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epth Chart" sheetId="1" r:id="rId5"/>
    <sheet state="visible" name="Matchups" sheetId="2" r:id="rId6"/>
    <sheet state="visible" name="Transaction Math" sheetId="3" r:id="rId7"/>
    <sheet state="visible" name="Lineup Sheet" sheetId="4" r:id="rId8"/>
    <sheet state="visible" name="Imports" sheetId="5" r:id="rId9"/>
    <sheet state="visible" name="Import - Decisions" sheetId="6" r:id="rId10"/>
    <sheet state="visible" name="BatterCalcs" sheetId="7" r:id="rId11"/>
    <sheet state="visible" name="PitcherCalcs" sheetId="8" r:id="rId12"/>
    <sheet state="visible" name="Live Draft Import" sheetId="9" r:id="rId13"/>
    <sheet state="visible" name="Player Comparisons" sheetId="10" r:id="rId14"/>
    <sheet state="visible" name="Sheet12" sheetId="11" r:id="rId15"/>
    <sheet state="visible" name="Sheet13" sheetId="12" r:id="rId16"/>
    <sheet state="visible" name="Sheet11" sheetId="13" r:id="rId17"/>
  </sheets>
  <definedNames>
    <definedName hidden="1" localSheetId="12" name="_xlnm._FilterDatabase">Sheet11!$A$1:$V$308</definedName>
  </definedNames>
  <calcPr/>
</workbook>
</file>

<file path=xl/sharedStrings.xml><?xml version="1.0" encoding="utf-8"?>
<sst xmlns="http://schemas.openxmlformats.org/spreadsheetml/2006/main" count="22027" uniqueCount="5507">
  <si>
    <t>Majors</t>
  </si>
  <si>
    <t>Name</t>
  </si>
  <si>
    <t>sWAR</t>
  </si>
  <si>
    <t>Card</t>
  </si>
  <si>
    <t>Card 2</t>
  </si>
  <si>
    <t>Last 1</t>
  </si>
  <si>
    <t>Last 2</t>
  </si>
  <si>
    <t>IL Return</t>
  </si>
  <si>
    <t>Dem Wk</t>
  </si>
  <si>
    <t>Vanity</t>
  </si>
  <si>
    <t>Injury</t>
  </si>
  <si>
    <t>Hand</t>
  </si>
  <si>
    <t>C</t>
  </si>
  <si>
    <t>1B</t>
  </si>
  <si>
    <t>2B</t>
  </si>
  <si>
    <t>3B</t>
  </si>
  <si>
    <t>SS</t>
  </si>
  <si>
    <t>LF</t>
  </si>
  <si>
    <t>CF</t>
  </si>
  <si>
    <t>RF</t>
  </si>
  <si>
    <t>vL</t>
  </si>
  <si>
    <t>vR</t>
  </si>
  <si>
    <t>OVR</t>
  </si>
  <si>
    <t>P</t>
  </si>
  <si>
    <t>SP</t>
  </si>
  <si>
    <t>RP</t>
  </si>
  <si>
    <t>CP</t>
  </si>
  <si>
    <t>Defense / Endurance</t>
  </si>
  <si>
    <t>Left Field</t>
  </si>
  <si>
    <t>Center Field</t>
  </si>
  <si>
    <t>Right Field</t>
  </si>
  <si>
    <t>Draft Mode</t>
  </si>
  <si>
    <t>H</t>
  </si>
  <si>
    <t>Def</t>
  </si>
  <si>
    <t>All Imports</t>
  </si>
  <si>
    <t>vs Left</t>
  </si>
  <si>
    <t>vs Right</t>
  </si>
  <si>
    <t>David Fry</t>
  </si>
  <si>
    <t>Shea Langaliers</t>
  </si>
  <si>
    <t>Rhys Hoskins</t>
  </si>
  <si>
    <t>Alec Burleson</t>
  </si>
  <si>
    <t>Ramon Urias</t>
  </si>
  <si>
    <t>Alex Bregman</t>
  </si>
  <si>
    <t>Trea Turner</t>
  </si>
  <si>
    <t>Steven Kwan</t>
  </si>
  <si>
    <t>Third Base</t>
  </si>
  <si>
    <t>Shortstop</t>
  </si>
  <si>
    <t>Second Base</t>
  </si>
  <si>
    <t>Blake Perkins</t>
  </si>
  <si>
    <t>Jo Adell</t>
  </si>
  <si>
    <t>Ronald Acuna Jr</t>
  </si>
  <si>
    <t>DH</t>
  </si>
  <si>
    <t>Andrew McCutchen</t>
  </si>
  <si>
    <t>Catcher</t>
  </si>
  <si>
    <t>First Base</t>
  </si>
  <si>
    <t>Black Bears sWAR</t>
  </si>
  <si>
    <t>Coal Miners sWAR</t>
  </si>
  <si>
    <t>Injured List sWAR</t>
  </si>
  <si>
    <t>Starting Pitchers</t>
  </si>
  <si>
    <t>Relief Pitchers</t>
  </si>
  <si>
    <t>Minors</t>
  </si>
  <si>
    <t>Dem Week</t>
  </si>
  <si>
    <t>End</t>
  </si>
  <si>
    <t>IL</t>
  </si>
  <si>
    <t>Ballpark:</t>
  </si>
  <si>
    <t>West Virginia Black Bears</t>
  </si>
  <si>
    <t>Scorecard Key</t>
  </si>
  <si>
    <t>https://docs.google.com/spreadsheets/d/1A45eSmpgfacqwwbnESAVGr41ToqdO4q-DhuNSHkFYMI/edit?gid=1148472416#gid=1148472416</t>
  </si>
  <si>
    <t>Yoshinobu Yamamoto</t>
  </si>
  <si>
    <t>Away Team:</t>
  </si>
  <si>
    <t>Dylan Cease</t>
  </si>
  <si>
    <t>Home Team</t>
  </si>
  <si>
    <t>Big Sky Snow Geese</t>
  </si>
  <si>
    <t>SI L</t>
  </si>
  <si>
    <t>SI R</t>
  </si>
  <si>
    <t>HR L</t>
  </si>
  <si>
    <t>HR R</t>
  </si>
  <si>
    <t>SI vL</t>
  </si>
  <si>
    <t>SI vR</t>
  </si>
  <si>
    <t>HR vL</t>
  </si>
  <si>
    <t>HR vR</t>
  </si>
  <si>
    <t>Fatigue</t>
  </si>
  <si>
    <t>vs Team</t>
  </si>
  <si>
    <t>vs Team:</t>
  </si>
  <si>
    <t>Roster Match Term:</t>
  </si>
  <si>
    <t>AVG</t>
  </si>
  <si>
    <t>OBP</t>
  </si>
  <si>
    <t>SLG</t>
  </si>
  <si>
    <t>K%</t>
  </si>
  <si>
    <t>DP%</t>
  </si>
  <si>
    <t>DMG</t>
  </si>
  <si>
    <t>Order</t>
  </si>
  <si>
    <t>Pos</t>
  </si>
  <si>
    <t>h-helper</t>
  </si>
  <si>
    <t>HITS</t>
  </si>
  <si>
    <t>BP1B</t>
  </si>
  <si>
    <t>BPHR</t>
  </si>
  <si>
    <t>All H</t>
  </si>
  <si>
    <t>OB</t>
  </si>
  <si>
    <t>All OB</t>
  </si>
  <si>
    <t>TB</t>
  </si>
  <si>
    <t>All TB</t>
  </si>
  <si>
    <t>K</t>
  </si>
  <si>
    <t>DP</t>
  </si>
  <si>
    <t>L</t>
  </si>
  <si>
    <t>R</t>
  </si>
  <si>
    <t>S</t>
  </si>
  <si>
    <t>Players</t>
  </si>
  <si>
    <t>Destination</t>
  </si>
  <si>
    <t>playerID</t>
  </si>
  <si>
    <t>Jorge Polanco</t>
  </si>
  <si>
    <t>Starting sWAR</t>
  </si>
  <si>
    <t>Dropped sWAR</t>
  </si>
  <si>
    <t>Added sWAR</t>
  </si>
  <si>
    <t>Final sWAR</t>
  </si>
  <si>
    <t>sWAR Cap</t>
  </si>
  <si>
    <t>Anthony Bender</t>
  </si>
  <si>
    <t>Stephen Kolek</t>
  </si>
  <si>
    <t>Mickey Moniak</t>
  </si>
  <si>
    <t>Count</t>
  </si>
  <si>
    <t>WVIL</t>
  </si>
  <si>
    <t>Starting MiL</t>
  </si>
  <si>
    <t>Dropped MiL</t>
  </si>
  <si>
    <t>Added MiL</t>
  </si>
  <si>
    <t>Final MiL</t>
  </si>
  <si>
    <r>
      <rPr/>
      <t xml:space="preserve">Week 10 Overall Moves: </t>
    </r>
    <r>
      <rPr>
        <color rgb="FF1155CC"/>
        <u/>
      </rPr>
      <t>https://discord.com/channels/613880856032968834/613968699472347167/1409369181144748112</t>
    </r>
  </si>
  <si>
    <t>WV</t>
  </si>
  <si>
    <t>Injured List</t>
  </si>
  <si>
    <t>Alternate Lineup</t>
  </si>
  <si>
    <t>Alt Lineup:</t>
  </si>
  <si>
    <t>Standard Lineup</t>
  </si>
  <si>
    <t>Highlight Player</t>
  </si>
  <si>
    <t>name</t>
  </si>
  <si>
    <t>image</t>
  </si>
  <si>
    <t>image2</t>
  </si>
  <si>
    <t>team id</t>
  </si>
  <si>
    <t>team abbrev</t>
  </si>
  <si>
    <t>pos 1</t>
  </si>
  <si>
    <t>pos 2</t>
  </si>
  <si>
    <t>pos 3</t>
  </si>
  <si>
    <t>pos 4</t>
  </si>
  <si>
    <t>pos 5</t>
  </si>
  <si>
    <t>pos 6</t>
  </si>
  <si>
    <t>pos 7</t>
  </si>
  <si>
    <t>pos 8</t>
  </si>
  <si>
    <t>last game</t>
  </si>
  <si>
    <t>last game 2</t>
  </si>
  <si>
    <t>il return</t>
  </si>
  <si>
    <t>dem week</t>
  </si>
  <si>
    <t>vanity card</t>
  </si>
  <si>
    <t>strat code</t>
  </si>
  <si>
    <t>bbref id</t>
  </si>
  <si>
    <t>injury rating</t>
  </si>
  <si>
    <t>DRAFT TEAM</t>
  </si>
  <si>
    <t>BOARD TEAM</t>
  </si>
  <si>
    <t>abbrev</t>
  </si>
  <si>
    <t>sname</t>
  </si>
  <si>
    <t>lname</t>
  </si>
  <si>
    <t>manager_legacy</t>
  </si>
  <si>
    <t>division_legacy</t>
  </si>
  <si>
    <t>gmid</t>
  </si>
  <si>
    <t>gmid2</t>
  </si>
  <si>
    <t>manager1</t>
  </si>
  <si>
    <t>manager2</t>
  </si>
  <si>
    <t>division</t>
  </si>
  <si>
    <t>mascot</t>
  </si>
  <si>
    <t>stadium</t>
  </si>
  <si>
    <t>gsheet</t>
  </si>
  <si>
    <t>thumbnail</t>
  </si>
  <si>
    <t>color</t>
  </si>
  <si>
    <t>dice_color</t>
  </si>
  <si>
    <t>season</t>
  </si>
  <si>
    <t>auto_draft</t>
  </si>
  <si>
    <t>salary_cap</t>
  </si>
  <si>
    <t>Aaron Bummer</t>
  </si>
  <si>
    <t>https://sba-cards-2024.s3.us-east-1.amazonaws.com/2024-cards/aaron-bummer.png</t>
  </si>
  <si>
    <t>FA</t>
  </si>
  <si>
    <t>Bummer,A</t>
  </si>
  <si>
    <t>bummeaa01</t>
  </si>
  <si>
    <t>1p50</t>
  </si>
  <si>
    <t>Free Agents</t>
  </si>
  <si>
    <t/>
  </si>
  <si>
    <t>https://sombaseball.ddns.net/static/images/sba-logo.png</t>
  </si>
  <si>
    <t>a6ce39</t>
  </si>
  <si>
    <t>Aaron Civale</t>
  </si>
  <si>
    <t>https://sba-cards-2024.s3.us-east-1.amazonaws.com/2024-cards/aaron-civale.png</t>
  </si>
  <si>
    <t>Civale,A</t>
  </si>
  <si>
    <t>civalaa01</t>
  </si>
  <si>
    <t>1p70</t>
  </si>
  <si>
    <t>Black Bears</t>
  </si>
  <si>
    <t>258104532423147520</t>
  </si>
  <si>
    <t>Cal</t>
  </si>
  <si>
    <t>https://i.postimg.cc/XJXYbczz/WV-Weather.png</t>
  </si>
  <si>
    <t>https://i.postimg.cc/HjDc8bBF/blackbears-transparent.png</t>
  </si>
  <si>
    <t>6699FF</t>
  </si>
  <si>
    <t>Aaron Hicks</t>
  </si>
  <si>
    <t>https://sba-cards-2024.s3.us-east-1.amazonaws.com/2024-cards/aaron-hicks.png</t>
  </si>
  <si>
    <t>Hicks,A</t>
  </si>
  <si>
    <t>hicksaa01</t>
  </si>
  <si>
    <t>1p20</t>
  </si>
  <si>
    <t>DEN</t>
  </si>
  <si>
    <t>Zephyr</t>
  </si>
  <si>
    <t>Denver Zephyr</t>
  </si>
  <si>
    <t>301455044656758784</t>
  </si>
  <si>
    <t>263736081000824832</t>
  </si>
  <si>
    <t>Foxx</t>
  </si>
  <si>
    <t>Brian</t>
  </si>
  <si>
    <t>https://i.postimg.cc/9MzQhtnv/DEN_Weather.png</t>
  </si>
  <si>
    <t>https://i.ibb.co/c6LkmsQ/newzephyr-final.png</t>
  </si>
  <si>
    <t>33006f</t>
  </si>
  <si>
    <t>Aaron Judge</t>
  </si>
  <si>
    <t>https://sba-cards-2024.s3.us-east-1.amazonaws.com/2024-cards/aaron-judge.png</t>
  </si>
  <si>
    <t>WAI</t>
  </si>
  <si>
    <t>Judge,A</t>
  </si>
  <si>
    <t>judgeaa01</t>
  </si>
  <si>
    <t>THE</t>
  </si>
  <si>
    <t>HawkEyes</t>
  </si>
  <si>
    <t>Tokyo HawkEyes</t>
  </si>
  <si>
    <t>97154612594741248</t>
  </si>
  <si>
    <t>271800700525215744</t>
  </si>
  <si>
    <t>Socc</t>
  </si>
  <si>
    <t>Holly</t>
  </si>
  <si>
    <t>https://i.postimg.cc/tT74jtcH/THE_Weather.png</t>
  </si>
  <si>
    <t>https://files.catbox.moe/gcfpdg.png</t>
  </si>
  <si>
    <t>FCA9A5</t>
  </si>
  <si>
    <t>F9BD74</t>
  </si>
  <si>
    <t>Aaron Nola</t>
  </si>
  <si>
    <t>https://sba-cards-2024.s3.us-east-1.amazonaws.com/2024-cards/aaron-nola.png</t>
  </si>
  <si>
    <t>GMEMiL</t>
  </si>
  <si>
    <t>Nola,A</t>
  </si>
  <si>
    <t>nolaaa01</t>
  </si>
  <si>
    <t>0p72</t>
  </si>
  <si>
    <t>MYT</t>
  </si>
  <si>
    <t>Muses</t>
  </si>
  <si>
    <t>Mytilene Muses</t>
  </si>
  <si>
    <t>231100460482691074</t>
  </si>
  <si>
    <t>Val</t>
  </si>
  <si>
    <t>https://i.postimg.cc/ydW8HXGH/MYT_Weather.png</t>
  </si>
  <si>
    <t>https://i.imgur.com/CNyhpR6.png</t>
  </si>
  <si>
    <t>931c72</t>
  </si>
  <si>
    <t>931C72</t>
  </si>
  <si>
    <t>Aaron Schunk</t>
  </si>
  <si>
    <t>https://sba-cards-2024.s3.us-east-1.amazonaws.com/2024-cards/aaron-schunk.png</t>
  </si>
  <si>
    <t>Schunk,A</t>
  </si>
  <si>
    <t>schunaa01</t>
  </si>
  <si>
    <t>DAL</t>
  </si>
  <si>
    <t>Drillers</t>
  </si>
  <si>
    <t>Dallas Drillers</t>
  </si>
  <si>
    <t>593042150447382529</t>
  </si>
  <si>
    <t>468456381528145931</t>
  </si>
  <si>
    <t>Will</t>
  </si>
  <si>
    <t>Admiral</t>
  </si>
  <si>
    <t>https://i.postimg.cc/3RWxTCcX/DAL_Weather.png</t>
  </si>
  <si>
    <t>https://i.postimg.cc/tTc8Q7mj/image-16.png</t>
  </si>
  <si>
    <t>FF0000</t>
  </si>
  <si>
    <t>Abraham Toro</t>
  </si>
  <si>
    <t>https://sba-cards-2024.s3.us-east-1.amazonaws.com/2024-cards/abraham-toro.png</t>
  </si>
  <si>
    <t>Toro,A</t>
  </si>
  <si>
    <t>toroab01</t>
  </si>
  <si>
    <t>2p50</t>
  </si>
  <si>
    <t>GME</t>
  </si>
  <si>
    <t>Market Equities</t>
  </si>
  <si>
    <t>Gotham Market Equities</t>
  </si>
  <si>
    <t>213403960072077312</t>
  </si>
  <si>
    <t>143034072787058688</t>
  </si>
  <si>
    <t>Mcast</t>
  </si>
  <si>
    <t>Cash</t>
  </si>
  <si>
    <t>https://i.postimg.cc/3RWxTCcz/GME_Weather.png</t>
  </si>
  <si>
    <t>https://i.postimg.cc/pLdV3ZQW/gme.webp</t>
  </si>
  <si>
    <t>FFd601</t>
  </si>
  <si>
    <t>Adam Cimber</t>
  </si>
  <si>
    <t>https://sba-cards-2024.s3.us-east-1.amazonaws.com/2024-cards/adam-cimber.png</t>
  </si>
  <si>
    <t>CLS</t>
  </si>
  <si>
    <t>https://i.postimg.cc/mrZm9knC/Cimber-FC.png</t>
  </si>
  <si>
    <t>Cimber,A</t>
  </si>
  <si>
    <t>cimbead01</t>
  </si>
  <si>
    <t>3p20</t>
  </si>
  <si>
    <t>MKE</t>
  </si>
  <si>
    <t>Bovines</t>
  </si>
  <si>
    <t>Milwaukee Bovines</t>
  </si>
  <si>
    <t>212687113634840580</t>
  </si>
  <si>
    <t>521856020889337867</t>
  </si>
  <si>
    <t>Basebally</t>
  </si>
  <si>
    <t>Peter</t>
  </si>
  <si>
    <t>https://i.postimg.cc/QtVd3kyc/MKE_Weather.png</t>
  </si>
  <si>
    <t>https://i.imgur.com/6t7Mvml.png</t>
  </si>
  <si>
    <t>ECD69F</t>
  </si>
  <si>
    <t>Adam Duvall</t>
  </si>
  <si>
    <t>https://sba-cards-2024.s3.us-east-1.amazonaws.com/2024-cards/adam-duvall.png</t>
  </si>
  <si>
    <t>CHC</t>
  </si>
  <si>
    <t>Duvall,A</t>
  </si>
  <si>
    <t>duvalad01</t>
  </si>
  <si>
    <t>POR</t>
  </si>
  <si>
    <t>Loggers</t>
  </si>
  <si>
    <t>Portland Loggers</t>
  </si>
  <si>
    <t>185167161734594560</t>
  </si>
  <si>
    <t>283421208945360896</t>
  </si>
  <si>
    <t>Ryan</t>
  </si>
  <si>
    <t>Paul</t>
  </si>
  <si>
    <t>https://i.postimg.cc/XJXYbczh/POR_Weather.png</t>
  </si>
  <si>
    <t>https://i.postimg.cc/Bn7L5YmL/loggers.png</t>
  </si>
  <si>
    <t>457604</t>
  </si>
  <si>
    <t>Adam Frazier</t>
  </si>
  <si>
    <t>https://sba-cards-2024.s3.us-east-1.amazonaws.com/2024-cards/adam-frazier.png</t>
  </si>
  <si>
    <t>Frazier,A</t>
  </si>
  <si>
    <t>fraziad01</t>
  </si>
  <si>
    <t>BSG</t>
  </si>
  <si>
    <t>Snow Geese</t>
  </si>
  <si>
    <t>148425866588848128</t>
  </si>
  <si>
    <t>254774534274547713</t>
  </si>
  <si>
    <t>Lyle</t>
  </si>
  <si>
    <t>JZ</t>
  </si>
  <si>
    <t>https://i.postimg.cc/bJMNND74/BSG_Weather.gif</t>
  </si>
  <si>
    <t>https://i.postimg.cc/zGMmjtSZ/bigsky.png</t>
  </si>
  <si>
    <t>efa54e</t>
  </si>
  <si>
    <t>Adam Mazur</t>
  </si>
  <si>
    <t>https://sba-cards-2024.s3.us-east-1.amazonaws.com/2024-cards/adam-mazur.png</t>
  </si>
  <si>
    <t>Mazur,A</t>
  </si>
  <si>
    <t>mazurad01</t>
  </si>
  <si>
    <t>Whale Sharks</t>
  </si>
  <si>
    <t>Waikiki Whale Sharks</t>
  </si>
  <si>
    <t>139926308644847616</t>
  </si>
  <si>
    <t>291738770313707521</t>
  </si>
  <si>
    <t>Paulie</t>
  </si>
  <si>
    <t>Derek</t>
  </si>
  <si>
    <t>https://i.postimg.cc/ZR05SFMP/WAI_Weather.png</t>
  </si>
  <si>
    <t>https://i.postimg.cc/XYykZKTH/1-1.png</t>
  </si>
  <si>
    <t>f68aa4</t>
  </si>
  <si>
    <t>Adam Oller</t>
  </si>
  <si>
    <t>https://sba-cards-2024.s3.us-east-1.amazonaws.com/2024-cards/adam-oller.png</t>
  </si>
  <si>
    <t>Oller,A</t>
  </si>
  <si>
    <t>ollerad01</t>
  </si>
  <si>
    <t>1p30</t>
  </si>
  <si>
    <t>CAN</t>
  </si>
  <si>
    <t>Cavalry</t>
  </si>
  <si>
    <t>Canterbury Cavalry</t>
  </si>
  <si>
    <t>1018721510111838309</t>
  </si>
  <si>
    <t>Sandyman</t>
  </si>
  <si>
    <t>https://i.postimg.cc/0Qrysd4P/CAN_Weather.png</t>
  </si>
  <si>
    <t>https://i.postimg.cc/C1bS8JTZ/Cav-Logo.png</t>
  </si>
  <si>
    <t>dbb143</t>
  </si>
  <si>
    <t>DBB143</t>
  </si>
  <si>
    <t>Adam Ottavino</t>
  </si>
  <si>
    <t>https://sba-cards-2024.s3.us-east-1.amazonaws.com/2024-cards/adam-ottavino.png</t>
  </si>
  <si>
    <t>Ottavino,A</t>
  </si>
  <si>
    <t>ottavad01</t>
  </si>
  <si>
    <t>MDW</t>
  </si>
  <si>
    <t>Death Worms</t>
  </si>
  <si>
    <t>Mongolian Death Worms</t>
  </si>
  <si>
    <t>377826278004490240</t>
  </si>
  <si>
    <t>268566559746686986</t>
  </si>
  <si>
    <t>Smitty</t>
  </si>
  <si>
    <t>JP</t>
  </si>
  <si>
    <t>https://i.postimg.cc/QtVd3kyY/MDW_Weather.png</t>
  </si>
  <si>
    <t>https://i.postimg.cc/MHWBNwzH/MDW-Primary-Logo.png</t>
  </si>
  <si>
    <t>23c8b9</t>
  </si>
  <si>
    <t>Addison Barger</t>
  </si>
  <si>
    <t>https://sba-cards-2024.s3.us-east-1.amazonaws.com/2024-cards/addison-barger.png</t>
  </si>
  <si>
    <t>Barger,A</t>
  </si>
  <si>
    <t>bargead01</t>
  </si>
  <si>
    <t>1p40</t>
  </si>
  <si>
    <t>NSH</t>
  </si>
  <si>
    <t>Wizards</t>
  </si>
  <si>
    <t>Nashville Wizards</t>
  </si>
  <si>
    <t>485217045408120833</t>
  </si>
  <si>
    <t>Reed</t>
  </si>
  <si>
    <t>https://i.postimg.cc/mDhgsNnR/NSH_Weather.png</t>
  </si>
  <si>
    <t>https://i.postimg.cc/mDPB77Pb/wizards-full.png</t>
  </si>
  <si>
    <t>006900</t>
  </si>
  <si>
    <t>Adley Rutschman</t>
  </si>
  <si>
    <t>https://sba-cards-2024.s3.us-east-1.amazonaws.com/2024-cards/adley-rutschman.png</t>
  </si>
  <si>
    <t>WVMiL</t>
  </si>
  <si>
    <t>Rutschman,A</t>
  </si>
  <si>
    <t>rutscad01</t>
  </si>
  <si>
    <t>Cyclones</t>
  </si>
  <si>
    <t>Chicago Cyclones</t>
  </si>
  <si>
    <t>383444903344078848</t>
  </si>
  <si>
    <t>159766338833874944</t>
  </si>
  <si>
    <t>Jack</t>
  </si>
  <si>
    <t>Diego</t>
  </si>
  <si>
    <t>https://i.postimg.cc/XvsYmDQk/CHC_Weather.png</t>
  </si>
  <si>
    <t>https://i.postimg.cc/L8044JJC/chc.png</t>
  </si>
  <si>
    <t>ff5349</t>
  </si>
  <si>
    <t>Adolis Garcia</t>
  </si>
  <si>
    <t>https://sba-cards-2024.s3.us-east-1.amazonaws.com/2024-cards/adolis-garcia.png</t>
  </si>
  <si>
    <t>Garcia,Adolis</t>
  </si>
  <si>
    <t>garciad02</t>
  </si>
  <si>
    <t>CYP</t>
  </si>
  <si>
    <t>Templar Knights</t>
  </si>
  <si>
    <t>Cyprus Templar Knights</t>
  </si>
  <si>
    <t>473845222514884610</t>
  </si>
  <si>
    <t>Plack</t>
  </si>
  <si>
    <t>https://i.postimg.cc/cH6LSMb2/CYP_Weather.png</t>
  </si>
  <si>
    <t>https://i.postimg.cc/cJgxvdYs/D72-C13-F4-DEDC-4184-A903-0-B962085-BE91-removebg-preview.png</t>
  </si>
  <si>
    <t>0C4940</t>
  </si>
  <si>
    <t>Adrian Del Castillo</t>
  </si>
  <si>
    <t>https://sba-cards-2024.s3.us-east-1.amazonaws.com/2024-cards/adrian-del-castillo.png</t>
  </si>
  <si>
    <t>Del Castillo,A</t>
  </si>
  <si>
    <t>delcaad01</t>
  </si>
  <si>
    <t>2p20</t>
  </si>
  <si>
    <t>Hydra</t>
  </si>
  <si>
    <t>Columbus Hydra</t>
  </si>
  <si>
    <t>667135868477374485</t>
  </si>
  <si>
    <t>105512327293448192</t>
  </si>
  <si>
    <t>Mason</t>
  </si>
  <si>
    <t>Guido</t>
  </si>
  <si>
    <t>https://i.postimg.cc/263SDFK2/CLS_Weather.png</t>
  </si>
  <si>
    <t>https://i.postimg.cc/3wGF3tvR/Hydras.png</t>
  </si>
  <si>
    <t>07CED1</t>
  </si>
  <si>
    <t>Adrian Houser</t>
  </si>
  <si>
    <t>https://sba-cards-2024.s3.us-east-1.amazonaws.com/2024-cards/adrian-houser.png</t>
  </si>
  <si>
    <t>Houser,A</t>
  </si>
  <si>
    <t>housead01</t>
  </si>
  <si>
    <t>Adrian Morejon</t>
  </si>
  <si>
    <t>https://sba-cards-2024.s3.us-east-1.amazonaws.com/2024-cards/adrian-morejon.png</t>
  </si>
  <si>
    <t>CLSMiL</t>
  </si>
  <si>
    <t>Morejon,A</t>
  </si>
  <si>
    <t>morejad01</t>
  </si>
  <si>
    <t>AJ Minter</t>
  </si>
  <si>
    <t>https://sba-cards-2024.s3.us-east-1.amazonaws.com/2024-cards/aj-minter.png</t>
  </si>
  <si>
    <t>Minter,A</t>
  </si>
  <si>
    <t>minteaj01</t>
  </si>
  <si>
    <t>5p30</t>
  </si>
  <si>
    <t>AJ Puk</t>
  </si>
  <si>
    <t>https://sba-cards-2024.s3.us-east-1.amazonaws.com/2024-cards/aj-puk.png</t>
  </si>
  <si>
    <t>Puk,A</t>
  </si>
  <si>
    <t>pukaj01</t>
  </si>
  <si>
    <t>Akil Baddoo</t>
  </si>
  <si>
    <t>https://sba-cards-2024.s3.us-east-1.amazonaws.com/2024-cards/akil-baddoo.png</t>
  </si>
  <si>
    <t>Baddoo,A</t>
  </si>
  <si>
    <t>baddoak01</t>
  </si>
  <si>
    <t>Alan Trejo</t>
  </si>
  <si>
    <t>https://sba-cards-2024.s3.us-east-1.amazonaws.com/2024-cards/alan-trejo.png</t>
  </si>
  <si>
    <t>Trejo,A</t>
  </si>
  <si>
    <t>trejoal01</t>
  </si>
  <si>
    <t>Albert Suarez</t>
  </si>
  <si>
    <t>https://sba-cards-2024.s3.us-east-1.amazonaws.com/2024-cards/albert-suarez.png</t>
  </si>
  <si>
    <t>Suarez,A</t>
  </si>
  <si>
    <t>suareal01</t>
  </si>
  <si>
    <t>Alec Bohm</t>
  </si>
  <si>
    <t>https://sba-cards-2024.s3.us-east-1.amazonaws.com/2024-cards/alec-bohm.png</t>
  </si>
  <si>
    <t>Bohm,A</t>
  </si>
  <si>
    <t>bohmal01</t>
  </si>
  <si>
    <t>1p65</t>
  </si>
  <si>
    <t>https://sba-cards-2024.s3.us-east-1.amazonaws.com/2024-cards/alec-burleson.png</t>
  </si>
  <si>
    <t>Burleson,A</t>
  </si>
  <si>
    <t>burleal01</t>
  </si>
  <si>
    <t>Alec Marsh</t>
  </si>
  <si>
    <t>https://sba-cards-2024.s3.us-east-1.amazonaws.com/2024-cards/alec-marsh.png</t>
  </si>
  <si>
    <t>Marsh,A</t>
  </si>
  <si>
    <t>marshal01</t>
  </si>
  <si>
    <t>Alejandro Kirk</t>
  </si>
  <si>
    <t>https://sba-cards-2024.s3.us-east-1.amazonaws.com/2024-cards/alejandro-kirk.png</t>
  </si>
  <si>
    <t>Kirk,A</t>
  </si>
  <si>
    <t>kirkal01</t>
  </si>
  <si>
    <t>Alek Thomas</t>
  </si>
  <si>
    <t>https://sba-cards-2024.s3.us-east-1.amazonaws.com/2024-cards/alek-thomas.png</t>
  </si>
  <si>
    <t>Thomas,A</t>
  </si>
  <si>
    <t>thomaal01</t>
  </si>
  <si>
    <t>6p20</t>
  </si>
  <si>
    <t>https://sba-cards-2024.s3.us-east-1.amazonaws.com/2024-cards/alex-bregman.png</t>
  </si>
  <si>
    <t>Bregman,A</t>
  </si>
  <si>
    <t>bregmal01</t>
  </si>
  <si>
    <t>Alex Call</t>
  </si>
  <si>
    <t>https://sba-cards-2024.s3.us-east-1.amazonaws.com/2024-cards/alex-call.png</t>
  </si>
  <si>
    <t>CANIL</t>
  </si>
  <si>
    <t>w06g1</t>
  </si>
  <si>
    <t>Call,A</t>
  </si>
  <si>
    <t>callal02</t>
  </si>
  <si>
    <t>Alex Faedo</t>
  </si>
  <si>
    <t>https://sba-cards-2024.s3.us-east-1.amazonaws.com/2024-cards/alex-faedo.png</t>
  </si>
  <si>
    <t>Faedo,A</t>
  </si>
  <si>
    <t>faedoal01</t>
  </si>
  <si>
    <t>5p50</t>
  </si>
  <si>
    <t>Alex Jackson</t>
  </si>
  <si>
    <t>https://sba-cards-2024.s3.us-east-1.amazonaws.com/2024-cards/alex-jackson.png</t>
  </si>
  <si>
    <t>Jackson,A</t>
  </si>
  <si>
    <t>jacksal02</t>
  </si>
  <si>
    <t>2p30</t>
  </si>
  <si>
    <t>Alex Kirilloff</t>
  </si>
  <si>
    <t>https://sba-cards-2024.s3.us-east-1.amazonaws.com/2024-cards/alex-kirilloff.png</t>
  </si>
  <si>
    <t>Kirilloff,A</t>
  </si>
  <si>
    <t>kirilal01</t>
  </si>
  <si>
    <t>Alex Verdugo</t>
  </si>
  <si>
    <t>https://sba-cards-2024.s3.us-east-1.amazonaws.com/2024-cards/alex-verdugo.png</t>
  </si>
  <si>
    <t>Verdugo,A</t>
  </si>
  <si>
    <t>verdual01</t>
  </si>
  <si>
    <t>Alex Vesia</t>
  </si>
  <si>
    <t>https://sba-cards-2024.s3.us-east-1.amazonaws.com/2024-cards/alex-vesia.png</t>
  </si>
  <si>
    <t>Vesia,A</t>
  </si>
  <si>
    <t>vesiaal01</t>
  </si>
  <si>
    <t>1p60</t>
  </si>
  <si>
    <t>Alex Wood</t>
  </si>
  <si>
    <t>https://sba-cards-2024.s3.us-east-1.amazonaws.com/2024-cards/alex-wood.png</t>
  </si>
  <si>
    <t>Wood,A</t>
  </si>
  <si>
    <t>woodal02</t>
  </si>
  <si>
    <t>6p30</t>
  </si>
  <si>
    <t>Alexis Diaz</t>
  </si>
  <si>
    <t>https://sba-cards-2024.s3.us-east-1.amazonaws.com/2024-cards/alexis-diaz.png</t>
  </si>
  <si>
    <t>Diaz,Alexis</t>
  </si>
  <si>
    <t>diazal03</t>
  </si>
  <si>
    <t>Ali Sanchez</t>
  </si>
  <si>
    <t>https://sba-cards-2024.s3.us-east-1.amazonaws.com/2024-cards/ali-sanchez.png</t>
  </si>
  <si>
    <t>Sanchez,A</t>
  </si>
  <si>
    <t>sanchal04</t>
  </si>
  <si>
    <t>Alika Williams</t>
  </si>
  <si>
    <t>https://sba-cards-2024.s3.us-east-1.amazonaws.com/2024-cards/alika-williams.png</t>
  </si>
  <si>
    <t>Williams,A</t>
  </si>
  <si>
    <t>willial04</t>
  </si>
  <si>
    <t>Amed Rosario</t>
  </si>
  <si>
    <t>https://sba-cards-2024.s3.us-east-1.amazonaws.com/2024-cards/amed-rosario.png</t>
  </si>
  <si>
    <t>Rosario,A</t>
  </si>
  <si>
    <t>rosaram01</t>
  </si>
  <si>
    <t>Andre Pallante</t>
  </si>
  <si>
    <t>https://sba-cards-2024.s3.us-east-1.amazonaws.com/2024-cards/andre-pallante.png</t>
  </si>
  <si>
    <t>MKEIL</t>
  </si>
  <si>
    <t>w06g3</t>
  </si>
  <si>
    <t>Pallante,A</t>
  </si>
  <si>
    <t>pallaan01</t>
  </si>
  <si>
    <t>Andres Chaparro</t>
  </si>
  <si>
    <t>https://sba-cards-2024.s3.us-east-1.amazonaws.com/2024-cards/andres-chaparro.png</t>
  </si>
  <si>
    <t>WAIIL</t>
  </si>
  <si>
    <t>w07g3</t>
  </si>
  <si>
    <t>Chaparro,A</t>
  </si>
  <si>
    <t>chapaan01</t>
  </si>
  <si>
    <t>Andres Gimenez</t>
  </si>
  <si>
    <t>https://sba-cards-2024.s3.us-east-1.amazonaws.com/2024-cards/andres-gimenez.png</t>
  </si>
  <si>
    <t>Gimenez,A</t>
  </si>
  <si>
    <t>gimenan01</t>
  </si>
  <si>
    <t>Andres Munoz</t>
  </si>
  <si>
    <t>https://sba-cards-2024.s3.us-east-1.amazonaws.com/2024-cards/andres-munoz.png</t>
  </si>
  <si>
    <t>Munoz,A</t>
  </si>
  <si>
    <t>munozan01</t>
  </si>
  <si>
    <t>Andrew Abbott</t>
  </si>
  <si>
    <t>https://sba-cards-2024.s3.us-east-1.amazonaws.com/2024-cards/andrew-abbott.png</t>
  </si>
  <si>
    <t>CYPIL</t>
  </si>
  <si>
    <t>w07g2</t>
  </si>
  <si>
    <t>Abbott,A</t>
  </si>
  <si>
    <t>abbotan01</t>
  </si>
  <si>
    <t>Andrew Benintendi</t>
  </si>
  <si>
    <t>https://sba-cards-2024.s3.us-east-1.amazonaws.com/2024-cards/andrew-benintendi.png</t>
  </si>
  <si>
    <t>Benintendi,A</t>
  </si>
  <si>
    <t>beninan01</t>
  </si>
  <si>
    <t>Andrew Chafin</t>
  </si>
  <si>
    <t>https://sba-cards-2024.s3.us-east-1.amazonaws.com/2024-cards/andrew-chafin.png</t>
  </si>
  <si>
    <t>Chafin,A</t>
  </si>
  <si>
    <t>chafian01</t>
  </si>
  <si>
    <t>Andrew Heaney</t>
  </si>
  <si>
    <t>https://sba-cards-2024.s3.us-east-1.amazonaws.com/2024-cards/andrew-heaney.png</t>
  </si>
  <si>
    <t>Heaney,A</t>
  </si>
  <si>
    <t>heanean01</t>
  </si>
  <si>
    <t>Andrew Kittredge</t>
  </si>
  <si>
    <t>https://sba-cards-2024.s3.us-east-1.amazonaws.com/2024-cards/andrew-kittredge.png</t>
  </si>
  <si>
    <t>Kittredge,A</t>
  </si>
  <si>
    <t>kittran01</t>
  </si>
  <si>
    <t>Andrew Knizner</t>
  </si>
  <si>
    <t>https://sba-cards-2024.s3.us-east-1.amazonaws.com/2024-cards/andrew-knizner.png</t>
  </si>
  <si>
    <t>Knizner,A</t>
  </si>
  <si>
    <t>kniznan01</t>
  </si>
  <si>
    <t>https://sba-cards-2024.s3.us-east-1.amazonaws.com/2024-cards/andrew-mccutchen.png</t>
  </si>
  <si>
    <t>McCutchen,A</t>
  </si>
  <si>
    <t>mccutan01</t>
  </si>
  <si>
    <t>Andrew Nardi</t>
  </si>
  <si>
    <t>https://sba-cards-2024.s3.us-east-1.amazonaws.com/2024-cards/andrew-nardi.png</t>
  </si>
  <si>
    <t>Nardi,A</t>
  </si>
  <si>
    <t>nardian01</t>
  </si>
  <si>
    <t>3p40</t>
  </si>
  <si>
    <t>Andrew Vaughn</t>
  </si>
  <si>
    <t>https://sba-cards-2024.s3.us-east-1.amazonaws.com/2024-cards/andrew-vaughn.png</t>
  </si>
  <si>
    <t>Vaughn,A</t>
  </si>
  <si>
    <t>vaughan01</t>
  </si>
  <si>
    <t>Andruw Monasterio</t>
  </si>
  <si>
    <t>https://sba-cards-2024.s3.us-east-1.amazonaws.com/2024-cards/andruw-monasterio.png</t>
  </si>
  <si>
    <t>Monasterio,A</t>
  </si>
  <si>
    <t>monasan01</t>
  </si>
  <si>
    <t>Andy Ibanez</t>
  </si>
  <si>
    <t>https://sba-cards-2024.s3.us-east-1.amazonaws.com/2024-cards/andy-ibanez.png</t>
  </si>
  <si>
    <t>Ibanez,A</t>
  </si>
  <si>
    <t>ibanean01</t>
  </si>
  <si>
    <t>Andy Pages</t>
  </si>
  <si>
    <t>https://sba-cards-2024.s3.us-east-1.amazonaws.com/2024-cards/andy-pages.png</t>
  </si>
  <si>
    <t>Pages,A</t>
  </si>
  <si>
    <t>pagesan01</t>
  </si>
  <si>
    <t>Angel Chivilli</t>
  </si>
  <si>
    <t>https://sba-cards-2024.s3.us-east-1.amazonaws.com/2024-cards/angel-chivilli.png</t>
  </si>
  <si>
    <t>Chivilli,A</t>
  </si>
  <si>
    <t>chivian01</t>
  </si>
  <si>
    <t>Angel Martinez</t>
  </si>
  <si>
    <t>https://sba-cards-2024.s3.us-east-1.amazonaws.com/2024-cards/angel-martinez.png</t>
  </si>
  <si>
    <t>Martinez,A</t>
  </si>
  <si>
    <t>martian02</t>
  </si>
  <si>
    <t>5p20</t>
  </si>
  <si>
    <t>Angel Zerpa</t>
  </si>
  <si>
    <t>https://sba-cards-2024.s3.us-east-1.amazonaws.com/2024-cards/angel-zerpa.png</t>
  </si>
  <si>
    <t>Zerpa,A</t>
  </si>
  <si>
    <t>zerpaan01</t>
  </si>
  <si>
    <t>Anthony Banda</t>
  </si>
  <si>
    <t>https://sba-cards-2024.s3.us-east-1.amazonaws.com/2024-cards/anthony-banda.png</t>
  </si>
  <si>
    <t>Banda,A</t>
  </si>
  <si>
    <t>bandaan01</t>
  </si>
  <si>
    <t>2p40</t>
  </si>
  <si>
    <t>https://sba-cards-2024.s3.us-east-1.amazonaws.com/2024-cards/anthony-bender.png</t>
  </si>
  <si>
    <t>Bender,A</t>
  </si>
  <si>
    <t>bendean01</t>
  </si>
  <si>
    <t>Anthony Molina</t>
  </si>
  <si>
    <t>https://sba-cards-2024.s3.us-east-1.amazonaws.com/2024-cards/anthony-molina.png</t>
  </si>
  <si>
    <t>Molina,A</t>
  </si>
  <si>
    <t>molinan01</t>
  </si>
  <si>
    <t>Anthony Rendon</t>
  </si>
  <si>
    <t>https://sba-cards-2024.s3.us-east-1.amazonaws.com/2024-cards/anthony-rendon.png</t>
  </si>
  <si>
    <t>Rendon,A</t>
  </si>
  <si>
    <t>rendoan01</t>
  </si>
  <si>
    <t>Anthony Rizzo</t>
  </si>
  <si>
    <t>https://sba-cards-2024.s3.us-east-1.amazonaws.com/2024-cards/anthony-rizzo.png</t>
  </si>
  <si>
    <t>Rizzo,A</t>
  </si>
  <si>
    <t>rizzoan01</t>
  </si>
  <si>
    <t>4p50</t>
  </si>
  <si>
    <t>Anthony Santander</t>
  </si>
  <si>
    <t>https://sba-cards-2024.s3.us-east-1.amazonaws.com/2024-cards/anthony-santander.png</t>
  </si>
  <si>
    <t>Santander,A</t>
  </si>
  <si>
    <t>santaan02</t>
  </si>
  <si>
    <t>Anthony Volpe</t>
  </si>
  <si>
    <t>https://sba-cards-2024.s3.us-east-1.amazonaws.com/2024-cards/anthony-volpe.png</t>
  </si>
  <si>
    <t>NSHMiL</t>
  </si>
  <si>
    <t>Volpe,A</t>
  </si>
  <si>
    <t>volpean01</t>
  </si>
  <si>
    <t>Aroldis Chapman</t>
  </si>
  <si>
    <t>https://sba-cards-2024.s3.us-east-1.amazonaws.com/2024-cards/aroldis-chapman.png</t>
  </si>
  <si>
    <t>Chapman,A</t>
  </si>
  <si>
    <t>chapmar01</t>
  </si>
  <si>
    <t>Austin Adams</t>
  </si>
  <si>
    <t>https://sba-cards-2024.s3.us-east-1.amazonaws.com/2024-cards/austin-adams.png</t>
  </si>
  <si>
    <t>Adams,A</t>
  </si>
  <si>
    <t>adamsau02</t>
  </si>
  <si>
    <t>4p40</t>
  </si>
  <si>
    <t>Austin Barnes</t>
  </si>
  <si>
    <t>https://sba-cards-2024.s3.us-east-1.amazonaws.com/2024-cards/austin-barnes.png</t>
  </si>
  <si>
    <t>https://i.postimg.cc/JhhQngyh/Barnes-FC.png</t>
  </si>
  <si>
    <t>Barnes,A</t>
  </si>
  <si>
    <t>barneau01</t>
  </si>
  <si>
    <t>3p30</t>
  </si>
  <si>
    <t>Austin Gomber</t>
  </si>
  <si>
    <t>https://sba-cards-2024.s3.us-east-1.amazonaws.com/2024-cards/austin-gomber.png</t>
  </si>
  <si>
    <t>Gomber,A</t>
  </si>
  <si>
    <t>gombeau01</t>
  </si>
  <si>
    <t>Austin Hays</t>
  </si>
  <si>
    <t>https://sba-cards-2024.s3.us-east-1.amazonaws.com/2024-cards/austin-hays.png</t>
  </si>
  <si>
    <t>Hays,A</t>
  </si>
  <si>
    <t>haysau01</t>
  </si>
  <si>
    <t>Austin Hedges</t>
  </si>
  <si>
    <t>https://sba-cards-2024.s3.us-east-1.amazonaws.com/2024-cards/austin-hedges.png</t>
  </si>
  <si>
    <t>Hedges,A</t>
  </si>
  <si>
    <t>hedgeau01</t>
  </si>
  <si>
    <t>Austin Martin</t>
  </si>
  <si>
    <t>https://sba-cards-2024.s3.us-east-1.amazonaws.com/2024-cards/austin-martin.png</t>
  </si>
  <si>
    <t>Martin,A</t>
  </si>
  <si>
    <t>martiau01</t>
  </si>
  <si>
    <t>Austin Riley</t>
  </si>
  <si>
    <t>https://sba-cards-2024.s3.us-east-1.amazonaws.com/2024-cards/austin-riley.png</t>
  </si>
  <si>
    <t>Riley,A</t>
  </si>
  <si>
    <t>rileyau01</t>
  </si>
  <si>
    <t>3p50</t>
  </si>
  <si>
    <t>Austin Slater</t>
  </si>
  <si>
    <t>https://sba-cards-2024.s3.us-east-1.amazonaws.com/2024-cards/austin-slater.png</t>
  </si>
  <si>
    <t>Slater,A</t>
  </si>
  <si>
    <t>slateau01</t>
  </si>
  <si>
    <t>Austin Voth</t>
  </si>
  <si>
    <t>https://sba-cards-2024.s3.us-east-1.amazonaws.com/2024-cards/austin-voth.png</t>
  </si>
  <si>
    <t>Voth,A</t>
  </si>
  <si>
    <t>vothau01</t>
  </si>
  <si>
    <t>Austin Wells</t>
  </si>
  <si>
    <t>https://sba-cards-2024.s3.us-east-1.amazonaws.com/2024-cards/austin-wells.png</t>
  </si>
  <si>
    <t>BSGMiL</t>
  </si>
  <si>
    <t>Wells,A</t>
  </si>
  <si>
    <t>wellsau01</t>
  </si>
  <si>
    <t>2p60</t>
  </si>
  <si>
    <t>Bailey Falter</t>
  </si>
  <si>
    <t>https://sba-cards-2024.s3.us-east-1.amazonaws.com/2024-cards/bailey-falter.png</t>
  </si>
  <si>
    <t>Falter,B</t>
  </si>
  <si>
    <t>falteba01</t>
  </si>
  <si>
    <t>Bailey Ober</t>
  </si>
  <si>
    <t>https://sba-cards-2024.s3.us-east-1.amazonaws.com/2024-cards/bailey-ober.png</t>
  </si>
  <si>
    <t>Ober,B</t>
  </si>
  <si>
    <t>oberba01</t>
  </si>
  <si>
    <t>Beau Brieske</t>
  </si>
  <si>
    <t>https://sba-cards-2024.s3.us-east-1.amazonaws.com/2024-cards/beau-brieske.png</t>
  </si>
  <si>
    <t>PORMiL</t>
  </si>
  <si>
    <t>Brieske,B</t>
  </si>
  <si>
    <t>briesbe01</t>
  </si>
  <si>
    <t>Ben Brown</t>
  </si>
  <si>
    <t>https://sba-cards-2024.s3.us-east-1.amazonaws.com/2024-cards/ben-brown.png</t>
  </si>
  <si>
    <t>Brown,B</t>
  </si>
  <si>
    <t>brownbe02</t>
  </si>
  <si>
    <t>Ben Gamel</t>
  </si>
  <si>
    <t>https://sba-cards-2024.s3.us-east-1.amazonaws.com/2024-cards/ben-gamel.png</t>
  </si>
  <si>
    <t>w09g3</t>
  </si>
  <si>
    <t>Gamel,B</t>
  </si>
  <si>
    <t>HALP</t>
  </si>
  <si>
    <t>Ben Joyce</t>
  </si>
  <si>
    <t>https://sba-cards-2024.s3.us-east-1.amazonaws.com/2024-cards/ben-joyce.png</t>
  </si>
  <si>
    <t>https://i.postimg.cc/RF6Q1HLW/Joyce-FC.png</t>
  </si>
  <si>
    <t>Joyce,B</t>
  </si>
  <si>
    <t>joycebe01</t>
  </si>
  <si>
    <t>Ben Lively</t>
  </si>
  <si>
    <t>https://sba-cards-2024.s3.us-east-1.amazonaws.com/2024-cards/ben-lively.png</t>
  </si>
  <si>
    <t>Lively,B</t>
  </si>
  <si>
    <t>livelbe01</t>
  </si>
  <si>
    <t>Ben Rice</t>
  </si>
  <si>
    <t>https://sba-cards-2024.s3.us-east-1.amazonaws.com/2024-cards/ben-rice.png</t>
  </si>
  <si>
    <t>Rice,B</t>
  </si>
  <si>
    <t>ricebe01</t>
  </si>
  <si>
    <t>Ben Rortvedt</t>
  </si>
  <si>
    <t>https://sba-cards-2024.s3.us-east-1.amazonaws.com/2024-cards/ben-rortvedt.png</t>
  </si>
  <si>
    <t>Rortvedt,B</t>
  </si>
  <si>
    <t>rortvbe01</t>
  </si>
  <si>
    <t>https://sba-cards-2024.s3.us-east-1.amazonaws.com/2024-cards/blake-perkins.png</t>
  </si>
  <si>
    <t>Perkins,B</t>
  </si>
  <si>
    <t>perkibl01</t>
  </si>
  <si>
    <t>Blake Snell</t>
  </si>
  <si>
    <t>https://sba-cards-2024.s3.us-east-1.amazonaws.com/2024-cards/blake-snell.png</t>
  </si>
  <si>
    <t>Snell,B</t>
  </si>
  <si>
    <t>snellbl01</t>
  </si>
  <si>
    <t>3p60</t>
  </si>
  <si>
    <t>Blake Treinen</t>
  </si>
  <si>
    <t>https://sba-cards-2024.s3.us-east-1.amazonaws.com/2024-cards/blake-treinen.png</t>
  </si>
  <si>
    <t>Treinen,B</t>
  </si>
  <si>
    <t>treinbl01</t>
  </si>
  <si>
    <t>Blaze Alexander</t>
  </si>
  <si>
    <t>https://sba-cards-2024.s3.us-east-1.amazonaws.com/2024-cards/blaze-alexander.png</t>
  </si>
  <si>
    <t>Alexander,B</t>
  </si>
  <si>
    <t>alexabl01</t>
  </si>
  <si>
    <t>Bligh Madris</t>
  </si>
  <si>
    <t>https://sba-cards-2024.s3.us-east-1.amazonaws.com/2024-cards/bligh-madris.png</t>
  </si>
  <si>
    <t>Madris,B</t>
  </si>
  <si>
    <t>madribl01</t>
  </si>
  <si>
    <t>Bo Bichette</t>
  </si>
  <si>
    <t>https://sba-cards-2024.s3.us-east-1.amazonaws.com/2024-cards/bo-bichette.png</t>
  </si>
  <si>
    <t>Bichette,B</t>
  </si>
  <si>
    <t>bichebo01</t>
  </si>
  <si>
    <t>Bo Naylor</t>
  </si>
  <si>
    <t>https://sba-cards-2024.s3.us-east-1.amazonaws.com/2024-cards/bo-naylor.png</t>
  </si>
  <si>
    <t>Naylor,B</t>
  </si>
  <si>
    <t>naylobo01</t>
  </si>
  <si>
    <t>Bobby Dalbec</t>
  </si>
  <si>
    <t>https://sba-cards-2024.s3.us-east-1.amazonaws.com/2024-cards/bobby-dalbec.png</t>
  </si>
  <si>
    <t>Dalbec,B</t>
  </si>
  <si>
    <t>dalbebo01</t>
  </si>
  <si>
    <t>Bobby Miller</t>
  </si>
  <si>
    <t>https://sba-cards-2024.s3.us-east-1.amazonaws.com/2024-cards/bobby-miller.png</t>
  </si>
  <si>
    <t>Miller,Bobby</t>
  </si>
  <si>
    <t>millebo06</t>
  </si>
  <si>
    <t>4p30</t>
  </si>
  <si>
    <t>Bobby Witt Jr</t>
  </si>
  <si>
    <t>https://sba-cards-2024.s3.us-east-1.amazonaws.com/2024-cards/bobby-witt-jr.png</t>
  </si>
  <si>
    <t>Witt Jr,B</t>
  </si>
  <si>
    <t>wittbo02</t>
  </si>
  <si>
    <t>Bowden Francis</t>
  </si>
  <si>
    <t>https://sba-cards-2024.s3.us-east-1.amazonaws.com/2024-cards/bowden-francis.png</t>
  </si>
  <si>
    <t>Francis,B</t>
  </si>
  <si>
    <t>francbo01</t>
  </si>
  <si>
    <t>Brad Keller</t>
  </si>
  <si>
    <t>https://sba-cards-2024.s3.us-east-1.amazonaws.com/2024-cards/brad-keller.png</t>
  </si>
  <si>
    <t>Keller,B</t>
  </si>
  <si>
    <t>kellebr01</t>
  </si>
  <si>
    <t>Braden Shewmake</t>
  </si>
  <si>
    <t>https://sba-cards-2024.s3.us-east-1.amazonaws.com/2024-cards/braden-shewmake.png</t>
  </si>
  <si>
    <t>Shewmake,B</t>
  </si>
  <si>
    <t>shewmbr01</t>
  </si>
  <si>
    <t>Bradley Blalock</t>
  </si>
  <si>
    <t>https://sba-cards-2024.s3.us-east-1.amazonaws.com/2024-cards/bradley-blalock.png</t>
  </si>
  <si>
    <t>Blalock,B</t>
  </si>
  <si>
    <t>blalobr01</t>
  </si>
  <si>
    <t>Brady Singer</t>
  </si>
  <si>
    <t>https://sba-cards-2024.s3.us-east-1.amazonaws.com/2024-cards/brady-singer.png</t>
  </si>
  <si>
    <t>Singer,B</t>
  </si>
  <si>
    <t>singebr01</t>
  </si>
  <si>
    <t>Brandon Bielak</t>
  </si>
  <si>
    <t>https://sba-cards-2024.s3.us-east-1.amazonaws.com/2024-cards/brandon-bielak.png</t>
  </si>
  <si>
    <t>Bielak,B</t>
  </si>
  <si>
    <t>bielabr01</t>
  </si>
  <si>
    <t>Brandon Crawford</t>
  </si>
  <si>
    <t>https://sba-cards-2024.s3.us-east-1.amazonaws.com/2024-cards/brandon-crawford.png</t>
  </si>
  <si>
    <t>Crawford,B</t>
  </si>
  <si>
    <t>crawfbr01</t>
  </si>
  <si>
    <t>Brandon Drury</t>
  </si>
  <si>
    <t>https://sba-cards-2024.s3.us-east-1.amazonaws.com/2024-cards/brandon-drury.png</t>
  </si>
  <si>
    <t>Drury,B</t>
  </si>
  <si>
    <t>drurybr01</t>
  </si>
  <si>
    <t>Brandon Lowe</t>
  </si>
  <si>
    <t>https://sba-cards-2024.s3.us-east-1.amazonaws.com/2024-cards/brandon-lowe.png</t>
  </si>
  <si>
    <t>Lowe,B</t>
  </si>
  <si>
    <t>lowebr01</t>
  </si>
  <si>
    <t>Brandon Marsh</t>
  </si>
  <si>
    <t>https://sba-cards-2024.s3.us-east-1.amazonaws.com/2024-cards/brandon-marsh.png</t>
  </si>
  <si>
    <t>Marsh,B</t>
  </si>
  <si>
    <t>marshbr02</t>
  </si>
  <si>
    <t>Brandon Nimmo</t>
  </si>
  <si>
    <t>https://sba-cards-2024.s3.us-east-1.amazonaws.com/2024-cards/brandon-nimmo.png</t>
  </si>
  <si>
    <t>Nimmo,B</t>
  </si>
  <si>
    <t>nimmobr01</t>
  </si>
  <si>
    <t>Brandon Pfaadt</t>
  </si>
  <si>
    <t>https://sba-cards-2024.s3.us-east-1.amazonaws.com/2024-cards/brandon-pfaadt.png</t>
  </si>
  <si>
    <t>Pfaadt,B</t>
  </si>
  <si>
    <t>pfaadbr01</t>
  </si>
  <si>
    <t>Brant Hurter</t>
  </si>
  <si>
    <t>https://sba-cards-2024.s3.us-east-1.amazonaws.com/2024-cards/brant-hurter.png</t>
  </si>
  <si>
    <t>Hurter,B</t>
  </si>
  <si>
    <t>hurtebr01</t>
  </si>
  <si>
    <t>Braxton Garrett</t>
  </si>
  <si>
    <t>https://sba-cards-2024.s3.us-east-1.amazonaws.com/2024-cards/braxton-garrett.png</t>
  </si>
  <si>
    <t>Garrett,B</t>
  </si>
  <si>
    <t>garrebr01</t>
  </si>
  <si>
    <t>Brayan Bello</t>
  </si>
  <si>
    <t>https://sba-cards-2024.s3.us-east-1.amazonaws.com/2024-cards/brayan-bello.png</t>
  </si>
  <si>
    <t>Bello,B</t>
  </si>
  <si>
    <t>bellobr01</t>
  </si>
  <si>
    <t>Brayan Rocchio</t>
  </si>
  <si>
    <t>https://sba-cards-2024.s3.us-east-1.amazonaws.com/2024-cards/brayan-rocchio.png</t>
  </si>
  <si>
    <t>Rocchio,B</t>
  </si>
  <si>
    <t>rocchbr01</t>
  </si>
  <si>
    <t>Brenan Hanifee</t>
  </si>
  <si>
    <t>https://sba-cards-2024.s3.us-east-1.amazonaws.com/2024-cards/brenan-hanifee.png</t>
  </si>
  <si>
    <t>Hanifee,B</t>
  </si>
  <si>
    <t>hanifbr01</t>
  </si>
  <si>
    <t>Brendan Donovan</t>
  </si>
  <si>
    <t>https://sba-cards-2024.s3.us-east-1.amazonaws.com/2024-cards/brendan-donovan.png</t>
  </si>
  <si>
    <t>https://i.postimg.cc/g0BH6DRT/Donovan-FC.png</t>
  </si>
  <si>
    <t>Donovan,B</t>
  </si>
  <si>
    <t>donovbr01</t>
  </si>
  <si>
    <t>Brendan Rodgers</t>
  </si>
  <si>
    <t>https://sba-cards-2024.s3.us-east-1.amazonaws.com/2024-cards/brendan-rodgers.png</t>
  </si>
  <si>
    <t>Rodgers,B</t>
  </si>
  <si>
    <t>rodgebr02</t>
  </si>
  <si>
    <t>Brendon Little</t>
  </si>
  <si>
    <t>https://sba-cards-2024.s3.us-east-1.amazonaws.com/2024-cards/brendon-little.png</t>
  </si>
  <si>
    <t>Little,B</t>
  </si>
  <si>
    <t>littlbr02</t>
  </si>
  <si>
    <t>Brennan Bernardino</t>
  </si>
  <si>
    <t>https://sba-cards-2024.s3.us-east-1.amazonaws.com/2024-cards/brennan-bernardino.png</t>
  </si>
  <si>
    <t>Bernardino,B</t>
  </si>
  <si>
    <t>bernabr01</t>
  </si>
  <si>
    <t>Brent Honeywell</t>
  </si>
  <si>
    <t>https://sba-cards-2024.s3.us-east-1.amazonaws.com/2024-cards/brent-honeywell.png</t>
  </si>
  <si>
    <t>Honeywell,B</t>
  </si>
  <si>
    <t>honeybr01</t>
  </si>
  <si>
    <t>Brent Rooker</t>
  </si>
  <si>
    <t>https://sba-cards-2024.s3.us-east-1.amazonaws.com/2024-cards/brent-rooker.png</t>
  </si>
  <si>
    <t>Rooker,B</t>
  </si>
  <si>
    <t>rookebr01</t>
  </si>
  <si>
    <t>Brent Suter</t>
  </si>
  <si>
    <t>https://sba-cards-2024.s3.us-east-1.amazonaws.com/2024-cards/brent-suter.png</t>
  </si>
  <si>
    <t>Suter,B</t>
  </si>
  <si>
    <t>suterbr01</t>
  </si>
  <si>
    <t>Brenton Doyle</t>
  </si>
  <si>
    <t>https://sba-cards-2024.s3.us-east-1.amazonaws.com/2024-cards/brenton-doyle.png</t>
  </si>
  <si>
    <t>Doyle,B</t>
  </si>
  <si>
    <t>doylebr02</t>
  </si>
  <si>
    <t>Brett Baty</t>
  </si>
  <si>
    <t>https://sba-cards-2024.s3.us-east-1.amazonaws.com/2024-cards/brett-baty.png</t>
  </si>
  <si>
    <t>Baty,B</t>
  </si>
  <si>
    <t>batybr01</t>
  </si>
  <si>
    <t>Brett Harris</t>
  </si>
  <si>
    <t>https://sba-cards-2024.s3.us-east-1.amazonaws.com/2024-cards/brett-harris.png</t>
  </si>
  <si>
    <t>Harris,B</t>
  </si>
  <si>
    <t>harribr02</t>
  </si>
  <si>
    <t>Brett Wisely</t>
  </si>
  <si>
    <t>https://sba-cards-2024.s3.us-east-1.amazonaws.com/2024-cards/brett-wisely.png</t>
  </si>
  <si>
    <t>Wisely,B</t>
  </si>
  <si>
    <t>wiselbr01</t>
  </si>
  <si>
    <t>Brian Serven</t>
  </si>
  <si>
    <t>https://sba-cards-2024.s3.us-east-1.amazonaws.com/2024-cards/brian-serven.png</t>
  </si>
  <si>
    <t>Serven,B</t>
  </si>
  <si>
    <t>servebr01</t>
  </si>
  <si>
    <t>Brice Turang</t>
  </si>
  <si>
    <t>https://sba-cards-2024.s3.us-east-1.amazonaws.com/2024-cards/brice-turang.png</t>
  </si>
  <si>
    <t>Turang,B</t>
  </si>
  <si>
    <t>turanbr02</t>
  </si>
  <si>
    <t>Brock Burke</t>
  </si>
  <si>
    <t>https://sba-cards-2024.s3.us-east-1.amazonaws.com/2024-cards/brock-burke.png</t>
  </si>
  <si>
    <t>Burke,B</t>
  </si>
  <si>
    <t>burkebr01</t>
  </si>
  <si>
    <t>Brooks Baldwin</t>
  </si>
  <si>
    <t>https://sba-cards-2024.s3.us-east-1.amazonaws.com/2024-cards/brooks-baldwin.png</t>
  </si>
  <si>
    <t>Baldwin,B</t>
  </si>
  <si>
    <t>baldwbr01</t>
  </si>
  <si>
    <t>Brooks Lee</t>
  </si>
  <si>
    <t>https://sba-cards-2024.s3.us-east-1.amazonaws.com/2024-cards/brooks-lee.png</t>
  </si>
  <si>
    <t>Lee,B</t>
  </si>
  <si>
    <t>leebr02</t>
  </si>
  <si>
    <t>Bryan Abreu</t>
  </si>
  <si>
    <t>https://sba-cards-2024.s3.us-east-1.amazonaws.com/2024-cards/bryan-abreu.png</t>
  </si>
  <si>
    <t>Abreu,B</t>
  </si>
  <si>
    <t>abreubr01</t>
  </si>
  <si>
    <t>Bryan Baker</t>
  </si>
  <si>
    <t>https://sba-cards-2024.s3.us-east-1.amazonaws.com/2024-cards/bryan-baker.png</t>
  </si>
  <si>
    <t>Baker,B</t>
  </si>
  <si>
    <t>bakerbr01</t>
  </si>
  <si>
    <t>Bryan De La Cruz</t>
  </si>
  <si>
    <t>https://sba-cards-2024.s3.us-east-1.amazonaws.com/2024-cards/bryan-de-la-cruz.png</t>
  </si>
  <si>
    <t>De La Cruz,B</t>
  </si>
  <si>
    <t>delacbr01</t>
  </si>
  <si>
    <t>Bryan Hoeing</t>
  </si>
  <si>
    <t>https://sba-cards-2024.s3.us-east-1.amazonaws.com/2024-cards/bryan-hoeing.png</t>
  </si>
  <si>
    <t>Hoeing,B</t>
  </si>
  <si>
    <t>hoeinbr01</t>
  </si>
  <si>
    <t>Bryan Hudson</t>
  </si>
  <si>
    <t>https://sba-cards-2024.s3.us-east-1.amazonaws.com/2024-cards/bryan-hudson.png</t>
  </si>
  <si>
    <t>Hudson,B</t>
  </si>
  <si>
    <t>hudsobr01</t>
  </si>
  <si>
    <t>Bryan King</t>
  </si>
  <si>
    <t>https://sba-cards-2024.s3.us-east-1.amazonaws.com/2024-cards/bryan-king.png</t>
  </si>
  <si>
    <t>King,B</t>
  </si>
  <si>
    <t>kingbr02</t>
  </si>
  <si>
    <t>Bryan Ramos</t>
  </si>
  <si>
    <t>https://sba-cards-2024.s3.us-east-1.amazonaws.com/2024-cards/bryan-ramos.png</t>
  </si>
  <si>
    <t>Ramos,B</t>
  </si>
  <si>
    <t>ramosbr01</t>
  </si>
  <si>
    <t>Bryan Reynolds</t>
  </si>
  <si>
    <t>https://sba-cards-2024.s3.us-east-1.amazonaws.com/2024-cards/bryan-reynolds.png</t>
  </si>
  <si>
    <t>Reynolds,B</t>
  </si>
  <si>
    <t>reynobr01</t>
  </si>
  <si>
    <t>Bryan Sammons</t>
  </si>
  <si>
    <t>https://sba-cards-2024.s3.us-east-1.amazonaws.com/2024-cards/bryan-sammons.png</t>
  </si>
  <si>
    <t>Sammons,B</t>
  </si>
  <si>
    <t>sammobr01</t>
  </si>
  <si>
    <t>Bryan Woo</t>
  </si>
  <si>
    <t>https://sba-cards-2024.s3.us-east-1.amazonaws.com/2024-cards/bryan-woo.png</t>
  </si>
  <si>
    <t>w06g2</t>
  </si>
  <si>
    <t>Woo,B</t>
  </si>
  <si>
    <t>woobr01</t>
  </si>
  <si>
    <t>Bryce Elder</t>
  </si>
  <si>
    <t>https://sba-cards-2024.s3.us-east-1.amazonaws.com/2024-cards/bryce-elder.png</t>
  </si>
  <si>
    <t>Elder,B</t>
  </si>
  <si>
    <t>elderbr01</t>
  </si>
  <si>
    <t>Bryce Harper</t>
  </si>
  <si>
    <t>https://sba-cards-2024.s3.us-east-1.amazonaws.com/2024-cards/bryce-harper.png</t>
  </si>
  <si>
    <t>Harper,B</t>
  </si>
  <si>
    <t>harpebr03</t>
  </si>
  <si>
    <t>Bryce Jarvis</t>
  </si>
  <si>
    <t>https://sba-cards-2024.s3.us-east-1.amazonaws.com/2024-cards/bryce-jarvis.png</t>
  </si>
  <si>
    <t>Jarvis,B</t>
  </si>
  <si>
    <t>jarvibr01</t>
  </si>
  <si>
    <t>5p40</t>
  </si>
  <si>
    <t>Bryce Johnson</t>
  </si>
  <si>
    <t>https://sba-cards-2024.s3.us-east-1.amazonaws.com/2024-cards/bryce-johnson.png</t>
  </si>
  <si>
    <t>Johnson,B</t>
  </si>
  <si>
    <t>johnsbr03</t>
  </si>
  <si>
    <t>Bryce Miller</t>
  </si>
  <si>
    <t>https://sba-cards-2024.s3.us-east-1.amazonaws.com/2024-cards/bryce-miller.png</t>
  </si>
  <si>
    <t>Miller,Bryce</t>
  </si>
  <si>
    <t>millebr04</t>
  </si>
  <si>
    <t>Bryse Wilson</t>
  </si>
  <si>
    <t>https://sba-cards-2024.s3.us-east-1.amazonaws.com/2024-cards/bryse-wilson.png</t>
  </si>
  <si>
    <t>Wilson,B</t>
  </si>
  <si>
    <t>wilsobr02</t>
  </si>
  <si>
    <t>Bryson Stott</t>
  </si>
  <si>
    <t>https://sba-cards-2024.s3.us-east-1.amazonaws.com/2024-cards/bryson-stott.png</t>
  </si>
  <si>
    <t>Stott,B</t>
  </si>
  <si>
    <t>stottbr01</t>
  </si>
  <si>
    <t>Buck Farmer</t>
  </si>
  <si>
    <t>https://sba-cards-2024.s3.us-east-1.amazonaws.com/2024-cards/buck-farmer.png</t>
  </si>
  <si>
    <t>Farmer,B</t>
  </si>
  <si>
    <t>farmebu01</t>
  </si>
  <si>
    <t>Burch Smith</t>
  </si>
  <si>
    <t>https://sba-cards-2024.s3.us-east-1.amazonaws.com/2024-cards/burch-smith.png</t>
  </si>
  <si>
    <t>Smith,B</t>
  </si>
  <si>
    <t>smithbu03</t>
  </si>
  <si>
    <t>Byron Buxton</t>
  </si>
  <si>
    <t>https://sba-cards-2024.s3.us-east-1.amazonaws.com/2024-cards/byron-buxton.png</t>
  </si>
  <si>
    <t>NSHIL</t>
  </si>
  <si>
    <t>w06g4</t>
  </si>
  <si>
    <t>https://i.postimg.cc/5tpVj9Pf/buxton-card.gif</t>
  </si>
  <si>
    <t>Buxton,B</t>
  </si>
  <si>
    <t>buxtoby01</t>
  </si>
  <si>
    <t>Cade Povich</t>
  </si>
  <si>
    <t>https://sba-cards-2024.s3.us-east-1.amazonaws.com/2024-cards/cade-povich.png</t>
  </si>
  <si>
    <t>Povich,C</t>
  </si>
  <si>
    <t>povicca01</t>
  </si>
  <si>
    <t>Cade Smith</t>
  </si>
  <si>
    <t>https://sba-cards-2024.s3.us-east-1.amazonaws.com/2024-cards/cade-smith.png</t>
  </si>
  <si>
    <t>Smith,C</t>
  </si>
  <si>
    <t>smithca06</t>
  </si>
  <si>
    <t>Cal Quantrill</t>
  </si>
  <si>
    <t>https://sba-cards-2024.s3.us-east-1.amazonaws.com/2024-cards/cal-quantrill.png</t>
  </si>
  <si>
    <t>Quantrill,C</t>
  </si>
  <si>
    <t>quantca01</t>
  </si>
  <si>
    <t>Cal Raleigh</t>
  </si>
  <si>
    <t>https://sba-cards-2024.s3.us-east-1.amazonaws.com/2024-cards/cal-raleigh.png</t>
  </si>
  <si>
    <t>https://i.postimg.cc/xjPqxdxF/Raleigh-FC.png</t>
  </si>
  <si>
    <t>Raleigh,C</t>
  </si>
  <si>
    <t>raleica01</t>
  </si>
  <si>
    <t>Caleb Ferguson</t>
  </si>
  <si>
    <t>https://sba-cards-2024.s3.us-east-1.amazonaws.com/2024-cards/caleb-ferguson.png</t>
  </si>
  <si>
    <t>Ferguson,C</t>
  </si>
  <si>
    <t>ferguca01</t>
  </si>
  <si>
    <t>Caleb Thielbar</t>
  </si>
  <si>
    <t>https://sba-cards-2024.s3.us-east-1.amazonaws.com/2024-cards/caleb-thielbar.png</t>
  </si>
  <si>
    <t>Thielbar,C</t>
  </si>
  <si>
    <t>thielca01</t>
  </si>
  <si>
    <t>Calvin Faucher</t>
  </si>
  <si>
    <t>https://sba-cards-2024.s3.us-east-1.amazonaws.com/2024-cards/calvin-faucher.png</t>
  </si>
  <si>
    <t>Faucher,C</t>
  </si>
  <si>
    <t>fauchca01</t>
  </si>
  <si>
    <t>Cam Booser</t>
  </si>
  <si>
    <t>https://sba-cards-2024.s3.us-east-1.amazonaws.com/2024-cards/cam-booser.png</t>
  </si>
  <si>
    <t>Booser,C</t>
  </si>
  <si>
    <t>booseca01</t>
  </si>
  <si>
    <t>Camilo Doval</t>
  </si>
  <si>
    <t>https://sba-cards-2024.s3.us-east-1.amazonaws.com/2024-cards/camilo-doval.png</t>
  </si>
  <si>
    <t>Doval,C</t>
  </si>
  <si>
    <t>dovalca01</t>
  </si>
  <si>
    <t>Carlos Carrasco</t>
  </si>
  <si>
    <t>https://sba-cards-2024.s3.us-east-1.amazonaws.com/2024-cards/carlos-carrasco.png</t>
  </si>
  <si>
    <t>Carrasco,C</t>
  </si>
  <si>
    <t>carraca01</t>
  </si>
  <si>
    <t>Carlos Correa</t>
  </si>
  <si>
    <t>https://sba-cards-2024.s3.us-east-1.amazonaws.com/2024-cards/carlos-correa.png</t>
  </si>
  <si>
    <t>Correa,C</t>
  </si>
  <si>
    <t>correca01</t>
  </si>
  <si>
    <t>Carlos Estevez</t>
  </si>
  <si>
    <t>https://sba-cards-2024.s3.us-east-1.amazonaws.com/2024-cards/carlos-estevez.png</t>
  </si>
  <si>
    <t>Estevez,C</t>
  </si>
  <si>
    <t>estevca01</t>
  </si>
  <si>
    <t>Carlos Hernandez</t>
  </si>
  <si>
    <t>https://sba-cards-2024.s3.us-east-1.amazonaws.com/2024-cards/carlos-hernandez.png</t>
  </si>
  <si>
    <t>Hernandez,C</t>
  </si>
  <si>
    <t>hernaca04</t>
  </si>
  <si>
    <t>Carlos Rodon</t>
  </si>
  <si>
    <t>https://sba-cards-2024.s3.us-east-1.amazonaws.com/2024-cards/carlos-rodon.png</t>
  </si>
  <si>
    <t>Rodon,C</t>
  </si>
  <si>
    <t>rodonca01</t>
  </si>
  <si>
    <t>Carlos Santana</t>
  </si>
  <si>
    <t>https://sba-cards-2024.s3.us-east-1.amazonaws.com/2024-cards/carlos-santana.png</t>
  </si>
  <si>
    <t>Santana,C</t>
  </si>
  <si>
    <t>santaca01</t>
  </si>
  <si>
    <t>Carmen Mlodzinski</t>
  </si>
  <si>
    <t>https://sba-cards-2024.s3.us-east-1.amazonaws.com/2024-cards/carmen-mlodzinski.png</t>
  </si>
  <si>
    <t>Mlodzinski,C</t>
  </si>
  <si>
    <t>mlodzca01</t>
  </si>
  <si>
    <t>Carson Fulmer</t>
  </si>
  <si>
    <t>https://sba-cards-2024.s3.us-east-1.amazonaws.com/2024-cards/carson-fulmer.png</t>
  </si>
  <si>
    <t>Fulmer,C</t>
  </si>
  <si>
    <t>fulmeca01</t>
  </si>
  <si>
    <t>Carson Kelly</t>
  </si>
  <si>
    <t>https://sba-cards-2024.s3.us-east-1.amazonaws.com/2024-cards/carson-kelly.png</t>
  </si>
  <si>
    <t>https://i.postimg.cc/fLJ5HFDk/Kelly-FC.png</t>
  </si>
  <si>
    <t>Kelly,C</t>
  </si>
  <si>
    <t>kellyca02</t>
  </si>
  <si>
    <t>Carson Spiers</t>
  </si>
  <si>
    <t>https://sba-cards-2024.s3.us-east-1.amazonaws.com/2024-cards/carson-spiers.png</t>
  </si>
  <si>
    <t>Spiers,C</t>
  </si>
  <si>
    <t>spierca01</t>
  </si>
  <si>
    <t>Casey Mize</t>
  </si>
  <si>
    <t>https://sba-cards-2024.s3.us-east-1.amazonaws.com/2024-cards/casey-mize.png</t>
  </si>
  <si>
    <t>Mize,C</t>
  </si>
  <si>
    <t>mizeca01</t>
  </si>
  <si>
    <t>Casey Schmitt</t>
  </si>
  <si>
    <t>https://sba-cards-2024.s3.us-east-1.amazonaws.com/2024-cards/casey-schmitt.png</t>
  </si>
  <si>
    <t>Schmitt,C</t>
  </si>
  <si>
    <t>schmica01</t>
  </si>
  <si>
    <t>Cavan Biggio</t>
  </si>
  <si>
    <t>https://sba-cards-2024.s3.us-east-1.amazonaws.com/2024-cards/cavan-biggio.png</t>
  </si>
  <si>
    <t>Biggio,C</t>
  </si>
  <si>
    <t>biggica01</t>
  </si>
  <si>
    <t>Ceddanne Rafaela</t>
  </si>
  <si>
    <t>https://sba-cards-2024.s3.us-east-1.amazonaws.com/2024-cards/ceddanne-rafaela.png</t>
  </si>
  <si>
    <t>Rafaela,C</t>
  </si>
  <si>
    <t>rafaece01</t>
  </si>
  <si>
    <t>Cedric Mullins</t>
  </si>
  <si>
    <t>https://sba-cards-2024.s3.us-east-1.amazonaws.com/2024-cards/cedric-mullins.png</t>
  </si>
  <si>
    <t>Mullins,C</t>
  </si>
  <si>
    <t>mullice01</t>
  </si>
  <si>
    <t>Chad Green</t>
  </si>
  <si>
    <t>https://sba-cards-2024.s3.us-east-1.amazonaws.com/2024-cards/chad-green.png</t>
  </si>
  <si>
    <t>Green,C</t>
  </si>
  <si>
    <t>greench03</t>
  </si>
  <si>
    <t>Chad Kuhl</t>
  </si>
  <si>
    <t>https://sba-cards-2024.s3.us-east-1.amazonaws.com/2024-cards/chad-kuhl.png</t>
  </si>
  <si>
    <t>Kuhl,C</t>
  </si>
  <si>
    <t>kuhlch01</t>
  </si>
  <si>
    <t>Charlie Blackmon</t>
  </si>
  <si>
    <t>https://sba-cards-2024.s3.us-east-1.amazonaws.com/2024-cards/charlie-blackmon.png</t>
  </si>
  <si>
    <t>Blackmon,C</t>
  </si>
  <si>
    <t>blackch02</t>
  </si>
  <si>
    <t>Charlie Morton</t>
  </si>
  <si>
    <t>https://sba-cards-2024.s3.us-east-1.amazonaws.com/2024-cards/charlie-morton.png</t>
  </si>
  <si>
    <t>Morton,C</t>
  </si>
  <si>
    <t>mortoch02</t>
  </si>
  <si>
    <t>Chas McCormick</t>
  </si>
  <si>
    <t>https://sba-cards-2024.s3.us-east-1.amazonaws.com/2024-cards/chas-mccormick.png</t>
  </si>
  <si>
    <t>McCormick,C</t>
  </si>
  <si>
    <t>mccorch01</t>
  </si>
  <si>
    <t>Chase Anderson</t>
  </si>
  <si>
    <t>https://sba-cards-2024.s3.us-east-1.amazonaws.com/2024-cards/chase-anderson.png</t>
  </si>
  <si>
    <t>Anderson,C</t>
  </si>
  <si>
    <t>anderch01</t>
  </si>
  <si>
    <t>Chris Bassitt</t>
  </si>
  <si>
    <t>https://sba-cards-2024.s3.us-east-1.amazonaws.com/2024-cards/chris-bassitt.png</t>
  </si>
  <si>
    <t>Bassitt,C</t>
  </si>
  <si>
    <t>bassich01</t>
  </si>
  <si>
    <t>Chris Devenski</t>
  </si>
  <si>
    <t>https://sba-cards-2024.s3.us-east-1.amazonaws.com/2024-cards/chris-devenski.png</t>
  </si>
  <si>
    <t>Devenski,C</t>
  </si>
  <si>
    <t>devench02</t>
  </si>
  <si>
    <t>Chris Flexen</t>
  </si>
  <si>
    <t>https://sba-cards-2024.s3.us-east-1.amazonaws.com/2024-cards/chris-flexen.png</t>
  </si>
  <si>
    <t>Flexen,C</t>
  </si>
  <si>
    <t>flexech01</t>
  </si>
  <si>
    <t>Chris Martin</t>
  </si>
  <si>
    <t>https://sba-cards-2024.s3.us-east-1.amazonaws.com/2024-cards/chris-martin.png</t>
  </si>
  <si>
    <t>Martin,C</t>
  </si>
  <si>
    <t>martich02</t>
  </si>
  <si>
    <t>Chris Paddack</t>
  </si>
  <si>
    <t>https://sba-cards-2024.s3.us-east-1.amazonaws.com/2024-cards/chris-paddack.png</t>
  </si>
  <si>
    <t>Paddack,C</t>
  </si>
  <si>
    <t>paddach01</t>
  </si>
  <si>
    <t>Chris Roycroft</t>
  </si>
  <si>
    <t>https://sba-cards-2024.s3.us-east-1.amazonaws.com/2024-cards/chris-roycroft.png</t>
  </si>
  <si>
    <t>Roycroft,C</t>
  </si>
  <si>
    <t>roycrch01</t>
  </si>
  <si>
    <t>Chris Sale</t>
  </si>
  <si>
    <t>https://sba-cards-2024.s3.us-east-1.amazonaws.com/2024-cards/chris-sale.png</t>
  </si>
  <si>
    <t>Sale,C</t>
  </si>
  <si>
    <t>salech01</t>
  </si>
  <si>
    <t>Chris Stratton</t>
  </si>
  <si>
    <t>https://sba-cards-2024.s3.us-east-1.amazonaws.com/2024-cards/chris-stratton.png</t>
  </si>
  <si>
    <t>Stratton,C</t>
  </si>
  <si>
    <t>stratch01</t>
  </si>
  <si>
    <t>Chris Taylor</t>
  </si>
  <si>
    <t>https://sba-cards-2024.s3.us-east-1.amazonaws.com/2024-cards/chris-taylor.png</t>
  </si>
  <si>
    <t>Taylor,C</t>
  </si>
  <si>
    <t>tayloch03</t>
  </si>
  <si>
    <t>Christian Bethancourt</t>
  </si>
  <si>
    <t>https://sba-cards-2024.s3.us-east-1.amazonaws.com/2024-cards/christian-bethancourt.png</t>
  </si>
  <si>
    <t>Bethancourt,C</t>
  </si>
  <si>
    <t>bethach01</t>
  </si>
  <si>
    <t>Christian Encarnacion Strand</t>
  </si>
  <si>
    <t>https://sba-cards-2024.s3.us-east-1.amazonaws.com/2024-cards/christian-encarnacion-strand.png</t>
  </si>
  <si>
    <t>Encarnacion,C</t>
  </si>
  <si>
    <t>encarch01</t>
  </si>
  <si>
    <t>Christian Scott</t>
  </si>
  <si>
    <t>https://sba-cards-2024.s3.us-east-1.amazonaws.com/2024-cards/christian-scott.png</t>
  </si>
  <si>
    <t>Scott,C</t>
  </si>
  <si>
    <t>scottch01</t>
  </si>
  <si>
    <t>Christian Vazquez</t>
  </si>
  <si>
    <t>https://sba-cards-2024.s3.us-east-1.amazonaws.com/2024-cards/christian-vazquez.png</t>
  </si>
  <si>
    <t>Vazquez,C</t>
  </si>
  <si>
    <t>vazquch01</t>
  </si>
  <si>
    <t>Christian Walker</t>
  </si>
  <si>
    <t>https://sba-cards-2024.s3.us-east-1.amazonaws.com/2024-cards/christian-walker.png</t>
  </si>
  <si>
    <t>Walker,C</t>
  </si>
  <si>
    <t>walkech02</t>
  </si>
  <si>
    <t>Christian Yelich</t>
  </si>
  <si>
    <t>https://sba-cards-2024.s3.us-east-1.amazonaws.com/2024-cards/christian-yelich.png</t>
  </si>
  <si>
    <t>Yelich,C</t>
  </si>
  <si>
    <t>yelicch01</t>
  </si>
  <si>
    <t>Christopher Morel</t>
  </si>
  <si>
    <t>https://sba-cards-2024.s3.us-east-1.amazonaws.com/2024-cards/christopher-morel.png</t>
  </si>
  <si>
    <t>Morel,C</t>
  </si>
  <si>
    <t>morelch01</t>
  </si>
  <si>
    <t>Chuckie Robinson</t>
  </si>
  <si>
    <t>https://sba-cards-2024.s3.us-east-1.amazonaws.com/2024-cards/chuckie-robinson.png</t>
  </si>
  <si>
    <t>Robinson,C</t>
  </si>
  <si>
    <t>robinch04</t>
  </si>
  <si>
    <t>Cionel Perez</t>
  </si>
  <si>
    <t>https://sba-cards-2024.s3.us-east-1.amazonaws.com/2024-cards/cionel-perez.png</t>
  </si>
  <si>
    <t>Perez,C</t>
  </si>
  <si>
    <t>perezci01</t>
  </si>
  <si>
    <t>CJ Abrams</t>
  </si>
  <si>
    <t>https://sba-cards-2024.s3.us-east-1.amazonaws.com/2024-cards/cj-abrams.png</t>
  </si>
  <si>
    <t>MDWMiL</t>
  </si>
  <si>
    <t>Abrams,C</t>
  </si>
  <si>
    <t>abramcj01</t>
  </si>
  <si>
    <t>Clarke Schmidt</t>
  </si>
  <si>
    <t>https://sba-cards-2024.s3.us-east-1.amazonaws.com/2024-cards/clarke-schmidt.png</t>
  </si>
  <si>
    <t>CYPMiL</t>
  </si>
  <si>
    <t>Schmidt,C</t>
  </si>
  <si>
    <t>schmicl01</t>
  </si>
  <si>
    <t>Clay Holmes</t>
  </si>
  <si>
    <t>https://sba-cards-2024.s3.us-east-1.amazonaws.com/2024-cards/clay-holmes.png</t>
  </si>
  <si>
    <t>Holmes,C</t>
  </si>
  <si>
    <t>holmecl01</t>
  </si>
  <si>
    <t>Clayton Kershaw</t>
  </si>
  <si>
    <t>https://sba-cards-2024.s3.us-east-1.amazonaws.com/2024-cards/clayton-kershaw.png</t>
  </si>
  <si>
    <t>Kershaw,C</t>
  </si>
  <si>
    <t>kershcl01</t>
  </si>
  <si>
    <t>Cody Bellinger</t>
  </si>
  <si>
    <t>https://sba-cards-2024.s3.us-east-1.amazonaws.com/2024-cards/cody-bellinger.png</t>
  </si>
  <si>
    <t>Bellinger,C</t>
  </si>
  <si>
    <t>bellico01</t>
  </si>
  <si>
    <t>Cody Bradford</t>
  </si>
  <si>
    <t>https://sba-cards-2024.s3.us-east-1.amazonaws.com/2024-cards/cody-bradford.png</t>
  </si>
  <si>
    <t>Bradford,C</t>
  </si>
  <si>
    <t>bradfco01</t>
  </si>
  <si>
    <t>Cole Irvin</t>
  </si>
  <si>
    <t>https://sba-cards-2024.s3.us-east-1.amazonaws.com/2024-cards/cole-irvin.png</t>
  </si>
  <si>
    <t>Irvin,C</t>
  </si>
  <si>
    <t>irvinco01</t>
  </si>
  <si>
    <t>Cole Ragans</t>
  </si>
  <si>
    <t>https://sba-cards-2024.s3.us-east-1.amazonaws.com/2024-cards/cole-ragans.png</t>
  </si>
  <si>
    <t>Ragans,C</t>
  </si>
  <si>
    <t>raganco01</t>
  </si>
  <si>
    <t>Cole Sands</t>
  </si>
  <si>
    <t>https://sba-cards-2024.s3.us-east-1.amazonaws.com/2024-cards/cole-sands.png</t>
  </si>
  <si>
    <t>Sands,C</t>
  </si>
  <si>
    <t>sandsco01</t>
  </si>
  <si>
    <t>Colin Holderman</t>
  </si>
  <si>
    <t>https://sba-cards-2024.s3.us-east-1.amazonaws.com/2024-cards/colin-holderman.png</t>
  </si>
  <si>
    <t>Holderman,C</t>
  </si>
  <si>
    <t>holdeco01</t>
  </si>
  <si>
    <t>Colin Poche</t>
  </si>
  <si>
    <t>https://sba-cards-2024.s3.us-east-1.amazonaws.com/2024-cards/colin-poche.png</t>
  </si>
  <si>
    <t>Poche,C</t>
  </si>
  <si>
    <t>pocheco01</t>
  </si>
  <si>
    <t>Colin Rea</t>
  </si>
  <si>
    <t>https://sba-cards-2024.s3.us-east-1.amazonaws.com/2024-cards/colin-rea.png</t>
  </si>
  <si>
    <t>Rea,C</t>
  </si>
  <si>
    <t>reaco01</t>
  </si>
  <si>
    <t>Collin Snider</t>
  </si>
  <si>
    <t>https://sba-cards-2024.s3.us-east-1.amazonaws.com/2024-cards/collin-snider.png</t>
  </si>
  <si>
    <t>Snider,C</t>
  </si>
  <si>
    <t>snideco01</t>
  </si>
  <si>
    <t>Colt Keith</t>
  </si>
  <si>
    <t>https://sba-cards-2024.s3.us-east-1.amazonaws.com/2024-cards/colt-keith.png</t>
  </si>
  <si>
    <t>Keith,C</t>
  </si>
  <si>
    <t>keithco01</t>
  </si>
  <si>
    <t>Colten Brewer</t>
  </si>
  <si>
    <t>https://sba-cards-2024.s3.us-east-1.amazonaws.com/2024-cards/colten-brewer.png</t>
  </si>
  <si>
    <t>Brewer,C</t>
  </si>
  <si>
    <t>breweco01</t>
  </si>
  <si>
    <t>Colton Cowser</t>
  </si>
  <si>
    <t>https://sba-cards-2024.s3.us-east-1.amazonaws.com/2024-cards/colton-cowser.png</t>
  </si>
  <si>
    <t>Cowser,C</t>
  </si>
  <si>
    <t>cowseco01</t>
  </si>
  <si>
    <t>Connor Joe</t>
  </si>
  <si>
    <t>https://sba-cards-2024.s3.us-east-1.amazonaws.com/2024-cards/connor-joe.png</t>
  </si>
  <si>
    <t>Joe,C</t>
  </si>
  <si>
    <t>joeco01</t>
  </si>
  <si>
    <t>Connor Norby</t>
  </si>
  <si>
    <t>https://sba-cards-2024.s3.us-east-1.amazonaws.com/2024-cards/connor-norby.png</t>
  </si>
  <si>
    <t>Norby,C</t>
  </si>
  <si>
    <t>norbyco01</t>
  </si>
  <si>
    <t>Connor Wong</t>
  </si>
  <si>
    <t>https://sba-cards-2024.s3.us-east-1.amazonaws.com/2024-cards/connor-wong.png</t>
  </si>
  <si>
    <t>Wong,C</t>
  </si>
  <si>
    <t>wongco01</t>
  </si>
  <si>
    <t>Cooper Criswell</t>
  </si>
  <si>
    <t>https://sba-cards-2024.s3.us-east-1.amazonaws.com/2024-cards/cooper-criswell.png</t>
  </si>
  <si>
    <t>Criswell,C</t>
  </si>
  <si>
    <t>criswco01</t>
  </si>
  <si>
    <t>Corbin Burnes</t>
  </si>
  <si>
    <t>https://sba-cards-2024.s3.us-east-1.amazonaws.com/2024-cards/corbin-burnes.png</t>
  </si>
  <si>
    <t>Burnes,C</t>
  </si>
  <si>
    <t>burneco01</t>
  </si>
  <si>
    <t>Corbin Carroll</t>
  </si>
  <si>
    <t>https://sba-cards-2024.s3.us-east-1.amazonaws.com/2024-cards/corbin-carroll.png</t>
  </si>
  <si>
    <t>https://i.postimg.cc/ydRMNNsq/carroll_card2.gif</t>
  </si>
  <si>
    <t>Carroll,C</t>
  </si>
  <si>
    <t>carroco02</t>
  </si>
  <si>
    <t>Corey Julks</t>
  </si>
  <si>
    <t>https://sba-cards-2024.s3.us-east-1.amazonaws.com/2024-cards/corey-julks.png</t>
  </si>
  <si>
    <t>Julks,C</t>
  </si>
  <si>
    <t>julksco01</t>
  </si>
  <si>
    <t>Corey Seager</t>
  </si>
  <si>
    <t>https://sba-cards-2024.s3.us-east-1.amazonaws.com/2024-cards/corey-seager.png</t>
  </si>
  <si>
    <t>Seager,C</t>
  </si>
  <si>
    <t>seageco01</t>
  </si>
  <si>
    <t>Craig Kimbrel</t>
  </si>
  <si>
    <t>https://sba-cards-2024.s3.us-east-1.amazonaws.com/2024-cards/craig-kimbrel.png</t>
  </si>
  <si>
    <t>Kimbrel,C</t>
  </si>
  <si>
    <t>kimbrcr01</t>
  </si>
  <si>
    <t>Cristian Javier</t>
  </si>
  <si>
    <t>https://sba-cards-2024.s3.us-east-1.amazonaws.com/2024-cards/cristian-javier.png</t>
  </si>
  <si>
    <t>Javier,C</t>
  </si>
  <si>
    <t>javiecr01</t>
  </si>
  <si>
    <t>Cristian Pache</t>
  </si>
  <si>
    <t>https://sba-cards-2024.s3.us-east-1.amazonaws.com/2024-cards/cristian-pache.png</t>
  </si>
  <si>
    <t>Pache,C</t>
  </si>
  <si>
    <t>pachecr01</t>
  </si>
  <si>
    <t>Cristopher Sanchez</t>
  </si>
  <si>
    <t>https://sba-cards-2024.s3.us-east-1.amazonaws.com/2024-cards/cristopher-sanchez.png</t>
  </si>
  <si>
    <t>Sanchez,C</t>
  </si>
  <si>
    <t>sanchcr01</t>
  </si>
  <si>
    <t>Curt Casali</t>
  </si>
  <si>
    <t>https://sba-cards-2024.s3.us-east-1.amazonaws.com/2024-cards/curt-casali.png</t>
  </si>
  <si>
    <t>Casali,C</t>
  </si>
  <si>
    <t>casalcu01</t>
  </si>
  <si>
    <t>Curtis Mead</t>
  </si>
  <si>
    <t>https://sba-cards-2024.s3.us-east-1.amazonaws.com/2024-cards/curtis-mead.png</t>
  </si>
  <si>
    <t>Mead,C</t>
  </si>
  <si>
    <t>meadcu01</t>
  </si>
  <si>
    <t>Dairon Blanco</t>
  </si>
  <si>
    <t>https://sba-cards-2024.s3.us-east-1.amazonaws.com/2024-cards/dairon-blanco.png</t>
  </si>
  <si>
    <t>Blanco,D</t>
  </si>
  <si>
    <t>blancda02</t>
  </si>
  <si>
    <t>Dakota Hudson</t>
  </si>
  <si>
    <t>https://sba-cards-2024.s3.us-east-1.amazonaws.com/2024-cards/dakota-hudson.png</t>
  </si>
  <si>
    <t>Hudson,Dk</t>
  </si>
  <si>
    <t>hudsoda02</t>
  </si>
  <si>
    <t>Dane Dunning</t>
  </si>
  <si>
    <t>https://sba-cards-2024.s3.us-east-1.amazonaws.com/2024-cards/dane-dunning.png</t>
  </si>
  <si>
    <t>Dunning,D</t>
  </si>
  <si>
    <t>dunnida01</t>
  </si>
  <si>
    <t>Dane Myers</t>
  </si>
  <si>
    <t>https://sba-cards-2024.s3.us-east-1.amazonaws.com/2024-cards/dane-myers.png</t>
  </si>
  <si>
    <t>Myers,D</t>
  </si>
  <si>
    <t>myersda01</t>
  </si>
  <si>
    <t>Daniel Coulombe</t>
  </si>
  <si>
    <t>https://sba-cards-2024.s3.us-east-1.amazonaws.com/2024-cards/daniel-coulombe.png</t>
  </si>
  <si>
    <t>Coulombe,D</t>
  </si>
  <si>
    <t>couloda01</t>
  </si>
  <si>
    <t>Daniel Hudson</t>
  </si>
  <si>
    <t>https://sba-cards-2024.s3.us-east-1.amazonaws.com/2024-cards/daniel-hudson.png</t>
  </si>
  <si>
    <t>Hudson,Dn</t>
  </si>
  <si>
    <t>hudsoda01</t>
  </si>
  <si>
    <t>Daniel Lynch</t>
  </si>
  <si>
    <t>https://sba-cards-2024.s3.us-east-1.amazonaws.com/2024-cards/daniel-lynch.png</t>
  </si>
  <si>
    <t>THEMiL</t>
  </si>
  <si>
    <t>Lynch,D</t>
  </si>
  <si>
    <t>lynchda02</t>
  </si>
  <si>
    <t>Daniel Schneemann</t>
  </si>
  <si>
    <t>https://sba-cards-2024.s3.us-east-1.amazonaws.com/2024-cards/daniel-schneemann.png</t>
  </si>
  <si>
    <t>Schneemann,D</t>
  </si>
  <si>
    <t>schneda04</t>
  </si>
  <si>
    <t>Daniel Vogelbach</t>
  </si>
  <si>
    <t>https://sba-cards-2024.s3.us-east-1.amazonaws.com/2024-cards/daniel-vogelbach.png</t>
  </si>
  <si>
    <t>Vogelbach,D</t>
  </si>
  <si>
    <t>vogelda01</t>
  </si>
  <si>
    <t>Danny Jansen</t>
  </si>
  <si>
    <t>https://sba-cards-2024.s3.us-east-1.amazonaws.com/2024-cards/danny-jansen.png</t>
  </si>
  <si>
    <t>Jansen,D</t>
  </si>
  <si>
    <t>janseda01</t>
  </si>
  <si>
    <t>Danny Mendick</t>
  </si>
  <si>
    <t>https://sba-cards-2024.s3.us-east-1.amazonaws.com/2024-cards/danny-mendick.png</t>
  </si>
  <si>
    <t>Mendick,D</t>
  </si>
  <si>
    <t>mendida01</t>
  </si>
  <si>
    <t>Danny Young</t>
  </si>
  <si>
    <t>https://sba-cards-2024.s3.us-east-1.amazonaws.com/2024-cards/danny-young.png</t>
  </si>
  <si>
    <t>Young,D</t>
  </si>
  <si>
    <t>youngda02</t>
  </si>
  <si>
    <t>Dansby Swanson</t>
  </si>
  <si>
    <t>https://sba-cards-2024.s3.us-east-1.amazonaws.com/2024-cards/dansby-swanson.png</t>
  </si>
  <si>
    <t>Swanson,D</t>
  </si>
  <si>
    <t>swansda01</t>
  </si>
  <si>
    <t>Dany Jimenez</t>
  </si>
  <si>
    <t>https://sba-cards-2024.s3.us-east-1.amazonaws.com/2024-cards/dany-jimenez.png</t>
  </si>
  <si>
    <t>Jimenez,D</t>
  </si>
  <si>
    <t>jimenda01</t>
  </si>
  <si>
    <t>Darell Hernaiz</t>
  </si>
  <si>
    <t>https://sba-cards-2024.s3.us-east-1.amazonaws.com/2024-cards/darell-hernaiz.png</t>
  </si>
  <si>
    <t>Hernaiz,D</t>
  </si>
  <si>
    <t>hernada04</t>
  </si>
  <si>
    <t>Darren McCaughan</t>
  </si>
  <si>
    <t>https://sba-cards-2024.s3.us-east-1.amazonaws.com/2024-cards/darren-mccaughan.png</t>
  </si>
  <si>
    <t>McCaughan,D</t>
  </si>
  <si>
    <t>mccauda01</t>
  </si>
  <si>
    <t>Daulton Varsho</t>
  </si>
  <si>
    <t>https://sba-cards-2024.s3.us-east-1.amazonaws.com/2024-cards/daulton-varsho.png</t>
  </si>
  <si>
    <t>Varsho,D</t>
  </si>
  <si>
    <t>varshda01</t>
  </si>
  <si>
    <t>David Bednar</t>
  </si>
  <si>
    <t>https://sba-cards-2024.s3.us-east-1.amazonaws.com/2024-cards/david-bednar.png</t>
  </si>
  <si>
    <t>Bednar,D</t>
  </si>
  <si>
    <t>bednada01</t>
  </si>
  <si>
    <t>David Dahl</t>
  </si>
  <si>
    <t>https://sba-cards-2024.s3.us-east-1.amazonaws.com/2024-cards/david-dahl.png</t>
  </si>
  <si>
    <t>Dahl,D</t>
  </si>
  <si>
    <t>dahlda01</t>
  </si>
  <si>
    <t>David Festa</t>
  </si>
  <si>
    <t>https://sba-cards-2024.s3.us-east-1.amazonaws.com/2024-cards/david-festa.png</t>
  </si>
  <si>
    <t>Festa,D</t>
  </si>
  <si>
    <t>festada01</t>
  </si>
  <si>
    <t>https://sba-cards-2024.s3.us-east-1.amazonaws.com/2024-cards/david-fry.png</t>
  </si>
  <si>
    <t>Fry,D</t>
  </si>
  <si>
    <t>fryda01</t>
  </si>
  <si>
    <t>David Hamilton</t>
  </si>
  <si>
    <t>https://sba-cards-2024.s3.us-east-1.amazonaws.com/2024-cards/david-hamilton.png</t>
  </si>
  <si>
    <t>Hamilton,D</t>
  </si>
  <si>
    <t>hamilda03</t>
  </si>
  <si>
    <t>David Peralta</t>
  </si>
  <si>
    <t>https://sba-cards-2024.s3.us-east-1.amazonaws.com/2024-cards/david-peralta.png</t>
  </si>
  <si>
    <t>DALMiL</t>
  </si>
  <si>
    <t>Peralta,D</t>
  </si>
  <si>
    <t>peralda01</t>
  </si>
  <si>
    <t>David Peterson</t>
  </si>
  <si>
    <t>https://sba-cards-2024.s3.us-east-1.amazonaws.com/2024-cards/david-peterson.png</t>
  </si>
  <si>
    <t>Peterson,D</t>
  </si>
  <si>
    <t>peterda01</t>
  </si>
  <si>
    <t>David Robertson</t>
  </si>
  <si>
    <t>https://sba-cards-2024.s3.us-east-1.amazonaws.com/2024-cards/david-robertson.png</t>
  </si>
  <si>
    <t>Robertson,D</t>
  </si>
  <si>
    <t>roberda08</t>
  </si>
  <si>
    <t>Davis Daniel</t>
  </si>
  <si>
    <t>https://sba-cards-2024.s3.us-east-1.amazonaws.com/2024-cards/davis-daniel.png</t>
  </si>
  <si>
    <t>Daniel,D</t>
  </si>
  <si>
    <t>danieda01</t>
  </si>
  <si>
    <t>Davis Martin</t>
  </si>
  <si>
    <t>https://sba-cards-2024.s3.us-east-1.amazonaws.com/2024-cards/davis-martin.png</t>
  </si>
  <si>
    <t>Martin,D</t>
  </si>
  <si>
    <t>martida03</t>
  </si>
  <si>
    <t>Davis Schneider</t>
  </si>
  <si>
    <t>https://sba-cards-2024.s3.us-east-1.amazonaws.com/2024-cards/davis-schneider.png</t>
  </si>
  <si>
    <t>Schneider,D</t>
  </si>
  <si>
    <t>schneda03</t>
  </si>
  <si>
    <t>Daz Cameron</t>
  </si>
  <si>
    <t>https://sba-cards-2024.s3.us-east-1.amazonaws.com/2024-cards/daz-cameron.png</t>
  </si>
  <si>
    <t>Cameron,D</t>
  </si>
  <si>
    <t>camerda01</t>
  </si>
  <si>
    <t>Dean Kremer</t>
  </si>
  <si>
    <t>https://sba-cards-2024.s3.us-east-1.amazonaws.com/2024-cards/dean-kremer.png</t>
  </si>
  <si>
    <t>Kremer,D</t>
  </si>
  <si>
    <t>kremede01</t>
  </si>
  <si>
    <t>2p65</t>
  </si>
  <si>
    <t>Declan Cronin</t>
  </si>
  <si>
    <t>https://sba-cards-2024.s3.us-east-1.amazonaws.com/2024-cards/declan-cronin.png</t>
  </si>
  <si>
    <t>Cronin,D</t>
  </si>
  <si>
    <t>cronide01</t>
  </si>
  <si>
    <t>Dedniel Nunez</t>
  </si>
  <si>
    <t>https://sba-cards-2024.s3.us-east-1.amazonaws.com/2024-cards/dedniel-nunez.png</t>
  </si>
  <si>
    <t>Nunez,D</t>
  </si>
  <si>
    <t>nunezde01</t>
  </si>
  <si>
    <t>Dennis Santana</t>
  </si>
  <si>
    <t>https://sba-cards-2024.s3.us-east-1.amazonaws.com/2024-cards/dennis-santana.png</t>
  </si>
  <si>
    <t>Santana,D</t>
  </si>
  <si>
    <t>santade01</t>
  </si>
  <si>
    <t>Derek Hill</t>
  </si>
  <si>
    <t>https://sba-cards-2024.s3.us-east-1.amazonaws.com/2024-cards/derek-hill.png</t>
  </si>
  <si>
    <t>Hill,D</t>
  </si>
  <si>
    <t>hillde01</t>
  </si>
  <si>
    <t>Derek Law</t>
  </si>
  <si>
    <t>https://sba-cards-2024.s3.us-east-1.amazonaws.com/2024-cards/derek-law.png</t>
  </si>
  <si>
    <t>Law,D</t>
  </si>
  <si>
    <t>lawde01</t>
  </si>
  <si>
    <t>Devin Williams</t>
  </si>
  <si>
    <t>https://sba-cards-2024.s3.us-east-1.amazonaws.com/2024-cards/devin-williams.png</t>
  </si>
  <si>
    <t>w05g4</t>
  </si>
  <si>
    <t>Williams,D</t>
  </si>
  <si>
    <t>willide03</t>
  </si>
  <si>
    <t>Dillon Dingler</t>
  </si>
  <si>
    <t>https://sba-cards-2024.s3.us-east-1.amazonaws.com/2024-cards/dillon-dingler.png</t>
  </si>
  <si>
    <t>Dingler,D</t>
  </si>
  <si>
    <t>dingldi01</t>
  </si>
  <si>
    <t>Dillon Tate</t>
  </si>
  <si>
    <t>https://sba-cards-2024.s3.us-east-1.amazonaws.com/2024-cards/dillon-tate.png</t>
  </si>
  <si>
    <t>Tate,D</t>
  </si>
  <si>
    <t>tatedi01</t>
  </si>
  <si>
    <t>DJ Herz</t>
  </si>
  <si>
    <t>https://sba-cards-2024.s3.us-east-1.amazonaws.com/2024-cards/dj-herz.png</t>
  </si>
  <si>
    <t>Herz,D</t>
  </si>
  <si>
    <t>herzdj01</t>
  </si>
  <si>
    <t>DJ LeMahieu</t>
  </si>
  <si>
    <t>https://sba-cards-2024.s3.us-east-1.amazonaws.com/2024-cards/dj-lemahieu.png</t>
  </si>
  <si>
    <t>MKEMiL</t>
  </si>
  <si>
    <t>Lemahieu,D</t>
  </si>
  <si>
    <t>lemahdj01</t>
  </si>
  <si>
    <t>DJ Stewart</t>
  </si>
  <si>
    <t>https://sba-cards-2024.s3.us-east-1.amazonaws.com/2024-cards/dj-stewart.png</t>
  </si>
  <si>
    <t>Stewart,D</t>
  </si>
  <si>
    <t>stewadj01</t>
  </si>
  <si>
    <t>DL Hall</t>
  </si>
  <si>
    <t>https://sba-cards-2024.s3.us-east-1.amazonaws.com/2024-cards/dl-hall.png</t>
  </si>
  <si>
    <t>Hall,D</t>
  </si>
  <si>
    <t>halldl01</t>
  </si>
  <si>
    <t>Dominic Canzone</t>
  </si>
  <si>
    <t>https://sba-cards-2024.s3.us-east-1.amazonaws.com/2024-cards/dominic-canzone.png</t>
  </si>
  <si>
    <t>DENMiL</t>
  </si>
  <si>
    <t>Canzone,D</t>
  </si>
  <si>
    <t>canzodo01</t>
  </si>
  <si>
    <t>Dominic Fletcher</t>
  </si>
  <si>
    <t>https://sba-cards-2024.s3.us-east-1.amazonaws.com/2024-cards/dominic-fletcher.png</t>
  </si>
  <si>
    <t>Fletcher,Dominic</t>
  </si>
  <si>
    <t>fletcdo01</t>
  </si>
  <si>
    <t>Dominic Smith</t>
  </si>
  <si>
    <t>https://sba-cards-2024.s3.us-east-1.amazonaws.com/2024-cards/dominic-smith.png</t>
  </si>
  <si>
    <t>Smith,D</t>
  </si>
  <si>
    <t>smithdo02</t>
  </si>
  <si>
    <t>Donovan Solano</t>
  </si>
  <si>
    <t>https://sba-cards-2024.s3.us-east-1.amazonaws.com/2024-cards/donovan-solano.png</t>
  </si>
  <si>
    <t>Solano,D</t>
  </si>
  <si>
    <t>solando01</t>
  </si>
  <si>
    <t>Drew Millas</t>
  </si>
  <si>
    <t>https://sba-cards-2024.s3.us-east-1.amazonaws.com/2024-cards/drew-millas.png</t>
  </si>
  <si>
    <t>Millas,D</t>
  </si>
  <si>
    <t>milladr01</t>
  </si>
  <si>
    <t>Drew Rasmussen</t>
  </si>
  <si>
    <t>https://sba-cards-2024.s3.us-east-1.amazonaws.com/2024-cards/drew-rasmussen.png</t>
  </si>
  <si>
    <t>Rasmussen,D</t>
  </si>
  <si>
    <t>rasmudr01</t>
  </si>
  <si>
    <t>Drew Smyly</t>
  </si>
  <si>
    <t>https://sba-cards-2024.s3.us-east-1.amazonaws.com/2024-cards/drew-smyly.png</t>
  </si>
  <si>
    <t>Smyly,D</t>
  </si>
  <si>
    <t>smylydr01</t>
  </si>
  <si>
    <t>Drew Thorpe</t>
  </si>
  <si>
    <t>https://sba-cards-2024.s3.us-east-1.amazonaws.com/2024-cards/drew-thorpe.png</t>
  </si>
  <si>
    <t>Thorpe,D</t>
  </si>
  <si>
    <t>thorpdr01</t>
  </si>
  <si>
    <t>Dylan Carlson</t>
  </si>
  <si>
    <t>https://sba-cards-2024.s3.us-east-1.amazonaws.com/2024-cards/dylan-carlson.png</t>
  </si>
  <si>
    <t>Carlson,D</t>
  </si>
  <si>
    <t>carlsdy01</t>
  </si>
  <si>
    <t>https://sba-cards-2024.s3.us-east-1.amazonaws.com/2024-cards/dylan-cease.png</t>
  </si>
  <si>
    <t>Cease,D</t>
  </si>
  <si>
    <t>ceasedy01</t>
  </si>
  <si>
    <t>Dylan Crews</t>
  </si>
  <si>
    <t>https://sba-cards-2024.s3.us-east-1.amazonaws.com/2024-cards/dylan-crews.png</t>
  </si>
  <si>
    <t>Crews,D</t>
  </si>
  <si>
    <t>crewsdy01</t>
  </si>
  <si>
    <t>Dylan Floro</t>
  </si>
  <si>
    <t>https://sba-cards-2024.s3.us-east-1.amazonaws.com/2024-cards/dylan-floro.png</t>
  </si>
  <si>
    <t>Floro,D</t>
  </si>
  <si>
    <t>florody01</t>
  </si>
  <si>
    <t>Dylan Lee</t>
  </si>
  <si>
    <t>https://sba-cards-2024.s3.us-east-1.amazonaws.com/2024-cards/dylan-lee.png</t>
  </si>
  <si>
    <t>Lee,D</t>
  </si>
  <si>
    <t>leedy01</t>
  </si>
  <si>
    <t>Dylan Moore</t>
  </si>
  <si>
    <t>https://sba-cards-2024.s3.us-east-1.amazonaws.com/2024-cards/dylan-moore.png</t>
  </si>
  <si>
    <t>Moore,D</t>
  </si>
  <si>
    <t>mooredy01</t>
  </si>
  <si>
    <t>Eddie Rosario</t>
  </si>
  <si>
    <t>https://sba-cards-2024.s3.us-east-1.amazonaws.com/2024-cards/eddie-rosario.png</t>
  </si>
  <si>
    <t>Rosario,E</t>
  </si>
  <si>
    <t>rosared01</t>
  </si>
  <si>
    <t>Edmundo Sosa</t>
  </si>
  <si>
    <t>https://sba-cards-2024.s3.us-east-1.amazonaws.com/2024-cards/edmundo-sosa.png</t>
  </si>
  <si>
    <t>https://i.postimg.cc/Zq0rZdgP/Sosa-FC.png</t>
  </si>
  <si>
    <t>Sosa,E</t>
  </si>
  <si>
    <t>sosaed01</t>
  </si>
  <si>
    <t>Edouard Julien</t>
  </si>
  <si>
    <t>https://sba-cards-2024.s3.us-east-1.amazonaws.com/2024-cards/edouard-julien.png</t>
  </si>
  <si>
    <t>Julien,E</t>
  </si>
  <si>
    <t>julieed01</t>
  </si>
  <si>
    <t>Eduard Bazardo</t>
  </si>
  <si>
    <t>https://sba-cards-2024.s3.us-east-1.amazonaws.com/2024-cards/eduard-bazardo.png</t>
  </si>
  <si>
    <t>Bazardo,E</t>
  </si>
  <si>
    <t>bazared01</t>
  </si>
  <si>
    <t>Eduardo Rodriguez</t>
  </si>
  <si>
    <t>https://sba-cards-2024.s3.us-east-1.amazonaws.com/2024-cards/eduardo-rodriguez.png</t>
  </si>
  <si>
    <t>Rodriguez,E</t>
  </si>
  <si>
    <t>rodried05</t>
  </si>
  <si>
    <t>Eduardo Salazar</t>
  </si>
  <si>
    <t>https://sba-cards-2024.s3.us-east-1.amazonaws.com/2024-cards/eduardo-salazar.png</t>
  </si>
  <si>
    <t>Salazar,E</t>
  </si>
  <si>
    <t>salazed01</t>
  </si>
  <si>
    <t>Edward Cabrera</t>
  </si>
  <si>
    <t>https://sba-cards-2024.s3.us-east-1.amazonaws.com/2024-cards/edward-cabrera.png</t>
  </si>
  <si>
    <t>Cabrera,E</t>
  </si>
  <si>
    <t>cabreed02</t>
  </si>
  <si>
    <t>Edward Olivares</t>
  </si>
  <si>
    <t>https://sba-cards-2024.s3.us-east-1.amazonaws.com/2024-cards/edward-olivares.png</t>
  </si>
  <si>
    <t>Olivares,E</t>
  </si>
  <si>
    <t>olivaed02</t>
  </si>
  <si>
    <t>Edwin Diaz</t>
  </si>
  <si>
    <t>https://sba-cards-2024.s3.us-east-1.amazonaws.com/2024-cards/edwin-diaz.png</t>
  </si>
  <si>
    <t>Diaz,E</t>
  </si>
  <si>
    <t>diazed04</t>
  </si>
  <si>
    <t>Edwin Uceta</t>
  </si>
  <si>
    <t>https://sba-cards-2024.s3.us-east-1.amazonaws.com/2024-cards/edwin-uceta.png</t>
  </si>
  <si>
    <t>Uceta,E</t>
  </si>
  <si>
    <t>ucetaed01</t>
  </si>
  <si>
    <t>Elehuris Montero</t>
  </si>
  <si>
    <t>https://sba-cards-2024.s3.us-east-1.amazonaws.com/2024-cards/elehuris-montero.png</t>
  </si>
  <si>
    <t>Montero,E</t>
  </si>
  <si>
    <t>monteel01</t>
  </si>
  <si>
    <t>Eli Morgan</t>
  </si>
  <si>
    <t>https://sba-cards-2024.s3.us-east-1.amazonaws.com/2024-cards/eli-morgan.png</t>
  </si>
  <si>
    <t>Morgan,E</t>
  </si>
  <si>
    <t>morgael01</t>
  </si>
  <si>
    <t>Elias Diaz</t>
  </si>
  <si>
    <t>https://sba-cards-2024.s3.us-east-1.amazonaws.com/2024-cards/elias-diaz.png</t>
  </si>
  <si>
    <t>Diaz,Elias</t>
  </si>
  <si>
    <t>diazel01</t>
  </si>
  <si>
    <t>Elly De La Cruz</t>
  </si>
  <si>
    <t>https://sba-cards-2024.s3.us-east-1.amazonaws.com/2024-cards/elly-de-la-cruz.png</t>
  </si>
  <si>
    <t>De La Cruz,E</t>
  </si>
  <si>
    <t>delacel01</t>
  </si>
  <si>
    <t>Eloy Jimenez</t>
  </si>
  <si>
    <t>https://sba-cards-2024.s3.us-east-1.amazonaws.com/2024-cards/eloy-jimenez.png</t>
  </si>
  <si>
    <t>Jimenez,E</t>
  </si>
  <si>
    <t>jimenel02</t>
  </si>
  <si>
    <t>Elvis Peguero</t>
  </si>
  <si>
    <t>https://sba-cards-2024.s3.us-east-1.amazonaws.com/2024-cards/elvis-peguero.png</t>
  </si>
  <si>
    <t>Peguero,E</t>
  </si>
  <si>
    <t>pegueel01</t>
  </si>
  <si>
    <t>Emerson Hancock</t>
  </si>
  <si>
    <t>https://sba-cards-2024.s3.us-east-1.amazonaws.com/2024-cards/emerson-hancock.png</t>
  </si>
  <si>
    <t>Hancock,E</t>
  </si>
  <si>
    <t>hancoem01</t>
  </si>
  <si>
    <t>Emilio Pagan</t>
  </si>
  <si>
    <t>https://sba-cards-2024.s3.us-east-1.amazonaws.com/2024-cards/emilio-pagan.png</t>
  </si>
  <si>
    <t>Pagan,E</t>
  </si>
  <si>
    <t>paganem01</t>
  </si>
  <si>
    <t>Emmanuel Clase</t>
  </si>
  <si>
    <t>https://sba-cards-2024.s3.us-east-1.amazonaws.com/2024-cards/emmanuel-clase.png</t>
  </si>
  <si>
    <t>Clase,E</t>
  </si>
  <si>
    <t>claseem01</t>
  </si>
  <si>
    <t>Emmanuel Ramirez</t>
  </si>
  <si>
    <t>https://sba-cards-2024.s3.us-east-1.amazonaws.com/2024-cards/emmanuel-ramirez.png</t>
  </si>
  <si>
    <t>Ramirez,Em</t>
  </si>
  <si>
    <t>ramirem01</t>
  </si>
  <si>
    <t>Emmanuel Rivera</t>
  </si>
  <si>
    <t>https://sba-cards-2024.s3.us-east-1.amazonaws.com/2024-cards/emmanuel-rivera.png</t>
  </si>
  <si>
    <t>Rivera,E</t>
  </si>
  <si>
    <t>riverem01</t>
  </si>
  <si>
    <t>Enmanuel Valdez</t>
  </si>
  <si>
    <t>https://sba-cards-2024.s3.us-east-1.amazonaws.com/2024-cards/enmanuel-valdez.png</t>
  </si>
  <si>
    <t>Valdez,E</t>
  </si>
  <si>
    <t>valdeen01</t>
  </si>
  <si>
    <t>Enoli Paredes</t>
  </si>
  <si>
    <t>https://sba-cards-2024.s3.us-east-1.amazonaws.com/2024-cards/enoli-paredes.png</t>
  </si>
  <si>
    <t>Paredes,E</t>
  </si>
  <si>
    <t>pareden01</t>
  </si>
  <si>
    <t>Enrique Hernandez</t>
  </si>
  <si>
    <t>https://sba-cards-2024.s3.us-east-1.amazonaws.com/2024-cards/enrique-hernandez.png</t>
  </si>
  <si>
    <t>Hernandez,E</t>
  </si>
  <si>
    <t>hernaen02</t>
  </si>
  <si>
    <t>Enyel De Los Santos</t>
  </si>
  <si>
    <t>https://sba-cards-2024.s3.us-east-1.amazonaws.com/2024-cards/enyel-de-los-santos.png</t>
  </si>
  <si>
    <t>De Los Santos,E</t>
  </si>
  <si>
    <t>delosen01</t>
  </si>
  <si>
    <t>Erasmo Ramirez</t>
  </si>
  <si>
    <t>https://sba-cards-2024.s3.us-east-1.amazonaws.com/2024-cards/erasmo-ramirez.png</t>
  </si>
  <si>
    <t>Ramirez,Er</t>
  </si>
  <si>
    <t>ramirer02</t>
  </si>
  <si>
    <t>Eric Haase</t>
  </si>
  <si>
    <t>https://sba-cards-2024.s3.us-east-1.amazonaws.com/2024-cards/eric-haase.png</t>
  </si>
  <si>
    <t>Haase,E</t>
  </si>
  <si>
    <t>haaseer01</t>
  </si>
  <si>
    <t>Eric Wagaman</t>
  </si>
  <si>
    <t>https://sba-cards-2024.s3.us-east-1.amazonaws.com/2024-cards/eric-wagaman.png</t>
  </si>
  <si>
    <t>Wagaman,E</t>
  </si>
  <si>
    <t>wagamer01</t>
  </si>
  <si>
    <t>Erick Fedde</t>
  </si>
  <si>
    <t>https://sba-cards-2024.s3.us-east-1.amazonaws.com/2024-cards/erick-fedde.png</t>
  </si>
  <si>
    <t>https://i.postimg.cc/HkkM4Mps/Fedde-FC.png</t>
  </si>
  <si>
    <t>Fedde,E</t>
  </si>
  <si>
    <t>feddeer01</t>
  </si>
  <si>
    <t>Erik Miller</t>
  </si>
  <si>
    <t>https://sba-cards-2024.s3.us-east-1.amazonaws.com/2024-cards/erik-miller.png</t>
  </si>
  <si>
    <t>Miller,E</t>
  </si>
  <si>
    <t>milleer01</t>
  </si>
  <si>
    <t>Erik Swanson</t>
  </si>
  <si>
    <t>https://sba-cards-2024.s3.us-east-1.amazonaws.com/2024-cards/erik-swanson.png</t>
  </si>
  <si>
    <t>Swanson,E</t>
  </si>
  <si>
    <t>swanser01</t>
  </si>
  <si>
    <t>Ernie Clement</t>
  </si>
  <si>
    <t>https://sba-cards-2024.s3.us-east-1.amazonaws.com/2024-cards/ernie-clement.png</t>
  </si>
  <si>
    <t>Clement,E</t>
  </si>
  <si>
    <t>clemeer01</t>
  </si>
  <si>
    <t>Esteury Ruiz</t>
  </si>
  <si>
    <t>https://sba-cards-2024.s3.us-east-1.amazonaws.com/2024-cards/esteury-ruiz.png</t>
  </si>
  <si>
    <t>Ruiz,E</t>
  </si>
  <si>
    <t>ruizes01</t>
  </si>
  <si>
    <t>Estevan Florial</t>
  </si>
  <si>
    <t>https://sba-cards-2024.s3.us-east-1.amazonaws.com/2024-cards/estevan-florial.png</t>
  </si>
  <si>
    <t>Florial,E</t>
  </si>
  <si>
    <t>flories01</t>
  </si>
  <si>
    <t>Ethan Roberts</t>
  </si>
  <si>
    <t>https://sba-cards-2024.s3.us-east-1.amazonaws.com/2024-cards/ethan-roberts.png</t>
  </si>
  <si>
    <t>Roberts,E</t>
  </si>
  <si>
    <t>roberet01</t>
  </si>
  <si>
    <t>Eugenio Suarez</t>
  </si>
  <si>
    <t>https://sba-cards-2024.s3.us-east-1.amazonaws.com/2024-cards/eugenio-suarez.png</t>
  </si>
  <si>
    <t>Suarez,E</t>
  </si>
  <si>
    <t>suareeu01</t>
  </si>
  <si>
    <t>Evan Carter</t>
  </si>
  <si>
    <t>https://sba-cards-2024.s3.us-east-1.amazonaws.com/2024-cards/evan-carter.png</t>
  </si>
  <si>
    <t>MDWIL</t>
  </si>
  <si>
    <t>w07g1</t>
  </si>
  <si>
    <t>Carter,E</t>
  </si>
  <si>
    <t>carteev01</t>
  </si>
  <si>
    <t>Evan Phillips</t>
  </si>
  <si>
    <t>https://sba-cards-2024.s3.us-east-1.amazonaws.com/2024-cards/evan-phillips.png</t>
  </si>
  <si>
    <t>Phillips,E</t>
  </si>
  <si>
    <t>phillev01</t>
  </si>
  <si>
    <t>Ezequiel Duran</t>
  </si>
  <si>
    <t>https://sba-cards-2024.s3.us-east-1.amazonaws.com/2024-cards/ezequiel-duran.png</t>
  </si>
  <si>
    <t>Duran,E</t>
  </si>
  <si>
    <t>duranez01</t>
  </si>
  <si>
    <t>Ezequiel Tovar</t>
  </si>
  <si>
    <t>https://sba-cards-2024.s3.us-east-1.amazonaws.com/2024-cards/ezequiel-tovar.png</t>
  </si>
  <si>
    <t>Tovar,E</t>
  </si>
  <si>
    <t>tovarez01</t>
  </si>
  <si>
    <t>Fernando Cruz</t>
  </si>
  <si>
    <t>https://sba-cards-2024.s3.us-east-1.amazonaws.com/2024-cards/fernando-cruz.png</t>
  </si>
  <si>
    <t>Cruz,F</t>
  </si>
  <si>
    <t>cruzfe01</t>
  </si>
  <si>
    <t>Fernando Tatis Jr</t>
  </si>
  <si>
    <t>https://sba-cards-2024.s3.us-east-1.amazonaws.com/2024-cards/fernando-tatis-jr.png</t>
  </si>
  <si>
    <t>Tatis Jr,F</t>
  </si>
  <si>
    <t>tatisfe02</t>
  </si>
  <si>
    <t>Framber Valdez</t>
  </si>
  <si>
    <t>https://sba-cards-2024.s3.us-east-1.amazonaws.com/2024-cards/framber-valdez.png</t>
  </si>
  <si>
    <t>Valdez,F</t>
  </si>
  <si>
    <t>valdefr01</t>
  </si>
  <si>
    <t>Francisco Alvarez</t>
  </si>
  <si>
    <t>https://sba-cards-2024.s3.us-east-1.amazonaws.com/2024-cards/francisco-alvarez.png</t>
  </si>
  <si>
    <t>Alvarez,F</t>
  </si>
  <si>
    <t>alvarfr01</t>
  </si>
  <si>
    <t>Francisco Lindor</t>
  </si>
  <si>
    <t>https://sba-cards-2024.s3.us-east-1.amazonaws.com/2024-cards/francisco-lindor.png</t>
  </si>
  <si>
    <t>Lindor,F</t>
  </si>
  <si>
    <t>lindofr01</t>
  </si>
  <si>
    <t>Frankie Montas</t>
  </si>
  <si>
    <t>https://sba-cards-2024.s3.us-east-1.amazonaws.com/2024-cards/frankie-montas.png</t>
  </si>
  <si>
    <t>Montas,F</t>
  </si>
  <si>
    <t>montafr02</t>
  </si>
  <si>
    <t>Fraser Ellard</t>
  </si>
  <si>
    <t>https://sba-cards-2024.s3.us-east-1.amazonaws.com/2024-cards/fraser-ellard.png</t>
  </si>
  <si>
    <t>Ellard,F</t>
  </si>
  <si>
    <t>ellarfr01</t>
  </si>
  <si>
    <t>Freddie Freeman</t>
  </si>
  <si>
    <t>https://sba-cards-2024.s3.us-east-1.amazonaws.com/2024-cards/freddie-freeman.png</t>
  </si>
  <si>
    <t>Freeman,F</t>
  </si>
  <si>
    <t>freemfr01</t>
  </si>
  <si>
    <t>Freddy Fermin</t>
  </si>
  <si>
    <t>https://sba-cards-2024.s3.us-east-1.amazonaws.com/2024-cards/freddy-fermin.png</t>
  </si>
  <si>
    <t>Fermin,F</t>
  </si>
  <si>
    <t>fermifr01</t>
  </si>
  <si>
    <t>Freddy Peralta</t>
  </si>
  <si>
    <t>https://sba-cards-2024.s3.us-east-1.amazonaws.com/2024-cards/freddy-peralta.png</t>
  </si>
  <si>
    <t>Peralta,F</t>
  </si>
  <si>
    <t>peralfr01</t>
  </si>
  <si>
    <t>Gabe Speier</t>
  </si>
  <si>
    <t>https://sba-cards-2024.s3.us-east-1.amazonaws.com/2024-cards/gabe-speier.png</t>
  </si>
  <si>
    <t>Speier,G</t>
  </si>
  <si>
    <t>speiega01</t>
  </si>
  <si>
    <t>Gabriel Arias</t>
  </si>
  <si>
    <t>https://sba-cards-2024.s3.us-east-1.amazonaws.com/2024-cards/gabriel-arias.png</t>
  </si>
  <si>
    <t>CHCMiL</t>
  </si>
  <si>
    <t>Arias,G</t>
  </si>
  <si>
    <t>ariasga01</t>
  </si>
  <si>
    <t>Gabriel Moreno</t>
  </si>
  <si>
    <t>https://sba-cards-2024.s3.us-east-1.amazonaws.com/2024-cards/gabriel-moreno.png</t>
  </si>
  <si>
    <t>Moreno,G</t>
  </si>
  <si>
    <t>morenga01</t>
  </si>
  <si>
    <t>Garrett Cleavinger</t>
  </si>
  <si>
    <t>https://sba-cards-2024.s3.us-east-1.amazonaws.com/2024-cards/garrett-cleavinger.png</t>
  </si>
  <si>
    <t>w08g1</t>
  </si>
  <si>
    <t>Cleavinger,G</t>
  </si>
  <si>
    <t>cleavga01</t>
  </si>
  <si>
    <t>Garrett Cooper</t>
  </si>
  <si>
    <t>https://sba-cards-2024.s3.us-east-1.amazonaws.com/2024-cards/garrett-cooper.png</t>
  </si>
  <si>
    <t>Cooper,G</t>
  </si>
  <si>
    <t>coopega03</t>
  </si>
  <si>
    <t>Garrett Crochet</t>
  </si>
  <si>
    <t>https://sba-cards-2024.s3.us-east-1.amazonaws.com/2024-cards/garrett-crochet.png</t>
  </si>
  <si>
    <t>Crochet,G</t>
  </si>
  <si>
    <t>crochga01</t>
  </si>
  <si>
    <t>Garrett Hampson</t>
  </si>
  <si>
    <t>https://sba-cards-2024.s3.us-east-1.amazonaws.com/2024-cards/garrett-hampson.png</t>
  </si>
  <si>
    <t>Hampson,G</t>
  </si>
  <si>
    <t>hampsga01</t>
  </si>
  <si>
    <t>Garrett Mitchell</t>
  </si>
  <si>
    <t>https://sba-cards-2024.s3.us-east-1.amazonaws.com/2024-cards/garrett-mitchell.png</t>
  </si>
  <si>
    <t>WAIMiL</t>
  </si>
  <si>
    <t>Mitchell,G</t>
  </si>
  <si>
    <t>mitchga01</t>
  </si>
  <si>
    <t>Garrett Stubbs</t>
  </si>
  <si>
    <t>https://sba-cards-2024.s3.us-east-1.amazonaws.com/2024-cards/garrett-stubbs.png</t>
  </si>
  <si>
    <t>Stubbs,G</t>
  </si>
  <si>
    <t>stubbga01</t>
  </si>
  <si>
    <t>Gary Sanchez</t>
  </si>
  <si>
    <t>https://sba-cards-2024.s3.us-east-1.amazonaws.com/2024-cards/gary-sanchez.png</t>
  </si>
  <si>
    <t>Sanchez,G</t>
  </si>
  <si>
    <t>sanchga02</t>
  </si>
  <si>
    <t>Gavin Lux</t>
  </si>
  <si>
    <t>https://sba-cards-2024.s3.us-east-1.amazonaws.com/2024-cards/gavin-lux.png</t>
  </si>
  <si>
    <t>Lux,G</t>
  </si>
  <si>
    <t>luxga01</t>
  </si>
  <si>
    <t>Gavin Sheets</t>
  </si>
  <si>
    <t>https://sba-cards-2024.s3.us-east-1.amazonaws.com/2024-cards/gavin-sheets.png</t>
  </si>
  <si>
    <t>Sheets,G</t>
  </si>
  <si>
    <t>sheetga01</t>
  </si>
  <si>
    <t>Gavin Stone</t>
  </si>
  <si>
    <t>https://sba-cards-2024.s3.us-east-1.amazonaws.com/2024-cards/gavin-stone.png</t>
  </si>
  <si>
    <t>Stone,G</t>
  </si>
  <si>
    <t>stonega01</t>
  </si>
  <si>
    <t>Gavin Williams</t>
  </si>
  <si>
    <t>https://sba-cards-2024.s3.us-east-1.amazonaws.com/2024-cards/gavin-williams.png</t>
  </si>
  <si>
    <t>Williams,G</t>
  </si>
  <si>
    <t>williga01</t>
  </si>
  <si>
    <t>Genesis Cabrera</t>
  </si>
  <si>
    <t>https://sba-cards-2024.s3.us-east-1.amazonaws.com/2024-cards/genesis-cabrera.png</t>
  </si>
  <si>
    <t>Cabrera,G</t>
  </si>
  <si>
    <t>cabrege01</t>
  </si>
  <si>
    <t>George Kirby</t>
  </si>
  <si>
    <t>https://sba-cards-2024.s3.us-east-1.amazonaws.com/2024-cards/george-kirby.png</t>
  </si>
  <si>
    <t>Kirby,G</t>
  </si>
  <si>
    <t>kirbyge01</t>
  </si>
  <si>
    <t>George Soriano</t>
  </si>
  <si>
    <t>https://sba-cards-2024.s3.us-east-1.amazonaws.com/2024-cards/george-soriano.png</t>
  </si>
  <si>
    <t>Soriano,G</t>
  </si>
  <si>
    <t>soriage01</t>
  </si>
  <si>
    <t>George Springer</t>
  </si>
  <si>
    <t>https://sba-cards-2024.s3.us-east-1.amazonaws.com/2024-cards/george-springer.png</t>
  </si>
  <si>
    <t>Springer,G</t>
  </si>
  <si>
    <t>springe01</t>
  </si>
  <si>
    <t>Geraldo Perdomo</t>
  </si>
  <si>
    <t>https://sba-cards-2024.s3.us-east-1.amazonaws.com/2024-cards/geraldo-perdomo.png</t>
  </si>
  <si>
    <t>Perdomo,G</t>
  </si>
  <si>
    <t>perdoge01</t>
  </si>
  <si>
    <t>Gerrit Cole</t>
  </si>
  <si>
    <t>https://sba-cards-2024.s3.us-east-1.amazonaws.com/2024-cards/gerrit-cole.png</t>
  </si>
  <si>
    <t>Cole,G</t>
  </si>
  <si>
    <t>colege01</t>
  </si>
  <si>
    <t>Giancarlo Stanton</t>
  </si>
  <si>
    <t>https://sba-cards-2024.s3.us-east-1.amazonaws.com/2024-cards/giancarlo-stanton.png</t>
  </si>
  <si>
    <t>Stanton,G</t>
  </si>
  <si>
    <t>stantmi03</t>
  </si>
  <si>
    <t>Gio Urshela</t>
  </si>
  <si>
    <t>https://sba-cards-2024.s3.us-east-1.amazonaws.com/2024-cards/gio-urshela.png</t>
  </si>
  <si>
    <t>Urshela,G</t>
  </si>
  <si>
    <t>urshegi01</t>
  </si>
  <si>
    <t>Giovanny Gallegos</t>
  </si>
  <si>
    <t>https://sba-cards-2024.s3.us-east-1.amazonaws.com/2024-cards/giovanny-gallegos.png</t>
  </si>
  <si>
    <t>Gallegos,G</t>
  </si>
  <si>
    <t>gallegi01</t>
  </si>
  <si>
    <t>Gleyber Torres</t>
  </si>
  <si>
    <t>https://sba-cards-2024.s3.us-east-1.amazonaws.com/2024-cards/gleyber-torres.png</t>
  </si>
  <si>
    <t>Torres,G</t>
  </si>
  <si>
    <t>torregl01</t>
  </si>
  <si>
    <t>Graham Ashcraft</t>
  </si>
  <si>
    <t>https://sba-cards-2024.s3.us-east-1.amazonaws.com/2024-cards/graham-ashcraft.png</t>
  </si>
  <si>
    <t>Ashcraft,G</t>
  </si>
  <si>
    <t>ashcrgr01</t>
  </si>
  <si>
    <t>Grant Anderson</t>
  </si>
  <si>
    <t>https://sba-cards-2024.s3.us-east-1.amazonaws.com/2024-cards/grant-anderson.png</t>
  </si>
  <si>
    <t>Anderson,G</t>
  </si>
  <si>
    <t>andergr01</t>
  </si>
  <si>
    <t>Grant Holmes</t>
  </si>
  <si>
    <t>https://sba-cards-2024.s3.us-east-1.amazonaws.com/2024-cards/grant-holmes.png</t>
  </si>
  <si>
    <t>Holmes,G</t>
  </si>
  <si>
    <t>holmegr01</t>
  </si>
  <si>
    <t>Grant McCray</t>
  </si>
  <si>
    <t>https://sba-cards-2024.s3.us-east-1.amazonaws.com/2024-cards/grant-mccray.png</t>
  </si>
  <si>
    <t>McCray,G</t>
  </si>
  <si>
    <t>mccragr01</t>
  </si>
  <si>
    <t>Grayson Rodriguez</t>
  </si>
  <si>
    <t>https://sba-cards-2024.s3.us-east-1.amazonaws.com/2024-cards/grayson-rodriguez.png</t>
  </si>
  <si>
    <t>Rodriguez,G</t>
  </si>
  <si>
    <t>rodrigr01</t>
  </si>
  <si>
    <t>Greg Weissert</t>
  </si>
  <si>
    <t>https://sba-cards-2024.s3.us-east-1.amazonaws.com/2024-cards/greg-weissert.png</t>
  </si>
  <si>
    <t>Weissert,G</t>
  </si>
  <si>
    <t>weissgr01</t>
  </si>
  <si>
    <t>Gregory Soto</t>
  </si>
  <si>
    <t>https://sba-cards-2024.s3.us-east-1.amazonaws.com/2024-cards/gregory-soto.png</t>
  </si>
  <si>
    <t>Soto,G</t>
  </si>
  <si>
    <t>sotogr01</t>
  </si>
  <si>
    <t>Griffin Canning</t>
  </si>
  <si>
    <t>https://sba-cards-2024.s3.us-east-1.amazonaws.com/2024-cards/griffin-canning.png</t>
  </si>
  <si>
    <t>Canning,G</t>
  </si>
  <si>
    <t>cannigr01</t>
  </si>
  <si>
    <t>Griffin Conine</t>
  </si>
  <si>
    <t>https://sba-cards-2024.s3.us-east-1.amazonaws.com/2024-cards/griffin-conine.png</t>
  </si>
  <si>
    <t>Conine,G</t>
  </si>
  <si>
    <t>coningr01</t>
  </si>
  <si>
    <t>Griffin Jax</t>
  </si>
  <si>
    <t>https://sba-cards-2024.s3.us-east-1.amazonaws.com/2024-cards/griffin-jax.png</t>
  </si>
  <si>
    <t>Jax,G</t>
  </si>
  <si>
    <t>jaxgr01</t>
  </si>
  <si>
    <t>Gunnar Henderson</t>
  </si>
  <si>
    <t>https://sba-cards-2024.s3.us-east-1.amazonaws.com/2024-cards/gunnar-henderson.png</t>
  </si>
  <si>
    <t>Henderson,G</t>
  </si>
  <si>
    <t>hendegu01</t>
  </si>
  <si>
    <t>Gus Varland</t>
  </si>
  <si>
    <t>https://sba-cards-2024.s3.us-east-1.amazonaws.com/2024-cards/gus-varland.png</t>
  </si>
  <si>
    <t>Varland,G</t>
  </si>
  <si>
    <t>varlagu01</t>
  </si>
  <si>
    <t>Ha Seong Kim</t>
  </si>
  <si>
    <t>https://sba-cards-2024.s3.us-east-1.amazonaws.com/2024-cards/ha-seong-kim.png</t>
  </si>
  <si>
    <t>Kim,H</t>
  </si>
  <si>
    <t>kimha01</t>
  </si>
  <si>
    <t>Hans Crouse</t>
  </si>
  <si>
    <t>https://sba-cards-2024.s3.us-east-1.amazonaws.com/2024-cards/hans-crouse.png</t>
  </si>
  <si>
    <t>PORIL</t>
  </si>
  <si>
    <t>Crouse,H</t>
  </si>
  <si>
    <t>crousha01</t>
  </si>
  <si>
    <t>Harold Ramirez</t>
  </si>
  <si>
    <t>https://sba-cards-2024.s3.us-east-1.amazonaws.com/2024-cards/harold-ramirez.png</t>
  </si>
  <si>
    <t>Ramirez,H</t>
  </si>
  <si>
    <t>ramirha02</t>
  </si>
  <si>
    <t>Harrison Bader</t>
  </si>
  <si>
    <t>https://sba-cards-2024.s3.us-east-1.amazonaws.com/2024-cards/harrison-bader.png</t>
  </si>
  <si>
    <t>Bader,H</t>
  </si>
  <si>
    <t>baderha01</t>
  </si>
  <si>
    <t>Hayden Birdsong</t>
  </si>
  <si>
    <t>https://sba-cards-2024.s3.us-east-1.amazonaws.com/2024-cards/hayden-birdsong.png</t>
  </si>
  <si>
    <t>Birdsong,H</t>
  </si>
  <si>
    <t>birdsha01</t>
  </si>
  <si>
    <t>Hayden Wesneski</t>
  </si>
  <si>
    <t>https://sba-cards-2024.s3.us-east-1.amazonaws.com/2024-cards/hayden-wesneski.png</t>
  </si>
  <si>
    <t>Wesneski,H</t>
  </si>
  <si>
    <t>wesneha01</t>
  </si>
  <si>
    <t>Hector Neris</t>
  </si>
  <si>
    <t>https://sba-cards-2024.s3.us-east-1.amazonaws.com/2024-cards/hector-neris.png</t>
  </si>
  <si>
    <t>Neris,H</t>
  </si>
  <si>
    <t>nerishe01</t>
  </si>
  <si>
    <t>Heliot Ramos</t>
  </si>
  <si>
    <t>https://sba-cards-2024.s3.us-east-1.amazonaws.com/2024-cards/heliot-ramos.png</t>
  </si>
  <si>
    <t>Ramos,H</t>
  </si>
  <si>
    <t>ramoshe02</t>
  </si>
  <si>
    <t>Henry Davis</t>
  </si>
  <si>
    <t>https://sba-cards-2024.s3.us-east-1.amazonaws.com/2024-cards/henry-davis.png</t>
  </si>
  <si>
    <t>Davis,H</t>
  </si>
  <si>
    <t>davishe01</t>
  </si>
  <si>
    <t>4p20</t>
  </si>
  <si>
    <t>Heston Kjerstad</t>
  </si>
  <si>
    <t>https://sba-cards-2024.s3.us-east-1.amazonaws.com/2024-cards/heston-kjerstad.png</t>
  </si>
  <si>
    <t>Kjerstad,H</t>
  </si>
  <si>
    <t>kjershe01</t>
  </si>
  <si>
    <t>Hoby Milner</t>
  </si>
  <si>
    <t>https://sba-cards-2024.s3.us-east-1.amazonaws.com/2024-cards/hoby-milner.png</t>
  </si>
  <si>
    <t>Milner,H</t>
  </si>
  <si>
    <t>milneho01</t>
  </si>
  <si>
    <t>Hogan Harris</t>
  </si>
  <si>
    <t>https://sba-cards-2024.s3.us-east-1.amazonaws.com/2024-cards/hogan-harris.png</t>
  </si>
  <si>
    <t>Harris,H</t>
  </si>
  <si>
    <t>harriho03</t>
  </si>
  <si>
    <t>Huascar Brazoban</t>
  </si>
  <si>
    <t>https://sba-cards-2024.s3.us-east-1.amazonaws.com/2024-cards/huascar-brazoban.png</t>
  </si>
  <si>
    <t>THEIL</t>
  </si>
  <si>
    <t>w08g3</t>
  </si>
  <si>
    <t>Brazoban,H</t>
  </si>
  <si>
    <t>brazohu01</t>
  </si>
  <si>
    <t>Hunter Brown</t>
  </si>
  <si>
    <t>https://sba-cards-2024.s3.us-east-1.amazonaws.com/2024-cards/hunter-brown.png</t>
  </si>
  <si>
    <t>Brown,H</t>
  </si>
  <si>
    <t>brownhu01</t>
  </si>
  <si>
    <t>Hunter Gaddis</t>
  </si>
  <si>
    <t>https://sba-cards-2024.s3.us-east-1.amazonaws.com/2024-cards/hunter-gaddis.png</t>
  </si>
  <si>
    <t>Gaddis,H</t>
  </si>
  <si>
    <t>gaddihu01</t>
  </si>
  <si>
    <t>Hunter Goodman</t>
  </si>
  <si>
    <t>https://sba-cards-2024.s3.us-east-1.amazonaws.com/2024-cards/hunter-goodman.png</t>
  </si>
  <si>
    <t>Goodman,H</t>
  </si>
  <si>
    <t>goodmhu01</t>
  </si>
  <si>
    <t>Hunter Greene</t>
  </si>
  <si>
    <t>https://sba-cards-2024.s3.us-east-1.amazonaws.com/2024-cards/hunter-greene.png</t>
  </si>
  <si>
    <t>https://i.postimg.cc/68CyR1tj/gg-p.png</t>
  </si>
  <si>
    <t>Greene,H</t>
  </si>
  <si>
    <t>greenhu01</t>
  </si>
  <si>
    <t>Hunter Harvey</t>
  </si>
  <si>
    <t>https://sba-cards-2024.s3.us-east-1.amazonaws.com/2024-cards/hunter-harvey.png</t>
  </si>
  <si>
    <t>Harvey,H</t>
  </si>
  <si>
    <t>harvehu01</t>
  </si>
  <si>
    <t>Hunter Renfroe</t>
  </si>
  <si>
    <t>https://sba-cards-2024.s3.us-east-1.amazonaws.com/2024-cards/hunter-renfroe.png</t>
  </si>
  <si>
    <t>Renfroe,H</t>
  </si>
  <si>
    <t>renfrhu01</t>
  </si>
  <si>
    <t>Hunter Stratton</t>
  </si>
  <si>
    <t>https://sba-cards-2024.s3.us-east-1.amazonaws.com/2024-cards/hunter-stratton.png</t>
  </si>
  <si>
    <t>Stratton,H</t>
  </si>
  <si>
    <t>strathu01</t>
  </si>
  <si>
    <t>Hunter Strickland</t>
  </si>
  <si>
    <t>https://sba-cards-2024.s3.us-east-1.amazonaws.com/2024-cards/hunter-strickland.png</t>
  </si>
  <si>
    <t>Strickland,H</t>
  </si>
  <si>
    <t>strichu01</t>
  </si>
  <si>
    <t>Ian Hamilton</t>
  </si>
  <si>
    <t>https://sba-cards-2024.s3.us-east-1.amazonaws.com/2024-cards/ian-hamilton.png</t>
  </si>
  <si>
    <t>Hamilton,I</t>
  </si>
  <si>
    <t>hamilia01</t>
  </si>
  <si>
    <t>Ian Happ</t>
  </si>
  <si>
    <t>https://sba-cards-2024.s3.us-east-1.amazonaws.com/2024-cards/ian-happ.png</t>
  </si>
  <si>
    <t>Happ,I</t>
  </si>
  <si>
    <t>happia01</t>
  </si>
  <si>
    <t>Ildemaro Vargas</t>
  </si>
  <si>
    <t>https://sba-cards-2024.s3.us-east-1.amazonaws.com/2024-cards/ildemaro-vargas.png</t>
  </si>
  <si>
    <t>Vargas,I</t>
  </si>
  <si>
    <t>vargail01</t>
  </si>
  <si>
    <t>Isaac Paredes</t>
  </si>
  <si>
    <t>https://sba-cards-2024.s3.us-east-1.amazonaws.com/2024-cards/isaac-paredes.png</t>
  </si>
  <si>
    <t>https://i.postimg.cc/fR8x6K8G/Paredes-FC.png</t>
  </si>
  <si>
    <t>Paredes,I</t>
  </si>
  <si>
    <t>paredis01</t>
  </si>
  <si>
    <t>Isiah Kiner Falefa</t>
  </si>
  <si>
    <t>https://sba-cards-2024.s3.us-east-1.amazonaws.com/2024-cards/isiah-kiner-falefa.png</t>
  </si>
  <si>
    <t>Kiner-Falefa,I</t>
  </si>
  <si>
    <t>kineris01</t>
  </si>
  <si>
    <t>Ivan Herrera</t>
  </si>
  <si>
    <t>https://sba-cards-2024.s3.us-east-1.amazonaws.com/2024-cards/ivan-herrera.png</t>
  </si>
  <si>
    <t>Herrera,I</t>
  </si>
  <si>
    <t>herreiv01</t>
  </si>
  <si>
    <t>Jace Jung</t>
  </si>
  <si>
    <t>https://sba-cards-2024.s3.us-east-1.amazonaws.com/2024-cards/jace-jung.png</t>
  </si>
  <si>
    <t>Jung,Ja</t>
  </si>
  <si>
    <t>jungja01</t>
  </si>
  <si>
    <t>Jack Flaherty</t>
  </si>
  <si>
    <t>https://sba-cards-2024.s3.us-east-1.amazonaws.com/2024-cards/jack-flaherty.png</t>
  </si>
  <si>
    <t>Flaherty,J</t>
  </si>
  <si>
    <t>flaheja01</t>
  </si>
  <si>
    <t>Jack Kochanowicz</t>
  </si>
  <si>
    <t>https://sba-cards-2024.s3.us-east-1.amazonaws.com/2024-cards/jack-kochanowicz.png</t>
  </si>
  <si>
    <t>Kochanowicz,J</t>
  </si>
  <si>
    <t>kochaja01</t>
  </si>
  <si>
    <t>Jack Leiter</t>
  </si>
  <si>
    <t>https://sba-cards-2024.s3.us-east-1.amazonaws.com/2024-cards/jack-leiter.png</t>
  </si>
  <si>
    <t>Leiter,J</t>
  </si>
  <si>
    <t>leiteja01</t>
  </si>
  <si>
    <t>Jack Lopez</t>
  </si>
  <si>
    <t>https://sba-cards-2024.s3.us-east-1.amazonaws.com/2024-cards/jack-lopez.png</t>
  </si>
  <si>
    <t>Lopez,Ja</t>
  </si>
  <si>
    <t>lopezja03</t>
  </si>
  <si>
    <t>Jack Suwinski</t>
  </si>
  <si>
    <t>https://sba-cards-2024.s3.us-east-1.amazonaws.com/2024-cards/jack-suwinski.png</t>
  </si>
  <si>
    <t>Suwinski,J</t>
  </si>
  <si>
    <t>suwinja01</t>
  </si>
  <si>
    <t>Jackson Chourio</t>
  </si>
  <si>
    <t>https://sba-cards-2024.s3.us-east-1.amazonaws.com/2024-cards/jackson-chourio.png</t>
  </si>
  <si>
    <t>https://media.discordapp.net/attachments/687509947575304309/1451361560139403375/gg-rf.png?ex=6945e548</t>
  </si>
  <si>
    <t>Chourio,J</t>
  </si>
  <si>
    <t>chourja01</t>
  </si>
  <si>
    <t>Jackson Holliday</t>
  </si>
  <si>
    <t>https://sba-cards-2024.s3.us-east-1.amazonaws.com/2024-cards/jackson-holliday.png</t>
  </si>
  <si>
    <t>Holliday,J</t>
  </si>
  <si>
    <t>hollija01</t>
  </si>
  <si>
    <t>Jackson Merrill</t>
  </si>
  <si>
    <t>https://sba-cards-2024.s3.us-east-1.amazonaws.com/2024-cards/jackson-merrill.png</t>
  </si>
  <si>
    <t>https://i.postimg.cc/0jvM6Mtc/Merrill-FC.png</t>
  </si>
  <si>
    <t>Merrill,J</t>
  </si>
  <si>
    <t>merrija01</t>
  </si>
  <si>
    <t>Jacob Amaya</t>
  </si>
  <si>
    <t>https://sba-cards-2024.s3.us-east-1.amazonaws.com/2024-cards/jacob-amaya.png</t>
  </si>
  <si>
    <t>Amaya,J</t>
  </si>
  <si>
    <t>amayaja01</t>
  </si>
  <si>
    <t>Jacob Barnes</t>
  </si>
  <si>
    <t>https://sba-cards-2024.s3.us-east-1.amazonaws.com/2024-cards/jacob-barnes.png</t>
  </si>
  <si>
    <t>Barnes,J</t>
  </si>
  <si>
    <t>barneja01</t>
  </si>
  <si>
    <t>Jacob Hurtubise</t>
  </si>
  <si>
    <t>https://sba-cards-2024.s3.us-east-1.amazonaws.com/2024-cards/jacob-hurtubise.png</t>
  </si>
  <si>
    <t>Hurtubise,J</t>
  </si>
  <si>
    <t>hurtuja01</t>
  </si>
  <si>
    <t>Jacob Latz</t>
  </si>
  <si>
    <t>https://sba-cards-2024.s3.us-east-1.amazonaws.com/2024-cards/jacob-latz.png</t>
  </si>
  <si>
    <t>Latz,J</t>
  </si>
  <si>
    <t>latzja01</t>
  </si>
  <si>
    <t>Jacob Stallings</t>
  </si>
  <si>
    <t>https://sba-cards-2024.s3.us-east-1.amazonaws.com/2024-cards/jacob-stallings.png</t>
  </si>
  <si>
    <t>Stallings,J</t>
  </si>
  <si>
    <t>stallja01</t>
  </si>
  <si>
    <t>Jacob Webb</t>
  </si>
  <si>
    <t>https://sba-cards-2024.s3.us-east-1.amazonaws.com/2024-cards/jacob-webb.png</t>
  </si>
  <si>
    <t>Webb,J</t>
  </si>
  <si>
    <t>webbja01</t>
  </si>
  <si>
    <t>Jacob Wilson</t>
  </si>
  <si>
    <t>https://sba-cards-2024.s3.us-east-1.amazonaws.com/2024-cards/jacob-wilson.png</t>
  </si>
  <si>
    <t>Wilson,Ja</t>
  </si>
  <si>
    <t>wilsoja05</t>
  </si>
  <si>
    <t>Jacob Young</t>
  </si>
  <si>
    <t>https://sba-cards-2024.s3.us-east-1.amazonaws.com/2024-cards/jacob-young.png</t>
  </si>
  <si>
    <t>Young,J</t>
  </si>
  <si>
    <t>youngja03</t>
  </si>
  <si>
    <t>Jake Bauers</t>
  </si>
  <si>
    <t>https://sba-cards-2024.s3.us-east-1.amazonaws.com/2024-cards/jake-bauers.png</t>
  </si>
  <si>
    <t>Bauers,J</t>
  </si>
  <si>
    <t>bauerja01</t>
  </si>
  <si>
    <t>Jake Bird</t>
  </si>
  <si>
    <t>https://sba-cards-2024.s3.us-east-1.amazonaws.com/2024-cards/jake-bird.png</t>
  </si>
  <si>
    <t>Bird,J</t>
  </si>
  <si>
    <t>birdja01</t>
  </si>
  <si>
    <t>Jake Burger</t>
  </si>
  <si>
    <t>https://sba-cards-2024.s3.us-east-1.amazonaws.com/2024-cards/jake-burger.png</t>
  </si>
  <si>
    <t>Burger,J</t>
  </si>
  <si>
    <t>burgeja01</t>
  </si>
  <si>
    <t>Jake Cave</t>
  </si>
  <si>
    <t>https://sba-cards-2024.s3.us-east-1.amazonaws.com/2024-cards/jake-cave.png</t>
  </si>
  <si>
    <t>Cave,J</t>
  </si>
  <si>
    <t>caveja01</t>
  </si>
  <si>
    <t>Jake Cousins</t>
  </si>
  <si>
    <t>https://sba-cards-2024.s3.us-east-1.amazonaws.com/2024-cards/jake-cousins.png</t>
  </si>
  <si>
    <t>Cousins,J</t>
  </si>
  <si>
    <t>cousija01</t>
  </si>
  <si>
    <t>Jake Cronenworth</t>
  </si>
  <si>
    <t>https://sba-cards-2024.s3.us-east-1.amazonaws.com/2024-cards/jake-cronenworth.png</t>
  </si>
  <si>
    <t>Cronenworth,J</t>
  </si>
  <si>
    <t>croneja01</t>
  </si>
  <si>
    <t>Jake Diekman</t>
  </si>
  <si>
    <t>https://sba-cards-2024.s3.us-east-1.amazonaws.com/2024-cards/jake-diekman.png</t>
  </si>
  <si>
    <t>Diekman,J</t>
  </si>
  <si>
    <t>diekmja01</t>
  </si>
  <si>
    <t>Jake Fraley</t>
  </si>
  <si>
    <t>https://sba-cards-2024.s3.us-east-1.amazonaws.com/2024-cards/jake-fraley.png</t>
  </si>
  <si>
    <t>Fraley,J</t>
  </si>
  <si>
    <t>fraleja01</t>
  </si>
  <si>
    <t>Jake Irvin</t>
  </si>
  <si>
    <t>https://sba-cards-2024.s3.us-east-1.amazonaws.com/2024-cards/jake-irvin.png</t>
  </si>
  <si>
    <t>MYTMiL</t>
  </si>
  <si>
    <t>Irvin,J</t>
  </si>
  <si>
    <t>irvinja01</t>
  </si>
  <si>
    <t>Jake Junis</t>
  </si>
  <si>
    <t>https://sba-cards-2024.s3.us-east-1.amazonaws.com/2024-cards/jake-junis.png</t>
  </si>
  <si>
    <t>w05g2</t>
  </si>
  <si>
    <t>https://i.postimg.cc/MKPHwF83/Junis-FC-S12.png</t>
  </si>
  <si>
    <t>Junis,J</t>
  </si>
  <si>
    <t>junisja01</t>
  </si>
  <si>
    <t>Jake McCarthy</t>
  </si>
  <si>
    <t>https://sba-cards-2024.s3.us-east-1.amazonaws.com/2024-cards/jake-mccarthy.png</t>
  </si>
  <si>
    <t>McCarthy,J</t>
  </si>
  <si>
    <t>mccarja02</t>
  </si>
  <si>
    <t>Jake Meyers</t>
  </si>
  <si>
    <t>https://sba-cards-2024.s3.us-east-1.amazonaws.com/2024-cards/jake-meyers.png</t>
  </si>
  <si>
    <t>Meyers,J</t>
  </si>
  <si>
    <t>meyerja02</t>
  </si>
  <si>
    <t>Jake Rogers</t>
  </si>
  <si>
    <t>https://sba-cards-2024.s3.us-east-1.amazonaws.com/2024-cards/jake-rogers.png</t>
  </si>
  <si>
    <t>Rogers,J</t>
  </si>
  <si>
    <t>rogerja03</t>
  </si>
  <si>
    <t>Jake Woodford</t>
  </si>
  <si>
    <t>https://sba-cards-2024.s3.us-east-1.amazonaws.com/2024-cards/jake-woodford.png</t>
  </si>
  <si>
    <t>Woodford,J</t>
  </si>
  <si>
    <t>woodfja01</t>
  </si>
  <si>
    <t>Jalen Beeks</t>
  </si>
  <si>
    <t>https://sba-cards-2024.s3.us-east-1.amazonaws.com/2024-cards/jalen-beeks.png</t>
  </si>
  <si>
    <t>Beeks,J</t>
  </si>
  <si>
    <t>beeksja02</t>
  </si>
  <si>
    <t>James McArthur</t>
  </si>
  <si>
    <t>https://sba-cards-2024.s3.us-east-1.amazonaws.com/2024-cards/james-mcarthur.png</t>
  </si>
  <si>
    <t>McArthur,J</t>
  </si>
  <si>
    <t>mcartja01</t>
  </si>
  <si>
    <t>James McCann</t>
  </si>
  <si>
    <t>https://sba-cards-2024.s3.us-east-1.amazonaws.com/2024-cards/james-mccann.png</t>
  </si>
  <si>
    <t>McCann,J</t>
  </si>
  <si>
    <t>mccanja02</t>
  </si>
  <si>
    <t>James Outman</t>
  </si>
  <si>
    <t>https://sba-cards-2024.s3.us-east-1.amazonaws.com/2024-cards/james-outman.png</t>
  </si>
  <si>
    <t>Outman,J</t>
  </si>
  <si>
    <t>outmaja01</t>
  </si>
  <si>
    <t>James Paxton</t>
  </si>
  <si>
    <t>https://sba-cards-2024.s3.us-east-1.amazonaws.com/2024-cards/james-paxton.png</t>
  </si>
  <si>
    <t>Paxton,J</t>
  </si>
  <si>
    <t>paxtoja01</t>
  </si>
  <si>
    <t>James Wood</t>
  </si>
  <si>
    <t>https://sba-cards-2024.s3.us-east-1.amazonaws.com/2024-cards/james-wood.png</t>
  </si>
  <si>
    <t>Wood,J</t>
  </si>
  <si>
    <t>woodja03</t>
  </si>
  <si>
    <t>Jameson Taillon</t>
  </si>
  <si>
    <t>https://sba-cards-2024.s3.us-east-1.amazonaws.com/2024-cards/jameson-taillon.png</t>
  </si>
  <si>
    <t>Taillon,J</t>
  </si>
  <si>
    <t>taillja01</t>
  </si>
  <si>
    <t>Jared Jones</t>
  </si>
  <si>
    <t>https://sba-cards-2024.s3.us-east-1.amazonaws.com/2024-cards/jared-jones.png</t>
  </si>
  <si>
    <t>Jones,J</t>
  </si>
  <si>
    <t>jonesja09</t>
  </si>
  <si>
    <t>Jared Koenig</t>
  </si>
  <si>
    <t>https://sba-cards-2024.s3.us-east-1.amazonaws.com/2024-cards/jared-koenig.png</t>
  </si>
  <si>
    <t>Koenig,J</t>
  </si>
  <si>
    <t>koenija01</t>
  </si>
  <si>
    <t>Jared Shuster</t>
  </si>
  <si>
    <t>https://sba-cards-2024.s3.us-east-1.amazonaws.com/2024-cards/jared-shuster.png</t>
  </si>
  <si>
    <t>Shuster,J</t>
  </si>
  <si>
    <t>shustja01</t>
  </si>
  <si>
    <t>Jared Triolo</t>
  </si>
  <si>
    <t>https://sba-cards-2024.s3.us-east-1.amazonaws.com/2024-cards/jared-triolo.png</t>
  </si>
  <si>
    <t>Triolo,J</t>
  </si>
  <si>
    <t>triolja01</t>
  </si>
  <si>
    <t>Jared Walsh</t>
  </si>
  <si>
    <t>https://sba-cards-2024.s3.us-east-1.amazonaws.com/2024-cards/jared-walsh.png</t>
  </si>
  <si>
    <t>Walsh,J</t>
  </si>
  <si>
    <t>walshja01</t>
  </si>
  <si>
    <t>Jarred Kelenic</t>
  </si>
  <si>
    <t>https://sba-cards-2024.s3.us-east-1.amazonaws.com/2024-cards/jarred-kelenic.png</t>
  </si>
  <si>
    <t>Kelenic,J</t>
  </si>
  <si>
    <t>kelenja01</t>
  </si>
  <si>
    <t>Jarren Duran</t>
  </si>
  <si>
    <t>https://sba-cards-2024.s3.us-east-1.amazonaws.com/2024-cards/jarren-duran.png</t>
  </si>
  <si>
    <t>Duran,Jarren</t>
  </si>
  <si>
    <t>duranja01</t>
  </si>
  <si>
    <t>Jason Adam</t>
  </si>
  <si>
    <t>https://sba-cards-2024.s3.us-east-1.amazonaws.com/2024-cards/jason-adam.png</t>
  </si>
  <si>
    <t>Adam,J</t>
  </si>
  <si>
    <t>adamja01</t>
  </si>
  <si>
    <t>Jason Foley</t>
  </si>
  <si>
    <t>https://sba-cards-2024.s3.us-east-1.amazonaws.com/2024-cards/jason-foley.png</t>
  </si>
  <si>
    <t>Foley,J</t>
  </si>
  <si>
    <t>foleyja01</t>
  </si>
  <si>
    <t>Jason Heyward</t>
  </si>
  <si>
    <t>https://sba-cards-2024.s3.us-east-1.amazonaws.com/2024-cards/jason-heyward.png</t>
  </si>
  <si>
    <t>Heyward,J</t>
  </si>
  <si>
    <t>heywaja01</t>
  </si>
  <si>
    <t>Jasson Dominguez</t>
  </si>
  <si>
    <t>https://sba-cards-2024.s3.us-east-1.amazonaws.com/2024-cards/jasson-dominguez.png</t>
  </si>
  <si>
    <t>Dominguez,J</t>
  </si>
  <si>
    <t>dominja01</t>
  </si>
  <si>
    <t>Javier Assad</t>
  </si>
  <si>
    <t>https://sba-cards-2024.s3.us-east-1.amazonaws.com/2024-cards/javier-assad.png</t>
  </si>
  <si>
    <t>Assad,J</t>
  </si>
  <si>
    <t>assadja01</t>
  </si>
  <si>
    <t>Javier Baez</t>
  </si>
  <si>
    <t>https://sba-cards-2024.s3.us-east-1.amazonaws.com/2024-cards/javier-baez.png</t>
  </si>
  <si>
    <t>Baez,J</t>
  </si>
  <si>
    <t>baezja01</t>
  </si>
  <si>
    <t>Jay Jackson</t>
  </si>
  <si>
    <t>https://sba-cards-2024.s3.us-east-1.amazonaws.com/2024-cards/jay-jackson.png</t>
  </si>
  <si>
    <t>Jackson,J</t>
  </si>
  <si>
    <t>jacksja01</t>
  </si>
  <si>
    <t>Jazz Chisholm</t>
  </si>
  <si>
    <t>https://sba-cards-2024.s3.us-east-1.amazonaws.com/2024-cards/jazz-chisholm.png</t>
  </si>
  <si>
    <t>Chisholm,J</t>
  </si>
  <si>
    <t>chishja01</t>
  </si>
  <si>
    <t>JD Davis</t>
  </si>
  <si>
    <t>https://sba-cards-2024.s3.us-east-1.amazonaws.com/2024-cards/jd-davis.png</t>
  </si>
  <si>
    <t>Davis,JD</t>
  </si>
  <si>
    <t>davisjd01</t>
  </si>
  <si>
    <t>JD Martinez</t>
  </si>
  <si>
    <t>https://sba-cards-2024.s3.us-east-1.amazonaws.com/2024-cards/jd-martinez.png</t>
  </si>
  <si>
    <t>Martinez,JD</t>
  </si>
  <si>
    <t>martijd02</t>
  </si>
  <si>
    <t>Jeff Criswell</t>
  </si>
  <si>
    <t>https://sba-cards-2024.s3.us-east-1.amazonaws.com/2024-cards/jeff-criswell.png</t>
  </si>
  <si>
    <t>Criswell,J</t>
  </si>
  <si>
    <t>criswje01</t>
  </si>
  <si>
    <t>Jeff Hoffman</t>
  </si>
  <si>
    <t>https://sba-cards-2024.s3.us-east-1.amazonaws.com/2024-cards/jeff-hoffman.png</t>
  </si>
  <si>
    <t>Hoffman,J</t>
  </si>
  <si>
    <t>hoffmje02</t>
  </si>
  <si>
    <t>Jeff McNeil</t>
  </si>
  <si>
    <t>https://sba-cards-2024.s3.us-east-1.amazonaws.com/2024-cards/jeff-mcneil.png</t>
  </si>
  <si>
    <t>McNeil,J</t>
  </si>
  <si>
    <t>mcneije01</t>
  </si>
  <si>
    <t>Jeffrey Springs</t>
  </si>
  <si>
    <t>https://sba-cards-2024.s3.us-east-1.amazonaws.com/2024-cards/jeffrey-springs.png</t>
  </si>
  <si>
    <t>Springs,J</t>
  </si>
  <si>
    <t>sprinje01</t>
  </si>
  <si>
    <t>Jeimer Candelario</t>
  </si>
  <si>
    <t>https://sba-cards-2024.s3.us-east-1.amazonaws.com/2024-cards/jeimer-candelario.png</t>
  </si>
  <si>
    <t>Candelario,J</t>
  </si>
  <si>
    <t>candeje01</t>
  </si>
  <si>
    <t>Jerar Encarnacion</t>
  </si>
  <si>
    <t>https://sba-cards-2024.s3.us-east-1.amazonaws.com/2024-cards/jerar-encarnacion.png</t>
  </si>
  <si>
    <t>Encarnacion,J</t>
  </si>
  <si>
    <t>encarje01</t>
  </si>
  <si>
    <t>Jeremiah Estrada</t>
  </si>
  <si>
    <t>https://sba-cards-2024.s3.us-east-1.amazonaws.com/2024-cards/jeremiah-estrada.png</t>
  </si>
  <si>
    <t>Estrada,J</t>
  </si>
  <si>
    <t>estraje01</t>
  </si>
  <si>
    <t>Jeremy Pena</t>
  </si>
  <si>
    <t>https://sba-cards-2024.s3.us-east-1.amazonaws.com/2024-cards/jeremy-pena.png</t>
  </si>
  <si>
    <t>Pena,J</t>
  </si>
  <si>
    <t>penaje02</t>
  </si>
  <si>
    <t>Jesse Chavez</t>
  </si>
  <si>
    <t>https://sba-cards-2024.s3.us-east-1.amazonaws.com/2024-cards/jesse-chavez.png</t>
  </si>
  <si>
    <t>Chavez,J</t>
  </si>
  <si>
    <t>chaveje01</t>
  </si>
  <si>
    <t>Jesse Winker</t>
  </si>
  <si>
    <t>https://sba-cards-2024.s3.us-east-1.amazonaws.com/2024-cards/jesse-winker.png</t>
  </si>
  <si>
    <t>https://i.postimg.cc/9XyyWVxk/Winker-FC.png</t>
  </si>
  <si>
    <t>Winker,J</t>
  </si>
  <si>
    <t>winkeje01</t>
  </si>
  <si>
    <t>Jesus Luzardo</t>
  </si>
  <si>
    <t>https://sba-cards-2024.s3.us-east-1.amazonaws.com/2024-cards/jesus-luzardo.png</t>
  </si>
  <si>
    <t>Luzardo,J</t>
  </si>
  <si>
    <t>luzarje01</t>
  </si>
  <si>
    <t>Jesus Sanchez</t>
  </si>
  <si>
    <t>https://sba-cards-2024.s3.us-east-1.amazonaws.com/2024-cards/jesus-sanchez.png</t>
  </si>
  <si>
    <t>Sanchez,J</t>
  </si>
  <si>
    <t>sanchje02</t>
  </si>
  <si>
    <t>Jesus Tinoco</t>
  </si>
  <si>
    <t>https://sba-cards-2024.s3.us-east-1.amazonaws.com/2024-cards/jesus-tinoco.png</t>
  </si>
  <si>
    <t>https://i.postimg.cc/jjnNtMVB/rpoty.png</t>
  </si>
  <si>
    <t>Tinoco,J</t>
  </si>
  <si>
    <t>tinocje01</t>
  </si>
  <si>
    <t>Jhoan Duran</t>
  </si>
  <si>
    <t>https://sba-cards-2024.s3.us-east-1.amazonaws.com/2024-cards/jhoan-duran.png</t>
  </si>
  <si>
    <t>Duran,Jhoan</t>
  </si>
  <si>
    <t>duranjh01</t>
  </si>
  <si>
    <t>Jhonkensy Noel</t>
  </si>
  <si>
    <t>https://sba-cards-2024.s3.us-east-1.amazonaws.com/2024-cards/jhonkensy-noel.png</t>
  </si>
  <si>
    <t>Noel,J</t>
  </si>
  <si>
    <t>noeljh01</t>
  </si>
  <si>
    <t>Jhony Brito</t>
  </si>
  <si>
    <t>https://sba-cards-2024.s3.us-east-1.amazonaws.com/2024-cards/jhony-brito.png</t>
  </si>
  <si>
    <t>Brito,J</t>
  </si>
  <si>
    <t>britojh01</t>
  </si>
  <si>
    <t>Ji Hwan Bae</t>
  </si>
  <si>
    <t>https://sba-cards-2024.s3.us-east-1.amazonaws.com/2024-cards/ji-hwan-bae.png</t>
  </si>
  <si>
    <t>Bae,J</t>
  </si>
  <si>
    <t>baeji01</t>
  </si>
  <si>
    <t>JJ Bleday</t>
  </si>
  <si>
    <t>https://sba-cards-2024.s3.us-east-1.amazonaws.com/2024-cards/jj-bleday.png</t>
  </si>
  <si>
    <t>Bleday,J</t>
  </si>
  <si>
    <t>bledajj01</t>
  </si>
  <si>
    <t>https://sba-cards-2024.s3.us-east-1.amazonaws.com/2024-cards/jo-adell.png</t>
  </si>
  <si>
    <t>Adell,J</t>
  </si>
  <si>
    <t>adelljo01</t>
  </si>
  <si>
    <t>Joc Pederson</t>
  </si>
  <si>
    <t>https://sba-cards-2024.s3.us-east-1.amazonaws.com/2024-cards/joc-pederson.png</t>
  </si>
  <si>
    <t>Pederson,J</t>
  </si>
  <si>
    <t>pederjo01</t>
  </si>
  <si>
    <t>Joe Boyle</t>
  </si>
  <si>
    <t>https://sba-cards-2024.s3.us-east-1.amazonaws.com/2024-cards/joe-boyle.png</t>
  </si>
  <si>
    <t>Boyle,J</t>
  </si>
  <si>
    <t>boylejo01</t>
  </si>
  <si>
    <t>Joe Jimenez</t>
  </si>
  <si>
    <t>https://sba-cards-2024.s3.us-east-1.amazonaws.com/2024-cards/joe-jimenez.png</t>
  </si>
  <si>
    <t>GMEIL</t>
  </si>
  <si>
    <t>Jimenez,J</t>
  </si>
  <si>
    <t>jimenjo02</t>
  </si>
  <si>
    <t>Joe Kelly</t>
  </si>
  <si>
    <t>https://sba-cards-2024.s3.us-east-1.amazonaws.com/2024-cards/joe-kelly.png</t>
  </si>
  <si>
    <t>Kelly,J</t>
  </si>
  <si>
    <t>kellyjo05</t>
  </si>
  <si>
    <t>Joe Mantiply</t>
  </si>
  <si>
    <t>https://sba-cards-2024.s3.us-east-1.amazonaws.com/2024-cards/joe-mantiply.png</t>
  </si>
  <si>
    <t>Mantiply,J</t>
  </si>
  <si>
    <t>mantijo01</t>
  </si>
  <si>
    <t>Joe Musgrove</t>
  </si>
  <si>
    <t>https://sba-cards-2024.s3.us-east-1.amazonaws.com/2024-cards/joe-musgrove.png</t>
  </si>
  <si>
    <t>Musgrove,J</t>
  </si>
  <si>
    <t>musgrjo01</t>
  </si>
  <si>
    <t>Joe Ross</t>
  </si>
  <si>
    <t>https://sba-cards-2024.s3.us-east-1.amazonaws.com/2024-cards/joe-ross.png</t>
  </si>
  <si>
    <t>Ross,J</t>
  </si>
  <si>
    <t>rossjo01</t>
  </si>
  <si>
    <t>Joe Ryan</t>
  </si>
  <si>
    <t>https://sba-cards-2024.s3.us-east-1.amazonaws.com/2024-cards/joe-ryan.png</t>
  </si>
  <si>
    <t>Ryan,J</t>
  </si>
  <si>
    <t>ryanjo04</t>
  </si>
  <si>
    <t>Joel Payamps</t>
  </si>
  <si>
    <t>https://sba-cards-2024.s3.us-east-1.amazonaws.com/2024-cards/joel-payamps.png</t>
  </si>
  <si>
    <t>Payamps,J</t>
  </si>
  <si>
    <t>payamjo01</t>
  </si>
  <si>
    <t>Joey Bart</t>
  </si>
  <si>
    <t>https://sba-cards-2024.s3.us-east-1.amazonaws.com/2024-cards/joey-bart.png</t>
  </si>
  <si>
    <t>Bart,J</t>
  </si>
  <si>
    <t>bartjo01</t>
  </si>
  <si>
    <t>Joey Cantillo</t>
  </si>
  <si>
    <t>https://sba-cards-2024.s3.us-east-1.amazonaws.com/2024-cards/joey-cantillo.png</t>
  </si>
  <si>
    <t>Cantillo,J</t>
  </si>
  <si>
    <t>cantijo01</t>
  </si>
  <si>
    <t>Joey Estes</t>
  </si>
  <si>
    <t>https://sba-cards-2024.s3.us-east-1.amazonaws.com/2024-cards/joey-estes.png</t>
  </si>
  <si>
    <t>Estes,J</t>
  </si>
  <si>
    <t>estesjo01</t>
  </si>
  <si>
    <t>Joey Gallo</t>
  </si>
  <si>
    <t>https://sba-cards-2024.s3.us-east-1.amazonaws.com/2024-cards/joey-gallo.png</t>
  </si>
  <si>
    <t>Gallo,J</t>
  </si>
  <si>
    <t>gallojo01</t>
  </si>
  <si>
    <t>Joey Loperfido</t>
  </si>
  <si>
    <t>https://sba-cards-2024.s3.us-east-1.amazonaws.com/2024-cards/joey-loperfido.png</t>
  </si>
  <si>
    <t>Loperfido,J</t>
  </si>
  <si>
    <t>loperjo01</t>
  </si>
  <si>
    <t>Joey Meneses</t>
  </si>
  <si>
    <t>https://sba-cards-2024.s3.us-east-1.amazonaws.com/2024-cards/joey-meneses.png</t>
  </si>
  <si>
    <t>Meneses,J</t>
  </si>
  <si>
    <t>menesjo01</t>
  </si>
  <si>
    <t>Joey Ortiz</t>
  </si>
  <si>
    <t>https://sba-cards-2024.s3.us-east-1.amazonaws.com/2024-cards/joey-ortiz.png</t>
  </si>
  <si>
    <t>Ortiz,J</t>
  </si>
  <si>
    <t>ortizjo06</t>
  </si>
  <si>
    <t>Joey Wentz</t>
  </si>
  <si>
    <t>https://sba-cards-2024.s3.us-east-1.amazonaws.com/2024-cards/joey-wentz.png</t>
  </si>
  <si>
    <t>https://i.postimg.cc/Sxkd0jmb/Wentz-FC.png</t>
  </si>
  <si>
    <t>Wentz,J</t>
  </si>
  <si>
    <t>wentzjo01</t>
  </si>
  <si>
    <t>Johan Rojas</t>
  </si>
  <si>
    <t>https://sba-cards-2024.s3.us-east-1.amazonaws.com/2024-cards/johan-rojas.png</t>
  </si>
  <si>
    <t>Rojas,Johan</t>
  </si>
  <si>
    <t>rojasjo03</t>
  </si>
  <si>
    <t>John Brebbia</t>
  </si>
  <si>
    <t>https://sba-cards-2024.s3.us-east-1.amazonaws.com/2024-cards/john-brebbia.png</t>
  </si>
  <si>
    <t>Brebbia,J</t>
  </si>
  <si>
    <t>brebbjo01</t>
  </si>
  <si>
    <t>John King</t>
  </si>
  <si>
    <t>https://sba-cards-2024.s3.us-east-1.amazonaws.com/2024-cards/john-king.png</t>
  </si>
  <si>
    <t>King,J</t>
  </si>
  <si>
    <t>kingjo01</t>
  </si>
  <si>
    <t>John Schreiber</t>
  </si>
  <si>
    <t>https://sba-cards-2024.s3.us-east-1.amazonaws.com/2024-cards/john-schreiber.png</t>
  </si>
  <si>
    <t>Schreiber,J</t>
  </si>
  <si>
    <t>schrejo01</t>
  </si>
  <si>
    <t>JoJo Romero</t>
  </si>
  <si>
    <t>https://sba-cards-2024.s3.us-east-1.amazonaws.com/2024-cards/jojo-romero.png</t>
  </si>
  <si>
    <t>Romero,J</t>
  </si>
  <si>
    <t>romerjo01</t>
  </si>
  <si>
    <t>Jon Berti</t>
  </si>
  <si>
    <t>https://sba-cards-2024.s3.us-east-1.amazonaws.com/2024-cards/jon-berti.png</t>
  </si>
  <si>
    <t>Berti,J</t>
  </si>
  <si>
    <t>bertijo01</t>
  </si>
  <si>
    <t>Jon Gray</t>
  </si>
  <si>
    <t>https://sba-cards-2024.s3.us-east-1.amazonaws.com/2024-cards/jon-gray.png</t>
  </si>
  <si>
    <t>Gray,J</t>
  </si>
  <si>
    <t>grayjo02</t>
  </si>
  <si>
    <t>Jon Singleton</t>
  </si>
  <si>
    <t>https://sba-cards-2024.s3.us-east-1.amazonaws.com/2024-cards/jon-singleton.png</t>
  </si>
  <si>
    <t>Singleton,J</t>
  </si>
  <si>
    <t>singljo02</t>
  </si>
  <si>
    <t>Jonah Bride</t>
  </si>
  <si>
    <t>https://sba-cards-2024.s3.us-east-1.amazonaws.com/2024-cards/jonah-bride.png</t>
  </si>
  <si>
    <t>https://i.postimg.cc/CZh1yFTh/bride.png</t>
  </si>
  <si>
    <t>Bride,J</t>
  </si>
  <si>
    <t>bridejo01</t>
  </si>
  <si>
    <t>Jonah Heim</t>
  </si>
  <si>
    <t>https://sba-cards-2024.s3.us-east-1.amazonaws.com/2024-cards/jonah-heim.png</t>
  </si>
  <si>
    <t>Heim,J</t>
  </si>
  <si>
    <t>heimjo01</t>
  </si>
  <si>
    <t>Jonatan Clase</t>
  </si>
  <si>
    <t>https://sba-cards-2024.s3.us-east-1.amazonaws.com/2024-cards/jonatan-clase.png</t>
  </si>
  <si>
    <t>Clase,J</t>
  </si>
  <si>
    <t>clasejo01</t>
  </si>
  <si>
    <t>Jonathan Aranda</t>
  </si>
  <si>
    <t>https://sba-cards-2024.s3.us-east-1.amazonaws.com/2024-cards/jonathan-aranda.png</t>
  </si>
  <si>
    <t>Aranda,J</t>
  </si>
  <si>
    <t>arandjo01</t>
  </si>
  <si>
    <t>Jonathan Cannon</t>
  </si>
  <si>
    <t>https://sba-cards-2024.s3.us-east-1.amazonaws.com/2024-cards/jonathan-cannon.png</t>
  </si>
  <si>
    <t>Cannon,J</t>
  </si>
  <si>
    <t>cannojo02</t>
  </si>
  <si>
    <t>Jonathan Hernandez</t>
  </si>
  <si>
    <t>https://sba-cards-2024.s3.us-east-1.amazonaws.com/2024-cards/jonathan-hernandez.png</t>
  </si>
  <si>
    <t>Hernandez,Jonath</t>
  </si>
  <si>
    <t>hernajo02</t>
  </si>
  <si>
    <t>Jonathan India</t>
  </si>
  <si>
    <t>https://sba-cards-2024.s3.us-east-1.amazonaws.com/2024-cards/jonathan-india.png</t>
  </si>
  <si>
    <t>India,J</t>
  </si>
  <si>
    <t>indiajo01</t>
  </si>
  <si>
    <t>Jonny DeLuca</t>
  </si>
  <si>
    <t>https://sba-cards-2024.s3.us-east-1.amazonaws.com/2024-cards/jonny-deluca.png</t>
  </si>
  <si>
    <t>DeLuca,J</t>
  </si>
  <si>
    <t>delucjo01</t>
  </si>
  <si>
    <t>Jordan Beck</t>
  </si>
  <si>
    <t>https://sba-cards-2024.s3.us-east-1.amazonaws.com/2024-cards/jordan-beck.png</t>
  </si>
  <si>
    <t>Beck,J</t>
  </si>
  <si>
    <t>beckjo01</t>
  </si>
  <si>
    <t>Jordan Hicks</t>
  </si>
  <si>
    <t>https://sba-cards-2024.s3.us-east-1.amazonaws.com/2024-cards/jordan-hicks.png</t>
  </si>
  <si>
    <t>Hicks,J</t>
  </si>
  <si>
    <t>hicksjo03</t>
  </si>
  <si>
    <t>Jordan Leasure</t>
  </si>
  <si>
    <t>https://sba-cards-2024.s3.us-east-1.amazonaws.com/2024-cards/jordan-leasure.png</t>
  </si>
  <si>
    <t>Leasure,J</t>
  </si>
  <si>
    <t>leasujo01</t>
  </si>
  <si>
    <t>Jordan Montgomery</t>
  </si>
  <si>
    <t>https://sba-cards-2024.s3.us-east-1.amazonaws.com/2024-cards/jordan-montgomery.png</t>
  </si>
  <si>
    <t>Montgomery,J</t>
  </si>
  <si>
    <t>montgjo01</t>
  </si>
  <si>
    <t>Jordan Walker</t>
  </si>
  <si>
    <t>https://sba-cards-2024.s3.us-east-1.amazonaws.com/2024-cards/jordan-walker.png</t>
  </si>
  <si>
    <t>Walker,J</t>
  </si>
  <si>
    <t>walkejo02</t>
  </si>
  <si>
    <t>Jordan Weems</t>
  </si>
  <si>
    <t>https://sba-cards-2024.s3.us-east-1.amazonaws.com/2024-cards/jordan-weems.png</t>
  </si>
  <si>
    <t>Weems,J</t>
  </si>
  <si>
    <t>weemsjo01</t>
  </si>
  <si>
    <t>Jordan Westburg</t>
  </si>
  <si>
    <t>https://sba-cards-2024.s3.us-east-1.amazonaws.com/2024-cards/jordan-westburg.png</t>
  </si>
  <si>
    <t>Westburg,J</t>
  </si>
  <si>
    <t>westbjo01</t>
  </si>
  <si>
    <t>Jordan Wicks</t>
  </si>
  <si>
    <t>https://sba-cards-2024.s3.us-east-1.amazonaws.com/2024-cards/jordan-wicks.png</t>
  </si>
  <si>
    <t>Wicks,J</t>
  </si>
  <si>
    <t>wicksjo01</t>
  </si>
  <si>
    <t>Jorge Alcala</t>
  </si>
  <si>
    <t>https://sba-cards-2024.s3.us-east-1.amazonaws.com/2024-cards/jorge-alcala.png</t>
  </si>
  <si>
    <t>Alcala,J</t>
  </si>
  <si>
    <t>alcaljo01</t>
  </si>
  <si>
    <t>Jorge Lopez</t>
  </si>
  <si>
    <t>https://sba-cards-2024.s3.us-east-1.amazonaws.com/2024-cards/jorge-lopez.png</t>
  </si>
  <si>
    <t>Lopez,Jo</t>
  </si>
  <si>
    <t>lopezjo02</t>
  </si>
  <si>
    <t>Jorge Mateo</t>
  </si>
  <si>
    <t>https://sba-cards-2024.s3.us-east-1.amazonaws.com/2024-cards/jorge-mateo.png</t>
  </si>
  <si>
    <t>Mateo,J</t>
  </si>
  <si>
    <t>mateojo01</t>
  </si>
  <si>
    <t>https://sba-cards-2024.s3.us-east-1.amazonaws.com/2024-cards/jorge-polanco.png</t>
  </si>
  <si>
    <t>Polanco,J</t>
  </si>
  <si>
    <t>polanjo01</t>
  </si>
  <si>
    <t>Jorge Soler</t>
  </si>
  <si>
    <t>https://sba-cards-2024.s3.us-east-1.amazonaws.com/2024-cards/jorge-soler.png</t>
  </si>
  <si>
    <t>Soler,J</t>
  </si>
  <si>
    <t>solerjo01</t>
  </si>
  <si>
    <t>Jose Ferrer</t>
  </si>
  <si>
    <t>https://sba-cards-2024.s3.us-east-1.amazonaws.com/2024-cards/jose-ferrer.png</t>
  </si>
  <si>
    <t>Ferrer,J</t>
  </si>
  <si>
    <t>ferrejo01</t>
  </si>
  <si>
    <t>Jose Abreu</t>
  </si>
  <si>
    <t>https://sba-cards-2024.s3.us-east-1.amazonaws.com/2024-cards/jose-abreu.png</t>
  </si>
  <si>
    <t>Abreu,J</t>
  </si>
  <si>
    <t>abreujo02</t>
  </si>
  <si>
    <t>Jose Altuve</t>
  </si>
  <si>
    <t>https://sba-cards-2024.s3.us-east-1.amazonaws.com/2024-cards/jose-altuve.png</t>
  </si>
  <si>
    <t>Altuve,J</t>
  </si>
  <si>
    <t>altuvjo01</t>
  </si>
  <si>
    <t>Jose Alvarado</t>
  </si>
  <si>
    <t>https://sba-cards-2024.s3.us-east-1.amazonaws.com/2024-cards/jose-alvarado.png</t>
  </si>
  <si>
    <t>Alvarado,J</t>
  </si>
  <si>
    <t>alvarjo03</t>
  </si>
  <si>
    <t>Jose Azocar</t>
  </si>
  <si>
    <t>https://sba-cards-2024.s3.us-east-1.amazonaws.com/2024-cards/jose-azocar.png</t>
  </si>
  <si>
    <t>Azocar,J</t>
  </si>
  <si>
    <t>azocajo01</t>
  </si>
  <si>
    <t>Jose Berrios</t>
  </si>
  <si>
    <t>https://sba-cards-2024.s3.us-east-1.amazonaws.com/2024-cards/jose-berrios.png</t>
  </si>
  <si>
    <t>Berrios,J</t>
  </si>
  <si>
    <t>berrijo01</t>
  </si>
  <si>
    <t>Jose Butto</t>
  </si>
  <si>
    <t>https://sba-cards-2024.s3.us-east-1.amazonaws.com/2024-cards/jose-butto.png</t>
  </si>
  <si>
    <t>Butto,J</t>
  </si>
  <si>
    <t>buttojo01</t>
  </si>
  <si>
    <t>Jose Caballero</t>
  </si>
  <si>
    <t>https://sba-cards-2024.s3.us-east-1.amazonaws.com/2024-cards/jose-caballero.png</t>
  </si>
  <si>
    <t>Caballero,J</t>
  </si>
  <si>
    <t>cabaljo01</t>
  </si>
  <si>
    <t>Jose Fermin</t>
  </si>
  <si>
    <t>https://sba-cards-2024.s3.us-east-1.amazonaws.com/2024-cards/jose-fermin.png</t>
  </si>
  <si>
    <t>Fermin,J</t>
  </si>
  <si>
    <t>fermijo01</t>
  </si>
  <si>
    <t>Jose Herrera</t>
  </si>
  <si>
    <t>https://sba-cards-2024.s3.us-east-1.amazonaws.com/2024-cards/jose-herrera.png</t>
  </si>
  <si>
    <t>Herrera,J</t>
  </si>
  <si>
    <t>herrejo04</t>
  </si>
  <si>
    <t>Jose Iglesias</t>
  </si>
  <si>
    <t>https://sba-cards-2024.s3.us-east-1.amazonaws.com/2024-cards/jose-iglesias.png</t>
  </si>
  <si>
    <t>Iglesias,J</t>
  </si>
  <si>
    <t>iglesjo01</t>
  </si>
  <si>
    <t>Jose Leclerc</t>
  </si>
  <si>
    <t>https://sba-cards-2024.s3.us-east-1.amazonaws.com/2024-cards/jose-leclerc.png</t>
  </si>
  <si>
    <t>Leclerc,J</t>
  </si>
  <si>
    <t>leclejo01</t>
  </si>
  <si>
    <t>Jose Miranda</t>
  </si>
  <si>
    <t>https://sba-cards-2024.s3.us-east-1.amazonaws.com/2024-cards/jose-miranda.png</t>
  </si>
  <si>
    <t>Miranda,J</t>
  </si>
  <si>
    <t>miranjo01</t>
  </si>
  <si>
    <t>Jose Quintana</t>
  </si>
  <si>
    <t>https://sba-cards-2024.s3.us-east-1.amazonaws.com/2024-cards/jose-quintana.png</t>
  </si>
  <si>
    <t>Quintana,J</t>
  </si>
  <si>
    <t>quintjo01</t>
  </si>
  <si>
    <t>Jose Ramirez</t>
  </si>
  <si>
    <t>https://sba-cards-2024.s3.us-east-1.amazonaws.com/2024-cards/jose-ramirez.png</t>
  </si>
  <si>
    <t>Ramirez,J</t>
  </si>
  <si>
    <t>ramirjo01</t>
  </si>
  <si>
    <t>Jose Ruiz</t>
  </si>
  <si>
    <t>https://sba-cards-2024.s3.us-east-1.amazonaws.com/2024-cards/jose-ruiz.png</t>
  </si>
  <si>
    <t>Ruiz,J</t>
  </si>
  <si>
    <t>ruizjo01</t>
  </si>
  <si>
    <t>Jose Siri</t>
  </si>
  <si>
    <t>https://sba-cards-2024.s3.us-east-1.amazonaws.com/2024-cards/jose-siri.png</t>
  </si>
  <si>
    <t>Siri,J</t>
  </si>
  <si>
    <t>sirijo01</t>
  </si>
  <si>
    <t>Jose Soriano</t>
  </si>
  <si>
    <t>https://sba-cards-2024.s3.us-east-1.amazonaws.com/2024-cards/jose-soriano.png</t>
  </si>
  <si>
    <t>Soriano,J</t>
  </si>
  <si>
    <t>soriajo02</t>
  </si>
  <si>
    <t>Jose Suarez</t>
  </si>
  <si>
    <t>https://sba-cards-2024.s3.us-east-1.amazonaws.com/2024-cards/jose-suarez.png</t>
  </si>
  <si>
    <t>Suarez,J</t>
  </si>
  <si>
    <t>suarejo01</t>
  </si>
  <si>
    <t>Jose Tena</t>
  </si>
  <si>
    <t>https://sba-cards-2024.s3.us-east-1.amazonaws.com/2024-cards/jose-tena.png</t>
  </si>
  <si>
    <t>Tena,J</t>
  </si>
  <si>
    <t>tenajo01</t>
  </si>
  <si>
    <t>Jose Trevino</t>
  </si>
  <si>
    <t>https://sba-cards-2024.s3.us-east-1.amazonaws.com/2024-cards/jose-trevino.png</t>
  </si>
  <si>
    <t>Trevino,J</t>
  </si>
  <si>
    <t>trevijo01</t>
  </si>
  <si>
    <t>Jose Urena</t>
  </si>
  <si>
    <t>https://sba-cards-2024.s3.us-east-1.amazonaws.com/2024-cards/jose-urena.png</t>
  </si>
  <si>
    <t>Urena,J</t>
  </si>
  <si>
    <t>urenajo01</t>
  </si>
  <si>
    <t>Josh Bell</t>
  </si>
  <si>
    <t>https://sba-cards-2024.s3.us-east-1.amazonaws.com/2024-cards/josh-bell.png</t>
  </si>
  <si>
    <t>Bell,J</t>
  </si>
  <si>
    <t>belljo02</t>
  </si>
  <si>
    <t>Josh Fleming</t>
  </si>
  <si>
    <t>https://sba-cards-2024.s3.us-east-1.amazonaws.com/2024-cards/josh-fleming.png</t>
  </si>
  <si>
    <t>Fleming,J</t>
  </si>
  <si>
    <t>flemijo01</t>
  </si>
  <si>
    <t>Josh Hader</t>
  </si>
  <si>
    <t>https://sba-cards-2024.s3.us-east-1.amazonaws.com/2024-cards/josh-hader.png</t>
  </si>
  <si>
    <t>Hader,J</t>
  </si>
  <si>
    <t>haderjo01</t>
  </si>
  <si>
    <t>Josh Jung</t>
  </si>
  <si>
    <t>https://sba-cards-2024.s3.us-east-1.amazonaws.com/2024-cards/josh-jung.png</t>
  </si>
  <si>
    <t>Jung,Jo</t>
  </si>
  <si>
    <t>jungjo01</t>
  </si>
  <si>
    <t>Josh Lowe</t>
  </si>
  <si>
    <t>https://sba-cards-2024.s3.us-east-1.amazonaws.com/2024-cards/josh-lowe.png</t>
  </si>
  <si>
    <t>Lowe,J</t>
  </si>
  <si>
    <t>lowejo01</t>
  </si>
  <si>
    <t>Josh Naylor</t>
  </si>
  <si>
    <t>https://sba-cards-2024.s3.us-east-1.amazonaws.com/2024-cards/josh-naylor.png</t>
  </si>
  <si>
    <t>Naylor,J</t>
  </si>
  <si>
    <t>naylojo01</t>
  </si>
  <si>
    <t>Josh Palacios</t>
  </si>
  <si>
    <t>https://sba-cards-2024.s3.us-east-1.amazonaws.com/2024-cards/josh-palacios.png</t>
  </si>
  <si>
    <t>Palacios,J</t>
  </si>
  <si>
    <t>palacjo01</t>
  </si>
  <si>
    <t>Josh Rojas</t>
  </si>
  <si>
    <t>https://sba-cards-2024.s3.us-east-1.amazonaws.com/2024-cards/josh-rojas.png</t>
  </si>
  <si>
    <t>Rojas,J</t>
  </si>
  <si>
    <t>rojasjo01</t>
  </si>
  <si>
    <t>Josh Smith</t>
  </si>
  <si>
    <t>https://sba-cards-2024.s3.us-east-1.amazonaws.com/2024-cards/josh-smith.png</t>
  </si>
  <si>
    <t>Smith,J</t>
  </si>
  <si>
    <t>smithjo11</t>
  </si>
  <si>
    <t>Josh Staumont</t>
  </si>
  <si>
    <t>https://sba-cards-2024.s3.us-east-1.amazonaws.com/2024-cards/josh-staumont.png</t>
  </si>
  <si>
    <t>w08g2</t>
  </si>
  <si>
    <t>Staumont,J</t>
  </si>
  <si>
    <t>staumjo01</t>
  </si>
  <si>
    <t>Josh Winckowski</t>
  </si>
  <si>
    <t>https://sba-cards-2024.s3.us-east-1.amazonaws.com/2024-cards/josh-winckowski.png</t>
  </si>
  <si>
    <t>Winckowski,J</t>
  </si>
  <si>
    <t>winckjo01</t>
  </si>
  <si>
    <t>JP Crawford</t>
  </si>
  <si>
    <t>https://sba-cards-2024.s3.us-east-1.amazonaws.com/2024-cards/jp-crawford.png</t>
  </si>
  <si>
    <t>Crawford,J</t>
  </si>
  <si>
    <t>crawfjp01</t>
  </si>
  <si>
    <t>JP Sears</t>
  </si>
  <si>
    <t>https://sba-cards-2024.s3.us-east-1.amazonaws.com/2024-cards/jp-sears.png</t>
  </si>
  <si>
    <t>Sears,J</t>
  </si>
  <si>
    <t>searsjp01</t>
  </si>
  <si>
    <t>JT Chargois</t>
  </si>
  <si>
    <t>https://sba-cards-2024.s3.us-east-1.amazonaws.com/2024-cards/jt-chargois.png</t>
  </si>
  <si>
    <t>Chargois,J</t>
  </si>
  <si>
    <t>chargjt01</t>
  </si>
  <si>
    <t>JT Ginn</t>
  </si>
  <si>
    <t>https://sba-cards-2024.s3.us-east-1.amazonaws.com/2024-cards/jt-ginn.png</t>
  </si>
  <si>
    <t>Ginn,J</t>
  </si>
  <si>
    <t>ginnjt01</t>
  </si>
  <si>
    <t>JT Realmuto</t>
  </si>
  <si>
    <t>https://sba-cards-2024.s3.us-east-1.amazonaws.com/2024-cards/jt-realmuto.png</t>
  </si>
  <si>
    <t>Realmuto,J</t>
  </si>
  <si>
    <t>realmjt01</t>
  </si>
  <si>
    <t>Juan Soto</t>
  </si>
  <si>
    <t>https://sba-cards-2024.s3.us-east-1.amazonaws.com/2024-cards/juan-soto.png</t>
  </si>
  <si>
    <t>Soto,J</t>
  </si>
  <si>
    <t>sotoju01</t>
  </si>
  <si>
    <t>Juan Yepez</t>
  </si>
  <si>
    <t>https://sba-cards-2024.s3.us-east-1.amazonaws.com/2024-cards/juan-yepez.png</t>
  </si>
  <si>
    <t>Yepez,J</t>
  </si>
  <si>
    <t>yepezju01</t>
  </si>
  <si>
    <t>Julian Aguiar</t>
  </si>
  <si>
    <t>https://sba-cards-2024.s3.us-east-1.amazonaws.com/2024-cards/julian-aguiar.png</t>
  </si>
  <si>
    <t>Aguiar,J</t>
  </si>
  <si>
    <t>aguiaju01</t>
  </si>
  <si>
    <t>Julio Rodriguez</t>
  </si>
  <si>
    <t>https://sba-cards-2024.s3.us-east-1.amazonaws.com/2024-cards/julio-rodriguez.png</t>
  </si>
  <si>
    <t>Rodriguez,Julio</t>
  </si>
  <si>
    <t>rodriju01</t>
  </si>
  <si>
    <t>Jung Hoo Lee</t>
  </si>
  <si>
    <t>https://sba-cards-2024.s3.us-east-1.amazonaws.com/2024-cards/jung-hoo-lee.png</t>
  </si>
  <si>
    <t>Hoo Lee,J</t>
  </si>
  <si>
    <t>leeju01</t>
  </si>
  <si>
    <t>Junior Caminero</t>
  </si>
  <si>
    <t>https://sba-cards-2024.s3.us-east-1.amazonaws.com/2024-cards/junior-caminero.png</t>
  </si>
  <si>
    <t>Caminero,J</t>
  </si>
  <si>
    <t>caminju01</t>
  </si>
  <si>
    <t>Jurickson Profar</t>
  </si>
  <si>
    <t>https://sba-cards-2024.s3.us-east-1.amazonaws.com/2024-cards/jurickson-profar.png</t>
  </si>
  <si>
    <t>Profar,J</t>
  </si>
  <si>
    <t>profaju01</t>
  </si>
  <si>
    <t>Justin Anderson</t>
  </si>
  <si>
    <t>https://sba-cards-2024.s3.us-east-1.amazonaws.com/2024-cards/justin-anderson.png</t>
  </si>
  <si>
    <t>Anderson,J</t>
  </si>
  <si>
    <t>anderju01</t>
  </si>
  <si>
    <t>Justin Lawrence</t>
  </si>
  <si>
    <t>https://sba-cards-2024.s3.us-east-1.amazonaws.com/2024-cards/justin-lawrence.png</t>
  </si>
  <si>
    <t>Lawrence,J</t>
  </si>
  <si>
    <t>lawreju01</t>
  </si>
  <si>
    <t>Justin Martinez</t>
  </si>
  <si>
    <t>https://sba-cards-2024.s3.us-east-1.amazonaws.com/2024-cards/justin-martinez.png</t>
  </si>
  <si>
    <t>https://i.postimg.cc/sx5YqCL8/Martinez-FC.png</t>
  </si>
  <si>
    <t>Martinez,Ju</t>
  </si>
  <si>
    <t>martiju01</t>
  </si>
  <si>
    <t>Justin Slaten</t>
  </si>
  <si>
    <t>https://sba-cards-2024.s3.us-east-1.amazonaws.com/2024-cards/justin-slaten.png</t>
  </si>
  <si>
    <t>Slaten,J</t>
  </si>
  <si>
    <t>slateju01</t>
  </si>
  <si>
    <t>Justin Steele</t>
  </si>
  <si>
    <t>https://sba-cards-2024.s3.us-east-1.amazonaws.com/2024-cards/justin-steele.png</t>
  </si>
  <si>
    <t>Steele,J</t>
  </si>
  <si>
    <t>steelju01</t>
  </si>
  <si>
    <t>2p70</t>
  </si>
  <si>
    <t>Justin Turner</t>
  </si>
  <si>
    <t>https://sba-cards-2024.s3.us-east-1.amazonaws.com/2024-cards/justin-turner.png</t>
  </si>
  <si>
    <t>Turner,J</t>
  </si>
  <si>
    <t>turneju01</t>
  </si>
  <si>
    <t>Justin Verlander</t>
  </si>
  <si>
    <t>https://sba-cards-2024.s3.us-east-1.amazonaws.com/2024-cards/justin-verlander.png</t>
  </si>
  <si>
    <t>Verlander,J</t>
  </si>
  <si>
    <t>verlaju01</t>
  </si>
  <si>
    <t>Justin Wilson</t>
  </si>
  <si>
    <t>https://sba-cards-2024.s3.us-east-1.amazonaws.com/2024-cards/justin-wilson.png</t>
  </si>
  <si>
    <t>Wilson,Ju</t>
  </si>
  <si>
    <t>wilsoju10</t>
  </si>
  <si>
    <t>Justin Wrobleski</t>
  </si>
  <si>
    <t>https://sba-cards-2024.s3.us-east-1.amazonaws.com/2024-cards/justin-wrobleski.png</t>
  </si>
  <si>
    <t>Wrobleski,J</t>
  </si>
  <si>
    <t>wroblju01</t>
  </si>
  <si>
    <t>Justyn Henry Malloy</t>
  </si>
  <si>
    <t>https://sba-cards-2024.s3.us-east-1.amazonaws.com/2024-cards/justyn-henry-malloy.png</t>
  </si>
  <si>
    <t>Henry Malloy,J</t>
  </si>
  <si>
    <t>malloju02</t>
  </si>
  <si>
    <t>Kaleb Ort</t>
  </si>
  <si>
    <t>https://sba-cards-2024.s3.us-east-1.amazonaws.com/2024-cards/kaleb-ort.png</t>
  </si>
  <si>
    <t>Ort,K</t>
  </si>
  <si>
    <t>ortka01</t>
  </si>
  <si>
    <t>Keaton Winn</t>
  </si>
  <si>
    <t>https://sba-cards-2024.s3.us-east-1.amazonaws.com/2024-cards/keaton-winn.png</t>
  </si>
  <si>
    <t>Winn,K</t>
  </si>
  <si>
    <t>winnke01</t>
  </si>
  <si>
    <t>KeBryan Hayes</t>
  </si>
  <si>
    <t>https://sba-cards-2024.s3.us-east-1.amazonaws.com/2024-cards/kebryan-hayes.png</t>
  </si>
  <si>
    <t>Hayes,K</t>
  </si>
  <si>
    <t>hayeske01</t>
  </si>
  <si>
    <t>Keegan Akin</t>
  </si>
  <si>
    <t>https://sba-cards-2024.s3.us-east-1.amazonaws.com/2024-cards/keegan-akin.png</t>
  </si>
  <si>
    <t>Akin,K</t>
  </si>
  <si>
    <t>akinke01</t>
  </si>
  <si>
    <t>Keegan Thompson</t>
  </si>
  <si>
    <t>https://sba-cards-2024.s3.us-east-1.amazonaws.com/2024-cards/keegan-thompson.png</t>
  </si>
  <si>
    <t>MYTIL</t>
  </si>
  <si>
    <t>Thompson,K</t>
  </si>
  <si>
    <t>thompke02</t>
  </si>
  <si>
    <t>Keibert Ruiz</t>
  </si>
  <si>
    <t>https://sba-cards-2024.s3.us-east-1.amazonaws.com/2024-cards/keibert-ruiz.png</t>
  </si>
  <si>
    <t>Ruiz,K</t>
  </si>
  <si>
    <t>ruizke01</t>
  </si>
  <si>
    <t>Keider Montero</t>
  </si>
  <si>
    <t>https://sba-cards-2024.s3.us-east-1.amazonaws.com/2024-cards/keider-montero.png</t>
  </si>
  <si>
    <t>Montero,K</t>
  </si>
  <si>
    <t>monteke01</t>
  </si>
  <si>
    <t>Kenley Jansen</t>
  </si>
  <si>
    <t>https://sba-cards-2024.s3.us-east-1.amazonaws.com/2024-cards/kenley-jansen.png</t>
  </si>
  <si>
    <t>Jansen,K</t>
  </si>
  <si>
    <t>janseke01</t>
  </si>
  <si>
    <t>Kenta Maeda</t>
  </si>
  <si>
    <t>https://sba-cards-2024.s3.us-east-1.amazonaws.com/2024-cards/kenta-maeda.png</t>
  </si>
  <si>
    <t>Maeda,K</t>
  </si>
  <si>
    <t>maedake01</t>
  </si>
  <si>
    <t>Kerry Carpenter</t>
  </si>
  <si>
    <t>https://sba-cards-2024.s3.us-east-1.amazonaws.com/2024-cards/kerry-carpenter.png</t>
  </si>
  <si>
    <t>Carpenter,K</t>
  </si>
  <si>
    <t>carpeke01</t>
  </si>
  <si>
    <t>Ketel Marte</t>
  </si>
  <si>
    <t>https://sba-cards-2024.s3.us-east-1.amazonaws.com/2024-cards/ketel-marte.png</t>
  </si>
  <si>
    <t>https://i.postimg.cc/3y7WZCxn/ss-2b.png</t>
  </si>
  <si>
    <t>Marte,K</t>
  </si>
  <si>
    <t>marteke01</t>
  </si>
  <si>
    <t>Kevin Gausman</t>
  </si>
  <si>
    <t>https://sba-cards-2024.s3.us-east-1.amazonaws.com/2024-cards/kevin-gausman.png</t>
  </si>
  <si>
    <t>Gausman,K</t>
  </si>
  <si>
    <t>gausmke01</t>
  </si>
  <si>
    <t>Kevin Ginkel</t>
  </si>
  <si>
    <t>https://sba-cards-2024.s3.us-east-1.amazonaws.com/2024-cards/kevin-ginkel.png</t>
  </si>
  <si>
    <t>Ginkel,K</t>
  </si>
  <si>
    <t>ginkeke01</t>
  </si>
  <si>
    <t>Kevin Kelly</t>
  </si>
  <si>
    <t>https://sba-cards-2024.s3.us-east-1.amazonaws.com/2024-cards/kevin-kelly.png</t>
  </si>
  <si>
    <t>Kelly,K</t>
  </si>
  <si>
    <t>kellyke02</t>
  </si>
  <si>
    <t>Kevin Kiermaier</t>
  </si>
  <si>
    <t>https://sba-cards-2024.s3.us-east-1.amazonaws.com/2024-cards/kevin-kiermaier.png</t>
  </si>
  <si>
    <t>Kiermaier,K</t>
  </si>
  <si>
    <t>kiermke01</t>
  </si>
  <si>
    <t>Kevin Newman</t>
  </si>
  <si>
    <t>https://sba-cards-2024.s3.us-east-1.amazonaws.com/2024-cards/kevin-newman.png</t>
  </si>
  <si>
    <t>Newman,K</t>
  </si>
  <si>
    <t>newmake01</t>
  </si>
  <si>
    <t>Kevin Pillar</t>
  </si>
  <si>
    <t>https://sba-cards-2024.s3.us-east-1.amazonaws.com/2024-cards/kevin-pillar.png</t>
  </si>
  <si>
    <t>https://i.postimg.cc/0QFnhfyD/Pillar-FC.png</t>
  </si>
  <si>
    <t>Pillar,K</t>
  </si>
  <si>
    <t>pillake01</t>
  </si>
  <si>
    <t>Kirby Yates</t>
  </si>
  <si>
    <t>https://sba-cards-2024.s3.us-east-1.amazonaws.com/2024-cards/kirby-yates.png</t>
  </si>
  <si>
    <t>Yates,K</t>
  </si>
  <si>
    <t>yateski01</t>
  </si>
  <si>
    <t>Kody Clemens</t>
  </si>
  <si>
    <t>https://sba-cards-2024.s3.us-east-1.amazonaws.com/2024-cards/kody-clemens.png</t>
  </si>
  <si>
    <t>Clemens,K</t>
  </si>
  <si>
    <t>clemeko01</t>
  </si>
  <si>
    <t>Kody Funderburk</t>
  </si>
  <si>
    <t>https://sba-cards-2024.s3.us-east-1.amazonaws.com/2024-cards/kody-funderburk.png</t>
  </si>
  <si>
    <t>Funderburk,K</t>
  </si>
  <si>
    <t>fundeko01</t>
  </si>
  <si>
    <t>Korey Lee</t>
  </si>
  <si>
    <t>https://sba-cards-2024.s3.us-east-1.amazonaws.com/2024-cards/korey-lee.png</t>
  </si>
  <si>
    <t>Lee,K</t>
  </si>
  <si>
    <t>leeko01</t>
  </si>
  <si>
    <t>Kris Bryant</t>
  </si>
  <si>
    <t>https://sba-cards-2024.s3.us-east-1.amazonaws.com/2024-cards/kris-bryant.png</t>
  </si>
  <si>
    <t>Bryant,K</t>
  </si>
  <si>
    <t>bryankr01</t>
  </si>
  <si>
    <t>Kris Bubic</t>
  </si>
  <si>
    <t>https://sba-cards-2024.s3.us-east-1.amazonaws.com/2024-cards/kris-bubic.png</t>
  </si>
  <si>
    <t>Bubic,K</t>
  </si>
  <si>
    <t>bubickr01</t>
  </si>
  <si>
    <t>Kutter Crawford</t>
  </si>
  <si>
    <t>https://sba-cards-2024.s3.us-east-1.amazonaws.com/2024-cards/kutter-crawford.png</t>
  </si>
  <si>
    <t>Crawford,K</t>
  </si>
  <si>
    <t>crawfku01</t>
  </si>
  <si>
    <t>Kyle Bradish</t>
  </si>
  <si>
    <t>https://sba-cards-2024.s3.us-east-1.amazonaws.com/2024-cards/kyle-bradish.png</t>
  </si>
  <si>
    <t>Bradish,K</t>
  </si>
  <si>
    <t>bradiky01</t>
  </si>
  <si>
    <t>Kyle Farmer</t>
  </si>
  <si>
    <t>https://sba-cards-2024.s3.us-east-1.amazonaws.com/2024-cards/kyle-farmer.png</t>
  </si>
  <si>
    <t>Farmer,K</t>
  </si>
  <si>
    <t>farmeky01</t>
  </si>
  <si>
    <t>Kyle Finnegan</t>
  </si>
  <si>
    <t>https://sba-cards-2024.s3.us-east-1.amazonaws.com/2024-cards/kyle-finnegan.png</t>
  </si>
  <si>
    <t>Finnegan,K</t>
  </si>
  <si>
    <t>finneky01</t>
  </si>
  <si>
    <t>Kyle Freeland</t>
  </si>
  <si>
    <t>https://sba-cards-2024.s3.us-east-1.amazonaws.com/2024-cards/kyle-freeland.png</t>
  </si>
  <si>
    <t>Freeland,K</t>
  </si>
  <si>
    <t>freelky01</t>
  </si>
  <si>
    <t>Kyle Gibson</t>
  </si>
  <si>
    <t>https://sba-cards-2024.s3.us-east-1.amazonaws.com/2024-cards/kyle-gibson.png</t>
  </si>
  <si>
    <t>Gibson,K</t>
  </si>
  <si>
    <t>gibsoky01</t>
  </si>
  <si>
    <t>Kyle Harrison</t>
  </si>
  <si>
    <t>https://sba-cards-2024.s3.us-east-1.amazonaws.com/2024-cards/kyle-harrison.png</t>
  </si>
  <si>
    <t>Harrison,K</t>
  </si>
  <si>
    <t>harriky01</t>
  </si>
  <si>
    <t>Kyle Hendricks</t>
  </si>
  <si>
    <t>https://sba-cards-2024.s3.us-east-1.amazonaws.com/2024-cards/kyle-hendricks.png</t>
  </si>
  <si>
    <t>Hendricks,K</t>
  </si>
  <si>
    <t>hendrky01</t>
  </si>
  <si>
    <t>Kyle Higashioka</t>
  </si>
  <si>
    <t>https://sba-cards-2024.s3.us-east-1.amazonaws.com/2024-cards/kyle-higashioka.png</t>
  </si>
  <si>
    <t>Higashioka,K</t>
  </si>
  <si>
    <t>higasky01</t>
  </si>
  <si>
    <t>Kyle Isbel</t>
  </si>
  <si>
    <t>https://sba-cards-2024.s3.us-east-1.amazonaws.com/2024-cards/kyle-isbel.png</t>
  </si>
  <si>
    <t>Isbel,K</t>
  </si>
  <si>
    <t>isbelky01</t>
  </si>
  <si>
    <t>Kyle Leahy</t>
  </si>
  <si>
    <t>https://sba-cards-2024.s3.us-east-1.amazonaws.com/2024-cards/kyle-leahy.png</t>
  </si>
  <si>
    <t>Leahy,K</t>
  </si>
  <si>
    <t>leahyky01</t>
  </si>
  <si>
    <t>Kyle Manzardo</t>
  </si>
  <si>
    <t>https://sba-cards-2024.s3.us-east-1.amazonaws.com/2024-cards/kyle-manzardo.png</t>
  </si>
  <si>
    <t>Manzardo,K</t>
  </si>
  <si>
    <t>manzaky01</t>
  </si>
  <si>
    <t>Kyle McCann</t>
  </si>
  <si>
    <t>https://sba-cards-2024.s3.us-east-1.amazonaws.com/2024-cards/kyle-mccann.png</t>
  </si>
  <si>
    <t>McCann,K</t>
  </si>
  <si>
    <t>mccanky01</t>
  </si>
  <si>
    <t>Kyle Muller</t>
  </si>
  <si>
    <t>https://sba-cards-2024.s3.us-east-1.amazonaws.com/2024-cards/kyle-muller.png</t>
  </si>
  <si>
    <t>Muller,K</t>
  </si>
  <si>
    <t>mulleky01</t>
  </si>
  <si>
    <t>Kyle Nicolas</t>
  </si>
  <si>
    <t>https://sba-cards-2024.s3.us-east-1.amazonaws.com/2024-cards/kyle-nicolas.png</t>
  </si>
  <si>
    <t>Nicolas,K</t>
  </si>
  <si>
    <t>nicolky01</t>
  </si>
  <si>
    <t>Kyle Schwarber</t>
  </si>
  <si>
    <t>https://sba-cards-2024.s3.us-east-1.amazonaws.com/2024-cards/kyle-schwarber.png</t>
  </si>
  <si>
    <t>Schwarber,K</t>
  </si>
  <si>
    <t>schwaky01</t>
  </si>
  <si>
    <t>Kyle Stowers</t>
  </si>
  <si>
    <t>https://sba-cards-2024.s3.us-east-1.amazonaws.com/2024-cards/kyle-stowers.png</t>
  </si>
  <si>
    <t>Stowers,K</t>
  </si>
  <si>
    <t>stoweky01</t>
  </si>
  <si>
    <t>Kyle Tucker</t>
  </si>
  <si>
    <t>https://sba-cards-2024.s3.us-east-1.amazonaws.com/2024-cards/kyle-tucker.png</t>
  </si>
  <si>
    <t>DENIL</t>
  </si>
  <si>
    <t>https://i.postimg.cc/p9xyBYLg/ss-of3.png</t>
  </si>
  <si>
    <t>Tucker,K</t>
  </si>
  <si>
    <t>tuckeky01</t>
  </si>
  <si>
    <t>Kyle Tyler</t>
  </si>
  <si>
    <t>https://sba-cards-2024.s3.us-east-1.amazonaws.com/2024-cards/kyle-tyler.png</t>
  </si>
  <si>
    <t>Tyler,K</t>
  </si>
  <si>
    <t>tylerky01</t>
  </si>
  <si>
    <t>LaMonte Wade Jr</t>
  </si>
  <si>
    <t>https://sba-cards-2024.s3.us-east-1.amazonaws.com/2024-cards/lamonte-wade-jr.png</t>
  </si>
  <si>
    <t>Wade Jr,L</t>
  </si>
  <si>
    <t>wadela01</t>
  </si>
  <si>
    <t>Lance Lynn</t>
  </si>
  <si>
    <t>https://sba-cards-2024.s3.us-east-1.amazonaws.com/2024-cards/lance-lynn.png</t>
  </si>
  <si>
    <t>Lynn,L</t>
  </si>
  <si>
    <t>lynnla01</t>
  </si>
  <si>
    <t>Landen Roupp</t>
  </si>
  <si>
    <t>https://sba-cards-2024.s3.us-east-1.amazonaws.com/2024-cards/landen-roupp.png</t>
  </si>
  <si>
    <t>Roupp,L</t>
  </si>
  <si>
    <t>rouppla01</t>
  </si>
  <si>
    <t>Landon Knack</t>
  </si>
  <si>
    <t>https://sba-cards-2024.s3.us-east-1.amazonaws.com/2024-cards/landon-knack.png</t>
  </si>
  <si>
    <t>Knack,L</t>
  </si>
  <si>
    <t>knackla01</t>
  </si>
  <si>
    <t>Lane Thomas</t>
  </si>
  <si>
    <t>https://sba-cards-2024.s3.us-east-1.amazonaws.com/2024-cards/lane-thomas.png</t>
  </si>
  <si>
    <t>Thomas,L</t>
  </si>
  <si>
    <t>thomala02</t>
  </si>
  <si>
    <t>Lars Nootbaar</t>
  </si>
  <si>
    <t>https://sba-cards-2024.s3.us-east-1.amazonaws.com/2024-cards/lars-nootbaar.png</t>
  </si>
  <si>
    <t>Nootbaar,L</t>
  </si>
  <si>
    <t>nootbla01</t>
  </si>
  <si>
    <t>Lawrence Butler</t>
  </si>
  <si>
    <t>https://sba-cards-2024.s3.us-east-1.amazonaws.com/2024-cards/lawrence-butler.png</t>
  </si>
  <si>
    <t>Butler,L</t>
  </si>
  <si>
    <t>butlela01</t>
  </si>
  <si>
    <t>Lenyn Sosa</t>
  </si>
  <si>
    <t>https://sba-cards-2024.s3.us-east-1.amazonaws.com/2024-cards/lenyn-sosa.png</t>
  </si>
  <si>
    <t>Sosa,L</t>
  </si>
  <si>
    <t>sosale01</t>
  </si>
  <si>
    <t>Leo Jimenez</t>
  </si>
  <si>
    <t>https://sba-cards-2024.s3.us-east-1.amazonaws.com/2024-cards/leo-jimenez.png</t>
  </si>
  <si>
    <t>Jimenez,L</t>
  </si>
  <si>
    <t>jimenle01</t>
  </si>
  <si>
    <t>Leo Rivas</t>
  </si>
  <si>
    <t>https://sba-cards-2024.s3.us-east-1.amazonaws.com/2024-cards/leo-rivas.png</t>
  </si>
  <si>
    <t>Rivas,L</t>
  </si>
  <si>
    <t>rivasle01</t>
  </si>
  <si>
    <t>Leody Taveras</t>
  </si>
  <si>
    <t>https://sba-cards-2024.s3.us-east-1.amazonaws.com/2024-cards/leody-taveras.png</t>
  </si>
  <si>
    <t>Taveras,L</t>
  </si>
  <si>
    <t>taverle01</t>
  </si>
  <si>
    <t>Logan Allen</t>
  </si>
  <si>
    <t>https://sba-cards-2024.s3.us-east-1.amazonaws.com/2024-cards/logan-allen.png</t>
  </si>
  <si>
    <t>Allen,L</t>
  </si>
  <si>
    <t>allenlo01</t>
  </si>
  <si>
    <t>Logan Gilbert</t>
  </si>
  <si>
    <t>https://sba-cards-2024.s3.us-east-1.amazonaws.com/2024-cards/logan-gilbert.png</t>
  </si>
  <si>
    <t>Gilbert,L</t>
  </si>
  <si>
    <t>gilbelo01</t>
  </si>
  <si>
    <t>Logan OHoppe</t>
  </si>
  <si>
    <t>https://sba-cards-2024.s3.us-east-1.amazonaws.com/2024-cards/logan-ohoppe.png</t>
  </si>
  <si>
    <t>OHoppe,L</t>
  </si>
  <si>
    <t>ohopplo01</t>
  </si>
  <si>
    <t>Logan T Allen</t>
  </si>
  <si>
    <t>https://sba-cards-2024.s3.us-east-1.amazonaws.com/2024-cards/logan-t-allen.png</t>
  </si>
  <si>
    <t>T Allen,L</t>
  </si>
  <si>
    <t>allenlo02</t>
  </si>
  <si>
    <t>Logan Webb</t>
  </si>
  <si>
    <t>https://sba-cards-2024.s3.us-east-1.amazonaws.com/2024-cards/logan-webb.png</t>
  </si>
  <si>
    <t>Webb,L</t>
  </si>
  <si>
    <t>webblo01</t>
  </si>
  <si>
    <t>Louie Varland</t>
  </si>
  <si>
    <t>https://sba-cards-2024.s3.us-east-1.amazonaws.com/2024-cards/louie-varland.png</t>
  </si>
  <si>
    <t>Varland,L</t>
  </si>
  <si>
    <t>varlalo01</t>
  </si>
  <si>
    <t>Lourdes Gurriel Jr</t>
  </si>
  <si>
    <t>https://sba-cards-2024.s3.us-east-1.amazonaws.com/2024-cards/lourdes-gurriel-jr.png</t>
  </si>
  <si>
    <t>Gurriel,L</t>
  </si>
  <si>
    <t>gurrilo01</t>
  </si>
  <si>
    <t>Lucas Erceg</t>
  </si>
  <si>
    <t>https://sba-cards-2024.s3.us-east-1.amazonaws.com/2024-cards/lucas-erceg.png</t>
  </si>
  <si>
    <t>Erceg,L</t>
  </si>
  <si>
    <t>erceglu01</t>
  </si>
  <si>
    <t>Lucas Sims</t>
  </si>
  <si>
    <t>https://sba-cards-2024.s3.us-east-1.amazonaws.com/2024-cards/lucas-sims.png</t>
  </si>
  <si>
    <t>Sims,L</t>
  </si>
  <si>
    <t>simslu01</t>
  </si>
  <si>
    <t>Luis Arraez</t>
  </si>
  <si>
    <t>https://sba-cards-2024.s3.us-east-1.amazonaws.com/2024-cards/luis-arraez.png</t>
  </si>
  <si>
    <t>Arraez,L</t>
  </si>
  <si>
    <t>arraelu01</t>
  </si>
  <si>
    <t>Luis Campusano</t>
  </si>
  <si>
    <t>https://sba-cards-2024.s3.us-east-1.amazonaws.com/2024-cards/luis-campusano.png</t>
  </si>
  <si>
    <t>Campusano,L</t>
  </si>
  <si>
    <t>campulu01</t>
  </si>
  <si>
    <t>Luis Castillo</t>
  </si>
  <si>
    <t>https://sba-cards-2024.s3.us-east-1.amazonaws.com/2024-cards/luis-castillo.png</t>
  </si>
  <si>
    <t>Castillo,L</t>
  </si>
  <si>
    <t>castilu02</t>
  </si>
  <si>
    <t>Luis Garcia</t>
  </si>
  <si>
    <t>https://sba-cards-2024.s3.us-east-1.amazonaws.com/2024-cards/luis-v-garcia.png</t>
  </si>
  <si>
    <t>Garcia,L</t>
  </si>
  <si>
    <t>garcilu03</t>
  </si>
  <si>
    <t>Luis Gil</t>
  </si>
  <si>
    <t>https://sba-cards-2024.s3.us-east-1.amazonaws.com/2024-cards/luis-gil.png</t>
  </si>
  <si>
    <t>Gil,L</t>
  </si>
  <si>
    <t>gillu01</t>
  </si>
  <si>
    <t>Luis Guillorme</t>
  </si>
  <si>
    <t>https://sba-cards-2024.s3.us-east-1.amazonaws.com/2024-cards/luis-guillorme.png</t>
  </si>
  <si>
    <t>Guillorme,L</t>
  </si>
  <si>
    <t>guilllu01</t>
  </si>
  <si>
    <t>Luis Matos</t>
  </si>
  <si>
    <t>https://sba-cards-2024.s3.us-east-1.amazonaws.com/2024-cards/luis-matos.png</t>
  </si>
  <si>
    <t>Matos,L</t>
  </si>
  <si>
    <t>matoslu02</t>
  </si>
  <si>
    <t>Luis Medina</t>
  </si>
  <si>
    <t>https://sba-cards-2024.s3.us-east-1.amazonaws.com/2024-cards/luis-medina.png</t>
  </si>
  <si>
    <t>Medina,L</t>
  </si>
  <si>
    <t>medinlu02</t>
  </si>
  <si>
    <t>Luis Ortiz</t>
  </si>
  <si>
    <t>https://sba-cards-2024.s3.us-east-1.amazonaws.com/2024-cards/luis-ortiz.png</t>
  </si>
  <si>
    <t>Ortiz,L</t>
  </si>
  <si>
    <t>ortizlu02</t>
  </si>
  <si>
    <t>Luis Rengifo</t>
  </si>
  <si>
    <t>https://sba-cards-2024.s3.us-east-1.amazonaws.com/2024-cards/luis-rengifo.png</t>
  </si>
  <si>
    <t>Rengifo,L</t>
  </si>
  <si>
    <t>rengilu01</t>
  </si>
  <si>
    <t>Luis Robert</t>
  </si>
  <si>
    <t>https://sba-cards-2024.s3.us-east-1.amazonaws.com/2024-cards/luis-robert.png</t>
  </si>
  <si>
    <t>Robert,L</t>
  </si>
  <si>
    <t>roberlu01</t>
  </si>
  <si>
    <t>Luis Severino</t>
  </si>
  <si>
    <t>https://sba-cards-2024.s3.us-east-1.amazonaws.com/2024-cards/luis-severino.png</t>
  </si>
  <si>
    <t>Severino,L</t>
  </si>
  <si>
    <t>severlu01</t>
  </si>
  <si>
    <t>Luis Torrens</t>
  </si>
  <si>
    <t>https://sba-cards-2024.s3.us-east-1.amazonaws.com/2024-cards/luis-torrens.png</t>
  </si>
  <si>
    <t>Torrens,L</t>
  </si>
  <si>
    <t>torrelu01</t>
  </si>
  <si>
    <t>Luis Urias</t>
  </si>
  <si>
    <t>https://sba-cards-2024.s3.us-east-1.amazonaws.com/2024-cards/luis-urias.png</t>
  </si>
  <si>
    <t>Urias,L</t>
  </si>
  <si>
    <t>uriaslu01</t>
  </si>
  <si>
    <t>Luis V Garcia</t>
  </si>
  <si>
    <t>https://sba-cards-2024.s3.us-east-1.amazonaws.com/2024-cards/luis-garcia.png</t>
  </si>
  <si>
    <t>Garcia,LV</t>
  </si>
  <si>
    <t>garcilu04</t>
  </si>
  <si>
    <t>Luke Jackson</t>
  </si>
  <si>
    <t>https://sba-cards-2024.s3.us-east-1.amazonaws.com/2024-cards/luke-jackson.png</t>
  </si>
  <si>
    <t>Jackson,L</t>
  </si>
  <si>
    <t>jackslu01</t>
  </si>
  <si>
    <t>Luke Little</t>
  </si>
  <si>
    <t>https://sba-cards-2024.s3.us-east-1.amazonaws.com/2024-cards/luke-little.png</t>
  </si>
  <si>
    <t>Little,L</t>
  </si>
  <si>
    <t>littllu01</t>
  </si>
  <si>
    <t>Luke Maile</t>
  </si>
  <si>
    <t>https://sba-cards-2024.s3.us-east-1.amazonaws.com/2024-cards/luke-maile.png</t>
  </si>
  <si>
    <t>Maile,L</t>
  </si>
  <si>
    <t>mailelu01</t>
  </si>
  <si>
    <t>Luke Raley</t>
  </si>
  <si>
    <t>https://sba-cards-2024.s3.us-east-1.amazonaws.com/2024-cards/luke-raley.png</t>
  </si>
  <si>
    <t>Raley,L</t>
  </si>
  <si>
    <t>raleylu01</t>
  </si>
  <si>
    <t>Luke Weaver</t>
  </si>
  <si>
    <t>https://sba-cards-2024.s3.us-east-1.amazonaws.com/2024-cards/luke-weaver.png</t>
  </si>
  <si>
    <t>https://i.postimg.cc/gjbRvB0y/Weaver.png</t>
  </si>
  <si>
    <t>Weaver,L</t>
  </si>
  <si>
    <t>weavelu01</t>
  </si>
  <si>
    <t>MacKenzie Gore</t>
  </si>
  <si>
    <t>https://sba-cards-2024.s3.us-east-1.amazonaws.com/2024-cards/mackenzie-gore.png</t>
  </si>
  <si>
    <t>Gore,M</t>
  </si>
  <si>
    <t>gorema01</t>
  </si>
  <si>
    <t>Maikel Garcia</t>
  </si>
  <si>
    <t>https://sba-cards-2024.s3.us-east-1.amazonaws.com/2024-cards/maikel-garcia.png</t>
  </si>
  <si>
    <t>Garcia,M</t>
  </si>
  <si>
    <t>garcima01</t>
  </si>
  <si>
    <t>Manny Machado</t>
  </si>
  <si>
    <t>https://sba-cards-2024.s3.us-east-1.amazonaws.com/2024-cards/manny-machado.png</t>
  </si>
  <si>
    <t>Machado,M</t>
  </si>
  <si>
    <t>machama01</t>
  </si>
  <si>
    <t>Manuel Margot</t>
  </si>
  <si>
    <t>https://sba-cards-2024.s3.us-east-1.amazonaws.com/2024-cards/manuel-margot.png</t>
  </si>
  <si>
    <t>Margot,M</t>
  </si>
  <si>
    <t>margoma01</t>
  </si>
  <si>
    <t>Manuel Rodriguez</t>
  </si>
  <si>
    <t>https://sba-cards-2024.s3.us-east-1.amazonaws.com/2024-cards/manuel-rodriguez.png</t>
  </si>
  <si>
    <t>Rodriguez,M</t>
  </si>
  <si>
    <t>rodrima01</t>
  </si>
  <si>
    <t>Marcell Ozuna</t>
  </si>
  <si>
    <t>https://sba-cards-2024.s3.us-east-1.amazonaws.com/2024-cards/marcell-ozuna.png</t>
  </si>
  <si>
    <t>Ozuna,M</t>
  </si>
  <si>
    <t>ozunama01</t>
  </si>
  <si>
    <t>Marco Gonzales</t>
  </si>
  <si>
    <t>https://sba-cards-2024.s3.us-east-1.amazonaws.com/2024-cards/marco-gonzales.png</t>
  </si>
  <si>
    <t>Gonzales,M</t>
  </si>
  <si>
    <t>gonzama02</t>
  </si>
  <si>
    <t>Marco Luciano</t>
  </si>
  <si>
    <t>https://sba-cards-2024.s3.us-east-1.amazonaws.com/2024-cards/marco-luciano.png</t>
  </si>
  <si>
    <t>Luciano,M</t>
  </si>
  <si>
    <t>luciama01</t>
  </si>
  <si>
    <t>Marcus Semien</t>
  </si>
  <si>
    <t>https://sba-cards-2024.s3.us-east-1.amazonaws.com/2024-cards/marcus-semien.png</t>
  </si>
  <si>
    <t>Semien,M</t>
  </si>
  <si>
    <t>semiema01</t>
  </si>
  <si>
    <t>Marcus Stroman</t>
  </si>
  <si>
    <t>https://sba-cards-2024.s3.us-east-1.amazonaws.com/2024-cards/marcus-stroman.png</t>
  </si>
  <si>
    <t>Stroman,M</t>
  </si>
  <si>
    <t>stromma01</t>
  </si>
  <si>
    <t>Mark Canha</t>
  </si>
  <si>
    <t>https://sba-cards-2024.s3.us-east-1.amazonaws.com/2024-cards/mark-canha.png</t>
  </si>
  <si>
    <t>Canha,M</t>
  </si>
  <si>
    <t>canhama01</t>
  </si>
  <si>
    <t>Mark Leiter</t>
  </si>
  <si>
    <t>https://sba-cards-2024.s3.us-east-1.amazonaws.com/2024-cards/mark-leiter.png</t>
  </si>
  <si>
    <t>Leiter,M</t>
  </si>
  <si>
    <t>leitema02</t>
  </si>
  <si>
    <t>Mark Vientos</t>
  </si>
  <si>
    <t>https://sba-cards-2024.s3.us-east-1.amazonaws.com/2024-cards/mark-vientos.png</t>
  </si>
  <si>
    <t>Vientos,M</t>
  </si>
  <si>
    <t>vientma01</t>
  </si>
  <si>
    <t>Martin Maldonado</t>
  </si>
  <si>
    <t>https://sba-cards-2024.s3.us-east-1.amazonaws.com/2024-cards/martin-maldonado.png</t>
  </si>
  <si>
    <t>Maldonado,M</t>
  </si>
  <si>
    <t>maldoma01</t>
  </si>
  <si>
    <t>Martin Perez</t>
  </si>
  <si>
    <t>https://sba-cards-2024.s3.us-east-1.amazonaws.com/2024-cards/martin-perez.png</t>
  </si>
  <si>
    <t>Perez,Martin</t>
  </si>
  <si>
    <t>perezma02</t>
  </si>
  <si>
    <t>Masataka Yoshida</t>
  </si>
  <si>
    <t>https://sba-cards-2024.s3.us-east-1.amazonaws.com/2024-cards/masataka-yoshida.png</t>
  </si>
  <si>
    <t>Yoshida,M</t>
  </si>
  <si>
    <t>yoshima02</t>
  </si>
  <si>
    <t>Mason Black</t>
  </si>
  <si>
    <t>https://sba-cards-2024.s3.us-east-1.amazonaws.com/2024-cards/mason-black.png</t>
  </si>
  <si>
    <t>Black,M</t>
  </si>
  <si>
    <t>blackma01</t>
  </si>
  <si>
    <t>Mason Englert</t>
  </si>
  <si>
    <t>https://sba-cards-2024.s3.us-east-1.amazonaws.com/2024-cards/mason-englert.png</t>
  </si>
  <si>
    <t>Englert,M</t>
  </si>
  <si>
    <t>englema01</t>
  </si>
  <si>
    <t>Mason Miller</t>
  </si>
  <si>
    <t>https://sba-cards-2024.s3.us-east-1.amazonaws.com/2024-cards/mason-miller.png</t>
  </si>
  <si>
    <t>Miller,M</t>
  </si>
  <si>
    <t>millema03</t>
  </si>
  <si>
    <t>Masyn Winn</t>
  </si>
  <si>
    <t>https://sba-cards-2024.s3.us-east-1.amazonaws.com/2024-cards/masyn-winn.png</t>
  </si>
  <si>
    <t>Winn,M</t>
  </si>
  <si>
    <t>winnma01</t>
  </si>
  <si>
    <t>Matt Bowman</t>
  </si>
  <si>
    <t>https://sba-cards-2024.s3.us-east-1.amazonaws.com/2024-cards/matt-bowman.png</t>
  </si>
  <si>
    <t>Bowman,M</t>
  </si>
  <si>
    <t>bowmama01</t>
  </si>
  <si>
    <t>Matt Boyd</t>
  </si>
  <si>
    <t>https://sba-cards-2024.s3.us-east-1.amazonaws.com/2024-cards/matt-boyd.png</t>
  </si>
  <si>
    <t>CHCIL</t>
  </si>
  <si>
    <t>Boyd,M</t>
  </si>
  <si>
    <t>boydma01</t>
  </si>
  <si>
    <t>Matt Carpenter</t>
  </si>
  <si>
    <t>https://sba-cards-2024.s3.us-east-1.amazonaws.com/2024-cards/matt-carpenter.png</t>
  </si>
  <si>
    <t>Carpenter,M</t>
  </si>
  <si>
    <t>carpema01</t>
  </si>
  <si>
    <t>Matt Chapman</t>
  </si>
  <si>
    <t>https://sba-cards-2024.s3.us-east-1.amazonaws.com/2024-cards/matt-chapman.png</t>
  </si>
  <si>
    <t>Chapman,M</t>
  </si>
  <si>
    <t>chapmma01</t>
  </si>
  <si>
    <t>Matt Festa</t>
  </si>
  <si>
    <t>https://sba-cards-2024.s3.us-east-1.amazonaws.com/2024-cards/matt-festa.png</t>
  </si>
  <si>
    <t>Festa,M</t>
  </si>
  <si>
    <t>festama01</t>
  </si>
  <si>
    <t>Matt Moore</t>
  </si>
  <si>
    <t>https://sba-cards-2024.s3.us-east-1.amazonaws.com/2024-cards/matt-moore.png</t>
  </si>
  <si>
    <t>Moore,M</t>
  </si>
  <si>
    <t>moorema02</t>
  </si>
  <si>
    <t>Matt Olson</t>
  </si>
  <si>
    <t>https://sba-cards-2024.s3.us-east-1.amazonaws.com/2024-cards/matt-olson.png</t>
  </si>
  <si>
    <t>Olson,M</t>
  </si>
  <si>
    <t>olsonma02</t>
  </si>
  <si>
    <t>Matt Strahm</t>
  </si>
  <si>
    <t>https://sba-cards-2024.s3.us-east-1.amazonaws.com/2024-cards/matt-strahm.png</t>
  </si>
  <si>
    <t>Strahm,M</t>
  </si>
  <si>
    <t>strahma01</t>
  </si>
  <si>
    <t>Matt Thaiss</t>
  </si>
  <si>
    <t>https://sba-cards-2024.s3.us-east-1.amazonaws.com/2024-cards/matt-thaiss.png</t>
  </si>
  <si>
    <t>Thaiss,M</t>
  </si>
  <si>
    <t>thaisma01</t>
  </si>
  <si>
    <t>Matt Vierling</t>
  </si>
  <si>
    <t>https://sba-cards-2024.s3.us-east-1.amazonaws.com/2024-cards/matt-vierling.png</t>
  </si>
  <si>
    <t>Vierling,M</t>
  </si>
  <si>
    <t>vierlma01</t>
  </si>
  <si>
    <t>Matt Waldron</t>
  </si>
  <si>
    <t>https://sba-cards-2024.s3.us-east-1.amazonaws.com/2024-cards/matt-waldron.png</t>
  </si>
  <si>
    <t>Waldron,M</t>
  </si>
  <si>
    <t>waldrma01</t>
  </si>
  <si>
    <t>Matt Wallner</t>
  </si>
  <si>
    <t>https://sba-cards-2024.s3.us-east-1.amazonaws.com/2024-cards/matt-wallner.png</t>
  </si>
  <si>
    <t>Wallner,M</t>
  </si>
  <si>
    <t>wallnma01</t>
  </si>
  <si>
    <t>Matthew Liberatore</t>
  </si>
  <si>
    <t>https://sba-cards-2024.s3.us-east-1.amazonaws.com/2024-cards/matthew-liberatore.png</t>
  </si>
  <si>
    <t>Liberatore,M</t>
  </si>
  <si>
    <t>liberma01</t>
  </si>
  <si>
    <t>Mauricio Dubon</t>
  </si>
  <si>
    <t>https://sba-cards-2024.s3.us-east-1.amazonaws.com/2024-cards/mauricio-dubon.png</t>
  </si>
  <si>
    <t>Dubon,M</t>
  </si>
  <si>
    <t>dubonma01</t>
  </si>
  <si>
    <t>Max Fried</t>
  </si>
  <si>
    <t>https://sba-cards-2024.s3.us-east-1.amazonaws.com/2024-cards/max-fried.png</t>
  </si>
  <si>
    <t>Fried,M</t>
  </si>
  <si>
    <t>friedma01</t>
  </si>
  <si>
    <t>Max Kepler</t>
  </si>
  <si>
    <t>https://sba-cards-2024.s3.us-east-1.amazonaws.com/2024-cards/max-kepler.png</t>
  </si>
  <si>
    <t>Kepler,M</t>
  </si>
  <si>
    <t>keplema01</t>
  </si>
  <si>
    <t>Max Meyer</t>
  </si>
  <si>
    <t>https://sba-cards-2024.s3.us-east-1.amazonaws.com/2024-cards/max-meyer.png</t>
  </si>
  <si>
    <t>Meyer,M</t>
  </si>
  <si>
    <t>meyerma01</t>
  </si>
  <si>
    <t>Max Muncy</t>
  </si>
  <si>
    <t>https://sba-cards-2024.s3.us-east-1.amazonaws.com/2024-cards/max-muncy.png</t>
  </si>
  <si>
    <t>Muncy,M</t>
  </si>
  <si>
    <t>muncyma01</t>
  </si>
  <si>
    <t>Max Scherzer</t>
  </si>
  <si>
    <t>https://sba-cards-2024.s3.us-east-1.amazonaws.com/2024-cards/max-scherzer.png</t>
  </si>
  <si>
    <t>Scherzer,M</t>
  </si>
  <si>
    <t>scherma01</t>
  </si>
  <si>
    <t>Max Schuemann</t>
  </si>
  <si>
    <t>https://sba-cards-2024.s3.us-east-1.amazonaws.com/2024-cards/max-schuemann.png</t>
  </si>
  <si>
    <t>Schuemann,M</t>
  </si>
  <si>
    <t>schuema01</t>
  </si>
  <si>
    <t>Merrill Kelly</t>
  </si>
  <si>
    <t>https://sba-cards-2024.s3.us-east-1.amazonaws.com/2024-cards/merrill-kelly.png</t>
  </si>
  <si>
    <t>Kelly,Me</t>
  </si>
  <si>
    <t>kellyme01</t>
  </si>
  <si>
    <t>Michael A Taylor</t>
  </si>
  <si>
    <t>https://sba-cards-2024.s3.us-east-1.amazonaws.com/2024-cards/michael-a-taylor.png</t>
  </si>
  <si>
    <t>Taylor,M</t>
  </si>
  <si>
    <t>taylomi02</t>
  </si>
  <si>
    <t>Michael Busch</t>
  </si>
  <si>
    <t>https://sba-cards-2024.s3.us-east-1.amazonaws.com/2024-cards/michael-busch.png</t>
  </si>
  <si>
    <t>Busch,M</t>
  </si>
  <si>
    <t>buschmi02</t>
  </si>
  <si>
    <t>Michael Conforto</t>
  </si>
  <si>
    <t>https://sba-cards-2024.s3.us-east-1.amazonaws.com/2024-cards/michael-conforto.png</t>
  </si>
  <si>
    <t>Conforto,M</t>
  </si>
  <si>
    <t>confomi01</t>
  </si>
  <si>
    <t>Michael Grove</t>
  </si>
  <si>
    <t>https://sba-cards-2024.s3.us-east-1.amazonaws.com/2024-cards/michael-grove.png</t>
  </si>
  <si>
    <t>Grove,M</t>
  </si>
  <si>
    <t>grovemi01</t>
  </si>
  <si>
    <t>Michael Harris</t>
  </si>
  <si>
    <t>https://sba-cards-2024.s3.us-east-1.amazonaws.com/2024-cards/michael-harris.png</t>
  </si>
  <si>
    <t>Harris,M</t>
  </si>
  <si>
    <t>harrimi04</t>
  </si>
  <si>
    <t>Michael Kelly</t>
  </si>
  <si>
    <t>https://sba-cards-2024.s3.us-east-1.amazonaws.com/2024-cards/michael-kelly.png</t>
  </si>
  <si>
    <t>Kelly,Mi</t>
  </si>
  <si>
    <t>kellymi03</t>
  </si>
  <si>
    <t>Michael King</t>
  </si>
  <si>
    <t>https://sba-cards-2024.s3.us-east-1.amazonaws.com/2024-cards/michael-king.png</t>
  </si>
  <si>
    <t>King,M</t>
  </si>
  <si>
    <t>kingmi01</t>
  </si>
  <si>
    <t>Michael Kopech</t>
  </si>
  <si>
    <t>https://sba-cards-2024.s3.us-east-1.amazonaws.com/2024-cards/michael-kopech.png</t>
  </si>
  <si>
    <t>Kopech,M</t>
  </si>
  <si>
    <t>kopecmi01</t>
  </si>
  <si>
    <t>Michael Lorenzen</t>
  </si>
  <si>
    <t>https://sba-cards-2024.s3.us-east-1.amazonaws.com/2024-cards/michael-lorenzen.png</t>
  </si>
  <si>
    <t>Lorenzen,M</t>
  </si>
  <si>
    <t>lorenmi01</t>
  </si>
  <si>
    <t>Michael Massey</t>
  </si>
  <si>
    <t>https://sba-cards-2024.s3.us-east-1.amazonaws.com/2024-cards/michael-massey.png</t>
  </si>
  <si>
    <t>CANMiL</t>
  </si>
  <si>
    <t>Massey,M</t>
  </si>
  <si>
    <t>massemi02</t>
  </si>
  <si>
    <t>Michael Petersen</t>
  </si>
  <si>
    <t>https://sba-cards-2024.s3.us-east-1.amazonaws.com/2024-cards/michael-petersen.png</t>
  </si>
  <si>
    <t>Petersen,M</t>
  </si>
  <si>
    <t>petermi01</t>
  </si>
  <si>
    <t>Michael Siani</t>
  </si>
  <si>
    <t>https://sba-cards-2024.s3.us-east-1.amazonaws.com/2024-cards/michael-siani.png</t>
  </si>
  <si>
    <t>Siani,M</t>
  </si>
  <si>
    <t>sianimi01</t>
  </si>
  <si>
    <t>Michael Soroka</t>
  </si>
  <si>
    <t>https://sba-cards-2024.s3.us-east-1.amazonaws.com/2024-cards/michael-soroka.png</t>
  </si>
  <si>
    <t>Soroka,M</t>
  </si>
  <si>
    <t>sorokmi01</t>
  </si>
  <si>
    <t>Michael Stefanic</t>
  </si>
  <si>
    <t>https://sba-cards-2024.s3.us-east-1.amazonaws.com/2024-cards/michael-stefanic.png</t>
  </si>
  <si>
    <t>Stefanic,M</t>
  </si>
  <si>
    <t>stefami01</t>
  </si>
  <si>
    <t>Michael Toglia</t>
  </si>
  <si>
    <t>https://sba-cards-2024.s3.us-east-1.amazonaws.com/2024-cards/michael-toglia.png</t>
  </si>
  <si>
    <t>Toglia,M</t>
  </si>
  <si>
    <t>toglimi01</t>
  </si>
  <si>
    <t>Michael Tonkin</t>
  </si>
  <si>
    <t>https://sba-cards-2024.s3.us-east-1.amazonaws.com/2024-cards/michael-tonkin.png</t>
  </si>
  <si>
    <t>Tonkin,M</t>
  </si>
  <si>
    <t>tonkimi01</t>
  </si>
  <si>
    <t>Michael Wacha</t>
  </si>
  <si>
    <t>https://sba-cards-2024.s3.us-east-1.amazonaws.com/2024-cards/michael-wacha.png</t>
  </si>
  <si>
    <t>Wacha,M</t>
  </si>
  <si>
    <t>wachami01</t>
  </si>
  <si>
    <t>Michel Otanez</t>
  </si>
  <si>
    <t>https://sba-cards-2024.s3.us-east-1.amazonaws.com/2024-cards/michel-otanez.png</t>
  </si>
  <si>
    <t>Otanez,M</t>
  </si>
  <si>
    <t>otanemi01</t>
  </si>
  <si>
    <t>https://sba-cards-2024.s3.us-east-1.amazonaws.com/2024-cards/mickey-moniak.png</t>
  </si>
  <si>
    <t>Moniak,M</t>
  </si>
  <si>
    <t>moniami01</t>
  </si>
  <si>
    <t>Miguel Amaya</t>
  </si>
  <si>
    <t>https://sba-cards-2024.s3.us-east-1.amazonaws.com/2024-cards/miguel-amaya.png</t>
  </si>
  <si>
    <t>Amaya,M</t>
  </si>
  <si>
    <t>amayami01</t>
  </si>
  <si>
    <t>Miguel Andujar</t>
  </si>
  <si>
    <t>https://sba-cards-2024.s3.us-east-1.amazonaws.com/2024-cards/miguel-andujar.png</t>
  </si>
  <si>
    <t>Andujar,M</t>
  </si>
  <si>
    <t>andujmi01</t>
  </si>
  <si>
    <t>Miguel Rojas</t>
  </si>
  <si>
    <t>https://sba-cards-2024.s3.us-east-1.amazonaws.com/2024-cards/miguel-rojas.png</t>
  </si>
  <si>
    <t>Rojas,M</t>
  </si>
  <si>
    <t>rojasmi02</t>
  </si>
  <si>
    <t>Miguel Sano</t>
  </si>
  <si>
    <t>https://sba-cards-2024.s3.us-east-1.amazonaws.com/2024-cards/miguel-sano.png</t>
  </si>
  <si>
    <t>Sano,M</t>
  </si>
  <si>
    <t>sanomi01</t>
  </si>
  <si>
    <t>Miguel Vargas</t>
  </si>
  <si>
    <t>https://sba-cards-2024.s3.us-east-1.amazonaws.com/2024-cards/miguel-vargas.png</t>
  </si>
  <si>
    <t>Vargas,M</t>
  </si>
  <si>
    <t>vargami01</t>
  </si>
  <si>
    <t>Mike Baumann</t>
  </si>
  <si>
    <t>https://sba-cards-2024.s3.us-east-1.amazonaws.com/2024-cards/mike-baumann.png</t>
  </si>
  <si>
    <t>Baumann,M</t>
  </si>
  <si>
    <t>baumami01</t>
  </si>
  <si>
    <t>Mike Ford</t>
  </si>
  <si>
    <t>https://sba-cards-2024.s3.us-east-1.amazonaws.com/2024-cards/mike-ford.png</t>
  </si>
  <si>
    <t>Ford,M</t>
  </si>
  <si>
    <t>fordmi01</t>
  </si>
  <si>
    <t>Mike Tauchman</t>
  </si>
  <si>
    <t>https://sba-cards-2024.s3.us-east-1.amazonaws.com/2024-cards/mike-tauchman.png</t>
  </si>
  <si>
    <t>DALIL</t>
  </si>
  <si>
    <t>Tauchman,M</t>
  </si>
  <si>
    <t>tauchmi01</t>
  </si>
  <si>
    <t>Mike Trout</t>
  </si>
  <si>
    <t>https://sba-cards-2024.s3.us-east-1.amazonaws.com/2024-cards/mike-trout.png</t>
  </si>
  <si>
    <t>Trout,M</t>
  </si>
  <si>
    <t>troutmi01</t>
  </si>
  <si>
    <t>Mike Yastrzemski</t>
  </si>
  <si>
    <t>https://sba-cards-2024.s3.us-east-1.amazonaws.com/2024-cards/mike-yastrzemski.png</t>
  </si>
  <si>
    <t>Yastrzemski,M</t>
  </si>
  <si>
    <t>yastrmi01</t>
  </si>
  <si>
    <t>Miles Mastrobuoni</t>
  </si>
  <si>
    <t>https://sba-cards-2024.s3.us-east-1.amazonaws.com/2024-cards/miles-mastrobuoni.png</t>
  </si>
  <si>
    <t>Mastrobuoni,M</t>
  </si>
  <si>
    <t>mastrmi01</t>
  </si>
  <si>
    <t>Miles Mikolas</t>
  </si>
  <si>
    <t>https://sba-cards-2024.s3.us-east-1.amazonaws.com/2024-cards/miles-mikolas.png</t>
  </si>
  <si>
    <t>Mikolas,M</t>
  </si>
  <si>
    <t>mikolmi01</t>
  </si>
  <si>
    <t>Mitch Garver</t>
  </si>
  <si>
    <t>https://sba-cards-2024.s3.us-east-1.amazonaws.com/2024-cards/mitch-garver.png</t>
  </si>
  <si>
    <t>Garver,M</t>
  </si>
  <si>
    <t>garvemi01</t>
  </si>
  <si>
    <t>Mitch Haniger</t>
  </si>
  <si>
    <t>https://sba-cards-2024.s3.us-east-1.amazonaws.com/2024-cards/mitch-haniger.png</t>
  </si>
  <si>
    <t>Haniger,M</t>
  </si>
  <si>
    <t>hanigmi01</t>
  </si>
  <si>
    <t>Mitch Keller</t>
  </si>
  <si>
    <t>https://sba-cards-2024.s3.us-east-1.amazonaws.com/2024-cards/mitch-keller.png</t>
  </si>
  <si>
    <t>Keller,M</t>
  </si>
  <si>
    <t>kellemi03</t>
  </si>
  <si>
    <t>Mitch Spence</t>
  </si>
  <si>
    <t>https://sba-cards-2024.s3.us-east-1.amazonaws.com/2024-cards/mitch-spence.png</t>
  </si>
  <si>
    <t>Spence,M</t>
  </si>
  <si>
    <t>spencmi01</t>
  </si>
  <si>
    <t>Mitch White</t>
  </si>
  <si>
    <t>https://sba-cards-2024.s3.us-east-1.amazonaws.com/2024-cards/mitch-white.png</t>
  </si>
  <si>
    <t>White,M</t>
  </si>
  <si>
    <t>whitemi03</t>
  </si>
  <si>
    <t>Mitchell Parker</t>
  </si>
  <si>
    <t>https://sba-cards-2024.s3.us-east-1.amazonaws.com/2024-cards/mitchell-parker.png</t>
  </si>
  <si>
    <t>Parker,M</t>
  </si>
  <si>
    <t>parkemi01</t>
  </si>
  <si>
    <t>MJ Melendez</t>
  </si>
  <si>
    <t>https://sba-cards-2024.s3.us-east-1.amazonaws.com/2024-cards/mj-melendez.png</t>
  </si>
  <si>
    <t>Melendez,M</t>
  </si>
  <si>
    <t>melenmj01</t>
  </si>
  <si>
    <t>Mookie Betts</t>
  </si>
  <si>
    <t>https://sba-cards-2024.s3.us-east-1.amazonaws.com/2024-cards/mookie-betts.png</t>
  </si>
  <si>
    <t>Betts,M</t>
  </si>
  <si>
    <t>bettsmo01</t>
  </si>
  <si>
    <t>Nasim Nunez</t>
  </si>
  <si>
    <t>https://sba-cards-2024.s3.us-east-1.amazonaws.com/2024-cards/nasim-nunez.png</t>
  </si>
  <si>
    <t>Nunez,N</t>
  </si>
  <si>
    <t>nunezna01</t>
  </si>
  <si>
    <t>Nate Pearson</t>
  </si>
  <si>
    <t>https://sba-cards-2024.s3.us-east-1.amazonaws.com/2024-cards/nate-pearson.png</t>
  </si>
  <si>
    <t>Pearson,N</t>
  </si>
  <si>
    <t>pearsna01</t>
  </si>
  <si>
    <t>Nathan Eovaldi</t>
  </si>
  <si>
    <t>https://sba-cards-2024.s3.us-east-1.amazonaws.com/2024-cards/nathan-eovaldi.png</t>
  </si>
  <si>
    <t>Eovaldi,N</t>
  </si>
  <si>
    <t>eovalna01</t>
  </si>
  <si>
    <t>Nathan Lukes</t>
  </si>
  <si>
    <t>https://sba-cards-2024.s3.us-east-1.amazonaws.com/2024-cards/nathan-lukes.png</t>
  </si>
  <si>
    <t>Lukes,N</t>
  </si>
  <si>
    <t>lukesna01</t>
  </si>
  <si>
    <t>Nathaniel Lowe</t>
  </si>
  <si>
    <t>https://sba-cards-2024.s3.us-east-1.amazonaws.com/2024-cards/nathaniel-lowe.png</t>
  </si>
  <si>
    <t>Lowe,N</t>
  </si>
  <si>
    <t>lowena01</t>
  </si>
  <si>
    <t>Nelson Velazquez</t>
  </si>
  <si>
    <t>https://sba-cards-2024.s3.us-east-1.amazonaws.com/2024-cards/nelson-velazquez.png</t>
  </si>
  <si>
    <t>Velazquez,N</t>
  </si>
  <si>
    <t>velazne01</t>
  </si>
  <si>
    <t>Nestor Cortes Jr</t>
  </si>
  <si>
    <t>https://sba-cards-2024.s3.us-east-1.amazonaws.com/2024-cards/nestor-cortes-jr.png</t>
  </si>
  <si>
    <t>Cortes,N</t>
  </si>
  <si>
    <t>cortene01</t>
  </si>
  <si>
    <t>Nicholas Castellanos</t>
  </si>
  <si>
    <t>https://sba-cards-2024.s3.us-east-1.amazonaws.com/2024-cards/nicholas-castellanos.png</t>
  </si>
  <si>
    <t>https://i.postimg.cc/BnBhtHm3/Castellanos-FC.png</t>
  </si>
  <si>
    <t>Castellanos,N</t>
  </si>
  <si>
    <t>casteni01</t>
  </si>
  <si>
    <t>Nick Ahmed</t>
  </si>
  <si>
    <t>https://sba-cards-2024.s3.us-east-1.amazonaws.com/2024-cards/nick-ahmed.png</t>
  </si>
  <si>
    <t>Ahmed,N</t>
  </si>
  <si>
    <t>ahmedni01</t>
  </si>
  <si>
    <t>Nick Allen</t>
  </si>
  <si>
    <t>https://sba-cards-2024.s3.us-east-1.amazonaws.com/2024-cards/nick-allen.png</t>
  </si>
  <si>
    <t>Allen,N</t>
  </si>
  <si>
    <t>allenni02</t>
  </si>
  <si>
    <t>Nick Anderson</t>
  </si>
  <si>
    <t>https://sba-cards-2024.s3.us-east-1.amazonaws.com/2024-cards/nick-anderson.png</t>
  </si>
  <si>
    <t>Anderson,N</t>
  </si>
  <si>
    <t>anderni01</t>
  </si>
  <si>
    <t>Nick Fortes</t>
  </si>
  <si>
    <t>https://sba-cards-2024.s3.us-east-1.amazonaws.com/2024-cards/nick-fortes.png</t>
  </si>
  <si>
    <t>Fortes,N</t>
  </si>
  <si>
    <t>forteni01</t>
  </si>
  <si>
    <t>Nick Gonzales</t>
  </si>
  <si>
    <t>https://sba-cards-2024.s3.us-east-1.amazonaws.com/2024-cards/nick-gonzales.png</t>
  </si>
  <si>
    <t>Gonzales,N</t>
  </si>
  <si>
    <t>gonzani01</t>
  </si>
  <si>
    <t>Nick Gordon</t>
  </si>
  <si>
    <t>https://sba-cards-2024.s3.us-east-1.amazonaws.com/2024-cards/nick-gordon.png</t>
  </si>
  <si>
    <t>Gordon,N</t>
  </si>
  <si>
    <t>gordoni01</t>
  </si>
  <si>
    <t>Nick Lodolo</t>
  </si>
  <si>
    <t>https://sba-cards-2024.s3.us-east-1.amazonaws.com/2024-cards/nick-lodolo.png</t>
  </si>
  <si>
    <t>Lodolo,N</t>
  </si>
  <si>
    <t>lodolni01</t>
  </si>
  <si>
    <t>Nick Loftin</t>
  </si>
  <si>
    <t>https://sba-cards-2024.s3.us-east-1.amazonaws.com/2024-cards/nick-loftin.png</t>
  </si>
  <si>
    <t>Loftin,N</t>
  </si>
  <si>
    <t>loftini01</t>
  </si>
  <si>
    <t>Nick Madrigal</t>
  </si>
  <si>
    <t>https://sba-cards-2024.s3.us-east-1.amazonaws.com/2024-cards/nick-madrigal.png</t>
  </si>
  <si>
    <t>Madrigal,N</t>
  </si>
  <si>
    <t>madrini01</t>
  </si>
  <si>
    <t>Nick Martinez</t>
  </si>
  <si>
    <t>https://sba-cards-2024.s3.us-east-1.amazonaws.com/2024-cards/nick-martinez.png</t>
  </si>
  <si>
    <t>Martinez,N</t>
  </si>
  <si>
    <t>martini01</t>
  </si>
  <si>
    <t>Nick Martini</t>
  </si>
  <si>
    <t>https://sba-cards-2024.s3.us-east-1.amazonaws.com/2024-cards/nick-martini.png</t>
  </si>
  <si>
    <t>Martini,N</t>
  </si>
  <si>
    <t>martini02</t>
  </si>
  <si>
    <t>Nick Mears</t>
  </si>
  <si>
    <t>https://sba-cards-2024.s3.us-east-1.amazonaws.com/2024-cards/nick-mears.png</t>
  </si>
  <si>
    <t>Mears,N</t>
  </si>
  <si>
    <t>mearsni01</t>
  </si>
  <si>
    <t>Nick Nastrini</t>
  </si>
  <si>
    <t>https://sba-cards-2024.s3.us-east-1.amazonaws.com/2024-cards/nick-nastrini.png</t>
  </si>
  <si>
    <t>Nastrini,N</t>
  </si>
  <si>
    <t>nastrni01</t>
  </si>
  <si>
    <t>Nick Pivetta</t>
  </si>
  <si>
    <t>https://sba-cards-2024.s3.us-east-1.amazonaws.com/2024-cards/nick-pivetta.png</t>
  </si>
  <si>
    <t>Pivetta,N</t>
  </si>
  <si>
    <t>pivetni01</t>
  </si>
  <si>
    <t>Nick Sandlin</t>
  </si>
  <si>
    <t>https://sba-cards-2024.s3.us-east-1.amazonaws.com/2024-cards/nick-sandlin.png</t>
  </si>
  <si>
    <t>Sandlin,N</t>
  </si>
  <si>
    <t>sandlni01</t>
  </si>
  <si>
    <t>Nick Senzel</t>
  </si>
  <si>
    <t>https://sba-cards-2024.s3.us-east-1.amazonaws.com/2024-cards/nick-senzel.png</t>
  </si>
  <si>
    <t>Senzel,N</t>
  </si>
  <si>
    <t>senzeni01</t>
  </si>
  <si>
    <t>Nick Sogard</t>
  </si>
  <si>
    <t>https://sba-cards-2024.s3.us-east-1.amazonaws.com/2024-cards/nick-sogard.png</t>
  </si>
  <si>
    <t>Sogard,N</t>
  </si>
  <si>
    <t>sogarni01</t>
  </si>
  <si>
    <t>Nicky Lopez</t>
  </si>
  <si>
    <t>https://sba-cards-2024.s3.us-east-1.amazonaws.com/2024-cards/nicky-lopez.png</t>
  </si>
  <si>
    <t>Lopez,N</t>
  </si>
  <si>
    <t>lopezni01</t>
  </si>
  <si>
    <t>Nico Hoerner</t>
  </si>
  <si>
    <t>https://sba-cards-2024.s3.us-east-1.amazonaws.com/2024-cards/nico-hoerner.png</t>
  </si>
  <si>
    <t>Hoerner,N</t>
  </si>
  <si>
    <t>hoernni01</t>
  </si>
  <si>
    <t>Niko Kavadas</t>
  </si>
  <si>
    <t>https://sba-cards-2024.s3.us-east-1.amazonaws.com/2024-cards/niko-kavadas.png</t>
  </si>
  <si>
    <t>Kavadas,N</t>
  </si>
  <si>
    <t>kavadni01</t>
  </si>
  <si>
    <t>Noah Davis</t>
  </si>
  <si>
    <t>https://sba-cards-2024.s3.us-east-1.amazonaws.com/2024-cards/noah-davis.png</t>
  </si>
  <si>
    <t>Davis,N</t>
  </si>
  <si>
    <t>davisno01</t>
  </si>
  <si>
    <t>Noelvi Marte</t>
  </si>
  <si>
    <t>https://sba-cards-2024.s3.us-east-1.amazonaws.com/2024-cards/noelvi-marte.png</t>
  </si>
  <si>
    <t>Marte,N</t>
  </si>
  <si>
    <t>marteno01</t>
  </si>
  <si>
    <t>Nolan Arenado</t>
  </si>
  <si>
    <t>https://sba-cards-2024.s3.us-east-1.amazonaws.com/2024-cards/nolan-arenado.png</t>
  </si>
  <si>
    <t>https://i.postimg.cc/sM5vS0sJ/gg-3b.png</t>
  </si>
  <si>
    <t>Arenado,N</t>
  </si>
  <si>
    <t>arenano01</t>
  </si>
  <si>
    <t>Nolan Gorman</t>
  </si>
  <si>
    <t>https://sba-cards-2024.s3.us-east-1.amazonaws.com/2024-cards/nolan-gorman.png</t>
  </si>
  <si>
    <t>Gorman,N</t>
  </si>
  <si>
    <t>gormano01</t>
  </si>
  <si>
    <t>Nolan Jones</t>
  </si>
  <si>
    <t>https://sba-cards-2024.s3.us-east-1.amazonaws.com/2024-cards/nolan-jones.png</t>
  </si>
  <si>
    <t>Jones,N</t>
  </si>
  <si>
    <t>jonesno01</t>
  </si>
  <si>
    <t>Nolan Schanuel</t>
  </si>
  <si>
    <t>https://sba-cards-2024.s3.us-east-1.amazonaws.com/2024-cards/nolan-schanuel.png</t>
  </si>
  <si>
    <t>Schanuel,N</t>
  </si>
  <si>
    <t>schanno01</t>
  </si>
  <si>
    <t>Oliver Dunn</t>
  </si>
  <si>
    <t>https://sba-cards-2024.s3.us-east-1.amazonaws.com/2024-cards/oliver-dunn.png</t>
  </si>
  <si>
    <t>Dunn,O</t>
  </si>
  <si>
    <t>dunnol01</t>
  </si>
  <si>
    <t>Omar Narvaez</t>
  </si>
  <si>
    <t>https://sba-cards-2024.s3.us-east-1.amazonaws.com/2024-cards/omar-narvaez.png</t>
  </si>
  <si>
    <t>Narvaez,O</t>
  </si>
  <si>
    <t>narvaom01</t>
  </si>
  <si>
    <t>Oneil Cruz</t>
  </si>
  <si>
    <t>https://sba-cards-2024.s3.us-east-1.amazonaws.com/2024-cards/oneil-cruz.png</t>
  </si>
  <si>
    <t>Cruz,O</t>
  </si>
  <si>
    <t>cruzon01</t>
  </si>
  <si>
    <t>Orion Kerkering</t>
  </si>
  <si>
    <t>https://sba-cards-2024.s3.us-east-1.amazonaws.com/2024-cards/orion-kerkering.png</t>
  </si>
  <si>
    <t>Kerkering,O</t>
  </si>
  <si>
    <t>kerkeor01</t>
  </si>
  <si>
    <t>Orlando Arcia</t>
  </si>
  <si>
    <t>https://sba-cards-2024.s3.us-east-1.amazonaws.com/2024-cards/orlando-arcia.png</t>
  </si>
  <si>
    <t>Arcia,O</t>
  </si>
  <si>
    <t>arciaor01</t>
  </si>
  <si>
    <t>Osvaldo Bido</t>
  </si>
  <si>
    <t>https://sba-cards-2024.s3.us-east-1.amazonaws.com/2024-cards/osvaldo-bido.png</t>
  </si>
  <si>
    <t>Bido,O</t>
  </si>
  <si>
    <t>bidoos01</t>
  </si>
  <si>
    <t>Oswaldo Cabrera</t>
  </si>
  <si>
    <t>https://sba-cards-2024.s3.us-east-1.amazonaws.com/2024-cards/oswaldo-cabrera.png</t>
  </si>
  <si>
    <t>Cabrera,O</t>
  </si>
  <si>
    <t>cabreos01</t>
  </si>
  <si>
    <t>Otto Lopez</t>
  </si>
  <si>
    <t>https://sba-cards-2024.s3.us-east-1.amazonaws.com/2024-cards/otto-lopez.png</t>
  </si>
  <si>
    <t>Lopez,O</t>
  </si>
  <si>
    <t>lopezot01</t>
  </si>
  <si>
    <t>Ozzie Albies</t>
  </si>
  <si>
    <t>https://sba-cards-2024.s3.us-east-1.amazonaws.com/2024-cards/ozzie-albies.png</t>
  </si>
  <si>
    <t>Albies,O</t>
  </si>
  <si>
    <t>albieoz01</t>
  </si>
  <si>
    <t>Pablo Lopez</t>
  </si>
  <si>
    <t>https://sba-cards-2024.s3.us-east-1.amazonaws.com/2024-cards/pablo-lopez.png</t>
  </si>
  <si>
    <t>Lopez,P</t>
  </si>
  <si>
    <t>lopezpa01</t>
  </si>
  <si>
    <t>Pablo Reyes</t>
  </si>
  <si>
    <t>https://sba-cards-2024.s3.us-east-1.amazonaws.com/2024-cards/pablo-reyes.png</t>
  </si>
  <si>
    <t>Reyes,P</t>
  </si>
  <si>
    <t>reyespa01</t>
  </si>
  <si>
    <t>Parker Meadows</t>
  </si>
  <si>
    <t>https://sba-cards-2024.s3.us-east-1.amazonaws.com/2024-cards/parker-meadows.png</t>
  </si>
  <si>
    <t>Meadows,P</t>
  </si>
  <si>
    <t>meadopa01</t>
  </si>
  <si>
    <t>Patrick Bailey</t>
  </si>
  <si>
    <t>https://sba-cards-2024.s3.us-east-1.amazonaws.com/2024-cards/patrick-bailey.png</t>
  </si>
  <si>
    <t>Bailey,P</t>
  </si>
  <si>
    <t>bailepa01</t>
  </si>
  <si>
    <t>Patrick Corbin</t>
  </si>
  <si>
    <t>https://sba-cards-2024.s3.us-east-1.amazonaws.com/2024-cards/patrick-corbin.png</t>
  </si>
  <si>
    <t>Corbin,P</t>
  </si>
  <si>
    <t>corbipa01</t>
  </si>
  <si>
    <t>Patrick Sandoval</t>
  </si>
  <si>
    <t>https://sba-cards-2024.s3.us-east-1.amazonaws.com/2024-cards/patrick-sandoval.png</t>
  </si>
  <si>
    <t>Sandoval,P</t>
  </si>
  <si>
    <t>sandopa02</t>
  </si>
  <si>
    <t>Patrick Wisdom</t>
  </si>
  <si>
    <t>https://sba-cards-2024.s3.us-east-1.amazonaws.com/2024-cards/patrick-wisdom.png</t>
  </si>
  <si>
    <t>Wisdom,P</t>
  </si>
  <si>
    <t>wisdopa01</t>
  </si>
  <si>
    <t>Paul Blackburn</t>
  </si>
  <si>
    <t>https://sba-cards-2024.s3.us-east-1.amazonaws.com/2024-cards/paul-blackburn.png</t>
  </si>
  <si>
    <t>Blackburn,P</t>
  </si>
  <si>
    <t>blackpa01</t>
  </si>
  <si>
    <t>Paul DeJong</t>
  </si>
  <si>
    <t>https://sba-cards-2024.s3.us-east-1.amazonaws.com/2024-cards/paul-dejong.png</t>
  </si>
  <si>
    <t>Dejong,P</t>
  </si>
  <si>
    <t>dejonpa01</t>
  </si>
  <si>
    <t>Paul Goldschmidt</t>
  </si>
  <si>
    <t>https://sba-cards-2024.s3.us-east-1.amazonaws.com/2024-cards/paul-goldschmidt.png</t>
  </si>
  <si>
    <t>Goldschmidt,P</t>
  </si>
  <si>
    <t>goldspa01</t>
  </si>
  <si>
    <t>Paul Sewald</t>
  </si>
  <si>
    <t>https://sba-cards-2024.s3.us-east-1.amazonaws.com/2024-cards/paul-sewald.png</t>
  </si>
  <si>
    <t>Sewald,P</t>
  </si>
  <si>
    <t>sewalpa01</t>
  </si>
  <si>
    <t>Paul Skenes</t>
  </si>
  <si>
    <t>https://sba-cards-2024.s3.us-east-1.amazonaws.com/2024-cards/paul-skenes.png</t>
  </si>
  <si>
    <t>Skenes,P</t>
  </si>
  <si>
    <t>skenepa01</t>
  </si>
  <si>
    <t>Pavin Smith</t>
  </si>
  <si>
    <t>https://sba-cards-2024.s3.us-east-1.amazonaws.com/2024-cards/pavin-smith.png</t>
  </si>
  <si>
    <t>Smith,P</t>
  </si>
  <si>
    <t>smithpa04</t>
  </si>
  <si>
    <t>Pedro Avila</t>
  </si>
  <si>
    <t>https://sba-cards-2024.s3.us-east-1.amazonaws.com/2024-cards/pedro-avila.png</t>
  </si>
  <si>
    <t>Avila,P</t>
  </si>
  <si>
    <t>avilape01</t>
  </si>
  <si>
    <t>Pedro Pages</t>
  </si>
  <si>
    <t>https://sba-cards-2024.s3.us-east-1.amazonaws.com/2024-cards/pedro-pages.png</t>
  </si>
  <si>
    <t>Pages,P</t>
  </si>
  <si>
    <t>pagespe02</t>
  </si>
  <si>
    <t>Pete Alonso</t>
  </si>
  <si>
    <t>https://sba-cards-2024.s3.us-east-1.amazonaws.com/2024-cards/pete-alonso.png</t>
  </si>
  <si>
    <t>https://i.postimg.cc/hPpzjGVm/Alonso-FC.png</t>
  </si>
  <si>
    <t>Alonso,P</t>
  </si>
  <si>
    <t>alonspe01</t>
  </si>
  <si>
    <t>Pete Crow Armstrong</t>
  </si>
  <si>
    <t>https://sba-cards-2024.s3.us-east-1.amazonaws.com/2024-cards/pete-crow-armstrong.png</t>
  </si>
  <si>
    <t>Crow Armstrong,P</t>
  </si>
  <si>
    <t>crowape01</t>
  </si>
  <si>
    <t>Pete Fairbanks</t>
  </si>
  <si>
    <t>https://sba-cards-2024.s3.us-east-1.amazonaws.com/2024-cards/pete-fairbanks.png</t>
  </si>
  <si>
    <t>Fairbanks,P</t>
  </si>
  <si>
    <t>fairbpe01</t>
  </si>
  <si>
    <t>Peter Lambert</t>
  </si>
  <si>
    <t>https://sba-cards-2024.s3.us-east-1.amazonaws.com/2024-cards/peter-lambert.png</t>
  </si>
  <si>
    <t>Lambert,P</t>
  </si>
  <si>
    <t>lambepe01</t>
  </si>
  <si>
    <t>Phil Maton</t>
  </si>
  <si>
    <t>https://sba-cards-2024.s3.us-east-1.amazonaws.com/2024-cards/phil-maton.png</t>
  </si>
  <si>
    <t>Maton,P</t>
  </si>
  <si>
    <t>matonph01</t>
  </si>
  <si>
    <t>Pierce Johnson</t>
  </si>
  <si>
    <t>https://sba-cards-2024.s3.us-east-1.amazonaws.com/2024-cards/pierce-johnson.png</t>
  </si>
  <si>
    <t>Johnson,P</t>
  </si>
  <si>
    <t>johnspi01</t>
  </si>
  <si>
    <t>Porter Hodge</t>
  </si>
  <si>
    <t>https://sba-cards-2024.s3.us-east-1.amazonaws.com/2024-cards/porter-hodge.png</t>
  </si>
  <si>
    <t>Hodge,P</t>
  </si>
  <si>
    <t>hodgepo01</t>
  </si>
  <si>
    <t>Quinn Priester</t>
  </si>
  <si>
    <t>https://sba-cards-2024.s3.us-east-1.amazonaws.com/2024-cards/quinn-priester.png</t>
  </si>
  <si>
    <t>Priester,Q</t>
  </si>
  <si>
    <t>priesqu01</t>
  </si>
  <si>
    <t>Rafael Devers</t>
  </si>
  <si>
    <t>https://sba-cards-2024.s3.us-east-1.amazonaws.com/2024-cards/rafael-devers.png</t>
  </si>
  <si>
    <t>Devers,R</t>
  </si>
  <si>
    <t>deverra01</t>
  </si>
  <si>
    <t>Rafael Montero</t>
  </si>
  <si>
    <t>https://sba-cards-2024.s3.us-east-1.amazonaws.com/2024-cards/rafael-montero.png</t>
  </si>
  <si>
    <t>Montero,R</t>
  </si>
  <si>
    <t>montera01</t>
  </si>
  <si>
    <t>Raisel Iglesias</t>
  </si>
  <si>
    <t>https://sba-cards-2024.s3.us-east-1.amazonaws.com/2024-cards/raisel-iglesias.png</t>
  </si>
  <si>
    <t>Iglesias,R</t>
  </si>
  <si>
    <t>iglesra01</t>
  </si>
  <si>
    <t>Ramon Laureano</t>
  </si>
  <si>
    <t>https://sba-cards-2024.s3.us-east-1.amazonaws.com/2024-cards/ramon-laureano.png</t>
  </si>
  <si>
    <t>Laureano,R</t>
  </si>
  <si>
    <t>laurera01</t>
  </si>
  <si>
    <t>https://sba-cards-2024.s3.us-east-1.amazonaws.com/2024-cards/ramon-urias.png</t>
  </si>
  <si>
    <t>Urias,R</t>
  </si>
  <si>
    <t>uriasra01</t>
  </si>
  <si>
    <t>Randal Grichuk</t>
  </si>
  <si>
    <t>https://sba-cards-2024.s3.us-east-1.amazonaws.com/2024-cards/randal-grichuk.png</t>
  </si>
  <si>
    <t>Grichuk,R</t>
  </si>
  <si>
    <t>grichra01</t>
  </si>
  <si>
    <t>Randy Arozarena</t>
  </si>
  <si>
    <t>https://sba-cards-2024.s3.us-east-1.amazonaws.com/2024-cards/randy-arozarena.png</t>
  </si>
  <si>
    <t>https://i.postimg.cc/sgr6Vw9c/Arozarena-FC.png</t>
  </si>
  <si>
    <t>Arozarena,R</t>
  </si>
  <si>
    <t>arozara01</t>
  </si>
  <si>
    <t>Randy Rodriguez</t>
  </si>
  <si>
    <t>https://sba-cards-2024.s3.us-east-1.amazonaws.com/2024-cards/randy-rodriguez.png</t>
  </si>
  <si>
    <t>Rodriguez,R</t>
  </si>
  <si>
    <t>rodrira02</t>
  </si>
  <si>
    <t>Randy Vasquez</t>
  </si>
  <si>
    <t>https://sba-cards-2024.s3.us-east-1.amazonaws.com/2024-cards/randy-vasquez.png</t>
  </si>
  <si>
    <t>Vasquez,R</t>
  </si>
  <si>
    <t>vasqura02</t>
  </si>
  <si>
    <t>Ranger Suarez</t>
  </si>
  <si>
    <t>https://sba-cards-2024.s3.us-east-1.amazonaws.com/2024-cards/ranger-suarez.png</t>
  </si>
  <si>
    <t>Suarez,R</t>
  </si>
  <si>
    <t>suarera01</t>
  </si>
  <si>
    <t>Reed Garrett</t>
  </si>
  <si>
    <t>https://sba-cards-2024.s3.us-east-1.amazonaws.com/2024-cards/reed-garrett.png</t>
  </si>
  <si>
    <t>Garrett,R</t>
  </si>
  <si>
    <t>garrere01</t>
  </si>
  <si>
    <t>Reese McGuire</t>
  </si>
  <si>
    <t>https://sba-cards-2024.s3.us-east-1.amazonaws.com/2024-cards/reese-mcguire.png</t>
  </si>
  <si>
    <t>McGuire,R</t>
  </si>
  <si>
    <t>mcguire01</t>
  </si>
  <si>
    <t>Reese Olson</t>
  </si>
  <si>
    <t>https://sba-cards-2024.s3.us-east-1.amazonaws.com/2024-cards/reese-olson.png</t>
  </si>
  <si>
    <t>Olson,R</t>
  </si>
  <si>
    <t>olsonre01</t>
  </si>
  <si>
    <t>Reid Detmers</t>
  </si>
  <si>
    <t>https://sba-cards-2024.s3.us-east-1.amazonaws.com/2024-cards/reid-detmers.png</t>
  </si>
  <si>
    <t>Detmers,R</t>
  </si>
  <si>
    <t>detmere01</t>
  </si>
  <si>
    <t>Reynaldo Lopez</t>
  </si>
  <si>
    <t>https://sba-cards-2024.s3.us-east-1.amazonaws.com/2024-cards/reynaldo-lopez.png</t>
  </si>
  <si>
    <t>Lopez,R</t>
  </si>
  <si>
    <t>lopezre01</t>
  </si>
  <si>
    <t>Rhett Lowder</t>
  </si>
  <si>
    <t>https://sba-cards-2024.s3.us-east-1.amazonaws.com/2024-cards/rhett-lowder.png</t>
  </si>
  <si>
    <t>Lowder,R</t>
  </si>
  <si>
    <t>lowderh01</t>
  </si>
  <si>
    <t>https://sba-cards-2024.s3.us-east-1.amazonaws.com/2024-cards/rhys-hoskins.png</t>
  </si>
  <si>
    <t>Hoskins,R</t>
  </si>
  <si>
    <t>hoskirh01</t>
  </si>
  <si>
    <t>Richard Lovelady</t>
  </si>
  <si>
    <t>https://sba-cards-2024.s3.us-east-1.amazonaws.com/2024-cards/richard-lovelady.png</t>
  </si>
  <si>
    <t>Lovelady,R</t>
  </si>
  <si>
    <t>lovelri01</t>
  </si>
  <si>
    <t>Richie Palacios</t>
  </si>
  <si>
    <t>https://sba-cards-2024.s3.us-east-1.amazonaws.com/2024-cards/richie-palacios.png</t>
  </si>
  <si>
    <t>Palacios,R</t>
  </si>
  <si>
    <t>palacri01</t>
  </si>
  <si>
    <t>Riley Adams</t>
  </si>
  <si>
    <t>https://sba-cards-2024.s3.us-east-1.amazonaws.com/2024-cards/riley-adams.png</t>
  </si>
  <si>
    <t>Adams,R</t>
  </si>
  <si>
    <t>adamsri03</t>
  </si>
  <si>
    <t>Riley Greene</t>
  </si>
  <si>
    <t>https://sba-cards-2024.s3.us-east-1.amazonaws.com/2024-cards/riley-greene.png</t>
  </si>
  <si>
    <t>Greene,R</t>
  </si>
  <si>
    <t>greenri03</t>
  </si>
  <si>
    <t>Roansy Contreras</t>
  </si>
  <si>
    <t>https://sba-cards-2024.s3.us-east-1.amazonaws.com/2024-cards/roansy-contreras.png</t>
  </si>
  <si>
    <t>Contreras,R</t>
  </si>
  <si>
    <t>contrro01</t>
  </si>
  <si>
    <t>Rob Refsnyder</t>
  </si>
  <si>
    <t>https://sba-cards-2024.s3.us-east-1.amazonaws.com/2024-cards/rob-refsnyder.png</t>
  </si>
  <si>
    <t>Refsnyder,R</t>
  </si>
  <si>
    <t>refsnro01</t>
  </si>
  <si>
    <t>Robbie Grossman</t>
  </si>
  <si>
    <t>https://sba-cards-2024.s3.us-east-1.amazonaws.com/2024-cards/robbie-grossman.png</t>
  </si>
  <si>
    <t>Grossman,R</t>
  </si>
  <si>
    <t>grossro01</t>
  </si>
  <si>
    <t>Robbie Ray</t>
  </si>
  <si>
    <t>https://sba-cards-2024.s3.us-east-1.amazonaws.com/2024-cards/robbie-ray.png</t>
  </si>
  <si>
    <t>Ray,R</t>
  </si>
  <si>
    <t>rayro02</t>
  </si>
  <si>
    <t>Robert Garcia</t>
  </si>
  <si>
    <t>https://sba-cards-2024.s3.us-east-1.amazonaws.com/2024-cards/robert-garcia.png</t>
  </si>
  <si>
    <t>Garcia,R</t>
  </si>
  <si>
    <t>garciro04</t>
  </si>
  <si>
    <t>Robert Suarez</t>
  </si>
  <si>
    <t>https://sba-cards-2024.s3.us-east-1.amazonaws.com/2024-cards/robert-suarez.png</t>
  </si>
  <si>
    <t>Suarez,Ro</t>
  </si>
  <si>
    <t>suarero01</t>
  </si>
  <si>
    <t>Roddery Munoz</t>
  </si>
  <si>
    <t>https://sba-cards-2024.s3.us-east-1.amazonaws.com/2024-cards/roddery-munoz.png</t>
  </si>
  <si>
    <t>Munoz,R</t>
  </si>
  <si>
    <t>munozro01</t>
  </si>
  <si>
    <t>Romy Gonzalez</t>
  </si>
  <si>
    <t>https://sba-cards-2024.s3.us-east-1.amazonaws.com/2024-cards/romy-gonzalez.png</t>
  </si>
  <si>
    <t>Gonzalez,R</t>
  </si>
  <si>
    <t>gonzaro01</t>
  </si>
  <si>
    <t>Ron Marinaccio</t>
  </si>
  <si>
    <t>https://sba-cards-2024.s3.us-east-1.amazonaws.com/2024-cards/ron-marinaccio.png</t>
  </si>
  <si>
    <t>Marinaccio,R</t>
  </si>
  <si>
    <t>marinro01</t>
  </si>
  <si>
    <t>https://sba-cards-2024.s3.us-east-1.amazonaws.com/2024-cards/ronald-acuna-jr.png</t>
  </si>
  <si>
    <t>Acuna,R</t>
  </si>
  <si>
    <t>acunaro01</t>
  </si>
  <si>
    <t>Ronel Blanco</t>
  </si>
  <si>
    <t>https://sba-cards-2024.s3.us-east-1.amazonaws.com/2024-cards/ronel-blanco.png</t>
  </si>
  <si>
    <t>Blanco,R</t>
  </si>
  <si>
    <t>blancro01</t>
  </si>
  <si>
    <t>Ross Stripling</t>
  </si>
  <si>
    <t>https://sba-cards-2024.s3.us-east-1.amazonaws.com/2024-cards/ross-stripling.png</t>
  </si>
  <si>
    <t>Stripling,R</t>
  </si>
  <si>
    <t>stripro01</t>
  </si>
  <si>
    <t>Rowdy Tellez</t>
  </si>
  <si>
    <t>https://sba-cards-2024.s3.us-east-1.amazonaws.com/2024-cards/rowdy-tellez.png</t>
  </si>
  <si>
    <t>Tellez,R</t>
  </si>
  <si>
    <t>tellero01</t>
  </si>
  <si>
    <t>Royce Lewis</t>
  </si>
  <si>
    <t>https://sba-cards-2024.s3.us-east-1.amazonaws.com/2024-cards/royce-lewis.png</t>
  </si>
  <si>
    <t>Lewis,R</t>
  </si>
  <si>
    <t>lewisro02</t>
  </si>
  <si>
    <t>Ryan Bliss</t>
  </si>
  <si>
    <t>https://sba-cards-2024.s3.us-east-1.amazonaws.com/2024-cards/ryan-bliss.png</t>
  </si>
  <si>
    <t>Bliss,R</t>
  </si>
  <si>
    <t>blissry01</t>
  </si>
  <si>
    <t>Ryan Brasier</t>
  </si>
  <si>
    <t>https://sba-cards-2024.s3.us-east-1.amazonaws.com/2024-cards/ryan-brasier.png</t>
  </si>
  <si>
    <t>Brasier,R</t>
  </si>
  <si>
    <t>brasiry01</t>
  </si>
  <si>
    <t>Ryan Burr</t>
  </si>
  <si>
    <t>https://sba-cards-2024.s3.us-east-1.amazonaws.com/2024-cards/ryan-burr.png</t>
  </si>
  <si>
    <t>Burr,R</t>
  </si>
  <si>
    <t>burrry01</t>
  </si>
  <si>
    <t>Ryan Feltner</t>
  </si>
  <si>
    <t>https://sba-cards-2024.s3.us-east-1.amazonaws.com/2024-cards/ryan-feltner.png</t>
  </si>
  <si>
    <t>Feltner,R</t>
  </si>
  <si>
    <t>feltnry01</t>
  </si>
  <si>
    <t>Ryan Fernandez</t>
  </si>
  <si>
    <t>https://sba-cards-2024.s3.us-east-1.amazonaws.com/2024-cards/ryan-fernandez.png</t>
  </si>
  <si>
    <t>Fernandez,R</t>
  </si>
  <si>
    <t>fernary01</t>
  </si>
  <si>
    <t>Ryan Helsley</t>
  </si>
  <si>
    <t>https://sba-cards-2024.s3.us-east-1.amazonaws.com/2024-cards/ryan-helsley.png</t>
  </si>
  <si>
    <t>Helsley,R</t>
  </si>
  <si>
    <t>helslry01</t>
  </si>
  <si>
    <t>Ryan Jeffers</t>
  </si>
  <si>
    <t>https://sba-cards-2024.s3.us-east-1.amazonaws.com/2024-cards/ryan-jeffers.png</t>
  </si>
  <si>
    <t>Jeffers,R</t>
  </si>
  <si>
    <t>jeffery01</t>
  </si>
  <si>
    <t>Ryan Kreidler</t>
  </si>
  <si>
    <t>https://sba-cards-2024.s3.us-east-1.amazonaws.com/2024-cards/ryan-kreidler.png</t>
  </si>
  <si>
    <t>Kreidler,R</t>
  </si>
  <si>
    <t>kreidry01</t>
  </si>
  <si>
    <t>Ryan McMahon</t>
  </si>
  <si>
    <t>https://sba-cards-2024.s3.us-east-1.amazonaws.com/2024-cards/ryan-mcmahon.png</t>
  </si>
  <si>
    <t>McMahon,R</t>
  </si>
  <si>
    <t>mcmahry01</t>
  </si>
  <si>
    <t>Ryan Mountcastle</t>
  </si>
  <si>
    <t>https://sba-cards-2024.s3.us-east-1.amazonaws.com/2024-cards/ryan-mountcastle.png</t>
  </si>
  <si>
    <t>Mountcastle,R</t>
  </si>
  <si>
    <t>mountry01</t>
  </si>
  <si>
    <t>Ryan Noda</t>
  </si>
  <si>
    <t>https://sba-cards-2024.s3.us-east-1.amazonaws.com/2024-cards/ryan-noda.png</t>
  </si>
  <si>
    <t>Noda,R</t>
  </si>
  <si>
    <t>nodary01</t>
  </si>
  <si>
    <t>Ryan OHearn</t>
  </si>
  <si>
    <t>https://sba-cards-2024.s3.us-east-1.amazonaws.com/2024-cards/ryan-ohearn.png</t>
  </si>
  <si>
    <t>OHearn,R</t>
  </si>
  <si>
    <t>ohearry01</t>
  </si>
  <si>
    <t>Ryan Pepiot</t>
  </si>
  <si>
    <t>https://sba-cards-2024.s3.us-east-1.amazonaws.com/2024-cards/ryan-pepiot.png</t>
  </si>
  <si>
    <t>Pepiot,R</t>
  </si>
  <si>
    <t>pepiory01</t>
  </si>
  <si>
    <t>Ryan Pressly</t>
  </si>
  <si>
    <t>https://sba-cards-2024.s3.us-east-1.amazonaws.com/2024-cards/ryan-pressly.png</t>
  </si>
  <si>
    <t>Pressly,R</t>
  </si>
  <si>
    <t>pressry01</t>
  </si>
  <si>
    <t>Ryan Thompson</t>
  </si>
  <si>
    <t>https://sba-cards-2024.s3.us-east-1.amazonaws.com/2024-cards/ryan-thompson.png</t>
  </si>
  <si>
    <t>Thompson,R</t>
  </si>
  <si>
    <t>thompry02</t>
  </si>
  <si>
    <t>Ryan Walker</t>
  </si>
  <si>
    <t>https://sba-cards-2024.s3.us-east-1.amazonaws.com/2024-cards/ryan-walker.png</t>
  </si>
  <si>
    <t>https://i.postimg.cc/856MfVTD/Walker-FC.png</t>
  </si>
  <si>
    <t>Walker,R</t>
  </si>
  <si>
    <t>walkery01</t>
  </si>
  <si>
    <t>Ryan Weathers</t>
  </si>
  <si>
    <t>https://sba-cards-2024.s3.us-east-1.amazonaws.com/2024-cards/ryan-weathers.png</t>
  </si>
  <si>
    <t>Weathers,R</t>
  </si>
  <si>
    <t>weathry01</t>
  </si>
  <si>
    <t>Ryan Yarbrough</t>
  </si>
  <si>
    <t>https://sba-cards-2024.s3.us-east-1.amazonaws.com/2024-cards/ryan-yarbrough.png</t>
  </si>
  <si>
    <t>Yarbrough,R</t>
  </si>
  <si>
    <t>yarbrry01</t>
  </si>
  <si>
    <t>Ryder Ryan</t>
  </si>
  <si>
    <t>https://sba-cards-2024.s3.us-east-1.amazonaws.com/2024-cards/ryder-ryan.png</t>
  </si>
  <si>
    <t>Ryan,R</t>
  </si>
  <si>
    <t>ryanry01</t>
  </si>
  <si>
    <t>Ryne Nelson</t>
  </si>
  <si>
    <t>https://sba-cards-2024.s3.us-east-1.amazonaws.com/2024-cards/ryne-nelson.png</t>
  </si>
  <si>
    <t>Nelson,R</t>
  </si>
  <si>
    <t>nelsory01</t>
  </si>
  <si>
    <t>Ryne Stanek</t>
  </si>
  <si>
    <t>https://sba-cards-2024.s3.us-east-1.amazonaws.com/2024-cards/ryne-stanek.png</t>
  </si>
  <si>
    <t>Stanek,R</t>
  </si>
  <si>
    <t>stanery01</t>
  </si>
  <si>
    <t>Sal Frelick</t>
  </si>
  <si>
    <t>https://sba-cards-2024.s3.us-east-1.amazonaws.com/2024-cards/sal-frelick.png</t>
  </si>
  <si>
    <t>Frelick,S</t>
  </si>
  <si>
    <t>frelisa01</t>
  </si>
  <si>
    <t>Salvador Perez</t>
  </si>
  <si>
    <t>https://sba-cards-2024.s3.us-east-1.amazonaws.com/2024-cards/salvador-perez.png</t>
  </si>
  <si>
    <t>Perez,S</t>
  </si>
  <si>
    <t>perezsa02</t>
  </si>
  <si>
    <t>Sam Hentges</t>
  </si>
  <si>
    <t>https://sba-cards-2024.s3.us-east-1.amazonaws.com/2024-cards/sam-hentges.png</t>
  </si>
  <si>
    <t>Hentges,S</t>
  </si>
  <si>
    <t>hentgsa01</t>
  </si>
  <si>
    <t>Sam Hilliard</t>
  </si>
  <si>
    <t>https://sba-cards-2024.s3.us-east-1.amazonaws.com/2024-cards/sam-hilliard.png</t>
  </si>
  <si>
    <t>Hilliard,S</t>
  </si>
  <si>
    <t>hillisa01</t>
  </si>
  <si>
    <t>Sam Long</t>
  </si>
  <si>
    <t>https://sba-cards-2024.s3.us-east-1.amazonaws.com/2024-cards/sam-long.png</t>
  </si>
  <si>
    <t>Long,S</t>
  </si>
  <si>
    <t>longsa01</t>
  </si>
  <si>
    <t>Sam Moll</t>
  </si>
  <si>
    <t>https://sba-cards-2024.s3.us-east-1.amazonaws.com/2024-cards/sam-moll.png</t>
  </si>
  <si>
    <t>Moll,S</t>
  </si>
  <si>
    <t>mollsa01</t>
  </si>
  <si>
    <t>Santiago Espinal</t>
  </si>
  <si>
    <t>https://sba-cards-2024.s3.us-east-1.amazonaws.com/2024-cards/santiago-espinal.png</t>
  </si>
  <si>
    <t>Espinal,S</t>
  </si>
  <si>
    <t>espinsa01</t>
  </si>
  <si>
    <t>Scott Alexander</t>
  </si>
  <si>
    <t>https://sba-cards-2024.s3.us-east-1.amazonaws.com/2024-cards/scott-alexander.png</t>
  </si>
  <si>
    <t>Alexander,S</t>
  </si>
  <si>
    <t>alexasc02</t>
  </si>
  <si>
    <t>Scott Barlow</t>
  </si>
  <si>
    <t>https://sba-cards-2024.s3.us-east-1.amazonaws.com/2024-cards/scott-barlow.png</t>
  </si>
  <si>
    <t>Barlow,S</t>
  </si>
  <si>
    <t>barlosc01</t>
  </si>
  <si>
    <t>Scott Blewett</t>
  </si>
  <si>
    <t>https://sba-cards-2024.s3.us-east-1.amazonaws.com/2024-cards/scott-blewett.png</t>
  </si>
  <si>
    <t>Blewett,S</t>
  </si>
  <si>
    <t>blewesc01</t>
  </si>
  <si>
    <t>Scott McGough</t>
  </si>
  <si>
    <t>https://sba-cards-2024.s3.us-east-1.amazonaws.com/2024-cards/scott-mcgough.png</t>
  </si>
  <si>
    <t>McGough,S</t>
  </si>
  <si>
    <t>mcgousc01</t>
  </si>
  <si>
    <t>Sean Bouchard</t>
  </si>
  <si>
    <t>https://sba-cards-2024.s3.us-east-1.amazonaws.com/2024-cards/sean-bouchard.png</t>
  </si>
  <si>
    <t>Bouchard,S</t>
  </si>
  <si>
    <t>bouchse01</t>
  </si>
  <si>
    <t>Sean Guenther</t>
  </si>
  <si>
    <t>https://sba-cards-2024.s3.us-east-1.amazonaws.com/2024-cards/sean-guenther.png</t>
  </si>
  <si>
    <t>Guenther,S</t>
  </si>
  <si>
    <t>guentse01</t>
  </si>
  <si>
    <t>Sean Hjelle</t>
  </si>
  <si>
    <t>https://sba-cards-2024.s3.us-east-1.amazonaws.com/2024-cards/sean-hjelle.png</t>
  </si>
  <si>
    <t>Hjelle,S</t>
  </si>
  <si>
    <t>hjellse01</t>
  </si>
  <si>
    <t>Sean Manaea</t>
  </si>
  <si>
    <t>https://sba-cards-2024.s3.us-east-1.amazonaws.com/2024-cards/sean-manaea.png</t>
  </si>
  <si>
    <t>Manaea,S</t>
  </si>
  <si>
    <t>manaese01</t>
  </si>
  <si>
    <t>Sean Murphy</t>
  </si>
  <si>
    <t>https://sba-cards-2024.s3.us-east-1.amazonaws.com/2024-cards/sean-murphy.png</t>
  </si>
  <si>
    <t>Murphy,S</t>
  </si>
  <si>
    <t>murphse01</t>
  </si>
  <si>
    <t>Sean Reid-Foley</t>
  </si>
  <si>
    <t>https://sba-cards-2024.s3.us-east-1.amazonaws.com/2024-cards/sean-reid-foley.png</t>
  </si>
  <si>
    <t>Reid-Foley,S</t>
  </si>
  <si>
    <t>reidfse01</t>
  </si>
  <si>
    <t>Seiya Suzuki</t>
  </si>
  <si>
    <t>https://sba-cards-2024.s3.us-east-1.amazonaws.com/2024-cards/seiya-suzuki.png</t>
  </si>
  <si>
    <t>Suzuki,S</t>
  </si>
  <si>
    <t>suzukse01</t>
  </si>
  <si>
    <t>Seranthony Dominguez</t>
  </si>
  <si>
    <t>https://sba-cards-2024.s3.us-east-1.amazonaws.com/2024-cards/seranthony-dominguez.png</t>
  </si>
  <si>
    <t>Dominguez,S</t>
  </si>
  <si>
    <t>dominse01</t>
  </si>
  <si>
    <t>Seth Brown</t>
  </si>
  <si>
    <t>https://sba-cards-2024.s3.us-east-1.amazonaws.com/2024-cards/seth-brown.png</t>
  </si>
  <si>
    <t>Brown,S</t>
  </si>
  <si>
    <t>brownse01</t>
  </si>
  <si>
    <t>Seth Lugo</t>
  </si>
  <si>
    <t>https://sba-cards-2024.s3.us-east-1.amazonaws.com/2024-cards/seth-lugo.png</t>
  </si>
  <si>
    <t>Lugo,S</t>
  </si>
  <si>
    <t>lugose01</t>
  </si>
  <si>
    <t>Seth Martinez</t>
  </si>
  <si>
    <t>https://sba-cards-2024.s3.us-east-1.amazonaws.com/2024-cards/seth-martinez.png</t>
  </si>
  <si>
    <t>Martinez,S</t>
  </si>
  <si>
    <t>martise01</t>
  </si>
  <si>
    <t>Shane Baz</t>
  </si>
  <si>
    <t>https://sba-cards-2024.s3.us-east-1.amazonaws.com/2024-cards/shane-baz.png</t>
  </si>
  <si>
    <t>Baz,S</t>
  </si>
  <si>
    <t>bazsh01</t>
  </si>
  <si>
    <t>Shawn Armstrong</t>
  </si>
  <si>
    <t>https://sba-cards-2024.s3.us-east-1.amazonaws.com/2024-cards/shawn-armstrong.png</t>
  </si>
  <si>
    <t>Armstrong,S</t>
  </si>
  <si>
    <t>armstsh01</t>
  </si>
  <si>
    <t>Shawn Dubin</t>
  </si>
  <si>
    <t>https://sba-cards-2024.s3.us-east-1.amazonaws.com/2024-cards/shawn-dubin.png</t>
  </si>
  <si>
    <t>Dubin,S</t>
  </si>
  <si>
    <t>dubinsh01</t>
  </si>
  <si>
    <t>Shea Langeliers</t>
  </si>
  <si>
    <t>https://sba-cards-2024.s3.us-east-1.amazonaws.com/2024-cards/shea-langeliers.png</t>
  </si>
  <si>
    <t>Langeliers,S</t>
  </si>
  <si>
    <t>langesh01</t>
  </si>
  <si>
    <t>Shelby Miller</t>
  </si>
  <si>
    <t>https://sba-cards-2024.s3.us-east-1.amazonaws.com/2024-cards/shelby-miller.png</t>
  </si>
  <si>
    <t>Miller,S</t>
  </si>
  <si>
    <t>millesh01</t>
  </si>
  <si>
    <t>Shohei Ohtani</t>
  </si>
  <si>
    <t>https://sba-cards-2024.s3.us-east-1.amazonaws.com/2024-cards/shohei-ohtani.png</t>
  </si>
  <si>
    <t>https://i.postimg.cc/66rsJTMn/ohtani-card2.gif</t>
  </si>
  <si>
    <t>Ohtani,S</t>
  </si>
  <si>
    <t>ohtansh01</t>
  </si>
  <si>
    <t>Shota Imanaga</t>
  </si>
  <si>
    <t>https://sba-cards-2024.s3.us-east-1.amazonaws.com/2024-cards/shota-imanaga.png</t>
  </si>
  <si>
    <t>Imanaga,S</t>
  </si>
  <si>
    <t>imanash01</t>
  </si>
  <si>
    <t>Simeon Woods Richardson</t>
  </si>
  <si>
    <t>https://sba-cards-2024.s3.us-east-1.amazonaws.com/2024-cards/simeon-woods-richardson.png</t>
  </si>
  <si>
    <t>https://i.postimg.cc/rFJWrj2d/Woods-Richardson-FC.png</t>
  </si>
  <si>
    <t>Woods Richardson,S</t>
  </si>
  <si>
    <t>woodssi01</t>
  </si>
  <si>
    <t>Sixto Sanchez</t>
  </si>
  <si>
    <t>https://sba-cards-2024.s3.us-east-1.amazonaws.com/2024-cards/sixto-sanchez.png</t>
  </si>
  <si>
    <t>Sanchez,S</t>
  </si>
  <si>
    <t>sanchsi01</t>
  </si>
  <si>
    <t>Slade Cecconi</t>
  </si>
  <si>
    <t>https://sba-cards-2024.s3.us-east-1.amazonaws.com/2024-cards/slade-cecconi.png</t>
  </si>
  <si>
    <t>Cecconi,S</t>
  </si>
  <si>
    <t>ceccosl01</t>
  </si>
  <si>
    <t>Sonny Gray</t>
  </si>
  <si>
    <t>https://sba-cards-2024.s3.us-east-1.amazonaws.com/2024-cards/sonny-gray.png</t>
  </si>
  <si>
    <t>Gray,S</t>
  </si>
  <si>
    <t>grayso01</t>
  </si>
  <si>
    <t>Spencer Arrighetti</t>
  </si>
  <si>
    <t>https://sba-cards-2024.s3.us-east-1.amazonaws.com/2024-cards/spencer-arrighetti.png</t>
  </si>
  <si>
    <t>Arrighetti,S</t>
  </si>
  <si>
    <t>arrigsp01</t>
  </si>
  <si>
    <t>Spencer Bivens</t>
  </si>
  <si>
    <t>https://sba-cards-2024.s3.us-east-1.amazonaws.com/2024-cards/spencer-bivens.png</t>
  </si>
  <si>
    <t>Bivens,S</t>
  </si>
  <si>
    <t>bivensp01</t>
  </si>
  <si>
    <t>Spencer Horwitz</t>
  </si>
  <si>
    <t>https://sba-cards-2024.s3.us-east-1.amazonaws.com/2024-cards/spencer-horwitz.png</t>
  </si>
  <si>
    <t>Horwitz,S</t>
  </si>
  <si>
    <t>horwisp01</t>
  </si>
  <si>
    <t>Spencer Schwellenbach</t>
  </si>
  <si>
    <t>https://sba-cards-2024.s3.us-east-1.amazonaws.com/2024-cards/spencer-schwellenbach.png</t>
  </si>
  <si>
    <t>Schwellenbach,S</t>
  </si>
  <si>
    <t>schwesp01</t>
  </si>
  <si>
    <t>Spencer Steer</t>
  </si>
  <si>
    <t>https://sba-cards-2024.s3.us-east-1.amazonaws.com/2024-cards/spencer-steer.png</t>
  </si>
  <si>
    <t>Steer,S</t>
  </si>
  <si>
    <t>steersp01</t>
  </si>
  <si>
    <t>Spencer Torkelson</t>
  </si>
  <si>
    <t>https://sba-cards-2024.s3.us-east-1.amazonaws.com/2024-cards/spencer-torkelson.png</t>
  </si>
  <si>
    <t>Torkelson,S</t>
  </si>
  <si>
    <t>torkesp01</t>
  </si>
  <si>
    <t>Spencer Turnbull</t>
  </si>
  <si>
    <t>https://sba-cards-2024.s3.us-east-1.amazonaws.com/2024-cards/spencer-turnbull.png</t>
  </si>
  <si>
    <t>https://i.postimg.cc/0yhNMKjh/Turnbull-FC-S12.png</t>
  </si>
  <si>
    <t>Turnbull,S</t>
  </si>
  <si>
    <t>turnbsp01</t>
  </si>
  <si>
    <t>Starling Marte</t>
  </si>
  <si>
    <t>https://sba-cards-2024.s3.us-east-1.amazonaws.com/2024-cards/starling-marte.png</t>
  </si>
  <si>
    <t>Marte,S</t>
  </si>
  <si>
    <t>martest01</t>
  </si>
  <si>
    <t>https://sba-cards-2024.s3.us-east-1.amazonaws.com/2024-cards/stephen-kolek.png</t>
  </si>
  <si>
    <t>Kolek,S</t>
  </si>
  <si>
    <t>kolekst01</t>
  </si>
  <si>
    <t>https://sba-cards-2024.s3.us-east-1.amazonaws.com/2024-cards/steven-kwan.png</t>
  </si>
  <si>
    <t>Kwan,S</t>
  </si>
  <si>
    <t>kwanst01</t>
  </si>
  <si>
    <t>Steven Matz</t>
  </si>
  <si>
    <t>https://sba-cards-2024.s3.us-east-1.amazonaws.com/2024-cards/steven-matz.png</t>
  </si>
  <si>
    <t>Matz,S</t>
  </si>
  <si>
    <t>matzst01</t>
  </si>
  <si>
    <t>Steven Okert</t>
  </si>
  <si>
    <t>https://sba-cards-2024.s3.us-east-1.amazonaws.com/2024-cards/steven-okert.png</t>
  </si>
  <si>
    <t>Okert,S</t>
  </si>
  <si>
    <t>okertst01</t>
  </si>
  <si>
    <t>Steven Wilson</t>
  </si>
  <si>
    <t>https://sba-cards-2024.s3.us-east-1.amazonaws.com/2024-cards/steven-wilson.png</t>
  </si>
  <si>
    <t>Wilson,S</t>
  </si>
  <si>
    <t>wilsost02</t>
  </si>
  <si>
    <t>Stuart Fairchild</t>
  </si>
  <si>
    <t>https://sba-cards-2024.s3.us-east-1.amazonaws.com/2024-cards/stuart-fairchild.png</t>
  </si>
  <si>
    <t>Fairchild,S</t>
  </si>
  <si>
    <t>faircst01</t>
  </si>
  <si>
    <t>Taijuan Walker</t>
  </si>
  <si>
    <t>https://sba-cards-2024.s3.us-east-1.amazonaws.com/2024-cards/taijuan-walker.png</t>
  </si>
  <si>
    <t>Walker,T</t>
  </si>
  <si>
    <t>walketa01</t>
  </si>
  <si>
    <t>Taj Bradley</t>
  </si>
  <si>
    <t>https://sba-cards-2024.s3.us-east-1.amazonaws.com/2024-cards/taj-bradley.png</t>
  </si>
  <si>
    <t>Bradley,T</t>
  </si>
  <si>
    <t>bradlta01</t>
  </si>
  <si>
    <t>Tanner Banks</t>
  </si>
  <si>
    <t>https://sba-cards-2024.s3.us-east-1.amazonaws.com/2024-cards/tanner-banks.png</t>
  </si>
  <si>
    <t>Banks,T</t>
  </si>
  <si>
    <t>banksta01</t>
  </si>
  <si>
    <t>Tanner Bibee</t>
  </si>
  <si>
    <t>https://sba-cards-2024.s3.us-east-1.amazonaws.com/2024-cards/tanner-bibee.png</t>
  </si>
  <si>
    <t>Bibee,T</t>
  </si>
  <si>
    <t>bibeeta01</t>
  </si>
  <si>
    <t>Tanner Gordon</t>
  </si>
  <si>
    <t>https://sba-cards-2024.s3.us-east-1.amazonaws.com/2024-cards/tanner-gordon.png</t>
  </si>
  <si>
    <t>Gordon,T</t>
  </si>
  <si>
    <t>gordota01</t>
  </si>
  <si>
    <t>Tanner Houck</t>
  </si>
  <si>
    <t>https://sba-cards-2024.s3.us-east-1.amazonaws.com/2024-cards/tanner-houck.png</t>
  </si>
  <si>
    <t>https://i.postimg.cc/ydmWz6VF/Houck-FC-S12.png</t>
  </si>
  <si>
    <t>Houck,T</t>
  </si>
  <si>
    <t>houckta01</t>
  </si>
  <si>
    <t>Tanner Rainey</t>
  </si>
  <si>
    <t>https://sba-cards-2024.s3.us-east-1.amazonaws.com/2024-cards/tanner-rainey.png</t>
  </si>
  <si>
    <t>Rainey,T</t>
  </si>
  <si>
    <t>raineta01</t>
  </si>
  <si>
    <t>Tanner Scott</t>
  </si>
  <si>
    <t>https://sba-cards-2024.s3.us-east-1.amazonaws.com/2024-cards/tanner-scott.png</t>
  </si>
  <si>
    <t>https://i.postimg.cc/bvG24jDm/Scott-FC.png</t>
  </si>
  <si>
    <t>Scott,Tanner</t>
  </si>
  <si>
    <t>scottta01</t>
  </si>
  <si>
    <t>Tarik Skubal</t>
  </si>
  <si>
    <t>https://sba-cards-2024.s3.us-east-1.amazonaws.com/2024-cards/tarik-skubal.png</t>
  </si>
  <si>
    <t>Skubal,T</t>
  </si>
  <si>
    <t>skubata01</t>
  </si>
  <si>
    <t>Tayler Saucedo</t>
  </si>
  <si>
    <t>https://sba-cards-2024.s3.us-east-1.amazonaws.com/2024-cards/tayler-saucedo.png</t>
  </si>
  <si>
    <t>https://i.postimg.cc/15pBYDh6/Saucedo-FC.png</t>
  </si>
  <si>
    <t>Saucedo,T</t>
  </si>
  <si>
    <t>sauceta01</t>
  </si>
  <si>
    <t>Tayler Scott</t>
  </si>
  <si>
    <t>https://sba-cards-2024.s3.us-east-1.amazonaws.com/2024-cards/tayler-scott.png</t>
  </si>
  <si>
    <t>Scott,T</t>
  </si>
  <si>
    <t>scottta02</t>
  </si>
  <si>
    <t>Taylor Rogers</t>
  </si>
  <si>
    <t>https://sba-cards-2024.s3.us-east-1.amazonaws.com/2024-cards/taylor-rogers.png</t>
  </si>
  <si>
    <t>Rogers,Ta</t>
  </si>
  <si>
    <t>rogerta01</t>
  </si>
  <si>
    <t>Taylor Walls</t>
  </si>
  <si>
    <t>https://sba-cards-2024.s3.us-east-1.amazonaws.com/2024-cards/taylor-walls.png</t>
  </si>
  <si>
    <t>Walls,T</t>
  </si>
  <si>
    <t>wallsta01</t>
  </si>
  <si>
    <t>Taylor Ward</t>
  </si>
  <si>
    <t>https://sba-cards-2024.s3.us-east-1.amazonaws.com/2024-cards/taylor-ward.png</t>
  </si>
  <si>
    <t>Ward,T</t>
  </si>
  <si>
    <t>wardta01</t>
  </si>
  <si>
    <t>Teoscar Hernandez</t>
  </si>
  <si>
    <t>https://sba-cards-2024.s3.us-east-1.amazonaws.com/2024-cards/teoscar-hernandez.png</t>
  </si>
  <si>
    <t>Hernandez,T</t>
  </si>
  <si>
    <t>hernate01</t>
  </si>
  <si>
    <t>Thairo Estrada</t>
  </si>
  <si>
    <t>https://sba-cards-2024.s3.us-east-1.amazonaws.com/2024-cards/thairo-estrada.png</t>
  </si>
  <si>
    <t>Estrada,T</t>
  </si>
  <si>
    <t>estrath01</t>
  </si>
  <si>
    <t>Thyago Vieira</t>
  </si>
  <si>
    <t>https://sba-cards-2024.s3.us-east-1.amazonaws.com/2024-cards/thyago-vieira.png</t>
  </si>
  <si>
    <t>Vieira,T</t>
  </si>
  <si>
    <t>vieirth01</t>
  </si>
  <si>
    <t>Tim Anderson</t>
  </si>
  <si>
    <t>https://sba-cards-2024.s3.us-east-1.amazonaws.com/2024-cards/tim-anderson.png</t>
  </si>
  <si>
    <t>Anderson,Tim</t>
  </si>
  <si>
    <t>anderti01</t>
  </si>
  <si>
    <t>Tim Herrin</t>
  </si>
  <si>
    <t>https://sba-cards-2024.s3.us-east-1.amazonaws.com/2024-cards/tim-herrin.png</t>
  </si>
  <si>
    <t>Herrin,T</t>
  </si>
  <si>
    <t>herriti01</t>
  </si>
  <si>
    <t>Tim Hill</t>
  </si>
  <si>
    <t>https://sba-cards-2024.s3.us-east-1.amazonaws.com/2024-cards/tim-hill.png</t>
  </si>
  <si>
    <t>Hill,T</t>
  </si>
  <si>
    <t>hillti01</t>
  </si>
  <si>
    <t>Tim Mayza</t>
  </si>
  <si>
    <t>https://sba-cards-2024.s3.us-east-1.amazonaws.com/2024-cards/tim-mayza.png</t>
  </si>
  <si>
    <t>Mayza,T</t>
  </si>
  <si>
    <t>mayzati01</t>
  </si>
  <si>
    <t>TJ Friedl</t>
  </si>
  <si>
    <t>https://sba-cards-2024.s3.us-east-1.amazonaws.com/2024-cards/tj-friedl.png</t>
  </si>
  <si>
    <t>Friedl,T</t>
  </si>
  <si>
    <t>friedtj01</t>
  </si>
  <si>
    <t>TJ McFarland</t>
  </si>
  <si>
    <t>https://sba-cards-2024.s3.us-east-1.amazonaws.com/2024-cards/tj-mcfarland.png</t>
  </si>
  <si>
    <t>McFarland,T</t>
  </si>
  <si>
    <t>mcfartj01</t>
  </si>
  <si>
    <t>Tobias Myers</t>
  </si>
  <si>
    <t>https://sba-cards-2024.s3.us-east-1.amazonaws.com/2024-cards/tobias-myers.png</t>
  </si>
  <si>
    <t>Myers,T</t>
  </si>
  <si>
    <t>myersto01</t>
  </si>
  <si>
    <t>Tomas Nido</t>
  </si>
  <si>
    <t>https://sba-cards-2024.s3.us-east-1.amazonaws.com/2024-cards/tomas-nido.png</t>
  </si>
  <si>
    <t>Nido,T</t>
  </si>
  <si>
    <t>nidoto01</t>
  </si>
  <si>
    <t>Tommy Edman</t>
  </si>
  <si>
    <t>https://sba-cards-2024.s3.us-east-1.amazonaws.com/2024-cards/tommy-edman.png</t>
  </si>
  <si>
    <t>Edman,T</t>
  </si>
  <si>
    <t>edmanto01</t>
  </si>
  <si>
    <t>Tommy Henry</t>
  </si>
  <si>
    <t>https://sba-cards-2024.s3.us-east-1.amazonaws.com/2024-cards/tommy-henry.png</t>
  </si>
  <si>
    <t>Henry,T</t>
  </si>
  <si>
    <t>henryto01</t>
  </si>
  <si>
    <t>Tommy Kahnle</t>
  </si>
  <si>
    <t>https://sba-cards-2024.s3.us-east-1.amazonaws.com/2024-cards/tommy-kahnle.png</t>
  </si>
  <si>
    <t>Kahnle,T</t>
  </si>
  <si>
    <t>kahnlto01</t>
  </si>
  <si>
    <t>Tommy Nance</t>
  </si>
  <si>
    <t>https://sba-cards-2024.s3.us-east-1.amazonaws.com/2024-cards/tommy-nance.png</t>
  </si>
  <si>
    <t>Nance,T</t>
  </si>
  <si>
    <t>nanceto01</t>
  </si>
  <si>
    <t>Tommy Pham</t>
  </si>
  <si>
    <t>https://sba-cards-2024.s3.us-east-1.amazonaws.com/2024-cards/tommy-pham.png</t>
  </si>
  <si>
    <t>Pham,T</t>
  </si>
  <si>
    <t>phamth01</t>
  </si>
  <si>
    <t>Tony Santillan</t>
  </si>
  <si>
    <t>https://sba-cards-2024.s3.us-east-1.amazonaws.com/2024-cards/tony-santillan.png</t>
  </si>
  <si>
    <t>Santillan,T</t>
  </si>
  <si>
    <t>santito01</t>
  </si>
  <si>
    <t>Touki Toussaint</t>
  </si>
  <si>
    <t>https://sba-cards-2024.s3.us-east-1.amazonaws.com/2024-cards/touki-toussaint.png</t>
  </si>
  <si>
    <t>Toussaint,T</t>
  </si>
  <si>
    <t>toussto01</t>
  </si>
  <si>
    <t>Travis dArnaud</t>
  </si>
  <si>
    <t>https://sba-cards-2024.s3.us-east-1.amazonaws.com/2024-cards/travis-darnaud.png</t>
  </si>
  <si>
    <t>DArnaud,T</t>
  </si>
  <si>
    <t>darnatr01</t>
  </si>
  <si>
    <t>Travis Jankowski</t>
  </si>
  <si>
    <t>https://sba-cards-2024.s3.us-east-1.amazonaws.com/2024-cards/travis-jankowski.png</t>
  </si>
  <si>
    <t>Jankowski,T</t>
  </si>
  <si>
    <t>jankotr01</t>
  </si>
  <si>
    <t>https://sba-cards-2024.s3.us-east-1.amazonaws.com/2024-cards/trea-turner.png</t>
  </si>
  <si>
    <t>Turner,T</t>
  </si>
  <si>
    <t>turnetr01</t>
  </si>
  <si>
    <t>Trent Grisham</t>
  </si>
  <si>
    <t>https://sba-cards-2024.s3.us-east-1.amazonaws.com/2024-cards/trent-grisham.png</t>
  </si>
  <si>
    <t>Grisham,T</t>
  </si>
  <si>
    <t>grishtr01</t>
  </si>
  <si>
    <t>Trent Thornton</t>
  </si>
  <si>
    <t>https://sba-cards-2024.s3.us-east-1.amazonaws.com/2024-cards/trent-thornton.png</t>
  </si>
  <si>
    <t>Thornton,T</t>
  </si>
  <si>
    <t>thorntr01</t>
  </si>
  <si>
    <t>Trevor Larnach</t>
  </si>
  <si>
    <t>https://sba-cards-2024.s3.us-east-1.amazonaws.com/2024-cards/trevor-larnach.png</t>
  </si>
  <si>
    <t>Larnach,T</t>
  </si>
  <si>
    <t>larnatr01</t>
  </si>
  <si>
    <t>Trevor Megill</t>
  </si>
  <si>
    <t>https://sba-cards-2024.s3.us-east-1.amazonaws.com/2024-cards/trevor-megill.png</t>
  </si>
  <si>
    <t>https://i.postimg.cc/FsQgc1fM/Megill-FC.png</t>
  </si>
  <si>
    <t>Megill,T</t>
  </si>
  <si>
    <t>megiltr01</t>
  </si>
  <si>
    <t>Trevor Richards</t>
  </si>
  <si>
    <t>https://sba-cards-2024.s3.us-east-1.amazonaws.com/2024-cards/trevor-richards.png</t>
  </si>
  <si>
    <t>Richards,T</t>
  </si>
  <si>
    <t>richatr01</t>
  </si>
  <si>
    <t>Trevor Rogers</t>
  </si>
  <si>
    <t>https://sba-cards-2024.s3.us-east-1.amazonaws.com/2024-cards/trevor-rogers.png</t>
  </si>
  <si>
    <t>https://i.postimg.cc/SN0VrDPv/Rogers-FC.png</t>
  </si>
  <si>
    <t>Rogers,Tr</t>
  </si>
  <si>
    <t>rogertr01</t>
  </si>
  <si>
    <t>Trevor Story</t>
  </si>
  <si>
    <t>https://sba-cards-2024.s3.us-east-1.amazonaws.com/2024-cards/trevor-story.png</t>
  </si>
  <si>
    <t>Story,T</t>
  </si>
  <si>
    <t>storytr01</t>
  </si>
  <si>
    <t>Trevor Williams</t>
  </si>
  <si>
    <t>https://sba-cards-2024.s3.us-east-1.amazonaws.com/2024-cards/trevor-williams.png</t>
  </si>
  <si>
    <t>Williams,T</t>
  </si>
  <si>
    <t>willitr01</t>
  </si>
  <si>
    <t>Trey Cabbage</t>
  </si>
  <si>
    <t>https://sba-cards-2024.s3.us-east-1.amazonaws.com/2024-cards/trey-cabbage.png</t>
  </si>
  <si>
    <t>Cabbage,T</t>
  </si>
  <si>
    <t>cabbatr01</t>
  </si>
  <si>
    <t>Trey Lipscomb</t>
  </si>
  <si>
    <t>https://sba-cards-2024.s3.us-east-1.amazonaws.com/2024-cards/trey-lipscomb.png</t>
  </si>
  <si>
    <t>Lipscomb,T</t>
  </si>
  <si>
    <t>lipsctr01</t>
  </si>
  <si>
    <t>Trey Sweeney</t>
  </si>
  <si>
    <t>https://sba-cards-2024.s3.us-east-1.amazonaws.com/2024-cards/trey-sweeney.png</t>
  </si>
  <si>
    <t>Sweeney,T</t>
  </si>
  <si>
    <t>sweentr01</t>
  </si>
  <si>
    <t>Triston Casas</t>
  </si>
  <si>
    <t>https://sba-cards-2024.s3.us-east-1.amazonaws.com/2024-cards/triston-casas.png</t>
  </si>
  <si>
    <t>Casas,T</t>
  </si>
  <si>
    <t>casastr01</t>
  </si>
  <si>
    <t>Triston McKenzie</t>
  </si>
  <si>
    <t>https://sba-cards-2024.s3.us-east-1.amazonaws.com/2024-cards/triston-mckenzie.png</t>
  </si>
  <si>
    <t>McKenzie,T</t>
  </si>
  <si>
    <t>mckentr01</t>
  </si>
  <si>
    <t>Tucker Barnhart</t>
  </si>
  <si>
    <t>https://sba-cards-2024.s3.us-east-1.amazonaws.com/2024-cards/tucker-barnhart.png</t>
  </si>
  <si>
    <t>Barnhart,T</t>
  </si>
  <si>
    <t>barnhtu01</t>
  </si>
  <si>
    <t>Ty Blach</t>
  </si>
  <si>
    <t>https://sba-cards-2024.s3.us-east-1.amazonaws.com/2024-cards/ty-blach.png</t>
  </si>
  <si>
    <t>Blach,T</t>
  </si>
  <si>
    <t>blachty01</t>
  </si>
  <si>
    <t>Ty France</t>
  </si>
  <si>
    <t>https://sba-cards-2024.s3.us-east-1.amazonaws.com/2024-cards/ty-france.png</t>
  </si>
  <si>
    <t>France,T</t>
  </si>
  <si>
    <t>francty01</t>
  </si>
  <si>
    <t>Tyler Alexander</t>
  </si>
  <si>
    <t>https://sba-cards-2024.s3.us-east-1.amazonaws.com/2024-cards/tyler-alexander.png</t>
  </si>
  <si>
    <t>Alexander,T</t>
  </si>
  <si>
    <t>alexaty01</t>
  </si>
  <si>
    <t>Tyler Anderson</t>
  </si>
  <si>
    <t>https://sba-cards-2024.s3.us-east-1.amazonaws.com/2024-cards/tyler-anderson.png</t>
  </si>
  <si>
    <t>Anderson,T</t>
  </si>
  <si>
    <t>anderty01</t>
  </si>
  <si>
    <t>Tyler Ferguson</t>
  </si>
  <si>
    <t>https://sba-cards-2024.s3.us-east-1.amazonaws.com/2024-cards/tyler-ferguson.png</t>
  </si>
  <si>
    <t>Ferguson,T</t>
  </si>
  <si>
    <t>ferguty01</t>
  </si>
  <si>
    <t>Tyler Fitzgerald</t>
  </si>
  <si>
    <t>https://sba-cards-2024.s3.us-east-1.amazonaws.com/2024-cards/tyler-fitzgerald.png</t>
  </si>
  <si>
    <t>Fitzgerald,T</t>
  </si>
  <si>
    <t>fitzgty01</t>
  </si>
  <si>
    <t>Tyler Freeman</t>
  </si>
  <si>
    <t>https://sba-cards-2024.s3.us-east-1.amazonaws.com/2024-cards/tyler-freeman.png</t>
  </si>
  <si>
    <t>Freeman,T</t>
  </si>
  <si>
    <t>freemty01</t>
  </si>
  <si>
    <t>Tyler Glasnow</t>
  </si>
  <si>
    <t>https://sba-cards-2024.s3.us-east-1.amazonaws.com/2024-cards/tyler-glasnow.png</t>
  </si>
  <si>
    <t>Glasnow,T</t>
  </si>
  <si>
    <t>glasnty01</t>
  </si>
  <si>
    <t>Tyler Holton</t>
  </si>
  <si>
    <t>https://sba-cards-2024.s3.us-east-1.amazonaws.com/2024-cards/tyler-holton.png</t>
  </si>
  <si>
    <t>Holton,T</t>
  </si>
  <si>
    <t>holtoty01</t>
  </si>
  <si>
    <t>Tyler Kinley</t>
  </si>
  <si>
    <t>https://sba-cards-2024.s3.us-east-1.amazonaws.com/2024-cards/tyler-kinley.png</t>
  </si>
  <si>
    <t>Kinley,T</t>
  </si>
  <si>
    <t>kinlety01</t>
  </si>
  <si>
    <t>Tyler Nevin</t>
  </si>
  <si>
    <t>https://sba-cards-2024.s3.us-east-1.amazonaws.com/2024-cards/tyler-nevin.png</t>
  </si>
  <si>
    <t>Nevin,T</t>
  </si>
  <si>
    <t>nevinty01</t>
  </si>
  <si>
    <t>Tyler ONeill</t>
  </si>
  <si>
    <t>https://sba-cards-2024.s3.us-east-1.amazonaws.com/2024-cards/tyler-oneill.png</t>
  </si>
  <si>
    <t>ONeill,T</t>
  </si>
  <si>
    <t>oneilty01</t>
  </si>
  <si>
    <t>Tyler Phillips</t>
  </si>
  <si>
    <t>https://sba-cards-2024.s3.us-east-1.amazonaws.com/2024-cards/tyler-phillips.png</t>
  </si>
  <si>
    <t>Phillips,T</t>
  </si>
  <si>
    <t>phillty01</t>
  </si>
  <si>
    <t>Tyler Rogers</t>
  </si>
  <si>
    <t>https://sba-cards-2024.s3.us-east-1.amazonaws.com/2024-cards/tyler-rogers.png</t>
  </si>
  <si>
    <t>Rogers,Tyler</t>
  </si>
  <si>
    <t>rogerty01</t>
  </si>
  <si>
    <t>Tyler Soderstrom</t>
  </si>
  <si>
    <t>https://sba-cards-2024.s3.us-east-1.amazonaws.com/2024-cards/tyler-soderstrom.png</t>
  </si>
  <si>
    <t>Soderstrom,T</t>
  </si>
  <si>
    <t>soderty01</t>
  </si>
  <si>
    <t>Tyler Stephenson</t>
  </si>
  <si>
    <t>https://sba-cards-2024.s3.us-east-1.amazonaws.com/2024-cards/tyler-stephenson.png</t>
  </si>
  <si>
    <t>Stephenson,T</t>
  </si>
  <si>
    <t>stephty01</t>
  </si>
  <si>
    <t>Tyler Wade</t>
  </si>
  <si>
    <t>https://sba-cards-2024.s3.us-east-1.amazonaws.com/2024-cards/tyler-wade.png</t>
  </si>
  <si>
    <t>Wade,T</t>
  </si>
  <si>
    <t>wadety01</t>
  </si>
  <si>
    <t>Tylor Megill</t>
  </si>
  <si>
    <t>https://sba-cards-2024.s3.us-east-1.amazonaws.com/2024-cards/tylor-megill.png</t>
  </si>
  <si>
    <t>Megill,Tylor</t>
  </si>
  <si>
    <t>megilty01</t>
  </si>
  <si>
    <t>Tyrone Taylor</t>
  </si>
  <si>
    <t>https://sba-cards-2024.s3.us-east-1.amazonaws.com/2024-cards/tyrone-taylor.png</t>
  </si>
  <si>
    <t>Taylor,T</t>
  </si>
  <si>
    <t>tayloty01</t>
  </si>
  <si>
    <t>Tyson Miller</t>
  </si>
  <si>
    <t>https://sba-cards-2024.s3.us-east-1.amazonaws.com/2024-cards/tyson-miller.png</t>
  </si>
  <si>
    <t>Miller,T</t>
  </si>
  <si>
    <t>millety01</t>
  </si>
  <si>
    <t>Valente Bellozo</t>
  </si>
  <si>
    <t>https://sba-cards-2024.s3.us-east-1.amazonaws.com/2024-cards/valente-bellozo.png</t>
  </si>
  <si>
    <t>Bellozo,V</t>
  </si>
  <si>
    <t>bellova01</t>
  </si>
  <si>
    <t>Vaughn Grissom</t>
  </si>
  <si>
    <t>https://sba-cards-2024.s3.us-east-1.amazonaws.com/2024-cards/vaughn-grissom.png</t>
  </si>
  <si>
    <t>Grissom,V</t>
  </si>
  <si>
    <t>grissva01</t>
  </si>
  <si>
    <t>Victor Caratini</t>
  </si>
  <si>
    <t>https://sba-cards-2024.s3.us-east-1.amazonaws.com/2024-cards/victor-caratini.png</t>
  </si>
  <si>
    <t>Caratini,V</t>
  </si>
  <si>
    <t>caratvi01</t>
  </si>
  <si>
    <t>Victor Gonzalez</t>
  </si>
  <si>
    <t>https://sba-cards-2024.s3.us-east-1.amazonaws.com/2024-cards/victor-gonzalez.png</t>
  </si>
  <si>
    <t>Gonzalez,V</t>
  </si>
  <si>
    <t>gonzavi02</t>
  </si>
  <si>
    <t>Victor Robles</t>
  </si>
  <si>
    <t>https://sba-cards-2024.s3.us-east-1.amazonaws.com/2024-cards/victor-robles.png</t>
  </si>
  <si>
    <t>Robles,V</t>
  </si>
  <si>
    <t>roblevi01</t>
  </si>
  <si>
    <t>Victor Scott</t>
  </si>
  <si>
    <t>https://sba-cards-2024.s3.us-east-1.amazonaws.com/2024-cards/victor-scott.png</t>
  </si>
  <si>
    <t>Scott II,V</t>
  </si>
  <si>
    <t>scottvi01</t>
  </si>
  <si>
    <t>Victor Vodnik</t>
  </si>
  <si>
    <t>https://sba-cards-2024.s3.us-east-1.amazonaws.com/2024-cards/victor-vodnik.png</t>
  </si>
  <si>
    <t>Vodnik,V</t>
  </si>
  <si>
    <t>vodnivi01</t>
  </si>
  <si>
    <t>Vidal Brujan</t>
  </si>
  <si>
    <t>https://sba-cards-2024.s3.us-east-1.amazonaws.com/2024-cards/vidal-brujan.png</t>
  </si>
  <si>
    <t>Brujan,V</t>
  </si>
  <si>
    <t>brujavi01</t>
  </si>
  <si>
    <t>Vinnie Pasquantino</t>
  </si>
  <si>
    <t>https://sba-cards-2024.s3.us-east-1.amazonaws.com/2024-cards/vinnie-pasquantino.png</t>
  </si>
  <si>
    <t>Pasquantino,V</t>
  </si>
  <si>
    <t>pasquvi01</t>
  </si>
  <si>
    <t>Vladimir Guerrero Jr</t>
  </si>
  <si>
    <t>https://sba-cards-2024.s3.us-east-1.amazonaws.com/2024-cards/vladimir-guerrero-jr.png</t>
  </si>
  <si>
    <t>Guerrero Jr,V</t>
  </si>
  <si>
    <t>guerrvl02</t>
  </si>
  <si>
    <t>Walker Buehler</t>
  </si>
  <si>
    <t>https://sba-cards-2024.s3.us-east-1.amazonaws.com/2024-cards/walker-buehler.png</t>
  </si>
  <si>
    <t>Buehler,W</t>
  </si>
  <si>
    <t>buehlwa01</t>
  </si>
  <si>
    <t>Wandy Peralta</t>
  </si>
  <si>
    <t>https://sba-cards-2024.s3.us-east-1.amazonaws.com/2024-cards/wandy-peralta.png</t>
  </si>
  <si>
    <t>Peralta,W</t>
  </si>
  <si>
    <t>peralwa01</t>
  </si>
  <si>
    <t>Wenceel Perez</t>
  </si>
  <si>
    <t>https://sba-cards-2024.s3.us-east-1.amazonaws.com/2024-cards/wenceel-perez.png</t>
  </si>
  <si>
    <t>Perez,W</t>
  </si>
  <si>
    <t>perezwe01</t>
  </si>
  <si>
    <t>Weston Wilson</t>
  </si>
  <si>
    <t>https://sba-cards-2024.s3.us-east-1.amazonaws.com/2024-cards/weston-wilson.png</t>
  </si>
  <si>
    <t>Wilson,W</t>
  </si>
  <si>
    <t>wilsowe01</t>
  </si>
  <si>
    <t>Whit Merrifield</t>
  </si>
  <si>
    <t>https://sba-cards-2024.s3.us-east-1.amazonaws.com/2024-cards/whit-merrifield.png</t>
  </si>
  <si>
    <t>Merrifield,W</t>
  </si>
  <si>
    <t>merriwh01</t>
  </si>
  <si>
    <t>Will Benson</t>
  </si>
  <si>
    <t>https://sba-cards-2024.s3.us-east-1.amazonaws.com/2024-cards/will-benson.png</t>
  </si>
  <si>
    <t>Benson,W</t>
  </si>
  <si>
    <t>bensowi01</t>
  </si>
  <si>
    <t>Will Brennan</t>
  </si>
  <si>
    <t>https://sba-cards-2024.s3.us-east-1.amazonaws.com/2024-cards/will-brennan.png</t>
  </si>
  <si>
    <t>Brennan,W</t>
  </si>
  <si>
    <t>brennwi02</t>
  </si>
  <si>
    <t>Will D Smith</t>
  </si>
  <si>
    <t>https://sba-cards-2024.s3.us-east-1.amazonaws.com/2024-cards/will-d-smith.png</t>
  </si>
  <si>
    <t>Smith,Wd</t>
  </si>
  <si>
    <t>smithwi05</t>
  </si>
  <si>
    <t>Will Smith</t>
  </si>
  <si>
    <t>https://sba-cards-2024.s3.us-east-1.amazonaws.com/2024-cards/will-smith.png</t>
  </si>
  <si>
    <t>Smith,W</t>
  </si>
  <si>
    <t>smithwi04</t>
  </si>
  <si>
    <t>Will Vest</t>
  </si>
  <si>
    <t>https://sba-cards-2024.s3.us-east-1.amazonaws.com/2024-cards/will-vest.png</t>
  </si>
  <si>
    <t>Vest,W</t>
  </si>
  <si>
    <t>vestwi01</t>
  </si>
  <si>
    <t>Will Wagner</t>
  </si>
  <si>
    <t>https://sba-cards-2024.s3.us-east-1.amazonaws.com/2024-cards/will-wagner.png</t>
  </si>
  <si>
    <t>Wagner,W</t>
  </si>
  <si>
    <t>wagnewi01</t>
  </si>
  <si>
    <t>Willi Castro</t>
  </si>
  <si>
    <t>https://sba-cards-2024.s3.us-east-1.amazonaws.com/2024-cards/willi-castro.png</t>
  </si>
  <si>
    <t>Castro,W</t>
  </si>
  <si>
    <t>castrwi01</t>
  </si>
  <si>
    <t>William Contreras</t>
  </si>
  <si>
    <t>https://sba-cards-2024.s3.us-east-1.amazonaws.com/2024-cards/william-contreras.png</t>
  </si>
  <si>
    <t>Contreras,William</t>
  </si>
  <si>
    <t>contrwi02</t>
  </si>
  <si>
    <t>Willie Calhoun</t>
  </si>
  <si>
    <t>https://sba-cards-2024.s3.us-east-1.amazonaws.com/2024-cards/willie-calhoun.png</t>
  </si>
  <si>
    <t>Calhoun,W</t>
  </si>
  <si>
    <t>calhowi01</t>
  </si>
  <si>
    <t>Willson Contreras</t>
  </si>
  <si>
    <t>https://sba-cards-2024.s3.us-east-1.amazonaws.com/2024-cards/willson-contreras.png</t>
  </si>
  <si>
    <t>Contreras,Willson</t>
  </si>
  <si>
    <t>contrwi01</t>
  </si>
  <si>
    <t>Willy Adames</t>
  </si>
  <si>
    <t>https://sba-cards-2024.s3.us-east-1.amazonaws.com/2024-cards/willy-adames.png</t>
  </si>
  <si>
    <t>https://i.postimg.cc/h48Qksvg/Adames-FC.png</t>
  </si>
  <si>
    <t>Adames,W</t>
  </si>
  <si>
    <t>adamewi01</t>
  </si>
  <si>
    <t>Wilmer Flores</t>
  </si>
  <si>
    <t>https://sba-cards-2024.s3.us-east-1.amazonaws.com/2024-cards/wilmer-flores.png</t>
  </si>
  <si>
    <t>Flores,W</t>
  </si>
  <si>
    <t>florewi01</t>
  </si>
  <si>
    <t>Wilyer Abreu</t>
  </si>
  <si>
    <t>https://sba-cards-2024.s3.us-east-1.amazonaws.com/2024-cards/wilyer-abreu.png</t>
  </si>
  <si>
    <t>Abreu,W</t>
  </si>
  <si>
    <t>abreuwi02</t>
  </si>
  <si>
    <t>Wyatt Langford</t>
  </si>
  <si>
    <t>https://sba-cards-2024.s3.us-east-1.amazonaws.com/2024-cards/wyatt-langford.png</t>
  </si>
  <si>
    <t>Langford,W</t>
  </si>
  <si>
    <t>langfwy01</t>
  </si>
  <si>
    <t>Xander Bogaerts</t>
  </si>
  <si>
    <t>https://sba-cards-2024.s3.us-east-1.amazonaws.com/2024-cards/xander-bogaerts.png</t>
  </si>
  <si>
    <t>Bogaerts,X</t>
  </si>
  <si>
    <t>bogaexa01</t>
  </si>
  <si>
    <t>Xavier Edwards</t>
  </si>
  <si>
    <t>https://sba-cards-2024.s3.us-east-1.amazonaws.com/2024-cards/xavier-edwards.png</t>
  </si>
  <si>
    <t>Edwards,X</t>
  </si>
  <si>
    <t>edwarxa01</t>
  </si>
  <si>
    <t>Xzavion Curry</t>
  </si>
  <si>
    <t>https://sba-cards-2024.s3.us-east-1.amazonaws.com/2024-cards/xzavion-curry.png</t>
  </si>
  <si>
    <t>Curry,X</t>
  </si>
  <si>
    <t>curryxz01</t>
  </si>
  <si>
    <t>Yainer Diaz</t>
  </si>
  <si>
    <t>https://sba-cards-2024.s3.us-east-1.amazonaws.com/2024-cards/yainer-diaz.png</t>
  </si>
  <si>
    <t>Diaz,Yainer</t>
  </si>
  <si>
    <t>diazya02</t>
  </si>
  <si>
    <t>Yan Gomes</t>
  </si>
  <si>
    <t>https://sba-cards-2024.s3.us-east-1.amazonaws.com/2024-cards/yan-gomes.png</t>
  </si>
  <si>
    <t>Gomes,Y</t>
  </si>
  <si>
    <t>gomesya01</t>
  </si>
  <si>
    <t>Yandy Diaz</t>
  </si>
  <si>
    <t>https://sba-cards-2024.s3.us-east-1.amazonaws.com/2024-cards/yandy-diaz.png</t>
  </si>
  <si>
    <t>Diaz,Yandy</t>
  </si>
  <si>
    <t>diazya01</t>
  </si>
  <si>
    <t>Yariel Rodriguez</t>
  </si>
  <si>
    <t>https://sba-cards-2024.s3.us-east-1.amazonaws.com/2024-cards/yariel-rodriguez.png</t>
  </si>
  <si>
    <t>Rodriguez,Ya</t>
  </si>
  <si>
    <t>rodriya01</t>
  </si>
  <si>
    <t>Yasmani Grandal</t>
  </si>
  <si>
    <t>https://sba-cards-2024.s3.us-east-1.amazonaws.com/2024-cards/yasmani-grandal.png</t>
  </si>
  <si>
    <t>Grandal,Y</t>
  </si>
  <si>
    <t>grandya01</t>
  </si>
  <si>
    <t>Yennier Cano</t>
  </si>
  <si>
    <t>https://sba-cards-2024.s3.us-east-1.amazonaws.com/2024-cards/yennier-cano.png</t>
  </si>
  <si>
    <t>Cano,Y</t>
  </si>
  <si>
    <t>canoye01</t>
  </si>
  <si>
    <t>Yerry Rodriguez</t>
  </si>
  <si>
    <t>https://sba-cards-2024.s3.us-east-1.amazonaws.com/2024-cards/yerry-rodriguez.png</t>
  </si>
  <si>
    <t>Rodriguez,Ye</t>
  </si>
  <si>
    <t>rodriye01</t>
  </si>
  <si>
    <t>Yimi Garcia</t>
  </si>
  <si>
    <t>https://sba-cards-2024.s3.us-east-1.amazonaws.com/2024-cards/yimi-garcia.png</t>
  </si>
  <si>
    <t>Garcia,Y</t>
  </si>
  <si>
    <t>garciyi01</t>
  </si>
  <si>
    <t>Yohan Ramirez</t>
  </si>
  <si>
    <t>https://sba-cards-2024.s3.us-east-1.amazonaws.com/2024-cards/yohan-ramirez.png</t>
  </si>
  <si>
    <t>Ramirez,Y</t>
  </si>
  <si>
    <t>ramiryo01</t>
  </si>
  <si>
    <t>Yonny Chirinos</t>
  </si>
  <si>
    <t>https://sba-cards-2024.s3.us-east-1.amazonaws.com/2024-cards/yonny-chirinos.png</t>
  </si>
  <si>
    <t>Chirinos,Y</t>
  </si>
  <si>
    <t>chiriyo01</t>
  </si>
  <si>
    <t>Yordan Alvarez</t>
  </si>
  <si>
    <t>https://sba-cards-2024.s3.us-east-1.amazonaws.com/2024-cards/yordan-alvarez.png</t>
  </si>
  <si>
    <t>Alvarez,Y</t>
  </si>
  <si>
    <t>alvaryo01</t>
  </si>
  <si>
    <t>https://sba-cards-2024.s3.us-east-1.amazonaws.com/2024-cards/yoshinobu-yamamoto.png</t>
  </si>
  <si>
    <t>Yamamoto,Y</t>
  </si>
  <si>
    <t>yamamyo01</t>
  </si>
  <si>
    <t>Yu Darvish</t>
  </si>
  <si>
    <t>https://sba-cards-2024.s3.us-east-1.amazonaws.com/2024-cards/yu-darvish.png</t>
  </si>
  <si>
    <t>Darvish,Y</t>
  </si>
  <si>
    <t>darviyu01</t>
  </si>
  <si>
    <t>Yuki Matsui</t>
  </si>
  <si>
    <t>https://sba-cards-2024.s3.us-east-1.amazonaws.com/2024-cards/yuki-matsui.png</t>
  </si>
  <si>
    <t>Matsui,Y</t>
  </si>
  <si>
    <t>matsuyu01</t>
  </si>
  <si>
    <t>Yuli Gurriel</t>
  </si>
  <si>
    <t>https://sba-cards-2024.s3.us-east-1.amazonaws.com/2024-cards/yuli-gurriel.png</t>
  </si>
  <si>
    <t>Gurriel,Y</t>
  </si>
  <si>
    <t>gourryu01</t>
  </si>
  <si>
    <t>Yunior Marte</t>
  </si>
  <si>
    <t>https://sba-cards-2024.s3.us-east-1.amazonaws.com/2024-cards/yunior-marte.png</t>
  </si>
  <si>
    <t>Marte,Y</t>
  </si>
  <si>
    <t>marteyu01</t>
  </si>
  <si>
    <t>Yusei Kikuchi</t>
  </si>
  <si>
    <t>https://sba-cards-2024.s3.us-east-1.amazonaws.com/2024-cards/yusei-kikuchi.png</t>
  </si>
  <si>
    <t>Kikuchi,Y</t>
  </si>
  <si>
    <t>kikucyu01</t>
  </si>
  <si>
    <t>Zac Gallen</t>
  </si>
  <si>
    <t>https://sba-cards-2024.s3.us-east-1.amazonaws.com/2024-cards/zac-gallen.png</t>
  </si>
  <si>
    <t>Gallen,Z</t>
  </si>
  <si>
    <t>galleza01</t>
  </si>
  <si>
    <t>Zach DeLoach</t>
  </si>
  <si>
    <t>https://sba-cards-2024.s3.us-east-1.amazonaws.com/2024-cards/zach-deloach.png</t>
  </si>
  <si>
    <t>DeLoach,Z</t>
  </si>
  <si>
    <t>deloaza01</t>
  </si>
  <si>
    <t>Zach Dezenzo</t>
  </si>
  <si>
    <t>https://sba-cards-2024.s3.us-east-1.amazonaws.com/2024-cards/zach-dezenzo.png</t>
  </si>
  <si>
    <t>Dezenzo,Z</t>
  </si>
  <si>
    <t>dezenza01</t>
  </si>
  <si>
    <t>Zach Eflin</t>
  </si>
  <si>
    <t>https://sba-cards-2024.s3.us-east-1.amazonaws.com/2024-cards/zach-eflin.png</t>
  </si>
  <si>
    <t>Eflin,Z</t>
  </si>
  <si>
    <t>eflinza01</t>
  </si>
  <si>
    <t>Zach McKinstry</t>
  </si>
  <si>
    <t>https://sba-cards-2024.s3.us-east-1.amazonaws.com/2024-cards/zach-mckinstry.png</t>
  </si>
  <si>
    <t>McKinstry,Z</t>
  </si>
  <si>
    <t>mckinza01</t>
  </si>
  <si>
    <t>Zach Neto</t>
  </si>
  <si>
    <t>https://sba-cards-2024.s3.us-east-1.amazonaws.com/2024-cards/zach-neto.png</t>
  </si>
  <si>
    <t>Neto,Z</t>
  </si>
  <si>
    <t>netoza01</t>
  </si>
  <si>
    <t>Zach Pop</t>
  </si>
  <si>
    <t>https://sba-cards-2024.s3.us-east-1.amazonaws.com/2024-cards/zach-pop.png</t>
  </si>
  <si>
    <t>Pop,Z</t>
  </si>
  <si>
    <t>popza01</t>
  </si>
  <si>
    <t>Zack Gelof</t>
  </si>
  <si>
    <t>https://sba-cards-2024.s3.us-east-1.amazonaws.com/2024-cards/zack-gelof.png</t>
  </si>
  <si>
    <t>Gelof,Z</t>
  </si>
  <si>
    <t>gelofza01</t>
  </si>
  <si>
    <t>Zack Kelly</t>
  </si>
  <si>
    <t>https://sba-cards-2024.s3.us-east-1.amazonaws.com/2024-cards/zack-kelly.png</t>
  </si>
  <si>
    <t>Kelly,Z</t>
  </si>
  <si>
    <t>kellyza01</t>
  </si>
  <si>
    <t>Zack Littell</t>
  </si>
  <si>
    <t>https://sba-cards-2024.s3.us-east-1.amazonaws.com/2024-cards/zack-littell.png</t>
  </si>
  <si>
    <t>Littell,Z</t>
  </si>
  <si>
    <t>litteza01</t>
  </si>
  <si>
    <t>Zack Short</t>
  </si>
  <si>
    <t>https://sba-cards-2024.s3.us-east-1.amazonaws.com/2024-cards/zack-short.png</t>
  </si>
  <si>
    <t>Short,Z</t>
  </si>
  <si>
    <t>shortza01</t>
  </si>
  <si>
    <t>Zack Wheeler</t>
  </si>
  <si>
    <t>https://sba-cards-2024.s3.us-east-1.amazonaws.com/2024-cards/zack-wheeler.png</t>
  </si>
  <si>
    <t>Wheeler,Z</t>
  </si>
  <si>
    <t>wheelza01</t>
  </si>
  <si>
    <t>Zebby Matthews</t>
  </si>
  <si>
    <t>https://sba-cards-2024.s3.us-east-1.amazonaws.com/2024-cards/zebby-matthews.png</t>
  </si>
  <si>
    <t>Matthews,Z</t>
  </si>
  <si>
    <t>matthze01</t>
  </si>
  <si>
    <t>count</t>
  </si>
  <si>
    <t>Pitcher</t>
  </si>
  <si>
    <t>Last</t>
  </si>
  <si>
    <t>Last Summary</t>
  </si>
  <si>
    <t>Next to Last</t>
  </si>
  <si>
    <t>Next Last Summary</t>
  </si>
  <si>
    <t>Depth Chart Output</t>
  </si>
  <si>
    <t>Team</t>
  </si>
  <si>
    <t>Player ID:</t>
  </si>
  <si>
    <t>team</t>
  </si>
  <si>
    <t>pa</t>
  </si>
  <si>
    <t>ab</t>
  </si>
  <si>
    <t>run</t>
  </si>
  <si>
    <t>hit</t>
  </si>
  <si>
    <t>rbi</t>
  </si>
  <si>
    <t>double</t>
  </si>
  <si>
    <t>triple</t>
  </si>
  <si>
    <t>hr</t>
  </si>
  <si>
    <t>bb</t>
  </si>
  <si>
    <t>so</t>
  </si>
  <si>
    <t>hbp</t>
  </si>
  <si>
    <t>sac</t>
  </si>
  <si>
    <t>ibb</t>
  </si>
  <si>
    <t>gidp</t>
  </si>
  <si>
    <t>sb</t>
  </si>
  <si>
    <t>cs</t>
  </si>
  <si>
    <t>bphr</t>
  </si>
  <si>
    <t>bpfo</t>
  </si>
  <si>
    <t>bp1b</t>
  </si>
  <si>
    <t>bplo</t>
  </si>
  <si>
    <t>wpa</t>
  </si>
  <si>
    <t>avg</t>
  </si>
  <si>
    <t>obp</t>
  </si>
  <si>
    <t>slg</t>
  </si>
  <si>
    <t>ops</t>
  </si>
  <si>
    <t>woba</t>
  </si>
  <si>
    <t>game</t>
  </si>
  <si>
    <t>lob_all</t>
  </si>
  <si>
    <t>lob_all_rate</t>
  </si>
  <si>
    <t>lob_2outs</t>
  </si>
  <si>
    <t>rbi%</t>
  </si>
  <si>
    <t>week</t>
  </si>
  <si>
    <t>re24_primary</t>
  </si>
  <si>
    <t>TOT</t>
  </si>
  <si>
    <t>tbf</t>
  </si>
  <si>
    <t>outs</t>
  </si>
  <si>
    <t>games</t>
  </si>
  <si>
    <t>gs</t>
  </si>
  <si>
    <t>win</t>
  </si>
  <si>
    <t>loss</t>
  </si>
  <si>
    <t>hold</t>
  </si>
  <si>
    <t>save</t>
  </si>
  <si>
    <t>bsave</t>
  </si>
  <si>
    <t>ir</t>
  </si>
  <si>
    <t>ir_sc</t>
  </si>
  <si>
    <t>e_run</t>
  </si>
  <si>
    <t>hits</t>
  </si>
  <si>
    <t>wp</t>
  </si>
  <si>
    <t>balk</t>
  </si>
  <si>
    <t>era</t>
  </si>
  <si>
    <t>whip</t>
  </si>
  <si>
    <t>k/9</t>
  </si>
  <si>
    <t>bb/9</t>
  </si>
  <si>
    <t>k/bb</t>
  </si>
  <si>
    <t>sbaplayer</t>
  </si>
  <si>
    <t>player_team_id</t>
  </si>
  <si>
    <t>player_team_abbrev</t>
  </si>
  <si>
    <t>homerun</t>
  </si>
  <si>
    <t>k_pct</t>
  </si>
  <si>
    <t>pos</t>
  </si>
  <si>
    <t>x-ch</t>
  </si>
  <si>
    <t>error</t>
  </si>
  <si>
    <t>sb-ch</t>
  </si>
  <si>
    <t>pb</t>
  </si>
  <si>
    <t>wf%</t>
  </si>
  <si>
    <t>cs%</t>
  </si>
  <si>
    <t>perfect?</t>
  </si>
  <si>
    <t>num checks</t>
  </si>
  <si>
    <t>W/L</t>
  </si>
  <si>
    <t>game_num</t>
  </si>
  <si>
    <t>season_type</t>
  </si>
  <si>
    <t>away_team</t>
  </si>
  <si>
    <t>home_team</t>
  </si>
  <si>
    <t>away_score</t>
  </si>
  <si>
    <t>home_score</t>
  </si>
  <si>
    <t>away_manager</t>
  </si>
  <si>
    <t>home_manager</t>
  </si>
  <si>
    <t>scorecard_url</t>
  </si>
  <si>
    <t>Bears Win?</t>
  </si>
  <si>
    <t>regular</t>
  </si>
  <si>
    <t>https://docs.google.com/spreadsheets/d/1NiRGpbYxudOtUy_yYuKDgLSXzAnzcnn7Ng3Qx_83nl4/edit?gid=1468572026</t>
  </si>
  <si>
    <t>https://docs.google.com/spreadsheets/d/1ySx9KVnlER7vbjHMBeXS8wagnO4l0ugv9kSjCZCYW0c/edit?gid=1468572026</t>
  </si>
  <si>
    <t>https://docs.google.com/spreadsheets/d/15oQMysG8Nppf9rEqSDfi5OTnOOrldr7jEJ8FgecYuq8/edit?gid=2097166564</t>
  </si>
  <si>
    <t>https://docs.google.com/spreadsheets/d/1MwuAsjvQeJk2Atfy3GUQeeET-ABe340bnAIe4CCIVGA/edit?gid=1468572026</t>
  </si>
  <si>
    <t>https://docs.google.com/spreadsheets/d/1WgFqZgKH9ZFR16SqAHicwm3bwJI9XWhZoQ-sC84gRIc/edit?gid=1468572026</t>
  </si>
  <si>
    <t>https://docs.google.com/spreadsheets/d/1A_5YGk5c4SPBi8OH5n8qZywTiPKvKk4oVi7p40469H4/edit?gid=1468572026</t>
  </si>
  <si>
    <t>https://docs.google.com/spreadsheets/d/1fAuzNoOo5qXHJ0GCnf0i-rN4-QjDrGSl2DkI983D_ss/edit?usp=sharing</t>
  </si>
  <si>
    <t>https://docs.google.com/spreadsheets/d/1HSKRLh-F3BUwJXONST3uRn5WFZt3XENrZJ-SckW1ioM/edit?gid=1468572026</t>
  </si>
  <si>
    <t>AI</t>
  </si>
  <si>
    <t>Josef</t>
  </si>
  <si>
    <t>https://docs.google.com/spreadsheets/d/1NzWlkiiBFEb3iiaCeHsX1ZyVDEr-DvmWxkLWpc3F9i0/edit?usp=sharing</t>
  </si>
  <si>
    <t>https://docs.google.com/spreadsheets/d/1WzwiI64PrCnivoRtTfdn1W0dAOUjHd_NlG529F_6sdU/edit?usp=sharing</t>
  </si>
  <si>
    <t>Pops</t>
  </si>
  <si>
    <t>https://docs.google.com/spreadsheets/d/1po_pUNppSdqfTUtDl0A2bs2ojanQQzQ-D5VtANeHpjI/edit?gid=1148472416</t>
  </si>
  <si>
    <t>https://docs.google.com/spreadsheets/d/1i2IWXQbA8rD29ZgVP2mKfPWC7c8U4CrmbuTpg6DDryk/edit?gid=1468572026</t>
  </si>
  <si>
    <t>KSS</t>
  </si>
  <si>
    <t>https://docs.google.com/spreadsheets/d/1ahxWeVlyiLDW7PvCJFMUVCbT0oGiICmjfgKDDureltc/edit?usp=sharing</t>
  </si>
  <si>
    <t>https://docs.google.com/spreadsheets/d/1Wi-QxNVXhxxC9caz4cJF4tKHfRj8-cZOXUueEshENdc/edit?usp=sharing</t>
  </si>
  <si>
    <t>https://docs.google.com/spreadsheets/d/1r9V1dWZOB5I2y0CGMd_9oZO-2rMMBi0vumQ-RhlaKp8/edit?usp=sharing</t>
  </si>
  <si>
    <t>https://docs.google.com/spreadsheets/d/1yRHBS19n13NDoruREXAnOvtKS8oVejUd1gnD85nq35I/edit?usp=sharing</t>
  </si>
  <si>
    <t>https://docs.google.com/spreadsheets/d/1VFNeDIj_hBFvAe4VwmoA6S12nkrG41Y7qNQlGKbHzwA/edit?gid=1468572026</t>
  </si>
  <si>
    <t>https://docs.google.com/spreadsheets/d/1pKbme4MBGv8upbbZkfcbqd9fZTdzkwZDJ3PwVgYKIcE/edit?gid=1468572026</t>
  </si>
  <si>
    <t>https://docs.google.com/spreadsheets/d/1Sawkr5gtPEMg_7iaAGu35HaNENRqCvIIsPg-m4exNQg/edit?gid=1468572026</t>
  </si>
  <si>
    <t>https://docs.google.com/spreadsheets/d/1_jH_cB1aNgx3Av94hjGKT1nsM-QJf8n8Xa4rFBmJR6c/edit?gid=1468572026</t>
  </si>
  <si>
    <t>PEI</t>
  </si>
  <si>
    <t>https://docs.google.com/spreadsheets/d/1MkL9EkVeiWUScw-r9TTAAnXcqySHfmcQD2JV56Jjo9M/edit?gid=1468572026</t>
  </si>
  <si>
    <t>https://docs.google.com/spreadsheets/d/1OLExC5bvG9q4Wp7CG9kvpQ_mA86p9MM6aDeu9d74xDk/edit?gid=1468572026</t>
  </si>
  <si>
    <t>https://docs.google.com/spreadsheets/d/1RrS2ljq0oWc3Da0DzwZro89ODzPJQ0uQ7W6bPCIUA40/edit</t>
  </si>
  <si>
    <t>https://docs.google.com/spreadsheets/d/1-j7uow6KdGhbHBS0mDjFr3P75VSb1Afx49ZG6udq3Mo/edit</t>
  </si>
  <si>
    <t>https://docs.google.com/spreadsheets/d/1oG8vrEKtwt4sYRXrIetUePaMB7hHbu8Bd0GkDvP7Tjg/edit?gid=1468572026</t>
  </si>
  <si>
    <t>https://docs.google.com/spreadsheets/d/1QB82M9hGzcnyeOwuaKEgYrbPjxFWyiizQ3J6wiirWNI/edit?gid=1468572026</t>
  </si>
  <si>
    <t>https://docs.google.com/spreadsheets/d/1hbqox2X7gwJ3cWJrZuD7vetVjy02IjWid5D_24FeqEk/edit</t>
  </si>
  <si>
    <t>https://docs.google.com/spreadsheets/d/1W8hc0NlG3BfsjRxbnrfq1BHTUF4kAp0F8tX5ETXlFak/edit</t>
  </si>
  <si>
    <t>HAM</t>
  </si>
  <si>
    <t>Skye</t>
  </si>
  <si>
    <t>https://docs.google.com/spreadsheets/d/136rbTdr72KEr1w7_lcNxmAxHR52x1x33kWQlE1-jfZs/edit</t>
  </si>
  <si>
    <t>https://docs.google.com/spreadsheets/d/1VOFLubnuxFh07cgvS0tJJQLqPDa3RskhIHrWAhjeJbI/edit</t>
  </si>
  <si>
    <t>https://docs.google.com/spreadsheets/d/1dR0CxOhsT4NtgffQX0A1aTWurWYr7WA_caiKm2hnuxg/edit?gid=2097166564</t>
  </si>
  <si>
    <t>https://docs.google.com/spreadsheets/d/1a0dVTPbUXRgYDKj0SgOR3qeLmtpRO-XHDbX6DdUaDrg/edit?gid=1468572026</t>
  </si>
  <si>
    <t>https://docs.google.com/spreadsheets/d/19t3P8VwdaLXPB6kBowT36IysEwxA3NCn091EN8HU2Oo/edit?gid=1468572026</t>
  </si>
  <si>
    <t>https://docs.google.com/spreadsheets/d/1-xTpdqWO5SGe2k7Kw54e4k5jyuf140TXCkjZipssNqc/edit?gid=1468572026</t>
  </si>
  <si>
    <t>https://docs.google.com/spreadsheets/d/1yEi2mfH3ifTFZM3DZA6NWXMAC1G2IJBsnVSNTZrHJc4/edit?gid=1468572026</t>
  </si>
  <si>
    <t>https://docs.google.com/spreadsheets/d/1ahlwfQ-Qts4tVqQ00tLYoJ4Hc7hDXuP3AhThYvhJn5M/edit?gid=1148472416</t>
  </si>
  <si>
    <t>PHP</t>
  </si>
  <si>
    <t>https://docs.google.com/spreadsheets/d/190Ljz2Jyt0OQBiTB7Afg9DcEFiJaO0BIe8ur4xZpx9E/edit?gid=1468572026</t>
  </si>
  <si>
    <t>https://docs.google.com/spreadsheets/d/1m9sb6cTDfJeHuT6Qo2oBThYFeuAxiUtQgAnxRbe5JQw/edit?gid=1468572026</t>
  </si>
  <si>
    <t>https://docs.google.com/spreadsheets/d/1fZVoGk5tyTS21Eu82WW6n4itWjsYQADZ1rs64buqc9Q/edit?gid=1148472416</t>
  </si>
  <si>
    <t>https://docs.google.com/spreadsheets/d/1uKGQ5u6aj124cUQEl-d66QYVf2xaNOncBUqbYZ7cokg/edit?gid=1148472416</t>
  </si>
  <si>
    <t>https://docs.google.com/spreadsheets/d/1jNoUNn5pSBVM_oxSeickIXa16oAx2iPJFdkdGKoDt6E/edit?gid=1148472416</t>
  </si>
  <si>
    <t>https://docs.google.com/spreadsheets/d/1ENV4ilRSr4RaA_5EKQ_ueTp5gk7iYVA7-j4MCnnuUzE/edit?gid=1468572026</t>
  </si>
  <si>
    <t>https://docs.google.com/spreadsheets/d/1ysNNGPAIZdaojrepIjQmBg44811Ib_kztSh79vDBXfY/edit?gid=1468572026</t>
  </si>
  <si>
    <t>https://docs.google.com/spreadsheets/d/1NC8_nVYEvXy6B2V7BYbojLLsy7sJV88v_0DqKfingiQ/edit?gid=1468572026</t>
  </si>
  <si>
    <t>https://docs.google.com/spreadsheets/d/1sbVOYVJp1GvFA2NZIGYJAAjiRJdA3SqjHrClJHElVsg/edit?usp=sharing</t>
  </si>
  <si>
    <t>https://docs.google.com/spreadsheets/d/1CoUaKnhbrhX1bjxgEM4QDugbmLVSnq4JWNGzeD3QCiI/edit?usp=sharing</t>
  </si>
  <si>
    <t>https://docs.google.com/spreadsheets/d/12gQ0SPqM-giZG7Fjukq8C36ZqBqwUJgvp7DqDB9laXU/edit?usp=sharing</t>
  </si>
  <si>
    <t>https://docs.google.com/spreadsheets/d/1j-10E8zcFb_4taAuGo9x8yt1ZkZHQBJyubiwg_RODe0/edit?usp=sharing</t>
  </si>
  <si>
    <t>https://docs.google.com/spreadsheets/d/1ZWS1ZWMPksjZCbZl7X7WbuJnKhpFw6VjSflBs-Qzp48/edit?usp=sharing</t>
  </si>
  <si>
    <t>https://docs.google.com/spreadsheets/d/1pmrN4dP36IQbXrxJ35TGxN-DANG_z4fKXvFxez5NkDo/edit?usp=sharing</t>
  </si>
  <si>
    <t>https://docs.google.com/spreadsheets/d/1JjF2rm9l5s_GN8mYNaXXMafaA0VuvKiFyMl3JApKgpw/edit?usp=sharing</t>
  </si>
  <si>
    <t>https://docs.google.com/spreadsheets/d/17w1v2-XfcxoxBFbggxXzaUS4Avj7bTzYeEmWD5le2lg/edit?usp=sharing</t>
  </si>
  <si>
    <t>https://docs.google.com/spreadsheets/d/1NbxdQvV5ZewYPbfhtm_9Z0Z3L7RyHeAm9-_7XBhuOgM/edit?usp=sharing</t>
  </si>
  <si>
    <t>https://docs.google.com/spreadsheets/d/1Bpm4TSpOUWpuY-SzPpRgNaiDi2FKHqqQx5xVcjcsJeU/edit?usp=sharing</t>
  </si>
  <si>
    <t>https://docs.google.com/spreadsheets/d/13mLGa00Pcrf7SlHDV0JdXBdOCO0JTYOWETpEe6psnUE/edit?usp=sharing</t>
  </si>
  <si>
    <t>https://docs.google.com/spreadsheets/d/1LadZ5setBjEb--wTQ7VlOOGiBkj4d3zF7b1qeQ2K66E/edit?usp=sharing</t>
  </si>
  <si>
    <t>https://docs.google.com/spreadsheets/d/1wIm79oA68qRN5nyeCFp2C2lNb5ou6g_x23K5_ey7XP4/edit?usp=sharing</t>
  </si>
  <si>
    <t>https://docs.google.com/spreadsheets/d/1BYVABMdC17dYd2zdx7nNdxBlM9bybovkaaaPpAnbGEI/edit?gid=1468572026</t>
  </si>
  <si>
    <t>https://docs.google.com/spreadsheets/d/1dtcX_hIIkzw-rEfz2n88ca0sWRYU26JaL7XYdA-r_Og/edit?gid=1468572026</t>
  </si>
  <si>
    <t>https://docs.google.com/spreadsheets/d/1FQVTW5I4MqYFX02Q90cPbAyu9M89NwnppdX9MNa1PEA/edit?gid=1148472416</t>
  </si>
  <si>
    <t>https://docs.google.com/spreadsheets/d/1rIZrkmR2Fo3ReeOURUXZ5obQ5v06Gf2UsL0pRO0bimg/edit?gid=1468572026</t>
  </si>
  <si>
    <t>https://docs.google.com/spreadsheets/d/15r7ocq0hMSeS2uMSu3w9_KYFJ-sZuJgRqNVS9stuv7I/edit?gid=2097166564</t>
  </si>
  <si>
    <t>https://docs.google.com/spreadsheets/d/1wiHzEvfb9WQSEknKEJZPuWZrQC7b16JGUEt09eTuuCI/edit?usp=sharing</t>
  </si>
  <si>
    <t>https://docs.google.com/spreadsheets/d/1DdpsnFDtZ7_j3womdYu5OoWpDlVIPQm86hgnJuJzoPs/edit?usp=sharing</t>
  </si>
  <si>
    <t>https://docs.google.com/spreadsheets/d/1kw1O6MfK8mlM8N86v2SKCXTPMDKMVQlht-8dP3gjUak/edit?gid=1468572026</t>
  </si>
  <si>
    <t>https://docs.google.com/spreadsheets/d/1oWXsFkc1mXQeKyKlVWEtN6IQjMo2dB2kTOb1vdMnhcs/edit?gid=2097166564</t>
  </si>
  <si>
    <t>Kalin</t>
  </si>
  <si>
    <t>https://docs.google.com/spreadsheets/d/1oufoOJ1u9vHs57LEETtf5yHFEscf-ZCqaTUaUtPFp5s/edit?usp=sharing</t>
  </si>
  <si>
    <t>https://docs.google.com/spreadsheets/d/1FqOqI8-tO-wzWW701gYXMuhRKnKO44pWOw-06sxYI_A/edit?usp=sharing</t>
  </si>
  <si>
    <t>https://docs.google.com/spreadsheets/d/1UxIEMfOs4s2z8iQWblf7ONjQzDVlGKUiFf6XDWgvynQ/edit?usp=sharing</t>
  </si>
  <si>
    <t>https://docs.google.com/spreadsheets/d/1aNJQdQLeYYp65Pe2uCgzlHLiL6GFKLeRgqD-OBBU9eY/edit?gid=1468572026</t>
  </si>
  <si>
    <t>https://docs.google.com/spreadsheets/d/1SzlfSzbdCBuY7rdFSJ8l52N-2lDVcBirxL24OMvK6OY/edit?usp=sharing</t>
  </si>
  <si>
    <t>https://docs.google.com/spreadsheets/d/108xhbnDNfa-6SuoaSrreTXRRnAtfQM2cwM3dOwoWb3Y/edit?gid=1148472416</t>
  </si>
  <si>
    <t>post</t>
  </si>
  <si>
    <t>https://docs.google.com/spreadsheets/d/1fyW-FU6_GmRacYwwd92QtlNPtSZmi1NO6HBqA_kI2H0/edit?gid=1468572026</t>
  </si>
  <si>
    <t>https://docs.google.com/spreadsheets/d/1-BVtJK15G2tJk_X7clqkeI6iI2RBwbqXytexWdVaD9k/edit?gid=1468572026</t>
  </si>
  <si>
    <t>https://docs.google.com/spreadsheets/d/1Sjw_n8L3IWL8I-jQfVFVTFaSDdzTzEr1WMcTw3toFXg/edit?gid=1468572026</t>
  </si>
  <si>
    <t>https://docs.google.com/spreadsheets/d/1kt0xSP4DloWpNxYDBs9xKppHFMZA7db4CmUgrD_NV04/edit?gid=1148472416</t>
  </si>
  <si>
    <t>https://docs.google.com/spreadsheets/d/1asmTgghOa-mos_ZcRkx_GIx-NKAUEaJIfuqrz7z1pkM/edit?gid=1148472416</t>
  </si>
  <si>
    <t>https://docs.google.com/spreadsheets/d/1DtugdsnLXTsUFKfnHZfEvZ7oYpYoIfkoVNSV4E44u48/edit?gid=1148472416</t>
  </si>
  <si>
    <t>https://docs.google.com/spreadsheets/d/1ZrJq_ojoSbnNwky-5Xv1qBsUIgmQ5z9WCa1O5wgiPjQ/edit?gid=1148472416</t>
  </si>
  <si>
    <t>https://docs.google.com/spreadsheets/d/12---6ASrAr0NuVSyngBv7h6BjlYem5F6u6nqxnuZriA/edit?usp=sharing</t>
  </si>
  <si>
    <t>https://docs.google.com/spreadsheets/d/1TiGLu804WYdkURuS_dR_kr4VOOjC3f0CpxWh1S64U1o/edit?usp=sharing</t>
  </si>
  <si>
    <t>https://docs.google.com/spreadsheets/d/10eTtBdRvLdfp6L9rUNzy5sfIrTUs6hzJuZJ2aWRu-2w/edit?gid=1148472416</t>
  </si>
  <si>
    <t>https://docs.google.com/spreadsheets/d/1Q3Zna_AvoI8PfL7ljMRCOD0_hX1sgANtEeauyntIsVA/edit?usp=sharing</t>
  </si>
  <si>
    <t>https://docs.google.com/spreadsheets/d/1uQq9ezmRtXAUFNV2DD5lXEQFYvYzwM1QeCV7ZPSlEXw/edit?usp=sharing</t>
  </si>
  <si>
    <t>https://docs.google.com/spreadsheets/d/1xgR9fPg_I5PWZ-Z8wDejtyP82mgXXZwhSBttDRQuKFk/edit?usp=sharing</t>
  </si>
  <si>
    <t>https://docs.google.com/spreadsheets/d/1enn8NlctFnNKDIzAyiITYSR9YNhBzaOFkibmWkh0hnI/edit?usp=sharing</t>
  </si>
  <si>
    <t>https://docs.google.com/spreadsheets/d/1sZQEwgt6lm8F-BALB6v_oU9u4WdVuBFEKdSiBVE0jI0/edit?usp=sharing</t>
  </si>
  <si>
    <t>https://docs.google.com/spreadsheets/d/1nTcPBfP7Tx-10WBTc8AvaLOjayxrLUBL85Ot4G7woOY/edit?usp=sharing</t>
  </si>
  <si>
    <t>https://docs.google.com/spreadsheets/d/1hZSkkYYdCgK5NZ_OjyHlAefyQUKixy6elR016ljoVzc/edit?usp=sharing</t>
  </si>
  <si>
    <t>https://upload.wikimedia.org/wikipedia/commons/8/82/Francisco_de_Goya%2C_Saturno_devorando_a_su_hijo_%281819-1823%29.jpg</t>
  </si>
  <si>
    <t>AIMiL</t>
  </si>
  <si>
    <t>https://i.postimg.cc/V6m2Qh4c/temp-Image-MGqet-Z.avif</t>
  </si>
  <si>
    <t>w16g04</t>
  </si>
  <si>
    <t>w20g1</t>
  </si>
  <si>
    <t>https://cdn.discordapp.com/attachments/217481916687974400/1393443408256958474/image-2.png?ex=687330cd&amp;is=6871df4d&amp;hm=e3e911f0a310647cf849a9190546c4343f201a5586c3d4ac1778553cd9e42022&amp;</t>
  </si>
  <si>
    <t>https://i.postimg.cc/4x45GgRP/temp-Image-Qx0-XKM.avif</t>
  </si>
  <si>
    <t>NYD</t>
  </si>
  <si>
    <t>NYDIL</t>
  </si>
  <si>
    <t>w20g2</t>
  </si>
  <si>
    <t>w21g1</t>
  </si>
  <si>
    <t>w20g4</t>
  </si>
  <si>
    <t>AIIL</t>
  </si>
  <si>
    <t>w19g3</t>
  </si>
  <si>
    <t>https://external-content.duckduckgo.com/iu/?u=https%3A%2F%2Fwallpapers.com%2Fimages%2Fhd%2Fminecraft-blaze-1920-x-1200-wallpaper-gxsn7zheavc1logj.jpg&amp;f=1&amp;nofb=1&amp;ipt=9230d3f265bc12ce1e347ac7d519639f898d43fa31f474086e1d0401627b4d96</t>
  </si>
  <si>
    <t>w41g2</t>
  </si>
  <si>
    <t>w18g02</t>
  </si>
  <si>
    <t>w22g3</t>
  </si>
  <si>
    <t>https://upload.wikimedia.org/wikipedia/commons/8/82/Francisco_de_Goya%2C_Saturno_devorando_a_su_hijo_(1819-1823).jpg</t>
  </si>
  <si>
    <t>w39g5</t>
  </si>
  <si>
    <t>https://i.postimg.cc/g24gL0H1/temp-Image-OEOz-AB.avif</t>
  </si>
  <si>
    <t>https://i.postimg.cc/fynHbBBW/images-10.jpg</t>
  </si>
  <si>
    <t>https://www.azcentral.com/gcdn/presto/2019/02/21/PPHX/11b6e67f-9c14-46d5-89fb-5f1976f3db3f-RS_00037.JPG</t>
  </si>
  <si>
    <t>https://media.discordapp.net/attachments/217481916687974400/1262925072327245854/image.png?ex=685d3961&amp;is=685be7e1&amp;hm=736c58f96e32ade4dc56a0f240baf7b2d55065bc2833a9ec4bf5e2edeed22c6f&amp;=&amp;format=webp&amp;quality=lossless&amp;width=1038&amp;height=968</t>
  </si>
  <si>
    <t>w21g4</t>
  </si>
  <si>
    <t>https://fieldlevelmedia.com/wp-content/uploads/2025/06/26384113-1024x682.jpg</t>
  </si>
  <si>
    <t>https://cdn.discordapp.com/attachments/732718041397461023/983500059511521290/unknown.png?ex=685d230e&amp;is=685bd18e&amp;hm=f273d764a3c0bddb8826b6632c950aead1ce029db6b283bf42716b77c70fb7fa&amp;</t>
  </si>
  <si>
    <t>w18g03</t>
  </si>
  <si>
    <t>w23g3</t>
  </si>
  <si>
    <t>w40g3</t>
  </si>
  <si>
    <t>w20g01</t>
  </si>
  <si>
    <t>https://i.postimg.cc/C5mgQ0Vt/temp-Image6-Mt-PSh.avif</t>
  </si>
  <si>
    <t>CLSIL</t>
  </si>
  <si>
    <t>w16g02</t>
  </si>
  <si>
    <t>https://i.postimg.cc/3xGqyhcT/temp-Imagecf-M3jw.avif</t>
  </si>
  <si>
    <t>NYDMiL</t>
  </si>
  <si>
    <t>https://i.postimg.cc/28tpb2j4/temp-Imageel-WJSo.avif</t>
  </si>
  <si>
    <t>https://i.postimg.cc/V6k4FPD5/temp-Imageku0uih.avif</t>
  </si>
  <si>
    <t>w22g1</t>
  </si>
  <si>
    <t>https://cloudfront-us-east-1.images.arcpublishing.com/advancelocal/LRP2XUDWXJHEPKJRZCU6JOZB6I.jpg</t>
  </si>
  <si>
    <t>https://i.postimg.cc/k4W881dD/temp-Image-RPCupz.avif</t>
  </si>
  <si>
    <t>w19g4</t>
  </si>
  <si>
    <t>w18g4</t>
  </si>
  <si>
    <t>https://pbs.twimg.com/media/GjZIcTpXYAACahl.jpg</t>
  </si>
  <si>
    <t>https://i.postimg.cc/YS40r3vs/Green.jpg</t>
  </si>
  <si>
    <t>https://i.postimg.cc/brjxBXRQ/temp-Imageo-B59pt.avif</t>
  </si>
  <si>
    <t>w20g3</t>
  </si>
  <si>
    <t>https://i.postimg.cc/9FPkD566/images-11.jpg</t>
  </si>
  <si>
    <t>https://media.discordapp.net/attachments/1328448825626726552/1413223118411006042/image.png?ex=68bb2617&amp;is=68b9d497&amp;hm=05821ff4310b87f1f7e52b73e406558144a0880e1e414f9eaeeee2dee1a79278&amp;=&amp;format=webp&amp;quality=lossless</t>
  </si>
  <si>
    <t>https://i.postimg.cc/XY68zCQR/temp-Imaget0-Pxhs.avif</t>
  </si>
  <si>
    <t>w12g02</t>
  </si>
  <si>
    <t>https://i.postimg.cc/1RN77syN/temp-Image-Woi2-H5.avif</t>
  </si>
  <si>
    <t>https://i.postimg.cc/1XNXx4JT/temp-Images2-Flhv.avif</t>
  </si>
  <si>
    <t>w24g1</t>
  </si>
  <si>
    <t>https://i.redd.it/ocov1w5uq3t21.jpg</t>
  </si>
  <si>
    <t>https://i.postimg.cc/C18C7Mbh/temp-Image-Rll-QMI.avif</t>
  </si>
  <si>
    <t>https://cdn.discordapp.com/attachments/1328448825626726552/1387495791286812807/image.png?ex=685d8da7&amp;is=685c3c27&amp;hm=b54909c0c111a195fc4072966518ea8851017e3659b69b63d7d9988ef1dfcc52&amp;</t>
  </si>
  <si>
    <t>https://i.postimg.cc/wMtVScKp/temp-Image-Tmr4y-O.avif</t>
  </si>
  <si>
    <t>w40g2</t>
  </si>
  <si>
    <t>https://i.postimg.cc/C1T6CQ9q/temp-Imageztm5u-M.avif</t>
  </si>
  <si>
    <t>https://i.postimg.cc/jdMK97M3/KETTLE-CHIPS-RECIPE-1-of-1-5.jpg</t>
  </si>
  <si>
    <t>w19g1</t>
  </si>
  <si>
    <t>https://media.discordapp.net/attachments/687509947575304309/1395924513895616602/image.png?ex=687c3783&amp;is=687ae603&amp;hm=7162318a2661daa17b3374649f0fed39d8eaf04c692088f070b9e05d1f5ba6c0&amp;=&amp;format=webp&amp;quality=lossless</t>
  </si>
  <si>
    <t>https://i.postimg.cc/hPLQ7pPz/1938-ffc736b3-589b-4f8c-af68-631ca46b9f86.jpg</t>
  </si>
  <si>
    <t>w18g01</t>
  </si>
  <si>
    <t>https://i.postimg.cc/HWbqTG3J/cy.png</t>
  </si>
  <si>
    <t>https://i.postimg.cc/6qd0W6Qj/temp-Image-Tukw8-R.avif</t>
  </si>
  <si>
    <t>https://i.postimg.cc/7ZR7nb7j/im-ozuna-from-the-braves-v0-ztwhmn20ey2b1-1.jpg</t>
  </si>
  <si>
    <t>https://i.postimg.cc/WpXcjsQY/temp-Image-ZEsfl7.avif</t>
  </si>
  <si>
    <t>https://i.postimg.cc/N0JRB9kf/temp-Imaget1yso-Y.avif</t>
  </si>
  <si>
    <t>https://cdn.vox-cdn.com/thumbor/cYZFLDQkVRhSxqxs1qr0U_mTlKE=/0x0:2712x3288/1400x933/filters:focal(1116x773:1548x1205):no_upscale()/cdn.vox-cdn.com/uploads/chorus_image/image/68800046/1172361995.0.jpg</t>
  </si>
  <si>
    <t>https://i.postimg.cc/43NFWc3J/temp-Image9-Q5-Sc-Y.avif</t>
  </si>
  <si>
    <t>https://i.postimg.cc/LXxQd8nz/temp-Image-HIzz-QG.avif</t>
  </si>
  <si>
    <t>https://i.postimg.cc/tT8SRmNT/temp-Imagetx-Uth-P.avif</t>
  </si>
  <si>
    <t>BSGIL</t>
  </si>
  <si>
    <t>w18g3</t>
  </si>
  <si>
    <t>https://media.discordapp.net/attachments/739619839685034095/1399594766047510708/image.png?ex=688991b3&amp;is=68884033&amp;hm=ba0802046c9663c7f2f1e2f2a716e069e7066988cb02545a25b2ff0ac541fb06&amp;=&amp;format=webp&amp;quality=lossless&amp;width=313&amp;height=356</t>
  </si>
  <si>
    <t>w22g01</t>
  </si>
  <si>
    <t>https://i.postimg.cc/W4XhgBd9/temp-Image-K6pa49.avif</t>
  </si>
  <si>
    <t>w23g2</t>
  </si>
  <si>
    <t>w19g01</t>
  </si>
  <si>
    <t>https://i.postimg.cc/ZY1FWNtW/temp-Imagezd6e-MS.avif</t>
  </si>
  <si>
    <t>https://i.postimg.cc/jjpPDVmG/temp-Image-Pzsmu-Q.avif</t>
  </si>
  <si>
    <t>https://i.postimg.cc/7PcXSc7Y/temp-Image-Naglm5.avif</t>
  </si>
  <si>
    <t>https://cdn.discordapp.com/attachments/976093776479129642/1430931583791005716/G35yEPBXQAANmua.png?ex=68fb9262</t>
  </si>
  <si>
    <t>https://i.postimg.cc/HW534ztw/temp-Image-Xs-YXf6.avif</t>
  </si>
  <si>
    <t>https://i.postimg.cc/L8ytnNNk/black-sodastream-soda-machines-1012911011-31-600.jpg</t>
  </si>
  <si>
    <t>w14g02</t>
  </si>
  <si>
    <t>https://i.postimg.cc/W1zKsrMh/temp-Image0phi-Uc.avif</t>
  </si>
  <si>
    <t>https://i.postimg.cc/7ZV8dTyN/temp-Imagetlc5-RZ.avif</t>
  </si>
  <si>
    <t>Rk</t>
  </si>
  <si>
    <t>Age</t>
  </si>
  <si>
    <t>Tm</t>
  </si>
  <si>
    <t>Lg</t>
  </si>
  <si>
    <t>G</t>
  </si>
  <si>
    <t>GS</t>
  </si>
  <si>
    <t>CG</t>
  </si>
  <si>
    <t>Inn</t>
  </si>
  <si>
    <t>Ch</t>
  </si>
  <si>
    <t>PO</t>
  </si>
  <si>
    <t>A</t>
  </si>
  <si>
    <t>E</t>
  </si>
  <si>
    <t>Fld%</t>
  </si>
  <si>
    <t>RF/9▼</t>
  </si>
  <si>
    <t>RF/G</t>
  </si>
  <si>
    <t>SB</t>
  </si>
  <si>
    <t>CS</t>
  </si>
  <si>
    <t>CS%</t>
  </si>
  <si>
    <t>Name-additional</t>
  </si>
  <si>
    <t>Frank Lankford</t>
  </si>
  <si>
    <t>LAD</t>
  </si>
  <si>
    <t>NL</t>
  </si>
  <si>
    <t>lankffr01</t>
  </si>
  <si>
    <t>Rick DeHart</t>
  </si>
  <si>
    <t>MON</t>
  </si>
  <si>
    <t>deharri01</t>
  </si>
  <si>
    <t>Mike Magnante</t>
  </si>
  <si>
    <t>HOU</t>
  </si>
  <si>
    <t>magnami01</t>
  </si>
  <si>
    <t>Ricky Bones</t>
  </si>
  <si>
    <t>KCR</t>
  </si>
  <si>
    <t>AL</t>
  </si>
  <si>
    <t>bonesri01</t>
  </si>
  <si>
    <t>Armando Reynoso</t>
  </si>
  <si>
    <t>NYM</t>
  </si>
  <si>
    <t>reynoar02</t>
  </si>
  <si>
    <t>Scott Kamieniecki</t>
  </si>
  <si>
    <t>BAL</t>
  </si>
  <si>
    <t>kamiesc01</t>
  </si>
  <si>
    <t>Lance Painter</t>
  </si>
  <si>
    <t>STL</t>
  </si>
  <si>
    <t>paintla01</t>
  </si>
  <si>
    <t>Jim Abbott</t>
  </si>
  <si>
    <t>CHW</t>
  </si>
  <si>
    <t>abbotji01</t>
  </si>
  <si>
    <t>Greg Maddux</t>
  </si>
  <si>
    <t>ATL</t>
  </si>
  <si>
    <t>maddugr01</t>
  </si>
  <si>
    <t>Steve Avery</t>
  </si>
  <si>
    <t>BOS</t>
  </si>
  <si>
    <t>averyst01</t>
  </si>
  <si>
    <t>Curtis King</t>
  </si>
  <si>
    <t>kingcu01</t>
  </si>
  <si>
    <t>Tony Castillo</t>
  </si>
  <si>
    <t>castito02</t>
  </si>
  <si>
    <t>Kenny Rogers</t>
  </si>
  <si>
    <t>OAK</t>
  </si>
  <si>
    <t>rogerke01</t>
  </si>
  <si>
    <t>Doug Johns</t>
  </si>
  <si>
    <t>johnsdo04</t>
  </si>
  <si>
    <t>Willie Banks</t>
  </si>
  <si>
    <t>MLB</t>
  </si>
  <si>
    <t>bankswi01</t>
  </si>
  <si>
    <t>Steve Sparks</t>
  </si>
  <si>
    <t>ANA</t>
  </si>
  <si>
    <t>sparkst01</t>
  </si>
  <si>
    <t>Darren Dreifort</t>
  </si>
  <si>
    <t>dreifda01</t>
  </si>
  <si>
    <t>Ken Hill</t>
  </si>
  <si>
    <t>hillke01</t>
  </si>
  <si>
    <t>Omar Olivares</t>
  </si>
  <si>
    <t>olivaom01</t>
  </si>
  <si>
    <t>Scott Aldred</t>
  </si>
  <si>
    <t>TBD</t>
  </si>
  <si>
    <t>aldresc01</t>
  </si>
  <si>
    <t>Bill Swift</t>
  </si>
  <si>
    <t>SEA</t>
  </si>
  <si>
    <t>swiftbi02</t>
  </si>
  <si>
    <t>Jeff Suppan</t>
  </si>
  <si>
    <t>suppaje01</t>
  </si>
  <si>
    <t>Brian Bohanon</t>
  </si>
  <si>
    <t>bohanbr01</t>
  </si>
  <si>
    <t>Norm Charlton</t>
  </si>
  <si>
    <t>charlno01</t>
  </si>
  <si>
    <t>Greg McMichael</t>
  </si>
  <si>
    <t>mcmicgr01</t>
  </si>
  <si>
    <t>John Franco</t>
  </si>
  <si>
    <t>francjo01</t>
  </si>
  <si>
    <t>Erik Hanson</t>
  </si>
  <si>
    <t>TOR</t>
  </si>
  <si>
    <t>hansoer01</t>
  </si>
  <si>
    <t>Jeff Shaw</t>
  </si>
  <si>
    <t>shawje01</t>
  </si>
  <si>
    <t>Rich Rodriguez</t>
  </si>
  <si>
    <t>SFG</t>
  </si>
  <si>
    <t>rodriri02</t>
  </si>
  <si>
    <t>Joe Fontenot</t>
  </si>
  <si>
    <t>FLA</t>
  </si>
  <si>
    <t>fontejo01</t>
  </si>
  <si>
    <t>Charles Nagy</t>
  </si>
  <si>
    <t>CLE</t>
  </si>
  <si>
    <t>nagych01</t>
  </si>
  <si>
    <t>Mike Morgan</t>
  </si>
  <si>
    <t>morgami01</t>
  </si>
  <si>
    <t>Jim Mecir</t>
  </si>
  <si>
    <t>mecirji01</t>
  </si>
  <si>
    <t>Jeff Nelson</t>
  </si>
  <si>
    <t>NYY</t>
  </si>
  <si>
    <t>nelsoje01</t>
  </si>
  <si>
    <t>Félix Rodríguez</t>
  </si>
  <si>
    <t>ARI</t>
  </si>
  <si>
    <t>rodrife01</t>
  </si>
  <si>
    <t>Scott Erickson</t>
  </si>
  <si>
    <t>ericksc01</t>
  </si>
  <si>
    <t>Mel Rojas</t>
  </si>
  <si>
    <t>rojasme01</t>
  </si>
  <si>
    <t>Chad Bradford</t>
  </si>
  <si>
    <t>bradfch01</t>
  </si>
  <si>
    <t>Derek Lowe</t>
  </si>
  <si>
    <t>lowede01</t>
  </si>
  <si>
    <t>Tom Fordham</t>
  </si>
  <si>
    <t>fordhto01</t>
  </si>
  <si>
    <t>Bob Tewksbury</t>
  </si>
  <si>
    <t>MIN</t>
  </si>
  <si>
    <t>tewksbo01</t>
  </si>
  <si>
    <t>Mike Timlin</t>
  </si>
  <si>
    <t>timlimi01</t>
  </si>
  <si>
    <t>Mike Fetters</t>
  </si>
  <si>
    <t>fettemi01</t>
  </si>
  <si>
    <t>Jim Corsi</t>
  </si>
  <si>
    <t>corsiji01</t>
  </si>
  <si>
    <t>Mike Hampton</t>
  </si>
  <si>
    <t>hamptmi01</t>
  </si>
  <si>
    <t>Pep Harris</t>
  </si>
  <si>
    <t>harripe01</t>
  </si>
  <si>
    <t>Rolando Arrojo</t>
  </si>
  <si>
    <t>arrojro01</t>
  </si>
  <si>
    <t>Orel Hershiser</t>
  </si>
  <si>
    <t>hershor01</t>
  </si>
  <si>
    <t>Kevin Brown</t>
  </si>
  <si>
    <t>SDP</t>
  </si>
  <si>
    <t>brownke01</t>
  </si>
  <si>
    <t>Mike Myers</t>
  </si>
  <si>
    <t>MIL</t>
  </si>
  <si>
    <t>myersmi01</t>
  </si>
  <si>
    <t>Bob Wickman</t>
  </si>
  <si>
    <t>wickmbo01</t>
  </si>
  <si>
    <t>Ramiro Mendoza</t>
  </si>
  <si>
    <t>mendora01</t>
  </si>
  <si>
    <t>Mariano Rivera</t>
  </si>
  <si>
    <t>riverma01</t>
  </si>
  <si>
    <t>Ramón Martínez</t>
  </si>
  <si>
    <t>martira02</t>
  </si>
  <si>
    <t>Rich Croushore</t>
  </si>
  <si>
    <t>crousri01</t>
  </si>
  <si>
    <t>Shane Reynolds</t>
  </si>
  <si>
    <t>reynosh01</t>
  </si>
  <si>
    <t>Brian Anderson</t>
  </si>
  <si>
    <t>anderbr02</t>
  </si>
  <si>
    <t>Steve Trachsel</t>
  </si>
  <si>
    <t>trachst01</t>
  </si>
  <si>
    <t>Tom Candiotti</t>
  </si>
  <si>
    <t>candito01</t>
  </si>
  <si>
    <t>Kirk Rueter</t>
  </si>
  <si>
    <t>rueteki01</t>
  </si>
  <si>
    <t>Bryce Florie</t>
  </si>
  <si>
    <t>DET</t>
  </si>
  <si>
    <t>floribr01</t>
  </si>
  <si>
    <t>Rafael Roque</t>
  </si>
  <si>
    <t>roquera01</t>
  </si>
  <si>
    <t>Danny Graves</t>
  </si>
  <si>
    <t>CIN</t>
  </si>
  <si>
    <t>graveda01</t>
  </si>
  <si>
    <t>A.J. Sager</t>
  </si>
  <si>
    <t>sagera.01</t>
  </si>
  <si>
    <t>Tom Glavine</t>
  </si>
  <si>
    <t>glavito02</t>
  </si>
  <si>
    <t>Mike Jackson</t>
  </si>
  <si>
    <t>jacksmi02</t>
  </si>
  <si>
    <t>Kirt Ojala</t>
  </si>
  <si>
    <t>ojalaki01</t>
  </si>
  <si>
    <t>Esteban Loaiza</t>
  </si>
  <si>
    <t>loaizes01</t>
  </si>
  <si>
    <t>Jamey Wright</t>
  </si>
  <si>
    <t>COL</t>
  </si>
  <si>
    <t>wrighja01</t>
  </si>
  <si>
    <t>Steve Parris</t>
  </si>
  <si>
    <t>parrist01</t>
  </si>
  <si>
    <t>Trey Moore</t>
  </si>
  <si>
    <t>mooretr01</t>
  </si>
  <si>
    <t>Scott Karl</t>
  </si>
  <si>
    <t>karlsc01</t>
  </si>
  <si>
    <t>Hipólito Pichardo</t>
  </si>
  <si>
    <t>pichahi01</t>
  </si>
  <si>
    <t>Willie Blair</t>
  </si>
  <si>
    <t>blairwi01</t>
  </si>
  <si>
    <t>Ryan Dempster</t>
  </si>
  <si>
    <t>dempsry01</t>
  </si>
  <si>
    <t>John Snyder</t>
  </si>
  <si>
    <t>snydejo02</t>
  </si>
  <si>
    <t>Mike Williams</t>
  </si>
  <si>
    <t>PIT</t>
  </si>
  <si>
    <t>willimi03</t>
  </si>
  <si>
    <t>Jim Poole</t>
  </si>
  <si>
    <t>pooleji02</t>
  </si>
  <si>
    <t>Pedro Astacio</t>
  </si>
  <si>
    <t>astacpe01</t>
  </si>
  <si>
    <t>Ricky Bottalico</t>
  </si>
  <si>
    <t>PHI</t>
  </si>
  <si>
    <t>bottari01</t>
  </si>
  <si>
    <t>Anthony Telford</t>
  </si>
  <si>
    <t>telfoan01</t>
  </si>
  <si>
    <t>Bobby Jones</t>
  </si>
  <si>
    <t>jonesbo03</t>
  </si>
  <si>
    <t>Russ Ortiz</t>
  </si>
  <si>
    <t>ortizru01</t>
  </si>
  <si>
    <t>Pete Smith</t>
  </si>
  <si>
    <t>smithpe02</t>
  </si>
  <si>
    <t>Scott Sanders</t>
  </si>
  <si>
    <t>sandesc02</t>
  </si>
  <si>
    <t>Mark Portugal</t>
  </si>
  <si>
    <t>portuma01</t>
  </si>
  <si>
    <t>Chris Haney</t>
  </si>
  <si>
    <t>haneych01</t>
  </si>
  <si>
    <t>Juan Acevedo</t>
  </si>
  <si>
    <t>aceveju01</t>
  </si>
  <si>
    <t>Frankie Rodriguez</t>
  </si>
  <si>
    <t>rodrifr02</t>
  </si>
  <si>
    <t>Héctor Carrasco</t>
  </si>
  <si>
    <t>carrahe01</t>
  </si>
  <si>
    <t>Mike Mussina</t>
  </si>
  <si>
    <t>mussimi01</t>
  </si>
  <si>
    <t>LaTroy Hawkins</t>
  </si>
  <si>
    <t>hawkila01</t>
  </si>
  <si>
    <t>Dennis Martínez</t>
  </si>
  <si>
    <t>martide01</t>
  </si>
  <si>
    <t>José Lima</t>
  </si>
  <si>
    <t>limajo01</t>
  </si>
  <si>
    <t>Omar Daal</t>
  </si>
  <si>
    <t>daalom01</t>
  </si>
  <si>
    <t>Albie Lopez</t>
  </si>
  <si>
    <t>lopezal02</t>
  </si>
  <si>
    <t>Doug Brocail</t>
  </si>
  <si>
    <t>brocado01</t>
  </si>
  <si>
    <t>Dave Mlicki</t>
  </si>
  <si>
    <t>mlickda01</t>
  </si>
  <si>
    <t>Rod Beck</t>
  </si>
  <si>
    <t>beckro01</t>
  </si>
  <si>
    <t>Eric Gunderson</t>
  </si>
  <si>
    <t>TEX</t>
  </si>
  <si>
    <t>gundeer01</t>
  </si>
  <si>
    <t>Rick Reed</t>
  </si>
  <si>
    <t>reedri01</t>
  </si>
  <si>
    <t>Dave Veres</t>
  </si>
  <si>
    <t>veresda01</t>
  </si>
  <si>
    <t>Darryl Kile</t>
  </si>
  <si>
    <t>kileda01</t>
  </si>
  <si>
    <t>Orlando Hernández</t>
  </si>
  <si>
    <t>hernaor01</t>
  </si>
  <si>
    <t>Terry Adams</t>
  </si>
  <si>
    <t>adamste01</t>
  </si>
  <si>
    <t>Jim Pittsley</t>
  </si>
  <si>
    <t>pittsji01</t>
  </si>
  <si>
    <t>Gil Heredia</t>
  </si>
  <si>
    <t>heredgi01</t>
  </si>
  <si>
    <t>Rick White</t>
  </si>
  <si>
    <t>whiteri01</t>
  </si>
  <si>
    <t>Mike Maddux</t>
  </si>
  <si>
    <t>maddumi01</t>
  </si>
  <si>
    <t>Jesús Sánchez</t>
  </si>
  <si>
    <t>sanchje01</t>
  </si>
  <si>
    <t>Bartolo Colón</t>
  </si>
  <si>
    <t>colonba01</t>
  </si>
  <si>
    <t>Dustin Hermanson</t>
  </si>
  <si>
    <t>hermadu01</t>
  </si>
  <si>
    <t>Miguel Batista</t>
  </si>
  <si>
    <t>batismi01</t>
  </si>
  <si>
    <t>John Frascatore</t>
  </si>
  <si>
    <t>frascjo01</t>
  </si>
  <si>
    <t>Scott Service</t>
  </si>
  <si>
    <t>servisc01</t>
  </si>
  <si>
    <t>Danny Darwin</t>
  </si>
  <si>
    <t>darwida01</t>
  </si>
  <si>
    <t>Carlos Pérez</t>
  </si>
  <si>
    <t>perezca01</t>
  </si>
  <si>
    <t>Pat Rapp</t>
  </si>
  <si>
    <t>rapppa01</t>
  </si>
  <si>
    <t>leitema01</t>
  </si>
  <si>
    <t>Esteban Yan</t>
  </si>
  <si>
    <t>yanes01</t>
  </si>
  <si>
    <t>Paul Quantrill</t>
  </si>
  <si>
    <t>quantpa01</t>
  </si>
  <si>
    <t>Brad Woodall</t>
  </si>
  <si>
    <t>woodabr01</t>
  </si>
  <si>
    <t>Kent Bottenfield</t>
  </si>
  <si>
    <t>botteke01</t>
  </si>
  <si>
    <t>Brian Meadows</t>
  </si>
  <si>
    <t>meadobr01</t>
  </si>
  <si>
    <t>Tim Worrell</t>
  </si>
  <si>
    <t>worreti01</t>
  </si>
  <si>
    <t>Andy Pettitte</t>
  </si>
  <si>
    <t>pettian01</t>
  </si>
  <si>
    <t>Mark Gardner</t>
  </si>
  <si>
    <t>gardnma01</t>
  </si>
  <si>
    <t>Amaury Telemaco</t>
  </si>
  <si>
    <t>telemam01</t>
  </si>
  <si>
    <t>Turk Wendell</t>
  </si>
  <si>
    <t>wendetu01</t>
  </si>
  <si>
    <t>Heathcliff Slocumb</t>
  </si>
  <si>
    <t>slocuhe01</t>
  </si>
  <si>
    <t>Mark Guthrie</t>
  </si>
  <si>
    <t>guthrma01</t>
  </si>
  <si>
    <t>Shawn Estes</t>
  </si>
  <si>
    <t>estessh01</t>
  </si>
  <si>
    <t>Greg Swindell</t>
  </si>
  <si>
    <t>swindgr01</t>
  </si>
  <si>
    <t>Mark Langston</t>
  </si>
  <si>
    <t>langsma01</t>
  </si>
  <si>
    <t>Alan Mills</t>
  </si>
  <si>
    <t>millsal01</t>
  </si>
  <si>
    <t>Todd Jones</t>
  </si>
  <si>
    <t>jonesto02</t>
  </si>
  <si>
    <t>Bryan Rekar</t>
  </si>
  <si>
    <t>rekarbr01</t>
  </si>
  <si>
    <t>Chan Ho Park</t>
  </si>
  <si>
    <t>parkch01</t>
  </si>
  <si>
    <t>Jaret Wright</t>
  </si>
  <si>
    <t>wrighja02</t>
  </si>
  <si>
    <t>Rich Loiselle</t>
  </si>
  <si>
    <t>loiseri01</t>
  </si>
  <si>
    <t>Andy Ashby</t>
  </si>
  <si>
    <t>ashbyan01</t>
  </si>
  <si>
    <t>Matt Karchner</t>
  </si>
  <si>
    <t>karchma01</t>
  </si>
  <si>
    <t>Jeff Tabaka</t>
  </si>
  <si>
    <t>tabakje01</t>
  </si>
  <si>
    <t>Brad Radke</t>
  </si>
  <si>
    <t>radkebr01</t>
  </si>
  <si>
    <t>Matt Whisenant</t>
  </si>
  <si>
    <t>whisema01</t>
  </si>
  <si>
    <t>Liván Hernández</t>
  </si>
  <si>
    <t>hernali01</t>
  </si>
  <si>
    <t>Todd Stottlemyre</t>
  </si>
  <si>
    <t>stottto01</t>
  </si>
  <si>
    <t>Bobby Ayala</t>
  </si>
  <si>
    <t>ayalabo01</t>
  </si>
  <si>
    <t>Carlos Reyes</t>
  </si>
  <si>
    <t>reyesca01</t>
  </si>
  <si>
    <t>Doug Drabek</t>
  </si>
  <si>
    <t>drabedo01</t>
  </si>
  <si>
    <t>Doug Jones</t>
  </si>
  <si>
    <t>jonesdo01</t>
  </si>
  <si>
    <t>Brian Edmondson</t>
  </si>
  <si>
    <t>edmonbr01</t>
  </si>
  <si>
    <t>Javier Vázquez</t>
  </si>
  <si>
    <t>vazquja01</t>
  </si>
  <si>
    <t>Carlos Castillo</t>
  </si>
  <si>
    <t>castica02</t>
  </si>
  <si>
    <t>José Silva</t>
  </si>
  <si>
    <t>silvajo01</t>
  </si>
  <si>
    <t>John Wasdin</t>
  </si>
  <si>
    <t>wasdijo01</t>
  </si>
  <si>
    <t>Andy Benes</t>
  </si>
  <si>
    <t>benesan01</t>
  </si>
  <si>
    <t>Brian Moehler</t>
  </si>
  <si>
    <t>moehlbr01</t>
  </si>
  <si>
    <t>Pat Hentgen</t>
  </si>
  <si>
    <t>hentgpa01</t>
  </si>
  <si>
    <t>Carl Pavano</t>
  </si>
  <si>
    <t>pavanca01</t>
  </si>
  <si>
    <t>Joey Hamilton</t>
  </si>
  <si>
    <t>hamiljo02</t>
  </si>
  <si>
    <t>Ismael Valdez</t>
  </si>
  <si>
    <t>valdeis01</t>
  </si>
  <si>
    <t>José Rosado</t>
  </si>
  <si>
    <t>rosadjo01</t>
  </si>
  <si>
    <t>Allen Watson</t>
  </si>
  <si>
    <t>watsoal01</t>
  </si>
  <si>
    <t>Clint Sodowsky</t>
  </si>
  <si>
    <t>sodowcl01</t>
  </si>
  <si>
    <t>Mike Sirotka</t>
  </si>
  <si>
    <t>sirotmi01</t>
  </si>
  <si>
    <t>Jim Parque</t>
  </si>
  <si>
    <t>parquji01</t>
  </si>
  <si>
    <t>Wayne Gomes</t>
  </si>
  <si>
    <t>gomeswa01</t>
  </si>
  <si>
    <t>Jamie Moyer</t>
  </si>
  <si>
    <t>moyerja01</t>
  </si>
  <si>
    <t>Dave Burba</t>
  </si>
  <si>
    <t>burbada01</t>
  </si>
  <si>
    <t>Andy Larkin</t>
  </si>
  <si>
    <t>larkian01</t>
  </si>
  <si>
    <t>Darren Oliver</t>
  </si>
  <si>
    <t>oliveda02</t>
  </si>
  <si>
    <t>Glendon Rusch</t>
  </si>
  <si>
    <t>ruschgl01</t>
  </si>
  <si>
    <t>Donne Wall</t>
  </si>
  <si>
    <t>walldo01</t>
  </si>
  <si>
    <t>Dave Stieb</t>
  </si>
  <si>
    <t>stiebda01</t>
  </si>
  <si>
    <t>Masato Yoshii</t>
  </si>
  <si>
    <t>yoshima01</t>
  </si>
  <si>
    <t>Jack McDowell</t>
  </si>
  <si>
    <t>mcdowja01</t>
  </si>
  <si>
    <t>Bill Simas</t>
  </si>
  <si>
    <t>simasbi01</t>
  </si>
  <si>
    <t>Shayne Bennett</t>
  </si>
  <si>
    <t>bennesh01</t>
  </si>
  <si>
    <t>Manny Aybar</t>
  </si>
  <si>
    <t>aybarma01</t>
  </si>
  <si>
    <t>Brian Boehringer</t>
  </si>
  <si>
    <t>boehrbr01</t>
  </si>
  <si>
    <t>Scott Sullivan</t>
  </si>
  <si>
    <t>sullisc01</t>
  </si>
  <si>
    <t>Shigetoshi Hasegawa</t>
  </si>
  <si>
    <t>hasegsh01</t>
  </si>
  <si>
    <t>Jerry Spradlin</t>
  </si>
  <si>
    <t>spradje01</t>
  </si>
  <si>
    <t>Stan Belinda</t>
  </si>
  <si>
    <t>belinst01</t>
  </si>
  <si>
    <t>Mike Thurman</t>
  </si>
  <si>
    <t>thurmmi01</t>
  </si>
  <si>
    <t>Dennys Reyes</t>
  </si>
  <si>
    <t>reyesde01</t>
  </si>
  <si>
    <t>Kevin Tapani</t>
  </si>
  <si>
    <t>tapanke01</t>
  </si>
  <si>
    <t>Yorkis Pérez</t>
  </si>
  <si>
    <t>perezyo01</t>
  </si>
  <si>
    <t>Francisco Córdova</t>
  </si>
  <si>
    <t>cordofr01</t>
  </si>
  <si>
    <t>John Smoltz</t>
  </si>
  <si>
    <t>smoltjo01</t>
  </si>
  <si>
    <t>Curt Schilling</t>
  </si>
  <si>
    <t>schilcu01</t>
  </si>
  <si>
    <t>Brett Tomko</t>
  </si>
  <si>
    <t>tomkobr01</t>
  </si>
  <si>
    <t>Frank Castillo</t>
  </si>
  <si>
    <t>castifr01</t>
  </si>
  <si>
    <t>Al Levine</t>
  </si>
  <si>
    <t>levinal01</t>
  </si>
  <si>
    <t>Chris Carpenter</t>
  </si>
  <si>
    <t>carpech01</t>
  </si>
  <si>
    <t>Bret Saberhagen</t>
  </si>
  <si>
    <t>saberbr01</t>
  </si>
  <si>
    <t>José Mesa</t>
  </si>
  <si>
    <t>mesajo01</t>
  </si>
  <si>
    <t>Jimmy Key</t>
  </si>
  <si>
    <t>keyji01</t>
  </si>
  <si>
    <t>Trever Miller</t>
  </si>
  <si>
    <t>milletr02</t>
  </si>
  <si>
    <t>Rob Stanifer</t>
  </si>
  <si>
    <t>staniro01</t>
  </si>
  <si>
    <t>Jeff Fassero</t>
  </si>
  <si>
    <t>fasseje01</t>
  </si>
  <si>
    <t>John Thomson</t>
  </si>
  <si>
    <t>thomsjo01</t>
  </si>
  <si>
    <t>Curt Leskanic</t>
  </si>
  <si>
    <t>leskacu01</t>
  </si>
  <si>
    <t>Justin Thompson</t>
  </si>
  <si>
    <t>thompju02</t>
  </si>
  <si>
    <t>jonesbo04</t>
  </si>
  <si>
    <t>Matt Morris</t>
  </si>
  <si>
    <t>morrima01</t>
  </si>
  <si>
    <t>Ricardo Rincón</t>
  </si>
  <si>
    <t>rincori01</t>
  </si>
  <si>
    <t>Jay Powell</t>
  </si>
  <si>
    <t>powelja04</t>
  </si>
  <si>
    <t>C.J. Nitkowski</t>
  </si>
  <si>
    <t>nitkoc.01</t>
  </si>
  <si>
    <t>Pete Harnisch</t>
  </si>
  <si>
    <t>harnipe01</t>
  </si>
  <si>
    <t>Roberto Hernández</t>
  </si>
  <si>
    <t>hernaro01</t>
  </si>
  <si>
    <t>Tim Wakefield</t>
  </si>
  <si>
    <t>wakefti01</t>
  </si>
  <si>
    <t>Steve Kline</t>
  </si>
  <si>
    <t>klinest02</t>
  </si>
  <si>
    <t>Danny Patterson</t>
  </si>
  <si>
    <t>patteda04</t>
  </si>
  <si>
    <t>Mark Petkovsek</t>
  </si>
  <si>
    <t>petkoma01</t>
  </si>
  <si>
    <t>Bill Pulsipher</t>
  </si>
  <si>
    <t>pulsibi01</t>
  </si>
  <si>
    <t>Paul Wagner</t>
  </si>
  <si>
    <t>wagnepa01</t>
  </si>
  <si>
    <t>Kent Mercker</t>
  </si>
  <si>
    <t>merckke01</t>
  </si>
  <si>
    <t>Dwight Gooden</t>
  </si>
  <si>
    <t>goodedw01</t>
  </si>
  <si>
    <t>Scott Radinsky</t>
  </si>
  <si>
    <t>radinsc01</t>
  </si>
  <si>
    <t>David Cone</t>
  </si>
  <si>
    <t>coneda01</t>
  </si>
  <si>
    <t>Scott Winchester</t>
  </si>
  <si>
    <t>winchsc01</t>
  </si>
  <si>
    <t>Tyler Green</t>
  </si>
  <si>
    <t>greenty01</t>
  </si>
  <si>
    <t>Paul Byrd</t>
  </si>
  <si>
    <t>byrdpa01</t>
  </si>
  <si>
    <t>Darren Holmes</t>
  </si>
  <si>
    <t>holmeda01</t>
  </si>
  <si>
    <t>Aaron Sele</t>
  </si>
  <si>
    <t>seleaa01</t>
  </si>
  <si>
    <t>Sean Bergman</t>
  </si>
  <si>
    <t>bergmse01</t>
  </si>
  <si>
    <t>Elmer Dessens</t>
  </si>
  <si>
    <t>desseel01</t>
  </si>
  <si>
    <t>Geremi González</t>
  </si>
  <si>
    <t>gonzaje01</t>
  </si>
  <si>
    <t>David Weathers</t>
  </si>
  <si>
    <t>weathda01</t>
  </si>
  <si>
    <t>Carlton Loewer</t>
  </si>
  <si>
    <t>loeweca01</t>
  </si>
  <si>
    <t>Jon Lieber</t>
  </si>
  <si>
    <t>liebejo01</t>
  </si>
  <si>
    <t>Antonio Osuna</t>
  </si>
  <si>
    <t>osunaan01</t>
  </si>
  <si>
    <t>Ken Cloude</t>
  </si>
  <si>
    <t>cloudke01</t>
  </si>
  <si>
    <t>Scott Eyre</t>
  </si>
  <si>
    <t>eyresc01</t>
  </si>
  <si>
    <t>Brian Powell</t>
  </si>
  <si>
    <t>powelbr01</t>
  </si>
  <si>
    <t>Eddie Guardado</t>
  </si>
  <si>
    <t>guarded01</t>
  </si>
  <si>
    <t>Chuck Finley</t>
  </si>
  <si>
    <t>finlech01</t>
  </si>
  <si>
    <t>Bob Howry</t>
  </si>
  <si>
    <t>howrybo01</t>
  </si>
  <si>
    <t>Julián Tavárez</t>
  </si>
  <si>
    <t>tavarju01</t>
  </si>
  <si>
    <t>Mike Stanton</t>
  </si>
  <si>
    <t>stantmi02</t>
  </si>
  <si>
    <t>Billy Taylor</t>
  </si>
  <si>
    <t>taylobi04</t>
  </si>
  <si>
    <t>David Wells</t>
  </si>
  <si>
    <t>wellsda01</t>
  </si>
  <si>
    <t>Mark Clark</t>
  </si>
  <si>
    <t>clarkma01</t>
  </si>
  <si>
    <t>Jaime Navarro</t>
  </si>
  <si>
    <t>navarja01</t>
  </si>
  <si>
    <t>Eric Milton</t>
  </si>
  <si>
    <t>miltoer01</t>
  </si>
  <si>
    <t>Gabe White</t>
  </si>
  <si>
    <t>whitega01</t>
  </si>
  <si>
    <t>Jarrod Washburn</t>
  </si>
  <si>
    <t>washbja01</t>
  </si>
  <si>
    <t>Dennis Cook</t>
  </si>
  <si>
    <t>cookde01</t>
  </si>
  <si>
    <t>Rick Aguilera</t>
  </si>
  <si>
    <t>aguilri01</t>
  </si>
  <si>
    <t>Mike DeJean</t>
  </si>
  <si>
    <t>dejeami01</t>
  </si>
  <si>
    <t>Gregg Olson</t>
  </si>
  <si>
    <t>olsongr01</t>
  </si>
  <si>
    <t>Chad Ogea</t>
  </si>
  <si>
    <t>ogeach01</t>
  </si>
  <si>
    <t>Cal Eldred</t>
  </si>
  <si>
    <t>eldreca01</t>
  </si>
  <si>
    <t>Jeff Juden</t>
  </si>
  <si>
    <t>judenje01</t>
  </si>
  <si>
    <t>John Hudek</t>
  </si>
  <si>
    <t>hudekjo01</t>
  </si>
  <si>
    <t>Tony Saunders</t>
  </si>
  <si>
    <t>saundto01</t>
  </si>
  <si>
    <t>Sidney Ponson</t>
  </si>
  <si>
    <t>ponsosi01</t>
  </si>
  <si>
    <t>Jason Dickson</t>
  </si>
  <si>
    <t>dicksja01</t>
  </si>
  <si>
    <t>Dennis Springer</t>
  </si>
  <si>
    <t>sprinde01</t>
  </si>
  <si>
    <t>Donovan Osborne</t>
  </si>
  <si>
    <t>osbordo01</t>
  </si>
  <si>
    <t>Jimmy Haynes</t>
  </si>
  <si>
    <t>hayneji01</t>
  </si>
  <si>
    <t>Hideo Nomo</t>
  </si>
  <si>
    <t>nomohi01</t>
  </si>
  <si>
    <t>Terry Mulholland</t>
  </si>
  <si>
    <t>mulhote01</t>
  </si>
  <si>
    <t>T.J. Mathews</t>
  </si>
  <si>
    <t>mathet.01</t>
  </si>
  <si>
    <t>Tim Belcher</t>
  </si>
  <si>
    <t>belchti01</t>
  </si>
  <si>
    <t>John Burkett</t>
  </si>
  <si>
    <t>burkejo03</t>
  </si>
  <si>
    <t>Jason Bere</t>
  </si>
  <si>
    <t>bereja01</t>
  </si>
  <si>
    <t>Steve Reed</t>
  </si>
  <si>
    <t>reedst01</t>
  </si>
  <si>
    <t>Doug Bochtler</t>
  </si>
  <si>
    <t>bochtdo01</t>
  </si>
  <si>
    <t>Randy Johnson</t>
  </si>
  <si>
    <t>johnsra05</t>
  </si>
  <si>
    <t>John Johnstone</t>
  </si>
  <si>
    <t>johnsjo07</t>
  </si>
  <si>
    <t>Juan Guzmán</t>
  </si>
  <si>
    <t>guzmaju01</t>
  </si>
  <si>
    <t>Bobby Witt</t>
  </si>
  <si>
    <t>wittbo01</t>
  </si>
  <si>
    <t>John Wetteland</t>
  </si>
  <si>
    <t>wettejo01</t>
  </si>
  <si>
    <t>Roger Clemens</t>
  </si>
  <si>
    <t>clemero02</t>
  </si>
  <si>
    <t>Steve Woodard</t>
  </si>
  <si>
    <t>woodast01</t>
  </si>
  <si>
    <t>Paul Spoljaric</t>
  </si>
  <si>
    <t>spoljpa01</t>
  </si>
  <si>
    <t>Woody Williams</t>
  </si>
  <si>
    <t>williwo02</t>
  </si>
  <si>
    <t>Kevin Millwood</t>
  </si>
  <si>
    <t>millwke01</t>
  </si>
  <si>
    <t>Tim Crabtree</t>
  </si>
  <si>
    <t>crabtti01</t>
  </si>
  <si>
    <t>Antonio Alfonseca</t>
  </si>
  <si>
    <t>alfonan01</t>
  </si>
  <si>
    <t>Mike Remlinger</t>
  </si>
  <si>
    <t>remlimi01</t>
  </si>
  <si>
    <t>Alberto Reyes</t>
  </si>
  <si>
    <t>reyesal01</t>
  </si>
  <si>
    <t>Jerry Dipoto</t>
  </si>
  <si>
    <t>dipotje01</t>
  </si>
  <si>
    <t>James Baldwin</t>
  </si>
  <si>
    <t>baldwja01</t>
  </si>
  <si>
    <t>Seth Greisinger</t>
  </si>
  <si>
    <t>greisse01</t>
  </si>
  <si>
    <t>Keith Foulke</t>
  </si>
  <si>
    <t>foulkke01</t>
  </si>
  <si>
    <t>Robb Nen</t>
  </si>
  <si>
    <t>nenro01</t>
  </si>
  <si>
    <t>Mike Trombley</t>
  </si>
  <si>
    <t>trombmi01</t>
  </si>
  <si>
    <t>Hideki Irabu</t>
  </si>
  <si>
    <t>irabuhi01</t>
  </si>
  <si>
    <t>Mike Grace</t>
  </si>
  <si>
    <t>gracemi02</t>
  </si>
  <si>
    <t>Sterling Hitchcock</t>
  </si>
  <si>
    <t>hitchst01</t>
  </si>
  <si>
    <t>Chris Peters</t>
  </si>
  <si>
    <t>peterch01</t>
  </si>
  <si>
    <t>Blake Stein</t>
  </si>
  <si>
    <t>steinbl01</t>
  </si>
  <si>
    <t>Mike Oquist</t>
  </si>
  <si>
    <t>oquismi01</t>
  </si>
  <si>
    <t>Pedro Martinez</t>
  </si>
  <si>
    <t>martipe02</t>
  </si>
  <si>
    <t>Julio Santana</t>
  </si>
  <si>
    <t>santaju01</t>
  </si>
  <si>
    <t>Denny Neagle</t>
  </si>
  <si>
    <t>neaglde01</t>
  </si>
  <si>
    <t>Al Leiter</t>
  </si>
  <si>
    <t>leiteal01</t>
  </si>
  <si>
    <t>Matt Beech</t>
  </si>
  <si>
    <t>beechma01</t>
  </si>
  <si>
    <t>Jason Schmidt</t>
  </si>
  <si>
    <t>schmija01</t>
  </si>
  <si>
    <t>Rick Helling</t>
  </si>
  <si>
    <t>helliri01</t>
  </si>
  <si>
    <t>Pete Schourek</t>
  </si>
  <si>
    <t>schoupe01</t>
  </si>
  <si>
    <t>Kerry Wood</t>
  </si>
  <si>
    <t>woodke02</t>
  </si>
  <si>
    <t>Wilson Álvarez</t>
  </si>
  <si>
    <t>alvarwi01</t>
  </si>
  <si>
    <t>Average</t>
  </si>
  <si>
    <t>Std Dev</t>
  </si>
  <si>
    <t>1 is greater than</t>
  </si>
  <si>
    <t>2 is greater than</t>
  </si>
  <si>
    <t>5 is less than</t>
  </si>
  <si>
    <t>4 is less than</t>
  </si>
  <si>
    <t>between 2 and 4</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</si>
</sst>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
  </numFmts>
  <fonts count="24">
    <font>
      <sz val="10.0"/>
      <color rgb="FF000000"/>
      <name val="Arial"/>
      <scheme val="minor"/>
    </font>
    <font>
      <b/>
      <color rgb="FFFFFFFF"/>
      <name val="Arial"/>
    </font>
    <font>
      <color theme="1"/>
      <name val="Arial"/>
      <scheme val="minor"/>
    </font>
    <font>
      <color theme="1"/>
      <name val="Arial"/>
    </font>
    <font/>
    <font>
      <color rgb="FFFFFFFF"/>
      <name val="Arial"/>
      <scheme val="minor"/>
    </font>
    <font>
      <u/>
      <color rgb="FF0000FF"/>
    </font>
    <font>
      <color rgb="FFFFFFFF"/>
      <name val="Arial"/>
    </font>
    <font>
      <color rgb="FFCCCCCC"/>
      <name val="Arial"/>
      <scheme val="minor"/>
    </font>
    <font>
      <sz val="12.0"/>
      <color theme="1"/>
      <name val="Arial"/>
    </font>
    <font>
      <sz val="12.0"/>
      <color theme="1"/>
      <name val="Arial"/>
      <scheme val="minor"/>
    </font>
    <font>
      <u/>
      <color rgb="FF0000FF"/>
    </font>
    <font>
      <b/>
      <sz val="12.0"/>
      <color theme="1"/>
      <name val="Arial"/>
    </font>
    <font>
      <b/>
      <color rgb="FFD0E0E3"/>
      <name val="Arial"/>
    </font>
    <font>
      <b/>
      <color theme="1"/>
      <name val="Arial"/>
    </font>
    <font>
      <sz val="18.0"/>
      <color theme="1"/>
      <name val="Arial"/>
      <scheme val="minor"/>
    </font>
    <font>
      <u/>
      <color rgb="FF0000FF"/>
    </font>
    <font>
      <sz val="24.0"/>
      <color theme="1"/>
      <name val="Arial"/>
      <scheme val="minor"/>
    </font>
    <font>
      <sz val="24.0"/>
      <color theme="1"/>
      <name val="Raleway"/>
    </font>
    <font>
      <color theme="1"/>
      <name val="Raleway"/>
    </font>
    <font>
      <sz val="24.0"/>
      <color rgb="FFFFFFFF"/>
      <name val="Raleway"/>
    </font>
    <font>
      <sz val="23.0"/>
      <color rgb="FFFFFFFF"/>
      <name val="Raleway"/>
    </font>
    <font>
      <u/>
      <color rgb="FF0000FF"/>
    </font>
    <font>
      <sz val="9.0"/>
      <color rgb="FF7E3794"/>
      <name val="Arial"/>
      <scheme val="minor"/>
    </font>
  </fonts>
  <fills count="25">
    <fill>
      <patternFill patternType="none"/>
    </fill>
    <fill>
      <patternFill patternType="lightGray"/>
    </fill>
    <fill>
      <patternFill patternType="solid">
        <fgColor rgb="FFF45D9E"/>
        <bgColor rgb="FFF45D9E"/>
      </patternFill>
    </fill>
    <fill>
      <patternFill patternType="solid">
        <fgColor rgb="FFEA9999"/>
        <bgColor rgb="FFEA9999"/>
      </patternFill>
    </fill>
    <fill>
      <patternFill patternType="solid">
        <fgColor rgb="FFFFD966"/>
        <bgColor rgb="FFFFD966"/>
      </patternFill>
    </fill>
    <fill>
      <patternFill patternType="solid">
        <fgColor rgb="FF38761D"/>
        <bgColor rgb="FF38761D"/>
      </patternFill>
    </fill>
    <fill>
      <patternFill patternType="solid">
        <fgColor rgb="FF6D9EEB"/>
        <bgColor rgb="FF6D9EEB"/>
      </patternFill>
    </fill>
    <fill>
      <patternFill patternType="solid">
        <fgColor rgb="FFC9DAF8"/>
        <bgColor rgb="FFC9DAF8"/>
      </patternFill>
    </fill>
    <fill>
      <patternFill patternType="solid">
        <fgColor rgb="FFB6D7A8"/>
        <bgColor rgb="FFB6D7A8"/>
      </patternFill>
    </fill>
    <fill>
      <patternFill patternType="solid">
        <fgColor rgb="FFFFF2CC"/>
        <bgColor rgb="FFFFF2CC"/>
      </patternFill>
    </fill>
    <fill>
      <patternFill patternType="solid">
        <fgColor rgb="FFD5A6BD"/>
        <bgColor rgb="FFD5A6BD"/>
      </patternFill>
    </fill>
    <fill>
      <patternFill patternType="solid">
        <fgColor rgb="FFF6B26B"/>
        <bgColor rgb="FFF6B26B"/>
      </patternFill>
    </fill>
    <fill>
      <patternFill patternType="solid">
        <fgColor rgb="FF6FA8DC"/>
        <bgColor rgb="FF6FA8DC"/>
      </patternFill>
    </fill>
    <fill>
      <patternFill patternType="solid">
        <fgColor rgb="FFF1C232"/>
        <bgColor rgb="FFF1C232"/>
      </patternFill>
    </fill>
    <fill>
      <patternFill patternType="solid">
        <fgColor rgb="FFD0E0E3"/>
        <bgColor rgb="FFD0E0E3"/>
      </patternFill>
    </fill>
    <fill>
      <patternFill patternType="solid">
        <fgColor rgb="FFFF00FF"/>
        <bgColor rgb="FFFF00FF"/>
      </patternFill>
    </fill>
    <fill>
      <patternFill patternType="solid">
        <fgColor rgb="FFFBBC04"/>
        <bgColor rgb="FFFBBC04"/>
      </patternFill>
    </fill>
    <fill>
      <patternFill patternType="solid">
        <fgColor rgb="FFD9D9D9"/>
        <bgColor rgb="FFD9D9D9"/>
      </patternFill>
    </fill>
    <fill>
      <patternFill patternType="solid">
        <fgColor rgb="FFFCE5CD"/>
        <bgColor rgb="FFFCE5CD"/>
      </patternFill>
    </fill>
    <fill>
      <patternFill patternType="solid">
        <fgColor rgb="FFCCCCCC"/>
        <bgColor rgb="FFCCCCCC"/>
      </patternFill>
    </fill>
    <fill>
      <patternFill patternType="solid">
        <fgColor rgb="FF000000"/>
        <bgColor rgb="FF000000"/>
      </patternFill>
    </fill>
    <fill>
      <patternFill patternType="solid">
        <fgColor rgb="FFD9EAD3"/>
        <bgColor rgb="FFD9EAD3"/>
      </patternFill>
    </fill>
    <fill>
      <patternFill patternType="solid">
        <fgColor rgb="FF35393E"/>
        <bgColor rgb="FF35393E"/>
      </patternFill>
    </fill>
    <fill>
      <patternFill patternType="solid">
        <fgColor rgb="FF6699FF"/>
        <bgColor rgb="FF6699FF"/>
      </patternFill>
    </fill>
    <fill>
      <patternFill patternType="solid">
        <fgColor rgb="FF666666"/>
        <bgColor rgb="FF666666"/>
      </patternFill>
    </fill>
  </fills>
  <borders count="26">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bottom style="thick">
        <color rgb="FF000000"/>
      </bottom>
    </border>
    <border>
      <left style="thin">
        <color rgb="FF000000"/>
      </left>
      <right style="thin">
        <color rgb="FF000000"/>
      </right>
    </border>
    <border>
      <left style="medium">
        <color rgb="FF000000"/>
      </left>
      <right style="medium">
        <color rgb="FF000000"/>
      </right>
      <bottom style="medium">
        <color rgb="FF000000"/>
      </bottom>
    </border>
    <border>
      <top style="thin">
        <color rgb="FF35393E"/>
      </top>
    </border>
    <border>
      <left style="thin">
        <color rgb="FF6699FF"/>
      </left>
      <top style="thin">
        <color rgb="FF35393E"/>
      </top>
    </border>
    <border>
      <left style="thin">
        <color rgb="FF6699FF"/>
      </left>
    </border>
    <border>
      <left style="thin">
        <color rgb="FFFFFFFF"/>
      </left>
      <right style="thin">
        <color rgb="FFFFFFFF"/>
      </right>
      <top style="thin">
        <color rgb="FFFFFFFF"/>
      </top>
      <bottom style="thin">
        <color rgb="FFFFFFFF"/>
      </bottom>
    </border>
    <border>
      <left style="medium">
        <color rgb="FF000000"/>
      </left>
      <right style="medium">
        <color rgb="FF000000"/>
      </right>
    </border>
  </borders>
  <cellStyleXfs count="1">
    <xf borderId="0" fillId="0" fontId="0" numFmtId="0" applyAlignment="1" applyFont="1"/>
  </cellStyleXfs>
  <cellXfs count="184">
    <xf borderId="0" fillId="0" fontId="0" numFmtId="0" xfId="0" applyAlignment="1" applyFont="1">
      <alignment readingOrder="0" shrinkToFit="0" vertical="bottom" wrapText="0"/>
    </xf>
    <xf borderId="0" fillId="2" fontId="1" numFmtId="0" xfId="0" applyAlignment="1" applyFill="1" applyFont="1">
      <alignment readingOrder="0" vertical="bottom"/>
    </xf>
    <xf borderId="0" fillId="2" fontId="1" numFmtId="2" xfId="0" applyAlignment="1" applyFont="1" applyNumberFormat="1">
      <alignment vertical="bottom"/>
    </xf>
    <xf borderId="0" fillId="2" fontId="1" numFmtId="0" xfId="0" applyAlignment="1" applyFont="1">
      <alignment horizontal="center" vertical="bottom"/>
    </xf>
    <xf borderId="0" fillId="2" fontId="1" numFmtId="0" xfId="0" applyAlignment="1" applyFont="1">
      <alignment horizontal="center" shrinkToFit="0" vertical="bottom" wrapText="0"/>
    </xf>
    <xf borderId="0" fillId="2" fontId="1" numFmtId="0" xfId="0" applyAlignment="1" applyFont="1">
      <alignment horizontal="center" readingOrder="0" vertical="bottom"/>
    </xf>
    <xf borderId="0" fillId="2" fontId="1" numFmtId="1" xfId="0" applyAlignment="1" applyFont="1" applyNumberFormat="1">
      <alignment horizontal="center" readingOrder="0" vertical="bottom"/>
    </xf>
    <xf borderId="0" fillId="0" fontId="2" numFmtId="0" xfId="0" applyAlignment="1" applyFont="1">
      <alignment horizontal="center" readingOrder="0"/>
    </xf>
    <xf borderId="1" fillId="3" fontId="3" numFmtId="0" xfId="0" applyAlignment="1" applyBorder="1" applyFill="1" applyFont="1">
      <alignment horizontal="center" vertical="bottom"/>
    </xf>
    <xf borderId="2" fillId="0" fontId="4" numFmtId="0" xfId="0" applyBorder="1" applyFont="1"/>
    <xf borderId="3" fillId="0" fontId="4" numFmtId="0" xfId="0" applyBorder="1" applyFont="1"/>
    <xf borderId="1" fillId="4" fontId="3" numFmtId="0" xfId="0" applyAlignment="1" applyBorder="1" applyFill="1" applyFont="1">
      <alignment horizontal="center" readingOrder="0" vertical="bottom"/>
    </xf>
    <xf borderId="1" fillId="3" fontId="3" numFmtId="0" xfId="0" applyAlignment="1" applyBorder="1" applyFont="1">
      <alignment horizontal="center" readingOrder="0" vertical="bottom"/>
    </xf>
    <xf borderId="0" fillId="5" fontId="2" numFmtId="0" xfId="0" applyAlignment="1" applyFill="1" applyFont="1">
      <alignment readingOrder="0"/>
    </xf>
    <xf borderId="0" fillId="5" fontId="5" numFmtId="0" xfId="0" applyAlignment="1" applyFont="1">
      <alignment readingOrder="0"/>
    </xf>
    <xf borderId="0" fillId="0" fontId="2" numFmtId="0" xfId="0" applyAlignment="1" applyFont="1">
      <alignment horizontal="center"/>
    </xf>
    <xf borderId="0" fillId="0" fontId="2" numFmtId="0" xfId="0" applyFont="1"/>
    <xf borderId="0" fillId="0" fontId="6" numFmtId="0" xfId="0" applyAlignment="1" applyFont="1">
      <alignment shrinkToFit="0" wrapText="0"/>
    </xf>
    <xf borderId="0" fillId="0" fontId="2" numFmtId="0" xfId="0" applyAlignment="1" applyFont="1">
      <alignment shrinkToFit="0" wrapText="0"/>
    </xf>
    <xf borderId="0" fillId="0" fontId="2" numFmtId="1" xfId="0" applyAlignment="1" applyFont="1" applyNumberFormat="1">
      <alignment horizontal="center"/>
    </xf>
    <xf borderId="4" fillId="3" fontId="3" numFmtId="0" xfId="0" applyAlignment="1" applyBorder="1" applyFont="1">
      <alignment vertical="bottom"/>
    </xf>
    <xf borderId="5" fillId="3" fontId="3" numFmtId="0" xfId="0" applyAlignment="1" applyBorder="1" applyFont="1">
      <alignment horizontal="center" vertical="bottom"/>
    </xf>
    <xf borderId="4" fillId="4" fontId="3" numFmtId="0" xfId="0" applyAlignment="1" applyBorder="1" applyFont="1">
      <alignment vertical="bottom"/>
    </xf>
    <xf borderId="5" fillId="4" fontId="3" numFmtId="0" xfId="0" applyAlignment="1" applyBorder="1" applyFont="1">
      <alignment horizontal="center" vertical="bottom"/>
    </xf>
    <xf borderId="0" fillId="6" fontId="2" numFmtId="0" xfId="0" applyAlignment="1" applyFill="1" applyFont="1">
      <alignment readingOrder="0"/>
    </xf>
    <xf borderId="0" fillId="6" fontId="5" numFmtId="0" xfId="0" applyAlignment="1" applyFont="1">
      <alignment readingOrder="0"/>
    </xf>
    <xf borderId="6" fillId="0" fontId="3" numFmtId="0" xfId="0" applyAlignment="1" applyBorder="1" applyFont="1">
      <alignment horizontal="left" vertical="bottom"/>
    </xf>
    <xf borderId="7" fillId="0" fontId="3" numFmtId="0" xfId="0" applyAlignment="1" applyBorder="1" applyFont="1">
      <alignment horizontal="center" vertical="bottom"/>
    </xf>
    <xf borderId="8" fillId="0" fontId="3" numFmtId="0" xfId="0" applyAlignment="1" applyBorder="1" applyFont="1">
      <alignment horizontal="center" vertical="bottom"/>
    </xf>
    <xf borderId="0" fillId="0" fontId="2" numFmtId="0" xfId="0" applyAlignment="1" applyFont="1">
      <alignment horizontal="right" readingOrder="0"/>
    </xf>
    <xf borderId="0" fillId="0" fontId="2" numFmtId="0" xfId="0" applyAlignment="1" applyFont="1">
      <alignment readingOrder="0"/>
    </xf>
    <xf borderId="9" fillId="0" fontId="3" numFmtId="0" xfId="0" applyAlignment="1" applyBorder="1" applyFont="1">
      <alignment horizontal="left" vertical="bottom"/>
    </xf>
    <xf borderId="0" fillId="0" fontId="3" numFmtId="0" xfId="0" applyAlignment="1" applyFont="1">
      <alignment horizontal="center" vertical="bottom"/>
    </xf>
    <xf borderId="10" fillId="0" fontId="3" numFmtId="0" xfId="0" applyAlignment="1" applyBorder="1" applyFont="1">
      <alignment horizontal="center" vertical="bottom"/>
    </xf>
    <xf borderId="9" fillId="0" fontId="3" numFmtId="0" xfId="0" applyAlignment="1" applyBorder="1" applyFont="1">
      <alignment horizontal="left" readingOrder="0" vertical="bottom"/>
    </xf>
    <xf borderId="0" fillId="0" fontId="3" numFmtId="0" xfId="0" applyAlignment="1" applyFont="1">
      <alignment horizontal="center" readingOrder="0" vertical="bottom"/>
    </xf>
    <xf borderId="11" fillId="0" fontId="3" numFmtId="0" xfId="0" applyAlignment="1" applyBorder="1" applyFont="1">
      <alignment horizontal="left" vertical="bottom"/>
    </xf>
    <xf borderId="12" fillId="0" fontId="3" numFmtId="0" xfId="0" applyAlignment="1" applyBorder="1" applyFont="1">
      <alignment horizontal="center" vertical="bottom"/>
    </xf>
    <xf borderId="13" fillId="0" fontId="3" numFmtId="0" xfId="0" applyAlignment="1" applyBorder="1" applyFont="1">
      <alignment horizontal="center" vertical="bottom"/>
    </xf>
    <xf borderId="1" fillId="7" fontId="3" numFmtId="0" xfId="0" applyAlignment="1" applyBorder="1" applyFill="1" applyFont="1">
      <alignment horizontal="center" readingOrder="0" vertical="bottom"/>
    </xf>
    <xf borderId="1" fillId="8" fontId="3" numFmtId="0" xfId="0" applyAlignment="1" applyBorder="1" applyFill="1" applyFont="1">
      <alignment horizontal="center" readingOrder="0" vertical="bottom"/>
    </xf>
    <xf borderId="1" fillId="9" fontId="3" numFmtId="0" xfId="0" applyAlignment="1" applyBorder="1" applyFill="1" applyFont="1">
      <alignment horizontal="center" readingOrder="0" vertical="bottom"/>
    </xf>
    <xf borderId="4" fillId="7" fontId="3" numFmtId="0" xfId="0" applyAlignment="1" applyBorder="1" applyFont="1">
      <alignment vertical="bottom"/>
    </xf>
    <xf borderId="5" fillId="7" fontId="3" numFmtId="0" xfId="0" applyAlignment="1" applyBorder="1" applyFont="1">
      <alignment horizontal="center" vertical="bottom"/>
    </xf>
    <xf borderId="4" fillId="8" fontId="3" numFmtId="0" xfId="0" applyAlignment="1" applyBorder="1" applyFont="1">
      <alignment vertical="bottom"/>
    </xf>
    <xf borderId="5" fillId="8" fontId="3" numFmtId="0" xfId="0" applyAlignment="1" applyBorder="1" applyFont="1">
      <alignment horizontal="center" vertical="bottom"/>
    </xf>
    <xf borderId="4" fillId="9" fontId="3" numFmtId="0" xfId="0" applyAlignment="1" applyBorder="1" applyFont="1">
      <alignment vertical="bottom"/>
    </xf>
    <xf borderId="5" fillId="9" fontId="3" numFmtId="0" xfId="0" applyAlignment="1" applyBorder="1" applyFont="1">
      <alignment horizontal="center" vertical="bottom"/>
    </xf>
    <xf borderId="0" fillId="0" fontId="2" numFmtId="0" xfId="0" applyFont="1"/>
    <xf borderId="1" fillId="10" fontId="3" numFmtId="0" xfId="0" applyAlignment="1" applyBorder="1" applyFill="1" applyFont="1">
      <alignment horizontal="center" readingOrder="0" vertical="bottom"/>
    </xf>
    <xf borderId="1" fillId="11" fontId="3" numFmtId="0" xfId="0" applyAlignment="1" applyBorder="1" applyFill="1" applyFont="1">
      <alignment horizontal="center" readingOrder="0" vertical="bottom"/>
    </xf>
    <xf borderId="4" fillId="10" fontId="3" numFmtId="0" xfId="0" applyAlignment="1" applyBorder="1" applyFont="1">
      <alignment vertical="bottom"/>
    </xf>
    <xf borderId="5" fillId="10" fontId="3" numFmtId="0" xfId="0" applyAlignment="1" applyBorder="1" applyFont="1">
      <alignment horizontal="center" vertical="bottom"/>
    </xf>
    <xf borderId="4" fillId="11" fontId="3" numFmtId="0" xfId="0" applyAlignment="1" applyBorder="1" applyFont="1">
      <alignment vertical="bottom"/>
    </xf>
    <xf borderId="5" fillId="11" fontId="3" numFmtId="0" xfId="0" applyAlignment="1" applyBorder="1" applyFont="1">
      <alignment horizontal="center" vertical="bottom"/>
    </xf>
    <xf borderId="4" fillId="12" fontId="7" numFmtId="0" xfId="0" applyAlignment="1" applyBorder="1" applyFill="1" applyFont="1">
      <alignment horizontal="center" vertical="bottom"/>
    </xf>
    <xf borderId="4" fillId="0" fontId="3" numFmtId="0" xfId="0" applyAlignment="1" applyBorder="1" applyFont="1">
      <alignment horizontal="center" vertical="bottom"/>
    </xf>
    <xf borderId="0" fillId="0" fontId="3" numFmtId="2" xfId="0" applyAlignment="1" applyFont="1" applyNumberFormat="1">
      <alignment horizontal="left" shrinkToFit="0" vertical="bottom" wrapText="0"/>
    </xf>
    <xf borderId="4" fillId="13" fontId="3" numFmtId="0" xfId="0" applyAlignment="1" applyBorder="1" applyFill="1" applyFont="1">
      <alignment horizontal="center" vertical="bottom"/>
    </xf>
    <xf borderId="4" fillId="14" fontId="3" numFmtId="0" xfId="0" applyAlignment="1" applyBorder="1" applyFill="1" applyFont="1">
      <alignment horizontal="center" vertical="bottom"/>
    </xf>
    <xf borderId="1" fillId="15" fontId="3" numFmtId="0" xfId="0" applyAlignment="1" applyBorder="1" applyFill="1" applyFont="1">
      <alignment horizontal="center" vertical="bottom"/>
    </xf>
    <xf borderId="1" fillId="8" fontId="3" numFmtId="0" xfId="0" applyAlignment="1" applyBorder="1" applyFont="1">
      <alignment horizontal="center" vertical="bottom"/>
    </xf>
    <xf borderId="0" fillId="16" fontId="3" numFmtId="0" xfId="0" applyAlignment="1" applyFill="1" applyFont="1">
      <alignment vertical="bottom"/>
    </xf>
    <xf borderId="0" fillId="16" fontId="3" numFmtId="2" xfId="0" applyAlignment="1" applyFont="1" applyNumberFormat="1">
      <alignment vertical="bottom"/>
    </xf>
    <xf borderId="0" fillId="16" fontId="3" numFmtId="0" xfId="0" applyAlignment="1" applyFont="1">
      <alignment horizontal="center" vertical="bottom"/>
    </xf>
    <xf borderId="0" fillId="16" fontId="3" numFmtId="0" xfId="0" applyAlignment="1" applyFont="1">
      <alignment horizontal="center" shrinkToFit="0" vertical="bottom" wrapText="0"/>
    </xf>
    <xf borderId="0" fillId="16" fontId="3" numFmtId="0" xfId="0" applyAlignment="1" applyFont="1">
      <alignment readingOrder="0" vertical="bottom"/>
    </xf>
    <xf borderId="0" fillId="16" fontId="2" numFmtId="0" xfId="0" applyAlignment="1" applyFont="1">
      <alignment horizontal="center"/>
    </xf>
    <xf borderId="0" fillId="16" fontId="2" numFmtId="1" xfId="0" applyAlignment="1" applyFont="1" applyNumberFormat="1">
      <alignment horizontal="center"/>
    </xf>
    <xf borderId="0" fillId="16" fontId="2" numFmtId="0" xfId="0" applyFont="1"/>
    <xf borderId="4" fillId="15" fontId="3" numFmtId="0" xfId="0" applyAlignment="1" applyBorder="1" applyFont="1">
      <alignment vertical="bottom"/>
    </xf>
    <xf borderId="4" fillId="15" fontId="3" numFmtId="0" xfId="0" applyAlignment="1" applyBorder="1" applyFont="1">
      <alignment horizontal="center" vertical="bottom"/>
    </xf>
    <xf borderId="4" fillId="8" fontId="3" numFmtId="0" xfId="0" applyAlignment="1" applyBorder="1" applyFont="1">
      <alignment horizontal="center" vertical="bottom"/>
    </xf>
    <xf borderId="6" fillId="0" fontId="2" numFmtId="0" xfId="0" applyBorder="1" applyFont="1"/>
    <xf borderId="7" fillId="0" fontId="2" numFmtId="0" xfId="0" applyAlignment="1" applyBorder="1" applyFont="1">
      <alignment horizontal="center"/>
    </xf>
    <xf borderId="7" fillId="0" fontId="2" numFmtId="0" xfId="0" applyAlignment="1" applyBorder="1" applyFont="1">
      <alignment horizontal="left"/>
    </xf>
    <xf borderId="8" fillId="0" fontId="2" numFmtId="0" xfId="0" applyAlignment="1" applyBorder="1" applyFont="1">
      <alignment horizontal="left"/>
    </xf>
    <xf borderId="0" fillId="0" fontId="8" numFmtId="0" xfId="0" applyAlignment="1" applyFont="1">
      <alignment horizontal="center" readingOrder="0"/>
    </xf>
    <xf borderId="9" fillId="0" fontId="2" numFmtId="0" xfId="0" applyBorder="1" applyFont="1"/>
    <xf borderId="0" fillId="0" fontId="2" numFmtId="0" xfId="0" applyAlignment="1" applyFont="1">
      <alignment horizontal="left"/>
    </xf>
    <xf borderId="10" fillId="0" fontId="2" numFmtId="0" xfId="0" applyAlignment="1" applyBorder="1" applyFont="1">
      <alignment horizontal="left"/>
    </xf>
    <xf borderId="0" fillId="7" fontId="3" numFmtId="0" xfId="0" applyAlignment="1" applyFont="1">
      <alignment vertical="bottom"/>
    </xf>
    <xf borderId="0" fillId="7" fontId="3" numFmtId="2" xfId="0" applyAlignment="1" applyFont="1" applyNumberFormat="1">
      <alignment vertical="bottom"/>
    </xf>
    <xf borderId="0" fillId="7" fontId="3" numFmtId="0" xfId="0" applyAlignment="1" applyFont="1">
      <alignment horizontal="center" vertical="bottom"/>
    </xf>
    <xf borderId="0" fillId="7" fontId="3" numFmtId="0" xfId="0" applyAlignment="1" applyFont="1">
      <alignment horizontal="center" shrinkToFit="0" vertical="bottom" wrapText="0"/>
    </xf>
    <xf borderId="0" fillId="7" fontId="3" numFmtId="0" xfId="0" applyAlignment="1" applyFont="1">
      <alignment readingOrder="0" vertical="bottom"/>
    </xf>
    <xf borderId="0" fillId="7" fontId="2" numFmtId="0" xfId="0" applyAlignment="1" applyFont="1">
      <alignment horizontal="center"/>
    </xf>
    <xf borderId="0" fillId="7" fontId="2" numFmtId="1" xfId="0" applyAlignment="1" applyFont="1" applyNumberFormat="1">
      <alignment horizontal="center"/>
    </xf>
    <xf borderId="0" fillId="7" fontId="2" numFmtId="0" xfId="0" applyFont="1"/>
    <xf borderId="11" fillId="0" fontId="2" numFmtId="0" xfId="0" applyBorder="1" applyFont="1"/>
    <xf borderId="12" fillId="0" fontId="2" numFmtId="0" xfId="0" applyAlignment="1" applyBorder="1" applyFont="1">
      <alignment horizontal="center"/>
    </xf>
    <xf borderId="12" fillId="0" fontId="2" numFmtId="0" xfId="0" applyAlignment="1" applyBorder="1" applyFont="1">
      <alignment horizontal="left"/>
    </xf>
    <xf borderId="13" fillId="0" fontId="2" numFmtId="0" xfId="0" applyAlignment="1" applyBorder="1" applyFont="1">
      <alignment horizontal="left"/>
    </xf>
    <xf borderId="9" fillId="0" fontId="2" numFmtId="0" xfId="0" applyAlignment="1" applyBorder="1" applyFont="1">
      <alignment readingOrder="0"/>
    </xf>
    <xf borderId="0" fillId="0" fontId="8" numFmtId="0" xfId="0" applyAlignment="1" applyFont="1">
      <alignment horizontal="center"/>
    </xf>
    <xf borderId="0" fillId="0" fontId="2" numFmtId="0" xfId="0" applyAlignment="1" applyFont="1">
      <alignment horizontal="left" readingOrder="0"/>
    </xf>
    <xf borderId="14" fillId="0" fontId="9" numFmtId="0" xfId="0" applyAlignment="1" applyBorder="1" applyFont="1">
      <alignment horizontal="right" vertical="bottom"/>
    </xf>
    <xf borderId="15" fillId="17" fontId="9" numFmtId="0" xfId="0" applyAlignment="1" applyBorder="1" applyFill="1" applyFont="1">
      <alignment readingOrder="0" vertical="bottom"/>
    </xf>
    <xf borderId="16" fillId="0" fontId="4" numFmtId="0" xfId="0" applyBorder="1" applyFont="1"/>
    <xf borderId="17" fillId="0" fontId="4" numFmtId="0" xfId="0" applyBorder="1" applyFont="1"/>
    <xf borderId="0" fillId="0" fontId="3" numFmtId="0" xfId="0" applyAlignment="1" applyFont="1">
      <alignment vertical="bottom"/>
    </xf>
    <xf borderId="14" fillId="0" fontId="10" numFmtId="0" xfId="0" applyAlignment="1" applyBorder="1" applyFont="1">
      <alignment readingOrder="0"/>
    </xf>
    <xf borderId="14" fillId="0" fontId="9" numFmtId="0" xfId="0" applyAlignment="1" applyBorder="1" applyFont="1">
      <alignment horizontal="right" readingOrder="0" vertical="bottom"/>
    </xf>
    <xf borderId="15" fillId="18" fontId="11" numFmtId="0" xfId="0" applyAlignment="1" applyBorder="1" applyFill="1" applyFont="1">
      <alignment readingOrder="0"/>
    </xf>
    <xf borderId="0" fillId="0" fontId="5" numFmtId="0" xfId="0" applyFont="1"/>
    <xf borderId="15" fillId="18" fontId="9" numFmtId="0" xfId="0" applyAlignment="1" applyBorder="1" applyFont="1">
      <alignment readingOrder="0" vertical="bottom"/>
    </xf>
    <xf borderId="0" fillId="0" fontId="2" numFmtId="0" xfId="0" applyAlignment="1" applyFont="1">
      <alignment horizontal="right"/>
    </xf>
    <xf borderId="14" fillId="0" fontId="12" numFmtId="0" xfId="0" applyAlignment="1" applyBorder="1" applyFont="1">
      <alignment horizontal="center" readingOrder="0" vertical="bottom"/>
    </xf>
    <xf borderId="14" fillId="0" fontId="12" numFmtId="0" xfId="0" applyAlignment="1" applyBorder="1" applyFont="1">
      <alignment horizontal="center" vertical="bottom"/>
    </xf>
    <xf borderId="0" fillId="0" fontId="7" numFmtId="0" xfId="0" applyAlignment="1" applyFont="1">
      <alignment vertical="bottom"/>
    </xf>
    <xf borderId="14" fillId="0" fontId="9" numFmtId="0" xfId="0" applyAlignment="1" applyBorder="1" applyFont="1">
      <alignment horizontal="center" readingOrder="0" vertical="bottom"/>
    </xf>
    <xf borderId="0" fillId="0" fontId="3" numFmtId="0" xfId="0" applyAlignment="1" applyFont="1">
      <alignment readingOrder="0" vertical="bottom"/>
    </xf>
    <xf borderId="14" fillId="19" fontId="9" numFmtId="0" xfId="0" applyAlignment="1" applyBorder="1" applyFill="1" applyFont="1">
      <alignment horizontal="center" vertical="bottom"/>
    </xf>
    <xf borderId="14" fillId="0" fontId="12" numFmtId="0" xfId="0" applyAlignment="1" applyBorder="1" applyFont="1">
      <alignment vertical="bottom"/>
    </xf>
    <xf borderId="14" fillId="0" fontId="9" numFmtId="0" xfId="0" applyAlignment="1" applyBorder="1" applyFont="1">
      <alignment vertical="bottom"/>
    </xf>
    <xf borderId="14" fillId="0" fontId="12" numFmtId="0" xfId="0" applyAlignment="1" applyBorder="1" applyFont="1">
      <alignment readingOrder="0" vertical="bottom"/>
    </xf>
    <xf borderId="14" fillId="0" fontId="9" numFmtId="0" xfId="0" applyAlignment="1" applyBorder="1" applyFont="1">
      <alignment readingOrder="0" vertical="bottom"/>
    </xf>
    <xf borderId="15" fillId="17" fontId="9" numFmtId="0" xfId="0" applyAlignment="1" applyBorder="1" applyFont="1">
      <alignment vertical="bottom"/>
    </xf>
    <xf borderId="0" fillId="0" fontId="12" numFmtId="0" xfId="0" applyAlignment="1" applyFont="1">
      <alignment vertical="bottom"/>
    </xf>
    <xf borderId="0" fillId="0" fontId="12" numFmtId="0" xfId="0" applyAlignment="1" applyFont="1">
      <alignment horizontal="center" vertical="bottom"/>
    </xf>
    <xf borderId="0" fillId="0" fontId="9" numFmtId="0" xfId="0" applyAlignment="1" applyFont="1">
      <alignment vertical="bottom"/>
    </xf>
    <xf borderId="0" fillId="17" fontId="10" numFmtId="0" xfId="0" applyFont="1"/>
    <xf borderId="0" fillId="0" fontId="10" numFmtId="0" xfId="0" applyAlignment="1" applyFont="1">
      <alignment horizontal="center"/>
    </xf>
    <xf borderId="0" fillId="0" fontId="10" numFmtId="164" xfId="0" applyAlignment="1" applyFont="1" applyNumberFormat="1">
      <alignment horizontal="center"/>
    </xf>
    <xf borderId="0" fillId="0" fontId="10" numFmtId="9" xfId="0" applyAlignment="1" applyFont="1" applyNumberFormat="1">
      <alignment horizontal="center"/>
    </xf>
    <xf borderId="0" fillId="0" fontId="10" numFmtId="0" xfId="0" applyAlignment="1" applyFont="1">
      <alignment readingOrder="0"/>
    </xf>
    <xf borderId="0" fillId="0" fontId="10" numFmtId="0" xfId="0" applyFont="1"/>
    <xf borderId="18" fillId="0" fontId="10" numFmtId="0" xfId="0" applyBorder="1" applyFont="1"/>
    <xf borderId="18" fillId="0" fontId="10" numFmtId="0" xfId="0" applyAlignment="1" applyBorder="1" applyFont="1">
      <alignment horizontal="center"/>
    </xf>
    <xf borderId="18" fillId="0" fontId="10" numFmtId="164" xfId="0" applyAlignment="1" applyBorder="1" applyFont="1" applyNumberFormat="1">
      <alignment horizontal="center"/>
    </xf>
    <xf borderId="18" fillId="0" fontId="10" numFmtId="9" xfId="0" applyAlignment="1" applyBorder="1" applyFont="1" applyNumberFormat="1">
      <alignment horizontal="center"/>
    </xf>
    <xf borderId="18" fillId="0" fontId="2" numFmtId="0" xfId="0" applyAlignment="1" applyBorder="1" applyFont="1">
      <alignment horizontal="center"/>
    </xf>
    <xf borderId="18" fillId="0" fontId="5" numFmtId="0" xfId="0" applyBorder="1" applyFont="1"/>
    <xf borderId="18" fillId="0" fontId="2" numFmtId="0" xfId="0" applyBorder="1" applyFont="1"/>
    <xf borderId="18" fillId="0" fontId="3" numFmtId="0" xfId="0" applyAlignment="1" applyBorder="1" applyFont="1">
      <alignment vertical="bottom"/>
    </xf>
    <xf borderId="18" fillId="0" fontId="3" numFmtId="0" xfId="0" applyAlignment="1" applyBorder="1" applyFont="1">
      <alignment horizontal="center" vertical="bottom"/>
    </xf>
    <xf borderId="0" fillId="6" fontId="1" numFmtId="0" xfId="0" applyAlignment="1" applyFont="1">
      <alignment horizontal="center" shrinkToFit="0" vertical="bottom" wrapText="0"/>
    </xf>
    <xf borderId="0" fillId="6" fontId="1" numFmtId="2" xfId="0" applyAlignment="1" applyFont="1" applyNumberFormat="1">
      <alignment shrinkToFit="0" vertical="bottom" wrapText="0"/>
    </xf>
    <xf borderId="0" fillId="6" fontId="1" numFmtId="0" xfId="0" applyAlignment="1" applyFont="1">
      <alignment horizontal="center" readingOrder="0" shrinkToFit="0" vertical="bottom" wrapText="0"/>
    </xf>
    <xf borderId="19" fillId="20" fontId="13" numFmtId="0" xfId="0" applyAlignment="1" applyBorder="1" applyFill="1" applyFont="1">
      <alignment horizontal="center" readingOrder="0" vertical="bottom"/>
    </xf>
    <xf borderId="0" fillId="0" fontId="14" numFmtId="0" xfId="0" applyAlignment="1" applyFont="1">
      <alignment horizontal="center" vertical="bottom"/>
    </xf>
    <xf borderId="0" fillId="6" fontId="1" numFmtId="2" xfId="0" applyAlignment="1" applyFont="1" applyNumberFormat="1">
      <alignment horizontal="center" shrinkToFit="0" vertical="bottom" wrapText="0"/>
    </xf>
    <xf borderId="0" fillId="0" fontId="2" numFmtId="0" xfId="0" applyAlignment="1" applyFont="1">
      <alignment horizontal="center" shrinkToFit="0" wrapText="0"/>
    </xf>
    <xf borderId="19" fillId="0" fontId="2" numFmtId="0" xfId="0" applyAlignment="1" applyBorder="1" applyFont="1">
      <alignment horizontal="center" readingOrder="0"/>
    </xf>
    <xf borderId="0" fillId="0" fontId="2" numFmtId="0" xfId="0" applyAlignment="1" applyFont="1">
      <alignment readingOrder="0" shrinkToFit="0" wrapText="0"/>
    </xf>
    <xf borderId="4" fillId="6" fontId="1" numFmtId="0" xfId="0" applyAlignment="1" applyBorder="1" applyFont="1">
      <alignment horizontal="center" shrinkToFit="0" vertical="bottom" wrapText="0"/>
    </xf>
    <xf borderId="4" fillId="6" fontId="1" numFmtId="0" xfId="0" applyAlignment="1" applyBorder="1" applyFont="1">
      <alignment horizontal="center" readingOrder="0" shrinkToFit="0" vertical="bottom" wrapText="0"/>
    </xf>
    <xf borderId="5" fillId="0" fontId="15" numFmtId="0" xfId="0" applyAlignment="1" applyBorder="1" applyFont="1">
      <alignment horizontal="center" vertical="center"/>
    </xf>
    <xf borderId="5" fillId="21" fontId="15" numFmtId="0" xfId="0" applyAlignment="1" applyBorder="1" applyFill="1" applyFont="1">
      <alignment horizontal="center" vertical="center"/>
    </xf>
    <xf borderId="20" fillId="0" fontId="4" numFmtId="0" xfId="0" applyBorder="1" applyFont="1"/>
    <xf borderId="19" fillId="0" fontId="2" numFmtId="0" xfId="0" applyAlignment="1" applyBorder="1" applyFont="1">
      <alignment horizontal="center"/>
    </xf>
    <xf borderId="0" fillId="0" fontId="16" numFmtId="0" xfId="0" applyAlignment="1" applyFont="1">
      <alignment readingOrder="0"/>
    </xf>
    <xf borderId="0" fillId="0" fontId="2" numFmtId="0" xfId="0" applyAlignment="1" applyFont="1">
      <alignment horizontal="center"/>
    </xf>
    <xf borderId="0" fillId="0" fontId="2" numFmtId="2" xfId="0" applyFont="1" applyNumberFormat="1"/>
    <xf borderId="0" fillId="16" fontId="3" numFmtId="0" xfId="0" applyAlignment="1" applyFont="1">
      <alignment horizontal="center" readingOrder="0" vertical="bottom"/>
    </xf>
    <xf borderId="0" fillId="0" fontId="2" numFmtId="0" xfId="0" applyAlignment="1" applyFont="1">
      <alignment horizontal="left" shrinkToFit="0" wrapText="0"/>
    </xf>
    <xf borderId="0" fillId="22" fontId="2" numFmtId="0" xfId="0" applyFill="1" applyFont="1"/>
    <xf borderId="0" fillId="22" fontId="2" numFmtId="0" xfId="0" applyAlignment="1" applyFont="1">
      <alignment horizontal="center"/>
    </xf>
    <xf borderId="0" fillId="22" fontId="17" numFmtId="0" xfId="0" applyAlignment="1" applyFont="1">
      <alignment horizontal="left"/>
    </xf>
    <xf borderId="21" fillId="23" fontId="18" numFmtId="0" xfId="0" applyAlignment="1" applyBorder="1" applyFill="1" applyFont="1">
      <alignment horizontal="center"/>
    </xf>
    <xf borderId="21" fillId="22" fontId="19" numFmtId="0" xfId="0" applyBorder="1" applyFont="1"/>
    <xf borderId="21" fillId="24" fontId="20" numFmtId="0" xfId="0" applyAlignment="1" applyBorder="1" applyFill="1" applyFont="1">
      <alignment horizontal="left"/>
    </xf>
    <xf borderId="21" fillId="23" fontId="2" numFmtId="0" xfId="0" applyAlignment="1" applyBorder="1" applyFont="1">
      <alignment textRotation="90"/>
    </xf>
    <xf borderId="22" fillId="22" fontId="2" numFmtId="0" xfId="0" applyBorder="1" applyFont="1"/>
    <xf borderId="0" fillId="22" fontId="18" numFmtId="0" xfId="0" applyAlignment="1" applyFont="1">
      <alignment horizontal="center"/>
    </xf>
    <xf borderId="0" fillId="22" fontId="19" numFmtId="0" xfId="0" applyFont="1"/>
    <xf borderId="0" fillId="22" fontId="20" numFmtId="0" xfId="0" applyAlignment="1" applyFont="1">
      <alignment horizontal="left"/>
    </xf>
    <xf borderId="23" fillId="0" fontId="4" numFmtId="0" xfId="0" applyBorder="1" applyFont="1"/>
    <xf borderId="0" fillId="23" fontId="18" numFmtId="0" xfId="0" applyAlignment="1" applyFont="1">
      <alignment horizontal="center"/>
    </xf>
    <xf borderId="0" fillId="24" fontId="20" numFmtId="0" xfId="0" applyAlignment="1" applyFont="1">
      <alignment horizontal="left"/>
    </xf>
    <xf borderId="0" fillId="24" fontId="21" numFmtId="0" xfId="0" applyAlignment="1" applyFont="1">
      <alignment horizontal="left"/>
    </xf>
    <xf borderId="24" fillId="22" fontId="20" numFmtId="0" xfId="0" applyAlignment="1" applyBorder="1" applyFont="1">
      <alignment horizontal="center" readingOrder="0"/>
    </xf>
    <xf borderId="0" fillId="22" fontId="17" numFmtId="0" xfId="0" applyAlignment="1" applyFont="1">
      <alignment horizontal="center"/>
    </xf>
    <xf borderId="0" fillId="0" fontId="17" numFmtId="0" xfId="0" applyAlignment="1" applyFont="1">
      <alignment horizontal="left"/>
    </xf>
    <xf borderId="0" fillId="0" fontId="22" numFmtId="0" xfId="0" applyFont="1"/>
    <xf borderId="0" fillId="0" fontId="23" numFmtId="0" xfId="0" applyFont="1"/>
    <xf borderId="0" fillId="0" fontId="3" numFmtId="0" xfId="0" applyAlignment="1" applyFont="1">
      <alignment vertical="bottom"/>
    </xf>
    <xf borderId="25" fillId="0" fontId="2" numFmtId="0" xfId="0" applyAlignment="1" applyBorder="1" applyFont="1">
      <alignment readingOrder="0"/>
    </xf>
    <xf borderId="25" fillId="0" fontId="2" numFmtId="0" xfId="0" applyBorder="1" applyFont="1"/>
    <xf borderId="0" fillId="0" fontId="2" numFmtId="1" xfId="0" applyFont="1" applyNumberFormat="1"/>
    <xf borderId="0" fillId="0" fontId="2" numFmtId="4" xfId="0" applyFont="1" applyNumberFormat="1"/>
    <xf borderId="0" fillId="0" fontId="2" numFmtId="164" xfId="0" applyAlignment="1" applyFont="1" applyNumberFormat="1">
      <alignment horizontal="center"/>
    </xf>
    <xf borderId="0" fillId="0" fontId="2" numFmtId="164" xfId="0" applyFont="1" applyNumberFormat="1"/>
    <xf borderId="0" fillId="0" fontId="2" numFmtId="9" xfId="0" applyAlignment="1" applyFont="1" applyNumberFormat="1">
      <alignment readingOrder="0"/>
    </xf>
  </cellXfs>
  <cellStyles count="1">
    <cellStyle xfId="0" name="Normal" builtinId="0"/>
  </cellStyles>
  <dxfs count="6">
    <dxf>
      <font/>
      <fill>
        <patternFill patternType="solid">
          <fgColor rgb="FFB7B7B7"/>
          <bgColor rgb="FFB7B7B7"/>
        </patternFill>
      </fill>
      <border/>
    </dxf>
    <dxf>
      <font>
        <color rgb="FF000000"/>
      </font>
      <fill>
        <patternFill patternType="solid">
          <fgColor rgb="FF666666"/>
          <bgColor rgb="FF666666"/>
        </patternFill>
      </fill>
      <border/>
    </dxf>
    <dxf>
      <font/>
      <fill>
        <patternFill patternType="solid">
          <fgColor rgb="FFD0E0E3"/>
          <bgColor rgb="FFD0E0E3"/>
        </patternFill>
      </fill>
      <border/>
    </dxf>
    <dxf>
      <font/>
      <fill>
        <patternFill patternType="solid">
          <fgColor rgb="FFA4C2F4"/>
          <bgColor rgb="FFA4C2F4"/>
        </patternFill>
      </fill>
      <border/>
    </dxf>
    <dxf>
      <font>
        <b/>
        <i/>
      </font>
      <fill>
        <patternFill patternType="solid">
          <fgColor rgb="FFF4CCCC"/>
          <bgColor rgb="FFF4CCCC"/>
        </patternFill>
      </fill>
      <border/>
    </dxf>
    <dxf>
      <font>
        <color rgb="FF000000"/>
      </font>
      <fill>
        <patternFill patternType="solid">
          <fgColor rgb="FF6699FF"/>
          <bgColor rgb="FF6699FF"/>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5" Type="http://schemas.openxmlformats.org/officeDocument/2006/relationships/worksheet" Target="worksheets/sheet11.xml"/><Relationship Id="rId14" Type="http://schemas.openxmlformats.org/officeDocument/2006/relationships/worksheet" Target="worksheets/sheet10.xml"/><Relationship Id="rId17" Type="http://schemas.openxmlformats.org/officeDocument/2006/relationships/worksheet" Target="worksheets/sheet13.xml"/><Relationship Id="rId16" Type="http://schemas.openxmlformats.org/officeDocument/2006/relationships/worksheet" Target="worksheets/sheet1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sba-cards-2024.s3.us-east-1.amazonaws.com/2024-cards/ryan-fernandez.png" TargetMode="External"/><Relationship Id="rId22" Type="http://schemas.openxmlformats.org/officeDocument/2006/relationships/hyperlink" Target="https://sba-cards-2024.s3.us-east-1.amazonaws.com/2024-cards/trea-turner.png" TargetMode="External"/><Relationship Id="rId21" Type="http://schemas.openxmlformats.org/officeDocument/2006/relationships/hyperlink" Target="https://sba-cards-2024.s3.us-east-1.amazonaws.com/2024-cards/teoscar-hernandez.png" TargetMode="External"/><Relationship Id="rId24" Type="http://schemas.openxmlformats.org/officeDocument/2006/relationships/hyperlink" Target="https://sba-cards-2024.s3.us-east-1.amazonaws.com/2024-cards/yordan-alvarez.png" TargetMode="External"/><Relationship Id="rId23" Type="http://schemas.openxmlformats.org/officeDocument/2006/relationships/hyperlink" Target="https://sba-cards-2024.s3.us-east-1.amazonaws.com/2024-cards/will-vest.png" TargetMode="External"/><Relationship Id="rId1" Type="http://schemas.openxmlformats.org/officeDocument/2006/relationships/hyperlink" Target="https://sba-cards-2024.s3.us-east-1.amazonaws.com/2024-cards/andy-pages.png" TargetMode="External"/><Relationship Id="rId2" Type="http://schemas.openxmlformats.org/officeDocument/2006/relationships/hyperlink" Target="https://sba-cards-2024.s3.us-east-1.amazonaws.com/2024-cards/anthony-bender.png" TargetMode="External"/><Relationship Id="rId3" Type="http://schemas.openxmlformats.org/officeDocument/2006/relationships/hyperlink" Target="https://sba-cards-2024.s3.us-east-1.amazonaws.com/2024-cards/ben-brown.png" TargetMode="External"/><Relationship Id="rId4" Type="http://schemas.openxmlformats.org/officeDocument/2006/relationships/hyperlink" Target="https://sba-cards-2024.s3.us-east-1.amazonaws.com/2024-cards/ben-rice.png" TargetMode="External"/><Relationship Id="rId9" Type="http://schemas.openxmlformats.org/officeDocument/2006/relationships/hyperlink" Target="https://sba-cards-2024.s3.us-east-1.amazonaws.com/2024-cards/ildemaro-vargas.png" TargetMode="External"/><Relationship Id="rId26" Type="http://schemas.openxmlformats.org/officeDocument/2006/relationships/hyperlink" Target="https://sba-cards-2024.s3.us-east-1.amazonaws.com/2024-cards/zac-gallen.png" TargetMode="External"/><Relationship Id="rId25" Type="http://schemas.openxmlformats.org/officeDocument/2006/relationships/hyperlink" Target="https://sba-cards-2024.s3.us-east-1.amazonaws.com/2024-cards/yoshinobu-yamamoto.png" TargetMode="External"/><Relationship Id="rId28" Type="http://schemas.openxmlformats.org/officeDocument/2006/relationships/hyperlink" Target="https://sba-cards-2024.s3.us-east-1.amazonaws.com/2024-cards/jose-soriano.png" TargetMode="External"/><Relationship Id="rId27" Type="http://schemas.openxmlformats.org/officeDocument/2006/relationships/hyperlink" Target="https://sba-cards-2024.s3.us-east-1.amazonaws.com/2024-cards/adley-rutschman.png" TargetMode="External"/><Relationship Id="rId5" Type="http://schemas.openxmlformats.org/officeDocument/2006/relationships/hyperlink" Target="https://sba-cards-2024.s3.us-east-1.amazonaws.com/2024-cards/cedric-mullins.png" TargetMode="External"/><Relationship Id="rId6" Type="http://schemas.openxmlformats.org/officeDocument/2006/relationships/hyperlink" Target="https://sba-cards-2024.s3.us-east-1.amazonaws.com/2024-cards/dedniel-nunez.png" TargetMode="External"/><Relationship Id="rId29" Type="http://schemas.openxmlformats.org/officeDocument/2006/relationships/hyperlink" Target="https://sba-cards-2024.s3.us-east-1.amazonaws.com/2024-cards/ronald-acuna-jr.png" TargetMode="External"/><Relationship Id="rId7" Type="http://schemas.openxmlformats.org/officeDocument/2006/relationships/hyperlink" Target="https://sba-cards-2024.s3.us-east-1.amazonaws.com/2024-cards/dennis-santana.png" TargetMode="External"/><Relationship Id="rId8" Type="http://schemas.openxmlformats.org/officeDocument/2006/relationships/hyperlink" Target="https://sba-cards-2024.s3.us-east-1.amazonaws.com/2024-cards/griffin-canning.png" TargetMode="External"/><Relationship Id="rId31" Type="http://schemas.openxmlformats.org/officeDocument/2006/relationships/hyperlink" Target="https://sba-cards-2024.s3.us-east-1.amazonaws.com/2024-cards/victor-vodnik.png" TargetMode="External"/><Relationship Id="rId30" Type="http://schemas.openxmlformats.org/officeDocument/2006/relationships/hyperlink" Target="https://sba-cards-2024.s3.us-east-1.amazonaws.com/2024-cards/ryan-thompson.png" TargetMode="External"/><Relationship Id="rId11" Type="http://schemas.openxmlformats.org/officeDocument/2006/relationships/hyperlink" Target="https://sba-cards-2024.s3.us-east-1.amazonaws.com/2024-cards/jj-bleday.png" TargetMode="External"/><Relationship Id="rId33" Type="http://schemas.openxmlformats.org/officeDocument/2006/relationships/hyperlink" Target="https://sba-cards-2024.s3.us-east-1.amazonaws.com/2024-cards/taj-bradley.png" TargetMode="External"/><Relationship Id="rId10" Type="http://schemas.openxmlformats.org/officeDocument/2006/relationships/hyperlink" Target="https://sba-cards-2024.s3.us-east-1.amazonaws.com/2024-cards/jared-jones.png" TargetMode="External"/><Relationship Id="rId32" Type="http://schemas.openxmlformats.org/officeDocument/2006/relationships/hyperlink" Target="https://sba-cards-2024.s3.us-east-1.amazonaws.com/2024-cards/donovan-solano.png" TargetMode="External"/><Relationship Id="rId13" Type="http://schemas.openxmlformats.org/officeDocument/2006/relationships/hyperlink" Target="https://sba-cards-2024.s3.us-east-1.amazonaws.com/2024-cards/john-schreiber.png" TargetMode="External"/><Relationship Id="rId12" Type="http://schemas.openxmlformats.org/officeDocument/2006/relationships/hyperlink" Target="https://sba-cards-2024.s3.us-east-1.amazonaws.com/2024-cards/joe-mantiply.png" TargetMode="External"/><Relationship Id="rId34" Type="http://schemas.openxmlformats.org/officeDocument/2006/relationships/drawing" Target="../drawings/drawing1.xml"/><Relationship Id="rId15" Type="http://schemas.openxmlformats.org/officeDocument/2006/relationships/hyperlink" Target="https://sba-cards-2024.s3.us-east-1.amazonaws.com/2024-cards/josh-naylor.png" TargetMode="External"/><Relationship Id="rId14" Type="http://schemas.openxmlformats.org/officeDocument/2006/relationships/hyperlink" Target="https://sba-cards-2024.s3.us-east-1.amazonaws.com/2024-cards/jorge-polanco.png" TargetMode="External"/><Relationship Id="rId17" Type="http://schemas.openxmlformats.org/officeDocument/2006/relationships/hyperlink" Target="https://sba-cards-2024.s3.us-east-1.amazonaws.com/2024-cards/mark-vientos.png" TargetMode="External"/><Relationship Id="rId16" Type="http://schemas.openxmlformats.org/officeDocument/2006/relationships/hyperlink" Target="https://sba-cards-2024.s3.us-east-1.amazonaws.com/2024-cards/jt-realmuto.png" TargetMode="External"/><Relationship Id="rId19" Type="http://schemas.openxmlformats.org/officeDocument/2006/relationships/hyperlink" Target="https://sba-cards-2024.s3.us-east-1.amazonaws.com/2024-cards/porter-hodge.png" TargetMode="External"/><Relationship Id="rId18" Type="http://schemas.openxmlformats.org/officeDocument/2006/relationships/hyperlink" Target="https://sba-cards-2024.s3.us-east-1.amazonaws.com/2024-cards/mickey-moniak.pn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docs.google.com/spreadsheets/d/1A45eSmpgfacqwwbnESAVGr41ToqdO4q-DhuNSHkFYMI/edit?gid=1148472416"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0" Type="http://schemas.openxmlformats.org/officeDocument/2006/relationships/hyperlink" Target="https://sba-cards-2024.s3.us-east-1.amazonaws.com/2024-cards/josh-naylor.png" TargetMode="External"/><Relationship Id="rId22" Type="http://schemas.openxmlformats.org/officeDocument/2006/relationships/hyperlink" Target="https://sba-cards-2024.s3.us-east-1.amazonaws.com/2024-cards/mark-vientos.png" TargetMode="External"/><Relationship Id="rId21" Type="http://schemas.openxmlformats.org/officeDocument/2006/relationships/hyperlink" Target="https://sba-cards-2024.s3.us-east-1.amazonaws.com/2024-cards/jt-realmuto.png" TargetMode="External"/><Relationship Id="rId24" Type="http://schemas.openxmlformats.org/officeDocument/2006/relationships/hyperlink" Target="https://sba-cards-2024.s3.us-east-1.amazonaws.com/2024-cards/porter-hodge.png" TargetMode="External"/><Relationship Id="rId23" Type="http://schemas.openxmlformats.org/officeDocument/2006/relationships/hyperlink" Target="https://sba-cards-2024.s3.us-east-1.amazonaws.com/2024-cards/mickey-moniak.png" TargetMode="External"/><Relationship Id="rId1" Type="http://schemas.openxmlformats.org/officeDocument/2006/relationships/hyperlink" Target="https://sba-cards-2024.s3.us-east-1.amazonaws.com/2024-cards/andy-pages.png" TargetMode="External"/><Relationship Id="rId2" Type="http://schemas.openxmlformats.org/officeDocument/2006/relationships/hyperlink" Target="https://sba-cards-2024.s3.us-east-1.amazonaws.com/2024-cards/jorge-polanco.png" TargetMode="External"/><Relationship Id="rId3" Type="http://schemas.openxmlformats.org/officeDocument/2006/relationships/hyperlink" Target="https://sba-cards-2024.s3.us-east-1.amazonaws.com/2024-cards/anthony-bender.png" TargetMode="External"/><Relationship Id="rId4" Type="http://schemas.openxmlformats.org/officeDocument/2006/relationships/hyperlink" Target="https://sba-cards-2024.s3.us-east-1.amazonaws.com/2024-cards/anthony-bender.png" TargetMode="External"/><Relationship Id="rId9" Type="http://schemas.openxmlformats.org/officeDocument/2006/relationships/hyperlink" Target="https://sba-cards-2024.s3.us-east-1.amazonaws.com/2024-cards/cedric-mullins.png" TargetMode="External"/><Relationship Id="rId26" Type="http://schemas.openxmlformats.org/officeDocument/2006/relationships/hyperlink" Target="https://sba-cards-2024.s3.us-east-1.amazonaws.com/2024-cards/teoscar-hernandez.png" TargetMode="External"/><Relationship Id="rId25" Type="http://schemas.openxmlformats.org/officeDocument/2006/relationships/hyperlink" Target="https://sba-cards-2024.s3.us-east-1.amazonaws.com/2024-cards/ryan-fernandez.png" TargetMode="External"/><Relationship Id="rId28" Type="http://schemas.openxmlformats.org/officeDocument/2006/relationships/hyperlink" Target="https://sba-cards-2024.s3.us-east-1.amazonaws.com/2024-cards/will-vest.png" TargetMode="External"/><Relationship Id="rId27" Type="http://schemas.openxmlformats.org/officeDocument/2006/relationships/hyperlink" Target="https://sba-cards-2024.s3.us-east-1.amazonaws.com/2024-cards/trea-turner.png" TargetMode="External"/><Relationship Id="rId5" Type="http://schemas.openxmlformats.org/officeDocument/2006/relationships/hyperlink" Target="https://sba-cards-2024.s3.us-east-1.amazonaws.com/2024-cards/ben-brown.png" TargetMode="External"/><Relationship Id="rId6" Type="http://schemas.openxmlformats.org/officeDocument/2006/relationships/hyperlink" Target="https://sba-cards-2024.s3.us-east-1.amazonaws.com/2024-cards/stephen-kolek.png" TargetMode="External"/><Relationship Id="rId29" Type="http://schemas.openxmlformats.org/officeDocument/2006/relationships/hyperlink" Target="https://sba-cards-2024.s3.us-east-1.amazonaws.com/2024-cards/yordan-alvarez.png" TargetMode="External"/><Relationship Id="rId7" Type="http://schemas.openxmlformats.org/officeDocument/2006/relationships/hyperlink" Target="https://sba-cards-2024.s3.us-east-1.amazonaws.com/2024-cards/ben-rice.png" TargetMode="External"/><Relationship Id="rId8" Type="http://schemas.openxmlformats.org/officeDocument/2006/relationships/hyperlink" Target="https://sba-cards-2024.s3.us-east-1.amazonaws.com/2024-cards/mickey-moniak.png" TargetMode="External"/><Relationship Id="rId31" Type="http://schemas.openxmlformats.org/officeDocument/2006/relationships/hyperlink" Target="https://sba-cards-2024.s3.us-east-1.amazonaws.com/2024-cards/zac-gallen.png" TargetMode="External"/><Relationship Id="rId30" Type="http://schemas.openxmlformats.org/officeDocument/2006/relationships/hyperlink" Target="https://sba-cards-2024.s3.us-east-1.amazonaws.com/2024-cards/yoshinobu-yamamoto.png" TargetMode="External"/><Relationship Id="rId11" Type="http://schemas.openxmlformats.org/officeDocument/2006/relationships/hyperlink" Target="https://sba-cards-2024.s3.us-east-1.amazonaws.com/2024-cards/dennis-santana.png" TargetMode="External"/><Relationship Id="rId33" Type="http://schemas.openxmlformats.org/officeDocument/2006/relationships/hyperlink" Target="https://sba-cards-2024.s3.us-east-1.amazonaws.com/2024-cards/jose-soriano.png" TargetMode="External"/><Relationship Id="rId10" Type="http://schemas.openxmlformats.org/officeDocument/2006/relationships/hyperlink" Target="https://sba-cards-2024.s3.us-east-1.amazonaws.com/2024-cards/dedniel-nunez.png" TargetMode="External"/><Relationship Id="rId32" Type="http://schemas.openxmlformats.org/officeDocument/2006/relationships/hyperlink" Target="https://sba-cards-2024.s3.us-east-1.amazonaws.com/2024-cards/adley-rutschman.png" TargetMode="External"/><Relationship Id="rId13" Type="http://schemas.openxmlformats.org/officeDocument/2006/relationships/hyperlink" Target="https://sba-cards-2024.s3.us-east-1.amazonaws.com/2024-cards/ildemaro-vargas.png" TargetMode="External"/><Relationship Id="rId35" Type="http://schemas.openxmlformats.org/officeDocument/2006/relationships/hyperlink" Target="https://sba-cards-2024.s3.us-east-1.amazonaws.com/2024-cards/ryan-thompson.png" TargetMode="External"/><Relationship Id="rId12" Type="http://schemas.openxmlformats.org/officeDocument/2006/relationships/hyperlink" Target="https://sba-cards-2024.s3.us-east-1.amazonaws.com/2024-cards/griffin-canning.png" TargetMode="External"/><Relationship Id="rId34" Type="http://schemas.openxmlformats.org/officeDocument/2006/relationships/hyperlink" Target="https://sba-cards-2024.s3.us-east-1.amazonaws.com/2024-cards/ronald-acuna-jr.png" TargetMode="External"/><Relationship Id="rId15" Type="http://schemas.openxmlformats.org/officeDocument/2006/relationships/hyperlink" Target="https://sba-cards-2024.s3.us-east-1.amazonaws.com/2024-cards/jj-bleday.png" TargetMode="External"/><Relationship Id="rId37" Type="http://schemas.openxmlformats.org/officeDocument/2006/relationships/hyperlink" Target="https://sba-cards-2024.s3.us-east-1.amazonaws.com/2024-cards/donovan-solano.png" TargetMode="External"/><Relationship Id="rId14" Type="http://schemas.openxmlformats.org/officeDocument/2006/relationships/hyperlink" Target="https://sba-cards-2024.s3.us-east-1.amazonaws.com/2024-cards/jared-jones.png" TargetMode="External"/><Relationship Id="rId36" Type="http://schemas.openxmlformats.org/officeDocument/2006/relationships/hyperlink" Target="https://sba-cards-2024.s3.us-east-1.amazonaws.com/2024-cards/victor-vodnik.png" TargetMode="External"/><Relationship Id="rId17" Type="http://schemas.openxmlformats.org/officeDocument/2006/relationships/hyperlink" Target="https://sba-cards-2024.s3.us-east-1.amazonaws.com/2024-cards/john-schreiber.png" TargetMode="External"/><Relationship Id="rId39" Type="http://schemas.openxmlformats.org/officeDocument/2006/relationships/drawing" Target="../drawings/drawing3.xml"/><Relationship Id="rId16" Type="http://schemas.openxmlformats.org/officeDocument/2006/relationships/hyperlink" Target="https://sba-cards-2024.s3.us-east-1.amazonaws.com/2024-cards/joe-mantiply.png" TargetMode="External"/><Relationship Id="rId38" Type="http://schemas.openxmlformats.org/officeDocument/2006/relationships/hyperlink" Target="https://sba-cards-2024.s3.us-east-1.amazonaws.com/2024-cards/taj-bradley.png" TargetMode="External"/><Relationship Id="rId19" Type="http://schemas.openxmlformats.org/officeDocument/2006/relationships/hyperlink" Target="https://discord.com/channels/613880856032968834/613968699472347167/1409369181144748112" TargetMode="External"/><Relationship Id="rId18" Type="http://schemas.openxmlformats.org/officeDocument/2006/relationships/hyperlink" Target="https://sba-cards-2024.s3.us-east-1.amazonaws.com/2024-cards/jorge-polanco.png"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90" Type="http://schemas.openxmlformats.org/officeDocument/2006/relationships/hyperlink" Target="https://sba-cards-2024.s3.us-east-1.amazonaws.com/2024-cards/cade-smith.png" TargetMode="External"/><Relationship Id="rId194" Type="http://schemas.openxmlformats.org/officeDocument/2006/relationships/hyperlink" Target="https://sba-cards-2024.s3.us-east-1.amazonaws.com/2024-cards/caleb-ferguson.png" TargetMode="External"/><Relationship Id="rId193" Type="http://schemas.openxmlformats.org/officeDocument/2006/relationships/hyperlink" Target="https://i.postimg.cc/xjPqxdxF/Raleigh-FC.png" TargetMode="External"/><Relationship Id="rId192" Type="http://schemas.openxmlformats.org/officeDocument/2006/relationships/hyperlink" Target="https://sba-cards-2024.s3.us-east-1.amazonaws.com/2024-cards/cal-raleigh.png" TargetMode="External"/><Relationship Id="rId191" Type="http://schemas.openxmlformats.org/officeDocument/2006/relationships/hyperlink" Target="https://sba-cards-2024.s3.us-east-1.amazonaws.com/2024-cards/cal-quantrill.png" TargetMode="External"/><Relationship Id="rId187" Type="http://schemas.openxmlformats.org/officeDocument/2006/relationships/hyperlink" Target="https://sba-cards-2024.s3.us-east-1.amazonaws.com/2024-cards/byron-buxton.png" TargetMode="External"/><Relationship Id="rId186" Type="http://schemas.openxmlformats.org/officeDocument/2006/relationships/hyperlink" Target="https://sba-cards-2024.s3.us-east-1.amazonaws.com/2024-cards/burch-smith.png" TargetMode="External"/><Relationship Id="rId185" Type="http://schemas.openxmlformats.org/officeDocument/2006/relationships/hyperlink" Target="https://sba-cards-2024.s3.us-east-1.amazonaws.com/2024-cards/buck-farmer.png" TargetMode="External"/><Relationship Id="rId184" Type="http://schemas.openxmlformats.org/officeDocument/2006/relationships/hyperlink" Target="https://sba-cards-2024.s3.us-east-1.amazonaws.com/2024-cards/bryson-stott.png" TargetMode="External"/><Relationship Id="rId189" Type="http://schemas.openxmlformats.org/officeDocument/2006/relationships/hyperlink" Target="https://sba-cards-2024.s3.us-east-1.amazonaws.com/2024-cards/cade-povich.png" TargetMode="External"/><Relationship Id="rId188" Type="http://schemas.openxmlformats.org/officeDocument/2006/relationships/hyperlink" Target="https://i.postimg.cc/5tpVj9Pf/buxton-card.gif" TargetMode="External"/><Relationship Id="rId183" Type="http://schemas.openxmlformats.org/officeDocument/2006/relationships/hyperlink" Target="https://sba-cards-2024.s3.us-east-1.amazonaws.com/2024-cards/bryse-wilson.png" TargetMode="External"/><Relationship Id="rId182" Type="http://schemas.openxmlformats.org/officeDocument/2006/relationships/hyperlink" Target="https://sba-cards-2024.s3.us-east-1.amazonaws.com/2024-cards/bryce-miller.png" TargetMode="External"/><Relationship Id="rId181" Type="http://schemas.openxmlformats.org/officeDocument/2006/relationships/hyperlink" Target="https://sba-cards-2024.s3.us-east-1.amazonaws.com/2024-cards/bryce-johnson.png" TargetMode="External"/><Relationship Id="rId180" Type="http://schemas.openxmlformats.org/officeDocument/2006/relationships/hyperlink" Target="https://sba-cards-2024.s3.us-east-1.amazonaws.com/2024-cards/bryce-jarvis.png" TargetMode="External"/><Relationship Id="rId176" Type="http://schemas.openxmlformats.org/officeDocument/2006/relationships/hyperlink" Target="https://sba-cards-2024.s3.us-east-1.amazonaws.com/2024-cards/bryan-sammons.png" TargetMode="External"/><Relationship Id="rId175" Type="http://schemas.openxmlformats.org/officeDocument/2006/relationships/hyperlink" Target="https://sba-cards-2024.s3.us-east-1.amazonaws.com/2024-cards/bryan-reynolds.png" TargetMode="External"/><Relationship Id="rId174" Type="http://schemas.openxmlformats.org/officeDocument/2006/relationships/hyperlink" Target="https://sba-cards-2024.s3.us-east-1.amazonaws.com/2024-cards/bryan-ramos.png" TargetMode="External"/><Relationship Id="rId173" Type="http://schemas.openxmlformats.org/officeDocument/2006/relationships/hyperlink" Target="https://sba-cards-2024.s3.us-east-1.amazonaws.com/2024-cards/bryan-king.png" TargetMode="External"/><Relationship Id="rId179" Type="http://schemas.openxmlformats.org/officeDocument/2006/relationships/hyperlink" Target="https://sba-cards-2024.s3.us-east-1.amazonaws.com/2024-cards/bryce-harper.png" TargetMode="External"/><Relationship Id="rId178" Type="http://schemas.openxmlformats.org/officeDocument/2006/relationships/hyperlink" Target="https://sba-cards-2024.s3.us-east-1.amazonaws.com/2024-cards/bryce-elder.png" TargetMode="External"/><Relationship Id="rId177" Type="http://schemas.openxmlformats.org/officeDocument/2006/relationships/hyperlink" Target="https://sba-cards-2024.s3.us-east-1.amazonaws.com/2024-cards/bryan-woo.png" TargetMode="External"/><Relationship Id="rId198" Type="http://schemas.openxmlformats.org/officeDocument/2006/relationships/hyperlink" Target="https://sba-cards-2024.s3.us-east-1.amazonaws.com/2024-cards/camilo-doval.png" TargetMode="External"/><Relationship Id="rId197" Type="http://schemas.openxmlformats.org/officeDocument/2006/relationships/hyperlink" Target="https://sba-cards-2024.s3.us-east-1.amazonaws.com/2024-cards/cam-booser.png" TargetMode="External"/><Relationship Id="rId196" Type="http://schemas.openxmlformats.org/officeDocument/2006/relationships/hyperlink" Target="https://sba-cards-2024.s3.us-east-1.amazonaws.com/2024-cards/calvin-faucher.png" TargetMode="External"/><Relationship Id="rId195" Type="http://schemas.openxmlformats.org/officeDocument/2006/relationships/hyperlink" Target="https://sba-cards-2024.s3.us-east-1.amazonaws.com/2024-cards/caleb-thielbar.png" TargetMode="External"/><Relationship Id="rId199" Type="http://schemas.openxmlformats.org/officeDocument/2006/relationships/hyperlink" Target="https://sba-cards-2024.s3.us-east-1.amazonaws.com/2024-cards/carlos-carrasco.png" TargetMode="External"/><Relationship Id="rId150" Type="http://schemas.openxmlformats.org/officeDocument/2006/relationships/hyperlink" Target="https://sba-cards-2024.s3.us-east-1.amazonaws.com/2024-cards/brenan-hanifee.png" TargetMode="External"/><Relationship Id="rId392" Type="http://schemas.openxmlformats.org/officeDocument/2006/relationships/hyperlink" Target="https://sba-cards-2024.s3.us-east-1.amazonaws.com/2024-cards/genesis-cabrera.png" TargetMode="External"/><Relationship Id="rId391" Type="http://schemas.openxmlformats.org/officeDocument/2006/relationships/hyperlink" Target="https://sba-cards-2024.s3.us-east-1.amazonaws.com/2024-cards/gavin-williams.png" TargetMode="External"/><Relationship Id="rId390" Type="http://schemas.openxmlformats.org/officeDocument/2006/relationships/hyperlink" Target="https://sba-cards-2024.s3.us-east-1.amazonaws.com/2024-cards/gavin-stone.png" TargetMode="External"/><Relationship Id="rId1" Type="http://schemas.openxmlformats.org/officeDocument/2006/relationships/hyperlink" Target="https://sba-cards-2024.s3.us-east-1.amazonaws.com/2024-cards/aaron-bummer.png" TargetMode="External"/><Relationship Id="rId2" Type="http://schemas.openxmlformats.org/officeDocument/2006/relationships/hyperlink" Target="https://sombaseball.ddns.net/static/images/sba-logo.png" TargetMode="External"/><Relationship Id="rId3" Type="http://schemas.openxmlformats.org/officeDocument/2006/relationships/hyperlink" Target="https://sba-cards-2024.s3.us-east-1.amazonaws.com/2024-cards/aaron-civale.png" TargetMode="External"/><Relationship Id="rId149" Type="http://schemas.openxmlformats.org/officeDocument/2006/relationships/hyperlink" Target="https://sba-cards-2024.s3.us-east-1.amazonaws.com/2024-cards/brayan-rocchio.png" TargetMode="External"/><Relationship Id="rId4" Type="http://schemas.openxmlformats.org/officeDocument/2006/relationships/hyperlink" Target="https://i.postimg.cc/XJXYbczz/WV-Weather.png" TargetMode="External"/><Relationship Id="rId148" Type="http://schemas.openxmlformats.org/officeDocument/2006/relationships/hyperlink" Target="https://sba-cards-2024.s3.us-east-1.amazonaws.com/2024-cards/brayan-bello.png" TargetMode="External"/><Relationship Id="rId1090" Type="http://schemas.openxmlformats.org/officeDocument/2006/relationships/hyperlink" Target="https://sba-cards-2024.s3.us-east-1.amazonaws.com/2024-cards/yuli-gurriel.png" TargetMode="External"/><Relationship Id="rId1091" Type="http://schemas.openxmlformats.org/officeDocument/2006/relationships/hyperlink" Target="https://sba-cards-2024.s3.us-east-1.amazonaws.com/2024-cards/yunior-marte.png" TargetMode="External"/><Relationship Id="rId1092" Type="http://schemas.openxmlformats.org/officeDocument/2006/relationships/hyperlink" Target="https://sba-cards-2024.s3.us-east-1.amazonaws.com/2024-cards/yusei-kikuchi.png" TargetMode="External"/><Relationship Id="rId1093" Type="http://schemas.openxmlformats.org/officeDocument/2006/relationships/hyperlink" Target="https://sba-cards-2024.s3.us-east-1.amazonaws.com/2024-cards/zac-gallen.png" TargetMode="External"/><Relationship Id="rId1094" Type="http://schemas.openxmlformats.org/officeDocument/2006/relationships/hyperlink" Target="https://sba-cards-2024.s3.us-east-1.amazonaws.com/2024-cards/zach-deloach.png" TargetMode="External"/><Relationship Id="rId9" Type="http://schemas.openxmlformats.org/officeDocument/2006/relationships/hyperlink" Target="https://sba-cards-2024.s3.us-east-1.amazonaws.com/2024-cards/aaron-judge.png" TargetMode="External"/><Relationship Id="rId143" Type="http://schemas.openxmlformats.org/officeDocument/2006/relationships/hyperlink" Target="https://sba-cards-2024.s3.us-east-1.amazonaws.com/2024-cards/brandon-marsh.png" TargetMode="External"/><Relationship Id="rId385" Type="http://schemas.openxmlformats.org/officeDocument/2006/relationships/hyperlink" Target="https://sba-cards-2024.s3.us-east-1.amazonaws.com/2024-cards/garrett-mitchell.png" TargetMode="External"/><Relationship Id="rId1095" Type="http://schemas.openxmlformats.org/officeDocument/2006/relationships/hyperlink" Target="https://sba-cards-2024.s3.us-east-1.amazonaws.com/2024-cards/zach-dezenzo.png" TargetMode="External"/><Relationship Id="rId142" Type="http://schemas.openxmlformats.org/officeDocument/2006/relationships/hyperlink" Target="https://sba-cards-2024.s3.us-east-1.amazonaws.com/2024-cards/brandon-lowe.png" TargetMode="External"/><Relationship Id="rId384" Type="http://schemas.openxmlformats.org/officeDocument/2006/relationships/hyperlink" Target="https://sba-cards-2024.s3.us-east-1.amazonaws.com/2024-cards/garrett-hampson.png" TargetMode="External"/><Relationship Id="rId1096" Type="http://schemas.openxmlformats.org/officeDocument/2006/relationships/hyperlink" Target="https://sba-cards-2024.s3.us-east-1.amazonaws.com/2024-cards/zach-eflin.png" TargetMode="External"/><Relationship Id="rId141" Type="http://schemas.openxmlformats.org/officeDocument/2006/relationships/hyperlink" Target="https://sba-cards-2024.s3.us-east-1.amazonaws.com/2024-cards/brandon-drury.png" TargetMode="External"/><Relationship Id="rId383" Type="http://schemas.openxmlformats.org/officeDocument/2006/relationships/hyperlink" Target="https://sba-cards-2024.s3.us-east-1.amazonaws.com/2024-cards/garrett-crochet.png" TargetMode="External"/><Relationship Id="rId1097" Type="http://schemas.openxmlformats.org/officeDocument/2006/relationships/hyperlink" Target="https://sba-cards-2024.s3.us-east-1.amazonaws.com/2024-cards/zach-mckinstry.png" TargetMode="External"/><Relationship Id="rId140" Type="http://schemas.openxmlformats.org/officeDocument/2006/relationships/hyperlink" Target="https://sba-cards-2024.s3.us-east-1.amazonaws.com/2024-cards/brandon-crawford.png" TargetMode="External"/><Relationship Id="rId382" Type="http://schemas.openxmlformats.org/officeDocument/2006/relationships/hyperlink" Target="https://sba-cards-2024.s3.us-east-1.amazonaws.com/2024-cards/garrett-cooper.png" TargetMode="External"/><Relationship Id="rId1098" Type="http://schemas.openxmlformats.org/officeDocument/2006/relationships/hyperlink" Target="https://sba-cards-2024.s3.us-east-1.amazonaws.com/2024-cards/zach-neto.png" TargetMode="External"/><Relationship Id="rId5" Type="http://schemas.openxmlformats.org/officeDocument/2006/relationships/hyperlink" Target="https://i.postimg.cc/HjDc8bBF/blackbears-transparent.png" TargetMode="External"/><Relationship Id="rId147" Type="http://schemas.openxmlformats.org/officeDocument/2006/relationships/hyperlink" Target="https://sba-cards-2024.s3.us-east-1.amazonaws.com/2024-cards/braxton-garrett.png" TargetMode="External"/><Relationship Id="rId389" Type="http://schemas.openxmlformats.org/officeDocument/2006/relationships/hyperlink" Target="https://sba-cards-2024.s3.us-east-1.amazonaws.com/2024-cards/gavin-sheets.png" TargetMode="External"/><Relationship Id="rId1099" Type="http://schemas.openxmlformats.org/officeDocument/2006/relationships/hyperlink" Target="https://sba-cards-2024.s3.us-east-1.amazonaws.com/2024-cards/zach-pop.png" TargetMode="External"/><Relationship Id="rId6" Type="http://schemas.openxmlformats.org/officeDocument/2006/relationships/hyperlink" Target="https://sba-cards-2024.s3.us-east-1.amazonaws.com/2024-cards/aaron-hicks.png" TargetMode="External"/><Relationship Id="rId146" Type="http://schemas.openxmlformats.org/officeDocument/2006/relationships/hyperlink" Target="https://sba-cards-2024.s3.us-east-1.amazonaws.com/2024-cards/brant-hurter.png" TargetMode="External"/><Relationship Id="rId388" Type="http://schemas.openxmlformats.org/officeDocument/2006/relationships/hyperlink" Target="https://sba-cards-2024.s3.us-east-1.amazonaws.com/2024-cards/gavin-lux.png" TargetMode="External"/><Relationship Id="rId7" Type="http://schemas.openxmlformats.org/officeDocument/2006/relationships/hyperlink" Target="https://i.postimg.cc/9MzQhtnv/DEN_Weather.png" TargetMode="External"/><Relationship Id="rId145" Type="http://schemas.openxmlformats.org/officeDocument/2006/relationships/hyperlink" Target="https://sba-cards-2024.s3.us-east-1.amazonaws.com/2024-cards/brandon-pfaadt.png" TargetMode="External"/><Relationship Id="rId387" Type="http://schemas.openxmlformats.org/officeDocument/2006/relationships/hyperlink" Target="https://sba-cards-2024.s3.us-east-1.amazonaws.com/2024-cards/gary-sanchez.png" TargetMode="External"/><Relationship Id="rId8" Type="http://schemas.openxmlformats.org/officeDocument/2006/relationships/hyperlink" Target="https://i.ibb.co/c6LkmsQ/newzephyr-final.png" TargetMode="External"/><Relationship Id="rId144" Type="http://schemas.openxmlformats.org/officeDocument/2006/relationships/hyperlink" Target="https://sba-cards-2024.s3.us-east-1.amazonaws.com/2024-cards/brandon-nimmo.png" TargetMode="External"/><Relationship Id="rId386" Type="http://schemas.openxmlformats.org/officeDocument/2006/relationships/hyperlink" Target="https://sba-cards-2024.s3.us-east-1.amazonaws.com/2024-cards/garrett-stubbs.png" TargetMode="External"/><Relationship Id="rId381" Type="http://schemas.openxmlformats.org/officeDocument/2006/relationships/hyperlink" Target="https://sba-cards-2024.s3.us-east-1.amazonaws.com/2024-cards/garrett-cleavinger.png" TargetMode="External"/><Relationship Id="rId380" Type="http://schemas.openxmlformats.org/officeDocument/2006/relationships/hyperlink" Target="https://sba-cards-2024.s3.us-east-1.amazonaws.com/2024-cards/gabriel-moreno.png" TargetMode="External"/><Relationship Id="rId139" Type="http://schemas.openxmlformats.org/officeDocument/2006/relationships/hyperlink" Target="https://sba-cards-2024.s3.us-east-1.amazonaws.com/2024-cards/brandon-bielak.png" TargetMode="External"/><Relationship Id="rId138" Type="http://schemas.openxmlformats.org/officeDocument/2006/relationships/hyperlink" Target="https://sba-cards-2024.s3.us-east-1.amazonaws.com/2024-cards/brady-singer.png" TargetMode="External"/><Relationship Id="rId137" Type="http://schemas.openxmlformats.org/officeDocument/2006/relationships/hyperlink" Target="https://sba-cards-2024.s3.us-east-1.amazonaws.com/2024-cards/bradley-blalock.png" TargetMode="External"/><Relationship Id="rId379" Type="http://schemas.openxmlformats.org/officeDocument/2006/relationships/hyperlink" Target="https://sba-cards-2024.s3.us-east-1.amazonaws.com/2024-cards/gabriel-arias.png" TargetMode="External"/><Relationship Id="rId1080" Type="http://schemas.openxmlformats.org/officeDocument/2006/relationships/hyperlink" Target="https://sba-cards-2024.s3.us-east-1.amazonaws.com/2024-cards/yasmani-grandal.png" TargetMode="External"/><Relationship Id="rId1081" Type="http://schemas.openxmlformats.org/officeDocument/2006/relationships/hyperlink" Target="https://sba-cards-2024.s3.us-east-1.amazonaws.com/2024-cards/yennier-cano.png" TargetMode="External"/><Relationship Id="rId1082" Type="http://schemas.openxmlformats.org/officeDocument/2006/relationships/hyperlink" Target="https://sba-cards-2024.s3.us-east-1.amazonaws.com/2024-cards/yerry-rodriguez.png" TargetMode="External"/><Relationship Id="rId1083" Type="http://schemas.openxmlformats.org/officeDocument/2006/relationships/hyperlink" Target="https://sba-cards-2024.s3.us-east-1.amazonaws.com/2024-cards/yimi-garcia.png" TargetMode="External"/><Relationship Id="rId132" Type="http://schemas.openxmlformats.org/officeDocument/2006/relationships/hyperlink" Target="https://sba-cards-2024.s3.us-east-1.amazonaws.com/2024-cards/bobby-miller.png" TargetMode="External"/><Relationship Id="rId374" Type="http://schemas.openxmlformats.org/officeDocument/2006/relationships/hyperlink" Target="https://sba-cards-2024.s3.us-east-1.amazonaws.com/2024-cards/fraser-ellard.png" TargetMode="External"/><Relationship Id="rId1084" Type="http://schemas.openxmlformats.org/officeDocument/2006/relationships/hyperlink" Target="https://sba-cards-2024.s3.us-east-1.amazonaws.com/2024-cards/yohan-ramirez.png" TargetMode="External"/><Relationship Id="rId131" Type="http://schemas.openxmlformats.org/officeDocument/2006/relationships/hyperlink" Target="https://sba-cards-2024.s3.us-east-1.amazonaws.com/2024-cards/bobby-dalbec.png" TargetMode="External"/><Relationship Id="rId373" Type="http://schemas.openxmlformats.org/officeDocument/2006/relationships/hyperlink" Target="https://sba-cards-2024.s3.us-east-1.amazonaws.com/2024-cards/frankie-montas.png" TargetMode="External"/><Relationship Id="rId1085" Type="http://schemas.openxmlformats.org/officeDocument/2006/relationships/hyperlink" Target="https://sba-cards-2024.s3.us-east-1.amazonaws.com/2024-cards/yonny-chirinos.png" TargetMode="External"/><Relationship Id="rId130" Type="http://schemas.openxmlformats.org/officeDocument/2006/relationships/hyperlink" Target="https://sba-cards-2024.s3.us-east-1.amazonaws.com/2024-cards/bo-naylor.png" TargetMode="External"/><Relationship Id="rId372" Type="http://schemas.openxmlformats.org/officeDocument/2006/relationships/hyperlink" Target="https://sba-cards-2024.s3.us-east-1.amazonaws.com/2024-cards/francisco-lindor.png" TargetMode="External"/><Relationship Id="rId1086" Type="http://schemas.openxmlformats.org/officeDocument/2006/relationships/hyperlink" Target="https://sba-cards-2024.s3.us-east-1.amazonaws.com/2024-cards/yordan-alvarez.png" TargetMode="External"/><Relationship Id="rId371" Type="http://schemas.openxmlformats.org/officeDocument/2006/relationships/hyperlink" Target="https://sba-cards-2024.s3.us-east-1.amazonaws.com/2024-cards/francisco-alvarez.png" TargetMode="External"/><Relationship Id="rId1087" Type="http://schemas.openxmlformats.org/officeDocument/2006/relationships/hyperlink" Target="https://sba-cards-2024.s3.us-east-1.amazonaws.com/2024-cards/yoshinobu-yamamoto.png" TargetMode="External"/><Relationship Id="rId136" Type="http://schemas.openxmlformats.org/officeDocument/2006/relationships/hyperlink" Target="https://sba-cards-2024.s3.us-east-1.amazonaws.com/2024-cards/braden-shewmake.png" TargetMode="External"/><Relationship Id="rId378" Type="http://schemas.openxmlformats.org/officeDocument/2006/relationships/hyperlink" Target="https://sba-cards-2024.s3.us-east-1.amazonaws.com/2024-cards/gabe-speier.png" TargetMode="External"/><Relationship Id="rId1088" Type="http://schemas.openxmlformats.org/officeDocument/2006/relationships/hyperlink" Target="https://sba-cards-2024.s3.us-east-1.amazonaws.com/2024-cards/yu-darvish.png" TargetMode="External"/><Relationship Id="rId135" Type="http://schemas.openxmlformats.org/officeDocument/2006/relationships/hyperlink" Target="https://sba-cards-2024.s3.us-east-1.amazonaws.com/2024-cards/brad-keller.png" TargetMode="External"/><Relationship Id="rId377" Type="http://schemas.openxmlformats.org/officeDocument/2006/relationships/hyperlink" Target="https://sba-cards-2024.s3.us-east-1.amazonaws.com/2024-cards/freddy-peralta.png" TargetMode="External"/><Relationship Id="rId1089" Type="http://schemas.openxmlformats.org/officeDocument/2006/relationships/hyperlink" Target="https://sba-cards-2024.s3.us-east-1.amazonaws.com/2024-cards/yuki-matsui.png" TargetMode="External"/><Relationship Id="rId134" Type="http://schemas.openxmlformats.org/officeDocument/2006/relationships/hyperlink" Target="https://sba-cards-2024.s3.us-east-1.amazonaws.com/2024-cards/bowden-francis.png" TargetMode="External"/><Relationship Id="rId376" Type="http://schemas.openxmlformats.org/officeDocument/2006/relationships/hyperlink" Target="https://sba-cards-2024.s3.us-east-1.amazonaws.com/2024-cards/freddy-fermin.png" TargetMode="External"/><Relationship Id="rId133" Type="http://schemas.openxmlformats.org/officeDocument/2006/relationships/hyperlink" Target="https://sba-cards-2024.s3.us-east-1.amazonaws.com/2024-cards/bobby-witt-jr.png" TargetMode="External"/><Relationship Id="rId375" Type="http://schemas.openxmlformats.org/officeDocument/2006/relationships/hyperlink" Target="https://sba-cards-2024.s3.us-east-1.amazonaws.com/2024-cards/freddie-freeman.png" TargetMode="External"/><Relationship Id="rId172" Type="http://schemas.openxmlformats.org/officeDocument/2006/relationships/hyperlink" Target="https://sba-cards-2024.s3.us-east-1.amazonaws.com/2024-cards/bryan-hudson.png" TargetMode="External"/><Relationship Id="rId171" Type="http://schemas.openxmlformats.org/officeDocument/2006/relationships/hyperlink" Target="https://sba-cards-2024.s3.us-east-1.amazonaws.com/2024-cards/bryan-hoeing.png" TargetMode="External"/><Relationship Id="rId170" Type="http://schemas.openxmlformats.org/officeDocument/2006/relationships/hyperlink" Target="https://sba-cards-2024.s3.us-east-1.amazonaws.com/2024-cards/bryan-de-la-cruz.png" TargetMode="External"/><Relationship Id="rId165" Type="http://schemas.openxmlformats.org/officeDocument/2006/relationships/hyperlink" Target="https://sba-cards-2024.s3.us-east-1.amazonaws.com/2024-cards/brock-burke.png" TargetMode="External"/><Relationship Id="rId164" Type="http://schemas.openxmlformats.org/officeDocument/2006/relationships/hyperlink" Target="https://sba-cards-2024.s3.us-east-1.amazonaws.com/2024-cards/brice-turang.png" TargetMode="External"/><Relationship Id="rId163" Type="http://schemas.openxmlformats.org/officeDocument/2006/relationships/hyperlink" Target="https://sba-cards-2024.s3.us-east-1.amazonaws.com/2024-cards/brian-serven.png" TargetMode="External"/><Relationship Id="rId162" Type="http://schemas.openxmlformats.org/officeDocument/2006/relationships/hyperlink" Target="https://sba-cards-2024.s3.us-east-1.amazonaws.com/2024-cards/brett-wisely.png" TargetMode="External"/><Relationship Id="rId169" Type="http://schemas.openxmlformats.org/officeDocument/2006/relationships/hyperlink" Target="https://sba-cards-2024.s3.us-east-1.amazonaws.com/2024-cards/bryan-baker.png" TargetMode="External"/><Relationship Id="rId168" Type="http://schemas.openxmlformats.org/officeDocument/2006/relationships/hyperlink" Target="https://sba-cards-2024.s3.us-east-1.amazonaws.com/2024-cards/bryan-abreu.png" TargetMode="External"/><Relationship Id="rId167" Type="http://schemas.openxmlformats.org/officeDocument/2006/relationships/hyperlink" Target="https://sba-cards-2024.s3.us-east-1.amazonaws.com/2024-cards/brooks-lee.png" TargetMode="External"/><Relationship Id="rId166" Type="http://schemas.openxmlformats.org/officeDocument/2006/relationships/hyperlink" Target="https://sba-cards-2024.s3.us-east-1.amazonaws.com/2024-cards/brooks-baldwin.png" TargetMode="External"/><Relationship Id="rId161" Type="http://schemas.openxmlformats.org/officeDocument/2006/relationships/hyperlink" Target="https://sba-cards-2024.s3.us-east-1.amazonaws.com/2024-cards/brett-harris.png" TargetMode="External"/><Relationship Id="rId160" Type="http://schemas.openxmlformats.org/officeDocument/2006/relationships/hyperlink" Target="https://sba-cards-2024.s3.us-east-1.amazonaws.com/2024-cards/brett-baty.png" TargetMode="External"/><Relationship Id="rId159" Type="http://schemas.openxmlformats.org/officeDocument/2006/relationships/hyperlink" Target="https://sba-cards-2024.s3.us-east-1.amazonaws.com/2024-cards/brenton-doyle.png" TargetMode="External"/><Relationship Id="rId154" Type="http://schemas.openxmlformats.org/officeDocument/2006/relationships/hyperlink" Target="https://sba-cards-2024.s3.us-east-1.amazonaws.com/2024-cards/brendon-little.png" TargetMode="External"/><Relationship Id="rId396" Type="http://schemas.openxmlformats.org/officeDocument/2006/relationships/hyperlink" Target="https://sba-cards-2024.s3.us-east-1.amazonaws.com/2024-cards/geraldo-perdomo.png" TargetMode="External"/><Relationship Id="rId153" Type="http://schemas.openxmlformats.org/officeDocument/2006/relationships/hyperlink" Target="https://sba-cards-2024.s3.us-east-1.amazonaws.com/2024-cards/brendan-rodgers.png" TargetMode="External"/><Relationship Id="rId395" Type="http://schemas.openxmlformats.org/officeDocument/2006/relationships/hyperlink" Target="https://sba-cards-2024.s3.us-east-1.amazonaws.com/2024-cards/george-springer.png" TargetMode="External"/><Relationship Id="rId152" Type="http://schemas.openxmlformats.org/officeDocument/2006/relationships/hyperlink" Target="https://i.postimg.cc/g0BH6DRT/Donovan-FC.png" TargetMode="External"/><Relationship Id="rId394" Type="http://schemas.openxmlformats.org/officeDocument/2006/relationships/hyperlink" Target="https://sba-cards-2024.s3.us-east-1.amazonaws.com/2024-cards/george-soriano.png" TargetMode="External"/><Relationship Id="rId151" Type="http://schemas.openxmlformats.org/officeDocument/2006/relationships/hyperlink" Target="https://sba-cards-2024.s3.us-east-1.amazonaws.com/2024-cards/brendan-donovan.png" TargetMode="External"/><Relationship Id="rId393" Type="http://schemas.openxmlformats.org/officeDocument/2006/relationships/hyperlink" Target="https://sba-cards-2024.s3.us-east-1.amazonaws.com/2024-cards/george-kirby.png" TargetMode="External"/><Relationship Id="rId158" Type="http://schemas.openxmlformats.org/officeDocument/2006/relationships/hyperlink" Target="https://sba-cards-2024.s3.us-east-1.amazonaws.com/2024-cards/brent-suter.png" TargetMode="External"/><Relationship Id="rId157" Type="http://schemas.openxmlformats.org/officeDocument/2006/relationships/hyperlink" Target="https://sba-cards-2024.s3.us-east-1.amazonaws.com/2024-cards/brent-rooker.png" TargetMode="External"/><Relationship Id="rId399" Type="http://schemas.openxmlformats.org/officeDocument/2006/relationships/hyperlink" Target="https://sba-cards-2024.s3.us-east-1.amazonaws.com/2024-cards/gio-urshela.png" TargetMode="External"/><Relationship Id="rId156" Type="http://schemas.openxmlformats.org/officeDocument/2006/relationships/hyperlink" Target="https://sba-cards-2024.s3.us-east-1.amazonaws.com/2024-cards/brent-honeywell.png" TargetMode="External"/><Relationship Id="rId398" Type="http://schemas.openxmlformats.org/officeDocument/2006/relationships/hyperlink" Target="https://sba-cards-2024.s3.us-east-1.amazonaws.com/2024-cards/giancarlo-stanton.png" TargetMode="External"/><Relationship Id="rId155" Type="http://schemas.openxmlformats.org/officeDocument/2006/relationships/hyperlink" Target="https://sba-cards-2024.s3.us-east-1.amazonaws.com/2024-cards/brennan-bernardino.png" TargetMode="External"/><Relationship Id="rId397" Type="http://schemas.openxmlformats.org/officeDocument/2006/relationships/hyperlink" Target="https://sba-cards-2024.s3.us-east-1.amazonaws.com/2024-cards/gerrit-cole.png" TargetMode="External"/><Relationship Id="rId808" Type="http://schemas.openxmlformats.org/officeDocument/2006/relationships/hyperlink" Target="https://sba-cards-2024.s3.us-east-1.amazonaws.com/2024-cards/nick-loftin.png" TargetMode="External"/><Relationship Id="rId807" Type="http://schemas.openxmlformats.org/officeDocument/2006/relationships/hyperlink" Target="https://sba-cards-2024.s3.us-east-1.amazonaws.com/2024-cards/nick-lodolo.png" TargetMode="External"/><Relationship Id="rId806" Type="http://schemas.openxmlformats.org/officeDocument/2006/relationships/hyperlink" Target="https://sba-cards-2024.s3.us-east-1.amazonaws.com/2024-cards/nick-gordon.png" TargetMode="External"/><Relationship Id="rId805" Type="http://schemas.openxmlformats.org/officeDocument/2006/relationships/hyperlink" Target="https://sba-cards-2024.s3.us-east-1.amazonaws.com/2024-cards/nick-gonzales.png" TargetMode="External"/><Relationship Id="rId809" Type="http://schemas.openxmlformats.org/officeDocument/2006/relationships/hyperlink" Target="https://sba-cards-2024.s3.us-east-1.amazonaws.com/2024-cards/nick-madrigal.png" TargetMode="External"/><Relationship Id="rId800" Type="http://schemas.openxmlformats.org/officeDocument/2006/relationships/hyperlink" Target="https://i.postimg.cc/BnBhtHm3/Castellanos-FC.png" TargetMode="External"/><Relationship Id="rId804" Type="http://schemas.openxmlformats.org/officeDocument/2006/relationships/hyperlink" Target="https://sba-cards-2024.s3.us-east-1.amazonaws.com/2024-cards/nick-fortes.png" TargetMode="External"/><Relationship Id="rId803" Type="http://schemas.openxmlformats.org/officeDocument/2006/relationships/hyperlink" Target="https://sba-cards-2024.s3.us-east-1.amazonaws.com/2024-cards/nick-anderson.png" TargetMode="External"/><Relationship Id="rId802" Type="http://schemas.openxmlformats.org/officeDocument/2006/relationships/hyperlink" Target="https://sba-cards-2024.s3.us-east-1.amazonaws.com/2024-cards/nick-allen.png" TargetMode="External"/><Relationship Id="rId801" Type="http://schemas.openxmlformats.org/officeDocument/2006/relationships/hyperlink" Target="https://sba-cards-2024.s3.us-east-1.amazonaws.com/2024-cards/nick-ahmed.png" TargetMode="External"/><Relationship Id="rId40" Type="http://schemas.openxmlformats.org/officeDocument/2006/relationships/hyperlink" Target="https://sba-cards-2024.s3.us-east-1.amazonaws.com/2024-cards/addison-barger.png" TargetMode="External"/><Relationship Id="rId42" Type="http://schemas.openxmlformats.org/officeDocument/2006/relationships/hyperlink" Target="https://i.postimg.cc/mDPB77Pb/wizards-full.png" TargetMode="External"/><Relationship Id="rId41" Type="http://schemas.openxmlformats.org/officeDocument/2006/relationships/hyperlink" Target="https://i.postimg.cc/mDhgsNnR/NSH_Weather.png" TargetMode="External"/><Relationship Id="rId44" Type="http://schemas.openxmlformats.org/officeDocument/2006/relationships/hyperlink" Target="https://i.postimg.cc/XvsYmDQk/CHC_Weather.png" TargetMode="External"/><Relationship Id="rId43" Type="http://schemas.openxmlformats.org/officeDocument/2006/relationships/hyperlink" Target="https://sba-cards-2024.s3.us-east-1.amazonaws.com/2024-cards/adley-rutschman.png" TargetMode="External"/><Relationship Id="rId46" Type="http://schemas.openxmlformats.org/officeDocument/2006/relationships/hyperlink" Target="https://sba-cards-2024.s3.us-east-1.amazonaws.com/2024-cards/adolis-garcia.png" TargetMode="External"/><Relationship Id="rId45" Type="http://schemas.openxmlformats.org/officeDocument/2006/relationships/hyperlink" Target="https://i.postimg.cc/L8044JJC/chc.png" TargetMode="External"/><Relationship Id="rId509" Type="http://schemas.openxmlformats.org/officeDocument/2006/relationships/hyperlink" Target="https://sba-cards-2024.s3.us-east-1.amazonaws.com/2024-cards/jesse-chavez.png" TargetMode="External"/><Relationship Id="rId508" Type="http://schemas.openxmlformats.org/officeDocument/2006/relationships/hyperlink" Target="https://sba-cards-2024.s3.us-east-1.amazonaws.com/2024-cards/jeremy-pena.png" TargetMode="External"/><Relationship Id="rId503" Type="http://schemas.openxmlformats.org/officeDocument/2006/relationships/hyperlink" Target="https://sba-cards-2024.s3.us-east-1.amazonaws.com/2024-cards/jeff-mcneil.png" TargetMode="External"/><Relationship Id="rId745" Type="http://schemas.openxmlformats.org/officeDocument/2006/relationships/hyperlink" Target="https://sba-cards-2024.s3.us-east-1.amazonaws.com/2024-cards/mauricio-dubon.png" TargetMode="External"/><Relationship Id="rId987" Type="http://schemas.openxmlformats.org/officeDocument/2006/relationships/hyperlink" Target="https://sba-cards-2024.s3.us-east-1.amazonaws.com/2024-cards/thairo-estrada.png" TargetMode="External"/><Relationship Id="rId502" Type="http://schemas.openxmlformats.org/officeDocument/2006/relationships/hyperlink" Target="https://sba-cards-2024.s3.us-east-1.amazonaws.com/2024-cards/jeff-hoffman.png" TargetMode="External"/><Relationship Id="rId744" Type="http://schemas.openxmlformats.org/officeDocument/2006/relationships/hyperlink" Target="https://sba-cards-2024.s3.us-east-1.amazonaws.com/2024-cards/matthew-liberatore.png" TargetMode="External"/><Relationship Id="rId986" Type="http://schemas.openxmlformats.org/officeDocument/2006/relationships/hyperlink" Target="https://sba-cards-2024.s3.us-east-1.amazonaws.com/2024-cards/teoscar-hernandez.png" TargetMode="External"/><Relationship Id="rId501" Type="http://schemas.openxmlformats.org/officeDocument/2006/relationships/hyperlink" Target="https://sba-cards-2024.s3.us-east-1.amazonaws.com/2024-cards/jeff-criswell.png" TargetMode="External"/><Relationship Id="rId743" Type="http://schemas.openxmlformats.org/officeDocument/2006/relationships/hyperlink" Target="https://sba-cards-2024.s3.us-east-1.amazonaws.com/2024-cards/matt-wallner.png" TargetMode="External"/><Relationship Id="rId985" Type="http://schemas.openxmlformats.org/officeDocument/2006/relationships/hyperlink" Target="https://sba-cards-2024.s3.us-east-1.amazonaws.com/2024-cards/taylor-ward.png" TargetMode="External"/><Relationship Id="rId500" Type="http://schemas.openxmlformats.org/officeDocument/2006/relationships/hyperlink" Target="https://sba-cards-2024.s3.us-east-1.amazonaws.com/2024-cards/jd-martinez.png" TargetMode="External"/><Relationship Id="rId742" Type="http://schemas.openxmlformats.org/officeDocument/2006/relationships/hyperlink" Target="https://sba-cards-2024.s3.us-east-1.amazonaws.com/2024-cards/matt-waldron.png" TargetMode="External"/><Relationship Id="rId984" Type="http://schemas.openxmlformats.org/officeDocument/2006/relationships/hyperlink" Target="https://sba-cards-2024.s3.us-east-1.amazonaws.com/2024-cards/taylor-walls.png" TargetMode="External"/><Relationship Id="rId507" Type="http://schemas.openxmlformats.org/officeDocument/2006/relationships/hyperlink" Target="https://sba-cards-2024.s3.us-east-1.amazonaws.com/2024-cards/jeremiah-estrada.png" TargetMode="External"/><Relationship Id="rId749" Type="http://schemas.openxmlformats.org/officeDocument/2006/relationships/hyperlink" Target="https://sba-cards-2024.s3.us-east-1.amazonaws.com/2024-cards/max-muncy.png" TargetMode="External"/><Relationship Id="rId506" Type="http://schemas.openxmlformats.org/officeDocument/2006/relationships/hyperlink" Target="https://sba-cards-2024.s3.us-east-1.amazonaws.com/2024-cards/jerar-encarnacion.png" TargetMode="External"/><Relationship Id="rId748" Type="http://schemas.openxmlformats.org/officeDocument/2006/relationships/hyperlink" Target="https://sba-cards-2024.s3.us-east-1.amazonaws.com/2024-cards/max-meyer.png" TargetMode="External"/><Relationship Id="rId505" Type="http://schemas.openxmlformats.org/officeDocument/2006/relationships/hyperlink" Target="https://sba-cards-2024.s3.us-east-1.amazonaws.com/2024-cards/jeimer-candelario.png" TargetMode="External"/><Relationship Id="rId747" Type="http://schemas.openxmlformats.org/officeDocument/2006/relationships/hyperlink" Target="https://sba-cards-2024.s3.us-east-1.amazonaws.com/2024-cards/max-kepler.png" TargetMode="External"/><Relationship Id="rId989" Type="http://schemas.openxmlformats.org/officeDocument/2006/relationships/hyperlink" Target="https://sba-cards-2024.s3.us-east-1.amazonaws.com/2024-cards/tim-anderson.png" TargetMode="External"/><Relationship Id="rId504" Type="http://schemas.openxmlformats.org/officeDocument/2006/relationships/hyperlink" Target="https://sba-cards-2024.s3.us-east-1.amazonaws.com/2024-cards/jeffrey-springs.png" TargetMode="External"/><Relationship Id="rId746" Type="http://schemas.openxmlformats.org/officeDocument/2006/relationships/hyperlink" Target="https://sba-cards-2024.s3.us-east-1.amazonaws.com/2024-cards/max-fried.png" TargetMode="External"/><Relationship Id="rId988" Type="http://schemas.openxmlformats.org/officeDocument/2006/relationships/hyperlink" Target="https://sba-cards-2024.s3.us-east-1.amazonaws.com/2024-cards/thyago-vieira.png" TargetMode="External"/><Relationship Id="rId48" Type="http://schemas.openxmlformats.org/officeDocument/2006/relationships/hyperlink" Target="https://i.postimg.cc/cJgxvdYs/D72-C13-F4-DEDC-4184-A903-0-B962085-BE91-removebg-preview.png" TargetMode="External"/><Relationship Id="rId47" Type="http://schemas.openxmlformats.org/officeDocument/2006/relationships/hyperlink" Target="https://i.postimg.cc/cH6LSMb2/CYP_Weather.png" TargetMode="External"/><Relationship Id="rId49" Type="http://schemas.openxmlformats.org/officeDocument/2006/relationships/hyperlink" Target="https://sba-cards-2024.s3.us-east-1.amazonaws.com/2024-cards/adrian-del-castillo.png" TargetMode="External"/><Relationship Id="rId741" Type="http://schemas.openxmlformats.org/officeDocument/2006/relationships/hyperlink" Target="https://sba-cards-2024.s3.us-east-1.amazonaws.com/2024-cards/matt-vierling.png" TargetMode="External"/><Relationship Id="rId983" Type="http://schemas.openxmlformats.org/officeDocument/2006/relationships/hyperlink" Target="https://sba-cards-2024.s3.us-east-1.amazonaws.com/2024-cards/taylor-rogers.png" TargetMode="External"/><Relationship Id="rId740" Type="http://schemas.openxmlformats.org/officeDocument/2006/relationships/hyperlink" Target="https://sba-cards-2024.s3.us-east-1.amazonaws.com/2024-cards/matt-thaiss.png" TargetMode="External"/><Relationship Id="rId982" Type="http://schemas.openxmlformats.org/officeDocument/2006/relationships/hyperlink" Target="https://sba-cards-2024.s3.us-east-1.amazonaws.com/2024-cards/tayler-scott.png" TargetMode="External"/><Relationship Id="rId981" Type="http://schemas.openxmlformats.org/officeDocument/2006/relationships/hyperlink" Target="https://i.postimg.cc/15pBYDh6/Saucedo-FC.png" TargetMode="External"/><Relationship Id="rId980" Type="http://schemas.openxmlformats.org/officeDocument/2006/relationships/hyperlink" Target="https://sba-cards-2024.s3.us-east-1.amazonaws.com/2024-cards/tayler-saucedo.png" TargetMode="External"/><Relationship Id="rId31" Type="http://schemas.openxmlformats.org/officeDocument/2006/relationships/hyperlink" Target="https://sba-cards-2024.s3.us-east-1.amazonaws.com/2024-cards/adam-mazur.png" TargetMode="External"/><Relationship Id="rId30" Type="http://schemas.openxmlformats.org/officeDocument/2006/relationships/hyperlink" Target="https://i.postimg.cc/zGMmjtSZ/bigsky.png" TargetMode="External"/><Relationship Id="rId33" Type="http://schemas.openxmlformats.org/officeDocument/2006/relationships/hyperlink" Target="https://i.postimg.cc/XYykZKTH/1-1.png" TargetMode="External"/><Relationship Id="rId32" Type="http://schemas.openxmlformats.org/officeDocument/2006/relationships/hyperlink" Target="https://i.postimg.cc/ZR05SFMP/WAI_Weather.png" TargetMode="External"/><Relationship Id="rId35" Type="http://schemas.openxmlformats.org/officeDocument/2006/relationships/hyperlink" Target="https://i.postimg.cc/0Qrysd4P/CAN_Weather.png" TargetMode="External"/><Relationship Id="rId34" Type="http://schemas.openxmlformats.org/officeDocument/2006/relationships/hyperlink" Target="https://sba-cards-2024.s3.us-east-1.amazonaws.com/2024-cards/adam-oller.png" TargetMode="External"/><Relationship Id="rId739" Type="http://schemas.openxmlformats.org/officeDocument/2006/relationships/hyperlink" Target="https://sba-cards-2024.s3.us-east-1.amazonaws.com/2024-cards/matt-strahm.png" TargetMode="External"/><Relationship Id="rId734" Type="http://schemas.openxmlformats.org/officeDocument/2006/relationships/hyperlink" Target="https://sba-cards-2024.s3.us-east-1.amazonaws.com/2024-cards/matt-carpenter.png" TargetMode="External"/><Relationship Id="rId976" Type="http://schemas.openxmlformats.org/officeDocument/2006/relationships/hyperlink" Target="https://sba-cards-2024.s3.us-east-1.amazonaws.com/2024-cards/tanner-rainey.png" TargetMode="External"/><Relationship Id="rId733" Type="http://schemas.openxmlformats.org/officeDocument/2006/relationships/hyperlink" Target="https://sba-cards-2024.s3.us-east-1.amazonaws.com/2024-cards/matt-boyd.png" TargetMode="External"/><Relationship Id="rId975" Type="http://schemas.openxmlformats.org/officeDocument/2006/relationships/hyperlink" Target="https://i.postimg.cc/ydmWz6VF/Houck-FC-S12.png" TargetMode="External"/><Relationship Id="rId732" Type="http://schemas.openxmlformats.org/officeDocument/2006/relationships/hyperlink" Target="https://sba-cards-2024.s3.us-east-1.amazonaws.com/2024-cards/matt-bowman.png" TargetMode="External"/><Relationship Id="rId974" Type="http://schemas.openxmlformats.org/officeDocument/2006/relationships/hyperlink" Target="https://sba-cards-2024.s3.us-east-1.amazonaws.com/2024-cards/tanner-houck.png" TargetMode="External"/><Relationship Id="rId731" Type="http://schemas.openxmlformats.org/officeDocument/2006/relationships/hyperlink" Target="https://sba-cards-2024.s3.us-east-1.amazonaws.com/2024-cards/masyn-winn.png" TargetMode="External"/><Relationship Id="rId973" Type="http://schemas.openxmlformats.org/officeDocument/2006/relationships/hyperlink" Target="https://sba-cards-2024.s3.us-east-1.amazonaws.com/2024-cards/tanner-gordon.png" TargetMode="External"/><Relationship Id="rId738" Type="http://schemas.openxmlformats.org/officeDocument/2006/relationships/hyperlink" Target="https://sba-cards-2024.s3.us-east-1.amazonaws.com/2024-cards/matt-olson.png" TargetMode="External"/><Relationship Id="rId737" Type="http://schemas.openxmlformats.org/officeDocument/2006/relationships/hyperlink" Target="https://sba-cards-2024.s3.us-east-1.amazonaws.com/2024-cards/matt-moore.png" TargetMode="External"/><Relationship Id="rId979" Type="http://schemas.openxmlformats.org/officeDocument/2006/relationships/hyperlink" Target="https://sba-cards-2024.s3.us-east-1.amazonaws.com/2024-cards/tarik-skubal.png" TargetMode="External"/><Relationship Id="rId736" Type="http://schemas.openxmlformats.org/officeDocument/2006/relationships/hyperlink" Target="https://sba-cards-2024.s3.us-east-1.amazonaws.com/2024-cards/matt-festa.png" TargetMode="External"/><Relationship Id="rId978" Type="http://schemas.openxmlformats.org/officeDocument/2006/relationships/hyperlink" Target="https://i.postimg.cc/bvG24jDm/Scott-FC.png" TargetMode="External"/><Relationship Id="rId735" Type="http://schemas.openxmlformats.org/officeDocument/2006/relationships/hyperlink" Target="https://sba-cards-2024.s3.us-east-1.amazonaws.com/2024-cards/matt-chapman.png" TargetMode="External"/><Relationship Id="rId977" Type="http://schemas.openxmlformats.org/officeDocument/2006/relationships/hyperlink" Target="https://sba-cards-2024.s3.us-east-1.amazonaws.com/2024-cards/tanner-scott.png" TargetMode="External"/><Relationship Id="rId37" Type="http://schemas.openxmlformats.org/officeDocument/2006/relationships/hyperlink" Target="https://sba-cards-2024.s3.us-east-1.amazonaws.com/2024-cards/adam-ottavino.png" TargetMode="External"/><Relationship Id="rId36" Type="http://schemas.openxmlformats.org/officeDocument/2006/relationships/hyperlink" Target="https://i.postimg.cc/C1bS8JTZ/Cav-Logo.png" TargetMode="External"/><Relationship Id="rId39" Type="http://schemas.openxmlformats.org/officeDocument/2006/relationships/hyperlink" Target="https://i.postimg.cc/MHWBNwzH/MDW-Primary-Logo.png" TargetMode="External"/><Relationship Id="rId38" Type="http://schemas.openxmlformats.org/officeDocument/2006/relationships/hyperlink" Target="https://i.postimg.cc/QtVd3kyY/MDW_Weather.png" TargetMode="External"/><Relationship Id="rId730" Type="http://schemas.openxmlformats.org/officeDocument/2006/relationships/hyperlink" Target="https://sba-cards-2024.s3.us-east-1.amazonaws.com/2024-cards/mason-miller.png" TargetMode="External"/><Relationship Id="rId972" Type="http://schemas.openxmlformats.org/officeDocument/2006/relationships/hyperlink" Target="https://sba-cards-2024.s3.us-east-1.amazonaws.com/2024-cards/tanner-bibee.png" TargetMode="External"/><Relationship Id="rId971" Type="http://schemas.openxmlformats.org/officeDocument/2006/relationships/hyperlink" Target="https://sba-cards-2024.s3.us-east-1.amazonaws.com/2024-cards/tanner-banks.png" TargetMode="External"/><Relationship Id="rId970" Type="http://schemas.openxmlformats.org/officeDocument/2006/relationships/hyperlink" Target="https://sba-cards-2024.s3.us-east-1.amazonaws.com/2024-cards/taj-bradley.png" TargetMode="External"/><Relationship Id="rId20" Type="http://schemas.openxmlformats.org/officeDocument/2006/relationships/hyperlink" Target="https://i.postimg.cc/pLdV3ZQW/gme.webp" TargetMode="External"/><Relationship Id="rId22" Type="http://schemas.openxmlformats.org/officeDocument/2006/relationships/hyperlink" Target="https://i.postimg.cc/mrZm9knC/Cimber-FC.png" TargetMode="External"/><Relationship Id="rId21" Type="http://schemas.openxmlformats.org/officeDocument/2006/relationships/hyperlink" Target="https://sba-cards-2024.s3.us-east-1.amazonaws.com/2024-cards/adam-cimber.png" TargetMode="External"/><Relationship Id="rId24" Type="http://schemas.openxmlformats.org/officeDocument/2006/relationships/hyperlink" Target="https://i.imgur.com/6t7Mvml.png" TargetMode="External"/><Relationship Id="rId23" Type="http://schemas.openxmlformats.org/officeDocument/2006/relationships/hyperlink" Target="https://i.postimg.cc/QtVd3kyc/MKE_Weather.png" TargetMode="External"/><Relationship Id="rId525" Type="http://schemas.openxmlformats.org/officeDocument/2006/relationships/hyperlink" Target="https://sba-cards-2024.s3.us-east-1.amazonaws.com/2024-cards/joe-kelly.png" TargetMode="External"/><Relationship Id="rId767" Type="http://schemas.openxmlformats.org/officeDocument/2006/relationships/hyperlink" Target="https://sba-cards-2024.s3.us-east-1.amazonaws.com/2024-cards/michael-toglia.png" TargetMode="External"/><Relationship Id="rId524" Type="http://schemas.openxmlformats.org/officeDocument/2006/relationships/hyperlink" Target="https://sba-cards-2024.s3.us-east-1.amazonaws.com/2024-cards/joe-jimenez.png" TargetMode="External"/><Relationship Id="rId766" Type="http://schemas.openxmlformats.org/officeDocument/2006/relationships/hyperlink" Target="https://sba-cards-2024.s3.us-east-1.amazonaws.com/2024-cards/michael-stefanic.png" TargetMode="External"/><Relationship Id="rId523" Type="http://schemas.openxmlformats.org/officeDocument/2006/relationships/hyperlink" Target="https://sba-cards-2024.s3.us-east-1.amazonaws.com/2024-cards/joe-boyle.png" TargetMode="External"/><Relationship Id="rId765" Type="http://schemas.openxmlformats.org/officeDocument/2006/relationships/hyperlink" Target="https://sba-cards-2024.s3.us-east-1.amazonaws.com/2024-cards/michael-soroka.png" TargetMode="External"/><Relationship Id="rId522" Type="http://schemas.openxmlformats.org/officeDocument/2006/relationships/hyperlink" Target="https://sba-cards-2024.s3.us-east-1.amazonaws.com/2024-cards/joc-pederson.png" TargetMode="External"/><Relationship Id="rId764" Type="http://schemas.openxmlformats.org/officeDocument/2006/relationships/hyperlink" Target="https://sba-cards-2024.s3.us-east-1.amazonaws.com/2024-cards/michael-siani.png" TargetMode="External"/><Relationship Id="rId529" Type="http://schemas.openxmlformats.org/officeDocument/2006/relationships/hyperlink" Target="https://sba-cards-2024.s3.us-east-1.amazonaws.com/2024-cards/joe-ryan.png" TargetMode="External"/><Relationship Id="rId528" Type="http://schemas.openxmlformats.org/officeDocument/2006/relationships/hyperlink" Target="https://sba-cards-2024.s3.us-east-1.amazonaws.com/2024-cards/joe-ross.png" TargetMode="External"/><Relationship Id="rId527" Type="http://schemas.openxmlformats.org/officeDocument/2006/relationships/hyperlink" Target="https://sba-cards-2024.s3.us-east-1.amazonaws.com/2024-cards/joe-musgrove.png" TargetMode="External"/><Relationship Id="rId769" Type="http://schemas.openxmlformats.org/officeDocument/2006/relationships/hyperlink" Target="https://sba-cards-2024.s3.us-east-1.amazonaws.com/2024-cards/michael-wacha.png" TargetMode="External"/><Relationship Id="rId526" Type="http://schemas.openxmlformats.org/officeDocument/2006/relationships/hyperlink" Target="https://sba-cards-2024.s3.us-east-1.amazonaws.com/2024-cards/joe-mantiply.png" TargetMode="External"/><Relationship Id="rId768" Type="http://schemas.openxmlformats.org/officeDocument/2006/relationships/hyperlink" Target="https://sba-cards-2024.s3.us-east-1.amazonaws.com/2024-cards/michael-tonkin.png" TargetMode="External"/><Relationship Id="rId26" Type="http://schemas.openxmlformats.org/officeDocument/2006/relationships/hyperlink" Target="https://i.postimg.cc/XJXYbczh/POR_Weather.png" TargetMode="External"/><Relationship Id="rId25" Type="http://schemas.openxmlformats.org/officeDocument/2006/relationships/hyperlink" Target="https://sba-cards-2024.s3.us-east-1.amazonaws.com/2024-cards/adam-duvall.png" TargetMode="External"/><Relationship Id="rId28" Type="http://schemas.openxmlformats.org/officeDocument/2006/relationships/hyperlink" Target="https://sba-cards-2024.s3.us-east-1.amazonaws.com/2024-cards/adam-frazier.png" TargetMode="External"/><Relationship Id="rId27" Type="http://schemas.openxmlformats.org/officeDocument/2006/relationships/hyperlink" Target="https://i.postimg.cc/Bn7L5YmL/loggers.png" TargetMode="External"/><Relationship Id="rId521" Type="http://schemas.openxmlformats.org/officeDocument/2006/relationships/hyperlink" Target="https://sba-cards-2024.s3.us-east-1.amazonaws.com/2024-cards/jo-adell.png" TargetMode="External"/><Relationship Id="rId763" Type="http://schemas.openxmlformats.org/officeDocument/2006/relationships/hyperlink" Target="https://sba-cards-2024.s3.us-east-1.amazonaws.com/2024-cards/michael-petersen.png" TargetMode="External"/><Relationship Id="rId29" Type="http://schemas.openxmlformats.org/officeDocument/2006/relationships/hyperlink" Target="https://i.postimg.cc/bJMNND74/BSG_Weather.gif" TargetMode="External"/><Relationship Id="rId520" Type="http://schemas.openxmlformats.org/officeDocument/2006/relationships/hyperlink" Target="https://sba-cards-2024.s3.us-east-1.amazonaws.com/2024-cards/jj-bleday.png" TargetMode="External"/><Relationship Id="rId762" Type="http://schemas.openxmlformats.org/officeDocument/2006/relationships/hyperlink" Target="https://sba-cards-2024.s3.us-east-1.amazonaws.com/2024-cards/michael-massey.png" TargetMode="External"/><Relationship Id="rId761" Type="http://schemas.openxmlformats.org/officeDocument/2006/relationships/hyperlink" Target="https://sba-cards-2024.s3.us-east-1.amazonaws.com/2024-cards/michael-lorenzen.png" TargetMode="External"/><Relationship Id="rId760" Type="http://schemas.openxmlformats.org/officeDocument/2006/relationships/hyperlink" Target="https://sba-cards-2024.s3.us-east-1.amazonaws.com/2024-cards/michael-kopech.png" TargetMode="External"/><Relationship Id="rId1103" Type="http://schemas.openxmlformats.org/officeDocument/2006/relationships/hyperlink" Target="https://sba-cards-2024.s3.us-east-1.amazonaws.com/2024-cards/zack-short.png" TargetMode="External"/><Relationship Id="rId1104" Type="http://schemas.openxmlformats.org/officeDocument/2006/relationships/hyperlink" Target="https://sba-cards-2024.s3.us-east-1.amazonaws.com/2024-cards/zack-wheeler.png" TargetMode="External"/><Relationship Id="rId1105" Type="http://schemas.openxmlformats.org/officeDocument/2006/relationships/hyperlink" Target="https://sba-cards-2024.s3.us-east-1.amazonaws.com/2024-cards/zebby-matthews.png" TargetMode="External"/><Relationship Id="rId1106" Type="http://schemas.openxmlformats.org/officeDocument/2006/relationships/drawing" Target="../drawings/drawing5.xml"/><Relationship Id="rId11" Type="http://schemas.openxmlformats.org/officeDocument/2006/relationships/hyperlink" Target="https://files.catbox.moe/gcfpdg.png" TargetMode="External"/><Relationship Id="rId10" Type="http://schemas.openxmlformats.org/officeDocument/2006/relationships/hyperlink" Target="https://i.postimg.cc/tT74jtcH/THE_Weather.png" TargetMode="External"/><Relationship Id="rId13" Type="http://schemas.openxmlformats.org/officeDocument/2006/relationships/hyperlink" Target="https://i.postimg.cc/ydW8HXGH/MYT_Weather.png" TargetMode="External"/><Relationship Id="rId12" Type="http://schemas.openxmlformats.org/officeDocument/2006/relationships/hyperlink" Target="https://sba-cards-2024.s3.us-east-1.amazonaws.com/2024-cards/aaron-nola.png" TargetMode="External"/><Relationship Id="rId519" Type="http://schemas.openxmlformats.org/officeDocument/2006/relationships/hyperlink" Target="https://sba-cards-2024.s3.us-east-1.amazonaws.com/2024-cards/ji-hwan-bae.png" TargetMode="External"/><Relationship Id="rId514" Type="http://schemas.openxmlformats.org/officeDocument/2006/relationships/hyperlink" Target="https://sba-cards-2024.s3.us-east-1.amazonaws.com/2024-cards/jesus-tinoco.png" TargetMode="External"/><Relationship Id="rId756" Type="http://schemas.openxmlformats.org/officeDocument/2006/relationships/hyperlink" Target="https://sba-cards-2024.s3.us-east-1.amazonaws.com/2024-cards/michael-grove.png" TargetMode="External"/><Relationship Id="rId998" Type="http://schemas.openxmlformats.org/officeDocument/2006/relationships/hyperlink" Target="https://sba-cards-2024.s3.us-east-1.amazonaws.com/2024-cards/tommy-henry.png" TargetMode="External"/><Relationship Id="rId513" Type="http://schemas.openxmlformats.org/officeDocument/2006/relationships/hyperlink" Target="https://sba-cards-2024.s3.us-east-1.amazonaws.com/2024-cards/jesus-sanchez.png" TargetMode="External"/><Relationship Id="rId755" Type="http://schemas.openxmlformats.org/officeDocument/2006/relationships/hyperlink" Target="https://sba-cards-2024.s3.us-east-1.amazonaws.com/2024-cards/michael-conforto.png" TargetMode="External"/><Relationship Id="rId997" Type="http://schemas.openxmlformats.org/officeDocument/2006/relationships/hyperlink" Target="https://sba-cards-2024.s3.us-east-1.amazonaws.com/2024-cards/tommy-edman.png" TargetMode="External"/><Relationship Id="rId512" Type="http://schemas.openxmlformats.org/officeDocument/2006/relationships/hyperlink" Target="https://sba-cards-2024.s3.us-east-1.amazonaws.com/2024-cards/jesus-luzardo.png" TargetMode="External"/><Relationship Id="rId754" Type="http://schemas.openxmlformats.org/officeDocument/2006/relationships/hyperlink" Target="https://sba-cards-2024.s3.us-east-1.amazonaws.com/2024-cards/michael-busch.png" TargetMode="External"/><Relationship Id="rId996" Type="http://schemas.openxmlformats.org/officeDocument/2006/relationships/hyperlink" Target="https://sba-cards-2024.s3.us-east-1.amazonaws.com/2024-cards/tomas-nido.png" TargetMode="External"/><Relationship Id="rId511" Type="http://schemas.openxmlformats.org/officeDocument/2006/relationships/hyperlink" Target="https://i.postimg.cc/9XyyWVxk/Winker-FC.png" TargetMode="External"/><Relationship Id="rId753" Type="http://schemas.openxmlformats.org/officeDocument/2006/relationships/hyperlink" Target="https://sba-cards-2024.s3.us-east-1.amazonaws.com/2024-cards/michael-a-taylor.png" TargetMode="External"/><Relationship Id="rId995" Type="http://schemas.openxmlformats.org/officeDocument/2006/relationships/hyperlink" Target="https://sba-cards-2024.s3.us-east-1.amazonaws.com/2024-cards/tobias-myers.png" TargetMode="External"/><Relationship Id="rId518" Type="http://schemas.openxmlformats.org/officeDocument/2006/relationships/hyperlink" Target="https://sba-cards-2024.s3.us-east-1.amazonaws.com/2024-cards/jhony-brito.png" TargetMode="External"/><Relationship Id="rId517" Type="http://schemas.openxmlformats.org/officeDocument/2006/relationships/hyperlink" Target="https://sba-cards-2024.s3.us-east-1.amazonaws.com/2024-cards/jhonkensy-noel.png" TargetMode="External"/><Relationship Id="rId759" Type="http://schemas.openxmlformats.org/officeDocument/2006/relationships/hyperlink" Target="https://sba-cards-2024.s3.us-east-1.amazonaws.com/2024-cards/michael-king.png" TargetMode="External"/><Relationship Id="rId516" Type="http://schemas.openxmlformats.org/officeDocument/2006/relationships/hyperlink" Target="https://sba-cards-2024.s3.us-east-1.amazonaws.com/2024-cards/jhoan-duran.png" TargetMode="External"/><Relationship Id="rId758" Type="http://schemas.openxmlformats.org/officeDocument/2006/relationships/hyperlink" Target="https://sba-cards-2024.s3.us-east-1.amazonaws.com/2024-cards/michael-kelly.png" TargetMode="External"/><Relationship Id="rId515" Type="http://schemas.openxmlformats.org/officeDocument/2006/relationships/hyperlink" Target="https://i.postimg.cc/jjnNtMVB/rpoty.png" TargetMode="External"/><Relationship Id="rId757" Type="http://schemas.openxmlformats.org/officeDocument/2006/relationships/hyperlink" Target="https://sba-cards-2024.s3.us-east-1.amazonaws.com/2024-cards/michael-harris.png" TargetMode="External"/><Relationship Id="rId999" Type="http://schemas.openxmlformats.org/officeDocument/2006/relationships/hyperlink" Target="https://sba-cards-2024.s3.us-east-1.amazonaws.com/2024-cards/tommy-kahnle.png" TargetMode="External"/><Relationship Id="rId15" Type="http://schemas.openxmlformats.org/officeDocument/2006/relationships/hyperlink" Target="https://sba-cards-2024.s3.us-east-1.amazonaws.com/2024-cards/aaron-schunk.png" TargetMode="External"/><Relationship Id="rId990" Type="http://schemas.openxmlformats.org/officeDocument/2006/relationships/hyperlink" Target="https://sba-cards-2024.s3.us-east-1.amazonaws.com/2024-cards/tim-herrin.png" TargetMode="External"/><Relationship Id="rId14" Type="http://schemas.openxmlformats.org/officeDocument/2006/relationships/hyperlink" Target="https://i.imgur.com/CNyhpR6.png" TargetMode="External"/><Relationship Id="rId17" Type="http://schemas.openxmlformats.org/officeDocument/2006/relationships/hyperlink" Target="https://i.postimg.cc/tTc8Q7mj/image-16.png" TargetMode="External"/><Relationship Id="rId16" Type="http://schemas.openxmlformats.org/officeDocument/2006/relationships/hyperlink" Target="https://i.postimg.cc/3RWxTCcX/DAL_Weather.png" TargetMode="External"/><Relationship Id="rId19" Type="http://schemas.openxmlformats.org/officeDocument/2006/relationships/hyperlink" Target="https://i.postimg.cc/3RWxTCcz/GME_Weather.png" TargetMode="External"/><Relationship Id="rId510" Type="http://schemas.openxmlformats.org/officeDocument/2006/relationships/hyperlink" Target="https://sba-cards-2024.s3.us-east-1.amazonaws.com/2024-cards/jesse-winker.png" TargetMode="External"/><Relationship Id="rId752" Type="http://schemas.openxmlformats.org/officeDocument/2006/relationships/hyperlink" Target="https://sba-cards-2024.s3.us-east-1.amazonaws.com/2024-cards/merrill-kelly.png" TargetMode="External"/><Relationship Id="rId994" Type="http://schemas.openxmlformats.org/officeDocument/2006/relationships/hyperlink" Target="https://sba-cards-2024.s3.us-east-1.amazonaws.com/2024-cards/tj-mcfarland.png" TargetMode="External"/><Relationship Id="rId18" Type="http://schemas.openxmlformats.org/officeDocument/2006/relationships/hyperlink" Target="https://sba-cards-2024.s3.us-east-1.amazonaws.com/2024-cards/abraham-toro.png" TargetMode="External"/><Relationship Id="rId751" Type="http://schemas.openxmlformats.org/officeDocument/2006/relationships/hyperlink" Target="https://sba-cards-2024.s3.us-east-1.amazonaws.com/2024-cards/max-schuemann.png" TargetMode="External"/><Relationship Id="rId993" Type="http://schemas.openxmlformats.org/officeDocument/2006/relationships/hyperlink" Target="https://sba-cards-2024.s3.us-east-1.amazonaws.com/2024-cards/tj-friedl.png" TargetMode="External"/><Relationship Id="rId1100" Type="http://schemas.openxmlformats.org/officeDocument/2006/relationships/hyperlink" Target="https://sba-cards-2024.s3.us-east-1.amazonaws.com/2024-cards/zack-gelof.png" TargetMode="External"/><Relationship Id="rId750" Type="http://schemas.openxmlformats.org/officeDocument/2006/relationships/hyperlink" Target="https://sba-cards-2024.s3.us-east-1.amazonaws.com/2024-cards/max-scherzer.png" TargetMode="External"/><Relationship Id="rId992" Type="http://schemas.openxmlformats.org/officeDocument/2006/relationships/hyperlink" Target="https://sba-cards-2024.s3.us-east-1.amazonaws.com/2024-cards/tim-mayza.png" TargetMode="External"/><Relationship Id="rId1101" Type="http://schemas.openxmlformats.org/officeDocument/2006/relationships/hyperlink" Target="https://sba-cards-2024.s3.us-east-1.amazonaws.com/2024-cards/zack-kelly.png" TargetMode="External"/><Relationship Id="rId991" Type="http://schemas.openxmlformats.org/officeDocument/2006/relationships/hyperlink" Target="https://sba-cards-2024.s3.us-east-1.amazonaws.com/2024-cards/tim-hill.png" TargetMode="External"/><Relationship Id="rId1102" Type="http://schemas.openxmlformats.org/officeDocument/2006/relationships/hyperlink" Target="https://sba-cards-2024.s3.us-east-1.amazonaws.com/2024-cards/zack-littell.png" TargetMode="External"/><Relationship Id="rId84" Type="http://schemas.openxmlformats.org/officeDocument/2006/relationships/hyperlink" Target="https://sba-cards-2024.s3.us-east-1.amazonaws.com/2024-cards/andrew-kittredge.png" TargetMode="External"/><Relationship Id="rId83" Type="http://schemas.openxmlformats.org/officeDocument/2006/relationships/hyperlink" Target="https://sba-cards-2024.s3.us-east-1.amazonaws.com/2024-cards/andrew-heaney.png" TargetMode="External"/><Relationship Id="rId86" Type="http://schemas.openxmlformats.org/officeDocument/2006/relationships/hyperlink" Target="https://sba-cards-2024.s3.us-east-1.amazonaws.com/2024-cards/andrew-mccutchen.png" TargetMode="External"/><Relationship Id="rId85" Type="http://schemas.openxmlformats.org/officeDocument/2006/relationships/hyperlink" Target="https://sba-cards-2024.s3.us-east-1.amazonaws.com/2024-cards/andrew-knizner.png" TargetMode="External"/><Relationship Id="rId88" Type="http://schemas.openxmlformats.org/officeDocument/2006/relationships/hyperlink" Target="https://sba-cards-2024.s3.us-east-1.amazonaws.com/2024-cards/andrew-vaughn.png" TargetMode="External"/><Relationship Id="rId87" Type="http://schemas.openxmlformats.org/officeDocument/2006/relationships/hyperlink" Target="https://sba-cards-2024.s3.us-east-1.amazonaws.com/2024-cards/andrew-nardi.png" TargetMode="External"/><Relationship Id="rId89" Type="http://schemas.openxmlformats.org/officeDocument/2006/relationships/hyperlink" Target="https://sba-cards-2024.s3.us-east-1.amazonaws.com/2024-cards/andruw-monasterio.png" TargetMode="External"/><Relationship Id="rId709" Type="http://schemas.openxmlformats.org/officeDocument/2006/relationships/hyperlink" Target="https://sba-cards-2024.s3.us-east-1.amazonaws.com/2024-cards/luke-raley.png" TargetMode="External"/><Relationship Id="rId708" Type="http://schemas.openxmlformats.org/officeDocument/2006/relationships/hyperlink" Target="https://sba-cards-2024.s3.us-east-1.amazonaws.com/2024-cards/luke-maile.png" TargetMode="External"/><Relationship Id="rId707" Type="http://schemas.openxmlformats.org/officeDocument/2006/relationships/hyperlink" Target="https://sba-cards-2024.s3.us-east-1.amazonaws.com/2024-cards/luke-little.png" TargetMode="External"/><Relationship Id="rId949" Type="http://schemas.openxmlformats.org/officeDocument/2006/relationships/hyperlink" Target="https://sba-cards-2024.s3.us-east-1.amazonaws.com/2024-cards/simeon-woods-richardson.png" TargetMode="External"/><Relationship Id="rId706" Type="http://schemas.openxmlformats.org/officeDocument/2006/relationships/hyperlink" Target="https://sba-cards-2024.s3.us-east-1.amazonaws.com/2024-cards/luke-jackson.png" TargetMode="External"/><Relationship Id="rId948" Type="http://schemas.openxmlformats.org/officeDocument/2006/relationships/hyperlink" Target="https://sba-cards-2024.s3.us-east-1.amazonaws.com/2024-cards/shota-imanaga.png" TargetMode="External"/><Relationship Id="rId80" Type="http://schemas.openxmlformats.org/officeDocument/2006/relationships/hyperlink" Target="https://sba-cards-2024.s3.us-east-1.amazonaws.com/2024-cards/andrew-abbott.png" TargetMode="External"/><Relationship Id="rId82" Type="http://schemas.openxmlformats.org/officeDocument/2006/relationships/hyperlink" Target="https://sba-cards-2024.s3.us-east-1.amazonaws.com/2024-cards/andrew-chafin.png" TargetMode="External"/><Relationship Id="rId81" Type="http://schemas.openxmlformats.org/officeDocument/2006/relationships/hyperlink" Target="https://sba-cards-2024.s3.us-east-1.amazonaws.com/2024-cards/andrew-benintendi.png" TargetMode="External"/><Relationship Id="rId701" Type="http://schemas.openxmlformats.org/officeDocument/2006/relationships/hyperlink" Target="https://sba-cards-2024.s3.us-east-1.amazonaws.com/2024-cards/luis-robert.png" TargetMode="External"/><Relationship Id="rId943" Type="http://schemas.openxmlformats.org/officeDocument/2006/relationships/hyperlink" Target="https://sba-cards-2024.s3.us-east-1.amazonaws.com/2024-cards/shawn-dubin.png" TargetMode="External"/><Relationship Id="rId700" Type="http://schemas.openxmlformats.org/officeDocument/2006/relationships/hyperlink" Target="https://sba-cards-2024.s3.us-east-1.amazonaws.com/2024-cards/luis-rengifo.png" TargetMode="External"/><Relationship Id="rId942" Type="http://schemas.openxmlformats.org/officeDocument/2006/relationships/hyperlink" Target="https://sba-cards-2024.s3.us-east-1.amazonaws.com/2024-cards/shawn-armstrong.png" TargetMode="External"/><Relationship Id="rId941" Type="http://schemas.openxmlformats.org/officeDocument/2006/relationships/hyperlink" Target="https://sba-cards-2024.s3.us-east-1.amazonaws.com/2024-cards/shane-baz.png" TargetMode="External"/><Relationship Id="rId940" Type="http://schemas.openxmlformats.org/officeDocument/2006/relationships/hyperlink" Target="https://sba-cards-2024.s3.us-east-1.amazonaws.com/2024-cards/seth-martinez.png" TargetMode="External"/><Relationship Id="rId705" Type="http://schemas.openxmlformats.org/officeDocument/2006/relationships/hyperlink" Target="https://sba-cards-2024.s3.us-east-1.amazonaws.com/2024-cards/luis-garcia.png" TargetMode="External"/><Relationship Id="rId947" Type="http://schemas.openxmlformats.org/officeDocument/2006/relationships/hyperlink" Target="https://i.postimg.cc/66rsJTMn/ohtani-card2.gif" TargetMode="External"/><Relationship Id="rId704" Type="http://schemas.openxmlformats.org/officeDocument/2006/relationships/hyperlink" Target="https://sba-cards-2024.s3.us-east-1.amazonaws.com/2024-cards/luis-urias.png" TargetMode="External"/><Relationship Id="rId946" Type="http://schemas.openxmlformats.org/officeDocument/2006/relationships/hyperlink" Target="https://sba-cards-2024.s3.us-east-1.amazonaws.com/2024-cards/shohei-ohtani.png" TargetMode="External"/><Relationship Id="rId703" Type="http://schemas.openxmlformats.org/officeDocument/2006/relationships/hyperlink" Target="https://sba-cards-2024.s3.us-east-1.amazonaws.com/2024-cards/luis-torrens.png" TargetMode="External"/><Relationship Id="rId945" Type="http://schemas.openxmlformats.org/officeDocument/2006/relationships/hyperlink" Target="https://sba-cards-2024.s3.us-east-1.amazonaws.com/2024-cards/shelby-miller.png" TargetMode="External"/><Relationship Id="rId702" Type="http://schemas.openxmlformats.org/officeDocument/2006/relationships/hyperlink" Target="https://sba-cards-2024.s3.us-east-1.amazonaws.com/2024-cards/luis-severino.png" TargetMode="External"/><Relationship Id="rId944" Type="http://schemas.openxmlformats.org/officeDocument/2006/relationships/hyperlink" Target="https://sba-cards-2024.s3.us-east-1.amazonaws.com/2024-cards/shea-langeliers.png" TargetMode="External"/><Relationship Id="rId73" Type="http://schemas.openxmlformats.org/officeDocument/2006/relationships/hyperlink" Target="https://sba-cards-2024.s3.us-east-1.amazonaws.com/2024-cards/ali-sanchez.png" TargetMode="External"/><Relationship Id="rId72" Type="http://schemas.openxmlformats.org/officeDocument/2006/relationships/hyperlink" Target="https://sba-cards-2024.s3.us-east-1.amazonaws.com/2024-cards/alexis-diaz.png" TargetMode="External"/><Relationship Id="rId75" Type="http://schemas.openxmlformats.org/officeDocument/2006/relationships/hyperlink" Target="https://sba-cards-2024.s3.us-east-1.amazonaws.com/2024-cards/amed-rosario.png" TargetMode="External"/><Relationship Id="rId74" Type="http://schemas.openxmlformats.org/officeDocument/2006/relationships/hyperlink" Target="https://sba-cards-2024.s3.us-east-1.amazonaws.com/2024-cards/alika-williams.png" TargetMode="External"/><Relationship Id="rId77" Type="http://schemas.openxmlformats.org/officeDocument/2006/relationships/hyperlink" Target="https://sba-cards-2024.s3.us-east-1.amazonaws.com/2024-cards/andres-chaparro.png" TargetMode="External"/><Relationship Id="rId76" Type="http://schemas.openxmlformats.org/officeDocument/2006/relationships/hyperlink" Target="https://sba-cards-2024.s3.us-east-1.amazonaws.com/2024-cards/andre-pallante.png" TargetMode="External"/><Relationship Id="rId79" Type="http://schemas.openxmlformats.org/officeDocument/2006/relationships/hyperlink" Target="https://sba-cards-2024.s3.us-east-1.amazonaws.com/2024-cards/andres-munoz.png" TargetMode="External"/><Relationship Id="rId78" Type="http://schemas.openxmlformats.org/officeDocument/2006/relationships/hyperlink" Target="https://sba-cards-2024.s3.us-east-1.amazonaws.com/2024-cards/andres-gimenez.png" TargetMode="External"/><Relationship Id="rId939" Type="http://schemas.openxmlformats.org/officeDocument/2006/relationships/hyperlink" Target="https://sba-cards-2024.s3.us-east-1.amazonaws.com/2024-cards/seth-lugo.png" TargetMode="External"/><Relationship Id="rId938" Type="http://schemas.openxmlformats.org/officeDocument/2006/relationships/hyperlink" Target="https://sba-cards-2024.s3.us-east-1.amazonaws.com/2024-cards/seth-brown.png" TargetMode="External"/><Relationship Id="rId937" Type="http://schemas.openxmlformats.org/officeDocument/2006/relationships/hyperlink" Target="https://sba-cards-2024.s3.us-east-1.amazonaws.com/2024-cards/seranthony-dominguez.png" TargetMode="External"/><Relationship Id="rId71" Type="http://schemas.openxmlformats.org/officeDocument/2006/relationships/hyperlink" Target="https://sba-cards-2024.s3.us-east-1.amazonaws.com/2024-cards/alex-wood.png" TargetMode="External"/><Relationship Id="rId70" Type="http://schemas.openxmlformats.org/officeDocument/2006/relationships/hyperlink" Target="https://sba-cards-2024.s3.us-east-1.amazonaws.com/2024-cards/alex-vesia.png" TargetMode="External"/><Relationship Id="rId932" Type="http://schemas.openxmlformats.org/officeDocument/2006/relationships/hyperlink" Target="https://sba-cards-2024.s3.us-east-1.amazonaws.com/2024-cards/sean-hjelle.png" TargetMode="External"/><Relationship Id="rId931" Type="http://schemas.openxmlformats.org/officeDocument/2006/relationships/hyperlink" Target="https://sba-cards-2024.s3.us-east-1.amazonaws.com/2024-cards/sean-guenther.png" TargetMode="External"/><Relationship Id="rId930" Type="http://schemas.openxmlformats.org/officeDocument/2006/relationships/hyperlink" Target="https://sba-cards-2024.s3.us-east-1.amazonaws.com/2024-cards/sean-bouchard.png" TargetMode="External"/><Relationship Id="rId936" Type="http://schemas.openxmlformats.org/officeDocument/2006/relationships/hyperlink" Target="https://sba-cards-2024.s3.us-east-1.amazonaws.com/2024-cards/seiya-suzuki.png" TargetMode="External"/><Relationship Id="rId935" Type="http://schemas.openxmlformats.org/officeDocument/2006/relationships/hyperlink" Target="https://sba-cards-2024.s3.us-east-1.amazonaws.com/2024-cards/sean-reid-foley.png" TargetMode="External"/><Relationship Id="rId934" Type="http://schemas.openxmlformats.org/officeDocument/2006/relationships/hyperlink" Target="https://sba-cards-2024.s3.us-east-1.amazonaws.com/2024-cards/sean-murphy.png" TargetMode="External"/><Relationship Id="rId933" Type="http://schemas.openxmlformats.org/officeDocument/2006/relationships/hyperlink" Target="https://sba-cards-2024.s3.us-east-1.amazonaws.com/2024-cards/sean-manaea.png" TargetMode="External"/><Relationship Id="rId62" Type="http://schemas.openxmlformats.org/officeDocument/2006/relationships/hyperlink" Target="https://sba-cards-2024.s3.us-east-1.amazonaws.com/2024-cards/alejandro-kirk.png" TargetMode="External"/><Relationship Id="rId61" Type="http://schemas.openxmlformats.org/officeDocument/2006/relationships/hyperlink" Target="https://sba-cards-2024.s3.us-east-1.amazonaws.com/2024-cards/alec-marsh.png" TargetMode="External"/><Relationship Id="rId64" Type="http://schemas.openxmlformats.org/officeDocument/2006/relationships/hyperlink" Target="https://sba-cards-2024.s3.us-east-1.amazonaws.com/2024-cards/alex-bregman.png" TargetMode="External"/><Relationship Id="rId63" Type="http://schemas.openxmlformats.org/officeDocument/2006/relationships/hyperlink" Target="https://sba-cards-2024.s3.us-east-1.amazonaws.com/2024-cards/alek-thomas.png" TargetMode="External"/><Relationship Id="rId66" Type="http://schemas.openxmlformats.org/officeDocument/2006/relationships/hyperlink" Target="https://sba-cards-2024.s3.us-east-1.amazonaws.com/2024-cards/alex-faedo.png" TargetMode="External"/><Relationship Id="rId65" Type="http://schemas.openxmlformats.org/officeDocument/2006/relationships/hyperlink" Target="https://sba-cards-2024.s3.us-east-1.amazonaws.com/2024-cards/alex-call.png" TargetMode="External"/><Relationship Id="rId68" Type="http://schemas.openxmlformats.org/officeDocument/2006/relationships/hyperlink" Target="https://sba-cards-2024.s3.us-east-1.amazonaws.com/2024-cards/alex-kirilloff.png" TargetMode="External"/><Relationship Id="rId67" Type="http://schemas.openxmlformats.org/officeDocument/2006/relationships/hyperlink" Target="https://sba-cards-2024.s3.us-east-1.amazonaws.com/2024-cards/alex-jackson.png" TargetMode="External"/><Relationship Id="rId729" Type="http://schemas.openxmlformats.org/officeDocument/2006/relationships/hyperlink" Target="https://sba-cards-2024.s3.us-east-1.amazonaws.com/2024-cards/mason-englert.png" TargetMode="External"/><Relationship Id="rId728" Type="http://schemas.openxmlformats.org/officeDocument/2006/relationships/hyperlink" Target="https://sba-cards-2024.s3.us-east-1.amazonaws.com/2024-cards/mason-black.png" TargetMode="External"/><Relationship Id="rId60" Type="http://schemas.openxmlformats.org/officeDocument/2006/relationships/hyperlink" Target="https://sba-cards-2024.s3.us-east-1.amazonaws.com/2024-cards/alec-burleson.png" TargetMode="External"/><Relationship Id="rId723" Type="http://schemas.openxmlformats.org/officeDocument/2006/relationships/hyperlink" Target="https://sba-cards-2024.s3.us-east-1.amazonaws.com/2024-cards/mark-leiter.png" TargetMode="External"/><Relationship Id="rId965" Type="http://schemas.openxmlformats.org/officeDocument/2006/relationships/hyperlink" Target="https://sba-cards-2024.s3.us-east-1.amazonaws.com/2024-cards/steven-matz.png" TargetMode="External"/><Relationship Id="rId722" Type="http://schemas.openxmlformats.org/officeDocument/2006/relationships/hyperlink" Target="https://sba-cards-2024.s3.us-east-1.amazonaws.com/2024-cards/mark-canha.png" TargetMode="External"/><Relationship Id="rId964" Type="http://schemas.openxmlformats.org/officeDocument/2006/relationships/hyperlink" Target="https://sba-cards-2024.s3.us-east-1.amazonaws.com/2024-cards/steven-kwan.png" TargetMode="External"/><Relationship Id="rId721" Type="http://schemas.openxmlformats.org/officeDocument/2006/relationships/hyperlink" Target="https://sba-cards-2024.s3.us-east-1.amazonaws.com/2024-cards/marcus-stroman.png" TargetMode="External"/><Relationship Id="rId963" Type="http://schemas.openxmlformats.org/officeDocument/2006/relationships/hyperlink" Target="https://sba-cards-2024.s3.us-east-1.amazonaws.com/2024-cards/stephen-kolek.png" TargetMode="External"/><Relationship Id="rId720" Type="http://schemas.openxmlformats.org/officeDocument/2006/relationships/hyperlink" Target="https://sba-cards-2024.s3.us-east-1.amazonaws.com/2024-cards/marcus-semien.png" TargetMode="External"/><Relationship Id="rId962" Type="http://schemas.openxmlformats.org/officeDocument/2006/relationships/hyperlink" Target="https://sba-cards-2024.s3.us-east-1.amazonaws.com/2024-cards/starling-marte.png" TargetMode="External"/><Relationship Id="rId727" Type="http://schemas.openxmlformats.org/officeDocument/2006/relationships/hyperlink" Target="https://sba-cards-2024.s3.us-east-1.amazonaws.com/2024-cards/masataka-yoshida.png" TargetMode="External"/><Relationship Id="rId969" Type="http://schemas.openxmlformats.org/officeDocument/2006/relationships/hyperlink" Target="https://sba-cards-2024.s3.us-east-1.amazonaws.com/2024-cards/taijuan-walker.png" TargetMode="External"/><Relationship Id="rId726" Type="http://schemas.openxmlformats.org/officeDocument/2006/relationships/hyperlink" Target="https://sba-cards-2024.s3.us-east-1.amazonaws.com/2024-cards/martin-perez.png" TargetMode="External"/><Relationship Id="rId968" Type="http://schemas.openxmlformats.org/officeDocument/2006/relationships/hyperlink" Target="https://sba-cards-2024.s3.us-east-1.amazonaws.com/2024-cards/stuart-fairchild.png" TargetMode="External"/><Relationship Id="rId725" Type="http://schemas.openxmlformats.org/officeDocument/2006/relationships/hyperlink" Target="https://sba-cards-2024.s3.us-east-1.amazonaws.com/2024-cards/martin-maldonado.png" TargetMode="External"/><Relationship Id="rId967" Type="http://schemas.openxmlformats.org/officeDocument/2006/relationships/hyperlink" Target="https://sba-cards-2024.s3.us-east-1.amazonaws.com/2024-cards/steven-wilson.png" TargetMode="External"/><Relationship Id="rId724" Type="http://schemas.openxmlformats.org/officeDocument/2006/relationships/hyperlink" Target="https://sba-cards-2024.s3.us-east-1.amazonaws.com/2024-cards/mark-vientos.png" TargetMode="External"/><Relationship Id="rId966" Type="http://schemas.openxmlformats.org/officeDocument/2006/relationships/hyperlink" Target="https://sba-cards-2024.s3.us-east-1.amazonaws.com/2024-cards/steven-okert.png" TargetMode="External"/><Relationship Id="rId69" Type="http://schemas.openxmlformats.org/officeDocument/2006/relationships/hyperlink" Target="https://sba-cards-2024.s3.us-east-1.amazonaws.com/2024-cards/alex-verdugo.png" TargetMode="External"/><Relationship Id="rId961" Type="http://schemas.openxmlformats.org/officeDocument/2006/relationships/hyperlink" Target="https://i.postimg.cc/0yhNMKjh/Turnbull-FC-S12.png" TargetMode="External"/><Relationship Id="rId960" Type="http://schemas.openxmlformats.org/officeDocument/2006/relationships/hyperlink" Target="https://sba-cards-2024.s3.us-east-1.amazonaws.com/2024-cards/spencer-turnbull.png" TargetMode="External"/><Relationship Id="rId51" Type="http://schemas.openxmlformats.org/officeDocument/2006/relationships/hyperlink" Target="https://i.postimg.cc/3wGF3tvR/Hydras.png" TargetMode="External"/><Relationship Id="rId50" Type="http://schemas.openxmlformats.org/officeDocument/2006/relationships/hyperlink" Target="https://i.postimg.cc/263SDFK2/CLS_Weather.png" TargetMode="External"/><Relationship Id="rId53" Type="http://schemas.openxmlformats.org/officeDocument/2006/relationships/hyperlink" Target="https://sba-cards-2024.s3.us-east-1.amazonaws.com/2024-cards/adrian-morejon.png" TargetMode="External"/><Relationship Id="rId52" Type="http://schemas.openxmlformats.org/officeDocument/2006/relationships/hyperlink" Target="https://sba-cards-2024.s3.us-east-1.amazonaws.com/2024-cards/adrian-houser.png" TargetMode="External"/><Relationship Id="rId55" Type="http://schemas.openxmlformats.org/officeDocument/2006/relationships/hyperlink" Target="https://sba-cards-2024.s3.us-east-1.amazonaws.com/2024-cards/aj-puk.png" TargetMode="External"/><Relationship Id="rId54" Type="http://schemas.openxmlformats.org/officeDocument/2006/relationships/hyperlink" Target="https://sba-cards-2024.s3.us-east-1.amazonaws.com/2024-cards/aj-minter.png" TargetMode="External"/><Relationship Id="rId57" Type="http://schemas.openxmlformats.org/officeDocument/2006/relationships/hyperlink" Target="https://sba-cards-2024.s3.us-east-1.amazonaws.com/2024-cards/alan-trejo.png" TargetMode="External"/><Relationship Id="rId56" Type="http://schemas.openxmlformats.org/officeDocument/2006/relationships/hyperlink" Target="https://sba-cards-2024.s3.us-east-1.amazonaws.com/2024-cards/akil-baddoo.png" TargetMode="External"/><Relationship Id="rId719" Type="http://schemas.openxmlformats.org/officeDocument/2006/relationships/hyperlink" Target="https://sba-cards-2024.s3.us-east-1.amazonaws.com/2024-cards/marco-luciano.png" TargetMode="External"/><Relationship Id="rId718" Type="http://schemas.openxmlformats.org/officeDocument/2006/relationships/hyperlink" Target="https://sba-cards-2024.s3.us-east-1.amazonaws.com/2024-cards/marco-gonzales.png" TargetMode="External"/><Relationship Id="rId717" Type="http://schemas.openxmlformats.org/officeDocument/2006/relationships/hyperlink" Target="https://sba-cards-2024.s3.us-east-1.amazonaws.com/2024-cards/marcell-ozuna.png" TargetMode="External"/><Relationship Id="rId959" Type="http://schemas.openxmlformats.org/officeDocument/2006/relationships/hyperlink" Target="https://sba-cards-2024.s3.us-east-1.amazonaws.com/2024-cards/spencer-torkelson.png" TargetMode="External"/><Relationship Id="rId712" Type="http://schemas.openxmlformats.org/officeDocument/2006/relationships/hyperlink" Target="https://sba-cards-2024.s3.us-east-1.amazonaws.com/2024-cards/mackenzie-gore.png" TargetMode="External"/><Relationship Id="rId954" Type="http://schemas.openxmlformats.org/officeDocument/2006/relationships/hyperlink" Target="https://sba-cards-2024.s3.us-east-1.amazonaws.com/2024-cards/spencer-arrighetti.png" TargetMode="External"/><Relationship Id="rId711" Type="http://schemas.openxmlformats.org/officeDocument/2006/relationships/hyperlink" Target="https://i.postimg.cc/gjbRvB0y/Weaver.png" TargetMode="External"/><Relationship Id="rId953" Type="http://schemas.openxmlformats.org/officeDocument/2006/relationships/hyperlink" Target="https://sba-cards-2024.s3.us-east-1.amazonaws.com/2024-cards/sonny-gray.png" TargetMode="External"/><Relationship Id="rId710" Type="http://schemas.openxmlformats.org/officeDocument/2006/relationships/hyperlink" Target="https://sba-cards-2024.s3.us-east-1.amazonaws.com/2024-cards/luke-weaver.png" TargetMode="External"/><Relationship Id="rId952" Type="http://schemas.openxmlformats.org/officeDocument/2006/relationships/hyperlink" Target="https://sba-cards-2024.s3.us-east-1.amazonaws.com/2024-cards/slade-cecconi.png" TargetMode="External"/><Relationship Id="rId951" Type="http://schemas.openxmlformats.org/officeDocument/2006/relationships/hyperlink" Target="https://sba-cards-2024.s3.us-east-1.amazonaws.com/2024-cards/sixto-sanchez.png" TargetMode="External"/><Relationship Id="rId716" Type="http://schemas.openxmlformats.org/officeDocument/2006/relationships/hyperlink" Target="https://sba-cards-2024.s3.us-east-1.amazonaws.com/2024-cards/manuel-rodriguez.png" TargetMode="External"/><Relationship Id="rId958" Type="http://schemas.openxmlformats.org/officeDocument/2006/relationships/hyperlink" Target="https://sba-cards-2024.s3.us-east-1.amazonaws.com/2024-cards/spencer-steer.png" TargetMode="External"/><Relationship Id="rId715" Type="http://schemas.openxmlformats.org/officeDocument/2006/relationships/hyperlink" Target="https://sba-cards-2024.s3.us-east-1.amazonaws.com/2024-cards/manuel-margot.png" TargetMode="External"/><Relationship Id="rId957" Type="http://schemas.openxmlformats.org/officeDocument/2006/relationships/hyperlink" Target="https://sba-cards-2024.s3.us-east-1.amazonaws.com/2024-cards/spencer-schwellenbach.png" TargetMode="External"/><Relationship Id="rId714" Type="http://schemas.openxmlformats.org/officeDocument/2006/relationships/hyperlink" Target="https://sba-cards-2024.s3.us-east-1.amazonaws.com/2024-cards/manny-machado.png" TargetMode="External"/><Relationship Id="rId956" Type="http://schemas.openxmlformats.org/officeDocument/2006/relationships/hyperlink" Target="https://sba-cards-2024.s3.us-east-1.amazonaws.com/2024-cards/spencer-horwitz.png" TargetMode="External"/><Relationship Id="rId713" Type="http://schemas.openxmlformats.org/officeDocument/2006/relationships/hyperlink" Target="https://sba-cards-2024.s3.us-east-1.amazonaws.com/2024-cards/maikel-garcia.png" TargetMode="External"/><Relationship Id="rId955" Type="http://schemas.openxmlformats.org/officeDocument/2006/relationships/hyperlink" Target="https://sba-cards-2024.s3.us-east-1.amazonaws.com/2024-cards/spencer-bivens.png" TargetMode="External"/><Relationship Id="rId59" Type="http://schemas.openxmlformats.org/officeDocument/2006/relationships/hyperlink" Target="https://sba-cards-2024.s3.us-east-1.amazonaws.com/2024-cards/alec-bohm.png" TargetMode="External"/><Relationship Id="rId58" Type="http://schemas.openxmlformats.org/officeDocument/2006/relationships/hyperlink" Target="https://sba-cards-2024.s3.us-east-1.amazonaws.com/2024-cards/albert-suarez.png" TargetMode="External"/><Relationship Id="rId950" Type="http://schemas.openxmlformats.org/officeDocument/2006/relationships/hyperlink" Target="https://i.postimg.cc/rFJWrj2d/Woods-Richardson-FC.png" TargetMode="External"/><Relationship Id="rId590" Type="http://schemas.openxmlformats.org/officeDocument/2006/relationships/hyperlink" Target="https://sba-cards-2024.s3.us-east-1.amazonaws.com/2024-cards/jose-trevino.png" TargetMode="External"/><Relationship Id="rId107" Type="http://schemas.openxmlformats.org/officeDocument/2006/relationships/hyperlink" Target="https://sba-cards-2024.s3.us-east-1.amazonaws.com/2024-cards/austin-hays.png" TargetMode="External"/><Relationship Id="rId349" Type="http://schemas.openxmlformats.org/officeDocument/2006/relationships/hyperlink" Target="https://sba-cards-2024.s3.us-east-1.amazonaws.com/2024-cards/enoli-paredes.png" TargetMode="External"/><Relationship Id="rId106" Type="http://schemas.openxmlformats.org/officeDocument/2006/relationships/hyperlink" Target="https://sba-cards-2024.s3.us-east-1.amazonaws.com/2024-cards/austin-gomber.png" TargetMode="External"/><Relationship Id="rId348" Type="http://schemas.openxmlformats.org/officeDocument/2006/relationships/hyperlink" Target="https://sba-cards-2024.s3.us-east-1.amazonaws.com/2024-cards/enmanuel-valdez.png" TargetMode="External"/><Relationship Id="rId105" Type="http://schemas.openxmlformats.org/officeDocument/2006/relationships/hyperlink" Target="https://i.postimg.cc/JhhQngyh/Barnes-FC.png" TargetMode="External"/><Relationship Id="rId347" Type="http://schemas.openxmlformats.org/officeDocument/2006/relationships/hyperlink" Target="https://sba-cards-2024.s3.us-east-1.amazonaws.com/2024-cards/emmanuel-rivera.png" TargetMode="External"/><Relationship Id="rId589" Type="http://schemas.openxmlformats.org/officeDocument/2006/relationships/hyperlink" Target="https://sba-cards-2024.s3.us-east-1.amazonaws.com/2024-cards/jose-tena.png" TargetMode="External"/><Relationship Id="rId104" Type="http://schemas.openxmlformats.org/officeDocument/2006/relationships/hyperlink" Target="https://sba-cards-2024.s3.us-east-1.amazonaws.com/2024-cards/austin-barnes.png" TargetMode="External"/><Relationship Id="rId346" Type="http://schemas.openxmlformats.org/officeDocument/2006/relationships/hyperlink" Target="https://sba-cards-2024.s3.us-east-1.amazonaws.com/2024-cards/emmanuel-ramirez.png" TargetMode="External"/><Relationship Id="rId588" Type="http://schemas.openxmlformats.org/officeDocument/2006/relationships/hyperlink" Target="https://sba-cards-2024.s3.us-east-1.amazonaws.com/2024-cards/jose-suarez.png" TargetMode="External"/><Relationship Id="rId109" Type="http://schemas.openxmlformats.org/officeDocument/2006/relationships/hyperlink" Target="https://sba-cards-2024.s3.us-east-1.amazonaws.com/2024-cards/austin-martin.png" TargetMode="External"/><Relationship Id="rId108" Type="http://schemas.openxmlformats.org/officeDocument/2006/relationships/hyperlink" Target="https://sba-cards-2024.s3.us-east-1.amazonaws.com/2024-cards/austin-hedges.png" TargetMode="External"/><Relationship Id="rId341" Type="http://schemas.openxmlformats.org/officeDocument/2006/relationships/hyperlink" Target="https://sba-cards-2024.s3.us-east-1.amazonaws.com/2024-cards/eloy-jimenez.png" TargetMode="External"/><Relationship Id="rId583" Type="http://schemas.openxmlformats.org/officeDocument/2006/relationships/hyperlink" Target="https://sba-cards-2024.s3.us-east-1.amazonaws.com/2024-cards/jose-quintana.png" TargetMode="External"/><Relationship Id="rId340" Type="http://schemas.openxmlformats.org/officeDocument/2006/relationships/hyperlink" Target="https://sba-cards-2024.s3.us-east-1.amazonaws.com/2024-cards/elly-de-la-cruz.png" TargetMode="External"/><Relationship Id="rId582" Type="http://schemas.openxmlformats.org/officeDocument/2006/relationships/hyperlink" Target="https://sba-cards-2024.s3.us-east-1.amazonaws.com/2024-cards/jose-miranda.png" TargetMode="External"/><Relationship Id="rId581" Type="http://schemas.openxmlformats.org/officeDocument/2006/relationships/hyperlink" Target="https://sba-cards-2024.s3.us-east-1.amazonaws.com/2024-cards/jose-leclerc.png" TargetMode="External"/><Relationship Id="rId580" Type="http://schemas.openxmlformats.org/officeDocument/2006/relationships/hyperlink" Target="https://sba-cards-2024.s3.us-east-1.amazonaws.com/2024-cards/jose-iglesias.png" TargetMode="External"/><Relationship Id="rId103" Type="http://schemas.openxmlformats.org/officeDocument/2006/relationships/hyperlink" Target="https://sba-cards-2024.s3.us-east-1.amazonaws.com/2024-cards/austin-adams.png" TargetMode="External"/><Relationship Id="rId345" Type="http://schemas.openxmlformats.org/officeDocument/2006/relationships/hyperlink" Target="https://sba-cards-2024.s3.us-east-1.amazonaws.com/2024-cards/emmanuel-clase.png" TargetMode="External"/><Relationship Id="rId587" Type="http://schemas.openxmlformats.org/officeDocument/2006/relationships/hyperlink" Target="https://sba-cards-2024.s3.us-east-1.amazonaws.com/2024-cards/jose-soriano.png" TargetMode="External"/><Relationship Id="rId102" Type="http://schemas.openxmlformats.org/officeDocument/2006/relationships/hyperlink" Target="https://sba-cards-2024.s3.us-east-1.amazonaws.com/2024-cards/aroldis-chapman.png" TargetMode="External"/><Relationship Id="rId344" Type="http://schemas.openxmlformats.org/officeDocument/2006/relationships/hyperlink" Target="https://sba-cards-2024.s3.us-east-1.amazonaws.com/2024-cards/emilio-pagan.png" TargetMode="External"/><Relationship Id="rId586" Type="http://schemas.openxmlformats.org/officeDocument/2006/relationships/hyperlink" Target="https://sba-cards-2024.s3.us-east-1.amazonaws.com/2024-cards/jose-siri.png" TargetMode="External"/><Relationship Id="rId101" Type="http://schemas.openxmlformats.org/officeDocument/2006/relationships/hyperlink" Target="https://sba-cards-2024.s3.us-east-1.amazonaws.com/2024-cards/anthony-volpe.png" TargetMode="External"/><Relationship Id="rId343" Type="http://schemas.openxmlformats.org/officeDocument/2006/relationships/hyperlink" Target="https://sba-cards-2024.s3.us-east-1.amazonaws.com/2024-cards/emerson-hancock.png" TargetMode="External"/><Relationship Id="rId585" Type="http://schemas.openxmlformats.org/officeDocument/2006/relationships/hyperlink" Target="https://sba-cards-2024.s3.us-east-1.amazonaws.com/2024-cards/jose-ruiz.png" TargetMode="External"/><Relationship Id="rId100" Type="http://schemas.openxmlformats.org/officeDocument/2006/relationships/hyperlink" Target="https://sba-cards-2024.s3.us-east-1.amazonaws.com/2024-cards/anthony-santander.png" TargetMode="External"/><Relationship Id="rId342" Type="http://schemas.openxmlformats.org/officeDocument/2006/relationships/hyperlink" Target="https://sba-cards-2024.s3.us-east-1.amazonaws.com/2024-cards/elvis-peguero.png" TargetMode="External"/><Relationship Id="rId584" Type="http://schemas.openxmlformats.org/officeDocument/2006/relationships/hyperlink" Target="https://sba-cards-2024.s3.us-east-1.amazonaws.com/2024-cards/jose-ramirez.png" TargetMode="External"/><Relationship Id="rId338" Type="http://schemas.openxmlformats.org/officeDocument/2006/relationships/hyperlink" Target="https://sba-cards-2024.s3.us-east-1.amazonaws.com/2024-cards/eli-morgan.png" TargetMode="External"/><Relationship Id="rId337" Type="http://schemas.openxmlformats.org/officeDocument/2006/relationships/hyperlink" Target="https://sba-cards-2024.s3.us-east-1.amazonaws.com/2024-cards/elehuris-montero.png" TargetMode="External"/><Relationship Id="rId579" Type="http://schemas.openxmlformats.org/officeDocument/2006/relationships/hyperlink" Target="https://sba-cards-2024.s3.us-east-1.amazonaws.com/2024-cards/jose-herrera.png" TargetMode="External"/><Relationship Id="rId336" Type="http://schemas.openxmlformats.org/officeDocument/2006/relationships/hyperlink" Target="https://sba-cards-2024.s3.us-east-1.amazonaws.com/2024-cards/edwin-uceta.png" TargetMode="External"/><Relationship Id="rId578" Type="http://schemas.openxmlformats.org/officeDocument/2006/relationships/hyperlink" Target="https://sba-cards-2024.s3.us-east-1.amazonaws.com/2024-cards/jose-fermin.png" TargetMode="External"/><Relationship Id="rId335" Type="http://schemas.openxmlformats.org/officeDocument/2006/relationships/hyperlink" Target="https://sba-cards-2024.s3.us-east-1.amazonaws.com/2024-cards/edwin-diaz.png" TargetMode="External"/><Relationship Id="rId577" Type="http://schemas.openxmlformats.org/officeDocument/2006/relationships/hyperlink" Target="https://sba-cards-2024.s3.us-east-1.amazonaws.com/2024-cards/jose-caballero.png" TargetMode="External"/><Relationship Id="rId339" Type="http://schemas.openxmlformats.org/officeDocument/2006/relationships/hyperlink" Target="https://sba-cards-2024.s3.us-east-1.amazonaws.com/2024-cards/elias-diaz.png" TargetMode="External"/><Relationship Id="rId330" Type="http://schemas.openxmlformats.org/officeDocument/2006/relationships/hyperlink" Target="https://sba-cards-2024.s3.us-east-1.amazonaws.com/2024-cards/eduard-bazardo.png" TargetMode="External"/><Relationship Id="rId572" Type="http://schemas.openxmlformats.org/officeDocument/2006/relationships/hyperlink" Target="https://sba-cards-2024.s3.us-east-1.amazonaws.com/2024-cards/jose-altuve.png" TargetMode="External"/><Relationship Id="rId571" Type="http://schemas.openxmlformats.org/officeDocument/2006/relationships/hyperlink" Target="https://sba-cards-2024.s3.us-east-1.amazonaws.com/2024-cards/jose-abreu.png" TargetMode="External"/><Relationship Id="rId570" Type="http://schemas.openxmlformats.org/officeDocument/2006/relationships/hyperlink" Target="https://sba-cards-2024.s3.us-east-1.amazonaws.com/2024-cards/jose-ferrer.png" TargetMode="External"/><Relationship Id="rId334" Type="http://schemas.openxmlformats.org/officeDocument/2006/relationships/hyperlink" Target="https://sba-cards-2024.s3.us-east-1.amazonaws.com/2024-cards/edward-olivares.png" TargetMode="External"/><Relationship Id="rId576" Type="http://schemas.openxmlformats.org/officeDocument/2006/relationships/hyperlink" Target="https://sba-cards-2024.s3.us-east-1.amazonaws.com/2024-cards/jose-butto.png" TargetMode="External"/><Relationship Id="rId333" Type="http://schemas.openxmlformats.org/officeDocument/2006/relationships/hyperlink" Target="https://sba-cards-2024.s3.us-east-1.amazonaws.com/2024-cards/edward-cabrera.png" TargetMode="External"/><Relationship Id="rId575" Type="http://schemas.openxmlformats.org/officeDocument/2006/relationships/hyperlink" Target="https://sba-cards-2024.s3.us-east-1.amazonaws.com/2024-cards/jose-berrios.png" TargetMode="External"/><Relationship Id="rId332" Type="http://schemas.openxmlformats.org/officeDocument/2006/relationships/hyperlink" Target="https://sba-cards-2024.s3.us-east-1.amazonaws.com/2024-cards/eduardo-salazar.png" TargetMode="External"/><Relationship Id="rId574" Type="http://schemas.openxmlformats.org/officeDocument/2006/relationships/hyperlink" Target="https://sba-cards-2024.s3.us-east-1.amazonaws.com/2024-cards/jose-azocar.png" TargetMode="External"/><Relationship Id="rId331" Type="http://schemas.openxmlformats.org/officeDocument/2006/relationships/hyperlink" Target="https://sba-cards-2024.s3.us-east-1.amazonaws.com/2024-cards/eduardo-rodriguez.png" TargetMode="External"/><Relationship Id="rId573" Type="http://schemas.openxmlformats.org/officeDocument/2006/relationships/hyperlink" Target="https://sba-cards-2024.s3.us-east-1.amazonaws.com/2024-cards/jose-alvarado.png" TargetMode="External"/><Relationship Id="rId370" Type="http://schemas.openxmlformats.org/officeDocument/2006/relationships/hyperlink" Target="https://sba-cards-2024.s3.us-east-1.amazonaws.com/2024-cards/framber-valdez.png" TargetMode="External"/><Relationship Id="rId129" Type="http://schemas.openxmlformats.org/officeDocument/2006/relationships/hyperlink" Target="https://sba-cards-2024.s3.us-east-1.amazonaws.com/2024-cards/bo-bichette.png" TargetMode="External"/><Relationship Id="rId128" Type="http://schemas.openxmlformats.org/officeDocument/2006/relationships/hyperlink" Target="https://sba-cards-2024.s3.us-east-1.amazonaws.com/2024-cards/bligh-madris.png" TargetMode="External"/><Relationship Id="rId127" Type="http://schemas.openxmlformats.org/officeDocument/2006/relationships/hyperlink" Target="https://sba-cards-2024.s3.us-east-1.amazonaws.com/2024-cards/blaze-alexander.png" TargetMode="External"/><Relationship Id="rId369" Type="http://schemas.openxmlformats.org/officeDocument/2006/relationships/hyperlink" Target="https://sba-cards-2024.s3.us-east-1.amazonaws.com/2024-cards/fernando-tatis-jr.png" TargetMode="External"/><Relationship Id="rId126" Type="http://schemas.openxmlformats.org/officeDocument/2006/relationships/hyperlink" Target="https://sba-cards-2024.s3.us-east-1.amazonaws.com/2024-cards/blake-treinen.png" TargetMode="External"/><Relationship Id="rId368" Type="http://schemas.openxmlformats.org/officeDocument/2006/relationships/hyperlink" Target="https://sba-cards-2024.s3.us-east-1.amazonaws.com/2024-cards/fernando-cruz.png" TargetMode="External"/><Relationship Id="rId121" Type="http://schemas.openxmlformats.org/officeDocument/2006/relationships/hyperlink" Target="https://sba-cards-2024.s3.us-east-1.amazonaws.com/2024-cards/ben-lively.png" TargetMode="External"/><Relationship Id="rId363" Type="http://schemas.openxmlformats.org/officeDocument/2006/relationships/hyperlink" Target="https://sba-cards-2024.s3.us-east-1.amazonaws.com/2024-cards/eugenio-suarez.png" TargetMode="External"/><Relationship Id="rId120" Type="http://schemas.openxmlformats.org/officeDocument/2006/relationships/hyperlink" Target="https://i.postimg.cc/RF6Q1HLW/Joyce-FC.png" TargetMode="External"/><Relationship Id="rId362" Type="http://schemas.openxmlformats.org/officeDocument/2006/relationships/hyperlink" Target="https://sba-cards-2024.s3.us-east-1.amazonaws.com/2024-cards/ethan-roberts.png" TargetMode="External"/><Relationship Id="rId361" Type="http://schemas.openxmlformats.org/officeDocument/2006/relationships/hyperlink" Target="https://sba-cards-2024.s3.us-east-1.amazonaws.com/2024-cards/estevan-florial.png" TargetMode="External"/><Relationship Id="rId360" Type="http://schemas.openxmlformats.org/officeDocument/2006/relationships/hyperlink" Target="https://sba-cards-2024.s3.us-east-1.amazonaws.com/2024-cards/esteury-ruiz.png" TargetMode="External"/><Relationship Id="rId125" Type="http://schemas.openxmlformats.org/officeDocument/2006/relationships/hyperlink" Target="https://sba-cards-2024.s3.us-east-1.amazonaws.com/2024-cards/blake-snell.png" TargetMode="External"/><Relationship Id="rId367" Type="http://schemas.openxmlformats.org/officeDocument/2006/relationships/hyperlink" Target="https://sba-cards-2024.s3.us-east-1.amazonaws.com/2024-cards/ezequiel-tovar.png" TargetMode="External"/><Relationship Id="rId124" Type="http://schemas.openxmlformats.org/officeDocument/2006/relationships/hyperlink" Target="https://sba-cards-2024.s3.us-east-1.amazonaws.com/2024-cards/blake-perkins.png" TargetMode="External"/><Relationship Id="rId366" Type="http://schemas.openxmlformats.org/officeDocument/2006/relationships/hyperlink" Target="https://sba-cards-2024.s3.us-east-1.amazonaws.com/2024-cards/ezequiel-duran.png" TargetMode="External"/><Relationship Id="rId123" Type="http://schemas.openxmlformats.org/officeDocument/2006/relationships/hyperlink" Target="https://sba-cards-2024.s3.us-east-1.amazonaws.com/2024-cards/ben-rortvedt.png" TargetMode="External"/><Relationship Id="rId365" Type="http://schemas.openxmlformats.org/officeDocument/2006/relationships/hyperlink" Target="https://sba-cards-2024.s3.us-east-1.amazonaws.com/2024-cards/evan-phillips.png" TargetMode="External"/><Relationship Id="rId122" Type="http://schemas.openxmlformats.org/officeDocument/2006/relationships/hyperlink" Target="https://sba-cards-2024.s3.us-east-1.amazonaws.com/2024-cards/ben-rice.png" TargetMode="External"/><Relationship Id="rId364" Type="http://schemas.openxmlformats.org/officeDocument/2006/relationships/hyperlink" Target="https://sba-cards-2024.s3.us-east-1.amazonaws.com/2024-cards/evan-carter.png" TargetMode="External"/><Relationship Id="rId95" Type="http://schemas.openxmlformats.org/officeDocument/2006/relationships/hyperlink" Target="https://sba-cards-2024.s3.us-east-1.amazonaws.com/2024-cards/anthony-banda.png" TargetMode="External"/><Relationship Id="rId94" Type="http://schemas.openxmlformats.org/officeDocument/2006/relationships/hyperlink" Target="https://sba-cards-2024.s3.us-east-1.amazonaws.com/2024-cards/angel-zerpa.png" TargetMode="External"/><Relationship Id="rId97" Type="http://schemas.openxmlformats.org/officeDocument/2006/relationships/hyperlink" Target="https://sba-cards-2024.s3.us-east-1.amazonaws.com/2024-cards/anthony-molina.png" TargetMode="External"/><Relationship Id="rId96" Type="http://schemas.openxmlformats.org/officeDocument/2006/relationships/hyperlink" Target="https://sba-cards-2024.s3.us-east-1.amazonaws.com/2024-cards/anthony-bender.png" TargetMode="External"/><Relationship Id="rId99" Type="http://schemas.openxmlformats.org/officeDocument/2006/relationships/hyperlink" Target="https://sba-cards-2024.s3.us-east-1.amazonaws.com/2024-cards/anthony-rizzo.png" TargetMode="External"/><Relationship Id="rId98" Type="http://schemas.openxmlformats.org/officeDocument/2006/relationships/hyperlink" Target="https://sba-cards-2024.s3.us-east-1.amazonaws.com/2024-cards/anthony-rendon.png" TargetMode="External"/><Relationship Id="rId91" Type="http://schemas.openxmlformats.org/officeDocument/2006/relationships/hyperlink" Target="https://sba-cards-2024.s3.us-east-1.amazonaws.com/2024-cards/andy-pages.png" TargetMode="External"/><Relationship Id="rId90" Type="http://schemas.openxmlformats.org/officeDocument/2006/relationships/hyperlink" Target="https://sba-cards-2024.s3.us-east-1.amazonaws.com/2024-cards/andy-ibanez.png" TargetMode="External"/><Relationship Id="rId93" Type="http://schemas.openxmlformats.org/officeDocument/2006/relationships/hyperlink" Target="https://sba-cards-2024.s3.us-east-1.amazonaws.com/2024-cards/angel-martinez.png" TargetMode="External"/><Relationship Id="rId92" Type="http://schemas.openxmlformats.org/officeDocument/2006/relationships/hyperlink" Target="https://sba-cards-2024.s3.us-east-1.amazonaws.com/2024-cards/angel-chivilli.png" TargetMode="External"/><Relationship Id="rId118" Type="http://schemas.openxmlformats.org/officeDocument/2006/relationships/hyperlink" Target="https://sba-cards-2024.s3.us-east-1.amazonaws.com/2024-cards/ben-gamel.png" TargetMode="External"/><Relationship Id="rId117" Type="http://schemas.openxmlformats.org/officeDocument/2006/relationships/hyperlink" Target="https://sba-cards-2024.s3.us-east-1.amazonaws.com/2024-cards/ben-brown.png" TargetMode="External"/><Relationship Id="rId359" Type="http://schemas.openxmlformats.org/officeDocument/2006/relationships/hyperlink" Target="https://sba-cards-2024.s3.us-east-1.amazonaws.com/2024-cards/ernie-clement.png" TargetMode="External"/><Relationship Id="rId116" Type="http://schemas.openxmlformats.org/officeDocument/2006/relationships/hyperlink" Target="https://sba-cards-2024.s3.us-east-1.amazonaws.com/2024-cards/beau-brieske.png" TargetMode="External"/><Relationship Id="rId358" Type="http://schemas.openxmlformats.org/officeDocument/2006/relationships/hyperlink" Target="https://sba-cards-2024.s3.us-east-1.amazonaws.com/2024-cards/erik-swanson.png" TargetMode="External"/><Relationship Id="rId115" Type="http://schemas.openxmlformats.org/officeDocument/2006/relationships/hyperlink" Target="https://sba-cards-2024.s3.us-east-1.amazonaws.com/2024-cards/bailey-ober.png" TargetMode="External"/><Relationship Id="rId357" Type="http://schemas.openxmlformats.org/officeDocument/2006/relationships/hyperlink" Target="https://sba-cards-2024.s3.us-east-1.amazonaws.com/2024-cards/erik-miller.png" TargetMode="External"/><Relationship Id="rId599" Type="http://schemas.openxmlformats.org/officeDocument/2006/relationships/hyperlink" Target="https://sba-cards-2024.s3.us-east-1.amazonaws.com/2024-cards/josh-rojas.png" TargetMode="External"/><Relationship Id="rId119" Type="http://schemas.openxmlformats.org/officeDocument/2006/relationships/hyperlink" Target="https://sba-cards-2024.s3.us-east-1.amazonaws.com/2024-cards/ben-joyce.png" TargetMode="External"/><Relationship Id="rId110" Type="http://schemas.openxmlformats.org/officeDocument/2006/relationships/hyperlink" Target="https://sba-cards-2024.s3.us-east-1.amazonaws.com/2024-cards/austin-riley.png" TargetMode="External"/><Relationship Id="rId352" Type="http://schemas.openxmlformats.org/officeDocument/2006/relationships/hyperlink" Target="https://sba-cards-2024.s3.us-east-1.amazonaws.com/2024-cards/erasmo-ramirez.png" TargetMode="External"/><Relationship Id="rId594" Type="http://schemas.openxmlformats.org/officeDocument/2006/relationships/hyperlink" Target="https://sba-cards-2024.s3.us-east-1.amazonaws.com/2024-cards/josh-hader.png" TargetMode="External"/><Relationship Id="rId351" Type="http://schemas.openxmlformats.org/officeDocument/2006/relationships/hyperlink" Target="https://sba-cards-2024.s3.us-east-1.amazonaws.com/2024-cards/enyel-de-los-santos.png" TargetMode="External"/><Relationship Id="rId593" Type="http://schemas.openxmlformats.org/officeDocument/2006/relationships/hyperlink" Target="https://sba-cards-2024.s3.us-east-1.amazonaws.com/2024-cards/josh-fleming.png" TargetMode="External"/><Relationship Id="rId350" Type="http://schemas.openxmlformats.org/officeDocument/2006/relationships/hyperlink" Target="https://sba-cards-2024.s3.us-east-1.amazonaws.com/2024-cards/enrique-hernandez.png" TargetMode="External"/><Relationship Id="rId592" Type="http://schemas.openxmlformats.org/officeDocument/2006/relationships/hyperlink" Target="https://sba-cards-2024.s3.us-east-1.amazonaws.com/2024-cards/josh-bell.png" TargetMode="External"/><Relationship Id="rId591" Type="http://schemas.openxmlformats.org/officeDocument/2006/relationships/hyperlink" Target="https://sba-cards-2024.s3.us-east-1.amazonaws.com/2024-cards/jose-urena.png" TargetMode="External"/><Relationship Id="rId114" Type="http://schemas.openxmlformats.org/officeDocument/2006/relationships/hyperlink" Target="https://sba-cards-2024.s3.us-east-1.amazonaws.com/2024-cards/bailey-falter.png" TargetMode="External"/><Relationship Id="rId356" Type="http://schemas.openxmlformats.org/officeDocument/2006/relationships/hyperlink" Target="https://i.postimg.cc/HkkM4Mps/Fedde-FC.png" TargetMode="External"/><Relationship Id="rId598" Type="http://schemas.openxmlformats.org/officeDocument/2006/relationships/hyperlink" Target="https://sba-cards-2024.s3.us-east-1.amazonaws.com/2024-cards/josh-palacios.png" TargetMode="External"/><Relationship Id="rId113" Type="http://schemas.openxmlformats.org/officeDocument/2006/relationships/hyperlink" Target="https://sba-cards-2024.s3.us-east-1.amazonaws.com/2024-cards/austin-wells.png" TargetMode="External"/><Relationship Id="rId355" Type="http://schemas.openxmlformats.org/officeDocument/2006/relationships/hyperlink" Target="https://sba-cards-2024.s3.us-east-1.amazonaws.com/2024-cards/erick-fedde.png" TargetMode="External"/><Relationship Id="rId597" Type="http://schemas.openxmlformats.org/officeDocument/2006/relationships/hyperlink" Target="https://sba-cards-2024.s3.us-east-1.amazonaws.com/2024-cards/josh-naylor.png" TargetMode="External"/><Relationship Id="rId112" Type="http://schemas.openxmlformats.org/officeDocument/2006/relationships/hyperlink" Target="https://sba-cards-2024.s3.us-east-1.amazonaws.com/2024-cards/austin-voth.png" TargetMode="External"/><Relationship Id="rId354" Type="http://schemas.openxmlformats.org/officeDocument/2006/relationships/hyperlink" Target="https://sba-cards-2024.s3.us-east-1.amazonaws.com/2024-cards/eric-wagaman.png" TargetMode="External"/><Relationship Id="rId596" Type="http://schemas.openxmlformats.org/officeDocument/2006/relationships/hyperlink" Target="https://sba-cards-2024.s3.us-east-1.amazonaws.com/2024-cards/josh-lowe.png" TargetMode="External"/><Relationship Id="rId111" Type="http://schemas.openxmlformats.org/officeDocument/2006/relationships/hyperlink" Target="https://sba-cards-2024.s3.us-east-1.amazonaws.com/2024-cards/austin-slater.png" TargetMode="External"/><Relationship Id="rId353" Type="http://schemas.openxmlformats.org/officeDocument/2006/relationships/hyperlink" Target="https://sba-cards-2024.s3.us-east-1.amazonaws.com/2024-cards/eric-haase.png" TargetMode="External"/><Relationship Id="rId595" Type="http://schemas.openxmlformats.org/officeDocument/2006/relationships/hyperlink" Target="https://sba-cards-2024.s3.us-east-1.amazonaws.com/2024-cards/josh-jung.png" TargetMode="External"/><Relationship Id="rId305" Type="http://schemas.openxmlformats.org/officeDocument/2006/relationships/hyperlink" Target="https://sba-cards-2024.s3.us-east-1.amazonaws.com/2024-cards/devin-williams.png" TargetMode="External"/><Relationship Id="rId547" Type="http://schemas.openxmlformats.org/officeDocument/2006/relationships/hyperlink" Target="https://sba-cards-2024.s3.us-east-1.amazonaws.com/2024-cards/jon-singleton.png" TargetMode="External"/><Relationship Id="rId789" Type="http://schemas.openxmlformats.org/officeDocument/2006/relationships/hyperlink" Target="https://sba-cards-2024.s3.us-east-1.amazonaws.com/2024-cards/mitchell-parker.png" TargetMode="External"/><Relationship Id="rId304" Type="http://schemas.openxmlformats.org/officeDocument/2006/relationships/hyperlink" Target="https://sba-cards-2024.s3.us-east-1.amazonaws.com/2024-cards/derek-law.png" TargetMode="External"/><Relationship Id="rId546" Type="http://schemas.openxmlformats.org/officeDocument/2006/relationships/hyperlink" Target="https://sba-cards-2024.s3.us-east-1.amazonaws.com/2024-cards/jon-gray.png" TargetMode="External"/><Relationship Id="rId788" Type="http://schemas.openxmlformats.org/officeDocument/2006/relationships/hyperlink" Target="https://sba-cards-2024.s3.us-east-1.amazonaws.com/2024-cards/mitch-white.png" TargetMode="External"/><Relationship Id="rId303" Type="http://schemas.openxmlformats.org/officeDocument/2006/relationships/hyperlink" Target="https://sba-cards-2024.s3.us-east-1.amazonaws.com/2024-cards/derek-hill.png" TargetMode="External"/><Relationship Id="rId545" Type="http://schemas.openxmlformats.org/officeDocument/2006/relationships/hyperlink" Target="https://sba-cards-2024.s3.us-east-1.amazonaws.com/2024-cards/jon-berti.png" TargetMode="External"/><Relationship Id="rId787" Type="http://schemas.openxmlformats.org/officeDocument/2006/relationships/hyperlink" Target="https://sba-cards-2024.s3.us-east-1.amazonaws.com/2024-cards/mitch-spence.png" TargetMode="External"/><Relationship Id="rId302" Type="http://schemas.openxmlformats.org/officeDocument/2006/relationships/hyperlink" Target="https://sba-cards-2024.s3.us-east-1.amazonaws.com/2024-cards/dennis-santana.png" TargetMode="External"/><Relationship Id="rId544" Type="http://schemas.openxmlformats.org/officeDocument/2006/relationships/hyperlink" Target="https://sba-cards-2024.s3.us-east-1.amazonaws.com/2024-cards/jojo-romero.png" TargetMode="External"/><Relationship Id="rId786" Type="http://schemas.openxmlformats.org/officeDocument/2006/relationships/hyperlink" Target="https://sba-cards-2024.s3.us-east-1.amazonaws.com/2024-cards/mitch-keller.png" TargetMode="External"/><Relationship Id="rId309" Type="http://schemas.openxmlformats.org/officeDocument/2006/relationships/hyperlink" Target="https://sba-cards-2024.s3.us-east-1.amazonaws.com/2024-cards/dj-lemahieu.png" TargetMode="External"/><Relationship Id="rId308" Type="http://schemas.openxmlformats.org/officeDocument/2006/relationships/hyperlink" Target="https://sba-cards-2024.s3.us-east-1.amazonaws.com/2024-cards/dj-herz.png" TargetMode="External"/><Relationship Id="rId307" Type="http://schemas.openxmlformats.org/officeDocument/2006/relationships/hyperlink" Target="https://sba-cards-2024.s3.us-east-1.amazonaws.com/2024-cards/dillon-tate.png" TargetMode="External"/><Relationship Id="rId549" Type="http://schemas.openxmlformats.org/officeDocument/2006/relationships/hyperlink" Target="https://i.postimg.cc/CZh1yFTh/bride.png" TargetMode="External"/><Relationship Id="rId306" Type="http://schemas.openxmlformats.org/officeDocument/2006/relationships/hyperlink" Target="https://sba-cards-2024.s3.us-east-1.amazonaws.com/2024-cards/dillon-dingler.png" TargetMode="External"/><Relationship Id="rId548" Type="http://schemas.openxmlformats.org/officeDocument/2006/relationships/hyperlink" Target="https://sba-cards-2024.s3.us-east-1.amazonaws.com/2024-cards/jonah-bride.png" TargetMode="External"/><Relationship Id="rId781" Type="http://schemas.openxmlformats.org/officeDocument/2006/relationships/hyperlink" Target="https://sba-cards-2024.s3.us-east-1.amazonaws.com/2024-cards/mike-yastrzemski.png" TargetMode="External"/><Relationship Id="rId780" Type="http://schemas.openxmlformats.org/officeDocument/2006/relationships/hyperlink" Target="https://sba-cards-2024.s3.us-east-1.amazonaws.com/2024-cards/mike-trout.png" TargetMode="External"/><Relationship Id="rId301" Type="http://schemas.openxmlformats.org/officeDocument/2006/relationships/hyperlink" Target="https://sba-cards-2024.s3.us-east-1.amazonaws.com/2024-cards/dedniel-nunez.png" TargetMode="External"/><Relationship Id="rId543" Type="http://schemas.openxmlformats.org/officeDocument/2006/relationships/hyperlink" Target="https://sba-cards-2024.s3.us-east-1.amazonaws.com/2024-cards/john-schreiber.png" TargetMode="External"/><Relationship Id="rId785" Type="http://schemas.openxmlformats.org/officeDocument/2006/relationships/hyperlink" Target="https://sba-cards-2024.s3.us-east-1.amazonaws.com/2024-cards/mitch-haniger.png" TargetMode="External"/><Relationship Id="rId300" Type="http://schemas.openxmlformats.org/officeDocument/2006/relationships/hyperlink" Target="https://sba-cards-2024.s3.us-east-1.amazonaws.com/2024-cards/declan-cronin.png" TargetMode="External"/><Relationship Id="rId542" Type="http://schemas.openxmlformats.org/officeDocument/2006/relationships/hyperlink" Target="https://sba-cards-2024.s3.us-east-1.amazonaws.com/2024-cards/john-king.png" TargetMode="External"/><Relationship Id="rId784" Type="http://schemas.openxmlformats.org/officeDocument/2006/relationships/hyperlink" Target="https://sba-cards-2024.s3.us-east-1.amazonaws.com/2024-cards/mitch-garver.png" TargetMode="External"/><Relationship Id="rId541" Type="http://schemas.openxmlformats.org/officeDocument/2006/relationships/hyperlink" Target="https://sba-cards-2024.s3.us-east-1.amazonaws.com/2024-cards/john-brebbia.png" TargetMode="External"/><Relationship Id="rId783" Type="http://schemas.openxmlformats.org/officeDocument/2006/relationships/hyperlink" Target="https://sba-cards-2024.s3.us-east-1.amazonaws.com/2024-cards/miles-mikolas.png" TargetMode="External"/><Relationship Id="rId540" Type="http://schemas.openxmlformats.org/officeDocument/2006/relationships/hyperlink" Target="https://sba-cards-2024.s3.us-east-1.amazonaws.com/2024-cards/johan-rojas.png" TargetMode="External"/><Relationship Id="rId782" Type="http://schemas.openxmlformats.org/officeDocument/2006/relationships/hyperlink" Target="https://sba-cards-2024.s3.us-east-1.amazonaws.com/2024-cards/miles-mastrobuoni.png" TargetMode="External"/><Relationship Id="rId536" Type="http://schemas.openxmlformats.org/officeDocument/2006/relationships/hyperlink" Target="https://sba-cards-2024.s3.us-east-1.amazonaws.com/2024-cards/joey-meneses.png" TargetMode="External"/><Relationship Id="rId778" Type="http://schemas.openxmlformats.org/officeDocument/2006/relationships/hyperlink" Target="https://sba-cards-2024.s3.us-east-1.amazonaws.com/2024-cards/mike-ford.png" TargetMode="External"/><Relationship Id="rId535" Type="http://schemas.openxmlformats.org/officeDocument/2006/relationships/hyperlink" Target="https://sba-cards-2024.s3.us-east-1.amazonaws.com/2024-cards/joey-loperfido.png" TargetMode="External"/><Relationship Id="rId777" Type="http://schemas.openxmlformats.org/officeDocument/2006/relationships/hyperlink" Target="https://sba-cards-2024.s3.us-east-1.amazonaws.com/2024-cards/mike-baumann.png" TargetMode="External"/><Relationship Id="rId534" Type="http://schemas.openxmlformats.org/officeDocument/2006/relationships/hyperlink" Target="https://sba-cards-2024.s3.us-east-1.amazonaws.com/2024-cards/joey-gallo.png" TargetMode="External"/><Relationship Id="rId776" Type="http://schemas.openxmlformats.org/officeDocument/2006/relationships/hyperlink" Target="https://sba-cards-2024.s3.us-east-1.amazonaws.com/2024-cards/miguel-vargas.png" TargetMode="External"/><Relationship Id="rId533" Type="http://schemas.openxmlformats.org/officeDocument/2006/relationships/hyperlink" Target="https://sba-cards-2024.s3.us-east-1.amazonaws.com/2024-cards/joey-estes.png" TargetMode="External"/><Relationship Id="rId775" Type="http://schemas.openxmlformats.org/officeDocument/2006/relationships/hyperlink" Target="https://sba-cards-2024.s3.us-east-1.amazonaws.com/2024-cards/miguel-sano.png" TargetMode="External"/><Relationship Id="rId539" Type="http://schemas.openxmlformats.org/officeDocument/2006/relationships/hyperlink" Target="https://i.postimg.cc/Sxkd0jmb/Wentz-FC.png" TargetMode="External"/><Relationship Id="rId538" Type="http://schemas.openxmlformats.org/officeDocument/2006/relationships/hyperlink" Target="https://sba-cards-2024.s3.us-east-1.amazonaws.com/2024-cards/joey-wentz.png" TargetMode="External"/><Relationship Id="rId537" Type="http://schemas.openxmlformats.org/officeDocument/2006/relationships/hyperlink" Target="https://sba-cards-2024.s3.us-east-1.amazonaws.com/2024-cards/joey-ortiz.png" TargetMode="External"/><Relationship Id="rId779" Type="http://schemas.openxmlformats.org/officeDocument/2006/relationships/hyperlink" Target="https://sba-cards-2024.s3.us-east-1.amazonaws.com/2024-cards/mike-tauchman.png" TargetMode="External"/><Relationship Id="rId770" Type="http://schemas.openxmlformats.org/officeDocument/2006/relationships/hyperlink" Target="https://sba-cards-2024.s3.us-east-1.amazonaws.com/2024-cards/michel-otanez.png" TargetMode="External"/><Relationship Id="rId532" Type="http://schemas.openxmlformats.org/officeDocument/2006/relationships/hyperlink" Target="https://sba-cards-2024.s3.us-east-1.amazonaws.com/2024-cards/joey-cantillo.png" TargetMode="External"/><Relationship Id="rId774" Type="http://schemas.openxmlformats.org/officeDocument/2006/relationships/hyperlink" Target="https://sba-cards-2024.s3.us-east-1.amazonaws.com/2024-cards/miguel-rojas.png" TargetMode="External"/><Relationship Id="rId531" Type="http://schemas.openxmlformats.org/officeDocument/2006/relationships/hyperlink" Target="https://sba-cards-2024.s3.us-east-1.amazonaws.com/2024-cards/joey-bart.png" TargetMode="External"/><Relationship Id="rId773" Type="http://schemas.openxmlformats.org/officeDocument/2006/relationships/hyperlink" Target="https://sba-cards-2024.s3.us-east-1.amazonaws.com/2024-cards/miguel-andujar.png" TargetMode="External"/><Relationship Id="rId530" Type="http://schemas.openxmlformats.org/officeDocument/2006/relationships/hyperlink" Target="https://sba-cards-2024.s3.us-east-1.amazonaws.com/2024-cards/joel-payamps.png" TargetMode="External"/><Relationship Id="rId772" Type="http://schemas.openxmlformats.org/officeDocument/2006/relationships/hyperlink" Target="https://sba-cards-2024.s3.us-east-1.amazonaws.com/2024-cards/miguel-amaya.png" TargetMode="External"/><Relationship Id="rId771" Type="http://schemas.openxmlformats.org/officeDocument/2006/relationships/hyperlink" Target="https://sba-cards-2024.s3.us-east-1.amazonaws.com/2024-cards/mickey-moniak.png" TargetMode="External"/><Relationship Id="rId327" Type="http://schemas.openxmlformats.org/officeDocument/2006/relationships/hyperlink" Target="https://sba-cards-2024.s3.us-east-1.amazonaws.com/2024-cards/edmundo-sosa.png" TargetMode="External"/><Relationship Id="rId569" Type="http://schemas.openxmlformats.org/officeDocument/2006/relationships/hyperlink" Target="https://sba-cards-2024.s3.us-east-1.amazonaws.com/2024-cards/jorge-soler.png" TargetMode="External"/><Relationship Id="rId326" Type="http://schemas.openxmlformats.org/officeDocument/2006/relationships/hyperlink" Target="https://sba-cards-2024.s3.us-east-1.amazonaws.com/2024-cards/eddie-rosario.png" TargetMode="External"/><Relationship Id="rId568" Type="http://schemas.openxmlformats.org/officeDocument/2006/relationships/hyperlink" Target="https://sba-cards-2024.s3.us-east-1.amazonaws.com/2024-cards/jorge-polanco.png" TargetMode="External"/><Relationship Id="rId325" Type="http://schemas.openxmlformats.org/officeDocument/2006/relationships/hyperlink" Target="https://sba-cards-2024.s3.us-east-1.amazonaws.com/2024-cards/dylan-moore.png" TargetMode="External"/><Relationship Id="rId567" Type="http://schemas.openxmlformats.org/officeDocument/2006/relationships/hyperlink" Target="https://sba-cards-2024.s3.us-east-1.amazonaws.com/2024-cards/jorge-mateo.png" TargetMode="External"/><Relationship Id="rId324" Type="http://schemas.openxmlformats.org/officeDocument/2006/relationships/hyperlink" Target="https://sba-cards-2024.s3.us-east-1.amazonaws.com/2024-cards/dylan-lee.png" TargetMode="External"/><Relationship Id="rId566" Type="http://schemas.openxmlformats.org/officeDocument/2006/relationships/hyperlink" Target="https://sba-cards-2024.s3.us-east-1.amazonaws.com/2024-cards/jorge-lopez.png" TargetMode="External"/><Relationship Id="rId329" Type="http://schemas.openxmlformats.org/officeDocument/2006/relationships/hyperlink" Target="https://sba-cards-2024.s3.us-east-1.amazonaws.com/2024-cards/edouard-julien.png" TargetMode="External"/><Relationship Id="rId328" Type="http://schemas.openxmlformats.org/officeDocument/2006/relationships/hyperlink" Target="https://i.postimg.cc/Zq0rZdgP/Sosa-FC.png" TargetMode="External"/><Relationship Id="rId561" Type="http://schemas.openxmlformats.org/officeDocument/2006/relationships/hyperlink" Target="https://sba-cards-2024.s3.us-east-1.amazonaws.com/2024-cards/jordan-walker.png" TargetMode="External"/><Relationship Id="rId560" Type="http://schemas.openxmlformats.org/officeDocument/2006/relationships/hyperlink" Target="https://sba-cards-2024.s3.us-east-1.amazonaws.com/2024-cards/jordan-montgomery.png" TargetMode="External"/><Relationship Id="rId323" Type="http://schemas.openxmlformats.org/officeDocument/2006/relationships/hyperlink" Target="https://sba-cards-2024.s3.us-east-1.amazonaws.com/2024-cards/dylan-floro.png" TargetMode="External"/><Relationship Id="rId565" Type="http://schemas.openxmlformats.org/officeDocument/2006/relationships/hyperlink" Target="https://sba-cards-2024.s3.us-east-1.amazonaws.com/2024-cards/jorge-alcala.png" TargetMode="External"/><Relationship Id="rId322" Type="http://schemas.openxmlformats.org/officeDocument/2006/relationships/hyperlink" Target="https://sba-cards-2024.s3.us-east-1.amazonaws.com/2024-cards/dylan-crews.png" TargetMode="External"/><Relationship Id="rId564" Type="http://schemas.openxmlformats.org/officeDocument/2006/relationships/hyperlink" Target="https://sba-cards-2024.s3.us-east-1.amazonaws.com/2024-cards/jordan-wicks.png" TargetMode="External"/><Relationship Id="rId321" Type="http://schemas.openxmlformats.org/officeDocument/2006/relationships/hyperlink" Target="https://sba-cards-2024.s3.us-east-1.amazonaws.com/2024-cards/dylan-cease.png" TargetMode="External"/><Relationship Id="rId563" Type="http://schemas.openxmlformats.org/officeDocument/2006/relationships/hyperlink" Target="https://sba-cards-2024.s3.us-east-1.amazonaws.com/2024-cards/jordan-westburg.png" TargetMode="External"/><Relationship Id="rId320" Type="http://schemas.openxmlformats.org/officeDocument/2006/relationships/hyperlink" Target="https://sba-cards-2024.s3.us-east-1.amazonaws.com/2024-cards/dylan-carlson.png" TargetMode="External"/><Relationship Id="rId562" Type="http://schemas.openxmlformats.org/officeDocument/2006/relationships/hyperlink" Target="https://sba-cards-2024.s3.us-east-1.amazonaws.com/2024-cards/jordan-weems.png" TargetMode="External"/><Relationship Id="rId316" Type="http://schemas.openxmlformats.org/officeDocument/2006/relationships/hyperlink" Target="https://sba-cards-2024.s3.us-east-1.amazonaws.com/2024-cards/drew-millas.png" TargetMode="External"/><Relationship Id="rId558" Type="http://schemas.openxmlformats.org/officeDocument/2006/relationships/hyperlink" Target="https://sba-cards-2024.s3.us-east-1.amazonaws.com/2024-cards/jordan-hicks.png" TargetMode="External"/><Relationship Id="rId315" Type="http://schemas.openxmlformats.org/officeDocument/2006/relationships/hyperlink" Target="https://sba-cards-2024.s3.us-east-1.amazonaws.com/2024-cards/donovan-solano.png" TargetMode="External"/><Relationship Id="rId557" Type="http://schemas.openxmlformats.org/officeDocument/2006/relationships/hyperlink" Target="https://sba-cards-2024.s3.us-east-1.amazonaws.com/2024-cards/jordan-beck.png" TargetMode="External"/><Relationship Id="rId799" Type="http://schemas.openxmlformats.org/officeDocument/2006/relationships/hyperlink" Target="https://sba-cards-2024.s3.us-east-1.amazonaws.com/2024-cards/nicholas-castellanos.png" TargetMode="External"/><Relationship Id="rId314" Type="http://schemas.openxmlformats.org/officeDocument/2006/relationships/hyperlink" Target="https://sba-cards-2024.s3.us-east-1.amazonaws.com/2024-cards/dominic-smith.png" TargetMode="External"/><Relationship Id="rId556" Type="http://schemas.openxmlformats.org/officeDocument/2006/relationships/hyperlink" Target="https://sba-cards-2024.s3.us-east-1.amazonaws.com/2024-cards/jonny-deluca.png" TargetMode="External"/><Relationship Id="rId798" Type="http://schemas.openxmlformats.org/officeDocument/2006/relationships/hyperlink" Target="https://sba-cards-2024.s3.us-east-1.amazonaws.com/2024-cards/nestor-cortes-jr.png" TargetMode="External"/><Relationship Id="rId313" Type="http://schemas.openxmlformats.org/officeDocument/2006/relationships/hyperlink" Target="https://sba-cards-2024.s3.us-east-1.amazonaws.com/2024-cards/dominic-fletcher.png" TargetMode="External"/><Relationship Id="rId555" Type="http://schemas.openxmlformats.org/officeDocument/2006/relationships/hyperlink" Target="https://sba-cards-2024.s3.us-east-1.amazonaws.com/2024-cards/jonathan-india.png" TargetMode="External"/><Relationship Id="rId797" Type="http://schemas.openxmlformats.org/officeDocument/2006/relationships/hyperlink" Target="https://sba-cards-2024.s3.us-east-1.amazonaws.com/2024-cards/nelson-velazquez.png" TargetMode="External"/><Relationship Id="rId319" Type="http://schemas.openxmlformats.org/officeDocument/2006/relationships/hyperlink" Target="https://sba-cards-2024.s3.us-east-1.amazonaws.com/2024-cards/drew-thorpe.png" TargetMode="External"/><Relationship Id="rId318" Type="http://schemas.openxmlformats.org/officeDocument/2006/relationships/hyperlink" Target="https://sba-cards-2024.s3.us-east-1.amazonaws.com/2024-cards/drew-smyly.png" TargetMode="External"/><Relationship Id="rId317" Type="http://schemas.openxmlformats.org/officeDocument/2006/relationships/hyperlink" Target="https://sba-cards-2024.s3.us-east-1.amazonaws.com/2024-cards/drew-rasmussen.png" TargetMode="External"/><Relationship Id="rId559" Type="http://schemas.openxmlformats.org/officeDocument/2006/relationships/hyperlink" Target="https://sba-cards-2024.s3.us-east-1.amazonaws.com/2024-cards/jordan-leasure.png" TargetMode="External"/><Relationship Id="rId550" Type="http://schemas.openxmlformats.org/officeDocument/2006/relationships/hyperlink" Target="https://sba-cards-2024.s3.us-east-1.amazonaws.com/2024-cards/jonah-heim.png" TargetMode="External"/><Relationship Id="rId792" Type="http://schemas.openxmlformats.org/officeDocument/2006/relationships/hyperlink" Target="https://sba-cards-2024.s3.us-east-1.amazonaws.com/2024-cards/nasim-nunez.png" TargetMode="External"/><Relationship Id="rId791" Type="http://schemas.openxmlformats.org/officeDocument/2006/relationships/hyperlink" Target="https://sba-cards-2024.s3.us-east-1.amazonaws.com/2024-cards/mookie-betts.png" TargetMode="External"/><Relationship Id="rId790" Type="http://schemas.openxmlformats.org/officeDocument/2006/relationships/hyperlink" Target="https://sba-cards-2024.s3.us-east-1.amazonaws.com/2024-cards/mj-melendez.png" TargetMode="External"/><Relationship Id="rId312" Type="http://schemas.openxmlformats.org/officeDocument/2006/relationships/hyperlink" Target="https://sba-cards-2024.s3.us-east-1.amazonaws.com/2024-cards/dominic-canzone.png" TargetMode="External"/><Relationship Id="rId554" Type="http://schemas.openxmlformats.org/officeDocument/2006/relationships/hyperlink" Target="https://sba-cards-2024.s3.us-east-1.amazonaws.com/2024-cards/jonathan-hernandez.png" TargetMode="External"/><Relationship Id="rId796" Type="http://schemas.openxmlformats.org/officeDocument/2006/relationships/hyperlink" Target="https://sba-cards-2024.s3.us-east-1.amazonaws.com/2024-cards/nathaniel-lowe.png" TargetMode="External"/><Relationship Id="rId311" Type="http://schemas.openxmlformats.org/officeDocument/2006/relationships/hyperlink" Target="https://sba-cards-2024.s3.us-east-1.amazonaws.com/2024-cards/dl-hall.png" TargetMode="External"/><Relationship Id="rId553" Type="http://schemas.openxmlformats.org/officeDocument/2006/relationships/hyperlink" Target="https://sba-cards-2024.s3.us-east-1.amazonaws.com/2024-cards/jonathan-cannon.png" TargetMode="External"/><Relationship Id="rId795" Type="http://schemas.openxmlformats.org/officeDocument/2006/relationships/hyperlink" Target="https://sba-cards-2024.s3.us-east-1.amazonaws.com/2024-cards/nathan-lukes.png" TargetMode="External"/><Relationship Id="rId310" Type="http://schemas.openxmlformats.org/officeDocument/2006/relationships/hyperlink" Target="https://sba-cards-2024.s3.us-east-1.amazonaws.com/2024-cards/dj-stewart.png" TargetMode="External"/><Relationship Id="rId552" Type="http://schemas.openxmlformats.org/officeDocument/2006/relationships/hyperlink" Target="https://sba-cards-2024.s3.us-east-1.amazonaws.com/2024-cards/jonathan-aranda.png" TargetMode="External"/><Relationship Id="rId794" Type="http://schemas.openxmlformats.org/officeDocument/2006/relationships/hyperlink" Target="https://sba-cards-2024.s3.us-east-1.amazonaws.com/2024-cards/nathan-eovaldi.png" TargetMode="External"/><Relationship Id="rId551" Type="http://schemas.openxmlformats.org/officeDocument/2006/relationships/hyperlink" Target="https://sba-cards-2024.s3.us-east-1.amazonaws.com/2024-cards/jonatan-clase.png" TargetMode="External"/><Relationship Id="rId793" Type="http://schemas.openxmlformats.org/officeDocument/2006/relationships/hyperlink" Target="https://sba-cards-2024.s3.us-east-1.amazonaws.com/2024-cards/nate-pearson.png" TargetMode="External"/><Relationship Id="rId297" Type="http://schemas.openxmlformats.org/officeDocument/2006/relationships/hyperlink" Target="https://sba-cards-2024.s3.us-east-1.amazonaws.com/2024-cards/davis-schneider.png" TargetMode="External"/><Relationship Id="rId296" Type="http://schemas.openxmlformats.org/officeDocument/2006/relationships/hyperlink" Target="https://sba-cards-2024.s3.us-east-1.amazonaws.com/2024-cards/davis-martin.png" TargetMode="External"/><Relationship Id="rId295" Type="http://schemas.openxmlformats.org/officeDocument/2006/relationships/hyperlink" Target="https://sba-cards-2024.s3.us-east-1.amazonaws.com/2024-cards/davis-daniel.png" TargetMode="External"/><Relationship Id="rId294" Type="http://schemas.openxmlformats.org/officeDocument/2006/relationships/hyperlink" Target="https://sba-cards-2024.s3.us-east-1.amazonaws.com/2024-cards/david-robertson.png" TargetMode="External"/><Relationship Id="rId299" Type="http://schemas.openxmlformats.org/officeDocument/2006/relationships/hyperlink" Target="https://sba-cards-2024.s3.us-east-1.amazonaws.com/2024-cards/dean-kremer.png" TargetMode="External"/><Relationship Id="rId298" Type="http://schemas.openxmlformats.org/officeDocument/2006/relationships/hyperlink" Target="https://sba-cards-2024.s3.us-east-1.amazonaws.com/2024-cards/daz-cameron.png" TargetMode="External"/><Relationship Id="rId271" Type="http://schemas.openxmlformats.org/officeDocument/2006/relationships/hyperlink" Target="https://sba-cards-2024.s3.us-east-1.amazonaws.com/2024-cards/dakota-hudson.png" TargetMode="External"/><Relationship Id="rId270" Type="http://schemas.openxmlformats.org/officeDocument/2006/relationships/hyperlink" Target="https://sba-cards-2024.s3.us-east-1.amazonaws.com/2024-cards/dairon-blanco.png" TargetMode="External"/><Relationship Id="rId269" Type="http://schemas.openxmlformats.org/officeDocument/2006/relationships/hyperlink" Target="https://sba-cards-2024.s3.us-east-1.amazonaws.com/2024-cards/curtis-mead.png" TargetMode="External"/><Relationship Id="rId264" Type="http://schemas.openxmlformats.org/officeDocument/2006/relationships/hyperlink" Target="https://sba-cards-2024.s3.us-east-1.amazonaws.com/2024-cards/craig-kimbrel.png" TargetMode="External"/><Relationship Id="rId263" Type="http://schemas.openxmlformats.org/officeDocument/2006/relationships/hyperlink" Target="https://sba-cards-2024.s3.us-east-1.amazonaws.com/2024-cards/corey-seager.png" TargetMode="External"/><Relationship Id="rId262" Type="http://schemas.openxmlformats.org/officeDocument/2006/relationships/hyperlink" Target="https://sba-cards-2024.s3.us-east-1.amazonaws.com/2024-cards/corey-julks.png" TargetMode="External"/><Relationship Id="rId261" Type="http://schemas.openxmlformats.org/officeDocument/2006/relationships/hyperlink" Target="https://i.postimg.cc/ydRMNNsq/carroll_card2.gif" TargetMode="External"/><Relationship Id="rId268" Type="http://schemas.openxmlformats.org/officeDocument/2006/relationships/hyperlink" Target="https://sba-cards-2024.s3.us-east-1.amazonaws.com/2024-cards/curt-casali.png" TargetMode="External"/><Relationship Id="rId267" Type="http://schemas.openxmlformats.org/officeDocument/2006/relationships/hyperlink" Target="https://sba-cards-2024.s3.us-east-1.amazonaws.com/2024-cards/cristopher-sanchez.png" TargetMode="External"/><Relationship Id="rId266" Type="http://schemas.openxmlformats.org/officeDocument/2006/relationships/hyperlink" Target="https://sba-cards-2024.s3.us-east-1.amazonaws.com/2024-cards/cristian-pache.png" TargetMode="External"/><Relationship Id="rId265" Type="http://schemas.openxmlformats.org/officeDocument/2006/relationships/hyperlink" Target="https://sba-cards-2024.s3.us-east-1.amazonaws.com/2024-cards/cristian-javier.png" TargetMode="External"/><Relationship Id="rId260" Type="http://schemas.openxmlformats.org/officeDocument/2006/relationships/hyperlink" Target="https://sba-cards-2024.s3.us-east-1.amazonaws.com/2024-cards/corbin-carroll.png" TargetMode="External"/><Relationship Id="rId259" Type="http://schemas.openxmlformats.org/officeDocument/2006/relationships/hyperlink" Target="https://sba-cards-2024.s3.us-east-1.amazonaws.com/2024-cards/corbin-burnes.png" TargetMode="External"/><Relationship Id="rId258" Type="http://schemas.openxmlformats.org/officeDocument/2006/relationships/hyperlink" Target="https://sba-cards-2024.s3.us-east-1.amazonaws.com/2024-cards/cooper-criswell.png" TargetMode="External"/><Relationship Id="rId253" Type="http://schemas.openxmlformats.org/officeDocument/2006/relationships/hyperlink" Target="https://sba-cards-2024.s3.us-east-1.amazonaws.com/2024-cards/colten-brewer.png" TargetMode="External"/><Relationship Id="rId495" Type="http://schemas.openxmlformats.org/officeDocument/2006/relationships/hyperlink" Target="https://sba-cards-2024.s3.us-east-1.amazonaws.com/2024-cards/javier-assad.png" TargetMode="External"/><Relationship Id="rId252" Type="http://schemas.openxmlformats.org/officeDocument/2006/relationships/hyperlink" Target="https://sba-cards-2024.s3.us-east-1.amazonaws.com/2024-cards/colt-keith.png" TargetMode="External"/><Relationship Id="rId494" Type="http://schemas.openxmlformats.org/officeDocument/2006/relationships/hyperlink" Target="https://sba-cards-2024.s3.us-east-1.amazonaws.com/2024-cards/jasson-dominguez.png" TargetMode="External"/><Relationship Id="rId251" Type="http://schemas.openxmlformats.org/officeDocument/2006/relationships/hyperlink" Target="https://sba-cards-2024.s3.us-east-1.amazonaws.com/2024-cards/collin-snider.png" TargetMode="External"/><Relationship Id="rId493" Type="http://schemas.openxmlformats.org/officeDocument/2006/relationships/hyperlink" Target="https://sba-cards-2024.s3.us-east-1.amazonaws.com/2024-cards/jason-heyward.png" TargetMode="External"/><Relationship Id="rId250" Type="http://schemas.openxmlformats.org/officeDocument/2006/relationships/hyperlink" Target="https://sba-cards-2024.s3.us-east-1.amazonaws.com/2024-cards/colin-rea.png" TargetMode="External"/><Relationship Id="rId492" Type="http://schemas.openxmlformats.org/officeDocument/2006/relationships/hyperlink" Target="https://sba-cards-2024.s3.us-east-1.amazonaws.com/2024-cards/jason-foley.png" TargetMode="External"/><Relationship Id="rId257" Type="http://schemas.openxmlformats.org/officeDocument/2006/relationships/hyperlink" Target="https://sba-cards-2024.s3.us-east-1.amazonaws.com/2024-cards/connor-wong.png" TargetMode="External"/><Relationship Id="rId499" Type="http://schemas.openxmlformats.org/officeDocument/2006/relationships/hyperlink" Target="https://sba-cards-2024.s3.us-east-1.amazonaws.com/2024-cards/jd-davis.png" TargetMode="External"/><Relationship Id="rId256" Type="http://schemas.openxmlformats.org/officeDocument/2006/relationships/hyperlink" Target="https://sba-cards-2024.s3.us-east-1.amazonaws.com/2024-cards/connor-norby.png" TargetMode="External"/><Relationship Id="rId498" Type="http://schemas.openxmlformats.org/officeDocument/2006/relationships/hyperlink" Target="https://sba-cards-2024.s3.us-east-1.amazonaws.com/2024-cards/jazz-chisholm.png" TargetMode="External"/><Relationship Id="rId255" Type="http://schemas.openxmlformats.org/officeDocument/2006/relationships/hyperlink" Target="https://sba-cards-2024.s3.us-east-1.amazonaws.com/2024-cards/connor-joe.png" TargetMode="External"/><Relationship Id="rId497" Type="http://schemas.openxmlformats.org/officeDocument/2006/relationships/hyperlink" Target="https://sba-cards-2024.s3.us-east-1.amazonaws.com/2024-cards/jay-jackson.png" TargetMode="External"/><Relationship Id="rId254" Type="http://schemas.openxmlformats.org/officeDocument/2006/relationships/hyperlink" Target="https://sba-cards-2024.s3.us-east-1.amazonaws.com/2024-cards/colton-cowser.png" TargetMode="External"/><Relationship Id="rId496" Type="http://schemas.openxmlformats.org/officeDocument/2006/relationships/hyperlink" Target="https://sba-cards-2024.s3.us-east-1.amazonaws.com/2024-cards/javier-baez.png" TargetMode="External"/><Relationship Id="rId293" Type="http://schemas.openxmlformats.org/officeDocument/2006/relationships/hyperlink" Target="https://sba-cards-2024.s3.us-east-1.amazonaws.com/2024-cards/david-peterson.png" TargetMode="External"/><Relationship Id="rId292" Type="http://schemas.openxmlformats.org/officeDocument/2006/relationships/hyperlink" Target="https://sba-cards-2024.s3.us-east-1.amazonaws.com/2024-cards/david-peralta.png" TargetMode="External"/><Relationship Id="rId291" Type="http://schemas.openxmlformats.org/officeDocument/2006/relationships/hyperlink" Target="https://sba-cards-2024.s3.us-east-1.amazonaws.com/2024-cards/david-hamilton.png" TargetMode="External"/><Relationship Id="rId290" Type="http://schemas.openxmlformats.org/officeDocument/2006/relationships/hyperlink" Target="https://sba-cards-2024.s3.us-east-1.amazonaws.com/2024-cards/david-fry.png" TargetMode="External"/><Relationship Id="rId286" Type="http://schemas.openxmlformats.org/officeDocument/2006/relationships/hyperlink" Target="https://sba-cards-2024.s3.us-east-1.amazonaws.com/2024-cards/daulton-varsho.png" TargetMode="External"/><Relationship Id="rId285" Type="http://schemas.openxmlformats.org/officeDocument/2006/relationships/hyperlink" Target="https://sba-cards-2024.s3.us-east-1.amazonaws.com/2024-cards/darren-mccaughan.png" TargetMode="External"/><Relationship Id="rId284" Type="http://schemas.openxmlformats.org/officeDocument/2006/relationships/hyperlink" Target="https://sba-cards-2024.s3.us-east-1.amazonaws.com/2024-cards/darell-hernaiz.png" TargetMode="External"/><Relationship Id="rId283" Type="http://schemas.openxmlformats.org/officeDocument/2006/relationships/hyperlink" Target="https://sba-cards-2024.s3.us-east-1.amazonaws.com/2024-cards/dany-jimenez.png" TargetMode="External"/><Relationship Id="rId289" Type="http://schemas.openxmlformats.org/officeDocument/2006/relationships/hyperlink" Target="https://sba-cards-2024.s3.us-east-1.amazonaws.com/2024-cards/david-festa.png" TargetMode="External"/><Relationship Id="rId288" Type="http://schemas.openxmlformats.org/officeDocument/2006/relationships/hyperlink" Target="https://sba-cards-2024.s3.us-east-1.amazonaws.com/2024-cards/david-dahl.png" TargetMode="External"/><Relationship Id="rId287" Type="http://schemas.openxmlformats.org/officeDocument/2006/relationships/hyperlink" Target="https://sba-cards-2024.s3.us-east-1.amazonaws.com/2024-cards/david-bednar.png" TargetMode="External"/><Relationship Id="rId282" Type="http://schemas.openxmlformats.org/officeDocument/2006/relationships/hyperlink" Target="https://sba-cards-2024.s3.us-east-1.amazonaws.com/2024-cards/dansby-swanson.png" TargetMode="External"/><Relationship Id="rId281" Type="http://schemas.openxmlformats.org/officeDocument/2006/relationships/hyperlink" Target="https://sba-cards-2024.s3.us-east-1.amazonaws.com/2024-cards/danny-young.png" TargetMode="External"/><Relationship Id="rId280" Type="http://schemas.openxmlformats.org/officeDocument/2006/relationships/hyperlink" Target="https://sba-cards-2024.s3.us-east-1.amazonaws.com/2024-cards/danny-mendick.png" TargetMode="External"/><Relationship Id="rId275" Type="http://schemas.openxmlformats.org/officeDocument/2006/relationships/hyperlink" Target="https://sba-cards-2024.s3.us-east-1.amazonaws.com/2024-cards/daniel-hudson.png" TargetMode="External"/><Relationship Id="rId274" Type="http://schemas.openxmlformats.org/officeDocument/2006/relationships/hyperlink" Target="https://sba-cards-2024.s3.us-east-1.amazonaws.com/2024-cards/daniel-coulombe.png" TargetMode="External"/><Relationship Id="rId273" Type="http://schemas.openxmlformats.org/officeDocument/2006/relationships/hyperlink" Target="https://sba-cards-2024.s3.us-east-1.amazonaws.com/2024-cards/dane-myers.png" TargetMode="External"/><Relationship Id="rId272" Type="http://schemas.openxmlformats.org/officeDocument/2006/relationships/hyperlink" Target="https://sba-cards-2024.s3.us-east-1.amazonaws.com/2024-cards/dane-dunning.png" TargetMode="External"/><Relationship Id="rId279" Type="http://schemas.openxmlformats.org/officeDocument/2006/relationships/hyperlink" Target="https://sba-cards-2024.s3.us-east-1.amazonaws.com/2024-cards/danny-jansen.png" TargetMode="External"/><Relationship Id="rId278" Type="http://schemas.openxmlformats.org/officeDocument/2006/relationships/hyperlink" Target="https://sba-cards-2024.s3.us-east-1.amazonaws.com/2024-cards/daniel-vogelbach.png" TargetMode="External"/><Relationship Id="rId277" Type="http://schemas.openxmlformats.org/officeDocument/2006/relationships/hyperlink" Target="https://sba-cards-2024.s3.us-east-1.amazonaws.com/2024-cards/daniel-schneemann.png" TargetMode="External"/><Relationship Id="rId276" Type="http://schemas.openxmlformats.org/officeDocument/2006/relationships/hyperlink" Target="https://sba-cards-2024.s3.us-east-1.amazonaws.com/2024-cards/daniel-lynch.png" TargetMode="External"/><Relationship Id="rId907" Type="http://schemas.openxmlformats.org/officeDocument/2006/relationships/hyperlink" Target="https://sba-cards-2024.s3.us-east-1.amazonaws.com/2024-cards/ryan-noda.png" TargetMode="External"/><Relationship Id="rId906" Type="http://schemas.openxmlformats.org/officeDocument/2006/relationships/hyperlink" Target="https://sba-cards-2024.s3.us-east-1.amazonaws.com/2024-cards/ryan-mountcastle.png" TargetMode="External"/><Relationship Id="rId905" Type="http://schemas.openxmlformats.org/officeDocument/2006/relationships/hyperlink" Target="https://sba-cards-2024.s3.us-east-1.amazonaws.com/2024-cards/ryan-mcmahon.png" TargetMode="External"/><Relationship Id="rId904" Type="http://schemas.openxmlformats.org/officeDocument/2006/relationships/hyperlink" Target="https://sba-cards-2024.s3.us-east-1.amazonaws.com/2024-cards/ryan-kreidler.png" TargetMode="External"/><Relationship Id="rId909" Type="http://schemas.openxmlformats.org/officeDocument/2006/relationships/hyperlink" Target="https://sba-cards-2024.s3.us-east-1.amazonaws.com/2024-cards/ryan-pepiot.png" TargetMode="External"/><Relationship Id="rId908" Type="http://schemas.openxmlformats.org/officeDocument/2006/relationships/hyperlink" Target="https://sba-cards-2024.s3.us-east-1.amazonaws.com/2024-cards/ryan-ohearn.png" TargetMode="External"/><Relationship Id="rId903" Type="http://schemas.openxmlformats.org/officeDocument/2006/relationships/hyperlink" Target="https://sba-cards-2024.s3.us-east-1.amazonaws.com/2024-cards/ryan-jeffers.png" TargetMode="External"/><Relationship Id="rId902" Type="http://schemas.openxmlformats.org/officeDocument/2006/relationships/hyperlink" Target="https://sba-cards-2024.s3.us-east-1.amazonaws.com/2024-cards/ryan-helsley.png" TargetMode="External"/><Relationship Id="rId901" Type="http://schemas.openxmlformats.org/officeDocument/2006/relationships/hyperlink" Target="https://sba-cards-2024.s3.us-east-1.amazonaws.com/2024-cards/ryan-fernandez.png" TargetMode="External"/><Relationship Id="rId900" Type="http://schemas.openxmlformats.org/officeDocument/2006/relationships/hyperlink" Target="https://sba-cards-2024.s3.us-east-1.amazonaws.com/2024-cards/ryan-feltner.png" TargetMode="External"/><Relationship Id="rId929" Type="http://schemas.openxmlformats.org/officeDocument/2006/relationships/hyperlink" Target="https://sba-cards-2024.s3.us-east-1.amazonaws.com/2024-cards/scott-mcgough.png" TargetMode="External"/><Relationship Id="rId928" Type="http://schemas.openxmlformats.org/officeDocument/2006/relationships/hyperlink" Target="https://sba-cards-2024.s3.us-east-1.amazonaws.com/2024-cards/scott-blewett.png" TargetMode="External"/><Relationship Id="rId927" Type="http://schemas.openxmlformats.org/officeDocument/2006/relationships/hyperlink" Target="https://sba-cards-2024.s3.us-east-1.amazonaws.com/2024-cards/scott-barlow.png" TargetMode="External"/><Relationship Id="rId926" Type="http://schemas.openxmlformats.org/officeDocument/2006/relationships/hyperlink" Target="https://sba-cards-2024.s3.us-east-1.amazonaws.com/2024-cards/scott-alexander.png" TargetMode="External"/><Relationship Id="rId921" Type="http://schemas.openxmlformats.org/officeDocument/2006/relationships/hyperlink" Target="https://sba-cards-2024.s3.us-east-1.amazonaws.com/2024-cards/sam-hentges.png" TargetMode="External"/><Relationship Id="rId920" Type="http://schemas.openxmlformats.org/officeDocument/2006/relationships/hyperlink" Target="https://sba-cards-2024.s3.us-east-1.amazonaws.com/2024-cards/salvador-perez.png" TargetMode="External"/><Relationship Id="rId925" Type="http://schemas.openxmlformats.org/officeDocument/2006/relationships/hyperlink" Target="https://sba-cards-2024.s3.us-east-1.amazonaws.com/2024-cards/santiago-espinal.png" TargetMode="External"/><Relationship Id="rId924" Type="http://schemas.openxmlformats.org/officeDocument/2006/relationships/hyperlink" Target="https://sba-cards-2024.s3.us-east-1.amazonaws.com/2024-cards/sam-moll.png" TargetMode="External"/><Relationship Id="rId923" Type="http://schemas.openxmlformats.org/officeDocument/2006/relationships/hyperlink" Target="https://sba-cards-2024.s3.us-east-1.amazonaws.com/2024-cards/sam-long.png" TargetMode="External"/><Relationship Id="rId922" Type="http://schemas.openxmlformats.org/officeDocument/2006/relationships/hyperlink" Target="https://sba-cards-2024.s3.us-east-1.amazonaws.com/2024-cards/sam-hilliard.png" TargetMode="External"/><Relationship Id="rId918" Type="http://schemas.openxmlformats.org/officeDocument/2006/relationships/hyperlink" Target="https://sba-cards-2024.s3.us-east-1.amazonaws.com/2024-cards/ryne-stanek.png" TargetMode="External"/><Relationship Id="rId917" Type="http://schemas.openxmlformats.org/officeDocument/2006/relationships/hyperlink" Target="https://sba-cards-2024.s3.us-east-1.amazonaws.com/2024-cards/ryne-nelson.png" TargetMode="External"/><Relationship Id="rId916" Type="http://schemas.openxmlformats.org/officeDocument/2006/relationships/hyperlink" Target="https://sba-cards-2024.s3.us-east-1.amazonaws.com/2024-cards/ryder-ryan.png" TargetMode="External"/><Relationship Id="rId915" Type="http://schemas.openxmlformats.org/officeDocument/2006/relationships/hyperlink" Target="https://sba-cards-2024.s3.us-east-1.amazonaws.com/2024-cards/ryan-yarbrough.png" TargetMode="External"/><Relationship Id="rId919" Type="http://schemas.openxmlformats.org/officeDocument/2006/relationships/hyperlink" Target="https://sba-cards-2024.s3.us-east-1.amazonaws.com/2024-cards/sal-frelick.png" TargetMode="External"/><Relationship Id="rId910" Type="http://schemas.openxmlformats.org/officeDocument/2006/relationships/hyperlink" Target="https://sba-cards-2024.s3.us-east-1.amazonaws.com/2024-cards/ryan-pressly.png" TargetMode="External"/><Relationship Id="rId914" Type="http://schemas.openxmlformats.org/officeDocument/2006/relationships/hyperlink" Target="https://sba-cards-2024.s3.us-east-1.amazonaws.com/2024-cards/ryan-weathers.png" TargetMode="External"/><Relationship Id="rId913" Type="http://schemas.openxmlformats.org/officeDocument/2006/relationships/hyperlink" Target="https://i.postimg.cc/856MfVTD/Walker-FC.png" TargetMode="External"/><Relationship Id="rId912" Type="http://schemas.openxmlformats.org/officeDocument/2006/relationships/hyperlink" Target="https://sba-cards-2024.s3.us-east-1.amazonaws.com/2024-cards/ryan-walker.png" TargetMode="External"/><Relationship Id="rId911" Type="http://schemas.openxmlformats.org/officeDocument/2006/relationships/hyperlink" Target="https://sba-cards-2024.s3.us-east-1.amazonaws.com/2024-cards/ryan-thompson.png" TargetMode="External"/><Relationship Id="rId629" Type="http://schemas.openxmlformats.org/officeDocument/2006/relationships/hyperlink" Target="https://sba-cards-2024.s3.us-east-1.amazonaws.com/2024-cards/keegan-akin.png" TargetMode="External"/><Relationship Id="rId624" Type="http://schemas.openxmlformats.org/officeDocument/2006/relationships/hyperlink" Target="https://sba-cards-2024.s3.us-east-1.amazonaws.com/2024-cards/justin-wrobleski.png" TargetMode="External"/><Relationship Id="rId866" Type="http://schemas.openxmlformats.org/officeDocument/2006/relationships/hyperlink" Target="https://sba-cards-2024.s3.us-east-1.amazonaws.com/2024-cards/randal-grichuk.png" TargetMode="External"/><Relationship Id="rId623" Type="http://schemas.openxmlformats.org/officeDocument/2006/relationships/hyperlink" Target="https://sba-cards-2024.s3.us-east-1.amazonaws.com/2024-cards/justin-wilson.png" TargetMode="External"/><Relationship Id="rId865" Type="http://schemas.openxmlformats.org/officeDocument/2006/relationships/hyperlink" Target="https://sba-cards-2024.s3.us-east-1.amazonaws.com/2024-cards/ramon-urias.png" TargetMode="External"/><Relationship Id="rId622" Type="http://schemas.openxmlformats.org/officeDocument/2006/relationships/hyperlink" Target="https://sba-cards-2024.s3.us-east-1.amazonaws.com/2024-cards/justin-verlander.png" TargetMode="External"/><Relationship Id="rId864" Type="http://schemas.openxmlformats.org/officeDocument/2006/relationships/hyperlink" Target="https://sba-cards-2024.s3.us-east-1.amazonaws.com/2024-cards/ramon-laureano.png" TargetMode="External"/><Relationship Id="rId621" Type="http://schemas.openxmlformats.org/officeDocument/2006/relationships/hyperlink" Target="https://sba-cards-2024.s3.us-east-1.amazonaws.com/2024-cards/justin-turner.png" TargetMode="External"/><Relationship Id="rId863" Type="http://schemas.openxmlformats.org/officeDocument/2006/relationships/hyperlink" Target="https://sba-cards-2024.s3.us-east-1.amazonaws.com/2024-cards/raisel-iglesias.png" TargetMode="External"/><Relationship Id="rId628" Type="http://schemas.openxmlformats.org/officeDocument/2006/relationships/hyperlink" Target="https://sba-cards-2024.s3.us-east-1.amazonaws.com/2024-cards/kebryan-hayes.png" TargetMode="External"/><Relationship Id="rId627" Type="http://schemas.openxmlformats.org/officeDocument/2006/relationships/hyperlink" Target="https://sba-cards-2024.s3.us-east-1.amazonaws.com/2024-cards/keaton-winn.png" TargetMode="External"/><Relationship Id="rId869" Type="http://schemas.openxmlformats.org/officeDocument/2006/relationships/hyperlink" Target="https://sba-cards-2024.s3.us-east-1.amazonaws.com/2024-cards/randy-rodriguez.png" TargetMode="External"/><Relationship Id="rId626" Type="http://schemas.openxmlformats.org/officeDocument/2006/relationships/hyperlink" Target="https://sba-cards-2024.s3.us-east-1.amazonaws.com/2024-cards/kaleb-ort.png" TargetMode="External"/><Relationship Id="rId868" Type="http://schemas.openxmlformats.org/officeDocument/2006/relationships/hyperlink" Target="https://i.postimg.cc/sgr6Vw9c/Arozarena-FC.png" TargetMode="External"/><Relationship Id="rId625" Type="http://schemas.openxmlformats.org/officeDocument/2006/relationships/hyperlink" Target="https://sba-cards-2024.s3.us-east-1.amazonaws.com/2024-cards/justyn-henry-malloy.png" TargetMode="External"/><Relationship Id="rId867" Type="http://schemas.openxmlformats.org/officeDocument/2006/relationships/hyperlink" Target="https://sba-cards-2024.s3.us-east-1.amazonaws.com/2024-cards/randy-arozarena.png" TargetMode="External"/><Relationship Id="rId620" Type="http://schemas.openxmlformats.org/officeDocument/2006/relationships/hyperlink" Target="https://sba-cards-2024.s3.us-east-1.amazonaws.com/2024-cards/justin-steele.png" TargetMode="External"/><Relationship Id="rId862" Type="http://schemas.openxmlformats.org/officeDocument/2006/relationships/hyperlink" Target="https://sba-cards-2024.s3.us-east-1.amazonaws.com/2024-cards/rafael-montero.png" TargetMode="External"/><Relationship Id="rId861" Type="http://schemas.openxmlformats.org/officeDocument/2006/relationships/hyperlink" Target="https://sba-cards-2024.s3.us-east-1.amazonaws.com/2024-cards/rafael-devers.png" TargetMode="External"/><Relationship Id="rId860" Type="http://schemas.openxmlformats.org/officeDocument/2006/relationships/hyperlink" Target="https://sba-cards-2024.s3.us-east-1.amazonaws.com/2024-cards/quinn-priester.png" TargetMode="External"/><Relationship Id="rId619" Type="http://schemas.openxmlformats.org/officeDocument/2006/relationships/hyperlink" Target="https://sba-cards-2024.s3.us-east-1.amazonaws.com/2024-cards/justin-slaten.png" TargetMode="External"/><Relationship Id="rId618" Type="http://schemas.openxmlformats.org/officeDocument/2006/relationships/hyperlink" Target="https://i.postimg.cc/sx5YqCL8/Martinez-FC.png" TargetMode="External"/><Relationship Id="rId613" Type="http://schemas.openxmlformats.org/officeDocument/2006/relationships/hyperlink" Target="https://sba-cards-2024.s3.us-east-1.amazonaws.com/2024-cards/junior-caminero.png" TargetMode="External"/><Relationship Id="rId855" Type="http://schemas.openxmlformats.org/officeDocument/2006/relationships/hyperlink" Target="https://sba-cards-2024.s3.us-east-1.amazonaws.com/2024-cards/pete-fairbanks.png" TargetMode="External"/><Relationship Id="rId612" Type="http://schemas.openxmlformats.org/officeDocument/2006/relationships/hyperlink" Target="https://sba-cards-2024.s3.us-east-1.amazonaws.com/2024-cards/jung-hoo-lee.png" TargetMode="External"/><Relationship Id="rId854" Type="http://schemas.openxmlformats.org/officeDocument/2006/relationships/hyperlink" Target="https://sba-cards-2024.s3.us-east-1.amazonaws.com/2024-cards/pete-crow-armstrong.png" TargetMode="External"/><Relationship Id="rId611" Type="http://schemas.openxmlformats.org/officeDocument/2006/relationships/hyperlink" Target="https://sba-cards-2024.s3.us-east-1.amazonaws.com/2024-cards/julio-rodriguez.png" TargetMode="External"/><Relationship Id="rId853" Type="http://schemas.openxmlformats.org/officeDocument/2006/relationships/hyperlink" Target="https://i.postimg.cc/hPpzjGVm/Alonso-FC.png" TargetMode="External"/><Relationship Id="rId610" Type="http://schemas.openxmlformats.org/officeDocument/2006/relationships/hyperlink" Target="https://sba-cards-2024.s3.us-east-1.amazonaws.com/2024-cards/julian-aguiar.png" TargetMode="External"/><Relationship Id="rId852" Type="http://schemas.openxmlformats.org/officeDocument/2006/relationships/hyperlink" Target="https://sba-cards-2024.s3.us-east-1.amazonaws.com/2024-cards/pete-alonso.png" TargetMode="External"/><Relationship Id="rId617" Type="http://schemas.openxmlformats.org/officeDocument/2006/relationships/hyperlink" Target="https://sba-cards-2024.s3.us-east-1.amazonaws.com/2024-cards/justin-martinez.png" TargetMode="External"/><Relationship Id="rId859" Type="http://schemas.openxmlformats.org/officeDocument/2006/relationships/hyperlink" Target="https://sba-cards-2024.s3.us-east-1.amazonaws.com/2024-cards/porter-hodge.png" TargetMode="External"/><Relationship Id="rId616" Type="http://schemas.openxmlformats.org/officeDocument/2006/relationships/hyperlink" Target="https://sba-cards-2024.s3.us-east-1.amazonaws.com/2024-cards/justin-lawrence.png" TargetMode="External"/><Relationship Id="rId858" Type="http://schemas.openxmlformats.org/officeDocument/2006/relationships/hyperlink" Target="https://sba-cards-2024.s3.us-east-1.amazonaws.com/2024-cards/pierce-johnson.png" TargetMode="External"/><Relationship Id="rId615" Type="http://schemas.openxmlformats.org/officeDocument/2006/relationships/hyperlink" Target="https://sba-cards-2024.s3.us-east-1.amazonaws.com/2024-cards/justin-anderson.png" TargetMode="External"/><Relationship Id="rId857" Type="http://schemas.openxmlformats.org/officeDocument/2006/relationships/hyperlink" Target="https://sba-cards-2024.s3.us-east-1.amazonaws.com/2024-cards/phil-maton.png" TargetMode="External"/><Relationship Id="rId614" Type="http://schemas.openxmlformats.org/officeDocument/2006/relationships/hyperlink" Target="https://sba-cards-2024.s3.us-east-1.amazonaws.com/2024-cards/jurickson-profar.png" TargetMode="External"/><Relationship Id="rId856" Type="http://schemas.openxmlformats.org/officeDocument/2006/relationships/hyperlink" Target="https://sba-cards-2024.s3.us-east-1.amazonaws.com/2024-cards/peter-lambert.png" TargetMode="External"/><Relationship Id="rId851" Type="http://schemas.openxmlformats.org/officeDocument/2006/relationships/hyperlink" Target="https://sba-cards-2024.s3.us-east-1.amazonaws.com/2024-cards/pedro-pages.png" TargetMode="External"/><Relationship Id="rId850" Type="http://schemas.openxmlformats.org/officeDocument/2006/relationships/hyperlink" Target="https://sba-cards-2024.s3.us-east-1.amazonaws.com/2024-cards/pedro-avila.png" TargetMode="External"/><Relationship Id="rId409" Type="http://schemas.openxmlformats.org/officeDocument/2006/relationships/hyperlink" Target="https://sba-cards-2024.s3.us-east-1.amazonaws.com/2024-cards/griffin-canning.png" TargetMode="External"/><Relationship Id="rId404" Type="http://schemas.openxmlformats.org/officeDocument/2006/relationships/hyperlink" Target="https://sba-cards-2024.s3.us-east-1.amazonaws.com/2024-cards/grant-holmes.png" TargetMode="External"/><Relationship Id="rId646" Type="http://schemas.openxmlformats.org/officeDocument/2006/relationships/hyperlink" Target="https://sba-cards-2024.s3.us-east-1.amazonaws.com/2024-cards/kody-clemens.png" TargetMode="External"/><Relationship Id="rId888" Type="http://schemas.openxmlformats.org/officeDocument/2006/relationships/hyperlink" Target="https://sba-cards-2024.s3.us-east-1.amazonaws.com/2024-cards/robert-suarez.png" TargetMode="External"/><Relationship Id="rId403" Type="http://schemas.openxmlformats.org/officeDocument/2006/relationships/hyperlink" Target="https://sba-cards-2024.s3.us-east-1.amazonaws.com/2024-cards/grant-anderson.png" TargetMode="External"/><Relationship Id="rId645" Type="http://schemas.openxmlformats.org/officeDocument/2006/relationships/hyperlink" Target="https://sba-cards-2024.s3.us-east-1.amazonaws.com/2024-cards/kirby-yates.png" TargetMode="External"/><Relationship Id="rId887" Type="http://schemas.openxmlformats.org/officeDocument/2006/relationships/hyperlink" Target="https://sba-cards-2024.s3.us-east-1.amazonaws.com/2024-cards/robert-garcia.png" TargetMode="External"/><Relationship Id="rId402" Type="http://schemas.openxmlformats.org/officeDocument/2006/relationships/hyperlink" Target="https://sba-cards-2024.s3.us-east-1.amazonaws.com/2024-cards/graham-ashcraft.png" TargetMode="External"/><Relationship Id="rId644" Type="http://schemas.openxmlformats.org/officeDocument/2006/relationships/hyperlink" Target="https://i.postimg.cc/0QFnhfyD/Pillar-FC.png" TargetMode="External"/><Relationship Id="rId886" Type="http://schemas.openxmlformats.org/officeDocument/2006/relationships/hyperlink" Target="https://sba-cards-2024.s3.us-east-1.amazonaws.com/2024-cards/robbie-ray.png" TargetMode="External"/><Relationship Id="rId401" Type="http://schemas.openxmlformats.org/officeDocument/2006/relationships/hyperlink" Target="https://sba-cards-2024.s3.us-east-1.amazonaws.com/2024-cards/gleyber-torres.png" TargetMode="External"/><Relationship Id="rId643" Type="http://schemas.openxmlformats.org/officeDocument/2006/relationships/hyperlink" Target="https://sba-cards-2024.s3.us-east-1.amazonaws.com/2024-cards/kevin-pillar.png" TargetMode="External"/><Relationship Id="rId885" Type="http://schemas.openxmlformats.org/officeDocument/2006/relationships/hyperlink" Target="https://sba-cards-2024.s3.us-east-1.amazonaws.com/2024-cards/robbie-grossman.png" TargetMode="External"/><Relationship Id="rId408" Type="http://schemas.openxmlformats.org/officeDocument/2006/relationships/hyperlink" Target="https://sba-cards-2024.s3.us-east-1.amazonaws.com/2024-cards/gregory-soto.png" TargetMode="External"/><Relationship Id="rId407" Type="http://schemas.openxmlformats.org/officeDocument/2006/relationships/hyperlink" Target="https://sba-cards-2024.s3.us-east-1.amazonaws.com/2024-cards/greg-weissert.png" TargetMode="External"/><Relationship Id="rId649" Type="http://schemas.openxmlformats.org/officeDocument/2006/relationships/hyperlink" Target="https://sba-cards-2024.s3.us-east-1.amazonaws.com/2024-cards/kris-bryant.png" TargetMode="External"/><Relationship Id="rId406" Type="http://schemas.openxmlformats.org/officeDocument/2006/relationships/hyperlink" Target="https://sba-cards-2024.s3.us-east-1.amazonaws.com/2024-cards/grayson-rodriguez.png" TargetMode="External"/><Relationship Id="rId648" Type="http://schemas.openxmlformats.org/officeDocument/2006/relationships/hyperlink" Target="https://sba-cards-2024.s3.us-east-1.amazonaws.com/2024-cards/korey-lee.png" TargetMode="External"/><Relationship Id="rId405" Type="http://schemas.openxmlformats.org/officeDocument/2006/relationships/hyperlink" Target="https://sba-cards-2024.s3.us-east-1.amazonaws.com/2024-cards/grant-mccray.png" TargetMode="External"/><Relationship Id="rId647" Type="http://schemas.openxmlformats.org/officeDocument/2006/relationships/hyperlink" Target="https://sba-cards-2024.s3.us-east-1.amazonaws.com/2024-cards/kody-funderburk.png" TargetMode="External"/><Relationship Id="rId889" Type="http://schemas.openxmlformats.org/officeDocument/2006/relationships/hyperlink" Target="https://sba-cards-2024.s3.us-east-1.amazonaws.com/2024-cards/roddery-munoz.png" TargetMode="External"/><Relationship Id="rId880" Type="http://schemas.openxmlformats.org/officeDocument/2006/relationships/hyperlink" Target="https://sba-cards-2024.s3.us-east-1.amazonaws.com/2024-cards/richie-palacios.png" TargetMode="External"/><Relationship Id="rId400" Type="http://schemas.openxmlformats.org/officeDocument/2006/relationships/hyperlink" Target="https://sba-cards-2024.s3.us-east-1.amazonaws.com/2024-cards/giovanny-gallegos.png" TargetMode="External"/><Relationship Id="rId642" Type="http://schemas.openxmlformats.org/officeDocument/2006/relationships/hyperlink" Target="https://sba-cards-2024.s3.us-east-1.amazonaws.com/2024-cards/kevin-newman.png" TargetMode="External"/><Relationship Id="rId884" Type="http://schemas.openxmlformats.org/officeDocument/2006/relationships/hyperlink" Target="https://sba-cards-2024.s3.us-east-1.amazonaws.com/2024-cards/rob-refsnyder.png" TargetMode="External"/><Relationship Id="rId641" Type="http://schemas.openxmlformats.org/officeDocument/2006/relationships/hyperlink" Target="https://sba-cards-2024.s3.us-east-1.amazonaws.com/2024-cards/kevin-kiermaier.png" TargetMode="External"/><Relationship Id="rId883" Type="http://schemas.openxmlformats.org/officeDocument/2006/relationships/hyperlink" Target="https://sba-cards-2024.s3.us-east-1.amazonaws.com/2024-cards/roansy-contreras.png" TargetMode="External"/><Relationship Id="rId640" Type="http://schemas.openxmlformats.org/officeDocument/2006/relationships/hyperlink" Target="https://sba-cards-2024.s3.us-east-1.amazonaws.com/2024-cards/kevin-kelly.png" TargetMode="External"/><Relationship Id="rId882" Type="http://schemas.openxmlformats.org/officeDocument/2006/relationships/hyperlink" Target="https://sba-cards-2024.s3.us-east-1.amazonaws.com/2024-cards/riley-greene.png" TargetMode="External"/><Relationship Id="rId881" Type="http://schemas.openxmlformats.org/officeDocument/2006/relationships/hyperlink" Target="https://sba-cards-2024.s3.us-east-1.amazonaws.com/2024-cards/riley-adams.png" TargetMode="External"/><Relationship Id="rId635" Type="http://schemas.openxmlformats.org/officeDocument/2006/relationships/hyperlink" Target="https://sba-cards-2024.s3.us-east-1.amazonaws.com/2024-cards/kerry-carpenter.png" TargetMode="External"/><Relationship Id="rId877" Type="http://schemas.openxmlformats.org/officeDocument/2006/relationships/hyperlink" Target="https://sba-cards-2024.s3.us-east-1.amazonaws.com/2024-cards/rhett-lowder.png" TargetMode="External"/><Relationship Id="rId634" Type="http://schemas.openxmlformats.org/officeDocument/2006/relationships/hyperlink" Target="https://sba-cards-2024.s3.us-east-1.amazonaws.com/2024-cards/kenta-maeda.png" TargetMode="External"/><Relationship Id="rId876" Type="http://schemas.openxmlformats.org/officeDocument/2006/relationships/hyperlink" Target="https://sba-cards-2024.s3.us-east-1.amazonaws.com/2024-cards/reynaldo-lopez.png" TargetMode="External"/><Relationship Id="rId633" Type="http://schemas.openxmlformats.org/officeDocument/2006/relationships/hyperlink" Target="https://sba-cards-2024.s3.us-east-1.amazonaws.com/2024-cards/kenley-jansen.png" TargetMode="External"/><Relationship Id="rId875" Type="http://schemas.openxmlformats.org/officeDocument/2006/relationships/hyperlink" Target="https://sba-cards-2024.s3.us-east-1.amazonaws.com/2024-cards/reid-detmers.png" TargetMode="External"/><Relationship Id="rId632" Type="http://schemas.openxmlformats.org/officeDocument/2006/relationships/hyperlink" Target="https://sba-cards-2024.s3.us-east-1.amazonaws.com/2024-cards/keider-montero.png" TargetMode="External"/><Relationship Id="rId874" Type="http://schemas.openxmlformats.org/officeDocument/2006/relationships/hyperlink" Target="https://sba-cards-2024.s3.us-east-1.amazonaws.com/2024-cards/reese-olson.png" TargetMode="External"/><Relationship Id="rId639" Type="http://schemas.openxmlformats.org/officeDocument/2006/relationships/hyperlink" Target="https://sba-cards-2024.s3.us-east-1.amazonaws.com/2024-cards/kevin-ginkel.png" TargetMode="External"/><Relationship Id="rId638" Type="http://schemas.openxmlformats.org/officeDocument/2006/relationships/hyperlink" Target="https://sba-cards-2024.s3.us-east-1.amazonaws.com/2024-cards/kevin-gausman.png" TargetMode="External"/><Relationship Id="rId637" Type="http://schemas.openxmlformats.org/officeDocument/2006/relationships/hyperlink" Target="https://i.postimg.cc/3y7WZCxn/ss-2b.png" TargetMode="External"/><Relationship Id="rId879" Type="http://schemas.openxmlformats.org/officeDocument/2006/relationships/hyperlink" Target="https://sba-cards-2024.s3.us-east-1.amazonaws.com/2024-cards/richard-lovelady.png" TargetMode="External"/><Relationship Id="rId636" Type="http://schemas.openxmlformats.org/officeDocument/2006/relationships/hyperlink" Target="https://sba-cards-2024.s3.us-east-1.amazonaws.com/2024-cards/ketel-marte.png" TargetMode="External"/><Relationship Id="rId878" Type="http://schemas.openxmlformats.org/officeDocument/2006/relationships/hyperlink" Target="https://sba-cards-2024.s3.us-east-1.amazonaws.com/2024-cards/rhys-hoskins.png" TargetMode="External"/><Relationship Id="rId631" Type="http://schemas.openxmlformats.org/officeDocument/2006/relationships/hyperlink" Target="https://sba-cards-2024.s3.us-east-1.amazonaws.com/2024-cards/keibert-ruiz.png" TargetMode="External"/><Relationship Id="rId873" Type="http://schemas.openxmlformats.org/officeDocument/2006/relationships/hyperlink" Target="https://sba-cards-2024.s3.us-east-1.amazonaws.com/2024-cards/reese-mcguire.png" TargetMode="External"/><Relationship Id="rId630" Type="http://schemas.openxmlformats.org/officeDocument/2006/relationships/hyperlink" Target="https://sba-cards-2024.s3.us-east-1.amazonaws.com/2024-cards/keegan-thompson.png" TargetMode="External"/><Relationship Id="rId872" Type="http://schemas.openxmlformats.org/officeDocument/2006/relationships/hyperlink" Target="https://sba-cards-2024.s3.us-east-1.amazonaws.com/2024-cards/reed-garrett.png" TargetMode="External"/><Relationship Id="rId871" Type="http://schemas.openxmlformats.org/officeDocument/2006/relationships/hyperlink" Target="https://sba-cards-2024.s3.us-east-1.amazonaws.com/2024-cards/ranger-suarez.png" TargetMode="External"/><Relationship Id="rId870" Type="http://schemas.openxmlformats.org/officeDocument/2006/relationships/hyperlink" Target="https://sba-cards-2024.s3.us-east-1.amazonaws.com/2024-cards/randy-vasquez.png" TargetMode="External"/><Relationship Id="rId829" Type="http://schemas.openxmlformats.org/officeDocument/2006/relationships/hyperlink" Target="https://sba-cards-2024.s3.us-east-1.amazonaws.com/2024-cards/omar-narvaez.png" TargetMode="External"/><Relationship Id="rId828" Type="http://schemas.openxmlformats.org/officeDocument/2006/relationships/hyperlink" Target="https://sba-cards-2024.s3.us-east-1.amazonaws.com/2024-cards/oliver-dunn.png" TargetMode="External"/><Relationship Id="rId827" Type="http://schemas.openxmlformats.org/officeDocument/2006/relationships/hyperlink" Target="https://sba-cards-2024.s3.us-east-1.amazonaws.com/2024-cards/nolan-schanuel.png" TargetMode="External"/><Relationship Id="rId822" Type="http://schemas.openxmlformats.org/officeDocument/2006/relationships/hyperlink" Target="https://sba-cards-2024.s3.us-east-1.amazonaws.com/2024-cards/noelvi-marte.png" TargetMode="External"/><Relationship Id="rId821" Type="http://schemas.openxmlformats.org/officeDocument/2006/relationships/hyperlink" Target="https://sba-cards-2024.s3.us-east-1.amazonaws.com/2024-cards/noah-davis.png" TargetMode="External"/><Relationship Id="rId820" Type="http://schemas.openxmlformats.org/officeDocument/2006/relationships/hyperlink" Target="https://sba-cards-2024.s3.us-east-1.amazonaws.com/2024-cards/niko-kavadas.png" TargetMode="External"/><Relationship Id="rId826" Type="http://schemas.openxmlformats.org/officeDocument/2006/relationships/hyperlink" Target="https://sba-cards-2024.s3.us-east-1.amazonaws.com/2024-cards/nolan-jones.png" TargetMode="External"/><Relationship Id="rId825" Type="http://schemas.openxmlformats.org/officeDocument/2006/relationships/hyperlink" Target="https://sba-cards-2024.s3.us-east-1.amazonaws.com/2024-cards/nolan-gorman.png" TargetMode="External"/><Relationship Id="rId824" Type="http://schemas.openxmlformats.org/officeDocument/2006/relationships/hyperlink" Target="https://i.postimg.cc/sM5vS0sJ/gg-3b.png" TargetMode="External"/><Relationship Id="rId823" Type="http://schemas.openxmlformats.org/officeDocument/2006/relationships/hyperlink" Target="https://sba-cards-2024.s3.us-east-1.amazonaws.com/2024-cards/nolan-arenado.png" TargetMode="External"/><Relationship Id="rId819" Type="http://schemas.openxmlformats.org/officeDocument/2006/relationships/hyperlink" Target="https://sba-cards-2024.s3.us-east-1.amazonaws.com/2024-cards/nico-hoerner.png" TargetMode="External"/><Relationship Id="rId818" Type="http://schemas.openxmlformats.org/officeDocument/2006/relationships/hyperlink" Target="https://sba-cards-2024.s3.us-east-1.amazonaws.com/2024-cards/nicky-lopez.png" TargetMode="External"/><Relationship Id="rId817" Type="http://schemas.openxmlformats.org/officeDocument/2006/relationships/hyperlink" Target="https://sba-cards-2024.s3.us-east-1.amazonaws.com/2024-cards/nick-sogard.png" TargetMode="External"/><Relationship Id="rId816" Type="http://schemas.openxmlformats.org/officeDocument/2006/relationships/hyperlink" Target="https://sba-cards-2024.s3.us-east-1.amazonaws.com/2024-cards/nick-senzel.png" TargetMode="External"/><Relationship Id="rId811" Type="http://schemas.openxmlformats.org/officeDocument/2006/relationships/hyperlink" Target="https://sba-cards-2024.s3.us-east-1.amazonaws.com/2024-cards/nick-martini.png" TargetMode="External"/><Relationship Id="rId810" Type="http://schemas.openxmlformats.org/officeDocument/2006/relationships/hyperlink" Target="https://sba-cards-2024.s3.us-east-1.amazonaws.com/2024-cards/nick-martinez.png" TargetMode="External"/><Relationship Id="rId815" Type="http://schemas.openxmlformats.org/officeDocument/2006/relationships/hyperlink" Target="https://sba-cards-2024.s3.us-east-1.amazonaws.com/2024-cards/nick-sandlin.png" TargetMode="External"/><Relationship Id="rId814" Type="http://schemas.openxmlformats.org/officeDocument/2006/relationships/hyperlink" Target="https://sba-cards-2024.s3.us-east-1.amazonaws.com/2024-cards/nick-pivetta.png" TargetMode="External"/><Relationship Id="rId813" Type="http://schemas.openxmlformats.org/officeDocument/2006/relationships/hyperlink" Target="https://sba-cards-2024.s3.us-east-1.amazonaws.com/2024-cards/nick-nastrini.png" TargetMode="External"/><Relationship Id="rId812" Type="http://schemas.openxmlformats.org/officeDocument/2006/relationships/hyperlink" Target="https://sba-cards-2024.s3.us-east-1.amazonaws.com/2024-cards/nick-mears.png" TargetMode="External"/><Relationship Id="rId609" Type="http://schemas.openxmlformats.org/officeDocument/2006/relationships/hyperlink" Target="https://sba-cards-2024.s3.us-east-1.amazonaws.com/2024-cards/juan-yepez.png" TargetMode="External"/><Relationship Id="rId608" Type="http://schemas.openxmlformats.org/officeDocument/2006/relationships/hyperlink" Target="https://sba-cards-2024.s3.us-east-1.amazonaws.com/2024-cards/juan-soto.png" TargetMode="External"/><Relationship Id="rId607" Type="http://schemas.openxmlformats.org/officeDocument/2006/relationships/hyperlink" Target="https://sba-cards-2024.s3.us-east-1.amazonaws.com/2024-cards/jt-realmuto.png" TargetMode="External"/><Relationship Id="rId849" Type="http://schemas.openxmlformats.org/officeDocument/2006/relationships/hyperlink" Target="https://sba-cards-2024.s3.us-east-1.amazonaws.com/2024-cards/pavin-smith.png" TargetMode="External"/><Relationship Id="rId602" Type="http://schemas.openxmlformats.org/officeDocument/2006/relationships/hyperlink" Target="https://sba-cards-2024.s3.us-east-1.amazonaws.com/2024-cards/josh-winckowski.png" TargetMode="External"/><Relationship Id="rId844" Type="http://schemas.openxmlformats.org/officeDocument/2006/relationships/hyperlink" Target="https://sba-cards-2024.s3.us-east-1.amazonaws.com/2024-cards/paul-blackburn.png" TargetMode="External"/><Relationship Id="rId601" Type="http://schemas.openxmlformats.org/officeDocument/2006/relationships/hyperlink" Target="https://sba-cards-2024.s3.us-east-1.amazonaws.com/2024-cards/josh-staumont.png" TargetMode="External"/><Relationship Id="rId843" Type="http://schemas.openxmlformats.org/officeDocument/2006/relationships/hyperlink" Target="https://sba-cards-2024.s3.us-east-1.amazonaws.com/2024-cards/patrick-wisdom.png" TargetMode="External"/><Relationship Id="rId600" Type="http://schemas.openxmlformats.org/officeDocument/2006/relationships/hyperlink" Target="https://sba-cards-2024.s3.us-east-1.amazonaws.com/2024-cards/josh-smith.png" TargetMode="External"/><Relationship Id="rId842" Type="http://schemas.openxmlformats.org/officeDocument/2006/relationships/hyperlink" Target="https://sba-cards-2024.s3.us-east-1.amazonaws.com/2024-cards/patrick-sandoval.png" TargetMode="External"/><Relationship Id="rId841" Type="http://schemas.openxmlformats.org/officeDocument/2006/relationships/hyperlink" Target="https://sba-cards-2024.s3.us-east-1.amazonaws.com/2024-cards/patrick-corbin.png" TargetMode="External"/><Relationship Id="rId606" Type="http://schemas.openxmlformats.org/officeDocument/2006/relationships/hyperlink" Target="https://sba-cards-2024.s3.us-east-1.amazonaws.com/2024-cards/jt-ginn.png" TargetMode="External"/><Relationship Id="rId848" Type="http://schemas.openxmlformats.org/officeDocument/2006/relationships/hyperlink" Target="https://sba-cards-2024.s3.us-east-1.amazonaws.com/2024-cards/paul-skenes.png" TargetMode="External"/><Relationship Id="rId605" Type="http://schemas.openxmlformats.org/officeDocument/2006/relationships/hyperlink" Target="https://sba-cards-2024.s3.us-east-1.amazonaws.com/2024-cards/jt-chargois.png" TargetMode="External"/><Relationship Id="rId847" Type="http://schemas.openxmlformats.org/officeDocument/2006/relationships/hyperlink" Target="https://sba-cards-2024.s3.us-east-1.amazonaws.com/2024-cards/paul-sewald.png" TargetMode="External"/><Relationship Id="rId604" Type="http://schemas.openxmlformats.org/officeDocument/2006/relationships/hyperlink" Target="https://sba-cards-2024.s3.us-east-1.amazonaws.com/2024-cards/jp-sears.png" TargetMode="External"/><Relationship Id="rId846" Type="http://schemas.openxmlformats.org/officeDocument/2006/relationships/hyperlink" Target="https://sba-cards-2024.s3.us-east-1.amazonaws.com/2024-cards/paul-goldschmidt.png" TargetMode="External"/><Relationship Id="rId603" Type="http://schemas.openxmlformats.org/officeDocument/2006/relationships/hyperlink" Target="https://sba-cards-2024.s3.us-east-1.amazonaws.com/2024-cards/jp-crawford.png" TargetMode="External"/><Relationship Id="rId845" Type="http://schemas.openxmlformats.org/officeDocument/2006/relationships/hyperlink" Target="https://sba-cards-2024.s3.us-east-1.amazonaws.com/2024-cards/paul-dejong.png" TargetMode="External"/><Relationship Id="rId840" Type="http://schemas.openxmlformats.org/officeDocument/2006/relationships/hyperlink" Target="https://sba-cards-2024.s3.us-east-1.amazonaws.com/2024-cards/patrick-bailey.png" TargetMode="External"/><Relationship Id="rId839" Type="http://schemas.openxmlformats.org/officeDocument/2006/relationships/hyperlink" Target="https://sba-cards-2024.s3.us-east-1.amazonaws.com/2024-cards/parker-meadows.png" TargetMode="External"/><Relationship Id="rId838" Type="http://schemas.openxmlformats.org/officeDocument/2006/relationships/hyperlink" Target="https://sba-cards-2024.s3.us-east-1.amazonaws.com/2024-cards/pablo-reyes.png" TargetMode="External"/><Relationship Id="rId833" Type="http://schemas.openxmlformats.org/officeDocument/2006/relationships/hyperlink" Target="https://sba-cards-2024.s3.us-east-1.amazonaws.com/2024-cards/osvaldo-bido.png" TargetMode="External"/><Relationship Id="rId832" Type="http://schemas.openxmlformats.org/officeDocument/2006/relationships/hyperlink" Target="https://sba-cards-2024.s3.us-east-1.amazonaws.com/2024-cards/orlando-arcia.png" TargetMode="External"/><Relationship Id="rId831" Type="http://schemas.openxmlformats.org/officeDocument/2006/relationships/hyperlink" Target="https://sba-cards-2024.s3.us-east-1.amazonaws.com/2024-cards/orion-kerkering.png" TargetMode="External"/><Relationship Id="rId830" Type="http://schemas.openxmlformats.org/officeDocument/2006/relationships/hyperlink" Target="https://sba-cards-2024.s3.us-east-1.amazonaws.com/2024-cards/oneil-cruz.png" TargetMode="External"/><Relationship Id="rId837" Type="http://schemas.openxmlformats.org/officeDocument/2006/relationships/hyperlink" Target="https://sba-cards-2024.s3.us-east-1.amazonaws.com/2024-cards/pablo-lopez.png" TargetMode="External"/><Relationship Id="rId836" Type="http://schemas.openxmlformats.org/officeDocument/2006/relationships/hyperlink" Target="https://sba-cards-2024.s3.us-east-1.amazonaws.com/2024-cards/ozzie-albies.png" TargetMode="External"/><Relationship Id="rId835" Type="http://schemas.openxmlformats.org/officeDocument/2006/relationships/hyperlink" Target="https://sba-cards-2024.s3.us-east-1.amazonaws.com/2024-cards/otto-lopez.png" TargetMode="External"/><Relationship Id="rId834" Type="http://schemas.openxmlformats.org/officeDocument/2006/relationships/hyperlink" Target="https://sba-cards-2024.s3.us-east-1.amazonaws.com/2024-cards/oswaldo-cabrera.png" TargetMode="External"/><Relationship Id="rId1059" Type="http://schemas.openxmlformats.org/officeDocument/2006/relationships/hyperlink" Target="https://sba-cards-2024.s3.us-east-1.amazonaws.com/2024-cards/will-brennan.png" TargetMode="External"/><Relationship Id="rId228" Type="http://schemas.openxmlformats.org/officeDocument/2006/relationships/hyperlink" Target="https://sba-cards-2024.s3.us-east-1.amazonaws.com/2024-cards/chris-stratton.png" TargetMode="External"/><Relationship Id="rId227" Type="http://schemas.openxmlformats.org/officeDocument/2006/relationships/hyperlink" Target="https://sba-cards-2024.s3.us-east-1.amazonaws.com/2024-cards/chris-sale.png" TargetMode="External"/><Relationship Id="rId469" Type="http://schemas.openxmlformats.org/officeDocument/2006/relationships/hyperlink" Target="https://sba-cards-2024.s3.us-east-1.amazonaws.com/2024-cards/jake-fraley.png" TargetMode="External"/><Relationship Id="rId226" Type="http://schemas.openxmlformats.org/officeDocument/2006/relationships/hyperlink" Target="https://sba-cards-2024.s3.us-east-1.amazonaws.com/2024-cards/chris-roycroft.png" TargetMode="External"/><Relationship Id="rId468" Type="http://schemas.openxmlformats.org/officeDocument/2006/relationships/hyperlink" Target="https://sba-cards-2024.s3.us-east-1.amazonaws.com/2024-cards/jake-diekman.png" TargetMode="External"/><Relationship Id="rId225" Type="http://schemas.openxmlformats.org/officeDocument/2006/relationships/hyperlink" Target="https://sba-cards-2024.s3.us-east-1.amazonaws.com/2024-cards/chris-paddack.png" TargetMode="External"/><Relationship Id="rId467" Type="http://schemas.openxmlformats.org/officeDocument/2006/relationships/hyperlink" Target="https://sba-cards-2024.s3.us-east-1.amazonaws.com/2024-cards/jake-cronenworth.png" TargetMode="External"/><Relationship Id="rId229" Type="http://schemas.openxmlformats.org/officeDocument/2006/relationships/hyperlink" Target="https://sba-cards-2024.s3.us-east-1.amazonaws.com/2024-cards/chris-taylor.png" TargetMode="External"/><Relationship Id="rId1050" Type="http://schemas.openxmlformats.org/officeDocument/2006/relationships/hyperlink" Target="https://sba-cards-2024.s3.us-east-1.amazonaws.com/2024-cards/vidal-brujan.png" TargetMode="External"/><Relationship Id="rId220" Type="http://schemas.openxmlformats.org/officeDocument/2006/relationships/hyperlink" Target="https://sba-cards-2024.s3.us-east-1.amazonaws.com/2024-cards/chase-anderson.png" TargetMode="External"/><Relationship Id="rId462" Type="http://schemas.openxmlformats.org/officeDocument/2006/relationships/hyperlink" Target="https://sba-cards-2024.s3.us-east-1.amazonaws.com/2024-cards/jake-bauers.png" TargetMode="External"/><Relationship Id="rId1051" Type="http://schemas.openxmlformats.org/officeDocument/2006/relationships/hyperlink" Target="https://sba-cards-2024.s3.us-east-1.amazonaws.com/2024-cards/vinnie-pasquantino.png" TargetMode="External"/><Relationship Id="rId461" Type="http://schemas.openxmlformats.org/officeDocument/2006/relationships/hyperlink" Target="https://sba-cards-2024.s3.us-east-1.amazonaws.com/2024-cards/jacob-young.png" TargetMode="External"/><Relationship Id="rId1052" Type="http://schemas.openxmlformats.org/officeDocument/2006/relationships/hyperlink" Target="https://sba-cards-2024.s3.us-east-1.amazonaws.com/2024-cards/vladimir-guerrero-jr.png" TargetMode="External"/><Relationship Id="rId460" Type="http://schemas.openxmlformats.org/officeDocument/2006/relationships/hyperlink" Target="https://sba-cards-2024.s3.us-east-1.amazonaws.com/2024-cards/jacob-wilson.png" TargetMode="External"/><Relationship Id="rId1053" Type="http://schemas.openxmlformats.org/officeDocument/2006/relationships/hyperlink" Target="https://sba-cards-2024.s3.us-east-1.amazonaws.com/2024-cards/walker-buehler.png" TargetMode="External"/><Relationship Id="rId1054" Type="http://schemas.openxmlformats.org/officeDocument/2006/relationships/hyperlink" Target="https://sba-cards-2024.s3.us-east-1.amazonaws.com/2024-cards/wandy-peralta.png" TargetMode="External"/><Relationship Id="rId224" Type="http://schemas.openxmlformats.org/officeDocument/2006/relationships/hyperlink" Target="https://sba-cards-2024.s3.us-east-1.amazonaws.com/2024-cards/chris-martin.png" TargetMode="External"/><Relationship Id="rId466" Type="http://schemas.openxmlformats.org/officeDocument/2006/relationships/hyperlink" Target="https://sba-cards-2024.s3.us-east-1.amazonaws.com/2024-cards/jake-cousins.png" TargetMode="External"/><Relationship Id="rId1055" Type="http://schemas.openxmlformats.org/officeDocument/2006/relationships/hyperlink" Target="https://sba-cards-2024.s3.us-east-1.amazonaws.com/2024-cards/wenceel-perez.png" TargetMode="External"/><Relationship Id="rId223" Type="http://schemas.openxmlformats.org/officeDocument/2006/relationships/hyperlink" Target="https://sba-cards-2024.s3.us-east-1.amazonaws.com/2024-cards/chris-flexen.png" TargetMode="External"/><Relationship Id="rId465" Type="http://schemas.openxmlformats.org/officeDocument/2006/relationships/hyperlink" Target="https://sba-cards-2024.s3.us-east-1.amazonaws.com/2024-cards/jake-cave.png" TargetMode="External"/><Relationship Id="rId1056" Type="http://schemas.openxmlformats.org/officeDocument/2006/relationships/hyperlink" Target="https://sba-cards-2024.s3.us-east-1.amazonaws.com/2024-cards/weston-wilson.png" TargetMode="External"/><Relationship Id="rId222" Type="http://schemas.openxmlformats.org/officeDocument/2006/relationships/hyperlink" Target="https://sba-cards-2024.s3.us-east-1.amazonaws.com/2024-cards/chris-devenski.png" TargetMode="External"/><Relationship Id="rId464" Type="http://schemas.openxmlformats.org/officeDocument/2006/relationships/hyperlink" Target="https://sba-cards-2024.s3.us-east-1.amazonaws.com/2024-cards/jake-burger.png" TargetMode="External"/><Relationship Id="rId1057" Type="http://schemas.openxmlformats.org/officeDocument/2006/relationships/hyperlink" Target="https://sba-cards-2024.s3.us-east-1.amazonaws.com/2024-cards/whit-merrifield.png" TargetMode="External"/><Relationship Id="rId221" Type="http://schemas.openxmlformats.org/officeDocument/2006/relationships/hyperlink" Target="https://sba-cards-2024.s3.us-east-1.amazonaws.com/2024-cards/chris-bassitt.png" TargetMode="External"/><Relationship Id="rId463" Type="http://schemas.openxmlformats.org/officeDocument/2006/relationships/hyperlink" Target="https://sba-cards-2024.s3.us-east-1.amazonaws.com/2024-cards/jake-bird.png" TargetMode="External"/><Relationship Id="rId1058" Type="http://schemas.openxmlformats.org/officeDocument/2006/relationships/hyperlink" Target="https://sba-cards-2024.s3.us-east-1.amazonaws.com/2024-cards/will-benson.png" TargetMode="External"/><Relationship Id="rId1048" Type="http://schemas.openxmlformats.org/officeDocument/2006/relationships/hyperlink" Target="https://sba-cards-2024.s3.us-east-1.amazonaws.com/2024-cards/victor-scott.png" TargetMode="External"/><Relationship Id="rId1049" Type="http://schemas.openxmlformats.org/officeDocument/2006/relationships/hyperlink" Target="https://sba-cards-2024.s3.us-east-1.amazonaws.com/2024-cards/victor-vodnik.png" TargetMode="External"/><Relationship Id="rId217" Type="http://schemas.openxmlformats.org/officeDocument/2006/relationships/hyperlink" Target="https://sba-cards-2024.s3.us-east-1.amazonaws.com/2024-cards/charlie-blackmon.png" TargetMode="External"/><Relationship Id="rId459" Type="http://schemas.openxmlformats.org/officeDocument/2006/relationships/hyperlink" Target="https://sba-cards-2024.s3.us-east-1.amazonaws.com/2024-cards/jacob-webb.png" TargetMode="External"/><Relationship Id="rId216" Type="http://schemas.openxmlformats.org/officeDocument/2006/relationships/hyperlink" Target="https://sba-cards-2024.s3.us-east-1.amazonaws.com/2024-cards/chad-kuhl.png" TargetMode="External"/><Relationship Id="rId458" Type="http://schemas.openxmlformats.org/officeDocument/2006/relationships/hyperlink" Target="https://sba-cards-2024.s3.us-east-1.amazonaws.com/2024-cards/jacob-stallings.png" TargetMode="External"/><Relationship Id="rId215" Type="http://schemas.openxmlformats.org/officeDocument/2006/relationships/hyperlink" Target="https://sba-cards-2024.s3.us-east-1.amazonaws.com/2024-cards/chad-green.png" TargetMode="External"/><Relationship Id="rId457" Type="http://schemas.openxmlformats.org/officeDocument/2006/relationships/hyperlink" Target="https://sba-cards-2024.s3.us-east-1.amazonaws.com/2024-cards/jacob-latz.png" TargetMode="External"/><Relationship Id="rId699" Type="http://schemas.openxmlformats.org/officeDocument/2006/relationships/hyperlink" Target="https://sba-cards-2024.s3.us-east-1.amazonaws.com/2024-cards/luis-ortiz.png" TargetMode="External"/><Relationship Id="rId214" Type="http://schemas.openxmlformats.org/officeDocument/2006/relationships/hyperlink" Target="https://sba-cards-2024.s3.us-east-1.amazonaws.com/2024-cards/cedric-mullins.png" TargetMode="External"/><Relationship Id="rId456" Type="http://schemas.openxmlformats.org/officeDocument/2006/relationships/hyperlink" Target="https://sba-cards-2024.s3.us-east-1.amazonaws.com/2024-cards/jacob-hurtubise.png" TargetMode="External"/><Relationship Id="rId698" Type="http://schemas.openxmlformats.org/officeDocument/2006/relationships/hyperlink" Target="https://sba-cards-2024.s3.us-east-1.amazonaws.com/2024-cards/luis-medina.png" TargetMode="External"/><Relationship Id="rId219" Type="http://schemas.openxmlformats.org/officeDocument/2006/relationships/hyperlink" Target="https://sba-cards-2024.s3.us-east-1.amazonaws.com/2024-cards/chas-mccormick.png" TargetMode="External"/><Relationship Id="rId218" Type="http://schemas.openxmlformats.org/officeDocument/2006/relationships/hyperlink" Target="https://sba-cards-2024.s3.us-east-1.amazonaws.com/2024-cards/charlie-morton.png" TargetMode="External"/><Relationship Id="rId451" Type="http://schemas.openxmlformats.org/officeDocument/2006/relationships/hyperlink" Target="https://sba-cards-2024.s3.us-east-1.amazonaws.com/2024-cards/jackson-holliday.png" TargetMode="External"/><Relationship Id="rId693" Type="http://schemas.openxmlformats.org/officeDocument/2006/relationships/hyperlink" Target="https://sba-cards-2024.s3.us-east-1.amazonaws.com/2024-cards/luis-castillo.png" TargetMode="External"/><Relationship Id="rId1040" Type="http://schemas.openxmlformats.org/officeDocument/2006/relationships/hyperlink" Target="https://sba-cards-2024.s3.us-east-1.amazonaws.com/2024-cards/tylor-megill.png" TargetMode="External"/><Relationship Id="rId450" Type="http://schemas.openxmlformats.org/officeDocument/2006/relationships/hyperlink" Target="https://media.discordapp.net/attachments/687509947575304309/1451361560139403375/gg-rf.png?ex=6945e548" TargetMode="External"/><Relationship Id="rId692" Type="http://schemas.openxmlformats.org/officeDocument/2006/relationships/hyperlink" Target="https://sba-cards-2024.s3.us-east-1.amazonaws.com/2024-cards/luis-campusano.png" TargetMode="External"/><Relationship Id="rId1041" Type="http://schemas.openxmlformats.org/officeDocument/2006/relationships/hyperlink" Target="https://sba-cards-2024.s3.us-east-1.amazonaws.com/2024-cards/tyrone-taylor.png" TargetMode="External"/><Relationship Id="rId691" Type="http://schemas.openxmlformats.org/officeDocument/2006/relationships/hyperlink" Target="https://sba-cards-2024.s3.us-east-1.amazonaws.com/2024-cards/luis-arraez.png" TargetMode="External"/><Relationship Id="rId1042" Type="http://schemas.openxmlformats.org/officeDocument/2006/relationships/hyperlink" Target="https://sba-cards-2024.s3.us-east-1.amazonaws.com/2024-cards/tyson-miller.png" TargetMode="External"/><Relationship Id="rId690" Type="http://schemas.openxmlformats.org/officeDocument/2006/relationships/hyperlink" Target="https://sba-cards-2024.s3.us-east-1.amazonaws.com/2024-cards/lucas-sims.png" TargetMode="External"/><Relationship Id="rId1043" Type="http://schemas.openxmlformats.org/officeDocument/2006/relationships/hyperlink" Target="https://sba-cards-2024.s3.us-east-1.amazonaws.com/2024-cards/valente-bellozo.png" TargetMode="External"/><Relationship Id="rId213" Type="http://schemas.openxmlformats.org/officeDocument/2006/relationships/hyperlink" Target="https://sba-cards-2024.s3.us-east-1.amazonaws.com/2024-cards/ceddanne-rafaela.png" TargetMode="External"/><Relationship Id="rId455" Type="http://schemas.openxmlformats.org/officeDocument/2006/relationships/hyperlink" Target="https://sba-cards-2024.s3.us-east-1.amazonaws.com/2024-cards/jacob-barnes.png" TargetMode="External"/><Relationship Id="rId697" Type="http://schemas.openxmlformats.org/officeDocument/2006/relationships/hyperlink" Target="https://sba-cards-2024.s3.us-east-1.amazonaws.com/2024-cards/luis-matos.png" TargetMode="External"/><Relationship Id="rId1044" Type="http://schemas.openxmlformats.org/officeDocument/2006/relationships/hyperlink" Target="https://sba-cards-2024.s3.us-east-1.amazonaws.com/2024-cards/vaughn-grissom.png" TargetMode="External"/><Relationship Id="rId212" Type="http://schemas.openxmlformats.org/officeDocument/2006/relationships/hyperlink" Target="https://sba-cards-2024.s3.us-east-1.amazonaws.com/2024-cards/cavan-biggio.png" TargetMode="External"/><Relationship Id="rId454" Type="http://schemas.openxmlformats.org/officeDocument/2006/relationships/hyperlink" Target="https://sba-cards-2024.s3.us-east-1.amazonaws.com/2024-cards/jacob-amaya.png" TargetMode="External"/><Relationship Id="rId696" Type="http://schemas.openxmlformats.org/officeDocument/2006/relationships/hyperlink" Target="https://sba-cards-2024.s3.us-east-1.amazonaws.com/2024-cards/luis-guillorme.png" TargetMode="External"/><Relationship Id="rId1045" Type="http://schemas.openxmlformats.org/officeDocument/2006/relationships/hyperlink" Target="https://sba-cards-2024.s3.us-east-1.amazonaws.com/2024-cards/victor-caratini.png" TargetMode="External"/><Relationship Id="rId211" Type="http://schemas.openxmlformats.org/officeDocument/2006/relationships/hyperlink" Target="https://sba-cards-2024.s3.us-east-1.amazonaws.com/2024-cards/casey-schmitt.png" TargetMode="External"/><Relationship Id="rId453" Type="http://schemas.openxmlformats.org/officeDocument/2006/relationships/hyperlink" Target="https://i.postimg.cc/0jvM6Mtc/Merrill-FC.png" TargetMode="External"/><Relationship Id="rId695" Type="http://schemas.openxmlformats.org/officeDocument/2006/relationships/hyperlink" Target="https://sba-cards-2024.s3.us-east-1.amazonaws.com/2024-cards/luis-gil.png" TargetMode="External"/><Relationship Id="rId1046" Type="http://schemas.openxmlformats.org/officeDocument/2006/relationships/hyperlink" Target="https://sba-cards-2024.s3.us-east-1.amazonaws.com/2024-cards/victor-gonzalez.png" TargetMode="External"/><Relationship Id="rId210" Type="http://schemas.openxmlformats.org/officeDocument/2006/relationships/hyperlink" Target="https://sba-cards-2024.s3.us-east-1.amazonaws.com/2024-cards/casey-mize.png" TargetMode="External"/><Relationship Id="rId452" Type="http://schemas.openxmlformats.org/officeDocument/2006/relationships/hyperlink" Target="https://sba-cards-2024.s3.us-east-1.amazonaws.com/2024-cards/jackson-merrill.png" TargetMode="External"/><Relationship Id="rId694" Type="http://schemas.openxmlformats.org/officeDocument/2006/relationships/hyperlink" Target="https://sba-cards-2024.s3.us-east-1.amazonaws.com/2024-cards/luis-v-garcia.png" TargetMode="External"/><Relationship Id="rId1047" Type="http://schemas.openxmlformats.org/officeDocument/2006/relationships/hyperlink" Target="https://sba-cards-2024.s3.us-east-1.amazonaws.com/2024-cards/victor-robles.png" TargetMode="External"/><Relationship Id="rId491" Type="http://schemas.openxmlformats.org/officeDocument/2006/relationships/hyperlink" Target="https://sba-cards-2024.s3.us-east-1.amazonaws.com/2024-cards/jason-adam.png" TargetMode="External"/><Relationship Id="rId490" Type="http://schemas.openxmlformats.org/officeDocument/2006/relationships/hyperlink" Target="https://sba-cards-2024.s3.us-east-1.amazonaws.com/2024-cards/jarren-duran.png" TargetMode="External"/><Relationship Id="rId249" Type="http://schemas.openxmlformats.org/officeDocument/2006/relationships/hyperlink" Target="https://sba-cards-2024.s3.us-east-1.amazonaws.com/2024-cards/colin-poche.png" TargetMode="External"/><Relationship Id="rId248" Type="http://schemas.openxmlformats.org/officeDocument/2006/relationships/hyperlink" Target="https://sba-cards-2024.s3.us-east-1.amazonaws.com/2024-cards/colin-holderman.png" TargetMode="External"/><Relationship Id="rId247" Type="http://schemas.openxmlformats.org/officeDocument/2006/relationships/hyperlink" Target="https://sba-cards-2024.s3.us-east-1.amazonaws.com/2024-cards/cole-sands.png" TargetMode="External"/><Relationship Id="rId489" Type="http://schemas.openxmlformats.org/officeDocument/2006/relationships/hyperlink" Target="https://sba-cards-2024.s3.us-east-1.amazonaws.com/2024-cards/jarred-kelenic.png" TargetMode="External"/><Relationship Id="rId1070" Type="http://schemas.openxmlformats.org/officeDocument/2006/relationships/hyperlink" Target="https://sba-cards-2024.s3.us-east-1.amazonaws.com/2024-cards/wilmer-flores.png" TargetMode="External"/><Relationship Id="rId1071" Type="http://schemas.openxmlformats.org/officeDocument/2006/relationships/hyperlink" Target="https://sba-cards-2024.s3.us-east-1.amazonaws.com/2024-cards/wilyer-abreu.png" TargetMode="External"/><Relationship Id="rId1072" Type="http://schemas.openxmlformats.org/officeDocument/2006/relationships/hyperlink" Target="https://sba-cards-2024.s3.us-east-1.amazonaws.com/2024-cards/wyatt-langford.png" TargetMode="External"/><Relationship Id="rId242" Type="http://schemas.openxmlformats.org/officeDocument/2006/relationships/hyperlink" Target="https://sba-cards-2024.s3.us-east-1.amazonaws.com/2024-cards/clayton-kershaw.png" TargetMode="External"/><Relationship Id="rId484" Type="http://schemas.openxmlformats.org/officeDocument/2006/relationships/hyperlink" Target="https://sba-cards-2024.s3.us-east-1.amazonaws.com/2024-cards/jared-jones.png" TargetMode="External"/><Relationship Id="rId1073" Type="http://schemas.openxmlformats.org/officeDocument/2006/relationships/hyperlink" Target="https://sba-cards-2024.s3.us-east-1.amazonaws.com/2024-cards/xander-bogaerts.png" TargetMode="External"/><Relationship Id="rId241" Type="http://schemas.openxmlformats.org/officeDocument/2006/relationships/hyperlink" Target="https://sba-cards-2024.s3.us-east-1.amazonaws.com/2024-cards/clay-holmes.png" TargetMode="External"/><Relationship Id="rId483" Type="http://schemas.openxmlformats.org/officeDocument/2006/relationships/hyperlink" Target="https://sba-cards-2024.s3.us-east-1.amazonaws.com/2024-cards/jameson-taillon.png" TargetMode="External"/><Relationship Id="rId1074" Type="http://schemas.openxmlformats.org/officeDocument/2006/relationships/hyperlink" Target="https://sba-cards-2024.s3.us-east-1.amazonaws.com/2024-cards/xavier-edwards.png" TargetMode="External"/><Relationship Id="rId240" Type="http://schemas.openxmlformats.org/officeDocument/2006/relationships/hyperlink" Target="https://sba-cards-2024.s3.us-east-1.amazonaws.com/2024-cards/clarke-schmidt.png" TargetMode="External"/><Relationship Id="rId482" Type="http://schemas.openxmlformats.org/officeDocument/2006/relationships/hyperlink" Target="https://sba-cards-2024.s3.us-east-1.amazonaws.com/2024-cards/james-wood.png" TargetMode="External"/><Relationship Id="rId1075" Type="http://schemas.openxmlformats.org/officeDocument/2006/relationships/hyperlink" Target="https://sba-cards-2024.s3.us-east-1.amazonaws.com/2024-cards/xzavion-curry.png" TargetMode="External"/><Relationship Id="rId481" Type="http://schemas.openxmlformats.org/officeDocument/2006/relationships/hyperlink" Target="https://sba-cards-2024.s3.us-east-1.amazonaws.com/2024-cards/james-paxton.png" TargetMode="External"/><Relationship Id="rId1076" Type="http://schemas.openxmlformats.org/officeDocument/2006/relationships/hyperlink" Target="https://sba-cards-2024.s3.us-east-1.amazonaws.com/2024-cards/yainer-diaz.png" TargetMode="External"/><Relationship Id="rId246" Type="http://schemas.openxmlformats.org/officeDocument/2006/relationships/hyperlink" Target="https://sba-cards-2024.s3.us-east-1.amazonaws.com/2024-cards/cole-ragans.png" TargetMode="External"/><Relationship Id="rId488" Type="http://schemas.openxmlformats.org/officeDocument/2006/relationships/hyperlink" Target="https://sba-cards-2024.s3.us-east-1.amazonaws.com/2024-cards/jared-walsh.png" TargetMode="External"/><Relationship Id="rId1077" Type="http://schemas.openxmlformats.org/officeDocument/2006/relationships/hyperlink" Target="https://sba-cards-2024.s3.us-east-1.amazonaws.com/2024-cards/yan-gomes.png" TargetMode="External"/><Relationship Id="rId245" Type="http://schemas.openxmlformats.org/officeDocument/2006/relationships/hyperlink" Target="https://sba-cards-2024.s3.us-east-1.amazonaws.com/2024-cards/cole-irvin.png" TargetMode="External"/><Relationship Id="rId487" Type="http://schemas.openxmlformats.org/officeDocument/2006/relationships/hyperlink" Target="https://sba-cards-2024.s3.us-east-1.amazonaws.com/2024-cards/jared-triolo.png" TargetMode="External"/><Relationship Id="rId1078" Type="http://schemas.openxmlformats.org/officeDocument/2006/relationships/hyperlink" Target="https://sba-cards-2024.s3.us-east-1.amazonaws.com/2024-cards/yandy-diaz.png" TargetMode="External"/><Relationship Id="rId244" Type="http://schemas.openxmlformats.org/officeDocument/2006/relationships/hyperlink" Target="https://sba-cards-2024.s3.us-east-1.amazonaws.com/2024-cards/cody-bradford.png" TargetMode="External"/><Relationship Id="rId486" Type="http://schemas.openxmlformats.org/officeDocument/2006/relationships/hyperlink" Target="https://sba-cards-2024.s3.us-east-1.amazonaws.com/2024-cards/jared-shuster.png" TargetMode="External"/><Relationship Id="rId1079" Type="http://schemas.openxmlformats.org/officeDocument/2006/relationships/hyperlink" Target="https://sba-cards-2024.s3.us-east-1.amazonaws.com/2024-cards/yariel-rodriguez.png" TargetMode="External"/><Relationship Id="rId243" Type="http://schemas.openxmlformats.org/officeDocument/2006/relationships/hyperlink" Target="https://sba-cards-2024.s3.us-east-1.amazonaws.com/2024-cards/cody-bellinger.png" TargetMode="External"/><Relationship Id="rId485" Type="http://schemas.openxmlformats.org/officeDocument/2006/relationships/hyperlink" Target="https://sba-cards-2024.s3.us-east-1.amazonaws.com/2024-cards/jared-koenig.png" TargetMode="External"/><Relationship Id="rId480" Type="http://schemas.openxmlformats.org/officeDocument/2006/relationships/hyperlink" Target="https://sba-cards-2024.s3.us-east-1.amazonaws.com/2024-cards/james-outman.png" TargetMode="External"/><Relationship Id="rId239" Type="http://schemas.openxmlformats.org/officeDocument/2006/relationships/hyperlink" Target="https://sba-cards-2024.s3.us-east-1.amazonaws.com/2024-cards/cj-abrams.png" TargetMode="External"/><Relationship Id="rId238" Type="http://schemas.openxmlformats.org/officeDocument/2006/relationships/hyperlink" Target="https://sba-cards-2024.s3.us-east-1.amazonaws.com/2024-cards/cionel-perez.png" TargetMode="External"/><Relationship Id="rId237" Type="http://schemas.openxmlformats.org/officeDocument/2006/relationships/hyperlink" Target="https://sba-cards-2024.s3.us-east-1.amazonaws.com/2024-cards/chuckie-robinson.png" TargetMode="External"/><Relationship Id="rId479" Type="http://schemas.openxmlformats.org/officeDocument/2006/relationships/hyperlink" Target="https://sba-cards-2024.s3.us-east-1.amazonaws.com/2024-cards/james-mccann.png" TargetMode="External"/><Relationship Id="rId236" Type="http://schemas.openxmlformats.org/officeDocument/2006/relationships/hyperlink" Target="https://sba-cards-2024.s3.us-east-1.amazonaws.com/2024-cards/christopher-morel.png" TargetMode="External"/><Relationship Id="rId478" Type="http://schemas.openxmlformats.org/officeDocument/2006/relationships/hyperlink" Target="https://sba-cards-2024.s3.us-east-1.amazonaws.com/2024-cards/james-mcarthur.png" TargetMode="External"/><Relationship Id="rId1060" Type="http://schemas.openxmlformats.org/officeDocument/2006/relationships/hyperlink" Target="https://sba-cards-2024.s3.us-east-1.amazonaws.com/2024-cards/will-d-smith.png" TargetMode="External"/><Relationship Id="rId1061" Type="http://schemas.openxmlformats.org/officeDocument/2006/relationships/hyperlink" Target="https://sba-cards-2024.s3.us-east-1.amazonaws.com/2024-cards/will-smith.png" TargetMode="External"/><Relationship Id="rId231" Type="http://schemas.openxmlformats.org/officeDocument/2006/relationships/hyperlink" Target="https://sba-cards-2024.s3.us-east-1.amazonaws.com/2024-cards/christian-encarnacion-strand.png" TargetMode="External"/><Relationship Id="rId473" Type="http://schemas.openxmlformats.org/officeDocument/2006/relationships/hyperlink" Target="https://sba-cards-2024.s3.us-east-1.amazonaws.com/2024-cards/jake-mccarthy.png" TargetMode="External"/><Relationship Id="rId1062" Type="http://schemas.openxmlformats.org/officeDocument/2006/relationships/hyperlink" Target="https://sba-cards-2024.s3.us-east-1.amazonaws.com/2024-cards/will-vest.png" TargetMode="External"/><Relationship Id="rId230" Type="http://schemas.openxmlformats.org/officeDocument/2006/relationships/hyperlink" Target="https://sba-cards-2024.s3.us-east-1.amazonaws.com/2024-cards/christian-bethancourt.png" TargetMode="External"/><Relationship Id="rId472" Type="http://schemas.openxmlformats.org/officeDocument/2006/relationships/hyperlink" Target="https://i.postimg.cc/MKPHwF83/Junis-FC-S12.png" TargetMode="External"/><Relationship Id="rId1063" Type="http://schemas.openxmlformats.org/officeDocument/2006/relationships/hyperlink" Target="https://sba-cards-2024.s3.us-east-1.amazonaws.com/2024-cards/will-wagner.png" TargetMode="External"/><Relationship Id="rId471" Type="http://schemas.openxmlformats.org/officeDocument/2006/relationships/hyperlink" Target="https://sba-cards-2024.s3.us-east-1.amazonaws.com/2024-cards/jake-junis.png" TargetMode="External"/><Relationship Id="rId1064" Type="http://schemas.openxmlformats.org/officeDocument/2006/relationships/hyperlink" Target="https://sba-cards-2024.s3.us-east-1.amazonaws.com/2024-cards/willi-castro.png" TargetMode="External"/><Relationship Id="rId470" Type="http://schemas.openxmlformats.org/officeDocument/2006/relationships/hyperlink" Target="https://sba-cards-2024.s3.us-east-1.amazonaws.com/2024-cards/jake-irvin.png" TargetMode="External"/><Relationship Id="rId1065" Type="http://schemas.openxmlformats.org/officeDocument/2006/relationships/hyperlink" Target="https://sba-cards-2024.s3.us-east-1.amazonaws.com/2024-cards/william-contreras.png" TargetMode="External"/><Relationship Id="rId235" Type="http://schemas.openxmlformats.org/officeDocument/2006/relationships/hyperlink" Target="https://sba-cards-2024.s3.us-east-1.amazonaws.com/2024-cards/christian-yelich.png" TargetMode="External"/><Relationship Id="rId477" Type="http://schemas.openxmlformats.org/officeDocument/2006/relationships/hyperlink" Target="https://sba-cards-2024.s3.us-east-1.amazonaws.com/2024-cards/jalen-beeks.png" TargetMode="External"/><Relationship Id="rId1066" Type="http://schemas.openxmlformats.org/officeDocument/2006/relationships/hyperlink" Target="https://sba-cards-2024.s3.us-east-1.amazonaws.com/2024-cards/willie-calhoun.png" TargetMode="External"/><Relationship Id="rId234" Type="http://schemas.openxmlformats.org/officeDocument/2006/relationships/hyperlink" Target="https://sba-cards-2024.s3.us-east-1.amazonaws.com/2024-cards/christian-walker.png" TargetMode="External"/><Relationship Id="rId476" Type="http://schemas.openxmlformats.org/officeDocument/2006/relationships/hyperlink" Target="https://sba-cards-2024.s3.us-east-1.amazonaws.com/2024-cards/jake-woodford.png" TargetMode="External"/><Relationship Id="rId1067" Type="http://schemas.openxmlformats.org/officeDocument/2006/relationships/hyperlink" Target="https://sba-cards-2024.s3.us-east-1.amazonaws.com/2024-cards/willson-contreras.png" TargetMode="External"/><Relationship Id="rId233" Type="http://schemas.openxmlformats.org/officeDocument/2006/relationships/hyperlink" Target="https://sba-cards-2024.s3.us-east-1.amazonaws.com/2024-cards/christian-vazquez.png" TargetMode="External"/><Relationship Id="rId475" Type="http://schemas.openxmlformats.org/officeDocument/2006/relationships/hyperlink" Target="https://sba-cards-2024.s3.us-east-1.amazonaws.com/2024-cards/jake-rogers.png" TargetMode="External"/><Relationship Id="rId1068" Type="http://schemas.openxmlformats.org/officeDocument/2006/relationships/hyperlink" Target="https://sba-cards-2024.s3.us-east-1.amazonaws.com/2024-cards/willy-adames.png" TargetMode="External"/><Relationship Id="rId232" Type="http://schemas.openxmlformats.org/officeDocument/2006/relationships/hyperlink" Target="https://sba-cards-2024.s3.us-east-1.amazonaws.com/2024-cards/christian-scott.png" TargetMode="External"/><Relationship Id="rId474" Type="http://schemas.openxmlformats.org/officeDocument/2006/relationships/hyperlink" Target="https://sba-cards-2024.s3.us-east-1.amazonaws.com/2024-cards/jake-meyers.png" TargetMode="External"/><Relationship Id="rId1069" Type="http://schemas.openxmlformats.org/officeDocument/2006/relationships/hyperlink" Target="https://i.postimg.cc/h48Qksvg/Adames-FC.png" TargetMode="External"/><Relationship Id="rId1015" Type="http://schemas.openxmlformats.org/officeDocument/2006/relationships/hyperlink" Target="https://sba-cards-2024.s3.us-east-1.amazonaws.com/2024-cards/trevor-story.png" TargetMode="External"/><Relationship Id="rId1016" Type="http://schemas.openxmlformats.org/officeDocument/2006/relationships/hyperlink" Target="https://sba-cards-2024.s3.us-east-1.amazonaws.com/2024-cards/trevor-williams.png" TargetMode="External"/><Relationship Id="rId1017" Type="http://schemas.openxmlformats.org/officeDocument/2006/relationships/hyperlink" Target="https://sba-cards-2024.s3.us-east-1.amazonaws.com/2024-cards/trey-cabbage.png" TargetMode="External"/><Relationship Id="rId1018" Type="http://schemas.openxmlformats.org/officeDocument/2006/relationships/hyperlink" Target="https://sba-cards-2024.s3.us-east-1.amazonaws.com/2024-cards/trey-lipscomb.png" TargetMode="External"/><Relationship Id="rId1019" Type="http://schemas.openxmlformats.org/officeDocument/2006/relationships/hyperlink" Target="https://sba-cards-2024.s3.us-east-1.amazonaws.com/2024-cards/trey-sweeney.png" TargetMode="External"/><Relationship Id="rId426" Type="http://schemas.openxmlformats.org/officeDocument/2006/relationships/hyperlink" Target="https://sba-cards-2024.s3.us-east-1.amazonaws.com/2024-cards/huascar-brazoban.png" TargetMode="External"/><Relationship Id="rId668" Type="http://schemas.openxmlformats.org/officeDocument/2006/relationships/hyperlink" Target="https://sba-cards-2024.s3.us-east-1.amazonaws.com/2024-cards/kyle-tucker.png" TargetMode="External"/><Relationship Id="rId425" Type="http://schemas.openxmlformats.org/officeDocument/2006/relationships/hyperlink" Target="https://sba-cards-2024.s3.us-east-1.amazonaws.com/2024-cards/hogan-harris.png" TargetMode="External"/><Relationship Id="rId667" Type="http://schemas.openxmlformats.org/officeDocument/2006/relationships/hyperlink" Target="https://sba-cards-2024.s3.us-east-1.amazonaws.com/2024-cards/kyle-stowers.png" TargetMode="External"/><Relationship Id="rId424" Type="http://schemas.openxmlformats.org/officeDocument/2006/relationships/hyperlink" Target="https://sba-cards-2024.s3.us-east-1.amazonaws.com/2024-cards/hoby-milner.png" TargetMode="External"/><Relationship Id="rId666" Type="http://schemas.openxmlformats.org/officeDocument/2006/relationships/hyperlink" Target="https://sba-cards-2024.s3.us-east-1.amazonaws.com/2024-cards/kyle-schwarber.png" TargetMode="External"/><Relationship Id="rId423" Type="http://schemas.openxmlformats.org/officeDocument/2006/relationships/hyperlink" Target="https://sba-cards-2024.s3.us-east-1.amazonaws.com/2024-cards/heston-kjerstad.png" TargetMode="External"/><Relationship Id="rId665" Type="http://schemas.openxmlformats.org/officeDocument/2006/relationships/hyperlink" Target="https://sba-cards-2024.s3.us-east-1.amazonaws.com/2024-cards/kyle-nicolas.png" TargetMode="External"/><Relationship Id="rId429" Type="http://schemas.openxmlformats.org/officeDocument/2006/relationships/hyperlink" Target="https://sba-cards-2024.s3.us-east-1.amazonaws.com/2024-cards/hunter-goodman.png" TargetMode="External"/><Relationship Id="rId428" Type="http://schemas.openxmlformats.org/officeDocument/2006/relationships/hyperlink" Target="https://sba-cards-2024.s3.us-east-1.amazonaws.com/2024-cards/hunter-gaddis.png" TargetMode="External"/><Relationship Id="rId427" Type="http://schemas.openxmlformats.org/officeDocument/2006/relationships/hyperlink" Target="https://sba-cards-2024.s3.us-east-1.amazonaws.com/2024-cards/hunter-brown.png" TargetMode="External"/><Relationship Id="rId669" Type="http://schemas.openxmlformats.org/officeDocument/2006/relationships/hyperlink" Target="https://i.postimg.cc/p9xyBYLg/ss-of3.png" TargetMode="External"/><Relationship Id="rId660" Type="http://schemas.openxmlformats.org/officeDocument/2006/relationships/hyperlink" Target="https://sba-cards-2024.s3.us-east-1.amazonaws.com/2024-cards/kyle-isbel.png" TargetMode="External"/><Relationship Id="rId1010" Type="http://schemas.openxmlformats.org/officeDocument/2006/relationships/hyperlink" Target="https://sba-cards-2024.s3.us-east-1.amazonaws.com/2024-cards/trevor-megill.png" TargetMode="External"/><Relationship Id="rId422" Type="http://schemas.openxmlformats.org/officeDocument/2006/relationships/hyperlink" Target="https://sba-cards-2024.s3.us-east-1.amazonaws.com/2024-cards/henry-davis.png" TargetMode="External"/><Relationship Id="rId664" Type="http://schemas.openxmlformats.org/officeDocument/2006/relationships/hyperlink" Target="https://sba-cards-2024.s3.us-east-1.amazonaws.com/2024-cards/kyle-muller.png" TargetMode="External"/><Relationship Id="rId1011" Type="http://schemas.openxmlformats.org/officeDocument/2006/relationships/hyperlink" Target="https://i.postimg.cc/FsQgc1fM/Megill-FC.png" TargetMode="External"/><Relationship Id="rId421" Type="http://schemas.openxmlformats.org/officeDocument/2006/relationships/hyperlink" Target="https://sba-cards-2024.s3.us-east-1.amazonaws.com/2024-cards/heliot-ramos.png" TargetMode="External"/><Relationship Id="rId663" Type="http://schemas.openxmlformats.org/officeDocument/2006/relationships/hyperlink" Target="https://sba-cards-2024.s3.us-east-1.amazonaws.com/2024-cards/kyle-mccann.png" TargetMode="External"/><Relationship Id="rId1012" Type="http://schemas.openxmlformats.org/officeDocument/2006/relationships/hyperlink" Target="https://sba-cards-2024.s3.us-east-1.amazonaws.com/2024-cards/trevor-richards.png" TargetMode="External"/><Relationship Id="rId420" Type="http://schemas.openxmlformats.org/officeDocument/2006/relationships/hyperlink" Target="https://sba-cards-2024.s3.us-east-1.amazonaws.com/2024-cards/hector-neris.png" TargetMode="External"/><Relationship Id="rId662" Type="http://schemas.openxmlformats.org/officeDocument/2006/relationships/hyperlink" Target="https://sba-cards-2024.s3.us-east-1.amazonaws.com/2024-cards/kyle-manzardo.png" TargetMode="External"/><Relationship Id="rId1013" Type="http://schemas.openxmlformats.org/officeDocument/2006/relationships/hyperlink" Target="https://sba-cards-2024.s3.us-east-1.amazonaws.com/2024-cards/trevor-rogers.png" TargetMode="External"/><Relationship Id="rId661" Type="http://schemas.openxmlformats.org/officeDocument/2006/relationships/hyperlink" Target="https://sba-cards-2024.s3.us-east-1.amazonaws.com/2024-cards/kyle-leahy.png" TargetMode="External"/><Relationship Id="rId1014" Type="http://schemas.openxmlformats.org/officeDocument/2006/relationships/hyperlink" Target="https://i.postimg.cc/SN0VrDPv/Rogers-FC.png" TargetMode="External"/><Relationship Id="rId1004" Type="http://schemas.openxmlformats.org/officeDocument/2006/relationships/hyperlink" Target="https://sba-cards-2024.s3.us-east-1.amazonaws.com/2024-cards/travis-darnaud.png" TargetMode="External"/><Relationship Id="rId1005" Type="http://schemas.openxmlformats.org/officeDocument/2006/relationships/hyperlink" Target="https://sba-cards-2024.s3.us-east-1.amazonaws.com/2024-cards/travis-jankowski.png" TargetMode="External"/><Relationship Id="rId1006" Type="http://schemas.openxmlformats.org/officeDocument/2006/relationships/hyperlink" Target="https://sba-cards-2024.s3.us-east-1.amazonaws.com/2024-cards/trea-turner.png" TargetMode="External"/><Relationship Id="rId1007" Type="http://schemas.openxmlformats.org/officeDocument/2006/relationships/hyperlink" Target="https://sba-cards-2024.s3.us-east-1.amazonaws.com/2024-cards/trent-grisham.png" TargetMode="External"/><Relationship Id="rId1008" Type="http://schemas.openxmlformats.org/officeDocument/2006/relationships/hyperlink" Target="https://sba-cards-2024.s3.us-east-1.amazonaws.com/2024-cards/trent-thornton.png" TargetMode="External"/><Relationship Id="rId1009" Type="http://schemas.openxmlformats.org/officeDocument/2006/relationships/hyperlink" Target="https://sba-cards-2024.s3.us-east-1.amazonaws.com/2024-cards/trevor-larnach.png" TargetMode="External"/><Relationship Id="rId415" Type="http://schemas.openxmlformats.org/officeDocument/2006/relationships/hyperlink" Target="https://sba-cards-2024.s3.us-east-1.amazonaws.com/2024-cards/hans-crouse.png" TargetMode="External"/><Relationship Id="rId657" Type="http://schemas.openxmlformats.org/officeDocument/2006/relationships/hyperlink" Target="https://sba-cards-2024.s3.us-east-1.amazonaws.com/2024-cards/kyle-harrison.png" TargetMode="External"/><Relationship Id="rId899" Type="http://schemas.openxmlformats.org/officeDocument/2006/relationships/hyperlink" Target="https://sba-cards-2024.s3.us-east-1.amazonaws.com/2024-cards/ryan-burr.png" TargetMode="External"/><Relationship Id="rId414" Type="http://schemas.openxmlformats.org/officeDocument/2006/relationships/hyperlink" Target="https://sba-cards-2024.s3.us-east-1.amazonaws.com/2024-cards/ha-seong-kim.png" TargetMode="External"/><Relationship Id="rId656" Type="http://schemas.openxmlformats.org/officeDocument/2006/relationships/hyperlink" Target="https://sba-cards-2024.s3.us-east-1.amazonaws.com/2024-cards/kyle-gibson.png" TargetMode="External"/><Relationship Id="rId898" Type="http://schemas.openxmlformats.org/officeDocument/2006/relationships/hyperlink" Target="https://sba-cards-2024.s3.us-east-1.amazonaws.com/2024-cards/ryan-brasier.png" TargetMode="External"/><Relationship Id="rId413" Type="http://schemas.openxmlformats.org/officeDocument/2006/relationships/hyperlink" Target="https://sba-cards-2024.s3.us-east-1.amazonaws.com/2024-cards/gus-varland.png" TargetMode="External"/><Relationship Id="rId655" Type="http://schemas.openxmlformats.org/officeDocument/2006/relationships/hyperlink" Target="https://sba-cards-2024.s3.us-east-1.amazonaws.com/2024-cards/kyle-freeland.png" TargetMode="External"/><Relationship Id="rId897" Type="http://schemas.openxmlformats.org/officeDocument/2006/relationships/hyperlink" Target="https://sba-cards-2024.s3.us-east-1.amazonaws.com/2024-cards/ryan-bliss.png" TargetMode="External"/><Relationship Id="rId412" Type="http://schemas.openxmlformats.org/officeDocument/2006/relationships/hyperlink" Target="https://sba-cards-2024.s3.us-east-1.amazonaws.com/2024-cards/gunnar-henderson.png" TargetMode="External"/><Relationship Id="rId654" Type="http://schemas.openxmlformats.org/officeDocument/2006/relationships/hyperlink" Target="https://sba-cards-2024.s3.us-east-1.amazonaws.com/2024-cards/kyle-finnegan.png" TargetMode="External"/><Relationship Id="rId896" Type="http://schemas.openxmlformats.org/officeDocument/2006/relationships/hyperlink" Target="https://sba-cards-2024.s3.us-east-1.amazonaws.com/2024-cards/royce-lewis.png" TargetMode="External"/><Relationship Id="rId419" Type="http://schemas.openxmlformats.org/officeDocument/2006/relationships/hyperlink" Target="https://sba-cards-2024.s3.us-east-1.amazonaws.com/2024-cards/hayden-wesneski.png" TargetMode="External"/><Relationship Id="rId418" Type="http://schemas.openxmlformats.org/officeDocument/2006/relationships/hyperlink" Target="https://sba-cards-2024.s3.us-east-1.amazonaws.com/2024-cards/hayden-birdsong.png" TargetMode="External"/><Relationship Id="rId417" Type="http://schemas.openxmlformats.org/officeDocument/2006/relationships/hyperlink" Target="https://sba-cards-2024.s3.us-east-1.amazonaws.com/2024-cards/harrison-bader.png" TargetMode="External"/><Relationship Id="rId659" Type="http://schemas.openxmlformats.org/officeDocument/2006/relationships/hyperlink" Target="https://sba-cards-2024.s3.us-east-1.amazonaws.com/2024-cards/kyle-higashioka.png" TargetMode="External"/><Relationship Id="rId416" Type="http://schemas.openxmlformats.org/officeDocument/2006/relationships/hyperlink" Target="https://sba-cards-2024.s3.us-east-1.amazonaws.com/2024-cards/harold-ramirez.png" TargetMode="External"/><Relationship Id="rId658" Type="http://schemas.openxmlformats.org/officeDocument/2006/relationships/hyperlink" Target="https://sba-cards-2024.s3.us-east-1.amazonaws.com/2024-cards/kyle-hendricks.png" TargetMode="External"/><Relationship Id="rId891" Type="http://schemas.openxmlformats.org/officeDocument/2006/relationships/hyperlink" Target="https://sba-cards-2024.s3.us-east-1.amazonaws.com/2024-cards/ron-marinaccio.png" TargetMode="External"/><Relationship Id="rId890" Type="http://schemas.openxmlformats.org/officeDocument/2006/relationships/hyperlink" Target="https://sba-cards-2024.s3.us-east-1.amazonaws.com/2024-cards/romy-gonzalez.png" TargetMode="External"/><Relationship Id="rId411" Type="http://schemas.openxmlformats.org/officeDocument/2006/relationships/hyperlink" Target="https://sba-cards-2024.s3.us-east-1.amazonaws.com/2024-cards/griffin-jax.png" TargetMode="External"/><Relationship Id="rId653" Type="http://schemas.openxmlformats.org/officeDocument/2006/relationships/hyperlink" Target="https://sba-cards-2024.s3.us-east-1.amazonaws.com/2024-cards/kyle-farmer.png" TargetMode="External"/><Relationship Id="rId895" Type="http://schemas.openxmlformats.org/officeDocument/2006/relationships/hyperlink" Target="https://sba-cards-2024.s3.us-east-1.amazonaws.com/2024-cards/rowdy-tellez.png" TargetMode="External"/><Relationship Id="rId1000" Type="http://schemas.openxmlformats.org/officeDocument/2006/relationships/hyperlink" Target="https://sba-cards-2024.s3.us-east-1.amazonaws.com/2024-cards/tommy-nance.png" TargetMode="External"/><Relationship Id="rId410" Type="http://schemas.openxmlformats.org/officeDocument/2006/relationships/hyperlink" Target="https://sba-cards-2024.s3.us-east-1.amazonaws.com/2024-cards/griffin-conine.png" TargetMode="External"/><Relationship Id="rId652" Type="http://schemas.openxmlformats.org/officeDocument/2006/relationships/hyperlink" Target="https://sba-cards-2024.s3.us-east-1.amazonaws.com/2024-cards/kyle-bradish.png" TargetMode="External"/><Relationship Id="rId894" Type="http://schemas.openxmlformats.org/officeDocument/2006/relationships/hyperlink" Target="https://sba-cards-2024.s3.us-east-1.amazonaws.com/2024-cards/ross-stripling.png" TargetMode="External"/><Relationship Id="rId1001" Type="http://schemas.openxmlformats.org/officeDocument/2006/relationships/hyperlink" Target="https://sba-cards-2024.s3.us-east-1.amazonaws.com/2024-cards/tommy-pham.png" TargetMode="External"/><Relationship Id="rId651" Type="http://schemas.openxmlformats.org/officeDocument/2006/relationships/hyperlink" Target="https://sba-cards-2024.s3.us-east-1.amazonaws.com/2024-cards/kutter-crawford.png" TargetMode="External"/><Relationship Id="rId893" Type="http://schemas.openxmlformats.org/officeDocument/2006/relationships/hyperlink" Target="https://sba-cards-2024.s3.us-east-1.amazonaws.com/2024-cards/ronel-blanco.png" TargetMode="External"/><Relationship Id="rId1002" Type="http://schemas.openxmlformats.org/officeDocument/2006/relationships/hyperlink" Target="https://sba-cards-2024.s3.us-east-1.amazonaws.com/2024-cards/tony-santillan.png" TargetMode="External"/><Relationship Id="rId650" Type="http://schemas.openxmlformats.org/officeDocument/2006/relationships/hyperlink" Target="https://sba-cards-2024.s3.us-east-1.amazonaws.com/2024-cards/kris-bubic.png" TargetMode="External"/><Relationship Id="rId892" Type="http://schemas.openxmlformats.org/officeDocument/2006/relationships/hyperlink" Target="https://sba-cards-2024.s3.us-east-1.amazonaws.com/2024-cards/ronald-acuna-jr.png" TargetMode="External"/><Relationship Id="rId1003" Type="http://schemas.openxmlformats.org/officeDocument/2006/relationships/hyperlink" Target="https://sba-cards-2024.s3.us-east-1.amazonaws.com/2024-cards/touki-toussaint.png" TargetMode="External"/><Relationship Id="rId1037" Type="http://schemas.openxmlformats.org/officeDocument/2006/relationships/hyperlink" Target="https://sba-cards-2024.s3.us-east-1.amazonaws.com/2024-cards/tyler-soderstrom.png" TargetMode="External"/><Relationship Id="rId1038" Type="http://schemas.openxmlformats.org/officeDocument/2006/relationships/hyperlink" Target="https://sba-cards-2024.s3.us-east-1.amazonaws.com/2024-cards/tyler-stephenson.png" TargetMode="External"/><Relationship Id="rId1039" Type="http://schemas.openxmlformats.org/officeDocument/2006/relationships/hyperlink" Target="https://sba-cards-2024.s3.us-east-1.amazonaws.com/2024-cards/tyler-wade.png" TargetMode="External"/><Relationship Id="rId206" Type="http://schemas.openxmlformats.org/officeDocument/2006/relationships/hyperlink" Target="https://sba-cards-2024.s3.us-east-1.amazonaws.com/2024-cards/carson-fulmer.png" TargetMode="External"/><Relationship Id="rId448" Type="http://schemas.openxmlformats.org/officeDocument/2006/relationships/hyperlink" Target="https://sba-cards-2024.s3.us-east-1.amazonaws.com/2024-cards/jack-suwinski.png" TargetMode="External"/><Relationship Id="rId205" Type="http://schemas.openxmlformats.org/officeDocument/2006/relationships/hyperlink" Target="https://sba-cards-2024.s3.us-east-1.amazonaws.com/2024-cards/carmen-mlodzinski.png" TargetMode="External"/><Relationship Id="rId447" Type="http://schemas.openxmlformats.org/officeDocument/2006/relationships/hyperlink" Target="https://sba-cards-2024.s3.us-east-1.amazonaws.com/2024-cards/jack-lopez.png" TargetMode="External"/><Relationship Id="rId689" Type="http://schemas.openxmlformats.org/officeDocument/2006/relationships/hyperlink" Target="https://sba-cards-2024.s3.us-east-1.amazonaws.com/2024-cards/lucas-erceg.png" TargetMode="External"/><Relationship Id="rId204" Type="http://schemas.openxmlformats.org/officeDocument/2006/relationships/hyperlink" Target="https://sba-cards-2024.s3.us-east-1.amazonaws.com/2024-cards/carlos-santana.png" TargetMode="External"/><Relationship Id="rId446" Type="http://schemas.openxmlformats.org/officeDocument/2006/relationships/hyperlink" Target="https://sba-cards-2024.s3.us-east-1.amazonaws.com/2024-cards/jack-leiter.png" TargetMode="External"/><Relationship Id="rId688" Type="http://schemas.openxmlformats.org/officeDocument/2006/relationships/hyperlink" Target="https://sba-cards-2024.s3.us-east-1.amazonaws.com/2024-cards/lourdes-gurriel-jr.png" TargetMode="External"/><Relationship Id="rId203" Type="http://schemas.openxmlformats.org/officeDocument/2006/relationships/hyperlink" Target="https://sba-cards-2024.s3.us-east-1.amazonaws.com/2024-cards/carlos-rodon.png" TargetMode="External"/><Relationship Id="rId445" Type="http://schemas.openxmlformats.org/officeDocument/2006/relationships/hyperlink" Target="https://sba-cards-2024.s3.us-east-1.amazonaws.com/2024-cards/jack-kochanowicz.png" TargetMode="External"/><Relationship Id="rId687" Type="http://schemas.openxmlformats.org/officeDocument/2006/relationships/hyperlink" Target="https://sba-cards-2024.s3.us-east-1.amazonaws.com/2024-cards/louie-varland.png" TargetMode="External"/><Relationship Id="rId209" Type="http://schemas.openxmlformats.org/officeDocument/2006/relationships/hyperlink" Target="https://sba-cards-2024.s3.us-east-1.amazonaws.com/2024-cards/carson-spiers.png" TargetMode="External"/><Relationship Id="rId208" Type="http://schemas.openxmlformats.org/officeDocument/2006/relationships/hyperlink" Target="https://i.postimg.cc/fLJ5HFDk/Kelly-FC.png" TargetMode="External"/><Relationship Id="rId207" Type="http://schemas.openxmlformats.org/officeDocument/2006/relationships/hyperlink" Target="https://sba-cards-2024.s3.us-east-1.amazonaws.com/2024-cards/carson-kelly.png" TargetMode="External"/><Relationship Id="rId449" Type="http://schemas.openxmlformats.org/officeDocument/2006/relationships/hyperlink" Target="https://sba-cards-2024.s3.us-east-1.amazonaws.com/2024-cards/jackson-chourio.png" TargetMode="External"/><Relationship Id="rId440" Type="http://schemas.openxmlformats.org/officeDocument/2006/relationships/hyperlink" Target="https://i.postimg.cc/fR8x6K8G/Paredes-FC.png" TargetMode="External"/><Relationship Id="rId682" Type="http://schemas.openxmlformats.org/officeDocument/2006/relationships/hyperlink" Target="https://sba-cards-2024.s3.us-east-1.amazonaws.com/2024-cards/logan-allen.png" TargetMode="External"/><Relationship Id="rId681" Type="http://schemas.openxmlformats.org/officeDocument/2006/relationships/hyperlink" Target="https://sba-cards-2024.s3.us-east-1.amazonaws.com/2024-cards/leody-taveras.png" TargetMode="External"/><Relationship Id="rId1030" Type="http://schemas.openxmlformats.org/officeDocument/2006/relationships/hyperlink" Target="https://sba-cards-2024.s3.us-east-1.amazonaws.com/2024-cards/tyler-glasnow.png" TargetMode="External"/><Relationship Id="rId680" Type="http://schemas.openxmlformats.org/officeDocument/2006/relationships/hyperlink" Target="https://sba-cards-2024.s3.us-east-1.amazonaws.com/2024-cards/leo-rivas.png" TargetMode="External"/><Relationship Id="rId1031" Type="http://schemas.openxmlformats.org/officeDocument/2006/relationships/hyperlink" Target="https://sba-cards-2024.s3.us-east-1.amazonaws.com/2024-cards/tyler-holton.png" TargetMode="External"/><Relationship Id="rId1032" Type="http://schemas.openxmlformats.org/officeDocument/2006/relationships/hyperlink" Target="https://sba-cards-2024.s3.us-east-1.amazonaws.com/2024-cards/tyler-kinley.png" TargetMode="External"/><Relationship Id="rId202" Type="http://schemas.openxmlformats.org/officeDocument/2006/relationships/hyperlink" Target="https://sba-cards-2024.s3.us-east-1.amazonaws.com/2024-cards/carlos-hernandez.png" TargetMode="External"/><Relationship Id="rId444" Type="http://schemas.openxmlformats.org/officeDocument/2006/relationships/hyperlink" Target="https://sba-cards-2024.s3.us-east-1.amazonaws.com/2024-cards/jack-flaherty.png" TargetMode="External"/><Relationship Id="rId686" Type="http://schemas.openxmlformats.org/officeDocument/2006/relationships/hyperlink" Target="https://sba-cards-2024.s3.us-east-1.amazonaws.com/2024-cards/logan-webb.png" TargetMode="External"/><Relationship Id="rId1033" Type="http://schemas.openxmlformats.org/officeDocument/2006/relationships/hyperlink" Target="https://sba-cards-2024.s3.us-east-1.amazonaws.com/2024-cards/tyler-nevin.png" TargetMode="External"/><Relationship Id="rId201" Type="http://schemas.openxmlformats.org/officeDocument/2006/relationships/hyperlink" Target="https://sba-cards-2024.s3.us-east-1.amazonaws.com/2024-cards/carlos-estevez.png" TargetMode="External"/><Relationship Id="rId443" Type="http://schemas.openxmlformats.org/officeDocument/2006/relationships/hyperlink" Target="https://sba-cards-2024.s3.us-east-1.amazonaws.com/2024-cards/jace-jung.png" TargetMode="External"/><Relationship Id="rId685" Type="http://schemas.openxmlformats.org/officeDocument/2006/relationships/hyperlink" Target="https://sba-cards-2024.s3.us-east-1.amazonaws.com/2024-cards/logan-t-allen.png" TargetMode="External"/><Relationship Id="rId1034" Type="http://schemas.openxmlformats.org/officeDocument/2006/relationships/hyperlink" Target="https://sba-cards-2024.s3.us-east-1.amazonaws.com/2024-cards/tyler-oneill.png" TargetMode="External"/><Relationship Id="rId200" Type="http://schemas.openxmlformats.org/officeDocument/2006/relationships/hyperlink" Target="https://sba-cards-2024.s3.us-east-1.amazonaws.com/2024-cards/carlos-correa.png" TargetMode="External"/><Relationship Id="rId442" Type="http://schemas.openxmlformats.org/officeDocument/2006/relationships/hyperlink" Target="https://sba-cards-2024.s3.us-east-1.amazonaws.com/2024-cards/ivan-herrera.png" TargetMode="External"/><Relationship Id="rId684" Type="http://schemas.openxmlformats.org/officeDocument/2006/relationships/hyperlink" Target="https://sba-cards-2024.s3.us-east-1.amazonaws.com/2024-cards/logan-ohoppe.png" TargetMode="External"/><Relationship Id="rId1035" Type="http://schemas.openxmlformats.org/officeDocument/2006/relationships/hyperlink" Target="https://sba-cards-2024.s3.us-east-1.amazonaws.com/2024-cards/tyler-phillips.png" TargetMode="External"/><Relationship Id="rId441" Type="http://schemas.openxmlformats.org/officeDocument/2006/relationships/hyperlink" Target="https://sba-cards-2024.s3.us-east-1.amazonaws.com/2024-cards/isiah-kiner-falefa.png" TargetMode="External"/><Relationship Id="rId683" Type="http://schemas.openxmlformats.org/officeDocument/2006/relationships/hyperlink" Target="https://sba-cards-2024.s3.us-east-1.amazonaws.com/2024-cards/logan-gilbert.png" TargetMode="External"/><Relationship Id="rId1036" Type="http://schemas.openxmlformats.org/officeDocument/2006/relationships/hyperlink" Target="https://sba-cards-2024.s3.us-east-1.amazonaws.com/2024-cards/tyler-rogers.png" TargetMode="External"/><Relationship Id="rId1026" Type="http://schemas.openxmlformats.org/officeDocument/2006/relationships/hyperlink" Target="https://sba-cards-2024.s3.us-east-1.amazonaws.com/2024-cards/tyler-anderson.png" TargetMode="External"/><Relationship Id="rId1027" Type="http://schemas.openxmlformats.org/officeDocument/2006/relationships/hyperlink" Target="https://sba-cards-2024.s3.us-east-1.amazonaws.com/2024-cards/tyler-ferguson.png" TargetMode="External"/><Relationship Id="rId1028" Type="http://schemas.openxmlformats.org/officeDocument/2006/relationships/hyperlink" Target="https://sba-cards-2024.s3.us-east-1.amazonaws.com/2024-cards/tyler-fitzgerald.png" TargetMode="External"/><Relationship Id="rId1029" Type="http://schemas.openxmlformats.org/officeDocument/2006/relationships/hyperlink" Target="https://sba-cards-2024.s3.us-east-1.amazonaws.com/2024-cards/tyler-freeman.png" TargetMode="External"/><Relationship Id="rId437" Type="http://schemas.openxmlformats.org/officeDocument/2006/relationships/hyperlink" Target="https://sba-cards-2024.s3.us-east-1.amazonaws.com/2024-cards/ian-happ.png" TargetMode="External"/><Relationship Id="rId679" Type="http://schemas.openxmlformats.org/officeDocument/2006/relationships/hyperlink" Target="https://sba-cards-2024.s3.us-east-1.amazonaws.com/2024-cards/leo-jimenez.png" TargetMode="External"/><Relationship Id="rId436" Type="http://schemas.openxmlformats.org/officeDocument/2006/relationships/hyperlink" Target="https://sba-cards-2024.s3.us-east-1.amazonaws.com/2024-cards/ian-hamilton.png" TargetMode="External"/><Relationship Id="rId678" Type="http://schemas.openxmlformats.org/officeDocument/2006/relationships/hyperlink" Target="https://sba-cards-2024.s3.us-east-1.amazonaws.com/2024-cards/lenyn-sosa.png" TargetMode="External"/><Relationship Id="rId435" Type="http://schemas.openxmlformats.org/officeDocument/2006/relationships/hyperlink" Target="https://sba-cards-2024.s3.us-east-1.amazonaws.com/2024-cards/hunter-strickland.png" TargetMode="External"/><Relationship Id="rId677" Type="http://schemas.openxmlformats.org/officeDocument/2006/relationships/hyperlink" Target="https://sba-cards-2024.s3.us-east-1.amazonaws.com/2024-cards/lawrence-butler.png" TargetMode="External"/><Relationship Id="rId434" Type="http://schemas.openxmlformats.org/officeDocument/2006/relationships/hyperlink" Target="https://sba-cards-2024.s3.us-east-1.amazonaws.com/2024-cards/hunter-stratton.png" TargetMode="External"/><Relationship Id="rId676" Type="http://schemas.openxmlformats.org/officeDocument/2006/relationships/hyperlink" Target="https://sba-cards-2024.s3.us-east-1.amazonaws.com/2024-cards/lars-nootbaar.png" TargetMode="External"/><Relationship Id="rId439" Type="http://schemas.openxmlformats.org/officeDocument/2006/relationships/hyperlink" Target="https://sba-cards-2024.s3.us-east-1.amazonaws.com/2024-cards/isaac-paredes.png" TargetMode="External"/><Relationship Id="rId438" Type="http://schemas.openxmlformats.org/officeDocument/2006/relationships/hyperlink" Target="https://sba-cards-2024.s3.us-east-1.amazonaws.com/2024-cards/ildemaro-vargas.png" TargetMode="External"/><Relationship Id="rId671" Type="http://schemas.openxmlformats.org/officeDocument/2006/relationships/hyperlink" Target="https://sba-cards-2024.s3.us-east-1.amazonaws.com/2024-cards/lamonte-wade-jr.png" TargetMode="External"/><Relationship Id="rId670" Type="http://schemas.openxmlformats.org/officeDocument/2006/relationships/hyperlink" Target="https://sba-cards-2024.s3.us-east-1.amazonaws.com/2024-cards/kyle-tyler.png" TargetMode="External"/><Relationship Id="rId1020" Type="http://schemas.openxmlformats.org/officeDocument/2006/relationships/hyperlink" Target="https://sba-cards-2024.s3.us-east-1.amazonaws.com/2024-cards/triston-casas.png" TargetMode="External"/><Relationship Id="rId1021" Type="http://schemas.openxmlformats.org/officeDocument/2006/relationships/hyperlink" Target="https://sba-cards-2024.s3.us-east-1.amazonaws.com/2024-cards/triston-mckenzie.png" TargetMode="External"/><Relationship Id="rId433" Type="http://schemas.openxmlformats.org/officeDocument/2006/relationships/hyperlink" Target="https://sba-cards-2024.s3.us-east-1.amazonaws.com/2024-cards/hunter-renfroe.png" TargetMode="External"/><Relationship Id="rId675" Type="http://schemas.openxmlformats.org/officeDocument/2006/relationships/hyperlink" Target="https://sba-cards-2024.s3.us-east-1.amazonaws.com/2024-cards/lane-thomas.png" TargetMode="External"/><Relationship Id="rId1022" Type="http://schemas.openxmlformats.org/officeDocument/2006/relationships/hyperlink" Target="https://sba-cards-2024.s3.us-east-1.amazonaws.com/2024-cards/tucker-barnhart.png" TargetMode="External"/><Relationship Id="rId432" Type="http://schemas.openxmlformats.org/officeDocument/2006/relationships/hyperlink" Target="https://sba-cards-2024.s3.us-east-1.amazonaws.com/2024-cards/hunter-harvey.png" TargetMode="External"/><Relationship Id="rId674" Type="http://schemas.openxmlformats.org/officeDocument/2006/relationships/hyperlink" Target="https://sba-cards-2024.s3.us-east-1.amazonaws.com/2024-cards/landon-knack.png" TargetMode="External"/><Relationship Id="rId1023" Type="http://schemas.openxmlformats.org/officeDocument/2006/relationships/hyperlink" Target="https://sba-cards-2024.s3.us-east-1.amazonaws.com/2024-cards/ty-blach.png" TargetMode="External"/><Relationship Id="rId431" Type="http://schemas.openxmlformats.org/officeDocument/2006/relationships/hyperlink" Target="https://i.postimg.cc/68CyR1tj/gg-p.png" TargetMode="External"/><Relationship Id="rId673" Type="http://schemas.openxmlformats.org/officeDocument/2006/relationships/hyperlink" Target="https://sba-cards-2024.s3.us-east-1.amazonaws.com/2024-cards/landen-roupp.png" TargetMode="External"/><Relationship Id="rId1024" Type="http://schemas.openxmlformats.org/officeDocument/2006/relationships/hyperlink" Target="https://sba-cards-2024.s3.us-east-1.amazonaws.com/2024-cards/ty-france.png" TargetMode="External"/><Relationship Id="rId430" Type="http://schemas.openxmlformats.org/officeDocument/2006/relationships/hyperlink" Target="https://sba-cards-2024.s3.us-east-1.amazonaws.com/2024-cards/hunter-greene.png" TargetMode="External"/><Relationship Id="rId672" Type="http://schemas.openxmlformats.org/officeDocument/2006/relationships/hyperlink" Target="https://sba-cards-2024.s3.us-east-1.amazonaws.com/2024-cards/lance-lynn.png" TargetMode="External"/><Relationship Id="rId1025" Type="http://schemas.openxmlformats.org/officeDocument/2006/relationships/hyperlink" Target="https://sba-cards-2024.s3.us-east-1.amazonaws.com/2024-cards/tyler-alexander.png"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hyperlink" Target="https://docs.google.com/spreadsheets/d/1NiRGpbYxudOtUy_yYuKDgLSXzAnzcnn7Ng3Qx_83nl4/edit?gid=1468572026" TargetMode="External"/><Relationship Id="rId2" Type="http://schemas.openxmlformats.org/officeDocument/2006/relationships/hyperlink" Target="https://docs.google.com/spreadsheets/d/1ySx9KVnlER7vbjHMBeXS8wagnO4l0ugv9kSjCZCYW0c/edit?gid=1468572026" TargetMode="External"/><Relationship Id="rId3" Type="http://schemas.openxmlformats.org/officeDocument/2006/relationships/hyperlink" Target="https://docs.google.com/spreadsheets/d/15oQMysG8Nppf9rEqSDfi5OTnOOrldr7jEJ8FgecYuq8/edit?gid=2097166564" TargetMode="External"/><Relationship Id="rId4" Type="http://schemas.openxmlformats.org/officeDocument/2006/relationships/hyperlink" Target="https://docs.google.com/spreadsheets/d/1MwuAsjvQeJk2Atfy3GUQeeET-ABe340bnAIe4CCIVGA/edit?gid=1468572026" TargetMode="External"/><Relationship Id="rId9" Type="http://schemas.openxmlformats.org/officeDocument/2006/relationships/hyperlink" Target="https://docs.google.com/spreadsheets/d/1NzWlkiiBFEb3iiaCeHsX1ZyVDEr-DvmWxkLWpc3F9i0/edit?usp=sharing" TargetMode="External"/><Relationship Id="rId5" Type="http://schemas.openxmlformats.org/officeDocument/2006/relationships/hyperlink" Target="https://docs.google.com/spreadsheets/d/1WgFqZgKH9ZFR16SqAHicwm3bwJI9XWhZoQ-sC84gRIc/edit?gid=1468572026" TargetMode="External"/><Relationship Id="rId6" Type="http://schemas.openxmlformats.org/officeDocument/2006/relationships/hyperlink" Target="https://docs.google.com/spreadsheets/d/1A_5YGk5c4SPBi8OH5n8qZywTiPKvKk4oVi7p40469H4/edit?gid=1468572026" TargetMode="External"/><Relationship Id="rId7" Type="http://schemas.openxmlformats.org/officeDocument/2006/relationships/hyperlink" Target="https://docs.google.com/spreadsheets/d/1fAuzNoOo5qXHJ0GCnf0i-rN4-QjDrGSl2DkI983D_ss/edit?usp=sharing" TargetMode="External"/><Relationship Id="rId8" Type="http://schemas.openxmlformats.org/officeDocument/2006/relationships/hyperlink" Target="https://docs.google.com/spreadsheets/d/1HSKRLh-F3BUwJXONST3uRn5WFZt3XENrZJ-SckW1ioM/edit?gid=1468572026" TargetMode="External"/><Relationship Id="rId40" Type="http://schemas.openxmlformats.org/officeDocument/2006/relationships/hyperlink" Target="https://docs.google.com/spreadsheets/d/1uKGQ5u6aj124cUQEl-d66QYVf2xaNOncBUqbYZ7cokg/edit?gid=1148472416" TargetMode="External"/><Relationship Id="rId42" Type="http://schemas.openxmlformats.org/officeDocument/2006/relationships/hyperlink" Target="https://docs.google.com/spreadsheets/d/1ENV4ilRSr4RaA_5EKQ_ueTp5gk7iYVA7-j4MCnnuUzE/edit?gid=1468572026" TargetMode="External"/><Relationship Id="rId41" Type="http://schemas.openxmlformats.org/officeDocument/2006/relationships/hyperlink" Target="https://docs.google.com/spreadsheets/d/1jNoUNn5pSBVM_oxSeickIXa16oAx2iPJFdkdGKoDt6E/edit?gid=1148472416" TargetMode="External"/><Relationship Id="rId44" Type="http://schemas.openxmlformats.org/officeDocument/2006/relationships/hyperlink" Target="https://docs.google.com/spreadsheets/d/1NC8_nVYEvXy6B2V7BYbojLLsy7sJV88v_0DqKfingiQ/edit?gid=1468572026" TargetMode="External"/><Relationship Id="rId43" Type="http://schemas.openxmlformats.org/officeDocument/2006/relationships/hyperlink" Target="https://docs.google.com/spreadsheets/d/1ysNNGPAIZdaojrepIjQmBg44811Ib_kztSh79vDBXfY/edit?gid=1468572026" TargetMode="External"/><Relationship Id="rId46" Type="http://schemas.openxmlformats.org/officeDocument/2006/relationships/hyperlink" Target="https://docs.google.com/spreadsheets/d/1CoUaKnhbrhX1bjxgEM4QDugbmLVSnq4JWNGzeD3QCiI/edit?usp=sharing" TargetMode="External"/><Relationship Id="rId45" Type="http://schemas.openxmlformats.org/officeDocument/2006/relationships/hyperlink" Target="https://docs.google.com/spreadsheets/d/1sbVOYVJp1GvFA2NZIGYJAAjiRJdA3SqjHrClJHElVsg/edit?usp=sharing" TargetMode="External"/><Relationship Id="rId48" Type="http://schemas.openxmlformats.org/officeDocument/2006/relationships/hyperlink" Target="https://docs.google.com/spreadsheets/d/1j-10E8zcFb_4taAuGo9x8yt1ZkZHQBJyubiwg_RODe0/edit?usp=sharing" TargetMode="External"/><Relationship Id="rId47" Type="http://schemas.openxmlformats.org/officeDocument/2006/relationships/hyperlink" Target="https://docs.google.com/spreadsheets/d/12gQ0SPqM-giZG7Fjukq8C36ZqBqwUJgvp7DqDB9laXU/edit?usp=sharing" TargetMode="External"/><Relationship Id="rId49" Type="http://schemas.openxmlformats.org/officeDocument/2006/relationships/hyperlink" Target="https://docs.google.com/spreadsheets/d/1ZWS1ZWMPksjZCbZl7X7WbuJnKhpFw6VjSflBs-Qzp48/edit?usp=sharing" TargetMode="External"/><Relationship Id="rId31" Type="http://schemas.openxmlformats.org/officeDocument/2006/relationships/hyperlink" Target="https://docs.google.com/spreadsheets/d/1dR0CxOhsT4NtgffQX0A1aTWurWYr7WA_caiKm2hnuxg/edit?gid=2097166564" TargetMode="External"/><Relationship Id="rId30" Type="http://schemas.openxmlformats.org/officeDocument/2006/relationships/hyperlink" Target="https://docs.google.com/spreadsheets/d/1VOFLubnuxFh07cgvS0tJJQLqPDa3RskhIHrWAhjeJbI/edit" TargetMode="External"/><Relationship Id="rId33" Type="http://schemas.openxmlformats.org/officeDocument/2006/relationships/hyperlink" Target="https://docs.google.com/spreadsheets/d/19t3P8VwdaLXPB6kBowT36IysEwxA3NCn091EN8HU2Oo/edit?gid=1468572026" TargetMode="External"/><Relationship Id="rId32" Type="http://schemas.openxmlformats.org/officeDocument/2006/relationships/hyperlink" Target="https://docs.google.com/spreadsheets/d/1a0dVTPbUXRgYDKj0SgOR3qeLmtpRO-XHDbX6DdUaDrg/edit?gid=1468572026" TargetMode="External"/><Relationship Id="rId35" Type="http://schemas.openxmlformats.org/officeDocument/2006/relationships/hyperlink" Target="https://docs.google.com/spreadsheets/d/1yEi2mfH3ifTFZM3DZA6NWXMAC1G2IJBsnVSNTZrHJc4/edit?gid=1468572026" TargetMode="External"/><Relationship Id="rId34" Type="http://schemas.openxmlformats.org/officeDocument/2006/relationships/hyperlink" Target="https://docs.google.com/spreadsheets/d/1-xTpdqWO5SGe2k7Kw54e4k5jyuf140TXCkjZipssNqc/edit?gid=1468572026" TargetMode="External"/><Relationship Id="rId37" Type="http://schemas.openxmlformats.org/officeDocument/2006/relationships/hyperlink" Target="https://docs.google.com/spreadsheets/d/190Ljz2Jyt0OQBiTB7Afg9DcEFiJaO0BIe8ur4xZpx9E/edit?gid=1468572026" TargetMode="External"/><Relationship Id="rId36" Type="http://schemas.openxmlformats.org/officeDocument/2006/relationships/hyperlink" Target="https://docs.google.com/spreadsheets/d/1ahlwfQ-Qts4tVqQ00tLYoJ4Hc7hDXuP3AhThYvhJn5M/edit?gid=1148472416" TargetMode="External"/><Relationship Id="rId39" Type="http://schemas.openxmlformats.org/officeDocument/2006/relationships/hyperlink" Target="https://docs.google.com/spreadsheets/d/1fZVoGk5tyTS21Eu82WW6n4itWjsYQADZ1rs64buqc9Q/edit?gid=1148472416" TargetMode="External"/><Relationship Id="rId38" Type="http://schemas.openxmlformats.org/officeDocument/2006/relationships/hyperlink" Target="https://docs.google.com/spreadsheets/d/1m9sb6cTDfJeHuT6Qo2oBThYFeuAxiUtQgAnxRbe5JQw/edit?gid=1468572026" TargetMode="External"/><Relationship Id="rId20" Type="http://schemas.openxmlformats.org/officeDocument/2006/relationships/hyperlink" Target="https://docs.google.com/spreadsheets/d/1_jH_cB1aNgx3Av94hjGKT1nsM-QJf8n8Xa4rFBmJR6c/edit?gid=1468572026" TargetMode="External"/><Relationship Id="rId22" Type="http://schemas.openxmlformats.org/officeDocument/2006/relationships/hyperlink" Target="https://docs.google.com/spreadsheets/d/1OLExC5bvG9q4Wp7CG9kvpQ_mA86p9MM6aDeu9d74xDk/edit?gid=1468572026" TargetMode="External"/><Relationship Id="rId21" Type="http://schemas.openxmlformats.org/officeDocument/2006/relationships/hyperlink" Target="https://docs.google.com/spreadsheets/d/1MkL9EkVeiWUScw-r9TTAAnXcqySHfmcQD2JV56Jjo9M/edit?gid=1468572026" TargetMode="External"/><Relationship Id="rId24" Type="http://schemas.openxmlformats.org/officeDocument/2006/relationships/hyperlink" Target="https://docs.google.com/spreadsheets/d/1-j7uow6KdGhbHBS0mDjFr3P75VSb1Afx49ZG6udq3Mo/edit" TargetMode="External"/><Relationship Id="rId23" Type="http://schemas.openxmlformats.org/officeDocument/2006/relationships/hyperlink" Target="https://docs.google.com/spreadsheets/d/1RrS2ljq0oWc3Da0DzwZro89ODzPJQ0uQ7W6bPCIUA40/edit" TargetMode="External"/><Relationship Id="rId26" Type="http://schemas.openxmlformats.org/officeDocument/2006/relationships/hyperlink" Target="https://docs.google.com/spreadsheets/d/1QB82M9hGzcnyeOwuaKEgYrbPjxFWyiizQ3J6wiirWNI/edit?gid=1468572026" TargetMode="External"/><Relationship Id="rId25" Type="http://schemas.openxmlformats.org/officeDocument/2006/relationships/hyperlink" Target="https://docs.google.com/spreadsheets/d/1oG8vrEKtwt4sYRXrIetUePaMB7hHbu8Bd0GkDvP7Tjg/edit?gid=1468572026" TargetMode="External"/><Relationship Id="rId28" Type="http://schemas.openxmlformats.org/officeDocument/2006/relationships/hyperlink" Target="https://docs.google.com/spreadsheets/d/1W8hc0NlG3BfsjRxbnrfq1BHTUF4kAp0F8tX5ETXlFak/edit" TargetMode="External"/><Relationship Id="rId27" Type="http://schemas.openxmlformats.org/officeDocument/2006/relationships/hyperlink" Target="https://docs.google.com/spreadsheets/d/1hbqox2X7gwJ3cWJrZuD7vetVjy02IjWid5D_24FeqEk/edit" TargetMode="External"/><Relationship Id="rId29" Type="http://schemas.openxmlformats.org/officeDocument/2006/relationships/hyperlink" Target="https://docs.google.com/spreadsheets/d/136rbTdr72KEr1w7_lcNxmAxHR52x1x33kWQlE1-jfZs/edit" TargetMode="External"/><Relationship Id="rId11" Type="http://schemas.openxmlformats.org/officeDocument/2006/relationships/hyperlink" Target="https://docs.google.com/spreadsheets/d/1po_pUNppSdqfTUtDl0A2bs2ojanQQzQ-D5VtANeHpjI/edit?gid=1148472416" TargetMode="External"/><Relationship Id="rId10" Type="http://schemas.openxmlformats.org/officeDocument/2006/relationships/hyperlink" Target="https://docs.google.com/spreadsheets/d/1WzwiI64PrCnivoRtTfdn1W0dAOUjHd_NlG529F_6sdU/edit?usp=sharing" TargetMode="External"/><Relationship Id="rId13" Type="http://schemas.openxmlformats.org/officeDocument/2006/relationships/hyperlink" Target="https://docs.google.com/spreadsheets/d/1ahxWeVlyiLDW7PvCJFMUVCbT0oGiICmjfgKDDureltc/edit?usp=sharing" TargetMode="External"/><Relationship Id="rId12" Type="http://schemas.openxmlformats.org/officeDocument/2006/relationships/hyperlink" Target="https://docs.google.com/spreadsheets/d/1i2IWXQbA8rD29ZgVP2mKfPWC7c8U4CrmbuTpg6DDryk/edit?gid=1468572026" TargetMode="External"/><Relationship Id="rId15" Type="http://schemas.openxmlformats.org/officeDocument/2006/relationships/hyperlink" Target="https://docs.google.com/spreadsheets/d/1r9V1dWZOB5I2y0CGMd_9oZO-2rMMBi0vumQ-RhlaKp8/edit?usp=sharing" TargetMode="External"/><Relationship Id="rId14" Type="http://schemas.openxmlformats.org/officeDocument/2006/relationships/hyperlink" Target="https://docs.google.com/spreadsheets/d/1Wi-QxNVXhxxC9caz4cJF4tKHfRj8-cZOXUueEshENdc/edit?usp=sharing" TargetMode="External"/><Relationship Id="rId17" Type="http://schemas.openxmlformats.org/officeDocument/2006/relationships/hyperlink" Target="https://docs.google.com/spreadsheets/d/1VFNeDIj_hBFvAe4VwmoA6S12nkrG41Y7qNQlGKbHzwA/edit?gid=1468572026" TargetMode="External"/><Relationship Id="rId16" Type="http://schemas.openxmlformats.org/officeDocument/2006/relationships/hyperlink" Target="https://docs.google.com/spreadsheets/d/1yRHBS19n13NDoruREXAnOvtKS8oVejUd1gnD85nq35I/edit?usp=sharing" TargetMode="External"/><Relationship Id="rId19" Type="http://schemas.openxmlformats.org/officeDocument/2006/relationships/hyperlink" Target="https://docs.google.com/spreadsheets/d/1Sawkr5gtPEMg_7iaAGu35HaNENRqCvIIsPg-m4exNQg/edit?gid=1468572026" TargetMode="External"/><Relationship Id="rId18" Type="http://schemas.openxmlformats.org/officeDocument/2006/relationships/hyperlink" Target="https://docs.google.com/spreadsheets/d/1pKbme4MBGv8upbbZkfcbqd9fZTdzkwZDJ3PwVgYKIcE/edit?gid=1468572026" TargetMode="External"/><Relationship Id="rId84" Type="http://schemas.openxmlformats.org/officeDocument/2006/relationships/hyperlink" Target="https://docs.google.com/spreadsheets/d/1uQq9ezmRtXAUFNV2DD5lXEQFYvYzwM1QeCV7ZPSlEXw/edit?usp=sharing" TargetMode="External"/><Relationship Id="rId83" Type="http://schemas.openxmlformats.org/officeDocument/2006/relationships/hyperlink" Target="https://docs.google.com/spreadsheets/d/1Q3Zna_AvoI8PfL7ljMRCOD0_hX1sgANtEeauyntIsVA/edit?usp=sharing" TargetMode="External"/><Relationship Id="rId86" Type="http://schemas.openxmlformats.org/officeDocument/2006/relationships/hyperlink" Target="https://docs.google.com/spreadsheets/d/1enn8NlctFnNKDIzAyiITYSR9YNhBzaOFkibmWkh0hnI/edit?usp=sharing" TargetMode="External"/><Relationship Id="rId85" Type="http://schemas.openxmlformats.org/officeDocument/2006/relationships/hyperlink" Target="https://docs.google.com/spreadsheets/d/1xgR9fPg_I5PWZ-Z8wDejtyP82mgXXZwhSBttDRQuKFk/edit?usp=sharing" TargetMode="External"/><Relationship Id="rId88" Type="http://schemas.openxmlformats.org/officeDocument/2006/relationships/hyperlink" Target="https://docs.google.com/spreadsheets/d/1nTcPBfP7Tx-10WBTc8AvaLOjayxrLUBL85Ot4G7woOY/edit?usp=sharing" TargetMode="External"/><Relationship Id="rId87" Type="http://schemas.openxmlformats.org/officeDocument/2006/relationships/hyperlink" Target="https://docs.google.com/spreadsheets/d/1sZQEwgt6lm8F-BALB6v_oU9u4WdVuBFEKdSiBVE0jI0/edit?usp=sharing" TargetMode="External"/><Relationship Id="rId89" Type="http://schemas.openxmlformats.org/officeDocument/2006/relationships/hyperlink" Target="https://docs.google.com/spreadsheets/d/1hZSkkYYdCgK5NZ_OjyHlAefyQUKixy6elR016ljoVzc/edit?usp=sharing" TargetMode="External"/><Relationship Id="rId80" Type="http://schemas.openxmlformats.org/officeDocument/2006/relationships/hyperlink" Target="https://docs.google.com/spreadsheets/d/12---6ASrAr0NuVSyngBv7h6BjlYem5F6u6nqxnuZriA/edit?usp=sharing" TargetMode="External"/><Relationship Id="rId82" Type="http://schemas.openxmlformats.org/officeDocument/2006/relationships/hyperlink" Target="https://docs.google.com/spreadsheets/d/10eTtBdRvLdfp6L9rUNzy5sfIrTUs6hzJuZJ2aWRu-2w/edit?gid=1148472416" TargetMode="External"/><Relationship Id="rId81" Type="http://schemas.openxmlformats.org/officeDocument/2006/relationships/hyperlink" Target="https://docs.google.com/spreadsheets/d/1TiGLu804WYdkURuS_dR_kr4VOOjC3f0CpxWh1S64U1o/edit?usp=sharing" TargetMode="External"/><Relationship Id="rId73" Type="http://schemas.openxmlformats.org/officeDocument/2006/relationships/hyperlink" Target="https://docs.google.com/spreadsheets/d/1fyW-FU6_GmRacYwwd92QtlNPtSZmi1NO6HBqA_kI2H0/edit?gid=1468572026" TargetMode="External"/><Relationship Id="rId72" Type="http://schemas.openxmlformats.org/officeDocument/2006/relationships/hyperlink" Target="https://docs.google.com/spreadsheets/d/108xhbnDNfa-6SuoaSrreTXRRnAtfQM2cwM3dOwoWb3Y/edit?gid=1148472416" TargetMode="External"/><Relationship Id="rId75" Type="http://schemas.openxmlformats.org/officeDocument/2006/relationships/hyperlink" Target="https://docs.google.com/spreadsheets/d/1Sjw_n8L3IWL8I-jQfVFVTFaSDdzTzEr1WMcTw3toFXg/edit?gid=1468572026" TargetMode="External"/><Relationship Id="rId74" Type="http://schemas.openxmlformats.org/officeDocument/2006/relationships/hyperlink" Target="https://docs.google.com/spreadsheets/d/1-BVtJK15G2tJk_X7clqkeI6iI2RBwbqXytexWdVaD9k/edit?gid=1468572026" TargetMode="External"/><Relationship Id="rId77" Type="http://schemas.openxmlformats.org/officeDocument/2006/relationships/hyperlink" Target="https://docs.google.com/spreadsheets/d/1asmTgghOa-mos_ZcRkx_GIx-NKAUEaJIfuqrz7z1pkM/edit?gid=1148472416" TargetMode="External"/><Relationship Id="rId76" Type="http://schemas.openxmlformats.org/officeDocument/2006/relationships/hyperlink" Target="https://docs.google.com/spreadsheets/d/1kt0xSP4DloWpNxYDBs9xKppHFMZA7db4CmUgrD_NV04/edit?gid=1148472416" TargetMode="External"/><Relationship Id="rId79" Type="http://schemas.openxmlformats.org/officeDocument/2006/relationships/hyperlink" Target="https://docs.google.com/spreadsheets/d/1ZrJq_ojoSbnNwky-5Xv1qBsUIgmQ5z9WCa1O5wgiPjQ/edit?gid=1148472416" TargetMode="External"/><Relationship Id="rId78" Type="http://schemas.openxmlformats.org/officeDocument/2006/relationships/hyperlink" Target="https://docs.google.com/spreadsheets/d/1DtugdsnLXTsUFKfnHZfEvZ7oYpYoIfkoVNSV4E44u48/edit?gid=1148472416" TargetMode="External"/><Relationship Id="rId71" Type="http://schemas.openxmlformats.org/officeDocument/2006/relationships/hyperlink" Target="https://docs.google.com/spreadsheets/d/1SzlfSzbdCBuY7rdFSJ8l52N-2lDVcBirxL24OMvK6OY/edit?usp=sharing" TargetMode="External"/><Relationship Id="rId70" Type="http://schemas.openxmlformats.org/officeDocument/2006/relationships/hyperlink" Target="https://docs.google.com/spreadsheets/d/1aNJQdQLeYYp65Pe2uCgzlHLiL6GFKLeRgqD-OBBU9eY/edit?gid=1468572026" TargetMode="External"/><Relationship Id="rId62" Type="http://schemas.openxmlformats.org/officeDocument/2006/relationships/hyperlink" Target="https://docs.google.com/spreadsheets/d/15r7ocq0hMSeS2uMSu3w9_KYFJ-sZuJgRqNVS9stuv7I/edit?gid=2097166564" TargetMode="External"/><Relationship Id="rId61" Type="http://schemas.openxmlformats.org/officeDocument/2006/relationships/hyperlink" Target="https://docs.google.com/spreadsheets/d/1rIZrkmR2Fo3ReeOURUXZ5obQ5v06Gf2UsL0pRO0bimg/edit?gid=1468572026" TargetMode="External"/><Relationship Id="rId64" Type="http://schemas.openxmlformats.org/officeDocument/2006/relationships/hyperlink" Target="https://docs.google.com/spreadsheets/d/1DdpsnFDtZ7_j3womdYu5OoWpDlVIPQm86hgnJuJzoPs/edit?usp=sharing" TargetMode="External"/><Relationship Id="rId63" Type="http://schemas.openxmlformats.org/officeDocument/2006/relationships/hyperlink" Target="https://docs.google.com/spreadsheets/d/1wiHzEvfb9WQSEknKEJZPuWZrQC7b16JGUEt09eTuuCI/edit?usp=sharing" TargetMode="External"/><Relationship Id="rId66" Type="http://schemas.openxmlformats.org/officeDocument/2006/relationships/hyperlink" Target="https://docs.google.com/spreadsheets/d/1oWXsFkc1mXQeKyKlVWEtN6IQjMo2dB2kTOb1vdMnhcs/edit?gid=2097166564" TargetMode="External"/><Relationship Id="rId65" Type="http://schemas.openxmlformats.org/officeDocument/2006/relationships/hyperlink" Target="https://docs.google.com/spreadsheets/d/1kw1O6MfK8mlM8N86v2SKCXTPMDKMVQlht-8dP3gjUak/edit?gid=1468572026" TargetMode="External"/><Relationship Id="rId68" Type="http://schemas.openxmlformats.org/officeDocument/2006/relationships/hyperlink" Target="https://docs.google.com/spreadsheets/d/1FqOqI8-tO-wzWW701gYXMuhRKnKO44pWOw-06sxYI_A/edit?usp=sharing" TargetMode="External"/><Relationship Id="rId67" Type="http://schemas.openxmlformats.org/officeDocument/2006/relationships/hyperlink" Target="https://docs.google.com/spreadsheets/d/1oufoOJ1u9vHs57LEETtf5yHFEscf-ZCqaTUaUtPFp5s/edit?usp=sharing" TargetMode="External"/><Relationship Id="rId60" Type="http://schemas.openxmlformats.org/officeDocument/2006/relationships/hyperlink" Target="https://docs.google.com/spreadsheets/d/1FQVTW5I4MqYFX02Q90cPbAyu9M89NwnppdX9MNa1PEA/edit?gid=1148472416" TargetMode="External"/><Relationship Id="rId69" Type="http://schemas.openxmlformats.org/officeDocument/2006/relationships/hyperlink" Target="https://docs.google.com/spreadsheets/d/1UxIEMfOs4s2z8iQWblf7ONjQzDVlGKUiFf6XDWgvynQ/edit?usp=sharing" TargetMode="External"/><Relationship Id="rId51" Type="http://schemas.openxmlformats.org/officeDocument/2006/relationships/hyperlink" Target="https://docs.google.com/spreadsheets/d/1JjF2rm9l5s_GN8mYNaXXMafaA0VuvKiFyMl3JApKgpw/edit?usp=sharing" TargetMode="External"/><Relationship Id="rId50" Type="http://schemas.openxmlformats.org/officeDocument/2006/relationships/hyperlink" Target="https://docs.google.com/spreadsheets/d/1pmrN4dP36IQbXrxJ35TGxN-DANG_z4fKXvFxez5NkDo/edit?usp=sharing" TargetMode="External"/><Relationship Id="rId53" Type="http://schemas.openxmlformats.org/officeDocument/2006/relationships/hyperlink" Target="https://docs.google.com/spreadsheets/d/1NbxdQvV5ZewYPbfhtm_9Z0Z3L7RyHeAm9-_7XBhuOgM/edit?usp=sharing" TargetMode="External"/><Relationship Id="rId52" Type="http://schemas.openxmlformats.org/officeDocument/2006/relationships/hyperlink" Target="https://docs.google.com/spreadsheets/d/17w1v2-XfcxoxBFbggxXzaUS4Avj7bTzYeEmWD5le2lg/edit?usp=sharing" TargetMode="External"/><Relationship Id="rId55" Type="http://schemas.openxmlformats.org/officeDocument/2006/relationships/hyperlink" Target="https://docs.google.com/spreadsheets/d/13mLGa00Pcrf7SlHDV0JdXBdOCO0JTYOWETpEe6psnUE/edit?usp=sharing" TargetMode="External"/><Relationship Id="rId54" Type="http://schemas.openxmlformats.org/officeDocument/2006/relationships/hyperlink" Target="https://docs.google.com/spreadsheets/d/1Bpm4TSpOUWpuY-SzPpRgNaiDi2FKHqqQx5xVcjcsJeU/edit?usp=sharing" TargetMode="External"/><Relationship Id="rId57" Type="http://schemas.openxmlformats.org/officeDocument/2006/relationships/hyperlink" Target="https://docs.google.com/spreadsheets/d/1wIm79oA68qRN5nyeCFp2C2lNb5ou6g_x23K5_ey7XP4/edit?usp=sharing" TargetMode="External"/><Relationship Id="rId56" Type="http://schemas.openxmlformats.org/officeDocument/2006/relationships/hyperlink" Target="https://docs.google.com/spreadsheets/d/1LadZ5setBjEb--wTQ7VlOOGiBkj4d3zF7b1qeQ2K66E/edit?usp=sharing" TargetMode="External"/><Relationship Id="rId59" Type="http://schemas.openxmlformats.org/officeDocument/2006/relationships/hyperlink" Target="https://docs.google.com/spreadsheets/d/1dtcX_hIIkzw-rEfz2n88ca0sWRYU26JaL7XYdA-r_Og/edit?gid=1468572026" TargetMode="External"/><Relationship Id="rId58" Type="http://schemas.openxmlformats.org/officeDocument/2006/relationships/hyperlink" Target="https://docs.google.com/spreadsheets/d/1BYVABMdC17dYd2zdx7nNdxBlM9bybovkaaaPpAnbGEI/edit?gid=1468572026" TargetMode="External"/><Relationship Id="rId90"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90" Type="http://schemas.openxmlformats.org/officeDocument/2006/relationships/hyperlink" Target="https://sba-cards-2024.s3.us-east-1.amazonaws.com/2024-cards/chas-mccormick.png" TargetMode="External"/><Relationship Id="rId194" Type="http://schemas.openxmlformats.org/officeDocument/2006/relationships/hyperlink" Target="https://sba-cards-2024.s3.us-east-1.amazonaws.com/2024-cards/chris-flexen.png" TargetMode="External"/><Relationship Id="rId193" Type="http://schemas.openxmlformats.org/officeDocument/2006/relationships/hyperlink" Target="https://sba-cards-2024.s3.us-east-1.amazonaws.com/2024-cards/chris-devenski.png" TargetMode="External"/><Relationship Id="rId192" Type="http://schemas.openxmlformats.org/officeDocument/2006/relationships/hyperlink" Target="https://sba-cards-2024.s3.us-east-1.amazonaws.com/2024-cards/chris-bassitt.png" TargetMode="External"/><Relationship Id="rId191" Type="http://schemas.openxmlformats.org/officeDocument/2006/relationships/hyperlink" Target="https://sba-cards-2024.s3.us-east-1.amazonaws.com/2024-cards/chase-anderson.png" TargetMode="External"/><Relationship Id="rId187" Type="http://schemas.openxmlformats.org/officeDocument/2006/relationships/hyperlink" Target="https://sba-cards-2024.s3.us-east-1.amazonaws.com/2024-cards/chad-kuhl.png" TargetMode="External"/><Relationship Id="rId186" Type="http://schemas.openxmlformats.org/officeDocument/2006/relationships/hyperlink" Target="https://sba-cards-2024.s3.us-east-1.amazonaws.com/2024-cards/chad-green.png" TargetMode="External"/><Relationship Id="rId185" Type="http://schemas.openxmlformats.org/officeDocument/2006/relationships/hyperlink" Target="https://sba-cards-2024.s3.us-east-1.amazonaws.com/2024-cards/cedric-mullins.png" TargetMode="External"/><Relationship Id="rId184" Type="http://schemas.openxmlformats.org/officeDocument/2006/relationships/hyperlink" Target="https://sba-cards-2024.s3.us-east-1.amazonaws.com/2024-cards/ceddanne-rafaela.png" TargetMode="External"/><Relationship Id="rId189" Type="http://schemas.openxmlformats.org/officeDocument/2006/relationships/hyperlink" Target="https://sba-cards-2024.s3.us-east-1.amazonaws.com/2024-cards/charlie-morton.png" TargetMode="External"/><Relationship Id="rId188" Type="http://schemas.openxmlformats.org/officeDocument/2006/relationships/hyperlink" Target="https://sba-cards-2024.s3.us-east-1.amazonaws.com/2024-cards/charlie-blackmon.png" TargetMode="External"/><Relationship Id="rId183" Type="http://schemas.openxmlformats.org/officeDocument/2006/relationships/hyperlink" Target="https://sba-cards-2024.s3.us-east-1.amazonaws.com/2024-cards/cavan-biggio.png" TargetMode="External"/><Relationship Id="rId182" Type="http://schemas.openxmlformats.org/officeDocument/2006/relationships/hyperlink" Target="https://sba-cards-2024.s3.us-east-1.amazonaws.com/2024-cards/casey-schmitt.png" TargetMode="External"/><Relationship Id="rId181" Type="http://schemas.openxmlformats.org/officeDocument/2006/relationships/hyperlink" Target="https://sba-cards-2024.s3.us-east-1.amazonaws.com/2024-cards/casey-mize.png" TargetMode="External"/><Relationship Id="rId180" Type="http://schemas.openxmlformats.org/officeDocument/2006/relationships/hyperlink" Target="https://sba-cards-2024.s3.us-east-1.amazonaws.com/2024-cards/carson-spiers.png" TargetMode="External"/><Relationship Id="rId176" Type="http://schemas.openxmlformats.org/officeDocument/2006/relationships/hyperlink" Target="https://sba-cards-2024.s3.us-east-1.amazonaws.com/2024-cards/carmen-mlodzinski.png" TargetMode="External"/><Relationship Id="rId175" Type="http://schemas.openxmlformats.org/officeDocument/2006/relationships/hyperlink" Target="https://sba-cards-2024.s3.us-east-1.amazonaws.com/2024-cards/carlos-santana.png" TargetMode="External"/><Relationship Id="rId174" Type="http://schemas.openxmlformats.org/officeDocument/2006/relationships/hyperlink" Target="https://sba-cards-2024.s3.us-east-1.amazonaws.com/2024-cards/carlos-rodon.png" TargetMode="External"/><Relationship Id="rId173" Type="http://schemas.openxmlformats.org/officeDocument/2006/relationships/hyperlink" Target="https://sba-cards-2024.s3.us-east-1.amazonaws.com/2024-cards/carlos-hernandez.png" TargetMode="External"/><Relationship Id="rId179" Type="http://schemas.openxmlformats.org/officeDocument/2006/relationships/hyperlink" Target="https://sba-cards-2024.s3.us-east-1.amazonaws.com/2024-cards/carson-kelly.png" TargetMode="External"/><Relationship Id="rId178" Type="http://schemas.openxmlformats.org/officeDocument/2006/relationships/hyperlink" Target="https://sba-cards-2024.s3.us-east-1.amazonaws.com/2024-cards/carson-fulmer.png" TargetMode="External"/><Relationship Id="rId177" Type="http://schemas.openxmlformats.org/officeDocument/2006/relationships/hyperlink" Target="https://i.postimg.cc/fynHbBBW/images-10.jpg" TargetMode="External"/><Relationship Id="rId198" Type="http://schemas.openxmlformats.org/officeDocument/2006/relationships/hyperlink" Target="https://sba-cards-2024.s3.us-east-1.amazonaws.com/2024-cards/chris-sale.png" TargetMode="External"/><Relationship Id="rId197" Type="http://schemas.openxmlformats.org/officeDocument/2006/relationships/hyperlink" Target="https://sba-cards-2024.s3.us-east-1.amazonaws.com/2024-cards/chris-roycroft.png" TargetMode="External"/><Relationship Id="rId196" Type="http://schemas.openxmlformats.org/officeDocument/2006/relationships/hyperlink" Target="https://sba-cards-2024.s3.us-east-1.amazonaws.com/2024-cards/chris-paddack.png" TargetMode="External"/><Relationship Id="rId195" Type="http://schemas.openxmlformats.org/officeDocument/2006/relationships/hyperlink" Target="https://sba-cards-2024.s3.us-east-1.amazonaws.com/2024-cards/chris-martin.png" TargetMode="External"/><Relationship Id="rId199" Type="http://schemas.openxmlformats.org/officeDocument/2006/relationships/hyperlink" Target="https://sba-cards-2024.s3.us-east-1.amazonaws.com/2024-cards/chris-stratton.png" TargetMode="External"/><Relationship Id="rId150" Type="http://schemas.openxmlformats.org/officeDocument/2006/relationships/hyperlink" Target="https://sba-cards-2024.s3.us-east-1.amazonaws.com/2024-cards/bryce-harper.png" TargetMode="External"/><Relationship Id="rId392" Type="http://schemas.openxmlformats.org/officeDocument/2006/relationships/hyperlink" Target="https://sba-cards-2024.s3.us-east-1.amazonaws.com/2024-cards/greg-weissert.png" TargetMode="External"/><Relationship Id="rId391" Type="http://schemas.openxmlformats.org/officeDocument/2006/relationships/hyperlink" Target="https://sba-cards-2024.s3.us-east-1.amazonaws.com/2024-cards/grayson-rodriguez.png" TargetMode="External"/><Relationship Id="rId390" Type="http://schemas.openxmlformats.org/officeDocument/2006/relationships/hyperlink" Target="https://sba-cards-2024.s3.us-east-1.amazonaws.com/2024-cards/grant-mccray.png" TargetMode="External"/><Relationship Id="rId1" Type="http://schemas.openxmlformats.org/officeDocument/2006/relationships/hyperlink" Target="https://sba-cards-2024.s3.us-east-1.amazonaws.com/2024-cards/aaron-bummer.png" TargetMode="External"/><Relationship Id="rId2" Type="http://schemas.openxmlformats.org/officeDocument/2006/relationships/hyperlink" Target="https://sba-cards-2024.s3.us-east-1.amazonaws.com/2024-cards/aaron-civale.png" TargetMode="External"/><Relationship Id="rId3" Type="http://schemas.openxmlformats.org/officeDocument/2006/relationships/hyperlink" Target="https://sba-cards-2024.s3.us-east-1.amazonaws.com/2024-cards/aaron-hicks.png" TargetMode="External"/><Relationship Id="rId149" Type="http://schemas.openxmlformats.org/officeDocument/2006/relationships/hyperlink" Target="https://sba-cards-2024.s3.us-east-1.amazonaws.com/2024-cards/bryce-elder.png" TargetMode="External"/><Relationship Id="rId4" Type="http://schemas.openxmlformats.org/officeDocument/2006/relationships/hyperlink" Target="https://sba-cards-2024.s3.us-east-1.amazonaws.com/2024-cards/aaron-judge.png" TargetMode="External"/><Relationship Id="rId148" Type="http://schemas.openxmlformats.org/officeDocument/2006/relationships/hyperlink" Target="https://sba-cards-2024.s3.us-east-1.amazonaws.com/2024-cards/bryan-woo.png" TargetMode="External"/><Relationship Id="rId1090" Type="http://schemas.openxmlformats.org/officeDocument/2006/relationships/hyperlink" Target="https://sba-cards-2024.s3.us-east-1.amazonaws.com/2024-cards/yennier-cano.png" TargetMode="External"/><Relationship Id="rId1091" Type="http://schemas.openxmlformats.org/officeDocument/2006/relationships/hyperlink" Target="https://sba-cards-2024.s3.us-east-1.amazonaws.com/2024-cards/yerry-rodriguez.png" TargetMode="External"/><Relationship Id="rId1092" Type="http://schemas.openxmlformats.org/officeDocument/2006/relationships/hyperlink" Target="https://sba-cards-2024.s3.us-east-1.amazonaws.com/2024-cards/yimi-garcia.png" TargetMode="External"/><Relationship Id="rId1093" Type="http://schemas.openxmlformats.org/officeDocument/2006/relationships/hyperlink" Target="https://sba-cards-2024.s3.us-east-1.amazonaws.com/2024-cards/yohan-ramirez.png" TargetMode="External"/><Relationship Id="rId1094" Type="http://schemas.openxmlformats.org/officeDocument/2006/relationships/hyperlink" Target="https://sba-cards-2024.s3.us-east-1.amazonaws.com/2024-cards/yonny-chirinos.png" TargetMode="External"/><Relationship Id="rId9" Type="http://schemas.openxmlformats.org/officeDocument/2006/relationships/hyperlink" Target="https://sba-cards-2024.s3.us-east-1.amazonaws.com/2024-cards/adam-cimber.png" TargetMode="External"/><Relationship Id="rId143" Type="http://schemas.openxmlformats.org/officeDocument/2006/relationships/hyperlink" Target="https://sba-cards-2024.s3.us-east-1.amazonaws.com/2024-cards/bryan-king.png" TargetMode="External"/><Relationship Id="rId385" Type="http://schemas.openxmlformats.org/officeDocument/2006/relationships/hyperlink" Target="https://sba-cards-2024.s3.us-east-1.amazonaws.com/2024-cards/giovanny-gallegos.png" TargetMode="External"/><Relationship Id="rId1095" Type="http://schemas.openxmlformats.org/officeDocument/2006/relationships/hyperlink" Target="https://sba-cards-2024.s3.us-east-1.amazonaws.com/2024-cards/yordan-alvarez.png" TargetMode="External"/><Relationship Id="rId142" Type="http://schemas.openxmlformats.org/officeDocument/2006/relationships/hyperlink" Target="https://sba-cards-2024.s3.us-east-1.amazonaws.com/2024-cards/bryan-hudson.png" TargetMode="External"/><Relationship Id="rId384" Type="http://schemas.openxmlformats.org/officeDocument/2006/relationships/hyperlink" Target="https://sba-cards-2024.s3.us-east-1.amazonaws.com/2024-cards/gio-urshela.png" TargetMode="External"/><Relationship Id="rId1096" Type="http://schemas.openxmlformats.org/officeDocument/2006/relationships/hyperlink" Target="https://sba-cards-2024.s3.us-east-1.amazonaws.com/2024-cards/yoshinobu-yamamoto.png" TargetMode="External"/><Relationship Id="rId141" Type="http://schemas.openxmlformats.org/officeDocument/2006/relationships/hyperlink" Target="https://sba-cards-2024.s3.us-east-1.amazonaws.com/2024-cards/bryan-hoeing.png" TargetMode="External"/><Relationship Id="rId383" Type="http://schemas.openxmlformats.org/officeDocument/2006/relationships/hyperlink" Target="https://sba-cards-2024.s3.us-east-1.amazonaws.com/2024-cards/giancarlo-stanton.png" TargetMode="External"/><Relationship Id="rId1097" Type="http://schemas.openxmlformats.org/officeDocument/2006/relationships/hyperlink" Target="https://sba-cards-2024.s3.us-east-1.amazonaws.com/2024-cards/yu-darvish.png" TargetMode="External"/><Relationship Id="rId140" Type="http://schemas.openxmlformats.org/officeDocument/2006/relationships/hyperlink" Target="https://sba-cards-2024.s3.us-east-1.amazonaws.com/2024-cards/bryan-de-la-cruz.png" TargetMode="External"/><Relationship Id="rId382" Type="http://schemas.openxmlformats.org/officeDocument/2006/relationships/hyperlink" Target="https://sba-cards-2024.s3.us-east-1.amazonaws.com/2024-cards/gerrit-cole.png" TargetMode="External"/><Relationship Id="rId1098" Type="http://schemas.openxmlformats.org/officeDocument/2006/relationships/hyperlink" Target="https://sba-cards-2024.s3.us-east-1.amazonaws.com/2024-cards/yuki-matsui.png" TargetMode="External"/><Relationship Id="rId5" Type="http://schemas.openxmlformats.org/officeDocument/2006/relationships/hyperlink" Target="https://upload.wikimedia.org/wikipedia/commons/8/82/Francisco_de_Goya%2C_Saturno_devorando_a_su_hijo_%281819-1823%29.jpg" TargetMode="External"/><Relationship Id="rId147" Type="http://schemas.openxmlformats.org/officeDocument/2006/relationships/hyperlink" Target="https://sba-cards-2024.s3.us-east-1.amazonaws.com/2024-cards/bryan-sammons.png" TargetMode="External"/><Relationship Id="rId389" Type="http://schemas.openxmlformats.org/officeDocument/2006/relationships/hyperlink" Target="https://sba-cards-2024.s3.us-east-1.amazonaws.com/2024-cards/grant-holmes.png" TargetMode="External"/><Relationship Id="rId1099" Type="http://schemas.openxmlformats.org/officeDocument/2006/relationships/hyperlink" Target="https://upload.wikimedia.org/wikipedia/commons/8/82/Francisco_de_Goya%2C_Saturno_devorando_a_su_hijo_%281819-1823%29.jpg" TargetMode="External"/><Relationship Id="rId6" Type="http://schemas.openxmlformats.org/officeDocument/2006/relationships/hyperlink" Target="https://sba-cards-2024.s3.us-east-1.amazonaws.com/2024-cards/aaron-nola.png" TargetMode="External"/><Relationship Id="rId146" Type="http://schemas.openxmlformats.org/officeDocument/2006/relationships/hyperlink" Target="https://upload.wikimedia.org/wikipedia/commons/8/82/Francisco_de_Goya%2C_Saturno_devorando_a_su_hijo_(1819-1823).jpg" TargetMode="External"/><Relationship Id="rId388" Type="http://schemas.openxmlformats.org/officeDocument/2006/relationships/hyperlink" Target="https://sba-cards-2024.s3.us-east-1.amazonaws.com/2024-cards/grant-anderson.png" TargetMode="External"/><Relationship Id="rId7" Type="http://schemas.openxmlformats.org/officeDocument/2006/relationships/hyperlink" Target="https://sba-cards-2024.s3.us-east-1.amazonaws.com/2024-cards/aaron-schunk.png" TargetMode="External"/><Relationship Id="rId145" Type="http://schemas.openxmlformats.org/officeDocument/2006/relationships/hyperlink" Target="https://sba-cards-2024.s3.us-east-1.amazonaws.com/2024-cards/bryan-reynolds.png" TargetMode="External"/><Relationship Id="rId387" Type="http://schemas.openxmlformats.org/officeDocument/2006/relationships/hyperlink" Target="https://sba-cards-2024.s3.us-east-1.amazonaws.com/2024-cards/graham-ashcraft.png" TargetMode="External"/><Relationship Id="rId8" Type="http://schemas.openxmlformats.org/officeDocument/2006/relationships/hyperlink" Target="https://sba-cards-2024.s3.us-east-1.amazonaws.com/2024-cards/abraham-toro.png" TargetMode="External"/><Relationship Id="rId144" Type="http://schemas.openxmlformats.org/officeDocument/2006/relationships/hyperlink" Target="https://sba-cards-2024.s3.us-east-1.amazonaws.com/2024-cards/bryan-ramos.png" TargetMode="External"/><Relationship Id="rId386" Type="http://schemas.openxmlformats.org/officeDocument/2006/relationships/hyperlink" Target="https://sba-cards-2024.s3.us-east-1.amazonaws.com/2024-cards/gleyber-torres.png" TargetMode="External"/><Relationship Id="rId381" Type="http://schemas.openxmlformats.org/officeDocument/2006/relationships/hyperlink" Target="https://sba-cards-2024.s3.us-east-1.amazonaws.com/2024-cards/geraldo-perdomo.png" TargetMode="External"/><Relationship Id="rId380" Type="http://schemas.openxmlformats.org/officeDocument/2006/relationships/hyperlink" Target="https://sba-cards-2024.s3.us-east-1.amazonaws.com/2024-cards/george-springer.png" TargetMode="External"/><Relationship Id="rId139" Type="http://schemas.openxmlformats.org/officeDocument/2006/relationships/hyperlink" Target="https://sba-cards-2024.s3.us-east-1.amazonaws.com/2024-cards/bryan-baker.png" TargetMode="External"/><Relationship Id="rId138" Type="http://schemas.openxmlformats.org/officeDocument/2006/relationships/hyperlink" Target="https://sba-cards-2024.s3.us-east-1.amazonaws.com/2024-cards/bryan-abreu.png" TargetMode="External"/><Relationship Id="rId137" Type="http://schemas.openxmlformats.org/officeDocument/2006/relationships/hyperlink" Target="https://sba-cards-2024.s3.us-east-1.amazonaws.com/2024-cards/brooks-lee.png" TargetMode="External"/><Relationship Id="rId379" Type="http://schemas.openxmlformats.org/officeDocument/2006/relationships/hyperlink" Target="https://sba-cards-2024.s3.us-east-1.amazonaws.com/2024-cards/george-soriano.png" TargetMode="External"/><Relationship Id="rId1080" Type="http://schemas.openxmlformats.org/officeDocument/2006/relationships/hyperlink" Target="https://sba-cards-2024.s3.us-east-1.amazonaws.com/2024-cards/wilyer-abreu.png" TargetMode="External"/><Relationship Id="rId1081" Type="http://schemas.openxmlformats.org/officeDocument/2006/relationships/hyperlink" Target="https://sba-cards-2024.s3.us-east-1.amazonaws.com/2024-cards/wyatt-langford.png" TargetMode="External"/><Relationship Id="rId1082" Type="http://schemas.openxmlformats.org/officeDocument/2006/relationships/hyperlink" Target="https://sba-cards-2024.s3.us-east-1.amazonaws.com/2024-cards/xander-bogaerts.png" TargetMode="External"/><Relationship Id="rId1083" Type="http://schemas.openxmlformats.org/officeDocument/2006/relationships/hyperlink" Target="https://sba-cards-2024.s3.us-east-1.amazonaws.com/2024-cards/xavier-edwards.png" TargetMode="External"/><Relationship Id="rId132" Type="http://schemas.openxmlformats.org/officeDocument/2006/relationships/hyperlink" Target="https://sba-cards-2024.s3.us-east-1.amazonaws.com/2024-cards/brett-wisely.png" TargetMode="External"/><Relationship Id="rId374" Type="http://schemas.openxmlformats.org/officeDocument/2006/relationships/hyperlink" Target="https://sba-cards-2024.s3.us-east-1.amazonaws.com/2024-cards/gavin-sheets.png" TargetMode="External"/><Relationship Id="rId1084" Type="http://schemas.openxmlformats.org/officeDocument/2006/relationships/hyperlink" Target="https://sba-cards-2024.s3.us-east-1.amazonaws.com/2024-cards/xzavion-curry.png" TargetMode="External"/><Relationship Id="rId131" Type="http://schemas.openxmlformats.org/officeDocument/2006/relationships/hyperlink" Target="https://sba-cards-2024.s3.us-east-1.amazonaws.com/2024-cards/brett-harris.png" TargetMode="External"/><Relationship Id="rId373" Type="http://schemas.openxmlformats.org/officeDocument/2006/relationships/hyperlink" Target="https://sba-cards-2024.s3.us-east-1.amazonaws.com/2024-cards/gavin-lux.png" TargetMode="External"/><Relationship Id="rId1085" Type="http://schemas.openxmlformats.org/officeDocument/2006/relationships/hyperlink" Target="https://sba-cards-2024.s3.us-east-1.amazonaws.com/2024-cards/yainer-diaz.png" TargetMode="External"/><Relationship Id="rId130" Type="http://schemas.openxmlformats.org/officeDocument/2006/relationships/hyperlink" Target="https://sba-cards-2024.s3.us-east-1.amazonaws.com/2024-cards/brett-baty.png" TargetMode="External"/><Relationship Id="rId372" Type="http://schemas.openxmlformats.org/officeDocument/2006/relationships/hyperlink" Target="https://sba-cards-2024.s3.us-east-1.amazonaws.com/2024-cards/gary-sanchez.png" TargetMode="External"/><Relationship Id="rId1086" Type="http://schemas.openxmlformats.org/officeDocument/2006/relationships/hyperlink" Target="https://sba-cards-2024.s3.us-east-1.amazonaws.com/2024-cards/yan-gomes.png" TargetMode="External"/><Relationship Id="rId371" Type="http://schemas.openxmlformats.org/officeDocument/2006/relationships/hyperlink" Target="https://sba-cards-2024.s3.us-east-1.amazonaws.com/2024-cards/garrett-stubbs.png" TargetMode="External"/><Relationship Id="rId1087" Type="http://schemas.openxmlformats.org/officeDocument/2006/relationships/hyperlink" Target="https://sba-cards-2024.s3.us-east-1.amazonaws.com/2024-cards/yandy-diaz.png" TargetMode="External"/><Relationship Id="rId136" Type="http://schemas.openxmlformats.org/officeDocument/2006/relationships/hyperlink" Target="https://sba-cards-2024.s3.us-east-1.amazonaws.com/2024-cards/brooks-baldwin.png" TargetMode="External"/><Relationship Id="rId378" Type="http://schemas.openxmlformats.org/officeDocument/2006/relationships/hyperlink" Target="https://sba-cards-2024.s3.us-east-1.amazonaws.com/2024-cards/george-kirby.png" TargetMode="External"/><Relationship Id="rId1088" Type="http://schemas.openxmlformats.org/officeDocument/2006/relationships/hyperlink" Target="https://sba-cards-2024.s3.us-east-1.amazonaws.com/2024-cards/yariel-rodriguez.png" TargetMode="External"/><Relationship Id="rId135" Type="http://schemas.openxmlformats.org/officeDocument/2006/relationships/hyperlink" Target="https://sba-cards-2024.s3.us-east-1.amazonaws.com/2024-cards/brock-burke.png" TargetMode="External"/><Relationship Id="rId377" Type="http://schemas.openxmlformats.org/officeDocument/2006/relationships/hyperlink" Target="https://sba-cards-2024.s3.us-east-1.amazonaws.com/2024-cards/genesis-cabrera.png" TargetMode="External"/><Relationship Id="rId1089" Type="http://schemas.openxmlformats.org/officeDocument/2006/relationships/hyperlink" Target="https://sba-cards-2024.s3.us-east-1.amazonaws.com/2024-cards/yasmani-grandal.png" TargetMode="External"/><Relationship Id="rId134" Type="http://schemas.openxmlformats.org/officeDocument/2006/relationships/hyperlink" Target="https://sba-cards-2024.s3.us-east-1.amazonaws.com/2024-cards/brice-turang.png" TargetMode="External"/><Relationship Id="rId376" Type="http://schemas.openxmlformats.org/officeDocument/2006/relationships/hyperlink" Target="https://sba-cards-2024.s3.us-east-1.amazonaws.com/2024-cards/gavin-williams.png" TargetMode="External"/><Relationship Id="rId133" Type="http://schemas.openxmlformats.org/officeDocument/2006/relationships/hyperlink" Target="https://sba-cards-2024.s3.us-east-1.amazonaws.com/2024-cards/brian-serven.png" TargetMode="External"/><Relationship Id="rId375" Type="http://schemas.openxmlformats.org/officeDocument/2006/relationships/hyperlink" Target="https://sba-cards-2024.s3.us-east-1.amazonaws.com/2024-cards/gavin-stone.png" TargetMode="External"/><Relationship Id="rId172" Type="http://schemas.openxmlformats.org/officeDocument/2006/relationships/hyperlink" Target="https://sba-cards-2024.s3.us-east-1.amazonaws.com/2024-cards/carlos-estevez.png" TargetMode="External"/><Relationship Id="rId171" Type="http://schemas.openxmlformats.org/officeDocument/2006/relationships/hyperlink" Target="https://sba-cards-2024.s3.us-east-1.amazonaws.com/2024-cards/carlos-correa.png" TargetMode="External"/><Relationship Id="rId170" Type="http://schemas.openxmlformats.org/officeDocument/2006/relationships/hyperlink" Target="https://sba-cards-2024.s3.us-east-1.amazonaws.com/2024-cards/carlos-carrasco.png" TargetMode="External"/><Relationship Id="rId165" Type="http://schemas.openxmlformats.org/officeDocument/2006/relationships/hyperlink" Target="https://sba-cards-2024.s3.us-east-1.amazonaws.com/2024-cards/caleb-ferguson.png" TargetMode="External"/><Relationship Id="rId164" Type="http://schemas.openxmlformats.org/officeDocument/2006/relationships/hyperlink" Target="https://i.postimg.cc/g24gL0H1/temp-Image-OEOz-AB.avif" TargetMode="External"/><Relationship Id="rId163" Type="http://schemas.openxmlformats.org/officeDocument/2006/relationships/hyperlink" Target="https://sba-cards-2024.s3.us-east-1.amazonaws.com/2024-cards/cal-raleigh.png" TargetMode="External"/><Relationship Id="rId162" Type="http://schemas.openxmlformats.org/officeDocument/2006/relationships/hyperlink" Target="https://sba-cards-2024.s3.us-east-1.amazonaws.com/2024-cards/cal-quantrill.png" TargetMode="External"/><Relationship Id="rId169" Type="http://schemas.openxmlformats.org/officeDocument/2006/relationships/hyperlink" Target="https://sba-cards-2024.s3.us-east-1.amazonaws.com/2024-cards/camilo-doval.png" TargetMode="External"/><Relationship Id="rId168" Type="http://schemas.openxmlformats.org/officeDocument/2006/relationships/hyperlink" Target="https://sba-cards-2024.s3.us-east-1.amazonaws.com/2024-cards/cam-booser.png" TargetMode="External"/><Relationship Id="rId167" Type="http://schemas.openxmlformats.org/officeDocument/2006/relationships/hyperlink" Target="https://sba-cards-2024.s3.us-east-1.amazonaws.com/2024-cards/calvin-faucher.png" TargetMode="External"/><Relationship Id="rId166" Type="http://schemas.openxmlformats.org/officeDocument/2006/relationships/hyperlink" Target="https://sba-cards-2024.s3.us-east-1.amazonaws.com/2024-cards/caleb-thielbar.png" TargetMode="External"/><Relationship Id="rId161" Type="http://schemas.openxmlformats.org/officeDocument/2006/relationships/hyperlink" Target="https://upload.wikimedia.org/wikipedia/commons/8/82/Francisco_de_Goya%2C_Saturno_devorando_a_su_hijo_%281819-1823%29.jpg" TargetMode="External"/><Relationship Id="rId160" Type="http://schemas.openxmlformats.org/officeDocument/2006/relationships/hyperlink" Target="https://sba-cards-2024.s3.us-east-1.amazonaws.com/2024-cards/cade-smith.png" TargetMode="External"/><Relationship Id="rId159" Type="http://schemas.openxmlformats.org/officeDocument/2006/relationships/hyperlink" Target="https://sba-cards-2024.s3.us-east-1.amazonaws.com/2024-cards/cade-povich.png" TargetMode="External"/><Relationship Id="rId154" Type="http://schemas.openxmlformats.org/officeDocument/2006/relationships/hyperlink" Target="https://sba-cards-2024.s3.us-east-1.amazonaws.com/2024-cards/bryse-wilson.png" TargetMode="External"/><Relationship Id="rId396" Type="http://schemas.openxmlformats.org/officeDocument/2006/relationships/hyperlink" Target="https://sba-cards-2024.s3.us-east-1.amazonaws.com/2024-cards/griffin-jax.png" TargetMode="External"/><Relationship Id="rId153" Type="http://schemas.openxmlformats.org/officeDocument/2006/relationships/hyperlink" Target="https://sba-cards-2024.s3.us-east-1.amazonaws.com/2024-cards/bryce-miller.png" TargetMode="External"/><Relationship Id="rId395" Type="http://schemas.openxmlformats.org/officeDocument/2006/relationships/hyperlink" Target="https://sba-cards-2024.s3.us-east-1.amazonaws.com/2024-cards/griffin-conine.png" TargetMode="External"/><Relationship Id="rId152" Type="http://schemas.openxmlformats.org/officeDocument/2006/relationships/hyperlink" Target="https://sba-cards-2024.s3.us-east-1.amazonaws.com/2024-cards/bryce-johnson.png" TargetMode="External"/><Relationship Id="rId394" Type="http://schemas.openxmlformats.org/officeDocument/2006/relationships/hyperlink" Target="https://sba-cards-2024.s3.us-east-1.amazonaws.com/2024-cards/griffin-canning.png" TargetMode="External"/><Relationship Id="rId151" Type="http://schemas.openxmlformats.org/officeDocument/2006/relationships/hyperlink" Target="https://sba-cards-2024.s3.us-east-1.amazonaws.com/2024-cards/bryce-jarvis.png" TargetMode="External"/><Relationship Id="rId393" Type="http://schemas.openxmlformats.org/officeDocument/2006/relationships/hyperlink" Target="https://sba-cards-2024.s3.us-east-1.amazonaws.com/2024-cards/gregory-soto.png" TargetMode="External"/><Relationship Id="rId158" Type="http://schemas.openxmlformats.org/officeDocument/2006/relationships/hyperlink" Target="https://sba-cards-2024.s3.us-east-1.amazonaws.com/2024-cards/byron-buxton.png" TargetMode="External"/><Relationship Id="rId157" Type="http://schemas.openxmlformats.org/officeDocument/2006/relationships/hyperlink" Target="https://sba-cards-2024.s3.us-east-1.amazonaws.com/2024-cards/burch-smith.png" TargetMode="External"/><Relationship Id="rId399" Type="http://schemas.openxmlformats.org/officeDocument/2006/relationships/hyperlink" Target="https://sba-cards-2024.s3.us-east-1.amazonaws.com/2024-cards/gus-varland.png" TargetMode="External"/><Relationship Id="rId156" Type="http://schemas.openxmlformats.org/officeDocument/2006/relationships/hyperlink" Target="https://sba-cards-2024.s3.us-east-1.amazonaws.com/2024-cards/buck-farmer.png" TargetMode="External"/><Relationship Id="rId398" Type="http://schemas.openxmlformats.org/officeDocument/2006/relationships/hyperlink" Target="https://pbs.twimg.com/media/GjZIcTpXYAACahl.jpg" TargetMode="External"/><Relationship Id="rId155" Type="http://schemas.openxmlformats.org/officeDocument/2006/relationships/hyperlink" Target="https://sba-cards-2024.s3.us-east-1.amazonaws.com/2024-cards/bryson-stott.png" TargetMode="External"/><Relationship Id="rId397" Type="http://schemas.openxmlformats.org/officeDocument/2006/relationships/hyperlink" Target="https://sba-cards-2024.s3.us-east-1.amazonaws.com/2024-cards/gunnar-henderson.png" TargetMode="External"/><Relationship Id="rId808" Type="http://schemas.openxmlformats.org/officeDocument/2006/relationships/hyperlink" Target="https://sba-cards-2024.s3.us-east-1.amazonaws.com/2024-cards/nick-fortes.png" TargetMode="External"/><Relationship Id="rId807" Type="http://schemas.openxmlformats.org/officeDocument/2006/relationships/hyperlink" Target="https://sba-cards-2024.s3.us-east-1.amazonaws.com/2024-cards/nick-anderson.png" TargetMode="External"/><Relationship Id="rId806" Type="http://schemas.openxmlformats.org/officeDocument/2006/relationships/hyperlink" Target="https://sba-cards-2024.s3.us-east-1.amazonaws.com/2024-cards/nick-allen.png" TargetMode="External"/><Relationship Id="rId805" Type="http://schemas.openxmlformats.org/officeDocument/2006/relationships/hyperlink" Target="https://sba-cards-2024.s3.us-east-1.amazonaws.com/2024-cards/nick-ahmed.png" TargetMode="External"/><Relationship Id="rId809" Type="http://schemas.openxmlformats.org/officeDocument/2006/relationships/hyperlink" Target="https://sba-cards-2024.s3.us-east-1.amazonaws.com/2024-cards/nick-gonzales.png" TargetMode="External"/><Relationship Id="rId800" Type="http://schemas.openxmlformats.org/officeDocument/2006/relationships/hyperlink" Target="https://sba-cards-2024.s3.us-east-1.amazonaws.com/2024-cards/nathan-lukes.png" TargetMode="External"/><Relationship Id="rId804" Type="http://schemas.openxmlformats.org/officeDocument/2006/relationships/hyperlink" Target="https://sba-cards-2024.s3.us-east-1.amazonaws.com/2024-cards/nicholas-castellanos.png" TargetMode="External"/><Relationship Id="rId803" Type="http://schemas.openxmlformats.org/officeDocument/2006/relationships/hyperlink" Target="https://sba-cards-2024.s3.us-east-1.amazonaws.com/2024-cards/nestor-cortes-jr.png" TargetMode="External"/><Relationship Id="rId802" Type="http://schemas.openxmlformats.org/officeDocument/2006/relationships/hyperlink" Target="https://sba-cards-2024.s3.us-east-1.amazonaws.com/2024-cards/nelson-velazquez.png" TargetMode="External"/><Relationship Id="rId801" Type="http://schemas.openxmlformats.org/officeDocument/2006/relationships/hyperlink" Target="https://sba-cards-2024.s3.us-east-1.amazonaws.com/2024-cards/nathaniel-lowe.png" TargetMode="External"/><Relationship Id="rId40" Type="http://schemas.openxmlformats.org/officeDocument/2006/relationships/hyperlink" Target="https://sba-cards-2024.s3.us-east-1.amazonaws.com/2024-cards/alex-wood.png" TargetMode="External"/><Relationship Id="rId42" Type="http://schemas.openxmlformats.org/officeDocument/2006/relationships/hyperlink" Target="https://sba-cards-2024.s3.us-east-1.amazonaws.com/2024-cards/ali-sanchez.png" TargetMode="External"/><Relationship Id="rId41" Type="http://schemas.openxmlformats.org/officeDocument/2006/relationships/hyperlink" Target="https://sba-cards-2024.s3.us-east-1.amazonaws.com/2024-cards/alexis-diaz.png" TargetMode="External"/><Relationship Id="rId44" Type="http://schemas.openxmlformats.org/officeDocument/2006/relationships/hyperlink" Target="https://sba-cards-2024.s3.us-east-1.amazonaws.com/2024-cards/amed-rosario.png" TargetMode="External"/><Relationship Id="rId43" Type="http://schemas.openxmlformats.org/officeDocument/2006/relationships/hyperlink" Target="https://sba-cards-2024.s3.us-east-1.amazonaws.com/2024-cards/alika-williams.png" TargetMode="External"/><Relationship Id="rId46" Type="http://schemas.openxmlformats.org/officeDocument/2006/relationships/hyperlink" Target="https://sba-cards-2024.s3.us-east-1.amazonaws.com/2024-cards/andres-chaparro.png" TargetMode="External"/><Relationship Id="rId45" Type="http://schemas.openxmlformats.org/officeDocument/2006/relationships/hyperlink" Target="https://sba-cards-2024.s3.us-east-1.amazonaws.com/2024-cards/andre-pallante.png" TargetMode="External"/><Relationship Id="rId509" Type="http://schemas.openxmlformats.org/officeDocument/2006/relationships/hyperlink" Target="https://sba-cards-2024.s3.us-east-1.amazonaws.com/2024-cards/jj-bleday.png" TargetMode="External"/><Relationship Id="rId508" Type="http://schemas.openxmlformats.org/officeDocument/2006/relationships/hyperlink" Target="https://sba-cards-2024.s3.us-east-1.amazonaws.com/2024-cards/ji-hwan-bae.png" TargetMode="External"/><Relationship Id="rId503" Type="http://schemas.openxmlformats.org/officeDocument/2006/relationships/hyperlink" Target="https://sba-cards-2024.s3.us-east-1.amazonaws.com/2024-cards/jesus-sanchez.png" TargetMode="External"/><Relationship Id="rId745" Type="http://schemas.openxmlformats.org/officeDocument/2006/relationships/hyperlink" Target="https://sba-cards-2024.s3.us-east-1.amazonaws.com/2024-cards/max-fried.png" TargetMode="External"/><Relationship Id="rId987" Type="http://schemas.openxmlformats.org/officeDocument/2006/relationships/hyperlink" Target="https://cdn.discordapp.com/attachments/976093776479129642/1430931583791005716/G35yEPBXQAANmua.png?ex=68fb9262" TargetMode="External"/><Relationship Id="rId502" Type="http://schemas.openxmlformats.org/officeDocument/2006/relationships/hyperlink" Target="https://sba-cards-2024.s3.us-east-1.amazonaws.com/2024-cards/jesus-luzardo.png" TargetMode="External"/><Relationship Id="rId744" Type="http://schemas.openxmlformats.org/officeDocument/2006/relationships/hyperlink" Target="https://sba-cards-2024.s3.us-east-1.amazonaws.com/2024-cards/mauricio-dubon.png" TargetMode="External"/><Relationship Id="rId986" Type="http://schemas.openxmlformats.org/officeDocument/2006/relationships/hyperlink" Target="https://sba-cards-2024.s3.us-east-1.amazonaws.com/2024-cards/tarik-skubal.png" TargetMode="External"/><Relationship Id="rId501" Type="http://schemas.openxmlformats.org/officeDocument/2006/relationships/hyperlink" Target="https://sba-cards-2024.s3.us-east-1.amazonaws.com/2024-cards/jesse-winker.png" TargetMode="External"/><Relationship Id="rId743" Type="http://schemas.openxmlformats.org/officeDocument/2006/relationships/hyperlink" Target="https://sba-cards-2024.s3.us-east-1.amazonaws.com/2024-cards/matthew-liberatore.png" TargetMode="External"/><Relationship Id="rId985" Type="http://schemas.openxmlformats.org/officeDocument/2006/relationships/hyperlink" Target="https://sba-cards-2024.s3.us-east-1.amazonaws.com/2024-cards/tanner-scott.png" TargetMode="External"/><Relationship Id="rId500" Type="http://schemas.openxmlformats.org/officeDocument/2006/relationships/hyperlink" Target="https://sba-cards-2024.s3.us-east-1.amazonaws.com/2024-cards/jesse-chavez.png" TargetMode="External"/><Relationship Id="rId742" Type="http://schemas.openxmlformats.org/officeDocument/2006/relationships/hyperlink" Target="https://sba-cards-2024.s3.us-east-1.amazonaws.com/2024-cards/matt-wallner.png" TargetMode="External"/><Relationship Id="rId984" Type="http://schemas.openxmlformats.org/officeDocument/2006/relationships/hyperlink" Target="https://sba-cards-2024.s3.us-east-1.amazonaws.com/2024-cards/tanner-rainey.png" TargetMode="External"/><Relationship Id="rId507" Type="http://schemas.openxmlformats.org/officeDocument/2006/relationships/hyperlink" Target="https://sba-cards-2024.s3.us-east-1.amazonaws.com/2024-cards/jhony-brito.png" TargetMode="External"/><Relationship Id="rId749" Type="http://schemas.openxmlformats.org/officeDocument/2006/relationships/hyperlink" Target="https://sba-cards-2024.s3.us-east-1.amazonaws.com/2024-cards/max-scherzer.png" TargetMode="External"/><Relationship Id="rId506" Type="http://schemas.openxmlformats.org/officeDocument/2006/relationships/hyperlink" Target="https://sba-cards-2024.s3.us-east-1.amazonaws.com/2024-cards/jhonkensy-noel.png" TargetMode="External"/><Relationship Id="rId748" Type="http://schemas.openxmlformats.org/officeDocument/2006/relationships/hyperlink" Target="https://sba-cards-2024.s3.us-east-1.amazonaws.com/2024-cards/max-muncy.png" TargetMode="External"/><Relationship Id="rId505" Type="http://schemas.openxmlformats.org/officeDocument/2006/relationships/hyperlink" Target="https://sba-cards-2024.s3.us-east-1.amazonaws.com/2024-cards/jhoan-duran.png" TargetMode="External"/><Relationship Id="rId747" Type="http://schemas.openxmlformats.org/officeDocument/2006/relationships/hyperlink" Target="https://sba-cards-2024.s3.us-east-1.amazonaws.com/2024-cards/max-meyer.png" TargetMode="External"/><Relationship Id="rId989" Type="http://schemas.openxmlformats.org/officeDocument/2006/relationships/hyperlink" Target="https://sba-cards-2024.s3.us-east-1.amazonaws.com/2024-cards/tayler-scott.png" TargetMode="External"/><Relationship Id="rId504" Type="http://schemas.openxmlformats.org/officeDocument/2006/relationships/hyperlink" Target="https://sba-cards-2024.s3.us-east-1.amazonaws.com/2024-cards/jesus-tinoco.png" TargetMode="External"/><Relationship Id="rId746" Type="http://schemas.openxmlformats.org/officeDocument/2006/relationships/hyperlink" Target="https://sba-cards-2024.s3.us-east-1.amazonaws.com/2024-cards/max-kepler.png" TargetMode="External"/><Relationship Id="rId988" Type="http://schemas.openxmlformats.org/officeDocument/2006/relationships/hyperlink" Target="https://sba-cards-2024.s3.us-east-1.amazonaws.com/2024-cards/tayler-saucedo.png" TargetMode="External"/><Relationship Id="rId48" Type="http://schemas.openxmlformats.org/officeDocument/2006/relationships/hyperlink" Target="https://sba-cards-2024.s3.us-east-1.amazonaws.com/2024-cards/andres-munoz.png" TargetMode="External"/><Relationship Id="rId47" Type="http://schemas.openxmlformats.org/officeDocument/2006/relationships/hyperlink" Target="https://sba-cards-2024.s3.us-east-1.amazonaws.com/2024-cards/andres-gimenez.png" TargetMode="External"/><Relationship Id="rId49" Type="http://schemas.openxmlformats.org/officeDocument/2006/relationships/hyperlink" Target="https://upload.wikimedia.org/wikipedia/commons/8/82/Francisco_de_Goya%2C_Saturno_devorando_a_su_hijo_%281819-1823%29.jpg" TargetMode="External"/><Relationship Id="rId741" Type="http://schemas.openxmlformats.org/officeDocument/2006/relationships/hyperlink" Target="https://sba-cards-2024.s3.us-east-1.amazonaws.com/2024-cards/matt-waldron.png" TargetMode="External"/><Relationship Id="rId983" Type="http://schemas.openxmlformats.org/officeDocument/2006/relationships/hyperlink" Target="https://i.postimg.cc/7PcXSc7Y/temp-Image-Naglm5.avif" TargetMode="External"/><Relationship Id="rId740" Type="http://schemas.openxmlformats.org/officeDocument/2006/relationships/hyperlink" Target="https://sba-cards-2024.s3.us-east-1.amazonaws.com/2024-cards/matt-vierling.png" TargetMode="External"/><Relationship Id="rId982" Type="http://schemas.openxmlformats.org/officeDocument/2006/relationships/hyperlink" Target="https://sba-cards-2024.s3.us-east-1.amazonaws.com/2024-cards/tanner-houck.png" TargetMode="External"/><Relationship Id="rId981" Type="http://schemas.openxmlformats.org/officeDocument/2006/relationships/hyperlink" Target="https://sba-cards-2024.s3.us-east-1.amazonaws.com/2024-cards/tanner-gordon.png" TargetMode="External"/><Relationship Id="rId980" Type="http://schemas.openxmlformats.org/officeDocument/2006/relationships/hyperlink" Target="https://sba-cards-2024.s3.us-east-1.amazonaws.com/2024-cards/tanner-bibee.png" TargetMode="External"/><Relationship Id="rId31" Type="http://schemas.openxmlformats.org/officeDocument/2006/relationships/hyperlink" Target="https://upload.wikimedia.org/wikipedia/commons/8/82/Francisco_de_Goya%2C_Saturno_devorando_a_su_hijo_%281819-1823%29.jpg" TargetMode="External"/><Relationship Id="rId30" Type="http://schemas.openxmlformats.org/officeDocument/2006/relationships/hyperlink" Target="https://sba-cards-2024.s3.us-east-1.amazonaws.com/2024-cards/alejandro-kirk.png" TargetMode="External"/><Relationship Id="rId33" Type="http://schemas.openxmlformats.org/officeDocument/2006/relationships/hyperlink" Target="https://sba-cards-2024.s3.us-east-1.amazonaws.com/2024-cards/alex-bregman.png" TargetMode="External"/><Relationship Id="rId32" Type="http://schemas.openxmlformats.org/officeDocument/2006/relationships/hyperlink" Target="https://sba-cards-2024.s3.us-east-1.amazonaws.com/2024-cards/alek-thomas.png" TargetMode="External"/><Relationship Id="rId35" Type="http://schemas.openxmlformats.org/officeDocument/2006/relationships/hyperlink" Target="https://sba-cards-2024.s3.us-east-1.amazonaws.com/2024-cards/alex-faedo.png" TargetMode="External"/><Relationship Id="rId34" Type="http://schemas.openxmlformats.org/officeDocument/2006/relationships/hyperlink" Target="https://sba-cards-2024.s3.us-east-1.amazonaws.com/2024-cards/alex-call.png" TargetMode="External"/><Relationship Id="rId739" Type="http://schemas.openxmlformats.org/officeDocument/2006/relationships/hyperlink" Target="https://sba-cards-2024.s3.us-east-1.amazonaws.com/2024-cards/matt-thaiss.png" TargetMode="External"/><Relationship Id="rId734" Type="http://schemas.openxmlformats.org/officeDocument/2006/relationships/hyperlink" Target="https://i.postimg.cc/WpXcjsQY/temp-Image-ZEsfl7.avif" TargetMode="External"/><Relationship Id="rId976" Type="http://schemas.openxmlformats.org/officeDocument/2006/relationships/hyperlink" Target="https://sba-cards-2024.s3.us-east-1.amazonaws.com/2024-cards/stuart-fairchild.png" TargetMode="External"/><Relationship Id="rId733" Type="http://schemas.openxmlformats.org/officeDocument/2006/relationships/hyperlink" Target="https://sba-cards-2024.s3.us-east-1.amazonaws.com/2024-cards/matt-chapman.png" TargetMode="External"/><Relationship Id="rId975" Type="http://schemas.openxmlformats.org/officeDocument/2006/relationships/hyperlink" Target="https://sba-cards-2024.s3.us-east-1.amazonaws.com/2024-cards/steven-wilson.png" TargetMode="External"/><Relationship Id="rId732" Type="http://schemas.openxmlformats.org/officeDocument/2006/relationships/hyperlink" Target="https://sba-cards-2024.s3.us-east-1.amazonaws.com/2024-cards/matt-carpenter.png" TargetMode="External"/><Relationship Id="rId974" Type="http://schemas.openxmlformats.org/officeDocument/2006/relationships/hyperlink" Target="https://sba-cards-2024.s3.us-east-1.amazonaws.com/2024-cards/steven-okert.png" TargetMode="External"/><Relationship Id="rId731" Type="http://schemas.openxmlformats.org/officeDocument/2006/relationships/hyperlink" Target="https://sba-cards-2024.s3.us-east-1.amazonaws.com/2024-cards/matt-boyd.png" TargetMode="External"/><Relationship Id="rId973" Type="http://schemas.openxmlformats.org/officeDocument/2006/relationships/hyperlink" Target="https://sba-cards-2024.s3.us-east-1.amazonaws.com/2024-cards/steven-matz.png" TargetMode="External"/><Relationship Id="rId738" Type="http://schemas.openxmlformats.org/officeDocument/2006/relationships/hyperlink" Target="https://sba-cards-2024.s3.us-east-1.amazonaws.com/2024-cards/matt-strahm.png" TargetMode="External"/><Relationship Id="rId737" Type="http://schemas.openxmlformats.org/officeDocument/2006/relationships/hyperlink" Target="https://sba-cards-2024.s3.us-east-1.amazonaws.com/2024-cards/matt-olson.png" TargetMode="External"/><Relationship Id="rId979" Type="http://schemas.openxmlformats.org/officeDocument/2006/relationships/hyperlink" Target="https://sba-cards-2024.s3.us-east-1.amazonaws.com/2024-cards/tanner-banks.png" TargetMode="External"/><Relationship Id="rId736" Type="http://schemas.openxmlformats.org/officeDocument/2006/relationships/hyperlink" Target="https://sba-cards-2024.s3.us-east-1.amazonaws.com/2024-cards/matt-moore.png" TargetMode="External"/><Relationship Id="rId978" Type="http://schemas.openxmlformats.org/officeDocument/2006/relationships/hyperlink" Target="https://sba-cards-2024.s3.us-east-1.amazonaws.com/2024-cards/taj-bradley.png" TargetMode="External"/><Relationship Id="rId735" Type="http://schemas.openxmlformats.org/officeDocument/2006/relationships/hyperlink" Target="https://sba-cards-2024.s3.us-east-1.amazonaws.com/2024-cards/matt-festa.png" TargetMode="External"/><Relationship Id="rId977" Type="http://schemas.openxmlformats.org/officeDocument/2006/relationships/hyperlink" Target="https://sba-cards-2024.s3.us-east-1.amazonaws.com/2024-cards/taijuan-walker.png" TargetMode="External"/><Relationship Id="rId37" Type="http://schemas.openxmlformats.org/officeDocument/2006/relationships/hyperlink" Target="https://sba-cards-2024.s3.us-east-1.amazonaws.com/2024-cards/alex-kirilloff.png" TargetMode="External"/><Relationship Id="rId36" Type="http://schemas.openxmlformats.org/officeDocument/2006/relationships/hyperlink" Target="https://sba-cards-2024.s3.us-east-1.amazonaws.com/2024-cards/alex-jackson.png" TargetMode="External"/><Relationship Id="rId39" Type="http://schemas.openxmlformats.org/officeDocument/2006/relationships/hyperlink" Target="https://sba-cards-2024.s3.us-east-1.amazonaws.com/2024-cards/alex-vesia.png" TargetMode="External"/><Relationship Id="rId38" Type="http://schemas.openxmlformats.org/officeDocument/2006/relationships/hyperlink" Target="https://sba-cards-2024.s3.us-east-1.amazonaws.com/2024-cards/alex-verdugo.png" TargetMode="External"/><Relationship Id="rId730" Type="http://schemas.openxmlformats.org/officeDocument/2006/relationships/hyperlink" Target="https://sba-cards-2024.s3.us-east-1.amazonaws.com/2024-cards/matt-bowman.png" TargetMode="External"/><Relationship Id="rId972" Type="http://schemas.openxmlformats.org/officeDocument/2006/relationships/hyperlink" Target="https://sba-cards-2024.s3.us-east-1.amazonaws.com/2024-cards/steven-kwan.png" TargetMode="External"/><Relationship Id="rId971" Type="http://schemas.openxmlformats.org/officeDocument/2006/relationships/hyperlink" Target="https://sba-cards-2024.s3.us-east-1.amazonaws.com/2024-cards/stephen-kolek.png" TargetMode="External"/><Relationship Id="rId970" Type="http://schemas.openxmlformats.org/officeDocument/2006/relationships/hyperlink" Target="https://sba-cards-2024.s3.us-east-1.amazonaws.com/2024-cards/starling-marte.png" TargetMode="External"/><Relationship Id="rId1114" Type="http://schemas.openxmlformats.org/officeDocument/2006/relationships/hyperlink" Target="https://sba-cards-2024.s3.us-east-1.amazonaws.com/2024-cards/zack-short.png" TargetMode="External"/><Relationship Id="rId1115" Type="http://schemas.openxmlformats.org/officeDocument/2006/relationships/hyperlink" Target="https://sba-cards-2024.s3.us-east-1.amazonaws.com/2024-cards/zack-wheeler.png" TargetMode="External"/><Relationship Id="rId20" Type="http://schemas.openxmlformats.org/officeDocument/2006/relationships/hyperlink" Target="https://sba-cards-2024.s3.us-east-1.amazonaws.com/2024-cards/adrian-houser.png" TargetMode="External"/><Relationship Id="rId1116" Type="http://schemas.openxmlformats.org/officeDocument/2006/relationships/hyperlink" Target="https://sba-cards-2024.s3.us-east-1.amazonaws.com/2024-cards/zebby-matthews.png" TargetMode="External"/><Relationship Id="rId1117" Type="http://schemas.openxmlformats.org/officeDocument/2006/relationships/drawing" Target="../drawings/drawing12.xml"/><Relationship Id="rId22" Type="http://schemas.openxmlformats.org/officeDocument/2006/relationships/hyperlink" Target="https://sba-cards-2024.s3.us-east-1.amazonaws.com/2024-cards/aj-minter.png" TargetMode="External"/><Relationship Id="rId21" Type="http://schemas.openxmlformats.org/officeDocument/2006/relationships/hyperlink" Target="https://sba-cards-2024.s3.us-east-1.amazonaws.com/2024-cards/adrian-morejon.png" TargetMode="External"/><Relationship Id="rId24" Type="http://schemas.openxmlformats.org/officeDocument/2006/relationships/hyperlink" Target="https://sba-cards-2024.s3.us-east-1.amazonaws.com/2024-cards/akil-baddoo.png" TargetMode="External"/><Relationship Id="rId23" Type="http://schemas.openxmlformats.org/officeDocument/2006/relationships/hyperlink" Target="https://sba-cards-2024.s3.us-east-1.amazonaws.com/2024-cards/aj-puk.png" TargetMode="External"/><Relationship Id="rId525" Type="http://schemas.openxmlformats.org/officeDocument/2006/relationships/hyperlink" Target="https://i.redd.it/ocov1w5uq3t21.jpg" TargetMode="External"/><Relationship Id="rId767" Type="http://schemas.openxmlformats.org/officeDocument/2006/relationships/hyperlink" Target="https://sba-cards-2024.s3.us-east-1.amazonaws.com/2024-cards/michael-siani.png" TargetMode="External"/><Relationship Id="rId524" Type="http://schemas.openxmlformats.org/officeDocument/2006/relationships/hyperlink" Target="https://sba-cards-2024.s3.us-east-1.amazonaws.com/2024-cards/joey-gallo.png" TargetMode="External"/><Relationship Id="rId766" Type="http://schemas.openxmlformats.org/officeDocument/2006/relationships/hyperlink" Target="https://sba-cards-2024.s3.us-east-1.amazonaws.com/2024-cards/michael-petersen.png" TargetMode="External"/><Relationship Id="rId523" Type="http://schemas.openxmlformats.org/officeDocument/2006/relationships/hyperlink" Target="https://sba-cards-2024.s3.us-east-1.amazonaws.com/2024-cards/joey-estes.png" TargetMode="External"/><Relationship Id="rId765" Type="http://schemas.openxmlformats.org/officeDocument/2006/relationships/hyperlink" Target="https://i.postimg.cc/43NFWc3J/temp-Image9-Q5-Sc-Y.avif" TargetMode="External"/><Relationship Id="rId522" Type="http://schemas.openxmlformats.org/officeDocument/2006/relationships/hyperlink" Target="https://sba-cards-2024.s3.us-east-1.amazonaws.com/2024-cards/joey-cantillo.png" TargetMode="External"/><Relationship Id="rId764" Type="http://schemas.openxmlformats.org/officeDocument/2006/relationships/hyperlink" Target="https://sba-cards-2024.s3.us-east-1.amazonaws.com/2024-cards/michael-massey.png" TargetMode="External"/><Relationship Id="rId529" Type="http://schemas.openxmlformats.org/officeDocument/2006/relationships/hyperlink" Target="https://sba-cards-2024.s3.us-east-1.amazonaws.com/2024-cards/joey-wentz.png" TargetMode="External"/><Relationship Id="rId528" Type="http://schemas.openxmlformats.org/officeDocument/2006/relationships/hyperlink" Target="https://sba-cards-2024.s3.us-east-1.amazonaws.com/2024-cards/joey-ortiz.png" TargetMode="External"/><Relationship Id="rId527" Type="http://schemas.openxmlformats.org/officeDocument/2006/relationships/hyperlink" Target="https://sba-cards-2024.s3.us-east-1.amazonaws.com/2024-cards/joey-meneses.png" TargetMode="External"/><Relationship Id="rId769" Type="http://schemas.openxmlformats.org/officeDocument/2006/relationships/hyperlink" Target="https://sba-cards-2024.s3.us-east-1.amazonaws.com/2024-cards/michael-stefanic.png" TargetMode="External"/><Relationship Id="rId526" Type="http://schemas.openxmlformats.org/officeDocument/2006/relationships/hyperlink" Target="https://sba-cards-2024.s3.us-east-1.amazonaws.com/2024-cards/joey-loperfido.png" TargetMode="External"/><Relationship Id="rId768" Type="http://schemas.openxmlformats.org/officeDocument/2006/relationships/hyperlink" Target="https://sba-cards-2024.s3.us-east-1.amazonaws.com/2024-cards/michael-soroka.png" TargetMode="External"/><Relationship Id="rId26" Type="http://schemas.openxmlformats.org/officeDocument/2006/relationships/hyperlink" Target="https://sba-cards-2024.s3.us-east-1.amazonaws.com/2024-cards/albert-suarez.png" TargetMode="External"/><Relationship Id="rId25" Type="http://schemas.openxmlformats.org/officeDocument/2006/relationships/hyperlink" Target="https://sba-cards-2024.s3.us-east-1.amazonaws.com/2024-cards/alan-trejo.png" TargetMode="External"/><Relationship Id="rId28" Type="http://schemas.openxmlformats.org/officeDocument/2006/relationships/hyperlink" Target="https://sba-cards-2024.s3.us-east-1.amazonaws.com/2024-cards/alec-burleson.png" TargetMode="External"/><Relationship Id="rId27" Type="http://schemas.openxmlformats.org/officeDocument/2006/relationships/hyperlink" Target="https://sba-cards-2024.s3.us-east-1.amazonaws.com/2024-cards/alec-bohm.png" TargetMode="External"/><Relationship Id="rId521" Type="http://schemas.openxmlformats.org/officeDocument/2006/relationships/hyperlink" Target="https://sba-cards-2024.s3.us-east-1.amazonaws.com/2024-cards/joey-bart.png" TargetMode="External"/><Relationship Id="rId763" Type="http://schemas.openxmlformats.org/officeDocument/2006/relationships/hyperlink" Target="https://cdn.vox-cdn.com/thumbor/cYZFLDQkVRhSxqxs1qr0U_mTlKE=/0x0:2712x3288/1400x933/filters:focal(1116x773:1548x1205):no_upscale()/cdn.vox-cdn.com/uploads/chorus_image/image/68800046/1172361995.0.jpg" TargetMode="External"/><Relationship Id="rId1110" Type="http://schemas.openxmlformats.org/officeDocument/2006/relationships/hyperlink" Target="https://sba-cards-2024.s3.us-east-1.amazonaws.com/2024-cards/zach-pop.png" TargetMode="External"/><Relationship Id="rId29" Type="http://schemas.openxmlformats.org/officeDocument/2006/relationships/hyperlink" Target="https://sba-cards-2024.s3.us-east-1.amazonaws.com/2024-cards/alec-marsh.png" TargetMode="External"/><Relationship Id="rId520" Type="http://schemas.openxmlformats.org/officeDocument/2006/relationships/hyperlink" Target="https://sba-cards-2024.s3.us-east-1.amazonaws.com/2024-cards/joel-payamps.png" TargetMode="External"/><Relationship Id="rId762" Type="http://schemas.openxmlformats.org/officeDocument/2006/relationships/hyperlink" Target="https://sba-cards-2024.s3.us-east-1.amazonaws.com/2024-cards/michael-lorenzen.png" TargetMode="External"/><Relationship Id="rId1111" Type="http://schemas.openxmlformats.org/officeDocument/2006/relationships/hyperlink" Target="https://sba-cards-2024.s3.us-east-1.amazonaws.com/2024-cards/zack-gelof.png" TargetMode="External"/><Relationship Id="rId761" Type="http://schemas.openxmlformats.org/officeDocument/2006/relationships/hyperlink" Target="https://sba-cards-2024.s3.us-east-1.amazonaws.com/2024-cards/michael-kopech.png" TargetMode="External"/><Relationship Id="rId1112" Type="http://schemas.openxmlformats.org/officeDocument/2006/relationships/hyperlink" Target="https://sba-cards-2024.s3.us-east-1.amazonaws.com/2024-cards/zack-kelly.png" TargetMode="External"/><Relationship Id="rId760" Type="http://schemas.openxmlformats.org/officeDocument/2006/relationships/hyperlink" Target="https://upload.wikimedia.org/wikipedia/commons/8/82/Francisco_de_Goya%2C_Saturno_devorando_a_su_hijo_%281819-1823%29.jpg" TargetMode="External"/><Relationship Id="rId1113" Type="http://schemas.openxmlformats.org/officeDocument/2006/relationships/hyperlink" Target="https://sba-cards-2024.s3.us-east-1.amazonaws.com/2024-cards/zack-littell.png" TargetMode="External"/><Relationship Id="rId1103" Type="http://schemas.openxmlformats.org/officeDocument/2006/relationships/hyperlink" Target="https://sba-cards-2024.s3.us-east-1.amazonaws.com/2024-cards/zac-gallen.png" TargetMode="External"/><Relationship Id="rId1104" Type="http://schemas.openxmlformats.org/officeDocument/2006/relationships/hyperlink" Target="https://sba-cards-2024.s3.us-east-1.amazonaws.com/2024-cards/zach-deloach.png" TargetMode="External"/><Relationship Id="rId1105" Type="http://schemas.openxmlformats.org/officeDocument/2006/relationships/hyperlink" Target="https://sba-cards-2024.s3.us-east-1.amazonaws.com/2024-cards/zach-dezenzo.png" TargetMode="External"/><Relationship Id="rId1106" Type="http://schemas.openxmlformats.org/officeDocument/2006/relationships/hyperlink" Target="https://sba-cards-2024.s3.us-east-1.amazonaws.com/2024-cards/zach-eflin.png" TargetMode="External"/><Relationship Id="rId11" Type="http://schemas.openxmlformats.org/officeDocument/2006/relationships/hyperlink" Target="https://i.postimg.cc/V6m2Qh4c/temp-Image-MGqet-Z.avif" TargetMode="External"/><Relationship Id="rId1107" Type="http://schemas.openxmlformats.org/officeDocument/2006/relationships/hyperlink" Target="https://i.postimg.cc/7ZV8dTyN/temp-Imagetlc5-RZ.avif" TargetMode="External"/><Relationship Id="rId10" Type="http://schemas.openxmlformats.org/officeDocument/2006/relationships/hyperlink" Target="https://sba-cards-2024.s3.us-east-1.amazonaws.com/2024-cards/adam-duvall.png" TargetMode="External"/><Relationship Id="rId1108" Type="http://schemas.openxmlformats.org/officeDocument/2006/relationships/hyperlink" Target="https://sba-cards-2024.s3.us-east-1.amazonaws.com/2024-cards/zach-mckinstry.png" TargetMode="External"/><Relationship Id="rId13" Type="http://schemas.openxmlformats.org/officeDocument/2006/relationships/hyperlink" Target="https://sba-cards-2024.s3.us-east-1.amazonaws.com/2024-cards/adam-mazur.png" TargetMode="External"/><Relationship Id="rId1109" Type="http://schemas.openxmlformats.org/officeDocument/2006/relationships/hyperlink" Target="https://sba-cards-2024.s3.us-east-1.amazonaws.com/2024-cards/zach-neto.png" TargetMode="External"/><Relationship Id="rId12" Type="http://schemas.openxmlformats.org/officeDocument/2006/relationships/hyperlink" Target="https://sba-cards-2024.s3.us-east-1.amazonaws.com/2024-cards/adam-frazier.png" TargetMode="External"/><Relationship Id="rId519" Type="http://schemas.openxmlformats.org/officeDocument/2006/relationships/hyperlink" Target="https://sba-cards-2024.s3.us-east-1.amazonaws.com/2024-cards/joe-ryan.png" TargetMode="External"/><Relationship Id="rId514" Type="http://schemas.openxmlformats.org/officeDocument/2006/relationships/hyperlink" Target="https://sba-cards-2024.s3.us-east-1.amazonaws.com/2024-cards/joe-jimenez.png" TargetMode="External"/><Relationship Id="rId756" Type="http://schemas.openxmlformats.org/officeDocument/2006/relationships/hyperlink" Target="https://sba-cards-2024.s3.us-east-1.amazonaws.com/2024-cards/michael-grove.png" TargetMode="External"/><Relationship Id="rId998" Type="http://schemas.openxmlformats.org/officeDocument/2006/relationships/hyperlink" Target="https://sba-cards-2024.s3.us-east-1.amazonaws.com/2024-cards/tim-anderson.png" TargetMode="External"/><Relationship Id="rId513" Type="http://schemas.openxmlformats.org/officeDocument/2006/relationships/hyperlink" Target="https://sba-cards-2024.s3.us-east-1.amazonaws.com/2024-cards/joe-boyle.png" TargetMode="External"/><Relationship Id="rId755" Type="http://schemas.openxmlformats.org/officeDocument/2006/relationships/hyperlink" Target="https://sba-cards-2024.s3.us-east-1.amazonaws.com/2024-cards/michael-conforto.png" TargetMode="External"/><Relationship Id="rId997" Type="http://schemas.openxmlformats.org/officeDocument/2006/relationships/hyperlink" Target="https://sba-cards-2024.s3.us-east-1.amazonaws.com/2024-cards/thyago-vieira.png" TargetMode="External"/><Relationship Id="rId512" Type="http://schemas.openxmlformats.org/officeDocument/2006/relationships/hyperlink" Target="https://sba-cards-2024.s3.us-east-1.amazonaws.com/2024-cards/joc-pederson.png" TargetMode="External"/><Relationship Id="rId754" Type="http://schemas.openxmlformats.org/officeDocument/2006/relationships/hyperlink" Target="https://i.postimg.cc/N0JRB9kf/temp-Imaget1yso-Y.avif" TargetMode="External"/><Relationship Id="rId996" Type="http://schemas.openxmlformats.org/officeDocument/2006/relationships/hyperlink" Target="https://sba-cards-2024.s3.us-east-1.amazonaws.com/2024-cards/thairo-estrada.png" TargetMode="External"/><Relationship Id="rId511" Type="http://schemas.openxmlformats.org/officeDocument/2006/relationships/hyperlink" Target="https://sba-cards-2024.s3.us-east-1.amazonaws.com/2024-cards/jo-adell.png" TargetMode="External"/><Relationship Id="rId753" Type="http://schemas.openxmlformats.org/officeDocument/2006/relationships/hyperlink" Target="https://sba-cards-2024.s3.us-east-1.amazonaws.com/2024-cards/michael-busch.png" TargetMode="External"/><Relationship Id="rId995" Type="http://schemas.openxmlformats.org/officeDocument/2006/relationships/hyperlink" Target="https://upload.wikimedia.org/wikipedia/commons/8/82/Francisco_de_Goya%2C_Saturno_devorando_a_su_hijo_(1819-1823).jpg" TargetMode="External"/><Relationship Id="rId518" Type="http://schemas.openxmlformats.org/officeDocument/2006/relationships/hyperlink" Target="https://sba-cards-2024.s3.us-east-1.amazonaws.com/2024-cards/joe-ross.png" TargetMode="External"/><Relationship Id="rId517" Type="http://schemas.openxmlformats.org/officeDocument/2006/relationships/hyperlink" Target="https://sba-cards-2024.s3.us-east-1.amazonaws.com/2024-cards/joe-musgrove.png" TargetMode="External"/><Relationship Id="rId759" Type="http://schemas.openxmlformats.org/officeDocument/2006/relationships/hyperlink" Target="https://sba-cards-2024.s3.us-east-1.amazonaws.com/2024-cards/michael-king.png" TargetMode="External"/><Relationship Id="rId516" Type="http://schemas.openxmlformats.org/officeDocument/2006/relationships/hyperlink" Target="https://sba-cards-2024.s3.us-east-1.amazonaws.com/2024-cards/joe-mantiply.png" TargetMode="External"/><Relationship Id="rId758" Type="http://schemas.openxmlformats.org/officeDocument/2006/relationships/hyperlink" Target="https://sba-cards-2024.s3.us-east-1.amazonaws.com/2024-cards/michael-kelly.png" TargetMode="External"/><Relationship Id="rId515" Type="http://schemas.openxmlformats.org/officeDocument/2006/relationships/hyperlink" Target="https://sba-cards-2024.s3.us-east-1.amazonaws.com/2024-cards/joe-kelly.png" TargetMode="External"/><Relationship Id="rId757" Type="http://schemas.openxmlformats.org/officeDocument/2006/relationships/hyperlink" Target="https://sba-cards-2024.s3.us-east-1.amazonaws.com/2024-cards/michael-harris.png" TargetMode="External"/><Relationship Id="rId999" Type="http://schemas.openxmlformats.org/officeDocument/2006/relationships/hyperlink" Target="https://sba-cards-2024.s3.us-east-1.amazonaws.com/2024-cards/tim-herrin.png" TargetMode="External"/><Relationship Id="rId15" Type="http://schemas.openxmlformats.org/officeDocument/2006/relationships/hyperlink" Target="https://sba-cards-2024.s3.us-east-1.amazonaws.com/2024-cards/adam-ottavino.png" TargetMode="External"/><Relationship Id="rId990" Type="http://schemas.openxmlformats.org/officeDocument/2006/relationships/hyperlink" Target="https://upload.wikimedia.org/wikipedia/commons/8/82/Francisco_de_Goya%2C_Saturno_devorando_a_su_hijo_%281819-1823%29.jpg" TargetMode="External"/><Relationship Id="rId14" Type="http://schemas.openxmlformats.org/officeDocument/2006/relationships/hyperlink" Target="https://sba-cards-2024.s3.us-east-1.amazonaws.com/2024-cards/adam-oller.png" TargetMode="External"/><Relationship Id="rId17" Type="http://schemas.openxmlformats.org/officeDocument/2006/relationships/hyperlink" Target="https://sba-cards-2024.s3.us-east-1.amazonaws.com/2024-cards/adley-rutschman.png" TargetMode="External"/><Relationship Id="rId16" Type="http://schemas.openxmlformats.org/officeDocument/2006/relationships/hyperlink" Target="https://sba-cards-2024.s3.us-east-1.amazonaws.com/2024-cards/addison-barger.png" TargetMode="External"/><Relationship Id="rId19" Type="http://schemas.openxmlformats.org/officeDocument/2006/relationships/hyperlink" Target="https://sba-cards-2024.s3.us-east-1.amazonaws.com/2024-cards/adrian-del-castillo.png" TargetMode="External"/><Relationship Id="rId510" Type="http://schemas.openxmlformats.org/officeDocument/2006/relationships/hyperlink" Target="https://i.postimg.cc/1XNXx4JT/temp-Images2-Flhv.avif" TargetMode="External"/><Relationship Id="rId752" Type="http://schemas.openxmlformats.org/officeDocument/2006/relationships/hyperlink" Target="https://sba-cards-2024.s3.us-east-1.amazonaws.com/2024-cards/michael-a-taylor.png" TargetMode="External"/><Relationship Id="rId994" Type="http://schemas.openxmlformats.org/officeDocument/2006/relationships/hyperlink" Target="https://sba-cards-2024.s3.us-east-1.amazonaws.com/2024-cards/teoscar-hernandez.png" TargetMode="External"/><Relationship Id="rId18" Type="http://schemas.openxmlformats.org/officeDocument/2006/relationships/hyperlink" Target="https://sba-cards-2024.s3.us-east-1.amazonaws.com/2024-cards/adolis-garcia.png" TargetMode="External"/><Relationship Id="rId751" Type="http://schemas.openxmlformats.org/officeDocument/2006/relationships/hyperlink" Target="https://sba-cards-2024.s3.us-east-1.amazonaws.com/2024-cards/merrill-kelly.png" TargetMode="External"/><Relationship Id="rId993" Type="http://schemas.openxmlformats.org/officeDocument/2006/relationships/hyperlink" Target="https://sba-cards-2024.s3.us-east-1.amazonaws.com/2024-cards/taylor-ward.png" TargetMode="External"/><Relationship Id="rId1100" Type="http://schemas.openxmlformats.org/officeDocument/2006/relationships/hyperlink" Target="https://sba-cards-2024.s3.us-east-1.amazonaws.com/2024-cards/yuli-gurriel.png" TargetMode="External"/><Relationship Id="rId750" Type="http://schemas.openxmlformats.org/officeDocument/2006/relationships/hyperlink" Target="https://sba-cards-2024.s3.us-east-1.amazonaws.com/2024-cards/max-schuemann.png" TargetMode="External"/><Relationship Id="rId992" Type="http://schemas.openxmlformats.org/officeDocument/2006/relationships/hyperlink" Target="https://sba-cards-2024.s3.us-east-1.amazonaws.com/2024-cards/taylor-walls.png" TargetMode="External"/><Relationship Id="rId1101" Type="http://schemas.openxmlformats.org/officeDocument/2006/relationships/hyperlink" Target="https://sba-cards-2024.s3.us-east-1.amazonaws.com/2024-cards/yunior-marte.png" TargetMode="External"/><Relationship Id="rId991" Type="http://schemas.openxmlformats.org/officeDocument/2006/relationships/hyperlink" Target="https://sba-cards-2024.s3.us-east-1.amazonaws.com/2024-cards/taylor-rogers.png" TargetMode="External"/><Relationship Id="rId1102" Type="http://schemas.openxmlformats.org/officeDocument/2006/relationships/hyperlink" Target="https://sba-cards-2024.s3.us-east-1.amazonaws.com/2024-cards/yusei-kikuchi.png" TargetMode="External"/><Relationship Id="rId84" Type="http://schemas.openxmlformats.org/officeDocument/2006/relationships/hyperlink" Target="https://sba-cards-2024.s3.us-east-1.amazonaws.com/2024-cards/austin-wells.png" TargetMode="External"/><Relationship Id="rId83" Type="http://schemas.openxmlformats.org/officeDocument/2006/relationships/hyperlink" Target="https://sba-cards-2024.s3.us-east-1.amazonaws.com/2024-cards/austin-voth.png" TargetMode="External"/><Relationship Id="rId86" Type="http://schemas.openxmlformats.org/officeDocument/2006/relationships/hyperlink" Target="https://sba-cards-2024.s3.us-east-1.amazonaws.com/2024-cards/bailey-ober.png" TargetMode="External"/><Relationship Id="rId85" Type="http://schemas.openxmlformats.org/officeDocument/2006/relationships/hyperlink" Target="https://sba-cards-2024.s3.us-east-1.amazonaws.com/2024-cards/bailey-falter.png" TargetMode="External"/><Relationship Id="rId88" Type="http://schemas.openxmlformats.org/officeDocument/2006/relationships/hyperlink" Target="https://sba-cards-2024.s3.us-east-1.amazonaws.com/2024-cards/ben-brown.png" TargetMode="External"/><Relationship Id="rId87" Type="http://schemas.openxmlformats.org/officeDocument/2006/relationships/hyperlink" Target="https://sba-cards-2024.s3.us-east-1.amazonaws.com/2024-cards/beau-brieske.png" TargetMode="External"/><Relationship Id="rId89" Type="http://schemas.openxmlformats.org/officeDocument/2006/relationships/hyperlink" Target="https://sba-cards-2024.s3.us-east-1.amazonaws.com/2024-cards/ben-gamel.png" TargetMode="External"/><Relationship Id="rId709" Type="http://schemas.openxmlformats.org/officeDocument/2006/relationships/hyperlink" Target="https://sba-cards-2024.s3.us-east-1.amazonaws.com/2024-cards/mackenzie-gore.png" TargetMode="External"/><Relationship Id="rId708" Type="http://schemas.openxmlformats.org/officeDocument/2006/relationships/hyperlink" Target="https://sba-cards-2024.s3.us-east-1.amazonaws.com/2024-cards/luke-weaver.png" TargetMode="External"/><Relationship Id="rId707" Type="http://schemas.openxmlformats.org/officeDocument/2006/relationships/hyperlink" Target="https://i.postimg.cc/6qd0W6Qj/temp-Image-Tukw8-R.avif" TargetMode="External"/><Relationship Id="rId949" Type="http://schemas.openxmlformats.org/officeDocument/2006/relationships/hyperlink" Target="https://upload.wikimedia.org/wikipedia/commons/8/82/Francisco_de_Goya%2C_Saturno_devorando_a_su_hijo_%281819-1823%29.jpg" TargetMode="External"/><Relationship Id="rId706" Type="http://schemas.openxmlformats.org/officeDocument/2006/relationships/hyperlink" Target="https://sba-cards-2024.s3.us-east-1.amazonaws.com/2024-cards/luke-raley.png" TargetMode="External"/><Relationship Id="rId948" Type="http://schemas.openxmlformats.org/officeDocument/2006/relationships/hyperlink" Target="https://sba-cards-2024.s3.us-east-1.amazonaws.com/2024-cards/seth-lugo.png" TargetMode="External"/><Relationship Id="rId80" Type="http://schemas.openxmlformats.org/officeDocument/2006/relationships/hyperlink" Target="https://sba-cards-2024.s3.us-east-1.amazonaws.com/2024-cards/austin-martin.png" TargetMode="External"/><Relationship Id="rId82" Type="http://schemas.openxmlformats.org/officeDocument/2006/relationships/hyperlink" Target="https://sba-cards-2024.s3.us-east-1.amazonaws.com/2024-cards/austin-slater.png" TargetMode="External"/><Relationship Id="rId81" Type="http://schemas.openxmlformats.org/officeDocument/2006/relationships/hyperlink" Target="https://sba-cards-2024.s3.us-east-1.amazonaws.com/2024-cards/austin-riley.png" TargetMode="External"/><Relationship Id="rId701" Type="http://schemas.openxmlformats.org/officeDocument/2006/relationships/hyperlink" Target="https://sba-cards-2024.s3.us-east-1.amazonaws.com/2024-cards/luis-urias.png" TargetMode="External"/><Relationship Id="rId943" Type="http://schemas.openxmlformats.org/officeDocument/2006/relationships/hyperlink" Target="https://sba-cards-2024.s3.us-east-1.amazonaws.com/2024-cards/sean-murphy.png" TargetMode="External"/><Relationship Id="rId700" Type="http://schemas.openxmlformats.org/officeDocument/2006/relationships/hyperlink" Target="https://sba-cards-2024.s3.us-east-1.amazonaws.com/2024-cards/luis-torrens.png" TargetMode="External"/><Relationship Id="rId942" Type="http://schemas.openxmlformats.org/officeDocument/2006/relationships/hyperlink" Target="https://sba-cards-2024.s3.us-east-1.amazonaws.com/2024-cards/sean-manaea.png" TargetMode="External"/><Relationship Id="rId941" Type="http://schemas.openxmlformats.org/officeDocument/2006/relationships/hyperlink" Target="https://sba-cards-2024.s3.us-east-1.amazonaws.com/2024-cards/sean-hjelle.png" TargetMode="External"/><Relationship Id="rId940" Type="http://schemas.openxmlformats.org/officeDocument/2006/relationships/hyperlink" Target="https://sba-cards-2024.s3.us-east-1.amazonaws.com/2024-cards/sean-guenther.png" TargetMode="External"/><Relationship Id="rId705" Type="http://schemas.openxmlformats.org/officeDocument/2006/relationships/hyperlink" Target="https://sba-cards-2024.s3.us-east-1.amazonaws.com/2024-cards/luke-maile.png" TargetMode="External"/><Relationship Id="rId947" Type="http://schemas.openxmlformats.org/officeDocument/2006/relationships/hyperlink" Target="https://sba-cards-2024.s3.us-east-1.amazonaws.com/2024-cards/seth-brown.png" TargetMode="External"/><Relationship Id="rId704" Type="http://schemas.openxmlformats.org/officeDocument/2006/relationships/hyperlink" Target="https://sba-cards-2024.s3.us-east-1.amazonaws.com/2024-cards/luke-little.png" TargetMode="External"/><Relationship Id="rId946" Type="http://schemas.openxmlformats.org/officeDocument/2006/relationships/hyperlink" Target="https://sba-cards-2024.s3.us-east-1.amazonaws.com/2024-cards/seranthony-dominguez.png" TargetMode="External"/><Relationship Id="rId703" Type="http://schemas.openxmlformats.org/officeDocument/2006/relationships/hyperlink" Target="https://sba-cards-2024.s3.us-east-1.amazonaws.com/2024-cards/luke-jackson.png" TargetMode="External"/><Relationship Id="rId945" Type="http://schemas.openxmlformats.org/officeDocument/2006/relationships/hyperlink" Target="https://sba-cards-2024.s3.us-east-1.amazonaws.com/2024-cards/seiya-suzuki.png" TargetMode="External"/><Relationship Id="rId702" Type="http://schemas.openxmlformats.org/officeDocument/2006/relationships/hyperlink" Target="https://sba-cards-2024.s3.us-east-1.amazonaws.com/2024-cards/luis-garcia.png" TargetMode="External"/><Relationship Id="rId944" Type="http://schemas.openxmlformats.org/officeDocument/2006/relationships/hyperlink" Target="https://sba-cards-2024.s3.us-east-1.amazonaws.com/2024-cards/sean-reid-foley.png" TargetMode="External"/><Relationship Id="rId73" Type="http://schemas.openxmlformats.org/officeDocument/2006/relationships/hyperlink" Target="https://sba-cards-2024.s3.us-east-1.amazonaws.com/2024-cards/anthony-volpe.png" TargetMode="External"/><Relationship Id="rId72" Type="http://schemas.openxmlformats.org/officeDocument/2006/relationships/hyperlink" Target="https://i.postimg.cc/4x45GgRP/temp-Image-Qx0-XKM.avif" TargetMode="External"/><Relationship Id="rId75" Type="http://schemas.openxmlformats.org/officeDocument/2006/relationships/hyperlink" Target="https://sba-cards-2024.s3.us-east-1.amazonaws.com/2024-cards/austin-adams.png" TargetMode="External"/><Relationship Id="rId74" Type="http://schemas.openxmlformats.org/officeDocument/2006/relationships/hyperlink" Target="https://sba-cards-2024.s3.us-east-1.amazonaws.com/2024-cards/aroldis-chapman.png" TargetMode="External"/><Relationship Id="rId77" Type="http://schemas.openxmlformats.org/officeDocument/2006/relationships/hyperlink" Target="https://sba-cards-2024.s3.us-east-1.amazonaws.com/2024-cards/austin-gomber.png" TargetMode="External"/><Relationship Id="rId76" Type="http://schemas.openxmlformats.org/officeDocument/2006/relationships/hyperlink" Target="https://sba-cards-2024.s3.us-east-1.amazonaws.com/2024-cards/austin-barnes.png" TargetMode="External"/><Relationship Id="rId79" Type="http://schemas.openxmlformats.org/officeDocument/2006/relationships/hyperlink" Target="https://sba-cards-2024.s3.us-east-1.amazonaws.com/2024-cards/austin-hedges.png" TargetMode="External"/><Relationship Id="rId78" Type="http://schemas.openxmlformats.org/officeDocument/2006/relationships/hyperlink" Target="https://sba-cards-2024.s3.us-east-1.amazonaws.com/2024-cards/austin-hays.png" TargetMode="External"/><Relationship Id="rId939" Type="http://schemas.openxmlformats.org/officeDocument/2006/relationships/hyperlink" Target="https://sba-cards-2024.s3.us-east-1.amazonaws.com/2024-cards/sean-bouchard.png" TargetMode="External"/><Relationship Id="rId938" Type="http://schemas.openxmlformats.org/officeDocument/2006/relationships/hyperlink" Target="https://sba-cards-2024.s3.us-east-1.amazonaws.com/2024-cards/scott-mcgough.png" TargetMode="External"/><Relationship Id="rId937" Type="http://schemas.openxmlformats.org/officeDocument/2006/relationships/hyperlink" Target="https://sba-cards-2024.s3.us-east-1.amazonaws.com/2024-cards/scott-blewett.png" TargetMode="External"/><Relationship Id="rId71" Type="http://schemas.openxmlformats.org/officeDocument/2006/relationships/hyperlink" Target="https://sba-cards-2024.s3.us-east-1.amazonaws.com/2024-cards/anthony-santander.png" TargetMode="External"/><Relationship Id="rId70" Type="http://schemas.openxmlformats.org/officeDocument/2006/relationships/hyperlink" Target="https://sba-cards-2024.s3.us-east-1.amazonaws.com/2024-cards/anthony-rizzo.png" TargetMode="External"/><Relationship Id="rId932" Type="http://schemas.openxmlformats.org/officeDocument/2006/relationships/hyperlink" Target="https://sba-cards-2024.s3.us-east-1.amazonaws.com/2024-cards/sam-moll.png" TargetMode="External"/><Relationship Id="rId931" Type="http://schemas.openxmlformats.org/officeDocument/2006/relationships/hyperlink" Target="https://sba-cards-2024.s3.us-east-1.amazonaws.com/2024-cards/sam-long.png" TargetMode="External"/><Relationship Id="rId930" Type="http://schemas.openxmlformats.org/officeDocument/2006/relationships/hyperlink" Target="https://sba-cards-2024.s3.us-east-1.amazonaws.com/2024-cards/sam-hilliard.png" TargetMode="External"/><Relationship Id="rId936" Type="http://schemas.openxmlformats.org/officeDocument/2006/relationships/hyperlink" Target="https://sba-cards-2024.s3.us-east-1.amazonaws.com/2024-cards/scott-barlow.png" TargetMode="External"/><Relationship Id="rId935" Type="http://schemas.openxmlformats.org/officeDocument/2006/relationships/hyperlink" Target="https://sba-cards-2024.s3.us-east-1.amazonaws.com/2024-cards/scott-alexander.png" TargetMode="External"/><Relationship Id="rId934" Type="http://schemas.openxmlformats.org/officeDocument/2006/relationships/hyperlink" Target="https://upload.wikimedia.org/wikipedia/commons/8/82/Francisco_de_Goya%2C_Saturno_devorando_a_su_hijo_%281819-1823%29.jpg" TargetMode="External"/><Relationship Id="rId933" Type="http://schemas.openxmlformats.org/officeDocument/2006/relationships/hyperlink" Target="https://sba-cards-2024.s3.us-east-1.amazonaws.com/2024-cards/santiago-espinal.png" TargetMode="External"/><Relationship Id="rId62" Type="http://schemas.openxmlformats.org/officeDocument/2006/relationships/hyperlink" Target="https://sba-cards-2024.s3.us-east-1.amazonaws.com/2024-cards/andy-pages.png" TargetMode="External"/><Relationship Id="rId61" Type="http://schemas.openxmlformats.org/officeDocument/2006/relationships/hyperlink" Target="https://sba-cards-2024.s3.us-east-1.amazonaws.com/2024-cards/andy-ibanez.png" TargetMode="External"/><Relationship Id="rId64" Type="http://schemas.openxmlformats.org/officeDocument/2006/relationships/hyperlink" Target="https://sba-cards-2024.s3.us-east-1.amazonaws.com/2024-cards/angel-martinez.png" TargetMode="External"/><Relationship Id="rId63" Type="http://schemas.openxmlformats.org/officeDocument/2006/relationships/hyperlink" Target="https://sba-cards-2024.s3.us-east-1.amazonaws.com/2024-cards/angel-chivilli.png" TargetMode="External"/><Relationship Id="rId66" Type="http://schemas.openxmlformats.org/officeDocument/2006/relationships/hyperlink" Target="https://sba-cards-2024.s3.us-east-1.amazonaws.com/2024-cards/anthony-banda.png" TargetMode="External"/><Relationship Id="rId65" Type="http://schemas.openxmlformats.org/officeDocument/2006/relationships/hyperlink" Target="https://sba-cards-2024.s3.us-east-1.amazonaws.com/2024-cards/angel-zerpa.png" TargetMode="External"/><Relationship Id="rId68" Type="http://schemas.openxmlformats.org/officeDocument/2006/relationships/hyperlink" Target="https://sba-cards-2024.s3.us-east-1.amazonaws.com/2024-cards/anthony-molina.png" TargetMode="External"/><Relationship Id="rId67" Type="http://schemas.openxmlformats.org/officeDocument/2006/relationships/hyperlink" Target="https://sba-cards-2024.s3.us-east-1.amazonaws.com/2024-cards/anthony-bender.png" TargetMode="External"/><Relationship Id="rId729" Type="http://schemas.openxmlformats.org/officeDocument/2006/relationships/hyperlink" Target="https://sba-cards-2024.s3.us-east-1.amazonaws.com/2024-cards/masyn-winn.png" TargetMode="External"/><Relationship Id="rId728" Type="http://schemas.openxmlformats.org/officeDocument/2006/relationships/hyperlink" Target="https://sba-cards-2024.s3.us-east-1.amazonaws.com/2024-cards/mason-miller.png" TargetMode="External"/><Relationship Id="rId60" Type="http://schemas.openxmlformats.org/officeDocument/2006/relationships/hyperlink" Target="https://sba-cards-2024.s3.us-east-1.amazonaws.com/2024-cards/andruw-monasterio.png" TargetMode="External"/><Relationship Id="rId723" Type="http://schemas.openxmlformats.org/officeDocument/2006/relationships/hyperlink" Target="https://sba-cards-2024.s3.us-east-1.amazonaws.com/2024-cards/martin-maldonado.png" TargetMode="External"/><Relationship Id="rId965" Type="http://schemas.openxmlformats.org/officeDocument/2006/relationships/hyperlink" Target="https://sba-cards-2024.s3.us-east-1.amazonaws.com/2024-cards/spencer-schwellenbach.png" TargetMode="External"/><Relationship Id="rId722" Type="http://schemas.openxmlformats.org/officeDocument/2006/relationships/hyperlink" Target="https://sba-cards-2024.s3.us-east-1.amazonaws.com/2024-cards/mark-vientos.png" TargetMode="External"/><Relationship Id="rId964" Type="http://schemas.openxmlformats.org/officeDocument/2006/relationships/hyperlink" Target="https://sba-cards-2024.s3.us-east-1.amazonaws.com/2024-cards/spencer-horwitz.png" TargetMode="External"/><Relationship Id="rId721" Type="http://schemas.openxmlformats.org/officeDocument/2006/relationships/hyperlink" Target="https://sba-cards-2024.s3.us-east-1.amazonaws.com/2024-cards/mark-leiter.png" TargetMode="External"/><Relationship Id="rId963" Type="http://schemas.openxmlformats.org/officeDocument/2006/relationships/hyperlink" Target="https://sba-cards-2024.s3.us-east-1.amazonaws.com/2024-cards/spencer-bivens.png" TargetMode="External"/><Relationship Id="rId720" Type="http://schemas.openxmlformats.org/officeDocument/2006/relationships/hyperlink" Target="https://sba-cards-2024.s3.us-east-1.amazonaws.com/2024-cards/mark-canha.png" TargetMode="External"/><Relationship Id="rId962" Type="http://schemas.openxmlformats.org/officeDocument/2006/relationships/hyperlink" Target="https://sba-cards-2024.s3.us-east-1.amazonaws.com/2024-cards/spencer-arrighetti.png" TargetMode="External"/><Relationship Id="rId727" Type="http://schemas.openxmlformats.org/officeDocument/2006/relationships/hyperlink" Target="https://sba-cards-2024.s3.us-east-1.amazonaws.com/2024-cards/mason-englert.png" TargetMode="External"/><Relationship Id="rId969" Type="http://schemas.openxmlformats.org/officeDocument/2006/relationships/hyperlink" Target="https://i.postimg.cc/jjpPDVmG/temp-Image-Pzsmu-Q.avif" TargetMode="External"/><Relationship Id="rId726" Type="http://schemas.openxmlformats.org/officeDocument/2006/relationships/hyperlink" Target="https://sba-cards-2024.s3.us-east-1.amazonaws.com/2024-cards/mason-black.png" TargetMode="External"/><Relationship Id="rId968" Type="http://schemas.openxmlformats.org/officeDocument/2006/relationships/hyperlink" Target="https://sba-cards-2024.s3.us-east-1.amazonaws.com/2024-cards/spencer-turnbull.png" TargetMode="External"/><Relationship Id="rId725" Type="http://schemas.openxmlformats.org/officeDocument/2006/relationships/hyperlink" Target="https://sba-cards-2024.s3.us-east-1.amazonaws.com/2024-cards/masataka-yoshida.png" TargetMode="External"/><Relationship Id="rId967" Type="http://schemas.openxmlformats.org/officeDocument/2006/relationships/hyperlink" Target="https://sba-cards-2024.s3.us-east-1.amazonaws.com/2024-cards/spencer-torkelson.png" TargetMode="External"/><Relationship Id="rId724" Type="http://schemas.openxmlformats.org/officeDocument/2006/relationships/hyperlink" Target="https://sba-cards-2024.s3.us-east-1.amazonaws.com/2024-cards/martin-perez.png" TargetMode="External"/><Relationship Id="rId966" Type="http://schemas.openxmlformats.org/officeDocument/2006/relationships/hyperlink" Target="https://sba-cards-2024.s3.us-east-1.amazonaws.com/2024-cards/spencer-steer.png" TargetMode="External"/><Relationship Id="rId69" Type="http://schemas.openxmlformats.org/officeDocument/2006/relationships/hyperlink" Target="https://sba-cards-2024.s3.us-east-1.amazonaws.com/2024-cards/anthony-rendon.png" TargetMode="External"/><Relationship Id="rId961" Type="http://schemas.openxmlformats.org/officeDocument/2006/relationships/hyperlink" Target="https://sba-cards-2024.s3.us-east-1.amazonaws.com/2024-cards/sonny-gray.png" TargetMode="External"/><Relationship Id="rId960" Type="http://schemas.openxmlformats.org/officeDocument/2006/relationships/hyperlink" Target="https://sba-cards-2024.s3.us-east-1.amazonaws.com/2024-cards/slade-cecconi.png" TargetMode="External"/><Relationship Id="rId51" Type="http://schemas.openxmlformats.org/officeDocument/2006/relationships/hyperlink" Target="https://sba-cards-2024.s3.us-east-1.amazonaws.com/2024-cards/andrew-benintendi.png" TargetMode="External"/><Relationship Id="rId50" Type="http://schemas.openxmlformats.org/officeDocument/2006/relationships/hyperlink" Target="https://sba-cards-2024.s3.us-east-1.amazonaws.com/2024-cards/andrew-abbott.png" TargetMode="External"/><Relationship Id="rId53" Type="http://schemas.openxmlformats.org/officeDocument/2006/relationships/hyperlink" Target="https://sba-cards-2024.s3.us-east-1.amazonaws.com/2024-cards/andrew-heaney.png" TargetMode="External"/><Relationship Id="rId52" Type="http://schemas.openxmlformats.org/officeDocument/2006/relationships/hyperlink" Target="https://sba-cards-2024.s3.us-east-1.amazonaws.com/2024-cards/andrew-chafin.png" TargetMode="External"/><Relationship Id="rId55" Type="http://schemas.openxmlformats.org/officeDocument/2006/relationships/hyperlink" Target="https://sba-cards-2024.s3.us-east-1.amazonaws.com/2024-cards/andrew-knizner.png" TargetMode="External"/><Relationship Id="rId54" Type="http://schemas.openxmlformats.org/officeDocument/2006/relationships/hyperlink" Target="https://sba-cards-2024.s3.us-east-1.amazonaws.com/2024-cards/andrew-kittredge.png" TargetMode="External"/><Relationship Id="rId57" Type="http://schemas.openxmlformats.org/officeDocument/2006/relationships/hyperlink" Target="https://sba-cards-2024.s3.us-east-1.amazonaws.com/2024-cards/andrew-nardi.png" TargetMode="External"/><Relationship Id="rId56" Type="http://schemas.openxmlformats.org/officeDocument/2006/relationships/hyperlink" Target="https://sba-cards-2024.s3.us-east-1.amazonaws.com/2024-cards/andrew-mccutchen.png" TargetMode="External"/><Relationship Id="rId719" Type="http://schemas.openxmlformats.org/officeDocument/2006/relationships/hyperlink" Target="https://sba-cards-2024.s3.us-east-1.amazonaws.com/2024-cards/marcus-stroman.png" TargetMode="External"/><Relationship Id="rId718" Type="http://schemas.openxmlformats.org/officeDocument/2006/relationships/hyperlink" Target="https://sba-cards-2024.s3.us-east-1.amazonaws.com/2024-cards/marcus-semien.png" TargetMode="External"/><Relationship Id="rId717" Type="http://schemas.openxmlformats.org/officeDocument/2006/relationships/hyperlink" Target="https://sba-cards-2024.s3.us-east-1.amazonaws.com/2024-cards/marco-luciano.png" TargetMode="External"/><Relationship Id="rId959" Type="http://schemas.openxmlformats.org/officeDocument/2006/relationships/hyperlink" Target="https://sba-cards-2024.s3.us-east-1.amazonaws.com/2024-cards/sixto-sanchez.png" TargetMode="External"/><Relationship Id="rId712" Type="http://schemas.openxmlformats.org/officeDocument/2006/relationships/hyperlink" Target="https://sba-cards-2024.s3.us-east-1.amazonaws.com/2024-cards/manuel-margot.png" TargetMode="External"/><Relationship Id="rId954" Type="http://schemas.openxmlformats.org/officeDocument/2006/relationships/hyperlink" Target="https://sba-cards-2024.s3.us-east-1.amazonaws.com/2024-cards/shea-langeliers.png" TargetMode="External"/><Relationship Id="rId711" Type="http://schemas.openxmlformats.org/officeDocument/2006/relationships/hyperlink" Target="https://sba-cards-2024.s3.us-east-1.amazonaws.com/2024-cards/manny-machado.png" TargetMode="External"/><Relationship Id="rId953" Type="http://schemas.openxmlformats.org/officeDocument/2006/relationships/hyperlink" Target="https://sba-cards-2024.s3.us-east-1.amazonaws.com/2024-cards/shawn-dubin.png" TargetMode="External"/><Relationship Id="rId710" Type="http://schemas.openxmlformats.org/officeDocument/2006/relationships/hyperlink" Target="https://sba-cards-2024.s3.us-east-1.amazonaws.com/2024-cards/maikel-garcia.png" TargetMode="External"/><Relationship Id="rId952" Type="http://schemas.openxmlformats.org/officeDocument/2006/relationships/hyperlink" Target="https://sba-cards-2024.s3.us-east-1.amazonaws.com/2024-cards/shawn-armstrong.png" TargetMode="External"/><Relationship Id="rId951" Type="http://schemas.openxmlformats.org/officeDocument/2006/relationships/hyperlink" Target="https://sba-cards-2024.s3.us-east-1.amazonaws.com/2024-cards/shane-baz.png" TargetMode="External"/><Relationship Id="rId716" Type="http://schemas.openxmlformats.org/officeDocument/2006/relationships/hyperlink" Target="https://sba-cards-2024.s3.us-east-1.amazonaws.com/2024-cards/marco-gonzales.png" TargetMode="External"/><Relationship Id="rId958" Type="http://schemas.openxmlformats.org/officeDocument/2006/relationships/hyperlink" Target="https://sba-cards-2024.s3.us-east-1.amazonaws.com/2024-cards/simeon-woods-richardson.png" TargetMode="External"/><Relationship Id="rId715" Type="http://schemas.openxmlformats.org/officeDocument/2006/relationships/hyperlink" Target="https://i.postimg.cc/7ZR7nb7j/im-ozuna-from-the-braves-v0-ztwhmn20ey2b1-1.jpg" TargetMode="External"/><Relationship Id="rId957" Type="http://schemas.openxmlformats.org/officeDocument/2006/relationships/hyperlink" Target="https://sba-cards-2024.s3.us-east-1.amazonaws.com/2024-cards/shota-imanaga.png" TargetMode="External"/><Relationship Id="rId714" Type="http://schemas.openxmlformats.org/officeDocument/2006/relationships/hyperlink" Target="https://sba-cards-2024.s3.us-east-1.amazonaws.com/2024-cards/marcell-ozuna.png" TargetMode="External"/><Relationship Id="rId956" Type="http://schemas.openxmlformats.org/officeDocument/2006/relationships/hyperlink" Target="https://sba-cards-2024.s3.us-east-1.amazonaws.com/2024-cards/shohei-ohtani.png" TargetMode="External"/><Relationship Id="rId713" Type="http://schemas.openxmlformats.org/officeDocument/2006/relationships/hyperlink" Target="https://sba-cards-2024.s3.us-east-1.amazonaws.com/2024-cards/manuel-rodriguez.png" TargetMode="External"/><Relationship Id="rId955" Type="http://schemas.openxmlformats.org/officeDocument/2006/relationships/hyperlink" Target="https://sba-cards-2024.s3.us-east-1.amazonaws.com/2024-cards/shelby-miller.png" TargetMode="External"/><Relationship Id="rId59" Type="http://schemas.openxmlformats.org/officeDocument/2006/relationships/hyperlink" Target="https://cdn.discordapp.com/attachments/217481916687974400/1393443408256958474/image-2.png?ex=687330cd&amp;is=6871df4d&amp;hm=e3e911f0a310647cf849a9190546c4343f201a5586c3d4ac1778553cd9e42022&amp;" TargetMode="External"/><Relationship Id="rId58" Type="http://schemas.openxmlformats.org/officeDocument/2006/relationships/hyperlink" Target="https://sba-cards-2024.s3.us-east-1.amazonaws.com/2024-cards/andrew-vaughn.png" TargetMode="External"/><Relationship Id="rId950" Type="http://schemas.openxmlformats.org/officeDocument/2006/relationships/hyperlink" Target="https://sba-cards-2024.s3.us-east-1.amazonaws.com/2024-cards/seth-martinez.png" TargetMode="External"/><Relationship Id="rId590" Type="http://schemas.openxmlformats.org/officeDocument/2006/relationships/hyperlink" Target="https://upload.wikimedia.org/wikipedia/commons/8/82/Francisco_de_Goya%2C_Saturno_devorando_a_su_hijo_%281819-1823%29.jpg" TargetMode="External"/><Relationship Id="rId107" Type="http://schemas.openxmlformats.org/officeDocument/2006/relationships/hyperlink" Target="https://sba-cards-2024.s3.us-east-1.amazonaws.com/2024-cards/braden-shewmake.png" TargetMode="External"/><Relationship Id="rId349" Type="http://schemas.openxmlformats.org/officeDocument/2006/relationships/hyperlink" Target="https://sba-cards-2024.s3.us-east-1.amazonaws.com/2024-cards/ezequiel-duran.png" TargetMode="External"/><Relationship Id="rId106" Type="http://schemas.openxmlformats.org/officeDocument/2006/relationships/hyperlink" Target="https://sba-cards-2024.s3.us-east-1.amazonaws.com/2024-cards/brad-keller.png" TargetMode="External"/><Relationship Id="rId348" Type="http://schemas.openxmlformats.org/officeDocument/2006/relationships/hyperlink" Target="https://sba-cards-2024.s3.us-east-1.amazonaws.com/2024-cards/evan-phillips.png" TargetMode="External"/><Relationship Id="rId105" Type="http://schemas.openxmlformats.org/officeDocument/2006/relationships/hyperlink" Target="https://sba-cards-2024.s3.us-east-1.amazonaws.com/2024-cards/bowden-francis.png" TargetMode="External"/><Relationship Id="rId347" Type="http://schemas.openxmlformats.org/officeDocument/2006/relationships/hyperlink" Target="https://sba-cards-2024.s3.us-east-1.amazonaws.com/2024-cards/evan-carter.png" TargetMode="External"/><Relationship Id="rId589" Type="http://schemas.openxmlformats.org/officeDocument/2006/relationships/hyperlink" Target="https://sba-cards-2024.s3.us-east-1.amazonaws.com/2024-cards/josh-naylor.png" TargetMode="External"/><Relationship Id="rId104" Type="http://schemas.openxmlformats.org/officeDocument/2006/relationships/hyperlink" Target="https://sba-cards-2024.s3.us-east-1.amazonaws.com/2024-cards/bobby-witt-jr.png" TargetMode="External"/><Relationship Id="rId346" Type="http://schemas.openxmlformats.org/officeDocument/2006/relationships/hyperlink" Target="https://sba-cards-2024.s3.us-east-1.amazonaws.com/2024-cards/eugenio-suarez.png" TargetMode="External"/><Relationship Id="rId588" Type="http://schemas.openxmlformats.org/officeDocument/2006/relationships/hyperlink" Target="https://sba-cards-2024.s3.us-east-1.amazonaws.com/2024-cards/josh-lowe.png" TargetMode="External"/><Relationship Id="rId109" Type="http://schemas.openxmlformats.org/officeDocument/2006/relationships/hyperlink" Target="https://sba-cards-2024.s3.us-east-1.amazonaws.com/2024-cards/brady-singer.png" TargetMode="External"/><Relationship Id="rId108" Type="http://schemas.openxmlformats.org/officeDocument/2006/relationships/hyperlink" Target="https://sba-cards-2024.s3.us-east-1.amazonaws.com/2024-cards/bradley-blalock.png" TargetMode="External"/><Relationship Id="rId341" Type="http://schemas.openxmlformats.org/officeDocument/2006/relationships/hyperlink" Target="https://sba-cards-2024.s3.us-east-1.amazonaws.com/2024-cards/erik-swanson.png" TargetMode="External"/><Relationship Id="rId583" Type="http://schemas.openxmlformats.org/officeDocument/2006/relationships/hyperlink" Target="https://sba-cards-2024.s3.us-east-1.amazonaws.com/2024-cards/josh-bell.png" TargetMode="External"/><Relationship Id="rId340" Type="http://schemas.openxmlformats.org/officeDocument/2006/relationships/hyperlink" Target="https://sba-cards-2024.s3.us-east-1.amazonaws.com/2024-cards/erik-miller.png" TargetMode="External"/><Relationship Id="rId582" Type="http://schemas.openxmlformats.org/officeDocument/2006/relationships/hyperlink" Target="https://sba-cards-2024.s3.us-east-1.amazonaws.com/2024-cards/jose-urena.png" TargetMode="External"/><Relationship Id="rId581" Type="http://schemas.openxmlformats.org/officeDocument/2006/relationships/hyperlink" Target="https://sba-cards-2024.s3.us-east-1.amazonaws.com/2024-cards/jose-trevino.png" TargetMode="External"/><Relationship Id="rId580" Type="http://schemas.openxmlformats.org/officeDocument/2006/relationships/hyperlink" Target="https://sba-cards-2024.s3.us-east-1.amazonaws.com/2024-cards/jose-tena.png" TargetMode="External"/><Relationship Id="rId103" Type="http://schemas.openxmlformats.org/officeDocument/2006/relationships/hyperlink" Target="https://sba-cards-2024.s3.us-east-1.amazonaws.com/2024-cards/bobby-miller.png" TargetMode="External"/><Relationship Id="rId345" Type="http://schemas.openxmlformats.org/officeDocument/2006/relationships/hyperlink" Target="https://sba-cards-2024.s3.us-east-1.amazonaws.com/2024-cards/ethan-roberts.png" TargetMode="External"/><Relationship Id="rId587" Type="http://schemas.openxmlformats.org/officeDocument/2006/relationships/hyperlink" Target="https://sba-cards-2024.s3.us-east-1.amazonaws.com/2024-cards/josh-jung.png" TargetMode="External"/><Relationship Id="rId102" Type="http://schemas.openxmlformats.org/officeDocument/2006/relationships/hyperlink" Target="https://sba-cards-2024.s3.us-east-1.amazonaws.com/2024-cards/bobby-dalbec.png" TargetMode="External"/><Relationship Id="rId344" Type="http://schemas.openxmlformats.org/officeDocument/2006/relationships/hyperlink" Target="https://sba-cards-2024.s3.us-east-1.amazonaws.com/2024-cards/estevan-florial.png" TargetMode="External"/><Relationship Id="rId586" Type="http://schemas.openxmlformats.org/officeDocument/2006/relationships/hyperlink" Target="https://i.postimg.cc/wMtVScKp/temp-Image-Tmr4y-O.avif" TargetMode="External"/><Relationship Id="rId101" Type="http://schemas.openxmlformats.org/officeDocument/2006/relationships/hyperlink" Target="https://sba-cards-2024.s3.us-east-1.amazonaws.com/2024-cards/bo-naylor.png" TargetMode="External"/><Relationship Id="rId343" Type="http://schemas.openxmlformats.org/officeDocument/2006/relationships/hyperlink" Target="https://sba-cards-2024.s3.us-east-1.amazonaws.com/2024-cards/esteury-ruiz.png" TargetMode="External"/><Relationship Id="rId585" Type="http://schemas.openxmlformats.org/officeDocument/2006/relationships/hyperlink" Target="https://sba-cards-2024.s3.us-east-1.amazonaws.com/2024-cards/josh-hader.png" TargetMode="External"/><Relationship Id="rId100" Type="http://schemas.openxmlformats.org/officeDocument/2006/relationships/hyperlink" Target="https://sba-cards-2024.s3.us-east-1.amazonaws.com/2024-cards/bo-bichette.png" TargetMode="External"/><Relationship Id="rId342" Type="http://schemas.openxmlformats.org/officeDocument/2006/relationships/hyperlink" Target="https://sba-cards-2024.s3.us-east-1.amazonaws.com/2024-cards/ernie-clement.png" TargetMode="External"/><Relationship Id="rId584" Type="http://schemas.openxmlformats.org/officeDocument/2006/relationships/hyperlink" Target="https://sba-cards-2024.s3.us-east-1.amazonaws.com/2024-cards/josh-fleming.png" TargetMode="External"/><Relationship Id="rId338" Type="http://schemas.openxmlformats.org/officeDocument/2006/relationships/hyperlink" Target="https://sba-cards-2024.s3.us-east-1.amazonaws.com/2024-cards/eric-wagaman.png" TargetMode="External"/><Relationship Id="rId337" Type="http://schemas.openxmlformats.org/officeDocument/2006/relationships/hyperlink" Target="https://i.postimg.cc/V6k4FPD5/temp-Imageku0uih.avif" TargetMode="External"/><Relationship Id="rId579" Type="http://schemas.openxmlformats.org/officeDocument/2006/relationships/hyperlink" Target="https://sba-cards-2024.s3.us-east-1.amazonaws.com/2024-cards/jose-suarez.png" TargetMode="External"/><Relationship Id="rId336" Type="http://schemas.openxmlformats.org/officeDocument/2006/relationships/hyperlink" Target="https://sba-cards-2024.s3.us-east-1.amazonaws.com/2024-cards/eric-haase.png" TargetMode="External"/><Relationship Id="rId578" Type="http://schemas.openxmlformats.org/officeDocument/2006/relationships/hyperlink" Target="https://sba-cards-2024.s3.us-east-1.amazonaws.com/2024-cards/jose-soriano.png" TargetMode="External"/><Relationship Id="rId335" Type="http://schemas.openxmlformats.org/officeDocument/2006/relationships/hyperlink" Target="https://sba-cards-2024.s3.us-east-1.amazonaws.com/2024-cards/erasmo-ramirez.png" TargetMode="External"/><Relationship Id="rId577" Type="http://schemas.openxmlformats.org/officeDocument/2006/relationships/hyperlink" Target="https://sba-cards-2024.s3.us-east-1.amazonaws.com/2024-cards/jose-siri.png" TargetMode="External"/><Relationship Id="rId339" Type="http://schemas.openxmlformats.org/officeDocument/2006/relationships/hyperlink" Target="https://sba-cards-2024.s3.us-east-1.amazonaws.com/2024-cards/erick-fedde.png" TargetMode="External"/><Relationship Id="rId330" Type="http://schemas.openxmlformats.org/officeDocument/2006/relationships/hyperlink" Target="https://sba-cards-2024.s3.us-east-1.amazonaws.com/2024-cards/emmanuel-rivera.png" TargetMode="External"/><Relationship Id="rId572" Type="http://schemas.openxmlformats.org/officeDocument/2006/relationships/hyperlink" Target="https://sba-cards-2024.s3.us-east-1.amazonaws.com/2024-cards/jose-miranda.png" TargetMode="External"/><Relationship Id="rId571" Type="http://schemas.openxmlformats.org/officeDocument/2006/relationships/hyperlink" Target="https://sba-cards-2024.s3.us-east-1.amazonaws.com/2024-cards/jose-leclerc.png" TargetMode="External"/><Relationship Id="rId570" Type="http://schemas.openxmlformats.org/officeDocument/2006/relationships/hyperlink" Target="https://sba-cards-2024.s3.us-east-1.amazonaws.com/2024-cards/jose-iglesias.png" TargetMode="External"/><Relationship Id="rId334" Type="http://schemas.openxmlformats.org/officeDocument/2006/relationships/hyperlink" Target="https://sba-cards-2024.s3.us-east-1.amazonaws.com/2024-cards/enyel-de-los-santos.png" TargetMode="External"/><Relationship Id="rId576" Type="http://schemas.openxmlformats.org/officeDocument/2006/relationships/hyperlink" Target="https://sba-cards-2024.s3.us-east-1.amazonaws.com/2024-cards/jose-ruiz.png" TargetMode="External"/><Relationship Id="rId333" Type="http://schemas.openxmlformats.org/officeDocument/2006/relationships/hyperlink" Target="https://sba-cards-2024.s3.us-east-1.amazonaws.com/2024-cards/enrique-hernandez.png" TargetMode="External"/><Relationship Id="rId575" Type="http://schemas.openxmlformats.org/officeDocument/2006/relationships/hyperlink" Target="https://cdn.discordapp.com/attachments/1328448825626726552/1387495791286812807/image.png?ex=685d8da7&amp;is=685c3c27&amp;hm=b54909c0c111a195fc4072966518ea8851017e3659b69b63d7d9988ef1dfcc52&amp;" TargetMode="External"/><Relationship Id="rId332" Type="http://schemas.openxmlformats.org/officeDocument/2006/relationships/hyperlink" Target="https://sba-cards-2024.s3.us-east-1.amazonaws.com/2024-cards/enoli-paredes.png" TargetMode="External"/><Relationship Id="rId574" Type="http://schemas.openxmlformats.org/officeDocument/2006/relationships/hyperlink" Target="https://sba-cards-2024.s3.us-east-1.amazonaws.com/2024-cards/jose-ramirez.png" TargetMode="External"/><Relationship Id="rId331" Type="http://schemas.openxmlformats.org/officeDocument/2006/relationships/hyperlink" Target="https://sba-cards-2024.s3.us-east-1.amazonaws.com/2024-cards/enmanuel-valdez.png" TargetMode="External"/><Relationship Id="rId573" Type="http://schemas.openxmlformats.org/officeDocument/2006/relationships/hyperlink" Target="https://sba-cards-2024.s3.us-east-1.amazonaws.com/2024-cards/jose-quintana.png" TargetMode="External"/><Relationship Id="rId370" Type="http://schemas.openxmlformats.org/officeDocument/2006/relationships/hyperlink" Target="https://sba-cards-2024.s3.us-east-1.amazonaws.com/2024-cards/garrett-mitchell.png" TargetMode="External"/><Relationship Id="rId129" Type="http://schemas.openxmlformats.org/officeDocument/2006/relationships/hyperlink" Target="https://sba-cards-2024.s3.us-east-1.amazonaws.com/2024-cards/brenton-doyle.png" TargetMode="External"/><Relationship Id="rId128" Type="http://schemas.openxmlformats.org/officeDocument/2006/relationships/hyperlink" Target="https://sba-cards-2024.s3.us-east-1.amazonaws.com/2024-cards/brent-suter.png" TargetMode="External"/><Relationship Id="rId127" Type="http://schemas.openxmlformats.org/officeDocument/2006/relationships/hyperlink" Target="https://sba-cards-2024.s3.us-east-1.amazonaws.com/2024-cards/brent-rooker.png" TargetMode="External"/><Relationship Id="rId369" Type="http://schemas.openxmlformats.org/officeDocument/2006/relationships/hyperlink" Target="https://sba-cards-2024.s3.us-east-1.amazonaws.com/2024-cards/garrett-hampson.png" TargetMode="External"/><Relationship Id="rId126" Type="http://schemas.openxmlformats.org/officeDocument/2006/relationships/hyperlink" Target="https://sba-cards-2024.s3.us-east-1.amazonaws.com/2024-cards/brent-honeywell.png" TargetMode="External"/><Relationship Id="rId368" Type="http://schemas.openxmlformats.org/officeDocument/2006/relationships/hyperlink" Target="https://sba-cards-2024.s3.us-east-1.amazonaws.com/2024-cards/garrett-crochet.png" TargetMode="External"/><Relationship Id="rId121" Type="http://schemas.openxmlformats.org/officeDocument/2006/relationships/hyperlink" Target="https://sba-cards-2024.s3.us-east-1.amazonaws.com/2024-cards/brenan-hanifee.png" TargetMode="External"/><Relationship Id="rId363" Type="http://schemas.openxmlformats.org/officeDocument/2006/relationships/hyperlink" Target="https://sba-cards-2024.s3.us-east-1.amazonaws.com/2024-cards/gabe-speier.png" TargetMode="External"/><Relationship Id="rId120" Type="http://schemas.openxmlformats.org/officeDocument/2006/relationships/hyperlink" Target="https://sba-cards-2024.s3.us-east-1.amazonaws.com/2024-cards/brayan-rocchio.png" TargetMode="External"/><Relationship Id="rId362" Type="http://schemas.openxmlformats.org/officeDocument/2006/relationships/hyperlink" Target="https://i.postimg.cc/k4W881dD/temp-Image-RPCupz.avif" TargetMode="External"/><Relationship Id="rId361" Type="http://schemas.openxmlformats.org/officeDocument/2006/relationships/hyperlink" Target="https://sba-cards-2024.s3.us-east-1.amazonaws.com/2024-cards/freddy-peralta.png" TargetMode="External"/><Relationship Id="rId360" Type="http://schemas.openxmlformats.org/officeDocument/2006/relationships/hyperlink" Target="https://sba-cards-2024.s3.us-east-1.amazonaws.com/2024-cards/freddy-fermin.png" TargetMode="External"/><Relationship Id="rId125" Type="http://schemas.openxmlformats.org/officeDocument/2006/relationships/hyperlink" Target="https://sba-cards-2024.s3.us-east-1.amazonaws.com/2024-cards/brennan-bernardino.png" TargetMode="External"/><Relationship Id="rId367" Type="http://schemas.openxmlformats.org/officeDocument/2006/relationships/hyperlink" Target="https://sba-cards-2024.s3.us-east-1.amazonaws.com/2024-cards/garrett-cooper.png" TargetMode="External"/><Relationship Id="rId124" Type="http://schemas.openxmlformats.org/officeDocument/2006/relationships/hyperlink" Target="https://sba-cards-2024.s3.us-east-1.amazonaws.com/2024-cards/brendon-little.png" TargetMode="External"/><Relationship Id="rId366" Type="http://schemas.openxmlformats.org/officeDocument/2006/relationships/hyperlink" Target="https://sba-cards-2024.s3.us-east-1.amazonaws.com/2024-cards/garrett-cleavinger.png" TargetMode="External"/><Relationship Id="rId123" Type="http://schemas.openxmlformats.org/officeDocument/2006/relationships/hyperlink" Target="https://sba-cards-2024.s3.us-east-1.amazonaws.com/2024-cards/brendan-rodgers.png" TargetMode="External"/><Relationship Id="rId365" Type="http://schemas.openxmlformats.org/officeDocument/2006/relationships/hyperlink" Target="https://sba-cards-2024.s3.us-east-1.amazonaws.com/2024-cards/gabriel-moreno.png" TargetMode="External"/><Relationship Id="rId122" Type="http://schemas.openxmlformats.org/officeDocument/2006/relationships/hyperlink" Target="https://sba-cards-2024.s3.us-east-1.amazonaws.com/2024-cards/brendan-donovan.png" TargetMode="External"/><Relationship Id="rId364" Type="http://schemas.openxmlformats.org/officeDocument/2006/relationships/hyperlink" Target="https://sba-cards-2024.s3.us-east-1.amazonaws.com/2024-cards/gabriel-arias.png" TargetMode="External"/><Relationship Id="rId95" Type="http://schemas.openxmlformats.org/officeDocument/2006/relationships/hyperlink" Target="https://sba-cards-2024.s3.us-east-1.amazonaws.com/2024-cards/blake-snell.png" TargetMode="External"/><Relationship Id="rId94" Type="http://schemas.openxmlformats.org/officeDocument/2006/relationships/hyperlink" Target="https://sba-cards-2024.s3.us-east-1.amazonaws.com/2024-cards/blake-perkins.png" TargetMode="External"/><Relationship Id="rId97" Type="http://schemas.openxmlformats.org/officeDocument/2006/relationships/hyperlink" Target="https://sba-cards-2024.s3.us-east-1.amazonaws.com/2024-cards/blaze-alexander.png" TargetMode="External"/><Relationship Id="rId96" Type="http://schemas.openxmlformats.org/officeDocument/2006/relationships/hyperlink" Target="https://sba-cards-2024.s3.us-east-1.amazonaws.com/2024-cards/blake-treinen.png" TargetMode="External"/><Relationship Id="rId99" Type="http://schemas.openxmlformats.org/officeDocument/2006/relationships/hyperlink" Target="https://sba-cards-2024.s3.us-east-1.amazonaws.com/2024-cards/bligh-madris.png" TargetMode="External"/><Relationship Id="rId98" Type="http://schemas.openxmlformats.org/officeDocument/2006/relationships/hyperlink" Target="https://external-content.duckduckgo.com/iu/?u=https%3A%2F%2Fwallpapers.com%2Fimages%2Fhd%2Fminecraft-blaze-1920-x-1200-wallpaper-gxsn7zheavc1logj.jpg&amp;f=1&amp;nofb=1&amp;ipt=9230d3f265bc12ce1e347ac7d519639f898d43fa31f474086e1d0401627b4d96" TargetMode="External"/><Relationship Id="rId91" Type="http://schemas.openxmlformats.org/officeDocument/2006/relationships/hyperlink" Target="https://sba-cards-2024.s3.us-east-1.amazonaws.com/2024-cards/ben-lively.png" TargetMode="External"/><Relationship Id="rId90" Type="http://schemas.openxmlformats.org/officeDocument/2006/relationships/hyperlink" Target="https://sba-cards-2024.s3.us-east-1.amazonaws.com/2024-cards/ben-joyce.png" TargetMode="External"/><Relationship Id="rId93" Type="http://schemas.openxmlformats.org/officeDocument/2006/relationships/hyperlink" Target="https://sba-cards-2024.s3.us-east-1.amazonaws.com/2024-cards/ben-rortvedt.png" TargetMode="External"/><Relationship Id="rId92" Type="http://schemas.openxmlformats.org/officeDocument/2006/relationships/hyperlink" Target="https://sba-cards-2024.s3.us-east-1.amazonaws.com/2024-cards/ben-rice.png" TargetMode="External"/><Relationship Id="rId118" Type="http://schemas.openxmlformats.org/officeDocument/2006/relationships/hyperlink" Target="https://sba-cards-2024.s3.us-east-1.amazonaws.com/2024-cards/braxton-garrett.png" TargetMode="External"/><Relationship Id="rId117" Type="http://schemas.openxmlformats.org/officeDocument/2006/relationships/hyperlink" Target="https://sba-cards-2024.s3.us-east-1.amazonaws.com/2024-cards/brant-hurter.png" TargetMode="External"/><Relationship Id="rId359" Type="http://schemas.openxmlformats.org/officeDocument/2006/relationships/hyperlink" Target="https://sba-cards-2024.s3.us-east-1.amazonaws.com/2024-cards/freddie-freeman.png" TargetMode="External"/><Relationship Id="rId116" Type="http://schemas.openxmlformats.org/officeDocument/2006/relationships/hyperlink" Target="https://sba-cards-2024.s3.us-east-1.amazonaws.com/2024-cards/brandon-pfaadt.png" TargetMode="External"/><Relationship Id="rId358" Type="http://schemas.openxmlformats.org/officeDocument/2006/relationships/hyperlink" Target="https://sba-cards-2024.s3.us-east-1.amazonaws.com/2024-cards/fraser-ellard.png" TargetMode="External"/><Relationship Id="rId115" Type="http://schemas.openxmlformats.org/officeDocument/2006/relationships/hyperlink" Target="https://sba-cards-2024.s3.us-east-1.amazonaws.com/2024-cards/brandon-nimmo.png" TargetMode="External"/><Relationship Id="rId357" Type="http://schemas.openxmlformats.org/officeDocument/2006/relationships/hyperlink" Target="https://sba-cards-2024.s3.us-east-1.amazonaws.com/2024-cards/frankie-montas.png" TargetMode="External"/><Relationship Id="rId599" Type="http://schemas.openxmlformats.org/officeDocument/2006/relationships/hyperlink" Target="https://sba-cards-2024.s3.us-east-1.amazonaws.com/2024-cards/jt-ginn.png" TargetMode="External"/><Relationship Id="rId119" Type="http://schemas.openxmlformats.org/officeDocument/2006/relationships/hyperlink" Target="https://sba-cards-2024.s3.us-east-1.amazonaws.com/2024-cards/brayan-bello.png" TargetMode="External"/><Relationship Id="rId110" Type="http://schemas.openxmlformats.org/officeDocument/2006/relationships/hyperlink" Target="https://sba-cards-2024.s3.us-east-1.amazonaws.com/2024-cards/brandon-bielak.png" TargetMode="External"/><Relationship Id="rId352" Type="http://schemas.openxmlformats.org/officeDocument/2006/relationships/hyperlink" Target="https://sba-cards-2024.s3.us-east-1.amazonaws.com/2024-cards/fernando-tatis-jr.png" TargetMode="External"/><Relationship Id="rId594" Type="http://schemas.openxmlformats.org/officeDocument/2006/relationships/hyperlink" Target="https://sba-cards-2024.s3.us-east-1.amazonaws.com/2024-cards/josh-staumont.png" TargetMode="External"/><Relationship Id="rId351" Type="http://schemas.openxmlformats.org/officeDocument/2006/relationships/hyperlink" Target="https://sba-cards-2024.s3.us-east-1.amazonaws.com/2024-cards/fernando-cruz.png" TargetMode="External"/><Relationship Id="rId593" Type="http://schemas.openxmlformats.org/officeDocument/2006/relationships/hyperlink" Target="https://sba-cards-2024.s3.us-east-1.amazonaws.com/2024-cards/josh-smith.png" TargetMode="External"/><Relationship Id="rId350" Type="http://schemas.openxmlformats.org/officeDocument/2006/relationships/hyperlink" Target="https://sba-cards-2024.s3.us-east-1.amazonaws.com/2024-cards/ezequiel-tovar.png" TargetMode="External"/><Relationship Id="rId592" Type="http://schemas.openxmlformats.org/officeDocument/2006/relationships/hyperlink" Target="https://sba-cards-2024.s3.us-east-1.amazonaws.com/2024-cards/josh-rojas.png" TargetMode="External"/><Relationship Id="rId591" Type="http://schemas.openxmlformats.org/officeDocument/2006/relationships/hyperlink" Target="https://sba-cards-2024.s3.us-east-1.amazonaws.com/2024-cards/josh-palacios.png" TargetMode="External"/><Relationship Id="rId114" Type="http://schemas.openxmlformats.org/officeDocument/2006/relationships/hyperlink" Target="https://sba-cards-2024.s3.us-east-1.amazonaws.com/2024-cards/brandon-marsh.png" TargetMode="External"/><Relationship Id="rId356" Type="http://schemas.openxmlformats.org/officeDocument/2006/relationships/hyperlink" Target="https://cloudfront-us-east-1.images.arcpublishing.com/advancelocal/LRP2XUDWXJHEPKJRZCU6JOZB6I.jpg" TargetMode="External"/><Relationship Id="rId598" Type="http://schemas.openxmlformats.org/officeDocument/2006/relationships/hyperlink" Target="https://sba-cards-2024.s3.us-east-1.amazonaws.com/2024-cards/jt-chargois.png" TargetMode="External"/><Relationship Id="rId113" Type="http://schemas.openxmlformats.org/officeDocument/2006/relationships/hyperlink" Target="https://sba-cards-2024.s3.us-east-1.amazonaws.com/2024-cards/brandon-lowe.png" TargetMode="External"/><Relationship Id="rId355" Type="http://schemas.openxmlformats.org/officeDocument/2006/relationships/hyperlink" Target="https://sba-cards-2024.s3.us-east-1.amazonaws.com/2024-cards/francisco-lindor.png" TargetMode="External"/><Relationship Id="rId597" Type="http://schemas.openxmlformats.org/officeDocument/2006/relationships/hyperlink" Target="https://sba-cards-2024.s3.us-east-1.amazonaws.com/2024-cards/jp-sears.png" TargetMode="External"/><Relationship Id="rId112" Type="http://schemas.openxmlformats.org/officeDocument/2006/relationships/hyperlink" Target="https://sba-cards-2024.s3.us-east-1.amazonaws.com/2024-cards/brandon-drury.png" TargetMode="External"/><Relationship Id="rId354" Type="http://schemas.openxmlformats.org/officeDocument/2006/relationships/hyperlink" Target="https://sba-cards-2024.s3.us-east-1.amazonaws.com/2024-cards/francisco-alvarez.png" TargetMode="External"/><Relationship Id="rId596" Type="http://schemas.openxmlformats.org/officeDocument/2006/relationships/hyperlink" Target="https://sba-cards-2024.s3.us-east-1.amazonaws.com/2024-cards/jp-crawford.png" TargetMode="External"/><Relationship Id="rId111" Type="http://schemas.openxmlformats.org/officeDocument/2006/relationships/hyperlink" Target="https://sba-cards-2024.s3.us-east-1.amazonaws.com/2024-cards/brandon-crawford.png" TargetMode="External"/><Relationship Id="rId353" Type="http://schemas.openxmlformats.org/officeDocument/2006/relationships/hyperlink" Target="https://sba-cards-2024.s3.us-east-1.amazonaws.com/2024-cards/framber-valdez.png" TargetMode="External"/><Relationship Id="rId595" Type="http://schemas.openxmlformats.org/officeDocument/2006/relationships/hyperlink" Target="https://sba-cards-2024.s3.us-east-1.amazonaws.com/2024-cards/josh-winckowski.png" TargetMode="External"/><Relationship Id="rId305" Type="http://schemas.openxmlformats.org/officeDocument/2006/relationships/hyperlink" Target="https://sba-cards-2024.s3.us-east-1.amazonaws.com/2024-cards/dylan-floro.png" TargetMode="External"/><Relationship Id="rId547" Type="http://schemas.openxmlformats.org/officeDocument/2006/relationships/hyperlink" Target="https://sba-cards-2024.s3.us-east-1.amazonaws.com/2024-cards/jordan-beck.png" TargetMode="External"/><Relationship Id="rId789" Type="http://schemas.openxmlformats.org/officeDocument/2006/relationships/hyperlink" Target="https://sba-cards-2024.s3.us-east-1.amazonaws.com/2024-cards/mitch-haniger.png" TargetMode="External"/><Relationship Id="rId304" Type="http://schemas.openxmlformats.org/officeDocument/2006/relationships/hyperlink" Target="https://sba-cards-2024.s3.us-east-1.amazonaws.com/2024-cards/dylan-crews.png" TargetMode="External"/><Relationship Id="rId546" Type="http://schemas.openxmlformats.org/officeDocument/2006/relationships/hyperlink" Target="https://sba-cards-2024.s3.us-east-1.amazonaws.com/2024-cards/jonny-deluca.png" TargetMode="External"/><Relationship Id="rId788" Type="http://schemas.openxmlformats.org/officeDocument/2006/relationships/hyperlink" Target="https://i.postimg.cc/LXxQd8nz/temp-Image-HIzz-QG.avif" TargetMode="External"/><Relationship Id="rId303" Type="http://schemas.openxmlformats.org/officeDocument/2006/relationships/hyperlink" Target="https://i.postimg.cc/C5mgQ0Vt/temp-Image6-Mt-PSh.avif" TargetMode="External"/><Relationship Id="rId545" Type="http://schemas.openxmlformats.org/officeDocument/2006/relationships/hyperlink" Target="https://sba-cards-2024.s3.us-east-1.amazonaws.com/2024-cards/jonathan-india.png" TargetMode="External"/><Relationship Id="rId787" Type="http://schemas.openxmlformats.org/officeDocument/2006/relationships/hyperlink" Target="https://sba-cards-2024.s3.us-east-1.amazonaws.com/2024-cards/mitch-garver.png" TargetMode="External"/><Relationship Id="rId302" Type="http://schemas.openxmlformats.org/officeDocument/2006/relationships/hyperlink" Target="https://sba-cards-2024.s3.us-east-1.amazonaws.com/2024-cards/dylan-cease.png" TargetMode="External"/><Relationship Id="rId544" Type="http://schemas.openxmlformats.org/officeDocument/2006/relationships/hyperlink" Target="https://sba-cards-2024.s3.us-east-1.amazonaws.com/2024-cards/jonathan-hernandez.png" TargetMode="External"/><Relationship Id="rId786" Type="http://schemas.openxmlformats.org/officeDocument/2006/relationships/hyperlink" Target="https://sba-cards-2024.s3.us-east-1.amazonaws.com/2024-cards/miles-mikolas.png" TargetMode="External"/><Relationship Id="rId309" Type="http://schemas.openxmlformats.org/officeDocument/2006/relationships/hyperlink" Target="https://sba-cards-2024.s3.us-east-1.amazonaws.com/2024-cards/eddie-rosario.png" TargetMode="External"/><Relationship Id="rId308" Type="http://schemas.openxmlformats.org/officeDocument/2006/relationships/hyperlink" Target="https://sba-cards-2024.s3.us-east-1.amazonaws.com/2024-cards/dylan-moore.png" TargetMode="External"/><Relationship Id="rId307" Type="http://schemas.openxmlformats.org/officeDocument/2006/relationships/hyperlink" Target="https://sba-cards-2024.s3.us-east-1.amazonaws.com/2024-cards/dylan-lee.png" TargetMode="External"/><Relationship Id="rId549" Type="http://schemas.openxmlformats.org/officeDocument/2006/relationships/hyperlink" Target="https://sba-cards-2024.s3.us-east-1.amazonaws.com/2024-cards/jordan-leasure.png" TargetMode="External"/><Relationship Id="rId306" Type="http://schemas.openxmlformats.org/officeDocument/2006/relationships/hyperlink" Target="https://i.postimg.cc/3xGqyhcT/temp-Imagecf-M3jw.avif" TargetMode="External"/><Relationship Id="rId548" Type="http://schemas.openxmlformats.org/officeDocument/2006/relationships/hyperlink" Target="https://sba-cards-2024.s3.us-east-1.amazonaws.com/2024-cards/jordan-hicks.png" TargetMode="External"/><Relationship Id="rId781" Type="http://schemas.openxmlformats.org/officeDocument/2006/relationships/hyperlink" Target="https://sba-cards-2024.s3.us-east-1.amazonaws.com/2024-cards/mike-ford.png" TargetMode="External"/><Relationship Id="rId780" Type="http://schemas.openxmlformats.org/officeDocument/2006/relationships/hyperlink" Target="https://sba-cards-2024.s3.us-east-1.amazonaws.com/2024-cards/mike-baumann.png" TargetMode="External"/><Relationship Id="rId301" Type="http://schemas.openxmlformats.org/officeDocument/2006/relationships/hyperlink" Target="https://sba-cards-2024.s3.us-east-1.amazonaws.com/2024-cards/dylan-carlson.png" TargetMode="External"/><Relationship Id="rId543" Type="http://schemas.openxmlformats.org/officeDocument/2006/relationships/hyperlink" Target="https://sba-cards-2024.s3.us-east-1.amazonaws.com/2024-cards/jonathan-cannon.png" TargetMode="External"/><Relationship Id="rId785" Type="http://schemas.openxmlformats.org/officeDocument/2006/relationships/hyperlink" Target="https://sba-cards-2024.s3.us-east-1.amazonaws.com/2024-cards/miles-mastrobuoni.png" TargetMode="External"/><Relationship Id="rId300" Type="http://schemas.openxmlformats.org/officeDocument/2006/relationships/hyperlink" Target="https://sba-cards-2024.s3.us-east-1.amazonaws.com/2024-cards/drew-thorpe.png" TargetMode="External"/><Relationship Id="rId542" Type="http://schemas.openxmlformats.org/officeDocument/2006/relationships/hyperlink" Target="https://sba-cards-2024.s3.us-east-1.amazonaws.com/2024-cards/jonathan-aranda.png" TargetMode="External"/><Relationship Id="rId784" Type="http://schemas.openxmlformats.org/officeDocument/2006/relationships/hyperlink" Target="https://sba-cards-2024.s3.us-east-1.amazonaws.com/2024-cards/mike-yastrzemski.png" TargetMode="External"/><Relationship Id="rId541" Type="http://schemas.openxmlformats.org/officeDocument/2006/relationships/hyperlink" Target="https://sba-cards-2024.s3.us-east-1.amazonaws.com/2024-cards/jonatan-clase.png" TargetMode="External"/><Relationship Id="rId783" Type="http://schemas.openxmlformats.org/officeDocument/2006/relationships/hyperlink" Target="https://sba-cards-2024.s3.us-east-1.amazonaws.com/2024-cards/mike-trout.png" TargetMode="External"/><Relationship Id="rId540" Type="http://schemas.openxmlformats.org/officeDocument/2006/relationships/hyperlink" Target="https://sba-cards-2024.s3.us-east-1.amazonaws.com/2024-cards/jonah-heim.png" TargetMode="External"/><Relationship Id="rId782" Type="http://schemas.openxmlformats.org/officeDocument/2006/relationships/hyperlink" Target="https://sba-cards-2024.s3.us-east-1.amazonaws.com/2024-cards/mike-tauchman.png" TargetMode="External"/><Relationship Id="rId536" Type="http://schemas.openxmlformats.org/officeDocument/2006/relationships/hyperlink" Target="https://sba-cards-2024.s3.us-east-1.amazonaws.com/2024-cards/jon-berti.png" TargetMode="External"/><Relationship Id="rId778" Type="http://schemas.openxmlformats.org/officeDocument/2006/relationships/hyperlink" Target="https://sba-cards-2024.s3.us-east-1.amazonaws.com/2024-cards/miguel-sano.png" TargetMode="External"/><Relationship Id="rId535" Type="http://schemas.openxmlformats.org/officeDocument/2006/relationships/hyperlink" Target="https://sba-cards-2024.s3.us-east-1.amazonaws.com/2024-cards/jojo-romero.png" TargetMode="External"/><Relationship Id="rId777" Type="http://schemas.openxmlformats.org/officeDocument/2006/relationships/hyperlink" Target="https://sba-cards-2024.s3.us-east-1.amazonaws.com/2024-cards/miguel-rojas.png" TargetMode="External"/><Relationship Id="rId534" Type="http://schemas.openxmlformats.org/officeDocument/2006/relationships/hyperlink" Target="https://i.postimg.cc/C18C7Mbh/temp-Image-Rll-QMI.avif" TargetMode="External"/><Relationship Id="rId776" Type="http://schemas.openxmlformats.org/officeDocument/2006/relationships/hyperlink" Target="https://sba-cards-2024.s3.us-east-1.amazonaws.com/2024-cards/miguel-andujar.png" TargetMode="External"/><Relationship Id="rId533" Type="http://schemas.openxmlformats.org/officeDocument/2006/relationships/hyperlink" Target="https://sba-cards-2024.s3.us-east-1.amazonaws.com/2024-cards/john-schreiber.png" TargetMode="External"/><Relationship Id="rId775" Type="http://schemas.openxmlformats.org/officeDocument/2006/relationships/hyperlink" Target="https://sba-cards-2024.s3.us-east-1.amazonaws.com/2024-cards/miguel-amaya.png" TargetMode="External"/><Relationship Id="rId539" Type="http://schemas.openxmlformats.org/officeDocument/2006/relationships/hyperlink" Target="https://sba-cards-2024.s3.us-east-1.amazonaws.com/2024-cards/jonah-bride.png" TargetMode="External"/><Relationship Id="rId538" Type="http://schemas.openxmlformats.org/officeDocument/2006/relationships/hyperlink" Target="https://sba-cards-2024.s3.us-east-1.amazonaws.com/2024-cards/jon-singleton.png" TargetMode="External"/><Relationship Id="rId537" Type="http://schemas.openxmlformats.org/officeDocument/2006/relationships/hyperlink" Target="https://sba-cards-2024.s3.us-east-1.amazonaws.com/2024-cards/jon-gray.png" TargetMode="External"/><Relationship Id="rId779" Type="http://schemas.openxmlformats.org/officeDocument/2006/relationships/hyperlink" Target="https://sba-cards-2024.s3.us-east-1.amazonaws.com/2024-cards/miguel-vargas.png" TargetMode="External"/><Relationship Id="rId770" Type="http://schemas.openxmlformats.org/officeDocument/2006/relationships/hyperlink" Target="https://sba-cards-2024.s3.us-east-1.amazonaws.com/2024-cards/michael-toglia.png" TargetMode="External"/><Relationship Id="rId532" Type="http://schemas.openxmlformats.org/officeDocument/2006/relationships/hyperlink" Target="https://sba-cards-2024.s3.us-east-1.amazonaws.com/2024-cards/john-king.png" TargetMode="External"/><Relationship Id="rId774" Type="http://schemas.openxmlformats.org/officeDocument/2006/relationships/hyperlink" Target="https://sba-cards-2024.s3.us-east-1.amazonaws.com/2024-cards/mickey-moniak.png" TargetMode="External"/><Relationship Id="rId531" Type="http://schemas.openxmlformats.org/officeDocument/2006/relationships/hyperlink" Target="https://sba-cards-2024.s3.us-east-1.amazonaws.com/2024-cards/john-brebbia.png" TargetMode="External"/><Relationship Id="rId773" Type="http://schemas.openxmlformats.org/officeDocument/2006/relationships/hyperlink" Target="https://sba-cards-2024.s3.us-east-1.amazonaws.com/2024-cards/michel-otanez.png" TargetMode="External"/><Relationship Id="rId530" Type="http://schemas.openxmlformats.org/officeDocument/2006/relationships/hyperlink" Target="https://sba-cards-2024.s3.us-east-1.amazonaws.com/2024-cards/johan-rojas.png" TargetMode="External"/><Relationship Id="rId772" Type="http://schemas.openxmlformats.org/officeDocument/2006/relationships/hyperlink" Target="https://sba-cards-2024.s3.us-east-1.amazonaws.com/2024-cards/michael-wacha.png" TargetMode="External"/><Relationship Id="rId771" Type="http://schemas.openxmlformats.org/officeDocument/2006/relationships/hyperlink" Target="https://sba-cards-2024.s3.us-east-1.amazonaws.com/2024-cards/michael-tonkin.png" TargetMode="External"/><Relationship Id="rId327" Type="http://schemas.openxmlformats.org/officeDocument/2006/relationships/hyperlink" Target="https://sba-cards-2024.s3.us-east-1.amazonaws.com/2024-cards/emmanuel-clase.png" TargetMode="External"/><Relationship Id="rId569" Type="http://schemas.openxmlformats.org/officeDocument/2006/relationships/hyperlink" Target="https://sba-cards-2024.s3.us-east-1.amazonaws.com/2024-cards/jose-herrera.png" TargetMode="External"/><Relationship Id="rId326" Type="http://schemas.openxmlformats.org/officeDocument/2006/relationships/hyperlink" Target="https://sba-cards-2024.s3.us-east-1.amazonaws.com/2024-cards/emilio-pagan.png" TargetMode="External"/><Relationship Id="rId568" Type="http://schemas.openxmlformats.org/officeDocument/2006/relationships/hyperlink" Target="https://sba-cards-2024.s3.us-east-1.amazonaws.com/2024-cards/jose-fermin.png" TargetMode="External"/><Relationship Id="rId325" Type="http://schemas.openxmlformats.org/officeDocument/2006/relationships/hyperlink" Target="https://sba-cards-2024.s3.us-east-1.amazonaws.com/2024-cards/emerson-hancock.png" TargetMode="External"/><Relationship Id="rId567" Type="http://schemas.openxmlformats.org/officeDocument/2006/relationships/hyperlink" Target="https://sba-cards-2024.s3.us-east-1.amazonaws.com/2024-cards/jose-caballero.png" TargetMode="External"/><Relationship Id="rId324" Type="http://schemas.openxmlformats.org/officeDocument/2006/relationships/hyperlink" Target="https://sba-cards-2024.s3.us-east-1.amazonaws.com/2024-cards/elvis-peguero.png" TargetMode="External"/><Relationship Id="rId566" Type="http://schemas.openxmlformats.org/officeDocument/2006/relationships/hyperlink" Target="https://sba-cards-2024.s3.us-east-1.amazonaws.com/2024-cards/jose-butto.png" TargetMode="External"/><Relationship Id="rId329" Type="http://schemas.openxmlformats.org/officeDocument/2006/relationships/hyperlink" Target="https://sba-cards-2024.s3.us-east-1.amazonaws.com/2024-cards/emmanuel-ramirez.png" TargetMode="External"/><Relationship Id="rId328" Type="http://schemas.openxmlformats.org/officeDocument/2006/relationships/hyperlink" Target="https://i.postimg.cc/28tpb2j4/temp-Imageel-WJSo.avif" TargetMode="External"/><Relationship Id="rId561" Type="http://schemas.openxmlformats.org/officeDocument/2006/relationships/hyperlink" Target="https://sba-cards-2024.s3.us-east-1.amazonaws.com/2024-cards/jose-abreu.png" TargetMode="External"/><Relationship Id="rId560" Type="http://schemas.openxmlformats.org/officeDocument/2006/relationships/hyperlink" Target="https://sba-cards-2024.s3.us-east-1.amazonaws.com/2024-cards/jose-ferrer.png" TargetMode="External"/><Relationship Id="rId323" Type="http://schemas.openxmlformats.org/officeDocument/2006/relationships/hyperlink" Target="https://sba-cards-2024.s3.us-east-1.amazonaws.com/2024-cards/eloy-jimenez.png" TargetMode="External"/><Relationship Id="rId565" Type="http://schemas.openxmlformats.org/officeDocument/2006/relationships/hyperlink" Target="https://sba-cards-2024.s3.us-east-1.amazonaws.com/2024-cards/jose-berrios.png" TargetMode="External"/><Relationship Id="rId322" Type="http://schemas.openxmlformats.org/officeDocument/2006/relationships/hyperlink" Target="https://sba-cards-2024.s3.us-east-1.amazonaws.com/2024-cards/elly-de-la-cruz.png" TargetMode="External"/><Relationship Id="rId564" Type="http://schemas.openxmlformats.org/officeDocument/2006/relationships/hyperlink" Target="https://sba-cards-2024.s3.us-east-1.amazonaws.com/2024-cards/jose-azocar.png" TargetMode="External"/><Relationship Id="rId321" Type="http://schemas.openxmlformats.org/officeDocument/2006/relationships/hyperlink" Target="https://sba-cards-2024.s3.us-east-1.amazonaws.com/2024-cards/elias-diaz.png" TargetMode="External"/><Relationship Id="rId563" Type="http://schemas.openxmlformats.org/officeDocument/2006/relationships/hyperlink" Target="https://sba-cards-2024.s3.us-east-1.amazonaws.com/2024-cards/jose-alvarado.png" TargetMode="External"/><Relationship Id="rId320" Type="http://schemas.openxmlformats.org/officeDocument/2006/relationships/hyperlink" Target="https://sba-cards-2024.s3.us-east-1.amazonaws.com/2024-cards/eli-morgan.png" TargetMode="External"/><Relationship Id="rId562" Type="http://schemas.openxmlformats.org/officeDocument/2006/relationships/hyperlink" Target="https://sba-cards-2024.s3.us-east-1.amazonaws.com/2024-cards/jose-altuve.png" TargetMode="External"/><Relationship Id="rId316" Type="http://schemas.openxmlformats.org/officeDocument/2006/relationships/hyperlink" Target="https://sba-cards-2024.s3.us-east-1.amazonaws.com/2024-cards/edward-olivares.png" TargetMode="External"/><Relationship Id="rId558" Type="http://schemas.openxmlformats.org/officeDocument/2006/relationships/hyperlink" Target="https://sba-cards-2024.s3.us-east-1.amazonaws.com/2024-cards/jorge-polanco.png" TargetMode="External"/><Relationship Id="rId315" Type="http://schemas.openxmlformats.org/officeDocument/2006/relationships/hyperlink" Target="https://sba-cards-2024.s3.us-east-1.amazonaws.com/2024-cards/edward-cabrera.png" TargetMode="External"/><Relationship Id="rId557" Type="http://schemas.openxmlformats.org/officeDocument/2006/relationships/hyperlink" Target="https://sba-cards-2024.s3.us-east-1.amazonaws.com/2024-cards/jorge-mateo.png" TargetMode="External"/><Relationship Id="rId799" Type="http://schemas.openxmlformats.org/officeDocument/2006/relationships/hyperlink" Target="https://sba-cards-2024.s3.us-east-1.amazonaws.com/2024-cards/nathan-eovaldi.png" TargetMode="External"/><Relationship Id="rId314" Type="http://schemas.openxmlformats.org/officeDocument/2006/relationships/hyperlink" Target="https://sba-cards-2024.s3.us-east-1.amazonaws.com/2024-cards/eduardo-salazar.png" TargetMode="External"/><Relationship Id="rId556" Type="http://schemas.openxmlformats.org/officeDocument/2006/relationships/hyperlink" Target="https://sba-cards-2024.s3.us-east-1.amazonaws.com/2024-cards/jorge-lopez.png" TargetMode="External"/><Relationship Id="rId798" Type="http://schemas.openxmlformats.org/officeDocument/2006/relationships/hyperlink" Target="https://sba-cards-2024.s3.us-east-1.amazonaws.com/2024-cards/nate-pearson.png" TargetMode="External"/><Relationship Id="rId313" Type="http://schemas.openxmlformats.org/officeDocument/2006/relationships/hyperlink" Target="https://sba-cards-2024.s3.us-east-1.amazonaws.com/2024-cards/eduardo-rodriguez.png" TargetMode="External"/><Relationship Id="rId555" Type="http://schemas.openxmlformats.org/officeDocument/2006/relationships/hyperlink" Target="https://sba-cards-2024.s3.us-east-1.amazonaws.com/2024-cards/jorge-alcala.png" TargetMode="External"/><Relationship Id="rId797" Type="http://schemas.openxmlformats.org/officeDocument/2006/relationships/hyperlink" Target="https://sba-cards-2024.s3.us-east-1.amazonaws.com/2024-cards/nasim-nunez.png" TargetMode="External"/><Relationship Id="rId319" Type="http://schemas.openxmlformats.org/officeDocument/2006/relationships/hyperlink" Target="https://sba-cards-2024.s3.us-east-1.amazonaws.com/2024-cards/elehuris-montero.png" TargetMode="External"/><Relationship Id="rId318" Type="http://schemas.openxmlformats.org/officeDocument/2006/relationships/hyperlink" Target="https://sba-cards-2024.s3.us-east-1.amazonaws.com/2024-cards/edwin-uceta.png" TargetMode="External"/><Relationship Id="rId317" Type="http://schemas.openxmlformats.org/officeDocument/2006/relationships/hyperlink" Target="https://sba-cards-2024.s3.us-east-1.amazonaws.com/2024-cards/edwin-diaz.png" TargetMode="External"/><Relationship Id="rId559" Type="http://schemas.openxmlformats.org/officeDocument/2006/relationships/hyperlink" Target="https://sba-cards-2024.s3.us-east-1.amazonaws.com/2024-cards/jorge-soler.png" TargetMode="External"/><Relationship Id="rId550" Type="http://schemas.openxmlformats.org/officeDocument/2006/relationships/hyperlink" Target="https://sba-cards-2024.s3.us-east-1.amazonaws.com/2024-cards/jordan-montgomery.png" TargetMode="External"/><Relationship Id="rId792" Type="http://schemas.openxmlformats.org/officeDocument/2006/relationships/hyperlink" Target="https://sba-cards-2024.s3.us-east-1.amazonaws.com/2024-cards/mitch-white.png" TargetMode="External"/><Relationship Id="rId791" Type="http://schemas.openxmlformats.org/officeDocument/2006/relationships/hyperlink" Target="https://sba-cards-2024.s3.us-east-1.amazonaws.com/2024-cards/mitch-spence.png" TargetMode="External"/><Relationship Id="rId790" Type="http://schemas.openxmlformats.org/officeDocument/2006/relationships/hyperlink" Target="https://sba-cards-2024.s3.us-east-1.amazonaws.com/2024-cards/mitch-keller.png" TargetMode="External"/><Relationship Id="rId312" Type="http://schemas.openxmlformats.org/officeDocument/2006/relationships/hyperlink" Target="https://sba-cards-2024.s3.us-east-1.amazonaws.com/2024-cards/eduard-bazardo.png" TargetMode="External"/><Relationship Id="rId554" Type="http://schemas.openxmlformats.org/officeDocument/2006/relationships/hyperlink" Target="https://sba-cards-2024.s3.us-east-1.amazonaws.com/2024-cards/jordan-wicks.png" TargetMode="External"/><Relationship Id="rId796" Type="http://schemas.openxmlformats.org/officeDocument/2006/relationships/hyperlink" Target="https://sba-cards-2024.s3.us-east-1.amazonaws.com/2024-cards/mookie-betts.png" TargetMode="External"/><Relationship Id="rId311" Type="http://schemas.openxmlformats.org/officeDocument/2006/relationships/hyperlink" Target="https://sba-cards-2024.s3.us-east-1.amazonaws.com/2024-cards/edouard-julien.png" TargetMode="External"/><Relationship Id="rId553" Type="http://schemas.openxmlformats.org/officeDocument/2006/relationships/hyperlink" Target="https://sba-cards-2024.s3.us-east-1.amazonaws.com/2024-cards/jordan-westburg.png" TargetMode="External"/><Relationship Id="rId795" Type="http://schemas.openxmlformats.org/officeDocument/2006/relationships/hyperlink" Target="https://sba-cards-2024.s3.us-east-1.amazonaws.com/2024-cards/mj-melendez.png" TargetMode="External"/><Relationship Id="rId310" Type="http://schemas.openxmlformats.org/officeDocument/2006/relationships/hyperlink" Target="https://sba-cards-2024.s3.us-east-1.amazonaws.com/2024-cards/edmundo-sosa.png" TargetMode="External"/><Relationship Id="rId552" Type="http://schemas.openxmlformats.org/officeDocument/2006/relationships/hyperlink" Target="https://sba-cards-2024.s3.us-east-1.amazonaws.com/2024-cards/jordan-weems.png" TargetMode="External"/><Relationship Id="rId794" Type="http://schemas.openxmlformats.org/officeDocument/2006/relationships/hyperlink" Target="https://i.postimg.cc/tT8SRmNT/temp-Imagetx-Uth-P.avif" TargetMode="External"/><Relationship Id="rId551" Type="http://schemas.openxmlformats.org/officeDocument/2006/relationships/hyperlink" Target="https://sba-cards-2024.s3.us-east-1.amazonaws.com/2024-cards/jordan-walker.png" TargetMode="External"/><Relationship Id="rId793" Type="http://schemas.openxmlformats.org/officeDocument/2006/relationships/hyperlink" Target="https://sba-cards-2024.s3.us-east-1.amazonaws.com/2024-cards/mitchell-parker.png" TargetMode="External"/><Relationship Id="rId297" Type="http://schemas.openxmlformats.org/officeDocument/2006/relationships/hyperlink" Target="https://sba-cards-2024.s3.us-east-1.amazonaws.com/2024-cards/drew-millas.png" TargetMode="External"/><Relationship Id="rId296" Type="http://schemas.openxmlformats.org/officeDocument/2006/relationships/hyperlink" Target="https://upload.wikimedia.org/wikipedia/commons/8/82/Francisco_de_Goya%2C_Saturno_devorando_a_su_hijo_%281819-1823%29.jpg" TargetMode="External"/><Relationship Id="rId295" Type="http://schemas.openxmlformats.org/officeDocument/2006/relationships/hyperlink" Target="https://sba-cards-2024.s3.us-east-1.amazonaws.com/2024-cards/donovan-solano.png" TargetMode="External"/><Relationship Id="rId294" Type="http://schemas.openxmlformats.org/officeDocument/2006/relationships/hyperlink" Target="https://sba-cards-2024.s3.us-east-1.amazonaws.com/2024-cards/dominic-smith.png" TargetMode="External"/><Relationship Id="rId299" Type="http://schemas.openxmlformats.org/officeDocument/2006/relationships/hyperlink" Target="https://sba-cards-2024.s3.us-east-1.amazonaws.com/2024-cards/drew-smyly.png" TargetMode="External"/><Relationship Id="rId298" Type="http://schemas.openxmlformats.org/officeDocument/2006/relationships/hyperlink" Target="https://sba-cards-2024.s3.us-east-1.amazonaws.com/2024-cards/drew-rasmussen.png" TargetMode="External"/><Relationship Id="rId271" Type="http://schemas.openxmlformats.org/officeDocument/2006/relationships/hyperlink" Target="https://sba-cards-2024.s3.us-east-1.amazonaws.com/2024-cards/david-peterson.png" TargetMode="External"/><Relationship Id="rId270" Type="http://schemas.openxmlformats.org/officeDocument/2006/relationships/hyperlink" Target="https://sba-cards-2024.s3.us-east-1.amazonaws.com/2024-cards/david-peralta.png" TargetMode="External"/><Relationship Id="rId269" Type="http://schemas.openxmlformats.org/officeDocument/2006/relationships/hyperlink" Target="https://sba-cards-2024.s3.us-east-1.amazonaws.com/2024-cards/david-hamilton.png" TargetMode="External"/><Relationship Id="rId264" Type="http://schemas.openxmlformats.org/officeDocument/2006/relationships/hyperlink" Target="https://sba-cards-2024.s3.us-east-1.amazonaws.com/2024-cards/daulton-varsho.png" TargetMode="External"/><Relationship Id="rId263" Type="http://schemas.openxmlformats.org/officeDocument/2006/relationships/hyperlink" Target="https://sba-cards-2024.s3.us-east-1.amazonaws.com/2024-cards/darren-mccaughan.png" TargetMode="External"/><Relationship Id="rId262" Type="http://schemas.openxmlformats.org/officeDocument/2006/relationships/hyperlink" Target="https://sba-cards-2024.s3.us-east-1.amazonaws.com/2024-cards/darell-hernaiz.png" TargetMode="External"/><Relationship Id="rId261" Type="http://schemas.openxmlformats.org/officeDocument/2006/relationships/hyperlink" Target="https://sba-cards-2024.s3.us-east-1.amazonaws.com/2024-cards/dany-jimenez.png" TargetMode="External"/><Relationship Id="rId268" Type="http://schemas.openxmlformats.org/officeDocument/2006/relationships/hyperlink" Target="https://sba-cards-2024.s3.us-east-1.amazonaws.com/2024-cards/david-fry.png" TargetMode="External"/><Relationship Id="rId267" Type="http://schemas.openxmlformats.org/officeDocument/2006/relationships/hyperlink" Target="https://sba-cards-2024.s3.us-east-1.amazonaws.com/2024-cards/david-festa.png" TargetMode="External"/><Relationship Id="rId266" Type="http://schemas.openxmlformats.org/officeDocument/2006/relationships/hyperlink" Target="https://sba-cards-2024.s3.us-east-1.amazonaws.com/2024-cards/david-dahl.png" TargetMode="External"/><Relationship Id="rId265" Type="http://schemas.openxmlformats.org/officeDocument/2006/relationships/hyperlink" Target="https://sba-cards-2024.s3.us-east-1.amazonaws.com/2024-cards/david-bednar.png" TargetMode="External"/><Relationship Id="rId260" Type="http://schemas.openxmlformats.org/officeDocument/2006/relationships/hyperlink" Target="https://sba-cards-2024.s3.us-east-1.amazonaws.com/2024-cards/dansby-swanson.png" TargetMode="External"/><Relationship Id="rId259" Type="http://schemas.openxmlformats.org/officeDocument/2006/relationships/hyperlink" Target="https://sba-cards-2024.s3.us-east-1.amazonaws.com/2024-cards/danny-young.png" TargetMode="External"/><Relationship Id="rId258" Type="http://schemas.openxmlformats.org/officeDocument/2006/relationships/hyperlink" Target="https://upload.wikimedia.org/wikipedia/commons/8/82/Francisco_de_Goya%2C_Saturno_devorando_a_su_hijo_%281819-1823%29.jpg" TargetMode="External"/><Relationship Id="rId253" Type="http://schemas.openxmlformats.org/officeDocument/2006/relationships/hyperlink" Target="https://sba-cards-2024.s3.us-east-1.amazonaws.com/2024-cards/daniel-lynch.png" TargetMode="External"/><Relationship Id="rId495" Type="http://schemas.openxmlformats.org/officeDocument/2006/relationships/hyperlink" Target="https://sba-cards-2024.s3.us-east-1.amazonaws.com/2024-cards/jeimer-candelario.png" TargetMode="External"/><Relationship Id="rId252" Type="http://schemas.openxmlformats.org/officeDocument/2006/relationships/hyperlink" Target="https://sba-cards-2024.s3.us-east-1.amazonaws.com/2024-cards/daniel-hudson.png" TargetMode="External"/><Relationship Id="rId494" Type="http://schemas.openxmlformats.org/officeDocument/2006/relationships/hyperlink" Target="https://sba-cards-2024.s3.us-east-1.amazonaws.com/2024-cards/jeffrey-springs.png" TargetMode="External"/><Relationship Id="rId251" Type="http://schemas.openxmlformats.org/officeDocument/2006/relationships/hyperlink" Target="https://sba-cards-2024.s3.us-east-1.amazonaws.com/2024-cards/daniel-coulombe.png" TargetMode="External"/><Relationship Id="rId493" Type="http://schemas.openxmlformats.org/officeDocument/2006/relationships/hyperlink" Target="https://sba-cards-2024.s3.us-east-1.amazonaws.com/2024-cards/jeff-mcneil.png" TargetMode="External"/><Relationship Id="rId250" Type="http://schemas.openxmlformats.org/officeDocument/2006/relationships/hyperlink" Target="https://sba-cards-2024.s3.us-east-1.amazonaws.com/2024-cards/dane-myers.png" TargetMode="External"/><Relationship Id="rId492" Type="http://schemas.openxmlformats.org/officeDocument/2006/relationships/hyperlink" Target="https://sba-cards-2024.s3.us-east-1.amazonaws.com/2024-cards/jeff-hoffman.png" TargetMode="External"/><Relationship Id="rId257" Type="http://schemas.openxmlformats.org/officeDocument/2006/relationships/hyperlink" Target="https://sba-cards-2024.s3.us-east-1.amazonaws.com/2024-cards/danny-mendick.png" TargetMode="External"/><Relationship Id="rId499" Type="http://schemas.openxmlformats.org/officeDocument/2006/relationships/hyperlink" Target="https://i.postimg.cc/1RN77syN/temp-Image-Woi2-H5.avif" TargetMode="External"/><Relationship Id="rId256" Type="http://schemas.openxmlformats.org/officeDocument/2006/relationships/hyperlink" Target="https://sba-cards-2024.s3.us-east-1.amazonaws.com/2024-cards/danny-jansen.png" TargetMode="External"/><Relationship Id="rId498" Type="http://schemas.openxmlformats.org/officeDocument/2006/relationships/hyperlink" Target="https://sba-cards-2024.s3.us-east-1.amazonaws.com/2024-cards/jeremy-pena.png" TargetMode="External"/><Relationship Id="rId255" Type="http://schemas.openxmlformats.org/officeDocument/2006/relationships/hyperlink" Target="https://sba-cards-2024.s3.us-east-1.amazonaws.com/2024-cards/daniel-vogelbach.png" TargetMode="External"/><Relationship Id="rId497" Type="http://schemas.openxmlformats.org/officeDocument/2006/relationships/hyperlink" Target="https://sba-cards-2024.s3.us-east-1.amazonaws.com/2024-cards/jeremiah-estrada.png" TargetMode="External"/><Relationship Id="rId254" Type="http://schemas.openxmlformats.org/officeDocument/2006/relationships/hyperlink" Target="https://sba-cards-2024.s3.us-east-1.amazonaws.com/2024-cards/daniel-schneemann.png" TargetMode="External"/><Relationship Id="rId496" Type="http://schemas.openxmlformats.org/officeDocument/2006/relationships/hyperlink" Target="https://sba-cards-2024.s3.us-east-1.amazonaws.com/2024-cards/jerar-encarnacion.png" TargetMode="External"/><Relationship Id="rId293" Type="http://schemas.openxmlformats.org/officeDocument/2006/relationships/hyperlink" Target="https://sba-cards-2024.s3.us-east-1.amazonaws.com/2024-cards/dominic-fletcher.png" TargetMode="External"/><Relationship Id="rId292" Type="http://schemas.openxmlformats.org/officeDocument/2006/relationships/hyperlink" Target="https://sba-cards-2024.s3.us-east-1.amazonaws.com/2024-cards/dominic-canzone.png" TargetMode="External"/><Relationship Id="rId291" Type="http://schemas.openxmlformats.org/officeDocument/2006/relationships/hyperlink" Target="https://sba-cards-2024.s3.us-east-1.amazonaws.com/2024-cards/dl-hall.png" TargetMode="External"/><Relationship Id="rId290" Type="http://schemas.openxmlformats.org/officeDocument/2006/relationships/hyperlink" Target="https://sba-cards-2024.s3.us-east-1.amazonaws.com/2024-cards/dj-stewart.png" TargetMode="External"/><Relationship Id="rId286" Type="http://schemas.openxmlformats.org/officeDocument/2006/relationships/hyperlink" Target="https://upload.wikimedia.org/wikipedia/commons/8/82/Francisco_de_Goya%2C_Saturno_devorando_a_su_hijo_%281819-1823%29.jpg" TargetMode="External"/><Relationship Id="rId285" Type="http://schemas.openxmlformats.org/officeDocument/2006/relationships/hyperlink" Target="https://sba-cards-2024.s3.us-east-1.amazonaws.com/2024-cards/dillon-dingler.png" TargetMode="External"/><Relationship Id="rId284" Type="http://schemas.openxmlformats.org/officeDocument/2006/relationships/hyperlink" Target="https://sba-cards-2024.s3.us-east-1.amazonaws.com/2024-cards/devin-williams.png" TargetMode="External"/><Relationship Id="rId283" Type="http://schemas.openxmlformats.org/officeDocument/2006/relationships/hyperlink" Target="https://sba-cards-2024.s3.us-east-1.amazonaws.com/2024-cards/derek-law.png" TargetMode="External"/><Relationship Id="rId289" Type="http://schemas.openxmlformats.org/officeDocument/2006/relationships/hyperlink" Target="https://sba-cards-2024.s3.us-east-1.amazonaws.com/2024-cards/dj-lemahieu.png" TargetMode="External"/><Relationship Id="rId288" Type="http://schemas.openxmlformats.org/officeDocument/2006/relationships/hyperlink" Target="https://sba-cards-2024.s3.us-east-1.amazonaws.com/2024-cards/dj-herz.png" TargetMode="External"/><Relationship Id="rId287" Type="http://schemas.openxmlformats.org/officeDocument/2006/relationships/hyperlink" Target="https://sba-cards-2024.s3.us-east-1.amazonaws.com/2024-cards/dillon-tate.png" TargetMode="External"/><Relationship Id="rId282" Type="http://schemas.openxmlformats.org/officeDocument/2006/relationships/hyperlink" Target="https://upload.wikimedia.org/wikipedia/commons/8/82/Francisco_de_Goya%2C_Saturno_devorando_a_su_hijo_%281819-1823%29.jpg" TargetMode="External"/><Relationship Id="rId281" Type="http://schemas.openxmlformats.org/officeDocument/2006/relationships/hyperlink" Target="https://sba-cards-2024.s3.us-east-1.amazonaws.com/2024-cards/derek-hill.png" TargetMode="External"/><Relationship Id="rId280" Type="http://schemas.openxmlformats.org/officeDocument/2006/relationships/hyperlink" Target="https://sba-cards-2024.s3.us-east-1.amazonaws.com/2024-cards/dennis-santana.png" TargetMode="External"/><Relationship Id="rId275" Type="http://schemas.openxmlformats.org/officeDocument/2006/relationships/hyperlink" Target="https://sba-cards-2024.s3.us-east-1.amazonaws.com/2024-cards/davis-schneider.png" TargetMode="External"/><Relationship Id="rId274" Type="http://schemas.openxmlformats.org/officeDocument/2006/relationships/hyperlink" Target="https://sba-cards-2024.s3.us-east-1.amazonaws.com/2024-cards/davis-martin.png" TargetMode="External"/><Relationship Id="rId273" Type="http://schemas.openxmlformats.org/officeDocument/2006/relationships/hyperlink" Target="https://sba-cards-2024.s3.us-east-1.amazonaws.com/2024-cards/davis-daniel.png" TargetMode="External"/><Relationship Id="rId272" Type="http://schemas.openxmlformats.org/officeDocument/2006/relationships/hyperlink" Target="https://sba-cards-2024.s3.us-east-1.amazonaws.com/2024-cards/david-robertson.png" TargetMode="External"/><Relationship Id="rId279" Type="http://schemas.openxmlformats.org/officeDocument/2006/relationships/hyperlink" Target="https://sba-cards-2024.s3.us-east-1.amazonaws.com/2024-cards/dedniel-nunez.png" TargetMode="External"/><Relationship Id="rId278" Type="http://schemas.openxmlformats.org/officeDocument/2006/relationships/hyperlink" Target="https://sba-cards-2024.s3.us-east-1.amazonaws.com/2024-cards/declan-cronin.png" TargetMode="External"/><Relationship Id="rId277" Type="http://schemas.openxmlformats.org/officeDocument/2006/relationships/hyperlink" Target="https://sba-cards-2024.s3.us-east-1.amazonaws.com/2024-cards/dean-kremer.png" TargetMode="External"/><Relationship Id="rId276" Type="http://schemas.openxmlformats.org/officeDocument/2006/relationships/hyperlink" Target="https://sba-cards-2024.s3.us-east-1.amazonaws.com/2024-cards/daz-cameron.png" TargetMode="External"/><Relationship Id="rId907" Type="http://schemas.openxmlformats.org/officeDocument/2006/relationships/hyperlink" Target="https://i.postimg.cc/ZY1FWNtW/temp-Imagezd6e-MS.avif" TargetMode="External"/><Relationship Id="rId906" Type="http://schemas.openxmlformats.org/officeDocument/2006/relationships/hyperlink" Target="https://sba-cards-2024.s3.us-east-1.amazonaws.com/2024-cards/ryan-burr.png" TargetMode="External"/><Relationship Id="rId905" Type="http://schemas.openxmlformats.org/officeDocument/2006/relationships/hyperlink" Target="https://sba-cards-2024.s3.us-east-1.amazonaws.com/2024-cards/ryan-brasier.png" TargetMode="External"/><Relationship Id="rId904" Type="http://schemas.openxmlformats.org/officeDocument/2006/relationships/hyperlink" Target="https://sba-cards-2024.s3.us-east-1.amazonaws.com/2024-cards/ryan-bliss.png" TargetMode="External"/><Relationship Id="rId909" Type="http://schemas.openxmlformats.org/officeDocument/2006/relationships/hyperlink" Target="https://sba-cards-2024.s3.us-east-1.amazonaws.com/2024-cards/ryan-fernandez.png" TargetMode="External"/><Relationship Id="rId908" Type="http://schemas.openxmlformats.org/officeDocument/2006/relationships/hyperlink" Target="https://sba-cards-2024.s3.us-east-1.amazonaws.com/2024-cards/ryan-feltner.png" TargetMode="External"/><Relationship Id="rId903" Type="http://schemas.openxmlformats.org/officeDocument/2006/relationships/hyperlink" Target="https://upload.wikimedia.org/wikipedia/commons/8/82/Francisco_de_Goya%2C_Saturno_devorando_a_su_hijo_(1819-1823).jpg" TargetMode="External"/><Relationship Id="rId902" Type="http://schemas.openxmlformats.org/officeDocument/2006/relationships/hyperlink" Target="https://sba-cards-2024.s3.us-east-1.amazonaws.com/2024-cards/royce-lewis.png" TargetMode="External"/><Relationship Id="rId901" Type="http://schemas.openxmlformats.org/officeDocument/2006/relationships/hyperlink" Target="https://sba-cards-2024.s3.us-east-1.amazonaws.com/2024-cards/rowdy-tellez.png" TargetMode="External"/><Relationship Id="rId900" Type="http://schemas.openxmlformats.org/officeDocument/2006/relationships/hyperlink" Target="https://sba-cards-2024.s3.us-east-1.amazonaws.com/2024-cards/ross-stripling.png" TargetMode="External"/><Relationship Id="rId929" Type="http://schemas.openxmlformats.org/officeDocument/2006/relationships/hyperlink" Target="https://sba-cards-2024.s3.us-east-1.amazonaws.com/2024-cards/sam-hentges.png" TargetMode="External"/><Relationship Id="rId928" Type="http://schemas.openxmlformats.org/officeDocument/2006/relationships/hyperlink" Target="https://sba-cards-2024.s3.us-east-1.amazonaws.com/2024-cards/salvador-perez.png" TargetMode="External"/><Relationship Id="rId927" Type="http://schemas.openxmlformats.org/officeDocument/2006/relationships/hyperlink" Target="https://sba-cards-2024.s3.us-east-1.amazonaws.com/2024-cards/sal-frelick.png" TargetMode="External"/><Relationship Id="rId926" Type="http://schemas.openxmlformats.org/officeDocument/2006/relationships/hyperlink" Target="https://sba-cards-2024.s3.us-east-1.amazonaws.com/2024-cards/ryne-stanek.png" TargetMode="External"/><Relationship Id="rId921" Type="http://schemas.openxmlformats.org/officeDocument/2006/relationships/hyperlink" Target="https://sba-cards-2024.s3.us-east-1.amazonaws.com/2024-cards/ryan-walker.png" TargetMode="External"/><Relationship Id="rId920" Type="http://schemas.openxmlformats.org/officeDocument/2006/relationships/hyperlink" Target="https://sba-cards-2024.s3.us-east-1.amazonaws.com/2024-cards/ryan-thompson.png" TargetMode="External"/><Relationship Id="rId925" Type="http://schemas.openxmlformats.org/officeDocument/2006/relationships/hyperlink" Target="https://sba-cards-2024.s3.us-east-1.amazonaws.com/2024-cards/ryne-nelson.png" TargetMode="External"/><Relationship Id="rId924" Type="http://schemas.openxmlformats.org/officeDocument/2006/relationships/hyperlink" Target="https://sba-cards-2024.s3.us-east-1.amazonaws.com/2024-cards/ryder-ryan.png" TargetMode="External"/><Relationship Id="rId923" Type="http://schemas.openxmlformats.org/officeDocument/2006/relationships/hyperlink" Target="https://sba-cards-2024.s3.us-east-1.amazonaws.com/2024-cards/ryan-yarbrough.png" TargetMode="External"/><Relationship Id="rId922" Type="http://schemas.openxmlformats.org/officeDocument/2006/relationships/hyperlink" Target="https://sba-cards-2024.s3.us-east-1.amazonaws.com/2024-cards/ryan-weathers.png" TargetMode="External"/><Relationship Id="rId918" Type="http://schemas.openxmlformats.org/officeDocument/2006/relationships/hyperlink" Target="https://upload.wikimedia.org/wikipedia/commons/8/82/Francisco_de_Goya%2C_Saturno_devorando_a_su_hijo_%281819-1823%29.jpg" TargetMode="External"/><Relationship Id="rId917" Type="http://schemas.openxmlformats.org/officeDocument/2006/relationships/hyperlink" Target="https://sba-cards-2024.s3.us-east-1.amazonaws.com/2024-cards/ryan-pepiot.png" TargetMode="External"/><Relationship Id="rId916" Type="http://schemas.openxmlformats.org/officeDocument/2006/relationships/hyperlink" Target="https://sba-cards-2024.s3.us-east-1.amazonaws.com/2024-cards/ryan-ohearn.png" TargetMode="External"/><Relationship Id="rId915" Type="http://schemas.openxmlformats.org/officeDocument/2006/relationships/hyperlink" Target="https://sba-cards-2024.s3.us-east-1.amazonaws.com/2024-cards/ryan-noda.png" TargetMode="External"/><Relationship Id="rId919" Type="http://schemas.openxmlformats.org/officeDocument/2006/relationships/hyperlink" Target="https://sba-cards-2024.s3.us-east-1.amazonaws.com/2024-cards/ryan-pressly.png" TargetMode="External"/><Relationship Id="rId910" Type="http://schemas.openxmlformats.org/officeDocument/2006/relationships/hyperlink" Target="https://sba-cards-2024.s3.us-east-1.amazonaws.com/2024-cards/ryan-helsley.png" TargetMode="External"/><Relationship Id="rId914" Type="http://schemas.openxmlformats.org/officeDocument/2006/relationships/hyperlink" Target="https://sba-cards-2024.s3.us-east-1.amazonaws.com/2024-cards/ryan-mountcastle.png" TargetMode="External"/><Relationship Id="rId913" Type="http://schemas.openxmlformats.org/officeDocument/2006/relationships/hyperlink" Target="https://sba-cards-2024.s3.us-east-1.amazonaws.com/2024-cards/ryan-mcmahon.png" TargetMode="External"/><Relationship Id="rId912" Type="http://schemas.openxmlformats.org/officeDocument/2006/relationships/hyperlink" Target="https://sba-cards-2024.s3.us-east-1.amazonaws.com/2024-cards/ryan-kreidler.png" TargetMode="External"/><Relationship Id="rId911" Type="http://schemas.openxmlformats.org/officeDocument/2006/relationships/hyperlink" Target="https://sba-cards-2024.s3.us-east-1.amazonaws.com/2024-cards/ryan-jeffers.png" TargetMode="External"/><Relationship Id="rId629" Type="http://schemas.openxmlformats.org/officeDocument/2006/relationships/hyperlink" Target="https://sba-cards-2024.s3.us-east-1.amazonaws.com/2024-cards/ketel-marte.png" TargetMode="External"/><Relationship Id="rId624" Type="http://schemas.openxmlformats.org/officeDocument/2006/relationships/hyperlink" Target="https://sba-cards-2024.s3.us-east-1.amazonaws.com/2024-cards/keibert-ruiz.png" TargetMode="External"/><Relationship Id="rId866" Type="http://schemas.openxmlformats.org/officeDocument/2006/relationships/hyperlink" Target="https://sba-cards-2024.s3.us-east-1.amazonaws.com/2024-cards/rafael-devers.png" TargetMode="External"/><Relationship Id="rId623" Type="http://schemas.openxmlformats.org/officeDocument/2006/relationships/hyperlink" Target="https://sba-cards-2024.s3.us-east-1.amazonaws.com/2024-cards/keegan-thompson.png" TargetMode="External"/><Relationship Id="rId865" Type="http://schemas.openxmlformats.org/officeDocument/2006/relationships/hyperlink" Target="https://sba-cards-2024.s3.us-east-1.amazonaws.com/2024-cards/quinn-priester.png" TargetMode="External"/><Relationship Id="rId622" Type="http://schemas.openxmlformats.org/officeDocument/2006/relationships/hyperlink" Target="https://i.postimg.cc/C1T6CQ9q/temp-Imageztm5u-M.avif" TargetMode="External"/><Relationship Id="rId864" Type="http://schemas.openxmlformats.org/officeDocument/2006/relationships/hyperlink" Target="https://sba-cards-2024.s3.us-east-1.amazonaws.com/2024-cards/porter-hodge.png" TargetMode="External"/><Relationship Id="rId621" Type="http://schemas.openxmlformats.org/officeDocument/2006/relationships/hyperlink" Target="https://sba-cards-2024.s3.us-east-1.amazonaws.com/2024-cards/keegan-akin.png" TargetMode="External"/><Relationship Id="rId863" Type="http://schemas.openxmlformats.org/officeDocument/2006/relationships/hyperlink" Target="https://sba-cards-2024.s3.us-east-1.amazonaws.com/2024-cards/pierce-johnson.png" TargetMode="External"/><Relationship Id="rId628" Type="http://schemas.openxmlformats.org/officeDocument/2006/relationships/hyperlink" Target="https://sba-cards-2024.s3.us-east-1.amazonaws.com/2024-cards/kerry-carpenter.png" TargetMode="External"/><Relationship Id="rId627" Type="http://schemas.openxmlformats.org/officeDocument/2006/relationships/hyperlink" Target="https://sba-cards-2024.s3.us-east-1.amazonaws.com/2024-cards/kenta-maeda.png" TargetMode="External"/><Relationship Id="rId869" Type="http://schemas.openxmlformats.org/officeDocument/2006/relationships/hyperlink" Target="https://upload.wikimedia.org/wikipedia/commons/8/82/Francisco_de_Goya%2C_Saturno_devorando_a_su_hijo_%281819-1823%29.jpg" TargetMode="External"/><Relationship Id="rId626" Type="http://schemas.openxmlformats.org/officeDocument/2006/relationships/hyperlink" Target="https://sba-cards-2024.s3.us-east-1.amazonaws.com/2024-cards/kenley-jansen.png" TargetMode="External"/><Relationship Id="rId868" Type="http://schemas.openxmlformats.org/officeDocument/2006/relationships/hyperlink" Target="https://sba-cards-2024.s3.us-east-1.amazonaws.com/2024-cards/raisel-iglesias.png" TargetMode="External"/><Relationship Id="rId625" Type="http://schemas.openxmlformats.org/officeDocument/2006/relationships/hyperlink" Target="https://sba-cards-2024.s3.us-east-1.amazonaws.com/2024-cards/keider-montero.png" TargetMode="External"/><Relationship Id="rId867" Type="http://schemas.openxmlformats.org/officeDocument/2006/relationships/hyperlink" Target="https://sba-cards-2024.s3.us-east-1.amazonaws.com/2024-cards/rafael-montero.png" TargetMode="External"/><Relationship Id="rId620" Type="http://schemas.openxmlformats.org/officeDocument/2006/relationships/hyperlink" Target="https://sba-cards-2024.s3.us-east-1.amazonaws.com/2024-cards/kebryan-hayes.png" TargetMode="External"/><Relationship Id="rId862" Type="http://schemas.openxmlformats.org/officeDocument/2006/relationships/hyperlink" Target="https://sba-cards-2024.s3.us-east-1.amazonaws.com/2024-cards/phil-maton.png" TargetMode="External"/><Relationship Id="rId861" Type="http://schemas.openxmlformats.org/officeDocument/2006/relationships/hyperlink" Target="https://sba-cards-2024.s3.us-east-1.amazonaws.com/2024-cards/peter-lambert.png" TargetMode="External"/><Relationship Id="rId860" Type="http://schemas.openxmlformats.org/officeDocument/2006/relationships/hyperlink" Target="https://sba-cards-2024.s3.us-east-1.amazonaws.com/2024-cards/pete-fairbanks.png" TargetMode="External"/><Relationship Id="rId619" Type="http://schemas.openxmlformats.org/officeDocument/2006/relationships/hyperlink" Target="https://sba-cards-2024.s3.us-east-1.amazonaws.com/2024-cards/keaton-winn.png" TargetMode="External"/><Relationship Id="rId618" Type="http://schemas.openxmlformats.org/officeDocument/2006/relationships/hyperlink" Target="https://sba-cards-2024.s3.us-east-1.amazonaws.com/2024-cards/kaleb-ort.png" TargetMode="External"/><Relationship Id="rId613" Type="http://schemas.openxmlformats.org/officeDocument/2006/relationships/hyperlink" Target="https://sba-cards-2024.s3.us-east-1.amazonaws.com/2024-cards/justin-turner.png" TargetMode="External"/><Relationship Id="rId855" Type="http://schemas.openxmlformats.org/officeDocument/2006/relationships/hyperlink" Target="https://sba-cards-2024.s3.us-east-1.amazonaws.com/2024-cards/pedro-avila.png" TargetMode="External"/><Relationship Id="rId612" Type="http://schemas.openxmlformats.org/officeDocument/2006/relationships/hyperlink" Target="https://sba-cards-2024.s3.us-east-1.amazonaws.com/2024-cards/justin-steele.png" TargetMode="External"/><Relationship Id="rId854" Type="http://schemas.openxmlformats.org/officeDocument/2006/relationships/hyperlink" Target="https://upload.wikimedia.org/wikipedia/commons/8/82/Francisco_de_Goya%2C_Saturno_devorando_a_su_hijo_%281819-1823%29.jpg" TargetMode="External"/><Relationship Id="rId611" Type="http://schemas.openxmlformats.org/officeDocument/2006/relationships/hyperlink" Target="https://sba-cards-2024.s3.us-east-1.amazonaws.com/2024-cards/justin-slaten.png" TargetMode="External"/><Relationship Id="rId853" Type="http://schemas.openxmlformats.org/officeDocument/2006/relationships/hyperlink" Target="https://sba-cards-2024.s3.us-east-1.amazonaws.com/2024-cards/pavin-smith.png" TargetMode="External"/><Relationship Id="rId610" Type="http://schemas.openxmlformats.org/officeDocument/2006/relationships/hyperlink" Target="https://sba-cards-2024.s3.us-east-1.amazonaws.com/2024-cards/justin-martinez.png" TargetMode="External"/><Relationship Id="rId852" Type="http://schemas.openxmlformats.org/officeDocument/2006/relationships/hyperlink" Target="https://sba-cards-2024.s3.us-east-1.amazonaws.com/2024-cards/paul-skenes.png" TargetMode="External"/><Relationship Id="rId617" Type="http://schemas.openxmlformats.org/officeDocument/2006/relationships/hyperlink" Target="https://sba-cards-2024.s3.us-east-1.amazonaws.com/2024-cards/justyn-henry-malloy.png" TargetMode="External"/><Relationship Id="rId859" Type="http://schemas.openxmlformats.org/officeDocument/2006/relationships/hyperlink" Target="https://sba-cards-2024.s3.us-east-1.amazonaws.com/2024-cards/pete-crow-armstrong.png" TargetMode="External"/><Relationship Id="rId616" Type="http://schemas.openxmlformats.org/officeDocument/2006/relationships/hyperlink" Target="https://sba-cards-2024.s3.us-east-1.amazonaws.com/2024-cards/justin-wrobleski.png" TargetMode="External"/><Relationship Id="rId858" Type="http://schemas.openxmlformats.org/officeDocument/2006/relationships/hyperlink" Target="https://i.postimg.cc/W4XhgBd9/temp-Image-K6pa49.avif" TargetMode="External"/><Relationship Id="rId615" Type="http://schemas.openxmlformats.org/officeDocument/2006/relationships/hyperlink" Target="https://sba-cards-2024.s3.us-east-1.amazonaws.com/2024-cards/justin-wilson.png" TargetMode="External"/><Relationship Id="rId857" Type="http://schemas.openxmlformats.org/officeDocument/2006/relationships/hyperlink" Target="https://sba-cards-2024.s3.us-east-1.amazonaws.com/2024-cards/pete-alonso.png" TargetMode="External"/><Relationship Id="rId614" Type="http://schemas.openxmlformats.org/officeDocument/2006/relationships/hyperlink" Target="https://sba-cards-2024.s3.us-east-1.amazonaws.com/2024-cards/justin-verlander.png" TargetMode="External"/><Relationship Id="rId856" Type="http://schemas.openxmlformats.org/officeDocument/2006/relationships/hyperlink" Target="https://sba-cards-2024.s3.us-east-1.amazonaws.com/2024-cards/pedro-pages.png" TargetMode="External"/><Relationship Id="rId851" Type="http://schemas.openxmlformats.org/officeDocument/2006/relationships/hyperlink" Target="https://sba-cards-2024.s3.us-east-1.amazonaws.com/2024-cards/paul-sewald.png" TargetMode="External"/><Relationship Id="rId850" Type="http://schemas.openxmlformats.org/officeDocument/2006/relationships/hyperlink" Target="https://sba-cards-2024.s3.us-east-1.amazonaws.com/2024-cards/paul-goldschmidt.png" TargetMode="External"/><Relationship Id="rId409" Type="http://schemas.openxmlformats.org/officeDocument/2006/relationships/hyperlink" Target="https://sba-cards-2024.s3.us-east-1.amazonaws.com/2024-cards/heliot-ramos.png" TargetMode="External"/><Relationship Id="rId404" Type="http://schemas.openxmlformats.org/officeDocument/2006/relationships/hyperlink" Target="https://sba-cards-2024.s3.us-east-1.amazonaws.com/2024-cards/harrison-bader.png" TargetMode="External"/><Relationship Id="rId646" Type="http://schemas.openxmlformats.org/officeDocument/2006/relationships/hyperlink" Target="https://sba-cards-2024.s3.us-east-1.amazonaws.com/2024-cards/kyle-finnegan.png" TargetMode="External"/><Relationship Id="rId888" Type="http://schemas.openxmlformats.org/officeDocument/2006/relationships/hyperlink" Target="https://sba-cards-2024.s3.us-east-1.amazonaws.com/2024-cards/roansy-contreras.png" TargetMode="External"/><Relationship Id="rId403" Type="http://schemas.openxmlformats.org/officeDocument/2006/relationships/hyperlink" Target="https://sba-cards-2024.s3.us-east-1.amazonaws.com/2024-cards/harold-ramirez.png" TargetMode="External"/><Relationship Id="rId645" Type="http://schemas.openxmlformats.org/officeDocument/2006/relationships/hyperlink" Target="https://sba-cards-2024.s3.us-east-1.amazonaws.com/2024-cards/kyle-farmer.png" TargetMode="External"/><Relationship Id="rId887" Type="http://schemas.openxmlformats.org/officeDocument/2006/relationships/hyperlink" Target="https://sba-cards-2024.s3.us-east-1.amazonaws.com/2024-cards/riley-greene.png" TargetMode="External"/><Relationship Id="rId402" Type="http://schemas.openxmlformats.org/officeDocument/2006/relationships/hyperlink" Target="https://upload.wikimedia.org/wikipedia/commons/8/82/Francisco_de_Goya%2C_Saturno_devorando_a_su_hijo_%281819-1823%29.jpg" TargetMode="External"/><Relationship Id="rId644" Type="http://schemas.openxmlformats.org/officeDocument/2006/relationships/hyperlink" Target="https://sba-cards-2024.s3.us-east-1.amazonaws.com/2024-cards/kyle-bradish.png" TargetMode="External"/><Relationship Id="rId886" Type="http://schemas.openxmlformats.org/officeDocument/2006/relationships/hyperlink" Target="https://sba-cards-2024.s3.us-east-1.amazonaws.com/2024-cards/riley-adams.png" TargetMode="External"/><Relationship Id="rId401" Type="http://schemas.openxmlformats.org/officeDocument/2006/relationships/hyperlink" Target="https://sba-cards-2024.s3.us-east-1.amazonaws.com/2024-cards/hans-crouse.png" TargetMode="External"/><Relationship Id="rId643" Type="http://schemas.openxmlformats.org/officeDocument/2006/relationships/hyperlink" Target="https://sba-cards-2024.s3.us-east-1.amazonaws.com/2024-cards/kutter-crawford.png" TargetMode="External"/><Relationship Id="rId885" Type="http://schemas.openxmlformats.org/officeDocument/2006/relationships/hyperlink" Target="https://sba-cards-2024.s3.us-east-1.amazonaws.com/2024-cards/richie-palacios.png" TargetMode="External"/><Relationship Id="rId408" Type="http://schemas.openxmlformats.org/officeDocument/2006/relationships/hyperlink" Target="https://sba-cards-2024.s3.us-east-1.amazonaws.com/2024-cards/hector-neris.png" TargetMode="External"/><Relationship Id="rId407" Type="http://schemas.openxmlformats.org/officeDocument/2006/relationships/hyperlink" Target="https://sba-cards-2024.s3.us-east-1.amazonaws.com/2024-cards/hayden-wesneski.png" TargetMode="External"/><Relationship Id="rId649" Type="http://schemas.openxmlformats.org/officeDocument/2006/relationships/hyperlink" Target="https://sba-cards-2024.s3.us-east-1.amazonaws.com/2024-cards/kyle-harrison.png" TargetMode="External"/><Relationship Id="rId406" Type="http://schemas.openxmlformats.org/officeDocument/2006/relationships/hyperlink" Target="https://upload.wikimedia.org/wikipedia/commons/8/82/Francisco_de_Goya%2C_Saturno_devorando_a_su_hijo_%281819-1823%29.jpg" TargetMode="External"/><Relationship Id="rId648" Type="http://schemas.openxmlformats.org/officeDocument/2006/relationships/hyperlink" Target="https://sba-cards-2024.s3.us-east-1.amazonaws.com/2024-cards/kyle-gibson.png" TargetMode="External"/><Relationship Id="rId405" Type="http://schemas.openxmlformats.org/officeDocument/2006/relationships/hyperlink" Target="https://sba-cards-2024.s3.us-east-1.amazonaws.com/2024-cards/hayden-birdsong.png" TargetMode="External"/><Relationship Id="rId647" Type="http://schemas.openxmlformats.org/officeDocument/2006/relationships/hyperlink" Target="https://sba-cards-2024.s3.us-east-1.amazonaws.com/2024-cards/kyle-freeland.png" TargetMode="External"/><Relationship Id="rId889" Type="http://schemas.openxmlformats.org/officeDocument/2006/relationships/hyperlink" Target="https://sba-cards-2024.s3.us-east-1.amazonaws.com/2024-cards/rob-refsnyder.png" TargetMode="External"/><Relationship Id="rId880" Type="http://schemas.openxmlformats.org/officeDocument/2006/relationships/hyperlink" Target="https://sba-cards-2024.s3.us-east-1.amazonaws.com/2024-cards/reid-detmers.png" TargetMode="External"/><Relationship Id="rId400" Type="http://schemas.openxmlformats.org/officeDocument/2006/relationships/hyperlink" Target="https://sba-cards-2024.s3.us-east-1.amazonaws.com/2024-cards/ha-seong-kim.png" TargetMode="External"/><Relationship Id="rId642" Type="http://schemas.openxmlformats.org/officeDocument/2006/relationships/hyperlink" Target="https://sba-cards-2024.s3.us-east-1.amazonaws.com/2024-cards/kris-bubic.png" TargetMode="External"/><Relationship Id="rId884" Type="http://schemas.openxmlformats.org/officeDocument/2006/relationships/hyperlink" Target="https://sba-cards-2024.s3.us-east-1.amazonaws.com/2024-cards/richard-lovelady.png" TargetMode="External"/><Relationship Id="rId641" Type="http://schemas.openxmlformats.org/officeDocument/2006/relationships/hyperlink" Target="https://sba-cards-2024.s3.us-east-1.amazonaws.com/2024-cards/kris-bryant.png" TargetMode="External"/><Relationship Id="rId883" Type="http://schemas.openxmlformats.org/officeDocument/2006/relationships/hyperlink" Target="https://sba-cards-2024.s3.us-east-1.amazonaws.com/2024-cards/rhys-hoskins.png" TargetMode="External"/><Relationship Id="rId640" Type="http://schemas.openxmlformats.org/officeDocument/2006/relationships/hyperlink" Target="https://sba-cards-2024.s3.us-east-1.amazonaws.com/2024-cards/korey-lee.png" TargetMode="External"/><Relationship Id="rId882" Type="http://schemas.openxmlformats.org/officeDocument/2006/relationships/hyperlink" Target="https://sba-cards-2024.s3.us-east-1.amazonaws.com/2024-cards/rhett-lowder.png" TargetMode="External"/><Relationship Id="rId881" Type="http://schemas.openxmlformats.org/officeDocument/2006/relationships/hyperlink" Target="https://sba-cards-2024.s3.us-east-1.amazonaws.com/2024-cards/reynaldo-lopez.png" TargetMode="External"/><Relationship Id="rId635" Type="http://schemas.openxmlformats.org/officeDocument/2006/relationships/hyperlink" Target="https://sba-cards-2024.s3.us-east-1.amazonaws.com/2024-cards/kevin-newman.png" TargetMode="External"/><Relationship Id="rId877" Type="http://schemas.openxmlformats.org/officeDocument/2006/relationships/hyperlink" Target="https://sba-cards-2024.s3.us-east-1.amazonaws.com/2024-cards/reed-garrett.png" TargetMode="External"/><Relationship Id="rId634" Type="http://schemas.openxmlformats.org/officeDocument/2006/relationships/hyperlink" Target="https://sba-cards-2024.s3.us-east-1.amazonaws.com/2024-cards/kevin-kiermaier.png" TargetMode="External"/><Relationship Id="rId876" Type="http://schemas.openxmlformats.org/officeDocument/2006/relationships/hyperlink" Target="https://sba-cards-2024.s3.us-east-1.amazonaws.com/2024-cards/ranger-suarez.png" TargetMode="External"/><Relationship Id="rId633" Type="http://schemas.openxmlformats.org/officeDocument/2006/relationships/hyperlink" Target="https://sba-cards-2024.s3.us-east-1.amazonaws.com/2024-cards/kevin-kelly.png" TargetMode="External"/><Relationship Id="rId875" Type="http://schemas.openxmlformats.org/officeDocument/2006/relationships/hyperlink" Target="https://sba-cards-2024.s3.us-east-1.amazonaws.com/2024-cards/randy-vasquez.png" TargetMode="External"/><Relationship Id="rId632" Type="http://schemas.openxmlformats.org/officeDocument/2006/relationships/hyperlink" Target="https://sba-cards-2024.s3.us-east-1.amazonaws.com/2024-cards/kevin-ginkel.png" TargetMode="External"/><Relationship Id="rId874" Type="http://schemas.openxmlformats.org/officeDocument/2006/relationships/hyperlink" Target="https://sba-cards-2024.s3.us-east-1.amazonaws.com/2024-cards/randy-rodriguez.png" TargetMode="External"/><Relationship Id="rId639" Type="http://schemas.openxmlformats.org/officeDocument/2006/relationships/hyperlink" Target="https://sba-cards-2024.s3.us-east-1.amazonaws.com/2024-cards/kody-funderburk.png" TargetMode="External"/><Relationship Id="rId638" Type="http://schemas.openxmlformats.org/officeDocument/2006/relationships/hyperlink" Target="https://sba-cards-2024.s3.us-east-1.amazonaws.com/2024-cards/kody-clemens.png" TargetMode="External"/><Relationship Id="rId637" Type="http://schemas.openxmlformats.org/officeDocument/2006/relationships/hyperlink" Target="https://sba-cards-2024.s3.us-east-1.amazonaws.com/2024-cards/kirby-yates.png" TargetMode="External"/><Relationship Id="rId879" Type="http://schemas.openxmlformats.org/officeDocument/2006/relationships/hyperlink" Target="https://sba-cards-2024.s3.us-east-1.amazonaws.com/2024-cards/reese-olson.png" TargetMode="External"/><Relationship Id="rId636" Type="http://schemas.openxmlformats.org/officeDocument/2006/relationships/hyperlink" Target="https://sba-cards-2024.s3.us-east-1.amazonaws.com/2024-cards/kevin-pillar.png" TargetMode="External"/><Relationship Id="rId878" Type="http://schemas.openxmlformats.org/officeDocument/2006/relationships/hyperlink" Target="https://sba-cards-2024.s3.us-east-1.amazonaws.com/2024-cards/reese-mcguire.png" TargetMode="External"/><Relationship Id="rId631" Type="http://schemas.openxmlformats.org/officeDocument/2006/relationships/hyperlink" Target="https://sba-cards-2024.s3.us-east-1.amazonaws.com/2024-cards/kevin-gausman.png" TargetMode="External"/><Relationship Id="rId873" Type="http://schemas.openxmlformats.org/officeDocument/2006/relationships/hyperlink" Target="https://sba-cards-2024.s3.us-east-1.amazonaws.com/2024-cards/randy-arozarena.png" TargetMode="External"/><Relationship Id="rId630" Type="http://schemas.openxmlformats.org/officeDocument/2006/relationships/hyperlink" Target="https://i.postimg.cc/jdMK97M3/KETTLE-CHIPS-RECIPE-1-of-1-5.jpg" TargetMode="External"/><Relationship Id="rId872" Type="http://schemas.openxmlformats.org/officeDocument/2006/relationships/hyperlink" Target="https://sba-cards-2024.s3.us-east-1.amazonaws.com/2024-cards/randal-grichuk.png" TargetMode="External"/><Relationship Id="rId871" Type="http://schemas.openxmlformats.org/officeDocument/2006/relationships/hyperlink" Target="https://sba-cards-2024.s3.us-east-1.amazonaws.com/2024-cards/ramon-urias.png" TargetMode="External"/><Relationship Id="rId870" Type="http://schemas.openxmlformats.org/officeDocument/2006/relationships/hyperlink" Target="https://sba-cards-2024.s3.us-east-1.amazonaws.com/2024-cards/ramon-laureano.png" TargetMode="External"/><Relationship Id="rId829" Type="http://schemas.openxmlformats.org/officeDocument/2006/relationships/hyperlink" Target="https://sba-cards-2024.s3.us-east-1.amazonaws.com/2024-cards/nolan-jones.png" TargetMode="External"/><Relationship Id="rId828" Type="http://schemas.openxmlformats.org/officeDocument/2006/relationships/hyperlink" Target="https://sba-cards-2024.s3.us-east-1.amazonaws.com/2024-cards/nolan-gorman.png" TargetMode="External"/><Relationship Id="rId827" Type="http://schemas.openxmlformats.org/officeDocument/2006/relationships/hyperlink" Target="https://sba-cards-2024.s3.us-east-1.amazonaws.com/2024-cards/nolan-arenado.png" TargetMode="External"/><Relationship Id="rId822" Type="http://schemas.openxmlformats.org/officeDocument/2006/relationships/hyperlink" Target="https://sba-cards-2024.s3.us-east-1.amazonaws.com/2024-cards/nicky-lopez.png" TargetMode="External"/><Relationship Id="rId821" Type="http://schemas.openxmlformats.org/officeDocument/2006/relationships/hyperlink" Target="https://sba-cards-2024.s3.us-east-1.amazonaws.com/2024-cards/nick-sogard.png" TargetMode="External"/><Relationship Id="rId820" Type="http://schemas.openxmlformats.org/officeDocument/2006/relationships/hyperlink" Target="https://sba-cards-2024.s3.us-east-1.amazonaws.com/2024-cards/nick-senzel.png" TargetMode="External"/><Relationship Id="rId826" Type="http://schemas.openxmlformats.org/officeDocument/2006/relationships/hyperlink" Target="https://sba-cards-2024.s3.us-east-1.amazonaws.com/2024-cards/noelvi-marte.png" TargetMode="External"/><Relationship Id="rId825" Type="http://schemas.openxmlformats.org/officeDocument/2006/relationships/hyperlink" Target="https://sba-cards-2024.s3.us-east-1.amazonaws.com/2024-cards/noah-davis.png" TargetMode="External"/><Relationship Id="rId824" Type="http://schemas.openxmlformats.org/officeDocument/2006/relationships/hyperlink" Target="https://sba-cards-2024.s3.us-east-1.amazonaws.com/2024-cards/niko-kavadas.png" TargetMode="External"/><Relationship Id="rId823" Type="http://schemas.openxmlformats.org/officeDocument/2006/relationships/hyperlink" Target="https://sba-cards-2024.s3.us-east-1.amazonaws.com/2024-cards/nico-hoerner.png" TargetMode="External"/><Relationship Id="rId819" Type="http://schemas.openxmlformats.org/officeDocument/2006/relationships/hyperlink" Target="https://sba-cards-2024.s3.us-east-1.amazonaws.com/2024-cards/nick-sandlin.png" TargetMode="External"/><Relationship Id="rId818" Type="http://schemas.openxmlformats.org/officeDocument/2006/relationships/hyperlink" Target="https://sba-cards-2024.s3.us-east-1.amazonaws.com/2024-cards/nick-pivetta.png" TargetMode="External"/><Relationship Id="rId817" Type="http://schemas.openxmlformats.org/officeDocument/2006/relationships/hyperlink" Target="https://sba-cards-2024.s3.us-east-1.amazonaws.com/2024-cards/nick-nastrini.png" TargetMode="External"/><Relationship Id="rId816" Type="http://schemas.openxmlformats.org/officeDocument/2006/relationships/hyperlink" Target="https://sba-cards-2024.s3.us-east-1.amazonaws.com/2024-cards/nick-mears.png" TargetMode="External"/><Relationship Id="rId811" Type="http://schemas.openxmlformats.org/officeDocument/2006/relationships/hyperlink" Target="https://sba-cards-2024.s3.us-east-1.amazonaws.com/2024-cards/nick-lodolo.png" TargetMode="External"/><Relationship Id="rId810" Type="http://schemas.openxmlformats.org/officeDocument/2006/relationships/hyperlink" Target="https://sba-cards-2024.s3.us-east-1.amazonaws.com/2024-cards/nick-gordon.png" TargetMode="External"/><Relationship Id="rId815" Type="http://schemas.openxmlformats.org/officeDocument/2006/relationships/hyperlink" Target="https://sba-cards-2024.s3.us-east-1.amazonaws.com/2024-cards/nick-martini.png" TargetMode="External"/><Relationship Id="rId814" Type="http://schemas.openxmlformats.org/officeDocument/2006/relationships/hyperlink" Target="https://sba-cards-2024.s3.us-east-1.amazonaws.com/2024-cards/nick-martinez.png" TargetMode="External"/><Relationship Id="rId813" Type="http://schemas.openxmlformats.org/officeDocument/2006/relationships/hyperlink" Target="https://sba-cards-2024.s3.us-east-1.amazonaws.com/2024-cards/nick-madrigal.png" TargetMode="External"/><Relationship Id="rId812" Type="http://schemas.openxmlformats.org/officeDocument/2006/relationships/hyperlink" Target="https://sba-cards-2024.s3.us-east-1.amazonaws.com/2024-cards/nick-loftin.png" TargetMode="External"/><Relationship Id="rId609" Type="http://schemas.openxmlformats.org/officeDocument/2006/relationships/hyperlink" Target="https://sba-cards-2024.s3.us-east-1.amazonaws.com/2024-cards/justin-lawrence.png" TargetMode="External"/><Relationship Id="rId608" Type="http://schemas.openxmlformats.org/officeDocument/2006/relationships/hyperlink" Target="https://sba-cards-2024.s3.us-east-1.amazonaws.com/2024-cards/justin-anderson.png" TargetMode="External"/><Relationship Id="rId607" Type="http://schemas.openxmlformats.org/officeDocument/2006/relationships/hyperlink" Target="https://sba-cards-2024.s3.us-east-1.amazonaws.com/2024-cards/jurickson-profar.png" TargetMode="External"/><Relationship Id="rId849" Type="http://schemas.openxmlformats.org/officeDocument/2006/relationships/hyperlink" Target="https://sba-cards-2024.s3.us-east-1.amazonaws.com/2024-cards/paul-dejong.png" TargetMode="External"/><Relationship Id="rId602" Type="http://schemas.openxmlformats.org/officeDocument/2006/relationships/hyperlink" Target="https://sba-cards-2024.s3.us-east-1.amazonaws.com/2024-cards/juan-yepez.png" TargetMode="External"/><Relationship Id="rId844" Type="http://schemas.openxmlformats.org/officeDocument/2006/relationships/hyperlink" Target="https://sba-cards-2024.s3.us-east-1.amazonaws.com/2024-cards/patrick-bailey.png" TargetMode="External"/><Relationship Id="rId601" Type="http://schemas.openxmlformats.org/officeDocument/2006/relationships/hyperlink" Target="https://sba-cards-2024.s3.us-east-1.amazonaws.com/2024-cards/juan-soto.png" TargetMode="External"/><Relationship Id="rId843" Type="http://schemas.openxmlformats.org/officeDocument/2006/relationships/hyperlink" Target="https://sba-cards-2024.s3.us-east-1.amazonaws.com/2024-cards/parker-meadows.png" TargetMode="External"/><Relationship Id="rId600" Type="http://schemas.openxmlformats.org/officeDocument/2006/relationships/hyperlink" Target="https://sba-cards-2024.s3.us-east-1.amazonaws.com/2024-cards/jt-realmuto.png" TargetMode="External"/><Relationship Id="rId842" Type="http://schemas.openxmlformats.org/officeDocument/2006/relationships/hyperlink" Target="https://sba-cards-2024.s3.us-east-1.amazonaws.com/2024-cards/pablo-reyes.png" TargetMode="External"/><Relationship Id="rId841" Type="http://schemas.openxmlformats.org/officeDocument/2006/relationships/hyperlink" Target="https://sba-cards-2024.s3.us-east-1.amazonaws.com/2024-cards/pablo-lopez.png" TargetMode="External"/><Relationship Id="rId606" Type="http://schemas.openxmlformats.org/officeDocument/2006/relationships/hyperlink" Target="https://sba-cards-2024.s3.us-east-1.amazonaws.com/2024-cards/junior-caminero.png" TargetMode="External"/><Relationship Id="rId848" Type="http://schemas.openxmlformats.org/officeDocument/2006/relationships/hyperlink" Target="https://sba-cards-2024.s3.us-east-1.amazonaws.com/2024-cards/paul-blackburn.png" TargetMode="External"/><Relationship Id="rId605" Type="http://schemas.openxmlformats.org/officeDocument/2006/relationships/hyperlink" Target="https://sba-cards-2024.s3.us-east-1.amazonaws.com/2024-cards/jung-hoo-lee.png" TargetMode="External"/><Relationship Id="rId847" Type="http://schemas.openxmlformats.org/officeDocument/2006/relationships/hyperlink" Target="https://sba-cards-2024.s3.us-east-1.amazonaws.com/2024-cards/patrick-wisdom.png" TargetMode="External"/><Relationship Id="rId604" Type="http://schemas.openxmlformats.org/officeDocument/2006/relationships/hyperlink" Target="https://sba-cards-2024.s3.us-east-1.amazonaws.com/2024-cards/julio-rodriguez.png" TargetMode="External"/><Relationship Id="rId846" Type="http://schemas.openxmlformats.org/officeDocument/2006/relationships/hyperlink" Target="https://sba-cards-2024.s3.us-east-1.amazonaws.com/2024-cards/patrick-sandoval.png" TargetMode="External"/><Relationship Id="rId603" Type="http://schemas.openxmlformats.org/officeDocument/2006/relationships/hyperlink" Target="https://sba-cards-2024.s3.us-east-1.amazonaws.com/2024-cards/julian-aguiar.png" TargetMode="External"/><Relationship Id="rId845" Type="http://schemas.openxmlformats.org/officeDocument/2006/relationships/hyperlink" Target="https://sba-cards-2024.s3.us-east-1.amazonaws.com/2024-cards/patrick-corbin.png" TargetMode="External"/><Relationship Id="rId840" Type="http://schemas.openxmlformats.org/officeDocument/2006/relationships/hyperlink" Target="https://sba-cards-2024.s3.us-east-1.amazonaws.com/2024-cards/ozzie-albies.png" TargetMode="External"/><Relationship Id="rId839" Type="http://schemas.openxmlformats.org/officeDocument/2006/relationships/hyperlink" Target="https://sba-cards-2024.s3.us-east-1.amazonaws.com/2024-cards/otto-lopez.png" TargetMode="External"/><Relationship Id="rId838" Type="http://schemas.openxmlformats.org/officeDocument/2006/relationships/hyperlink" Target="https://media.discordapp.net/attachments/739619839685034095/1399594766047510708/image.png?ex=688991b3&amp;is=68884033&amp;hm=ba0802046c9663c7f2f1e2f2a716e069e7066988cb02545a25b2ff0ac541fb06&amp;=&amp;format=webp&amp;quality=lossless&amp;width=313&amp;height=356" TargetMode="External"/><Relationship Id="rId833" Type="http://schemas.openxmlformats.org/officeDocument/2006/relationships/hyperlink" Target="https://sba-cards-2024.s3.us-east-1.amazonaws.com/2024-cards/oneil-cruz.png" TargetMode="External"/><Relationship Id="rId832" Type="http://schemas.openxmlformats.org/officeDocument/2006/relationships/hyperlink" Target="https://sba-cards-2024.s3.us-east-1.amazonaws.com/2024-cards/omar-narvaez.png" TargetMode="External"/><Relationship Id="rId831" Type="http://schemas.openxmlformats.org/officeDocument/2006/relationships/hyperlink" Target="https://sba-cards-2024.s3.us-east-1.amazonaws.com/2024-cards/oliver-dunn.png" TargetMode="External"/><Relationship Id="rId830" Type="http://schemas.openxmlformats.org/officeDocument/2006/relationships/hyperlink" Target="https://sba-cards-2024.s3.us-east-1.amazonaws.com/2024-cards/nolan-schanuel.png" TargetMode="External"/><Relationship Id="rId837" Type="http://schemas.openxmlformats.org/officeDocument/2006/relationships/hyperlink" Target="https://sba-cards-2024.s3.us-east-1.amazonaws.com/2024-cards/oswaldo-cabrera.png" TargetMode="External"/><Relationship Id="rId836" Type="http://schemas.openxmlformats.org/officeDocument/2006/relationships/hyperlink" Target="https://sba-cards-2024.s3.us-east-1.amazonaws.com/2024-cards/osvaldo-bido.png" TargetMode="External"/><Relationship Id="rId835" Type="http://schemas.openxmlformats.org/officeDocument/2006/relationships/hyperlink" Target="https://sba-cards-2024.s3.us-east-1.amazonaws.com/2024-cards/orlando-arcia.png" TargetMode="External"/><Relationship Id="rId834" Type="http://schemas.openxmlformats.org/officeDocument/2006/relationships/hyperlink" Target="https://sba-cards-2024.s3.us-east-1.amazonaws.com/2024-cards/orion-kerkering.png" TargetMode="External"/><Relationship Id="rId1059" Type="http://schemas.openxmlformats.org/officeDocument/2006/relationships/hyperlink" Target="https://sba-cards-2024.s3.us-east-1.amazonaws.com/2024-cards/vidal-brujan.png" TargetMode="External"/><Relationship Id="rId228" Type="http://schemas.openxmlformats.org/officeDocument/2006/relationships/hyperlink" Target="https://sba-cards-2024.s3.us-east-1.amazonaws.com/2024-cards/colten-brewer.png" TargetMode="External"/><Relationship Id="rId227" Type="http://schemas.openxmlformats.org/officeDocument/2006/relationships/hyperlink" Target="https://sba-cards-2024.s3.us-east-1.amazonaws.com/2024-cards/colt-keith.png" TargetMode="External"/><Relationship Id="rId469" Type="http://schemas.openxmlformats.org/officeDocument/2006/relationships/hyperlink" Target="https://upload.wikimedia.org/wikipedia/commons/8/82/Francisco_de_Goya%2C_Saturno_devorando_a_su_hijo_(1819-1823).jpg" TargetMode="External"/><Relationship Id="rId226" Type="http://schemas.openxmlformats.org/officeDocument/2006/relationships/hyperlink" Target="https://sba-cards-2024.s3.us-east-1.amazonaws.com/2024-cards/collin-snider.png" TargetMode="External"/><Relationship Id="rId468" Type="http://schemas.openxmlformats.org/officeDocument/2006/relationships/hyperlink" Target="https://sba-cards-2024.s3.us-east-1.amazonaws.com/2024-cards/james-mccann.png" TargetMode="External"/><Relationship Id="rId225" Type="http://schemas.openxmlformats.org/officeDocument/2006/relationships/hyperlink" Target="https://sba-cards-2024.s3.us-east-1.amazonaws.com/2024-cards/colin-rea.png" TargetMode="External"/><Relationship Id="rId467" Type="http://schemas.openxmlformats.org/officeDocument/2006/relationships/hyperlink" Target="https://sba-cards-2024.s3.us-east-1.amazonaws.com/2024-cards/james-mcarthur.png" TargetMode="External"/><Relationship Id="rId229" Type="http://schemas.openxmlformats.org/officeDocument/2006/relationships/hyperlink" Target="https://sba-cards-2024.s3.us-east-1.amazonaws.com/2024-cards/colton-cowser.png" TargetMode="External"/><Relationship Id="rId1050" Type="http://schemas.openxmlformats.org/officeDocument/2006/relationships/hyperlink" Target="https://sba-cards-2024.s3.us-east-1.amazonaws.com/2024-cards/tyrone-taylor.png" TargetMode="External"/><Relationship Id="rId220" Type="http://schemas.openxmlformats.org/officeDocument/2006/relationships/hyperlink" Target="https://sba-cards-2024.s3.us-east-1.amazonaws.com/2024-cards/cole-ragans.png" TargetMode="External"/><Relationship Id="rId462" Type="http://schemas.openxmlformats.org/officeDocument/2006/relationships/hyperlink" Target="https://sba-cards-2024.s3.us-east-1.amazonaws.com/2024-cards/jake-mccarthy.png" TargetMode="External"/><Relationship Id="rId1051" Type="http://schemas.openxmlformats.org/officeDocument/2006/relationships/hyperlink" Target="https://sba-cards-2024.s3.us-east-1.amazonaws.com/2024-cards/tyson-miller.png" TargetMode="External"/><Relationship Id="rId461" Type="http://schemas.openxmlformats.org/officeDocument/2006/relationships/hyperlink" Target="https://i.postimg.cc/XY68zCQR/temp-Imaget0-Pxhs.avif" TargetMode="External"/><Relationship Id="rId1052" Type="http://schemas.openxmlformats.org/officeDocument/2006/relationships/hyperlink" Target="https://sba-cards-2024.s3.us-east-1.amazonaws.com/2024-cards/valente-bellozo.png" TargetMode="External"/><Relationship Id="rId460" Type="http://schemas.openxmlformats.org/officeDocument/2006/relationships/hyperlink" Target="https://sba-cards-2024.s3.us-east-1.amazonaws.com/2024-cards/jake-junis.png" TargetMode="External"/><Relationship Id="rId1053" Type="http://schemas.openxmlformats.org/officeDocument/2006/relationships/hyperlink" Target="https://sba-cards-2024.s3.us-east-1.amazonaws.com/2024-cards/vaughn-grissom.png" TargetMode="External"/><Relationship Id="rId1054" Type="http://schemas.openxmlformats.org/officeDocument/2006/relationships/hyperlink" Target="https://sba-cards-2024.s3.us-east-1.amazonaws.com/2024-cards/victor-caratini.png" TargetMode="External"/><Relationship Id="rId224" Type="http://schemas.openxmlformats.org/officeDocument/2006/relationships/hyperlink" Target="https://sba-cards-2024.s3.us-east-1.amazonaws.com/2024-cards/colin-poche.png" TargetMode="External"/><Relationship Id="rId466" Type="http://schemas.openxmlformats.org/officeDocument/2006/relationships/hyperlink" Target="https://sba-cards-2024.s3.us-east-1.amazonaws.com/2024-cards/jalen-beeks.png" TargetMode="External"/><Relationship Id="rId1055" Type="http://schemas.openxmlformats.org/officeDocument/2006/relationships/hyperlink" Target="https://sba-cards-2024.s3.us-east-1.amazonaws.com/2024-cards/victor-gonzalez.png" TargetMode="External"/><Relationship Id="rId223" Type="http://schemas.openxmlformats.org/officeDocument/2006/relationships/hyperlink" Target="https://sba-cards-2024.s3.us-east-1.amazonaws.com/2024-cards/colin-holderman.png" TargetMode="External"/><Relationship Id="rId465" Type="http://schemas.openxmlformats.org/officeDocument/2006/relationships/hyperlink" Target="https://sba-cards-2024.s3.us-east-1.amazonaws.com/2024-cards/jake-woodford.png" TargetMode="External"/><Relationship Id="rId1056" Type="http://schemas.openxmlformats.org/officeDocument/2006/relationships/hyperlink" Target="https://sba-cards-2024.s3.us-east-1.amazonaws.com/2024-cards/victor-robles.png" TargetMode="External"/><Relationship Id="rId222" Type="http://schemas.openxmlformats.org/officeDocument/2006/relationships/hyperlink" Target="https://sba-cards-2024.s3.us-east-1.amazonaws.com/2024-cards/cole-sands.png" TargetMode="External"/><Relationship Id="rId464" Type="http://schemas.openxmlformats.org/officeDocument/2006/relationships/hyperlink" Target="https://sba-cards-2024.s3.us-east-1.amazonaws.com/2024-cards/jake-rogers.png" TargetMode="External"/><Relationship Id="rId1057" Type="http://schemas.openxmlformats.org/officeDocument/2006/relationships/hyperlink" Target="https://sba-cards-2024.s3.us-east-1.amazonaws.com/2024-cards/victor-scott.png" TargetMode="External"/><Relationship Id="rId221" Type="http://schemas.openxmlformats.org/officeDocument/2006/relationships/hyperlink" Target="https://fieldlevelmedia.com/wp-content/uploads/2025/06/26384113-1024x682.jpg" TargetMode="External"/><Relationship Id="rId463" Type="http://schemas.openxmlformats.org/officeDocument/2006/relationships/hyperlink" Target="https://sba-cards-2024.s3.us-east-1.amazonaws.com/2024-cards/jake-meyers.png" TargetMode="External"/><Relationship Id="rId1058" Type="http://schemas.openxmlformats.org/officeDocument/2006/relationships/hyperlink" Target="https://sba-cards-2024.s3.us-east-1.amazonaws.com/2024-cards/victor-vodnik.png" TargetMode="External"/><Relationship Id="rId1048" Type="http://schemas.openxmlformats.org/officeDocument/2006/relationships/hyperlink" Target="https://sba-cards-2024.s3.us-east-1.amazonaws.com/2024-cards/tyler-wade.png" TargetMode="External"/><Relationship Id="rId1049" Type="http://schemas.openxmlformats.org/officeDocument/2006/relationships/hyperlink" Target="https://sba-cards-2024.s3.us-east-1.amazonaws.com/2024-cards/tylor-megill.png" TargetMode="External"/><Relationship Id="rId217" Type="http://schemas.openxmlformats.org/officeDocument/2006/relationships/hyperlink" Target="https://sba-cards-2024.s3.us-east-1.amazonaws.com/2024-cards/cody-bellinger.png" TargetMode="External"/><Relationship Id="rId459" Type="http://schemas.openxmlformats.org/officeDocument/2006/relationships/hyperlink" Target="https://sba-cards-2024.s3.us-east-1.amazonaws.com/2024-cards/jake-irvin.png" TargetMode="External"/><Relationship Id="rId216" Type="http://schemas.openxmlformats.org/officeDocument/2006/relationships/hyperlink" Target="https://sba-cards-2024.s3.us-east-1.amazonaws.com/2024-cards/clayton-kershaw.png" TargetMode="External"/><Relationship Id="rId458" Type="http://schemas.openxmlformats.org/officeDocument/2006/relationships/hyperlink" Target="https://sba-cards-2024.s3.us-east-1.amazonaws.com/2024-cards/jake-fraley.png" TargetMode="External"/><Relationship Id="rId215" Type="http://schemas.openxmlformats.org/officeDocument/2006/relationships/hyperlink" Target="https://sba-cards-2024.s3.us-east-1.amazonaws.com/2024-cards/clay-holmes.png" TargetMode="External"/><Relationship Id="rId457" Type="http://schemas.openxmlformats.org/officeDocument/2006/relationships/hyperlink" Target="https://sba-cards-2024.s3.us-east-1.amazonaws.com/2024-cards/jake-diekman.png" TargetMode="External"/><Relationship Id="rId699" Type="http://schemas.openxmlformats.org/officeDocument/2006/relationships/hyperlink" Target="https://sba-cards-2024.s3.us-east-1.amazonaws.com/2024-cards/luis-severino.png" TargetMode="External"/><Relationship Id="rId214" Type="http://schemas.openxmlformats.org/officeDocument/2006/relationships/hyperlink" Target="https://sba-cards-2024.s3.us-east-1.amazonaws.com/2024-cards/clarke-schmidt.png" TargetMode="External"/><Relationship Id="rId456" Type="http://schemas.openxmlformats.org/officeDocument/2006/relationships/hyperlink" Target="https://upload.wikimedia.org/wikipedia/commons/8/82/Francisco_de_Goya%2C_Saturno_devorando_a_su_hijo_%281819-1823%29.jpg" TargetMode="External"/><Relationship Id="rId698" Type="http://schemas.openxmlformats.org/officeDocument/2006/relationships/hyperlink" Target="https://sba-cards-2024.s3.us-east-1.amazonaws.com/2024-cards/luis-robert.png" TargetMode="External"/><Relationship Id="rId219" Type="http://schemas.openxmlformats.org/officeDocument/2006/relationships/hyperlink" Target="https://sba-cards-2024.s3.us-east-1.amazonaws.com/2024-cards/cole-irvin.png" TargetMode="External"/><Relationship Id="rId218" Type="http://schemas.openxmlformats.org/officeDocument/2006/relationships/hyperlink" Target="https://sba-cards-2024.s3.us-east-1.amazonaws.com/2024-cards/cody-bradford.png" TargetMode="External"/><Relationship Id="rId451" Type="http://schemas.openxmlformats.org/officeDocument/2006/relationships/hyperlink" Target="https://sba-cards-2024.s3.us-east-1.amazonaws.com/2024-cards/jake-bird.png" TargetMode="External"/><Relationship Id="rId693" Type="http://schemas.openxmlformats.org/officeDocument/2006/relationships/hyperlink" Target="https://sba-cards-2024.s3.us-east-1.amazonaws.com/2024-cards/luis-guillorme.png" TargetMode="External"/><Relationship Id="rId1040" Type="http://schemas.openxmlformats.org/officeDocument/2006/relationships/hyperlink" Target="https://sba-cards-2024.s3.us-east-1.amazonaws.com/2024-cards/tyler-kinley.png" TargetMode="External"/><Relationship Id="rId450" Type="http://schemas.openxmlformats.org/officeDocument/2006/relationships/hyperlink" Target="https://sba-cards-2024.s3.us-east-1.amazonaws.com/2024-cards/jake-bauers.png" TargetMode="External"/><Relationship Id="rId692" Type="http://schemas.openxmlformats.org/officeDocument/2006/relationships/hyperlink" Target="https://sba-cards-2024.s3.us-east-1.amazonaws.com/2024-cards/luis-gil.png" TargetMode="External"/><Relationship Id="rId1041" Type="http://schemas.openxmlformats.org/officeDocument/2006/relationships/hyperlink" Target="https://sba-cards-2024.s3.us-east-1.amazonaws.com/2024-cards/tyler-nevin.png" TargetMode="External"/><Relationship Id="rId691" Type="http://schemas.openxmlformats.org/officeDocument/2006/relationships/hyperlink" Target="https://sba-cards-2024.s3.us-east-1.amazonaws.com/2024-cards/luis-v-garcia.png" TargetMode="External"/><Relationship Id="rId1042" Type="http://schemas.openxmlformats.org/officeDocument/2006/relationships/hyperlink" Target="https://sba-cards-2024.s3.us-east-1.amazonaws.com/2024-cards/tyler-oneill.png" TargetMode="External"/><Relationship Id="rId690" Type="http://schemas.openxmlformats.org/officeDocument/2006/relationships/hyperlink" Target="https://sba-cards-2024.s3.us-east-1.amazonaws.com/2024-cards/luis-castillo.png" TargetMode="External"/><Relationship Id="rId1043" Type="http://schemas.openxmlformats.org/officeDocument/2006/relationships/hyperlink" Target="https://sba-cards-2024.s3.us-east-1.amazonaws.com/2024-cards/tyler-phillips.png" TargetMode="External"/><Relationship Id="rId213" Type="http://schemas.openxmlformats.org/officeDocument/2006/relationships/hyperlink" Target="https://sba-cards-2024.s3.us-east-1.amazonaws.com/2024-cards/cj-abrams.png" TargetMode="External"/><Relationship Id="rId455" Type="http://schemas.openxmlformats.org/officeDocument/2006/relationships/hyperlink" Target="https://sba-cards-2024.s3.us-east-1.amazonaws.com/2024-cards/jake-cronenworth.png" TargetMode="External"/><Relationship Id="rId697" Type="http://schemas.openxmlformats.org/officeDocument/2006/relationships/hyperlink" Target="https://sba-cards-2024.s3.us-east-1.amazonaws.com/2024-cards/luis-rengifo.png" TargetMode="External"/><Relationship Id="rId1044" Type="http://schemas.openxmlformats.org/officeDocument/2006/relationships/hyperlink" Target="https://sba-cards-2024.s3.us-east-1.amazonaws.com/2024-cards/tyler-rogers.png" TargetMode="External"/><Relationship Id="rId212" Type="http://schemas.openxmlformats.org/officeDocument/2006/relationships/hyperlink" Target="https://upload.wikimedia.org/wikipedia/commons/8/82/Francisco_de_Goya%2C_Saturno_devorando_a_su_hijo_%281819-1823%29.jpg" TargetMode="External"/><Relationship Id="rId454" Type="http://schemas.openxmlformats.org/officeDocument/2006/relationships/hyperlink" Target="https://sba-cards-2024.s3.us-east-1.amazonaws.com/2024-cards/jake-cousins.png" TargetMode="External"/><Relationship Id="rId696" Type="http://schemas.openxmlformats.org/officeDocument/2006/relationships/hyperlink" Target="https://sba-cards-2024.s3.us-east-1.amazonaws.com/2024-cards/luis-ortiz.png" TargetMode="External"/><Relationship Id="rId1045" Type="http://schemas.openxmlformats.org/officeDocument/2006/relationships/hyperlink" Target="https://sba-cards-2024.s3.us-east-1.amazonaws.com/2024-cards/tyler-soderstrom.png" TargetMode="External"/><Relationship Id="rId211" Type="http://schemas.openxmlformats.org/officeDocument/2006/relationships/hyperlink" Target="https://sba-cards-2024.s3.us-east-1.amazonaws.com/2024-cards/cionel-perez.png" TargetMode="External"/><Relationship Id="rId453" Type="http://schemas.openxmlformats.org/officeDocument/2006/relationships/hyperlink" Target="https://sba-cards-2024.s3.us-east-1.amazonaws.com/2024-cards/jake-cave.png" TargetMode="External"/><Relationship Id="rId695" Type="http://schemas.openxmlformats.org/officeDocument/2006/relationships/hyperlink" Target="https://sba-cards-2024.s3.us-east-1.amazonaws.com/2024-cards/luis-medina.png" TargetMode="External"/><Relationship Id="rId1046" Type="http://schemas.openxmlformats.org/officeDocument/2006/relationships/hyperlink" Target="https://i.postimg.cc/L8ytnNNk/black-sodastream-soda-machines-1012911011-31-600.jpg" TargetMode="External"/><Relationship Id="rId210" Type="http://schemas.openxmlformats.org/officeDocument/2006/relationships/hyperlink" Target="https://sba-cards-2024.s3.us-east-1.amazonaws.com/2024-cards/chuckie-robinson.png" TargetMode="External"/><Relationship Id="rId452" Type="http://schemas.openxmlformats.org/officeDocument/2006/relationships/hyperlink" Target="https://sba-cards-2024.s3.us-east-1.amazonaws.com/2024-cards/jake-burger.png" TargetMode="External"/><Relationship Id="rId694" Type="http://schemas.openxmlformats.org/officeDocument/2006/relationships/hyperlink" Target="https://sba-cards-2024.s3.us-east-1.amazonaws.com/2024-cards/luis-matos.png" TargetMode="External"/><Relationship Id="rId1047" Type="http://schemas.openxmlformats.org/officeDocument/2006/relationships/hyperlink" Target="https://sba-cards-2024.s3.us-east-1.amazonaws.com/2024-cards/tyler-stephenson.png" TargetMode="External"/><Relationship Id="rId491" Type="http://schemas.openxmlformats.org/officeDocument/2006/relationships/hyperlink" Target="https://sba-cards-2024.s3.us-east-1.amazonaws.com/2024-cards/jeff-criswell.png" TargetMode="External"/><Relationship Id="rId490" Type="http://schemas.openxmlformats.org/officeDocument/2006/relationships/hyperlink" Target="https://sba-cards-2024.s3.us-east-1.amazonaws.com/2024-cards/jd-martinez.png" TargetMode="External"/><Relationship Id="rId249" Type="http://schemas.openxmlformats.org/officeDocument/2006/relationships/hyperlink" Target="https://sba-cards-2024.s3.us-east-1.amazonaws.com/2024-cards/dane-dunning.png" TargetMode="External"/><Relationship Id="rId248" Type="http://schemas.openxmlformats.org/officeDocument/2006/relationships/hyperlink" Target="https://sba-cards-2024.s3.us-east-1.amazonaws.com/2024-cards/dakota-hudson.png" TargetMode="External"/><Relationship Id="rId247" Type="http://schemas.openxmlformats.org/officeDocument/2006/relationships/hyperlink" Target="https://sba-cards-2024.s3.us-east-1.amazonaws.com/2024-cards/dairon-blanco.png" TargetMode="External"/><Relationship Id="rId489" Type="http://schemas.openxmlformats.org/officeDocument/2006/relationships/hyperlink" Target="https://sba-cards-2024.s3.us-east-1.amazonaws.com/2024-cards/jd-davis.png" TargetMode="External"/><Relationship Id="rId1070" Type="http://schemas.openxmlformats.org/officeDocument/2006/relationships/hyperlink" Target="https://sba-cards-2024.s3.us-east-1.amazonaws.com/2024-cards/will-smith.png" TargetMode="External"/><Relationship Id="rId1071" Type="http://schemas.openxmlformats.org/officeDocument/2006/relationships/hyperlink" Target="https://sba-cards-2024.s3.us-east-1.amazonaws.com/2024-cards/will-vest.png" TargetMode="External"/><Relationship Id="rId1072" Type="http://schemas.openxmlformats.org/officeDocument/2006/relationships/hyperlink" Target="https://sba-cards-2024.s3.us-east-1.amazonaws.com/2024-cards/will-wagner.png" TargetMode="External"/><Relationship Id="rId242" Type="http://schemas.openxmlformats.org/officeDocument/2006/relationships/hyperlink" Target="https://sba-cards-2024.s3.us-east-1.amazonaws.com/2024-cards/cristian-javier.png" TargetMode="External"/><Relationship Id="rId484" Type="http://schemas.openxmlformats.org/officeDocument/2006/relationships/hyperlink" Target="https://sba-cards-2024.s3.us-east-1.amazonaws.com/2024-cards/jasson-dominguez.png" TargetMode="External"/><Relationship Id="rId1073" Type="http://schemas.openxmlformats.org/officeDocument/2006/relationships/hyperlink" Target="https://sba-cards-2024.s3.us-east-1.amazonaws.com/2024-cards/willi-castro.png" TargetMode="External"/><Relationship Id="rId241" Type="http://schemas.openxmlformats.org/officeDocument/2006/relationships/hyperlink" Target="https://sba-cards-2024.s3.us-east-1.amazonaws.com/2024-cards/craig-kimbrel.png" TargetMode="External"/><Relationship Id="rId483" Type="http://schemas.openxmlformats.org/officeDocument/2006/relationships/hyperlink" Target="https://sba-cards-2024.s3.us-east-1.amazonaws.com/2024-cards/jason-heyward.png" TargetMode="External"/><Relationship Id="rId1074" Type="http://schemas.openxmlformats.org/officeDocument/2006/relationships/hyperlink" Target="https://sba-cards-2024.s3.us-east-1.amazonaws.com/2024-cards/william-contreras.png" TargetMode="External"/><Relationship Id="rId240" Type="http://schemas.openxmlformats.org/officeDocument/2006/relationships/hyperlink" Target="https://upload.wikimedia.org/wikipedia/commons/8/82/Francisco_de_Goya%2C_Saturno_devorando_a_su_hijo_%281819-1823%29.jpg" TargetMode="External"/><Relationship Id="rId482" Type="http://schemas.openxmlformats.org/officeDocument/2006/relationships/hyperlink" Target="https://sba-cards-2024.s3.us-east-1.amazonaws.com/2024-cards/jason-foley.png" TargetMode="External"/><Relationship Id="rId1075" Type="http://schemas.openxmlformats.org/officeDocument/2006/relationships/hyperlink" Target="https://sba-cards-2024.s3.us-east-1.amazonaws.com/2024-cards/willie-calhoun.png" TargetMode="External"/><Relationship Id="rId481" Type="http://schemas.openxmlformats.org/officeDocument/2006/relationships/hyperlink" Target="https://sba-cards-2024.s3.us-east-1.amazonaws.com/2024-cards/jason-adam.png" TargetMode="External"/><Relationship Id="rId1076" Type="http://schemas.openxmlformats.org/officeDocument/2006/relationships/hyperlink" Target="https://sba-cards-2024.s3.us-east-1.amazonaws.com/2024-cards/willson-contreras.png" TargetMode="External"/><Relationship Id="rId246" Type="http://schemas.openxmlformats.org/officeDocument/2006/relationships/hyperlink" Target="https://sba-cards-2024.s3.us-east-1.amazonaws.com/2024-cards/curtis-mead.png" TargetMode="External"/><Relationship Id="rId488" Type="http://schemas.openxmlformats.org/officeDocument/2006/relationships/hyperlink" Target="https://sba-cards-2024.s3.us-east-1.amazonaws.com/2024-cards/jazz-chisholm.png" TargetMode="External"/><Relationship Id="rId1077" Type="http://schemas.openxmlformats.org/officeDocument/2006/relationships/hyperlink" Target="https://sba-cards-2024.s3.us-east-1.amazonaws.com/2024-cards/willy-adames.png" TargetMode="External"/><Relationship Id="rId245" Type="http://schemas.openxmlformats.org/officeDocument/2006/relationships/hyperlink" Target="https://sba-cards-2024.s3.us-east-1.amazonaws.com/2024-cards/curt-casali.png" TargetMode="External"/><Relationship Id="rId487" Type="http://schemas.openxmlformats.org/officeDocument/2006/relationships/hyperlink" Target="https://sba-cards-2024.s3.us-east-1.amazonaws.com/2024-cards/jay-jackson.png" TargetMode="External"/><Relationship Id="rId1078" Type="http://schemas.openxmlformats.org/officeDocument/2006/relationships/hyperlink" Target="https://i.postimg.cc/W1zKsrMh/temp-Image0phi-Uc.avif" TargetMode="External"/><Relationship Id="rId244" Type="http://schemas.openxmlformats.org/officeDocument/2006/relationships/hyperlink" Target="https://sba-cards-2024.s3.us-east-1.amazonaws.com/2024-cards/cristopher-sanchez.png" TargetMode="External"/><Relationship Id="rId486" Type="http://schemas.openxmlformats.org/officeDocument/2006/relationships/hyperlink" Target="https://sba-cards-2024.s3.us-east-1.amazonaws.com/2024-cards/javier-baez.png" TargetMode="External"/><Relationship Id="rId1079" Type="http://schemas.openxmlformats.org/officeDocument/2006/relationships/hyperlink" Target="https://sba-cards-2024.s3.us-east-1.amazonaws.com/2024-cards/wilmer-flores.png" TargetMode="External"/><Relationship Id="rId243" Type="http://schemas.openxmlformats.org/officeDocument/2006/relationships/hyperlink" Target="https://sba-cards-2024.s3.us-east-1.amazonaws.com/2024-cards/cristian-pache.png" TargetMode="External"/><Relationship Id="rId485" Type="http://schemas.openxmlformats.org/officeDocument/2006/relationships/hyperlink" Target="https://sba-cards-2024.s3.us-east-1.amazonaws.com/2024-cards/javier-assad.png" TargetMode="External"/><Relationship Id="rId480" Type="http://schemas.openxmlformats.org/officeDocument/2006/relationships/hyperlink" Target="https://sba-cards-2024.s3.us-east-1.amazonaws.com/2024-cards/jarren-duran.png" TargetMode="External"/><Relationship Id="rId239" Type="http://schemas.openxmlformats.org/officeDocument/2006/relationships/hyperlink" Target="https://sba-cards-2024.s3.us-east-1.amazonaws.com/2024-cards/corey-seager.png" TargetMode="External"/><Relationship Id="rId238" Type="http://schemas.openxmlformats.org/officeDocument/2006/relationships/hyperlink" Target="https://sba-cards-2024.s3.us-east-1.amazonaws.com/2024-cards/corey-julks.png" TargetMode="External"/><Relationship Id="rId237" Type="http://schemas.openxmlformats.org/officeDocument/2006/relationships/hyperlink" Target="https://sba-cards-2024.s3.us-east-1.amazonaws.com/2024-cards/corbin-carroll.png" TargetMode="External"/><Relationship Id="rId479" Type="http://schemas.openxmlformats.org/officeDocument/2006/relationships/hyperlink" Target="https://sba-cards-2024.s3.us-east-1.amazonaws.com/2024-cards/jarred-kelenic.png" TargetMode="External"/><Relationship Id="rId236" Type="http://schemas.openxmlformats.org/officeDocument/2006/relationships/hyperlink" Target="https://cdn.discordapp.com/attachments/732718041397461023/983500059511521290/unknown.png?ex=685d230e&amp;is=685bd18e&amp;hm=f273d764a3c0bddb8826b6632c950aead1ce029db6b283bf42716b77c70fb7fa&amp;" TargetMode="External"/><Relationship Id="rId478" Type="http://schemas.openxmlformats.org/officeDocument/2006/relationships/hyperlink" Target="https://sba-cards-2024.s3.us-east-1.amazonaws.com/2024-cards/jared-walsh.png" TargetMode="External"/><Relationship Id="rId1060" Type="http://schemas.openxmlformats.org/officeDocument/2006/relationships/hyperlink" Target="https://sba-cards-2024.s3.us-east-1.amazonaws.com/2024-cards/vinnie-pasquantino.png" TargetMode="External"/><Relationship Id="rId1061" Type="http://schemas.openxmlformats.org/officeDocument/2006/relationships/hyperlink" Target="https://sba-cards-2024.s3.us-east-1.amazonaws.com/2024-cards/vladimir-guerrero-jr.png" TargetMode="External"/><Relationship Id="rId231" Type="http://schemas.openxmlformats.org/officeDocument/2006/relationships/hyperlink" Target="https://sba-cards-2024.s3.us-east-1.amazonaws.com/2024-cards/connor-joe.png" TargetMode="External"/><Relationship Id="rId473" Type="http://schemas.openxmlformats.org/officeDocument/2006/relationships/hyperlink" Target="https://sba-cards-2024.s3.us-east-1.amazonaws.com/2024-cards/jameson-taillon.png" TargetMode="External"/><Relationship Id="rId1062" Type="http://schemas.openxmlformats.org/officeDocument/2006/relationships/hyperlink" Target="https://sba-cards-2024.s3.us-east-1.amazonaws.com/2024-cards/walker-buehler.png" TargetMode="External"/><Relationship Id="rId230" Type="http://schemas.openxmlformats.org/officeDocument/2006/relationships/hyperlink" Target="https://upload.wikimedia.org/wikipedia/commons/8/82/Francisco_de_Goya%2C_Saturno_devorando_a_su_hijo_%281819-1823%29.jpg" TargetMode="External"/><Relationship Id="rId472" Type="http://schemas.openxmlformats.org/officeDocument/2006/relationships/hyperlink" Target="https://sba-cards-2024.s3.us-east-1.amazonaws.com/2024-cards/james-wood.png" TargetMode="External"/><Relationship Id="rId1063" Type="http://schemas.openxmlformats.org/officeDocument/2006/relationships/hyperlink" Target="https://sba-cards-2024.s3.us-east-1.amazonaws.com/2024-cards/wandy-peralta.png" TargetMode="External"/><Relationship Id="rId471" Type="http://schemas.openxmlformats.org/officeDocument/2006/relationships/hyperlink" Target="https://sba-cards-2024.s3.us-east-1.amazonaws.com/2024-cards/james-paxton.png" TargetMode="External"/><Relationship Id="rId1064" Type="http://schemas.openxmlformats.org/officeDocument/2006/relationships/hyperlink" Target="https://sba-cards-2024.s3.us-east-1.amazonaws.com/2024-cards/wenceel-perez.png" TargetMode="External"/><Relationship Id="rId470" Type="http://schemas.openxmlformats.org/officeDocument/2006/relationships/hyperlink" Target="https://sba-cards-2024.s3.us-east-1.amazonaws.com/2024-cards/james-outman.png" TargetMode="External"/><Relationship Id="rId1065" Type="http://schemas.openxmlformats.org/officeDocument/2006/relationships/hyperlink" Target="https://sba-cards-2024.s3.us-east-1.amazonaws.com/2024-cards/weston-wilson.png" TargetMode="External"/><Relationship Id="rId235" Type="http://schemas.openxmlformats.org/officeDocument/2006/relationships/hyperlink" Target="https://sba-cards-2024.s3.us-east-1.amazonaws.com/2024-cards/corbin-burnes.png" TargetMode="External"/><Relationship Id="rId477" Type="http://schemas.openxmlformats.org/officeDocument/2006/relationships/hyperlink" Target="https://sba-cards-2024.s3.us-east-1.amazonaws.com/2024-cards/jared-triolo.png" TargetMode="External"/><Relationship Id="rId1066" Type="http://schemas.openxmlformats.org/officeDocument/2006/relationships/hyperlink" Target="https://sba-cards-2024.s3.us-east-1.amazonaws.com/2024-cards/whit-merrifield.png" TargetMode="External"/><Relationship Id="rId234" Type="http://schemas.openxmlformats.org/officeDocument/2006/relationships/hyperlink" Target="https://sba-cards-2024.s3.us-east-1.amazonaws.com/2024-cards/cooper-criswell.png" TargetMode="External"/><Relationship Id="rId476" Type="http://schemas.openxmlformats.org/officeDocument/2006/relationships/hyperlink" Target="https://sba-cards-2024.s3.us-east-1.amazonaws.com/2024-cards/jared-shuster.png" TargetMode="External"/><Relationship Id="rId1067" Type="http://schemas.openxmlformats.org/officeDocument/2006/relationships/hyperlink" Target="https://sba-cards-2024.s3.us-east-1.amazonaws.com/2024-cards/will-benson.png" TargetMode="External"/><Relationship Id="rId233" Type="http://schemas.openxmlformats.org/officeDocument/2006/relationships/hyperlink" Target="https://sba-cards-2024.s3.us-east-1.amazonaws.com/2024-cards/connor-wong.png" TargetMode="External"/><Relationship Id="rId475" Type="http://schemas.openxmlformats.org/officeDocument/2006/relationships/hyperlink" Target="https://sba-cards-2024.s3.us-east-1.amazonaws.com/2024-cards/jared-koenig.png" TargetMode="External"/><Relationship Id="rId1068" Type="http://schemas.openxmlformats.org/officeDocument/2006/relationships/hyperlink" Target="https://sba-cards-2024.s3.us-east-1.amazonaws.com/2024-cards/will-brennan.png" TargetMode="External"/><Relationship Id="rId232" Type="http://schemas.openxmlformats.org/officeDocument/2006/relationships/hyperlink" Target="https://sba-cards-2024.s3.us-east-1.amazonaws.com/2024-cards/connor-norby.png" TargetMode="External"/><Relationship Id="rId474" Type="http://schemas.openxmlformats.org/officeDocument/2006/relationships/hyperlink" Target="https://sba-cards-2024.s3.us-east-1.amazonaws.com/2024-cards/jared-jones.png" TargetMode="External"/><Relationship Id="rId1069" Type="http://schemas.openxmlformats.org/officeDocument/2006/relationships/hyperlink" Target="https://sba-cards-2024.s3.us-east-1.amazonaws.com/2024-cards/will-d-smith.png" TargetMode="External"/><Relationship Id="rId1015" Type="http://schemas.openxmlformats.org/officeDocument/2006/relationships/hyperlink" Target="https://sba-cards-2024.s3.us-east-1.amazonaws.com/2024-cards/trea-turner.png" TargetMode="External"/><Relationship Id="rId1016" Type="http://schemas.openxmlformats.org/officeDocument/2006/relationships/hyperlink" Target="https://sba-cards-2024.s3.us-east-1.amazonaws.com/2024-cards/trent-grisham.png" TargetMode="External"/><Relationship Id="rId1017" Type="http://schemas.openxmlformats.org/officeDocument/2006/relationships/hyperlink" Target="https://sba-cards-2024.s3.us-east-1.amazonaws.com/2024-cards/trent-thornton.png" TargetMode="External"/><Relationship Id="rId1018" Type="http://schemas.openxmlformats.org/officeDocument/2006/relationships/hyperlink" Target="https://sba-cards-2024.s3.us-east-1.amazonaws.com/2024-cards/trevor-larnach.png" TargetMode="External"/><Relationship Id="rId1019" Type="http://schemas.openxmlformats.org/officeDocument/2006/relationships/hyperlink" Target="https://sba-cards-2024.s3.us-east-1.amazonaws.com/2024-cards/trevor-megill.png" TargetMode="External"/><Relationship Id="rId426" Type="http://schemas.openxmlformats.org/officeDocument/2006/relationships/hyperlink" Target="https://sba-cards-2024.s3.us-east-1.amazonaws.com/2024-cards/ian-happ.png" TargetMode="External"/><Relationship Id="rId668" Type="http://schemas.openxmlformats.org/officeDocument/2006/relationships/hyperlink" Target="https://sba-cards-2024.s3.us-east-1.amazonaws.com/2024-cards/landen-roupp.png" TargetMode="External"/><Relationship Id="rId425" Type="http://schemas.openxmlformats.org/officeDocument/2006/relationships/hyperlink" Target="https://sba-cards-2024.s3.us-east-1.amazonaws.com/2024-cards/ian-hamilton.png" TargetMode="External"/><Relationship Id="rId667" Type="http://schemas.openxmlformats.org/officeDocument/2006/relationships/hyperlink" Target="https://sba-cards-2024.s3.us-east-1.amazonaws.com/2024-cards/lance-lynn.png" TargetMode="External"/><Relationship Id="rId424" Type="http://schemas.openxmlformats.org/officeDocument/2006/relationships/hyperlink" Target="https://i.postimg.cc/brjxBXRQ/temp-Imageo-B59pt.avif" TargetMode="External"/><Relationship Id="rId666" Type="http://schemas.openxmlformats.org/officeDocument/2006/relationships/hyperlink" Target="https://sba-cards-2024.s3.us-east-1.amazonaws.com/2024-cards/lamonte-wade-jr.png" TargetMode="External"/><Relationship Id="rId423" Type="http://schemas.openxmlformats.org/officeDocument/2006/relationships/hyperlink" Target="https://sba-cards-2024.s3.us-east-1.amazonaws.com/2024-cards/hunter-strickland.png" TargetMode="External"/><Relationship Id="rId665" Type="http://schemas.openxmlformats.org/officeDocument/2006/relationships/hyperlink" Target="https://sba-cards-2024.s3.us-east-1.amazonaws.com/2024-cards/kyle-tyler.png" TargetMode="External"/><Relationship Id="rId429" Type="http://schemas.openxmlformats.org/officeDocument/2006/relationships/hyperlink" Target="https://sba-cards-2024.s3.us-east-1.amazonaws.com/2024-cards/isiah-kiner-falefa.png" TargetMode="External"/><Relationship Id="rId428" Type="http://schemas.openxmlformats.org/officeDocument/2006/relationships/hyperlink" Target="https://sba-cards-2024.s3.us-east-1.amazonaws.com/2024-cards/isaac-paredes.png" TargetMode="External"/><Relationship Id="rId427" Type="http://schemas.openxmlformats.org/officeDocument/2006/relationships/hyperlink" Target="https://sba-cards-2024.s3.us-east-1.amazonaws.com/2024-cards/ildemaro-vargas.png" TargetMode="External"/><Relationship Id="rId669" Type="http://schemas.openxmlformats.org/officeDocument/2006/relationships/hyperlink" Target="https://sba-cards-2024.s3.us-east-1.amazonaws.com/2024-cards/landon-knack.png" TargetMode="External"/><Relationship Id="rId660" Type="http://schemas.openxmlformats.org/officeDocument/2006/relationships/hyperlink" Target="https://sba-cards-2024.s3.us-east-1.amazonaws.com/2024-cards/kyle-schwarber.png" TargetMode="External"/><Relationship Id="rId1010" Type="http://schemas.openxmlformats.org/officeDocument/2006/relationships/hyperlink" Target="https://sba-cards-2024.s3.us-east-1.amazonaws.com/2024-cards/tommy-pham.png" TargetMode="External"/><Relationship Id="rId422" Type="http://schemas.openxmlformats.org/officeDocument/2006/relationships/hyperlink" Target="https://sba-cards-2024.s3.us-east-1.amazonaws.com/2024-cards/hunter-stratton.png" TargetMode="External"/><Relationship Id="rId664" Type="http://schemas.openxmlformats.org/officeDocument/2006/relationships/hyperlink" Target="https://i.postimg.cc/hPLQ7pPz/1938-ffc736b3-589b-4f8c-af68-631ca46b9f86.jpg" TargetMode="External"/><Relationship Id="rId1011" Type="http://schemas.openxmlformats.org/officeDocument/2006/relationships/hyperlink" Target="https://sba-cards-2024.s3.us-east-1.amazonaws.com/2024-cards/tony-santillan.png" TargetMode="External"/><Relationship Id="rId421" Type="http://schemas.openxmlformats.org/officeDocument/2006/relationships/hyperlink" Target="https://sba-cards-2024.s3.us-east-1.amazonaws.com/2024-cards/hunter-renfroe.png" TargetMode="External"/><Relationship Id="rId663" Type="http://schemas.openxmlformats.org/officeDocument/2006/relationships/hyperlink" Target="https://sba-cards-2024.s3.us-east-1.amazonaws.com/2024-cards/kyle-tucker.png" TargetMode="External"/><Relationship Id="rId1012" Type="http://schemas.openxmlformats.org/officeDocument/2006/relationships/hyperlink" Target="https://sba-cards-2024.s3.us-east-1.amazonaws.com/2024-cards/touki-toussaint.png" TargetMode="External"/><Relationship Id="rId420" Type="http://schemas.openxmlformats.org/officeDocument/2006/relationships/hyperlink" Target="https://sba-cards-2024.s3.us-east-1.amazonaws.com/2024-cards/hunter-harvey.png" TargetMode="External"/><Relationship Id="rId662" Type="http://schemas.openxmlformats.org/officeDocument/2006/relationships/hyperlink" Target="https://sba-cards-2024.s3.us-east-1.amazonaws.com/2024-cards/kyle-stowers.png" TargetMode="External"/><Relationship Id="rId1013" Type="http://schemas.openxmlformats.org/officeDocument/2006/relationships/hyperlink" Target="https://sba-cards-2024.s3.us-east-1.amazonaws.com/2024-cards/travis-darnaud.png" TargetMode="External"/><Relationship Id="rId661" Type="http://schemas.openxmlformats.org/officeDocument/2006/relationships/hyperlink" Target="https://media.discordapp.net/attachments/687509947575304309/1395924513895616602/image.png?ex=687c3783&amp;is=687ae603&amp;hm=7162318a2661daa17b3374649f0fed39d8eaf04c692088f070b9e05d1f5ba6c0&amp;=&amp;format=webp&amp;quality=lossless" TargetMode="External"/><Relationship Id="rId1014" Type="http://schemas.openxmlformats.org/officeDocument/2006/relationships/hyperlink" Target="https://sba-cards-2024.s3.us-east-1.amazonaws.com/2024-cards/travis-jankowski.png" TargetMode="External"/><Relationship Id="rId1004" Type="http://schemas.openxmlformats.org/officeDocument/2006/relationships/hyperlink" Target="https://sba-cards-2024.s3.us-east-1.amazonaws.com/2024-cards/tobias-myers.png" TargetMode="External"/><Relationship Id="rId1005" Type="http://schemas.openxmlformats.org/officeDocument/2006/relationships/hyperlink" Target="https://sba-cards-2024.s3.us-east-1.amazonaws.com/2024-cards/tomas-nido.png" TargetMode="External"/><Relationship Id="rId1006" Type="http://schemas.openxmlformats.org/officeDocument/2006/relationships/hyperlink" Target="https://sba-cards-2024.s3.us-east-1.amazonaws.com/2024-cards/tommy-edman.png" TargetMode="External"/><Relationship Id="rId1007" Type="http://schemas.openxmlformats.org/officeDocument/2006/relationships/hyperlink" Target="https://sba-cards-2024.s3.us-east-1.amazonaws.com/2024-cards/tommy-henry.png" TargetMode="External"/><Relationship Id="rId1008" Type="http://schemas.openxmlformats.org/officeDocument/2006/relationships/hyperlink" Target="https://sba-cards-2024.s3.us-east-1.amazonaws.com/2024-cards/tommy-kahnle.png" TargetMode="External"/><Relationship Id="rId1009" Type="http://schemas.openxmlformats.org/officeDocument/2006/relationships/hyperlink" Target="https://sba-cards-2024.s3.us-east-1.amazonaws.com/2024-cards/tommy-nance.png" TargetMode="External"/><Relationship Id="rId415" Type="http://schemas.openxmlformats.org/officeDocument/2006/relationships/hyperlink" Target="https://sba-cards-2024.s3.us-east-1.amazonaws.com/2024-cards/hunter-brown.png" TargetMode="External"/><Relationship Id="rId657" Type="http://schemas.openxmlformats.org/officeDocument/2006/relationships/hyperlink" Target="https://sba-cards-2024.s3.us-east-1.amazonaws.com/2024-cards/kyle-muller.png" TargetMode="External"/><Relationship Id="rId899" Type="http://schemas.openxmlformats.org/officeDocument/2006/relationships/hyperlink" Target="https://upload.wikimedia.org/wikipedia/commons/8/82/Francisco_de_Goya%2C_Saturno_devorando_a_su_hijo_%281819-1823%29.jpg" TargetMode="External"/><Relationship Id="rId414" Type="http://schemas.openxmlformats.org/officeDocument/2006/relationships/hyperlink" Target="https://sba-cards-2024.s3.us-east-1.amazonaws.com/2024-cards/huascar-brazoban.png" TargetMode="External"/><Relationship Id="rId656" Type="http://schemas.openxmlformats.org/officeDocument/2006/relationships/hyperlink" Target="https://sba-cards-2024.s3.us-east-1.amazonaws.com/2024-cards/kyle-mccann.png" TargetMode="External"/><Relationship Id="rId898" Type="http://schemas.openxmlformats.org/officeDocument/2006/relationships/hyperlink" Target="https://sba-cards-2024.s3.us-east-1.amazonaws.com/2024-cards/ronel-blanco.png" TargetMode="External"/><Relationship Id="rId413" Type="http://schemas.openxmlformats.org/officeDocument/2006/relationships/hyperlink" Target="https://sba-cards-2024.s3.us-east-1.amazonaws.com/2024-cards/hogan-harris.png" TargetMode="External"/><Relationship Id="rId655" Type="http://schemas.openxmlformats.org/officeDocument/2006/relationships/hyperlink" Target="https://sba-cards-2024.s3.us-east-1.amazonaws.com/2024-cards/kyle-manzardo.png" TargetMode="External"/><Relationship Id="rId897" Type="http://schemas.openxmlformats.org/officeDocument/2006/relationships/hyperlink" Target="https://sba-cards-2024.s3.us-east-1.amazonaws.com/2024-cards/ronald-acuna-jr.png" TargetMode="External"/><Relationship Id="rId412" Type="http://schemas.openxmlformats.org/officeDocument/2006/relationships/hyperlink" Target="https://sba-cards-2024.s3.us-east-1.amazonaws.com/2024-cards/hoby-milner.png" TargetMode="External"/><Relationship Id="rId654" Type="http://schemas.openxmlformats.org/officeDocument/2006/relationships/hyperlink" Target="https://upload.wikimedia.org/wikipedia/commons/8/82/Francisco_de_Goya%2C_Saturno_devorando_a_su_hijo_%281819-1823%29.jpg" TargetMode="External"/><Relationship Id="rId896" Type="http://schemas.openxmlformats.org/officeDocument/2006/relationships/hyperlink" Target="https://sba-cards-2024.s3.us-east-1.amazonaws.com/2024-cards/ron-marinaccio.png" TargetMode="External"/><Relationship Id="rId419" Type="http://schemas.openxmlformats.org/officeDocument/2006/relationships/hyperlink" Target="https://i.postimg.cc/YS40r3vs/Green.jpg" TargetMode="External"/><Relationship Id="rId418" Type="http://schemas.openxmlformats.org/officeDocument/2006/relationships/hyperlink" Target="https://sba-cards-2024.s3.us-east-1.amazonaws.com/2024-cards/hunter-greene.png" TargetMode="External"/><Relationship Id="rId417" Type="http://schemas.openxmlformats.org/officeDocument/2006/relationships/hyperlink" Target="https://sba-cards-2024.s3.us-east-1.amazonaws.com/2024-cards/hunter-goodman.png" TargetMode="External"/><Relationship Id="rId659" Type="http://schemas.openxmlformats.org/officeDocument/2006/relationships/hyperlink" Target="https://upload.wikimedia.org/wikipedia/commons/8/82/Francisco_de_Goya%2C_Saturno_devorando_a_su_hijo_(1819-1823).jpg" TargetMode="External"/><Relationship Id="rId416" Type="http://schemas.openxmlformats.org/officeDocument/2006/relationships/hyperlink" Target="https://sba-cards-2024.s3.us-east-1.amazonaws.com/2024-cards/hunter-gaddis.png" TargetMode="External"/><Relationship Id="rId658" Type="http://schemas.openxmlformats.org/officeDocument/2006/relationships/hyperlink" Target="https://sba-cards-2024.s3.us-east-1.amazonaws.com/2024-cards/kyle-nicolas.png" TargetMode="External"/><Relationship Id="rId891" Type="http://schemas.openxmlformats.org/officeDocument/2006/relationships/hyperlink" Target="https://sba-cards-2024.s3.us-east-1.amazonaws.com/2024-cards/robbie-ray.png" TargetMode="External"/><Relationship Id="rId890" Type="http://schemas.openxmlformats.org/officeDocument/2006/relationships/hyperlink" Target="https://sba-cards-2024.s3.us-east-1.amazonaws.com/2024-cards/robbie-grossman.png" TargetMode="External"/><Relationship Id="rId411" Type="http://schemas.openxmlformats.org/officeDocument/2006/relationships/hyperlink" Target="https://sba-cards-2024.s3.us-east-1.amazonaws.com/2024-cards/heston-kjerstad.png" TargetMode="External"/><Relationship Id="rId653" Type="http://schemas.openxmlformats.org/officeDocument/2006/relationships/hyperlink" Target="https://sba-cards-2024.s3.us-east-1.amazonaws.com/2024-cards/kyle-leahy.png" TargetMode="External"/><Relationship Id="rId895" Type="http://schemas.openxmlformats.org/officeDocument/2006/relationships/hyperlink" Target="https://sba-cards-2024.s3.us-east-1.amazonaws.com/2024-cards/romy-gonzalez.png" TargetMode="External"/><Relationship Id="rId1000" Type="http://schemas.openxmlformats.org/officeDocument/2006/relationships/hyperlink" Target="https://sba-cards-2024.s3.us-east-1.amazonaws.com/2024-cards/tim-hill.png" TargetMode="External"/><Relationship Id="rId410" Type="http://schemas.openxmlformats.org/officeDocument/2006/relationships/hyperlink" Target="https://sba-cards-2024.s3.us-east-1.amazonaws.com/2024-cards/henry-davis.png" TargetMode="External"/><Relationship Id="rId652" Type="http://schemas.openxmlformats.org/officeDocument/2006/relationships/hyperlink" Target="https://sba-cards-2024.s3.us-east-1.amazonaws.com/2024-cards/kyle-isbel.png" TargetMode="External"/><Relationship Id="rId894" Type="http://schemas.openxmlformats.org/officeDocument/2006/relationships/hyperlink" Target="https://sba-cards-2024.s3.us-east-1.amazonaws.com/2024-cards/roddery-munoz.png" TargetMode="External"/><Relationship Id="rId1001" Type="http://schemas.openxmlformats.org/officeDocument/2006/relationships/hyperlink" Target="https://sba-cards-2024.s3.us-east-1.amazonaws.com/2024-cards/tim-mayza.png" TargetMode="External"/><Relationship Id="rId651" Type="http://schemas.openxmlformats.org/officeDocument/2006/relationships/hyperlink" Target="https://sba-cards-2024.s3.us-east-1.amazonaws.com/2024-cards/kyle-higashioka.png" TargetMode="External"/><Relationship Id="rId893" Type="http://schemas.openxmlformats.org/officeDocument/2006/relationships/hyperlink" Target="https://sba-cards-2024.s3.us-east-1.amazonaws.com/2024-cards/robert-suarez.png" TargetMode="External"/><Relationship Id="rId1002" Type="http://schemas.openxmlformats.org/officeDocument/2006/relationships/hyperlink" Target="https://sba-cards-2024.s3.us-east-1.amazonaws.com/2024-cards/tj-friedl.png" TargetMode="External"/><Relationship Id="rId650" Type="http://schemas.openxmlformats.org/officeDocument/2006/relationships/hyperlink" Target="https://sba-cards-2024.s3.us-east-1.amazonaws.com/2024-cards/kyle-hendricks.png" TargetMode="External"/><Relationship Id="rId892" Type="http://schemas.openxmlformats.org/officeDocument/2006/relationships/hyperlink" Target="https://sba-cards-2024.s3.us-east-1.amazonaws.com/2024-cards/robert-garcia.png" TargetMode="External"/><Relationship Id="rId1003" Type="http://schemas.openxmlformats.org/officeDocument/2006/relationships/hyperlink" Target="https://sba-cards-2024.s3.us-east-1.amazonaws.com/2024-cards/tj-mcfarland.png" TargetMode="External"/><Relationship Id="rId1037" Type="http://schemas.openxmlformats.org/officeDocument/2006/relationships/hyperlink" Target="https://sba-cards-2024.s3.us-east-1.amazonaws.com/2024-cards/tyler-freeman.png" TargetMode="External"/><Relationship Id="rId1038" Type="http://schemas.openxmlformats.org/officeDocument/2006/relationships/hyperlink" Target="https://sba-cards-2024.s3.us-east-1.amazonaws.com/2024-cards/tyler-glasnow.png" TargetMode="External"/><Relationship Id="rId1039" Type="http://schemas.openxmlformats.org/officeDocument/2006/relationships/hyperlink" Target="https://sba-cards-2024.s3.us-east-1.amazonaws.com/2024-cards/tyler-holton.png" TargetMode="External"/><Relationship Id="rId206" Type="http://schemas.openxmlformats.org/officeDocument/2006/relationships/hyperlink" Target="https://www.azcentral.com/gcdn/presto/2019/02/21/PPHX/11b6e67f-9c14-46d5-89fb-5f1976f3db3f-RS_00037.JPG" TargetMode="External"/><Relationship Id="rId448" Type="http://schemas.openxmlformats.org/officeDocument/2006/relationships/hyperlink" Target="https://sba-cards-2024.s3.us-east-1.amazonaws.com/2024-cards/jacob-wilson.png" TargetMode="External"/><Relationship Id="rId205" Type="http://schemas.openxmlformats.org/officeDocument/2006/relationships/hyperlink" Target="https://sba-cards-2024.s3.us-east-1.amazonaws.com/2024-cards/christian-walker.png" TargetMode="External"/><Relationship Id="rId447" Type="http://schemas.openxmlformats.org/officeDocument/2006/relationships/hyperlink" Target="https://sba-cards-2024.s3.us-east-1.amazonaws.com/2024-cards/jacob-webb.png" TargetMode="External"/><Relationship Id="rId689" Type="http://schemas.openxmlformats.org/officeDocument/2006/relationships/hyperlink" Target="https://sba-cards-2024.s3.us-east-1.amazonaws.com/2024-cards/luis-campusano.png" TargetMode="External"/><Relationship Id="rId204" Type="http://schemas.openxmlformats.org/officeDocument/2006/relationships/hyperlink" Target="https://sba-cards-2024.s3.us-east-1.amazonaws.com/2024-cards/christian-vazquez.png" TargetMode="External"/><Relationship Id="rId446" Type="http://schemas.openxmlformats.org/officeDocument/2006/relationships/hyperlink" Target="https://sba-cards-2024.s3.us-east-1.amazonaws.com/2024-cards/jacob-stallings.png" TargetMode="External"/><Relationship Id="rId688" Type="http://schemas.openxmlformats.org/officeDocument/2006/relationships/hyperlink" Target="https://sba-cards-2024.s3.us-east-1.amazonaws.com/2024-cards/luis-arraez.png" TargetMode="External"/><Relationship Id="rId203" Type="http://schemas.openxmlformats.org/officeDocument/2006/relationships/hyperlink" Target="https://sba-cards-2024.s3.us-east-1.amazonaws.com/2024-cards/christian-scott.png" TargetMode="External"/><Relationship Id="rId445" Type="http://schemas.openxmlformats.org/officeDocument/2006/relationships/hyperlink" Target="https://sba-cards-2024.s3.us-east-1.amazonaws.com/2024-cards/jacob-latz.png" TargetMode="External"/><Relationship Id="rId687" Type="http://schemas.openxmlformats.org/officeDocument/2006/relationships/hyperlink" Target="https://sba-cards-2024.s3.us-east-1.amazonaws.com/2024-cards/lucas-sims.png" TargetMode="External"/><Relationship Id="rId209" Type="http://schemas.openxmlformats.org/officeDocument/2006/relationships/hyperlink" Target="https://sba-cards-2024.s3.us-east-1.amazonaws.com/2024-cards/christopher-morel.png" TargetMode="External"/><Relationship Id="rId208" Type="http://schemas.openxmlformats.org/officeDocument/2006/relationships/hyperlink" Target="https://media.discordapp.net/attachments/217481916687974400/1262925072327245854/image.png?ex=685d3961&amp;is=685be7e1&amp;hm=736c58f96e32ade4dc56a0f240baf7b2d55065bc2833a9ec4bf5e2edeed22c6f&amp;=&amp;format=webp&amp;quality=lossless&amp;width=1038&amp;height=968" TargetMode="External"/><Relationship Id="rId207" Type="http://schemas.openxmlformats.org/officeDocument/2006/relationships/hyperlink" Target="https://sba-cards-2024.s3.us-east-1.amazonaws.com/2024-cards/christian-yelich.png" TargetMode="External"/><Relationship Id="rId449" Type="http://schemas.openxmlformats.org/officeDocument/2006/relationships/hyperlink" Target="https://sba-cards-2024.s3.us-east-1.amazonaws.com/2024-cards/jacob-young.png" TargetMode="External"/><Relationship Id="rId440" Type="http://schemas.openxmlformats.org/officeDocument/2006/relationships/hyperlink" Target="https://sba-cards-2024.s3.us-east-1.amazonaws.com/2024-cards/jackson-holliday.png" TargetMode="External"/><Relationship Id="rId682" Type="http://schemas.openxmlformats.org/officeDocument/2006/relationships/hyperlink" Target="https://sba-cards-2024.s3.us-east-1.amazonaws.com/2024-cards/logan-webb.png" TargetMode="External"/><Relationship Id="rId681" Type="http://schemas.openxmlformats.org/officeDocument/2006/relationships/hyperlink" Target="https://sba-cards-2024.s3.us-east-1.amazonaws.com/2024-cards/logan-t-allen.png" TargetMode="External"/><Relationship Id="rId1030" Type="http://schemas.openxmlformats.org/officeDocument/2006/relationships/hyperlink" Target="https://sba-cards-2024.s3.us-east-1.amazonaws.com/2024-cards/tucker-barnhart.png" TargetMode="External"/><Relationship Id="rId680" Type="http://schemas.openxmlformats.org/officeDocument/2006/relationships/hyperlink" Target="https://sba-cards-2024.s3.us-east-1.amazonaws.com/2024-cards/logan-ohoppe.png" TargetMode="External"/><Relationship Id="rId1031" Type="http://schemas.openxmlformats.org/officeDocument/2006/relationships/hyperlink" Target="https://sba-cards-2024.s3.us-east-1.amazonaws.com/2024-cards/ty-blach.png" TargetMode="External"/><Relationship Id="rId1032" Type="http://schemas.openxmlformats.org/officeDocument/2006/relationships/hyperlink" Target="https://sba-cards-2024.s3.us-east-1.amazonaws.com/2024-cards/ty-france.png" TargetMode="External"/><Relationship Id="rId202" Type="http://schemas.openxmlformats.org/officeDocument/2006/relationships/hyperlink" Target="https://sba-cards-2024.s3.us-east-1.amazonaws.com/2024-cards/christian-encarnacion-strand.png" TargetMode="External"/><Relationship Id="rId444" Type="http://schemas.openxmlformats.org/officeDocument/2006/relationships/hyperlink" Target="https://sba-cards-2024.s3.us-east-1.amazonaws.com/2024-cards/jacob-hurtubise.png" TargetMode="External"/><Relationship Id="rId686" Type="http://schemas.openxmlformats.org/officeDocument/2006/relationships/hyperlink" Target="https://sba-cards-2024.s3.us-east-1.amazonaws.com/2024-cards/lucas-erceg.png" TargetMode="External"/><Relationship Id="rId1033" Type="http://schemas.openxmlformats.org/officeDocument/2006/relationships/hyperlink" Target="https://sba-cards-2024.s3.us-east-1.amazonaws.com/2024-cards/tyler-alexander.png" TargetMode="External"/><Relationship Id="rId201" Type="http://schemas.openxmlformats.org/officeDocument/2006/relationships/hyperlink" Target="https://sba-cards-2024.s3.us-east-1.amazonaws.com/2024-cards/christian-bethancourt.png" TargetMode="External"/><Relationship Id="rId443" Type="http://schemas.openxmlformats.org/officeDocument/2006/relationships/hyperlink" Target="https://sba-cards-2024.s3.us-east-1.amazonaws.com/2024-cards/jacob-barnes.png" TargetMode="External"/><Relationship Id="rId685" Type="http://schemas.openxmlformats.org/officeDocument/2006/relationships/hyperlink" Target="https://sba-cards-2024.s3.us-east-1.amazonaws.com/2024-cards/lourdes-gurriel-jr.png" TargetMode="External"/><Relationship Id="rId1034" Type="http://schemas.openxmlformats.org/officeDocument/2006/relationships/hyperlink" Target="https://sba-cards-2024.s3.us-east-1.amazonaws.com/2024-cards/tyler-anderson.png" TargetMode="External"/><Relationship Id="rId200" Type="http://schemas.openxmlformats.org/officeDocument/2006/relationships/hyperlink" Target="https://sba-cards-2024.s3.us-east-1.amazonaws.com/2024-cards/chris-taylor.png" TargetMode="External"/><Relationship Id="rId442" Type="http://schemas.openxmlformats.org/officeDocument/2006/relationships/hyperlink" Target="https://sba-cards-2024.s3.us-east-1.amazonaws.com/2024-cards/jacob-amaya.png" TargetMode="External"/><Relationship Id="rId684" Type="http://schemas.openxmlformats.org/officeDocument/2006/relationships/hyperlink" Target="https://sba-cards-2024.s3.us-east-1.amazonaws.com/2024-cards/louie-varland.png" TargetMode="External"/><Relationship Id="rId1035" Type="http://schemas.openxmlformats.org/officeDocument/2006/relationships/hyperlink" Target="https://sba-cards-2024.s3.us-east-1.amazonaws.com/2024-cards/tyler-ferguson.png" TargetMode="External"/><Relationship Id="rId441" Type="http://schemas.openxmlformats.org/officeDocument/2006/relationships/hyperlink" Target="https://sba-cards-2024.s3.us-east-1.amazonaws.com/2024-cards/jackson-merrill.png" TargetMode="External"/><Relationship Id="rId683" Type="http://schemas.openxmlformats.org/officeDocument/2006/relationships/hyperlink" Target="https://i.postimg.cc/HWbqTG3J/cy.png" TargetMode="External"/><Relationship Id="rId1036" Type="http://schemas.openxmlformats.org/officeDocument/2006/relationships/hyperlink" Target="https://sba-cards-2024.s3.us-east-1.amazonaws.com/2024-cards/tyler-fitzgerald.png" TargetMode="External"/><Relationship Id="rId1026" Type="http://schemas.openxmlformats.org/officeDocument/2006/relationships/hyperlink" Target="https://sba-cards-2024.s3.us-east-1.amazonaws.com/2024-cards/trey-lipscomb.png" TargetMode="External"/><Relationship Id="rId1027" Type="http://schemas.openxmlformats.org/officeDocument/2006/relationships/hyperlink" Target="https://sba-cards-2024.s3.us-east-1.amazonaws.com/2024-cards/trey-sweeney.png" TargetMode="External"/><Relationship Id="rId1028" Type="http://schemas.openxmlformats.org/officeDocument/2006/relationships/hyperlink" Target="https://sba-cards-2024.s3.us-east-1.amazonaws.com/2024-cards/triston-casas.png" TargetMode="External"/><Relationship Id="rId1029" Type="http://schemas.openxmlformats.org/officeDocument/2006/relationships/hyperlink" Target="https://sba-cards-2024.s3.us-east-1.amazonaws.com/2024-cards/triston-mckenzie.png" TargetMode="External"/><Relationship Id="rId437" Type="http://schemas.openxmlformats.org/officeDocument/2006/relationships/hyperlink" Target="https://sba-cards-2024.s3.us-east-1.amazonaws.com/2024-cards/jack-suwinski.png" TargetMode="External"/><Relationship Id="rId679" Type="http://schemas.openxmlformats.org/officeDocument/2006/relationships/hyperlink" Target="https://sba-cards-2024.s3.us-east-1.amazonaws.com/2024-cards/logan-gilbert.png" TargetMode="External"/><Relationship Id="rId436" Type="http://schemas.openxmlformats.org/officeDocument/2006/relationships/hyperlink" Target="https://sba-cards-2024.s3.us-east-1.amazonaws.com/2024-cards/jack-lopez.png" TargetMode="External"/><Relationship Id="rId678" Type="http://schemas.openxmlformats.org/officeDocument/2006/relationships/hyperlink" Target="https://sba-cards-2024.s3.us-east-1.amazonaws.com/2024-cards/logan-allen.png" TargetMode="External"/><Relationship Id="rId435" Type="http://schemas.openxmlformats.org/officeDocument/2006/relationships/hyperlink" Target="https://sba-cards-2024.s3.us-east-1.amazonaws.com/2024-cards/jack-leiter.png" TargetMode="External"/><Relationship Id="rId677" Type="http://schemas.openxmlformats.org/officeDocument/2006/relationships/hyperlink" Target="https://sba-cards-2024.s3.us-east-1.amazonaws.com/2024-cards/leody-taveras.png" TargetMode="External"/><Relationship Id="rId434" Type="http://schemas.openxmlformats.org/officeDocument/2006/relationships/hyperlink" Target="https://i.postimg.cc/9FPkD566/images-11.jpg" TargetMode="External"/><Relationship Id="rId676" Type="http://schemas.openxmlformats.org/officeDocument/2006/relationships/hyperlink" Target="https://sba-cards-2024.s3.us-east-1.amazonaws.com/2024-cards/leo-rivas.png" TargetMode="External"/><Relationship Id="rId439" Type="http://schemas.openxmlformats.org/officeDocument/2006/relationships/hyperlink" Target="https://media.discordapp.net/attachments/1328448825626726552/1413223118411006042/image.png?ex=68bb2617&amp;is=68b9d497&amp;hm=05821ff4310b87f1f7e52b73e406558144a0880e1e414f9eaeeee2dee1a79278&amp;=&amp;format=webp&amp;quality=lossless" TargetMode="External"/><Relationship Id="rId438" Type="http://schemas.openxmlformats.org/officeDocument/2006/relationships/hyperlink" Target="https://sba-cards-2024.s3.us-east-1.amazonaws.com/2024-cards/jackson-chourio.png" TargetMode="External"/><Relationship Id="rId671" Type="http://schemas.openxmlformats.org/officeDocument/2006/relationships/hyperlink" Target="https://sba-cards-2024.s3.us-east-1.amazonaws.com/2024-cards/lars-nootbaar.png" TargetMode="External"/><Relationship Id="rId670" Type="http://schemas.openxmlformats.org/officeDocument/2006/relationships/hyperlink" Target="https://sba-cards-2024.s3.us-east-1.amazonaws.com/2024-cards/lane-thomas.png" TargetMode="External"/><Relationship Id="rId1020" Type="http://schemas.openxmlformats.org/officeDocument/2006/relationships/hyperlink" Target="https://sba-cards-2024.s3.us-east-1.amazonaws.com/2024-cards/trevor-richards.png" TargetMode="External"/><Relationship Id="rId1021" Type="http://schemas.openxmlformats.org/officeDocument/2006/relationships/hyperlink" Target="https://i.postimg.cc/HW534ztw/temp-Image-Xs-YXf6.avif" TargetMode="External"/><Relationship Id="rId433" Type="http://schemas.openxmlformats.org/officeDocument/2006/relationships/hyperlink" Target="https://sba-cards-2024.s3.us-east-1.amazonaws.com/2024-cards/jack-kochanowicz.png" TargetMode="External"/><Relationship Id="rId675" Type="http://schemas.openxmlformats.org/officeDocument/2006/relationships/hyperlink" Target="https://sba-cards-2024.s3.us-east-1.amazonaws.com/2024-cards/leo-jimenez.png" TargetMode="External"/><Relationship Id="rId1022" Type="http://schemas.openxmlformats.org/officeDocument/2006/relationships/hyperlink" Target="https://sba-cards-2024.s3.us-east-1.amazonaws.com/2024-cards/trevor-rogers.png" TargetMode="External"/><Relationship Id="rId432" Type="http://schemas.openxmlformats.org/officeDocument/2006/relationships/hyperlink" Target="https://sba-cards-2024.s3.us-east-1.amazonaws.com/2024-cards/jack-flaherty.png" TargetMode="External"/><Relationship Id="rId674" Type="http://schemas.openxmlformats.org/officeDocument/2006/relationships/hyperlink" Target="https://upload.wikimedia.org/wikipedia/commons/8/82/Francisco_de_Goya%2C_Saturno_devorando_a_su_hijo_(1819-1823).jpg" TargetMode="External"/><Relationship Id="rId1023" Type="http://schemas.openxmlformats.org/officeDocument/2006/relationships/hyperlink" Target="https://sba-cards-2024.s3.us-east-1.amazonaws.com/2024-cards/trevor-story.png" TargetMode="External"/><Relationship Id="rId431" Type="http://schemas.openxmlformats.org/officeDocument/2006/relationships/hyperlink" Target="https://sba-cards-2024.s3.us-east-1.amazonaws.com/2024-cards/jace-jung.png" TargetMode="External"/><Relationship Id="rId673" Type="http://schemas.openxmlformats.org/officeDocument/2006/relationships/hyperlink" Target="https://sba-cards-2024.s3.us-east-1.amazonaws.com/2024-cards/lenyn-sosa.png" TargetMode="External"/><Relationship Id="rId1024" Type="http://schemas.openxmlformats.org/officeDocument/2006/relationships/hyperlink" Target="https://sba-cards-2024.s3.us-east-1.amazonaws.com/2024-cards/trevor-williams.png" TargetMode="External"/><Relationship Id="rId430" Type="http://schemas.openxmlformats.org/officeDocument/2006/relationships/hyperlink" Target="https://sba-cards-2024.s3.us-east-1.amazonaws.com/2024-cards/ivan-herrera.png" TargetMode="External"/><Relationship Id="rId672" Type="http://schemas.openxmlformats.org/officeDocument/2006/relationships/hyperlink" Target="https://sba-cards-2024.s3.us-east-1.amazonaws.com/2024-cards/lawrence-butler.png" TargetMode="External"/><Relationship Id="rId1025" Type="http://schemas.openxmlformats.org/officeDocument/2006/relationships/hyperlink" Target="https://sba-cards-2024.s3.us-east-1.amazonaws.com/2024-cards/trey-cabbage.png"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FC5E8"/>
    <outlinePr summaryBelow="0" summaryRight="0"/>
  </sheetPr>
  <sheetViews>
    <sheetView workbookViewId="0"/>
  </sheetViews>
  <sheetFormatPr customHeight="1" defaultColWidth="12.63" defaultRowHeight="15.75"/>
  <cols>
    <col customWidth="1" min="1" max="1" width="6.88"/>
    <col customWidth="1" min="2" max="2" width="15.13"/>
    <col customWidth="1" min="3" max="3" width="5.5"/>
    <col customWidth="1" min="4" max="4" width="6.63"/>
    <col customWidth="1" hidden="1" min="5" max="5" width="6.63"/>
    <col customWidth="1" hidden="1" min="6" max="7" width="5.63"/>
    <col customWidth="1" min="8" max="8" width="8.25"/>
    <col customWidth="1" min="9" max="9" width="7.63"/>
    <col customWidth="1" min="10" max="11" width="6.63"/>
    <col customWidth="1" min="12" max="12" width="5.25"/>
    <col customWidth="1" hidden="1" min="13" max="27" width="5.25"/>
    <col customWidth="1" min="28" max="30" width="5.25"/>
    <col customWidth="1" min="31" max="31" width="17.38"/>
    <col customWidth="1" min="33" max="33" width="18.5"/>
    <col customWidth="1" min="34" max="34" width="4.25"/>
    <col customWidth="1" min="35" max="35" width="5.13"/>
    <col customWidth="1" min="36" max="36" width="4.25"/>
    <col customWidth="1" min="37" max="37" width="7.13"/>
    <col customWidth="1" min="38" max="38" width="18.5"/>
    <col customWidth="1" min="39" max="41" width="4.25"/>
    <col customWidth="1" min="42" max="42" width="7.13"/>
    <col customWidth="1" min="43" max="43" width="18.5"/>
    <col customWidth="1" min="44" max="46" width="4.25"/>
    <col customWidth="1" min="47" max="47" width="7.88"/>
    <col customWidth="1" min="48" max="48" width="13.5"/>
    <col customWidth="1" min="49" max="49" width="3.5"/>
    <col customWidth="1" min="50" max="50" width="13.5"/>
  </cols>
  <sheetData>
    <row r="1">
      <c r="A1" s="1" t="s">
        <v>0</v>
      </c>
      <c r="B1" s="2" t="s">
        <v>1</v>
      </c>
      <c r="C1" s="3" t="s">
        <v>2</v>
      </c>
      <c r="D1" s="4" t="s">
        <v>3</v>
      </c>
      <c r="E1" s="4" t="s">
        <v>4</v>
      </c>
      <c r="F1" s="3" t="s">
        <v>5</v>
      </c>
      <c r="G1" s="3" t="s">
        <v>6</v>
      </c>
      <c r="H1" s="3" t="s">
        <v>7</v>
      </c>
      <c r="I1" s="5" t="s">
        <v>8</v>
      </c>
      <c r="J1" s="3" t="s">
        <v>9</v>
      </c>
      <c r="K1" s="3" t="s">
        <v>10</v>
      </c>
      <c r="L1" s="3" t="s">
        <v>11</v>
      </c>
      <c r="M1" s="5" t="s">
        <v>12</v>
      </c>
      <c r="N1" s="3" t="s">
        <v>13</v>
      </c>
      <c r="O1" s="3" t="s">
        <v>14</v>
      </c>
      <c r="P1" s="3" t="s">
        <v>15</v>
      </c>
      <c r="Q1" s="3" t="s">
        <v>16</v>
      </c>
      <c r="R1" s="3" t="s">
        <v>17</v>
      </c>
      <c r="S1" s="3" t="s">
        <v>18</v>
      </c>
      <c r="T1" s="3" t="s">
        <v>19</v>
      </c>
      <c r="U1" s="5" t="s">
        <v>20</v>
      </c>
      <c r="V1" s="5" t="s">
        <v>21</v>
      </c>
      <c r="W1" s="5" t="s">
        <v>22</v>
      </c>
      <c r="X1" s="3" t="s">
        <v>23</v>
      </c>
      <c r="Y1" s="3" t="s">
        <v>24</v>
      </c>
      <c r="Z1" s="3" t="s">
        <v>25</v>
      </c>
      <c r="AA1" s="3" t="s">
        <v>26</v>
      </c>
      <c r="AB1" s="5" t="s">
        <v>20</v>
      </c>
      <c r="AC1" s="5" t="s">
        <v>21</v>
      </c>
      <c r="AD1" s="6" t="s">
        <v>22</v>
      </c>
      <c r="AE1" s="3" t="s">
        <v>27</v>
      </c>
      <c r="AF1" s="7"/>
      <c r="AG1" s="8" t="s">
        <v>28</v>
      </c>
      <c r="AH1" s="9"/>
      <c r="AI1" s="9"/>
      <c r="AJ1" s="9"/>
      <c r="AK1" s="10"/>
      <c r="AL1" s="11" t="s">
        <v>29</v>
      </c>
      <c r="AM1" s="9"/>
      <c r="AN1" s="9"/>
      <c r="AO1" s="9"/>
      <c r="AP1" s="10"/>
      <c r="AQ1" s="12" t="s">
        <v>30</v>
      </c>
      <c r="AR1" s="9"/>
      <c r="AS1" s="9"/>
      <c r="AT1" s="9"/>
      <c r="AU1" s="10"/>
      <c r="AW1" s="13" t="b">
        <v>0</v>
      </c>
      <c r="AX1" s="14" t="s">
        <v>31</v>
      </c>
      <c r="AY1" s="7"/>
      <c r="AZ1" s="7"/>
      <c r="BA1" s="7"/>
      <c r="BB1" s="15"/>
      <c r="BC1" s="15"/>
    </row>
    <row r="2">
      <c r="A2" s="16">
        <f>IFERROR(__xludf.DUMMYFUNCTION("if(AW1,QUERY(Imports!A1:Z56,""select A, B, C, D, E, P, Q, R, S, T, W where Z = 'WV' order by B asc"", 0), QUERY(Imports!A1:Z56,""select A, B, C, D, E, P, Q, R, S, T, W where G = 'WV' order by B asc"", 0))"),12548.0)</f>
        <v>12548</v>
      </c>
      <c r="B2" s="16" t="str">
        <f>IFERROR(__xludf.DUMMYFUNCTION("""COMPUTED_VALUE"""),"Andy Pages")</f>
        <v>Andy Pages</v>
      </c>
      <c r="C2" s="15">
        <f>IFERROR(__xludf.DUMMYFUNCTION("""COMPUTED_VALUE"""),0.85)</f>
        <v>0.85</v>
      </c>
      <c r="D2" s="17" t="str">
        <f>IFERROR(__xludf.DUMMYFUNCTION("""COMPUTED_VALUE"""),"https://sba-cards-2024.s3.us-east-1.amazonaws.com/2024-cards/andy-pages.png")</f>
        <v>https://sba-cards-2024.s3.us-east-1.amazonaws.com/2024-cards/andy-pages.png</v>
      </c>
      <c r="E2" s="18"/>
      <c r="F2" s="15"/>
      <c r="G2" s="15"/>
      <c r="H2" s="15"/>
      <c r="I2" s="15">
        <f>IFERROR(__xludf.DUMMYFUNCTION("""COMPUTED_VALUE"""),-2.0)</f>
        <v>-2</v>
      </c>
      <c r="J2" s="15"/>
      <c r="K2" s="15" t="str">
        <f>IFERROR(__xludf.DUMMYFUNCTION("""COMPUTED_VALUE"""),"1p60")</f>
        <v>1p60</v>
      </c>
      <c r="L2" s="15" t="str">
        <f t="array" ref="L2">iferror(index(BatterCalcs!D:D,match(A2,BatterCalcs!A:A,0)),index(PitcherCalcs!E:E,match(A2,PitcherCalcs!A:A,0)))</f>
        <v>R</v>
      </c>
      <c r="M2" s="15" t="str">
        <f t="array" ref="M2:T2">iferror(index(BatterCalcs!CJ:CQ,match(A2,BatterCalcs!A:A,0)),)</f>
        <v/>
      </c>
      <c r="N2" s="15"/>
      <c r="O2" s="15"/>
      <c r="P2" s="15"/>
      <c r="Q2" s="15"/>
      <c r="R2" s="15">
        <v>205.0</v>
      </c>
      <c r="S2" s="15">
        <v>305.0</v>
      </c>
      <c r="T2" s="15">
        <v>205.0</v>
      </c>
      <c r="U2" s="15" t="str">
        <f t="array" ref="U2">iferror(index(BatterCalcs!CK:CM,match(A2,BatterCalcs!E:E,0)),)</f>
        <v/>
      </c>
      <c r="V2" s="15"/>
      <c r="W2" s="15"/>
      <c r="X2" s="15" t="str">
        <f t="array" ref="X2">iferror(index(PitcherCalcs!CL:CL,match(A2,PitcherCalcs!F:F,0)),)</f>
        <v/>
      </c>
      <c r="Y2" s="15" t="str">
        <f t="array" ref="Y2">iferror(index(PitcherCalcs!CD:CF,match(A2,PitcherCalcs!A:A,0)),)</f>
        <v/>
      </c>
      <c r="Z2" s="15"/>
      <c r="AA2" s="15"/>
      <c r="AB2" s="15">
        <f t="array" ref="AB2">iferror(index(BatterCalcs!CG:CG,match(A2,BatterCalcs!A:A,0)),index(PitcherCalcs!CT:CT,match(A2,PitcherCalcs!A:A,0)))</f>
        <v>10</v>
      </c>
      <c r="AC2" s="15">
        <f t="array" ref="AC2">iferror(index(BatterCalcs!CH:CH,match(A2,BatterCalcs!A:A,0)),index(PitcherCalcs!CU:CU,match(A2,PitcherCalcs!A:A,0)))</f>
        <v>-2</v>
      </c>
      <c r="AD2" s="19">
        <f t="array" ref="AD2">iferror(index(BatterCalcs!CI:CI,match(A2,BatterCalcs!A:A,0)),index(PitcherCalcs!CV:CV,match(A2,PitcherCalcs!A:A,0)))</f>
        <v>7</v>
      </c>
      <c r="AE2" s="16" t="str">
        <f t="array" ref="AE2">IFERROR(index(BatterCalcs!CR:CR,match(A2,BatterCalcs!A:A,0)),index(PitcherCalcs!BY:BY,match(A2,PitcherCalcs!A:A,0)))</f>
        <v>cf-3(-1)e5 rf-2e5 lf-2e5</v>
      </c>
      <c r="AF2" s="7"/>
      <c r="AG2" s="20" t="s">
        <v>1</v>
      </c>
      <c r="AH2" s="21" t="s">
        <v>32</v>
      </c>
      <c r="AI2" s="21" t="s">
        <v>20</v>
      </c>
      <c r="AJ2" s="21" t="s">
        <v>21</v>
      </c>
      <c r="AK2" s="21" t="s">
        <v>33</v>
      </c>
      <c r="AL2" s="22" t="s">
        <v>1</v>
      </c>
      <c r="AM2" s="23" t="s">
        <v>32</v>
      </c>
      <c r="AN2" s="23" t="s">
        <v>20</v>
      </c>
      <c r="AO2" s="23" t="s">
        <v>21</v>
      </c>
      <c r="AP2" s="23" t="s">
        <v>33</v>
      </c>
      <c r="AQ2" s="20" t="s">
        <v>1</v>
      </c>
      <c r="AR2" s="21" t="s">
        <v>32</v>
      </c>
      <c r="AS2" s="21" t="s">
        <v>20</v>
      </c>
      <c r="AT2" s="21" t="s">
        <v>21</v>
      </c>
      <c r="AU2" s="21" t="s">
        <v>33</v>
      </c>
      <c r="AW2" s="24" t="b">
        <v>1</v>
      </c>
      <c r="AX2" s="25" t="s">
        <v>34</v>
      </c>
      <c r="AY2" s="15"/>
      <c r="AZ2" s="15"/>
      <c r="BA2" s="15"/>
      <c r="BB2" s="15"/>
      <c r="BC2" s="7"/>
    </row>
    <row r="3">
      <c r="A3" s="16">
        <f>IFERROR(__xludf.DUMMYFUNCTION("""COMPUTED_VALUE"""),12553.0)</f>
        <v>12553</v>
      </c>
      <c r="B3" s="16" t="str">
        <f>IFERROR(__xludf.DUMMYFUNCTION("""COMPUTED_VALUE"""),"Anthony Bender")</f>
        <v>Anthony Bender</v>
      </c>
      <c r="C3" s="15">
        <f>IFERROR(__xludf.DUMMYFUNCTION("""COMPUTED_VALUE"""),0.49)</f>
        <v>0.49</v>
      </c>
      <c r="D3" s="17" t="str">
        <f>IFERROR(__xludf.DUMMYFUNCTION("""COMPUTED_VALUE"""),"https://sba-cards-2024.s3.us-east-1.amazonaws.com/2024-cards/anthony-bender.png")</f>
        <v>https://sba-cards-2024.s3.us-east-1.amazonaws.com/2024-cards/anthony-bender.png</v>
      </c>
      <c r="E3" s="18"/>
      <c r="F3" s="15"/>
      <c r="G3" s="15"/>
      <c r="H3" s="7"/>
      <c r="I3" s="15">
        <f>IFERROR(__xludf.DUMMYFUNCTION("""COMPUTED_VALUE"""),-2.0)</f>
        <v>-2</v>
      </c>
      <c r="J3" s="15"/>
      <c r="K3" s="15" t="str">
        <f>IFERROR(__xludf.DUMMYFUNCTION("""COMPUTED_VALUE"""),"2p50")</f>
        <v>2p50</v>
      </c>
      <c r="L3" s="15" t="str">
        <f t="array" ref="L3">iferror(index(BatterCalcs!D:D,match(A3,BatterCalcs!A:A,0)),index(PitcherCalcs!E:E,match(A3,PitcherCalcs!A:A,0)))</f>
        <v>R</v>
      </c>
      <c r="M3" s="15" t="str">
        <f t="array" ref="M3">iferror(index(BatterCalcs!CJ:CQ,match(A3,BatterCalcs!A:A,0)),)</f>
        <v/>
      </c>
      <c r="N3" s="15"/>
      <c r="O3" s="15"/>
      <c r="P3" s="15"/>
      <c r="Q3" s="15"/>
      <c r="R3" s="15"/>
      <c r="S3" s="15"/>
      <c r="T3" s="15"/>
      <c r="U3" s="15" t="str">
        <f t="array" ref="U3">iferror(index(BatterCalcs!CK:CM,match(A3,BatterCalcs!E:E,0)),)</f>
        <v/>
      </c>
      <c r="V3" s="15"/>
      <c r="W3" s="15"/>
      <c r="X3" s="15" t="str">
        <f t="array" ref="X3">iferror(index(PitcherCalcs!CL:CL,match(A3,PitcherCalcs!F:F,0)),)</f>
        <v/>
      </c>
      <c r="Y3" s="15" t="str">
        <f t="array" ref="Y3:AA3">iferror(index(PitcherCalcs!CD:CF,match(A3,PitcherCalcs!A:A,0)),)</f>
        <v/>
      </c>
      <c r="Z3" s="15">
        <v>1.0</v>
      </c>
      <c r="AA3" s="15">
        <v>0.0</v>
      </c>
      <c r="AB3" s="15">
        <f t="array" ref="AB3">iferror(index(BatterCalcs!CG:CG,match(A3,BatterCalcs!A:A,0)),index(PitcherCalcs!CT:CT,match(A3,PitcherCalcs!A:A,0)))</f>
        <v>-7</v>
      </c>
      <c r="AC3" s="15">
        <f t="array" ref="AC3">iferror(index(BatterCalcs!CH:CH,match(A3,BatterCalcs!A:A,0)),index(PitcherCalcs!CU:CU,match(A3,PitcherCalcs!A:A,0)))</f>
        <v>46</v>
      </c>
      <c r="AD3" s="19">
        <f t="array" ref="AD3">iferror(index(BatterCalcs!CI:CI,match(A3,BatterCalcs!A:A,0)),index(PitcherCalcs!CV:CV,match(A3,PitcherCalcs!A:A,0)))</f>
        <v>13.66666667</v>
      </c>
      <c r="AE3" s="16" t="str">
        <f t="array" ref="AE3">IFERROR(index(BatterCalcs!CR:CR,match(A3,BatterCalcs!A:A,0)),index(PitcherCalcs!BY:BY,match(A3,PitcherCalcs!A:A,0)))</f>
        <v>R(1) C(0)</v>
      </c>
      <c r="AF3" s="7"/>
      <c r="AG3" s="26" t="str">
        <f>IFERROR(__xludf.DUMMYFUNCTION("query($A$2:$AE$28,""select B, L, AB, AC, R where R is not null order by AD desc"")"),"Yordan Alvarez")</f>
        <v>Yordan Alvarez</v>
      </c>
      <c r="AH3" s="27" t="str">
        <f>IFERROR(__xludf.DUMMYFUNCTION("""COMPUTED_VALUE"""),"L")</f>
        <v>L</v>
      </c>
      <c r="AI3" s="27">
        <f>IFERROR(__xludf.DUMMYFUNCTION("""COMPUTED_VALUE"""),41.0)</f>
        <v>41</v>
      </c>
      <c r="AJ3" s="27">
        <f>IFERROR(__xludf.DUMMYFUNCTION("""COMPUTED_VALUE"""),34.0)</f>
        <v>34</v>
      </c>
      <c r="AK3" s="28">
        <f>IFERROR(__xludf.DUMMYFUNCTION("""COMPUTED_VALUE"""),503.0)</f>
        <v>503</v>
      </c>
      <c r="AL3" s="26" t="str">
        <f>IFERROR(__xludf.DUMMYFUNCTION("query($A$2:$AE$28,""select B, L, AB, AC, S where S is not null order by AD desc"")"),"JJ Bleday")</f>
        <v>JJ Bleday</v>
      </c>
      <c r="AM3" s="27" t="str">
        <f>IFERROR(__xludf.DUMMYFUNCTION("""COMPUTED_VALUE"""),"L")</f>
        <v>L</v>
      </c>
      <c r="AN3" s="27">
        <f>IFERROR(__xludf.DUMMYFUNCTION("""COMPUTED_VALUE"""),14.0)</f>
        <v>14</v>
      </c>
      <c r="AO3" s="27">
        <f>IFERROR(__xludf.DUMMYFUNCTION("""COMPUTED_VALUE"""),13.0)</f>
        <v>13</v>
      </c>
      <c r="AP3" s="28">
        <f>IFERROR(__xludf.DUMMYFUNCTION("""COMPUTED_VALUE"""),406.0)</f>
        <v>406</v>
      </c>
      <c r="AQ3" s="26" t="str">
        <f>IFERROR(__xludf.DUMMYFUNCTION("query($A$2:$AE$28,""select B, L, AB, AC, T where T is not null order by AD desc"")"),"Teoscar Hernandez")</f>
        <v>Teoscar Hernandez</v>
      </c>
      <c r="AR3" s="27" t="str">
        <f>IFERROR(__xludf.DUMMYFUNCTION("""COMPUTED_VALUE"""),"R")</f>
        <v>R</v>
      </c>
      <c r="AS3" s="27">
        <f>IFERROR(__xludf.DUMMYFUNCTION("""COMPUTED_VALUE"""),32.0)</f>
        <v>32</v>
      </c>
      <c r="AT3" s="27">
        <f>IFERROR(__xludf.DUMMYFUNCTION("""COMPUTED_VALUE"""),23.0)</f>
        <v>23</v>
      </c>
      <c r="AU3" s="28">
        <f>IFERROR(__xludf.DUMMYFUNCTION("""COMPUTED_VALUE"""),403.0)</f>
        <v>403</v>
      </c>
      <c r="AV3" s="29" t="s">
        <v>35</v>
      </c>
      <c r="AX3" s="30" t="s">
        <v>36</v>
      </c>
      <c r="AY3" s="15"/>
      <c r="AZ3" s="15"/>
      <c r="BA3" s="15"/>
      <c r="BB3" s="15"/>
      <c r="BC3" s="15"/>
    </row>
    <row r="4">
      <c r="A4" s="16">
        <f>IFERROR(__xludf.DUMMYFUNCTION("""COMPUTED_VALUE"""),12573.0)</f>
        <v>12573</v>
      </c>
      <c r="B4" s="16" t="str">
        <f>IFERROR(__xludf.DUMMYFUNCTION("""COMPUTED_VALUE"""),"Ben Brown")</f>
        <v>Ben Brown</v>
      </c>
      <c r="C4" s="15">
        <f>IFERROR(__xludf.DUMMYFUNCTION("""COMPUTED_VALUE"""),1.22)</f>
        <v>1.22</v>
      </c>
      <c r="D4" s="17" t="str">
        <f>IFERROR(__xludf.DUMMYFUNCTION("""COMPUTED_VALUE"""),"https://sba-cards-2024.s3.us-east-1.amazonaws.com/2024-cards/ben-brown.png")</f>
        <v>https://sba-cards-2024.s3.us-east-1.amazonaws.com/2024-cards/ben-brown.png</v>
      </c>
      <c r="E4" s="18"/>
      <c r="F4" s="15"/>
      <c r="G4" s="15"/>
      <c r="H4" s="15" t="str">
        <f>IFERROR(__xludf.DUMMYFUNCTION("""COMPUTED_VALUE"""),"w07g2")</f>
        <v>w07g2</v>
      </c>
      <c r="I4" s="15">
        <f>IFERROR(__xludf.DUMMYFUNCTION("""COMPUTED_VALUE"""),-2.0)</f>
        <v>-2</v>
      </c>
      <c r="J4" s="15"/>
      <c r="K4" s="15" t="str">
        <f>IFERROR(__xludf.DUMMYFUNCTION("""COMPUTED_VALUE"""),"5p30")</f>
        <v>5p30</v>
      </c>
      <c r="L4" s="15" t="str">
        <f t="array" ref="L4">iferror(index(BatterCalcs!D:D,match(A4,BatterCalcs!A:A,0)),index(PitcherCalcs!E:E,match(A4,PitcherCalcs!A:A,0)))</f>
        <v>R</v>
      </c>
      <c r="M4" s="15" t="str">
        <f t="array" ref="M4">iferror(index(BatterCalcs!CJ:CQ,match(A4,BatterCalcs!A:A,0)),)</f>
        <v/>
      </c>
      <c r="N4" s="15"/>
      <c r="O4" s="15"/>
      <c r="P4" s="15"/>
      <c r="Q4" s="15"/>
      <c r="R4" s="15"/>
      <c r="S4" s="15"/>
      <c r="T4" s="15"/>
      <c r="U4" s="15" t="str">
        <f t="array" ref="U4">iferror(index(BatterCalcs!CK:CM,match(A4,BatterCalcs!E:E,0)),)</f>
        <v/>
      </c>
      <c r="V4" s="15"/>
      <c r="W4" s="15"/>
      <c r="X4" s="15" t="str">
        <f t="array" ref="X4">iferror(index(PitcherCalcs!CL:CL,match(A4,PitcherCalcs!F:F,0)),)</f>
        <v/>
      </c>
      <c r="Y4" s="15">
        <f t="array" ref="Y4:AA4">iferror(index(PitcherCalcs!CD:CF,match(A4,PitcherCalcs!A:A,0)),)</f>
        <v>5</v>
      </c>
      <c r="Z4" s="15">
        <v>4.0</v>
      </c>
      <c r="AA4" s="15"/>
      <c r="AB4" s="15">
        <f t="array" ref="AB4">iferror(index(BatterCalcs!CG:CG,match(A4,BatterCalcs!A:A,0)),index(PitcherCalcs!CT:CT,match(A4,PitcherCalcs!A:A,0)))</f>
        <v>10</v>
      </c>
      <c r="AC4" s="15">
        <f t="array" ref="AC4">iferror(index(BatterCalcs!CH:CH,match(A4,BatterCalcs!A:A,0)),index(PitcherCalcs!CU:CU,match(A4,PitcherCalcs!A:A,0)))</f>
        <v>35</v>
      </c>
      <c r="AD4" s="19">
        <f t="array" ref="AD4">iferror(index(BatterCalcs!CI:CI,match(A4,BatterCalcs!A:A,0)),index(PitcherCalcs!CV:CV,match(A4,PitcherCalcs!A:A,0)))</f>
        <v>20.33333333</v>
      </c>
      <c r="AE4" s="16" t="str">
        <f t="array" ref="AE4">IFERROR(index(BatterCalcs!CR:CR,match(A4,BatterCalcs!A:A,0)),index(PitcherCalcs!BY:BY,match(A4,PitcherCalcs!A:A,0)))</f>
        <v>S(5) R(4)</v>
      </c>
      <c r="AF4" s="7"/>
      <c r="AG4" s="31" t="str">
        <f>IFERROR(__xludf.DUMMYFUNCTION("""COMPUTED_VALUE"""),"Teoscar Hernandez")</f>
        <v>Teoscar Hernandez</v>
      </c>
      <c r="AH4" s="32" t="str">
        <f>IFERROR(__xludf.DUMMYFUNCTION("""COMPUTED_VALUE"""),"R")</f>
        <v>R</v>
      </c>
      <c r="AI4" s="32">
        <f>IFERROR(__xludf.DUMMYFUNCTION("""COMPUTED_VALUE"""),32.0)</f>
        <v>32</v>
      </c>
      <c r="AJ4" s="32">
        <f>IFERROR(__xludf.DUMMYFUNCTION("""COMPUTED_VALUE"""),23.0)</f>
        <v>23</v>
      </c>
      <c r="AK4" s="33">
        <f>IFERROR(__xludf.DUMMYFUNCTION("""COMPUTED_VALUE"""),403.0)</f>
        <v>403</v>
      </c>
      <c r="AL4" s="31" t="str">
        <f>IFERROR(__xludf.DUMMYFUNCTION("""COMPUTED_VALUE"""),"Cedric Mullins")</f>
        <v>Cedric Mullins</v>
      </c>
      <c r="AM4" s="32" t="str">
        <f>IFERROR(__xludf.DUMMYFUNCTION("""COMPUTED_VALUE"""),"L")</f>
        <v>L</v>
      </c>
      <c r="AN4" s="32">
        <f>IFERROR(__xludf.DUMMYFUNCTION("""COMPUTED_VALUE"""),-24.0)</f>
        <v>-24</v>
      </c>
      <c r="AO4" s="32">
        <f>IFERROR(__xludf.DUMMYFUNCTION("""COMPUTED_VALUE"""),14.0)</f>
        <v>14</v>
      </c>
      <c r="AP4" s="33">
        <f>IFERROR(__xludf.DUMMYFUNCTION("""COMPUTED_VALUE"""),101.0)</f>
        <v>101</v>
      </c>
      <c r="AQ4" s="31" t="str">
        <f>IFERROR(__xludf.DUMMYFUNCTION("""COMPUTED_VALUE"""),"Andy Pages")</f>
        <v>Andy Pages</v>
      </c>
      <c r="AR4" s="32" t="str">
        <f>IFERROR(__xludf.DUMMYFUNCTION("""COMPUTED_VALUE"""),"R")</f>
        <v>R</v>
      </c>
      <c r="AS4" s="32">
        <f>IFERROR(__xludf.DUMMYFUNCTION("""COMPUTED_VALUE"""),10.0)</f>
        <v>10</v>
      </c>
      <c r="AT4" s="32">
        <f>IFERROR(__xludf.DUMMYFUNCTION("""COMPUTED_VALUE"""),-2.0)</f>
        <v>-2</v>
      </c>
      <c r="AU4" s="33">
        <f>IFERROR(__xludf.DUMMYFUNCTION("""COMPUTED_VALUE"""),205.0)</f>
        <v>205</v>
      </c>
      <c r="AV4" s="29" t="s">
        <v>37</v>
      </c>
      <c r="AW4" s="7" t="s">
        <v>12</v>
      </c>
      <c r="AX4" s="30" t="s">
        <v>38</v>
      </c>
      <c r="AY4" s="7"/>
      <c r="AZ4" s="7"/>
      <c r="BA4" s="7"/>
      <c r="BB4" s="15"/>
      <c r="BC4" s="15"/>
    </row>
    <row r="5">
      <c r="A5" s="16">
        <f>IFERROR(__xludf.DUMMYFUNCTION("""COMPUTED_VALUE"""),12577.0)</f>
        <v>12577</v>
      </c>
      <c r="B5" s="16" t="str">
        <f>IFERROR(__xludf.DUMMYFUNCTION("""COMPUTED_VALUE"""),"Ben Rice")</f>
        <v>Ben Rice</v>
      </c>
      <c r="C5" s="15">
        <f>IFERROR(__xludf.DUMMYFUNCTION("""COMPUTED_VALUE"""),0.0)</f>
        <v>0</v>
      </c>
      <c r="D5" s="17" t="str">
        <f>IFERROR(__xludf.DUMMYFUNCTION("""COMPUTED_VALUE"""),"https://sba-cards-2024.s3.us-east-1.amazonaws.com/2024-cards/ben-rice.png")</f>
        <v>https://sba-cards-2024.s3.us-east-1.amazonaws.com/2024-cards/ben-rice.png</v>
      </c>
      <c r="E5" s="18"/>
      <c r="F5" s="15"/>
      <c r="G5" s="15"/>
      <c r="H5" s="15"/>
      <c r="I5" s="15">
        <f>IFERROR(__xludf.DUMMYFUNCTION("""COMPUTED_VALUE"""),-2.0)</f>
        <v>-2</v>
      </c>
      <c r="J5" s="15"/>
      <c r="K5" s="15" t="str">
        <f>IFERROR(__xludf.DUMMYFUNCTION("""COMPUTED_VALUE"""),"1p30")</f>
        <v>1p30</v>
      </c>
      <c r="L5" s="15" t="str">
        <f t="array" ref="L5">iferror(index(BatterCalcs!D:D,match(A5,BatterCalcs!A:A,0)),index(PitcherCalcs!E:E,match(A5,PitcherCalcs!A:A,0)))</f>
        <v>L</v>
      </c>
      <c r="M5" s="15">
        <f t="array" ref="M5:T5">iferror(index(BatterCalcs!CJ:CQ,match(A5,BatterCalcs!A:A,0)),)</f>
        <v>402</v>
      </c>
      <c r="N5" s="15">
        <v>408.0</v>
      </c>
      <c r="O5" s="15"/>
      <c r="P5" s="15"/>
      <c r="Q5" s="15"/>
      <c r="R5" s="15"/>
      <c r="S5" s="15"/>
      <c r="T5" s="15"/>
      <c r="U5" s="15" t="str">
        <f t="array" ref="U5">iferror(index(BatterCalcs!CK:CM,match(A5,BatterCalcs!E:E,0)),)</f>
        <v/>
      </c>
      <c r="V5" s="15"/>
      <c r="W5" s="15"/>
      <c r="X5" s="15" t="str">
        <f t="array" ref="X5">iferror(index(PitcherCalcs!CL:CL,match(A5,PitcherCalcs!F:F,0)),)</f>
        <v/>
      </c>
      <c r="Y5" s="15" t="str">
        <f t="array" ref="Y5">iferror(index(PitcherCalcs!CD:CF,match(A5,PitcherCalcs!A:A,0)),)</f>
        <v/>
      </c>
      <c r="Z5" s="15"/>
      <c r="AA5" s="15"/>
      <c r="AB5" s="15">
        <f t="array" ref="AB5">iferror(index(BatterCalcs!CG:CG,match(A5,BatterCalcs!A:A,0)),index(PitcherCalcs!CT:CT,match(A5,PitcherCalcs!A:A,0)))</f>
        <v>-15</v>
      </c>
      <c r="AC5" s="15">
        <f t="array" ref="AC5">iferror(index(BatterCalcs!CH:CH,match(A5,BatterCalcs!A:A,0)),index(PitcherCalcs!CU:CU,match(A5,PitcherCalcs!A:A,0)))</f>
        <v>-15</v>
      </c>
      <c r="AD5" s="19">
        <f t="array" ref="AD5">iferror(index(BatterCalcs!CI:CI,match(A5,BatterCalcs!A:A,0)),index(PitcherCalcs!CV:CV,match(A5,PitcherCalcs!A:A,0)))</f>
        <v>-13</v>
      </c>
      <c r="AE5" s="16" t="str">
        <f t="array" ref="AE5">IFERROR(index(BatterCalcs!CR:CR,match(A5,BatterCalcs!A:A,0)),index(PitcherCalcs!BY:BY,match(A5,PitcherCalcs!A:A,0)))</f>
        <v>1b-4e8 c-4(+2)e2,T-2(pb-0)</v>
      </c>
      <c r="AF5" s="7"/>
      <c r="AG5" s="31" t="str">
        <f>IFERROR(__xludf.DUMMYFUNCTION("""COMPUTED_VALUE"""),"Andy Pages")</f>
        <v>Andy Pages</v>
      </c>
      <c r="AH5" s="32" t="str">
        <f>IFERROR(__xludf.DUMMYFUNCTION("""COMPUTED_VALUE"""),"R")</f>
        <v>R</v>
      </c>
      <c r="AI5" s="32">
        <f>IFERROR(__xludf.DUMMYFUNCTION("""COMPUTED_VALUE"""),10.0)</f>
        <v>10</v>
      </c>
      <c r="AJ5" s="32">
        <f>IFERROR(__xludf.DUMMYFUNCTION("""COMPUTED_VALUE"""),-2.0)</f>
        <v>-2</v>
      </c>
      <c r="AK5" s="33">
        <f>IFERROR(__xludf.DUMMYFUNCTION("""COMPUTED_VALUE"""),205.0)</f>
        <v>205</v>
      </c>
      <c r="AL5" s="31" t="str">
        <f>IFERROR(__xludf.DUMMYFUNCTION("""COMPUTED_VALUE"""),"Andy Pages")</f>
        <v>Andy Pages</v>
      </c>
      <c r="AM5" s="32" t="str">
        <f>IFERROR(__xludf.DUMMYFUNCTION("""COMPUTED_VALUE"""),"R")</f>
        <v>R</v>
      </c>
      <c r="AN5" s="32">
        <f>IFERROR(__xludf.DUMMYFUNCTION("""COMPUTED_VALUE"""),10.0)</f>
        <v>10</v>
      </c>
      <c r="AO5" s="32">
        <f>IFERROR(__xludf.DUMMYFUNCTION("""COMPUTED_VALUE"""),-2.0)</f>
        <v>-2</v>
      </c>
      <c r="AP5" s="33">
        <f>IFERROR(__xludf.DUMMYFUNCTION("""COMPUTED_VALUE"""),305.0)</f>
        <v>305</v>
      </c>
      <c r="AQ5" s="31" t="str">
        <f>IFERROR(__xludf.DUMMYFUNCTION("""COMPUTED_VALUE"""),"Mickey Moniak")</f>
        <v>Mickey Moniak</v>
      </c>
      <c r="AR5" s="32" t="str">
        <f>IFERROR(__xludf.DUMMYFUNCTION("""COMPUTED_VALUE"""),"L")</f>
        <v>L</v>
      </c>
      <c r="AS5" s="32">
        <f>IFERROR(__xludf.DUMMYFUNCTION("""COMPUTED_VALUE"""),-17.0)</f>
        <v>-17</v>
      </c>
      <c r="AT5" s="32">
        <f>IFERROR(__xludf.DUMMYFUNCTION("""COMPUTED_VALUE"""),-10.0)</f>
        <v>-10</v>
      </c>
      <c r="AU5" s="33">
        <f>IFERROR(__xludf.DUMMYFUNCTION("""COMPUTED_VALUE"""),306.0)</f>
        <v>306</v>
      </c>
      <c r="AV5" s="29" t="s">
        <v>39</v>
      </c>
      <c r="AW5" s="7" t="s">
        <v>13</v>
      </c>
      <c r="AX5" s="30" t="s">
        <v>40</v>
      </c>
      <c r="AY5" s="15"/>
      <c r="AZ5" s="15"/>
      <c r="BA5" s="15"/>
      <c r="BB5" s="15"/>
      <c r="BC5" s="15"/>
    </row>
    <row r="6">
      <c r="A6" s="16">
        <f>IFERROR(__xludf.DUMMYFUNCTION("""COMPUTED_VALUE"""),12665.0)</f>
        <v>12665</v>
      </c>
      <c r="B6" s="16" t="str">
        <f>IFERROR(__xludf.DUMMYFUNCTION("""COMPUTED_VALUE"""),"Cedric Mullins")</f>
        <v>Cedric Mullins</v>
      </c>
      <c r="C6" s="15">
        <f>IFERROR(__xludf.DUMMYFUNCTION("""COMPUTED_VALUE"""),1.51)</f>
        <v>1.51</v>
      </c>
      <c r="D6" s="17" t="str">
        <f>IFERROR(__xludf.DUMMYFUNCTION("""COMPUTED_VALUE"""),"https://sba-cards-2024.s3.us-east-1.amazonaws.com/2024-cards/cedric-mullins.png")</f>
        <v>https://sba-cards-2024.s3.us-east-1.amazonaws.com/2024-cards/cedric-mullins.png</v>
      </c>
      <c r="E6" s="18"/>
      <c r="F6" s="15"/>
      <c r="G6" s="15"/>
      <c r="H6" s="15"/>
      <c r="I6" s="15">
        <f>IFERROR(__xludf.DUMMYFUNCTION("""COMPUTED_VALUE"""),-2.0)</f>
        <v>-2</v>
      </c>
      <c r="J6" s="15"/>
      <c r="K6" s="15" t="str">
        <f>IFERROR(__xludf.DUMMYFUNCTION("""COMPUTED_VALUE"""),"1p65")</f>
        <v>1p65</v>
      </c>
      <c r="L6" s="15" t="str">
        <f t="array" ref="L6">iferror(index(BatterCalcs!D:D,match(A6,BatterCalcs!A:A,0)),index(PitcherCalcs!E:E,match(A6,PitcherCalcs!A:A,0)))</f>
        <v>L</v>
      </c>
      <c r="M6" s="15" t="str">
        <f t="array" ref="M6:T6">iferror(index(BatterCalcs!CJ:CQ,match(A6,BatterCalcs!A:A,0)),)</f>
        <v/>
      </c>
      <c r="N6" s="15"/>
      <c r="O6" s="15"/>
      <c r="P6" s="15"/>
      <c r="Q6" s="15"/>
      <c r="R6" s="15"/>
      <c r="S6" s="15">
        <v>101.0</v>
      </c>
      <c r="T6" s="15"/>
      <c r="U6" s="15" t="str">
        <f t="array" ref="U6">iferror(index(BatterCalcs!CK:CM,match(A6,BatterCalcs!E:E,0)),)</f>
        <v/>
      </c>
      <c r="V6" s="15"/>
      <c r="W6" s="15"/>
      <c r="X6" s="15" t="str">
        <f t="array" ref="X6">iferror(index(PitcherCalcs!CL:CL,match(A6,PitcherCalcs!F:F,0)),)</f>
        <v/>
      </c>
      <c r="Y6" s="15" t="str">
        <f t="array" ref="Y6">iferror(index(PitcherCalcs!CD:CF,match(A6,PitcherCalcs!A:A,0)),)</f>
        <v/>
      </c>
      <c r="Z6" s="15"/>
      <c r="AA6" s="15"/>
      <c r="AB6" s="15">
        <f t="array" ref="AB6">iferror(index(BatterCalcs!CG:CG,match(A6,BatterCalcs!A:A,0)),index(PitcherCalcs!CT:CT,match(A6,PitcherCalcs!A:A,0)))</f>
        <v>-24</v>
      </c>
      <c r="AC6" s="15">
        <f t="array" ref="AC6">iferror(index(BatterCalcs!CH:CH,match(A6,BatterCalcs!A:A,0)),index(PitcherCalcs!CU:CU,match(A6,PitcherCalcs!A:A,0)))</f>
        <v>14</v>
      </c>
      <c r="AD6" s="19">
        <f t="array" ref="AD6">iferror(index(BatterCalcs!CI:CI,match(A6,BatterCalcs!A:A,0)),index(PitcherCalcs!CV:CV,match(A6,PitcherCalcs!A:A,0)))</f>
        <v>14</v>
      </c>
      <c r="AE6" s="16" t="str">
        <f t="array" ref="AE6">IFERROR(index(BatterCalcs!CR:CR,match(A6,BatterCalcs!A:A,0)),index(PitcherCalcs!BY:BY,match(A6,PitcherCalcs!A:A,0)))</f>
        <v>cf-1(0)e1</v>
      </c>
      <c r="AF6" s="7"/>
      <c r="AG6" s="34" t="str">
        <f>IFERROR(__xludf.DUMMYFUNCTION("""COMPUTED_VALUE"""),"Mickey Moniak")</f>
        <v>Mickey Moniak</v>
      </c>
      <c r="AH6" s="35" t="str">
        <f>IFERROR(__xludf.DUMMYFUNCTION("""COMPUTED_VALUE"""),"L")</f>
        <v>L</v>
      </c>
      <c r="AI6" s="32">
        <f>IFERROR(__xludf.DUMMYFUNCTION("""COMPUTED_VALUE"""),-17.0)</f>
        <v>-17</v>
      </c>
      <c r="AJ6" s="32">
        <f>IFERROR(__xludf.DUMMYFUNCTION("""COMPUTED_VALUE"""),-10.0)</f>
        <v>-10</v>
      </c>
      <c r="AK6" s="33">
        <f>IFERROR(__xludf.DUMMYFUNCTION("""COMPUTED_VALUE"""),306.0)</f>
        <v>306</v>
      </c>
      <c r="AL6" s="31" t="str">
        <f>IFERROR(__xludf.DUMMYFUNCTION("""COMPUTED_VALUE"""),"Mickey Moniak")</f>
        <v>Mickey Moniak</v>
      </c>
      <c r="AM6" s="32" t="str">
        <f>IFERROR(__xludf.DUMMYFUNCTION("""COMPUTED_VALUE"""),"L")</f>
        <v>L</v>
      </c>
      <c r="AN6" s="32">
        <f>IFERROR(__xludf.DUMMYFUNCTION("""COMPUTED_VALUE"""),-17.0)</f>
        <v>-17</v>
      </c>
      <c r="AO6" s="32">
        <f>IFERROR(__xludf.DUMMYFUNCTION("""COMPUTED_VALUE"""),-10.0)</f>
        <v>-10</v>
      </c>
      <c r="AP6" s="33">
        <f>IFERROR(__xludf.DUMMYFUNCTION("""COMPUTED_VALUE"""),306.0)</f>
        <v>306</v>
      </c>
      <c r="AQ6" s="31"/>
      <c r="AR6" s="32"/>
      <c r="AS6" s="32"/>
      <c r="AT6" s="32"/>
      <c r="AU6" s="33"/>
      <c r="AV6" s="29" t="s">
        <v>41</v>
      </c>
      <c r="AW6" s="7" t="s">
        <v>14</v>
      </c>
      <c r="AX6" s="30" t="s">
        <v>41</v>
      </c>
      <c r="AZ6" s="7"/>
      <c r="BA6" s="7"/>
      <c r="BB6" s="15"/>
      <c r="BC6" s="15"/>
    </row>
    <row r="7">
      <c r="A7" s="16">
        <f>IFERROR(__xludf.DUMMYFUNCTION("""COMPUTED_VALUE"""),12751.0)</f>
        <v>12751</v>
      </c>
      <c r="B7" s="16" t="str">
        <f>IFERROR(__xludf.DUMMYFUNCTION("""COMPUTED_VALUE"""),"Dedniel Nunez")</f>
        <v>Dedniel Nunez</v>
      </c>
      <c r="C7" s="15">
        <f>IFERROR(__xludf.DUMMYFUNCTION("""COMPUTED_VALUE"""),1.65)</f>
        <v>1.65</v>
      </c>
      <c r="D7" s="17" t="str">
        <f>IFERROR(__xludf.DUMMYFUNCTION("""COMPUTED_VALUE"""),"https://sba-cards-2024.s3.us-east-1.amazonaws.com/2024-cards/dedniel-nunez.png")</f>
        <v>https://sba-cards-2024.s3.us-east-1.amazonaws.com/2024-cards/dedniel-nunez.png</v>
      </c>
      <c r="E7" s="18"/>
      <c r="F7" s="15"/>
      <c r="G7" s="15"/>
      <c r="H7" s="15"/>
      <c r="I7" s="15">
        <f>IFERROR(__xludf.DUMMYFUNCTION("""COMPUTED_VALUE"""),-2.0)</f>
        <v>-2</v>
      </c>
      <c r="J7" s="15"/>
      <c r="K7" s="15" t="str">
        <f>IFERROR(__xludf.DUMMYFUNCTION("""COMPUTED_VALUE"""),"5p20")</f>
        <v>5p20</v>
      </c>
      <c r="L7" s="15" t="str">
        <f t="array" ref="L7">iferror(index(BatterCalcs!D:D,match(A7,BatterCalcs!A:A,0)),index(PitcherCalcs!E:E,match(A7,PitcherCalcs!A:A,0)))</f>
        <v>R</v>
      </c>
      <c r="M7" s="15" t="str">
        <f t="array" ref="M7">iferror(index(BatterCalcs!CJ:CQ,match(A7,BatterCalcs!A:A,0)),)</f>
        <v/>
      </c>
      <c r="N7" s="15"/>
      <c r="O7" s="15"/>
      <c r="P7" s="15"/>
      <c r="Q7" s="15"/>
      <c r="R7" s="15"/>
      <c r="S7" s="15"/>
      <c r="T7" s="15"/>
      <c r="U7" s="15" t="str">
        <f t="array" ref="U7">iferror(index(BatterCalcs!CK:CM,match(A7,BatterCalcs!E:E,0)),)</f>
        <v/>
      </c>
      <c r="V7" s="15"/>
      <c r="W7" s="15"/>
      <c r="X7" s="15" t="str">
        <f t="array" ref="X7">iferror(index(PitcherCalcs!CL:CL,match(A7,PitcherCalcs!F:F,0)),)</f>
        <v/>
      </c>
      <c r="Y7" s="15" t="str">
        <f t="array" ref="Y7:AA7">iferror(index(PitcherCalcs!CD:CF,match(A7,PitcherCalcs!A:A,0)),)</f>
        <v/>
      </c>
      <c r="Z7" s="15">
        <v>2.0</v>
      </c>
      <c r="AA7" s="15">
        <v>0.0</v>
      </c>
      <c r="AB7" s="15">
        <f t="array" ref="AB7">iferror(index(BatterCalcs!CG:CG,match(A7,BatterCalcs!A:A,0)),index(PitcherCalcs!CT:CT,match(A7,PitcherCalcs!A:A,0)))</f>
        <v>35</v>
      </c>
      <c r="AC7" s="15">
        <f t="array" ref="AC7">iferror(index(BatterCalcs!CH:CH,match(A7,BatterCalcs!A:A,0)),index(PitcherCalcs!CU:CU,match(A7,PitcherCalcs!A:A,0)))</f>
        <v>46</v>
      </c>
      <c r="AD7" s="19">
        <f t="array" ref="AD7">iferror(index(BatterCalcs!CI:CI,match(A7,BatterCalcs!A:A,0)),index(PitcherCalcs!CV:CV,match(A7,PitcherCalcs!A:A,0)))</f>
        <v>41.66666667</v>
      </c>
      <c r="AE7" s="16" t="str">
        <f t="array" ref="AE7">IFERROR(index(BatterCalcs!CR:CR,match(A7,BatterCalcs!A:A,0)),index(PitcherCalcs!BY:BY,match(A7,PitcherCalcs!A:A,0)))</f>
        <v>R(2) C(0)</v>
      </c>
      <c r="AF7" s="15"/>
      <c r="AG7" s="31" t="str">
        <f>IFERROR(__xludf.DUMMYFUNCTION("""COMPUTED_VALUE"""),"Ildemaro Vargas")</f>
        <v>Ildemaro Vargas</v>
      </c>
      <c r="AH7" s="32" t="str">
        <f>IFERROR(__xludf.DUMMYFUNCTION("""COMPUTED_VALUE"""),"S")</f>
        <v>S</v>
      </c>
      <c r="AI7" s="32">
        <f>IFERROR(__xludf.DUMMYFUNCTION("""COMPUTED_VALUE"""),-13.0)</f>
        <v>-13</v>
      </c>
      <c r="AJ7" s="32">
        <f>IFERROR(__xludf.DUMMYFUNCTION("""COMPUTED_VALUE"""),-22.0)</f>
        <v>-22</v>
      </c>
      <c r="AK7" s="33">
        <f>IFERROR(__xludf.DUMMYFUNCTION("""COMPUTED_VALUE"""),518.0)</f>
        <v>518</v>
      </c>
      <c r="AL7" s="31"/>
      <c r="AM7" s="32"/>
      <c r="AN7" s="32"/>
      <c r="AO7" s="32"/>
      <c r="AP7" s="33"/>
      <c r="AQ7" s="31"/>
      <c r="AR7" s="32"/>
      <c r="AS7" s="32"/>
      <c r="AT7" s="32"/>
      <c r="AU7" s="33"/>
      <c r="AV7" s="29" t="s">
        <v>42</v>
      </c>
      <c r="AW7" s="7" t="s">
        <v>15</v>
      </c>
      <c r="AX7" s="30" t="s">
        <v>42</v>
      </c>
      <c r="AZ7" s="15"/>
      <c r="BA7" s="15"/>
      <c r="BB7" s="15"/>
      <c r="BC7" s="15"/>
    </row>
    <row r="8">
      <c r="A8" s="16">
        <f>IFERROR(__xludf.DUMMYFUNCTION("""COMPUTED_VALUE"""),12752.0)</f>
        <v>12752</v>
      </c>
      <c r="B8" s="16" t="str">
        <f>IFERROR(__xludf.DUMMYFUNCTION("""COMPUTED_VALUE"""),"Dennis Santana")</f>
        <v>Dennis Santana</v>
      </c>
      <c r="C8" s="15">
        <f>IFERROR(__xludf.DUMMYFUNCTION("""COMPUTED_VALUE"""),0.9)</f>
        <v>0.9</v>
      </c>
      <c r="D8" s="17" t="str">
        <f>IFERROR(__xludf.DUMMYFUNCTION("""COMPUTED_VALUE"""),"https://sba-cards-2024.s3.us-east-1.amazonaws.com/2024-cards/dennis-santana.png")</f>
        <v>https://sba-cards-2024.s3.us-east-1.amazonaws.com/2024-cards/dennis-santana.png</v>
      </c>
      <c r="E8" s="18"/>
      <c r="F8" s="15"/>
      <c r="G8" s="15"/>
      <c r="H8" s="15"/>
      <c r="I8" s="15">
        <f>IFERROR(__xludf.DUMMYFUNCTION("""COMPUTED_VALUE"""),-2.0)</f>
        <v>-2</v>
      </c>
      <c r="J8" s="15"/>
      <c r="K8" s="15" t="str">
        <f>IFERROR(__xludf.DUMMYFUNCTION("""COMPUTED_VALUE"""),"1p40")</f>
        <v>1p40</v>
      </c>
      <c r="L8" s="15" t="str">
        <f t="array" ref="L8">iferror(index(BatterCalcs!D:D,match(A8,BatterCalcs!A:A,0)),index(PitcherCalcs!E:E,match(A8,PitcherCalcs!A:A,0)))</f>
        <v>R</v>
      </c>
      <c r="M8" s="15" t="str">
        <f t="array" ref="M8">iferror(index(BatterCalcs!CJ:CQ,match(A8,BatterCalcs!A:A,0)),)</f>
        <v/>
      </c>
      <c r="N8" s="15"/>
      <c r="O8" s="15"/>
      <c r="P8" s="15"/>
      <c r="Q8" s="15"/>
      <c r="R8" s="15"/>
      <c r="S8" s="15"/>
      <c r="T8" s="15"/>
      <c r="U8" s="15" t="str">
        <f t="array" ref="U8">iferror(index(BatterCalcs!CK:CM,match(A8,BatterCalcs!E:E,0)),)</f>
        <v/>
      </c>
      <c r="V8" s="15"/>
      <c r="W8" s="15"/>
      <c r="X8" s="15" t="str">
        <f t="array" ref="X8">iferror(index(PitcherCalcs!CL:CL,match(A8,PitcherCalcs!F:F,0)),)</f>
        <v/>
      </c>
      <c r="Y8" s="15" t="str">
        <f t="array" ref="Y8:AA8">iferror(index(PitcherCalcs!CD:CF,match(A8,PitcherCalcs!A:A,0)),)</f>
        <v/>
      </c>
      <c r="Z8" s="15">
        <v>2.0</v>
      </c>
      <c r="AA8" s="15">
        <v>2.0</v>
      </c>
      <c r="AB8" s="15">
        <f t="array" ref="AB8">iferror(index(BatterCalcs!CG:CG,match(A8,BatterCalcs!A:A,0)),index(PitcherCalcs!CT:CT,match(A8,PitcherCalcs!A:A,0)))</f>
        <v>22</v>
      </c>
      <c r="AC8" s="15">
        <f t="array" ref="AC8">iferror(index(BatterCalcs!CH:CH,match(A8,BatterCalcs!A:A,0)),index(PitcherCalcs!CU:CU,match(A8,PitcherCalcs!A:A,0)))</f>
        <v>20</v>
      </c>
      <c r="AD8" s="19">
        <f t="array" ref="AD8">iferror(index(BatterCalcs!CI:CI,match(A8,BatterCalcs!A:A,0)),index(PitcherCalcs!CV:CV,match(A8,PitcherCalcs!A:A,0)))</f>
        <v>25.66666667</v>
      </c>
      <c r="AE8" s="16" t="str">
        <f t="array" ref="AE8">IFERROR(index(BatterCalcs!CR:CR,match(A8,BatterCalcs!A:A,0)),index(PitcherCalcs!BY:BY,match(A8,PitcherCalcs!A:A,0)))</f>
        <v>R(2) C(2)</v>
      </c>
      <c r="AF8" s="7"/>
      <c r="AG8" s="31"/>
      <c r="AH8" s="32"/>
      <c r="AI8" s="32"/>
      <c r="AJ8" s="32"/>
      <c r="AK8" s="33"/>
      <c r="AL8" s="31"/>
      <c r="AM8" s="32"/>
      <c r="AN8" s="32"/>
      <c r="AO8" s="32"/>
      <c r="AP8" s="33"/>
      <c r="AQ8" s="31"/>
      <c r="AR8" s="32"/>
      <c r="AS8" s="32"/>
      <c r="AT8" s="32"/>
      <c r="AU8" s="33"/>
      <c r="AV8" s="29" t="s">
        <v>43</v>
      </c>
      <c r="AW8" s="7" t="s">
        <v>16</v>
      </c>
      <c r="AX8" s="30" t="s">
        <v>43</v>
      </c>
      <c r="AZ8" s="15"/>
      <c r="BA8" s="7"/>
      <c r="BB8" s="15"/>
      <c r="BC8" s="15"/>
    </row>
    <row r="9">
      <c r="A9" s="16">
        <f>IFERROR(__xludf.DUMMYFUNCTION("""COMPUTED_VALUE"""),12857.0)</f>
        <v>12857</v>
      </c>
      <c r="B9" s="16" t="str">
        <f>IFERROR(__xludf.DUMMYFUNCTION("""COMPUTED_VALUE"""),"Griffin Canning")</f>
        <v>Griffin Canning</v>
      </c>
      <c r="C9" s="15">
        <f>IFERROR(__xludf.DUMMYFUNCTION("""COMPUTED_VALUE"""),0.08)</f>
        <v>0.08</v>
      </c>
      <c r="D9" s="17" t="str">
        <f>IFERROR(__xludf.DUMMYFUNCTION("""COMPUTED_VALUE"""),"https://sba-cards-2024.s3.us-east-1.amazonaws.com/2024-cards/griffin-canning.png")</f>
        <v>https://sba-cards-2024.s3.us-east-1.amazonaws.com/2024-cards/griffin-canning.png</v>
      </c>
      <c r="E9" s="18"/>
      <c r="F9" s="15"/>
      <c r="G9" s="15"/>
      <c r="H9" s="15"/>
      <c r="I9" s="15">
        <f>IFERROR(__xludf.DUMMYFUNCTION("""COMPUTED_VALUE"""),-2.0)</f>
        <v>-2</v>
      </c>
      <c r="J9" s="15"/>
      <c r="K9" s="15" t="str">
        <f>IFERROR(__xludf.DUMMYFUNCTION("""COMPUTED_VALUE"""),"1p70")</f>
        <v>1p70</v>
      </c>
      <c r="L9" s="15" t="str">
        <f t="array" ref="L9">iferror(index(BatterCalcs!D:D,match(A9,BatterCalcs!A:A,0)),index(PitcherCalcs!E:E,match(A9,PitcherCalcs!A:A,0)))</f>
        <v>R</v>
      </c>
      <c r="M9" s="15" t="str">
        <f t="array" ref="M9">iferror(index(BatterCalcs!CJ:CQ,match(A9,BatterCalcs!A:A,0)),)</f>
        <v/>
      </c>
      <c r="N9" s="15"/>
      <c r="O9" s="15"/>
      <c r="P9" s="15"/>
      <c r="Q9" s="15"/>
      <c r="R9" s="15"/>
      <c r="S9" s="15"/>
      <c r="T9" s="15"/>
      <c r="U9" s="15" t="str">
        <f t="array" ref="U9">iferror(index(BatterCalcs!CK:CM,match(A9,BatterCalcs!E:E,0)),)</f>
        <v/>
      </c>
      <c r="V9" s="15"/>
      <c r="W9" s="15"/>
      <c r="X9" s="15" t="str">
        <f t="array" ref="X9">iferror(index(PitcherCalcs!CL:CL,match(A9,PitcherCalcs!F:F,0)),)</f>
        <v/>
      </c>
      <c r="Y9" s="15">
        <f t="array" ref="Y9:AA9">iferror(index(PitcherCalcs!CD:CF,match(A9,PitcherCalcs!A:A,0)),)</f>
        <v>5</v>
      </c>
      <c r="Z9" s="15"/>
      <c r="AA9" s="15"/>
      <c r="AB9" s="15">
        <f t="array" ref="AB9">iferror(index(BatterCalcs!CG:CG,match(A9,BatterCalcs!A:A,0)),index(PitcherCalcs!CT:CT,match(A9,PitcherCalcs!A:A,0)))</f>
        <v>-22</v>
      </c>
      <c r="AC9" s="15">
        <f t="array" ref="AC9">iferror(index(BatterCalcs!CH:CH,match(A9,BatterCalcs!A:A,0)),index(PitcherCalcs!CU:CU,match(A9,PitcherCalcs!A:A,0)))</f>
        <v>-9</v>
      </c>
      <c r="AD9" s="19">
        <f t="array" ref="AD9">iferror(index(BatterCalcs!CI:CI,match(A9,BatterCalcs!A:A,0)),index(PitcherCalcs!CV:CV,match(A9,PitcherCalcs!A:A,0)))</f>
        <v>-10.66666667</v>
      </c>
      <c r="AE9" s="16" t="str">
        <f t="array" ref="AE9">IFERROR(index(BatterCalcs!CR:CR,match(A9,BatterCalcs!A:A,0)),index(PitcherCalcs!BY:BY,match(A9,PitcherCalcs!A:A,0)))</f>
        <v>S(5)</v>
      </c>
      <c r="AF9" s="7"/>
      <c r="AG9" s="36"/>
      <c r="AH9" s="37"/>
      <c r="AI9" s="37"/>
      <c r="AJ9" s="37"/>
      <c r="AK9" s="38"/>
      <c r="AL9" s="36"/>
      <c r="AM9" s="37"/>
      <c r="AN9" s="37"/>
      <c r="AO9" s="37"/>
      <c r="AP9" s="38"/>
      <c r="AQ9" s="36"/>
      <c r="AR9" s="37"/>
      <c r="AS9" s="37"/>
      <c r="AT9" s="37"/>
      <c r="AU9" s="38"/>
      <c r="AV9" s="29" t="s">
        <v>44</v>
      </c>
      <c r="AW9" s="7" t="s">
        <v>17</v>
      </c>
      <c r="AX9" s="30" t="s">
        <v>44</v>
      </c>
      <c r="AZ9" s="7"/>
      <c r="BA9" s="7"/>
      <c r="BB9" s="15"/>
      <c r="BC9" s="15"/>
    </row>
    <row r="10">
      <c r="A10" s="16">
        <f>IFERROR(__xludf.DUMMYFUNCTION("""COMPUTED_VALUE"""),12885.0)</f>
        <v>12885</v>
      </c>
      <c r="B10" s="16" t="str">
        <f>IFERROR(__xludf.DUMMYFUNCTION("""COMPUTED_VALUE"""),"Ildemaro Vargas")</f>
        <v>Ildemaro Vargas</v>
      </c>
      <c r="C10" s="15">
        <f>IFERROR(__xludf.DUMMYFUNCTION("""COMPUTED_VALUE"""),0.0)</f>
        <v>0</v>
      </c>
      <c r="D10" s="17" t="str">
        <f>IFERROR(__xludf.DUMMYFUNCTION("""COMPUTED_VALUE"""),"https://sba-cards-2024.s3.us-east-1.amazonaws.com/2024-cards/ildemaro-vargas.png")</f>
        <v>https://sba-cards-2024.s3.us-east-1.amazonaws.com/2024-cards/ildemaro-vargas.png</v>
      </c>
      <c r="E10" s="18"/>
      <c r="F10" s="15"/>
      <c r="G10" s="15"/>
      <c r="H10" s="15"/>
      <c r="I10" s="15">
        <f>IFERROR(__xludf.DUMMYFUNCTION("""COMPUTED_VALUE"""),-2.0)</f>
        <v>-2</v>
      </c>
      <c r="J10" s="15"/>
      <c r="K10" s="15" t="str">
        <f>IFERROR(__xludf.DUMMYFUNCTION("""COMPUTED_VALUE"""),"1p50")</f>
        <v>1p50</v>
      </c>
      <c r="L10" s="15" t="str">
        <f t="array" ref="L10">iferror(index(BatterCalcs!D:D,match(A10,BatterCalcs!A:A,0)),index(PitcherCalcs!E:E,match(A10,PitcherCalcs!A:A,0)))</f>
        <v>S</v>
      </c>
      <c r="M10" s="15" t="str">
        <f t="array" ref="M10:T10">iferror(index(BatterCalcs!CJ:CQ,match(A10,BatterCalcs!A:A,0)),)</f>
        <v/>
      </c>
      <c r="N10" s="15">
        <v>425.0</v>
      </c>
      <c r="O10" s="15">
        <v>303.0</v>
      </c>
      <c r="P10" s="15">
        <v>219.0</v>
      </c>
      <c r="Q10" s="15">
        <v>427.0</v>
      </c>
      <c r="R10" s="15">
        <v>518.0</v>
      </c>
      <c r="S10" s="15"/>
      <c r="T10" s="15"/>
      <c r="U10" s="15" t="str">
        <f t="array" ref="U10">iferror(index(BatterCalcs!CK:CM,match(A10,BatterCalcs!E:E,0)),)</f>
        <v/>
      </c>
      <c r="V10" s="15"/>
      <c r="W10" s="15"/>
      <c r="X10" s="15" t="str">
        <f t="array" ref="X10">iferror(index(PitcherCalcs!CL:CL,match(A10,PitcherCalcs!F:F,0)),)</f>
        <v/>
      </c>
      <c r="Y10" s="15" t="str">
        <f t="array" ref="Y10">iferror(index(PitcherCalcs!CD:CF,match(A10,PitcherCalcs!A:A,0)),)</f>
        <v/>
      </c>
      <c r="Z10" s="15"/>
      <c r="AA10" s="15"/>
      <c r="AB10" s="15">
        <f t="array" ref="AB10">iferror(index(BatterCalcs!CG:CG,match(A10,BatterCalcs!A:A,0)),index(PitcherCalcs!CT:CT,match(A10,PitcherCalcs!A:A,0)))</f>
        <v>-13</v>
      </c>
      <c r="AC10" s="15">
        <f t="array" ref="AC10">iferror(index(BatterCalcs!CH:CH,match(A10,BatterCalcs!A:A,0)),index(PitcherCalcs!CU:CU,match(A10,PitcherCalcs!A:A,0)))</f>
        <v>-22</v>
      </c>
      <c r="AD10" s="19">
        <f t="array" ref="AD10">iferror(index(BatterCalcs!CI:CI,match(A10,BatterCalcs!A:A,0)),index(PitcherCalcs!CV:CV,match(A10,PitcherCalcs!A:A,0)))</f>
        <v>-14</v>
      </c>
      <c r="AE10" s="16" t="str">
        <f t="array" ref="AE10">IFERROR(index(BatterCalcs!CR:CR,match(A10,BatterCalcs!A:A,0)),index(PitcherCalcs!BY:BY,match(A10,PitcherCalcs!A:A,0)))</f>
        <v>3b-2e19 2b-3e3 lf-5(0)e18 ss-4e27 1b-4e25</v>
      </c>
      <c r="AF10" s="7"/>
      <c r="AG10" s="39" t="s">
        <v>45</v>
      </c>
      <c r="AH10" s="9"/>
      <c r="AI10" s="9"/>
      <c r="AJ10" s="9"/>
      <c r="AK10" s="10"/>
      <c r="AL10" s="40" t="s">
        <v>46</v>
      </c>
      <c r="AM10" s="9"/>
      <c r="AN10" s="9"/>
      <c r="AO10" s="9"/>
      <c r="AP10" s="10"/>
      <c r="AQ10" s="41" t="s">
        <v>47</v>
      </c>
      <c r="AR10" s="9"/>
      <c r="AS10" s="9"/>
      <c r="AT10" s="9"/>
      <c r="AU10" s="10"/>
      <c r="AV10" s="29" t="s">
        <v>48</v>
      </c>
      <c r="AW10" s="7" t="s">
        <v>18</v>
      </c>
      <c r="AX10" s="30" t="s">
        <v>48</v>
      </c>
      <c r="AZ10" s="15"/>
      <c r="BA10" s="15"/>
      <c r="BB10" s="15"/>
      <c r="BC10" s="15"/>
    </row>
    <row r="11">
      <c r="A11" s="16">
        <f>IFERROR(__xludf.DUMMYFUNCTION("""COMPUTED_VALUE"""),12927.0)</f>
        <v>12927</v>
      </c>
      <c r="B11" s="16" t="str">
        <f>IFERROR(__xludf.DUMMYFUNCTION("""COMPUTED_VALUE"""),"Jared Jones")</f>
        <v>Jared Jones</v>
      </c>
      <c r="C11" s="15">
        <f>IFERROR(__xludf.DUMMYFUNCTION("""COMPUTED_VALUE"""),1.11)</f>
        <v>1.11</v>
      </c>
      <c r="D11" s="17" t="str">
        <f>IFERROR(__xludf.DUMMYFUNCTION("""COMPUTED_VALUE"""),"https://sba-cards-2024.s3.us-east-1.amazonaws.com/2024-cards/jared-jones.png")</f>
        <v>https://sba-cards-2024.s3.us-east-1.amazonaws.com/2024-cards/jared-jones.png</v>
      </c>
      <c r="E11" s="18"/>
      <c r="F11" s="15"/>
      <c r="G11" s="15"/>
      <c r="H11" s="15"/>
      <c r="I11" s="15">
        <f>IFERROR(__xludf.DUMMYFUNCTION("""COMPUTED_VALUE"""),-2.0)</f>
        <v>-2</v>
      </c>
      <c r="J11" s="15"/>
      <c r="K11" s="15" t="str">
        <f>IFERROR(__xludf.DUMMYFUNCTION("""COMPUTED_VALUE"""),"2p65")</f>
        <v>2p65</v>
      </c>
      <c r="L11" s="15" t="str">
        <f t="array" ref="L11">iferror(index(BatterCalcs!D:D,match(A11,BatterCalcs!A:A,0)),index(PitcherCalcs!E:E,match(A11,PitcherCalcs!A:A,0)))</f>
        <v>R</v>
      </c>
      <c r="M11" s="15" t="str">
        <f t="array" ref="M11">iferror(index(BatterCalcs!CJ:CQ,match(A11,BatterCalcs!A:A,0)),)</f>
        <v/>
      </c>
      <c r="N11" s="15"/>
      <c r="O11" s="15"/>
      <c r="P11" s="15"/>
      <c r="Q11" s="15"/>
      <c r="R11" s="15"/>
      <c r="S11" s="15"/>
      <c r="T11" s="15"/>
      <c r="U11" s="15" t="str">
        <f t="array" ref="U11">iferror(index(BatterCalcs!CK:CM,match(A11,BatterCalcs!E:E,0)),)</f>
        <v/>
      </c>
      <c r="V11" s="15"/>
      <c r="W11" s="15"/>
      <c r="X11" s="15" t="str">
        <f t="array" ref="X11">iferror(index(PitcherCalcs!CL:CL,match(A11,PitcherCalcs!F:F,0)),)</f>
        <v/>
      </c>
      <c r="Y11" s="15">
        <f t="array" ref="Y11:AA11">iferror(index(PitcherCalcs!CD:CF,match(A11,PitcherCalcs!A:A,0)),)</f>
        <v>5</v>
      </c>
      <c r="Z11" s="15"/>
      <c r="AA11" s="15"/>
      <c r="AB11" s="15">
        <f t="array" ref="AB11">iferror(index(BatterCalcs!CG:CG,match(A11,BatterCalcs!A:A,0)),index(PitcherCalcs!CT:CT,match(A11,PitcherCalcs!A:A,0)))</f>
        <v>9</v>
      </c>
      <c r="AC11" s="15">
        <f t="array" ref="AC11">iferror(index(BatterCalcs!CH:CH,match(A11,BatterCalcs!A:A,0)),index(PitcherCalcs!CU:CU,match(A11,PitcherCalcs!A:A,0)))</f>
        <v>7</v>
      </c>
      <c r="AD11" s="19">
        <f t="array" ref="AD11">iferror(index(BatterCalcs!CI:CI,match(A11,BatterCalcs!A:A,0)),index(PitcherCalcs!CV:CV,match(A11,PitcherCalcs!A:A,0)))</f>
        <v>12.66666667</v>
      </c>
      <c r="AE11" s="16" t="str">
        <f t="array" ref="AE11">IFERROR(index(BatterCalcs!CR:CR,match(A11,BatterCalcs!A:A,0)),index(PitcherCalcs!BY:BY,match(A11,PitcherCalcs!A:A,0)))</f>
        <v>S(5)</v>
      </c>
      <c r="AF11" s="15"/>
      <c r="AG11" s="42" t="s">
        <v>1</v>
      </c>
      <c r="AH11" s="43" t="s">
        <v>32</v>
      </c>
      <c r="AI11" s="43" t="s">
        <v>20</v>
      </c>
      <c r="AJ11" s="43" t="s">
        <v>21</v>
      </c>
      <c r="AK11" s="43" t="s">
        <v>33</v>
      </c>
      <c r="AL11" s="44" t="s">
        <v>1</v>
      </c>
      <c r="AM11" s="45" t="s">
        <v>32</v>
      </c>
      <c r="AN11" s="45" t="s">
        <v>20</v>
      </c>
      <c r="AO11" s="45" t="s">
        <v>21</v>
      </c>
      <c r="AP11" s="45" t="s">
        <v>33</v>
      </c>
      <c r="AQ11" s="46" t="s">
        <v>1</v>
      </c>
      <c r="AR11" s="47" t="s">
        <v>32</v>
      </c>
      <c r="AS11" s="47" t="s">
        <v>20</v>
      </c>
      <c r="AT11" s="47" t="s">
        <v>21</v>
      </c>
      <c r="AU11" s="47" t="s">
        <v>33</v>
      </c>
      <c r="AV11" s="29" t="s">
        <v>49</v>
      </c>
      <c r="AW11" s="7" t="s">
        <v>19</v>
      </c>
      <c r="AX11" s="30" t="s">
        <v>50</v>
      </c>
      <c r="AZ11" s="15"/>
      <c r="BA11" s="15"/>
      <c r="BB11" s="15"/>
      <c r="BC11" s="7"/>
    </row>
    <row r="12">
      <c r="A12" s="16">
        <f>IFERROR(__xludf.DUMMYFUNCTION("""COMPUTED_VALUE"""),12961.0)</f>
        <v>12961</v>
      </c>
      <c r="B12" s="16" t="str">
        <f>IFERROR(__xludf.DUMMYFUNCTION("""COMPUTED_VALUE"""),"JJ Bleday")</f>
        <v>JJ Bleday</v>
      </c>
      <c r="C12" s="15">
        <f>IFERROR(__xludf.DUMMYFUNCTION("""COMPUTED_VALUE"""),0.95)</f>
        <v>0.95</v>
      </c>
      <c r="D12" s="17" t="str">
        <f>IFERROR(__xludf.DUMMYFUNCTION("""COMPUTED_VALUE"""),"https://sba-cards-2024.s3.us-east-1.amazonaws.com/2024-cards/jj-bleday.png")</f>
        <v>https://sba-cards-2024.s3.us-east-1.amazonaws.com/2024-cards/jj-bleday.png</v>
      </c>
      <c r="E12" s="18"/>
      <c r="F12" s="15"/>
      <c r="G12" s="15"/>
      <c r="H12" s="15"/>
      <c r="I12" s="15">
        <f>IFERROR(__xludf.DUMMYFUNCTION("""COMPUTED_VALUE"""),-2.0)</f>
        <v>-2</v>
      </c>
      <c r="J12" s="15"/>
      <c r="K12" s="15" t="str">
        <f>IFERROR(__xludf.DUMMYFUNCTION("""COMPUTED_VALUE"""),"1p70")</f>
        <v>1p70</v>
      </c>
      <c r="L12" s="15" t="str">
        <f t="array" ref="L12">iferror(index(BatterCalcs!D:D,match(A12,BatterCalcs!A:A,0)),index(PitcherCalcs!E:E,match(A12,PitcherCalcs!A:A,0)))</f>
        <v>L</v>
      </c>
      <c r="M12" s="15" t="str">
        <f t="array" ref="M12:T12">iferror(index(BatterCalcs!CJ:CQ,match(A12,BatterCalcs!A:A,0)),)</f>
        <v/>
      </c>
      <c r="N12" s="15"/>
      <c r="O12" s="15"/>
      <c r="P12" s="15"/>
      <c r="Q12" s="15"/>
      <c r="R12" s="15"/>
      <c r="S12" s="15">
        <v>406.0</v>
      </c>
      <c r="T12" s="15"/>
      <c r="U12" s="15" t="str">
        <f t="array" ref="U12">iferror(index(BatterCalcs!CK:CM,match(A12,BatterCalcs!E:E,0)),)</f>
        <v/>
      </c>
      <c r="V12" s="15"/>
      <c r="W12" s="15"/>
      <c r="X12" s="15" t="str">
        <f t="array" ref="X12">iferror(index(PitcherCalcs!CL:CL,match(A12,PitcherCalcs!F:F,0)),)</f>
        <v/>
      </c>
      <c r="Y12" s="15" t="str">
        <f t="array" ref="Y12">iferror(index(PitcherCalcs!CD:CF,match(A12,PitcherCalcs!A:A,0)),)</f>
        <v/>
      </c>
      <c r="Z12" s="15"/>
      <c r="AA12" s="15"/>
      <c r="AB12" s="15">
        <f t="array" ref="AB12">iferror(index(BatterCalcs!CG:CG,match(A12,BatterCalcs!A:A,0)),index(PitcherCalcs!CT:CT,match(A12,PitcherCalcs!A:A,0)))</f>
        <v>14</v>
      </c>
      <c r="AC12" s="15">
        <f t="array" ref="AC12">iferror(index(BatterCalcs!CH:CH,match(A12,BatterCalcs!A:A,0)),index(PitcherCalcs!CU:CU,match(A12,PitcherCalcs!A:A,0)))</f>
        <v>13</v>
      </c>
      <c r="AD12" s="19">
        <f t="array" ref="AD12">iferror(index(BatterCalcs!CI:CI,match(A12,BatterCalcs!A:A,0)),index(PitcherCalcs!CV:CV,match(A12,PitcherCalcs!A:A,0)))</f>
        <v>21</v>
      </c>
      <c r="AE12" s="16" t="str">
        <f t="array" ref="AE12">IFERROR(index(BatterCalcs!CR:CR,match(A12,BatterCalcs!A:A,0)),index(PitcherCalcs!BY:BY,match(A12,PitcherCalcs!A:A,0)))</f>
        <v>cf-4(-2)e6</v>
      </c>
      <c r="AF12" s="7"/>
      <c r="AG12" s="26" t="str">
        <f>IFERROR(__xludf.DUMMYFUNCTION("query($A$2:$AE$28,""select B, L, AB, AC, P where P is not null order by AD desc"")"),"Mark Vientos")</f>
        <v>Mark Vientos</v>
      </c>
      <c r="AH12" s="27" t="str">
        <f>IFERROR(__xludf.DUMMYFUNCTION("""COMPUTED_VALUE"""),"R")</f>
        <v>R</v>
      </c>
      <c r="AI12" s="27">
        <f>IFERROR(__xludf.DUMMYFUNCTION("""COMPUTED_VALUE"""),30.0)</f>
        <v>30</v>
      </c>
      <c r="AJ12" s="27">
        <f>IFERROR(__xludf.DUMMYFUNCTION("""COMPUTED_VALUE"""),21.0)</f>
        <v>21</v>
      </c>
      <c r="AK12" s="28">
        <f>IFERROR(__xludf.DUMMYFUNCTION("""COMPUTED_VALUE"""),408.0)</f>
        <v>408</v>
      </c>
      <c r="AL12" s="26" t="str">
        <f>IFERROR(__xludf.DUMMYFUNCTION("query($A$2:$AE$28,""select B, L, AB, AC, Q where Q is not null order by AD desc"")"),"Trea Turner")</f>
        <v>Trea Turner</v>
      </c>
      <c r="AM12" s="27" t="str">
        <f>IFERROR(__xludf.DUMMYFUNCTION("""COMPUTED_VALUE"""),"R")</f>
        <v>R</v>
      </c>
      <c r="AN12" s="27">
        <f>IFERROR(__xludf.DUMMYFUNCTION("""COMPUTED_VALUE"""),32.0)</f>
        <v>32</v>
      </c>
      <c r="AO12" s="27">
        <f>IFERROR(__xludf.DUMMYFUNCTION("""COMPUTED_VALUE"""),15.0)</f>
        <v>15</v>
      </c>
      <c r="AP12" s="28">
        <f>IFERROR(__xludf.DUMMYFUNCTION("""COMPUTED_VALUE"""),324.0)</f>
        <v>324</v>
      </c>
      <c r="AQ12" s="26" t="str">
        <f>IFERROR(__xludf.DUMMYFUNCTION("query($A$2:$AE$28,""select B, L, AB, AC, O where O is not null order by AD desc"")"),"Jorge Polanco")</f>
        <v>Jorge Polanco</v>
      </c>
      <c r="AR12" s="27" t="str">
        <f>IFERROR(__xludf.DUMMYFUNCTION("""COMPUTED_VALUE"""),"S")</f>
        <v>S</v>
      </c>
      <c r="AS12" s="27">
        <f>IFERROR(__xludf.DUMMYFUNCTION("""COMPUTED_VALUE"""),-9.0)</f>
        <v>-9</v>
      </c>
      <c r="AT12" s="27">
        <f>IFERROR(__xludf.DUMMYFUNCTION("""COMPUTED_VALUE"""),-16.0)</f>
        <v>-16</v>
      </c>
      <c r="AU12" s="28">
        <f>IFERROR(__xludf.DUMMYFUNCTION("""COMPUTED_VALUE"""),411.0)</f>
        <v>411</v>
      </c>
      <c r="AV12" s="29" t="s">
        <v>50</v>
      </c>
      <c r="AW12" s="7" t="s">
        <v>51</v>
      </c>
      <c r="AX12" s="30" t="s">
        <v>52</v>
      </c>
      <c r="AZ12" s="15"/>
      <c r="BA12" s="15"/>
      <c r="BB12" s="15"/>
      <c r="BC12" s="15"/>
    </row>
    <row r="13">
      <c r="A13" s="16">
        <f>IFERROR(__xludf.DUMMYFUNCTION("""COMPUTED_VALUE"""),12967.0)</f>
        <v>12967</v>
      </c>
      <c r="B13" s="16" t="str">
        <f>IFERROR(__xludf.DUMMYFUNCTION("""COMPUTED_VALUE"""),"Joe Mantiply")</f>
        <v>Joe Mantiply</v>
      </c>
      <c r="C13" s="15">
        <f>IFERROR(__xludf.DUMMYFUNCTION("""COMPUTED_VALUE"""),0.48)</f>
        <v>0.48</v>
      </c>
      <c r="D13" s="17" t="str">
        <f>IFERROR(__xludf.DUMMYFUNCTION("""COMPUTED_VALUE"""),"https://sba-cards-2024.s3.us-east-1.amazonaws.com/2024-cards/joe-mantiply.png")</f>
        <v>https://sba-cards-2024.s3.us-east-1.amazonaws.com/2024-cards/joe-mantiply.png</v>
      </c>
      <c r="E13" s="18"/>
      <c r="F13" s="15"/>
      <c r="G13" s="15"/>
      <c r="H13" s="15"/>
      <c r="I13" s="15">
        <f>IFERROR(__xludf.DUMMYFUNCTION("""COMPUTED_VALUE"""),-2.0)</f>
        <v>-2</v>
      </c>
      <c r="J13" s="15"/>
      <c r="K13" s="15" t="str">
        <f>IFERROR(__xludf.DUMMYFUNCTION("""COMPUTED_VALUE"""),"0p72")</f>
        <v>0p72</v>
      </c>
      <c r="L13" s="15" t="str">
        <f t="array" ref="L13">iferror(index(BatterCalcs!D:D,match(A13,BatterCalcs!A:A,0)),index(PitcherCalcs!E:E,match(A13,PitcherCalcs!A:A,0)))</f>
        <v>L</v>
      </c>
      <c r="M13" s="15" t="str">
        <f t="array" ref="M13">iferror(index(BatterCalcs!CJ:CQ,match(A13,BatterCalcs!A:A,0)),)</f>
        <v/>
      </c>
      <c r="N13" s="15"/>
      <c r="O13" s="15"/>
      <c r="P13" s="15"/>
      <c r="Q13" s="15"/>
      <c r="R13" s="15"/>
      <c r="S13" s="15"/>
      <c r="T13" s="15"/>
      <c r="U13" s="15" t="str">
        <f t="array" ref="U13">iferror(index(BatterCalcs!CK:CM,match(A13,BatterCalcs!E:E,0)),)</f>
        <v/>
      </c>
      <c r="V13" s="15"/>
      <c r="W13" s="15"/>
      <c r="X13" s="15" t="str">
        <f t="array" ref="X13">iferror(index(PitcherCalcs!CL:CL,match(A13,PitcherCalcs!F:F,0)),)</f>
        <v/>
      </c>
      <c r="Y13" s="15">
        <f t="array" ref="Y13:AA13">iferror(index(PitcherCalcs!CD:CF,match(A13,PitcherCalcs!A:A,0)),)</f>
        <v>1</v>
      </c>
      <c r="Z13" s="15">
        <v>1.0</v>
      </c>
      <c r="AA13" s="15">
        <v>0.0</v>
      </c>
      <c r="AB13" s="15">
        <f t="array" ref="AB13">iferror(index(BatterCalcs!CG:CG,match(A13,BatterCalcs!A:A,0)),index(PitcherCalcs!CT:CT,match(A13,PitcherCalcs!A:A,0)))</f>
        <v>35</v>
      </c>
      <c r="AC13" s="15">
        <f t="array" ref="AC13">iferror(index(BatterCalcs!CH:CH,match(A13,BatterCalcs!A:A,0)),index(PitcherCalcs!CU:CU,match(A13,PitcherCalcs!A:A,0)))</f>
        <v>10</v>
      </c>
      <c r="AD13" s="19">
        <f t="array" ref="AD13">iferror(index(BatterCalcs!CI:CI,match(A13,BatterCalcs!A:A,0)),index(PitcherCalcs!CV:CV,match(A13,PitcherCalcs!A:A,0)))</f>
        <v>27.33333333</v>
      </c>
      <c r="AE13" s="16" t="str">
        <f t="array" ref="AE13">IFERROR(index(BatterCalcs!CR:CR,match(A13,BatterCalcs!A:A,0)),index(PitcherCalcs!BY:BY,match(A13,PitcherCalcs!A:A,0)))</f>
        <v>S(1) R(1) C(0)</v>
      </c>
      <c r="AF13" s="7"/>
      <c r="AG13" s="31" t="str">
        <f>IFERROR(__xludf.DUMMYFUNCTION("""COMPUTED_VALUE"""),"Ildemaro Vargas")</f>
        <v>Ildemaro Vargas</v>
      </c>
      <c r="AH13" s="32" t="str">
        <f>IFERROR(__xludf.DUMMYFUNCTION("""COMPUTED_VALUE"""),"S")</f>
        <v>S</v>
      </c>
      <c r="AI13" s="32">
        <f>IFERROR(__xludf.DUMMYFUNCTION("""COMPUTED_VALUE"""),-13.0)</f>
        <v>-13</v>
      </c>
      <c r="AJ13" s="32">
        <f>IFERROR(__xludf.DUMMYFUNCTION("""COMPUTED_VALUE"""),-22.0)</f>
        <v>-22</v>
      </c>
      <c r="AK13" s="33">
        <f>IFERROR(__xludf.DUMMYFUNCTION("""COMPUTED_VALUE"""),219.0)</f>
        <v>219</v>
      </c>
      <c r="AL13" s="34" t="str">
        <f>IFERROR(__xludf.DUMMYFUNCTION("""COMPUTED_VALUE"""),"Ildemaro Vargas")</f>
        <v>Ildemaro Vargas</v>
      </c>
      <c r="AM13" s="35" t="str">
        <f>IFERROR(__xludf.DUMMYFUNCTION("""COMPUTED_VALUE"""),"S")</f>
        <v>S</v>
      </c>
      <c r="AN13" s="35">
        <f>IFERROR(__xludf.DUMMYFUNCTION("""COMPUTED_VALUE"""),-13.0)</f>
        <v>-13</v>
      </c>
      <c r="AO13" s="35">
        <f>IFERROR(__xludf.DUMMYFUNCTION("""COMPUTED_VALUE"""),-22.0)</f>
        <v>-22</v>
      </c>
      <c r="AP13" s="33">
        <f>IFERROR(__xludf.DUMMYFUNCTION("""COMPUTED_VALUE"""),427.0)</f>
        <v>427</v>
      </c>
      <c r="AQ13" s="31" t="str">
        <f>IFERROR(__xludf.DUMMYFUNCTION("""COMPUTED_VALUE"""),"Ildemaro Vargas")</f>
        <v>Ildemaro Vargas</v>
      </c>
      <c r="AR13" s="32" t="str">
        <f>IFERROR(__xludf.DUMMYFUNCTION("""COMPUTED_VALUE"""),"S")</f>
        <v>S</v>
      </c>
      <c r="AS13" s="32">
        <f>IFERROR(__xludf.DUMMYFUNCTION("""COMPUTED_VALUE"""),-13.0)</f>
        <v>-13</v>
      </c>
      <c r="AT13" s="32">
        <f>IFERROR(__xludf.DUMMYFUNCTION("""COMPUTED_VALUE"""),-22.0)</f>
        <v>-22</v>
      </c>
      <c r="AU13" s="33">
        <f>IFERROR(__xludf.DUMMYFUNCTION("""COMPUTED_VALUE"""),303.0)</f>
        <v>303</v>
      </c>
      <c r="AW13" s="48"/>
      <c r="AZ13" s="15"/>
      <c r="BA13" s="15"/>
      <c r="BB13" s="15"/>
      <c r="BC13" s="7"/>
    </row>
    <row r="14">
      <c r="A14" s="16">
        <f>IFERROR(__xludf.DUMMYFUNCTION("""COMPUTED_VALUE"""),12983.0)</f>
        <v>12983</v>
      </c>
      <c r="B14" s="16" t="str">
        <f>IFERROR(__xludf.DUMMYFUNCTION("""COMPUTED_VALUE"""),"John Schreiber")</f>
        <v>John Schreiber</v>
      </c>
      <c r="C14" s="15">
        <f>IFERROR(__xludf.DUMMYFUNCTION("""COMPUTED_VALUE"""),0.46)</f>
        <v>0.46</v>
      </c>
      <c r="D14" s="17" t="str">
        <f>IFERROR(__xludf.DUMMYFUNCTION("""COMPUTED_VALUE"""),"https://sba-cards-2024.s3.us-east-1.amazonaws.com/2024-cards/john-schreiber.png")</f>
        <v>https://sba-cards-2024.s3.us-east-1.amazonaws.com/2024-cards/john-schreiber.png</v>
      </c>
      <c r="E14" s="18"/>
      <c r="F14" s="15"/>
      <c r="G14" s="15"/>
      <c r="H14" s="15"/>
      <c r="I14" s="15">
        <f>IFERROR(__xludf.DUMMYFUNCTION("""COMPUTED_VALUE"""),-2.0)</f>
        <v>-2</v>
      </c>
      <c r="J14" s="15"/>
      <c r="K14" s="15" t="str">
        <f>IFERROR(__xludf.DUMMYFUNCTION("""COMPUTED_VALUE"""),"2p40")</f>
        <v>2p40</v>
      </c>
      <c r="L14" s="15" t="str">
        <f t="array" ref="L14">iferror(index(BatterCalcs!D:D,match(A14,BatterCalcs!A:A,0)),index(PitcherCalcs!E:E,match(A14,PitcherCalcs!A:A,0)))</f>
        <v>R</v>
      </c>
      <c r="M14" s="15" t="str">
        <f t="array" ref="M14">iferror(index(BatterCalcs!CJ:CQ,match(A14,BatterCalcs!A:A,0)),)</f>
        <v/>
      </c>
      <c r="N14" s="15"/>
      <c r="O14" s="15"/>
      <c r="P14" s="15"/>
      <c r="Q14" s="15"/>
      <c r="R14" s="15"/>
      <c r="S14" s="15"/>
      <c r="T14" s="15"/>
      <c r="U14" s="15" t="str">
        <f t="array" ref="U14">iferror(index(BatterCalcs!CK:CM,match(A14,BatterCalcs!E:E,0)),)</f>
        <v/>
      </c>
      <c r="V14" s="15"/>
      <c r="W14" s="15"/>
      <c r="X14" s="15" t="str">
        <f t="array" ref="X14">iferror(index(PitcherCalcs!CL:CL,match(A14,PitcherCalcs!F:F,0)),)</f>
        <v/>
      </c>
      <c r="Y14" s="15" t="str">
        <f t="array" ref="Y14:AA14">iferror(index(PitcherCalcs!CD:CF,match(A14,PitcherCalcs!A:A,0)),)</f>
        <v/>
      </c>
      <c r="Z14" s="15">
        <v>1.0</v>
      </c>
      <c r="AA14" s="15">
        <v>1.0</v>
      </c>
      <c r="AB14" s="15">
        <f t="array" ref="AB14">iferror(index(BatterCalcs!CG:CG,match(A14,BatterCalcs!A:A,0)),index(PitcherCalcs!CT:CT,match(A14,PitcherCalcs!A:A,0)))</f>
        <v>10</v>
      </c>
      <c r="AC14" s="15">
        <f t="array" ref="AC14">iferror(index(BatterCalcs!CH:CH,match(A14,BatterCalcs!A:A,0)),index(PitcherCalcs!CU:CU,match(A14,PitcherCalcs!A:A,0)))</f>
        <v>24</v>
      </c>
      <c r="AD14" s="19">
        <f t="array" ref="AD14">iferror(index(BatterCalcs!CI:CI,match(A14,BatterCalcs!A:A,0)),index(PitcherCalcs!CV:CV,match(A14,PitcherCalcs!A:A,0)))</f>
        <v>18.66666667</v>
      </c>
      <c r="AE14" s="16" t="str">
        <f t="array" ref="AE14">IFERROR(index(BatterCalcs!CR:CR,match(A14,BatterCalcs!A:A,0)),index(PitcherCalcs!BY:BY,match(A14,PitcherCalcs!A:A,0)))</f>
        <v>R(1) C(1)</v>
      </c>
      <c r="AF14" s="7"/>
      <c r="AG14" s="31"/>
      <c r="AH14" s="32"/>
      <c r="AI14" s="32"/>
      <c r="AJ14" s="32"/>
      <c r="AK14" s="33"/>
      <c r="AL14" s="31"/>
      <c r="AM14" s="32"/>
      <c r="AN14" s="32"/>
      <c r="AO14" s="32"/>
      <c r="AP14" s="33"/>
      <c r="AQ14" s="31"/>
      <c r="AR14" s="32"/>
      <c r="AS14" s="32"/>
      <c r="AT14" s="32"/>
      <c r="AU14" s="33"/>
      <c r="AW14" s="48"/>
      <c r="AZ14" s="15"/>
      <c r="BA14" s="15"/>
      <c r="BB14" s="15"/>
      <c r="BC14" s="7"/>
    </row>
    <row r="15">
      <c r="A15" s="16">
        <f>IFERROR(__xludf.DUMMYFUNCTION("""COMPUTED_VALUE"""),13007.0)</f>
        <v>13007</v>
      </c>
      <c r="B15" s="16" t="str">
        <f>IFERROR(__xludf.DUMMYFUNCTION("""COMPUTED_VALUE"""),"Jorge Polanco")</f>
        <v>Jorge Polanco</v>
      </c>
      <c r="C15" s="15">
        <f>IFERROR(__xludf.DUMMYFUNCTION("""COMPUTED_VALUE"""),0.48)</f>
        <v>0.48</v>
      </c>
      <c r="D15" s="17" t="str">
        <f>IFERROR(__xludf.DUMMYFUNCTION("""COMPUTED_VALUE"""),"https://sba-cards-2024.s3.us-east-1.amazonaws.com/2024-cards/jorge-polanco.png")</f>
        <v>https://sba-cards-2024.s3.us-east-1.amazonaws.com/2024-cards/jorge-polanco.png</v>
      </c>
      <c r="E15" s="18"/>
      <c r="F15" s="15"/>
      <c r="G15" s="15"/>
      <c r="H15" s="15"/>
      <c r="I15" s="15">
        <f>IFERROR(__xludf.DUMMYFUNCTION("""COMPUTED_VALUE"""),-2.0)</f>
        <v>-2</v>
      </c>
      <c r="J15" s="15"/>
      <c r="K15" s="15" t="str">
        <f>IFERROR(__xludf.DUMMYFUNCTION("""COMPUTED_VALUE"""),"2p60")</f>
        <v>2p60</v>
      </c>
      <c r="L15" s="15" t="str">
        <f t="array" ref="L15">iferror(index(BatterCalcs!D:D,match(A15,BatterCalcs!A:A,0)),index(PitcherCalcs!E:E,match(A15,PitcherCalcs!A:A,0)))</f>
        <v>S</v>
      </c>
      <c r="M15" s="15" t="str">
        <f t="array" ref="M15:T15">iferror(index(BatterCalcs!CJ:CQ,match(A15,BatterCalcs!A:A,0)),)</f>
        <v/>
      </c>
      <c r="N15" s="15"/>
      <c r="O15" s="15">
        <v>411.0</v>
      </c>
      <c r="P15" s="15"/>
      <c r="Q15" s="15"/>
      <c r="R15" s="15"/>
      <c r="S15" s="15"/>
      <c r="T15" s="15"/>
      <c r="U15" s="15" t="str">
        <f t="array" ref="U15">iferror(index(BatterCalcs!CK:CM,match(A15,BatterCalcs!E:E,0)),)</f>
        <v/>
      </c>
      <c r="V15" s="15"/>
      <c r="W15" s="15"/>
      <c r="X15" s="15" t="str">
        <f t="array" ref="X15">iferror(index(PitcherCalcs!CL:CL,match(A15,PitcherCalcs!F:F,0)),)</f>
        <v/>
      </c>
      <c r="Y15" s="15" t="str">
        <f t="array" ref="Y15">iferror(index(PitcherCalcs!CD:CF,match(A15,PitcherCalcs!A:A,0)),)</f>
        <v/>
      </c>
      <c r="Z15" s="15"/>
      <c r="AA15" s="15"/>
      <c r="AB15" s="15">
        <f t="array" ref="AB15">iferror(index(BatterCalcs!CG:CG,match(A15,BatterCalcs!A:A,0)),index(PitcherCalcs!CT:CT,match(A15,PitcherCalcs!A:A,0)))</f>
        <v>-9</v>
      </c>
      <c r="AC15" s="15">
        <f t="array" ref="AC15">iferror(index(BatterCalcs!CH:CH,match(A15,BatterCalcs!A:A,0)),index(PitcherCalcs!CU:CU,match(A15,PitcherCalcs!A:A,0)))</f>
        <v>-16</v>
      </c>
      <c r="AD15" s="19">
        <f t="array" ref="AD15">iferror(index(BatterCalcs!CI:CI,match(A15,BatterCalcs!A:A,0)),index(PitcherCalcs!CV:CV,match(A15,PitcherCalcs!A:A,0)))</f>
        <v>-11</v>
      </c>
      <c r="AE15" s="16" t="str">
        <f t="array" ref="AE15">IFERROR(index(BatterCalcs!CR:CR,match(A15,BatterCalcs!A:A,0)),index(PitcherCalcs!BY:BY,match(A15,PitcherCalcs!A:A,0)))</f>
        <v>2b-4e11</v>
      </c>
      <c r="AF15" s="15"/>
      <c r="AG15" s="31"/>
      <c r="AH15" s="32"/>
      <c r="AI15" s="32"/>
      <c r="AJ15" s="32"/>
      <c r="AK15" s="33"/>
      <c r="AL15" s="31"/>
      <c r="AM15" s="32"/>
      <c r="AN15" s="32"/>
      <c r="AO15" s="32"/>
      <c r="AP15" s="33"/>
      <c r="AQ15" s="31"/>
      <c r="AR15" s="32"/>
      <c r="AS15" s="32"/>
      <c r="AT15" s="32"/>
      <c r="AU15" s="33"/>
      <c r="AV15" s="48"/>
      <c r="AZ15" s="15"/>
      <c r="BA15" s="15"/>
      <c r="BB15" s="15"/>
      <c r="BC15" s="7"/>
    </row>
    <row r="16">
      <c r="A16" s="16">
        <f>IFERROR(__xludf.DUMMYFUNCTION("""COMPUTED_VALUE"""),13036.0)</f>
        <v>13036</v>
      </c>
      <c r="B16" s="16" t="str">
        <f>IFERROR(__xludf.DUMMYFUNCTION("""COMPUTED_VALUE"""),"Josh Naylor")</f>
        <v>Josh Naylor</v>
      </c>
      <c r="C16" s="15">
        <f>IFERROR(__xludf.DUMMYFUNCTION("""COMPUTED_VALUE"""),0.69)</f>
        <v>0.69</v>
      </c>
      <c r="D16" s="17" t="str">
        <f>IFERROR(__xludf.DUMMYFUNCTION("""COMPUTED_VALUE"""),"https://sba-cards-2024.s3.us-east-1.amazonaws.com/2024-cards/josh-naylor.png")</f>
        <v>https://sba-cards-2024.s3.us-east-1.amazonaws.com/2024-cards/josh-naylor.png</v>
      </c>
      <c r="E16" s="18"/>
      <c r="F16" s="15"/>
      <c r="G16" s="15"/>
      <c r="H16" s="15"/>
      <c r="I16" s="15">
        <f>IFERROR(__xludf.DUMMYFUNCTION("""COMPUTED_VALUE"""),-2.0)</f>
        <v>-2</v>
      </c>
      <c r="J16" s="15"/>
      <c r="K16" s="15" t="str">
        <f>IFERROR(__xludf.DUMMYFUNCTION("""COMPUTED_VALUE"""),"1p70")</f>
        <v>1p70</v>
      </c>
      <c r="L16" s="15" t="str">
        <f t="array" ref="L16">iferror(index(BatterCalcs!D:D,match(A16,BatterCalcs!A:A,0)),index(PitcherCalcs!E:E,match(A16,PitcherCalcs!A:A,0)))</f>
        <v>L</v>
      </c>
      <c r="M16" s="15" t="str">
        <f t="array" ref="M16:T16">iferror(index(BatterCalcs!CJ:CQ,match(A16,BatterCalcs!A:A,0)),)</f>
        <v/>
      </c>
      <c r="N16" s="15">
        <v>311.0</v>
      </c>
      <c r="O16" s="15"/>
      <c r="P16" s="15"/>
      <c r="Q16" s="15"/>
      <c r="R16" s="15"/>
      <c r="S16" s="15"/>
      <c r="T16" s="15"/>
      <c r="U16" s="15" t="str">
        <f t="array" ref="U16">iferror(index(BatterCalcs!CK:CM,match(A16,BatterCalcs!E:E,0)),)</f>
        <v/>
      </c>
      <c r="V16" s="15"/>
      <c r="W16" s="15"/>
      <c r="X16" s="15" t="str">
        <f t="array" ref="X16">iferror(index(PitcherCalcs!CL:CL,match(A16,PitcherCalcs!F:F,0)),)</f>
        <v/>
      </c>
      <c r="Y16" s="15" t="str">
        <f t="array" ref="Y16">iferror(index(PitcherCalcs!CD:CF,match(A16,PitcherCalcs!A:A,0)),)</f>
        <v/>
      </c>
      <c r="Z16" s="15"/>
      <c r="AA16" s="15"/>
      <c r="AB16" s="15">
        <f t="array" ref="AB16">iferror(index(BatterCalcs!CG:CG,match(A16,BatterCalcs!A:A,0)),index(PitcherCalcs!CT:CT,match(A16,PitcherCalcs!A:A,0)))</f>
        <v>5</v>
      </c>
      <c r="AC16" s="15">
        <f t="array" ref="AC16">iferror(index(BatterCalcs!CH:CH,match(A16,BatterCalcs!A:A,0)),index(PitcherCalcs!CU:CU,match(A16,PitcherCalcs!A:A,0)))</f>
        <v>12</v>
      </c>
      <c r="AD16" s="19">
        <f t="array" ref="AD16">iferror(index(BatterCalcs!CI:CI,match(A16,BatterCalcs!A:A,0)),index(PitcherCalcs!CV:CV,match(A16,PitcherCalcs!A:A,0)))</f>
        <v>18</v>
      </c>
      <c r="AE16" s="16" t="str">
        <f t="array" ref="AE16">IFERROR(index(BatterCalcs!CR:CR,match(A16,BatterCalcs!A:A,0)),index(PitcherCalcs!BY:BY,match(A16,PitcherCalcs!A:A,0)))</f>
        <v>1b-3e11</v>
      </c>
      <c r="AF16" s="7"/>
      <c r="AG16" s="31"/>
      <c r="AH16" s="32"/>
      <c r="AI16" s="32"/>
      <c r="AJ16" s="32"/>
      <c r="AK16" s="33"/>
      <c r="AL16" s="31"/>
      <c r="AM16" s="32"/>
      <c r="AN16" s="32"/>
      <c r="AO16" s="32"/>
      <c r="AP16" s="33"/>
      <c r="AQ16" s="31"/>
      <c r="AR16" s="32"/>
      <c r="AS16" s="32"/>
      <c r="AT16" s="32"/>
      <c r="AU16" s="33"/>
      <c r="AY16" s="15"/>
      <c r="AZ16" s="15"/>
      <c r="BA16" s="7"/>
      <c r="BB16" s="15"/>
      <c r="BC16" s="15"/>
    </row>
    <row r="17">
      <c r="A17" s="16">
        <f>IFERROR(__xludf.DUMMYFUNCTION("""COMPUTED_VALUE"""),13046.0)</f>
        <v>13046</v>
      </c>
      <c r="B17" s="16" t="str">
        <f>IFERROR(__xludf.DUMMYFUNCTION("""COMPUTED_VALUE"""),"JT Realmuto")</f>
        <v>JT Realmuto</v>
      </c>
      <c r="C17" s="15">
        <f>IFERROR(__xludf.DUMMYFUNCTION("""COMPUTED_VALUE"""),2.11)</f>
        <v>2.11</v>
      </c>
      <c r="D17" s="17" t="str">
        <f>IFERROR(__xludf.DUMMYFUNCTION("""COMPUTED_VALUE"""),"https://sba-cards-2024.s3.us-east-1.amazonaws.com/2024-cards/jt-realmuto.png")</f>
        <v>https://sba-cards-2024.s3.us-east-1.amazonaws.com/2024-cards/jt-realmuto.png</v>
      </c>
      <c r="E17" s="18"/>
      <c r="F17" s="15"/>
      <c r="G17" s="15"/>
      <c r="H17" s="15"/>
      <c r="I17" s="15">
        <f>IFERROR(__xludf.DUMMYFUNCTION("""COMPUTED_VALUE"""),-2.0)</f>
        <v>-2</v>
      </c>
      <c r="J17" s="15"/>
      <c r="K17" s="15" t="str">
        <f>IFERROR(__xludf.DUMMYFUNCTION("""COMPUTED_VALUE"""),"4p50")</f>
        <v>4p50</v>
      </c>
      <c r="L17" s="15" t="str">
        <f t="array" ref="L17">iferror(index(BatterCalcs!D:D,match(A17,BatterCalcs!A:A,0)),index(PitcherCalcs!E:E,match(A17,PitcherCalcs!A:A,0)))</f>
        <v>R</v>
      </c>
      <c r="M17" s="15">
        <f t="array" ref="M17:T17">iferror(index(BatterCalcs!CJ:CQ,match(A17,BatterCalcs!A:A,0)),)</f>
        <v>201</v>
      </c>
      <c r="N17" s="15"/>
      <c r="O17" s="15"/>
      <c r="P17" s="15"/>
      <c r="Q17" s="15"/>
      <c r="R17" s="15"/>
      <c r="S17" s="15"/>
      <c r="T17" s="15"/>
      <c r="U17" s="15" t="str">
        <f t="array" ref="U17">iferror(index(BatterCalcs!CK:CM,match(A17,BatterCalcs!E:E,0)),)</f>
        <v/>
      </c>
      <c r="V17" s="15"/>
      <c r="W17" s="15"/>
      <c r="X17" s="15" t="str">
        <f t="array" ref="X17">iferror(index(PitcherCalcs!CL:CL,match(A17,PitcherCalcs!F:F,0)),)</f>
        <v/>
      </c>
      <c r="Y17" s="15" t="str">
        <f t="array" ref="Y17">iferror(index(PitcherCalcs!CD:CF,match(A17,PitcherCalcs!A:A,0)),)</f>
        <v/>
      </c>
      <c r="Z17" s="15"/>
      <c r="AA17" s="15"/>
      <c r="AB17" s="15">
        <f t="array" ref="AB17">iferror(index(BatterCalcs!CG:CG,match(A17,BatterCalcs!A:A,0)),index(PitcherCalcs!CT:CT,match(A17,PitcherCalcs!A:A,0)))</f>
        <v>15</v>
      </c>
      <c r="AC17" s="15">
        <f t="array" ref="AC17">iferror(index(BatterCalcs!CH:CH,match(A17,BatterCalcs!A:A,0)),index(PitcherCalcs!CU:CU,match(A17,PitcherCalcs!A:A,0)))</f>
        <v>5</v>
      </c>
      <c r="AD17" s="19">
        <f t="array" ref="AD17">iferror(index(BatterCalcs!CI:CI,match(A17,BatterCalcs!A:A,0)),index(PitcherCalcs!CV:CV,match(A17,PitcherCalcs!A:A,0)))</f>
        <v>7</v>
      </c>
      <c r="AE17" s="16" t="str">
        <f t="array" ref="AE17">IFERROR(index(BatterCalcs!CR:CR,match(A17,BatterCalcs!A:A,0)),index(PitcherCalcs!BY:BY,match(A17,PitcherCalcs!A:A,0)))</f>
        <v>c-2(-3)e1,T-7(pb-1)</v>
      </c>
      <c r="AF17" s="7"/>
      <c r="AG17" s="31"/>
      <c r="AH17" s="32"/>
      <c r="AI17" s="32"/>
      <c r="AJ17" s="32"/>
      <c r="AK17" s="33"/>
      <c r="AL17" s="31"/>
      <c r="AM17" s="32"/>
      <c r="AN17" s="32"/>
      <c r="AO17" s="32"/>
      <c r="AP17" s="33"/>
      <c r="AQ17" s="31"/>
      <c r="AR17" s="32"/>
      <c r="AS17" s="32"/>
      <c r="AT17" s="32"/>
      <c r="AU17" s="33"/>
      <c r="AY17" s="15"/>
      <c r="AZ17" s="15"/>
      <c r="BA17" s="15"/>
      <c r="BB17" s="15"/>
      <c r="BC17" s="15"/>
    </row>
    <row r="18">
      <c r="A18" s="16">
        <f>IFERROR(__xludf.DUMMYFUNCTION("""COMPUTED_VALUE"""),13158.0)</f>
        <v>13158</v>
      </c>
      <c r="B18" s="16" t="str">
        <f>IFERROR(__xludf.DUMMYFUNCTION("""COMPUTED_VALUE"""),"Mark Vientos")</f>
        <v>Mark Vientos</v>
      </c>
      <c r="C18" s="15">
        <f>IFERROR(__xludf.DUMMYFUNCTION("""COMPUTED_VALUE"""),1.98)</f>
        <v>1.98</v>
      </c>
      <c r="D18" s="17" t="str">
        <f>IFERROR(__xludf.DUMMYFUNCTION("""COMPUTED_VALUE"""),"https://sba-cards-2024.s3.us-east-1.amazonaws.com/2024-cards/mark-vientos.png")</f>
        <v>https://sba-cards-2024.s3.us-east-1.amazonaws.com/2024-cards/mark-vientos.png</v>
      </c>
      <c r="E18" s="18"/>
      <c r="F18" s="15"/>
      <c r="G18" s="15"/>
      <c r="H18" s="15"/>
      <c r="I18" s="15">
        <f>IFERROR(__xludf.DUMMYFUNCTION("""COMPUTED_VALUE"""),-2.0)</f>
        <v>-2</v>
      </c>
      <c r="J18" s="15"/>
      <c r="K18" s="15" t="str">
        <f>IFERROR(__xludf.DUMMYFUNCTION("""COMPUTED_VALUE"""),"1p50")</f>
        <v>1p50</v>
      </c>
      <c r="L18" s="15" t="str">
        <f t="array" ref="L18">iferror(index(BatterCalcs!D:D,match(A18,BatterCalcs!A:A,0)),index(PitcherCalcs!E:E,match(A18,PitcherCalcs!A:A,0)))</f>
        <v>R</v>
      </c>
      <c r="M18" s="15" t="str">
        <f t="array" ref="M18:T18">iferror(index(BatterCalcs!CJ:CQ,match(A18,BatterCalcs!A:A,0)),)</f>
        <v/>
      </c>
      <c r="N18" s="15">
        <v>412.0</v>
      </c>
      <c r="O18" s="15"/>
      <c r="P18" s="15">
        <v>408.0</v>
      </c>
      <c r="Q18" s="15"/>
      <c r="R18" s="15"/>
      <c r="S18" s="15"/>
      <c r="T18" s="15"/>
      <c r="U18" s="15" t="str">
        <f t="array" ref="U18">iferror(index(BatterCalcs!CK:CM,match(A18,BatterCalcs!E:E,0)),)</f>
        <v/>
      </c>
      <c r="V18" s="15"/>
      <c r="W18" s="15"/>
      <c r="X18" s="15" t="str">
        <f t="array" ref="X18">iferror(index(PitcherCalcs!CL:CL,match(A18,PitcherCalcs!F:F,0)),)</f>
        <v/>
      </c>
      <c r="Y18" s="15" t="str">
        <f t="array" ref="Y18">iferror(index(PitcherCalcs!CD:CF,match(A18,PitcherCalcs!A:A,0)),)</f>
        <v/>
      </c>
      <c r="Z18" s="15"/>
      <c r="AA18" s="15"/>
      <c r="AB18" s="15">
        <f t="array" ref="AB18">iferror(index(BatterCalcs!CG:CG,match(A18,BatterCalcs!A:A,0)),index(PitcherCalcs!CT:CT,match(A18,PitcherCalcs!A:A,0)))</f>
        <v>30</v>
      </c>
      <c r="AC18" s="15">
        <f t="array" ref="AC18">iferror(index(BatterCalcs!CH:CH,match(A18,BatterCalcs!A:A,0)),index(PitcherCalcs!CU:CU,match(A18,PitcherCalcs!A:A,0)))</f>
        <v>21</v>
      </c>
      <c r="AD18" s="19">
        <f t="array" ref="AD18">iferror(index(BatterCalcs!CI:CI,match(A18,BatterCalcs!A:A,0)),index(PitcherCalcs!CV:CV,match(A18,PitcherCalcs!A:A,0)))</f>
        <v>27</v>
      </c>
      <c r="AE18" s="16" t="str">
        <f t="array" ref="AE18">IFERROR(index(BatterCalcs!CR:CR,match(A18,BatterCalcs!A:A,0)),index(PitcherCalcs!BY:BY,match(A18,PitcherCalcs!A:A,0)))</f>
        <v>3b-4e8 1b-4e12</v>
      </c>
      <c r="AF18" s="7"/>
      <c r="AG18" s="36"/>
      <c r="AH18" s="37"/>
      <c r="AI18" s="37"/>
      <c r="AJ18" s="37"/>
      <c r="AK18" s="38"/>
      <c r="AL18" s="36"/>
      <c r="AM18" s="37"/>
      <c r="AN18" s="37"/>
      <c r="AO18" s="37"/>
      <c r="AP18" s="38"/>
      <c r="AQ18" s="36"/>
      <c r="AR18" s="37"/>
      <c r="AS18" s="37"/>
      <c r="AT18" s="37"/>
      <c r="AU18" s="38"/>
      <c r="AY18" s="15"/>
      <c r="AZ18" s="15"/>
      <c r="BA18" s="7"/>
      <c r="BB18" s="15"/>
      <c r="BC18" s="15"/>
    </row>
    <row r="19">
      <c r="A19" s="16">
        <f>IFERROR(__xludf.DUMMYFUNCTION("""COMPUTED_VALUE"""),13205.0)</f>
        <v>13205</v>
      </c>
      <c r="B19" s="16" t="str">
        <f>IFERROR(__xludf.DUMMYFUNCTION("""COMPUTED_VALUE"""),"Mickey Moniak")</f>
        <v>Mickey Moniak</v>
      </c>
      <c r="C19" s="15">
        <f>IFERROR(__xludf.DUMMYFUNCTION("""COMPUTED_VALUE"""),0.0)</f>
        <v>0</v>
      </c>
      <c r="D19" s="17" t="str">
        <f>IFERROR(__xludf.DUMMYFUNCTION("""COMPUTED_VALUE"""),"https://sba-cards-2024.s3.us-east-1.amazonaws.com/2024-cards/mickey-moniak.png")</f>
        <v>https://sba-cards-2024.s3.us-east-1.amazonaws.com/2024-cards/mickey-moniak.png</v>
      </c>
      <c r="E19" s="18"/>
      <c r="F19" s="15"/>
      <c r="G19" s="15"/>
      <c r="H19" s="15"/>
      <c r="I19" s="15">
        <f>IFERROR(__xludf.DUMMYFUNCTION("""COMPUTED_VALUE"""),-2.0)</f>
        <v>-2</v>
      </c>
      <c r="J19" s="15"/>
      <c r="K19" s="15" t="str">
        <f>IFERROR(__xludf.DUMMYFUNCTION("""COMPUTED_VALUE"""),"1p60")</f>
        <v>1p60</v>
      </c>
      <c r="L19" s="15" t="str">
        <f t="array" ref="L19">iferror(index(BatterCalcs!D:D,match(A19,BatterCalcs!A:A,0)),index(PitcherCalcs!E:E,match(A19,PitcherCalcs!A:A,0)))</f>
        <v>L</v>
      </c>
      <c r="M19" s="15" t="str">
        <f t="array" ref="M19:T19">iferror(index(BatterCalcs!CJ:CQ,match(A19,BatterCalcs!A:A,0)),)</f>
        <v/>
      </c>
      <c r="N19" s="15"/>
      <c r="O19" s="15"/>
      <c r="P19" s="15"/>
      <c r="Q19" s="15"/>
      <c r="R19" s="15">
        <v>306.0</v>
      </c>
      <c r="S19" s="15">
        <v>306.0</v>
      </c>
      <c r="T19" s="15">
        <v>306.0</v>
      </c>
      <c r="U19" s="15" t="str">
        <f t="array" ref="U19">iferror(index(BatterCalcs!CK:CM,match(A19,BatterCalcs!E:E,0)),)</f>
        <v/>
      </c>
      <c r="V19" s="15"/>
      <c r="W19" s="15"/>
      <c r="X19" s="15" t="str">
        <f t="array" ref="X19">iferror(index(PitcherCalcs!CL:CL,match(A19,PitcherCalcs!F:F,0)),)</f>
        <v/>
      </c>
      <c r="Y19" s="15" t="str">
        <f t="array" ref="Y19">iferror(index(PitcherCalcs!CD:CF,match(A19,PitcherCalcs!A:A,0)),)</f>
        <v/>
      </c>
      <c r="Z19" s="15"/>
      <c r="AA19" s="15"/>
      <c r="AB19" s="15">
        <f t="array" ref="AB19">iferror(index(BatterCalcs!CG:CG,match(A19,BatterCalcs!A:A,0)),index(PitcherCalcs!CT:CT,match(A19,PitcherCalcs!A:A,0)))</f>
        <v>-17</v>
      </c>
      <c r="AC19" s="15">
        <f t="array" ref="AC19">iferror(index(BatterCalcs!CH:CH,match(A19,BatterCalcs!A:A,0)),index(PitcherCalcs!CU:CU,match(A19,PitcherCalcs!A:A,0)))</f>
        <v>-10</v>
      </c>
      <c r="AD19" s="19">
        <f t="array" ref="AD19">iferror(index(BatterCalcs!CI:CI,match(A19,BatterCalcs!A:A,0)),index(PitcherCalcs!CV:CV,match(A19,PitcherCalcs!A:A,0)))</f>
        <v>-6</v>
      </c>
      <c r="AE19" s="16" t="str">
        <f t="array" ref="AE19">IFERROR(index(BatterCalcs!CR:CR,match(A19,BatterCalcs!A:A,0)),index(PitcherCalcs!BY:BY,match(A19,PitcherCalcs!A:A,0)))</f>
        <v>cf-3(0)e6 rf-3e6 lf-3e6</v>
      </c>
      <c r="AF19" s="7"/>
      <c r="AK19" s="15"/>
      <c r="AL19" s="49" t="s">
        <v>53</v>
      </c>
      <c r="AM19" s="9"/>
      <c r="AN19" s="9"/>
      <c r="AO19" s="9"/>
      <c r="AP19" s="10"/>
      <c r="AQ19" s="50" t="s">
        <v>54</v>
      </c>
      <c r="AR19" s="9"/>
      <c r="AS19" s="9"/>
      <c r="AT19" s="9"/>
      <c r="AU19" s="10"/>
      <c r="AY19" s="15"/>
      <c r="AZ19" s="15"/>
      <c r="BA19" s="15"/>
      <c r="BB19" s="15"/>
      <c r="BC19" s="7"/>
    </row>
    <row r="20">
      <c r="A20" s="16">
        <f>IFERROR(__xludf.DUMMYFUNCTION("""COMPUTED_VALUE"""),13290.0)</f>
        <v>13290</v>
      </c>
      <c r="B20" s="16" t="str">
        <f>IFERROR(__xludf.DUMMYFUNCTION("""COMPUTED_VALUE"""),"Porter Hodge")</f>
        <v>Porter Hodge</v>
      </c>
      <c r="C20" s="15">
        <f>IFERROR(__xludf.DUMMYFUNCTION("""COMPUTED_VALUE"""),1.45)</f>
        <v>1.45</v>
      </c>
      <c r="D20" s="17" t="str">
        <f>IFERROR(__xludf.DUMMYFUNCTION("""COMPUTED_VALUE"""),"https://sba-cards-2024.s3.us-east-1.amazonaws.com/2024-cards/porter-hodge.png")</f>
        <v>https://sba-cards-2024.s3.us-east-1.amazonaws.com/2024-cards/porter-hodge.png</v>
      </c>
      <c r="E20" s="18"/>
      <c r="F20" s="15"/>
      <c r="G20" s="15"/>
      <c r="H20" s="15"/>
      <c r="I20" s="15">
        <f>IFERROR(__xludf.DUMMYFUNCTION("""COMPUTED_VALUE"""),-2.0)</f>
        <v>-2</v>
      </c>
      <c r="J20" s="15"/>
      <c r="K20" s="15" t="str">
        <f>IFERROR(__xludf.DUMMYFUNCTION("""COMPUTED_VALUE"""),"1p40")</f>
        <v>1p40</v>
      </c>
      <c r="L20" s="15" t="str">
        <f t="array" ref="L20">iferror(index(BatterCalcs!D:D,match(A20,BatterCalcs!A:A,0)),index(PitcherCalcs!E:E,match(A20,PitcherCalcs!A:A,0)))</f>
        <v>R</v>
      </c>
      <c r="M20" s="15" t="str">
        <f t="array" ref="M20">iferror(index(BatterCalcs!CJ:CQ,match(A20,BatterCalcs!A:A,0)),)</f>
        <v/>
      </c>
      <c r="N20" s="15"/>
      <c r="O20" s="15"/>
      <c r="P20" s="15"/>
      <c r="Q20" s="15"/>
      <c r="R20" s="15"/>
      <c r="S20" s="15"/>
      <c r="T20" s="15"/>
      <c r="U20" s="15" t="str">
        <f t="array" ref="U20">iferror(index(BatterCalcs!CK:CM,match(A20,BatterCalcs!E:E,0)),)</f>
        <v/>
      </c>
      <c r="V20" s="15"/>
      <c r="W20" s="15"/>
      <c r="X20" s="15" t="str">
        <f t="array" ref="X20">iferror(index(PitcherCalcs!CL:CL,match(A20,PitcherCalcs!F:F,0)),)</f>
        <v/>
      </c>
      <c r="Y20" s="15" t="str">
        <f t="array" ref="Y20:AA20">iferror(index(PitcherCalcs!CD:CF,match(A20,PitcherCalcs!A:A,0)),)</f>
        <v/>
      </c>
      <c r="Z20" s="15">
        <v>1.0</v>
      </c>
      <c r="AA20" s="15">
        <v>4.0</v>
      </c>
      <c r="AB20" s="15">
        <f t="array" ref="AB20">iferror(index(BatterCalcs!CG:CG,match(A20,BatterCalcs!A:A,0)),index(PitcherCalcs!CT:CT,match(A20,PitcherCalcs!A:A,0)))</f>
        <v>33</v>
      </c>
      <c r="AC20" s="15">
        <f t="array" ref="AC20">iferror(index(BatterCalcs!CH:CH,match(A20,BatterCalcs!A:A,0)),index(PitcherCalcs!CU:CU,match(A20,PitcherCalcs!A:A,0)))</f>
        <v>35</v>
      </c>
      <c r="AD20" s="19">
        <f t="array" ref="AD20">iferror(index(BatterCalcs!CI:CI,match(A20,BatterCalcs!A:A,0)),index(PitcherCalcs!CV:CV,match(A20,PitcherCalcs!A:A,0)))</f>
        <v>38.66666667</v>
      </c>
      <c r="AE20" s="16" t="str">
        <f t="array" ref="AE20">IFERROR(index(BatterCalcs!CR:CR,match(A20,BatterCalcs!A:A,0)),index(PitcherCalcs!BY:BY,match(A20,PitcherCalcs!A:A,0)))</f>
        <v>R(1) C(4)</v>
      </c>
      <c r="AF20" s="15"/>
      <c r="AK20" s="15"/>
      <c r="AL20" s="51" t="s">
        <v>1</v>
      </c>
      <c r="AM20" s="52" t="s">
        <v>32</v>
      </c>
      <c r="AN20" s="52" t="s">
        <v>20</v>
      </c>
      <c r="AO20" s="52" t="s">
        <v>21</v>
      </c>
      <c r="AP20" s="52" t="s">
        <v>33</v>
      </c>
      <c r="AQ20" s="53" t="s">
        <v>1</v>
      </c>
      <c r="AR20" s="54" t="s">
        <v>32</v>
      </c>
      <c r="AS20" s="54" t="s">
        <v>20</v>
      </c>
      <c r="AT20" s="54" t="s">
        <v>21</v>
      </c>
      <c r="AU20" s="54" t="s">
        <v>33</v>
      </c>
      <c r="AY20" s="15"/>
      <c r="AZ20" s="15"/>
      <c r="BA20" s="15"/>
      <c r="BB20" s="15"/>
      <c r="BC20" s="15"/>
    </row>
    <row r="21">
      <c r="A21" s="16">
        <f>IFERROR(__xludf.DUMMYFUNCTION("""COMPUTED_VALUE"""),13331.0)</f>
        <v>13331</v>
      </c>
      <c r="B21" s="16" t="str">
        <f>IFERROR(__xludf.DUMMYFUNCTION("""COMPUTED_VALUE"""),"Ryan Fernandez")</f>
        <v>Ryan Fernandez</v>
      </c>
      <c r="C21" s="15">
        <f>IFERROR(__xludf.DUMMYFUNCTION("""COMPUTED_VALUE"""),0.72)</f>
        <v>0.72</v>
      </c>
      <c r="D21" s="17" t="str">
        <f>IFERROR(__xludf.DUMMYFUNCTION("""COMPUTED_VALUE"""),"https://sba-cards-2024.s3.us-east-1.amazonaws.com/2024-cards/ryan-fernandez.png")</f>
        <v>https://sba-cards-2024.s3.us-east-1.amazonaws.com/2024-cards/ryan-fernandez.png</v>
      </c>
      <c r="E21" s="18"/>
      <c r="F21" s="15"/>
      <c r="G21" s="15"/>
      <c r="H21" s="15"/>
      <c r="I21" s="15">
        <f>IFERROR(__xludf.DUMMYFUNCTION("""COMPUTED_VALUE"""),-2.0)</f>
        <v>-2</v>
      </c>
      <c r="J21" s="15"/>
      <c r="K21" s="15" t="str">
        <f>IFERROR(__xludf.DUMMYFUNCTION("""COMPUTED_VALUE"""),"1p60")</f>
        <v>1p60</v>
      </c>
      <c r="L21" s="15" t="str">
        <f t="array" ref="L21">iferror(index(BatterCalcs!D:D,match(A21,BatterCalcs!A:A,0)),index(PitcherCalcs!E:E,match(A21,PitcherCalcs!A:A,0)))</f>
        <v>R</v>
      </c>
      <c r="M21" s="15" t="str">
        <f t="array" ref="M21">iferror(index(BatterCalcs!CJ:CQ,match(A21,BatterCalcs!A:A,0)),)</f>
        <v/>
      </c>
      <c r="N21" s="15"/>
      <c r="O21" s="15"/>
      <c r="P21" s="15"/>
      <c r="Q21" s="15"/>
      <c r="R21" s="15"/>
      <c r="S21" s="15"/>
      <c r="T21" s="15"/>
      <c r="U21" s="15" t="str">
        <f t="array" ref="U21">iferror(index(BatterCalcs!CK:CM,match(A21,BatterCalcs!E:E,0)),)</f>
        <v/>
      </c>
      <c r="V21" s="15"/>
      <c r="W21" s="15"/>
      <c r="X21" s="15" t="str">
        <f t="array" ref="X21">iferror(index(PitcherCalcs!CL:CL,match(A21,PitcherCalcs!F:F,0)),)</f>
        <v/>
      </c>
      <c r="Y21" s="15" t="str">
        <f t="array" ref="Y21:AA21">iferror(index(PitcherCalcs!CD:CF,match(A21,PitcherCalcs!A:A,0)),)</f>
        <v/>
      </c>
      <c r="Z21" s="15">
        <v>1.0</v>
      </c>
      <c r="AA21" s="15">
        <v>1.0</v>
      </c>
      <c r="AB21" s="15">
        <f t="array" ref="AB21">iferror(index(BatterCalcs!CG:CG,match(A21,BatterCalcs!A:A,0)),index(PitcherCalcs!CT:CT,match(A21,PitcherCalcs!A:A,0)))</f>
        <v>25</v>
      </c>
      <c r="AC21" s="15">
        <f t="array" ref="AC21">iferror(index(BatterCalcs!CH:CH,match(A21,BatterCalcs!A:A,0)),index(PitcherCalcs!CU:CU,match(A21,PitcherCalcs!A:A,0)))</f>
        <v>12</v>
      </c>
      <c r="AD21" s="19">
        <f t="array" ref="AD21">iferror(index(BatterCalcs!CI:CI,match(A21,BatterCalcs!A:A,0)),index(PitcherCalcs!CV:CV,match(A21,PitcherCalcs!A:A,0)))</f>
        <v>21.33333333</v>
      </c>
      <c r="AE21" s="16" t="str">
        <f t="array" ref="AE21">IFERROR(index(BatterCalcs!CR:CR,match(A21,BatterCalcs!A:A,0)),index(PitcherCalcs!BY:BY,match(A21,PitcherCalcs!A:A,0)))</f>
        <v>R(1) C(1)</v>
      </c>
      <c r="AF21" s="7"/>
      <c r="AG21" s="55" t="s">
        <v>55</v>
      </c>
      <c r="AH21" s="56">
        <f>sum(C2:C28)</f>
        <v>26.93</v>
      </c>
      <c r="AI21" s="57">
        <f>AH21-sumif(AF2:AF27,"x",C2:C27)</f>
        <v>26.93</v>
      </c>
      <c r="AK21" s="15"/>
      <c r="AL21" s="26" t="str">
        <f>IFERROR(__xludf.DUMMYFUNCTION("query($A$2:$AE$28,""select B, L, AB, AC, M where M is not null order by AD desc"")"),"JT Realmuto")</f>
        <v>JT Realmuto</v>
      </c>
      <c r="AM21" s="27" t="str">
        <f>IFERROR(__xludf.DUMMYFUNCTION("""COMPUTED_VALUE"""),"R")</f>
        <v>R</v>
      </c>
      <c r="AN21" s="27">
        <f>IFERROR(__xludf.DUMMYFUNCTION("""COMPUTED_VALUE"""),15.0)</f>
        <v>15</v>
      </c>
      <c r="AO21" s="27">
        <f>IFERROR(__xludf.DUMMYFUNCTION("""COMPUTED_VALUE"""),5.0)</f>
        <v>5</v>
      </c>
      <c r="AP21" s="28">
        <f>IFERROR(__xludf.DUMMYFUNCTION("""COMPUTED_VALUE"""),201.0)</f>
        <v>201</v>
      </c>
      <c r="AQ21" s="26" t="str">
        <f>IFERROR(__xludf.DUMMYFUNCTION("query($A$2:$AE$28,""select B, L, AB, AC, N where N is not null order by AD desc"")"),"Mark Vientos")</f>
        <v>Mark Vientos</v>
      </c>
      <c r="AR21" s="27" t="str">
        <f>IFERROR(__xludf.DUMMYFUNCTION("""COMPUTED_VALUE"""),"R")</f>
        <v>R</v>
      </c>
      <c r="AS21" s="27">
        <f>IFERROR(__xludf.DUMMYFUNCTION("""COMPUTED_VALUE"""),30.0)</f>
        <v>30</v>
      </c>
      <c r="AT21" s="27">
        <f>IFERROR(__xludf.DUMMYFUNCTION("""COMPUTED_VALUE"""),21.0)</f>
        <v>21</v>
      </c>
      <c r="AU21" s="28">
        <f>IFERROR(__xludf.DUMMYFUNCTION("""COMPUTED_VALUE"""),412.0)</f>
        <v>412</v>
      </c>
      <c r="AY21" s="15"/>
      <c r="AZ21" s="15"/>
      <c r="BA21" s="15"/>
      <c r="BB21" s="15"/>
      <c r="BC21" s="7"/>
    </row>
    <row r="22">
      <c r="A22" s="16">
        <f>IFERROR(__xludf.DUMMYFUNCTION("""COMPUTED_VALUE"""),13409.0)</f>
        <v>13409</v>
      </c>
      <c r="B22" s="16" t="str">
        <f>IFERROR(__xludf.DUMMYFUNCTION("""COMPUTED_VALUE"""),"Teoscar Hernandez")</f>
        <v>Teoscar Hernandez</v>
      </c>
      <c r="C22" s="15">
        <f>IFERROR(__xludf.DUMMYFUNCTION("""COMPUTED_VALUE"""),1.91)</f>
        <v>1.91</v>
      </c>
      <c r="D22" s="17" t="str">
        <f>IFERROR(__xludf.DUMMYFUNCTION("""COMPUTED_VALUE"""),"https://sba-cards-2024.s3.us-east-1.amazonaws.com/2024-cards/teoscar-hernandez.png")</f>
        <v>https://sba-cards-2024.s3.us-east-1.amazonaws.com/2024-cards/teoscar-hernandez.png</v>
      </c>
      <c r="E22" s="18"/>
      <c r="F22" s="15"/>
      <c r="G22" s="15"/>
      <c r="H22" s="15"/>
      <c r="I22" s="15">
        <f>IFERROR(__xludf.DUMMYFUNCTION("""COMPUTED_VALUE"""),-2.0)</f>
        <v>-2</v>
      </c>
      <c r="J22" s="15"/>
      <c r="K22" s="15" t="str">
        <f>IFERROR(__xludf.DUMMYFUNCTION("""COMPUTED_VALUE"""),"1p70")</f>
        <v>1p70</v>
      </c>
      <c r="L22" s="15" t="str">
        <f t="array" ref="L22">iferror(index(BatterCalcs!D:D,match(A22,BatterCalcs!A:A,0)),index(PitcherCalcs!E:E,match(A22,PitcherCalcs!A:A,0)))</f>
        <v>R</v>
      </c>
      <c r="M22" s="15" t="str">
        <f t="array" ref="M22:T22">iferror(index(BatterCalcs!CJ:CQ,match(A22,BatterCalcs!A:A,0)),)</f>
        <v/>
      </c>
      <c r="N22" s="15"/>
      <c r="O22" s="15"/>
      <c r="P22" s="15"/>
      <c r="Q22" s="15"/>
      <c r="R22" s="15">
        <v>403.0</v>
      </c>
      <c r="S22" s="15"/>
      <c r="T22" s="15">
        <v>403.0</v>
      </c>
      <c r="U22" s="15" t="str">
        <f t="array" ref="U22">iferror(index(BatterCalcs!CK:CM,match(A22,BatterCalcs!E:E,0)),)</f>
        <v/>
      </c>
      <c r="V22" s="15"/>
      <c r="W22" s="15"/>
      <c r="X22" s="15" t="str">
        <f t="array" ref="X22">iferror(index(PitcherCalcs!CL:CL,match(A22,PitcherCalcs!F:F,0)),)</f>
        <v/>
      </c>
      <c r="Y22" s="15" t="str">
        <f t="array" ref="Y22">iferror(index(PitcherCalcs!CD:CF,match(A22,PitcherCalcs!A:A,0)),)</f>
        <v/>
      </c>
      <c r="Z22" s="15"/>
      <c r="AA22" s="15"/>
      <c r="AB22" s="15">
        <f t="array" ref="AB22">iferror(index(BatterCalcs!CG:CG,match(A22,BatterCalcs!A:A,0)),index(PitcherCalcs!CT:CT,match(A22,PitcherCalcs!A:A,0)))</f>
        <v>32</v>
      </c>
      <c r="AC22" s="15">
        <f t="array" ref="AC22">iferror(index(BatterCalcs!CH:CH,match(A22,BatterCalcs!A:A,0)),index(PitcherCalcs!CU:CU,match(A22,PitcherCalcs!A:A,0)))</f>
        <v>23</v>
      </c>
      <c r="AD22" s="19">
        <f t="array" ref="AD22">iferror(index(BatterCalcs!CI:CI,match(A22,BatterCalcs!A:A,0)),index(PitcherCalcs!CV:CV,match(A22,PitcherCalcs!A:A,0)))</f>
        <v>34</v>
      </c>
      <c r="AE22" s="16" t="str">
        <f t="array" ref="AE22">IFERROR(index(BatterCalcs!CR:CR,match(A22,BatterCalcs!A:A,0)),index(PitcherCalcs!BY:BY,match(A22,PitcherCalcs!A:A,0)))</f>
        <v>lf-4(-1)e3 rf-4e3</v>
      </c>
      <c r="AF22" s="7"/>
      <c r="AG22" s="58" t="s">
        <v>56</v>
      </c>
      <c r="AH22" s="56">
        <f>sum(C30:C35)</f>
        <v>4.44</v>
      </c>
      <c r="AI22" s="57" t="str">
        <f>sumif(AF30:AF42,"x",#REF!)</f>
        <v>#N/A</v>
      </c>
      <c r="AK22" s="15"/>
      <c r="AL22" s="31" t="str">
        <f>IFERROR(__xludf.DUMMYFUNCTION("""COMPUTED_VALUE"""),"Ben Rice")</f>
        <v>Ben Rice</v>
      </c>
      <c r="AM22" s="32" t="str">
        <f>IFERROR(__xludf.DUMMYFUNCTION("""COMPUTED_VALUE"""),"L")</f>
        <v>L</v>
      </c>
      <c r="AN22" s="32">
        <f>IFERROR(__xludf.DUMMYFUNCTION("""COMPUTED_VALUE"""),-15.0)</f>
        <v>-15</v>
      </c>
      <c r="AO22" s="32">
        <f>IFERROR(__xludf.DUMMYFUNCTION("""COMPUTED_VALUE"""),-15.0)</f>
        <v>-15</v>
      </c>
      <c r="AP22" s="33">
        <f>IFERROR(__xludf.DUMMYFUNCTION("""COMPUTED_VALUE"""),402.0)</f>
        <v>402</v>
      </c>
      <c r="AQ22" s="31" t="str">
        <f>IFERROR(__xludf.DUMMYFUNCTION("""COMPUTED_VALUE"""),"Josh Naylor")</f>
        <v>Josh Naylor</v>
      </c>
      <c r="AR22" s="32" t="str">
        <f>IFERROR(__xludf.DUMMYFUNCTION("""COMPUTED_VALUE"""),"L")</f>
        <v>L</v>
      </c>
      <c r="AS22" s="32">
        <f>IFERROR(__xludf.DUMMYFUNCTION("""COMPUTED_VALUE"""),5.0)</f>
        <v>5</v>
      </c>
      <c r="AT22" s="32">
        <f>IFERROR(__xludf.DUMMYFUNCTION("""COMPUTED_VALUE"""),12.0)</f>
        <v>12</v>
      </c>
      <c r="AU22" s="33">
        <f>IFERROR(__xludf.DUMMYFUNCTION("""COMPUTED_VALUE"""),311.0)</f>
        <v>311</v>
      </c>
      <c r="AY22" s="15"/>
      <c r="AZ22" s="15"/>
      <c r="BA22" s="15"/>
      <c r="BB22" s="15"/>
      <c r="BC22" s="15"/>
    </row>
    <row r="23">
      <c r="A23" s="16">
        <f>IFERROR(__xludf.DUMMYFUNCTION("""COMPUTED_VALUE"""),13429.0)</f>
        <v>13429</v>
      </c>
      <c r="B23" s="16" t="str">
        <f>IFERROR(__xludf.DUMMYFUNCTION("""COMPUTED_VALUE"""),"Trea Turner")</f>
        <v>Trea Turner</v>
      </c>
      <c r="C23" s="15">
        <f>IFERROR(__xludf.DUMMYFUNCTION("""COMPUTED_VALUE"""),1.61)</f>
        <v>1.61</v>
      </c>
      <c r="D23" s="17" t="str">
        <f>IFERROR(__xludf.DUMMYFUNCTION("""COMPUTED_VALUE"""),"https://sba-cards-2024.s3.us-east-1.amazonaws.com/2024-cards/trea-turner.png")</f>
        <v>https://sba-cards-2024.s3.us-east-1.amazonaws.com/2024-cards/trea-turner.png</v>
      </c>
      <c r="E23" s="18"/>
      <c r="F23" s="15"/>
      <c r="G23" s="15"/>
      <c r="H23" s="15"/>
      <c r="I23" s="15">
        <f>IFERROR(__xludf.DUMMYFUNCTION("""COMPUTED_VALUE"""),-2.0)</f>
        <v>-2</v>
      </c>
      <c r="J23" s="15"/>
      <c r="K23" s="15" t="str">
        <f>IFERROR(__xludf.DUMMYFUNCTION("""COMPUTED_VALUE"""),"1p60")</f>
        <v>1p60</v>
      </c>
      <c r="L23" s="15" t="str">
        <f t="array" ref="L23">iferror(index(BatterCalcs!D:D,match(A23,BatterCalcs!A:A,0)),index(PitcherCalcs!E:E,match(A23,PitcherCalcs!A:A,0)))</f>
        <v>R</v>
      </c>
      <c r="M23" s="15" t="str">
        <f t="array" ref="M23:T23">iferror(index(BatterCalcs!CJ:CQ,match(A23,BatterCalcs!A:A,0)),)</f>
        <v/>
      </c>
      <c r="N23" s="15"/>
      <c r="O23" s="15"/>
      <c r="P23" s="15"/>
      <c r="Q23" s="15">
        <v>324.0</v>
      </c>
      <c r="R23" s="15"/>
      <c r="S23" s="15"/>
      <c r="T23" s="15"/>
      <c r="U23" s="15" t="str">
        <f t="array" ref="U23">iferror(index(BatterCalcs!CK:CM,match(A23,BatterCalcs!E:E,0)),)</f>
        <v/>
      </c>
      <c r="V23" s="15"/>
      <c r="W23" s="15"/>
      <c r="X23" s="15" t="str">
        <f t="array" ref="X23">iferror(index(PitcherCalcs!CL:CL,match(A23,PitcherCalcs!F:F,0)),)</f>
        <v/>
      </c>
      <c r="Y23" s="15" t="str">
        <f t="array" ref="Y23">iferror(index(PitcherCalcs!CD:CF,match(A23,PitcherCalcs!A:A,0)),)</f>
        <v/>
      </c>
      <c r="Z23" s="15"/>
      <c r="AA23" s="15"/>
      <c r="AB23" s="15">
        <f t="array" ref="AB23">iferror(index(BatterCalcs!CG:CG,match(A23,BatterCalcs!A:A,0)),index(PitcherCalcs!CT:CT,match(A23,PitcherCalcs!A:A,0)))</f>
        <v>32</v>
      </c>
      <c r="AC23" s="15">
        <f t="array" ref="AC23">iferror(index(BatterCalcs!CH:CH,match(A23,BatterCalcs!A:A,0)),index(PitcherCalcs!CU:CU,match(A23,PitcherCalcs!A:A,0)))</f>
        <v>15</v>
      </c>
      <c r="AD23" s="19">
        <f t="array" ref="AD23">iferror(index(BatterCalcs!CI:CI,match(A23,BatterCalcs!A:A,0)),index(PitcherCalcs!CV:CV,match(A23,PitcherCalcs!A:A,0)))</f>
        <v>28</v>
      </c>
      <c r="AE23" s="16" t="str">
        <f t="array" ref="AE23">IFERROR(index(BatterCalcs!CR:CR,match(A23,BatterCalcs!A:A,0)),index(PitcherCalcs!BY:BY,match(A23,PitcherCalcs!A:A,0)))</f>
        <v>ss-3e24</v>
      </c>
      <c r="AF23" s="7"/>
      <c r="AG23" s="59" t="s">
        <v>57</v>
      </c>
      <c r="AH23" s="56">
        <f>sum(C38:C56)</f>
        <v>1.98</v>
      </c>
      <c r="AI23" s="57" t="str">
        <f>AI21+AI22</f>
        <v>#N/A</v>
      </c>
      <c r="AK23" s="15"/>
      <c r="AL23" s="31"/>
      <c r="AM23" s="32"/>
      <c r="AN23" s="32"/>
      <c r="AO23" s="32"/>
      <c r="AP23" s="33"/>
      <c r="AQ23" s="31" t="str">
        <f>IFERROR(__xludf.DUMMYFUNCTION("""COMPUTED_VALUE"""),"Ben Rice")</f>
        <v>Ben Rice</v>
      </c>
      <c r="AR23" s="32" t="str">
        <f>IFERROR(__xludf.DUMMYFUNCTION("""COMPUTED_VALUE"""),"L")</f>
        <v>L</v>
      </c>
      <c r="AS23" s="32">
        <f>IFERROR(__xludf.DUMMYFUNCTION("""COMPUTED_VALUE"""),-15.0)</f>
        <v>-15</v>
      </c>
      <c r="AT23" s="32">
        <f>IFERROR(__xludf.DUMMYFUNCTION("""COMPUTED_VALUE"""),-15.0)</f>
        <v>-15</v>
      </c>
      <c r="AU23" s="33">
        <f>IFERROR(__xludf.DUMMYFUNCTION("""COMPUTED_VALUE"""),408.0)</f>
        <v>408</v>
      </c>
      <c r="AY23" s="15"/>
      <c r="AZ23" s="15"/>
      <c r="BA23" s="15"/>
      <c r="BB23" s="15"/>
      <c r="BC23" s="15"/>
    </row>
    <row r="24">
      <c r="A24" s="16">
        <f>IFERROR(__xludf.DUMMYFUNCTION("""COMPUTED_VALUE"""),13483.0)</f>
        <v>13483</v>
      </c>
      <c r="B24" s="16" t="str">
        <f>IFERROR(__xludf.DUMMYFUNCTION("""COMPUTED_VALUE"""),"Will Vest")</f>
        <v>Will Vest</v>
      </c>
      <c r="C24" s="15">
        <f>IFERROR(__xludf.DUMMYFUNCTION("""COMPUTED_VALUE"""),1.02)</f>
        <v>1.02</v>
      </c>
      <c r="D24" s="17" t="str">
        <f>IFERROR(__xludf.DUMMYFUNCTION("""COMPUTED_VALUE"""),"https://sba-cards-2024.s3.us-east-1.amazonaws.com/2024-cards/will-vest.png")</f>
        <v>https://sba-cards-2024.s3.us-east-1.amazonaws.com/2024-cards/will-vest.png</v>
      </c>
      <c r="E24" s="18"/>
      <c r="F24" s="15"/>
      <c r="G24" s="15"/>
      <c r="H24" s="15"/>
      <c r="I24" s="15">
        <f>IFERROR(__xludf.DUMMYFUNCTION("""COMPUTED_VALUE"""),-2.0)</f>
        <v>-2</v>
      </c>
      <c r="J24" s="15"/>
      <c r="K24" s="15" t="str">
        <f>IFERROR(__xludf.DUMMYFUNCTION("""COMPUTED_VALUE"""),"1p60")</f>
        <v>1p60</v>
      </c>
      <c r="L24" s="15" t="str">
        <f t="array" ref="L24">iferror(index(BatterCalcs!D:D,match(A24,BatterCalcs!A:A,0)),index(PitcherCalcs!E:E,match(A24,PitcherCalcs!A:A,0)))</f>
        <v>R</v>
      </c>
      <c r="M24" s="15" t="str">
        <f t="array" ref="M24">iferror(index(BatterCalcs!CJ:CQ,match(A24,BatterCalcs!A:A,0)),)</f>
        <v/>
      </c>
      <c r="N24" s="15"/>
      <c r="O24" s="15"/>
      <c r="P24" s="15"/>
      <c r="Q24" s="15"/>
      <c r="R24" s="15"/>
      <c r="S24" s="15"/>
      <c r="T24" s="15"/>
      <c r="U24" s="15" t="str">
        <f t="array" ref="U24">iferror(index(BatterCalcs!CK:CM,match(A24,BatterCalcs!E:E,0)),)</f>
        <v/>
      </c>
      <c r="V24" s="15"/>
      <c r="W24" s="15"/>
      <c r="X24" s="15" t="str">
        <f t="array" ref="X24">iferror(index(PitcherCalcs!CL:CL,match(A24,PitcherCalcs!F:F,0)),)</f>
        <v/>
      </c>
      <c r="Y24" s="15" t="str">
        <f t="array" ref="Y24:AA24">iferror(index(PitcherCalcs!CD:CF,match(A24,PitcherCalcs!A:A,0)),)</f>
        <v/>
      </c>
      <c r="Z24" s="15">
        <v>1.0</v>
      </c>
      <c r="AA24" s="15">
        <v>1.0</v>
      </c>
      <c r="AB24" s="15">
        <f t="array" ref="AB24">iferror(index(BatterCalcs!CG:CG,match(A24,BatterCalcs!A:A,0)),index(PitcherCalcs!CT:CT,match(A24,PitcherCalcs!A:A,0)))</f>
        <v>29</v>
      </c>
      <c r="AC24" s="15">
        <f t="array" ref="AC24">iferror(index(BatterCalcs!CH:CH,match(A24,BatterCalcs!A:A,0)),index(PitcherCalcs!CU:CU,match(A24,PitcherCalcs!A:A,0)))</f>
        <v>21</v>
      </c>
      <c r="AD24" s="19">
        <f t="array" ref="AD24">iferror(index(BatterCalcs!CI:CI,match(A24,BatterCalcs!A:A,0)),index(PitcherCalcs!CV:CV,match(A24,PitcherCalcs!A:A,0)))</f>
        <v>28.66666667</v>
      </c>
      <c r="AE24" s="16" t="str">
        <f t="array" ref="AE24">IFERROR(index(BatterCalcs!CR:CR,match(A24,BatterCalcs!A:A,0)),index(PitcherCalcs!BY:BY,match(A24,PitcherCalcs!A:A,0)))</f>
        <v>R(1) C(1)</v>
      </c>
      <c r="AF24" s="7"/>
      <c r="AK24" s="15"/>
      <c r="AL24" s="31"/>
      <c r="AM24" s="32"/>
      <c r="AN24" s="32"/>
      <c r="AO24" s="32"/>
      <c r="AP24" s="33"/>
      <c r="AQ24" s="31" t="str">
        <f>IFERROR(__xludf.DUMMYFUNCTION("""COMPUTED_VALUE"""),"Ildemaro Vargas")</f>
        <v>Ildemaro Vargas</v>
      </c>
      <c r="AR24" s="32" t="str">
        <f>IFERROR(__xludf.DUMMYFUNCTION("""COMPUTED_VALUE"""),"S")</f>
        <v>S</v>
      </c>
      <c r="AS24" s="32">
        <f>IFERROR(__xludf.DUMMYFUNCTION("""COMPUTED_VALUE"""),-13.0)</f>
        <v>-13</v>
      </c>
      <c r="AT24" s="32">
        <f>IFERROR(__xludf.DUMMYFUNCTION("""COMPUTED_VALUE"""),-22.0)</f>
        <v>-22</v>
      </c>
      <c r="AU24" s="33">
        <f>IFERROR(__xludf.DUMMYFUNCTION("""COMPUTED_VALUE"""),425.0)</f>
        <v>425</v>
      </c>
      <c r="AY24" s="15"/>
      <c r="AZ24" s="15"/>
      <c r="BA24" s="15"/>
      <c r="BB24" s="15"/>
      <c r="BC24" s="7"/>
    </row>
    <row r="25">
      <c r="A25" s="16">
        <f>IFERROR(__xludf.DUMMYFUNCTION("""COMPUTED_VALUE"""),13506.0)</f>
        <v>13506</v>
      </c>
      <c r="B25" s="16" t="str">
        <f>IFERROR(__xludf.DUMMYFUNCTION("""COMPUTED_VALUE"""),"Yordan Alvarez")</f>
        <v>Yordan Alvarez</v>
      </c>
      <c r="C25" s="15">
        <f>IFERROR(__xludf.DUMMYFUNCTION("""COMPUTED_VALUE"""),2.47)</f>
        <v>2.47</v>
      </c>
      <c r="D25" s="17" t="str">
        <f>IFERROR(__xludf.DUMMYFUNCTION("""COMPUTED_VALUE"""),"https://sba-cards-2024.s3.us-east-1.amazonaws.com/2024-cards/yordan-alvarez.png")</f>
        <v>https://sba-cards-2024.s3.us-east-1.amazonaws.com/2024-cards/yordan-alvarez.png</v>
      </c>
      <c r="E25" s="18"/>
      <c r="F25" s="15"/>
      <c r="G25" s="15"/>
      <c r="H25" s="15"/>
      <c r="I25" s="15">
        <f>IFERROR(__xludf.DUMMYFUNCTION("""COMPUTED_VALUE"""),-2.0)</f>
        <v>-2</v>
      </c>
      <c r="J25" s="15"/>
      <c r="K25" s="15" t="str">
        <f>IFERROR(__xludf.DUMMYFUNCTION("""COMPUTED_VALUE"""),"1p65")</f>
        <v>1p65</v>
      </c>
      <c r="L25" s="15" t="str">
        <f t="array" ref="L25">iferror(index(BatterCalcs!D:D,match(A25,BatterCalcs!A:A,0)),index(PitcherCalcs!E:E,match(A25,PitcherCalcs!A:A,0)))</f>
        <v>L</v>
      </c>
      <c r="M25" s="15" t="str">
        <f t="array" ref="M25:T25">iferror(index(BatterCalcs!CJ:CQ,match(A25,BatterCalcs!A:A,0)),)</f>
        <v/>
      </c>
      <c r="N25" s="15"/>
      <c r="O25" s="15"/>
      <c r="P25" s="15"/>
      <c r="Q25" s="15"/>
      <c r="R25" s="15">
        <v>503.0</v>
      </c>
      <c r="S25" s="15"/>
      <c r="T25" s="15"/>
      <c r="U25" s="15" t="str">
        <f t="array" ref="U25">iferror(index(BatterCalcs!CK:CM,match(A25,BatterCalcs!E:E,0)),)</f>
        <v/>
      </c>
      <c r="V25" s="15"/>
      <c r="W25" s="15"/>
      <c r="X25" s="15" t="str">
        <f t="array" ref="X25">iferror(index(PitcherCalcs!CL:CL,match(A25,PitcherCalcs!F:F,0)),)</f>
        <v/>
      </c>
      <c r="Y25" s="15" t="str">
        <f t="array" ref="Y25">iferror(index(PitcherCalcs!CD:CF,match(A25,PitcherCalcs!A:A,0)),)</f>
        <v/>
      </c>
      <c r="Z25" s="15"/>
      <c r="AA25" s="15"/>
      <c r="AB25" s="15">
        <f t="array" ref="AB25">iferror(index(BatterCalcs!CG:CG,match(A25,BatterCalcs!A:A,0)),index(PitcherCalcs!CT:CT,match(A25,PitcherCalcs!A:A,0)))</f>
        <v>41</v>
      </c>
      <c r="AC25" s="15">
        <f t="array" ref="AC25">iferror(index(BatterCalcs!CH:CH,match(A25,BatterCalcs!A:A,0)),index(PitcherCalcs!CU:CU,match(A25,PitcherCalcs!A:A,0)))</f>
        <v>34</v>
      </c>
      <c r="AD25" s="19">
        <f t="array" ref="AD25">iferror(index(BatterCalcs!CI:CI,match(A25,BatterCalcs!A:A,0)),index(PitcherCalcs!CV:CV,match(A25,PitcherCalcs!A:A,0)))</f>
        <v>42</v>
      </c>
      <c r="AE25" s="16" t="str">
        <f t="array" ref="AE25">IFERROR(index(BatterCalcs!CR:CR,match(A25,BatterCalcs!A:A,0)),index(PitcherCalcs!BY:BY,match(A25,PitcherCalcs!A:A,0)))</f>
        <v>lf-5(-3)e3</v>
      </c>
      <c r="AF25" s="7"/>
      <c r="AK25" s="15"/>
      <c r="AL25" s="31"/>
      <c r="AM25" s="32"/>
      <c r="AN25" s="32"/>
      <c r="AO25" s="32"/>
      <c r="AP25" s="33"/>
      <c r="AQ25" s="31"/>
      <c r="AR25" s="32"/>
      <c r="AS25" s="32"/>
      <c r="AT25" s="32"/>
      <c r="AU25" s="33"/>
      <c r="AY25" s="15"/>
      <c r="AZ25" s="15"/>
      <c r="BA25" s="15"/>
      <c r="BB25" s="15"/>
      <c r="BC25" s="7"/>
    </row>
    <row r="26">
      <c r="A26" s="16">
        <f>IFERROR(__xludf.DUMMYFUNCTION("""COMPUTED_VALUE"""),13507.0)</f>
        <v>13507</v>
      </c>
      <c r="B26" s="16" t="str">
        <f>IFERROR(__xludf.DUMMYFUNCTION("""COMPUTED_VALUE"""),"Yoshinobu Yamamoto")</f>
        <v>Yoshinobu Yamamoto</v>
      </c>
      <c r="C26" s="15">
        <f>IFERROR(__xludf.DUMMYFUNCTION("""COMPUTED_VALUE"""),1.42)</f>
        <v>1.42</v>
      </c>
      <c r="D26" s="17" t="str">
        <f>IFERROR(__xludf.DUMMYFUNCTION("""COMPUTED_VALUE"""),"https://sba-cards-2024.s3.us-east-1.amazonaws.com/2024-cards/yoshinobu-yamamoto.png")</f>
        <v>https://sba-cards-2024.s3.us-east-1.amazonaws.com/2024-cards/yoshinobu-yamamoto.png</v>
      </c>
      <c r="E26" s="18"/>
      <c r="F26" s="15"/>
      <c r="G26" s="15"/>
      <c r="H26" s="15"/>
      <c r="I26" s="15">
        <f>IFERROR(__xludf.DUMMYFUNCTION("""COMPUTED_VALUE"""),-2.0)</f>
        <v>-2</v>
      </c>
      <c r="J26" s="15"/>
      <c r="K26" s="15" t="str">
        <f>IFERROR(__xludf.DUMMYFUNCTION("""COMPUTED_VALUE"""),"3p50")</f>
        <v>3p50</v>
      </c>
      <c r="L26" s="15" t="str">
        <f t="array" ref="L26">iferror(index(BatterCalcs!D:D,match(A26,BatterCalcs!A:A,0)),index(PitcherCalcs!E:E,match(A26,PitcherCalcs!A:A,0)))</f>
        <v>R</v>
      </c>
      <c r="M26" s="15" t="str">
        <f t="array" ref="M26">iferror(index(BatterCalcs!CJ:CQ,match(A26,BatterCalcs!A:A,0)),)</f>
        <v/>
      </c>
      <c r="N26" s="15"/>
      <c r="O26" s="15"/>
      <c r="P26" s="15"/>
      <c r="Q26" s="15"/>
      <c r="R26" s="15"/>
      <c r="S26" s="15"/>
      <c r="T26" s="15"/>
      <c r="U26" s="15" t="str">
        <f t="array" ref="U26">iferror(index(BatterCalcs!CK:CM,match(A26,BatterCalcs!E:E,0)),)</f>
        <v/>
      </c>
      <c r="V26" s="15"/>
      <c r="W26" s="15"/>
      <c r="X26" s="15" t="str">
        <f t="array" ref="X26">iferror(index(PitcherCalcs!CL:CL,match(A26,PitcherCalcs!F:F,0)),)</f>
        <v/>
      </c>
      <c r="Y26" s="15">
        <f t="array" ref="Y26:AA26">iferror(index(PitcherCalcs!CD:CF,match(A26,PitcherCalcs!A:A,0)),)</f>
        <v>5</v>
      </c>
      <c r="Z26" s="15"/>
      <c r="AA26" s="15"/>
      <c r="AB26" s="15">
        <f t="array" ref="AB26">iferror(index(BatterCalcs!CG:CG,match(A26,BatterCalcs!A:A,0)),index(PitcherCalcs!CT:CT,match(A26,PitcherCalcs!A:A,0)))</f>
        <v>42</v>
      </c>
      <c r="AC26" s="15">
        <f t="array" ref="AC26">iferror(index(BatterCalcs!CH:CH,match(A26,BatterCalcs!A:A,0)),index(PitcherCalcs!CU:CU,match(A26,PitcherCalcs!A:A,0)))</f>
        <v>6</v>
      </c>
      <c r="AD26" s="19">
        <f t="array" ref="AD26">iferror(index(BatterCalcs!CI:CI,match(A26,BatterCalcs!A:A,0)),index(PitcherCalcs!CV:CV,match(A26,PitcherCalcs!A:A,0)))</f>
        <v>20</v>
      </c>
      <c r="AE26" s="16" t="str">
        <f t="array" ref="AE26">IFERROR(index(BatterCalcs!CR:CR,match(A26,BatterCalcs!A:A,0)),index(PitcherCalcs!BY:BY,match(A26,PitcherCalcs!A:A,0)))</f>
        <v>S(5)</v>
      </c>
      <c r="AF26" s="7"/>
      <c r="AK26" s="15"/>
      <c r="AL26" s="31"/>
      <c r="AM26" s="32"/>
      <c r="AN26" s="32"/>
      <c r="AO26" s="32"/>
      <c r="AP26" s="33"/>
      <c r="AQ26" s="31"/>
      <c r="AR26" s="32"/>
      <c r="AS26" s="32"/>
      <c r="AT26" s="32"/>
      <c r="AU26" s="33"/>
      <c r="AY26" s="15"/>
      <c r="AZ26" s="15"/>
      <c r="BA26" s="7"/>
      <c r="BB26" s="15"/>
      <c r="BC26" s="15"/>
    </row>
    <row r="27">
      <c r="A27" s="16">
        <f>IFERROR(__xludf.DUMMYFUNCTION("""COMPUTED_VALUE"""),13513.0)</f>
        <v>13513</v>
      </c>
      <c r="B27" s="16" t="str">
        <f>IFERROR(__xludf.DUMMYFUNCTION("""COMPUTED_VALUE"""),"Zac Gallen")</f>
        <v>Zac Gallen</v>
      </c>
      <c r="C27" s="15">
        <f>IFERROR(__xludf.DUMMYFUNCTION("""COMPUTED_VALUE"""),1.37)</f>
        <v>1.37</v>
      </c>
      <c r="D27" s="17" t="str">
        <f>IFERROR(__xludf.DUMMYFUNCTION("""COMPUTED_VALUE"""),"https://sba-cards-2024.s3.us-east-1.amazonaws.com/2024-cards/zac-gallen.png")</f>
        <v>https://sba-cards-2024.s3.us-east-1.amazonaws.com/2024-cards/zac-gallen.png</v>
      </c>
      <c r="E27" s="18"/>
      <c r="F27" s="15"/>
      <c r="G27" s="15"/>
      <c r="H27" s="15"/>
      <c r="I27" s="15">
        <f>IFERROR(__xludf.DUMMYFUNCTION("""COMPUTED_VALUE"""),-2.0)</f>
        <v>-2</v>
      </c>
      <c r="J27" s="15"/>
      <c r="K27" s="15" t="str">
        <f>IFERROR(__xludf.DUMMYFUNCTION("""COMPUTED_VALUE"""),"1p70")</f>
        <v>1p70</v>
      </c>
      <c r="L27" s="15" t="str">
        <f t="array" ref="L27">iferror(index(BatterCalcs!D:D,match(A27,BatterCalcs!A:A,0)),index(PitcherCalcs!E:E,match(A27,PitcherCalcs!A:A,0)))</f>
        <v>R</v>
      </c>
      <c r="M27" s="15" t="str">
        <f t="array" ref="M27">iferror(index(BatterCalcs!CJ:CQ,match(A27,BatterCalcs!A:A,0)),)</f>
        <v/>
      </c>
      <c r="N27" s="15"/>
      <c r="O27" s="15"/>
      <c r="P27" s="15"/>
      <c r="Q27" s="15"/>
      <c r="R27" s="15"/>
      <c r="S27" s="15"/>
      <c r="T27" s="15"/>
      <c r="U27" s="15" t="str">
        <f t="array" ref="U27">iferror(index(BatterCalcs!CK:CM,match(A27,BatterCalcs!E:E,0)),)</f>
        <v/>
      </c>
      <c r="V27" s="15"/>
      <c r="W27" s="15"/>
      <c r="X27" s="15" t="str">
        <f t="array" ref="X27">iferror(index(PitcherCalcs!CL:CL,match(A27,PitcherCalcs!F:F,0)),)</f>
        <v/>
      </c>
      <c r="Y27" s="15">
        <f t="array" ref="Y27:AA27">iferror(index(PitcherCalcs!CD:CF,match(A27,PitcherCalcs!A:A,0)),)</f>
        <v>5</v>
      </c>
      <c r="Z27" s="15"/>
      <c r="AA27" s="15"/>
      <c r="AB27" s="15">
        <f t="array" ref="AB27">iferror(index(BatterCalcs!CG:CG,match(A27,BatterCalcs!A:A,0)),index(PitcherCalcs!CT:CT,match(A27,PitcherCalcs!A:A,0)))</f>
        <v>25</v>
      </c>
      <c r="AC27" s="15">
        <f t="array" ref="AC27">iferror(index(BatterCalcs!CH:CH,match(A27,BatterCalcs!A:A,0)),index(PitcherCalcs!CU:CU,match(A27,PitcherCalcs!A:A,0)))</f>
        <v>10</v>
      </c>
      <c r="AD27" s="19">
        <f t="array" ref="AD27">iferror(index(BatterCalcs!CI:CI,match(A27,BatterCalcs!A:A,0)),index(PitcherCalcs!CV:CV,match(A27,PitcherCalcs!A:A,0)))</f>
        <v>22</v>
      </c>
      <c r="AE27" s="16" t="str">
        <f t="array" ref="AE27">IFERROR(index(BatterCalcs!CR:CR,match(A27,BatterCalcs!A:A,0)),index(PitcherCalcs!BY:BY,match(A27,PitcherCalcs!A:A,0)))</f>
        <v>S(5)</v>
      </c>
      <c r="AF27" s="7"/>
      <c r="AK27" s="15"/>
      <c r="AL27" s="36"/>
      <c r="AM27" s="37"/>
      <c r="AN27" s="37"/>
      <c r="AO27" s="37"/>
      <c r="AP27" s="38"/>
      <c r="AQ27" s="36"/>
      <c r="AR27" s="37"/>
      <c r="AS27" s="37"/>
      <c r="AT27" s="37"/>
      <c r="AU27" s="38"/>
      <c r="AY27" s="7"/>
      <c r="AZ27" s="7"/>
      <c r="BA27" s="7"/>
      <c r="BB27" s="15"/>
      <c r="BC27" s="15"/>
    </row>
    <row r="28">
      <c r="C28" s="15"/>
      <c r="D28" s="18"/>
      <c r="E28" s="18"/>
      <c r="F28" s="15"/>
      <c r="G28" s="15"/>
      <c r="H28" s="15"/>
      <c r="I28" s="15"/>
      <c r="J28" s="15"/>
      <c r="K28" s="15"/>
      <c r="L28" s="15"/>
      <c r="M28" s="15"/>
      <c r="N28" s="15"/>
      <c r="O28" s="15"/>
      <c r="P28" s="15"/>
      <c r="Q28" s="15"/>
      <c r="R28" s="15"/>
      <c r="S28" s="15"/>
      <c r="T28" s="15"/>
      <c r="U28" s="15"/>
      <c r="V28" s="15"/>
      <c r="W28" s="15"/>
      <c r="X28" s="15"/>
      <c r="Y28" s="15"/>
      <c r="Z28" s="15"/>
      <c r="AA28" s="15"/>
      <c r="AB28" s="15"/>
      <c r="AC28" s="15"/>
      <c r="AD28" s="19"/>
      <c r="AF28" s="7"/>
      <c r="AG28" s="60" t="s">
        <v>58</v>
      </c>
      <c r="AH28" s="9"/>
      <c r="AI28" s="9"/>
      <c r="AJ28" s="9"/>
      <c r="AK28" s="9"/>
      <c r="AL28" s="10"/>
      <c r="AP28" s="15"/>
      <c r="AQ28" s="61" t="s">
        <v>59</v>
      </c>
      <c r="AR28" s="9"/>
      <c r="AS28" s="9"/>
      <c r="AT28" s="9"/>
      <c r="AU28" s="9"/>
      <c r="AV28" s="10"/>
      <c r="AY28" s="7"/>
      <c r="AZ28" s="7"/>
      <c r="BA28" s="7"/>
      <c r="BB28" s="15"/>
      <c r="BC28" s="15"/>
    </row>
    <row r="29">
      <c r="A29" s="62" t="s">
        <v>60</v>
      </c>
      <c r="B29" s="63" t="s">
        <v>1</v>
      </c>
      <c r="C29" s="64" t="s">
        <v>2</v>
      </c>
      <c r="D29" s="65" t="s">
        <v>3</v>
      </c>
      <c r="E29" s="65" t="s">
        <v>4</v>
      </c>
      <c r="F29" s="64" t="s">
        <v>5</v>
      </c>
      <c r="G29" s="64" t="s">
        <v>6</v>
      </c>
      <c r="H29" s="64" t="s">
        <v>7</v>
      </c>
      <c r="I29" s="64" t="s">
        <v>61</v>
      </c>
      <c r="J29" s="64" t="s">
        <v>9</v>
      </c>
      <c r="K29" s="64" t="s">
        <v>10</v>
      </c>
      <c r="L29" s="66" t="s">
        <v>11</v>
      </c>
      <c r="M29" s="64" t="s">
        <v>12</v>
      </c>
      <c r="N29" s="64" t="s">
        <v>13</v>
      </c>
      <c r="O29" s="64" t="s">
        <v>14</v>
      </c>
      <c r="P29" s="64" t="s">
        <v>15</v>
      </c>
      <c r="Q29" s="64" t="s">
        <v>16</v>
      </c>
      <c r="R29" s="64" t="s">
        <v>17</v>
      </c>
      <c r="S29" s="64" t="s">
        <v>18</v>
      </c>
      <c r="T29" s="64" t="s">
        <v>19</v>
      </c>
      <c r="U29" s="64" t="s">
        <v>23</v>
      </c>
      <c r="V29" s="64" t="s">
        <v>24</v>
      </c>
      <c r="W29" s="64" t="s">
        <v>25</v>
      </c>
      <c r="X29" s="64" t="s">
        <v>26</v>
      </c>
      <c r="Y29" s="64" t="s">
        <v>27</v>
      </c>
      <c r="Z29" s="67"/>
      <c r="AA29" s="67"/>
      <c r="AB29" s="67"/>
      <c r="AC29" s="67"/>
      <c r="AD29" s="68"/>
      <c r="AE29" s="69" t="s">
        <v>27</v>
      </c>
      <c r="AF29" s="7"/>
      <c r="AG29" s="70" t="s">
        <v>1</v>
      </c>
      <c r="AH29" s="71" t="s">
        <v>32</v>
      </c>
      <c r="AI29" s="71" t="s">
        <v>20</v>
      </c>
      <c r="AJ29" s="71" t="s">
        <v>21</v>
      </c>
      <c r="AK29" s="71" t="s">
        <v>62</v>
      </c>
      <c r="AL29" s="71" t="s">
        <v>6</v>
      </c>
      <c r="AP29" s="15"/>
      <c r="AQ29" s="44" t="s">
        <v>1</v>
      </c>
      <c r="AR29" s="72" t="s">
        <v>32</v>
      </c>
      <c r="AS29" s="72" t="s">
        <v>20</v>
      </c>
      <c r="AT29" s="72" t="s">
        <v>21</v>
      </c>
      <c r="AU29" s="72" t="s">
        <v>62</v>
      </c>
      <c r="AV29" s="72" t="s">
        <v>6</v>
      </c>
      <c r="AY29" s="15"/>
      <c r="AZ29" s="7"/>
      <c r="BA29" s="7"/>
      <c r="BB29" s="15"/>
      <c r="BC29" s="15"/>
    </row>
    <row r="30">
      <c r="A30" s="16">
        <f>IFERROR(__xludf.DUMMYFUNCTION("iferror(QUERY(Imports!A1:W56,""select A, B, C, D, E, P, Q, R, S, T, W where G = 'WVMiL' order by B asc"", 0),""No MiL players found"")"),12506.0)</f>
        <v>12506</v>
      </c>
      <c r="B30" s="16" t="str">
        <f>IFERROR(__xludf.DUMMYFUNCTION("""COMPUTED_VALUE"""),"Adley Rutschman")</f>
        <v>Adley Rutschman</v>
      </c>
      <c r="C30" s="15">
        <f>IFERROR(__xludf.DUMMYFUNCTION("""COMPUTED_VALUE"""),1.55)</f>
        <v>1.55</v>
      </c>
      <c r="D30" s="17" t="str">
        <f>IFERROR(__xludf.DUMMYFUNCTION("""COMPUTED_VALUE"""),"https://sba-cards-2024.s3.us-east-1.amazonaws.com/2024-cards/adley-rutschman.png")</f>
        <v>https://sba-cards-2024.s3.us-east-1.amazonaws.com/2024-cards/adley-rutschman.png</v>
      </c>
      <c r="E30" s="18"/>
      <c r="F30" s="15"/>
      <c r="G30" s="15"/>
      <c r="H30" s="15"/>
      <c r="I30" s="15">
        <f>IFERROR(__xludf.DUMMYFUNCTION("""COMPUTED_VALUE"""),-2.0)</f>
        <v>-2</v>
      </c>
      <c r="J30" s="15"/>
      <c r="K30" s="15" t="str">
        <f>IFERROR(__xludf.DUMMYFUNCTION("""COMPUTED_VALUE"""),"1p70")</f>
        <v>1p70</v>
      </c>
      <c r="L30" s="15"/>
      <c r="M30" s="15"/>
      <c r="N30" s="15"/>
      <c r="O30" s="15"/>
      <c r="P30" s="15"/>
      <c r="Q30" s="15"/>
      <c r="R30" s="15"/>
      <c r="S30" s="15"/>
      <c r="T30" s="15"/>
      <c r="U30" s="15"/>
      <c r="V30" s="15"/>
      <c r="W30" s="15"/>
      <c r="X30" s="15"/>
      <c r="Y30" s="15"/>
      <c r="Z30" s="15"/>
      <c r="AA30" s="15"/>
      <c r="AB30" s="15"/>
      <c r="AC30" s="15"/>
      <c r="AD30" s="19"/>
      <c r="AE30" s="16" t="str">
        <f t="array" ref="AE30">IFERROR(index(BatterCalcs!CR:CR,match(A30,BatterCalcs!A:A,0)),index(PitcherCalcs!BY:BY,match(A30,PitcherCalcs!A:A,0)))</f>
        <v>c-1(0)e1,T-5(pb-1)</v>
      </c>
      <c r="AF30" s="7"/>
      <c r="AG30" s="73" t="str">
        <f>IFERROR(__xludf.DUMMYFUNCTION("query($A$2:$AE$28,""select B, L, AB, AC, AE where Y is not null and Y &gt; 3 order by AD desc"")"),"Zac Gallen")</f>
        <v>Zac Gallen</v>
      </c>
      <c r="AH30" s="74" t="str">
        <f>IFERROR(__xludf.DUMMYFUNCTION("""COMPUTED_VALUE"""),"R")</f>
        <v>R</v>
      </c>
      <c r="AI30" s="74">
        <f>IFERROR(__xludf.DUMMYFUNCTION("""COMPUTED_VALUE"""),25.0)</f>
        <v>25</v>
      </c>
      <c r="AJ30" s="74">
        <f>IFERROR(__xludf.DUMMYFUNCTION("""COMPUTED_VALUE"""),10.0)</f>
        <v>10</v>
      </c>
      <c r="AK30" s="75" t="str">
        <f>IFERROR(__xludf.DUMMYFUNCTION("""COMPUTED_VALUE"""),"S(5)")</f>
        <v>S(5)</v>
      </c>
      <c r="AL30" s="76" t="str">
        <f t="array" ref="AL30:AL39">if(AG30:AG39&lt;&gt;"",XLOOKUP(AG30:AG39, 'Import - Decisions'!$T$2:$T$21,'Import - Decisions'!$BC$2:$BC$21),)</f>
        <v>#N/A</v>
      </c>
      <c r="AP30" s="77" t="b">
        <v>0</v>
      </c>
      <c r="AQ30" s="78" t="str">
        <f>IFERROR(__xludf.DUMMYFUNCTION("query($A$2:$AE$28,""select B, L, AB, AC, AE where Z is not null order by AD desc"")"),"Dedniel Nunez")</f>
        <v>Dedniel Nunez</v>
      </c>
      <c r="AR30" s="15" t="str">
        <f>IFERROR(__xludf.DUMMYFUNCTION("""COMPUTED_VALUE"""),"R")</f>
        <v>R</v>
      </c>
      <c r="AS30" s="15">
        <f>IFERROR(__xludf.DUMMYFUNCTION("""COMPUTED_VALUE"""),35.0)</f>
        <v>35</v>
      </c>
      <c r="AT30" s="15">
        <f>IFERROR(__xludf.DUMMYFUNCTION("""COMPUTED_VALUE"""),46.0)</f>
        <v>46</v>
      </c>
      <c r="AU30" s="79" t="str">
        <f>IFERROR(__xludf.DUMMYFUNCTION("""COMPUTED_VALUE"""),"R(2) C(0)")</f>
        <v>R(2) C(0)</v>
      </c>
      <c r="AV30" s="76" t="str">
        <f t="array" ref="AV30:AV39">if(AQ30:AQ39&lt;&gt;"",XLOOKUP(AQ30:AQ39, 'Import - Decisions'!$T$2:$T$21,'Import - Decisions'!$BC$2:$BC$21),)</f>
        <v>#N/A</v>
      </c>
      <c r="AY30" s="15"/>
      <c r="AZ30" s="15"/>
      <c r="BA30" s="15"/>
      <c r="BB30" s="15"/>
      <c r="BC30" s="7"/>
    </row>
    <row r="31">
      <c r="A31" s="16">
        <f>IFERROR(__xludf.DUMMYFUNCTION("""COMPUTED_VALUE"""),13026.0)</f>
        <v>13026</v>
      </c>
      <c r="B31" s="16" t="str">
        <f>IFERROR(__xludf.DUMMYFUNCTION("""COMPUTED_VALUE"""),"Jose Soriano")</f>
        <v>Jose Soriano</v>
      </c>
      <c r="C31" s="15">
        <f>IFERROR(__xludf.DUMMYFUNCTION("""COMPUTED_VALUE"""),1.39)</f>
        <v>1.39</v>
      </c>
      <c r="D31" s="17" t="str">
        <f>IFERROR(__xludf.DUMMYFUNCTION("""COMPUTED_VALUE"""),"https://sba-cards-2024.s3.us-east-1.amazonaws.com/2024-cards/jose-soriano.png")</f>
        <v>https://sba-cards-2024.s3.us-east-1.amazonaws.com/2024-cards/jose-soriano.png</v>
      </c>
      <c r="E31" s="18"/>
      <c r="F31" s="15"/>
      <c r="G31" s="15"/>
      <c r="H31" s="15"/>
      <c r="I31" s="15">
        <f>IFERROR(__xludf.DUMMYFUNCTION("""COMPUTED_VALUE"""),-2.0)</f>
        <v>-2</v>
      </c>
      <c r="J31" s="15"/>
      <c r="K31" s="15" t="str">
        <f>IFERROR(__xludf.DUMMYFUNCTION("""COMPUTED_VALUE"""),"3p60")</f>
        <v>3p60</v>
      </c>
      <c r="L31" s="15"/>
      <c r="M31" s="15"/>
      <c r="N31" s="15"/>
      <c r="O31" s="15"/>
      <c r="P31" s="15"/>
      <c r="Q31" s="15"/>
      <c r="R31" s="15"/>
      <c r="S31" s="15"/>
      <c r="T31" s="15"/>
      <c r="U31" s="15"/>
      <c r="V31" s="15"/>
      <c r="W31" s="15"/>
      <c r="X31" s="15"/>
      <c r="Y31" s="15"/>
      <c r="Z31" s="15"/>
      <c r="AA31" s="15"/>
      <c r="AB31" s="15"/>
      <c r="AC31" s="15"/>
      <c r="AD31" s="19"/>
      <c r="AE31" s="16" t="str">
        <f t="array" ref="AE31">IFERROR(index(BatterCalcs!CR:CR,match(A31,BatterCalcs!A:A,0)),index(PitcherCalcs!BY:BY,match(A31,PitcherCalcs!A:A,0)))</f>
        <v>S(5) R(3)</v>
      </c>
      <c r="AF31" s="7"/>
      <c r="AG31" s="78" t="str">
        <f>IFERROR(__xludf.DUMMYFUNCTION("""COMPUTED_VALUE"""),"Ben Brown")</f>
        <v>Ben Brown</v>
      </c>
      <c r="AH31" s="15" t="str">
        <f>IFERROR(__xludf.DUMMYFUNCTION("""COMPUTED_VALUE"""),"R")</f>
        <v>R</v>
      </c>
      <c r="AI31" s="15">
        <f>IFERROR(__xludf.DUMMYFUNCTION("""COMPUTED_VALUE"""),10.0)</f>
        <v>10</v>
      </c>
      <c r="AJ31" s="15">
        <f>IFERROR(__xludf.DUMMYFUNCTION("""COMPUTED_VALUE"""),35.0)</f>
        <v>35</v>
      </c>
      <c r="AK31" s="79" t="str">
        <f>IFERROR(__xludf.DUMMYFUNCTION("""COMPUTED_VALUE"""),"S(5) R(4)")</f>
        <v>S(5) R(4)</v>
      </c>
      <c r="AL31" s="80" t="e">
        <v>#N/A</v>
      </c>
      <c r="AP31" s="77" t="b">
        <v>0</v>
      </c>
      <c r="AQ31" s="78" t="str">
        <f>IFERROR(__xludf.DUMMYFUNCTION("""COMPUTED_VALUE"""),"Porter Hodge")</f>
        <v>Porter Hodge</v>
      </c>
      <c r="AR31" s="15" t="str">
        <f>IFERROR(__xludf.DUMMYFUNCTION("""COMPUTED_VALUE"""),"R")</f>
        <v>R</v>
      </c>
      <c r="AS31" s="15">
        <f>IFERROR(__xludf.DUMMYFUNCTION("""COMPUTED_VALUE"""),33.0)</f>
        <v>33</v>
      </c>
      <c r="AT31" s="15">
        <f>IFERROR(__xludf.DUMMYFUNCTION("""COMPUTED_VALUE"""),35.0)</f>
        <v>35</v>
      </c>
      <c r="AU31" s="79" t="str">
        <f>IFERROR(__xludf.DUMMYFUNCTION("""COMPUTED_VALUE"""),"R(1) C(4)")</f>
        <v>R(1) C(4)</v>
      </c>
      <c r="AV31" s="80" t="e">
        <v>#N/A</v>
      </c>
      <c r="AY31" s="7"/>
      <c r="AZ31" s="15"/>
      <c r="BA31" s="15"/>
      <c r="BB31" s="15"/>
      <c r="BC31" s="7"/>
    </row>
    <row r="32">
      <c r="A32" s="16">
        <f>IFERROR(__xludf.DUMMYFUNCTION("""COMPUTED_VALUE"""),13322.0)</f>
        <v>13322</v>
      </c>
      <c r="B32" s="16" t="str">
        <f>IFERROR(__xludf.DUMMYFUNCTION("""COMPUTED_VALUE"""),"Ronald Acuna Jr")</f>
        <v>Ronald Acuna Jr</v>
      </c>
      <c r="C32" s="15">
        <f>IFERROR(__xludf.DUMMYFUNCTION("""COMPUTED_VALUE"""),0.0)</f>
        <v>0</v>
      </c>
      <c r="D32" s="17" t="str">
        <f>IFERROR(__xludf.DUMMYFUNCTION("""COMPUTED_VALUE"""),"https://sba-cards-2024.s3.us-east-1.amazonaws.com/2024-cards/ronald-acuna-jr.png")</f>
        <v>https://sba-cards-2024.s3.us-east-1.amazonaws.com/2024-cards/ronald-acuna-jr.png</v>
      </c>
      <c r="E32" s="18"/>
      <c r="F32" s="15"/>
      <c r="G32" s="15"/>
      <c r="H32" s="15"/>
      <c r="I32" s="15">
        <f>IFERROR(__xludf.DUMMYFUNCTION("""COMPUTED_VALUE"""),-2.0)</f>
        <v>-2</v>
      </c>
      <c r="J32" s="15"/>
      <c r="K32" s="15" t="str">
        <f>IFERROR(__xludf.DUMMYFUNCTION("""COMPUTED_VALUE"""),"5p30")</f>
        <v>5p30</v>
      </c>
      <c r="L32" s="15"/>
      <c r="M32" s="15"/>
      <c r="N32" s="15"/>
      <c r="O32" s="15"/>
      <c r="P32" s="15"/>
      <c r="Q32" s="15"/>
      <c r="R32" s="15"/>
      <c r="S32" s="15"/>
      <c r="T32" s="15"/>
      <c r="U32" s="15"/>
      <c r="V32" s="15"/>
      <c r="W32" s="15"/>
      <c r="X32" s="15"/>
      <c r="Y32" s="15"/>
      <c r="Z32" s="15"/>
      <c r="AA32" s="15"/>
      <c r="AB32" s="15"/>
      <c r="AC32" s="15"/>
      <c r="AD32" s="19"/>
      <c r="AE32" s="16" t="str">
        <f t="array" ref="AE32">IFERROR(index(BatterCalcs!CR:CR,match(A32,BatterCalcs!A:A,0)),index(PitcherCalcs!BY:BY,match(A32,PitcherCalcs!A:A,0)))</f>
        <v>rf-3(-4)e7</v>
      </c>
      <c r="AF32" s="7"/>
      <c r="AG32" s="78" t="str">
        <f>IFERROR(__xludf.DUMMYFUNCTION("""COMPUTED_VALUE"""),"Yoshinobu Yamamoto")</f>
        <v>Yoshinobu Yamamoto</v>
      </c>
      <c r="AH32" s="15" t="str">
        <f>IFERROR(__xludf.DUMMYFUNCTION("""COMPUTED_VALUE"""),"R")</f>
        <v>R</v>
      </c>
      <c r="AI32" s="15">
        <f>IFERROR(__xludf.DUMMYFUNCTION("""COMPUTED_VALUE"""),42.0)</f>
        <v>42</v>
      </c>
      <c r="AJ32" s="15">
        <f>IFERROR(__xludf.DUMMYFUNCTION("""COMPUTED_VALUE"""),6.0)</f>
        <v>6</v>
      </c>
      <c r="AK32" s="79" t="str">
        <f>IFERROR(__xludf.DUMMYFUNCTION("""COMPUTED_VALUE"""),"S(5)")</f>
        <v>S(5)</v>
      </c>
      <c r="AL32" s="80" t="e">
        <v>#N/A</v>
      </c>
      <c r="AP32" s="77" t="b">
        <v>0</v>
      </c>
      <c r="AQ32" s="78" t="str">
        <f>IFERROR(__xludf.DUMMYFUNCTION("""COMPUTED_VALUE"""),"Will Vest")</f>
        <v>Will Vest</v>
      </c>
      <c r="AR32" s="15" t="str">
        <f>IFERROR(__xludf.DUMMYFUNCTION("""COMPUTED_VALUE"""),"R")</f>
        <v>R</v>
      </c>
      <c r="AS32" s="15">
        <f>IFERROR(__xludf.DUMMYFUNCTION("""COMPUTED_VALUE"""),29.0)</f>
        <v>29</v>
      </c>
      <c r="AT32" s="15">
        <f>IFERROR(__xludf.DUMMYFUNCTION("""COMPUTED_VALUE"""),21.0)</f>
        <v>21</v>
      </c>
      <c r="AU32" s="79" t="str">
        <f>IFERROR(__xludf.DUMMYFUNCTION("""COMPUTED_VALUE"""),"R(1) C(1)")</f>
        <v>R(1) C(1)</v>
      </c>
      <c r="AV32" s="80" t="e">
        <v>#N/A</v>
      </c>
      <c r="AY32" s="15"/>
      <c r="AZ32" s="15"/>
      <c r="BA32" s="15"/>
      <c r="BB32" s="15"/>
      <c r="BC32" s="7"/>
    </row>
    <row r="33">
      <c r="A33" s="16">
        <f>IFERROR(__xludf.DUMMYFUNCTION("""COMPUTED_VALUE"""),13341.0)</f>
        <v>13341</v>
      </c>
      <c r="B33" s="16" t="str">
        <f>IFERROR(__xludf.DUMMYFUNCTION("""COMPUTED_VALUE"""),"Ryan Thompson")</f>
        <v>Ryan Thompson</v>
      </c>
      <c r="C33" s="15">
        <f>IFERROR(__xludf.DUMMYFUNCTION("""COMPUTED_VALUE"""),0.72)</f>
        <v>0.72</v>
      </c>
      <c r="D33" s="17" t="str">
        <f>IFERROR(__xludf.DUMMYFUNCTION("""COMPUTED_VALUE"""),"https://sba-cards-2024.s3.us-east-1.amazonaws.com/2024-cards/ryan-thompson.png")</f>
        <v>https://sba-cards-2024.s3.us-east-1.amazonaws.com/2024-cards/ryan-thompson.png</v>
      </c>
      <c r="E33" s="18"/>
      <c r="F33" s="15"/>
      <c r="G33" s="15"/>
      <c r="H33" s="15"/>
      <c r="I33" s="15">
        <f>IFERROR(__xludf.DUMMYFUNCTION("""COMPUTED_VALUE"""),-2.0)</f>
        <v>-2</v>
      </c>
      <c r="J33" s="15"/>
      <c r="K33" s="15" t="str">
        <f>IFERROR(__xludf.DUMMYFUNCTION("""COMPUTED_VALUE"""),"1p60")</f>
        <v>1p60</v>
      </c>
      <c r="L33" s="15"/>
      <c r="M33" s="15"/>
      <c r="N33" s="15"/>
      <c r="O33" s="15"/>
      <c r="P33" s="15"/>
      <c r="Q33" s="15"/>
      <c r="R33" s="15"/>
      <c r="S33" s="15"/>
      <c r="T33" s="15"/>
      <c r="U33" s="15"/>
      <c r="V33" s="15"/>
      <c r="W33" s="15"/>
      <c r="X33" s="15"/>
      <c r="Y33" s="15"/>
      <c r="Z33" s="15"/>
      <c r="AA33" s="15"/>
      <c r="AB33" s="15"/>
      <c r="AC33" s="15"/>
      <c r="AD33" s="19"/>
      <c r="AE33" s="16" t="str">
        <f t="array" ref="AE33">IFERROR(index(BatterCalcs!CR:CR,match(A33,BatterCalcs!A:A,0)),index(PitcherCalcs!BY:BY,match(A33,PitcherCalcs!A:A,0)))</f>
        <v>R(1) C(1)</v>
      </c>
      <c r="AF33" s="7"/>
      <c r="AG33" s="78" t="str">
        <f>IFERROR(__xludf.DUMMYFUNCTION("""COMPUTED_VALUE"""),"Jared Jones")</f>
        <v>Jared Jones</v>
      </c>
      <c r="AH33" s="15" t="str">
        <f>IFERROR(__xludf.DUMMYFUNCTION("""COMPUTED_VALUE"""),"R")</f>
        <v>R</v>
      </c>
      <c r="AI33" s="15">
        <f>IFERROR(__xludf.DUMMYFUNCTION("""COMPUTED_VALUE"""),9.0)</f>
        <v>9</v>
      </c>
      <c r="AJ33" s="15">
        <f>IFERROR(__xludf.DUMMYFUNCTION("""COMPUTED_VALUE"""),7.0)</f>
        <v>7</v>
      </c>
      <c r="AK33" s="79" t="str">
        <f>IFERROR(__xludf.DUMMYFUNCTION("""COMPUTED_VALUE"""),"S(5)")</f>
        <v>S(5)</v>
      </c>
      <c r="AL33" s="80" t="e">
        <v>#N/A</v>
      </c>
      <c r="AP33" s="77" t="b">
        <v>0</v>
      </c>
      <c r="AQ33" s="78" t="str">
        <f>IFERROR(__xludf.DUMMYFUNCTION("""COMPUTED_VALUE"""),"Joe Mantiply")</f>
        <v>Joe Mantiply</v>
      </c>
      <c r="AR33" s="15" t="str">
        <f>IFERROR(__xludf.DUMMYFUNCTION("""COMPUTED_VALUE"""),"L")</f>
        <v>L</v>
      </c>
      <c r="AS33" s="15">
        <f>IFERROR(__xludf.DUMMYFUNCTION("""COMPUTED_VALUE"""),35.0)</f>
        <v>35</v>
      </c>
      <c r="AT33" s="15">
        <f>IFERROR(__xludf.DUMMYFUNCTION("""COMPUTED_VALUE"""),10.0)</f>
        <v>10</v>
      </c>
      <c r="AU33" s="79" t="str">
        <f>IFERROR(__xludf.DUMMYFUNCTION("""COMPUTED_VALUE"""),"S(1) R(1) C(0)")</f>
        <v>S(1) R(1) C(0)</v>
      </c>
      <c r="AV33" s="80" t="e">
        <v>#N/A</v>
      </c>
      <c r="AX33" s="7"/>
      <c r="AZ33" s="15"/>
      <c r="BA33" s="15"/>
      <c r="BB33" s="15"/>
      <c r="BC33" s="7"/>
    </row>
    <row r="34">
      <c r="A34" s="16">
        <f>IFERROR(__xludf.DUMMYFUNCTION("""COMPUTED_VALUE"""),13470.0)</f>
        <v>13470</v>
      </c>
      <c r="B34" s="16" t="str">
        <f>IFERROR(__xludf.DUMMYFUNCTION("""COMPUTED_VALUE"""),"Victor Vodnik")</f>
        <v>Victor Vodnik</v>
      </c>
      <c r="C34" s="15">
        <f>IFERROR(__xludf.DUMMYFUNCTION("""COMPUTED_VALUE"""),0.78)</f>
        <v>0.78</v>
      </c>
      <c r="D34" s="17" t="str">
        <f>IFERROR(__xludf.DUMMYFUNCTION("""COMPUTED_VALUE"""),"https://sba-cards-2024.s3.us-east-1.amazonaws.com/2024-cards/victor-vodnik.png")</f>
        <v>https://sba-cards-2024.s3.us-east-1.amazonaws.com/2024-cards/victor-vodnik.png</v>
      </c>
      <c r="E34" s="18"/>
      <c r="F34" s="15"/>
      <c r="G34" s="15"/>
      <c r="H34" s="15"/>
      <c r="I34" s="15">
        <f>IFERROR(__xludf.DUMMYFUNCTION("""COMPUTED_VALUE"""),-2.0)</f>
        <v>-2</v>
      </c>
      <c r="J34" s="15"/>
      <c r="K34" s="15" t="str">
        <f>IFERROR(__xludf.DUMMYFUNCTION("""COMPUTED_VALUE"""),"1p40")</f>
        <v>1p40</v>
      </c>
      <c r="L34" s="15"/>
      <c r="M34" s="15"/>
      <c r="N34" s="15"/>
      <c r="O34" s="15"/>
      <c r="P34" s="15"/>
      <c r="Q34" s="15"/>
      <c r="R34" s="15"/>
      <c r="S34" s="15"/>
      <c r="T34" s="15"/>
      <c r="U34" s="15"/>
      <c r="V34" s="15"/>
      <c r="W34" s="15"/>
      <c r="X34" s="15"/>
      <c r="Y34" s="15"/>
      <c r="Z34" s="15"/>
      <c r="AA34" s="15"/>
      <c r="AB34" s="15"/>
      <c r="AC34" s="15"/>
      <c r="AD34" s="19"/>
      <c r="AE34" s="16" t="str">
        <f t="array" ref="AE34">IFERROR(index(BatterCalcs!CR:CR,match(A34,BatterCalcs!A:A,0)),index(PitcherCalcs!BY:BY,match(A34,PitcherCalcs!A:A,0)))</f>
        <v>R(2) C(3)</v>
      </c>
      <c r="AF34" s="7"/>
      <c r="AG34" s="78" t="str">
        <f>IFERROR(__xludf.DUMMYFUNCTION("""COMPUTED_VALUE"""),"Griffin Canning")</f>
        <v>Griffin Canning</v>
      </c>
      <c r="AH34" s="15" t="str">
        <f>IFERROR(__xludf.DUMMYFUNCTION("""COMPUTED_VALUE"""),"R")</f>
        <v>R</v>
      </c>
      <c r="AI34" s="15">
        <f>IFERROR(__xludf.DUMMYFUNCTION("""COMPUTED_VALUE"""),-22.0)</f>
        <v>-22</v>
      </c>
      <c r="AJ34" s="15">
        <f>IFERROR(__xludf.DUMMYFUNCTION("""COMPUTED_VALUE"""),-9.0)</f>
        <v>-9</v>
      </c>
      <c r="AK34" s="79" t="str">
        <f>IFERROR(__xludf.DUMMYFUNCTION("""COMPUTED_VALUE"""),"S(5)")</f>
        <v>S(5)</v>
      </c>
      <c r="AL34" s="80" t="e">
        <v>#N/A</v>
      </c>
      <c r="AP34" s="77" t="b">
        <v>0</v>
      </c>
      <c r="AQ34" s="78" t="str">
        <f>IFERROR(__xludf.DUMMYFUNCTION("""COMPUTED_VALUE"""),"Dennis Santana")</f>
        <v>Dennis Santana</v>
      </c>
      <c r="AR34" s="15" t="str">
        <f>IFERROR(__xludf.DUMMYFUNCTION("""COMPUTED_VALUE"""),"R")</f>
        <v>R</v>
      </c>
      <c r="AS34" s="15">
        <f>IFERROR(__xludf.DUMMYFUNCTION("""COMPUTED_VALUE"""),22.0)</f>
        <v>22</v>
      </c>
      <c r="AT34" s="15">
        <f>IFERROR(__xludf.DUMMYFUNCTION("""COMPUTED_VALUE"""),20.0)</f>
        <v>20</v>
      </c>
      <c r="AU34" s="79" t="str">
        <f>IFERROR(__xludf.DUMMYFUNCTION("""COMPUTED_VALUE"""),"R(2) C(2)")</f>
        <v>R(2) C(2)</v>
      </c>
      <c r="AV34" s="80" t="e">
        <v>#N/A</v>
      </c>
      <c r="AX34" s="7"/>
      <c r="AZ34" s="15"/>
      <c r="BA34" s="15"/>
      <c r="BB34" s="15"/>
      <c r="BC34" s="15"/>
    </row>
    <row r="35">
      <c r="C35" s="15"/>
      <c r="D35" s="18"/>
      <c r="E35" s="18"/>
      <c r="F35" s="15"/>
      <c r="G35" s="15"/>
      <c r="H35" s="15"/>
      <c r="I35" s="15"/>
      <c r="J35" s="15"/>
      <c r="K35" s="15"/>
      <c r="L35" s="15"/>
      <c r="M35" s="15"/>
      <c r="N35" s="15"/>
      <c r="O35" s="15"/>
      <c r="P35" s="15"/>
      <c r="Q35" s="15"/>
      <c r="R35" s="15"/>
      <c r="S35" s="15"/>
      <c r="T35" s="15"/>
      <c r="U35" s="15"/>
      <c r="V35" s="15"/>
      <c r="W35" s="15"/>
      <c r="X35" s="15"/>
      <c r="Y35" s="15"/>
      <c r="Z35" s="15"/>
      <c r="AA35" s="15"/>
      <c r="AB35" s="15"/>
      <c r="AC35" s="15"/>
      <c r="AD35" s="19"/>
      <c r="AF35" s="7"/>
      <c r="AG35" s="78"/>
      <c r="AH35" s="15"/>
      <c r="AI35" s="15"/>
      <c r="AJ35" s="15"/>
      <c r="AK35" s="79"/>
      <c r="AL35" s="80"/>
      <c r="AP35" s="77" t="b">
        <v>0</v>
      </c>
      <c r="AQ35" s="78" t="str">
        <f>IFERROR(__xludf.DUMMYFUNCTION("""COMPUTED_VALUE"""),"Ryan Fernandez")</f>
        <v>Ryan Fernandez</v>
      </c>
      <c r="AR35" s="15" t="str">
        <f>IFERROR(__xludf.DUMMYFUNCTION("""COMPUTED_VALUE"""),"R")</f>
        <v>R</v>
      </c>
      <c r="AS35" s="15">
        <f>IFERROR(__xludf.DUMMYFUNCTION("""COMPUTED_VALUE"""),25.0)</f>
        <v>25</v>
      </c>
      <c r="AT35" s="15">
        <f>IFERROR(__xludf.DUMMYFUNCTION("""COMPUTED_VALUE"""),12.0)</f>
        <v>12</v>
      </c>
      <c r="AU35" s="79" t="str">
        <f>IFERROR(__xludf.DUMMYFUNCTION("""COMPUTED_VALUE"""),"R(1) C(1)")</f>
        <v>R(1) C(1)</v>
      </c>
      <c r="AV35" s="80" t="e">
        <v>#N/A</v>
      </c>
      <c r="AY35" s="15"/>
      <c r="AZ35" s="15"/>
      <c r="BA35" s="15"/>
      <c r="BB35" s="15"/>
      <c r="BC35" s="15"/>
    </row>
    <row r="36">
      <c r="C36" s="15"/>
      <c r="D36" s="18"/>
      <c r="E36" s="18"/>
      <c r="F36" s="15"/>
      <c r="G36" s="15"/>
      <c r="H36" s="15"/>
      <c r="I36" s="15"/>
      <c r="J36" s="15"/>
      <c r="K36" s="15"/>
      <c r="L36" s="15"/>
      <c r="M36" s="15"/>
      <c r="N36" s="15"/>
      <c r="O36" s="15"/>
      <c r="P36" s="15"/>
      <c r="Q36" s="15"/>
      <c r="R36" s="15"/>
      <c r="S36" s="15"/>
      <c r="T36" s="15"/>
      <c r="U36" s="15"/>
      <c r="V36" s="15"/>
      <c r="W36" s="15"/>
      <c r="X36" s="15"/>
      <c r="Y36" s="15"/>
      <c r="Z36" s="15"/>
      <c r="AA36" s="15"/>
      <c r="AB36" s="15"/>
      <c r="AC36" s="15"/>
      <c r="AD36" s="19"/>
      <c r="AF36" s="15"/>
      <c r="AG36" s="78"/>
      <c r="AH36" s="15"/>
      <c r="AI36" s="15"/>
      <c r="AJ36" s="15"/>
      <c r="AK36" s="79"/>
      <c r="AL36" s="80"/>
      <c r="AP36" s="77" t="b">
        <v>0</v>
      </c>
      <c r="AQ36" s="78" t="str">
        <f>IFERROR(__xludf.DUMMYFUNCTION("""COMPUTED_VALUE"""),"Ben Brown")</f>
        <v>Ben Brown</v>
      </c>
      <c r="AR36" s="15" t="str">
        <f>IFERROR(__xludf.DUMMYFUNCTION("""COMPUTED_VALUE"""),"R")</f>
        <v>R</v>
      </c>
      <c r="AS36" s="15">
        <f>IFERROR(__xludf.DUMMYFUNCTION("""COMPUTED_VALUE"""),10.0)</f>
        <v>10</v>
      </c>
      <c r="AT36" s="15">
        <f>IFERROR(__xludf.DUMMYFUNCTION("""COMPUTED_VALUE"""),35.0)</f>
        <v>35</v>
      </c>
      <c r="AU36" s="79" t="str">
        <f>IFERROR(__xludf.DUMMYFUNCTION("""COMPUTED_VALUE"""),"S(5) R(4)")</f>
        <v>S(5) R(4)</v>
      </c>
      <c r="AV36" s="80" t="e">
        <v>#N/A</v>
      </c>
      <c r="AY36" s="15"/>
      <c r="AZ36" s="15"/>
      <c r="BA36" s="15"/>
      <c r="BB36" s="15"/>
      <c r="BC36" s="15"/>
    </row>
    <row r="37">
      <c r="A37" s="81" t="s">
        <v>63</v>
      </c>
      <c r="B37" s="82" t="s">
        <v>1</v>
      </c>
      <c r="C37" s="83" t="s">
        <v>2</v>
      </c>
      <c r="D37" s="84" t="s">
        <v>3</v>
      </c>
      <c r="E37" s="84" t="s">
        <v>4</v>
      </c>
      <c r="F37" s="83" t="s">
        <v>5</v>
      </c>
      <c r="G37" s="83" t="s">
        <v>6</v>
      </c>
      <c r="H37" s="83" t="s">
        <v>7</v>
      </c>
      <c r="I37" s="83" t="s">
        <v>61</v>
      </c>
      <c r="J37" s="83" t="s">
        <v>9</v>
      </c>
      <c r="K37" s="83" t="s">
        <v>10</v>
      </c>
      <c r="L37" s="85" t="s">
        <v>11</v>
      </c>
      <c r="M37" s="83" t="s">
        <v>12</v>
      </c>
      <c r="N37" s="83" t="s">
        <v>13</v>
      </c>
      <c r="O37" s="83" t="s">
        <v>14</v>
      </c>
      <c r="P37" s="83" t="s">
        <v>15</v>
      </c>
      <c r="Q37" s="83" t="s">
        <v>16</v>
      </c>
      <c r="R37" s="83" t="s">
        <v>17</v>
      </c>
      <c r="S37" s="83" t="s">
        <v>18</v>
      </c>
      <c r="T37" s="83" t="s">
        <v>19</v>
      </c>
      <c r="U37" s="83" t="s">
        <v>23</v>
      </c>
      <c r="V37" s="83" t="s">
        <v>24</v>
      </c>
      <c r="W37" s="83" t="s">
        <v>25</v>
      </c>
      <c r="X37" s="83" t="s">
        <v>26</v>
      </c>
      <c r="Y37" s="83" t="s">
        <v>27</v>
      </c>
      <c r="Z37" s="86"/>
      <c r="AA37" s="86"/>
      <c r="AB37" s="86"/>
      <c r="AC37" s="86"/>
      <c r="AD37" s="87"/>
      <c r="AE37" s="88" t="s">
        <v>27</v>
      </c>
      <c r="AF37" s="15"/>
      <c r="AG37" s="78"/>
      <c r="AH37" s="15"/>
      <c r="AI37" s="15"/>
      <c r="AJ37" s="15"/>
      <c r="AK37" s="79"/>
      <c r="AL37" s="80"/>
      <c r="AP37" s="77" t="b">
        <v>0</v>
      </c>
      <c r="AQ37" s="78" t="str">
        <f>IFERROR(__xludf.DUMMYFUNCTION("""COMPUTED_VALUE"""),"John Schreiber")</f>
        <v>John Schreiber</v>
      </c>
      <c r="AR37" s="15" t="str">
        <f>IFERROR(__xludf.DUMMYFUNCTION("""COMPUTED_VALUE"""),"R")</f>
        <v>R</v>
      </c>
      <c r="AS37" s="15">
        <f>IFERROR(__xludf.DUMMYFUNCTION("""COMPUTED_VALUE"""),10.0)</f>
        <v>10</v>
      </c>
      <c r="AT37" s="15">
        <f>IFERROR(__xludf.DUMMYFUNCTION("""COMPUTED_VALUE"""),24.0)</f>
        <v>24</v>
      </c>
      <c r="AU37" s="79" t="str">
        <f>IFERROR(__xludf.DUMMYFUNCTION("""COMPUTED_VALUE"""),"R(1) C(1)")</f>
        <v>R(1) C(1)</v>
      </c>
      <c r="AV37" s="80" t="e">
        <v>#N/A</v>
      </c>
      <c r="AY37" s="15"/>
      <c r="AZ37" s="15"/>
      <c r="BA37" s="15"/>
      <c r="BB37" s="15"/>
      <c r="BC37" s="15"/>
    </row>
    <row r="38">
      <c r="A38" s="16">
        <f>IFERROR(__xludf.DUMMYFUNCTION("iferror(QUERY(Imports!A1:W56,""select A, B, C, D, E, P, Q, R, S, T, W where G = 'WVIL' order by B asc"", 0),""No IL players found...is this what happiness feels like?"")"),12765.0)</f>
        <v>12765</v>
      </c>
      <c r="B38" s="16" t="str">
        <f>IFERROR(__xludf.DUMMYFUNCTION("""COMPUTED_VALUE"""),"Donovan Solano")</f>
        <v>Donovan Solano</v>
      </c>
      <c r="C38" s="15">
        <f>IFERROR(__xludf.DUMMYFUNCTION("""COMPUTED_VALUE"""),0.94)</f>
        <v>0.94</v>
      </c>
      <c r="D38" s="17" t="str">
        <f>IFERROR(__xludf.DUMMYFUNCTION("""COMPUTED_VALUE"""),"https://sba-cards-2024.s3.us-east-1.amazonaws.com/2024-cards/donovan-solano.png")</f>
        <v>https://sba-cards-2024.s3.us-east-1.amazonaws.com/2024-cards/donovan-solano.png</v>
      </c>
      <c r="E38" s="18"/>
      <c r="F38" s="15"/>
      <c r="G38" s="15"/>
      <c r="H38" s="15" t="str">
        <f>IFERROR(__xludf.DUMMYFUNCTION("""COMPUTED_VALUE"""),"w06g4")</f>
        <v>w06g4</v>
      </c>
      <c r="I38" s="15">
        <f>IFERROR(__xludf.DUMMYFUNCTION("""COMPUTED_VALUE"""),-2.0)</f>
        <v>-2</v>
      </c>
      <c r="J38" s="15"/>
      <c r="K38" s="15" t="str">
        <f>IFERROR(__xludf.DUMMYFUNCTION("""COMPUTED_VALUE"""),"1p50")</f>
        <v>1p50</v>
      </c>
      <c r="L38" s="15"/>
      <c r="M38" s="15"/>
      <c r="N38" s="15"/>
      <c r="O38" s="15"/>
      <c r="P38" s="15"/>
      <c r="Q38" s="15"/>
      <c r="R38" s="15"/>
      <c r="S38" s="15"/>
      <c r="T38" s="15"/>
      <c r="U38" s="15"/>
      <c r="V38" s="15"/>
      <c r="W38" s="15"/>
      <c r="X38" s="15"/>
      <c r="Y38" s="15"/>
      <c r="Z38" s="15"/>
      <c r="AA38" s="15"/>
      <c r="AB38" s="15"/>
      <c r="AC38" s="15"/>
      <c r="AD38" s="19"/>
      <c r="AF38" s="7"/>
      <c r="AG38" s="78"/>
      <c r="AH38" s="15"/>
      <c r="AI38" s="15"/>
      <c r="AJ38" s="15"/>
      <c r="AK38" s="79"/>
      <c r="AL38" s="80"/>
      <c r="AP38" s="77" t="b">
        <v>0</v>
      </c>
      <c r="AQ38" s="78" t="str">
        <f>IFERROR(__xludf.DUMMYFUNCTION("""COMPUTED_VALUE"""),"Anthony Bender")</f>
        <v>Anthony Bender</v>
      </c>
      <c r="AR38" s="15" t="str">
        <f>IFERROR(__xludf.DUMMYFUNCTION("""COMPUTED_VALUE"""),"R")</f>
        <v>R</v>
      </c>
      <c r="AS38" s="15">
        <f>IFERROR(__xludf.DUMMYFUNCTION("""COMPUTED_VALUE"""),-7.0)</f>
        <v>-7</v>
      </c>
      <c r="AT38" s="15">
        <f>IFERROR(__xludf.DUMMYFUNCTION("""COMPUTED_VALUE"""),46.0)</f>
        <v>46</v>
      </c>
      <c r="AU38" s="79" t="str">
        <f>IFERROR(__xludf.DUMMYFUNCTION("""COMPUTED_VALUE"""),"R(1) C(0)")</f>
        <v>R(1) C(0)</v>
      </c>
      <c r="AV38" s="80" t="e">
        <v>#N/A</v>
      </c>
      <c r="AY38" s="15"/>
      <c r="AZ38" s="15"/>
      <c r="BA38" s="15"/>
      <c r="BB38" s="15"/>
      <c r="BC38" s="15"/>
    </row>
    <row r="39">
      <c r="A39" s="16">
        <f>IFERROR(__xludf.DUMMYFUNCTION("""COMPUTED_VALUE"""),13396.0)</f>
        <v>13396</v>
      </c>
      <c r="B39" s="16" t="str">
        <f>IFERROR(__xludf.DUMMYFUNCTION("""COMPUTED_VALUE"""),"Taj Bradley")</f>
        <v>Taj Bradley</v>
      </c>
      <c r="C39" s="15">
        <f>IFERROR(__xludf.DUMMYFUNCTION("""COMPUTED_VALUE"""),1.04)</f>
        <v>1.04</v>
      </c>
      <c r="D39" s="17" t="str">
        <f>IFERROR(__xludf.DUMMYFUNCTION("""COMPUTED_VALUE"""),"https://sba-cards-2024.s3.us-east-1.amazonaws.com/2024-cards/taj-bradley.png")</f>
        <v>https://sba-cards-2024.s3.us-east-1.amazonaws.com/2024-cards/taj-bradley.png</v>
      </c>
      <c r="E39" s="18"/>
      <c r="F39" s="15"/>
      <c r="G39" s="15"/>
      <c r="H39" s="15" t="str">
        <f>IFERROR(__xludf.DUMMYFUNCTION("""COMPUTED_VALUE"""),"w07g2")</f>
        <v>w07g2</v>
      </c>
      <c r="I39" s="15">
        <f>IFERROR(__xludf.DUMMYFUNCTION("""COMPUTED_VALUE"""),-2.0)</f>
        <v>-2</v>
      </c>
      <c r="J39" s="15"/>
      <c r="K39" s="15" t="str">
        <f>IFERROR(__xludf.DUMMYFUNCTION("""COMPUTED_VALUE"""),"1p60")</f>
        <v>1p60</v>
      </c>
      <c r="L39" s="15"/>
      <c r="M39" s="15"/>
      <c r="N39" s="15"/>
      <c r="O39" s="15"/>
      <c r="P39" s="15"/>
      <c r="Q39" s="15"/>
      <c r="R39" s="15"/>
      <c r="S39" s="15"/>
      <c r="T39" s="15"/>
      <c r="U39" s="15"/>
      <c r="V39" s="15"/>
      <c r="W39" s="15"/>
      <c r="X39" s="15"/>
      <c r="Y39" s="15"/>
      <c r="Z39" s="15"/>
      <c r="AA39" s="15"/>
      <c r="AB39" s="15"/>
      <c r="AC39" s="15"/>
      <c r="AD39" s="19"/>
      <c r="AF39" s="7"/>
      <c r="AG39" s="89"/>
      <c r="AH39" s="90"/>
      <c r="AI39" s="90"/>
      <c r="AJ39" s="90"/>
      <c r="AK39" s="91"/>
      <c r="AL39" s="92"/>
      <c r="AP39" s="77" t="b">
        <v>0</v>
      </c>
      <c r="AQ39" s="93"/>
      <c r="AR39" s="15"/>
      <c r="AS39" s="15"/>
      <c r="AT39" s="15"/>
      <c r="AU39" s="79"/>
      <c r="AV39" s="80"/>
      <c r="AY39" s="15"/>
      <c r="AZ39" s="15"/>
      <c r="BA39" s="15"/>
      <c r="BB39" s="15"/>
      <c r="BC39" s="15"/>
    </row>
    <row r="40">
      <c r="AF40" s="7"/>
      <c r="AK40" s="15"/>
      <c r="AP40" s="94" t="b">
        <v>0</v>
      </c>
      <c r="AQ40" s="78"/>
      <c r="AR40" s="15"/>
      <c r="AS40" s="15"/>
      <c r="AT40" s="15"/>
      <c r="AU40" s="79"/>
      <c r="AV40" s="80"/>
      <c r="AY40" s="15"/>
      <c r="AZ40" s="15"/>
      <c r="BA40" s="15"/>
      <c r="BB40" s="15"/>
      <c r="BC40" s="15"/>
    </row>
    <row r="41">
      <c r="AF41" s="7"/>
      <c r="AK41" s="15"/>
      <c r="AP41" s="94" t="b">
        <v>0</v>
      </c>
      <c r="AQ41" s="89"/>
      <c r="AR41" s="90"/>
      <c r="AS41" s="90"/>
      <c r="AT41" s="90"/>
      <c r="AU41" s="91"/>
      <c r="AV41" s="92"/>
      <c r="AY41" s="15"/>
      <c r="AZ41" s="15"/>
      <c r="BA41" s="15"/>
      <c r="BB41" s="15"/>
      <c r="BC41" s="15"/>
    </row>
    <row r="42">
      <c r="AF42" s="15"/>
      <c r="AK42" s="29"/>
      <c r="AP42" s="15"/>
      <c r="AU42" s="15"/>
      <c r="AY42" s="15"/>
      <c r="AZ42" s="15"/>
      <c r="BA42" s="15"/>
      <c r="BB42" s="15"/>
      <c r="BC42" s="15"/>
    </row>
    <row r="43">
      <c r="AF43" s="15"/>
      <c r="AK43" s="15"/>
      <c r="AP43" s="95"/>
      <c r="AU43" s="15"/>
      <c r="AY43" s="15"/>
      <c r="AZ43" s="15"/>
      <c r="BA43" s="15"/>
      <c r="BB43" s="15"/>
      <c r="BC43" s="15"/>
    </row>
    <row r="44">
      <c r="AF44" s="15"/>
      <c r="AK44" s="15"/>
      <c r="AP44" s="15"/>
      <c r="AU44" s="15"/>
      <c r="AY44" s="15"/>
      <c r="AZ44" s="15"/>
      <c r="BA44" s="15"/>
      <c r="BB44" s="15"/>
      <c r="BC44" s="15"/>
    </row>
    <row r="45">
      <c r="AF45" s="15"/>
      <c r="AK45" s="15"/>
      <c r="AP45" s="15"/>
      <c r="AU45" s="15"/>
      <c r="AY45" s="15"/>
      <c r="AZ45" s="15"/>
      <c r="BA45" s="15"/>
      <c r="BB45" s="15"/>
      <c r="BC45" s="15"/>
    </row>
    <row r="46">
      <c r="AF46" s="15"/>
      <c r="AK46" s="15"/>
      <c r="AP46" s="15"/>
      <c r="AU46" s="15"/>
      <c r="AY46" s="15"/>
      <c r="AZ46" s="15"/>
      <c r="BA46" s="15"/>
      <c r="BB46" s="15"/>
      <c r="BC46" s="15"/>
    </row>
    <row r="47">
      <c r="AF47" s="15"/>
      <c r="AK47" s="15"/>
      <c r="AP47" s="15"/>
      <c r="AU47" s="15"/>
      <c r="AY47" s="15"/>
      <c r="AZ47" s="15"/>
      <c r="BA47" s="15"/>
      <c r="BB47" s="15"/>
      <c r="BC47" s="15"/>
    </row>
    <row r="48">
      <c r="AF48" s="15"/>
      <c r="AK48" s="15"/>
      <c r="AP48" s="15"/>
      <c r="AU48" s="15"/>
      <c r="AY48" s="15"/>
      <c r="AZ48" s="15"/>
      <c r="BA48" s="15"/>
      <c r="BB48" s="15"/>
      <c r="BC48" s="15"/>
    </row>
    <row r="49">
      <c r="AF49" s="15"/>
      <c r="AK49" s="15"/>
      <c r="AP49" s="15"/>
      <c r="AU49" s="15"/>
      <c r="AY49" s="15"/>
      <c r="AZ49" s="15"/>
      <c r="BA49" s="15"/>
      <c r="BB49" s="15"/>
      <c r="BC49" s="15"/>
    </row>
    <row r="50">
      <c r="AF50" s="15"/>
      <c r="AK50" s="15"/>
      <c r="AP50" s="15"/>
      <c r="AU50" s="15"/>
      <c r="AY50" s="15"/>
      <c r="AZ50" s="15"/>
      <c r="BA50" s="15"/>
      <c r="BB50" s="15"/>
      <c r="BC50" s="15"/>
    </row>
    <row r="51">
      <c r="AF51" s="15"/>
      <c r="AK51" s="15"/>
      <c r="AP51" s="15"/>
      <c r="AU51" s="15"/>
      <c r="AY51" s="15"/>
      <c r="AZ51" s="15"/>
      <c r="BA51" s="15"/>
      <c r="BB51" s="15"/>
      <c r="BC51" s="15"/>
    </row>
    <row r="52">
      <c r="AF52" s="15"/>
      <c r="AK52" s="15"/>
      <c r="AP52" s="15"/>
      <c r="AU52" s="15"/>
      <c r="AY52" s="15"/>
      <c r="AZ52" s="15"/>
      <c r="BA52" s="15"/>
      <c r="BB52" s="15"/>
      <c r="BC52" s="15"/>
    </row>
    <row r="53">
      <c r="AF53" s="15"/>
      <c r="AK53" s="15"/>
      <c r="AP53" s="15"/>
      <c r="AU53" s="15"/>
      <c r="AY53" s="15"/>
      <c r="AZ53" s="15"/>
      <c r="BA53" s="15"/>
      <c r="BB53" s="15"/>
      <c r="BC53" s="15"/>
    </row>
    <row r="54">
      <c r="AF54" s="15"/>
      <c r="AK54" s="15"/>
      <c r="AP54" s="15"/>
      <c r="AU54" s="15"/>
      <c r="AY54" s="15"/>
      <c r="AZ54" s="15"/>
      <c r="BA54" s="15"/>
      <c r="BB54" s="15"/>
      <c r="BC54" s="15"/>
    </row>
    <row r="55">
      <c r="C55" s="15"/>
      <c r="D55" s="18"/>
      <c r="E55" s="18"/>
      <c r="F55" s="15"/>
      <c r="G55" s="15"/>
      <c r="H55" s="15"/>
      <c r="I55" s="15"/>
      <c r="J55" s="15"/>
      <c r="K55" s="15"/>
      <c r="L55" s="15"/>
      <c r="M55" s="15"/>
      <c r="N55" s="15"/>
      <c r="O55" s="15"/>
      <c r="P55" s="15"/>
      <c r="Q55" s="15"/>
      <c r="R55" s="15"/>
      <c r="S55" s="15"/>
      <c r="T55" s="15"/>
      <c r="U55" s="15"/>
      <c r="V55" s="15"/>
      <c r="W55" s="15"/>
      <c r="X55" s="15"/>
      <c r="Y55" s="15"/>
      <c r="Z55" s="15"/>
      <c r="AA55" s="15"/>
      <c r="AB55" s="15"/>
      <c r="AC55" s="15"/>
      <c r="AD55" s="19"/>
      <c r="AF55" s="15"/>
      <c r="AK55" s="15"/>
      <c r="AP55" s="15"/>
      <c r="AU55" s="15"/>
      <c r="AY55" s="15"/>
      <c r="AZ55" s="15"/>
      <c r="BA55" s="15"/>
      <c r="BB55" s="15"/>
      <c r="BC55" s="15"/>
    </row>
    <row r="56">
      <c r="C56" s="15"/>
      <c r="D56" s="18"/>
      <c r="E56" s="18"/>
      <c r="F56" s="15"/>
      <c r="G56" s="15"/>
      <c r="H56" s="15"/>
      <c r="I56" s="15"/>
      <c r="J56" s="15"/>
      <c r="K56" s="15"/>
      <c r="L56" s="15"/>
      <c r="M56" s="15"/>
      <c r="N56" s="15"/>
      <c r="O56" s="15"/>
      <c r="P56" s="15"/>
      <c r="Q56" s="15"/>
      <c r="R56" s="15"/>
      <c r="S56" s="15"/>
      <c r="T56" s="15"/>
      <c r="U56" s="15"/>
      <c r="V56" s="15"/>
      <c r="W56" s="15"/>
      <c r="X56" s="15"/>
      <c r="Y56" s="15"/>
      <c r="Z56" s="15"/>
      <c r="AA56" s="15"/>
      <c r="AB56" s="15"/>
      <c r="AC56" s="15"/>
      <c r="AD56" s="19"/>
      <c r="AF56" s="15"/>
      <c r="AK56" s="15"/>
      <c r="AP56" s="15"/>
      <c r="AU56" s="15"/>
      <c r="AY56" s="15"/>
      <c r="AZ56" s="15"/>
      <c r="BA56" s="15"/>
      <c r="BB56" s="15"/>
      <c r="BC56" s="15"/>
    </row>
  </sheetData>
  <mergeCells count="10">
    <mergeCell ref="AL19:AP19"/>
    <mergeCell ref="AG28:AL28"/>
    <mergeCell ref="AQ28:AV28"/>
    <mergeCell ref="AG1:AK1"/>
    <mergeCell ref="AL1:AP1"/>
    <mergeCell ref="AQ1:AU1"/>
    <mergeCell ref="AG10:AK10"/>
    <mergeCell ref="AL10:AP10"/>
    <mergeCell ref="AQ10:AU10"/>
    <mergeCell ref="AQ19:AU19"/>
  </mergeCells>
  <conditionalFormatting sqref="A2:K28 L2:M33 N2:X28 Y2:AD33 AE2:AE50">
    <cfRule type="expression" dxfId="0" priority="1">
      <formula>COUNTA($AF2)</formula>
    </cfRule>
  </conditionalFormatting>
  <conditionalFormatting sqref="AQ30:AV41">
    <cfRule type="expression" dxfId="1" priority="2">
      <formula>$AP30=TRUE</formula>
    </cfRule>
  </conditionalFormatting>
  <conditionalFormatting sqref="A2:K27 L2:M33 N2:X28 Y2:AD33 AE2:AE50">
    <cfRule type="expression" dxfId="2" priority="3">
      <formula>$X2&lt;&gt;""</formula>
    </cfRule>
  </conditionalFormatting>
  <hyperlinks>
    <hyperlink r:id="rId1" ref="D2"/>
    <hyperlink r:id="rId2" ref="D3"/>
    <hyperlink r:id="rId3" ref="D4"/>
    <hyperlink r:id="rId4" ref="D5"/>
    <hyperlink r:id="rId5" ref="D6"/>
    <hyperlink r:id="rId6" ref="D7"/>
    <hyperlink r:id="rId7" ref="D8"/>
    <hyperlink r:id="rId8" ref="D9"/>
    <hyperlink r:id="rId9" ref="D10"/>
    <hyperlink r:id="rId10" ref="D11"/>
    <hyperlink r:id="rId11" ref="D12"/>
    <hyperlink r:id="rId12" ref="D13"/>
    <hyperlink r:id="rId13" ref="D14"/>
    <hyperlink r:id="rId14" ref="D15"/>
    <hyperlink r:id="rId15" ref="D16"/>
    <hyperlink r:id="rId16" ref="D17"/>
    <hyperlink r:id="rId17" ref="D18"/>
    <hyperlink r:id="rId18" ref="D19"/>
    <hyperlink r:id="rId19" ref="D20"/>
    <hyperlink r:id="rId20" ref="D21"/>
    <hyperlink r:id="rId21" ref="D22"/>
    <hyperlink r:id="rId22" ref="D23"/>
    <hyperlink r:id="rId23" ref="D24"/>
    <hyperlink r:id="rId24" ref="D25"/>
    <hyperlink r:id="rId25" ref="D26"/>
    <hyperlink r:id="rId26" ref="D27"/>
    <hyperlink r:id="rId27" ref="D30"/>
    <hyperlink r:id="rId28" ref="D31"/>
    <hyperlink r:id="rId29" ref="D32"/>
    <hyperlink r:id="rId30" ref="D33"/>
    <hyperlink r:id="rId31" ref="D34"/>
    <hyperlink r:id="rId32" ref="D38"/>
    <hyperlink r:id="rId33" ref="D39"/>
  </hyperlinks>
  <drawing r:id="rId3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FC5E8"/>
    <outlinePr summaryBelow="0" summaryRight="0"/>
  </sheetPr>
  <sheetViews>
    <sheetView showGridLines="0" workbookViewId="0"/>
  </sheetViews>
  <sheetFormatPr customHeight="1" defaultColWidth="12.63" defaultRowHeight="15.75"/>
  <cols>
    <col customWidth="1" min="1" max="1" width="19.88"/>
    <col customWidth="1" min="2" max="2" width="5.75"/>
    <col customWidth="1" min="3" max="10" width="7.0"/>
    <col customWidth="1" min="11" max="11" width="6.13"/>
    <col customWidth="1" hidden="1" min="12" max="16" width="6.13"/>
    <col customWidth="1" min="17" max="17" width="6.13"/>
    <col customWidth="1" min="18" max="18" width="18.5"/>
    <col customWidth="1" min="19" max="25" width="7.0"/>
    <col customWidth="1" min="26" max="27" width="5.75"/>
    <col customWidth="1" hidden="1" min="28" max="54" width="5.75"/>
    <col customWidth="1" hidden="1" min="55" max="55" width="9.5"/>
    <col customWidth="1" hidden="1" min="56" max="118" width="5.75"/>
  </cols>
  <sheetData>
    <row r="1">
      <c r="A1" s="96" t="s">
        <v>64</v>
      </c>
      <c r="B1" s="97" t="s">
        <v>65</v>
      </c>
      <c r="C1" s="98"/>
      <c r="D1" s="98"/>
      <c r="E1" s="99"/>
      <c r="F1" s="100"/>
      <c r="G1" s="100"/>
      <c r="H1" s="100"/>
      <c r="I1" s="100"/>
      <c r="J1" s="100"/>
      <c r="K1" s="100"/>
      <c r="Q1" s="101" t="b">
        <v>0</v>
      </c>
      <c r="R1" s="102" t="s">
        <v>66</v>
      </c>
      <c r="S1" s="103" t="s">
        <v>67</v>
      </c>
      <c r="T1" s="98"/>
      <c r="U1" s="98"/>
      <c r="V1" s="98"/>
      <c r="W1" s="99"/>
      <c r="AB1" s="104" t="str">
        <f>IFERROR(__xludf.DUMMYFUNCTION("if(Q1,IMPORTRANGE(S1,""Q3:S26""),)"),"")</f>
        <v/>
      </c>
      <c r="AC1" s="104"/>
      <c r="AD1" s="104"/>
    </row>
    <row r="2">
      <c r="A2" s="100" t="str">
        <f t="array" ref="A2">image(index(Imports!AL:AL,match(B1,Imports!AE:AE,0)))</f>
        <v/>
      </c>
      <c r="AB2" s="104"/>
      <c r="AC2" s="104"/>
      <c r="AD2" s="104"/>
    </row>
    <row r="3">
      <c r="R3" s="96" t="str">
        <f>"Away Pitcher"</f>
        <v>Away Pitcher</v>
      </c>
      <c r="S3" s="105" t="s">
        <v>68</v>
      </c>
      <c r="T3" s="98"/>
      <c r="U3" s="98"/>
      <c r="V3" s="98"/>
      <c r="W3" s="99"/>
      <c r="Y3" s="29"/>
      <c r="AB3" s="104"/>
      <c r="AC3" s="104"/>
      <c r="AD3" s="104"/>
    </row>
    <row r="4">
      <c r="R4" s="102" t="s">
        <v>69</v>
      </c>
      <c r="S4" s="105" t="s">
        <v>65</v>
      </c>
      <c r="T4" s="98"/>
      <c r="U4" s="98"/>
      <c r="V4" s="99"/>
      <c r="Y4" s="29"/>
      <c r="AB4" s="104"/>
      <c r="AC4" s="104"/>
      <c r="AD4" s="104"/>
    </row>
    <row r="5">
      <c r="Y5" s="106"/>
      <c r="AB5" s="104"/>
      <c r="AC5" s="104"/>
      <c r="AD5" s="104"/>
    </row>
    <row r="6">
      <c r="R6" s="96" t="str">
        <f>"Home Pitcher"</f>
        <v>Home Pitcher</v>
      </c>
      <c r="S6" s="105" t="s">
        <v>70</v>
      </c>
      <c r="T6" s="98"/>
      <c r="U6" s="98"/>
      <c r="V6" s="98"/>
      <c r="W6" s="99"/>
      <c r="Y6" s="29"/>
      <c r="AB6" s="104"/>
      <c r="AC6" s="104"/>
      <c r="AD6" s="104"/>
    </row>
    <row r="7">
      <c r="R7" s="102" t="s">
        <v>71</v>
      </c>
      <c r="S7" s="105" t="s">
        <v>72</v>
      </c>
      <c r="T7" s="98"/>
      <c r="U7" s="98"/>
      <c r="V7" s="99"/>
      <c r="Y7" s="29"/>
      <c r="AB7" s="104"/>
      <c r="AC7" s="104"/>
      <c r="AD7" s="104"/>
    </row>
    <row r="8">
      <c r="AB8" s="104"/>
      <c r="AC8" s="104"/>
      <c r="AD8" s="104"/>
    </row>
    <row r="9">
      <c r="AB9" s="104"/>
      <c r="AC9" s="104"/>
      <c r="AD9" s="104"/>
    </row>
    <row r="10">
      <c r="A10" s="100"/>
      <c r="B10" s="107" t="s">
        <v>73</v>
      </c>
      <c r="C10" s="107" t="s">
        <v>74</v>
      </c>
      <c r="D10" s="100"/>
      <c r="E10" s="107" t="s">
        <v>75</v>
      </c>
      <c r="F10" s="107" t="s">
        <v>76</v>
      </c>
      <c r="G10" s="100"/>
      <c r="H10" s="100"/>
      <c r="I10" s="100"/>
      <c r="J10" s="100"/>
      <c r="R10" s="100"/>
      <c r="S10" s="108" t="s">
        <v>77</v>
      </c>
      <c r="T10" s="108" t="s">
        <v>78</v>
      </c>
      <c r="U10" s="100"/>
      <c r="V10" s="108" t="s">
        <v>79</v>
      </c>
      <c r="W10" s="108" t="s">
        <v>80</v>
      </c>
      <c r="X10" s="100"/>
      <c r="Y10" s="100"/>
      <c r="Z10" s="100"/>
      <c r="AA10" s="100"/>
      <c r="AB10" s="109"/>
      <c r="AC10" s="109"/>
      <c r="AD10" s="109"/>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c r="BD10" s="100"/>
      <c r="BE10" s="100"/>
      <c r="BF10" s="100"/>
      <c r="BG10" s="100"/>
      <c r="BH10" s="100"/>
      <c r="BI10" s="100"/>
      <c r="BJ10" s="100"/>
      <c r="BK10" s="100"/>
      <c r="BL10" s="100"/>
      <c r="BM10" s="100"/>
      <c r="BN10" s="100"/>
      <c r="BO10" s="100"/>
      <c r="BP10" s="100"/>
      <c r="BQ10" s="100"/>
      <c r="BR10" s="100"/>
      <c r="BS10" s="100"/>
      <c r="BT10" s="100"/>
      <c r="BU10" s="100"/>
      <c r="BV10" s="100"/>
      <c r="BW10" s="100"/>
      <c r="BX10" s="100"/>
      <c r="BY10" s="100"/>
      <c r="BZ10" s="100"/>
      <c r="CA10" s="100"/>
      <c r="CB10" s="100"/>
      <c r="CC10" s="100"/>
      <c r="CD10" s="100"/>
      <c r="CE10" s="100"/>
      <c r="CF10" s="100"/>
      <c r="CG10" s="100"/>
      <c r="CH10" s="100"/>
      <c r="CI10" s="100"/>
      <c r="CJ10" s="100"/>
      <c r="CK10" s="100"/>
      <c r="CL10" s="100"/>
      <c r="CM10" s="100"/>
      <c r="CN10" s="100"/>
      <c r="CO10" s="100"/>
      <c r="CP10" s="100"/>
      <c r="CQ10" s="100"/>
      <c r="CR10" s="100"/>
      <c r="CS10" s="100"/>
      <c r="CT10" s="100"/>
      <c r="CU10" s="100"/>
      <c r="CV10" s="100"/>
      <c r="CW10" s="100"/>
      <c r="CX10" s="100"/>
      <c r="CY10" s="100"/>
      <c r="CZ10" s="100"/>
      <c r="DA10" s="100"/>
      <c r="DB10" s="100"/>
      <c r="DC10" s="100"/>
      <c r="DD10" s="100"/>
      <c r="DE10" s="100"/>
      <c r="DF10" s="100"/>
      <c r="DG10" s="100"/>
      <c r="DH10" s="100"/>
      <c r="DI10" s="100"/>
      <c r="DJ10" s="100"/>
      <c r="DK10" s="100"/>
      <c r="DL10" s="100"/>
      <c r="DM10" s="100"/>
      <c r="DN10" s="100"/>
    </row>
    <row r="11">
      <c r="A11" s="100"/>
      <c r="B11" s="110">
        <v>5.0</v>
      </c>
      <c r="C11" s="110">
        <v>7.0</v>
      </c>
      <c r="D11" s="111"/>
      <c r="E11" s="110">
        <v>7.0</v>
      </c>
      <c r="F11" s="110">
        <v>5.0</v>
      </c>
      <c r="G11" s="100"/>
      <c r="H11" s="100"/>
      <c r="I11" s="100"/>
      <c r="J11" s="100"/>
      <c r="R11" s="100"/>
      <c r="S11" s="112">
        <f t="shared" ref="S11:T11" si="1">B11</f>
        <v>5</v>
      </c>
      <c r="T11" s="112">
        <f t="shared" si="1"/>
        <v>7</v>
      </c>
      <c r="U11" s="100"/>
      <c r="V11" s="112">
        <f t="shared" ref="V11:W11" si="2">E11</f>
        <v>7</v>
      </c>
      <c r="W11" s="112">
        <f t="shared" si="2"/>
        <v>5</v>
      </c>
      <c r="X11" s="100"/>
      <c r="Y11" s="100"/>
      <c r="Z11" s="100"/>
      <c r="AA11" s="100"/>
      <c r="AB11" s="109"/>
      <c r="AC11" s="109"/>
      <c r="AD11" s="109"/>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c r="BD11" s="100"/>
      <c r="BE11" s="100"/>
      <c r="BF11" s="100"/>
      <c r="BG11" s="100"/>
      <c r="BH11" s="100"/>
      <c r="BI11" s="100"/>
      <c r="BJ11" s="100"/>
      <c r="BK11" s="100"/>
      <c r="BL11" s="100"/>
      <c r="BM11" s="100"/>
      <c r="BN11" s="100"/>
      <c r="BO11" s="100"/>
      <c r="BP11" s="100"/>
      <c r="BQ11" s="100"/>
      <c r="BR11" s="100"/>
      <c r="BS11" s="100"/>
      <c r="BT11" s="100"/>
      <c r="BU11" s="100"/>
      <c r="BV11" s="100"/>
      <c r="BW11" s="100"/>
      <c r="BX11" s="100"/>
      <c r="BY11" s="100"/>
      <c r="BZ11" s="100"/>
      <c r="CA11" s="100"/>
      <c r="CB11" s="100"/>
      <c r="CC11" s="100"/>
      <c r="CD11" s="100"/>
      <c r="CE11" s="100"/>
      <c r="CF11" s="100"/>
      <c r="CG11" s="100"/>
      <c r="CH11" s="100"/>
      <c r="CI11" s="100"/>
      <c r="CJ11" s="100"/>
      <c r="CK11" s="100"/>
      <c r="CL11" s="100"/>
      <c r="CM11" s="100"/>
      <c r="CN11" s="100"/>
      <c r="CO11" s="100"/>
      <c r="CP11" s="100"/>
      <c r="CQ11" s="100"/>
      <c r="CR11" s="100"/>
      <c r="CS11" s="100"/>
      <c r="CT11" s="100"/>
      <c r="CU11" s="100"/>
      <c r="CV11" s="100"/>
      <c r="CW11" s="100"/>
      <c r="CX11" s="100"/>
      <c r="CY11" s="100"/>
      <c r="CZ11" s="100"/>
      <c r="DA11" s="100"/>
      <c r="DB11" s="100"/>
      <c r="DC11" s="100"/>
      <c r="DD11" s="100"/>
      <c r="DE11" s="100"/>
      <c r="DF11" s="100"/>
      <c r="DG11" s="100"/>
      <c r="DH11" s="100"/>
      <c r="DI11" s="100"/>
      <c r="DJ11" s="100"/>
      <c r="DK11" s="100"/>
      <c r="DL11" s="100"/>
      <c r="DM11" s="100"/>
      <c r="DN11" s="100"/>
    </row>
    <row r="12">
      <c r="A12" s="96" t="str">
        <f>S28&amp;" P"</f>
        <v>Big Sky Snow Geese P</v>
      </c>
      <c r="B12" s="97" t="str">
        <f>if(Q1,AC23,S6)</f>
        <v>Dylan Cease</v>
      </c>
      <c r="C12" s="98"/>
      <c r="D12" s="98"/>
      <c r="E12" s="98"/>
      <c r="F12" s="98"/>
      <c r="G12" s="113" t="s">
        <v>11</v>
      </c>
      <c r="H12" s="114" t="str">
        <f t="array" ref="H12">index(PitcherCalcs!E:E,match(B12,PitcherCalcs!B:B,0))</f>
        <v>R</v>
      </c>
      <c r="I12" s="115" t="s">
        <v>81</v>
      </c>
      <c r="J12" s="116" t="b">
        <v>0</v>
      </c>
      <c r="R12" s="96" t="str">
        <f>B28&amp;" P"</f>
        <v>West Virginia Black Bears P</v>
      </c>
      <c r="S12" s="97" t="str">
        <f>if(Q1,AC11,S3)</f>
        <v>Yoshinobu Yamamoto</v>
      </c>
      <c r="T12" s="98"/>
      <c r="U12" s="98"/>
      <c r="V12" s="98"/>
      <c r="W12" s="98"/>
      <c r="X12" s="113" t="s">
        <v>11</v>
      </c>
      <c r="Y12" s="114" t="str">
        <f t="array" ref="Y12">index(PitcherCalcs!E:E,match(S12,PitcherCalcs!B:B,0))</f>
        <v>R</v>
      </c>
      <c r="Z12" s="115" t="s">
        <v>81</v>
      </c>
      <c r="AA12" s="116" t="b">
        <v>0</v>
      </c>
      <c r="AB12" s="109"/>
      <c r="AC12" s="109"/>
      <c r="AD12" s="109"/>
      <c r="AE12" s="100"/>
      <c r="AF12" s="100"/>
      <c r="AG12" s="100"/>
      <c r="AH12" s="32" t="str">
        <f>IFERROR(__xludf.DUMMYFUNCTION("QUERY(PitcherCalcs!B1:DC523,""select B, E, G, H, M, N, S, T, Y, Z, AE, AF, AK, AL, AQ, AR, AW, AX, BE, BF, BK, BL, BQ, BR, BW, CD, CE, CF, CH, CI, CJ, CK, CO, CP, CN where B = '"" &amp; S12 &amp; ""'"")"),"Name")</f>
        <v>Name</v>
      </c>
      <c r="AI12" s="32" t="str">
        <f>IFERROR(__xludf.DUMMYFUNCTION("""COMPUTED_VALUE"""),"hand")</f>
        <v>hand</v>
      </c>
      <c r="AJ12" s="32" t="str">
        <f>IFERROR(__xludf.DUMMYFUNCTION("""COMPUTED_VALUE"""),"SO vlhp")</f>
        <v>SO vlhp</v>
      </c>
      <c r="AK12" s="32" t="str">
        <f>IFERROR(__xludf.DUMMYFUNCTION("""COMPUTED_VALUE"""),"SO v rhp")</f>
        <v>SO v rhp</v>
      </c>
      <c r="AL12" s="32" t="str">
        <f>IFERROR(__xludf.DUMMYFUNCTION("""COMPUTED_VALUE"""),"BB vlhp")</f>
        <v>BB vlhp</v>
      </c>
      <c r="AM12" s="32" t="str">
        <f>IFERROR(__xludf.DUMMYFUNCTION("""COMPUTED_VALUE"""),"BB v rhp")</f>
        <v>BB v rhp</v>
      </c>
      <c r="AN12" s="32" t="str">
        <f>IFERROR(__xludf.DUMMYFUNCTION("""COMPUTED_VALUE"""),"HIT v lhp")</f>
        <v>HIT v lhp</v>
      </c>
      <c r="AO12" s="32" t="str">
        <f>IFERROR(__xludf.DUMMYFUNCTION("""COMPUTED_VALUE"""),"HIT v rhp")</f>
        <v>HIT v rhp</v>
      </c>
      <c r="AP12" s="32" t="str">
        <f>IFERROR(__xludf.DUMMYFUNCTION("""COMPUTED_VALUE"""),"OB v lhp")</f>
        <v>OB v lhp</v>
      </c>
      <c r="AQ12" s="32" t="str">
        <f>IFERROR(__xludf.DUMMYFUNCTION("""COMPUTED_VALUE"""),"OB v rhp")</f>
        <v>OB v rhp</v>
      </c>
      <c r="AR12" s="32" t="str">
        <f>IFERROR(__xludf.DUMMYFUNCTION("""COMPUTED_VALUE"""),"TB v lhp")</f>
        <v>TB v lhp</v>
      </c>
      <c r="AS12" s="32" t="str">
        <f>IFERROR(__xludf.DUMMYFUNCTION("""COMPUTED_VALUE"""),"TB v rhp")</f>
        <v>TB v rhp</v>
      </c>
      <c r="AT12" s="32" t="str">
        <f>IFERROR(__xludf.DUMMYFUNCTION("""COMPUTED_VALUE"""),"123B v lhp")</f>
        <v>123B v lhp</v>
      </c>
      <c r="AU12" s="32" t="str">
        <f>IFERROR(__xludf.DUMMYFUNCTION("""COMPUTED_VALUE"""),"123b v rhp")</f>
        <v>123b v rhp</v>
      </c>
      <c r="AV12" s="32" t="str">
        <f>IFERROR(__xludf.DUMMYFUNCTION("""COMPUTED_VALUE"""),"123TB v l")</f>
        <v>123TB v l</v>
      </c>
      <c r="AW12" s="32" t="str">
        <f>IFERROR(__xludf.DUMMYFUNCTION("""COMPUTED_VALUE"""),"123TB v rhp")</f>
        <v>123TB v rhp</v>
      </c>
      <c r="AX12" s="32" t="str">
        <f>IFERROR(__xludf.DUMMYFUNCTION("""COMPUTED_VALUE"""),"HR v lhp")</f>
        <v>HR v lhp</v>
      </c>
      <c r="AY12" s="32" t="str">
        <f>IFERROR(__xludf.DUMMYFUNCTION("""COMPUTED_VALUE"""),"HR v rhp")</f>
        <v>HR v rhp</v>
      </c>
      <c r="AZ12" s="32" t="str">
        <f>IFERROR(__xludf.DUMMYFUNCTION("""COMPUTED_VALUE"""),"BPHR vL")</f>
        <v>BPHR vL</v>
      </c>
      <c r="BA12" s="32" t="str">
        <f>IFERROR(__xludf.DUMMYFUNCTION("""COMPUTED_VALUE"""),"BPHR vR")</f>
        <v>BPHR vR</v>
      </c>
      <c r="BB12" s="32" t="str">
        <f>IFERROR(__xludf.DUMMYFUNCTION("""COMPUTED_VALUE"""),"BP1B v lhp")</f>
        <v>BP1B v lhp</v>
      </c>
      <c r="BC12" s="32" t="str">
        <f>IFERROR(__xludf.DUMMYFUNCTION("""COMPUTED_VALUE"""),"BP1b v rhp")</f>
        <v>BP1b v rhp</v>
      </c>
      <c r="BD12" s="32" t="str">
        <f>IFERROR(__xludf.DUMMYFUNCTION("""COMPUTED_VALUE"""),"DP vlhp")</f>
        <v>DP vlhp</v>
      </c>
      <c r="BE12" s="32" t="str">
        <f>IFERROR(__xludf.DUMMYFUNCTION("""COMPUTED_VALUE"""),"DP v rhp")</f>
        <v>DP v rhp</v>
      </c>
      <c r="BF12" s="32" t="str">
        <f>IFERROR(__xludf.DUMMYFUNCTION("""COMPUTED_VALUE"""),"HO")</f>
        <v>HO</v>
      </c>
      <c r="BG12" s="32" t="str">
        <f>IFERROR(__xludf.DUMMYFUNCTION("""COMPUTED_VALUE"""),"SP")</f>
        <v>SP</v>
      </c>
      <c r="BH12" s="32" t="str">
        <f>IFERROR(__xludf.DUMMYFUNCTION("""COMPUTED_VALUE"""),"RP")</f>
        <v>RP</v>
      </c>
      <c r="BI12" s="32" t="str">
        <f>IFERROR(__xludf.DUMMYFUNCTION("""COMPUTED_VALUE"""),"CP")</f>
        <v>CP</v>
      </c>
      <c r="BJ12" s="32" t="str">
        <f>IFERROR(__xludf.DUMMYFUNCTION("""COMPUTED_VALUE"""),"Range")</f>
        <v>Range</v>
      </c>
      <c r="BK12" s="32" t="str">
        <f>IFERROR(__xludf.DUMMYFUNCTION("""COMPUTED_VALUE"""),"Error")</f>
        <v>Error</v>
      </c>
      <c r="BL12" s="32" t="str">
        <f>IFERROR(__xludf.DUMMYFUNCTION("""COMPUTED_VALUE"""),"BK")</f>
        <v>BK</v>
      </c>
      <c r="BM12" s="32" t="str">
        <f>IFERROR(__xludf.DUMMYFUNCTION("""COMPUTED_VALUE"""),"WP")</f>
        <v>WP</v>
      </c>
      <c r="BN12" s="32" t="str">
        <f>IFERROR(__xludf.DUMMYFUNCTION("""COMPUTED_VALUE"""),"Bunt")</f>
        <v>Bunt</v>
      </c>
      <c r="BO12" s="32" t="str">
        <f>IFERROR(__xludf.DUMMYFUNCTION("""COMPUTED_VALUE"""),"Injury")</f>
        <v>Injury</v>
      </c>
      <c r="BP12" s="100" t="str">
        <f>IFERROR(__xludf.DUMMYFUNCTION("""COMPUTED_VALUE"""),"SPD")</f>
        <v>SPD</v>
      </c>
      <c r="BQ12" s="100"/>
      <c r="BR12" s="100"/>
      <c r="BS12" s="100"/>
      <c r="BT12" s="100"/>
      <c r="BU12" s="100"/>
      <c r="BV12" s="100"/>
      <c r="BW12" s="100"/>
      <c r="BX12" s="100"/>
      <c r="BY12" s="100"/>
      <c r="BZ12" s="100"/>
      <c r="CA12" s="100"/>
      <c r="CB12" s="100"/>
      <c r="CC12" s="100"/>
      <c r="CD12" s="100"/>
      <c r="CE12" s="100"/>
      <c r="CF12" s="100"/>
      <c r="CG12" s="100"/>
      <c r="CH12" s="100"/>
      <c r="CI12" s="100"/>
      <c r="CJ12" s="100"/>
      <c r="CK12" s="100"/>
      <c r="CL12" s="100"/>
      <c r="CM12" s="100"/>
      <c r="CN12" s="100"/>
      <c r="CO12" s="100"/>
      <c r="CP12" s="100"/>
      <c r="CQ12" s="100"/>
      <c r="CR12" s="100"/>
      <c r="CS12" s="100"/>
      <c r="CT12" s="100"/>
      <c r="CU12" s="100"/>
      <c r="CV12" s="100"/>
      <c r="CW12" s="100"/>
      <c r="CX12" s="100"/>
      <c r="CY12" s="100"/>
      <c r="CZ12" s="100"/>
      <c r="DA12" s="100"/>
      <c r="DB12" s="100"/>
      <c r="DC12" s="100"/>
      <c r="DD12" s="100"/>
      <c r="DE12" s="100"/>
      <c r="DF12" s="100"/>
      <c r="DG12" s="100"/>
      <c r="DH12" s="100"/>
      <c r="DI12" s="100"/>
      <c r="DJ12" s="100"/>
      <c r="DK12" s="100"/>
      <c r="DL12" s="100"/>
      <c r="DM12" s="100"/>
      <c r="DN12" s="100"/>
    </row>
    <row r="13">
      <c r="A13" s="100" t="str">
        <f t="array" ref="A13">iferror(image(index(Imports!D:D,match(B12,Imports!B:B,0))),image("https://sombaseball.ddns.net/static/images/sba-logo.png"))</f>
        <v/>
      </c>
      <c r="R13" s="100" t="str">
        <f t="array" ref="R13">iferror(image(index(Imports!D:D,match(S12,Imports!B:B,0))),image("https://sombaseball.ddns.net/static/images/sba-logo.png"))</f>
        <v/>
      </c>
      <c r="AB13" s="109"/>
      <c r="AC13" s="109"/>
      <c r="AD13" s="109"/>
      <c r="AE13" s="100"/>
      <c r="AF13" s="100"/>
      <c r="AG13" s="100"/>
      <c r="AH13" s="32" t="str">
        <f>IFERROR(__xludf.DUMMYFUNCTION("""COMPUTED_VALUE"""),"Yoshinobu Yamamoto")</f>
        <v>Yoshinobu Yamamoto</v>
      </c>
      <c r="AI13" s="32" t="str">
        <f>IFERROR(__xludf.DUMMYFUNCTION("""COMPUTED_VALUE"""),"R")</f>
        <v>R</v>
      </c>
      <c r="AJ13" s="32">
        <f>IFERROR(__xludf.DUMMYFUNCTION("""COMPUTED_VALUE"""),37.0)</f>
        <v>37</v>
      </c>
      <c r="AK13" s="32">
        <f>IFERROR(__xludf.DUMMYFUNCTION("""COMPUTED_VALUE"""),37.0)</f>
        <v>37</v>
      </c>
      <c r="AL13" s="32">
        <f>IFERROR(__xludf.DUMMYFUNCTION("""COMPUTED_VALUE"""),8.0)</f>
        <v>8</v>
      </c>
      <c r="AM13" s="32">
        <f>IFERROR(__xludf.DUMMYFUNCTION("""COMPUTED_VALUE"""),1.0)</f>
        <v>1</v>
      </c>
      <c r="AN13" s="32">
        <f>IFERROR(__xludf.DUMMYFUNCTION("""COMPUTED_VALUE"""),7.0)</f>
        <v>7</v>
      </c>
      <c r="AO13" s="32">
        <f>IFERROR(__xludf.DUMMYFUNCTION("""COMPUTED_VALUE"""),22.3)</f>
        <v>22.3</v>
      </c>
      <c r="AP13" s="32">
        <f>IFERROR(__xludf.DUMMYFUNCTION("""COMPUTED_VALUE"""),15.1)</f>
        <v>15.1</v>
      </c>
      <c r="AQ13" s="32">
        <f>IFERROR(__xludf.DUMMYFUNCTION("""COMPUTED_VALUE"""),23.3)</f>
        <v>23.3</v>
      </c>
      <c r="AR13" s="32">
        <f>IFERROR(__xludf.DUMMYFUNCTION("""COMPUTED_VALUE"""),8.5)</f>
        <v>8.5</v>
      </c>
      <c r="AS13" s="32">
        <f>IFERROR(__xludf.DUMMYFUNCTION("""COMPUTED_VALUE"""),43.6)</f>
        <v>43.6</v>
      </c>
      <c r="AT13" s="32">
        <f>IFERROR(__xludf.DUMMYFUNCTION("""COMPUTED_VALUE"""),7.0)</f>
        <v>7</v>
      </c>
      <c r="AU13" s="32">
        <f>IFERROR(__xludf.DUMMYFUNCTION("""COMPUTED_VALUE"""),20.900000000000002)</f>
        <v>20.9</v>
      </c>
      <c r="AV13" s="32">
        <f>IFERROR(__xludf.DUMMYFUNCTION("""COMPUTED_VALUE"""),8.5)</f>
        <v>8.5</v>
      </c>
      <c r="AW13" s="32">
        <f>IFERROR(__xludf.DUMMYFUNCTION("""COMPUTED_VALUE"""),38.0)</f>
        <v>38</v>
      </c>
      <c r="AX13" s="32">
        <f>IFERROR(__xludf.DUMMYFUNCTION("""COMPUTED_VALUE"""),0.0)</f>
        <v>0</v>
      </c>
      <c r="AY13" s="32">
        <f>IFERROR(__xludf.DUMMYFUNCTION("""COMPUTED_VALUE"""),1.4)</f>
        <v>1.4</v>
      </c>
      <c r="AZ13" s="32">
        <f>IFERROR(__xludf.DUMMYFUNCTION("""COMPUTED_VALUE"""),0.0)</f>
        <v>0</v>
      </c>
      <c r="BA13" s="32">
        <f>IFERROR(__xludf.DUMMYFUNCTION("""COMPUTED_VALUE"""),2.0)</f>
        <v>2</v>
      </c>
      <c r="BB13" s="32">
        <f>IFERROR(__xludf.DUMMYFUNCTION("""COMPUTED_VALUE"""),5.0)</f>
        <v>5</v>
      </c>
      <c r="BC13" s="32">
        <f>IFERROR(__xludf.DUMMYFUNCTION("""COMPUTED_VALUE"""),5.0)</f>
        <v>5</v>
      </c>
      <c r="BD13" s="32">
        <f>IFERROR(__xludf.DUMMYFUNCTION("""COMPUTED_VALUE"""),8.0)</f>
        <v>8</v>
      </c>
      <c r="BE13" s="32">
        <f>IFERROR(__xludf.DUMMYFUNCTION("""COMPUTED_VALUE"""),7.0)</f>
        <v>7</v>
      </c>
      <c r="BF13" s="32">
        <f>IFERROR(__xludf.DUMMYFUNCTION("""COMPUTED_VALUE"""),-1.0)</f>
        <v>-1</v>
      </c>
      <c r="BG13" s="32">
        <f>IFERROR(__xludf.DUMMYFUNCTION("""COMPUTED_VALUE"""),5.0)</f>
        <v>5</v>
      </c>
      <c r="BH13" s="32"/>
      <c r="BI13" s="32"/>
      <c r="BJ13" s="32">
        <f>IFERROR(__xludf.DUMMYFUNCTION("""COMPUTED_VALUE"""),2.0)</f>
        <v>2</v>
      </c>
      <c r="BK13" s="32">
        <f>IFERROR(__xludf.DUMMYFUNCTION("""COMPUTED_VALUE"""),0.0)</f>
        <v>0</v>
      </c>
      <c r="BL13" s="32">
        <f>IFERROR(__xludf.DUMMYFUNCTION("""COMPUTED_VALUE"""),0.0)</f>
        <v>0</v>
      </c>
      <c r="BM13" s="32">
        <f>IFERROR(__xludf.DUMMYFUNCTION("""COMPUTED_VALUE"""),4.0)</f>
        <v>4</v>
      </c>
      <c r="BN13" s="32" t="str">
        <f>IFERROR(__xludf.DUMMYFUNCTION("""COMPUTED_VALUE"""),"C")</f>
        <v>C</v>
      </c>
      <c r="BO13" s="32" t="str">
        <f>IFERROR(__xludf.DUMMYFUNCTION("""COMPUTED_VALUE"""),"3p50")</f>
        <v>3p50</v>
      </c>
      <c r="BP13" s="100">
        <f>IFERROR(__xludf.DUMMYFUNCTION("""COMPUTED_VALUE"""),10.0)</f>
        <v>10</v>
      </c>
      <c r="BQ13" s="100"/>
      <c r="BR13" s="100"/>
      <c r="BS13" s="100"/>
      <c r="BT13" s="100"/>
      <c r="BU13" s="100"/>
      <c r="BV13" s="100"/>
      <c r="BW13" s="100"/>
      <c r="BX13" s="100"/>
      <c r="BY13" s="100"/>
      <c r="BZ13" s="100"/>
      <c r="CA13" s="100"/>
      <c r="CB13" s="100"/>
      <c r="CC13" s="100"/>
      <c r="CD13" s="100"/>
      <c r="CE13" s="100"/>
      <c r="CF13" s="100"/>
      <c r="CG13" s="100"/>
      <c r="CH13" s="100"/>
      <c r="CI13" s="100"/>
      <c r="CJ13" s="100"/>
      <c r="CK13" s="100"/>
      <c r="CL13" s="100"/>
      <c r="CM13" s="100"/>
      <c r="CN13" s="100"/>
      <c r="CO13" s="100"/>
      <c r="CP13" s="100"/>
      <c r="CQ13" s="100"/>
      <c r="CR13" s="100"/>
      <c r="CS13" s="100"/>
      <c r="CT13" s="100"/>
      <c r="CU13" s="100"/>
      <c r="CV13" s="100"/>
      <c r="CW13" s="100"/>
      <c r="CX13" s="100"/>
      <c r="CY13" s="100"/>
      <c r="CZ13" s="100"/>
      <c r="DA13" s="100"/>
      <c r="DB13" s="100"/>
      <c r="DC13" s="100"/>
      <c r="DD13" s="100"/>
      <c r="DE13" s="100"/>
      <c r="DF13" s="100"/>
      <c r="DG13" s="100"/>
      <c r="DH13" s="100"/>
      <c r="DI13" s="100"/>
      <c r="DJ13" s="100"/>
      <c r="DK13" s="100"/>
      <c r="DL13" s="100"/>
      <c r="DM13" s="100"/>
      <c r="DN13" s="100"/>
    </row>
    <row r="14">
      <c r="AB14" s="109"/>
      <c r="AC14" s="109"/>
      <c r="AD14" s="109"/>
      <c r="AE14" s="100"/>
      <c r="AF14" s="100"/>
      <c r="AG14" s="100"/>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100"/>
      <c r="BQ14" s="100"/>
      <c r="BR14" s="100"/>
      <c r="BS14" s="100"/>
      <c r="BT14" s="100"/>
      <c r="BU14" s="100"/>
      <c r="BV14" s="100"/>
      <c r="BW14" s="100"/>
      <c r="BX14" s="100"/>
      <c r="BY14" s="100"/>
      <c r="BZ14" s="100"/>
      <c r="CA14" s="100"/>
      <c r="CB14" s="100"/>
      <c r="CC14" s="100"/>
      <c r="CD14" s="100"/>
      <c r="CE14" s="100"/>
      <c r="CF14" s="100"/>
      <c r="CG14" s="100"/>
      <c r="CH14" s="100"/>
      <c r="CI14" s="100"/>
      <c r="CJ14" s="100"/>
      <c r="CK14" s="100"/>
      <c r="CL14" s="100"/>
      <c r="CM14" s="100"/>
      <c r="CN14" s="100"/>
      <c r="CO14" s="100"/>
      <c r="CP14" s="100"/>
      <c r="CQ14" s="100"/>
      <c r="CR14" s="100"/>
      <c r="CS14" s="100"/>
      <c r="CT14" s="100"/>
      <c r="CU14" s="100"/>
      <c r="CV14" s="100"/>
      <c r="CW14" s="100"/>
      <c r="CX14" s="100"/>
      <c r="CY14" s="100"/>
      <c r="CZ14" s="100"/>
      <c r="DA14" s="100"/>
      <c r="DB14" s="100"/>
      <c r="DC14" s="100"/>
      <c r="DD14" s="100"/>
      <c r="DE14" s="100"/>
      <c r="DF14" s="100"/>
      <c r="DG14" s="100"/>
      <c r="DH14" s="100"/>
      <c r="DI14" s="100"/>
      <c r="DJ14" s="100"/>
      <c r="DK14" s="100"/>
      <c r="DL14" s="100"/>
      <c r="DM14" s="100"/>
      <c r="DN14" s="100"/>
    </row>
    <row r="15">
      <c r="AB15" s="109"/>
      <c r="AC15" s="109"/>
      <c r="AD15" s="109"/>
      <c r="AE15" s="100"/>
      <c r="AF15" s="100"/>
      <c r="AG15" s="100"/>
      <c r="AH15" s="32" t="str">
        <f>IFERROR(__xludf.DUMMYFUNCTION("QUERY(PitcherCalcs!B1:DC523,""select B, E, G, H, M, N, S, T, Y, Z, AE, AF, AK, AL, AQ, AR, AW, AX, BE, BF, BK, BL, BQ, BR, BW, CD, CE, CF, CH, CI, CJ, CK, CO, CP, CN where B = '"" &amp; B12 &amp; ""'"")"),"Name")</f>
        <v>Name</v>
      </c>
      <c r="AI15" s="32" t="str">
        <f>IFERROR(__xludf.DUMMYFUNCTION("""COMPUTED_VALUE"""),"hand")</f>
        <v>hand</v>
      </c>
      <c r="AJ15" s="32" t="str">
        <f>IFERROR(__xludf.DUMMYFUNCTION("""COMPUTED_VALUE"""),"SO vlhp")</f>
        <v>SO vlhp</v>
      </c>
      <c r="AK15" s="32" t="str">
        <f>IFERROR(__xludf.DUMMYFUNCTION("""COMPUTED_VALUE"""),"SO v rhp")</f>
        <v>SO v rhp</v>
      </c>
      <c r="AL15" s="32" t="str">
        <f>IFERROR(__xludf.DUMMYFUNCTION("""COMPUTED_VALUE"""),"BB vlhp")</f>
        <v>BB vlhp</v>
      </c>
      <c r="AM15" s="32" t="str">
        <f>IFERROR(__xludf.DUMMYFUNCTION("""COMPUTED_VALUE"""),"BB v rhp")</f>
        <v>BB v rhp</v>
      </c>
      <c r="AN15" s="32" t="str">
        <f>IFERROR(__xludf.DUMMYFUNCTION("""COMPUTED_VALUE"""),"HIT v lhp")</f>
        <v>HIT v lhp</v>
      </c>
      <c r="AO15" s="32" t="str">
        <f>IFERROR(__xludf.DUMMYFUNCTION("""COMPUTED_VALUE"""),"HIT v rhp")</f>
        <v>HIT v rhp</v>
      </c>
      <c r="AP15" s="32" t="str">
        <f>IFERROR(__xludf.DUMMYFUNCTION("""COMPUTED_VALUE"""),"OB v lhp")</f>
        <v>OB v lhp</v>
      </c>
      <c r="AQ15" s="32" t="str">
        <f>IFERROR(__xludf.DUMMYFUNCTION("""COMPUTED_VALUE"""),"OB v rhp")</f>
        <v>OB v rhp</v>
      </c>
      <c r="AR15" s="32" t="str">
        <f>IFERROR(__xludf.DUMMYFUNCTION("""COMPUTED_VALUE"""),"TB v lhp")</f>
        <v>TB v lhp</v>
      </c>
      <c r="AS15" s="32" t="str">
        <f>IFERROR(__xludf.DUMMYFUNCTION("""COMPUTED_VALUE"""),"TB v rhp")</f>
        <v>TB v rhp</v>
      </c>
      <c r="AT15" s="32" t="str">
        <f>IFERROR(__xludf.DUMMYFUNCTION("""COMPUTED_VALUE"""),"123B v lhp")</f>
        <v>123B v lhp</v>
      </c>
      <c r="AU15" s="32" t="str">
        <f>IFERROR(__xludf.DUMMYFUNCTION("""COMPUTED_VALUE"""),"123b v rhp")</f>
        <v>123b v rhp</v>
      </c>
      <c r="AV15" s="32" t="str">
        <f>IFERROR(__xludf.DUMMYFUNCTION("""COMPUTED_VALUE"""),"123TB v l")</f>
        <v>123TB v l</v>
      </c>
      <c r="AW15" s="32" t="str">
        <f>IFERROR(__xludf.DUMMYFUNCTION("""COMPUTED_VALUE"""),"123TB v rhp")</f>
        <v>123TB v rhp</v>
      </c>
      <c r="AX15" s="32" t="str">
        <f>IFERROR(__xludf.DUMMYFUNCTION("""COMPUTED_VALUE"""),"HR v lhp")</f>
        <v>HR v lhp</v>
      </c>
      <c r="AY15" s="32" t="str">
        <f>IFERROR(__xludf.DUMMYFUNCTION("""COMPUTED_VALUE"""),"HR v rhp")</f>
        <v>HR v rhp</v>
      </c>
      <c r="AZ15" s="32" t="str">
        <f>IFERROR(__xludf.DUMMYFUNCTION("""COMPUTED_VALUE"""),"BPHR vL")</f>
        <v>BPHR vL</v>
      </c>
      <c r="BA15" s="32" t="str">
        <f>IFERROR(__xludf.DUMMYFUNCTION("""COMPUTED_VALUE"""),"BPHR vR")</f>
        <v>BPHR vR</v>
      </c>
      <c r="BB15" s="32" t="str">
        <f>IFERROR(__xludf.DUMMYFUNCTION("""COMPUTED_VALUE"""),"BP1B v lhp")</f>
        <v>BP1B v lhp</v>
      </c>
      <c r="BC15" s="32" t="str">
        <f>IFERROR(__xludf.DUMMYFUNCTION("""COMPUTED_VALUE"""),"BP1b v rhp")</f>
        <v>BP1b v rhp</v>
      </c>
      <c r="BD15" s="32" t="str">
        <f>IFERROR(__xludf.DUMMYFUNCTION("""COMPUTED_VALUE"""),"DP vlhp")</f>
        <v>DP vlhp</v>
      </c>
      <c r="BE15" s="32" t="str">
        <f>IFERROR(__xludf.DUMMYFUNCTION("""COMPUTED_VALUE"""),"DP v rhp")</f>
        <v>DP v rhp</v>
      </c>
      <c r="BF15" s="32" t="str">
        <f>IFERROR(__xludf.DUMMYFUNCTION("""COMPUTED_VALUE"""),"HO")</f>
        <v>HO</v>
      </c>
      <c r="BG15" s="32" t="str">
        <f>IFERROR(__xludf.DUMMYFUNCTION("""COMPUTED_VALUE"""),"SP")</f>
        <v>SP</v>
      </c>
      <c r="BH15" s="32" t="str">
        <f>IFERROR(__xludf.DUMMYFUNCTION("""COMPUTED_VALUE"""),"RP")</f>
        <v>RP</v>
      </c>
      <c r="BI15" s="32" t="str">
        <f>IFERROR(__xludf.DUMMYFUNCTION("""COMPUTED_VALUE"""),"CP")</f>
        <v>CP</v>
      </c>
      <c r="BJ15" s="32" t="str">
        <f>IFERROR(__xludf.DUMMYFUNCTION("""COMPUTED_VALUE"""),"Range")</f>
        <v>Range</v>
      </c>
      <c r="BK15" s="32" t="str">
        <f>IFERROR(__xludf.DUMMYFUNCTION("""COMPUTED_VALUE"""),"Error")</f>
        <v>Error</v>
      </c>
      <c r="BL15" s="32" t="str">
        <f>IFERROR(__xludf.DUMMYFUNCTION("""COMPUTED_VALUE"""),"BK")</f>
        <v>BK</v>
      </c>
      <c r="BM15" s="32" t="str">
        <f>IFERROR(__xludf.DUMMYFUNCTION("""COMPUTED_VALUE"""),"WP")</f>
        <v>WP</v>
      </c>
      <c r="BN15" s="32" t="str">
        <f>IFERROR(__xludf.DUMMYFUNCTION("""COMPUTED_VALUE"""),"Bunt")</f>
        <v>Bunt</v>
      </c>
      <c r="BO15" s="32" t="str">
        <f>IFERROR(__xludf.DUMMYFUNCTION("""COMPUTED_VALUE"""),"Injury")</f>
        <v>Injury</v>
      </c>
      <c r="BP15" s="100" t="str">
        <f>IFERROR(__xludf.DUMMYFUNCTION("""COMPUTED_VALUE"""),"SPD")</f>
        <v>SPD</v>
      </c>
      <c r="BQ15" s="100"/>
      <c r="BR15" s="100"/>
      <c r="BS15" s="100"/>
      <c r="BT15" s="100"/>
      <c r="BU15" s="100"/>
      <c r="BV15" s="100"/>
      <c r="BW15" s="100"/>
      <c r="BX15" s="100"/>
      <c r="BY15" s="100"/>
      <c r="BZ15" s="100"/>
      <c r="CA15" s="100"/>
      <c r="CB15" s="100"/>
      <c r="CC15" s="100"/>
      <c r="CD15" s="100"/>
      <c r="CE15" s="100"/>
      <c r="CF15" s="100"/>
      <c r="CG15" s="100"/>
      <c r="CH15" s="100"/>
      <c r="CI15" s="100"/>
      <c r="CJ15" s="100"/>
      <c r="CK15" s="100"/>
      <c r="CL15" s="100"/>
      <c r="CM15" s="100"/>
      <c r="CN15" s="100"/>
      <c r="CO15" s="100"/>
      <c r="CP15" s="100"/>
      <c r="CQ15" s="100"/>
      <c r="CR15" s="100"/>
      <c r="CS15" s="100"/>
      <c r="CT15" s="100"/>
      <c r="CU15" s="100"/>
      <c r="CV15" s="100"/>
      <c r="CW15" s="100"/>
      <c r="CX15" s="100"/>
      <c r="CY15" s="100"/>
      <c r="CZ15" s="100"/>
      <c r="DA15" s="100"/>
      <c r="DB15" s="100"/>
      <c r="DC15" s="100"/>
      <c r="DD15" s="100"/>
      <c r="DE15" s="100"/>
      <c r="DF15" s="100"/>
      <c r="DG15" s="100"/>
      <c r="DH15" s="100"/>
      <c r="DI15" s="100"/>
      <c r="DJ15" s="100"/>
      <c r="DK15" s="100"/>
      <c r="DL15" s="100"/>
      <c r="DM15" s="100"/>
      <c r="DN15" s="100"/>
    </row>
    <row r="16">
      <c r="AB16" s="109"/>
      <c r="AC16" s="109"/>
      <c r="AD16" s="109"/>
      <c r="AE16" s="100"/>
      <c r="AF16" s="100"/>
      <c r="AG16" s="100"/>
      <c r="AH16" s="32" t="str">
        <f>IFERROR(__xludf.DUMMYFUNCTION("""COMPUTED_VALUE"""),"Dylan Cease")</f>
        <v>Dylan Cease</v>
      </c>
      <c r="AI16" s="32" t="str">
        <f>IFERROR(__xludf.DUMMYFUNCTION("""COMPUTED_VALUE"""),"R")</f>
        <v>R</v>
      </c>
      <c r="AJ16" s="32">
        <f>IFERROR(__xludf.DUMMYFUNCTION("""COMPUTED_VALUE"""),32.0)</f>
        <v>32</v>
      </c>
      <c r="AK16" s="32">
        <f>IFERROR(__xludf.DUMMYFUNCTION("""COMPUTED_VALUE"""),46.0)</f>
        <v>46</v>
      </c>
      <c r="AL16" s="32">
        <f>IFERROR(__xludf.DUMMYFUNCTION("""COMPUTED_VALUE"""),9.0)</f>
        <v>9</v>
      </c>
      <c r="AM16" s="32">
        <f>IFERROR(__xludf.DUMMYFUNCTION("""COMPUTED_VALUE"""),10.0)</f>
        <v>10</v>
      </c>
      <c r="AN16" s="32">
        <f>IFERROR(__xludf.DUMMYFUNCTION("""COMPUTED_VALUE"""),10.4)</f>
        <v>10.4</v>
      </c>
      <c r="AO16" s="32">
        <f>IFERROR(__xludf.DUMMYFUNCTION("""COMPUTED_VALUE"""),7.0)</f>
        <v>7</v>
      </c>
      <c r="AP16" s="32">
        <f>IFERROR(__xludf.DUMMYFUNCTION("""COMPUTED_VALUE"""),19.5)</f>
        <v>19.5</v>
      </c>
      <c r="AQ16" s="32">
        <f>IFERROR(__xludf.DUMMYFUNCTION("""COMPUTED_VALUE"""),17.0)</f>
        <v>17</v>
      </c>
      <c r="AR16" s="32">
        <f>IFERROR(__xludf.DUMMYFUNCTION("""COMPUTED_VALUE"""),23.0)</f>
        <v>23</v>
      </c>
      <c r="AS16" s="32">
        <f>IFERROR(__xludf.DUMMYFUNCTION("""COMPUTED_VALUE"""),13.1)</f>
        <v>13.1</v>
      </c>
      <c r="AT16" s="32">
        <f>IFERROR(__xludf.DUMMYFUNCTION("""COMPUTED_VALUE"""),8.6)</f>
        <v>8.6</v>
      </c>
      <c r="AU16" s="32">
        <f>IFERROR(__xludf.DUMMYFUNCTION("""COMPUTED_VALUE"""),6.2)</f>
        <v>6.2</v>
      </c>
      <c r="AV16" s="32">
        <f>IFERROR(__xludf.DUMMYFUNCTION("""COMPUTED_VALUE"""),15.8)</f>
        <v>15.8</v>
      </c>
      <c r="AW16" s="32">
        <f>IFERROR(__xludf.DUMMYFUNCTION("""COMPUTED_VALUE"""),9.899999999999999)</f>
        <v>9.9</v>
      </c>
      <c r="AX16" s="32">
        <f>IFERROR(__xludf.DUMMYFUNCTION("""COMPUTED_VALUE"""),1.8)</f>
        <v>1.8</v>
      </c>
      <c r="AY16" s="32">
        <f>IFERROR(__xludf.DUMMYFUNCTION("""COMPUTED_VALUE"""),0.8)</f>
        <v>0.8</v>
      </c>
      <c r="AZ16" s="32">
        <f>IFERROR(__xludf.DUMMYFUNCTION("""COMPUTED_VALUE"""),2.0)</f>
        <v>2</v>
      </c>
      <c r="BA16" s="32">
        <f>IFERROR(__xludf.DUMMYFUNCTION("""COMPUTED_VALUE"""),0.0)</f>
        <v>0</v>
      </c>
      <c r="BB16" s="32">
        <f>IFERROR(__xludf.DUMMYFUNCTION("""COMPUTED_VALUE"""),5.0)</f>
        <v>5</v>
      </c>
      <c r="BC16" s="32">
        <f>IFERROR(__xludf.DUMMYFUNCTION("""COMPUTED_VALUE"""),5.0)</f>
        <v>5</v>
      </c>
      <c r="BD16" s="32">
        <f>IFERROR(__xludf.DUMMYFUNCTION("""COMPUTED_VALUE"""),5.0)</f>
        <v>5</v>
      </c>
      <c r="BE16" s="32">
        <f>IFERROR(__xludf.DUMMYFUNCTION("""COMPUTED_VALUE"""),3.0)</f>
        <v>3</v>
      </c>
      <c r="BF16" s="32">
        <f>IFERROR(__xludf.DUMMYFUNCTION("""COMPUTED_VALUE"""),-3.0)</f>
        <v>-3</v>
      </c>
      <c r="BG16" s="32">
        <f>IFERROR(__xludf.DUMMYFUNCTION("""COMPUTED_VALUE"""),6.0)</f>
        <v>6</v>
      </c>
      <c r="BH16" s="32"/>
      <c r="BI16" s="32"/>
      <c r="BJ16" s="32">
        <f>IFERROR(__xludf.DUMMYFUNCTION("""COMPUTED_VALUE"""),3.0)</f>
        <v>3</v>
      </c>
      <c r="BK16" s="32">
        <f>IFERROR(__xludf.DUMMYFUNCTION("""COMPUTED_VALUE"""),0.0)</f>
        <v>0</v>
      </c>
      <c r="BL16" s="32">
        <f>IFERROR(__xludf.DUMMYFUNCTION("""COMPUTED_VALUE"""),0.0)</f>
        <v>0</v>
      </c>
      <c r="BM16" s="32">
        <f>IFERROR(__xludf.DUMMYFUNCTION("""COMPUTED_VALUE"""),15.0)</f>
        <v>15</v>
      </c>
      <c r="BN16" s="32" t="str">
        <f>IFERROR(__xludf.DUMMYFUNCTION("""COMPUTED_VALUE"""),"C")</f>
        <v>C</v>
      </c>
      <c r="BO16" s="32" t="str">
        <f>IFERROR(__xludf.DUMMYFUNCTION("""COMPUTED_VALUE"""),"0p72")</f>
        <v>0p72</v>
      </c>
      <c r="BP16" s="100">
        <f>IFERROR(__xludf.DUMMYFUNCTION("""COMPUTED_VALUE"""),10.0)</f>
        <v>10</v>
      </c>
      <c r="BQ16" s="100"/>
      <c r="BR16" s="100"/>
      <c r="BS16" s="100"/>
      <c r="BT16" s="100"/>
      <c r="BU16" s="100"/>
      <c r="BV16" s="100"/>
      <c r="BW16" s="100"/>
      <c r="BX16" s="100"/>
      <c r="BY16" s="100"/>
      <c r="BZ16" s="100"/>
      <c r="CA16" s="100"/>
      <c r="CB16" s="100"/>
      <c r="CC16" s="100"/>
      <c r="CD16" s="100"/>
      <c r="CE16" s="100"/>
      <c r="CF16" s="100"/>
      <c r="CG16" s="100"/>
      <c r="CH16" s="100"/>
      <c r="CI16" s="100"/>
      <c r="CJ16" s="100"/>
      <c r="CK16" s="100"/>
      <c r="CL16" s="100"/>
      <c r="CM16" s="100"/>
      <c r="CN16" s="100"/>
      <c r="CO16" s="100"/>
      <c r="CP16" s="100"/>
      <c r="CQ16" s="100"/>
      <c r="CR16" s="100"/>
      <c r="CS16" s="100"/>
      <c r="CT16" s="100"/>
      <c r="CU16" s="100"/>
      <c r="CV16" s="100"/>
      <c r="CW16" s="100"/>
      <c r="CX16" s="100"/>
      <c r="CY16" s="100"/>
      <c r="CZ16" s="100"/>
      <c r="DA16" s="100"/>
      <c r="DB16" s="100"/>
      <c r="DC16" s="100"/>
      <c r="DD16" s="100"/>
      <c r="DE16" s="100"/>
      <c r="DF16" s="100"/>
      <c r="DG16" s="100"/>
      <c r="DH16" s="100"/>
      <c r="DI16" s="100"/>
      <c r="DJ16" s="100"/>
      <c r="DK16" s="100"/>
      <c r="DL16" s="100"/>
      <c r="DM16" s="100"/>
      <c r="DN16" s="100"/>
    </row>
    <row r="17">
      <c r="AB17" s="109"/>
      <c r="AC17" s="109"/>
      <c r="AD17" s="109"/>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c r="BC17" s="100"/>
      <c r="BD17" s="100"/>
      <c r="BE17" s="100"/>
      <c r="BF17" s="100"/>
      <c r="BG17" s="100"/>
      <c r="BH17" s="100"/>
      <c r="BI17" s="100"/>
      <c r="BJ17" s="100"/>
      <c r="BK17" s="100"/>
      <c r="BL17" s="100"/>
      <c r="BM17" s="100"/>
      <c r="BN17" s="100"/>
      <c r="BO17" s="100"/>
      <c r="BP17" s="100"/>
      <c r="BQ17" s="100"/>
      <c r="BR17" s="100"/>
      <c r="BS17" s="100"/>
      <c r="BT17" s="100"/>
      <c r="BU17" s="100"/>
      <c r="BV17" s="100"/>
      <c r="BW17" s="100"/>
      <c r="BX17" s="100"/>
      <c r="BY17" s="100"/>
      <c r="BZ17" s="100"/>
      <c r="CA17" s="100"/>
      <c r="CB17" s="100"/>
      <c r="CC17" s="100"/>
      <c r="CD17" s="100"/>
      <c r="CE17" s="100"/>
      <c r="CF17" s="100"/>
      <c r="CG17" s="100"/>
      <c r="CH17" s="100"/>
      <c r="CI17" s="100"/>
      <c r="CJ17" s="100"/>
      <c r="CK17" s="100"/>
      <c r="CL17" s="100"/>
      <c r="CM17" s="100"/>
      <c r="CN17" s="100"/>
      <c r="CO17" s="100"/>
      <c r="CP17" s="100"/>
      <c r="CQ17" s="100"/>
      <c r="CR17" s="100"/>
      <c r="CS17" s="100"/>
      <c r="CT17" s="100"/>
      <c r="CU17" s="100"/>
      <c r="CV17" s="100"/>
      <c r="CW17" s="100"/>
      <c r="CX17" s="100"/>
      <c r="CY17" s="100"/>
      <c r="CZ17" s="100"/>
      <c r="DA17" s="100"/>
      <c r="DB17" s="100"/>
      <c r="DC17" s="100"/>
      <c r="DD17" s="100"/>
      <c r="DE17" s="100"/>
      <c r="DF17" s="100"/>
      <c r="DG17" s="100"/>
      <c r="DH17" s="100"/>
      <c r="DI17" s="100"/>
      <c r="DJ17" s="100"/>
      <c r="DK17" s="100"/>
      <c r="DL17" s="100"/>
      <c r="DM17" s="100"/>
      <c r="DN17" s="100"/>
    </row>
    <row r="18">
      <c r="AB18" s="109"/>
      <c r="AC18" s="109"/>
      <c r="AD18" s="109"/>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100"/>
      <c r="BG18" s="100"/>
      <c r="BH18" s="100"/>
      <c r="BI18" s="100"/>
      <c r="BJ18" s="100"/>
      <c r="BK18" s="100"/>
      <c r="BL18" s="100"/>
      <c r="BM18" s="100"/>
      <c r="BN18" s="100"/>
      <c r="BO18" s="100"/>
      <c r="BP18" s="100"/>
      <c r="BQ18" s="100"/>
      <c r="BR18" s="100"/>
      <c r="BS18" s="100"/>
      <c r="BT18" s="100"/>
      <c r="BU18" s="100"/>
      <c r="BV18" s="100"/>
      <c r="BW18" s="100"/>
      <c r="BX18" s="100"/>
      <c r="BY18" s="100"/>
      <c r="BZ18" s="100"/>
      <c r="CA18" s="100"/>
      <c r="CB18" s="100"/>
      <c r="CC18" s="100"/>
      <c r="CD18" s="100"/>
      <c r="CE18" s="100"/>
      <c r="CF18" s="100"/>
      <c r="CG18" s="100"/>
      <c r="CH18" s="100"/>
      <c r="CI18" s="100"/>
      <c r="CJ18" s="100"/>
      <c r="CK18" s="100"/>
      <c r="CL18" s="100"/>
      <c r="CM18" s="100"/>
      <c r="CN18" s="100"/>
      <c r="CO18" s="100"/>
      <c r="CP18" s="100"/>
      <c r="CQ18" s="100"/>
      <c r="CR18" s="100"/>
      <c r="CS18" s="100"/>
      <c r="CT18" s="100"/>
      <c r="CU18" s="100"/>
      <c r="CV18" s="100"/>
      <c r="CW18" s="100"/>
      <c r="CX18" s="100"/>
      <c r="CY18" s="100"/>
      <c r="CZ18" s="100"/>
      <c r="DA18" s="100"/>
      <c r="DB18" s="100"/>
      <c r="DC18" s="100"/>
      <c r="DD18" s="100"/>
      <c r="DE18" s="100"/>
      <c r="DF18" s="100"/>
      <c r="DG18" s="100"/>
      <c r="DH18" s="100"/>
      <c r="DI18" s="100"/>
      <c r="DJ18" s="100"/>
      <c r="DK18" s="100"/>
      <c r="DL18" s="100"/>
      <c r="DM18" s="100"/>
      <c r="DN18" s="100"/>
    </row>
    <row r="19">
      <c r="AB19" s="109"/>
      <c r="AC19" s="109"/>
      <c r="AD19" s="109"/>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c r="BC19" s="100"/>
      <c r="BD19" s="100"/>
      <c r="BE19" s="100"/>
      <c r="BF19" s="100"/>
      <c r="BG19" s="100"/>
      <c r="BH19" s="100"/>
      <c r="BI19" s="100"/>
      <c r="BJ19" s="100"/>
      <c r="BK19" s="100"/>
      <c r="BL19" s="100"/>
      <c r="BM19" s="100"/>
      <c r="BN19" s="100"/>
      <c r="BO19" s="100"/>
      <c r="BP19" s="100"/>
      <c r="BQ19" s="100"/>
      <c r="BR19" s="100"/>
      <c r="BS19" s="100"/>
      <c r="BT19" s="100"/>
      <c r="BU19" s="100"/>
      <c r="BV19" s="100"/>
      <c r="BW19" s="100"/>
      <c r="BX19" s="100"/>
      <c r="BY19" s="100"/>
      <c r="BZ19" s="100"/>
      <c r="CA19" s="100"/>
      <c r="CB19" s="100"/>
      <c r="CC19" s="100"/>
      <c r="CD19" s="100"/>
      <c r="CE19" s="100"/>
      <c r="CF19" s="100"/>
      <c r="CG19" s="100"/>
      <c r="CH19" s="100"/>
      <c r="CI19" s="100"/>
      <c r="CJ19" s="100"/>
      <c r="CK19" s="100"/>
      <c r="CL19" s="100"/>
      <c r="CM19" s="100"/>
      <c r="CN19" s="100"/>
      <c r="CO19" s="100"/>
      <c r="CP19" s="100"/>
      <c r="CQ19" s="100"/>
      <c r="CR19" s="100"/>
      <c r="CS19" s="100"/>
      <c r="CT19" s="100"/>
      <c r="CU19" s="100"/>
      <c r="CV19" s="100"/>
      <c r="CW19" s="100"/>
      <c r="CX19" s="100"/>
      <c r="CY19" s="100"/>
      <c r="CZ19" s="100"/>
      <c r="DA19" s="100"/>
      <c r="DB19" s="100"/>
      <c r="DC19" s="100"/>
      <c r="DD19" s="100"/>
      <c r="DE19" s="100"/>
      <c r="DF19" s="100"/>
      <c r="DG19" s="100"/>
      <c r="DH19" s="100"/>
      <c r="DI19" s="100"/>
      <c r="DJ19" s="100"/>
      <c r="DK19" s="100"/>
      <c r="DL19" s="100"/>
      <c r="DM19" s="100"/>
      <c r="DN19" s="100"/>
    </row>
    <row r="20">
      <c r="AB20" s="109"/>
      <c r="AC20" s="109"/>
      <c r="AD20" s="109"/>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c r="BC20" s="100"/>
      <c r="BD20" s="100"/>
      <c r="BE20" s="100"/>
      <c r="BF20" s="100"/>
      <c r="BG20" s="100"/>
      <c r="BH20" s="100"/>
      <c r="BI20" s="100"/>
      <c r="BJ20" s="100"/>
      <c r="BK20" s="100"/>
      <c r="BL20" s="100"/>
      <c r="BM20" s="100"/>
      <c r="BN20" s="100"/>
      <c r="BO20" s="100"/>
      <c r="BP20" s="100"/>
      <c r="BQ20" s="100"/>
      <c r="BR20" s="100"/>
      <c r="BS20" s="100"/>
      <c r="BT20" s="100"/>
      <c r="BU20" s="100"/>
      <c r="BV20" s="100"/>
      <c r="BW20" s="100"/>
      <c r="BX20" s="100"/>
      <c r="BY20" s="100"/>
      <c r="BZ20" s="100"/>
      <c r="CA20" s="100"/>
      <c r="CB20" s="100"/>
      <c r="CC20" s="100"/>
      <c r="CD20" s="100"/>
      <c r="CE20" s="100"/>
      <c r="CF20" s="100"/>
      <c r="CG20" s="100"/>
      <c r="CH20" s="100"/>
      <c r="CI20" s="100"/>
      <c r="CJ20" s="100"/>
      <c r="CK20" s="100"/>
      <c r="CL20" s="100"/>
      <c r="CM20" s="100"/>
      <c r="CN20" s="100"/>
      <c r="CO20" s="100"/>
      <c r="CP20" s="100"/>
      <c r="CQ20" s="100"/>
      <c r="CR20" s="100"/>
      <c r="CS20" s="100"/>
      <c r="CT20" s="100"/>
      <c r="CU20" s="100"/>
      <c r="CV20" s="100"/>
      <c r="CW20" s="100"/>
      <c r="CX20" s="100"/>
      <c r="CY20" s="100"/>
      <c r="CZ20" s="100"/>
      <c r="DA20" s="100"/>
      <c r="DB20" s="100"/>
      <c r="DC20" s="100"/>
      <c r="DD20" s="100"/>
      <c r="DE20" s="100"/>
      <c r="DF20" s="100"/>
      <c r="DG20" s="100"/>
      <c r="DH20" s="100"/>
      <c r="DI20" s="100"/>
      <c r="DJ20" s="100"/>
      <c r="DK20" s="100"/>
      <c r="DL20" s="100"/>
      <c r="DM20" s="100"/>
      <c r="DN20" s="100"/>
    </row>
    <row r="21">
      <c r="AB21" s="109"/>
      <c r="AC21" s="109"/>
      <c r="AD21" s="109"/>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c r="BC21" s="100"/>
      <c r="BD21" s="100"/>
      <c r="BE21" s="100"/>
      <c r="BF21" s="100"/>
      <c r="BG21" s="100"/>
      <c r="BH21" s="100"/>
      <c r="BI21" s="100"/>
      <c r="BJ21" s="100"/>
      <c r="BK21" s="100"/>
      <c r="BL21" s="100"/>
      <c r="BM21" s="100"/>
      <c r="BN21" s="100"/>
      <c r="BO21" s="100"/>
      <c r="BP21" s="100"/>
      <c r="BQ21" s="100"/>
      <c r="BR21" s="100"/>
      <c r="BS21" s="100"/>
      <c r="BT21" s="100"/>
      <c r="BU21" s="100"/>
      <c r="BV21" s="100"/>
      <c r="BW21" s="100"/>
      <c r="BX21" s="100"/>
      <c r="BY21" s="100"/>
      <c r="BZ21" s="100"/>
      <c r="CA21" s="100"/>
      <c r="CB21" s="100"/>
      <c r="CC21" s="100"/>
      <c r="CD21" s="100"/>
      <c r="CE21" s="100"/>
      <c r="CF21" s="100"/>
      <c r="CG21" s="100"/>
      <c r="CH21" s="100"/>
      <c r="CI21" s="100"/>
      <c r="CJ21" s="100"/>
      <c r="CK21" s="100"/>
      <c r="CL21" s="100"/>
      <c r="CM21" s="100"/>
      <c r="CN21" s="100"/>
      <c r="CO21" s="100"/>
      <c r="CP21" s="100"/>
      <c r="CQ21" s="100"/>
      <c r="CR21" s="100"/>
      <c r="CS21" s="100"/>
      <c r="CT21" s="100"/>
      <c r="CU21" s="100"/>
      <c r="CV21" s="100"/>
      <c r="CW21" s="100"/>
      <c r="CX21" s="100"/>
      <c r="CY21" s="100"/>
      <c r="CZ21" s="100"/>
      <c r="DA21" s="100"/>
      <c r="DB21" s="100"/>
      <c r="DC21" s="100"/>
      <c r="DD21" s="100"/>
      <c r="DE21" s="100"/>
      <c r="DF21" s="100"/>
      <c r="DG21" s="100"/>
      <c r="DH21" s="100"/>
      <c r="DI21" s="100"/>
      <c r="DJ21" s="100"/>
      <c r="DK21" s="100"/>
      <c r="DL21" s="100"/>
      <c r="DM21" s="100"/>
      <c r="DN21" s="100"/>
    </row>
    <row r="22">
      <c r="AB22" s="109"/>
      <c r="AC22" s="109"/>
      <c r="AD22" s="109"/>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c r="BA22" s="100"/>
      <c r="BB22" s="100"/>
      <c r="BC22" s="100"/>
      <c r="BD22" s="100"/>
      <c r="BE22" s="100"/>
      <c r="BF22" s="100"/>
      <c r="BG22" s="100"/>
      <c r="BH22" s="100"/>
      <c r="BI22" s="100"/>
      <c r="BJ22" s="100"/>
      <c r="BK22" s="100"/>
      <c r="BL22" s="100"/>
      <c r="BM22" s="100"/>
      <c r="BN22" s="100"/>
      <c r="BO22" s="100"/>
      <c r="BP22" s="100"/>
      <c r="BQ22" s="100"/>
      <c r="BR22" s="100"/>
      <c r="BS22" s="100"/>
      <c r="BT22" s="100"/>
      <c r="BU22" s="100"/>
      <c r="BV22" s="100"/>
      <c r="BW22" s="100"/>
      <c r="BX22" s="100"/>
      <c r="BY22" s="100"/>
      <c r="BZ22" s="100"/>
      <c r="CA22" s="100"/>
      <c r="CB22" s="100"/>
      <c r="CC22" s="100"/>
      <c r="CD22" s="100"/>
      <c r="CE22" s="100"/>
      <c r="CF22" s="100"/>
      <c r="CG22" s="100"/>
      <c r="CH22" s="100"/>
      <c r="CI22" s="100"/>
      <c r="CJ22" s="100"/>
      <c r="CK22" s="100"/>
      <c r="CL22" s="100"/>
      <c r="CM22" s="100"/>
      <c r="CN22" s="100"/>
      <c r="CO22" s="100"/>
      <c r="CP22" s="100"/>
      <c r="CQ22" s="100"/>
      <c r="CR22" s="100"/>
      <c r="CS22" s="100"/>
      <c r="CT22" s="100"/>
      <c r="CU22" s="100"/>
      <c r="CV22" s="100"/>
      <c r="CW22" s="100"/>
      <c r="CX22" s="100"/>
      <c r="CY22" s="100"/>
      <c r="CZ22" s="100"/>
      <c r="DA22" s="100"/>
      <c r="DB22" s="100"/>
      <c r="DC22" s="100"/>
      <c r="DD22" s="100"/>
      <c r="DE22" s="100"/>
      <c r="DF22" s="100"/>
      <c r="DG22" s="100"/>
      <c r="DH22" s="100"/>
      <c r="DI22" s="100"/>
      <c r="DJ22" s="100"/>
      <c r="DK22" s="100"/>
      <c r="DL22" s="100"/>
      <c r="DM22" s="100"/>
      <c r="DN22" s="100"/>
    </row>
    <row r="23">
      <c r="AB23" s="109"/>
      <c r="AC23" s="109"/>
      <c r="AD23" s="109"/>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c r="BC23" s="100"/>
      <c r="BD23" s="100"/>
      <c r="BE23" s="100"/>
      <c r="BF23" s="100"/>
      <c r="BG23" s="100"/>
      <c r="BH23" s="100"/>
      <c r="BI23" s="100"/>
      <c r="BJ23" s="100"/>
      <c r="BK23" s="100"/>
      <c r="BL23" s="100"/>
      <c r="BM23" s="100"/>
      <c r="BN23" s="100"/>
      <c r="BO23" s="100"/>
      <c r="BP23" s="100"/>
      <c r="BQ23" s="100"/>
      <c r="BR23" s="100"/>
      <c r="BS23" s="100"/>
      <c r="BT23" s="100"/>
      <c r="BU23" s="100"/>
      <c r="BV23" s="100"/>
      <c r="BW23" s="100"/>
      <c r="BX23" s="100"/>
      <c r="BY23" s="100"/>
      <c r="BZ23" s="100"/>
      <c r="CA23" s="100"/>
      <c r="CB23" s="100"/>
      <c r="CC23" s="100"/>
      <c r="CD23" s="100"/>
      <c r="CE23" s="100"/>
      <c r="CF23" s="100"/>
      <c r="CG23" s="100"/>
      <c r="CH23" s="100"/>
      <c r="CI23" s="100"/>
      <c r="CJ23" s="100"/>
      <c r="CK23" s="100"/>
      <c r="CL23" s="100"/>
      <c r="CM23" s="100"/>
      <c r="CN23" s="100"/>
      <c r="CO23" s="100"/>
      <c r="CP23" s="100"/>
      <c r="CQ23" s="100"/>
      <c r="CR23" s="100"/>
      <c r="CS23" s="100"/>
      <c r="CT23" s="100"/>
      <c r="CU23" s="100"/>
      <c r="CV23" s="100"/>
      <c r="CW23" s="100"/>
      <c r="CX23" s="100"/>
      <c r="CY23" s="100"/>
      <c r="CZ23" s="100"/>
      <c r="DA23" s="100"/>
      <c r="DB23" s="100"/>
      <c r="DC23" s="100"/>
      <c r="DD23" s="100"/>
      <c r="DE23" s="100"/>
      <c r="DF23" s="100"/>
      <c r="DG23" s="100"/>
      <c r="DH23" s="100"/>
      <c r="DI23" s="100"/>
      <c r="DJ23" s="100"/>
      <c r="DK23" s="100"/>
      <c r="DL23" s="100"/>
      <c r="DM23" s="100"/>
      <c r="DN23" s="100"/>
    </row>
    <row r="24">
      <c r="AB24" s="109"/>
      <c r="AC24" s="109"/>
      <c r="AD24" s="109"/>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c r="BC24" s="100"/>
      <c r="BD24" s="100"/>
      <c r="BE24" s="100"/>
      <c r="BF24" s="100"/>
      <c r="BG24" s="100"/>
      <c r="BH24" s="100"/>
      <c r="BI24" s="100"/>
      <c r="BJ24" s="100"/>
      <c r="BK24" s="100"/>
      <c r="BL24" s="100"/>
      <c r="BM24" s="100"/>
      <c r="BN24" s="100"/>
      <c r="BO24" s="100"/>
      <c r="BP24" s="100"/>
      <c r="BQ24" s="100"/>
      <c r="BR24" s="100"/>
      <c r="BS24" s="100"/>
      <c r="BT24" s="100"/>
      <c r="BU24" s="100"/>
      <c r="BV24" s="100"/>
      <c r="BW24" s="100"/>
      <c r="BX24" s="100"/>
      <c r="BY24" s="100"/>
      <c r="BZ24" s="100"/>
      <c r="CA24" s="100"/>
      <c r="CB24" s="100"/>
      <c r="CC24" s="100"/>
      <c r="CD24" s="100"/>
      <c r="CE24" s="100"/>
      <c r="CF24" s="100"/>
      <c r="CG24" s="100"/>
      <c r="CH24" s="100"/>
      <c r="CI24" s="100"/>
      <c r="CJ24" s="100"/>
      <c r="CK24" s="100"/>
      <c r="CL24" s="100"/>
      <c r="CM24" s="100"/>
      <c r="CN24" s="100"/>
      <c r="CO24" s="100"/>
      <c r="CP24" s="100"/>
      <c r="CQ24" s="100"/>
      <c r="CR24" s="100"/>
      <c r="CS24" s="100"/>
      <c r="CT24" s="100"/>
      <c r="CU24" s="100"/>
      <c r="CV24" s="100"/>
      <c r="CW24" s="100"/>
      <c r="CX24" s="100"/>
      <c r="CY24" s="100"/>
      <c r="CZ24" s="100"/>
      <c r="DA24" s="100"/>
      <c r="DB24" s="100"/>
      <c r="DC24" s="100"/>
      <c r="DD24" s="100"/>
      <c r="DE24" s="100"/>
      <c r="DF24" s="100"/>
      <c r="DG24" s="100"/>
      <c r="DH24" s="100"/>
      <c r="DI24" s="100"/>
      <c r="DJ24" s="100"/>
      <c r="DK24" s="100"/>
      <c r="DL24" s="100"/>
      <c r="DM24" s="100"/>
      <c r="DN24" s="100"/>
    </row>
    <row r="25">
      <c r="AB25" s="109"/>
      <c r="AC25" s="109"/>
      <c r="AD25" s="109"/>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c r="BC25" s="100"/>
      <c r="BD25" s="100"/>
      <c r="BE25" s="100"/>
      <c r="BF25" s="100"/>
      <c r="BG25" s="100"/>
      <c r="BH25" s="100"/>
      <c r="BI25" s="100"/>
      <c r="BJ25" s="100"/>
      <c r="BK25" s="100"/>
      <c r="BL25" s="100"/>
      <c r="BM25" s="100"/>
      <c r="BN25" s="100"/>
      <c r="BO25" s="100"/>
      <c r="BP25" s="100"/>
      <c r="BQ25" s="100"/>
      <c r="BR25" s="100"/>
      <c r="BS25" s="100"/>
      <c r="BT25" s="100"/>
      <c r="BU25" s="100"/>
      <c r="BV25" s="100"/>
      <c r="BW25" s="100"/>
      <c r="BX25" s="100"/>
      <c r="BY25" s="100"/>
      <c r="BZ25" s="100"/>
      <c r="CA25" s="100"/>
      <c r="CB25" s="100"/>
      <c r="CC25" s="100"/>
      <c r="CD25" s="100"/>
      <c r="CE25" s="100"/>
      <c r="CF25" s="100"/>
      <c r="CG25" s="100"/>
      <c r="CH25" s="100"/>
      <c r="CI25" s="100"/>
      <c r="CJ25" s="100"/>
      <c r="CK25" s="100"/>
      <c r="CL25" s="100"/>
      <c r="CM25" s="100"/>
      <c r="CN25" s="100"/>
      <c r="CO25" s="100"/>
      <c r="CP25" s="100"/>
      <c r="CQ25" s="100"/>
      <c r="CR25" s="100"/>
      <c r="CS25" s="100"/>
      <c r="CT25" s="100"/>
      <c r="CU25" s="100"/>
      <c r="CV25" s="100"/>
      <c r="CW25" s="100"/>
      <c r="CX25" s="100"/>
      <c r="CY25" s="100"/>
      <c r="CZ25" s="100"/>
      <c r="DA25" s="100"/>
      <c r="DB25" s="100"/>
      <c r="DC25" s="100"/>
      <c r="DD25" s="100"/>
      <c r="DE25" s="100"/>
      <c r="DF25" s="100"/>
      <c r="DG25" s="100"/>
      <c r="DH25" s="100"/>
      <c r="DI25" s="100"/>
      <c r="DJ25" s="100"/>
      <c r="DK25" s="100"/>
      <c r="DL25" s="100"/>
      <c r="DM25" s="100"/>
      <c r="DN25" s="100"/>
    </row>
    <row r="26">
      <c r="AB26" s="109"/>
      <c r="AC26" s="109"/>
      <c r="AD26" s="109"/>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00"/>
      <c r="BK26" s="100"/>
      <c r="BL26" s="100"/>
      <c r="BM26" s="100"/>
      <c r="BN26" s="100"/>
      <c r="BO26" s="100"/>
      <c r="BP26" s="100"/>
      <c r="BQ26" s="100"/>
      <c r="BR26" s="100"/>
      <c r="BS26" s="100"/>
      <c r="BT26" s="100"/>
      <c r="BU26" s="100"/>
      <c r="BV26" s="100"/>
      <c r="BW26" s="100"/>
      <c r="BX26" s="100"/>
      <c r="BY26" s="100"/>
      <c r="BZ26" s="100"/>
      <c r="CA26" s="100"/>
      <c r="CB26" s="100"/>
      <c r="CC26" s="100"/>
      <c r="CD26" s="100"/>
      <c r="CE26" s="100"/>
      <c r="CF26" s="100"/>
      <c r="CG26" s="100"/>
      <c r="CH26" s="100"/>
      <c r="CI26" s="100"/>
      <c r="CJ26" s="100"/>
      <c r="CK26" s="100"/>
      <c r="CL26" s="100"/>
      <c r="CM26" s="100"/>
      <c r="CN26" s="100"/>
      <c r="CO26" s="100"/>
      <c r="CP26" s="100"/>
      <c r="CQ26" s="100"/>
      <c r="CR26" s="100"/>
      <c r="CS26" s="100"/>
      <c r="CT26" s="100"/>
      <c r="CU26" s="100"/>
      <c r="CV26" s="100"/>
      <c r="CW26" s="100"/>
      <c r="CX26" s="100"/>
      <c r="CY26" s="100"/>
      <c r="CZ26" s="100"/>
      <c r="DA26" s="100"/>
      <c r="DB26" s="100"/>
      <c r="DC26" s="100"/>
      <c r="DD26" s="100"/>
      <c r="DE26" s="100"/>
      <c r="DF26" s="100"/>
      <c r="DG26" s="100"/>
      <c r="DH26" s="100"/>
      <c r="DI26" s="100"/>
      <c r="DJ26" s="100"/>
      <c r="DK26" s="100"/>
      <c r="DL26" s="100"/>
      <c r="DM26" s="100"/>
      <c r="DN26" s="100"/>
    </row>
    <row r="27">
      <c r="AB27" s="109"/>
      <c r="AC27" s="109"/>
      <c r="AD27" s="109"/>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c r="BC27" s="100"/>
      <c r="BD27" s="100"/>
      <c r="BE27" s="100"/>
      <c r="BF27" s="100"/>
      <c r="BG27" s="100"/>
      <c r="BH27" s="100"/>
      <c r="BI27" s="100"/>
      <c r="BJ27" s="100"/>
      <c r="BK27" s="100"/>
      <c r="BL27" s="100"/>
      <c r="BM27" s="100"/>
      <c r="BN27" s="100"/>
      <c r="BO27" s="100"/>
      <c r="BP27" s="100"/>
      <c r="BQ27" s="100"/>
      <c r="BR27" s="100"/>
      <c r="BS27" s="100"/>
      <c r="BT27" s="100"/>
      <c r="BU27" s="100"/>
      <c r="BV27" s="100"/>
      <c r="BW27" s="100"/>
      <c r="BX27" s="100"/>
      <c r="BY27" s="100"/>
      <c r="BZ27" s="100"/>
      <c r="CA27" s="100"/>
      <c r="CB27" s="100"/>
      <c r="CC27" s="100"/>
      <c r="CD27" s="100"/>
      <c r="CE27" s="100"/>
      <c r="CF27" s="100"/>
      <c r="CG27" s="100"/>
      <c r="CH27" s="100"/>
      <c r="CI27" s="100"/>
      <c r="CJ27" s="100"/>
      <c r="CK27" s="100"/>
      <c r="CL27" s="100"/>
      <c r="CM27" s="100"/>
      <c r="CN27" s="100"/>
      <c r="CO27" s="100"/>
      <c r="CP27" s="100"/>
      <c r="CQ27" s="100"/>
      <c r="CR27" s="100"/>
      <c r="CS27" s="100"/>
      <c r="CT27" s="100"/>
      <c r="CU27" s="100"/>
      <c r="CV27" s="100"/>
      <c r="CW27" s="100"/>
      <c r="CX27" s="100"/>
      <c r="CY27" s="100"/>
      <c r="CZ27" s="100"/>
      <c r="DA27" s="100"/>
      <c r="DB27" s="100"/>
      <c r="DC27" s="100"/>
      <c r="DD27" s="100"/>
      <c r="DE27" s="100"/>
      <c r="DF27" s="100"/>
      <c r="DG27" s="100"/>
      <c r="DH27" s="100"/>
      <c r="DI27" s="100"/>
      <c r="DJ27" s="100"/>
      <c r="DK27" s="100"/>
      <c r="DL27" s="100"/>
      <c r="DM27" s="100"/>
      <c r="DN27" s="100"/>
    </row>
    <row r="28">
      <c r="A28" s="102" t="s">
        <v>82</v>
      </c>
      <c r="B28" s="97" t="str">
        <f>if(Q1,AB1,S4)</f>
        <v>West Virginia Black Bears</v>
      </c>
      <c r="C28" s="98"/>
      <c r="D28" s="98"/>
      <c r="E28" s="99"/>
      <c r="F28" s="95">
        <f t="array" ref="F28">index(Imports!$AB$2:$AB$18,match(B28,Imports!$AE$2:$AE$18,0))</f>
        <v>548</v>
      </c>
      <c r="R28" s="96" t="s">
        <v>83</v>
      </c>
      <c r="S28" s="117" t="str">
        <f>if(Q1,AB13,S7)</f>
        <v>Big Sky Snow Geese</v>
      </c>
      <c r="T28" s="98"/>
      <c r="U28" s="98"/>
      <c r="V28" s="99"/>
      <c r="W28" s="95">
        <f t="array" ref="W28">index(Imports!$AB$2:$AB$18,match(S28,Imports!$AE$2:$AE$18,0))</f>
        <v>572</v>
      </c>
      <c r="X28" s="100"/>
      <c r="Y28" s="100"/>
      <c r="Z28" s="100"/>
      <c r="AA28" s="100"/>
      <c r="AB28" s="109"/>
      <c r="AC28" s="109"/>
      <c r="AD28" s="109"/>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c r="BC28" s="100"/>
      <c r="BD28" s="100"/>
      <c r="BE28" s="100"/>
      <c r="BF28" s="100"/>
      <c r="BG28" s="100"/>
      <c r="BH28" s="100"/>
      <c r="BI28" s="100"/>
      <c r="BJ28" s="100"/>
      <c r="BK28" s="100"/>
      <c r="BL28" s="100"/>
      <c r="BM28" s="100"/>
      <c r="BN28" s="100"/>
      <c r="BO28" s="100"/>
      <c r="BP28" s="100"/>
      <c r="BQ28" s="100"/>
      <c r="BR28" s="100"/>
      <c r="BS28" s="100"/>
      <c r="BT28" s="100"/>
      <c r="BU28" s="100"/>
      <c r="BV28" s="100"/>
      <c r="BW28" s="100"/>
      <c r="BX28" s="100"/>
      <c r="BY28" s="100"/>
      <c r="BZ28" s="100"/>
      <c r="CA28" s="100"/>
      <c r="CB28" s="100"/>
      <c r="CC28" s="100"/>
      <c r="CD28" s="100"/>
      <c r="CE28" s="100"/>
      <c r="CF28" s="100"/>
      <c r="CG28" s="100"/>
      <c r="CH28" s="100"/>
      <c r="CI28" s="100"/>
      <c r="CJ28" s="100"/>
      <c r="CK28" s="100"/>
      <c r="CL28" s="100"/>
      <c r="CM28" s="100"/>
      <c r="CN28" s="100"/>
      <c r="CO28" s="100"/>
      <c r="CP28" s="100"/>
      <c r="CQ28" s="100"/>
      <c r="CR28" s="100"/>
      <c r="CS28" s="100"/>
      <c r="CT28" s="100"/>
      <c r="CU28" s="100"/>
      <c r="CV28" s="100"/>
      <c r="CW28" s="100"/>
      <c r="CX28" s="100"/>
      <c r="CY28" s="100"/>
      <c r="CZ28" s="100"/>
      <c r="DA28" s="100"/>
      <c r="DB28" s="100"/>
      <c r="DC28" s="100"/>
      <c r="DD28" s="100"/>
      <c r="DE28" s="100"/>
      <c r="DF28" s="100"/>
      <c r="DG28" s="100"/>
      <c r="DH28" s="100"/>
      <c r="DI28" s="100"/>
      <c r="DJ28" s="100"/>
      <c r="DK28" s="100"/>
      <c r="DL28" s="100"/>
      <c r="DM28" s="100"/>
      <c r="DN28" s="100"/>
    </row>
    <row r="29">
      <c r="AB29" s="104"/>
      <c r="AC29" s="104"/>
      <c r="AD29" s="104"/>
    </row>
    <row r="30">
      <c r="AB30" s="104"/>
      <c r="AC30" s="104"/>
      <c r="AD30" s="104"/>
      <c r="AH30" s="100" t="s">
        <v>84</v>
      </c>
      <c r="AI30" s="100" t="str">
        <f>TEXTJOIN("|",True,A32:A52)</f>
        <v>Andy Pages|Ben Rice|Cedric Mullins|Ildemaro Vargas|JJ Bleday|Jorge Polanco|Josh Naylor|JT Realmuto|Mark Vientos|Mickey Moniak|Teoscar Hernandez|Trea Turner|Yordan Alvarez</v>
      </c>
      <c r="BV30" s="100" t="s">
        <v>84</v>
      </c>
      <c r="BW30" s="16" t="str">
        <f>TEXTJOIN("|",True,R32:R52)</f>
        <v>Bobby Witt Jr|Colton Cowser|Connor Wong|Hunter Goodman|Jordan Westburg|Junior Caminero|Leo Rivas|Matt Wallner|Michael Busch|Miguel Andujar|Nico Hoerner|Riley Greene|Sal Frelick</v>
      </c>
    </row>
    <row r="31">
      <c r="A31" s="118" t="str">
        <f>B28 &amp; " Batters"</f>
        <v>West Virginia Black Bears Batters</v>
      </c>
      <c r="B31" s="119" t="s">
        <v>11</v>
      </c>
      <c r="C31" s="119" t="s">
        <v>85</v>
      </c>
      <c r="D31" s="119" t="s">
        <v>86</v>
      </c>
      <c r="E31" s="119" t="s">
        <v>87</v>
      </c>
      <c r="F31" s="119" t="s">
        <v>88</v>
      </c>
      <c r="G31" s="119" t="s">
        <v>89</v>
      </c>
      <c r="H31" s="119" t="s">
        <v>90</v>
      </c>
      <c r="I31" s="120" t="s">
        <v>91</v>
      </c>
      <c r="J31" s="120" t="s">
        <v>92</v>
      </c>
      <c r="R31" s="118" t="str">
        <f>S28 &amp; " Batters"</f>
        <v>Big Sky Snow Geese Batters</v>
      </c>
      <c r="S31" s="119" t="s">
        <v>11</v>
      </c>
      <c r="T31" s="119" t="s">
        <v>85</v>
      </c>
      <c r="U31" s="119" t="s">
        <v>86</v>
      </c>
      <c r="V31" s="119" t="s">
        <v>87</v>
      </c>
      <c r="W31" s="119" t="s">
        <v>88</v>
      </c>
      <c r="X31" s="119" t="s">
        <v>89</v>
      </c>
      <c r="Y31" s="119" t="s">
        <v>90</v>
      </c>
      <c r="Z31" s="120" t="s">
        <v>91</v>
      </c>
      <c r="AA31" s="120" t="s">
        <v>92</v>
      </c>
      <c r="AB31" s="104"/>
      <c r="AC31" s="104"/>
      <c r="AD31" s="104"/>
      <c r="AH31" s="16" t="str">
        <f>IFERROR(__xludf.DUMMYFUNCTION("QUERY(BatterCalcs!B:CM,""select B, D, J, K, P, Q, V, W, AB, AC, AH, AI, AN, AO, AV, AW, BB, BC, BJ, BK, BS, BT, BZ, CA where B matches '(""&amp; AI30 &amp; "")' order by CM desc"")"),"Name")</f>
        <v>Name</v>
      </c>
      <c r="AI31" s="16" t="str">
        <f>IFERROR(__xludf.DUMMYFUNCTION("""COMPUTED_VALUE"""),"hand")</f>
        <v>hand</v>
      </c>
      <c r="AJ31" s="16" t="str">
        <f>IFERROR(__xludf.DUMMYFUNCTION("""COMPUTED_VALUE"""),"SO vlhp")</f>
        <v>SO vlhp</v>
      </c>
      <c r="AK31" s="16" t="str">
        <f>IFERROR(__xludf.DUMMYFUNCTION("""COMPUTED_VALUE"""),"SO v rhp")</f>
        <v>SO v rhp</v>
      </c>
      <c r="AL31" s="16" t="str">
        <f>IFERROR(__xludf.DUMMYFUNCTION("""COMPUTED_VALUE"""),"BB v lhp")</f>
        <v>BB v lhp</v>
      </c>
      <c r="AM31" s="16" t="str">
        <f>IFERROR(__xludf.DUMMYFUNCTION("""COMPUTED_VALUE"""),"BB v rhp")</f>
        <v>BB v rhp</v>
      </c>
      <c r="AN31" s="16" t="str">
        <f>IFERROR(__xludf.DUMMYFUNCTION("""COMPUTED_VALUE"""),"HIT v lhp")</f>
        <v>HIT v lhp</v>
      </c>
      <c r="AO31" s="16" t="str">
        <f>IFERROR(__xludf.DUMMYFUNCTION("""COMPUTED_VALUE"""),"HIT v rhp")</f>
        <v>HIT v rhp</v>
      </c>
      <c r="AP31" s="16" t="str">
        <f>IFERROR(__xludf.DUMMYFUNCTION("""COMPUTED_VALUE"""),"OB v lhp")</f>
        <v>OB v lhp</v>
      </c>
      <c r="AQ31" s="16" t="str">
        <f>IFERROR(__xludf.DUMMYFUNCTION("""COMPUTED_VALUE"""),"OB v rhp")</f>
        <v>OB v rhp</v>
      </c>
      <c r="AR31" s="16" t="str">
        <f>IFERROR(__xludf.DUMMYFUNCTION("""COMPUTED_VALUE"""),"TB v lhp")</f>
        <v>TB v lhp</v>
      </c>
      <c r="AS31" s="16" t="str">
        <f>IFERROR(__xludf.DUMMYFUNCTION("""COMPUTED_VALUE"""),"TB v rhp")</f>
        <v>TB v rhp</v>
      </c>
      <c r="AT31" s="16" t="str">
        <f>IFERROR(__xludf.DUMMYFUNCTION("""COMPUTED_VALUE"""),"HR v lhp")</f>
        <v>HR v lhp</v>
      </c>
      <c r="AU31" s="16" t="str">
        <f>IFERROR(__xludf.DUMMYFUNCTION("""COMPUTED_VALUE"""),"HR v rhp")</f>
        <v>HR v rhp</v>
      </c>
      <c r="AV31" s="16" t="str">
        <f>IFERROR(__xludf.DUMMYFUNCTION("""COMPUTED_VALUE"""),"BPHR v lhp")</f>
        <v>BPHR v lhp</v>
      </c>
      <c r="AW31" s="16" t="str">
        <f>IFERROR(__xludf.DUMMYFUNCTION("""COMPUTED_VALUE"""),"BPHR v rhp")</f>
        <v>BPHR v rhp</v>
      </c>
      <c r="AX31" s="16" t="str">
        <f>IFERROR(__xludf.DUMMYFUNCTION("""COMPUTED_VALUE"""),"BP1B v lhp")</f>
        <v>BP1B v lhp</v>
      </c>
      <c r="AY31" s="16" t="str">
        <f>IFERROR(__xludf.DUMMYFUNCTION("""COMPUTED_VALUE"""),"BP1B v rhp")</f>
        <v>BP1B v rhp</v>
      </c>
      <c r="AZ31" s="16" t="str">
        <f>IFERROR(__xludf.DUMMYFUNCTION("""COMPUTED_VALUE"""),"DP v lhp")</f>
        <v>DP v lhp</v>
      </c>
      <c r="BA31" s="16" t="str">
        <f>IFERROR(__xludf.DUMMYFUNCTION("""COMPUTED_VALUE"""),"DP v rhp")</f>
        <v>DP v rhp</v>
      </c>
      <c r="BB31" s="16" t="str">
        <f>IFERROR(__xludf.DUMMYFUNCTION("""COMPUTED_VALUE"""),"STEALING")</f>
        <v>STEALING</v>
      </c>
      <c r="BC31" s="16" t="str">
        <f>IFERROR(__xludf.DUMMYFUNCTION("""COMPUTED_VALUE"""),"STL")</f>
        <v>STL</v>
      </c>
      <c r="BD31" s="16" t="str">
        <f>IFERROR(__xludf.DUMMYFUNCTION("""COMPUTED_VALUE"""),"B")</f>
        <v>B</v>
      </c>
      <c r="BE31" s="16" t="str">
        <f>IFERROR(__xludf.DUMMYFUNCTION("""COMPUTED_VALUE"""),"H")</f>
        <v>H</v>
      </c>
      <c r="BF31" s="100" t="s">
        <v>93</v>
      </c>
      <c r="BG31" s="100"/>
      <c r="BH31" s="100"/>
      <c r="BI31" s="32" t="s">
        <v>94</v>
      </c>
      <c r="BJ31" s="32" t="s">
        <v>95</v>
      </c>
      <c r="BK31" s="32" t="s">
        <v>96</v>
      </c>
      <c r="BL31" s="32" t="s">
        <v>97</v>
      </c>
      <c r="BM31" s="32" t="s">
        <v>98</v>
      </c>
      <c r="BN31" s="32" t="s">
        <v>99</v>
      </c>
      <c r="BO31" s="32" t="s">
        <v>100</v>
      </c>
      <c r="BP31" s="32" t="s">
        <v>101</v>
      </c>
      <c r="BQ31" s="32" t="s">
        <v>102</v>
      </c>
      <c r="BR31" s="32" t="s">
        <v>103</v>
      </c>
      <c r="BV31" s="16" t="str">
        <f>IFERROR(__xludf.DUMMYFUNCTION("QUERY(BatterCalcs!A:CM,""select B, D, J, K, P, Q, V, W, AB, AC, AH, AI, AN, AO, AV, AW, BB, BC, BJ, BK, BS, BT, BZ, CA where B matches '(""&amp; BW30 &amp; "")' order by CM desc"")"),"Name")</f>
        <v>Name</v>
      </c>
      <c r="BW31" s="16" t="str">
        <f>IFERROR(__xludf.DUMMYFUNCTION("""COMPUTED_VALUE"""),"hand")</f>
        <v>hand</v>
      </c>
      <c r="BX31" s="16" t="str">
        <f>IFERROR(__xludf.DUMMYFUNCTION("""COMPUTED_VALUE"""),"SO vlhp")</f>
        <v>SO vlhp</v>
      </c>
      <c r="BY31" s="16" t="str">
        <f>IFERROR(__xludf.DUMMYFUNCTION("""COMPUTED_VALUE"""),"SO v rhp")</f>
        <v>SO v rhp</v>
      </c>
      <c r="BZ31" s="16" t="str">
        <f>IFERROR(__xludf.DUMMYFUNCTION("""COMPUTED_VALUE"""),"BB v lhp")</f>
        <v>BB v lhp</v>
      </c>
      <c r="CA31" s="16" t="str">
        <f>IFERROR(__xludf.DUMMYFUNCTION("""COMPUTED_VALUE"""),"BB v rhp")</f>
        <v>BB v rhp</v>
      </c>
      <c r="CB31" s="16" t="str">
        <f>IFERROR(__xludf.DUMMYFUNCTION("""COMPUTED_VALUE"""),"HIT v lhp")</f>
        <v>HIT v lhp</v>
      </c>
      <c r="CC31" s="16" t="str">
        <f>IFERROR(__xludf.DUMMYFUNCTION("""COMPUTED_VALUE"""),"HIT v rhp")</f>
        <v>HIT v rhp</v>
      </c>
      <c r="CD31" s="16" t="str">
        <f>IFERROR(__xludf.DUMMYFUNCTION("""COMPUTED_VALUE"""),"OB v lhp")</f>
        <v>OB v lhp</v>
      </c>
      <c r="CE31" s="16" t="str">
        <f>IFERROR(__xludf.DUMMYFUNCTION("""COMPUTED_VALUE"""),"OB v rhp")</f>
        <v>OB v rhp</v>
      </c>
      <c r="CF31" s="16" t="str">
        <f>IFERROR(__xludf.DUMMYFUNCTION("""COMPUTED_VALUE"""),"TB v lhp")</f>
        <v>TB v lhp</v>
      </c>
      <c r="CG31" s="16" t="str">
        <f>IFERROR(__xludf.DUMMYFUNCTION("""COMPUTED_VALUE"""),"TB v rhp")</f>
        <v>TB v rhp</v>
      </c>
      <c r="CH31" s="16" t="str">
        <f>IFERROR(__xludf.DUMMYFUNCTION("""COMPUTED_VALUE"""),"HR v lhp")</f>
        <v>HR v lhp</v>
      </c>
      <c r="CI31" s="16" t="str">
        <f>IFERROR(__xludf.DUMMYFUNCTION("""COMPUTED_VALUE"""),"HR v rhp")</f>
        <v>HR v rhp</v>
      </c>
      <c r="CJ31" s="16" t="str">
        <f>IFERROR(__xludf.DUMMYFUNCTION("""COMPUTED_VALUE"""),"BPHR v lhp")</f>
        <v>BPHR v lhp</v>
      </c>
      <c r="CK31" s="16" t="str">
        <f>IFERROR(__xludf.DUMMYFUNCTION("""COMPUTED_VALUE"""),"BPHR v rhp")</f>
        <v>BPHR v rhp</v>
      </c>
      <c r="CL31" s="16" t="str">
        <f>IFERROR(__xludf.DUMMYFUNCTION("""COMPUTED_VALUE"""),"BP1B v lhp")</f>
        <v>BP1B v lhp</v>
      </c>
      <c r="CM31" s="16" t="str">
        <f>IFERROR(__xludf.DUMMYFUNCTION("""COMPUTED_VALUE"""),"BP1B v rhp")</f>
        <v>BP1B v rhp</v>
      </c>
      <c r="CN31" s="16" t="str">
        <f>IFERROR(__xludf.DUMMYFUNCTION("""COMPUTED_VALUE"""),"DP v lhp")</f>
        <v>DP v lhp</v>
      </c>
      <c r="CO31" s="16" t="str">
        <f>IFERROR(__xludf.DUMMYFUNCTION("""COMPUTED_VALUE"""),"DP v rhp")</f>
        <v>DP v rhp</v>
      </c>
      <c r="CP31" s="16" t="str">
        <f>IFERROR(__xludf.DUMMYFUNCTION("""COMPUTED_VALUE"""),"STEALING")</f>
        <v>STEALING</v>
      </c>
      <c r="CQ31" s="16" t="str">
        <f>IFERROR(__xludf.DUMMYFUNCTION("""COMPUTED_VALUE"""),"STL")</f>
        <v>STL</v>
      </c>
      <c r="CR31" s="16" t="str">
        <f>IFERROR(__xludf.DUMMYFUNCTION("""COMPUTED_VALUE"""),"B")</f>
        <v>B</v>
      </c>
      <c r="CS31" s="16" t="str">
        <f>IFERROR(__xludf.DUMMYFUNCTION("""COMPUTED_VALUE"""),"H")</f>
        <v>H</v>
      </c>
      <c r="CT31" s="100" t="s">
        <v>93</v>
      </c>
      <c r="CW31" s="32" t="s">
        <v>94</v>
      </c>
      <c r="CX31" s="32" t="s">
        <v>95</v>
      </c>
      <c r="CY31" s="32" t="s">
        <v>96</v>
      </c>
      <c r="CZ31" s="32" t="s">
        <v>97</v>
      </c>
      <c r="DA31" s="32" t="s">
        <v>98</v>
      </c>
      <c r="DB31" s="32" t="s">
        <v>99</v>
      </c>
      <c r="DC31" s="32" t="s">
        <v>100</v>
      </c>
      <c r="DD31" s="32" t="s">
        <v>101</v>
      </c>
      <c r="DE31" s="32" t="s">
        <v>102</v>
      </c>
      <c r="DF31" s="32" t="s">
        <v>103</v>
      </c>
      <c r="DG31" s="32"/>
      <c r="DH31" s="32"/>
      <c r="DI31" s="32"/>
      <c r="DJ31" s="32"/>
      <c r="DK31" s="32"/>
      <c r="DL31" s="32"/>
      <c r="DM31" s="32"/>
      <c r="DN31" s="32"/>
    </row>
    <row r="32">
      <c r="A32" s="121" t="str">
        <f>IFERROR(__xludf.DUMMYFUNCTION("query(Imports!A2:H1587,""select B where H&lt;&gt;'SP' and H&lt;&gt;'RP' and F="" &amp; F28 &amp; ""order by B"")"),"Andy Pages")</f>
        <v>Andy Pages</v>
      </c>
      <c r="B32" s="122" t="str">
        <f t="array" ref="B32:B52">IF(A32:A52&lt;&gt;"",XLOOKUP(A32:A52,AH32:AH52,AI32:AI52),)</f>
        <v>R</v>
      </c>
      <c r="C32" s="123">
        <f t="array" ref="C32:C52">if($A$32:$A$52&lt;&gt;"",XLOOKUP($A$32:$A$52, $AH$32:$AH$52,$BL$32:$BL$52,False) / 208,)</f>
        <v>0.1423076923</v>
      </c>
      <c r="D32" s="123">
        <f t="array" ref="D32:D52">if($A$32:$A$52&lt;&gt;"",XLOOKUP($A$32:$A$52, $AH$32:$AH$52,$BM$32:$BM$52,False) / 208,)</f>
        <v>0.2192307692</v>
      </c>
      <c r="E32" s="123">
        <f t="array" ref="E32:E52">if($A$32:$A$52&lt;&gt;"",XLOOKUP($A$32:$A$52, $AH$32:$AH$52,$BP$32:$BP$52,False) / 208,)</f>
        <v>0.2379807692</v>
      </c>
      <c r="F32" s="124">
        <f t="array" ref="F32:F52">if($A$32:$A$52&lt;&gt;"",XLOOKUP($A$32:$A$52, $AH$32:$AH$52,$BQ$32:$BQ$52,False) / 208,)</f>
        <v>0.3605769231</v>
      </c>
      <c r="G32" s="124">
        <f t="array" ref="G32:G52">if($A$32:$A$52&lt;&gt;"",XLOOKUP($A$32:$A$52, $AH$32:$AH$52,$BR$32:$BR$52,False) / 208,)</f>
        <v>0.08653846154</v>
      </c>
      <c r="H32" s="123">
        <f t="shared" ref="H32:H52" si="3">if(not(isblank(A32)),(max(D32, C32*1.5)+E32) * (1 - G32),)</f>
        <v>0.4176451553</v>
      </c>
      <c r="I32" s="125"/>
      <c r="J32" s="125"/>
      <c r="K32" s="126"/>
      <c r="L32" s="126"/>
      <c r="M32" s="126"/>
      <c r="N32" s="126"/>
      <c r="O32" s="126"/>
      <c r="P32" s="126"/>
      <c r="Q32" s="126"/>
      <c r="R32" s="126" t="str">
        <f>IFERROR(__xludf.DUMMYFUNCTION("query(Imports!A2:H1587,""select B where H&lt;&gt;'SP' and H&lt;&gt;'RP' and F="" &amp; W28 &amp; ""order by B"")"),"Bobby Witt Jr")</f>
        <v>Bobby Witt Jr</v>
      </c>
      <c r="S32" s="122" t="str">
        <f t="array" ref="S32:S52">IF(R32:R52&lt;&gt;"",XLOOKUP(R32:R52, BV32:BV52, BW32:BW52),)</f>
        <v>R</v>
      </c>
      <c r="T32" s="123">
        <f t="array" ref="T32:T52">if($R$32:$R$52&lt;&gt;"",XLOOKUP($R$32:$R$52, $BV$32:$BV$52, $CZ$32:$CZ$52,False) / 208,)</f>
        <v>0.2980769231</v>
      </c>
      <c r="U32" s="123">
        <f t="array" ref="U32:U52">if($R$32:$R$52&lt;&gt;"",XLOOKUP($R$32:$R$52, $BV$32:$BV$52, DA32:DA52,False) / 208,)</f>
        <v>0.3317307692</v>
      </c>
      <c r="V32" s="123">
        <f t="array" ref="V32:V52">if($R$32:$R$52&lt;&gt;"",XLOOKUP($R$32:$R$52, $BV$32:$BV$52, DD32:DD52,False) / 208,)</f>
        <v>0.5730769231</v>
      </c>
      <c r="W32" s="124">
        <f t="array" ref="W32:W52">if($R$32:$R$52&lt;&gt;"",XLOOKUP($R$32:$R$52, $BV$32:$BV$52, DE32:DE52,False) / 208,)</f>
        <v>0.2211538462</v>
      </c>
      <c r="X32" s="124">
        <f t="array" ref="X32:X52">if($R$32:$R$52&lt;&gt;"",XLOOKUP($R$32:$R$52, $BV$32:$BV$52, DF32:DF52,False) / 208,)</f>
        <v>0.03846153846</v>
      </c>
      <c r="Y32" s="123">
        <f t="shared" ref="Y32:Y52" si="4">if(not(isblank(R32)),(max(U32, T32*1.5)+V32) * (1 - X32),)</f>
        <v>0.980954142</v>
      </c>
      <c r="Z32" s="7"/>
      <c r="AA32" s="7"/>
      <c r="AB32" s="104"/>
      <c r="AC32" s="104"/>
      <c r="AD32" s="104"/>
      <c r="AH32" s="16" t="str">
        <f>IFERROR(__xludf.DUMMYFUNCTION("""COMPUTED_VALUE"""),"Mark Vientos")</f>
        <v>Mark Vientos</v>
      </c>
      <c r="AI32" s="16" t="str">
        <f>IFERROR(__xludf.DUMMYFUNCTION("""COMPUTED_VALUE"""),"R")</f>
        <v>R</v>
      </c>
      <c r="AJ32" s="16">
        <f>IFERROR(__xludf.DUMMYFUNCTION("""COMPUTED_VALUE"""),42.0)</f>
        <v>42</v>
      </c>
      <c r="AK32" s="16">
        <f>IFERROR(__xludf.DUMMYFUNCTION("""COMPUTED_VALUE"""),38.0)</f>
        <v>38</v>
      </c>
      <c r="AL32" s="16">
        <f>IFERROR(__xludf.DUMMYFUNCTION("""COMPUTED_VALUE"""),4.0)</f>
        <v>4</v>
      </c>
      <c r="AM32" s="16">
        <f>IFERROR(__xludf.DUMMYFUNCTION("""COMPUTED_VALUE"""),10.0)</f>
        <v>10</v>
      </c>
      <c r="AN32" s="16">
        <f>IFERROR(__xludf.DUMMYFUNCTION("""COMPUTED_VALUE"""),29.8)</f>
        <v>29.8</v>
      </c>
      <c r="AO32" s="16">
        <f>IFERROR(__xludf.DUMMYFUNCTION("""COMPUTED_VALUE"""),18.5)</f>
        <v>18.5</v>
      </c>
      <c r="AP32" s="16">
        <f>IFERROR(__xludf.DUMMYFUNCTION("""COMPUTED_VALUE"""),35.8)</f>
        <v>35.8</v>
      </c>
      <c r="AQ32" s="16">
        <f>IFERROR(__xludf.DUMMYFUNCTION("""COMPUTED_VALUE"""),30.5)</f>
        <v>30.5</v>
      </c>
      <c r="AR32" s="16">
        <f>IFERROR(__xludf.DUMMYFUNCTION("""COMPUTED_VALUE"""),53.8)</f>
        <v>53.8</v>
      </c>
      <c r="AS32" s="16">
        <f>IFERROR(__xludf.DUMMYFUNCTION("""COMPUTED_VALUE"""),39.6)</f>
        <v>39.6</v>
      </c>
      <c r="AT32" s="16">
        <f>IFERROR(__xludf.DUMMYFUNCTION("""COMPUTED_VALUE"""),4.3)</f>
        <v>4.3</v>
      </c>
      <c r="AU32" s="16">
        <f>IFERROR(__xludf.DUMMYFUNCTION("""COMPUTED_VALUE"""),6.2)</f>
        <v>6.2</v>
      </c>
      <c r="AV32" s="16">
        <f>IFERROR(__xludf.DUMMYFUNCTION("""COMPUTED_VALUE"""),6.0)</f>
        <v>6</v>
      </c>
      <c r="AW32" s="16">
        <f>IFERROR(__xludf.DUMMYFUNCTION("""COMPUTED_VALUE"""),8.0)</f>
        <v>8</v>
      </c>
      <c r="AX32" s="16">
        <f>IFERROR(__xludf.DUMMYFUNCTION("""COMPUTED_VALUE"""),5.0)</f>
        <v>5</v>
      </c>
      <c r="AY32" s="16">
        <f>IFERROR(__xludf.DUMMYFUNCTION("""COMPUTED_VALUE"""),5.0)</f>
        <v>5</v>
      </c>
      <c r="AZ32" s="16">
        <f>IFERROR(__xludf.DUMMYFUNCTION("""COMPUTED_VALUE"""),13.0)</f>
        <v>13</v>
      </c>
      <c r="BA32" s="16">
        <f>IFERROR(__xludf.DUMMYFUNCTION("""COMPUTED_VALUE"""),9.0)</f>
        <v>9</v>
      </c>
      <c r="BB32" s="16" t="str">
        <f>IFERROR(__xludf.DUMMYFUNCTION("""COMPUTED_VALUE"""),"-/- (---)")</f>
        <v>-/- (---)</v>
      </c>
      <c r="BC32" s="16" t="str">
        <f>IFERROR(__xludf.DUMMYFUNCTION("""COMPUTED_VALUE"""),"E")</f>
        <v>E</v>
      </c>
      <c r="BD32" s="16" t="str">
        <f>IFERROR(__xludf.DUMMYFUNCTION("""COMPUTED_VALUE"""),"D")</f>
        <v>D</v>
      </c>
      <c r="BE32" s="16" t="str">
        <f>IFERROR(__xludf.DUMMYFUNCTION("""COMPUTED_VALUE"""),"D")</f>
        <v>D</v>
      </c>
      <c r="BF32" s="100" t="str">
        <f t="shared" ref="BF32:BF52" si="5">if(AI32&lt;&gt;"",ifs(AI32="L","L",AI32="R","R",and(AI32="S",$AI$16="R"),"L",True,"R"),)</f>
        <v>R</v>
      </c>
      <c r="BG32" s="100"/>
      <c r="BH32" s="100"/>
      <c r="BI32" s="32">
        <f t="array" ref="BI32:BI52">if($AH$32:$AH$52&lt;&gt;"",IF($BF$32:$BF$52="L",AN16,AO16)+if($AI$16="L",AN32:AN52,AO32:AO52),)</f>
        <v>25.5</v>
      </c>
      <c r="BJ32" s="32">
        <f t="array" ref="BJ32:BJ52">if($AH$32:$AH$52&lt;&gt;"",(IF($BF$32:$BF$52="L",BB16,BC16)+if($AI$16="L",AX32:AX52,AY32:AY52)) * IF($BF$32:$BF$52="L",$B$11,$C$11) / 20,)</f>
        <v>3.5</v>
      </c>
      <c r="BK32" s="32">
        <f t="array" ref="BK32:BK52">if($AH$32:$AH$52&lt;&gt;"",(IF($BF$32:$BF$52="L",AZ16,BA16)+if($AI$16="L",AV32:AV52,AW32:AW52)) * IF($BF$32:$BF$52="L",$E$11,$F$11) / 20,)</f>
        <v>2</v>
      </c>
      <c r="BL32" s="32">
        <f t="shared" ref="BL32:BL52" si="6">SUM(BI32:BK32)+IF($J$12,10,0)</f>
        <v>31</v>
      </c>
      <c r="BM32" s="32">
        <f t="array" ref="BM32:BM52">if($AH$32:$AH$52&lt;&gt;"",IF($BF$32:$BF$52="L", AP16,AQ16)+if($AI$16="L",AP32:AP52,AQ32:AQ52),)</f>
        <v>47.5</v>
      </c>
      <c r="BN32" s="32">
        <f t="shared" ref="BN32:BN52" si="7">SUM(BL32:BM32)</f>
        <v>78.5</v>
      </c>
      <c r="BO32" s="32">
        <f t="array" ref="BO32:BO52">if($AH$32:$AH$52&lt;&gt;"",IF($BF$32:$BF$52="L", AR16, AS16)+if($AI$16="L",AR32:AR52,AS32:AS52),)</f>
        <v>52.7</v>
      </c>
      <c r="BP32" s="32">
        <f t="shared" ref="BP32:BP52" si="8">BO32+BJ32+BK32*4+IF($J$12,10,0)</f>
        <v>64.2</v>
      </c>
      <c r="BQ32" s="32">
        <f t="array" ref="BQ32:BQ52">if($AH$32:$AH$52&lt;&gt;"",IF($BF$32:$BF$52="L",AJ16, AK16)+if($AI$16="L",AJ32:AJ52,AK32:AK52),)</f>
        <v>84</v>
      </c>
      <c r="BR32" s="32">
        <f t="array" ref="BR32:BR52">if($AH$32:$AH$52&lt;&gt;"",IF($BF$32:$BF$52="L", BD16,BE16)+if($AI$16="L",AZ32:AZ52,BA32:BA52),)</f>
        <v>12</v>
      </c>
      <c r="BV32" s="16" t="str">
        <f>IFERROR(__xludf.DUMMYFUNCTION("""COMPUTED_VALUE"""),"Sal Frelick")</f>
        <v>Sal Frelick</v>
      </c>
      <c r="BW32" s="16" t="str">
        <f>IFERROR(__xludf.DUMMYFUNCTION("""COMPUTED_VALUE"""),"L")</f>
        <v>L</v>
      </c>
      <c r="BX32" s="16">
        <f>IFERROR(__xludf.DUMMYFUNCTION("""COMPUTED_VALUE"""),10.0)</f>
        <v>10</v>
      </c>
      <c r="BY32" s="16">
        <f>IFERROR(__xludf.DUMMYFUNCTION("""COMPUTED_VALUE"""),8.0)</f>
        <v>8</v>
      </c>
      <c r="BZ32" s="16">
        <f>IFERROR(__xludf.DUMMYFUNCTION("""COMPUTED_VALUE"""),9.0)</f>
        <v>9</v>
      </c>
      <c r="CA32" s="16">
        <f>IFERROR(__xludf.DUMMYFUNCTION("""COMPUTED_VALUE"""),6.0)</f>
        <v>6</v>
      </c>
      <c r="CB32" s="16">
        <f>IFERROR(__xludf.DUMMYFUNCTION("""COMPUTED_VALUE"""),21.5)</f>
        <v>21.5</v>
      </c>
      <c r="CC32" s="16">
        <f>IFERROR(__xludf.DUMMYFUNCTION("""COMPUTED_VALUE"""),25.9)</f>
        <v>25.9</v>
      </c>
      <c r="CD32" s="16">
        <f>IFERROR(__xludf.DUMMYFUNCTION("""COMPUTED_VALUE"""),32.5)</f>
        <v>32.5</v>
      </c>
      <c r="CE32" s="16">
        <f>IFERROR(__xludf.DUMMYFUNCTION("""COMPUTED_VALUE"""),33.9)</f>
        <v>33.9</v>
      </c>
      <c r="CF32" s="16">
        <f>IFERROR(__xludf.DUMMYFUNCTION("""COMPUTED_VALUE"""),37.7)</f>
        <v>37.7</v>
      </c>
      <c r="CG32" s="16">
        <f>IFERROR(__xludf.DUMMYFUNCTION("""COMPUTED_VALUE"""),33.0)</f>
        <v>33</v>
      </c>
      <c r="CH32" s="16">
        <f>IFERROR(__xludf.DUMMYFUNCTION("""COMPUTED_VALUE"""),2.3)</f>
        <v>2.3</v>
      </c>
      <c r="CI32" s="16">
        <f>IFERROR(__xludf.DUMMYFUNCTION("""COMPUTED_VALUE"""),0.5)</f>
        <v>0.5</v>
      </c>
      <c r="CJ32" s="16">
        <f>IFERROR(__xludf.DUMMYFUNCTION("""COMPUTED_VALUE"""),-3.0)</f>
        <v>-3</v>
      </c>
      <c r="CK32" s="16">
        <f>IFERROR(__xludf.DUMMYFUNCTION("""COMPUTED_VALUE"""),-3.0)</f>
        <v>-3</v>
      </c>
      <c r="CL32" s="16">
        <f>IFERROR(__xludf.DUMMYFUNCTION("""COMPUTED_VALUE"""),5.0)</f>
        <v>5</v>
      </c>
      <c r="CM32" s="16">
        <f>IFERROR(__xludf.DUMMYFUNCTION("""COMPUTED_VALUE"""),5.0)</f>
        <v>5</v>
      </c>
      <c r="CN32" s="16">
        <f>IFERROR(__xludf.DUMMYFUNCTION("""COMPUTED_VALUE"""),11.0)</f>
        <v>11</v>
      </c>
      <c r="CO32" s="16">
        <f>IFERROR(__xludf.DUMMYFUNCTION("""COMPUTED_VALUE"""),12.0)</f>
        <v>12</v>
      </c>
      <c r="CP32" s="16" t="str">
        <f>IFERROR(__xludf.DUMMYFUNCTION("""COMPUTED_VALUE"""),"*4,5/- (19-12)")</f>
        <v>*4,5/- (19-12)</v>
      </c>
      <c r="CQ32" s="16" t="str">
        <f>IFERROR(__xludf.DUMMYFUNCTION("""COMPUTED_VALUE"""),"A")</f>
        <v>A</v>
      </c>
      <c r="CR32" s="16" t="str">
        <f>IFERROR(__xludf.DUMMYFUNCTION("""COMPUTED_VALUE"""),"C")</f>
        <v>C</v>
      </c>
      <c r="CS32" s="16" t="str">
        <f>IFERROR(__xludf.DUMMYFUNCTION("""COMPUTED_VALUE"""),"C")</f>
        <v>C</v>
      </c>
      <c r="CT32" s="100" t="str">
        <f t="shared" ref="CT32:CT51" si="9">if(BW32&lt;&gt;"",ifs(BW32="L","L",BW32="R","R",and(BW32="S",$AI$13="R"),"L",True,"R"),)</f>
        <v>L</v>
      </c>
      <c r="CW32" s="32">
        <f t="array" ref="CW32:CW52">if($BV$32:$BV$52&lt;&gt;"",IF($CT$32:$CT$52="L",AN13,AO13)+if($AI$13="L",CB32:CB52,CC32:CC52),)</f>
        <v>32.9</v>
      </c>
      <c r="CX32" s="32">
        <f t="array" ref="CX32:CX52">if($BV$32:$BV$52&lt;&gt;"",(IF($CT$32:$CT$52="L",BB13,BC13)+if($AI$13="L",CL32:CL52,CM32:CM52)) * IF($CT$32:$CT$52="L",$B$11,$C$11) / 20,)</f>
        <v>2.5</v>
      </c>
      <c r="CY32" s="32">
        <f t="array" ref="CY32:CY52">if($BV$32:$BV$52&lt;&gt;"",(IF($CT$32:$CT$52="L",AZ13,BA13)+if($AI$13="L",CJ32:CJ52,CK32:CK52)) * IF($CT$32:$CT$52="L",$E$11,$F$11) / 20,)</f>
        <v>-1.05</v>
      </c>
      <c r="CZ32" s="32">
        <f t="shared" ref="CZ32:CZ52" si="10">SUM(CW32:CY32)+IF($AA$12,10,0)</f>
        <v>34.35</v>
      </c>
      <c r="DA32" s="32">
        <f t="array" ref="DA32:DA52">if($BV$32:$BV$52&lt;&gt;"",(IF($CT$32:$CT$52="L",AP13,AQ13)+if($AI$13="L",CD32:CD52,CE32:CE52)),)</f>
        <v>49</v>
      </c>
      <c r="DB32" s="32">
        <f t="shared" ref="DB32:DB52" si="11">SUM(CZ32:DA32)</f>
        <v>83.35</v>
      </c>
      <c r="DC32" s="32">
        <f t="array" ref="DC32:DC52">if($BV$32:$BV$52&lt;&gt;"",(IF($CT$32:$CT$52="L",AR13,AS13)+if($AI$13="L",CF32:CF52,CG32:CG52)),)</f>
        <v>41.5</v>
      </c>
      <c r="DD32" s="32">
        <f t="shared" ref="DD32:DD52" si="12">DC32+CX32+CY32*4+IF($AA$12,10,0)</f>
        <v>39.8</v>
      </c>
      <c r="DE32" s="32">
        <f t="array" ref="DE32:DE52">if($BV$32:$BV$52&lt;&gt;"",(IF($CT$32:$CT$52="L",AJ13,AK13)+if($AI$13="L",BX32:BX52,BY32:BY52)),)</f>
        <v>45</v>
      </c>
      <c r="DF32" s="32">
        <f t="array" ref="DF32:DF52">if($BV$32:$BV$52&lt;&gt;"",(IF($CT$32:$CT$52="L",BD13,BE13)+if($AI$13="L", CN32:CN52, CO32:CO52)),)</f>
        <v>20</v>
      </c>
    </row>
    <row r="33">
      <c r="A33" s="121" t="str">
        <f>IFERROR(__xludf.DUMMYFUNCTION("""COMPUTED_VALUE"""),"Ben Rice")</f>
        <v>Ben Rice</v>
      </c>
      <c r="B33" s="122" t="s">
        <v>104</v>
      </c>
      <c r="C33" s="123">
        <v>0.09951923076923076</v>
      </c>
      <c r="D33" s="123">
        <v>0.18798076923076923</v>
      </c>
      <c r="E33" s="123">
        <v>0.2598557692307692</v>
      </c>
      <c r="F33" s="124">
        <v>0.33653846153846156</v>
      </c>
      <c r="G33" s="124">
        <v>0.0625</v>
      </c>
      <c r="H33" s="123">
        <f t="shared" si="3"/>
        <v>0.4198467548</v>
      </c>
      <c r="I33" s="125"/>
      <c r="J33" s="125"/>
      <c r="K33" s="126"/>
      <c r="L33" s="126"/>
      <c r="M33" s="126"/>
      <c r="N33" s="126"/>
      <c r="O33" s="126"/>
      <c r="P33" s="126"/>
      <c r="Q33" s="126"/>
      <c r="R33" s="126" t="str">
        <f>IFERROR(__xludf.DUMMYFUNCTION("""COMPUTED_VALUE"""),"Colton Cowser")</f>
        <v>Colton Cowser</v>
      </c>
      <c r="S33" s="122" t="s">
        <v>104</v>
      </c>
      <c r="T33" s="123">
        <v>0.14278846153846156</v>
      </c>
      <c r="U33" s="123">
        <v>0.23173076923076924</v>
      </c>
      <c r="V33" s="123">
        <v>0.25576923076923075</v>
      </c>
      <c r="W33" s="124">
        <v>0.36538461538461536</v>
      </c>
      <c r="X33" s="124">
        <v>0.08653846153846154</v>
      </c>
      <c r="Y33" s="123">
        <f t="shared" si="4"/>
        <v>0.4453125</v>
      </c>
      <c r="Z33" s="7"/>
      <c r="AA33" s="7"/>
      <c r="AB33" s="104"/>
      <c r="AC33" s="104"/>
      <c r="AD33" s="104"/>
      <c r="AH33" s="16" t="str">
        <f>IFERROR(__xludf.DUMMYFUNCTION("""COMPUTED_VALUE"""),"Ildemaro Vargas")</f>
        <v>Ildemaro Vargas</v>
      </c>
      <c r="AI33" s="16" t="str">
        <f>IFERROR(__xludf.DUMMYFUNCTION("""COMPUTED_VALUE"""),"S")</f>
        <v>S</v>
      </c>
      <c r="AJ33" s="16">
        <f>IFERROR(__xludf.DUMMYFUNCTION("""COMPUTED_VALUE"""),0.0)</f>
        <v>0</v>
      </c>
      <c r="AK33" s="16">
        <f>IFERROR(__xludf.DUMMYFUNCTION("""COMPUTED_VALUE"""),0.0)</f>
        <v>0</v>
      </c>
      <c r="AL33" s="16">
        <f>IFERROR(__xludf.DUMMYFUNCTION("""COMPUTED_VALUE"""),1.0)</f>
        <v>1</v>
      </c>
      <c r="AM33" s="16">
        <f>IFERROR(__xludf.DUMMYFUNCTION("""COMPUTED_VALUE"""),7.0)</f>
        <v>7</v>
      </c>
      <c r="AN33" s="16">
        <f>IFERROR(__xludf.DUMMYFUNCTION("""COMPUTED_VALUE"""),25.4)</f>
        <v>25.4</v>
      </c>
      <c r="AO33" s="16">
        <f>IFERROR(__xludf.DUMMYFUNCTION("""COMPUTED_VALUE"""),17.5)</f>
        <v>17.5</v>
      </c>
      <c r="AP33" s="16">
        <f>IFERROR(__xludf.DUMMYFUNCTION("""COMPUTED_VALUE"""),28.4)</f>
        <v>28.4</v>
      </c>
      <c r="AQ33" s="16">
        <f>IFERROR(__xludf.DUMMYFUNCTION("""COMPUTED_VALUE"""),26.5)</f>
        <v>26.5</v>
      </c>
      <c r="AR33" s="16">
        <f>IFERROR(__xludf.DUMMYFUNCTION("""COMPUTED_VALUE"""),37.0)</f>
        <v>37</v>
      </c>
      <c r="AS33" s="16">
        <f>IFERROR(__xludf.DUMMYFUNCTION("""COMPUTED_VALUE"""),24.4)</f>
        <v>24.4</v>
      </c>
      <c r="AT33" s="16">
        <f>IFERROR(__xludf.DUMMYFUNCTION("""COMPUTED_VALUE"""),0.0)</f>
        <v>0</v>
      </c>
      <c r="AU33" s="16">
        <f>IFERROR(__xludf.DUMMYFUNCTION("""COMPUTED_VALUE"""),1.5)</f>
        <v>1.5</v>
      </c>
      <c r="AV33" s="16">
        <f>IFERROR(__xludf.DUMMYFUNCTION("""COMPUTED_VALUE"""),-3.0)</f>
        <v>-3</v>
      </c>
      <c r="AW33" s="16">
        <f>IFERROR(__xludf.DUMMYFUNCTION("""COMPUTED_VALUE"""),-3.0)</f>
        <v>-3</v>
      </c>
      <c r="AX33" s="16">
        <f>IFERROR(__xludf.DUMMYFUNCTION("""COMPUTED_VALUE"""),5.0)</f>
        <v>5</v>
      </c>
      <c r="AY33" s="16">
        <f>IFERROR(__xludf.DUMMYFUNCTION("""COMPUTED_VALUE"""),5.0)</f>
        <v>5</v>
      </c>
      <c r="AZ33" s="16">
        <f>IFERROR(__xludf.DUMMYFUNCTION("""COMPUTED_VALUE"""),25.0)</f>
        <v>25</v>
      </c>
      <c r="BA33" s="16">
        <f>IFERROR(__xludf.DUMMYFUNCTION("""COMPUTED_VALUE"""),23.0)</f>
        <v>23</v>
      </c>
      <c r="BB33" s="16" t="str">
        <f>IFERROR(__xludf.DUMMYFUNCTION("""COMPUTED_VALUE"""),"*3-6/- (16-12)")</f>
        <v>*3-6/- (16-12)</v>
      </c>
      <c r="BC33" s="16" t="str">
        <f>IFERROR(__xludf.DUMMYFUNCTION("""COMPUTED_VALUE"""),"B")</f>
        <v>B</v>
      </c>
      <c r="BD33" s="16" t="str">
        <f>IFERROR(__xludf.DUMMYFUNCTION("""COMPUTED_VALUE"""),"C")</f>
        <v>C</v>
      </c>
      <c r="BE33" s="16" t="str">
        <f>IFERROR(__xludf.DUMMYFUNCTION("""COMPUTED_VALUE"""),"B")</f>
        <v>B</v>
      </c>
      <c r="BF33" s="100" t="str">
        <f t="shared" si="5"/>
        <v>L</v>
      </c>
      <c r="BI33" s="16">
        <v>27.9</v>
      </c>
      <c r="BJ33" s="16">
        <v>2.5</v>
      </c>
      <c r="BK33" s="16">
        <v>-0.35</v>
      </c>
      <c r="BL33" s="32">
        <f t="shared" si="6"/>
        <v>30.05</v>
      </c>
      <c r="BM33" s="16">
        <v>46.0</v>
      </c>
      <c r="BN33" s="32">
        <f t="shared" si="7"/>
        <v>76.05</v>
      </c>
      <c r="BO33" s="16">
        <v>47.4</v>
      </c>
      <c r="BP33" s="32">
        <f t="shared" si="8"/>
        <v>48.5</v>
      </c>
      <c r="BQ33" s="16">
        <v>32.0</v>
      </c>
      <c r="BR33" s="16">
        <v>28.0</v>
      </c>
      <c r="BV33" s="16" t="str">
        <f>IFERROR(__xludf.DUMMYFUNCTION("""COMPUTED_VALUE"""),"Michael Busch")</f>
        <v>Michael Busch</v>
      </c>
      <c r="BW33" s="16" t="str">
        <f>IFERROR(__xludf.DUMMYFUNCTION("""COMPUTED_VALUE"""),"L")</f>
        <v>L</v>
      </c>
      <c r="BX33" s="16">
        <f>IFERROR(__xludf.DUMMYFUNCTION("""COMPUTED_VALUE"""),29.0)</f>
        <v>29</v>
      </c>
      <c r="BY33" s="16">
        <f>IFERROR(__xludf.DUMMYFUNCTION("""COMPUTED_VALUE"""),38.0)</f>
        <v>38</v>
      </c>
      <c r="BZ33" s="16">
        <f>IFERROR(__xludf.DUMMYFUNCTION("""COMPUTED_VALUE"""),10.0)</f>
        <v>10</v>
      </c>
      <c r="CA33" s="16">
        <f>IFERROR(__xludf.DUMMYFUNCTION("""COMPUTED_VALUE"""),15.0)</f>
        <v>15</v>
      </c>
      <c r="CB33" s="16">
        <f>IFERROR(__xludf.DUMMYFUNCTION("""COMPUTED_VALUE"""),24.1)</f>
        <v>24.1</v>
      </c>
      <c r="CC33" s="16">
        <f>IFERROR(__xludf.DUMMYFUNCTION("""COMPUTED_VALUE"""),17.4)</f>
        <v>17.4</v>
      </c>
      <c r="CD33" s="16">
        <f>IFERROR(__xludf.DUMMYFUNCTION("""COMPUTED_VALUE"""),36.1)</f>
        <v>36.1</v>
      </c>
      <c r="CE33" s="16">
        <f>IFERROR(__xludf.DUMMYFUNCTION("""COMPUTED_VALUE"""),34.4)</f>
        <v>34.4</v>
      </c>
      <c r="CF33" s="16">
        <f>IFERROR(__xludf.DUMMYFUNCTION("""COMPUTED_VALUE"""),41.9)</f>
        <v>41.9</v>
      </c>
      <c r="CG33" s="16">
        <f>IFERROR(__xludf.DUMMYFUNCTION("""COMPUTED_VALUE"""),32.1)</f>
        <v>32.1</v>
      </c>
      <c r="CH33" s="16">
        <f>IFERROR(__xludf.DUMMYFUNCTION("""COMPUTED_VALUE"""),2.0)</f>
        <v>2</v>
      </c>
      <c r="CI33" s="16">
        <f>IFERROR(__xludf.DUMMYFUNCTION("""COMPUTED_VALUE"""),3.3)</f>
        <v>3.3</v>
      </c>
      <c r="CJ33" s="16">
        <f>IFERROR(__xludf.DUMMYFUNCTION("""COMPUTED_VALUE"""),-3.0)</f>
        <v>-3</v>
      </c>
      <c r="CK33" s="16">
        <f>IFERROR(__xludf.DUMMYFUNCTION("""COMPUTED_VALUE"""),6.0)</f>
        <v>6</v>
      </c>
      <c r="CL33" s="16">
        <f>IFERROR(__xludf.DUMMYFUNCTION("""COMPUTED_VALUE"""),5.0)</f>
        <v>5</v>
      </c>
      <c r="CM33" s="16">
        <f>IFERROR(__xludf.DUMMYFUNCTION("""COMPUTED_VALUE"""),5.0)</f>
        <v>5</v>
      </c>
      <c r="CN33" s="16">
        <f>IFERROR(__xludf.DUMMYFUNCTION("""COMPUTED_VALUE"""),12.0)</f>
        <v>12</v>
      </c>
      <c r="CO33" s="16">
        <f>IFERROR(__xludf.DUMMYFUNCTION("""COMPUTED_VALUE"""),11.0)</f>
        <v>11</v>
      </c>
      <c r="CP33" s="16" t="str">
        <f>IFERROR(__xludf.DUMMYFUNCTION("""COMPUTED_VALUE"""),"4/- (13-6)")</f>
        <v>4/- (13-6)</v>
      </c>
      <c r="CQ33" s="16" t="str">
        <f>IFERROR(__xludf.DUMMYFUNCTION("""COMPUTED_VALUE"""),"E")</f>
        <v>E</v>
      </c>
      <c r="CR33" s="16" t="str">
        <f>IFERROR(__xludf.DUMMYFUNCTION("""COMPUTED_VALUE"""),"D")</f>
        <v>D</v>
      </c>
      <c r="CS33" s="16" t="str">
        <f>IFERROR(__xludf.DUMMYFUNCTION("""COMPUTED_VALUE"""),"C")</f>
        <v>C</v>
      </c>
      <c r="CT33" s="100" t="str">
        <f t="shared" si="9"/>
        <v>L</v>
      </c>
      <c r="CW33" s="16">
        <v>24.4</v>
      </c>
      <c r="CX33" s="16">
        <v>2.5</v>
      </c>
      <c r="CY33" s="16">
        <v>2.1</v>
      </c>
      <c r="CZ33" s="32">
        <f t="shared" si="10"/>
        <v>29</v>
      </c>
      <c r="DA33" s="16">
        <v>49.5</v>
      </c>
      <c r="DB33" s="32">
        <f t="shared" si="11"/>
        <v>78.5</v>
      </c>
      <c r="DC33" s="16">
        <v>40.6</v>
      </c>
      <c r="DD33" s="32">
        <f t="shared" si="12"/>
        <v>51.5</v>
      </c>
      <c r="DE33" s="16">
        <v>75.0</v>
      </c>
      <c r="DF33" s="16">
        <v>19.0</v>
      </c>
    </row>
    <row r="34">
      <c r="A34" s="126" t="str">
        <f>IFERROR(__xludf.DUMMYFUNCTION("""COMPUTED_VALUE"""),"Cedric Mullins")</f>
        <v>Cedric Mullins</v>
      </c>
      <c r="B34" s="122" t="s">
        <v>104</v>
      </c>
      <c r="C34" s="123">
        <v>0.16129807692307693</v>
      </c>
      <c r="D34" s="123">
        <v>0.24375000000000002</v>
      </c>
      <c r="E34" s="123">
        <v>0.31875</v>
      </c>
      <c r="F34" s="124">
        <v>0.24519230769230768</v>
      </c>
      <c r="G34" s="124">
        <v>0.02403846153846154</v>
      </c>
      <c r="H34" s="123">
        <f t="shared" si="3"/>
        <v>0.5489783654</v>
      </c>
      <c r="I34" s="125">
        <v>4.0</v>
      </c>
      <c r="J34" s="125" t="s">
        <v>18</v>
      </c>
      <c r="K34" s="126"/>
      <c r="L34" s="126"/>
      <c r="M34" s="126"/>
      <c r="N34" s="126"/>
      <c r="O34" s="126"/>
      <c r="P34" s="126"/>
      <c r="Q34" s="126"/>
      <c r="R34" s="126" t="str">
        <f>IFERROR(__xludf.DUMMYFUNCTION("""COMPUTED_VALUE"""),"Connor Wong")</f>
        <v>Connor Wong</v>
      </c>
      <c r="S34" s="122" t="s">
        <v>105</v>
      </c>
      <c r="T34" s="123">
        <v>0.25240384615384615</v>
      </c>
      <c r="U34" s="123">
        <v>0.2548076923076923</v>
      </c>
      <c r="V34" s="123">
        <v>0.4115384615384615</v>
      </c>
      <c r="W34" s="124">
        <v>0.3173076923076923</v>
      </c>
      <c r="X34" s="124">
        <v>0.09134615384615384</v>
      </c>
      <c r="Y34" s="123">
        <f t="shared" si="4"/>
        <v>0.7179675943</v>
      </c>
      <c r="Z34" s="7"/>
      <c r="AA34" s="7"/>
      <c r="AB34" s="104"/>
      <c r="AC34" s="104"/>
      <c r="AD34" s="104"/>
      <c r="AH34" s="16" t="str">
        <f>IFERROR(__xludf.DUMMYFUNCTION("""COMPUTED_VALUE"""),"Yordan Alvarez")</f>
        <v>Yordan Alvarez</v>
      </c>
      <c r="AI34" s="16" t="str">
        <f>IFERROR(__xludf.DUMMYFUNCTION("""COMPUTED_VALUE"""),"L")</f>
        <v>L</v>
      </c>
      <c r="AJ34" s="16">
        <f>IFERROR(__xludf.DUMMYFUNCTION("""COMPUTED_VALUE"""),15.0)</f>
        <v>15</v>
      </c>
      <c r="AK34" s="16">
        <f>IFERROR(__xludf.DUMMYFUNCTION("""COMPUTED_VALUE"""),6.0)</f>
        <v>6</v>
      </c>
      <c r="AL34" s="16">
        <f>IFERROR(__xludf.DUMMYFUNCTION("""COMPUTED_VALUE"""),5.0)</f>
        <v>5</v>
      </c>
      <c r="AM34" s="16">
        <f>IFERROR(__xludf.DUMMYFUNCTION("""COMPUTED_VALUE"""),11.0)</f>
        <v>11</v>
      </c>
      <c r="AN34" s="16">
        <f>IFERROR(__xludf.DUMMYFUNCTION("""COMPUTED_VALUE"""),42.9)</f>
        <v>42.9</v>
      </c>
      <c r="AO34" s="16">
        <f>IFERROR(__xludf.DUMMYFUNCTION("""COMPUTED_VALUE"""),24.0)</f>
        <v>24</v>
      </c>
      <c r="AP34" s="16">
        <f>IFERROR(__xludf.DUMMYFUNCTION("""COMPUTED_VALUE"""),51.9)</f>
        <v>51.9</v>
      </c>
      <c r="AQ34" s="16">
        <f>IFERROR(__xludf.DUMMYFUNCTION("""COMPUTED_VALUE"""),39.0)</f>
        <v>39</v>
      </c>
      <c r="AR34" s="16">
        <f>IFERROR(__xludf.DUMMYFUNCTION("""COMPUTED_VALUE"""),67.7)</f>
        <v>67.7</v>
      </c>
      <c r="AS34" s="16">
        <f>IFERROR(__xludf.DUMMYFUNCTION("""COMPUTED_VALUE"""),47.2)</f>
        <v>47.2</v>
      </c>
      <c r="AT34" s="16">
        <f>IFERROR(__xludf.DUMMYFUNCTION("""COMPUTED_VALUE"""),4.0)</f>
        <v>4</v>
      </c>
      <c r="AU34" s="16">
        <f>IFERROR(__xludf.DUMMYFUNCTION("""COMPUTED_VALUE"""),6.0)</f>
        <v>6</v>
      </c>
      <c r="AV34" s="16">
        <f>IFERROR(__xludf.DUMMYFUNCTION("""COMPUTED_VALUE"""),8.0)</f>
        <v>8</v>
      </c>
      <c r="AW34" s="16">
        <f>IFERROR(__xludf.DUMMYFUNCTION("""COMPUTED_VALUE"""),8.0)</f>
        <v>8</v>
      </c>
      <c r="AX34" s="16">
        <f>IFERROR(__xludf.DUMMYFUNCTION("""COMPUTED_VALUE"""),5.0)</f>
        <v>5</v>
      </c>
      <c r="AY34" s="16">
        <f>IFERROR(__xludf.DUMMYFUNCTION("""COMPUTED_VALUE"""),5.0)</f>
        <v>5</v>
      </c>
      <c r="AZ34" s="16">
        <f>IFERROR(__xludf.DUMMYFUNCTION("""COMPUTED_VALUE"""),20.0)</f>
        <v>20</v>
      </c>
      <c r="BA34" s="16">
        <f>IFERROR(__xludf.DUMMYFUNCTION("""COMPUTED_VALUE"""),17.0)</f>
        <v>17</v>
      </c>
      <c r="BB34" s="16" t="str">
        <f>IFERROR(__xludf.DUMMYFUNCTION("""COMPUTED_VALUE"""),"2/- (20-6)")</f>
        <v>2/- (20-6)</v>
      </c>
      <c r="BC34" s="16" t="str">
        <f>IFERROR(__xludf.DUMMYFUNCTION("""COMPUTED_VALUE"""),"C")</f>
        <v>C</v>
      </c>
      <c r="BD34" s="16" t="str">
        <f>IFERROR(__xludf.DUMMYFUNCTION("""COMPUTED_VALUE"""),"C")</f>
        <v>C</v>
      </c>
      <c r="BE34" s="16" t="str">
        <f>IFERROR(__xludf.DUMMYFUNCTION("""COMPUTED_VALUE"""),"C")</f>
        <v>C</v>
      </c>
      <c r="BF34" s="100" t="str">
        <f t="shared" si="5"/>
        <v>L</v>
      </c>
      <c r="BI34" s="16">
        <v>34.4</v>
      </c>
      <c r="BJ34" s="16">
        <v>2.5</v>
      </c>
      <c r="BK34" s="16">
        <v>3.5</v>
      </c>
      <c r="BL34" s="32">
        <f t="shared" si="6"/>
        <v>40.4</v>
      </c>
      <c r="BM34" s="16">
        <v>58.5</v>
      </c>
      <c r="BN34" s="32">
        <f t="shared" si="7"/>
        <v>98.9</v>
      </c>
      <c r="BO34" s="16">
        <v>70.2</v>
      </c>
      <c r="BP34" s="32">
        <f t="shared" si="8"/>
        <v>86.7</v>
      </c>
      <c r="BQ34" s="16">
        <v>38.0</v>
      </c>
      <c r="BR34" s="16">
        <v>22.0</v>
      </c>
      <c r="BV34" s="16" t="str">
        <f>IFERROR(__xludf.DUMMYFUNCTION("""COMPUTED_VALUE"""),"Junior Caminero")</f>
        <v>Junior Caminero</v>
      </c>
      <c r="BW34" s="16" t="str">
        <f>IFERROR(__xludf.DUMMYFUNCTION("""COMPUTED_VALUE"""),"R")</f>
        <v>R</v>
      </c>
      <c r="BX34" s="16">
        <f>IFERROR(__xludf.DUMMYFUNCTION("""COMPUTED_VALUE"""),7.0)</f>
        <v>7</v>
      </c>
      <c r="BY34" s="16">
        <f>IFERROR(__xludf.DUMMYFUNCTION("""COMPUTED_VALUE"""),24.0)</f>
        <v>24</v>
      </c>
      <c r="BZ34" s="16">
        <f>IFERROR(__xludf.DUMMYFUNCTION("""COMPUTED_VALUE"""),0.0)</f>
        <v>0</v>
      </c>
      <c r="CA34" s="16">
        <f>IFERROR(__xludf.DUMMYFUNCTION("""COMPUTED_VALUE"""),4.0)</f>
        <v>4</v>
      </c>
      <c r="CB34" s="16">
        <f>IFERROR(__xludf.DUMMYFUNCTION("""COMPUTED_VALUE"""),41.4)</f>
        <v>41.4</v>
      </c>
      <c r="CC34" s="16">
        <f>IFERROR(__xludf.DUMMYFUNCTION("""COMPUTED_VALUE"""),19.5)</f>
        <v>19.5</v>
      </c>
      <c r="CD34" s="16">
        <f>IFERROR(__xludf.DUMMYFUNCTION("""COMPUTED_VALUE"""),42.4)</f>
        <v>42.4</v>
      </c>
      <c r="CE34" s="16">
        <f>IFERROR(__xludf.DUMMYFUNCTION("""COMPUTED_VALUE"""),24.5)</f>
        <v>24.5</v>
      </c>
      <c r="CF34" s="16">
        <f>IFERROR(__xludf.DUMMYFUNCTION("""COMPUTED_VALUE"""),51.7)</f>
        <v>51.7</v>
      </c>
      <c r="CG34" s="16">
        <f>IFERROR(__xludf.DUMMYFUNCTION("""COMPUTED_VALUE"""),36.0)</f>
        <v>36</v>
      </c>
      <c r="CH34" s="16">
        <f>IFERROR(__xludf.DUMMYFUNCTION("""COMPUTED_VALUE"""),0.0)</f>
        <v>0</v>
      </c>
      <c r="CI34" s="16">
        <f>IFERROR(__xludf.DUMMYFUNCTION("""COMPUTED_VALUE"""),3.2)</f>
        <v>3.2</v>
      </c>
      <c r="CJ34" s="16">
        <f>IFERROR(__xludf.DUMMYFUNCTION("""COMPUTED_VALUE"""),-3.0)</f>
        <v>-3</v>
      </c>
      <c r="CK34" s="16">
        <f>IFERROR(__xludf.DUMMYFUNCTION("""COMPUTED_VALUE"""),5.0)</f>
        <v>5</v>
      </c>
      <c r="CL34" s="16">
        <f>IFERROR(__xludf.DUMMYFUNCTION("""COMPUTED_VALUE"""),5.0)</f>
        <v>5</v>
      </c>
      <c r="CM34" s="16">
        <f>IFERROR(__xludf.DUMMYFUNCTION("""COMPUTED_VALUE"""),5.0)</f>
        <v>5</v>
      </c>
      <c r="CN34" s="16">
        <f>IFERROR(__xludf.DUMMYFUNCTION("""COMPUTED_VALUE"""),8.0)</f>
        <v>8</v>
      </c>
      <c r="CO34" s="16">
        <f>IFERROR(__xludf.DUMMYFUNCTION("""COMPUTED_VALUE"""),7.0)</f>
        <v>7</v>
      </c>
      <c r="CP34" s="16" t="str">
        <f>IFERROR(__xludf.DUMMYFUNCTION("""COMPUTED_VALUE"""),"3/- (20-6)")</f>
        <v>3/- (20-6)</v>
      </c>
      <c r="CQ34" s="16" t="str">
        <f>IFERROR(__xludf.DUMMYFUNCTION("""COMPUTED_VALUE"""),"D")</f>
        <v>D</v>
      </c>
      <c r="CR34" s="16" t="str">
        <f>IFERROR(__xludf.DUMMYFUNCTION("""COMPUTED_VALUE"""),"D")</f>
        <v>D</v>
      </c>
      <c r="CS34" s="16" t="str">
        <f>IFERROR(__xludf.DUMMYFUNCTION("""COMPUTED_VALUE"""),"C")</f>
        <v>C</v>
      </c>
      <c r="CT34" s="100" t="str">
        <f t="shared" si="9"/>
        <v>R</v>
      </c>
      <c r="CW34" s="16">
        <v>41.8</v>
      </c>
      <c r="CX34" s="16">
        <v>3.5</v>
      </c>
      <c r="CY34" s="16">
        <v>1.75</v>
      </c>
      <c r="CZ34" s="32">
        <f t="shared" si="10"/>
        <v>47.05</v>
      </c>
      <c r="DA34" s="16">
        <v>47.8</v>
      </c>
      <c r="DB34" s="32">
        <f t="shared" si="11"/>
        <v>94.85</v>
      </c>
      <c r="DC34" s="16">
        <v>79.6</v>
      </c>
      <c r="DD34" s="32">
        <f t="shared" si="12"/>
        <v>90.1</v>
      </c>
      <c r="DE34" s="16">
        <v>61.0</v>
      </c>
      <c r="DF34" s="16">
        <v>14.0</v>
      </c>
    </row>
    <row r="35">
      <c r="A35" s="126" t="str">
        <f>IFERROR(__xludf.DUMMYFUNCTION("""COMPUTED_VALUE"""),"Ildemaro Vargas")</f>
        <v>Ildemaro Vargas</v>
      </c>
      <c r="B35" s="122" t="s">
        <v>106</v>
      </c>
      <c r="C35" s="123">
        <v>0.14447115384615383</v>
      </c>
      <c r="D35" s="123">
        <v>0.22115384615384615</v>
      </c>
      <c r="E35" s="123">
        <v>0.23317307692307693</v>
      </c>
      <c r="F35" s="124">
        <v>0.15384615384615385</v>
      </c>
      <c r="G35" s="124">
        <v>0.1346153846153846</v>
      </c>
      <c r="H35" s="123">
        <f t="shared" si="3"/>
        <v>0.3931675296</v>
      </c>
      <c r="I35" s="125"/>
      <c r="J35" s="125"/>
      <c r="K35" s="126"/>
      <c r="L35" s="126"/>
      <c r="M35" s="126"/>
      <c r="N35" s="126"/>
      <c r="O35" s="126"/>
      <c r="P35" s="126"/>
      <c r="Q35" s="126"/>
      <c r="R35" s="126" t="str">
        <f>IFERROR(__xludf.DUMMYFUNCTION("""COMPUTED_VALUE"""),"Hunter Goodman")</f>
        <v>Hunter Goodman</v>
      </c>
      <c r="S35" s="122" t="s">
        <v>105</v>
      </c>
      <c r="T35" s="123">
        <v>0.16009615384615383</v>
      </c>
      <c r="U35" s="123">
        <v>0.16009615384615383</v>
      </c>
      <c r="V35" s="123">
        <v>0.36610576923076926</v>
      </c>
      <c r="W35" s="124">
        <v>0.3317307692307692</v>
      </c>
      <c r="X35" s="124">
        <v>0.125</v>
      </c>
      <c r="Y35" s="123">
        <f t="shared" si="4"/>
        <v>0.53046875</v>
      </c>
      <c r="Z35" s="7"/>
      <c r="AA35" s="7"/>
      <c r="AB35" s="104"/>
      <c r="AC35" s="104"/>
      <c r="AD35" s="104"/>
      <c r="AH35" s="16" t="str">
        <f>IFERROR(__xludf.DUMMYFUNCTION("""COMPUTED_VALUE"""),"Teoscar Hernandez")</f>
        <v>Teoscar Hernandez</v>
      </c>
      <c r="AI35" s="16" t="str">
        <f>IFERROR(__xludf.DUMMYFUNCTION("""COMPUTED_VALUE"""),"R")</f>
        <v>R</v>
      </c>
      <c r="AJ35" s="16">
        <f>IFERROR(__xludf.DUMMYFUNCTION("""COMPUTED_VALUE"""),35.0)</f>
        <v>35</v>
      </c>
      <c r="AK35" s="16">
        <f>IFERROR(__xludf.DUMMYFUNCTION("""COMPUTED_VALUE"""),38.0)</f>
        <v>38</v>
      </c>
      <c r="AL35" s="16">
        <f>IFERROR(__xludf.DUMMYFUNCTION("""COMPUTED_VALUE"""),5.0)</f>
        <v>5</v>
      </c>
      <c r="AM35" s="16">
        <f>IFERROR(__xludf.DUMMYFUNCTION("""COMPUTED_VALUE"""),10.0)</f>
        <v>10</v>
      </c>
      <c r="AN35" s="16">
        <f>IFERROR(__xludf.DUMMYFUNCTION("""COMPUTED_VALUE"""),27.0)</f>
        <v>27</v>
      </c>
      <c r="AO35" s="16">
        <f>IFERROR(__xludf.DUMMYFUNCTION("""COMPUTED_VALUE"""),23.3)</f>
        <v>23.3</v>
      </c>
      <c r="AP35" s="16">
        <f>IFERROR(__xludf.DUMMYFUNCTION("""COMPUTED_VALUE"""),35.0)</f>
        <v>35</v>
      </c>
      <c r="AQ35" s="16">
        <f>IFERROR(__xludf.DUMMYFUNCTION("""COMPUTED_VALUE"""),36.3)</f>
        <v>36.3</v>
      </c>
      <c r="AR35" s="16">
        <f>IFERROR(__xludf.DUMMYFUNCTION("""COMPUTED_VALUE"""),52.5)</f>
        <v>52.5</v>
      </c>
      <c r="AS35" s="16">
        <f>IFERROR(__xludf.DUMMYFUNCTION("""COMPUTED_VALUE"""),39.5)</f>
        <v>39.5</v>
      </c>
      <c r="AT35" s="16">
        <f>IFERROR(__xludf.DUMMYFUNCTION("""COMPUTED_VALUE"""),6.0)</f>
        <v>6</v>
      </c>
      <c r="AU35" s="16">
        <f>IFERROR(__xludf.DUMMYFUNCTION("""COMPUTED_VALUE"""),3.8)</f>
        <v>3.8</v>
      </c>
      <c r="AV35" s="16">
        <f>IFERROR(__xludf.DUMMYFUNCTION("""COMPUTED_VALUE"""),8.0)</f>
        <v>8</v>
      </c>
      <c r="AW35" s="16">
        <f>IFERROR(__xludf.DUMMYFUNCTION("""COMPUTED_VALUE"""),5.0)</f>
        <v>5</v>
      </c>
      <c r="AX35" s="16">
        <f>IFERROR(__xludf.DUMMYFUNCTION("""COMPUTED_VALUE"""),5.0)</f>
        <v>5</v>
      </c>
      <c r="AY35" s="16">
        <f>IFERROR(__xludf.DUMMYFUNCTION("""COMPUTED_VALUE"""),5.0)</f>
        <v>5</v>
      </c>
      <c r="AZ35" s="16">
        <f>IFERROR(__xludf.DUMMYFUNCTION("""COMPUTED_VALUE"""),6.0)</f>
        <v>6</v>
      </c>
      <c r="BA35" s="16">
        <f>IFERROR(__xludf.DUMMYFUNCTION("""COMPUTED_VALUE"""),7.0)</f>
        <v>7</v>
      </c>
      <c r="BB35" s="16" t="str">
        <f>IFERROR(__xludf.DUMMYFUNCTION("""COMPUTED_VALUE"""),"*6/- (18-6)")</f>
        <v>*6/- (18-6)</v>
      </c>
      <c r="BC35" s="16" t="str">
        <f>IFERROR(__xludf.DUMMYFUNCTION("""COMPUTED_VALUE"""),"B")</f>
        <v>B</v>
      </c>
      <c r="BD35" s="16" t="str">
        <f>IFERROR(__xludf.DUMMYFUNCTION("""COMPUTED_VALUE"""),"D")</f>
        <v>D</v>
      </c>
      <c r="BE35" s="16" t="str">
        <f>IFERROR(__xludf.DUMMYFUNCTION("""COMPUTED_VALUE"""),"C")</f>
        <v>C</v>
      </c>
      <c r="BF35" s="100" t="str">
        <f t="shared" si="5"/>
        <v>R</v>
      </c>
      <c r="BI35" s="16">
        <v>30.3</v>
      </c>
      <c r="BJ35" s="16">
        <v>3.5</v>
      </c>
      <c r="BK35" s="16">
        <v>1.25</v>
      </c>
      <c r="BL35" s="32">
        <f t="shared" si="6"/>
        <v>35.05</v>
      </c>
      <c r="BM35" s="16">
        <v>53.3</v>
      </c>
      <c r="BN35" s="32">
        <f t="shared" si="7"/>
        <v>88.35</v>
      </c>
      <c r="BO35" s="16">
        <v>52.6</v>
      </c>
      <c r="BP35" s="32">
        <f t="shared" si="8"/>
        <v>61.1</v>
      </c>
      <c r="BQ35" s="16">
        <v>84.0</v>
      </c>
      <c r="BR35" s="16">
        <v>10.0</v>
      </c>
      <c r="BV35" s="16" t="str">
        <f>IFERROR(__xludf.DUMMYFUNCTION("""COMPUTED_VALUE"""),"Leo Rivas")</f>
        <v>Leo Rivas</v>
      </c>
      <c r="BW35" s="16" t="str">
        <f>IFERROR(__xludf.DUMMYFUNCTION("""COMPUTED_VALUE"""),"S")</f>
        <v>S</v>
      </c>
      <c r="BX35" s="16">
        <f>IFERROR(__xludf.DUMMYFUNCTION("""COMPUTED_VALUE"""),48.0)</f>
        <v>48</v>
      </c>
      <c r="BY35" s="16">
        <f>IFERROR(__xludf.DUMMYFUNCTION("""COMPUTED_VALUE"""),30.0)</f>
        <v>30</v>
      </c>
      <c r="BZ35" s="16">
        <f>IFERROR(__xludf.DUMMYFUNCTION("""COMPUTED_VALUE"""),18.0)</f>
        <v>18</v>
      </c>
      <c r="CA35" s="16">
        <f>IFERROR(__xludf.DUMMYFUNCTION("""COMPUTED_VALUE"""),15.0)</f>
        <v>15</v>
      </c>
      <c r="CB35" s="16">
        <f>IFERROR(__xludf.DUMMYFUNCTION("""COMPUTED_VALUE"""),9.7)</f>
        <v>9.7</v>
      </c>
      <c r="CC35" s="16">
        <f>IFERROR(__xludf.DUMMYFUNCTION("""COMPUTED_VALUE"""),21.6)</f>
        <v>21.6</v>
      </c>
      <c r="CD35" s="16">
        <f>IFERROR(__xludf.DUMMYFUNCTION("""COMPUTED_VALUE"""),30.7)</f>
        <v>30.7</v>
      </c>
      <c r="CE35" s="16">
        <f>IFERROR(__xludf.DUMMYFUNCTION("""COMPUTED_VALUE"""),39.6)</f>
        <v>39.6</v>
      </c>
      <c r="CF35" s="16">
        <f>IFERROR(__xludf.DUMMYFUNCTION("""COMPUTED_VALUE"""),9.7)</f>
        <v>9.7</v>
      </c>
      <c r="CG35" s="16">
        <f>IFERROR(__xludf.DUMMYFUNCTION("""COMPUTED_VALUE"""),28.7)</f>
        <v>28.7</v>
      </c>
      <c r="CH35" s="16">
        <f>IFERROR(__xludf.DUMMYFUNCTION("""COMPUTED_VALUE"""),0.0)</f>
        <v>0</v>
      </c>
      <c r="CI35" s="16">
        <f>IFERROR(__xludf.DUMMYFUNCTION("""COMPUTED_VALUE"""),0.0)</f>
        <v>0</v>
      </c>
      <c r="CJ35" s="16">
        <f>IFERROR(__xludf.DUMMYFUNCTION("""COMPUTED_VALUE"""),-3.0)</f>
        <v>-3</v>
      </c>
      <c r="CK35" s="16">
        <f>IFERROR(__xludf.DUMMYFUNCTION("""COMPUTED_VALUE"""),-3.0)</f>
        <v>-3</v>
      </c>
      <c r="CL35" s="16">
        <f>IFERROR(__xludf.DUMMYFUNCTION("""COMPUTED_VALUE"""),5.0)</f>
        <v>5</v>
      </c>
      <c r="CM35" s="16">
        <f>IFERROR(__xludf.DUMMYFUNCTION("""COMPUTED_VALUE"""),5.0)</f>
        <v>5</v>
      </c>
      <c r="CN35" s="16">
        <f>IFERROR(__xludf.DUMMYFUNCTION("""COMPUTED_VALUE"""),8.0)</f>
        <v>8</v>
      </c>
      <c r="CO35" s="16">
        <f>IFERROR(__xludf.DUMMYFUNCTION("""COMPUTED_VALUE"""),8.0)</f>
        <v>8</v>
      </c>
      <c r="CP35" s="16" t="str">
        <f>IFERROR(__xludf.DUMMYFUNCTION("""COMPUTED_VALUE"""),"*5/- (20-11)")</f>
        <v>*5/- (20-11)</v>
      </c>
      <c r="CQ35" s="16" t="str">
        <f>IFERROR(__xludf.DUMMYFUNCTION("""COMPUTED_VALUE"""),"B")</f>
        <v>B</v>
      </c>
      <c r="CR35" s="16" t="str">
        <f>IFERROR(__xludf.DUMMYFUNCTION("""COMPUTED_VALUE"""),"B")</f>
        <v>B</v>
      </c>
      <c r="CS35" s="16" t="str">
        <f>IFERROR(__xludf.DUMMYFUNCTION("""COMPUTED_VALUE"""),"D")</f>
        <v>D</v>
      </c>
      <c r="CT35" s="100" t="str">
        <f t="shared" si="9"/>
        <v>L</v>
      </c>
      <c r="CW35" s="16">
        <v>28.6</v>
      </c>
      <c r="CX35" s="16">
        <v>2.5</v>
      </c>
      <c r="CY35" s="16">
        <v>-1.05</v>
      </c>
      <c r="CZ35" s="32">
        <f t="shared" si="10"/>
        <v>30.05</v>
      </c>
      <c r="DA35" s="16">
        <v>54.7</v>
      </c>
      <c r="DB35" s="32">
        <f t="shared" si="11"/>
        <v>84.75</v>
      </c>
      <c r="DC35" s="16">
        <v>37.2</v>
      </c>
      <c r="DD35" s="32">
        <f t="shared" si="12"/>
        <v>35.5</v>
      </c>
      <c r="DE35" s="16">
        <v>67.0</v>
      </c>
      <c r="DF35" s="16">
        <v>16.0</v>
      </c>
    </row>
    <row r="36">
      <c r="A36" s="126" t="str">
        <f>IFERROR(__xludf.DUMMYFUNCTION("""COMPUTED_VALUE"""),"JJ Bleday")</f>
        <v>JJ Bleday</v>
      </c>
      <c r="B36" s="122" t="s">
        <v>104</v>
      </c>
      <c r="C36" s="123">
        <v>0.17235576923076923</v>
      </c>
      <c r="D36" s="123">
        <v>0.26778846153846153</v>
      </c>
      <c r="E36" s="123">
        <v>0.33557692307692305</v>
      </c>
      <c r="F36" s="124">
        <v>0.22596153846153846</v>
      </c>
      <c r="G36" s="124">
        <v>0.0625</v>
      </c>
      <c r="H36" s="123">
        <f t="shared" si="3"/>
        <v>0.5656550481</v>
      </c>
      <c r="I36" s="125"/>
      <c r="J36" s="125"/>
      <c r="K36" s="126"/>
      <c r="L36" s="126"/>
      <c r="M36" s="126"/>
      <c r="N36" s="126"/>
      <c r="O36" s="126"/>
      <c r="P36" s="126"/>
      <c r="Q36" s="126"/>
      <c r="R36" s="126" t="str">
        <f>IFERROR(__xludf.DUMMYFUNCTION("""COMPUTED_VALUE"""),"Jordan Westburg")</f>
        <v>Jordan Westburg</v>
      </c>
      <c r="S36" s="122" t="s">
        <v>105</v>
      </c>
      <c r="T36" s="123">
        <v>0.2605769230769231</v>
      </c>
      <c r="U36" s="123">
        <v>0.25817307692307695</v>
      </c>
      <c r="V36" s="123">
        <v>0.49951923076923077</v>
      </c>
      <c r="W36" s="124">
        <v>0.25961538461538464</v>
      </c>
      <c r="X36" s="124">
        <v>0.07211538461538461</v>
      </c>
      <c r="Y36" s="123">
        <f t="shared" si="4"/>
        <v>0.8261741864</v>
      </c>
      <c r="Z36" s="7"/>
      <c r="AA36" s="7"/>
      <c r="AB36" s="104"/>
      <c r="AC36" s="104"/>
      <c r="AD36" s="104"/>
      <c r="AH36" s="16" t="str">
        <f>IFERROR(__xludf.DUMMYFUNCTION("""COMPUTED_VALUE"""),"Trea Turner")</f>
        <v>Trea Turner</v>
      </c>
      <c r="AI36" s="16" t="str">
        <f>IFERROR(__xludf.DUMMYFUNCTION("""COMPUTED_VALUE"""),"R")</f>
        <v>R</v>
      </c>
      <c r="AJ36" s="16">
        <f>IFERROR(__xludf.DUMMYFUNCTION("""COMPUTED_VALUE"""),13.0)</f>
        <v>13</v>
      </c>
      <c r="AK36" s="16">
        <f>IFERROR(__xludf.DUMMYFUNCTION("""COMPUTED_VALUE"""),15.0)</f>
        <v>15</v>
      </c>
      <c r="AL36" s="16">
        <f>IFERROR(__xludf.DUMMYFUNCTION("""COMPUTED_VALUE"""),8.0)</f>
        <v>8</v>
      </c>
      <c r="AM36" s="16">
        <f>IFERROR(__xludf.DUMMYFUNCTION("""COMPUTED_VALUE"""),1.0)</f>
        <v>1</v>
      </c>
      <c r="AN36" s="16">
        <f>IFERROR(__xludf.DUMMYFUNCTION("""COMPUTED_VALUE"""),30.5)</f>
        <v>30.5</v>
      </c>
      <c r="AO36" s="16">
        <f>IFERROR(__xludf.DUMMYFUNCTION("""COMPUTED_VALUE"""),32.0)</f>
        <v>32</v>
      </c>
      <c r="AP36" s="16">
        <f>IFERROR(__xludf.DUMMYFUNCTION("""COMPUTED_VALUE"""),40.5)</f>
        <v>40.5</v>
      </c>
      <c r="AQ36" s="16">
        <f>IFERROR(__xludf.DUMMYFUNCTION("""COMPUTED_VALUE"""),35.0)</f>
        <v>35</v>
      </c>
      <c r="AR36" s="16">
        <f>IFERROR(__xludf.DUMMYFUNCTION("""COMPUTED_VALUE"""),50.0)</f>
        <v>50</v>
      </c>
      <c r="AS36" s="16">
        <f>IFERROR(__xludf.DUMMYFUNCTION("""COMPUTED_VALUE"""),42.6)</f>
        <v>42.6</v>
      </c>
      <c r="AT36" s="16">
        <f>IFERROR(__xludf.DUMMYFUNCTION("""COMPUTED_VALUE"""),4.0)</f>
        <v>4</v>
      </c>
      <c r="AU36" s="16">
        <f>IFERROR(__xludf.DUMMYFUNCTION("""COMPUTED_VALUE"""),2.4)</f>
        <v>2.4</v>
      </c>
      <c r="AV36" s="16">
        <f>IFERROR(__xludf.DUMMYFUNCTION("""COMPUTED_VALUE"""),6.0)</f>
        <v>6</v>
      </c>
      <c r="AW36" s="16">
        <f>IFERROR(__xludf.DUMMYFUNCTION("""COMPUTED_VALUE"""),4.0)</f>
        <v>4</v>
      </c>
      <c r="AX36" s="16">
        <f>IFERROR(__xludf.DUMMYFUNCTION("""COMPUTED_VALUE"""),5.0)</f>
        <v>5</v>
      </c>
      <c r="AY36" s="16">
        <f>IFERROR(__xludf.DUMMYFUNCTION("""COMPUTED_VALUE"""),5.0)</f>
        <v>5</v>
      </c>
      <c r="AZ36" s="16">
        <f>IFERROR(__xludf.DUMMYFUNCTION("""COMPUTED_VALUE"""),15.0)</f>
        <v>15</v>
      </c>
      <c r="BA36" s="16">
        <f>IFERROR(__xludf.DUMMYFUNCTION("""COMPUTED_VALUE"""),16.0)</f>
        <v>16</v>
      </c>
      <c r="BB36" s="16" t="str">
        <f>IFERROR(__xludf.DUMMYFUNCTION("""COMPUTED_VALUE"""),"*4,6/- (19-12)")</f>
        <v>*4,6/- (19-12)</v>
      </c>
      <c r="BC36" s="16" t="str">
        <f>IFERROR(__xludf.DUMMYFUNCTION("""COMPUTED_VALUE"""),"A")</f>
        <v>A</v>
      </c>
      <c r="BD36" s="16" t="str">
        <f>IFERROR(__xludf.DUMMYFUNCTION("""COMPUTED_VALUE"""),"D")</f>
        <v>D</v>
      </c>
      <c r="BE36" s="16" t="str">
        <f>IFERROR(__xludf.DUMMYFUNCTION("""COMPUTED_VALUE"""),"C")</f>
        <v>C</v>
      </c>
      <c r="BF36" s="100" t="str">
        <f t="shared" si="5"/>
        <v>R</v>
      </c>
      <c r="BI36" s="16">
        <v>39.0</v>
      </c>
      <c r="BJ36" s="16">
        <v>3.5</v>
      </c>
      <c r="BK36" s="16">
        <v>1.0</v>
      </c>
      <c r="BL36" s="32">
        <f t="shared" si="6"/>
        <v>43.5</v>
      </c>
      <c r="BM36" s="16">
        <v>52.0</v>
      </c>
      <c r="BN36" s="32">
        <f t="shared" si="7"/>
        <v>95.5</v>
      </c>
      <c r="BO36" s="16">
        <v>55.7</v>
      </c>
      <c r="BP36" s="32">
        <f t="shared" si="8"/>
        <v>63.2</v>
      </c>
      <c r="BQ36" s="16">
        <v>61.0</v>
      </c>
      <c r="BR36" s="16">
        <v>19.0</v>
      </c>
      <c r="BV36" s="16" t="str">
        <f>IFERROR(__xludf.DUMMYFUNCTION("""COMPUTED_VALUE"""),"Jordan Westburg")</f>
        <v>Jordan Westburg</v>
      </c>
      <c r="BW36" s="16" t="str">
        <f>IFERROR(__xludf.DUMMYFUNCTION("""COMPUTED_VALUE"""),"R")</f>
        <v>R</v>
      </c>
      <c r="BX36" s="16">
        <f>IFERROR(__xludf.DUMMYFUNCTION("""COMPUTED_VALUE"""),38.0)</f>
        <v>38</v>
      </c>
      <c r="BY36" s="16">
        <f>IFERROR(__xludf.DUMMYFUNCTION("""COMPUTED_VALUE"""),17.0)</f>
        <v>17</v>
      </c>
      <c r="BZ36" s="16">
        <f>IFERROR(__xludf.DUMMYFUNCTION("""COMPUTED_VALUE"""),9.0)</f>
        <v>9</v>
      </c>
      <c r="CA36" s="16">
        <f>IFERROR(__xludf.DUMMYFUNCTION("""COMPUTED_VALUE"""),1.0)</f>
        <v>1</v>
      </c>
      <c r="CB36" s="16">
        <f>IFERROR(__xludf.DUMMYFUNCTION("""COMPUTED_VALUE"""),14.3)</f>
        <v>14.3</v>
      </c>
      <c r="CC36" s="16">
        <f>IFERROR(__xludf.DUMMYFUNCTION("""COMPUTED_VALUE"""),26.4)</f>
        <v>26.4</v>
      </c>
      <c r="CD36" s="16">
        <f>IFERROR(__xludf.DUMMYFUNCTION("""COMPUTED_VALUE"""),26.3)</f>
        <v>26.3</v>
      </c>
      <c r="CE36" s="16">
        <f>IFERROR(__xludf.DUMMYFUNCTION("""COMPUTED_VALUE"""),30.4)</f>
        <v>30.4</v>
      </c>
      <c r="CF36" s="16">
        <f>IFERROR(__xludf.DUMMYFUNCTION("""COMPUTED_VALUE"""),32.5)</f>
        <v>32.5</v>
      </c>
      <c r="CG36" s="16">
        <f>IFERROR(__xludf.DUMMYFUNCTION("""COMPUTED_VALUE"""),48.8)</f>
        <v>48.8</v>
      </c>
      <c r="CH36" s="16">
        <f>IFERROR(__xludf.DUMMYFUNCTION("""COMPUTED_VALUE"""),3.6)</f>
        <v>3.6</v>
      </c>
      <c r="CI36" s="16">
        <f>IFERROR(__xludf.DUMMYFUNCTION("""COMPUTED_VALUE"""),3.2)</f>
        <v>3.2</v>
      </c>
      <c r="CJ36" s="16">
        <f>IFERROR(__xludf.DUMMYFUNCTION("""COMPUTED_VALUE"""),8.0)</f>
        <v>8</v>
      </c>
      <c r="CK36" s="16">
        <f>IFERROR(__xludf.DUMMYFUNCTION("""COMPUTED_VALUE"""),6.0)</f>
        <v>6</v>
      </c>
      <c r="CL36" s="16">
        <f>IFERROR(__xludf.DUMMYFUNCTION("""COMPUTED_VALUE"""),5.0)</f>
        <v>5</v>
      </c>
      <c r="CM36" s="16">
        <f>IFERROR(__xludf.DUMMYFUNCTION("""COMPUTED_VALUE"""),5.0)</f>
        <v>5</v>
      </c>
      <c r="CN36" s="16">
        <f>IFERROR(__xludf.DUMMYFUNCTION("""COMPUTED_VALUE"""),6.0)</f>
        <v>6</v>
      </c>
      <c r="CO36" s="16">
        <f>IFERROR(__xludf.DUMMYFUNCTION("""COMPUTED_VALUE"""),8.0)</f>
        <v>8</v>
      </c>
      <c r="CP36" s="16" t="str">
        <f>IFERROR(__xludf.DUMMYFUNCTION("""COMPUTED_VALUE"""),"*4-6/- (15-11)")</f>
        <v>*4-6/- (15-11)</v>
      </c>
      <c r="CQ36" s="16" t="str">
        <f>IFERROR(__xludf.DUMMYFUNCTION("""COMPUTED_VALUE"""),"C")</f>
        <v>C</v>
      </c>
      <c r="CR36" s="16" t="str">
        <f>IFERROR(__xludf.DUMMYFUNCTION("""COMPUTED_VALUE"""),"D")</f>
        <v>D</v>
      </c>
      <c r="CS36" s="16" t="str">
        <f>IFERROR(__xludf.DUMMYFUNCTION("""COMPUTED_VALUE"""),"C")</f>
        <v>C</v>
      </c>
      <c r="CT36" s="100" t="str">
        <f t="shared" si="9"/>
        <v>R</v>
      </c>
      <c r="CW36" s="16">
        <v>48.7</v>
      </c>
      <c r="CX36" s="16">
        <v>3.5</v>
      </c>
      <c r="CY36" s="16">
        <v>2.0</v>
      </c>
      <c r="CZ36" s="32">
        <f t="shared" si="10"/>
        <v>54.2</v>
      </c>
      <c r="DA36" s="16">
        <v>53.7</v>
      </c>
      <c r="DB36" s="32">
        <f t="shared" si="11"/>
        <v>107.9</v>
      </c>
      <c r="DC36" s="16">
        <v>92.4</v>
      </c>
      <c r="DD36" s="32">
        <f t="shared" si="12"/>
        <v>103.9</v>
      </c>
      <c r="DE36" s="16">
        <v>54.0</v>
      </c>
      <c r="DF36" s="16">
        <v>15.0</v>
      </c>
    </row>
    <row r="37">
      <c r="A37" s="126" t="str">
        <f>IFERROR(__xludf.DUMMYFUNCTION("""COMPUTED_VALUE"""),"Jorge Polanco")</f>
        <v>Jorge Polanco</v>
      </c>
      <c r="B37" s="122" t="s">
        <v>106</v>
      </c>
      <c r="C37" s="123">
        <v>0.12379807692307693</v>
      </c>
      <c r="D37" s="123">
        <v>0.22067307692307692</v>
      </c>
      <c r="E37" s="123">
        <v>0.2557692307692308</v>
      </c>
      <c r="F37" s="124">
        <v>0.375</v>
      </c>
      <c r="G37" s="124">
        <v>0.125</v>
      </c>
      <c r="H37" s="123">
        <f t="shared" si="3"/>
        <v>0.4168870192</v>
      </c>
      <c r="I37" s="125">
        <v>6.0</v>
      </c>
      <c r="J37" s="125" t="s">
        <v>17</v>
      </c>
      <c r="K37" s="126"/>
      <c r="L37" s="126"/>
      <c r="M37" s="126"/>
      <c r="N37" s="126"/>
      <c r="O37" s="126"/>
      <c r="P37" s="126"/>
      <c r="Q37" s="126"/>
      <c r="R37" s="126" t="str">
        <f>IFERROR(__xludf.DUMMYFUNCTION("""COMPUTED_VALUE"""),"Junior Caminero")</f>
        <v>Junior Caminero</v>
      </c>
      <c r="S37" s="122" t="s">
        <v>105</v>
      </c>
      <c r="T37" s="123">
        <v>0.22620192307692305</v>
      </c>
      <c r="U37" s="123">
        <v>0.2298076923076923</v>
      </c>
      <c r="V37" s="123">
        <v>0.4331730769230769</v>
      </c>
      <c r="W37" s="124">
        <v>0.2932692307692308</v>
      </c>
      <c r="X37" s="124">
        <v>0.0673076923076923</v>
      </c>
      <c r="Y37" s="123">
        <f t="shared" si="4"/>
        <v>0.7204823872</v>
      </c>
      <c r="Z37" s="7"/>
      <c r="AA37" s="7"/>
      <c r="AB37" s="104"/>
      <c r="AC37" s="104"/>
      <c r="AD37" s="104"/>
      <c r="AH37" s="16" t="str">
        <f>IFERROR(__xludf.DUMMYFUNCTION("""COMPUTED_VALUE"""),"JJ Bleday")</f>
        <v>JJ Bleday</v>
      </c>
      <c r="AI37" s="16" t="str">
        <f>IFERROR(__xludf.DUMMYFUNCTION("""COMPUTED_VALUE"""),"L")</f>
        <v>L</v>
      </c>
      <c r="AJ37" s="16">
        <f>IFERROR(__xludf.DUMMYFUNCTION("""COMPUTED_VALUE"""),29.0)</f>
        <v>29</v>
      </c>
      <c r="AK37" s="16">
        <f>IFERROR(__xludf.DUMMYFUNCTION("""COMPUTED_VALUE"""),15.0)</f>
        <v>15</v>
      </c>
      <c r="AL37" s="16">
        <f>IFERROR(__xludf.DUMMYFUNCTION("""COMPUTED_VALUE"""),5.0)</f>
        <v>5</v>
      </c>
      <c r="AM37" s="16">
        <f>IFERROR(__xludf.DUMMYFUNCTION("""COMPUTED_VALUE"""),14.0)</f>
        <v>14</v>
      </c>
      <c r="AN37" s="16">
        <f>IFERROR(__xludf.DUMMYFUNCTION("""COMPUTED_VALUE"""),16.5)</f>
        <v>16.5</v>
      </c>
      <c r="AO37" s="16">
        <f>IFERROR(__xludf.DUMMYFUNCTION("""COMPUTED_VALUE"""),21.2)</f>
        <v>21.2</v>
      </c>
      <c r="AP37" s="16">
        <f>IFERROR(__xludf.DUMMYFUNCTION("""COMPUTED_VALUE"""),22.5)</f>
        <v>22.5</v>
      </c>
      <c r="AQ37" s="16">
        <f>IFERROR(__xludf.DUMMYFUNCTION("""COMPUTED_VALUE"""),36.2)</f>
        <v>36.2</v>
      </c>
      <c r="AR37" s="16">
        <f>IFERROR(__xludf.DUMMYFUNCTION("""COMPUTED_VALUE"""),43.8)</f>
        <v>43.8</v>
      </c>
      <c r="AS37" s="16">
        <f>IFERROR(__xludf.DUMMYFUNCTION("""COMPUTED_VALUE"""),37.3)</f>
        <v>37.3</v>
      </c>
      <c r="AT37" s="16">
        <f>IFERROR(__xludf.DUMMYFUNCTION("""COMPUTED_VALUE"""),5.4)</f>
        <v>5.4</v>
      </c>
      <c r="AU37" s="16">
        <f>IFERROR(__xludf.DUMMYFUNCTION("""COMPUTED_VALUE"""),1.5)</f>
        <v>1.5</v>
      </c>
      <c r="AV37" s="16">
        <f>IFERROR(__xludf.DUMMYFUNCTION("""COMPUTED_VALUE"""),8.0)</f>
        <v>8</v>
      </c>
      <c r="AW37" s="16">
        <f>IFERROR(__xludf.DUMMYFUNCTION("""COMPUTED_VALUE"""),3.0)</f>
        <v>3</v>
      </c>
      <c r="AX37" s="16">
        <f>IFERROR(__xludf.DUMMYFUNCTION("""COMPUTED_VALUE"""),0.0)</f>
        <v>0</v>
      </c>
      <c r="AY37" s="16">
        <f>IFERROR(__xludf.DUMMYFUNCTION("""COMPUTED_VALUE"""),5.0)</f>
        <v>5</v>
      </c>
      <c r="AZ37" s="16">
        <f>IFERROR(__xludf.DUMMYFUNCTION("""COMPUTED_VALUE"""),10.0)</f>
        <v>10</v>
      </c>
      <c r="BA37" s="16">
        <f>IFERROR(__xludf.DUMMYFUNCTION("""COMPUTED_VALUE"""),8.0)</f>
        <v>8</v>
      </c>
      <c r="BB37" s="16" t="str">
        <f>IFERROR(__xludf.DUMMYFUNCTION("""COMPUTED_VALUE"""),"5/10 (13-4)")</f>
        <v>5/10 (13-4)</v>
      </c>
      <c r="BC37" s="16" t="str">
        <f>IFERROR(__xludf.DUMMYFUNCTION("""COMPUTED_VALUE"""),"E")</f>
        <v>E</v>
      </c>
      <c r="BD37" s="16" t="str">
        <f>IFERROR(__xludf.DUMMYFUNCTION("""COMPUTED_VALUE"""),"D")</f>
        <v>D</v>
      </c>
      <c r="BE37" s="16" t="str">
        <f>IFERROR(__xludf.DUMMYFUNCTION("""COMPUTED_VALUE"""),"B")</f>
        <v>B</v>
      </c>
      <c r="BF37" s="100" t="str">
        <f t="shared" si="5"/>
        <v>L</v>
      </c>
      <c r="BI37" s="16">
        <v>31.6</v>
      </c>
      <c r="BJ37" s="16">
        <v>2.5</v>
      </c>
      <c r="BK37" s="16">
        <v>1.75</v>
      </c>
      <c r="BL37" s="32">
        <f t="shared" si="6"/>
        <v>35.85</v>
      </c>
      <c r="BM37" s="16">
        <v>55.7</v>
      </c>
      <c r="BN37" s="32">
        <f t="shared" si="7"/>
        <v>91.55</v>
      </c>
      <c r="BO37" s="16">
        <v>60.3</v>
      </c>
      <c r="BP37" s="32">
        <f t="shared" si="8"/>
        <v>69.8</v>
      </c>
      <c r="BQ37" s="16">
        <v>47.0</v>
      </c>
      <c r="BR37" s="16">
        <v>13.0</v>
      </c>
      <c r="BV37" s="16" t="str">
        <f>IFERROR(__xludf.DUMMYFUNCTION("""COMPUTED_VALUE"""),"Bobby Witt Jr")</f>
        <v>Bobby Witt Jr</v>
      </c>
      <c r="BW37" s="16" t="str">
        <f>IFERROR(__xludf.DUMMYFUNCTION("""COMPUTED_VALUE"""),"R")</f>
        <v>R</v>
      </c>
      <c r="BX37" s="16">
        <f>IFERROR(__xludf.DUMMYFUNCTION("""COMPUTED_VALUE"""),3.0)</f>
        <v>3</v>
      </c>
      <c r="BY37" s="16">
        <f>IFERROR(__xludf.DUMMYFUNCTION("""COMPUTED_VALUE"""),9.0)</f>
        <v>9</v>
      </c>
      <c r="BZ37" s="16">
        <f>IFERROR(__xludf.DUMMYFUNCTION("""COMPUTED_VALUE"""),0.0)</f>
        <v>0</v>
      </c>
      <c r="CA37" s="16">
        <f>IFERROR(__xludf.DUMMYFUNCTION("""COMPUTED_VALUE"""),9.0)</f>
        <v>9</v>
      </c>
      <c r="CB37" s="16">
        <f>IFERROR(__xludf.DUMMYFUNCTION("""COMPUTED_VALUE"""),34.3)</f>
        <v>34.3</v>
      </c>
      <c r="CC37" s="16">
        <f>IFERROR(__xludf.DUMMYFUNCTION("""COMPUTED_VALUE"""),33.7)</f>
        <v>33.7</v>
      </c>
      <c r="CD37" s="16">
        <f>IFERROR(__xludf.DUMMYFUNCTION("""COMPUTED_VALUE"""),37.3)</f>
        <v>37.3</v>
      </c>
      <c r="CE37" s="16">
        <f>IFERROR(__xludf.DUMMYFUNCTION("""COMPUTED_VALUE"""),45.7)</f>
        <v>45.7</v>
      </c>
      <c r="CF37" s="16">
        <f>IFERROR(__xludf.DUMMYFUNCTION("""COMPUTED_VALUE"""),52.0)</f>
        <v>52</v>
      </c>
      <c r="CG37" s="16">
        <f>IFERROR(__xludf.DUMMYFUNCTION("""COMPUTED_VALUE"""),62.1)</f>
        <v>62.1</v>
      </c>
      <c r="CH37" s="16">
        <f>IFERROR(__xludf.DUMMYFUNCTION("""COMPUTED_VALUE"""),1.8)</f>
        <v>1.8</v>
      </c>
      <c r="CI37" s="16">
        <f>IFERROR(__xludf.DUMMYFUNCTION("""COMPUTED_VALUE"""),4.4)</f>
        <v>4.4</v>
      </c>
      <c r="CJ37" s="16">
        <f>IFERROR(__xludf.DUMMYFUNCTION("""COMPUTED_VALUE"""),2.0)</f>
        <v>2</v>
      </c>
      <c r="CK37" s="16">
        <f>IFERROR(__xludf.DUMMYFUNCTION("""COMPUTED_VALUE"""),8.0)</f>
        <v>8</v>
      </c>
      <c r="CL37" s="16">
        <f>IFERROR(__xludf.DUMMYFUNCTION("""COMPUTED_VALUE"""),5.0)</f>
        <v>5</v>
      </c>
      <c r="CM37" s="16">
        <f>IFERROR(__xludf.DUMMYFUNCTION("""COMPUTED_VALUE"""),5.0)</f>
        <v>5</v>
      </c>
      <c r="CN37" s="16">
        <f>IFERROR(__xludf.DUMMYFUNCTION("""COMPUTED_VALUE"""),1.0)</f>
        <v>1</v>
      </c>
      <c r="CO37" s="16">
        <f>IFERROR(__xludf.DUMMYFUNCTION("""COMPUTED_VALUE"""),1.0)</f>
        <v>1</v>
      </c>
      <c r="CP37" s="16" t="str">
        <f>IFERROR(__xludf.DUMMYFUNCTION("""COMPUTED_VALUE"""),"*2-6/- (17-13)")</f>
        <v>*2-6/- (17-13)</v>
      </c>
      <c r="CQ37" s="16" t="str">
        <f>IFERROR(__xludf.DUMMYFUNCTION("""COMPUTED_VALUE"""),"A")</f>
        <v>A</v>
      </c>
      <c r="CR37" s="16" t="str">
        <f>IFERROR(__xludf.DUMMYFUNCTION("""COMPUTED_VALUE"""),"D")</f>
        <v>D</v>
      </c>
      <c r="CS37" s="16" t="str">
        <f>IFERROR(__xludf.DUMMYFUNCTION("""COMPUTED_VALUE"""),"C")</f>
        <v>C</v>
      </c>
      <c r="CT37" s="100" t="str">
        <f t="shared" si="9"/>
        <v>R</v>
      </c>
      <c r="CW37" s="16">
        <v>56.0</v>
      </c>
      <c r="CX37" s="16">
        <v>3.5</v>
      </c>
      <c r="CY37" s="16">
        <v>2.5</v>
      </c>
      <c r="CZ37" s="32">
        <f t="shared" si="10"/>
        <v>62</v>
      </c>
      <c r="DA37" s="16">
        <v>69.0</v>
      </c>
      <c r="DB37" s="32">
        <f t="shared" si="11"/>
        <v>131</v>
      </c>
      <c r="DC37" s="16">
        <v>105.7</v>
      </c>
      <c r="DD37" s="32">
        <f t="shared" si="12"/>
        <v>119.2</v>
      </c>
      <c r="DE37" s="16">
        <v>46.0</v>
      </c>
      <c r="DF37" s="16">
        <v>8.0</v>
      </c>
    </row>
    <row r="38">
      <c r="A38" s="126" t="str">
        <f>IFERROR(__xludf.DUMMYFUNCTION("""COMPUTED_VALUE"""),"Josh Naylor")</f>
        <v>Josh Naylor</v>
      </c>
      <c r="B38" s="122" t="s">
        <v>104</v>
      </c>
      <c r="C38" s="123">
        <v>0.16442307692307695</v>
      </c>
      <c r="D38" s="123">
        <v>0.23221153846153844</v>
      </c>
      <c r="E38" s="123">
        <v>0.3485576923076923</v>
      </c>
      <c r="F38" s="124">
        <v>0.20192307692307693</v>
      </c>
      <c r="G38" s="124">
        <v>0.1201923076923077</v>
      </c>
      <c r="H38" s="123">
        <f t="shared" si="3"/>
        <v>0.5236547707</v>
      </c>
      <c r="I38" s="125">
        <v>9.0</v>
      </c>
      <c r="J38" s="125" t="s">
        <v>14</v>
      </c>
      <c r="K38" s="126"/>
      <c r="L38" s="126"/>
      <c r="M38" s="126"/>
      <c r="N38" s="126"/>
      <c r="O38" s="126"/>
      <c r="P38" s="126"/>
      <c r="Q38" s="126"/>
      <c r="R38" s="126" t="str">
        <f>IFERROR(__xludf.DUMMYFUNCTION("""COMPUTED_VALUE"""),"Leo Rivas")</f>
        <v>Leo Rivas</v>
      </c>
      <c r="S38" s="122" t="s">
        <v>106</v>
      </c>
      <c r="T38" s="123">
        <v>0.14447115384615386</v>
      </c>
      <c r="U38" s="123">
        <v>0.26298076923076924</v>
      </c>
      <c r="V38" s="123">
        <v>0.17067307692307693</v>
      </c>
      <c r="W38" s="124">
        <v>0.32211538461538464</v>
      </c>
      <c r="X38" s="124">
        <v>0.07692307692307693</v>
      </c>
      <c r="Y38" s="123">
        <f t="shared" si="4"/>
        <v>0.400295858</v>
      </c>
      <c r="Z38" s="7"/>
      <c r="AA38" s="7"/>
      <c r="AB38" s="104"/>
      <c r="AC38" s="104"/>
      <c r="AD38" s="104"/>
      <c r="AH38" s="16" t="str">
        <f>IFERROR(__xludf.DUMMYFUNCTION("""COMPUTED_VALUE"""),"Josh Naylor")</f>
        <v>Josh Naylor</v>
      </c>
      <c r="AI38" s="16" t="str">
        <f>IFERROR(__xludf.DUMMYFUNCTION("""COMPUTED_VALUE"""),"L")</f>
        <v>L</v>
      </c>
      <c r="AJ38" s="16">
        <f>IFERROR(__xludf.DUMMYFUNCTION("""COMPUTED_VALUE"""),16.0)</f>
        <v>16</v>
      </c>
      <c r="AK38" s="16">
        <f>IFERROR(__xludf.DUMMYFUNCTION("""COMPUTED_VALUE"""),10.0)</f>
        <v>10</v>
      </c>
      <c r="AL38" s="16">
        <f>IFERROR(__xludf.DUMMYFUNCTION("""COMPUTED_VALUE"""),10.0)</f>
        <v>10</v>
      </c>
      <c r="AM38" s="16">
        <f>IFERROR(__xludf.DUMMYFUNCTION("""COMPUTED_VALUE"""),8.0)</f>
        <v>8</v>
      </c>
      <c r="AN38" s="16">
        <f>IFERROR(__xludf.DUMMYFUNCTION("""COMPUTED_VALUE"""),15.0)</f>
        <v>15</v>
      </c>
      <c r="AO38" s="16">
        <f>IFERROR(__xludf.DUMMYFUNCTION("""COMPUTED_VALUE"""),17.8)</f>
        <v>17.8</v>
      </c>
      <c r="AP38" s="16">
        <f>IFERROR(__xludf.DUMMYFUNCTION("""COMPUTED_VALUE"""),28.0)</f>
        <v>28</v>
      </c>
      <c r="AQ38" s="16">
        <f>IFERROR(__xludf.DUMMYFUNCTION("""COMPUTED_VALUE"""),28.8)</f>
        <v>28.8</v>
      </c>
      <c r="AR38" s="16">
        <f>IFERROR(__xludf.DUMMYFUNCTION("""COMPUTED_VALUE"""),33.2)</f>
        <v>33.2</v>
      </c>
      <c r="AS38" s="16">
        <f>IFERROR(__xludf.DUMMYFUNCTION("""COMPUTED_VALUE"""),33.0)</f>
        <v>33</v>
      </c>
      <c r="AT38" s="16">
        <f>IFERROR(__xludf.DUMMYFUNCTION("""COMPUTED_VALUE"""),3.0)</f>
        <v>3</v>
      </c>
      <c r="AU38" s="16">
        <f>IFERROR(__xludf.DUMMYFUNCTION("""COMPUTED_VALUE"""),4.3)</f>
        <v>4.3</v>
      </c>
      <c r="AV38" s="16">
        <f>IFERROR(__xludf.DUMMYFUNCTION("""COMPUTED_VALUE"""),4.0)</f>
        <v>4</v>
      </c>
      <c r="AW38" s="16">
        <f>IFERROR(__xludf.DUMMYFUNCTION("""COMPUTED_VALUE"""),8.0)</f>
        <v>8</v>
      </c>
      <c r="AX38" s="16">
        <f>IFERROR(__xludf.DUMMYFUNCTION("""COMPUTED_VALUE"""),5.0)</f>
        <v>5</v>
      </c>
      <c r="AY38" s="16">
        <f>IFERROR(__xludf.DUMMYFUNCTION("""COMPUTED_VALUE"""),5.0)</f>
        <v>5</v>
      </c>
      <c r="AZ38" s="16">
        <f>IFERROR(__xludf.DUMMYFUNCTION("""COMPUTED_VALUE"""),20.0)</f>
        <v>20</v>
      </c>
      <c r="BA38" s="16">
        <f>IFERROR(__xludf.DUMMYFUNCTION("""COMPUTED_VALUE"""),20.0)</f>
        <v>20</v>
      </c>
      <c r="BB38" s="16" t="str">
        <f>IFERROR(__xludf.DUMMYFUNCTION("""COMPUTED_VALUE"""),"6/- (15-6)")</f>
        <v>6/- (15-6)</v>
      </c>
      <c r="BC38" s="16" t="str">
        <f>IFERROR(__xludf.DUMMYFUNCTION("""COMPUTED_VALUE"""),"C")</f>
        <v>C</v>
      </c>
      <c r="BD38" s="16" t="str">
        <f>IFERROR(__xludf.DUMMYFUNCTION("""COMPUTED_VALUE"""),"D")</f>
        <v>D</v>
      </c>
      <c r="BE38" s="16" t="str">
        <f>IFERROR(__xludf.DUMMYFUNCTION("""COMPUTED_VALUE"""),"B")</f>
        <v>B</v>
      </c>
      <c r="BF38" s="100" t="str">
        <f t="shared" si="5"/>
        <v>L</v>
      </c>
      <c r="BI38" s="16">
        <v>28.200000000000003</v>
      </c>
      <c r="BJ38" s="16">
        <v>2.5</v>
      </c>
      <c r="BK38" s="16">
        <v>3.5</v>
      </c>
      <c r="BL38" s="32">
        <f t="shared" si="6"/>
        <v>34.2</v>
      </c>
      <c r="BM38" s="16">
        <v>48.3</v>
      </c>
      <c r="BN38" s="32">
        <f t="shared" si="7"/>
        <v>82.5</v>
      </c>
      <c r="BO38" s="16">
        <v>56.0</v>
      </c>
      <c r="BP38" s="32">
        <f t="shared" si="8"/>
        <v>72.5</v>
      </c>
      <c r="BQ38" s="16">
        <v>42.0</v>
      </c>
      <c r="BR38" s="16">
        <v>25.0</v>
      </c>
      <c r="BV38" s="16" t="str">
        <f>IFERROR(__xludf.DUMMYFUNCTION("""COMPUTED_VALUE"""),"Riley Greene")</f>
        <v>Riley Greene</v>
      </c>
      <c r="BW38" s="16" t="str">
        <f>IFERROR(__xludf.DUMMYFUNCTION("""COMPUTED_VALUE"""),"L")</f>
        <v>L</v>
      </c>
      <c r="BX38" s="16">
        <f>IFERROR(__xludf.DUMMYFUNCTION("""COMPUTED_VALUE"""),38.0)</f>
        <v>38</v>
      </c>
      <c r="BY38" s="16">
        <f>IFERROR(__xludf.DUMMYFUNCTION("""COMPUTED_VALUE"""),32.0)</f>
        <v>32</v>
      </c>
      <c r="BZ38" s="16">
        <f>IFERROR(__xludf.DUMMYFUNCTION("""COMPUTED_VALUE"""),4.0)</f>
        <v>4</v>
      </c>
      <c r="CA38" s="16">
        <f>IFERROR(__xludf.DUMMYFUNCTION("""COMPUTED_VALUE"""),17.0)</f>
        <v>17</v>
      </c>
      <c r="CB38" s="16">
        <f>IFERROR(__xludf.DUMMYFUNCTION("""COMPUTED_VALUE"""),15.0)</f>
        <v>15</v>
      </c>
      <c r="CC38" s="16">
        <f>IFERROR(__xludf.DUMMYFUNCTION("""COMPUTED_VALUE"""),23.0)</f>
        <v>23</v>
      </c>
      <c r="CD38" s="16">
        <f>IFERROR(__xludf.DUMMYFUNCTION("""COMPUTED_VALUE"""),21.0)</f>
        <v>21</v>
      </c>
      <c r="CE38" s="16">
        <f>IFERROR(__xludf.DUMMYFUNCTION("""COMPUTED_VALUE"""),42.0)</f>
        <v>42</v>
      </c>
      <c r="CF38" s="16">
        <f>IFERROR(__xludf.DUMMYFUNCTION("""COMPUTED_VALUE"""),37.2)</f>
        <v>37.2</v>
      </c>
      <c r="CG38" s="16">
        <f>IFERROR(__xludf.DUMMYFUNCTION("""COMPUTED_VALUE"""),40.0)</f>
        <v>40</v>
      </c>
      <c r="CH38" s="16">
        <f>IFERROR(__xludf.DUMMYFUNCTION("""COMPUTED_VALUE"""),3.2)</f>
        <v>3.2</v>
      </c>
      <c r="CI38" s="16">
        <f>IFERROR(__xludf.DUMMYFUNCTION("""COMPUTED_VALUE"""),3.4)</f>
        <v>3.4</v>
      </c>
      <c r="CJ38" s="16">
        <f>IFERROR(__xludf.DUMMYFUNCTION("""COMPUTED_VALUE"""),6.0)</f>
        <v>6</v>
      </c>
      <c r="CK38" s="16">
        <f>IFERROR(__xludf.DUMMYFUNCTION("""COMPUTED_VALUE"""),5.0)</f>
        <v>5</v>
      </c>
      <c r="CL38" s="16">
        <f>IFERROR(__xludf.DUMMYFUNCTION("""COMPUTED_VALUE"""),0.0)</f>
        <v>0</v>
      </c>
      <c r="CM38" s="16">
        <f>IFERROR(__xludf.DUMMYFUNCTION("""COMPUTED_VALUE"""),5.0)</f>
        <v>5</v>
      </c>
      <c r="CN38" s="16">
        <f>IFERROR(__xludf.DUMMYFUNCTION("""COMPUTED_VALUE"""),0.0)</f>
        <v>0</v>
      </c>
      <c r="CO38" s="16">
        <f>IFERROR(__xludf.DUMMYFUNCTION("""COMPUTED_VALUE"""),0.0)</f>
        <v>0</v>
      </c>
      <c r="CP38" s="16" t="str">
        <f>IFERROR(__xludf.DUMMYFUNCTION("""COMPUTED_VALUE"""),"6/- (13-6)")</f>
        <v>6/- (13-6)</v>
      </c>
      <c r="CQ38" s="16" t="str">
        <f>IFERROR(__xludf.DUMMYFUNCTION("""COMPUTED_VALUE"""),"D")</f>
        <v>D</v>
      </c>
      <c r="CR38" s="16" t="str">
        <f>IFERROR(__xludf.DUMMYFUNCTION("""COMPUTED_VALUE"""),"D")</f>
        <v>D</v>
      </c>
      <c r="CS38" s="16" t="str">
        <f>IFERROR(__xludf.DUMMYFUNCTION("""COMPUTED_VALUE"""),"C")</f>
        <v>C</v>
      </c>
      <c r="CT38" s="100" t="str">
        <f t="shared" si="9"/>
        <v>L</v>
      </c>
      <c r="CW38" s="16">
        <v>30.0</v>
      </c>
      <c r="CX38" s="16">
        <v>2.5</v>
      </c>
      <c r="CY38" s="16">
        <v>1.75</v>
      </c>
      <c r="CZ38" s="32">
        <f t="shared" si="10"/>
        <v>34.25</v>
      </c>
      <c r="DA38" s="16">
        <v>57.1</v>
      </c>
      <c r="DB38" s="32">
        <f t="shared" si="11"/>
        <v>91.35</v>
      </c>
      <c r="DC38" s="16">
        <v>48.5</v>
      </c>
      <c r="DD38" s="32">
        <f t="shared" si="12"/>
        <v>58</v>
      </c>
      <c r="DE38" s="16">
        <v>69.0</v>
      </c>
      <c r="DF38" s="16">
        <v>8.0</v>
      </c>
    </row>
    <row r="39">
      <c r="A39" s="126" t="str">
        <f>IFERROR(__xludf.DUMMYFUNCTION("""COMPUTED_VALUE"""),"JT Realmuto")</f>
        <v>JT Realmuto</v>
      </c>
      <c r="B39" s="122" t="s">
        <v>105</v>
      </c>
      <c r="C39" s="123">
        <v>0.1701923076923077</v>
      </c>
      <c r="D39" s="123">
        <v>0.23509615384615384</v>
      </c>
      <c r="E39" s="123">
        <v>0.2730769230769231</v>
      </c>
      <c r="F39" s="124">
        <v>0.3605769230769231</v>
      </c>
      <c r="G39" s="124">
        <v>0.07692307692307693</v>
      </c>
      <c r="H39" s="123">
        <f t="shared" si="3"/>
        <v>0.4877218935</v>
      </c>
      <c r="I39" s="125">
        <v>8.0</v>
      </c>
      <c r="J39" s="125" t="s">
        <v>13</v>
      </c>
      <c r="K39" s="126"/>
      <c r="L39" s="126"/>
      <c r="M39" s="126"/>
      <c r="N39" s="126"/>
      <c r="O39" s="126"/>
      <c r="P39" s="126"/>
      <c r="Q39" s="126"/>
      <c r="R39" s="126" t="str">
        <f>IFERROR(__xludf.DUMMYFUNCTION("""COMPUTED_VALUE"""),"Matt Wallner")</f>
        <v>Matt Wallner</v>
      </c>
      <c r="S39" s="122" t="s">
        <v>104</v>
      </c>
      <c r="T39" s="123">
        <v>0.14350961538461537</v>
      </c>
      <c r="U39" s="123">
        <v>0.2793269230769231</v>
      </c>
      <c r="V39" s="123">
        <v>0.30096153846153845</v>
      </c>
      <c r="W39" s="124">
        <v>0.39903846153846156</v>
      </c>
      <c r="X39" s="124">
        <v>0.04326923076923077</v>
      </c>
      <c r="Y39" s="123">
        <f t="shared" si="4"/>
        <v>0.5551798262</v>
      </c>
      <c r="Z39" s="7"/>
      <c r="AA39" s="7"/>
      <c r="AB39" s="104"/>
      <c r="AC39" s="104"/>
      <c r="AD39" s="104"/>
      <c r="AH39" s="16" t="str">
        <f>IFERROR(__xludf.DUMMYFUNCTION("""COMPUTED_VALUE"""),"Cedric Mullins")</f>
        <v>Cedric Mullins</v>
      </c>
      <c r="AI39" s="16" t="str">
        <f>IFERROR(__xludf.DUMMYFUNCTION("""COMPUTED_VALUE"""),"L")</f>
        <v>L</v>
      </c>
      <c r="AJ39" s="16">
        <f>IFERROR(__xludf.DUMMYFUNCTION("""COMPUTED_VALUE"""),16.0)</f>
        <v>16</v>
      </c>
      <c r="AK39" s="16">
        <f>IFERROR(__xludf.DUMMYFUNCTION("""COMPUTED_VALUE"""),19.0)</f>
        <v>19</v>
      </c>
      <c r="AL39" s="16">
        <f>IFERROR(__xludf.DUMMYFUNCTION("""COMPUTED_VALUE"""),0.0)</f>
        <v>0</v>
      </c>
      <c r="AM39" s="16">
        <f>IFERROR(__xludf.DUMMYFUNCTION("""COMPUTED_VALUE"""),11.0)</f>
        <v>11</v>
      </c>
      <c r="AN39" s="16">
        <f>IFERROR(__xludf.DUMMYFUNCTION("""COMPUTED_VALUE"""),14.0)</f>
        <v>14</v>
      </c>
      <c r="AO39" s="16">
        <f>IFERROR(__xludf.DUMMYFUNCTION("""COMPUTED_VALUE"""),18.2)</f>
        <v>18.2</v>
      </c>
      <c r="AP39" s="16">
        <f>IFERROR(__xludf.DUMMYFUNCTION("""COMPUTED_VALUE"""),16.0)</f>
        <v>16</v>
      </c>
      <c r="AQ39" s="16">
        <f>IFERROR(__xludf.DUMMYFUNCTION("""COMPUTED_VALUE"""),31.2)</f>
        <v>31.2</v>
      </c>
      <c r="AR39" s="16">
        <f>IFERROR(__xludf.DUMMYFUNCTION("""COMPUTED_VALUE"""),25.5)</f>
        <v>25.5</v>
      </c>
      <c r="AS39" s="16">
        <f>IFERROR(__xludf.DUMMYFUNCTION("""COMPUTED_VALUE"""),31.0)</f>
        <v>31</v>
      </c>
      <c r="AT39" s="16">
        <f>IFERROR(__xludf.DUMMYFUNCTION("""COMPUTED_VALUE"""),2.2)</f>
        <v>2.2</v>
      </c>
      <c r="AU39" s="16">
        <f>IFERROR(__xludf.DUMMYFUNCTION("""COMPUTED_VALUE"""),3.2)</f>
        <v>3.2</v>
      </c>
      <c r="AV39" s="16">
        <f>IFERROR(__xludf.DUMMYFUNCTION("""COMPUTED_VALUE"""),-3.0)</f>
        <v>-3</v>
      </c>
      <c r="AW39" s="16">
        <f>IFERROR(__xludf.DUMMYFUNCTION("""COMPUTED_VALUE"""),5.0)</f>
        <v>5</v>
      </c>
      <c r="AX39" s="16">
        <f>IFERROR(__xludf.DUMMYFUNCTION("""COMPUTED_VALUE"""),5.0)</f>
        <v>5</v>
      </c>
      <c r="AY39" s="16">
        <f>IFERROR(__xludf.DUMMYFUNCTION("""COMPUTED_VALUE"""),5.0)</f>
        <v>5</v>
      </c>
      <c r="AZ39" s="16">
        <f>IFERROR(__xludf.DUMMYFUNCTION("""COMPUTED_VALUE"""),0.0)</f>
        <v>0</v>
      </c>
      <c r="BA39" s="16">
        <f>IFERROR(__xludf.DUMMYFUNCTION("""COMPUTED_VALUE"""),0.0)</f>
        <v>0</v>
      </c>
      <c r="BB39" s="16" t="str">
        <f>IFERROR(__xludf.DUMMYFUNCTION("""COMPUTED_VALUE"""),"*2-5,11,12/- (19-15)")</f>
        <v>*2-5,11,12/- (19-15)</v>
      </c>
      <c r="BC39" s="16" t="str">
        <f>IFERROR(__xludf.DUMMYFUNCTION("""COMPUTED_VALUE"""),"AA")</f>
        <v>AA</v>
      </c>
      <c r="BD39" s="16" t="str">
        <f>IFERROR(__xludf.DUMMYFUNCTION("""COMPUTED_VALUE"""),"B")</f>
        <v>B</v>
      </c>
      <c r="BE39" s="16" t="str">
        <f>IFERROR(__xludf.DUMMYFUNCTION("""COMPUTED_VALUE"""),"B")</f>
        <v>B</v>
      </c>
      <c r="BF39" s="100" t="str">
        <f t="shared" si="5"/>
        <v>L</v>
      </c>
      <c r="BI39" s="16">
        <v>28.6</v>
      </c>
      <c r="BJ39" s="16">
        <v>2.5</v>
      </c>
      <c r="BK39" s="16">
        <v>2.45</v>
      </c>
      <c r="BL39" s="32">
        <f t="shared" si="6"/>
        <v>33.55</v>
      </c>
      <c r="BM39" s="16">
        <v>50.7</v>
      </c>
      <c r="BN39" s="32">
        <f t="shared" si="7"/>
        <v>84.25</v>
      </c>
      <c r="BO39" s="16">
        <v>54.0</v>
      </c>
      <c r="BP39" s="32">
        <f t="shared" si="8"/>
        <v>66.3</v>
      </c>
      <c r="BQ39" s="16">
        <v>51.0</v>
      </c>
      <c r="BR39" s="16">
        <v>5.0</v>
      </c>
      <c r="BV39" s="16" t="str">
        <f>IFERROR(__xludf.DUMMYFUNCTION("""COMPUTED_VALUE"""),"Matt Wallner")</f>
        <v>Matt Wallner</v>
      </c>
      <c r="BW39" s="16" t="str">
        <f>IFERROR(__xludf.DUMMYFUNCTION("""COMPUTED_VALUE"""),"L")</f>
        <v>L</v>
      </c>
      <c r="BX39" s="16">
        <f>IFERROR(__xludf.DUMMYFUNCTION("""COMPUTED_VALUE"""),62.0)</f>
        <v>62</v>
      </c>
      <c r="BY39" s="16">
        <f>IFERROR(__xludf.DUMMYFUNCTION("""COMPUTED_VALUE"""),46.0)</f>
        <v>46</v>
      </c>
      <c r="BZ39" s="16">
        <f>IFERROR(__xludf.DUMMYFUNCTION("""COMPUTED_VALUE"""),7.0)</f>
        <v>7</v>
      </c>
      <c r="CA39" s="16">
        <f>IFERROR(__xludf.DUMMYFUNCTION("""COMPUTED_VALUE"""),11.0)</f>
        <v>11</v>
      </c>
      <c r="CB39" s="16">
        <f>IFERROR(__xludf.DUMMYFUNCTION("""COMPUTED_VALUE"""),7.8)</f>
        <v>7.8</v>
      </c>
      <c r="CC39" s="16">
        <f>IFERROR(__xludf.DUMMYFUNCTION("""COMPUTED_VALUE"""),17.9)</f>
        <v>17.9</v>
      </c>
      <c r="CD39" s="16">
        <f>IFERROR(__xludf.DUMMYFUNCTION("""COMPUTED_VALUE"""),28.9)</f>
        <v>28.9</v>
      </c>
      <c r="CE39" s="16">
        <f>IFERROR(__xludf.DUMMYFUNCTION("""COMPUTED_VALUE"""),43.0)</f>
        <v>43</v>
      </c>
      <c r="CF39" s="16">
        <f>IFERROR(__xludf.DUMMYFUNCTION("""COMPUTED_VALUE"""),11.9)</f>
        <v>11.9</v>
      </c>
      <c r="CG39" s="16">
        <f>IFERROR(__xludf.DUMMYFUNCTION("""COMPUTED_VALUE"""),41.8)</f>
        <v>41.8</v>
      </c>
      <c r="CH39" s="16">
        <f>IFERROR(__xludf.DUMMYFUNCTION("""COMPUTED_VALUE"""),1.4)</f>
        <v>1.4</v>
      </c>
      <c r="CI39" s="16">
        <f>IFERROR(__xludf.DUMMYFUNCTION("""COMPUTED_VALUE"""),4.4)</f>
        <v>4.4</v>
      </c>
      <c r="CJ39" s="16">
        <f>IFERROR(__xludf.DUMMYFUNCTION("""COMPUTED_VALUE"""),2.0)</f>
        <v>2</v>
      </c>
      <c r="CK39" s="16">
        <f>IFERROR(__xludf.DUMMYFUNCTION("""COMPUTED_VALUE"""),7.0)</f>
        <v>7</v>
      </c>
      <c r="CL39" s="16">
        <f>IFERROR(__xludf.DUMMYFUNCTION("""COMPUTED_VALUE"""),5.0)</f>
        <v>5</v>
      </c>
      <c r="CM39" s="16">
        <f>IFERROR(__xludf.DUMMYFUNCTION("""COMPUTED_VALUE"""),5.0)</f>
        <v>5</v>
      </c>
      <c r="CN39" s="16">
        <f>IFERROR(__xludf.DUMMYFUNCTION("""COMPUTED_VALUE"""),0.0)</f>
        <v>0</v>
      </c>
      <c r="CO39" s="16">
        <f>IFERROR(__xludf.DUMMYFUNCTION("""COMPUTED_VALUE"""),1.0)</f>
        <v>1</v>
      </c>
      <c r="CP39" s="16" t="str">
        <f>IFERROR(__xludf.DUMMYFUNCTION("""COMPUTED_VALUE"""),"3/- (20-6)")</f>
        <v>3/- (20-6)</v>
      </c>
      <c r="CQ39" s="16" t="str">
        <f>IFERROR(__xludf.DUMMYFUNCTION("""COMPUTED_VALUE"""),"C")</f>
        <v>C</v>
      </c>
      <c r="CR39" s="16" t="str">
        <f>IFERROR(__xludf.DUMMYFUNCTION("""COMPUTED_VALUE"""),"D")</f>
        <v>D</v>
      </c>
      <c r="CS39" s="16" t="str">
        <f>IFERROR(__xludf.DUMMYFUNCTION("""COMPUTED_VALUE"""),"D")</f>
        <v>D</v>
      </c>
      <c r="CT39" s="100" t="str">
        <f t="shared" si="9"/>
        <v>L</v>
      </c>
      <c r="CW39" s="16">
        <v>24.9</v>
      </c>
      <c r="CX39" s="16">
        <v>2.5</v>
      </c>
      <c r="CY39" s="16">
        <v>2.45</v>
      </c>
      <c r="CZ39" s="32">
        <f t="shared" si="10"/>
        <v>29.85</v>
      </c>
      <c r="DA39" s="16">
        <v>58.1</v>
      </c>
      <c r="DB39" s="32">
        <f t="shared" si="11"/>
        <v>87.95</v>
      </c>
      <c r="DC39" s="16">
        <v>50.3</v>
      </c>
      <c r="DD39" s="32">
        <f t="shared" si="12"/>
        <v>62.6</v>
      </c>
      <c r="DE39" s="16">
        <v>83.0</v>
      </c>
      <c r="DF39" s="16">
        <v>9.0</v>
      </c>
    </row>
    <row r="40">
      <c r="A40" s="126" t="str">
        <f>IFERROR(__xludf.DUMMYFUNCTION("""COMPUTED_VALUE"""),"Mark Vientos")</f>
        <v>Mark Vientos</v>
      </c>
      <c r="B40" s="122" t="s">
        <v>105</v>
      </c>
      <c r="C40" s="123">
        <v>0.14903846153846154</v>
      </c>
      <c r="D40" s="123">
        <v>0.2283653846153846</v>
      </c>
      <c r="E40" s="123">
        <v>0.30865384615384617</v>
      </c>
      <c r="F40" s="124">
        <v>0.40384615384615385</v>
      </c>
      <c r="G40" s="124">
        <v>0.057692307692307696</v>
      </c>
      <c r="H40" s="123">
        <f t="shared" si="3"/>
        <v>0.5060373521</v>
      </c>
      <c r="I40" s="125">
        <v>7.0</v>
      </c>
      <c r="J40" s="125" t="s">
        <v>12</v>
      </c>
      <c r="K40" s="125"/>
      <c r="L40" s="126"/>
      <c r="M40" s="126"/>
      <c r="N40" s="126"/>
      <c r="O40" s="126"/>
      <c r="P40" s="126"/>
      <c r="Q40" s="126"/>
      <c r="R40" s="126" t="str">
        <f>IFERROR(__xludf.DUMMYFUNCTION("""COMPUTED_VALUE"""),"Michael Busch")</f>
        <v>Michael Busch</v>
      </c>
      <c r="S40" s="122" t="s">
        <v>104</v>
      </c>
      <c r="T40" s="123">
        <v>0.13942307692307693</v>
      </c>
      <c r="U40" s="123">
        <v>0.23798076923076922</v>
      </c>
      <c r="V40" s="123">
        <v>0.24759615384615385</v>
      </c>
      <c r="W40" s="124">
        <v>0.3605769230769231</v>
      </c>
      <c r="X40" s="124">
        <v>0.09134615384615384</v>
      </c>
      <c r="Y40" s="123">
        <f t="shared" si="4"/>
        <v>0.4412213388</v>
      </c>
      <c r="Z40" s="7"/>
      <c r="AA40" s="7"/>
      <c r="AB40" s="104"/>
      <c r="AC40" s="104"/>
      <c r="AD40" s="104"/>
      <c r="AH40" s="16" t="str">
        <f>IFERROR(__xludf.DUMMYFUNCTION("""COMPUTED_VALUE"""),"Andy Pages")</f>
        <v>Andy Pages</v>
      </c>
      <c r="AI40" s="16" t="str">
        <f>IFERROR(__xludf.DUMMYFUNCTION("""COMPUTED_VALUE"""),"R")</f>
        <v>R</v>
      </c>
      <c r="AJ40" s="16">
        <f>IFERROR(__xludf.DUMMYFUNCTION("""COMPUTED_VALUE"""),25.0)</f>
        <v>25</v>
      </c>
      <c r="AK40" s="16">
        <f>IFERROR(__xludf.DUMMYFUNCTION("""COMPUTED_VALUE"""),29.0)</f>
        <v>29</v>
      </c>
      <c r="AL40" s="16">
        <f>IFERROR(__xludf.DUMMYFUNCTION("""COMPUTED_VALUE"""),5.0)</f>
        <v>5</v>
      </c>
      <c r="AM40" s="16">
        <f>IFERROR(__xludf.DUMMYFUNCTION("""COMPUTED_VALUE"""),7.0)</f>
        <v>7</v>
      </c>
      <c r="AN40" s="16">
        <f>IFERROR(__xludf.DUMMYFUNCTION("""COMPUTED_VALUE"""),32.0)</f>
        <v>32</v>
      </c>
      <c r="AO40" s="16">
        <f>IFERROR(__xludf.DUMMYFUNCTION("""COMPUTED_VALUE"""),18.6)</f>
        <v>18.6</v>
      </c>
      <c r="AP40" s="16">
        <f>IFERROR(__xludf.DUMMYFUNCTION("""COMPUTED_VALUE"""),40.0)</f>
        <v>40</v>
      </c>
      <c r="AQ40" s="16">
        <f>IFERROR(__xludf.DUMMYFUNCTION("""COMPUTED_VALUE"""),28.6)</f>
        <v>28.6</v>
      </c>
      <c r="AR40" s="16">
        <f>IFERROR(__xludf.DUMMYFUNCTION("""COMPUTED_VALUE"""),45.7)</f>
        <v>45.7</v>
      </c>
      <c r="AS40" s="16">
        <f>IFERROR(__xludf.DUMMYFUNCTION("""COMPUTED_VALUE"""),30.9)</f>
        <v>30.9</v>
      </c>
      <c r="AT40" s="16">
        <f>IFERROR(__xludf.DUMMYFUNCTION("""COMPUTED_VALUE"""),1.8)</f>
        <v>1.8</v>
      </c>
      <c r="AU40" s="16">
        <f>IFERROR(__xludf.DUMMYFUNCTION("""COMPUTED_VALUE"""),2.3)</f>
        <v>2.3</v>
      </c>
      <c r="AV40" s="16">
        <f>IFERROR(__xludf.DUMMYFUNCTION("""COMPUTED_VALUE"""),2.0)</f>
        <v>2</v>
      </c>
      <c r="AW40" s="16">
        <f>IFERROR(__xludf.DUMMYFUNCTION("""COMPUTED_VALUE"""),2.0)</f>
        <v>2</v>
      </c>
      <c r="AX40" s="16">
        <f>IFERROR(__xludf.DUMMYFUNCTION("""COMPUTED_VALUE"""),5.0)</f>
        <v>5</v>
      </c>
      <c r="AY40" s="16">
        <f>IFERROR(__xludf.DUMMYFUNCTION("""COMPUTED_VALUE"""),5.0)</f>
        <v>5</v>
      </c>
      <c r="AZ40" s="16">
        <f>IFERROR(__xludf.DUMMYFUNCTION("""COMPUTED_VALUE"""),15.0)</f>
        <v>15</v>
      </c>
      <c r="BA40" s="16">
        <f>IFERROR(__xludf.DUMMYFUNCTION("""COMPUTED_VALUE"""),15.0)</f>
        <v>15</v>
      </c>
      <c r="BB40" s="16" t="str">
        <f>IFERROR(__xludf.DUMMYFUNCTION("""COMPUTED_VALUE"""),"7/8 (13-3)")</f>
        <v>7/8 (13-3)</v>
      </c>
      <c r="BC40" s="16" t="str">
        <f>IFERROR(__xludf.DUMMYFUNCTION("""COMPUTED_VALUE"""),"E")</f>
        <v>E</v>
      </c>
      <c r="BD40" s="16" t="str">
        <f>IFERROR(__xludf.DUMMYFUNCTION("""COMPUTED_VALUE"""),"D")</f>
        <v>D</v>
      </c>
      <c r="BE40" s="16" t="str">
        <f>IFERROR(__xludf.DUMMYFUNCTION("""COMPUTED_VALUE"""),"D")</f>
        <v>D</v>
      </c>
      <c r="BF40" s="100" t="str">
        <f t="shared" si="5"/>
        <v>R</v>
      </c>
      <c r="BI40" s="16">
        <v>25.6</v>
      </c>
      <c r="BJ40" s="16">
        <v>3.5</v>
      </c>
      <c r="BK40" s="16">
        <v>0.5</v>
      </c>
      <c r="BL40" s="32">
        <f t="shared" si="6"/>
        <v>29.6</v>
      </c>
      <c r="BM40" s="16">
        <v>45.6</v>
      </c>
      <c r="BN40" s="32">
        <f t="shared" si="7"/>
        <v>75.2</v>
      </c>
      <c r="BO40" s="16">
        <v>44.0</v>
      </c>
      <c r="BP40" s="32">
        <f t="shared" si="8"/>
        <v>49.5</v>
      </c>
      <c r="BQ40" s="16">
        <v>75.0</v>
      </c>
      <c r="BR40" s="16">
        <v>18.0</v>
      </c>
      <c r="BV40" s="16" t="str">
        <f>IFERROR(__xludf.DUMMYFUNCTION("""COMPUTED_VALUE"""),"Nico Hoerner")</f>
        <v>Nico Hoerner</v>
      </c>
      <c r="BW40" s="16" t="str">
        <f>IFERROR(__xludf.DUMMYFUNCTION("""COMPUTED_VALUE"""),"R")</f>
        <v>R</v>
      </c>
      <c r="BX40" s="16">
        <f>IFERROR(__xludf.DUMMYFUNCTION("""COMPUTED_VALUE"""),0.0)</f>
        <v>0</v>
      </c>
      <c r="BY40" s="16">
        <f>IFERROR(__xludf.DUMMYFUNCTION("""COMPUTED_VALUE"""),0.0)</f>
        <v>0</v>
      </c>
      <c r="BZ40" s="16">
        <f>IFERROR(__xludf.DUMMYFUNCTION("""COMPUTED_VALUE"""),2.0)</f>
        <v>2</v>
      </c>
      <c r="CA40" s="16">
        <f>IFERROR(__xludf.DUMMYFUNCTION("""COMPUTED_VALUE"""),8.0)</f>
        <v>8</v>
      </c>
      <c r="CB40" s="16">
        <f>IFERROR(__xludf.DUMMYFUNCTION("""COMPUTED_VALUE"""),39.0)</f>
        <v>39</v>
      </c>
      <c r="CC40" s="16">
        <f>IFERROR(__xludf.DUMMYFUNCTION("""COMPUTED_VALUE"""),24.5)</f>
        <v>24.5</v>
      </c>
      <c r="CD40" s="16">
        <f>IFERROR(__xludf.DUMMYFUNCTION("""COMPUTED_VALUE"""),45.0)</f>
        <v>45</v>
      </c>
      <c r="CE40" s="16">
        <f>IFERROR(__xludf.DUMMYFUNCTION("""COMPUTED_VALUE"""),36.4)</f>
        <v>36.4</v>
      </c>
      <c r="CF40" s="16">
        <f>IFERROR(__xludf.DUMMYFUNCTION("""COMPUTED_VALUE"""),52.3)</f>
        <v>52.3</v>
      </c>
      <c r="CG40" s="16">
        <f>IFERROR(__xludf.DUMMYFUNCTION("""COMPUTED_VALUE"""),38.2)</f>
        <v>38.2</v>
      </c>
      <c r="CH40" s="16">
        <f>IFERROR(__xludf.DUMMYFUNCTION("""COMPUTED_VALUE"""),3.2)</f>
        <v>3.2</v>
      </c>
      <c r="CI40" s="16">
        <f>IFERROR(__xludf.DUMMYFUNCTION("""COMPUTED_VALUE"""),2.1)</f>
        <v>2.1</v>
      </c>
      <c r="CJ40" s="16">
        <f>IFERROR(__xludf.DUMMYFUNCTION("""COMPUTED_VALUE"""),-3.0)</f>
        <v>-3</v>
      </c>
      <c r="CK40" s="16">
        <f>IFERROR(__xludf.DUMMYFUNCTION("""COMPUTED_VALUE"""),-3.0)</f>
        <v>-3</v>
      </c>
      <c r="CL40" s="16">
        <f>IFERROR(__xludf.DUMMYFUNCTION("""COMPUTED_VALUE"""),5.0)</f>
        <v>5</v>
      </c>
      <c r="CM40" s="16">
        <f>IFERROR(__xludf.DUMMYFUNCTION("""COMPUTED_VALUE"""),5.0)</f>
        <v>5</v>
      </c>
      <c r="CN40" s="16">
        <f>IFERROR(__xludf.DUMMYFUNCTION("""COMPUTED_VALUE"""),9.0)</f>
        <v>9</v>
      </c>
      <c r="CO40" s="16">
        <f>IFERROR(__xludf.DUMMYFUNCTION("""COMPUTED_VALUE"""),8.0)</f>
        <v>8</v>
      </c>
      <c r="CP40" s="16" t="str">
        <f>IFERROR(__xludf.DUMMYFUNCTION("""COMPUTED_VALUE"""),"*5,6/- (19-13)")</f>
        <v>*5,6/- (19-13)</v>
      </c>
      <c r="CQ40" s="16" t="str">
        <f>IFERROR(__xludf.DUMMYFUNCTION("""COMPUTED_VALUE"""),"A")</f>
        <v>A</v>
      </c>
      <c r="CR40" s="16" t="str">
        <f>IFERROR(__xludf.DUMMYFUNCTION("""COMPUTED_VALUE"""),"D")</f>
        <v>D</v>
      </c>
      <c r="CS40" s="16" t="str">
        <f>IFERROR(__xludf.DUMMYFUNCTION("""COMPUTED_VALUE"""),"C")</f>
        <v>C</v>
      </c>
      <c r="CT40" s="100" t="str">
        <f t="shared" si="9"/>
        <v>R</v>
      </c>
      <c r="CW40" s="16">
        <v>46.8</v>
      </c>
      <c r="CX40" s="16">
        <v>3.5</v>
      </c>
      <c r="CY40" s="16">
        <v>-0.25</v>
      </c>
      <c r="CZ40" s="32">
        <f t="shared" si="10"/>
        <v>50.05</v>
      </c>
      <c r="DA40" s="16">
        <v>59.7</v>
      </c>
      <c r="DB40" s="32">
        <f t="shared" si="11"/>
        <v>109.75</v>
      </c>
      <c r="DC40" s="16">
        <v>81.80000000000001</v>
      </c>
      <c r="DD40" s="32">
        <f t="shared" si="12"/>
        <v>84.3</v>
      </c>
      <c r="DE40" s="16">
        <v>37.0</v>
      </c>
      <c r="DF40" s="16">
        <v>15.0</v>
      </c>
    </row>
    <row r="41">
      <c r="A41" s="125" t="str">
        <f>IFERROR(__xludf.DUMMYFUNCTION("""COMPUTED_VALUE"""),"Mickey Moniak")</f>
        <v>Mickey Moniak</v>
      </c>
      <c r="B41" s="122" t="s">
        <v>104</v>
      </c>
      <c r="C41" s="123">
        <v>0.15552884615384616</v>
      </c>
      <c r="D41" s="123">
        <v>0.1980769230769231</v>
      </c>
      <c r="E41" s="123">
        <v>0.3</v>
      </c>
      <c r="F41" s="124">
        <v>0.3125</v>
      </c>
      <c r="G41" s="124">
        <v>0.038461538461538464</v>
      </c>
      <c r="H41" s="123">
        <f t="shared" si="3"/>
        <v>0.5127819896</v>
      </c>
      <c r="I41" s="125">
        <v>5.0</v>
      </c>
      <c r="J41" s="125" t="s">
        <v>15</v>
      </c>
      <c r="K41" s="126"/>
      <c r="L41" s="126"/>
      <c r="M41" s="126"/>
      <c r="N41" s="126"/>
      <c r="O41" s="126"/>
      <c r="P41" s="126"/>
      <c r="Q41" s="126"/>
      <c r="R41" s="126" t="str">
        <f>IFERROR(__xludf.DUMMYFUNCTION("""COMPUTED_VALUE"""),"Miguel Andujar")</f>
        <v>Miguel Andujar</v>
      </c>
      <c r="S41" s="122" t="s">
        <v>105</v>
      </c>
      <c r="T41" s="123">
        <v>0.25408653846153845</v>
      </c>
      <c r="U41" s="123">
        <v>0.2528846153846154</v>
      </c>
      <c r="V41" s="123">
        <v>0.4100961538461539</v>
      </c>
      <c r="W41" s="124">
        <v>0.20192307692307693</v>
      </c>
      <c r="X41" s="124">
        <v>0.15384615384615385</v>
      </c>
      <c r="Y41" s="123">
        <f t="shared" si="4"/>
        <v>0.6694988905</v>
      </c>
      <c r="Z41" s="7"/>
      <c r="AA41" s="7"/>
      <c r="AB41" s="104"/>
      <c r="AC41" s="104"/>
      <c r="AD41" s="104"/>
      <c r="AH41" s="16" t="str">
        <f>IFERROR(__xludf.DUMMYFUNCTION("""COMPUTED_VALUE"""),"JT Realmuto")</f>
        <v>JT Realmuto</v>
      </c>
      <c r="AI41" s="16" t="str">
        <f>IFERROR(__xludf.DUMMYFUNCTION("""COMPUTED_VALUE"""),"R")</f>
        <v>R</v>
      </c>
      <c r="AJ41" s="16">
        <f>IFERROR(__xludf.DUMMYFUNCTION("""COMPUTED_VALUE"""),27.0)</f>
        <v>27</v>
      </c>
      <c r="AK41" s="16">
        <f>IFERROR(__xludf.DUMMYFUNCTION("""COMPUTED_VALUE"""),29.0)</f>
        <v>29</v>
      </c>
      <c r="AL41" s="16">
        <f>IFERROR(__xludf.DUMMYFUNCTION("""COMPUTED_VALUE"""),7.0)</f>
        <v>7</v>
      </c>
      <c r="AM41" s="16">
        <f>IFERROR(__xludf.DUMMYFUNCTION("""COMPUTED_VALUE"""),5.0)</f>
        <v>5</v>
      </c>
      <c r="AN41" s="16">
        <f>IFERROR(__xludf.DUMMYFUNCTION("""COMPUTED_VALUE"""),29.1)</f>
        <v>29.1</v>
      </c>
      <c r="AO41" s="16">
        <f>IFERROR(__xludf.DUMMYFUNCTION("""COMPUTED_VALUE"""),23.9)</f>
        <v>23.9</v>
      </c>
      <c r="AP41" s="16">
        <f>IFERROR(__xludf.DUMMYFUNCTION("""COMPUTED_VALUE"""),39.1)</f>
        <v>39.1</v>
      </c>
      <c r="AQ41" s="16">
        <f>IFERROR(__xludf.DUMMYFUNCTION("""COMPUTED_VALUE"""),31.9)</f>
        <v>31.9</v>
      </c>
      <c r="AR41" s="16">
        <f>IFERROR(__xludf.DUMMYFUNCTION("""COMPUTED_VALUE"""),39.2)</f>
        <v>39.2</v>
      </c>
      <c r="AS41" s="16">
        <f>IFERROR(__xludf.DUMMYFUNCTION("""COMPUTED_VALUE"""),36.2)</f>
        <v>36.2</v>
      </c>
      <c r="AT41" s="16">
        <f>IFERROR(__xludf.DUMMYFUNCTION("""COMPUTED_VALUE"""),2.3)</f>
        <v>2.3</v>
      </c>
      <c r="AU41" s="16">
        <f>IFERROR(__xludf.DUMMYFUNCTION("""COMPUTED_VALUE"""),2.3)</f>
        <v>2.3</v>
      </c>
      <c r="AV41" s="16">
        <f>IFERROR(__xludf.DUMMYFUNCTION("""COMPUTED_VALUE"""),3.0)</f>
        <v>3</v>
      </c>
      <c r="AW41" s="16">
        <f>IFERROR(__xludf.DUMMYFUNCTION("""COMPUTED_VALUE"""),4.0)</f>
        <v>4</v>
      </c>
      <c r="AX41" s="16">
        <f>IFERROR(__xludf.DUMMYFUNCTION("""COMPUTED_VALUE"""),5.0)</f>
        <v>5</v>
      </c>
      <c r="AY41" s="16">
        <f>IFERROR(__xludf.DUMMYFUNCTION("""COMPUTED_VALUE"""),5.0)</f>
        <v>5</v>
      </c>
      <c r="AZ41" s="16">
        <f>IFERROR(__xludf.DUMMYFUNCTION("""COMPUTED_VALUE"""),10.0)</f>
        <v>10</v>
      </c>
      <c r="BA41" s="16">
        <f>IFERROR(__xludf.DUMMYFUNCTION("""COMPUTED_VALUE"""),13.0)</f>
        <v>13</v>
      </c>
      <c r="BB41" s="16" t="str">
        <f>IFERROR(__xludf.DUMMYFUNCTION("""COMPUTED_VALUE"""),"7/11 (13-5)")</f>
        <v>7/11 (13-5)</v>
      </c>
      <c r="BC41" s="16" t="str">
        <f>IFERROR(__xludf.DUMMYFUNCTION("""COMPUTED_VALUE"""),"D")</f>
        <v>D</v>
      </c>
      <c r="BD41" s="16" t="str">
        <f>IFERROR(__xludf.DUMMYFUNCTION("""COMPUTED_VALUE"""),"D")</f>
        <v>D</v>
      </c>
      <c r="BE41" s="16" t="str">
        <f>IFERROR(__xludf.DUMMYFUNCTION("""COMPUTED_VALUE"""),"D")</f>
        <v>D</v>
      </c>
      <c r="BF41" s="100" t="str">
        <f t="shared" si="5"/>
        <v>R</v>
      </c>
      <c r="BI41" s="16">
        <v>30.9</v>
      </c>
      <c r="BJ41" s="16">
        <v>3.5</v>
      </c>
      <c r="BK41" s="16">
        <v>1.0</v>
      </c>
      <c r="BL41" s="32">
        <f t="shared" si="6"/>
        <v>35.4</v>
      </c>
      <c r="BM41" s="16">
        <v>48.9</v>
      </c>
      <c r="BN41" s="32">
        <f t="shared" si="7"/>
        <v>84.3</v>
      </c>
      <c r="BO41" s="16">
        <v>49.300000000000004</v>
      </c>
      <c r="BP41" s="32">
        <f t="shared" si="8"/>
        <v>56.8</v>
      </c>
      <c r="BQ41" s="16">
        <v>75.0</v>
      </c>
      <c r="BR41" s="16">
        <v>16.0</v>
      </c>
      <c r="BV41" s="16" t="str">
        <f>IFERROR(__xludf.DUMMYFUNCTION("""COMPUTED_VALUE"""),"Colton Cowser")</f>
        <v>Colton Cowser</v>
      </c>
      <c r="BW41" s="16" t="str">
        <f>IFERROR(__xludf.DUMMYFUNCTION("""COMPUTED_VALUE"""),"L")</f>
        <v>L</v>
      </c>
      <c r="BX41" s="16">
        <f>IFERROR(__xludf.DUMMYFUNCTION("""COMPUTED_VALUE"""),48.0)</f>
        <v>48</v>
      </c>
      <c r="BY41" s="16">
        <f>IFERROR(__xludf.DUMMYFUNCTION("""COMPUTED_VALUE"""),39.0)</f>
        <v>39</v>
      </c>
      <c r="BZ41" s="16">
        <f>IFERROR(__xludf.DUMMYFUNCTION("""COMPUTED_VALUE"""),5.0)</f>
        <v>5</v>
      </c>
      <c r="CA41" s="16">
        <f>IFERROR(__xludf.DUMMYFUNCTION("""COMPUTED_VALUE"""),12.0)</f>
        <v>12</v>
      </c>
      <c r="CB41" s="16">
        <f>IFERROR(__xludf.DUMMYFUNCTION("""COMPUTED_VALUE"""),16.9)</f>
        <v>16.9</v>
      </c>
      <c r="CC41" s="16">
        <f>IFERROR(__xludf.DUMMYFUNCTION("""COMPUTED_VALUE"""),18.1)</f>
        <v>18.1</v>
      </c>
      <c r="CD41" s="16">
        <f>IFERROR(__xludf.DUMMYFUNCTION("""COMPUTED_VALUE"""),24.8)</f>
        <v>24.8</v>
      </c>
      <c r="CE41" s="16">
        <f>IFERROR(__xludf.DUMMYFUNCTION("""COMPUTED_VALUE"""),33.1)</f>
        <v>33.1</v>
      </c>
      <c r="CF41" s="16">
        <f>IFERROR(__xludf.DUMMYFUNCTION("""COMPUTED_VALUE"""),27.9)</f>
        <v>27.9</v>
      </c>
      <c r="CG41" s="16">
        <f>IFERROR(__xludf.DUMMYFUNCTION("""COMPUTED_VALUE"""),33.8)</f>
        <v>33.8</v>
      </c>
      <c r="CH41" s="16">
        <f>IFERROR(__xludf.DUMMYFUNCTION("""COMPUTED_VALUE"""),2.5)</f>
        <v>2.5</v>
      </c>
      <c r="CI41" s="16">
        <f>IFERROR(__xludf.DUMMYFUNCTION("""COMPUTED_VALUE"""),3.3)</f>
        <v>3.3</v>
      </c>
      <c r="CJ41" s="16">
        <f>IFERROR(__xludf.DUMMYFUNCTION("""COMPUTED_VALUE"""),4.0)</f>
        <v>4</v>
      </c>
      <c r="CK41" s="16">
        <f>IFERROR(__xludf.DUMMYFUNCTION("""COMPUTED_VALUE"""),6.0)</f>
        <v>6</v>
      </c>
      <c r="CL41" s="16">
        <f>IFERROR(__xludf.DUMMYFUNCTION("""COMPUTED_VALUE"""),5.0)</f>
        <v>5</v>
      </c>
      <c r="CM41" s="16">
        <f>IFERROR(__xludf.DUMMYFUNCTION("""COMPUTED_VALUE"""),5.0)</f>
        <v>5</v>
      </c>
      <c r="CN41" s="16">
        <f>IFERROR(__xludf.DUMMYFUNCTION("""COMPUTED_VALUE"""),11.0)</f>
        <v>11</v>
      </c>
      <c r="CO41" s="16">
        <f>IFERROR(__xludf.DUMMYFUNCTION("""COMPUTED_VALUE"""),10.0)</f>
        <v>10</v>
      </c>
      <c r="CP41" s="16" t="str">
        <f>IFERROR(__xludf.DUMMYFUNCTION("""COMPUTED_VALUE"""),"*4,6/- (16-6)")</f>
        <v>*4,6/- (16-6)</v>
      </c>
      <c r="CQ41" s="16" t="str">
        <f>IFERROR(__xludf.DUMMYFUNCTION("""COMPUTED_VALUE"""),"C")</f>
        <v>C</v>
      </c>
      <c r="CR41" s="16" t="str">
        <f>IFERROR(__xludf.DUMMYFUNCTION("""COMPUTED_VALUE"""),"D")</f>
        <v>D</v>
      </c>
      <c r="CS41" s="16" t="str">
        <f>IFERROR(__xludf.DUMMYFUNCTION("""COMPUTED_VALUE"""),"D")</f>
        <v>D</v>
      </c>
      <c r="CT41" s="100" t="str">
        <f t="shared" si="9"/>
        <v>L</v>
      </c>
      <c r="CW41" s="16">
        <v>25.1</v>
      </c>
      <c r="CX41" s="16">
        <v>2.5</v>
      </c>
      <c r="CY41" s="16">
        <v>2.1</v>
      </c>
      <c r="CZ41" s="32">
        <f t="shared" si="10"/>
        <v>29.7</v>
      </c>
      <c r="DA41" s="16">
        <v>48.2</v>
      </c>
      <c r="DB41" s="32">
        <f t="shared" si="11"/>
        <v>77.9</v>
      </c>
      <c r="DC41" s="16">
        <v>42.3</v>
      </c>
      <c r="DD41" s="32">
        <f t="shared" si="12"/>
        <v>53.2</v>
      </c>
      <c r="DE41" s="16">
        <v>76.0</v>
      </c>
      <c r="DF41" s="16">
        <v>18.0</v>
      </c>
    </row>
    <row r="42">
      <c r="A42" s="126" t="str">
        <f>IFERROR(__xludf.DUMMYFUNCTION("""COMPUTED_VALUE"""),"Teoscar Hernandez")</f>
        <v>Teoscar Hernandez</v>
      </c>
      <c r="B42" s="122" t="s">
        <v>105</v>
      </c>
      <c r="C42" s="123">
        <v>0.16850961538461537</v>
      </c>
      <c r="D42" s="123">
        <v>0.25625</v>
      </c>
      <c r="E42" s="123">
        <v>0.29375</v>
      </c>
      <c r="F42" s="124">
        <v>0.40384615384615385</v>
      </c>
      <c r="G42" s="124">
        <v>0.04807692307692308</v>
      </c>
      <c r="H42" s="123">
        <f t="shared" si="3"/>
        <v>0.5235576923</v>
      </c>
      <c r="I42" s="125"/>
      <c r="J42" s="125"/>
      <c r="K42" s="126"/>
      <c r="L42" s="126"/>
      <c r="M42" s="126"/>
      <c r="N42" s="126"/>
      <c r="O42" s="126"/>
      <c r="P42" s="126"/>
      <c r="Q42" s="126"/>
      <c r="R42" s="126" t="str">
        <f>IFERROR(__xludf.DUMMYFUNCTION("""COMPUTED_VALUE"""),"Nico Hoerner")</f>
        <v>Nico Hoerner</v>
      </c>
      <c r="S42" s="122" t="s">
        <v>105</v>
      </c>
      <c r="T42" s="123">
        <v>0.24062499999999998</v>
      </c>
      <c r="U42" s="123">
        <v>0.2870192307692308</v>
      </c>
      <c r="V42" s="123">
        <v>0.4052884615384616</v>
      </c>
      <c r="W42" s="124">
        <v>0.1778846153846154</v>
      </c>
      <c r="X42" s="124">
        <v>0.07211538461538461</v>
      </c>
      <c r="Y42" s="123">
        <f t="shared" si="4"/>
        <v>0.7109692816</v>
      </c>
      <c r="Z42" s="7"/>
      <c r="AA42" s="7"/>
      <c r="AB42" s="104"/>
      <c r="AC42" s="104"/>
      <c r="AD42" s="104"/>
      <c r="AH42" s="16" t="str">
        <f>IFERROR(__xludf.DUMMYFUNCTION("""COMPUTED_VALUE"""),"Mickey Moniak")</f>
        <v>Mickey Moniak</v>
      </c>
      <c r="AI42" s="16" t="str">
        <f>IFERROR(__xludf.DUMMYFUNCTION("""COMPUTED_VALUE"""),"L")</f>
        <v>L</v>
      </c>
      <c r="AJ42" s="16">
        <f>IFERROR(__xludf.DUMMYFUNCTION("""COMPUTED_VALUE"""),48.0)</f>
        <v>48</v>
      </c>
      <c r="AK42" s="16">
        <f>IFERROR(__xludf.DUMMYFUNCTION("""COMPUTED_VALUE"""),33.0)</f>
        <v>33</v>
      </c>
      <c r="AL42" s="16">
        <f>IFERROR(__xludf.DUMMYFUNCTION("""COMPUTED_VALUE"""),0.0)</f>
        <v>0</v>
      </c>
      <c r="AM42" s="16">
        <f>IFERROR(__xludf.DUMMYFUNCTION("""COMPUTED_VALUE"""),2.0)</f>
        <v>2</v>
      </c>
      <c r="AN42" s="16">
        <f>IFERROR(__xludf.DUMMYFUNCTION("""COMPUTED_VALUE"""),10.2)</f>
        <v>10.2</v>
      </c>
      <c r="AO42" s="16">
        <f>IFERROR(__xludf.DUMMYFUNCTION("""COMPUTED_VALUE"""),17.7)</f>
        <v>17.7</v>
      </c>
      <c r="AP42" s="16">
        <f>IFERROR(__xludf.DUMMYFUNCTION("""COMPUTED_VALUE"""),12.2)</f>
        <v>12.2</v>
      </c>
      <c r="AQ42" s="16">
        <f>IFERROR(__xludf.DUMMYFUNCTION("""COMPUTED_VALUE"""),21.7)</f>
        <v>21.7</v>
      </c>
      <c r="AR42" s="16">
        <f>IFERROR(__xludf.DUMMYFUNCTION("""COMPUTED_VALUE"""),16.9)</f>
        <v>16.9</v>
      </c>
      <c r="AS42" s="16">
        <f>IFERROR(__xludf.DUMMYFUNCTION("""COMPUTED_VALUE"""),29.9)</f>
        <v>29.9</v>
      </c>
      <c r="AT42" s="16">
        <f>IFERROR(__xludf.DUMMYFUNCTION("""COMPUTED_VALUE"""),2.3)</f>
        <v>2.3</v>
      </c>
      <c r="AU42" s="16">
        <f>IFERROR(__xludf.DUMMYFUNCTION("""COMPUTED_VALUE"""),2.3)</f>
        <v>2.3</v>
      </c>
      <c r="AV42" s="16">
        <f>IFERROR(__xludf.DUMMYFUNCTION("""COMPUTED_VALUE"""),3.0)</f>
        <v>3</v>
      </c>
      <c r="AW42" s="16">
        <f>IFERROR(__xludf.DUMMYFUNCTION("""COMPUTED_VALUE"""),3.0)</f>
        <v>3</v>
      </c>
      <c r="AX42" s="16">
        <f>IFERROR(__xludf.DUMMYFUNCTION("""COMPUTED_VALUE"""),5.0)</f>
        <v>5</v>
      </c>
      <c r="AY42" s="16">
        <f>IFERROR(__xludf.DUMMYFUNCTION("""COMPUTED_VALUE"""),5.0)</f>
        <v>5</v>
      </c>
      <c r="AZ42" s="16">
        <f>IFERROR(__xludf.DUMMYFUNCTION("""COMPUTED_VALUE"""),4.0)</f>
        <v>4</v>
      </c>
      <c r="BA42" s="16">
        <f>IFERROR(__xludf.DUMMYFUNCTION("""COMPUTED_VALUE"""),3.0)</f>
        <v>3</v>
      </c>
      <c r="BB42" s="16" t="str">
        <f>IFERROR(__xludf.DUMMYFUNCTION("""COMPUTED_VALUE"""),"*2-6,11,12/- (15-12)")</f>
        <v>*2-6,11,12/- (15-12)</v>
      </c>
      <c r="BC42" s="16" t="str">
        <f>IFERROR(__xludf.DUMMYFUNCTION("""COMPUTED_VALUE"""),"B")</f>
        <v>B</v>
      </c>
      <c r="BD42" s="16" t="str">
        <f>IFERROR(__xludf.DUMMYFUNCTION("""COMPUTED_VALUE"""),"D")</f>
        <v>D</v>
      </c>
      <c r="BE42" s="16" t="str">
        <f>IFERROR(__xludf.DUMMYFUNCTION("""COMPUTED_VALUE"""),"D")</f>
        <v>D</v>
      </c>
      <c r="BF42" s="100" t="str">
        <f t="shared" si="5"/>
        <v>L</v>
      </c>
      <c r="BI42" s="16">
        <v>28.1</v>
      </c>
      <c r="BJ42" s="16">
        <v>2.5</v>
      </c>
      <c r="BK42" s="16">
        <v>1.75</v>
      </c>
      <c r="BL42" s="32">
        <f t="shared" si="6"/>
        <v>32.35</v>
      </c>
      <c r="BM42" s="16">
        <v>41.2</v>
      </c>
      <c r="BN42" s="32">
        <f t="shared" si="7"/>
        <v>73.55</v>
      </c>
      <c r="BO42" s="16">
        <v>52.9</v>
      </c>
      <c r="BP42" s="32">
        <f t="shared" si="8"/>
        <v>62.4</v>
      </c>
      <c r="BQ42" s="16">
        <v>65.0</v>
      </c>
      <c r="BR42" s="16">
        <v>8.0</v>
      </c>
      <c r="BV42" s="16" t="str">
        <f>IFERROR(__xludf.DUMMYFUNCTION("""COMPUTED_VALUE"""),"Connor Wong")</f>
        <v>Connor Wong</v>
      </c>
      <c r="BW42" s="16" t="str">
        <f>IFERROR(__xludf.DUMMYFUNCTION("""COMPUTED_VALUE"""),"R")</f>
        <v>R</v>
      </c>
      <c r="BX42" s="16">
        <f>IFERROR(__xludf.DUMMYFUNCTION("""COMPUTED_VALUE"""),19.0)</f>
        <v>19</v>
      </c>
      <c r="BY42" s="16">
        <f>IFERROR(__xludf.DUMMYFUNCTION("""COMPUTED_VALUE"""),29.0)</f>
        <v>29</v>
      </c>
      <c r="BZ42" s="16">
        <f>IFERROR(__xludf.DUMMYFUNCTION("""COMPUTED_VALUE"""),12.0)</f>
        <v>12</v>
      </c>
      <c r="CA42" s="16">
        <f>IFERROR(__xludf.DUMMYFUNCTION("""COMPUTED_VALUE"""),0.0)</f>
        <v>0</v>
      </c>
      <c r="CB42" s="16">
        <f>IFERROR(__xludf.DUMMYFUNCTION("""COMPUTED_VALUE"""),29.5)</f>
        <v>29.5</v>
      </c>
      <c r="CC42" s="16">
        <f>IFERROR(__xludf.DUMMYFUNCTION("""COMPUTED_VALUE"""),25.7)</f>
        <v>25.7</v>
      </c>
      <c r="CD42" s="16">
        <f>IFERROR(__xludf.DUMMYFUNCTION("""COMPUTED_VALUE"""),45.5)</f>
        <v>45.5</v>
      </c>
      <c r="CE42" s="16">
        <f>IFERROR(__xludf.DUMMYFUNCTION("""COMPUTED_VALUE"""),29.7)</f>
        <v>29.7</v>
      </c>
      <c r="CF42" s="16">
        <f>IFERROR(__xludf.DUMMYFUNCTION("""COMPUTED_VALUE"""),43.5)</f>
        <v>43.5</v>
      </c>
      <c r="CG42" s="16">
        <f>IFERROR(__xludf.DUMMYFUNCTION("""COMPUTED_VALUE"""),34.5)</f>
        <v>34.5</v>
      </c>
      <c r="CH42" s="16">
        <f>IFERROR(__xludf.DUMMYFUNCTION("""COMPUTED_VALUE"""),2.3)</f>
        <v>2.3</v>
      </c>
      <c r="CI42" s="16">
        <f>IFERROR(__xludf.DUMMYFUNCTION("""COMPUTED_VALUE"""),1.2)</f>
        <v>1.2</v>
      </c>
      <c r="CJ42" s="16">
        <f>IFERROR(__xludf.DUMMYFUNCTION("""COMPUTED_VALUE"""),3.0)</f>
        <v>3</v>
      </c>
      <c r="CK42" s="16">
        <f>IFERROR(__xludf.DUMMYFUNCTION("""COMPUTED_VALUE"""),2.0)</f>
        <v>2</v>
      </c>
      <c r="CL42" s="16">
        <f>IFERROR(__xludf.DUMMYFUNCTION("""COMPUTED_VALUE"""),5.0)</f>
        <v>5</v>
      </c>
      <c r="CM42" s="16">
        <f>IFERROR(__xludf.DUMMYFUNCTION("""COMPUTED_VALUE"""),5.0)</f>
        <v>5</v>
      </c>
      <c r="CN42" s="16">
        <f>IFERROR(__xludf.DUMMYFUNCTION("""COMPUTED_VALUE"""),10.0)</f>
        <v>10</v>
      </c>
      <c r="CO42" s="16">
        <f>IFERROR(__xludf.DUMMYFUNCTION("""COMPUTED_VALUE"""),12.0)</f>
        <v>12</v>
      </c>
      <c r="CP42" s="16" t="str">
        <f>IFERROR(__xludf.DUMMYFUNCTION("""COMPUTED_VALUE"""),"*2-7/9 (15-8)")</f>
        <v>*2-7/9 (15-8)</v>
      </c>
      <c r="CQ42" s="16" t="str">
        <f>IFERROR(__xludf.DUMMYFUNCTION("""COMPUTED_VALUE"""),"C")</f>
        <v>C</v>
      </c>
      <c r="CR42" s="16" t="str">
        <f>IFERROR(__xludf.DUMMYFUNCTION("""COMPUTED_VALUE"""),"C")</f>
        <v>C</v>
      </c>
      <c r="CS42" s="16" t="str">
        <f>IFERROR(__xludf.DUMMYFUNCTION("""COMPUTED_VALUE"""),"D")</f>
        <v>D</v>
      </c>
      <c r="CT42" s="100" t="str">
        <f t="shared" si="9"/>
        <v>R</v>
      </c>
      <c r="CW42" s="16">
        <v>48.0</v>
      </c>
      <c r="CX42" s="16">
        <v>3.5</v>
      </c>
      <c r="CY42" s="16">
        <v>1.0</v>
      </c>
      <c r="CZ42" s="32">
        <f t="shared" si="10"/>
        <v>52.5</v>
      </c>
      <c r="DA42" s="16">
        <v>53.0</v>
      </c>
      <c r="DB42" s="32">
        <f t="shared" si="11"/>
        <v>105.5</v>
      </c>
      <c r="DC42" s="16">
        <v>78.1</v>
      </c>
      <c r="DD42" s="32">
        <f t="shared" si="12"/>
        <v>85.6</v>
      </c>
      <c r="DE42" s="16">
        <v>66.0</v>
      </c>
      <c r="DF42" s="16">
        <v>19.0</v>
      </c>
    </row>
    <row r="43">
      <c r="A43" s="126" t="str">
        <f>IFERROR(__xludf.DUMMYFUNCTION("""COMPUTED_VALUE"""),"Trea Turner")</f>
        <v>Trea Turner</v>
      </c>
      <c r="B43" s="122" t="s">
        <v>105</v>
      </c>
      <c r="C43" s="123">
        <v>0.2091346153846154</v>
      </c>
      <c r="D43" s="123">
        <v>0.25</v>
      </c>
      <c r="E43" s="123">
        <v>0.3038461538461539</v>
      </c>
      <c r="F43" s="124">
        <v>0.2932692307692308</v>
      </c>
      <c r="G43" s="124">
        <v>0.09134615384615384</v>
      </c>
      <c r="H43" s="123">
        <f t="shared" si="3"/>
        <v>0.5611374353</v>
      </c>
      <c r="I43" s="125">
        <v>3.0</v>
      </c>
      <c r="J43" s="125" t="s">
        <v>19</v>
      </c>
      <c r="K43" s="126"/>
      <c r="L43" s="126"/>
      <c r="M43" s="126"/>
      <c r="N43" s="126"/>
      <c r="O43" s="126"/>
      <c r="P43" s="126"/>
      <c r="Q43" s="126"/>
      <c r="R43" s="126" t="str">
        <f>IFERROR(__xludf.DUMMYFUNCTION("""COMPUTED_VALUE"""),"Riley Greene")</f>
        <v>Riley Greene</v>
      </c>
      <c r="S43" s="122" t="s">
        <v>104</v>
      </c>
      <c r="T43" s="123">
        <v>0.16466346153846154</v>
      </c>
      <c r="U43" s="123">
        <v>0.2745192307692308</v>
      </c>
      <c r="V43" s="123">
        <v>0.27884615384615385</v>
      </c>
      <c r="W43" s="124">
        <v>0.3317307692307692</v>
      </c>
      <c r="X43" s="124">
        <v>0.038461538461538464</v>
      </c>
      <c r="Y43" s="123">
        <f t="shared" si="4"/>
        <v>0.5320821006</v>
      </c>
      <c r="Z43" s="7"/>
      <c r="AA43" s="7"/>
      <c r="AB43" s="104"/>
      <c r="AC43" s="104"/>
      <c r="AD43" s="104"/>
      <c r="AH43" s="16" t="str">
        <f>IFERROR(__xludf.DUMMYFUNCTION("""COMPUTED_VALUE"""),"Jorge Polanco")</f>
        <v>Jorge Polanco</v>
      </c>
      <c r="AI43" s="16" t="str">
        <f>IFERROR(__xludf.DUMMYFUNCTION("""COMPUTED_VALUE"""),"S")</f>
        <v>S</v>
      </c>
      <c r="AJ43" s="16">
        <f>IFERROR(__xludf.DUMMYFUNCTION("""COMPUTED_VALUE"""),22.0)</f>
        <v>22</v>
      </c>
      <c r="AK43" s="16">
        <f>IFERROR(__xludf.DUMMYFUNCTION("""COMPUTED_VALUE"""),46.0)</f>
        <v>46</v>
      </c>
      <c r="AL43" s="16">
        <f>IFERROR(__xludf.DUMMYFUNCTION("""COMPUTED_VALUE"""),1.0)</f>
        <v>1</v>
      </c>
      <c r="AM43" s="16">
        <f>IFERROR(__xludf.DUMMYFUNCTION("""COMPUTED_VALUE"""),14.0)</f>
        <v>14</v>
      </c>
      <c r="AN43" s="16">
        <f>IFERROR(__xludf.DUMMYFUNCTION("""COMPUTED_VALUE"""),23.5)</f>
        <v>23.5</v>
      </c>
      <c r="AO43" s="16">
        <f>IFERROR(__xludf.DUMMYFUNCTION("""COMPUTED_VALUE"""),10.4)</f>
        <v>10.4</v>
      </c>
      <c r="AP43" s="16">
        <f>IFERROR(__xludf.DUMMYFUNCTION("""COMPUTED_VALUE"""),26.5)</f>
        <v>26.5</v>
      </c>
      <c r="AQ43" s="16">
        <f>IFERROR(__xludf.DUMMYFUNCTION("""COMPUTED_VALUE"""),26.4)</f>
        <v>26.4</v>
      </c>
      <c r="AR43" s="16">
        <f>IFERROR(__xludf.DUMMYFUNCTION("""COMPUTED_VALUE"""),29.9)</f>
        <v>29.9</v>
      </c>
      <c r="AS43" s="16">
        <f>IFERROR(__xludf.DUMMYFUNCTION("""COMPUTED_VALUE"""),17.9)</f>
        <v>17.9</v>
      </c>
      <c r="AT43" s="16">
        <f>IFERROR(__xludf.DUMMYFUNCTION("""COMPUTED_VALUE"""),1.8)</f>
        <v>1.8</v>
      </c>
      <c r="AU43" s="16">
        <f>IFERROR(__xludf.DUMMYFUNCTION("""COMPUTED_VALUE"""),2.5)</f>
        <v>2.5</v>
      </c>
      <c r="AV43" s="16">
        <f>IFERROR(__xludf.DUMMYFUNCTION("""COMPUTED_VALUE"""),3.0)</f>
        <v>3</v>
      </c>
      <c r="AW43" s="16">
        <f>IFERROR(__xludf.DUMMYFUNCTION("""COMPUTED_VALUE"""),5.0)</f>
        <v>5</v>
      </c>
      <c r="AX43" s="16">
        <f>IFERROR(__xludf.DUMMYFUNCTION("""COMPUTED_VALUE"""),5.0)</f>
        <v>5</v>
      </c>
      <c r="AY43" s="16">
        <f>IFERROR(__xludf.DUMMYFUNCTION("""COMPUTED_VALUE"""),5.0)</f>
        <v>5</v>
      </c>
      <c r="AZ43" s="16">
        <f>IFERROR(__xludf.DUMMYFUNCTION("""COMPUTED_VALUE"""),28.0)</f>
        <v>28</v>
      </c>
      <c r="BA43" s="16">
        <f>IFERROR(__xludf.DUMMYFUNCTION("""COMPUTED_VALUE"""),21.0)</f>
        <v>21</v>
      </c>
      <c r="BB43" s="16" t="str">
        <f>IFERROR(__xludf.DUMMYFUNCTION("""COMPUTED_VALUE"""),"4,5/- (13-6)")</f>
        <v>4,5/- (13-6)</v>
      </c>
      <c r="BC43" s="16" t="str">
        <f>IFERROR(__xludf.DUMMYFUNCTION("""COMPUTED_VALUE"""),"D")</f>
        <v>D</v>
      </c>
      <c r="BD43" s="16" t="str">
        <f>IFERROR(__xludf.DUMMYFUNCTION("""COMPUTED_VALUE"""),"C")</f>
        <v>C</v>
      </c>
      <c r="BE43" s="16" t="str">
        <f>IFERROR(__xludf.DUMMYFUNCTION("""COMPUTED_VALUE"""),"D")</f>
        <v>D</v>
      </c>
      <c r="BF43" s="100" t="str">
        <f t="shared" si="5"/>
        <v>L</v>
      </c>
      <c r="BI43" s="16">
        <v>20.8</v>
      </c>
      <c r="BJ43" s="16">
        <v>2.5</v>
      </c>
      <c r="BK43" s="16">
        <v>2.45</v>
      </c>
      <c r="BL43" s="32">
        <f t="shared" si="6"/>
        <v>25.75</v>
      </c>
      <c r="BM43" s="16">
        <v>45.9</v>
      </c>
      <c r="BN43" s="32">
        <f t="shared" si="7"/>
        <v>71.65</v>
      </c>
      <c r="BO43" s="16">
        <v>40.9</v>
      </c>
      <c r="BP43" s="32">
        <f t="shared" si="8"/>
        <v>53.2</v>
      </c>
      <c r="BQ43" s="16">
        <v>78.0</v>
      </c>
      <c r="BR43" s="16">
        <v>26.0</v>
      </c>
      <c r="BV43" s="16" t="str">
        <f>IFERROR(__xludf.DUMMYFUNCTION("""COMPUTED_VALUE"""),"Miguel Andujar")</f>
        <v>Miguel Andujar</v>
      </c>
      <c r="BW43" s="16" t="str">
        <f>IFERROR(__xludf.DUMMYFUNCTION("""COMPUTED_VALUE"""),"R")</f>
        <v>R</v>
      </c>
      <c r="BX43" s="16">
        <f>IFERROR(__xludf.DUMMYFUNCTION("""COMPUTED_VALUE"""),0.0)</f>
        <v>0</v>
      </c>
      <c r="BY43" s="16">
        <f>IFERROR(__xludf.DUMMYFUNCTION("""COMPUTED_VALUE"""),5.0)</f>
        <v>5</v>
      </c>
      <c r="BZ43" s="16">
        <f>IFERROR(__xludf.DUMMYFUNCTION("""COMPUTED_VALUE"""),9.0)</f>
        <v>9</v>
      </c>
      <c r="CA43" s="16">
        <f>IFERROR(__xludf.DUMMYFUNCTION("""COMPUTED_VALUE"""),0.0)</f>
        <v>0</v>
      </c>
      <c r="CB43" s="16">
        <f>IFERROR(__xludf.DUMMYFUNCTION("""COMPUTED_VALUE"""),45.1)</f>
        <v>45.1</v>
      </c>
      <c r="CC43" s="16">
        <f>IFERROR(__xludf.DUMMYFUNCTION("""COMPUTED_VALUE"""),27.3)</f>
        <v>27.3</v>
      </c>
      <c r="CD43" s="16">
        <f>IFERROR(__xludf.DUMMYFUNCTION("""COMPUTED_VALUE"""),56.1)</f>
        <v>56.1</v>
      </c>
      <c r="CE43" s="16">
        <f>IFERROR(__xludf.DUMMYFUNCTION("""COMPUTED_VALUE"""),29.3)</f>
        <v>29.3</v>
      </c>
      <c r="CF43" s="16">
        <f>IFERROR(__xludf.DUMMYFUNCTION("""COMPUTED_VALUE"""),53.9)</f>
        <v>53.9</v>
      </c>
      <c r="CG43" s="16">
        <f>IFERROR(__xludf.DUMMYFUNCTION("""COMPUTED_VALUE"""),39.2)</f>
        <v>39.2</v>
      </c>
      <c r="CH43" s="16">
        <f>IFERROR(__xludf.DUMMYFUNCTION("""COMPUTED_VALUE"""),0.2)</f>
        <v>0.2</v>
      </c>
      <c r="CI43" s="16">
        <f>IFERROR(__xludf.DUMMYFUNCTION("""COMPUTED_VALUE"""),2.5)</f>
        <v>2.5</v>
      </c>
      <c r="CJ43" s="16">
        <f>IFERROR(__xludf.DUMMYFUNCTION("""COMPUTED_VALUE"""),0.0)</f>
        <v>0</v>
      </c>
      <c r="CK43" s="16">
        <f>IFERROR(__xludf.DUMMYFUNCTION("""COMPUTED_VALUE"""),-3.0)</f>
        <v>-3</v>
      </c>
      <c r="CL43" s="16">
        <f>IFERROR(__xludf.DUMMYFUNCTION("""COMPUTED_VALUE"""),5.0)</f>
        <v>5</v>
      </c>
      <c r="CM43" s="16">
        <f>IFERROR(__xludf.DUMMYFUNCTION("""COMPUTED_VALUE"""),5.0)</f>
        <v>5</v>
      </c>
      <c r="CN43" s="16">
        <f>IFERROR(__xludf.DUMMYFUNCTION("""COMPUTED_VALUE"""),22.0)</f>
        <v>22</v>
      </c>
      <c r="CO43" s="16">
        <f>IFERROR(__xludf.DUMMYFUNCTION("""COMPUTED_VALUE"""),25.0)</f>
        <v>25</v>
      </c>
      <c r="CP43" s="16" t="str">
        <f>IFERROR(__xludf.DUMMYFUNCTION("""COMPUTED_VALUE"""),"7/12 (13-6)")</f>
        <v>7/12 (13-6)</v>
      </c>
      <c r="CQ43" s="16" t="str">
        <f>IFERROR(__xludf.DUMMYFUNCTION("""COMPUTED_VALUE"""),"D")</f>
        <v>D</v>
      </c>
      <c r="CR43" s="16" t="str">
        <f>IFERROR(__xludf.DUMMYFUNCTION("""COMPUTED_VALUE"""),"D")</f>
        <v>D</v>
      </c>
      <c r="CS43" s="16" t="str">
        <f>IFERROR(__xludf.DUMMYFUNCTION("""COMPUTED_VALUE"""),"C")</f>
        <v>C</v>
      </c>
      <c r="CT43" s="100" t="str">
        <f t="shared" si="9"/>
        <v>R</v>
      </c>
      <c r="CW43" s="16">
        <v>49.6</v>
      </c>
      <c r="CX43" s="16">
        <v>3.5</v>
      </c>
      <c r="CY43" s="16">
        <v>-0.25</v>
      </c>
      <c r="CZ43" s="32">
        <f t="shared" si="10"/>
        <v>52.85</v>
      </c>
      <c r="DA43" s="16">
        <v>52.6</v>
      </c>
      <c r="DB43" s="32">
        <f t="shared" si="11"/>
        <v>105.45</v>
      </c>
      <c r="DC43" s="16">
        <v>82.80000000000001</v>
      </c>
      <c r="DD43" s="32">
        <f t="shared" si="12"/>
        <v>85.3</v>
      </c>
      <c r="DE43" s="16">
        <v>42.0</v>
      </c>
      <c r="DF43" s="16">
        <v>32.0</v>
      </c>
    </row>
    <row r="44">
      <c r="A44" s="125" t="str">
        <f>IFERROR(__xludf.DUMMYFUNCTION("""COMPUTED_VALUE"""),"Yordan Alvarez")</f>
        <v>Yordan Alvarez</v>
      </c>
      <c r="B44" s="122" t="s">
        <v>104</v>
      </c>
      <c r="C44" s="123">
        <v>0.19423076923076923</v>
      </c>
      <c r="D44" s="123">
        <v>0.28125</v>
      </c>
      <c r="E44" s="123">
        <v>0.4168269230769231</v>
      </c>
      <c r="F44" s="124">
        <v>0.18269230769230768</v>
      </c>
      <c r="G44" s="124">
        <v>0.10576923076923077</v>
      </c>
      <c r="H44" s="123">
        <f t="shared" si="3"/>
        <v>0.6332701553</v>
      </c>
      <c r="I44" s="125">
        <v>1.0</v>
      </c>
      <c r="J44" s="125" t="s">
        <v>16</v>
      </c>
      <c r="K44" s="126"/>
      <c r="L44" s="126"/>
      <c r="M44" s="126"/>
      <c r="N44" s="126"/>
      <c r="O44" s="126"/>
      <c r="P44" s="126"/>
      <c r="Q44" s="126"/>
      <c r="R44" s="125" t="str">
        <f>IFERROR(__xludf.DUMMYFUNCTION("""COMPUTED_VALUE"""),"Sal Frelick")</f>
        <v>Sal Frelick</v>
      </c>
      <c r="S44" s="122" t="s">
        <v>104</v>
      </c>
      <c r="T44" s="123">
        <v>0.16514423076923077</v>
      </c>
      <c r="U44" s="123">
        <v>0.23557692307692307</v>
      </c>
      <c r="V44" s="123">
        <v>0.19134615384615383</v>
      </c>
      <c r="W44" s="124">
        <v>0.21634615384615385</v>
      </c>
      <c r="X44" s="124">
        <v>0.09615384615384616</v>
      </c>
      <c r="Y44" s="123">
        <f t="shared" si="4"/>
        <v>0.3968449519</v>
      </c>
      <c r="Z44" s="7"/>
      <c r="AA44" s="7"/>
      <c r="AB44" s="104"/>
      <c r="AC44" s="104"/>
      <c r="AD44" s="104"/>
      <c r="AH44" s="16" t="str">
        <f>IFERROR(__xludf.DUMMYFUNCTION("""COMPUTED_VALUE"""),"Ben Rice")</f>
        <v>Ben Rice</v>
      </c>
      <c r="AI44" s="16" t="str">
        <f>IFERROR(__xludf.DUMMYFUNCTION("""COMPUTED_VALUE"""),"L")</f>
        <v>L</v>
      </c>
      <c r="AJ44" s="16">
        <f>IFERROR(__xludf.DUMMYFUNCTION("""COMPUTED_VALUE"""),28.0)</f>
        <v>28</v>
      </c>
      <c r="AK44" s="16">
        <f>IFERROR(__xludf.DUMMYFUNCTION("""COMPUTED_VALUE"""),38.0)</f>
        <v>38</v>
      </c>
      <c r="AL44" s="16">
        <f>IFERROR(__xludf.DUMMYFUNCTION("""COMPUTED_VALUE"""),26.0)</f>
        <v>26</v>
      </c>
      <c r="AM44" s="16">
        <f>IFERROR(__xludf.DUMMYFUNCTION("""COMPUTED_VALUE"""),12.0)</f>
        <v>12</v>
      </c>
      <c r="AN44" s="16">
        <f>IFERROR(__xludf.DUMMYFUNCTION("""COMPUTED_VALUE"""),1.8)</f>
        <v>1.8</v>
      </c>
      <c r="AO44" s="16">
        <f>IFERROR(__xludf.DUMMYFUNCTION("""COMPUTED_VALUE"""),6.6)</f>
        <v>6.6</v>
      </c>
      <c r="AP44" s="16">
        <f>IFERROR(__xludf.DUMMYFUNCTION("""COMPUTED_VALUE"""),28.8)</f>
        <v>28.8</v>
      </c>
      <c r="AQ44" s="16">
        <f>IFERROR(__xludf.DUMMYFUNCTION("""COMPUTED_VALUE"""),19.6)</f>
        <v>19.6</v>
      </c>
      <c r="AR44" s="16">
        <f>IFERROR(__xludf.DUMMYFUNCTION("""COMPUTED_VALUE"""),7.0)</f>
        <v>7</v>
      </c>
      <c r="AS44" s="16">
        <f>IFERROR(__xludf.DUMMYFUNCTION("""COMPUTED_VALUE"""),20.0)</f>
        <v>20</v>
      </c>
      <c r="AT44" s="16">
        <f>IFERROR(__xludf.DUMMYFUNCTION("""COMPUTED_VALUE"""),1.8)</f>
        <v>1.8</v>
      </c>
      <c r="AU44" s="16">
        <f>IFERROR(__xludf.DUMMYFUNCTION("""COMPUTED_VALUE"""),3.4)</f>
        <v>3.4</v>
      </c>
      <c r="AV44" s="16">
        <f>IFERROR(__xludf.DUMMYFUNCTION("""COMPUTED_VALUE"""),1.0)</f>
        <v>1</v>
      </c>
      <c r="AW44" s="16">
        <f>IFERROR(__xludf.DUMMYFUNCTION("""COMPUTED_VALUE"""),5.0)</f>
        <v>5</v>
      </c>
      <c r="AX44" s="16">
        <f>IFERROR(__xludf.DUMMYFUNCTION("""COMPUTED_VALUE"""),0.0)</f>
        <v>0</v>
      </c>
      <c r="AY44" s="16">
        <f>IFERROR(__xludf.DUMMYFUNCTION("""COMPUTED_VALUE"""),0.0)</f>
        <v>0</v>
      </c>
      <c r="AZ44" s="16">
        <f>IFERROR(__xludf.DUMMYFUNCTION("""COMPUTED_VALUE"""),5.0)</f>
        <v>5</v>
      </c>
      <c r="BA44" s="16">
        <f>IFERROR(__xludf.DUMMYFUNCTION("""COMPUTED_VALUE"""),8.0)</f>
        <v>8</v>
      </c>
      <c r="BB44" s="16" t="str">
        <f>IFERROR(__xludf.DUMMYFUNCTION("""COMPUTED_VALUE"""),"2-6,11,12/- (3-1)")</f>
        <v>2-6,11,12/- (3-1)</v>
      </c>
      <c r="BC44" s="16" t="str">
        <f>IFERROR(__xludf.DUMMYFUNCTION("""COMPUTED_VALUE"""),"E")</f>
        <v>E</v>
      </c>
      <c r="BD44" s="16" t="str">
        <f>IFERROR(__xludf.DUMMYFUNCTION("""COMPUTED_VALUE"""),"D")</f>
        <v>D</v>
      </c>
      <c r="BE44" s="16" t="str">
        <f>IFERROR(__xludf.DUMMYFUNCTION("""COMPUTED_VALUE"""),"D")</f>
        <v>D</v>
      </c>
      <c r="BF44" s="100" t="str">
        <f t="shared" si="5"/>
        <v>L</v>
      </c>
      <c r="BI44" s="16">
        <v>17.0</v>
      </c>
      <c r="BJ44" s="16">
        <v>1.25</v>
      </c>
      <c r="BK44" s="16">
        <v>2.45</v>
      </c>
      <c r="BL44" s="32">
        <f t="shared" si="6"/>
        <v>20.7</v>
      </c>
      <c r="BM44" s="16">
        <v>39.1</v>
      </c>
      <c r="BN44" s="32">
        <f t="shared" si="7"/>
        <v>59.8</v>
      </c>
      <c r="BO44" s="16">
        <v>43.0</v>
      </c>
      <c r="BP44" s="32">
        <f t="shared" si="8"/>
        <v>54.05</v>
      </c>
      <c r="BQ44" s="16">
        <v>70.0</v>
      </c>
      <c r="BR44" s="16">
        <v>13.0</v>
      </c>
      <c r="BV44" s="16" t="str">
        <f>IFERROR(__xludf.DUMMYFUNCTION("""COMPUTED_VALUE"""),"Hunter Goodman")</f>
        <v>Hunter Goodman</v>
      </c>
      <c r="BW44" s="16" t="str">
        <f>IFERROR(__xludf.DUMMYFUNCTION("""COMPUTED_VALUE"""),"R")</f>
        <v>R</v>
      </c>
      <c r="BX44" s="16">
        <f>IFERROR(__xludf.DUMMYFUNCTION("""COMPUTED_VALUE"""),43.0)</f>
        <v>43</v>
      </c>
      <c r="BY44" s="16">
        <f>IFERROR(__xludf.DUMMYFUNCTION("""COMPUTED_VALUE"""),32.0)</f>
        <v>32</v>
      </c>
      <c r="BZ44" s="16">
        <f>IFERROR(__xludf.DUMMYFUNCTION("""COMPUTED_VALUE"""),0.0)</f>
        <v>0</v>
      </c>
      <c r="CA44" s="16">
        <f>IFERROR(__xludf.DUMMYFUNCTION("""COMPUTED_VALUE"""),0.0)</f>
        <v>0</v>
      </c>
      <c r="CB44" s="16">
        <f>IFERROR(__xludf.DUMMYFUNCTION("""COMPUTED_VALUE"""),12.1)</f>
        <v>12.1</v>
      </c>
      <c r="CC44" s="16">
        <f>IFERROR(__xludf.DUMMYFUNCTION("""COMPUTED_VALUE"""),7.0)</f>
        <v>7</v>
      </c>
      <c r="CD44" s="16">
        <f>IFERROR(__xludf.DUMMYFUNCTION("""COMPUTED_VALUE"""),15.1)</f>
        <v>15.1</v>
      </c>
      <c r="CE44" s="16">
        <f>IFERROR(__xludf.DUMMYFUNCTION("""COMPUTED_VALUE"""),10.0)</f>
        <v>10</v>
      </c>
      <c r="CF44" s="16">
        <f>IFERROR(__xludf.DUMMYFUNCTION("""COMPUTED_VALUE"""),35.3)</f>
        <v>35.3</v>
      </c>
      <c r="CG44" s="16">
        <f>IFERROR(__xludf.DUMMYFUNCTION("""COMPUTED_VALUE"""),21.8)</f>
        <v>21.8</v>
      </c>
      <c r="CH44" s="16">
        <f>IFERROR(__xludf.DUMMYFUNCTION("""COMPUTED_VALUE"""),6.0)</f>
        <v>6</v>
      </c>
      <c r="CI44" s="16">
        <f>IFERROR(__xludf.DUMMYFUNCTION("""COMPUTED_VALUE"""),4.2)</f>
        <v>4.2</v>
      </c>
      <c r="CJ44" s="16">
        <f>IFERROR(__xludf.DUMMYFUNCTION("""COMPUTED_VALUE"""),8.0)</f>
        <v>8</v>
      </c>
      <c r="CK44" s="16">
        <f>IFERROR(__xludf.DUMMYFUNCTION("""COMPUTED_VALUE"""),7.0)</f>
        <v>7</v>
      </c>
      <c r="CL44" s="16">
        <f>IFERROR(__xludf.DUMMYFUNCTION("""COMPUTED_VALUE"""),0.0)</f>
        <v>0</v>
      </c>
      <c r="CM44" s="16">
        <f>IFERROR(__xludf.DUMMYFUNCTION("""COMPUTED_VALUE"""),0.0)</f>
        <v>0</v>
      </c>
      <c r="CN44" s="16">
        <f>IFERROR(__xludf.DUMMYFUNCTION("""COMPUTED_VALUE"""),19.0)</f>
        <v>19</v>
      </c>
      <c r="CO44" s="16">
        <f>IFERROR(__xludf.DUMMYFUNCTION("""COMPUTED_VALUE"""),19.0)</f>
        <v>19</v>
      </c>
      <c r="CP44" s="16" t="str">
        <f>IFERROR(__xludf.DUMMYFUNCTION("""COMPUTED_VALUE"""),"2-5/10 (13-6)")</f>
        <v>2-5/10 (13-6)</v>
      </c>
      <c r="CQ44" s="16" t="str">
        <f>IFERROR(__xludf.DUMMYFUNCTION("""COMPUTED_VALUE"""),"E")</f>
        <v>E</v>
      </c>
      <c r="CR44" s="16" t="str">
        <f>IFERROR(__xludf.DUMMYFUNCTION("""COMPUTED_VALUE"""),"D")</f>
        <v>D</v>
      </c>
      <c r="CS44" s="16" t="str">
        <f>IFERROR(__xludf.DUMMYFUNCTION("""COMPUTED_VALUE"""),"D")</f>
        <v>D</v>
      </c>
      <c r="CT44" s="100" t="str">
        <f t="shared" si="9"/>
        <v>R</v>
      </c>
      <c r="CW44" s="16">
        <v>29.3</v>
      </c>
      <c r="CX44" s="16">
        <v>1.75</v>
      </c>
      <c r="CY44" s="16">
        <v>2.25</v>
      </c>
      <c r="CZ44" s="32">
        <f t="shared" si="10"/>
        <v>33.3</v>
      </c>
      <c r="DA44" s="16">
        <v>33.3</v>
      </c>
      <c r="DB44" s="32">
        <f t="shared" si="11"/>
        <v>66.6</v>
      </c>
      <c r="DC44" s="16">
        <v>65.4</v>
      </c>
      <c r="DD44" s="32">
        <f t="shared" si="12"/>
        <v>76.15</v>
      </c>
      <c r="DE44" s="16">
        <v>69.0</v>
      </c>
      <c r="DF44" s="16">
        <v>26.0</v>
      </c>
    </row>
    <row r="45">
      <c r="A45" s="125"/>
      <c r="B45" s="122"/>
      <c r="C45" s="123"/>
      <c r="D45" s="123"/>
      <c r="E45" s="123"/>
      <c r="F45" s="124"/>
      <c r="G45" s="124"/>
      <c r="H45" s="123" t="str">
        <f t="shared" si="3"/>
        <v/>
      </c>
      <c r="I45" s="125">
        <v>2.0</v>
      </c>
      <c r="J45" s="125" t="s">
        <v>17</v>
      </c>
      <c r="K45" s="126"/>
      <c r="L45" s="126"/>
      <c r="M45" s="126"/>
      <c r="N45" s="126"/>
      <c r="O45" s="126"/>
      <c r="P45" s="126"/>
      <c r="Q45" s="126"/>
      <c r="R45" s="125"/>
      <c r="S45" s="122"/>
      <c r="T45" s="123"/>
      <c r="U45" s="123"/>
      <c r="V45" s="123"/>
      <c r="W45" s="124"/>
      <c r="X45" s="124"/>
      <c r="Y45" s="123" t="str">
        <f t="shared" si="4"/>
        <v/>
      </c>
      <c r="Z45" s="7"/>
      <c r="AA45" s="7"/>
      <c r="AB45" s="104"/>
      <c r="AC45" s="104"/>
      <c r="AD45" s="104"/>
      <c r="BF45" s="100" t="str">
        <f t="shared" si="5"/>
        <v/>
      </c>
      <c r="BI45" s="16"/>
      <c r="BJ45" s="16"/>
      <c r="BK45" s="16"/>
      <c r="BL45" s="32">
        <f t="shared" si="6"/>
        <v>0</v>
      </c>
      <c r="BM45" s="16"/>
      <c r="BN45" s="32">
        <f t="shared" si="7"/>
        <v>0</v>
      </c>
      <c r="BO45" s="16"/>
      <c r="BP45" s="32">
        <f t="shared" si="8"/>
        <v>0</v>
      </c>
      <c r="BQ45" s="16"/>
      <c r="BR45" s="16"/>
      <c r="CT45" s="100" t="str">
        <f t="shared" si="9"/>
        <v/>
      </c>
      <c r="CW45" s="16"/>
      <c r="CX45" s="16"/>
      <c r="CY45" s="16"/>
      <c r="CZ45" s="32">
        <f t="shared" si="10"/>
        <v>0</v>
      </c>
      <c r="DA45" s="16"/>
      <c r="DB45" s="32">
        <f t="shared" si="11"/>
        <v>0</v>
      </c>
      <c r="DC45" s="16"/>
      <c r="DD45" s="32">
        <f t="shared" si="12"/>
        <v>0</v>
      </c>
      <c r="DE45" s="16"/>
      <c r="DF45" s="16"/>
    </row>
    <row r="46">
      <c r="A46" s="125"/>
      <c r="B46" s="122"/>
      <c r="C46" s="123"/>
      <c r="D46" s="123"/>
      <c r="E46" s="123"/>
      <c r="F46" s="124"/>
      <c r="G46" s="124"/>
      <c r="H46" s="123" t="str">
        <f t="shared" si="3"/>
        <v/>
      </c>
      <c r="I46" s="125"/>
      <c r="J46" s="125"/>
      <c r="K46" s="126"/>
      <c r="L46" s="126"/>
      <c r="M46" s="126"/>
      <c r="N46" s="126"/>
      <c r="O46" s="126"/>
      <c r="P46" s="126"/>
      <c r="Q46" s="126"/>
      <c r="R46" s="125"/>
      <c r="S46" s="122"/>
      <c r="T46" s="123"/>
      <c r="U46" s="123"/>
      <c r="V46" s="123"/>
      <c r="W46" s="124"/>
      <c r="X46" s="124"/>
      <c r="Y46" s="123" t="str">
        <f t="shared" si="4"/>
        <v/>
      </c>
      <c r="Z46" s="7"/>
      <c r="AA46" s="7"/>
      <c r="AB46" s="104"/>
      <c r="AC46" s="104"/>
      <c r="AD46" s="104"/>
      <c r="BF46" s="100" t="str">
        <f t="shared" si="5"/>
        <v/>
      </c>
      <c r="BI46" s="16"/>
      <c r="BJ46" s="16"/>
      <c r="BK46" s="16"/>
      <c r="BL46" s="32">
        <f t="shared" si="6"/>
        <v>0</v>
      </c>
      <c r="BM46" s="16"/>
      <c r="BN46" s="32">
        <f t="shared" si="7"/>
        <v>0</v>
      </c>
      <c r="BO46" s="16"/>
      <c r="BP46" s="32">
        <f t="shared" si="8"/>
        <v>0</v>
      </c>
      <c r="BQ46" s="16"/>
      <c r="BR46" s="16"/>
      <c r="CT46" s="100" t="str">
        <f t="shared" si="9"/>
        <v/>
      </c>
      <c r="CW46" s="16"/>
      <c r="CX46" s="16"/>
      <c r="CY46" s="16"/>
      <c r="CZ46" s="32">
        <f t="shared" si="10"/>
        <v>0</v>
      </c>
      <c r="DA46" s="16"/>
      <c r="DB46" s="32">
        <f t="shared" si="11"/>
        <v>0</v>
      </c>
      <c r="DC46" s="16"/>
      <c r="DD46" s="32">
        <f t="shared" si="12"/>
        <v>0</v>
      </c>
      <c r="DE46" s="16"/>
      <c r="DF46" s="16"/>
    </row>
    <row r="47">
      <c r="A47" s="125"/>
      <c r="B47" s="122"/>
      <c r="C47" s="123"/>
      <c r="D47" s="123"/>
      <c r="E47" s="123"/>
      <c r="F47" s="124"/>
      <c r="G47" s="124"/>
      <c r="H47" s="123" t="str">
        <f t="shared" si="3"/>
        <v/>
      </c>
      <c r="I47" s="126"/>
      <c r="J47" s="126"/>
      <c r="K47" s="126"/>
      <c r="L47" s="126"/>
      <c r="M47" s="126"/>
      <c r="N47" s="126"/>
      <c r="O47" s="126"/>
      <c r="P47" s="126"/>
      <c r="Q47" s="126"/>
      <c r="R47" s="126"/>
      <c r="S47" s="122"/>
      <c r="T47" s="123"/>
      <c r="U47" s="123"/>
      <c r="V47" s="123"/>
      <c r="W47" s="124"/>
      <c r="X47" s="124"/>
      <c r="Y47" s="123" t="str">
        <f t="shared" si="4"/>
        <v/>
      </c>
      <c r="Z47" s="15"/>
      <c r="AA47" s="15"/>
      <c r="AB47" s="104"/>
      <c r="AC47" s="104"/>
      <c r="AD47" s="104"/>
      <c r="BF47" s="100" t="str">
        <f t="shared" si="5"/>
        <v/>
      </c>
      <c r="BI47" s="16"/>
      <c r="BJ47" s="16"/>
      <c r="BK47" s="16"/>
      <c r="BL47" s="32">
        <f t="shared" si="6"/>
        <v>0</v>
      </c>
      <c r="BM47" s="16"/>
      <c r="BN47" s="32">
        <f t="shared" si="7"/>
        <v>0</v>
      </c>
      <c r="BO47" s="16"/>
      <c r="BP47" s="32">
        <f t="shared" si="8"/>
        <v>0</v>
      </c>
      <c r="BQ47" s="16"/>
      <c r="BR47" s="16"/>
      <c r="CT47" s="100" t="str">
        <f t="shared" si="9"/>
        <v/>
      </c>
      <c r="CW47" s="16"/>
      <c r="CX47" s="16"/>
      <c r="CY47" s="16"/>
      <c r="CZ47" s="32">
        <f t="shared" si="10"/>
        <v>0</v>
      </c>
      <c r="DA47" s="16"/>
      <c r="DB47" s="32">
        <f t="shared" si="11"/>
        <v>0</v>
      </c>
      <c r="DC47" s="16"/>
      <c r="DD47" s="32">
        <f t="shared" si="12"/>
        <v>0</v>
      </c>
      <c r="DE47" s="16"/>
      <c r="DF47" s="16"/>
    </row>
    <row r="48">
      <c r="A48" s="126"/>
      <c r="B48" s="122"/>
      <c r="C48" s="123"/>
      <c r="D48" s="123"/>
      <c r="E48" s="123"/>
      <c r="F48" s="124"/>
      <c r="G48" s="124"/>
      <c r="H48" s="123" t="str">
        <f t="shared" si="3"/>
        <v/>
      </c>
      <c r="I48" s="126"/>
      <c r="J48" s="126"/>
      <c r="K48" s="126"/>
      <c r="L48" s="126"/>
      <c r="M48" s="126"/>
      <c r="N48" s="126"/>
      <c r="O48" s="126"/>
      <c r="P48" s="126"/>
      <c r="Q48" s="126"/>
      <c r="R48" s="126"/>
      <c r="S48" s="122"/>
      <c r="T48" s="123"/>
      <c r="U48" s="123"/>
      <c r="V48" s="123"/>
      <c r="W48" s="124"/>
      <c r="X48" s="124"/>
      <c r="Y48" s="123" t="str">
        <f t="shared" si="4"/>
        <v/>
      </c>
      <c r="Z48" s="15"/>
      <c r="AA48" s="15"/>
      <c r="AB48" s="104"/>
      <c r="AC48" s="104"/>
      <c r="AD48" s="104"/>
      <c r="BF48" s="100" t="str">
        <f t="shared" si="5"/>
        <v/>
      </c>
      <c r="BI48" s="16"/>
      <c r="BJ48" s="16"/>
      <c r="BK48" s="16"/>
      <c r="BL48" s="32">
        <f t="shared" si="6"/>
        <v>0</v>
      </c>
      <c r="BM48" s="16"/>
      <c r="BN48" s="32">
        <f t="shared" si="7"/>
        <v>0</v>
      </c>
      <c r="BO48" s="16"/>
      <c r="BP48" s="32">
        <f t="shared" si="8"/>
        <v>0</v>
      </c>
      <c r="BQ48" s="16"/>
      <c r="BR48" s="16"/>
      <c r="CT48" s="100" t="str">
        <f t="shared" si="9"/>
        <v/>
      </c>
      <c r="CW48" s="16"/>
      <c r="CX48" s="16"/>
      <c r="CY48" s="16"/>
      <c r="CZ48" s="32">
        <f t="shared" si="10"/>
        <v>0</v>
      </c>
      <c r="DA48" s="16"/>
      <c r="DB48" s="32">
        <f t="shared" si="11"/>
        <v>0</v>
      </c>
      <c r="DC48" s="16"/>
      <c r="DD48" s="32">
        <f t="shared" si="12"/>
        <v>0</v>
      </c>
      <c r="DE48" s="16"/>
      <c r="DF48" s="16"/>
    </row>
    <row r="49">
      <c r="A49" s="126"/>
      <c r="B49" s="122"/>
      <c r="C49" s="123"/>
      <c r="D49" s="123"/>
      <c r="E49" s="123"/>
      <c r="F49" s="124"/>
      <c r="G49" s="124"/>
      <c r="H49" s="123" t="str">
        <f t="shared" si="3"/>
        <v/>
      </c>
      <c r="I49" s="126"/>
      <c r="J49" s="126"/>
      <c r="K49" s="126"/>
      <c r="L49" s="126"/>
      <c r="M49" s="126"/>
      <c r="N49" s="126"/>
      <c r="O49" s="126"/>
      <c r="P49" s="126"/>
      <c r="Q49" s="126"/>
      <c r="R49" s="126"/>
      <c r="S49" s="122"/>
      <c r="T49" s="123"/>
      <c r="U49" s="123"/>
      <c r="V49" s="123"/>
      <c r="W49" s="124"/>
      <c r="X49" s="124"/>
      <c r="Y49" s="123" t="str">
        <f t="shared" si="4"/>
        <v/>
      </c>
      <c r="Z49" s="15"/>
      <c r="AA49" s="15"/>
      <c r="AB49" s="104"/>
      <c r="AC49" s="104"/>
      <c r="AD49" s="104"/>
      <c r="BF49" s="100" t="str">
        <f t="shared" si="5"/>
        <v/>
      </c>
      <c r="BI49" s="16"/>
      <c r="BJ49" s="16"/>
      <c r="BK49" s="16"/>
      <c r="BL49" s="32">
        <f t="shared" si="6"/>
        <v>0</v>
      </c>
      <c r="BM49" s="16"/>
      <c r="BN49" s="32">
        <f t="shared" si="7"/>
        <v>0</v>
      </c>
      <c r="BO49" s="16"/>
      <c r="BP49" s="32">
        <f t="shared" si="8"/>
        <v>0</v>
      </c>
      <c r="BQ49" s="16"/>
      <c r="BR49" s="16"/>
      <c r="CT49" s="100" t="str">
        <f t="shared" si="9"/>
        <v/>
      </c>
      <c r="CW49" s="16"/>
      <c r="CX49" s="16"/>
      <c r="CY49" s="16"/>
      <c r="CZ49" s="32">
        <f t="shared" si="10"/>
        <v>0</v>
      </c>
      <c r="DA49" s="16"/>
      <c r="DB49" s="32">
        <f t="shared" si="11"/>
        <v>0</v>
      </c>
      <c r="DC49" s="16"/>
      <c r="DD49" s="32">
        <f t="shared" si="12"/>
        <v>0</v>
      </c>
      <c r="DE49" s="16"/>
      <c r="DF49" s="16"/>
    </row>
    <row r="50">
      <c r="A50" s="126"/>
      <c r="B50" s="122"/>
      <c r="C50" s="123"/>
      <c r="D50" s="123"/>
      <c r="E50" s="123"/>
      <c r="F50" s="124"/>
      <c r="G50" s="124"/>
      <c r="H50" s="123" t="str">
        <f t="shared" si="3"/>
        <v/>
      </c>
      <c r="I50" s="126"/>
      <c r="J50" s="126"/>
      <c r="K50" s="126"/>
      <c r="L50" s="126"/>
      <c r="M50" s="126"/>
      <c r="N50" s="126"/>
      <c r="O50" s="126"/>
      <c r="P50" s="126"/>
      <c r="Q50" s="126"/>
      <c r="R50" s="126"/>
      <c r="S50" s="122"/>
      <c r="T50" s="123"/>
      <c r="U50" s="123"/>
      <c r="V50" s="123"/>
      <c r="W50" s="124"/>
      <c r="X50" s="124"/>
      <c r="Y50" s="123" t="str">
        <f t="shared" si="4"/>
        <v/>
      </c>
      <c r="Z50" s="15"/>
      <c r="AA50" s="15"/>
      <c r="AB50" s="104"/>
      <c r="AC50" s="104"/>
      <c r="AD50" s="104"/>
      <c r="BF50" s="100" t="str">
        <f t="shared" si="5"/>
        <v/>
      </c>
      <c r="BI50" s="16"/>
      <c r="BJ50" s="16"/>
      <c r="BK50" s="16"/>
      <c r="BL50" s="32">
        <f t="shared" si="6"/>
        <v>0</v>
      </c>
      <c r="BM50" s="16"/>
      <c r="BN50" s="32">
        <f t="shared" si="7"/>
        <v>0</v>
      </c>
      <c r="BO50" s="16"/>
      <c r="BP50" s="32">
        <f t="shared" si="8"/>
        <v>0</v>
      </c>
      <c r="BQ50" s="16"/>
      <c r="BR50" s="16"/>
      <c r="CT50" s="100" t="str">
        <f t="shared" si="9"/>
        <v/>
      </c>
      <c r="CW50" s="16"/>
      <c r="CX50" s="16"/>
      <c r="CY50" s="16"/>
      <c r="CZ50" s="32">
        <f t="shared" si="10"/>
        <v>0</v>
      </c>
      <c r="DA50" s="16"/>
      <c r="DB50" s="32">
        <f t="shared" si="11"/>
        <v>0</v>
      </c>
      <c r="DC50" s="16"/>
      <c r="DD50" s="32">
        <f t="shared" si="12"/>
        <v>0</v>
      </c>
      <c r="DE50" s="16"/>
      <c r="DF50" s="16"/>
    </row>
    <row r="51">
      <c r="A51" s="126"/>
      <c r="B51" s="122"/>
      <c r="C51" s="123"/>
      <c r="D51" s="123"/>
      <c r="E51" s="123"/>
      <c r="F51" s="124"/>
      <c r="G51" s="124"/>
      <c r="H51" s="123" t="str">
        <f t="shared" si="3"/>
        <v/>
      </c>
      <c r="I51" s="126"/>
      <c r="J51" s="126"/>
      <c r="K51" s="126"/>
      <c r="L51" s="126"/>
      <c r="M51" s="126"/>
      <c r="N51" s="126"/>
      <c r="O51" s="126"/>
      <c r="P51" s="126"/>
      <c r="Q51" s="126"/>
      <c r="R51" s="126"/>
      <c r="S51" s="122"/>
      <c r="T51" s="123"/>
      <c r="U51" s="123"/>
      <c r="V51" s="123"/>
      <c r="W51" s="124"/>
      <c r="X51" s="124"/>
      <c r="Y51" s="123" t="str">
        <f t="shared" si="4"/>
        <v/>
      </c>
      <c r="Z51" s="15"/>
      <c r="AA51" s="15"/>
      <c r="AB51" s="104"/>
      <c r="AC51" s="104"/>
      <c r="AD51" s="104"/>
      <c r="BF51" s="100" t="str">
        <f t="shared" si="5"/>
        <v/>
      </c>
      <c r="BI51" s="16"/>
      <c r="BJ51" s="16"/>
      <c r="BK51" s="16"/>
      <c r="BL51" s="32">
        <f t="shared" si="6"/>
        <v>0</v>
      </c>
      <c r="BM51" s="16"/>
      <c r="BN51" s="32">
        <f t="shared" si="7"/>
        <v>0</v>
      </c>
      <c r="BO51" s="16"/>
      <c r="BP51" s="32">
        <f t="shared" si="8"/>
        <v>0</v>
      </c>
      <c r="BQ51" s="16"/>
      <c r="BR51" s="16"/>
      <c r="CT51" s="100" t="str">
        <f t="shared" si="9"/>
        <v/>
      </c>
      <c r="CW51" s="16"/>
      <c r="CX51" s="16"/>
      <c r="CY51" s="16"/>
      <c r="CZ51" s="32">
        <f t="shared" si="10"/>
        <v>0</v>
      </c>
      <c r="DA51" s="16"/>
      <c r="DB51" s="32">
        <f t="shared" si="11"/>
        <v>0</v>
      </c>
      <c r="DC51" s="16"/>
      <c r="DD51" s="32">
        <f t="shared" si="12"/>
        <v>0</v>
      </c>
      <c r="DE51" s="16"/>
      <c r="DF51" s="16"/>
    </row>
    <row r="52" hidden="1">
      <c r="A52" s="127"/>
      <c r="B52" s="128"/>
      <c r="C52" s="129"/>
      <c r="D52" s="129"/>
      <c r="E52" s="129"/>
      <c r="F52" s="130"/>
      <c r="G52" s="130"/>
      <c r="H52" s="129" t="str">
        <f t="shared" si="3"/>
        <v/>
      </c>
      <c r="I52" s="127"/>
      <c r="J52" s="127"/>
      <c r="K52" s="127"/>
      <c r="L52" s="127"/>
      <c r="M52" s="127"/>
      <c r="N52" s="127"/>
      <c r="O52" s="127"/>
      <c r="P52" s="127"/>
      <c r="Q52" s="127"/>
      <c r="R52" s="127"/>
      <c r="S52" s="128"/>
      <c r="T52" s="129"/>
      <c r="U52" s="129"/>
      <c r="V52" s="129"/>
      <c r="W52" s="130"/>
      <c r="X52" s="130"/>
      <c r="Y52" s="129" t="str">
        <f t="shared" si="4"/>
        <v/>
      </c>
      <c r="Z52" s="131"/>
      <c r="AA52" s="131"/>
      <c r="AB52" s="132"/>
      <c r="AC52" s="132"/>
      <c r="AD52" s="132"/>
      <c r="AE52" s="133"/>
      <c r="AF52" s="133"/>
      <c r="AG52" s="133"/>
      <c r="AH52" s="133"/>
      <c r="AI52" s="133"/>
      <c r="AJ52" s="133"/>
      <c r="AK52" s="133"/>
      <c r="AL52" s="133"/>
      <c r="AM52" s="133"/>
      <c r="AN52" s="133"/>
      <c r="AO52" s="133"/>
      <c r="AP52" s="133"/>
      <c r="AQ52" s="133"/>
      <c r="AR52" s="133"/>
      <c r="AS52" s="133"/>
      <c r="AT52" s="133"/>
      <c r="AU52" s="133"/>
      <c r="AV52" s="133"/>
      <c r="AW52" s="133"/>
      <c r="AX52" s="133"/>
      <c r="AY52" s="133"/>
      <c r="AZ52" s="133"/>
      <c r="BA52" s="133"/>
      <c r="BB52" s="133"/>
      <c r="BC52" s="133"/>
      <c r="BD52" s="133"/>
      <c r="BE52" s="133"/>
      <c r="BF52" s="134" t="str">
        <f t="shared" si="5"/>
        <v/>
      </c>
      <c r="BG52" s="133"/>
      <c r="BH52" s="133"/>
      <c r="BI52" s="133"/>
      <c r="BJ52" s="133"/>
      <c r="BK52" s="133"/>
      <c r="BL52" s="135">
        <f t="shared" si="6"/>
        <v>0</v>
      </c>
      <c r="BM52" s="133"/>
      <c r="BN52" s="135">
        <f t="shared" si="7"/>
        <v>0</v>
      </c>
      <c r="BO52" s="133"/>
      <c r="BP52" s="135">
        <f t="shared" si="8"/>
        <v>0</v>
      </c>
      <c r="BQ52" s="133"/>
      <c r="BR52" s="133"/>
      <c r="BS52" s="133"/>
      <c r="BT52" s="133"/>
      <c r="BU52" s="133"/>
      <c r="BV52" s="133"/>
      <c r="BW52" s="133"/>
      <c r="BX52" s="133"/>
      <c r="BY52" s="133"/>
      <c r="BZ52" s="133"/>
      <c r="CA52" s="133"/>
      <c r="CB52" s="133"/>
      <c r="CC52" s="133"/>
      <c r="CD52" s="133"/>
      <c r="CE52" s="133"/>
      <c r="CF52" s="133"/>
      <c r="CG52" s="133"/>
      <c r="CH52" s="133"/>
      <c r="CI52" s="133"/>
      <c r="CJ52" s="133"/>
      <c r="CK52" s="133"/>
      <c r="CL52" s="133"/>
      <c r="CM52" s="133"/>
      <c r="CN52" s="133"/>
      <c r="CO52" s="133"/>
      <c r="CP52" s="133"/>
      <c r="CQ52" s="133"/>
      <c r="CR52" s="133"/>
      <c r="CS52" s="133"/>
      <c r="CT52" s="134" t="str">
        <f>if(BW52&lt;&gt;"",ifs(BW52="L","L",BW52="R","R",and(BW52="S",$AI$16="R"),"L",True,"R"),)</f>
        <v/>
      </c>
      <c r="CU52" s="133"/>
      <c r="CV52" s="133"/>
      <c r="CW52" s="133"/>
      <c r="CX52" s="133"/>
      <c r="CY52" s="133"/>
      <c r="CZ52" s="135">
        <f t="shared" si="10"/>
        <v>0</v>
      </c>
      <c r="DA52" s="133"/>
      <c r="DB52" s="135">
        <f t="shared" si="11"/>
        <v>0</v>
      </c>
      <c r="DC52" s="133"/>
      <c r="DD52" s="135">
        <f t="shared" si="12"/>
        <v>0</v>
      </c>
      <c r="DE52" s="133"/>
      <c r="DF52" s="133"/>
      <c r="DG52" s="133"/>
      <c r="DH52" s="133"/>
      <c r="DI52" s="133"/>
      <c r="DJ52" s="133"/>
      <c r="DK52" s="133"/>
      <c r="DL52" s="133"/>
      <c r="DM52" s="133"/>
      <c r="DN52" s="133"/>
    </row>
    <row r="53" hidden="1">
      <c r="A53" s="126"/>
      <c r="B53" s="126"/>
      <c r="C53" s="126"/>
      <c r="D53" s="126"/>
      <c r="E53" s="126"/>
      <c r="F53" s="126"/>
      <c r="G53" s="126"/>
      <c r="H53" s="126"/>
      <c r="I53" s="126"/>
      <c r="J53" s="126"/>
      <c r="K53" s="126"/>
      <c r="L53" s="126"/>
      <c r="M53" s="126"/>
      <c r="N53" s="126"/>
      <c r="O53" s="126"/>
      <c r="P53" s="126"/>
      <c r="Q53" s="126"/>
      <c r="R53" s="126"/>
      <c r="S53" s="126"/>
      <c r="T53" s="126"/>
      <c r="U53" s="126"/>
      <c r="V53" s="126"/>
      <c r="W53" s="126"/>
      <c r="X53" s="126"/>
      <c r="Y53" s="126"/>
      <c r="AB53" s="104"/>
      <c r="AC53" s="104"/>
      <c r="AD53" s="104"/>
      <c r="BF53" s="100"/>
    </row>
    <row r="54" hidden="1">
      <c r="A54" s="126"/>
      <c r="B54" s="126"/>
      <c r="C54" s="126"/>
      <c r="D54" s="126"/>
      <c r="E54" s="126"/>
      <c r="F54" s="126"/>
      <c r="G54" s="126"/>
      <c r="H54" s="126"/>
      <c r="I54" s="125">
        <v>3.0</v>
      </c>
      <c r="J54" s="125" t="s">
        <v>51</v>
      </c>
      <c r="K54" s="126"/>
      <c r="L54" s="126"/>
      <c r="M54" s="126"/>
      <c r="N54" s="126"/>
      <c r="O54" s="126"/>
      <c r="P54" s="126"/>
      <c r="Q54" s="126"/>
      <c r="R54" s="126"/>
      <c r="S54" s="126"/>
      <c r="T54" s="126"/>
      <c r="U54" s="126"/>
      <c r="V54" s="126"/>
      <c r="W54" s="126"/>
      <c r="X54" s="126"/>
      <c r="Y54" s="126"/>
      <c r="AB54" s="104"/>
      <c r="AC54" s="104"/>
      <c r="AD54" s="104"/>
    </row>
    <row r="55" hidden="1">
      <c r="I55" s="125"/>
      <c r="J55" s="125"/>
      <c r="AB55" s="104"/>
      <c r="AC55" s="104"/>
      <c r="AD55" s="104"/>
    </row>
    <row r="56" hidden="1">
      <c r="I56" s="125">
        <v>4.0</v>
      </c>
      <c r="J56" s="125" t="s">
        <v>14</v>
      </c>
      <c r="AB56" s="104"/>
      <c r="AC56" s="104"/>
      <c r="AD56" s="104"/>
    </row>
    <row r="57" hidden="1">
      <c r="I57" s="125">
        <v>6.0</v>
      </c>
      <c r="J57" s="125" t="s">
        <v>15</v>
      </c>
      <c r="AB57" s="104"/>
      <c r="AC57" s="104"/>
      <c r="AD57" s="104"/>
    </row>
    <row r="58" hidden="1">
      <c r="I58" s="125">
        <v>5.0</v>
      </c>
      <c r="J58" s="125" t="s">
        <v>13</v>
      </c>
      <c r="AB58" s="104"/>
      <c r="AC58" s="104"/>
      <c r="AD58" s="104"/>
    </row>
    <row r="59" hidden="1">
      <c r="I59" s="125">
        <v>8.0</v>
      </c>
      <c r="J59" s="125" t="s">
        <v>18</v>
      </c>
      <c r="AB59" s="104"/>
      <c r="AC59" s="104"/>
      <c r="AD59" s="104"/>
    </row>
    <row r="60" hidden="1">
      <c r="I60" s="125">
        <v>2.0</v>
      </c>
      <c r="J60" s="125" t="s">
        <v>12</v>
      </c>
      <c r="AB60" s="104"/>
      <c r="AC60" s="104"/>
      <c r="AD60" s="104"/>
    </row>
    <row r="61" hidden="1">
      <c r="I61" s="125">
        <v>1.0</v>
      </c>
      <c r="J61" s="125" t="s">
        <v>19</v>
      </c>
      <c r="AB61" s="104"/>
      <c r="AC61" s="104"/>
      <c r="AD61" s="104"/>
    </row>
    <row r="62" hidden="1">
      <c r="I62" s="125">
        <v>9.0</v>
      </c>
      <c r="J62" s="125" t="s">
        <v>17</v>
      </c>
      <c r="AB62" s="104"/>
      <c r="AC62" s="104"/>
      <c r="AD62" s="104"/>
    </row>
    <row r="63" hidden="1">
      <c r="I63" s="125"/>
      <c r="J63" s="125"/>
      <c r="AB63" s="104"/>
      <c r="AC63" s="104"/>
      <c r="AD63" s="104"/>
    </row>
    <row r="64" hidden="1">
      <c r="I64" s="125">
        <v>7.0</v>
      </c>
      <c r="J64" s="125" t="s">
        <v>16</v>
      </c>
      <c r="AB64" s="104"/>
      <c r="AC64" s="104"/>
      <c r="AD64" s="104"/>
    </row>
    <row r="65" hidden="1">
      <c r="AB65" s="104"/>
      <c r="AC65" s="104"/>
      <c r="AD65" s="104"/>
    </row>
    <row r="66" hidden="1">
      <c r="AB66" s="104"/>
      <c r="AC66" s="104"/>
      <c r="AD66" s="104"/>
    </row>
    <row r="67" hidden="1">
      <c r="AB67" s="104"/>
      <c r="AC67" s="104"/>
      <c r="AD67" s="104"/>
    </row>
    <row r="68" hidden="1">
      <c r="AB68" s="104"/>
      <c r="AC68" s="104"/>
      <c r="AD68" s="104"/>
    </row>
    <row r="69" hidden="1">
      <c r="AB69" s="104"/>
      <c r="AC69" s="104"/>
      <c r="AD69" s="104"/>
    </row>
    <row r="70" hidden="1">
      <c r="AB70" s="104"/>
      <c r="AC70" s="104"/>
      <c r="AD70" s="104"/>
    </row>
    <row r="71" hidden="1">
      <c r="AB71" s="104"/>
      <c r="AC71" s="104"/>
      <c r="AD71" s="104"/>
    </row>
    <row r="72" hidden="1">
      <c r="AB72" s="104"/>
      <c r="AC72" s="104"/>
      <c r="AD72" s="104"/>
    </row>
    <row r="73" hidden="1">
      <c r="AB73" s="104"/>
      <c r="AC73" s="104"/>
      <c r="AD73" s="104"/>
    </row>
    <row r="74" hidden="1">
      <c r="AB74" s="104"/>
      <c r="AC74" s="104"/>
      <c r="AD74" s="104"/>
    </row>
    <row r="75" hidden="1">
      <c r="AB75" s="104"/>
      <c r="AC75" s="104"/>
      <c r="AD75" s="104"/>
    </row>
    <row r="76" hidden="1">
      <c r="AB76" s="104"/>
      <c r="AC76" s="104"/>
      <c r="AD76" s="104"/>
    </row>
    <row r="77" hidden="1">
      <c r="AB77" s="104"/>
      <c r="AC77" s="104"/>
      <c r="AD77" s="104"/>
    </row>
    <row r="78" hidden="1">
      <c r="AB78" s="104"/>
      <c r="AC78" s="104"/>
      <c r="AD78" s="104"/>
    </row>
    <row r="79" hidden="1">
      <c r="AB79" s="104"/>
      <c r="AC79" s="104"/>
      <c r="AD79" s="104"/>
    </row>
    <row r="80" hidden="1">
      <c r="AB80" s="104"/>
      <c r="AC80" s="104"/>
      <c r="AD80" s="104"/>
    </row>
    <row r="81" hidden="1">
      <c r="AB81" s="104"/>
      <c r="AC81" s="104"/>
      <c r="AD81" s="104"/>
    </row>
    <row r="82" hidden="1">
      <c r="AB82" s="104"/>
      <c r="AC82" s="104"/>
      <c r="AD82" s="104"/>
    </row>
    <row r="83" hidden="1">
      <c r="AB83" s="104"/>
      <c r="AC83" s="104"/>
      <c r="AD83" s="104"/>
    </row>
    <row r="84" hidden="1">
      <c r="AB84" s="104"/>
      <c r="AC84" s="104"/>
      <c r="AD84" s="104"/>
    </row>
    <row r="85" hidden="1">
      <c r="AB85" s="104"/>
      <c r="AC85" s="104"/>
      <c r="AD85" s="104"/>
    </row>
    <row r="86" hidden="1">
      <c r="AB86" s="104"/>
      <c r="AC86" s="104"/>
      <c r="AD86" s="104"/>
    </row>
    <row r="87" hidden="1">
      <c r="AB87" s="104"/>
      <c r="AC87" s="104"/>
      <c r="AD87" s="104"/>
    </row>
    <row r="88" hidden="1">
      <c r="AB88" s="104"/>
      <c r="AC88" s="104"/>
      <c r="AD88" s="104"/>
    </row>
    <row r="89" hidden="1">
      <c r="AB89" s="104"/>
      <c r="AC89" s="104"/>
      <c r="AD89" s="104"/>
    </row>
    <row r="90" hidden="1">
      <c r="AB90" s="104"/>
      <c r="AC90" s="104"/>
      <c r="AD90" s="104"/>
    </row>
    <row r="91" hidden="1">
      <c r="AB91" s="104"/>
      <c r="AC91" s="104"/>
      <c r="AD91" s="104"/>
    </row>
    <row r="92" hidden="1">
      <c r="AB92" s="104"/>
      <c r="AC92" s="104"/>
      <c r="AD92" s="104"/>
    </row>
    <row r="93" hidden="1">
      <c r="AB93" s="104"/>
      <c r="AC93" s="104"/>
      <c r="AD93" s="104"/>
    </row>
    <row r="94" hidden="1">
      <c r="AB94" s="104"/>
      <c r="AC94" s="104"/>
      <c r="AD94" s="104"/>
    </row>
    <row r="95" hidden="1">
      <c r="AB95" s="104"/>
      <c r="AC95" s="104"/>
      <c r="AD95" s="104"/>
    </row>
    <row r="96" hidden="1">
      <c r="AB96" s="104"/>
      <c r="AC96" s="104"/>
      <c r="AD96" s="104"/>
    </row>
    <row r="97" hidden="1">
      <c r="AB97" s="104"/>
      <c r="AC97" s="104"/>
      <c r="AD97" s="104"/>
    </row>
    <row r="98" hidden="1">
      <c r="AB98" s="104"/>
      <c r="AC98" s="104"/>
      <c r="AD98" s="104"/>
    </row>
    <row r="99" hidden="1">
      <c r="AB99" s="104"/>
      <c r="AC99" s="104"/>
      <c r="AD99" s="104"/>
    </row>
    <row r="100" hidden="1">
      <c r="AB100" s="104"/>
      <c r="AC100" s="104"/>
      <c r="AD100" s="104"/>
    </row>
    <row r="101" hidden="1">
      <c r="AB101" s="104"/>
      <c r="AC101" s="104"/>
      <c r="AD101" s="104"/>
    </row>
    <row r="102" hidden="1">
      <c r="AB102" s="104"/>
      <c r="AC102" s="104"/>
      <c r="AD102" s="104"/>
    </row>
    <row r="103" hidden="1">
      <c r="AB103" s="104"/>
      <c r="AC103" s="104"/>
      <c r="AD103" s="104"/>
    </row>
    <row r="104" hidden="1">
      <c r="AB104" s="104"/>
      <c r="AC104" s="104"/>
      <c r="AD104" s="104"/>
    </row>
    <row r="105" hidden="1">
      <c r="AB105" s="104"/>
      <c r="AC105" s="104"/>
      <c r="AD105" s="104"/>
    </row>
    <row r="106" hidden="1">
      <c r="AB106" s="104"/>
      <c r="AC106" s="104"/>
      <c r="AD106" s="104"/>
    </row>
    <row r="107" hidden="1">
      <c r="AB107" s="104"/>
      <c r="AC107" s="104"/>
      <c r="AD107" s="104"/>
    </row>
    <row r="108" hidden="1">
      <c r="AB108" s="104"/>
      <c r="AC108" s="104"/>
      <c r="AD108" s="104"/>
    </row>
    <row r="109" hidden="1">
      <c r="AB109" s="104"/>
      <c r="AC109" s="104"/>
      <c r="AD109" s="104"/>
    </row>
    <row r="110" hidden="1">
      <c r="AB110" s="104"/>
      <c r="AC110" s="104"/>
      <c r="AD110" s="104"/>
    </row>
    <row r="111" hidden="1">
      <c r="AB111" s="104"/>
      <c r="AC111" s="104"/>
      <c r="AD111" s="104"/>
    </row>
    <row r="112" hidden="1">
      <c r="AB112" s="104"/>
      <c r="AC112" s="104"/>
      <c r="AD112" s="104"/>
    </row>
    <row r="113" hidden="1">
      <c r="AB113" s="104"/>
      <c r="AC113" s="104"/>
      <c r="AD113" s="104"/>
    </row>
    <row r="114" hidden="1">
      <c r="AB114" s="104"/>
      <c r="AC114" s="104"/>
      <c r="AD114" s="104"/>
    </row>
    <row r="115" hidden="1">
      <c r="AB115" s="104"/>
      <c r="AC115" s="104"/>
      <c r="AD115" s="104"/>
    </row>
    <row r="116" hidden="1">
      <c r="AB116" s="104"/>
      <c r="AC116" s="104"/>
      <c r="AD116" s="104"/>
    </row>
    <row r="117" hidden="1">
      <c r="AB117" s="104"/>
      <c r="AC117" s="104"/>
      <c r="AD117" s="104"/>
    </row>
    <row r="118" hidden="1">
      <c r="AB118" s="104"/>
      <c r="AC118" s="104"/>
      <c r="AD118" s="104"/>
    </row>
    <row r="119" hidden="1">
      <c r="AB119" s="104"/>
      <c r="AC119" s="104"/>
      <c r="AD119" s="104"/>
    </row>
    <row r="120" hidden="1">
      <c r="AB120" s="104"/>
      <c r="AC120" s="104"/>
      <c r="AD120" s="104"/>
    </row>
    <row r="121" hidden="1">
      <c r="AB121" s="104"/>
      <c r="AC121" s="104"/>
      <c r="AD121" s="104"/>
    </row>
    <row r="122" hidden="1">
      <c r="AB122" s="104"/>
      <c r="AC122" s="104"/>
      <c r="AD122" s="104"/>
    </row>
    <row r="123" hidden="1">
      <c r="AB123" s="104"/>
      <c r="AC123" s="104"/>
      <c r="AD123" s="104"/>
    </row>
    <row r="124" hidden="1">
      <c r="AB124" s="104"/>
      <c r="AC124" s="104"/>
      <c r="AD124" s="104"/>
    </row>
    <row r="125" hidden="1">
      <c r="AB125" s="104"/>
      <c r="AC125" s="104"/>
      <c r="AD125" s="104"/>
    </row>
    <row r="126" hidden="1">
      <c r="AB126" s="104"/>
      <c r="AC126" s="104"/>
      <c r="AD126" s="104"/>
    </row>
    <row r="127" hidden="1">
      <c r="AB127" s="104"/>
      <c r="AC127" s="104"/>
      <c r="AD127" s="104"/>
    </row>
    <row r="128" hidden="1">
      <c r="AB128" s="104"/>
      <c r="AC128" s="104"/>
      <c r="AD128" s="104"/>
    </row>
    <row r="129" hidden="1">
      <c r="AB129" s="104"/>
      <c r="AC129" s="104"/>
      <c r="AD129" s="104"/>
    </row>
    <row r="130" hidden="1">
      <c r="AB130" s="104"/>
      <c r="AC130" s="104"/>
      <c r="AD130" s="104"/>
    </row>
    <row r="131" hidden="1">
      <c r="AB131" s="104"/>
      <c r="AC131" s="104"/>
      <c r="AD131" s="104"/>
    </row>
    <row r="132" hidden="1">
      <c r="AB132" s="104"/>
      <c r="AC132" s="104"/>
      <c r="AD132" s="104"/>
    </row>
    <row r="133" hidden="1">
      <c r="AB133" s="104"/>
      <c r="AC133" s="104"/>
      <c r="AD133" s="104"/>
    </row>
    <row r="134" hidden="1">
      <c r="AB134" s="104"/>
      <c r="AC134" s="104"/>
      <c r="AD134" s="104"/>
    </row>
    <row r="135" hidden="1">
      <c r="AB135" s="104"/>
      <c r="AC135" s="104"/>
      <c r="AD135" s="104"/>
    </row>
    <row r="136" hidden="1">
      <c r="AB136" s="104"/>
      <c r="AC136" s="104"/>
      <c r="AD136" s="104"/>
    </row>
    <row r="137" hidden="1">
      <c r="AB137" s="104"/>
      <c r="AC137" s="104"/>
      <c r="AD137" s="104"/>
    </row>
    <row r="138" hidden="1">
      <c r="AB138" s="104"/>
      <c r="AC138" s="104"/>
      <c r="AD138" s="104"/>
    </row>
    <row r="139" hidden="1">
      <c r="AB139" s="104"/>
      <c r="AC139" s="104"/>
      <c r="AD139" s="104"/>
    </row>
    <row r="140" hidden="1">
      <c r="AB140" s="104"/>
      <c r="AC140" s="104"/>
      <c r="AD140" s="104"/>
    </row>
    <row r="141" hidden="1">
      <c r="AB141" s="104"/>
      <c r="AC141" s="104"/>
      <c r="AD141" s="104"/>
    </row>
    <row r="142" hidden="1">
      <c r="AB142" s="104"/>
      <c r="AC142" s="104"/>
      <c r="AD142" s="104"/>
    </row>
    <row r="143" hidden="1">
      <c r="AB143" s="104"/>
      <c r="AC143" s="104"/>
      <c r="AD143" s="104"/>
    </row>
    <row r="144" hidden="1">
      <c r="AB144" s="104"/>
      <c r="AC144" s="104"/>
      <c r="AD144" s="104"/>
    </row>
    <row r="145" hidden="1">
      <c r="AB145" s="104"/>
      <c r="AC145" s="104"/>
      <c r="AD145" s="104"/>
    </row>
    <row r="146" hidden="1">
      <c r="AB146" s="104"/>
      <c r="AC146" s="104"/>
      <c r="AD146" s="104"/>
    </row>
    <row r="147" hidden="1">
      <c r="AB147" s="104"/>
      <c r="AC147" s="104"/>
      <c r="AD147" s="104"/>
    </row>
    <row r="148" hidden="1">
      <c r="AB148" s="104"/>
      <c r="AC148" s="104"/>
      <c r="AD148" s="104"/>
    </row>
    <row r="149" hidden="1">
      <c r="AB149" s="104"/>
      <c r="AC149" s="104"/>
      <c r="AD149" s="104"/>
    </row>
    <row r="150" hidden="1">
      <c r="AB150" s="104"/>
      <c r="AC150" s="104"/>
      <c r="AD150" s="104"/>
    </row>
    <row r="151" hidden="1">
      <c r="AB151" s="104"/>
      <c r="AC151" s="104"/>
      <c r="AD151" s="104"/>
    </row>
    <row r="152" hidden="1">
      <c r="AB152" s="104"/>
      <c r="AC152" s="104"/>
      <c r="AD152" s="104"/>
    </row>
    <row r="153" hidden="1">
      <c r="AB153" s="104"/>
      <c r="AC153" s="104"/>
      <c r="AD153" s="104"/>
    </row>
    <row r="154" hidden="1">
      <c r="AB154" s="104"/>
      <c r="AC154" s="104"/>
      <c r="AD154" s="104"/>
    </row>
    <row r="155" hidden="1">
      <c r="AB155" s="104"/>
      <c r="AC155" s="104"/>
      <c r="AD155" s="104"/>
    </row>
    <row r="156" hidden="1">
      <c r="AB156" s="104"/>
      <c r="AC156" s="104"/>
      <c r="AD156" s="104"/>
    </row>
    <row r="157" hidden="1">
      <c r="AB157" s="104"/>
      <c r="AC157" s="104"/>
      <c r="AD157" s="104"/>
    </row>
    <row r="158" hidden="1">
      <c r="AB158" s="104"/>
      <c r="AC158" s="104"/>
      <c r="AD158" s="104"/>
    </row>
    <row r="159" hidden="1">
      <c r="AB159" s="104"/>
      <c r="AC159" s="104"/>
      <c r="AD159" s="104"/>
    </row>
    <row r="160" hidden="1">
      <c r="AB160" s="104"/>
      <c r="AC160" s="104"/>
      <c r="AD160" s="104"/>
    </row>
    <row r="161" hidden="1">
      <c r="AB161" s="104"/>
      <c r="AC161" s="104"/>
      <c r="AD161" s="104"/>
    </row>
    <row r="162" hidden="1">
      <c r="AB162" s="104"/>
      <c r="AC162" s="104"/>
      <c r="AD162" s="104"/>
    </row>
    <row r="163" hidden="1">
      <c r="AB163" s="104"/>
      <c r="AC163" s="104"/>
      <c r="AD163" s="104"/>
    </row>
    <row r="164" hidden="1">
      <c r="AB164" s="104"/>
      <c r="AC164" s="104"/>
      <c r="AD164" s="104"/>
    </row>
    <row r="165" hidden="1">
      <c r="AB165" s="104"/>
      <c r="AC165" s="104"/>
      <c r="AD165" s="104"/>
    </row>
    <row r="166" hidden="1">
      <c r="AB166" s="104"/>
      <c r="AC166" s="104"/>
      <c r="AD166" s="104"/>
    </row>
    <row r="167" hidden="1">
      <c r="AB167" s="104"/>
      <c r="AC167" s="104"/>
      <c r="AD167" s="104"/>
    </row>
    <row r="168" hidden="1">
      <c r="AB168" s="104"/>
      <c r="AC168" s="104"/>
      <c r="AD168" s="104"/>
    </row>
    <row r="169" hidden="1">
      <c r="AB169" s="104"/>
      <c r="AC169" s="104"/>
      <c r="AD169" s="104"/>
    </row>
    <row r="170" hidden="1">
      <c r="AB170" s="104"/>
      <c r="AC170" s="104"/>
      <c r="AD170" s="104"/>
    </row>
    <row r="171" hidden="1">
      <c r="AB171" s="104"/>
      <c r="AC171" s="104"/>
      <c r="AD171" s="104"/>
    </row>
    <row r="172" hidden="1">
      <c r="AB172" s="104"/>
      <c r="AC172" s="104"/>
      <c r="AD172" s="104"/>
    </row>
    <row r="173" hidden="1">
      <c r="AB173" s="104"/>
      <c r="AC173" s="104"/>
      <c r="AD173" s="104"/>
    </row>
    <row r="174" hidden="1">
      <c r="AB174" s="104"/>
      <c r="AC174" s="104"/>
      <c r="AD174" s="104"/>
    </row>
    <row r="175" hidden="1">
      <c r="AB175" s="104"/>
      <c r="AC175" s="104"/>
      <c r="AD175" s="104"/>
    </row>
    <row r="176" hidden="1">
      <c r="AB176" s="104"/>
      <c r="AC176" s="104"/>
      <c r="AD176" s="104"/>
    </row>
    <row r="177" hidden="1">
      <c r="AB177" s="104"/>
      <c r="AC177" s="104"/>
      <c r="AD177" s="104"/>
    </row>
    <row r="178" hidden="1">
      <c r="AB178" s="104"/>
      <c r="AC178" s="104"/>
      <c r="AD178" s="104"/>
    </row>
    <row r="179" hidden="1">
      <c r="AB179" s="104"/>
      <c r="AC179" s="104"/>
      <c r="AD179" s="104"/>
    </row>
    <row r="180" hidden="1">
      <c r="AB180" s="104"/>
      <c r="AC180" s="104"/>
      <c r="AD180" s="104"/>
    </row>
    <row r="181" hidden="1">
      <c r="AB181" s="104"/>
      <c r="AC181" s="104"/>
      <c r="AD181" s="104"/>
    </row>
    <row r="182" hidden="1">
      <c r="AB182" s="104"/>
      <c r="AC182" s="104"/>
      <c r="AD182" s="104"/>
    </row>
    <row r="183" hidden="1">
      <c r="AB183" s="104"/>
      <c r="AC183" s="104"/>
      <c r="AD183" s="104"/>
    </row>
    <row r="184" hidden="1">
      <c r="AB184" s="104"/>
      <c r="AC184" s="104"/>
      <c r="AD184" s="104"/>
    </row>
    <row r="185" hidden="1">
      <c r="AB185" s="104"/>
      <c r="AC185" s="104"/>
      <c r="AD185" s="104"/>
    </row>
    <row r="186" hidden="1">
      <c r="AB186" s="104"/>
      <c r="AC186" s="104"/>
      <c r="AD186" s="104"/>
    </row>
    <row r="187" hidden="1">
      <c r="AB187" s="104"/>
      <c r="AC187" s="104"/>
      <c r="AD187" s="104"/>
    </row>
    <row r="188" hidden="1">
      <c r="AB188" s="104"/>
      <c r="AC188" s="104"/>
      <c r="AD188" s="104"/>
    </row>
    <row r="189" hidden="1">
      <c r="AB189" s="104"/>
      <c r="AC189" s="104"/>
      <c r="AD189" s="104"/>
    </row>
    <row r="190" hidden="1">
      <c r="AB190" s="104"/>
      <c r="AC190" s="104"/>
      <c r="AD190" s="104"/>
    </row>
    <row r="191" hidden="1">
      <c r="AB191" s="104"/>
      <c r="AC191" s="104"/>
      <c r="AD191" s="104"/>
    </row>
    <row r="192" hidden="1">
      <c r="AB192" s="104"/>
      <c r="AC192" s="104"/>
      <c r="AD192" s="104"/>
    </row>
    <row r="193" hidden="1">
      <c r="AB193" s="104"/>
      <c r="AC193" s="104"/>
      <c r="AD193" s="104"/>
    </row>
    <row r="194" hidden="1">
      <c r="AB194" s="104"/>
      <c r="AC194" s="104"/>
      <c r="AD194" s="104"/>
    </row>
    <row r="195" hidden="1">
      <c r="AB195" s="104"/>
      <c r="AC195" s="104"/>
      <c r="AD195" s="104"/>
    </row>
    <row r="196" hidden="1">
      <c r="AB196" s="104"/>
      <c r="AC196" s="104"/>
      <c r="AD196" s="104"/>
    </row>
    <row r="197" hidden="1">
      <c r="AB197" s="104"/>
      <c r="AC197" s="104"/>
      <c r="AD197" s="104"/>
    </row>
    <row r="198" hidden="1">
      <c r="AB198" s="104"/>
      <c r="AC198" s="104"/>
      <c r="AD198" s="104"/>
    </row>
    <row r="199" hidden="1">
      <c r="AB199" s="104"/>
      <c r="AC199" s="104"/>
      <c r="AD199" s="104"/>
    </row>
    <row r="200" hidden="1">
      <c r="AB200" s="104"/>
      <c r="AC200" s="104"/>
      <c r="AD200" s="104"/>
    </row>
    <row r="201" hidden="1">
      <c r="AB201" s="104"/>
      <c r="AC201" s="104"/>
      <c r="AD201" s="104"/>
    </row>
    <row r="202" hidden="1">
      <c r="AB202" s="104"/>
      <c r="AC202" s="104"/>
      <c r="AD202" s="104"/>
    </row>
    <row r="203" hidden="1">
      <c r="AB203" s="104"/>
      <c r="AC203" s="104"/>
      <c r="AD203" s="104"/>
    </row>
    <row r="204" hidden="1">
      <c r="AB204" s="104"/>
      <c r="AC204" s="104"/>
      <c r="AD204" s="104"/>
    </row>
    <row r="205" hidden="1">
      <c r="AB205" s="104"/>
      <c r="AC205" s="104"/>
      <c r="AD205" s="104"/>
    </row>
    <row r="206" hidden="1">
      <c r="AB206" s="104"/>
      <c r="AC206" s="104"/>
      <c r="AD206" s="104"/>
    </row>
    <row r="207" hidden="1">
      <c r="AB207" s="104"/>
      <c r="AC207" s="104"/>
      <c r="AD207" s="104"/>
    </row>
    <row r="208" hidden="1">
      <c r="AB208" s="104"/>
      <c r="AC208" s="104"/>
      <c r="AD208" s="104"/>
    </row>
    <row r="209" hidden="1">
      <c r="AB209" s="104"/>
      <c r="AC209" s="104"/>
      <c r="AD209" s="104"/>
    </row>
    <row r="210" hidden="1">
      <c r="AB210" s="104"/>
      <c r="AC210" s="104"/>
      <c r="AD210" s="104"/>
    </row>
    <row r="211" hidden="1">
      <c r="AB211" s="104"/>
      <c r="AC211" s="104"/>
      <c r="AD211" s="104"/>
    </row>
    <row r="212" hidden="1">
      <c r="AB212" s="104"/>
      <c r="AC212" s="104"/>
      <c r="AD212" s="104"/>
    </row>
    <row r="213" hidden="1">
      <c r="AB213" s="104"/>
      <c r="AC213" s="104"/>
      <c r="AD213" s="104"/>
    </row>
    <row r="214" hidden="1">
      <c r="AB214" s="104"/>
      <c r="AC214" s="104"/>
      <c r="AD214" s="104"/>
    </row>
    <row r="215" hidden="1">
      <c r="AB215" s="104"/>
      <c r="AC215" s="104"/>
      <c r="AD215" s="104"/>
    </row>
    <row r="216" hidden="1">
      <c r="AB216" s="104"/>
      <c r="AC216" s="104"/>
      <c r="AD216" s="104"/>
    </row>
    <row r="217" hidden="1">
      <c r="AB217" s="104"/>
      <c r="AC217" s="104"/>
      <c r="AD217" s="104"/>
    </row>
    <row r="218" hidden="1">
      <c r="AB218" s="104"/>
      <c r="AC218" s="104"/>
      <c r="AD218" s="104"/>
    </row>
    <row r="219" hidden="1">
      <c r="AB219" s="104"/>
      <c r="AC219" s="104"/>
      <c r="AD219" s="104"/>
    </row>
    <row r="220" hidden="1">
      <c r="AB220" s="104"/>
      <c r="AC220" s="104"/>
      <c r="AD220" s="104"/>
    </row>
    <row r="221" hidden="1">
      <c r="AB221" s="104"/>
      <c r="AC221" s="104"/>
      <c r="AD221" s="104"/>
    </row>
    <row r="222" hidden="1">
      <c r="AB222" s="104"/>
      <c r="AC222" s="104"/>
      <c r="AD222" s="104"/>
    </row>
    <row r="223" hidden="1">
      <c r="AB223" s="104"/>
      <c r="AC223" s="104"/>
      <c r="AD223" s="104"/>
    </row>
    <row r="224" hidden="1">
      <c r="AB224" s="104"/>
      <c r="AC224" s="104"/>
      <c r="AD224" s="104"/>
    </row>
    <row r="225" hidden="1">
      <c r="AB225" s="104"/>
      <c r="AC225" s="104"/>
      <c r="AD225" s="104"/>
    </row>
    <row r="226" hidden="1">
      <c r="AB226" s="104"/>
      <c r="AC226" s="104"/>
      <c r="AD226" s="104"/>
    </row>
    <row r="227" hidden="1">
      <c r="AB227" s="104"/>
      <c r="AC227" s="104"/>
      <c r="AD227" s="104"/>
    </row>
    <row r="228" hidden="1">
      <c r="AB228" s="104"/>
      <c r="AC228" s="104"/>
      <c r="AD228" s="104"/>
    </row>
    <row r="229" hidden="1">
      <c r="AB229" s="104"/>
      <c r="AC229" s="104"/>
      <c r="AD229" s="104"/>
    </row>
    <row r="230" hidden="1">
      <c r="AB230" s="104"/>
      <c r="AC230" s="104"/>
      <c r="AD230" s="104"/>
    </row>
    <row r="231" hidden="1">
      <c r="AB231" s="104"/>
      <c r="AC231" s="104"/>
      <c r="AD231" s="104"/>
    </row>
    <row r="232" hidden="1">
      <c r="AB232" s="104"/>
      <c r="AC232" s="104"/>
      <c r="AD232" s="104"/>
    </row>
    <row r="233" hidden="1">
      <c r="AB233" s="104"/>
      <c r="AC233" s="104"/>
      <c r="AD233" s="104"/>
    </row>
    <row r="234" hidden="1">
      <c r="AB234" s="104"/>
      <c r="AC234" s="104"/>
      <c r="AD234" s="104"/>
    </row>
    <row r="235" hidden="1">
      <c r="AB235" s="104"/>
      <c r="AC235" s="104"/>
      <c r="AD235" s="104"/>
    </row>
    <row r="236" hidden="1">
      <c r="AB236" s="104"/>
      <c r="AC236" s="104"/>
      <c r="AD236" s="104"/>
    </row>
    <row r="237" hidden="1">
      <c r="AB237" s="104"/>
      <c r="AC237" s="104"/>
      <c r="AD237" s="104"/>
    </row>
    <row r="238" hidden="1">
      <c r="AB238" s="104"/>
      <c r="AC238" s="104"/>
      <c r="AD238" s="104"/>
    </row>
    <row r="239" hidden="1">
      <c r="AB239" s="104"/>
      <c r="AC239" s="104"/>
      <c r="AD239" s="104"/>
    </row>
    <row r="240" hidden="1">
      <c r="AB240" s="104"/>
      <c r="AC240" s="104"/>
      <c r="AD240" s="104"/>
    </row>
    <row r="241" hidden="1">
      <c r="AB241" s="104"/>
      <c r="AC241" s="104"/>
      <c r="AD241" s="104"/>
    </row>
    <row r="242" hidden="1">
      <c r="AB242" s="104"/>
      <c r="AC242" s="104"/>
      <c r="AD242" s="104"/>
    </row>
    <row r="243" hidden="1">
      <c r="AB243" s="104"/>
      <c r="AC243" s="104"/>
      <c r="AD243" s="104"/>
    </row>
    <row r="244" hidden="1">
      <c r="AB244" s="104"/>
      <c r="AC244" s="104"/>
      <c r="AD244" s="104"/>
    </row>
    <row r="245" hidden="1">
      <c r="AB245" s="104"/>
      <c r="AC245" s="104"/>
      <c r="AD245" s="104"/>
    </row>
    <row r="246" hidden="1">
      <c r="AB246" s="104"/>
      <c r="AC246" s="104"/>
      <c r="AD246" s="104"/>
    </row>
    <row r="247" hidden="1">
      <c r="AB247" s="104"/>
      <c r="AC247" s="104"/>
      <c r="AD247" s="104"/>
    </row>
    <row r="248" hidden="1">
      <c r="AB248" s="104"/>
      <c r="AC248" s="104"/>
      <c r="AD248" s="104"/>
    </row>
    <row r="249" hidden="1">
      <c r="AB249" s="104"/>
      <c r="AC249" s="104"/>
      <c r="AD249" s="104"/>
    </row>
    <row r="250" hidden="1">
      <c r="AB250" s="104"/>
      <c r="AC250" s="104"/>
      <c r="AD250" s="104"/>
    </row>
    <row r="251" hidden="1">
      <c r="AB251" s="104"/>
      <c r="AC251" s="104"/>
      <c r="AD251" s="104"/>
    </row>
    <row r="252" hidden="1">
      <c r="AB252" s="104"/>
      <c r="AC252" s="104"/>
      <c r="AD252" s="104"/>
    </row>
    <row r="253" hidden="1">
      <c r="AB253" s="104"/>
      <c r="AC253" s="104"/>
      <c r="AD253" s="104"/>
    </row>
    <row r="254" hidden="1">
      <c r="AB254" s="104"/>
      <c r="AC254" s="104"/>
      <c r="AD254" s="104"/>
    </row>
    <row r="255" hidden="1">
      <c r="AB255" s="104"/>
      <c r="AC255" s="104"/>
      <c r="AD255" s="104"/>
    </row>
    <row r="256" hidden="1">
      <c r="AB256" s="104"/>
      <c r="AC256" s="104"/>
      <c r="AD256" s="104"/>
    </row>
    <row r="257" hidden="1">
      <c r="AB257" s="104"/>
      <c r="AC257" s="104"/>
      <c r="AD257" s="104"/>
    </row>
    <row r="258" hidden="1">
      <c r="AB258" s="104"/>
      <c r="AC258" s="104"/>
      <c r="AD258" s="104"/>
    </row>
    <row r="259" hidden="1">
      <c r="AB259" s="104"/>
      <c r="AC259" s="104"/>
      <c r="AD259" s="104"/>
    </row>
    <row r="260" hidden="1">
      <c r="AB260" s="104"/>
      <c r="AC260" s="104"/>
      <c r="AD260" s="104"/>
    </row>
    <row r="261" hidden="1">
      <c r="AB261" s="104"/>
      <c r="AC261" s="104"/>
      <c r="AD261" s="104"/>
    </row>
    <row r="262" hidden="1">
      <c r="AB262" s="104"/>
      <c r="AC262" s="104"/>
      <c r="AD262" s="104"/>
    </row>
    <row r="263" hidden="1">
      <c r="AB263" s="104"/>
      <c r="AC263" s="104"/>
      <c r="AD263" s="104"/>
    </row>
    <row r="264" hidden="1">
      <c r="AB264" s="104"/>
      <c r="AC264" s="104"/>
      <c r="AD264" s="104"/>
    </row>
    <row r="265" hidden="1">
      <c r="AB265" s="104"/>
      <c r="AC265" s="104"/>
      <c r="AD265" s="104"/>
    </row>
    <row r="266" hidden="1">
      <c r="AB266" s="104"/>
      <c r="AC266" s="104"/>
      <c r="AD266" s="104"/>
    </row>
    <row r="267" hidden="1">
      <c r="AB267" s="104"/>
      <c r="AC267" s="104"/>
      <c r="AD267" s="104"/>
    </row>
    <row r="268" hidden="1">
      <c r="AB268" s="104"/>
      <c r="AC268" s="104"/>
      <c r="AD268" s="104"/>
    </row>
    <row r="269" hidden="1">
      <c r="AB269" s="104"/>
      <c r="AC269" s="104"/>
      <c r="AD269" s="104"/>
    </row>
    <row r="270" hidden="1">
      <c r="AB270" s="104"/>
      <c r="AC270" s="104"/>
      <c r="AD270" s="104"/>
    </row>
    <row r="271" hidden="1">
      <c r="AB271" s="104"/>
      <c r="AC271" s="104"/>
      <c r="AD271" s="104"/>
    </row>
    <row r="272" hidden="1">
      <c r="AB272" s="104"/>
      <c r="AC272" s="104"/>
      <c r="AD272" s="104"/>
    </row>
    <row r="273" hidden="1">
      <c r="AB273" s="104"/>
      <c r="AC273" s="104"/>
      <c r="AD273" s="104"/>
    </row>
    <row r="274" hidden="1">
      <c r="AB274" s="104"/>
      <c r="AC274" s="104"/>
      <c r="AD274" s="104"/>
    </row>
    <row r="275" hidden="1">
      <c r="AB275" s="104"/>
      <c r="AC275" s="104"/>
      <c r="AD275" s="104"/>
    </row>
    <row r="276" hidden="1">
      <c r="AB276" s="104"/>
      <c r="AC276" s="104"/>
      <c r="AD276" s="104"/>
    </row>
    <row r="277" hidden="1">
      <c r="AB277" s="104"/>
      <c r="AC277" s="104"/>
      <c r="AD277" s="104"/>
    </row>
    <row r="278" hidden="1">
      <c r="AB278" s="104"/>
      <c r="AC278" s="104"/>
      <c r="AD278" s="104"/>
    </row>
    <row r="279" hidden="1">
      <c r="AB279" s="104"/>
      <c r="AC279" s="104"/>
      <c r="AD279" s="104"/>
    </row>
    <row r="280" hidden="1">
      <c r="AB280" s="104"/>
      <c r="AC280" s="104"/>
      <c r="AD280" s="104"/>
    </row>
    <row r="281" hidden="1">
      <c r="AB281" s="104"/>
      <c r="AC281" s="104"/>
      <c r="AD281" s="104"/>
    </row>
    <row r="282" hidden="1">
      <c r="AB282" s="104"/>
      <c r="AC282" s="104"/>
      <c r="AD282" s="104"/>
    </row>
    <row r="283" hidden="1">
      <c r="AB283" s="104"/>
      <c r="AC283" s="104"/>
      <c r="AD283" s="104"/>
    </row>
    <row r="284" hidden="1">
      <c r="AB284" s="104"/>
      <c r="AC284" s="104"/>
      <c r="AD284" s="104"/>
    </row>
    <row r="285" hidden="1">
      <c r="AB285" s="104"/>
      <c r="AC285" s="104"/>
      <c r="AD285" s="104"/>
    </row>
    <row r="286" hidden="1">
      <c r="AB286" s="104"/>
      <c r="AC286" s="104"/>
      <c r="AD286" s="104"/>
    </row>
    <row r="287" hidden="1">
      <c r="AB287" s="104"/>
      <c r="AC287" s="104"/>
      <c r="AD287" s="104"/>
    </row>
    <row r="288" hidden="1">
      <c r="AB288" s="104"/>
      <c r="AC288" s="104"/>
      <c r="AD288" s="104"/>
    </row>
    <row r="289" hidden="1">
      <c r="AB289" s="104"/>
      <c r="AC289" s="104"/>
      <c r="AD289" s="104"/>
    </row>
    <row r="290" hidden="1">
      <c r="AB290" s="104"/>
      <c r="AC290" s="104"/>
      <c r="AD290" s="104"/>
    </row>
    <row r="291" hidden="1">
      <c r="AB291" s="104"/>
      <c r="AC291" s="104"/>
      <c r="AD291" s="104"/>
    </row>
    <row r="292" hidden="1">
      <c r="AB292" s="104"/>
      <c r="AC292" s="104"/>
      <c r="AD292" s="104"/>
    </row>
    <row r="293" hidden="1">
      <c r="AB293" s="104"/>
      <c r="AC293" s="104"/>
      <c r="AD293" s="104"/>
    </row>
    <row r="294" hidden="1">
      <c r="AB294" s="104"/>
      <c r="AC294" s="104"/>
      <c r="AD294" s="104"/>
    </row>
    <row r="295" hidden="1">
      <c r="AB295" s="104"/>
      <c r="AC295" s="104"/>
      <c r="AD295" s="104"/>
    </row>
    <row r="296" hidden="1">
      <c r="AB296" s="104"/>
      <c r="AC296" s="104"/>
      <c r="AD296" s="104"/>
    </row>
    <row r="297" hidden="1">
      <c r="AB297" s="104"/>
      <c r="AC297" s="104"/>
      <c r="AD297" s="104"/>
    </row>
    <row r="298" hidden="1">
      <c r="AB298" s="104"/>
      <c r="AC298" s="104"/>
      <c r="AD298" s="104"/>
    </row>
    <row r="299" hidden="1">
      <c r="AB299" s="104"/>
      <c r="AC299" s="104"/>
      <c r="AD299" s="104"/>
    </row>
    <row r="300" hidden="1">
      <c r="AB300" s="104"/>
      <c r="AC300" s="104"/>
      <c r="AD300" s="104"/>
    </row>
    <row r="301" hidden="1">
      <c r="AB301" s="104"/>
      <c r="AC301" s="104"/>
      <c r="AD301" s="104"/>
    </row>
    <row r="302" hidden="1">
      <c r="AB302" s="104"/>
      <c r="AC302" s="104"/>
      <c r="AD302" s="104"/>
    </row>
    <row r="303" hidden="1">
      <c r="AB303" s="104"/>
      <c r="AC303" s="104"/>
      <c r="AD303" s="104"/>
    </row>
    <row r="304" hidden="1">
      <c r="AB304" s="104"/>
      <c r="AC304" s="104"/>
      <c r="AD304" s="104"/>
    </row>
    <row r="305" hidden="1">
      <c r="AB305" s="104"/>
      <c r="AC305" s="104"/>
      <c r="AD305" s="104"/>
    </row>
    <row r="306" hidden="1">
      <c r="AB306" s="104"/>
      <c r="AC306" s="104"/>
      <c r="AD306" s="104"/>
    </row>
    <row r="307" hidden="1">
      <c r="AB307" s="104"/>
      <c r="AC307" s="104"/>
      <c r="AD307" s="104"/>
    </row>
    <row r="308" hidden="1">
      <c r="AB308" s="104"/>
      <c r="AC308" s="104"/>
      <c r="AD308" s="104"/>
    </row>
    <row r="309" hidden="1">
      <c r="AB309" s="104"/>
      <c r="AC309" s="104"/>
      <c r="AD309" s="104"/>
    </row>
    <row r="310" hidden="1">
      <c r="AB310" s="104"/>
      <c r="AC310" s="104"/>
      <c r="AD310" s="104"/>
    </row>
    <row r="311" hidden="1">
      <c r="AB311" s="104"/>
      <c r="AC311" s="104"/>
      <c r="AD311" s="104"/>
    </row>
    <row r="312" hidden="1">
      <c r="AB312" s="104"/>
      <c r="AC312" s="104"/>
      <c r="AD312" s="104"/>
    </row>
    <row r="313" hidden="1">
      <c r="AB313" s="104"/>
      <c r="AC313" s="104"/>
      <c r="AD313" s="104"/>
    </row>
    <row r="314" hidden="1">
      <c r="AB314" s="104"/>
      <c r="AC314" s="104"/>
      <c r="AD314" s="104"/>
    </row>
    <row r="315" hidden="1">
      <c r="AB315" s="104"/>
      <c r="AC315" s="104"/>
      <c r="AD315" s="104"/>
    </row>
    <row r="316" hidden="1">
      <c r="AB316" s="104"/>
      <c r="AC316" s="104"/>
      <c r="AD316" s="104"/>
    </row>
    <row r="317" hidden="1">
      <c r="AB317" s="104"/>
      <c r="AC317" s="104"/>
      <c r="AD317" s="104"/>
    </row>
    <row r="318" hidden="1">
      <c r="AB318" s="104"/>
      <c r="AC318" s="104"/>
      <c r="AD318" s="104"/>
    </row>
    <row r="319" hidden="1">
      <c r="AB319" s="104"/>
      <c r="AC319" s="104"/>
      <c r="AD319" s="104"/>
    </row>
    <row r="320" hidden="1">
      <c r="AB320" s="104"/>
      <c r="AC320" s="104"/>
      <c r="AD320" s="104"/>
    </row>
    <row r="321" hidden="1">
      <c r="AB321" s="104"/>
      <c r="AC321" s="104"/>
      <c r="AD321" s="104"/>
    </row>
    <row r="322" hidden="1">
      <c r="AB322" s="104"/>
      <c r="AC322" s="104"/>
      <c r="AD322" s="104"/>
    </row>
    <row r="323" hidden="1">
      <c r="AB323" s="104"/>
      <c r="AC323" s="104"/>
      <c r="AD323" s="104"/>
    </row>
    <row r="324" hidden="1">
      <c r="AB324" s="104"/>
      <c r="AC324" s="104"/>
      <c r="AD324" s="104"/>
    </row>
    <row r="325" hidden="1">
      <c r="AB325" s="104"/>
      <c r="AC325" s="104"/>
      <c r="AD325" s="104"/>
    </row>
    <row r="326" hidden="1">
      <c r="AB326" s="104"/>
      <c r="AC326" s="104"/>
      <c r="AD326" s="104"/>
    </row>
    <row r="327" hidden="1">
      <c r="AB327" s="104"/>
      <c r="AC327" s="104"/>
      <c r="AD327" s="104"/>
    </row>
    <row r="328" hidden="1">
      <c r="AB328" s="104"/>
      <c r="AC328" s="104"/>
      <c r="AD328" s="104"/>
    </row>
    <row r="329" hidden="1">
      <c r="AB329" s="104"/>
      <c r="AC329" s="104"/>
      <c r="AD329" s="104"/>
    </row>
    <row r="330" hidden="1">
      <c r="AB330" s="104"/>
      <c r="AC330" s="104"/>
      <c r="AD330" s="104"/>
    </row>
    <row r="331" hidden="1">
      <c r="AB331" s="104"/>
      <c r="AC331" s="104"/>
      <c r="AD331" s="104"/>
    </row>
    <row r="332" hidden="1">
      <c r="AB332" s="104"/>
      <c r="AC332" s="104"/>
      <c r="AD332" s="104"/>
    </row>
    <row r="333" hidden="1">
      <c r="AB333" s="104"/>
      <c r="AC333" s="104"/>
      <c r="AD333" s="104"/>
    </row>
    <row r="334" hidden="1">
      <c r="AB334" s="104"/>
      <c r="AC334" s="104"/>
      <c r="AD334" s="104"/>
    </row>
    <row r="335" hidden="1">
      <c r="AB335" s="104"/>
      <c r="AC335" s="104"/>
      <c r="AD335" s="104"/>
    </row>
    <row r="336" hidden="1">
      <c r="AB336" s="104"/>
      <c r="AC336" s="104"/>
      <c r="AD336" s="104"/>
    </row>
    <row r="337" hidden="1">
      <c r="AB337" s="104"/>
      <c r="AC337" s="104"/>
      <c r="AD337" s="104"/>
    </row>
    <row r="338" hidden="1">
      <c r="AB338" s="104"/>
      <c r="AC338" s="104"/>
      <c r="AD338" s="104"/>
    </row>
    <row r="339" hidden="1">
      <c r="AB339" s="104"/>
      <c r="AC339" s="104"/>
      <c r="AD339" s="104"/>
    </row>
    <row r="340" hidden="1">
      <c r="AB340" s="104"/>
      <c r="AC340" s="104"/>
      <c r="AD340" s="104"/>
    </row>
    <row r="341" hidden="1">
      <c r="AB341" s="104"/>
      <c r="AC341" s="104"/>
      <c r="AD341" s="104"/>
    </row>
    <row r="342" hidden="1">
      <c r="AB342" s="104"/>
      <c r="AC342" s="104"/>
      <c r="AD342" s="104"/>
    </row>
    <row r="343" hidden="1">
      <c r="AB343" s="104"/>
      <c r="AC343" s="104"/>
      <c r="AD343" s="104"/>
    </row>
    <row r="344" hidden="1">
      <c r="AB344" s="104"/>
      <c r="AC344" s="104"/>
      <c r="AD344" s="104"/>
    </row>
    <row r="345" hidden="1">
      <c r="AB345" s="104"/>
      <c r="AC345" s="104"/>
      <c r="AD345" s="104"/>
    </row>
    <row r="346" hidden="1">
      <c r="AB346" s="104"/>
      <c r="AC346" s="104"/>
      <c r="AD346" s="104"/>
    </row>
    <row r="347" hidden="1">
      <c r="AB347" s="104"/>
      <c r="AC347" s="104"/>
      <c r="AD347" s="104"/>
    </row>
    <row r="348" hidden="1">
      <c r="AB348" s="104"/>
      <c r="AC348" s="104"/>
      <c r="AD348" s="104"/>
    </row>
    <row r="349" hidden="1">
      <c r="AB349" s="104"/>
      <c r="AC349" s="104"/>
      <c r="AD349" s="104"/>
    </row>
    <row r="350" hidden="1">
      <c r="AB350" s="104"/>
      <c r="AC350" s="104"/>
      <c r="AD350" s="104"/>
    </row>
    <row r="351" hidden="1">
      <c r="AB351" s="104"/>
      <c r="AC351" s="104"/>
      <c r="AD351" s="104"/>
    </row>
    <row r="352" hidden="1">
      <c r="AB352" s="104"/>
      <c r="AC352" s="104"/>
      <c r="AD352" s="104"/>
    </row>
    <row r="353" hidden="1">
      <c r="AB353" s="104"/>
      <c r="AC353" s="104"/>
      <c r="AD353" s="104"/>
    </row>
    <row r="354" hidden="1">
      <c r="AB354" s="104"/>
      <c r="AC354" s="104"/>
      <c r="AD354" s="104"/>
    </row>
    <row r="355" hidden="1">
      <c r="AB355" s="104"/>
      <c r="AC355" s="104"/>
      <c r="AD355" s="104"/>
    </row>
    <row r="356" hidden="1">
      <c r="AB356" s="104"/>
      <c r="AC356" s="104"/>
      <c r="AD356" s="104"/>
    </row>
    <row r="357" hidden="1">
      <c r="AB357" s="104"/>
      <c r="AC357" s="104"/>
      <c r="AD357" s="104"/>
    </row>
    <row r="358" hidden="1">
      <c r="AB358" s="104"/>
      <c r="AC358" s="104"/>
      <c r="AD358" s="104"/>
    </row>
    <row r="359" hidden="1">
      <c r="AB359" s="104"/>
      <c r="AC359" s="104"/>
      <c r="AD359" s="104"/>
    </row>
    <row r="360" hidden="1">
      <c r="AB360" s="104"/>
      <c r="AC360" s="104"/>
      <c r="AD360" s="104"/>
    </row>
    <row r="361" hidden="1">
      <c r="AB361" s="104"/>
      <c r="AC361" s="104"/>
      <c r="AD361" s="104"/>
    </row>
    <row r="362" hidden="1">
      <c r="AB362" s="104"/>
      <c r="AC362" s="104"/>
      <c r="AD362" s="104"/>
    </row>
    <row r="363" hidden="1">
      <c r="AB363" s="104"/>
      <c r="AC363" s="104"/>
      <c r="AD363" s="104"/>
    </row>
    <row r="364" hidden="1">
      <c r="AB364" s="104"/>
      <c r="AC364" s="104"/>
      <c r="AD364" s="104"/>
    </row>
    <row r="365" hidden="1">
      <c r="AB365" s="104"/>
      <c r="AC365" s="104"/>
      <c r="AD365" s="104"/>
    </row>
    <row r="366" hidden="1">
      <c r="AB366" s="104"/>
      <c r="AC366" s="104"/>
      <c r="AD366" s="104"/>
    </row>
    <row r="367" hidden="1">
      <c r="AB367" s="104"/>
      <c r="AC367" s="104"/>
      <c r="AD367" s="104"/>
    </row>
    <row r="368" hidden="1">
      <c r="AB368" s="104"/>
      <c r="AC368" s="104"/>
      <c r="AD368" s="104"/>
    </row>
    <row r="369" hidden="1">
      <c r="AB369" s="104"/>
      <c r="AC369" s="104"/>
      <c r="AD369" s="104"/>
    </row>
    <row r="370" hidden="1">
      <c r="AB370" s="104"/>
      <c r="AC370" s="104"/>
      <c r="AD370" s="104"/>
    </row>
    <row r="371" hidden="1">
      <c r="AB371" s="104"/>
      <c r="AC371" s="104"/>
      <c r="AD371" s="104"/>
    </row>
    <row r="372" hidden="1">
      <c r="AB372" s="104"/>
      <c r="AC372" s="104"/>
      <c r="AD372" s="104"/>
    </row>
    <row r="373" hidden="1">
      <c r="AB373" s="104"/>
      <c r="AC373" s="104"/>
      <c r="AD373" s="104"/>
    </row>
    <row r="374" hidden="1">
      <c r="AB374" s="104"/>
      <c r="AC374" s="104"/>
      <c r="AD374" s="104"/>
    </row>
    <row r="375" hidden="1">
      <c r="AB375" s="104"/>
      <c r="AC375" s="104"/>
      <c r="AD375" s="104"/>
    </row>
    <row r="376" hidden="1">
      <c r="AB376" s="104"/>
      <c r="AC376" s="104"/>
      <c r="AD376" s="104"/>
    </row>
    <row r="377" hidden="1">
      <c r="AB377" s="104"/>
      <c r="AC377" s="104"/>
      <c r="AD377" s="104"/>
    </row>
    <row r="378" hidden="1">
      <c r="AB378" s="104"/>
      <c r="AC378" s="104"/>
      <c r="AD378" s="104"/>
    </row>
    <row r="379" hidden="1">
      <c r="AB379" s="104"/>
      <c r="AC379" s="104"/>
      <c r="AD379" s="104"/>
    </row>
    <row r="380" hidden="1">
      <c r="AB380" s="104"/>
      <c r="AC380" s="104"/>
      <c r="AD380" s="104"/>
    </row>
    <row r="381" hidden="1">
      <c r="AB381" s="104"/>
      <c r="AC381" s="104"/>
      <c r="AD381" s="104"/>
    </row>
    <row r="382" hidden="1">
      <c r="AB382" s="104"/>
      <c r="AC382" s="104"/>
      <c r="AD382" s="104"/>
    </row>
    <row r="383" hidden="1">
      <c r="AB383" s="104"/>
      <c r="AC383" s="104"/>
      <c r="AD383" s="104"/>
    </row>
    <row r="384" hidden="1">
      <c r="AB384" s="104"/>
      <c r="AC384" s="104"/>
      <c r="AD384" s="104"/>
    </row>
    <row r="385" hidden="1">
      <c r="AB385" s="104"/>
      <c r="AC385" s="104"/>
      <c r="AD385" s="104"/>
    </row>
    <row r="386" hidden="1">
      <c r="AB386" s="104"/>
      <c r="AC386" s="104"/>
      <c r="AD386" s="104"/>
    </row>
    <row r="387" hidden="1">
      <c r="AB387" s="104"/>
      <c r="AC387" s="104"/>
      <c r="AD387" s="104"/>
    </row>
    <row r="388" hidden="1">
      <c r="AB388" s="104"/>
      <c r="AC388" s="104"/>
      <c r="AD388" s="104"/>
    </row>
    <row r="389" hidden="1">
      <c r="AB389" s="104"/>
      <c r="AC389" s="104"/>
      <c r="AD389" s="104"/>
    </row>
    <row r="390" hidden="1">
      <c r="AB390" s="104"/>
      <c r="AC390" s="104"/>
      <c r="AD390" s="104"/>
    </row>
    <row r="391" hidden="1">
      <c r="AB391" s="104"/>
      <c r="AC391" s="104"/>
      <c r="AD391" s="104"/>
    </row>
    <row r="392" hidden="1">
      <c r="AB392" s="104"/>
      <c r="AC392" s="104"/>
      <c r="AD392" s="104"/>
    </row>
    <row r="393" hidden="1">
      <c r="AB393" s="104"/>
      <c r="AC393" s="104"/>
      <c r="AD393" s="104"/>
    </row>
    <row r="394" hidden="1">
      <c r="AB394" s="104"/>
      <c r="AC394" s="104"/>
      <c r="AD394" s="104"/>
    </row>
    <row r="395" hidden="1">
      <c r="AB395" s="104"/>
      <c r="AC395" s="104"/>
      <c r="AD395" s="104"/>
    </row>
    <row r="396" hidden="1">
      <c r="AB396" s="104"/>
      <c r="AC396" s="104"/>
      <c r="AD396" s="104"/>
    </row>
    <row r="397" hidden="1">
      <c r="AB397" s="104"/>
      <c r="AC397" s="104"/>
      <c r="AD397" s="104"/>
    </row>
    <row r="398" hidden="1">
      <c r="AB398" s="104"/>
      <c r="AC398" s="104"/>
      <c r="AD398" s="104"/>
    </row>
    <row r="399" hidden="1">
      <c r="AB399" s="104"/>
      <c r="AC399" s="104"/>
      <c r="AD399" s="104"/>
    </row>
    <row r="400" hidden="1">
      <c r="AB400" s="104"/>
      <c r="AC400" s="104"/>
      <c r="AD400" s="104"/>
    </row>
    <row r="401" hidden="1">
      <c r="AB401" s="104"/>
      <c r="AC401" s="104"/>
      <c r="AD401" s="104"/>
    </row>
    <row r="402" hidden="1">
      <c r="AB402" s="104"/>
      <c r="AC402" s="104"/>
      <c r="AD402" s="104"/>
    </row>
    <row r="403" hidden="1">
      <c r="AB403" s="104"/>
      <c r="AC403" s="104"/>
      <c r="AD403" s="104"/>
    </row>
    <row r="404" hidden="1">
      <c r="AB404" s="104"/>
      <c r="AC404" s="104"/>
      <c r="AD404" s="104"/>
    </row>
    <row r="405" hidden="1">
      <c r="AB405" s="104"/>
      <c r="AC405" s="104"/>
      <c r="AD405" s="104"/>
    </row>
    <row r="406" hidden="1">
      <c r="AB406" s="104"/>
      <c r="AC406" s="104"/>
      <c r="AD406" s="104"/>
    </row>
    <row r="407" hidden="1">
      <c r="AB407" s="104"/>
      <c r="AC407" s="104"/>
      <c r="AD407" s="104"/>
    </row>
    <row r="408" hidden="1">
      <c r="AB408" s="104"/>
      <c r="AC408" s="104"/>
      <c r="AD408" s="104"/>
    </row>
    <row r="409" hidden="1">
      <c r="AB409" s="104"/>
      <c r="AC409" s="104"/>
      <c r="AD409" s="104"/>
    </row>
    <row r="410" hidden="1">
      <c r="AB410" s="104"/>
      <c r="AC410" s="104"/>
      <c r="AD410" s="104"/>
    </row>
    <row r="411" hidden="1">
      <c r="AB411" s="104"/>
      <c r="AC411" s="104"/>
      <c r="AD411" s="104"/>
    </row>
    <row r="412" hidden="1">
      <c r="AB412" s="104"/>
      <c r="AC412" s="104"/>
      <c r="AD412" s="104"/>
    </row>
    <row r="413" hidden="1">
      <c r="AB413" s="104"/>
      <c r="AC413" s="104"/>
      <c r="AD413" s="104"/>
    </row>
    <row r="414" hidden="1">
      <c r="AB414" s="104"/>
      <c r="AC414" s="104"/>
      <c r="AD414" s="104"/>
    </row>
    <row r="415" hidden="1">
      <c r="AB415" s="104"/>
      <c r="AC415" s="104"/>
      <c r="AD415" s="104"/>
    </row>
    <row r="416" hidden="1">
      <c r="AB416" s="104"/>
      <c r="AC416" s="104"/>
      <c r="AD416" s="104"/>
    </row>
    <row r="417" hidden="1">
      <c r="AB417" s="104"/>
      <c r="AC417" s="104"/>
      <c r="AD417" s="104"/>
    </row>
    <row r="418" hidden="1">
      <c r="AB418" s="104"/>
      <c r="AC418" s="104"/>
      <c r="AD418" s="104"/>
    </row>
    <row r="419" hidden="1">
      <c r="AB419" s="104"/>
      <c r="AC419" s="104"/>
      <c r="AD419" s="104"/>
    </row>
    <row r="420" hidden="1">
      <c r="AB420" s="104"/>
      <c r="AC420" s="104"/>
      <c r="AD420" s="104"/>
    </row>
    <row r="421" hidden="1">
      <c r="AB421" s="104"/>
      <c r="AC421" s="104"/>
      <c r="AD421" s="104"/>
    </row>
    <row r="422" hidden="1">
      <c r="AB422" s="104"/>
      <c r="AC422" s="104"/>
      <c r="AD422" s="104"/>
    </row>
    <row r="423" hidden="1">
      <c r="AB423" s="104"/>
      <c r="AC423" s="104"/>
      <c r="AD423" s="104"/>
    </row>
    <row r="424" hidden="1">
      <c r="AB424" s="104"/>
      <c r="AC424" s="104"/>
      <c r="AD424" s="104"/>
    </row>
    <row r="425" hidden="1">
      <c r="AB425" s="104"/>
      <c r="AC425" s="104"/>
      <c r="AD425" s="104"/>
    </row>
    <row r="426" hidden="1">
      <c r="AB426" s="104"/>
      <c r="AC426" s="104"/>
      <c r="AD426" s="104"/>
    </row>
    <row r="427" hidden="1">
      <c r="AB427" s="104"/>
      <c r="AC427" s="104"/>
      <c r="AD427" s="104"/>
    </row>
    <row r="428" hidden="1">
      <c r="AB428" s="104"/>
      <c r="AC428" s="104"/>
      <c r="AD428" s="104"/>
    </row>
    <row r="429" hidden="1">
      <c r="AB429" s="104"/>
      <c r="AC429" s="104"/>
      <c r="AD429" s="104"/>
    </row>
    <row r="430" hidden="1">
      <c r="AB430" s="104"/>
      <c r="AC430" s="104"/>
      <c r="AD430" s="104"/>
    </row>
    <row r="431" hidden="1">
      <c r="AB431" s="104"/>
      <c r="AC431" s="104"/>
      <c r="AD431" s="104"/>
    </row>
    <row r="432" hidden="1">
      <c r="AB432" s="104"/>
      <c r="AC432" s="104"/>
      <c r="AD432" s="104"/>
    </row>
    <row r="433" hidden="1">
      <c r="AB433" s="104"/>
      <c r="AC433" s="104"/>
      <c r="AD433" s="104"/>
    </row>
    <row r="434" hidden="1">
      <c r="AB434" s="104"/>
      <c r="AC434" s="104"/>
      <c r="AD434" s="104"/>
    </row>
    <row r="435" hidden="1">
      <c r="AB435" s="104"/>
      <c r="AC435" s="104"/>
      <c r="AD435" s="104"/>
    </row>
    <row r="436" hidden="1">
      <c r="AB436" s="104"/>
      <c r="AC436" s="104"/>
      <c r="AD436" s="104"/>
    </row>
    <row r="437" hidden="1">
      <c r="AB437" s="104"/>
      <c r="AC437" s="104"/>
      <c r="AD437" s="104"/>
    </row>
    <row r="438" hidden="1">
      <c r="AB438" s="104"/>
      <c r="AC438" s="104"/>
      <c r="AD438" s="104"/>
    </row>
    <row r="439" hidden="1">
      <c r="AB439" s="104"/>
      <c r="AC439" s="104"/>
      <c r="AD439" s="104"/>
    </row>
    <row r="440" hidden="1">
      <c r="AB440" s="104"/>
      <c r="AC440" s="104"/>
      <c r="AD440" s="104"/>
    </row>
    <row r="441" hidden="1">
      <c r="AB441" s="104"/>
      <c r="AC441" s="104"/>
      <c r="AD441" s="104"/>
    </row>
    <row r="442" hidden="1">
      <c r="AB442" s="104"/>
      <c r="AC442" s="104"/>
      <c r="AD442" s="104"/>
    </row>
    <row r="443" hidden="1">
      <c r="AB443" s="104"/>
      <c r="AC443" s="104"/>
      <c r="AD443" s="104"/>
    </row>
    <row r="444" hidden="1">
      <c r="AB444" s="104"/>
      <c r="AC444" s="104"/>
      <c r="AD444" s="104"/>
    </row>
    <row r="445" hidden="1">
      <c r="AB445" s="104"/>
      <c r="AC445" s="104"/>
      <c r="AD445" s="104"/>
    </row>
    <row r="446" hidden="1">
      <c r="AB446" s="104"/>
      <c r="AC446" s="104"/>
      <c r="AD446" s="104"/>
    </row>
    <row r="447" hidden="1">
      <c r="AB447" s="104"/>
      <c r="AC447" s="104"/>
      <c r="AD447" s="104"/>
    </row>
    <row r="448" hidden="1">
      <c r="AB448" s="104"/>
      <c r="AC448" s="104"/>
      <c r="AD448" s="104"/>
    </row>
    <row r="449" hidden="1">
      <c r="AB449" s="104"/>
      <c r="AC449" s="104"/>
      <c r="AD449" s="104"/>
    </row>
    <row r="450" hidden="1">
      <c r="AB450" s="104"/>
      <c r="AC450" s="104"/>
      <c r="AD450" s="104"/>
    </row>
    <row r="451" hidden="1">
      <c r="AB451" s="104"/>
      <c r="AC451" s="104"/>
      <c r="AD451" s="104"/>
    </row>
    <row r="452" hidden="1">
      <c r="AB452" s="104"/>
      <c r="AC452" s="104"/>
      <c r="AD452" s="104"/>
    </row>
    <row r="453" hidden="1">
      <c r="AB453" s="104"/>
      <c r="AC453" s="104"/>
      <c r="AD453" s="104"/>
    </row>
    <row r="454" hidden="1">
      <c r="AB454" s="104"/>
      <c r="AC454" s="104"/>
      <c r="AD454" s="104"/>
    </row>
    <row r="455" hidden="1">
      <c r="AB455" s="104"/>
      <c r="AC455" s="104"/>
      <c r="AD455" s="104"/>
    </row>
    <row r="456" hidden="1">
      <c r="AB456" s="104"/>
      <c r="AC456" s="104"/>
      <c r="AD456" s="104"/>
    </row>
    <row r="457" hidden="1">
      <c r="AB457" s="104"/>
      <c r="AC457" s="104"/>
      <c r="AD457" s="104"/>
    </row>
    <row r="458" hidden="1">
      <c r="AB458" s="104"/>
      <c r="AC458" s="104"/>
      <c r="AD458" s="104"/>
    </row>
    <row r="459" hidden="1">
      <c r="AB459" s="104"/>
      <c r="AC459" s="104"/>
      <c r="AD459" s="104"/>
    </row>
    <row r="460" hidden="1">
      <c r="AB460" s="104"/>
      <c r="AC460" s="104"/>
      <c r="AD460" s="104"/>
    </row>
    <row r="461" hidden="1">
      <c r="AB461" s="104"/>
      <c r="AC461" s="104"/>
      <c r="AD461" s="104"/>
    </row>
    <row r="462" hidden="1">
      <c r="AB462" s="104"/>
      <c r="AC462" s="104"/>
      <c r="AD462" s="104"/>
    </row>
    <row r="463" hidden="1">
      <c r="AB463" s="104"/>
      <c r="AC463" s="104"/>
      <c r="AD463" s="104"/>
    </row>
    <row r="464" hidden="1">
      <c r="AB464" s="104"/>
      <c r="AC464" s="104"/>
      <c r="AD464" s="104"/>
    </row>
    <row r="465" hidden="1">
      <c r="AB465" s="104"/>
      <c r="AC465" s="104"/>
      <c r="AD465" s="104"/>
    </row>
    <row r="466" hidden="1">
      <c r="AB466" s="104"/>
      <c r="AC466" s="104"/>
      <c r="AD466" s="104"/>
    </row>
    <row r="467" hidden="1">
      <c r="AB467" s="104"/>
      <c r="AC467" s="104"/>
      <c r="AD467" s="104"/>
    </row>
    <row r="468" hidden="1">
      <c r="AB468" s="104"/>
      <c r="AC468" s="104"/>
      <c r="AD468" s="104"/>
    </row>
    <row r="469" hidden="1">
      <c r="AB469" s="104"/>
      <c r="AC469" s="104"/>
      <c r="AD469" s="104"/>
    </row>
    <row r="470" hidden="1">
      <c r="AB470" s="104"/>
      <c r="AC470" s="104"/>
      <c r="AD470" s="104"/>
    </row>
    <row r="471" hidden="1">
      <c r="AB471" s="104"/>
      <c r="AC471" s="104"/>
      <c r="AD471" s="104"/>
    </row>
    <row r="472" hidden="1">
      <c r="AB472" s="104"/>
      <c r="AC472" s="104"/>
      <c r="AD472" s="104"/>
    </row>
    <row r="473" hidden="1">
      <c r="AB473" s="104"/>
      <c r="AC473" s="104"/>
      <c r="AD473" s="104"/>
    </row>
    <row r="474" hidden="1">
      <c r="AB474" s="104"/>
      <c r="AC474" s="104"/>
      <c r="AD474" s="104"/>
    </row>
    <row r="475" hidden="1">
      <c r="AB475" s="104"/>
      <c r="AC475" s="104"/>
      <c r="AD475" s="104"/>
    </row>
    <row r="476" hidden="1">
      <c r="AB476" s="104"/>
      <c r="AC476" s="104"/>
      <c r="AD476" s="104"/>
    </row>
    <row r="477" hidden="1">
      <c r="AB477" s="104"/>
      <c r="AC477" s="104"/>
      <c r="AD477" s="104"/>
    </row>
    <row r="478" hidden="1">
      <c r="AB478" s="104"/>
      <c r="AC478" s="104"/>
      <c r="AD478" s="104"/>
    </row>
    <row r="479" hidden="1">
      <c r="AB479" s="104"/>
      <c r="AC479" s="104"/>
      <c r="AD479" s="104"/>
    </row>
    <row r="480" hidden="1">
      <c r="AB480" s="104"/>
      <c r="AC480" s="104"/>
      <c r="AD480" s="104"/>
    </row>
    <row r="481" hidden="1">
      <c r="AB481" s="104"/>
      <c r="AC481" s="104"/>
      <c r="AD481" s="104"/>
    </row>
    <row r="482" hidden="1">
      <c r="AB482" s="104"/>
      <c r="AC482" s="104"/>
      <c r="AD482" s="104"/>
    </row>
    <row r="483" hidden="1">
      <c r="AB483" s="104"/>
      <c r="AC483" s="104"/>
      <c r="AD483" s="104"/>
    </row>
    <row r="484" hidden="1">
      <c r="AB484" s="104"/>
      <c r="AC484" s="104"/>
      <c r="AD484" s="104"/>
    </row>
    <row r="485" hidden="1">
      <c r="AB485" s="104"/>
      <c r="AC485" s="104"/>
      <c r="AD485" s="104"/>
    </row>
    <row r="486" hidden="1">
      <c r="AB486" s="104"/>
      <c r="AC486" s="104"/>
      <c r="AD486" s="104"/>
    </row>
    <row r="487" hidden="1">
      <c r="AB487" s="104"/>
      <c r="AC487" s="104"/>
      <c r="AD487" s="104"/>
    </row>
    <row r="488" hidden="1">
      <c r="AB488" s="104"/>
      <c r="AC488" s="104"/>
      <c r="AD488" s="104"/>
    </row>
    <row r="489" hidden="1">
      <c r="AB489" s="104"/>
      <c r="AC489" s="104"/>
      <c r="AD489" s="104"/>
    </row>
    <row r="490" hidden="1">
      <c r="AB490" s="104"/>
      <c r="AC490" s="104"/>
      <c r="AD490" s="104"/>
    </row>
    <row r="491" hidden="1">
      <c r="AB491" s="104"/>
      <c r="AC491" s="104"/>
      <c r="AD491" s="104"/>
    </row>
    <row r="492" hidden="1">
      <c r="AB492" s="104"/>
      <c r="AC492" s="104"/>
      <c r="AD492" s="104"/>
    </row>
    <row r="493" hidden="1">
      <c r="AB493" s="104"/>
      <c r="AC493" s="104"/>
      <c r="AD493" s="104"/>
    </row>
    <row r="494" hidden="1">
      <c r="AB494" s="104"/>
      <c r="AC494" s="104"/>
      <c r="AD494" s="104"/>
    </row>
    <row r="495" hidden="1">
      <c r="AB495" s="104"/>
      <c r="AC495" s="104"/>
      <c r="AD495" s="104"/>
    </row>
    <row r="496" hidden="1">
      <c r="AB496" s="104"/>
      <c r="AC496" s="104"/>
      <c r="AD496" s="104"/>
    </row>
    <row r="497" hidden="1">
      <c r="AB497" s="104"/>
      <c r="AC497" s="104"/>
      <c r="AD497" s="104"/>
    </row>
    <row r="498" hidden="1">
      <c r="AB498" s="104"/>
      <c r="AC498" s="104"/>
      <c r="AD498" s="104"/>
    </row>
    <row r="499" hidden="1">
      <c r="AB499" s="104"/>
      <c r="AC499" s="104"/>
      <c r="AD499" s="104"/>
    </row>
    <row r="500" hidden="1">
      <c r="AB500" s="104"/>
      <c r="AC500" s="104"/>
      <c r="AD500" s="104"/>
    </row>
    <row r="501" hidden="1">
      <c r="AB501" s="104"/>
      <c r="AC501" s="104"/>
      <c r="AD501" s="104"/>
    </row>
    <row r="502" hidden="1">
      <c r="AB502" s="104"/>
      <c r="AC502" s="104"/>
      <c r="AD502" s="104"/>
    </row>
    <row r="503" hidden="1">
      <c r="AB503" s="104"/>
      <c r="AC503" s="104"/>
      <c r="AD503" s="104"/>
    </row>
    <row r="504" hidden="1">
      <c r="AB504" s="104"/>
      <c r="AC504" s="104"/>
      <c r="AD504" s="104"/>
    </row>
    <row r="505" hidden="1">
      <c r="AB505" s="104"/>
      <c r="AC505" s="104"/>
      <c r="AD505" s="104"/>
    </row>
    <row r="506" hidden="1">
      <c r="AB506" s="104"/>
      <c r="AC506" s="104"/>
      <c r="AD506" s="104"/>
    </row>
    <row r="507" hidden="1">
      <c r="AB507" s="104"/>
      <c r="AC507" s="104"/>
      <c r="AD507" s="104"/>
    </row>
    <row r="508" hidden="1">
      <c r="AB508" s="104"/>
      <c r="AC508" s="104"/>
      <c r="AD508" s="104"/>
    </row>
    <row r="509" hidden="1">
      <c r="AB509" s="104"/>
      <c r="AC509" s="104"/>
      <c r="AD509" s="104"/>
    </row>
    <row r="510" hidden="1">
      <c r="AB510" s="104"/>
      <c r="AC510" s="104"/>
      <c r="AD510" s="104"/>
    </row>
    <row r="511" hidden="1">
      <c r="AB511" s="104"/>
      <c r="AC511" s="104"/>
      <c r="AD511" s="104"/>
    </row>
    <row r="512" hidden="1">
      <c r="AB512" s="104"/>
      <c r="AC512" s="104"/>
      <c r="AD512" s="104"/>
    </row>
    <row r="513" hidden="1">
      <c r="AB513" s="104"/>
      <c r="AC513" s="104"/>
      <c r="AD513" s="104"/>
    </row>
    <row r="514" hidden="1">
      <c r="AB514" s="104"/>
      <c r="AC514" s="104"/>
      <c r="AD514" s="104"/>
    </row>
    <row r="515" hidden="1">
      <c r="AB515" s="104"/>
      <c r="AC515" s="104"/>
      <c r="AD515" s="104"/>
    </row>
    <row r="516" hidden="1">
      <c r="AB516" s="104"/>
      <c r="AC516" s="104"/>
      <c r="AD516" s="104"/>
    </row>
    <row r="517" hidden="1">
      <c r="AB517" s="104"/>
      <c r="AC517" s="104"/>
      <c r="AD517" s="104"/>
    </row>
    <row r="518" hidden="1">
      <c r="AB518" s="104"/>
      <c r="AC518" s="104"/>
      <c r="AD518" s="104"/>
    </row>
    <row r="519" hidden="1">
      <c r="AB519" s="104"/>
      <c r="AC519" s="104"/>
      <c r="AD519" s="104"/>
    </row>
    <row r="520" hidden="1">
      <c r="AB520" s="104"/>
      <c r="AC520" s="104"/>
      <c r="AD520" s="104"/>
    </row>
    <row r="521" hidden="1">
      <c r="AB521" s="104"/>
      <c r="AC521" s="104"/>
      <c r="AD521" s="104"/>
    </row>
    <row r="522" hidden="1">
      <c r="AB522" s="104"/>
      <c r="AC522" s="104"/>
      <c r="AD522" s="104"/>
    </row>
    <row r="523" hidden="1">
      <c r="AB523" s="104"/>
      <c r="AC523" s="104"/>
      <c r="AD523" s="104"/>
    </row>
    <row r="524" hidden="1">
      <c r="AB524" s="104"/>
      <c r="AC524" s="104"/>
      <c r="AD524" s="104"/>
    </row>
    <row r="525" hidden="1">
      <c r="AB525" s="104"/>
      <c r="AC525" s="104"/>
      <c r="AD525" s="104"/>
    </row>
    <row r="526" hidden="1">
      <c r="AB526" s="104"/>
      <c r="AC526" s="104"/>
      <c r="AD526" s="104"/>
    </row>
    <row r="527" hidden="1">
      <c r="AB527" s="104"/>
      <c r="AC527" s="104"/>
      <c r="AD527" s="104"/>
    </row>
    <row r="528" hidden="1">
      <c r="AB528" s="104"/>
      <c r="AC528" s="104"/>
      <c r="AD528" s="104"/>
    </row>
    <row r="529" hidden="1">
      <c r="AB529" s="104"/>
      <c r="AC529" s="104"/>
      <c r="AD529" s="104"/>
    </row>
    <row r="530" hidden="1">
      <c r="AB530" s="104"/>
      <c r="AC530" s="104"/>
      <c r="AD530" s="104"/>
    </row>
    <row r="531" hidden="1">
      <c r="AB531" s="104"/>
      <c r="AC531" s="104"/>
      <c r="AD531" s="104"/>
    </row>
    <row r="532" hidden="1">
      <c r="AB532" s="104"/>
      <c r="AC532" s="104"/>
      <c r="AD532" s="104"/>
    </row>
    <row r="533" hidden="1">
      <c r="AB533" s="104"/>
      <c r="AC533" s="104"/>
      <c r="AD533" s="104"/>
    </row>
    <row r="534" hidden="1">
      <c r="AB534" s="104"/>
      <c r="AC534" s="104"/>
      <c r="AD534" s="104"/>
    </row>
    <row r="535" hidden="1">
      <c r="AB535" s="104"/>
      <c r="AC535" s="104"/>
      <c r="AD535" s="104"/>
    </row>
    <row r="536" hidden="1">
      <c r="AB536" s="104"/>
      <c r="AC536" s="104"/>
      <c r="AD536" s="104"/>
    </row>
    <row r="537" hidden="1">
      <c r="AB537" s="104"/>
      <c r="AC537" s="104"/>
      <c r="AD537" s="104"/>
    </row>
    <row r="538" hidden="1">
      <c r="AB538" s="104"/>
      <c r="AC538" s="104"/>
      <c r="AD538" s="104"/>
    </row>
    <row r="539" hidden="1">
      <c r="AB539" s="104"/>
      <c r="AC539" s="104"/>
      <c r="AD539" s="104"/>
    </row>
    <row r="540" hidden="1">
      <c r="AB540" s="104"/>
      <c r="AC540" s="104"/>
      <c r="AD540" s="104"/>
    </row>
    <row r="541" hidden="1">
      <c r="AB541" s="104"/>
      <c r="AC541" s="104"/>
      <c r="AD541" s="104"/>
    </row>
    <row r="542" hidden="1">
      <c r="AB542" s="104"/>
      <c r="AC542" s="104"/>
      <c r="AD542" s="104"/>
    </row>
    <row r="543" hidden="1">
      <c r="AB543" s="104"/>
      <c r="AC543" s="104"/>
      <c r="AD543" s="104"/>
    </row>
    <row r="544" hidden="1">
      <c r="AB544" s="104"/>
      <c r="AC544" s="104"/>
      <c r="AD544" s="104"/>
    </row>
    <row r="545" hidden="1">
      <c r="AB545" s="104"/>
      <c r="AC545" s="104"/>
      <c r="AD545" s="104"/>
    </row>
    <row r="546" hidden="1">
      <c r="AB546" s="104"/>
      <c r="AC546" s="104"/>
      <c r="AD546" s="104"/>
    </row>
    <row r="547" hidden="1">
      <c r="AB547" s="104"/>
      <c r="AC547" s="104"/>
      <c r="AD547" s="104"/>
    </row>
    <row r="548" hidden="1">
      <c r="AB548" s="104"/>
      <c r="AC548" s="104"/>
      <c r="AD548" s="104"/>
    </row>
    <row r="549" hidden="1">
      <c r="AB549" s="104"/>
      <c r="AC549" s="104"/>
      <c r="AD549" s="104"/>
    </row>
    <row r="550" hidden="1">
      <c r="AB550" s="104"/>
      <c r="AC550" s="104"/>
      <c r="AD550" s="104"/>
    </row>
    <row r="551" hidden="1">
      <c r="AB551" s="104"/>
      <c r="AC551" s="104"/>
      <c r="AD551" s="104"/>
    </row>
    <row r="552" hidden="1">
      <c r="AB552" s="104"/>
      <c r="AC552" s="104"/>
      <c r="AD552" s="104"/>
    </row>
    <row r="553" hidden="1">
      <c r="AB553" s="104"/>
      <c r="AC553" s="104"/>
      <c r="AD553" s="104"/>
    </row>
    <row r="554" hidden="1">
      <c r="AB554" s="104"/>
      <c r="AC554" s="104"/>
      <c r="AD554" s="104"/>
    </row>
    <row r="555" hidden="1">
      <c r="AB555" s="104"/>
      <c r="AC555" s="104"/>
      <c r="AD555" s="104"/>
    </row>
    <row r="556" hidden="1">
      <c r="AB556" s="104"/>
      <c r="AC556" s="104"/>
      <c r="AD556" s="104"/>
    </row>
    <row r="557" hidden="1">
      <c r="AB557" s="104"/>
      <c r="AC557" s="104"/>
      <c r="AD557" s="104"/>
    </row>
    <row r="558" hidden="1">
      <c r="AB558" s="104"/>
      <c r="AC558" s="104"/>
      <c r="AD558" s="104"/>
    </row>
    <row r="559" hidden="1">
      <c r="AB559" s="104"/>
      <c r="AC559" s="104"/>
      <c r="AD559" s="104"/>
    </row>
    <row r="560" hidden="1">
      <c r="AB560" s="104"/>
      <c r="AC560" s="104"/>
      <c r="AD560" s="104"/>
    </row>
    <row r="561" hidden="1">
      <c r="AB561" s="104"/>
      <c r="AC561" s="104"/>
      <c r="AD561" s="104"/>
    </row>
    <row r="562" hidden="1">
      <c r="AB562" s="104"/>
      <c r="AC562" s="104"/>
      <c r="AD562" s="104"/>
    </row>
    <row r="563" hidden="1">
      <c r="AB563" s="104"/>
      <c r="AC563" s="104"/>
      <c r="AD563" s="104"/>
    </row>
    <row r="564" hidden="1">
      <c r="AB564" s="104"/>
      <c r="AC564" s="104"/>
      <c r="AD564" s="104"/>
    </row>
    <row r="565" hidden="1">
      <c r="AB565" s="104"/>
      <c r="AC565" s="104"/>
      <c r="AD565" s="104"/>
    </row>
    <row r="566" hidden="1">
      <c r="AB566" s="104"/>
      <c r="AC566" s="104"/>
      <c r="AD566" s="104"/>
    </row>
    <row r="567" hidden="1">
      <c r="AB567" s="104"/>
      <c r="AC567" s="104"/>
      <c r="AD567" s="104"/>
    </row>
    <row r="568" hidden="1">
      <c r="AB568" s="104"/>
      <c r="AC568" s="104"/>
      <c r="AD568" s="104"/>
    </row>
    <row r="569" hidden="1">
      <c r="AB569" s="104"/>
      <c r="AC569" s="104"/>
      <c r="AD569" s="104"/>
    </row>
    <row r="570" hidden="1">
      <c r="AB570" s="104"/>
      <c r="AC570" s="104"/>
      <c r="AD570" s="104"/>
    </row>
    <row r="571" hidden="1">
      <c r="AB571" s="104"/>
      <c r="AC571" s="104"/>
      <c r="AD571" s="104"/>
    </row>
    <row r="572" hidden="1">
      <c r="AB572" s="104"/>
      <c r="AC572" s="104"/>
      <c r="AD572" s="104"/>
    </row>
    <row r="573" hidden="1">
      <c r="AB573" s="104"/>
      <c r="AC573" s="104"/>
      <c r="AD573" s="104"/>
    </row>
    <row r="574" hidden="1">
      <c r="AB574" s="104"/>
      <c r="AC574" s="104"/>
      <c r="AD574" s="104"/>
    </row>
    <row r="575" hidden="1">
      <c r="AB575" s="104"/>
      <c r="AC575" s="104"/>
      <c r="AD575" s="104"/>
    </row>
    <row r="576" hidden="1">
      <c r="AB576" s="104"/>
      <c r="AC576" s="104"/>
      <c r="AD576" s="104"/>
    </row>
    <row r="577" hidden="1">
      <c r="AB577" s="104"/>
      <c r="AC577" s="104"/>
      <c r="AD577" s="104"/>
    </row>
    <row r="578" hidden="1">
      <c r="AB578" s="104"/>
      <c r="AC578" s="104"/>
      <c r="AD578" s="104"/>
    </row>
    <row r="579" hidden="1">
      <c r="AB579" s="104"/>
      <c r="AC579" s="104"/>
      <c r="AD579" s="104"/>
    </row>
    <row r="580" hidden="1">
      <c r="AB580" s="104"/>
      <c r="AC580" s="104"/>
      <c r="AD580" s="104"/>
    </row>
    <row r="581" hidden="1">
      <c r="AB581" s="104"/>
      <c r="AC581" s="104"/>
      <c r="AD581" s="104"/>
    </row>
    <row r="582" hidden="1">
      <c r="AB582" s="104"/>
      <c r="AC582" s="104"/>
      <c r="AD582" s="104"/>
    </row>
    <row r="583" hidden="1">
      <c r="AB583" s="104"/>
      <c r="AC583" s="104"/>
      <c r="AD583" s="104"/>
    </row>
    <row r="584" hidden="1">
      <c r="AB584" s="104"/>
      <c r="AC584" s="104"/>
      <c r="AD584" s="104"/>
    </row>
    <row r="585" hidden="1">
      <c r="AB585" s="104"/>
      <c r="AC585" s="104"/>
      <c r="AD585" s="104"/>
    </row>
    <row r="586" hidden="1">
      <c r="AB586" s="104"/>
      <c r="AC586" s="104"/>
      <c r="AD586" s="104"/>
    </row>
    <row r="587" hidden="1">
      <c r="AB587" s="104"/>
      <c r="AC587" s="104"/>
      <c r="AD587" s="104"/>
    </row>
    <row r="588" hidden="1">
      <c r="AB588" s="104"/>
      <c r="AC588" s="104"/>
      <c r="AD588" s="104"/>
    </row>
    <row r="589" hidden="1">
      <c r="AB589" s="104"/>
      <c r="AC589" s="104"/>
      <c r="AD589" s="104"/>
    </row>
    <row r="590" hidden="1">
      <c r="AB590" s="104"/>
      <c r="AC590" s="104"/>
      <c r="AD590" s="104"/>
    </row>
    <row r="591" hidden="1">
      <c r="AB591" s="104"/>
      <c r="AC591" s="104"/>
      <c r="AD591" s="104"/>
    </row>
    <row r="592" hidden="1">
      <c r="AB592" s="104"/>
      <c r="AC592" s="104"/>
      <c r="AD592" s="104"/>
    </row>
    <row r="593" hidden="1">
      <c r="AB593" s="104"/>
      <c r="AC593" s="104"/>
      <c r="AD593" s="104"/>
    </row>
    <row r="594" hidden="1">
      <c r="AB594" s="104"/>
      <c r="AC594" s="104"/>
      <c r="AD594" s="104"/>
    </row>
    <row r="595" hidden="1">
      <c r="AB595" s="104"/>
      <c r="AC595" s="104"/>
      <c r="AD595" s="104"/>
    </row>
    <row r="596" hidden="1">
      <c r="AB596" s="104"/>
      <c r="AC596" s="104"/>
      <c r="AD596" s="104"/>
    </row>
    <row r="597" hidden="1">
      <c r="AB597" s="104"/>
      <c r="AC597" s="104"/>
      <c r="AD597" s="104"/>
    </row>
    <row r="598" hidden="1">
      <c r="AB598" s="104"/>
      <c r="AC598" s="104"/>
      <c r="AD598" s="104"/>
    </row>
    <row r="599" hidden="1">
      <c r="AB599" s="104"/>
      <c r="AC599" s="104"/>
      <c r="AD599" s="104"/>
    </row>
    <row r="600" hidden="1">
      <c r="AB600" s="104"/>
      <c r="AC600" s="104"/>
      <c r="AD600" s="104"/>
    </row>
    <row r="601" hidden="1">
      <c r="AB601" s="104"/>
      <c r="AC601" s="104"/>
      <c r="AD601" s="104"/>
    </row>
    <row r="602" hidden="1">
      <c r="AB602" s="104"/>
      <c r="AC602" s="104"/>
      <c r="AD602" s="104"/>
    </row>
    <row r="603" hidden="1">
      <c r="AB603" s="104"/>
      <c r="AC603" s="104"/>
      <c r="AD603" s="104"/>
    </row>
    <row r="604" hidden="1">
      <c r="AB604" s="104"/>
      <c r="AC604" s="104"/>
      <c r="AD604" s="104"/>
    </row>
    <row r="605" hidden="1">
      <c r="AB605" s="104"/>
      <c r="AC605" s="104"/>
      <c r="AD605" s="104"/>
    </row>
    <row r="606" hidden="1">
      <c r="AB606" s="104"/>
      <c r="AC606" s="104"/>
      <c r="AD606" s="104"/>
    </row>
    <row r="607" hidden="1">
      <c r="AB607" s="104"/>
      <c r="AC607" s="104"/>
      <c r="AD607" s="104"/>
    </row>
    <row r="608" hidden="1">
      <c r="AB608" s="104"/>
      <c r="AC608" s="104"/>
      <c r="AD608" s="104"/>
    </row>
    <row r="609" hidden="1">
      <c r="AB609" s="104"/>
      <c r="AC609" s="104"/>
      <c r="AD609" s="104"/>
    </row>
    <row r="610" hidden="1">
      <c r="AB610" s="104"/>
      <c r="AC610" s="104"/>
      <c r="AD610" s="104"/>
    </row>
    <row r="611" hidden="1">
      <c r="AB611" s="104"/>
      <c r="AC611" s="104"/>
      <c r="AD611" s="104"/>
    </row>
    <row r="612" hidden="1">
      <c r="AB612" s="104"/>
      <c r="AC612" s="104"/>
      <c r="AD612" s="104"/>
    </row>
    <row r="613" hidden="1">
      <c r="AB613" s="104"/>
      <c r="AC613" s="104"/>
      <c r="AD613" s="104"/>
    </row>
    <row r="614" hidden="1">
      <c r="AB614" s="104"/>
      <c r="AC614" s="104"/>
      <c r="AD614" s="104"/>
    </row>
    <row r="615" hidden="1">
      <c r="AB615" s="104"/>
      <c r="AC615" s="104"/>
      <c r="AD615" s="104"/>
    </row>
    <row r="616" hidden="1">
      <c r="AB616" s="104"/>
      <c r="AC616" s="104"/>
      <c r="AD616" s="104"/>
    </row>
    <row r="617" hidden="1">
      <c r="AB617" s="104"/>
      <c r="AC617" s="104"/>
      <c r="AD617" s="104"/>
    </row>
    <row r="618" hidden="1">
      <c r="AB618" s="104"/>
      <c r="AC618" s="104"/>
      <c r="AD618" s="104"/>
    </row>
    <row r="619" hidden="1">
      <c r="AB619" s="104"/>
      <c r="AC619" s="104"/>
      <c r="AD619" s="104"/>
    </row>
    <row r="620" hidden="1">
      <c r="AB620" s="104"/>
      <c r="AC620" s="104"/>
      <c r="AD620" s="104"/>
    </row>
    <row r="621" hidden="1">
      <c r="AB621" s="104"/>
      <c r="AC621" s="104"/>
      <c r="AD621" s="104"/>
    </row>
    <row r="622" hidden="1">
      <c r="AB622" s="104"/>
      <c r="AC622" s="104"/>
      <c r="AD622" s="104"/>
    </row>
    <row r="623" hidden="1">
      <c r="AB623" s="104"/>
      <c r="AC623" s="104"/>
      <c r="AD623" s="104"/>
    </row>
    <row r="624" hidden="1">
      <c r="AB624" s="104"/>
      <c r="AC624" s="104"/>
      <c r="AD624" s="104"/>
    </row>
    <row r="625" hidden="1">
      <c r="AB625" s="104"/>
      <c r="AC625" s="104"/>
      <c r="AD625" s="104"/>
    </row>
    <row r="626" hidden="1">
      <c r="AB626" s="104"/>
      <c r="AC626" s="104"/>
      <c r="AD626" s="104"/>
    </row>
    <row r="627" hidden="1">
      <c r="AB627" s="104"/>
      <c r="AC627" s="104"/>
      <c r="AD627" s="104"/>
    </row>
    <row r="628" hidden="1">
      <c r="AB628" s="104"/>
      <c r="AC628" s="104"/>
      <c r="AD628" s="104"/>
    </row>
    <row r="629" hidden="1">
      <c r="AB629" s="104"/>
      <c r="AC629" s="104"/>
      <c r="AD629" s="104"/>
    </row>
    <row r="630" hidden="1">
      <c r="AB630" s="104"/>
      <c r="AC630" s="104"/>
      <c r="AD630" s="104"/>
    </row>
    <row r="631" hidden="1">
      <c r="AB631" s="104"/>
      <c r="AC631" s="104"/>
      <c r="AD631" s="104"/>
    </row>
    <row r="632" hidden="1">
      <c r="AB632" s="104"/>
      <c r="AC632" s="104"/>
      <c r="AD632" s="104"/>
    </row>
    <row r="633" hidden="1">
      <c r="AB633" s="104"/>
      <c r="AC633" s="104"/>
      <c r="AD633" s="104"/>
    </row>
    <row r="634" hidden="1">
      <c r="AB634" s="104"/>
      <c r="AC634" s="104"/>
      <c r="AD634" s="104"/>
    </row>
    <row r="635" hidden="1">
      <c r="AB635" s="104"/>
      <c r="AC635" s="104"/>
      <c r="AD635" s="104"/>
    </row>
    <row r="636" hidden="1">
      <c r="AB636" s="104"/>
      <c r="AC636" s="104"/>
      <c r="AD636" s="104"/>
    </row>
    <row r="637" hidden="1">
      <c r="AB637" s="104"/>
      <c r="AC637" s="104"/>
      <c r="AD637" s="104"/>
    </row>
    <row r="638" hidden="1">
      <c r="AB638" s="104"/>
      <c r="AC638" s="104"/>
      <c r="AD638" s="104"/>
    </row>
    <row r="639" hidden="1">
      <c r="AB639" s="104"/>
      <c r="AC639" s="104"/>
      <c r="AD639" s="104"/>
    </row>
    <row r="640" hidden="1">
      <c r="AB640" s="104"/>
      <c r="AC640" s="104"/>
      <c r="AD640" s="104"/>
    </row>
    <row r="641" hidden="1">
      <c r="AB641" s="104"/>
      <c r="AC641" s="104"/>
      <c r="AD641" s="104"/>
    </row>
    <row r="642" hidden="1">
      <c r="AB642" s="104"/>
      <c r="AC642" s="104"/>
      <c r="AD642" s="104"/>
    </row>
    <row r="643" hidden="1">
      <c r="AB643" s="104"/>
      <c r="AC643" s="104"/>
      <c r="AD643" s="104"/>
    </row>
    <row r="644" hidden="1">
      <c r="AB644" s="104"/>
      <c r="AC644" s="104"/>
      <c r="AD644" s="104"/>
    </row>
    <row r="645" hidden="1">
      <c r="AB645" s="104"/>
      <c r="AC645" s="104"/>
      <c r="AD645" s="104"/>
    </row>
    <row r="646" hidden="1">
      <c r="AB646" s="104"/>
      <c r="AC646" s="104"/>
      <c r="AD646" s="104"/>
    </row>
    <row r="647" hidden="1">
      <c r="AB647" s="104"/>
      <c r="AC647" s="104"/>
      <c r="AD647" s="104"/>
    </row>
    <row r="648" hidden="1">
      <c r="AB648" s="104"/>
      <c r="AC648" s="104"/>
      <c r="AD648" s="104"/>
    </row>
    <row r="649" hidden="1">
      <c r="AB649" s="104"/>
      <c r="AC649" s="104"/>
      <c r="AD649" s="104"/>
    </row>
    <row r="650" hidden="1">
      <c r="AB650" s="104"/>
      <c r="AC650" s="104"/>
      <c r="AD650" s="104"/>
    </row>
    <row r="651" hidden="1">
      <c r="AB651" s="104"/>
      <c r="AC651" s="104"/>
      <c r="AD651" s="104"/>
    </row>
    <row r="652" hidden="1">
      <c r="AB652" s="104"/>
      <c r="AC652" s="104"/>
      <c r="AD652" s="104"/>
    </row>
    <row r="653" hidden="1">
      <c r="AB653" s="104"/>
      <c r="AC653" s="104"/>
      <c r="AD653" s="104"/>
    </row>
    <row r="654" hidden="1">
      <c r="AB654" s="104"/>
      <c r="AC654" s="104"/>
      <c r="AD654" s="104"/>
    </row>
    <row r="655" hidden="1">
      <c r="AB655" s="104"/>
      <c r="AC655" s="104"/>
      <c r="AD655" s="104"/>
    </row>
    <row r="656" hidden="1">
      <c r="AB656" s="104"/>
      <c r="AC656" s="104"/>
      <c r="AD656" s="104"/>
    </row>
    <row r="657" hidden="1">
      <c r="AB657" s="104"/>
      <c r="AC657" s="104"/>
      <c r="AD657" s="104"/>
    </row>
    <row r="658" hidden="1">
      <c r="AB658" s="104"/>
      <c r="AC658" s="104"/>
      <c r="AD658" s="104"/>
    </row>
    <row r="659" hidden="1">
      <c r="AB659" s="104"/>
      <c r="AC659" s="104"/>
      <c r="AD659" s="104"/>
    </row>
    <row r="660" hidden="1">
      <c r="AB660" s="104"/>
      <c r="AC660" s="104"/>
      <c r="AD660" s="104"/>
    </row>
    <row r="661" hidden="1">
      <c r="AB661" s="104"/>
      <c r="AC661" s="104"/>
      <c r="AD661" s="104"/>
    </row>
    <row r="662" hidden="1">
      <c r="AB662" s="104"/>
      <c r="AC662" s="104"/>
      <c r="AD662" s="104"/>
    </row>
    <row r="663" hidden="1">
      <c r="AB663" s="104"/>
      <c r="AC663" s="104"/>
      <c r="AD663" s="104"/>
    </row>
    <row r="664" hidden="1">
      <c r="AB664" s="104"/>
      <c r="AC664" s="104"/>
      <c r="AD664" s="104"/>
    </row>
    <row r="665" hidden="1">
      <c r="AB665" s="104"/>
      <c r="AC665" s="104"/>
      <c r="AD665" s="104"/>
    </row>
    <row r="666" hidden="1">
      <c r="AB666" s="104"/>
      <c r="AC666" s="104"/>
      <c r="AD666" s="104"/>
    </row>
    <row r="667" hidden="1">
      <c r="AB667" s="104"/>
      <c r="AC667" s="104"/>
      <c r="AD667" s="104"/>
    </row>
    <row r="668" hidden="1">
      <c r="AB668" s="104"/>
      <c r="AC668" s="104"/>
      <c r="AD668" s="104"/>
    </row>
    <row r="669" hidden="1">
      <c r="AB669" s="104"/>
      <c r="AC669" s="104"/>
      <c r="AD669" s="104"/>
    </row>
    <row r="670" hidden="1">
      <c r="AB670" s="104"/>
      <c r="AC670" s="104"/>
      <c r="AD670" s="104"/>
    </row>
    <row r="671" hidden="1">
      <c r="AB671" s="104"/>
      <c r="AC671" s="104"/>
      <c r="AD671" s="104"/>
    </row>
    <row r="672" hidden="1">
      <c r="AB672" s="104"/>
      <c r="AC672" s="104"/>
      <c r="AD672" s="104"/>
    </row>
    <row r="673" hidden="1">
      <c r="AB673" s="104"/>
      <c r="AC673" s="104"/>
      <c r="AD673" s="104"/>
    </row>
    <row r="674" hidden="1">
      <c r="AB674" s="104"/>
      <c r="AC674" s="104"/>
      <c r="AD674" s="104"/>
    </row>
    <row r="675" hidden="1">
      <c r="AB675" s="104"/>
      <c r="AC675" s="104"/>
      <c r="AD675" s="104"/>
    </row>
    <row r="676" hidden="1">
      <c r="AB676" s="104"/>
      <c r="AC676" s="104"/>
      <c r="AD676" s="104"/>
    </row>
    <row r="677" hidden="1">
      <c r="AB677" s="104"/>
      <c r="AC677" s="104"/>
      <c r="AD677" s="104"/>
    </row>
    <row r="678" hidden="1">
      <c r="AB678" s="104"/>
      <c r="AC678" s="104"/>
      <c r="AD678" s="104"/>
    </row>
    <row r="679" hidden="1">
      <c r="AB679" s="104"/>
      <c r="AC679" s="104"/>
      <c r="AD679" s="104"/>
    </row>
    <row r="680" hidden="1">
      <c r="AB680" s="104"/>
      <c r="AC680" s="104"/>
      <c r="AD680" s="104"/>
    </row>
    <row r="681" hidden="1">
      <c r="AB681" s="104"/>
      <c r="AC681" s="104"/>
      <c r="AD681" s="104"/>
    </row>
    <row r="682" hidden="1">
      <c r="AB682" s="104"/>
      <c r="AC682" s="104"/>
      <c r="AD682" s="104"/>
    </row>
    <row r="683" hidden="1">
      <c r="AB683" s="104"/>
      <c r="AC683" s="104"/>
      <c r="AD683" s="104"/>
    </row>
    <row r="684" hidden="1">
      <c r="AB684" s="104"/>
      <c r="AC684" s="104"/>
      <c r="AD684" s="104"/>
    </row>
    <row r="685" hidden="1">
      <c r="AB685" s="104"/>
      <c r="AC685" s="104"/>
      <c r="AD685" s="104"/>
    </row>
    <row r="686" hidden="1">
      <c r="AB686" s="104"/>
      <c r="AC686" s="104"/>
      <c r="AD686" s="104"/>
    </row>
    <row r="687" hidden="1">
      <c r="AB687" s="104"/>
      <c r="AC687" s="104"/>
      <c r="AD687" s="104"/>
    </row>
    <row r="688" hidden="1">
      <c r="AB688" s="104"/>
      <c r="AC688" s="104"/>
      <c r="AD688" s="104"/>
    </row>
    <row r="689" hidden="1">
      <c r="AB689" s="104"/>
      <c r="AC689" s="104"/>
      <c r="AD689" s="104"/>
    </row>
    <row r="690" hidden="1">
      <c r="AB690" s="104"/>
      <c r="AC690" s="104"/>
      <c r="AD690" s="104"/>
    </row>
    <row r="691" hidden="1">
      <c r="AB691" s="104"/>
      <c r="AC691" s="104"/>
      <c r="AD691" s="104"/>
    </row>
    <row r="692" hidden="1">
      <c r="AB692" s="104"/>
      <c r="AC692" s="104"/>
      <c r="AD692" s="104"/>
    </row>
    <row r="693" hidden="1">
      <c r="AB693" s="104"/>
      <c r="AC693" s="104"/>
      <c r="AD693" s="104"/>
    </row>
    <row r="694" hidden="1">
      <c r="AB694" s="104"/>
      <c r="AC694" s="104"/>
      <c r="AD694" s="104"/>
    </row>
    <row r="695" hidden="1">
      <c r="AB695" s="104"/>
      <c r="AC695" s="104"/>
      <c r="AD695" s="104"/>
    </row>
    <row r="696" hidden="1">
      <c r="AB696" s="104"/>
      <c r="AC696" s="104"/>
      <c r="AD696" s="104"/>
    </row>
    <row r="697" hidden="1">
      <c r="AB697" s="104"/>
      <c r="AC697" s="104"/>
      <c r="AD697" s="104"/>
    </row>
    <row r="698" hidden="1">
      <c r="AB698" s="104"/>
      <c r="AC698" s="104"/>
      <c r="AD698" s="104"/>
    </row>
    <row r="699" hidden="1">
      <c r="AB699" s="104"/>
      <c r="AC699" s="104"/>
      <c r="AD699" s="104"/>
    </row>
    <row r="700" hidden="1">
      <c r="AB700" s="104"/>
      <c r="AC700" s="104"/>
      <c r="AD700" s="104"/>
    </row>
    <row r="701" hidden="1">
      <c r="AB701" s="104"/>
      <c r="AC701" s="104"/>
      <c r="AD701" s="104"/>
    </row>
    <row r="702" hidden="1">
      <c r="AB702" s="104"/>
      <c r="AC702" s="104"/>
      <c r="AD702" s="104"/>
    </row>
    <row r="703" hidden="1">
      <c r="AB703" s="104"/>
      <c r="AC703" s="104"/>
      <c r="AD703" s="104"/>
    </row>
    <row r="704" hidden="1">
      <c r="AB704" s="104"/>
      <c r="AC704" s="104"/>
      <c r="AD704" s="104"/>
    </row>
    <row r="705" hidden="1">
      <c r="AB705" s="104"/>
      <c r="AC705" s="104"/>
      <c r="AD705" s="104"/>
    </row>
    <row r="706" hidden="1">
      <c r="AB706" s="104"/>
      <c r="AC706" s="104"/>
      <c r="AD706" s="104"/>
    </row>
    <row r="707" hidden="1">
      <c r="AB707" s="104"/>
      <c r="AC707" s="104"/>
      <c r="AD707" s="104"/>
    </row>
    <row r="708" hidden="1">
      <c r="AB708" s="104"/>
      <c r="AC708" s="104"/>
      <c r="AD708" s="104"/>
    </row>
    <row r="709" hidden="1">
      <c r="AB709" s="104"/>
      <c r="AC709" s="104"/>
      <c r="AD709" s="104"/>
    </row>
    <row r="710" hidden="1">
      <c r="AB710" s="104"/>
      <c r="AC710" s="104"/>
      <c r="AD710" s="104"/>
    </row>
    <row r="711" hidden="1">
      <c r="AB711" s="104"/>
      <c r="AC711" s="104"/>
      <c r="AD711" s="104"/>
    </row>
    <row r="712" hidden="1">
      <c r="AB712" s="104"/>
      <c r="AC712" s="104"/>
      <c r="AD712" s="104"/>
    </row>
    <row r="713" hidden="1">
      <c r="AB713" s="104"/>
      <c r="AC713" s="104"/>
      <c r="AD713" s="104"/>
    </row>
    <row r="714" hidden="1">
      <c r="AB714" s="104"/>
      <c r="AC714" s="104"/>
      <c r="AD714" s="104"/>
    </row>
    <row r="715" hidden="1">
      <c r="AB715" s="104"/>
      <c r="AC715" s="104"/>
      <c r="AD715" s="104"/>
    </row>
    <row r="716" hidden="1">
      <c r="AB716" s="104"/>
      <c r="AC716" s="104"/>
      <c r="AD716" s="104"/>
    </row>
    <row r="717" hidden="1">
      <c r="AB717" s="104"/>
      <c r="AC717" s="104"/>
      <c r="AD717" s="104"/>
    </row>
    <row r="718" hidden="1">
      <c r="AB718" s="104"/>
      <c r="AC718" s="104"/>
      <c r="AD718" s="104"/>
    </row>
    <row r="719" hidden="1">
      <c r="AB719" s="104"/>
      <c r="AC719" s="104"/>
      <c r="AD719" s="104"/>
    </row>
    <row r="720" hidden="1">
      <c r="AB720" s="104"/>
      <c r="AC720" s="104"/>
      <c r="AD720" s="104"/>
    </row>
    <row r="721" hidden="1">
      <c r="AB721" s="104"/>
      <c r="AC721" s="104"/>
      <c r="AD721" s="104"/>
    </row>
    <row r="722" hidden="1">
      <c r="AB722" s="104"/>
      <c r="AC722" s="104"/>
      <c r="AD722" s="104"/>
    </row>
    <row r="723" hidden="1">
      <c r="AB723" s="104"/>
      <c r="AC723" s="104"/>
      <c r="AD723" s="104"/>
    </row>
    <row r="724" hidden="1">
      <c r="AB724" s="104"/>
      <c r="AC724" s="104"/>
      <c r="AD724" s="104"/>
    </row>
    <row r="725" hidden="1">
      <c r="AB725" s="104"/>
      <c r="AC725" s="104"/>
      <c r="AD725" s="104"/>
    </row>
    <row r="726" hidden="1">
      <c r="AB726" s="104"/>
      <c r="AC726" s="104"/>
      <c r="AD726" s="104"/>
    </row>
    <row r="727" hidden="1">
      <c r="AB727" s="104"/>
      <c r="AC727" s="104"/>
      <c r="AD727" s="104"/>
    </row>
    <row r="728" hidden="1">
      <c r="AB728" s="104"/>
      <c r="AC728" s="104"/>
      <c r="AD728" s="104"/>
    </row>
    <row r="729" hidden="1">
      <c r="AB729" s="104"/>
      <c r="AC729" s="104"/>
      <c r="AD729" s="104"/>
    </row>
    <row r="730" hidden="1">
      <c r="AB730" s="104"/>
      <c r="AC730" s="104"/>
      <c r="AD730" s="104"/>
    </row>
    <row r="731" hidden="1">
      <c r="AB731" s="104"/>
      <c r="AC731" s="104"/>
      <c r="AD731" s="104"/>
    </row>
    <row r="732" hidden="1">
      <c r="AB732" s="104"/>
      <c r="AC732" s="104"/>
      <c r="AD732" s="104"/>
    </row>
    <row r="733" hidden="1">
      <c r="AB733" s="104"/>
      <c r="AC733" s="104"/>
      <c r="AD733" s="104"/>
    </row>
    <row r="734" hidden="1">
      <c r="AB734" s="104"/>
      <c r="AC734" s="104"/>
      <c r="AD734" s="104"/>
    </row>
    <row r="735" hidden="1">
      <c r="AB735" s="104"/>
      <c r="AC735" s="104"/>
      <c r="AD735" s="104"/>
    </row>
    <row r="736" hidden="1">
      <c r="AB736" s="104"/>
      <c r="AC736" s="104"/>
      <c r="AD736" s="104"/>
    </row>
    <row r="737" hidden="1">
      <c r="AB737" s="104"/>
      <c r="AC737" s="104"/>
      <c r="AD737" s="104"/>
    </row>
    <row r="738" hidden="1">
      <c r="AB738" s="104"/>
      <c r="AC738" s="104"/>
      <c r="AD738" s="104"/>
    </row>
    <row r="739" hidden="1">
      <c r="AB739" s="104"/>
      <c r="AC739" s="104"/>
      <c r="AD739" s="104"/>
    </row>
    <row r="740" hidden="1">
      <c r="AB740" s="104"/>
      <c r="AC740" s="104"/>
      <c r="AD740" s="104"/>
    </row>
    <row r="741" hidden="1">
      <c r="AB741" s="104"/>
      <c r="AC741" s="104"/>
      <c r="AD741" s="104"/>
    </row>
    <row r="742" hidden="1">
      <c r="AB742" s="104"/>
      <c r="AC742" s="104"/>
      <c r="AD742" s="104"/>
    </row>
    <row r="743" hidden="1">
      <c r="AB743" s="104"/>
      <c r="AC743" s="104"/>
      <c r="AD743" s="104"/>
    </row>
    <row r="744" hidden="1">
      <c r="AB744" s="104"/>
      <c r="AC744" s="104"/>
      <c r="AD744" s="104"/>
    </row>
    <row r="745" hidden="1">
      <c r="AB745" s="104"/>
      <c r="AC745" s="104"/>
      <c r="AD745" s="104"/>
    </row>
    <row r="746" hidden="1">
      <c r="AB746" s="104"/>
      <c r="AC746" s="104"/>
      <c r="AD746" s="104"/>
    </row>
    <row r="747" hidden="1">
      <c r="AB747" s="104"/>
      <c r="AC747" s="104"/>
      <c r="AD747" s="104"/>
    </row>
    <row r="748" hidden="1">
      <c r="AB748" s="104"/>
      <c r="AC748" s="104"/>
      <c r="AD748" s="104"/>
    </row>
    <row r="749" hidden="1">
      <c r="AB749" s="104"/>
      <c r="AC749" s="104"/>
      <c r="AD749" s="104"/>
    </row>
    <row r="750" hidden="1">
      <c r="AB750" s="104"/>
      <c r="AC750" s="104"/>
      <c r="AD750" s="104"/>
    </row>
    <row r="751" hidden="1">
      <c r="AB751" s="104"/>
      <c r="AC751" s="104"/>
      <c r="AD751" s="104"/>
    </row>
    <row r="752" hidden="1">
      <c r="AB752" s="104"/>
      <c r="AC752" s="104"/>
      <c r="AD752" s="104"/>
    </row>
    <row r="753" hidden="1">
      <c r="AB753" s="104"/>
      <c r="AC753" s="104"/>
      <c r="AD753" s="104"/>
    </row>
    <row r="754" hidden="1">
      <c r="AB754" s="104"/>
      <c r="AC754" s="104"/>
      <c r="AD754" s="104"/>
    </row>
    <row r="755" hidden="1">
      <c r="AB755" s="104"/>
      <c r="AC755" s="104"/>
      <c r="AD755" s="104"/>
    </row>
    <row r="756" hidden="1">
      <c r="AB756" s="104"/>
      <c r="AC756" s="104"/>
      <c r="AD756" s="104"/>
    </row>
    <row r="757" hidden="1">
      <c r="AB757" s="104"/>
      <c r="AC757" s="104"/>
      <c r="AD757" s="104"/>
    </row>
    <row r="758" hidden="1">
      <c r="AB758" s="104"/>
      <c r="AC758" s="104"/>
      <c r="AD758" s="104"/>
    </row>
    <row r="759" hidden="1">
      <c r="AB759" s="104"/>
      <c r="AC759" s="104"/>
      <c r="AD759" s="104"/>
    </row>
    <row r="760" hidden="1">
      <c r="AB760" s="104"/>
      <c r="AC760" s="104"/>
      <c r="AD760" s="104"/>
    </row>
    <row r="761" hidden="1">
      <c r="AB761" s="104"/>
      <c r="AC761" s="104"/>
      <c r="AD761" s="104"/>
    </row>
    <row r="762" hidden="1">
      <c r="AB762" s="104"/>
      <c r="AC762" s="104"/>
      <c r="AD762" s="104"/>
    </row>
    <row r="763" hidden="1">
      <c r="AB763" s="104"/>
      <c r="AC763" s="104"/>
      <c r="AD763" s="104"/>
    </row>
    <row r="764" hidden="1">
      <c r="AB764" s="104"/>
      <c r="AC764" s="104"/>
      <c r="AD764" s="104"/>
    </row>
    <row r="765" hidden="1">
      <c r="AB765" s="104"/>
      <c r="AC765" s="104"/>
      <c r="AD765" s="104"/>
    </row>
    <row r="766" hidden="1">
      <c r="AB766" s="104"/>
      <c r="AC766" s="104"/>
      <c r="AD766" s="104"/>
    </row>
    <row r="767" hidden="1">
      <c r="AB767" s="104"/>
      <c r="AC767" s="104"/>
      <c r="AD767" s="104"/>
    </row>
    <row r="768" hidden="1">
      <c r="AB768" s="104"/>
      <c r="AC768" s="104"/>
      <c r="AD768" s="104"/>
    </row>
    <row r="769" hidden="1">
      <c r="AB769" s="104"/>
      <c r="AC769" s="104"/>
      <c r="AD769" s="104"/>
    </row>
    <row r="770" hidden="1">
      <c r="AB770" s="104"/>
      <c r="AC770" s="104"/>
      <c r="AD770" s="104"/>
    </row>
    <row r="771" hidden="1">
      <c r="AB771" s="104"/>
      <c r="AC771" s="104"/>
      <c r="AD771" s="104"/>
    </row>
    <row r="772" hidden="1">
      <c r="AB772" s="104"/>
      <c r="AC772" s="104"/>
      <c r="AD772" s="104"/>
    </row>
    <row r="773" hidden="1">
      <c r="AB773" s="104"/>
      <c r="AC773" s="104"/>
      <c r="AD773" s="104"/>
    </row>
    <row r="774" hidden="1">
      <c r="AB774" s="104"/>
      <c r="AC774" s="104"/>
      <c r="AD774" s="104"/>
    </row>
    <row r="775" hidden="1">
      <c r="AB775" s="104"/>
      <c r="AC775" s="104"/>
      <c r="AD775" s="104"/>
    </row>
    <row r="776" hidden="1">
      <c r="AB776" s="104"/>
      <c r="AC776" s="104"/>
      <c r="AD776" s="104"/>
    </row>
    <row r="777" hidden="1">
      <c r="AB777" s="104"/>
      <c r="AC777" s="104"/>
      <c r="AD777" s="104"/>
    </row>
    <row r="778" hidden="1">
      <c r="AB778" s="104"/>
      <c r="AC778" s="104"/>
      <c r="AD778" s="104"/>
    </row>
    <row r="779" hidden="1">
      <c r="AB779" s="104"/>
      <c r="AC779" s="104"/>
      <c r="AD779" s="104"/>
    </row>
    <row r="780" hidden="1">
      <c r="AB780" s="104"/>
      <c r="AC780" s="104"/>
      <c r="AD780" s="104"/>
    </row>
    <row r="781" hidden="1">
      <c r="AB781" s="104"/>
      <c r="AC781" s="104"/>
      <c r="AD781" s="104"/>
    </row>
    <row r="782" hidden="1">
      <c r="AB782" s="104"/>
      <c r="AC782" s="104"/>
      <c r="AD782" s="104"/>
    </row>
    <row r="783" hidden="1">
      <c r="AB783" s="104"/>
      <c r="AC783" s="104"/>
      <c r="AD783" s="104"/>
    </row>
    <row r="784" hidden="1">
      <c r="AB784" s="104"/>
      <c r="AC784" s="104"/>
      <c r="AD784" s="104"/>
    </row>
    <row r="785" hidden="1">
      <c r="AB785" s="104"/>
      <c r="AC785" s="104"/>
      <c r="AD785" s="104"/>
    </row>
    <row r="786" hidden="1">
      <c r="AB786" s="104"/>
      <c r="AC786" s="104"/>
      <c r="AD786" s="104"/>
    </row>
    <row r="787" hidden="1">
      <c r="AB787" s="104"/>
      <c r="AC787" s="104"/>
      <c r="AD787" s="104"/>
    </row>
    <row r="788" hidden="1">
      <c r="AB788" s="104"/>
      <c r="AC788" s="104"/>
      <c r="AD788" s="104"/>
    </row>
    <row r="789" hidden="1">
      <c r="AB789" s="104"/>
      <c r="AC789" s="104"/>
      <c r="AD789" s="104"/>
    </row>
    <row r="790" hidden="1">
      <c r="AB790" s="104"/>
      <c r="AC790" s="104"/>
      <c r="AD790" s="104"/>
    </row>
    <row r="791" hidden="1">
      <c r="AB791" s="104"/>
      <c r="AC791" s="104"/>
      <c r="AD791" s="104"/>
    </row>
    <row r="792" hidden="1">
      <c r="AB792" s="104"/>
      <c r="AC792" s="104"/>
      <c r="AD792" s="104"/>
    </row>
    <row r="793" hidden="1">
      <c r="AB793" s="104"/>
      <c r="AC793" s="104"/>
      <c r="AD793" s="104"/>
    </row>
    <row r="794" hidden="1">
      <c r="AB794" s="104"/>
      <c r="AC794" s="104"/>
      <c r="AD794" s="104"/>
    </row>
    <row r="795" hidden="1">
      <c r="AB795" s="104"/>
      <c r="AC795" s="104"/>
      <c r="AD795" s="104"/>
    </row>
    <row r="796" hidden="1">
      <c r="AB796" s="104"/>
      <c r="AC796" s="104"/>
      <c r="AD796" s="104"/>
    </row>
    <row r="797" hidden="1">
      <c r="AB797" s="104"/>
      <c r="AC797" s="104"/>
      <c r="AD797" s="104"/>
    </row>
    <row r="798" hidden="1">
      <c r="AB798" s="104"/>
      <c r="AC798" s="104"/>
      <c r="AD798" s="104"/>
    </row>
    <row r="799" hidden="1">
      <c r="AB799" s="104"/>
      <c r="AC799" s="104"/>
      <c r="AD799" s="104"/>
    </row>
    <row r="800" hidden="1">
      <c r="AB800" s="104"/>
      <c r="AC800" s="104"/>
      <c r="AD800" s="104"/>
    </row>
    <row r="801" hidden="1">
      <c r="AB801" s="104"/>
      <c r="AC801" s="104"/>
      <c r="AD801" s="104"/>
    </row>
    <row r="802" hidden="1">
      <c r="AB802" s="104"/>
      <c r="AC802" s="104"/>
      <c r="AD802" s="104"/>
    </row>
    <row r="803" hidden="1">
      <c r="AB803" s="104"/>
      <c r="AC803" s="104"/>
      <c r="AD803" s="104"/>
    </row>
    <row r="804" hidden="1">
      <c r="AB804" s="104"/>
      <c r="AC804" s="104"/>
      <c r="AD804" s="104"/>
    </row>
    <row r="805" hidden="1">
      <c r="AB805" s="104"/>
      <c r="AC805" s="104"/>
      <c r="AD805" s="104"/>
    </row>
    <row r="806" hidden="1">
      <c r="AB806" s="104"/>
      <c r="AC806" s="104"/>
      <c r="AD806" s="104"/>
    </row>
    <row r="807" hidden="1">
      <c r="AB807" s="104"/>
      <c r="AC807" s="104"/>
      <c r="AD807" s="104"/>
    </row>
    <row r="808" hidden="1">
      <c r="AB808" s="104"/>
      <c r="AC808" s="104"/>
      <c r="AD808" s="104"/>
    </row>
    <row r="809" hidden="1">
      <c r="AB809" s="104"/>
      <c r="AC809" s="104"/>
      <c r="AD809" s="104"/>
    </row>
    <row r="810" hidden="1">
      <c r="AB810" s="104"/>
      <c r="AC810" s="104"/>
      <c r="AD810" s="104"/>
    </row>
    <row r="811" hidden="1">
      <c r="AB811" s="104"/>
      <c r="AC811" s="104"/>
      <c r="AD811" s="104"/>
    </row>
    <row r="812" hidden="1">
      <c r="AB812" s="104"/>
      <c r="AC812" s="104"/>
      <c r="AD812" s="104"/>
    </row>
    <row r="813" hidden="1">
      <c r="AB813" s="104"/>
      <c r="AC813" s="104"/>
      <c r="AD813" s="104"/>
    </row>
    <row r="814" hidden="1">
      <c r="AB814" s="104"/>
      <c r="AC814" s="104"/>
      <c r="AD814" s="104"/>
    </row>
    <row r="815" hidden="1">
      <c r="AB815" s="104"/>
      <c r="AC815" s="104"/>
      <c r="AD815" s="104"/>
    </row>
    <row r="816" hidden="1">
      <c r="AB816" s="104"/>
      <c r="AC816" s="104"/>
      <c r="AD816" s="104"/>
    </row>
    <row r="817" hidden="1">
      <c r="AB817" s="104"/>
      <c r="AC817" s="104"/>
      <c r="AD817" s="104"/>
    </row>
    <row r="818" hidden="1">
      <c r="AB818" s="104"/>
      <c r="AC818" s="104"/>
      <c r="AD818" s="104"/>
    </row>
    <row r="819" hidden="1">
      <c r="AB819" s="104"/>
      <c r="AC819" s="104"/>
      <c r="AD819" s="104"/>
    </row>
    <row r="820" hidden="1">
      <c r="AB820" s="104"/>
      <c r="AC820" s="104"/>
      <c r="AD820" s="104"/>
    </row>
    <row r="821" hidden="1">
      <c r="AB821" s="104"/>
      <c r="AC821" s="104"/>
      <c r="AD821" s="104"/>
    </row>
    <row r="822" hidden="1">
      <c r="AB822" s="104"/>
      <c r="AC822" s="104"/>
      <c r="AD822" s="104"/>
    </row>
    <row r="823" hidden="1">
      <c r="AB823" s="104"/>
      <c r="AC823" s="104"/>
      <c r="AD823" s="104"/>
    </row>
    <row r="824" hidden="1">
      <c r="AB824" s="104"/>
      <c r="AC824" s="104"/>
      <c r="AD824" s="104"/>
    </row>
    <row r="825" hidden="1">
      <c r="AB825" s="104"/>
      <c r="AC825" s="104"/>
      <c r="AD825" s="104"/>
    </row>
    <row r="826" hidden="1">
      <c r="AB826" s="104"/>
      <c r="AC826" s="104"/>
      <c r="AD826" s="104"/>
    </row>
    <row r="827" hidden="1">
      <c r="AB827" s="104"/>
      <c r="AC827" s="104"/>
      <c r="AD827" s="104"/>
    </row>
    <row r="828" hidden="1">
      <c r="AB828" s="104"/>
      <c r="AC828" s="104"/>
      <c r="AD828" s="104"/>
    </row>
    <row r="829" hidden="1">
      <c r="AB829" s="104"/>
      <c r="AC829" s="104"/>
      <c r="AD829" s="104"/>
    </row>
    <row r="830" hidden="1">
      <c r="AB830" s="104"/>
      <c r="AC830" s="104"/>
      <c r="AD830" s="104"/>
    </row>
    <row r="831" hidden="1">
      <c r="AB831" s="104"/>
      <c r="AC831" s="104"/>
      <c r="AD831" s="104"/>
    </row>
    <row r="832" hidden="1">
      <c r="AB832" s="104"/>
      <c r="AC832" s="104"/>
      <c r="AD832" s="104"/>
    </row>
    <row r="833" hidden="1">
      <c r="AB833" s="104"/>
      <c r="AC833" s="104"/>
      <c r="AD833" s="104"/>
    </row>
    <row r="834" hidden="1">
      <c r="AB834" s="104"/>
      <c r="AC834" s="104"/>
      <c r="AD834" s="104"/>
    </row>
    <row r="835" hidden="1">
      <c r="AB835" s="104"/>
      <c r="AC835" s="104"/>
      <c r="AD835" s="104"/>
    </row>
    <row r="836" hidden="1">
      <c r="AB836" s="104"/>
      <c r="AC836" s="104"/>
      <c r="AD836" s="104"/>
    </row>
    <row r="837" hidden="1">
      <c r="AB837" s="104"/>
      <c r="AC837" s="104"/>
      <c r="AD837" s="104"/>
    </row>
    <row r="838" hidden="1">
      <c r="AB838" s="104"/>
      <c r="AC838" s="104"/>
      <c r="AD838" s="104"/>
    </row>
    <row r="839" hidden="1">
      <c r="AB839" s="104"/>
      <c r="AC839" s="104"/>
      <c r="AD839" s="104"/>
    </row>
    <row r="840" hidden="1">
      <c r="AB840" s="104"/>
      <c r="AC840" s="104"/>
      <c r="AD840" s="104"/>
    </row>
    <row r="841" hidden="1">
      <c r="AB841" s="104"/>
      <c r="AC841" s="104"/>
      <c r="AD841" s="104"/>
    </row>
    <row r="842" hidden="1">
      <c r="AB842" s="104"/>
      <c r="AC842" s="104"/>
      <c r="AD842" s="104"/>
    </row>
    <row r="843" hidden="1">
      <c r="AB843" s="104"/>
      <c r="AC843" s="104"/>
      <c r="AD843" s="104"/>
    </row>
    <row r="844" hidden="1">
      <c r="AB844" s="104"/>
      <c r="AC844" s="104"/>
      <c r="AD844" s="104"/>
    </row>
    <row r="845" hidden="1">
      <c r="AB845" s="104"/>
      <c r="AC845" s="104"/>
      <c r="AD845" s="104"/>
    </row>
    <row r="846" hidden="1">
      <c r="AB846" s="104"/>
      <c r="AC846" s="104"/>
      <c r="AD846" s="104"/>
    </row>
    <row r="847" hidden="1">
      <c r="AB847" s="104"/>
      <c r="AC847" s="104"/>
      <c r="AD847" s="104"/>
    </row>
    <row r="848" hidden="1">
      <c r="AB848" s="104"/>
      <c r="AC848" s="104"/>
      <c r="AD848" s="104"/>
    </row>
    <row r="849" hidden="1">
      <c r="AB849" s="104"/>
      <c r="AC849" s="104"/>
      <c r="AD849" s="104"/>
    </row>
    <row r="850" hidden="1">
      <c r="AB850" s="104"/>
      <c r="AC850" s="104"/>
      <c r="AD850" s="104"/>
    </row>
    <row r="851" hidden="1">
      <c r="AB851" s="104"/>
      <c r="AC851" s="104"/>
      <c r="AD851" s="104"/>
    </row>
    <row r="852" hidden="1">
      <c r="AB852" s="104"/>
      <c r="AC852" s="104"/>
      <c r="AD852" s="104"/>
    </row>
    <row r="853" hidden="1">
      <c r="AB853" s="104"/>
      <c r="AC853" s="104"/>
      <c r="AD853" s="104"/>
    </row>
    <row r="854" hidden="1">
      <c r="AB854" s="104"/>
      <c r="AC854" s="104"/>
      <c r="AD854" s="104"/>
    </row>
    <row r="855" hidden="1">
      <c r="AB855" s="104"/>
      <c r="AC855" s="104"/>
      <c r="AD855" s="104"/>
    </row>
    <row r="856" hidden="1">
      <c r="AB856" s="104"/>
      <c r="AC856" s="104"/>
      <c r="AD856" s="104"/>
    </row>
    <row r="857" hidden="1">
      <c r="AB857" s="104"/>
      <c r="AC857" s="104"/>
      <c r="AD857" s="104"/>
    </row>
    <row r="858" hidden="1">
      <c r="AB858" s="104"/>
      <c r="AC858" s="104"/>
      <c r="AD858" s="104"/>
    </row>
    <row r="859" hidden="1">
      <c r="AB859" s="104"/>
      <c r="AC859" s="104"/>
      <c r="AD859" s="104"/>
    </row>
    <row r="860" hidden="1">
      <c r="AB860" s="104"/>
      <c r="AC860" s="104"/>
      <c r="AD860" s="104"/>
    </row>
    <row r="861" hidden="1">
      <c r="AB861" s="104"/>
      <c r="AC861" s="104"/>
      <c r="AD861" s="104"/>
    </row>
    <row r="862" hidden="1">
      <c r="AB862" s="104"/>
      <c r="AC862" s="104"/>
      <c r="AD862" s="104"/>
    </row>
    <row r="863" hidden="1">
      <c r="AB863" s="104"/>
      <c r="AC863" s="104"/>
      <c r="AD863" s="104"/>
    </row>
    <row r="864" hidden="1">
      <c r="AB864" s="104"/>
      <c r="AC864" s="104"/>
      <c r="AD864" s="104"/>
    </row>
    <row r="865" hidden="1">
      <c r="AB865" s="104"/>
      <c r="AC865" s="104"/>
      <c r="AD865" s="104"/>
    </row>
    <row r="866" hidden="1">
      <c r="AB866" s="104"/>
      <c r="AC866" s="104"/>
      <c r="AD866" s="104"/>
    </row>
    <row r="867" hidden="1">
      <c r="AB867" s="104"/>
      <c r="AC867" s="104"/>
      <c r="AD867" s="104"/>
    </row>
    <row r="868" hidden="1">
      <c r="AB868" s="104"/>
      <c r="AC868" s="104"/>
      <c r="AD868" s="104"/>
    </row>
    <row r="869" hidden="1">
      <c r="AB869" s="104"/>
      <c r="AC869" s="104"/>
      <c r="AD869" s="104"/>
    </row>
    <row r="870" hidden="1">
      <c r="AB870" s="104"/>
      <c r="AC870" s="104"/>
      <c r="AD870" s="104"/>
    </row>
    <row r="871" hidden="1">
      <c r="AB871" s="104"/>
      <c r="AC871" s="104"/>
      <c r="AD871" s="104"/>
    </row>
    <row r="872" hidden="1">
      <c r="AB872" s="104"/>
      <c r="AC872" s="104"/>
      <c r="AD872" s="104"/>
    </row>
    <row r="873" hidden="1">
      <c r="AB873" s="104"/>
      <c r="AC873" s="104"/>
      <c r="AD873" s="104"/>
    </row>
    <row r="874" hidden="1">
      <c r="AB874" s="104"/>
      <c r="AC874" s="104"/>
      <c r="AD874" s="104"/>
    </row>
    <row r="875" hidden="1">
      <c r="AB875" s="104"/>
      <c r="AC875" s="104"/>
      <c r="AD875" s="104"/>
    </row>
    <row r="876" hidden="1">
      <c r="AB876" s="104"/>
      <c r="AC876" s="104"/>
      <c r="AD876" s="104"/>
    </row>
    <row r="877" hidden="1">
      <c r="AB877" s="104"/>
      <c r="AC877" s="104"/>
      <c r="AD877" s="104"/>
    </row>
    <row r="878" hidden="1">
      <c r="AB878" s="104"/>
      <c r="AC878" s="104"/>
      <c r="AD878" s="104"/>
    </row>
    <row r="879" hidden="1">
      <c r="AB879" s="104"/>
      <c r="AC879" s="104"/>
      <c r="AD879" s="104"/>
    </row>
    <row r="880" hidden="1">
      <c r="AB880" s="104"/>
      <c r="AC880" s="104"/>
      <c r="AD880" s="104"/>
    </row>
    <row r="881" hidden="1">
      <c r="AB881" s="104"/>
      <c r="AC881" s="104"/>
      <c r="AD881" s="104"/>
    </row>
    <row r="882" hidden="1">
      <c r="AB882" s="104"/>
      <c r="AC882" s="104"/>
      <c r="AD882" s="104"/>
    </row>
    <row r="883" hidden="1">
      <c r="AB883" s="104"/>
      <c r="AC883" s="104"/>
      <c r="AD883" s="104"/>
    </row>
    <row r="884" hidden="1">
      <c r="AB884" s="104"/>
      <c r="AC884" s="104"/>
      <c r="AD884" s="104"/>
    </row>
    <row r="885" hidden="1">
      <c r="AB885" s="104"/>
      <c r="AC885" s="104"/>
      <c r="AD885" s="104"/>
    </row>
    <row r="886" hidden="1">
      <c r="AB886" s="104"/>
      <c r="AC886" s="104"/>
      <c r="AD886" s="104"/>
    </row>
    <row r="887" hidden="1">
      <c r="AB887" s="104"/>
      <c r="AC887" s="104"/>
      <c r="AD887" s="104"/>
    </row>
    <row r="888" hidden="1">
      <c r="AB888" s="104"/>
      <c r="AC888" s="104"/>
      <c r="AD888" s="104"/>
    </row>
    <row r="889" hidden="1">
      <c r="AB889" s="104"/>
      <c r="AC889" s="104"/>
      <c r="AD889" s="104"/>
    </row>
    <row r="890" hidden="1">
      <c r="AB890" s="104"/>
      <c r="AC890" s="104"/>
      <c r="AD890" s="104"/>
    </row>
    <row r="891" hidden="1">
      <c r="AB891" s="104"/>
      <c r="AC891" s="104"/>
      <c r="AD891" s="104"/>
    </row>
    <row r="892" hidden="1">
      <c r="AB892" s="104"/>
      <c r="AC892" s="104"/>
      <c r="AD892" s="104"/>
    </row>
    <row r="893" hidden="1">
      <c r="AB893" s="104"/>
      <c r="AC893" s="104"/>
      <c r="AD893" s="104"/>
    </row>
    <row r="894" hidden="1">
      <c r="AB894" s="104"/>
      <c r="AC894" s="104"/>
      <c r="AD894" s="104"/>
    </row>
    <row r="895" hidden="1">
      <c r="AB895" s="104"/>
      <c r="AC895" s="104"/>
      <c r="AD895" s="104"/>
    </row>
    <row r="896" hidden="1">
      <c r="AB896" s="104"/>
      <c r="AC896" s="104"/>
      <c r="AD896" s="104"/>
    </row>
    <row r="897" hidden="1">
      <c r="AB897" s="104"/>
      <c r="AC897" s="104"/>
      <c r="AD897" s="104"/>
    </row>
    <row r="898" hidden="1">
      <c r="AB898" s="104"/>
      <c r="AC898" s="104"/>
      <c r="AD898" s="104"/>
    </row>
    <row r="899" hidden="1">
      <c r="AB899" s="104"/>
      <c r="AC899" s="104"/>
      <c r="AD899" s="104"/>
    </row>
    <row r="900" hidden="1">
      <c r="AB900" s="104"/>
      <c r="AC900" s="104"/>
      <c r="AD900" s="104"/>
    </row>
    <row r="901" hidden="1">
      <c r="AB901" s="104"/>
      <c r="AC901" s="104"/>
      <c r="AD901" s="104"/>
    </row>
    <row r="902" hidden="1">
      <c r="AB902" s="104"/>
      <c r="AC902" s="104"/>
      <c r="AD902" s="104"/>
    </row>
    <row r="903" hidden="1">
      <c r="AB903" s="104"/>
      <c r="AC903" s="104"/>
      <c r="AD903" s="104"/>
    </row>
    <row r="904" hidden="1">
      <c r="AB904" s="104"/>
      <c r="AC904" s="104"/>
      <c r="AD904" s="104"/>
    </row>
    <row r="905" hidden="1">
      <c r="AB905" s="104"/>
      <c r="AC905" s="104"/>
      <c r="AD905" s="104"/>
    </row>
    <row r="906" hidden="1">
      <c r="AB906" s="104"/>
      <c r="AC906" s="104"/>
      <c r="AD906" s="104"/>
    </row>
    <row r="907" hidden="1">
      <c r="AB907" s="104"/>
      <c r="AC907" s="104"/>
      <c r="AD907" s="104"/>
    </row>
    <row r="908" hidden="1">
      <c r="AB908" s="104"/>
      <c r="AC908" s="104"/>
      <c r="AD908" s="104"/>
    </row>
    <row r="909" hidden="1">
      <c r="AB909" s="104"/>
      <c r="AC909" s="104"/>
      <c r="AD909" s="104"/>
    </row>
    <row r="910" hidden="1">
      <c r="AB910" s="104"/>
      <c r="AC910" s="104"/>
      <c r="AD910" s="104"/>
    </row>
    <row r="911" hidden="1">
      <c r="AB911" s="104"/>
      <c r="AC911" s="104"/>
      <c r="AD911" s="104"/>
    </row>
    <row r="912" hidden="1">
      <c r="AB912" s="104"/>
      <c r="AC912" s="104"/>
      <c r="AD912" s="104"/>
    </row>
    <row r="913" hidden="1">
      <c r="AB913" s="104"/>
      <c r="AC913" s="104"/>
      <c r="AD913" s="104"/>
    </row>
    <row r="914" hidden="1">
      <c r="AB914" s="104"/>
      <c r="AC914" s="104"/>
      <c r="AD914" s="104"/>
    </row>
    <row r="915" hidden="1">
      <c r="AB915" s="104"/>
      <c r="AC915" s="104"/>
      <c r="AD915" s="104"/>
    </row>
    <row r="916" hidden="1">
      <c r="AB916" s="104"/>
      <c r="AC916" s="104"/>
      <c r="AD916" s="104"/>
    </row>
    <row r="917" hidden="1">
      <c r="AB917" s="104"/>
      <c r="AC917" s="104"/>
      <c r="AD917" s="104"/>
    </row>
    <row r="918" hidden="1">
      <c r="AB918" s="104"/>
      <c r="AC918" s="104"/>
      <c r="AD918" s="104"/>
    </row>
    <row r="919" hidden="1">
      <c r="AB919" s="104"/>
      <c r="AC919" s="104"/>
      <c r="AD919" s="104"/>
    </row>
    <row r="920" hidden="1">
      <c r="AB920" s="104"/>
      <c r="AC920" s="104"/>
      <c r="AD920" s="104"/>
    </row>
    <row r="921" hidden="1">
      <c r="AB921" s="104"/>
      <c r="AC921" s="104"/>
      <c r="AD921" s="104"/>
    </row>
    <row r="922" hidden="1">
      <c r="AB922" s="104"/>
      <c r="AC922" s="104"/>
      <c r="AD922" s="104"/>
    </row>
    <row r="923" hidden="1">
      <c r="AB923" s="104"/>
      <c r="AC923" s="104"/>
      <c r="AD923" s="104"/>
    </row>
    <row r="924" hidden="1">
      <c r="AB924" s="104"/>
      <c r="AC924" s="104"/>
      <c r="AD924" s="104"/>
    </row>
    <row r="925" hidden="1">
      <c r="AB925" s="104"/>
      <c r="AC925" s="104"/>
      <c r="AD925" s="104"/>
    </row>
    <row r="926" hidden="1">
      <c r="AB926" s="104"/>
      <c r="AC926" s="104"/>
      <c r="AD926" s="104"/>
    </row>
    <row r="927" hidden="1">
      <c r="AB927" s="104"/>
      <c r="AC927" s="104"/>
      <c r="AD927" s="104"/>
    </row>
    <row r="928" hidden="1">
      <c r="AB928" s="104"/>
      <c r="AC928" s="104"/>
      <c r="AD928" s="104"/>
    </row>
    <row r="929" hidden="1">
      <c r="AB929" s="104"/>
      <c r="AC929" s="104"/>
      <c r="AD929" s="104"/>
    </row>
    <row r="930" hidden="1">
      <c r="AB930" s="104"/>
      <c r="AC930" s="104"/>
      <c r="AD930" s="104"/>
    </row>
    <row r="931" hidden="1">
      <c r="AB931" s="104"/>
      <c r="AC931" s="104"/>
      <c r="AD931" s="104"/>
    </row>
    <row r="932" hidden="1">
      <c r="AB932" s="104"/>
      <c r="AC932" s="104"/>
      <c r="AD932" s="104"/>
    </row>
    <row r="933" hidden="1">
      <c r="AB933" s="104"/>
      <c r="AC933" s="104"/>
      <c r="AD933" s="104"/>
    </row>
    <row r="934" hidden="1">
      <c r="AB934" s="104"/>
      <c r="AC934" s="104"/>
      <c r="AD934" s="104"/>
    </row>
    <row r="935" hidden="1">
      <c r="AB935" s="104"/>
      <c r="AC935" s="104"/>
      <c r="AD935" s="104"/>
    </row>
    <row r="936" hidden="1">
      <c r="AB936" s="104"/>
      <c r="AC936" s="104"/>
      <c r="AD936" s="104"/>
    </row>
    <row r="937" hidden="1">
      <c r="AB937" s="104"/>
      <c r="AC937" s="104"/>
      <c r="AD937" s="104"/>
    </row>
    <row r="938" hidden="1">
      <c r="AB938" s="104"/>
      <c r="AC938" s="104"/>
      <c r="AD938" s="104"/>
    </row>
    <row r="939" hidden="1">
      <c r="AB939" s="104"/>
      <c r="AC939" s="104"/>
      <c r="AD939" s="104"/>
    </row>
    <row r="940" hidden="1">
      <c r="AB940" s="104"/>
      <c r="AC940" s="104"/>
      <c r="AD940" s="104"/>
    </row>
    <row r="941" hidden="1">
      <c r="AB941" s="104"/>
      <c r="AC941" s="104"/>
      <c r="AD941" s="104"/>
    </row>
    <row r="942" hidden="1">
      <c r="AB942" s="104"/>
      <c r="AC942" s="104"/>
      <c r="AD942" s="104"/>
    </row>
    <row r="943" hidden="1">
      <c r="AB943" s="104"/>
      <c r="AC943" s="104"/>
      <c r="AD943" s="104"/>
    </row>
    <row r="944" hidden="1">
      <c r="AB944" s="104"/>
      <c r="AC944" s="104"/>
      <c r="AD944" s="104"/>
    </row>
    <row r="945" hidden="1">
      <c r="AB945" s="104"/>
      <c r="AC945" s="104"/>
      <c r="AD945" s="104"/>
    </row>
    <row r="946" hidden="1">
      <c r="AB946" s="104"/>
      <c r="AC946" s="104"/>
      <c r="AD946" s="104"/>
    </row>
    <row r="947" hidden="1">
      <c r="AB947" s="104"/>
      <c r="AC947" s="104"/>
      <c r="AD947" s="104"/>
    </row>
    <row r="948" hidden="1">
      <c r="AB948" s="104"/>
      <c r="AC948" s="104"/>
      <c r="AD948" s="104"/>
    </row>
    <row r="949" hidden="1">
      <c r="AB949" s="104"/>
      <c r="AC949" s="104"/>
      <c r="AD949" s="104"/>
    </row>
    <row r="950" hidden="1">
      <c r="AB950" s="104"/>
      <c r="AC950" s="104"/>
      <c r="AD950" s="104"/>
    </row>
    <row r="951" hidden="1">
      <c r="AB951" s="104"/>
      <c r="AC951" s="104"/>
      <c r="AD951" s="104"/>
    </row>
    <row r="952" hidden="1">
      <c r="AB952" s="104"/>
      <c r="AC952" s="104"/>
      <c r="AD952" s="104"/>
    </row>
    <row r="953" hidden="1">
      <c r="AB953" s="104"/>
      <c r="AC953" s="104"/>
      <c r="AD953" s="104"/>
    </row>
    <row r="954" hidden="1">
      <c r="AB954" s="104"/>
      <c r="AC954" s="104"/>
      <c r="AD954" s="104"/>
    </row>
    <row r="955" hidden="1">
      <c r="AB955" s="104"/>
      <c r="AC955" s="104"/>
      <c r="AD955" s="104"/>
    </row>
    <row r="956" hidden="1">
      <c r="AB956" s="104"/>
      <c r="AC956" s="104"/>
      <c r="AD956" s="104"/>
    </row>
    <row r="957" hidden="1">
      <c r="AB957" s="104"/>
      <c r="AC957" s="104"/>
      <c r="AD957" s="104"/>
    </row>
    <row r="958" hidden="1">
      <c r="AB958" s="104"/>
      <c r="AC958" s="104"/>
      <c r="AD958" s="104"/>
    </row>
    <row r="959" hidden="1">
      <c r="AB959" s="104"/>
      <c r="AC959" s="104"/>
      <c r="AD959" s="104"/>
    </row>
    <row r="960" hidden="1">
      <c r="AB960" s="104"/>
      <c r="AC960" s="104"/>
      <c r="AD960" s="104"/>
    </row>
    <row r="961" hidden="1">
      <c r="AB961" s="104"/>
      <c r="AC961" s="104"/>
      <c r="AD961" s="104"/>
    </row>
    <row r="962" hidden="1">
      <c r="AB962" s="104"/>
      <c r="AC962" s="104"/>
      <c r="AD962" s="104"/>
    </row>
    <row r="963" hidden="1">
      <c r="AB963" s="104"/>
      <c r="AC963" s="104"/>
      <c r="AD963" s="104"/>
    </row>
    <row r="964" hidden="1">
      <c r="AB964" s="104"/>
      <c r="AC964" s="104"/>
      <c r="AD964" s="104"/>
    </row>
    <row r="965" hidden="1">
      <c r="AB965" s="104"/>
      <c r="AC965" s="104"/>
      <c r="AD965" s="104"/>
    </row>
    <row r="966" hidden="1">
      <c r="AB966" s="104"/>
      <c r="AC966" s="104"/>
      <c r="AD966" s="104"/>
    </row>
    <row r="967" hidden="1">
      <c r="AB967" s="104"/>
      <c r="AC967" s="104"/>
      <c r="AD967" s="104"/>
    </row>
    <row r="968" hidden="1">
      <c r="AB968" s="104"/>
      <c r="AC968" s="104"/>
      <c r="AD968" s="104"/>
    </row>
    <row r="969" hidden="1">
      <c r="AB969" s="104"/>
      <c r="AC969" s="104"/>
      <c r="AD969" s="104"/>
    </row>
    <row r="970" hidden="1">
      <c r="AB970" s="104"/>
      <c r="AC970" s="104"/>
      <c r="AD970" s="104"/>
    </row>
    <row r="971" hidden="1">
      <c r="AB971" s="104"/>
      <c r="AC971" s="104"/>
      <c r="AD971" s="104"/>
    </row>
    <row r="972" hidden="1">
      <c r="AB972" s="104"/>
      <c r="AC972" s="104"/>
      <c r="AD972" s="104"/>
    </row>
    <row r="973" hidden="1">
      <c r="AB973" s="104"/>
      <c r="AC973" s="104"/>
      <c r="AD973" s="104"/>
    </row>
    <row r="974" hidden="1">
      <c r="AB974" s="104"/>
      <c r="AC974" s="104"/>
      <c r="AD974" s="104"/>
    </row>
    <row r="975" hidden="1">
      <c r="AB975" s="104"/>
      <c r="AC975" s="104"/>
      <c r="AD975" s="104"/>
    </row>
    <row r="976" hidden="1">
      <c r="AB976" s="104"/>
      <c r="AC976" s="104"/>
      <c r="AD976" s="104"/>
    </row>
    <row r="977" hidden="1">
      <c r="AB977" s="104"/>
      <c r="AC977" s="104"/>
      <c r="AD977" s="104"/>
    </row>
    <row r="978" hidden="1">
      <c r="AB978" s="104"/>
      <c r="AC978" s="104"/>
      <c r="AD978" s="104"/>
    </row>
    <row r="979" hidden="1">
      <c r="AB979" s="104"/>
      <c r="AC979" s="104"/>
      <c r="AD979" s="104"/>
    </row>
    <row r="980" hidden="1">
      <c r="AB980" s="104"/>
      <c r="AC980" s="104"/>
      <c r="AD980" s="104"/>
    </row>
    <row r="981" hidden="1">
      <c r="AB981" s="104"/>
      <c r="AC981" s="104"/>
      <c r="AD981" s="104"/>
    </row>
    <row r="982" hidden="1">
      <c r="AB982" s="104"/>
      <c r="AC982" s="104"/>
      <c r="AD982" s="104"/>
    </row>
    <row r="983" hidden="1">
      <c r="AB983" s="104"/>
      <c r="AC983" s="104"/>
      <c r="AD983" s="104"/>
    </row>
    <row r="984" hidden="1">
      <c r="AB984" s="104"/>
      <c r="AC984" s="104"/>
      <c r="AD984" s="104"/>
    </row>
    <row r="985" hidden="1">
      <c r="AB985" s="104"/>
      <c r="AC985" s="104"/>
      <c r="AD985" s="104"/>
    </row>
    <row r="986" hidden="1">
      <c r="AB986" s="104"/>
      <c r="AC986" s="104"/>
      <c r="AD986" s="104"/>
    </row>
    <row r="987" hidden="1">
      <c r="AB987" s="104"/>
      <c r="AC987" s="104"/>
      <c r="AD987" s="104"/>
    </row>
    <row r="988" hidden="1">
      <c r="AB988" s="104"/>
      <c r="AC988" s="104"/>
      <c r="AD988" s="104"/>
    </row>
    <row r="989" hidden="1">
      <c r="AB989" s="104"/>
      <c r="AC989" s="104"/>
      <c r="AD989" s="104"/>
    </row>
    <row r="990" hidden="1">
      <c r="AB990" s="104"/>
      <c r="AC990" s="104"/>
      <c r="AD990" s="104"/>
    </row>
    <row r="991" hidden="1">
      <c r="AB991" s="104"/>
      <c r="AC991" s="104"/>
      <c r="AD991" s="104"/>
    </row>
    <row r="992" hidden="1">
      <c r="AB992" s="104"/>
      <c r="AC992" s="104"/>
      <c r="AD992" s="104"/>
    </row>
    <row r="993" hidden="1">
      <c r="AB993" s="104"/>
      <c r="AC993" s="104"/>
      <c r="AD993" s="104"/>
    </row>
    <row r="994" hidden="1">
      <c r="AB994" s="104"/>
      <c r="AC994" s="104"/>
      <c r="AD994" s="104"/>
    </row>
    <row r="995" hidden="1">
      <c r="AB995" s="104"/>
      <c r="AC995" s="104"/>
      <c r="AD995" s="104"/>
    </row>
    <row r="996" hidden="1">
      <c r="AB996" s="104"/>
      <c r="AC996" s="104"/>
      <c r="AD996" s="104"/>
    </row>
    <row r="997" hidden="1">
      <c r="AB997" s="104"/>
      <c r="AC997" s="104"/>
      <c r="AD997" s="104"/>
    </row>
    <row r="998" hidden="1">
      <c r="AB998" s="104"/>
      <c r="AC998" s="104"/>
      <c r="AD998" s="104"/>
    </row>
    <row r="999" hidden="1">
      <c r="AB999" s="104"/>
      <c r="AC999" s="104"/>
      <c r="AD999" s="104"/>
    </row>
    <row r="1000" hidden="1">
      <c r="AB1000" s="104"/>
      <c r="AC1000" s="104"/>
      <c r="AD1000" s="104"/>
    </row>
    <row r="1001" hidden="1">
      <c r="AB1001" s="104"/>
      <c r="AC1001" s="104"/>
      <c r="AD1001" s="104"/>
    </row>
    <row r="1002" hidden="1">
      <c r="AB1002" s="104"/>
      <c r="AC1002" s="104"/>
      <c r="AD1002" s="104"/>
    </row>
    <row r="1003" hidden="1">
      <c r="AB1003" s="104"/>
      <c r="AC1003" s="104"/>
      <c r="AD1003" s="104"/>
    </row>
    <row r="1004" hidden="1">
      <c r="AB1004" s="104"/>
      <c r="AC1004" s="104"/>
      <c r="AD1004" s="104"/>
    </row>
    <row r="1005" hidden="1">
      <c r="AB1005" s="104"/>
      <c r="AC1005" s="104"/>
      <c r="AD1005" s="104"/>
    </row>
    <row r="1006" hidden="1">
      <c r="AB1006" s="104"/>
      <c r="AC1006" s="104"/>
      <c r="AD1006" s="104"/>
    </row>
    <row r="1007" hidden="1">
      <c r="AB1007" s="104"/>
      <c r="AC1007" s="104"/>
      <c r="AD1007" s="104"/>
    </row>
    <row r="1008" hidden="1">
      <c r="AB1008" s="104"/>
      <c r="AC1008" s="104"/>
      <c r="AD1008" s="104"/>
    </row>
    <row r="1009" hidden="1">
      <c r="AB1009" s="104"/>
      <c r="AC1009" s="104"/>
      <c r="AD1009" s="104"/>
    </row>
    <row r="1010" hidden="1">
      <c r="AB1010" s="104"/>
      <c r="AC1010" s="104"/>
      <c r="AD1010" s="104"/>
    </row>
    <row r="1011" hidden="1">
      <c r="AB1011" s="104"/>
      <c r="AC1011" s="104"/>
      <c r="AD1011" s="104"/>
    </row>
    <row r="1012" hidden="1">
      <c r="AB1012" s="104"/>
      <c r="AC1012" s="104"/>
      <c r="AD1012" s="104"/>
    </row>
    <row r="1013" hidden="1">
      <c r="AB1013" s="104"/>
      <c r="AC1013" s="104"/>
      <c r="AD1013" s="104"/>
    </row>
    <row r="1014" hidden="1">
      <c r="AB1014" s="104"/>
      <c r="AC1014" s="104"/>
      <c r="AD1014" s="104"/>
    </row>
    <row r="1015" hidden="1">
      <c r="AB1015" s="104"/>
      <c r="AC1015" s="104"/>
      <c r="AD1015" s="104"/>
    </row>
    <row r="1016" hidden="1">
      <c r="AB1016" s="104"/>
      <c r="AC1016" s="104"/>
      <c r="AD1016" s="104"/>
    </row>
    <row r="1017" hidden="1">
      <c r="AB1017" s="104"/>
      <c r="AC1017" s="104"/>
      <c r="AD1017" s="104"/>
    </row>
    <row r="1018" hidden="1">
      <c r="AB1018" s="104"/>
      <c r="AC1018" s="104"/>
      <c r="AD1018" s="104"/>
    </row>
    <row r="1019" hidden="1">
      <c r="AB1019" s="104"/>
      <c r="AC1019" s="104"/>
      <c r="AD1019" s="104"/>
    </row>
    <row r="1020" hidden="1">
      <c r="AB1020" s="104"/>
      <c r="AC1020" s="104"/>
      <c r="AD1020" s="104"/>
    </row>
    <row r="1021" hidden="1">
      <c r="AB1021" s="104"/>
      <c r="AC1021" s="104"/>
      <c r="AD1021" s="104"/>
    </row>
    <row r="1022" hidden="1">
      <c r="AB1022" s="104"/>
      <c r="AC1022" s="104"/>
      <c r="AD1022" s="104"/>
    </row>
    <row r="1023" hidden="1">
      <c r="AB1023" s="104"/>
      <c r="AC1023" s="104"/>
      <c r="AD1023" s="104"/>
    </row>
    <row r="1024" hidden="1">
      <c r="AB1024" s="104"/>
      <c r="AC1024" s="104"/>
      <c r="AD1024" s="104"/>
    </row>
    <row r="1025" hidden="1">
      <c r="AB1025" s="104"/>
      <c r="AC1025" s="104"/>
      <c r="AD1025" s="104"/>
    </row>
    <row r="1026" hidden="1">
      <c r="AB1026" s="104"/>
      <c r="AC1026" s="104"/>
      <c r="AD1026" s="104"/>
    </row>
    <row r="1027" hidden="1">
      <c r="AB1027" s="104"/>
      <c r="AC1027" s="104"/>
      <c r="AD1027" s="104"/>
    </row>
    <row r="1028" hidden="1">
      <c r="AB1028" s="104"/>
      <c r="AC1028" s="104"/>
      <c r="AD1028" s="104"/>
    </row>
    <row r="1029" hidden="1">
      <c r="AB1029" s="104"/>
      <c r="AC1029" s="104"/>
      <c r="AD1029" s="104"/>
    </row>
    <row r="1030" hidden="1">
      <c r="AB1030" s="104"/>
      <c r="AC1030" s="104"/>
      <c r="AD1030" s="104"/>
    </row>
    <row r="1031" hidden="1">
      <c r="AB1031" s="104"/>
      <c r="AC1031" s="104"/>
      <c r="AD1031" s="104"/>
    </row>
    <row r="1032" hidden="1">
      <c r="AB1032" s="104"/>
      <c r="AC1032" s="104"/>
      <c r="AD1032" s="104"/>
    </row>
    <row r="1033" hidden="1">
      <c r="AB1033" s="104"/>
      <c r="AC1033" s="104"/>
      <c r="AD1033" s="104"/>
    </row>
    <row r="1034" hidden="1">
      <c r="AB1034" s="104"/>
      <c r="AC1034" s="104"/>
      <c r="AD1034" s="104"/>
    </row>
    <row r="1035" hidden="1">
      <c r="AB1035" s="104"/>
      <c r="AC1035" s="104"/>
      <c r="AD1035" s="104"/>
    </row>
    <row r="1036" hidden="1">
      <c r="AB1036" s="104"/>
      <c r="AC1036" s="104"/>
      <c r="AD1036" s="104"/>
    </row>
    <row r="1037" hidden="1">
      <c r="AB1037" s="104"/>
      <c r="AC1037" s="104"/>
      <c r="AD1037" s="104"/>
    </row>
    <row r="1038" hidden="1">
      <c r="AB1038" s="104"/>
      <c r="AC1038" s="104"/>
      <c r="AD1038" s="104"/>
    </row>
    <row r="1039" hidden="1">
      <c r="AB1039" s="104"/>
      <c r="AC1039" s="104"/>
      <c r="AD1039" s="104"/>
    </row>
    <row r="1040" hidden="1">
      <c r="AB1040" s="104"/>
      <c r="AC1040" s="104"/>
      <c r="AD1040" s="104"/>
    </row>
    <row r="1041" hidden="1">
      <c r="AB1041" s="104"/>
      <c r="AC1041" s="104"/>
      <c r="AD1041" s="104"/>
    </row>
    <row r="1042" hidden="1">
      <c r="AB1042" s="104"/>
      <c r="AC1042" s="104"/>
      <c r="AD1042" s="104"/>
    </row>
    <row r="1043" hidden="1">
      <c r="AB1043" s="104"/>
      <c r="AC1043" s="104"/>
      <c r="AD1043" s="104"/>
    </row>
    <row r="1044" hidden="1">
      <c r="AB1044" s="104"/>
      <c r="AC1044" s="104"/>
      <c r="AD1044" s="104"/>
    </row>
    <row r="1045" hidden="1">
      <c r="AB1045" s="104"/>
      <c r="AC1045" s="104"/>
      <c r="AD1045" s="104"/>
    </row>
    <row r="1046" hidden="1">
      <c r="AB1046" s="104"/>
      <c r="AC1046" s="104"/>
      <c r="AD1046" s="104"/>
    </row>
    <row r="1047" hidden="1">
      <c r="AB1047" s="104"/>
      <c r="AC1047" s="104"/>
      <c r="AD1047" s="104"/>
    </row>
    <row r="1048" hidden="1">
      <c r="AB1048" s="104"/>
      <c r="AC1048" s="104"/>
      <c r="AD1048" s="104"/>
    </row>
    <row r="1049" hidden="1">
      <c r="AB1049" s="104"/>
      <c r="AC1049" s="104"/>
      <c r="AD1049" s="104"/>
    </row>
    <row r="1050" hidden="1">
      <c r="AB1050" s="104"/>
      <c r="AC1050" s="104"/>
      <c r="AD1050" s="104"/>
    </row>
    <row r="1051" hidden="1">
      <c r="AB1051" s="104"/>
      <c r="AC1051" s="104"/>
      <c r="AD1051" s="104"/>
    </row>
    <row r="1052" hidden="1">
      <c r="AB1052" s="104"/>
      <c r="AC1052" s="104"/>
      <c r="AD1052" s="104"/>
    </row>
    <row r="1053" hidden="1">
      <c r="AB1053" s="104"/>
      <c r="AC1053" s="104"/>
      <c r="AD1053" s="104"/>
    </row>
    <row r="1054" hidden="1">
      <c r="AB1054" s="104"/>
      <c r="AC1054" s="104"/>
      <c r="AD1054" s="104"/>
    </row>
    <row r="1055" hidden="1">
      <c r="AB1055" s="104"/>
      <c r="AC1055" s="104"/>
      <c r="AD1055" s="104"/>
    </row>
    <row r="1056" hidden="1">
      <c r="AB1056" s="104"/>
      <c r="AC1056" s="104"/>
      <c r="AD1056" s="104"/>
    </row>
    <row r="1057" hidden="1">
      <c r="AB1057" s="104"/>
      <c r="AC1057" s="104"/>
      <c r="AD1057" s="104"/>
    </row>
    <row r="1058" hidden="1">
      <c r="AB1058" s="104"/>
      <c r="AC1058" s="104"/>
      <c r="AD1058" s="104"/>
    </row>
    <row r="1059" hidden="1">
      <c r="AB1059" s="104"/>
      <c r="AC1059" s="104"/>
      <c r="AD1059" s="104"/>
    </row>
    <row r="1060" hidden="1">
      <c r="AB1060" s="104"/>
      <c r="AC1060" s="104"/>
      <c r="AD1060" s="104"/>
    </row>
    <row r="1061" hidden="1">
      <c r="AB1061" s="104"/>
      <c r="AC1061" s="104"/>
      <c r="AD1061" s="104"/>
    </row>
    <row r="1062" hidden="1">
      <c r="AB1062" s="104"/>
      <c r="AC1062" s="104"/>
      <c r="AD1062" s="104"/>
    </row>
    <row r="1063" hidden="1">
      <c r="AB1063" s="104"/>
      <c r="AC1063" s="104"/>
      <c r="AD1063" s="104"/>
    </row>
    <row r="1064" hidden="1">
      <c r="AB1064" s="104"/>
      <c r="AC1064" s="104"/>
      <c r="AD1064" s="104"/>
    </row>
    <row r="1065" hidden="1">
      <c r="AB1065" s="104"/>
      <c r="AC1065" s="104"/>
      <c r="AD1065" s="104"/>
    </row>
    <row r="1066" hidden="1">
      <c r="AB1066" s="104"/>
      <c r="AC1066" s="104"/>
      <c r="AD1066" s="104"/>
    </row>
    <row r="1067" hidden="1">
      <c r="AB1067" s="104"/>
      <c r="AC1067" s="104"/>
      <c r="AD1067" s="104"/>
    </row>
    <row r="1068" hidden="1">
      <c r="AB1068" s="104"/>
      <c r="AC1068" s="104"/>
      <c r="AD1068" s="104"/>
    </row>
    <row r="1069" hidden="1">
      <c r="AB1069" s="104"/>
      <c r="AC1069" s="104"/>
      <c r="AD1069" s="104"/>
    </row>
    <row r="1070" hidden="1">
      <c r="AB1070" s="104"/>
      <c r="AC1070" s="104"/>
      <c r="AD1070" s="104"/>
    </row>
    <row r="1071" hidden="1">
      <c r="AB1071" s="104"/>
      <c r="AC1071" s="104"/>
      <c r="AD1071" s="104"/>
    </row>
    <row r="1072" hidden="1">
      <c r="AB1072" s="104"/>
      <c r="AC1072" s="104"/>
      <c r="AD1072" s="104"/>
    </row>
    <row r="1073" hidden="1">
      <c r="AB1073" s="104"/>
      <c r="AC1073" s="104"/>
      <c r="AD1073" s="104"/>
    </row>
    <row r="1074" hidden="1">
      <c r="AB1074" s="104"/>
      <c r="AC1074" s="104"/>
      <c r="AD1074" s="104"/>
    </row>
    <row r="1075" hidden="1">
      <c r="AB1075" s="104"/>
      <c r="AC1075" s="104"/>
      <c r="AD1075" s="104"/>
    </row>
    <row r="1076" hidden="1">
      <c r="AB1076" s="104"/>
      <c r="AC1076" s="104"/>
      <c r="AD1076" s="104"/>
    </row>
    <row r="1077" hidden="1">
      <c r="AB1077" s="104"/>
      <c r="AC1077" s="104"/>
      <c r="AD1077" s="104"/>
    </row>
    <row r="1078" hidden="1">
      <c r="AB1078" s="104"/>
      <c r="AC1078" s="104"/>
      <c r="AD1078" s="104"/>
    </row>
    <row r="1079" hidden="1">
      <c r="AB1079" s="104"/>
      <c r="AC1079" s="104"/>
      <c r="AD1079" s="104"/>
    </row>
    <row r="1080" hidden="1">
      <c r="AB1080" s="104"/>
      <c r="AC1080" s="104"/>
      <c r="AD1080" s="104"/>
    </row>
    <row r="1081" hidden="1">
      <c r="AB1081" s="104"/>
      <c r="AC1081" s="104"/>
      <c r="AD1081" s="104"/>
    </row>
    <row r="1082" hidden="1">
      <c r="AB1082" s="104"/>
      <c r="AC1082" s="104"/>
      <c r="AD1082" s="104"/>
    </row>
    <row r="1083" hidden="1">
      <c r="AB1083" s="104"/>
      <c r="AC1083" s="104"/>
      <c r="AD1083" s="104"/>
    </row>
    <row r="1084" hidden="1">
      <c r="AB1084" s="104"/>
      <c r="AC1084" s="104"/>
      <c r="AD1084" s="104"/>
    </row>
    <row r="1085" hidden="1">
      <c r="AB1085" s="104"/>
      <c r="AC1085" s="104"/>
      <c r="AD1085" s="104"/>
    </row>
    <row r="1086" hidden="1">
      <c r="AB1086" s="104"/>
      <c r="AC1086" s="104"/>
      <c r="AD1086" s="104"/>
    </row>
    <row r="1087" hidden="1">
      <c r="AB1087" s="104"/>
      <c r="AC1087" s="104"/>
      <c r="AD1087" s="104"/>
    </row>
    <row r="1088" hidden="1">
      <c r="AB1088" s="104"/>
      <c r="AC1088" s="104"/>
      <c r="AD1088" s="104"/>
    </row>
    <row r="1089" hidden="1">
      <c r="AB1089" s="104"/>
      <c r="AC1089" s="104"/>
      <c r="AD1089" s="104"/>
    </row>
    <row r="1090" hidden="1">
      <c r="AB1090" s="104"/>
      <c r="AC1090" s="104"/>
      <c r="AD1090" s="104"/>
    </row>
    <row r="1091" hidden="1">
      <c r="AB1091" s="104"/>
      <c r="AC1091" s="104"/>
      <c r="AD1091" s="104"/>
    </row>
    <row r="1092" hidden="1">
      <c r="AB1092" s="104"/>
      <c r="AC1092" s="104"/>
      <c r="AD1092" s="104"/>
    </row>
    <row r="1093" hidden="1">
      <c r="AB1093" s="104"/>
      <c r="AC1093" s="104"/>
      <c r="AD1093" s="104"/>
    </row>
    <row r="1094" hidden="1">
      <c r="AB1094" s="104"/>
      <c r="AC1094" s="104"/>
      <c r="AD1094" s="104"/>
    </row>
    <row r="1095" hidden="1">
      <c r="AB1095" s="104"/>
      <c r="AC1095" s="104"/>
      <c r="AD1095" s="104"/>
    </row>
    <row r="1096" hidden="1">
      <c r="AB1096" s="104"/>
      <c r="AC1096" s="104"/>
      <c r="AD1096" s="104"/>
    </row>
    <row r="1097" hidden="1">
      <c r="AB1097" s="104"/>
      <c r="AC1097" s="104"/>
      <c r="AD1097" s="104"/>
    </row>
    <row r="1098" hidden="1">
      <c r="AB1098" s="104"/>
      <c r="AC1098" s="104"/>
      <c r="AD1098" s="104"/>
    </row>
    <row r="1099" hidden="1">
      <c r="AB1099" s="104"/>
      <c r="AC1099" s="104"/>
      <c r="AD1099" s="104"/>
    </row>
    <row r="1100" hidden="1">
      <c r="AB1100" s="104"/>
      <c r="AC1100" s="104"/>
      <c r="AD1100" s="104"/>
    </row>
    <row r="1101" hidden="1">
      <c r="AB1101" s="104"/>
      <c r="AC1101" s="104"/>
      <c r="AD1101" s="104"/>
    </row>
    <row r="1102" hidden="1">
      <c r="AB1102" s="104"/>
      <c r="AC1102" s="104"/>
      <c r="AD1102" s="104"/>
    </row>
    <row r="1103" hidden="1">
      <c r="AB1103" s="104"/>
      <c r="AC1103" s="104"/>
      <c r="AD1103" s="104"/>
    </row>
    <row r="1104" hidden="1">
      <c r="AB1104" s="104"/>
      <c r="AC1104" s="104"/>
      <c r="AD1104" s="104"/>
    </row>
    <row r="1105" hidden="1">
      <c r="AB1105" s="104"/>
      <c r="AC1105" s="104"/>
      <c r="AD1105" s="104"/>
    </row>
    <row r="1106" hidden="1">
      <c r="AB1106" s="104"/>
      <c r="AC1106" s="104"/>
      <c r="AD1106" s="104"/>
    </row>
    <row r="1107" hidden="1">
      <c r="AB1107" s="104"/>
      <c r="AC1107" s="104"/>
      <c r="AD1107" s="104"/>
    </row>
    <row r="1108" hidden="1">
      <c r="AB1108" s="104"/>
      <c r="AC1108" s="104"/>
      <c r="AD1108" s="104"/>
    </row>
    <row r="1109" hidden="1">
      <c r="AB1109" s="104"/>
      <c r="AC1109" s="104"/>
      <c r="AD1109" s="104"/>
    </row>
    <row r="1110" hidden="1">
      <c r="AB1110" s="104"/>
      <c r="AC1110" s="104"/>
      <c r="AD1110" s="104"/>
    </row>
    <row r="1111" hidden="1">
      <c r="AB1111" s="104"/>
      <c r="AC1111" s="104"/>
      <c r="AD1111" s="104"/>
    </row>
    <row r="1112" hidden="1">
      <c r="AB1112" s="104"/>
      <c r="AC1112" s="104"/>
      <c r="AD1112" s="104"/>
    </row>
    <row r="1113" hidden="1">
      <c r="AB1113" s="104"/>
      <c r="AC1113" s="104"/>
      <c r="AD1113" s="104"/>
    </row>
    <row r="1114" hidden="1">
      <c r="AB1114" s="104"/>
      <c r="AC1114" s="104"/>
      <c r="AD1114" s="104"/>
    </row>
    <row r="1115" hidden="1">
      <c r="AB1115" s="104"/>
      <c r="AC1115" s="104"/>
      <c r="AD1115" s="104"/>
    </row>
    <row r="1116" hidden="1">
      <c r="AB1116" s="104"/>
      <c r="AC1116" s="104"/>
      <c r="AD1116" s="104"/>
    </row>
    <row r="1117" hidden="1">
      <c r="AB1117" s="104"/>
      <c r="AC1117" s="104"/>
      <c r="AD1117" s="104"/>
    </row>
    <row r="1118" hidden="1">
      <c r="AB1118" s="104"/>
      <c r="AC1118" s="104"/>
      <c r="AD1118" s="104"/>
    </row>
    <row r="1119" hidden="1">
      <c r="AB1119" s="104"/>
      <c r="AC1119" s="104"/>
      <c r="AD1119" s="104"/>
    </row>
    <row r="1120" hidden="1">
      <c r="AB1120" s="104"/>
      <c r="AC1120" s="104"/>
      <c r="AD1120" s="104"/>
    </row>
    <row r="1121" hidden="1">
      <c r="AB1121" s="104"/>
      <c r="AC1121" s="104"/>
      <c r="AD1121" s="104"/>
    </row>
    <row r="1122" hidden="1">
      <c r="AB1122" s="104"/>
      <c r="AC1122" s="104"/>
      <c r="AD1122" s="104"/>
    </row>
    <row r="1123" hidden="1">
      <c r="AB1123" s="104"/>
      <c r="AC1123" s="104"/>
      <c r="AD1123" s="104"/>
    </row>
    <row r="1124" hidden="1">
      <c r="AB1124" s="104"/>
      <c r="AC1124" s="104"/>
      <c r="AD1124" s="104"/>
    </row>
    <row r="1125" hidden="1">
      <c r="AB1125" s="104"/>
      <c r="AC1125" s="104"/>
      <c r="AD1125" s="104"/>
    </row>
    <row r="1126" hidden="1">
      <c r="AB1126" s="104"/>
      <c r="AC1126" s="104"/>
      <c r="AD1126" s="104"/>
    </row>
    <row r="1127" hidden="1">
      <c r="AB1127" s="104"/>
      <c r="AC1127" s="104"/>
      <c r="AD1127" s="104"/>
    </row>
    <row r="1128" hidden="1">
      <c r="AB1128" s="104"/>
      <c r="AC1128" s="104"/>
      <c r="AD1128" s="104"/>
    </row>
    <row r="1129" hidden="1">
      <c r="AB1129" s="104"/>
      <c r="AC1129" s="104"/>
      <c r="AD1129" s="104"/>
    </row>
    <row r="1130" hidden="1">
      <c r="AB1130" s="104"/>
      <c r="AC1130" s="104"/>
      <c r="AD1130" s="104"/>
    </row>
    <row r="1131" hidden="1">
      <c r="AB1131" s="104"/>
      <c r="AC1131" s="104"/>
      <c r="AD1131" s="104"/>
    </row>
    <row r="1132" hidden="1">
      <c r="AB1132" s="104"/>
      <c r="AC1132" s="104"/>
      <c r="AD1132" s="104"/>
    </row>
    <row r="1133" hidden="1">
      <c r="AB1133" s="104"/>
      <c r="AC1133" s="104"/>
      <c r="AD1133" s="104"/>
    </row>
    <row r="1134" hidden="1">
      <c r="AB1134" s="104"/>
      <c r="AC1134" s="104"/>
      <c r="AD1134" s="104"/>
    </row>
    <row r="1135" hidden="1">
      <c r="AB1135" s="104"/>
      <c r="AC1135" s="104"/>
      <c r="AD1135" s="104"/>
    </row>
    <row r="1136" hidden="1">
      <c r="AB1136" s="104"/>
      <c r="AC1136" s="104"/>
      <c r="AD1136" s="104"/>
    </row>
    <row r="1137" hidden="1">
      <c r="AB1137" s="104"/>
      <c r="AC1137" s="104"/>
      <c r="AD1137" s="104"/>
    </row>
    <row r="1138" hidden="1">
      <c r="AB1138" s="104"/>
      <c r="AC1138" s="104"/>
      <c r="AD1138" s="104"/>
    </row>
    <row r="1139" hidden="1">
      <c r="AB1139" s="104"/>
      <c r="AC1139" s="104"/>
      <c r="AD1139" s="104"/>
    </row>
    <row r="1140" hidden="1">
      <c r="AB1140" s="104"/>
      <c r="AC1140" s="104"/>
      <c r="AD1140" s="104"/>
    </row>
    <row r="1141" hidden="1">
      <c r="AB1141" s="104"/>
      <c r="AC1141" s="104"/>
      <c r="AD1141" s="104"/>
    </row>
    <row r="1142" hidden="1">
      <c r="AB1142" s="104"/>
      <c r="AC1142" s="104"/>
      <c r="AD1142" s="104"/>
    </row>
    <row r="1143" hidden="1">
      <c r="AB1143" s="104"/>
      <c r="AC1143" s="104"/>
      <c r="AD1143" s="104"/>
    </row>
    <row r="1144" hidden="1">
      <c r="AB1144" s="104"/>
      <c r="AC1144" s="104"/>
      <c r="AD1144" s="104"/>
    </row>
    <row r="1145" hidden="1">
      <c r="AB1145" s="104"/>
      <c r="AC1145" s="104"/>
      <c r="AD1145" s="104"/>
    </row>
    <row r="1146" hidden="1">
      <c r="AB1146" s="104"/>
      <c r="AC1146" s="104"/>
      <c r="AD1146" s="104"/>
    </row>
    <row r="1147" hidden="1">
      <c r="AB1147" s="104"/>
      <c r="AC1147" s="104"/>
      <c r="AD1147" s="104"/>
    </row>
    <row r="1148" hidden="1">
      <c r="AB1148" s="104"/>
      <c r="AC1148" s="104"/>
      <c r="AD1148" s="104"/>
    </row>
    <row r="1149" hidden="1">
      <c r="AB1149" s="104"/>
      <c r="AC1149" s="104"/>
      <c r="AD1149" s="104"/>
    </row>
    <row r="1150" hidden="1">
      <c r="AB1150" s="104"/>
      <c r="AC1150" s="104"/>
      <c r="AD1150" s="104"/>
    </row>
    <row r="1151" hidden="1">
      <c r="AB1151" s="104"/>
      <c r="AC1151" s="104"/>
      <c r="AD1151" s="104"/>
    </row>
    <row r="1152" hidden="1">
      <c r="AB1152" s="104"/>
      <c r="AC1152" s="104"/>
      <c r="AD1152" s="104"/>
    </row>
    <row r="1153" hidden="1">
      <c r="AB1153" s="104"/>
      <c r="AC1153" s="104"/>
      <c r="AD1153" s="104"/>
    </row>
    <row r="1154" hidden="1">
      <c r="AB1154" s="104"/>
      <c r="AC1154" s="104"/>
      <c r="AD1154" s="104"/>
    </row>
    <row r="1155" hidden="1">
      <c r="AB1155" s="104"/>
      <c r="AC1155" s="104"/>
      <c r="AD1155" s="104"/>
    </row>
    <row r="1156" hidden="1">
      <c r="AB1156" s="104"/>
      <c r="AC1156" s="104"/>
      <c r="AD1156" s="104"/>
    </row>
    <row r="1157" hidden="1">
      <c r="AB1157" s="104"/>
      <c r="AC1157" s="104"/>
      <c r="AD1157" s="104"/>
    </row>
    <row r="1158" hidden="1">
      <c r="AB1158" s="104"/>
      <c r="AC1158" s="104"/>
      <c r="AD1158" s="104"/>
    </row>
    <row r="1159" hidden="1">
      <c r="AB1159" s="104"/>
      <c r="AC1159" s="104"/>
      <c r="AD1159" s="104"/>
    </row>
    <row r="1160" hidden="1">
      <c r="AB1160" s="104"/>
      <c r="AC1160" s="104"/>
      <c r="AD1160" s="104"/>
    </row>
    <row r="1161" hidden="1">
      <c r="AB1161" s="104"/>
      <c r="AC1161" s="104"/>
      <c r="AD1161" s="104"/>
    </row>
    <row r="1162" hidden="1">
      <c r="AB1162" s="104"/>
      <c r="AC1162" s="104"/>
      <c r="AD1162" s="104"/>
    </row>
    <row r="1163" hidden="1">
      <c r="AB1163" s="104"/>
      <c r="AC1163" s="104"/>
      <c r="AD1163" s="104"/>
    </row>
    <row r="1164" hidden="1">
      <c r="AB1164" s="104"/>
      <c r="AC1164" s="104"/>
      <c r="AD1164" s="104"/>
    </row>
    <row r="1165" hidden="1">
      <c r="AB1165" s="104"/>
      <c r="AC1165" s="104"/>
      <c r="AD1165" s="104"/>
    </row>
    <row r="1166" hidden="1">
      <c r="AB1166" s="104"/>
      <c r="AC1166" s="104"/>
      <c r="AD1166" s="104"/>
    </row>
    <row r="1167" hidden="1">
      <c r="AB1167" s="104"/>
      <c r="AC1167" s="104"/>
      <c r="AD1167" s="104"/>
    </row>
    <row r="1168" hidden="1">
      <c r="AB1168" s="104"/>
      <c r="AC1168" s="104"/>
      <c r="AD1168" s="104"/>
    </row>
    <row r="1169" hidden="1">
      <c r="AB1169" s="104"/>
      <c r="AC1169" s="104"/>
      <c r="AD1169" s="104"/>
    </row>
    <row r="1170" hidden="1">
      <c r="AB1170" s="104"/>
      <c r="AC1170" s="104"/>
      <c r="AD1170" s="104"/>
    </row>
    <row r="1171" hidden="1">
      <c r="AB1171" s="104"/>
      <c r="AC1171" s="104"/>
      <c r="AD1171" s="104"/>
    </row>
    <row r="1172" hidden="1">
      <c r="AB1172" s="104"/>
      <c r="AC1172" s="104"/>
      <c r="AD1172" s="104"/>
    </row>
    <row r="1173" hidden="1">
      <c r="AB1173" s="104"/>
      <c r="AC1173" s="104"/>
      <c r="AD1173" s="104"/>
    </row>
    <row r="1174" hidden="1">
      <c r="AB1174" s="104"/>
      <c r="AC1174" s="104"/>
      <c r="AD1174" s="104"/>
    </row>
    <row r="1175" hidden="1">
      <c r="AB1175" s="104"/>
      <c r="AC1175" s="104"/>
      <c r="AD1175" s="104"/>
    </row>
    <row r="1176" hidden="1">
      <c r="AB1176" s="104"/>
      <c r="AC1176" s="104"/>
      <c r="AD1176" s="104"/>
    </row>
    <row r="1177" hidden="1">
      <c r="AB1177" s="104"/>
      <c r="AC1177" s="104"/>
      <c r="AD1177" s="104"/>
    </row>
    <row r="1178" hidden="1">
      <c r="AB1178" s="104"/>
      <c r="AC1178" s="104"/>
      <c r="AD1178" s="104"/>
    </row>
    <row r="1179" hidden="1">
      <c r="AB1179" s="104"/>
      <c r="AC1179" s="104"/>
      <c r="AD1179" s="104"/>
    </row>
    <row r="1180" hidden="1">
      <c r="AB1180" s="104"/>
      <c r="AC1180" s="104"/>
      <c r="AD1180" s="104"/>
    </row>
    <row r="1181" hidden="1">
      <c r="AB1181" s="104"/>
      <c r="AC1181" s="104"/>
      <c r="AD1181" s="104"/>
    </row>
    <row r="1182" hidden="1">
      <c r="AB1182" s="104"/>
      <c r="AC1182" s="104"/>
      <c r="AD1182" s="104"/>
    </row>
    <row r="1183" hidden="1">
      <c r="AB1183" s="104"/>
      <c r="AC1183" s="104"/>
      <c r="AD1183" s="104"/>
    </row>
    <row r="1184" hidden="1">
      <c r="AB1184" s="104"/>
      <c r="AC1184" s="104"/>
      <c r="AD1184" s="104"/>
    </row>
    <row r="1185" hidden="1">
      <c r="AB1185" s="104"/>
      <c r="AC1185" s="104"/>
      <c r="AD1185" s="104"/>
    </row>
    <row r="1186" hidden="1">
      <c r="AB1186" s="104"/>
      <c r="AC1186" s="104"/>
      <c r="AD1186" s="104"/>
    </row>
    <row r="1187" hidden="1">
      <c r="AB1187" s="104"/>
      <c r="AC1187" s="104"/>
      <c r="AD1187" s="104"/>
    </row>
    <row r="1188" hidden="1">
      <c r="AB1188" s="104"/>
      <c r="AC1188" s="104"/>
      <c r="AD1188" s="104"/>
    </row>
    <row r="1189" hidden="1">
      <c r="AB1189" s="104"/>
      <c r="AC1189" s="104"/>
      <c r="AD1189" s="104"/>
    </row>
    <row r="1190" hidden="1">
      <c r="AB1190" s="104"/>
      <c r="AC1190" s="104"/>
      <c r="AD1190" s="104"/>
    </row>
    <row r="1191" hidden="1">
      <c r="AB1191" s="104"/>
      <c r="AC1191" s="104"/>
      <c r="AD1191" s="104"/>
    </row>
    <row r="1192" hidden="1">
      <c r="AB1192" s="104"/>
      <c r="AC1192" s="104"/>
      <c r="AD1192" s="104"/>
    </row>
    <row r="1193" hidden="1">
      <c r="AB1193" s="104"/>
      <c r="AC1193" s="104"/>
      <c r="AD1193" s="104"/>
    </row>
    <row r="1194" hidden="1">
      <c r="AB1194" s="104"/>
      <c r="AC1194" s="104"/>
      <c r="AD1194" s="104"/>
    </row>
    <row r="1195" hidden="1">
      <c r="AB1195" s="104"/>
      <c r="AC1195" s="104"/>
      <c r="AD1195" s="104"/>
    </row>
    <row r="1196" hidden="1">
      <c r="AB1196" s="104"/>
      <c r="AC1196" s="104"/>
      <c r="AD1196" s="104"/>
    </row>
    <row r="1197" hidden="1">
      <c r="AB1197" s="104"/>
      <c r="AC1197" s="104"/>
      <c r="AD1197" s="104"/>
    </row>
    <row r="1198" hidden="1">
      <c r="AB1198" s="104"/>
      <c r="AC1198" s="104"/>
      <c r="AD1198" s="104"/>
    </row>
    <row r="1199" hidden="1">
      <c r="AB1199" s="104"/>
      <c r="AC1199" s="104"/>
      <c r="AD1199" s="104"/>
    </row>
    <row r="1200" hidden="1">
      <c r="AB1200" s="104"/>
      <c r="AC1200" s="104"/>
      <c r="AD1200" s="104"/>
    </row>
    <row r="1201" hidden="1">
      <c r="AB1201" s="104"/>
      <c r="AC1201" s="104"/>
      <c r="AD1201" s="104"/>
    </row>
    <row r="1202" hidden="1">
      <c r="AB1202" s="104"/>
      <c r="AC1202" s="104"/>
      <c r="AD1202" s="104"/>
    </row>
    <row r="1203" hidden="1">
      <c r="AB1203" s="104"/>
      <c r="AC1203" s="104"/>
      <c r="AD1203" s="104"/>
    </row>
    <row r="1204" hidden="1">
      <c r="AB1204" s="104"/>
      <c r="AC1204" s="104"/>
      <c r="AD1204" s="104"/>
    </row>
    <row r="1205" hidden="1">
      <c r="AB1205" s="104"/>
      <c r="AC1205" s="104"/>
      <c r="AD1205" s="104"/>
    </row>
    <row r="1206" hidden="1">
      <c r="AB1206" s="104"/>
      <c r="AC1206" s="104"/>
      <c r="AD1206" s="104"/>
    </row>
    <row r="1207" hidden="1">
      <c r="AB1207" s="104"/>
      <c r="AC1207" s="104"/>
      <c r="AD1207" s="104"/>
    </row>
    <row r="1208" hidden="1">
      <c r="AB1208" s="104"/>
      <c r="AC1208" s="104"/>
      <c r="AD1208" s="104"/>
    </row>
    <row r="1209" hidden="1">
      <c r="AB1209" s="104"/>
      <c r="AC1209" s="104"/>
      <c r="AD1209" s="104"/>
    </row>
    <row r="1210" hidden="1">
      <c r="AB1210" s="104"/>
      <c r="AC1210" s="104"/>
      <c r="AD1210" s="104"/>
    </row>
    <row r="1211" hidden="1">
      <c r="AB1211" s="104"/>
      <c r="AC1211" s="104"/>
      <c r="AD1211" s="104"/>
    </row>
    <row r="1212" hidden="1">
      <c r="AB1212" s="104"/>
      <c r="AC1212" s="104"/>
      <c r="AD1212" s="104"/>
    </row>
    <row r="1213" hidden="1">
      <c r="AB1213" s="104"/>
      <c r="AC1213" s="104"/>
      <c r="AD1213" s="104"/>
    </row>
    <row r="1214" hidden="1">
      <c r="AB1214" s="104"/>
      <c r="AC1214" s="104"/>
      <c r="AD1214" s="104"/>
    </row>
    <row r="1215" hidden="1">
      <c r="AB1215" s="104"/>
      <c r="AC1215" s="104"/>
      <c r="AD1215" s="104"/>
    </row>
    <row r="1216" hidden="1">
      <c r="AB1216" s="104"/>
      <c r="AC1216" s="104"/>
      <c r="AD1216" s="104"/>
    </row>
    <row r="1217" hidden="1">
      <c r="AB1217" s="104"/>
      <c r="AC1217" s="104"/>
      <c r="AD1217" s="104"/>
    </row>
    <row r="1218" hidden="1">
      <c r="AB1218" s="104"/>
      <c r="AC1218" s="104"/>
      <c r="AD1218" s="104"/>
    </row>
    <row r="1219" hidden="1">
      <c r="AB1219" s="104"/>
      <c r="AC1219" s="104"/>
      <c r="AD1219" s="104"/>
    </row>
    <row r="1220" hidden="1">
      <c r="AB1220" s="104"/>
      <c r="AC1220" s="104"/>
      <c r="AD1220" s="104"/>
    </row>
    <row r="1221" hidden="1">
      <c r="AB1221" s="104"/>
      <c r="AC1221" s="104"/>
      <c r="AD1221" s="104"/>
    </row>
    <row r="1222" hidden="1">
      <c r="AB1222" s="104"/>
      <c r="AC1222" s="104"/>
      <c r="AD1222" s="104"/>
    </row>
    <row r="1223" hidden="1">
      <c r="AB1223" s="104"/>
      <c r="AC1223" s="104"/>
      <c r="AD1223" s="104"/>
    </row>
    <row r="1224" hidden="1">
      <c r="AB1224" s="104"/>
      <c r="AC1224" s="104"/>
      <c r="AD1224" s="104"/>
    </row>
    <row r="1225" hidden="1">
      <c r="AB1225" s="104"/>
      <c r="AC1225" s="104"/>
      <c r="AD1225" s="104"/>
    </row>
    <row r="1226" hidden="1">
      <c r="AB1226" s="104"/>
      <c r="AC1226" s="104"/>
      <c r="AD1226" s="104"/>
    </row>
    <row r="1227" hidden="1">
      <c r="AB1227" s="104"/>
      <c r="AC1227" s="104"/>
      <c r="AD1227" s="104"/>
    </row>
    <row r="1228" hidden="1">
      <c r="AB1228" s="104"/>
      <c r="AC1228" s="104"/>
      <c r="AD1228" s="104"/>
    </row>
    <row r="1229" hidden="1">
      <c r="AB1229" s="104"/>
      <c r="AC1229" s="104"/>
      <c r="AD1229" s="104"/>
    </row>
    <row r="1230" hidden="1">
      <c r="AB1230" s="104"/>
      <c r="AC1230" s="104"/>
      <c r="AD1230" s="104"/>
    </row>
    <row r="1231" hidden="1">
      <c r="AB1231" s="104"/>
      <c r="AC1231" s="104"/>
      <c r="AD1231" s="104"/>
    </row>
    <row r="1232" hidden="1">
      <c r="AB1232" s="104"/>
      <c r="AC1232" s="104"/>
      <c r="AD1232" s="104"/>
    </row>
    <row r="1233" hidden="1">
      <c r="AB1233" s="104"/>
      <c r="AC1233" s="104"/>
      <c r="AD1233" s="104"/>
    </row>
    <row r="1234" hidden="1">
      <c r="AB1234" s="104"/>
      <c r="AC1234" s="104"/>
      <c r="AD1234" s="104"/>
    </row>
    <row r="1235" hidden="1">
      <c r="AB1235" s="104"/>
      <c r="AC1235" s="104"/>
      <c r="AD1235" s="104"/>
    </row>
    <row r="1236" hidden="1">
      <c r="AB1236" s="104"/>
      <c r="AC1236" s="104"/>
      <c r="AD1236" s="104"/>
    </row>
    <row r="1237" hidden="1">
      <c r="AB1237" s="104"/>
      <c r="AC1237" s="104"/>
      <c r="AD1237" s="104"/>
    </row>
    <row r="1238" hidden="1">
      <c r="AB1238" s="104"/>
      <c r="AC1238" s="104"/>
      <c r="AD1238" s="104"/>
    </row>
    <row r="1239" hidden="1">
      <c r="AB1239" s="104"/>
      <c r="AC1239" s="104"/>
      <c r="AD1239" s="104"/>
    </row>
    <row r="1240" hidden="1">
      <c r="AB1240" s="104"/>
      <c r="AC1240" s="104"/>
      <c r="AD1240" s="104"/>
    </row>
    <row r="1241" hidden="1">
      <c r="AB1241" s="104"/>
      <c r="AC1241" s="104"/>
      <c r="AD1241" s="104"/>
    </row>
    <row r="1242" hidden="1">
      <c r="AB1242" s="104"/>
      <c r="AC1242" s="104"/>
      <c r="AD1242" s="104"/>
    </row>
    <row r="1243" hidden="1">
      <c r="AB1243" s="104"/>
      <c r="AC1243" s="104"/>
      <c r="AD1243" s="104"/>
    </row>
    <row r="1244" hidden="1">
      <c r="AB1244" s="104"/>
      <c r="AC1244" s="104"/>
      <c r="AD1244" s="104"/>
    </row>
    <row r="1245" hidden="1">
      <c r="AB1245" s="104"/>
      <c r="AC1245" s="104"/>
      <c r="AD1245" s="104"/>
    </row>
    <row r="1246" hidden="1">
      <c r="AB1246" s="104"/>
      <c r="AC1246" s="104"/>
      <c r="AD1246" s="104"/>
    </row>
    <row r="1247" hidden="1">
      <c r="AB1247" s="104"/>
      <c r="AC1247" s="104"/>
      <c r="AD1247" s="104"/>
    </row>
    <row r="1248" hidden="1">
      <c r="AB1248" s="104"/>
      <c r="AC1248" s="104"/>
      <c r="AD1248" s="104"/>
    </row>
    <row r="1249" hidden="1">
      <c r="AB1249" s="104"/>
      <c r="AC1249" s="104"/>
      <c r="AD1249" s="104"/>
    </row>
    <row r="1250" hidden="1">
      <c r="AB1250" s="104"/>
      <c r="AC1250" s="104"/>
      <c r="AD1250" s="104"/>
    </row>
    <row r="1251" hidden="1">
      <c r="AB1251" s="104"/>
      <c r="AC1251" s="104"/>
      <c r="AD1251" s="104"/>
    </row>
    <row r="1252" hidden="1">
      <c r="AB1252" s="104"/>
      <c r="AC1252" s="104"/>
      <c r="AD1252" s="104"/>
    </row>
    <row r="1253" hidden="1">
      <c r="AB1253" s="104"/>
      <c r="AC1253" s="104"/>
      <c r="AD1253" s="104"/>
    </row>
    <row r="1254" hidden="1">
      <c r="AB1254" s="104"/>
      <c r="AC1254" s="104"/>
      <c r="AD1254" s="104"/>
    </row>
    <row r="1255" hidden="1">
      <c r="AB1255" s="104"/>
      <c r="AC1255" s="104"/>
      <c r="AD1255" s="104"/>
    </row>
    <row r="1256" hidden="1">
      <c r="AB1256" s="104"/>
      <c r="AC1256" s="104"/>
      <c r="AD1256" s="104"/>
    </row>
    <row r="1257" hidden="1">
      <c r="AB1257" s="104"/>
      <c r="AC1257" s="104"/>
      <c r="AD1257" s="104"/>
    </row>
    <row r="1258" hidden="1">
      <c r="AB1258" s="104"/>
      <c r="AC1258" s="104"/>
      <c r="AD1258" s="104"/>
    </row>
    <row r="1259" hidden="1">
      <c r="AB1259" s="104"/>
      <c r="AC1259" s="104"/>
      <c r="AD1259" s="104"/>
    </row>
    <row r="1260" hidden="1">
      <c r="AB1260" s="104"/>
      <c r="AC1260" s="104"/>
      <c r="AD1260" s="104"/>
    </row>
    <row r="1261" hidden="1">
      <c r="AB1261" s="104"/>
      <c r="AC1261" s="104"/>
      <c r="AD1261" s="104"/>
    </row>
    <row r="1262" hidden="1">
      <c r="AB1262" s="104"/>
      <c r="AC1262" s="104"/>
      <c r="AD1262" s="104"/>
    </row>
    <row r="1263" hidden="1">
      <c r="AB1263" s="104"/>
      <c r="AC1263" s="104"/>
      <c r="AD1263" s="104"/>
    </row>
    <row r="1264" hidden="1">
      <c r="AB1264" s="104"/>
      <c r="AC1264" s="104"/>
      <c r="AD1264" s="104"/>
    </row>
    <row r="1265" hidden="1">
      <c r="AB1265" s="104"/>
      <c r="AC1265" s="104"/>
      <c r="AD1265" s="104"/>
    </row>
    <row r="1266" hidden="1">
      <c r="AB1266" s="104"/>
      <c r="AC1266" s="104"/>
      <c r="AD1266" s="104"/>
    </row>
    <row r="1267" hidden="1">
      <c r="AB1267" s="104"/>
      <c r="AC1267" s="104"/>
      <c r="AD1267" s="104"/>
    </row>
    <row r="1268" hidden="1">
      <c r="AB1268" s="104"/>
      <c r="AC1268" s="104"/>
      <c r="AD1268" s="104"/>
    </row>
    <row r="1269" hidden="1">
      <c r="AB1269" s="104"/>
      <c r="AC1269" s="104"/>
      <c r="AD1269" s="104"/>
    </row>
    <row r="1270" hidden="1">
      <c r="AB1270" s="104"/>
      <c r="AC1270" s="104"/>
      <c r="AD1270" s="104"/>
    </row>
    <row r="1271" hidden="1">
      <c r="AB1271" s="104"/>
      <c r="AC1271" s="104"/>
      <c r="AD1271" s="104"/>
    </row>
    <row r="1272" hidden="1">
      <c r="AB1272" s="104"/>
      <c r="AC1272" s="104"/>
      <c r="AD1272" s="104"/>
    </row>
    <row r="1273" hidden="1">
      <c r="AB1273" s="104"/>
      <c r="AC1273" s="104"/>
      <c r="AD1273" s="104"/>
    </row>
    <row r="1274" hidden="1">
      <c r="AB1274" s="104"/>
      <c r="AC1274" s="104"/>
      <c r="AD1274" s="104"/>
    </row>
    <row r="1275" hidden="1">
      <c r="AB1275" s="104"/>
      <c r="AC1275" s="104"/>
      <c r="AD1275" s="104"/>
    </row>
    <row r="1276" hidden="1">
      <c r="AB1276" s="104"/>
      <c r="AC1276" s="104"/>
      <c r="AD1276" s="104"/>
    </row>
    <row r="1277" hidden="1">
      <c r="AB1277" s="104"/>
      <c r="AC1277" s="104"/>
      <c r="AD1277" s="104"/>
    </row>
    <row r="1278" hidden="1">
      <c r="AB1278" s="104"/>
      <c r="AC1278" s="104"/>
      <c r="AD1278" s="104"/>
    </row>
    <row r="1279" hidden="1">
      <c r="AB1279" s="104"/>
      <c r="AC1279" s="104"/>
      <c r="AD1279" s="104"/>
    </row>
    <row r="1280" hidden="1">
      <c r="AB1280" s="104"/>
      <c r="AC1280" s="104"/>
      <c r="AD1280" s="104"/>
    </row>
    <row r="1281" hidden="1">
      <c r="AB1281" s="104"/>
      <c r="AC1281" s="104"/>
      <c r="AD1281" s="104"/>
    </row>
    <row r="1282" hidden="1">
      <c r="AB1282" s="104"/>
      <c r="AC1282" s="104"/>
      <c r="AD1282" s="104"/>
    </row>
    <row r="1283" hidden="1">
      <c r="AB1283" s="104"/>
      <c r="AC1283" s="104"/>
      <c r="AD1283" s="104"/>
    </row>
    <row r="1284" hidden="1">
      <c r="AB1284" s="104"/>
      <c r="AC1284" s="104"/>
      <c r="AD1284" s="104"/>
    </row>
    <row r="1285" hidden="1">
      <c r="AB1285" s="104"/>
      <c r="AC1285" s="104"/>
      <c r="AD1285" s="104"/>
    </row>
    <row r="1286" hidden="1">
      <c r="AB1286" s="104"/>
      <c r="AC1286" s="104"/>
      <c r="AD1286" s="104"/>
    </row>
    <row r="1287" hidden="1">
      <c r="AB1287" s="104"/>
      <c r="AC1287" s="104"/>
      <c r="AD1287" s="104"/>
    </row>
    <row r="1288" hidden="1">
      <c r="AB1288" s="104"/>
      <c r="AC1288" s="104"/>
      <c r="AD1288" s="104"/>
    </row>
    <row r="1289" hidden="1">
      <c r="AB1289" s="104"/>
      <c r="AC1289" s="104"/>
      <c r="AD1289" s="104"/>
    </row>
    <row r="1290" hidden="1">
      <c r="AB1290" s="104"/>
      <c r="AC1290" s="104"/>
      <c r="AD1290" s="104"/>
    </row>
    <row r="1291" hidden="1">
      <c r="AB1291" s="104"/>
      <c r="AC1291" s="104"/>
      <c r="AD1291" s="104"/>
    </row>
    <row r="1292" hidden="1">
      <c r="AB1292" s="104"/>
      <c r="AC1292" s="104"/>
      <c r="AD1292" s="104"/>
    </row>
    <row r="1293" hidden="1">
      <c r="AB1293" s="104"/>
      <c r="AC1293" s="104"/>
      <c r="AD1293" s="104"/>
    </row>
    <row r="1294" hidden="1">
      <c r="AB1294" s="104"/>
      <c r="AC1294" s="104"/>
      <c r="AD1294" s="104"/>
    </row>
    <row r="1295" hidden="1">
      <c r="AB1295" s="104"/>
      <c r="AC1295" s="104"/>
      <c r="AD1295" s="104"/>
    </row>
    <row r="1296" hidden="1">
      <c r="AB1296" s="104"/>
      <c r="AC1296" s="104"/>
      <c r="AD1296" s="104"/>
    </row>
    <row r="1297" hidden="1">
      <c r="AB1297" s="104"/>
      <c r="AC1297" s="104"/>
      <c r="AD1297" s="104"/>
    </row>
    <row r="1298" hidden="1">
      <c r="AB1298" s="104"/>
      <c r="AC1298" s="104"/>
      <c r="AD1298" s="104"/>
    </row>
    <row r="1299" hidden="1">
      <c r="AB1299" s="104"/>
      <c r="AC1299" s="104"/>
      <c r="AD1299" s="104"/>
    </row>
    <row r="1300" hidden="1">
      <c r="AB1300" s="104"/>
      <c r="AC1300" s="104"/>
      <c r="AD1300" s="104"/>
    </row>
    <row r="1301" hidden="1">
      <c r="AB1301" s="104"/>
      <c r="AC1301" s="104"/>
      <c r="AD1301" s="104"/>
    </row>
    <row r="1302" hidden="1">
      <c r="AB1302" s="104"/>
      <c r="AC1302" s="104"/>
      <c r="AD1302" s="104"/>
    </row>
    <row r="1303" hidden="1">
      <c r="AB1303" s="104"/>
      <c r="AC1303" s="104"/>
      <c r="AD1303" s="104"/>
    </row>
    <row r="1304" hidden="1">
      <c r="AB1304" s="104"/>
      <c r="AC1304" s="104"/>
      <c r="AD1304" s="104"/>
    </row>
    <row r="1305" hidden="1">
      <c r="AB1305" s="104"/>
      <c r="AC1305" s="104"/>
      <c r="AD1305" s="104"/>
    </row>
    <row r="1306" hidden="1">
      <c r="AB1306" s="104"/>
      <c r="AC1306" s="104"/>
      <c r="AD1306" s="104"/>
    </row>
    <row r="1307" hidden="1">
      <c r="AB1307" s="104"/>
      <c r="AC1307" s="104"/>
      <c r="AD1307" s="104"/>
    </row>
    <row r="1308" hidden="1">
      <c r="AB1308" s="104"/>
      <c r="AC1308" s="104"/>
      <c r="AD1308" s="104"/>
    </row>
    <row r="1309" hidden="1">
      <c r="AB1309" s="104"/>
      <c r="AC1309" s="104"/>
      <c r="AD1309" s="104"/>
    </row>
    <row r="1310" hidden="1">
      <c r="AB1310" s="104"/>
      <c r="AC1310" s="104"/>
      <c r="AD1310" s="104"/>
    </row>
    <row r="1311" hidden="1">
      <c r="AB1311" s="104"/>
      <c r="AC1311" s="104"/>
      <c r="AD1311" s="104"/>
    </row>
    <row r="1312" hidden="1">
      <c r="AB1312" s="104"/>
      <c r="AC1312" s="104"/>
      <c r="AD1312" s="104"/>
    </row>
    <row r="1313" hidden="1">
      <c r="AB1313" s="104"/>
      <c r="AC1313" s="104"/>
      <c r="AD1313" s="104"/>
    </row>
    <row r="1314" hidden="1">
      <c r="AB1314" s="104"/>
      <c r="AC1314" s="104"/>
      <c r="AD1314" s="104"/>
    </row>
    <row r="1315" hidden="1">
      <c r="AB1315" s="104"/>
      <c r="AC1315" s="104"/>
      <c r="AD1315" s="104"/>
    </row>
    <row r="1316" hidden="1">
      <c r="AB1316" s="104"/>
      <c r="AC1316" s="104"/>
      <c r="AD1316" s="104"/>
    </row>
    <row r="1317" hidden="1">
      <c r="AB1317" s="104"/>
      <c r="AC1317" s="104"/>
      <c r="AD1317" s="104"/>
    </row>
    <row r="1318" hidden="1">
      <c r="AB1318" s="104"/>
      <c r="AC1318" s="104"/>
      <c r="AD1318" s="104"/>
    </row>
    <row r="1319" hidden="1">
      <c r="AB1319" s="104"/>
      <c r="AC1319" s="104"/>
      <c r="AD1319" s="104"/>
    </row>
    <row r="1320" hidden="1">
      <c r="AB1320" s="104"/>
      <c r="AC1320" s="104"/>
      <c r="AD1320" s="104"/>
    </row>
    <row r="1321" hidden="1">
      <c r="AB1321" s="104"/>
      <c r="AC1321" s="104"/>
      <c r="AD1321" s="104"/>
    </row>
    <row r="1322" hidden="1">
      <c r="AB1322" s="104"/>
      <c r="AC1322" s="104"/>
      <c r="AD1322" s="104"/>
    </row>
    <row r="1323" hidden="1">
      <c r="AB1323" s="104"/>
      <c r="AC1323" s="104"/>
      <c r="AD1323" s="104"/>
    </row>
    <row r="1324" hidden="1">
      <c r="AB1324" s="104"/>
      <c r="AC1324" s="104"/>
      <c r="AD1324" s="104"/>
    </row>
    <row r="1325" hidden="1">
      <c r="AB1325" s="104"/>
      <c r="AC1325" s="104"/>
      <c r="AD1325" s="104"/>
    </row>
    <row r="1326" hidden="1">
      <c r="AB1326" s="104"/>
      <c r="AC1326" s="104"/>
      <c r="AD1326" s="104"/>
    </row>
    <row r="1327" hidden="1">
      <c r="AB1327" s="104"/>
      <c r="AC1327" s="104"/>
      <c r="AD1327" s="104"/>
    </row>
    <row r="1328" hidden="1">
      <c r="AB1328" s="104"/>
      <c r="AC1328" s="104"/>
      <c r="AD1328" s="104"/>
    </row>
    <row r="1329" hidden="1">
      <c r="AB1329" s="104"/>
      <c r="AC1329" s="104"/>
      <c r="AD1329" s="104"/>
    </row>
    <row r="1330" hidden="1">
      <c r="AB1330" s="104"/>
      <c r="AC1330" s="104"/>
      <c r="AD1330" s="104"/>
    </row>
    <row r="1331" hidden="1">
      <c r="AB1331" s="104"/>
      <c r="AC1331" s="104"/>
      <c r="AD1331" s="104"/>
    </row>
    <row r="1332" hidden="1">
      <c r="AB1332" s="104"/>
      <c r="AC1332" s="104"/>
      <c r="AD1332" s="104"/>
    </row>
    <row r="1333" hidden="1">
      <c r="AB1333" s="104"/>
      <c r="AC1333" s="104"/>
      <c r="AD1333" s="104"/>
    </row>
    <row r="1334" hidden="1">
      <c r="AB1334" s="104"/>
      <c r="AC1334" s="104"/>
      <c r="AD1334" s="104"/>
    </row>
    <row r="1335" hidden="1">
      <c r="AB1335" s="104"/>
      <c r="AC1335" s="104"/>
      <c r="AD1335" s="104"/>
    </row>
    <row r="1336" hidden="1">
      <c r="AB1336" s="104"/>
      <c r="AC1336" s="104"/>
      <c r="AD1336" s="104"/>
    </row>
    <row r="1337" hidden="1">
      <c r="AB1337" s="104"/>
      <c r="AC1337" s="104"/>
      <c r="AD1337" s="104"/>
    </row>
    <row r="1338" hidden="1">
      <c r="AB1338" s="104"/>
      <c r="AC1338" s="104"/>
      <c r="AD1338" s="104"/>
    </row>
    <row r="1339" hidden="1">
      <c r="AB1339" s="104"/>
      <c r="AC1339" s="104"/>
      <c r="AD1339" s="104"/>
    </row>
    <row r="1340" hidden="1">
      <c r="AB1340" s="104"/>
      <c r="AC1340" s="104"/>
      <c r="AD1340" s="104"/>
    </row>
    <row r="1341" hidden="1">
      <c r="AB1341" s="104"/>
      <c r="AC1341" s="104"/>
      <c r="AD1341" s="104"/>
    </row>
    <row r="1342" hidden="1">
      <c r="AB1342" s="104"/>
      <c r="AC1342" s="104"/>
      <c r="AD1342" s="104"/>
    </row>
    <row r="1343" hidden="1">
      <c r="AB1343" s="104"/>
      <c r="AC1343" s="104"/>
      <c r="AD1343" s="104"/>
    </row>
    <row r="1344" hidden="1">
      <c r="AB1344" s="104"/>
      <c r="AC1344" s="104"/>
      <c r="AD1344" s="104"/>
    </row>
    <row r="1345" hidden="1">
      <c r="AB1345" s="104"/>
      <c r="AC1345" s="104"/>
      <c r="AD1345" s="104"/>
    </row>
    <row r="1346" hidden="1">
      <c r="AB1346" s="104"/>
      <c r="AC1346" s="104"/>
      <c r="AD1346" s="104"/>
    </row>
    <row r="1347" hidden="1">
      <c r="AB1347" s="104"/>
      <c r="AC1347" s="104"/>
      <c r="AD1347" s="104"/>
    </row>
    <row r="1348" hidden="1">
      <c r="AB1348" s="104"/>
      <c r="AC1348" s="104"/>
      <c r="AD1348" s="104"/>
    </row>
    <row r="1349" hidden="1">
      <c r="AB1349" s="104"/>
      <c r="AC1349" s="104"/>
      <c r="AD1349" s="104"/>
    </row>
    <row r="1350" hidden="1">
      <c r="AB1350" s="104"/>
      <c r="AC1350" s="104"/>
      <c r="AD1350" s="104"/>
    </row>
    <row r="1351" hidden="1">
      <c r="AB1351" s="104"/>
      <c r="AC1351" s="104"/>
      <c r="AD1351" s="104"/>
    </row>
    <row r="1352" hidden="1">
      <c r="AB1352" s="104"/>
      <c r="AC1352" s="104"/>
      <c r="AD1352" s="104"/>
    </row>
    <row r="1353" hidden="1">
      <c r="AB1353" s="104"/>
      <c r="AC1353" s="104"/>
      <c r="AD1353" s="104"/>
    </row>
    <row r="1354" hidden="1">
      <c r="AB1354" s="104"/>
      <c r="AC1354" s="104"/>
      <c r="AD1354" s="104"/>
    </row>
    <row r="1355" hidden="1">
      <c r="AB1355" s="104"/>
      <c r="AC1355" s="104"/>
      <c r="AD1355" s="104"/>
    </row>
    <row r="1356" hidden="1">
      <c r="AB1356" s="104"/>
      <c r="AC1356" s="104"/>
      <c r="AD1356" s="104"/>
    </row>
    <row r="1357" hidden="1">
      <c r="AB1357" s="104"/>
      <c r="AC1357" s="104"/>
      <c r="AD1357" s="104"/>
    </row>
    <row r="1358" hidden="1">
      <c r="AB1358" s="104"/>
      <c r="AC1358" s="104"/>
      <c r="AD1358" s="104"/>
    </row>
    <row r="1359" hidden="1">
      <c r="AB1359" s="104"/>
      <c r="AC1359" s="104"/>
      <c r="AD1359" s="104"/>
    </row>
    <row r="1360" hidden="1">
      <c r="AB1360" s="104"/>
      <c r="AC1360" s="104"/>
      <c r="AD1360" s="104"/>
    </row>
    <row r="1361" hidden="1">
      <c r="AB1361" s="104"/>
      <c r="AC1361" s="104"/>
      <c r="AD1361" s="104"/>
    </row>
    <row r="1362" hidden="1">
      <c r="AB1362" s="104"/>
      <c r="AC1362" s="104"/>
      <c r="AD1362" s="104"/>
    </row>
    <row r="1363" hidden="1">
      <c r="AB1363" s="104"/>
      <c r="AC1363" s="104"/>
      <c r="AD1363" s="104"/>
    </row>
    <row r="1364" hidden="1">
      <c r="AB1364" s="104"/>
      <c r="AC1364" s="104"/>
      <c r="AD1364" s="104"/>
    </row>
    <row r="1365" hidden="1">
      <c r="AB1365" s="104"/>
      <c r="AC1365" s="104"/>
      <c r="AD1365" s="104"/>
    </row>
    <row r="1366" hidden="1">
      <c r="AB1366" s="104"/>
      <c r="AC1366" s="104"/>
      <c r="AD1366" s="104"/>
    </row>
    <row r="1367" hidden="1">
      <c r="AB1367" s="104"/>
      <c r="AC1367" s="104"/>
      <c r="AD1367" s="104"/>
    </row>
    <row r="1368" hidden="1">
      <c r="AB1368" s="104"/>
      <c r="AC1368" s="104"/>
      <c r="AD1368" s="104"/>
    </row>
    <row r="1369" hidden="1">
      <c r="AB1369" s="104"/>
      <c r="AC1369" s="104"/>
      <c r="AD1369" s="104"/>
    </row>
    <row r="1370" hidden="1">
      <c r="AB1370" s="104"/>
      <c r="AC1370" s="104"/>
      <c r="AD1370" s="104"/>
    </row>
    <row r="1371" hidden="1">
      <c r="AB1371" s="104"/>
      <c r="AC1371" s="104"/>
      <c r="AD1371" s="104"/>
    </row>
    <row r="1372" hidden="1">
      <c r="AB1372" s="104"/>
      <c r="AC1372" s="104"/>
      <c r="AD1372" s="104"/>
    </row>
    <row r="1373" hidden="1">
      <c r="AB1373" s="104"/>
      <c r="AC1373" s="104"/>
      <c r="AD1373" s="104"/>
    </row>
    <row r="1374" hidden="1">
      <c r="AB1374" s="104"/>
      <c r="AC1374" s="104"/>
      <c r="AD1374" s="104"/>
    </row>
    <row r="1375" hidden="1">
      <c r="AB1375" s="104"/>
      <c r="AC1375" s="104"/>
      <c r="AD1375" s="104"/>
    </row>
    <row r="1376" hidden="1">
      <c r="AB1376" s="104"/>
      <c r="AC1376" s="104"/>
      <c r="AD1376" s="104"/>
    </row>
    <row r="1377" hidden="1">
      <c r="AB1377" s="104"/>
      <c r="AC1377" s="104"/>
      <c r="AD1377" s="104"/>
    </row>
    <row r="1378" hidden="1">
      <c r="AB1378" s="104"/>
      <c r="AC1378" s="104"/>
      <c r="AD1378" s="104"/>
    </row>
    <row r="1379" hidden="1">
      <c r="AB1379" s="104"/>
      <c r="AC1379" s="104"/>
      <c r="AD1379" s="104"/>
    </row>
    <row r="1380" hidden="1">
      <c r="AB1380" s="104"/>
      <c r="AC1380" s="104"/>
      <c r="AD1380" s="104"/>
    </row>
    <row r="1381" hidden="1">
      <c r="AB1381" s="104"/>
      <c r="AC1381" s="104"/>
      <c r="AD1381" s="104"/>
    </row>
    <row r="1382" hidden="1">
      <c r="AB1382" s="104"/>
      <c r="AC1382" s="104"/>
      <c r="AD1382" s="104"/>
    </row>
    <row r="1383" hidden="1">
      <c r="AB1383" s="104"/>
      <c r="AC1383" s="104"/>
      <c r="AD1383" s="104"/>
    </row>
    <row r="1384" hidden="1">
      <c r="AB1384" s="104"/>
      <c r="AC1384" s="104"/>
      <c r="AD1384" s="104"/>
    </row>
    <row r="1385" hidden="1">
      <c r="AB1385" s="104"/>
      <c r="AC1385" s="104"/>
      <c r="AD1385" s="104"/>
    </row>
    <row r="1386" hidden="1">
      <c r="AB1386" s="104"/>
      <c r="AC1386" s="104"/>
      <c r="AD1386" s="104"/>
    </row>
    <row r="1387" hidden="1">
      <c r="AB1387" s="104"/>
      <c r="AC1387" s="104"/>
      <c r="AD1387" s="104"/>
    </row>
    <row r="1388" hidden="1">
      <c r="AB1388" s="104"/>
      <c r="AC1388" s="104"/>
      <c r="AD1388" s="104"/>
    </row>
    <row r="1389" hidden="1">
      <c r="AB1389" s="104"/>
      <c r="AC1389" s="104"/>
      <c r="AD1389" s="104"/>
    </row>
    <row r="1390" hidden="1">
      <c r="AB1390" s="104"/>
      <c r="AC1390" s="104"/>
      <c r="AD1390" s="104"/>
    </row>
    <row r="1391" hidden="1">
      <c r="AB1391" s="104"/>
      <c r="AC1391" s="104"/>
      <c r="AD1391" s="104"/>
    </row>
    <row r="1392" hidden="1">
      <c r="AB1392" s="104"/>
      <c r="AC1392" s="104"/>
      <c r="AD1392" s="104"/>
    </row>
    <row r="1393" hidden="1">
      <c r="AB1393" s="104"/>
      <c r="AC1393" s="104"/>
      <c r="AD1393" s="104"/>
    </row>
    <row r="1394" hidden="1">
      <c r="AB1394" s="104"/>
      <c r="AC1394" s="104"/>
      <c r="AD1394" s="104"/>
    </row>
    <row r="1395" hidden="1">
      <c r="AB1395" s="104"/>
      <c r="AC1395" s="104"/>
      <c r="AD1395" s="104"/>
    </row>
    <row r="1396" hidden="1">
      <c r="AB1396" s="104"/>
      <c r="AC1396" s="104"/>
      <c r="AD1396" s="104"/>
    </row>
    <row r="1397" hidden="1">
      <c r="AB1397" s="104"/>
      <c r="AC1397" s="104"/>
      <c r="AD1397" s="104"/>
    </row>
    <row r="1398" hidden="1">
      <c r="AB1398" s="104"/>
      <c r="AC1398" s="104"/>
      <c r="AD1398" s="104"/>
    </row>
    <row r="1399" hidden="1">
      <c r="AB1399" s="104"/>
      <c r="AC1399" s="104"/>
      <c r="AD1399" s="104"/>
    </row>
    <row r="1400" hidden="1">
      <c r="AB1400" s="104"/>
      <c r="AC1400" s="104"/>
      <c r="AD1400" s="104"/>
    </row>
    <row r="1401" hidden="1">
      <c r="AB1401" s="104"/>
      <c r="AC1401" s="104"/>
      <c r="AD1401" s="104"/>
    </row>
    <row r="1402" hidden="1">
      <c r="AB1402" s="104"/>
      <c r="AC1402" s="104"/>
      <c r="AD1402" s="104"/>
    </row>
    <row r="1403" hidden="1">
      <c r="AB1403" s="104"/>
      <c r="AC1403" s="104"/>
      <c r="AD1403" s="104"/>
    </row>
    <row r="1404" hidden="1">
      <c r="AB1404" s="104"/>
      <c r="AC1404" s="104"/>
      <c r="AD1404" s="104"/>
    </row>
    <row r="1405" hidden="1">
      <c r="AB1405" s="104"/>
      <c r="AC1405" s="104"/>
      <c r="AD1405" s="104"/>
    </row>
    <row r="1406" hidden="1">
      <c r="AB1406" s="104"/>
      <c r="AC1406" s="104"/>
      <c r="AD1406" s="104"/>
    </row>
    <row r="1407" hidden="1">
      <c r="AB1407" s="104"/>
      <c r="AC1407" s="104"/>
      <c r="AD1407" s="104"/>
    </row>
    <row r="1408" hidden="1">
      <c r="AB1408" s="104"/>
      <c r="AC1408" s="104"/>
      <c r="AD1408" s="104"/>
    </row>
    <row r="1409" hidden="1">
      <c r="AB1409" s="104"/>
      <c r="AC1409" s="104"/>
      <c r="AD1409" s="104"/>
    </row>
    <row r="1410" hidden="1">
      <c r="AB1410" s="104"/>
      <c r="AC1410" s="104"/>
      <c r="AD1410" s="104"/>
    </row>
    <row r="1411" hidden="1">
      <c r="AB1411" s="104"/>
      <c r="AC1411" s="104"/>
      <c r="AD1411" s="104"/>
    </row>
    <row r="1412" hidden="1">
      <c r="AB1412" s="104"/>
      <c r="AC1412" s="104"/>
      <c r="AD1412" s="104"/>
    </row>
    <row r="1413" hidden="1">
      <c r="AB1413" s="104"/>
      <c r="AC1413" s="104"/>
      <c r="AD1413" s="104"/>
    </row>
    <row r="1414" hidden="1">
      <c r="AB1414" s="104"/>
      <c r="AC1414" s="104"/>
      <c r="AD1414" s="104"/>
    </row>
    <row r="1415" hidden="1">
      <c r="AB1415" s="104"/>
      <c r="AC1415" s="104"/>
      <c r="AD1415" s="104"/>
    </row>
    <row r="1416" hidden="1">
      <c r="AB1416" s="104"/>
      <c r="AC1416" s="104"/>
      <c r="AD1416" s="104"/>
    </row>
    <row r="1417" hidden="1">
      <c r="AB1417" s="104"/>
      <c r="AC1417" s="104"/>
      <c r="AD1417" s="104"/>
    </row>
    <row r="1418" hidden="1">
      <c r="AB1418" s="104"/>
      <c r="AC1418" s="104"/>
      <c r="AD1418" s="104"/>
    </row>
    <row r="1419" hidden="1">
      <c r="AB1419" s="104"/>
      <c r="AC1419" s="104"/>
      <c r="AD1419" s="104"/>
    </row>
    <row r="1420" hidden="1">
      <c r="AB1420" s="104"/>
      <c r="AC1420" s="104"/>
      <c r="AD1420" s="104"/>
    </row>
    <row r="1421" hidden="1">
      <c r="AB1421" s="104"/>
      <c r="AC1421" s="104"/>
      <c r="AD1421" s="104"/>
    </row>
    <row r="1422" hidden="1">
      <c r="AB1422" s="104"/>
      <c r="AC1422" s="104"/>
      <c r="AD1422" s="104"/>
    </row>
    <row r="1423" hidden="1">
      <c r="AB1423" s="104"/>
      <c r="AC1423" s="104"/>
      <c r="AD1423" s="104"/>
    </row>
    <row r="1424" hidden="1">
      <c r="AB1424" s="104"/>
      <c r="AC1424" s="104"/>
      <c r="AD1424" s="104"/>
    </row>
    <row r="1425" hidden="1">
      <c r="AB1425" s="104"/>
      <c r="AC1425" s="104"/>
      <c r="AD1425" s="104"/>
    </row>
    <row r="1426" hidden="1">
      <c r="AB1426" s="104"/>
      <c r="AC1426" s="104"/>
      <c r="AD1426" s="104"/>
    </row>
    <row r="1427" hidden="1">
      <c r="AB1427" s="104"/>
      <c r="AC1427" s="104"/>
      <c r="AD1427" s="104"/>
    </row>
    <row r="1428" hidden="1">
      <c r="AB1428" s="104"/>
      <c r="AC1428" s="104"/>
      <c r="AD1428" s="104"/>
    </row>
    <row r="1429" hidden="1">
      <c r="AB1429" s="104"/>
      <c r="AC1429" s="104"/>
      <c r="AD1429" s="104"/>
    </row>
    <row r="1430" hidden="1">
      <c r="AB1430" s="104"/>
      <c r="AC1430" s="104"/>
      <c r="AD1430" s="104"/>
    </row>
    <row r="1431" hidden="1">
      <c r="AB1431" s="104"/>
      <c r="AC1431" s="104"/>
      <c r="AD1431" s="104"/>
    </row>
    <row r="1432" hidden="1">
      <c r="AB1432" s="104"/>
      <c r="AC1432" s="104"/>
      <c r="AD1432" s="104"/>
    </row>
    <row r="1433" hidden="1">
      <c r="AB1433" s="104"/>
      <c r="AC1433" s="104"/>
      <c r="AD1433" s="104"/>
    </row>
    <row r="1434" hidden="1">
      <c r="AB1434" s="104"/>
      <c r="AC1434" s="104"/>
      <c r="AD1434" s="104"/>
    </row>
    <row r="1435" hidden="1">
      <c r="AB1435" s="104"/>
      <c r="AC1435" s="104"/>
      <c r="AD1435" s="104"/>
    </row>
    <row r="1436" hidden="1">
      <c r="AB1436" s="104"/>
      <c r="AC1436" s="104"/>
      <c r="AD1436" s="104"/>
    </row>
    <row r="1437" hidden="1">
      <c r="AB1437" s="104"/>
      <c r="AC1437" s="104"/>
      <c r="AD1437" s="104"/>
    </row>
    <row r="1438" hidden="1">
      <c r="AB1438" s="104"/>
      <c r="AC1438" s="104"/>
      <c r="AD1438" s="104"/>
    </row>
    <row r="1439" hidden="1">
      <c r="AB1439" s="104"/>
      <c r="AC1439" s="104"/>
      <c r="AD1439" s="104"/>
    </row>
    <row r="1440" hidden="1">
      <c r="AB1440" s="104"/>
      <c r="AC1440" s="104"/>
      <c r="AD1440" s="104"/>
    </row>
    <row r="1441" hidden="1">
      <c r="AB1441" s="104"/>
      <c r="AC1441" s="104"/>
      <c r="AD1441" s="104"/>
    </row>
    <row r="1442" hidden="1">
      <c r="AB1442" s="104"/>
      <c r="AC1442" s="104"/>
      <c r="AD1442" s="104"/>
    </row>
    <row r="1443" hidden="1">
      <c r="AB1443" s="104"/>
      <c r="AC1443" s="104"/>
      <c r="AD1443" s="104"/>
    </row>
    <row r="1444" hidden="1">
      <c r="AB1444" s="104"/>
      <c r="AC1444" s="104"/>
      <c r="AD1444" s="104"/>
    </row>
    <row r="1445" hidden="1">
      <c r="AB1445" s="104"/>
      <c r="AC1445" s="104"/>
      <c r="AD1445" s="104"/>
    </row>
    <row r="1446" hidden="1">
      <c r="AB1446" s="104"/>
      <c r="AC1446" s="104"/>
      <c r="AD1446" s="104"/>
    </row>
    <row r="1447" hidden="1">
      <c r="AB1447" s="104"/>
      <c r="AC1447" s="104"/>
      <c r="AD1447" s="104"/>
    </row>
    <row r="1448" hidden="1">
      <c r="AB1448" s="104"/>
      <c r="AC1448" s="104"/>
      <c r="AD1448" s="104"/>
    </row>
    <row r="1449" hidden="1">
      <c r="AB1449" s="104"/>
      <c r="AC1449" s="104"/>
      <c r="AD1449" s="104"/>
    </row>
    <row r="1450" hidden="1">
      <c r="AB1450" s="104"/>
      <c r="AC1450" s="104"/>
      <c r="AD1450" s="104"/>
    </row>
    <row r="1451" hidden="1">
      <c r="AB1451" s="104"/>
      <c r="AC1451" s="104"/>
      <c r="AD1451" s="104"/>
    </row>
    <row r="1452" hidden="1">
      <c r="AB1452" s="104"/>
      <c r="AC1452" s="104"/>
      <c r="AD1452" s="104"/>
    </row>
    <row r="1453" hidden="1">
      <c r="AB1453" s="104"/>
      <c r="AC1453" s="104"/>
      <c r="AD1453" s="104"/>
    </row>
    <row r="1454" hidden="1">
      <c r="AB1454" s="104"/>
      <c r="AC1454" s="104"/>
      <c r="AD1454" s="104"/>
    </row>
    <row r="1455" hidden="1">
      <c r="AB1455" s="104"/>
      <c r="AC1455" s="104"/>
      <c r="AD1455" s="104"/>
    </row>
    <row r="1456" hidden="1">
      <c r="AB1456" s="104"/>
      <c r="AC1456" s="104"/>
      <c r="AD1456" s="104"/>
    </row>
    <row r="1457" hidden="1">
      <c r="AB1457" s="104"/>
      <c r="AC1457" s="104"/>
      <c r="AD1457" s="104"/>
    </row>
    <row r="1458" hidden="1">
      <c r="AB1458" s="104"/>
      <c r="AC1458" s="104"/>
      <c r="AD1458" s="104"/>
    </row>
    <row r="1459" hidden="1">
      <c r="AB1459" s="104"/>
      <c r="AC1459" s="104"/>
      <c r="AD1459" s="104"/>
    </row>
    <row r="1460" hidden="1">
      <c r="AB1460" s="104"/>
      <c r="AC1460" s="104"/>
      <c r="AD1460" s="104"/>
    </row>
    <row r="1461" hidden="1">
      <c r="AB1461" s="104"/>
      <c r="AC1461" s="104"/>
      <c r="AD1461" s="104"/>
    </row>
    <row r="1462" hidden="1">
      <c r="AB1462" s="104"/>
      <c r="AC1462" s="104"/>
      <c r="AD1462" s="104"/>
    </row>
    <row r="1463" hidden="1">
      <c r="AB1463" s="104"/>
      <c r="AC1463" s="104"/>
      <c r="AD1463" s="104"/>
    </row>
    <row r="1464" hidden="1">
      <c r="AB1464" s="104"/>
      <c r="AC1464" s="104"/>
      <c r="AD1464" s="104"/>
    </row>
    <row r="1465" hidden="1">
      <c r="AB1465" s="104"/>
      <c r="AC1465" s="104"/>
      <c r="AD1465" s="104"/>
    </row>
    <row r="1466" hidden="1">
      <c r="AB1466" s="104"/>
      <c r="AC1466" s="104"/>
      <c r="AD1466" s="104"/>
    </row>
    <row r="1467" hidden="1">
      <c r="AB1467" s="104"/>
      <c r="AC1467" s="104"/>
      <c r="AD1467" s="104"/>
    </row>
    <row r="1468" hidden="1">
      <c r="AB1468" s="104"/>
      <c r="AC1468" s="104"/>
      <c r="AD1468" s="104"/>
    </row>
    <row r="1469" hidden="1">
      <c r="AB1469" s="104"/>
      <c r="AC1469" s="104"/>
      <c r="AD1469" s="104"/>
    </row>
    <row r="1470" hidden="1">
      <c r="AB1470" s="104"/>
      <c r="AC1470" s="104"/>
      <c r="AD1470" s="104"/>
    </row>
    <row r="1471" hidden="1">
      <c r="AB1471" s="104"/>
      <c r="AC1471" s="104"/>
      <c r="AD1471" s="104"/>
    </row>
    <row r="1472" hidden="1">
      <c r="AB1472" s="104"/>
      <c r="AC1472" s="104"/>
      <c r="AD1472" s="104"/>
    </row>
    <row r="1473" hidden="1">
      <c r="AB1473" s="104"/>
      <c r="AC1473" s="104"/>
      <c r="AD1473" s="104"/>
    </row>
    <row r="1474" hidden="1">
      <c r="AB1474" s="104"/>
      <c r="AC1474" s="104"/>
      <c r="AD1474" s="104"/>
    </row>
    <row r="1475" hidden="1">
      <c r="AB1475" s="104"/>
      <c r="AC1475" s="104"/>
      <c r="AD1475" s="104"/>
    </row>
    <row r="1476" hidden="1">
      <c r="AB1476" s="104"/>
      <c r="AC1476" s="104"/>
      <c r="AD1476" s="104"/>
    </row>
    <row r="1477" hidden="1">
      <c r="AB1477" s="104"/>
      <c r="AC1477" s="104"/>
      <c r="AD1477" s="104"/>
    </row>
    <row r="1478" hidden="1">
      <c r="AB1478" s="104"/>
      <c r="AC1478" s="104"/>
      <c r="AD1478" s="104"/>
    </row>
    <row r="1479" hidden="1">
      <c r="AB1479" s="104"/>
      <c r="AC1479" s="104"/>
      <c r="AD1479" s="104"/>
    </row>
    <row r="1480" hidden="1">
      <c r="AB1480" s="104"/>
      <c r="AC1480" s="104"/>
      <c r="AD1480" s="104"/>
    </row>
    <row r="1481" hidden="1">
      <c r="AB1481" s="104"/>
      <c r="AC1481" s="104"/>
      <c r="AD1481" s="104"/>
    </row>
    <row r="1482" hidden="1">
      <c r="AB1482" s="104"/>
      <c r="AC1482" s="104"/>
      <c r="AD1482" s="104"/>
    </row>
    <row r="1483" hidden="1">
      <c r="AB1483" s="104"/>
      <c r="AC1483" s="104"/>
      <c r="AD1483" s="104"/>
    </row>
    <row r="1484" hidden="1">
      <c r="AB1484" s="104"/>
      <c r="AC1484" s="104"/>
      <c r="AD1484" s="104"/>
    </row>
    <row r="1485" hidden="1">
      <c r="AB1485" s="104"/>
      <c r="AC1485" s="104"/>
      <c r="AD1485" s="104"/>
    </row>
    <row r="1486" hidden="1">
      <c r="AB1486" s="104"/>
      <c r="AC1486" s="104"/>
      <c r="AD1486" s="104"/>
    </row>
    <row r="1487" hidden="1">
      <c r="AB1487" s="104"/>
      <c r="AC1487" s="104"/>
      <c r="AD1487" s="104"/>
    </row>
    <row r="1488" hidden="1">
      <c r="AB1488" s="104"/>
      <c r="AC1488" s="104"/>
      <c r="AD1488" s="104"/>
    </row>
    <row r="1489" hidden="1">
      <c r="AB1489" s="104"/>
      <c r="AC1489" s="104"/>
      <c r="AD1489" s="104"/>
    </row>
    <row r="1490" hidden="1">
      <c r="AB1490" s="104"/>
      <c r="AC1490" s="104"/>
      <c r="AD1490" s="104"/>
    </row>
    <row r="1491" hidden="1">
      <c r="AB1491" s="104"/>
      <c r="AC1491" s="104"/>
      <c r="AD1491" s="104"/>
    </row>
    <row r="1492" hidden="1">
      <c r="AB1492" s="104"/>
      <c r="AC1492" s="104"/>
      <c r="AD1492" s="104"/>
    </row>
    <row r="1493" hidden="1">
      <c r="AB1493" s="104"/>
      <c r="AC1493" s="104"/>
      <c r="AD1493" s="104"/>
    </row>
    <row r="1494" hidden="1">
      <c r="AB1494" s="104"/>
      <c r="AC1494" s="104"/>
      <c r="AD1494" s="104"/>
    </row>
    <row r="1495" hidden="1">
      <c r="AB1495" s="104"/>
      <c r="AC1495" s="104"/>
      <c r="AD1495" s="104"/>
    </row>
    <row r="1496" hidden="1">
      <c r="AB1496" s="104"/>
      <c r="AC1496" s="104"/>
      <c r="AD1496" s="104"/>
    </row>
    <row r="1497" hidden="1">
      <c r="AB1497" s="104"/>
      <c r="AC1497" s="104"/>
      <c r="AD1497" s="104"/>
    </row>
    <row r="1498" hidden="1">
      <c r="AB1498" s="104"/>
      <c r="AC1498" s="104"/>
      <c r="AD1498" s="104"/>
    </row>
    <row r="1499" hidden="1">
      <c r="AB1499" s="104"/>
      <c r="AC1499" s="104"/>
      <c r="AD1499" s="104"/>
    </row>
    <row r="1500" hidden="1">
      <c r="AB1500" s="104"/>
      <c r="AC1500" s="104"/>
      <c r="AD1500" s="104"/>
    </row>
    <row r="1501" hidden="1">
      <c r="AB1501" s="104"/>
      <c r="AC1501" s="104"/>
      <c r="AD1501" s="104"/>
    </row>
    <row r="1502" hidden="1">
      <c r="AB1502" s="104"/>
      <c r="AC1502" s="104"/>
      <c r="AD1502" s="104"/>
    </row>
    <row r="1503" hidden="1">
      <c r="AB1503" s="104"/>
      <c r="AC1503" s="104"/>
      <c r="AD1503" s="104"/>
    </row>
    <row r="1504" hidden="1">
      <c r="AB1504" s="104"/>
      <c r="AC1504" s="104"/>
      <c r="AD1504" s="104"/>
    </row>
    <row r="1505" hidden="1">
      <c r="AB1505" s="104"/>
      <c r="AC1505" s="104"/>
      <c r="AD1505" s="104"/>
    </row>
    <row r="1506" hidden="1">
      <c r="AB1506" s="104"/>
      <c r="AC1506" s="104"/>
      <c r="AD1506" s="104"/>
    </row>
    <row r="1507" hidden="1">
      <c r="AB1507" s="104"/>
      <c r="AC1507" s="104"/>
      <c r="AD1507" s="104"/>
    </row>
    <row r="1508" hidden="1">
      <c r="AB1508" s="104"/>
      <c r="AC1508" s="104"/>
      <c r="AD1508" s="104"/>
    </row>
    <row r="1509" hidden="1">
      <c r="AB1509" s="104"/>
      <c r="AC1509" s="104"/>
      <c r="AD1509" s="104"/>
    </row>
    <row r="1510" hidden="1">
      <c r="AB1510" s="104"/>
      <c r="AC1510" s="104"/>
      <c r="AD1510" s="104"/>
    </row>
    <row r="1511" hidden="1">
      <c r="AB1511" s="104"/>
      <c r="AC1511" s="104"/>
      <c r="AD1511" s="104"/>
    </row>
    <row r="1512" hidden="1">
      <c r="AB1512" s="104"/>
      <c r="AC1512" s="104"/>
      <c r="AD1512" s="104"/>
    </row>
    <row r="1513" hidden="1">
      <c r="AB1513" s="104"/>
      <c r="AC1513" s="104"/>
      <c r="AD1513" s="104"/>
    </row>
    <row r="1514" hidden="1">
      <c r="AB1514" s="104"/>
      <c r="AC1514" s="104"/>
      <c r="AD1514" s="104"/>
    </row>
    <row r="1515" hidden="1">
      <c r="AB1515" s="104"/>
      <c r="AC1515" s="104"/>
      <c r="AD1515" s="104"/>
    </row>
    <row r="1516" hidden="1">
      <c r="AB1516" s="104"/>
      <c r="AC1516" s="104"/>
      <c r="AD1516" s="104"/>
    </row>
    <row r="1517" hidden="1">
      <c r="AB1517" s="104"/>
      <c r="AC1517" s="104"/>
      <c r="AD1517" s="104"/>
    </row>
    <row r="1518" hidden="1">
      <c r="AB1518" s="104"/>
      <c r="AC1518" s="104"/>
      <c r="AD1518" s="104"/>
    </row>
    <row r="1519" hidden="1">
      <c r="AB1519" s="104"/>
      <c r="AC1519" s="104"/>
      <c r="AD1519" s="104"/>
    </row>
    <row r="1520" hidden="1">
      <c r="AB1520" s="104"/>
      <c r="AC1520" s="104"/>
      <c r="AD1520" s="104"/>
    </row>
    <row r="1521" hidden="1">
      <c r="AB1521" s="104"/>
      <c r="AC1521" s="104"/>
      <c r="AD1521" s="104"/>
    </row>
    <row r="1522" hidden="1">
      <c r="AB1522" s="104"/>
      <c r="AC1522" s="104"/>
      <c r="AD1522" s="104"/>
    </row>
    <row r="1523" hidden="1">
      <c r="AB1523" s="104"/>
      <c r="AC1523" s="104"/>
      <c r="AD1523" s="104"/>
    </row>
    <row r="1524" hidden="1">
      <c r="AB1524" s="104"/>
      <c r="AC1524" s="104"/>
      <c r="AD1524" s="104"/>
    </row>
    <row r="1525" hidden="1">
      <c r="AB1525" s="104"/>
      <c r="AC1525" s="104"/>
      <c r="AD1525" s="104"/>
    </row>
    <row r="1526" hidden="1">
      <c r="AB1526" s="104"/>
      <c r="AC1526" s="104"/>
      <c r="AD1526" s="104"/>
    </row>
    <row r="1527" hidden="1">
      <c r="AB1527" s="104"/>
      <c r="AC1527" s="104"/>
      <c r="AD1527" s="104"/>
    </row>
    <row r="1528" hidden="1">
      <c r="AB1528" s="104"/>
      <c r="AC1528" s="104"/>
      <c r="AD1528" s="104"/>
    </row>
    <row r="1529" hidden="1">
      <c r="AB1529" s="104"/>
      <c r="AC1529" s="104"/>
      <c r="AD1529" s="104"/>
    </row>
    <row r="1530" hidden="1">
      <c r="AB1530" s="104"/>
      <c r="AC1530" s="104"/>
      <c r="AD1530" s="104"/>
    </row>
    <row r="1531" hidden="1">
      <c r="AB1531" s="104"/>
      <c r="AC1531" s="104"/>
      <c r="AD1531" s="104"/>
    </row>
    <row r="1532" hidden="1">
      <c r="AB1532" s="104"/>
      <c r="AC1532" s="104"/>
      <c r="AD1532" s="104"/>
    </row>
    <row r="1533" hidden="1">
      <c r="AB1533" s="104"/>
      <c r="AC1533" s="104"/>
      <c r="AD1533" s="104"/>
    </row>
    <row r="1534" hidden="1">
      <c r="AB1534" s="104"/>
      <c r="AC1534" s="104"/>
      <c r="AD1534" s="104"/>
    </row>
    <row r="1535" hidden="1">
      <c r="AB1535" s="104"/>
      <c r="AC1535" s="104"/>
      <c r="AD1535" s="104"/>
    </row>
    <row r="1536" hidden="1">
      <c r="AB1536" s="104"/>
      <c r="AC1536" s="104"/>
      <c r="AD1536" s="104"/>
    </row>
    <row r="1537" hidden="1">
      <c r="AB1537" s="104"/>
      <c r="AC1537" s="104"/>
      <c r="AD1537" s="104"/>
    </row>
    <row r="1538" hidden="1">
      <c r="AB1538" s="104"/>
      <c r="AC1538" s="104"/>
      <c r="AD1538" s="104"/>
    </row>
    <row r="1539" hidden="1">
      <c r="AB1539" s="104"/>
      <c r="AC1539" s="104"/>
      <c r="AD1539" s="104"/>
    </row>
    <row r="1540" hidden="1">
      <c r="AB1540" s="104"/>
      <c r="AC1540" s="104"/>
      <c r="AD1540" s="104"/>
    </row>
    <row r="1541" hidden="1">
      <c r="AB1541" s="104"/>
      <c r="AC1541" s="104"/>
      <c r="AD1541" s="104"/>
    </row>
    <row r="1542" hidden="1">
      <c r="AB1542" s="104"/>
      <c r="AC1542" s="104"/>
      <c r="AD1542" s="104"/>
    </row>
    <row r="1543" hidden="1">
      <c r="AB1543" s="104"/>
      <c r="AC1543" s="104"/>
      <c r="AD1543" s="104"/>
    </row>
    <row r="1544" hidden="1">
      <c r="AB1544" s="104"/>
      <c r="AC1544" s="104"/>
      <c r="AD1544" s="104"/>
    </row>
    <row r="1545" hidden="1">
      <c r="AB1545" s="104"/>
      <c r="AC1545" s="104"/>
      <c r="AD1545" s="104"/>
    </row>
    <row r="1546" hidden="1">
      <c r="AB1546" s="104"/>
      <c r="AC1546" s="104"/>
      <c r="AD1546" s="104"/>
    </row>
    <row r="1547" hidden="1">
      <c r="AB1547" s="104"/>
      <c r="AC1547" s="104"/>
      <c r="AD1547" s="104"/>
    </row>
    <row r="1548" hidden="1">
      <c r="AB1548" s="104"/>
      <c r="AC1548" s="104"/>
      <c r="AD1548" s="104"/>
    </row>
    <row r="1549" hidden="1">
      <c r="AB1549" s="104"/>
      <c r="AC1549" s="104"/>
      <c r="AD1549" s="104"/>
    </row>
    <row r="1550" hidden="1">
      <c r="AB1550" s="104"/>
      <c r="AC1550" s="104"/>
      <c r="AD1550" s="104"/>
    </row>
    <row r="1551" hidden="1">
      <c r="AB1551" s="104"/>
      <c r="AC1551" s="104"/>
      <c r="AD1551" s="104"/>
    </row>
    <row r="1552" hidden="1">
      <c r="AB1552" s="104"/>
      <c r="AC1552" s="104"/>
      <c r="AD1552" s="104"/>
    </row>
    <row r="1553" hidden="1">
      <c r="AB1553" s="104"/>
      <c r="AC1553" s="104"/>
      <c r="AD1553" s="104"/>
    </row>
    <row r="1554" hidden="1">
      <c r="AB1554" s="104"/>
      <c r="AC1554" s="104"/>
      <c r="AD1554" s="104"/>
    </row>
    <row r="1555" hidden="1">
      <c r="AB1555" s="104"/>
      <c r="AC1555" s="104"/>
      <c r="AD1555" s="104"/>
    </row>
    <row r="1556" hidden="1">
      <c r="AB1556" s="104"/>
      <c r="AC1556" s="104"/>
      <c r="AD1556" s="104"/>
    </row>
    <row r="1557" hidden="1">
      <c r="AB1557" s="104"/>
      <c r="AC1557" s="104"/>
      <c r="AD1557" s="104"/>
    </row>
    <row r="1558" hidden="1">
      <c r="AB1558" s="104"/>
      <c r="AC1558" s="104"/>
      <c r="AD1558" s="104"/>
    </row>
    <row r="1559" hidden="1">
      <c r="AB1559" s="104"/>
      <c r="AC1559" s="104"/>
      <c r="AD1559" s="104"/>
    </row>
    <row r="1560" hidden="1">
      <c r="AB1560" s="104"/>
      <c r="AC1560" s="104"/>
      <c r="AD1560" s="104"/>
    </row>
    <row r="1561" hidden="1">
      <c r="AB1561" s="104"/>
      <c r="AC1561" s="104"/>
      <c r="AD1561" s="104"/>
    </row>
    <row r="1562" hidden="1">
      <c r="AB1562" s="104"/>
      <c r="AC1562" s="104"/>
      <c r="AD1562" s="104"/>
    </row>
    <row r="1563" hidden="1">
      <c r="AB1563" s="104"/>
      <c r="AC1563" s="104"/>
      <c r="AD1563" s="104"/>
    </row>
    <row r="1564" hidden="1">
      <c r="AB1564" s="104"/>
      <c r="AC1564" s="104"/>
      <c r="AD1564" s="104"/>
    </row>
    <row r="1565" hidden="1">
      <c r="AB1565" s="104"/>
      <c r="AC1565" s="104"/>
      <c r="AD1565" s="104"/>
    </row>
    <row r="1566" hidden="1">
      <c r="AB1566" s="104"/>
      <c r="AC1566" s="104"/>
      <c r="AD1566" s="104"/>
    </row>
    <row r="1567" hidden="1">
      <c r="AB1567" s="104"/>
      <c r="AC1567" s="104"/>
      <c r="AD1567" s="104"/>
    </row>
    <row r="1568" hidden="1">
      <c r="AB1568" s="104"/>
      <c r="AC1568" s="104"/>
      <c r="AD1568" s="104"/>
    </row>
    <row r="1569" hidden="1">
      <c r="AB1569" s="104"/>
      <c r="AC1569" s="104"/>
      <c r="AD1569" s="104"/>
    </row>
    <row r="1570" hidden="1">
      <c r="AB1570" s="104"/>
      <c r="AC1570" s="104"/>
      <c r="AD1570" s="104"/>
    </row>
    <row r="1571" hidden="1">
      <c r="AB1571" s="104"/>
      <c r="AC1571" s="104"/>
      <c r="AD1571" s="104"/>
    </row>
    <row r="1572" hidden="1">
      <c r="AB1572" s="104"/>
      <c r="AC1572" s="104"/>
      <c r="AD1572" s="104"/>
    </row>
    <row r="1573" hidden="1">
      <c r="AB1573" s="104"/>
      <c r="AC1573" s="104"/>
      <c r="AD1573" s="104"/>
    </row>
    <row r="1574" hidden="1">
      <c r="AB1574" s="104"/>
      <c r="AC1574" s="104"/>
      <c r="AD1574" s="104"/>
    </row>
    <row r="1575" hidden="1">
      <c r="AB1575" s="104"/>
      <c r="AC1575" s="104"/>
      <c r="AD1575" s="104"/>
    </row>
    <row r="1576" hidden="1">
      <c r="AB1576" s="104"/>
      <c r="AC1576" s="104"/>
      <c r="AD1576" s="104"/>
    </row>
    <row r="1577" hidden="1">
      <c r="AB1577" s="104"/>
      <c r="AC1577" s="104"/>
      <c r="AD1577" s="104"/>
    </row>
    <row r="1578" hidden="1">
      <c r="AB1578" s="104"/>
      <c r="AC1578" s="104"/>
      <c r="AD1578" s="104"/>
    </row>
    <row r="1579" hidden="1">
      <c r="AB1579" s="104"/>
      <c r="AC1579" s="104"/>
      <c r="AD1579" s="104"/>
    </row>
    <row r="1580" hidden="1">
      <c r="AB1580" s="104"/>
      <c r="AC1580" s="104"/>
      <c r="AD1580" s="104"/>
    </row>
    <row r="1581" hidden="1">
      <c r="AB1581" s="104"/>
      <c r="AC1581" s="104"/>
      <c r="AD1581" s="104"/>
    </row>
    <row r="1582" hidden="1">
      <c r="AB1582" s="104"/>
      <c r="AC1582" s="104"/>
      <c r="AD1582" s="104"/>
    </row>
    <row r="1583" hidden="1">
      <c r="AB1583" s="104"/>
      <c r="AC1583" s="104"/>
      <c r="AD1583" s="104"/>
    </row>
    <row r="1584" hidden="1">
      <c r="AB1584" s="104"/>
      <c r="AC1584" s="104"/>
      <c r="AD1584" s="104"/>
    </row>
    <row r="1585" hidden="1">
      <c r="AB1585" s="104"/>
      <c r="AC1585" s="104"/>
      <c r="AD1585" s="104"/>
    </row>
    <row r="1586" hidden="1">
      <c r="AB1586" s="104"/>
      <c r="AC1586" s="104"/>
      <c r="AD1586" s="104"/>
    </row>
    <row r="1587" hidden="1">
      <c r="AB1587" s="104"/>
      <c r="AC1587" s="104"/>
      <c r="AD1587" s="104"/>
    </row>
  </sheetData>
  <mergeCells count="13">
    <mergeCell ref="B12:F12"/>
    <mergeCell ref="S12:W12"/>
    <mergeCell ref="A13:J27"/>
    <mergeCell ref="R13:AA27"/>
    <mergeCell ref="B28:E28"/>
    <mergeCell ref="S28:V28"/>
    <mergeCell ref="B1:E1"/>
    <mergeCell ref="S1:W1"/>
    <mergeCell ref="A2:K8"/>
    <mergeCell ref="S3:W3"/>
    <mergeCell ref="S4:V4"/>
    <mergeCell ref="S6:W6"/>
    <mergeCell ref="S7:V7"/>
  </mergeCells>
  <conditionalFormatting sqref="H32:H52">
    <cfRule type="colorScale" priority="1">
      <colorScale>
        <cfvo type="formula" val="0.4"/>
        <cfvo type="max"/>
        <color rgb="FFFFFFFF"/>
        <color rgb="FFE67C73"/>
      </colorScale>
    </cfRule>
  </conditionalFormatting>
  <conditionalFormatting sqref="S28:V28 R31:AA31">
    <cfRule type="expression" dxfId="3" priority="2">
      <formula>$S$28="West Virginia Black Bears"</formula>
    </cfRule>
  </conditionalFormatting>
  <conditionalFormatting sqref="B28 A31:J31">
    <cfRule type="expression" dxfId="3" priority="3">
      <formula>$B$28="West Virginia Black Bears"</formula>
    </cfRule>
  </conditionalFormatting>
  <conditionalFormatting sqref="C32:C52 T32:T52">
    <cfRule type="colorScale" priority="4">
      <colorScale>
        <cfvo type="formula" val="0.2"/>
        <cfvo type="max"/>
        <color rgb="FFFFFFFF"/>
        <color rgb="FFE67C73"/>
      </colorScale>
    </cfRule>
  </conditionalFormatting>
  <conditionalFormatting sqref="D32:D52 U32:U52">
    <cfRule type="colorScale" priority="5">
      <colorScale>
        <cfvo type="formula" val="0.2"/>
        <cfvo type="max"/>
        <color rgb="FFFFFFFF"/>
        <color rgb="FFE67C73"/>
      </colorScale>
    </cfRule>
  </conditionalFormatting>
  <conditionalFormatting sqref="E32:E52 V32:V52">
    <cfRule type="colorScale" priority="6">
      <colorScale>
        <cfvo type="formula" val="0.25"/>
        <cfvo type="max"/>
        <color rgb="FFFFFFFF"/>
        <color rgb="FFE67C73"/>
      </colorScale>
    </cfRule>
  </conditionalFormatting>
  <conditionalFormatting sqref="H32:H52 Y32:Y52">
    <cfRule type="colorScale" priority="7">
      <colorScale>
        <cfvo type="formula" val="0.5"/>
        <cfvo type="max"/>
        <color rgb="FFFFFFFF"/>
        <color rgb="FFE67C73"/>
      </colorScale>
    </cfRule>
  </conditionalFormatting>
  <dataValidations>
    <dataValidation type="list" allowBlank="1" sqref="S3 S6 B12 S12">
      <formula1>Imports!$B$2:$B1587</formula1>
    </dataValidation>
    <dataValidation type="list" allowBlank="1" sqref="B1 S4 S7 B28 S28">
      <formula1>Imports!$AE$2:$AE$18</formula1>
    </dataValidation>
  </dataValidations>
  <hyperlinks>
    <hyperlink r:id="rId1" location="gid=1148472416" ref="S1"/>
  </hyperlinks>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88"/>
    <col customWidth="1" min="2" max="2" width="15.63"/>
    <col customWidth="1" min="3" max="3" width="5.88"/>
    <col customWidth="1" min="6" max="6" width="8.38"/>
    <col customWidth="1" min="7" max="7" width="9.25"/>
    <col customWidth="1" min="8" max="8" width="10.38"/>
    <col customWidth="1" min="9" max="9" width="5.5"/>
    <col customWidth="1" min="10" max="10" width="11.63"/>
    <col customWidth="1" min="11" max="11" width="5.5"/>
    <col customWidth="1" min="17" max="17" width="11.63"/>
    <col customWidth="1" min="18" max="18" width="18.38"/>
    <col customWidth="1" min="19" max="19" width="6.88"/>
    <col customWidth="1" hidden="1" min="20" max="20" width="5.88"/>
    <col customWidth="1" min="21" max="21" width="5.88"/>
    <col customWidth="1" hidden="1" min="24" max="24" width="8.38"/>
    <col customWidth="1" hidden="1" min="25" max="25" width="9.25"/>
    <col customWidth="1" hidden="1" min="26" max="26" width="10.38"/>
    <col customWidth="1" hidden="1" min="27" max="35" width="5.5"/>
    <col customWidth="1" min="36" max="36" width="8.38"/>
    <col customWidth="1" min="37" max="37" width="7.63"/>
    <col customWidth="1" min="38" max="38" width="5.5"/>
    <col customWidth="1" hidden="1" min="39" max="40" width="5.5"/>
    <col customWidth="1" min="41" max="41" width="7.0"/>
  </cols>
  <sheetData>
    <row r="1">
      <c r="A1" s="136" t="s">
        <v>107</v>
      </c>
      <c r="B1" s="137" t="s">
        <v>1</v>
      </c>
      <c r="C1" s="136" t="s">
        <v>2</v>
      </c>
      <c r="D1" s="136" t="s">
        <v>3</v>
      </c>
      <c r="E1" s="136" t="s">
        <v>4</v>
      </c>
      <c r="F1" s="136" t="s">
        <v>7</v>
      </c>
      <c r="G1" s="138" t="s">
        <v>8</v>
      </c>
      <c r="H1" s="136" t="s">
        <v>9</v>
      </c>
      <c r="I1" s="136" t="s">
        <v>10</v>
      </c>
      <c r="J1" s="139" t="s">
        <v>108</v>
      </c>
      <c r="K1" s="140"/>
      <c r="P1" s="140"/>
      <c r="Q1" s="139" t="s">
        <v>108</v>
      </c>
      <c r="R1" s="137" t="s">
        <v>1</v>
      </c>
      <c r="S1" s="138" t="s">
        <v>109</v>
      </c>
      <c r="T1" s="141" t="s">
        <v>1</v>
      </c>
      <c r="U1" s="136" t="s">
        <v>2</v>
      </c>
      <c r="V1" s="136" t="s">
        <v>3</v>
      </c>
      <c r="W1" s="136" t="s">
        <v>4</v>
      </c>
      <c r="X1" s="136"/>
      <c r="Y1" s="136"/>
      <c r="Z1" s="136"/>
      <c r="AA1" s="136"/>
      <c r="AB1" s="136"/>
      <c r="AC1" s="136"/>
      <c r="AD1" s="136"/>
      <c r="AE1" s="136"/>
      <c r="AF1" s="136"/>
      <c r="AG1" s="136"/>
      <c r="AH1" s="136"/>
      <c r="AI1" s="136"/>
      <c r="AJ1" s="136" t="s">
        <v>7</v>
      </c>
      <c r="AK1" s="138" t="s">
        <v>8</v>
      </c>
      <c r="AL1" s="136" t="s">
        <v>9</v>
      </c>
      <c r="AM1" s="136"/>
      <c r="AN1" s="136"/>
      <c r="AO1" s="136" t="s">
        <v>10</v>
      </c>
    </row>
    <row r="2">
      <c r="A2" s="142">
        <f>IFERROR(__xludf.DUMMYFUNCTION("QUERY(Imports!A1:Z1001,""select A, B, C, D, E, R, S, T, W where G = 'WV' order by B asc"", 0)"),12548.0)</f>
        <v>12548</v>
      </c>
      <c r="B2" s="18" t="str">
        <f>IFERROR(__xludf.DUMMYFUNCTION("""COMPUTED_VALUE"""),"Andy Pages")</f>
        <v>Andy Pages</v>
      </c>
      <c r="C2" s="142">
        <f>IFERROR(__xludf.DUMMYFUNCTION("""COMPUTED_VALUE"""),0.85)</f>
        <v>0.85</v>
      </c>
      <c r="D2" s="17" t="str">
        <f>IFERROR(__xludf.DUMMYFUNCTION("""COMPUTED_VALUE"""),"https://sba-cards-2024.s3.us-east-1.amazonaws.com/2024-cards/andy-pages.png")</f>
        <v>https://sba-cards-2024.s3.us-east-1.amazonaws.com/2024-cards/andy-pages.png</v>
      </c>
      <c r="E2" s="18"/>
      <c r="F2" s="18"/>
      <c r="G2" s="142">
        <f>IFERROR(__xludf.DUMMYFUNCTION("""COMPUTED_VALUE"""),-2.0)</f>
        <v>-2</v>
      </c>
      <c r="H2" s="18"/>
      <c r="I2" s="142" t="str">
        <f>IFERROR(__xludf.DUMMYFUNCTION("""COMPUTED_VALUE"""),"1p60")</f>
        <v>1p60</v>
      </c>
      <c r="J2" s="143"/>
      <c r="Q2" s="143"/>
      <c r="R2" s="144" t="s">
        <v>110</v>
      </c>
      <c r="S2" s="142">
        <f>IFERROR(__xludf.DUMMYFUNCTION("if(R2&lt;&gt;"""",filter(Imports!A:W,Imports!B:B=R2),)"),13007.0)</f>
        <v>13007</v>
      </c>
      <c r="T2" s="142" t="str">
        <f>IFERROR(__xludf.DUMMYFUNCTION("""COMPUTED_VALUE"""),"Jorge Polanco")</f>
        <v>Jorge Polanco</v>
      </c>
      <c r="U2" s="142">
        <f>IFERROR(__xludf.DUMMYFUNCTION("""COMPUTED_VALUE"""),0.48)</f>
        <v>0.48</v>
      </c>
      <c r="V2" s="17" t="str">
        <f>IFERROR(__xludf.DUMMYFUNCTION("""COMPUTED_VALUE"""),"https://sba-cards-2024.s3.us-east-1.amazonaws.com/2024-cards/jorge-polanco.png")</f>
        <v>https://sba-cards-2024.s3.us-east-1.amazonaws.com/2024-cards/jorge-polanco.png</v>
      </c>
      <c r="W2" s="18"/>
      <c r="X2" s="18">
        <f>IFERROR(__xludf.DUMMYFUNCTION("""COMPUTED_VALUE"""),548.0)</f>
        <v>548</v>
      </c>
      <c r="Y2" s="142" t="str">
        <f>IFERROR(__xludf.DUMMYFUNCTION("""COMPUTED_VALUE"""),"WV")</f>
        <v>WV</v>
      </c>
      <c r="Z2" s="18" t="str">
        <f>IFERROR(__xludf.DUMMYFUNCTION("""COMPUTED_VALUE"""),"2B")</f>
        <v>2B</v>
      </c>
      <c r="AA2" s="18"/>
      <c r="AB2" s="18"/>
      <c r="AC2" s="18"/>
      <c r="AD2" s="18"/>
      <c r="AE2" s="18"/>
      <c r="AF2" s="18"/>
      <c r="AG2" s="18"/>
      <c r="AH2" s="18"/>
      <c r="AI2" s="18"/>
      <c r="AJ2" s="142"/>
      <c r="AK2" s="142">
        <f>IFERROR(__xludf.DUMMYFUNCTION("""COMPUTED_VALUE"""),-2.0)</f>
        <v>-2</v>
      </c>
      <c r="AL2" s="18"/>
      <c r="AM2" s="18" t="str">
        <f>IFERROR(__xludf.DUMMYFUNCTION("""COMPUTED_VALUE"""),"Polanco,J")</f>
        <v>Polanco,J</v>
      </c>
      <c r="AN2" s="18" t="str">
        <f>IFERROR(__xludf.DUMMYFUNCTION("""COMPUTED_VALUE"""),"polanjo01")</f>
        <v>polanjo01</v>
      </c>
      <c r="AO2" s="142" t="str">
        <f>IFERROR(__xludf.DUMMYFUNCTION("""COMPUTED_VALUE"""),"2p60")</f>
        <v>2p60</v>
      </c>
    </row>
    <row r="3">
      <c r="A3" s="142">
        <f>IFERROR(__xludf.DUMMYFUNCTION("""COMPUTED_VALUE"""),12553.0)</f>
        <v>12553</v>
      </c>
      <c r="B3" s="18" t="str">
        <f>IFERROR(__xludf.DUMMYFUNCTION("""COMPUTED_VALUE"""),"Anthony Bender")</f>
        <v>Anthony Bender</v>
      </c>
      <c r="C3" s="142">
        <f>IFERROR(__xludf.DUMMYFUNCTION("""COMPUTED_VALUE"""),0.49)</f>
        <v>0.49</v>
      </c>
      <c r="D3" s="17" t="str">
        <f>IFERROR(__xludf.DUMMYFUNCTION("""COMPUTED_VALUE"""),"https://sba-cards-2024.s3.us-east-1.amazonaws.com/2024-cards/anthony-bender.png")</f>
        <v>https://sba-cards-2024.s3.us-east-1.amazonaws.com/2024-cards/anthony-bender.png</v>
      </c>
      <c r="E3" s="18"/>
      <c r="F3" s="18"/>
      <c r="G3" s="142">
        <f>IFERROR(__xludf.DUMMYFUNCTION("""COMPUTED_VALUE"""),-2.0)</f>
        <v>-2</v>
      </c>
      <c r="H3" s="18"/>
      <c r="I3" s="142" t="str">
        <f>IFERROR(__xludf.DUMMYFUNCTION("""COMPUTED_VALUE"""),"2p50")</f>
        <v>2p50</v>
      </c>
      <c r="J3" s="143"/>
      <c r="L3" s="145" t="s">
        <v>111</v>
      </c>
      <c r="M3" s="145" t="s">
        <v>112</v>
      </c>
      <c r="N3" s="145" t="s">
        <v>113</v>
      </c>
      <c r="O3" s="145" t="s">
        <v>114</v>
      </c>
      <c r="P3" s="146" t="s">
        <v>115</v>
      </c>
      <c r="Q3" s="143"/>
      <c r="R3" s="144" t="s">
        <v>116</v>
      </c>
      <c r="S3" s="142">
        <f>IFERROR(__xludf.DUMMYFUNCTION("if(R3&lt;&gt;"""",filter(Imports!A:W,Imports!B:B=R3),)"),12553.0)</f>
        <v>12553</v>
      </c>
      <c r="T3" s="142" t="str">
        <f>IFERROR(__xludf.DUMMYFUNCTION("""COMPUTED_VALUE"""),"Anthony Bender")</f>
        <v>Anthony Bender</v>
      </c>
      <c r="U3" s="142">
        <f>IFERROR(__xludf.DUMMYFUNCTION("""COMPUTED_VALUE"""),0.49)</f>
        <v>0.49</v>
      </c>
      <c r="V3" s="17" t="str">
        <f>IFERROR(__xludf.DUMMYFUNCTION("""COMPUTED_VALUE"""),"https://sba-cards-2024.s3.us-east-1.amazonaws.com/2024-cards/anthony-bender.png")</f>
        <v>https://sba-cards-2024.s3.us-east-1.amazonaws.com/2024-cards/anthony-bender.png</v>
      </c>
      <c r="W3" s="18"/>
      <c r="X3" s="18">
        <f>IFERROR(__xludf.DUMMYFUNCTION("""COMPUTED_VALUE"""),548.0)</f>
        <v>548</v>
      </c>
      <c r="Y3" s="142" t="str">
        <f>IFERROR(__xludf.DUMMYFUNCTION("""COMPUTED_VALUE"""),"WV")</f>
        <v>WV</v>
      </c>
      <c r="Z3" s="18" t="str">
        <f>IFERROR(__xludf.DUMMYFUNCTION("""COMPUTED_VALUE"""),"RP")</f>
        <v>RP</v>
      </c>
      <c r="AA3" s="18" t="str">
        <f>IFERROR(__xludf.DUMMYFUNCTION("""COMPUTED_VALUE"""),"CP")</f>
        <v>CP</v>
      </c>
      <c r="AB3" s="18"/>
      <c r="AC3" s="18"/>
      <c r="AD3" s="18"/>
      <c r="AE3" s="18"/>
      <c r="AF3" s="18"/>
      <c r="AG3" s="18"/>
      <c r="AH3" s="18"/>
      <c r="AI3" s="18"/>
      <c r="AJ3" s="142"/>
      <c r="AK3" s="142">
        <f>IFERROR(__xludf.DUMMYFUNCTION("""COMPUTED_VALUE"""),-2.0)</f>
        <v>-2</v>
      </c>
      <c r="AL3" s="18"/>
      <c r="AM3" s="18" t="str">
        <f>IFERROR(__xludf.DUMMYFUNCTION("""COMPUTED_VALUE"""),"Bender,A")</f>
        <v>Bender,A</v>
      </c>
      <c r="AN3" s="18" t="str">
        <f>IFERROR(__xludf.DUMMYFUNCTION("""COMPUTED_VALUE"""),"bendean01")</f>
        <v>bendean01</v>
      </c>
      <c r="AO3" s="142" t="str">
        <f>IFERROR(__xludf.DUMMYFUNCTION("""COMPUTED_VALUE"""),"2p50")</f>
        <v>2p50</v>
      </c>
    </row>
    <row r="4">
      <c r="A4" s="142">
        <f>IFERROR(__xludf.DUMMYFUNCTION("""COMPUTED_VALUE"""),12573.0)</f>
        <v>12573</v>
      </c>
      <c r="B4" s="18" t="str">
        <f>IFERROR(__xludf.DUMMYFUNCTION("""COMPUTED_VALUE"""),"Ben Brown")</f>
        <v>Ben Brown</v>
      </c>
      <c r="C4" s="142">
        <f>IFERROR(__xludf.DUMMYFUNCTION("""COMPUTED_VALUE"""),1.22)</f>
        <v>1.22</v>
      </c>
      <c r="D4" s="17" t="str">
        <f>IFERROR(__xludf.DUMMYFUNCTION("""COMPUTED_VALUE"""),"https://sba-cards-2024.s3.us-east-1.amazonaws.com/2024-cards/ben-brown.png")</f>
        <v>https://sba-cards-2024.s3.us-east-1.amazonaws.com/2024-cards/ben-brown.png</v>
      </c>
      <c r="E4" s="18"/>
      <c r="F4" s="18" t="str">
        <f>IFERROR(__xludf.DUMMYFUNCTION("""COMPUTED_VALUE"""),"w07g2")</f>
        <v>w07g2</v>
      </c>
      <c r="G4" s="142">
        <f>IFERROR(__xludf.DUMMYFUNCTION("""COMPUTED_VALUE"""),-2.0)</f>
        <v>-2</v>
      </c>
      <c r="H4" s="18"/>
      <c r="I4" s="142" t="str">
        <f>IFERROR(__xludf.DUMMYFUNCTION("""COMPUTED_VALUE"""),"5p30")</f>
        <v>5p30</v>
      </c>
      <c r="J4" s="143"/>
      <c r="L4" s="147">
        <f>sum(C2:C33)</f>
        <v>26.93</v>
      </c>
      <c r="M4" s="147">
        <f>sumif(J2:J33,"&lt;&gt;",C2:C33)</f>
        <v>0.08</v>
      </c>
      <c r="N4" s="147">
        <f>sumif(J36:J48,"WV",C36:C48)+sumif(J52:J60,"WV",C52:C60)+sumif(Q2:Q35,"WV",U2:U35)</f>
        <v>0</v>
      </c>
      <c r="O4" s="148">
        <f>L4-M4+N4</f>
        <v>26.85</v>
      </c>
      <c r="P4" s="147">
        <f t="array" ref="P4">xlookup("WV",Imports!AC2:AC30,Imports!AU2:AU30)</f>
        <v>29.5</v>
      </c>
      <c r="Q4" s="143"/>
      <c r="R4" s="144" t="s">
        <v>117</v>
      </c>
      <c r="S4" s="142">
        <f>IFERROR(__xludf.DUMMYFUNCTION("if(R4&lt;&gt;"""",filter(Imports!A:W,Imports!B:B=R4),)"),13389.0)</f>
        <v>13389</v>
      </c>
      <c r="T4" s="142" t="str">
        <f>IFERROR(__xludf.DUMMYFUNCTION("""COMPUTED_VALUE"""),"Stephen Kolek")</f>
        <v>Stephen Kolek</v>
      </c>
      <c r="U4" s="142">
        <f>IFERROR(__xludf.DUMMYFUNCTION("""COMPUTED_VALUE"""),0.0)</f>
        <v>0</v>
      </c>
      <c r="V4" s="17" t="str">
        <f>IFERROR(__xludf.DUMMYFUNCTION("""COMPUTED_VALUE"""),"https://sba-cards-2024.s3.us-east-1.amazonaws.com/2024-cards/stephen-kolek.png")</f>
        <v>https://sba-cards-2024.s3.us-east-1.amazonaws.com/2024-cards/stephen-kolek.png</v>
      </c>
      <c r="W4" s="18"/>
      <c r="X4" s="18">
        <f>IFERROR(__xludf.DUMMYFUNCTION("""COMPUTED_VALUE"""),569.0)</f>
        <v>569</v>
      </c>
      <c r="Y4" s="142" t="str">
        <f>IFERROR(__xludf.DUMMYFUNCTION("""COMPUTED_VALUE"""),"POR")</f>
        <v>POR</v>
      </c>
      <c r="Z4" s="18" t="str">
        <f>IFERROR(__xludf.DUMMYFUNCTION("""COMPUTED_VALUE"""),"RP")</f>
        <v>RP</v>
      </c>
      <c r="AA4" s="18"/>
      <c r="AB4" s="18"/>
      <c r="AC4" s="18"/>
      <c r="AD4" s="18"/>
      <c r="AE4" s="18"/>
      <c r="AF4" s="18"/>
      <c r="AG4" s="18"/>
      <c r="AH4" s="18"/>
      <c r="AI4" s="18"/>
      <c r="AJ4" s="142"/>
      <c r="AK4" s="142">
        <f>IFERROR(__xludf.DUMMYFUNCTION("""COMPUTED_VALUE"""),-2.0)</f>
        <v>-2</v>
      </c>
      <c r="AL4" s="18"/>
      <c r="AM4" s="18" t="str">
        <f>IFERROR(__xludf.DUMMYFUNCTION("""COMPUTED_VALUE"""),"Kolek,S")</f>
        <v>Kolek,S</v>
      </c>
      <c r="AN4" s="18" t="str">
        <f>IFERROR(__xludf.DUMMYFUNCTION("""COMPUTED_VALUE"""),"kolekst01")</f>
        <v>kolekst01</v>
      </c>
      <c r="AO4" s="142" t="str">
        <f>IFERROR(__xludf.DUMMYFUNCTION("""COMPUTED_VALUE"""),"5p30")</f>
        <v>5p30</v>
      </c>
    </row>
    <row r="5">
      <c r="A5" s="142">
        <f>IFERROR(__xludf.DUMMYFUNCTION("""COMPUTED_VALUE"""),12577.0)</f>
        <v>12577</v>
      </c>
      <c r="B5" s="18" t="str">
        <f>IFERROR(__xludf.DUMMYFUNCTION("""COMPUTED_VALUE"""),"Ben Rice")</f>
        <v>Ben Rice</v>
      </c>
      <c r="C5" s="142">
        <f>IFERROR(__xludf.DUMMYFUNCTION("""COMPUTED_VALUE"""),0.0)</f>
        <v>0</v>
      </c>
      <c r="D5" s="17" t="str">
        <f>IFERROR(__xludf.DUMMYFUNCTION("""COMPUTED_VALUE"""),"https://sba-cards-2024.s3.us-east-1.amazonaws.com/2024-cards/ben-rice.png")</f>
        <v>https://sba-cards-2024.s3.us-east-1.amazonaws.com/2024-cards/ben-rice.png</v>
      </c>
      <c r="E5" s="18"/>
      <c r="F5" s="18"/>
      <c r="G5" s="142">
        <f>IFERROR(__xludf.DUMMYFUNCTION("""COMPUTED_VALUE"""),-2.0)</f>
        <v>-2</v>
      </c>
      <c r="H5" s="18"/>
      <c r="I5" s="142" t="str">
        <f>IFERROR(__xludf.DUMMYFUNCTION("""COMPUTED_VALUE"""),"1p30")</f>
        <v>1p30</v>
      </c>
      <c r="J5" s="143"/>
      <c r="L5" s="149"/>
      <c r="M5" s="149"/>
      <c r="N5" s="149"/>
      <c r="O5" s="149"/>
      <c r="P5" s="149"/>
      <c r="Q5" s="143"/>
      <c r="R5" s="144" t="s">
        <v>118</v>
      </c>
      <c r="S5" s="142">
        <f>IFERROR(__xludf.DUMMYFUNCTION("if(R5&lt;&gt;"""",filter(Imports!A:W,Imports!B:B=R5),)"),13205.0)</f>
        <v>13205</v>
      </c>
      <c r="T5" s="142" t="str">
        <f>IFERROR(__xludf.DUMMYFUNCTION("""COMPUTED_VALUE"""),"Mickey Moniak")</f>
        <v>Mickey Moniak</v>
      </c>
      <c r="U5" s="142">
        <f>IFERROR(__xludf.DUMMYFUNCTION("""COMPUTED_VALUE"""),0.0)</f>
        <v>0</v>
      </c>
      <c r="V5" s="17" t="str">
        <f>IFERROR(__xludf.DUMMYFUNCTION("""COMPUTED_VALUE"""),"https://sba-cards-2024.s3.us-east-1.amazonaws.com/2024-cards/mickey-moniak.png")</f>
        <v>https://sba-cards-2024.s3.us-east-1.amazonaws.com/2024-cards/mickey-moniak.png</v>
      </c>
      <c r="W5" s="18"/>
      <c r="X5" s="18">
        <f>IFERROR(__xludf.DUMMYFUNCTION("""COMPUTED_VALUE"""),548.0)</f>
        <v>548</v>
      </c>
      <c r="Y5" s="142" t="str">
        <f>IFERROR(__xludf.DUMMYFUNCTION("""COMPUTED_VALUE"""),"WV")</f>
        <v>WV</v>
      </c>
      <c r="Z5" s="18" t="str">
        <f>IFERROR(__xludf.DUMMYFUNCTION("""COMPUTED_VALUE"""),"CF")</f>
        <v>CF</v>
      </c>
      <c r="AA5" s="18" t="str">
        <f>IFERROR(__xludf.DUMMYFUNCTION("""COMPUTED_VALUE"""),"RF")</f>
        <v>RF</v>
      </c>
      <c r="AB5" s="18" t="str">
        <f>IFERROR(__xludf.DUMMYFUNCTION("""COMPUTED_VALUE"""),"LF")</f>
        <v>LF</v>
      </c>
      <c r="AC5" s="18"/>
      <c r="AD5" s="18"/>
      <c r="AE5" s="18"/>
      <c r="AF5" s="18"/>
      <c r="AG5" s="18"/>
      <c r="AH5" s="18"/>
      <c r="AI5" s="18"/>
      <c r="AJ5" s="142"/>
      <c r="AK5" s="142">
        <f>IFERROR(__xludf.DUMMYFUNCTION("""COMPUTED_VALUE"""),-2.0)</f>
        <v>-2</v>
      </c>
      <c r="AL5" s="18"/>
      <c r="AM5" s="18" t="str">
        <f>IFERROR(__xludf.DUMMYFUNCTION("""COMPUTED_VALUE"""),"Moniak,M")</f>
        <v>Moniak,M</v>
      </c>
      <c r="AN5" s="18" t="str">
        <f>IFERROR(__xludf.DUMMYFUNCTION("""COMPUTED_VALUE"""),"moniami01")</f>
        <v>moniami01</v>
      </c>
      <c r="AO5" s="142" t="str">
        <f>IFERROR(__xludf.DUMMYFUNCTION("""COMPUTED_VALUE"""),"1p60")</f>
        <v>1p60</v>
      </c>
    </row>
    <row r="6">
      <c r="A6" s="142">
        <f>IFERROR(__xludf.DUMMYFUNCTION("""COMPUTED_VALUE"""),12665.0)</f>
        <v>12665</v>
      </c>
      <c r="B6" s="18" t="str">
        <f>IFERROR(__xludf.DUMMYFUNCTION("""COMPUTED_VALUE"""),"Cedric Mullins")</f>
        <v>Cedric Mullins</v>
      </c>
      <c r="C6" s="142">
        <f>IFERROR(__xludf.DUMMYFUNCTION("""COMPUTED_VALUE"""),1.51)</f>
        <v>1.51</v>
      </c>
      <c r="D6" s="17" t="str">
        <f>IFERROR(__xludf.DUMMYFUNCTION("""COMPUTED_VALUE"""),"https://sba-cards-2024.s3.us-east-1.amazonaws.com/2024-cards/cedric-mullins.png")</f>
        <v>https://sba-cards-2024.s3.us-east-1.amazonaws.com/2024-cards/cedric-mullins.png</v>
      </c>
      <c r="E6" s="18"/>
      <c r="F6" s="18"/>
      <c r="G6" s="142">
        <f>IFERROR(__xludf.DUMMYFUNCTION("""COMPUTED_VALUE"""),-2.0)</f>
        <v>-2</v>
      </c>
      <c r="H6" s="18"/>
      <c r="I6" s="142" t="str">
        <f>IFERROR(__xludf.DUMMYFUNCTION("""COMPUTED_VALUE"""),"1p65")</f>
        <v>1p65</v>
      </c>
      <c r="J6" s="143"/>
      <c r="L6" s="145" t="s">
        <v>119</v>
      </c>
      <c r="M6" s="145" t="s">
        <v>119</v>
      </c>
      <c r="N6" s="145" t="s">
        <v>119</v>
      </c>
      <c r="O6" s="145" t="s">
        <v>119</v>
      </c>
      <c r="Q6" s="143"/>
      <c r="R6" s="144"/>
      <c r="S6" s="142" t="str">
        <f>IFERROR(__xludf.DUMMYFUNCTION("if(R6&lt;&gt;"""",filter(Imports!A:W,Imports!B:B=R6),)"),"")</f>
        <v/>
      </c>
      <c r="T6" s="142"/>
      <c r="U6" s="142"/>
      <c r="V6" s="18"/>
      <c r="W6" s="18"/>
      <c r="X6" s="18"/>
      <c r="Y6" s="142"/>
      <c r="Z6" s="18"/>
      <c r="AA6" s="18"/>
      <c r="AB6" s="18"/>
      <c r="AC6" s="18"/>
      <c r="AD6" s="18"/>
      <c r="AE6" s="18"/>
      <c r="AF6" s="18"/>
      <c r="AG6" s="18"/>
      <c r="AH6" s="18"/>
      <c r="AI6" s="18"/>
      <c r="AJ6" s="142"/>
      <c r="AK6" s="142"/>
      <c r="AL6" s="18"/>
      <c r="AM6" s="18"/>
      <c r="AN6" s="18"/>
      <c r="AO6" s="142"/>
    </row>
    <row r="7">
      <c r="A7" s="142">
        <f>IFERROR(__xludf.DUMMYFUNCTION("""COMPUTED_VALUE"""),12751.0)</f>
        <v>12751</v>
      </c>
      <c r="B7" s="18" t="str">
        <f>IFERROR(__xludf.DUMMYFUNCTION("""COMPUTED_VALUE"""),"Dedniel Nunez")</f>
        <v>Dedniel Nunez</v>
      </c>
      <c r="C7" s="142">
        <f>IFERROR(__xludf.DUMMYFUNCTION("""COMPUTED_VALUE"""),1.65)</f>
        <v>1.65</v>
      </c>
      <c r="D7" s="17" t="str">
        <f>IFERROR(__xludf.DUMMYFUNCTION("""COMPUTED_VALUE"""),"https://sba-cards-2024.s3.us-east-1.amazonaws.com/2024-cards/dedniel-nunez.png")</f>
        <v>https://sba-cards-2024.s3.us-east-1.amazonaws.com/2024-cards/dedniel-nunez.png</v>
      </c>
      <c r="E7" s="18"/>
      <c r="F7" s="18"/>
      <c r="G7" s="142">
        <f>IFERROR(__xludf.DUMMYFUNCTION("""COMPUTED_VALUE"""),-2.0)</f>
        <v>-2</v>
      </c>
      <c r="H7" s="18"/>
      <c r="I7" s="142" t="str">
        <f>IFERROR(__xludf.DUMMYFUNCTION("""COMPUTED_VALUE"""),"5p20")</f>
        <v>5p20</v>
      </c>
      <c r="J7" s="143"/>
      <c r="L7" s="147">
        <f>counta(B2:B33)</f>
        <v>26</v>
      </c>
      <c r="M7" s="147">
        <f>counta(J2:J33)</f>
        <v>1</v>
      </c>
      <c r="N7" s="147">
        <f>countif(J36:J49,"WV")+countif(J52:J60,"WV")+countif(Q2:Q35,"WV")</f>
        <v>1</v>
      </c>
      <c r="O7" s="148">
        <f>L7-M7+N7</f>
        <v>26</v>
      </c>
      <c r="Q7" s="143"/>
      <c r="R7" s="144"/>
      <c r="S7" s="142" t="str">
        <f>IFERROR(__xludf.DUMMYFUNCTION("if(R7&lt;&gt;"""",filter(Imports!A:W,Imports!B:B=R7),)"),"")</f>
        <v/>
      </c>
      <c r="T7" s="142"/>
      <c r="U7" s="142"/>
      <c r="V7" s="18"/>
      <c r="W7" s="18"/>
      <c r="X7" s="18"/>
      <c r="Y7" s="142"/>
      <c r="Z7" s="18"/>
      <c r="AA7" s="18"/>
      <c r="AB7" s="18"/>
      <c r="AC7" s="18"/>
      <c r="AD7" s="18"/>
      <c r="AE7" s="18"/>
      <c r="AF7" s="18"/>
      <c r="AG7" s="18"/>
      <c r="AH7" s="18"/>
      <c r="AI7" s="18"/>
      <c r="AJ7" s="142"/>
      <c r="AK7" s="142"/>
      <c r="AL7" s="18"/>
      <c r="AM7" s="18"/>
      <c r="AN7" s="18"/>
      <c r="AO7" s="142"/>
    </row>
    <row r="8">
      <c r="A8" s="142">
        <f>IFERROR(__xludf.DUMMYFUNCTION("""COMPUTED_VALUE"""),12752.0)</f>
        <v>12752</v>
      </c>
      <c r="B8" s="18" t="str">
        <f>IFERROR(__xludf.DUMMYFUNCTION("""COMPUTED_VALUE"""),"Dennis Santana")</f>
        <v>Dennis Santana</v>
      </c>
      <c r="C8" s="142">
        <f>IFERROR(__xludf.DUMMYFUNCTION("""COMPUTED_VALUE"""),0.9)</f>
        <v>0.9</v>
      </c>
      <c r="D8" s="17" t="str">
        <f>IFERROR(__xludf.DUMMYFUNCTION("""COMPUTED_VALUE"""),"https://sba-cards-2024.s3.us-east-1.amazonaws.com/2024-cards/dennis-santana.png")</f>
        <v>https://sba-cards-2024.s3.us-east-1.amazonaws.com/2024-cards/dennis-santana.png</v>
      </c>
      <c r="E8" s="18"/>
      <c r="F8" s="18"/>
      <c r="G8" s="142">
        <f>IFERROR(__xludf.DUMMYFUNCTION("""COMPUTED_VALUE"""),-2.0)</f>
        <v>-2</v>
      </c>
      <c r="H8" s="18"/>
      <c r="I8" s="142" t="str">
        <f>IFERROR(__xludf.DUMMYFUNCTION("""COMPUTED_VALUE"""),"1p40")</f>
        <v>1p40</v>
      </c>
      <c r="J8" s="143"/>
      <c r="L8" s="149"/>
      <c r="M8" s="149"/>
      <c r="N8" s="149"/>
      <c r="O8" s="149"/>
      <c r="Q8" s="150"/>
      <c r="R8" s="18"/>
      <c r="S8" s="142" t="str">
        <f>IFERROR(__xludf.DUMMYFUNCTION("if(R8&lt;&gt;"""",filter(Imports!A:W,Imports!B:B=R8),)"),"")</f>
        <v/>
      </c>
      <c r="T8" s="142"/>
      <c r="U8" s="142"/>
      <c r="V8" s="18"/>
      <c r="W8" s="18"/>
      <c r="X8" s="18"/>
      <c r="Y8" s="142"/>
      <c r="Z8" s="18"/>
      <c r="AA8" s="18"/>
      <c r="AB8" s="18"/>
      <c r="AC8" s="18"/>
      <c r="AD8" s="18"/>
      <c r="AE8" s="18"/>
      <c r="AF8" s="18"/>
      <c r="AG8" s="18"/>
      <c r="AH8" s="18"/>
      <c r="AI8" s="18"/>
      <c r="AJ8" s="142"/>
      <c r="AK8" s="142"/>
      <c r="AL8" s="18"/>
      <c r="AM8" s="18"/>
      <c r="AN8" s="18"/>
      <c r="AO8" s="142"/>
    </row>
    <row r="9">
      <c r="A9" s="142">
        <f>IFERROR(__xludf.DUMMYFUNCTION("""COMPUTED_VALUE"""),12857.0)</f>
        <v>12857</v>
      </c>
      <c r="B9" s="18" t="str">
        <f>IFERROR(__xludf.DUMMYFUNCTION("""COMPUTED_VALUE"""),"Griffin Canning")</f>
        <v>Griffin Canning</v>
      </c>
      <c r="C9" s="142">
        <f>IFERROR(__xludf.DUMMYFUNCTION("""COMPUTED_VALUE"""),0.08)</f>
        <v>0.08</v>
      </c>
      <c r="D9" s="17" t="str">
        <f>IFERROR(__xludf.DUMMYFUNCTION("""COMPUTED_VALUE"""),"https://sba-cards-2024.s3.us-east-1.amazonaws.com/2024-cards/griffin-canning.png")</f>
        <v>https://sba-cards-2024.s3.us-east-1.amazonaws.com/2024-cards/griffin-canning.png</v>
      </c>
      <c r="E9" s="18"/>
      <c r="F9" s="18"/>
      <c r="G9" s="142">
        <f>IFERROR(__xludf.DUMMYFUNCTION("""COMPUTED_VALUE"""),-2.0)</f>
        <v>-2</v>
      </c>
      <c r="H9" s="18"/>
      <c r="I9" s="142" t="str">
        <f>IFERROR(__xludf.DUMMYFUNCTION("""COMPUTED_VALUE"""),"1p70")</f>
        <v>1p70</v>
      </c>
      <c r="J9" s="143" t="s">
        <v>120</v>
      </c>
      <c r="Q9" s="143"/>
      <c r="R9" s="144"/>
      <c r="S9" s="142" t="str">
        <f>IFERROR(__xludf.DUMMYFUNCTION("if(R9&lt;&gt;"""",filter(Imports!A:W,Imports!B:B=R9),)"),"")</f>
        <v/>
      </c>
      <c r="T9" s="142"/>
      <c r="U9" s="142"/>
      <c r="V9" s="18"/>
      <c r="W9" s="18"/>
      <c r="X9" s="18"/>
      <c r="Y9" s="142"/>
      <c r="Z9" s="18"/>
      <c r="AA9" s="18"/>
      <c r="AB9" s="18"/>
      <c r="AC9" s="18"/>
      <c r="AD9" s="18"/>
      <c r="AE9" s="18"/>
      <c r="AF9" s="18"/>
      <c r="AG9" s="18"/>
      <c r="AH9" s="18"/>
      <c r="AI9" s="18"/>
      <c r="AJ9" s="142"/>
      <c r="AK9" s="142"/>
      <c r="AL9" s="18"/>
      <c r="AM9" s="18"/>
      <c r="AN9" s="18"/>
      <c r="AO9" s="142"/>
    </row>
    <row r="10">
      <c r="A10" s="142">
        <f>IFERROR(__xludf.DUMMYFUNCTION("""COMPUTED_VALUE"""),12885.0)</f>
        <v>12885</v>
      </c>
      <c r="B10" s="18" t="str">
        <f>IFERROR(__xludf.DUMMYFUNCTION("""COMPUTED_VALUE"""),"Ildemaro Vargas")</f>
        <v>Ildemaro Vargas</v>
      </c>
      <c r="C10" s="142">
        <f>IFERROR(__xludf.DUMMYFUNCTION("""COMPUTED_VALUE"""),0.0)</f>
        <v>0</v>
      </c>
      <c r="D10" s="17" t="str">
        <f>IFERROR(__xludf.DUMMYFUNCTION("""COMPUTED_VALUE"""),"https://sba-cards-2024.s3.us-east-1.amazonaws.com/2024-cards/ildemaro-vargas.png")</f>
        <v>https://sba-cards-2024.s3.us-east-1.amazonaws.com/2024-cards/ildemaro-vargas.png</v>
      </c>
      <c r="E10" s="18"/>
      <c r="F10" s="18"/>
      <c r="G10" s="142">
        <f>IFERROR(__xludf.DUMMYFUNCTION("""COMPUTED_VALUE"""),-2.0)</f>
        <v>-2</v>
      </c>
      <c r="H10" s="18"/>
      <c r="I10" s="142" t="str">
        <f>IFERROR(__xludf.DUMMYFUNCTION("""COMPUTED_VALUE"""),"1p50")</f>
        <v>1p50</v>
      </c>
      <c r="J10" s="143"/>
      <c r="L10" s="145" t="s">
        <v>121</v>
      </c>
      <c r="M10" s="145" t="s">
        <v>122</v>
      </c>
      <c r="N10" s="145" t="s">
        <v>123</v>
      </c>
      <c r="O10" s="145" t="s">
        <v>124</v>
      </c>
      <c r="Q10" s="143"/>
      <c r="R10" s="144"/>
      <c r="S10" s="142" t="str">
        <f>IFERROR(__xludf.DUMMYFUNCTION("if(R10&lt;&gt;"""",filter(Imports!A:W,Imports!B:B=R10),)"),"")</f>
        <v/>
      </c>
      <c r="T10" s="142"/>
      <c r="U10" s="142"/>
      <c r="V10" s="18"/>
      <c r="W10" s="18"/>
      <c r="X10" s="18"/>
      <c r="Y10" s="142"/>
      <c r="Z10" s="18"/>
      <c r="AA10" s="18"/>
      <c r="AB10" s="18"/>
      <c r="AC10" s="18"/>
      <c r="AD10" s="18"/>
      <c r="AE10" s="18"/>
      <c r="AF10" s="18"/>
      <c r="AG10" s="18"/>
      <c r="AH10" s="18"/>
      <c r="AI10" s="18"/>
      <c r="AJ10" s="142"/>
      <c r="AK10" s="142"/>
      <c r="AL10" s="18"/>
      <c r="AM10" s="18"/>
      <c r="AN10" s="18"/>
      <c r="AO10" s="142"/>
    </row>
    <row r="11">
      <c r="A11" s="142">
        <f>IFERROR(__xludf.DUMMYFUNCTION("""COMPUTED_VALUE"""),12927.0)</f>
        <v>12927</v>
      </c>
      <c r="B11" s="18" t="str">
        <f>IFERROR(__xludf.DUMMYFUNCTION("""COMPUTED_VALUE"""),"Jared Jones")</f>
        <v>Jared Jones</v>
      </c>
      <c r="C11" s="142">
        <f>IFERROR(__xludf.DUMMYFUNCTION("""COMPUTED_VALUE"""),1.11)</f>
        <v>1.11</v>
      </c>
      <c r="D11" s="17" t="str">
        <f>IFERROR(__xludf.DUMMYFUNCTION("""COMPUTED_VALUE"""),"https://sba-cards-2024.s3.us-east-1.amazonaws.com/2024-cards/jared-jones.png")</f>
        <v>https://sba-cards-2024.s3.us-east-1.amazonaws.com/2024-cards/jared-jones.png</v>
      </c>
      <c r="E11" s="18"/>
      <c r="F11" s="18"/>
      <c r="G11" s="142">
        <f>IFERROR(__xludf.DUMMYFUNCTION("""COMPUTED_VALUE"""),-2.0)</f>
        <v>-2</v>
      </c>
      <c r="H11" s="18"/>
      <c r="I11" s="142" t="str">
        <f>IFERROR(__xludf.DUMMYFUNCTION("""COMPUTED_VALUE"""),"2p65")</f>
        <v>2p65</v>
      </c>
      <c r="J11" s="143"/>
      <c r="L11" s="147">
        <f>counta(B36:B49)</f>
        <v>5</v>
      </c>
      <c r="M11" s="147">
        <f>counta(J36:J49)</f>
        <v>1</v>
      </c>
      <c r="N11" s="147">
        <f>countif(J2:J28,"WVMiL")+countif(J52:J60,"WVMiL")+countif(Q2:Q40,"WVMiL")</f>
        <v>0</v>
      </c>
      <c r="O11" s="148">
        <f>L11-M11+N11</f>
        <v>4</v>
      </c>
      <c r="Q11" s="143"/>
      <c r="R11" s="144"/>
      <c r="S11" s="142" t="str">
        <f>IFERROR(__xludf.DUMMYFUNCTION("if(R11&lt;&gt;"""",filter(Imports!A:W,Imports!B:B=R11),)"),"")</f>
        <v/>
      </c>
      <c r="T11" s="142"/>
      <c r="U11" s="142"/>
      <c r="V11" s="18"/>
      <c r="W11" s="18"/>
      <c r="X11" s="18"/>
      <c r="Y11" s="142"/>
      <c r="Z11" s="18"/>
      <c r="AA11" s="18"/>
      <c r="AB11" s="18"/>
      <c r="AC11" s="18"/>
      <c r="AD11" s="18"/>
      <c r="AE11" s="18"/>
      <c r="AF11" s="18"/>
      <c r="AG11" s="18"/>
      <c r="AH11" s="18"/>
      <c r="AI11" s="18"/>
      <c r="AJ11" s="142"/>
      <c r="AK11" s="142"/>
      <c r="AL11" s="18"/>
      <c r="AM11" s="18"/>
      <c r="AN11" s="18"/>
      <c r="AO11" s="142"/>
    </row>
    <row r="12">
      <c r="A12" s="142">
        <f>IFERROR(__xludf.DUMMYFUNCTION("""COMPUTED_VALUE"""),12961.0)</f>
        <v>12961</v>
      </c>
      <c r="B12" s="18" t="str">
        <f>IFERROR(__xludf.DUMMYFUNCTION("""COMPUTED_VALUE"""),"JJ Bleday")</f>
        <v>JJ Bleday</v>
      </c>
      <c r="C12" s="142">
        <f>IFERROR(__xludf.DUMMYFUNCTION("""COMPUTED_VALUE"""),0.95)</f>
        <v>0.95</v>
      </c>
      <c r="D12" s="17" t="str">
        <f>IFERROR(__xludf.DUMMYFUNCTION("""COMPUTED_VALUE"""),"https://sba-cards-2024.s3.us-east-1.amazonaws.com/2024-cards/jj-bleday.png")</f>
        <v>https://sba-cards-2024.s3.us-east-1.amazonaws.com/2024-cards/jj-bleday.png</v>
      </c>
      <c r="E12" s="18"/>
      <c r="F12" s="18"/>
      <c r="G12" s="142">
        <f>IFERROR(__xludf.DUMMYFUNCTION("""COMPUTED_VALUE"""),-2.0)</f>
        <v>-2</v>
      </c>
      <c r="H12" s="18"/>
      <c r="I12" s="142" t="str">
        <f>IFERROR(__xludf.DUMMYFUNCTION("""COMPUTED_VALUE"""),"1p70")</f>
        <v>1p70</v>
      </c>
      <c r="J12" s="143"/>
      <c r="L12" s="149"/>
      <c r="M12" s="149"/>
      <c r="N12" s="149"/>
      <c r="O12" s="149"/>
      <c r="Q12" s="150"/>
      <c r="R12" s="18"/>
      <c r="S12" s="142" t="str">
        <f>IFERROR(__xludf.DUMMYFUNCTION("if(R12&lt;&gt;"""",filter(Imports!A:W,Imports!B:B=R12),)"),"")</f>
        <v/>
      </c>
      <c r="T12" s="142"/>
      <c r="U12" s="142"/>
      <c r="V12" s="18"/>
      <c r="W12" s="18"/>
      <c r="X12" s="18"/>
      <c r="Y12" s="142"/>
      <c r="Z12" s="18"/>
      <c r="AA12" s="18"/>
      <c r="AB12" s="18"/>
      <c r="AC12" s="18"/>
      <c r="AD12" s="18"/>
      <c r="AE12" s="18"/>
      <c r="AF12" s="18"/>
      <c r="AG12" s="18"/>
      <c r="AH12" s="18"/>
      <c r="AI12" s="18"/>
      <c r="AJ12" s="142"/>
      <c r="AK12" s="142"/>
      <c r="AL12" s="18"/>
      <c r="AM12" s="18"/>
      <c r="AN12" s="18"/>
      <c r="AO12" s="142"/>
    </row>
    <row r="13">
      <c r="A13" s="142">
        <f>IFERROR(__xludf.DUMMYFUNCTION("""COMPUTED_VALUE"""),12967.0)</f>
        <v>12967</v>
      </c>
      <c r="B13" s="18" t="str">
        <f>IFERROR(__xludf.DUMMYFUNCTION("""COMPUTED_VALUE"""),"Joe Mantiply")</f>
        <v>Joe Mantiply</v>
      </c>
      <c r="C13" s="142">
        <f>IFERROR(__xludf.DUMMYFUNCTION("""COMPUTED_VALUE"""),0.48)</f>
        <v>0.48</v>
      </c>
      <c r="D13" s="17" t="str">
        <f>IFERROR(__xludf.DUMMYFUNCTION("""COMPUTED_VALUE"""),"https://sba-cards-2024.s3.us-east-1.amazonaws.com/2024-cards/joe-mantiply.png")</f>
        <v>https://sba-cards-2024.s3.us-east-1.amazonaws.com/2024-cards/joe-mantiply.png</v>
      </c>
      <c r="E13" s="18"/>
      <c r="F13" s="18"/>
      <c r="G13" s="142">
        <f>IFERROR(__xludf.DUMMYFUNCTION("""COMPUTED_VALUE"""),-2.0)</f>
        <v>-2</v>
      </c>
      <c r="H13" s="18"/>
      <c r="I13" s="142" t="str">
        <f>IFERROR(__xludf.DUMMYFUNCTION("""COMPUTED_VALUE"""),"0p72")</f>
        <v>0p72</v>
      </c>
      <c r="J13" s="143"/>
      <c r="Q13" s="150"/>
      <c r="R13" s="18"/>
      <c r="S13" s="142" t="str">
        <f>IFERROR(__xludf.DUMMYFUNCTION("if(R13&lt;&gt;"""",filter(Imports!A:W,Imports!B:B=R13),)"),"")</f>
        <v/>
      </c>
      <c r="T13" s="142"/>
      <c r="U13" s="142"/>
      <c r="V13" s="18"/>
      <c r="W13" s="18"/>
      <c r="X13" s="18"/>
      <c r="Y13" s="142"/>
      <c r="Z13" s="18"/>
      <c r="AA13" s="18"/>
      <c r="AB13" s="18"/>
      <c r="AC13" s="18"/>
      <c r="AD13" s="18"/>
      <c r="AE13" s="18"/>
      <c r="AF13" s="18"/>
      <c r="AG13" s="18"/>
      <c r="AH13" s="18"/>
      <c r="AI13" s="18"/>
      <c r="AJ13" s="142"/>
      <c r="AK13" s="142"/>
      <c r="AL13" s="18"/>
      <c r="AM13" s="18"/>
      <c r="AN13" s="18"/>
      <c r="AO13" s="142"/>
    </row>
    <row r="14">
      <c r="A14" s="142">
        <f>IFERROR(__xludf.DUMMYFUNCTION("""COMPUTED_VALUE"""),12983.0)</f>
        <v>12983</v>
      </c>
      <c r="B14" s="18" t="str">
        <f>IFERROR(__xludf.DUMMYFUNCTION("""COMPUTED_VALUE"""),"John Schreiber")</f>
        <v>John Schreiber</v>
      </c>
      <c r="C14" s="142">
        <f>IFERROR(__xludf.DUMMYFUNCTION("""COMPUTED_VALUE"""),0.46)</f>
        <v>0.46</v>
      </c>
      <c r="D14" s="17" t="str">
        <f>IFERROR(__xludf.DUMMYFUNCTION("""COMPUTED_VALUE"""),"https://sba-cards-2024.s3.us-east-1.amazonaws.com/2024-cards/john-schreiber.png")</f>
        <v>https://sba-cards-2024.s3.us-east-1.amazonaws.com/2024-cards/john-schreiber.png</v>
      </c>
      <c r="E14" s="18"/>
      <c r="F14" s="18"/>
      <c r="G14" s="142">
        <f>IFERROR(__xludf.DUMMYFUNCTION("""COMPUTED_VALUE"""),-2.0)</f>
        <v>-2</v>
      </c>
      <c r="H14" s="18"/>
      <c r="I14" s="142" t="str">
        <f>IFERROR(__xludf.DUMMYFUNCTION("""COMPUTED_VALUE"""),"2p40")</f>
        <v>2p40</v>
      </c>
      <c r="J14" s="143"/>
      <c r="Q14" s="150"/>
      <c r="R14" s="18"/>
      <c r="S14" s="142" t="str">
        <f>IFERROR(__xludf.DUMMYFUNCTION("if(R14&lt;&gt;"""",filter(Imports!A:W,Imports!B:B=R14),)"),"")</f>
        <v/>
      </c>
      <c r="T14" s="142"/>
      <c r="U14" s="142"/>
      <c r="V14" s="18"/>
      <c r="W14" s="18"/>
      <c r="X14" s="18"/>
      <c r="Y14" s="142"/>
      <c r="Z14" s="18"/>
      <c r="AA14" s="18"/>
      <c r="AB14" s="18"/>
      <c r="AC14" s="18"/>
      <c r="AD14" s="18"/>
      <c r="AE14" s="18"/>
      <c r="AF14" s="18"/>
      <c r="AG14" s="18"/>
      <c r="AH14" s="18"/>
      <c r="AI14" s="18"/>
      <c r="AJ14" s="142"/>
      <c r="AK14" s="142"/>
      <c r="AL14" s="18"/>
      <c r="AM14" s="18"/>
      <c r="AN14" s="18"/>
      <c r="AO14" s="142"/>
    </row>
    <row r="15">
      <c r="A15" s="142">
        <f>IFERROR(__xludf.DUMMYFUNCTION("""COMPUTED_VALUE"""),13007.0)</f>
        <v>13007</v>
      </c>
      <c r="B15" s="18" t="str">
        <f>IFERROR(__xludf.DUMMYFUNCTION("""COMPUTED_VALUE"""),"Jorge Polanco")</f>
        <v>Jorge Polanco</v>
      </c>
      <c r="C15" s="142">
        <f>IFERROR(__xludf.DUMMYFUNCTION("""COMPUTED_VALUE"""),0.48)</f>
        <v>0.48</v>
      </c>
      <c r="D15" s="17" t="str">
        <f>IFERROR(__xludf.DUMMYFUNCTION("""COMPUTED_VALUE"""),"https://sba-cards-2024.s3.us-east-1.amazonaws.com/2024-cards/jorge-polanco.png")</f>
        <v>https://sba-cards-2024.s3.us-east-1.amazonaws.com/2024-cards/jorge-polanco.png</v>
      </c>
      <c r="E15" s="18"/>
      <c r="F15" s="18"/>
      <c r="G15" s="142">
        <f>IFERROR(__xludf.DUMMYFUNCTION("""COMPUTED_VALUE"""),-2.0)</f>
        <v>-2</v>
      </c>
      <c r="H15" s="18"/>
      <c r="I15" s="142" t="str">
        <f>IFERROR(__xludf.DUMMYFUNCTION("""COMPUTED_VALUE"""),"2p60")</f>
        <v>2p60</v>
      </c>
      <c r="J15" s="143"/>
      <c r="L15" s="151" t="s">
        <v>125</v>
      </c>
      <c r="Q15" s="150"/>
      <c r="R15" s="18"/>
      <c r="S15" s="142" t="str">
        <f>IFERROR(__xludf.DUMMYFUNCTION("if(R15&lt;&gt;"""",filter(Imports!A:W,Imports!B:B=R15),)"),"")</f>
        <v/>
      </c>
      <c r="T15" s="142"/>
      <c r="U15" s="142"/>
      <c r="V15" s="18"/>
      <c r="W15" s="18"/>
      <c r="X15" s="18"/>
      <c r="Y15" s="142"/>
      <c r="Z15" s="18"/>
      <c r="AA15" s="18"/>
      <c r="AB15" s="18"/>
      <c r="AC15" s="18"/>
      <c r="AD15" s="18"/>
      <c r="AE15" s="18"/>
      <c r="AF15" s="18"/>
      <c r="AG15" s="18"/>
      <c r="AH15" s="18"/>
      <c r="AI15" s="18"/>
      <c r="AJ15" s="142"/>
      <c r="AK15" s="142"/>
      <c r="AL15" s="18"/>
      <c r="AM15" s="18"/>
      <c r="AN15" s="18"/>
      <c r="AO15" s="142"/>
    </row>
    <row r="16">
      <c r="A16" s="142">
        <f>IFERROR(__xludf.DUMMYFUNCTION("""COMPUTED_VALUE"""),13036.0)</f>
        <v>13036</v>
      </c>
      <c r="B16" s="18" t="str">
        <f>IFERROR(__xludf.DUMMYFUNCTION("""COMPUTED_VALUE"""),"Josh Naylor")</f>
        <v>Josh Naylor</v>
      </c>
      <c r="C16" s="142">
        <f>IFERROR(__xludf.DUMMYFUNCTION("""COMPUTED_VALUE"""),0.69)</f>
        <v>0.69</v>
      </c>
      <c r="D16" s="17" t="str">
        <f>IFERROR(__xludf.DUMMYFUNCTION("""COMPUTED_VALUE"""),"https://sba-cards-2024.s3.us-east-1.amazonaws.com/2024-cards/josh-naylor.png")</f>
        <v>https://sba-cards-2024.s3.us-east-1.amazonaws.com/2024-cards/josh-naylor.png</v>
      </c>
      <c r="E16" s="18"/>
      <c r="F16" s="18"/>
      <c r="G16" s="142">
        <f>IFERROR(__xludf.DUMMYFUNCTION("""COMPUTED_VALUE"""),-2.0)</f>
        <v>-2</v>
      </c>
      <c r="H16" s="18"/>
      <c r="I16" s="142" t="str">
        <f>IFERROR(__xludf.DUMMYFUNCTION("""COMPUTED_VALUE"""),"1p70")</f>
        <v>1p70</v>
      </c>
      <c r="J16" s="143"/>
      <c r="Q16" s="150"/>
      <c r="R16" s="18"/>
      <c r="S16" s="142" t="str">
        <f>IFERROR(__xludf.DUMMYFUNCTION("if(R16&lt;&gt;"""",filter(Imports!A:W,Imports!B:B=R16),)"),"")</f>
        <v/>
      </c>
      <c r="T16" s="142"/>
      <c r="U16" s="142"/>
      <c r="V16" s="18"/>
      <c r="W16" s="18"/>
      <c r="X16" s="18"/>
      <c r="Y16" s="142"/>
      <c r="Z16" s="18"/>
      <c r="AA16" s="18"/>
      <c r="AB16" s="18"/>
      <c r="AC16" s="18"/>
      <c r="AD16" s="18"/>
      <c r="AE16" s="18"/>
      <c r="AF16" s="18"/>
      <c r="AG16" s="18"/>
      <c r="AH16" s="18"/>
      <c r="AI16" s="18"/>
      <c r="AJ16" s="142"/>
      <c r="AK16" s="142"/>
      <c r="AL16" s="18"/>
      <c r="AM16" s="18"/>
      <c r="AN16" s="18"/>
      <c r="AO16" s="142"/>
    </row>
    <row r="17">
      <c r="A17" s="142">
        <f>IFERROR(__xludf.DUMMYFUNCTION("""COMPUTED_VALUE"""),13046.0)</f>
        <v>13046</v>
      </c>
      <c r="B17" s="18" t="str">
        <f>IFERROR(__xludf.DUMMYFUNCTION("""COMPUTED_VALUE"""),"JT Realmuto")</f>
        <v>JT Realmuto</v>
      </c>
      <c r="C17" s="142">
        <f>IFERROR(__xludf.DUMMYFUNCTION("""COMPUTED_VALUE"""),2.11)</f>
        <v>2.11</v>
      </c>
      <c r="D17" s="17" t="str">
        <f>IFERROR(__xludf.DUMMYFUNCTION("""COMPUTED_VALUE"""),"https://sba-cards-2024.s3.us-east-1.amazonaws.com/2024-cards/jt-realmuto.png")</f>
        <v>https://sba-cards-2024.s3.us-east-1.amazonaws.com/2024-cards/jt-realmuto.png</v>
      </c>
      <c r="E17" s="18"/>
      <c r="F17" s="18"/>
      <c r="G17" s="142">
        <f>IFERROR(__xludf.DUMMYFUNCTION("""COMPUTED_VALUE"""),-2.0)</f>
        <v>-2</v>
      </c>
      <c r="H17" s="18"/>
      <c r="I17" s="142" t="str">
        <f>IFERROR(__xludf.DUMMYFUNCTION("""COMPUTED_VALUE"""),"4p50")</f>
        <v>4p50</v>
      </c>
      <c r="J17" s="143"/>
      <c r="Q17" s="150"/>
      <c r="R17" s="18"/>
      <c r="S17" s="142" t="str">
        <f>IFERROR(__xludf.DUMMYFUNCTION("if(R17&lt;&gt;"""",filter(Imports!A:W,Imports!B:B=R17),)"),"")</f>
        <v/>
      </c>
      <c r="T17" s="142"/>
      <c r="U17" s="142"/>
      <c r="V17" s="18"/>
      <c r="W17" s="18"/>
      <c r="X17" s="18"/>
      <c r="Y17" s="142"/>
      <c r="Z17" s="18"/>
      <c r="AA17" s="18"/>
      <c r="AB17" s="18"/>
      <c r="AC17" s="18"/>
      <c r="AD17" s="18"/>
      <c r="AE17" s="18"/>
      <c r="AF17" s="18"/>
      <c r="AG17" s="18"/>
      <c r="AH17" s="18"/>
      <c r="AI17" s="18"/>
      <c r="AJ17" s="142"/>
      <c r="AK17" s="142"/>
      <c r="AL17" s="18"/>
      <c r="AM17" s="18"/>
      <c r="AN17" s="18"/>
      <c r="AO17" s="142"/>
    </row>
    <row r="18">
      <c r="A18" s="142">
        <f>IFERROR(__xludf.DUMMYFUNCTION("""COMPUTED_VALUE"""),13158.0)</f>
        <v>13158</v>
      </c>
      <c r="B18" s="18" t="str">
        <f>IFERROR(__xludf.DUMMYFUNCTION("""COMPUTED_VALUE"""),"Mark Vientos")</f>
        <v>Mark Vientos</v>
      </c>
      <c r="C18" s="142">
        <f>IFERROR(__xludf.DUMMYFUNCTION("""COMPUTED_VALUE"""),1.98)</f>
        <v>1.98</v>
      </c>
      <c r="D18" s="17" t="str">
        <f>IFERROR(__xludf.DUMMYFUNCTION("""COMPUTED_VALUE"""),"https://sba-cards-2024.s3.us-east-1.amazonaws.com/2024-cards/mark-vientos.png")</f>
        <v>https://sba-cards-2024.s3.us-east-1.amazonaws.com/2024-cards/mark-vientos.png</v>
      </c>
      <c r="E18" s="18"/>
      <c r="F18" s="18"/>
      <c r="G18" s="142">
        <f>IFERROR(__xludf.DUMMYFUNCTION("""COMPUTED_VALUE"""),-2.0)</f>
        <v>-2</v>
      </c>
      <c r="H18" s="18"/>
      <c r="I18" s="142" t="str">
        <f>IFERROR(__xludf.DUMMYFUNCTION("""COMPUTED_VALUE"""),"1p50")</f>
        <v>1p50</v>
      </c>
      <c r="J18" s="143"/>
      <c r="Q18" s="150"/>
      <c r="R18" s="18"/>
      <c r="S18" s="142" t="str">
        <f>IFERROR(__xludf.DUMMYFUNCTION("if(R18&lt;&gt;"""",filter(Imports!A:W,Imports!B:B=R18),)"),"")</f>
        <v/>
      </c>
      <c r="T18" s="142"/>
      <c r="U18" s="142"/>
      <c r="V18" s="18"/>
      <c r="W18" s="18"/>
      <c r="X18" s="18"/>
      <c r="Y18" s="142"/>
      <c r="Z18" s="18"/>
      <c r="AA18" s="18"/>
      <c r="AB18" s="18"/>
      <c r="AC18" s="18"/>
      <c r="AD18" s="18"/>
      <c r="AE18" s="18"/>
      <c r="AF18" s="18"/>
      <c r="AG18" s="18"/>
      <c r="AH18" s="18"/>
      <c r="AI18" s="18"/>
      <c r="AJ18" s="142"/>
      <c r="AK18" s="142"/>
      <c r="AL18" s="18"/>
      <c r="AM18" s="18"/>
      <c r="AN18" s="18"/>
      <c r="AO18" s="142"/>
    </row>
    <row r="19">
      <c r="A19" s="142">
        <f>IFERROR(__xludf.DUMMYFUNCTION("""COMPUTED_VALUE"""),13205.0)</f>
        <v>13205</v>
      </c>
      <c r="B19" s="18" t="str">
        <f>IFERROR(__xludf.DUMMYFUNCTION("""COMPUTED_VALUE"""),"Mickey Moniak")</f>
        <v>Mickey Moniak</v>
      </c>
      <c r="C19" s="142">
        <f>IFERROR(__xludf.DUMMYFUNCTION("""COMPUTED_VALUE"""),0.0)</f>
        <v>0</v>
      </c>
      <c r="D19" s="17" t="str">
        <f>IFERROR(__xludf.DUMMYFUNCTION("""COMPUTED_VALUE"""),"https://sba-cards-2024.s3.us-east-1.amazonaws.com/2024-cards/mickey-moniak.png")</f>
        <v>https://sba-cards-2024.s3.us-east-1.amazonaws.com/2024-cards/mickey-moniak.png</v>
      </c>
      <c r="E19" s="18"/>
      <c r="F19" s="18"/>
      <c r="G19" s="142">
        <f>IFERROR(__xludf.DUMMYFUNCTION("""COMPUTED_VALUE"""),-2.0)</f>
        <v>-2</v>
      </c>
      <c r="H19" s="18"/>
      <c r="I19" s="142" t="str">
        <f>IFERROR(__xludf.DUMMYFUNCTION("""COMPUTED_VALUE"""),"1p60")</f>
        <v>1p60</v>
      </c>
      <c r="J19" s="143"/>
      <c r="Q19" s="150"/>
      <c r="R19" s="18"/>
      <c r="S19" s="142" t="str">
        <f>IFERROR(__xludf.DUMMYFUNCTION("if(R19&lt;&gt;"""",filter(Imports!A:W,Imports!B:B=R19),)"),"")</f>
        <v/>
      </c>
      <c r="T19" s="142"/>
      <c r="U19" s="142"/>
      <c r="V19" s="18"/>
      <c r="W19" s="18"/>
      <c r="X19" s="18"/>
      <c r="Y19" s="142"/>
      <c r="Z19" s="18"/>
      <c r="AA19" s="18"/>
      <c r="AB19" s="18"/>
      <c r="AC19" s="18"/>
      <c r="AD19" s="18"/>
      <c r="AE19" s="18"/>
      <c r="AF19" s="18"/>
      <c r="AG19" s="18"/>
      <c r="AH19" s="18"/>
      <c r="AI19" s="18"/>
      <c r="AJ19" s="142"/>
      <c r="AK19" s="142"/>
      <c r="AL19" s="18"/>
      <c r="AM19" s="18"/>
      <c r="AN19" s="18"/>
      <c r="AO19" s="142"/>
    </row>
    <row r="20">
      <c r="A20" s="142">
        <f>IFERROR(__xludf.DUMMYFUNCTION("""COMPUTED_VALUE"""),13290.0)</f>
        <v>13290</v>
      </c>
      <c r="B20" s="18" t="str">
        <f>IFERROR(__xludf.DUMMYFUNCTION("""COMPUTED_VALUE"""),"Porter Hodge")</f>
        <v>Porter Hodge</v>
      </c>
      <c r="C20" s="142">
        <f>IFERROR(__xludf.DUMMYFUNCTION("""COMPUTED_VALUE"""),1.45)</f>
        <v>1.45</v>
      </c>
      <c r="D20" s="17" t="str">
        <f>IFERROR(__xludf.DUMMYFUNCTION("""COMPUTED_VALUE"""),"https://sba-cards-2024.s3.us-east-1.amazonaws.com/2024-cards/porter-hodge.png")</f>
        <v>https://sba-cards-2024.s3.us-east-1.amazonaws.com/2024-cards/porter-hodge.png</v>
      </c>
      <c r="E20" s="18"/>
      <c r="F20" s="18"/>
      <c r="G20" s="142">
        <f>IFERROR(__xludf.DUMMYFUNCTION("""COMPUTED_VALUE"""),-2.0)</f>
        <v>-2</v>
      </c>
      <c r="H20" s="18"/>
      <c r="I20" s="142" t="str">
        <f>IFERROR(__xludf.DUMMYFUNCTION("""COMPUTED_VALUE"""),"1p40")</f>
        <v>1p40</v>
      </c>
      <c r="J20" s="143"/>
      <c r="L20" s="144"/>
      <c r="M20" s="7"/>
      <c r="Q20" s="150"/>
      <c r="R20" s="18"/>
      <c r="S20" s="142" t="str">
        <f>IFERROR(__xludf.DUMMYFUNCTION("if(R20&lt;&gt;"""",filter(Imports!A:W,Imports!B:B=R20),)"),"")</f>
        <v/>
      </c>
      <c r="T20" s="142"/>
      <c r="U20" s="142"/>
      <c r="V20" s="18"/>
      <c r="W20" s="18"/>
      <c r="X20" s="18"/>
      <c r="Y20" s="142"/>
      <c r="Z20" s="18"/>
      <c r="AA20" s="18"/>
      <c r="AB20" s="18"/>
      <c r="AC20" s="18"/>
      <c r="AD20" s="18"/>
      <c r="AE20" s="18"/>
      <c r="AF20" s="18"/>
      <c r="AG20" s="18"/>
      <c r="AH20" s="18"/>
      <c r="AI20" s="18"/>
      <c r="AJ20" s="142"/>
      <c r="AK20" s="142"/>
      <c r="AL20" s="18"/>
      <c r="AM20" s="18"/>
      <c r="AN20" s="18"/>
      <c r="AO20" s="142"/>
    </row>
    <row r="21">
      <c r="A21" s="142">
        <f>IFERROR(__xludf.DUMMYFUNCTION("""COMPUTED_VALUE"""),13331.0)</f>
        <v>13331</v>
      </c>
      <c r="B21" s="18" t="str">
        <f>IFERROR(__xludf.DUMMYFUNCTION("""COMPUTED_VALUE"""),"Ryan Fernandez")</f>
        <v>Ryan Fernandez</v>
      </c>
      <c r="C21" s="142">
        <f>IFERROR(__xludf.DUMMYFUNCTION("""COMPUTED_VALUE"""),0.72)</f>
        <v>0.72</v>
      </c>
      <c r="D21" s="17" t="str">
        <f>IFERROR(__xludf.DUMMYFUNCTION("""COMPUTED_VALUE"""),"https://sba-cards-2024.s3.us-east-1.amazonaws.com/2024-cards/ryan-fernandez.png")</f>
        <v>https://sba-cards-2024.s3.us-east-1.amazonaws.com/2024-cards/ryan-fernandez.png</v>
      </c>
      <c r="E21" s="18"/>
      <c r="F21" s="18"/>
      <c r="G21" s="142">
        <f>IFERROR(__xludf.DUMMYFUNCTION("""COMPUTED_VALUE"""),-2.0)</f>
        <v>-2</v>
      </c>
      <c r="H21" s="18"/>
      <c r="I21" s="142" t="str">
        <f>IFERROR(__xludf.DUMMYFUNCTION("""COMPUTED_VALUE"""),"1p60")</f>
        <v>1p60</v>
      </c>
      <c r="J21" s="143"/>
      <c r="L21" s="144"/>
      <c r="M21" s="7"/>
      <c r="Q21" s="150"/>
      <c r="R21" s="18"/>
      <c r="S21" s="142" t="str">
        <f>IFERROR(__xludf.DUMMYFUNCTION("if(R21&lt;&gt;"""",filter(Imports!A:W,Imports!B:B=R21),)"),"")</f>
        <v/>
      </c>
      <c r="T21" s="142"/>
      <c r="U21" s="142"/>
      <c r="V21" s="18"/>
      <c r="W21" s="18"/>
      <c r="X21" s="18"/>
      <c r="Y21" s="142"/>
      <c r="Z21" s="18"/>
      <c r="AA21" s="18"/>
      <c r="AB21" s="18"/>
      <c r="AC21" s="18"/>
      <c r="AD21" s="18"/>
      <c r="AE21" s="18"/>
      <c r="AF21" s="18"/>
      <c r="AG21" s="18"/>
      <c r="AH21" s="18"/>
      <c r="AI21" s="18"/>
      <c r="AJ21" s="142"/>
      <c r="AK21" s="142"/>
      <c r="AL21" s="18"/>
      <c r="AM21" s="18"/>
      <c r="AN21" s="18"/>
      <c r="AO21" s="142"/>
    </row>
    <row r="22">
      <c r="A22" s="142">
        <f>IFERROR(__xludf.DUMMYFUNCTION("""COMPUTED_VALUE"""),13409.0)</f>
        <v>13409</v>
      </c>
      <c r="B22" s="18" t="str">
        <f>IFERROR(__xludf.DUMMYFUNCTION("""COMPUTED_VALUE"""),"Teoscar Hernandez")</f>
        <v>Teoscar Hernandez</v>
      </c>
      <c r="C22" s="142">
        <f>IFERROR(__xludf.DUMMYFUNCTION("""COMPUTED_VALUE"""),1.91)</f>
        <v>1.91</v>
      </c>
      <c r="D22" s="17" t="str">
        <f>IFERROR(__xludf.DUMMYFUNCTION("""COMPUTED_VALUE"""),"https://sba-cards-2024.s3.us-east-1.amazonaws.com/2024-cards/teoscar-hernandez.png")</f>
        <v>https://sba-cards-2024.s3.us-east-1.amazonaws.com/2024-cards/teoscar-hernandez.png</v>
      </c>
      <c r="E22" s="18"/>
      <c r="F22" s="18"/>
      <c r="G22" s="142">
        <f>IFERROR(__xludf.DUMMYFUNCTION("""COMPUTED_VALUE"""),-2.0)</f>
        <v>-2</v>
      </c>
      <c r="H22" s="18"/>
      <c r="I22" s="142" t="str">
        <f>IFERROR(__xludf.DUMMYFUNCTION("""COMPUTED_VALUE"""),"1p70")</f>
        <v>1p70</v>
      </c>
      <c r="J22" s="143"/>
      <c r="Q22" s="150"/>
      <c r="R22" s="18"/>
      <c r="S22" s="142" t="str">
        <f>IFERROR(__xludf.DUMMYFUNCTION("if(R22&lt;&gt;"""",filter(Imports!A:W,Imports!B:B=R22),)"),"")</f>
        <v/>
      </c>
      <c r="T22" s="142"/>
      <c r="U22" s="142"/>
      <c r="V22" s="18"/>
      <c r="W22" s="18"/>
      <c r="X22" s="18"/>
      <c r="Y22" s="142"/>
      <c r="Z22" s="18"/>
      <c r="AA22" s="18"/>
      <c r="AB22" s="18"/>
      <c r="AC22" s="18"/>
      <c r="AD22" s="18"/>
      <c r="AE22" s="18"/>
      <c r="AF22" s="18"/>
      <c r="AG22" s="18"/>
      <c r="AH22" s="18"/>
      <c r="AI22" s="18"/>
      <c r="AJ22" s="142"/>
      <c r="AK22" s="142"/>
      <c r="AL22" s="18"/>
      <c r="AM22" s="18"/>
      <c r="AN22" s="18"/>
      <c r="AO22" s="142"/>
    </row>
    <row r="23">
      <c r="A23" s="142">
        <f>IFERROR(__xludf.DUMMYFUNCTION("""COMPUTED_VALUE"""),13429.0)</f>
        <v>13429</v>
      </c>
      <c r="B23" s="18" t="str">
        <f>IFERROR(__xludf.DUMMYFUNCTION("""COMPUTED_VALUE"""),"Trea Turner")</f>
        <v>Trea Turner</v>
      </c>
      <c r="C23" s="142">
        <f>IFERROR(__xludf.DUMMYFUNCTION("""COMPUTED_VALUE"""),1.61)</f>
        <v>1.61</v>
      </c>
      <c r="D23" s="17" t="str">
        <f>IFERROR(__xludf.DUMMYFUNCTION("""COMPUTED_VALUE"""),"https://sba-cards-2024.s3.us-east-1.amazonaws.com/2024-cards/trea-turner.png")</f>
        <v>https://sba-cards-2024.s3.us-east-1.amazonaws.com/2024-cards/trea-turner.png</v>
      </c>
      <c r="E23" s="18"/>
      <c r="F23" s="18"/>
      <c r="G23" s="142">
        <f>IFERROR(__xludf.DUMMYFUNCTION("""COMPUTED_VALUE"""),-2.0)</f>
        <v>-2</v>
      </c>
      <c r="H23" s="18"/>
      <c r="I23" s="142" t="str">
        <f>IFERROR(__xludf.DUMMYFUNCTION("""COMPUTED_VALUE"""),"1p60")</f>
        <v>1p60</v>
      </c>
      <c r="J23" s="143"/>
      <c r="Q23" s="150"/>
      <c r="R23" s="18"/>
      <c r="S23" s="142" t="str">
        <f>IFERROR(__xludf.DUMMYFUNCTION("if(R23&lt;&gt;"""",filter(Imports!A:W,Imports!B:B=R23),)"),"")</f>
        <v/>
      </c>
      <c r="T23" s="142"/>
      <c r="U23" s="142"/>
      <c r="V23" s="18"/>
      <c r="W23" s="18"/>
      <c r="X23" s="18"/>
      <c r="Y23" s="142"/>
      <c r="Z23" s="18"/>
      <c r="AA23" s="18"/>
      <c r="AB23" s="18"/>
      <c r="AC23" s="18"/>
      <c r="AD23" s="18"/>
      <c r="AE23" s="18"/>
      <c r="AF23" s="18"/>
      <c r="AG23" s="18"/>
      <c r="AH23" s="18"/>
      <c r="AI23" s="18"/>
      <c r="AJ23" s="142"/>
      <c r="AK23" s="142"/>
      <c r="AL23" s="18"/>
      <c r="AM23" s="18"/>
      <c r="AN23" s="18"/>
      <c r="AO23" s="142"/>
    </row>
    <row r="24">
      <c r="A24" s="142">
        <f>IFERROR(__xludf.DUMMYFUNCTION("""COMPUTED_VALUE"""),13483.0)</f>
        <v>13483</v>
      </c>
      <c r="B24" s="18" t="str">
        <f>IFERROR(__xludf.DUMMYFUNCTION("""COMPUTED_VALUE"""),"Will Vest")</f>
        <v>Will Vest</v>
      </c>
      <c r="C24" s="142">
        <f>IFERROR(__xludf.DUMMYFUNCTION("""COMPUTED_VALUE"""),1.02)</f>
        <v>1.02</v>
      </c>
      <c r="D24" s="17" t="str">
        <f>IFERROR(__xludf.DUMMYFUNCTION("""COMPUTED_VALUE"""),"https://sba-cards-2024.s3.us-east-1.amazonaws.com/2024-cards/will-vest.png")</f>
        <v>https://sba-cards-2024.s3.us-east-1.amazonaws.com/2024-cards/will-vest.png</v>
      </c>
      <c r="E24" s="18"/>
      <c r="F24" s="18"/>
      <c r="G24" s="142">
        <f>IFERROR(__xludf.DUMMYFUNCTION("""COMPUTED_VALUE"""),-2.0)</f>
        <v>-2</v>
      </c>
      <c r="H24" s="18"/>
      <c r="I24" s="142" t="str">
        <f>IFERROR(__xludf.DUMMYFUNCTION("""COMPUTED_VALUE"""),"1p60")</f>
        <v>1p60</v>
      </c>
      <c r="J24" s="143"/>
      <c r="L24" s="18"/>
      <c r="M24" s="7"/>
      <c r="Q24" s="150"/>
      <c r="R24" s="18"/>
      <c r="S24" s="142" t="str">
        <f>IFERROR(__xludf.DUMMYFUNCTION("if(R24&lt;&gt;"""",filter(Imports!A:W,Imports!B:B=R24),)"),"")</f>
        <v/>
      </c>
      <c r="T24" s="142"/>
      <c r="U24" s="142"/>
      <c r="V24" s="18"/>
      <c r="W24" s="18"/>
      <c r="X24" s="18"/>
      <c r="Y24" s="142"/>
      <c r="Z24" s="18"/>
      <c r="AA24" s="18"/>
      <c r="AB24" s="18"/>
      <c r="AC24" s="18"/>
      <c r="AD24" s="18"/>
      <c r="AE24" s="18"/>
      <c r="AF24" s="18"/>
      <c r="AG24" s="18"/>
      <c r="AH24" s="18"/>
      <c r="AI24" s="18"/>
      <c r="AJ24" s="142"/>
      <c r="AK24" s="142"/>
      <c r="AL24" s="18"/>
      <c r="AM24" s="18"/>
      <c r="AN24" s="18"/>
      <c r="AO24" s="142"/>
    </row>
    <row r="25">
      <c r="A25" s="142">
        <f>IFERROR(__xludf.DUMMYFUNCTION("""COMPUTED_VALUE"""),13506.0)</f>
        <v>13506</v>
      </c>
      <c r="B25" s="18" t="str">
        <f>IFERROR(__xludf.DUMMYFUNCTION("""COMPUTED_VALUE"""),"Yordan Alvarez")</f>
        <v>Yordan Alvarez</v>
      </c>
      <c r="C25" s="142">
        <f>IFERROR(__xludf.DUMMYFUNCTION("""COMPUTED_VALUE"""),2.47)</f>
        <v>2.47</v>
      </c>
      <c r="D25" s="17" t="str">
        <f>IFERROR(__xludf.DUMMYFUNCTION("""COMPUTED_VALUE"""),"https://sba-cards-2024.s3.us-east-1.amazonaws.com/2024-cards/yordan-alvarez.png")</f>
        <v>https://sba-cards-2024.s3.us-east-1.amazonaws.com/2024-cards/yordan-alvarez.png</v>
      </c>
      <c r="E25" s="18"/>
      <c r="F25" s="18"/>
      <c r="G25" s="142">
        <f>IFERROR(__xludf.DUMMYFUNCTION("""COMPUTED_VALUE"""),-2.0)</f>
        <v>-2</v>
      </c>
      <c r="H25" s="18"/>
      <c r="I25" s="142" t="str">
        <f>IFERROR(__xludf.DUMMYFUNCTION("""COMPUTED_VALUE"""),"1p65")</f>
        <v>1p65</v>
      </c>
      <c r="J25" s="143"/>
      <c r="L25" s="18"/>
      <c r="M25" s="7"/>
      <c r="Q25" s="150"/>
      <c r="R25" s="18"/>
      <c r="S25" s="142" t="str">
        <f>IFERROR(__xludf.DUMMYFUNCTION("if(R25&lt;&gt;"""",filter(Imports!A:W,Imports!B:B=R25),)"),"")</f>
        <v/>
      </c>
      <c r="T25" s="142"/>
      <c r="U25" s="142"/>
      <c r="V25" s="18"/>
      <c r="W25" s="18"/>
      <c r="X25" s="18"/>
      <c r="Y25" s="142"/>
      <c r="Z25" s="18"/>
      <c r="AA25" s="18"/>
      <c r="AB25" s="18"/>
      <c r="AC25" s="18"/>
      <c r="AD25" s="18"/>
      <c r="AE25" s="18"/>
      <c r="AF25" s="18"/>
      <c r="AG25" s="18"/>
      <c r="AH25" s="18"/>
      <c r="AI25" s="18"/>
      <c r="AJ25" s="142"/>
      <c r="AK25" s="142"/>
      <c r="AL25" s="18"/>
      <c r="AM25" s="18"/>
      <c r="AN25" s="18"/>
      <c r="AO25" s="142"/>
    </row>
    <row r="26">
      <c r="A26" s="142">
        <f>IFERROR(__xludf.DUMMYFUNCTION("""COMPUTED_VALUE"""),13507.0)</f>
        <v>13507</v>
      </c>
      <c r="B26" s="18" t="str">
        <f>IFERROR(__xludf.DUMMYFUNCTION("""COMPUTED_VALUE"""),"Yoshinobu Yamamoto")</f>
        <v>Yoshinobu Yamamoto</v>
      </c>
      <c r="C26" s="142">
        <f>IFERROR(__xludf.DUMMYFUNCTION("""COMPUTED_VALUE"""),1.42)</f>
        <v>1.42</v>
      </c>
      <c r="D26" s="17" t="str">
        <f>IFERROR(__xludf.DUMMYFUNCTION("""COMPUTED_VALUE"""),"https://sba-cards-2024.s3.us-east-1.amazonaws.com/2024-cards/yoshinobu-yamamoto.png")</f>
        <v>https://sba-cards-2024.s3.us-east-1.amazonaws.com/2024-cards/yoshinobu-yamamoto.png</v>
      </c>
      <c r="E26" s="18"/>
      <c r="F26" s="18"/>
      <c r="G26" s="142">
        <f>IFERROR(__xludf.DUMMYFUNCTION("""COMPUTED_VALUE"""),-2.0)</f>
        <v>-2</v>
      </c>
      <c r="H26" s="18"/>
      <c r="I26" s="142" t="str">
        <f>IFERROR(__xludf.DUMMYFUNCTION("""COMPUTED_VALUE"""),"3p50")</f>
        <v>3p50</v>
      </c>
      <c r="J26" s="143"/>
      <c r="Q26" s="150"/>
      <c r="R26" s="18"/>
      <c r="S26" s="142" t="str">
        <f>IFERROR(__xludf.DUMMYFUNCTION("if(R26&lt;&gt;"""",filter(Imports!A:W,Imports!B:B=R26),)"),"")</f>
        <v/>
      </c>
      <c r="T26" s="142"/>
      <c r="U26" s="142"/>
      <c r="V26" s="18"/>
      <c r="W26" s="18"/>
      <c r="X26" s="18"/>
      <c r="Y26" s="142"/>
      <c r="Z26" s="18"/>
      <c r="AA26" s="18"/>
      <c r="AB26" s="18"/>
      <c r="AC26" s="18"/>
      <c r="AD26" s="18"/>
      <c r="AE26" s="18"/>
      <c r="AF26" s="18"/>
      <c r="AG26" s="18"/>
      <c r="AH26" s="18"/>
      <c r="AI26" s="18"/>
      <c r="AJ26" s="142"/>
      <c r="AK26" s="142"/>
      <c r="AL26" s="18"/>
      <c r="AM26" s="18"/>
      <c r="AN26" s="18"/>
      <c r="AO26" s="142"/>
    </row>
    <row r="27">
      <c r="A27" s="142">
        <f>IFERROR(__xludf.DUMMYFUNCTION("""COMPUTED_VALUE"""),13513.0)</f>
        <v>13513</v>
      </c>
      <c r="B27" s="18" t="str">
        <f>IFERROR(__xludf.DUMMYFUNCTION("""COMPUTED_VALUE"""),"Zac Gallen")</f>
        <v>Zac Gallen</v>
      </c>
      <c r="C27" s="142">
        <f>IFERROR(__xludf.DUMMYFUNCTION("""COMPUTED_VALUE"""),1.37)</f>
        <v>1.37</v>
      </c>
      <c r="D27" s="17" t="str">
        <f>IFERROR(__xludf.DUMMYFUNCTION("""COMPUTED_VALUE"""),"https://sba-cards-2024.s3.us-east-1.amazonaws.com/2024-cards/zac-gallen.png")</f>
        <v>https://sba-cards-2024.s3.us-east-1.amazonaws.com/2024-cards/zac-gallen.png</v>
      </c>
      <c r="E27" s="18"/>
      <c r="F27" s="18"/>
      <c r="G27" s="142">
        <f>IFERROR(__xludf.DUMMYFUNCTION("""COMPUTED_VALUE"""),-2.0)</f>
        <v>-2</v>
      </c>
      <c r="H27" s="18"/>
      <c r="I27" s="142" t="str">
        <f>IFERROR(__xludf.DUMMYFUNCTION("""COMPUTED_VALUE"""),"1p70")</f>
        <v>1p70</v>
      </c>
      <c r="J27" s="143"/>
      <c r="Q27" s="150"/>
      <c r="R27" s="18"/>
      <c r="S27" s="142" t="str">
        <f>IFERROR(__xludf.DUMMYFUNCTION("if(R27&lt;&gt;"""",filter(Imports!A:W,Imports!B:B=R27),)"),"")</f>
        <v/>
      </c>
      <c r="T27" s="142"/>
      <c r="U27" s="142"/>
      <c r="V27" s="18"/>
      <c r="W27" s="18"/>
      <c r="X27" s="18"/>
      <c r="Y27" s="142"/>
      <c r="Z27" s="18"/>
      <c r="AA27" s="18"/>
      <c r="AB27" s="18"/>
      <c r="AC27" s="18"/>
      <c r="AD27" s="18"/>
      <c r="AE27" s="18"/>
      <c r="AF27" s="18"/>
      <c r="AG27" s="18"/>
      <c r="AH27" s="18"/>
      <c r="AI27" s="18"/>
      <c r="AJ27" s="142"/>
      <c r="AK27" s="142"/>
      <c r="AL27" s="18"/>
      <c r="AM27" s="18"/>
      <c r="AN27" s="18"/>
      <c r="AO27" s="142"/>
    </row>
    <row r="28">
      <c r="A28" s="142"/>
      <c r="B28" s="18"/>
      <c r="C28" s="142"/>
      <c r="D28" s="18"/>
      <c r="E28" s="18"/>
      <c r="F28" s="18"/>
      <c r="G28" s="142"/>
      <c r="H28" s="18"/>
      <c r="I28" s="142"/>
      <c r="J28" s="143"/>
      <c r="Q28" s="150"/>
      <c r="R28" s="18"/>
      <c r="S28" s="142"/>
      <c r="T28" s="142"/>
      <c r="U28" s="142"/>
      <c r="V28" s="18"/>
      <c r="W28" s="18"/>
      <c r="X28" s="18"/>
      <c r="Y28" s="142"/>
      <c r="Z28" s="18"/>
      <c r="AA28" s="18"/>
      <c r="AB28" s="18"/>
      <c r="AC28" s="18"/>
      <c r="AD28" s="18"/>
      <c r="AE28" s="18"/>
      <c r="AF28" s="18"/>
      <c r="AG28" s="18"/>
      <c r="AH28" s="18"/>
      <c r="AI28" s="18"/>
      <c r="AJ28" s="142"/>
      <c r="AK28" s="142"/>
      <c r="AL28" s="18"/>
      <c r="AM28" s="18"/>
      <c r="AN28" s="18"/>
      <c r="AO28" s="142"/>
    </row>
    <row r="29">
      <c r="A29" s="142"/>
      <c r="B29" s="18"/>
      <c r="C29" s="142"/>
      <c r="D29" s="18"/>
      <c r="E29" s="18"/>
      <c r="F29" s="18"/>
      <c r="G29" s="142"/>
      <c r="H29" s="18"/>
      <c r="I29" s="142"/>
      <c r="J29" s="143"/>
      <c r="Q29" s="150"/>
      <c r="R29" s="18"/>
      <c r="S29" s="142"/>
      <c r="T29" s="142"/>
      <c r="U29" s="142"/>
      <c r="V29" s="18"/>
      <c r="W29" s="18"/>
      <c r="X29" s="18"/>
      <c r="Y29" s="142"/>
      <c r="Z29" s="18"/>
      <c r="AA29" s="18"/>
      <c r="AB29" s="18"/>
      <c r="AC29" s="18"/>
      <c r="AD29" s="18"/>
      <c r="AE29" s="18"/>
      <c r="AF29" s="18"/>
      <c r="AG29" s="18"/>
      <c r="AH29" s="18"/>
      <c r="AI29" s="18"/>
      <c r="AJ29" s="142"/>
      <c r="AK29" s="142"/>
      <c r="AL29" s="18"/>
      <c r="AM29" s="18"/>
      <c r="AN29" s="18"/>
      <c r="AO29" s="142"/>
    </row>
    <row r="30">
      <c r="A30" s="142"/>
      <c r="B30" s="18"/>
      <c r="C30" s="142"/>
      <c r="D30" s="18"/>
      <c r="E30" s="18"/>
      <c r="F30" s="18"/>
      <c r="G30" s="142"/>
      <c r="H30" s="18"/>
      <c r="I30" s="142"/>
      <c r="J30" s="143"/>
      <c r="Q30" s="150"/>
      <c r="R30" s="18"/>
      <c r="S30" s="142"/>
      <c r="T30" s="142"/>
      <c r="U30" s="142"/>
      <c r="V30" s="18"/>
      <c r="W30" s="18"/>
      <c r="X30" s="18"/>
      <c r="Y30" s="142"/>
      <c r="Z30" s="18"/>
      <c r="AA30" s="18"/>
      <c r="AB30" s="18"/>
      <c r="AC30" s="18"/>
      <c r="AD30" s="18"/>
      <c r="AE30" s="18"/>
      <c r="AF30" s="18"/>
      <c r="AG30" s="18"/>
      <c r="AH30" s="18"/>
      <c r="AI30" s="18"/>
      <c r="AJ30" s="142"/>
      <c r="AK30" s="142"/>
      <c r="AL30" s="18"/>
      <c r="AM30" s="18"/>
      <c r="AN30" s="18"/>
      <c r="AO30" s="142"/>
    </row>
    <row r="31">
      <c r="A31" s="142"/>
      <c r="B31" s="18"/>
      <c r="C31" s="142"/>
      <c r="D31" s="18"/>
      <c r="E31" s="18"/>
      <c r="F31" s="18"/>
      <c r="G31" s="142"/>
      <c r="H31" s="18"/>
      <c r="I31" s="142"/>
      <c r="J31" s="143"/>
      <c r="Q31" s="150"/>
      <c r="R31" s="18"/>
      <c r="S31" s="142"/>
      <c r="T31" s="142"/>
      <c r="U31" s="142"/>
      <c r="V31" s="18"/>
      <c r="W31" s="18"/>
      <c r="X31" s="18"/>
      <c r="Y31" s="142"/>
      <c r="Z31" s="18"/>
      <c r="AA31" s="18"/>
      <c r="AB31" s="18"/>
      <c r="AC31" s="18"/>
      <c r="AD31" s="18"/>
      <c r="AE31" s="18"/>
      <c r="AF31" s="18"/>
      <c r="AG31" s="18"/>
      <c r="AH31" s="18"/>
      <c r="AI31" s="18"/>
      <c r="AJ31" s="142"/>
      <c r="AK31" s="142"/>
      <c r="AL31" s="18"/>
      <c r="AM31" s="18"/>
      <c r="AN31" s="18"/>
      <c r="AO31" s="142"/>
    </row>
    <row r="32">
      <c r="A32" s="142"/>
      <c r="B32" s="18"/>
      <c r="C32" s="142"/>
      <c r="D32" s="18"/>
      <c r="E32" s="18"/>
      <c r="F32" s="18"/>
      <c r="G32" s="142"/>
      <c r="H32" s="18"/>
      <c r="I32" s="142"/>
      <c r="J32" s="143"/>
      <c r="Q32" s="150"/>
      <c r="R32" s="18"/>
      <c r="S32" s="142"/>
      <c r="T32" s="142"/>
      <c r="U32" s="142"/>
      <c r="V32" s="18"/>
      <c r="W32" s="18"/>
      <c r="X32" s="18"/>
      <c r="Y32" s="142"/>
      <c r="Z32" s="18"/>
      <c r="AA32" s="18"/>
      <c r="AB32" s="18"/>
      <c r="AC32" s="18"/>
      <c r="AD32" s="18"/>
      <c r="AE32" s="18"/>
      <c r="AF32" s="18"/>
      <c r="AG32" s="18"/>
      <c r="AH32" s="18"/>
      <c r="AI32" s="18"/>
      <c r="AJ32" s="142"/>
      <c r="AK32" s="142"/>
      <c r="AL32" s="18"/>
      <c r="AM32" s="18"/>
      <c r="AN32" s="18"/>
      <c r="AO32" s="142"/>
    </row>
    <row r="33">
      <c r="A33" s="142"/>
      <c r="B33" s="18"/>
      <c r="C33" s="142"/>
      <c r="D33" s="18"/>
      <c r="E33" s="18"/>
      <c r="F33" s="18"/>
      <c r="G33" s="142"/>
      <c r="H33" s="18"/>
      <c r="I33" s="142"/>
      <c r="J33" s="143"/>
      <c r="Q33" s="150"/>
      <c r="R33" s="18"/>
      <c r="S33" s="142"/>
      <c r="T33" s="142"/>
      <c r="U33" s="142"/>
      <c r="V33" s="18"/>
      <c r="W33" s="18"/>
      <c r="X33" s="18"/>
      <c r="Y33" s="142"/>
      <c r="Z33" s="18"/>
      <c r="AA33" s="18"/>
      <c r="AB33" s="18"/>
      <c r="AC33" s="18"/>
      <c r="AD33" s="18"/>
      <c r="AE33" s="18"/>
      <c r="AF33" s="18"/>
      <c r="AG33" s="18"/>
      <c r="AH33" s="18"/>
      <c r="AI33" s="18"/>
      <c r="AJ33" s="142"/>
      <c r="AK33" s="142"/>
      <c r="AL33" s="18"/>
      <c r="AM33" s="18"/>
      <c r="AN33" s="18"/>
      <c r="AO33" s="142"/>
    </row>
    <row r="34">
      <c r="Q34" s="150"/>
      <c r="R34" s="18"/>
      <c r="S34" s="142"/>
      <c r="T34" s="142"/>
      <c r="U34" s="142"/>
      <c r="V34" s="18"/>
      <c r="W34" s="18"/>
      <c r="X34" s="18"/>
      <c r="Y34" s="142"/>
      <c r="Z34" s="18"/>
      <c r="AA34" s="18"/>
      <c r="AB34" s="18"/>
      <c r="AC34" s="18"/>
      <c r="AD34" s="18"/>
      <c r="AE34" s="18"/>
      <c r="AF34" s="18"/>
      <c r="AG34" s="18"/>
      <c r="AH34" s="18"/>
      <c r="AI34" s="18"/>
      <c r="AJ34" s="142"/>
      <c r="AK34" s="142"/>
      <c r="AL34" s="18"/>
      <c r="AM34" s="18"/>
      <c r="AN34" s="18"/>
      <c r="AO34" s="142"/>
    </row>
    <row r="35">
      <c r="A35" s="64" t="s">
        <v>60</v>
      </c>
      <c r="B35" s="63" t="s">
        <v>1</v>
      </c>
      <c r="C35" s="64" t="s">
        <v>2</v>
      </c>
      <c r="D35" s="65" t="s">
        <v>3</v>
      </c>
      <c r="E35" s="65" t="s">
        <v>4</v>
      </c>
      <c r="F35" s="64" t="s">
        <v>7</v>
      </c>
      <c r="G35" s="64" t="s">
        <v>61</v>
      </c>
      <c r="H35" s="64" t="s">
        <v>9</v>
      </c>
      <c r="I35" s="64" t="s">
        <v>10</v>
      </c>
      <c r="J35" s="139" t="s">
        <v>108</v>
      </c>
      <c r="Q35" s="150"/>
      <c r="R35" s="18"/>
      <c r="S35" s="142" t="str">
        <f>IFERROR(__xludf.DUMMYFUNCTION("if(R35&lt;&gt;"""",filter(Imports!A:W,Imports!B:B=R35),)"),"")</f>
        <v/>
      </c>
      <c r="T35" s="142"/>
      <c r="U35" s="142"/>
      <c r="V35" s="18"/>
      <c r="W35" s="18"/>
      <c r="X35" s="18"/>
      <c r="Y35" s="142"/>
      <c r="Z35" s="18"/>
      <c r="AA35" s="18"/>
      <c r="AB35" s="18"/>
      <c r="AC35" s="18"/>
      <c r="AD35" s="18"/>
      <c r="AE35" s="18"/>
      <c r="AF35" s="18"/>
      <c r="AG35" s="18"/>
      <c r="AH35" s="18"/>
      <c r="AI35" s="18"/>
      <c r="AJ35" s="142"/>
      <c r="AK35" s="142"/>
      <c r="AL35" s="18"/>
      <c r="AM35" s="18"/>
      <c r="AN35" s="18"/>
      <c r="AO35" s="142"/>
    </row>
    <row r="36">
      <c r="A36" s="142">
        <f>IFERROR(__xludf.DUMMYFUNCTION("iferror(QUERY(Imports!A1:W1001,""select A, B, C, D, E, R, S, T, W where G = 'WVMiL' order by B asc"", 0),""No MiL players found"")"),12506.0)</f>
        <v>12506</v>
      </c>
      <c r="B36" s="18" t="str">
        <f>IFERROR(__xludf.DUMMYFUNCTION("""COMPUTED_VALUE"""),"Adley Rutschman")</f>
        <v>Adley Rutschman</v>
      </c>
      <c r="C36" s="142">
        <f>IFERROR(__xludf.DUMMYFUNCTION("""COMPUTED_VALUE"""),1.55)</f>
        <v>1.55</v>
      </c>
      <c r="D36" s="17" t="str">
        <f>IFERROR(__xludf.DUMMYFUNCTION("""COMPUTED_VALUE"""),"https://sba-cards-2024.s3.us-east-1.amazonaws.com/2024-cards/adley-rutschman.png")</f>
        <v>https://sba-cards-2024.s3.us-east-1.amazonaws.com/2024-cards/adley-rutschman.png</v>
      </c>
      <c r="E36" s="18"/>
      <c r="F36" s="18"/>
      <c r="G36" s="142">
        <f>IFERROR(__xludf.DUMMYFUNCTION("""COMPUTED_VALUE"""),-2.0)</f>
        <v>-2</v>
      </c>
      <c r="H36" s="18"/>
      <c r="I36" s="142" t="str">
        <f>IFERROR(__xludf.DUMMYFUNCTION("""COMPUTED_VALUE"""),"1p70")</f>
        <v>1p70</v>
      </c>
      <c r="J36" s="143"/>
      <c r="Q36" s="152"/>
      <c r="R36" s="153"/>
      <c r="AJ36" s="15"/>
      <c r="AK36" s="15"/>
      <c r="AO36" s="15"/>
    </row>
    <row r="37">
      <c r="A37" s="142">
        <f>IFERROR(__xludf.DUMMYFUNCTION("""COMPUTED_VALUE"""),13026.0)</f>
        <v>13026</v>
      </c>
      <c r="B37" s="18" t="str">
        <f>IFERROR(__xludf.DUMMYFUNCTION("""COMPUTED_VALUE"""),"Jose Soriano")</f>
        <v>Jose Soriano</v>
      </c>
      <c r="C37" s="142">
        <f>IFERROR(__xludf.DUMMYFUNCTION("""COMPUTED_VALUE"""),1.39)</f>
        <v>1.39</v>
      </c>
      <c r="D37" s="17" t="str">
        <f>IFERROR(__xludf.DUMMYFUNCTION("""COMPUTED_VALUE"""),"https://sba-cards-2024.s3.us-east-1.amazonaws.com/2024-cards/jose-soriano.png")</f>
        <v>https://sba-cards-2024.s3.us-east-1.amazonaws.com/2024-cards/jose-soriano.png</v>
      </c>
      <c r="E37" s="18"/>
      <c r="F37" s="18"/>
      <c r="G37" s="142">
        <f>IFERROR(__xludf.DUMMYFUNCTION("""COMPUTED_VALUE"""),-2.0)</f>
        <v>-2</v>
      </c>
      <c r="H37" s="18"/>
      <c r="I37" s="142" t="str">
        <f>IFERROR(__xludf.DUMMYFUNCTION("""COMPUTED_VALUE"""),"3p60")</f>
        <v>3p60</v>
      </c>
      <c r="J37" s="143"/>
      <c r="Q37" s="15"/>
      <c r="AJ37" s="15"/>
      <c r="AK37" s="15"/>
      <c r="AO37" s="15"/>
    </row>
    <row r="38">
      <c r="A38" s="142">
        <f>IFERROR(__xludf.DUMMYFUNCTION("""COMPUTED_VALUE"""),13322.0)</f>
        <v>13322</v>
      </c>
      <c r="B38" s="18" t="str">
        <f>IFERROR(__xludf.DUMMYFUNCTION("""COMPUTED_VALUE"""),"Ronald Acuna Jr")</f>
        <v>Ronald Acuna Jr</v>
      </c>
      <c r="C38" s="142">
        <f>IFERROR(__xludf.DUMMYFUNCTION("""COMPUTED_VALUE"""),0.0)</f>
        <v>0</v>
      </c>
      <c r="D38" s="17" t="str">
        <f>IFERROR(__xludf.DUMMYFUNCTION("""COMPUTED_VALUE"""),"https://sba-cards-2024.s3.us-east-1.amazonaws.com/2024-cards/ronald-acuna-jr.png")</f>
        <v>https://sba-cards-2024.s3.us-east-1.amazonaws.com/2024-cards/ronald-acuna-jr.png</v>
      </c>
      <c r="E38" s="18"/>
      <c r="F38" s="18"/>
      <c r="G38" s="142">
        <f>IFERROR(__xludf.DUMMYFUNCTION("""COMPUTED_VALUE"""),-2.0)</f>
        <v>-2</v>
      </c>
      <c r="H38" s="18"/>
      <c r="I38" s="142" t="str">
        <f>IFERROR(__xludf.DUMMYFUNCTION("""COMPUTED_VALUE"""),"5p30")</f>
        <v>5p30</v>
      </c>
      <c r="J38" s="143"/>
      <c r="Q38" s="15"/>
      <c r="AJ38" s="15"/>
      <c r="AK38" s="15"/>
      <c r="AO38" s="15"/>
    </row>
    <row r="39">
      <c r="A39" s="142">
        <f>IFERROR(__xludf.DUMMYFUNCTION("""COMPUTED_VALUE"""),13341.0)</f>
        <v>13341</v>
      </c>
      <c r="B39" s="18" t="str">
        <f>IFERROR(__xludf.DUMMYFUNCTION("""COMPUTED_VALUE"""),"Ryan Thompson")</f>
        <v>Ryan Thompson</v>
      </c>
      <c r="C39" s="142">
        <f>IFERROR(__xludf.DUMMYFUNCTION("""COMPUTED_VALUE"""),0.72)</f>
        <v>0.72</v>
      </c>
      <c r="D39" s="17" t="str">
        <f>IFERROR(__xludf.DUMMYFUNCTION("""COMPUTED_VALUE"""),"https://sba-cards-2024.s3.us-east-1.amazonaws.com/2024-cards/ryan-thompson.png")</f>
        <v>https://sba-cards-2024.s3.us-east-1.amazonaws.com/2024-cards/ryan-thompson.png</v>
      </c>
      <c r="E39" s="18"/>
      <c r="F39" s="18"/>
      <c r="G39" s="142">
        <f>IFERROR(__xludf.DUMMYFUNCTION("""COMPUTED_VALUE"""),-2.0)</f>
        <v>-2</v>
      </c>
      <c r="H39" s="18"/>
      <c r="I39" s="142" t="str">
        <f>IFERROR(__xludf.DUMMYFUNCTION("""COMPUTED_VALUE"""),"1p60")</f>
        <v>1p60</v>
      </c>
      <c r="J39" s="143"/>
      <c r="Q39" s="15"/>
      <c r="AJ39" s="15"/>
      <c r="AK39" s="15"/>
      <c r="AO39" s="15"/>
    </row>
    <row r="40">
      <c r="A40" s="142">
        <f>IFERROR(__xludf.DUMMYFUNCTION("""COMPUTED_VALUE"""),13470.0)</f>
        <v>13470</v>
      </c>
      <c r="B40" s="18" t="str">
        <f>IFERROR(__xludf.DUMMYFUNCTION("""COMPUTED_VALUE"""),"Victor Vodnik")</f>
        <v>Victor Vodnik</v>
      </c>
      <c r="C40" s="142">
        <f>IFERROR(__xludf.DUMMYFUNCTION("""COMPUTED_VALUE"""),0.78)</f>
        <v>0.78</v>
      </c>
      <c r="D40" s="17" t="str">
        <f>IFERROR(__xludf.DUMMYFUNCTION("""COMPUTED_VALUE"""),"https://sba-cards-2024.s3.us-east-1.amazonaws.com/2024-cards/victor-vodnik.png")</f>
        <v>https://sba-cards-2024.s3.us-east-1.amazonaws.com/2024-cards/victor-vodnik.png</v>
      </c>
      <c r="E40" s="18"/>
      <c r="F40" s="18"/>
      <c r="G40" s="142">
        <f>IFERROR(__xludf.DUMMYFUNCTION("""COMPUTED_VALUE"""),-2.0)</f>
        <v>-2</v>
      </c>
      <c r="H40" s="18"/>
      <c r="I40" s="142" t="str">
        <f>IFERROR(__xludf.DUMMYFUNCTION("""COMPUTED_VALUE"""),"1p40")</f>
        <v>1p40</v>
      </c>
      <c r="J40" s="143"/>
      <c r="Q40" s="15"/>
      <c r="AJ40" s="15"/>
      <c r="AK40" s="15"/>
      <c r="AO40" s="15"/>
    </row>
    <row r="41">
      <c r="A41" s="142"/>
      <c r="B41" s="18"/>
      <c r="C41" s="142"/>
      <c r="D41" s="18"/>
      <c r="E41" s="18"/>
      <c r="F41" s="18"/>
      <c r="G41" s="142"/>
      <c r="H41" s="18"/>
      <c r="I41" s="142"/>
      <c r="J41" s="143" t="s">
        <v>126</v>
      </c>
      <c r="Q41" s="15"/>
      <c r="AJ41" s="15"/>
      <c r="AK41" s="15"/>
      <c r="AO41" s="15"/>
    </row>
    <row r="42">
      <c r="A42" s="142"/>
      <c r="B42" s="18"/>
      <c r="C42" s="142"/>
      <c r="D42" s="18"/>
      <c r="E42" s="18"/>
      <c r="F42" s="18"/>
      <c r="G42" s="142"/>
      <c r="H42" s="18"/>
      <c r="I42" s="142"/>
      <c r="J42" s="143"/>
      <c r="Q42" s="15"/>
      <c r="AJ42" s="15"/>
      <c r="AK42" s="15"/>
      <c r="AO42" s="15"/>
    </row>
    <row r="43">
      <c r="A43" s="142"/>
      <c r="B43" s="18"/>
      <c r="C43" s="142"/>
      <c r="D43" s="18"/>
      <c r="E43" s="18"/>
      <c r="F43" s="18"/>
      <c r="G43" s="142"/>
      <c r="H43" s="18"/>
      <c r="I43" s="142"/>
      <c r="J43" s="143"/>
      <c r="Q43" s="15"/>
      <c r="AJ43" s="15"/>
      <c r="AK43" s="15"/>
      <c r="AO43" s="15"/>
    </row>
    <row r="44">
      <c r="A44" s="142"/>
      <c r="B44" s="18"/>
      <c r="C44" s="142"/>
      <c r="D44" s="18"/>
      <c r="E44" s="18"/>
      <c r="F44" s="18"/>
      <c r="G44" s="142"/>
      <c r="H44" s="18"/>
      <c r="I44" s="142"/>
      <c r="J44" s="143"/>
      <c r="Q44" s="152"/>
      <c r="R44" s="153"/>
      <c r="AJ44" s="15"/>
      <c r="AK44" s="15"/>
      <c r="AO44" s="15"/>
    </row>
    <row r="45">
      <c r="A45" s="142"/>
      <c r="B45" s="18"/>
      <c r="C45" s="142"/>
      <c r="D45" s="18"/>
      <c r="E45" s="18"/>
      <c r="F45" s="18"/>
      <c r="G45" s="142"/>
      <c r="H45" s="18"/>
      <c r="I45" s="142"/>
      <c r="J45" s="143"/>
      <c r="Q45" s="15"/>
      <c r="AJ45" s="15"/>
      <c r="AK45" s="15"/>
      <c r="AO45" s="15"/>
    </row>
    <row r="46">
      <c r="A46" s="142"/>
      <c r="B46" s="18"/>
      <c r="C46" s="142"/>
      <c r="D46" s="18"/>
      <c r="E46" s="18"/>
      <c r="F46" s="18"/>
      <c r="G46" s="142"/>
      <c r="H46" s="18"/>
      <c r="I46" s="142"/>
      <c r="J46" s="143"/>
      <c r="Q46" s="15"/>
      <c r="R46" s="18"/>
      <c r="S46" s="142"/>
      <c r="T46" s="142"/>
      <c r="U46" s="142"/>
      <c r="V46" s="18"/>
      <c r="W46" s="18"/>
      <c r="X46" s="18"/>
      <c r="Y46" s="142"/>
      <c r="Z46" s="18"/>
      <c r="AA46" s="18"/>
      <c r="AB46" s="18"/>
      <c r="AC46" s="18"/>
      <c r="AD46" s="18"/>
      <c r="AE46" s="18"/>
      <c r="AF46" s="18"/>
      <c r="AG46" s="18"/>
      <c r="AH46" s="18"/>
      <c r="AI46" s="18"/>
      <c r="AJ46" s="142"/>
      <c r="AK46" s="142"/>
      <c r="AL46" s="18"/>
      <c r="AM46" s="18"/>
      <c r="AN46" s="18"/>
      <c r="AO46" s="142"/>
    </row>
    <row r="47">
      <c r="A47" s="142"/>
      <c r="B47" s="18"/>
      <c r="C47" s="142"/>
      <c r="D47" s="18"/>
      <c r="E47" s="18"/>
      <c r="F47" s="18"/>
      <c r="G47" s="142"/>
      <c r="H47" s="18"/>
      <c r="I47" s="142"/>
      <c r="J47" s="143"/>
      <c r="Q47" s="15"/>
      <c r="R47" s="18"/>
      <c r="S47" s="142"/>
      <c r="T47" s="142"/>
      <c r="U47" s="142"/>
      <c r="V47" s="18"/>
      <c r="W47" s="18"/>
      <c r="X47" s="18"/>
      <c r="Y47" s="142"/>
      <c r="Z47" s="18"/>
      <c r="AA47" s="18"/>
      <c r="AB47" s="18"/>
      <c r="AC47" s="18"/>
      <c r="AD47" s="18"/>
      <c r="AE47" s="18"/>
      <c r="AF47" s="18"/>
      <c r="AG47" s="18"/>
      <c r="AH47" s="18"/>
      <c r="AI47" s="18"/>
      <c r="AJ47" s="142"/>
      <c r="AK47" s="142"/>
      <c r="AL47" s="18"/>
      <c r="AM47" s="18"/>
      <c r="AN47" s="18"/>
      <c r="AO47" s="142"/>
    </row>
    <row r="48">
      <c r="A48" s="142"/>
      <c r="B48" s="18"/>
      <c r="C48" s="142"/>
      <c r="D48" s="18"/>
      <c r="E48" s="18"/>
      <c r="F48" s="18"/>
      <c r="G48" s="142"/>
      <c r="H48" s="18"/>
      <c r="I48" s="142"/>
      <c r="J48" s="143"/>
      <c r="Q48" s="15"/>
      <c r="R48" s="18"/>
      <c r="S48" s="142"/>
      <c r="T48" s="142"/>
      <c r="U48" s="142"/>
      <c r="V48" s="18"/>
      <c r="W48" s="18"/>
      <c r="X48" s="18"/>
      <c r="Y48" s="142"/>
      <c r="Z48" s="18"/>
      <c r="AA48" s="18"/>
      <c r="AB48" s="18"/>
      <c r="AC48" s="18"/>
      <c r="AD48" s="18"/>
      <c r="AE48" s="18"/>
      <c r="AF48" s="18"/>
      <c r="AG48" s="18"/>
      <c r="AH48" s="18"/>
      <c r="AI48" s="18"/>
      <c r="AJ48" s="142"/>
      <c r="AK48" s="142"/>
      <c r="AL48" s="18"/>
      <c r="AM48" s="18"/>
      <c r="AN48" s="18"/>
      <c r="AO48" s="142"/>
    </row>
    <row r="49">
      <c r="A49" s="142"/>
      <c r="B49" s="18"/>
      <c r="C49" s="142"/>
      <c r="D49" s="18"/>
      <c r="E49" s="18"/>
      <c r="F49" s="18"/>
      <c r="G49" s="142"/>
      <c r="H49" s="18"/>
      <c r="I49" s="142"/>
      <c r="J49" s="7"/>
      <c r="Q49" s="15"/>
      <c r="R49" s="18"/>
      <c r="S49" s="142"/>
      <c r="T49" s="142"/>
      <c r="U49" s="142"/>
      <c r="V49" s="18"/>
      <c r="W49" s="18"/>
      <c r="X49" s="18"/>
      <c r="Y49" s="142"/>
      <c r="Z49" s="18"/>
      <c r="AA49" s="18"/>
      <c r="AB49" s="18"/>
      <c r="AC49" s="18"/>
      <c r="AD49" s="18"/>
      <c r="AE49" s="18"/>
      <c r="AF49" s="18"/>
      <c r="AG49" s="18"/>
      <c r="AH49" s="18"/>
      <c r="AI49" s="18"/>
      <c r="AJ49" s="142"/>
      <c r="AK49" s="142"/>
      <c r="AL49" s="18"/>
      <c r="AM49" s="18"/>
      <c r="AN49" s="18"/>
      <c r="AO49" s="142"/>
    </row>
    <row r="50">
      <c r="Q50" s="15"/>
      <c r="R50" s="18"/>
      <c r="S50" s="142"/>
      <c r="T50" s="142"/>
      <c r="U50" s="142"/>
      <c r="V50" s="18"/>
      <c r="W50" s="18"/>
      <c r="X50" s="18"/>
      <c r="Y50" s="142"/>
      <c r="Z50" s="18"/>
      <c r="AA50" s="18"/>
      <c r="AB50" s="18"/>
      <c r="AC50" s="18"/>
      <c r="AD50" s="18"/>
      <c r="AE50" s="18"/>
      <c r="AF50" s="18"/>
      <c r="AG50" s="18"/>
      <c r="AH50" s="18"/>
      <c r="AI50" s="18"/>
      <c r="AJ50" s="142"/>
      <c r="AK50" s="142"/>
      <c r="AL50" s="18"/>
      <c r="AM50" s="18"/>
      <c r="AN50" s="18"/>
      <c r="AO50" s="142"/>
    </row>
    <row r="51">
      <c r="A51" s="154" t="s">
        <v>127</v>
      </c>
      <c r="B51" s="63" t="s">
        <v>1</v>
      </c>
      <c r="C51" s="64" t="s">
        <v>2</v>
      </c>
      <c r="D51" s="65" t="s">
        <v>3</v>
      </c>
      <c r="E51" s="65" t="s">
        <v>4</v>
      </c>
      <c r="F51" s="64" t="s">
        <v>7</v>
      </c>
      <c r="G51" s="64" t="s">
        <v>61</v>
      </c>
      <c r="H51" s="64" t="s">
        <v>9</v>
      </c>
      <c r="I51" s="64" t="s">
        <v>10</v>
      </c>
      <c r="J51" s="139" t="s">
        <v>108</v>
      </c>
      <c r="Q51" s="15"/>
      <c r="R51" s="18"/>
      <c r="S51" s="142"/>
      <c r="T51" s="142"/>
      <c r="U51" s="142"/>
      <c r="V51" s="18"/>
      <c r="W51" s="18"/>
      <c r="X51" s="18"/>
      <c r="Y51" s="142"/>
      <c r="Z51" s="18"/>
      <c r="AA51" s="18"/>
      <c r="AB51" s="18"/>
      <c r="AC51" s="18"/>
      <c r="AD51" s="18"/>
      <c r="AE51" s="18"/>
      <c r="AF51" s="18"/>
      <c r="AG51" s="18"/>
      <c r="AH51" s="18"/>
      <c r="AI51" s="18"/>
      <c r="AJ51" s="142"/>
      <c r="AK51" s="142"/>
      <c r="AL51" s="18"/>
      <c r="AM51" s="18"/>
      <c r="AN51" s="18"/>
      <c r="AO51" s="142"/>
    </row>
    <row r="52">
      <c r="A52" s="155">
        <f>IFERROR(__xludf.DUMMYFUNCTION("iferror(QUERY(Imports!A1:W1001,""select A, B, C, D, E, R, S, T, W where G = 'WVIL' order by B asc"", 0),""No IL players found"")"),12765.0)</f>
        <v>12765</v>
      </c>
      <c r="B52" s="18" t="str">
        <f>IFERROR(__xludf.DUMMYFUNCTION("""COMPUTED_VALUE"""),"Donovan Solano")</f>
        <v>Donovan Solano</v>
      </c>
      <c r="C52" s="142">
        <f>IFERROR(__xludf.DUMMYFUNCTION("""COMPUTED_VALUE"""),0.94)</f>
        <v>0.94</v>
      </c>
      <c r="D52" s="17" t="str">
        <f>IFERROR(__xludf.DUMMYFUNCTION("""COMPUTED_VALUE"""),"https://sba-cards-2024.s3.us-east-1.amazonaws.com/2024-cards/donovan-solano.png")</f>
        <v>https://sba-cards-2024.s3.us-east-1.amazonaws.com/2024-cards/donovan-solano.png</v>
      </c>
      <c r="E52" s="18"/>
      <c r="F52" s="18" t="str">
        <f>IFERROR(__xludf.DUMMYFUNCTION("""COMPUTED_VALUE"""),"w06g4")</f>
        <v>w06g4</v>
      </c>
      <c r="G52" s="142">
        <f>IFERROR(__xludf.DUMMYFUNCTION("""COMPUTED_VALUE"""),-2.0)</f>
        <v>-2</v>
      </c>
      <c r="H52" s="18"/>
      <c r="I52" s="142" t="str">
        <f>IFERROR(__xludf.DUMMYFUNCTION("""COMPUTED_VALUE"""),"1p50")</f>
        <v>1p50</v>
      </c>
      <c r="J52" s="143"/>
      <c r="Q52" s="15"/>
      <c r="R52" s="18"/>
      <c r="S52" s="142"/>
      <c r="T52" s="142"/>
      <c r="U52" s="142"/>
      <c r="V52" s="18"/>
      <c r="W52" s="18"/>
      <c r="X52" s="18"/>
      <c r="Y52" s="142"/>
      <c r="Z52" s="18"/>
      <c r="AA52" s="18"/>
      <c r="AB52" s="18"/>
      <c r="AC52" s="18"/>
      <c r="AD52" s="18"/>
      <c r="AE52" s="18"/>
      <c r="AF52" s="18"/>
      <c r="AG52" s="18"/>
      <c r="AH52" s="18"/>
      <c r="AI52" s="18"/>
      <c r="AJ52" s="142"/>
      <c r="AK52" s="142"/>
      <c r="AL52" s="18"/>
      <c r="AM52" s="18"/>
      <c r="AN52" s="18"/>
      <c r="AO52" s="142"/>
    </row>
    <row r="53">
      <c r="A53" s="142">
        <f>IFERROR(__xludf.DUMMYFUNCTION("""COMPUTED_VALUE"""),13396.0)</f>
        <v>13396</v>
      </c>
      <c r="B53" s="18" t="str">
        <f>IFERROR(__xludf.DUMMYFUNCTION("""COMPUTED_VALUE"""),"Taj Bradley")</f>
        <v>Taj Bradley</v>
      </c>
      <c r="C53" s="142">
        <f>IFERROR(__xludf.DUMMYFUNCTION("""COMPUTED_VALUE"""),1.04)</f>
        <v>1.04</v>
      </c>
      <c r="D53" s="17" t="str">
        <f>IFERROR(__xludf.DUMMYFUNCTION("""COMPUTED_VALUE"""),"https://sba-cards-2024.s3.us-east-1.amazonaws.com/2024-cards/taj-bradley.png")</f>
        <v>https://sba-cards-2024.s3.us-east-1.amazonaws.com/2024-cards/taj-bradley.png</v>
      </c>
      <c r="E53" s="18"/>
      <c r="F53" s="18" t="str">
        <f>IFERROR(__xludf.DUMMYFUNCTION("""COMPUTED_VALUE"""),"w07g2")</f>
        <v>w07g2</v>
      </c>
      <c r="G53" s="142">
        <f>IFERROR(__xludf.DUMMYFUNCTION("""COMPUTED_VALUE"""),-2.0)</f>
        <v>-2</v>
      </c>
      <c r="H53" s="18"/>
      <c r="I53" s="142" t="str">
        <f>IFERROR(__xludf.DUMMYFUNCTION("""COMPUTED_VALUE"""),"1p60")</f>
        <v>1p60</v>
      </c>
      <c r="J53" s="143"/>
      <c r="Q53" s="15"/>
      <c r="R53" s="18"/>
      <c r="S53" s="142"/>
      <c r="T53" s="142"/>
      <c r="U53" s="142"/>
      <c r="V53" s="18"/>
      <c r="W53" s="18"/>
      <c r="X53" s="18"/>
      <c r="Y53" s="142"/>
      <c r="Z53" s="18"/>
      <c r="AA53" s="18"/>
      <c r="AB53" s="18"/>
      <c r="AC53" s="18"/>
      <c r="AD53" s="18"/>
      <c r="AE53" s="18"/>
      <c r="AF53" s="18"/>
      <c r="AG53" s="18"/>
      <c r="AH53" s="18"/>
      <c r="AI53" s="18"/>
      <c r="AJ53" s="142"/>
      <c r="AK53" s="142"/>
      <c r="AL53" s="18"/>
      <c r="AM53" s="18"/>
      <c r="AN53" s="18"/>
      <c r="AO53" s="142"/>
    </row>
    <row r="54">
      <c r="A54" s="142"/>
      <c r="B54" s="18"/>
      <c r="C54" s="142"/>
      <c r="D54" s="18"/>
      <c r="E54" s="18"/>
      <c r="F54" s="18"/>
      <c r="G54" s="142"/>
      <c r="H54" s="18"/>
      <c r="I54" s="142"/>
      <c r="J54" s="143"/>
      <c r="Q54" s="15"/>
      <c r="R54" s="18"/>
      <c r="S54" s="142"/>
      <c r="T54" s="142"/>
      <c r="U54" s="142"/>
      <c r="V54" s="18"/>
      <c r="W54" s="18"/>
      <c r="X54" s="18"/>
      <c r="Y54" s="142"/>
      <c r="Z54" s="18"/>
      <c r="AA54" s="18"/>
      <c r="AB54" s="18"/>
      <c r="AC54" s="18"/>
      <c r="AD54" s="18"/>
      <c r="AE54" s="18"/>
      <c r="AF54" s="18"/>
      <c r="AG54" s="18"/>
      <c r="AH54" s="18"/>
      <c r="AI54" s="18"/>
      <c r="AJ54" s="142"/>
      <c r="AK54" s="142"/>
      <c r="AL54" s="18"/>
      <c r="AM54" s="18"/>
      <c r="AN54" s="18"/>
      <c r="AO54" s="142"/>
    </row>
    <row r="55">
      <c r="A55" s="142"/>
      <c r="B55" s="18"/>
      <c r="C55" s="142"/>
      <c r="D55" s="18"/>
      <c r="E55" s="18"/>
      <c r="F55" s="18"/>
      <c r="G55" s="142"/>
      <c r="H55" s="18"/>
      <c r="I55" s="142"/>
      <c r="J55" s="143"/>
      <c r="Q55" s="15"/>
      <c r="R55" s="144"/>
      <c r="S55" s="142"/>
      <c r="T55" s="142"/>
      <c r="U55" s="142"/>
      <c r="V55" s="18"/>
      <c r="W55" s="18"/>
      <c r="X55" s="18"/>
      <c r="Y55" s="142"/>
      <c r="Z55" s="18"/>
      <c r="AA55" s="18"/>
      <c r="AB55" s="18"/>
      <c r="AC55" s="18"/>
      <c r="AD55" s="18"/>
      <c r="AE55" s="18"/>
      <c r="AF55" s="18"/>
      <c r="AG55" s="18"/>
      <c r="AH55" s="18"/>
      <c r="AI55" s="18"/>
      <c r="AJ55" s="142"/>
      <c r="AK55" s="142"/>
      <c r="AL55" s="18"/>
      <c r="AM55" s="18"/>
      <c r="AN55" s="18"/>
      <c r="AO55" s="142"/>
    </row>
    <row r="56">
      <c r="A56" s="142"/>
      <c r="B56" s="18"/>
      <c r="C56" s="142"/>
      <c r="D56" s="18"/>
      <c r="E56" s="18"/>
      <c r="F56" s="18"/>
      <c r="G56" s="142"/>
      <c r="H56" s="18"/>
      <c r="I56" s="142"/>
      <c r="J56" s="143"/>
      <c r="Q56" s="15"/>
      <c r="R56" s="18"/>
      <c r="S56" s="142"/>
      <c r="T56" s="142"/>
      <c r="U56" s="142"/>
      <c r="V56" s="18"/>
      <c r="W56" s="18"/>
      <c r="X56" s="18"/>
      <c r="Y56" s="142"/>
      <c r="Z56" s="18"/>
      <c r="AA56" s="18"/>
      <c r="AB56" s="18"/>
      <c r="AC56" s="18"/>
      <c r="AD56" s="18"/>
      <c r="AE56" s="18"/>
      <c r="AF56" s="18"/>
      <c r="AG56" s="18"/>
      <c r="AH56" s="18"/>
      <c r="AI56" s="18"/>
      <c r="AJ56" s="142"/>
      <c r="AK56" s="142"/>
      <c r="AL56" s="18"/>
      <c r="AM56" s="18"/>
      <c r="AN56" s="18"/>
      <c r="AO56" s="142"/>
    </row>
    <row r="57">
      <c r="A57" s="142"/>
      <c r="B57" s="18"/>
      <c r="C57" s="142"/>
      <c r="D57" s="18"/>
      <c r="E57" s="18"/>
      <c r="F57" s="18"/>
      <c r="G57" s="142"/>
      <c r="H57" s="18"/>
      <c r="I57" s="142"/>
      <c r="J57" s="143"/>
      <c r="Q57" s="15"/>
      <c r="R57" s="18"/>
      <c r="S57" s="142"/>
      <c r="T57" s="142"/>
      <c r="U57" s="142"/>
      <c r="V57" s="18"/>
      <c r="W57" s="18"/>
      <c r="X57" s="18"/>
      <c r="Y57" s="142"/>
      <c r="Z57" s="18"/>
      <c r="AA57" s="18"/>
      <c r="AB57" s="18"/>
      <c r="AC57" s="18"/>
      <c r="AD57" s="18"/>
      <c r="AE57" s="18"/>
      <c r="AF57" s="18"/>
      <c r="AG57" s="18"/>
      <c r="AH57" s="18"/>
      <c r="AI57" s="18"/>
      <c r="AJ57" s="142"/>
      <c r="AK57" s="142"/>
      <c r="AL57" s="18"/>
      <c r="AM57" s="18"/>
      <c r="AN57" s="18"/>
      <c r="AO57" s="142"/>
    </row>
    <row r="58">
      <c r="A58" s="142"/>
      <c r="B58" s="18"/>
      <c r="C58" s="142"/>
      <c r="D58" s="18"/>
      <c r="E58" s="18"/>
      <c r="F58" s="18"/>
      <c r="G58" s="142"/>
      <c r="H58" s="18"/>
      <c r="I58" s="142"/>
      <c r="J58" s="143"/>
      <c r="Q58" s="15"/>
      <c r="R58" s="18"/>
      <c r="S58" s="142"/>
      <c r="T58" s="142"/>
      <c r="U58" s="142"/>
      <c r="V58" s="18"/>
      <c r="W58" s="18"/>
      <c r="X58" s="18"/>
      <c r="Y58" s="142"/>
      <c r="Z58" s="18"/>
      <c r="AA58" s="18"/>
      <c r="AB58" s="18"/>
      <c r="AC58" s="18"/>
      <c r="AD58" s="18"/>
      <c r="AE58" s="18"/>
      <c r="AF58" s="18"/>
      <c r="AG58" s="18"/>
      <c r="AH58" s="18"/>
      <c r="AI58" s="18"/>
      <c r="AJ58" s="142"/>
      <c r="AK58" s="142"/>
      <c r="AL58" s="18"/>
      <c r="AM58" s="18"/>
      <c r="AN58" s="18"/>
      <c r="AO58" s="142"/>
    </row>
    <row r="59">
      <c r="A59" s="142"/>
      <c r="B59" s="18"/>
      <c r="C59" s="142"/>
      <c r="D59" s="18"/>
      <c r="E59" s="18"/>
      <c r="F59" s="18"/>
      <c r="G59" s="142"/>
      <c r="H59" s="18"/>
      <c r="I59" s="142"/>
      <c r="J59" s="143"/>
      <c r="Q59" s="15"/>
      <c r="R59" s="18"/>
      <c r="S59" s="142"/>
      <c r="T59" s="142"/>
      <c r="U59" s="142"/>
      <c r="V59" s="18"/>
      <c r="W59" s="18"/>
      <c r="X59" s="18"/>
      <c r="Y59" s="142"/>
      <c r="Z59" s="18"/>
      <c r="AA59" s="18"/>
      <c r="AB59" s="18"/>
      <c r="AC59" s="18"/>
      <c r="AD59" s="18"/>
      <c r="AE59" s="18"/>
      <c r="AF59" s="18"/>
      <c r="AG59" s="18"/>
      <c r="AH59" s="18"/>
      <c r="AI59" s="18"/>
      <c r="AJ59" s="142"/>
      <c r="AK59" s="142"/>
      <c r="AL59" s="18"/>
      <c r="AM59" s="18"/>
      <c r="AN59" s="18"/>
      <c r="AO59" s="142"/>
    </row>
    <row r="60">
      <c r="A60" s="142"/>
      <c r="B60" s="18"/>
      <c r="C60" s="142"/>
      <c r="D60" s="18"/>
      <c r="E60" s="18"/>
      <c r="F60" s="18"/>
      <c r="G60" s="142"/>
      <c r="H60" s="18"/>
      <c r="I60" s="142"/>
      <c r="J60" s="143"/>
      <c r="Q60" s="15"/>
      <c r="R60" s="18"/>
      <c r="S60" s="142"/>
      <c r="T60" s="142"/>
      <c r="U60" s="142"/>
      <c r="V60" s="18"/>
      <c r="W60" s="18"/>
      <c r="X60" s="18"/>
      <c r="Y60" s="142"/>
      <c r="Z60" s="18"/>
      <c r="AA60" s="18"/>
      <c r="AB60" s="18"/>
      <c r="AC60" s="18"/>
      <c r="AD60" s="18"/>
      <c r="AE60" s="18"/>
      <c r="AF60" s="18"/>
      <c r="AG60" s="18"/>
      <c r="AH60" s="18"/>
      <c r="AI60" s="18"/>
      <c r="AJ60" s="142"/>
      <c r="AK60" s="142"/>
      <c r="AL60" s="18"/>
      <c r="AM60" s="18"/>
      <c r="AN60" s="18"/>
      <c r="AO60" s="142"/>
    </row>
    <row r="61">
      <c r="Q61" s="15"/>
      <c r="R61" s="18"/>
      <c r="S61" s="142"/>
      <c r="T61" s="142"/>
      <c r="U61" s="142"/>
      <c r="V61" s="18"/>
      <c r="W61" s="18"/>
      <c r="X61" s="18"/>
      <c r="Y61" s="142"/>
      <c r="Z61" s="18"/>
      <c r="AA61" s="18"/>
      <c r="AB61" s="18"/>
      <c r="AC61" s="18"/>
      <c r="AD61" s="18"/>
      <c r="AE61" s="18"/>
      <c r="AF61" s="18"/>
      <c r="AG61" s="18"/>
      <c r="AH61" s="18"/>
      <c r="AI61" s="18"/>
      <c r="AJ61" s="142"/>
      <c r="AK61" s="142"/>
      <c r="AL61" s="18"/>
      <c r="AM61" s="18"/>
      <c r="AN61" s="18"/>
      <c r="AO61" s="142"/>
    </row>
    <row r="62">
      <c r="Q62" s="15"/>
      <c r="R62" s="18"/>
      <c r="S62" s="142"/>
      <c r="T62" s="142"/>
      <c r="U62" s="142"/>
      <c r="V62" s="18"/>
      <c r="W62" s="18"/>
      <c r="X62" s="18"/>
      <c r="Y62" s="142"/>
      <c r="Z62" s="18"/>
      <c r="AA62" s="18"/>
      <c r="AB62" s="18"/>
      <c r="AC62" s="18"/>
      <c r="AD62" s="18"/>
      <c r="AE62" s="18"/>
      <c r="AF62" s="18"/>
      <c r="AG62" s="18"/>
      <c r="AH62" s="18"/>
      <c r="AI62" s="18"/>
      <c r="AJ62" s="142"/>
      <c r="AK62" s="142"/>
      <c r="AL62" s="18"/>
      <c r="AM62" s="18"/>
      <c r="AN62" s="18"/>
      <c r="AO62" s="142"/>
    </row>
    <row r="63">
      <c r="Q63" s="15"/>
      <c r="R63" s="18"/>
      <c r="S63" s="142"/>
      <c r="T63" s="142"/>
      <c r="U63" s="142"/>
      <c r="V63" s="18"/>
      <c r="W63" s="18"/>
      <c r="X63" s="18"/>
      <c r="Y63" s="142"/>
      <c r="Z63" s="18"/>
      <c r="AA63" s="18"/>
      <c r="AB63" s="18"/>
      <c r="AC63" s="18"/>
      <c r="AD63" s="18"/>
      <c r="AE63" s="18"/>
      <c r="AF63" s="18"/>
      <c r="AG63" s="18"/>
      <c r="AH63" s="18"/>
      <c r="AI63" s="18"/>
      <c r="AJ63" s="142"/>
      <c r="AK63" s="142"/>
      <c r="AL63" s="18"/>
      <c r="AM63" s="18"/>
      <c r="AN63" s="18"/>
      <c r="AO63" s="142"/>
    </row>
    <row r="64">
      <c r="Q64" s="15"/>
      <c r="R64" s="18"/>
      <c r="S64" s="142"/>
      <c r="T64" s="142"/>
      <c r="U64" s="142"/>
      <c r="V64" s="18"/>
      <c r="W64" s="18"/>
      <c r="X64" s="18"/>
      <c r="Y64" s="142"/>
      <c r="Z64" s="18"/>
      <c r="AA64" s="18"/>
      <c r="AB64" s="18"/>
      <c r="AC64" s="18"/>
      <c r="AD64" s="18"/>
      <c r="AE64" s="18"/>
      <c r="AF64" s="18"/>
      <c r="AG64" s="18"/>
      <c r="AH64" s="18"/>
      <c r="AI64" s="18"/>
      <c r="AJ64" s="142"/>
      <c r="AK64" s="142"/>
      <c r="AL64" s="18"/>
      <c r="AM64" s="18"/>
      <c r="AN64" s="18"/>
      <c r="AO64" s="142"/>
    </row>
    <row r="65">
      <c r="Q65" s="15"/>
      <c r="R65" s="18"/>
      <c r="S65" s="142"/>
      <c r="T65" s="142"/>
      <c r="U65" s="142"/>
      <c r="V65" s="18"/>
      <c r="W65" s="18"/>
      <c r="X65" s="18"/>
      <c r="Y65" s="142"/>
      <c r="Z65" s="18"/>
      <c r="AA65" s="18"/>
      <c r="AB65" s="18"/>
      <c r="AC65" s="18"/>
      <c r="AD65" s="18"/>
      <c r="AE65" s="18"/>
      <c r="AF65" s="18"/>
      <c r="AG65" s="18"/>
      <c r="AH65" s="18"/>
      <c r="AI65" s="18"/>
      <c r="AJ65" s="142"/>
      <c r="AK65" s="142"/>
      <c r="AL65" s="18"/>
      <c r="AM65" s="18"/>
      <c r="AN65" s="18"/>
      <c r="AO65" s="142"/>
    </row>
    <row r="66">
      <c r="Q66" s="15"/>
      <c r="R66" s="18"/>
      <c r="S66" s="142"/>
      <c r="T66" s="142"/>
      <c r="U66" s="142"/>
      <c r="V66" s="18"/>
      <c r="W66" s="18"/>
      <c r="X66" s="18"/>
      <c r="Y66" s="142"/>
      <c r="Z66" s="18"/>
      <c r="AA66" s="18"/>
      <c r="AB66" s="18"/>
      <c r="AC66" s="18"/>
      <c r="AD66" s="18"/>
      <c r="AE66" s="18"/>
      <c r="AF66" s="18"/>
      <c r="AG66" s="18"/>
      <c r="AH66" s="18"/>
      <c r="AI66" s="18"/>
      <c r="AJ66" s="142"/>
      <c r="AK66" s="142"/>
      <c r="AL66" s="18"/>
      <c r="AM66" s="18"/>
      <c r="AN66" s="18"/>
      <c r="AO66" s="142"/>
    </row>
    <row r="67">
      <c r="A67" s="142"/>
      <c r="B67" s="18"/>
      <c r="C67" s="142"/>
      <c r="D67" s="18"/>
      <c r="E67" s="18"/>
      <c r="F67" s="18"/>
      <c r="G67" s="142"/>
      <c r="H67" s="18"/>
      <c r="I67" s="142"/>
      <c r="J67" s="15"/>
      <c r="Q67" s="15"/>
      <c r="R67" s="18"/>
      <c r="S67" s="142"/>
      <c r="T67" s="142"/>
      <c r="U67" s="142"/>
      <c r="V67" s="18"/>
      <c r="W67" s="18"/>
      <c r="X67" s="18"/>
      <c r="Y67" s="142"/>
      <c r="Z67" s="18"/>
      <c r="AA67" s="18"/>
      <c r="AB67" s="18"/>
      <c r="AC67" s="18"/>
      <c r="AD67" s="18"/>
      <c r="AE67" s="18"/>
      <c r="AF67" s="18"/>
      <c r="AG67" s="18"/>
      <c r="AH67" s="18"/>
      <c r="AI67" s="18"/>
      <c r="AJ67" s="142"/>
      <c r="AK67" s="142"/>
      <c r="AL67" s="18"/>
      <c r="AM67" s="18"/>
      <c r="AN67" s="18"/>
      <c r="AO67" s="142"/>
    </row>
    <row r="68">
      <c r="A68" s="142"/>
      <c r="B68" s="18"/>
      <c r="C68" s="142"/>
      <c r="D68" s="18"/>
      <c r="E68" s="18"/>
      <c r="F68" s="18"/>
      <c r="G68" s="142"/>
      <c r="H68" s="18"/>
      <c r="I68" s="142"/>
      <c r="J68" s="15"/>
      <c r="Q68" s="15"/>
      <c r="R68" s="18"/>
      <c r="S68" s="142"/>
      <c r="T68" s="142"/>
      <c r="U68" s="142"/>
      <c r="V68" s="18"/>
      <c r="W68" s="18"/>
      <c r="X68" s="18"/>
      <c r="Y68" s="142"/>
      <c r="Z68" s="18"/>
      <c r="AA68" s="18"/>
      <c r="AB68" s="18"/>
      <c r="AC68" s="18"/>
      <c r="AD68" s="18"/>
      <c r="AE68" s="18"/>
      <c r="AF68" s="18"/>
      <c r="AG68" s="18"/>
      <c r="AH68" s="18"/>
      <c r="AI68" s="18"/>
      <c r="AJ68" s="142"/>
      <c r="AK68" s="142"/>
      <c r="AL68" s="18"/>
      <c r="AM68" s="18"/>
      <c r="AN68" s="18"/>
      <c r="AO68" s="142"/>
    </row>
    <row r="69">
      <c r="A69" s="142"/>
      <c r="B69" s="18"/>
      <c r="C69" s="142"/>
      <c r="D69" s="18"/>
      <c r="E69" s="18"/>
      <c r="F69" s="18"/>
      <c r="G69" s="142"/>
      <c r="H69" s="18"/>
      <c r="I69" s="142"/>
      <c r="J69" s="15"/>
      <c r="Q69" s="15"/>
      <c r="R69" s="18"/>
      <c r="S69" s="142"/>
      <c r="T69" s="142"/>
      <c r="U69" s="142"/>
      <c r="V69" s="18"/>
      <c r="W69" s="18"/>
      <c r="X69" s="18"/>
      <c r="Y69" s="142"/>
      <c r="Z69" s="18"/>
      <c r="AA69" s="18"/>
      <c r="AB69" s="18"/>
      <c r="AC69" s="18"/>
      <c r="AD69" s="18"/>
      <c r="AE69" s="18"/>
      <c r="AF69" s="18"/>
      <c r="AG69" s="18"/>
      <c r="AH69" s="18"/>
      <c r="AI69" s="18"/>
      <c r="AJ69" s="142"/>
      <c r="AK69" s="142"/>
      <c r="AL69" s="18"/>
      <c r="AM69" s="18"/>
      <c r="AN69" s="18"/>
      <c r="AO69" s="142"/>
    </row>
    <row r="70">
      <c r="A70" s="142"/>
      <c r="B70" s="18"/>
      <c r="C70" s="142"/>
      <c r="D70" s="18"/>
      <c r="E70" s="18"/>
      <c r="F70" s="18"/>
      <c r="G70" s="142"/>
      <c r="H70" s="18"/>
      <c r="I70" s="142"/>
      <c r="J70" s="15"/>
      <c r="Q70" s="15"/>
      <c r="R70" s="18"/>
      <c r="S70" s="142"/>
      <c r="T70" s="142"/>
      <c r="U70" s="142"/>
      <c r="V70" s="18"/>
      <c r="W70" s="18"/>
      <c r="X70" s="18"/>
      <c r="Y70" s="142"/>
      <c r="Z70" s="18"/>
      <c r="AA70" s="18"/>
      <c r="AB70" s="18"/>
      <c r="AC70" s="18"/>
      <c r="AD70" s="18"/>
      <c r="AE70" s="18"/>
      <c r="AF70" s="18"/>
      <c r="AG70" s="18"/>
      <c r="AH70" s="18"/>
      <c r="AI70" s="18"/>
      <c r="AJ70" s="142"/>
      <c r="AK70" s="142"/>
      <c r="AL70" s="18"/>
      <c r="AM70" s="18"/>
      <c r="AN70" s="18"/>
      <c r="AO70" s="142"/>
    </row>
    <row r="71">
      <c r="A71" s="142"/>
      <c r="B71" s="18"/>
      <c r="C71" s="142"/>
      <c r="D71" s="18"/>
      <c r="E71" s="18"/>
      <c r="F71" s="18"/>
      <c r="G71" s="142"/>
      <c r="H71" s="18"/>
      <c r="I71" s="142"/>
      <c r="J71" s="15"/>
      <c r="Q71" s="15"/>
      <c r="R71" s="18"/>
      <c r="S71" s="142"/>
      <c r="T71" s="142"/>
      <c r="U71" s="142"/>
      <c r="V71" s="18"/>
      <c r="W71" s="18"/>
      <c r="X71" s="18"/>
      <c r="Y71" s="142"/>
      <c r="Z71" s="18"/>
      <c r="AA71" s="18"/>
      <c r="AB71" s="18"/>
      <c r="AC71" s="18"/>
      <c r="AD71" s="18"/>
      <c r="AE71" s="18"/>
      <c r="AF71" s="18"/>
      <c r="AG71" s="18"/>
      <c r="AH71" s="18"/>
      <c r="AI71" s="18"/>
      <c r="AJ71" s="142"/>
      <c r="AK71" s="142"/>
      <c r="AL71" s="18"/>
      <c r="AM71" s="18"/>
      <c r="AN71" s="18"/>
      <c r="AO71" s="142"/>
    </row>
    <row r="72">
      <c r="A72" s="142"/>
      <c r="B72" s="18"/>
      <c r="C72" s="142"/>
      <c r="D72" s="18"/>
      <c r="E72" s="18"/>
      <c r="F72" s="18"/>
      <c r="G72" s="142"/>
      <c r="H72" s="18"/>
      <c r="I72" s="142"/>
      <c r="J72" s="15"/>
      <c r="Q72" s="15"/>
      <c r="R72" s="18"/>
      <c r="S72" s="142"/>
      <c r="T72" s="142"/>
      <c r="U72" s="142"/>
      <c r="V72" s="18"/>
      <c r="W72" s="18"/>
      <c r="X72" s="18"/>
      <c r="Y72" s="142"/>
      <c r="Z72" s="18"/>
      <c r="AA72" s="18"/>
      <c r="AB72" s="18"/>
      <c r="AC72" s="18"/>
      <c r="AD72" s="18"/>
      <c r="AE72" s="18"/>
      <c r="AF72" s="18"/>
      <c r="AG72" s="18"/>
      <c r="AH72" s="18"/>
      <c r="AI72" s="18"/>
      <c r="AJ72" s="142"/>
      <c r="AK72" s="142"/>
      <c r="AL72" s="18"/>
      <c r="AM72" s="18"/>
      <c r="AN72" s="18"/>
      <c r="AO72" s="142"/>
    </row>
    <row r="73">
      <c r="A73" s="142"/>
      <c r="B73" s="18"/>
      <c r="C73" s="142"/>
      <c r="D73" s="18"/>
      <c r="E73" s="18"/>
      <c r="F73" s="18"/>
      <c r="G73" s="142"/>
      <c r="H73" s="18"/>
      <c r="I73" s="142"/>
      <c r="J73" s="15"/>
      <c r="Q73" s="15"/>
      <c r="R73" s="18"/>
      <c r="S73" s="142"/>
      <c r="T73" s="142"/>
      <c r="U73" s="142"/>
      <c r="V73" s="18"/>
      <c r="W73" s="18"/>
      <c r="X73" s="18"/>
      <c r="Y73" s="142"/>
      <c r="Z73" s="18"/>
      <c r="AA73" s="18"/>
      <c r="AB73" s="18"/>
      <c r="AC73" s="18"/>
      <c r="AD73" s="18"/>
      <c r="AE73" s="18"/>
      <c r="AF73" s="18"/>
      <c r="AG73" s="18"/>
      <c r="AH73" s="18"/>
      <c r="AI73" s="18"/>
      <c r="AJ73" s="142"/>
      <c r="AK73" s="142"/>
      <c r="AL73" s="18"/>
      <c r="AM73" s="18"/>
      <c r="AN73" s="18"/>
      <c r="AO73" s="142"/>
    </row>
    <row r="74">
      <c r="A74" s="142"/>
      <c r="B74" s="18"/>
      <c r="C74" s="142"/>
      <c r="D74" s="18"/>
      <c r="E74" s="18"/>
      <c r="F74" s="18"/>
      <c r="G74" s="142"/>
      <c r="H74" s="18"/>
      <c r="I74" s="142"/>
      <c r="J74" s="15"/>
      <c r="Q74" s="15"/>
      <c r="R74" s="18"/>
      <c r="S74" s="142"/>
      <c r="T74" s="142"/>
      <c r="U74" s="142"/>
      <c r="V74" s="18"/>
      <c r="W74" s="18"/>
      <c r="X74" s="18"/>
      <c r="Y74" s="142"/>
      <c r="Z74" s="18"/>
      <c r="AA74" s="18"/>
      <c r="AB74" s="18"/>
      <c r="AC74" s="18"/>
      <c r="AD74" s="18"/>
      <c r="AE74" s="18"/>
      <c r="AF74" s="18"/>
      <c r="AG74" s="18"/>
      <c r="AH74" s="18"/>
      <c r="AI74" s="18"/>
      <c r="AJ74" s="142"/>
      <c r="AK74" s="142"/>
      <c r="AL74" s="18"/>
      <c r="AM74" s="18"/>
      <c r="AN74" s="18"/>
      <c r="AO74" s="142"/>
    </row>
    <row r="75">
      <c r="A75" s="142"/>
      <c r="B75" s="18"/>
      <c r="C75" s="142"/>
      <c r="D75" s="18"/>
      <c r="E75" s="18"/>
      <c r="F75" s="18"/>
      <c r="G75" s="142"/>
      <c r="H75" s="18"/>
      <c r="I75" s="142"/>
      <c r="J75" s="15"/>
      <c r="Q75" s="15"/>
      <c r="R75" s="18"/>
      <c r="S75" s="142"/>
      <c r="T75" s="142"/>
      <c r="U75" s="142"/>
      <c r="V75" s="18"/>
      <c r="W75" s="18"/>
      <c r="X75" s="18"/>
      <c r="Y75" s="142"/>
      <c r="Z75" s="18"/>
      <c r="AA75" s="18"/>
      <c r="AB75" s="18"/>
      <c r="AC75" s="18"/>
      <c r="AD75" s="18"/>
      <c r="AE75" s="18"/>
      <c r="AF75" s="18"/>
      <c r="AG75" s="18"/>
      <c r="AH75" s="18"/>
      <c r="AI75" s="18"/>
      <c r="AJ75" s="142"/>
      <c r="AK75" s="142"/>
      <c r="AL75" s="18"/>
      <c r="AM75" s="18"/>
      <c r="AN75" s="18"/>
      <c r="AO75" s="142"/>
    </row>
    <row r="76">
      <c r="A76" s="142"/>
      <c r="B76" s="18"/>
      <c r="C76" s="142"/>
      <c r="D76" s="18"/>
      <c r="E76" s="18"/>
      <c r="F76" s="18"/>
      <c r="G76" s="142"/>
      <c r="H76" s="18"/>
      <c r="I76" s="142"/>
      <c r="J76" s="15"/>
      <c r="Q76" s="15"/>
      <c r="R76" s="18"/>
      <c r="S76" s="142"/>
      <c r="T76" s="142"/>
      <c r="U76" s="142"/>
      <c r="V76" s="18"/>
      <c r="W76" s="18"/>
      <c r="X76" s="18"/>
      <c r="Y76" s="142"/>
      <c r="Z76" s="18"/>
      <c r="AA76" s="18"/>
      <c r="AB76" s="18"/>
      <c r="AC76" s="18"/>
      <c r="AD76" s="18"/>
      <c r="AE76" s="18"/>
      <c r="AF76" s="18"/>
      <c r="AG76" s="18"/>
      <c r="AH76" s="18"/>
      <c r="AI76" s="18"/>
      <c r="AJ76" s="142"/>
      <c r="AK76" s="142"/>
      <c r="AL76" s="18"/>
      <c r="AM76" s="18"/>
      <c r="AN76" s="18"/>
      <c r="AO76" s="142"/>
    </row>
    <row r="77">
      <c r="A77" s="142"/>
      <c r="B77" s="18"/>
      <c r="C77" s="142"/>
      <c r="D77" s="18"/>
      <c r="E77" s="18"/>
      <c r="F77" s="18"/>
      <c r="G77" s="142"/>
      <c r="H77" s="18"/>
      <c r="I77" s="142"/>
      <c r="J77" s="15"/>
      <c r="Q77" s="15"/>
      <c r="R77" s="18"/>
      <c r="S77" s="142"/>
      <c r="T77" s="142"/>
      <c r="U77" s="142"/>
      <c r="V77" s="18"/>
      <c r="W77" s="18"/>
      <c r="X77" s="18"/>
      <c r="Y77" s="142"/>
      <c r="Z77" s="18"/>
      <c r="AA77" s="18"/>
      <c r="AB77" s="18"/>
      <c r="AC77" s="18"/>
      <c r="AD77" s="18"/>
      <c r="AE77" s="18"/>
      <c r="AF77" s="18"/>
      <c r="AG77" s="18"/>
      <c r="AH77" s="18"/>
      <c r="AI77" s="18"/>
      <c r="AJ77" s="142"/>
      <c r="AK77" s="142"/>
      <c r="AL77" s="18"/>
      <c r="AM77" s="18"/>
      <c r="AN77" s="18"/>
      <c r="AO77" s="142"/>
    </row>
    <row r="78">
      <c r="A78" s="142"/>
      <c r="B78" s="18"/>
      <c r="C78" s="142"/>
      <c r="D78" s="18"/>
      <c r="E78" s="18"/>
      <c r="F78" s="18"/>
      <c r="G78" s="142"/>
      <c r="H78" s="18"/>
      <c r="I78" s="142"/>
      <c r="J78" s="15"/>
      <c r="Q78" s="15"/>
      <c r="R78" s="18"/>
      <c r="S78" s="142"/>
      <c r="T78" s="142"/>
      <c r="U78" s="142"/>
      <c r="V78" s="18"/>
      <c r="W78" s="18"/>
      <c r="X78" s="18"/>
      <c r="Y78" s="142"/>
      <c r="Z78" s="18"/>
      <c r="AA78" s="18"/>
      <c r="AB78" s="18"/>
      <c r="AC78" s="18"/>
      <c r="AD78" s="18"/>
      <c r="AE78" s="18"/>
      <c r="AF78" s="18"/>
      <c r="AG78" s="18"/>
      <c r="AH78" s="18"/>
      <c r="AI78" s="18"/>
      <c r="AJ78" s="142"/>
      <c r="AK78" s="142"/>
      <c r="AL78" s="18"/>
      <c r="AM78" s="18"/>
      <c r="AN78" s="18"/>
      <c r="AO78" s="142"/>
    </row>
    <row r="79">
      <c r="A79" s="142"/>
      <c r="B79" s="18"/>
      <c r="C79" s="142"/>
      <c r="D79" s="18"/>
      <c r="E79" s="18"/>
      <c r="F79" s="18"/>
      <c r="G79" s="142"/>
      <c r="H79" s="18"/>
      <c r="I79" s="142"/>
      <c r="J79" s="15"/>
      <c r="Q79" s="15"/>
      <c r="R79" s="18"/>
      <c r="S79" s="142"/>
      <c r="T79" s="142"/>
      <c r="U79" s="142"/>
      <c r="V79" s="18"/>
      <c r="W79" s="18"/>
      <c r="X79" s="18"/>
      <c r="Y79" s="142"/>
      <c r="Z79" s="18"/>
      <c r="AA79" s="18"/>
      <c r="AB79" s="18"/>
      <c r="AC79" s="18"/>
      <c r="AD79" s="18"/>
      <c r="AE79" s="18"/>
      <c r="AF79" s="18"/>
      <c r="AG79" s="18"/>
      <c r="AH79" s="18"/>
      <c r="AI79" s="18"/>
      <c r="AJ79" s="142"/>
      <c r="AK79" s="142"/>
      <c r="AL79" s="18"/>
      <c r="AM79" s="18"/>
      <c r="AN79" s="18"/>
      <c r="AO79" s="142"/>
    </row>
    <row r="80">
      <c r="A80" s="142"/>
      <c r="B80" s="18"/>
      <c r="C80" s="142"/>
      <c r="D80" s="18"/>
      <c r="E80" s="18"/>
      <c r="F80" s="18"/>
      <c r="G80" s="142"/>
      <c r="H80" s="18"/>
      <c r="I80" s="142"/>
      <c r="J80" s="15"/>
      <c r="Q80" s="15"/>
      <c r="R80" s="18"/>
      <c r="S80" s="142"/>
      <c r="T80" s="142"/>
      <c r="U80" s="142"/>
      <c r="V80" s="18"/>
      <c r="W80" s="18"/>
      <c r="X80" s="18"/>
      <c r="Y80" s="142"/>
      <c r="Z80" s="18"/>
      <c r="AA80" s="18"/>
      <c r="AB80" s="18"/>
      <c r="AC80" s="18"/>
      <c r="AD80" s="18"/>
      <c r="AE80" s="18"/>
      <c r="AF80" s="18"/>
      <c r="AG80" s="18"/>
      <c r="AH80" s="18"/>
      <c r="AI80" s="18"/>
      <c r="AJ80" s="142"/>
      <c r="AK80" s="142"/>
      <c r="AL80" s="18"/>
      <c r="AM80" s="18"/>
      <c r="AN80" s="18"/>
      <c r="AO80" s="142"/>
    </row>
    <row r="81">
      <c r="A81" s="142"/>
      <c r="B81" s="18"/>
      <c r="C81" s="142"/>
      <c r="D81" s="18"/>
      <c r="E81" s="18"/>
      <c r="F81" s="18"/>
      <c r="G81" s="142"/>
      <c r="H81" s="18"/>
      <c r="I81" s="142"/>
      <c r="J81" s="15"/>
      <c r="Q81" s="15"/>
      <c r="R81" s="18"/>
      <c r="S81" s="142"/>
      <c r="T81" s="142"/>
      <c r="U81" s="142"/>
      <c r="V81" s="18"/>
      <c r="W81" s="18"/>
      <c r="X81" s="18"/>
      <c r="Y81" s="142"/>
      <c r="Z81" s="18"/>
      <c r="AA81" s="18"/>
      <c r="AB81" s="18"/>
      <c r="AC81" s="18"/>
      <c r="AD81" s="18"/>
      <c r="AE81" s="18"/>
      <c r="AF81" s="18"/>
      <c r="AG81" s="18"/>
      <c r="AH81" s="18"/>
      <c r="AI81" s="18"/>
      <c r="AJ81" s="142"/>
      <c r="AK81" s="142"/>
      <c r="AL81" s="18"/>
      <c r="AM81" s="18"/>
      <c r="AN81" s="18"/>
      <c r="AO81" s="142"/>
    </row>
    <row r="82">
      <c r="A82" s="142"/>
      <c r="B82" s="18"/>
      <c r="C82" s="142"/>
      <c r="D82" s="18"/>
      <c r="E82" s="18"/>
      <c r="F82" s="18"/>
      <c r="G82" s="142"/>
      <c r="H82" s="18"/>
      <c r="I82" s="142"/>
      <c r="J82" s="15"/>
      <c r="Q82" s="15"/>
      <c r="R82" s="18"/>
      <c r="S82" s="142"/>
      <c r="T82" s="142"/>
      <c r="U82" s="142"/>
      <c r="V82" s="18"/>
      <c r="W82" s="18"/>
      <c r="X82" s="18"/>
      <c r="Y82" s="142"/>
      <c r="Z82" s="18"/>
      <c r="AA82" s="18"/>
      <c r="AB82" s="18"/>
      <c r="AC82" s="18"/>
      <c r="AD82" s="18"/>
      <c r="AE82" s="18"/>
      <c r="AF82" s="18"/>
      <c r="AG82" s="18"/>
      <c r="AH82" s="18"/>
      <c r="AI82" s="18"/>
      <c r="AJ82" s="142"/>
      <c r="AK82" s="142"/>
      <c r="AL82" s="18"/>
      <c r="AM82" s="18"/>
      <c r="AN82" s="18"/>
      <c r="AO82" s="142"/>
    </row>
    <row r="83">
      <c r="A83" s="142"/>
      <c r="B83" s="18"/>
      <c r="C83" s="142"/>
      <c r="D83" s="18"/>
      <c r="E83" s="18"/>
      <c r="F83" s="18"/>
      <c r="G83" s="142"/>
      <c r="H83" s="18"/>
      <c r="I83" s="142"/>
      <c r="J83" s="15"/>
      <c r="Q83" s="15"/>
      <c r="R83" s="18"/>
      <c r="S83" s="142"/>
      <c r="T83" s="142"/>
      <c r="U83" s="142"/>
      <c r="V83" s="18"/>
      <c r="W83" s="18"/>
      <c r="X83" s="18"/>
      <c r="Y83" s="142"/>
      <c r="Z83" s="18"/>
      <c r="AA83" s="18"/>
      <c r="AB83" s="18"/>
      <c r="AC83" s="18"/>
      <c r="AD83" s="18"/>
      <c r="AE83" s="18"/>
      <c r="AF83" s="18"/>
      <c r="AG83" s="18"/>
      <c r="AH83" s="18"/>
      <c r="AI83" s="18"/>
      <c r="AJ83" s="142"/>
      <c r="AK83" s="142"/>
      <c r="AL83" s="18"/>
      <c r="AM83" s="18"/>
      <c r="AN83" s="18"/>
      <c r="AO83" s="142"/>
    </row>
    <row r="84">
      <c r="A84" s="142"/>
      <c r="B84" s="18"/>
      <c r="C84" s="142"/>
      <c r="D84" s="18"/>
      <c r="E84" s="18"/>
      <c r="F84" s="18"/>
      <c r="G84" s="142"/>
      <c r="H84" s="18"/>
      <c r="I84" s="142"/>
      <c r="J84" s="15"/>
      <c r="Q84" s="15"/>
      <c r="R84" s="18"/>
      <c r="S84" s="142"/>
      <c r="T84" s="142"/>
      <c r="U84" s="142"/>
      <c r="V84" s="18"/>
      <c r="W84" s="18"/>
      <c r="X84" s="18"/>
      <c r="Y84" s="142"/>
      <c r="Z84" s="18"/>
      <c r="AA84" s="18"/>
      <c r="AB84" s="18"/>
      <c r="AC84" s="18"/>
      <c r="AD84" s="18"/>
      <c r="AE84" s="18"/>
      <c r="AF84" s="18"/>
      <c r="AG84" s="18"/>
      <c r="AH84" s="18"/>
      <c r="AI84" s="18"/>
      <c r="AJ84" s="142"/>
      <c r="AK84" s="142"/>
      <c r="AL84" s="18"/>
      <c r="AM84" s="18"/>
      <c r="AN84" s="18"/>
      <c r="AO84" s="142"/>
    </row>
    <row r="85">
      <c r="A85" s="142"/>
      <c r="B85" s="18"/>
      <c r="C85" s="142"/>
      <c r="D85" s="18"/>
      <c r="E85" s="18"/>
      <c r="F85" s="18"/>
      <c r="G85" s="142"/>
      <c r="H85" s="18"/>
      <c r="I85" s="142"/>
      <c r="J85" s="15"/>
      <c r="Q85" s="15"/>
      <c r="R85" s="18"/>
      <c r="S85" s="142"/>
      <c r="T85" s="142"/>
      <c r="U85" s="142"/>
      <c r="V85" s="18"/>
      <c r="W85" s="18"/>
      <c r="X85" s="18"/>
      <c r="Y85" s="142"/>
      <c r="Z85" s="18"/>
      <c r="AA85" s="18"/>
      <c r="AB85" s="18"/>
      <c r="AC85" s="18"/>
      <c r="AD85" s="18"/>
      <c r="AE85" s="18"/>
      <c r="AF85" s="18"/>
      <c r="AG85" s="18"/>
      <c r="AH85" s="18"/>
      <c r="AI85" s="18"/>
      <c r="AJ85" s="142"/>
      <c r="AK85" s="142"/>
      <c r="AL85" s="18"/>
      <c r="AM85" s="18"/>
      <c r="AN85" s="18"/>
      <c r="AO85" s="142"/>
    </row>
    <row r="86">
      <c r="A86" s="142"/>
      <c r="B86" s="18"/>
      <c r="C86" s="142"/>
      <c r="D86" s="18"/>
      <c r="E86" s="18"/>
      <c r="F86" s="18"/>
      <c r="G86" s="142"/>
      <c r="H86" s="18"/>
      <c r="I86" s="142"/>
      <c r="J86" s="15"/>
      <c r="Q86" s="15"/>
      <c r="R86" s="18"/>
      <c r="S86" s="142"/>
      <c r="T86" s="142"/>
      <c r="U86" s="142"/>
      <c r="V86" s="18"/>
      <c r="W86" s="18"/>
      <c r="X86" s="18"/>
      <c r="Y86" s="142"/>
      <c r="Z86" s="18"/>
      <c r="AA86" s="18"/>
      <c r="AB86" s="18"/>
      <c r="AC86" s="18"/>
      <c r="AD86" s="18"/>
      <c r="AE86" s="18"/>
      <c r="AF86" s="18"/>
      <c r="AG86" s="18"/>
      <c r="AH86" s="18"/>
      <c r="AI86" s="18"/>
      <c r="AJ86" s="142"/>
      <c r="AK86" s="142"/>
      <c r="AL86" s="18"/>
      <c r="AM86" s="18"/>
      <c r="AN86" s="18"/>
      <c r="AO86" s="142"/>
    </row>
    <row r="87">
      <c r="A87" s="142"/>
      <c r="B87" s="18"/>
      <c r="C87" s="142"/>
      <c r="D87" s="18"/>
      <c r="E87" s="18"/>
      <c r="F87" s="18"/>
      <c r="G87" s="142"/>
      <c r="H87" s="18"/>
      <c r="I87" s="142"/>
      <c r="J87" s="15"/>
      <c r="Q87" s="15"/>
      <c r="R87" s="18"/>
      <c r="S87" s="142"/>
      <c r="T87" s="142"/>
      <c r="U87" s="142"/>
      <c r="V87" s="18"/>
      <c r="W87" s="18"/>
      <c r="X87" s="18"/>
      <c r="Y87" s="142"/>
      <c r="Z87" s="18"/>
      <c r="AA87" s="18"/>
      <c r="AB87" s="18"/>
      <c r="AC87" s="18"/>
      <c r="AD87" s="18"/>
      <c r="AE87" s="18"/>
      <c r="AF87" s="18"/>
      <c r="AG87" s="18"/>
      <c r="AH87" s="18"/>
      <c r="AI87" s="18"/>
      <c r="AJ87" s="142"/>
      <c r="AK87" s="142"/>
      <c r="AL87" s="18"/>
      <c r="AM87" s="18"/>
      <c r="AN87" s="18"/>
      <c r="AO87" s="142"/>
    </row>
    <row r="88">
      <c r="A88" s="142"/>
      <c r="B88" s="18"/>
      <c r="C88" s="142"/>
      <c r="D88" s="18"/>
      <c r="E88" s="18"/>
      <c r="F88" s="18"/>
      <c r="G88" s="142"/>
      <c r="H88" s="18"/>
      <c r="I88" s="142"/>
      <c r="J88" s="15"/>
      <c r="Q88" s="15"/>
      <c r="R88" s="18"/>
      <c r="S88" s="142"/>
      <c r="T88" s="142"/>
      <c r="U88" s="142"/>
      <c r="V88" s="18"/>
      <c r="W88" s="18"/>
      <c r="X88" s="18"/>
      <c r="Y88" s="142"/>
      <c r="Z88" s="18"/>
      <c r="AA88" s="18"/>
      <c r="AB88" s="18"/>
      <c r="AC88" s="18"/>
      <c r="AD88" s="18"/>
      <c r="AE88" s="18"/>
      <c r="AF88" s="18"/>
      <c r="AG88" s="18"/>
      <c r="AH88" s="18"/>
      <c r="AI88" s="18"/>
      <c r="AJ88" s="142"/>
      <c r="AK88" s="142"/>
      <c r="AL88" s="18"/>
      <c r="AM88" s="18"/>
      <c r="AN88" s="18"/>
      <c r="AO88" s="142"/>
    </row>
    <row r="89">
      <c r="A89" s="142"/>
      <c r="B89" s="18"/>
      <c r="C89" s="142"/>
      <c r="D89" s="18"/>
      <c r="E89" s="18"/>
      <c r="F89" s="18"/>
      <c r="G89" s="142"/>
      <c r="H89" s="18"/>
      <c r="I89" s="142"/>
      <c r="J89" s="15"/>
      <c r="Q89" s="15"/>
      <c r="R89" s="18"/>
      <c r="S89" s="142"/>
      <c r="T89" s="142"/>
      <c r="U89" s="142"/>
      <c r="V89" s="18"/>
      <c r="W89" s="18"/>
      <c r="X89" s="18"/>
      <c r="Y89" s="142"/>
      <c r="Z89" s="18"/>
      <c r="AA89" s="18"/>
      <c r="AB89" s="18"/>
      <c r="AC89" s="18"/>
      <c r="AD89" s="18"/>
      <c r="AE89" s="18"/>
      <c r="AF89" s="18"/>
      <c r="AG89" s="18"/>
      <c r="AH89" s="18"/>
      <c r="AI89" s="18"/>
      <c r="AJ89" s="142"/>
      <c r="AK89" s="142"/>
      <c r="AL89" s="18"/>
      <c r="AM89" s="18"/>
      <c r="AN89" s="18"/>
      <c r="AO89" s="142"/>
    </row>
    <row r="90">
      <c r="A90" s="142"/>
      <c r="B90" s="18"/>
      <c r="C90" s="142"/>
      <c r="D90" s="18"/>
      <c r="E90" s="18"/>
      <c r="F90" s="18"/>
      <c r="G90" s="142"/>
      <c r="H90" s="18"/>
      <c r="I90" s="142"/>
      <c r="J90" s="15"/>
      <c r="Q90" s="15"/>
      <c r="R90" s="18"/>
      <c r="S90" s="142"/>
      <c r="T90" s="142"/>
      <c r="U90" s="142"/>
      <c r="V90" s="18"/>
      <c r="W90" s="18"/>
      <c r="X90" s="18"/>
      <c r="Y90" s="142"/>
      <c r="Z90" s="18"/>
      <c r="AA90" s="18"/>
      <c r="AB90" s="18"/>
      <c r="AC90" s="18"/>
      <c r="AD90" s="18"/>
      <c r="AE90" s="18"/>
      <c r="AF90" s="18"/>
      <c r="AG90" s="18"/>
      <c r="AH90" s="18"/>
      <c r="AI90" s="18"/>
      <c r="AJ90" s="142"/>
      <c r="AK90" s="142"/>
      <c r="AL90" s="18"/>
      <c r="AM90" s="18"/>
      <c r="AN90" s="18"/>
      <c r="AO90" s="142"/>
    </row>
    <row r="91">
      <c r="A91" s="142"/>
      <c r="B91" s="18"/>
      <c r="C91" s="142"/>
      <c r="D91" s="18"/>
      <c r="E91" s="18"/>
      <c r="F91" s="18"/>
      <c r="G91" s="142"/>
      <c r="H91" s="18"/>
      <c r="I91" s="142"/>
      <c r="J91" s="15"/>
      <c r="Q91" s="15"/>
      <c r="R91" s="18"/>
      <c r="S91" s="142"/>
      <c r="T91" s="142"/>
      <c r="U91" s="142"/>
      <c r="V91" s="18"/>
      <c r="W91" s="18"/>
      <c r="X91" s="18"/>
      <c r="Y91" s="142"/>
      <c r="Z91" s="18"/>
      <c r="AA91" s="18"/>
      <c r="AB91" s="18"/>
      <c r="AC91" s="18"/>
      <c r="AD91" s="18"/>
      <c r="AE91" s="18"/>
      <c r="AF91" s="18"/>
      <c r="AG91" s="18"/>
      <c r="AH91" s="18"/>
      <c r="AI91" s="18"/>
      <c r="AJ91" s="142"/>
      <c r="AK91" s="142"/>
      <c r="AL91" s="18"/>
      <c r="AM91" s="18"/>
      <c r="AN91" s="18"/>
      <c r="AO91" s="142"/>
    </row>
    <row r="92">
      <c r="A92" s="142"/>
      <c r="B92" s="18"/>
      <c r="C92" s="142"/>
      <c r="D92" s="18"/>
      <c r="E92" s="18"/>
      <c r="F92" s="18"/>
      <c r="G92" s="142"/>
      <c r="H92" s="18"/>
      <c r="I92" s="142"/>
      <c r="J92" s="15"/>
      <c r="Q92" s="15"/>
      <c r="R92" s="18"/>
      <c r="S92" s="142"/>
      <c r="T92" s="142"/>
      <c r="U92" s="142"/>
      <c r="V92" s="18"/>
      <c r="W92" s="18"/>
      <c r="X92" s="18"/>
      <c r="Y92" s="142"/>
      <c r="Z92" s="18"/>
      <c r="AA92" s="18"/>
      <c r="AB92" s="18"/>
      <c r="AC92" s="18"/>
      <c r="AD92" s="18"/>
      <c r="AE92" s="18"/>
      <c r="AF92" s="18"/>
      <c r="AG92" s="18"/>
      <c r="AH92" s="18"/>
      <c r="AI92" s="18"/>
      <c r="AJ92" s="142"/>
      <c r="AK92" s="142"/>
      <c r="AL92" s="18"/>
      <c r="AM92" s="18"/>
      <c r="AN92" s="18"/>
      <c r="AO92" s="142"/>
    </row>
    <row r="93">
      <c r="A93" s="142"/>
      <c r="B93" s="18"/>
      <c r="C93" s="142"/>
      <c r="D93" s="18"/>
      <c r="E93" s="18"/>
      <c r="F93" s="18"/>
      <c r="G93" s="142"/>
      <c r="H93" s="18"/>
      <c r="I93" s="142"/>
      <c r="J93" s="15"/>
      <c r="Q93" s="15"/>
      <c r="R93" s="18"/>
      <c r="S93" s="142"/>
      <c r="T93" s="142"/>
      <c r="U93" s="142"/>
      <c r="V93" s="18"/>
      <c r="W93" s="18"/>
      <c r="X93" s="18"/>
      <c r="Y93" s="142"/>
      <c r="Z93" s="18"/>
      <c r="AA93" s="18"/>
      <c r="AB93" s="18"/>
      <c r="AC93" s="18"/>
      <c r="AD93" s="18"/>
      <c r="AE93" s="18"/>
      <c r="AF93" s="18"/>
      <c r="AG93" s="18"/>
      <c r="AH93" s="18"/>
      <c r="AI93" s="18"/>
      <c r="AJ93" s="142"/>
      <c r="AK93" s="142"/>
      <c r="AL93" s="18"/>
      <c r="AM93" s="18"/>
      <c r="AN93" s="18"/>
      <c r="AO93" s="142"/>
    </row>
    <row r="94">
      <c r="A94" s="142"/>
      <c r="B94" s="18"/>
      <c r="C94" s="142"/>
      <c r="D94" s="18"/>
      <c r="E94" s="18"/>
      <c r="F94" s="18"/>
      <c r="G94" s="142"/>
      <c r="H94" s="18"/>
      <c r="I94" s="142"/>
      <c r="J94" s="15"/>
      <c r="Q94" s="15"/>
      <c r="R94" s="18"/>
      <c r="S94" s="142"/>
      <c r="T94" s="142"/>
      <c r="U94" s="142"/>
      <c r="V94" s="18"/>
      <c r="W94" s="18"/>
      <c r="X94" s="18"/>
      <c r="Y94" s="142"/>
      <c r="Z94" s="18"/>
      <c r="AA94" s="18"/>
      <c r="AB94" s="18"/>
      <c r="AC94" s="18"/>
      <c r="AD94" s="18"/>
      <c r="AE94" s="18"/>
      <c r="AF94" s="18"/>
      <c r="AG94" s="18"/>
      <c r="AH94" s="18"/>
      <c r="AI94" s="18"/>
      <c r="AJ94" s="142"/>
      <c r="AK94" s="142"/>
      <c r="AL94" s="18"/>
      <c r="AM94" s="18"/>
      <c r="AN94" s="18"/>
      <c r="AO94" s="142"/>
    </row>
    <row r="95">
      <c r="A95" s="142"/>
      <c r="B95" s="18"/>
      <c r="C95" s="142"/>
      <c r="D95" s="18"/>
      <c r="E95" s="18"/>
      <c r="F95" s="18"/>
      <c r="G95" s="142"/>
      <c r="H95" s="18"/>
      <c r="I95" s="142"/>
      <c r="J95" s="15"/>
      <c r="Q95" s="15"/>
      <c r="R95" s="18"/>
      <c r="S95" s="142"/>
      <c r="T95" s="142"/>
      <c r="U95" s="142"/>
      <c r="V95" s="18"/>
      <c r="W95" s="18"/>
      <c r="X95" s="18"/>
      <c r="Y95" s="142"/>
      <c r="Z95" s="18"/>
      <c r="AA95" s="18"/>
      <c r="AB95" s="18"/>
      <c r="AC95" s="18"/>
      <c r="AD95" s="18"/>
      <c r="AE95" s="18"/>
      <c r="AF95" s="18"/>
      <c r="AG95" s="18"/>
      <c r="AH95" s="18"/>
      <c r="AI95" s="18"/>
      <c r="AJ95" s="142"/>
      <c r="AK95" s="142"/>
      <c r="AL95" s="18"/>
      <c r="AM95" s="18"/>
      <c r="AN95" s="18"/>
      <c r="AO95" s="142"/>
    </row>
    <row r="96">
      <c r="A96" s="142"/>
      <c r="B96" s="18"/>
      <c r="C96" s="142"/>
      <c r="D96" s="18"/>
      <c r="E96" s="18"/>
      <c r="F96" s="18"/>
      <c r="G96" s="142"/>
      <c r="H96" s="18"/>
      <c r="I96" s="142"/>
      <c r="J96" s="15"/>
      <c r="Q96" s="15"/>
      <c r="R96" s="18"/>
      <c r="S96" s="142"/>
      <c r="T96" s="142"/>
      <c r="U96" s="142"/>
      <c r="V96" s="18"/>
      <c r="W96" s="18"/>
      <c r="X96" s="18"/>
      <c r="Y96" s="142"/>
      <c r="Z96" s="18"/>
      <c r="AA96" s="18"/>
      <c r="AB96" s="18"/>
      <c r="AC96" s="18"/>
      <c r="AD96" s="18"/>
      <c r="AE96" s="18"/>
      <c r="AF96" s="18"/>
      <c r="AG96" s="18"/>
      <c r="AH96" s="18"/>
      <c r="AI96" s="18"/>
      <c r="AJ96" s="142"/>
      <c r="AK96" s="142"/>
      <c r="AL96" s="18"/>
      <c r="AM96" s="18"/>
      <c r="AN96" s="18"/>
      <c r="AO96" s="142"/>
    </row>
    <row r="97">
      <c r="A97" s="142"/>
      <c r="B97" s="18"/>
      <c r="C97" s="142"/>
      <c r="D97" s="18"/>
      <c r="E97" s="18"/>
      <c r="F97" s="18"/>
      <c r="G97" s="142"/>
      <c r="H97" s="18"/>
      <c r="I97" s="142"/>
      <c r="J97" s="15"/>
      <c r="Q97" s="15"/>
      <c r="R97" s="18"/>
      <c r="S97" s="142"/>
      <c r="T97" s="142"/>
      <c r="U97" s="142"/>
      <c r="V97" s="18"/>
      <c r="W97" s="18"/>
      <c r="X97" s="18"/>
      <c r="Y97" s="142"/>
      <c r="Z97" s="18"/>
      <c r="AA97" s="18"/>
      <c r="AB97" s="18"/>
      <c r="AC97" s="18"/>
      <c r="AD97" s="18"/>
      <c r="AE97" s="18"/>
      <c r="AF97" s="18"/>
      <c r="AG97" s="18"/>
      <c r="AH97" s="18"/>
      <c r="AI97" s="18"/>
      <c r="AJ97" s="142"/>
      <c r="AK97" s="142"/>
      <c r="AL97" s="18"/>
      <c r="AM97" s="18"/>
      <c r="AN97" s="18"/>
      <c r="AO97" s="142"/>
    </row>
    <row r="98">
      <c r="A98" s="142"/>
      <c r="B98" s="18"/>
      <c r="C98" s="142"/>
      <c r="D98" s="18"/>
      <c r="E98" s="18"/>
      <c r="F98" s="18"/>
      <c r="G98" s="142"/>
      <c r="H98" s="18"/>
      <c r="I98" s="142"/>
      <c r="J98" s="15"/>
      <c r="Q98" s="15"/>
      <c r="R98" s="18"/>
      <c r="S98" s="142"/>
      <c r="T98" s="142"/>
      <c r="U98" s="142"/>
      <c r="V98" s="18"/>
      <c r="W98" s="18"/>
      <c r="X98" s="18"/>
      <c r="Y98" s="142"/>
      <c r="Z98" s="18"/>
      <c r="AA98" s="18"/>
      <c r="AB98" s="18"/>
      <c r="AC98" s="18"/>
      <c r="AD98" s="18"/>
      <c r="AE98" s="18"/>
      <c r="AF98" s="18"/>
      <c r="AG98" s="18"/>
      <c r="AH98" s="18"/>
      <c r="AI98" s="18"/>
      <c r="AJ98" s="142"/>
      <c r="AK98" s="142"/>
      <c r="AL98" s="18"/>
      <c r="AM98" s="18"/>
      <c r="AN98" s="18"/>
      <c r="AO98" s="142"/>
    </row>
    <row r="99">
      <c r="A99" s="142"/>
      <c r="B99" s="18"/>
      <c r="C99" s="142"/>
      <c r="D99" s="18"/>
      <c r="E99" s="18"/>
      <c r="F99" s="18"/>
      <c r="G99" s="142"/>
      <c r="H99" s="18"/>
      <c r="I99" s="142"/>
      <c r="J99" s="15"/>
      <c r="Q99" s="15"/>
      <c r="R99" s="18"/>
      <c r="S99" s="142"/>
      <c r="T99" s="142"/>
      <c r="U99" s="142"/>
      <c r="V99" s="18"/>
      <c r="W99" s="18"/>
      <c r="X99" s="18"/>
      <c r="Y99" s="142"/>
      <c r="Z99" s="18"/>
      <c r="AA99" s="18"/>
      <c r="AB99" s="18"/>
      <c r="AC99" s="18"/>
      <c r="AD99" s="18"/>
      <c r="AE99" s="18"/>
      <c r="AF99" s="18"/>
      <c r="AG99" s="18"/>
      <c r="AH99" s="18"/>
      <c r="AI99" s="18"/>
      <c r="AJ99" s="142"/>
      <c r="AK99" s="142"/>
      <c r="AL99" s="18"/>
      <c r="AM99" s="18"/>
      <c r="AN99" s="18"/>
      <c r="AO99" s="142"/>
    </row>
    <row r="100">
      <c r="A100" s="142"/>
      <c r="B100" s="18"/>
      <c r="C100" s="142"/>
      <c r="D100" s="18"/>
      <c r="E100" s="18"/>
      <c r="F100" s="18"/>
      <c r="G100" s="142"/>
      <c r="H100" s="18"/>
      <c r="I100" s="142"/>
      <c r="J100" s="15"/>
      <c r="Q100" s="15"/>
      <c r="R100" s="18"/>
      <c r="S100" s="142"/>
      <c r="T100" s="142"/>
      <c r="U100" s="142"/>
      <c r="V100" s="18"/>
      <c r="W100" s="18"/>
      <c r="X100" s="18"/>
      <c r="Y100" s="142"/>
      <c r="Z100" s="18"/>
      <c r="AA100" s="18"/>
      <c r="AB100" s="18"/>
      <c r="AC100" s="18"/>
      <c r="AD100" s="18"/>
      <c r="AE100" s="18"/>
      <c r="AF100" s="18"/>
      <c r="AG100" s="18"/>
      <c r="AH100" s="18"/>
      <c r="AI100" s="18"/>
      <c r="AJ100" s="142"/>
      <c r="AK100" s="142"/>
      <c r="AL100" s="18"/>
      <c r="AM100" s="18"/>
      <c r="AN100" s="18"/>
      <c r="AO100" s="142"/>
    </row>
    <row r="101">
      <c r="A101" s="142"/>
      <c r="B101" s="18"/>
      <c r="C101" s="142"/>
      <c r="D101" s="18"/>
      <c r="E101" s="18"/>
      <c r="F101" s="18"/>
      <c r="G101" s="142"/>
      <c r="H101" s="18"/>
      <c r="I101" s="142"/>
      <c r="J101" s="15"/>
      <c r="Q101" s="15"/>
      <c r="R101" s="18"/>
      <c r="S101" s="142"/>
      <c r="T101" s="142"/>
      <c r="U101" s="142"/>
      <c r="V101" s="18"/>
      <c r="W101" s="18"/>
      <c r="X101" s="18"/>
      <c r="Y101" s="142"/>
      <c r="Z101" s="18"/>
      <c r="AA101" s="18"/>
      <c r="AB101" s="18"/>
      <c r="AC101" s="18"/>
      <c r="AD101" s="18"/>
      <c r="AE101" s="18"/>
      <c r="AF101" s="18"/>
      <c r="AG101" s="18"/>
      <c r="AH101" s="18"/>
      <c r="AI101" s="18"/>
      <c r="AJ101" s="142"/>
      <c r="AK101" s="142"/>
      <c r="AL101" s="18"/>
      <c r="AM101" s="18"/>
      <c r="AN101" s="18"/>
      <c r="AO101" s="142"/>
    </row>
    <row r="102">
      <c r="A102" s="142"/>
      <c r="B102" s="18"/>
      <c r="C102" s="142"/>
      <c r="D102" s="18"/>
      <c r="E102" s="18"/>
      <c r="F102" s="18"/>
      <c r="G102" s="142"/>
      <c r="H102" s="18"/>
      <c r="I102" s="142"/>
      <c r="J102" s="15"/>
      <c r="Q102" s="15"/>
      <c r="R102" s="18"/>
      <c r="S102" s="142"/>
      <c r="T102" s="142"/>
      <c r="U102" s="142"/>
      <c r="V102" s="18"/>
      <c r="W102" s="18"/>
      <c r="X102" s="18"/>
      <c r="Y102" s="142"/>
      <c r="Z102" s="18"/>
      <c r="AA102" s="18"/>
      <c r="AB102" s="18"/>
      <c r="AC102" s="18"/>
      <c r="AD102" s="18"/>
      <c r="AE102" s="18"/>
      <c r="AF102" s="18"/>
      <c r="AG102" s="18"/>
      <c r="AH102" s="18"/>
      <c r="AI102" s="18"/>
      <c r="AJ102" s="142"/>
      <c r="AK102" s="142"/>
      <c r="AL102" s="18"/>
      <c r="AM102" s="18"/>
      <c r="AN102" s="18"/>
      <c r="AO102" s="142"/>
    </row>
    <row r="103">
      <c r="A103" s="142"/>
      <c r="B103" s="18"/>
      <c r="C103" s="142"/>
      <c r="D103" s="18"/>
      <c r="E103" s="18"/>
      <c r="F103" s="18"/>
      <c r="G103" s="142"/>
      <c r="H103" s="18"/>
      <c r="I103" s="142"/>
      <c r="J103" s="15"/>
      <c r="Q103" s="15"/>
      <c r="R103" s="18"/>
      <c r="S103" s="142"/>
      <c r="T103" s="142"/>
      <c r="U103" s="142"/>
      <c r="V103" s="18"/>
      <c r="W103" s="18"/>
      <c r="X103" s="18"/>
      <c r="Y103" s="142"/>
      <c r="Z103" s="18"/>
      <c r="AA103" s="18"/>
      <c r="AB103" s="18"/>
      <c r="AC103" s="18"/>
      <c r="AD103" s="18"/>
      <c r="AE103" s="18"/>
      <c r="AF103" s="18"/>
      <c r="AG103" s="18"/>
      <c r="AH103" s="18"/>
      <c r="AI103" s="18"/>
      <c r="AJ103" s="142"/>
      <c r="AK103" s="142"/>
      <c r="AL103" s="18"/>
      <c r="AM103" s="18"/>
      <c r="AN103" s="18"/>
      <c r="AO103" s="142"/>
    </row>
    <row r="104">
      <c r="A104" s="142"/>
      <c r="B104" s="18"/>
      <c r="C104" s="142"/>
      <c r="D104" s="18"/>
      <c r="E104" s="18"/>
      <c r="F104" s="18"/>
      <c r="G104" s="142"/>
      <c r="H104" s="18"/>
      <c r="I104" s="142"/>
      <c r="J104" s="15"/>
      <c r="Q104" s="15"/>
      <c r="R104" s="18"/>
      <c r="S104" s="142"/>
      <c r="T104" s="142"/>
      <c r="U104" s="142"/>
      <c r="V104" s="18"/>
      <c r="W104" s="18"/>
      <c r="X104" s="18"/>
      <c r="Y104" s="142"/>
      <c r="Z104" s="18"/>
      <c r="AA104" s="18"/>
      <c r="AB104" s="18"/>
      <c r="AC104" s="18"/>
      <c r="AD104" s="18"/>
      <c r="AE104" s="18"/>
      <c r="AF104" s="18"/>
      <c r="AG104" s="18"/>
      <c r="AH104" s="18"/>
      <c r="AI104" s="18"/>
      <c r="AJ104" s="142"/>
      <c r="AK104" s="142"/>
      <c r="AL104" s="18"/>
      <c r="AM104" s="18"/>
      <c r="AN104" s="18"/>
      <c r="AO104" s="142"/>
    </row>
    <row r="105">
      <c r="A105" s="142"/>
      <c r="B105" s="18"/>
      <c r="C105" s="142"/>
      <c r="D105" s="18"/>
      <c r="E105" s="18"/>
      <c r="F105" s="18"/>
      <c r="G105" s="142"/>
      <c r="H105" s="18"/>
      <c r="I105" s="142"/>
      <c r="J105" s="15"/>
      <c r="Q105" s="15"/>
      <c r="R105" s="18"/>
      <c r="S105" s="142"/>
      <c r="T105" s="142"/>
      <c r="U105" s="142"/>
      <c r="V105" s="18"/>
      <c r="W105" s="18"/>
      <c r="X105" s="18"/>
      <c r="Y105" s="142"/>
      <c r="Z105" s="18"/>
      <c r="AA105" s="18"/>
      <c r="AB105" s="18"/>
      <c r="AC105" s="18"/>
      <c r="AD105" s="18"/>
      <c r="AE105" s="18"/>
      <c r="AF105" s="18"/>
      <c r="AG105" s="18"/>
      <c r="AH105" s="18"/>
      <c r="AI105" s="18"/>
      <c r="AJ105" s="142"/>
      <c r="AK105" s="142"/>
      <c r="AL105" s="18"/>
      <c r="AM105" s="18"/>
      <c r="AN105" s="18"/>
      <c r="AO105" s="142"/>
    </row>
    <row r="106">
      <c r="A106" s="142"/>
      <c r="B106" s="18"/>
      <c r="C106" s="142"/>
      <c r="D106" s="18"/>
      <c r="E106" s="18"/>
      <c r="F106" s="18"/>
      <c r="G106" s="142"/>
      <c r="H106" s="18"/>
      <c r="I106" s="142"/>
      <c r="J106" s="15"/>
      <c r="Q106" s="15"/>
      <c r="R106" s="18"/>
      <c r="S106" s="142"/>
      <c r="T106" s="142"/>
      <c r="U106" s="142"/>
      <c r="V106" s="18"/>
      <c r="W106" s="18"/>
      <c r="X106" s="18"/>
      <c r="Y106" s="142"/>
      <c r="Z106" s="18"/>
      <c r="AA106" s="18"/>
      <c r="AB106" s="18"/>
      <c r="AC106" s="18"/>
      <c r="AD106" s="18"/>
      <c r="AE106" s="18"/>
      <c r="AF106" s="18"/>
      <c r="AG106" s="18"/>
      <c r="AH106" s="18"/>
      <c r="AI106" s="18"/>
      <c r="AJ106" s="142"/>
      <c r="AK106" s="142"/>
      <c r="AL106" s="18"/>
      <c r="AM106" s="18"/>
      <c r="AN106" s="18"/>
      <c r="AO106" s="142"/>
    </row>
    <row r="107">
      <c r="A107" s="142"/>
      <c r="B107" s="18"/>
      <c r="C107" s="142"/>
      <c r="D107" s="18"/>
      <c r="E107" s="18"/>
      <c r="F107" s="18"/>
      <c r="G107" s="142"/>
      <c r="H107" s="18"/>
      <c r="I107" s="142"/>
      <c r="J107" s="15"/>
      <c r="Q107" s="15"/>
      <c r="R107" s="18"/>
      <c r="S107" s="142"/>
      <c r="T107" s="142"/>
      <c r="U107" s="142"/>
      <c r="V107" s="18"/>
      <c r="W107" s="18"/>
      <c r="X107" s="18"/>
      <c r="Y107" s="142"/>
      <c r="Z107" s="18"/>
      <c r="AA107" s="18"/>
      <c r="AB107" s="18"/>
      <c r="AC107" s="18"/>
      <c r="AD107" s="18"/>
      <c r="AE107" s="18"/>
      <c r="AF107" s="18"/>
      <c r="AG107" s="18"/>
      <c r="AH107" s="18"/>
      <c r="AI107" s="18"/>
      <c r="AJ107" s="142"/>
      <c r="AK107" s="142"/>
      <c r="AL107" s="18"/>
      <c r="AM107" s="18"/>
      <c r="AN107" s="18"/>
      <c r="AO107" s="142"/>
    </row>
    <row r="108">
      <c r="A108" s="142"/>
      <c r="B108" s="18"/>
      <c r="C108" s="142"/>
      <c r="D108" s="18"/>
      <c r="E108" s="18"/>
      <c r="F108" s="18"/>
      <c r="G108" s="142"/>
      <c r="H108" s="18"/>
      <c r="I108" s="142"/>
      <c r="J108" s="15"/>
      <c r="Q108" s="15"/>
      <c r="R108" s="18"/>
      <c r="S108" s="142"/>
      <c r="T108" s="142"/>
      <c r="U108" s="142"/>
      <c r="V108" s="18"/>
      <c r="W108" s="18"/>
      <c r="X108" s="18"/>
      <c r="Y108" s="142"/>
      <c r="Z108" s="18"/>
      <c r="AA108" s="18"/>
      <c r="AB108" s="18"/>
      <c r="AC108" s="18"/>
      <c r="AD108" s="18"/>
      <c r="AE108" s="18"/>
      <c r="AF108" s="18"/>
      <c r="AG108" s="18"/>
      <c r="AH108" s="18"/>
      <c r="AI108" s="18"/>
      <c r="AJ108" s="142"/>
      <c r="AK108" s="142"/>
      <c r="AL108" s="18"/>
      <c r="AM108" s="18"/>
      <c r="AN108" s="18"/>
      <c r="AO108" s="142"/>
    </row>
    <row r="109">
      <c r="A109" s="142"/>
      <c r="B109" s="18"/>
      <c r="C109" s="142"/>
      <c r="D109" s="18"/>
      <c r="E109" s="18"/>
      <c r="F109" s="18"/>
      <c r="G109" s="142"/>
      <c r="H109" s="18"/>
      <c r="I109" s="142"/>
      <c r="J109" s="15"/>
      <c r="Q109" s="15"/>
      <c r="R109" s="18"/>
      <c r="S109" s="142"/>
      <c r="T109" s="142"/>
      <c r="U109" s="142"/>
      <c r="V109" s="18"/>
      <c r="W109" s="18"/>
      <c r="X109" s="18"/>
      <c r="Y109" s="142"/>
      <c r="Z109" s="18"/>
      <c r="AA109" s="18"/>
      <c r="AB109" s="18"/>
      <c r="AC109" s="18"/>
      <c r="AD109" s="18"/>
      <c r="AE109" s="18"/>
      <c r="AF109" s="18"/>
      <c r="AG109" s="18"/>
      <c r="AH109" s="18"/>
      <c r="AI109" s="18"/>
      <c r="AJ109" s="142"/>
      <c r="AK109" s="142"/>
      <c r="AL109" s="18"/>
      <c r="AM109" s="18"/>
      <c r="AN109" s="18"/>
      <c r="AO109" s="142"/>
    </row>
    <row r="110">
      <c r="A110" s="142"/>
      <c r="B110" s="18"/>
      <c r="C110" s="142"/>
      <c r="D110" s="18"/>
      <c r="E110" s="18"/>
      <c r="F110" s="18"/>
      <c r="G110" s="142"/>
      <c r="H110" s="18"/>
      <c r="I110" s="142"/>
      <c r="J110" s="15"/>
      <c r="Q110" s="15"/>
      <c r="R110" s="18"/>
      <c r="S110" s="142"/>
      <c r="T110" s="142"/>
      <c r="U110" s="142"/>
      <c r="V110" s="18"/>
      <c r="W110" s="18"/>
      <c r="X110" s="18"/>
      <c r="Y110" s="142"/>
      <c r="Z110" s="18"/>
      <c r="AA110" s="18"/>
      <c r="AB110" s="18"/>
      <c r="AC110" s="18"/>
      <c r="AD110" s="18"/>
      <c r="AE110" s="18"/>
      <c r="AF110" s="18"/>
      <c r="AG110" s="18"/>
      <c r="AH110" s="18"/>
      <c r="AI110" s="18"/>
      <c r="AJ110" s="142"/>
      <c r="AK110" s="142"/>
      <c r="AL110" s="18"/>
      <c r="AM110" s="18"/>
      <c r="AN110" s="18"/>
      <c r="AO110" s="142"/>
    </row>
    <row r="111">
      <c r="A111" s="142"/>
      <c r="B111" s="18"/>
      <c r="C111" s="142"/>
      <c r="D111" s="18"/>
      <c r="E111" s="18"/>
      <c r="F111" s="18"/>
      <c r="G111" s="142"/>
      <c r="H111" s="18"/>
      <c r="I111" s="142"/>
      <c r="J111" s="15"/>
      <c r="Q111" s="15"/>
      <c r="R111" s="18"/>
      <c r="S111" s="142"/>
      <c r="T111" s="142"/>
      <c r="U111" s="142"/>
      <c r="V111" s="18"/>
      <c r="W111" s="18"/>
      <c r="X111" s="18"/>
      <c r="Y111" s="142"/>
      <c r="Z111" s="18"/>
      <c r="AA111" s="18"/>
      <c r="AB111" s="18"/>
      <c r="AC111" s="18"/>
      <c r="AD111" s="18"/>
      <c r="AE111" s="18"/>
      <c r="AF111" s="18"/>
      <c r="AG111" s="18"/>
      <c r="AH111" s="18"/>
      <c r="AI111" s="18"/>
      <c r="AJ111" s="142"/>
      <c r="AK111" s="142"/>
      <c r="AL111" s="18"/>
      <c r="AM111" s="18"/>
      <c r="AN111" s="18"/>
      <c r="AO111" s="142"/>
    </row>
    <row r="112">
      <c r="A112" s="142"/>
      <c r="B112" s="18"/>
      <c r="C112" s="142"/>
      <c r="D112" s="18"/>
      <c r="E112" s="18"/>
      <c r="F112" s="18"/>
      <c r="G112" s="142"/>
      <c r="H112" s="18"/>
      <c r="I112" s="142"/>
      <c r="J112" s="15"/>
      <c r="Q112" s="15"/>
      <c r="R112" s="18"/>
      <c r="S112" s="142"/>
      <c r="T112" s="142"/>
      <c r="U112" s="142"/>
      <c r="V112" s="18"/>
      <c r="W112" s="18"/>
      <c r="X112" s="18"/>
      <c r="Y112" s="142"/>
      <c r="Z112" s="18"/>
      <c r="AA112" s="18"/>
      <c r="AB112" s="18"/>
      <c r="AC112" s="18"/>
      <c r="AD112" s="18"/>
      <c r="AE112" s="18"/>
      <c r="AF112" s="18"/>
      <c r="AG112" s="18"/>
      <c r="AH112" s="18"/>
      <c r="AI112" s="18"/>
      <c r="AJ112" s="142"/>
      <c r="AK112" s="142"/>
      <c r="AL112" s="18"/>
      <c r="AM112" s="18"/>
      <c r="AN112" s="18"/>
      <c r="AO112" s="142"/>
    </row>
    <row r="113">
      <c r="A113" s="142"/>
      <c r="B113" s="18"/>
      <c r="C113" s="142"/>
      <c r="D113" s="18"/>
      <c r="E113" s="18"/>
      <c r="F113" s="18"/>
      <c r="G113" s="142"/>
      <c r="H113" s="18"/>
      <c r="I113" s="142"/>
      <c r="J113" s="15"/>
      <c r="Q113" s="15"/>
      <c r="R113" s="18"/>
      <c r="S113" s="142"/>
      <c r="T113" s="142"/>
      <c r="U113" s="142"/>
      <c r="V113" s="18"/>
      <c r="W113" s="18"/>
      <c r="X113" s="18"/>
      <c r="Y113" s="142"/>
      <c r="Z113" s="18"/>
      <c r="AA113" s="18"/>
      <c r="AB113" s="18"/>
      <c r="AC113" s="18"/>
      <c r="AD113" s="18"/>
      <c r="AE113" s="18"/>
      <c r="AF113" s="18"/>
      <c r="AG113" s="18"/>
      <c r="AH113" s="18"/>
      <c r="AI113" s="18"/>
      <c r="AJ113" s="142"/>
      <c r="AK113" s="142"/>
      <c r="AL113" s="18"/>
      <c r="AM113" s="18"/>
      <c r="AN113" s="18"/>
      <c r="AO113" s="142"/>
    </row>
    <row r="114">
      <c r="A114" s="142"/>
      <c r="B114" s="18"/>
      <c r="C114" s="142"/>
      <c r="D114" s="18"/>
      <c r="E114" s="18"/>
      <c r="F114" s="18"/>
      <c r="G114" s="142"/>
      <c r="H114" s="18"/>
      <c r="I114" s="142"/>
      <c r="J114" s="15"/>
      <c r="Q114" s="15"/>
      <c r="R114" s="18"/>
      <c r="S114" s="142"/>
      <c r="T114" s="142"/>
      <c r="U114" s="142"/>
      <c r="V114" s="18"/>
      <c r="W114" s="18"/>
      <c r="X114" s="18"/>
      <c r="Y114" s="142"/>
      <c r="Z114" s="18"/>
      <c r="AA114" s="18"/>
      <c r="AB114" s="18"/>
      <c r="AC114" s="18"/>
      <c r="AD114" s="18"/>
      <c r="AE114" s="18"/>
      <c r="AF114" s="18"/>
      <c r="AG114" s="18"/>
      <c r="AH114" s="18"/>
      <c r="AI114" s="18"/>
      <c r="AJ114" s="142"/>
      <c r="AK114" s="142"/>
      <c r="AL114" s="18"/>
      <c r="AM114" s="18"/>
      <c r="AN114" s="18"/>
      <c r="AO114" s="142"/>
    </row>
    <row r="115">
      <c r="A115" s="142"/>
      <c r="B115" s="18"/>
      <c r="C115" s="142"/>
      <c r="D115" s="18"/>
      <c r="E115" s="18"/>
      <c r="F115" s="18"/>
      <c r="G115" s="142"/>
      <c r="H115" s="18"/>
      <c r="I115" s="142"/>
      <c r="J115" s="15"/>
      <c r="Q115" s="15"/>
      <c r="R115" s="18"/>
      <c r="S115" s="142"/>
      <c r="T115" s="142"/>
      <c r="U115" s="142"/>
      <c r="V115" s="18"/>
      <c r="W115" s="18"/>
      <c r="X115" s="18"/>
      <c r="Y115" s="142"/>
      <c r="Z115" s="18"/>
      <c r="AA115" s="18"/>
      <c r="AB115" s="18"/>
      <c r="AC115" s="18"/>
      <c r="AD115" s="18"/>
      <c r="AE115" s="18"/>
      <c r="AF115" s="18"/>
      <c r="AG115" s="18"/>
      <c r="AH115" s="18"/>
      <c r="AI115" s="18"/>
      <c r="AJ115" s="142"/>
      <c r="AK115" s="142"/>
      <c r="AL115" s="18"/>
      <c r="AM115" s="18"/>
      <c r="AN115" s="18"/>
      <c r="AO115" s="142"/>
    </row>
    <row r="116">
      <c r="A116" s="142"/>
      <c r="B116" s="18"/>
      <c r="C116" s="142"/>
      <c r="D116" s="18"/>
      <c r="E116" s="18"/>
      <c r="F116" s="18"/>
      <c r="G116" s="142"/>
      <c r="H116" s="18"/>
      <c r="I116" s="142"/>
      <c r="J116" s="15"/>
      <c r="Q116" s="15"/>
      <c r="R116" s="18"/>
      <c r="S116" s="142"/>
      <c r="T116" s="142"/>
      <c r="U116" s="142"/>
      <c r="V116" s="18"/>
      <c r="W116" s="18"/>
      <c r="X116" s="18"/>
      <c r="Y116" s="142"/>
      <c r="Z116" s="18"/>
      <c r="AA116" s="18"/>
      <c r="AB116" s="18"/>
      <c r="AC116" s="18"/>
      <c r="AD116" s="18"/>
      <c r="AE116" s="18"/>
      <c r="AF116" s="18"/>
      <c r="AG116" s="18"/>
      <c r="AH116" s="18"/>
      <c r="AI116" s="18"/>
      <c r="AJ116" s="142"/>
      <c r="AK116" s="142"/>
      <c r="AL116" s="18"/>
      <c r="AM116" s="18"/>
      <c r="AN116" s="18"/>
      <c r="AO116" s="142"/>
    </row>
    <row r="117">
      <c r="A117" s="142"/>
      <c r="B117" s="18"/>
      <c r="C117" s="142"/>
      <c r="D117" s="18"/>
      <c r="E117" s="18"/>
      <c r="F117" s="18"/>
      <c r="G117" s="142"/>
      <c r="H117" s="18"/>
      <c r="I117" s="142"/>
      <c r="J117" s="15"/>
      <c r="Q117" s="15"/>
      <c r="R117" s="18"/>
      <c r="S117" s="142"/>
      <c r="T117" s="142"/>
      <c r="U117" s="142"/>
      <c r="V117" s="18"/>
      <c r="W117" s="18"/>
      <c r="X117" s="18"/>
      <c r="Y117" s="142"/>
      <c r="Z117" s="18"/>
      <c r="AA117" s="18"/>
      <c r="AB117" s="18"/>
      <c r="AC117" s="18"/>
      <c r="AD117" s="18"/>
      <c r="AE117" s="18"/>
      <c r="AF117" s="18"/>
      <c r="AG117" s="18"/>
      <c r="AH117" s="18"/>
      <c r="AI117" s="18"/>
      <c r="AJ117" s="142"/>
      <c r="AK117" s="142"/>
      <c r="AL117" s="18"/>
      <c r="AM117" s="18"/>
      <c r="AN117" s="18"/>
      <c r="AO117" s="142"/>
    </row>
    <row r="118">
      <c r="A118" s="142"/>
      <c r="B118" s="18"/>
      <c r="C118" s="142"/>
      <c r="D118" s="18"/>
      <c r="E118" s="18"/>
      <c r="F118" s="18"/>
      <c r="G118" s="142"/>
      <c r="H118" s="18"/>
      <c r="I118" s="142"/>
      <c r="J118" s="15"/>
      <c r="Q118" s="15"/>
      <c r="R118" s="18"/>
      <c r="S118" s="142"/>
      <c r="T118" s="142"/>
      <c r="U118" s="142"/>
      <c r="V118" s="18"/>
      <c r="W118" s="18"/>
      <c r="X118" s="18"/>
      <c r="Y118" s="142"/>
      <c r="Z118" s="18"/>
      <c r="AA118" s="18"/>
      <c r="AB118" s="18"/>
      <c r="AC118" s="18"/>
      <c r="AD118" s="18"/>
      <c r="AE118" s="18"/>
      <c r="AF118" s="18"/>
      <c r="AG118" s="18"/>
      <c r="AH118" s="18"/>
      <c r="AI118" s="18"/>
      <c r="AJ118" s="142"/>
      <c r="AK118" s="142"/>
      <c r="AL118" s="18"/>
      <c r="AM118" s="18"/>
      <c r="AN118" s="18"/>
      <c r="AO118" s="142"/>
    </row>
    <row r="119">
      <c r="A119" s="142"/>
      <c r="B119" s="18"/>
      <c r="C119" s="142"/>
      <c r="D119" s="18"/>
      <c r="E119" s="18"/>
      <c r="F119" s="18"/>
      <c r="G119" s="142"/>
      <c r="H119" s="18"/>
      <c r="I119" s="142"/>
      <c r="J119" s="15"/>
      <c r="Q119" s="15"/>
      <c r="R119" s="18"/>
      <c r="S119" s="142"/>
      <c r="T119" s="142"/>
      <c r="U119" s="142"/>
      <c r="V119" s="18"/>
      <c r="W119" s="18"/>
      <c r="X119" s="18"/>
      <c r="Y119" s="142"/>
      <c r="Z119" s="18"/>
      <c r="AA119" s="18"/>
      <c r="AB119" s="18"/>
      <c r="AC119" s="18"/>
      <c r="AD119" s="18"/>
      <c r="AE119" s="18"/>
      <c r="AF119" s="18"/>
      <c r="AG119" s="18"/>
      <c r="AH119" s="18"/>
      <c r="AI119" s="18"/>
      <c r="AJ119" s="142"/>
      <c r="AK119" s="142"/>
      <c r="AL119" s="18"/>
      <c r="AM119" s="18"/>
      <c r="AN119" s="18"/>
      <c r="AO119" s="142"/>
    </row>
    <row r="120">
      <c r="A120" s="142"/>
      <c r="B120" s="18"/>
      <c r="C120" s="142"/>
      <c r="D120" s="18"/>
      <c r="E120" s="18"/>
      <c r="F120" s="18"/>
      <c r="G120" s="142"/>
      <c r="H120" s="18"/>
      <c r="I120" s="142"/>
      <c r="J120" s="15"/>
      <c r="Q120" s="15"/>
      <c r="R120" s="18"/>
      <c r="S120" s="142"/>
      <c r="T120" s="142"/>
      <c r="U120" s="142"/>
      <c r="V120" s="18"/>
      <c r="W120" s="18"/>
      <c r="X120" s="18"/>
      <c r="Y120" s="142"/>
      <c r="Z120" s="18"/>
      <c r="AA120" s="18"/>
      <c r="AB120" s="18"/>
      <c r="AC120" s="18"/>
      <c r="AD120" s="18"/>
      <c r="AE120" s="18"/>
      <c r="AF120" s="18"/>
      <c r="AG120" s="18"/>
      <c r="AH120" s="18"/>
      <c r="AI120" s="18"/>
      <c r="AJ120" s="142"/>
      <c r="AK120" s="142"/>
      <c r="AL120" s="18"/>
      <c r="AM120" s="18"/>
      <c r="AN120" s="18"/>
      <c r="AO120" s="142"/>
    </row>
    <row r="121">
      <c r="A121" s="142"/>
      <c r="B121" s="18"/>
      <c r="C121" s="142"/>
      <c r="D121" s="18"/>
      <c r="E121" s="18"/>
      <c r="F121" s="18"/>
      <c r="G121" s="142"/>
      <c r="H121" s="18"/>
      <c r="I121" s="142"/>
      <c r="J121" s="15"/>
      <c r="Q121" s="15"/>
      <c r="R121" s="18"/>
      <c r="S121" s="142"/>
      <c r="T121" s="142"/>
      <c r="U121" s="142"/>
      <c r="V121" s="18"/>
      <c r="W121" s="18"/>
      <c r="X121" s="18"/>
      <c r="Y121" s="142"/>
      <c r="Z121" s="18"/>
      <c r="AA121" s="18"/>
      <c r="AB121" s="18"/>
      <c r="AC121" s="18"/>
      <c r="AD121" s="18"/>
      <c r="AE121" s="18"/>
      <c r="AF121" s="18"/>
      <c r="AG121" s="18"/>
      <c r="AH121" s="18"/>
      <c r="AI121" s="18"/>
      <c r="AJ121" s="142"/>
      <c r="AK121" s="142"/>
      <c r="AL121" s="18"/>
      <c r="AM121" s="18"/>
      <c r="AN121" s="18"/>
      <c r="AO121" s="142"/>
    </row>
    <row r="122">
      <c r="A122" s="142"/>
      <c r="B122" s="18"/>
      <c r="C122" s="142"/>
      <c r="D122" s="18"/>
      <c r="E122" s="18"/>
      <c r="F122" s="18"/>
      <c r="G122" s="142"/>
      <c r="H122" s="18"/>
      <c r="I122" s="142"/>
      <c r="J122" s="15"/>
      <c r="Q122" s="15"/>
      <c r="R122" s="18"/>
      <c r="S122" s="142"/>
      <c r="T122" s="142"/>
      <c r="U122" s="142"/>
      <c r="V122" s="18"/>
      <c r="W122" s="18"/>
      <c r="X122" s="18"/>
      <c r="Y122" s="142"/>
      <c r="Z122" s="18"/>
      <c r="AA122" s="18"/>
      <c r="AB122" s="18"/>
      <c r="AC122" s="18"/>
      <c r="AD122" s="18"/>
      <c r="AE122" s="18"/>
      <c r="AF122" s="18"/>
      <c r="AG122" s="18"/>
      <c r="AH122" s="18"/>
      <c r="AI122" s="18"/>
      <c r="AJ122" s="142"/>
      <c r="AK122" s="142"/>
      <c r="AL122" s="18"/>
      <c r="AM122" s="18"/>
      <c r="AN122" s="18"/>
      <c r="AO122" s="142"/>
    </row>
    <row r="123">
      <c r="A123" s="142"/>
      <c r="B123" s="18"/>
      <c r="C123" s="142"/>
      <c r="D123" s="18"/>
      <c r="E123" s="18"/>
      <c r="F123" s="18"/>
      <c r="G123" s="142"/>
      <c r="H123" s="18"/>
      <c r="I123" s="142"/>
      <c r="J123" s="15"/>
      <c r="Q123" s="15"/>
      <c r="R123" s="18"/>
      <c r="S123" s="142"/>
      <c r="T123" s="142"/>
      <c r="U123" s="142"/>
      <c r="V123" s="18"/>
      <c r="W123" s="18"/>
      <c r="X123" s="18"/>
      <c r="Y123" s="142"/>
      <c r="Z123" s="18"/>
      <c r="AA123" s="18"/>
      <c r="AB123" s="18"/>
      <c r="AC123" s="18"/>
      <c r="AD123" s="18"/>
      <c r="AE123" s="18"/>
      <c r="AF123" s="18"/>
      <c r="AG123" s="18"/>
      <c r="AH123" s="18"/>
      <c r="AI123" s="18"/>
      <c r="AJ123" s="142"/>
      <c r="AK123" s="142"/>
      <c r="AL123" s="18"/>
      <c r="AM123" s="18"/>
      <c r="AN123" s="18"/>
      <c r="AO123" s="142"/>
    </row>
    <row r="124">
      <c r="A124" s="142"/>
      <c r="B124" s="18"/>
      <c r="C124" s="142"/>
      <c r="D124" s="18"/>
      <c r="E124" s="18"/>
      <c r="F124" s="18"/>
      <c r="G124" s="142"/>
      <c r="H124" s="18"/>
      <c r="I124" s="142"/>
      <c r="J124" s="15"/>
      <c r="Q124" s="15"/>
      <c r="R124" s="18"/>
      <c r="S124" s="142"/>
      <c r="T124" s="142"/>
      <c r="U124" s="142"/>
      <c r="V124" s="18"/>
      <c r="W124" s="18"/>
      <c r="X124" s="18"/>
      <c r="Y124" s="142"/>
      <c r="Z124" s="18"/>
      <c r="AA124" s="18"/>
      <c r="AB124" s="18"/>
      <c r="AC124" s="18"/>
      <c r="AD124" s="18"/>
      <c r="AE124" s="18"/>
      <c r="AF124" s="18"/>
      <c r="AG124" s="18"/>
      <c r="AH124" s="18"/>
      <c r="AI124" s="18"/>
      <c r="AJ124" s="142"/>
      <c r="AK124" s="142"/>
      <c r="AL124" s="18"/>
      <c r="AM124" s="18"/>
      <c r="AN124" s="18"/>
      <c r="AO124" s="142"/>
    </row>
    <row r="125">
      <c r="A125" s="142"/>
      <c r="B125" s="18"/>
      <c r="C125" s="142"/>
      <c r="D125" s="18"/>
      <c r="E125" s="18"/>
      <c r="F125" s="18"/>
      <c r="G125" s="142"/>
      <c r="H125" s="18"/>
      <c r="I125" s="142"/>
      <c r="J125" s="15"/>
      <c r="Q125" s="15"/>
      <c r="R125" s="18"/>
      <c r="S125" s="142"/>
      <c r="T125" s="142"/>
      <c r="U125" s="142"/>
      <c r="V125" s="18"/>
      <c r="W125" s="18"/>
      <c r="X125" s="18"/>
      <c r="Y125" s="142"/>
      <c r="Z125" s="18"/>
      <c r="AA125" s="18"/>
      <c r="AB125" s="18"/>
      <c r="AC125" s="18"/>
      <c r="AD125" s="18"/>
      <c r="AE125" s="18"/>
      <c r="AF125" s="18"/>
      <c r="AG125" s="18"/>
      <c r="AH125" s="18"/>
      <c r="AI125" s="18"/>
      <c r="AJ125" s="142"/>
      <c r="AK125" s="142"/>
      <c r="AL125" s="18"/>
      <c r="AM125" s="18"/>
      <c r="AN125" s="18"/>
      <c r="AO125" s="142"/>
    </row>
    <row r="126">
      <c r="A126" s="142"/>
      <c r="B126" s="18"/>
      <c r="C126" s="142"/>
      <c r="D126" s="18"/>
      <c r="E126" s="18"/>
      <c r="F126" s="18"/>
      <c r="G126" s="142"/>
      <c r="H126" s="18"/>
      <c r="I126" s="142"/>
      <c r="J126" s="15"/>
      <c r="Q126" s="15"/>
      <c r="R126" s="18"/>
      <c r="S126" s="142"/>
      <c r="T126" s="142"/>
      <c r="U126" s="142"/>
      <c r="V126" s="18"/>
      <c r="W126" s="18"/>
      <c r="X126" s="18"/>
      <c r="Y126" s="142"/>
      <c r="Z126" s="18"/>
      <c r="AA126" s="18"/>
      <c r="AB126" s="18"/>
      <c r="AC126" s="18"/>
      <c r="AD126" s="18"/>
      <c r="AE126" s="18"/>
      <c r="AF126" s="18"/>
      <c r="AG126" s="18"/>
      <c r="AH126" s="18"/>
      <c r="AI126" s="18"/>
      <c r="AJ126" s="142"/>
      <c r="AK126" s="142"/>
      <c r="AL126" s="18"/>
      <c r="AM126" s="18"/>
      <c r="AN126" s="18"/>
      <c r="AO126" s="142"/>
    </row>
    <row r="127">
      <c r="A127" s="142"/>
      <c r="B127" s="18"/>
      <c r="C127" s="142"/>
      <c r="D127" s="18"/>
      <c r="E127" s="18"/>
      <c r="F127" s="18"/>
      <c r="G127" s="142"/>
      <c r="H127" s="18"/>
      <c r="I127" s="142"/>
      <c r="J127" s="15"/>
      <c r="Q127" s="15"/>
      <c r="R127" s="18"/>
      <c r="S127" s="142"/>
      <c r="T127" s="142"/>
      <c r="U127" s="142"/>
      <c r="V127" s="18"/>
      <c r="W127" s="18"/>
      <c r="X127" s="18"/>
      <c r="Y127" s="142"/>
      <c r="Z127" s="18"/>
      <c r="AA127" s="18"/>
      <c r="AB127" s="18"/>
      <c r="AC127" s="18"/>
      <c r="AD127" s="18"/>
      <c r="AE127" s="18"/>
      <c r="AF127" s="18"/>
      <c r="AG127" s="18"/>
      <c r="AH127" s="18"/>
      <c r="AI127" s="18"/>
      <c r="AJ127" s="142"/>
      <c r="AK127" s="142"/>
      <c r="AL127" s="18"/>
      <c r="AM127" s="18"/>
      <c r="AN127" s="18"/>
      <c r="AO127" s="142"/>
    </row>
    <row r="128">
      <c r="A128" s="142"/>
      <c r="B128" s="18"/>
      <c r="C128" s="142"/>
      <c r="D128" s="18"/>
      <c r="E128" s="18"/>
      <c r="F128" s="18"/>
      <c r="G128" s="142"/>
      <c r="H128" s="18"/>
      <c r="I128" s="142"/>
      <c r="J128" s="15"/>
      <c r="Q128" s="15"/>
      <c r="R128" s="18"/>
      <c r="S128" s="142"/>
      <c r="T128" s="142"/>
      <c r="U128" s="142"/>
      <c r="V128" s="18"/>
      <c r="W128" s="18"/>
      <c r="X128" s="18"/>
      <c r="Y128" s="142"/>
      <c r="Z128" s="18"/>
      <c r="AA128" s="18"/>
      <c r="AB128" s="18"/>
      <c r="AC128" s="18"/>
      <c r="AD128" s="18"/>
      <c r="AE128" s="18"/>
      <c r="AF128" s="18"/>
      <c r="AG128" s="18"/>
      <c r="AH128" s="18"/>
      <c r="AI128" s="18"/>
      <c r="AJ128" s="142"/>
      <c r="AK128" s="142"/>
      <c r="AL128" s="18"/>
      <c r="AM128" s="18"/>
      <c r="AN128" s="18"/>
      <c r="AO128" s="142"/>
    </row>
    <row r="129">
      <c r="A129" s="142"/>
      <c r="B129" s="18"/>
      <c r="C129" s="142"/>
      <c r="D129" s="18"/>
      <c r="E129" s="18"/>
      <c r="F129" s="18"/>
      <c r="G129" s="142"/>
      <c r="H129" s="18"/>
      <c r="I129" s="142"/>
      <c r="J129" s="15"/>
      <c r="Q129" s="15"/>
      <c r="R129" s="18"/>
      <c r="S129" s="142"/>
      <c r="T129" s="142"/>
      <c r="U129" s="142"/>
      <c r="V129" s="18"/>
      <c r="W129" s="18"/>
      <c r="X129" s="18"/>
      <c r="Y129" s="142"/>
      <c r="Z129" s="18"/>
      <c r="AA129" s="18"/>
      <c r="AB129" s="18"/>
      <c r="AC129" s="18"/>
      <c r="AD129" s="18"/>
      <c r="AE129" s="18"/>
      <c r="AF129" s="18"/>
      <c r="AG129" s="18"/>
      <c r="AH129" s="18"/>
      <c r="AI129" s="18"/>
      <c r="AJ129" s="142"/>
      <c r="AK129" s="142"/>
      <c r="AL129" s="18"/>
      <c r="AM129" s="18"/>
      <c r="AN129" s="18"/>
      <c r="AO129" s="142"/>
    </row>
    <row r="130">
      <c r="A130" s="142"/>
      <c r="B130" s="18"/>
      <c r="C130" s="142"/>
      <c r="D130" s="18"/>
      <c r="E130" s="18"/>
      <c r="F130" s="18"/>
      <c r="G130" s="142"/>
      <c r="H130" s="18"/>
      <c r="I130" s="142"/>
      <c r="J130" s="15"/>
      <c r="Q130" s="15"/>
      <c r="R130" s="18"/>
      <c r="S130" s="142"/>
      <c r="T130" s="142"/>
      <c r="U130" s="142"/>
      <c r="V130" s="18"/>
      <c r="W130" s="18"/>
      <c r="X130" s="18"/>
      <c r="Y130" s="142"/>
      <c r="Z130" s="18"/>
      <c r="AA130" s="18"/>
      <c r="AB130" s="18"/>
      <c r="AC130" s="18"/>
      <c r="AD130" s="18"/>
      <c r="AE130" s="18"/>
      <c r="AF130" s="18"/>
      <c r="AG130" s="18"/>
      <c r="AH130" s="18"/>
      <c r="AI130" s="18"/>
      <c r="AJ130" s="142"/>
      <c r="AK130" s="142"/>
      <c r="AL130" s="18"/>
      <c r="AM130" s="18"/>
      <c r="AN130" s="18"/>
      <c r="AO130" s="142"/>
    </row>
    <row r="131">
      <c r="A131" s="142"/>
      <c r="B131" s="18"/>
      <c r="C131" s="142"/>
      <c r="D131" s="18"/>
      <c r="E131" s="18"/>
      <c r="F131" s="18"/>
      <c r="G131" s="142"/>
      <c r="H131" s="18"/>
      <c r="I131" s="142"/>
      <c r="J131" s="15"/>
      <c r="Q131" s="15"/>
      <c r="R131" s="18"/>
      <c r="S131" s="142"/>
      <c r="T131" s="142"/>
      <c r="U131" s="142"/>
      <c r="V131" s="18"/>
      <c r="W131" s="18"/>
      <c r="X131" s="18"/>
      <c r="Y131" s="142"/>
      <c r="Z131" s="18"/>
      <c r="AA131" s="18"/>
      <c r="AB131" s="18"/>
      <c r="AC131" s="18"/>
      <c r="AD131" s="18"/>
      <c r="AE131" s="18"/>
      <c r="AF131" s="18"/>
      <c r="AG131" s="18"/>
      <c r="AH131" s="18"/>
      <c r="AI131" s="18"/>
      <c r="AJ131" s="142"/>
      <c r="AK131" s="142"/>
      <c r="AL131" s="18"/>
      <c r="AM131" s="18"/>
      <c r="AN131" s="18"/>
      <c r="AO131" s="142"/>
    </row>
    <row r="132">
      <c r="A132" s="142"/>
      <c r="B132" s="18"/>
      <c r="C132" s="142"/>
      <c r="D132" s="18"/>
      <c r="E132" s="18"/>
      <c r="F132" s="18"/>
      <c r="G132" s="142"/>
      <c r="H132" s="18"/>
      <c r="I132" s="142"/>
      <c r="J132" s="15"/>
      <c r="Q132" s="15"/>
      <c r="R132" s="18"/>
      <c r="S132" s="142"/>
      <c r="T132" s="142"/>
      <c r="U132" s="142"/>
      <c r="V132" s="18"/>
      <c r="W132" s="18"/>
      <c r="X132" s="18"/>
      <c r="Y132" s="142"/>
      <c r="Z132" s="18"/>
      <c r="AA132" s="18"/>
      <c r="AB132" s="18"/>
      <c r="AC132" s="18"/>
      <c r="AD132" s="18"/>
      <c r="AE132" s="18"/>
      <c r="AF132" s="18"/>
      <c r="AG132" s="18"/>
      <c r="AH132" s="18"/>
      <c r="AI132" s="18"/>
      <c r="AJ132" s="142"/>
      <c r="AK132" s="142"/>
      <c r="AL132" s="18"/>
      <c r="AM132" s="18"/>
      <c r="AN132" s="18"/>
      <c r="AO132" s="142"/>
    </row>
    <row r="133">
      <c r="A133" s="142"/>
      <c r="B133" s="18"/>
      <c r="C133" s="142"/>
      <c r="D133" s="18"/>
      <c r="E133" s="18"/>
      <c r="F133" s="18"/>
      <c r="G133" s="142"/>
      <c r="H133" s="18"/>
      <c r="I133" s="142"/>
      <c r="J133" s="15"/>
      <c r="Q133" s="15"/>
      <c r="R133" s="18"/>
      <c r="S133" s="142"/>
      <c r="T133" s="142"/>
      <c r="U133" s="142"/>
      <c r="V133" s="18"/>
      <c r="W133" s="18"/>
      <c r="X133" s="18"/>
      <c r="Y133" s="142"/>
      <c r="Z133" s="18"/>
      <c r="AA133" s="18"/>
      <c r="AB133" s="18"/>
      <c r="AC133" s="18"/>
      <c r="AD133" s="18"/>
      <c r="AE133" s="18"/>
      <c r="AF133" s="18"/>
      <c r="AG133" s="18"/>
      <c r="AH133" s="18"/>
      <c r="AI133" s="18"/>
      <c r="AJ133" s="142"/>
      <c r="AK133" s="142"/>
      <c r="AL133" s="18"/>
      <c r="AM133" s="18"/>
      <c r="AN133" s="18"/>
      <c r="AO133" s="142"/>
    </row>
    <row r="134">
      <c r="A134" s="142"/>
      <c r="B134" s="18"/>
      <c r="C134" s="142"/>
      <c r="D134" s="18"/>
      <c r="E134" s="18"/>
      <c r="F134" s="18"/>
      <c r="G134" s="142"/>
      <c r="H134" s="18"/>
      <c r="I134" s="142"/>
      <c r="J134" s="15"/>
      <c r="Q134" s="15"/>
      <c r="R134" s="18"/>
      <c r="S134" s="142"/>
      <c r="T134" s="142"/>
      <c r="U134" s="142"/>
      <c r="V134" s="18"/>
      <c r="W134" s="18"/>
      <c r="X134" s="18"/>
      <c r="Y134" s="142"/>
      <c r="Z134" s="18"/>
      <c r="AA134" s="18"/>
      <c r="AB134" s="18"/>
      <c r="AC134" s="18"/>
      <c r="AD134" s="18"/>
      <c r="AE134" s="18"/>
      <c r="AF134" s="18"/>
      <c r="AG134" s="18"/>
      <c r="AH134" s="18"/>
      <c r="AI134" s="18"/>
      <c r="AJ134" s="142"/>
      <c r="AK134" s="142"/>
      <c r="AL134" s="18"/>
      <c r="AM134" s="18"/>
      <c r="AN134" s="18"/>
      <c r="AO134" s="142"/>
    </row>
    <row r="135">
      <c r="A135" s="142"/>
      <c r="B135" s="18"/>
      <c r="C135" s="142"/>
      <c r="D135" s="18"/>
      <c r="E135" s="18"/>
      <c r="F135" s="18"/>
      <c r="G135" s="142"/>
      <c r="H135" s="18"/>
      <c r="I135" s="142"/>
      <c r="J135" s="15"/>
      <c r="Q135" s="15"/>
      <c r="R135" s="18"/>
      <c r="S135" s="142"/>
      <c r="T135" s="142"/>
      <c r="U135" s="142"/>
      <c r="V135" s="18"/>
      <c r="W135" s="18"/>
      <c r="X135" s="18"/>
      <c r="Y135" s="142"/>
      <c r="Z135" s="18"/>
      <c r="AA135" s="18"/>
      <c r="AB135" s="18"/>
      <c r="AC135" s="18"/>
      <c r="AD135" s="18"/>
      <c r="AE135" s="18"/>
      <c r="AF135" s="18"/>
      <c r="AG135" s="18"/>
      <c r="AH135" s="18"/>
      <c r="AI135" s="18"/>
      <c r="AJ135" s="142"/>
      <c r="AK135" s="142"/>
      <c r="AL135" s="18"/>
      <c r="AM135" s="18"/>
      <c r="AN135" s="18"/>
      <c r="AO135" s="142"/>
    </row>
    <row r="136">
      <c r="A136" s="142"/>
      <c r="B136" s="18"/>
      <c r="C136" s="142"/>
      <c r="D136" s="18"/>
      <c r="E136" s="18"/>
      <c r="F136" s="18"/>
      <c r="G136" s="142"/>
      <c r="H136" s="18"/>
      <c r="I136" s="142"/>
      <c r="J136" s="15"/>
      <c r="Q136" s="15"/>
      <c r="R136" s="18"/>
      <c r="S136" s="142"/>
      <c r="T136" s="142"/>
      <c r="U136" s="142"/>
      <c r="V136" s="18"/>
      <c r="W136" s="18"/>
      <c r="X136" s="18"/>
      <c r="Y136" s="142"/>
      <c r="Z136" s="18"/>
      <c r="AA136" s="18"/>
      <c r="AB136" s="18"/>
      <c r="AC136" s="18"/>
      <c r="AD136" s="18"/>
      <c r="AE136" s="18"/>
      <c r="AF136" s="18"/>
      <c r="AG136" s="18"/>
      <c r="AH136" s="18"/>
      <c r="AI136" s="18"/>
      <c r="AJ136" s="142"/>
      <c r="AK136" s="142"/>
      <c r="AL136" s="18"/>
      <c r="AM136" s="18"/>
      <c r="AN136" s="18"/>
      <c r="AO136" s="142"/>
    </row>
    <row r="137">
      <c r="A137" s="142"/>
      <c r="B137" s="18"/>
      <c r="C137" s="142"/>
      <c r="D137" s="18"/>
      <c r="E137" s="18"/>
      <c r="F137" s="18"/>
      <c r="G137" s="142"/>
      <c r="H137" s="18"/>
      <c r="I137" s="142"/>
      <c r="J137" s="15"/>
      <c r="Q137" s="15"/>
      <c r="R137" s="18"/>
      <c r="S137" s="142"/>
      <c r="T137" s="142"/>
      <c r="U137" s="142"/>
      <c r="V137" s="18"/>
      <c r="W137" s="18"/>
      <c r="X137" s="18"/>
      <c r="Y137" s="142"/>
      <c r="Z137" s="18"/>
      <c r="AA137" s="18"/>
      <c r="AB137" s="18"/>
      <c r="AC137" s="18"/>
      <c r="AD137" s="18"/>
      <c r="AE137" s="18"/>
      <c r="AF137" s="18"/>
      <c r="AG137" s="18"/>
      <c r="AH137" s="18"/>
      <c r="AI137" s="18"/>
      <c r="AJ137" s="142"/>
      <c r="AK137" s="142"/>
      <c r="AL137" s="18"/>
      <c r="AM137" s="18"/>
      <c r="AN137" s="18"/>
      <c r="AO137" s="142"/>
    </row>
    <row r="138">
      <c r="A138" s="142"/>
      <c r="B138" s="18"/>
      <c r="C138" s="142"/>
      <c r="D138" s="18"/>
      <c r="E138" s="18"/>
      <c r="F138" s="18"/>
      <c r="G138" s="142"/>
      <c r="H138" s="18"/>
      <c r="I138" s="142"/>
      <c r="J138" s="15"/>
      <c r="Q138" s="15"/>
      <c r="R138" s="18"/>
      <c r="S138" s="142"/>
      <c r="T138" s="142"/>
      <c r="U138" s="142"/>
      <c r="V138" s="18"/>
      <c r="W138" s="18"/>
      <c r="X138" s="18"/>
      <c r="Y138" s="142"/>
      <c r="Z138" s="18"/>
      <c r="AA138" s="18"/>
      <c r="AB138" s="18"/>
      <c r="AC138" s="18"/>
      <c r="AD138" s="18"/>
      <c r="AE138" s="18"/>
      <c r="AF138" s="18"/>
      <c r="AG138" s="18"/>
      <c r="AH138" s="18"/>
      <c r="AI138" s="18"/>
      <c r="AJ138" s="142"/>
      <c r="AK138" s="142"/>
      <c r="AL138" s="18"/>
      <c r="AM138" s="18"/>
      <c r="AN138" s="18"/>
      <c r="AO138" s="142"/>
    </row>
    <row r="139">
      <c r="A139" s="142"/>
      <c r="B139" s="18"/>
      <c r="C139" s="142"/>
      <c r="D139" s="18"/>
      <c r="E139" s="18"/>
      <c r="F139" s="18"/>
      <c r="G139" s="142"/>
      <c r="H139" s="18"/>
      <c r="I139" s="142"/>
      <c r="J139" s="15"/>
      <c r="Q139" s="15"/>
      <c r="R139" s="18"/>
      <c r="S139" s="142"/>
      <c r="T139" s="142"/>
      <c r="U139" s="142"/>
      <c r="V139" s="18"/>
      <c r="W139" s="18"/>
      <c r="X139" s="18"/>
      <c r="Y139" s="142"/>
      <c r="Z139" s="18"/>
      <c r="AA139" s="18"/>
      <c r="AB139" s="18"/>
      <c r="AC139" s="18"/>
      <c r="AD139" s="18"/>
      <c r="AE139" s="18"/>
      <c r="AF139" s="18"/>
      <c r="AG139" s="18"/>
      <c r="AH139" s="18"/>
      <c r="AI139" s="18"/>
      <c r="AJ139" s="142"/>
      <c r="AK139" s="142"/>
      <c r="AL139" s="18"/>
      <c r="AM139" s="18"/>
      <c r="AN139" s="18"/>
      <c r="AO139" s="142"/>
    </row>
    <row r="140">
      <c r="A140" s="142"/>
      <c r="B140" s="18"/>
      <c r="C140" s="142"/>
      <c r="D140" s="18"/>
      <c r="E140" s="18"/>
      <c r="F140" s="18"/>
      <c r="G140" s="142"/>
      <c r="H140" s="18"/>
      <c r="I140" s="142"/>
      <c r="J140" s="15"/>
      <c r="Q140" s="15"/>
      <c r="R140" s="18"/>
      <c r="S140" s="142"/>
      <c r="T140" s="142"/>
      <c r="U140" s="142"/>
      <c r="V140" s="18"/>
      <c r="W140" s="18"/>
      <c r="X140" s="18"/>
      <c r="Y140" s="142"/>
      <c r="Z140" s="18"/>
      <c r="AA140" s="18"/>
      <c r="AB140" s="18"/>
      <c r="AC140" s="18"/>
      <c r="AD140" s="18"/>
      <c r="AE140" s="18"/>
      <c r="AF140" s="18"/>
      <c r="AG140" s="18"/>
      <c r="AH140" s="18"/>
      <c r="AI140" s="18"/>
      <c r="AJ140" s="142"/>
      <c r="AK140" s="142"/>
      <c r="AL140" s="18"/>
      <c r="AM140" s="18"/>
      <c r="AN140" s="18"/>
      <c r="AO140" s="142"/>
    </row>
    <row r="141">
      <c r="A141" s="142"/>
      <c r="B141" s="18"/>
      <c r="C141" s="142"/>
      <c r="D141" s="18"/>
      <c r="E141" s="18"/>
      <c r="F141" s="18"/>
      <c r="G141" s="142"/>
      <c r="H141" s="18"/>
      <c r="I141" s="142"/>
      <c r="J141" s="15"/>
      <c r="Q141" s="15"/>
      <c r="R141" s="18"/>
      <c r="S141" s="142"/>
      <c r="T141" s="142"/>
      <c r="U141" s="142"/>
      <c r="V141" s="18"/>
      <c r="W141" s="18"/>
      <c r="X141" s="18"/>
      <c r="Y141" s="142"/>
      <c r="Z141" s="18"/>
      <c r="AA141" s="18"/>
      <c r="AB141" s="18"/>
      <c r="AC141" s="18"/>
      <c r="AD141" s="18"/>
      <c r="AE141" s="18"/>
      <c r="AF141" s="18"/>
      <c r="AG141" s="18"/>
      <c r="AH141" s="18"/>
      <c r="AI141" s="18"/>
      <c r="AJ141" s="142"/>
      <c r="AK141" s="142"/>
      <c r="AL141" s="18"/>
      <c r="AM141" s="18"/>
      <c r="AN141" s="18"/>
      <c r="AO141" s="142"/>
    </row>
    <row r="142">
      <c r="A142" s="142"/>
      <c r="B142" s="18"/>
      <c r="C142" s="142"/>
      <c r="D142" s="18"/>
      <c r="E142" s="18"/>
      <c r="F142" s="18"/>
      <c r="G142" s="142"/>
      <c r="H142" s="18"/>
      <c r="I142" s="142"/>
      <c r="J142" s="15"/>
      <c r="Q142" s="15"/>
      <c r="R142" s="18"/>
      <c r="S142" s="142"/>
      <c r="T142" s="142"/>
      <c r="U142" s="142"/>
      <c r="V142" s="18"/>
      <c r="W142" s="18"/>
      <c r="X142" s="18"/>
      <c r="Y142" s="142"/>
      <c r="Z142" s="18"/>
      <c r="AA142" s="18"/>
      <c r="AB142" s="18"/>
      <c r="AC142" s="18"/>
      <c r="AD142" s="18"/>
      <c r="AE142" s="18"/>
      <c r="AF142" s="18"/>
      <c r="AG142" s="18"/>
      <c r="AH142" s="18"/>
      <c r="AI142" s="18"/>
      <c r="AJ142" s="142"/>
      <c r="AK142" s="142"/>
      <c r="AL142" s="18"/>
      <c r="AM142" s="18"/>
      <c r="AN142" s="18"/>
      <c r="AO142" s="142"/>
    </row>
    <row r="143">
      <c r="A143" s="142"/>
      <c r="B143" s="18"/>
      <c r="C143" s="142"/>
      <c r="D143" s="18"/>
      <c r="E143" s="18"/>
      <c r="F143" s="18"/>
      <c r="G143" s="142"/>
      <c r="H143" s="18"/>
      <c r="I143" s="142"/>
      <c r="J143" s="15"/>
      <c r="Q143" s="15"/>
      <c r="R143" s="18"/>
      <c r="S143" s="142"/>
      <c r="T143" s="142"/>
      <c r="U143" s="142"/>
      <c r="V143" s="18"/>
      <c r="W143" s="18"/>
      <c r="X143" s="18"/>
      <c r="Y143" s="142"/>
      <c r="Z143" s="18"/>
      <c r="AA143" s="18"/>
      <c r="AB143" s="18"/>
      <c r="AC143" s="18"/>
      <c r="AD143" s="18"/>
      <c r="AE143" s="18"/>
      <c r="AF143" s="18"/>
      <c r="AG143" s="18"/>
      <c r="AH143" s="18"/>
      <c r="AI143" s="18"/>
      <c r="AJ143" s="142"/>
      <c r="AK143" s="142"/>
      <c r="AL143" s="18"/>
      <c r="AM143" s="18"/>
      <c r="AN143" s="18"/>
      <c r="AO143" s="142"/>
    </row>
    <row r="144">
      <c r="A144" s="142"/>
      <c r="B144" s="18"/>
      <c r="C144" s="142"/>
      <c r="D144" s="18"/>
      <c r="E144" s="18"/>
      <c r="F144" s="18"/>
      <c r="G144" s="142"/>
      <c r="H144" s="18"/>
      <c r="I144" s="142"/>
      <c r="J144" s="15"/>
      <c r="Q144" s="15"/>
      <c r="R144" s="18"/>
      <c r="S144" s="142"/>
      <c r="T144" s="142"/>
      <c r="U144" s="142"/>
      <c r="V144" s="18"/>
      <c r="W144" s="18"/>
      <c r="X144" s="18"/>
      <c r="Y144" s="142"/>
      <c r="Z144" s="18"/>
      <c r="AA144" s="18"/>
      <c r="AB144" s="18"/>
      <c r="AC144" s="18"/>
      <c r="AD144" s="18"/>
      <c r="AE144" s="18"/>
      <c r="AF144" s="18"/>
      <c r="AG144" s="18"/>
      <c r="AH144" s="18"/>
      <c r="AI144" s="18"/>
      <c r="AJ144" s="142"/>
      <c r="AK144" s="142"/>
      <c r="AL144" s="18"/>
      <c r="AM144" s="18"/>
      <c r="AN144" s="18"/>
      <c r="AO144" s="142"/>
    </row>
    <row r="145">
      <c r="A145" s="142"/>
      <c r="B145" s="18"/>
      <c r="C145" s="142"/>
      <c r="D145" s="18"/>
      <c r="E145" s="18"/>
      <c r="F145" s="18"/>
      <c r="G145" s="142"/>
      <c r="H145" s="18"/>
      <c r="I145" s="142"/>
      <c r="J145" s="15"/>
      <c r="Q145" s="15"/>
      <c r="R145" s="18"/>
      <c r="S145" s="142"/>
      <c r="T145" s="142"/>
      <c r="U145" s="142"/>
      <c r="V145" s="18"/>
      <c r="W145" s="18"/>
      <c r="X145" s="18"/>
      <c r="Y145" s="142"/>
      <c r="Z145" s="18"/>
      <c r="AA145" s="18"/>
      <c r="AB145" s="18"/>
      <c r="AC145" s="18"/>
      <c r="AD145" s="18"/>
      <c r="AE145" s="18"/>
      <c r="AF145" s="18"/>
      <c r="AG145" s="18"/>
      <c r="AH145" s="18"/>
      <c r="AI145" s="18"/>
      <c r="AJ145" s="142"/>
      <c r="AK145" s="142"/>
      <c r="AL145" s="18"/>
      <c r="AM145" s="18"/>
      <c r="AN145" s="18"/>
      <c r="AO145" s="142"/>
    </row>
    <row r="146">
      <c r="A146" s="142"/>
      <c r="B146" s="18"/>
      <c r="C146" s="142"/>
      <c r="D146" s="18"/>
      <c r="E146" s="18"/>
      <c r="F146" s="18"/>
      <c r="G146" s="142"/>
      <c r="H146" s="18"/>
      <c r="I146" s="142"/>
      <c r="J146" s="15"/>
      <c r="Q146" s="15"/>
      <c r="R146" s="18"/>
      <c r="S146" s="142"/>
      <c r="T146" s="142"/>
      <c r="U146" s="142"/>
      <c r="V146" s="18"/>
      <c r="W146" s="18"/>
      <c r="X146" s="18"/>
      <c r="Y146" s="142"/>
      <c r="Z146" s="18"/>
      <c r="AA146" s="18"/>
      <c r="AB146" s="18"/>
      <c r="AC146" s="18"/>
      <c r="AD146" s="18"/>
      <c r="AE146" s="18"/>
      <c r="AF146" s="18"/>
      <c r="AG146" s="18"/>
      <c r="AH146" s="18"/>
      <c r="AI146" s="18"/>
      <c r="AJ146" s="142"/>
      <c r="AK146" s="142"/>
      <c r="AL146" s="18"/>
      <c r="AM146" s="18"/>
      <c r="AN146" s="18"/>
      <c r="AO146" s="142"/>
    </row>
    <row r="147">
      <c r="A147" s="142"/>
      <c r="B147" s="18"/>
      <c r="C147" s="142"/>
      <c r="D147" s="18"/>
      <c r="E147" s="18"/>
      <c r="F147" s="18"/>
      <c r="G147" s="142"/>
      <c r="H147" s="18"/>
      <c r="I147" s="142"/>
      <c r="J147" s="15"/>
      <c r="Q147" s="15"/>
      <c r="R147" s="18"/>
      <c r="S147" s="142"/>
      <c r="T147" s="142"/>
      <c r="U147" s="142"/>
      <c r="V147" s="18"/>
      <c r="W147" s="18"/>
      <c r="X147" s="18"/>
      <c r="Y147" s="142"/>
      <c r="Z147" s="18"/>
      <c r="AA147" s="18"/>
      <c r="AB147" s="18"/>
      <c r="AC147" s="18"/>
      <c r="AD147" s="18"/>
      <c r="AE147" s="18"/>
      <c r="AF147" s="18"/>
      <c r="AG147" s="18"/>
      <c r="AH147" s="18"/>
      <c r="AI147" s="18"/>
      <c r="AJ147" s="142"/>
      <c r="AK147" s="142"/>
      <c r="AL147" s="18"/>
      <c r="AM147" s="18"/>
      <c r="AN147" s="18"/>
      <c r="AO147" s="142"/>
    </row>
    <row r="148">
      <c r="A148" s="142"/>
      <c r="B148" s="18"/>
      <c r="C148" s="142"/>
      <c r="D148" s="18"/>
      <c r="E148" s="18"/>
      <c r="F148" s="18"/>
      <c r="G148" s="142"/>
      <c r="H148" s="18"/>
      <c r="I148" s="142"/>
      <c r="J148" s="15"/>
      <c r="Q148" s="15"/>
      <c r="R148" s="18"/>
      <c r="S148" s="142"/>
      <c r="T148" s="142"/>
      <c r="U148" s="142"/>
      <c r="V148" s="18"/>
      <c r="W148" s="18"/>
      <c r="X148" s="18"/>
      <c r="Y148" s="142"/>
      <c r="Z148" s="18"/>
      <c r="AA148" s="18"/>
      <c r="AB148" s="18"/>
      <c r="AC148" s="18"/>
      <c r="AD148" s="18"/>
      <c r="AE148" s="18"/>
      <c r="AF148" s="18"/>
      <c r="AG148" s="18"/>
      <c r="AH148" s="18"/>
      <c r="AI148" s="18"/>
      <c r="AJ148" s="142"/>
      <c r="AK148" s="142"/>
      <c r="AL148" s="18"/>
      <c r="AM148" s="18"/>
      <c r="AN148" s="18"/>
      <c r="AO148" s="142"/>
    </row>
    <row r="149">
      <c r="A149" s="142"/>
      <c r="B149" s="18"/>
      <c r="C149" s="142"/>
      <c r="D149" s="18"/>
      <c r="E149" s="18"/>
      <c r="F149" s="18"/>
      <c r="G149" s="142"/>
      <c r="H149" s="18"/>
      <c r="I149" s="142"/>
      <c r="J149" s="15"/>
      <c r="Q149" s="15"/>
      <c r="R149" s="18"/>
      <c r="S149" s="142"/>
      <c r="T149" s="142"/>
      <c r="U149" s="142"/>
      <c r="V149" s="18"/>
      <c r="W149" s="18"/>
      <c r="X149" s="18"/>
      <c r="Y149" s="142"/>
      <c r="Z149" s="18"/>
      <c r="AA149" s="18"/>
      <c r="AB149" s="18"/>
      <c r="AC149" s="18"/>
      <c r="AD149" s="18"/>
      <c r="AE149" s="18"/>
      <c r="AF149" s="18"/>
      <c r="AG149" s="18"/>
      <c r="AH149" s="18"/>
      <c r="AI149" s="18"/>
      <c r="AJ149" s="142"/>
      <c r="AK149" s="142"/>
      <c r="AL149" s="18"/>
      <c r="AM149" s="18"/>
      <c r="AN149" s="18"/>
      <c r="AO149" s="142"/>
    </row>
    <row r="150">
      <c r="A150" s="142"/>
      <c r="B150" s="18"/>
      <c r="C150" s="142"/>
      <c r="D150" s="18"/>
      <c r="E150" s="18"/>
      <c r="F150" s="18"/>
      <c r="G150" s="142"/>
      <c r="H150" s="18"/>
      <c r="I150" s="142"/>
      <c r="J150" s="15"/>
      <c r="Q150" s="15"/>
      <c r="R150" s="18"/>
      <c r="S150" s="142"/>
      <c r="T150" s="142"/>
      <c r="U150" s="142"/>
      <c r="V150" s="18"/>
      <c r="W150" s="18"/>
      <c r="X150" s="18"/>
      <c r="Y150" s="142"/>
      <c r="Z150" s="18"/>
      <c r="AA150" s="18"/>
      <c r="AB150" s="18"/>
      <c r="AC150" s="18"/>
      <c r="AD150" s="18"/>
      <c r="AE150" s="18"/>
      <c r="AF150" s="18"/>
      <c r="AG150" s="18"/>
      <c r="AH150" s="18"/>
      <c r="AI150" s="18"/>
      <c r="AJ150" s="142"/>
      <c r="AK150" s="142"/>
      <c r="AL150" s="18"/>
      <c r="AM150" s="18"/>
      <c r="AN150" s="18"/>
      <c r="AO150" s="142"/>
    </row>
    <row r="151">
      <c r="A151" s="142"/>
      <c r="B151" s="18"/>
      <c r="C151" s="142"/>
      <c r="D151" s="18"/>
      <c r="E151" s="18"/>
      <c r="F151" s="18"/>
      <c r="G151" s="142"/>
      <c r="H151" s="18"/>
      <c r="I151" s="142"/>
      <c r="J151" s="15"/>
      <c r="Q151" s="15"/>
      <c r="R151" s="18"/>
      <c r="S151" s="142"/>
      <c r="T151" s="142"/>
      <c r="U151" s="142"/>
      <c r="V151" s="18"/>
      <c r="W151" s="18"/>
      <c r="X151" s="18"/>
      <c r="Y151" s="142"/>
      <c r="Z151" s="18"/>
      <c r="AA151" s="18"/>
      <c r="AB151" s="18"/>
      <c r="AC151" s="18"/>
      <c r="AD151" s="18"/>
      <c r="AE151" s="18"/>
      <c r="AF151" s="18"/>
      <c r="AG151" s="18"/>
      <c r="AH151" s="18"/>
      <c r="AI151" s="18"/>
      <c r="AJ151" s="142"/>
      <c r="AK151" s="142"/>
      <c r="AL151" s="18"/>
      <c r="AM151" s="18"/>
      <c r="AN151" s="18"/>
      <c r="AO151" s="142"/>
    </row>
    <row r="152">
      <c r="A152" s="142"/>
      <c r="B152" s="18"/>
      <c r="C152" s="142"/>
      <c r="D152" s="18"/>
      <c r="E152" s="18"/>
      <c r="F152" s="18"/>
      <c r="G152" s="142"/>
      <c r="H152" s="18"/>
      <c r="I152" s="142"/>
      <c r="J152" s="15"/>
      <c r="Q152" s="15"/>
      <c r="R152" s="18"/>
      <c r="S152" s="142"/>
      <c r="T152" s="142"/>
      <c r="U152" s="142"/>
      <c r="V152" s="18"/>
      <c r="W152" s="18"/>
      <c r="X152" s="18"/>
      <c r="Y152" s="142"/>
      <c r="Z152" s="18"/>
      <c r="AA152" s="18"/>
      <c r="AB152" s="18"/>
      <c r="AC152" s="18"/>
      <c r="AD152" s="18"/>
      <c r="AE152" s="18"/>
      <c r="AF152" s="18"/>
      <c r="AG152" s="18"/>
      <c r="AH152" s="18"/>
      <c r="AI152" s="18"/>
      <c r="AJ152" s="142"/>
      <c r="AK152" s="142"/>
      <c r="AL152" s="18"/>
      <c r="AM152" s="18"/>
      <c r="AN152" s="18"/>
      <c r="AO152" s="142"/>
    </row>
    <row r="153">
      <c r="A153" s="142"/>
      <c r="B153" s="18"/>
      <c r="C153" s="142"/>
      <c r="D153" s="18"/>
      <c r="E153" s="18"/>
      <c r="F153" s="18"/>
      <c r="G153" s="142"/>
      <c r="H153" s="18"/>
      <c r="I153" s="142"/>
      <c r="J153" s="15"/>
      <c r="Q153" s="15"/>
      <c r="R153" s="18"/>
      <c r="S153" s="142"/>
      <c r="T153" s="142"/>
      <c r="U153" s="142"/>
      <c r="V153" s="18"/>
      <c r="W153" s="18"/>
      <c r="X153" s="18"/>
      <c r="Y153" s="142"/>
      <c r="Z153" s="18"/>
      <c r="AA153" s="18"/>
      <c r="AB153" s="18"/>
      <c r="AC153" s="18"/>
      <c r="AD153" s="18"/>
      <c r="AE153" s="18"/>
      <c r="AF153" s="18"/>
      <c r="AG153" s="18"/>
      <c r="AH153" s="18"/>
      <c r="AI153" s="18"/>
      <c r="AJ153" s="142"/>
      <c r="AK153" s="142"/>
      <c r="AL153" s="18"/>
      <c r="AM153" s="18"/>
      <c r="AN153" s="18"/>
      <c r="AO153" s="142"/>
    </row>
    <row r="154">
      <c r="A154" s="142"/>
      <c r="B154" s="18"/>
      <c r="C154" s="142"/>
      <c r="D154" s="18"/>
      <c r="E154" s="18"/>
      <c r="F154" s="18"/>
      <c r="G154" s="142"/>
      <c r="H154" s="18"/>
      <c r="I154" s="142"/>
      <c r="J154" s="15"/>
      <c r="Q154" s="15"/>
      <c r="R154" s="18"/>
      <c r="S154" s="142"/>
      <c r="T154" s="142"/>
      <c r="U154" s="142"/>
      <c r="V154" s="18"/>
      <c r="W154" s="18"/>
      <c r="X154" s="18"/>
      <c r="Y154" s="142"/>
      <c r="Z154" s="18"/>
      <c r="AA154" s="18"/>
      <c r="AB154" s="18"/>
      <c r="AC154" s="18"/>
      <c r="AD154" s="18"/>
      <c r="AE154" s="18"/>
      <c r="AF154" s="18"/>
      <c r="AG154" s="18"/>
      <c r="AH154" s="18"/>
      <c r="AI154" s="18"/>
      <c r="AJ154" s="142"/>
      <c r="AK154" s="142"/>
      <c r="AL154" s="18"/>
      <c r="AM154" s="18"/>
      <c r="AN154" s="18"/>
      <c r="AO154" s="142"/>
    </row>
    <row r="155">
      <c r="A155" s="142"/>
      <c r="B155" s="18"/>
      <c r="C155" s="142"/>
      <c r="D155" s="18"/>
      <c r="E155" s="18"/>
      <c r="F155" s="18"/>
      <c r="G155" s="142"/>
      <c r="H155" s="18"/>
      <c r="I155" s="142"/>
      <c r="J155" s="15"/>
      <c r="Q155" s="15"/>
      <c r="R155" s="18"/>
      <c r="S155" s="142"/>
      <c r="T155" s="142"/>
      <c r="U155" s="142"/>
      <c r="V155" s="18"/>
      <c r="W155" s="18"/>
      <c r="X155" s="18"/>
      <c r="Y155" s="142"/>
      <c r="Z155" s="18"/>
      <c r="AA155" s="18"/>
      <c r="AB155" s="18"/>
      <c r="AC155" s="18"/>
      <c r="AD155" s="18"/>
      <c r="AE155" s="18"/>
      <c r="AF155" s="18"/>
      <c r="AG155" s="18"/>
      <c r="AH155" s="18"/>
      <c r="AI155" s="18"/>
      <c r="AJ155" s="142"/>
      <c r="AK155" s="142"/>
      <c r="AL155" s="18"/>
      <c r="AM155" s="18"/>
      <c r="AN155" s="18"/>
      <c r="AO155" s="142"/>
    </row>
    <row r="156">
      <c r="A156" s="142"/>
      <c r="B156" s="18"/>
      <c r="C156" s="142"/>
      <c r="D156" s="18"/>
      <c r="E156" s="18"/>
      <c r="F156" s="18"/>
      <c r="G156" s="142"/>
      <c r="H156" s="18"/>
      <c r="I156" s="142"/>
      <c r="J156" s="15"/>
      <c r="Q156" s="15"/>
      <c r="R156" s="18"/>
      <c r="S156" s="142"/>
      <c r="T156" s="142"/>
      <c r="U156" s="142"/>
      <c r="V156" s="18"/>
      <c r="W156" s="18"/>
      <c r="X156" s="18"/>
      <c r="Y156" s="142"/>
      <c r="Z156" s="18"/>
      <c r="AA156" s="18"/>
      <c r="AB156" s="18"/>
      <c r="AC156" s="18"/>
      <c r="AD156" s="18"/>
      <c r="AE156" s="18"/>
      <c r="AF156" s="18"/>
      <c r="AG156" s="18"/>
      <c r="AH156" s="18"/>
      <c r="AI156" s="18"/>
      <c r="AJ156" s="142"/>
      <c r="AK156" s="142"/>
      <c r="AL156" s="18"/>
      <c r="AM156" s="18"/>
      <c r="AN156" s="18"/>
      <c r="AO156" s="142"/>
    </row>
    <row r="157">
      <c r="A157" s="142"/>
      <c r="B157" s="18"/>
      <c r="C157" s="142"/>
      <c r="D157" s="18"/>
      <c r="E157" s="18"/>
      <c r="F157" s="18"/>
      <c r="G157" s="142"/>
      <c r="H157" s="18"/>
      <c r="I157" s="142"/>
      <c r="J157" s="15"/>
      <c r="Q157" s="15"/>
      <c r="R157" s="18"/>
      <c r="S157" s="142"/>
      <c r="T157" s="142"/>
      <c r="U157" s="142"/>
      <c r="V157" s="18"/>
      <c r="W157" s="18"/>
      <c r="X157" s="18"/>
      <c r="Y157" s="142"/>
      <c r="Z157" s="18"/>
      <c r="AA157" s="18"/>
      <c r="AB157" s="18"/>
      <c r="AC157" s="18"/>
      <c r="AD157" s="18"/>
      <c r="AE157" s="18"/>
      <c r="AF157" s="18"/>
      <c r="AG157" s="18"/>
      <c r="AH157" s="18"/>
      <c r="AI157" s="18"/>
      <c r="AJ157" s="142"/>
      <c r="AK157" s="142"/>
      <c r="AL157" s="18"/>
      <c r="AM157" s="18"/>
      <c r="AN157" s="18"/>
      <c r="AO157" s="142"/>
    </row>
    <row r="158">
      <c r="A158" s="142"/>
      <c r="B158" s="18"/>
      <c r="C158" s="142"/>
      <c r="D158" s="18"/>
      <c r="E158" s="18"/>
      <c r="F158" s="18"/>
      <c r="G158" s="142"/>
      <c r="H158" s="18"/>
      <c r="I158" s="142"/>
      <c r="J158" s="15"/>
      <c r="Q158" s="15"/>
      <c r="R158" s="18"/>
      <c r="S158" s="142"/>
      <c r="T158" s="142"/>
      <c r="U158" s="142"/>
      <c r="V158" s="18"/>
      <c r="W158" s="18"/>
      <c r="X158" s="18"/>
      <c r="Y158" s="142"/>
      <c r="Z158" s="18"/>
      <c r="AA158" s="18"/>
      <c r="AB158" s="18"/>
      <c r="AC158" s="18"/>
      <c r="AD158" s="18"/>
      <c r="AE158" s="18"/>
      <c r="AF158" s="18"/>
      <c r="AG158" s="18"/>
      <c r="AH158" s="18"/>
      <c r="AI158" s="18"/>
      <c r="AJ158" s="142"/>
      <c r="AK158" s="142"/>
      <c r="AL158" s="18"/>
      <c r="AM158" s="18"/>
      <c r="AN158" s="18"/>
      <c r="AO158" s="142"/>
    </row>
    <row r="159">
      <c r="A159" s="142"/>
      <c r="B159" s="18"/>
      <c r="C159" s="142"/>
      <c r="D159" s="18"/>
      <c r="E159" s="18"/>
      <c r="F159" s="18"/>
      <c r="G159" s="142"/>
      <c r="H159" s="18"/>
      <c r="I159" s="142"/>
      <c r="J159" s="15"/>
      <c r="Q159" s="15"/>
      <c r="R159" s="18"/>
      <c r="S159" s="142"/>
      <c r="T159" s="142"/>
      <c r="U159" s="142"/>
      <c r="V159" s="18"/>
      <c r="W159" s="18"/>
      <c r="X159" s="18"/>
      <c r="Y159" s="142"/>
      <c r="Z159" s="18"/>
      <c r="AA159" s="18"/>
      <c r="AB159" s="18"/>
      <c r="AC159" s="18"/>
      <c r="AD159" s="18"/>
      <c r="AE159" s="18"/>
      <c r="AF159" s="18"/>
      <c r="AG159" s="18"/>
      <c r="AH159" s="18"/>
      <c r="AI159" s="18"/>
      <c r="AJ159" s="142"/>
      <c r="AK159" s="142"/>
      <c r="AL159" s="18"/>
      <c r="AM159" s="18"/>
      <c r="AN159" s="18"/>
      <c r="AO159" s="142"/>
    </row>
    <row r="160">
      <c r="A160" s="142"/>
      <c r="B160" s="18"/>
      <c r="C160" s="142"/>
      <c r="D160" s="18"/>
      <c r="E160" s="18"/>
      <c r="F160" s="18"/>
      <c r="G160" s="142"/>
      <c r="H160" s="18"/>
      <c r="I160" s="142"/>
      <c r="J160" s="15"/>
      <c r="Q160" s="15"/>
      <c r="R160" s="18"/>
      <c r="S160" s="142"/>
      <c r="T160" s="142"/>
      <c r="U160" s="142"/>
      <c r="V160" s="18"/>
      <c r="W160" s="18"/>
      <c r="X160" s="18"/>
      <c r="Y160" s="142"/>
      <c r="Z160" s="18"/>
      <c r="AA160" s="18"/>
      <c r="AB160" s="18"/>
      <c r="AC160" s="18"/>
      <c r="AD160" s="18"/>
      <c r="AE160" s="18"/>
      <c r="AF160" s="18"/>
      <c r="AG160" s="18"/>
      <c r="AH160" s="18"/>
      <c r="AI160" s="18"/>
      <c r="AJ160" s="142"/>
      <c r="AK160" s="142"/>
      <c r="AL160" s="18"/>
      <c r="AM160" s="18"/>
      <c r="AN160" s="18"/>
      <c r="AO160" s="142"/>
    </row>
    <row r="161">
      <c r="A161" s="142"/>
      <c r="B161" s="18"/>
      <c r="C161" s="142"/>
      <c r="D161" s="18"/>
      <c r="E161" s="18"/>
      <c r="F161" s="18"/>
      <c r="G161" s="142"/>
      <c r="H161" s="18"/>
      <c r="I161" s="142"/>
      <c r="J161" s="15"/>
      <c r="Q161" s="15"/>
      <c r="R161" s="18"/>
      <c r="S161" s="142"/>
      <c r="T161" s="142"/>
      <c r="U161" s="142"/>
      <c r="V161" s="18"/>
      <c r="W161" s="18"/>
      <c r="X161" s="18"/>
      <c r="Y161" s="142"/>
      <c r="Z161" s="18"/>
      <c r="AA161" s="18"/>
      <c r="AB161" s="18"/>
      <c r="AC161" s="18"/>
      <c r="AD161" s="18"/>
      <c r="AE161" s="18"/>
      <c r="AF161" s="18"/>
      <c r="AG161" s="18"/>
      <c r="AH161" s="18"/>
      <c r="AI161" s="18"/>
      <c r="AJ161" s="142"/>
      <c r="AK161" s="142"/>
      <c r="AL161" s="18"/>
      <c r="AM161" s="18"/>
      <c r="AN161" s="18"/>
      <c r="AO161" s="142"/>
    </row>
    <row r="162">
      <c r="A162" s="142"/>
      <c r="B162" s="18"/>
      <c r="C162" s="142"/>
      <c r="D162" s="18"/>
      <c r="E162" s="18"/>
      <c r="F162" s="18"/>
      <c r="G162" s="142"/>
      <c r="H162" s="18"/>
      <c r="I162" s="142"/>
      <c r="J162" s="15"/>
      <c r="Q162" s="15"/>
      <c r="R162" s="18"/>
      <c r="S162" s="142"/>
      <c r="T162" s="142"/>
      <c r="U162" s="142"/>
      <c r="V162" s="18"/>
      <c r="W162" s="18"/>
      <c r="X162" s="18"/>
      <c r="Y162" s="142"/>
      <c r="Z162" s="18"/>
      <c r="AA162" s="18"/>
      <c r="AB162" s="18"/>
      <c r="AC162" s="18"/>
      <c r="AD162" s="18"/>
      <c r="AE162" s="18"/>
      <c r="AF162" s="18"/>
      <c r="AG162" s="18"/>
      <c r="AH162" s="18"/>
      <c r="AI162" s="18"/>
      <c r="AJ162" s="142"/>
      <c r="AK162" s="142"/>
      <c r="AL162" s="18"/>
      <c r="AM162" s="18"/>
      <c r="AN162" s="18"/>
      <c r="AO162" s="142"/>
    </row>
    <row r="163">
      <c r="A163" s="142"/>
      <c r="B163" s="18"/>
      <c r="C163" s="142"/>
      <c r="D163" s="18"/>
      <c r="E163" s="18"/>
      <c r="F163" s="18"/>
      <c r="G163" s="142"/>
      <c r="H163" s="18"/>
      <c r="I163" s="142"/>
      <c r="J163" s="15"/>
      <c r="Q163" s="15"/>
      <c r="R163" s="18"/>
      <c r="S163" s="142"/>
      <c r="T163" s="142"/>
      <c r="U163" s="142"/>
      <c r="V163" s="18"/>
      <c r="W163" s="18"/>
      <c r="X163" s="18"/>
      <c r="Y163" s="142"/>
      <c r="Z163" s="18"/>
      <c r="AA163" s="18"/>
      <c r="AB163" s="18"/>
      <c r="AC163" s="18"/>
      <c r="AD163" s="18"/>
      <c r="AE163" s="18"/>
      <c r="AF163" s="18"/>
      <c r="AG163" s="18"/>
      <c r="AH163" s="18"/>
      <c r="AI163" s="18"/>
      <c r="AJ163" s="142"/>
      <c r="AK163" s="142"/>
      <c r="AL163" s="18"/>
      <c r="AM163" s="18"/>
      <c r="AN163" s="18"/>
      <c r="AO163" s="142"/>
    </row>
    <row r="164">
      <c r="A164" s="142"/>
      <c r="B164" s="18"/>
      <c r="C164" s="142"/>
      <c r="D164" s="18"/>
      <c r="E164" s="18"/>
      <c r="F164" s="18"/>
      <c r="G164" s="142"/>
      <c r="H164" s="18"/>
      <c r="I164" s="142"/>
      <c r="J164" s="15"/>
      <c r="Q164" s="15"/>
      <c r="R164" s="18"/>
      <c r="S164" s="142"/>
      <c r="T164" s="142"/>
      <c r="U164" s="142"/>
      <c r="V164" s="18"/>
      <c r="W164" s="18"/>
      <c r="X164" s="18"/>
      <c r="Y164" s="142"/>
      <c r="Z164" s="18"/>
      <c r="AA164" s="18"/>
      <c r="AB164" s="18"/>
      <c r="AC164" s="18"/>
      <c r="AD164" s="18"/>
      <c r="AE164" s="18"/>
      <c r="AF164" s="18"/>
      <c r="AG164" s="18"/>
      <c r="AH164" s="18"/>
      <c r="AI164" s="18"/>
      <c r="AJ164" s="142"/>
      <c r="AK164" s="142"/>
      <c r="AL164" s="18"/>
      <c r="AM164" s="18"/>
      <c r="AN164" s="18"/>
      <c r="AO164" s="142"/>
    </row>
    <row r="165">
      <c r="A165" s="142"/>
      <c r="B165" s="18"/>
      <c r="C165" s="142"/>
      <c r="D165" s="18"/>
      <c r="E165" s="18"/>
      <c r="F165" s="18"/>
      <c r="G165" s="142"/>
      <c r="H165" s="18"/>
      <c r="I165" s="142"/>
      <c r="J165" s="15"/>
      <c r="Q165" s="15"/>
      <c r="R165" s="18"/>
      <c r="S165" s="142"/>
      <c r="T165" s="142"/>
      <c r="U165" s="142"/>
      <c r="V165" s="18"/>
      <c r="W165" s="18"/>
      <c r="X165" s="18"/>
      <c r="Y165" s="142"/>
      <c r="Z165" s="18"/>
      <c r="AA165" s="18"/>
      <c r="AB165" s="18"/>
      <c r="AC165" s="18"/>
      <c r="AD165" s="18"/>
      <c r="AE165" s="18"/>
      <c r="AF165" s="18"/>
      <c r="AG165" s="18"/>
      <c r="AH165" s="18"/>
      <c r="AI165" s="18"/>
      <c r="AJ165" s="142"/>
      <c r="AK165" s="142"/>
      <c r="AL165" s="18"/>
      <c r="AM165" s="18"/>
      <c r="AN165" s="18"/>
      <c r="AO165" s="142"/>
    </row>
    <row r="166">
      <c r="A166" s="142"/>
      <c r="B166" s="18"/>
      <c r="C166" s="142"/>
      <c r="D166" s="18"/>
      <c r="E166" s="18"/>
      <c r="F166" s="18"/>
      <c r="G166" s="142"/>
      <c r="H166" s="18"/>
      <c r="I166" s="142"/>
      <c r="J166" s="15"/>
      <c r="Q166" s="15"/>
      <c r="R166" s="18"/>
      <c r="S166" s="142"/>
      <c r="T166" s="142"/>
      <c r="U166" s="142"/>
      <c r="V166" s="18"/>
      <c r="W166" s="18"/>
      <c r="X166" s="18"/>
      <c r="Y166" s="142"/>
      <c r="Z166" s="18"/>
      <c r="AA166" s="18"/>
      <c r="AB166" s="18"/>
      <c r="AC166" s="18"/>
      <c r="AD166" s="18"/>
      <c r="AE166" s="18"/>
      <c r="AF166" s="18"/>
      <c r="AG166" s="18"/>
      <c r="AH166" s="18"/>
      <c r="AI166" s="18"/>
      <c r="AJ166" s="142"/>
      <c r="AK166" s="142"/>
      <c r="AL166" s="18"/>
      <c r="AM166" s="18"/>
      <c r="AN166" s="18"/>
      <c r="AO166" s="142"/>
    </row>
    <row r="167">
      <c r="A167" s="142"/>
      <c r="B167" s="18"/>
      <c r="C167" s="142"/>
      <c r="D167" s="18"/>
      <c r="E167" s="18"/>
      <c r="F167" s="18"/>
      <c r="G167" s="142"/>
      <c r="H167" s="18"/>
      <c r="I167" s="142"/>
      <c r="J167" s="15"/>
      <c r="Q167" s="15"/>
      <c r="R167" s="18"/>
      <c r="S167" s="142"/>
      <c r="T167" s="142"/>
      <c r="U167" s="142"/>
      <c r="V167" s="18"/>
      <c r="W167" s="18"/>
      <c r="X167" s="18"/>
      <c r="Y167" s="142"/>
      <c r="Z167" s="18"/>
      <c r="AA167" s="18"/>
      <c r="AB167" s="18"/>
      <c r="AC167" s="18"/>
      <c r="AD167" s="18"/>
      <c r="AE167" s="18"/>
      <c r="AF167" s="18"/>
      <c r="AG167" s="18"/>
      <c r="AH167" s="18"/>
      <c r="AI167" s="18"/>
      <c r="AJ167" s="142"/>
      <c r="AK167" s="142"/>
      <c r="AL167" s="18"/>
      <c r="AM167" s="18"/>
      <c r="AN167" s="18"/>
      <c r="AO167" s="142"/>
    </row>
    <row r="168">
      <c r="A168" s="142"/>
      <c r="B168" s="18"/>
      <c r="C168" s="142"/>
      <c r="D168" s="18"/>
      <c r="E168" s="18"/>
      <c r="F168" s="18"/>
      <c r="G168" s="142"/>
      <c r="H168" s="18"/>
      <c r="I168" s="142"/>
      <c r="J168" s="15"/>
      <c r="Q168" s="15"/>
      <c r="R168" s="18"/>
      <c r="S168" s="142"/>
      <c r="T168" s="142"/>
      <c r="U168" s="142"/>
      <c r="V168" s="18"/>
      <c r="W168" s="18"/>
      <c r="X168" s="18"/>
      <c r="Y168" s="142"/>
      <c r="Z168" s="18"/>
      <c r="AA168" s="18"/>
      <c r="AB168" s="18"/>
      <c r="AC168" s="18"/>
      <c r="AD168" s="18"/>
      <c r="AE168" s="18"/>
      <c r="AF168" s="18"/>
      <c r="AG168" s="18"/>
      <c r="AH168" s="18"/>
      <c r="AI168" s="18"/>
      <c r="AJ168" s="142"/>
      <c r="AK168" s="142"/>
      <c r="AL168" s="18"/>
      <c r="AM168" s="18"/>
      <c r="AN168" s="18"/>
      <c r="AO168" s="142"/>
    </row>
    <row r="169">
      <c r="A169" s="142"/>
      <c r="B169" s="18"/>
      <c r="C169" s="142"/>
      <c r="D169" s="18"/>
      <c r="E169" s="18"/>
      <c r="F169" s="18"/>
      <c r="G169" s="142"/>
      <c r="H169" s="18"/>
      <c r="I169" s="142"/>
      <c r="J169" s="15"/>
      <c r="Q169" s="15"/>
      <c r="R169" s="18"/>
      <c r="S169" s="142"/>
      <c r="T169" s="142"/>
      <c r="U169" s="142"/>
      <c r="V169" s="18"/>
      <c r="W169" s="18"/>
      <c r="X169" s="18"/>
      <c r="Y169" s="142"/>
      <c r="Z169" s="18"/>
      <c r="AA169" s="18"/>
      <c r="AB169" s="18"/>
      <c r="AC169" s="18"/>
      <c r="AD169" s="18"/>
      <c r="AE169" s="18"/>
      <c r="AF169" s="18"/>
      <c r="AG169" s="18"/>
      <c r="AH169" s="18"/>
      <c r="AI169" s="18"/>
      <c r="AJ169" s="142"/>
      <c r="AK169" s="142"/>
      <c r="AL169" s="18"/>
      <c r="AM169" s="18"/>
      <c r="AN169" s="18"/>
      <c r="AO169" s="142"/>
    </row>
    <row r="170">
      <c r="A170" s="142"/>
      <c r="B170" s="18"/>
      <c r="C170" s="142"/>
      <c r="D170" s="18"/>
      <c r="E170" s="18"/>
      <c r="F170" s="18"/>
      <c r="G170" s="142"/>
      <c r="H170" s="18"/>
      <c r="I170" s="142"/>
      <c r="J170" s="15"/>
      <c r="Q170" s="15"/>
      <c r="R170" s="18"/>
      <c r="S170" s="142"/>
      <c r="T170" s="142"/>
      <c r="U170" s="142"/>
      <c r="V170" s="18"/>
      <c r="W170" s="18"/>
      <c r="X170" s="18"/>
      <c r="Y170" s="142"/>
      <c r="Z170" s="18"/>
      <c r="AA170" s="18"/>
      <c r="AB170" s="18"/>
      <c r="AC170" s="18"/>
      <c r="AD170" s="18"/>
      <c r="AE170" s="18"/>
      <c r="AF170" s="18"/>
      <c r="AG170" s="18"/>
      <c r="AH170" s="18"/>
      <c r="AI170" s="18"/>
      <c r="AJ170" s="142"/>
      <c r="AK170" s="142"/>
      <c r="AL170" s="18"/>
      <c r="AM170" s="18"/>
      <c r="AN170" s="18"/>
      <c r="AO170" s="142"/>
    </row>
    <row r="171">
      <c r="A171" s="142"/>
      <c r="B171" s="18"/>
      <c r="C171" s="142"/>
      <c r="D171" s="18"/>
      <c r="E171" s="18"/>
      <c r="F171" s="18"/>
      <c r="G171" s="142"/>
      <c r="H171" s="18"/>
      <c r="I171" s="142"/>
      <c r="J171" s="15"/>
      <c r="Q171" s="15"/>
      <c r="R171" s="18"/>
      <c r="S171" s="142"/>
      <c r="T171" s="142"/>
      <c r="U171" s="142"/>
      <c r="V171" s="18"/>
      <c r="W171" s="18"/>
      <c r="X171" s="18"/>
      <c r="Y171" s="142"/>
      <c r="Z171" s="18"/>
      <c r="AA171" s="18"/>
      <c r="AB171" s="18"/>
      <c r="AC171" s="18"/>
      <c r="AD171" s="18"/>
      <c r="AE171" s="18"/>
      <c r="AF171" s="18"/>
      <c r="AG171" s="18"/>
      <c r="AH171" s="18"/>
      <c r="AI171" s="18"/>
      <c r="AJ171" s="142"/>
      <c r="AK171" s="142"/>
      <c r="AL171" s="18"/>
      <c r="AM171" s="18"/>
      <c r="AN171" s="18"/>
      <c r="AO171" s="142"/>
    </row>
    <row r="172">
      <c r="A172" s="142"/>
      <c r="B172" s="18"/>
      <c r="C172" s="142"/>
      <c r="D172" s="18"/>
      <c r="E172" s="18"/>
      <c r="F172" s="18"/>
      <c r="G172" s="142"/>
      <c r="H172" s="18"/>
      <c r="I172" s="142"/>
      <c r="J172" s="15"/>
      <c r="Q172" s="15"/>
      <c r="R172" s="18"/>
      <c r="S172" s="142"/>
      <c r="T172" s="142"/>
      <c r="U172" s="142"/>
      <c r="V172" s="18"/>
      <c r="W172" s="18"/>
      <c r="X172" s="18"/>
      <c r="Y172" s="142"/>
      <c r="Z172" s="18"/>
      <c r="AA172" s="18"/>
      <c r="AB172" s="18"/>
      <c r="AC172" s="18"/>
      <c r="AD172" s="18"/>
      <c r="AE172" s="18"/>
      <c r="AF172" s="18"/>
      <c r="AG172" s="18"/>
      <c r="AH172" s="18"/>
      <c r="AI172" s="18"/>
      <c r="AJ172" s="142"/>
      <c r="AK172" s="142"/>
      <c r="AL172" s="18"/>
      <c r="AM172" s="18"/>
      <c r="AN172" s="18"/>
      <c r="AO172" s="142"/>
    </row>
    <row r="173">
      <c r="A173" s="142"/>
      <c r="B173" s="18"/>
      <c r="C173" s="142"/>
      <c r="D173" s="18"/>
      <c r="E173" s="18"/>
      <c r="F173" s="18"/>
      <c r="G173" s="142"/>
      <c r="H173" s="18"/>
      <c r="I173" s="142"/>
      <c r="J173" s="15"/>
      <c r="Q173" s="15"/>
      <c r="R173" s="18"/>
      <c r="S173" s="142"/>
      <c r="T173" s="142"/>
      <c r="U173" s="142"/>
      <c r="V173" s="18"/>
      <c r="W173" s="18"/>
      <c r="X173" s="18"/>
      <c r="Y173" s="142"/>
      <c r="Z173" s="18"/>
      <c r="AA173" s="18"/>
      <c r="AB173" s="18"/>
      <c r="AC173" s="18"/>
      <c r="AD173" s="18"/>
      <c r="AE173" s="18"/>
      <c r="AF173" s="18"/>
      <c r="AG173" s="18"/>
      <c r="AH173" s="18"/>
      <c r="AI173" s="18"/>
      <c r="AJ173" s="142"/>
      <c r="AK173" s="142"/>
      <c r="AL173" s="18"/>
      <c r="AM173" s="18"/>
      <c r="AN173" s="18"/>
      <c r="AO173" s="142"/>
    </row>
    <row r="174">
      <c r="A174" s="142"/>
      <c r="B174" s="18"/>
      <c r="C174" s="142"/>
      <c r="D174" s="18"/>
      <c r="E174" s="18"/>
      <c r="F174" s="18"/>
      <c r="G174" s="142"/>
      <c r="H174" s="18"/>
      <c r="I174" s="142"/>
      <c r="J174" s="15"/>
      <c r="Q174" s="15"/>
      <c r="R174" s="18"/>
      <c r="S174" s="142"/>
      <c r="T174" s="142"/>
      <c r="U174" s="142"/>
      <c r="V174" s="18"/>
      <c r="W174" s="18"/>
      <c r="X174" s="18"/>
      <c r="Y174" s="142"/>
      <c r="Z174" s="18"/>
      <c r="AA174" s="18"/>
      <c r="AB174" s="18"/>
      <c r="AC174" s="18"/>
      <c r="AD174" s="18"/>
      <c r="AE174" s="18"/>
      <c r="AF174" s="18"/>
      <c r="AG174" s="18"/>
      <c r="AH174" s="18"/>
      <c r="AI174" s="18"/>
      <c r="AJ174" s="142"/>
      <c r="AK174" s="142"/>
      <c r="AL174" s="18"/>
      <c r="AM174" s="18"/>
      <c r="AN174" s="18"/>
      <c r="AO174" s="142"/>
    </row>
    <row r="175">
      <c r="A175" s="142"/>
      <c r="B175" s="18"/>
      <c r="C175" s="142"/>
      <c r="D175" s="18"/>
      <c r="E175" s="18"/>
      <c r="F175" s="18"/>
      <c r="G175" s="142"/>
      <c r="H175" s="18"/>
      <c r="I175" s="142"/>
      <c r="J175" s="15"/>
      <c r="Q175" s="15"/>
      <c r="R175" s="18"/>
      <c r="S175" s="142"/>
      <c r="T175" s="142"/>
      <c r="U175" s="142"/>
      <c r="V175" s="18"/>
      <c r="W175" s="18"/>
      <c r="X175" s="18"/>
      <c r="Y175" s="142"/>
      <c r="Z175" s="18"/>
      <c r="AA175" s="18"/>
      <c r="AB175" s="18"/>
      <c r="AC175" s="18"/>
      <c r="AD175" s="18"/>
      <c r="AE175" s="18"/>
      <c r="AF175" s="18"/>
      <c r="AG175" s="18"/>
      <c r="AH175" s="18"/>
      <c r="AI175" s="18"/>
      <c r="AJ175" s="142"/>
      <c r="AK175" s="142"/>
      <c r="AL175" s="18"/>
      <c r="AM175" s="18"/>
      <c r="AN175" s="18"/>
      <c r="AO175" s="142"/>
    </row>
    <row r="176">
      <c r="A176" s="142"/>
      <c r="B176" s="18"/>
      <c r="C176" s="142"/>
      <c r="D176" s="18"/>
      <c r="E176" s="18"/>
      <c r="F176" s="18"/>
      <c r="G176" s="142"/>
      <c r="H176" s="18"/>
      <c r="I176" s="142"/>
      <c r="J176" s="15"/>
      <c r="Q176" s="15"/>
      <c r="R176" s="18"/>
      <c r="S176" s="142"/>
      <c r="T176" s="142"/>
      <c r="U176" s="142"/>
      <c r="V176" s="18"/>
      <c r="W176" s="18"/>
      <c r="X176" s="18"/>
      <c r="Y176" s="142"/>
      <c r="Z176" s="18"/>
      <c r="AA176" s="18"/>
      <c r="AB176" s="18"/>
      <c r="AC176" s="18"/>
      <c r="AD176" s="18"/>
      <c r="AE176" s="18"/>
      <c r="AF176" s="18"/>
      <c r="AG176" s="18"/>
      <c r="AH176" s="18"/>
      <c r="AI176" s="18"/>
      <c r="AJ176" s="142"/>
      <c r="AK176" s="142"/>
      <c r="AL176" s="18"/>
      <c r="AM176" s="18"/>
      <c r="AN176" s="18"/>
      <c r="AO176" s="142"/>
    </row>
    <row r="177">
      <c r="A177" s="142"/>
      <c r="B177" s="18"/>
      <c r="C177" s="142"/>
      <c r="D177" s="18"/>
      <c r="E177" s="18"/>
      <c r="F177" s="18"/>
      <c r="G177" s="142"/>
      <c r="H177" s="18"/>
      <c r="I177" s="142"/>
      <c r="J177" s="15"/>
      <c r="Q177" s="15"/>
      <c r="R177" s="18"/>
      <c r="S177" s="142"/>
      <c r="T177" s="142"/>
      <c r="U177" s="142"/>
      <c r="V177" s="18"/>
      <c r="W177" s="18"/>
      <c r="X177" s="18"/>
      <c r="Y177" s="142"/>
      <c r="Z177" s="18"/>
      <c r="AA177" s="18"/>
      <c r="AB177" s="18"/>
      <c r="AC177" s="18"/>
      <c r="AD177" s="18"/>
      <c r="AE177" s="18"/>
      <c r="AF177" s="18"/>
      <c r="AG177" s="18"/>
      <c r="AH177" s="18"/>
      <c r="AI177" s="18"/>
      <c r="AJ177" s="142"/>
      <c r="AK177" s="142"/>
      <c r="AL177" s="18"/>
      <c r="AM177" s="18"/>
      <c r="AN177" s="18"/>
      <c r="AO177" s="142"/>
    </row>
    <row r="178">
      <c r="A178" s="142"/>
      <c r="B178" s="18"/>
      <c r="C178" s="142"/>
      <c r="D178" s="18"/>
      <c r="E178" s="18"/>
      <c r="F178" s="18"/>
      <c r="G178" s="142"/>
      <c r="H178" s="18"/>
      <c r="I178" s="142"/>
      <c r="J178" s="15"/>
      <c r="Q178" s="15"/>
      <c r="R178" s="18"/>
      <c r="S178" s="142"/>
      <c r="T178" s="142"/>
      <c r="U178" s="142"/>
      <c r="V178" s="18"/>
      <c r="W178" s="18"/>
      <c r="X178" s="18"/>
      <c r="Y178" s="142"/>
      <c r="Z178" s="18"/>
      <c r="AA178" s="18"/>
      <c r="AB178" s="18"/>
      <c r="AC178" s="18"/>
      <c r="AD178" s="18"/>
      <c r="AE178" s="18"/>
      <c r="AF178" s="18"/>
      <c r="AG178" s="18"/>
      <c r="AH178" s="18"/>
      <c r="AI178" s="18"/>
      <c r="AJ178" s="142"/>
      <c r="AK178" s="142"/>
      <c r="AL178" s="18"/>
      <c r="AM178" s="18"/>
      <c r="AN178" s="18"/>
      <c r="AO178" s="142"/>
    </row>
    <row r="179">
      <c r="A179" s="142"/>
      <c r="B179" s="18"/>
      <c r="C179" s="142"/>
      <c r="D179" s="18"/>
      <c r="E179" s="18"/>
      <c r="F179" s="18"/>
      <c r="G179" s="142"/>
      <c r="H179" s="18"/>
      <c r="I179" s="142"/>
      <c r="J179" s="15"/>
      <c r="Q179" s="15"/>
      <c r="R179" s="18"/>
      <c r="S179" s="142"/>
      <c r="T179" s="142"/>
      <c r="U179" s="142"/>
      <c r="V179" s="18"/>
      <c r="W179" s="18"/>
      <c r="X179" s="18"/>
      <c r="Y179" s="142"/>
      <c r="Z179" s="18"/>
      <c r="AA179" s="18"/>
      <c r="AB179" s="18"/>
      <c r="AC179" s="18"/>
      <c r="AD179" s="18"/>
      <c r="AE179" s="18"/>
      <c r="AF179" s="18"/>
      <c r="AG179" s="18"/>
      <c r="AH179" s="18"/>
      <c r="AI179" s="18"/>
      <c r="AJ179" s="142"/>
      <c r="AK179" s="142"/>
      <c r="AL179" s="18"/>
      <c r="AM179" s="18"/>
      <c r="AN179" s="18"/>
      <c r="AO179" s="142"/>
    </row>
    <row r="180">
      <c r="A180" s="142"/>
      <c r="B180" s="18"/>
      <c r="C180" s="142"/>
      <c r="D180" s="18"/>
      <c r="E180" s="18"/>
      <c r="F180" s="18"/>
      <c r="G180" s="142"/>
      <c r="H180" s="18"/>
      <c r="I180" s="142"/>
      <c r="J180" s="15"/>
      <c r="Q180" s="15"/>
      <c r="R180" s="18"/>
      <c r="S180" s="142"/>
      <c r="T180" s="142"/>
      <c r="U180" s="142"/>
      <c r="V180" s="18"/>
      <c r="W180" s="18"/>
      <c r="X180" s="18"/>
      <c r="Y180" s="142"/>
      <c r="Z180" s="18"/>
      <c r="AA180" s="18"/>
      <c r="AB180" s="18"/>
      <c r="AC180" s="18"/>
      <c r="AD180" s="18"/>
      <c r="AE180" s="18"/>
      <c r="AF180" s="18"/>
      <c r="AG180" s="18"/>
      <c r="AH180" s="18"/>
      <c r="AI180" s="18"/>
      <c r="AJ180" s="142"/>
      <c r="AK180" s="142"/>
      <c r="AL180" s="18"/>
      <c r="AM180" s="18"/>
      <c r="AN180" s="18"/>
      <c r="AO180" s="142"/>
    </row>
    <row r="181">
      <c r="A181" s="142"/>
      <c r="B181" s="18"/>
      <c r="C181" s="142"/>
      <c r="D181" s="18"/>
      <c r="E181" s="18"/>
      <c r="F181" s="18"/>
      <c r="G181" s="142"/>
      <c r="H181" s="18"/>
      <c r="I181" s="142"/>
      <c r="J181" s="15"/>
      <c r="Q181" s="15"/>
      <c r="R181" s="18"/>
      <c r="S181" s="142"/>
      <c r="T181" s="142"/>
      <c r="U181" s="142"/>
      <c r="V181" s="18"/>
      <c r="W181" s="18"/>
      <c r="X181" s="18"/>
      <c r="Y181" s="142"/>
      <c r="Z181" s="18"/>
      <c r="AA181" s="18"/>
      <c r="AB181" s="18"/>
      <c r="AC181" s="18"/>
      <c r="AD181" s="18"/>
      <c r="AE181" s="18"/>
      <c r="AF181" s="18"/>
      <c r="AG181" s="18"/>
      <c r="AH181" s="18"/>
      <c r="AI181" s="18"/>
      <c r="AJ181" s="142"/>
      <c r="AK181" s="142"/>
      <c r="AL181" s="18"/>
      <c r="AM181" s="18"/>
      <c r="AN181" s="18"/>
      <c r="AO181" s="142"/>
    </row>
    <row r="182">
      <c r="A182" s="142"/>
      <c r="B182" s="18"/>
      <c r="C182" s="142"/>
      <c r="D182" s="18"/>
      <c r="E182" s="18"/>
      <c r="F182" s="18"/>
      <c r="G182" s="142"/>
      <c r="H182" s="18"/>
      <c r="I182" s="142"/>
      <c r="J182" s="15"/>
      <c r="Q182" s="15"/>
      <c r="R182" s="18"/>
      <c r="S182" s="142"/>
      <c r="T182" s="142"/>
      <c r="U182" s="142"/>
      <c r="V182" s="18"/>
      <c r="W182" s="18"/>
      <c r="X182" s="18"/>
      <c r="Y182" s="142"/>
      <c r="Z182" s="18"/>
      <c r="AA182" s="18"/>
      <c r="AB182" s="18"/>
      <c r="AC182" s="18"/>
      <c r="AD182" s="18"/>
      <c r="AE182" s="18"/>
      <c r="AF182" s="18"/>
      <c r="AG182" s="18"/>
      <c r="AH182" s="18"/>
      <c r="AI182" s="18"/>
      <c r="AJ182" s="142"/>
      <c r="AK182" s="142"/>
      <c r="AL182" s="18"/>
      <c r="AM182" s="18"/>
      <c r="AN182" s="18"/>
      <c r="AO182" s="142"/>
    </row>
    <row r="183">
      <c r="A183" s="142"/>
      <c r="B183" s="18"/>
      <c r="C183" s="142"/>
      <c r="D183" s="18"/>
      <c r="E183" s="18"/>
      <c r="F183" s="18"/>
      <c r="G183" s="142"/>
      <c r="H183" s="18"/>
      <c r="I183" s="142"/>
      <c r="J183" s="15"/>
      <c r="Q183" s="15"/>
      <c r="R183" s="18"/>
      <c r="S183" s="142"/>
      <c r="T183" s="142"/>
      <c r="U183" s="142"/>
      <c r="V183" s="18"/>
      <c r="W183" s="18"/>
      <c r="X183" s="18"/>
      <c r="Y183" s="142"/>
      <c r="Z183" s="18"/>
      <c r="AA183" s="18"/>
      <c r="AB183" s="18"/>
      <c r="AC183" s="18"/>
      <c r="AD183" s="18"/>
      <c r="AE183" s="18"/>
      <c r="AF183" s="18"/>
      <c r="AG183" s="18"/>
      <c r="AH183" s="18"/>
      <c r="AI183" s="18"/>
      <c r="AJ183" s="142"/>
      <c r="AK183" s="142"/>
      <c r="AL183" s="18"/>
      <c r="AM183" s="18"/>
      <c r="AN183" s="18"/>
      <c r="AO183" s="142"/>
    </row>
    <row r="184">
      <c r="A184" s="142"/>
      <c r="B184" s="18"/>
      <c r="C184" s="142"/>
      <c r="D184" s="18"/>
      <c r="E184" s="18"/>
      <c r="F184" s="18"/>
      <c r="G184" s="142"/>
      <c r="H184" s="18"/>
      <c r="I184" s="142"/>
      <c r="J184" s="15"/>
      <c r="Q184" s="15"/>
      <c r="R184" s="18"/>
      <c r="S184" s="142"/>
      <c r="T184" s="142"/>
      <c r="U184" s="142"/>
      <c r="V184" s="18"/>
      <c r="W184" s="18"/>
      <c r="X184" s="18"/>
      <c r="Y184" s="142"/>
      <c r="Z184" s="18"/>
      <c r="AA184" s="18"/>
      <c r="AB184" s="18"/>
      <c r="AC184" s="18"/>
      <c r="AD184" s="18"/>
      <c r="AE184" s="18"/>
      <c r="AF184" s="18"/>
      <c r="AG184" s="18"/>
      <c r="AH184" s="18"/>
      <c r="AI184" s="18"/>
      <c r="AJ184" s="142"/>
      <c r="AK184" s="142"/>
      <c r="AL184" s="18"/>
      <c r="AM184" s="18"/>
      <c r="AN184" s="18"/>
      <c r="AO184" s="142"/>
    </row>
    <row r="185">
      <c r="A185" s="142"/>
      <c r="B185" s="18"/>
      <c r="C185" s="142"/>
      <c r="D185" s="18"/>
      <c r="E185" s="18"/>
      <c r="F185" s="18"/>
      <c r="G185" s="142"/>
      <c r="H185" s="18"/>
      <c r="I185" s="142"/>
      <c r="J185" s="15"/>
      <c r="Q185" s="15"/>
      <c r="R185" s="18"/>
      <c r="S185" s="142"/>
      <c r="T185" s="142"/>
      <c r="U185" s="142"/>
      <c r="V185" s="18"/>
      <c r="W185" s="18"/>
      <c r="X185" s="18"/>
      <c r="Y185" s="142"/>
      <c r="Z185" s="18"/>
      <c r="AA185" s="18"/>
      <c r="AB185" s="18"/>
      <c r="AC185" s="18"/>
      <c r="AD185" s="18"/>
      <c r="AE185" s="18"/>
      <c r="AF185" s="18"/>
      <c r="AG185" s="18"/>
      <c r="AH185" s="18"/>
      <c r="AI185" s="18"/>
      <c r="AJ185" s="142"/>
      <c r="AK185" s="142"/>
      <c r="AL185" s="18"/>
      <c r="AM185" s="18"/>
      <c r="AN185" s="18"/>
      <c r="AO185" s="142"/>
    </row>
    <row r="186">
      <c r="A186" s="142"/>
      <c r="B186" s="18"/>
      <c r="C186" s="142"/>
      <c r="D186" s="18"/>
      <c r="E186" s="18"/>
      <c r="F186" s="18"/>
      <c r="G186" s="142"/>
      <c r="H186" s="18"/>
      <c r="I186" s="142"/>
      <c r="J186" s="15"/>
      <c r="Q186" s="15"/>
      <c r="R186" s="18"/>
      <c r="S186" s="142"/>
      <c r="T186" s="142"/>
      <c r="U186" s="142"/>
      <c r="V186" s="18"/>
      <c r="W186" s="18"/>
      <c r="X186" s="18"/>
      <c r="Y186" s="142"/>
      <c r="Z186" s="18"/>
      <c r="AA186" s="18"/>
      <c r="AB186" s="18"/>
      <c r="AC186" s="18"/>
      <c r="AD186" s="18"/>
      <c r="AE186" s="18"/>
      <c r="AF186" s="18"/>
      <c r="AG186" s="18"/>
      <c r="AH186" s="18"/>
      <c r="AI186" s="18"/>
      <c r="AJ186" s="142"/>
      <c r="AK186" s="142"/>
      <c r="AL186" s="18"/>
      <c r="AM186" s="18"/>
      <c r="AN186" s="18"/>
      <c r="AO186" s="142"/>
    </row>
    <row r="187">
      <c r="A187" s="142"/>
      <c r="B187" s="18"/>
      <c r="C187" s="142"/>
      <c r="D187" s="18"/>
      <c r="E187" s="18"/>
      <c r="F187" s="18"/>
      <c r="G187" s="142"/>
      <c r="H187" s="18"/>
      <c r="I187" s="142"/>
      <c r="J187" s="15"/>
      <c r="Q187" s="15"/>
      <c r="R187" s="18"/>
      <c r="S187" s="142"/>
      <c r="T187" s="142"/>
      <c r="U187" s="142"/>
      <c r="V187" s="18"/>
      <c r="W187" s="18"/>
      <c r="X187" s="18"/>
      <c r="Y187" s="142"/>
      <c r="Z187" s="18"/>
      <c r="AA187" s="18"/>
      <c r="AB187" s="18"/>
      <c r="AC187" s="18"/>
      <c r="AD187" s="18"/>
      <c r="AE187" s="18"/>
      <c r="AF187" s="18"/>
      <c r="AG187" s="18"/>
      <c r="AH187" s="18"/>
      <c r="AI187" s="18"/>
      <c r="AJ187" s="142"/>
      <c r="AK187" s="142"/>
      <c r="AL187" s="18"/>
      <c r="AM187" s="18"/>
      <c r="AN187" s="18"/>
      <c r="AO187" s="142"/>
    </row>
    <row r="188">
      <c r="A188" s="142"/>
      <c r="B188" s="18"/>
      <c r="C188" s="142"/>
      <c r="D188" s="18"/>
      <c r="E188" s="18"/>
      <c r="F188" s="18"/>
      <c r="G188" s="142"/>
      <c r="H188" s="18"/>
      <c r="I188" s="142"/>
      <c r="J188" s="15"/>
      <c r="Q188" s="15"/>
      <c r="R188" s="18"/>
      <c r="S188" s="142"/>
      <c r="T188" s="142"/>
      <c r="U188" s="142"/>
      <c r="V188" s="18"/>
      <c r="W188" s="18"/>
      <c r="X188" s="18"/>
      <c r="Y188" s="142"/>
      <c r="Z188" s="18"/>
      <c r="AA188" s="18"/>
      <c r="AB188" s="18"/>
      <c r="AC188" s="18"/>
      <c r="AD188" s="18"/>
      <c r="AE188" s="18"/>
      <c r="AF188" s="18"/>
      <c r="AG188" s="18"/>
      <c r="AH188" s="18"/>
      <c r="AI188" s="18"/>
      <c r="AJ188" s="142"/>
      <c r="AK188" s="142"/>
      <c r="AL188" s="18"/>
      <c r="AM188" s="18"/>
      <c r="AN188" s="18"/>
      <c r="AO188" s="142"/>
    </row>
    <row r="189">
      <c r="A189" s="142"/>
      <c r="B189" s="18"/>
      <c r="C189" s="142"/>
      <c r="D189" s="18"/>
      <c r="E189" s="18"/>
      <c r="F189" s="18"/>
      <c r="G189" s="142"/>
      <c r="H189" s="18"/>
      <c r="I189" s="142"/>
      <c r="J189" s="15"/>
      <c r="Q189" s="15"/>
      <c r="R189" s="18"/>
      <c r="S189" s="142"/>
      <c r="T189" s="142"/>
      <c r="U189" s="142"/>
      <c r="V189" s="18"/>
      <c r="W189" s="18"/>
      <c r="X189" s="18"/>
      <c r="Y189" s="142"/>
      <c r="Z189" s="18"/>
      <c r="AA189" s="18"/>
      <c r="AB189" s="18"/>
      <c r="AC189" s="18"/>
      <c r="AD189" s="18"/>
      <c r="AE189" s="18"/>
      <c r="AF189" s="18"/>
      <c r="AG189" s="18"/>
      <c r="AH189" s="18"/>
      <c r="AI189" s="18"/>
      <c r="AJ189" s="142"/>
      <c r="AK189" s="142"/>
      <c r="AL189" s="18"/>
      <c r="AM189" s="18"/>
      <c r="AN189" s="18"/>
      <c r="AO189" s="142"/>
    </row>
    <row r="190">
      <c r="A190" s="142"/>
      <c r="B190" s="18"/>
      <c r="C190" s="142"/>
      <c r="D190" s="18"/>
      <c r="E190" s="18"/>
      <c r="F190" s="18"/>
      <c r="G190" s="142"/>
      <c r="H190" s="18"/>
      <c r="I190" s="142"/>
      <c r="J190" s="15"/>
      <c r="Q190" s="15"/>
      <c r="R190" s="18"/>
      <c r="S190" s="142"/>
      <c r="T190" s="142"/>
      <c r="U190" s="142"/>
      <c r="V190" s="18"/>
      <c r="W190" s="18"/>
      <c r="X190" s="18"/>
      <c r="Y190" s="142"/>
      <c r="Z190" s="18"/>
      <c r="AA190" s="18"/>
      <c r="AB190" s="18"/>
      <c r="AC190" s="18"/>
      <c r="AD190" s="18"/>
      <c r="AE190" s="18"/>
      <c r="AF190" s="18"/>
      <c r="AG190" s="18"/>
      <c r="AH190" s="18"/>
      <c r="AI190" s="18"/>
      <c r="AJ190" s="142"/>
      <c r="AK190" s="142"/>
      <c r="AL190" s="18"/>
      <c r="AM190" s="18"/>
      <c r="AN190" s="18"/>
      <c r="AO190" s="142"/>
    </row>
    <row r="191">
      <c r="A191" s="142"/>
      <c r="B191" s="18"/>
      <c r="C191" s="142"/>
      <c r="D191" s="18"/>
      <c r="E191" s="18"/>
      <c r="F191" s="18"/>
      <c r="G191" s="142"/>
      <c r="H191" s="18"/>
      <c r="I191" s="142"/>
      <c r="J191" s="15"/>
      <c r="Q191" s="15"/>
      <c r="R191" s="18"/>
      <c r="S191" s="142"/>
      <c r="T191" s="142"/>
      <c r="U191" s="142"/>
      <c r="V191" s="18"/>
      <c r="W191" s="18"/>
      <c r="X191" s="18"/>
      <c r="Y191" s="142"/>
      <c r="Z191" s="18"/>
      <c r="AA191" s="18"/>
      <c r="AB191" s="18"/>
      <c r="AC191" s="18"/>
      <c r="AD191" s="18"/>
      <c r="AE191" s="18"/>
      <c r="AF191" s="18"/>
      <c r="AG191" s="18"/>
      <c r="AH191" s="18"/>
      <c r="AI191" s="18"/>
      <c r="AJ191" s="142"/>
      <c r="AK191" s="142"/>
      <c r="AL191" s="18"/>
      <c r="AM191" s="18"/>
      <c r="AN191" s="18"/>
      <c r="AO191" s="142"/>
    </row>
    <row r="192">
      <c r="A192" s="142"/>
      <c r="B192" s="18"/>
      <c r="C192" s="142"/>
      <c r="D192" s="18"/>
      <c r="E192" s="18"/>
      <c r="F192" s="18"/>
      <c r="G192" s="142"/>
      <c r="H192" s="18"/>
      <c r="I192" s="142"/>
      <c r="J192" s="15"/>
      <c r="Q192" s="15"/>
      <c r="R192" s="18"/>
      <c r="S192" s="142"/>
      <c r="T192" s="142"/>
      <c r="U192" s="142"/>
      <c r="V192" s="18"/>
      <c r="W192" s="18"/>
      <c r="X192" s="18"/>
      <c r="Y192" s="142"/>
      <c r="Z192" s="18"/>
      <c r="AA192" s="18"/>
      <c r="AB192" s="18"/>
      <c r="AC192" s="18"/>
      <c r="AD192" s="18"/>
      <c r="AE192" s="18"/>
      <c r="AF192" s="18"/>
      <c r="AG192" s="18"/>
      <c r="AH192" s="18"/>
      <c r="AI192" s="18"/>
      <c r="AJ192" s="142"/>
      <c r="AK192" s="142"/>
      <c r="AL192" s="18"/>
      <c r="AM192" s="18"/>
      <c r="AN192" s="18"/>
      <c r="AO192" s="142"/>
    </row>
    <row r="193">
      <c r="A193" s="142"/>
      <c r="B193" s="18"/>
      <c r="C193" s="142"/>
      <c r="D193" s="18"/>
      <c r="E193" s="18"/>
      <c r="F193" s="18"/>
      <c r="G193" s="142"/>
      <c r="H193" s="18"/>
      <c r="I193" s="142"/>
      <c r="J193" s="15"/>
      <c r="Q193" s="15"/>
      <c r="R193" s="18"/>
      <c r="S193" s="142"/>
      <c r="T193" s="142"/>
      <c r="U193" s="142"/>
      <c r="V193" s="18"/>
      <c r="W193" s="18"/>
      <c r="X193" s="18"/>
      <c r="Y193" s="142"/>
      <c r="Z193" s="18"/>
      <c r="AA193" s="18"/>
      <c r="AB193" s="18"/>
      <c r="AC193" s="18"/>
      <c r="AD193" s="18"/>
      <c r="AE193" s="18"/>
      <c r="AF193" s="18"/>
      <c r="AG193" s="18"/>
      <c r="AH193" s="18"/>
      <c r="AI193" s="18"/>
      <c r="AJ193" s="142"/>
      <c r="AK193" s="142"/>
      <c r="AL193" s="18"/>
      <c r="AM193" s="18"/>
      <c r="AN193" s="18"/>
      <c r="AO193" s="142"/>
    </row>
    <row r="194">
      <c r="A194" s="142"/>
      <c r="B194" s="18"/>
      <c r="C194" s="142"/>
      <c r="D194" s="18"/>
      <c r="E194" s="18"/>
      <c r="F194" s="18"/>
      <c r="G194" s="142"/>
      <c r="H194" s="18"/>
      <c r="I194" s="142"/>
      <c r="J194" s="15"/>
      <c r="Q194" s="15"/>
      <c r="R194" s="18"/>
      <c r="S194" s="142"/>
      <c r="T194" s="142"/>
      <c r="U194" s="142"/>
      <c r="V194" s="18"/>
      <c r="W194" s="18"/>
      <c r="X194" s="18"/>
      <c r="Y194" s="142"/>
      <c r="Z194" s="18"/>
      <c r="AA194" s="18"/>
      <c r="AB194" s="18"/>
      <c r="AC194" s="18"/>
      <c r="AD194" s="18"/>
      <c r="AE194" s="18"/>
      <c r="AF194" s="18"/>
      <c r="AG194" s="18"/>
      <c r="AH194" s="18"/>
      <c r="AI194" s="18"/>
      <c r="AJ194" s="142"/>
      <c r="AK194" s="142"/>
      <c r="AL194" s="18"/>
      <c r="AM194" s="18"/>
      <c r="AN194" s="18"/>
      <c r="AO194" s="142"/>
    </row>
    <row r="195">
      <c r="A195" s="142"/>
      <c r="B195" s="18"/>
      <c r="C195" s="142"/>
      <c r="D195" s="18"/>
      <c r="E195" s="18"/>
      <c r="F195" s="18"/>
      <c r="G195" s="142"/>
      <c r="H195" s="18"/>
      <c r="I195" s="142"/>
      <c r="J195" s="15"/>
      <c r="Q195" s="15"/>
      <c r="R195" s="18"/>
      <c r="S195" s="142"/>
      <c r="T195" s="142"/>
      <c r="U195" s="142"/>
      <c r="V195" s="18"/>
      <c r="W195" s="18"/>
      <c r="X195" s="18"/>
      <c r="Y195" s="142"/>
      <c r="Z195" s="18"/>
      <c r="AA195" s="18"/>
      <c r="AB195" s="18"/>
      <c r="AC195" s="18"/>
      <c r="AD195" s="18"/>
      <c r="AE195" s="18"/>
      <c r="AF195" s="18"/>
      <c r="AG195" s="18"/>
      <c r="AH195" s="18"/>
      <c r="AI195" s="18"/>
      <c r="AJ195" s="142"/>
      <c r="AK195" s="142"/>
      <c r="AL195" s="18"/>
      <c r="AM195" s="18"/>
      <c r="AN195" s="18"/>
      <c r="AO195" s="142"/>
    </row>
    <row r="196">
      <c r="A196" s="142"/>
      <c r="B196" s="18"/>
      <c r="C196" s="142"/>
      <c r="D196" s="18"/>
      <c r="E196" s="18"/>
      <c r="F196" s="18"/>
      <c r="G196" s="142"/>
      <c r="H196" s="18"/>
      <c r="I196" s="142"/>
      <c r="J196" s="15"/>
      <c r="Q196" s="15"/>
      <c r="R196" s="18"/>
      <c r="S196" s="142"/>
      <c r="T196" s="142"/>
      <c r="U196" s="142"/>
      <c r="V196" s="18"/>
      <c r="W196" s="18"/>
      <c r="X196" s="18"/>
      <c r="Y196" s="142"/>
      <c r="Z196" s="18"/>
      <c r="AA196" s="18"/>
      <c r="AB196" s="18"/>
      <c r="AC196" s="18"/>
      <c r="AD196" s="18"/>
      <c r="AE196" s="18"/>
      <c r="AF196" s="18"/>
      <c r="AG196" s="18"/>
      <c r="AH196" s="18"/>
      <c r="AI196" s="18"/>
      <c r="AJ196" s="142"/>
      <c r="AK196" s="142"/>
      <c r="AL196" s="18"/>
      <c r="AM196" s="18"/>
      <c r="AN196" s="18"/>
      <c r="AO196" s="142"/>
    </row>
    <row r="197">
      <c r="A197" s="142"/>
      <c r="B197" s="18"/>
      <c r="C197" s="142"/>
      <c r="D197" s="18"/>
      <c r="E197" s="18"/>
      <c r="F197" s="18"/>
      <c r="G197" s="142"/>
      <c r="H197" s="18"/>
      <c r="I197" s="142"/>
      <c r="J197" s="15"/>
      <c r="Q197" s="15"/>
      <c r="R197" s="18"/>
      <c r="S197" s="142"/>
      <c r="T197" s="142"/>
      <c r="U197" s="142"/>
      <c r="V197" s="18"/>
      <c r="W197" s="18"/>
      <c r="X197" s="18"/>
      <c r="Y197" s="142"/>
      <c r="Z197" s="18"/>
      <c r="AA197" s="18"/>
      <c r="AB197" s="18"/>
      <c r="AC197" s="18"/>
      <c r="AD197" s="18"/>
      <c r="AE197" s="18"/>
      <c r="AF197" s="18"/>
      <c r="AG197" s="18"/>
      <c r="AH197" s="18"/>
      <c r="AI197" s="18"/>
      <c r="AJ197" s="142"/>
      <c r="AK197" s="142"/>
      <c r="AL197" s="18"/>
      <c r="AM197" s="18"/>
      <c r="AN197" s="18"/>
      <c r="AO197" s="142"/>
    </row>
    <row r="198">
      <c r="A198" s="142"/>
      <c r="B198" s="18"/>
      <c r="C198" s="142"/>
      <c r="D198" s="18"/>
      <c r="E198" s="18"/>
      <c r="F198" s="18"/>
      <c r="G198" s="142"/>
      <c r="H198" s="18"/>
      <c r="I198" s="142"/>
      <c r="J198" s="15"/>
      <c r="Q198" s="15"/>
      <c r="R198" s="18"/>
      <c r="S198" s="142"/>
      <c r="T198" s="142"/>
      <c r="U198" s="142"/>
      <c r="V198" s="18"/>
      <c r="W198" s="18"/>
      <c r="X198" s="18"/>
      <c r="Y198" s="142"/>
      <c r="Z198" s="18"/>
      <c r="AA198" s="18"/>
      <c r="AB198" s="18"/>
      <c r="AC198" s="18"/>
      <c r="AD198" s="18"/>
      <c r="AE198" s="18"/>
      <c r="AF198" s="18"/>
      <c r="AG198" s="18"/>
      <c r="AH198" s="18"/>
      <c r="AI198" s="18"/>
      <c r="AJ198" s="142"/>
      <c r="AK198" s="142"/>
      <c r="AL198" s="18"/>
      <c r="AM198" s="18"/>
      <c r="AN198" s="18"/>
      <c r="AO198" s="142"/>
    </row>
    <row r="199">
      <c r="A199" s="142"/>
      <c r="B199" s="18"/>
      <c r="C199" s="142"/>
      <c r="D199" s="18"/>
      <c r="E199" s="18"/>
      <c r="F199" s="18"/>
      <c r="G199" s="142"/>
      <c r="H199" s="18"/>
      <c r="I199" s="142"/>
      <c r="J199" s="15"/>
      <c r="Q199" s="15"/>
      <c r="R199" s="18"/>
      <c r="S199" s="142"/>
      <c r="T199" s="142"/>
      <c r="U199" s="142"/>
      <c r="V199" s="18"/>
      <c r="W199" s="18"/>
      <c r="X199" s="18"/>
      <c r="Y199" s="142"/>
      <c r="Z199" s="18"/>
      <c r="AA199" s="18"/>
      <c r="AB199" s="18"/>
      <c r="AC199" s="18"/>
      <c r="AD199" s="18"/>
      <c r="AE199" s="18"/>
      <c r="AF199" s="18"/>
      <c r="AG199" s="18"/>
      <c r="AH199" s="18"/>
      <c r="AI199" s="18"/>
      <c r="AJ199" s="142"/>
      <c r="AK199" s="142"/>
      <c r="AL199" s="18"/>
      <c r="AM199" s="18"/>
      <c r="AN199" s="18"/>
      <c r="AO199" s="142"/>
    </row>
    <row r="200">
      <c r="A200" s="142"/>
      <c r="B200" s="18"/>
      <c r="C200" s="142"/>
      <c r="D200" s="18"/>
      <c r="E200" s="18"/>
      <c r="F200" s="18"/>
      <c r="G200" s="142"/>
      <c r="H200" s="18"/>
      <c r="I200" s="142"/>
      <c r="J200" s="15"/>
      <c r="Q200" s="15"/>
      <c r="R200" s="18"/>
      <c r="S200" s="142"/>
      <c r="T200" s="142"/>
      <c r="U200" s="142"/>
      <c r="V200" s="18"/>
      <c r="W200" s="18"/>
      <c r="X200" s="18"/>
      <c r="Y200" s="142"/>
      <c r="Z200" s="18"/>
      <c r="AA200" s="18"/>
      <c r="AB200" s="18"/>
      <c r="AC200" s="18"/>
      <c r="AD200" s="18"/>
      <c r="AE200" s="18"/>
      <c r="AF200" s="18"/>
      <c r="AG200" s="18"/>
      <c r="AH200" s="18"/>
      <c r="AI200" s="18"/>
      <c r="AJ200" s="142"/>
      <c r="AK200" s="142"/>
      <c r="AL200" s="18"/>
      <c r="AM200" s="18"/>
      <c r="AN200" s="18"/>
      <c r="AO200" s="142"/>
    </row>
    <row r="201">
      <c r="A201" s="142"/>
      <c r="B201" s="18"/>
      <c r="C201" s="142"/>
      <c r="D201" s="18"/>
      <c r="E201" s="18"/>
      <c r="F201" s="18"/>
      <c r="G201" s="142"/>
      <c r="H201" s="18"/>
      <c r="I201" s="142"/>
      <c r="J201" s="15"/>
      <c r="Q201" s="15"/>
      <c r="R201" s="18"/>
      <c r="S201" s="142"/>
      <c r="T201" s="142"/>
      <c r="U201" s="142"/>
      <c r="V201" s="18"/>
      <c r="W201" s="18"/>
      <c r="X201" s="18"/>
      <c r="Y201" s="142"/>
      <c r="Z201" s="18"/>
      <c r="AA201" s="18"/>
      <c r="AB201" s="18"/>
      <c r="AC201" s="18"/>
      <c r="AD201" s="18"/>
      <c r="AE201" s="18"/>
      <c r="AF201" s="18"/>
      <c r="AG201" s="18"/>
      <c r="AH201" s="18"/>
      <c r="AI201" s="18"/>
      <c r="AJ201" s="142"/>
      <c r="AK201" s="142"/>
      <c r="AL201" s="18"/>
      <c r="AM201" s="18"/>
      <c r="AN201" s="18"/>
      <c r="AO201" s="142"/>
    </row>
    <row r="202">
      <c r="A202" s="142"/>
      <c r="B202" s="18"/>
      <c r="C202" s="142"/>
      <c r="D202" s="18"/>
      <c r="E202" s="18"/>
      <c r="F202" s="18"/>
      <c r="G202" s="142"/>
      <c r="H202" s="18"/>
      <c r="I202" s="142"/>
      <c r="J202" s="15"/>
      <c r="Q202" s="15"/>
      <c r="R202" s="18"/>
      <c r="S202" s="142"/>
      <c r="T202" s="142"/>
      <c r="U202" s="142"/>
      <c r="V202" s="18"/>
      <c r="W202" s="18"/>
      <c r="X202" s="18"/>
      <c r="Y202" s="142"/>
      <c r="Z202" s="18"/>
      <c r="AA202" s="18"/>
      <c r="AB202" s="18"/>
      <c r="AC202" s="18"/>
      <c r="AD202" s="18"/>
      <c r="AE202" s="18"/>
      <c r="AF202" s="18"/>
      <c r="AG202" s="18"/>
      <c r="AH202" s="18"/>
      <c r="AI202" s="18"/>
      <c r="AJ202" s="142"/>
      <c r="AK202" s="142"/>
      <c r="AL202" s="18"/>
      <c r="AM202" s="18"/>
      <c r="AN202" s="18"/>
      <c r="AO202" s="142"/>
    </row>
    <row r="203">
      <c r="A203" s="142"/>
      <c r="B203" s="18"/>
      <c r="C203" s="142"/>
      <c r="D203" s="18"/>
      <c r="E203" s="18"/>
      <c r="F203" s="18"/>
      <c r="G203" s="142"/>
      <c r="H203" s="18"/>
      <c r="I203" s="142"/>
      <c r="J203" s="15"/>
      <c r="Q203" s="15"/>
      <c r="R203" s="18"/>
      <c r="S203" s="142"/>
      <c r="T203" s="142"/>
      <c r="U203" s="142"/>
      <c r="V203" s="18"/>
      <c r="W203" s="18"/>
      <c r="X203" s="18"/>
      <c r="Y203" s="142"/>
      <c r="Z203" s="18"/>
      <c r="AA203" s="18"/>
      <c r="AB203" s="18"/>
      <c r="AC203" s="18"/>
      <c r="AD203" s="18"/>
      <c r="AE203" s="18"/>
      <c r="AF203" s="18"/>
      <c r="AG203" s="18"/>
      <c r="AH203" s="18"/>
      <c r="AI203" s="18"/>
      <c r="AJ203" s="142"/>
      <c r="AK203" s="142"/>
      <c r="AL203" s="18"/>
      <c r="AM203" s="18"/>
      <c r="AN203" s="18"/>
      <c r="AO203" s="142"/>
    </row>
    <row r="204">
      <c r="A204" s="142"/>
      <c r="B204" s="18"/>
      <c r="C204" s="142"/>
      <c r="D204" s="18"/>
      <c r="E204" s="18"/>
      <c r="F204" s="18"/>
      <c r="G204" s="142"/>
      <c r="H204" s="18"/>
      <c r="I204" s="142"/>
      <c r="J204" s="15"/>
      <c r="Q204" s="15"/>
      <c r="R204" s="18"/>
      <c r="S204" s="142"/>
      <c r="T204" s="142"/>
      <c r="U204" s="142"/>
      <c r="V204" s="18"/>
      <c r="W204" s="18"/>
      <c r="X204" s="18"/>
      <c r="Y204" s="142"/>
      <c r="Z204" s="18"/>
      <c r="AA204" s="18"/>
      <c r="AB204" s="18"/>
      <c r="AC204" s="18"/>
      <c r="AD204" s="18"/>
      <c r="AE204" s="18"/>
      <c r="AF204" s="18"/>
      <c r="AG204" s="18"/>
      <c r="AH204" s="18"/>
      <c r="AI204" s="18"/>
      <c r="AJ204" s="142"/>
      <c r="AK204" s="142"/>
      <c r="AL204" s="18"/>
      <c r="AM204" s="18"/>
      <c r="AN204" s="18"/>
      <c r="AO204" s="142"/>
    </row>
    <row r="205">
      <c r="A205" s="142"/>
      <c r="B205" s="18"/>
      <c r="C205" s="142"/>
      <c r="D205" s="18"/>
      <c r="E205" s="18"/>
      <c r="F205" s="18"/>
      <c r="G205" s="142"/>
      <c r="H205" s="18"/>
      <c r="I205" s="142"/>
      <c r="J205" s="15"/>
      <c r="Q205" s="15"/>
      <c r="R205" s="18"/>
      <c r="S205" s="142"/>
      <c r="T205" s="142"/>
      <c r="U205" s="142"/>
      <c r="V205" s="18"/>
      <c r="W205" s="18"/>
      <c r="X205" s="18"/>
      <c r="Y205" s="142"/>
      <c r="Z205" s="18"/>
      <c r="AA205" s="18"/>
      <c r="AB205" s="18"/>
      <c r="AC205" s="18"/>
      <c r="AD205" s="18"/>
      <c r="AE205" s="18"/>
      <c r="AF205" s="18"/>
      <c r="AG205" s="18"/>
      <c r="AH205" s="18"/>
      <c r="AI205" s="18"/>
      <c r="AJ205" s="142"/>
      <c r="AK205" s="142"/>
      <c r="AL205" s="18"/>
      <c r="AM205" s="18"/>
      <c r="AN205" s="18"/>
      <c r="AO205" s="142"/>
    </row>
    <row r="206">
      <c r="A206" s="142"/>
      <c r="B206" s="18"/>
      <c r="C206" s="142"/>
      <c r="D206" s="18"/>
      <c r="E206" s="18"/>
      <c r="F206" s="18"/>
      <c r="G206" s="142"/>
      <c r="H206" s="18"/>
      <c r="I206" s="142"/>
      <c r="J206" s="15"/>
      <c r="Q206" s="15"/>
      <c r="R206" s="18"/>
      <c r="S206" s="142"/>
      <c r="T206" s="142"/>
      <c r="U206" s="142"/>
      <c r="V206" s="18"/>
      <c r="W206" s="18"/>
      <c r="X206" s="18"/>
      <c r="Y206" s="142"/>
      <c r="Z206" s="18"/>
      <c r="AA206" s="18"/>
      <c r="AB206" s="18"/>
      <c r="AC206" s="18"/>
      <c r="AD206" s="18"/>
      <c r="AE206" s="18"/>
      <c r="AF206" s="18"/>
      <c r="AG206" s="18"/>
      <c r="AH206" s="18"/>
      <c r="AI206" s="18"/>
      <c r="AJ206" s="142"/>
      <c r="AK206" s="142"/>
      <c r="AL206" s="18"/>
      <c r="AM206" s="18"/>
      <c r="AN206" s="18"/>
      <c r="AO206" s="142"/>
    </row>
    <row r="207">
      <c r="A207" s="142"/>
      <c r="B207" s="18"/>
      <c r="C207" s="142"/>
      <c r="D207" s="18"/>
      <c r="E207" s="18"/>
      <c r="F207" s="18"/>
      <c r="G207" s="142"/>
      <c r="H207" s="18"/>
      <c r="I207" s="142"/>
      <c r="J207" s="15"/>
      <c r="Q207" s="15"/>
      <c r="R207" s="18"/>
      <c r="S207" s="142"/>
      <c r="T207" s="142"/>
      <c r="U207" s="142"/>
      <c r="V207" s="18"/>
      <c r="W207" s="18"/>
      <c r="X207" s="18"/>
      <c r="Y207" s="142"/>
      <c r="Z207" s="18"/>
      <c r="AA207" s="18"/>
      <c r="AB207" s="18"/>
      <c r="AC207" s="18"/>
      <c r="AD207" s="18"/>
      <c r="AE207" s="18"/>
      <c r="AF207" s="18"/>
      <c r="AG207" s="18"/>
      <c r="AH207" s="18"/>
      <c r="AI207" s="18"/>
      <c r="AJ207" s="142"/>
      <c r="AK207" s="142"/>
      <c r="AL207" s="18"/>
      <c r="AM207" s="18"/>
      <c r="AN207" s="18"/>
      <c r="AO207" s="142"/>
    </row>
    <row r="208">
      <c r="A208" s="142"/>
      <c r="B208" s="18"/>
      <c r="C208" s="142"/>
      <c r="D208" s="18"/>
      <c r="E208" s="18"/>
      <c r="F208" s="18"/>
      <c r="G208" s="142"/>
      <c r="H208" s="18"/>
      <c r="I208" s="142"/>
      <c r="J208" s="15"/>
      <c r="Q208" s="15"/>
      <c r="R208" s="18"/>
      <c r="S208" s="142"/>
      <c r="T208" s="142"/>
      <c r="U208" s="142"/>
      <c r="V208" s="18"/>
      <c r="W208" s="18"/>
      <c r="X208" s="18"/>
      <c r="Y208" s="142"/>
      <c r="Z208" s="18"/>
      <c r="AA208" s="18"/>
      <c r="AB208" s="18"/>
      <c r="AC208" s="18"/>
      <c r="AD208" s="18"/>
      <c r="AE208" s="18"/>
      <c r="AF208" s="18"/>
      <c r="AG208" s="18"/>
      <c r="AH208" s="18"/>
      <c r="AI208" s="18"/>
      <c r="AJ208" s="142"/>
      <c r="AK208" s="142"/>
      <c r="AL208" s="18"/>
      <c r="AM208" s="18"/>
      <c r="AN208" s="18"/>
      <c r="AO208" s="142"/>
    </row>
    <row r="209">
      <c r="A209" s="142"/>
      <c r="B209" s="18"/>
      <c r="C209" s="142"/>
      <c r="D209" s="18"/>
      <c r="E209" s="18"/>
      <c r="F209" s="18"/>
      <c r="G209" s="142"/>
      <c r="H209" s="18"/>
      <c r="I209" s="142"/>
      <c r="J209" s="15"/>
      <c r="Q209" s="15"/>
      <c r="R209" s="18"/>
      <c r="S209" s="142"/>
      <c r="T209" s="142"/>
      <c r="U209" s="142"/>
      <c r="V209" s="18"/>
      <c r="W209" s="18"/>
      <c r="X209" s="18"/>
      <c r="Y209" s="142"/>
      <c r="Z209" s="18"/>
      <c r="AA209" s="18"/>
      <c r="AB209" s="18"/>
      <c r="AC209" s="18"/>
      <c r="AD209" s="18"/>
      <c r="AE209" s="18"/>
      <c r="AF209" s="18"/>
      <c r="AG209" s="18"/>
      <c r="AH209" s="18"/>
      <c r="AI209" s="18"/>
      <c r="AJ209" s="142"/>
      <c r="AK209" s="142"/>
      <c r="AL209" s="18"/>
      <c r="AM209" s="18"/>
      <c r="AN209" s="18"/>
      <c r="AO209" s="142"/>
    </row>
    <row r="210">
      <c r="A210" s="142"/>
      <c r="B210" s="18"/>
      <c r="C210" s="142"/>
      <c r="D210" s="18"/>
      <c r="E210" s="18"/>
      <c r="F210" s="18"/>
      <c r="G210" s="142"/>
      <c r="H210" s="18"/>
      <c r="I210" s="142"/>
      <c r="J210" s="15"/>
      <c r="Q210" s="15"/>
      <c r="R210" s="18"/>
      <c r="S210" s="142"/>
      <c r="T210" s="142"/>
      <c r="U210" s="142"/>
      <c r="V210" s="18"/>
      <c r="W210" s="18"/>
      <c r="X210" s="18"/>
      <c r="Y210" s="142"/>
      <c r="Z210" s="18"/>
      <c r="AA210" s="18"/>
      <c r="AB210" s="18"/>
      <c r="AC210" s="18"/>
      <c r="AD210" s="18"/>
      <c r="AE210" s="18"/>
      <c r="AF210" s="18"/>
      <c r="AG210" s="18"/>
      <c r="AH210" s="18"/>
      <c r="AI210" s="18"/>
      <c r="AJ210" s="142"/>
      <c r="AK210" s="142"/>
      <c r="AL210" s="18"/>
      <c r="AM210" s="18"/>
      <c r="AN210" s="18"/>
      <c r="AO210" s="142"/>
    </row>
    <row r="211">
      <c r="A211" s="142"/>
      <c r="B211" s="18"/>
      <c r="C211" s="142"/>
      <c r="D211" s="18"/>
      <c r="E211" s="18"/>
      <c r="F211" s="18"/>
      <c r="G211" s="142"/>
      <c r="H211" s="18"/>
      <c r="I211" s="142"/>
      <c r="J211" s="15"/>
      <c r="Q211" s="15"/>
      <c r="R211" s="18"/>
      <c r="S211" s="142"/>
      <c r="T211" s="142"/>
      <c r="U211" s="142"/>
      <c r="V211" s="18"/>
      <c r="W211" s="18"/>
      <c r="X211" s="18"/>
      <c r="Y211" s="142"/>
      <c r="Z211" s="18"/>
      <c r="AA211" s="18"/>
      <c r="AB211" s="18"/>
      <c r="AC211" s="18"/>
      <c r="AD211" s="18"/>
      <c r="AE211" s="18"/>
      <c r="AF211" s="18"/>
      <c r="AG211" s="18"/>
      <c r="AH211" s="18"/>
      <c r="AI211" s="18"/>
      <c r="AJ211" s="142"/>
      <c r="AK211" s="142"/>
      <c r="AL211" s="18"/>
      <c r="AM211" s="18"/>
      <c r="AN211" s="18"/>
      <c r="AO211" s="142"/>
    </row>
    <row r="212">
      <c r="A212" s="142"/>
      <c r="B212" s="18"/>
      <c r="C212" s="142"/>
      <c r="D212" s="18"/>
      <c r="E212" s="18"/>
      <c r="F212" s="18"/>
      <c r="G212" s="142"/>
      <c r="H212" s="18"/>
      <c r="I212" s="142"/>
      <c r="J212" s="15"/>
      <c r="Q212" s="15"/>
      <c r="R212" s="18"/>
      <c r="S212" s="142"/>
      <c r="T212" s="142"/>
      <c r="U212" s="142"/>
      <c r="V212" s="18"/>
      <c r="W212" s="18"/>
      <c r="X212" s="18"/>
      <c r="Y212" s="142"/>
      <c r="Z212" s="18"/>
      <c r="AA212" s="18"/>
      <c r="AB212" s="18"/>
      <c r="AC212" s="18"/>
      <c r="AD212" s="18"/>
      <c r="AE212" s="18"/>
      <c r="AF212" s="18"/>
      <c r="AG212" s="18"/>
      <c r="AH212" s="18"/>
      <c r="AI212" s="18"/>
      <c r="AJ212" s="142"/>
      <c r="AK212" s="142"/>
      <c r="AL212" s="18"/>
      <c r="AM212" s="18"/>
      <c r="AN212" s="18"/>
      <c r="AO212" s="142"/>
    </row>
    <row r="213">
      <c r="A213" s="142"/>
      <c r="B213" s="18"/>
      <c r="C213" s="142"/>
      <c r="D213" s="18"/>
      <c r="E213" s="18"/>
      <c r="F213" s="18"/>
      <c r="G213" s="142"/>
      <c r="H213" s="18"/>
      <c r="I213" s="142"/>
      <c r="J213" s="15"/>
      <c r="Q213" s="15"/>
      <c r="R213" s="18"/>
      <c r="S213" s="142"/>
      <c r="T213" s="142"/>
      <c r="U213" s="142"/>
      <c r="V213" s="18"/>
      <c r="W213" s="18"/>
      <c r="X213" s="18"/>
      <c r="Y213" s="142"/>
      <c r="Z213" s="18"/>
      <c r="AA213" s="18"/>
      <c r="AB213" s="18"/>
      <c r="AC213" s="18"/>
      <c r="AD213" s="18"/>
      <c r="AE213" s="18"/>
      <c r="AF213" s="18"/>
      <c r="AG213" s="18"/>
      <c r="AH213" s="18"/>
      <c r="AI213" s="18"/>
      <c r="AJ213" s="142"/>
      <c r="AK213" s="142"/>
      <c r="AL213" s="18"/>
      <c r="AM213" s="18"/>
      <c r="AN213" s="18"/>
      <c r="AO213" s="142"/>
    </row>
    <row r="214">
      <c r="A214" s="142"/>
      <c r="B214" s="18"/>
      <c r="C214" s="142"/>
      <c r="D214" s="18"/>
      <c r="E214" s="18"/>
      <c r="F214" s="18"/>
      <c r="G214" s="142"/>
      <c r="H214" s="18"/>
      <c r="I214" s="142"/>
      <c r="J214" s="15"/>
      <c r="Q214" s="15"/>
      <c r="R214" s="18"/>
      <c r="S214" s="142"/>
      <c r="T214" s="142"/>
      <c r="U214" s="142"/>
      <c r="V214" s="18"/>
      <c r="W214" s="18"/>
      <c r="X214" s="18"/>
      <c r="Y214" s="142"/>
      <c r="Z214" s="18"/>
      <c r="AA214" s="18"/>
      <c r="AB214" s="18"/>
      <c r="AC214" s="18"/>
      <c r="AD214" s="18"/>
      <c r="AE214" s="18"/>
      <c r="AF214" s="18"/>
      <c r="AG214" s="18"/>
      <c r="AH214" s="18"/>
      <c r="AI214" s="18"/>
      <c r="AJ214" s="142"/>
      <c r="AK214" s="142"/>
      <c r="AL214" s="18"/>
      <c r="AM214" s="18"/>
      <c r="AN214" s="18"/>
      <c r="AO214" s="142"/>
    </row>
    <row r="215">
      <c r="A215" s="142"/>
      <c r="B215" s="18"/>
      <c r="C215" s="142"/>
      <c r="D215" s="18"/>
      <c r="E215" s="18"/>
      <c r="F215" s="18"/>
      <c r="G215" s="142"/>
      <c r="H215" s="18"/>
      <c r="I215" s="142"/>
      <c r="J215" s="15"/>
      <c r="Q215" s="15"/>
      <c r="R215" s="18"/>
      <c r="S215" s="142"/>
      <c r="T215" s="142"/>
      <c r="U215" s="142"/>
      <c r="V215" s="18"/>
      <c r="W215" s="18"/>
      <c r="X215" s="18"/>
      <c r="Y215" s="142"/>
      <c r="Z215" s="18"/>
      <c r="AA215" s="18"/>
      <c r="AB215" s="18"/>
      <c r="AC215" s="18"/>
      <c r="AD215" s="18"/>
      <c r="AE215" s="18"/>
      <c r="AF215" s="18"/>
      <c r="AG215" s="18"/>
      <c r="AH215" s="18"/>
      <c r="AI215" s="18"/>
      <c r="AJ215" s="142"/>
      <c r="AK215" s="142"/>
      <c r="AL215" s="18"/>
      <c r="AM215" s="18"/>
      <c r="AN215" s="18"/>
      <c r="AO215" s="142"/>
    </row>
    <row r="216">
      <c r="A216" s="142"/>
      <c r="B216" s="18"/>
      <c r="C216" s="142"/>
      <c r="D216" s="18"/>
      <c r="E216" s="18"/>
      <c r="F216" s="18"/>
      <c r="G216" s="142"/>
      <c r="H216" s="18"/>
      <c r="I216" s="142"/>
      <c r="J216" s="15"/>
      <c r="Q216" s="15"/>
      <c r="R216" s="18"/>
      <c r="S216" s="142"/>
      <c r="T216" s="142"/>
      <c r="U216" s="142"/>
      <c r="V216" s="18"/>
      <c r="W216" s="18"/>
      <c r="X216" s="18"/>
      <c r="Y216" s="142"/>
      <c r="Z216" s="18"/>
      <c r="AA216" s="18"/>
      <c r="AB216" s="18"/>
      <c r="AC216" s="18"/>
      <c r="AD216" s="18"/>
      <c r="AE216" s="18"/>
      <c r="AF216" s="18"/>
      <c r="AG216" s="18"/>
      <c r="AH216" s="18"/>
      <c r="AI216" s="18"/>
      <c r="AJ216" s="142"/>
      <c r="AK216" s="142"/>
      <c r="AL216" s="18"/>
      <c r="AM216" s="18"/>
      <c r="AN216" s="18"/>
      <c r="AO216" s="142"/>
    </row>
    <row r="217">
      <c r="A217" s="142"/>
      <c r="B217" s="18"/>
      <c r="C217" s="142"/>
      <c r="D217" s="18"/>
      <c r="E217" s="18"/>
      <c r="F217" s="18"/>
      <c r="G217" s="142"/>
      <c r="H217" s="18"/>
      <c r="I217" s="142"/>
      <c r="J217" s="15"/>
      <c r="Q217" s="15"/>
      <c r="R217" s="18"/>
      <c r="S217" s="142"/>
      <c r="T217" s="142"/>
      <c r="U217" s="142"/>
      <c r="V217" s="18"/>
      <c r="W217" s="18"/>
      <c r="X217" s="18"/>
      <c r="Y217" s="142"/>
      <c r="Z217" s="18"/>
      <c r="AA217" s="18"/>
      <c r="AB217" s="18"/>
      <c r="AC217" s="18"/>
      <c r="AD217" s="18"/>
      <c r="AE217" s="18"/>
      <c r="AF217" s="18"/>
      <c r="AG217" s="18"/>
      <c r="AH217" s="18"/>
      <c r="AI217" s="18"/>
      <c r="AJ217" s="142"/>
      <c r="AK217" s="142"/>
      <c r="AL217" s="18"/>
      <c r="AM217" s="18"/>
      <c r="AN217" s="18"/>
      <c r="AO217" s="142"/>
    </row>
    <row r="218">
      <c r="A218" s="142"/>
      <c r="B218" s="18"/>
      <c r="C218" s="142"/>
      <c r="D218" s="18"/>
      <c r="E218" s="18"/>
      <c r="F218" s="18"/>
      <c r="G218" s="142"/>
      <c r="H218" s="18"/>
      <c r="I218" s="142"/>
      <c r="J218" s="15"/>
      <c r="Q218" s="15"/>
      <c r="R218" s="18"/>
      <c r="S218" s="142"/>
      <c r="T218" s="142"/>
      <c r="U218" s="142"/>
      <c r="V218" s="18"/>
      <c r="W218" s="18"/>
      <c r="X218" s="18"/>
      <c r="Y218" s="142"/>
      <c r="Z218" s="18"/>
      <c r="AA218" s="18"/>
      <c r="AB218" s="18"/>
      <c r="AC218" s="18"/>
      <c r="AD218" s="18"/>
      <c r="AE218" s="18"/>
      <c r="AF218" s="18"/>
      <c r="AG218" s="18"/>
      <c r="AH218" s="18"/>
      <c r="AI218" s="18"/>
      <c r="AJ218" s="142"/>
      <c r="AK218" s="142"/>
      <c r="AL218" s="18"/>
      <c r="AM218" s="18"/>
      <c r="AN218" s="18"/>
      <c r="AO218" s="142"/>
    </row>
    <row r="219">
      <c r="A219" s="142"/>
      <c r="B219" s="18"/>
      <c r="C219" s="142"/>
      <c r="D219" s="18"/>
      <c r="E219" s="18"/>
      <c r="F219" s="18"/>
      <c r="G219" s="142"/>
      <c r="H219" s="18"/>
      <c r="I219" s="142"/>
      <c r="J219" s="15"/>
      <c r="Q219" s="15"/>
      <c r="R219" s="18"/>
      <c r="S219" s="142"/>
      <c r="T219" s="142"/>
      <c r="U219" s="142"/>
      <c r="V219" s="18"/>
      <c r="W219" s="18"/>
      <c r="X219" s="18"/>
      <c r="Y219" s="142"/>
      <c r="Z219" s="18"/>
      <c r="AA219" s="18"/>
      <c r="AB219" s="18"/>
      <c r="AC219" s="18"/>
      <c r="AD219" s="18"/>
      <c r="AE219" s="18"/>
      <c r="AF219" s="18"/>
      <c r="AG219" s="18"/>
      <c r="AH219" s="18"/>
      <c r="AI219" s="18"/>
      <c r="AJ219" s="142"/>
      <c r="AK219" s="142"/>
      <c r="AL219" s="18"/>
      <c r="AM219" s="18"/>
      <c r="AN219" s="18"/>
      <c r="AO219" s="142"/>
    </row>
    <row r="220">
      <c r="A220" s="142"/>
      <c r="B220" s="18"/>
      <c r="C220" s="142"/>
      <c r="D220" s="18"/>
      <c r="E220" s="18"/>
      <c r="F220" s="18"/>
      <c r="G220" s="142"/>
      <c r="H220" s="18"/>
      <c r="I220" s="142"/>
      <c r="J220" s="15"/>
      <c r="Q220" s="15"/>
      <c r="R220" s="18"/>
      <c r="S220" s="142"/>
      <c r="T220" s="142"/>
      <c r="U220" s="142"/>
      <c r="V220" s="18"/>
      <c r="W220" s="18"/>
      <c r="X220" s="18"/>
      <c r="Y220" s="142"/>
      <c r="Z220" s="18"/>
      <c r="AA220" s="18"/>
      <c r="AB220" s="18"/>
      <c r="AC220" s="18"/>
      <c r="AD220" s="18"/>
      <c r="AE220" s="18"/>
      <c r="AF220" s="18"/>
      <c r="AG220" s="18"/>
      <c r="AH220" s="18"/>
      <c r="AI220" s="18"/>
      <c r="AJ220" s="142"/>
      <c r="AK220" s="142"/>
      <c r="AL220" s="18"/>
      <c r="AM220" s="18"/>
      <c r="AN220" s="18"/>
      <c r="AO220" s="142"/>
    </row>
    <row r="221">
      <c r="A221" s="142"/>
      <c r="B221" s="18"/>
      <c r="C221" s="142"/>
      <c r="D221" s="18"/>
      <c r="E221" s="18"/>
      <c r="F221" s="18"/>
      <c r="G221" s="142"/>
      <c r="H221" s="18"/>
      <c r="I221" s="142"/>
      <c r="J221" s="15"/>
      <c r="Q221" s="15"/>
      <c r="R221" s="18"/>
      <c r="S221" s="142"/>
      <c r="T221" s="142"/>
      <c r="U221" s="142"/>
      <c r="V221" s="18"/>
      <c r="W221" s="18"/>
      <c r="X221" s="18"/>
      <c r="Y221" s="142"/>
      <c r="Z221" s="18"/>
      <c r="AA221" s="18"/>
      <c r="AB221" s="18"/>
      <c r="AC221" s="18"/>
      <c r="AD221" s="18"/>
      <c r="AE221" s="18"/>
      <c r="AF221" s="18"/>
      <c r="AG221" s="18"/>
      <c r="AH221" s="18"/>
      <c r="AI221" s="18"/>
      <c r="AJ221" s="142"/>
      <c r="AK221" s="142"/>
      <c r="AL221" s="18"/>
      <c r="AM221" s="18"/>
      <c r="AN221" s="18"/>
      <c r="AO221" s="142"/>
    </row>
    <row r="222">
      <c r="A222" s="142"/>
      <c r="B222" s="18"/>
      <c r="C222" s="142"/>
      <c r="D222" s="18"/>
      <c r="E222" s="18"/>
      <c r="F222" s="18"/>
      <c r="G222" s="142"/>
      <c r="H222" s="18"/>
      <c r="I222" s="142"/>
      <c r="J222" s="15"/>
      <c r="Q222" s="15"/>
      <c r="R222" s="18"/>
      <c r="S222" s="142"/>
      <c r="T222" s="142"/>
      <c r="U222" s="142"/>
      <c r="V222" s="18"/>
      <c r="W222" s="18"/>
      <c r="X222" s="18"/>
      <c r="Y222" s="142"/>
      <c r="Z222" s="18"/>
      <c r="AA222" s="18"/>
      <c r="AB222" s="18"/>
      <c r="AC222" s="18"/>
      <c r="AD222" s="18"/>
      <c r="AE222" s="18"/>
      <c r="AF222" s="18"/>
      <c r="AG222" s="18"/>
      <c r="AH222" s="18"/>
      <c r="AI222" s="18"/>
      <c r="AJ222" s="142"/>
      <c r="AK222" s="142"/>
      <c r="AL222" s="18"/>
      <c r="AM222" s="18"/>
      <c r="AN222" s="18"/>
      <c r="AO222" s="142"/>
    </row>
    <row r="223">
      <c r="A223" s="142"/>
      <c r="B223" s="18"/>
      <c r="C223" s="142"/>
      <c r="D223" s="18"/>
      <c r="E223" s="18"/>
      <c r="F223" s="18"/>
      <c r="G223" s="142"/>
      <c r="H223" s="18"/>
      <c r="I223" s="142"/>
      <c r="J223" s="15"/>
      <c r="Q223" s="15"/>
      <c r="R223" s="18"/>
      <c r="S223" s="142"/>
      <c r="T223" s="142"/>
      <c r="U223" s="142"/>
      <c r="V223" s="18"/>
      <c r="W223" s="18"/>
      <c r="X223" s="18"/>
      <c r="Y223" s="142"/>
      <c r="Z223" s="18"/>
      <c r="AA223" s="18"/>
      <c r="AB223" s="18"/>
      <c r="AC223" s="18"/>
      <c r="AD223" s="18"/>
      <c r="AE223" s="18"/>
      <c r="AF223" s="18"/>
      <c r="AG223" s="18"/>
      <c r="AH223" s="18"/>
      <c r="AI223" s="18"/>
      <c r="AJ223" s="142"/>
      <c r="AK223" s="142"/>
      <c r="AL223" s="18"/>
      <c r="AM223" s="18"/>
      <c r="AN223" s="18"/>
      <c r="AO223" s="142"/>
    </row>
    <row r="224">
      <c r="A224" s="142"/>
      <c r="B224" s="18"/>
      <c r="C224" s="142"/>
      <c r="D224" s="18"/>
      <c r="E224" s="18"/>
      <c r="F224" s="18"/>
      <c r="G224" s="142"/>
      <c r="H224" s="18"/>
      <c r="I224" s="142"/>
      <c r="J224" s="15"/>
      <c r="Q224" s="15"/>
      <c r="R224" s="18"/>
      <c r="S224" s="142"/>
      <c r="T224" s="142"/>
      <c r="U224" s="142"/>
      <c r="V224" s="18"/>
      <c r="W224" s="18"/>
      <c r="X224" s="18"/>
      <c r="Y224" s="142"/>
      <c r="Z224" s="18"/>
      <c r="AA224" s="18"/>
      <c r="AB224" s="18"/>
      <c r="AC224" s="18"/>
      <c r="AD224" s="18"/>
      <c r="AE224" s="18"/>
      <c r="AF224" s="18"/>
      <c r="AG224" s="18"/>
      <c r="AH224" s="18"/>
      <c r="AI224" s="18"/>
      <c r="AJ224" s="142"/>
      <c r="AK224" s="142"/>
      <c r="AL224" s="18"/>
      <c r="AM224" s="18"/>
      <c r="AN224" s="18"/>
      <c r="AO224" s="142"/>
    </row>
    <row r="225">
      <c r="A225" s="142"/>
      <c r="B225" s="18"/>
      <c r="C225" s="142"/>
      <c r="D225" s="18"/>
      <c r="E225" s="18"/>
      <c r="F225" s="18"/>
      <c r="G225" s="142"/>
      <c r="H225" s="18"/>
      <c r="I225" s="142"/>
      <c r="J225" s="15"/>
      <c r="Q225" s="15"/>
      <c r="R225" s="18"/>
      <c r="S225" s="142"/>
      <c r="T225" s="142"/>
      <c r="U225" s="142"/>
      <c r="V225" s="18"/>
      <c r="W225" s="18"/>
      <c r="X225" s="18"/>
      <c r="Y225" s="142"/>
      <c r="Z225" s="18"/>
      <c r="AA225" s="18"/>
      <c r="AB225" s="18"/>
      <c r="AC225" s="18"/>
      <c r="AD225" s="18"/>
      <c r="AE225" s="18"/>
      <c r="AF225" s="18"/>
      <c r="AG225" s="18"/>
      <c r="AH225" s="18"/>
      <c r="AI225" s="18"/>
      <c r="AJ225" s="142"/>
      <c r="AK225" s="142"/>
      <c r="AL225" s="18"/>
      <c r="AM225" s="18"/>
      <c r="AN225" s="18"/>
      <c r="AO225" s="142"/>
    </row>
    <row r="226">
      <c r="A226" s="142"/>
      <c r="B226" s="18"/>
      <c r="C226" s="142"/>
      <c r="D226" s="18"/>
      <c r="E226" s="18"/>
      <c r="F226" s="18"/>
      <c r="G226" s="142"/>
      <c r="H226" s="18"/>
      <c r="I226" s="142"/>
      <c r="J226" s="15"/>
      <c r="Q226" s="15"/>
      <c r="R226" s="18"/>
      <c r="S226" s="142"/>
      <c r="T226" s="142"/>
      <c r="U226" s="142"/>
      <c r="V226" s="18"/>
      <c r="W226" s="18"/>
      <c r="X226" s="18"/>
      <c r="Y226" s="142"/>
      <c r="Z226" s="18"/>
      <c r="AA226" s="18"/>
      <c r="AB226" s="18"/>
      <c r="AC226" s="18"/>
      <c r="AD226" s="18"/>
      <c r="AE226" s="18"/>
      <c r="AF226" s="18"/>
      <c r="AG226" s="18"/>
      <c r="AH226" s="18"/>
      <c r="AI226" s="18"/>
      <c r="AJ226" s="142"/>
      <c r="AK226" s="142"/>
      <c r="AL226" s="18"/>
      <c r="AM226" s="18"/>
      <c r="AN226" s="18"/>
      <c r="AO226" s="142"/>
    </row>
    <row r="227">
      <c r="A227" s="142"/>
      <c r="B227" s="18"/>
      <c r="C227" s="142"/>
      <c r="D227" s="18"/>
      <c r="E227" s="18"/>
      <c r="F227" s="18"/>
      <c r="G227" s="142"/>
      <c r="H227" s="18"/>
      <c r="I227" s="142"/>
      <c r="J227" s="15"/>
      <c r="Q227" s="15"/>
      <c r="R227" s="18"/>
      <c r="S227" s="142"/>
      <c r="T227" s="142"/>
      <c r="U227" s="142"/>
      <c r="V227" s="18"/>
      <c r="W227" s="18"/>
      <c r="X227" s="18"/>
      <c r="Y227" s="142"/>
      <c r="Z227" s="18"/>
      <c r="AA227" s="18"/>
      <c r="AB227" s="18"/>
      <c r="AC227" s="18"/>
      <c r="AD227" s="18"/>
      <c r="AE227" s="18"/>
      <c r="AF227" s="18"/>
      <c r="AG227" s="18"/>
      <c r="AH227" s="18"/>
      <c r="AI227" s="18"/>
      <c r="AJ227" s="142"/>
      <c r="AK227" s="142"/>
      <c r="AL227" s="18"/>
      <c r="AM227" s="18"/>
      <c r="AN227" s="18"/>
      <c r="AO227" s="142"/>
    </row>
    <row r="228">
      <c r="A228" s="142"/>
      <c r="B228" s="18"/>
      <c r="C228" s="142"/>
      <c r="D228" s="18"/>
      <c r="E228" s="18"/>
      <c r="F228" s="18"/>
      <c r="G228" s="142"/>
      <c r="H228" s="18"/>
      <c r="I228" s="142"/>
      <c r="J228" s="15"/>
      <c r="Q228" s="15"/>
      <c r="R228" s="18"/>
      <c r="S228" s="142"/>
      <c r="T228" s="142"/>
      <c r="U228" s="142"/>
      <c r="V228" s="18"/>
      <c r="W228" s="18"/>
      <c r="X228" s="18"/>
      <c r="Y228" s="142"/>
      <c r="Z228" s="18"/>
      <c r="AA228" s="18"/>
      <c r="AB228" s="18"/>
      <c r="AC228" s="18"/>
      <c r="AD228" s="18"/>
      <c r="AE228" s="18"/>
      <c r="AF228" s="18"/>
      <c r="AG228" s="18"/>
      <c r="AH228" s="18"/>
      <c r="AI228" s="18"/>
      <c r="AJ228" s="142"/>
      <c r="AK228" s="142"/>
      <c r="AL228" s="18"/>
      <c r="AM228" s="18"/>
      <c r="AN228" s="18"/>
      <c r="AO228" s="142"/>
    </row>
    <row r="229">
      <c r="A229" s="142"/>
      <c r="B229" s="18"/>
      <c r="C229" s="142"/>
      <c r="D229" s="18"/>
      <c r="E229" s="18"/>
      <c r="F229" s="18"/>
      <c r="G229" s="142"/>
      <c r="H229" s="18"/>
      <c r="I229" s="142"/>
      <c r="J229" s="15"/>
      <c r="Q229" s="15"/>
      <c r="R229" s="18"/>
      <c r="S229" s="142"/>
      <c r="T229" s="142"/>
      <c r="U229" s="142"/>
      <c r="V229" s="18"/>
      <c r="W229" s="18"/>
      <c r="X229" s="18"/>
      <c r="Y229" s="142"/>
      <c r="Z229" s="18"/>
      <c r="AA229" s="18"/>
      <c r="AB229" s="18"/>
      <c r="AC229" s="18"/>
      <c r="AD229" s="18"/>
      <c r="AE229" s="18"/>
      <c r="AF229" s="18"/>
      <c r="AG229" s="18"/>
      <c r="AH229" s="18"/>
      <c r="AI229" s="18"/>
      <c r="AJ229" s="142"/>
      <c r="AK229" s="142"/>
      <c r="AL229" s="18"/>
      <c r="AM229" s="18"/>
      <c r="AN229" s="18"/>
      <c r="AO229" s="142"/>
    </row>
    <row r="230">
      <c r="A230" s="142"/>
      <c r="B230" s="18"/>
      <c r="C230" s="142"/>
      <c r="D230" s="18"/>
      <c r="E230" s="18"/>
      <c r="F230" s="18"/>
      <c r="G230" s="142"/>
      <c r="H230" s="18"/>
      <c r="I230" s="142"/>
      <c r="J230" s="15"/>
      <c r="Q230" s="15"/>
      <c r="R230" s="18"/>
      <c r="S230" s="142"/>
      <c r="T230" s="142"/>
      <c r="U230" s="142"/>
      <c r="V230" s="18"/>
      <c r="W230" s="18"/>
      <c r="X230" s="18"/>
      <c r="Y230" s="142"/>
      <c r="Z230" s="18"/>
      <c r="AA230" s="18"/>
      <c r="AB230" s="18"/>
      <c r="AC230" s="18"/>
      <c r="AD230" s="18"/>
      <c r="AE230" s="18"/>
      <c r="AF230" s="18"/>
      <c r="AG230" s="18"/>
      <c r="AH230" s="18"/>
      <c r="AI230" s="18"/>
      <c r="AJ230" s="142"/>
      <c r="AK230" s="142"/>
      <c r="AL230" s="18"/>
      <c r="AM230" s="18"/>
      <c r="AN230" s="18"/>
      <c r="AO230" s="142"/>
    </row>
    <row r="231">
      <c r="A231" s="142"/>
      <c r="B231" s="18"/>
      <c r="C231" s="142"/>
      <c r="D231" s="18"/>
      <c r="E231" s="18"/>
      <c r="F231" s="18"/>
      <c r="G231" s="142"/>
      <c r="H231" s="18"/>
      <c r="I231" s="142"/>
      <c r="J231" s="15"/>
      <c r="Q231" s="15"/>
      <c r="R231" s="18"/>
      <c r="S231" s="142"/>
      <c r="T231" s="142"/>
      <c r="U231" s="142"/>
      <c r="V231" s="18"/>
      <c r="W231" s="18"/>
      <c r="X231" s="18"/>
      <c r="Y231" s="142"/>
      <c r="Z231" s="18"/>
      <c r="AA231" s="18"/>
      <c r="AB231" s="18"/>
      <c r="AC231" s="18"/>
      <c r="AD231" s="18"/>
      <c r="AE231" s="18"/>
      <c r="AF231" s="18"/>
      <c r="AG231" s="18"/>
      <c r="AH231" s="18"/>
      <c r="AI231" s="18"/>
      <c r="AJ231" s="142"/>
      <c r="AK231" s="142"/>
      <c r="AL231" s="18"/>
      <c r="AM231" s="18"/>
      <c r="AN231" s="18"/>
      <c r="AO231" s="142"/>
    </row>
    <row r="232">
      <c r="A232" s="142"/>
      <c r="B232" s="18"/>
      <c r="C232" s="142"/>
      <c r="D232" s="18"/>
      <c r="E232" s="18"/>
      <c r="F232" s="18"/>
      <c r="G232" s="142"/>
      <c r="H232" s="18"/>
      <c r="I232" s="142"/>
      <c r="J232" s="15"/>
      <c r="Q232" s="15"/>
      <c r="R232" s="18"/>
      <c r="S232" s="142"/>
      <c r="T232" s="142"/>
      <c r="U232" s="142"/>
      <c r="V232" s="18"/>
      <c r="W232" s="18"/>
      <c r="X232" s="18"/>
      <c r="Y232" s="142"/>
      <c r="Z232" s="18"/>
      <c r="AA232" s="18"/>
      <c r="AB232" s="18"/>
      <c r="AC232" s="18"/>
      <c r="AD232" s="18"/>
      <c r="AE232" s="18"/>
      <c r="AF232" s="18"/>
      <c r="AG232" s="18"/>
      <c r="AH232" s="18"/>
      <c r="AI232" s="18"/>
      <c r="AJ232" s="142"/>
      <c r="AK232" s="142"/>
      <c r="AL232" s="18"/>
      <c r="AM232" s="18"/>
      <c r="AN232" s="18"/>
      <c r="AO232" s="142"/>
    </row>
    <row r="233">
      <c r="A233" s="142"/>
      <c r="B233" s="18"/>
      <c r="C233" s="142"/>
      <c r="D233" s="18"/>
      <c r="E233" s="18"/>
      <c r="F233" s="18"/>
      <c r="G233" s="142"/>
      <c r="H233" s="18"/>
      <c r="I233" s="142"/>
      <c r="J233" s="15"/>
      <c r="Q233" s="15"/>
      <c r="R233" s="18"/>
      <c r="S233" s="142"/>
      <c r="T233" s="142"/>
      <c r="U233" s="142"/>
      <c r="V233" s="18"/>
      <c r="W233" s="18"/>
      <c r="X233" s="18"/>
      <c r="Y233" s="142"/>
      <c r="Z233" s="18"/>
      <c r="AA233" s="18"/>
      <c r="AB233" s="18"/>
      <c r="AC233" s="18"/>
      <c r="AD233" s="18"/>
      <c r="AE233" s="18"/>
      <c r="AF233" s="18"/>
      <c r="AG233" s="18"/>
      <c r="AH233" s="18"/>
      <c r="AI233" s="18"/>
      <c r="AJ233" s="142"/>
      <c r="AK233" s="142"/>
      <c r="AL233" s="18"/>
      <c r="AM233" s="18"/>
      <c r="AN233" s="18"/>
      <c r="AO233" s="142"/>
    </row>
    <row r="234">
      <c r="A234" s="142"/>
      <c r="B234" s="18"/>
      <c r="C234" s="142"/>
      <c r="D234" s="18"/>
      <c r="E234" s="18"/>
      <c r="F234" s="18"/>
      <c r="G234" s="142"/>
      <c r="H234" s="18"/>
      <c r="I234" s="142"/>
      <c r="J234" s="15"/>
      <c r="Q234" s="15"/>
      <c r="R234" s="18"/>
      <c r="S234" s="142"/>
      <c r="T234" s="142"/>
      <c r="U234" s="142"/>
      <c r="V234" s="18"/>
      <c r="W234" s="18"/>
      <c r="X234" s="18"/>
      <c r="Y234" s="142"/>
      <c r="Z234" s="18"/>
      <c r="AA234" s="18"/>
      <c r="AB234" s="18"/>
      <c r="AC234" s="18"/>
      <c r="AD234" s="18"/>
      <c r="AE234" s="18"/>
      <c r="AF234" s="18"/>
      <c r="AG234" s="18"/>
      <c r="AH234" s="18"/>
      <c r="AI234" s="18"/>
      <c r="AJ234" s="142"/>
      <c r="AK234" s="142"/>
      <c r="AL234" s="18"/>
      <c r="AM234" s="18"/>
      <c r="AN234" s="18"/>
      <c r="AO234" s="142"/>
    </row>
    <row r="235">
      <c r="A235" s="142"/>
      <c r="B235" s="18"/>
      <c r="C235" s="142"/>
      <c r="D235" s="18"/>
      <c r="E235" s="18"/>
      <c r="F235" s="18"/>
      <c r="G235" s="142"/>
      <c r="H235" s="18"/>
      <c r="I235" s="142"/>
      <c r="J235" s="15"/>
      <c r="Q235" s="15"/>
      <c r="R235" s="18"/>
      <c r="S235" s="142"/>
      <c r="T235" s="142"/>
      <c r="U235" s="142"/>
      <c r="V235" s="18"/>
      <c r="W235" s="18"/>
      <c r="X235" s="18"/>
      <c r="Y235" s="142"/>
      <c r="Z235" s="18"/>
      <c r="AA235" s="18"/>
      <c r="AB235" s="18"/>
      <c r="AC235" s="18"/>
      <c r="AD235" s="18"/>
      <c r="AE235" s="18"/>
      <c r="AF235" s="18"/>
      <c r="AG235" s="18"/>
      <c r="AH235" s="18"/>
      <c r="AI235" s="18"/>
      <c r="AJ235" s="142"/>
      <c r="AK235" s="142"/>
      <c r="AL235" s="18"/>
      <c r="AM235" s="18"/>
      <c r="AN235" s="18"/>
      <c r="AO235" s="142"/>
    </row>
    <row r="236">
      <c r="A236" s="142"/>
      <c r="B236" s="18"/>
      <c r="C236" s="142"/>
      <c r="D236" s="18"/>
      <c r="E236" s="18"/>
      <c r="F236" s="18"/>
      <c r="G236" s="142"/>
      <c r="H236" s="18"/>
      <c r="I236" s="142"/>
      <c r="J236" s="15"/>
      <c r="Q236" s="15"/>
      <c r="R236" s="18"/>
      <c r="S236" s="142"/>
      <c r="T236" s="142"/>
      <c r="U236" s="142"/>
      <c r="V236" s="18"/>
      <c r="W236" s="18"/>
      <c r="X236" s="18"/>
      <c r="Y236" s="142"/>
      <c r="Z236" s="18"/>
      <c r="AA236" s="18"/>
      <c r="AB236" s="18"/>
      <c r="AC236" s="18"/>
      <c r="AD236" s="18"/>
      <c r="AE236" s="18"/>
      <c r="AF236" s="18"/>
      <c r="AG236" s="18"/>
      <c r="AH236" s="18"/>
      <c r="AI236" s="18"/>
      <c r="AJ236" s="142"/>
      <c r="AK236" s="142"/>
      <c r="AL236" s="18"/>
      <c r="AM236" s="18"/>
      <c r="AN236" s="18"/>
      <c r="AO236" s="142"/>
    </row>
    <row r="237">
      <c r="A237" s="142"/>
      <c r="B237" s="18"/>
      <c r="C237" s="142"/>
      <c r="D237" s="18"/>
      <c r="E237" s="18"/>
      <c r="F237" s="18"/>
      <c r="G237" s="142"/>
      <c r="H237" s="18"/>
      <c r="I237" s="142"/>
      <c r="J237" s="15"/>
      <c r="Q237" s="15"/>
      <c r="R237" s="18"/>
      <c r="S237" s="142"/>
      <c r="T237" s="142"/>
      <c r="U237" s="142"/>
      <c r="V237" s="18"/>
      <c r="W237" s="18"/>
      <c r="X237" s="18"/>
      <c r="Y237" s="142"/>
      <c r="Z237" s="18"/>
      <c r="AA237" s="18"/>
      <c r="AB237" s="18"/>
      <c r="AC237" s="18"/>
      <c r="AD237" s="18"/>
      <c r="AE237" s="18"/>
      <c r="AF237" s="18"/>
      <c r="AG237" s="18"/>
      <c r="AH237" s="18"/>
      <c r="AI237" s="18"/>
      <c r="AJ237" s="142"/>
      <c r="AK237" s="142"/>
      <c r="AL237" s="18"/>
      <c r="AM237" s="18"/>
      <c r="AN237" s="18"/>
      <c r="AO237" s="142"/>
    </row>
    <row r="238">
      <c r="A238" s="142"/>
      <c r="B238" s="18"/>
      <c r="C238" s="142"/>
      <c r="D238" s="18"/>
      <c r="E238" s="18"/>
      <c r="F238" s="18"/>
      <c r="G238" s="142"/>
      <c r="H238" s="18"/>
      <c r="I238" s="142"/>
      <c r="J238" s="15"/>
      <c r="Q238" s="15"/>
      <c r="R238" s="18"/>
      <c r="S238" s="142"/>
      <c r="T238" s="142"/>
      <c r="U238" s="142"/>
      <c r="V238" s="18"/>
      <c r="W238" s="18"/>
      <c r="X238" s="18"/>
      <c r="Y238" s="142"/>
      <c r="Z238" s="18"/>
      <c r="AA238" s="18"/>
      <c r="AB238" s="18"/>
      <c r="AC238" s="18"/>
      <c r="AD238" s="18"/>
      <c r="AE238" s="18"/>
      <c r="AF238" s="18"/>
      <c r="AG238" s="18"/>
      <c r="AH238" s="18"/>
      <c r="AI238" s="18"/>
      <c r="AJ238" s="142"/>
      <c r="AK238" s="142"/>
      <c r="AL238" s="18"/>
      <c r="AM238" s="18"/>
      <c r="AN238" s="18"/>
      <c r="AO238" s="142"/>
    </row>
    <row r="239">
      <c r="A239" s="142"/>
      <c r="B239" s="18"/>
      <c r="C239" s="142"/>
      <c r="D239" s="18"/>
      <c r="E239" s="18"/>
      <c r="F239" s="18"/>
      <c r="G239" s="142"/>
      <c r="H239" s="18"/>
      <c r="I239" s="142"/>
      <c r="J239" s="15"/>
      <c r="Q239" s="15"/>
      <c r="R239" s="18"/>
      <c r="S239" s="142"/>
      <c r="T239" s="142"/>
      <c r="U239" s="142"/>
      <c r="V239" s="18"/>
      <c r="W239" s="18"/>
      <c r="X239" s="18"/>
      <c r="Y239" s="142"/>
      <c r="Z239" s="18"/>
      <c r="AA239" s="18"/>
      <c r="AB239" s="18"/>
      <c r="AC239" s="18"/>
      <c r="AD239" s="18"/>
      <c r="AE239" s="18"/>
      <c r="AF239" s="18"/>
      <c r="AG239" s="18"/>
      <c r="AH239" s="18"/>
      <c r="AI239" s="18"/>
      <c r="AJ239" s="142"/>
      <c r="AK239" s="142"/>
      <c r="AL239" s="18"/>
      <c r="AM239" s="18"/>
      <c r="AN239" s="18"/>
      <c r="AO239" s="142"/>
    </row>
    <row r="240">
      <c r="A240" s="142"/>
      <c r="B240" s="18"/>
      <c r="C240" s="142"/>
      <c r="D240" s="18"/>
      <c r="E240" s="18"/>
      <c r="F240" s="18"/>
      <c r="G240" s="142"/>
      <c r="H240" s="18"/>
      <c r="I240" s="142"/>
      <c r="J240" s="15"/>
      <c r="Q240" s="15"/>
      <c r="R240" s="18"/>
      <c r="S240" s="142"/>
      <c r="T240" s="142"/>
      <c r="U240" s="142"/>
      <c r="V240" s="18"/>
      <c r="W240" s="18"/>
      <c r="X240" s="18"/>
      <c r="Y240" s="142"/>
      <c r="Z240" s="18"/>
      <c r="AA240" s="18"/>
      <c r="AB240" s="18"/>
      <c r="AC240" s="18"/>
      <c r="AD240" s="18"/>
      <c r="AE240" s="18"/>
      <c r="AF240" s="18"/>
      <c r="AG240" s="18"/>
      <c r="AH240" s="18"/>
      <c r="AI240" s="18"/>
      <c r="AJ240" s="142"/>
      <c r="AK240" s="142"/>
      <c r="AL240" s="18"/>
      <c r="AM240" s="18"/>
      <c r="AN240" s="18"/>
      <c r="AO240" s="142"/>
    </row>
    <row r="241">
      <c r="A241" s="142"/>
      <c r="B241" s="18"/>
      <c r="C241" s="142"/>
      <c r="D241" s="18"/>
      <c r="E241" s="18"/>
      <c r="F241" s="18"/>
      <c r="G241" s="142"/>
      <c r="H241" s="18"/>
      <c r="I241" s="142"/>
      <c r="J241" s="15"/>
      <c r="Q241" s="15"/>
      <c r="R241" s="18"/>
      <c r="S241" s="142"/>
      <c r="T241" s="142"/>
      <c r="U241" s="142"/>
      <c r="V241" s="18"/>
      <c r="W241" s="18"/>
      <c r="X241" s="18"/>
      <c r="Y241" s="142"/>
      <c r="Z241" s="18"/>
      <c r="AA241" s="18"/>
      <c r="AB241" s="18"/>
      <c r="AC241" s="18"/>
      <c r="AD241" s="18"/>
      <c r="AE241" s="18"/>
      <c r="AF241" s="18"/>
      <c r="AG241" s="18"/>
      <c r="AH241" s="18"/>
      <c r="AI241" s="18"/>
      <c r="AJ241" s="142"/>
      <c r="AK241" s="142"/>
      <c r="AL241" s="18"/>
      <c r="AM241" s="18"/>
      <c r="AN241" s="18"/>
      <c r="AO241" s="142"/>
    </row>
    <row r="242">
      <c r="A242" s="142"/>
      <c r="B242" s="18"/>
      <c r="C242" s="142"/>
      <c r="D242" s="18"/>
      <c r="E242" s="18"/>
      <c r="F242" s="18"/>
      <c r="G242" s="142"/>
      <c r="H242" s="18"/>
      <c r="I242" s="142"/>
      <c r="J242" s="15"/>
      <c r="Q242" s="15"/>
      <c r="R242" s="18"/>
      <c r="S242" s="142"/>
      <c r="T242" s="142"/>
      <c r="U242" s="142"/>
      <c r="V242" s="18"/>
      <c r="W242" s="18"/>
      <c r="X242" s="18"/>
      <c r="Y242" s="142"/>
      <c r="Z242" s="18"/>
      <c r="AA242" s="18"/>
      <c r="AB242" s="18"/>
      <c r="AC242" s="18"/>
      <c r="AD242" s="18"/>
      <c r="AE242" s="18"/>
      <c r="AF242" s="18"/>
      <c r="AG242" s="18"/>
      <c r="AH242" s="18"/>
      <c r="AI242" s="18"/>
      <c r="AJ242" s="142"/>
      <c r="AK242" s="142"/>
      <c r="AL242" s="18"/>
      <c r="AM242" s="18"/>
      <c r="AN242" s="18"/>
      <c r="AO242" s="142"/>
    </row>
    <row r="243">
      <c r="A243" s="142"/>
      <c r="B243" s="18"/>
      <c r="C243" s="142"/>
      <c r="D243" s="18"/>
      <c r="E243" s="18"/>
      <c r="F243" s="18"/>
      <c r="G243" s="142"/>
      <c r="H243" s="18"/>
      <c r="I243" s="142"/>
      <c r="J243" s="15"/>
      <c r="Q243" s="15"/>
      <c r="R243" s="18"/>
      <c r="S243" s="142"/>
      <c r="T243" s="142"/>
      <c r="U243" s="142"/>
      <c r="V243" s="18"/>
      <c r="W243" s="18"/>
      <c r="X243" s="18"/>
      <c r="Y243" s="142"/>
      <c r="Z243" s="18"/>
      <c r="AA243" s="18"/>
      <c r="AB243" s="18"/>
      <c r="AC243" s="18"/>
      <c r="AD243" s="18"/>
      <c r="AE243" s="18"/>
      <c r="AF243" s="18"/>
      <c r="AG243" s="18"/>
      <c r="AH243" s="18"/>
      <c r="AI243" s="18"/>
      <c r="AJ243" s="142"/>
      <c r="AK243" s="142"/>
      <c r="AL243" s="18"/>
      <c r="AM243" s="18"/>
      <c r="AN243" s="18"/>
      <c r="AO243" s="142"/>
    </row>
    <row r="244">
      <c r="A244" s="142"/>
      <c r="B244" s="18"/>
      <c r="C244" s="142"/>
      <c r="D244" s="18"/>
      <c r="E244" s="18"/>
      <c r="F244" s="18"/>
      <c r="G244" s="142"/>
      <c r="H244" s="18"/>
      <c r="I244" s="142"/>
      <c r="J244" s="15"/>
      <c r="Q244" s="15"/>
      <c r="R244" s="18"/>
      <c r="S244" s="142"/>
      <c r="T244" s="142"/>
      <c r="U244" s="142"/>
      <c r="V244" s="18"/>
      <c r="W244" s="18"/>
      <c r="X244" s="18"/>
      <c r="Y244" s="142"/>
      <c r="Z244" s="18"/>
      <c r="AA244" s="18"/>
      <c r="AB244" s="18"/>
      <c r="AC244" s="18"/>
      <c r="AD244" s="18"/>
      <c r="AE244" s="18"/>
      <c r="AF244" s="18"/>
      <c r="AG244" s="18"/>
      <c r="AH244" s="18"/>
      <c r="AI244" s="18"/>
      <c r="AJ244" s="142"/>
      <c r="AK244" s="142"/>
      <c r="AL244" s="18"/>
      <c r="AM244" s="18"/>
      <c r="AN244" s="18"/>
      <c r="AO244" s="142"/>
    </row>
    <row r="245">
      <c r="A245" s="142"/>
      <c r="B245" s="18"/>
      <c r="C245" s="142"/>
      <c r="D245" s="18"/>
      <c r="E245" s="18"/>
      <c r="F245" s="18"/>
      <c r="G245" s="142"/>
      <c r="H245" s="18"/>
      <c r="I245" s="142"/>
      <c r="J245" s="15"/>
      <c r="Q245" s="15"/>
      <c r="R245" s="18"/>
      <c r="S245" s="142"/>
      <c r="T245" s="142"/>
      <c r="U245" s="142"/>
      <c r="V245" s="18"/>
      <c r="W245" s="18"/>
      <c r="X245" s="18"/>
      <c r="Y245" s="142"/>
      <c r="Z245" s="18"/>
      <c r="AA245" s="18"/>
      <c r="AB245" s="18"/>
      <c r="AC245" s="18"/>
      <c r="AD245" s="18"/>
      <c r="AE245" s="18"/>
      <c r="AF245" s="18"/>
      <c r="AG245" s="18"/>
      <c r="AH245" s="18"/>
      <c r="AI245" s="18"/>
      <c r="AJ245" s="142"/>
      <c r="AK245" s="142"/>
      <c r="AL245" s="18"/>
      <c r="AM245" s="18"/>
      <c r="AN245" s="18"/>
      <c r="AO245" s="142"/>
    </row>
    <row r="246">
      <c r="A246" s="142"/>
      <c r="B246" s="18"/>
      <c r="C246" s="142"/>
      <c r="D246" s="18"/>
      <c r="E246" s="18"/>
      <c r="F246" s="18"/>
      <c r="G246" s="142"/>
      <c r="H246" s="18"/>
      <c r="I246" s="142"/>
      <c r="J246" s="15"/>
      <c r="Q246" s="15"/>
      <c r="R246" s="18"/>
      <c r="S246" s="142"/>
      <c r="T246" s="142"/>
      <c r="U246" s="142"/>
      <c r="V246" s="18"/>
      <c r="W246" s="18"/>
      <c r="X246" s="18"/>
      <c r="Y246" s="142"/>
      <c r="Z246" s="18"/>
      <c r="AA246" s="18"/>
      <c r="AB246" s="18"/>
      <c r="AC246" s="18"/>
      <c r="AD246" s="18"/>
      <c r="AE246" s="18"/>
      <c r="AF246" s="18"/>
      <c r="AG246" s="18"/>
      <c r="AH246" s="18"/>
      <c r="AI246" s="18"/>
      <c r="AJ246" s="142"/>
      <c r="AK246" s="142"/>
      <c r="AL246" s="18"/>
      <c r="AM246" s="18"/>
      <c r="AN246" s="18"/>
      <c r="AO246" s="142"/>
    </row>
    <row r="247">
      <c r="A247" s="142"/>
      <c r="B247" s="18"/>
      <c r="C247" s="142"/>
      <c r="D247" s="18"/>
      <c r="E247" s="18"/>
      <c r="F247" s="18"/>
      <c r="G247" s="142"/>
      <c r="H247" s="18"/>
      <c r="I247" s="142"/>
      <c r="J247" s="15"/>
      <c r="Q247" s="15"/>
      <c r="R247" s="18"/>
      <c r="S247" s="142"/>
      <c r="T247" s="142"/>
      <c r="U247" s="142"/>
      <c r="V247" s="18"/>
      <c r="W247" s="18"/>
      <c r="X247" s="18"/>
      <c r="Y247" s="142"/>
      <c r="Z247" s="18"/>
      <c r="AA247" s="18"/>
      <c r="AB247" s="18"/>
      <c r="AC247" s="18"/>
      <c r="AD247" s="18"/>
      <c r="AE247" s="18"/>
      <c r="AF247" s="18"/>
      <c r="AG247" s="18"/>
      <c r="AH247" s="18"/>
      <c r="AI247" s="18"/>
      <c r="AJ247" s="142"/>
      <c r="AK247" s="142"/>
      <c r="AL247" s="18"/>
      <c r="AM247" s="18"/>
      <c r="AN247" s="18"/>
      <c r="AO247" s="142"/>
    </row>
    <row r="248">
      <c r="A248" s="142"/>
      <c r="B248" s="18"/>
      <c r="C248" s="142"/>
      <c r="D248" s="18"/>
      <c r="E248" s="18"/>
      <c r="F248" s="18"/>
      <c r="G248" s="142"/>
      <c r="H248" s="18"/>
      <c r="I248" s="142"/>
      <c r="J248" s="15"/>
      <c r="Q248" s="15"/>
      <c r="R248" s="18"/>
      <c r="S248" s="142"/>
      <c r="T248" s="142"/>
      <c r="U248" s="142"/>
      <c r="V248" s="18"/>
      <c r="W248" s="18"/>
      <c r="X248" s="18"/>
      <c r="Y248" s="142"/>
      <c r="Z248" s="18"/>
      <c r="AA248" s="18"/>
      <c r="AB248" s="18"/>
      <c r="AC248" s="18"/>
      <c r="AD248" s="18"/>
      <c r="AE248" s="18"/>
      <c r="AF248" s="18"/>
      <c r="AG248" s="18"/>
      <c r="AH248" s="18"/>
      <c r="AI248" s="18"/>
      <c r="AJ248" s="142"/>
      <c r="AK248" s="142"/>
      <c r="AL248" s="18"/>
      <c r="AM248" s="18"/>
      <c r="AN248" s="18"/>
      <c r="AO248" s="142"/>
    </row>
    <row r="249">
      <c r="A249" s="142"/>
      <c r="B249" s="18"/>
      <c r="C249" s="142"/>
      <c r="D249" s="18"/>
      <c r="E249" s="18"/>
      <c r="F249" s="18"/>
      <c r="G249" s="142"/>
      <c r="H249" s="18"/>
      <c r="I249" s="142"/>
      <c r="J249" s="15"/>
      <c r="Q249" s="15"/>
      <c r="R249" s="18"/>
      <c r="S249" s="142"/>
      <c r="T249" s="142"/>
      <c r="U249" s="142"/>
      <c r="V249" s="18"/>
      <c r="W249" s="18"/>
      <c r="X249" s="18"/>
      <c r="Y249" s="142"/>
      <c r="Z249" s="18"/>
      <c r="AA249" s="18"/>
      <c r="AB249" s="18"/>
      <c r="AC249" s="18"/>
      <c r="AD249" s="18"/>
      <c r="AE249" s="18"/>
      <c r="AF249" s="18"/>
      <c r="AG249" s="18"/>
      <c r="AH249" s="18"/>
      <c r="AI249" s="18"/>
      <c r="AJ249" s="142"/>
      <c r="AK249" s="142"/>
      <c r="AL249" s="18"/>
      <c r="AM249" s="18"/>
      <c r="AN249" s="18"/>
      <c r="AO249" s="142"/>
    </row>
    <row r="250">
      <c r="A250" s="142"/>
      <c r="B250" s="18"/>
      <c r="C250" s="142"/>
      <c r="D250" s="18"/>
      <c r="E250" s="18"/>
      <c r="F250" s="18"/>
      <c r="G250" s="142"/>
      <c r="H250" s="18"/>
      <c r="I250" s="142"/>
      <c r="J250" s="15"/>
      <c r="Q250" s="15"/>
      <c r="R250" s="18"/>
      <c r="S250" s="142"/>
      <c r="T250" s="142"/>
      <c r="U250" s="142"/>
      <c r="V250" s="18"/>
      <c r="W250" s="18"/>
      <c r="X250" s="18"/>
      <c r="Y250" s="142"/>
      <c r="Z250" s="18"/>
      <c r="AA250" s="18"/>
      <c r="AB250" s="18"/>
      <c r="AC250" s="18"/>
      <c r="AD250" s="18"/>
      <c r="AE250" s="18"/>
      <c r="AF250" s="18"/>
      <c r="AG250" s="18"/>
      <c r="AH250" s="18"/>
      <c r="AI250" s="18"/>
      <c r="AJ250" s="142"/>
      <c r="AK250" s="142"/>
      <c r="AL250" s="18"/>
      <c r="AM250" s="18"/>
      <c r="AN250" s="18"/>
      <c r="AO250" s="142"/>
    </row>
    <row r="251">
      <c r="A251" s="142"/>
      <c r="B251" s="18"/>
      <c r="C251" s="142"/>
      <c r="D251" s="18"/>
      <c r="E251" s="18"/>
      <c r="F251" s="18"/>
      <c r="G251" s="142"/>
      <c r="H251" s="18"/>
      <c r="I251" s="142"/>
      <c r="J251" s="15"/>
      <c r="Q251" s="15"/>
      <c r="R251" s="18"/>
      <c r="S251" s="142"/>
      <c r="T251" s="142"/>
      <c r="U251" s="142"/>
      <c r="V251" s="18"/>
      <c r="W251" s="18"/>
      <c r="X251" s="18"/>
      <c r="Y251" s="142"/>
      <c r="Z251" s="18"/>
      <c r="AA251" s="18"/>
      <c r="AB251" s="18"/>
      <c r="AC251" s="18"/>
      <c r="AD251" s="18"/>
      <c r="AE251" s="18"/>
      <c r="AF251" s="18"/>
      <c r="AG251" s="18"/>
      <c r="AH251" s="18"/>
      <c r="AI251" s="18"/>
      <c r="AJ251" s="142"/>
      <c r="AK251" s="142"/>
      <c r="AL251" s="18"/>
      <c r="AM251" s="18"/>
      <c r="AN251" s="18"/>
      <c r="AO251" s="142"/>
    </row>
    <row r="252">
      <c r="A252" s="142"/>
      <c r="B252" s="18"/>
      <c r="C252" s="142"/>
      <c r="D252" s="18"/>
      <c r="E252" s="18"/>
      <c r="F252" s="18"/>
      <c r="G252" s="142"/>
      <c r="H252" s="18"/>
      <c r="I252" s="142"/>
      <c r="J252" s="15"/>
      <c r="Q252" s="15"/>
      <c r="R252" s="18"/>
      <c r="S252" s="142"/>
      <c r="T252" s="142"/>
      <c r="U252" s="142"/>
      <c r="V252" s="18"/>
      <c r="W252" s="18"/>
      <c r="X252" s="18"/>
      <c r="Y252" s="142"/>
      <c r="Z252" s="18"/>
      <c r="AA252" s="18"/>
      <c r="AB252" s="18"/>
      <c r="AC252" s="18"/>
      <c r="AD252" s="18"/>
      <c r="AE252" s="18"/>
      <c r="AF252" s="18"/>
      <c r="AG252" s="18"/>
      <c r="AH252" s="18"/>
      <c r="AI252" s="18"/>
      <c r="AJ252" s="142"/>
      <c r="AK252" s="142"/>
      <c r="AL252" s="18"/>
      <c r="AM252" s="18"/>
      <c r="AN252" s="18"/>
      <c r="AO252" s="142"/>
    </row>
    <row r="253">
      <c r="A253" s="142"/>
      <c r="B253" s="18"/>
      <c r="C253" s="142"/>
      <c r="D253" s="18"/>
      <c r="E253" s="18"/>
      <c r="F253" s="18"/>
      <c r="G253" s="142"/>
      <c r="H253" s="18"/>
      <c r="I253" s="142"/>
      <c r="J253" s="15"/>
      <c r="Q253" s="15"/>
      <c r="R253" s="18"/>
      <c r="S253" s="142"/>
      <c r="T253" s="142"/>
      <c r="U253" s="142"/>
      <c r="V253" s="18"/>
      <c r="W253" s="18"/>
      <c r="X253" s="18"/>
      <c r="Y253" s="142"/>
      <c r="Z253" s="18"/>
      <c r="AA253" s="18"/>
      <c r="AB253" s="18"/>
      <c r="AC253" s="18"/>
      <c r="AD253" s="18"/>
      <c r="AE253" s="18"/>
      <c r="AF253" s="18"/>
      <c r="AG253" s="18"/>
      <c r="AH253" s="18"/>
      <c r="AI253" s="18"/>
      <c r="AJ253" s="142"/>
      <c r="AK253" s="142"/>
      <c r="AL253" s="18"/>
      <c r="AM253" s="18"/>
      <c r="AN253" s="18"/>
      <c r="AO253" s="142"/>
    </row>
    <row r="254">
      <c r="A254" s="142"/>
      <c r="B254" s="18"/>
      <c r="C254" s="142"/>
      <c r="D254" s="18"/>
      <c r="E254" s="18"/>
      <c r="F254" s="18"/>
      <c r="G254" s="142"/>
      <c r="H254" s="18"/>
      <c r="I254" s="142"/>
      <c r="J254" s="15"/>
      <c r="Q254" s="15"/>
      <c r="R254" s="18"/>
      <c r="S254" s="142"/>
      <c r="T254" s="142"/>
      <c r="U254" s="142"/>
      <c r="V254" s="18"/>
      <c r="W254" s="18"/>
      <c r="X254" s="18"/>
      <c r="Y254" s="142"/>
      <c r="Z254" s="18"/>
      <c r="AA254" s="18"/>
      <c r="AB254" s="18"/>
      <c r="AC254" s="18"/>
      <c r="AD254" s="18"/>
      <c r="AE254" s="18"/>
      <c r="AF254" s="18"/>
      <c r="AG254" s="18"/>
      <c r="AH254" s="18"/>
      <c r="AI254" s="18"/>
      <c r="AJ254" s="142"/>
      <c r="AK254" s="142"/>
      <c r="AL254" s="18"/>
      <c r="AM254" s="18"/>
      <c r="AN254" s="18"/>
      <c r="AO254" s="142"/>
    </row>
    <row r="255">
      <c r="A255" s="142"/>
      <c r="B255" s="18"/>
      <c r="C255" s="142"/>
      <c r="D255" s="18"/>
      <c r="E255" s="18"/>
      <c r="F255" s="18"/>
      <c r="G255" s="142"/>
      <c r="H255" s="18"/>
      <c r="I255" s="142"/>
      <c r="J255" s="15"/>
      <c r="Q255" s="15"/>
      <c r="R255" s="18"/>
      <c r="S255" s="142"/>
      <c r="T255" s="142"/>
      <c r="U255" s="142"/>
      <c r="V255" s="18"/>
      <c r="W255" s="18"/>
      <c r="X255" s="18"/>
      <c r="Y255" s="142"/>
      <c r="Z255" s="18"/>
      <c r="AA255" s="18"/>
      <c r="AB255" s="18"/>
      <c r="AC255" s="18"/>
      <c r="AD255" s="18"/>
      <c r="AE255" s="18"/>
      <c r="AF255" s="18"/>
      <c r="AG255" s="18"/>
      <c r="AH255" s="18"/>
      <c r="AI255" s="18"/>
      <c r="AJ255" s="142"/>
      <c r="AK255" s="142"/>
      <c r="AL255" s="18"/>
      <c r="AM255" s="18"/>
      <c r="AN255" s="18"/>
      <c r="AO255" s="142"/>
    </row>
    <row r="256">
      <c r="A256" s="142"/>
      <c r="B256" s="18"/>
      <c r="C256" s="142"/>
      <c r="D256" s="18"/>
      <c r="E256" s="18"/>
      <c r="F256" s="18"/>
      <c r="G256" s="142"/>
      <c r="H256" s="18"/>
      <c r="I256" s="142"/>
      <c r="J256" s="15"/>
      <c r="Q256" s="15"/>
      <c r="R256" s="18"/>
      <c r="S256" s="142"/>
      <c r="T256" s="142"/>
      <c r="U256" s="142"/>
      <c r="V256" s="18"/>
      <c r="W256" s="18"/>
      <c r="X256" s="18"/>
      <c r="Y256" s="142"/>
      <c r="Z256" s="18"/>
      <c r="AA256" s="18"/>
      <c r="AB256" s="18"/>
      <c r="AC256" s="18"/>
      <c r="AD256" s="18"/>
      <c r="AE256" s="18"/>
      <c r="AF256" s="18"/>
      <c r="AG256" s="18"/>
      <c r="AH256" s="18"/>
      <c r="AI256" s="18"/>
      <c r="AJ256" s="142"/>
      <c r="AK256" s="142"/>
      <c r="AL256" s="18"/>
      <c r="AM256" s="18"/>
      <c r="AN256" s="18"/>
      <c r="AO256" s="142"/>
    </row>
    <row r="257">
      <c r="A257" s="142"/>
      <c r="B257" s="18"/>
      <c r="C257" s="142"/>
      <c r="D257" s="18"/>
      <c r="E257" s="18"/>
      <c r="F257" s="18"/>
      <c r="G257" s="142"/>
      <c r="H257" s="18"/>
      <c r="I257" s="142"/>
      <c r="J257" s="15"/>
      <c r="Q257" s="15"/>
      <c r="R257" s="18"/>
      <c r="S257" s="142"/>
      <c r="T257" s="142"/>
      <c r="U257" s="142"/>
      <c r="V257" s="18"/>
      <c r="W257" s="18"/>
      <c r="X257" s="18"/>
      <c r="Y257" s="142"/>
      <c r="Z257" s="18"/>
      <c r="AA257" s="18"/>
      <c r="AB257" s="18"/>
      <c r="AC257" s="18"/>
      <c r="AD257" s="18"/>
      <c r="AE257" s="18"/>
      <c r="AF257" s="18"/>
      <c r="AG257" s="18"/>
      <c r="AH257" s="18"/>
      <c r="AI257" s="18"/>
      <c r="AJ257" s="142"/>
      <c r="AK257" s="142"/>
      <c r="AL257" s="18"/>
      <c r="AM257" s="18"/>
      <c r="AN257" s="18"/>
      <c r="AO257" s="142"/>
    </row>
    <row r="258">
      <c r="A258" s="142"/>
      <c r="B258" s="18"/>
      <c r="C258" s="142"/>
      <c r="D258" s="18"/>
      <c r="E258" s="18"/>
      <c r="F258" s="18"/>
      <c r="G258" s="142"/>
      <c r="H258" s="18"/>
      <c r="I258" s="142"/>
      <c r="J258" s="15"/>
      <c r="Q258" s="15"/>
      <c r="R258" s="18"/>
      <c r="S258" s="142"/>
      <c r="T258" s="142"/>
      <c r="U258" s="142"/>
      <c r="V258" s="18"/>
      <c r="W258" s="18"/>
      <c r="X258" s="18"/>
      <c r="Y258" s="142"/>
      <c r="Z258" s="18"/>
      <c r="AA258" s="18"/>
      <c r="AB258" s="18"/>
      <c r="AC258" s="18"/>
      <c r="AD258" s="18"/>
      <c r="AE258" s="18"/>
      <c r="AF258" s="18"/>
      <c r="AG258" s="18"/>
      <c r="AH258" s="18"/>
      <c r="AI258" s="18"/>
      <c r="AJ258" s="142"/>
      <c r="AK258" s="142"/>
      <c r="AL258" s="18"/>
      <c r="AM258" s="18"/>
      <c r="AN258" s="18"/>
      <c r="AO258" s="142"/>
    </row>
    <row r="259">
      <c r="A259" s="142"/>
      <c r="B259" s="18"/>
      <c r="C259" s="142"/>
      <c r="D259" s="18"/>
      <c r="E259" s="18"/>
      <c r="F259" s="18"/>
      <c r="G259" s="142"/>
      <c r="H259" s="18"/>
      <c r="I259" s="142"/>
      <c r="J259" s="15"/>
      <c r="Q259" s="15"/>
      <c r="R259" s="18"/>
      <c r="S259" s="142"/>
      <c r="T259" s="142"/>
      <c r="U259" s="142"/>
      <c r="V259" s="18"/>
      <c r="W259" s="18"/>
      <c r="X259" s="18"/>
      <c r="Y259" s="142"/>
      <c r="Z259" s="18"/>
      <c r="AA259" s="18"/>
      <c r="AB259" s="18"/>
      <c r="AC259" s="18"/>
      <c r="AD259" s="18"/>
      <c r="AE259" s="18"/>
      <c r="AF259" s="18"/>
      <c r="AG259" s="18"/>
      <c r="AH259" s="18"/>
      <c r="AI259" s="18"/>
      <c r="AJ259" s="142"/>
      <c r="AK259" s="142"/>
      <c r="AL259" s="18"/>
      <c r="AM259" s="18"/>
      <c r="AN259" s="18"/>
      <c r="AO259" s="142"/>
    </row>
    <row r="260">
      <c r="A260" s="142"/>
      <c r="B260" s="18"/>
      <c r="C260" s="142"/>
      <c r="D260" s="18"/>
      <c r="E260" s="18"/>
      <c r="F260" s="18"/>
      <c r="G260" s="142"/>
      <c r="H260" s="18"/>
      <c r="I260" s="142"/>
      <c r="J260" s="15"/>
      <c r="Q260" s="15"/>
      <c r="R260" s="18"/>
      <c r="S260" s="142"/>
      <c r="T260" s="142"/>
      <c r="U260" s="142"/>
      <c r="V260" s="18"/>
      <c r="W260" s="18"/>
      <c r="X260" s="18"/>
      <c r="Y260" s="142"/>
      <c r="Z260" s="18"/>
      <c r="AA260" s="18"/>
      <c r="AB260" s="18"/>
      <c r="AC260" s="18"/>
      <c r="AD260" s="18"/>
      <c r="AE260" s="18"/>
      <c r="AF260" s="18"/>
      <c r="AG260" s="18"/>
      <c r="AH260" s="18"/>
      <c r="AI260" s="18"/>
      <c r="AJ260" s="142"/>
      <c r="AK260" s="142"/>
      <c r="AL260" s="18"/>
      <c r="AM260" s="18"/>
      <c r="AN260" s="18"/>
      <c r="AO260" s="142"/>
    </row>
    <row r="261">
      <c r="A261" s="142"/>
      <c r="B261" s="18"/>
      <c r="C261" s="142"/>
      <c r="D261" s="18"/>
      <c r="E261" s="18"/>
      <c r="F261" s="18"/>
      <c r="G261" s="142"/>
      <c r="H261" s="18"/>
      <c r="I261" s="142"/>
      <c r="J261" s="15"/>
      <c r="Q261" s="15"/>
      <c r="R261" s="18"/>
      <c r="S261" s="142"/>
      <c r="T261" s="142"/>
      <c r="U261" s="142"/>
      <c r="V261" s="18"/>
      <c r="W261" s="18"/>
      <c r="X261" s="18"/>
      <c r="Y261" s="142"/>
      <c r="Z261" s="18"/>
      <c r="AA261" s="18"/>
      <c r="AB261" s="18"/>
      <c r="AC261" s="18"/>
      <c r="AD261" s="18"/>
      <c r="AE261" s="18"/>
      <c r="AF261" s="18"/>
      <c r="AG261" s="18"/>
      <c r="AH261" s="18"/>
      <c r="AI261" s="18"/>
      <c r="AJ261" s="142"/>
      <c r="AK261" s="142"/>
      <c r="AL261" s="18"/>
      <c r="AM261" s="18"/>
      <c r="AN261" s="18"/>
      <c r="AO261" s="142"/>
    </row>
    <row r="262">
      <c r="A262" s="142"/>
      <c r="B262" s="18"/>
      <c r="C262" s="142"/>
      <c r="D262" s="18"/>
      <c r="E262" s="18"/>
      <c r="F262" s="18"/>
      <c r="G262" s="142"/>
      <c r="H262" s="18"/>
      <c r="I262" s="142"/>
      <c r="J262" s="15"/>
      <c r="Q262" s="15"/>
      <c r="R262" s="18"/>
      <c r="S262" s="142"/>
      <c r="T262" s="142"/>
      <c r="U262" s="142"/>
      <c r="V262" s="18"/>
      <c r="W262" s="18"/>
      <c r="X262" s="18"/>
      <c r="Y262" s="142"/>
      <c r="Z262" s="18"/>
      <c r="AA262" s="18"/>
      <c r="AB262" s="18"/>
      <c r="AC262" s="18"/>
      <c r="AD262" s="18"/>
      <c r="AE262" s="18"/>
      <c r="AF262" s="18"/>
      <c r="AG262" s="18"/>
      <c r="AH262" s="18"/>
      <c r="AI262" s="18"/>
      <c r="AJ262" s="142"/>
      <c r="AK262" s="142"/>
      <c r="AL262" s="18"/>
      <c r="AM262" s="18"/>
      <c r="AN262" s="18"/>
      <c r="AO262" s="142"/>
    </row>
    <row r="263">
      <c r="A263" s="142"/>
      <c r="B263" s="18"/>
      <c r="C263" s="142"/>
      <c r="D263" s="18"/>
      <c r="E263" s="18"/>
      <c r="F263" s="18"/>
      <c r="G263" s="142"/>
      <c r="H263" s="18"/>
      <c r="I263" s="142"/>
      <c r="J263" s="15"/>
      <c r="Q263" s="15"/>
      <c r="R263" s="18"/>
      <c r="S263" s="142"/>
      <c r="T263" s="142"/>
      <c r="U263" s="142"/>
      <c r="V263" s="18"/>
      <c r="W263" s="18"/>
      <c r="X263" s="18"/>
      <c r="Y263" s="142"/>
      <c r="Z263" s="18"/>
      <c r="AA263" s="18"/>
      <c r="AB263" s="18"/>
      <c r="AC263" s="18"/>
      <c r="AD263" s="18"/>
      <c r="AE263" s="18"/>
      <c r="AF263" s="18"/>
      <c r="AG263" s="18"/>
      <c r="AH263" s="18"/>
      <c r="AI263" s="18"/>
      <c r="AJ263" s="142"/>
      <c r="AK263" s="142"/>
      <c r="AL263" s="18"/>
      <c r="AM263" s="18"/>
      <c r="AN263" s="18"/>
      <c r="AO263" s="142"/>
    </row>
    <row r="264">
      <c r="A264" s="142"/>
      <c r="B264" s="18"/>
      <c r="C264" s="142"/>
      <c r="D264" s="18"/>
      <c r="E264" s="18"/>
      <c r="F264" s="18"/>
      <c r="G264" s="142"/>
      <c r="H264" s="18"/>
      <c r="I264" s="142"/>
      <c r="J264" s="15"/>
      <c r="Q264" s="15"/>
      <c r="R264" s="18"/>
      <c r="S264" s="142"/>
      <c r="T264" s="142"/>
      <c r="U264" s="142"/>
      <c r="V264" s="18"/>
      <c r="W264" s="18"/>
      <c r="X264" s="18"/>
      <c r="Y264" s="142"/>
      <c r="Z264" s="18"/>
      <c r="AA264" s="18"/>
      <c r="AB264" s="18"/>
      <c r="AC264" s="18"/>
      <c r="AD264" s="18"/>
      <c r="AE264" s="18"/>
      <c r="AF264" s="18"/>
      <c r="AG264" s="18"/>
      <c r="AH264" s="18"/>
      <c r="AI264" s="18"/>
      <c r="AJ264" s="142"/>
      <c r="AK264" s="142"/>
      <c r="AL264" s="18"/>
      <c r="AM264" s="18"/>
      <c r="AN264" s="18"/>
      <c r="AO264" s="142"/>
    </row>
    <row r="265">
      <c r="A265" s="142"/>
      <c r="B265" s="18"/>
      <c r="C265" s="142"/>
      <c r="D265" s="18"/>
      <c r="E265" s="18"/>
      <c r="F265" s="18"/>
      <c r="G265" s="142"/>
      <c r="H265" s="18"/>
      <c r="I265" s="142"/>
      <c r="J265" s="15"/>
      <c r="Q265" s="15"/>
      <c r="R265" s="18"/>
      <c r="S265" s="142"/>
      <c r="T265" s="142"/>
      <c r="U265" s="142"/>
      <c r="V265" s="18"/>
      <c r="W265" s="18"/>
      <c r="X265" s="18"/>
      <c r="Y265" s="142"/>
      <c r="Z265" s="18"/>
      <c r="AA265" s="18"/>
      <c r="AB265" s="18"/>
      <c r="AC265" s="18"/>
      <c r="AD265" s="18"/>
      <c r="AE265" s="18"/>
      <c r="AF265" s="18"/>
      <c r="AG265" s="18"/>
      <c r="AH265" s="18"/>
      <c r="AI265" s="18"/>
      <c r="AJ265" s="142"/>
      <c r="AK265" s="142"/>
      <c r="AL265" s="18"/>
      <c r="AM265" s="18"/>
      <c r="AN265" s="18"/>
      <c r="AO265" s="142"/>
    </row>
    <row r="266">
      <c r="A266" s="142"/>
      <c r="B266" s="18"/>
      <c r="C266" s="142"/>
      <c r="D266" s="18"/>
      <c r="E266" s="18"/>
      <c r="F266" s="18"/>
      <c r="G266" s="142"/>
      <c r="H266" s="18"/>
      <c r="I266" s="142"/>
      <c r="J266" s="15"/>
      <c r="Q266" s="15"/>
      <c r="R266" s="18"/>
      <c r="S266" s="142"/>
      <c r="T266" s="142"/>
      <c r="U266" s="142"/>
      <c r="V266" s="18"/>
      <c r="W266" s="18"/>
      <c r="X266" s="18"/>
      <c r="Y266" s="142"/>
      <c r="Z266" s="18"/>
      <c r="AA266" s="18"/>
      <c r="AB266" s="18"/>
      <c r="AC266" s="18"/>
      <c r="AD266" s="18"/>
      <c r="AE266" s="18"/>
      <c r="AF266" s="18"/>
      <c r="AG266" s="18"/>
      <c r="AH266" s="18"/>
      <c r="AI266" s="18"/>
      <c r="AJ266" s="142"/>
      <c r="AK266" s="142"/>
      <c r="AL266" s="18"/>
      <c r="AM266" s="18"/>
      <c r="AN266" s="18"/>
      <c r="AO266" s="142"/>
    </row>
    <row r="267">
      <c r="A267" s="142"/>
      <c r="B267" s="18"/>
      <c r="C267" s="142"/>
      <c r="D267" s="18"/>
      <c r="E267" s="18"/>
      <c r="F267" s="18"/>
      <c r="G267" s="142"/>
      <c r="H267" s="18"/>
      <c r="I267" s="142"/>
      <c r="J267" s="15"/>
      <c r="Q267" s="15"/>
      <c r="R267" s="18"/>
      <c r="S267" s="142"/>
      <c r="T267" s="142"/>
      <c r="U267" s="142"/>
      <c r="V267" s="18"/>
      <c r="W267" s="18"/>
      <c r="X267" s="18"/>
      <c r="Y267" s="142"/>
      <c r="Z267" s="18"/>
      <c r="AA267" s="18"/>
      <c r="AB267" s="18"/>
      <c r="AC267" s="18"/>
      <c r="AD267" s="18"/>
      <c r="AE267" s="18"/>
      <c r="AF267" s="18"/>
      <c r="AG267" s="18"/>
      <c r="AH267" s="18"/>
      <c r="AI267" s="18"/>
      <c r="AJ267" s="142"/>
      <c r="AK267" s="142"/>
      <c r="AL267" s="18"/>
      <c r="AM267" s="18"/>
      <c r="AN267" s="18"/>
      <c r="AO267" s="142"/>
    </row>
    <row r="268">
      <c r="A268" s="142"/>
      <c r="B268" s="18"/>
      <c r="C268" s="142"/>
      <c r="D268" s="18"/>
      <c r="E268" s="18"/>
      <c r="F268" s="18"/>
      <c r="G268" s="142"/>
      <c r="H268" s="18"/>
      <c r="I268" s="142"/>
      <c r="J268" s="15"/>
      <c r="Q268" s="15"/>
      <c r="R268" s="18"/>
      <c r="S268" s="142"/>
      <c r="T268" s="142"/>
      <c r="U268" s="142"/>
      <c r="V268" s="18"/>
      <c r="W268" s="18"/>
      <c r="X268" s="18"/>
      <c r="Y268" s="142"/>
      <c r="Z268" s="18"/>
      <c r="AA268" s="18"/>
      <c r="AB268" s="18"/>
      <c r="AC268" s="18"/>
      <c r="AD268" s="18"/>
      <c r="AE268" s="18"/>
      <c r="AF268" s="18"/>
      <c r="AG268" s="18"/>
      <c r="AH268" s="18"/>
      <c r="AI268" s="18"/>
      <c r="AJ268" s="142"/>
      <c r="AK268" s="142"/>
      <c r="AL268" s="18"/>
      <c r="AM268" s="18"/>
      <c r="AN268" s="18"/>
      <c r="AO268" s="142"/>
    </row>
    <row r="269">
      <c r="A269" s="142"/>
      <c r="B269" s="18"/>
      <c r="C269" s="142"/>
      <c r="D269" s="18"/>
      <c r="E269" s="18"/>
      <c r="F269" s="18"/>
      <c r="G269" s="142"/>
      <c r="H269" s="18"/>
      <c r="I269" s="142"/>
      <c r="J269" s="15"/>
      <c r="Q269" s="15"/>
      <c r="R269" s="18"/>
      <c r="S269" s="142"/>
      <c r="T269" s="142"/>
      <c r="U269" s="142"/>
      <c r="V269" s="18"/>
      <c r="W269" s="18"/>
      <c r="X269" s="18"/>
      <c r="Y269" s="142"/>
      <c r="Z269" s="18"/>
      <c r="AA269" s="18"/>
      <c r="AB269" s="18"/>
      <c r="AC269" s="18"/>
      <c r="AD269" s="18"/>
      <c r="AE269" s="18"/>
      <c r="AF269" s="18"/>
      <c r="AG269" s="18"/>
      <c r="AH269" s="18"/>
      <c r="AI269" s="18"/>
      <c r="AJ269" s="142"/>
      <c r="AK269" s="142"/>
      <c r="AL269" s="18"/>
      <c r="AM269" s="18"/>
      <c r="AN269" s="18"/>
      <c r="AO269" s="142"/>
    </row>
    <row r="270">
      <c r="A270" s="142"/>
      <c r="B270" s="18"/>
      <c r="C270" s="142"/>
      <c r="D270" s="18"/>
      <c r="E270" s="18"/>
      <c r="F270" s="18"/>
      <c r="G270" s="142"/>
      <c r="H270" s="18"/>
      <c r="I270" s="142"/>
      <c r="J270" s="15"/>
      <c r="Q270" s="15"/>
      <c r="R270" s="18"/>
      <c r="S270" s="142"/>
      <c r="T270" s="142"/>
      <c r="U270" s="142"/>
      <c r="V270" s="18"/>
      <c r="W270" s="18"/>
      <c r="X270" s="18"/>
      <c r="Y270" s="142"/>
      <c r="Z270" s="18"/>
      <c r="AA270" s="18"/>
      <c r="AB270" s="18"/>
      <c r="AC270" s="18"/>
      <c r="AD270" s="18"/>
      <c r="AE270" s="18"/>
      <c r="AF270" s="18"/>
      <c r="AG270" s="18"/>
      <c r="AH270" s="18"/>
      <c r="AI270" s="18"/>
      <c r="AJ270" s="142"/>
      <c r="AK270" s="142"/>
      <c r="AL270" s="18"/>
      <c r="AM270" s="18"/>
      <c r="AN270" s="18"/>
      <c r="AO270" s="142"/>
    </row>
    <row r="271">
      <c r="A271" s="142"/>
      <c r="B271" s="18"/>
      <c r="C271" s="142"/>
      <c r="D271" s="18"/>
      <c r="E271" s="18"/>
      <c r="F271" s="18"/>
      <c r="G271" s="142"/>
      <c r="H271" s="18"/>
      <c r="I271" s="142"/>
      <c r="J271" s="15"/>
      <c r="Q271" s="15"/>
      <c r="R271" s="18"/>
      <c r="S271" s="142"/>
      <c r="T271" s="142"/>
      <c r="U271" s="142"/>
      <c r="V271" s="18"/>
      <c r="W271" s="18"/>
      <c r="X271" s="18"/>
      <c r="Y271" s="142"/>
      <c r="Z271" s="18"/>
      <c r="AA271" s="18"/>
      <c r="AB271" s="18"/>
      <c r="AC271" s="18"/>
      <c r="AD271" s="18"/>
      <c r="AE271" s="18"/>
      <c r="AF271" s="18"/>
      <c r="AG271" s="18"/>
      <c r="AH271" s="18"/>
      <c r="AI271" s="18"/>
      <c r="AJ271" s="142"/>
      <c r="AK271" s="142"/>
      <c r="AL271" s="18"/>
      <c r="AM271" s="18"/>
      <c r="AN271" s="18"/>
      <c r="AO271" s="142"/>
    </row>
    <row r="272">
      <c r="A272" s="142"/>
      <c r="B272" s="18"/>
      <c r="C272" s="142"/>
      <c r="D272" s="18"/>
      <c r="E272" s="18"/>
      <c r="F272" s="18"/>
      <c r="G272" s="142"/>
      <c r="H272" s="18"/>
      <c r="I272" s="142"/>
      <c r="J272" s="15"/>
      <c r="Q272" s="15"/>
      <c r="R272" s="18"/>
      <c r="S272" s="142"/>
      <c r="T272" s="142"/>
      <c r="U272" s="142"/>
      <c r="V272" s="18"/>
      <c r="W272" s="18"/>
      <c r="X272" s="18"/>
      <c r="Y272" s="142"/>
      <c r="Z272" s="18"/>
      <c r="AA272" s="18"/>
      <c r="AB272" s="18"/>
      <c r="AC272" s="18"/>
      <c r="AD272" s="18"/>
      <c r="AE272" s="18"/>
      <c r="AF272" s="18"/>
      <c r="AG272" s="18"/>
      <c r="AH272" s="18"/>
      <c r="AI272" s="18"/>
      <c r="AJ272" s="142"/>
      <c r="AK272" s="142"/>
      <c r="AL272" s="18"/>
      <c r="AM272" s="18"/>
      <c r="AN272" s="18"/>
      <c r="AO272" s="142"/>
    </row>
    <row r="273">
      <c r="A273" s="142"/>
      <c r="B273" s="18"/>
      <c r="C273" s="142"/>
      <c r="D273" s="18"/>
      <c r="E273" s="18"/>
      <c r="F273" s="18"/>
      <c r="G273" s="142"/>
      <c r="H273" s="18"/>
      <c r="I273" s="142"/>
      <c r="J273" s="15"/>
      <c r="Q273" s="15"/>
      <c r="R273" s="18"/>
      <c r="S273" s="142"/>
      <c r="T273" s="142"/>
      <c r="U273" s="142"/>
      <c r="V273" s="18"/>
      <c r="W273" s="18"/>
      <c r="X273" s="18"/>
      <c r="Y273" s="142"/>
      <c r="Z273" s="18"/>
      <c r="AA273" s="18"/>
      <c r="AB273" s="18"/>
      <c r="AC273" s="18"/>
      <c r="AD273" s="18"/>
      <c r="AE273" s="18"/>
      <c r="AF273" s="18"/>
      <c r="AG273" s="18"/>
      <c r="AH273" s="18"/>
      <c r="AI273" s="18"/>
      <c r="AJ273" s="142"/>
      <c r="AK273" s="142"/>
      <c r="AL273" s="18"/>
      <c r="AM273" s="18"/>
      <c r="AN273" s="18"/>
      <c r="AO273" s="142"/>
    </row>
    <row r="274">
      <c r="A274" s="142"/>
      <c r="B274" s="18"/>
      <c r="C274" s="142"/>
      <c r="D274" s="18"/>
      <c r="E274" s="18"/>
      <c r="F274" s="18"/>
      <c r="G274" s="142"/>
      <c r="H274" s="18"/>
      <c r="I274" s="142"/>
      <c r="J274" s="15"/>
      <c r="Q274" s="15"/>
      <c r="R274" s="18"/>
      <c r="S274" s="142"/>
      <c r="T274" s="142"/>
      <c r="U274" s="142"/>
      <c r="V274" s="18"/>
      <c r="W274" s="18"/>
      <c r="X274" s="18"/>
      <c r="Y274" s="142"/>
      <c r="Z274" s="18"/>
      <c r="AA274" s="18"/>
      <c r="AB274" s="18"/>
      <c r="AC274" s="18"/>
      <c r="AD274" s="18"/>
      <c r="AE274" s="18"/>
      <c r="AF274" s="18"/>
      <c r="AG274" s="18"/>
      <c r="AH274" s="18"/>
      <c r="AI274" s="18"/>
      <c r="AJ274" s="142"/>
      <c r="AK274" s="142"/>
      <c r="AL274" s="18"/>
      <c r="AM274" s="18"/>
      <c r="AN274" s="18"/>
      <c r="AO274" s="142"/>
    </row>
    <row r="275">
      <c r="A275" s="142"/>
      <c r="B275" s="18"/>
      <c r="C275" s="142"/>
      <c r="D275" s="18"/>
      <c r="E275" s="18"/>
      <c r="F275" s="18"/>
      <c r="G275" s="142"/>
      <c r="H275" s="18"/>
      <c r="I275" s="142"/>
      <c r="J275" s="15"/>
      <c r="Q275" s="15"/>
      <c r="R275" s="18"/>
      <c r="S275" s="142"/>
      <c r="T275" s="142"/>
      <c r="U275" s="142"/>
      <c r="V275" s="18"/>
      <c r="W275" s="18"/>
      <c r="X275" s="18"/>
      <c r="Y275" s="142"/>
      <c r="Z275" s="18"/>
      <c r="AA275" s="18"/>
      <c r="AB275" s="18"/>
      <c r="AC275" s="18"/>
      <c r="AD275" s="18"/>
      <c r="AE275" s="18"/>
      <c r="AF275" s="18"/>
      <c r="AG275" s="18"/>
      <c r="AH275" s="18"/>
      <c r="AI275" s="18"/>
      <c r="AJ275" s="142"/>
      <c r="AK275" s="142"/>
      <c r="AL275" s="18"/>
      <c r="AM275" s="18"/>
      <c r="AN275" s="18"/>
      <c r="AO275" s="142"/>
    </row>
    <row r="276">
      <c r="A276" s="142"/>
      <c r="B276" s="18"/>
      <c r="C276" s="142"/>
      <c r="D276" s="18"/>
      <c r="E276" s="18"/>
      <c r="F276" s="18"/>
      <c r="G276" s="142"/>
      <c r="H276" s="18"/>
      <c r="I276" s="142"/>
      <c r="J276" s="15"/>
      <c r="Q276" s="15"/>
      <c r="R276" s="18"/>
      <c r="S276" s="142"/>
      <c r="T276" s="142"/>
      <c r="U276" s="142"/>
      <c r="V276" s="18"/>
      <c r="W276" s="18"/>
      <c r="X276" s="18"/>
      <c r="Y276" s="142"/>
      <c r="Z276" s="18"/>
      <c r="AA276" s="18"/>
      <c r="AB276" s="18"/>
      <c r="AC276" s="18"/>
      <c r="AD276" s="18"/>
      <c r="AE276" s="18"/>
      <c r="AF276" s="18"/>
      <c r="AG276" s="18"/>
      <c r="AH276" s="18"/>
      <c r="AI276" s="18"/>
      <c r="AJ276" s="142"/>
      <c r="AK276" s="142"/>
      <c r="AL276" s="18"/>
      <c r="AM276" s="18"/>
      <c r="AN276" s="18"/>
      <c r="AO276" s="142"/>
    </row>
    <row r="277">
      <c r="A277" s="142"/>
      <c r="B277" s="18"/>
      <c r="C277" s="142"/>
      <c r="D277" s="18"/>
      <c r="E277" s="18"/>
      <c r="F277" s="18"/>
      <c r="G277" s="142"/>
      <c r="H277" s="18"/>
      <c r="I277" s="142"/>
      <c r="J277" s="15"/>
      <c r="Q277" s="15"/>
      <c r="R277" s="18"/>
      <c r="S277" s="142"/>
      <c r="T277" s="142"/>
      <c r="U277" s="142"/>
      <c r="V277" s="18"/>
      <c r="W277" s="18"/>
      <c r="X277" s="18"/>
      <c r="Y277" s="142"/>
      <c r="Z277" s="18"/>
      <c r="AA277" s="18"/>
      <c r="AB277" s="18"/>
      <c r="AC277" s="18"/>
      <c r="AD277" s="18"/>
      <c r="AE277" s="18"/>
      <c r="AF277" s="18"/>
      <c r="AG277" s="18"/>
      <c r="AH277" s="18"/>
      <c r="AI277" s="18"/>
      <c r="AJ277" s="142"/>
      <c r="AK277" s="142"/>
      <c r="AL277" s="18"/>
      <c r="AM277" s="18"/>
      <c r="AN277" s="18"/>
      <c r="AO277" s="142"/>
    </row>
    <row r="278">
      <c r="A278" s="142"/>
      <c r="B278" s="18"/>
      <c r="C278" s="142"/>
      <c r="D278" s="18"/>
      <c r="E278" s="18"/>
      <c r="F278" s="18"/>
      <c r="G278" s="142"/>
      <c r="H278" s="18"/>
      <c r="I278" s="142"/>
      <c r="J278" s="15"/>
      <c r="Q278" s="15"/>
      <c r="R278" s="18"/>
      <c r="S278" s="142"/>
      <c r="T278" s="142"/>
      <c r="U278" s="142"/>
      <c r="V278" s="18"/>
      <c r="W278" s="18"/>
      <c r="X278" s="18"/>
      <c r="Y278" s="142"/>
      <c r="Z278" s="18"/>
      <c r="AA278" s="18"/>
      <c r="AB278" s="18"/>
      <c r="AC278" s="18"/>
      <c r="AD278" s="18"/>
      <c r="AE278" s="18"/>
      <c r="AF278" s="18"/>
      <c r="AG278" s="18"/>
      <c r="AH278" s="18"/>
      <c r="AI278" s="18"/>
      <c r="AJ278" s="142"/>
      <c r="AK278" s="142"/>
      <c r="AL278" s="18"/>
      <c r="AM278" s="18"/>
      <c r="AN278" s="18"/>
      <c r="AO278" s="142"/>
    </row>
    <row r="279">
      <c r="A279" s="142"/>
      <c r="B279" s="18"/>
      <c r="C279" s="142"/>
      <c r="D279" s="18"/>
      <c r="E279" s="18"/>
      <c r="F279" s="18"/>
      <c r="G279" s="142"/>
      <c r="H279" s="18"/>
      <c r="I279" s="142"/>
      <c r="J279" s="15"/>
      <c r="Q279" s="15"/>
      <c r="R279" s="18"/>
      <c r="S279" s="142"/>
      <c r="T279" s="142"/>
      <c r="U279" s="142"/>
      <c r="V279" s="18"/>
      <c r="W279" s="18"/>
      <c r="X279" s="18"/>
      <c r="Y279" s="142"/>
      <c r="Z279" s="18"/>
      <c r="AA279" s="18"/>
      <c r="AB279" s="18"/>
      <c r="AC279" s="18"/>
      <c r="AD279" s="18"/>
      <c r="AE279" s="18"/>
      <c r="AF279" s="18"/>
      <c r="AG279" s="18"/>
      <c r="AH279" s="18"/>
      <c r="AI279" s="18"/>
      <c r="AJ279" s="142"/>
      <c r="AK279" s="142"/>
      <c r="AL279" s="18"/>
      <c r="AM279" s="18"/>
      <c r="AN279" s="18"/>
      <c r="AO279" s="142"/>
    </row>
    <row r="280">
      <c r="A280" s="142"/>
      <c r="B280" s="18"/>
      <c r="C280" s="142"/>
      <c r="D280" s="18"/>
      <c r="E280" s="18"/>
      <c r="F280" s="18"/>
      <c r="G280" s="142"/>
      <c r="H280" s="18"/>
      <c r="I280" s="142"/>
      <c r="J280" s="15"/>
      <c r="Q280" s="15"/>
      <c r="R280" s="18"/>
      <c r="S280" s="142"/>
      <c r="T280" s="142"/>
      <c r="U280" s="142"/>
      <c r="V280" s="18"/>
      <c r="W280" s="18"/>
      <c r="X280" s="18"/>
      <c r="Y280" s="142"/>
      <c r="Z280" s="18"/>
      <c r="AA280" s="18"/>
      <c r="AB280" s="18"/>
      <c r="AC280" s="18"/>
      <c r="AD280" s="18"/>
      <c r="AE280" s="18"/>
      <c r="AF280" s="18"/>
      <c r="AG280" s="18"/>
      <c r="AH280" s="18"/>
      <c r="AI280" s="18"/>
      <c r="AJ280" s="142"/>
      <c r="AK280" s="142"/>
      <c r="AL280" s="18"/>
      <c r="AM280" s="18"/>
      <c r="AN280" s="18"/>
      <c r="AO280" s="142"/>
    </row>
    <row r="281">
      <c r="A281" s="142"/>
      <c r="B281" s="18"/>
      <c r="C281" s="142"/>
      <c r="D281" s="18"/>
      <c r="E281" s="18"/>
      <c r="F281" s="18"/>
      <c r="G281" s="142"/>
      <c r="H281" s="18"/>
      <c r="I281" s="142"/>
      <c r="J281" s="15"/>
      <c r="Q281" s="15"/>
      <c r="R281" s="18"/>
      <c r="S281" s="142"/>
      <c r="T281" s="142"/>
      <c r="U281" s="142"/>
      <c r="V281" s="18"/>
      <c r="W281" s="18"/>
      <c r="X281" s="18"/>
      <c r="Y281" s="142"/>
      <c r="Z281" s="18"/>
      <c r="AA281" s="18"/>
      <c r="AB281" s="18"/>
      <c r="AC281" s="18"/>
      <c r="AD281" s="18"/>
      <c r="AE281" s="18"/>
      <c r="AF281" s="18"/>
      <c r="AG281" s="18"/>
      <c r="AH281" s="18"/>
      <c r="AI281" s="18"/>
      <c r="AJ281" s="142"/>
      <c r="AK281" s="142"/>
      <c r="AL281" s="18"/>
      <c r="AM281" s="18"/>
      <c r="AN281" s="18"/>
      <c r="AO281" s="142"/>
    </row>
    <row r="282">
      <c r="A282" s="142"/>
      <c r="B282" s="18"/>
      <c r="C282" s="142"/>
      <c r="D282" s="18"/>
      <c r="E282" s="18"/>
      <c r="F282" s="18"/>
      <c r="G282" s="142"/>
      <c r="H282" s="18"/>
      <c r="I282" s="142"/>
      <c r="J282" s="15"/>
      <c r="Q282" s="15"/>
      <c r="R282" s="18"/>
      <c r="S282" s="142"/>
      <c r="T282" s="142"/>
      <c r="U282" s="142"/>
      <c r="V282" s="18"/>
      <c r="W282" s="18"/>
      <c r="X282" s="18"/>
      <c r="Y282" s="142"/>
      <c r="Z282" s="18"/>
      <c r="AA282" s="18"/>
      <c r="AB282" s="18"/>
      <c r="AC282" s="18"/>
      <c r="AD282" s="18"/>
      <c r="AE282" s="18"/>
      <c r="AF282" s="18"/>
      <c r="AG282" s="18"/>
      <c r="AH282" s="18"/>
      <c r="AI282" s="18"/>
      <c r="AJ282" s="142"/>
      <c r="AK282" s="142"/>
      <c r="AL282" s="18"/>
      <c r="AM282" s="18"/>
      <c r="AN282" s="18"/>
      <c r="AO282" s="142"/>
    </row>
    <row r="283">
      <c r="A283" s="142"/>
      <c r="B283" s="18"/>
      <c r="C283" s="142"/>
      <c r="D283" s="18"/>
      <c r="E283" s="18"/>
      <c r="F283" s="18"/>
      <c r="G283" s="142"/>
      <c r="H283" s="18"/>
      <c r="I283" s="142"/>
      <c r="J283" s="15"/>
      <c r="Q283" s="15"/>
      <c r="R283" s="18"/>
      <c r="S283" s="142"/>
      <c r="T283" s="142"/>
      <c r="U283" s="142"/>
      <c r="V283" s="18"/>
      <c r="W283" s="18"/>
      <c r="X283" s="18"/>
      <c r="Y283" s="142"/>
      <c r="Z283" s="18"/>
      <c r="AA283" s="18"/>
      <c r="AB283" s="18"/>
      <c r="AC283" s="18"/>
      <c r="AD283" s="18"/>
      <c r="AE283" s="18"/>
      <c r="AF283" s="18"/>
      <c r="AG283" s="18"/>
      <c r="AH283" s="18"/>
      <c r="AI283" s="18"/>
      <c r="AJ283" s="142"/>
      <c r="AK283" s="142"/>
      <c r="AL283" s="18"/>
      <c r="AM283" s="18"/>
      <c r="AN283" s="18"/>
      <c r="AO283" s="142"/>
    </row>
    <row r="284">
      <c r="A284" s="142"/>
      <c r="B284" s="18"/>
      <c r="C284" s="142"/>
      <c r="D284" s="18"/>
      <c r="E284" s="18"/>
      <c r="F284" s="18"/>
      <c r="G284" s="142"/>
      <c r="H284" s="18"/>
      <c r="I284" s="142"/>
      <c r="J284" s="15"/>
      <c r="Q284" s="15"/>
      <c r="R284" s="18"/>
      <c r="S284" s="142"/>
      <c r="T284" s="142"/>
      <c r="U284" s="142"/>
      <c r="V284" s="18"/>
      <c r="W284" s="18"/>
      <c r="X284" s="18"/>
      <c r="Y284" s="142"/>
      <c r="Z284" s="18"/>
      <c r="AA284" s="18"/>
      <c r="AB284" s="18"/>
      <c r="AC284" s="18"/>
      <c r="AD284" s="18"/>
      <c r="AE284" s="18"/>
      <c r="AF284" s="18"/>
      <c r="AG284" s="18"/>
      <c r="AH284" s="18"/>
      <c r="AI284" s="18"/>
      <c r="AJ284" s="142"/>
      <c r="AK284" s="142"/>
      <c r="AL284" s="18"/>
      <c r="AM284" s="18"/>
      <c r="AN284" s="18"/>
      <c r="AO284" s="142"/>
    </row>
    <row r="285">
      <c r="A285" s="142"/>
      <c r="B285" s="18"/>
      <c r="C285" s="142"/>
      <c r="D285" s="18"/>
      <c r="E285" s="18"/>
      <c r="F285" s="18"/>
      <c r="G285" s="142"/>
      <c r="H285" s="18"/>
      <c r="I285" s="142"/>
      <c r="J285" s="15"/>
      <c r="Q285" s="15"/>
      <c r="R285" s="18"/>
      <c r="S285" s="142"/>
      <c r="T285" s="142"/>
      <c r="U285" s="142"/>
      <c r="V285" s="18"/>
      <c r="W285" s="18"/>
      <c r="X285" s="18"/>
      <c r="Y285" s="142"/>
      <c r="Z285" s="18"/>
      <c r="AA285" s="18"/>
      <c r="AB285" s="18"/>
      <c r="AC285" s="18"/>
      <c r="AD285" s="18"/>
      <c r="AE285" s="18"/>
      <c r="AF285" s="18"/>
      <c r="AG285" s="18"/>
      <c r="AH285" s="18"/>
      <c r="AI285" s="18"/>
      <c r="AJ285" s="142"/>
      <c r="AK285" s="142"/>
      <c r="AL285" s="18"/>
      <c r="AM285" s="18"/>
      <c r="AN285" s="18"/>
      <c r="AO285" s="142"/>
    </row>
    <row r="286">
      <c r="A286" s="142"/>
      <c r="B286" s="18"/>
      <c r="C286" s="142"/>
      <c r="D286" s="18"/>
      <c r="E286" s="18"/>
      <c r="F286" s="18"/>
      <c r="G286" s="142"/>
      <c r="H286" s="18"/>
      <c r="I286" s="142"/>
      <c r="J286" s="15"/>
      <c r="Q286" s="15"/>
      <c r="R286" s="18"/>
      <c r="S286" s="142"/>
      <c r="T286" s="142"/>
      <c r="U286" s="142"/>
      <c r="V286" s="18"/>
      <c r="W286" s="18"/>
      <c r="X286" s="18"/>
      <c r="Y286" s="142"/>
      <c r="Z286" s="18"/>
      <c r="AA286" s="18"/>
      <c r="AB286" s="18"/>
      <c r="AC286" s="18"/>
      <c r="AD286" s="18"/>
      <c r="AE286" s="18"/>
      <c r="AF286" s="18"/>
      <c r="AG286" s="18"/>
      <c r="AH286" s="18"/>
      <c r="AI286" s="18"/>
      <c r="AJ286" s="142"/>
      <c r="AK286" s="142"/>
      <c r="AL286" s="18"/>
      <c r="AM286" s="18"/>
      <c r="AN286" s="18"/>
      <c r="AO286" s="142"/>
    </row>
    <row r="287">
      <c r="A287" s="142"/>
      <c r="B287" s="18"/>
      <c r="C287" s="142"/>
      <c r="D287" s="18"/>
      <c r="E287" s="18"/>
      <c r="F287" s="18"/>
      <c r="G287" s="142"/>
      <c r="H287" s="18"/>
      <c r="I287" s="142"/>
      <c r="J287" s="15"/>
      <c r="Q287" s="15"/>
      <c r="R287" s="18"/>
      <c r="S287" s="142"/>
      <c r="T287" s="142"/>
      <c r="U287" s="142"/>
      <c r="V287" s="18"/>
      <c r="W287" s="18"/>
      <c r="X287" s="18"/>
      <c r="Y287" s="142"/>
      <c r="Z287" s="18"/>
      <c r="AA287" s="18"/>
      <c r="AB287" s="18"/>
      <c r="AC287" s="18"/>
      <c r="AD287" s="18"/>
      <c r="AE287" s="18"/>
      <c r="AF287" s="18"/>
      <c r="AG287" s="18"/>
      <c r="AH287" s="18"/>
      <c r="AI287" s="18"/>
      <c r="AJ287" s="142"/>
      <c r="AK287" s="142"/>
      <c r="AL287" s="18"/>
      <c r="AM287" s="18"/>
      <c r="AN287" s="18"/>
      <c r="AO287" s="142"/>
    </row>
    <row r="288">
      <c r="A288" s="142"/>
      <c r="B288" s="18"/>
      <c r="C288" s="142"/>
      <c r="D288" s="18"/>
      <c r="E288" s="18"/>
      <c r="F288" s="18"/>
      <c r="G288" s="142"/>
      <c r="H288" s="18"/>
      <c r="I288" s="142"/>
      <c r="J288" s="15"/>
      <c r="Q288" s="15"/>
      <c r="R288" s="18"/>
      <c r="S288" s="142"/>
      <c r="T288" s="142"/>
      <c r="U288" s="142"/>
      <c r="V288" s="18"/>
      <c r="W288" s="18"/>
      <c r="X288" s="18"/>
      <c r="Y288" s="142"/>
      <c r="Z288" s="18"/>
      <c r="AA288" s="18"/>
      <c r="AB288" s="18"/>
      <c r="AC288" s="18"/>
      <c r="AD288" s="18"/>
      <c r="AE288" s="18"/>
      <c r="AF288" s="18"/>
      <c r="AG288" s="18"/>
      <c r="AH288" s="18"/>
      <c r="AI288" s="18"/>
      <c r="AJ288" s="142"/>
      <c r="AK288" s="142"/>
      <c r="AL288" s="18"/>
      <c r="AM288" s="18"/>
      <c r="AN288" s="18"/>
      <c r="AO288" s="142"/>
    </row>
    <row r="289">
      <c r="A289" s="142"/>
      <c r="B289" s="18"/>
      <c r="C289" s="142"/>
      <c r="D289" s="18"/>
      <c r="E289" s="18"/>
      <c r="F289" s="18"/>
      <c r="G289" s="142"/>
      <c r="H289" s="18"/>
      <c r="I289" s="142"/>
      <c r="J289" s="15"/>
      <c r="Q289" s="15"/>
      <c r="R289" s="18"/>
      <c r="S289" s="142"/>
      <c r="T289" s="142"/>
      <c r="U289" s="142"/>
      <c r="V289" s="18"/>
      <c r="W289" s="18"/>
      <c r="X289" s="18"/>
      <c r="Y289" s="142"/>
      <c r="Z289" s="18"/>
      <c r="AA289" s="18"/>
      <c r="AB289" s="18"/>
      <c r="AC289" s="18"/>
      <c r="AD289" s="18"/>
      <c r="AE289" s="18"/>
      <c r="AF289" s="18"/>
      <c r="AG289" s="18"/>
      <c r="AH289" s="18"/>
      <c r="AI289" s="18"/>
      <c r="AJ289" s="142"/>
      <c r="AK289" s="142"/>
      <c r="AL289" s="18"/>
      <c r="AM289" s="18"/>
      <c r="AN289" s="18"/>
      <c r="AO289" s="142"/>
    </row>
    <row r="290">
      <c r="A290" s="142"/>
      <c r="B290" s="18"/>
      <c r="C290" s="142"/>
      <c r="D290" s="18"/>
      <c r="E290" s="18"/>
      <c r="F290" s="18"/>
      <c r="G290" s="142"/>
      <c r="H290" s="18"/>
      <c r="I290" s="142"/>
      <c r="J290" s="15"/>
      <c r="Q290" s="15"/>
      <c r="R290" s="18"/>
      <c r="S290" s="142"/>
      <c r="T290" s="142"/>
      <c r="U290" s="142"/>
      <c r="V290" s="18"/>
      <c r="W290" s="18"/>
      <c r="X290" s="18"/>
      <c r="Y290" s="142"/>
      <c r="Z290" s="18"/>
      <c r="AA290" s="18"/>
      <c r="AB290" s="18"/>
      <c r="AC290" s="18"/>
      <c r="AD290" s="18"/>
      <c r="AE290" s="18"/>
      <c r="AF290" s="18"/>
      <c r="AG290" s="18"/>
      <c r="AH290" s="18"/>
      <c r="AI290" s="18"/>
      <c r="AJ290" s="142"/>
      <c r="AK290" s="142"/>
      <c r="AL290" s="18"/>
      <c r="AM290" s="18"/>
      <c r="AN290" s="18"/>
      <c r="AO290" s="142"/>
    </row>
    <row r="291">
      <c r="A291" s="142"/>
      <c r="B291" s="18"/>
      <c r="C291" s="142"/>
      <c r="D291" s="18"/>
      <c r="E291" s="18"/>
      <c r="F291" s="18"/>
      <c r="G291" s="142"/>
      <c r="H291" s="18"/>
      <c r="I291" s="142"/>
      <c r="J291" s="15"/>
      <c r="Q291" s="15"/>
      <c r="R291" s="18"/>
      <c r="S291" s="142"/>
      <c r="T291" s="142"/>
      <c r="U291" s="142"/>
      <c r="V291" s="18"/>
      <c r="W291" s="18"/>
      <c r="X291" s="18"/>
      <c r="Y291" s="142"/>
      <c r="Z291" s="18"/>
      <c r="AA291" s="18"/>
      <c r="AB291" s="18"/>
      <c r="AC291" s="18"/>
      <c r="AD291" s="18"/>
      <c r="AE291" s="18"/>
      <c r="AF291" s="18"/>
      <c r="AG291" s="18"/>
      <c r="AH291" s="18"/>
      <c r="AI291" s="18"/>
      <c r="AJ291" s="142"/>
      <c r="AK291" s="142"/>
      <c r="AL291" s="18"/>
      <c r="AM291" s="18"/>
      <c r="AN291" s="18"/>
      <c r="AO291" s="142"/>
    </row>
    <row r="292">
      <c r="A292" s="142"/>
      <c r="B292" s="18"/>
      <c r="C292" s="142"/>
      <c r="D292" s="18"/>
      <c r="E292" s="18"/>
      <c r="F292" s="18"/>
      <c r="G292" s="142"/>
      <c r="H292" s="18"/>
      <c r="I292" s="142"/>
      <c r="J292" s="15"/>
      <c r="Q292" s="15"/>
      <c r="R292" s="18"/>
      <c r="S292" s="142"/>
      <c r="T292" s="142"/>
      <c r="U292" s="142"/>
      <c r="V292" s="18"/>
      <c r="W292" s="18"/>
      <c r="X292" s="18"/>
      <c r="Y292" s="142"/>
      <c r="Z292" s="18"/>
      <c r="AA292" s="18"/>
      <c r="AB292" s="18"/>
      <c r="AC292" s="18"/>
      <c r="AD292" s="18"/>
      <c r="AE292" s="18"/>
      <c r="AF292" s="18"/>
      <c r="AG292" s="18"/>
      <c r="AH292" s="18"/>
      <c r="AI292" s="18"/>
      <c r="AJ292" s="142"/>
      <c r="AK292" s="142"/>
      <c r="AL292" s="18"/>
      <c r="AM292" s="18"/>
      <c r="AN292" s="18"/>
      <c r="AO292" s="142"/>
    </row>
    <row r="293">
      <c r="A293" s="142"/>
      <c r="B293" s="18"/>
      <c r="C293" s="142"/>
      <c r="D293" s="18"/>
      <c r="E293" s="18"/>
      <c r="F293" s="18"/>
      <c r="G293" s="142"/>
      <c r="H293" s="18"/>
      <c r="I293" s="142"/>
      <c r="J293" s="15"/>
      <c r="Q293" s="15"/>
      <c r="R293" s="18"/>
      <c r="S293" s="142"/>
      <c r="T293" s="142"/>
      <c r="U293" s="142"/>
      <c r="V293" s="18"/>
      <c r="W293" s="18"/>
      <c r="X293" s="18"/>
      <c r="Y293" s="142"/>
      <c r="Z293" s="18"/>
      <c r="AA293" s="18"/>
      <c r="AB293" s="18"/>
      <c r="AC293" s="18"/>
      <c r="AD293" s="18"/>
      <c r="AE293" s="18"/>
      <c r="AF293" s="18"/>
      <c r="AG293" s="18"/>
      <c r="AH293" s="18"/>
      <c r="AI293" s="18"/>
      <c r="AJ293" s="142"/>
      <c r="AK293" s="142"/>
      <c r="AL293" s="18"/>
      <c r="AM293" s="18"/>
      <c r="AN293" s="18"/>
      <c r="AO293" s="142"/>
    </row>
    <row r="294">
      <c r="A294" s="142"/>
      <c r="B294" s="18"/>
      <c r="C294" s="142"/>
      <c r="D294" s="18"/>
      <c r="E294" s="18"/>
      <c r="F294" s="18"/>
      <c r="G294" s="142"/>
      <c r="H294" s="18"/>
      <c r="I294" s="142"/>
      <c r="J294" s="15"/>
      <c r="Q294" s="15"/>
      <c r="R294" s="18"/>
      <c r="S294" s="142"/>
      <c r="T294" s="142"/>
      <c r="U294" s="142"/>
      <c r="V294" s="18"/>
      <c r="W294" s="18"/>
      <c r="X294" s="18"/>
      <c r="Y294" s="142"/>
      <c r="Z294" s="18"/>
      <c r="AA294" s="18"/>
      <c r="AB294" s="18"/>
      <c r="AC294" s="18"/>
      <c r="AD294" s="18"/>
      <c r="AE294" s="18"/>
      <c r="AF294" s="18"/>
      <c r="AG294" s="18"/>
      <c r="AH294" s="18"/>
      <c r="AI294" s="18"/>
      <c r="AJ294" s="142"/>
      <c r="AK294" s="142"/>
      <c r="AL294" s="18"/>
      <c r="AM294" s="18"/>
      <c r="AN294" s="18"/>
      <c r="AO294" s="142"/>
    </row>
    <row r="295">
      <c r="A295" s="142"/>
      <c r="B295" s="18"/>
      <c r="C295" s="142"/>
      <c r="D295" s="18"/>
      <c r="E295" s="18"/>
      <c r="F295" s="18"/>
      <c r="G295" s="142"/>
      <c r="H295" s="18"/>
      <c r="I295" s="142"/>
      <c r="J295" s="15"/>
      <c r="Q295" s="15"/>
      <c r="R295" s="18"/>
      <c r="S295" s="142"/>
      <c r="T295" s="142"/>
      <c r="U295" s="142"/>
      <c r="V295" s="18"/>
      <c r="W295" s="18"/>
      <c r="X295" s="18"/>
      <c r="Y295" s="142"/>
      <c r="Z295" s="18"/>
      <c r="AA295" s="18"/>
      <c r="AB295" s="18"/>
      <c r="AC295" s="18"/>
      <c r="AD295" s="18"/>
      <c r="AE295" s="18"/>
      <c r="AF295" s="18"/>
      <c r="AG295" s="18"/>
      <c r="AH295" s="18"/>
      <c r="AI295" s="18"/>
      <c r="AJ295" s="142"/>
      <c r="AK295" s="142"/>
      <c r="AL295" s="18"/>
      <c r="AM295" s="18"/>
      <c r="AN295" s="18"/>
      <c r="AO295" s="142"/>
    </row>
    <row r="296">
      <c r="A296" s="142"/>
      <c r="B296" s="18"/>
      <c r="C296" s="142"/>
      <c r="D296" s="18"/>
      <c r="E296" s="18"/>
      <c r="F296" s="18"/>
      <c r="G296" s="142"/>
      <c r="H296" s="18"/>
      <c r="I296" s="142"/>
      <c r="J296" s="15"/>
      <c r="Q296" s="15"/>
      <c r="R296" s="18"/>
      <c r="S296" s="142"/>
      <c r="T296" s="142"/>
      <c r="U296" s="142"/>
      <c r="V296" s="18"/>
      <c r="W296" s="18"/>
      <c r="X296" s="18"/>
      <c r="Y296" s="142"/>
      <c r="Z296" s="18"/>
      <c r="AA296" s="18"/>
      <c r="AB296" s="18"/>
      <c r="AC296" s="18"/>
      <c r="AD296" s="18"/>
      <c r="AE296" s="18"/>
      <c r="AF296" s="18"/>
      <c r="AG296" s="18"/>
      <c r="AH296" s="18"/>
      <c r="AI296" s="18"/>
      <c r="AJ296" s="142"/>
      <c r="AK296" s="142"/>
      <c r="AL296" s="18"/>
      <c r="AM296" s="18"/>
      <c r="AN296" s="18"/>
      <c r="AO296" s="142"/>
    </row>
    <row r="297">
      <c r="A297" s="142"/>
      <c r="B297" s="18"/>
      <c r="C297" s="142"/>
      <c r="D297" s="18"/>
      <c r="E297" s="18"/>
      <c r="F297" s="18"/>
      <c r="G297" s="142"/>
      <c r="H297" s="18"/>
      <c r="I297" s="142"/>
      <c r="J297" s="15"/>
      <c r="Q297" s="15"/>
      <c r="R297" s="18"/>
      <c r="S297" s="142"/>
      <c r="T297" s="142"/>
      <c r="U297" s="142"/>
      <c r="V297" s="18"/>
      <c r="W297" s="18"/>
      <c r="X297" s="18"/>
      <c r="Y297" s="142"/>
      <c r="Z297" s="18"/>
      <c r="AA297" s="18"/>
      <c r="AB297" s="18"/>
      <c r="AC297" s="18"/>
      <c r="AD297" s="18"/>
      <c r="AE297" s="18"/>
      <c r="AF297" s="18"/>
      <c r="AG297" s="18"/>
      <c r="AH297" s="18"/>
      <c r="AI297" s="18"/>
      <c r="AJ297" s="142"/>
      <c r="AK297" s="142"/>
      <c r="AL297" s="18"/>
      <c r="AM297" s="18"/>
      <c r="AN297" s="18"/>
      <c r="AO297" s="142"/>
    </row>
    <row r="298">
      <c r="A298" s="142"/>
      <c r="B298" s="18"/>
      <c r="C298" s="142"/>
      <c r="D298" s="18"/>
      <c r="E298" s="18"/>
      <c r="F298" s="18"/>
      <c r="G298" s="142"/>
      <c r="H298" s="18"/>
      <c r="I298" s="142"/>
      <c r="J298" s="15"/>
      <c r="Q298" s="15"/>
      <c r="R298" s="18"/>
      <c r="S298" s="142"/>
      <c r="T298" s="142"/>
      <c r="U298" s="142"/>
      <c r="V298" s="18"/>
      <c r="W298" s="18"/>
      <c r="X298" s="18"/>
      <c r="Y298" s="142"/>
      <c r="Z298" s="18"/>
      <c r="AA298" s="18"/>
      <c r="AB298" s="18"/>
      <c r="AC298" s="18"/>
      <c r="AD298" s="18"/>
      <c r="AE298" s="18"/>
      <c r="AF298" s="18"/>
      <c r="AG298" s="18"/>
      <c r="AH298" s="18"/>
      <c r="AI298" s="18"/>
      <c r="AJ298" s="142"/>
      <c r="AK298" s="142"/>
      <c r="AL298" s="18"/>
      <c r="AM298" s="18"/>
      <c r="AN298" s="18"/>
      <c r="AO298" s="142"/>
    </row>
    <row r="299">
      <c r="A299" s="142"/>
      <c r="B299" s="18"/>
      <c r="C299" s="142"/>
      <c r="D299" s="18"/>
      <c r="E299" s="18"/>
      <c r="F299" s="18"/>
      <c r="G299" s="142"/>
      <c r="H299" s="18"/>
      <c r="I299" s="142"/>
      <c r="J299" s="15"/>
      <c r="Q299" s="15"/>
      <c r="R299" s="18"/>
      <c r="S299" s="142"/>
      <c r="T299" s="142"/>
      <c r="U299" s="142"/>
      <c r="V299" s="18"/>
      <c r="W299" s="18"/>
      <c r="X299" s="18"/>
      <c r="Y299" s="142"/>
      <c r="Z299" s="18"/>
      <c r="AA299" s="18"/>
      <c r="AB299" s="18"/>
      <c r="AC299" s="18"/>
      <c r="AD299" s="18"/>
      <c r="AE299" s="18"/>
      <c r="AF299" s="18"/>
      <c r="AG299" s="18"/>
      <c r="AH299" s="18"/>
      <c r="AI299" s="18"/>
      <c r="AJ299" s="142"/>
      <c r="AK299" s="142"/>
      <c r="AL299" s="18"/>
      <c r="AM299" s="18"/>
      <c r="AN299" s="18"/>
      <c r="AO299" s="142"/>
    </row>
    <row r="300">
      <c r="A300" s="142"/>
      <c r="B300" s="18"/>
      <c r="C300" s="142"/>
      <c r="D300" s="18"/>
      <c r="E300" s="18"/>
      <c r="F300" s="18"/>
      <c r="G300" s="142"/>
      <c r="H300" s="18"/>
      <c r="I300" s="142"/>
      <c r="J300" s="15"/>
      <c r="Q300" s="15"/>
      <c r="R300" s="18"/>
      <c r="S300" s="142"/>
      <c r="T300" s="142"/>
      <c r="U300" s="142"/>
      <c r="V300" s="18"/>
      <c r="W300" s="18"/>
      <c r="X300" s="18"/>
      <c r="Y300" s="142"/>
      <c r="Z300" s="18"/>
      <c r="AA300" s="18"/>
      <c r="AB300" s="18"/>
      <c r="AC300" s="18"/>
      <c r="AD300" s="18"/>
      <c r="AE300" s="18"/>
      <c r="AF300" s="18"/>
      <c r="AG300" s="18"/>
      <c r="AH300" s="18"/>
      <c r="AI300" s="18"/>
      <c r="AJ300" s="142"/>
      <c r="AK300" s="142"/>
      <c r="AL300" s="18"/>
      <c r="AM300" s="18"/>
      <c r="AN300" s="18"/>
      <c r="AO300" s="142"/>
    </row>
    <row r="301">
      <c r="A301" s="142"/>
      <c r="B301" s="18"/>
      <c r="C301" s="142"/>
      <c r="D301" s="18"/>
      <c r="E301" s="18"/>
      <c r="F301" s="18"/>
      <c r="G301" s="142"/>
      <c r="H301" s="18"/>
      <c r="I301" s="142"/>
      <c r="J301" s="15"/>
      <c r="Q301" s="15"/>
      <c r="R301" s="18"/>
      <c r="S301" s="142"/>
      <c r="T301" s="142"/>
      <c r="U301" s="142"/>
      <c r="V301" s="18"/>
      <c r="W301" s="18"/>
      <c r="X301" s="18"/>
      <c r="Y301" s="142"/>
      <c r="Z301" s="18"/>
      <c r="AA301" s="18"/>
      <c r="AB301" s="18"/>
      <c r="AC301" s="18"/>
      <c r="AD301" s="18"/>
      <c r="AE301" s="18"/>
      <c r="AF301" s="18"/>
      <c r="AG301" s="18"/>
      <c r="AH301" s="18"/>
      <c r="AI301" s="18"/>
      <c r="AJ301" s="142"/>
      <c r="AK301" s="142"/>
      <c r="AL301" s="18"/>
      <c r="AM301" s="18"/>
      <c r="AN301" s="18"/>
      <c r="AO301" s="142"/>
    </row>
    <row r="302">
      <c r="A302" s="142"/>
      <c r="B302" s="18"/>
      <c r="C302" s="142"/>
      <c r="D302" s="18"/>
      <c r="E302" s="18"/>
      <c r="F302" s="18"/>
      <c r="G302" s="142"/>
      <c r="H302" s="18"/>
      <c r="I302" s="142"/>
      <c r="J302" s="15"/>
      <c r="Q302" s="15"/>
      <c r="R302" s="18"/>
      <c r="S302" s="142"/>
      <c r="T302" s="142"/>
      <c r="U302" s="142"/>
      <c r="V302" s="18"/>
      <c r="W302" s="18"/>
      <c r="X302" s="18"/>
      <c r="Y302" s="142"/>
      <c r="Z302" s="18"/>
      <c r="AA302" s="18"/>
      <c r="AB302" s="18"/>
      <c r="AC302" s="18"/>
      <c r="AD302" s="18"/>
      <c r="AE302" s="18"/>
      <c r="AF302" s="18"/>
      <c r="AG302" s="18"/>
      <c r="AH302" s="18"/>
      <c r="AI302" s="18"/>
      <c r="AJ302" s="142"/>
      <c r="AK302" s="142"/>
      <c r="AL302" s="18"/>
      <c r="AM302" s="18"/>
      <c r="AN302" s="18"/>
      <c r="AO302" s="142"/>
    </row>
    <row r="303">
      <c r="A303" s="142"/>
      <c r="B303" s="18"/>
      <c r="C303" s="142"/>
      <c r="D303" s="18"/>
      <c r="E303" s="18"/>
      <c r="F303" s="18"/>
      <c r="G303" s="142"/>
      <c r="H303" s="18"/>
      <c r="I303" s="142"/>
      <c r="J303" s="15"/>
      <c r="Q303" s="15"/>
      <c r="R303" s="18"/>
      <c r="S303" s="142"/>
      <c r="T303" s="142"/>
      <c r="U303" s="142"/>
      <c r="V303" s="18"/>
      <c r="W303" s="18"/>
      <c r="X303" s="18"/>
      <c r="Y303" s="142"/>
      <c r="Z303" s="18"/>
      <c r="AA303" s="18"/>
      <c r="AB303" s="18"/>
      <c r="AC303" s="18"/>
      <c r="AD303" s="18"/>
      <c r="AE303" s="18"/>
      <c r="AF303" s="18"/>
      <c r="AG303" s="18"/>
      <c r="AH303" s="18"/>
      <c r="AI303" s="18"/>
      <c r="AJ303" s="142"/>
      <c r="AK303" s="142"/>
      <c r="AL303" s="18"/>
      <c r="AM303" s="18"/>
      <c r="AN303" s="18"/>
      <c r="AO303" s="142"/>
    </row>
    <row r="304">
      <c r="A304" s="142"/>
      <c r="B304" s="18"/>
      <c r="C304" s="142"/>
      <c r="D304" s="18"/>
      <c r="E304" s="18"/>
      <c r="F304" s="18"/>
      <c r="G304" s="142"/>
      <c r="H304" s="18"/>
      <c r="I304" s="142"/>
      <c r="J304" s="15"/>
      <c r="Q304" s="15"/>
      <c r="R304" s="18"/>
      <c r="S304" s="142"/>
      <c r="T304" s="142"/>
      <c r="U304" s="142"/>
      <c r="V304" s="18"/>
      <c r="W304" s="18"/>
      <c r="X304" s="18"/>
      <c r="Y304" s="142"/>
      <c r="Z304" s="18"/>
      <c r="AA304" s="18"/>
      <c r="AB304" s="18"/>
      <c r="AC304" s="18"/>
      <c r="AD304" s="18"/>
      <c r="AE304" s="18"/>
      <c r="AF304" s="18"/>
      <c r="AG304" s="18"/>
      <c r="AH304" s="18"/>
      <c r="AI304" s="18"/>
      <c r="AJ304" s="142"/>
      <c r="AK304" s="142"/>
      <c r="AL304" s="18"/>
      <c r="AM304" s="18"/>
      <c r="AN304" s="18"/>
      <c r="AO304" s="142"/>
    </row>
    <row r="305">
      <c r="A305" s="142"/>
      <c r="B305" s="18"/>
      <c r="C305" s="142"/>
      <c r="D305" s="18"/>
      <c r="E305" s="18"/>
      <c r="F305" s="18"/>
      <c r="G305" s="142"/>
      <c r="H305" s="18"/>
      <c r="I305" s="142"/>
      <c r="J305" s="15"/>
      <c r="Q305" s="15"/>
      <c r="R305" s="18"/>
      <c r="S305" s="142"/>
      <c r="T305" s="142"/>
      <c r="U305" s="142"/>
      <c r="V305" s="18"/>
      <c r="W305" s="18"/>
      <c r="X305" s="18"/>
      <c r="Y305" s="142"/>
      <c r="Z305" s="18"/>
      <c r="AA305" s="18"/>
      <c r="AB305" s="18"/>
      <c r="AC305" s="18"/>
      <c r="AD305" s="18"/>
      <c r="AE305" s="18"/>
      <c r="AF305" s="18"/>
      <c r="AG305" s="18"/>
      <c r="AH305" s="18"/>
      <c r="AI305" s="18"/>
      <c r="AJ305" s="142"/>
      <c r="AK305" s="142"/>
      <c r="AL305" s="18"/>
      <c r="AM305" s="18"/>
      <c r="AN305" s="18"/>
      <c r="AO305" s="142"/>
    </row>
    <row r="306">
      <c r="A306" s="142"/>
      <c r="B306" s="18"/>
      <c r="C306" s="142"/>
      <c r="D306" s="18"/>
      <c r="E306" s="18"/>
      <c r="F306" s="18"/>
      <c r="G306" s="142"/>
      <c r="H306" s="18"/>
      <c r="I306" s="142"/>
      <c r="J306" s="15"/>
      <c r="Q306" s="15"/>
      <c r="R306" s="18"/>
      <c r="S306" s="142"/>
      <c r="T306" s="142"/>
      <c r="U306" s="142"/>
      <c r="V306" s="18"/>
      <c r="W306" s="18"/>
      <c r="X306" s="18"/>
      <c r="Y306" s="142"/>
      <c r="Z306" s="18"/>
      <c r="AA306" s="18"/>
      <c r="AB306" s="18"/>
      <c r="AC306" s="18"/>
      <c r="AD306" s="18"/>
      <c r="AE306" s="18"/>
      <c r="AF306" s="18"/>
      <c r="AG306" s="18"/>
      <c r="AH306" s="18"/>
      <c r="AI306" s="18"/>
      <c r="AJ306" s="142"/>
      <c r="AK306" s="142"/>
      <c r="AL306" s="18"/>
      <c r="AM306" s="18"/>
      <c r="AN306" s="18"/>
      <c r="AO306" s="142"/>
    </row>
    <row r="307">
      <c r="A307" s="142"/>
      <c r="B307" s="18"/>
      <c r="C307" s="142"/>
      <c r="D307" s="18"/>
      <c r="E307" s="18"/>
      <c r="F307" s="18"/>
      <c r="G307" s="142"/>
      <c r="H307" s="18"/>
      <c r="I307" s="142"/>
      <c r="J307" s="15"/>
      <c r="Q307" s="15"/>
      <c r="R307" s="18"/>
      <c r="S307" s="142"/>
      <c r="T307" s="142"/>
      <c r="U307" s="142"/>
      <c r="V307" s="18"/>
      <c r="W307" s="18"/>
      <c r="X307" s="18"/>
      <c r="Y307" s="142"/>
      <c r="Z307" s="18"/>
      <c r="AA307" s="18"/>
      <c r="AB307" s="18"/>
      <c r="AC307" s="18"/>
      <c r="AD307" s="18"/>
      <c r="AE307" s="18"/>
      <c r="AF307" s="18"/>
      <c r="AG307" s="18"/>
      <c r="AH307" s="18"/>
      <c r="AI307" s="18"/>
      <c r="AJ307" s="142"/>
      <c r="AK307" s="142"/>
      <c r="AL307" s="18"/>
      <c r="AM307" s="18"/>
      <c r="AN307" s="18"/>
      <c r="AO307" s="142"/>
    </row>
    <row r="308">
      <c r="A308" s="142"/>
      <c r="B308" s="18"/>
      <c r="C308" s="142"/>
      <c r="D308" s="18"/>
      <c r="E308" s="18"/>
      <c r="F308" s="18"/>
      <c r="G308" s="142"/>
      <c r="H308" s="18"/>
      <c r="I308" s="142"/>
      <c r="J308" s="15"/>
      <c r="Q308" s="15"/>
      <c r="R308" s="18"/>
      <c r="S308" s="142"/>
      <c r="T308" s="142"/>
      <c r="U308" s="142"/>
      <c r="V308" s="18"/>
      <c r="W308" s="18"/>
      <c r="X308" s="18"/>
      <c r="Y308" s="142"/>
      <c r="Z308" s="18"/>
      <c r="AA308" s="18"/>
      <c r="AB308" s="18"/>
      <c r="AC308" s="18"/>
      <c r="AD308" s="18"/>
      <c r="AE308" s="18"/>
      <c r="AF308" s="18"/>
      <c r="AG308" s="18"/>
      <c r="AH308" s="18"/>
      <c r="AI308" s="18"/>
      <c r="AJ308" s="142"/>
      <c r="AK308" s="142"/>
      <c r="AL308" s="18"/>
      <c r="AM308" s="18"/>
      <c r="AN308" s="18"/>
      <c r="AO308" s="142"/>
    </row>
    <row r="309">
      <c r="A309" s="142"/>
      <c r="B309" s="18"/>
      <c r="C309" s="142"/>
      <c r="D309" s="18"/>
      <c r="E309" s="18"/>
      <c r="F309" s="18"/>
      <c r="G309" s="142"/>
      <c r="H309" s="18"/>
      <c r="I309" s="142"/>
      <c r="J309" s="15"/>
      <c r="Q309" s="15"/>
      <c r="R309" s="18"/>
      <c r="S309" s="142"/>
      <c r="T309" s="142"/>
      <c r="U309" s="142"/>
      <c r="V309" s="18"/>
      <c r="W309" s="18"/>
      <c r="X309" s="18"/>
      <c r="Y309" s="142"/>
      <c r="Z309" s="18"/>
      <c r="AA309" s="18"/>
      <c r="AB309" s="18"/>
      <c r="AC309" s="18"/>
      <c r="AD309" s="18"/>
      <c r="AE309" s="18"/>
      <c r="AF309" s="18"/>
      <c r="AG309" s="18"/>
      <c r="AH309" s="18"/>
      <c r="AI309" s="18"/>
      <c r="AJ309" s="142"/>
      <c r="AK309" s="142"/>
      <c r="AL309" s="18"/>
      <c r="AM309" s="18"/>
      <c r="AN309" s="18"/>
      <c r="AO309" s="142"/>
    </row>
    <row r="310">
      <c r="A310" s="142"/>
      <c r="B310" s="18"/>
      <c r="C310" s="142"/>
      <c r="D310" s="18"/>
      <c r="E310" s="18"/>
      <c r="F310" s="18"/>
      <c r="G310" s="142"/>
      <c r="H310" s="18"/>
      <c r="I310" s="142"/>
      <c r="J310" s="15"/>
      <c r="Q310" s="15"/>
      <c r="R310" s="18"/>
      <c r="S310" s="142"/>
      <c r="T310" s="142"/>
      <c r="U310" s="142"/>
      <c r="V310" s="18"/>
      <c r="W310" s="18"/>
      <c r="X310" s="18"/>
      <c r="Y310" s="142"/>
      <c r="Z310" s="18"/>
      <c r="AA310" s="18"/>
      <c r="AB310" s="18"/>
      <c r="AC310" s="18"/>
      <c r="AD310" s="18"/>
      <c r="AE310" s="18"/>
      <c r="AF310" s="18"/>
      <c r="AG310" s="18"/>
      <c r="AH310" s="18"/>
      <c r="AI310" s="18"/>
      <c r="AJ310" s="142"/>
      <c r="AK310" s="142"/>
      <c r="AL310" s="18"/>
      <c r="AM310" s="18"/>
      <c r="AN310" s="18"/>
      <c r="AO310" s="142"/>
    </row>
    <row r="311">
      <c r="A311" s="142"/>
      <c r="B311" s="18"/>
      <c r="C311" s="142"/>
      <c r="D311" s="18"/>
      <c r="E311" s="18"/>
      <c r="F311" s="18"/>
      <c r="G311" s="142"/>
      <c r="H311" s="18"/>
      <c r="I311" s="142"/>
      <c r="J311" s="15"/>
      <c r="Q311" s="15"/>
      <c r="R311" s="18"/>
      <c r="S311" s="142"/>
      <c r="T311" s="142"/>
      <c r="U311" s="142"/>
      <c r="V311" s="18"/>
      <c r="W311" s="18"/>
      <c r="X311" s="18"/>
      <c r="Y311" s="142"/>
      <c r="Z311" s="18"/>
      <c r="AA311" s="18"/>
      <c r="AB311" s="18"/>
      <c r="AC311" s="18"/>
      <c r="AD311" s="18"/>
      <c r="AE311" s="18"/>
      <c r="AF311" s="18"/>
      <c r="AG311" s="18"/>
      <c r="AH311" s="18"/>
      <c r="AI311" s="18"/>
      <c r="AJ311" s="142"/>
      <c r="AK311" s="142"/>
      <c r="AL311" s="18"/>
      <c r="AM311" s="18"/>
      <c r="AN311" s="18"/>
      <c r="AO311" s="142"/>
    </row>
    <row r="312">
      <c r="A312" s="142"/>
      <c r="B312" s="18"/>
      <c r="C312" s="142"/>
      <c r="D312" s="18"/>
      <c r="E312" s="18"/>
      <c r="F312" s="18"/>
      <c r="G312" s="142"/>
      <c r="H312" s="18"/>
      <c r="I312" s="142"/>
      <c r="J312" s="15"/>
      <c r="Q312" s="15"/>
      <c r="R312" s="18"/>
      <c r="S312" s="142"/>
      <c r="T312" s="142"/>
      <c r="U312" s="142"/>
      <c r="V312" s="18"/>
      <c r="W312" s="18"/>
      <c r="X312" s="18"/>
      <c r="Y312" s="142"/>
      <c r="Z312" s="18"/>
      <c r="AA312" s="18"/>
      <c r="AB312" s="18"/>
      <c r="AC312" s="18"/>
      <c r="AD312" s="18"/>
      <c r="AE312" s="18"/>
      <c r="AF312" s="18"/>
      <c r="AG312" s="18"/>
      <c r="AH312" s="18"/>
      <c r="AI312" s="18"/>
      <c r="AJ312" s="142"/>
      <c r="AK312" s="142"/>
      <c r="AL312" s="18"/>
      <c r="AM312" s="18"/>
      <c r="AN312" s="18"/>
      <c r="AO312" s="142"/>
    </row>
    <row r="313">
      <c r="A313" s="142"/>
      <c r="B313" s="18"/>
      <c r="C313" s="142"/>
      <c r="D313" s="18"/>
      <c r="E313" s="18"/>
      <c r="F313" s="18"/>
      <c r="G313" s="142"/>
      <c r="H313" s="18"/>
      <c r="I313" s="142"/>
      <c r="J313" s="15"/>
      <c r="Q313" s="15"/>
      <c r="R313" s="18"/>
      <c r="S313" s="142"/>
      <c r="T313" s="142"/>
      <c r="U313" s="142"/>
      <c r="V313" s="18"/>
      <c r="W313" s="18"/>
      <c r="X313" s="18"/>
      <c r="Y313" s="142"/>
      <c r="Z313" s="18"/>
      <c r="AA313" s="18"/>
      <c r="AB313" s="18"/>
      <c r="AC313" s="18"/>
      <c r="AD313" s="18"/>
      <c r="AE313" s="18"/>
      <c r="AF313" s="18"/>
      <c r="AG313" s="18"/>
      <c r="AH313" s="18"/>
      <c r="AI313" s="18"/>
      <c r="AJ313" s="142"/>
      <c r="AK313" s="142"/>
      <c r="AL313" s="18"/>
      <c r="AM313" s="18"/>
      <c r="AN313" s="18"/>
      <c r="AO313" s="142"/>
    </row>
    <row r="314">
      <c r="A314" s="142"/>
      <c r="B314" s="18"/>
      <c r="C314" s="142"/>
      <c r="D314" s="18"/>
      <c r="E314" s="18"/>
      <c r="F314" s="18"/>
      <c r="G314" s="142"/>
      <c r="H314" s="18"/>
      <c r="I314" s="142"/>
      <c r="J314" s="15"/>
      <c r="Q314" s="15"/>
      <c r="R314" s="18"/>
      <c r="S314" s="142"/>
      <c r="T314" s="142"/>
      <c r="U314" s="142"/>
      <c r="V314" s="18"/>
      <c r="W314" s="18"/>
      <c r="X314" s="18"/>
      <c r="Y314" s="142"/>
      <c r="Z314" s="18"/>
      <c r="AA314" s="18"/>
      <c r="AB314" s="18"/>
      <c r="AC314" s="18"/>
      <c r="AD314" s="18"/>
      <c r="AE314" s="18"/>
      <c r="AF314" s="18"/>
      <c r="AG314" s="18"/>
      <c r="AH314" s="18"/>
      <c r="AI314" s="18"/>
      <c r="AJ314" s="142"/>
      <c r="AK314" s="142"/>
      <c r="AL314" s="18"/>
      <c r="AM314" s="18"/>
      <c r="AN314" s="18"/>
      <c r="AO314" s="142"/>
    </row>
    <row r="315">
      <c r="A315" s="142"/>
      <c r="B315" s="18"/>
      <c r="C315" s="142"/>
      <c r="D315" s="18"/>
      <c r="E315" s="18"/>
      <c r="F315" s="18"/>
      <c r="G315" s="142"/>
      <c r="H315" s="18"/>
      <c r="I315" s="142"/>
      <c r="J315" s="15"/>
      <c r="Q315" s="15"/>
      <c r="R315" s="18"/>
      <c r="S315" s="142"/>
      <c r="T315" s="142"/>
      <c r="U315" s="142"/>
      <c r="V315" s="18"/>
      <c r="W315" s="18"/>
      <c r="X315" s="18"/>
      <c r="Y315" s="142"/>
      <c r="Z315" s="18"/>
      <c r="AA315" s="18"/>
      <c r="AB315" s="18"/>
      <c r="AC315" s="18"/>
      <c r="AD315" s="18"/>
      <c r="AE315" s="18"/>
      <c r="AF315" s="18"/>
      <c r="AG315" s="18"/>
      <c r="AH315" s="18"/>
      <c r="AI315" s="18"/>
      <c r="AJ315" s="142"/>
      <c r="AK315" s="142"/>
      <c r="AL315" s="18"/>
      <c r="AM315" s="18"/>
      <c r="AN315" s="18"/>
      <c r="AO315" s="142"/>
    </row>
    <row r="316">
      <c r="A316" s="142"/>
      <c r="B316" s="18"/>
      <c r="C316" s="142"/>
      <c r="D316" s="18"/>
      <c r="E316" s="18"/>
      <c r="F316" s="18"/>
      <c r="G316" s="142"/>
      <c r="H316" s="18"/>
      <c r="I316" s="142"/>
      <c r="J316" s="15"/>
      <c r="Q316" s="15"/>
      <c r="R316" s="18"/>
      <c r="S316" s="142"/>
      <c r="T316" s="142"/>
      <c r="U316" s="142"/>
      <c r="V316" s="18"/>
      <c r="W316" s="18"/>
      <c r="X316" s="18"/>
      <c r="Y316" s="142"/>
      <c r="Z316" s="18"/>
      <c r="AA316" s="18"/>
      <c r="AB316" s="18"/>
      <c r="AC316" s="18"/>
      <c r="AD316" s="18"/>
      <c r="AE316" s="18"/>
      <c r="AF316" s="18"/>
      <c r="AG316" s="18"/>
      <c r="AH316" s="18"/>
      <c r="AI316" s="18"/>
      <c r="AJ316" s="142"/>
      <c r="AK316" s="142"/>
      <c r="AL316" s="18"/>
      <c r="AM316" s="18"/>
      <c r="AN316" s="18"/>
      <c r="AO316" s="142"/>
    </row>
    <row r="317">
      <c r="A317" s="142"/>
      <c r="B317" s="18"/>
      <c r="C317" s="142"/>
      <c r="D317" s="18"/>
      <c r="E317" s="18"/>
      <c r="F317" s="18"/>
      <c r="G317" s="142"/>
      <c r="H317" s="18"/>
      <c r="I317" s="142"/>
      <c r="J317" s="15"/>
      <c r="Q317" s="15"/>
      <c r="R317" s="18"/>
      <c r="S317" s="142"/>
      <c r="T317" s="142"/>
      <c r="U317" s="142"/>
      <c r="V317" s="18"/>
      <c r="W317" s="18"/>
      <c r="X317" s="18"/>
      <c r="Y317" s="142"/>
      <c r="Z317" s="18"/>
      <c r="AA317" s="18"/>
      <c r="AB317" s="18"/>
      <c r="AC317" s="18"/>
      <c r="AD317" s="18"/>
      <c r="AE317" s="18"/>
      <c r="AF317" s="18"/>
      <c r="AG317" s="18"/>
      <c r="AH317" s="18"/>
      <c r="AI317" s="18"/>
      <c r="AJ317" s="142"/>
      <c r="AK317" s="142"/>
      <c r="AL317" s="18"/>
      <c r="AM317" s="18"/>
      <c r="AN317" s="18"/>
      <c r="AO317" s="142"/>
    </row>
    <row r="318">
      <c r="A318" s="142"/>
      <c r="B318" s="18"/>
      <c r="C318" s="142"/>
      <c r="D318" s="18"/>
      <c r="E318" s="18"/>
      <c r="F318" s="18"/>
      <c r="G318" s="142"/>
      <c r="H318" s="18"/>
      <c r="I318" s="142"/>
      <c r="J318" s="15"/>
      <c r="Q318" s="15"/>
      <c r="R318" s="18"/>
      <c r="S318" s="142"/>
      <c r="T318" s="142"/>
      <c r="U318" s="142"/>
      <c r="V318" s="18"/>
      <c r="W318" s="18"/>
      <c r="X318" s="18"/>
      <c r="Y318" s="142"/>
      <c r="Z318" s="18"/>
      <c r="AA318" s="18"/>
      <c r="AB318" s="18"/>
      <c r="AC318" s="18"/>
      <c r="AD318" s="18"/>
      <c r="AE318" s="18"/>
      <c r="AF318" s="18"/>
      <c r="AG318" s="18"/>
      <c r="AH318" s="18"/>
      <c r="AI318" s="18"/>
      <c r="AJ318" s="142"/>
      <c r="AK318" s="142"/>
      <c r="AL318" s="18"/>
      <c r="AM318" s="18"/>
      <c r="AN318" s="18"/>
      <c r="AO318" s="142"/>
    </row>
    <row r="319">
      <c r="A319" s="142"/>
      <c r="B319" s="18"/>
      <c r="C319" s="142"/>
      <c r="D319" s="18"/>
      <c r="E319" s="18"/>
      <c r="F319" s="18"/>
      <c r="G319" s="142"/>
      <c r="H319" s="18"/>
      <c r="I319" s="142"/>
      <c r="J319" s="15"/>
      <c r="Q319" s="15"/>
      <c r="R319" s="18"/>
      <c r="S319" s="142"/>
      <c r="T319" s="142"/>
      <c r="U319" s="142"/>
      <c r="V319" s="18"/>
      <c r="W319" s="18"/>
      <c r="X319" s="18"/>
      <c r="Y319" s="142"/>
      <c r="Z319" s="18"/>
      <c r="AA319" s="18"/>
      <c r="AB319" s="18"/>
      <c r="AC319" s="18"/>
      <c r="AD319" s="18"/>
      <c r="AE319" s="18"/>
      <c r="AF319" s="18"/>
      <c r="AG319" s="18"/>
      <c r="AH319" s="18"/>
      <c r="AI319" s="18"/>
      <c r="AJ319" s="142"/>
      <c r="AK319" s="142"/>
      <c r="AL319" s="18"/>
      <c r="AM319" s="18"/>
      <c r="AN319" s="18"/>
      <c r="AO319" s="142"/>
    </row>
    <row r="320">
      <c r="A320" s="142"/>
      <c r="B320" s="18"/>
      <c r="C320" s="142"/>
      <c r="D320" s="18"/>
      <c r="E320" s="18"/>
      <c r="F320" s="18"/>
      <c r="G320" s="142"/>
      <c r="H320" s="18"/>
      <c r="I320" s="142"/>
      <c r="J320" s="15"/>
      <c r="Q320" s="15"/>
      <c r="R320" s="18"/>
      <c r="S320" s="142"/>
      <c r="T320" s="142"/>
      <c r="U320" s="142"/>
      <c r="V320" s="18"/>
      <c r="W320" s="18"/>
      <c r="X320" s="18"/>
      <c r="Y320" s="142"/>
      <c r="Z320" s="18"/>
      <c r="AA320" s="18"/>
      <c r="AB320" s="18"/>
      <c r="AC320" s="18"/>
      <c r="AD320" s="18"/>
      <c r="AE320" s="18"/>
      <c r="AF320" s="18"/>
      <c r="AG320" s="18"/>
      <c r="AH320" s="18"/>
      <c r="AI320" s="18"/>
      <c r="AJ320" s="142"/>
      <c r="AK320" s="142"/>
      <c r="AL320" s="18"/>
      <c r="AM320" s="18"/>
      <c r="AN320" s="18"/>
      <c r="AO320" s="142"/>
    </row>
    <row r="321">
      <c r="A321" s="142"/>
      <c r="B321" s="18"/>
      <c r="C321" s="142"/>
      <c r="D321" s="18"/>
      <c r="E321" s="18"/>
      <c r="F321" s="18"/>
      <c r="G321" s="142"/>
      <c r="H321" s="18"/>
      <c r="I321" s="142"/>
      <c r="J321" s="15"/>
      <c r="Q321" s="15"/>
      <c r="R321" s="18"/>
      <c r="S321" s="142"/>
      <c r="T321" s="142"/>
      <c r="U321" s="142"/>
      <c r="V321" s="18"/>
      <c r="W321" s="18"/>
      <c r="X321" s="18"/>
      <c r="Y321" s="142"/>
      <c r="Z321" s="18"/>
      <c r="AA321" s="18"/>
      <c r="AB321" s="18"/>
      <c r="AC321" s="18"/>
      <c r="AD321" s="18"/>
      <c r="AE321" s="18"/>
      <c r="AF321" s="18"/>
      <c r="AG321" s="18"/>
      <c r="AH321" s="18"/>
      <c r="AI321" s="18"/>
      <c r="AJ321" s="142"/>
      <c r="AK321" s="142"/>
      <c r="AL321" s="18"/>
      <c r="AM321" s="18"/>
      <c r="AN321" s="18"/>
      <c r="AO321" s="142"/>
    </row>
    <row r="322">
      <c r="A322" s="142"/>
      <c r="B322" s="18"/>
      <c r="C322" s="142"/>
      <c r="D322" s="18"/>
      <c r="E322" s="18"/>
      <c r="F322" s="18"/>
      <c r="G322" s="142"/>
      <c r="H322" s="18"/>
      <c r="I322" s="142"/>
      <c r="J322" s="15"/>
      <c r="Q322" s="15"/>
      <c r="R322" s="18"/>
      <c r="S322" s="142"/>
      <c r="T322" s="142"/>
      <c r="U322" s="142"/>
      <c r="V322" s="18"/>
      <c r="W322" s="18"/>
      <c r="X322" s="18"/>
      <c r="Y322" s="142"/>
      <c r="Z322" s="18"/>
      <c r="AA322" s="18"/>
      <c r="AB322" s="18"/>
      <c r="AC322" s="18"/>
      <c r="AD322" s="18"/>
      <c r="AE322" s="18"/>
      <c r="AF322" s="18"/>
      <c r="AG322" s="18"/>
      <c r="AH322" s="18"/>
      <c r="AI322" s="18"/>
      <c r="AJ322" s="142"/>
      <c r="AK322" s="142"/>
      <c r="AL322" s="18"/>
      <c r="AM322" s="18"/>
      <c r="AN322" s="18"/>
      <c r="AO322" s="142"/>
    </row>
    <row r="323">
      <c r="A323" s="142"/>
      <c r="B323" s="18"/>
      <c r="C323" s="142"/>
      <c r="D323" s="18"/>
      <c r="E323" s="18"/>
      <c r="F323" s="18"/>
      <c r="G323" s="142"/>
      <c r="H323" s="18"/>
      <c r="I323" s="142"/>
      <c r="J323" s="15"/>
      <c r="Q323" s="15"/>
      <c r="R323" s="18"/>
      <c r="S323" s="142"/>
      <c r="T323" s="142"/>
      <c r="U323" s="142"/>
      <c r="V323" s="18"/>
      <c r="W323" s="18"/>
      <c r="X323" s="18"/>
      <c r="Y323" s="142"/>
      <c r="Z323" s="18"/>
      <c r="AA323" s="18"/>
      <c r="AB323" s="18"/>
      <c r="AC323" s="18"/>
      <c r="AD323" s="18"/>
      <c r="AE323" s="18"/>
      <c r="AF323" s="18"/>
      <c r="AG323" s="18"/>
      <c r="AH323" s="18"/>
      <c r="AI323" s="18"/>
      <c r="AJ323" s="142"/>
      <c r="AK323" s="142"/>
      <c r="AL323" s="18"/>
      <c r="AM323" s="18"/>
      <c r="AN323" s="18"/>
      <c r="AO323" s="142"/>
    </row>
    <row r="324">
      <c r="A324" s="142"/>
      <c r="B324" s="18"/>
      <c r="C324" s="142"/>
      <c r="D324" s="18"/>
      <c r="E324" s="18"/>
      <c r="F324" s="18"/>
      <c r="G324" s="142"/>
      <c r="H324" s="18"/>
      <c r="I324" s="142"/>
      <c r="J324" s="15"/>
      <c r="Q324" s="15"/>
      <c r="R324" s="18"/>
      <c r="S324" s="142"/>
      <c r="T324" s="142"/>
      <c r="U324" s="142"/>
      <c r="V324" s="18"/>
      <c r="W324" s="18"/>
      <c r="X324" s="18"/>
      <c r="Y324" s="142"/>
      <c r="Z324" s="18"/>
      <c r="AA324" s="18"/>
      <c r="AB324" s="18"/>
      <c r="AC324" s="18"/>
      <c r="AD324" s="18"/>
      <c r="AE324" s="18"/>
      <c r="AF324" s="18"/>
      <c r="AG324" s="18"/>
      <c r="AH324" s="18"/>
      <c r="AI324" s="18"/>
      <c r="AJ324" s="142"/>
      <c r="AK324" s="142"/>
      <c r="AL324" s="18"/>
      <c r="AM324" s="18"/>
      <c r="AN324" s="18"/>
      <c r="AO324" s="142"/>
    </row>
    <row r="325">
      <c r="A325" s="142"/>
      <c r="B325" s="18"/>
      <c r="C325" s="142"/>
      <c r="D325" s="18"/>
      <c r="E325" s="18"/>
      <c r="F325" s="18"/>
      <c r="G325" s="142"/>
      <c r="H325" s="18"/>
      <c r="I325" s="142"/>
      <c r="J325" s="15"/>
      <c r="Q325" s="15"/>
      <c r="R325" s="18"/>
      <c r="S325" s="142"/>
      <c r="T325" s="142"/>
      <c r="U325" s="142"/>
      <c r="V325" s="18"/>
      <c r="W325" s="18"/>
      <c r="X325" s="18"/>
      <c r="Y325" s="142"/>
      <c r="Z325" s="18"/>
      <c r="AA325" s="18"/>
      <c r="AB325" s="18"/>
      <c r="AC325" s="18"/>
      <c r="AD325" s="18"/>
      <c r="AE325" s="18"/>
      <c r="AF325" s="18"/>
      <c r="AG325" s="18"/>
      <c r="AH325" s="18"/>
      <c r="AI325" s="18"/>
      <c r="AJ325" s="142"/>
      <c r="AK325" s="142"/>
      <c r="AL325" s="18"/>
      <c r="AM325" s="18"/>
      <c r="AN325" s="18"/>
      <c r="AO325" s="142"/>
    </row>
    <row r="326">
      <c r="A326" s="142"/>
      <c r="B326" s="18"/>
      <c r="C326" s="142"/>
      <c r="D326" s="18"/>
      <c r="E326" s="18"/>
      <c r="F326" s="18"/>
      <c r="G326" s="142"/>
      <c r="H326" s="18"/>
      <c r="I326" s="142"/>
      <c r="J326" s="15"/>
      <c r="Q326" s="15"/>
      <c r="R326" s="18"/>
      <c r="S326" s="142"/>
      <c r="T326" s="142"/>
      <c r="U326" s="142"/>
      <c r="V326" s="18"/>
      <c r="W326" s="18"/>
      <c r="X326" s="18"/>
      <c r="Y326" s="142"/>
      <c r="Z326" s="18"/>
      <c r="AA326" s="18"/>
      <c r="AB326" s="18"/>
      <c r="AC326" s="18"/>
      <c r="AD326" s="18"/>
      <c r="AE326" s="18"/>
      <c r="AF326" s="18"/>
      <c r="AG326" s="18"/>
      <c r="AH326" s="18"/>
      <c r="AI326" s="18"/>
      <c r="AJ326" s="142"/>
      <c r="AK326" s="142"/>
      <c r="AL326" s="18"/>
      <c r="AM326" s="18"/>
      <c r="AN326" s="18"/>
      <c r="AO326" s="142"/>
    </row>
    <row r="327">
      <c r="A327" s="142"/>
      <c r="B327" s="18"/>
      <c r="C327" s="142"/>
      <c r="D327" s="18"/>
      <c r="E327" s="18"/>
      <c r="F327" s="18"/>
      <c r="G327" s="142"/>
      <c r="H327" s="18"/>
      <c r="I327" s="142"/>
      <c r="J327" s="15"/>
      <c r="Q327" s="15"/>
      <c r="R327" s="18"/>
      <c r="S327" s="142"/>
      <c r="T327" s="142"/>
      <c r="U327" s="142"/>
      <c r="V327" s="18"/>
      <c r="W327" s="18"/>
      <c r="X327" s="18"/>
      <c r="Y327" s="142"/>
      <c r="Z327" s="18"/>
      <c r="AA327" s="18"/>
      <c r="AB327" s="18"/>
      <c r="AC327" s="18"/>
      <c r="AD327" s="18"/>
      <c r="AE327" s="18"/>
      <c r="AF327" s="18"/>
      <c r="AG327" s="18"/>
      <c r="AH327" s="18"/>
      <c r="AI327" s="18"/>
      <c r="AJ327" s="142"/>
      <c r="AK327" s="142"/>
      <c r="AL327" s="18"/>
      <c r="AM327" s="18"/>
      <c r="AN327" s="18"/>
      <c r="AO327" s="142"/>
    </row>
    <row r="328">
      <c r="A328" s="142"/>
      <c r="B328" s="18"/>
      <c r="C328" s="142"/>
      <c r="D328" s="18"/>
      <c r="E328" s="18"/>
      <c r="F328" s="18"/>
      <c r="G328" s="142"/>
      <c r="H328" s="18"/>
      <c r="I328" s="142"/>
      <c r="J328" s="15"/>
      <c r="Q328" s="15"/>
      <c r="R328" s="18"/>
      <c r="S328" s="142"/>
      <c r="T328" s="142"/>
      <c r="U328" s="142"/>
      <c r="V328" s="18"/>
      <c r="W328" s="18"/>
      <c r="X328" s="18"/>
      <c r="Y328" s="142"/>
      <c r="Z328" s="18"/>
      <c r="AA328" s="18"/>
      <c r="AB328" s="18"/>
      <c r="AC328" s="18"/>
      <c r="AD328" s="18"/>
      <c r="AE328" s="18"/>
      <c r="AF328" s="18"/>
      <c r="AG328" s="18"/>
      <c r="AH328" s="18"/>
      <c r="AI328" s="18"/>
      <c r="AJ328" s="142"/>
      <c r="AK328" s="142"/>
      <c r="AL328" s="18"/>
      <c r="AM328" s="18"/>
      <c r="AN328" s="18"/>
      <c r="AO328" s="142"/>
    </row>
    <row r="329">
      <c r="A329" s="142"/>
      <c r="B329" s="18"/>
      <c r="C329" s="142"/>
      <c r="D329" s="18"/>
      <c r="E329" s="18"/>
      <c r="F329" s="18"/>
      <c r="G329" s="142"/>
      <c r="H329" s="18"/>
      <c r="I329" s="142"/>
      <c r="J329" s="15"/>
      <c r="Q329" s="15"/>
      <c r="R329" s="18"/>
      <c r="S329" s="142"/>
      <c r="T329" s="142"/>
      <c r="U329" s="142"/>
      <c r="V329" s="18"/>
      <c r="W329" s="18"/>
      <c r="X329" s="18"/>
      <c r="Y329" s="142"/>
      <c r="Z329" s="18"/>
      <c r="AA329" s="18"/>
      <c r="AB329" s="18"/>
      <c r="AC329" s="18"/>
      <c r="AD329" s="18"/>
      <c r="AE329" s="18"/>
      <c r="AF329" s="18"/>
      <c r="AG329" s="18"/>
      <c r="AH329" s="18"/>
      <c r="AI329" s="18"/>
      <c r="AJ329" s="142"/>
      <c r="AK329" s="142"/>
      <c r="AL329" s="18"/>
      <c r="AM329" s="18"/>
      <c r="AN329" s="18"/>
      <c r="AO329" s="142"/>
    </row>
    <row r="330">
      <c r="A330" s="142"/>
      <c r="B330" s="18"/>
      <c r="C330" s="142"/>
      <c r="D330" s="18"/>
      <c r="E330" s="18"/>
      <c r="F330" s="18"/>
      <c r="G330" s="142"/>
      <c r="H330" s="18"/>
      <c r="I330" s="142"/>
      <c r="J330" s="15"/>
      <c r="Q330" s="15"/>
      <c r="R330" s="18"/>
      <c r="S330" s="142"/>
      <c r="T330" s="142"/>
      <c r="U330" s="142"/>
      <c r="V330" s="18"/>
      <c r="W330" s="18"/>
      <c r="X330" s="18"/>
      <c r="Y330" s="142"/>
      <c r="Z330" s="18"/>
      <c r="AA330" s="18"/>
      <c r="AB330" s="18"/>
      <c r="AC330" s="18"/>
      <c r="AD330" s="18"/>
      <c r="AE330" s="18"/>
      <c r="AF330" s="18"/>
      <c r="AG330" s="18"/>
      <c r="AH330" s="18"/>
      <c r="AI330" s="18"/>
      <c r="AJ330" s="142"/>
      <c r="AK330" s="142"/>
      <c r="AL330" s="18"/>
      <c r="AM330" s="18"/>
      <c r="AN330" s="18"/>
      <c r="AO330" s="142"/>
    </row>
    <row r="331">
      <c r="A331" s="142"/>
      <c r="B331" s="18"/>
      <c r="C331" s="142"/>
      <c r="D331" s="18"/>
      <c r="E331" s="18"/>
      <c r="F331" s="18"/>
      <c r="G331" s="142"/>
      <c r="H331" s="18"/>
      <c r="I331" s="142"/>
      <c r="J331" s="15"/>
      <c r="Q331" s="15"/>
      <c r="R331" s="18"/>
      <c r="S331" s="142"/>
      <c r="T331" s="142"/>
      <c r="U331" s="142"/>
      <c r="V331" s="18"/>
      <c r="W331" s="18"/>
      <c r="X331" s="18"/>
      <c r="Y331" s="142"/>
      <c r="Z331" s="18"/>
      <c r="AA331" s="18"/>
      <c r="AB331" s="18"/>
      <c r="AC331" s="18"/>
      <c r="AD331" s="18"/>
      <c r="AE331" s="18"/>
      <c r="AF331" s="18"/>
      <c r="AG331" s="18"/>
      <c r="AH331" s="18"/>
      <c r="AI331" s="18"/>
      <c r="AJ331" s="142"/>
      <c r="AK331" s="142"/>
      <c r="AL331" s="18"/>
      <c r="AM331" s="18"/>
      <c r="AN331" s="18"/>
      <c r="AO331" s="142"/>
    </row>
    <row r="332">
      <c r="A332" s="142"/>
      <c r="B332" s="18"/>
      <c r="C332" s="142"/>
      <c r="D332" s="18"/>
      <c r="E332" s="18"/>
      <c r="F332" s="18"/>
      <c r="G332" s="142"/>
      <c r="H332" s="18"/>
      <c r="I332" s="142"/>
      <c r="J332" s="15"/>
      <c r="Q332" s="15"/>
      <c r="R332" s="18"/>
      <c r="S332" s="142"/>
      <c r="T332" s="142"/>
      <c r="U332" s="142"/>
      <c r="V332" s="18"/>
      <c r="W332" s="18"/>
      <c r="X332" s="18"/>
      <c r="Y332" s="142"/>
      <c r="Z332" s="18"/>
      <c r="AA332" s="18"/>
      <c r="AB332" s="18"/>
      <c r="AC332" s="18"/>
      <c r="AD332" s="18"/>
      <c r="AE332" s="18"/>
      <c r="AF332" s="18"/>
      <c r="AG332" s="18"/>
      <c r="AH332" s="18"/>
      <c r="AI332" s="18"/>
      <c r="AJ332" s="142"/>
      <c r="AK332" s="142"/>
      <c r="AL332" s="18"/>
      <c r="AM332" s="18"/>
      <c r="AN332" s="18"/>
      <c r="AO332" s="142"/>
    </row>
    <row r="333">
      <c r="A333" s="142"/>
      <c r="B333" s="18"/>
      <c r="C333" s="142"/>
      <c r="D333" s="18"/>
      <c r="E333" s="18"/>
      <c r="F333" s="18"/>
      <c r="G333" s="142"/>
      <c r="H333" s="18"/>
      <c r="I333" s="142"/>
      <c r="J333" s="15"/>
      <c r="Q333" s="15"/>
      <c r="R333" s="18"/>
      <c r="S333" s="142"/>
      <c r="T333" s="142"/>
      <c r="U333" s="142"/>
      <c r="V333" s="18"/>
      <c r="W333" s="18"/>
      <c r="X333" s="18"/>
      <c r="Y333" s="142"/>
      <c r="Z333" s="18"/>
      <c r="AA333" s="18"/>
      <c r="AB333" s="18"/>
      <c r="AC333" s="18"/>
      <c r="AD333" s="18"/>
      <c r="AE333" s="18"/>
      <c r="AF333" s="18"/>
      <c r="AG333" s="18"/>
      <c r="AH333" s="18"/>
      <c r="AI333" s="18"/>
      <c r="AJ333" s="142"/>
      <c r="AK333" s="142"/>
      <c r="AL333" s="18"/>
      <c r="AM333" s="18"/>
      <c r="AN333" s="18"/>
      <c r="AO333" s="142"/>
    </row>
    <row r="334">
      <c r="A334" s="142"/>
      <c r="B334" s="18"/>
      <c r="C334" s="142"/>
      <c r="D334" s="18"/>
      <c r="E334" s="18"/>
      <c r="F334" s="18"/>
      <c r="G334" s="142"/>
      <c r="H334" s="18"/>
      <c r="I334" s="142"/>
      <c r="J334" s="15"/>
      <c r="Q334" s="15"/>
      <c r="R334" s="18"/>
      <c r="S334" s="142"/>
      <c r="T334" s="142"/>
      <c r="U334" s="142"/>
      <c r="V334" s="18"/>
      <c r="W334" s="18"/>
      <c r="X334" s="18"/>
      <c r="Y334" s="142"/>
      <c r="Z334" s="18"/>
      <c r="AA334" s="18"/>
      <c r="AB334" s="18"/>
      <c r="AC334" s="18"/>
      <c r="AD334" s="18"/>
      <c r="AE334" s="18"/>
      <c r="AF334" s="18"/>
      <c r="AG334" s="18"/>
      <c r="AH334" s="18"/>
      <c r="AI334" s="18"/>
      <c r="AJ334" s="142"/>
      <c r="AK334" s="142"/>
      <c r="AL334" s="18"/>
      <c r="AM334" s="18"/>
      <c r="AN334" s="18"/>
      <c r="AO334" s="142"/>
    </row>
    <row r="335">
      <c r="A335" s="142"/>
      <c r="B335" s="18"/>
      <c r="C335" s="142"/>
      <c r="D335" s="18"/>
      <c r="E335" s="18"/>
      <c r="F335" s="18"/>
      <c r="G335" s="142"/>
      <c r="H335" s="18"/>
      <c r="I335" s="142"/>
      <c r="J335" s="15"/>
      <c r="Q335" s="15"/>
      <c r="R335" s="18"/>
      <c r="S335" s="142"/>
      <c r="T335" s="142"/>
      <c r="U335" s="142"/>
      <c r="V335" s="18"/>
      <c r="W335" s="18"/>
      <c r="X335" s="18"/>
      <c r="Y335" s="142"/>
      <c r="Z335" s="18"/>
      <c r="AA335" s="18"/>
      <c r="AB335" s="18"/>
      <c r="AC335" s="18"/>
      <c r="AD335" s="18"/>
      <c r="AE335" s="18"/>
      <c r="AF335" s="18"/>
      <c r="AG335" s="18"/>
      <c r="AH335" s="18"/>
      <c r="AI335" s="18"/>
      <c r="AJ335" s="142"/>
      <c r="AK335" s="142"/>
      <c r="AL335" s="18"/>
      <c r="AM335" s="18"/>
      <c r="AN335" s="18"/>
      <c r="AO335" s="142"/>
    </row>
    <row r="336">
      <c r="A336" s="142"/>
      <c r="B336" s="18"/>
      <c r="C336" s="142"/>
      <c r="D336" s="18"/>
      <c r="E336" s="18"/>
      <c r="F336" s="18"/>
      <c r="G336" s="142"/>
      <c r="H336" s="18"/>
      <c r="I336" s="142"/>
      <c r="J336" s="15"/>
      <c r="Q336" s="15"/>
      <c r="R336" s="18"/>
      <c r="S336" s="142"/>
      <c r="T336" s="142"/>
      <c r="U336" s="142"/>
      <c r="V336" s="18"/>
      <c r="W336" s="18"/>
      <c r="X336" s="18"/>
      <c r="Y336" s="142"/>
      <c r="Z336" s="18"/>
      <c r="AA336" s="18"/>
      <c r="AB336" s="18"/>
      <c r="AC336" s="18"/>
      <c r="AD336" s="18"/>
      <c r="AE336" s="18"/>
      <c r="AF336" s="18"/>
      <c r="AG336" s="18"/>
      <c r="AH336" s="18"/>
      <c r="AI336" s="18"/>
      <c r="AJ336" s="142"/>
      <c r="AK336" s="142"/>
      <c r="AL336" s="18"/>
      <c r="AM336" s="18"/>
      <c r="AN336" s="18"/>
      <c r="AO336" s="142"/>
    </row>
    <row r="337">
      <c r="A337" s="142"/>
      <c r="B337" s="18"/>
      <c r="C337" s="142"/>
      <c r="D337" s="18"/>
      <c r="E337" s="18"/>
      <c r="F337" s="18"/>
      <c r="G337" s="142"/>
      <c r="H337" s="18"/>
      <c r="I337" s="142"/>
      <c r="J337" s="15"/>
      <c r="Q337" s="15"/>
      <c r="R337" s="18"/>
      <c r="S337" s="142"/>
      <c r="T337" s="142"/>
      <c r="U337" s="142"/>
      <c r="V337" s="18"/>
      <c r="W337" s="18"/>
      <c r="X337" s="18"/>
      <c r="Y337" s="142"/>
      <c r="Z337" s="18"/>
      <c r="AA337" s="18"/>
      <c r="AB337" s="18"/>
      <c r="AC337" s="18"/>
      <c r="AD337" s="18"/>
      <c r="AE337" s="18"/>
      <c r="AF337" s="18"/>
      <c r="AG337" s="18"/>
      <c r="AH337" s="18"/>
      <c r="AI337" s="18"/>
      <c r="AJ337" s="142"/>
      <c r="AK337" s="142"/>
      <c r="AL337" s="18"/>
      <c r="AM337" s="18"/>
      <c r="AN337" s="18"/>
      <c r="AO337" s="142"/>
    </row>
    <row r="338">
      <c r="A338" s="142"/>
      <c r="B338" s="18"/>
      <c r="C338" s="142"/>
      <c r="D338" s="18"/>
      <c r="E338" s="18"/>
      <c r="F338" s="18"/>
      <c r="G338" s="142"/>
      <c r="H338" s="18"/>
      <c r="I338" s="142"/>
      <c r="J338" s="15"/>
      <c r="Q338" s="15"/>
      <c r="R338" s="18"/>
      <c r="S338" s="142"/>
      <c r="T338" s="142"/>
      <c r="U338" s="142"/>
      <c r="V338" s="18"/>
      <c r="W338" s="18"/>
      <c r="X338" s="18"/>
      <c r="Y338" s="142"/>
      <c r="Z338" s="18"/>
      <c r="AA338" s="18"/>
      <c r="AB338" s="18"/>
      <c r="AC338" s="18"/>
      <c r="AD338" s="18"/>
      <c r="AE338" s="18"/>
      <c r="AF338" s="18"/>
      <c r="AG338" s="18"/>
      <c r="AH338" s="18"/>
      <c r="AI338" s="18"/>
      <c r="AJ338" s="142"/>
      <c r="AK338" s="142"/>
      <c r="AL338" s="18"/>
      <c r="AM338" s="18"/>
      <c r="AN338" s="18"/>
      <c r="AO338" s="142"/>
    </row>
    <row r="339">
      <c r="A339" s="142"/>
      <c r="B339" s="18"/>
      <c r="C339" s="142"/>
      <c r="D339" s="18"/>
      <c r="E339" s="18"/>
      <c r="F339" s="18"/>
      <c r="G339" s="142"/>
      <c r="H339" s="18"/>
      <c r="I339" s="142"/>
      <c r="J339" s="15"/>
      <c r="Q339" s="15"/>
      <c r="R339" s="18"/>
      <c r="S339" s="142"/>
      <c r="T339" s="142"/>
      <c r="U339" s="142"/>
      <c r="V339" s="18"/>
      <c r="W339" s="18"/>
      <c r="X339" s="18"/>
      <c r="Y339" s="142"/>
      <c r="Z339" s="18"/>
      <c r="AA339" s="18"/>
      <c r="AB339" s="18"/>
      <c r="AC339" s="18"/>
      <c r="AD339" s="18"/>
      <c r="AE339" s="18"/>
      <c r="AF339" s="18"/>
      <c r="AG339" s="18"/>
      <c r="AH339" s="18"/>
      <c r="AI339" s="18"/>
      <c r="AJ339" s="142"/>
      <c r="AK339" s="142"/>
      <c r="AL339" s="18"/>
      <c r="AM339" s="18"/>
      <c r="AN339" s="18"/>
      <c r="AO339" s="142"/>
    </row>
    <row r="340">
      <c r="A340" s="142"/>
      <c r="B340" s="18"/>
      <c r="C340" s="142"/>
      <c r="D340" s="18"/>
      <c r="E340" s="18"/>
      <c r="F340" s="18"/>
      <c r="G340" s="142"/>
      <c r="H340" s="18"/>
      <c r="I340" s="142"/>
      <c r="J340" s="15"/>
      <c r="Q340" s="15"/>
      <c r="R340" s="18"/>
      <c r="S340" s="142"/>
      <c r="T340" s="142"/>
      <c r="U340" s="142"/>
      <c r="V340" s="18"/>
      <c r="W340" s="18"/>
      <c r="X340" s="18"/>
      <c r="Y340" s="142"/>
      <c r="Z340" s="18"/>
      <c r="AA340" s="18"/>
      <c r="AB340" s="18"/>
      <c r="AC340" s="18"/>
      <c r="AD340" s="18"/>
      <c r="AE340" s="18"/>
      <c r="AF340" s="18"/>
      <c r="AG340" s="18"/>
      <c r="AH340" s="18"/>
      <c r="AI340" s="18"/>
      <c r="AJ340" s="142"/>
      <c r="AK340" s="142"/>
      <c r="AL340" s="18"/>
      <c r="AM340" s="18"/>
      <c r="AN340" s="18"/>
      <c r="AO340" s="142"/>
    </row>
    <row r="341">
      <c r="A341" s="142"/>
      <c r="B341" s="18"/>
      <c r="C341" s="142"/>
      <c r="D341" s="18"/>
      <c r="E341" s="18"/>
      <c r="F341" s="18"/>
      <c r="G341" s="142"/>
      <c r="H341" s="18"/>
      <c r="I341" s="142"/>
      <c r="J341" s="15"/>
      <c r="Q341" s="15"/>
      <c r="R341" s="18"/>
      <c r="S341" s="142"/>
      <c r="T341" s="142"/>
      <c r="U341" s="142"/>
      <c r="V341" s="18"/>
      <c r="W341" s="18"/>
      <c r="X341" s="18"/>
      <c r="Y341" s="142"/>
      <c r="Z341" s="18"/>
      <c r="AA341" s="18"/>
      <c r="AB341" s="18"/>
      <c r="AC341" s="18"/>
      <c r="AD341" s="18"/>
      <c r="AE341" s="18"/>
      <c r="AF341" s="18"/>
      <c r="AG341" s="18"/>
      <c r="AH341" s="18"/>
      <c r="AI341" s="18"/>
      <c r="AJ341" s="142"/>
      <c r="AK341" s="142"/>
      <c r="AL341" s="18"/>
      <c r="AM341" s="18"/>
      <c r="AN341" s="18"/>
      <c r="AO341" s="142"/>
    </row>
    <row r="342">
      <c r="A342" s="142"/>
      <c r="B342" s="18"/>
      <c r="C342" s="142"/>
      <c r="D342" s="18"/>
      <c r="E342" s="18"/>
      <c r="F342" s="18"/>
      <c r="G342" s="142"/>
      <c r="H342" s="18"/>
      <c r="I342" s="142"/>
      <c r="J342" s="15"/>
      <c r="Q342" s="15"/>
      <c r="R342" s="18"/>
      <c r="S342" s="142"/>
      <c r="T342" s="142"/>
      <c r="U342" s="142"/>
      <c r="V342" s="18"/>
      <c r="W342" s="18"/>
      <c r="X342" s="18"/>
      <c r="Y342" s="142"/>
      <c r="Z342" s="18"/>
      <c r="AA342" s="18"/>
      <c r="AB342" s="18"/>
      <c r="AC342" s="18"/>
      <c r="AD342" s="18"/>
      <c r="AE342" s="18"/>
      <c r="AF342" s="18"/>
      <c r="AG342" s="18"/>
      <c r="AH342" s="18"/>
      <c r="AI342" s="18"/>
      <c r="AJ342" s="142"/>
      <c r="AK342" s="142"/>
      <c r="AL342" s="18"/>
      <c r="AM342" s="18"/>
      <c r="AN342" s="18"/>
      <c r="AO342" s="142"/>
    </row>
    <row r="343">
      <c r="A343" s="142"/>
      <c r="B343" s="18"/>
      <c r="C343" s="142"/>
      <c r="D343" s="18"/>
      <c r="E343" s="18"/>
      <c r="F343" s="18"/>
      <c r="G343" s="142"/>
      <c r="H343" s="18"/>
      <c r="I343" s="142"/>
      <c r="J343" s="15"/>
      <c r="Q343" s="15"/>
      <c r="R343" s="18"/>
      <c r="S343" s="142"/>
      <c r="T343" s="142"/>
      <c r="U343" s="142"/>
      <c r="V343" s="18"/>
      <c r="W343" s="18"/>
      <c r="X343" s="18"/>
      <c r="Y343" s="142"/>
      <c r="Z343" s="18"/>
      <c r="AA343" s="18"/>
      <c r="AB343" s="18"/>
      <c r="AC343" s="18"/>
      <c r="AD343" s="18"/>
      <c r="AE343" s="18"/>
      <c r="AF343" s="18"/>
      <c r="AG343" s="18"/>
      <c r="AH343" s="18"/>
      <c r="AI343" s="18"/>
      <c r="AJ343" s="142"/>
      <c r="AK343" s="142"/>
      <c r="AL343" s="18"/>
      <c r="AM343" s="18"/>
      <c r="AN343" s="18"/>
      <c r="AO343" s="142"/>
    </row>
    <row r="344">
      <c r="A344" s="142"/>
      <c r="B344" s="18"/>
      <c r="C344" s="142"/>
      <c r="D344" s="18"/>
      <c r="E344" s="18"/>
      <c r="F344" s="18"/>
      <c r="G344" s="142"/>
      <c r="H344" s="18"/>
      <c r="I344" s="142"/>
      <c r="J344" s="15"/>
      <c r="Q344" s="15"/>
      <c r="R344" s="18"/>
      <c r="S344" s="142"/>
      <c r="T344" s="142"/>
      <c r="U344" s="142"/>
      <c r="V344" s="18"/>
      <c r="W344" s="18"/>
      <c r="X344" s="18"/>
      <c r="Y344" s="142"/>
      <c r="Z344" s="18"/>
      <c r="AA344" s="18"/>
      <c r="AB344" s="18"/>
      <c r="AC344" s="18"/>
      <c r="AD344" s="18"/>
      <c r="AE344" s="18"/>
      <c r="AF344" s="18"/>
      <c r="AG344" s="18"/>
      <c r="AH344" s="18"/>
      <c r="AI344" s="18"/>
      <c r="AJ344" s="142"/>
      <c r="AK344" s="142"/>
      <c r="AL344" s="18"/>
      <c r="AM344" s="18"/>
      <c r="AN344" s="18"/>
      <c r="AO344" s="142"/>
    </row>
    <row r="345">
      <c r="A345" s="142"/>
      <c r="B345" s="18"/>
      <c r="C345" s="142"/>
      <c r="D345" s="18"/>
      <c r="E345" s="18"/>
      <c r="F345" s="18"/>
      <c r="G345" s="142"/>
      <c r="H345" s="18"/>
      <c r="I345" s="142"/>
      <c r="J345" s="15"/>
      <c r="Q345" s="15"/>
      <c r="R345" s="18"/>
      <c r="S345" s="142"/>
      <c r="T345" s="142"/>
      <c r="U345" s="142"/>
      <c r="V345" s="18"/>
      <c r="W345" s="18"/>
      <c r="X345" s="18"/>
      <c r="Y345" s="142"/>
      <c r="Z345" s="18"/>
      <c r="AA345" s="18"/>
      <c r="AB345" s="18"/>
      <c r="AC345" s="18"/>
      <c r="AD345" s="18"/>
      <c r="AE345" s="18"/>
      <c r="AF345" s="18"/>
      <c r="AG345" s="18"/>
      <c r="AH345" s="18"/>
      <c r="AI345" s="18"/>
      <c r="AJ345" s="142"/>
      <c r="AK345" s="142"/>
      <c r="AL345" s="18"/>
      <c r="AM345" s="18"/>
      <c r="AN345" s="18"/>
      <c r="AO345" s="142"/>
    </row>
    <row r="346">
      <c r="A346" s="142"/>
      <c r="B346" s="18"/>
      <c r="C346" s="142"/>
      <c r="D346" s="18"/>
      <c r="E346" s="18"/>
      <c r="F346" s="18"/>
      <c r="G346" s="142"/>
      <c r="H346" s="18"/>
      <c r="I346" s="142"/>
      <c r="J346" s="15"/>
      <c r="Q346" s="15"/>
      <c r="R346" s="18"/>
      <c r="S346" s="142"/>
      <c r="T346" s="142"/>
      <c r="U346" s="142"/>
      <c r="V346" s="18"/>
      <c r="W346" s="18"/>
      <c r="X346" s="18"/>
      <c r="Y346" s="142"/>
      <c r="Z346" s="18"/>
      <c r="AA346" s="18"/>
      <c r="AB346" s="18"/>
      <c r="AC346" s="18"/>
      <c r="AD346" s="18"/>
      <c r="AE346" s="18"/>
      <c r="AF346" s="18"/>
      <c r="AG346" s="18"/>
      <c r="AH346" s="18"/>
      <c r="AI346" s="18"/>
      <c r="AJ346" s="142"/>
      <c r="AK346" s="142"/>
      <c r="AL346" s="18"/>
      <c r="AM346" s="18"/>
      <c r="AN346" s="18"/>
      <c r="AO346" s="142"/>
    </row>
    <row r="347">
      <c r="A347" s="142"/>
      <c r="B347" s="18"/>
      <c r="C347" s="142"/>
      <c r="D347" s="18"/>
      <c r="E347" s="18"/>
      <c r="F347" s="18"/>
      <c r="G347" s="142"/>
      <c r="H347" s="18"/>
      <c r="I347" s="142"/>
      <c r="J347" s="15"/>
      <c r="Q347" s="15"/>
      <c r="R347" s="18"/>
      <c r="S347" s="142"/>
      <c r="T347" s="142"/>
      <c r="U347" s="142"/>
      <c r="V347" s="18"/>
      <c r="W347" s="18"/>
      <c r="X347" s="18"/>
      <c r="Y347" s="142"/>
      <c r="Z347" s="18"/>
      <c r="AA347" s="18"/>
      <c r="AB347" s="18"/>
      <c r="AC347" s="18"/>
      <c r="AD347" s="18"/>
      <c r="AE347" s="18"/>
      <c r="AF347" s="18"/>
      <c r="AG347" s="18"/>
      <c r="AH347" s="18"/>
      <c r="AI347" s="18"/>
      <c r="AJ347" s="142"/>
      <c r="AK347" s="142"/>
      <c r="AL347" s="18"/>
      <c r="AM347" s="18"/>
      <c r="AN347" s="18"/>
      <c r="AO347" s="142"/>
    </row>
    <row r="348">
      <c r="A348" s="142"/>
      <c r="B348" s="18"/>
      <c r="C348" s="142"/>
      <c r="D348" s="18"/>
      <c r="E348" s="18"/>
      <c r="F348" s="18"/>
      <c r="G348" s="142"/>
      <c r="H348" s="18"/>
      <c r="I348" s="142"/>
      <c r="J348" s="15"/>
      <c r="Q348" s="15"/>
      <c r="R348" s="18"/>
      <c r="S348" s="142"/>
      <c r="T348" s="142"/>
      <c r="U348" s="142"/>
      <c r="V348" s="18"/>
      <c r="W348" s="18"/>
      <c r="X348" s="18"/>
      <c r="Y348" s="142"/>
      <c r="Z348" s="18"/>
      <c r="AA348" s="18"/>
      <c r="AB348" s="18"/>
      <c r="AC348" s="18"/>
      <c r="AD348" s="18"/>
      <c r="AE348" s="18"/>
      <c r="AF348" s="18"/>
      <c r="AG348" s="18"/>
      <c r="AH348" s="18"/>
      <c r="AI348" s="18"/>
      <c r="AJ348" s="142"/>
      <c r="AK348" s="142"/>
      <c r="AL348" s="18"/>
      <c r="AM348" s="18"/>
      <c r="AN348" s="18"/>
      <c r="AO348" s="142"/>
    </row>
    <row r="349">
      <c r="A349" s="142"/>
      <c r="B349" s="18"/>
      <c r="C349" s="142"/>
      <c r="D349" s="18"/>
      <c r="E349" s="18"/>
      <c r="F349" s="18"/>
      <c r="G349" s="142"/>
      <c r="H349" s="18"/>
      <c r="I349" s="142"/>
      <c r="J349" s="15"/>
      <c r="Q349" s="15"/>
      <c r="R349" s="18"/>
      <c r="S349" s="142"/>
      <c r="T349" s="142"/>
      <c r="U349" s="142"/>
      <c r="V349" s="18"/>
      <c r="W349" s="18"/>
      <c r="X349" s="18"/>
      <c r="Y349" s="142"/>
      <c r="Z349" s="18"/>
      <c r="AA349" s="18"/>
      <c r="AB349" s="18"/>
      <c r="AC349" s="18"/>
      <c r="AD349" s="18"/>
      <c r="AE349" s="18"/>
      <c r="AF349" s="18"/>
      <c r="AG349" s="18"/>
      <c r="AH349" s="18"/>
      <c r="AI349" s="18"/>
      <c r="AJ349" s="142"/>
      <c r="AK349" s="142"/>
      <c r="AL349" s="18"/>
      <c r="AM349" s="18"/>
      <c r="AN349" s="18"/>
      <c r="AO349" s="142"/>
    </row>
    <row r="350">
      <c r="A350" s="142"/>
      <c r="B350" s="18"/>
      <c r="C350" s="142"/>
      <c r="D350" s="18"/>
      <c r="E350" s="18"/>
      <c r="F350" s="18"/>
      <c r="G350" s="142"/>
      <c r="H350" s="18"/>
      <c r="I350" s="142"/>
      <c r="J350" s="15"/>
      <c r="Q350" s="15"/>
      <c r="R350" s="18"/>
      <c r="S350" s="142"/>
      <c r="T350" s="142"/>
      <c r="U350" s="142"/>
      <c r="V350" s="18"/>
      <c r="W350" s="18"/>
      <c r="X350" s="18"/>
      <c r="Y350" s="142"/>
      <c r="Z350" s="18"/>
      <c r="AA350" s="18"/>
      <c r="AB350" s="18"/>
      <c r="AC350" s="18"/>
      <c r="AD350" s="18"/>
      <c r="AE350" s="18"/>
      <c r="AF350" s="18"/>
      <c r="AG350" s="18"/>
      <c r="AH350" s="18"/>
      <c r="AI350" s="18"/>
      <c r="AJ350" s="142"/>
      <c r="AK350" s="142"/>
      <c r="AL350" s="18"/>
      <c r="AM350" s="18"/>
      <c r="AN350" s="18"/>
      <c r="AO350" s="142"/>
    </row>
    <row r="351">
      <c r="A351" s="142"/>
      <c r="B351" s="18"/>
      <c r="C351" s="142"/>
      <c r="D351" s="18"/>
      <c r="E351" s="18"/>
      <c r="F351" s="18"/>
      <c r="G351" s="142"/>
      <c r="H351" s="18"/>
      <c r="I351" s="142"/>
      <c r="J351" s="15"/>
      <c r="Q351" s="15"/>
      <c r="R351" s="18"/>
      <c r="S351" s="142"/>
      <c r="T351" s="142"/>
      <c r="U351" s="142"/>
      <c r="V351" s="18"/>
      <c r="W351" s="18"/>
      <c r="X351" s="18"/>
      <c r="Y351" s="142"/>
      <c r="Z351" s="18"/>
      <c r="AA351" s="18"/>
      <c r="AB351" s="18"/>
      <c r="AC351" s="18"/>
      <c r="AD351" s="18"/>
      <c r="AE351" s="18"/>
      <c r="AF351" s="18"/>
      <c r="AG351" s="18"/>
      <c r="AH351" s="18"/>
      <c r="AI351" s="18"/>
      <c r="AJ351" s="142"/>
      <c r="AK351" s="142"/>
      <c r="AL351" s="18"/>
      <c r="AM351" s="18"/>
      <c r="AN351" s="18"/>
      <c r="AO351" s="142"/>
    </row>
    <row r="352">
      <c r="A352" s="142"/>
      <c r="B352" s="18"/>
      <c r="C352" s="142"/>
      <c r="D352" s="18"/>
      <c r="E352" s="18"/>
      <c r="F352" s="18"/>
      <c r="G352" s="142"/>
      <c r="H352" s="18"/>
      <c r="I352" s="142"/>
      <c r="J352" s="15"/>
      <c r="Q352" s="15"/>
      <c r="R352" s="18"/>
      <c r="S352" s="142"/>
      <c r="T352" s="142"/>
      <c r="U352" s="142"/>
      <c r="V352" s="18"/>
      <c r="W352" s="18"/>
      <c r="X352" s="18"/>
      <c r="Y352" s="142"/>
      <c r="Z352" s="18"/>
      <c r="AA352" s="18"/>
      <c r="AB352" s="18"/>
      <c r="AC352" s="18"/>
      <c r="AD352" s="18"/>
      <c r="AE352" s="18"/>
      <c r="AF352" s="18"/>
      <c r="AG352" s="18"/>
      <c r="AH352" s="18"/>
      <c r="AI352" s="18"/>
      <c r="AJ352" s="142"/>
      <c r="AK352" s="142"/>
      <c r="AL352" s="18"/>
      <c r="AM352" s="18"/>
      <c r="AN352" s="18"/>
      <c r="AO352" s="142"/>
    </row>
    <row r="353">
      <c r="A353" s="142"/>
      <c r="B353" s="18"/>
      <c r="C353" s="142"/>
      <c r="D353" s="18"/>
      <c r="E353" s="18"/>
      <c r="F353" s="18"/>
      <c r="G353" s="142"/>
      <c r="H353" s="18"/>
      <c r="I353" s="142"/>
      <c r="J353" s="15"/>
      <c r="Q353" s="15"/>
      <c r="R353" s="18"/>
      <c r="S353" s="142"/>
      <c r="T353" s="142"/>
      <c r="U353" s="142"/>
      <c r="V353" s="18"/>
      <c r="W353" s="18"/>
      <c r="X353" s="18"/>
      <c r="Y353" s="142"/>
      <c r="Z353" s="18"/>
      <c r="AA353" s="18"/>
      <c r="AB353" s="18"/>
      <c r="AC353" s="18"/>
      <c r="AD353" s="18"/>
      <c r="AE353" s="18"/>
      <c r="AF353" s="18"/>
      <c r="AG353" s="18"/>
      <c r="AH353" s="18"/>
      <c r="AI353" s="18"/>
      <c r="AJ353" s="142"/>
      <c r="AK353" s="142"/>
      <c r="AL353" s="18"/>
      <c r="AM353" s="18"/>
      <c r="AN353" s="18"/>
      <c r="AO353" s="142"/>
    </row>
    <row r="354">
      <c r="A354" s="142"/>
      <c r="B354" s="18"/>
      <c r="C354" s="142"/>
      <c r="D354" s="18"/>
      <c r="E354" s="18"/>
      <c r="F354" s="18"/>
      <c r="G354" s="142"/>
      <c r="H354" s="18"/>
      <c r="I354" s="142"/>
      <c r="J354" s="15"/>
      <c r="Q354" s="15"/>
      <c r="R354" s="18"/>
      <c r="S354" s="142"/>
      <c r="T354" s="142"/>
      <c r="U354" s="142"/>
      <c r="V354" s="18"/>
      <c r="W354" s="18"/>
      <c r="X354" s="18"/>
      <c r="Y354" s="142"/>
      <c r="Z354" s="18"/>
      <c r="AA354" s="18"/>
      <c r="AB354" s="18"/>
      <c r="AC354" s="18"/>
      <c r="AD354" s="18"/>
      <c r="AE354" s="18"/>
      <c r="AF354" s="18"/>
      <c r="AG354" s="18"/>
      <c r="AH354" s="18"/>
      <c r="AI354" s="18"/>
      <c r="AJ354" s="142"/>
      <c r="AK354" s="142"/>
      <c r="AL354" s="18"/>
      <c r="AM354" s="18"/>
      <c r="AN354" s="18"/>
      <c r="AO354" s="142"/>
    </row>
    <row r="355">
      <c r="A355" s="142"/>
      <c r="B355" s="18"/>
      <c r="C355" s="142"/>
      <c r="D355" s="18"/>
      <c r="E355" s="18"/>
      <c r="F355" s="18"/>
      <c r="G355" s="142"/>
      <c r="H355" s="18"/>
      <c r="I355" s="142"/>
      <c r="J355" s="15"/>
      <c r="Q355" s="15"/>
      <c r="R355" s="18"/>
      <c r="S355" s="142"/>
      <c r="T355" s="142"/>
      <c r="U355" s="142"/>
      <c r="V355" s="18"/>
      <c r="W355" s="18"/>
      <c r="X355" s="18"/>
      <c r="Y355" s="142"/>
      <c r="Z355" s="18"/>
      <c r="AA355" s="18"/>
      <c r="AB355" s="18"/>
      <c r="AC355" s="18"/>
      <c r="AD355" s="18"/>
      <c r="AE355" s="18"/>
      <c r="AF355" s="18"/>
      <c r="AG355" s="18"/>
      <c r="AH355" s="18"/>
      <c r="AI355" s="18"/>
      <c r="AJ355" s="142"/>
      <c r="AK355" s="142"/>
      <c r="AL355" s="18"/>
      <c r="AM355" s="18"/>
      <c r="AN355" s="18"/>
      <c r="AO355" s="142"/>
    </row>
    <row r="356">
      <c r="A356" s="142"/>
      <c r="B356" s="18"/>
      <c r="C356" s="142"/>
      <c r="D356" s="18"/>
      <c r="E356" s="18"/>
      <c r="F356" s="18"/>
      <c r="G356" s="142"/>
      <c r="H356" s="18"/>
      <c r="I356" s="142"/>
      <c r="J356" s="15"/>
      <c r="Q356" s="15"/>
      <c r="R356" s="18"/>
      <c r="S356" s="142"/>
      <c r="T356" s="142"/>
      <c r="U356" s="142"/>
      <c r="V356" s="18"/>
      <c r="W356" s="18"/>
      <c r="X356" s="18"/>
      <c r="Y356" s="142"/>
      <c r="Z356" s="18"/>
      <c r="AA356" s="18"/>
      <c r="AB356" s="18"/>
      <c r="AC356" s="18"/>
      <c r="AD356" s="18"/>
      <c r="AE356" s="18"/>
      <c r="AF356" s="18"/>
      <c r="AG356" s="18"/>
      <c r="AH356" s="18"/>
      <c r="AI356" s="18"/>
      <c r="AJ356" s="142"/>
      <c r="AK356" s="142"/>
      <c r="AL356" s="18"/>
      <c r="AM356" s="18"/>
      <c r="AN356" s="18"/>
      <c r="AO356" s="142"/>
    </row>
    <row r="357">
      <c r="A357" s="142"/>
      <c r="B357" s="18"/>
      <c r="C357" s="142"/>
      <c r="D357" s="18"/>
      <c r="E357" s="18"/>
      <c r="F357" s="18"/>
      <c r="G357" s="142"/>
      <c r="H357" s="18"/>
      <c r="I357" s="142"/>
      <c r="J357" s="15"/>
      <c r="Q357" s="15"/>
      <c r="R357" s="18"/>
      <c r="S357" s="142"/>
      <c r="T357" s="142"/>
      <c r="U357" s="142"/>
      <c r="V357" s="18"/>
      <c r="W357" s="18"/>
      <c r="X357" s="18"/>
      <c r="Y357" s="142"/>
      <c r="Z357" s="18"/>
      <c r="AA357" s="18"/>
      <c r="AB357" s="18"/>
      <c r="AC357" s="18"/>
      <c r="AD357" s="18"/>
      <c r="AE357" s="18"/>
      <c r="AF357" s="18"/>
      <c r="AG357" s="18"/>
      <c r="AH357" s="18"/>
      <c r="AI357" s="18"/>
      <c r="AJ357" s="142"/>
      <c r="AK357" s="142"/>
      <c r="AL357" s="18"/>
      <c r="AM357" s="18"/>
      <c r="AN357" s="18"/>
      <c r="AO357" s="142"/>
    </row>
    <row r="358">
      <c r="A358" s="142"/>
      <c r="B358" s="18"/>
      <c r="C358" s="142"/>
      <c r="D358" s="18"/>
      <c r="E358" s="18"/>
      <c r="F358" s="18"/>
      <c r="G358" s="142"/>
      <c r="H358" s="18"/>
      <c r="I358" s="142"/>
      <c r="J358" s="15"/>
      <c r="Q358" s="15"/>
      <c r="R358" s="18"/>
      <c r="S358" s="142"/>
      <c r="T358" s="142"/>
      <c r="U358" s="142"/>
      <c r="V358" s="18"/>
      <c r="W358" s="18"/>
      <c r="X358" s="18"/>
      <c r="Y358" s="142"/>
      <c r="Z358" s="18"/>
      <c r="AA358" s="18"/>
      <c r="AB358" s="18"/>
      <c r="AC358" s="18"/>
      <c r="AD358" s="18"/>
      <c r="AE358" s="18"/>
      <c r="AF358" s="18"/>
      <c r="AG358" s="18"/>
      <c r="AH358" s="18"/>
      <c r="AI358" s="18"/>
      <c r="AJ358" s="142"/>
      <c r="AK358" s="142"/>
      <c r="AL358" s="18"/>
      <c r="AM358" s="18"/>
      <c r="AN358" s="18"/>
      <c r="AO358" s="142"/>
    </row>
    <row r="359">
      <c r="A359" s="142"/>
      <c r="B359" s="18"/>
      <c r="C359" s="142"/>
      <c r="D359" s="18"/>
      <c r="E359" s="18"/>
      <c r="F359" s="18"/>
      <c r="G359" s="142"/>
      <c r="H359" s="18"/>
      <c r="I359" s="142"/>
      <c r="J359" s="15"/>
      <c r="Q359" s="15"/>
      <c r="R359" s="18"/>
      <c r="S359" s="142"/>
      <c r="T359" s="142"/>
      <c r="U359" s="142"/>
      <c r="V359" s="18"/>
      <c r="W359" s="18"/>
      <c r="X359" s="18"/>
      <c r="Y359" s="142"/>
      <c r="Z359" s="18"/>
      <c r="AA359" s="18"/>
      <c r="AB359" s="18"/>
      <c r="AC359" s="18"/>
      <c r="AD359" s="18"/>
      <c r="AE359" s="18"/>
      <c r="AF359" s="18"/>
      <c r="AG359" s="18"/>
      <c r="AH359" s="18"/>
      <c r="AI359" s="18"/>
      <c r="AJ359" s="142"/>
      <c r="AK359" s="142"/>
      <c r="AL359" s="18"/>
      <c r="AM359" s="18"/>
      <c r="AN359" s="18"/>
      <c r="AO359" s="142"/>
    </row>
    <row r="360">
      <c r="A360" s="142"/>
      <c r="B360" s="18"/>
      <c r="C360" s="142"/>
      <c r="D360" s="18"/>
      <c r="E360" s="18"/>
      <c r="F360" s="18"/>
      <c r="G360" s="142"/>
      <c r="H360" s="18"/>
      <c r="I360" s="142"/>
      <c r="J360" s="15"/>
      <c r="Q360" s="15"/>
      <c r="R360" s="18"/>
      <c r="S360" s="142"/>
      <c r="T360" s="142"/>
      <c r="U360" s="142"/>
      <c r="V360" s="18"/>
      <c r="W360" s="18"/>
      <c r="X360" s="18"/>
      <c r="Y360" s="142"/>
      <c r="Z360" s="18"/>
      <c r="AA360" s="18"/>
      <c r="AB360" s="18"/>
      <c r="AC360" s="18"/>
      <c r="AD360" s="18"/>
      <c r="AE360" s="18"/>
      <c r="AF360" s="18"/>
      <c r="AG360" s="18"/>
      <c r="AH360" s="18"/>
      <c r="AI360" s="18"/>
      <c r="AJ360" s="142"/>
      <c r="AK360" s="142"/>
      <c r="AL360" s="18"/>
      <c r="AM360" s="18"/>
      <c r="AN360" s="18"/>
      <c r="AO360" s="142"/>
    </row>
    <row r="361">
      <c r="A361" s="142"/>
      <c r="B361" s="18"/>
      <c r="C361" s="142"/>
      <c r="D361" s="18"/>
      <c r="E361" s="18"/>
      <c r="F361" s="18"/>
      <c r="G361" s="142"/>
      <c r="H361" s="18"/>
      <c r="I361" s="142"/>
      <c r="J361" s="15"/>
      <c r="Q361" s="15"/>
      <c r="R361" s="18"/>
      <c r="S361" s="142"/>
      <c r="T361" s="142"/>
      <c r="U361" s="142"/>
      <c r="V361" s="18"/>
      <c r="W361" s="18"/>
      <c r="X361" s="18"/>
      <c r="Y361" s="142"/>
      <c r="Z361" s="18"/>
      <c r="AA361" s="18"/>
      <c r="AB361" s="18"/>
      <c r="AC361" s="18"/>
      <c r="AD361" s="18"/>
      <c r="AE361" s="18"/>
      <c r="AF361" s="18"/>
      <c r="AG361" s="18"/>
      <c r="AH361" s="18"/>
      <c r="AI361" s="18"/>
      <c r="AJ361" s="142"/>
      <c r="AK361" s="142"/>
      <c r="AL361" s="18"/>
      <c r="AM361" s="18"/>
      <c r="AN361" s="18"/>
      <c r="AO361" s="142"/>
    </row>
    <row r="362">
      <c r="A362" s="142"/>
      <c r="B362" s="18"/>
      <c r="C362" s="142"/>
      <c r="D362" s="18"/>
      <c r="E362" s="18"/>
      <c r="F362" s="18"/>
      <c r="G362" s="142"/>
      <c r="H362" s="18"/>
      <c r="I362" s="142"/>
      <c r="J362" s="15"/>
      <c r="Q362" s="15"/>
      <c r="R362" s="18"/>
      <c r="S362" s="142"/>
      <c r="T362" s="142"/>
      <c r="U362" s="142"/>
      <c r="V362" s="18"/>
      <c r="W362" s="18"/>
      <c r="X362" s="18"/>
      <c r="Y362" s="142"/>
      <c r="Z362" s="18"/>
      <c r="AA362" s="18"/>
      <c r="AB362" s="18"/>
      <c r="AC362" s="18"/>
      <c r="AD362" s="18"/>
      <c r="AE362" s="18"/>
      <c r="AF362" s="18"/>
      <c r="AG362" s="18"/>
      <c r="AH362" s="18"/>
      <c r="AI362" s="18"/>
      <c r="AJ362" s="142"/>
      <c r="AK362" s="142"/>
      <c r="AL362" s="18"/>
      <c r="AM362" s="18"/>
      <c r="AN362" s="18"/>
      <c r="AO362" s="142"/>
    </row>
    <row r="363">
      <c r="A363" s="142"/>
      <c r="B363" s="18"/>
      <c r="C363" s="142"/>
      <c r="D363" s="18"/>
      <c r="E363" s="18"/>
      <c r="F363" s="18"/>
      <c r="G363" s="142"/>
      <c r="H363" s="18"/>
      <c r="I363" s="142"/>
      <c r="J363" s="15"/>
      <c r="Q363" s="15"/>
      <c r="R363" s="18"/>
      <c r="S363" s="142"/>
      <c r="T363" s="142"/>
      <c r="U363" s="142"/>
      <c r="V363" s="18"/>
      <c r="W363" s="18"/>
      <c r="X363" s="18"/>
      <c r="Y363" s="142"/>
      <c r="Z363" s="18"/>
      <c r="AA363" s="18"/>
      <c r="AB363" s="18"/>
      <c r="AC363" s="18"/>
      <c r="AD363" s="18"/>
      <c r="AE363" s="18"/>
      <c r="AF363" s="18"/>
      <c r="AG363" s="18"/>
      <c r="AH363" s="18"/>
      <c r="AI363" s="18"/>
      <c r="AJ363" s="142"/>
      <c r="AK363" s="142"/>
      <c r="AL363" s="18"/>
      <c r="AM363" s="18"/>
      <c r="AN363" s="18"/>
      <c r="AO363" s="142"/>
    </row>
    <row r="364">
      <c r="A364" s="142"/>
      <c r="B364" s="18"/>
      <c r="C364" s="142"/>
      <c r="D364" s="18"/>
      <c r="E364" s="18"/>
      <c r="F364" s="18"/>
      <c r="G364" s="142"/>
      <c r="H364" s="18"/>
      <c r="I364" s="142"/>
      <c r="J364" s="15"/>
      <c r="Q364" s="15"/>
      <c r="R364" s="18"/>
      <c r="S364" s="142"/>
      <c r="T364" s="142"/>
      <c r="U364" s="142"/>
      <c r="V364" s="18"/>
      <c r="W364" s="18"/>
      <c r="X364" s="18"/>
      <c r="Y364" s="142"/>
      <c r="Z364" s="18"/>
      <c r="AA364" s="18"/>
      <c r="AB364" s="18"/>
      <c r="AC364" s="18"/>
      <c r="AD364" s="18"/>
      <c r="AE364" s="18"/>
      <c r="AF364" s="18"/>
      <c r="AG364" s="18"/>
      <c r="AH364" s="18"/>
      <c r="AI364" s="18"/>
      <c r="AJ364" s="142"/>
      <c r="AK364" s="142"/>
      <c r="AL364" s="18"/>
      <c r="AM364" s="18"/>
      <c r="AN364" s="18"/>
      <c r="AO364" s="142"/>
    </row>
    <row r="365">
      <c r="A365" s="142"/>
      <c r="B365" s="18"/>
      <c r="C365" s="142"/>
      <c r="D365" s="18"/>
      <c r="E365" s="18"/>
      <c r="F365" s="18"/>
      <c r="G365" s="142"/>
      <c r="H365" s="18"/>
      <c r="I365" s="142"/>
      <c r="J365" s="15"/>
      <c r="Q365" s="15"/>
      <c r="R365" s="18"/>
      <c r="S365" s="142"/>
      <c r="T365" s="142"/>
      <c r="U365" s="142"/>
      <c r="V365" s="18"/>
      <c r="W365" s="18"/>
      <c r="X365" s="18"/>
      <c r="Y365" s="142"/>
      <c r="Z365" s="18"/>
      <c r="AA365" s="18"/>
      <c r="AB365" s="18"/>
      <c r="AC365" s="18"/>
      <c r="AD365" s="18"/>
      <c r="AE365" s="18"/>
      <c r="AF365" s="18"/>
      <c r="AG365" s="18"/>
      <c r="AH365" s="18"/>
      <c r="AI365" s="18"/>
      <c r="AJ365" s="142"/>
      <c r="AK365" s="142"/>
      <c r="AL365" s="18"/>
      <c r="AM365" s="18"/>
      <c r="AN365" s="18"/>
      <c r="AO365" s="142"/>
    </row>
    <row r="366">
      <c r="A366" s="142"/>
      <c r="B366" s="18"/>
      <c r="C366" s="142"/>
      <c r="D366" s="18"/>
      <c r="E366" s="18"/>
      <c r="F366" s="18"/>
      <c r="G366" s="142"/>
      <c r="H366" s="18"/>
      <c r="I366" s="142"/>
      <c r="J366" s="15"/>
      <c r="Q366" s="15"/>
      <c r="R366" s="18"/>
      <c r="S366" s="142"/>
      <c r="T366" s="142"/>
      <c r="U366" s="142"/>
      <c r="V366" s="18"/>
      <c r="W366" s="18"/>
      <c r="X366" s="18"/>
      <c r="Y366" s="142"/>
      <c r="Z366" s="18"/>
      <c r="AA366" s="18"/>
      <c r="AB366" s="18"/>
      <c r="AC366" s="18"/>
      <c r="AD366" s="18"/>
      <c r="AE366" s="18"/>
      <c r="AF366" s="18"/>
      <c r="AG366" s="18"/>
      <c r="AH366" s="18"/>
      <c r="AI366" s="18"/>
      <c r="AJ366" s="142"/>
      <c r="AK366" s="142"/>
      <c r="AL366" s="18"/>
      <c r="AM366" s="18"/>
      <c r="AN366" s="18"/>
      <c r="AO366" s="142"/>
    </row>
    <row r="367">
      <c r="A367" s="142"/>
      <c r="B367" s="18"/>
      <c r="C367" s="142"/>
      <c r="D367" s="18"/>
      <c r="E367" s="18"/>
      <c r="F367" s="18"/>
      <c r="G367" s="142"/>
      <c r="H367" s="18"/>
      <c r="I367" s="142"/>
      <c r="J367" s="15"/>
      <c r="Q367" s="15"/>
      <c r="R367" s="18"/>
      <c r="S367" s="142"/>
      <c r="T367" s="142"/>
      <c r="U367" s="142"/>
      <c r="V367" s="18"/>
      <c r="W367" s="18"/>
      <c r="X367" s="18"/>
      <c r="Y367" s="142"/>
      <c r="Z367" s="18"/>
      <c r="AA367" s="18"/>
      <c r="AB367" s="18"/>
      <c r="AC367" s="18"/>
      <c r="AD367" s="18"/>
      <c r="AE367" s="18"/>
      <c r="AF367" s="18"/>
      <c r="AG367" s="18"/>
      <c r="AH367" s="18"/>
      <c r="AI367" s="18"/>
      <c r="AJ367" s="142"/>
      <c r="AK367" s="142"/>
      <c r="AL367" s="18"/>
      <c r="AM367" s="18"/>
      <c r="AN367" s="18"/>
      <c r="AO367" s="142"/>
    </row>
    <row r="368">
      <c r="A368" s="142"/>
      <c r="B368" s="18"/>
      <c r="C368" s="142"/>
      <c r="D368" s="18"/>
      <c r="E368" s="18"/>
      <c r="F368" s="18"/>
      <c r="G368" s="142"/>
      <c r="H368" s="18"/>
      <c r="I368" s="142"/>
      <c r="J368" s="15"/>
      <c r="Q368" s="15"/>
      <c r="R368" s="18"/>
      <c r="S368" s="142"/>
      <c r="T368" s="142"/>
      <c r="U368" s="142"/>
      <c r="V368" s="18"/>
      <c r="W368" s="18"/>
      <c r="X368" s="18"/>
      <c r="Y368" s="142"/>
      <c r="Z368" s="18"/>
      <c r="AA368" s="18"/>
      <c r="AB368" s="18"/>
      <c r="AC368" s="18"/>
      <c r="AD368" s="18"/>
      <c r="AE368" s="18"/>
      <c r="AF368" s="18"/>
      <c r="AG368" s="18"/>
      <c r="AH368" s="18"/>
      <c r="AI368" s="18"/>
      <c r="AJ368" s="142"/>
      <c r="AK368" s="142"/>
      <c r="AL368" s="18"/>
      <c r="AM368" s="18"/>
      <c r="AN368" s="18"/>
      <c r="AO368" s="142"/>
    </row>
    <row r="369">
      <c r="A369" s="142"/>
      <c r="B369" s="18"/>
      <c r="C369" s="142"/>
      <c r="D369" s="18"/>
      <c r="E369" s="18"/>
      <c r="F369" s="18"/>
      <c r="G369" s="142"/>
      <c r="H369" s="18"/>
      <c r="I369" s="142"/>
      <c r="J369" s="15"/>
      <c r="Q369" s="15"/>
      <c r="R369" s="18"/>
      <c r="S369" s="142"/>
      <c r="T369" s="142"/>
      <c r="U369" s="142"/>
      <c r="V369" s="18"/>
      <c r="W369" s="18"/>
      <c r="X369" s="18"/>
      <c r="Y369" s="142"/>
      <c r="Z369" s="18"/>
      <c r="AA369" s="18"/>
      <c r="AB369" s="18"/>
      <c r="AC369" s="18"/>
      <c r="AD369" s="18"/>
      <c r="AE369" s="18"/>
      <c r="AF369" s="18"/>
      <c r="AG369" s="18"/>
      <c r="AH369" s="18"/>
      <c r="AI369" s="18"/>
      <c r="AJ369" s="142"/>
      <c r="AK369" s="142"/>
      <c r="AL369" s="18"/>
      <c r="AM369" s="18"/>
      <c r="AN369" s="18"/>
      <c r="AO369" s="142"/>
    </row>
    <row r="370">
      <c r="A370" s="142"/>
      <c r="B370" s="18"/>
      <c r="C370" s="142"/>
      <c r="D370" s="18"/>
      <c r="E370" s="18"/>
      <c r="F370" s="18"/>
      <c r="G370" s="142"/>
      <c r="H370" s="18"/>
      <c r="I370" s="142"/>
      <c r="J370" s="15"/>
      <c r="Q370" s="15"/>
      <c r="R370" s="18"/>
      <c r="S370" s="142"/>
      <c r="T370" s="142"/>
      <c r="U370" s="142"/>
      <c r="V370" s="18"/>
      <c r="W370" s="18"/>
      <c r="X370" s="18"/>
      <c r="Y370" s="142"/>
      <c r="Z370" s="18"/>
      <c r="AA370" s="18"/>
      <c r="AB370" s="18"/>
      <c r="AC370" s="18"/>
      <c r="AD370" s="18"/>
      <c r="AE370" s="18"/>
      <c r="AF370" s="18"/>
      <c r="AG370" s="18"/>
      <c r="AH370" s="18"/>
      <c r="AI370" s="18"/>
      <c r="AJ370" s="142"/>
      <c r="AK370" s="142"/>
      <c r="AL370" s="18"/>
      <c r="AM370" s="18"/>
      <c r="AN370" s="18"/>
      <c r="AO370" s="142"/>
    </row>
    <row r="371">
      <c r="A371" s="142"/>
      <c r="B371" s="18"/>
      <c r="C371" s="142"/>
      <c r="D371" s="18"/>
      <c r="E371" s="18"/>
      <c r="F371" s="18"/>
      <c r="G371" s="142"/>
      <c r="H371" s="18"/>
      <c r="I371" s="142"/>
      <c r="J371" s="15"/>
      <c r="Q371" s="15"/>
      <c r="R371" s="18"/>
      <c r="S371" s="142"/>
      <c r="T371" s="142"/>
      <c r="U371" s="142"/>
      <c r="V371" s="18"/>
      <c r="W371" s="18"/>
      <c r="X371" s="18"/>
      <c r="Y371" s="142"/>
      <c r="Z371" s="18"/>
      <c r="AA371" s="18"/>
      <c r="AB371" s="18"/>
      <c r="AC371" s="18"/>
      <c r="AD371" s="18"/>
      <c r="AE371" s="18"/>
      <c r="AF371" s="18"/>
      <c r="AG371" s="18"/>
      <c r="AH371" s="18"/>
      <c r="AI371" s="18"/>
      <c r="AJ371" s="142"/>
      <c r="AK371" s="142"/>
      <c r="AL371" s="18"/>
      <c r="AM371" s="18"/>
      <c r="AN371" s="18"/>
      <c r="AO371" s="142"/>
    </row>
    <row r="372">
      <c r="A372" s="142"/>
      <c r="B372" s="18"/>
      <c r="C372" s="142"/>
      <c r="D372" s="18"/>
      <c r="E372" s="18"/>
      <c r="F372" s="18"/>
      <c r="G372" s="142"/>
      <c r="H372" s="18"/>
      <c r="I372" s="142"/>
      <c r="J372" s="15"/>
      <c r="Q372" s="15"/>
      <c r="R372" s="18"/>
      <c r="S372" s="142"/>
      <c r="T372" s="142"/>
      <c r="U372" s="142"/>
      <c r="V372" s="18"/>
      <c r="W372" s="18"/>
      <c r="X372" s="18"/>
      <c r="Y372" s="142"/>
      <c r="Z372" s="18"/>
      <c r="AA372" s="18"/>
      <c r="AB372" s="18"/>
      <c r="AC372" s="18"/>
      <c r="AD372" s="18"/>
      <c r="AE372" s="18"/>
      <c r="AF372" s="18"/>
      <c r="AG372" s="18"/>
      <c r="AH372" s="18"/>
      <c r="AI372" s="18"/>
      <c r="AJ372" s="142"/>
      <c r="AK372" s="142"/>
      <c r="AL372" s="18"/>
      <c r="AM372" s="18"/>
      <c r="AN372" s="18"/>
      <c r="AO372" s="142"/>
    </row>
    <row r="373">
      <c r="A373" s="142"/>
      <c r="B373" s="18"/>
      <c r="C373" s="142"/>
      <c r="D373" s="18"/>
      <c r="E373" s="18"/>
      <c r="F373" s="18"/>
      <c r="G373" s="142"/>
      <c r="H373" s="18"/>
      <c r="I373" s="142"/>
      <c r="J373" s="15"/>
      <c r="Q373" s="15"/>
      <c r="R373" s="18"/>
      <c r="S373" s="142"/>
      <c r="T373" s="142"/>
      <c r="U373" s="142"/>
      <c r="V373" s="18"/>
      <c r="W373" s="18"/>
      <c r="X373" s="18"/>
      <c r="Y373" s="142"/>
      <c r="Z373" s="18"/>
      <c r="AA373" s="18"/>
      <c r="AB373" s="18"/>
      <c r="AC373" s="18"/>
      <c r="AD373" s="18"/>
      <c r="AE373" s="18"/>
      <c r="AF373" s="18"/>
      <c r="AG373" s="18"/>
      <c r="AH373" s="18"/>
      <c r="AI373" s="18"/>
      <c r="AJ373" s="142"/>
      <c r="AK373" s="142"/>
      <c r="AL373" s="18"/>
      <c r="AM373" s="18"/>
      <c r="AN373" s="18"/>
      <c r="AO373" s="142"/>
    </row>
    <row r="374">
      <c r="A374" s="142"/>
      <c r="B374" s="18"/>
      <c r="C374" s="142"/>
      <c r="D374" s="18"/>
      <c r="E374" s="18"/>
      <c r="F374" s="18"/>
      <c r="G374" s="142"/>
      <c r="H374" s="18"/>
      <c r="I374" s="142"/>
      <c r="J374" s="15"/>
      <c r="Q374" s="15"/>
      <c r="R374" s="18"/>
      <c r="S374" s="142"/>
      <c r="T374" s="142"/>
      <c r="U374" s="142"/>
      <c r="V374" s="18"/>
      <c r="W374" s="18"/>
      <c r="X374" s="18"/>
      <c r="Y374" s="142"/>
      <c r="Z374" s="18"/>
      <c r="AA374" s="18"/>
      <c r="AB374" s="18"/>
      <c r="AC374" s="18"/>
      <c r="AD374" s="18"/>
      <c r="AE374" s="18"/>
      <c r="AF374" s="18"/>
      <c r="AG374" s="18"/>
      <c r="AH374" s="18"/>
      <c r="AI374" s="18"/>
      <c r="AJ374" s="142"/>
      <c r="AK374" s="142"/>
      <c r="AL374" s="18"/>
      <c r="AM374" s="18"/>
      <c r="AN374" s="18"/>
      <c r="AO374" s="142"/>
    </row>
    <row r="375">
      <c r="A375" s="142"/>
      <c r="B375" s="18"/>
      <c r="C375" s="142"/>
      <c r="D375" s="18"/>
      <c r="E375" s="18"/>
      <c r="F375" s="18"/>
      <c r="G375" s="142"/>
      <c r="H375" s="18"/>
      <c r="I375" s="142"/>
      <c r="J375" s="15"/>
      <c r="Q375" s="15"/>
      <c r="R375" s="18"/>
      <c r="S375" s="142"/>
      <c r="T375" s="142"/>
      <c r="U375" s="142"/>
      <c r="V375" s="18"/>
      <c r="W375" s="18"/>
      <c r="X375" s="18"/>
      <c r="Y375" s="142"/>
      <c r="Z375" s="18"/>
      <c r="AA375" s="18"/>
      <c r="AB375" s="18"/>
      <c r="AC375" s="18"/>
      <c r="AD375" s="18"/>
      <c r="AE375" s="18"/>
      <c r="AF375" s="18"/>
      <c r="AG375" s="18"/>
      <c r="AH375" s="18"/>
      <c r="AI375" s="18"/>
      <c r="AJ375" s="142"/>
      <c r="AK375" s="142"/>
      <c r="AL375" s="18"/>
      <c r="AM375" s="18"/>
      <c r="AN375" s="18"/>
      <c r="AO375" s="142"/>
    </row>
    <row r="376">
      <c r="A376" s="142"/>
      <c r="B376" s="18"/>
      <c r="C376" s="142"/>
      <c r="D376" s="18"/>
      <c r="E376" s="18"/>
      <c r="F376" s="18"/>
      <c r="G376" s="142"/>
      <c r="H376" s="18"/>
      <c r="I376" s="142"/>
      <c r="J376" s="15"/>
      <c r="Q376" s="15"/>
      <c r="R376" s="18"/>
      <c r="S376" s="142"/>
      <c r="T376" s="142"/>
      <c r="U376" s="142"/>
      <c r="V376" s="18"/>
      <c r="W376" s="18"/>
      <c r="X376" s="18"/>
      <c r="Y376" s="142"/>
      <c r="Z376" s="18"/>
      <c r="AA376" s="18"/>
      <c r="AB376" s="18"/>
      <c r="AC376" s="18"/>
      <c r="AD376" s="18"/>
      <c r="AE376" s="18"/>
      <c r="AF376" s="18"/>
      <c r="AG376" s="18"/>
      <c r="AH376" s="18"/>
      <c r="AI376" s="18"/>
      <c r="AJ376" s="142"/>
      <c r="AK376" s="142"/>
      <c r="AL376" s="18"/>
      <c r="AM376" s="18"/>
      <c r="AN376" s="18"/>
      <c r="AO376" s="142"/>
    </row>
    <row r="377">
      <c r="A377" s="142"/>
      <c r="B377" s="18"/>
      <c r="C377" s="142"/>
      <c r="D377" s="18"/>
      <c r="E377" s="18"/>
      <c r="F377" s="18"/>
      <c r="G377" s="142"/>
      <c r="H377" s="18"/>
      <c r="I377" s="142"/>
      <c r="J377" s="15"/>
      <c r="Q377" s="15"/>
      <c r="R377" s="18"/>
      <c r="S377" s="142"/>
      <c r="T377" s="142"/>
      <c r="U377" s="142"/>
      <c r="V377" s="18"/>
      <c r="W377" s="18"/>
      <c r="X377" s="18"/>
      <c r="Y377" s="142"/>
      <c r="Z377" s="18"/>
      <c r="AA377" s="18"/>
      <c r="AB377" s="18"/>
      <c r="AC377" s="18"/>
      <c r="AD377" s="18"/>
      <c r="AE377" s="18"/>
      <c r="AF377" s="18"/>
      <c r="AG377" s="18"/>
      <c r="AH377" s="18"/>
      <c r="AI377" s="18"/>
      <c r="AJ377" s="142"/>
      <c r="AK377" s="142"/>
      <c r="AL377" s="18"/>
      <c r="AM377" s="18"/>
      <c r="AN377" s="18"/>
      <c r="AO377" s="142"/>
    </row>
    <row r="378">
      <c r="A378" s="142"/>
      <c r="B378" s="18"/>
      <c r="C378" s="142"/>
      <c r="D378" s="18"/>
      <c r="E378" s="18"/>
      <c r="F378" s="18"/>
      <c r="G378" s="142"/>
      <c r="H378" s="18"/>
      <c r="I378" s="142"/>
      <c r="J378" s="15"/>
      <c r="Q378" s="15"/>
      <c r="R378" s="18"/>
      <c r="S378" s="142"/>
      <c r="T378" s="142"/>
      <c r="U378" s="142"/>
      <c r="V378" s="18"/>
      <c r="W378" s="18"/>
      <c r="X378" s="18"/>
      <c r="Y378" s="142"/>
      <c r="Z378" s="18"/>
      <c r="AA378" s="18"/>
      <c r="AB378" s="18"/>
      <c r="AC378" s="18"/>
      <c r="AD378" s="18"/>
      <c r="AE378" s="18"/>
      <c r="AF378" s="18"/>
      <c r="AG378" s="18"/>
      <c r="AH378" s="18"/>
      <c r="AI378" s="18"/>
      <c r="AJ378" s="142"/>
      <c r="AK378" s="142"/>
      <c r="AL378" s="18"/>
      <c r="AM378" s="18"/>
      <c r="AN378" s="18"/>
      <c r="AO378" s="142"/>
    </row>
    <row r="379">
      <c r="A379" s="142"/>
      <c r="B379" s="18"/>
      <c r="C379" s="142"/>
      <c r="D379" s="18"/>
      <c r="E379" s="18"/>
      <c r="F379" s="18"/>
      <c r="G379" s="142"/>
      <c r="H379" s="18"/>
      <c r="I379" s="142"/>
      <c r="J379" s="15"/>
      <c r="Q379" s="15"/>
      <c r="R379" s="18"/>
      <c r="S379" s="142"/>
      <c r="T379" s="142"/>
      <c r="U379" s="142"/>
      <c r="V379" s="18"/>
      <c r="W379" s="18"/>
      <c r="X379" s="18"/>
      <c r="Y379" s="142"/>
      <c r="Z379" s="18"/>
      <c r="AA379" s="18"/>
      <c r="AB379" s="18"/>
      <c r="AC379" s="18"/>
      <c r="AD379" s="18"/>
      <c r="AE379" s="18"/>
      <c r="AF379" s="18"/>
      <c r="AG379" s="18"/>
      <c r="AH379" s="18"/>
      <c r="AI379" s="18"/>
      <c r="AJ379" s="142"/>
      <c r="AK379" s="142"/>
      <c r="AL379" s="18"/>
      <c r="AM379" s="18"/>
      <c r="AN379" s="18"/>
      <c r="AO379" s="142"/>
    </row>
    <row r="380">
      <c r="A380" s="142"/>
      <c r="B380" s="18"/>
      <c r="C380" s="142"/>
      <c r="D380" s="18"/>
      <c r="E380" s="18"/>
      <c r="F380" s="18"/>
      <c r="G380" s="142"/>
      <c r="H380" s="18"/>
      <c r="I380" s="142"/>
      <c r="J380" s="15"/>
      <c r="Q380" s="15"/>
      <c r="R380" s="18"/>
      <c r="S380" s="142"/>
      <c r="T380" s="142"/>
      <c r="U380" s="142"/>
      <c r="V380" s="18"/>
      <c r="W380" s="18"/>
      <c r="X380" s="18"/>
      <c r="Y380" s="142"/>
      <c r="Z380" s="18"/>
      <c r="AA380" s="18"/>
      <c r="AB380" s="18"/>
      <c r="AC380" s="18"/>
      <c r="AD380" s="18"/>
      <c r="AE380" s="18"/>
      <c r="AF380" s="18"/>
      <c r="AG380" s="18"/>
      <c r="AH380" s="18"/>
      <c r="AI380" s="18"/>
      <c r="AJ380" s="142"/>
      <c r="AK380" s="142"/>
      <c r="AL380" s="18"/>
      <c r="AM380" s="18"/>
      <c r="AN380" s="18"/>
      <c r="AO380" s="142"/>
    </row>
    <row r="381">
      <c r="A381" s="142"/>
      <c r="B381" s="18"/>
      <c r="C381" s="142"/>
      <c r="D381" s="18"/>
      <c r="E381" s="18"/>
      <c r="F381" s="18"/>
      <c r="G381" s="142"/>
      <c r="H381" s="18"/>
      <c r="I381" s="142"/>
      <c r="J381" s="15"/>
      <c r="Q381" s="15"/>
      <c r="R381" s="18"/>
      <c r="S381" s="142"/>
      <c r="T381" s="142"/>
      <c r="U381" s="142"/>
      <c r="V381" s="18"/>
      <c r="W381" s="18"/>
      <c r="X381" s="18"/>
      <c r="Y381" s="142"/>
      <c r="Z381" s="18"/>
      <c r="AA381" s="18"/>
      <c r="AB381" s="18"/>
      <c r="AC381" s="18"/>
      <c r="AD381" s="18"/>
      <c r="AE381" s="18"/>
      <c r="AF381" s="18"/>
      <c r="AG381" s="18"/>
      <c r="AH381" s="18"/>
      <c r="AI381" s="18"/>
      <c r="AJ381" s="142"/>
      <c r="AK381" s="142"/>
      <c r="AL381" s="18"/>
      <c r="AM381" s="18"/>
      <c r="AN381" s="18"/>
      <c r="AO381" s="142"/>
    </row>
    <row r="382">
      <c r="A382" s="142"/>
      <c r="B382" s="18"/>
      <c r="C382" s="142"/>
      <c r="D382" s="18"/>
      <c r="E382" s="18"/>
      <c r="F382" s="18"/>
      <c r="G382" s="142"/>
      <c r="H382" s="18"/>
      <c r="I382" s="142"/>
      <c r="J382" s="15"/>
      <c r="Q382" s="15"/>
      <c r="R382" s="18"/>
      <c r="S382" s="142"/>
      <c r="T382" s="142"/>
      <c r="U382" s="142"/>
      <c r="V382" s="18"/>
      <c r="W382" s="18"/>
      <c r="X382" s="18"/>
      <c r="Y382" s="142"/>
      <c r="Z382" s="18"/>
      <c r="AA382" s="18"/>
      <c r="AB382" s="18"/>
      <c r="AC382" s="18"/>
      <c r="AD382" s="18"/>
      <c r="AE382" s="18"/>
      <c r="AF382" s="18"/>
      <c r="AG382" s="18"/>
      <c r="AH382" s="18"/>
      <c r="AI382" s="18"/>
      <c r="AJ382" s="142"/>
      <c r="AK382" s="142"/>
      <c r="AL382" s="18"/>
      <c r="AM382" s="18"/>
      <c r="AN382" s="18"/>
      <c r="AO382" s="142"/>
    </row>
    <row r="383">
      <c r="A383" s="142"/>
      <c r="B383" s="18"/>
      <c r="C383" s="142"/>
      <c r="D383" s="18"/>
      <c r="E383" s="18"/>
      <c r="F383" s="18"/>
      <c r="G383" s="142"/>
      <c r="H383" s="18"/>
      <c r="I383" s="142"/>
      <c r="J383" s="15"/>
      <c r="Q383" s="15"/>
      <c r="R383" s="18"/>
      <c r="S383" s="142"/>
      <c r="T383" s="142"/>
      <c r="U383" s="142"/>
      <c r="V383" s="18"/>
      <c r="W383" s="18"/>
      <c r="X383" s="18"/>
      <c r="Y383" s="142"/>
      <c r="Z383" s="18"/>
      <c r="AA383" s="18"/>
      <c r="AB383" s="18"/>
      <c r="AC383" s="18"/>
      <c r="AD383" s="18"/>
      <c r="AE383" s="18"/>
      <c r="AF383" s="18"/>
      <c r="AG383" s="18"/>
      <c r="AH383" s="18"/>
      <c r="AI383" s="18"/>
      <c r="AJ383" s="142"/>
      <c r="AK383" s="142"/>
      <c r="AL383" s="18"/>
      <c r="AM383" s="18"/>
      <c r="AN383" s="18"/>
      <c r="AO383" s="142"/>
    </row>
    <row r="384">
      <c r="A384" s="142"/>
      <c r="B384" s="18"/>
      <c r="C384" s="142"/>
      <c r="D384" s="18"/>
      <c r="E384" s="18"/>
      <c r="F384" s="18"/>
      <c r="G384" s="142"/>
      <c r="H384" s="18"/>
      <c r="I384" s="142"/>
      <c r="J384" s="15"/>
      <c r="Q384" s="15"/>
      <c r="R384" s="18"/>
      <c r="S384" s="142"/>
      <c r="T384" s="142"/>
      <c r="U384" s="142"/>
      <c r="V384" s="18"/>
      <c r="W384" s="18"/>
      <c r="X384" s="18"/>
      <c r="Y384" s="142"/>
      <c r="Z384" s="18"/>
      <c r="AA384" s="18"/>
      <c r="AB384" s="18"/>
      <c r="AC384" s="18"/>
      <c r="AD384" s="18"/>
      <c r="AE384" s="18"/>
      <c r="AF384" s="18"/>
      <c r="AG384" s="18"/>
      <c r="AH384" s="18"/>
      <c r="AI384" s="18"/>
      <c r="AJ384" s="142"/>
      <c r="AK384" s="142"/>
      <c r="AL384" s="18"/>
      <c r="AM384" s="18"/>
      <c r="AN384" s="18"/>
      <c r="AO384" s="142"/>
    </row>
    <row r="385">
      <c r="A385" s="142"/>
      <c r="B385" s="18"/>
      <c r="C385" s="142"/>
      <c r="D385" s="18"/>
      <c r="E385" s="18"/>
      <c r="F385" s="18"/>
      <c r="G385" s="142"/>
      <c r="H385" s="18"/>
      <c r="I385" s="142"/>
      <c r="J385" s="15"/>
      <c r="Q385" s="15"/>
      <c r="R385" s="18"/>
      <c r="S385" s="142"/>
      <c r="T385" s="142"/>
      <c r="U385" s="142"/>
      <c r="V385" s="18"/>
      <c r="W385" s="18"/>
      <c r="X385" s="18"/>
      <c r="Y385" s="142"/>
      <c r="Z385" s="18"/>
      <c r="AA385" s="18"/>
      <c r="AB385" s="18"/>
      <c r="AC385" s="18"/>
      <c r="AD385" s="18"/>
      <c r="AE385" s="18"/>
      <c r="AF385" s="18"/>
      <c r="AG385" s="18"/>
      <c r="AH385" s="18"/>
      <c r="AI385" s="18"/>
      <c r="AJ385" s="142"/>
      <c r="AK385" s="142"/>
      <c r="AL385" s="18"/>
      <c r="AM385" s="18"/>
      <c r="AN385" s="18"/>
      <c r="AO385" s="142"/>
    </row>
    <row r="386">
      <c r="A386" s="142"/>
      <c r="B386" s="18"/>
      <c r="C386" s="142"/>
      <c r="D386" s="18"/>
      <c r="E386" s="18"/>
      <c r="F386" s="18"/>
      <c r="G386" s="142"/>
      <c r="H386" s="18"/>
      <c r="I386" s="142"/>
      <c r="J386" s="15"/>
      <c r="Q386" s="15"/>
      <c r="R386" s="18"/>
      <c r="S386" s="142"/>
      <c r="T386" s="142"/>
      <c r="U386" s="142"/>
      <c r="V386" s="18"/>
      <c r="W386" s="18"/>
      <c r="X386" s="18"/>
      <c r="Y386" s="142"/>
      <c r="Z386" s="18"/>
      <c r="AA386" s="18"/>
      <c r="AB386" s="18"/>
      <c r="AC386" s="18"/>
      <c r="AD386" s="18"/>
      <c r="AE386" s="18"/>
      <c r="AF386" s="18"/>
      <c r="AG386" s="18"/>
      <c r="AH386" s="18"/>
      <c r="AI386" s="18"/>
      <c r="AJ386" s="142"/>
      <c r="AK386" s="142"/>
      <c r="AL386" s="18"/>
      <c r="AM386" s="18"/>
      <c r="AN386" s="18"/>
      <c r="AO386" s="142"/>
    </row>
    <row r="387">
      <c r="A387" s="142"/>
      <c r="B387" s="18"/>
      <c r="C387" s="142"/>
      <c r="D387" s="18"/>
      <c r="E387" s="18"/>
      <c r="F387" s="18"/>
      <c r="G387" s="142"/>
      <c r="H387" s="18"/>
      <c r="I387" s="142"/>
      <c r="J387" s="15"/>
      <c r="Q387" s="15"/>
      <c r="R387" s="18"/>
      <c r="S387" s="142"/>
      <c r="T387" s="142"/>
      <c r="U387" s="142"/>
      <c r="V387" s="18"/>
      <c r="W387" s="18"/>
      <c r="X387" s="18"/>
      <c r="Y387" s="142"/>
      <c r="Z387" s="18"/>
      <c r="AA387" s="18"/>
      <c r="AB387" s="18"/>
      <c r="AC387" s="18"/>
      <c r="AD387" s="18"/>
      <c r="AE387" s="18"/>
      <c r="AF387" s="18"/>
      <c r="AG387" s="18"/>
      <c r="AH387" s="18"/>
      <c r="AI387" s="18"/>
      <c r="AJ387" s="142"/>
      <c r="AK387" s="142"/>
      <c r="AL387" s="18"/>
      <c r="AM387" s="18"/>
      <c r="AN387" s="18"/>
      <c r="AO387" s="142"/>
    </row>
    <row r="388">
      <c r="A388" s="142"/>
      <c r="B388" s="18"/>
      <c r="C388" s="142"/>
      <c r="D388" s="18"/>
      <c r="E388" s="18"/>
      <c r="F388" s="18"/>
      <c r="G388" s="142"/>
      <c r="H388" s="18"/>
      <c r="I388" s="142"/>
      <c r="J388" s="15"/>
      <c r="Q388" s="15"/>
      <c r="R388" s="18"/>
      <c r="S388" s="142"/>
      <c r="T388" s="142"/>
      <c r="U388" s="142"/>
      <c r="V388" s="18"/>
      <c r="W388" s="18"/>
      <c r="X388" s="18"/>
      <c r="Y388" s="142"/>
      <c r="Z388" s="18"/>
      <c r="AA388" s="18"/>
      <c r="AB388" s="18"/>
      <c r="AC388" s="18"/>
      <c r="AD388" s="18"/>
      <c r="AE388" s="18"/>
      <c r="AF388" s="18"/>
      <c r="AG388" s="18"/>
      <c r="AH388" s="18"/>
      <c r="AI388" s="18"/>
      <c r="AJ388" s="142"/>
      <c r="AK388" s="142"/>
      <c r="AL388" s="18"/>
      <c r="AM388" s="18"/>
      <c r="AN388" s="18"/>
      <c r="AO388" s="142"/>
    </row>
    <row r="389">
      <c r="A389" s="142"/>
      <c r="B389" s="18"/>
      <c r="C389" s="142"/>
      <c r="D389" s="18"/>
      <c r="E389" s="18"/>
      <c r="F389" s="18"/>
      <c r="G389" s="142"/>
      <c r="H389" s="18"/>
      <c r="I389" s="142"/>
      <c r="J389" s="15"/>
      <c r="Q389" s="15"/>
      <c r="R389" s="18"/>
      <c r="S389" s="142"/>
      <c r="T389" s="142"/>
      <c r="U389" s="142"/>
      <c r="V389" s="18"/>
      <c r="W389" s="18"/>
      <c r="X389" s="18"/>
      <c r="Y389" s="142"/>
      <c r="Z389" s="18"/>
      <c r="AA389" s="18"/>
      <c r="AB389" s="18"/>
      <c r="AC389" s="18"/>
      <c r="AD389" s="18"/>
      <c r="AE389" s="18"/>
      <c r="AF389" s="18"/>
      <c r="AG389" s="18"/>
      <c r="AH389" s="18"/>
      <c r="AI389" s="18"/>
      <c r="AJ389" s="142"/>
      <c r="AK389" s="142"/>
      <c r="AL389" s="18"/>
      <c r="AM389" s="18"/>
      <c r="AN389" s="18"/>
      <c r="AO389" s="142"/>
    </row>
    <row r="390">
      <c r="A390" s="142"/>
      <c r="B390" s="18"/>
      <c r="C390" s="142"/>
      <c r="D390" s="18"/>
      <c r="E390" s="18"/>
      <c r="F390" s="18"/>
      <c r="G390" s="142"/>
      <c r="H390" s="18"/>
      <c r="I390" s="142"/>
      <c r="J390" s="15"/>
      <c r="Q390" s="15"/>
      <c r="R390" s="18"/>
      <c r="S390" s="142"/>
      <c r="T390" s="142"/>
      <c r="U390" s="142"/>
      <c r="V390" s="18"/>
      <c r="W390" s="18"/>
      <c r="X390" s="18"/>
      <c r="Y390" s="142"/>
      <c r="Z390" s="18"/>
      <c r="AA390" s="18"/>
      <c r="AB390" s="18"/>
      <c r="AC390" s="18"/>
      <c r="AD390" s="18"/>
      <c r="AE390" s="18"/>
      <c r="AF390" s="18"/>
      <c r="AG390" s="18"/>
      <c r="AH390" s="18"/>
      <c r="AI390" s="18"/>
      <c r="AJ390" s="142"/>
      <c r="AK390" s="142"/>
      <c r="AL390" s="18"/>
      <c r="AM390" s="18"/>
      <c r="AN390" s="18"/>
      <c r="AO390" s="142"/>
    </row>
    <row r="391">
      <c r="A391" s="142"/>
      <c r="B391" s="18"/>
      <c r="C391" s="142"/>
      <c r="D391" s="18"/>
      <c r="E391" s="18"/>
      <c r="F391" s="18"/>
      <c r="G391" s="142"/>
      <c r="H391" s="18"/>
      <c r="I391" s="142"/>
      <c r="J391" s="15"/>
      <c r="Q391" s="15"/>
      <c r="R391" s="18"/>
      <c r="S391" s="142"/>
      <c r="T391" s="142"/>
      <c r="U391" s="142"/>
      <c r="V391" s="18"/>
      <c r="W391" s="18"/>
      <c r="X391" s="18"/>
      <c r="Y391" s="142"/>
      <c r="Z391" s="18"/>
      <c r="AA391" s="18"/>
      <c r="AB391" s="18"/>
      <c r="AC391" s="18"/>
      <c r="AD391" s="18"/>
      <c r="AE391" s="18"/>
      <c r="AF391" s="18"/>
      <c r="AG391" s="18"/>
      <c r="AH391" s="18"/>
      <c r="AI391" s="18"/>
      <c r="AJ391" s="142"/>
      <c r="AK391" s="142"/>
      <c r="AL391" s="18"/>
      <c r="AM391" s="18"/>
      <c r="AN391" s="18"/>
      <c r="AO391" s="142"/>
    </row>
    <row r="392">
      <c r="A392" s="142"/>
      <c r="B392" s="18"/>
      <c r="C392" s="142"/>
      <c r="D392" s="18"/>
      <c r="E392" s="18"/>
      <c r="F392" s="18"/>
      <c r="G392" s="142"/>
      <c r="H392" s="18"/>
      <c r="I392" s="142"/>
      <c r="J392" s="15"/>
      <c r="Q392" s="15"/>
      <c r="R392" s="18"/>
      <c r="S392" s="142"/>
      <c r="T392" s="142"/>
      <c r="U392" s="142"/>
      <c r="V392" s="18"/>
      <c r="W392" s="18"/>
      <c r="X392" s="18"/>
      <c r="Y392" s="142"/>
      <c r="Z392" s="18"/>
      <c r="AA392" s="18"/>
      <c r="AB392" s="18"/>
      <c r="AC392" s="18"/>
      <c r="AD392" s="18"/>
      <c r="AE392" s="18"/>
      <c r="AF392" s="18"/>
      <c r="AG392" s="18"/>
      <c r="AH392" s="18"/>
      <c r="AI392" s="18"/>
      <c r="AJ392" s="142"/>
      <c r="AK392" s="142"/>
      <c r="AL392" s="18"/>
      <c r="AM392" s="18"/>
      <c r="AN392" s="18"/>
      <c r="AO392" s="142"/>
    </row>
    <row r="393">
      <c r="A393" s="142"/>
      <c r="B393" s="18"/>
      <c r="C393" s="142"/>
      <c r="D393" s="18"/>
      <c r="E393" s="18"/>
      <c r="F393" s="18"/>
      <c r="G393" s="142"/>
      <c r="H393" s="18"/>
      <c r="I393" s="142"/>
      <c r="J393" s="15"/>
      <c r="Q393" s="15"/>
      <c r="R393" s="18"/>
      <c r="S393" s="142"/>
      <c r="T393" s="142"/>
      <c r="U393" s="142"/>
      <c r="V393" s="18"/>
      <c r="W393" s="18"/>
      <c r="X393" s="18"/>
      <c r="Y393" s="142"/>
      <c r="Z393" s="18"/>
      <c r="AA393" s="18"/>
      <c r="AB393" s="18"/>
      <c r="AC393" s="18"/>
      <c r="AD393" s="18"/>
      <c r="AE393" s="18"/>
      <c r="AF393" s="18"/>
      <c r="AG393" s="18"/>
      <c r="AH393" s="18"/>
      <c r="AI393" s="18"/>
      <c r="AJ393" s="142"/>
      <c r="AK393" s="142"/>
      <c r="AL393" s="18"/>
      <c r="AM393" s="18"/>
      <c r="AN393" s="18"/>
      <c r="AO393" s="142"/>
    </row>
    <row r="394">
      <c r="A394" s="142"/>
      <c r="B394" s="18"/>
      <c r="C394" s="142"/>
      <c r="D394" s="18"/>
      <c r="E394" s="18"/>
      <c r="F394" s="18"/>
      <c r="G394" s="142"/>
      <c r="H394" s="18"/>
      <c r="I394" s="142"/>
      <c r="J394" s="15"/>
      <c r="Q394" s="15"/>
      <c r="R394" s="18"/>
      <c r="S394" s="142"/>
      <c r="T394" s="142"/>
      <c r="U394" s="142"/>
      <c r="V394" s="18"/>
      <c r="W394" s="18"/>
      <c r="X394" s="18"/>
      <c r="Y394" s="142"/>
      <c r="Z394" s="18"/>
      <c r="AA394" s="18"/>
      <c r="AB394" s="18"/>
      <c r="AC394" s="18"/>
      <c r="AD394" s="18"/>
      <c r="AE394" s="18"/>
      <c r="AF394" s="18"/>
      <c r="AG394" s="18"/>
      <c r="AH394" s="18"/>
      <c r="AI394" s="18"/>
      <c r="AJ394" s="142"/>
      <c r="AK394" s="142"/>
      <c r="AL394" s="18"/>
      <c r="AM394" s="18"/>
      <c r="AN394" s="18"/>
      <c r="AO394" s="142"/>
    </row>
    <row r="395">
      <c r="A395" s="142"/>
      <c r="B395" s="18"/>
      <c r="C395" s="142"/>
      <c r="D395" s="18"/>
      <c r="E395" s="18"/>
      <c r="F395" s="18"/>
      <c r="G395" s="142"/>
      <c r="H395" s="18"/>
      <c r="I395" s="142"/>
      <c r="J395" s="15"/>
      <c r="Q395" s="15"/>
      <c r="R395" s="18"/>
      <c r="S395" s="142"/>
      <c r="T395" s="142"/>
      <c r="U395" s="142"/>
      <c r="V395" s="18"/>
      <c r="W395" s="18"/>
      <c r="X395" s="18"/>
      <c r="Y395" s="142"/>
      <c r="Z395" s="18"/>
      <c r="AA395" s="18"/>
      <c r="AB395" s="18"/>
      <c r="AC395" s="18"/>
      <c r="AD395" s="18"/>
      <c r="AE395" s="18"/>
      <c r="AF395" s="18"/>
      <c r="AG395" s="18"/>
      <c r="AH395" s="18"/>
      <c r="AI395" s="18"/>
      <c r="AJ395" s="142"/>
      <c r="AK395" s="142"/>
      <c r="AL395" s="18"/>
      <c r="AM395" s="18"/>
      <c r="AN395" s="18"/>
      <c r="AO395" s="142"/>
    </row>
    <row r="396">
      <c r="A396" s="142"/>
      <c r="B396" s="18"/>
      <c r="C396" s="142"/>
      <c r="D396" s="18"/>
      <c r="E396" s="18"/>
      <c r="F396" s="18"/>
      <c r="G396" s="142"/>
      <c r="H396" s="18"/>
      <c r="I396" s="142"/>
      <c r="J396" s="15"/>
      <c r="Q396" s="15"/>
      <c r="R396" s="18"/>
      <c r="S396" s="142"/>
      <c r="T396" s="142"/>
      <c r="U396" s="142"/>
      <c r="V396" s="18"/>
      <c r="W396" s="18"/>
      <c r="X396" s="18"/>
      <c r="Y396" s="142"/>
      <c r="Z396" s="18"/>
      <c r="AA396" s="18"/>
      <c r="AB396" s="18"/>
      <c r="AC396" s="18"/>
      <c r="AD396" s="18"/>
      <c r="AE396" s="18"/>
      <c r="AF396" s="18"/>
      <c r="AG396" s="18"/>
      <c r="AH396" s="18"/>
      <c r="AI396" s="18"/>
      <c r="AJ396" s="142"/>
      <c r="AK396" s="142"/>
      <c r="AL396" s="18"/>
      <c r="AM396" s="18"/>
      <c r="AN396" s="18"/>
      <c r="AO396" s="142"/>
    </row>
    <row r="397">
      <c r="A397" s="142"/>
      <c r="B397" s="18"/>
      <c r="C397" s="142"/>
      <c r="D397" s="18"/>
      <c r="E397" s="18"/>
      <c r="F397" s="18"/>
      <c r="G397" s="142"/>
      <c r="H397" s="18"/>
      <c r="I397" s="142"/>
      <c r="J397" s="15"/>
      <c r="Q397" s="15"/>
      <c r="R397" s="18"/>
      <c r="S397" s="142"/>
      <c r="T397" s="142"/>
      <c r="U397" s="142"/>
      <c r="V397" s="18"/>
      <c r="W397" s="18"/>
      <c r="X397" s="18"/>
      <c r="Y397" s="142"/>
      <c r="Z397" s="18"/>
      <c r="AA397" s="18"/>
      <c r="AB397" s="18"/>
      <c r="AC397" s="18"/>
      <c r="AD397" s="18"/>
      <c r="AE397" s="18"/>
      <c r="AF397" s="18"/>
      <c r="AG397" s="18"/>
      <c r="AH397" s="18"/>
      <c r="AI397" s="18"/>
      <c r="AJ397" s="142"/>
      <c r="AK397" s="142"/>
      <c r="AL397" s="18"/>
      <c r="AM397" s="18"/>
      <c r="AN397" s="18"/>
      <c r="AO397" s="142"/>
    </row>
    <row r="398">
      <c r="A398" s="142"/>
      <c r="B398" s="18"/>
      <c r="C398" s="142"/>
      <c r="D398" s="18"/>
      <c r="E398" s="18"/>
      <c r="F398" s="18"/>
      <c r="G398" s="142"/>
      <c r="H398" s="18"/>
      <c r="I398" s="142"/>
      <c r="J398" s="15"/>
      <c r="Q398" s="15"/>
      <c r="R398" s="18"/>
      <c r="S398" s="142"/>
      <c r="T398" s="142"/>
      <c r="U398" s="142"/>
      <c r="V398" s="18"/>
      <c r="W398" s="18"/>
      <c r="X398" s="18"/>
      <c r="Y398" s="142"/>
      <c r="Z398" s="18"/>
      <c r="AA398" s="18"/>
      <c r="AB398" s="18"/>
      <c r="AC398" s="18"/>
      <c r="AD398" s="18"/>
      <c r="AE398" s="18"/>
      <c r="AF398" s="18"/>
      <c r="AG398" s="18"/>
      <c r="AH398" s="18"/>
      <c r="AI398" s="18"/>
      <c r="AJ398" s="142"/>
      <c r="AK398" s="142"/>
      <c r="AL398" s="18"/>
      <c r="AM398" s="18"/>
      <c r="AN398" s="18"/>
      <c r="AO398" s="142"/>
    </row>
    <row r="399">
      <c r="A399" s="142"/>
      <c r="B399" s="18"/>
      <c r="C399" s="142"/>
      <c r="D399" s="18"/>
      <c r="E399" s="18"/>
      <c r="F399" s="18"/>
      <c r="G399" s="142"/>
      <c r="H399" s="18"/>
      <c r="I399" s="142"/>
      <c r="J399" s="15"/>
      <c r="Q399" s="15"/>
      <c r="R399" s="18"/>
      <c r="S399" s="142"/>
      <c r="T399" s="142"/>
      <c r="U399" s="142"/>
      <c r="V399" s="18"/>
      <c r="W399" s="18"/>
      <c r="X399" s="18"/>
      <c r="Y399" s="142"/>
      <c r="Z399" s="18"/>
      <c r="AA399" s="18"/>
      <c r="AB399" s="18"/>
      <c r="AC399" s="18"/>
      <c r="AD399" s="18"/>
      <c r="AE399" s="18"/>
      <c r="AF399" s="18"/>
      <c r="AG399" s="18"/>
      <c r="AH399" s="18"/>
      <c r="AI399" s="18"/>
      <c r="AJ399" s="142"/>
      <c r="AK399" s="142"/>
      <c r="AL399" s="18"/>
      <c r="AM399" s="18"/>
      <c r="AN399" s="18"/>
      <c r="AO399" s="142"/>
    </row>
    <row r="400">
      <c r="A400" s="142"/>
      <c r="B400" s="18"/>
      <c r="C400" s="142"/>
      <c r="D400" s="18"/>
      <c r="E400" s="18"/>
      <c r="F400" s="18"/>
      <c r="G400" s="142"/>
      <c r="H400" s="18"/>
      <c r="I400" s="142"/>
      <c r="J400" s="15"/>
      <c r="Q400" s="15"/>
      <c r="R400" s="18"/>
      <c r="S400" s="142"/>
      <c r="T400" s="142"/>
      <c r="U400" s="142"/>
      <c r="V400" s="18"/>
      <c r="W400" s="18"/>
      <c r="X400" s="18"/>
      <c r="Y400" s="142"/>
      <c r="Z400" s="18"/>
      <c r="AA400" s="18"/>
      <c r="AB400" s="18"/>
      <c r="AC400" s="18"/>
      <c r="AD400" s="18"/>
      <c r="AE400" s="18"/>
      <c r="AF400" s="18"/>
      <c r="AG400" s="18"/>
      <c r="AH400" s="18"/>
      <c r="AI400" s="18"/>
      <c r="AJ400" s="142"/>
      <c r="AK400" s="142"/>
      <c r="AL400" s="18"/>
      <c r="AM400" s="18"/>
      <c r="AN400" s="18"/>
      <c r="AO400" s="142"/>
    </row>
    <row r="401">
      <c r="A401" s="142"/>
      <c r="B401" s="18"/>
      <c r="C401" s="142"/>
      <c r="D401" s="18"/>
      <c r="E401" s="18"/>
      <c r="F401" s="18"/>
      <c r="G401" s="142"/>
      <c r="H401" s="18"/>
      <c r="I401" s="142"/>
      <c r="J401" s="15"/>
      <c r="Q401" s="15"/>
      <c r="R401" s="18"/>
      <c r="S401" s="142"/>
      <c r="T401" s="142"/>
      <c r="U401" s="142"/>
      <c r="V401" s="18"/>
      <c r="W401" s="18"/>
      <c r="X401" s="18"/>
      <c r="Y401" s="142"/>
      <c r="Z401" s="18"/>
      <c r="AA401" s="18"/>
      <c r="AB401" s="18"/>
      <c r="AC401" s="18"/>
      <c r="AD401" s="18"/>
      <c r="AE401" s="18"/>
      <c r="AF401" s="18"/>
      <c r="AG401" s="18"/>
      <c r="AH401" s="18"/>
      <c r="AI401" s="18"/>
      <c r="AJ401" s="142"/>
      <c r="AK401" s="142"/>
      <c r="AL401" s="18"/>
      <c r="AM401" s="18"/>
      <c r="AN401" s="18"/>
      <c r="AO401" s="142"/>
    </row>
    <row r="402">
      <c r="A402" s="142"/>
      <c r="B402" s="18"/>
      <c r="C402" s="142"/>
      <c r="D402" s="18"/>
      <c r="E402" s="18"/>
      <c r="F402" s="18"/>
      <c r="G402" s="142"/>
      <c r="H402" s="18"/>
      <c r="I402" s="142"/>
      <c r="J402" s="15"/>
      <c r="Q402" s="15"/>
      <c r="R402" s="18"/>
      <c r="S402" s="142"/>
      <c r="T402" s="142"/>
      <c r="U402" s="142"/>
      <c r="V402" s="18"/>
      <c r="W402" s="18"/>
      <c r="X402" s="18"/>
      <c r="Y402" s="142"/>
      <c r="Z402" s="18"/>
      <c r="AA402" s="18"/>
      <c r="AB402" s="18"/>
      <c r="AC402" s="18"/>
      <c r="AD402" s="18"/>
      <c r="AE402" s="18"/>
      <c r="AF402" s="18"/>
      <c r="AG402" s="18"/>
      <c r="AH402" s="18"/>
      <c r="AI402" s="18"/>
      <c r="AJ402" s="142"/>
      <c r="AK402" s="142"/>
      <c r="AL402" s="18"/>
      <c r="AM402" s="18"/>
      <c r="AN402" s="18"/>
      <c r="AO402" s="142"/>
    </row>
    <row r="403">
      <c r="A403" s="142"/>
      <c r="B403" s="18"/>
      <c r="C403" s="142"/>
      <c r="D403" s="18"/>
      <c r="E403" s="18"/>
      <c r="F403" s="18"/>
      <c r="G403" s="142"/>
      <c r="H403" s="18"/>
      <c r="I403" s="142"/>
      <c r="J403" s="15"/>
      <c r="Q403" s="15"/>
      <c r="R403" s="18"/>
      <c r="S403" s="142"/>
      <c r="T403" s="142"/>
      <c r="U403" s="142"/>
      <c r="V403" s="18"/>
      <c r="W403" s="18"/>
      <c r="X403" s="18"/>
      <c r="Y403" s="142"/>
      <c r="Z403" s="18"/>
      <c r="AA403" s="18"/>
      <c r="AB403" s="18"/>
      <c r="AC403" s="18"/>
      <c r="AD403" s="18"/>
      <c r="AE403" s="18"/>
      <c r="AF403" s="18"/>
      <c r="AG403" s="18"/>
      <c r="AH403" s="18"/>
      <c r="AI403" s="18"/>
      <c r="AJ403" s="142"/>
      <c r="AK403" s="142"/>
      <c r="AL403" s="18"/>
      <c r="AM403" s="18"/>
      <c r="AN403" s="18"/>
      <c r="AO403" s="142"/>
    </row>
    <row r="404">
      <c r="A404" s="142"/>
      <c r="B404" s="18"/>
      <c r="C404" s="142"/>
      <c r="D404" s="18"/>
      <c r="E404" s="18"/>
      <c r="F404" s="18"/>
      <c r="G404" s="142"/>
      <c r="H404" s="18"/>
      <c r="I404" s="142"/>
      <c r="J404" s="15"/>
      <c r="Q404" s="15"/>
      <c r="R404" s="18"/>
      <c r="S404" s="142"/>
      <c r="T404" s="142"/>
      <c r="U404" s="142"/>
      <c r="V404" s="18"/>
      <c r="W404" s="18"/>
      <c r="X404" s="18"/>
      <c r="Y404" s="142"/>
      <c r="Z404" s="18"/>
      <c r="AA404" s="18"/>
      <c r="AB404" s="18"/>
      <c r="AC404" s="18"/>
      <c r="AD404" s="18"/>
      <c r="AE404" s="18"/>
      <c r="AF404" s="18"/>
      <c r="AG404" s="18"/>
      <c r="AH404" s="18"/>
      <c r="AI404" s="18"/>
      <c r="AJ404" s="142"/>
      <c r="AK404" s="142"/>
      <c r="AL404" s="18"/>
      <c r="AM404" s="18"/>
      <c r="AN404" s="18"/>
      <c r="AO404" s="142"/>
    </row>
    <row r="405">
      <c r="A405" s="142"/>
      <c r="B405" s="18"/>
      <c r="C405" s="142"/>
      <c r="D405" s="18"/>
      <c r="E405" s="18"/>
      <c r="F405" s="18"/>
      <c r="G405" s="142"/>
      <c r="H405" s="18"/>
      <c r="I405" s="142"/>
      <c r="J405" s="15"/>
      <c r="Q405" s="15"/>
      <c r="R405" s="18"/>
      <c r="S405" s="142"/>
      <c r="T405" s="142"/>
      <c r="U405" s="142"/>
      <c r="V405" s="18"/>
      <c r="W405" s="18"/>
      <c r="X405" s="18"/>
      <c r="Y405" s="142"/>
      <c r="Z405" s="18"/>
      <c r="AA405" s="18"/>
      <c r="AB405" s="18"/>
      <c r="AC405" s="18"/>
      <c r="AD405" s="18"/>
      <c r="AE405" s="18"/>
      <c r="AF405" s="18"/>
      <c r="AG405" s="18"/>
      <c r="AH405" s="18"/>
      <c r="AI405" s="18"/>
      <c r="AJ405" s="142"/>
      <c r="AK405" s="142"/>
      <c r="AL405" s="18"/>
      <c r="AM405" s="18"/>
      <c r="AN405" s="18"/>
      <c r="AO405" s="142"/>
    </row>
    <row r="406">
      <c r="A406" s="142"/>
      <c r="B406" s="18"/>
      <c r="C406" s="142"/>
      <c r="D406" s="18"/>
      <c r="E406" s="18"/>
      <c r="F406" s="18"/>
      <c r="G406" s="142"/>
      <c r="H406" s="18"/>
      <c r="I406" s="142"/>
      <c r="J406" s="15"/>
      <c r="Q406" s="15"/>
      <c r="R406" s="18"/>
      <c r="S406" s="142"/>
      <c r="T406" s="142"/>
      <c r="U406" s="142"/>
      <c r="V406" s="18"/>
      <c r="W406" s="18"/>
      <c r="X406" s="18"/>
      <c r="Y406" s="142"/>
      <c r="Z406" s="18"/>
      <c r="AA406" s="18"/>
      <c r="AB406" s="18"/>
      <c r="AC406" s="18"/>
      <c r="AD406" s="18"/>
      <c r="AE406" s="18"/>
      <c r="AF406" s="18"/>
      <c r="AG406" s="18"/>
      <c r="AH406" s="18"/>
      <c r="AI406" s="18"/>
      <c r="AJ406" s="142"/>
      <c r="AK406" s="142"/>
      <c r="AL406" s="18"/>
      <c r="AM406" s="18"/>
      <c r="AN406" s="18"/>
      <c r="AO406" s="142"/>
    </row>
    <row r="407">
      <c r="A407" s="142"/>
      <c r="B407" s="18"/>
      <c r="C407" s="142"/>
      <c r="D407" s="18"/>
      <c r="E407" s="18"/>
      <c r="F407" s="18"/>
      <c r="G407" s="142"/>
      <c r="H407" s="18"/>
      <c r="I407" s="142"/>
      <c r="J407" s="15"/>
      <c r="Q407" s="15"/>
      <c r="R407" s="18"/>
      <c r="S407" s="142"/>
      <c r="T407" s="142"/>
      <c r="U407" s="142"/>
      <c r="V407" s="18"/>
      <c r="W407" s="18"/>
      <c r="X407" s="18"/>
      <c r="Y407" s="142"/>
      <c r="Z407" s="18"/>
      <c r="AA407" s="18"/>
      <c r="AB407" s="18"/>
      <c r="AC407" s="18"/>
      <c r="AD407" s="18"/>
      <c r="AE407" s="18"/>
      <c r="AF407" s="18"/>
      <c r="AG407" s="18"/>
      <c r="AH407" s="18"/>
      <c r="AI407" s="18"/>
      <c r="AJ407" s="142"/>
      <c r="AK407" s="142"/>
      <c r="AL407" s="18"/>
      <c r="AM407" s="18"/>
      <c r="AN407" s="18"/>
      <c r="AO407" s="142"/>
    </row>
    <row r="408">
      <c r="A408" s="142"/>
      <c r="B408" s="18"/>
      <c r="C408" s="142"/>
      <c r="D408" s="18"/>
      <c r="E408" s="18"/>
      <c r="F408" s="18"/>
      <c r="G408" s="142"/>
      <c r="H408" s="18"/>
      <c r="I408" s="142"/>
      <c r="J408" s="15"/>
      <c r="Q408" s="15"/>
      <c r="R408" s="18"/>
      <c r="S408" s="142"/>
      <c r="T408" s="142"/>
      <c r="U408" s="142"/>
      <c r="V408" s="18"/>
      <c r="W408" s="18"/>
      <c r="X408" s="18"/>
      <c r="Y408" s="142"/>
      <c r="Z408" s="18"/>
      <c r="AA408" s="18"/>
      <c r="AB408" s="18"/>
      <c r="AC408" s="18"/>
      <c r="AD408" s="18"/>
      <c r="AE408" s="18"/>
      <c r="AF408" s="18"/>
      <c r="AG408" s="18"/>
      <c r="AH408" s="18"/>
      <c r="AI408" s="18"/>
      <c r="AJ408" s="142"/>
      <c r="AK408" s="142"/>
      <c r="AL408" s="18"/>
      <c r="AM408" s="18"/>
      <c r="AN408" s="18"/>
      <c r="AO408" s="142"/>
    </row>
    <row r="409">
      <c r="A409" s="142"/>
      <c r="B409" s="18"/>
      <c r="C409" s="142"/>
      <c r="D409" s="18"/>
      <c r="E409" s="18"/>
      <c r="F409" s="18"/>
      <c r="G409" s="142"/>
      <c r="H409" s="18"/>
      <c r="I409" s="142"/>
      <c r="J409" s="15"/>
      <c r="Q409" s="15"/>
      <c r="R409" s="18"/>
      <c r="S409" s="142"/>
      <c r="T409" s="142"/>
      <c r="U409" s="142"/>
      <c r="V409" s="18"/>
      <c r="W409" s="18"/>
      <c r="X409" s="18"/>
      <c r="Y409" s="142"/>
      <c r="Z409" s="18"/>
      <c r="AA409" s="18"/>
      <c r="AB409" s="18"/>
      <c r="AC409" s="18"/>
      <c r="AD409" s="18"/>
      <c r="AE409" s="18"/>
      <c r="AF409" s="18"/>
      <c r="AG409" s="18"/>
      <c r="AH409" s="18"/>
      <c r="AI409" s="18"/>
      <c r="AJ409" s="142"/>
      <c r="AK409" s="142"/>
      <c r="AL409" s="18"/>
      <c r="AM409" s="18"/>
      <c r="AN409" s="18"/>
      <c r="AO409" s="142"/>
    </row>
    <row r="410">
      <c r="A410" s="142"/>
      <c r="B410" s="18"/>
      <c r="C410" s="142"/>
      <c r="D410" s="18"/>
      <c r="E410" s="18"/>
      <c r="F410" s="18"/>
      <c r="G410" s="142"/>
      <c r="H410" s="18"/>
      <c r="I410" s="142"/>
      <c r="J410" s="15"/>
      <c r="Q410" s="15"/>
      <c r="R410" s="18"/>
      <c r="S410" s="142"/>
      <c r="T410" s="142"/>
      <c r="U410" s="142"/>
      <c r="V410" s="18"/>
      <c r="W410" s="18"/>
      <c r="X410" s="18"/>
      <c r="Y410" s="142"/>
      <c r="Z410" s="18"/>
      <c r="AA410" s="18"/>
      <c r="AB410" s="18"/>
      <c r="AC410" s="18"/>
      <c r="AD410" s="18"/>
      <c r="AE410" s="18"/>
      <c r="AF410" s="18"/>
      <c r="AG410" s="18"/>
      <c r="AH410" s="18"/>
      <c r="AI410" s="18"/>
      <c r="AJ410" s="142"/>
      <c r="AK410" s="142"/>
      <c r="AL410" s="18"/>
      <c r="AM410" s="18"/>
      <c r="AN410" s="18"/>
      <c r="AO410" s="142"/>
    </row>
    <row r="411">
      <c r="A411" s="142"/>
      <c r="B411" s="18"/>
      <c r="C411" s="142"/>
      <c r="D411" s="18"/>
      <c r="E411" s="18"/>
      <c r="F411" s="18"/>
      <c r="G411" s="142"/>
      <c r="H411" s="18"/>
      <c r="I411" s="142"/>
      <c r="J411" s="15"/>
      <c r="Q411" s="15"/>
      <c r="R411" s="18"/>
      <c r="S411" s="142"/>
      <c r="T411" s="142"/>
      <c r="U411" s="142"/>
      <c r="V411" s="18"/>
      <c r="W411" s="18"/>
      <c r="X411" s="18"/>
      <c r="Y411" s="142"/>
      <c r="Z411" s="18"/>
      <c r="AA411" s="18"/>
      <c r="AB411" s="18"/>
      <c r="AC411" s="18"/>
      <c r="AD411" s="18"/>
      <c r="AE411" s="18"/>
      <c r="AF411" s="18"/>
      <c r="AG411" s="18"/>
      <c r="AH411" s="18"/>
      <c r="AI411" s="18"/>
      <c r="AJ411" s="142"/>
      <c r="AK411" s="142"/>
      <c r="AL411" s="18"/>
      <c r="AM411" s="18"/>
      <c r="AN411" s="18"/>
      <c r="AO411" s="142"/>
    </row>
    <row r="412">
      <c r="A412" s="142"/>
      <c r="B412" s="18"/>
      <c r="C412" s="142"/>
      <c r="D412" s="18"/>
      <c r="E412" s="18"/>
      <c r="F412" s="18"/>
      <c r="G412" s="142"/>
      <c r="H412" s="18"/>
      <c r="I412" s="142"/>
      <c r="J412" s="15"/>
      <c r="Q412" s="15"/>
      <c r="R412" s="18"/>
      <c r="S412" s="142"/>
      <c r="T412" s="142"/>
      <c r="U412" s="142"/>
      <c r="V412" s="18"/>
      <c r="W412" s="18"/>
      <c r="X412" s="18"/>
      <c r="Y412" s="142"/>
      <c r="Z412" s="18"/>
      <c r="AA412" s="18"/>
      <c r="AB412" s="18"/>
      <c r="AC412" s="18"/>
      <c r="AD412" s="18"/>
      <c r="AE412" s="18"/>
      <c r="AF412" s="18"/>
      <c r="AG412" s="18"/>
      <c r="AH412" s="18"/>
      <c r="AI412" s="18"/>
      <c r="AJ412" s="142"/>
      <c r="AK412" s="142"/>
      <c r="AL412" s="18"/>
      <c r="AM412" s="18"/>
      <c r="AN412" s="18"/>
      <c r="AO412" s="142"/>
    </row>
    <row r="413">
      <c r="A413" s="142"/>
      <c r="B413" s="18"/>
      <c r="C413" s="142"/>
      <c r="D413" s="18"/>
      <c r="E413" s="18"/>
      <c r="F413" s="18"/>
      <c r="G413" s="142"/>
      <c r="H413" s="18"/>
      <c r="I413" s="142"/>
      <c r="J413" s="15"/>
      <c r="Q413" s="15"/>
      <c r="R413" s="18"/>
      <c r="S413" s="142"/>
      <c r="T413" s="142"/>
      <c r="U413" s="142"/>
      <c r="V413" s="18"/>
      <c r="W413" s="18"/>
      <c r="X413" s="18"/>
      <c r="Y413" s="142"/>
      <c r="Z413" s="18"/>
      <c r="AA413" s="18"/>
      <c r="AB413" s="18"/>
      <c r="AC413" s="18"/>
      <c r="AD413" s="18"/>
      <c r="AE413" s="18"/>
      <c r="AF413" s="18"/>
      <c r="AG413" s="18"/>
      <c r="AH413" s="18"/>
      <c r="AI413" s="18"/>
      <c r="AJ413" s="142"/>
      <c r="AK413" s="142"/>
      <c r="AL413" s="18"/>
      <c r="AM413" s="18"/>
      <c r="AN413" s="18"/>
      <c r="AO413" s="142"/>
    </row>
    <row r="414">
      <c r="A414" s="142"/>
      <c r="B414" s="18"/>
      <c r="C414" s="142"/>
      <c r="D414" s="18"/>
      <c r="E414" s="18"/>
      <c r="F414" s="18"/>
      <c r="G414" s="142"/>
      <c r="H414" s="18"/>
      <c r="I414" s="142"/>
      <c r="J414" s="15"/>
      <c r="Q414" s="15"/>
      <c r="R414" s="18"/>
      <c r="S414" s="142"/>
      <c r="T414" s="142"/>
      <c r="U414" s="142"/>
      <c r="V414" s="18"/>
      <c r="W414" s="18"/>
      <c r="X414" s="18"/>
      <c r="Y414" s="142"/>
      <c r="Z414" s="18"/>
      <c r="AA414" s="18"/>
      <c r="AB414" s="18"/>
      <c r="AC414" s="18"/>
      <c r="AD414" s="18"/>
      <c r="AE414" s="18"/>
      <c r="AF414" s="18"/>
      <c r="AG414" s="18"/>
      <c r="AH414" s="18"/>
      <c r="AI414" s="18"/>
      <c r="AJ414" s="142"/>
      <c r="AK414" s="142"/>
      <c r="AL414" s="18"/>
      <c r="AM414" s="18"/>
      <c r="AN414" s="18"/>
      <c r="AO414" s="142"/>
    </row>
    <row r="415">
      <c r="A415" s="142"/>
      <c r="B415" s="18"/>
      <c r="C415" s="142"/>
      <c r="D415" s="18"/>
      <c r="E415" s="18"/>
      <c r="F415" s="18"/>
      <c r="G415" s="142"/>
      <c r="H415" s="18"/>
      <c r="I415" s="142"/>
      <c r="J415" s="15"/>
      <c r="Q415" s="15"/>
      <c r="R415" s="18"/>
      <c r="S415" s="142"/>
      <c r="T415" s="142"/>
      <c r="U415" s="142"/>
      <c r="V415" s="18"/>
      <c r="W415" s="18"/>
      <c r="X415" s="18"/>
      <c r="Y415" s="142"/>
      <c r="Z415" s="18"/>
      <c r="AA415" s="18"/>
      <c r="AB415" s="18"/>
      <c r="AC415" s="18"/>
      <c r="AD415" s="18"/>
      <c r="AE415" s="18"/>
      <c r="AF415" s="18"/>
      <c r="AG415" s="18"/>
      <c r="AH415" s="18"/>
      <c r="AI415" s="18"/>
      <c r="AJ415" s="142"/>
      <c r="AK415" s="142"/>
      <c r="AL415" s="18"/>
      <c r="AM415" s="18"/>
      <c r="AN415" s="18"/>
      <c r="AO415" s="142"/>
    </row>
    <row r="416">
      <c r="A416" s="142"/>
      <c r="B416" s="18"/>
      <c r="C416" s="142"/>
      <c r="D416" s="18"/>
      <c r="E416" s="18"/>
      <c r="F416" s="18"/>
      <c r="G416" s="142"/>
      <c r="H416" s="18"/>
      <c r="I416" s="142"/>
      <c r="J416" s="15"/>
      <c r="Q416" s="15"/>
      <c r="R416" s="18"/>
      <c r="S416" s="142"/>
      <c r="T416" s="142"/>
      <c r="U416" s="142"/>
      <c r="V416" s="18"/>
      <c r="W416" s="18"/>
      <c r="X416" s="18"/>
      <c r="Y416" s="142"/>
      <c r="Z416" s="18"/>
      <c r="AA416" s="18"/>
      <c r="AB416" s="18"/>
      <c r="AC416" s="18"/>
      <c r="AD416" s="18"/>
      <c r="AE416" s="18"/>
      <c r="AF416" s="18"/>
      <c r="AG416" s="18"/>
      <c r="AH416" s="18"/>
      <c r="AI416" s="18"/>
      <c r="AJ416" s="142"/>
      <c r="AK416" s="142"/>
      <c r="AL416" s="18"/>
      <c r="AM416" s="18"/>
      <c r="AN416" s="18"/>
      <c r="AO416" s="142"/>
    </row>
    <row r="417">
      <c r="A417" s="142"/>
      <c r="B417" s="18"/>
      <c r="C417" s="142"/>
      <c r="D417" s="18"/>
      <c r="E417" s="18"/>
      <c r="F417" s="18"/>
      <c r="G417" s="142"/>
      <c r="H417" s="18"/>
      <c r="I417" s="142"/>
      <c r="J417" s="15"/>
      <c r="Q417" s="15"/>
      <c r="R417" s="18"/>
      <c r="S417" s="142"/>
      <c r="T417" s="142"/>
      <c r="U417" s="142"/>
      <c r="V417" s="18"/>
      <c r="W417" s="18"/>
      <c r="X417" s="18"/>
      <c r="Y417" s="142"/>
      <c r="Z417" s="18"/>
      <c r="AA417" s="18"/>
      <c r="AB417" s="18"/>
      <c r="AC417" s="18"/>
      <c r="AD417" s="18"/>
      <c r="AE417" s="18"/>
      <c r="AF417" s="18"/>
      <c r="AG417" s="18"/>
      <c r="AH417" s="18"/>
      <c r="AI417" s="18"/>
      <c r="AJ417" s="142"/>
      <c r="AK417" s="142"/>
      <c r="AL417" s="18"/>
      <c r="AM417" s="18"/>
      <c r="AN417" s="18"/>
      <c r="AO417" s="142"/>
    </row>
    <row r="418">
      <c r="A418" s="142"/>
      <c r="B418" s="18"/>
      <c r="C418" s="142"/>
      <c r="D418" s="18"/>
      <c r="E418" s="18"/>
      <c r="F418" s="18"/>
      <c r="G418" s="142"/>
      <c r="H418" s="18"/>
      <c r="I418" s="142"/>
      <c r="J418" s="15"/>
      <c r="Q418" s="15"/>
      <c r="R418" s="18"/>
      <c r="S418" s="142"/>
      <c r="T418" s="142"/>
      <c r="U418" s="142"/>
      <c r="V418" s="18"/>
      <c r="W418" s="18"/>
      <c r="X418" s="18"/>
      <c r="Y418" s="142"/>
      <c r="Z418" s="18"/>
      <c r="AA418" s="18"/>
      <c r="AB418" s="18"/>
      <c r="AC418" s="18"/>
      <c r="AD418" s="18"/>
      <c r="AE418" s="18"/>
      <c r="AF418" s="18"/>
      <c r="AG418" s="18"/>
      <c r="AH418" s="18"/>
      <c r="AI418" s="18"/>
      <c r="AJ418" s="142"/>
      <c r="AK418" s="142"/>
      <c r="AL418" s="18"/>
      <c r="AM418" s="18"/>
      <c r="AN418" s="18"/>
      <c r="AO418" s="142"/>
    </row>
    <row r="419">
      <c r="A419" s="142"/>
      <c r="B419" s="18"/>
      <c r="C419" s="142"/>
      <c r="D419" s="18"/>
      <c r="E419" s="18"/>
      <c r="F419" s="18"/>
      <c r="G419" s="142"/>
      <c r="H419" s="18"/>
      <c r="I419" s="142"/>
      <c r="J419" s="15"/>
      <c r="Q419" s="15"/>
      <c r="R419" s="18"/>
      <c r="S419" s="142"/>
      <c r="T419" s="142"/>
      <c r="U419" s="142"/>
      <c r="V419" s="18"/>
      <c r="W419" s="18"/>
      <c r="X419" s="18"/>
      <c r="Y419" s="142"/>
      <c r="Z419" s="18"/>
      <c r="AA419" s="18"/>
      <c r="AB419" s="18"/>
      <c r="AC419" s="18"/>
      <c r="AD419" s="18"/>
      <c r="AE419" s="18"/>
      <c r="AF419" s="18"/>
      <c r="AG419" s="18"/>
      <c r="AH419" s="18"/>
      <c r="AI419" s="18"/>
      <c r="AJ419" s="142"/>
      <c r="AK419" s="142"/>
      <c r="AL419" s="18"/>
      <c r="AM419" s="18"/>
      <c r="AN419" s="18"/>
      <c r="AO419" s="142"/>
    </row>
    <row r="420">
      <c r="A420" s="142"/>
      <c r="B420" s="18"/>
      <c r="C420" s="142"/>
      <c r="D420" s="18"/>
      <c r="E420" s="18"/>
      <c r="F420" s="18"/>
      <c r="G420" s="142"/>
      <c r="H420" s="18"/>
      <c r="I420" s="142"/>
      <c r="J420" s="15"/>
      <c r="Q420" s="15"/>
      <c r="R420" s="18"/>
      <c r="S420" s="142"/>
      <c r="T420" s="142"/>
      <c r="U420" s="142"/>
      <c r="V420" s="18"/>
      <c r="W420" s="18"/>
      <c r="X420" s="18"/>
      <c r="Y420" s="142"/>
      <c r="Z420" s="18"/>
      <c r="AA420" s="18"/>
      <c r="AB420" s="18"/>
      <c r="AC420" s="18"/>
      <c r="AD420" s="18"/>
      <c r="AE420" s="18"/>
      <c r="AF420" s="18"/>
      <c r="AG420" s="18"/>
      <c r="AH420" s="18"/>
      <c r="AI420" s="18"/>
      <c r="AJ420" s="142"/>
      <c r="AK420" s="142"/>
      <c r="AL420" s="18"/>
      <c r="AM420" s="18"/>
      <c r="AN420" s="18"/>
      <c r="AO420" s="142"/>
    </row>
    <row r="421">
      <c r="A421" s="142"/>
      <c r="B421" s="18"/>
      <c r="C421" s="142"/>
      <c r="D421" s="18"/>
      <c r="E421" s="18"/>
      <c r="F421" s="18"/>
      <c r="G421" s="142"/>
      <c r="H421" s="18"/>
      <c r="I421" s="142"/>
      <c r="J421" s="15"/>
      <c r="Q421" s="15"/>
      <c r="R421" s="18"/>
      <c r="S421" s="142"/>
      <c r="T421" s="142"/>
      <c r="U421" s="142"/>
      <c r="V421" s="18"/>
      <c r="W421" s="18"/>
      <c r="X421" s="18"/>
      <c r="Y421" s="142"/>
      <c r="Z421" s="18"/>
      <c r="AA421" s="18"/>
      <c r="AB421" s="18"/>
      <c r="AC421" s="18"/>
      <c r="AD421" s="18"/>
      <c r="AE421" s="18"/>
      <c r="AF421" s="18"/>
      <c r="AG421" s="18"/>
      <c r="AH421" s="18"/>
      <c r="AI421" s="18"/>
      <c r="AJ421" s="142"/>
      <c r="AK421" s="142"/>
      <c r="AL421" s="18"/>
      <c r="AM421" s="18"/>
      <c r="AN421" s="18"/>
      <c r="AO421" s="142"/>
    </row>
    <row r="422">
      <c r="A422" s="142"/>
      <c r="B422" s="18"/>
      <c r="C422" s="142"/>
      <c r="D422" s="18"/>
      <c r="E422" s="18"/>
      <c r="F422" s="18"/>
      <c r="G422" s="142"/>
      <c r="H422" s="18"/>
      <c r="I422" s="142"/>
      <c r="J422" s="15"/>
      <c r="Q422" s="15"/>
      <c r="R422" s="18"/>
      <c r="S422" s="142"/>
      <c r="T422" s="142"/>
      <c r="U422" s="142"/>
      <c r="V422" s="18"/>
      <c r="W422" s="18"/>
      <c r="X422" s="18"/>
      <c r="Y422" s="142"/>
      <c r="Z422" s="18"/>
      <c r="AA422" s="18"/>
      <c r="AB422" s="18"/>
      <c r="AC422" s="18"/>
      <c r="AD422" s="18"/>
      <c r="AE422" s="18"/>
      <c r="AF422" s="18"/>
      <c r="AG422" s="18"/>
      <c r="AH422" s="18"/>
      <c r="AI422" s="18"/>
      <c r="AJ422" s="142"/>
      <c r="AK422" s="142"/>
      <c r="AL422" s="18"/>
      <c r="AM422" s="18"/>
      <c r="AN422" s="18"/>
      <c r="AO422" s="142"/>
    </row>
    <row r="423">
      <c r="A423" s="142"/>
      <c r="B423" s="18"/>
      <c r="C423" s="142"/>
      <c r="D423" s="18"/>
      <c r="E423" s="18"/>
      <c r="F423" s="18"/>
      <c r="G423" s="142"/>
      <c r="H423" s="18"/>
      <c r="I423" s="142"/>
      <c r="J423" s="15"/>
      <c r="Q423" s="15"/>
      <c r="R423" s="18"/>
      <c r="S423" s="142"/>
      <c r="T423" s="142"/>
      <c r="U423" s="142"/>
      <c r="V423" s="18"/>
      <c r="W423" s="18"/>
      <c r="X423" s="18"/>
      <c r="Y423" s="142"/>
      <c r="Z423" s="18"/>
      <c r="AA423" s="18"/>
      <c r="AB423" s="18"/>
      <c r="AC423" s="18"/>
      <c r="AD423" s="18"/>
      <c r="AE423" s="18"/>
      <c r="AF423" s="18"/>
      <c r="AG423" s="18"/>
      <c r="AH423" s="18"/>
      <c r="AI423" s="18"/>
      <c r="AJ423" s="142"/>
      <c r="AK423" s="142"/>
      <c r="AL423" s="18"/>
      <c r="AM423" s="18"/>
      <c r="AN423" s="18"/>
      <c r="AO423" s="142"/>
    </row>
    <row r="424">
      <c r="A424" s="142"/>
      <c r="B424" s="18"/>
      <c r="C424" s="142"/>
      <c r="D424" s="18"/>
      <c r="E424" s="18"/>
      <c r="F424" s="18"/>
      <c r="G424" s="142"/>
      <c r="H424" s="18"/>
      <c r="I424" s="142"/>
      <c r="J424" s="15"/>
      <c r="Q424" s="15"/>
      <c r="R424" s="18"/>
      <c r="S424" s="142"/>
      <c r="T424" s="142"/>
      <c r="U424" s="142"/>
      <c r="V424" s="18"/>
      <c r="W424" s="18"/>
      <c r="X424" s="18"/>
      <c r="Y424" s="142"/>
      <c r="Z424" s="18"/>
      <c r="AA424" s="18"/>
      <c r="AB424" s="18"/>
      <c r="AC424" s="18"/>
      <c r="AD424" s="18"/>
      <c r="AE424" s="18"/>
      <c r="AF424" s="18"/>
      <c r="AG424" s="18"/>
      <c r="AH424" s="18"/>
      <c r="AI424" s="18"/>
      <c r="AJ424" s="142"/>
      <c r="AK424" s="142"/>
      <c r="AL424" s="18"/>
      <c r="AM424" s="18"/>
      <c r="AN424" s="18"/>
      <c r="AO424" s="142"/>
    </row>
    <row r="425">
      <c r="A425" s="142"/>
      <c r="B425" s="18"/>
      <c r="C425" s="142"/>
      <c r="D425" s="18"/>
      <c r="E425" s="18"/>
      <c r="F425" s="18"/>
      <c r="G425" s="142"/>
      <c r="H425" s="18"/>
      <c r="I425" s="142"/>
      <c r="J425" s="15"/>
      <c r="Q425" s="15"/>
      <c r="R425" s="18"/>
      <c r="S425" s="142"/>
      <c r="T425" s="142"/>
      <c r="U425" s="142"/>
      <c r="V425" s="18"/>
      <c r="W425" s="18"/>
      <c r="X425" s="18"/>
      <c r="Y425" s="142"/>
      <c r="Z425" s="18"/>
      <c r="AA425" s="18"/>
      <c r="AB425" s="18"/>
      <c r="AC425" s="18"/>
      <c r="AD425" s="18"/>
      <c r="AE425" s="18"/>
      <c r="AF425" s="18"/>
      <c r="AG425" s="18"/>
      <c r="AH425" s="18"/>
      <c r="AI425" s="18"/>
      <c r="AJ425" s="142"/>
      <c r="AK425" s="142"/>
      <c r="AL425" s="18"/>
      <c r="AM425" s="18"/>
      <c r="AN425" s="18"/>
      <c r="AO425" s="142"/>
    </row>
    <row r="426">
      <c r="A426" s="142"/>
      <c r="B426" s="18"/>
      <c r="C426" s="142"/>
      <c r="D426" s="18"/>
      <c r="E426" s="18"/>
      <c r="F426" s="18"/>
      <c r="G426" s="142"/>
      <c r="H426" s="18"/>
      <c r="I426" s="142"/>
      <c r="J426" s="15"/>
      <c r="Q426" s="15"/>
      <c r="R426" s="18"/>
      <c r="S426" s="142"/>
      <c r="T426" s="142"/>
      <c r="U426" s="142"/>
      <c r="V426" s="18"/>
      <c r="W426" s="18"/>
      <c r="X426" s="18"/>
      <c r="Y426" s="142"/>
      <c r="Z426" s="18"/>
      <c r="AA426" s="18"/>
      <c r="AB426" s="18"/>
      <c r="AC426" s="18"/>
      <c r="AD426" s="18"/>
      <c r="AE426" s="18"/>
      <c r="AF426" s="18"/>
      <c r="AG426" s="18"/>
      <c r="AH426" s="18"/>
      <c r="AI426" s="18"/>
      <c r="AJ426" s="142"/>
      <c r="AK426" s="142"/>
      <c r="AL426" s="18"/>
      <c r="AM426" s="18"/>
      <c r="AN426" s="18"/>
      <c r="AO426" s="142"/>
    </row>
    <row r="427">
      <c r="A427" s="142"/>
      <c r="B427" s="18"/>
      <c r="C427" s="142"/>
      <c r="D427" s="18"/>
      <c r="E427" s="18"/>
      <c r="F427" s="18"/>
      <c r="G427" s="142"/>
      <c r="H427" s="18"/>
      <c r="I427" s="142"/>
      <c r="J427" s="15"/>
      <c r="Q427" s="15"/>
      <c r="R427" s="18"/>
      <c r="S427" s="142"/>
      <c r="T427" s="142"/>
      <c r="U427" s="142"/>
      <c r="V427" s="18"/>
      <c r="W427" s="18"/>
      <c r="X427" s="18"/>
      <c r="Y427" s="142"/>
      <c r="Z427" s="18"/>
      <c r="AA427" s="18"/>
      <c r="AB427" s="18"/>
      <c r="AC427" s="18"/>
      <c r="AD427" s="18"/>
      <c r="AE427" s="18"/>
      <c r="AF427" s="18"/>
      <c r="AG427" s="18"/>
      <c r="AH427" s="18"/>
      <c r="AI427" s="18"/>
      <c r="AJ427" s="142"/>
      <c r="AK427" s="142"/>
      <c r="AL427" s="18"/>
      <c r="AM427" s="18"/>
      <c r="AN427" s="18"/>
      <c r="AO427" s="142"/>
    </row>
    <row r="428">
      <c r="A428" s="142"/>
      <c r="B428" s="18"/>
      <c r="C428" s="142"/>
      <c r="D428" s="18"/>
      <c r="E428" s="18"/>
      <c r="F428" s="18"/>
      <c r="G428" s="142"/>
      <c r="H428" s="18"/>
      <c r="I428" s="142"/>
      <c r="J428" s="15"/>
      <c r="Q428" s="15"/>
      <c r="R428" s="18"/>
      <c r="S428" s="142"/>
      <c r="T428" s="142"/>
      <c r="U428" s="142"/>
      <c r="V428" s="18"/>
      <c r="W428" s="18"/>
      <c r="X428" s="18"/>
      <c r="Y428" s="142"/>
      <c r="Z428" s="18"/>
      <c r="AA428" s="18"/>
      <c r="AB428" s="18"/>
      <c r="AC428" s="18"/>
      <c r="AD428" s="18"/>
      <c r="AE428" s="18"/>
      <c r="AF428" s="18"/>
      <c r="AG428" s="18"/>
      <c r="AH428" s="18"/>
      <c r="AI428" s="18"/>
      <c r="AJ428" s="142"/>
      <c r="AK428" s="142"/>
      <c r="AL428" s="18"/>
      <c r="AM428" s="18"/>
      <c r="AN428" s="18"/>
      <c r="AO428" s="142"/>
    </row>
    <row r="429">
      <c r="A429" s="142"/>
      <c r="B429" s="18"/>
      <c r="C429" s="142"/>
      <c r="D429" s="18"/>
      <c r="E429" s="18"/>
      <c r="F429" s="18"/>
      <c r="G429" s="142"/>
      <c r="H429" s="18"/>
      <c r="I429" s="142"/>
      <c r="J429" s="15"/>
      <c r="Q429" s="15"/>
      <c r="R429" s="18"/>
      <c r="S429" s="142"/>
      <c r="T429" s="142"/>
      <c r="U429" s="142"/>
      <c r="V429" s="18"/>
      <c r="W429" s="18"/>
      <c r="X429" s="18"/>
      <c r="Y429" s="142"/>
      <c r="Z429" s="18"/>
      <c r="AA429" s="18"/>
      <c r="AB429" s="18"/>
      <c r="AC429" s="18"/>
      <c r="AD429" s="18"/>
      <c r="AE429" s="18"/>
      <c r="AF429" s="18"/>
      <c r="AG429" s="18"/>
      <c r="AH429" s="18"/>
      <c r="AI429" s="18"/>
      <c r="AJ429" s="142"/>
      <c r="AK429" s="142"/>
      <c r="AL429" s="18"/>
      <c r="AM429" s="18"/>
      <c r="AN429" s="18"/>
      <c r="AO429" s="142"/>
    </row>
    <row r="430">
      <c r="A430" s="142"/>
      <c r="B430" s="18"/>
      <c r="C430" s="142"/>
      <c r="D430" s="18"/>
      <c r="E430" s="18"/>
      <c r="F430" s="18"/>
      <c r="G430" s="142"/>
      <c r="H430" s="18"/>
      <c r="I430" s="142"/>
      <c r="J430" s="15"/>
      <c r="Q430" s="15"/>
      <c r="R430" s="18"/>
      <c r="S430" s="142"/>
      <c r="T430" s="142"/>
      <c r="U430" s="142"/>
      <c r="V430" s="18"/>
      <c r="W430" s="18"/>
      <c r="X430" s="18"/>
      <c r="Y430" s="142"/>
      <c r="Z430" s="18"/>
      <c r="AA430" s="18"/>
      <c r="AB430" s="18"/>
      <c r="AC430" s="18"/>
      <c r="AD430" s="18"/>
      <c r="AE430" s="18"/>
      <c r="AF430" s="18"/>
      <c r="AG430" s="18"/>
      <c r="AH430" s="18"/>
      <c r="AI430" s="18"/>
      <c r="AJ430" s="142"/>
      <c r="AK430" s="142"/>
      <c r="AL430" s="18"/>
      <c r="AM430" s="18"/>
      <c r="AN430" s="18"/>
      <c r="AO430" s="142"/>
    </row>
    <row r="431">
      <c r="A431" s="142"/>
      <c r="B431" s="18"/>
      <c r="C431" s="142"/>
      <c r="D431" s="18"/>
      <c r="E431" s="18"/>
      <c r="F431" s="18"/>
      <c r="G431" s="142"/>
      <c r="H431" s="18"/>
      <c r="I431" s="142"/>
      <c r="J431" s="15"/>
      <c r="Q431" s="15"/>
      <c r="R431" s="18"/>
      <c r="S431" s="142"/>
      <c r="T431" s="142"/>
      <c r="U431" s="142"/>
      <c r="V431" s="18"/>
      <c r="W431" s="18"/>
      <c r="X431" s="18"/>
      <c r="Y431" s="142"/>
      <c r="Z431" s="18"/>
      <c r="AA431" s="18"/>
      <c r="AB431" s="18"/>
      <c r="AC431" s="18"/>
      <c r="AD431" s="18"/>
      <c r="AE431" s="18"/>
      <c r="AF431" s="18"/>
      <c r="AG431" s="18"/>
      <c r="AH431" s="18"/>
      <c r="AI431" s="18"/>
      <c r="AJ431" s="142"/>
      <c r="AK431" s="142"/>
      <c r="AL431" s="18"/>
      <c r="AM431" s="18"/>
      <c r="AN431" s="18"/>
      <c r="AO431" s="142"/>
    </row>
    <row r="432">
      <c r="A432" s="142"/>
      <c r="B432" s="18"/>
      <c r="C432" s="142"/>
      <c r="D432" s="18"/>
      <c r="E432" s="18"/>
      <c r="F432" s="18"/>
      <c r="G432" s="142"/>
      <c r="H432" s="18"/>
      <c r="I432" s="142"/>
      <c r="J432" s="15"/>
      <c r="Q432" s="15"/>
      <c r="R432" s="18"/>
      <c r="S432" s="142"/>
      <c r="T432" s="142"/>
      <c r="U432" s="142"/>
      <c r="V432" s="18"/>
      <c r="W432" s="18"/>
      <c r="X432" s="18"/>
      <c r="Y432" s="142"/>
      <c r="Z432" s="18"/>
      <c r="AA432" s="18"/>
      <c r="AB432" s="18"/>
      <c r="AC432" s="18"/>
      <c r="AD432" s="18"/>
      <c r="AE432" s="18"/>
      <c r="AF432" s="18"/>
      <c r="AG432" s="18"/>
      <c r="AH432" s="18"/>
      <c r="AI432" s="18"/>
      <c r="AJ432" s="142"/>
      <c r="AK432" s="142"/>
      <c r="AL432" s="18"/>
      <c r="AM432" s="18"/>
      <c r="AN432" s="18"/>
      <c r="AO432" s="142"/>
    </row>
    <row r="433">
      <c r="A433" s="142"/>
      <c r="B433" s="18"/>
      <c r="C433" s="142"/>
      <c r="D433" s="18"/>
      <c r="E433" s="18"/>
      <c r="F433" s="18"/>
      <c r="G433" s="142"/>
      <c r="H433" s="18"/>
      <c r="I433" s="142"/>
      <c r="J433" s="15"/>
      <c r="Q433" s="15"/>
      <c r="R433" s="18"/>
      <c r="S433" s="142"/>
      <c r="T433" s="142"/>
      <c r="U433" s="142"/>
      <c r="V433" s="18"/>
      <c r="W433" s="18"/>
      <c r="X433" s="18"/>
      <c r="Y433" s="142"/>
      <c r="Z433" s="18"/>
      <c r="AA433" s="18"/>
      <c r="AB433" s="18"/>
      <c r="AC433" s="18"/>
      <c r="AD433" s="18"/>
      <c r="AE433" s="18"/>
      <c r="AF433" s="18"/>
      <c r="AG433" s="18"/>
      <c r="AH433" s="18"/>
      <c r="AI433" s="18"/>
      <c r="AJ433" s="142"/>
      <c r="AK433" s="142"/>
      <c r="AL433" s="18"/>
      <c r="AM433" s="18"/>
      <c r="AN433" s="18"/>
      <c r="AO433" s="142"/>
    </row>
    <row r="434">
      <c r="A434" s="142"/>
      <c r="B434" s="18"/>
      <c r="C434" s="142"/>
      <c r="D434" s="18"/>
      <c r="E434" s="18"/>
      <c r="F434" s="18"/>
      <c r="G434" s="142"/>
      <c r="H434" s="18"/>
      <c r="I434" s="142"/>
      <c r="J434" s="15"/>
      <c r="Q434" s="15"/>
      <c r="R434" s="18"/>
      <c r="S434" s="142"/>
      <c r="T434" s="142"/>
      <c r="U434" s="142"/>
      <c r="V434" s="18"/>
      <c r="W434" s="18"/>
      <c r="X434" s="18"/>
      <c r="Y434" s="142"/>
      <c r="Z434" s="18"/>
      <c r="AA434" s="18"/>
      <c r="AB434" s="18"/>
      <c r="AC434" s="18"/>
      <c r="AD434" s="18"/>
      <c r="AE434" s="18"/>
      <c r="AF434" s="18"/>
      <c r="AG434" s="18"/>
      <c r="AH434" s="18"/>
      <c r="AI434" s="18"/>
      <c r="AJ434" s="142"/>
      <c r="AK434" s="142"/>
      <c r="AL434" s="18"/>
      <c r="AM434" s="18"/>
      <c r="AN434" s="18"/>
      <c r="AO434" s="142"/>
    </row>
    <row r="435">
      <c r="A435" s="142"/>
      <c r="B435" s="18"/>
      <c r="C435" s="142"/>
      <c r="D435" s="18"/>
      <c r="E435" s="18"/>
      <c r="F435" s="18"/>
      <c r="G435" s="142"/>
      <c r="H435" s="18"/>
      <c r="I435" s="142"/>
      <c r="J435" s="15"/>
      <c r="Q435" s="15"/>
      <c r="R435" s="18"/>
      <c r="S435" s="142"/>
      <c r="T435" s="142"/>
      <c r="U435" s="142"/>
      <c r="V435" s="18"/>
      <c r="W435" s="18"/>
      <c r="X435" s="18"/>
      <c r="Y435" s="142"/>
      <c r="Z435" s="18"/>
      <c r="AA435" s="18"/>
      <c r="AB435" s="18"/>
      <c r="AC435" s="18"/>
      <c r="AD435" s="18"/>
      <c r="AE435" s="18"/>
      <c r="AF435" s="18"/>
      <c r="AG435" s="18"/>
      <c r="AH435" s="18"/>
      <c r="AI435" s="18"/>
      <c r="AJ435" s="142"/>
      <c r="AK435" s="142"/>
      <c r="AL435" s="18"/>
      <c r="AM435" s="18"/>
      <c r="AN435" s="18"/>
      <c r="AO435" s="142"/>
    </row>
    <row r="436">
      <c r="A436" s="142"/>
      <c r="B436" s="18"/>
      <c r="C436" s="142"/>
      <c r="D436" s="18"/>
      <c r="E436" s="18"/>
      <c r="F436" s="18"/>
      <c r="G436" s="142"/>
      <c r="H436" s="18"/>
      <c r="I436" s="142"/>
      <c r="J436" s="15"/>
      <c r="Q436" s="15"/>
      <c r="R436" s="18"/>
      <c r="S436" s="142"/>
      <c r="T436" s="142"/>
      <c r="U436" s="142"/>
      <c r="V436" s="18"/>
      <c r="W436" s="18"/>
      <c r="X436" s="18"/>
      <c r="Y436" s="142"/>
      <c r="Z436" s="18"/>
      <c r="AA436" s="18"/>
      <c r="AB436" s="18"/>
      <c r="AC436" s="18"/>
      <c r="AD436" s="18"/>
      <c r="AE436" s="18"/>
      <c r="AF436" s="18"/>
      <c r="AG436" s="18"/>
      <c r="AH436" s="18"/>
      <c r="AI436" s="18"/>
      <c r="AJ436" s="142"/>
      <c r="AK436" s="142"/>
      <c r="AL436" s="18"/>
      <c r="AM436" s="18"/>
      <c r="AN436" s="18"/>
      <c r="AO436" s="142"/>
    </row>
    <row r="437">
      <c r="A437" s="142"/>
      <c r="B437" s="18"/>
      <c r="C437" s="142"/>
      <c r="D437" s="18"/>
      <c r="E437" s="18"/>
      <c r="F437" s="18"/>
      <c r="G437" s="142"/>
      <c r="H437" s="18"/>
      <c r="I437" s="142"/>
      <c r="J437" s="15"/>
      <c r="Q437" s="15"/>
      <c r="R437" s="18"/>
      <c r="S437" s="142"/>
      <c r="T437" s="142"/>
      <c r="U437" s="142"/>
      <c r="V437" s="18"/>
      <c r="W437" s="18"/>
      <c r="X437" s="18"/>
      <c r="Y437" s="142"/>
      <c r="Z437" s="18"/>
      <c r="AA437" s="18"/>
      <c r="AB437" s="18"/>
      <c r="AC437" s="18"/>
      <c r="AD437" s="18"/>
      <c r="AE437" s="18"/>
      <c r="AF437" s="18"/>
      <c r="AG437" s="18"/>
      <c r="AH437" s="18"/>
      <c r="AI437" s="18"/>
      <c r="AJ437" s="142"/>
      <c r="AK437" s="142"/>
      <c r="AL437" s="18"/>
      <c r="AM437" s="18"/>
      <c r="AN437" s="18"/>
      <c r="AO437" s="142"/>
    </row>
    <row r="438">
      <c r="A438" s="142"/>
      <c r="B438" s="18"/>
      <c r="C438" s="142"/>
      <c r="D438" s="18"/>
      <c r="E438" s="18"/>
      <c r="F438" s="18"/>
      <c r="G438" s="142"/>
      <c r="H438" s="18"/>
      <c r="I438" s="142"/>
      <c r="J438" s="15"/>
      <c r="Q438" s="15"/>
      <c r="R438" s="18"/>
      <c r="S438" s="142"/>
      <c r="T438" s="142"/>
      <c r="U438" s="142"/>
      <c r="V438" s="18"/>
      <c r="W438" s="18"/>
      <c r="X438" s="18"/>
      <c r="Y438" s="142"/>
      <c r="Z438" s="18"/>
      <c r="AA438" s="18"/>
      <c r="AB438" s="18"/>
      <c r="AC438" s="18"/>
      <c r="AD438" s="18"/>
      <c r="AE438" s="18"/>
      <c r="AF438" s="18"/>
      <c r="AG438" s="18"/>
      <c r="AH438" s="18"/>
      <c r="AI438" s="18"/>
      <c r="AJ438" s="142"/>
      <c r="AK438" s="142"/>
      <c r="AL438" s="18"/>
      <c r="AM438" s="18"/>
      <c r="AN438" s="18"/>
      <c r="AO438" s="142"/>
    </row>
    <row r="439">
      <c r="A439" s="142"/>
      <c r="B439" s="18"/>
      <c r="C439" s="142"/>
      <c r="D439" s="18"/>
      <c r="E439" s="18"/>
      <c r="F439" s="18"/>
      <c r="G439" s="142"/>
      <c r="H439" s="18"/>
      <c r="I439" s="142"/>
      <c r="J439" s="15"/>
      <c r="Q439" s="15"/>
      <c r="R439" s="18"/>
      <c r="S439" s="142"/>
      <c r="T439" s="142"/>
      <c r="U439" s="142"/>
      <c r="V439" s="18"/>
      <c r="W439" s="18"/>
      <c r="X439" s="18"/>
      <c r="Y439" s="142"/>
      <c r="Z439" s="18"/>
      <c r="AA439" s="18"/>
      <c r="AB439" s="18"/>
      <c r="AC439" s="18"/>
      <c r="AD439" s="18"/>
      <c r="AE439" s="18"/>
      <c r="AF439" s="18"/>
      <c r="AG439" s="18"/>
      <c r="AH439" s="18"/>
      <c r="AI439" s="18"/>
      <c r="AJ439" s="142"/>
      <c r="AK439" s="142"/>
      <c r="AL439" s="18"/>
      <c r="AM439" s="18"/>
      <c r="AN439" s="18"/>
      <c r="AO439" s="142"/>
    </row>
    <row r="440">
      <c r="A440" s="142"/>
      <c r="B440" s="18"/>
      <c r="C440" s="142"/>
      <c r="D440" s="18"/>
      <c r="E440" s="18"/>
      <c r="F440" s="18"/>
      <c r="G440" s="142"/>
      <c r="H440" s="18"/>
      <c r="I440" s="142"/>
      <c r="J440" s="15"/>
      <c r="Q440" s="15"/>
      <c r="R440" s="18"/>
      <c r="S440" s="142"/>
      <c r="T440" s="142"/>
      <c r="U440" s="142"/>
      <c r="V440" s="18"/>
      <c r="W440" s="18"/>
      <c r="X440" s="18"/>
      <c r="Y440" s="142"/>
      <c r="Z440" s="18"/>
      <c r="AA440" s="18"/>
      <c r="AB440" s="18"/>
      <c r="AC440" s="18"/>
      <c r="AD440" s="18"/>
      <c r="AE440" s="18"/>
      <c r="AF440" s="18"/>
      <c r="AG440" s="18"/>
      <c r="AH440" s="18"/>
      <c r="AI440" s="18"/>
      <c r="AJ440" s="142"/>
      <c r="AK440" s="142"/>
      <c r="AL440" s="18"/>
      <c r="AM440" s="18"/>
      <c r="AN440" s="18"/>
      <c r="AO440" s="142"/>
    </row>
    <row r="441">
      <c r="A441" s="142"/>
      <c r="B441" s="18"/>
      <c r="C441" s="142"/>
      <c r="D441" s="18"/>
      <c r="E441" s="18"/>
      <c r="F441" s="18"/>
      <c r="G441" s="142"/>
      <c r="H441" s="18"/>
      <c r="I441" s="142"/>
      <c r="J441" s="15"/>
      <c r="Q441" s="15"/>
      <c r="R441" s="18"/>
      <c r="S441" s="142"/>
      <c r="T441" s="142"/>
      <c r="U441" s="142"/>
      <c r="V441" s="18"/>
      <c r="W441" s="18"/>
      <c r="X441" s="18"/>
      <c r="Y441" s="142"/>
      <c r="Z441" s="18"/>
      <c r="AA441" s="18"/>
      <c r="AB441" s="18"/>
      <c r="AC441" s="18"/>
      <c r="AD441" s="18"/>
      <c r="AE441" s="18"/>
      <c r="AF441" s="18"/>
      <c r="AG441" s="18"/>
      <c r="AH441" s="18"/>
      <c r="AI441" s="18"/>
      <c r="AJ441" s="142"/>
      <c r="AK441" s="142"/>
      <c r="AL441" s="18"/>
      <c r="AM441" s="18"/>
      <c r="AN441" s="18"/>
      <c r="AO441" s="142"/>
    </row>
    <row r="442">
      <c r="A442" s="142"/>
      <c r="B442" s="18"/>
      <c r="C442" s="142"/>
      <c r="D442" s="18"/>
      <c r="E442" s="18"/>
      <c r="F442" s="18"/>
      <c r="G442" s="142"/>
      <c r="H442" s="18"/>
      <c r="I442" s="142"/>
      <c r="J442" s="15"/>
      <c r="Q442" s="15"/>
      <c r="R442" s="18"/>
      <c r="S442" s="142"/>
      <c r="T442" s="142"/>
      <c r="U442" s="142"/>
      <c r="V442" s="18"/>
      <c r="W442" s="18"/>
      <c r="X442" s="18"/>
      <c r="Y442" s="142"/>
      <c r="Z442" s="18"/>
      <c r="AA442" s="18"/>
      <c r="AB442" s="18"/>
      <c r="AC442" s="18"/>
      <c r="AD442" s="18"/>
      <c r="AE442" s="18"/>
      <c r="AF442" s="18"/>
      <c r="AG442" s="18"/>
      <c r="AH442" s="18"/>
      <c r="AI442" s="18"/>
      <c r="AJ442" s="142"/>
      <c r="AK442" s="142"/>
      <c r="AL442" s="18"/>
      <c r="AM442" s="18"/>
      <c r="AN442" s="18"/>
      <c r="AO442" s="142"/>
    </row>
    <row r="443">
      <c r="A443" s="142"/>
      <c r="B443" s="18"/>
      <c r="C443" s="142"/>
      <c r="D443" s="18"/>
      <c r="E443" s="18"/>
      <c r="F443" s="18"/>
      <c r="G443" s="142"/>
      <c r="H443" s="18"/>
      <c r="I443" s="142"/>
      <c r="J443" s="15"/>
      <c r="Q443" s="15"/>
      <c r="R443" s="18"/>
      <c r="S443" s="142"/>
      <c r="T443" s="142"/>
      <c r="U443" s="142"/>
      <c r="V443" s="18"/>
      <c r="W443" s="18"/>
      <c r="X443" s="18"/>
      <c r="Y443" s="142"/>
      <c r="Z443" s="18"/>
      <c r="AA443" s="18"/>
      <c r="AB443" s="18"/>
      <c r="AC443" s="18"/>
      <c r="AD443" s="18"/>
      <c r="AE443" s="18"/>
      <c r="AF443" s="18"/>
      <c r="AG443" s="18"/>
      <c r="AH443" s="18"/>
      <c r="AI443" s="18"/>
      <c r="AJ443" s="142"/>
      <c r="AK443" s="142"/>
      <c r="AL443" s="18"/>
      <c r="AM443" s="18"/>
      <c r="AN443" s="18"/>
      <c r="AO443" s="142"/>
    </row>
    <row r="444">
      <c r="A444" s="142"/>
      <c r="B444" s="18"/>
      <c r="C444" s="142"/>
      <c r="D444" s="18"/>
      <c r="E444" s="18"/>
      <c r="F444" s="18"/>
      <c r="G444" s="142"/>
      <c r="H444" s="18"/>
      <c r="I444" s="142"/>
      <c r="J444" s="15"/>
      <c r="Q444" s="15"/>
      <c r="R444" s="18"/>
      <c r="S444" s="142"/>
      <c r="T444" s="142"/>
      <c r="U444" s="142"/>
      <c r="V444" s="18"/>
      <c r="W444" s="18"/>
      <c r="X444" s="18"/>
      <c r="Y444" s="142"/>
      <c r="Z444" s="18"/>
      <c r="AA444" s="18"/>
      <c r="AB444" s="18"/>
      <c r="AC444" s="18"/>
      <c r="AD444" s="18"/>
      <c r="AE444" s="18"/>
      <c r="AF444" s="18"/>
      <c r="AG444" s="18"/>
      <c r="AH444" s="18"/>
      <c r="AI444" s="18"/>
      <c r="AJ444" s="142"/>
      <c r="AK444" s="142"/>
      <c r="AL444" s="18"/>
      <c r="AM444" s="18"/>
      <c r="AN444" s="18"/>
      <c r="AO444" s="142"/>
    </row>
    <row r="445">
      <c r="A445" s="142"/>
      <c r="B445" s="18"/>
      <c r="C445" s="142"/>
      <c r="D445" s="18"/>
      <c r="E445" s="18"/>
      <c r="F445" s="18"/>
      <c r="G445" s="142"/>
      <c r="H445" s="18"/>
      <c r="I445" s="142"/>
      <c r="J445" s="15"/>
      <c r="Q445" s="15"/>
      <c r="R445" s="18"/>
      <c r="S445" s="142"/>
      <c r="T445" s="142"/>
      <c r="U445" s="142"/>
      <c r="V445" s="18"/>
      <c r="W445" s="18"/>
      <c r="X445" s="18"/>
      <c r="Y445" s="142"/>
      <c r="Z445" s="18"/>
      <c r="AA445" s="18"/>
      <c r="AB445" s="18"/>
      <c r="AC445" s="18"/>
      <c r="AD445" s="18"/>
      <c r="AE445" s="18"/>
      <c r="AF445" s="18"/>
      <c r="AG445" s="18"/>
      <c r="AH445" s="18"/>
      <c r="AI445" s="18"/>
      <c r="AJ445" s="142"/>
      <c r="AK445" s="142"/>
      <c r="AL445" s="18"/>
      <c r="AM445" s="18"/>
      <c r="AN445" s="18"/>
      <c r="AO445" s="142"/>
    </row>
    <row r="446">
      <c r="A446" s="142"/>
      <c r="B446" s="18"/>
      <c r="C446" s="142"/>
      <c r="D446" s="18"/>
      <c r="E446" s="18"/>
      <c r="F446" s="18"/>
      <c r="G446" s="142"/>
      <c r="H446" s="18"/>
      <c r="I446" s="142"/>
      <c r="J446" s="15"/>
      <c r="Q446" s="15"/>
      <c r="R446" s="18"/>
      <c r="S446" s="142"/>
      <c r="T446" s="142"/>
      <c r="U446" s="142"/>
      <c r="V446" s="18"/>
      <c r="W446" s="18"/>
      <c r="X446" s="18"/>
      <c r="Y446" s="142"/>
      <c r="Z446" s="18"/>
      <c r="AA446" s="18"/>
      <c r="AB446" s="18"/>
      <c r="AC446" s="18"/>
      <c r="AD446" s="18"/>
      <c r="AE446" s="18"/>
      <c r="AF446" s="18"/>
      <c r="AG446" s="18"/>
      <c r="AH446" s="18"/>
      <c r="AI446" s="18"/>
      <c r="AJ446" s="142"/>
      <c r="AK446" s="142"/>
      <c r="AL446" s="18"/>
      <c r="AM446" s="18"/>
      <c r="AN446" s="18"/>
      <c r="AO446" s="142"/>
    </row>
    <row r="447">
      <c r="A447" s="142"/>
      <c r="B447" s="18"/>
      <c r="C447" s="142"/>
      <c r="D447" s="18"/>
      <c r="E447" s="18"/>
      <c r="F447" s="18"/>
      <c r="G447" s="142"/>
      <c r="H447" s="18"/>
      <c r="I447" s="142"/>
      <c r="J447" s="15"/>
      <c r="Q447" s="15"/>
      <c r="R447" s="18"/>
      <c r="S447" s="142"/>
      <c r="T447" s="142"/>
      <c r="U447" s="142"/>
      <c r="V447" s="18"/>
      <c r="W447" s="18"/>
      <c r="X447" s="18"/>
      <c r="Y447" s="142"/>
      <c r="Z447" s="18"/>
      <c r="AA447" s="18"/>
      <c r="AB447" s="18"/>
      <c r="AC447" s="18"/>
      <c r="AD447" s="18"/>
      <c r="AE447" s="18"/>
      <c r="AF447" s="18"/>
      <c r="AG447" s="18"/>
      <c r="AH447" s="18"/>
      <c r="AI447" s="18"/>
      <c r="AJ447" s="142"/>
      <c r="AK447" s="142"/>
      <c r="AL447" s="18"/>
      <c r="AM447" s="18"/>
      <c r="AN447" s="18"/>
      <c r="AO447" s="142"/>
    </row>
    <row r="448">
      <c r="A448" s="142"/>
      <c r="B448" s="18"/>
      <c r="C448" s="142"/>
      <c r="D448" s="18"/>
      <c r="E448" s="18"/>
      <c r="F448" s="18"/>
      <c r="G448" s="142"/>
      <c r="H448" s="18"/>
      <c r="I448" s="142"/>
      <c r="J448" s="15"/>
      <c r="Q448" s="15"/>
      <c r="R448" s="18"/>
      <c r="S448" s="142"/>
      <c r="T448" s="142"/>
      <c r="U448" s="142"/>
      <c r="V448" s="18"/>
      <c r="W448" s="18"/>
      <c r="X448" s="18"/>
      <c r="Y448" s="142"/>
      <c r="Z448" s="18"/>
      <c r="AA448" s="18"/>
      <c r="AB448" s="18"/>
      <c r="AC448" s="18"/>
      <c r="AD448" s="18"/>
      <c r="AE448" s="18"/>
      <c r="AF448" s="18"/>
      <c r="AG448" s="18"/>
      <c r="AH448" s="18"/>
      <c r="AI448" s="18"/>
      <c r="AJ448" s="142"/>
      <c r="AK448" s="142"/>
      <c r="AL448" s="18"/>
      <c r="AM448" s="18"/>
      <c r="AN448" s="18"/>
      <c r="AO448" s="142"/>
    </row>
    <row r="449">
      <c r="A449" s="142"/>
      <c r="B449" s="18"/>
      <c r="C449" s="142"/>
      <c r="D449" s="18"/>
      <c r="E449" s="18"/>
      <c r="F449" s="18"/>
      <c r="G449" s="142"/>
      <c r="H449" s="18"/>
      <c r="I449" s="142"/>
      <c r="J449" s="15"/>
      <c r="Q449" s="15"/>
      <c r="R449" s="18"/>
      <c r="S449" s="142"/>
      <c r="T449" s="142"/>
      <c r="U449" s="142"/>
      <c r="V449" s="18"/>
      <c r="W449" s="18"/>
      <c r="X449" s="18"/>
      <c r="Y449" s="142"/>
      <c r="Z449" s="18"/>
      <c r="AA449" s="18"/>
      <c r="AB449" s="18"/>
      <c r="AC449" s="18"/>
      <c r="AD449" s="18"/>
      <c r="AE449" s="18"/>
      <c r="AF449" s="18"/>
      <c r="AG449" s="18"/>
      <c r="AH449" s="18"/>
      <c r="AI449" s="18"/>
      <c r="AJ449" s="142"/>
      <c r="AK449" s="142"/>
      <c r="AL449" s="18"/>
      <c r="AM449" s="18"/>
      <c r="AN449" s="18"/>
      <c r="AO449" s="142"/>
    </row>
    <row r="450">
      <c r="A450" s="142"/>
      <c r="B450" s="18"/>
      <c r="C450" s="142"/>
      <c r="D450" s="18"/>
      <c r="E450" s="18"/>
      <c r="F450" s="18"/>
      <c r="G450" s="142"/>
      <c r="H450" s="18"/>
      <c r="I450" s="142"/>
      <c r="J450" s="15"/>
      <c r="Q450" s="15"/>
      <c r="R450" s="18"/>
      <c r="S450" s="142"/>
      <c r="T450" s="142"/>
      <c r="U450" s="142"/>
      <c r="V450" s="18"/>
      <c r="W450" s="18"/>
      <c r="X450" s="18"/>
      <c r="Y450" s="142"/>
      <c r="Z450" s="18"/>
      <c r="AA450" s="18"/>
      <c r="AB450" s="18"/>
      <c r="AC450" s="18"/>
      <c r="AD450" s="18"/>
      <c r="AE450" s="18"/>
      <c r="AF450" s="18"/>
      <c r="AG450" s="18"/>
      <c r="AH450" s="18"/>
      <c r="AI450" s="18"/>
      <c r="AJ450" s="142"/>
      <c r="AK450" s="142"/>
      <c r="AL450" s="18"/>
      <c r="AM450" s="18"/>
      <c r="AN450" s="18"/>
      <c r="AO450" s="142"/>
    </row>
    <row r="451">
      <c r="A451" s="142"/>
      <c r="B451" s="18"/>
      <c r="C451" s="142"/>
      <c r="D451" s="18"/>
      <c r="E451" s="18"/>
      <c r="F451" s="18"/>
      <c r="G451" s="142"/>
      <c r="H451" s="18"/>
      <c r="I451" s="142"/>
      <c r="J451" s="15"/>
      <c r="Q451" s="15"/>
      <c r="R451" s="18"/>
      <c r="S451" s="142"/>
      <c r="T451" s="142"/>
      <c r="U451" s="142"/>
      <c r="V451" s="18"/>
      <c r="W451" s="18"/>
      <c r="X451" s="18"/>
      <c r="Y451" s="142"/>
      <c r="Z451" s="18"/>
      <c r="AA451" s="18"/>
      <c r="AB451" s="18"/>
      <c r="AC451" s="18"/>
      <c r="AD451" s="18"/>
      <c r="AE451" s="18"/>
      <c r="AF451" s="18"/>
      <c r="AG451" s="18"/>
      <c r="AH451" s="18"/>
      <c r="AI451" s="18"/>
      <c r="AJ451" s="142"/>
      <c r="AK451" s="142"/>
      <c r="AL451" s="18"/>
      <c r="AM451" s="18"/>
      <c r="AN451" s="18"/>
      <c r="AO451" s="142"/>
    </row>
    <row r="452">
      <c r="A452" s="142"/>
      <c r="B452" s="18"/>
      <c r="C452" s="142"/>
      <c r="D452" s="18"/>
      <c r="E452" s="18"/>
      <c r="F452" s="18"/>
      <c r="G452" s="142"/>
      <c r="H452" s="18"/>
      <c r="I452" s="142"/>
      <c r="J452" s="15"/>
      <c r="Q452" s="15"/>
      <c r="R452" s="18"/>
      <c r="S452" s="142"/>
      <c r="T452" s="142"/>
      <c r="U452" s="142"/>
      <c r="V452" s="18"/>
      <c r="W452" s="18"/>
      <c r="X452" s="18"/>
      <c r="Y452" s="142"/>
      <c r="Z452" s="18"/>
      <c r="AA452" s="18"/>
      <c r="AB452" s="18"/>
      <c r="AC452" s="18"/>
      <c r="AD452" s="18"/>
      <c r="AE452" s="18"/>
      <c r="AF452" s="18"/>
      <c r="AG452" s="18"/>
      <c r="AH452" s="18"/>
      <c r="AI452" s="18"/>
      <c r="AJ452" s="142"/>
      <c r="AK452" s="142"/>
      <c r="AL452" s="18"/>
      <c r="AM452" s="18"/>
      <c r="AN452" s="18"/>
      <c r="AO452" s="142"/>
    </row>
    <row r="453">
      <c r="A453" s="142"/>
      <c r="B453" s="18"/>
      <c r="C453" s="142"/>
      <c r="D453" s="18"/>
      <c r="E453" s="18"/>
      <c r="F453" s="18"/>
      <c r="G453" s="142"/>
      <c r="H453" s="18"/>
      <c r="I453" s="142"/>
      <c r="J453" s="15"/>
      <c r="Q453" s="15"/>
      <c r="R453" s="18"/>
      <c r="S453" s="142"/>
      <c r="T453" s="142"/>
      <c r="U453" s="142"/>
      <c r="V453" s="18"/>
      <c r="W453" s="18"/>
      <c r="X453" s="18"/>
      <c r="Y453" s="142"/>
      <c r="Z453" s="18"/>
      <c r="AA453" s="18"/>
      <c r="AB453" s="18"/>
      <c r="AC453" s="18"/>
      <c r="AD453" s="18"/>
      <c r="AE453" s="18"/>
      <c r="AF453" s="18"/>
      <c r="AG453" s="18"/>
      <c r="AH453" s="18"/>
      <c r="AI453" s="18"/>
      <c r="AJ453" s="142"/>
      <c r="AK453" s="142"/>
      <c r="AL453" s="18"/>
      <c r="AM453" s="18"/>
      <c r="AN453" s="18"/>
      <c r="AO453" s="142"/>
    </row>
    <row r="454">
      <c r="A454" s="142"/>
      <c r="B454" s="18"/>
      <c r="C454" s="142"/>
      <c r="D454" s="18"/>
      <c r="E454" s="18"/>
      <c r="F454" s="18"/>
      <c r="G454" s="142"/>
      <c r="H454" s="18"/>
      <c r="I454" s="142"/>
      <c r="J454" s="15"/>
      <c r="Q454" s="15"/>
      <c r="R454" s="18"/>
      <c r="S454" s="142"/>
      <c r="T454" s="142"/>
      <c r="U454" s="142"/>
      <c r="V454" s="18"/>
      <c r="W454" s="18"/>
      <c r="X454" s="18"/>
      <c r="Y454" s="142"/>
      <c r="Z454" s="18"/>
      <c r="AA454" s="18"/>
      <c r="AB454" s="18"/>
      <c r="AC454" s="18"/>
      <c r="AD454" s="18"/>
      <c r="AE454" s="18"/>
      <c r="AF454" s="18"/>
      <c r="AG454" s="18"/>
      <c r="AH454" s="18"/>
      <c r="AI454" s="18"/>
      <c r="AJ454" s="142"/>
      <c r="AK454" s="142"/>
      <c r="AL454" s="18"/>
      <c r="AM454" s="18"/>
      <c r="AN454" s="18"/>
      <c r="AO454" s="142"/>
    </row>
    <row r="455">
      <c r="A455" s="142"/>
      <c r="B455" s="18"/>
      <c r="C455" s="142"/>
      <c r="D455" s="18"/>
      <c r="E455" s="18"/>
      <c r="F455" s="18"/>
      <c r="G455" s="142"/>
      <c r="H455" s="18"/>
      <c r="I455" s="142"/>
      <c r="J455" s="15"/>
      <c r="Q455" s="15"/>
      <c r="R455" s="18"/>
      <c r="S455" s="142"/>
      <c r="T455" s="142"/>
      <c r="U455" s="142"/>
      <c r="V455" s="18"/>
      <c r="W455" s="18"/>
      <c r="X455" s="18"/>
      <c r="Y455" s="142"/>
      <c r="Z455" s="18"/>
      <c r="AA455" s="18"/>
      <c r="AB455" s="18"/>
      <c r="AC455" s="18"/>
      <c r="AD455" s="18"/>
      <c r="AE455" s="18"/>
      <c r="AF455" s="18"/>
      <c r="AG455" s="18"/>
      <c r="AH455" s="18"/>
      <c r="AI455" s="18"/>
      <c r="AJ455" s="142"/>
      <c r="AK455" s="142"/>
      <c r="AL455" s="18"/>
      <c r="AM455" s="18"/>
      <c r="AN455" s="18"/>
      <c r="AO455" s="142"/>
    </row>
    <row r="456">
      <c r="A456" s="142"/>
      <c r="B456" s="18"/>
      <c r="C456" s="142"/>
      <c r="D456" s="18"/>
      <c r="E456" s="18"/>
      <c r="F456" s="18"/>
      <c r="G456" s="142"/>
      <c r="H456" s="18"/>
      <c r="I456" s="142"/>
      <c r="J456" s="15"/>
      <c r="Q456" s="15"/>
      <c r="R456" s="18"/>
      <c r="S456" s="142"/>
      <c r="T456" s="142"/>
      <c r="U456" s="142"/>
      <c r="V456" s="18"/>
      <c r="W456" s="18"/>
      <c r="X456" s="18"/>
      <c r="Y456" s="142"/>
      <c r="Z456" s="18"/>
      <c r="AA456" s="18"/>
      <c r="AB456" s="18"/>
      <c r="AC456" s="18"/>
      <c r="AD456" s="18"/>
      <c r="AE456" s="18"/>
      <c r="AF456" s="18"/>
      <c r="AG456" s="18"/>
      <c r="AH456" s="18"/>
      <c r="AI456" s="18"/>
      <c r="AJ456" s="142"/>
      <c r="AK456" s="142"/>
      <c r="AL456" s="18"/>
      <c r="AM456" s="18"/>
      <c r="AN456" s="18"/>
      <c r="AO456" s="142"/>
    </row>
    <row r="457">
      <c r="A457" s="142"/>
      <c r="B457" s="18"/>
      <c r="C457" s="142"/>
      <c r="D457" s="18"/>
      <c r="E457" s="18"/>
      <c r="F457" s="18"/>
      <c r="G457" s="142"/>
      <c r="H457" s="18"/>
      <c r="I457" s="142"/>
      <c r="J457" s="15"/>
      <c r="Q457" s="15"/>
      <c r="R457" s="18"/>
      <c r="S457" s="142"/>
      <c r="T457" s="142"/>
      <c r="U457" s="142"/>
      <c r="V457" s="18"/>
      <c r="W457" s="18"/>
      <c r="X457" s="18"/>
      <c r="Y457" s="142"/>
      <c r="Z457" s="18"/>
      <c r="AA457" s="18"/>
      <c r="AB457" s="18"/>
      <c r="AC457" s="18"/>
      <c r="AD457" s="18"/>
      <c r="AE457" s="18"/>
      <c r="AF457" s="18"/>
      <c r="AG457" s="18"/>
      <c r="AH457" s="18"/>
      <c r="AI457" s="18"/>
      <c r="AJ457" s="142"/>
      <c r="AK457" s="142"/>
      <c r="AL457" s="18"/>
      <c r="AM457" s="18"/>
      <c r="AN457" s="18"/>
      <c r="AO457" s="142"/>
    </row>
    <row r="458">
      <c r="A458" s="142"/>
      <c r="B458" s="18"/>
      <c r="C458" s="142"/>
      <c r="D458" s="18"/>
      <c r="E458" s="18"/>
      <c r="F458" s="18"/>
      <c r="G458" s="142"/>
      <c r="H458" s="18"/>
      <c r="I458" s="142"/>
      <c r="J458" s="15"/>
      <c r="Q458" s="15"/>
      <c r="R458" s="18"/>
      <c r="S458" s="142"/>
      <c r="T458" s="142"/>
      <c r="U458" s="142"/>
      <c r="V458" s="18"/>
      <c r="W458" s="18"/>
      <c r="X458" s="18"/>
      <c r="Y458" s="142"/>
      <c r="Z458" s="18"/>
      <c r="AA458" s="18"/>
      <c r="AB458" s="18"/>
      <c r="AC458" s="18"/>
      <c r="AD458" s="18"/>
      <c r="AE458" s="18"/>
      <c r="AF458" s="18"/>
      <c r="AG458" s="18"/>
      <c r="AH458" s="18"/>
      <c r="AI458" s="18"/>
      <c r="AJ458" s="142"/>
      <c r="AK458" s="142"/>
      <c r="AL458" s="18"/>
      <c r="AM458" s="18"/>
      <c r="AN458" s="18"/>
      <c r="AO458" s="142"/>
    </row>
    <row r="459">
      <c r="A459" s="142"/>
      <c r="B459" s="18"/>
      <c r="C459" s="142"/>
      <c r="D459" s="18"/>
      <c r="E459" s="18"/>
      <c r="F459" s="18"/>
      <c r="G459" s="142"/>
      <c r="H459" s="18"/>
      <c r="I459" s="142"/>
      <c r="J459" s="15"/>
      <c r="Q459" s="15"/>
      <c r="R459" s="18"/>
      <c r="S459" s="142"/>
      <c r="T459" s="142"/>
      <c r="U459" s="142"/>
      <c r="V459" s="18"/>
      <c r="W459" s="18"/>
      <c r="X459" s="18"/>
      <c r="Y459" s="142"/>
      <c r="Z459" s="18"/>
      <c r="AA459" s="18"/>
      <c r="AB459" s="18"/>
      <c r="AC459" s="18"/>
      <c r="AD459" s="18"/>
      <c r="AE459" s="18"/>
      <c r="AF459" s="18"/>
      <c r="AG459" s="18"/>
      <c r="AH459" s="18"/>
      <c r="AI459" s="18"/>
      <c r="AJ459" s="142"/>
      <c r="AK459" s="142"/>
      <c r="AL459" s="18"/>
      <c r="AM459" s="18"/>
      <c r="AN459" s="18"/>
      <c r="AO459" s="142"/>
    </row>
    <row r="460">
      <c r="A460" s="142"/>
      <c r="B460" s="18"/>
      <c r="C460" s="142"/>
      <c r="D460" s="18"/>
      <c r="E460" s="18"/>
      <c r="F460" s="18"/>
      <c r="G460" s="142"/>
      <c r="H460" s="18"/>
      <c r="I460" s="142"/>
      <c r="J460" s="15"/>
      <c r="Q460" s="15"/>
      <c r="R460" s="18"/>
      <c r="S460" s="142"/>
      <c r="T460" s="142"/>
      <c r="U460" s="142"/>
      <c r="V460" s="18"/>
      <c r="W460" s="18"/>
      <c r="X460" s="18"/>
      <c r="Y460" s="142"/>
      <c r="Z460" s="18"/>
      <c r="AA460" s="18"/>
      <c r="AB460" s="18"/>
      <c r="AC460" s="18"/>
      <c r="AD460" s="18"/>
      <c r="AE460" s="18"/>
      <c r="AF460" s="18"/>
      <c r="AG460" s="18"/>
      <c r="AH460" s="18"/>
      <c r="AI460" s="18"/>
      <c r="AJ460" s="142"/>
      <c r="AK460" s="142"/>
      <c r="AL460" s="18"/>
      <c r="AM460" s="18"/>
      <c r="AN460" s="18"/>
      <c r="AO460" s="142"/>
    </row>
    <row r="461">
      <c r="A461" s="142"/>
      <c r="B461" s="18"/>
      <c r="C461" s="142"/>
      <c r="D461" s="18"/>
      <c r="E461" s="18"/>
      <c r="F461" s="18"/>
      <c r="G461" s="142"/>
      <c r="H461" s="18"/>
      <c r="I461" s="142"/>
      <c r="J461" s="15"/>
      <c r="Q461" s="15"/>
      <c r="R461" s="18"/>
      <c r="S461" s="142"/>
      <c r="T461" s="142"/>
      <c r="U461" s="142"/>
      <c r="V461" s="18"/>
      <c r="W461" s="18"/>
      <c r="X461" s="18"/>
      <c r="Y461" s="142"/>
      <c r="Z461" s="18"/>
      <c r="AA461" s="18"/>
      <c r="AB461" s="18"/>
      <c r="AC461" s="18"/>
      <c r="AD461" s="18"/>
      <c r="AE461" s="18"/>
      <c r="AF461" s="18"/>
      <c r="AG461" s="18"/>
      <c r="AH461" s="18"/>
      <c r="AI461" s="18"/>
      <c r="AJ461" s="142"/>
      <c r="AK461" s="142"/>
      <c r="AL461" s="18"/>
      <c r="AM461" s="18"/>
      <c r="AN461" s="18"/>
      <c r="AO461" s="142"/>
    </row>
    <row r="462">
      <c r="A462" s="142"/>
      <c r="B462" s="18"/>
      <c r="C462" s="142"/>
      <c r="D462" s="18"/>
      <c r="E462" s="18"/>
      <c r="F462" s="18"/>
      <c r="G462" s="142"/>
      <c r="H462" s="18"/>
      <c r="I462" s="142"/>
      <c r="J462" s="15"/>
      <c r="Q462" s="15"/>
      <c r="R462" s="18"/>
      <c r="S462" s="142"/>
      <c r="T462" s="142"/>
      <c r="U462" s="142"/>
      <c r="V462" s="18"/>
      <c r="W462" s="18"/>
      <c r="X462" s="18"/>
      <c r="Y462" s="142"/>
      <c r="Z462" s="18"/>
      <c r="AA462" s="18"/>
      <c r="AB462" s="18"/>
      <c r="AC462" s="18"/>
      <c r="AD462" s="18"/>
      <c r="AE462" s="18"/>
      <c r="AF462" s="18"/>
      <c r="AG462" s="18"/>
      <c r="AH462" s="18"/>
      <c r="AI462" s="18"/>
      <c r="AJ462" s="142"/>
      <c r="AK462" s="142"/>
      <c r="AL462" s="18"/>
      <c r="AM462" s="18"/>
      <c r="AN462" s="18"/>
      <c r="AO462" s="142"/>
    </row>
    <row r="463">
      <c r="A463" s="142"/>
      <c r="B463" s="18"/>
      <c r="C463" s="142"/>
      <c r="D463" s="18"/>
      <c r="E463" s="18"/>
      <c r="F463" s="18"/>
      <c r="G463" s="142"/>
      <c r="H463" s="18"/>
      <c r="I463" s="142"/>
      <c r="J463" s="15"/>
      <c r="Q463" s="15"/>
      <c r="R463" s="18"/>
      <c r="S463" s="142"/>
      <c r="T463" s="142"/>
      <c r="U463" s="142"/>
      <c r="V463" s="18"/>
      <c r="W463" s="18"/>
      <c r="X463" s="18"/>
      <c r="Y463" s="142"/>
      <c r="Z463" s="18"/>
      <c r="AA463" s="18"/>
      <c r="AB463" s="18"/>
      <c r="AC463" s="18"/>
      <c r="AD463" s="18"/>
      <c r="AE463" s="18"/>
      <c r="AF463" s="18"/>
      <c r="AG463" s="18"/>
      <c r="AH463" s="18"/>
      <c r="AI463" s="18"/>
      <c r="AJ463" s="142"/>
      <c r="AK463" s="142"/>
      <c r="AL463" s="18"/>
      <c r="AM463" s="18"/>
      <c r="AN463" s="18"/>
      <c r="AO463" s="142"/>
    </row>
    <row r="464">
      <c r="A464" s="142"/>
      <c r="B464" s="18"/>
      <c r="C464" s="142"/>
      <c r="D464" s="18"/>
      <c r="E464" s="18"/>
      <c r="F464" s="18"/>
      <c r="G464" s="142"/>
      <c r="H464" s="18"/>
      <c r="I464" s="142"/>
      <c r="J464" s="15"/>
      <c r="Q464" s="15"/>
      <c r="R464" s="18"/>
      <c r="S464" s="142"/>
      <c r="T464" s="142"/>
      <c r="U464" s="142"/>
      <c r="V464" s="18"/>
      <c r="W464" s="18"/>
      <c r="X464" s="18"/>
      <c r="Y464" s="142"/>
      <c r="Z464" s="18"/>
      <c r="AA464" s="18"/>
      <c r="AB464" s="18"/>
      <c r="AC464" s="18"/>
      <c r="AD464" s="18"/>
      <c r="AE464" s="18"/>
      <c r="AF464" s="18"/>
      <c r="AG464" s="18"/>
      <c r="AH464" s="18"/>
      <c r="AI464" s="18"/>
      <c r="AJ464" s="142"/>
      <c r="AK464" s="142"/>
      <c r="AL464" s="18"/>
      <c r="AM464" s="18"/>
      <c r="AN464" s="18"/>
      <c r="AO464" s="142"/>
    </row>
    <row r="465">
      <c r="A465" s="142"/>
      <c r="B465" s="18"/>
      <c r="C465" s="142"/>
      <c r="D465" s="18"/>
      <c r="E465" s="18"/>
      <c r="F465" s="18"/>
      <c r="G465" s="142"/>
      <c r="H465" s="18"/>
      <c r="I465" s="142"/>
      <c r="J465" s="15"/>
      <c r="Q465" s="15"/>
      <c r="R465" s="18"/>
      <c r="S465" s="142"/>
      <c r="T465" s="142"/>
      <c r="U465" s="142"/>
      <c r="V465" s="18"/>
      <c r="W465" s="18"/>
      <c r="X465" s="18"/>
      <c r="Y465" s="142"/>
      <c r="Z465" s="18"/>
      <c r="AA465" s="18"/>
      <c r="AB465" s="18"/>
      <c r="AC465" s="18"/>
      <c r="AD465" s="18"/>
      <c r="AE465" s="18"/>
      <c r="AF465" s="18"/>
      <c r="AG465" s="18"/>
      <c r="AH465" s="18"/>
      <c r="AI465" s="18"/>
      <c r="AJ465" s="142"/>
      <c r="AK465" s="142"/>
      <c r="AL465" s="18"/>
      <c r="AM465" s="18"/>
      <c r="AN465" s="18"/>
      <c r="AO465" s="142"/>
    </row>
    <row r="466">
      <c r="A466" s="142"/>
      <c r="B466" s="18"/>
      <c r="C466" s="142"/>
      <c r="D466" s="18"/>
      <c r="E466" s="18"/>
      <c r="F466" s="18"/>
      <c r="G466" s="142"/>
      <c r="H466" s="18"/>
      <c r="I466" s="142"/>
      <c r="J466" s="15"/>
      <c r="Q466" s="15"/>
      <c r="R466" s="18"/>
      <c r="S466" s="142"/>
      <c r="T466" s="142"/>
      <c r="U466" s="142"/>
      <c r="V466" s="18"/>
      <c r="W466" s="18"/>
      <c r="X466" s="18"/>
      <c r="Y466" s="142"/>
      <c r="Z466" s="18"/>
      <c r="AA466" s="18"/>
      <c r="AB466" s="18"/>
      <c r="AC466" s="18"/>
      <c r="AD466" s="18"/>
      <c r="AE466" s="18"/>
      <c r="AF466" s="18"/>
      <c r="AG466" s="18"/>
      <c r="AH466" s="18"/>
      <c r="AI466" s="18"/>
      <c r="AJ466" s="142"/>
      <c r="AK466" s="142"/>
      <c r="AL466" s="18"/>
      <c r="AM466" s="18"/>
      <c r="AN466" s="18"/>
      <c r="AO466" s="142"/>
    </row>
    <row r="467">
      <c r="A467" s="142"/>
      <c r="B467" s="18"/>
      <c r="C467" s="142"/>
      <c r="D467" s="18"/>
      <c r="E467" s="18"/>
      <c r="F467" s="18"/>
      <c r="G467" s="142"/>
      <c r="H467" s="18"/>
      <c r="I467" s="142"/>
      <c r="J467" s="15"/>
      <c r="Q467" s="15"/>
      <c r="R467" s="18"/>
      <c r="S467" s="142"/>
      <c r="T467" s="142"/>
      <c r="U467" s="142"/>
      <c r="V467" s="18"/>
      <c r="W467" s="18"/>
      <c r="X467" s="18"/>
      <c r="Y467" s="142"/>
      <c r="Z467" s="18"/>
      <c r="AA467" s="18"/>
      <c r="AB467" s="18"/>
      <c r="AC467" s="18"/>
      <c r="AD467" s="18"/>
      <c r="AE467" s="18"/>
      <c r="AF467" s="18"/>
      <c r="AG467" s="18"/>
      <c r="AH467" s="18"/>
      <c r="AI467" s="18"/>
      <c r="AJ467" s="142"/>
      <c r="AK467" s="142"/>
      <c r="AL467" s="18"/>
      <c r="AM467" s="18"/>
      <c r="AN467" s="18"/>
      <c r="AO467" s="142"/>
    </row>
    <row r="468">
      <c r="A468" s="142"/>
      <c r="B468" s="18"/>
      <c r="C468" s="142"/>
      <c r="D468" s="18"/>
      <c r="E468" s="18"/>
      <c r="F468" s="18"/>
      <c r="G468" s="142"/>
      <c r="H468" s="18"/>
      <c r="I468" s="142"/>
      <c r="J468" s="15"/>
      <c r="Q468" s="15"/>
      <c r="R468" s="18"/>
      <c r="S468" s="142"/>
      <c r="T468" s="142"/>
      <c r="U468" s="142"/>
      <c r="V468" s="18"/>
      <c r="W468" s="18"/>
      <c r="X468" s="18"/>
      <c r="Y468" s="142"/>
      <c r="Z468" s="18"/>
      <c r="AA468" s="18"/>
      <c r="AB468" s="18"/>
      <c r="AC468" s="18"/>
      <c r="AD468" s="18"/>
      <c r="AE468" s="18"/>
      <c r="AF468" s="18"/>
      <c r="AG468" s="18"/>
      <c r="AH468" s="18"/>
      <c r="AI468" s="18"/>
      <c r="AJ468" s="142"/>
      <c r="AK468" s="142"/>
      <c r="AL468" s="18"/>
      <c r="AM468" s="18"/>
      <c r="AN468" s="18"/>
      <c r="AO468" s="142"/>
    </row>
    <row r="469">
      <c r="A469" s="142"/>
      <c r="B469" s="18"/>
      <c r="C469" s="142"/>
      <c r="D469" s="18"/>
      <c r="E469" s="18"/>
      <c r="F469" s="18"/>
      <c r="G469" s="142"/>
      <c r="H469" s="18"/>
      <c r="I469" s="142"/>
      <c r="J469" s="15"/>
      <c r="Q469" s="15"/>
      <c r="R469" s="18"/>
      <c r="S469" s="142"/>
      <c r="T469" s="142"/>
      <c r="U469" s="142"/>
      <c r="V469" s="18"/>
      <c r="W469" s="18"/>
      <c r="X469" s="18"/>
      <c r="Y469" s="142"/>
      <c r="Z469" s="18"/>
      <c r="AA469" s="18"/>
      <c r="AB469" s="18"/>
      <c r="AC469" s="18"/>
      <c r="AD469" s="18"/>
      <c r="AE469" s="18"/>
      <c r="AF469" s="18"/>
      <c r="AG469" s="18"/>
      <c r="AH469" s="18"/>
      <c r="AI469" s="18"/>
      <c r="AJ469" s="142"/>
      <c r="AK469" s="142"/>
      <c r="AL469" s="18"/>
      <c r="AM469" s="18"/>
      <c r="AN469" s="18"/>
      <c r="AO469" s="142"/>
    </row>
    <row r="470">
      <c r="A470" s="142"/>
      <c r="B470" s="18"/>
      <c r="C470" s="142"/>
      <c r="D470" s="18"/>
      <c r="E470" s="18"/>
      <c r="F470" s="18"/>
      <c r="G470" s="142"/>
      <c r="H470" s="18"/>
      <c r="I470" s="142"/>
      <c r="J470" s="15"/>
      <c r="Q470" s="15"/>
      <c r="R470" s="18"/>
      <c r="S470" s="142"/>
      <c r="T470" s="142"/>
      <c r="U470" s="142"/>
      <c r="V470" s="18"/>
      <c r="W470" s="18"/>
      <c r="X470" s="18"/>
      <c r="Y470" s="142"/>
      <c r="Z470" s="18"/>
      <c r="AA470" s="18"/>
      <c r="AB470" s="18"/>
      <c r="AC470" s="18"/>
      <c r="AD470" s="18"/>
      <c r="AE470" s="18"/>
      <c r="AF470" s="18"/>
      <c r="AG470" s="18"/>
      <c r="AH470" s="18"/>
      <c r="AI470" s="18"/>
      <c r="AJ470" s="142"/>
      <c r="AK470" s="142"/>
      <c r="AL470" s="18"/>
      <c r="AM470" s="18"/>
      <c r="AN470" s="18"/>
      <c r="AO470" s="142"/>
    </row>
    <row r="471">
      <c r="A471" s="142"/>
      <c r="B471" s="18"/>
      <c r="C471" s="142"/>
      <c r="D471" s="18"/>
      <c r="E471" s="18"/>
      <c r="F471" s="18"/>
      <c r="G471" s="142"/>
      <c r="H471" s="18"/>
      <c r="I471" s="142"/>
      <c r="J471" s="15"/>
      <c r="Q471" s="15"/>
      <c r="R471" s="18"/>
      <c r="S471" s="142"/>
      <c r="T471" s="142"/>
      <c r="U471" s="142"/>
      <c r="V471" s="18"/>
      <c r="W471" s="18"/>
      <c r="X471" s="18"/>
      <c r="Y471" s="142"/>
      <c r="Z471" s="18"/>
      <c r="AA471" s="18"/>
      <c r="AB471" s="18"/>
      <c r="AC471" s="18"/>
      <c r="AD471" s="18"/>
      <c r="AE471" s="18"/>
      <c r="AF471" s="18"/>
      <c r="AG471" s="18"/>
      <c r="AH471" s="18"/>
      <c r="AI471" s="18"/>
      <c r="AJ471" s="142"/>
      <c r="AK471" s="142"/>
      <c r="AL471" s="18"/>
      <c r="AM471" s="18"/>
      <c r="AN471" s="18"/>
      <c r="AO471" s="142"/>
    </row>
    <row r="472">
      <c r="A472" s="142"/>
      <c r="B472" s="18"/>
      <c r="C472" s="142"/>
      <c r="D472" s="18"/>
      <c r="E472" s="18"/>
      <c r="F472" s="18"/>
      <c r="G472" s="142"/>
      <c r="H472" s="18"/>
      <c r="I472" s="142"/>
      <c r="J472" s="15"/>
      <c r="Q472" s="15"/>
      <c r="R472" s="18"/>
      <c r="S472" s="142"/>
      <c r="T472" s="142"/>
      <c r="U472" s="142"/>
      <c r="V472" s="18"/>
      <c r="W472" s="18"/>
      <c r="X472" s="18"/>
      <c r="Y472" s="142"/>
      <c r="Z472" s="18"/>
      <c r="AA472" s="18"/>
      <c r="AB472" s="18"/>
      <c r="AC472" s="18"/>
      <c r="AD472" s="18"/>
      <c r="AE472" s="18"/>
      <c r="AF472" s="18"/>
      <c r="AG472" s="18"/>
      <c r="AH472" s="18"/>
      <c r="AI472" s="18"/>
      <c r="AJ472" s="142"/>
      <c r="AK472" s="142"/>
      <c r="AL472" s="18"/>
      <c r="AM472" s="18"/>
      <c r="AN472" s="18"/>
      <c r="AO472" s="142"/>
    </row>
    <row r="473">
      <c r="A473" s="142"/>
      <c r="B473" s="18"/>
      <c r="C473" s="142"/>
      <c r="D473" s="18"/>
      <c r="E473" s="18"/>
      <c r="F473" s="18"/>
      <c r="G473" s="142"/>
      <c r="H473" s="18"/>
      <c r="I473" s="142"/>
      <c r="J473" s="15"/>
      <c r="Q473" s="15"/>
      <c r="R473" s="18"/>
      <c r="S473" s="142"/>
      <c r="T473" s="142"/>
      <c r="U473" s="142"/>
      <c r="V473" s="18"/>
      <c r="W473" s="18"/>
      <c r="X473" s="18"/>
      <c r="Y473" s="142"/>
      <c r="Z473" s="18"/>
      <c r="AA473" s="18"/>
      <c r="AB473" s="18"/>
      <c r="AC473" s="18"/>
      <c r="AD473" s="18"/>
      <c r="AE473" s="18"/>
      <c r="AF473" s="18"/>
      <c r="AG473" s="18"/>
      <c r="AH473" s="18"/>
      <c r="AI473" s="18"/>
      <c r="AJ473" s="142"/>
      <c r="AK473" s="142"/>
      <c r="AL473" s="18"/>
      <c r="AM473" s="18"/>
      <c r="AN473" s="18"/>
      <c r="AO473" s="142"/>
    </row>
    <row r="474">
      <c r="A474" s="142"/>
      <c r="B474" s="18"/>
      <c r="C474" s="142"/>
      <c r="D474" s="18"/>
      <c r="E474" s="18"/>
      <c r="F474" s="18"/>
      <c r="G474" s="142"/>
      <c r="H474" s="18"/>
      <c r="I474" s="142"/>
      <c r="J474" s="15"/>
      <c r="Q474" s="15"/>
      <c r="R474" s="18"/>
      <c r="S474" s="142"/>
      <c r="T474" s="142"/>
      <c r="U474" s="142"/>
      <c r="V474" s="18"/>
      <c r="W474" s="18"/>
      <c r="X474" s="18"/>
      <c r="Y474" s="142"/>
      <c r="Z474" s="18"/>
      <c r="AA474" s="18"/>
      <c r="AB474" s="18"/>
      <c r="AC474" s="18"/>
      <c r="AD474" s="18"/>
      <c r="AE474" s="18"/>
      <c r="AF474" s="18"/>
      <c r="AG474" s="18"/>
      <c r="AH474" s="18"/>
      <c r="AI474" s="18"/>
      <c r="AJ474" s="142"/>
      <c r="AK474" s="142"/>
      <c r="AL474" s="18"/>
      <c r="AM474" s="18"/>
      <c r="AN474" s="18"/>
      <c r="AO474" s="142"/>
    </row>
    <row r="475">
      <c r="A475" s="142"/>
      <c r="B475" s="18"/>
      <c r="C475" s="142"/>
      <c r="D475" s="18"/>
      <c r="E475" s="18"/>
      <c r="F475" s="18"/>
      <c r="G475" s="142"/>
      <c r="H475" s="18"/>
      <c r="I475" s="142"/>
      <c r="J475" s="15"/>
      <c r="Q475" s="15"/>
      <c r="R475" s="18"/>
      <c r="S475" s="142"/>
      <c r="T475" s="142"/>
      <c r="U475" s="142"/>
      <c r="V475" s="18"/>
      <c r="W475" s="18"/>
      <c r="X475" s="18"/>
      <c r="Y475" s="142"/>
      <c r="Z475" s="18"/>
      <c r="AA475" s="18"/>
      <c r="AB475" s="18"/>
      <c r="AC475" s="18"/>
      <c r="AD475" s="18"/>
      <c r="AE475" s="18"/>
      <c r="AF475" s="18"/>
      <c r="AG475" s="18"/>
      <c r="AH475" s="18"/>
      <c r="AI475" s="18"/>
      <c r="AJ475" s="142"/>
      <c r="AK475" s="142"/>
      <c r="AL475" s="18"/>
      <c r="AM475" s="18"/>
      <c r="AN475" s="18"/>
      <c r="AO475" s="142"/>
    </row>
    <row r="476">
      <c r="A476" s="142"/>
      <c r="B476" s="18"/>
      <c r="C476" s="142"/>
      <c r="D476" s="18"/>
      <c r="E476" s="18"/>
      <c r="F476" s="18"/>
      <c r="G476" s="142"/>
      <c r="H476" s="18"/>
      <c r="I476" s="142"/>
      <c r="J476" s="15"/>
      <c r="Q476" s="15"/>
      <c r="R476" s="18"/>
      <c r="S476" s="142"/>
      <c r="T476" s="142"/>
      <c r="U476" s="142"/>
      <c r="V476" s="18"/>
      <c r="W476" s="18"/>
      <c r="X476" s="18"/>
      <c r="Y476" s="142"/>
      <c r="Z476" s="18"/>
      <c r="AA476" s="18"/>
      <c r="AB476" s="18"/>
      <c r="AC476" s="18"/>
      <c r="AD476" s="18"/>
      <c r="AE476" s="18"/>
      <c r="AF476" s="18"/>
      <c r="AG476" s="18"/>
      <c r="AH476" s="18"/>
      <c r="AI476" s="18"/>
      <c r="AJ476" s="142"/>
      <c r="AK476" s="142"/>
      <c r="AL476" s="18"/>
      <c r="AM476" s="18"/>
      <c r="AN476" s="18"/>
      <c r="AO476" s="142"/>
    </row>
    <row r="477">
      <c r="A477" s="142"/>
      <c r="B477" s="18"/>
      <c r="C477" s="142"/>
      <c r="D477" s="18"/>
      <c r="E477" s="18"/>
      <c r="F477" s="18"/>
      <c r="G477" s="142"/>
      <c r="H477" s="18"/>
      <c r="I477" s="142"/>
      <c r="J477" s="15"/>
      <c r="Q477" s="15"/>
      <c r="R477" s="18"/>
      <c r="S477" s="142"/>
      <c r="T477" s="142"/>
      <c r="U477" s="142"/>
      <c r="V477" s="18"/>
      <c r="W477" s="18"/>
      <c r="X477" s="18"/>
      <c r="Y477" s="142"/>
      <c r="Z477" s="18"/>
      <c r="AA477" s="18"/>
      <c r="AB477" s="18"/>
      <c r="AC477" s="18"/>
      <c r="AD477" s="18"/>
      <c r="AE477" s="18"/>
      <c r="AF477" s="18"/>
      <c r="AG477" s="18"/>
      <c r="AH477" s="18"/>
      <c r="AI477" s="18"/>
      <c r="AJ477" s="142"/>
      <c r="AK477" s="142"/>
      <c r="AL477" s="18"/>
      <c r="AM477" s="18"/>
      <c r="AN477" s="18"/>
      <c r="AO477" s="142"/>
    </row>
    <row r="478">
      <c r="A478" s="142"/>
      <c r="B478" s="18"/>
      <c r="C478" s="142"/>
      <c r="D478" s="18"/>
      <c r="E478" s="18"/>
      <c r="F478" s="18"/>
      <c r="G478" s="142"/>
      <c r="H478" s="18"/>
      <c r="I478" s="142"/>
      <c r="J478" s="15"/>
      <c r="Q478" s="15"/>
      <c r="R478" s="18"/>
      <c r="S478" s="142"/>
      <c r="T478" s="142"/>
      <c r="U478" s="142"/>
      <c r="V478" s="18"/>
      <c r="W478" s="18"/>
      <c r="X478" s="18"/>
      <c r="Y478" s="142"/>
      <c r="Z478" s="18"/>
      <c r="AA478" s="18"/>
      <c r="AB478" s="18"/>
      <c r="AC478" s="18"/>
      <c r="AD478" s="18"/>
      <c r="AE478" s="18"/>
      <c r="AF478" s="18"/>
      <c r="AG478" s="18"/>
      <c r="AH478" s="18"/>
      <c r="AI478" s="18"/>
      <c r="AJ478" s="142"/>
      <c r="AK478" s="142"/>
      <c r="AL478" s="18"/>
      <c r="AM478" s="18"/>
      <c r="AN478" s="18"/>
      <c r="AO478" s="142"/>
    </row>
    <row r="479">
      <c r="A479" s="142"/>
      <c r="B479" s="18"/>
      <c r="C479" s="142"/>
      <c r="D479" s="18"/>
      <c r="E479" s="18"/>
      <c r="F479" s="18"/>
      <c r="G479" s="142"/>
      <c r="H479" s="18"/>
      <c r="I479" s="142"/>
      <c r="J479" s="15"/>
      <c r="Q479" s="15"/>
      <c r="R479" s="18"/>
      <c r="S479" s="142"/>
      <c r="T479" s="142"/>
      <c r="U479" s="142"/>
      <c r="V479" s="18"/>
      <c r="W479" s="18"/>
      <c r="X479" s="18"/>
      <c r="Y479" s="142"/>
      <c r="Z479" s="18"/>
      <c r="AA479" s="18"/>
      <c r="AB479" s="18"/>
      <c r="AC479" s="18"/>
      <c r="AD479" s="18"/>
      <c r="AE479" s="18"/>
      <c r="AF479" s="18"/>
      <c r="AG479" s="18"/>
      <c r="AH479" s="18"/>
      <c r="AI479" s="18"/>
      <c r="AJ479" s="142"/>
      <c r="AK479" s="142"/>
      <c r="AL479" s="18"/>
      <c r="AM479" s="18"/>
      <c r="AN479" s="18"/>
      <c r="AO479" s="142"/>
    </row>
    <row r="480">
      <c r="A480" s="142"/>
      <c r="B480" s="18"/>
      <c r="C480" s="142"/>
      <c r="D480" s="18"/>
      <c r="E480" s="18"/>
      <c r="F480" s="18"/>
      <c r="G480" s="142"/>
      <c r="H480" s="18"/>
      <c r="I480" s="142"/>
      <c r="J480" s="15"/>
      <c r="Q480" s="15"/>
      <c r="R480" s="18"/>
      <c r="S480" s="142"/>
      <c r="T480" s="142"/>
      <c r="U480" s="142"/>
      <c r="V480" s="18"/>
      <c r="W480" s="18"/>
      <c r="X480" s="18"/>
      <c r="Y480" s="142"/>
      <c r="Z480" s="18"/>
      <c r="AA480" s="18"/>
      <c r="AB480" s="18"/>
      <c r="AC480" s="18"/>
      <c r="AD480" s="18"/>
      <c r="AE480" s="18"/>
      <c r="AF480" s="18"/>
      <c r="AG480" s="18"/>
      <c r="AH480" s="18"/>
      <c r="AI480" s="18"/>
      <c r="AJ480" s="142"/>
      <c r="AK480" s="142"/>
      <c r="AL480" s="18"/>
      <c r="AM480" s="18"/>
      <c r="AN480" s="18"/>
      <c r="AO480" s="142"/>
    </row>
    <row r="481">
      <c r="A481" s="142"/>
      <c r="B481" s="18"/>
      <c r="C481" s="142"/>
      <c r="D481" s="18"/>
      <c r="E481" s="18"/>
      <c r="F481" s="18"/>
      <c r="G481" s="142"/>
      <c r="H481" s="18"/>
      <c r="I481" s="142"/>
      <c r="J481" s="15"/>
      <c r="Q481" s="15"/>
      <c r="R481" s="18"/>
      <c r="S481" s="142"/>
      <c r="T481" s="142"/>
      <c r="U481" s="142"/>
      <c r="V481" s="18"/>
      <c r="W481" s="18"/>
      <c r="X481" s="18"/>
      <c r="Y481" s="142"/>
      <c r="Z481" s="18"/>
      <c r="AA481" s="18"/>
      <c r="AB481" s="18"/>
      <c r="AC481" s="18"/>
      <c r="AD481" s="18"/>
      <c r="AE481" s="18"/>
      <c r="AF481" s="18"/>
      <c r="AG481" s="18"/>
      <c r="AH481" s="18"/>
      <c r="AI481" s="18"/>
      <c r="AJ481" s="142"/>
      <c r="AK481" s="142"/>
      <c r="AL481" s="18"/>
      <c r="AM481" s="18"/>
      <c r="AN481" s="18"/>
      <c r="AO481" s="142"/>
    </row>
    <row r="482">
      <c r="A482" s="142"/>
      <c r="B482" s="18"/>
      <c r="C482" s="142"/>
      <c r="D482" s="18"/>
      <c r="E482" s="18"/>
      <c r="F482" s="18"/>
      <c r="G482" s="142"/>
      <c r="H482" s="18"/>
      <c r="I482" s="142"/>
      <c r="J482" s="15"/>
      <c r="Q482" s="15"/>
      <c r="R482" s="18"/>
      <c r="S482" s="142"/>
      <c r="T482" s="142"/>
      <c r="U482" s="142"/>
      <c r="V482" s="18"/>
      <c r="W482" s="18"/>
      <c r="X482" s="18"/>
      <c r="Y482" s="142"/>
      <c r="Z482" s="18"/>
      <c r="AA482" s="18"/>
      <c r="AB482" s="18"/>
      <c r="AC482" s="18"/>
      <c r="AD482" s="18"/>
      <c r="AE482" s="18"/>
      <c r="AF482" s="18"/>
      <c r="AG482" s="18"/>
      <c r="AH482" s="18"/>
      <c r="AI482" s="18"/>
      <c r="AJ482" s="142"/>
      <c r="AK482" s="142"/>
      <c r="AL482" s="18"/>
      <c r="AM482" s="18"/>
      <c r="AN482" s="18"/>
      <c r="AO482" s="142"/>
    </row>
    <row r="483">
      <c r="A483" s="142"/>
      <c r="B483" s="18"/>
      <c r="C483" s="142"/>
      <c r="D483" s="18"/>
      <c r="E483" s="18"/>
      <c r="F483" s="18"/>
      <c r="G483" s="142"/>
      <c r="H483" s="18"/>
      <c r="I483" s="142"/>
      <c r="J483" s="15"/>
      <c r="Q483" s="15"/>
      <c r="R483" s="18"/>
      <c r="S483" s="142"/>
      <c r="T483" s="142"/>
      <c r="U483" s="142"/>
      <c r="V483" s="18"/>
      <c r="W483" s="18"/>
      <c r="X483" s="18"/>
      <c r="Y483" s="142"/>
      <c r="Z483" s="18"/>
      <c r="AA483" s="18"/>
      <c r="AB483" s="18"/>
      <c r="AC483" s="18"/>
      <c r="AD483" s="18"/>
      <c r="AE483" s="18"/>
      <c r="AF483" s="18"/>
      <c r="AG483" s="18"/>
      <c r="AH483" s="18"/>
      <c r="AI483" s="18"/>
      <c r="AJ483" s="142"/>
      <c r="AK483" s="142"/>
      <c r="AL483" s="18"/>
      <c r="AM483" s="18"/>
      <c r="AN483" s="18"/>
      <c r="AO483" s="142"/>
    </row>
    <row r="484">
      <c r="A484" s="142"/>
      <c r="B484" s="18"/>
      <c r="C484" s="142"/>
      <c r="D484" s="18"/>
      <c r="E484" s="18"/>
      <c r="F484" s="18"/>
      <c r="G484" s="142"/>
      <c r="H484" s="18"/>
      <c r="I484" s="142"/>
      <c r="J484" s="15"/>
      <c r="Q484" s="15"/>
      <c r="R484" s="18"/>
      <c r="S484" s="142"/>
      <c r="T484" s="142"/>
      <c r="U484" s="142"/>
      <c r="V484" s="18"/>
      <c r="W484" s="18"/>
      <c r="X484" s="18"/>
      <c r="Y484" s="142"/>
      <c r="Z484" s="18"/>
      <c r="AA484" s="18"/>
      <c r="AB484" s="18"/>
      <c r="AC484" s="18"/>
      <c r="AD484" s="18"/>
      <c r="AE484" s="18"/>
      <c r="AF484" s="18"/>
      <c r="AG484" s="18"/>
      <c r="AH484" s="18"/>
      <c r="AI484" s="18"/>
      <c r="AJ484" s="142"/>
      <c r="AK484" s="142"/>
      <c r="AL484" s="18"/>
      <c r="AM484" s="18"/>
      <c r="AN484" s="18"/>
      <c r="AO484" s="142"/>
    </row>
    <row r="485">
      <c r="A485" s="142"/>
      <c r="B485" s="18"/>
      <c r="C485" s="142"/>
      <c r="D485" s="18"/>
      <c r="E485" s="18"/>
      <c r="F485" s="18"/>
      <c r="G485" s="142"/>
      <c r="H485" s="18"/>
      <c r="I485" s="142"/>
      <c r="J485" s="15"/>
      <c r="Q485" s="15"/>
      <c r="R485" s="18"/>
      <c r="S485" s="142"/>
      <c r="T485" s="142"/>
      <c r="U485" s="142"/>
      <c r="V485" s="18"/>
      <c r="W485" s="18"/>
      <c r="X485" s="18"/>
      <c r="Y485" s="142"/>
      <c r="Z485" s="18"/>
      <c r="AA485" s="18"/>
      <c r="AB485" s="18"/>
      <c r="AC485" s="18"/>
      <c r="AD485" s="18"/>
      <c r="AE485" s="18"/>
      <c r="AF485" s="18"/>
      <c r="AG485" s="18"/>
      <c r="AH485" s="18"/>
      <c r="AI485" s="18"/>
      <c r="AJ485" s="142"/>
      <c r="AK485" s="142"/>
      <c r="AL485" s="18"/>
      <c r="AM485" s="18"/>
      <c r="AN485" s="18"/>
      <c r="AO485" s="142"/>
    </row>
    <row r="486">
      <c r="A486" s="142"/>
      <c r="B486" s="18"/>
      <c r="C486" s="142"/>
      <c r="D486" s="18"/>
      <c r="E486" s="18"/>
      <c r="F486" s="18"/>
      <c r="G486" s="142"/>
      <c r="H486" s="18"/>
      <c r="I486" s="142"/>
      <c r="J486" s="15"/>
      <c r="Q486" s="15"/>
      <c r="R486" s="18"/>
      <c r="S486" s="142"/>
      <c r="T486" s="142"/>
      <c r="U486" s="142"/>
      <c r="V486" s="18"/>
      <c r="W486" s="18"/>
      <c r="X486" s="18"/>
      <c r="Y486" s="142"/>
      <c r="Z486" s="18"/>
      <c r="AA486" s="18"/>
      <c r="AB486" s="18"/>
      <c r="AC486" s="18"/>
      <c r="AD486" s="18"/>
      <c r="AE486" s="18"/>
      <c r="AF486" s="18"/>
      <c r="AG486" s="18"/>
      <c r="AH486" s="18"/>
      <c r="AI486" s="18"/>
      <c r="AJ486" s="142"/>
      <c r="AK486" s="142"/>
      <c r="AL486" s="18"/>
      <c r="AM486" s="18"/>
      <c r="AN486" s="18"/>
      <c r="AO486" s="142"/>
    </row>
    <row r="487">
      <c r="A487" s="142"/>
      <c r="B487" s="18"/>
      <c r="C487" s="142"/>
      <c r="D487" s="18"/>
      <c r="E487" s="18"/>
      <c r="F487" s="18"/>
      <c r="G487" s="142"/>
      <c r="H487" s="18"/>
      <c r="I487" s="142"/>
      <c r="J487" s="15"/>
      <c r="Q487" s="15"/>
      <c r="R487" s="18"/>
      <c r="S487" s="142"/>
      <c r="T487" s="142"/>
      <c r="U487" s="142"/>
      <c r="V487" s="18"/>
      <c r="W487" s="18"/>
      <c r="X487" s="18"/>
      <c r="Y487" s="142"/>
      <c r="Z487" s="18"/>
      <c r="AA487" s="18"/>
      <c r="AB487" s="18"/>
      <c r="AC487" s="18"/>
      <c r="AD487" s="18"/>
      <c r="AE487" s="18"/>
      <c r="AF487" s="18"/>
      <c r="AG487" s="18"/>
      <c r="AH487" s="18"/>
      <c r="AI487" s="18"/>
      <c r="AJ487" s="142"/>
      <c r="AK487" s="142"/>
      <c r="AL487" s="18"/>
      <c r="AM487" s="18"/>
      <c r="AN487" s="18"/>
      <c r="AO487" s="142"/>
    </row>
    <row r="488">
      <c r="A488" s="142"/>
      <c r="B488" s="18"/>
      <c r="C488" s="142"/>
      <c r="D488" s="18"/>
      <c r="E488" s="18"/>
      <c r="F488" s="18"/>
      <c r="G488" s="142"/>
      <c r="H488" s="18"/>
      <c r="I488" s="142"/>
      <c r="J488" s="15"/>
      <c r="Q488" s="15"/>
      <c r="R488" s="18"/>
      <c r="S488" s="142"/>
      <c r="T488" s="142"/>
      <c r="U488" s="142"/>
      <c r="V488" s="18"/>
      <c r="W488" s="18"/>
      <c r="X488" s="18"/>
      <c r="Y488" s="142"/>
      <c r="Z488" s="18"/>
      <c r="AA488" s="18"/>
      <c r="AB488" s="18"/>
      <c r="AC488" s="18"/>
      <c r="AD488" s="18"/>
      <c r="AE488" s="18"/>
      <c r="AF488" s="18"/>
      <c r="AG488" s="18"/>
      <c r="AH488" s="18"/>
      <c r="AI488" s="18"/>
      <c r="AJ488" s="142"/>
      <c r="AK488" s="142"/>
      <c r="AL488" s="18"/>
      <c r="AM488" s="18"/>
      <c r="AN488" s="18"/>
      <c r="AO488" s="142"/>
    </row>
    <row r="489">
      <c r="A489" s="142"/>
      <c r="B489" s="18"/>
      <c r="C489" s="142"/>
      <c r="D489" s="18"/>
      <c r="E489" s="18"/>
      <c r="F489" s="18"/>
      <c r="G489" s="142"/>
      <c r="H489" s="18"/>
      <c r="I489" s="142"/>
      <c r="J489" s="15"/>
      <c r="Q489" s="15"/>
      <c r="R489" s="18"/>
      <c r="S489" s="142"/>
      <c r="T489" s="142"/>
      <c r="U489" s="142"/>
      <c r="V489" s="18"/>
      <c r="W489" s="18"/>
      <c r="X489" s="18"/>
      <c r="Y489" s="142"/>
      <c r="Z489" s="18"/>
      <c r="AA489" s="18"/>
      <c r="AB489" s="18"/>
      <c r="AC489" s="18"/>
      <c r="AD489" s="18"/>
      <c r="AE489" s="18"/>
      <c r="AF489" s="18"/>
      <c r="AG489" s="18"/>
      <c r="AH489" s="18"/>
      <c r="AI489" s="18"/>
      <c r="AJ489" s="142"/>
      <c r="AK489" s="142"/>
      <c r="AL489" s="18"/>
      <c r="AM489" s="18"/>
      <c r="AN489" s="18"/>
      <c r="AO489" s="142"/>
    </row>
    <row r="490">
      <c r="A490" s="142"/>
      <c r="B490" s="18"/>
      <c r="C490" s="142"/>
      <c r="D490" s="18"/>
      <c r="E490" s="18"/>
      <c r="F490" s="18"/>
      <c r="G490" s="142"/>
      <c r="H490" s="18"/>
      <c r="I490" s="142"/>
      <c r="J490" s="15"/>
      <c r="Q490" s="15"/>
      <c r="R490" s="18"/>
      <c r="S490" s="142"/>
      <c r="T490" s="142"/>
      <c r="U490" s="142"/>
      <c r="V490" s="18"/>
      <c r="W490" s="18"/>
      <c r="X490" s="18"/>
      <c r="Y490" s="142"/>
      <c r="Z490" s="18"/>
      <c r="AA490" s="18"/>
      <c r="AB490" s="18"/>
      <c r="AC490" s="18"/>
      <c r="AD490" s="18"/>
      <c r="AE490" s="18"/>
      <c r="AF490" s="18"/>
      <c r="AG490" s="18"/>
      <c r="AH490" s="18"/>
      <c r="AI490" s="18"/>
      <c r="AJ490" s="142"/>
      <c r="AK490" s="142"/>
      <c r="AL490" s="18"/>
      <c r="AM490" s="18"/>
      <c r="AN490" s="18"/>
      <c r="AO490" s="142"/>
    </row>
    <row r="491">
      <c r="A491" s="142"/>
      <c r="B491" s="18"/>
      <c r="C491" s="142"/>
      <c r="D491" s="18"/>
      <c r="E491" s="18"/>
      <c r="F491" s="18"/>
      <c r="G491" s="142"/>
      <c r="H491" s="18"/>
      <c r="I491" s="142"/>
      <c r="J491" s="15"/>
      <c r="Q491" s="15"/>
      <c r="R491" s="18"/>
      <c r="S491" s="142"/>
      <c r="T491" s="142"/>
      <c r="U491" s="142"/>
      <c r="V491" s="18"/>
      <c r="W491" s="18"/>
      <c r="X491" s="18"/>
      <c r="Y491" s="142"/>
      <c r="Z491" s="18"/>
      <c r="AA491" s="18"/>
      <c r="AB491" s="18"/>
      <c r="AC491" s="18"/>
      <c r="AD491" s="18"/>
      <c r="AE491" s="18"/>
      <c r="AF491" s="18"/>
      <c r="AG491" s="18"/>
      <c r="AH491" s="18"/>
      <c r="AI491" s="18"/>
      <c r="AJ491" s="142"/>
      <c r="AK491" s="142"/>
      <c r="AL491" s="18"/>
      <c r="AM491" s="18"/>
      <c r="AN491" s="18"/>
      <c r="AO491" s="142"/>
    </row>
    <row r="492">
      <c r="A492" s="142"/>
      <c r="B492" s="18"/>
      <c r="C492" s="142"/>
      <c r="D492" s="18"/>
      <c r="E492" s="18"/>
      <c r="F492" s="18"/>
      <c r="G492" s="142"/>
      <c r="H492" s="18"/>
      <c r="I492" s="142"/>
      <c r="J492" s="15"/>
      <c r="Q492" s="15"/>
      <c r="R492" s="18"/>
      <c r="S492" s="142"/>
      <c r="T492" s="142"/>
      <c r="U492" s="142"/>
      <c r="V492" s="18"/>
      <c r="W492" s="18"/>
      <c r="X492" s="18"/>
      <c r="Y492" s="142"/>
      <c r="Z492" s="18"/>
      <c r="AA492" s="18"/>
      <c r="AB492" s="18"/>
      <c r="AC492" s="18"/>
      <c r="AD492" s="18"/>
      <c r="AE492" s="18"/>
      <c r="AF492" s="18"/>
      <c r="AG492" s="18"/>
      <c r="AH492" s="18"/>
      <c r="AI492" s="18"/>
      <c r="AJ492" s="142"/>
      <c r="AK492" s="142"/>
      <c r="AL492" s="18"/>
      <c r="AM492" s="18"/>
      <c r="AN492" s="18"/>
      <c r="AO492" s="142"/>
    </row>
    <row r="493">
      <c r="A493" s="142"/>
      <c r="B493" s="18"/>
      <c r="C493" s="142"/>
      <c r="D493" s="18"/>
      <c r="E493" s="18"/>
      <c r="F493" s="18"/>
      <c r="G493" s="142"/>
      <c r="H493" s="18"/>
      <c r="I493" s="142"/>
      <c r="J493" s="15"/>
      <c r="Q493" s="15"/>
      <c r="R493" s="18"/>
      <c r="S493" s="142"/>
      <c r="T493" s="142"/>
      <c r="U493" s="142"/>
      <c r="V493" s="18"/>
      <c r="W493" s="18"/>
      <c r="X493" s="18"/>
      <c r="Y493" s="142"/>
      <c r="Z493" s="18"/>
      <c r="AA493" s="18"/>
      <c r="AB493" s="18"/>
      <c r="AC493" s="18"/>
      <c r="AD493" s="18"/>
      <c r="AE493" s="18"/>
      <c r="AF493" s="18"/>
      <c r="AG493" s="18"/>
      <c r="AH493" s="18"/>
      <c r="AI493" s="18"/>
      <c r="AJ493" s="142"/>
      <c r="AK493" s="142"/>
      <c r="AL493" s="18"/>
      <c r="AM493" s="18"/>
      <c r="AN493" s="18"/>
      <c r="AO493" s="142"/>
    </row>
    <row r="494">
      <c r="A494" s="142"/>
      <c r="B494" s="18"/>
      <c r="C494" s="142"/>
      <c r="D494" s="18"/>
      <c r="E494" s="18"/>
      <c r="F494" s="18"/>
      <c r="G494" s="142"/>
      <c r="H494" s="18"/>
      <c r="I494" s="142"/>
      <c r="J494" s="15"/>
      <c r="Q494" s="15"/>
      <c r="R494" s="18"/>
      <c r="S494" s="142"/>
      <c r="T494" s="142"/>
      <c r="U494" s="142"/>
      <c r="V494" s="18"/>
      <c r="W494" s="18"/>
      <c r="X494" s="18"/>
      <c r="Y494" s="142"/>
      <c r="Z494" s="18"/>
      <c r="AA494" s="18"/>
      <c r="AB494" s="18"/>
      <c r="AC494" s="18"/>
      <c r="AD494" s="18"/>
      <c r="AE494" s="18"/>
      <c r="AF494" s="18"/>
      <c r="AG494" s="18"/>
      <c r="AH494" s="18"/>
      <c r="AI494" s="18"/>
      <c r="AJ494" s="142"/>
      <c r="AK494" s="142"/>
      <c r="AL494" s="18"/>
      <c r="AM494" s="18"/>
      <c r="AN494" s="18"/>
      <c r="AO494" s="142"/>
    </row>
    <row r="495">
      <c r="A495" s="142"/>
      <c r="B495" s="18"/>
      <c r="C495" s="142"/>
      <c r="D495" s="18"/>
      <c r="E495" s="18"/>
      <c r="F495" s="18"/>
      <c r="G495" s="142"/>
      <c r="H495" s="18"/>
      <c r="I495" s="142"/>
      <c r="J495" s="15"/>
      <c r="Q495" s="15"/>
      <c r="R495" s="18"/>
      <c r="S495" s="142"/>
      <c r="T495" s="142"/>
      <c r="U495" s="142"/>
      <c r="V495" s="18"/>
      <c r="W495" s="18"/>
      <c r="X495" s="18"/>
      <c r="Y495" s="142"/>
      <c r="Z495" s="18"/>
      <c r="AA495" s="18"/>
      <c r="AB495" s="18"/>
      <c r="AC495" s="18"/>
      <c r="AD495" s="18"/>
      <c r="AE495" s="18"/>
      <c r="AF495" s="18"/>
      <c r="AG495" s="18"/>
      <c r="AH495" s="18"/>
      <c r="AI495" s="18"/>
      <c r="AJ495" s="142"/>
      <c r="AK495" s="142"/>
      <c r="AL495" s="18"/>
      <c r="AM495" s="18"/>
      <c r="AN495" s="18"/>
      <c r="AO495" s="142"/>
    </row>
    <row r="496">
      <c r="A496" s="142"/>
      <c r="B496" s="18"/>
      <c r="C496" s="142"/>
      <c r="D496" s="18"/>
      <c r="E496" s="18"/>
      <c r="F496" s="18"/>
      <c r="G496" s="142"/>
      <c r="H496" s="18"/>
      <c r="I496" s="142"/>
      <c r="J496" s="15"/>
      <c r="Q496" s="15"/>
      <c r="R496" s="18"/>
      <c r="S496" s="142"/>
      <c r="T496" s="142"/>
      <c r="U496" s="142"/>
      <c r="V496" s="18"/>
      <c r="W496" s="18"/>
      <c r="X496" s="18"/>
      <c r="Y496" s="142"/>
      <c r="Z496" s="18"/>
      <c r="AA496" s="18"/>
      <c r="AB496" s="18"/>
      <c r="AC496" s="18"/>
      <c r="AD496" s="18"/>
      <c r="AE496" s="18"/>
      <c r="AF496" s="18"/>
      <c r="AG496" s="18"/>
      <c r="AH496" s="18"/>
      <c r="AI496" s="18"/>
      <c r="AJ496" s="142"/>
      <c r="AK496" s="142"/>
      <c r="AL496" s="18"/>
      <c r="AM496" s="18"/>
      <c r="AN496" s="18"/>
      <c r="AO496" s="142"/>
    </row>
    <row r="497">
      <c r="A497" s="142"/>
      <c r="B497" s="18"/>
      <c r="C497" s="142"/>
      <c r="D497" s="18"/>
      <c r="E497" s="18"/>
      <c r="F497" s="18"/>
      <c r="G497" s="142"/>
      <c r="H497" s="18"/>
      <c r="I497" s="142"/>
      <c r="J497" s="15"/>
      <c r="Q497" s="15"/>
      <c r="R497" s="18"/>
      <c r="S497" s="142"/>
      <c r="T497" s="142"/>
      <c r="U497" s="142"/>
      <c r="V497" s="18"/>
      <c r="W497" s="18"/>
      <c r="X497" s="18"/>
      <c r="Y497" s="142"/>
      <c r="Z497" s="18"/>
      <c r="AA497" s="18"/>
      <c r="AB497" s="18"/>
      <c r="AC497" s="18"/>
      <c r="AD497" s="18"/>
      <c r="AE497" s="18"/>
      <c r="AF497" s="18"/>
      <c r="AG497" s="18"/>
      <c r="AH497" s="18"/>
      <c r="AI497" s="18"/>
      <c r="AJ497" s="142"/>
      <c r="AK497" s="142"/>
      <c r="AL497" s="18"/>
      <c r="AM497" s="18"/>
      <c r="AN497" s="18"/>
      <c r="AO497" s="142"/>
    </row>
    <row r="498">
      <c r="A498" s="142"/>
      <c r="B498" s="18"/>
      <c r="C498" s="142"/>
      <c r="D498" s="18"/>
      <c r="E498" s="18"/>
      <c r="F498" s="18"/>
      <c r="G498" s="142"/>
      <c r="H498" s="18"/>
      <c r="I498" s="142"/>
      <c r="J498" s="15"/>
      <c r="Q498" s="15"/>
      <c r="R498" s="18"/>
      <c r="S498" s="142"/>
      <c r="T498" s="142"/>
      <c r="U498" s="142"/>
      <c r="V498" s="18"/>
      <c r="W498" s="18"/>
      <c r="X498" s="18"/>
      <c r="Y498" s="142"/>
      <c r="Z498" s="18"/>
      <c r="AA498" s="18"/>
      <c r="AB498" s="18"/>
      <c r="AC498" s="18"/>
      <c r="AD498" s="18"/>
      <c r="AE498" s="18"/>
      <c r="AF498" s="18"/>
      <c r="AG498" s="18"/>
      <c r="AH498" s="18"/>
      <c r="AI498" s="18"/>
      <c r="AJ498" s="142"/>
      <c r="AK498" s="142"/>
      <c r="AL498" s="18"/>
      <c r="AM498" s="18"/>
      <c r="AN498" s="18"/>
      <c r="AO498" s="142"/>
    </row>
    <row r="499">
      <c r="A499" s="142"/>
      <c r="B499" s="18"/>
      <c r="C499" s="142"/>
      <c r="D499" s="18"/>
      <c r="E499" s="18"/>
      <c r="F499" s="18"/>
      <c r="G499" s="142"/>
      <c r="H499" s="18"/>
      <c r="I499" s="142"/>
      <c r="J499" s="15"/>
      <c r="Q499" s="15"/>
      <c r="R499" s="18"/>
      <c r="S499" s="142"/>
      <c r="T499" s="142"/>
      <c r="U499" s="142"/>
      <c r="V499" s="18"/>
      <c r="W499" s="18"/>
      <c r="X499" s="18"/>
      <c r="Y499" s="142"/>
      <c r="Z499" s="18"/>
      <c r="AA499" s="18"/>
      <c r="AB499" s="18"/>
      <c r="AC499" s="18"/>
      <c r="AD499" s="18"/>
      <c r="AE499" s="18"/>
      <c r="AF499" s="18"/>
      <c r="AG499" s="18"/>
      <c r="AH499" s="18"/>
      <c r="AI499" s="18"/>
      <c r="AJ499" s="142"/>
      <c r="AK499" s="142"/>
      <c r="AL499" s="18"/>
      <c r="AM499" s="18"/>
      <c r="AN499" s="18"/>
      <c r="AO499" s="142"/>
    </row>
    <row r="500">
      <c r="A500" s="142"/>
      <c r="B500" s="18"/>
      <c r="C500" s="142"/>
      <c r="D500" s="18"/>
      <c r="E500" s="18"/>
      <c r="F500" s="18"/>
      <c r="G500" s="142"/>
      <c r="H500" s="18"/>
      <c r="I500" s="142"/>
      <c r="J500" s="15"/>
      <c r="Q500" s="15"/>
      <c r="R500" s="18"/>
      <c r="S500" s="142"/>
      <c r="T500" s="142"/>
      <c r="U500" s="142"/>
      <c r="V500" s="18"/>
      <c r="W500" s="18"/>
      <c r="X500" s="18"/>
      <c r="Y500" s="142"/>
      <c r="Z500" s="18"/>
      <c r="AA500" s="18"/>
      <c r="AB500" s="18"/>
      <c r="AC500" s="18"/>
      <c r="AD500" s="18"/>
      <c r="AE500" s="18"/>
      <c r="AF500" s="18"/>
      <c r="AG500" s="18"/>
      <c r="AH500" s="18"/>
      <c r="AI500" s="18"/>
      <c r="AJ500" s="142"/>
      <c r="AK500" s="142"/>
      <c r="AL500" s="18"/>
      <c r="AM500" s="18"/>
      <c r="AN500" s="18"/>
      <c r="AO500" s="142"/>
    </row>
    <row r="501">
      <c r="A501" s="142"/>
      <c r="B501" s="18"/>
      <c r="C501" s="142"/>
      <c r="D501" s="18"/>
      <c r="E501" s="18"/>
      <c r="F501" s="18"/>
      <c r="G501" s="142"/>
      <c r="H501" s="18"/>
      <c r="I501" s="142"/>
      <c r="J501" s="15"/>
      <c r="Q501" s="15"/>
      <c r="R501" s="18"/>
      <c r="S501" s="142"/>
      <c r="T501" s="142"/>
      <c r="U501" s="142"/>
      <c r="V501" s="18"/>
      <c r="W501" s="18"/>
      <c r="X501" s="18"/>
      <c r="Y501" s="142"/>
      <c r="Z501" s="18"/>
      <c r="AA501" s="18"/>
      <c r="AB501" s="18"/>
      <c r="AC501" s="18"/>
      <c r="AD501" s="18"/>
      <c r="AE501" s="18"/>
      <c r="AF501" s="18"/>
      <c r="AG501" s="18"/>
      <c r="AH501" s="18"/>
      <c r="AI501" s="18"/>
      <c r="AJ501" s="142"/>
      <c r="AK501" s="142"/>
      <c r="AL501" s="18"/>
      <c r="AM501" s="18"/>
      <c r="AN501" s="18"/>
      <c r="AO501" s="142"/>
    </row>
    <row r="502">
      <c r="A502" s="142"/>
      <c r="B502" s="18"/>
      <c r="C502" s="142"/>
      <c r="D502" s="18"/>
      <c r="E502" s="18"/>
      <c r="F502" s="18"/>
      <c r="G502" s="142"/>
      <c r="H502" s="18"/>
      <c r="I502" s="142"/>
      <c r="J502" s="15"/>
      <c r="Q502" s="15"/>
      <c r="R502" s="18"/>
      <c r="S502" s="142"/>
      <c r="T502" s="142"/>
      <c r="U502" s="142"/>
      <c r="V502" s="18"/>
      <c r="W502" s="18"/>
      <c r="X502" s="18"/>
      <c r="Y502" s="142"/>
      <c r="Z502" s="18"/>
      <c r="AA502" s="18"/>
      <c r="AB502" s="18"/>
      <c r="AC502" s="18"/>
      <c r="AD502" s="18"/>
      <c r="AE502" s="18"/>
      <c r="AF502" s="18"/>
      <c r="AG502" s="18"/>
      <c r="AH502" s="18"/>
      <c r="AI502" s="18"/>
      <c r="AJ502" s="142"/>
      <c r="AK502" s="142"/>
      <c r="AL502" s="18"/>
      <c r="AM502" s="18"/>
      <c r="AN502" s="18"/>
      <c r="AO502" s="142"/>
    </row>
    <row r="503">
      <c r="A503" s="142"/>
      <c r="B503" s="18"/>
      <c r="C503" s="142"/>
      <c r="D503" s="18"/>
      <c r="E503" s="18"/>
      <c r="F503" s="18"/>
      <c r="G503" s="142"/>
      <c r="H503" s="18"/>
      <c r="I503" s="142"/>
      <c r="J503" s="15"/>
      <c r="Q503" s="15"/>
      <c r="R503" s="18"/>
      <c r="S503" s="142"/>
      <c r="T503" s="142"/>
      <c r="U503" s="142"/>
      <c r="V503" s="18"/>
      <c r="W503" s="18"/>
      <c r="X503" s="18"/>
      <c r="Y503" s="142"/>
      <c r="Z503" s="18"/>
      <c r="AA503" s="18"/>
      <c r="AB503" s="18"/>
      <c r="AC503" s="18"/>
      <c r="AD503" s="18"/>
      <c r="AE503" s="18"/>
      <c r="AF503" s="18"/>
      <c r="AG503" s="18"/>
      <c r="AH503" s="18"/>
      <c r="AI503" s="18"/>
      <c r="AJ503" s="142"/>
      <c r="AK503" s="142"/>
      <c r="AL503" s="18"/>
      <c r="AM503" s="18"/>
      <c r="AN503" s="18"/>
      <c r="AO503" s="142"/>
    </row>
    <row r="504">
      <c r="A504" s="142"/>
      <c r="B504" s="18"/>
      <c r="C504" s="142"/>
      <c r="D504" s="18"/>
      <c r="E504" s="18"/>
      <c r="F504" s="18"/>
      <c r="G504" s="142"/>
      <c r="H504" s="18"/>
      <c r="I504" s="142"/>
      <c r="J504" s="15"/>
      <c r="Q504" s="15"/>
      <c r="R504" s="18"/>
      <c r="S504" s="142"/>
      <c r="T504" s="142"/>
      <c r="U504" s="142"/>
      <c r="V504" s="18"/>
      <c r="W504" s="18"/>
      <c r="X504" s="18"/>
      <c r="Y504" s="142"/>
      <c r="Z504" s="18"/>
      <c r="AA504" s="18"/>
      <c r="AB504" s="18"/>
      <c r="AC504" s="18"/>
      <c r="AD504" s="18"/>
      <c r="AE504" s="18"/>
      <c r="AF504" s="18"/>
      <c r="AG504" s="18"/>
      <c r="AH504" s="18"/>
      <c r="AI504" s="18"/>
      <c r="AJ504" s="142"/>
      <c r="AK504" s="142"/>
      <c r="AL504" s="18"/>
      <c r="AM504" s="18"/>
      <c r="AN504" s="18"/>
      <c r="AO504" s="142"/>
    </row>
    <row r="505">
      <c r="A505" s="142"/>
      <c r="B505" s="18"/>
      <c r="C505" s="142"/>
      <c r="D505" s="18"/>
      <c r="E505" s="18"/>
      <c r="F505" s="18"/>
      <c r="G505" s="142"/>
      <c r="H505" s="18"/>
      <c r="I505" s="142"/>
      <c r="J505" s="15"/>
      <c r="Q505" s="15"/>
      <c r="R505" s="18"/>
      <c r="S505" s="142"/>
      <c r="T505" s="142"/>
      <c r="U505" s="142"/>
      <c r="V505" s="18"/>
      <c r="W505" s="18"/>
      <c r="X505" s="18"/>
      <c r="Y505" s="142"/>
      <c r="Z505" s="18"/>
      <c r="AA505" s="18"/>
      <c r="AB505" s="18"/>
      <c r="AC505" s="18"/>
      <c r="AD505" s="18"/>
      <c r="AE505" s="18"/>
      <c r="AF505" s="18"/>
      <c r="AG505" s="18"/>
      <c r="AH505" s="18"/>
      <c r="AI505" s="18"/>
      <c r="AJ505" s="142"/>
      <c r="AK505" s="142"/>
      <c r="AL505" s="18"/>
      <c r="AM505" s="18"/>
      <c r="AN505" s="18"/>
      <c r="AO505" s="142"/>
    </row>
    <row r="506">
      <c r="A506" s="142"/>
      <c r="B506" s="18"/>
      <c r="C506" s="142"/>
      <c r="D506" s="18"/>
      <c r="E506" s="18"/>
      <c r="F506" s="18"/>
      <c r="G506" s="142"/>
      <c r="H506" s="18"/>
      <c r="I506" s="142"/>
      <c r="J506" s="15"/>
      <c r="Q506" s="15"/>
      <c r="R506" s="18"/>
      <c r="S506" s="142"/>
      <c r="T506" s="142"/>
      <c r="U506" s="142"/>
      <c r="V506" s="18"/>
      <c r="W506" s="18"/>
      <c r="X506" s="18"/>
      <c r="Y506" s="142"/>
      <c r="Z506" s="18"/>
      <c r="AA506" s="18"/>
      <c r="AB506" s="18"/>
      <c r="AC506" s="18"/>
      <c r="AD506" s="18"/>
      <c r="AE506" s="18"/>
      <c r="AF506" s="18"/>
      <c r="AG506" s="18"/>
      <c r="AH506" s="18"/>
      <c r="AI506" s="18"/>
      <c r="AJ506" s="142"/>
      <c r="AK506" s="142"/>
      <c r="AL506" s="18"/>
      <c r="AM506" s="18"/>
      <c r="AN506" s="18"/>
      <c r="AO506" s="142"/>
    </row>
    <row r="507">
      <c r="A507" s="142"/>
      <c r="B507" s="18"/>
      <c r="C507" s="142"/>
      <c r="D507" s="18"/>
      <c r="E507" s="18"/>
      <c r="F507" s="18"/>
      <c r="G507" s="142"/>
      <c r="H507" s="18"/>
      <c r="I507" s="142"/>
      <c r="J507" s="15"/>
      <c r="Q507" s="15"/>
      <c r="R507" s="18"/>
      <c r="S507" s="142"/>
      <c r="T507" s="142"/>
      <c r="U507" s="142"/>
      <c r="V507" s="18"/>
      <c r="W507" s="18"/>
      <c r="X507" s="18"/>
      <c r="Y507" s="142"/>
      <c r="Z507" s="18"/>
      <c r="AA507" s="18"/>
      <c r="AB507" s="18"/>
      <c r="AC507" s="18"/>
      <c r="AD507" s="18"/>
      <c r="AE507" s="18"/>
      <c r="AF507" s="18"/>
      <c r="AG507" s="18"/>
      <c r="AH507" s="18"/>
      <c r="AI507" s="18"/>
      <c r="AJ507" s="142"/>
      <c r="AK507" s="142"/>
      <c r="AL507" s="18"/>
      <c r="AM507" s="18"/>
      <c r="AN507" s="18"/>
      <c r="AO507" s="142"/>
    </row>
    <row r="508">
      <c r="A508" s="142"/>
      <c r="B508" s="18"/>
      <c r="C508" s="142"/>
      <c r="D508" s="18"/>
      <c r="E508" s="18"/>
      <c r="F508" s="18"/>
      <c r="G508" s="142"/>
      <c r="H508" s="18"/>
      <c r="I508" s="142"/>
      <c r="J508" s="15"/>
      <c r="Q508" s="15"/>
      <c r="R508" s="18"/>
      <c r="S508" s="142"/>
      <c r="T508" s="142"/>
      <c r="U508" s="142"/>
      <c r="V508" s="18"/>
      <c r="W508" s="18"/>
      <c r="X508" s="18"/>
      <c r="Y508" s="142"/>
      <c r="Z508" s="18"/>
      <c r="AA508" s="18"/>
      <c r="AB508" s="18"/>
      <c r="AC508" s="18"/>
      <c r="AD508" s="18"/>
      <c r="AE508" s="18"/>
      <c r="AF508" s="18"/>
      <c r="AG508" s="18"/>
      <c r="AH508" s="18"/>
      <c r="AI508" s="18"/>
      <c r="AJ508" s="142"/>
      <c r="AK508" s="142"/>
      <c r="AL508" s="18"/>
      <c r="AM508" s="18"/>
      <c r="AN508" s="18"/>
      <c r="AO508" s="142"/>
    </row>
    <row r="509">
      <c r="A509" s="142"/>
      <c r="B509" s="18"/>
      <c r="C509" s="142"/>
      <c r="D509" s="18"/>
      <c r="E509" s="18"/>
      <c r="F509" s="18"/>
      <c r="G509" s="142"/>
      <c r="H509" s="18"/>
      <c r="I509" s="142"/>
      <c r="J509" s="15"/>
      <c r="Q509" s="15"/>
      <c r="R509" s="18"/>
      <c r="S509" s="142"/>
      <c r="T509" s="142"/>
      <c r="U509" s="142"/>
      <c r="V509" s="18"/>
      <c r="W509" s="18"/>
      <c r="X509" s="18"/>
      <c r="Y509" s="142"/>
      <c r="Z509" s="18"/>
      <c r="AA509" s="18"/>
      <c r="AB509" s="18"/>
      <c r="AC509" s="18"/>
      <c r="AD509" s="18"/>
      <c r="AE509" s="18"/>
      <c r="AF509" s="18"/>
      <c r="AG509" s="18"/>
      <c r="AH509" s="18"/>
      <c r="AI509" s="18"/>
      <c r="AJ509" s="142"/>
      <c r="AK509" s="142"/>
      <c r="AL509" s="18"/>
      <c r="AM509" s="18"/>
      <c r="AN509" s="18"/>
      <c r="AO509" s="142"/>
    </row>
    <row r="510">
      <c r="A510" s="142"/>
      <c r="B510" s="18"/>
      <c r="C510" s="142"/>
      <c r="D510" s="18"/>
      <c r="E510" s="18"/>
      <c r="F510" s="18"/>
      <c r="G510" s="142"/>
      <c r="H510" s="18"/>
      <c r="I510" s="142"/>
      <c r="J510" s="15"/>
      <c r="Q510" s="15"/>
      <c r="R510" s="18"/>
      <c r="S510" s="142"/>
      <c r="T510" s="142"/>
      <c r="U510" s="142"/>
      <c r="V510" s="18"/>
      <c r="W510" s="18"/>
      <c r="X510" s="18"/>
      <c r="Y510" s="142"/>
      <c r="Z510" s="18"/>
      <c r="AA510" s="18"/>
      <c r="AB510" s="18"/>
      <c r="AC510" s="18"/>
      <c r="AD510" s="18"/>
      <c r="AE510" s="18"/>
      <c r="AF510" s="18"/>
      <c r="AG510" s="18"/>
      <c r="AH510" s="18"/>
      <c r="AI510" s="18"/>
      <c r="AJ510" s="142"/>
      <c r="AK510" s="142"/>
      <c r="AL510" s="18"/>
      <c r="AM510" s="18"/>
      <c r="AN510" s="18"/>
      <c r="AO510" s="142"/>
    </row>
    <row r="511">
      <c r="A511" s="142"/>
      <c r="B511" s="18"/>
      <c r="C511" s="142"/>
      <c r="D511" s="18"/>
      <c r="E511" s="18"/>
      <c r="F511" s="18"/>
      <c r="G511" s="142"/>
      <c r="H511" s="18"/>
      <c r="I511" s="142"/>
      <c r="J511" s="15"/>
      <c r="Q511" s="15"/>
      <c r="R511" s="18"/>
      <c r="S511" s="142"/>
      <c r="T511" s="142"/>
      <c r="U511" s="142"/>
      <c r="V511" s="18"/>
      <c r="W511" s="18"/>
      <c r="X511" s="18"/>
      <c r="Y511" s="142"/>
      <c r="Z511" s="18"/>
      <c r="AA511" s="18"/>
      <c r="AB511" s="18"/>
      <c r="AC511" s="18"/>
      <c r="AD511" s="18"/>
      <c r="AE511" s="18"/>
      <c r="AF511" s="18"/>
      <c r="AG511" s="18"/>
      <c r="AH511" s="18"/>
      <c r="AI511" s="18"/>
      <c r="AJ511" s="142"/>
      <c r="AK511" s="142"/>
      <c r="AL511" s="18"/>
      <c r="AM511" s="18"/>
      <c r="AN511" s="18"/>
      <c r="AO511" s="142"/>
    </row>
    <row r="512">
      <c r="A512" s="142"/>
      <c r="B512" s="18"/>
      <c r="C512" s="142"/>
      <c r="D512" s="18"/>
      <c r="E512" s="18"/>
      <c r="F512" s="18"/>
      <c r="G512" s="142"/>
      <c r="H512" s="18"/>
      <c r="I512" s="142"/>
      <c r="J512" s="15"/>
      <c r="Q512" s="15"/>
      <c r="R512" s="18"/>
      <c r="S512" s="142"/>
      <c r="T512" s="142"/>
      <c r="U512" s="142"/>
      <c r="V512" s="18"/>
      <c r="W512" s="18"/>
      <c r="X512" s="18"/>
      <c r="Y512" s="142"/>
      <c r="Z512" s="18"/>
      <c r="AA512" s="18"/>
      <c r="AB512" s="18"/>
      <c r="AC512" s="18"/>
      <c r="AD512" s="18"/>
      <c r="AE512" s="18"/>
      <c r="AF512" s="18"/>
      <c r="AG512" s="18"/>
      <c r="AH512" s="18"/>
      <c r="AI512" s="18"/>
      <c r="AJ512" s="142"/>
      <c r="AK512" s="142"/>
      <c r="AL512" s="18"/>
      <c r="AM512" s="18"/>
      <c r="AN512" s="18"/>
      <c r="AO512" s="142"/>
    </row>
    <row r="513">
      <c r="A513" s="142"/>
      <c r="B513" s="18"/>
      <c r="C513" s="142"/>
      <c r="D513" s="18"/>
      <c r="E513" s="18"/>
      <c r="F513" s="18"/>
      <c r="G513" s="142"/>
      <c r="H513" s="18"/>
      <c r="I513" s="142"/>
      <c r="J513" s="15"/>
      <c r="Q513" s="15"/>
      <c r="R513" s="18"/>
      <c r="S513" s="142"/>
      <c r="T513" s="142"/>
      <c r="U513" s="142"/>
      <c r="V513" s="18"/>
      <c r="W513" s="18"/>
      <c r="X513" s="18"/>
      <c r="Y513" s="142"/>
      <c r="Z513" s="18"/>
      <c r="AA513" s="18"/>
      <c r="AB513" s="18"/>
      <c r="AC513" s="18"/>
      <c r="AD513" s="18"/>
      <c r="AE513" s="18"/>
      <c r="AF513" s="18"/>
      <c r="AG513" s="18"/>
      <c r="AH513" s="18"/>
      <c r="AI513" s="18"/>
      <c r="AJ513" s="142"/>
      <c r="AK513" s="142"/>
      <c r="AL513" s="18"/>
      <c r="AM513" s="18"/>
      <c r="AN513" s="18"/>
      <c r="AO513" s="142"/>
    </row>
    <row r="514">
      <c r="A514" s="142"/>
      <c r="B514" s="18"/>
      <c r="C514" s="142"/>
      <c r="D514" s="18"/>
      <c r="E514" s="18"/>
      <c r="F514" s="18"/>
      <c r="G514" s="142"/>
      <c r="H514" s="18"/>
      <c r="I514" s="142"/>
      <c r="J514" s="15"/>
      <c r="Q514" s="15"/>
      <c r="R514" s="18"/>
      <c r="S514" s="142"/>
      <c r="T514" s="142"/>
      <c r="U514" s="142"/>
      <c r="V514" s="18"/>
      <c r="W514" s="18"/>
      <c r="X514" s="18"/>
      <c r="Y514" s="142"/>
      <c r="Z514" s="18"/>
      <c r="AA514" s="18"/>
      <c r="AB514" s="18"/>
      <c r="AC514" s="18"/>
      <c r="AD514" s="18"/>
      <c r="AE514" s="18"/>
      <c r="AF514" s="18"/>
      <c r="AG514" s="18"/>
      <c r="AH514" s="18"/>
      <c r="AI514" s="18"/>
      <c r="AJ514" s="142"/>
      <c r="AK514" s="142"/>
      <c r="AL514" s="18"/>
      <c r="AM514" s="18"/>
      <c r="AN514" s="18"/>
      <c r="AO514" s="142"/>
    </row>
    <row r="515">
      <c r="A515" s="142"/>
      <c r="B515" s="18"/>
      <c r="C515" s="142"/>
      <c r="D515" s="18"/>
      <c r="E515" s="18"/>
      <c r="F515" s="18"/>
      <c r="G515" s="142"/>
      <c r="H515" s="18"/>
      <c r="I515" s="142"/>
      <c r="J515" s="15"/>
      <c r="Q515" s="15"/>
      <c r="R515" s="18"/>
      <c r="S515" s="142"/>
      <c r="T515" s="142"/>
      <c r="U515" s="142"/>
      <c r="V515" s="18"/>
      <c r="W515" s="18"/>
      <c r="X515" s="18"/>
      <c r="Y515" s="142"/>
      <c r="Z515" s="18"/>
      <c r="AA515" s="18"/>
      <c r="AB515" s="18"/>
      <c r="AC515" s="18"/>
      <c r="AD515" s="18"/>
      <c r="AE515" s="18"/>
      <c r="AF515" s="18"/>
      <c r="AG515" s="18"/>
      <c r="AH515" s="18"/>
      <c r="AI515" s="18"/>
      <c r="AJ515" s="142"/>
      <c r="AK515" s="142"/>
      <c r="AL515" s="18"/>
      <c r="AM515" s="18"/>
      <c r="AN515" s="18"/>
      <c r="AO515" s="142"/>
    </row>
    <row r="516">
      <c r="A516" s="142"/>
      <c r="B516" s="18"/>
      <c r="C516" s="142"/>
      <c r="D516" s="18"/>
      <c r="E516" s="18"/>
      <c r="F516" s="18"/>
      <c r="G516" s="142"/>
      <c r="H516" s="18"/>
      <c r="I516" s="142"/>
      <c r="J516" s="15"/>
      <c r="Q516" s="15"/>
      <c r="R516" s="18"/>
      <c r="S516" s="142"/>
      <c r="T516" s="142"/>
      <c r="U516" s="142"/>
      <c r="V516" s="18"/>
      <c r="W516" s="18"/>
      <c r="X516" s="18"/>
      <c r="Y516" s="142"/>
      <c r="Z516" s="18"/>
      <c r="AA516" s="18"/>
      <c r="AB516" s="18"/>
      <c r="AC516" s="18"/>
      <c r="AD516" s="18"/>
      <c r="AE516" s="18"/>
      <c r="AF516" s="18"/>
      <c r="AG516" s="18"/>
      <c r="AH516" s="18"/>
      <c r="AI516" s="18"/>
      <c r="AJ516" s="142"/>
      <c r="AK516" s="142"/>
      <c r="AL516" s="18"/>
      <c r="AM516" s="18"/>
      <c r="AN516" s="18"/>
      <c r="AO516" s="142"/>
    </row>
    <row r="517">
      <c r="A517" s="142"/>
      <c r="B517" s="18"/>
      <c r="C517" s="142"/>
      <c r="D517" s="18"/>
      <c r="E517" s="18"/>
      <c r="F517" s="18"/>
      <c r="G517" s="142"/>
      <c r="H517" s="18"/>
      <c r="I517" s="142"/>
      <c r="J517" s="15"/>
      <c r="Q517" s="15"/>
      <c r="R517" s="18"/>
      <c r="S517" s="142"/>
      <c r="T517" s="142"/>
      <c r="U517" s="142"/>
      <c r="V517" s="18"/>
      <c r="W517" s="18"/>
      <c r="X517" s="18"/>
      <c r="Y517" s="142"/>
      <c r="Z517" s="18"/>
      <c r="AA517" s="18"/>
      <c r="AB517" s="18"/>
      <c r="AC517" s="18"/>
      <c r="AD517" s="18"/>
      <c r="AE517" s="18"/>
      <c r="AF517" s="18"/>
      <c r="AG517" s="18"/>
      <c r="AH517" s="18"/>
      <c r="AI517" s="18"/>
      <c r="AJ517" s="142"/>
      <c r="AK517" s="142"/>
      <c r="AL517" s="18"/>
      <c r="AM517" s="18"/>
      <c r="AN517" s="18"/>
      <c r="AO517" s="142"/>
    </row>
    <row r="518">
      <c r="A518" s="142"/>
      <c r="B518" s="18"/>
      <c r="C518" s="142"/>
      <c r="D518" s="18"/>
      <c r="E518" s="18"/>
      <c r="F518" s="18"/>
      <c r="G518" s="142"/>
      <c r="H518" s="18"/>
      <c r="I518" s="142"/>
      <c r="J518" s="15"/>
      <c r="Q518" s="15"/>
      <c r="R518" s="18"/>
      <c r="S518" s="142"/>
      <c r="T518" s="142"/>
      <c r="U518" s="142"/>
      <c r="V518" s="18"/>
      <c r="W518" s="18"/>
      <c r="X518" s="18"/>
      <c r="Y518" s="142"/>
      <c r="Z518" s="18"/>
      <c r="AA518" s="18"/>
      <c r="AB518" s="18"/>
      <c r="AC518" s="18"/>
      <c r="AD518" s="18"/>
      <c r="AE518" s="18"/>
      <c r="AF518" s="18"/>
      <c r="AG518" s="18"/>
      <c r="AH518" s="18"/>
      <c r="AI518" s="18"/>
      <c r="AJ518" s="142"/>
      <c r="AK518" s="142"/>
      <c r="AL518" s="18"/>
      <c r="AM518" s="18"/>
      <c r="AN518" s="18"/>
      <c r="AO518" s="142"/>
    </row>
    <row r="519">
      <c r="A519" s="142"/>
      <c r="B519" s="18"/>
      <c r="C519" s="142"/>
      <c r="D519" s="18"/>
      <c r="E519" s="18"/>
      <c r="F519" s="18"/>
      <c r="G519" s="142"/>
      <c r="H519" s="18"/>
      <c r="I519" s="142"/>
      <c r="J519" s="15"/>
      <c r="Q519" s="15"/>
      <c r="R519" s="18"/>
      <c r="S519" s="142"/>
      <c r="T519" s="142"/>
      <c r="U519" s="142"/>
      <c r="V519" s="18"/>
      <c r="W519" s="18"/>
      <c r="X519" s="18"/>
      <c r="Y519" s="142"/>
      <c r="Z519" s="18"/>
      <c r="AA519" s="18"/>
      <c r="AB519" s="18"/>
      <c r="AC519" s="18"/>
      <c r="AD519" s="18"/>
      <c r="AE519" s="18"/>
      <c r="AF519" s="18"/>
      <c r="AG519" s="18"/>
      <c r="AH519" s="18"/>
      <c r="AI519" s="18"/>
      <c r="AJ519" s="142"/>
      <c r="AK519" s="142"/>
      <c r="AL519" s="18"/>
      <c r="AM519" s="18"/>
      <c r="AN519" s="18"/>
      <c r="AO519" s="142"/>
    </row>
    <row r="520">
      <c r="A520" s="142"/>
      <c r="B520" s="18"/>
      <c r="C520" s="142"/>
      <c r="D520" s="18"/>
      <c r="E520" s="18"/>
      <c r="F520" s="18"/>
      <c r="G520" s="142"/>
      <c r="H520" s="18"/>
      <c r="I520" s="142"/>
      <c r="J520" s="15"/>
      <c r="Q520" s="15"/>
      <c r="R520" s="18"/>
      <c r="S520" s="142"/>
      <c r="T520" s="142"/>
      <c r="U520" s="142"/>
      <c r="V520" s="18"/>
      <c r="W520" s="18"/>
      <c r="X520" s="18"/>
      <c r="Y520" s="142"/>
      <c r="Z520" s="18"/>
      <c r="AA520" s="18"/>
      <c r="AB520" s="18"/>
      <c r="AC520" s="18"/>
      <c r="AD520" s="18"/>
      <c r="AE520" s="18"/>
      <c r="AF520" s="18"/>
      <c r="AG520" s="18"/>
      <c r="AH520" s="18"/>
      <c r="AI520" s="18"/>
      <c r="AJ520" s="142"/>
      <c r="AK520" s="142"/>
      <c r="AL520" s="18"/>
      <c r="AM520" s="18"/>
      <c r="AN520" s="18"/>
      <c r="AO520" s="142"/>
    </row>
    <row r="521">
      <c r="A521" s="142"/>
      <c r="B521" s="18"/>
      <c r="C521" s="142"/>
      <c r="D521" s="18"/>
      <c r="E521" s="18"/>
      <c r="F521" s="18"/>
      <c r="G521" s="142"/>
      <c r="H521" s="18"/>
      <c r="I521" s="142"/>
      <c r="J521" s="15"/>
      <c r="Q521" s="15"/>
      <c r="R521" s="18"/>
      <c r="S521" s="142"/>
      <c r="T521" s="142"/>
      <c r="U521" s="142"/>
      <c r="V521" s="18"/>
      <c r="W521" s="18"/>
      <c r="X521" s="18"/>
      <c r="Y521" s="142"/>
      <c r="Z521" s="18"/>
      <c r="AA521" s="18"/>
      <c r="AB521" s="18"/>
      <c r="AC521" s="18"/>
      <c r="AD521" s="18"/>
      <c r="AE521" s="18"/>
      <c r="AF521" s="18"/>
      <c r="AG521" s="18"/>
      <c r="AH521" s="18"/>
      <c r="AI521" s="18"/>
      <c r="AJ521" s="142"/>
      <c r="AK521" s="142"/>
      <c r="AL521" s="18"/>
      <c r="AM521" s="18"/>
      <c r="AN521" s="18"/>
      <c r="AO521" s="142"/>
    </row>
    <row r="522">
      <c r="A522" s="142"/>
      <c r="B522" s="18"/>
      <c r="C522" s="142"/>
      <c r="D522" s="18"/>
      <c r="E522" s="18"/>
      <c r="F522" s="18"/>
      <c r="G522" s="142"/>
      <c r="H522" s="18"/>
      <c r="I522" s="142"/>
      <c r="J522" s="15"/>
      <c r="Q522" s="15"/>
      <c r="R522" s="18"/>
      <c r="S522" s="142"/>
      <c r="T522" s="142"/>
      <c r="U522" s="142"/>
      <c r="V522" s="18"/>
      <c r="W522" s="18"/>
      <c r="X522" s="18"/>
      <c r="Y522" s="142"/>
      <c r="Z522" s="18"/>
      <c r="AA522" s="18"/>
      <c r="AB522" s="18"/>
      <c r="AC522" s="18"/>
      <c r="AD522" s="18"/>
      <c r="AE522" s="18"/>
      <c r="AF522" s="18"/>
      <c r="AG522" s="18"/>
      <c r="AH522" s="18"/>
      <c r="AI522" s="18"/>
      <c r="AJ522" s="142"/>
      <c r="AK522" s="142"/>
      <c r="AL522" s="18"/>
      <c r="AM522" s="18"/>
      <c r="AN522" s="18"/>
      <c r="AO522" s="142"/>
    </row>
    <row r="523">
      <c r="A523" s="142"/>
      <c r="B523" s="18"/>
      <c r="C523" s="142"/>
      <c r="D523" s="18"/>
      <c r="E523" s="18"/>
      <c r="F523" s="18"/>
      <c r="G523" s="142"/>
      <c r="H523" s="18"/>
      <c r="I523" s="142"/>
      <c r="J523" s="15"/>
      <c r="Q523" s="15"/>
      <c r="R523" s="18"/>
      <c r="S523" s="142"/>
      <c r="T523" s="142"/>
      <c r="U523" s="142"/>
      <c r="V523" s="18"/>
      <c r="W523" s="18"/>
      <c r="X523" s="18"/>
      <c r="Y523" s="142"/>
      <c r="Z523" s="18"/>
      <c r="AA523" s="18"/>
      <c r="AB523" s="18"/>
      <c r="AC523" s="18"/>
      <c r="AD523" s="18"/>
      <c r="AE523" s="18"/>
      <c r="AF523" s="18"/>
      <c r="AG523" s="18"/>
      <c r="AH523" s="18"/>
      <c r="AI523" s="18"/>
      <c r="AJ523" s="142"/>
      <c r="AK523" s="142"/>
      <c r="AL523" s="18"/>
      <c r="AM523" s="18"/>
      <c r="AN523" s="18"/>
      <c r="AO523" s="142"/>
    </row>
    <row r="524">
      <c r="A524" s="142"/>
      <c r="B524" s="18"/>
      <c r="C524" s="142"/>
      <c r="D524" s="18"/>
      <c r="E524" s="18"/>
      <c r="F524" s="18"/>
      <c r="G524" s="142"/>
      <c r="H524" s="18"/>
      <c r="I524" s="142"/>
      <c r="J524" s="15"/>
      <c r="Q524" s="15"/>
      <c r="R524" s="18"/>
      <c r="S524" s="142"/>
      <c r="T524" s="142"/>
      <c r="U524" s="142"/>
      <c r="V524" s="18"/>
      <c r="W524" s="18"/>
      <c r="X524" s="18"/>
      <c r="Y524" s="142"/>
      <c r="Z524" s="18"/>
      <c r="AA524" s="18"/>
      <c r="AB524" s="18"/>
      <c r="AC524" s="18"/>
      <c r="AD524" s="18"/>
      <c r="AE524" s="18"/>
      <c r="AF524" s="18"/>
      <c r="AG524" s="18"/>
      <c r="AH524" s="18"/>
      <c r="AI524" s="18"/>
      <c r="AJ524" s="142"/>
      <c r="AK524" s="142"/>
      <c r="AL524" s="18"/>
      <c r="AM524" s="18"/>
      <c r="AN524" s="18"/>
      <c r="AO524" s="142"/>
    </row>
    <row r="525">
      <c r="A525" s="142"/>
      <c r="B525" s="18"/>
      <c r="C525" s="142"/>
      <c r="D525" s="18"/>
      <c r="E525" s="18"/>
      <c r="F525" s="18"/>
      <c r="G525" s="142"/>
      <c r="H525" s="18"/>
      <c r="I525" s="142"/>
      <c r="J525" s="15"/>
      <c r="Q525" s="15"/>
      <c r="R525" s="18"/>
      <c r="S525" s="142"/>
      <c r="T525" s="142"/>
      <c r="U525" s="142"/>
      <c r="V525" s="18"/>
      <c r="W525" s="18"/>
      <c r="X525" s="18"/>
      <c r="Y525" s="142"/>
      <c r="Z525" s="18"/>
      <c r="AA525" s="18"/>
      <c r="AB525" s="18"/>
      <c r="AC525" s="18"/>
      <c r="AD525" s="18"/>
      <c r="AE525" s="18"/>
      <c r="AF525" s="18"/>
      <c r="AG525" s="18"/>
      <c r="AH525" s="18"/>
      <c r="AI525" s="18"/>
      <c r="AJ525" s="142"/>
      <c r="AK525" s="142"/>
      <c r="AL525" s="18"/>
      <c r="AM525" s="18"/>
      <c r="AN525" s="18"/>
      <c r="AO525" s="142"/>
    </row>
    <row r="526">
      <c r="A526" s="142"/>
      <c r="B526" s="18"/>
      <c r="C526" s="142"/>
      <c r="D526" s="18"/>
      <c r="E526" s="18"/>
      <c r="F526" s="18"/>
      <c r="G526" s="142"/>
      <c r="H526" s="18"/>
      <c r="I526" s="142"/>
      <c r="J526" s="15"/>
      <c r="Q526" s="15"/>
      <c r="R526" s="18"/>
      <c r="S526" s="142"/>
      <c r="T526" s="142"/>
      <c r="U526" s="142"/>
      <c r="V526" s="18"/>
      <c r="W526" s="18"/>
      <c r="X526" s="18"/>
      <c r="Y526" s="142"/>
      <c r="Z526" s="18"/>
      <c r="AA526" s="18"/>
      <c r="AB526" s="18"/>
      <c r="AC526" s="18"/>
      <c r="AD526" s="18"/>
      <c r="AE526" s="18"/>
      <c r="AF526" s="18"/>
      <c r="AG526" s="18"/>
      <c r="AH526" s="18"/>
      <c r="AI526" s="18"/>
      <c r="AJ526" s="142"/>
      <c r="AK526" s="142"/>
      <c r="AL526" s="18"/>
      <c r="AM526" s="18"/>
      <c r="AN526" s="18"/>
      <c r="AO526" s="142"/>
    </row>
    <row r="527">
      <c r="A527" s="142"/>
      <c r="B527" s="18"/>
      <c r="C527" s="142"/>
      <c r="D527" s="18"/>
      <c r="E527" s="18"/>
      <c r="F527" s="18"/>
      <c r="G527" s="142"/>
      <c r="H527" s="18"/>
      <c r="I527" s="142"/>
      <c r="J527" s="15"/>
      <c r="Q527" s="15"/>
      <c r="R527" s="18"/>
      <c r="S527" s="142"/>
      <c r="T527" s="142"/>
      <c r="U527" s="142"/>
      <c r="V527" s="18"/>
      <c r="W527" s="18"/>
      <c r="X527" s="18"/>
      <c r="Y527" s="142"/>
      <c r="Z527" s="18"/>
      <c r="AA527" s="18"/>
      <c r="AB527" s="18"/>
      <c r="AC527" s="18"/>
      <c r="AD527" s="18"/>
      <c r="AE527" s="18"/>
      <c r="AF527" s="18"/>
      <c r="AG527" s="18"/>
      <c r="AH527" s="18"/>
      <c r="AI527" s="18"/>
      <c r="AJ527" s="142"/>
      <c r="AK527" s="142"/>
      <c r="AL527" s="18"/>
      <c r="AM527" s="18"/>
      <c r="AN527" s="18"/>
      <c r="AO527" s="142"/>
    </row>
    <row r="528">
      <c r="A528" s="142"/>
      <c r="B528" s="18"/>
      <c r="C528" s="142"/>
      <c r="D528" s="18"/>
      <c r="E528" s="18"/>
      <c r="F528" s="18"/>
      <c r="G528" s="142"/>
      <c r="H528" s="18"/>
      <c r="I528" s="142"/>
      <c r="J528" s="15"/>
      <c r="Q528" s="15"/>
      <c r="R528" s="18"/>
      <c r="S528" s="142"/>
      <c r="T528" s="142"/>
      <c r="U528" s="142"/>
      <c r="V528" s="18"/>
      <c r="W528" s="18"/>
      <c r="X528" s="18"/>
      <c r="Y528" s="142"/>
      <c r="Z528" s="18"/>
      <c r="AA528" s="18"/>
      <c r="AB528" s="18"/>
      <c r="AC528" s="18"/>
      <c r="AD528" s="18"/>
      <c r="AE528" s="18"/>
      <c r="AF528" s="18"/>
      <c r="AG528" s="18"/>
      <c r="AH528" s="18"/>
      <c r="AI528" s="18"/>
      <c r="AJ528" s="142"/>
      <c r="AK528" s="142"/>
      <c r="AL528" s="18"/>
      <c r="AM528" s="18"/>
      <c r="AN528" s="18"/>
      <c r="AO528" s="142"/>
    </row>
    <row r="529">
      <c r="A529" s="142"/>
      <c r="B529" s="18"/>
      <c r="C529" s="142"/>
      <c r="D529" s="18"/>
      <c r="E529" s="18"/>
      <c r="F529" s="18"/>
      <c r="G529" s="142"/>
      <c r="H529" s="18"/>
      <c r="I529" s="142"/>
      <c r="J529" s="15"/>
      <c r="Q529" s="15"/>
      <c r="R529" s="18"/>
      <c r="S529" s="142"/>
      <c r="T529" s="142"/>
      <c r="U529" s="142"/>
      <c r="V529" s="18"/>
      <c r="W529" s="18"/>
      <c r="X529" s="18"/>
      <c r="Y529" s="142"/>
      <c r="Z529" s="18"/>
      <c r="AA529" s="18"/>
      <c r="AB529" s="18"/>
      <c r="AC529" s="18"/>
      <c r="AD529" s="18"/>
      <c r="AE529" s="18"/>
      <c r="AF529" s="18"/>
      <c r="AG529" s="18"/>
      <c r="AH529" s="18"/>
      <c r="AI529" s="18"/>
      <c r="AJ529" s="142"/>
      <c r="AK529" s="142"/>
      <c r="AL529" s="18"/>
      <c r="AM529" s="18"/>
      <c r="AN529" s="18"/>
      <c r="AO529" s="142"/>
    </row>
    <row r="530">
      <c r="A530" s="142"/>
      <c r="B530" s="18"/>
      <c r="C530" s="142"/>
      <c r="D530" s="18"/>
      <c r="E530" s="18"/>
      <c r="F530" s="18"/>
      <c r="G530" s="142"/>
      <c r="H530" s="18"/>
      <c r="I530" s="142"/>
      <c r="J530" s="15"/>
      <c r="Q530" s="15"/>
      <c r="R530" s="18"/>
      <c r="S530" s="142"/>
      <c r="T530" s="142"/>
      <c r="U530" s="142"/>
      <c r="V530" s="18"/>
      <c r="W530" s="18"/>
      <c r="X530" s="18"/>
      <c r="Y530" s="142"/>
      <c r="Z530" s="18"/>
      <c r="AA530" s="18"/>
      <c r="AB530" s="18"/>
      <c r="AC530" s="18"/>
      <c r="AD530" s="18"/>
      <c r="AE530" s="18"/>
      <c r="AF530" s="18"/>
      <c r="AG530" s="18"/>
      <c r="AH530" s="18"/>
      <c r="AI530" s="18"/>
      <c r="AJ530" s="142"/>
      <c r="AK530" s="142"/>
      <c r="AL530" s="18"/>
      <c r="AM530" s="18"/>
      <c r="AN530" s="18"/>
      <c r="AO530" s="142"/>
    </row>
    <row r="531">
      <c r="A531" s="142"/>
      <c r="B531" s="18"/>
      <c r="C531" s="142"/>
      <c r="D531" s="18"/>
      <c r="E531" s="18"/>
      <c r="F531" s="18"/>
      <c r="G531" s="142"/>
      <c r="H531" s="18"/>
      <c r="I531" s="142"/>
      <c r="J531" s="15"/>
      <c r="Q531" s="15"/>
      <c r="R531" s="18"/>
      <c r="S531" s="142"/>
      <c r="T531" s="142"/>
      <c r="U531" s="142"/>
      <c r="V531" s="18"/>
      <c r="W531" s="18"/>
      <c r="X531" s="18"/>
      <c r="Y531" s="142"/>
      <c r="Z531" s="18"/>
      <c r="AA531" s="18"/>
      <c r="AB531" s="18"/>
      <c r="AC531" s="18"/>
      <c r="AD531" s="18"/>
      <c r="AE531" s="18"/>
      <c r="AF531" s="18"/>
      <c r="AG531" s="18"/>
      <c r="AH531" s="18"/>
      <c r="AI531" s="18"/>
      <c r="AJ531" s="142"/>
      <c r="AK531" s="142"/>
      <c r="AL531" s="18"/>
      <c r="AM531" s="18"/>
      <c r="AN531" s="18"/>
      <c r="AO531" s="142"/>
    </row>
    <row r="532">
      <c r="A532" s="142"/>
      <c r="B532" s="18"/>
      <c r="C532" s="142"/>
      <c r="D532" s="18"/>
      <c r="E532" s="18"/>
      <c r="F532" s="18"/>
      <c r="G532" s="142"/>
      <c r="H532" s="18"/>
      <c r="I532" s="142"/>
      <c r="J532" s="15"/>
      <c r="Q532" s="15"/>
      <c r="R532" s="18"/>
      <c r="S532" s="142"/>
      <c r="T532" s="142"/>
      <c r="U532" s="142"/>
      <c r="V532" s="18"/>
      <c r="W532" s="18"/>
      <c r="X532" s="18"/>
      <c r="Y532" s="142"/>
      <c r="Z532" s="18"/>
      <c r="AA532" s="18"/>
      <c r="AB532" s="18"/>
      <c r="AC532" s="18"/>
      <c r="AD532" s="18"/>
      <c r="AE532" s="18"/>
      <c r="AF532" s="18"/>
      <c r="AG532" s="18"/>
      <c r="AH532" s="18"/>
      <c r="AI532" s="18"/>
      <c r="AJ532" s="142"/>
      <c r="AK532" s="142"/>
      <c r="AL532" s="18"/>
      <c r="AM532" s="18"/>
      <c r="AN532" s="18"/>
      <c r="AO532" s="142"/>
    </row>
    <row r="533">
      <c r="A533" s="142"/>
      <c r="B533" s="18"/>
      <c r="C533" s="142"/>
      <c r="D533" s="18"/>
      <c r="E533" s="18"/>
      <c r="F533" s="18"/>
      <c r="G533" s="142"/>
      <c r="H533" s="18"/>
      <c r="I533" s="142"/>
      <c r="J533" s="15"/>
      <c r="Q533" s="15"/>
      <c r="R533" s="18"/>
      <c r="S533" s="142"/>
      <c r="T533" s="142"/>
      <c r="U533" s="142"/>
      <c r="V533" s="18"/>
      <c r="W533" s="18"/>
      <c r="X533" s="18"/>
      <c r="Y533" s="142"/>
      <c r="Z533" s="18"/>
      <c r="AA533" s="18"/>
      <c r="AB533" s="18"/>
      <c r="AC533" s="18"/>
      <c r="AD533" s="18"/>
      <c r="AE533" s="18"/>
      <c r="AF533" s="18"/>
      <c r="AG533" s="18"/>
      <c r="AH533" s="18"/>
      <c r="AI533" s="18"/>
      <c r="AJ533" s="142"/>
      <c r="AK533" s="142"/>
      <c r="AL533" s="18"/>
      <c r="AM533" s="18"/>
      <c r="AN533" s="18"/>
      <c r="AO533" s="142"/>
    </row>
    <row r="534">
      <c r="A534" s="142"/>
      <c r="B534" s="18"/>
      <c r="C534" s="142"/>
      <c r="D534" s="18"/>
      <c r="E534" s="18"/>
      <c r="F534" s="18"/>
      <c r="G534" s="142"/>
      <c r="H534" s="18"/>
      <c r="I534" s="142"/>
      <c r="J534" s="15"/>
      <c r="Q534" s="15"/>
      <c r="R534" s="18"/>
      <c r="S534" s="142"/>
      <c r="T534" s="142"/>
      <c r="U534" s="142"/>
      <c r="V534" s="18"/>
      <c r="W534" s="18"/>
      <c r="X534" s="18"/>
      <c r="Y534" s="142"/>
      <c r="Z534" s="18"/>
      <c r="AA534" s="18"/>
      <c r="AB534" s="18"/>
      <c r="AC534" s="18"/>
      <c r="AD534" s="18"/>
      <c r="AE534" s="18"/>
      <c r="AF534" s="18"/>
      <c r="AG534" s="18"/>
      <c r="AH534" s="18"/>
      <c r="AI534" s="18"/>
      <c r="AJ534" s="142"/>
      <c r="AK534" s="142"/>
      <c r="AL534" s="18"/>
      <c r="AM534" s="18"/>
      <c r="AN534" s="18"/>
      <c r="AO534" s="142"/>
    </row>
    <row r="535">
      <c r="A535" s="142"/>
      <c r="B535" s="18"/>
      <c r="C535" s="142"/>
      <c r="D535" s="18"/>
      <c r="E535" s="18"/>
      <c r="F535" s="18"/>
      <c r="G535" s="142"/>
      <c r="H535" s="18"/>
      <c r="I535" s="142"/>
      <c r="J535" s="15"/>
      <c r="Q535" s="15"/>
      <c r="R535" s="18"/>
      <c r="S535" s="142"/>
      <c r="T535" s="142"/>
      <c r="U535" s="142"/>
      <c r="V535" s="18"/>
      <c r="W535" s="18"/>
      <c r="X535" s="18"/>
      <c r="Y535" s="142"/>
      <c r="Z535" s="18"/>
      <c r="AA535" s="18"/>
      <c r="AB535" s="18"/>
      <c r="AC535" s="18"/>
      <c r="AD535" s="18"/>
      <c r="AE535" s="18"/>
      <c r="AF535" s="18"/>
      <c r="AG535" s="18"/>
      <c r="AH535" s="18"/>
      <c r="AI535" s="18"/>
      <c r="AJ535" s="142"/>
      <c r="AK535" s="142"/>
      <c r="AL535" s="18"/>
      <c r="AM535" s="18"/>
      <c r="AN535" s="18"/>
      <c r="AO535" s="142"/>
    </row>
    <row r="536">
      <c r="A536" s="142"/>
      <c r="B536" s="18"/>
      <c r="C536" s="142"/>
      <c r="D536" s="18"/>
      <c r="E536" s="18"/>
      <c r="F536" s="18"/>
      <c r="G536" s="142"/>
      <c r="H536" s="18"/>
      <c r="I536" s="142"/>
      <c r="J536" s="15"/>
      <c r="Q536" s="15"/>
      <c r="R536" s="18"/>
      <c r="S536" s="142"/>
      <c r="T536" s="142"/>
      <c r="U536" s="142"/>
      <c r="V536" s="18"/>
      <c r="W536" s="18"/>
      <c r="X536" s="18"/>
      <c r="Y536" s="142"/>
      <c r="Z536" s="18"/>
      <c r="AA536" s="18"/>
      <c r="AB536" s="18"/>
      <c r="AC536" s="18"/>
      <c r="AD536" s="18"/>
      <c r="AE536" s="18"/>
      <c r="AF536" s="18"/>
      <c r="AG536" s="18"/>
      <c r="AH536" s="18"/>
      <c r="AI536" s="18"/>
      <c r="AJ536" s="142"/>
      <c r="AK536" s="142"/>
      <c r="AL536" s="18"/>
      <c r="AM536" s="18"/>
      <c r="AN536" s="18"/>
      <c r="AO536" s="142"/>
    </row>
    <row r="537">
      <c r="A537" s="142"/>
      <c r="B537" s="18"/>
      <c r="C537" s="142"/>
      <c r="D537" s="18"/>
      <c r="E537" s="18"/>
      <c r="F537" s="18"/>
      <c r="G537" s="142"/>
      <c r="H537" s="18"/>
      <c r="I537" s="142"/>
      <c r="J537" s="15"/>
      <c r="Q537" s="15"/>
      <c r="R537" s="18"/>
      <c r="S537" s="142"/>
      <c r="T537" s="142"/>
      <c r="U537" s="142"/>
      <c r="V537" s="18"/>
      <c r="W537" s="18"/>
      <c r="X537" s="18"/>
      <c r="Y537" s="142"/>
      <c r="Z537" s="18"/>
      <c r="AA537" s="18"/>
      <c r="AB537" s="18"/>
      <c r="AC537" s="18"/>
      <c r="AD537" s="18"/>
      <c r="AE537" s="18"/>
      <c r="AF537" s="18"/>
      <c r="AG537" s="18"/>
      <c r="AH537" s="18"/>
      <c r="AI537" s="18"/>
      <c r="AJ537" s="142"/>
      <c r="AK537" s="142"/>
      <c r="AL537" s="18"/>
      <c r="AM537" s="18"/>
      <c r="AN537" s="18"/>
      <c r="AO537" s="142"/>
    </row>
    <row r="538">
      <c r="A538" s="142"/>
      <c r="B538" s="18"/>
      <c r="C538" s="142"/>
      <c r="D538" s="18"/>
      <c r="E538" s="18"/>
      <c r="F538" s="18"/>
      <c r="G538" s="142"/>
      <c r="H538" s="18"/>
      <c r="I538" s="142"/>
      <c r="J538" s="15"/>
      <c r="Q538" s="15"/>
      <c r="R538" s="18"/>
      <c r="S538" s="142"/>
      <c r="T538" s="142"/>
      <c r="U538" s="142"/>
      <c r="V538" s="18"/>
      <c r="W538" s="18"/>
      <c r="X538" s="18"/>
      <c r="Y538" s="142"/>
      <c r="Z538" s="18"/>
      <c r="AA538" s="18"/>
      <c r="AB538" s="18"/>
      <c r="AC538" s="18"/>
      <c r="AD538" s="18"/>
      <c r="AE538" s="18"/>
      <c r="AF538" s="18"/>
      <c r="AG538" s="18"/>
      <c r="AH538" s="18"/>
      <c r="AI538" s="18"/>
      <c r="AJ538" s="142"/>
      <c r="AK538" s="142"/>
      <c r="AL538" s="18"/>
      <c r="AM538" s="18"/>
      <c r="AN538" s="18"/>
      <c r="AO538" s="142"/>
    </row>
    <row r="539">
      <c r="A539" s="142"/>
      <c r="B539" s="18"/>
      <c r="C539" s="142"/>
      <c r="D539" s="18"/>
      <c r="E539" s="18"/>
      <c r="F539" s="18"/>
      <c r="G539" s="142"/>
      <c r="H539" s="18"/>
      <c r="I539" s="142"/>
      <c r="J539" s="15"/>
      <c r="Q539" s="15"/>
      <c r="R539" s="18"/>
      <c r="S539" s="142"/>
      <c r="T539" s="142"/>
      <c r="U539" s="142"/>
      <c r="V539" s="18"/>
      <c r="W539" s="18"/>
      <c r="X539" s="18"/>
      <c r="Y539" s="142"/>
      <c r="Z539" s="18"/>
      <c r="AA539" s="18"/>
      <c r="AB539" s="18"/>
      <c r="AC539" s="18"/>
      <c r="AD539" s="18"/>
      <c r="AE539" s="18"/>
      <c r="AF539" s="18"/>
      <c r="AG539" s="18"/>
      <c r="AH539" s="18"/>
      <c r="AI539" s="18"/>
      <c r="AJ539" s="142"/>
      <c r="AK539" s="142"/>
      <c r="AL539" s="18"/>
      <c r="AM539" s="18"/>
      <c r="AN539" s="18"/>
      <c r="AO539" s="142"/>
    </row>
    <row r="540">
      <c r="A540" s="142"/>
      <c r="B540" s="18"/>
      <c r="C540" s="142"/>
      <c r="D540" s="18"/>
      <c r="E540" s="18"/>
      <c r="F540" s="18"/>
      <c r="G540" s="142"/>
      <c r="H540" s="18"/>
      <c r="I540" s="142"/>
      <c r="J540" s="15"/>
      <c r="Q540" s="15"/>
      <c r="R540" s="18"/>
      <c r="S540" s="142"/>
      <c r="T540" s="142"/>
      <c r="U540" s="142"/>
      <c r="V540" s="18"/>
      <c r="W540" s="18"/>
      <c r="X540" s="18"/>
      <c r="Y540" s="142"/>
      <c r="Z540" s="18"/>
      <c r="AA540" s="18"/>
      <c r="AB540" s="18"/>
      <c r="AC540" s="18"/>
      <c r="AD540" s="18"/>
      <c r="AE540" s="18"/>
      <c r="AF540" s="18"/>
      <c r="AG540" s="18"/>
      <c r="AH540" s="18"/>
      <c r="AI540" s="18"/>
      <c r="AJ540" s="142"/>
      <c r="AK540" s="142"/>
      <c r="AL540" s="18"/>
      <c r="AM540" s="18"/>
      <c r="AN540" s="18"/>
      <c r="AO540" s="142"/>
    </row>
    <row r="541">
      <c r="A541" s="142"/>
      <c r="B541" s="18"/>
      <c r="C541" s="142"/>
      <c r="D541" s="18"/>
      <c r="E541" s="18"/>
      <c r="F541" s="18"/>
      <c r="G541" s="142"/>
      <c r="H541" s="18"/>
      <c r="I541" s="142"/>
      <c r="J541" s="15"/>
      <c r="Q541" s="15"/>
      <c r="R541" s="18"/>
      <c r="S541" s="142"/>
      <c r="T541" s="142"/>
      <c r="U541" s="142"/>
      <c r="V541" s="18"/>
      <c r="W541" s="18"/>
      <c r="X541" s="18"/>
      <c r="Y541" s="142"/>
      <c r="Z541" s="18"/>
      <c r="AA541" s="18"/>
      <c r="AB541" s="18"/>
      <c r="AC541" s="18"/>
      <c r="AD541" s="18"/>
      <c r="AE541" s="18"/>
      <c r="AF541" s="18"/>
      <c r="AG541" s="18"/>
      <c r="AH541" s="18"/>
      <c r="AI541" s="18"/>
      <c r="AJ541" s="142"/>
      <c r="AK541" s="142"/>
      <c r="AL541" s="18"/>
      <c r="AM541" s="18"/>
      <c r="AN541" s="18"/>
      <c r="AO541" s="142"/>
    </row>
    <row r="542">
      <c r="A542" s="142"/>
      <c r="B542" s="18"/>
      <c r="C542" s="142"/>
      <c r="D542" s="18"/>
      <c r="E542" s="18"/>
      <c r="F542" s="18"/>
      <c r="G542" s="142"/>
      <c r="H542" s="18"/>
      <c r="I542" s="142"/>
      <c r="J542" s="15"/>
      <c r="Q542" s="15"/>
      <c r="R542" s="18"/>
      <c r="S542" s="142"/>
      <c r="T542" s="142"/>
      <c r="U542" s="142"/>
      <c r="V542" s="18"/>
      <c r="W542" s="18"/>
      <c r="X542" s="18"/>
      <c r="Y542" s="142"/>
      <c r="Z542" s="18"/>
      <c r="AA542" s="18"/>
      <c r="AB542" s="18"/>
      <c r="AC542" s="18"/>
      <c r="AD542" s="18"/>
      <c r="AE542" s="18"/>
      <c r="AF542" s="18"/>
      <c r="AG542" s="18"/>
      <c r="AH542" s="18"/>
      <c r="AI542" s="18"/>
      <c r="AJ542" s="142"/>
      <c r="AK542" s="142"/>
      <c r="AL542" s="18"/>
      <c r="AM542" s="18"/>
      <c r="AN542" s="18"/>
      <c r="AO542" s="142"/>
    </row>
    <row r="543">
      <c r="A543" s="142"/>
      <c r="B543" s="18"/>
      <c r="C543" s="142"/>
      <c r="D543" s="18"/>
      <c r="E543" s="18"/>
      <c r="F543" s="18"/>
      <c r="G543" s="142"/>
      <c r="H543" s="18"/>
      <c r="I543" s="142"/>
      <c r="J543" s="15"/>
      <c r="Q543" s="15"/>
      <c r="R543" s="18"/>
      <c r="S543" s="142"/>
      <c r="T543" s="142"/>
      <c r="U543" s="142"/>
      <c r="V543" s="18"/>
      <c r="W543" s="18"/>
      <c r="X543" s="18"/>
      <c r="Y543" s="142"/>
      <c r="Z543" s="18"/>
      <c r="AA543" s="18"/>
      <c r="AB543" s="18"/>
      <c r="AC543" s="18"/>
      <c r="AD543" s="18"/>
      <c r="AE543" s="18"/>
      <c r="AF543" s="18"/>
      <c r="AG543" s="18"/>
      <c r="AH543" s="18"/>
      <c r="AI543" s="18"/>
      <c r="AJ543" s="142"/>
      <c r="AK543" s="142"/>
      <c r="AL543" s="18"/>
      <c r="AM543" s="18"/>
      <c r="AN543" s="18"/>
      <c r="AO543" s="142"/>
    </row>
    <row r="544">
      <c r="A544" s="142"/>
      <c r="B544" s="18"/>
      <c r="C544" s="142"/>
      <c r="D544" s="18"/>
      <c r="E544" s="18"/>
      <c r="F544" s="18"/>
      <c r="G544" s="142"/>
      <c r="H544" s="18"/>
      <c r="I544" s="142"/>
      <c r="J544" s="15"/>
      <c r="Q544" s="15"/>
      <c r="R544" s="18"/>
      <c r="S544" s="142"/>
      <c r="T544" s="142"/>
      <c r="U544" s="142"/>
      <c r="V544" s="18"/>
      <c r="W544" s="18"/>
      <c r="X544" s="18"/>
      <c r="Y544" s="142"/>
      <c r="Z544" s="18"/>
      <c r="AA544" s="18"/>
      <c r="AB544" s="18"/>
      <c r="AC544" s="18"/>
      <c r="AD544" s="18"/>
      <c r="AE544" s="18"/>
      <c r="AF544" s="18"/>
      <c r="AG544" s="18"/>
      <c r="AH544" s="18"/>
      <c r="AI544" s="18"/>
      <c r="AJ544" s="142"/>
      <c r="AK544" s="142"/>
      <c r="AL544" s="18"/>
      <c r="AM544" s="18"/>
      <c r="AN544" s="18"/>
      <c r="AO544" s="142"/>
    </row>
    <row r="545">
      <c r="A545" s="142"/>
      <c r="B545" s="18"/>
      <c r="C545" s="142"/>
      <c r="D545" s="18"/>
      <c r="E545" s="18"/>
      <c r="F545" s="18"/>
      <c r="G545" s="142"/>
      <c r="H545" s="18"/>
      <c r="I545" s="142"/>
      <c r="J545" s="15"/>
      <c r="Q545" s="15"/>
      <c r="R545" s="18"/>
      <c r="S545" s="142"/>
      <c r="T545" s="142"/>
      <c r="U545" s="142"/>
      <c r="V545" s="18"/>
      <c r="W545" s="18"/>
      <c r="X545" s="18"/>
      <c r="Y545" s="142"/>
      <c r="Z545" s="18"/>
      <c r="AA545" s="18"/>
      <c r="AB545" s="18"/>
      <c r="AC545" s="18"/>
      <c r="AD545" s="18"/>
      <c r="AE545" s="18"/>
      <c r="AF545" s="18"/>
      <c r="AG545" s="18"/>
      <c r="AH545" s="18"/>
      <c r="AI545" s="18"/>
      <c r="AJ545" s="142"/>
      <c r="AK545" s="142"/>
      <c r="AL545" s="18"/>
      <c r="AM545" s="18"/>
      <c r="AN545" s="18"/>
      <c r="AO545" s="142"/>
    </row>
    <row r="546">
      <c r="A546" s="142"/>
      <c r="B546" s="18"/>
      <c r="C546" s="142"/>
      <c r="D546" s="18"/>
      <c r="E546" s="18"/>
      <c r="F546" s="18"/>
      <c r="G546" s="142"/>
      <c r="H546" s="18"/>
      <c r="I546" s="142"/>
      <c r="J546" s="15"/>
      <c r="Q546" s="15"/>
      <c r="R546" s="18"/>
      <c r="S546" s="142"/>
      <c r="T546" s="142"/>
      <c r="U546" s="142"/>
      <c r="V546" s="18"/>
      <c r="W546" s="18"/>
      <c r="X546" s="18"/>
      <c r="Y546" s="142"/>
      <c r="Z546" s="18"/>
      <c r="AA546" s="18"/>
      <c r="AB546" s="18"/>
      <c r="AC546" s="18"/>
      <c r="AD546" s="18"/>
      <c r="AE546" s="18"/>
      <c r="AF546" s="18"/>
      <c r="AG546" s="18"/>
      <c r="AH546" s="18"/>
      <c r="AI546" s="18"/>
      <c r="AJ546" s="142"/>
      <c r="AK546" s="142"/>
      <c r="AL546" s="18"/>
      <c r="AM546" s="18"/>
      <c r="AN546" s="18"/>
      <c r="AO546" s="142"/>
    </row>
    <row r="547">
      <c r="A547" s="142"/>
      <c r="B547" s="18"/>
      <c r="C547" s="142"/>
      <c r="D547" s="18"/>
      <c r="E547" s="18"/>
      <c r="F547" s="18"/>
      <c r="G547" s="142"/>
      <c r="H547" s="18"/>
      <c r="I547" s="142"/>
      <c r="J547" s="15"/>
      <c r="Q547" s="15"/>
      <c r="R547" s="18"/>
      <c r="S547" s="142"/>
      <c r="T547" s="142"/>
      <c r="U547" s="142"/>
      <c r="V547" s="18"/>
      <c r="W547" s="18"/>
      <c r="X547" s="18"/>
      <c r="Y547" s="142"/>
      <c r="Z547" s="18"/>
      <c r="AA547" s="18"/>
      <c r="AB547" s="18"/>
      <c r="AC547" s="18"/>
      <c r="AD547" s="18"/>
      <c r="AE547" s="18"/>
      <c r="AF547" s="18"/>
      <c r="AG547" s="18"/>
      <c r="AH547" s="18"/>
      <c r="AI547" s="18"/>
      <c r="AJ547" s="142"/>
      <c r="AK547" s="142"/>
      <c r="AL547" s="18"/>
      <c r="AM547" s="18"/>
      <c r="AN547" s="18"/>
      <c r="AO547" s="142"/>
    </row>
    <row r="548">
      <c r="A548" s="142"/>
      <c r="B548" s="18"/>
      <c r="C548" s="142"/>
      <c r="D548" s="18"/>
      <c r="E548" s="18"/>
      <c r="F548" s="18"/>
      <c r="G548" s="142"/>
      <c r="H548" s="18"/>
      <c r="I548" s="142"/>
      <c r="J548" s="15"/>
      <c r="Q548" s="15"/>
      <c r="R548" s="18"/>
      <c r="S548" s="142"/>
      <c r="T548" s="142"/>
      <c r="U548" s="142"/>
      <c r="V548" s="18"/>
      <c r="W548" s="18"/>
      <c r="X548" s="18"/>
      <c r="Y548" s="142"/>
      <c r="Z548" s="18"/>
      <c r="AA548" s="18"/>
      <c r="AB548" s="18"/>
      <c r="AC548" s="18"/>
      <c r="AD548" s="18"/>
      <c r="AE548" s="18"/>
      <c r="AF548" s="18"/>
      <c r="AG548" s="18"/>
      <c r="AH548" s="18"/>
      <c r="AI548" s="18"/>
      <c r="AJ548" s="142"/>
      <c r="AK548" s="142"/>
      <c r="AL548" s="18"/>
      <c r="AM548" s="18"/>
      <c r="AN548" s="18"/>
      <c r="AO548" s="142"/>
    </row>
    <row r="549">
      <c r="A549" s="142"/>
      <c r="B549" s="18"/>
      <c r="C549" s="142"/>
      <c r="D549" s="18"/>
      <c r="E549" s="18"/>
      <c r="F549" s="18"/>
      <c r="G549" s="142"/>
      <c r="H549" s="18"/>
      <c r="I549" s="142"/>
      <c r="J549" s="15"/>
      <c r="Q549" s="15"/>
      <c r="R549" s="18"/>
      <c r="S549" s="142"/>
      <c r="T549" s="142"/>
      <c r="U549" s="142"/>
      <c r="V549" s="18"/>
      <c r="W549" s="18"/>
      <c r="X549" s="18"/>
      <c r="Y549" s="142"/>
      <c r="Z549" s="18"/>
      <c r="AA549" s="18"/>
      <c r="AB549" s="18"/>
      <c r="AC549" s="18"/>
      <c r="AD549" s="18"/>
      <c r="AE549" s="18"/>
      <c r="AF549" s="18"/>
      <c r="AG549" s="18"/>
      <c r="AH549" s="18"/>
      <c r="AI549" s="18"/>
      <c r="AJ549" s="142"/>
      <c r="AK549" s="142"/>
      <c r="AL549" s="18"/>
      <c r="AM549" s="18"/>
      <c r="AN549" s="18"/>
      <c r="AO549" s="142"/>
    </row>
    <row r="550">
      <c r="A550" s="142"/>
      <c r="B550" s="18"/>
      <c r="C550" s="142"/>
      <c r="D550" s="18"/>
      <c r="E550" s="18"/>
      <c r="F550" s="18"/>
      <c r="G550" s="142"/>
      <c r="H550" s="18"/>
      <c r="I550" s="142"/>
      <c r="J550" s="15"/>
      <c r="Q550" s="15"/>
      <c r="R550" s="18"/>
      <c r="S550" s="142"/>
      <c r="T550" s="142"/>
      <c r="U550" s="142"/>
      <c r="V550" s="18"/>
      <c r="W550" s="18"/>
      <c r="X550" s="18"/>
      <c r="Y550" s="142"/>
      <c r="Z550" s="18"/>
      <c r="AA550" s="18"/>
      <c r="AB550" s="18"/>
      <c r="AC550" s="18"/>
      <c r="AD550" s="18"/>
      <c r="AE550" s="18"/>
      <c r="AF550" s="18"/>
      <c r="AG550" s="18"/>
      <c r="AH550" s="18"/>
      <c r="AI550" s="18"/>
      <c r="AJ550" s="142"/>
      <c r="AK550" s="142"/>
      <c r="AL550" s="18"/>
      <c r="AM550" s="18"/>
      <c r="AN550" s="18"/>
      <c r="AO550" s="142"/>
    </row>
    <row r="551">
      <c r="A551" s="142"/>
      <c r="B551" s="18"/>
      <c r="C551" s="142"/>
      <c r="D551" s="18"/>
      <c r="E551" s="18"/>
      <c r="F551" s="18"/>
      <c r="G551" s="142"/>
      <c r="H551" s="18"/>
      <c r="I551" s="142"/>
      <c r="J551" s="15"/>
      <c r="Q551" s="15"/>
      <c r="R551" s="18"/>
      <c r="S551" s="142"/>
      <c r="T551" s="142"/>
      <c r="U551" s="142"/>
      <c r="V551" s="18"/>
      <c r="W551" s="18"/>
      <c r="X551" s="18"/>
      <c r="Y551" s="142"/>
      <c r="Z551" s="18"/>
      <c r="AA551" s="18"/>
      <c r="AB551" s="18"/>
      <c r="AC551" s="18"/>
      <c r="AD551" s="18"/>
      <c r="AE551" s="18"/>
      <c r="AF551" s="18"/>
      <c r="AG551" s="18"/>
      <c r="AH551" s="18"/>
      <c r="AI551" s="18"/>
      <c r="AJ551" s="142"/>
      <c r="AK551" s="142"/>
      <c r="AL551" s="18"/>
      <c r="AM551" s="18"/>
      <c r="AN551" s="18"/>
      <c r="AO551" s="142"/>
    </row>
    <row r="552">
      <c r="A552" s="142"/>
      <c r="B552" s="18"/>
      <c r="C552" s="142"/>
      <c r="D552" s="18"/>
      <c r="E552" s="18"/>
      <c r="F552" s="18"/>
      <c r="G552" s="142"/>
      <c r="H552" s="18"/>
      <c r="I552" s="142"/>
      <c r="J552" s="15"/>
      <c r="Q552" s="15"/>
      <c r="R552" s="18"/>
      <c r="S552" s="142"/>
      <c r="T552" s="142"/>
      <c r="U552" s="142"/>
      <c r="V552" s="18"/>
      <c r="W552" s="18"/>
      <c r="X552" s="18"/>
      <c r="Y552" s="142"/>
      <c r="Z552" s="18"/>
      <c r="AA552" s="18"/>
      <c r="AB552" s="18"/>
      <c r="AC552" s="18"/>
      <c r="AD552" s="18"/>
      <c r="AE552" s="18"/>
      <c r="AF552" s="18"/>
      <c r="AG552" s="18"/>
      <c r="AH552" s="18"/>
      <c r="AI552" s="18"/>
      <c r="AJ552" s="142"/>
      <c r="AK552" s="142"/>
      <c r="AL552" s="18"/>
      <c r="AM552" s="18"/>
      <c r="AN552" s="18"/>
      <c r="AO552" s="142"/>
    </row>
    <row r="553">
      <c r="A553" s="142"/>
      <c r="B553" s="18"/>
      <c r="C553" s="142"/>
      <c r="D553" s="18"/>
      <c r="E553" s="18"/>
      <c r="F553" s="18"/>
      <c r="G553" s="142"/>
      <c r="H553" s="18"/>
      <c r="I553" s="142"/>
      <c r="J553" s="15"/>
      <c r="Q553" s="15"/>
      <c r="R553" s="18"/>
      <c r="S553" s="142"/>
      <c r="T553" s="142"/>
      <c r="U553" s="142"/>
      <c r="V553" s="18"/>
      <c r="W553" s="18"/>
      <c r="X553" s="18"/>
      <c r="Y553" s="142"/>
      <c r="Z553" s="18"/>
      <c r="AA553" s="18"/>
      <c r="AB553" s="18"/>
      <c r="AC553" s="18"/>
      <c r="AD553" s="18"/>
      <c r="AE553" s="18"/>
      <c r="AF553" s="18"/>
      <c r="AG553" s="18"/>
      <c r="AH553" s="18"/>
      <c r="AI553" s="18"/>
      <c r="AJ553" s="142"/>
      <c r="AK553" s="142"/>
      <c r="AL553" s="18"/>
      <c r="AM553" s="18"/>
      <c r="AN553" s="18"/>
      <c r="AO553" s="142"/>
    </row>
    <row r="554">
      <c r="A554" s="142"/>
      <c r="B554" s="18"/>
      <c r="C554" s="142"/>
      <c r="D554" s="18"/>
      <c r="E554" s="18"/>
      <c r="F554" s="18"/>
      <c r="G554" s="142"/>
      <c r="H554" s="18"/>
      <c r="I554" s="142"/>
      <c r="J554" s="15"/>
      <c r="Q554" s="15"/>
      <c r="R554" s="18"/>
      <c r="S554" s="142"/>
      <c r="T554" s="142"/>
      <c r="U554" s="142"/>
      <c r="V554" s="18"/>
      <c r="W554" s="18"/>
      <c r="X554" s="18"/>
      <c r="Y554" s="142"/>
      <c r="Z554" s="18"/>
      <c r="AA554" s="18"/>
      <c r="AB554" s="18"/>
      <c r="AC554" s="18"/>
      <c r="AD554" s="18"/>
      <c r="AE554" s="18"/>
      <c r="AF554" s="18"/>
      <c r="AG554" s="18"/>
      <c r="AH554" s="18"/>
      <c r="AI554" s="18"/>
      <c r="AJ554" s="142"/>
      <c r="AK554" s="142"/>
      <c r="AL554" s="18"/>
      <c r="AM554" s="18"/>
      <c r="AN554" s="18"/>
      <c r="AO554" s="142"/>
    </row>
    <row r="555">
      <c r="A555" s="142"/>
      <c r="B555" s="18"/>
      <c r="C555" s="142"/>
      <c r="D555" s="18"/>
      <c r="E555" s="18"/>
      <c r="F555" s="18"/>
      <c r="G555" s="142"/>
      <c r="H555" s="18"/>
      <c r="I555" s="142"/>
      <c r="J555" s="15"/>
      <c r="Q555" s="15"/>
      <c r="R555" s="18"/>
      <c r="S555" s="142"/>
      <c r="T555" s="142"/>
      <c r="U555" s="142"/>
      <c r="V555" s="18"/>
      <c r="W555" s="18"/>
      <c r="X555" s="18"/>
      <c r="Y555" s="142"/>
      <c r="Z555" s="18"/>
      <c r="AA555" s="18"/>
      <c r="AB555" s="18"/>
      <c r="AC555" s="18"/>
      <c r="AD555" s="18"/>
      <c r="AE555" s="18"/>
      <c r="AF555" s="18"/>
      <c r="AG555" s="18"/>
      <c r="AH555" s="18"/>
      <c r="AI555" s="18"/>
      <c r="AJ555" s="142"/>
      <c r="AK555" s="142"/>
      <c r="AL555" s="18"/>
      <c r="AM555" s="18"/>
      <c r="AN555" s="18"/>
      <c r="AO555" s="142"/>
    </row>
    <row r="556">
      <c r="A556" s="142"/>
      <c r="B556" s="18"/>
      <c r="C556" s="142"/>
      <c r="D556" s="18"/>
      <c r="E556" s="18"/>
      <c r="F556" s="18"/>
      <c r="G556" s="142"/>
      <c r="H556" s="18"/>
      <c r="I556" s="142"/>
      <c r="J556" s="15"/>
      <c r="Q556" s="15"/>
      <c r="R556" s="18"/>
      <c r="S556" s="142"/>
      <c r="T556" s="142"/>
      <c r="U556" s="142"/>
      <c r="V556" s="18"/>
      <c r="W556" s="18"/>
      <c r="X556" s="18"/>
      <c r="Y556" s="142"/>
      <c r="Z556" s="18"/>
      <c r="AA556" s="18"/>
      <c r="AB556" s="18"/>
      <c r="AC556" s="18"/>
      <c r="AD556" s="18"/>
      <c r="AE556" s="18"/>
      <c r="AF556" s="18"/>
      <c r="AG556" s="18"/>
      <c r="AH556" s="18"/>
      <c r="AI556" s="18"/>
      <c r="AJ556" s="142"/>
      <c r="AK556" s="142"/>
      <c r="AL556" s="18"/>
      <c r="AM556" s="18"/>
      <c r="AN556" s="18"/>
      <c r="AO556" s="142"/>
    </row>
    <row r="557">
      <c r="A557" s="142"/>
      <c r="B557" s="18"/>
      <c r="C557" s="142"/>
      <c r="D557" s="18"/>
      <c r="E557" s="18"/>
      <c r="F557" s="18"/>
      <c r="G557" s="142"/>
      <c r="H557" s="18"/>
      <c r="I557" s="142"/>
      <c r="J557" s="15"/>
      <c r="Q557" s="15"/>
      <c r="R557" s="18"/>
      <c r="S557" s="142"/>
      <c r="T557" s="142"/>
      <c r="U557" s="142"/>
      <c r="V557" s="18"/>
      <c r="W557" s="18"/>
      <c r="X557" s="18"/>
      <c r="Y557" s="142"/>
      <c r="Z557" s="18"/>
      <c r="AA557" s="18"/>
      <c r="AB557" s="18"/>
      <c r="AC557" s="18"/>
      <c r="AD557" s="18"/>
      <c r="AE557" s="18"/>
      <c r="AF557" s="18"/>
      <c r="AG557" s="18"/>
      <c r="AH557" s="18"/>
      <c r="AI557" s="18"/>
      <c r="AJ557" s="142"/>
      <c r="AK557" s="142"/>
      <c r="AL557" s="18"/>
      <c r="AM557" s="18"/>
      <c r="AN557" s="18"/>
      <c r="AO557" s="142"/>
    </row>
    <row r="558">
      <c r="A558" s="142"/>
      <c r="B558" s="18"/>
      <c r="C558" s="142"/>
      <c r="D558" s="18"/>
      <c r="E558" s="18"/>
      <c r="F558" s="18"/>
      <c r="G558" s="142"/>
      <c r="H558" s="18"/>
      <c r="I558" s="142"/>
      <c r="J558" s="15"/>
      <c r="Q558" s="15"/>
      <c r="R558" s="18"/>
      <c r="S558" s="142"/>
      <c r="T558" s="142"/>
      <c r="U558" s="142"/>
      <c r="V558" s="18"/>
      <c r="W558" s="18"/>
      <c r="X558" s="18"/>
      <c r="Y558" s="142"/>
      <c r="Z558" s="18"/>
      <c r="AA558" s="18"/>
      <c r="AB558" s="18"/>
      <c r="AC558" s="18"/>
      <c r="AD558" s="18"/>
      <c r="AE558" s="18"/>
      <c r="AF558" s="18"/>
      <c r="AG558" s="18"/>
      <c r="AH558" s="18"/>
      <c r="AI558" s="18"/>
      <c r="AJ558" s="142"/>
      <c r="AK558" s="142"/>
      <c r="AL558" s="18"/>
      <c r="AM558" s="18"/>
      <c r="AN558" s="18"/>
      <c r="AO558" s="142"/>
    </row>
    <row r="559">
      <c r="A559" s="142"/>
      <c r="B559" s="18"/>
      <c r="C559" s="142"/>
      <c r="D559" s="18"/>
      <c r="E559" s="18"/>
      <c r="F559" s="18"/>
      <c r="G559" s="142"/>
      <c r="H559" s="18"/>
      <c r="I559" s="142"/>
      <c r="J559" s="15"/>
      <c r="Q559" s="15"/>
      <c r="R559" s="18"/>
      <c r="S559" s="142"/>
      <c r="T559" s="142"/>
      <c r="U559" s="142"/>
      <c r="V559" s="18"/>
      <c r="W559" s="18"/>
      <c r="X559" s="18"/>
      <c r="Y559" s="142"/>
      <c r="Z559" s="18"/>
      <c r="AA559" s="18"/>
      <c r="AB559" s="18"/>
      <c r="AC559" s="18"/>
      <c r="AD559" s="18"/>
      <c r="AE559" s="18"/>
      <c r="AF559" s="18"/>
      <c r="AG559" s="18"/>
      <c r="AH559" s="18"/>
      <c r="AI559" s="18"/>
      <c r="AJ559" s="142"/>
      <c r="AK559" s="142"/>
      <c r="AL559" s="18"/>
      <c r="AM559" s="18"/>
      <c r="AN559" s="18"/>
      <c r="AO559" s="142"/>
    </row>
    <row r="560">
      <c r="A560" s="142"/>
      <c r="B560" s="18"/>
      <c r="C560" s="142"/>
      <c r="D560" s="18"/>
      <c r="E560" s="18"/>
      <c r="F560" s="18"/>
      <c r="G560" s="142"/>
      <c r="H560" s="18"/>
      <c r="I560" s="142"/>
      <c r="J560" s="15"/>
      <c r="Q560" s="15"/>
      <c r="R560" s="18"/>
      <c r="S560" s="142"/>
      <c r="T560" s="142"/>
      <c r="U560" s="142"/>
      <c r="V560" s="18"/>
      <c r="W560" s="18"/>
      <c r="X560" s="18"/>
      <c r="Y560" s="142"/>
      <c r="Z560" s="18"/>
      <c r="AA560" s="18"/>
      <c r="AB560" s="18"/>
      <c r="AC560" s="18"/>
      <c r="AD560" s="18"/>
      <c r="AE560" s="18"/>
      <c r="AF560" s="18"/>
      <c r="AG560" s="18"/>
      <c r="AH560" s="18"/>
      <c r="AI560" s="18"/>
      <c r="AJ560" s="142"/>
      <c r="AK560" s="142"/>
      <c r="AL560" s="18"/>
      <c r="AM560" s="18"/>
      <c r="AN560" s="18"/>
      <c r="AO560" s="142"/>
    </row>
    <row r="561">
      <c r="A561" s="142"/>
      <c r="B561" s="18"/>
      <c r="C561" s="142"/>
      <c r="D561" s="18"/>
      <c r="E561" s="18"/>
      <c r="F561" s="18"/>
      <c r="G561" s="142"/>
      <c r="H561" s="18"/>
      <c r="I561" s="142"/>
      <c r="J561" s="15"/>
      <c r="Q561" s="15"/>
      <c r="R561" s="18"/>
      <c r="S561" s="142"/>
      <c r="T561" s="142"/>
      <c r="U561" s="142"/>
      <c r="V561" s="18"/>
      <c r="W561" s="18"/>
      <c r="X561" s="18"/>
      <c r="Y561" s="142"/>
      <c r="Z561" s="18"/>
      <c r="AA561" s="18"/>
      <c r="AB561" s="18"/>
      <c r="AC561" s="18"/>
      <c r="AD561" s="18"/>
      <c r="AE561" s="18"/>
      <c r="AF561" s="18"/>
      <c r="AG561" s="18"/>
      <c r="AH561" s="18"/>
      <c r="AI561" s="18"/>
      <c r="AJ561" s="142"/>
      <c r="AK561" s="142"/>
      <c r="AL561" s="18"/>
      <c r="AM561" s="18"/>
      <c r="AN561" s="18"/>
      <c r="AO561" s="142"/>
    </row>
    <row r="562">
      <c r="A562" s="142"/>
      <c r="B562" s="18"/>
      <c r="C562" s="142"/>
      <c r="D562" s="18"/>
      <c r="E562" s="18"/>
      <c r="F562" s="18"/>
      <c r="G562" s="142"/>
      <c r="H562" s="18"/>
      <c r="I562" s="142"/>
      <c r="J562" s="15"/>
      <c r="Q562" s="15"/>
      <c r="R562" s="18"/>
      <c r="S562" s="142"/>
      <c r="T562" s="142"/>
      <c r="U562" s="142"/>
      <c r="V562" s="18"/>
      <c r="W562" s="18"/>
      <c r="X562" s="18"/>
      <c r="Y562" s="142"/>
      <c r="Z562" s="18"/>
      <c r="AA562" s="18"/>
      <c r="AB562" s="18"/>
      <c r="AC562" s="18"/>
      <c r="AD562" s="18"/>
      <c r="AE562" s="18"/>
      <c r="AF562" s="18"/>
      <c r="AG562" s="18"/>
      <c r="AH562" s="18"/>
      <c r="AI562" s="18"/>
      <c r="AJ562" s="142"/>
      <c r="AK562" s="142"/>
      <c r="AL562" s="18"/>
      <c r="AM562" s="18"/>
      <c r="AN562" s="18"/>
      <c r="AO562" s="142"/>
    </row>
    <row r="563">
      <c r="A563" s="142"/>
      <c r="B563" s="18"/>
      <c r="C563" s="142"/>
      <c r="D563" s="18"/>
      <c r="E563" s="18"/>
      <c r="F563" s="18"/>
      <c r="G563" s="142"/>
      <c r="H563" s="18"/>
      <c r="I563" s="142"/>
      <c r="J563" s="15"/>
      <c r="Q563" s="15"/>
      <c r="R563" s="18"/>
      <c r="S563" s="142"/>
      <c r="T563" s="142"/>
      <c r="U563" s="142"/>
      <c r="V563" s="18"/>
      <c r="W563" s="18"/>
      <c r="X563" s="18"/>
      <c r="Y563" s="142"/>
      <c r="Z563" s="18"/>
      <c r="AA563" s="18"/>
      <c r="AB563" s="18"/>
      <c r="AC563" s="18"/>
      <c r="AD563" s="18"/>
      <c r="AE563" s="18"/>
      <c r="AF563" s="18"/>
      <c r="AG563" s="18"/>
      <c r="AH563" s="18"/>
      <c r="AI563" s="18"/>
      <c r="AJ563" s="142"/>
      <c r="AK563" s="142"/>
      <c r="AL563" s="18"/>
      <c r="AM563" s="18"/>
      <c r="AN563" s="18"/>
      <c r="AO563" s="142"/>
    </row>
    <row r="564">
      <c r="A564" s="142"/>
      <c r="B564" s="18"/>
      <c r="C564" s="142"/>
      <c r="D564" s="18"/>
      <c r="E564" s="18"/>
      <c r="F564" s="18"/>
      <c r="G564" s="142"/>
      <c r="H564" s="18"/>
      <c r="I564" s="142"/>
      <c r="J564" s="15"/>
      <c r="Q564" s="15"/>
      <c r="R564" s="18"/>
      <c r="S564" s="142"/>
      <c r="T564" s="142"/>
      <c r="U564" s="142"/>
      <c r="V564" s="18"/>
      <c r="W564" s="18"/>
      <c r="X564" s="18"/>
      <c r="Y564" s="142"/>
      <c r="Z564" s="18"/>
      <c r="AA564" s="18"/>
      <c r="AB564" s="18"/>
      <c r="AC564" s="18"/>
      <c r="AD564" s="18"/>
      <c r="AE564" s="18"/>
      <c r="AF564" s="18"/>
      <c r="AG564" s="18"/>
      <c r="AH564" s="18"/>
      <c r="AI564" s="18"/>
      <c r="AJ564" s="142"/>
      <c r="AK564" s="142"/>
      <c r="AL564" s="18"/>
      <c r="AM564" s="18"/>
      <c r="AN564" s="18"/>
      <c r="AO564" s="142"/>
    </row>
    <row r="565">
      <c r="A565" s="142"/>
      <c r="B565" s="18"/>
      <c r="C565" s="142"/>
      <c r="D565" s="18"/>
      <c r="E565" s="18"/>
      <c r="F565" s="18"/>
      <c r="G565" s="142"/>
      <c r="H565" s="18"/>
      <c r="I565" s="142"/>
      <c r="J565" s="15"/>
      <c r="Q565" s="15"/>
      <c r="R565" s="18"/>
      <c r="S565" s="142"/>
      <c r="T565" s="142"/>
      <c r="U565" s="142"/>
      <c r="V565" s="18"/>
      <c r="W565" s="18"/>
      <c r="X565" s="18"/>
      <c r="Y565" s="142"/>
      <c r="Z565" s="18"/>
      <c r="AA565" s="18"/>
      <c r="AB565" s="18"/>
      <c r="AC565" s="18"/>
      <c r="AD565" s="18"/>
      <c r="AE565" s="18"/>
      <c r="AF565" s="18"/>
      <c r="AG565" s="18"/>
      <c r="AH565" s="18"/>
      <c r="AI565" s="18"/>
      <c r="AJ565" s="142"/>
      <c r="AK565" s="142"/>
      <c r="AL565" s="18"/>
      <c r="AM565" s="18"/>
      <c r="AN565" s="18"/>
      <c r="AO565" s="142"/>
    </row>
    <row r="566">
      <c r="A566" s="142"/>
      <c r="B566" s="18"/>
      <c r="C566" s="142"/>
      <c r="D566" s="18"/>
      <c r="E566" s="18"/>
      <c r="F566" s="18"/>
      <c r="G566" s="142"/>
      <c r="H566" s="18"/>
      <c r="I566" s="142"/>
      <c r="J566" s="15"/>
      <c r="Q566" s="15"/>
      <c r="R566" s="18"/>
      <c r="S566" s="142"/>
      <c r="T566" s="142"/>
      <c r="U566" s="142"/>
      <c r="V566" s="18"/>
      <c r="W566" s="18"/>
      <c r="X566" s="18"/>
      <c r="Y566" s="142"/>
      <c r="Z566" s="18"/>
      <c r="AA566" s="18"/>
      <c r="AB566" s="18"/>
      <c r="AC566" s="18"/>
      <c r="AD566" s="18"/>
      <c r="AE566" s="18"/>
      <c r="AF566" s="18"/>
      <c r="AG566" s="18"/>
      <c r="AH566" s="18"/>
      <c r="AI566" s="18"/>
      <c r="AJ566" s="142"/>
      <c r="AK566" s="142"/>
      <c r="AL566" s="18"/>
      <c r="AM566" s="18"/>
      <c r="AN566" s="18"/>
      <c r="AO566" s="142"/>
    </row>
    <row r="567">
      <c r="A567" s="142"/>
      <c r="B567" s="18"/>
      <c r="C567" s="142"/>
      <c r="D567" s="18"/>
      <c r="E567" s="18"/>
      <c r="F567" s="18"/>
      <c r="G567" s="142"/>
      <c r="H567" s="18"/>
      <c r="I567" s="142"/>
      <c r="J567" s="15"/>
      <c r="Q567" s="15"/>
      <c r="R567" s="18"/>
      <c r="S567" s="142"/>
      <c r="T567" s="142"/>
      <c r="U567" s="142"/>
      <c r="V567" s="18"/>
      <c r="W567" s="18"/>
      <c r="X567" s="18"/>
      <c r="Y567" s="142"/>
      <c r="Z567" s="18"/>
      <c r="AA567" s="18"/>
      <c r="AB567" s="18"/>
      <c r="AC567" s="18"/>
      <c r="AD567" s="18"/>
      <c r="AE567" s="18"/>
      <c r="AF567" s="18"/>
      <c r="AG567" s="18"/>
      <c r="AH567" s="18"/>
      <c r="AI567" s="18"/>
      <c r="AJ567" s="142"/>
      <c r="AK567" s="142"/>
      <c r="AL567" s="18"/>
      <c r="AM567" s="18"/>
      <c r="AN567" s="18"/>
      <c r="AO567" s="142"/>
    </row>
    <row r="568">
      <c r="A568" s="142"/>
      <c r="B568" s="18"/>
      <c r="C568" s="142"/>
      <c r="D568" s="18"/>
      <c r="E568" s="18"/>
      <c r="F568" s="18"/>
      <c r="G568" s="142"/>
      <c r="H568" s="18"/>
      <c r="I568" s="142"/>
      <c r="J568" s="15"/>
      <c r="Q568" s="15"/>
      <c r="R568" s="18"/>
      <c r="S568" s="142"/>
      <c r="T568" s="142"/>
      <c r="U568" s="142"/>
      <c r="V568" s="18"/>
      <c r="W568" s="18"/>
      <c r="X568" s="18"/>
      <c r="Y568" s="142"/>
      <c r="Z568" s="18"/>
      <c r="AA568" s="18"/>
      <c r="AB568" s="18"/>
      <c r="AC568" s="18"/>
      <c r="AD568" s="18"/>
      <c r="AE568" s="18"/>
      <c r="AF568" s="18"/>
      <c r="AG568" s="18"/>
      <c r="AH568" s="18"/>
      <c r="AI568" s="18"/>
      <c r="AJ568" s="142"/>
      <c r="AK568" s="142"/>
      <c r="AL568" s="18"/>
      <c r="AM568" s="18"/>
      <c r="AN568" s="18"/>
      <c r="AO568" s="142"/>
    </row>
    <row r="569">
      <c r="A569" s="142"/>
      <c r="B569" s="18"/>
      <c r="C569" s="142"/>
      <c r="D569" s="18"/>
      <c r="E569" s="18"/>
      <c r="F569" s="18"/>
      <c r="G569" s="142"/>
      <c r="H569" s="18"/>
      <c r="I569" s="142"/>
      <c r="J569" s="15"/>
      <c r="Q569" s="15"/>
      <c r="R569" s="18"/>
      <c r="S569" s="142"/>
      <c r="T569" s="142"/>
      <c r="U569" s="142"/>
      <c r="V569" s="18"/>
      <c r="W569" s="18"/>
      <c r="X569" s="18"/>
      <c r="Y569" s="142"/>
      <c r="Z569" s="18"/>
      <c r="AA569" s="18"/>
      <c r="AB569" s="18"/>
      <c r="AC569" s="18"/>
      <c r="AD569" s="18"/>
      <c r="AE569" s="18"/>
      <c r="AF569" s="18"/>
      <c r="AG569" s="18"/>
      <c r="AH569" s="18"/>
      <c r="AI569" s="18"/>
      <c r="AJ569" s="142"/>
      <c r="AK569" s="142"/>
      <c r="AL569" s="18"/>
      <c r="AM569" s="18"/>
      <c r="AN569" s="18"/>
      <c r="AO569" s="142"/>
    </row>
    <row r="570">
      <c r="A570" s="142"/>
      <c r="B570" s="18"/>
      <c r="C570" s="142"/>
      <c r="D570" s="18"/>
      <c r="E570" s="18"/>
      <c r="F570" s="18"/>
      <c r="G570" s="142"/>
      <c r="H570" s="18"/>
      <c r="I570" s="142"/>
      <c r="J570" s="15"/>
      <c r="Q570" s="15"/>
      <c r="R570" s="18"/>
      <c r="S570" s="142"/>
      <c r="T570" s="142"/>
      <c r="U570" s="142"/>
      <c r="V570" s="18"/>
      <c r="W570" s="18"/>
      <c r="X570" s="18"/>
      <c r="Y570" s="142"/>
      <c r="Z570" s="18"/>
      <c r="AA570" s="18"/>
      <c r="AB570" s="18"/>
      <c r="AC570" s="18"/>
      <c r="AD570" s="18"/>
      <c r="AE570" s="18"/>
      <c r="AF570" s="18"/>
      <c r="AG570" s="18"/>
      <c r="AH570" s="18"/>
      <c r="AI570" s="18"/>
      <c r="AJ570" s="142"/>
      <c r="AK570" s="142"/>
      <c r="AL570" s="18"/>
      <c r="AM570" s="18"/>
      <c r="AN570" s="18"/>
      <c r="AO570" s="142"/>
    </row>
    <row r="571">
      <c r="A571" s="142"/>
      <c r="B571" s="18"/>
      <c r="C571" s="142"/>
      <c r="D571" s="18"/>
      <c r="E571" s="18"/>
      <c r="F571" s="18"/>
      <c r="G571" s="142"/>
      <c r="H571" s="18"/>
      <c r="I571" s="142"/>
      <c r="J571" s="15"/>
      <c r="Q571" s="15"/>
      <c r="R571" s="18"/>
      <c r="S571" s="142"/>
      <c r="T571" s="142"/>
      <c r="U571" s="142"/>
      <c r="V571" s="18"/>
      <c r="W571" s="18"/>
      <c r="X571" s="18"/>
      <c r="Y571" s="142"/>
      <c r="Z571" s="18"/>
      <c r="AA571" s="18"/>
      <c r="AB571" s="18"/>
      <c r="AC571" s="18"/>
      <c r="AD571" s="18"/>
      <c r="AE571" s="18"/>
      <c r="AF571" s="18"/>
      <c r="AG571" s="18"/>
      <c r="AH571" s="18"/>
      <c r="AI571" s="18"/>
      <c r="AJ571" s="142"/>
      <c r="AK571" s="142"/>
      <c r="AL571" s="18"/>
      <c r="AM571" s="18"/>
      <c r="AN571" s="18"/>
      <c r="AO571" s="142"/>
    </row>
    <row r="572">
      <c r="A572" s="142"/>
      <c r="B572" s="18"/>
      <c r="C572" s="142"/>
      <c r="D572" s="18"/>
      <c r="E572" s="18"/>
      <c r="F572" s="18"/>
      <c r="G572" s="142"/>
      <c r="H572" s="18"/>
      <c r="I572" s="142"/>
      <c r="J572" s="15"/>
      <c r="Q572" s="15"/>
      <c r="R572" s="18"/>
      <c r="S572" s="142"/>
      <c r="T572" s="142"/>
      <c r="U572" s="142"/>
      <c r="V572" s="18"/>
      <c r="W572" s="18"/>
      <c r="X572" s="18"/>
      <c r="Y572" s="142"/>
      <c r="Z572" s="18"/>
      <c r="AA572" s="18"/>
      <c r="AB572" s="18"/>
      <c r="AC572" s="18"/>
      <c r="AD572" s="18"/>
      <c r="AE572" s="18"/>
      <c r="AF572" s="18"/>
      <c r="AG572" s="18"/>
      <c r="AH572" s="18"/>
      <c r="AI572" s="18"/>
      <c r="AJ572" s="142"/>
      <c r="AK572" s="142"/>
      <c r="AL572" s="18"/>
      <c r="AM572" s="18"/>
      <c r="AN572" s="18"/>
      <c r="AO572" s="142"/>
    </row>
    <row r="573">
      <c r="A573" s="142"/>
      <c r="B573" s="18"/>
      <c r="C573" s="142"/>
      <c r="D573" s="18"/>
      <c r="E573" s="18"/>
      <c r="F573" s="18"/>
      <c r="G573" s="142"/>
      <c r="H573" s="18"/>
      <c r="I573" s="142"/>
      <c r="J573" s="15"/>
      <c r="Q573" s="15"/>
      <c r="R573" s="18"/>
      <c r="S573" s="142"/>
      <c r="T573" s="142"/>
      <c r="U573" s="142"/>
      <c r="V573" s="18"/>
      <c r="W573" s="18"/>
      <c r="X573" s="18"/>
      <c r="Y573" s="142"/>
      <c r="Z573" s="18"/>
      <c r="AA573" s="18"/>
      <c r="AB573" s="18"/>
      <c r="AC573" s="18"/>
      <c r="AD573" s="18"/>
      <c r="AE573" s="18"/>
      <c r="AF573" s="18"/>
      <c r="AG573" s="18"/>
      <c r="AH573" s="18"/>
      <c r="AI573" s="18"/>
      <c r="AJ573" s="142"/>
      <c r="AK573" s="142"/>
      <c r="AL573" s="18"/>
      <c r="AM573" s="18"/>
      <c r="AN573" s="18"/>
      <c r="AO573" s="142"/>
    </row>
    <row r="574">
      <c r="A574" s="142"/>
      <c r="B574" s="18"/>
      <c r="C574" s="142"/>
      <c r="D574" s="18"/>
      <c r="E574" s="18"/>
      <c r="F574" s="18"/>
      <c r="G574" s="142"/>
      <c r="H574" s="18"/>
      <c r="I574" s="142"/>
      <c r="J574" s="15"/>
      <c r="Q574" s="15"/>
      <c r="R574" s="18"/>
      <c r="S574" s="142"/>
      <c r="T574" s="142"/>
      <c r="U574" s="142"/>
      <c r="V574" s="18"/>
      <c r="W574" s="18"/>
      <c r="X574" s="18"/>
      <c r="Y574" s="142"/>
      <c r="Z574" s="18"/>
      <c r="AA574" s="18"/>
      <c r="AB574" s="18"/>
      <c r="AC574" s="18"/>
      <c r="AD574" s="18"/>
      <c r="AE574" s="18"/>
      <c r="AF574" s="18"/>
      <c r="AG574" s="18"/>
      <c r="AH574" s="18"/>
      <c r="AI574" s="18"/>
      <c r="AJ574" s="142"/>
      <c r="AK574" s="142"/>
      <c r="AL574" s="18"/>
      <c r="AM574" s="18"/>
      <c r="AN574" s="18"/>
      <c r="AO574" s="142"/>
    </row>
    <row r="575">
      <c r="A575" s="142"/>
      <c r="B575" s="18"/>
      <c r="C575" s="142"/>
      <c r="D575" s="18"/>
      <c r="E575" s="18"/>
      <c r="F575" s="18"/>
      <c r="G575" s="142"/>
      <c r="H575" s="18"/>
      <c r="I575" s="142"/>
      <c r="J575" s="15"/>
      <c r="Q575" s="15"/>
      <c r="R575" s="18"/>
      <c r="S575" s="142"/>
      <c r="T575" s="142"/>
      <c r="U575" s="142"/>
      <c r="V575" s="18"/>
      <c r="W575" s="18"/>
      <c r="X575" s="18"/>
      <c r="Y575" s="142"/>
      <c r="Z575" s="18"/>
      <c r="AA575" s="18"/>
      <c r="AB575" s="18"/>
      <c r="AC575" s="18"/>
      <c r="AD575" s="18"/>
      <c r="AE575" s="18"/>
      <c r="AF575" s="18"/>
      <c r="AG575" s="18"/>
      <c r="AH575" s="18"/>
      <c r="AI575" s="18"/>
      <c r="AJ575" s="142"/>
      <c r="AK575" s="142"/>
      <c r="AL575" s="18"/>
      <c r="AM575" s="18"/>
      <c r="AN575" s="18"/>
      <c r="AO575" s="142"/>
    </row>
    <row r="576">
      <c r="A576" s="142"/>
      <c r="B576" s="18"/>
      <c r="C576" s="142"/>
      <c r="D576" s="18"/>
      <c r="E576" s="18"/>
      <c r="F576" s="18"/>
      <c r="G576" s="142"/>
      <c r="H576" s="18"/>
      <c r="I576" s="142"/>
      <c r="J576" s="15"/>
      <c r="Q576" s="15"/>
      <c r="R576" s="18"/>
      <c r="S576" s="142"/>
      <c r="T576" s="142"/>
      <c r="U576" s="142"/>
      <c r="V576" s="18"/>
      <c r="W576" s="18"/>
      <c r="X576" s="18"/>
      <c r="Y576" s="142"/>
      <c r="Z576" s="18"/>
      <c r="AA576" s="18"/>
      <c r="AB576" s="18"/>
      <c r="AC576" s="18"/>
      <c r="AD576" s="18"/>
      <c r="AE576" s="18"/>
      <c r="AF576" s="18"/>
      <c r="AG576" s="18"/>
      <c r="AH576" s="18"/>
      <c r="AI576" s="18"/>
      <c r="AJ576" s="142"/>
      <c r="AK576" s="142"/>
      <c r="AL576" s="18"/>
      <c r="AM576" s="18"/>
      <c r="AN576" s="18"/>
      <c r="AO576" s="142"/>
    </row>
    <row r="577">
      <c r="A577" s="142"/>
      <c r="B577" s="18"/>
      <c r="C577" s="142"/>
      <c r="D577" s="18"/>
      <c r="E577" s="18"/>
      <c r="F577" s="18"/>
      <c r="G577" s="142"/>
      <c r="H577" s="18"/>
      <c r="I577" s="142"/>
      <c r="J577" s="15"/>
      <c r="Q577" s="15"/>
      <c r="R577" s="18"/>
      <c r="S577" s="142"/>
      <c r="T577" s="142"/>
      <c r="U577" s="142"/>
      <c r="V577" s="18"/>
      <c r="W577" s="18"/>
      <c r="X577" s="18"/>
      <c r="Y577" s="142"/>
      <c r="Z577" s="18"/>
      <c r="AA577" s="18"/>
      <c r="AB577" s="18"/>
      <c r="AC577" s="18"/>
      <c r="AD577" s="18"/>
      <c r="AE577" s="18"/>
      <c r="AF577" s="18"/>
      <c r="AG577" s="18"/>
      <c r="AH577" s="18"/>
      <c r="AI577" s="18"/>
      <c r="AJ577" s="142"/>
      <c r="AK577" s="142"/>
      <c r="AL577" s="18"/>
      <c r="AM577" s="18"/>
      <c r="AN577" s="18"/>
      <c r="AO577" s="142"/>
    </row>
    <row r="578">
      <c r="A578" s="142"/>
      <c r="B578" s="18"/>
      <c r="C578" s="142"/>
      <c r="D578" s="18"/>
      <c r="E578" s="18"/>
      <c r="F578" s="18"/>
      <c r="G578" s="142"/>
      <c r="H578" s="18"/>
      <c r="I578" s="142"/>
      <c r="J578" s="15"/>
      <c r="Q578" s="15"/>
      <c r="R578" s="18"/>
      <c r="S578" s="142"/>
      <c r="T578" s="142"/>
      <c r="U578" s="142"/>
      <c r="V578" s="18"/>
      <c r="W578" s="18"/>
      <c r="X578" s="18"/>
      <c r="Y578" s="142"/>
      <c r="Z578" s="18"/>
      <c r="AA578" s="18"/>
      <c r="AB578" s="18"/>
      <c r="AC578" s="18"/>
      <c r="AD578" s="18"/>
      <c r="AE578" s="18"/>
      <c r="AF578" s="18"/>
      <c r="AG578" s="18"/>
      <c r="AH578" s="18"/>
      <c r="AI578" s="18"/>
      <c r="AJ578" s="142"/>
      <c r="AK578" s="142"/>
      <c r="AL578" s="18"/>
      <c r="AM578" s="18"/>
      <c r="AN578" s="18"/>
      <c r="AO578" s="142"/>
    </row>
    <row r="579">
      <c r="A579" s="142"/>
      <c r="B579" s="18"/>
      <c r="C579" s="142"/>
      <c r="D579" s="18"/>
      <c r="E579" s="18"/>
      <c r="F579" s="18"/>
      <c r="G579" s="142"/>
      <c r="H579" s="18"/>
      <c r="I579" s="142"/>
      <c r="J579" s="15"/>
      <c r="Q579" s="15"/>
      <c r="R579" s="18"/>
      <c r="S579" s="142"/>
      <c r="T579" s="142"/>
      <c r="U579" s="142"/>
      <c r="V579" s="18"/>
      <c r="W579" s="18"/>
      <c r="X579" s="18"/>
      <c r="Y579" s="142"/>
      <c r="Z579" s="18"/>
      <c r="AA579" s="18"/>
      <c r="AB579" s="18"/>
      <c r="AC579" s="18"/>
      <c r="AD579" s="18"/>
      <c r="AE579" s="18"/>
      <c r="AF579" s="18"/>
      <c r="AG579" s="18"/>
      <c r="AH579" s="18"/>
      <c r="AI579" s="18"/>
      <c r="AJ579" s="142"/>
      <c r="AK579" s="142"/>
      <c r="AL579" s="18"/>
      <c r="AM579" s="18"/>
      <c r="AN579" s="18"/>
      <c r="AO579" s="142"/>
    </row>
    <row r="580">
      <c r="A580" s="142"/>
      <c r="B580" s="18"/>
      <c r="C580" s="142"/>
      <c r="D580" s="18"/>
      <c r="E580" s="18"/>
      <c r="F580" s="18"/>
      <c r="G580" s="142"/>
      <c r="H580" s="18"/>
      <c r="I580" s="142"/>
      <c r="J580" s="15"/>
      <c r="Q580" s="15"/>
      <c r="R580" s="18"/>
      <c r="S580" s="142"/>
      <c r="T580" s="142"/>
      <c r="U580" s="142"/>
      <c r="V580" s="18"/>
      <c r="W580" s="18"/>
      <c r="X580" s="18"/>
      <c r="Y580" s="142"/>
      <c r="Z580" s="18"/>
      <c r="AA580" s="18"/>
      <c r="AB580" s="18"/>
      <c r="AC580" s="18"/>
      <c r="AD580" s="18"/>
      <c r="AE580" s="18"/>
      <c r="AF580" s="18"/>
      <c r="AG580" s="18"/>
      <c r="AH580" s="18"/>
      <c r="AI580" s="18"/>
      <c r="AJ580" s="142"/>
      <c r="AK580" s="142"/>
      <c r="AL580" s="18"/>
      <c r="AM580" s="18"/>
      <c r="AN580" s="18"/>
      <c r="AO580" s="142"/>
    </row>
    <row r="581">
      <c r="A581" s="142"/>
      <c r="B581" s="18"/>
      <c r="C581" s="142"/>
      <c r="D581" s="18"/>
      <c r="E581" s="18"/>
      <c r="F581" s="18"/>
      <c r="G581" s="142"/>
      <c r="H581" s="18"/>
      <c r="I581" s="142"/>
      <c r="J581" s="15"/>
      <c r="Q581" s="15"/>
      <c r="R581" s="18"/>
      <c r="S581" s="142"/>
      <c r="T581" s="142"/>
      <c r="U581" s="142"/>
      <c r="V581" s="18"/>
      <c r="W581" s="18"/>
      <c r="X581" s="18"/>
      <c r="Y581" s="142"/>
      <c r="Z581" s="18"/>
      <c r="AA581" s="18"/>
      <c r="AB581" s="18"/>
      <c r="AC581" s="18"/>
      <c r="AD581" s="18"/>
      <c r="AE581" s="18"/>
      <c r="AF581" s="18"/>
      <c r="AG581" s="18"/>
      <c r="AH581" s="18"/>
      <c r="AI581" s="18"/>
      <c r="AJ581" s="142"/>
      <c r="AK581" s="142"/>
      <c r="AL581" s="18"/>
      <c r="AM581" s="18"/>
      <c r="AN581" s="18"/>
      <c r="AO581" s="142"/>
    </row>
    <row r="582">
      <c r="A582" s="142"/>
      <c r="B582" s="18"/>
      <c r="C582" s="142"/>
      <c r="D582" s="18"/>
      <c r="E582" s="18"/>
      <c r="F582" s="18"/>
      <c r="G582" s="142"/>
      <c r="H582" s="18"/>
      <c r="I582" s="142"/>
      <c r="J582" s="15"/>
      <c r="Q582" s="15"/>
      <c r="R582" s="18"/>
      <c r="S582" s="142"/>
      <c r="T582" s="142"/>
      <c r="U582" s="142"/>
      <c r="V582" s="18"/>
      <c r="W582" s="18"/>
      <c r="X582" s="18"/>
      <c r="Y582" s="142"/>
      <c r="Z582" s="18"/>
      <c r="AA582" s="18"/>
      <c r="AB582" s="18"/>
      <c r="AC582" s="18"/>
      <c r="AD582" s="18"/>
      <c r="AE582" s="18"/>
      <c r="AF582" s="18"/>
      <c r="AG582" s="18"/>
      <c r="AH582" s="18"/>
      <c r="AI582" s="18"/>
      <c r="AJ582" s="142"/>
      <c r="AK582" s="142"/>
      <c r="AL582" s="18"/>
      <c r="AM582" s="18"/>
      <c r="AN582" s="18"/>
      <c r="AO582" s="142"/>
    </row>
    <row r="583">
      <c r="A583" s="142"/>
      <c r="B583" s="18"/>
      <c r="C583" s="142"/>
      <c r="D583" s="18"/>
      <c r="E583" s="18"/>
      <c r="F583" s="18"/>
      <c r="G583" s="142"/>
      <c r="H583" s="18"/>
      <c r="I583" s="142"/>
      <c r="J583" s="15"/>
      <c r="Q583" s="15"/>
      <c r="R583" s="18"/>
      <c r="S583" s="142"/>
      <c r="T583" s="142"/>
      <c r="U583" s="142"/>
      <c r="V583" s="18"/>
      <c r="W583" s="18"/>
      <c r="X583" s="18"/>
      <c r="Y583" s="142"/>
      <c r="Z583" s="18"/>
      <c r="AA583" s="18"/>
      <c r="AB583" s="18"/>
      <c r="AC583" s="18"/>
      <c r="AD583" s="18"/>
      <c r="AE583" s="18"/>
      <c r="AF583" s="18"/>
      <c r="AG583" s="18"/>
      <c r="AH583" s="18"/>
      <c r="AI583" s="18"/>
      <c r="AJ583" s="142"/>
      <c r="AK583" s="142"/>
      <c r="AL583" s="18"/>
      <c r="AM583" s="18"/>
      <c r="AN583" s="18"/>
      <c r="AO583" s="142"/>
    </row>
    <row r="584">
      <c r="A584" s="142"/>
      <c r="B584" s="18"/>
      <c r="C584" s="142"/>
      <c r="D584" s="18"/>
      <c r="E584" s="18"/>
      <c r="F584" s="18"/>
      <c r="G584" s="142"/>
      <c r="H584" s="18"/>
      <c r="I584" s="142"/>
      <c r="J584" s="15"/>
      <c r="Q584" s="15"/>
      <c r="R584" s="18"/>
      <c r="S584" s="142"/>
      <c r="T584" s="142"/>
      <c r="U584" s="142"/>
      <c r="V584" s="18"/>
      <c r="W584" s="18"/>
      <c r="X584" s="18"/>
      <c r="Y584" s="142"/>
      <c r="Z584" s="18"/>
      <c r="AA584" s="18"/>
      <c r="AB584" s="18"/>
      <c r="AC584" s="18"/>
      <c r="AD584" s="18"/>
      <c r="AE584" s="18"/>
      <c r="AF584" s="18"/>
      <c r="AG584" s="18"/>
      <c r="AH584" s="18"/>
      <c r="AI584" s="18"/>
      <c r="AJ584" s="142"/>
      <c r="AK584" s="142"/>
      <c r="AL584" s="18"/>
      <c r="AM584" s="18"/>
      <c r="AN584" s="18"/>
      <c r="AO584" s="142"/>
    </row>
    <row r="585">
      <c r="A585" s="142"/>
      <c r="B585" s="18"/>
      <c r="C585" s="142"/>
      <c r="D585" s="18"/>
      <c r="E585" s="18"/>
      <c r="F585" s="18"/>
      <c r="G585" s="142"/>
      <c r="H585" s="18"/>
      <c r="I585" s="142"/>
      <c r="J585" s="15"/>
      <c r="Q585" s="15"/>
      <c r="R585" s="18"/>
      <c r="S585" s="142"/>
      <c r="T585" s="142"/>
      <c r="U585" s="142"/>
      <c r="V585" s="18"/>
      <c r="W585" s="18"/>
      <c r="X585" s="18"/>
      <c r="Y585" s="142"/>
      <c r="Z585" s="18"/>
      <c r="AA585" s="18"/>
      <c r="AB585" s="18"/>
      <c r="AC585" s="18"/>
      <c r="AD585" s="18"/>
      <c r="AE585" s="18"/>
      <c r="AF585" s="18"/>
      <c r="AG585" s="18"/>
      <c r="AH585" s="18"/>
      <c r="AI585" s="18"/>
      <c r="AJ585" s="142"/>
      <c r="AK585" s="142"/>
      <c r="AL585" s="18"/>
      <c r="AM585" s="18"/>
      <c r="AN585" s="18"/>
      <c r="AO585" s="142"/>
    </row>
    <row r="586">
      <c r="A586" s="142"/>
      <c r="B586" s="18"/>
      <c r="C586" s="142"/>
      <c r="D586" s="18"/>
      <c r="E586" s="18"/>
      <c r="F586" s="18"/>
      <c r="G586" s="142"/>
      <c r="H586" s="18"/>
      <c r="I586" s="142"/>
      <c r="J586" s="15"/>
      <c r="Q586" s="15"/>
      <c r="R586" s="18"/>
      <c r="S586" s="142"/>
      <c r="T586" s="142"/>
      <c r="U586" s="142"/>
      <c r="V586" s="18"/>
      <c r="W586" s="18"/>
      <c r="X586" s="18"/>
      <c r="Y586" s="142"/>
      <c r="Z586" s="18"/>
      <c r="AA586" s="18"/>
      <c r="AB586" s="18"/>
      <c r="AC586" s="18"/>
      <c r="AD586" s="18"/>
      <c r="AE586" s="18"/>
      <c r="AF586" s="18"/>
      <c r="AG586" s="18"/>
      <c r="AH586" s="18"/>
      <c r="AI586" s="18"/>
      <c r="AJ586" s="142"/>
      <c r="AK586" s="142"/>
      <c r="AL586" s="18"/>
      <c r="AM586" s="18"/>
      <c r="AN586" s="18"/>
      <c r="AO586" s="142"/>
    </row>
    <row r="587">
      <c r="A587" s="142"/>
      <c r="B587" s="18"/>
      <c r="C587" s="142"/>
      <c r="D587" s="18"/>
      <c r="E587" s="18"/>
      <c r="F587" s="18"/>
      <c r="G587" s="142"/>
      <c r="H587" s="18"/>
      <c r="I587" s="142"/>
      <c r="J587" s="15"/>
      <c r="Q587" s="15"/>
      <c r="R587" s="18"/>
      <c r="S587" s="142"/>
      <c r="T587" s="142"/>
      <c r="U587" s="142"/>
      <c r="V587" s="18"/>
      <c r="W587" s="18"/>
      <c r="X587" s="18"/>
      <c r="Y587" s="142"/>
      <c r="Z587" s="18"/>
      <c r="AA587" s="18"/>
      <c r="AB587" s="18"/>
      <c r="AC587" s="18"/>
      <c r="AD587" s="18"/>
      <c r="AE587" s="18"/>
      <c r="AF587" s="18"/>
      <c r="AG587" s="18"/>
      <c r="AH587" s="18"/>
      <c r="AI587" s="18"/>
      <c r="AJ587" s="142"/>
      <c r="AK587" s="142"/>
      <c r="AL587" s="18"/>
      <c r="AM587" s="18"/>
      <c r="AN587" s="18"/>
      <c r="AO587" s="142"/>
    </row>
    <row r="588">
      <c r="A588" s="142"/>
      <c r="B588" s="18"/>
      <c r="C588" s="142"/>
      <c r="D588" s="18"/>
      <c r="E588" s="18"/>
      <c r="F588" s="18"/>
      <c r="G588" s="142"/>
      <c r="H588" s="18"/>
      <c r="I588" s="142"/>
      <c r="J588" s="15"/>
      <c r="Q588" s="15"/>
      <c r="R588" s="18"/>
      <c r="S588" s="142"/>
      <c r="T588" s="142"/>
      <c r="U588" s="142"/>
      <c r="V588" s="18"/>
      <c r="W588" s="18"/>
      <c r="X588" s="18"/>
      <c r="Y588" s="142"/>
      <c r="Z588" s="18"/>
      <c r="AA588" s="18"/>
      <c r="AB588" s="18"/>
      <c r="AC588" s="18"/>
      <c r="AD588" s="18"/>
      <c r="AE588" s="18"/>
      <c r="AF588" s="18"/>
      <c r="AG588" s="18"/>
      <c r="AH588" s="18"/>
      <c r="AI588" s="18"/>
      <c r="AJ588" s="142"/>
      <c r="AK588" s="142"/>
      <c r="AL588" s="18"/>
      <c r="AM588" s="18"/>
      <c r="AN588" s="18"/>
      <c r="AO588" s="142"/>
    </row>
    <row r="589">
      <c r="A589" s="142"/>
      <c r="B589" s="18"/>
      <c r="C589" s="142"/>
      <c r="D589" s="18"/>
      <c r="E589" s="18"/>
      <c r="F589" s="18"/>
      <c r="G589" s="142"/>
      <c r="H589" s="18"/>
      <c r="I589" s="142"/>
      <c r="J589" s="15"/>
      <c r="Q589" s="15"/>
      <c r="R589" s="18"/>
      <c r="S589" s="142"/>
      <c r="T589" s="142"/>
      <c r="U589" s="142"/>
      <c r="V589" s="18"/>
      <c r="W589" s="18"/>
      <c r="X589" s="18"/>
      <c r="Y589" s="142"/>
      <c r="Z589" s="18"/>
      <c r="AA589" s="18"/>
      <c r="AB589" s="18"/>
      <c r="AC589" s="18"/>
      <c r="AD589" s="18"/>
      <c r="AE589" s="18"/>
      <c r="AF589" s="18"/>
      <c r="AG589" s="18"/>
      <c r="AH589" s="18"/>
      <c r="AI589" s="18"/>
      <c r="AJ589" s="142"/>
      <c r="AK589" s="142"/>
      <c r="AL589" s="18"/>
      <c r="AM589" s="18"/>
      <c r="AN589" s="18"/>
      <c r="AO589" s="142"/>
    </row>
    <row r="590">
      <c r="A590" s="142"/>
      <c r="B590" s="18"/>
      <c r="C590" s="142"/>
      <c r="D590" s="18"/>
      <c r="E590" s="18"/>
      <c r="F590" s="18"/>
      <c r="G590" s="142"/>
      <c r="H590" s="18"/>
      <c r="I590" s="142"/>
      <c r="J590" s="15"/>
      <c r="Q590" s="15"/>
      <c r="R590" s="18"/>
      <c r="S590" s="142"/>
      <c r="T590" s="142"/>
      <c r="U590" s="142"/>
      <c r="V590" s="18"/>
      <c r="W590" s="18"/>
      <c r="X590" s="18"/>
      <c r="Y590" s="142"/>
      <c r="Z590" s="18"/>
      <c r="AA590" s="18"/>
      <c r="AB590" s="18"/>
      <c r="AC590" s="18"/>
      <c r="AD590" s="18"/>
      <c r="AE590" s="18"/>
      <c r="AF590" s="18"/>
      <c r="AG590" s="18"/>
      <c r="AH590" s="18"/>
      <c r="AI590" s="18"/>
      <c r="AJ590" s="142"/>
      <c r="AK590" s="142"/>
      <c r="AL590" s="18"/>
      <c r="AM590" s="18"/>
      <c r="AN590" s="18"/>
      <c r="AO590" s="142"/>
    </row>
    <row r="591">
      <c r="A591" s="142"/>
      <c r="B591" s="18"/>
      <c r="C591" s="142"/>
      <c r="D591" s="18"/>
      <c r="E591" s="18"/>
      <c r="F591" s="18"/>
      <c r="G591" s="142"/>
      <c r="H591" s="18"/>
      <c r="I591" s="142"/>
      <c r="J591" s="15"/>
      <c r="Q591" s="15"/>
      <c r="R591" s="18"/>
      <c r="S591" s="142"/>
      <c r="T591" s="142"/>
      <c r="U591" s="142"/>
      <c r="V591" s="18"/>
      <c r="W591" s="18"/>
      <c r="X591" s="18"/>
      <c r="Y591" s="142"/>
      <c r="Z591" s="18"/>
      <c r="AA591" s="18"/>
      <c r="AB591" s="18"/>
      <c r="AC591" s="18"/>
      <c r="AD591" s="18"/>
      <c r="AE591" s="18"/>
      <c r="AF591" s="18"/>
      <c r="AG591" s="18"/>
      <c r="AH591" s="18"/>
      <c r="AI591" s="18"/>
      <c r="AJ591" s="142"/>
      <c r="AK591" s="142"/>
      <c r="AL591" s="18"/>
      <c r="AM591" s="18"/>
      <c r="AN591" s="18"/>
      <c r="AO591" s="142"/>
    </row>
    <row r="592">
      <c r="A592" s="142"/>
      <c r="B592" s="18"/>
      <c r="C592" s="142"/>
      <c r="D592" s="18"/>
      <c r="E592" s="18"/>
      <c r="F592" s="18"/>
      <c r="G592" s="142"/>
      <c r="H592" s="18"/>
      <c r="I592" s="142"/>
      <c r="J592" s="15"/>
      <c r="Q592" s="15"/>
      <c r="R592" s="18"/>
      <c r="S592" s="142"/>
      <c r="T592" s="142"/>
      <c r="U592" s="142"/>
      <c r="V592" s="18"/>
      <c r="W592" s="18"/>
      <c r="X592" s="18"/>
      <c r="Y592" s="142"/>
      <c r="Z592" s="18"/>
      <c r="AA592" s="18"/>
      <c r="AB592" s="18"/>
      <c r="AC592" s="18"/>
      <c r="AD592" s="18"/>
      <c r="AE592" s="18"/>
      <c r="AF592" s="18"/>
      <c r="AG592" s="18"/>
      <c r="AH592" s="18"/>
      <c r="AI592" s="18"/>
      <c r="AJ592" s="142"/>
      <c r="AK592" s="142"/>
      <c r="AL592" s="18"/>
      <c r="AM592" s="18"/>
      <c r="AN592" s="18"/>
      <c r="AO592" s="142"/>
    </row>
    <row r="593">
      <c r="A593" s="142"/>
      <c r="B593" s="18"/>
      <c r="C593" s="142"/>
      <c r="D593" s="18"/>
      <c r="E593" s="18"/>
      <c r="F593" s="18"/>
      <c r="G593" s="142"/>
      <c r="H593" s="18"/>
      <c r="I593" s="142"/>
      <c r="J593" s="15"/>
      <c r="Q593" s="15"/>
      <c r="R593" s="18"/>
      <c r="S593" s="142"/>
      <c r="T593" s="142"/>
      <c r="U593" s="142"/>
      <c r="V593" s="18"/>
      <c r="W593" s="18"/>
      <c r="X593" s="18"/>
      <c r="Y593" s="142"/>
      <c r="Z593" s="18"/>
      <c r="AA593" s="18"/>
      <c r="AB593" s="18"/>
      <c r="AC593" s="18"/>
      <c r="AD593" s="18"/>
      <c r="AE593" s="18"/>
      <c r="AF593" s="18"/>
      <c r="AG593" s="18"/>
      <c r="AH593" s="18"/>
      <c r="AI593" s="18"/>
      <c r="AJ593" s="142"/>
      <c r="AK593" s="142"/>
      <c r="AL593" s="18"/>
      <c r="AM593" s="18"/>
      <c r="AN593" s="18"/>
      <c r="AO593" s="142"/>
    </row>
    <row r="594">
      <c r="A594" s="142"/>
      <c r="B594" s="18"/>
      <c r="C594" s="142"/>
      <c r="D594" s="18"/>
      <c r="E594" s="18"/>
      <c r="F594" s="18"/>
      <c r="G594" s="142"/>
      <c r="H594" s="18"/>
      <c r="I594" s="142"/>
      <c r="J594" s="15"/>
      <c r="Q594" s="15"/>
      <c r="R594" s="18"/>
      <c r="S594" s="142"/>
      <c r="T594" s="142"/>
      <c r="U594" s="142"/>
      <c r="V594" s="18"/>
      <c r="W594" s="18"/>
      <c r="X594" s="18"/>
      <c r="Y594" s="142"/>
      <c r="Z594" s="18"/>
      <c r="AA594" s="18"/>
      <c r="AB594" s="18"/>
      <c r="AC594" s="18"/>
      <c r="AD594" s="18"/>
      <c r="AE594" s="18"/>
      <c r="AF594" s="18"/>
      <c r="AG594" s="18"/>
      <c r="AH594" s="18"/>
      <c r="AI594" s="18"/>
      <c r="AJ594" s="142"/>
      <c r="AK594" s="142"/>
      <c r="AL594" s="18"/>
      <c r="AM594" s="18"/>
      <c r="AN594" s="18"/>
      <c r="AO594" s="142"/>
    </row>
    <row r="595">
      <c r="A595" s="142"/>
      <c r="B595" s="18"/>
      <c r="C595" s="142"/>
      <c r="D595" s="18"/>
      <c r="E595" s="18"/>
      <c r="F595" s="18"/>
      <c r="G595" s="142"/>
      <c r="H595" s="18"/>
      <c r="I595" s="142"/>
      <c r="J595" s="15"/>
      <c r="Q595" s="15"/>
      <c r="R595" s="18"/>
      <c r="S595" s="142"/>
      <c r="T595" s="142"/>
      <c r="U595" s="142"/>
      <c r="V595" s="18"/>
      <c r="W595" s="18"/>
      <c r="X595" s="18"/>
      <c r="Y595" s="142"/>
      <c r="Z595" s="18"/>
      <c r="AA595" s="18"/>
      <c r="AB595" s="18"/>
      <c r="AC595" s="18"/>
      <c r="AD595" s="18"/>
      <c r="AE595" s="18"/>
      <c r="AF595" s="18"/>
      <c r="AG595" s="18"/>
      <c r="AH595" s="18"/>
      <c r="AI595" s="18"/>
      <c r="AJ595" s="142"/>
      <c r="AK595" s="142"/>
      <c r="AL595" s="18"/>
      <c r="AM595" s="18"/>
      <c r="AN595" s="18"/>
      <c r="AO595" s="142"/>
    </row>
    <row r="596">
      <c r="A596" s="142"/>
      <c r="B596" s="18"/>
      <c r="C596" s="142"/>
      <c r="D596" s="18"/>
      <c r="E596" s="18"/>
      <c r="F596" s="18"/>
      <c r="G596" s="142"/>
      <c r="H596" s="18"/>
      <c r="I596" s="142"/>
      <c r="J596" s="15"/>
      <c r="Q596" s="15"/>
      <c r="R596" s="18"/>
      <c r="S596" s="142"/>
      <c r="T596" s="142"/>
      <c r="U596" s="142"/>
      <c r="V596" s="18"/>
      <c r="W596" s="18"/>
      <c r="X596" s="18"/>
      <c r="Y596" s="142"/>
      <c r="Z596" s="18"/>
      <c r="AA596" s="18"/>
      <c r="AB596" s="18"/>
      <c r="AC596" s="18"/>
      <c r="AD596" s="18"/>
      <c r="AE596" s="18"/>
      <c r="AF596" s="18"/>
      <c r="AG596" s="18"/>
      <c r="AH596" s="18"/>
      <c r="AI596" s="18"/>
      <c r="AJ596" s="142"/>
      <c r="AK596" s="142"/>
      <c r="AL596" s="18"/>
      <c r="AM596" s="18"/>
      <c r="AN596" s="18"/>
      <c r="AO596" s="142"/>
    </row>
    <row r="597">
      <c r="A597" s="142"/>
      <c r="B597" s="18"/>
      <c r="C597" s="142"/>
      <c r="D597" s="18"/>
      <c r="E597" s="18"/>
      <c r="F597" s="18"/>
      <c r="G597" s="142"/>
      <c r="H597" s="18"/>
      <c r="I597" s="142"/>
      <c r="J597" s="15"/>
      <c r="Q597" s="15"/>
      <c r="R597" s="18"/>
      <c r="S597" s="142"/>
      <c r="T597" s="142"/>
      <c r="U597" s="142"/>
      <c r="V597" s="18"/>
      <c r="W597" s="18"/>
      <c r="X597" s="18"/>
      <c r="Y597" s="142"/>
      <c r="Z597" s="18"/>
      <c r="AA597" s="18"/>
      <c r="AB597" s="18"/>
      <c r="AC597" s="18"/>
      <c r="AD597" s="18"/>
      <c r="AE597" s="18"/>
      <c r="AF597" s="18"/>
      <c r="AG597" s="18"/>
      <c r="AH597" s="18"/>
      <c r="AI597" s="18"/>
      <c r="AJ597" s="142"/>
      <c r="AK597" s="142"/>
      <c r="AL597" s="18"/>
      <c r="AM597" s="18"/>
      <c r="AN597" s="18"/>
      <c r="AO597" s="142"/>
    </row>
    <row r="598">
      <c r="A598" s="142"/>
      <c r="B598" s="18"/>
      <c r="C598" s="142"/>
      <c r="D598" s="18"/>
      <c r="E598" s="18"/>
      <c r="F598" s="18"/>
      <c r="G598" s="142"/>
      <c r="H598" s="18"/>
      <c r="I598" s="142"/>
      <c r="J598" s="15"/>
      <c r="Q598" s="15"/>
      <c r="R598" s="18"/>
      <c r="S598" s="142"/>
      <c r="T598" s="142"/>
      <c r="U598" s="142"/>
      <c r="V598" s="18"/>
      <c r="W598" s="18"/>
      <c r="X598" s="18"/>
      <c r="Y598" s="142"/>
      <c r="Z598" s="18"/>
      <c r="AA598" s="18"/>
      <c r="AB598" s="18"/>
      <c r="AC598" s="18"/>
      <c r="AD598" s="18"/>
      <c r="AE598" s="18"/>
      <c r="AF598" s="18"/>
      <c r="AG598" s="18"/>
      <c r="AH598" s="18"/>
      <c r="AI598" s="18"/>
      <c r="AJ598" s="142"/>
      <c r="AK598" s="142"/>
      <c r="AL598" s="18"/>
      <c r="AM598" s="18"/>
      <c r="AN598" s="18"/>
      <c r="AO598" s="142"/>
    </row>
    <row r="599">
      <c r="A599" s="142"/>
      <c r="B599" s="18"/>
      <c r="C599" s="142"/>
      <c r="D599" s="18"/>
      <c r="E599" s="18"/>
      <c r="F599" s="18"/>
      <c r="G599" s="142"/>
      <c r="H599" s="18"/>
      <c r="I599" s="142"/>
      <c r="J599" s="15"/>
      <c r="Q599" s="15"/>
      <c r="R599" s="18"/>
      <c r="S599" s="142"/>
      <c r="T599" s="142"/>
      <c r="U599" s="142"/>
      <c r="V599" s="18"/>
      <c r="W599" s="18"/>
      <c r="X599" s="18"/>
      <c r="Y599" s="142"/>
      <c r="Z599" s="18"/>
      <c r="AA599" s="18"/>
      <c r="AB599" s="18"/>
      <c r="AC599" s="18"/>
      <c r="AD599" s="18"/>
      <c r="AE599" s="18"/>
      <c r="AF599" s="18"/>
      <c r="AG599" s="18"/>
      <c r="AH599" s="18"/>
      <c r="AI599" s="18"/>
      <c r="AJ599" s="142"/>
      <c r="AK599" s="142"/>
      <c r="AL599" s="18"/>
      <c r="AM599" s="18"/>
      <c r="AN599" s="18"/>
      <c r="AO599" s="142"/>
    </row>
    <row r="600">
      <c r="A600" s="142"/>
      <c r="B600" s="18"/>
      <c r="C600" s="142"/>
      <c r="D600" s="18"/>
      <c r="E600" s="18"/>
      <c r="F600" s="18"/>
      <c r="G600" s="142"/>
      <c r="H600" s="18"/>
      <c r="I600" s="142"/>
      <c r="J600" s="15"/>
      <c r="Q600" s="15"/>
      <c r="R600" s="18"/>
      <c r="S600" s="142"/>
      <c r="T600" s="142"/>
      <c r="U600" s="142"/>
      <c r="V600" s="18"/>
      <c r="W600" s="18"/>
      <c r="X600" s="18"/>
      <c r="Y600" s="142"/>
      <c r="Z600" s="18"/>
      <c r="AA600" s="18"/>
      <c r="AB600" s="18"/>
      <c r="AC600" s="18"/>
      <c r="AD600" s="18"/>
      <c r="AE600" s="18"/>
      <c r="AF600" s="18"/>
      <c r="AG600" s="18"/>
      <c r="AH600" s="18"/>
      <c r="AI600" s="18"/>
      <c r="AJ600" s="142"/>
      <c r="AK600" s="142"/>
      <c r="AL600" s="18"/>
      <c r="AM600" s="18"/>
      <c r="AN600" s="18"/>
      <c r="AO600" s="142"/>
    </row>
    <row r="601">
      <c r="A601" s="142"/>
      <c r="B601" s="18"/>
      <c r="C601" s="142"/>
      <c r="D601" s="18"/>
      <c r="E601" s="18"/>
      <c r="F601" s="18"/>
      <c r="G601" s="142"/>
      <c r="H601" s="18"/>
      <c r="I601" s="142"/>
      <c r="J601" s="15"/>
      <c r="Q601" s="15"/>
      <c r="R601" s="18"/>
      <c r="S601" s="142"/>
      <c r="T601" s="142"/>
      <c r="U601" s="142"/>
      <c r="V601" s="18"/>
      <c r="W601" s="18"/>
      <c r="X601" s="18"/>
      <c r="Y601" s="142"/>
      <c r="Z601" s="18"/>
      <c r="AA601" s="18"/>
      <c r="AB601" s="18"/>
      <c r="AC601" s="18"/>
      <c r="AD601" s="18"/>
      <c r="AE601" s="18"/>
      <c r="AF601" s="18"/>
      <c r="AG601" s="18"/>
      <c r="AH601" s="18"/>
      <c r="AI601" s="18"/>
      <c r="AJ601" s="142"/>
      <c r="AK601" s="142"/>
      <c r="AL601" s="18"/>
      <c r="AM601" s="18"/>
      <c r="AN601" s="18"/>
      <c r="AO601" s="142"/>
    </row>
    <row r="602">
      <c r="A602" s="142"/>
      <c r="B602" s="18"/>
      <c r="C602" s="142"/>
      <c r="D602" s="18"/>
      <c r="E602" s="18"/>
      <c r="F602" s="18"/>
      <c r="G602" s="142"/>
      <c r="H602" s="18"/>
      <c r="I602" s="142"/>
      <c r="J602" s="15"/>
      <c r="Q602" s="15"/>
      <c r="R602" s="18"/>
      <c r="S602" s="142"/>
      <c r="T602" s="142"/>
      <c r="U602" s="142"/>
      <c r="V602" s="18"/>
      <c r="W602" s="18"/>
      <c r="X602" s="18"/>
      <c r="Y602" s="142"/>
      <c r="Z602" s="18"/>
      <c r="AA602" s="18"/>
      <c r="AB602" s="18"/>
      <c r="AC602" s="18"/>
      <c r="AD602" s="18"/>
      <c r="AE602" s="18"/>
      <c r="AF602" s="18"/>
      <c r="AG602" s="18"/>
      <c r="AH602" s="18"/>
      <c r="AI602" s="18"/>
      <c r="AJ602" s="142"/>
      <c r="AK602" s="142"/>
      <c r="AL602" s="18"/>
      <c r="AM602" s="18"/>
      <c r="AN602" s="18"/>
      <c r="AO602" s="142"/>
    </row>
    <row r="603">
      <c r="A603" s="142"/>
      <c r="B603" s="18"/>
      <c r="C603" s="142"/>
      <c r="D603" s="18"/>
      <c r="E603" s="18"/>
      <c r="F603" s="18"/>
      <c r="G603" s="142"/>
      <c r="H603" s="18"/>
      <c r="I603" s="142"/>
      <c r="J603" s="15"/>
      <c r="Q603" s="15"/>
      <c r="R603" s="18"/>
      <c r="S603" s="142"/>
      <c r="T603" s="142"/>
      <c r="U603" s="142"/>
      <c r="V603" s="18"/>
      <c r="W603" s="18"/>
      <c r="X603" s="18"/>
      <c r="Y603" s="142"/>
      <c r="Z603" s="18"/>
      <c r="AA603" s="18"/>
      <c r="AB603" s="18"/>
      <c r="AC603" s="18"/>
      <c r="AD603" s="18"/>
      <c r="AE603" s="18"/>
      <c r="AF603" s="18"/>
      <c r="AG603" s="18"/>
      <c r="AH603" s="18"/>
      <c r="AI603" s="18"/>
      <c r="AJ603" s="142"/>
      <c r="AK603" s="142"/>
      <c r="AL603" s="18"/>
      <c r="AM603" s="18"/>
      <c r="AN603" s="18"/>
      <c r="AO603" s="142"/>
    </row>
    <row r="604">
      <c r="A604" s="142"/>
      <c r="B604" s="18"/>
      <c r="C604" s="142"/>
      <c r="D604" s="18"/>
      <c r="E604" s="18"/>
      <c r="F604" s="18"/>
      <c r="G604" s="142"/>
      <c r="H604" s="18"/>
      <c r="I604" s="142"/>
      <c r="J604" s="15"/>
      <c r="Q604" s="15"/>
      <c r="R604" s="18"/>
      <c r="S604" s="142"/>
      <c r="T604" s="142"/>
      <c r="U604" s="142"/>
      <c r="V604" s="18"/>
      <c r="W604" s="18"/>
      <c r="X604" s="18"/>
      <c r="Y604" s="142"/>
      <c r="Z604" s="18"/>
      <c r="AA604" s="18"/>
      <c r="AB604" s="18"/>
      <c r="AC604" s="18"/>
      <c r="AD604" s="18"/>
      <c r="AE604" s="18"/>
      <c r="AF604" s="18"/>
      <c r="AG604" s="18"/>
      <c r="AH604" s="18"/>
      <c r="AI604" s="18"/>
      <c r="AJ604" s="142"/>
      <c r="AK604" s="142"/>
      <c r="AL604" s="18"/>
      <c r="AM604" s="18"/>
      <c r="AN604" s="18"/>
      <c r="AO604" s="142"/>
    </row>
    <row r="605">
      <c r="A605" s="142"/>
      <c r="B605" s="18"/>
      <c r="C605" s="142"/>
      <c r="D605" s="18"/>
      <c r="E605" s="18"/>
      <c r="F605" s="18"/>
      <c r="G605" s="142"/>
      <c r="H605" s="18"/>
      <c r="I605" s="142"/>
      <c r="J605" s="15"/>
      <c r="Q605" s="15"/>
      <c r="R605" s="18"/>
      <c r="S605" s="142"/>
      <c r="T605" s="142"/>
      <c r="U605" s="142"/>
      <c r="V605" s="18"/>
      <c r="W605" s="18"/>
      <c r="X605" s="18"/>
      <c r="Y605" s="142"/>
      <c r="Z605" s="18"/>
      <c r="AA605" s="18"/>
      <c r="AB605" s="18"/>
      <c r="AC605" s="18"/>
      <c r="AD605" s="18"/>
      <c r="AE605" s="18"/>
      <c r="AF605" s="18"/>
      <c r="AG605" s="18"/>
      <c r="AH605" s="18"/>
      <c r="AI605" s="18"/>
      <c r="AJ605" s="142"/>
      <c r="AK605" s="142"/>
      <c r="AL605" s="18"/>
      <c r="AM605" s="18"/>
      <c r="AN605" s="18"/>
      <c r="AO605" s="142"/>
    </row>
    <row r="606">
      <c r="A606" s="142"/>
      <c r="B606" s="18"/>
      <c r="C606" s="142"/>
      <c r="D606" s="18"/>
      <c r="E606" s="18"/>
      <c r="F606" s="18"/>
      <c r="G606" s="142"/>
      <c r="H606" s="18"/>
      <c r="I606" s="142"/>
      <c r="J606" s="15"/>
      <c r="Q606" s="15"/>
      <c r="R606" s="18"/>
      <c r="S606" s="142"/>
      <c r="T606" s="142"/>
      <c r="U606" s="142"/>
      <c r="V606" s="18"/>
      <c r="W606" s="18"/>
      <c r="X606" s="18"/>
      <c r="Y606" s="142"/>
      <c r="Z606" s="18"/>
      <c r="AA606" s="18"/>
      <c r="AB606" s="18"/>
      <c r="AC606" s="18"/>
      <c r="AD606" s="18"/>
      <c r="AE606" s="18"/>
      <c r="AF606" s="18"/>
      <c r="AG606" s="18"/>
      <c r="AH606" s="18"/>
      <c r="AI606" s="18"/>
      <c r="AJ606" s="142"/>
      <c r="AK606" s="142"/>
      <c r="AL606" s="18"/>
      <c r="AM606" s="18"/>
      <c r="AN606" s="18"/>
      <c r="AO606" s="142"/>
    </row>
    <row r="607">
      <c r="A607" s="142"/>
      <c r="B607" s="18"/>
      <c r="C607" s="142"/>
      <c r="D607" s="18"/>
      <c r="E607" s="18"/>
      <c r="F607" s="18"/>
      <c r="G607" s="142"/>
      <c r="H607" s="18"/>
      <c r="I607" s="142"/>
      <c r="J607" s="15"/>
      <c r="Q607" s="15"/>
      <c r="R607" s="18"/>
      <c r="S607" s="142"/>
      <c r="T607" s="142"/>
      <c r="U607" s="142"/>
      <c r="V607" s="18"/>
      <c r="W607" s="18"/>
      <c r="X607" s="18"/>
      <c r="Y607" s="142"/>
      <c r="Z607" s="18"/>
      <c r="AA607" s="18"/>
      <c r="AB607" s="18"/>
      <c r="AC607" s="18"/>
      <c r="AD607" s="18"/>
      <c r="AE607" s="18"/>
      <c r="AF607" s="18"/>
      <c r="AG607" s="18"/>
      <c r="AH607" s="18"/>
      <c r="AI607" s="18"/>
      <c r="AJ607" s="142"/>
      <c r="AK607" s="142"/>
      <c r="AL607" s="18"/>
      <c r="AM607" s="18"/>
      <c r="AN607" s="18"/>
      <c r="AO607" s="142"/>
    </row>
    <row r="608">
      <c r="A608" s="142"/>
      <c r="B608" s="18"/>
      <c r="C608" s="142"/>
      <c r="D608" s="18"/>
      <c r="E608" s="18"/>
      <c r="F608" s="18"/>
      <c r="G608" s="142"/>
      <c r="H608" s="18"/>
      <c r="I608" s="142"/>
      <c r="J608" s="15"/>
      <c r="Q608" s="15"/>
      <c r="R608" s="18"/>
      <c r="S608" s="142"/>
      <c r="T608" s="142"/>
      <c r="U608" s="142"/>
      <c r="V608" s="18"/>
      <c r="W608" s="18"/>
      <c r="X608" s="18"/>
      <c r="Y608" s="142"/>
      <c r="Z608" s="18"/>
      <c r="AA608" s="18"/>
      <c r="AB608" s="18"/>
      <c r="AC608" s="18"/>
      <c r="AD608" s="18"/>
      <c r="AE608" s="18"/>
      <c r="AF608" s="18"/>
      <c r="AG608" s="18"/>
      <c r="AH608" s="18"/>
      <c r="AI608" s="18"/>
      <c r="AJ608" s="142"/>
      <c r="AK608" s="142"/>
      <c r="AL608" s="18"/>
      <c r="AM608" s="18"/>
      <c r="AN608" s="18"/>
      <c r="AO608" s="142"/>
    </row>
    <row r="609">
      <c r="A609" s="142"/>
      <c r="B609" s="18"/>
      <c r="C609" s="142"/>
      <c r="D609" s="18"/>
      <c r="E609" s="18"/>
      <c r="F609" s="18"/>
      <c r="G609" s="142"/>
      <c r="H609" s="18"/>
      <c r="I609" s="142"/>
      <c r="J609" s="15"/>
      <c r="Q609" s="15"/>
      <c r="R609" s="18"/>
      <c r="S609" s="142"/>
      <c r="T609" s="142"/>
      <c r="U609" s="142"/>
      <c r="V609" s="18"/>
      <c r="W609" s="18"/>
      <c r="X609" s="18"/>
      <c r="Y609" s="142"/>
      <c r="Z609" s="18"/>
      <c r="AA609" s="18"/>
      <c r="AB609" s="18"/>
      <c r="AC609" s="18"/>
      <c r="AD609" s="18"/>
      <c r="AE609" s="18"/>
      <c r="AF609" s="18"/>
      <c r="AG609" s="18"/>
      <c r="AH609" s="18"/>
      <c r="AI609" s="18"/>
      <c r="AJ609" s="142"/>
      <c r="AK609" s="142"/>
      <c r="AL609" s="18"/>
      <c r="AM609" s="18"/>
      <c r="AN609" s="18"/>
      <c r="AO609" s="142"/>
    </row>
    <row r="610">
      <c r="A610" s="142"/>
      <c r="B610" s="18"/>
      <c r="C610" s="142"/>
      <c r="D610" s="18"/>
      <c r="E610" s="18"/>
      <c r="F610" s="18"/>
      <c r="G610" s="142"/>
      <c r="H610" s="18"/>
      <c r="I610" s="142"/>
      <c r="J610" s="15"/>
      <c r="Q610" s="15"/>
      <c r="R610" s="18"/>
      <c r="S610" s="142"/>
      <c r="T610" s="142"/>
      <c r="U610" s="142"/>
      <c r="V610" s="18"/>
      <c r="W610" s="18"/>
      <c r="X610" s="18"/>
      <c r="Y610" s="142"/>
      <c r="Z610" s="18"/>
      <c r="AA610" s="18"/>
      <c r="AB610" s="18"/>
      <c r="AC610" s="18"/>
      <c r="AD610" s="18"/>
      <c r="AE610" s="18"/>
      <c r="AF610" s="18"/>
      <c r="AG610" s="18"/>
      <c r="AH610" s="18"/>
      <c r="AI610" s="18"/>
      <c r="AJ610" s="142"/>
      <c r="AK610" s="142"/>
      <c r="AL610" s="18"/>
      <c r="AM610" s="18"/>
      <c r="AN610" s="18"/>
      <c r="AO610" s="142"/>
    </row>
    <row r="611">
      <c r="A611" s="142"/>
      <c r="B611" s="18"/>
      <c r="C611" s="142"/>
      <c r="D611" s="18"/>
      <c r="E611" s="18"/>
      <c r="F611" s="18"/>
      <c r="G611" s="142"/>
      <c r="H611" s="18"/>
      <c r="I611" s="142"/>
      <c r="J611" s="15"/>
      <c r="Q611" s="15"/>
      <c r="R611" s="18"/>
      <c r="S611" s="142"/>
      <c r="T611" s="142"/>
      <c r="U611" s="142"/>
      <c r="V611" s="18"/>
      <c r="W611" s="18"/>
      <c r="X611" s="18"/>
      <c r="Y611" s="142"/>
      <c r="Z611" s="18"/>
      <c r="AA611" s="18"/>
      <c r="AB611" s="18"/>
      <c r="AC611" s="18"/>
      <c r="AD611" s="18"/>
      <c r="AE611" s="18"/>
      <c r="AF611" s="18"/>
      <c r="AG611" s="18"/>
      <c r="AH611" s="18"/>
      <c r="AI611" s="18"/>
      <c r="AJ611" s="142"/>
      <c r="AK611" s="142"/>
      <c r="AL611" s="18"/>
      <c r="AM611" s="18"/>
      <c r="AN611" s="18"/>
      <c r="AO611" s="142"/>
    </row>
    <row r="612">
      <c r="A612" s="142"/>
      <c r="B612" s="18"/>
      <c r="C612" s="142"/>
      <c r="D612" s="18"/>
      <c r="E612" s="18"/>
      <c r="F612" s="18"/>
      <c r="G612" s="142"/>
      <c r="H612" s="18"/>
      <c r="I612" s="142"/>
      <c r="J612" s="15"/>
      <c r="Q612" s="15"/>
      <c r="R612" s="18"/>
      <c r="S612" s="142"/>
      <c r="T612" s="142"/>
      <c r="U612" s="142"/>
      <c r="V612" s="18"/>
      <c r="W612" s="18"/>
      <c r="X612" s="18"/>
      <c r="Y612" s="142"/>
      <c r="Z612" s="18"/>
      <c r="AA612" s="18"/>
      <c r="AB612" s="18"/>
      <c r="AC612" s="18"/>
      <c r="AD612" s="18"/>
      <c r="AE612" s="18"/>
      <c r="AF612" s="18"/>
      <c r="AG612" s="18"/>
      <c r="AH612" s="18"/>
      <c r="AI612" s="18"/>
      <c r="AJ612" s="142"/>
      <c r="AK612" s="142"/>
      <c r="AL612" s="18"/>
      <c r="AM612" s="18"/>
      <c r="AN612" s="18"/>
      <c r="AO612" s="142"/>
    </row>
    <row r="613">
      <c r="A613" s="142"/>
      <c r="B613" s="18"/>
      <c r="C613" s="142"/>
      <c r="D613" s="18"/>
      <c r="E613" s="18"/>
      <c r="F613" s="18"/>
      <c r="G613" s="142"/>
      <c r="H613" s="18"/>
      <c r="I613" s="142"/>
      <c r="J613" s="15"/>
      <c r="Q613" s="15"/>
      <c r="R613" s="18"/>
      <c r="S613" s="142"/>
      <c r="T613" s="142"/>
      <c r="U613" s="142"/>
      <c r="V613" s="18"/>
      <c r="W613" s="18"/>
      <c r="X613" s="18"/>
      <c r="Y613" s="142"/>
      <c r="Z613" s="18"/>
      <c r="AA613" s="18"/>
      <c r="AB613" s="18"/>
      <c r="AC613" s="18"/>
      <c r="AD613" s="18"/>
      <c r="AE613" s="18"/>
      <c r="AF613" s="18"/>
      <c r="AG613" s="18"/>
      <c r="AH613" s="18"/>
      <c r="AI613" s="18"/>
      <c r="AJ613" s="142"/>
      <c r="AK613" s="142"/>
      <c r="AL613" s="18"/>
      <c r="AM613" s="18"/>
      <c r="AN613" s="18"/>
      <c r="AO613" s="142"/>
    </row>
    <row r="614">
      <c r="A614" s="142"/>
      <c r="B614" s="18"/>
      <c r="C614" s="142"/>
      <c r="D614" s="18"/>
      <c r="E614" s="18"/>
      <c r="F614" s="18"/>
      <c r="G614" s="142"/>
      <c r="H614" s="18"/>
      <c r="I614" s="142"/>
      <c r="J614" s="15"/>
      <c r="Q614" s="15"/>
      <c r="R614" s="18"/>
      <c r="S614" s="142"/>
      <c r="T614" s="142"/>
      <c r="U614" s="142"/>
      <c r="V614" s="18"/>
      <c r="W614" s="18"/>
      <c r="X614" s="18"/>
      <c r="Y614" s="142"/>
      <c r="Z614" s="18"/>
      <c r="AA614" s="18"/>
      <c r="AB614" s="18"/>
      <c r="AC614" s="18"/>
      <c r="AD614" s="18"/>
      <c r="AE614" s="18"/>
      <c r="AF614" s="18"/>
      <c r="AG614" s="18"/>
      <c r="AH614" s="18"/>
      <c r="AI614" s="18"/>
      <c r="AJ614" s="142"/>
      <c r="AK614" s="142"/>
      <c r="AL614" s="18"/>
      <c r="AM614" s="18"/>
      <c r="AN614" s="18"/>
      <c r="AO614" s="142"/>
    </row>
    <row r="615">
      <c r="A615" s="142"/>
      <c r="B615" s="18"/>
      <c r="C615" s="142"/>
      <c r="D615" s="18"/>
      <c r="E615" s="18"/>
      <c r="F615" s="18"/>
      <c r="G615" s="142"/>
      <c r="H615" s="18"/>
      <c r="I615" s="142"/>
      <c r="J615" s="15"/>
      <c r="Q615" s="15"/>
      <c r="R615" s="18"/>
      <c r="S615" s="142"/>
      <c r="T615" s="142"/>
      <c r="U615" s="142"/>
      <c r="V615" s="18"/>
      <c r="W615" s="18"/>
      <c r="X615" s="18"/>
      <c r="Y615" s="142"/>
      <c r="Z615" s="18"/>
      <c r="AA615" s="18"/>
      <c r="AB615" s="18"/>
      <c r="AC615" s="18"/>
      <c r="AD615" s="18"/>
      <c r="AE615" s="18"/>
      <c r="AF615" s="18"/>
      <c r="AG615" s="18"/>
      <c r="AH615" s="18"/>
      <c r="AI615" s="18"/>
      <c r="AJ615" s="142"/>
      <c r="AK615" s="142"/>
      <c r="AL615" s="18"/>
      <c r="AM615" s="18"/>
      <c r="AN615" s="18"/>
      <c r="AO615" s="142"/>
    </row>
    <row r="616">
      <c r="A616" s="142"/>
      <c r="B616" s="18"/>
      <c r="C616" s="142"/>
      <c r="D616" s="18"/>
      <c r="E616" s="18"/>
      <c r="F616" s="18"/>
      <c r="G616" s="142"/>
      <c r="H616" s="18"/>
      <c r="I616" s="142"/>
      <c r="J616" s="15"/>
      <c r="Q616" s="15"/>
      <c r="R616" s="18"/>
      <c r="S616" s="142"/>
      <c r="T616" s="142"/>
      <c r="U616" s="142"/>
      <c r="V616" s="18"/>
      <c r="W616" s="18"/>
      <c r="X616" s="18"/>
      <c r="Y616" s="142"/>
      <c r="Z616" s="18"/>
      <c r="AA616" s="18"/>
      <c r="AB616" s="18"/>
      <c r="AC616" s="18"/>
      <c r="AD616" s="18"/>
      <c r="AE616" s="18"/>
      <c r="AF616" s="18"/>
      <c r="AG616" s="18"/>
      <c r="AH616" s="18"/>
      <c r="AI616" s="18"/>
      <c r="AJ616" s="142"/>
      <c r="AK616" s="142"/>
      <c r="AL616" s="18"/>
      <c r="AM616" s="18"/>
      <c r="AN616" s="18"/>
      <c r="AO616" s="142"/>
    </row>
    <row r="617">
      <c r="A617" s="142"/>
      <c r="B617" s="18"/>
      <c r="C617" s="142"/>
      <c r="D617" s="18"/>
      <c r="E617" s="18"/>
      <c r="F617" s="18"/>
      <c r="G617" s="142"/>
      <c r="H617" s="18"/>
      <c r="I617" s="142"/>
      <c r="J617" s="15"/>
      <c r="Q617" s="15"/>
      <c r="R617" s="18"/>
      <c r="S617" s="142"/>
      <c r="T617" s="142"/>
      <c r="U617" s="142"/>
      <c r="V617" s="18"/>
      <c r="W617" s="18"/>
      <c r="X617" s="18"/>
      <c r="Y617" s="142"/>
      <c r="Z617" s="18"/>
      <c r="AA617" s="18"/>
      <c r="AB617" s="18"/>
      <c r="AC617" s="18"/>
      <c r="AD617" s="18"/>
      <c r="AE617" s="18"/>
      <c r="AF617" s="18"/>
      <c r="AG617" s="18"/>
      <c r="AH617" s="18"/>
      <c r="AI617" s="18"/>
      <c r="AJ617" s="142"/>
      <c r="AK617" s="142"/>
      <c r="AL617" s="18"/>
      <c r="AM617" s="18"/>
      <c r="AN617" s="18"/>
      <c r="AO617" s="142"/>
    </row>
    <row r="618">
      <c r="A618" s="142"/>
      <c r="B618" s="18"/>
      <c r="C618" s="142"/>
      <c r="D618" s="18"/>
      <c r="E618" s="18"/>
      <c r="F618" s="18"/>
      <c r="G618" s="142"/>
      <c r="H618" s="18"/>
      <c r="I618" s="142"/>
      <c r="J618" s="15"/>
      <c r="Q618" s="15"/>
      <c r="R618" s="18"/>
      <c r="S618" s="142"/>
      <c r="T618" s="142"/>
      <c r="U618" s="142"/>
      <c r="V618" s="18"/>
      <c r="W618" s="18"/>
      <c r="X618" s="18"/>
      <c r="Y618" s="142"/>
      <c r="Z618" s="18"/>
      <c r="AA618" s="18"/>
      <c r="AB618" s="18"/>
      <c r="AC618" s="18"/>
      <c r="AD618" s="18"/>
      <c r="AE618" s="18"/>
      <c r="AF618" s="18"/>
      <c r="AG618" s="18"/>
      <c r="AH618" s="18"/>
      <c r="AI618" s="18"/>
      <c r="AJ618" s="142"/>
      <c r="AK618" s="142"/>
      <c r="AL618" s="18"/>
      <c r="AM618" s="18"/>
      <c r="AN618" s="18"/>
      <c r="AO618" s="142"/>
    </row>
    <row r="619">
      <c r="A619" s="142"/>
      <c r="B619" s="18"/>
      <c r="C619" s="142"/>
      <c r="D619" s="18"/>
      <c r="E619" s="18"/>
      <c r="F619" s="18"/>
      <c r="G619" s="142"/>
      <c r="H619" s="18"/>
      <c r="I619" s="142"/>
      <c r="J619" s="15"/>
      <c r="Q619" s="15"/>
      <c r="R619" s="18"/>
      <c r="S619" s="142"/>
      <c r="T619" s="142"/>
      <c r="U619" s="142"/>
      <c r="V619" s="18"/>
      <c r="W619" s="18"/>
      <c r="X619" s="18"/>
      <c r="Y619" s="142"/>
      <c r="Z619" s="18"/>
      <c r="AA619" s="18"/>
      <c r="AB619" s="18"/>
      <c r="AC619" s="18"/>
      <c r="AD619" s="18"/>
      <c r="AE619" s="18"/>
      <c r="AF619" s="18"/>
      <c r="AG619" s="18"/>
      <c r="AH619" s="18"/>
      <c r="AI619" s="18"/>
      <c r="AJ619" s="142"/>
      <c r="AK619" s="142"/>
      <c r="AL619" s="18"/>
      <c r="AM619" s="18"/>
      <c r="AN619" s="18"/>
      <c r="AO619" s="142"/>
    </row>
    <row r="620">
      <c r="A620" s="142"/>
      <c r="B620" s="18"/>
      <c r="C620" s="142"/>
      <c r="D620" s="18"/>
      <c r="E620" s="18"/>
      <c r="F620" s="18"/>
      <c r="G620" s="142"/>
      <c r="H620" s="18"/>
      <c r="I620" s="142"/>
      <c r="J620" s="15"/>
      <c r="Q620" s="15"/>
      <c r="R620" s="18"/>
      <c r="S620" s="142"/>
      <c r="T620" s="142"/>
      <c r="U620" s="142"/>
      <c r="V620" s="18"/>
      <c r="W620" s="18"/>
      <c r="X620" s="18"/>
      <c r="Y620" s="142"/>
      <c r="Z620" s="18"/>
      <c r="AA620" s="18"/>
      <c r="AB620" s="18"/>
      <c r="AC620" s="18"/>
      <c r="AD620" s="18"/>
      <c r="AE620" s="18"/>
      <c r="AF620" s="18"/>
      <c r="AG620" s="18"/>
      <c r="AH620" s="18"/>
      <c r="AI620" s="18"/>
      <c r="AJ620" s="142"/>
      <c r="AK620" s="142"/>
      <c r="AL620" s="18"/>
      <c r="AM620" s="18"/>
      <c r="AN620" s="18"/>
      <c r="AO620" s="142"/>
    </row>
    <row r="621">
      <c r="A621" s="142"/>
      <c r="B621" s="18"/>
      <c r="C621" s="142"/>
      <c r="D621" s="18"/>
      <c r="E621" s="18"/>
      <c r="F621" s="18"/>
      <c r="G621" s="142"/>
      <c r="H621" s="18"/>
      <c r="I621" s="142"/>
      <c r="J621" s="15"/>
      <c r="Q621" s="15"/>
      <c r="R621" s="18"/>
      <c r="S621" s="142"/>
      <c r="T621" s="142"/>
      <c r="U621" s="142"/>
      <c r="V621" s="18"/>
      <c r="W621" s="18"/>
      <c r="X621" s="18"/>
      <c r="Y621" s="142"/>
      <c r="Z621" s="18"/>
      <c r="AA621" s="18"/>
      <c r="AB621" s="18"/>
      <c r="AC621" s="18"/>
      <c r="AD621" s="18"/>
      <c r="AE621" s="18"/>
      <c r="AF621" s="18"/>
      <c r="AG621" s="18"/>
      <c r="AH621" s="18"/>
      <c r="AI621" s="18"/>
      <c r="AJ621" s="142"/>
      <c r="AK621" s="142"/>
      <c r="AL621" s="18"/>
      <c r="AM621" s="18"/>
      <c r="AN621" s="18"/>
      <c r="AO621" s="142"/>
    </row>
    <row r="622">
      <c r="A622" s="142"/>
      <c r="B622" s="18"/>
      <c r="C622" s="142"/>
      <c r="D622" s="18"/>
      <c r="E622" s="18"/>
      <c r="F622" s="18"/>
      <c r="G622" s="142"/>
      <c r="H622" s="18"/>
      <c r="I622" s="142"/>
      <c r="J622" s="15"/>
      <c r="Q622" s="15"/>
      <c r="R622" s="18"/>
      <c r="S622" s="142"/>
      <c r="T622" s="142"/>
      <c r="U622" s="142"/>
      <c r="V622" s="18"/>
      <c r="W622" s="18"/>
      <c r="X622" s="18"/>
      <c r="Y622" s="142"/>
      <c r="Z622" s="18"/>
      <c r="AA622" s="18"/>
      <c r="AB622" s="18"/>
      <c r="AC622" s="18"/>
      <c r="AD622" s="18"/>
      <c r="AE622" s="18"/>
      <c r="AF622" s="18"/>
      <c r="AG622" s="18"/>
      <c r="AH622" s="18"/>
      <c r="AI622" s="18"/>
      <c r="AJ622" s="142"/>
      <c r="AK622" s="142"/>
      <c r="AL622" s="18"/>
      <c r="AM622" s="18"/>
      <c r="AN622" s="18"/>
      <c r="AO622" s="142"/>
    </row>
    <row r="623">
      <c r="A623" s="142"/>
      <c r="B623" s="18"/>
      <c r="C623" s="142"/>
      <c r="D623" s="18"/>
      <c r="E623" s="18"/>
      <c r="F623" s="18"/>
      <c r="G623" s="142"/>
      <c r="H623" s="18"/>
      <c r="I623" s="142"/>
      <c r="J623" s="15"/>
      <c r="Q623" s="15"/>
      <c r="R623" s="18"/>
      <c r="S623" s="142"/>
      <c r="T623" s="142"/>
      <c r="U623" s="142"/>
      <c r="V623" s="18"/>
      <c r="W623" s="18"/>
      <c r="X623" s="18"/>
      <c r="Y623" s="142"/>
      <c r="Z623" s="18"/>
      <c r="AA623" s="18"/>
      <c r="AB623" s="18"/>
      <c r="AC623" s="18"/>
      <c r="AD623" s="18"/>
      <c r="AE623" s="18"/>
      <c r="AF623" s="18"/>
      <c r="AG623" s="18"/>
      <c r="AH623" s="18"/>
      <c r="AI623" s="18"/>
      <c r="AJ623" s="142"/>
      <c r="AK623" s="142"/>
      <c r="AL623" s="18"/>
      <c r="AM623" s="18"/>
      <c r="AN623" s="18"/>
      <c r="AO623" s="142"/>
    </row>
    <row r="624">
      <c r="A624" s="142"/>
      <c r="B624" s="18"/>
      <c r="C624" s="142"/>
      <c r="D624" s="18"/>
      <c r="E624" s="18"/>
      <c r="F624" s="18"/>
      <c r="G624" s="142"/>
      <c r="H624" s="18"/>
      <c r="I624" s="142"/>
      <c r="J624" s="15"/>
      <c r="Q624" s="15"/>
      <c r="R624" s="18"/>
      <c r="S624" s="142"/>
      <c r="T624" s="142"/>
      <c r="U624" s="142"/>
      <c r="V624" s="18"/>
      <c r="W624" s="18"/>
      <c r="X624" s="18"/>
      <c r="Y624" s="142"/>
      <c r="Z624" s="18"/>
      <c r="AA624" s="18"/>
      <c r="AB624" s="18"/>
      <c r="AC624" s="18"/>
      <c r="AD624" s="18"/>
      <c r="AE624" s="18"/>
      <c r="AF624" s="18"/>
      <c r="AG624" s="18"/>
      <c r="AH624" s="18"/>
      <c r="AI624" s="18"/>
      <c r="AJ624" s="142"/>
      <c r="AK624" s="142"/>
      <c r="AL624" s="18"/>
      <c r="AM624" s="18"/>
      <c r="AN624" s="18"/>
      <c r="AO624" s="142"/>
    </row>
    <row r="625">
      <c r="A625" s="142"/>
      <c r="B625" s="18"/>
      <c r="C625" s="142"/>
      <c r="D625" s="18"/>
      <c r="E625" s="18"/>
      <c r="F625" s="18"/>
      <c r="G625" s="142"/>
      <c r="H625" s="18"/>
      <c r="I625" s="142"/>
      <c r="J625" s="15"/>
      <c r="Q625" s="15"/>
      <c r="R625" s="18"/>
      <c r="S625" s="142"/>
      <c r="T625" s="142"/>
      <c r="U625" s="142"/>
      <c r="V625" s="18"/>
      <c r="W625" s="18"/>
      <c r="X625" s="18"/>
      <c r="Y625" s="142"/>
      <c r="Z625" s="18"/>
      <c r="AA625" s="18"/>
      <c r="AB625" s="18"/>
      <c r="AC625" s="18"/>
      <c r="AD625" s="18"/>
      <c r="AE625" s="18"/>
      <c r="AF625" s="18"/>
      <c r="AG625" s="18"/>
      <c r="AH625" s="18"/>
      <c r="AI625" s="18"/>
      <c r="AJ625" s="142"/>
      <c r="AK625" s="142"/>
      <c r="AL625" s="18"/>
      <c r="AM625" s="18"/>
      <c r="AN625" s="18"/>
      <c r="AO625" s="142"/>
    </row>
    <row r="626">
      <c r="A626" s="142"/>
      <c r="B626" s="18"/>
      <c r="C626" s="142"/>
      <c r="D626" s="18"/>
      <c r="E626" s="18"/>
      <c r="F626" s="18"/>
      <c r="G626" s="142"/>
      <c r="H626" s="18"/>
      <c r="I626" s="142"/>
      <c r="J626" s="15"/>
      <c r="Q626" s="15"/>
      <c r="R626" s="18"/>
      <c r="S626" s="142"/>
      <c r="T626" s="142"/>
      <c r="U626" s="142"/>
      <c r="V626" s="18"/>
      <c r="W626" s="18"/>
      <c r="X626" s="18"/>
      <c r="Y626" s="142"/>
      <c r="Z626" s="18"/>
      <c r="AA626" s="18"/>
      <c r="AB626" s="18"/>
      <c r="AC626" s="18"/>
      <c r="AD626" s="18"/>
      <c r="AE626" s="18"/>
      <c r="AF626" s="18"/>
      <c r="AG626" s="18"/>
      <c r="AH626" s="18"/>
      <c r="AI626" s="18"/>
      <c r="AJ626" s="142"/>
      <c r="AK626" s="142"/>
      <c r="AL626" s="18"/>
      <c r="AM626" s="18"/>
      <c r="AN626" s="18"/>
      <c r="AO626" s="142"/>
    </row>
    <row r="627">
      <c r="A627" s="142"/>
      <c r="B627" s="18"/>
      <c r="C627" s="142"/>
      <c r="D627" s="18"/>
      <c r="E627" s="18"/>
      <c r="F627" s="18"/>
      <c r="G627" s="142"/>
      <c r="H627" s="18"/>
      <c r="I627" s="142"/>
      <c r="J627" s="15"/>
      <c r="Q627" s="15"/>
      <c r="R627" s="18"/>
      <c r="S627" s="142"/>
      <c r="T627" s="142"/>
      <c r="U627" s="142"/>
      <c r="V627" s="18"/>
      <c r="W627" s="18"/>
      <c r="X627" s="18"/>
      <c r="Y627" s="142"/>
      <c r="Z627" s="18"/>
      <c r="AA627" s="18"/>
      <c r="AB627" s="18"/>
      <c r="AC627" s="18"/>
      <c r="AD627" s="18"/>
      <c r="AE627" s="18"/>
      <c r="AF627" s="18"/>
      <c r="AG627" s="18"/>
      <c r="AH627" s="18"/>
      <c r="AI627" s="18"/>
      <c r="AJ627" s="142"/>
      <c r="AK627" s="142"/>
      <c r="AL627" s="18"/>
      <c r="AM627" s="18"/>
      <c r="AN627" s="18"/>
      <c r="AO627" s="142"/>
    </row>
    <row r="628">
      <c r="A628" s="142"/>
      <c r="B628" s="18"/>
      <c r="C628" s="142"/>
      <c r="D628" s="18"/>
      <c r="E628" s="18"/>
      <c r="F628" s="18"/>
      <c r="G628" s="142"/>
      <c r="H628" s="18"/>
      <c r="I628" s="142"/>
      <c r="J628" s="15"/>
      <c r="Q628" s="15"/>
      <c r="R628" s="18"/>
      <c r="S628" s="142"/>
      <c r="T628" s="142"/>
      <c r="U628" s="142"/>
      <c r="V628" s="18"/>
      <c r="W628" s="18"/>
      <c r="X628" s="18"/>
      <c r="Y628" s="142"/>
      <c r="Z628" s="18"/>
      <c r="AA628" s="18"/>
      <c r="AB628" s="18"/>
      <c r="AC628" s="18"/>
      <c r="AD628" s="18"/>
      <c r="AE628" s="18"/>
      <c r="AF628" s="18"/>
      <c r="AG628" s="18"/>
      <c r="AH628" s="18"/>
      <c r="AI628" s="18"/>
      <c r="AJ628" s="142"/>
      <c r="AK628" s="142"/>
      <c r="AL628" s="18"/>
      <c r="AM628" s="18"/>
      <c r="AN628" s="18"/>
      <c r="AO628" s="142"/>
    </row>
    <row r="629">
      <c r="A629" s="142"/>
      <c r="B629" s="18"/>
      <c r="C629" s="142"/>
      <c r="D629" s="18"/>
      <c r="E629" s="18"/>
      <c r="F629" s="18"/>
      <c r="G629" s="142"/>
      <c r="H629" s="18"/>
      <c r="I629" s="142"/>
      <c r="J629" s="15"/>
      <c r="Q629" s="15"/>
      <c r="R629" s="18"/>
      <c r="S629" s="142"/>
      <c r="T629" s="142"/>
      <c r="U629" s="142"/>
      <c r="V629" s="18"/>
      <c r="W629" s="18"/>
      <c r="X629" s="18"/>
      <c r="Y629" s="142"/>
      <c r="Z629" s="18"/>
      <c r="AA629" s="18"/>
      <c r="AB629" s="18"/>
      <c r="AC629" s="18"/>
      <c r="AD629" s="18"/>
      <c r="AE629" s="18"/>
      <c r="AF629" s="18"/>
      <c r="AG629" s="18"/>
      <c r="AH629" s="18"/>
      <c r="AI629" s="18"/>
      <c r="AJ629" s="142"/>
      <c r="AK629" s="142"/>
      <c r="AL629" s="18"/>
      <c r="AM629" s="18"/>
      <c r="AN629" s="18"/>
      <c r="AO629" s="142"/>
    </row>
    <row r="630">
      <c r="A630" s="142"/>
      <c r="B630" s="18"/>
      <c r="C630" s="142"/>
      <c r="D630" s="18"/>
      <c r="E630" s="18"/>
      <c r="F630" s="18"/>
      <c r="G630" s="142"/>
      <c r="H630" s="18"/>
      <c r="I630" s="142"/>
      <c r="J630" s="15"/>
      <c r="Q630" s="15"/>
      <c r="R630" s="18"/>
      <c r="S630" s="142"/>
      <c r="T630" s="142"/>
      <c r="U630" s="142"/>
      <c r="V630" s="18"/>
      <c r="W630" s="18"/>
      <c r="X630" s="18"/>
      <c r="Y630" s="142"/>
      <c r="Z630" s="18"/>
      <c r="AA630" s="18"/>
      <c r="AB630" s="18"/>
      <c r="AC630" s="18"/>
      <c r="AD630" s="18"/>
      <c r="AE630" s="18"/>
      <c r="AF630" s="18"/>
      <c r="AG630" s="18"/>
      <c r="AH630" s="18"/>
      <c r="AI630" s="18"/>
      <c r="AJ630" s="142"/>
      <c r="AK630" s="142"/>
      <c r="AL630" s="18"/>
      <c r="AM630" s="18"/>
      <c r="AN630" s="18"/>
      <c r="AO630" s="142"/>
    </row>
    <row r="631">
      <c r="A631" s="142"/>
      <c r="B631" s="18"/>
      <c r="C631" s="142"/>
      <c r="D631" s="18"/>
      <c r="E631" s="18"/>
      <c r="F631" s="18"/>
      <c r="G631" s="142"/>
      <c r="H631" s="18"/>
      <c r="I631" s="142"/>
      <c r="J631" s="15"/>
      <c r="Q631" s="15"/>
      <c r="R631" s="18"/>
      <c r="S631" s="142"/>
      <c r="T631" s="142"/>
      <c r="U631" s="142"/>
      <c r="V631" s="18"/>
      <c r="W631" s="18"/>
      <c r="X631" s="18"/>
      <c r="Y631" s="142"/>
      <c r="Z631" s="18"/>
      <c r="AA631" s="18"/>
      <c r="AB631" s="18"/>
      <c r="AC631" s="18"/>
      <c r="AD631" s="18"/>
      <c r="AE631" s="18"/>
      <c r="AF631" s="18"/>
      <c r="AG631" s="18"/>
      <c r="AH631" s="18"/>
      <c r="AI631" s="18"/>
      <c r="AJ631" s="142"/>
      <c r="AK631" s="142"/>
      <c r="AL631" s="18"/>
      <c r="AM631" s="18"/>
      <c r="AN631" s="18"/>
      <c r="AO631" s="142"/>
    </row>
    <row r="632">
      <c r="A632" s="142"/>
      <c r="B632" s="18"/>
      <c r="C632" s="142"/>
      <c r="D632" s="18"/>
      <c r="E632" s="18"/>
      <c r="F632" s="18"/>
      <c r="G632" s="142"/>
      <c r="H632" s="18"/>
      <c r="I632" s="142"/>
      <c r="J632" s="15"/>
      <c r="Q632" s="15"/>
      <c r="R632" s="18"/>
      <c r="S632" s="142"/>
      <c r="T632" s="142"/>
      <c r="U632" s="142"/>
      <c r="V632" s="18"/>
      <c r="W632" s="18"/>
      <c r="X632" s="18"/>
      <c r="Y632" s="142"/>
      <c r="Z632" s="18"/>
      <c r="AA632" s="18"/>
      <c r="AB632" s="18"/>
      <c r="AC632" s="18"/>
      <c r="AD632" s="18"/>
      <c r="AE632" s="18"/>
      <c r="AF632" s="18"/>
      <c r="AG632" s="18"/>
      <c r="AH632" s="18"/>
      <c r="AI632" s="18"/>
      <c r="AJ632" s="142"/>
      <c r="AK632" s="142"/>
      <c r="AL632" s="18"/>
      <c r="AM632" s="18"/>
      <c r="AN632" s="18"/>
      <c r="AO632" s="142"/>
    </row>
    <row r="633">
      <c r="A633" s="142"/>
      <c r="B633" s="18"/>
      <c r="C633" s="142"/>
      <c r="D633" s="18"/>
      <c r="E633" s="18"/>
      <c r="F633" s="18"/>
      <c r="G633" s="142"/>
      <c r="H633" s="18"/>
      <c r="I633" s="142"/>
      <c r="J633" s="15"/>
      <c r="Q633" s="15"/>
      <c r="R633" s="18"/>
      <c r="S633" s="142"/>
      <c r="T633" s="142"/>
      <c r="U633" s="142"/>
      <c r="V633" s="18"/>
      <c r="W633" s="18"/>
      <c r="X633" s="18"/>
      <c r="Y633" s="142"/>
      <c r="Z633" s="18"/>
      <c r="AA633" s="18"/>
      <c r="AB633" s="18"/>
      <c r="AC633" s="18"/>
      <c r="AD633" s="18"/>
      <c r="AE633" s="18"/>
      <c r="AF633" s="18"/>
      <c r="AG633" s="18"/>
      <c r="AH633" s="18"/>
      <c r="AI633" s="18"/>
      <c r="AJ633" s="142"/>
      <c r="AK633" s="142"/>
      <c r="AL633" s="18"/>
      <c r="AM633" s="18"/>
      <c r="AN633" s="18"/>
      <c r="AO633" s="142"/>
    </row>
    <row r="634">
      <c r="A634" s="142"/>
      <c r="B634" s="18"/>
      <c r="C634" s="142"/>
      <c r="D634" s="18"/>
      <c r="E634" s="18"/>
      <c r="F634" s="18"/>
      <c r="G634" s="142"/>
      <c r="H634" s="18"/>
      <c r="I634" s="142"/>
      <c r="J634" s="15"/>
      <c r="Q634" s="15"/>
      <c r="R634" s="18"/>
      <c r="S634" s="142"/>
      <c r="T634" s="142"/>
      <c r="U634" s="142"/>
      <c r="V634" s="18"/>
      <c r="W634" s="18"/>
      <c r="X634" s="18"/>
      <c r="Y634" s="142"/>
      <c r="Z634" s="18"/>
      <c r="AA634" s="18"/>
      <c r="AB634" s="18"/>
      <c r="AC634" s="18"/>
      <c r="AD634" s="18"/>
      <c r="AE634" s="18"/>
      <c r="AF634" s="18"/>
      <c r="AG634" s="18"/>
      <c r="AH634" s="18"/>
      <c r="AI634" s="18"/>
      <c r="AJ634" s="142"/>
      <c r="AK634" s="142"/>
      <c r="AL634" s="18"/>
      <c r="AM634" s="18"/>
      <c r="AN634" s="18"/>
      <c r="AO634" s="142"/>
    </row>
    <row r="635">
      <c r="A635" s="142"/>
      <c r="B635" s="18"/>
      <c r="C635" s="142"/>
      <c r="D635" s="18"/>
      <c r="E635" s="18"/>
      <c r="F635" s="18"/>
      <c r="G635" s="142"/>
      <c r="H635" s="18"/>
      <c r="I635" s="142"/>
      <c r="J635" s="15"/>
      <c r="Q635" s="15"/>
      <c r="R635" s="18"/>
      <c r="S635" s="142"/>
      <c r="T635" s="142"/>
      <c r="U635" s="142"/>
      <c r="V635" s="18"/>
      <c r="W635" s="18"/>
      <c r="X635" s="18"/>
      <c r="Y635" s="142"/>
      <c r="Z635" s="18"/>
      <c r="AA635" s="18"/>
      <c r="AB635" s="18"/>
      <c r="AC635" s="18"/>
      <c r="AD635" s="18"/>
      <c r="AE635" s="18"/>
      <c r="AF635" s="18"/>
      <c r="AG635" s="18"/>
      <c r="AH635" s="18"/>
      <c r="AI635" s="18"/>
      <c r="AJ635" s="142"/>
      <c r="AK635" s="142"/>
      <c r="AL635" s="18"/>
      <c r="AM635" s="18"/>
      <c r="AN635" s="18"/>
      <c r="AO635" s="142"/>
    </row>
    <row r="636">
      <c r="A636" s="142"/>
      <c r="B636" s="18"/>
      <c r="C636" s="142"/>
      <c r="D636" s="18"/>
      <c r="E636" s="18"/>
      <c r="F636" s="18"/>
      <c r="G636" s="142"/>
      <c r="H636" s="18"/>
      <c r="I636" s="142"/>
      <c r="J636" s="15"/>
      <c r="Q636" s="15"/>
      <c r="R636" s="18"/>
      <c r="S636" s="142"/>
      <c r="T636" s="142"/>
      <c r="U636" s="142"/>
      <c r="V636" s="18"/>
      <c r="W636" s="18"/>
      <c r="X636" s="18"/>
      <c r="Y636" s="142"/>
      <c r="Z636" s="18"/>
      <c r="AA636" s="18"/>
      <c r="AB636" s="18"/>
      <c r="AC636" s="18"/>
      <c r="AD636" s="18"/>
      <c r="AE636" s="18"/>
      <c r="AF636" s="18"/>
      <c r="AG636" s="18"/>
      <c r="AH636" s="18"/>
      <c r="AI636" s="18"/>
      <c r="AJ636" s="142"/>
      <c r="AK636" s="142"/>
      <c r="AL636" s="18"/>
      <c r="AM636" s="18"/>
      <c r="AN636" s="18"/>
      <c r="AO636" s="142"/>
    </row>
    <row r="637">
      <c r="A637" s="142"/>
      <c r="B637" s="18"/>
      <c r="C637" s="142"/>
      <c r="D637" s="18"/>
      <c r="E637" s="18"/>
      <c r="F637" s="18"/>
      <c r="G637" s="142"/>
      <c r="H637" s="18"/>
      <c r="I637" s="142"/>
      <c r="J637" s="15"/>
      <c r="Q637" s="15"/>
      <c r="R637" s="18"/>
      <c r="S637" s="142"/>
      <c r="T637" s="142"/>
      <c r="U637" s="142"/>
      <c r="V637" s="18"/>
      <c r="W637" s="18"/>
      <c r="X637" s="18"/>
      <c r="Y637" s="142"/>
      <c r="Z637" s="18"/>
      <c r="AA637" s="18"/>
      <c r="AB637" s="18"/>
      <c r="AC637" s="18"/>
      <c r="AD637" s="18"/>
      <c r="AE637" s="18"/>
      <c r="AF637" s="18"/>
      <c r="AG637" s="18"/>
      <c r="AH637" s="18"/>
      <c r="AI637" s="18"/>
      <c r="AJ637" s="142"/>
      <c r="AK637" s="142"/>
      <c r="AL637" s="18"/>
      <c r="AM637" s="18"/>
      <c r="AN637" s="18"/>
      <c r="AO637" s="142"/>
    </row>
    <row r="638">
      <c r="A638" s="142"/>
      <c r="B638" s="18"/>
      <c r="C638" s="142"/>
      <c r="D638" s="18"/>
      <c r="E638" s="18"/>
      <c r="F638" s="18"/>
      <c r="G638" s="142"/>
      <c r="H638" s="18"/>
      <c r="I638" s="142"/>
      <c r="J638" s="15"/>
      <c r="Q638" s="15"/>
      <c r="R638" s="18"/>
      <c r="S638" s="142"/>
      <c r="T638" s="142"/>
      <c r="U638" s="142"/>
      <c r="V638" s="18"/>
      <c r="W638" s="18"/>
      <c r="X638" s="18"/>
      <c r="Y638" s="142"/>
      <c r="Z638" s="18"/>
      <c r="AA638" s="18"/>
      <c r="AB638" s="18"/>
      <c r="AC638" s="18"/>
      <c r="AD638" s="18"/>
      <c r="AE638" s="18"/>
      <c r="AF638" s="18"/>
      <c r="AG638" s="18"/>
      <c r="AH638" s="18"/>
      <c r="AI638" s="18"/>
      <c r="AJ638" s="142"/>
      <c r="AK638" s="142"/>
      <c r="AL638" s="18"/>
      <c r="AM638" s="18"/>
      <c r="AN638" s="18"/>
      <c r="AO638" s="142"/>
    </row>
    <row r="639">
      <c r="A639" s="142"/>
      <c r="B639" s="18"/>
      <c r="C639" s="142"/>
      <c r="D639" s="18"/>
      <c r="E639" s="18"/>
      <c r="F639" s="18"/>
      <c r="G639" s="142"/>
      <c r="H639" s="18"/>
      <c r="I639" s="142"/>
      <c r="J639" s="15"/>
      <c r="Q639" s="15"/>
      <c r="R639" s="18"/>
      <c r="S639" s="142"/>
      <c r="T639" s="142"/>
      <c r="U639" s="142"/>
      <c r="V639" s="18"/>
      <c r="W639" s="18"/>
      <c r="X639" s="18"/>
      <c r="Y639" s="142"/>
      <c r="Z639" s="18"/>
      <c r="AA639" s="18"/>
      <c r="AB639" s="18"/>
      <c r="AC639" s="18"/>
      <c r="AD639" s="18"/>
      <c r="AE639" s="18"/>
      <c r="AF639" s="18"/>
      <c r="AG639" s="18"/>
      <c r="AH639" s="18"/>
      <c r="AI639" s="18"/>
      <c r="AJ639" s="142"/>
      <c r="AK639" s="142"/>
      <c r="AL639" s="18"/>
      <c r="AM639" s="18"/>
      <c r="AN639" s="18"/>
      <c r="AO639" s="142"/>
    </row>
    <row r="640">
      <c r="A640" s="142"/>
      <c r="B640" s="18"/>
      <c r="C640" s="142"/>
      <c r="D640" s="18"/>
      <c r="E640" s="18"/>
      <c r="F640" s="18"/>
      <c r="G640" s="142"/>
      <c r="H640" s="18"/>
      <c r="I640" s="142"/>
      <c r="J640" s="15"/>
      <c r="Q640" s="15"/>
      <c r="R640" s="18"/>
      <c r="S640" s="142"/>
      <c r="T640" s="142"/>
      <c r="U640" s="142"/>
      <c r="V640" s="18"/>
      <c r="W640" s="18"/>
      <c r="X640" s="18"/>
      <c r="Y640" s="142"/>
      <c r="Z640" s="18"/>
      <c r="AA640" s="18"/>
      <c r="AB640" s="18"/>
      <c r="AC640" s="18"/>
      <c r="AD640" s="18"/>
      <c r="AE640" s="18"/>
      <c r="AF640" s="18"/>
      <c r="AG640" s="18"/>
      <c r="AH640" s="18"/>
      <c r="AI640" s="18"/>
      <c r="AJ640" s="142"/>
      <c r="AK640" s="142"/>
      <c r="AL640" s="18"/>
      <c r="AM640" s="18"/>
      <c r="AN640" s="18"/>
      <c r="AO640" s="142"/>
    </row>
    <row r="641">
      <c r="A641" s="142"/>
      <c r="B641" s="18"/>
      <c r="C641" s="142"/>
      <c r="D641" s="18"/>
      <c r="E641" s="18"/>
      <c r="F641" s="18"/>
      <c r="G641" s="142"/>
      <c r="H641" s="18"/>
      <c r="I641" s="142"/>
      <c r="J641" s="15"/>
      <c r="Q641" s="15"/>
      <c r="R641" s="18"/>
      <c r="S641" s="142"/>
      <c r="T641" s="142"/>
      <c r="U641" s="142"/>
      <c r="V641" s="18"/>
      <c r="W641" s="18"/>
      <c r="X641" s="18"/>
      <c r="Y641" s="142"/>
      <c r="Z641" s="18"/>
      <c r="AA641" s="18"/>
      <c r="AB641" s="18"/>
      <c r="AC641" s="18"/>
      <c r="AD641" s="18"/>
      <c r="AE641" s="18"/>
      <c r="AF641" s="18"/>
      <c r="AG641" s="18"/>
      <c r="AH641" s="18"/>
      <c r="AI641" s="18"/>
      <c r="AJ641" s="142"/>
      <c r="AK641" s="142"/>
      <c r="AL641" s="18"/>
      <c r="AM641" s="18"/>
      <c r="AN641" s="18"/>
      <c r="AO641" s="142"/>
    </row>
    <row r="642">
      <c r="A642" s="142"/>
      <c r="B642" s="18"/>
      <c r="C642" s="142"/>
      <c r="D642" s="18"/>
      <c r="E642" s="18"/>
      <c r="F642" s="18"/>
      <c r="G642" s="142"/>
      <c r="H642" s="18"/>
      <c r="I642" s="142"/>
      <c r="J642" s="15"/>
      <c r="Q642" s="15"/>
      <c r="R642" s="18"/>
      <c r="S642" s="142"/>
      <c r="T642" s="142"/>
      <c r="U642" s="142"/>
      <c r="V642" s="18"/>
      <c r="W642" s="18"/>
      <c r="X642" s="18"/>
      <c r="Y642" s="142"/>
      <c r="Z642" s="18"/>
      <c r="AA642" s="18"/>
      <c r="AB642" s="18"/>
      <c r="AC642" s="18"/>
      <c r="AD642" s="18"/>
      <c r="AE642" s="18"/>
      <c r="AF642" s="18"/>
      <c r="AG642" s="18"/>
      <c r="AH642" s="18"/>
      <c r="AI642" s="18"/>
      <c r="AJ642" s="142"/>
      <c r="AK642" s="142"/>
      <c r="AL642" s="18"/>
      <c r="AM642" s="18"/>
      <c r="AN642" s="18"/>
      <c r="AO642" s="142"/>
    </row>
    <row r="643">
      <c r="A643" s="142"/>
      <c r="B643" s="18"/>
      <c r="C643" s="142"/>
      <c r="D643" s="18"/>
      <c r="E643" s="18"/>
      <c r="F643" s="18"/>
      <c r="G643" s="142"/>
      <c r="H643" s="18"/>
      <c r="I643" s="142"/>
      <c r="J643" s="15"/>
      <c r="Q643" s="15"/>
      <c r="R643" s="18"/>
      <c r="S643" s="142"/>
      <c r="T643" s="142"/>
      <c r="U643" s="142"/>
      <c r="V643" s="18"/>
      <c r="W643" s="18"/>
      <c r="X643" s="18"/>
      <c r="Y643" s="142"/>
      <c r="Z643" s="18"/>
      <c r="AA643" s="18"/>
      <c r="AB643" s="18"/>
      <c r="AC643" s="18"/>
      <c r="AD643" s="18"/>
      <c r="AE643" s="18"/>
      <c r="AF643" s="18"/>
      <c r="AG643" s="18"/>
      <c r="AH643" s="18"/>
      <c r="AI643" s="18"/>
      <c r="AJ643" s="142"/>
      <c r="AK643" s="142"/>
      <c r="AL643" s="18"/>
      <c r="AM643" s="18"/>
      <c r="AN643" s="18"/>
      <c r="AO643" s="142"/>
    </row>
    <row r="644">
      <c r="A644" s="142"/>
      <c r="B644" s="18"/>
      <c r="C644" s="142"/>
      <c r="D644" s="18"/>
      <c r="E644" s="18"/>
      <c r="F644" s="18"/>
      <c r="G644" s="142"/>
      <c r="H644" s="18"/>
      <c r="I644" s="142"/>
      <c r="J644" s="15"/>
      <c r="Q644" s="15"/>
      <c r="R644" s="18"/>
      <c r="S644" s="142"/>
      <c r="T644" s="142"/>
      <c r="U644" s="142"/>
      <c r="V644" s="18"/>
      <c r="W644" s="18"/>
      <c r="X644" s="18"/>
      <c r="Y644" s="142"/>
      <c r="Z644" s="18"/>
      <c r="AA644" s="18"/>
      <c r="AB644" s="18"/>
      <c r="AC644" s="18"/>
      <c r="AD644" s="18"/>
      <c r="AE644" s="18"/>
      <c r="AF644" s="18"/>
      <c r="AG644" s="18"/>
      <c r="AH644" s="18"/>
      <c r="AI644" s="18"/>
      <c r="AJ644" s="142"/>
      <c r="AK644" s="142"/>
      <c r="AL644" s="18"/>
      <c r="AM644" s="18"/>
      <c r="AN644" s="18"/>
      <c r="AO644" s="142"/>
    </row>
    <row r="645">
      <c r="A645" s="142"/>
      <c r="B645" s="18"/>
      <c r="C645" s="142"/>
      <c r="D645" s="18"/>
      <c r="E645" s="18"/>
      <c r="F645" s="18"/>
      <c r="G645" s="142"/>
      <c r="H645" s="18"/>
      <c r="I645" s="142"/>
      <c r="J645" s="15"/>
      <c r="Q645" s="15"/>
      <c r="R645" s="18"/>
      <c r="S645" s="142"/>
      <c r="T645" s="142"/>
      <c r="U645" s="142"/>
      <c r="V645" s="18"/>
      <c r="W645" s="18"/>
      <c r="X645" s="18"/>
      <c r="Y645" s="142"/>
      <c r="Z645" s="18"/>
      <c r="AA645" s="18"/>
      <c r="AB645" s="18"/>
      <c r="AC645" s="18"/>
      <c r="AD645" s="18"/>
      <c r="AE645" s="18"/>
      <c r="AF645" s="18"/>
      <c r="AG645" s="18"/>
      <c r="AH645" s="18"/>
      <c r="AI645" s="18"/>
      <c r="AJ645" s="142"/>
      <c r="AK645" s="142"/>
      <c r="AL645" s="18"/>
      <c r="AM645" s="18"/>
      <c r="AN645" s="18"/>
      <c r="AO645" s="142"/>
    </row>
    <row r="646">
      <c r="A646" s="142"/>
      <c r="B646" s="18"/>
      <c r="C646" s="142"/>
      <c r="D646" s="18"/>
      <c r="E646" s="18"/>
      <c r="F646" s="18"/>
      <c r="G646" s="142"/>
      <c r="H646" s="18"/>
      <c r="I646" s="142"/>
      <c r="J646" s="15"/>
      <c r="Q646" s="15"/>
      <c r="R646" s="18"/>
      <c r="S646" s="142"/>
      <c r="T646" s="142"/>
      <c r="U646" s="142"/>
      <c r="V646" s="18"/>
      <c r="W646" s="18"/>
      <c r="X646" s="18"/>
      <c r="Y646" s="142"/>
      <c r="Z646" s="18"/>
      <c r="AA646" s="18"/>
      <c r="AB646" s="18"/>
      <c r="AC646" s="18"/>
      <c r="AD646" s="18"/>
      <c r="AE646" s="18"/>
      <c r="AF646" s="18"/>
      <c r="AG646" s="18"/>
      <c r="AH646" s="18"/>
      <c r="AI646" s="18"/>
      <c r="AJ646" s="142"/>
      <c r="AK646" s="142"/>
      <c r="AL646" s="18"/>
      <c r="AM646" s="18"/>
      <c r="AN646" s="18"/>
      <c r="AO646" s="142"/>
    </row>
    <row r="647">
      <c r="A647" s="142"/>
      <c r="B647" s="18"/>
      <c r="C647" s="142"/>
      <c r="D647" s="18"/>
      <c r="E647" s="18"/>
      <c r="F647" s="18"/>
      <c r="G647" s="142"/>
      <c r="H647" s="18"/>
      <c r="I647" s="142"/>
      <c r="J647" s="15"/>
      <c r="Q647" s="15"/>
      <c r="R647" s="18"/>
      <c r="S647" s="142"/>
      <c r="T647" s="142"/>
      <c r="U647" s="142"/>
      <c r="V647" s="18"/>
      <c r="W647" s="18"/>
      <c r="X647" s="18"/>
      <c r="Y647" s="142"/>
      <c r="Z647" s="18"/>
      <c r="AA647" s="18"/>
      <c r="AB647" s="18"/>
      <c r="AC647" s="18"/>
      <c r="AD647" s="18"/>
      <c r="AE647" s="18"/>
      <c r="AF647" s="18"/>
      <c r="AG647" s="18"/>
      <c r="AH647" s="18"/>
      <c r="AI647" s="18"/>
      <c r="AJ647" s="142"/>
      <c r="AK647" s="142"/>
      <c r="AL647" s="18"/>
      <c r="AM647" s="18"/>
      <c r="AN647" s="18"/>
      <c r="AO647" s="142"/>
    </row>
    <row r="648">
      <c r="A648" s="142"/>
      <c r="B648" s="18"/>
      <c r="C648" s="142"/>
      <c r="D648" s="18"/>
      <c r="E648" s="18"/>
      <c r="F648" s="18"/>
      <c r="G648" s="142"/>
      <c r="H648" s="18"/>
      <c r="I648" s="142"/>
      <c r="J648" s="15"/>
      <c r="Q648" s="15"/>
      <c r="R648" s="18"/>
      <c r="S648" s="142"/>
      <c r="T648" s="142"/>
      <c r="U648" s="142"/>
      <c r="V648" s="18"/>
      <c r="W648" s="18"/>
      <c r="X648" s="18"/>
      <c r="Y648" s="142"/>
      <c r="Z648" s="18"/>
      <c r="AA648" s="18"/>
      <c r="AB648" s="18"/>
      <c r="AC648" s="18"/>
      <c r="AD648" s="18"/>
      <c r="AE648" s="18"/>
      <c r="AF648" s="18"/>
      <c r="AG648" s="18"/>
      <c r="AH648" s="18"/>
      <c r="AI648" s="18"/>
      <c r="AJ648" s="142"/>
      <c r="AK648" s="142"/>
      <c r="AL648" s="18"/>
      <c r="AM648" s="18"/>
      <c r="AN648" s="18"/>
      <c r="AO648" s="142"/>
    </row>
    <row r="649">
      <c r="A649" s="142"/>
      <c r="B649" s="18"/>
      <c r="C649" s="142"/>
      <c r="D649" s="18"/>
      <c r="E649" s="18"/>
      <c r="F649" s="18"/>
      <c r="G649" s="142"/>
      <c r="H649" s="18"/>
      <c r="I649" s="142"/>
      <c r="J649" s="15"/>
      <c r="Q649" s="15"/>
      <c r="R649" s="18"/>
      <c r="S649" s="142"/>
      <c r="T649" s="142"/>
      <c r="U649" s="142"/>
      <c r="V649" s="18"/>
      <c r="W649" s="18"/>
      <c r="X649" s="18"/>
      <c r="Y649" s="142"/>
      <c r="Z649" s="18"/>
      <c r="AA649" s="18"/>
      <c r="AB649" s="18"/>
      <c r="AC649" s="18"/>
      <c r="AD649" s="18"/>
      <c r="AE649" s="18"/>
      <c r="AF649" s="18"/>
      <c r="AG649" s="18"/>
      <c r="AH649" s="18"/>
      <c r="AI649" s="18"/>
      <c r="AJ649" s="142"/>
      <c r="AK649" s="142"/>
      <c r="AL649" s="18"/>
      <c r="AM649" s="18"/>
      <c r="AN649" s="18"/>
      <c r="AO649" s="142"/>
    </row>
    <row r="650">
      <c r="A650" s="142"/>
      <c r="B650" s="18"/>
      <c r="C650" s="142"/>
      <c r="D650" s="18"/>
      <c r="E650" s="18"/>
      <c r="F650" s="18"/>
      <c r="G650" s="142"/>
      <c r="H650" s="18"/>
      <c r="I650" s="142"/>
      <c r="J650" s="15"/>
      <c r="Q650" s="15"/>
      <c r="R650" s="18"/>
      <c r="S650" s="142"/>
      <c r="T650" s="142"/>
      <c r="U650" s="142"/>
      <c r="V650" s="18"/>
      <c r="W650" s="18"/>
      <c r="X650" s="18"/>
      <c r="Y650" s="142"/>
      <c r="Z650" s="18"/>
      <c r="AA650" s="18"/>
      <c r="AB650" s="18"/>
      <c r="AC650" s="18"/>
      <c r="AD650" s="18"/>
      <c r="AE650" s="18"/>
      <c r="AF650" s="18"/>
      <c r="AG650" s="18"/>
      <c r="AH650" s="18"/>
      <c r="AI650" s="18"/>
      <c r="AJ650" s="142"/>
      <c r="AK650" s="142"/>
      <c r="AL650" s="18"/>
      <c r="AM650" s="18"/>
      <c r="AN650" s="18"/>
      <c r="AO650" s="142"/>
    </row>
    <row r="651">
      <c r="A651" s="142"/>
      <c r="B651" s="18"/>
      <c r="C651" s="142"/>
      <c r="D651" s="18"/>
      <c r="E651" s="18"/>
      <c r="F651" s="18"/>
      <c r="G651" s="142"/>
      <c r="H651" s="18"/>
      <c r="I651" s="142"/>
      <c r="J651" s="15"/>
      <c r="Q651" s="15"/>
      <c r="R651" s="18"/>
      <c r="S651" s="142"/>
      <c r="T651" s="142"/>
      <c r="U651" s="142"/>
      <c r="V651" s="18"/>
      <c r="W651" s="18"/>
      <c r="X651" s="18"/>
      <c r="Y651" s="142"/>
      <c r="Z651" s="18"/>
      <c r="AA651" s="18"/>
      <c r="AB651" s="18"/>
      <c r="AC651" s="18"/>
      <c r="AD651" s="18"/>
      <c r="AE651" s="18"/>
      <c r="AF651" s="18"/>
      <c r="AG651" s="18"/>
      <c r="AH651" s="18"/>
      <c r="AI651" s="18"/>
      <c r="AJ651" s="142"/>
      <c r="AK651" s="142"/>
      <c r="AL651" s="18"/>
      <c r="AM651" s="18"/>
      <c r="AN651" s="18"/>
      <c r="AO651" s="142"/>
    </row>
    <row r="652">
      <c r="A652" s="142"/>
      <c r="B652" s="18"/>
      <c r="C652" s="142"/>
      <c r="D652" s="18"/>
      <c r="E652" s="18"/>
      <c r="F652" s="18"/>
      <c r="G652" s="142"/>
      <c r="H652" s="18"/>
      <c r="I652" s="142"/>
      <c r="J652" s="15"/>
      <c r="Q652" s="15"/>
      <c r="R652" s="18"/>
      <c r="S652" s="142"/>
      <c r="T652" s="142"/>
      <c r="U652" s="142"/>
      <c r="V652" s="18"/>
      <c r="W652" s="18"/>
      <c r="X652" s="18"/>
      <c r="Y652" s="142"/>
      <c r="Z652" s="18"/>
      <c r="AA652" s="18"/>
      <c r="AB652" s="18"/>
      <c r="AC652" s="18"/>
      <c r="AD652" s="18"/>
      <c r="AE652" s="18"/>
      <c r="AF652" s="18"/>
      <c r="AG652" s="18"/>
      <c r="AH652" s="18"/>
      <c r="AI652" s="18"/>
      <c r="AJ652" s="142"/>
      <c r="AK652" s="142"/>
      <c r="AL652" s="18"/>
      <c r="AM652" s="18"/>
      <c r="AN652" s="18"/>
      <c r="AO652" s="142"/>
    </row>
    <row r="653">
      <c r="A653" s="142"/>
      <c r="B653" s="18"/>
      <c r="C653" s="142"/>
      <c r="D653" s="18"/>
      <c r="E653" s="18"/>
      <c r="F653" s="18"/>
      <c r="G653" s="142"/>
      <c r="H653" s="18"/>
      <c r="I653" s="142"/>
      <c r="J653" s="15"/>
      <c r="Q653" s="15"/>
      <c r="R653" s="18"/>
      <c r="S653" s="142"/>
      <c r="T653" s="142"/>
      <c r="U653" s="142"/>
      <c r="V653" s="18"/>
      <c r="W653" s="18"/>
      <c r="X653" s="18"/>
      <c r="Y653" s="142"/>
      <c r="Z653" s="18"/>
      <c r="AA653" s="18"/>
      <c r="AB653" s="18"/>
      <c r="AC653" s="18"/>
      <c r="AD653" s="18"/>
      <c r="AE653" s="18"/>
      <c r="AF653" s="18"/>
      <c r="AG653" s="18"/>
      <c r="AH653" s="18"/>
      <c r="AI653" s="18"/>
      <c r="AJ653" s="142"/>
      <c r="AK653" s="142"/>
      <c r="AL653" s="18"/>
      <c r="AM653" s="18"/>
      <c r="AN653" s="18"/>
      <c r="AO653" s="142"/>
    </row>
    <row r="654">
      <c r="A654" s="142"/>
      <c r="B654" s="18"/>
      <c r="C654" s="142"/>
      <c r="D654" s="18"/>
      <c r="E654" s="18"/>
      <c r="F654" s="18"/>
      <c r="G654" s="142"/>
      <c r="H654" s="18"/>
      <c r="I654" s="142"/>
      <c r="J654" s="15"/>
      <c r="Q654" s="15"/>
      <c r="R654" s="18"/>
      <c r="S654" s="142"/>
      <c r="T654" s="142"/>
      <c r="U654" s="142"/>
      <c r="V654" s="18"/>
      <c r="W654" s="18"/>
      <c r="X654" s="18"/>
      <c r="Y654" s="142"/>
      <c r="Z654" s="18"/>
      <c r="AA654" s="18"/>
      <c r="AB654" s="18"/>
      <c r="AC654" s="18"/>
      <c r="AD654" s="18"/>
      <c r="AE654" s="18"/>
      <c r="AF654" s="18"/>
      <c r="AG654" s="18"/>
      <c r="AH654" s="18"/>
      <c r="AI654" s="18"/>
      <c r="AJ654" s="142"/>
      <c r="AK654" s="142"/>
      <c r="AL654" s="18"/>
      <c r="AM654" s="18"/>
      <c r="AN654" s="18"/>
      <c r="AO654" s="142"/>
    </row>
    <row r="655">
      <c r="A655" s="142"/>
      <c r="B655" s="18"/>
      <c r="C655" s="142"/>
      <c r="D655" s="18"/>
      <c r="E655" s="18"/>
      <c r="F655" s="18"/>
      <c r="G655" s="142"/>
      <c r="H655" s="18"/>
      <c r="I655" s="142"/>
      <c r="J655" s="15"/>
      <c r="Q655" s="15"/>
      <c r="R655" s="18"/>
      <c r="S655" s="142"/>
      <c r="T655" s="142"/>
      <c r="U655" s="142"/>
      <c r="V655" s="18"/>
      <c r="W655" s="18"/>
      <c r="X655" s="18"/>
      <c r="Y655" s="142"/>
      <c r="Z655" s="18"/>
      <c r="AA655" s="18"/>
      <c r="AB655" s="18"/>
      <c r="AC655" s="18"/>
      <c r="AD655" s="18"/>
      <c r="AE655" s="18"/>
      <c r="AF655" s="18"/>
      <c r="AG655" s="18"/>
      <c r="AH655" s="18"/>
      <c r="AI655" s="18"/>
      <c r="AJ655" s="142"/>
      <c r="AK655" s="142"/>
      <c r="AL655" s="18"/>
      <c r="AM655" s="18"/>
      <c r="AN655" s="18"/>
      <c r="AO655" s="142"/>
    </row>
    <row r="656">
      <c r="A656" s="142"/>
      <c r="B656" s="18"/>
      <c r="C656" s="142"/>
      <c r="D656" s="18"/>
      <c r="E656" s="18"/>
      <c r="F656" s="18"/>
      <c r="G656" s="142"/>
      <c r="H656" s="18"/>
      <c r="I656" s="142"/>
      <c r="J656" s="15"/>
      <c r="Q656" s="15"/>
      <c r="R656" s="18"/>
      <c r="S656" s="142"/>
      <c r="T656" s="142"/>
      <c r="U656" s="142"/>
      <c r="V656" s="18"/>
      <c r="W656" s="18"/>
      <c r="X656" s="18"/>
      <c r="Y656" s="142"/>
      <c r="Z656" s="18"/>
      <c r="AA656" s="18"/>
      <c r="AB656" s="18"/>
      <c r="AC656" s="18"/>
      <c r="AD656" s="18"/>
      <c r="AE656" s="18"/>
      <c r="AF656" s="18"/>
      <c r="AG656" s="18"/>
      <c r="AH656" s="18"/>
      <c r="AI656" s="18"/>
      <c r="AJ656" s="142"/>
      <c r="AK656" s="142"/>
      <c r="AL656" s="18"/>
      <c r="AM656" s="18"/>
      <c r="AN656" s="18"/>
      <c r="AO656" s="142"/>
    </row>
    <row r="657">
      <c r="A657" s="142"/>
      <c r="B657" s="18"/>
      <c r="C657" s="142"/>
      <c r="D657" s="18"/>
      <c r="E657" s="18"/>
      <c r="F657" s="18"/>
      <c r="G657" s="142"/>
      <c r="H657" s="18"/>
      <c r="I657" s="142"/>
      <c r="J657" s="15"/>
      <c r="Q657" s="15"/>
      <c r="R657" s="18"/>
      <c r="S657" s="142"/>
      <c r="T657" s="142"/>
      <c r="U657" s="142"/>
      <c r="V657" s="18"/>
      <c r="W657" s="18"/>
      <c r="X657" s="18"/>
      <c r="Y657" s="142"/>
      <c r="Z657" s="18"/>
      <c r="AA657" s="18"/>
      <c r="AB657" s="18"/>
      <c r="AC657" s="18"/>
      <c r="AD657" s="18"/>
      <c r="AE657" s="18"/>
      <c r="AF657" s="18"/>
      <c r="AG657" s="18"/>
      <c r="AH657" s="18"/>
      <c r="AI657" s="18"/>
      <c r="AJ657" s="142"/>
      <c r="AK657" s="142"/>
      <c r="AL657" s="18"/>
      <c r="AM657" s="18"/>
      <c r="AN657" s="18"/>
      <c r="AO657" s="142"/>
    </row>
    <row r="658">
      <c r="A658" s="142"/>
      <c r="B658" s="18"/>
      <c r="C658" s="142"/>
      <c r="D658" s="18"/>
      <c r="E658" s="18"/>
      <c r="F658" s="18"/>
      <c r="G658" s="142"/>
      <c r="H658" s="18"/>
      <c r="I658" s="142"/>
      <c r="J658" s="15"/>
      <c r="Q658" s="15"/>
      <c r="R658" s="18"/>
      <c r="S658" s="142"/>
      <c r="T658" s="142"/>
      <c r="U658" s="142"/>
      <c r="V658" s="18"/>
      <c r="W658" s="18"/>
      <c r="X658" s="18"/>
      <c r="Y658" s="142"/>
      <c r="Z658" s="18"/>
      <c r="AA658" s="18"/>
      <c r="AB658" s="18"/>
      <c r="AC658" s="18"/>
      <c r="AD658" s="18"/>
      <c r="AE658" s="18"/>
      <c r="AF658" s="18"/>
      <c r="AG658" s="18"/>
      <c r="AH658" s="18"/>
      <c r="AI658" s="18"/>
      <c r="AJ658" s="142"/>
      <c r="AK658" s="142"/>
      <c r="AL658" s="18"/>
      <c r="AM658" s="18"/>
      <c r="AN658" s="18"/>
      <c r="AO658" s="142"/>
    </row>
    <row r="659">
      <c r="A659" s="142"/>
      <c r="B659" s="18"/>
      <c r="C659" s="142"/>
      <c r="D659" s="18"/>
      <c r="E659" s="18"/>
      <c r="F659" s="18"/>
      <c r="G659" s="142"/>
      <c r="H659" s="18"/>
      <c r="I659" s="142"/>
      <c r="J659" s="15"/>
      <c r="Q659" s="15"/>
      <c r="R659" s="18"/>
      <c r="S659" s="142"/>
      <c r="T659" s="142"/>
      <c r="U659" s="142"/>
      <c r="V659" s="18"/>
      <c r="W659" s="18"/>
      <c r="X659" s="18"/>
      <c r="Y659" s="142"/>
      <c r="Z659" s="18"/>
      <c r="AA659" s="18"/>
      <c r="AB659" s="18"/>
      <c r="AC659" s="18"/>
      <c r="AD659" s="18"/>
      <c r="AE659" s="18"/>
      <c r="AF659" s="18"/>
      <c r="AG659" s="18"/>
      <c r="AH659" s="18"/>
      <c r="AI659" s="18"/>
      <c r="AJ659" s="142"/>
      <c r="AK659" s="142"/>
      <c r="AL659" s="18"/>
      <c r="AM659" s="18"/>
      <c r="AN659" s="18"/>
      <c r="AO659" s="142"/>
    </row>
    <row r="660">
      <c r="A660" s="142"/>
      <c r="B660" s="18"/>
      <c r="C660" s="142"/>
      <c r="D660" s="18"/>
      <c r="E660" s="18"/>
      <c r="F660" s="18"/>
      <c r="G660" s="142"/>
      <c r="H660" s="18"/>
      <c r="I660" s="142"/>
      <c r="J660" s="15"/>
      <c r="Q660" s="15"/>
      <c r="R660" s="18"/>
      <c r="S660" s="142"/>
      <c r="T660" s="142"/>
      <c r="U660" s="142"/>
      <c r="V660" s="18"/>
      <c r="W660" s="18"/>
      <c r="X660" s="18"/>
      <c r="Y660" s="142"/>
      <c r="Z660" s="18"/>
      <c r="AA660" s="18"/>
      <c r="AB660" s="18"/>
      <c r="AC660" s="18"/>
      <c r="AD660" s="18"/>
      <c r="AE660" s="18"/>
      <c r="AF660" s="18"/>
      <c r="AG660" s="18"/>
      <c r="AH660" s="18"/>
      <c r="AI660" s="18"/>
      <c r="AJ660" s="142"/>
      <c r="AK660" s="142"/>
      <c r="AL660" s="18"/>
      <c r="AM660" s="18"/>
      <c r="AN660" s="18"/>
      <c r="AO660" s="142"/>
    </row>
    <row r="661">
      <c r="A661" s="142"/>
      <c r="B661" s="18"/>
      <c r="C661" s="142"/>
      <c r="D661" s="18"/>
      <c r="E661" s="18"/>
      <c r="F661" s="18"/>
      <c r="G661" s="142"/>
      <c r="H661" s="18"/>
      <c r="I661" s="142"/>
      <c r="J661" s="15"/>
      <c r="Q661" s="15"/>
      <c r="R661" s="18"/>
      <c r="S661" s="142"/>
      <c r="T661" s="142"/>
      <c r="U661" s="142"/>
      <c r="V661" s="18"/>
      <c r="W661" s="18"/>
      <c r="X661" s="18"/>
      <c r="Y661" s="142"/>
      <c r="Z661" s="18"/>
      <c r="AA661" s="18"/>
      <c r="AB661" s="18"/>
      <c r="AC661" s="18"/>
      <c r="AD661" s="18"/>
      <c r="AE661" s="18"/>
      <c r="AF661" s="18"/>
      <c r="AG661" s="18"/>
      <c r="AH661" s="18"/>
      <c r="AI661" s="18"/>
      <c r="AJ661" s="142"/>
      <c r="AK661" s="142"/>
      <c r="AL661" s="18"/>
      <c r="AM661" s="18"/>
      <c r="AN661" s="18"/>
      <c r="AO661" s="142"/>
    </row>
    <row r="662">
      <c r="A662" s="142"/>
      <c r="B662" s="18"/>
      <c r="C662" s="142"/>
      <c r="D662" s="18"/>
      <c r="E662" s="18"/>
      <c r="F662" s="18"/>
      <c r="G662" s="142"/>
      <c r="H662" s="18"/>
      <c r="I662" s="142"/>
      <c r="J662" s="15"/>
      <c r="Q662" s="15"/>
      <c r="R662" s="18"/>
      <c r="S662" s="142"/>
      <c r="T662" s="142"/>
      <c r="U662" s="142"/>
      <c r="V662" s="18"/>
      <c r="W662" s="18"/>
      <c r="X662" s="18"/>
      <c r="Y662" s="142"/>
      <c r="Z662" s="18"/>
      <c r="AA662" s="18"/>
      <c r="AB662" s="18"/>
      <c r="AC662" s="18"/>
      <c r="AD662" s="18"/>
      <c r="AE662" s="18"/>
      <c r="AF662" s="18"/>
      <c r="AG662" s="18"/>
      <c r="AH662" s="18"/>
      <c r="AI662" s="18"/>
      <c r="AJ662" s="142"/>
      <c r="AK662" s="142"/>
      <c r="AL662" s="18"/>
      <c r="AM662" s="18"/>
      <c r="AN662" s="18"/>
      <c r="AO662" s="142"/>
    </row>
    <row r="663">
      <c r="A663" s="142"/>
      <c r="B663" s="18"/>
      <c r="C663" s="142"/>
      <c r="D663" s="18"/>
      <c r="E663" s="18"/>
      <c r="F663" s="18"/>
      <c r="G663" s="142"/>
      <c r="H663" s="18"/>
      <c r="I663" s="142"/>
      <c r="J663" s="15"/>
      <c r="Q663" s="15"/>
      <c r="R663" s="18"/>
      <c r="S663" s="142"/>
      <c r="T663" s="142"/>
      <c r="U663" s="142"/>
      <c r="V663" s="18"/>
      <c r="W663" s="18"/>
      <c r="X663" s="18"/>
      <c r="Y663" s="142"/>
      <c r="Z663" s="18"/>
      <c r="AA663" s="18"/>
      <c r="AB663" s="18"/>
      <c r="AC663" s="18"/>
      <c r="AD663" s="18"/>
      <c r="AE663" s="18"/>
      <c r="AF663" s="18"/>
      <c r="AG663" s="18"/>
      <c r="AH663" s="18"/>
      <c r="AI663" s="18"/>
      <c r="AJ663" s="142"/>
      <c r="AK663" s="142"/>
      <c r="AL663" s="18"/>
      <c r="AM663" s="18"/>
      <c r="AN663" s="18"/>
      <c r="AO663" s="142"/>
    </row>
    <row r="664">
      <c r="A664" s="142"/>
      <c r="B664" s="18"/>
      <c r="C664" s="142"/>
      <c r="D664" s="18"/>
      <c r="E664" s="18"/>
      <c r="F664" s="18"/>
      <c r="G664" s="142"/>
      <c r="H664" s="18"/>
      <c r="I664" s="142"/>
      <c r="J664" s="15"/>
      <c r="Q664" s="15"/>
      <c r="R664" s="18"/>
      <c r="S664" s="142"/>
      <c r="T664" s="142"/>
      <c r="U664" s="142"/>
      <c r="V664" s="18"/>
      <c r="W664" s="18"/>
      <c r="X664" s="18"/>
      <c r="Y664" s="142"/>
      <c r="Z664" s="18"/>
      <c r="AA664" s="18"/>
      <c r="AB664" s="18"/>
      <c r="AC664" s="18"/>
      <c r="AD664" s="18"/>
      <c r="AE664" s="18"/>
      <c r="AF664" s="18"/>
      <c r="AG664" s="18"/>
      <c r="AH664" s="18"/>
      <c r="AI664" s="18"/>
      <c r="AJ664" s="142"/>
      <c r="AK664" s="142"/>
      <c r="AL664" s="18"/>
      <c r="AM664" s="18"/>
      <c r="AN664" s="18"/>
      <c r="AO664" s="142"/>
    </row>
    <row r="665">
      <c r="A665" s="142"/>
      <c r="B665" s="18"/>
      <c r="C665" s="142"/>
      <c r="D665" s="18"/>
      <c r="E665" s="18"/>
      <c r="F665" s="18"/>
      <c r="G665" s="142"/>
      <c r="H665" s="18"/>
      <c r="I665" s="142"/>
      <c r="J665" s="15"/>
      <c r="Q665" s="15"/>
      <c r="R665" s="18"/>
      <c r="S665" s="142"/>
      <c r="T665" s="142"/>
      <c r="U665" s="142"/>
      <c r="V665" s="18"/>
      <c r="W665" s="18"/>
      <c r="X665" s="18"/>
      <c r="Y665" s="142"/>
      <c r="Z665" s="18"/>
      <c r="AA665" s="18"/>
      <c r="AB665" s="18"/>
      <c r="AC665" s="18"/>
      <c r="AD665" s="18"/>
      <c r="AE665" s="18"/>
      <c r="AF665" s="18"/>
      <c r="AG665" s="18"/>
      <c r="AH665" s="18"/>
      <c r="AI665" s="18"/>
      <c r="AJ665" s="142"/>
      <c r="AK665" s="142"/>
      <c r="AL665" s="18"/>
      <c r="AM665" s="18"/>
      <c r="AN665" s="18"/>
      <c r="AO665" s="142"/>
    </row>
    <row r="666">
      <c r="A666" s="142"/>
      <c r="B666" s="18"/>
      <c r="C666" s="142"/>
      <c r="D666" s="18"/>
      <c r="E666" s="18"/>
      <c r="F666" s="18"/>
      <c r="G666" s="142"/>
      <c r="H666" s="18"/>
      <c r="I666" s="142"/>
      <c r="J666" s="15"/>
      <c r="Q666" s="15"/>
      <c r="R666" s="18"/>
      <c r="S666" s="142"/>
      <c r="T666" s="142"/>
      <c r="U666" s="142"/>
      <c r="V666" s="18"/>
      <c r="W666" s="18"/>
      <c r="X666" s="18"/>
      <c r="Y666" s="142"/>
      <c r="Z666" s="18"/>
      <c r="AA666" s="18"/>
      <c r="AB666" s="18"/>
      <c r="AC666" s="18"/>
      <c r="AD666" s="18"/>
      <c r="AE666" s="18"/>
      <c r="AF666" s="18"/>
      <c r="AG666" s="18"/>
      <c r="AH666" s="18"/>
      <c r="AI666" s="18"/>
      <c r="AJ666" s="142"/>
      <c r="AK666" s="142"/>
      <c r="AL666" s="18"/>
      <c r="AM666" s="18"/>
      <c r="AN666" s="18"/>
      <c r="AO666" s="142"/>
    </row>
    <row r="667">
      <c r="A667" s="142"/>
      <c r="B667" s="18"/>
      <c r="C667" s="142"/>
      <c r="D667" s="18"/>
      <c r="E667" s="18"/>
      <c r="F667" s="18"/>
      <c r="G667" s="142"/>
      <c r="H667" s="18"/>
      <c r="I667" s="142"/>
      <c r="J667" s="15"/>
      <c r="Q667" s="15"/>
      <c r="R667" s="18"/>
      <c r="S667" s="142"/>
      <c r="T667" s="142"/>
      <c r="U667" s="142"/>
      <c r="V667" s="18"/>
      <c r="W667" s="18"/>
      <c r="X667" s="18"/>
      <c r="Y667" s="142"/>
      <c r="Z667" s="18"/>
      <c r="AA667" s="18"/>
      <c r="AB667" s="18"/>
      <c r="AC667" s="18"/>
      <c r="AD667" s="18"/>
      <c r="AE667" s="18"/>
      <c r="AF667" s="18"/>
      <c r="AG667" s="18"/>
      <c r="AH667" s="18"/>
      <c r="AI667" s="18"/>
      <c r="AJ667" s="142"/>
      <c r="AK667" s="142"/>
      <c r="AL667" s="18"/>
      <c r="AM667" s="18"/>
      <c r="AN667" s="18"/>
      <c r="AO667" s="142"/>
    </row>
    <row r="668">
      <c r="A668" s="142"/>
      <c r="B668" s="18"/>
      <c r="C668" s="142"/>
      <c r="D668" s="18"/>
      <c r="E668" s="18"/>
      <c r="F668" s="18"/>
      <c r="G668" s="142"/>
      <c r="H668" s="18"/>
      <c r="I668" s="142"/>
      <c r="J668" s="15"/>
      <c r="Q668" s="15"/>
      <c r="R668" s="18"/>
      <c r="S668" s="142"/>
      <c r="T668" s="142"/>
      <c r="U668" s="142"/>
      <c r="V668" s="18"/>
      <c r="W668" s="18"/>
      <c r="X668" s="18"/>
      <c r="Y668" s="142"/>
      <c r="Z668" s="18"/>
      <c r="AA668" s="18"/>
      <c r="AB668" s="18"/>
      <c r="AC668" s="18"/>
      <c r="AD668" s="18"/>
      <c r="AE668" s="18"/>
      <c r="AF668" s="18"/>
      <c r="AG668" s="18"/>
      <c r="AH668" s="18"/>
      <c r="AI668" s="18"/>
      <c r="AJ668" s="142"/>
      <c r="AK668" s="142"/>
      <c r="AL668" s="18"/>
      <c r="AM668" s="18"/>
      <c r="AN668" s="18"/>
      <c r="AO668" s="142"/>
    </row>
    <row r="669">
      <c r="A669" s="142"/>
      <c r="B669" s="18"/>
      <c r="C669" s="142"/>
      <c r="D669" s="18"/>
      <c r="E669" s="18"/>
      <c r="F669" s="18"/>
      <c r="G669" s="142"/>
      <c r="H669" s="18"/>
      <c r="I669" s="142"/>
      <c r="J669" s="15"/>
      <c r="Q669" s="15"/>
      <c r="R669" s="18"/>
      <c r="S669" s="142"/>
      <c r="T669" s="142"/>
      <c r="U669" s="142"/>
      <c r="V669" s="18"/>
      <c r="W669" s="18"/>
      <c r="X669" s="18"/>
      <c r="Y669" s="142"/>
      <c r="Z669" s="18"/>
      <c r="AA669" s="18"/>
      <c r="AB669" s="18"/>
      <c r="AC669" s="18"/>
      <c r="AD669" s="18"/>
      <c r="AE669" s="18"/>
      <c r="AF669" s="18"/>
      <c r="AG669" s="18"/>
      <c r="AH669" s="18"/>
      <c r="AI669" s="18"/>
      <c r="AJ669" s="142"/>
      <c r="AK669" s="142"/>
      <c r="AL669" s="18"/>
      <c r="AM669" s="18"/>
      <c r="AN669" s="18"/>
      <c r="AO669" s="142"/>
    </row>
    <row r="670">
      <c r="A670" s="142"/>
      <c r="B670" s="18"/>
      <c r="C670" s="142"/>
      <c r="D670" s="18"/>
      <c r="E670" s="18"/>
      <c r="F670" s="18"/>
      <c r="G670" s="142"/>
      <c r="H670" s="18"/>
      <c r="I670" s="142"/>
      <c r="J670" s="15"/>
      <c r="Q670" s="15"/>
      <c r="R670" s="18"/>
      <c r="S670" s="142"/>
      <c r="T670" s="142"/>
      <c r="U670" s="142"/>
      <c r="V670" s="18"/>
      <c r="W670" s="18"/>
      <c r="X670" s="18"/>
      <c r="Y670" s="142"/>
      <c r="Z670" s="18"/>
      <c r="AA670" s="18"/>
      <c r="AB670" s="18"/>
      <c r="AC670" s="18"/>
      <c r="AD670" s="18"/>
      <c r="AE670" s="18"/>
      <c r="AF670" s="18"/>
      <c r="AG670" s="18"/>
      <c r="AH670" s="18"/>
      <c r="AI670" s="18"/>
      <c r="AJ670" s="142"/>
      <c r="AK670" s="142"/>
      <c r="AL670" s="18"/>
      <c r="AM670" s="18"/>
      <c r="AN670" s="18"/>
      <c r="AO670" s="142"/>
    </row>
    <row r="671">
      <c r="A671" s="142"/>
      <c r="B671" s="18"/>
      <c r="C671" s="142"/>
      <c r="D671" s="18"/>
      <c r="E671" s="18"/>
      <c r="F671" s="18"/>
      <c r="G671" s="142"/>
      <c r="H671" s="18"/>
      <c r="I671" s="142"/>
      <c r="J671" s="15"/>
      <c r="Q671" s="15"/>
      <c r="R671" s="18"/>
      <c r="S671" s="142"/>
      <c r="T671" s="142"/>
      <c r="U671" s="142"/>
      <c r="V671" s="18"/>
      <c r="W671" s="18"/>
      <c r="X671" s="18"/>
      <c r="Y671" s="142"/>
      <c r="Z671" s="18"/>
      <c r="AA671" s="18"/>
      <c r="AB671" s="18"/>
      <c r="AC671" s="18"/>
      <c r="AD671" s="18"/>
      <c r="AE671" s="18"/>
      <c r="AF671" s="18"/>
      <c r="AG671" s="18"/>
      <c r="AH671" s="18"/>
      <c r="AI671" s="18"/>
      <c r="AJ671" s="142"/>
      <c r="AK671" s="142"/>
      <c r="AL671" s="18"/>
      <c r="AM671" s="18"/>
      <c r="AN671" s="18"/>
      <c r="AO671" s="142"/>
    </row>
    <row r="672">
      <c r="A672" s="142"/>
      <c r="B672" s="18"/>
      <c r="C672" s="142"/>
      <c r="D672" s="18"/>
      <c r="E672" s="18"/>
      <c r="F672" s="18"/>
      <c r="G672" s="142"/>
      <c r="H672" s="18"/>
      <c r="I672" s="142"/>
      <c r="J672" s="15"/>
      <c r="Q672" s="15"/>
      <c r="R672" s="18"/>
      <c r="S672" s="142"/>
      <c r="T672" s="142"/>
      <c r="U672" s="142"/>
      <c r="V672" s="18"/>
      <c r="W672" s="18"/>
      <c r="X672" s="18"/>
      <c r="Y672" s="142"/>
      <c r="Z672" s="18"/>
      <c r="AA672" s="18"/>
      <c r="AB672" s="18"/>
      <c r="AC672" s="18"/>
      <c r="AD672" s="18"/>
      <c r="AE672" s="18"/>
      <c r="AF672" s="18"/>
      <c r="AG672" s="18"/>
      <c r="AH672" s="18"/>
      <c r="AI672" s="18"/>
      <c r="AJ672" s="142"/>
      <c r="AK672" s="142"/>
      <c r="AL672" s="18"/>
      <c r="AM672" s="18"/>
      <c r="AN672" s="18"/>
      <c r="AO672" s="142"/>
    </row>
    <row r="673">
      <c r="A673" s="142"/>
      <c r="B673" s="18"/>
      <c r="C673" s="142"/>
      <c r="D673" s="18"/>
      <c r="E673" s="18"/>
      <c r="F673" s="18"/>
      <c r="G673" s="142"/>
      <c r="H673" s="18"/>
      <c r="I673" s="142"/>
      <c r="J673" s="15"/>
      <c r="Q673" s="15"/>
      <c r="R673" s="18"/>
      <c r="S673" s="142"/>
      <c r="T673" s="142"/>
      <c r="U673" s="142"/>
      <c r="V673" s="18"/>
      <c r="W673" s="18"/>
      <c r="X673" s="18"/>
      <c r="Y673" s="142"/>
      <c r="Z673" s="18"/>
      <c r="AA673" s="18"/>
      <c r="AB673" s="18"/>
      <c r="AC673" s="18"/>
      <c r="AD673" s="18"/>
      <c r="AE673" s="18"/>
      <c r="AF673" s="18"/>
      <c r="AG673" s="18"/>
      <c r="AH673" s="18"/>
      <c r="AI673" s="18"/>
      <c r="AJ673" s="142"/>
      <c r="AK673" s="142"/>
      <c r="AL673" s="18"/>
      <c r="AM673" s="18"/>
      <c r="AN673" s="18"/>
      <c r="AO673" s="142"/>
    </row>
    <row r="674">
      <c r="A674" s="142"/>
      <c r="B674" s="18"/>
      <c r="C674" s="142"/>
      <c r="D674" s="18"/>
      <c r="E674" s="18"/>
      <c r="F674" s="18"/>
      <c r="G674" s="142"/>
      <c r="H674" s="18"/>
      <c r="I674" s="142"/>
      <c r="J674" s="15"/>
      <c r="Q674" s="15"/>
      <c r="R674" s="18"/>
      <c r="S674" s="142"/>
      <c r="T674" s="142"/>
      <c r="U674" s="142"/>
      <c r="V674" s="18"/>
      <c r="W674" s="18"/>
      <c r="X674" s="18"/>
      <c r="Y674" s="142"/>
      <c r="Z674" s="18"/>
      <c r="AA674" s="18"/>
      <c r="AB674" s="18"/>
      <c r="AC674" s="18"/>
      <c r="AD674" s="18"/>
      <c r="AE674" s="18"/>
      <c r="AF674" s="18"/>
      <c r="AG674" s="18"/>
      <c r="AH674" s="18"/>
      <c r="AI674" s="18"/>
      <c r="AJ674" s="142"/>
      <c r="AK674" s="142"/>
      <c r="AL674" s="18"/>
      <c r="AM674" s="18"/>
      <c r="AN674" s="18"/>
      <c r="AO674" s="142"/>
    </row>
    <row r="675">
      <c r="A675" s="142"/>
      <c r="B675" s="18"/>
      <c r="C675" s="142"/>
      <c r="D675" s="18"/>
      <c r="E675" s="18"/>
      <c r="F675" s="18"/>
      <c r="G675" s="142"/>
      <c r="H675" s="18"/>
      <c r="I675" s="142"/>
      <c r="J675" s="15"/>
      <c r="Q675" s="15"/>
      <c r="R675" s="18"/>
      <c r="S675" s="142"/>
      <c r="T675" s="142"/>
      <c r="U675" s="142"/>
      <c r="V675" s="18"/>
      <c r="W675" s="18"/>
      <c r="X675" s="18"/>
      <c r="Y675" s="142"/>
      <c r="Z675" s="18"/>
      <c r="AA675" s="18"/>
      <c r="AB675" s="18"/>
      <c r="AC675" s="18"/>
      <c r="AD675" s="18"/>
      <c r="AE675" s="18"/>
      <c r="AF675" s="18"/>
      <c r="AG675" s="18"/>
      <c r="AH675" s="18"/>
      <c r="AI675" s="18"/>
      <c r="AJ675" s="142"/>
      <c r="AK675" s="142"/>
      <c r="AL675" s="18"/>
      <c r="AM675" s="18"/>
      <c r="AN675" s="18"/>
      <c r="AO675" s="142"/>
    </row>
    <row r="676">
      <c r="A676" s="142"/>
      <c r="B676" s="18"/>
      <c r="C676" s="142"/>
      <c r="D676" s="18"/>
      <c r="E676" s="18"/>
      <c r="F676" s="18"/>
      <c r="G676" s="142"/>
      <c r="H676" s="18"/>
      <c r="I676" s="142"/>
      <c r="J676" s="15"/>
      <c r="Q676" s="15"/>
      <c r="R676" s="18"/>
      <c r="S676" s="142"/>
      <c r="T676" s="142"/>
      <c r="U676" s="142"/>
      <c r="V676" s="18"/>
      <c r="W676" s="18"/>
      <c r="X676" s="18"/>
      <c r="Y676" s="142"/>
      <c r="Z676" s="18"/>
      <c r="AA676" s="18"/>
      <c r="AB676" s="18"/>
      <c r="AC676" s="18"/>
      <c r="AD676" s="18"/>
      <c r="AE676" s="18"/>
      <c r="AF676" s="18"/>
      <c r="AG676" s="18"/>
      <c r="AH676" s="18"/>
      <c r="AI676" s="18"/>
      <c r="AJ676" s="142"/>
      <c r="AK676" s="142"/>
      <c r="AL676" s="18"/>
      <c r="AM676" s="18"/>
      <c r="AN676" s="18"/>
      <c r="AO676" s="142"/>
    </row>
    <row r="677">
      <c r="A677" s="142"/>
      <c r="B677" s="18"/>
      <c r="C677" s="142"/>
      <c r="D677" s="18"/>
      <c r="E677" s="18"/>
      <c r="F677" s="18"/>
      <c r="G677" s="142"/>
      <c r="H677" s="18"/>
      <c r="I677" s="142"/>
      <c r="J677" s="15"/>
      <c r="Q677" s="15"/>
      <c r="R677" s="18"/>
      <c r="S677" s="142"/>
      <c r="T677" s="142"/>
      <c r="U677" s="142"/>
      <c r="V677" s="18"/>
      <c r="W677" s="18"/>
      <c r="X677" s="18"/>
      <c r="Y677" s="142"/>
      <c r="Z677" s="18"/>
      <c r="AA677" s="18"/>
      <c r="AB677" s="18"/>
      <c r="AC677" s="18"/>
      <c r="AD677" s="18"/>
      <c r="AE677" s="18"/>
      <c r="AF677" s="18"/>
      <c r="AG677" s="18"/>
      <c r="AH677" s="18"/>
      <c r="AI677" s="18"/>
      <c r="AJ677" s="142"/>
      <c r="AK677" s="142"/>
      <c r="AL677" s="18"/>
      <c r="AM677" s="18"/>
      <c r="AN677" s="18"/>
      <c r="AO677" s="142"/>
    </row>
    <row r="678">
      <c r="A678" s="142"/>
      <c r="B678" s="18"/>
      <c r="C678" s="142"/>
      <c r="D678" s="18"/>
      <c r="E678" s="18"/>
      <c r="F678" s="18"/>
      <c r="G678" s="142"/>
      <c r="H678" s="18"/>
      <c r="I678" s="142"/>
      <c r="J678" s="15"/>
      <c r="Q678" s="15"/>
      <c r="R678" s="18"/>
      <c r="S678" s="142"/>
      <c r="T678" s="142"/>
      <c r="U678" s="142"/>
      <c r="V678" s="18"/>
      <c r="W678" s="18"/>
      <c r="X678" s="18"/>
      <c r="Y678" s="142"/>
      <c r="Z678" s="18"/>
      <c r="AA678" s="18"/>
      <c r="AB678" s="18"/>
      <c r="AC678" s="18"/>
      <c r="AD678" s="18"/>
      <c r="AE678" s="18"/>
      <c r="AF678" s="18"/>
      <c r="AG678" s="18"/>
      <c r="AH678" s="18"/>
      <c r="AI678" s="18"/>
      <c r="AJ678" s="142"/>
      <c r="AK678" s="142"/>
      <c r="AL678" s="18"/>
      <c r="AM678" s="18"/>
      <c r="AN678" s="18"/>
      <c r="AO678" s="142"/>
    </row>
    <row r="679">
      <c r="A679" s="142"/>
      <c r="B679" s="18"/>
      <c r="C679" s="142"/>
      <c r="D679" s="18"/>
      <c r="E679" s="18"/>
      <c r="F679" s="18"/>
      <c r="G679" s="142"/>
      <c r="H679" s="18"/>
      <c r="I679" s="142"/>
      <c r="J679" s="15"/>
      <c r="Q679" s="15"/>
      <c r="R679" s="18"/>
      <c r="S679" s="142"/>
      <c r="T679" s="142"/>
      <c r="U679" s="142"/>
      <c r="V679" s="18"/>
      <c r="W679" s="18"/>
      <c r="X679" s="18"/>
      <c r="Y679" s="142"/>
      <c r="Z679" s="18"/>
      <c r="AA679" s="18"/>
      <c r="AB679" s="18"/>
      <c r="AC679" s="18"/>
      <c r="AD679" s="18"/>
      <c r="AE679" s="18"/>
      <c r="AF679" s="18"/>
      <c r="AG679" s="18"/>
      <c r="AH679" s="18"/>
      <c r="AI679" s="18"/>
      <c r="AJ679" s="142"/>
      <c r="AK679" s="142"/>
      <c r="AL679" s="18"/>
      <c r="AM679" s="18"/>
      <c r="AN679" s="18"/>
      <c r="AO679" s="142"/>
    </row>
    <row r="680">
      <c r="A680" s="142"/>
      <c r="B680" s="18"/>
      <c r="C680" s="142"/>
      <c r="D680" s="18"/>
      <c r="E680" s="18"/>
      <c r="F680" s="18"/>
      <c r="G680" s="142"/>
      <c r="H680" s="18"/>
      <c r="I680" s="142"/>
      <c r="J680" s="15"/>
      <c r="Q680" s="15"/>
      <c r="R680" s="18"/>
      <c r="S680" s="142"/>
      <c r="T680" s="142"/>
      <c r="U680" s="142"/>
      <c r="V680" s="18"/>
      <c r="W680" s="18"/>
      <c r="X680" s="18"/>
      <c r="Y680" s="142"/>
      <c r="Z680" s="18"/>
      <c r="AA680" s="18"/>
      <c r="AB680" s="18"/>
      <c r="AC680" s="18"/>
      <c r="AD680" s="18"/>
      <c r="AE680" s="18"/>
      <c r="AF680" s="18"/>
      <c r="AG680" s="18"/>
      <c r="AH680" s="18"/>
      <c r="AI680" s="18"/>
      <c r="AJ680" s="142"/>
      <c r="AK680" s="142"/>
      <c r="AL680" s="18"/>
      <c r="AM680" s="18"/>
      <c r="AN680" s="18"/>
      <c r="AO680" s="142"/>
    </row>
    <row r="681">
      <c r="A681" s="142"/>
      <c r="B681" s="18"/>
      <c r="C681" s="142"/>
      <c r="D681" s="18"/>
      <c r="E681" s="18"/>
      <c r="F681" s="18"/>
      <c r="G681" s="142"/>
      <c r="H681" s="18"/>
      <c r="I681" s="142"/>
      <c r="J681" s="15"/>
      <c r="Q681" s="15"/>
      <c r="R681" s="18"/>
      <c r="S681" s="142"/>
      <c r="T681" s="142"/>
      <c r="U681" s="142"/>
      <c r="V681" s="18"/>
      <c r="W681" s="18"/>
      <c r="X681" s="18"/>
      <c r="Y681" s="142"/>
      <c r="Z681" s="18"/>
      <c r="AA681" s="18"/>
      <c r="AB681" s="18"/>
      <c r="AC681" s="18"/>
      <c r="AD681" s="18"/>
      <c r="AE681" s="18"/>
      <c r="AF681" s="18"/>
      <c r="AG681" s="18"/>
      <c r="AH681" s="18"/>
      <c r="AI681" s="18"/>
      <c r="AJ681" s="142"/>
      <c r="AK681" s="142"/>
      <c r="AL681" s="18"/>
      <c r="AM681" s="18"/>
      <c r="AN681" s="18"/>
      <c r="AO681" s="142"/>
    </row>
    <row r="682">
      <c r="A682" s="142"/>
      <c r="B682" s="18"/>
      <c r="C682" s="142"/>
      <c r="D682" s="18"/>
      <c r="E682" s="18"/>
      <c r="F682" s="18"/>
      <c r="G682" s="142"/>
      <c r="H682" s="18"/>
      <c r="I682" s="142"/>
      <c r="J682" s="15"/>
      <c r="Q682" s="15"/>
      <c r="R682" s="18"/>
      <c r="S682" s="142"/>
      <c r="T682" s="142"/>
      <c r="U682" s="142"/>
      <c r="V682" s="18"/>
      <c r="W682" s="18"/>
      <c r="X682" s="18"/>
      <c r="Y682" s="142"/>
      <c r="Z682" s="18"/>
      <c r="AA682" s="18"/>
      <c r="AB682" s="18"/>
      <c r="AC682" s="18"/>
      <c r="AD682" s="18"/>
      <c r="AE682" s="18"/>
      <c r="AF682" s="18"/>
      <c r="AG682" s="18"/>
      <c r="AH682" s="18"/>
      <c r="AI682" s="18"/>
      <c r="AJ682" s="142"/>
      <c r="AK682" s="142"/>
      <c r="AL682" s="18"/>
      <c r="AM682" s="18"/>
      <c r="AN682" s="18"/>
      <c r="AO682" s="142"/>
    </row>
    <row r="683">
      <c r="A683" s="142"/>
      <c r="B683" s="18"/>
      <c r="C683" s="142"/>
      <c r="D683" s="18"/>
      <c r="E683" s="18"/>
      <c r="F683" s="18"/>
      <c r="G683" s="142"/>
      <c r="H683" s="18"/>
      <c r="I683" s="142"/>
      <c r="J683" s="15"/>
      <c r="Q683" s="15"/>
      <c r="R683" s="18"/>
      <c r="S683" s="142"/>
      <c r="T683" s="142"/>
      <c r="U683" s="142"/>
      <c r="V683" s="18"/>
      <c r="W683" s="18"/>
      <c r="X683" s="18"/>
      <c r="Y683" s="142"/>
      <c r="Z683" s="18"/>
      <c r="AA683" s="18"/>
      <c r="AB683" s="18"/>
      <c r="AC683" s="18"/>
      <c r="AD683" s="18"/>
      <c r="AE683" s="18"/>
      <c r="AF683" s="18"/>
      <c r="AG683" s="18"/>
      <c r="AH683" s="18"/>
      <c r="AI683" s="18"/>
      <c r="AJ683" s="142"/>
      <c r="AK683" s="142"/>
      <c r="AL683" s="18"/>
      <c r="AM683" s="18"/>
      <c r="AN683" s="18"/>
      <c r="AO683" s="142"/>
    </row>
    <row r="684">
      <c r="A684" s="142"/>
      <c r="B684" s="18"/>
      <c r="C684" s="142"/>
      <c r="D684" s="18"/>
      <c r="E684" s="18"/>
      <c r="F684" s="18"/>
      <c r="G684" s="142"/>
      <c r="H684" s="18"/>
      <c r="I684" s="142"/>
      <c r="J684" s="15"/>
      <c r="Q684" s="15"/>
      <c r="R684" s="18"/>
      <c r="S684" s="142"/>
      <c r="T684" s="142"/>
      <c r="U684" s="142"/>
      <c r="V684" s="18"/>
      <c r="W684" s="18"/>
      <c r="X684" s="18"/>
      <c r="Y684" s="142"/>
      <c r="Z684" s="18"/>
      <c r="AA684" s="18"/>
      <c r="AB684" s="18"/>
      <c r="AC684" s="18"/>
      <c r="AD684" s="18"/>
      <c r="AE684" s="18"/>
      <c r="AF684" s="18"/>
      <c r="AG684" s="18"/>
      <c r="AH684" s="18"/>
      <c r="AI684" s="18"/>
      <c r="AJ684" s="142"/>
      <c r="AK684" s="142"/>
      <c r="AL684" s="18"/>
      <c r="AM684" s="18"/>
      <c r="AN684" s="18"/>
      <c r="AO684" s="142"/>
    </row>
    <row r="685">
      <c r="A685" s="142"/>
      <c r="B685" s="18"/>
      <c r="C685" s="142"/>
      <c r="D685" s="18"/>
      <c r="E685" s="18"/>
      <c r="F685" s="18"/>
      <c r="G685" s="142"/>
      <c r="H685" s="18"/>
      <c r="I685" s="142"/>
      <c r="J685" s="15"/>
      <c r="Q685" s="15"/>
      <c r="R685" s="18"/>
      <c r="S685" s="142"/>
      <c r="T685" s="142"/>
      <c r="U685" s="142"/>
      <c r="V685" s="18"/>
      <c r="W685" s="18"/>
      <c r="X685" s="18"/>
      <c r="Y685" s="142"/>
      <c r="Z685" s="18"/>
      <c r="AA685" s="18"/>
      <c r="AB685" s="18"/>
      <c r="AC685" s="18"/>
      <c r="AD685" s="18"/>
      <c r="AE685" s="18"/>
      <c r="AF685" s="18"/>
      <c r="AG685" s="18"/>
      <c r="AH685" s="18"/>
      <c r="AI685" s="18"/>
      <c r="AJ685" s="142"/>
      <c r="AK685" s="142"/>
      <c r="AL685" s="18"/>
      <c r="AM685" s="18"/>
      <c r="AN685" s="18"/>
      <c r="AO685" s="142"/>
    </row>
    <row r="686">
      <c r="A686" s="142"/>
      <c r="B686" s="18"/>
      <c r="C686" s="142"/>
      <c r="D686" s="18"/>
      <c r="E686" s="18"/>
      <c r="F686" s="18"/>
      <c r="G686" s="142"/>
      <c r="H686" s="18"/>
      <c r="I686" s="142"/>
      <c r="J686" s="15"/>
      <c r="Q686" s="15"/>
      <c r="R686" s="18"/>
      <c r="S686" s="142"/>
      <c r="T686" s="142"/>
      <c r="U686" s="142"/>
      <c r="V686" s="18"/>
      <c r="W686" s="18"/>
      <c r="X686" s="18"/>
      <c r="Y686" s="142"/>
      <c r="Z686" s="18"/>
      <c r="AA686" s="18"/>
      <c r="AB686" s="18"/>
      <c r="AC686" s="18"/>
      <c r="AD686" s="18"/>
      <c r="AE686" s="18"/>
      <c r="AF686" s="18"/>
      <c r="AG686" s="18"/>
      <c r="AH686" s="18"/>
      <c r="AI686" s="18"/>
      <c r="AJ686" s="142"/>
      <c r="AK686" s="142"/>
      <c r="AL686" s="18"/>
      <c r="AM686" s="18"/>
      <c r="AN686" s="18"/>
      <c r="AO686" s="142"/>
    </row>
    <row r="687">
      <c r="A687" s="142"/>
      <c r="B687" s="18"/>
      <c r="C687" s="142"/>
      <c r="D687" s="18"/>
      <c r="E687" s="18"/>
      <c r="F687" s="18"/>
      <c r="G687" s="142"/>
      <c r="H687" s="18"/>
      <c r="I687" s="142"/>
      <c r="J687" s="15"/>
      <c r="Q687" s="15"/>
      <c r="R687" s="18"/>
      <c r="S687" s="142"/>
      <c r="T687" s="142"/>
      <c r="U687" s="142"/>
      <c r="V687" s="18"/>
      <c r="W687" s="18"/>
      <c r="X687" s="18"/>
      <c r="Y687" s="142"/>
      <c r="Z687" s="18"/>
      <c r="AA687" s="18"/>
      <c r="AB687" s="18"/>
      <c r="AC687" s="18"/>
      <c r="AD687" s="18"/>
      <c r="AE687" s="18"/>
      <c r="AF687" s="18"/>
      <c r="AG687" s="18"/>
      <c r="AH687" s="18"/>
      <c r="AI687" s="18"/>
      <c r="AJ687" s="142"/>
      <c r="AK687" s="142"/>
      <c r="AL687" s="18"/>
      <c r="AM687" s="18"/>
      <c r="AN687" s="18"/>
      <c r="AO687" s="142"/>
    </row>
    <row r="688">
      <c r="A688" s="142"/>
      <c r="B688" s="18"/>
      <c r="C688" s="142"/>
      <c r="D688" s="18"/>
      <c r="E688" s="18"/>
      <c r="F688" s="18"/>
      <c r="G688" s="142"/>
      <c r="H688" s="18"/>
      <c r="I688" s="142"/>
      <c r="J688" s="15"/>
      <c r="Q688" s="15"/>
      <c r="R688" s="18"/>
      <c r="S688" s="142"/>
      <c r="T688" s="142"/>
      <c r="U688" s="142"/>
      <c r="V688" s="18"/>
      <c r="W688" s="18"/>
      <c r="X688" s="18"/>
      <c r="Y688" s="142"/>
      <c r="Z688" s="18"/>
      <c r="AA688" s="18"/>
      <c r="AB688" s="18"/>
      <c r="AC688" s="18"/>
      <c r="AD688" s="18"/>
      <c r="AE688" s="18"/>
      <c r="AF688" s="18"/>
      <c r="AG688" s="18"/>
      <c r="AH688" s="18"/>
      <c r="AI688" s="18"/>
      <c r="AJ688" s="142"/>
      <c r="AK688" s="142"/>
      <c r="AL688" s="18"/>
      <c r="AM688" s="18"/>
      <c r="AN688" s="18"/>
      <c r="AO688" s="142"/>
    </row>
    <row r="689">
      <c r="A689" s="142"/>
      <c r="B689" s="18"/>
      <c r="C689" s="142"/>
      <c r="D689" s="18"/>
      <c r="E689" s="18"/>
      <c r="F689" s="18"/>
      <c r="G689" s="142"/>
      <c r="H689" s="18"/>
      <c r="I689" s="142"/>
      <c r="J689" s="15"/>
      <c r="Q689" s="15"/>
      <c r="R689" s="18"/>
      <c r="S689" s="142"/>
      <c r="T689" s="142"/>
      <c r="U689" s="142"/>
      <c r="V689" s="18"/>
      <c r="W689" s="18"/>
      <c r="X689" s="18"/>
      <c r="Y689" s="142"/>
      <c r="Z689" s="18"/>
      <c r="AA689" s="18"/>
      <c r="AB689" s="18"/>
      <c r="AC689" s="18"/>
      <c r="AD689" s="18"/>
      <c r="AE689" s="18"/>
      <c r="AF689" s="18"/>
      <c r="AG689" s="18"/>
      <c r="AH689" s="18"/>
      <c r="AI689" s="18"/>
      <c r="AJ689" s="142"/>
      <c r="AK689" s="142"/>
      <c r="AL689" s="18"/>
      <c r="AM689" s="18"/>
      <c r="AN689" s="18"/>
      <c r="AO689" s="142"/>
    </row>
    <row r="690">
      <c r="A690" s="142"/>
      <c r="B690" s="18"/>
      <c r="C690" s="142"/>
      <c r="D690" s="18"/>
      <c r="E690" s="18"/>
      <c r="F690" s="18"/>
      <c r="G690" s="142"/>
      <c r="H690" s="18"/>
      <c r="I690" s="142"/>
      <c r="J690" s="15"/>
      <c r="Q690" s="15"/>
      <c r="R690" s="18"/>
      <c r="S690" s="142"/>
      <c r="T690" s="142"/>
      <c r="U690" s="142"/>
      <c r="V690" s="18"/>
      <c r="W690" s="18"/>
      <c r="X690" s="18"/>
      <c r="Y690" s="142"/>
      <c r="Z690" s="18"/>
      <c r="AA690" s="18"/>
      <c r="AB690" s="18"/>
      <c r="AC690" s="18"/>
      <c r="AD690" s="18"/>
      <c r="AE690" s="18"/>
      <c r="AF690" s="18"/>
      <c r="AG690" s="18"/>
      <c r="AH690" s="18"/>
      <c r="AI690" s="18"/>
      <c r="AJ690" s="142"/>
      <c r="AK690" s="142"/>
      <c r="AL690" s="18"/>
      <c r="AM690" s="18"/>
      <c r="AN690" s="18"/>
      <c r="AO690" s="142"/>
    </row>
    <row r="691">
      <c r="A691" s="142"/>
      <c r="B691" s="18"/>
      <c r="C691" s="142"/>
      <c r="D691" s="18"/>
      <c r="E691" s="18"/>
      <c r="F691" s="18"/>
      <c r="G691" s="142"/>
      <c r="H691" s="18"/>
      <c r="I691" s="142"/>
      <c r="J691" s="15"/>
      <c r="Q691" s="15"/>
      <c r="R691" s="18"/>
      <c r="S691" s="142"/>
      <c r="T691" s="142"/>
      <c r="U691" s="142"/>
      <c r="V691" s="18"/>
      <c r="W691" s="18"/>
      <c r="X691" s="18"/>
      <c r="Y691" s="142"/>
      <c r="Z691" s="18"/>
      <c r="AA691" s="18"/>
      <c r="AB691" s="18"/>
      <c r="AC691" s="18"/>
      <c r="AD691" s="18"/>
      <c r="AE691" s="18"/>
      <c r="AF691" s="18"/>
      <c r="AG691" s="18"/>
      <c r="AH691" s="18"/>
      <c r="AI691" s="18"/>
      <c r="AJ691" s="142"/>
      <c r="AK691" s="142"/>
      <c r="AL691" s="18"/>
      <c r="AM691" s="18"/>
      <c r="AN691" s="18"/>
      <c r="AO691" s="142"/>
    </row>
    <row r="692">
      <c r="A692" s="142"/>
      <c r="B692" s="18"/>
      <c r="C692" s="142"/>
      <c r="D692" s="18"/>
      <c r="E692" s="18"/>
      <c r="F692" s="18"/>
      <c r="G692" s="142"/>
      <c r="H692" s="18"/>
      <c r="I692" s="142"/>
      <c r="J692" s="15"/>
      <c r="Q692" s="15"/>
      <c r="R692" s="18"/>
      <c r="S692" s="142"/>
      <c r="T692" s="142"/>
      <c r="U692" s="142"/>
      <c r="V692" s="18"/>
      <c r="W692" s="18"/>
      <c r="X692" s="18"/>
      <c r="Y692" s="142"/>
      <c r="Z692" s="18"/>
      <c r="AA692" s="18"/>
      <c r="AB692" s="18"/>
      <c r="AC692" s="18"/>
      <c r="AD692" s="18"/>
      <c r="AE692" s="18"/>
      <c r="AF692" s="18"/>
      <c r="AG692" s="18"/>
      <c r="AH692" s="18"/>
      <c r="AI692" s="18"/>
      <c r="AJ692" s="142"/>
      <c r="AK692" s="142"/>
      <c r="AL692" s="18"/>
      <c r="AM692" s="18"/>
      <c r="AN692" s="18"/>
      <c r="AO692" s="142"/>
    </row>
    <row r="693">
      <c r="A693" s="142"/>
      <c r="B693" s="18"/>
      <c r="C693" s="142"/>
      <c r="D693" s="18"/>
      <c r="E693" s="18"/>
      <c r="F693" s="18"/>
      <c r="G693" s="142"/>
      <c r="H693" s="18"/>
      <c r="I693" s="142"/>
      <c r="J693" s="15"/>
      <c r="Q693" s="15"/>
      <c r="R693" s="18"/>
      <c r="S693" s="142"/>
      <c r="T693" s="142"/>
      <c r="U693" s="142"/>
      <c r="V693" s="18"/>
      <c r="W693" s="18"/>
      <c r="X693" s="18"/>
      <c r="Y693" s="142"/>
      <c r="Z693" s="18"/>
      <c r="AA693" s="18"/>
      <c r="AB693" s="18"/>
      <c r="AC693" s="18"/>
      <c r="AD693" s="18"/>
      <c r="AE693" s="18"/>
      <c r="AF693" s="18"/>
      <c r="AG693" s="18"/>
      <c r="AH693" s="18"/>
      <c r="AI693" s="18"/>
      <c r="AJ693" s="142"/>
      <c r="AK693" s="142"/>
      <c r="AL693" s="18"/>
      <c r="AM693" s="18"/>
      <c r="AN693" s="18"/>
      <c r="AO693" s="142"/>
    </row>
    <row r="694">
      <c r="A694" s="142"/>
      <c r="B694" s="18"/>
      <c r="C694" s="142"/>
      <c r="D694" s="18"/>
      <c r="E694" s="18"/>
      <c r="F694" s="18"/>
      <c r="G694" s="142"/>
      <c r="H694" s="18"/>
      <c r="I694" s="142"/>
      <c r="J694" s="15"/>
      <c r="Q694" s="15"/>
      <c r="R694" s="18"/>
      <c r="S694" s="142"/>
      <c r="T694" s="142"/>
      <c r="U694" s="142"/>
      <c r="V694" s="18"/>
      <c r="W694" s="18"/>
      <c r="X694" s="18"/>
      <c r="Y694" s="142"/>
      <c r="Z694" s="18"/>
      <c r="AA694" s="18"/>
      <c r="AB694" s="18"/>
      <c r="AC694" s="18"/>
      <c r="AD694" s="18"/>
      <c r="AE694" s="18"/>
      <c r="AF694" s="18"/>
      <c r="AG694" s="18"/>
      <c r="AH694" s="18"/>
      <c r="AI694" s="18"/>
      <c r="AJ694" s="142"/>
      <c r="AK694" s="142"/>
      <c r="AL694" s="18"/>
      <c r="AM694" s="18"/>
      <c r="AN694" s="18"/>
      <c r="AO694" s="142"/>
    </row>
    <row r="695">
      <c r="A695" s="142"/>
      <c r="B695" s="18"/>
      <c r="C695" s="142"/>
      <c r="D695" s="18"/>
      <c r="E695" s="18"/>
      <c r="F695" s="18"/>
      <c r="G695" s="142"/>
      <c r="H695" s="18"/>
      <c r="I695" s="142"/>
      <c r="J695" s="15"/>
      <c r="Q695" s="15"/>
      <c r="R695" s="18"/>
      <c r="S695" s="142"/>
      <c r="T695" s="142"/>
      <c r="U695" s="142"/>
      <c r="V695" s="18"/>
      <c r="W695" s="18"/>
      <c r="X695" s="18"/>
      <c r="Y695" s="142"/>
      <c r="Z695" s="18"/>
      <c r="AA695" s="18"/>
      <c r="AB695" s="18"/>
      <c r="AC695" s="18"/>
      <c r="AD695" s="18"/>
      <c r="AE695" s="18"/>
      <c r="AF695" s="18"/>
      <c r="AG695" s="18"/>
      <c r="AH695" s="18"/>
      <c r="AI695" s="18"/>
      <c r="AJ695" s="142"/>
      <c r="AK695" s="142"/>
      <c r="AL695" s="18"/>
      <c r="AM695" s="18"/>
      <c r="AN695" s="18"/>
      <c r="AO695" s="142"/>
    </row>
    <row r="696">
      <c r="A696" s="142"/>
      <c r="B696" s="18"/>
      <c r="C696" s="142"/>
      <c r="D696" s="18"/>
      <c r="E696" s="18"/>
      <c r="F696" s="18"/>
      <c r="G696" s="142"/>
      <c r="H696" s="18"/>
      <c r="I696" s="142"/>
      <c r="J696" s="15"/>
      <c r="Q696" s="15"/>
      <c r="R696" s="18"/>
      <c r="S696" s="142"/>
      <c r="T696" s="142"/>
      <c r="U696" s="142"/>
      <c r="V696" s="18"/>
      <c r="W696" s="18"/>
      <c r="X696" s="18"/>
      <c r="Y696" s="142"/>
      <c r="Z696" s="18"/>
      <c r="AA696" s="18"/>
      <c r="AB696" s="18"/>
      <c r="AC696" s="18"/>
      <c r="AD696" s="18"/>
      <c r="AE696" s="18"/>
      <c r="AF696" s="18"/>
      <c r="AG696" s="18"/>
      <c r="AH696" s="18"/>
      <c r="AI696" s="18"/>
      <c r="AJ696" s="142"/>
      <c r="AK696" s="142"/>
      <c r="AL696" s="18"/>
      <c r="AM696" s="18"/>
      <c r="AN696" s="18"/>
      <c r="AO696" s="142"/>
    </row>
    <row r="697">
      <c r="A697" s="142"/>
      <c r="B697" s="18"/>
      <c r="C697" s="142"/>
      <c r="D697" s="18"/>
      <c r="E697" s="18"/>
      <c r="F697" s="18"/>
      <c r="G697" s="142"/>
      <c r="H697" s="18"/>
      <c r="I697" s="142"/>
      <c r="J697" s="15"/>
      <c r="Q697" s="15"/>
      <c r="R697" s="18"/>
      <c r="S697" s="142"/>
      <c r="T697" s="142"/>
      <c r="U697" s="142"/>
      <c r="V697" s="18"/>
      <c r="W697" s="18"/>
      <c r="X697" s="18"/>
      <c r="Y697" s="142"/>
      <c r="Z697" s="18"/>
      <c r="AA697" s="18"/>
      <c r="AB697" s="18"/>
      <c r="AC697" s="18"/>
      <c r="AD697" s="18"/>
      <c r="AE697" s="18"/>
      <c r="AF697" s="18"/>
      <c r="AG697" s="18"/>
      <c r="AH697" s="18"/>
      <c r="AI697" s="18"/>
      <c r="AJ697" s="142"/>
      <c r="AK697" s="142"/>
      <c r="AL697" s="18"/>
      <c r="AM697" s="18"/>
      <c r="AN697" s="18"/>
      <c r="AO697" s="142"/>
    </row>
    <row r="698">
      <c r="A698" s="142"/>
      <c r="B698" s="18"/>
      <c r="C698" s="142"/>
      <c r="D698" s="18"/>
      <c r="E698" s="18"/>
      <c r="F698" s="18"/>
      <c r="G698" s="142"/>
      <c r="H698" s="18"/>
      <c r="I698" s="142"/>
      <c r="J698" s="15"/>
      <c r="Q698" s="15"/>
      <c r="R698" s="18"/>
      <c r="S698" s="142"/>
      <c r="T698" s="142"/>
      <c r="U698" s="142"/>
      <c r="V698" s="18"/>
      <c r="W698" s="18"/>
      <c r="X698" s="18"/>
      <c r="Y698" s="142"/>
      <c r="Z698" s="18"/>
      <c r="AA698" s="18"/>
      <c r="AB698" s="18"/>
      <c r="AC698" s="18"/>
      <c r="AD698" s="18"/>
      <c r="AE698" s="18"/>
      <c r="AF698" s="18"/>
      <c r="AG698" s="18"/>
      <c r="AH698" s="18"/>
      <c r="AI698" s="18"/>
      <c r="AJ698" s="142"/>
      <c r="AK698" s="142"/>
      <c r="AL698" s="18"/>
      <c r="AM698" s="18"/>
      <c r="AN698" s="18"/>
      <c r="AO698" s="142"/>
    </row>
    <row r="699">
      <c r="A699" s="142"/>
      <c r="B699" s="18"/>
      <c r="C699" s="142"/>
      <c r="D699" s="18"/>
      <c r="E699" s="18"/>
      <c r="F699" s="18"/>
      <c r="G699" s="142"/>
      <c r="H699" s="18"/>
      <c r="I699" s="142"/>
      <c r="J699" s="15"/>
      <c r="Q699" s="15"/>
      <c r="R699" s="18"/>
      <c r="S699" s="142"/>
      <c r="T699" s="142"/>
      <c r="U699" s="142"/>
      <c r="V699" s="18"/>
      <c r="W699" s="18"/>
      <c r="X699" s="18"/>
      <c r="Y699" s="142"/>
      <c r="Z699" s="18"/>
      <c r="AA699" s="18"/>
      <c r="AB699" s="18"/>
      <c r="AC699" s="18"/>
      <c r="AD699" s="18"/>
      <c r="AE699" s="18"/>
      <c r="AF699" s="18"/>
      <c r="AG699" s="18"/>
      <c r="AH699" s="18"/>
      <c r="AI699" s="18"/>
      <c r="AJ699" s="142"/>
      <c r="AK699" s="142"/>
      <c r="AL699" s="18"/>
      <c r="AM699" s="18"/>
      <c r="AN699" s="18"/>
      <c r="AO699" s="142"/>
    </row>
    <row r="700">
      <c r="A700" s="142"/>
      <c r="B700" s="18"/>
      <c r="C700" s="142"/>
      <c r="D700" s="18"/>
      <c r="E700" s="18"/>
      <c r="F700" s="18"/>
      <c r="G700" s="142"/>
      <c r="H700" s="18"/>
      <c r="I700" s="142"/>
      <c r="J700" s="15"/>
      <c r="Q700" s="15"/>
      <c r="R700" s="18"/>
      <c r="S700" s="142"/>
      <c r="T700" s="142"/>
      <c r="U700" s="142"/>
      <c r="V700" s="18"/>
      <c r="W700" s="18"/>
      <c r="X700" s="18"/>
      <c r="Y700" s="142"/>
      <c r="Z700" s="18"/>
      <c r="AA700" s="18"/>
      <c r="AB700" s="18"/>
      <c r="AC700" s="18"/>
      <c r="AD700" s="18"/>
      <c r="AE700" s="18"/>
      <c r="AF700" s="18"/>
      <c r="AG700" s="18"/>
      <c r="AH700" s="18"/>
      <c r="AI700" s="18"/>
      <c r="AJ700" s="142"/>
      <c r="AK700" s="142"/>
      <c r="AL700" s="18"/>
      <c r="AM700" s="18"/>
      <c r="AN700" s="18"/>
      <c r="AO700" s="142"/>
    </row>
    <row r="701">
      <c r="A701" s="142"/>
      <c r="B701" s="18"/>
      <c r="C701" s="142"/>
      <c r="D701" s="18"/>
      <c r="E701" s="18"/>
      <c r="F701" s="18"/>
      <c r="G701" s="142"/>
      <c r="H701" s="18"/>
      <c r="I701" s="142"/>
      <c r="J701" s="15"/>
      <c r="Q701" s="15"/>
      <c r="R701" s="18"/>
      <c r="S701" s="142"/>
      <c r="T701" s="142"/>
      <c r="U701" s="142"/>
      <c r="V701" s="18"/>
      <c r="W701" s="18"/>
      <c r="X701" s="18"/>
      <c r="Y701" s="142"/>
      <c r="Z701" s="18"/>
      <c r="AA701" s="18"/>
      <c r="AB701" s="18"/>
      <c r="AC701" s="18"/>
      <c r="AD701" s="18"/>
      <c r="AE701" s="18"/>
      <c r="AF701" s="18"/>
      <c r="AG701" s="18"/>
      <c r="AH701" s="18"/>
      <c r="AI701" s="18"/>
      <c r="AJ701" s="142"/>
      <c r="AK701" s="142"/>
      <c r="AL701" s="18"/>
      <c r="AM701" s="18"/>
      <c r="AN701" s="18"/>
      <c r="AO701" s="142"/>
    </row>
    <row r="702">
      <c r="A702" s="142"/>
      <c r="B702" s="18"/>
      <c r="C702" s="142"/>
      <c r="D702" s="18"/>
      <c r="E702" s="18"/>
      <c r="F702" s="18"/>
      <c r="G702" s="142"/>
      <c r="H702" s="18"/>
      <c r="I702" s="142"/>
      <c r="J702" s="15"/>
      <c r="Q702" s="15"/>
      <c r="R702" s="18"/>
      <c r="S702" s="142"/>
      <c r="T702" s="142"/>
      <c r="U702" s="142"/>
      <c r="V702" s="18"/>
      <c r="W702" s="18"/>
      <c r="X702" s="18"/>
      <c r="Y702" s="142"/>
      <c r="Z702" s="18"/>
      <c r="AA702" s="18"/>
      <c r="AB702" s="18"/>
      <c r="AC702" s="18"/>
      <c r="AD702" s="18"/>
      <c r="AE702" s="18"/>
      <c r="AF702" s="18"/>
      <c r="AG702" s="18"/>
      <c r="AH702" s="18"/>
      <c r="AI702" s="18"/>
      <c r="AJ702" s="142"/>
      <c r="AK702" s="142"/>
      <c r="AL702" s="18"/>
      <c r="AM702" s="18"/>
      <c r="AN702" s="18"/>
      <c r="AO702" s="142"/>
    </row>
    <row r="703">
      <c r="A703" s="142"/>
      <c r="B703" s="18"/>
      <c r="C703" s="142"/>
      <c r="D703" s="18"/>
      <c r="E703" s="18"/>
      <c r="F703" s="18"/>
      <c r="G703" s="142"/>
      <c r="H703" s="18"/>
      <c r="I703" s="142"/>
      <c r="J703" s="15"/>
      <c r="Q703" s="15"/>
      <c r="R703" s="18"/>
      <c r="S703" s="142"/>
      <c r="T703" s="142"/>
      <c r="U703" s="142"/>
      <c r="V703" s="18"/>
      <c r="W703" s="18"/>
      <c r="X703" s="18"/>
      <c r="Y703" s="142"/>
      <c r="Z703" s="18"/>
      <c r="AA703" s="18"/>
      <c r="AB703" s="18"/>
      <c r="AC703" s="18"/>
      <c r="AD703" s="18"/>
      <c r="AE703" s="18"/>
      <c r="AF703" s="18"/>
      <c r="AG703" s="18"/>
      <c r="AH703" s="18"/>
      <c r="AI703" s="18"/>
      <c r="AJ703" s="142"/>
      <c r="AK703" s="142"/>
      <c r="AL703" s="18"/>
      <c r="AM703" s="18"/>
      <c r="AN703" s="18"/>
      <c r="AO703" s="142"/>
    </row>
    <row r="704">
      <c r="A704" s="142"/>
      <c r="B704" s="18"/>
      <c r="C704" s="142"/>
      <c r="D704" s="18"/>
      <c r="E704" s="18"/>
      <c r="F704" s="18"/>
      <c r="G704" s="142"/>
      <c r="H704" s="18"/>
      <c r="I704" s="142"/>
      <c r="J704" s="15"/>
      <c r="Q704" s="15"/>
      <c r="R704" s="18"/>
      <c r="S704" s="142"/>
      <c r="T704" s="142"/>
      <c r="U704" s="142"/>
      <c r="V704" s="18"/>
      <c r="W704" s="18"/>
      <c r="X704" s="18"/>
      <c r="Y704" s="142"/>
      <c r="Z704" s="18"/>
      <c r="AA704" s="18"/>
      <c r="AB704" s="18"/>
      <c r="AC704" s="18"/>
      <c r="AD704" s="18"/>
      <c r="AE704" s="18"/>
      <c r="AF704" s="18"/>
      <c r="AG704" s="18"/>
      <c r="AH704" s="18"/>
      <c r="AI704" s="18"/>
      <c r="AJ704" s="142"/>
      <c r="AK704" s="142"/>
      <c r="AL704" s="18"/>
      <c r="AM704" s="18"/>
      <c r="AN704" s="18"/>
      <c r="AO704" s="142"/>
    </row>
    <row r="705">
      <c r="A705" s="142"/>
      <c r="B705" s="18"/>
      <c r="C705" s="142"/>
      <c r="D705" s="18"/>
      <c r="E705" s="18"/>
      <c r="F705" s="18"/>
      <c r="G705" s="142"/>
      <c r="H705" s="18"/>
      <c r="I705" s="142"/>
      <c r="J705" s="15"/>
      <c r="Q705" s="15"/>
      <c r="R705" s="18"/>
      <c r="S705" s="142"/>
      <c r="T705" s="142"/>
      <c r="U705" s="142"/>
      <c r="V705" s="18"/>
      <c r="W705" s="18"/>
      <c r="X705" s="18"/>
      <c r="Y705" s="142"/>
      <c r="Z705" s="18"/>
      <c r="AA705" s="18"/>
      <c r="AB705" s="18"/>
      <c r="AC705" s="18"/>
      <c r="AD705" s="18"/>
      <c r="AE705" s="18"/>
      <c r="AF705" s="18"/>
      <c r="AG705" s="18"/>
      <c r="AH705" s="18"/>
      <c r="AI705" s="18"/>
      <c r="AJ705" s="142"/>
      <c r="AK705" s="142"/>
      <c r="AL705" s="18"/>
      <c r="AM705" s="18"/>
      <c r="AN705" s="18"/>
      <c r="AO705" s="142"/>
    </row>
    <row r="706">
      <c r="A706" s="142"/>
      <c r="B706" s="18"/>
      <c r="C706" s="142"/>
      <c r="D706" s="18"/>
      <c r="E706" s="18"/>
      <c r="F706" s="18"/>
      <c r="G706" s="142"/>
      <c r="H706" s="18"/>
      <c r="I706" s="142"/>
      <c r="J706" s="15"/>
      <c r="Q706" s="15"/>
      <c r="R706" s="18"/>
      <c r="S706" s="142"/>
      <c r="T706" s="142"/>
      <c r="U706" s="142"/>
      <c r="V706" s="18"/>
      <c r="W706" s="18"/>
      <c r="X706" s="18"/>
      <c r="Y706" s="142"/>
      <c r="Z706" s="18"/>
      <c r="AA706" s="18"/>
      <c r="AB706" s="18"/>
      <c r="AC706" s="18"/>
      <c r="AD706" s="18"/>
      <c r="AE706" s="18"/>
      <c r="AF706" s="18"/>
      <c r="AG706" s="18"/>
      <c r="AH706" s="18"/>
      <c r="AI706" s="18"/>
      <c r="AJ706" s="142"/>
      <c r="AK706" s="142"/>
      <c r="AL706" s="18"/>
      <c r="AM706" s="18"/>
      <c r="AN706" s="18"/>
      <c r="AO706" s="142"/>
    </row>
    <row r="707">
      <c r="A707" s="142"/>
      <c r="B707" s="18"/>
      <c r="C707" s="142"/>
      <c r="D707" s="18"/>
      <c r="E707" s="18"/>
      <c r="F707" s="18"/>
      <c r="G707" s="142"/>
      <c r="H707" s="18"/>
      <c r="I707" s="142"/>
      <c r="J707" s="15"/>
      <c r="Q707" s="15"/>
      <c r="R707" s="18"/>
      <c r="S707" s="142"/>
      <c r="T707" s="142"/>
      <c r="U707" s="142"/>
      <c r="V707" s="18"/>
      <c r="W707" s="18"/>
      <c r="X707" s="18"/>
      <c r="Y707" s="142"/>
      <c r="Z707" s="18"/>
      <c r="AA707" s="18"/>
      <c r="AB707" s="18"/>
      <c r="AC707" s="18"/>
      <c r="AD707" s="18"/>
      <c r="AE707" s="18"/>
      <c r="AF707" s="18"/>
      <c r="AG707" s="18"/>
      <c r="AH707" s="18"/>
      <c r="AI707" s="18"/>
      <c r="AJ707" s="142"/>
      <c r="AK707" s="142"/>
      <c r="AL707" s="18"/>
      <c r="AM707" s="18"/>
      <c r="AN707" s="18"/>
      <c r="AO707" s="142"/>
    </row>
    <row r="708">
      <c r="A708" s="142"/>
      <c r="B708" s="18"/>
      <c r="C708" s="142"/>
      <c r="D708" s="18"/>
      <c r="E708" s="18"/>
      <c r="F708" s="18"/>
      <c r="G708" s="142"/>
      <c r="H708" s="18"/>
      <c r="I708" s="142"/>
      <c r="J708" s="15"/>
      <c r="Q708" s="15"/>
      <c r="R708" s="18"/>
      <c r="S708" s="142"/>
      <c r="T708" s="142"/>
      <c r="U708" s="142"/>
      <c r="V708" s="18"/>
      <c r="W708" s="18"/>
      <c r="X708" s="18"/>
      <c r="Y708" s="142"/>
      <c r="Z708" s="18"/>
      <c r="AA708" s="18"/>
      <c r="AB708" s="18"/>
      <c r="AC708" s="18"/>
      <c r="AD708" s="18"/>
      <c r="AE708" s="18"/>
      <c r="AF708" s="18"/>
      <c r="AG708" s="18"/>
      <c r="AH708" s="18"/>
      <c r="AI708" s="18"/>
      <c r="AJ708" s="142"/>
      <c r="AK708" s="142"/>
      <c r="AL708" s="18"/>
      <c r="AM708" s="18"/>
      <c r="AN708" s="18"/>
      <c r="AO708" s="142"/>
    </row>
    <row r="709">
      <c r="A709" s="142"/>
      <c r="B709" s="18"/>
      <c r="C709" s="142"/>
      <c r="D709" s="18"/>
      <c r="E709" s="18"/>
      <c r="F709" s="18"/>
      <c r="G709" s="142"/>
      <c r="H709" s="18"/>
      <c r="I709" s="142"/>
      <c r="J709" s="15"/>
      <c r="Q709" s="15"/>
      <c r="R709" s="18"/>
      <c r="S709" s="142"/>
      <c r="T709" s="142"/>
      <c r="U709" s="142"/>
      <c r="V709" s="18"/>
      <c r="W709" s="18"/>
      <c r="X709" s="18"/>
      <c r="Y709" s="142"/>
      <c r="Z709" s="18"/>
      <c r="AA709" s="18"/>
      <c r="AB709" s="18"/>
      <c r="AC709" s="18"/>
      <c r="AD709" s="18"/>
      <c r="AE709" s="18"/>
      <c r="AF709" s="18"/>
      <c r="AG709" s="18"/>
      <c r="AH709" s="18"/>
      <c r="AI709" s="18"/>
      <c r="AJ709" s="142"/>
      <c r="AK709" s="142"/>
      <c r="AL709" s="18"/>
      <c r="AM709" s="18"/>
      <c r="AN709" s="18"/>
      <c r="AO709" s="142"/>
    </row>
    <row r="710">
      <c r="A710" s="142"/>
      <c r="B710" s="18"/>
      <c r="C710" s="142"/>
      <c r="D710" s="18"/>
      <c r="E710" s="18"/>
      <c r="F710" s="18"/>
      <c r="G710" s="142"/>
      <c r="H710" s="18"/>
      <c r="I710" s="142"/>
      <c r="J710" s="15"/>
      <c r="Q710" s="15"/>
      <c r="R710" s="18"/>
      <c r="S710" s="142"/>
      <c r="T710" s="142"/>
      <c r="U710" s="142"/>
      <c r="V710" s="18"/>
      <c r="W710" s="18"/>
      <c r="X710" s="18"/>
      <c r="Y710" s="142"/>
      <c r="Z710" s="18"/>
      <c r="AA710" s="18"/>
      <c r="AB710" s="18"/>
      <c r="AC710" s="18"/>
      <c r="AD710" s="18"/>
      <c r="AE710" s="18"/>
      <c r="AF710" s="18"/>
      <c r="AG710" s="18"/>
      <c r="AH710" s="18"/>
      <c r="AI710" s="18"/>
      <c r="AJ710" s="142"/>
      <c r="AK710" s="142"/>
      <c r="AL710" s="18"/>
      <c r="AM710" s="18"/>
      <c r="AN710" s="18"/>
      <c r="AO710" s="142"/>
    </row>
    <row r="711">
      <c r="A711" s="142"/>
      <c r="B711" s="18"/>
      <c r="C711" s="142"/>
      <c r="D711" s="18"/>
      <c r="E711" s="18"/>
      <c r="F711" s="18"/>
      <c r="G711" s="142"/>
      <c r="H711" s="18"/>
      <c r="I711" s="142"/>
      <c r="J711" s="15"/>
      <c r="Q711" s="15"/>
      <c r="R711" s="18"/>
      <c r="S711" s="142"/>
      <c r="T711" s="142"/>
      <c r="U711" s="142"/>
      <c r="V711" s="18"/>
      <c r="W711" s="18"/>
      <c r="X711" s="18"/>
      <c r="Y711" s="142"/>
      <c r="Z711" s="18"/>
      <c r="AA711" s="18"/>
      <c r="AB711" s="18"/>
      <c r="AC711" s="18"/>
      <c r="AD711" s="18"/>
      <c r="AE711" s="18"/>
      <c r="AF711" s="18"/>
      <c r="AG711" s="18"/>
      <c r="AH711" s="18"/>
      <c r="AI711" s="18"/>
      <c r="AJ711" s="142"/>
      <c r="AK711" s="142"/>
      <c r="AL711" s="18"/>
      <c r="AM711" s="18"/>
      <c r="AN711" s="18"/>
      <c r="AO711" s="142"/>
    </row>
    <row r="712">
      <c r="A712" s="142"/>
      <c r="B712" s="18"/>
      <c r="C712" s="142"/>
      <c r="D712" s="18"/>
      <c r="E712" s="18"/>
      <c r="F712" s="18"/>
      <c r="G712" s="142"/>
      <c r="H712" s="18"/>
      <c r="I712" s="142"/>
      <c r="J712" s="15"/>
      <c r="Q712" s="15"/>
      <c r="R712" s="18"/>
      <c r="S712" s="142"/>
      <c r="T712" s="142"/>
      <c r="U712" s="142"/>
      <c r="V712" s="18"/>
      <c r="W712" s="18"/>
      <c r="X712" s="18"/>
      <c r="Y712" s="142"/>
      <c r="Z712" s="18"/>
      <c r="AA712" s="18"/>
      <c r="AB712" s="18"/>
      <c r="AC712" s="18"/>
      <c r="AD712" s="18"/>
      <c r="AE712" s="18"/>
      <c r="AF712" s="18"/>
      <c r="AG712" s="18"/>
      <c r="AH712" s="18"/>
      <c r="AI712" s="18"/>
      <c r="AJ712" s="142"/>
      <c r="AK712" s="142"/>
      <c r="AL712" s="18"/>
      <c r="AM712" s="18"/>
      <c r="AN712" s="18"/>
      <c r="AO712" s="142"/>
    </row>
    <row r="713">
      <c r="A713" s="142"/>
      <c r="B713" s="18"/>
      <c r="C713" s="142"/>
      <c r="D713" s="18"/>
      <c r="E713" s="18"/>
      <c r="F713" s="18"/>
      <c r="G713" s="142"/>
      <c r="H713" s="18"/>
      <c r="I713" s="142"/>
      <c r="J713" s="15"/>
      <c r="Q713" s="15"/>
      <c r="R713" s="18"/>
      <c r="S713" s="142"/>
      <c r="T713" s="142"/>
      <c r="U713" s="142"/>
      <c r="V713" s="18"/>
      <c r="W713" s="18"/>
      <c r="X713" s="18"/>
      <c r="Y713" s="142"/>
      <c r="Z713" s="18"/>
      <c r="AA713" s="18"/>
      <c r="AB713" s="18"/>
      <c r="AC713" s="18"/>
      <c r="AD713" s="18"/>
      <c r="AE713" s="18"/>
      <c r="AF713" s="18"/>
      <c r="AG713" s="18"/>
      <c r="AH713" s="18"/>
      <c r="AI713" s="18"/>
      <c r="AJ713" s="142"/>
      <c r="AK713" s="142"/>
      <c r="AL713" s="18"/>
      <c r="AM713" s="18"/>
      <c r="AN713" s="18"/>
      <c r="AO713" s="142"/>
    </row>
    <row r="714">
      <c r="A714" s="142"/>
      <c r="B714" s="18"/>
      <c r="C714" s="142"/>
      <c r="D714" s="18"/>
      <c r="E714" s="18"/>
      <c r="F714" s="18"/>
      <c r="G714" s="142"/>
      <c r="H714" s="18"/>
      <c r="I714" s="142"/>
      <c r="J714" s="15"/>
      <c r="Q714" s="15"/>
      <c r="R714" s="18"/>
      <c r="S714" s="142"/>
      <c r="T714" s="142"/>
      <c r="U714" s="142"/>
      <c r="V714" s="18"/>
      <c r="W714" s="18"/>
      <c r="X714" s="18"/>
      <c r="Y714" s="142"/>
      <c r="Z714" s="18"/>
      <c r="AA714" s="18"/>
      <c r="AB714" s="18"/>
      <c r="AC714" s="18"/>
      <c r="AD714" s="18"/>
      <c r="AE714" s="18"/>
      <c r="AF714" s="18"/>
      <c r="AG714" s="18"/>
      <c r="AH714" s="18"/>
      <c r="AI714" s="18"/>
      <c r="AJ714" s="142"/>
      <c r="AK714" s="142"/>
      <c r="AL714" s="18"/>
      <c r="AM714" s="18"/>
      <c r="AN714" s="18"/>
      <c r="AO714" s="142"/>
    </row>
    <row r="715">
      <c r="A715" s="142"/>
      <c r="B715" s="18"/>
      <c r="C715" s="142"/>
      <c r="D715" s="18"/>
      <c r="E715" s="18"/>
      <c r="F715" s="18"/>
      <c r="G715" s="142"/>
      <c r="H715" s="18"/>
      <c r="I715" s="142"/>
      <c r="J715" s="15"/>
      <c r="Q715" s="15"/>
      <c r="R715" s="18"/>
      <c r="S715" s="142"/>
      <c r="T715" s="142"/>
      <c r="U715" s="142"/>
      <c r="V715" s="18"/>
      <c r="W715" s="18"/>
      <c r="X715" s="18"/>
      <c r="Y715" s="142"/>
      <c r="Z715" s="18"/>
      <c r="AA715" s="18"/>
      <c r="AB715" s="18"/>
      <c r="AC715" s="18"/>
      <c r="AD715" s="18"/>
      <c r="AE715" s="18"/>
      <c r="AF715" s="18"/>
      <c r="AG715" s="18"/>
      <c r="AH715" s="18"/>
      <c r="AI715" s="18"/>
      <c r="AJ715" s="142"/>
      <c r="AK715" s="142"/>
      <c r="AL715" s="18"/>
      <c r="AM715" s="18"/>
      <c r="AN715" s="18"/>
      <c r="AO715" s="142"/>
    </row>
    <row r="716">
      <c r="A716" s="142"/>
      <c r="B716" s="18"/>
      <c r="C716" s="142"/>
      <c r="D716" s="18"/>
      <c r="E716" s="18"/>
      <c r="F716" s="18"/>
      <c r="G716" s="142"/>
      <c r="H716" s="18"/>
      <c r="I716" s="142"/>
      <c r="J716" s="15"/>
      <c r="Q716" s="15"/>
      <c r="R716" s="18"/>
      <c r="S716" s="142"/>
      <c r="T716" s="142"/>
      <c r="U716" s="142"/>
      <c r="V716" s="18"/>
      <c r="W716" s="18"/>
      <c r="X716" s="18"/>
      <c r="Y716" s="142"/>
      <c r="Z716" s="18"/>
      <c r="AA716" s="18"/>
      <c r="AB716" s="18"/>
      <c r="AC716" s="18"/>
      <c r="AD716" s="18"/>
      <c r="AE716" s="18"/>
      <c r="AF716" s="18"/>
      <c r="AG716" s="18"/>
      <c r="AH716" s="18"/>
      <c r="AI716" s="18"/>
      <c r="AJ716" s="142"/>
      <c r="AK716" s="142"/>
      <c r="AL716" s="18"/>
      <c r="AM716" s="18"/>
      <c r="AN716" s="18"/>
      <c r="AO716" s="142"/>
    </row>
    <row r="717">
      <c r="A717" s="142"/>
      <c r="B717" s="18"/>
      <c r="C717" s="142"/>
      <c r="D717" s="18"/>
      <c r="E717" s="18"/>
      <c r="F717" s="18"/>
      <c r="G717" s="142"/>
      <c r="H717" s="18"/>
      <c r="I717" s="142"/>
      <c r="J717" s="15"/>
      <c r="Q717" s="15"/>
      <c r="R717" s="18"/>
      <c r="S717" s="142"/>
      <c r="T717" s="142"/>
      <c r="U717" s="142"/>
      <c r="V717" s="18"/>
      <c r="W717" s="18"/>
      <c r="X717" s="18"/>
      <c r="Y717" s="142"/>
      <c r="Z717" s="18"/>
      <c r="AA717" s="18"/>
      <c r="AB717" s="18"/>
      <c r="AC717" s="18"/>
      <c r="AD717" s="18"/>
      <c r="AE717" s="18"/>
      <c r="AF717" s="18"/>
      <c r="AG717" s="18"/>
      <c r="AH717" s="18"/>
      <c r="AI717" s="18"/>
      <c r="AJ717" s="142"/>
      <c r="AK717" s="142"/>
      <c r="AL717" s="18"/>
      <c r="AM717" s="18"/>
      <c r="AN717" s="18"/>
      <c r="AO717" s="142"/>
    </row>
    <row r="718">
      <c r="A718" s="142"/>
      <c r="B718" s="18"/>
      <c r="C718" s="142"/>
      <c r="D718" s="18"/>
      <c r="E718" s="18"/>
      <c r="F718" s="18"/>
      <c r="G718" s="142"/>
      <c r="H718" s="18"/>
      <c r="I718" s="142"/>
      <c r="J718" s="15"/>
      <c r="Q718" s="15"/>
      <c r="R718" s="18"/>
      <c r="S718" s="142"/>
      <c r="T718" s="142"/>
      <c r="U718" s="142"/>
      <c r="V718" s="18"/>
      <c r="W718" s="18"/>
      <c r="X718" s="18"/>
      <c r="Y718" s="142"/>
      <c r="Z718" s="18"/>
      <c r="AA718" s="18"/>
      <c r="AB718" s="18"/>
      <c r="AC718" s="18"/>
      <c r="AD718" s="18"/>
      <c r="AE718" s="18"/>
      <c r="AF718" s="18"/>
      <c r="AG718" s="18"/>
      <c r="AH718" s="18"/>
      <c r="AI718" s="18"/>
      <c r="AJ718" s="142"/>
      <c r="AK718" s="142"/>
      <c r="AL718" s="18"/>
      <c r="AM718" s="18"/>
      <c r="AN718" s="18"/>
      <c r="AO718" s="142"/>
    </row>
    <row r="719">
      <c r="A719" s="142"/>
      <c r="B719" s="18"/>
      <c r="C719" s="142"/>
      <c r="D719" s="18"/>
      <c r="E719" s="18"/>
      <c r="F719" s="18"/>
      <c r="G719" s="142"/>
      <c r="H719" s="18"/>
      <c r="I719" s="142"/>
      <c r="J719" s="15"/>
      <c r="Q719" s="15"/>
      <c r="R719" s="18"/>
      <c r="S719" s="142"/>
      <c r="T719" s="142"/>
      <c r="U719" s="142"/>
      <c r="V719" s="18"/>
      <c r="W719" s="18"/>
      <c r="X719" s="18"/>
      <c r="Y719" s="142"/>
      <c r="Z719" s="18"/>
      <c r="AA719" s="18"/>
      <c r="AB719" s="18"/>
      <c r="AC719" s="18"/>
      <c r="AD719" s="18"/>
      <c r="AE719" s="18"/>
      <c r="AF719" s="18"/>
      <c r="AG719" s="18"/>
      <c r="AH719" s="18"/>
      <c r="AI719" s="18"/>
      <c r="AJ719" s="142"/>
      <c r="AK719" s="142"/>
      <c r="AL719" s="18"/>
      <c r="AM719" s="18"/>
      <c r="AN719" s="18"/>
      <c r="AO719" s="142"/>
    </row>
    <row r="720">
      <c r="A720" s="142"/>
      <c r="B720" s="18"/>
      <c r="C720" s="142"/>
      <c r="D720" s="18"/>
      <c r="E720" s="18"/>
      <c r="F720" s="18"/>
      <c r="G720" s="142"/>
      <c r="H720" s="18"/>
      <c r="I720" s="142"/>
      <c r="J720" s="15"/>
      <c r="Q720" s="15"/>
      <c r="R720" s="18"/>
      <c r="S720" s="142"/>
      <c r="T720" s="142"/>
      <c r="U720" s="142"/>
      <c r="V720" s="18"/>
      <c r="W720" s="18"/>
      <c r="X720" s="18"/>
      <c r="Y720" s="142"/>
      <c r="Z720" s="18"/>
      <c r="AA720" s="18"/>
      <c r="AB720" s="18"/>
      <c r="AC720" s="18"/>
      <c r="AD720" s="18"/>
      <c r="AE720" s="18"/>
      <c r="AF720" s="18"/>
      <c r="AG720" s="18"/>
      <c r="AH720" s="18"/>
      <c r="AI720" s="18"/>
      <c r="AJ720" s="142"/>
      <c r="AK720" s="142"/>
      <c r="AL720" s="18"/>
      <c r="AM720" s="18"/>
      <c r="AN720" s="18"/>
      <c r="AO720" s="142"/>
    </row>
    <row r="721">
      <c r="A721" s="142"/>
      <c r="B721" s="18"/>
      <c r="C721" s="142"/>
      <c r="D721" s="18"/>
      <c r="E721" s="18"/>
      <c r="F721" s="18"/>
      <c r="G721" s="142"/>
      <c r="H721" s="18"/>
      <c r="I721" s="142"/>
      <c r="J721" s="15"/>
      <c r="Q721" s="15"/>
      <c r="R721" s="18"/>
      <c r="S721" s="142"/>
      <c r="T721" s="142"/>
      <c r="U721" s="142"/>
      <c r="V721" s="18"/>
      <c r="W721" s="18"/>
      <c r="X721" s="18"/>
      <c r="Y721" s="142"/>
      <c r="Z721" s="18"/>
      <c r="AA721" s="18"/>
      <c r="AB721" s="18"/>
      <c r="AC721" s="18"/>
      <c r="AD721" s="18"/>
      <c r="AE721" s="18"/>
      <c r="AF721" s="18"/>
      <c r="AG721" s="18"/>
      <c r="AH721" s="18"/>
      <c r="AI721" s="18"/>
      <c r="AJ721" s="142"/>
      <c r="AK721" s="142"/>
      <c r="AL721" s="18"/>
      <c r="AM721" s="18"/>
      <c r="AN721" s="18"/>
      <c r="AO721" s="142"/>
    </row>
    <row r="722">
      <c r="A722" s="142"/>
      <c r="B722" s="18"/>
      <c r="C722" s="142"/>
      <c r="D722" s="18"/>
      <c r="E722" s="18"/>
      <c r="F722" s="18"/>
      <c r="G722" s="142"/>
      <c r="H722" s="18"/>
      <c r="I722" s="142"/>
      <c r="J722" s="15"/>
      <c r="Q722" s="15"/>
      <c r="R722" s="18"/>
      <c r="S722" s="142"/>
      <c r="T722" s="142"/>
      <c r="U722" s="142"/>
      <c r="V722" s="18"/>
      <c r="W722" s="18"/>
      <c r="X722" s="18"/>
      <c r="Y722" s="142"/>
      <c r="Z722" s="18"/>
      <c r="AA722" s="18"/>
      <c r="AB722" s="18"/>
      <c r="AC722" s="18"/>
      <c r="AD722" s="18"/>
      <c r="AE722" s="18"/>
      <c r="AF722" s="18"/>
      <c r="AG722" s="18"/>
      <c r="AH722" s="18"/>
      <c r="AI722" s="18"/>
      <c r="AJ722" s="142"/>
      <c r="AK722" s="142"/>
      <c r="AL722" s="18"/>
      <c r="AM722" s="18"/>
      <c r="AN722" s="18"/>
      <c r="AO722" s="142"/>
    </row>
    <row r="723">
      <c r="A723" s="142"/>
      <c r="B723" s="18"/>
      <c r="C723" s="142"/>
      <c r="D723" s="18"/>
      <c r="E723" s="18"/>
      <c r="F723" s="18"/>
      <c r="G723" s="142"/>
      <c r="H723" s="18"/>
      <c r="I723" s="142"/>
      <c r="J723" s="15"/>
      <c r="Q723" s="15"/>
      <c r="R723" s="18"/>
      <c r="S723" s="142"/>
      <c r="T723" s="142"/>
      <c r="U723" s="142"/>
      <c r="V723" s="18"/>
      <c r="W723" s="18"/>
      <c r="X723" s="18"/>
      <c r="Y723" s="142"/>
      <c r="Z723" s="18"/>
      <c r="AA723" s="18"/>
      <c r="AB723" s="18"/>
      <c r="AC723" s="18"/>
      <c r="AD723" s="18"/>
      <c r="AE723" s="18"/>
      <c r="AF723" s="18"/>
      <c r="AG723" s="18"/>
      <c r="AH723" s="18"/>
      <c r="AI723" s="18"/>
      <c r="AJ723" s="142"/>
      <c r="AK723" s="142"/>
      <c r="AL723" s="18"/>
      <c r="AM723" s="18"/>
      <c r="AN723" s="18"/>
      <c r="AO723" s="142"/>
    </row>
    <row r="724">
      <c r="A724" s="142"/>
      <c r="B724" s="18"/>
      <c r="C724" s="142"/>
      <c r="D724" s="18"/>
      <c r="E724" s="18"/>
      <c r="F724" s="18"/>
      <c r="G724" s="142"/>
      <c r="H724" s="18"/>
      <c r="I724" s="142"/>
      <c r="J724" s="15"/>
      <c r="Q724" s="15"/>
      <c r="R724" s="18"/>
      <c r="S724" s="142"/>
      <c r="T724" s="142"/>
      <c r="U724" s="142"/>
      <c r="V724" s="18"/>
      <c r="W724" s="18"/>
      <c r="X724" s="18"/>
      <c r="Y724" s="142"/>
      <c r="Z724" s="18"/>
      <c r="AA724" s="18"/>
      <c r="AB724" s="18"/>
      <c r="AC724" s="18"/>
      <c r="AD724" s="18"/>
      <c r="AE724" s="18"/>
      <c r="AF724" s="18"/>
      <c r="AG724" s="18"/>
      <c r="AH724" s="18"/>
      <c r="AI724" s="18"/>
      <c r="AJ724" s="142"/>
      <c r="AK724" s="142"/>
      <c r="AL724" s="18"/>
      <c r="AM724" s="18"/>
      <c r="AN724" s="18"/>
      <c r="AO724" s="142"/>
    </row>
    <row r="725">
      <c r="A725" s="142"/>
      <c r="B725" s="18"/>
      <c r="C725" s="142"/>
      <c r="D725" s="18"/>
      <c r="E725" s="18"/>
      <c r="F725" s="18"/>
      <c r="G725" s="142"/>
      <c r="H725" s="18"/>
      <c r="I725" s="142"/>
      <c r="J725" s="15"/>
      <c r="Q725" s="15"/>
      <c r="R725" s="18"/>
      <c r="S725" s="142"/>
      <c r="T725" s="142"/>
      <c r="U725" s="142"/>
      <c r="V725" s="18"/>
      <c r="W725" s="18"/>
      <c r="X725" s="18"/>
      <c r="Y725" s="142"/>
      <c r="Z725" s="18"/>
      <c r="AA725" s="18"/>
      <c r="AB725" s="18"/>
      <c r="AC725" s="18"/>
      <c r="AD725" s="18"/>
      <c r="AE725" s="18"/>
      <c r="AF725" s="18"/>
      <c r="AG725" s="18"/>
      <c r="AH725" s="18"/>
      <c r="AI725" s="18"/>
      <c r="AJ725" s="142"/>
      <c r="AK725" s="142"/>
      <c r="AL725" s="18"/>
      <c r="AM725" s="18"/>
      <c r="AN725" s="18"/>
      <c r="AO725" s="142"/>
    </row>
    <row r="726">
      <c r="A726" s="142"/>
      <c r="B726" s="18"/>
      <c r="C726" s="142"/>
      <c r="D726" s="18"/>
      <c r="E726" s="18"/>
      <c r="F726" s="18"/>
      <c r="G726" s="142"/>
      <c r="H726" s="18"/>
      <c r="I726" s="142"/>
      <c r="J726" s="15"/>
      <c r="Q726" s="15"/>
      <c r="R726" s="18"/>
      <c r="S726" s="142"/>
      <c r="T726" s="142"/>
      <c r="U726" s="142"/>
      <c r="V726" s="18"/>
      <c r="W726" s="18"/>
      <c r="X726" s="18"/>
      <c r="Y726" s="142"/>
      <c r="Z726" s="18"/>
      <c r="AA726" s="18"/>
      <c r="AB726" s="18"/>
      <c r="AC726" s="18"/>
      <c r="AD726" s="18"/>
      <c r="AE726" s="18"/>
      <c r="AF726" s="18"/>
      <c r="AG726" s="18"/>
      <c r="AH726" s="18"/>
      <c r="AI726" s="18"/>
      <c r="AJ726" s="142"/>
      <c r="AK726" s="142"/>
      <c r="AL726" s="18"/>
      <c r="AM726" s="18"/>
      <c r="AN726" s="18"/>
      <c r="AO726" s="142"/>
    </row>
    <row r="727">
      <c r="A727" s="142"/>
      <c r="B727" s="18"/>
      <c r="C727" s="142"/>
      <c r="D727" s="18"/>
      <c r="E727" s="18"/>
      <c r="F727" s="18"/>
      <c r="G727" s="142"/>
      <c r="H727" s="18"/>
      <c r="I727" s="142"/>
      <c r="J727" s="15"/>
      <c r="Q727" s="15"/>
      <c r="R727" s="18"/>
      <c r="S727" s="142"/>
      <c r="T727" s="142"/>
      <c r="U727" s="142"/>
      <c r="V727" s="18"/>
      <c r="W727" s="18"/>
      <c r="X727" s="18"/>
      <c r="Y727" s="142"/>
      <c r="Z727" s="18"/>
      <c r="AA727" s="18"/>
      <c r="AB727" s="18"/>
      <c r="AC727" s="18"/>
      <c r="AD727" s="18"/>
      <c r="AE727" s="18"/>
      <c r="AF727" s="18"/>
      <c r="AG727" s="18"/>
      <c r="AH727" s="18"/>
      <c r="AI727" s="18"/>
      <c r="AJ727" s="142"/>
      <c r="AK727" s="142"/>
      <c r="AL727" s="18"/>
      <c r="AM727" s="18"/>
      <c r="AN727" s="18"/>
      <c r="AO727" s="142"/>
    </row>
    <row r="728">
      <c r="A728" s="142"/>
      <c r="B728" s="18"/>
      <c r="C728" s="142"/>
      <c r="D728" s="18"/>
      <c r="E728" s="18"/>
      <c r="F728" s="18"/>
      <c r="G728" s="142"/>
      <c r="H728" s="18"/>
      <c r="I728" s="142"/>
      <c r="J728" s="15"/>
      <c r="Q728" s="15"/>
      <c r="R728" s="18"/>
      <c r="S728" s="142"/>
      <c r="T728" s="142"/>
      <c r="U728" s="142"/>
      <c r="V728" s="18"/>
      <c r="W728" s="18"/>
      <c r="X728" s="18"/>
      <c r="Y728" s="142"/>
      <c r="Z728" s="18"/>
      <c r="AA728" s="18"/>
      <c r="AB728" s="18"/>
      <c r="AC728" s="18"/>
      <c r="AD728" s="18"/>
      <c r="AE728" s="18"/>
      <c r="AF728" s="18"/>
      <c r="AG728" s="18"/>
      <c r="AH728" s="18"/>
      <c r="AI728" s="18"/>
      <c r="AJ728" s="142"/>
      <c r="AK728" s="142"/>
      <c r="AL728" s="18"/>
      <c r="AM728" s="18"/>
      <c r="AN728" s="18"/>
      <c r="AO728" s="142"/>
    </row>
    <row r="729">
      <c r="A729" s="142"/>
      <c r="B729" s="18"/>
      <c r="C729" s="142"/>
      <c r="D729" s="18"/>
      <c r="E729" s="18"/>
      <c r="F729" s="18"/>
      <c r="G729" s="142"/>
      <c r="H729" s="18"/>
      <c r="I729" s="142"/>
      <c r="J729" s="15"/>
      <c r="Q729" s="15"/>
      <c r="R729" s="18"/>
      <c r="S729" s="142"/>
      <c r="T729" s="142"/>
      <c r="U729" s="142"/>
      <c r="V729" s="18"/>
      <c r="W729" s="18"/>
      <c r="X729" s="18"/>
      <c r="Y729" s="142"/>
      <c r="Z729" s="18"/>
      <c r="AA729" s="18"/>
      <c r="AB729" s="18"/>
      <c r="AC729" s="18"/>
      <c r="AD729" s="18"/>
      <c r="AE729" s="18"/>
      <c r="AF729" s="18"/>
      <c r="AG729" s="18"/>
      <c r="AH729" s="18"/>
      <c r="AI729" s="18"/>
      <c r="AJ729" s="142"/>
      <c r="AK729" s="142"/>
      <c r="AL729" s="18"/>
      <c r="AM729" s="18"/>
      <c r="AN729" s="18"/>
      <c r="AO729" s="142"/>
    </row>
    <row r="730">
      <c r="A730" s="142"/>
      <c r="B730" s="18"/>
      <c r="C730" s="142"/>
      <c r="D730" s="18"/>
      <c r="E730" s="18"/>
      <c r="F730" s="18"/>
      <c r="G730" s="142"/>
      <c r="H730" s="18"/>
      <c r="I730" s="142"/>
      <c r="J730" s="15"/>
      <c r="Q730" s="15"/>
      <c r="R730" s="18"/>
      <c r="S730" s="142"/>
      <c r="T730" s="142"/>
      <c r="U730" s="142"/>
      <c r="V730" s="18"/>
      <c r="W730" s="18"/>
      <c r="X730" s="18"/>
      <c r="Y730" s="142"/>
      <c r="Z730" s="18"/>
      <c r="AA730" s="18"/>
      <c r="AB730" s="18"/>
      <c r="AC730" s="18"/>
      <c r="AD730" s="18"/>
      <c r="AE730" s="18"/>
      <c r="AF730" s="18"/>
      <c r="AG730" s="18"/>
      <c r="AH730" s="18"/>
      <c r="AI730" s="18"/>
      <c r="AJ730" s="142"/>
      <c r="AK730" s="142"/>
      <c r="AL730" s="18"/>
      <c r="AM730" s="18"/>
      <c r="AN730" s="18"/>
      <c r="AO730" s="142"/>
    </row>
    <row r="731">
      <c r="A731" s="142"/>
      <c r="B731" s="18"/>
      <c r="C731" s="142"/>
      <c r="D731" s="18"/>
      <c r="E731" s="18"/>
      <c r="F731" s="18"/>
      <c r="G731" s="142"/>
      <c r="H731" s="18"/>
      <c r="I731" s="142"/>
      <c r="J731" s="15"/>
      <c r="Q731" s="15"/>
      <c r="R731" s="18"/>
      <c r="S731" s="142"/>
      <c r="T731" s="142"/>
      <c r="U731" s="142"/>
      <c r="V731" s="18"/>
      <c r="W731" s="18"/>
      <c r="X731" s="18"/>
      <c r="Y731" s="142"/>
      <c r="Z731" s="18"/>
      <c r="AA731" s="18"/>
      <c r="AB731" s="18"/>
      <c r="AC731" s="18"/>
      <c r="AD731" s="18"/>
      <c r="AE731" s="18"/>
      <c r="AF731" s="18"/>
      <c r="AG731" s="18"/>
      <c r="AH731" s="18"/>
      <c r="AI731" s="18"/>
      <c r="AJ731" s="142"/>
      <c r="AK731" s="142"/>
      <c r="AL731" s="18"/>
      <c r="AM731" s="18"/>
      <c r="AN731" s="18"/>
      <c r="AO731" s="142"/>
    </row>
    <row r="732">
      <c r="A732" s="142"/>
      <c r="B732" s="18"/>
      <c r="C732" s="142"/>
      <c r="D732" s="18"/>
      <c r="E732" s="18"/>
      <c r="F732" s="18"/>
      <c r="G732" s="142"/>
      <c r="H732" s="18"/>
      <c r="I732" s="142"/>
      <c r="J732" s="15"/>
      <c r="Q732" s="15"/>
      <c r="R732" s="18"/>
      <c r="S732" s="142"/>
      <c r="T732" s="142"/>
      <c r="U732" s="142"/>
      <c r="V732" s="18"/>
      <c r="W732" s="18"/>
      <c r="X732" s="18"/>
      <c r="Y732" s="142"/>
      <c r="Z732" s="18"/>
      <c r="AA732" s="18"/>
      <c r="AB732" s="18"/>
      <c r="AC732" s="18"/>
      <c r="AD732" s="18"/>
      <c r="AE732" s="18"/>
      <c r="AF732" s="18"/>
      <c r="AG732" s="18"/>
      <c r="AH732" s="18"/>
      <c r="AI732" s="18"/>
      <c r="AJ732" s="142"/>
      <c r="AK732" s="142"/>
      <c r="AL732" s="18"/>
      <c r="AM732" s="18"/>
      <c r="AN732" s="18"/>
      <c r="AO732" s="142"/>
    </row>
    <row r="733">
      <c r="A733" s="142"/>
      <c r="B733" s="18"/>
      <c r="C733" s="142"/>
      <c r="D733" s="18"/>
      <c r="E733" s="18"/>
      <c r="F733" s="18"/>
      <c r="G733" s="142"/>
      <c r="H733" s="18"/>
      <c r="I733" s="142"/>
      <c r="J733" s="15"/>
      <c r="Q733" s="15"/>
      <c r="R733" s="18"/>
      <c r="S733" s="142"/>
      <c r="T733" s="142"/>
      <c r="U733" s="142"/>
      <c r="V733" s="18"/>
      <c r="W733" s="18"/>
      <c r="X733" s="18"/>
      <c r="Y733" s="142"/>
      <c r="Z733" s="18"/>
      <c r="AA733" s="18"/>
      <c r="AB733" s="18"/>
      <c r="AC733" s="18"/>
      <c r="AD733" s="18"/>
      <c r="AE733" s="18"/>
      <c r="AF733" s="18"/>
      <c r="AG733" s="18"/>
      <c r="AH733" s="18"/>
      <c r="AI733" s="18"/>
      <c r="AJ733" s="142"/>
      <c r="AK733" s="142"/>
      <c r="AL733" s="18"/>
      <c r="AM733" s="18"/>
      <c r="AN733" s="18"/>
      <c r="AO733" s="142"/>
    </row>
    <row r="734">
      <c r="A734" s="142"/>
      <c r="B734" s="18"/>
      <c r="C734" s="142"/>
      <c r="D734" s="18"/>
      <c r="E734" s="18"/>
      <c r="F734" s="18"/>
      <c r="G734" s="142"/>
      <c r="H734" s="18"/>
      <c r="I734" s="142"/>
      <c r="J734" s="15"/>
      <c r="Q734" s="15"/>
      <c r="R734" s="18"/>
      <c r="S734" s="142"/>
      <c r="T734" s="142"/>
      <c r="U734" s="142"/>
      <c r="V734" s="18"/>
      <c r="W734" s="18"/>
      <c r="X734" s="18"/>
      <c r="Y734" s="142"/>
      <c r="Z734" s="18"/>
      <c r="AA734" s="18"/>
      <c r="AB734" s="18"/>
      <c r="AC734" s="18"/>
      <c r="AD734" s="18"/>
      <c r="AE734" s="18"/>
      <c r="AF734" s="18"/>
      <c r="AG734" s="18"/>
      <c r="AH734" s="18"/>
      <c r="AI734" s="18"/>
      <c r="AJ734" s="142"/>
      <c r="AK734" s="142"/>
      <c r="AL734" s="18"/>
      <c r="AM734" s="18"/>
      <c r="AN734" s="18"/>
      <c r="AO734" s="142"/>
    </row>
    <row r="735">
      <c r="A735" s="142"/>
      <c r="B735" s="18"/>
      <c r="C735" s="142"/>
      <c r="D735" s="18"/>
      <c r="E735" s="18"/>
      <c r="F735" s="18"/>
      <c r="G735" s="142"/>
      <c r="H735" s="18"/>
      <c r="I735" s="142"/>
      <c r="J735" s="15"/>
      <c r="Q735" s="15"/>
      <c r="R735" s="18"/>
      <c r="S735" s="142"/>
      <c r="T735" s="142"/>
      <c r="U735" s="142"/>
      <c r="V735" s="18"/>
      <c r="W735" s="18"/>
      <c r="X735" s="18"/>
      <c r="Y735" s="142"/>
      <c r="Z735" s="18"/>
      <c r="AA735" s="18"/>
      <c r="AB735" s="18"/>
      <c r="AC735" s="18"/>
      <c r="AD735" s="18"/>
      <c r="AE735" s="18"/>
      <c r="AF735" s="18"/>
      <c r="AG735" s="18"/>
      <c r="AH735" s="18"/>
      <c r="AI735" s="18"/>
      <c r="AJ735" s="142"/>
      <c r="AK735" s="142"/>
      <c r="AL735" s="18"/>
      <c r="AM735" s="18"/>
      <c r="AN735" s="18"/>
      <c r="AO735" s="142"/>
    </row>
    <row r="736">
      <c r="A736" s="142"/>
      <c r="B736" s="18"/>
      <c r="C736" s="142"/>
      <c r="D736" s="18"/>
      <c r="E736" s="18"/>
      <c r="F736" s="18"/>
      <c r="G736" s="142"/>
      <c r="H736" s="18"/>
      <c r="I736" s="142"/>
      <c r="J736" s="15"/>
      <c r="Q736" s="15"/>
      <c r="R736" s="18"/>
      <c r="S736" s="142"/>
      <c r="T736" s="142"/>
      <c r="U736" s="142"/>
      <c r="V736" s="18"/>
      <c r="W736" s="18"/>
      <c r="X736" s="18"/>
      <c r="Y736" s="142"/>
      <c r="Z736" s="18"/>
      <c r="AA736" s="18"/>
      <c r="AB736" s="18"/>
      <c r="AC736" s="18"/>
      <c r="AD736" s="18"/>
      <c r="AE736" s="18"/>
      <c r="AF736" s="18"/>
      <c r="AG736" s="18"/>
      <c r="AH736" s="18"/>
      <c r="AI736" s="18"/>
      <c r="AJ736" s="142"/>
      <c r="AK736" s="142"/>
      <c r="AL736" s="18"/>
      <c r="AM736" s="18"/>
      <c r="AN736" s="18"/>
      <c r="AO736" s="142"/>
    </row>
    <row r="737">
      <c r="A737" s="142"/>
      <c r="B737" s="18"/>
      <c r="C737" s="142"/>
      <c r="D737" s="18"/>
      <c r="E737" s="18"/>
      <c r="F737" s="18"/>
      <c r="G737" s="142"/>
      <c r="H737" s="18"/>
      <c r="I737" s="142"/>
      <c r="J737" s="15"/>
      <c r="Q737" s="15"/>
      <c r="R737" s="18"/>
      <c r="S737" s="142"/>
      <c r="T737" s="142"/>
      <c r="U737" s="142"/>
      <c r="V737" s="18"/>
      <c r="W737" s="18"/>
      <c r="X737" s="18"/>
      <c r="Y737" s="142"/>
      <c r="Z737" s="18"/>
      <c r="AA737" s="18"/>
      <c r="AB737" s="18"/>
      <c r="AC737" s="18"/>
      <c r="AD737" s="18"/>
      <c r="AE737" s="18"/>
      <c r="AF737" s="18"/>
      <c r="AG737" s="18"/>
      <c r="AH737" s="18"/>
      <c r="AI737" s="18"/>
      <c r="AJ737" s="142"/>
      <c r="AK737" s="142"/>
      <c r="AL737" s="18"/>
      <c r="AM737" s="18"/>
      <c r="AN737" s="18"/>
      <c r="AO737" s="142"/>
    </row>
    <row r="738">
      <c r="A738" s="142"/>
      <c r="B738" s="18"/>
      <c r="C738" s="142"/>
      <c r="D738" s="18"/>
      <c r="E738" s="18"/>
      <c r="F738" s="18"/>
      <c r="G738" s="142"/>
      <c r="H738" s="18"/>
      <c r="I738" s="142"/>
      <c r="J738" s="15"/>
      <c r="Q738" s="15"/>
      <c r="R738" s="18"/>
      <c r="S738" s="142"/>
      <c r="T738" s="142"/>
      <c r="U738" s="142"/>
      <c r="V738" s="18"/>
      <c r="W738" s="18"/>
      <c r="X738" s="18"/>
      <c r="Y738" s="142"/>
      <c r="Z738" s="18"/>
      <c r="AA738" s="18"/>
      <c r="AB738" s="18"/>
      <c r="AC738" s="18"/>
      <c r="AD738" s="18"/>
      <c r="AE738" s="18"/>
      <c r="AF738" s="18"/>
      <c r="AG738" s="18"/>
      <c r="AH738" s="18"/>
      <c r="AI738" s="18"/>
      <c r="AJ738" s="142"/>
      <c r="AK738" s="142"/>
      <c r="AL738" s="18"/>
      <c r="AM738" s="18"/>
      <c r="AN738" s="18"/>
      <c r="AO738" s="142"/>
    </row>
    <row r="739">
      <c r="A739" s="142"/>
      <c r="B739" s="18"/>
      <c r="C739" s="142"/>
      <c r="D739" s="18"/>
      <c r="E739" s="18"/>
      <c r="F739" s="18"/>
      <c r="G739" s="142"/>
      <c r="H739" s="18"/>
      <c r="I739" s="142"/>
      <c r="J739" s="15"/>
      <c r="Q739" s="15"/>
      <c r="R739" s="18"/>
      <c r="S739" s="142"/>
      <c r="T739" s="142"/>
      <c r="U739" s="142"/>
      <c r="V739" s="18"/>
      <c r="W739" s="18"/>
      <c r="X739" s="18"/>
      <c r="Y739" s="142"/>
      <c r="Z739" s="18"/>
      <c r="AA739" s="18"/>
      <c r="AB739" s="18"/>
      <c r="AC739" s="18"/>
      <c r="AD739" s="18"/>
      <c r="AE739" s="18"/>
      <c r="AF739" s="18"/>
      <c r="AG739" s="18"/>
      <c r="AH739" s="18"/>
      <c r="AI739" s="18"/>
      <c r="AJ739" s="142"/>
      <c r="AK739" s="142"/>
      <c r="AL739" s="18"/>
      <c r="AM739" s="18"/>
      <c r="AN739" s="18"/>
      <c r="AO739" s="142"/>
    </row>
    <row r="740">
      <c r="A740" s="142"/>
      <c r="B740" s="18"/>
      <c r="C740" s="142"/>
      <c r="D740" s="18"/>
      <c r="E740" s="18"/>
      <c r="F740" s="18"/>
      <c r="G740" s="142"/>
      <c r="H740" s="18"/>
      <c r="I740" s="142"/>
      <c r="J740" s="15"/>
      <c r="Q740" s="15"/>
      <c r="R740" s="18"/>
      <c r="S740" s="142"/>
      <c r="T740" s="142"/>
      <c r="U740" s="142"/>
      <c r="V740" s="18"/>
      <c r="W740" s="18"/>
      <c r="X740" s="18"/>
      <c r="Y740" s="142"/>
      <c r="Z740" s="18"/>
      <c r="AA740" s="18"/>
      <c r="AB740" s="18"/>
      <c r="AC740" s="18"/>
      <c r="AD740" s="18"/>
      <c r="AE740" s="18"/>
      <c r="AF740" s="18"/>
      <c r="AG740" s="18"/>
      <c r="AH740" s="18"/>
      <c r="AI740" s="18"/>
      <c r="AJ740" s="142"/>
      <c r="AK740" s="142"/>
      <c r="AL740" s="18"/>
      <c r="AM740" s="18"/>
      <c r="AN740" s="18"/>
      <c r="AO740" s="142"/>
    </row>
    <row r="741">
      <c r="A741" s="142"/>
      <c r="B741" s="18"/>
      <c r="C741" s="142"/>
      <c r="D741" s="18"/>
      <c r="E741" s="18"/>
      <c r="F741" s="18"/>
      <c r="G741" s="142"/>
      <c r="H741" s="18"/>
      <c r="I741" s="142"/>
      <c r="J741" s="15"/>
      <c r="Q741" s="15"/>
      <c r="R741" s="18"/>
      <c r="S741" s="142"/>
      <c r="T741" s="142"/>
      <c r="U741" s="142"/>
      <c r="V741" s="18"/>
      <c r="W741" s="18"/>
      <c r="X741" s="18"/>
      <c r="Y741" s="142"/>
      <c r="Z741" s="18"/>
      <c r="AA741" s="18"/>
      <c r="AB741" s="18"/>
      <c r="AC741" s="18"/>
      <c r="AD741" s="18"/>
      <c r="AE741" s="18"/>
      <c r="AF741" s="18"/>
      <c r="AG741" s="18"/>
      <c r="AH741" s="18"/>
      <c r="AI741" s="18"/>
      <c r="AJ741" s="142"/>
      <c r="AK741" s="142"/>
      <c r="AL741" s="18"/>
      <c r="AM741" s="18"/>
      <c r="AN741" s="18"/>
      <c r="AO741" s="142"/>
    </row>
    <row r="742">
      <c r="A742" s="142"/>
      <c r="B742" s="18"/>
      <c r="C742" s="142"/>
      <c r="D742" s="18"/>
      <c r="E742" s="18"/>
      <c r="F742" s="18"/>
      <c r="G742" s="142"/>
      <c r="H742" s="18"/>
      <c r="I742" s="142"/>
      <c r="J742" s="15"/>
      <c r="Q742" s="15"/>
      <c r="R742" s="18"/>
      <c r="S742" s="142"/>
      <c r="T742" s="142"/>
      <c r="U742" s="142"/>
      <c r="V742" s="18"/>
      <c r="W742" s="18"/>
      <c r="X742" s="18"/>
      <c r="Y742" s="142"/>
      <c r="Z742" s="18"/>
      <c r="AA742" s="18"/>
      <c r="AB742" s="18"/>
      <c r="AC742" s="18"/>
      <c r="AD742" s="18"/>
      <c r="AE742" s="18"/>
      <c r="AF742" s="18"/>
      <c r="AG742" s="18"/>
      <c r="AH742" s="18"/>
      <c r="AI742" s="18"/>
      <c r="AJ742" s="142"/>
      <c r="AK742" s="142"/>
      <c r="AL742" s="18"/>
      <c r="AM742" s="18"/>
      <c r="AN742" s="18"/>
      <c r="AO742" s="142"/>
    </row>
    <row r="743">
      <c r="A743" s="142"/>
      <c r="B743" s="18"/>
      <c r="C743" s="142"/>
      <c r="D743" s="18"/>
      <c r="E743" s="18"/>
      <c r="F743" s="18"/>
      <c r="G743" s="142"/>
      <c r="H743" s="18"/>
      <c r="I743" s="142"/>
      <c r="J743" s="15"/>
      <c r="Q743" s="15"/>
      <c r="R743" s="18"/>
      <c r="S743" s="142"/>
      <c r="T743" s="142"/>
      <c r="U743" s="142"/>
      <c r="V743" s="18"/>
      <c r="W743" s="18"/>
      <c r="X743" s="18"/>
      <c r="Y743" s="142"/>
      <c r="Z743" s="18"/>
      <c r="AA743" s="18"/>
      <c r="AB743" s="18"/>
      <c r="AC743" s="18"/>
      <c r="AD743" s="18"/>
      <c r="AE743" s="18"/>
      <c r="AF743" s="18"/>
      <c r="AG743" s="18"/>
      <c r="AH743" s="18"/>
      <c r="AI743" s="18"/>
      <c r="AJ743" s="142"/>
      <c r="AK743" s="142"/>
      <c r="AL743" s="18"/>
      <c r="AM743" s="18"/>
      <c r="AN743" s="18"/>
      <c r="AO743" s="142"/>
    </row>
    <row r="744">
      <c r="A744" s="142"/>
      <c r="B744" s="18"/>
      <c r="C744" s="142"/>
      <c r="D744" s="18"/>
      <c r="E744" s="18"/>
      <c r="F744" s="18"/>
      <c r="G744" s="142"/>
      <c r="H744" s="18"/>
      <c r="I744" s="142"/>
      <c r="J744" s="15"/>
      <c r="Q744" s="15"/>
      <c r="R744" s="18"/>
      <c r="S744" s="142"/>
      <c r="T744" s="142"/>
      <c r="U744" s="142"/>
      <c r="V744" s="18"/>
      <c r="W744" s="18"/>
      <c r="X744" s="18"/>
      <c r="Y744" s="142"/>
      <c r="Z744" s="18"/>
      <c r="AA744" s="18"/>
      <c r="AB744" s="18"/>
      <c r="AC744" s="18"/>
      <c r="AD744" s="18"/>
      <c r="AE744" s="18"/>
      <c r="AF744" s="18"/>
      <c r="AG744" s="18"/>
      <c r="AH744" s="18"/>
      <c r="AI744" s="18"/>
      <c r="AJ744" s="142"/>
      <c r="AK744" s="142"/>
      <c r="AL744" s="18"/>
      <c r="AM744" s="18"/>
      <c r="AN744" s="18"/>
      <c r="AO744" s="142"/>
    </row>
    <row r="745">
      <c r="A745" s="142"/>
      <c r="B745" s="18"/>
      <c r="C745" s="142"/>
      <c r="D745" s="18"/>
      <c r="E745" s="18"/>
      <c r="F745" s="18"/>
      <c r="G745" s="142"/>
      <c r="H745" s="18"/>
      <c r="I745" s="142"/>
      <c r="J745" s="15"/>
      <c r="Q745" s="15"/>
      <c r="R745" s="18"/>
      <c r="S745" s="142"/>
      <c r="T745" s="142"/>
      <c r="U745" s="142"/>
      <c r="V745" s="18"/>
      <c r="W745" s="18"/>
      <c r="X745" s="18"/>
      <c r="Y745" s="142"/>
      <c r="Z745" s="18"/>
      <c r="AA745" s="18"/>
      <c r="AB745" s="18"/>
      <c r="AC745" s="18"/>
      <c r="AD745" s="18"/>
      <c r="AE745" s="18"/>
      <c r="AF745" s="18"/>
      <c r="AG745" s="18"/>
      <c r="AH745" s="18"/>
      <c r="AI745" s="18"/>
      <c r="AJ745" s="142"/>
      <c r="AK745" s="142"/>
      <c r="AL745" s="18"/>
      <c r="AM745" s="18"/>
      <c r="AN745" s="18"/>
      <c r="AO745" s="142"/>
    </row>
    <row r="746">
      <c r="A746" s="142"/>
      <c r="B746" s="18"/>
      <c r="C746" s="142"/>
      <c r="D746" s="18"/>
      <c r="E746" s="18"/>
      <c r="F746" s="18"/>
      <c r="G746" s="142"/>
      <c r="H746" s="18"/>
      <c r="I746" s="142"/>
      <c r="J746" s="15"/>
      <c r="Q746" s="15"/>
      <c r="R746" s="18"/>
      <c r="S746" s="142"/>
      <c r="T746" s="142"/>
      <c r="U746" s="142"/>
      <c r="V746" s="18"/>
      <c r="W746" s="18"/>
      <c r="X746" s="18"/>
      <c r="Y746" s="142"/>
      <c r="Z746" s="18"/>
      <c r="AA746" s="18"/>
      <c r="AB746" s="18"/>
      <c r="AC746" s="18"/>
      <c r="AD746" s="18"/>
      <c r="AE746" s="18"/>
      <c r="AF746" s="18"/>
      <c r="AG746" s="18"/>
      <c r="AH746" s="18"/>
      <c r="AI746" s="18"/>
      <c r="AJ746" s="142"/>
      <c r="AK746" s="142"/>
      <c r="AL746" s="18"/>
      <c r="AM746" s="18"/>
      <c r="AN746" s="18"/>
      <c r="AO746" s="142"/>
    </row>
    <row r="747">
      <c r="A747" s="142"/>
      <c r="B747" s="18"/>
      <c r="C747" s="142"/>
      <c r="D747" s="18"/>
      <c r="E747" s="18"/>
      <c r="F747" s="18"/>
      <c r="G747" s="142"/>
      <c r="H747" s="18"/>
      <c r="I747" s="142"/>
      <c r="J747" s="15"/>
      <c r="Q747" s="15"/>
      <c r="R747" s="18"/>
      <c r="S747" s="142"/>
      <c r="T747" s="142"/>
      <c r="U747" s="142"/>
      <c r="V747" s="18"/>
      <c r="W747" s="18"/>
      <c r="X747" s="18"/>
      <c r="Y747" s="142"/>
      <c r="Z747" s="18"/>
      <c r="AA747" s="18"/>
      <c r="AB747" s="18"/>
      <c r="AC747" s="18"/>
      <c r="AD747" s="18"/>
      <c r="AE747" s="18"/>
      <c r="AF747" s="18"/>
      <c r="AG747" s="18"/>
      <c r="AH747" s="18"/>
      <c r="AI747" s="18"/>
      <c r="AJ747" s="142"/>
      <c r="AK747" s="142"/>
      <c r="AL747" s="18"/>
      <c r="AM747" s="18"/>
      <c r="AN747" s="18"/>
      <c r="AO747" s="142"/>
    </row>
    <row r="748">
      <c r="A748" s="142"/>
      <c r="B748" s="18"/>
      <c r="C748" s="142"/>
      <c r="D748" s="18"/>
      <c r="E748" s="18"/>
      <c r="F748" s="18"/>
      <c r="G748" s="142"/>
      <c r="H748" s="18"/>
      <c r="I748" s="142"/>
      <c r="J748" s="15"/>
      <c r="Q748" s="15"/>
      <c r="R748" s="18"/>
      <c r="S748" s="142"/>
      <c r="T748" s="142"/>
      <c r="U748" s="142"/>
      <c r="V748" s="18"/>
      <c r="W748" s="18"/>
      <c r="X748" s="18"/>
      <c r="Y748" s="142"/>
      <c r="Z748" s="18"/>
      <c r="AA748" s="18"/>
      <c r="AB748" s="18"/>
      <c r="AC748" s="18"/>
      <c r="AD748" s="18"/>
      <c r="AE748" s="18"/>
      <c r="AF748" s="18"/>
      <c r="AG748" s="18"/>
      <c r="AH748" s="18"/>
      <c r="AI748" s="18"/>
      <c r="AJ748" s="142"/>
      <c r="AK748" s="142"/>
      <c r="AL748" s="18"/>
      <c r="AM748" s="18"/>
      <c r="AN748" s="18"/>
      <c r="AO748" s="142"/>
    </row>
    <row r="749">
      <c r="A749" s="142"/>
      <c r="B749" s="18"/>
      <c r="C749" s="142"/>
      <c r="D749" s="18"/>
      <c r="E749" s="18"/>
      <c r="F749" s="18"/>
      <c r="G749" s="142"/>
      <c r="H749" s="18"/>
      <c r="I749" s="142"/>
      <c r="J749" s="15"/>
      <c r="Q749" s="15"/>
      <c r="R749" s="18"/>
      <c r="S749" s="142"/>
      <c r="T749" s="142"/>
      <c r="U749" s="142"/>
      <c r="V749" s="18"/>
      <c r="W749" s="18"/>
      <c r="X749" s="18"/>
      <c r="Y749" s="142"/>
      <c r="Z749" s="18"/>
      <c r="AA749" s="18"/>
      <c r="AB749" s="18"/>
      <c r="AC749" s="18"/>
      <c r="AD749" s="18"/>
      <c r="AE749" s="18"/>
      <c r="AF749" s="18"/>
      <c r="AG749" s="18"/>
      <c r="AH749" s="18"/>
      <c r="AI749" s="18"/>
      <c r="AJ749" s="142"/>
      <c r="AK749" s="142"/>
      <c r="AL749" s="18"/>
      <c r="AM749" s="18"/>
      <c r="AN749" s="18"/>
      <c r="AO749" s="142"/>
    </row>
    <row r="750">
      <c r="A750" s="142"/>
      <c r="B750" s="18"/>
      <c r="C750" s="142"/>
      <c r="D750" s="18"/>
      <c r="E750" s="18"/>
      <c r="F750" s="18"/>
      <c r="G750" s="142"/>
      <c r="H750" s="18"/>
      <c r="I750" s="142"/>
      <c r="J750" s="15"/>
      <c r="Q750" s="15"/>
      <c r="R750" s="18"/>
      <c r="S750" s="142"/>
      <c r="T750" s="142"/>
      <c r="U750" s="142"/>
      <c r="V750" s="18"/>
      <c r="W750" s="18"/>
      <c r="X750" s="18"/>
      <c r="Y750" s="142"/>
      <c r="Z750" s="18"/>
      <c r="AA750" s="18"/>
      <c r="AB750" s="18"/>
      <c r="AC750" s="18"/>
      <c r="AD750" s="18"/>
      <c r="AE750" s="18"/>
      <c r="AF750" s="18"/>
      <c r="AG750" s="18"/>
      <c r="AH750" s="18"/>
      <c r="AI750" s="18"/>
      <c r="AJ750" s="142"/>
      <c r="AK750" s="142"/>
      <c r="AL750" s="18"/>
      <c r="AM750" s="18"/>
      <c r="AN750" s="18"/>
      <c r="AO750" s="142"/>
    </row>
    <row r="751">
      <c r="A751" s="142"/>
      <c r="B751" s="18"/>
      <c r="C751" s="142"/>
      <c r="D751" s="18"/>
      <c r="E751" s="18"/>
      <c r="F751" s="18"/>
      <c r="G751" s="142"/>
      <c r="H751" s="18"/>
      <c r="I751" s="142"/>
      <c r="J751" s="15"/>
      <c r="Q751" s="15"/>
      <c r="R751" s="18"/>
      <c r="S751" s="142"/>
      <c r="T751" s="142"/>
      <c r="U751" s="142"/>
      <c r="V751" s="18"/>
      <c r="W751" s="18"/>
      <c r="X751" s="18"/>
      <c r="Y751" s="142"/>
      <c r="Z751" s="18"/>
      <c r="AA751" s="18"/>
      <c r="AB751" s="18"/>
      <c r="AC751" s="18"/>
      <c r="AD751" s="18"/>
      <c r="AE751" s="18"/>
      <c r="AF751" s="18"/>
      <c r="AG751" s="18"/>
      <c r="AH751" s="18"/>
      <c r="AI751" s="18"/>
      <c r="AJ751" s="142"/>
      <c r="AK751" s="142"/>
      <c r="AL751" s="18"/>
      <c r="AM751" s="18"/>
      <c r="AN751" s="18"/>
      <c r="AO751" s="142"/>
    </row>
    <row r="752">
      <c r="A752" s="142"/>
      <c r="B752" s="18"/>
      <c r="C752" s="142"/>
      <c r="D752" s="18"/>
      <c r="E752" s="18"/>
      <c r="F752" s="18"/>
      <c r="G752" s="142"/>
      <c r="H752" s="18"/>
      <c r="I752" s="142"/>
      <c r="J752" s="15"/>
      <c r="Q752" s="15"/>
      <c r="R752" s="18"/>
      <c r="S752" s="142"/>
      <c r="T752" s="142"/>
      <c r="U752" s="142"/>
      <c r="V752" s="18"/>
      <c r="W752" s="18"/>
      <c r="X752" s="18"/>
      <c r="Y752" s="142"/>
      <c r="Z752" s="18"/>
      <c r="AA752" s="18"/>
      <c r="AB752" s="18"/>
      <c r="AC752" s="18"/>
      <c r="AD752" s="18"/>
      <c r="AE752" s="18"/>
      <c r="AF752" s="18"/>
      <c r="AG752" s="18"/>
      <c r="AH752" s="18"/>
      <c r="AI752" s="18"/>
      <c r="AJ752" s="142"/>
      <c r="AK752" s="142"/>
      <c r="AL752" s="18"/>
      <c r="AM752" s="18"/>
      <c r="AN752" s="18"/>
      <c r="AO752" s="142"/>
    </row>
    <row r="753">
      <c r="A753" s="142"/>
      <c r="B753" s="18"/>
      <c r="C753" s="142"/>
      <c r="D753" s="18"/>
      <c r="E753" s="18"/>
      <c r="F753" s="18"/>
      <c r="G753" s="142"/>
      <c r="H753" s="18"/>
      <c r="I753" s="142"/>
      <c r="J753" s="15"/>
      <c r="Q753" s="15"/>
      <c r="R753" s="18"/>
      <c r="S753" s="142"/>
      <c r="T753" s="142"/>
      <c r="U753" s="142"/>
      <c r="V753" s="18"/>
      <c r="W753" s="18"/>
      <c r="X753" s="18"/>
      <c r="Y753" s="142"/>
      <c r="Z753" s="18"/>
      <c r="AA753" s="18"/>
      <c r="AB753" s="18"/>
      <c r="AC753" s="18"/>
      <c r="AD753" s="18"/>
      <c r="AE753" s="18"/>
      <c r="AF753" s="18"/>
      <c r="AG753" s="18"/>
      <c r="AH753" s="18"/>
      <c r="AI753" s="18"/>
      <c r="AJ753" s="142"/>
      <c r="AK753" s="142"/>
      <c r="AL753" s="18"/>
      <c r="AM753" s="18"/>
      <c r="AN753" s="18"/>
      <c r="AO753" s="142"/>
    </row>
    <row r="754">
      <c r="A754" s="142"/>
      <c r="B754" s="18"/>
      <c r="C754" s="142"/>
      <c r="D754" s="18"/>
      <c r="E754" s="18"/>
      <c r="F754" s="18"/>
      <c r="G754" s="142"/>
      <c r="H754" s="18"/>
      <c r="I754" s="142"/>
      <c r="J754" s="15"/>
      <c r="Q754" s="15"/>
      <c r="R754" s="18"/>
      <c r="S754" s="142"/>
      <c r="T754" s="142"/>
      <c r="U754" s="142"/>
      <c r="V754" s="18"/>
      <c r="W754" s="18"/>
      <c r="X754" s="18"/>
      <c r="Y754" s="142"/>
      <c r="Z754" s="18"/>
      <c r="AA754" s="18"/>
      <c r="AB754" s="18"/>
      <c r="AC754" s="18"/>
      <c r="AD754" s="18"/>
      <c r="AE754" s="18"/>
      <c r="AF754" s="18"/>
      <c r="AG754" s="18"/>
      <c r="AH754" s="18"/>
      <c r="AI754" s="18"/>
      <c r="AJ754" s="142"/>
      <c r="AK754" s="142"/>
      <c r="AL754" s="18"/>
      <c r="AM754" s="18"/>
      <c r="AN754" s="18"/>
      <c r="AO754" s="142"/>
    </row>
    <row r="755">
      <c r="A755" s="142"/>
      <c r="B755" s="18"/>
      <c r="C755" s="142"/>
      <c r="D755" s="18"/>
      <c r="E755" s="18"/>
      <c r="F755" s="18"/>
      <c r="G755" s="142"/>
      <c r="H755" s="18"/>
      <c r="I755" s="142"/>
      <c r="J755" s="15"/>
      <c r="Q755" s="15"/>
      <c r="R755" s="18"/>
      <c r="S755" s="142"/>
      <c r="T755" s="142"/>
      <c r="U755" s="142"/>
      <c r="V755" s="18"/>
      <c r="W755" s="18"/>
      <c r="X755" s="18"/>
      <c r="Y755" s="142"/>
      <c r="Z755" s="18"/>
      <c r="AA755" s="18"/>
      <c r="AB755" s="18"/>
      <c r="AC755" s="18"/>
      <c r="AD755" s="18"/>
      <c r="AE755" s="18"/>
      <c r="AF755" s="18"/>
      <c r="AG755" s="18"/>
      <c r="AH755" s="18"/>
      <c r="AI755" s="18"/>
      <c r="AJ755" s="142"/>
      <c r="AK755" s="142"/>
      <c r="AL755" s="18"/>
      <c r="AM755" s="18"/>
      <c r="AN755" s="18"/>
      <c r="AO755" s="142"/>
    </row>
    <row r="756">
      <c r="A756" s="142"/>
      <c r="B756" s="18"/>
      <c r="C756" s="142"/>
      <c r="D756" s="18"/>
      <c r="E756" s="18"/>
      <c r="F756" s="18"/>
      <c r="G756" s="142"/>
      <c r="H756" s="18"/>
      <c r="I756" s="142"/>
      <c r="J756" s="15"/>
      <c r="Q756" s="15"/>
      <c r="R756" s="18"/>
      <c r="S756" s="142"/>
      <c r="T756" s="142"/>
      <c r="U756" s="142"/>
      <c r="V756" s="18"/>
      <c r="W756" s="18"/>
      <c r="X756" s="18"/>
      <c r="Y756" s="142"/>
      <c r="Z756" s="18"/>
      <c r="AA756" s="18"/>
      <c r="AB756" s="18"/>
      <c r="AC756" s="18"/>
      <c r="AD756" s="18"/>
      <c r="AE756" s="18"/>
      <c r="AF756" s="18"/>
      <c r="AG756" s="18"/>
      <c r="AH756" s="18"/>
      <c r="AI756" s="18"/>
      <c r="AJ756" s="142"/>
      <c r="AK756" s="142"/>
      <c r="AL756" s="18"/>
      <c r="AM756" s="18"/>
      <c r="AN756" s="18"/>
      <c r="AO756" s="142"/>
    </row>
    <row r="757">
      <c r="A757" s="142"/>
      <c r="B757" s="18"/>
      <c r="C757" s="142"/>
      <c r="D757" s="18"/>
      <c r="E757" s="18"/>
      <c r="F757" s="18"/>
      <c r="G757" s="142"/>
      <c r="H757" s="18"/>
      <c r="I757" s="142"/>
      <c r="J757" s="15"/>
      <c r="Q757" s="15"/>
      <c r="R757" s="18"/>
      <c r="S757" s="142"/>
      <c r="T757" s="142"/>
      <c r="U757" s="142"/>
      <c r="V757" s="18"/>
      <c r="W757" s="18"/>
      <c r="X757" s="18"/>
      <c r="Y757" s="142"/>
      <c r="Z757" s="18"/>
      <c r="AA757" s="18"/>
      <c r="AB757" s="18"/>
      <c r="AC757" s="18"/>
      <c r="AD757" s="18"/>
      <c r="AE757" s="18"/>
      <c r="AF757" s="18"/>
      <c r="AG757" s="18"/>
      <c r="AH757" s="18"/>
      <c r="AI757" s="18"/>
      <c r="AJ757" s="142"/>
      <c r="AK757" s="142"/>
      <c r="AL757" s="18"/>
      <c r="AM757" s="18"/>
      <c r="AN757" s="18"/>
      <c r="AO757" s="142"/>
    </row>
    <row r="758">
      <c r="A758" s="142"/>
      <c r="B758" s="18"/>
      <c r="C758" s="142"/>
      <c r="D758" s="18"/>
      <c r="E758" s="18"/>
      <c r="F758" s="18"/>
      <c r="G758" s="142"/>
      <c r="H758" s="18"/>
      <c r="I758" s="142"/>
      <c r="J758" s="15"/>
      <c r="Q758" s="15"/>
      <c r="R758" s="18"/>
      <c r="S758" s="142"/>
      <c r="T758" s="142"/>
      <c r="U758" s="142"/>
      <c r="V758" s="18"/>
      <c r="W758" s="18"/>
      <c r="X758" s="18"/>
      <c r="Y758" s="142"/>
      <c r="Z758" s="18"/>
      <c r="AA758" s="18"/>
      <c r="AB758" s="18"/>
      <c r="AC758" s="18"/>
      <c r="AD758" s="18"/>
      <c r="AE758" s="18"/>
      <c r="AF758" s="18"/>
      <c r="AG758" s="18"/>
      <c r="AH758" s="18"/>
      <c r="AI758" s="18"/>
      <c r="AJ758" s="142"/>
      <c r="AK758" s="142"/>
      <c r="AL758" s="18"/>
      <c r="AM758" s="18"/>
      <c r="AN758" s="18"/>
      <c r="AO758" s="142"/>
    </row>
    <row r="759">
      <c r="A759" s="142"/>
      <c r="B759" s="18"/>
      <c r="C759" s="142"/>
      <c r="D759" s="18"/>
      <c r="E759" s="18"/>
      <c r="F759" s="18"/>
      <c r="G759" s="142"/>
      <c r="H759" s="18"/>
      <c r="I759" s="142"/>
      <c r="J759" s="15"/>
      <c r="Q759" s="15"/>
      <c r="R759" s="18"/>
      <c r="S759" s="142"/>
      <c r="T759" s="142"/>
      <c r="U759" s="142"/>
      <c r="V759" s="18"/>
      <c r="W759" s="18"/>
      <c r="X759" s="18"/>
      <c r="Y759" s="142"/>
      <c r="Z759" s="18"/>
      <c r="AA759" s="18"/>
      <c r="AB759" s="18"/>
      <c r="AC759" s="18"/>
      <c r="AD759" s="18"/>
      <c r="AE759" s="18"/>
      <c r="AF759" s="18"/>
      <c r="AG759" s="18"/>
      <c r="AH759" s="18"/>
      <c r="AI759" s="18"/>
      <c r="AJ759" s="142"/>
      <c r="AK759" s="142"/>
      <c r="AL759" s="18"/>
      <c r="AM759" s="18"/>
      <c r="AN759" s="18"/>
      <c r="AO759" s="142"/>
    </row>
    <row r="760">
      <c r="A760" s="142"/>
      <c r="B760" s="18"/>
      <c r="C760" s="142"/>
      <c r="D760" s="18"/>
      <c r="E760" s="18"/>
      <c r="F760" s="18"/>
      <c r="G760" s="142"/>
      <c r="H760" s="18"/>
      <c r="I760" s="142"/>
      <c r="J760" s="15"/>
      <c r="Q760" s="15"/>
      <c r="R760" s="18"/>
      <c r="S760" s="142"/>
      <c r="T760" s="142"/>
      <c r="U760" s="142"/>
      <c r="V760" s="18"/>
      <c r="W760" s="18"/>
      <c r="X760" s="18"/>
      <c r="Y760" s="142"/>
      <c r="Z760" s="18"/>
      <c r="AA760" s="18"/>
      <c r="AB760" s="18"/>
      <c r="AC760" s="18"/>
      <c r="AD760" s="18"/>
      <c r="AE760" s="18"/>
      <c r="AF760" s="18"/>
      <c r="AG760" s="18"/>
      <c r="AH760" s="18"/>
      <c r="AI760" s="18"/>
      <c r="AJ760" s="142"/>
      <c r="AK760" s="142"/>
      <c r="AL760" s="18"/>
      <c r="AM760" s="18"/>
      <c r="AN760" s="18"/>
      <c r="AO760" s="142"/>
    </row>
    <row r="761">
      <c r="A761" s="142"/>
      <c r="B761" s="18"/>
      <c r="C761" s="142"/>
      <c r="D761" s="18"/>
      <c r="E761" s="18"/>
      <c r="F761" s="18"/>
      <c r="G761" s="142"/>
      <c r="H761" s="18"/>
      <c r="I761" s="142"/>
      <c r="J761" s="15"/>
      <c r="Q761" s="15"/>
      <c r="R761" s="18"/>
      <c r="S761" s="142"/>
      <c r="T761" s="142"/>
      <c r="U761" s="142"/>
      <c r="V761" s="18"/>
      <c r="W761" s="18"/>
      <c r="X761" s="18"/>
      <c r="Y761" s="142"/>
      <c r="Z761" s="18"/>
      <c r="AA761" s="18"/>
      <c r="AB761" s="18"/>
      <c r="AC761" s="18"/>
      <c r="AD761" s="18"/>
      <c r="AE761" s="18"/>
      <c r="AF761" s="18"/>
      <c r="AG761" s="18"/>
      <c r="AH761" s="18"/>
      <c r="AI761" s="18"/>
      <c r="AJ761" s="142"/>
      <c r="AK761" s="142"/>
      <c r="AL761" s="18"/>
      <c r="AM761" s="18"/>
      <c r="AN761" s="18"/>
      <c r="AO761" s="142"/>
    </row>
    <row r="762">
      <c r="A762" s="142"/>
      <c r="B762" s="18"/>
      <c r="C762" s="142"/>
      <c r="D762" s="18"/>
      <c r="E762" s="18"/>
      <c r="F762" s="18"/>
      <c r="G762" s="142"/>
      <c r="H762" s="18"/>
      <c r="I762" s="142"/>
      <c r="J762" s="15"/>
      <c r="Q762" s="15"/>
      <c r="R762" s="18"/>
      <c r="S762" s="142"/>
      <c r="T762" s="142"/>
      <c r="U762" s="142"/>
      <c r="V762" s="18"/>
      <c r="W762" s="18"/>
      <c r="X762" s="18"/>
      <c r="Y762" s="142"/>
      <c r="Z762" s="18"/>
      <c r="AA762" s="18"/>
      <c r="AB762" s="18"/>
      <c r="AC762" s="18"/>
      <c r="AD762" s="18"/>
      <c r="AE762" s="18"/>
      <c r="AF762" s="18"/>
      <c r="AG762" s="18"/>
      <c r="AH762" s="18"/>
      <c r="AI762" s="18"/>
      <c r="AJ762" s="142"/>
      <c r="AK762" s="142"/>
      <c r="AL762" s="18"/>
      <c r="AM762" s="18"/>
      <c r="AN762" s="18"/>
      <c r="AO762" s="142"/>
    </row>
    <row r="763">
      <c r="A763" s="142"/>
      <c r="B763" s="18"/>
      <c r="C763" s="142"/>
      <c r="D763" s="18"/>
      <c r="E763" s="18"/>
      <c r="F763" s="18"/>
      <c r="G763" s="142"/>
      <c r="H763" s="18"/>
      <c r="I763" s="142"/>
      <c r="J763" s="15"/>
      <c r="Q763" s="15"/>
      <c r="R763" s="18"/>
      <c r="S763" s="142"/>
      <c r="T763" s="142"/>
      <c r="U763" s="142"/>
      <c r="V763" s="18"/>
      <c r="W763" s="18"/>
      <c r="X763" s="18"/>
      <c r="Y763" s="142"/>
      <c r="Z763" s="18"/>
      <c r="AA763" s="18"/>
      <c r="AB763" s="18"/>
      <c r="AC763" s="18"/>
      <c r="AD763" s="18"/>
      <c r="AE763" s="18"/>
      <c r="AF763" s="18"/>
      <c r="AG763" s="18"/>
      <c r="AH763" s="18"/>
      <c r="AI763" s="18"/>
      <c r="AJ763" s="142"/>
      <c r="AK763" s="142"/>
      <c r="AL763" s="18"/>
      <c r="AM763" s="18"/>
      <c r="AN763" s="18"/>
      <c r="AO763" s="142"/>
    </row>
    <row r="764">
      <c r="A764" s="142"/>
      <c r="B764" s="18"/>
      <c r="C764" s="142"/>
      <c r="D764" s="18"/>
      <c r="E764" s="18"/>
      <c r="F764" s="18"/>
      <c r="G764" s="142"/>
      <c r="H764" s="18"/>
      <c r="I764" s="142"/>
      <c r="J764" s="15"/>
      <c r="Q764" s="15"/>
      <c r="R764" s="18"/>
      <c r="S764" s="142"/>
      <c r="T764" s="142"/>
      <c r="U764" s="142"/>
      <c r="V764" s="18"/>
      <c r="W764" s="18"/>
      <c r="X764" s="18"/>
      <c r="Y764" s="142"/>
      <c r="Z764" s="18"/>
      <c r="AA764" s="18"/>
      <c r="AB764" s="18"/>
      <c r="AC764" s="18"/>
      <c r="AD764" s="18"/>
      <c r="AE764" s="18"/>
      <c r="AF764" s="18"/>
      <c r="AG764" s="18"/>
      <c r="AH764" s="18"/>
      <c r="AI764" s="18"/>
      <c r="AJ764" s="142"/>
      <c r="AK764" s="142"/>
      <c r="AL764" s="18"/>
      <c r="AM764" s="18"/>
      <c r="AN764" s="18"/>
      <c r="AO764" s="142"/>
    </row>
    <row r="765">
      <c r="A765" s="142"/>
      <c r="B765" s="18"/>
      <c r="C765" s="142"/>
      <c r="D765" s="18"/>
      <c r="E765" s="18"/>
      <c r="F765" s="18"/>
      <c r="G765" s="142"/>
      <c r="H765" s="18"/>
      <c r="I765" s="142"/>
      <c r="J765" s="15"/>
      <c r="Q765" s="15"/>
      <c r="R765" s="18"/>
      <c r="S765" s="142"/>
      <c r="T765" s="142"/>
      <c r="U765" s="142"/>
      <c r="V765" s="18"/>
      <c r="W765" s="18"/>
      <c r="X765" s="18"/>
      <c r="Y765" s="142"/>
      <c r="Z765" s="18"/>
      <c r="AA765" s="18"/>
      <c r="AB765" s="18"/>
      <c r="AC765" s="18"/>
      <c r="AD765" s="18"/>
      <c r="AE765" s="18"/>
      <c r="AF765" s="18"/>
      <c r="AG765" s="18"/>
      <c r="AH765" s="18"/>
      <c r="AI765" s="18"/>
      <c r="AJ765" s="142"/>
      <c r="AK765" s="142"/>
      <c r="AL765" s="18"/>
      <c r="AM765" s="18"/>
      <c r="AN765" s="18"/>
      <c r="AO765" s="142"/>
    </row>
    <row r="766">
      <c r="A766" s="142"/>
      <c r="B766" s="18"/>
      <c r="C766" s="142"/>
      <c r="D766" s="18"/>
      <c r="E766" s="18"/>
      <c r="F766" s="18"/>
      <c r="G766" s="142"/>
      <c r="H766" s="18"/>
      <c r="I766" s="142"/>
      <c r="J766" s="15"/>
      <c r="Q766" s="15"/>
      <c r="R766" s="18"/>
      <c r="S766" s="142"/>
      <c r="T766" s="142"/>
      <c r="U766" s="142"/>
      <c r="V766" s="18"/>
      <c r="W766" s="18"/>
      <c r="X766" s="18"/>
      <c r="Y766" s="142"/>
      <c r="Z766" s="18"/>
      <c r="AA766" s="18"/>
      <c r="AB766" s="18"/>
      <c r="AC766" s="18"/>
      <c r="AD766" s="18"/>
      <c r="AE766" s="18"/>
      <c r="AF766" s="18"/>
      <c r="AG766" s="18"/>
      <c r="AH766" s="18"/>
      <c r="AI766" s="18"/>
      <c r="AJ766" s="142"/>
      <c r="AK766" s="142"/>
      <c r="AL766" s="18"/>
      <c r="AM766" s="18"/>
      <c r="AN766" s="18"/>
      <c r="AO766" s="142"/>
    </row>
    <row r="767">
      <c r="A767" s="142"/>
      <c r="B767" s="18"/>
      <c r="C767" s="142"/>
      <c r="D767" s="18"/>
      <c r="E767" s="18"/>
      <c r="F767" s="18"/>
      <c r="G767" s="142"/>
      <c r="H767" s="18"/>
      <c r="I767" s="142"/>
      <c r="J767" s="15"/>
      <c r="Q767" s="15"/>
      <c r="R767" s="18"/>
      <c r="S767" s="142"/>
      <c r="T767" s="142"/>
      <c r="U767" s="142"/>
      <c r="V767" s="18"/>
      <c r="W767" s="18"/>
      <c r="X767" s="18"/>
      <c r="Y767" s="142"/>
      <c r="Z767" s="18"/>
      <c r="AA767" s="18"/>
      <c r="AB767" s="18"/>
      <c r="AC767" s="18"/>
      <c r="AD767" s="18"/>
      <c r="AE767" s="18"/>
      <c r="AF767" s="18"/>
      <c r="AG767" s="18"/>
      <c r="AH767" s="18"/>
      <c r="AI767" s="18"/>
      <c r="AJ767" s="142"/>
      <c r="AK767" s="142"/>
      <c r="AL767" s="18"/>
      <c r="AM767" s="18"/>
      <c r="AN767" s="18"/>
      <c r="AO767" s="142"/>
    </row>
    <row r="768">
      <c r="A768" s="142"/>
      <c r="B768" s="18"/>
      <c r="C768" s="142"/>
      <c r="D768" s="18"/>
      <c r="E768" s="18"/>
      <c r="F768" s="18"/>
      <c r="G768" s="142"/>
      <c r="H768" s="18"/>
      <c r="I768" s="142"/>
      <c r="J768" s="15"/>
      <c r="Q768" s="15"/>
      <c r="R768" s="18"/>
      <c r="S768" s="142"/>
      <c r="T768" s="142"/>
      <c r="U768" s="142"/>
      <c r="V768" s="18"/>
      <c r="W768" s="18"/>
      <c r="X768" s="18"/>
      <c r="Y768" s="142"/>
      <c r="Z768" s="18"/>
      <c r="AA768" s="18"/>
      <c r="AB768" s="18"/>
      <c r="AC768" s="18"/>
      <c r="AD768" s="18"/>
      <c r="AE768" s="18"/>
      <c r="AF768" s="18"/>
      <c r="AG768" s="18"/>
      <c r="AH768" s="18"/>
      <c r="AI768" s="18"/>
      <c r="AJ768" s="142"/>
      <c r="AK768" s="142"/>
      <c r="AL768" s="18"/>
      <c r="AM768" s="18"/>
      <c r="AN768" s="18"/>
      <c r="AO768" s="142"/>
    </row>
    <row r="769">
      <c r="A769" s="142"/>
      <c r="B769" s="18"/>
      <c r="C769" s="142"/>
      <c r="D769" s="18"/>
      <c r="E769" s="18"/>
      <c r="F769" s="18"/>
      <c r="G769" s="142"/>
      <c r="H769" s="18"/>
      <c r="I769" s="142"/>
      <c r="J769" s="15"/>
      <c r="Q769" s="15"/>
      <c r="R769" s="18"/>
      <c r="S769" s="142"/>
      <c r="T769" s="142"/>
      <c r="U769" s="142"/>
      <c r="V769" s="18"/>
      <c r="W769" s="18"/>
      <c r="X769" s="18"/>
      <c r="Y769" s="142"/>
      <c r="Z769" s="18"/>
      <c r="AA769" s="18"/>
      <c r="AB769" s="18"/>
      <c r="AC769" s="18"/>
      <c r="AD769" s="18"/>
      <c r="AE769" s="18"/>
      <c r="AF769" s="18"/>
      <c r="AG769" s="18"/>
      <c r="AH769" s="18"/>
      <c r="AI769" s="18"/>
      <c r="AJ769" s="142"/>
      <c r="AK769" s="142"/>
      <c r="AL769" s="18"/>
      <c r="AM769" s="18"/>
      <c r="AN769" s="18"/>
      <c r="AO769" s="142"/>
    </row>
    <row r="770">
      <c r="A770" s="142"/>
      <c r="B770" s="18"/>
      <c r="C770" s="142"/>
      <c r="D770" s="18"/>
      <c r="E770" s="18"/>
      <c r="F770" s="18"/>
      <c r="G770" s="142"/>
      <c r="H770" s="18"/>
      <c r="I770" s="142"/>
      <c r="J770" s="15"/>
      <c r="Q770" s="15"/>
      <c r="R770" s="18"/>
      <c r="S770" s="142"/>
      <c r="T770" s="142"/>
      <c r="U770" s="142"/>
      <c r="V770" s="18"/>
      <c r="W770" s="18"/>
      <c r="X770" s="18"/>
      <c r="Y770" s="142"/>
      <c r="Z770" s="18"/>
      <c r="AA770" s="18"/>
      <c r="AB770" s="18"/>
      <c r="AC770" s="18"/>
      <c r="AD770" s="18"/>
      <c r="AE770" s="18"/>
      <c r="AF770" s="18"/>
      <c r="AG770" s="18"/>
      <c r="AH770" s="18"/>
      <c r="AI770" s="18"/>
      <c r="AJ770" s="142"/>
      <c r="AK770" s="142"/>
      <c r="AL770" s="18"/>
      <c r="AM770" s="18"/>
      <c r="AN770" s="18"/>
      <c r="AO770" s="142"/>
    </row>
    <row r="771">
      <c r="A771" s="142"/>
      <c r="B771" s="18"/>
      <c r="C771" s="142"/>
      <c r="D771" s="18"/>
      <c r="E771" s="18"/>
      <c r="F771" s="18"/>
      <c r="G771" s="142"/>
      <c r="H771" s="18"/>
      <c r="I771" s="142"/>
      <c r="J771" s="15"/>
      <c r="Q771" s="15"/>
      <c r="R771" s="18"/>
      <c r="S771" s="142"/>
      <c r="T771" s="142"/>
      <c r="U771" s="142"/>
      <c r="V771" s="18"/>
      <c r="W771" s="18"/>
      <c r="X771" s="18"/>
      <c r="Y771" s="142"/>
      <c r="Z771" s="18"/>
      <c r="AA771" s="18"/>
      <c r="AB771" s="18"/>
      <c r="AC771" s="18"/>
      <c r="AD771" s="18"/>
      <c r="AE771" s="18"/>
      <c r="AF771" s="18"/>
      <c r="AG771" s="18"/>
      <c r="AH771" s="18"/>
      <c r="AI771" s="18"/>
      <c r="AJ771" s="142"/>
      <c r="AK771" s="142"/>
      <c r="AL771" s="18"/>
      <c r="AM771" s="18"/>
      <c r="AN771" s="18"/>
      <c r="AO771" s="142"/>
    </row>
    <row r="772">
      <c r="A772" s="142"/>
      <c r="B772" s="18"/>
      <c r="C772" s="142"/>
      <c r="D772" s="18"/>
      <c r="E772" s="18"/>
      <c r="F772" s="18"/>
      <c r="G772" s="142"/>
      <c r="H772" s="18"/>
      <c r="I772" s="142"/>
      <c r="J772" s="15"/>
      <c r="Q772" s="15"/>
      <c r="R772" s="18"/>
      <c r="S772" s="142"/>
      <c r="T772" s="142"/>
      <c r="U772" s="142"/>
      <c r="V772" s="18"/>
      <c r="W772" s="18"/>
      <c r="X772" s="18"/>
      <c r="Y772" s="142"/>
      <c r="Z772" s="18"/>
      <c r="AA772" s="18"/>
      <c r="AB772" s="18"/>
      <c r="AC772" s="18"/>
      <c r="AD772" s="18"/>
      <c r="AE772" s="18"/>
      <c r="AF772" s="18"/>
      <c r="AG772" s="18"/>
      <c r="AH772" s="18"/>
      <c r="AI772" s="18"/>
      <c r="AJ772" s="142"/>
      <c r="AK772" s="142"/>
      <c r="AL772" s="18"/>
      <c r="AM772" s="18"/>
      <c r="AN772" s="18"/>
      <c r="AO772" s="142"/>
    </row>
    <row r="773">
      <c r="A773" s="142"/>
      <c r="B773" s="18"/>
      <c r="C773" s="142"/>
      <c r="D773" s="18"/>
      <c r="E773" s="18"/>
      <c r="F773" s="18"/>
      <c r="G773" s="142"/>
      <c r="H773" s="18"/>
      <c r="I773" s="142"/>
      <c r="J773" s="15"/>
      <c r="Q773" s="15"/>
      <c r="R773" s="18"/>
      <c r="S773" s="142"/>
      <c r="T773" s="142"/>
      <c r="U773" s="142"/>
      <c r="V773" s="18"/>
      <c r="W773" s="18"/>
      <c r="X773" s="18"/>
      <c r="Y773" s="142"/>
      <c r="Z773" s="18"/>
      <c r="AA773" s="18"/>
      <c r="AB773" s="18"/>
      <c r="AC773" s="18"/>
      <c r="AD773" s="18"/>
      <c r="AE773" s="18"/>
      <c r="AF773" s="18"/>
      <c r="AG773" s="18"/>
      <c r="AH773" s="18"/>
      <c r="AI773" s="18"/>
      <c r="AJ773" s="142"/>
      <c r="AK773" s="142"/>
      <c r="AL773" s="18"/>
      <c r="AM773" s="18"/>
      <c r="AN773" s="18"/>
      <c r="AO773" s="142"/>
    </row>
    <row r="774">
      <c r="A774" s="142"/>
      <c r="B774" s="18"/>
      <c r="C774" s="142"/>
      <c r="D774" s="18"/>
      <c r="E774" s="18"/>
      <c r="F774" s="18"/>
      <c r="G774" s="142"/>
      <c r="H774" s="18"/>
      <c r="I774" s="142"/>
      <c r="J774" s="15"/>
      <c r="Q774" s="15"/>
      <c r="R774" s="18"/>
      <c r="S774" s="142"/>
      <c r="T774" s="142"/>
      <c r="U774" s="142"/>
      <c r="V774" s="18"/>
      <c r="W774" s="18"/>
      <c r="X774" s="18"/>
      <c r="Y774" s="142"/>
      <c r="Z774" s="18"/>
      <c r="AA774" s="18"/>
      <c r="AB774" s="18"/>
      <c r="AC774" s="18"/>
      <c r="AD774" s="18"/>
      <c r="AE774" s="18"/>
      <c r="AF774" s="18"/>
      <c r="AG774" s="18"/>
      <c r="AH774" s="18"/>
      <c r="AI774" s="18"/>
      <c r="AJ774" s="142"/>
      <c r="AK774" s="142"/>
      <c r="AL774" s="18"/>
      <c r="AM774" s="18"/>
      <c r="AN774" s="18"/>
      <c r="AO774" s="142"/>
    </row>
    <row r="775">
      <c r="A775" s="142"/>
      <c r="B775" s="18"/>
      <c r="C775" s="142"/>
      <c r="D775" s="18"/>
      <c r="E775" s="18"/>
      <c r="F775" s="18"/>
      <c r="G775" s="142"/>
      <c r="H775" s="18"/>
      <c r="I775" s="142"/>
      <c r="J775" s="15"/>
      <c r="Q775" s="15"/>
      <c r="R775" s="18"/>
      <c r="S775" s="142"/>
      <c r="T775" s="142"/>
      <c r="U775" s="142"/>
      <c r="V775" s="18"/>
      <c r="W775" s="18"/>
      <c r="X775" s="18"/>
      <c r="Y775" s="142"/>
      <c r="Z775" s="18"/>
      <c r="AA775" s="18"/>
      <c r="AB775" s="18"/>
      <c r="AC775" s="18"/>
      <c r="AD775" s="18"/>
      <c r="AE775" s="18"/>
      <c r="AF775" s="18"/>
      <c r="AG775" s="18"/>
      <c r="AH775" s="18"/>
      <c r="AI775" s="18"/>
      <c r="AJ775" s="142"/>
      <c r="AK775" s="142"/>
      <c r="AL775" s="18"/>
      <c r="AM775" s="18"/>
      <c r="AN775" s="18"/>
      <c r="AO775" s="142"/>
    </row>
    <row r="776">
      <c r="A776" s="142"/>
      <c r="B776" s="18"/>
      <c r="C776" s="142"/>
      <c r="D776" s="18"/>
      <c r="E776" s="18"/>
      <c r="F776" s="18"/>
      <c r="G776" s="142"/>
      <c r="H776" s="18"/>
      <c r="I776" s="142"/>
      <c r="J776" s="15"/>
      <c r="Q776" s="15"/>
      <c r="R776" s="18"/>
      <c r="S776" s="142"/>
      <c r="T776" s="142"/>
      <c r="U776" s="142"/>
      <c r="V776" s="18"/>
      <c r="W776" s="18"/>
      <c r="X776" s="18"/>
      <c r="Y776" s="142"/>
      <c r="Z776" s="18"/>
      <c r="AA776" s="18"/>
      <c r="AB776" s="18"/>
      <c r="AC776" s="18"/>
      <c r="AD776" s="18"/>
      <c r="AE776" s="18"/>
      <c r="AF776" s="18"/>
      <c r="AG776" s="18"/>
      <c r="AH776" s="18"/>
      <c r="AI776" s="18"/>
      <c r="AJ776" s="142"/>
      <c r="AK776" s="142"/>
      <c r="AL776" s="18"/>
      <c r="AM776" s="18"/>
      <c r="AN776" s="18"/>
      <c r="AO776" s="142"/>
    </row>
    <row r="777">
      <c r="A777" s="142"/>
      <c r="B777" s="18"/>
      <c r="C777" s="142"/>
      <c r="D777" s="18"/>
      <c r="E777" s="18"/>
      <c r="F777" s="18"/>
      <c r="G777" s="142"/>
      <c r="H777" s="18"/>
      <c r="I777" s="142"/>
      <c r="J777" s="15"/>
      <c r="Q777" s="15"/>
      <c r="R777" s="18"/>
      <c r="S777" s="142"/>
      <c r="T777" s="142"/>
      <c r="U777" s="142"/>
      <c r="V777" s="18"/>
      <c r="W777" s="18"/>
      <c r="X777" s="18"/>
      <c r="Y777" s="142"/>
      <c r="Z777" s="18"/>
      <c r="AA777" s="18"/>
      <c r="AB777" s="18"/>
      <c r="AC777" s="18"/>
      <c r="AD777" s="18"/>
      <c r="AE777" s="18"/>
      <c r="AF777" s="18"/>
      <c r="AG777" s="18"/>
      <c r="AH777" s="18"/>
      <c r="AI777" s="18"/>
      <c r="AJ777" s="142"/>
      <c r="AK777" s="142"/>
      <c r="AL777" s="18"/>
      <c r="AM777" s="18"/>
      <c r="AN777" s="18"/>
      <c r="AO777" s="142"/>
    </row>
    <row r="778">
      <c r="A778" s="142"/>
      <c r="B778" s="18"/>
      <c r="C778" s="142"/>
      <c r="D778" s="18"/>
      <c r="E778" s="18"/>
      <c r="F778" s="18"/>
      <c r="G778" s="142"/>
      <c r="H778" s="18"/>
      <c r="I778" s="142"/>
      <c r="J778" s="15"/>
      <c r="Q778" s="15"/>
      <c r="R778" s="18"/>
      <c r="S778" s="142"/>
      <c r="T778" s="142"/>
      <c r="U778" s="142"/>
      <c r="V778" s="18"/>
      <c r="W778" s="18"/>
      <c r="X778" s="18"/>
      <c r="Y778" s="142"/>
      <c r="Z778" s="18"/>
      <c r="AA778" s="18"/>
      <c r="AB778" s="18"/>
      <c r="AC778" s="18"/>
      <c r="AD778" s="18"/>
      <c r="AE778" s="18"/>
      <c r="AF778" s="18"/>
      <c r="AG778" s="18"/>
      <c r="AH778" s="18"/>
      <c r="AI778" s="18"/>
      <c r="AJ778" s="142"/>
      <c r="AK778" s="142"/>
      <c r="AL778" s="18"/>
      <c r="AM778" s="18"/>
      <c r="AN778" s="18"/>
      <c r="AO778" s="142"/>
    </row>
    <row r="779">
      <c r="A779" s="142"/>
      <c r="B779" s="18"/>
      <c r="C779" s="142"/>
      <c r="D779" s="18"/>
      <c r="E779" s="18"/>
      <c r="F779" s="18"/>
      <c r="G779" s="142"/>
      <c r="H779" s="18"/>
      <c r="I779" s="142"/>
      <c r="J779" s="15"/>
      <c r="Q779" s="15"/>
      <c r="R779" s="18"/>
      <c r="S779" s="142"/>
      <c r="T779" s="142"/>
      <c r="U779" s="142"/>
      <c r="V779" s="18"/>
      <c r="W779" s="18"/>
      <c r="X779" s="18"/>
      <c r="Y779" s="142"/>
      <c r="Z779" s="18"/>
      <c r="AA779" s="18"/>
      <c r="AB779" s="18"/>
      <c r="AC779" s="18"/>
      <c r="AD779" s="18"/>
      <c r="AE779" s="18"/>
      <c r="AF779" s="18"/>
      <c r="AG779" s="18"/>
      <c r="AH779" s="18"/>
      <c r="AI779" s="18"/>
      <c r="AJ779" s="142"/>
      <c r="AK779" s="142"/>
      <c r="AL779" s="18"/>
      <c r="AM779" s="18"/>
      <c r="AN779" s="18"/>
      <c r="AO779" s="142"/>
    </row>
    <row r="780">
      <c r="A780" s="142"/>
      <c r="B780" s="18"/>
      <c r="C780" s="142"/>
      <c r="D780" s="18"/>
      <c r="E780" s="18"/>
      <c r="F780" s="18"/>
      <c r="G780" s="142"/>
      <c r="H780" s="18"/>
      <c r="I780" s="142"/>
      <c r="J780" s="15"/>
      <c r="Q780" s="15"/>
      <c r="R780" s="18"/>
      <c r="S780" s="142"/>
      <c r="T780" s="142"/>
      <c r="U780" s="142"/>
      <c r="V780" s="18"/>
      <c r="W780" s="18"/>
      <c r="X780" s="18"/>
      <c r="Y780" s="142"/>
      <c r="Z780" s="18"/>
      <c r="AA780" s="18"/>
      <c r="AB780" s="18"/>
      <c r="AC780" s="18"/>
      <c r="AD780" s="18"/>
      <c r="AE780" s="18"/>
      <c r="AF780" s="18"/>
      <c r="AG780" s="18"/>
      <c r="AH780" s="18"/>
      <c r="AI780" s="18"/>
      <c r="AJ780" s="142"/>
      <c r="AK780" s="142"/>
      <c r="AL780" s="18"/>
      <c r="AM780" s="18"/>
      <c r="AN780" s="18"/>
      <c r="AO780" s="142"/>
    </row>
    <row r="781">
      <c r="A781" s="142"/>
      <c r="B781" s="18"/>
      <c r="C781" s="142"/>
      <c r="D781" s="18"/>
      <c r="E781" s="18"/>
      <c r="F781" s="18"/>
      <c r="G781" s="142"/>
      <c r="H781" s="18"/>
      <c r="I781" s="142"/>
      <c r="J781" s="15"/>
      <c r="Q781" s="15"/>
      <c r="R781" s="18"/>
      <c r="S781" s="142"/>
      <c r="T781" s="142"/>
      <c r="U781" s="142"/>
      <c r="V781" s="18"/>
      <c r="W781" s="18"/>
      <c r="X781" s="18"/>
      <c r="Y781" s="142"/>
      <c r="Z781" s="18"/>
      <c r="AA781" s="18"/>
      <c r="AB781" s="18"/>
      <c r="AC781" s="18"/>
      <c r="AD781" s="18"/>
      <c r="AE781" s="18"/>
      <c r="AF781" s="18"/>
      <c r="AG781" s="18"/>
      <c r="AH781" s="18"/>
      <c r="AI781" s="18"/>
      <c r="AJ781" s="142"/>
      <c r="AK781" s="142"/>
      <c r="AL781" s="18"/>
      <c r="AM781" s="18"/>
      <c r="AN781" s="18"/>
      <c r="AO781" s="142"/>
    </row>
    <row r="782">
      <c r="A782" s="142"/>
      <c r="B782" s="18"/>
      <c r="C782" s="142"/>
      <c r="D782" s="18"/>
      <c r="E782" s="18"/>
      <c r="F782" s="18"/>
      <c r="G782" s="142"/>
      <c r="H782" s="18"/>
      <c r="I782" s="142"/>
      <c r="J782" s="15"/>
      <c r="Q782" s="15"/>
      <c r="R782" s="18"/>
      <c r="S782" s="142"/>
      <c r="T782" s="142"/>
      <c r="U782" s="142"/>
      <c r="V782" s="18"/>
      <c r="W782" s="18"/>
      <c r="X782" s="18"/>
      <c r="Y782" s="142"/>
      <c r="Z782" s="18"/>
      <c r="AA782" s="18"/>
      <c r="AB782" s="18"/>
      <c r="AC782" s="18"/>
      <c r="AD782" s="18"/>
      <c r="AE782" s="18"/>
      <c r="AF782" s="18"/>
      <c r="AG782" s="18"/>
      <c r="AH782" s="18"/>
      <c r="AI782" s="18"/>
      <c r="AJ782" s="142"/>
      <c r="AK782" s="142"/>
      <c r="AL782" s="18"/>
      <c r="AM782" s="18"/>
      <c r="AN782" s="18"/>
      <c r="AO782" s="142"/>
    </row>
    <row r="783">
      <c r="A783" s="142"/>
      <c r="B783" s="18"/>
      <c r="C783" s="142"/>
      <c r="D783" s="18"/>
      <c r="E783" s="18"/>
      <c r="F783" s="18"/>
      <c r="G783" s="142"/>
      <c r="H783" s="18"/>
      <c r="I783" s="142"/>
      <c r="J783" s="15"/>
      <c r="Q783" s="15"/>
      <c r="R783" s="18"/>
      <c r="S783" s="142"/>
      <c r="T783" s="142"/>
      <c r="U783" s="142"/>
      <c r="V783" s="18"/>
      <c r="W783" s="18"/>
      <c r="X783" s="18"/>
      <c r="Y783" s="142"/>
      <c r="Z783" s="18"/>
      <c r="AA783" s="18"/>
      <c r="AB783" s="18"/>
      <c r="AC783" s="18"/>
      <c r="AD783" s="18"/>
      <c r="AE783" s="18"/>
      <c r="AF783" s="18"/>
      <c r="AG783" s="18"/>
      <c r="AH783" s="18"/>
      <c r="AI783" s="18"/>
      <c r="AJ783" s="142"/>
      <c r="AK783" s="142"/>
      <c r="AL783" s="18"/>
      <c r="AM783" s="18"/>
      <c r="AN783" s="18"/>
      <c r="AO783" s="142"/>
    </row>
    <row r="784">
      <c r="A784" s="142"/>
      <c r="B784" s="18"/>
      <c r="C784" s="142"/>
      <c r="D784" s="18"/>
      <c r="E784" s="18"/>
      <c r="F784" s="18"/>
      <c r="G784" s="142"/>
      <c r="H784" s="18"/>
      <c r="I784" s="142"/>
      <c r="J784" s="15"/>
      <c r="Q784" s="15"/>
      <c r="R784" s="18"/>
      <c r="S784" s="142"/>
      <c r="T784" s="142"/>
      <c r="U784" s="142"/>
      <c r="V784" s="18"/>
      <c r="W784" s="18"/>
      <c r="X784" s="18"/>
      <c r="Y784" s="142"/>
      <c r="Z784" s="18"/>
      <c r="AA784" s="18"/>
      <c r="AB784" s="18"/>
      <c r="AC784" s="18"/>
      <c r="AD784" s="18"/>
      <c r="AE784" s="18"/>
      <c r="AF784" s="18"/>
      <c r="AG784" s="18"/>
      <c r="AH784" s="18"/>
      <c r="AI784" s="18"/>
      <c r="AJ784" s="142"/>
      <c r="AK784" s="142"/>
      <c r="AL784" s="18"/>
      <c r="AM784" s="18"/>
      <c r="AN784" s="18"/>
      <c r="AO784" s="142"/>
    </row>
    <row r="785">
      <c r="A785" s="142"/>
      <c r="B785" s="18"/>
      <c r="C785" s="142"/>
      <c r="D785" s="18"/>
      <c r="E785" s="18"/>
      <c r="F785" s="18"/>
      <c r="G785" s="142"/>
      <c r="H785" s="18"/>
      <c r="I785" s="142"/>
      <c r="J785" s="15"/>
      <c r="Q785" s="15"/>
      <c r="R785" s="18"/>
      <c r="S785" s="142"/>
      <c r="T785" s="142"/>
      <c r="U785" s="142"/>
      <c r="V785" s="18"/>
      <c r="W785" s="18"/>
      <c r="X785" s="18"/>
      <c r="Y785" s="142"/>
      <c r="Z785" s="18"/>
      <c r="AA785" s="18"/>
      <c r="AB785" s="18"/>
      <c r="AC785" s="18"/>
      <c r="AD785" s="18"/>
      <c r="AE785" s="18"/>
      <c r="AF785" s="18"/>
      <c r="AG785" s="18"/>
      <c r="AH785" s="18"/>
      <c r="AI785" s="18"/>
      <c r="AJ785" s="142"/>
      <c r="AK785" s="142"/>
      <c r="AL785" s="18"/>
      <c r="AM785" s="18"/>
      <c r="AN785" s="18"/>
      <c r="AO785" s="142"/>
    </row>
    <row r="786">
      <c r="A786" s="142"/>
      <c r="B786" s="18"/>
      <c r="C786" s="142"/>
      <c r="D786" s="18"/>
      <c r="E786" s="18"/>
      <c r="F786" s="18"/>
      <c r="G786" s="142"/>
      <c r="H786" s="18"/>
      <c r="I786" s="142"/>
      <c r="J786" s="15"/>
      <c r="Q786" s="15"/>
      <c r="R786" s="18"/>
      <c r="S786" s="142"/>
      <c r="T786" s="142"/>
      <c r="U786" s="142"/>
      <c r="V786" s="18"/>
      <c r="W786" s="18"/>
      <c r="X786" s="18"/>
      <c r="Y786" s="142"/>
      <c r="Z786" s="18"/>
      <c r="AA786" s="18"/>
      <c r="AB786" s="18"/>
      <c r="AC786" s="18"/>
      <c r="AD786" s="18"/>
      <c r="AE786" s="18"/>
      <c r="AF786" s="18"/>
      <c r="AG786" s="18"/>
      <c r="AH786" s="18"/>
      <c r="AI786" s="18"/>
      <c r="AJ786" s="142"/>
      <c r="AK786" s="142"/>
      <c r="AL786" s="18"/>
      <c r="AM786" s="18"/>
      <c r="AN786" s="18"/>
      <c r="AO786" s="142"/>
    </row>
    <row r="787">
      <c r="A787" s="142"/>
      <c r="B787" s="18"/>
      <c r="C787" s="142"/>
      <c r="D787" s="18"/>
      <c r="E787" s="18"/>
      <c r="F787" s="18"/>
      <c r="G787" s="142"/>
      <c r="H787" s="18"/>
      <c r="I787" s="142"/>
      <c r="J787" s="15"/>
      <c r="Q787" s="15"/>
      <c r="R787" s="18"/>
      <c r="S787" s="142"/>
      <c r="T787" s="142"/>
      <c r="U787" s="142"/>
      <c r="V787" s="18"/>
      <c r="W787" s="18"/>
      <c r="X787" s="18"/>
      <c r="Y787" s="142"/>
      <c r="Z787" s="18"/>
      <c r="AA787" s="18"/>
      <c r="AB787" s="18"/>
      <c r="AC787" s="18"/>
      <c r="AD787" s="18"/>
      <c r="AE787" s="18"/>
      <c r="AF787" s="18"/>
      <c r="AG787" s="18"/>
      <c r="AH787" s="18"/>
      <c r="AI787" s="18"/>
      <c r="AJ787" s="142"/>
      <c r="AK787" s="142"/>
      <c r="AL787" s="18"/>
      <c r="AM787" s="18"/>
      <c r="AN787" s="18"/>
      <c r="AO787" s="142"/>
    </row>
    <row r="788">
      <c r="A788" s="142"/>
      <c r="B788" s="18"/>
      <c r="C788" s="142"/>
      <c r="D788" s="18"/>
      <c r="E788" s="18"/>
      <c r="F788" s="18"/>
      <c r="G788" s="142"/>
      <c r="H788" s="18"/>
      <c r="I788" s="142"/>
      <c r="J788" s="15"/>
      <c r="Q788" s="15"/>
      <c r="R788" s="18"/>
      <c r="S788" s="142"/>
      <c r="T788" s="142"/>
      <c r="U788" s="142"/>
      <c r="V788" s="18"/>
      <c r="W788" s="18"/>
      <c r="X788" s="18"/>
      <c r="Y788" s="142"/>
      <c r="Z788" s="18"/>
      <c r="AA788" s="18"/>
      <c r="AB788" s="18"/>
      <c r="AC788" s="18"/>
      <c r="AD788" s="18"/>
      <c r="AE788" s="18"/>
      <c r="AF788" s="18"/>
      <c r="AG788" s="18"/>
      <c r="AH788" s="18"/>
      <c r="AI788" s="18"/>
      <c r="AJ788" s="142"/>
      <c r="AK788" s="142"/>
      <c r="AL788" s="18"/>
      <c r="AM788" s="18"/>
      <c r="AN788" s="18"/>
      <c r="AO788" s="142"/>
    </row>
    <row r="789">
      <c r="A789" s="142"/>
      <c r="B789" s="18"/>
      <c r="C789" s="142"/>
      <c r="D789" s="18"/>
      <c r="E789" s="18"/>
      <c r="F789" s="18"/>
      <c r="G789" s="142"/>
      <c r="H789" s="18"/>
      <c r="I789" s="142"/>
      <c r="J789" s="15"/>
      <c r="Q789" s="15"/>
      <c r="R789" s="18"/>
      <c r="S789" s="142"/>
      <c r="T789" s="142"/>
      <c r="U789" s="142"/>
      <c r="V789" s="18"/>
      <c r="W789" s="18"/>
      <c r="X789" s="18"/>
      <c r="Y789" s="142"/>
      <c r="Z789" s="18"/>
      <c r="AA789" s="18"/>
      <c r="AB789" s="18"/>
      <c r="AC789" s="18"/>
      <c r="AD789" s="18"/>
      <c r="AE789" s="18"/>
      <c r="AF789" s="18"/>
      <c r="AG789" s="18"/>
      <c r="AH789" s="18"/>
      <c r="AI789" s="18"/>
      <c r="AJ789" s="142"/>
      <c r="AK789" s="142"/>
      <c r="AL789" s="18"/>
      <c r="AM789" s="18"/>
      <c r="AN789" s="18"/>
      <c r="AO789" s="142"/>
    </row>
    <row r="790">
      <c r="A790" s="142"/>
      <c r="B790" s="18"/>
      <c r="C790" s="142"/>
      <c r="D790" s="18"/>
      <c r="E790" s="18"/>
      <c r="F790" s="18"/>
      <c r="G790" s="142"/>
      <c r="H790" s="18"/>
      <c r="I790" s="142"/>
      <c r="J790" s="15"/>
      <c r="Q790" s="15"/>
      <c r="R790" s="18"/>
      <c r="S790" s="142"/>
      <c r="T790" s="142"/>
      <c r="U790" s="142"/>
      <c r="V790" s="18"/>
      <c r="W790" s="18"/>
      <c r="X790" s="18"/>
      <c r="Y790" s="142"/>
      <c r="Z790" s="18"/>
      <c r="AA790" s="18"/>
      <c r="AB790" s="18"/>
      <c r="AC790" s="18"/>
      <c r="AD790" s="18"/>
      <c r="AE790" s="18"/>
      <c r="AF790" s="18"/>
      <c r="AG790" s="18"/>
      <c r="AH790" s="18"/>
      <c r="AI790" s="18"/>
      <c r="AJ790" s="142"/>
      <c r="AK790" s="142"/>
      <c r="AL790" s="18"/>
      <c r="AM790" s="18"/>
      <c r="AN790" s="18"/>
      <c r="AO790" s="142"/>
    </row>
    <row r="791">
      <c r="A791" s="142"/>
      <c r="B791" s="18"/>
      <c r="C791" s="142"/>
      <c r="D791" s="18"/>
      <c r="E791" s="18"/>
      <c r="F791" s="18"/>
      <c r="G791" s="142"/>
      <c r="H791" s="18"/>
      <c r="I791" s="142"/>
      <c r="J791" s="15"/>
      <c r="Q791" s="15"/>
      <c r="R791" s="18"/>
      <c r="S791" s="142"/>
      <c r="T791" s="142"/>
      <c r="U791" s="142"/>
      <c r="V791" s="18"/>
      <c r="W791" s="18"/>
      <c r="X791" s="18"/>
      <c r="Y791" s="142"/>
      <c r="Z791" s="18"/>
      <c r="AA791" s="18"/>
      <c r="AB791" s="18"/>
      <c r="AC791" s="18"/>
      <c r="AD791" s="18"/>
      <c r="AE791" s="18"/>
      <c r="AF791" s="18"/>
      <c r="AG791" s="18"/>
      <c r="AH791" s="18"/>
      <c r="AI791" s="18"/>
      <c r="AJ791" s="142"/>
      <c r="AK791" s="142"/>
      <c r="AL791" s="18"/>
      <c r="AM791" s="18"/>
      <c r="AN791" s="18"/>
      <c r="AO791" s="142"/>
    </row>
    <row r="792">
      <c r="A792" s="142"/>
      <c r="B792" s="18"/>
      <c r="C792" s="142"/>
      <c r="D792" s="18"/>
      <c r="E792" s="18"/>
      <c r="F792" s="18"/>
      <c r="G792" s="142"/>
      <c r="H792" s="18"/>
      <c r="I792" s="142"/>
      <c r="J792" s="15"/>
      <c r="Q792" s="15"/>
      <c r="R792" s="18"/>
      <c r="S792" s="142"/>
      <c r="T792" s="142"/>
      <c r="U792" s="142"/>
      <c r="V792" s="18"/>
      <c r="W792" s="18"/>
      <c r="X792" s="18"/>
      <c r="Y792" s="142"/>
      <c r="Z792" s="18"/>
      <c r="AA792" s="18"/>
      <c r="AB792" s="18"/>
      <c r="AC792" s="18"/>
      <c r="AD792" s="18"/>
      <c r="AE792" s="18"/>
      <c r="AF792" s="18"/>
      <c r="AG792" s="18"/>
      <c r="AH792" s="18"/>
      <c r="AI792" s="18"/>
      <c r="AJ792" s="142"/>
      <c r="AK792" s="142"/>
      <c r="AL792" s="18"/>
      <c r="AM792" s="18"/>
      <c r="AN792" s="18"/>
      <c r="AO792" s="142"/>
    </row>
    <row r="793">
      <c r="A793" s="142"/>
      <c r="B793" s="18"/>
      <c r="C793" s="142"/>
      <c r="D793" s="18"/>
      <c r="E793" s="18"/>
      <c r="F793" s="18"/>
      <c r="G793" s="142"/>
      <c r="H793" s="18"/>
      <c r="I793" s="142"/>
      <c r="J793" s="15"/>
      <c r="Q793" s="15"/>
      <c r="R793" s="18"/>
      <c r="S793" s="142"/>
      <c r="T793" s="142"/>
      <c r="U793" s="142"/>
      <c r="V793" s="18"/>
      <c r="W793" s="18"/>
      <c r="X793" s="18"/>
      <c r="Y793" s="142"/>
      <c r="Z793" s="18"/>
      <c r="AA793" s="18"/>
      <c r="AB793" s="18"/>
      <c r="AC793" s="18"/>
      <c r="AD793" s="18"/>
      <c r="AE793" s="18"/>
      <c r="AF793" s="18"/>
      <c r="AG793" s="18"/>
      <c r="AH793" s="18"/>
      <c r="AI793" s="18"/>
      <c r="AJ793" s="142"/>
      <c r="AK793" s="142"/>
      <c r="AL793" s="18"/>
      <c r="AM793" s="18"/>
      <c r="AN793" s="18"/>
      <c r="AO793" s="142"/>
    </row>
    <row r="794">
      <c r="A794" s="142"/>
      <c r="B794" s="18"/>
      <c r="C794" s="142"/>
      <c r="D794" s="18"/>
      <c r="E794" s="18"/>
      <c r="F794" s="18"/>
      <c r="G794" s="142"/>
      <c r="H794" s="18"/>
      <c r="I794" s="142"/>
      <c r="J794" s="15"/>
      <c r="Q794" s="15"/>
      <c r="R794" s="18"/>
      <c r="S794" s="142"/>
      <c r="T794" s="142"/>
      <c r="U794" s="142"/>
      <c r="V794" s="18"/>
      <c r="W794" s="18"/>
      <c r="X794" s="18"/>
      <c r="Y794" s="142"/>
      <c r="Z794" s="18"/>
      <c r="AA794" s="18"/>
      <c r="AB794" s="18"/>
      <c r="AC794" s="18"/>
      <c r="AD794" s="18"/>
      <c r="AE794" s="18"/>
      <c r="AF794" s="18"/>
      <c r="AG794" s="18"/>
      <c r="AH794" s="18"/>
      <c r="AI794" s="18"/>
      <c r="AJ794" s="142"/>
      <c r="AK794" s="142"/>
      <c r="AL794" s="18"/>
      <c r="AM794" s="18"/>
      <c r="AN794" s="18"/>
      <c r="AO794" s="142"/>
    </row>
    <row r="795">
      <c r="A795" s="142"/>
      <c r="B795" s="18"/>
      <c r="C795" s="142"/>
      <c r="D795" s="18"/>
      <c r="E795" s="18"/>
      <c r="F795" s="18"/>
      <c r="G795" s="142"/>
      <c r="H795" s="18"/>
      <c r="I795" s="142"/>
      <c r="J795" s="15"/>
      <c r="Q795" s="15"/>
      <c r="R795" s="18"/>
      <c r="S795" s="142"/>
      <c r="T795" s="142"/>
      <c r="U795" s="142"/>
      <c r="V795" s="18"/>
      <c r="W795" s="18"/>
      <c r="X795" s="18"/>
      <c r="Y795" s="142"/>
      <c r="Z795" s="18"/>
      <c r="AA795" s="18"/>
      <c r="AB795" s="18"/>
      <c r="AC795" s="18"/>
      <c r="AD795" s="18"/>
      <c r="AE795" s="18"/>
      <c r="AF795" s="18"/>
      <c r="AG795" s="18"/>
      <c r="AH795" s="18"/>
      <c r="AI795" s="18"/>
      <c r="AJ795" s="142"/>
      <c r="AK795" s="142"/>
      <c r="AL795" s="18"/>
      <c r="AM795" s="18"/>
      <c r="AN795" s="18"/>
      <c r="AO795" s="142"/>
    </row>
    <row r="796">
      <c r="A796" s="142"/>
      <c r="B796" s="18"/>
      <c r="C796" s="142"/>
      <c r="D796" s="18"/>
      <c r="E796" s="18"/>
      <c r="F796" s="18"/>
      <c r="G796" s="142"/>
      <c r="H796" s="18"/>
      <c r="I796" s="142"/>
      <c r="J796" s="15"/>
      <c r="Q796" s="15"/>
      <c r="R796" s="18"/>
      <c r="S796" s="142"/>
      <c r="T796" s="142"/>
      <c r="U796" s="142"/>
      <c r="V796" s="18"/>
      <c r="W796" s="18"/>
      <c r="X796" s="18"/>
      <c r="Y796" s="142"/>
      <c r="Z796" s="18"/>
      <c r="AA796" s="18"/>
      <c r="AB796" s="18"/>
      <c r="AC796" s="18"/>
      <c r="AD796" s="18"/>
      <c r="AE796" s="18"/>
      <c r="AF796" s="18"/>
      <c r="AG796" s="18"/>
      <c r="AH796" s="18"/>
      <c r="AI796" s="18"/>
      <c r="AJ796" s="142"/>
      <c r="AK796" s="142"/>
      <c r="AL796" s="18"/>
      <c r="AM796" s="18"/>
      <c r="AN796" s="18"/>
      <c r="AO796" s="142"/>
    </row>
    <row r="797">
      <c r="A797" s="142"/>
      <c r="B797" s="18"/>
      <c r="C797" s="142"/>
      <c r="D797" s="18"/>
      <c r="E797" s="18"/>
      <c r="F797" s="18"/>
      <c r="G797" s="142"/>
      <c r="H797" s="18"/>
      <c r="I797" s="142"/>
      <c r="J797" s="15"/>
      <c r="Q797" s="15"/>
      <c r="R797" s="18"/>
      <c r="S797" s="142"/>
      <c r="T797" s="142"/>
      <c r="U797" s="142"/>
      <c r="V797" s="18"/>
      <c r="W797" s="18"/>
      <c r="X797" s="18"/>
      <c r="Y797" s="142"/>
      <c r="Z797" s="18"/>
      <c r="AA797" s="18"/>
      <c r="AB797" s="18"/>
      <c r="AC797" s="18"/>
      <c r="AD797" s="18"/>
      <c r="AE797" s="18"/>
      <c r="AF797" s="18"/>
      <c r="AG797" s="18"/>
      <c r="AH797" s="18"/>
      <c r="AI797" s="18"/>
      <c r="AJ797" s="142"/>
      <c r="AK797" s="142"/>
      <c r="AL797" s="18"/>
      <c r="AM797" s="18"/>
      <c r="AN797" s="18"/>
      <c r="AO797" s="142"/>
    </row>
    <row r="798">
      <c r="A798" s="142"/>
      <c r="B798" s="18"/>
      <c r="C798" s="142"/>
      <c r="D798" s="18"/>
      <c r="E798" s="18"/>
      <c r="F798" s="18"/>
      <c r="G798" s="142"/>
      <c r="H798" s="18"/>
      <c r="I798" s="142"/>
      <c r="J798" s="15"/>
      <c r="Q798" s="15"/>
      <c r="R798" s="18"/>
      <c r="S798" s="142"/>
      <c r="T798" s="142"/>
      <c r="U798" s="142"/>
      <c r="V798" s="18"/>
      <c r="W798" s="18"/>
      <c r="X798" s="18"/>
      <c r="Y798" s="142"/>
      <c r="Z798" s="18"/>
      <c r="AA798" s="18"/>
      <c r="AB798" s="18"/>
      <c r="AC798" s="18"/>
      <c r="AD798" s="18"/>
      <c r="AE798" s="18"/>
      <c r="AF798" s="18"/>
      <c r="AG798" s="18"/>
      <c r="AH798" s="18"/>
      <c r="AI798" s="18"/>
      <c r="AJ798" s="142"/>
      <c r="AK798" s="142"/>
      <c r="AL798" s="18"/>
      <c r="AM798" s="18"/>
      <c r="AN798" s="18"/>
      <c r="AO798" s="142"/>
    </row>
    <row r="799">
      <c r="A799" s="142"/>
      <c r="B799" s="18"/>
      <c r="C799" s="142"/>
      <c r="D799" s="18"/>
      <c r="E799" s="18"/>
      <c r="F799" s="18"/>
      <c r="G799" s="142"/>
      <c r="H799" s="18"/>
      <c r="I799" s="142"/>
      <c r="J799" s="15"/>
      <c r="Q799" s="15"/>
      <c r="R799" s="18"/>
      <c r="S799" s="142"/>
      <c r="T799" s="142"/>
      <c r="U799" s="142"/>
      <c r="V799" s="18"/>
      <c r="W799" s="18"/>
      <c r="X799" s="18"/>
      <c r="Y799" s="142"/>
      <c r="Z799" s="18"/>
      <c r="AA799" s="18"/>
      <c r="AB799" s="18"/>
      <c r="AC799" s="18"/>
      <c r="AD799" s="18"/>
      <c r="AE799" s="18"/>
      <c r="AF799" s="18"/>
      <c r="AG799" s="18"/>
      <c r="AH799" s="18"/>
      <c r="AI799" s="18"/>
      <c r="AJ799" s="142"/>
      <c r="AK799" s="142"/>
      <c r="AL799" s="18"/>
      <c r="AM799" s="18"/>
      <c r="AN799" s="18"/>
      <c r="AO799" s="142"/>
    </row>
    <row r="800">
      <c r="A800" s="142"/>
      <c r="B800" s="18"/>
      <c r="C800" s="142"/>
      <c r="D800" s="18"/>
      <c r="E800" s="18"/>
      <c r="F800" s="18"/>
      <c r="G800" s="142"/>
      <c r="H800" s="18"/>
      <c r="I800" s="142"/>
      <c r="J800" s="15"/>
      <c r="Q800" s="15"/>
      <c r="R800" s="18"/>
      <c r="S800" s="142"/>
      <c r="T800" s="142"/>
      <c r="U800" s="142"/>
      <c r="V800" s="18"/>
      <c r="W800" s="18"/>
      <c r="X800" s="18"/>
      <c r="Y800" s="142"/>
      <c r="Z800" s="18"/>
      <c r="AA800" s="18"/>
      <c r="AB800" s="18"/>
      <c r="AC800" s="18"/>
      <c r="AD800" s="18"/>
      <c r="AE800" s="18"/>
      <c r="AF800" s="18"/>
      <c r="AG800" s="18"/>
      <c r="AH800" s="18"/>
      <c r="AI800" s="18"/>
      <c r="AJ800" s="142"/>
      <c r="AK800" s="142"/>
      <c r="AL800" s="18"/>
      <c r="AM800" s="18"/>
      <c r="AN800" s="18"/>
      <c r="AO800" s="142"/>
    </row>
    <row r="801">
      <c r="A801" s="142"/>
      <c r="B801" s="18"/>
      <c r="C801" s="142"/>
      <c r="D801" s="18"/>
      <c r="E801" s="18"/>
      <c r="F801" s="18"/>
      <c r="G801" s="142"/>
      <c r="H801" s="18"/>
      <c r="I801" s="142"/>
      <c r="J801" s="15"/>
      <c r="Q801" s="15"/>
      <c r="R801" s="18"/>
      <c r="S801" s="142"/>
      <c r="T801" s="142"/>
      <c r="U801" s="142"/>
      <c r="V801" s="18"/>
      <c r="W801" s="18"/>
      <c r="X801" s="18"/>
      <c r="Y801" s="142"/>
      <c r="Z801" s="18"/>
      <c r="AA801" s="18"/>
      <c r="AB801" s="18"/>
      <c r="AC801" s="18"/>
      <c r="AD801" s="18"/>
      <c r="AE801" s="18"/>
      <c r="AF801" s="18"/>
      <c r="AG801" s="18"/>
      <c r="AH801" s="18"/>
      <c r="AI801" s="18"/>
      <c r="AJ801" s="142"/>
      <c r="AK801" s="142"/>
      <c r="AL801" s="18"/>
      <c r="AM801" s="18"/>
      <c r="AN801" s="18"/>
      <c r="AO801" s="142"/>
    </row>
    <row r="802">
      <c r="A802" s="142"/>
      <c r="B802" s="18"/>
      <c r="C802" s="142"/>
      <c r="D802" s="18"/>
      <c r="E802" s="18"/>
      <c r="F802" s="18"/>
      <c r="G802" s="142"/>
      <c r="H802" s="18"/>
      <c r="I802" s="142"/>
      <c r="J802" s="15"/>
      <c r="Q802" s="15"/>
      <c r="R802" s="18"/>
      <c r="S802" s="142"/>
      <c r="T802" s="142"/>
      <c r="U802" s="142"/>
      <c r="V802" s="18"/>
      <c r="W802" s="18"/>
      <c r="X802" s="18"/>
      <c r="Y802" s="142"/>
      <c r="Z802" s="18"/>
      <c r="AA802" s="18"/>
      <c r="AB802" s="18"/>
      <c r="AC802" s="18"/>
      <c r="AD802" s="18"/>
      <c r="AE802" s="18"/>
      <c r="AF802" s="18"/>
      <c r="AG802" s="18"/>
      <c r="AH802" s="18"/>
      <c r="AI802" s="18"/>
      <c r="AJ802" s="142"/>
      <c r="AK802" s="142"/>
      <c r="AL802" s="18"/>
      <c r="AM802" s="18"/>
      <c r="AN802" s="18"/>
      <c r="AO802" s="142"/>
    </row>
    <row r="803">
      <c r="A803" s="142"/>
      <c r="B803" s="18"/>
      <c r="C803" s="142"/>
      <c r="D803" s="18"/>
      <c r="E803" s="18"/>
      <c r="F803" s="18"/>
      <c r="G803" s="142"/>
      <c r="H803" s="18"/>
      <c r="I803" s="142"/>
      <c r="J803" s="15"/>
      <c r="Q803" s="15"/>
      <c r="R803" s="18"/>
      <c r="S803" s="142"/>
      <c r="T803" s="142"/>
      <c r="U803" s="142"/>
      <c r="V803" s="18"/>
      <c r="W803" s="18"/>
      <c r="X803" s="18"/>
      <c r="Y803" s="142"/>
      <c r="Z803" s="18"/>
      <c r="AA803" s="18"/>
      <c r="AB803" s="18"/>
      <c r="AC803" s="18"/>
      <c r="AD803" s="18"/>
      <c r="AE803" s="18"/>
      <c r="AF803" s="18"/>
      <c r="AG803" s="18"/>
      <c r="AH803" s="18"/>
      <c r="AI803" s="18"/>
      <c r="AJ803" s="142"/>
      <c r="AK803" s="142"/>
      <c r="AL803" s="18"/>
      <c r="AM803" s="18"/>
      <c r="AN803" s="18"/>
      <c r="AO803" s="142"/>
    </row>
    <row r="804">
      <c r="A804" s="142"/>
      <c r="B804" s="18"/>
      <c r="C804" s="142"/>
      <c r="D804" s="18"/>
      <c r="E804" s="18"/>
      <c r="F804" s="18"/>
      <c r="G804" s="142"/>
      <c r="H804" s="18"/>
      <c r="I804" s="142"/>
      <c r="J804" s="15"/>
      <c r="Q804" s="15"/>
      <c r="R804" s="18"/>
      <c r="S804" s="142"/>
      <c r="T804" s="142"/>
      <c r="U804" s="142"/>
      <c r="V804" s="18"/>
      <c r="W804" s="18"/>
      <c r="X804" s="18"/>
      <c r="Y804" s="142"/>
      <c r="Z804" s="18"/>
      <c r="AA804" s="18"/>
      <c r="AB804" s="18"/>
      <c r="AC804" s="18"/>
      <c r="AD804" s="18"/>
      <c r="AE804" s="18"/>
      <c r="AF804" s="18"/>
      <c r="AG804" s="18"/>
      <c r="AH804" s="18"/>
      <c r="AI804" s="18"/>
      <c r="AJ804" s="142"/>
      <c r="AK804" s="142"/>
      <c r="AL804" s="18"/>
      <c r="AM804" s="18"/>
      <c r="AN804" s="18"/>
      <c r="AO804" s="142"/>
    </row>
    <row r="805">
      <c r="A805" s="142"/>
      <c r="B805" s="18"/>
      <c r="C805" s="142"/>
      <c r="D805" s="18"/>
      <c r="E805" s="18"/>
      <c r="F805" s="18"/>
      <c r="G805" s="142"/>
      <c r="H805" s="18"/>
      <c r="I805" s="142"/>
      <c r="J805" s="15"/>
      <c r="Q805" s="15"/>
      <c r="R805" s="18"/>
      <c r="S805" s="142"/>
      <c r="T805" s="142"/>
      <c r="U805" s="142"/>
      <c r="V805" s="18"/>
      <c r="W805" s="18"/>
      <c r="X805" s="18"/>
      <c r="Y805" s="142"/>
      <c r="Z805" s="18"/>
      <c r="AA805" s="18"/>
      <c r="AB805" s="18"/>
      <c r="AC805" s="18"/>
      <c r="AD805" s="18"/>
      <c r="AE805" s="18"/>
      <c r="AF805" s="18"/>
      <c r="AG805" s="18"/>
      <c r="AH805" s="18"/>
      <c r="AI805" s="18"/>
      <c r="AJ805" s="142"/>
      <c r="AK805" s="142"/>
      <c r="AL805" s="18"/>
      <c r="AM805" s="18"/>
      <c r="AN805" s="18"/>
      <c r="AO805" s="142"/>
    </row>
    <row r="806">
      <c r="A806" s="142"/>
      <c r="B806" s="18"/>
      <c r="C806" s="142"/>
      <c r="D806" s="18"/>
      <c r="E806" s="18"/>
      <c r="F806" s="18"/>
      <c r="G806" s="142"/>
      <c r="H806" s="18"/>
      <c r="I806" s="142"/>
      <c r="J806" s="15"/>
      <c r="Q806" s="15"/>
      <c r="R806" s="18"/>
      <c r="S806" s="142"/>
      <c r="T806" s="142"/>
      <c r="U806" s="142"/>
      <c r="V806" s="18"/>
      <c r="W806" s="18"/>
      <c r="X806" s="18"/>
      <c r="Y806" s="142"/>
      <c r="Z806" s="18"/>
      <c r="AA806" s="18"/>
      <c r="AB806" s="18"/>
      <c r="AC806" s="18"/>
      <c r="AD806" s="18"/>
      <c r="AE806" s="18"/>
      <c r="AF806" s="18"/>
      <c r="AG806" s="18"/>
      <c r="AH806" s="18"/>
      <c r="AI806" s="18"/>
      <c r="AJ806" s="142"/>
      <c r="AK806" s="142"/>
      <c r="AL806" s="18"/>
      <c r="AM806" s="18"/>
      <c r="AN806" s="18"/>
      <c r="AO806" s="142"/>
    </row>
    <row r="807">
      <c r="A807" s="142"/>
      <c r="B807" s="18"/>
      <c r="C807" s="142"/>
      <c r="D807" s="18"/>
      <c r="E807" s="18"/>
      <c r="F807" s="18"/>
      <c r="G807" s="142"/>
      <c r="H807" s="18"/>
      <c r="I807" s="142"/>
      <c r="J807" s="15"/>
      <c r="Q807" s="15"/>
      <c r="R807" s="18"/>
      <c r="S807" s="142"/>
      <c r="T807" s="142"/>
      <c r="U807" s="142"/>
      <c r="V807" s="18"/>
      <c r="W807" s="18"/>
      <c r="X807" s="18"/>
      <c r="Y807" s="142"/>
      <c r="Z807" s="18"/>
      <c r="AA807" s="18"/>
      <c r="AB807" s="18"/>
      <c r="AC807" s="18"/>
      <c r="AD807" s="18"/>
      <c r="AE807" s="18"/>
      <c r="AF807" s="18"/>
      <c r="AG807" s="18"/>
      <c r="AH807" s="18"/>
      <c r="AI807" s="18"/>
      <c r="AJ807" s="142"/>
      <c r="AK807" s="142"/>
      <c r="AL807" s="18"/>
      <c r="AM807" s="18"/>
      <c r="AN807" s="18"/>
      <c r="AO807" s="142"/>
    </row>
    <row r="808">
      <c r="A808" s="142"/>
      <c r="B808" s="18"/>
      <c r="C808" s="142"/>
      <c r="D808" s="18"/>
      <c r="E808" s="18"/>
      <c r="F808" s="18"/>
      <c r="G808" s="142"/>
      <c r="H808" s="18"/>
      <c r="I808" s="142"/>
      <c r="J808" s="15"/>
      <c r="Q808" s="15"/>
      <c r="R808" s="18"/>
      <c r="S808" s="142"/>
      <c r="T808" s="142"/>
      <c r="U808" s="142"/>
      <c r="V808" s="18"/>
      <c r="W808" s="18"/>
      <c r="X808" s="18"/>
      <c r="Y808" s="142"/>
      <c r="Z808" s="18"/>
      <c r="AA808" s="18"/>
      <c r="AB808" s="18"/>
      <c r="AC808" s="18"/>
      <c r="AD808" s="18"/>
      <c r="AE808" s="18"/>
      <c r="AF808" s="18"/>
      <c r="AG808" s="18"/>
      <c r="AH808" s="18"/>
      <c r="AI808" s="18"/>
      <c r="AJ808" s="142"/>
      <c r="AK808" s="142"/>
      <c r="AL808" s="18"/>
      <c r="AM808" s="18"/>
      <c r="AN808" s="18"/>
      <c r="AO808" s="142"/>
    </row>
    <row r="809">
      <c r="A809" s="142"/>
      <c r="B809" s="18"/>
      <c r="C809" s="142"/>
      <c r="D809" s="18"/>
      <c r="E809" s="18"/>
      <c r="F809" s="18"/>
      <c r="G809" s="142"/>
      <c r="H809" s="18"/>
      <c r="I809" s="142"/>
      <c r="J809" s="15"/>
      <c r="Q809" s="15"/>
      <c r="R809" s="18"/>
      <c r="S809" s="142"/>
      <c r="T809" s="142"/>
      <c r="U809" s="142"/>
      <c r="V809" s="18"/>
      <c r="W809" s="18"/>
      <c r="X809" s="18"/>
      <c r="Y809" s="142"/>
      <c r="Z809" s="18"/>
      <c r="AA809" s="18"/>
      <c r="AB809" s="18"/>
      <c r="AC809" s="18"/>
      <c r="AD809" s="18"/>
      <c r="AE809" s="18"/>
      <c r="AF809" s="18"/>
      <c r="AG809" s="18"/>
      <c r="AH809" s="18"/>
      <c r="AI809" s="18"/>
      <c r="AJ809" s="142"/>
      <c r="AK809" s="142"/>
      <c r="AL809" s="18"/>
      <c r="AM809" s="18"/>
      <c r="AN809" s="18"/>
      <c r="AO809" s="142"/>
    </row>
    <row r="810">
      <c r="A810" s="142"/>
      <c r="B810" s="18"/>
      <c r="C810" s="142"/>
      <c r="D810" s="18"/>
      <c r="E810" s="18"/>
      <c r="F810" s="18"/>
      <c r="G810" s="142"/>
      <c r="H810" s="18"/>
      <c r="I810" s="142"/>
      <c r="J810" s="15"/>
      <c r="Q810" s="15"/>
      <c r="R810" s="18"/>
      <c r="S810" s="142"/>
      <c r="T810" s="142"/>
      <c r="U810" s="142"/>
      <c r="V810" s="18"/>
      <c r="W810" s="18"/>
      <c r="X810" s="18"/>
      <c r="Y810" s="142"/>
      <c r="Z810" s="18"/>
      <c r="AA810" s="18"/>
      <c r="AB810" s="18"/>
      <c r="AC810" s="18"/>
      <c r="AD810" s="18"/>
      <c r="AE810" s="18"/>
      <c r="AF810" s="18"/>
      <c r="AG810" s="18"/>
      <c r="AH810" s="18"/>
      <c r="AI810" s="18"/>
      <c r="AJ810" s="142"/>
      <c r="AK810" s="142"/>
      <c r="AL810" s="18"/>
      <c r="AM810" s="18"/>
      <c r="AN810" s="18"/>
      <c r="AO810" s="142"/>
    </row>
    <row r="811">
      <c r="A811" s="142"/>
      <c r="B811" s="18"/>
      <c r="C811" s="142"/>
      <c r="D811" s="18"/>
      <c r="E811" s="18"/>
      <c r="F811" s="18"/>
      <c r="G811" s="142"/>
      <c r="H811" s="18"/>
      <c r="I811" s="142"/>
      <c r="J811" s="15"/>
      <c r="Q811" s="15"/>
      <c r="R811" s="18"/>
      <c r="S811" s="142"/>
      <c r="T811" s="142"/>
      <c r="U811" s="142"/>
      <c r="V811" s="18"/>
      <c r="W811" s="18"/>
      <c r="X811" s="18"/>
      <c r="Y811" s="142"/>
      <c r="Z811" s="18"/>
      <c r="AA811" s="18"/>
      <c r="AB811" s="18"/>
      <c r="AC811" s="18"/>
      <c r="AD811" s="18"/>
      <c r="AE811" s="18"/>
      <c r="AF811" s="18"/>
      <c r="AG811" s="18"/>
      <c r="AH811" s="18"/>
      <c r="AI811" s="18"/>
      <c r="AJ811" s="142"/>
      <c r="AK811" s="142"/>
      <c r="AL811" s="18"/>
      <c r="AM811" s="18"/>
      <c r="AN811" s="18"/>
      <c r="AO811" s="142"/>
    </row>
    <row r="812">
      <c r="A812" s="142"/>
      <c r="B812" s="18"/>
      <c r="C812" s="142"/>
      <c r="D812" s="18"/>
      <c r="E812" s="18"/>
      <c r="F812" s="18"/>
      <c r="G812" s="142"/>
      <c r="H812" s="18"/>
      <c r="I812" s="142"/>
      <c r="J812" s="15"/>
      <c r="Q812" s="15"/>
      <c r="R812" s="18"/>
      <c r="S812" s="142"/>
      <c r="T812" s="142"/>
      <c r="U812" s="142"/>
      <c r="V812" s="18"/>
      <c r="W812" s="18"/>
      <c r="X812" s="18"/>
      <c r="Y812" s="142"/>
      <c r="Z812" s="18"/>
      <c r="AA812" s="18"/>
      <c r="AB812" s="18"/>
      <c r="AC812" s="18"/>
      <c r="AD812" s="18"/>
      <c r="AE812" s="18"/>
      <c r="AF812" s="18"/>
      <c r="AG812" s="18"/>
      <c r="AH812" s="18"/>
      <c r="AI812" s="18"/>
      <c r="AJ812" s="142"/>
      <c r="AK812" s="142"/>
      <c r="AL812" s="18"/>
      <c r="AM812" s="18"/>
      <c r="AN812" s="18"/>
      <c r="AO812" s="142"/>
    </row>
    <row r="813">
      <c r="A813" s="142"/>
      <c r="B813" s="18"/>
      <c r="C813" s="142"/>
      <c r="D813" s="18"/>
      <c r="E813" s="18"/>
      <c r="F813" s="18"/>
      <c r="G813" s="142"/>
      <c r="H813" s="18"/>
      <c r="I813" s="142"/>
      <c r="J813" s="15"/>
      <c r="Q813" s="15"/>
      <c r="R813" s="18"/>
      <c r="S813" s="142"/>
      <c r="T813" s="142"/>
      <c r="U813" s="142"/>
      <c r="V813" s="18"/>
      <c r="W813" s="18"/>
      <c r="X813" s="18"/>
      <c r="Y813" s="142"/>
      <c r="Z813" s="18"/>
      <c r="AA813" s="18"/>
      <c r="AB813" s="18"/>
      <c r="AC813" s="18"/>
      <c r="AD813" s="18"/>
      <c r="AE813" s="18"/>
      <c r="AF813" s="18"/>
      <c r="AG813" s="18"/>
      <c r="AH813" s="18"/>
      <c r="AI813" s="18"/>
      <c r="AJ813" s="142"/>
      <c r="AK813" s="142"/>
      <c r="AL813" s="18"/>
      <c r="AM813" s="18"/>
      <c r="AN813" s="18"/>
      <c r="AO813" s="142"/>
    </row>
    <row r="814">
      <c r="A814" s="142"/>
      <c r="B814" s="18"/>
      <c r="C814" s="142"/>
      <c r="D814" s="18"/>
      <c r="E814" s="18"/>
      <c r="F814" s="18"/>
      <c r="G814" s="142"/>
      <c r="H814" s="18"/>
      <c r="I814" s="142"/>
      <c r="J814" s="15"/>
      <c r="Q814" s="15"/>
      <c r="R814" s="18"/>
      <c r="S814" s="142"/>
      <c r="T814" s="142"/>
      <c r="U814" s="142"/>
      <c r="V814" s="18"/>
      <c r="W814" s="18"/>
      <c r="X814" s="18"/>
      <c r="Y814" s="142"/>
      <c r="Z814" s="18"/>
      <c r="AA814" s="18"/>
      <c r="AB814" s="18"/>
      <c r="AC814" s="18"/>
      <c r="AD814" s="18"/>
      <c r="AE814" s="18"/>
      <c r="AF814" s="18"/>
      <c r="AG814" s="18"/>
      <c r="AH814" s="18"/>
      <c r="AI814" s="18"/>
      <c r="AJ814" s="142"/>
      <c r="AK814" s="142"/>
      <c r="AL814" s="18"/>
      <c r="AM814" s="18"/>
      <c r="AN814" s="18"/>
      <c r="AO814" s="142"/>
    </row>
    <row r="815">
      <c r="A815" s="142"/>
      <c r="B815" s="18"/>
      <c r="C815" s="142"/>
      <c r="D815" s="18"/>
      <c r="E815" s="18"/>
      <c r="F815" s="18"/>
      <c r="G815" s="142"/>
      <c r="H815" s="18"/>
      <c r="I815" s="142"/>
      <c r="J815" s="15"/>
      <c r="Q815" s="15"/>
      <c r="R815" s="18"/>
      <c r="S815" s="142"/>
      <c r="T815" s="142"/>
      <c r="U815" s="142"/>
      <c r="V815" s="18"/>
      <c r="W815" s="18"/>
      <c r="X815" s="18"/>
      <c r="Y815" s="142"/>
      <c r="Z815" s="18"/>
      <c r="AA815" s="18"/>
      <c r="AB815" s="18"/>
      <c r="AC815" s="18"/>
      <c r="AD815" s="18"/>
      <c r="AE815" s="18"/>
      <c r="AF815" s="18"/>
      <c r="AG815" s="18"/>
      <c r="AH815" s="18"/>
      <c r="AI815" s="18"/>
      <c r="AJ815" s="142"/>
      <c r="AK815" s="142"/>
      <c r="AL815" s="18"/>
      <c r="AM815" s="18"/>
      <c r="AN815" s="18"/>
      <c r="AO815" s="142"/>
    </row>
    <row r="816">
      <c r="A816" s="142"/>
      <c r="B816" s="18"/>
      <c r="C816" s="142"/>
      <c r="D816" s="18"/>
      <c r="E816" s="18"/>
      <c r="F816" s="18"/>
      <c r="G816" s="142"/>
      <c r="H816" s="18"/>
      <c r="I816" s="142"/>
      <c r="J816" s="15"/>
      <c r="Q816" s="15"/>
      <c r="R816" s="18"/>
      <c r="S816" s="142"/>
      <c r="T816" s="142"/>
      <c r="U816" s="142"/>
      <c r="V816" s="18"/>
      <c r="W816" s="18"/>
      <c r="X816" s="18"/>
      <c r="Y816" s="142"/>
      <c r="Z816" s="18"/>
      <c r="AA816" s="18"/>
      <c r="AB816" s="18"/>
      <c r="AC816" s="18"/>
      <c r="AD816" s="18"/>
      <c r="AE816" s="18"/>
      <c r="AF816" s="18"/>
      <c r="AG816" s="18"/>
      <c r="AH816" s="18"/>
      <c r="AI816" s="18"/>
      <c r="AJ816" s="142"/>
      <c r="AK816" s="142"/>
      <c r="AL816" s="18"/>
      <c r="AM816" s="18"/>
      <c r="AN816" s="18"/>
      <c r="AO816" s="142"/>
    </row>
    <row r="817">
      <c r="A817" s="142"/>
      <c r="B817" s="18"/>
      <c r="C817" s="142"/>
      <c r="D817" s="18"/>
      <c r="E817" s="18"/>
      <c r="F817" s="18"/>
      <c r="G817" s="142"/>
      <c r="H817" s="18"/>
      <c r="I817" s="142"/>
      <c r="J817" s="15"/>
      <c r="Q817" s="15"/>
      <c r="R817" s="18"/>
      <c r="S817" s="142"/>
      <c r="T817" s="142"/>
      <c r="U817" s="142"/>
      <c r="V817" s="18"/>
      <c r="W817" s="18"/>
      <c r="X817" s="18"/>
      <c r="Y817" s="142"/>
      <c r="Z817" s="18"/>
      <c r="AA817" s="18"/>
      <c r="AB817" s="18"/>
      <c r="AC817" s="18"/>
      <c r="AD817" s="18"/>
      <c r="AE817" s="18"/>
      <c r="AF817" s="18"/>
      <c r="AG817" s="18"/>
      <c r="AH817" s="18"/>
      <c r="AI817" s="18"/>
      <c r="AJ817" s="142"/>
      <c r="AK817" s="142"/>
      <c r="AL817" s="18"/>
      <c r="AM817" s="18"/>
      <c r="AN817" s="18"/>
      <c r="AO817" s="142"/>
    </row>
    <row r="818">
      <c r="A818" s="142"/>
      <c r="B818" s="18"/>
      <c r="C818" s="142"/>
      <c r="D818" s="18"/>
      <c r="E818" s="18"/>
      <c r="F818" s="18"/>
      <c r="G818" s="142"/>
      <c r="H818" s="18"/>
      <c r="I818" s="142"/>
      <c r="J818" s="15"/>
      <c r="Q818" s="15"/>
      <c r="R818" s="18"/>
      <c r="S818" s="142"/>
      <c r="T818" s="142"/>
      <c r="U818" s="142"/>
      <c r="V818" s="18"/>
      <c r="W818" s="18"/>
      <c r="X818" s="18"/>
      <c r="Y818" s="142"/>
      <c r="Z818" s="18"/>
      <c r="AA818" s="18"/>
      <c r="AB818" s="18"/>
      <c r="AC818" s="18"/>
      <c r="AD818" s="18"/>
      <c r="AE818" s="18"/>
      <c r="AF818" s="18"/>
      <c r="AG818" s="18"/>
      <c r="AH818" s="18"/>
      <c r="AI818" s="18"/>
      <c r="AJ818" s="142"/>
      <c r="AK818" s="142"/>
      <c r="AL818" s="18"/>
      <c r="AM818" s="18"/>
      <c r="AN818" s="18"/>
      <c r="AO818" s="142"/>
    </row>
    <row r="819">
      <c r="A819" s="142"/>
      <c r="B819" s="18"/>
      <c r="C819" s="142"/>
      <c r="D819" s="18"/>
      <c r="E819" s="18"/>
      <c r="F819" s="18"/>
      <c r="G819" s="142"/>
      <c r="H819" s="18"/>
      <c r="I819" s="142"/>
      <c r="J819" s="15"/>
      <c r="Q819" s="15"/>
      <c r="R819" s="18"/>
      <c r="S819" s="142"/>
      <c r="T819" s="142"/>
      <c r="U819" s="142"/>
      <c r="V819" s="18"/>
      <c r="W819" s="18"/>
      <c r="X819" s="18"/>
      <c r="Y819" s="142"/>
      <c r="Z819" s="18"/>
      <c r="AA819" s="18"/>
      <c r="AB819" s="18"/>
      <c r="AC819" s="18"/>
      <c r="AD819" s="18"/>
      <c r="AE819" s="18"/>
      <c r="AF819" s="18"/>
      <c r="AG819" s="18"/>
      <c r="AH819" s="18"/>
      <c r="AI819" s="18"/>
      <c r="AJ819" s="142"/>
      <c r="AK819" s="142"/>
      <c r="AL819" s="18"/>
      <c r="AM819" s="18"/>
      <c r="AN819" s="18"/>
      <c r="AO819" s="142"/>
    </row>
    <row r="820">
      <c r="A820" s="142"/>
      <c r="B820" s="18"/>
      <c r="C820" s="142"/>
      <c r="D820" s="18"/>
      <c r="E820" s="18"/>
      <c r="F820" s="18"/>
      <c r="G820" s="142"/>
      <c r="H820" s="18"/>
      <c r="I820" s="142"/>
      <c r="J820" s="15"/>
      <c r="Q820" s="15"/>
      <c r="R820" s="18"/>
      <c r="S820" s="142"/>
      <c r="T820" s="142"/>
      <c r="U820" s="142"/>
      <c r="V820" s="18"/>
      <c r="W820" s="18"/>
      <c r="X820" s="18"/>
      <c r="Y820" s="142"/>
      <c r="Z820" s="18"/>
      <c r="AA820" s="18"/>
      <c r="AB820" s="18"/>
      <c r="AC820" s="18"/>
      <c r="AD820" s="18"/>
      <c r="AE820" s="18"/>
      <c r="AF820" s="18"/>
      <c r="AG820" s="18"/>
      <c r="AH820" s="18"/>
      <c r="AI820" s="18"/>
      <c r="AJ820" s="142"/>
      <c r="AK820" s="142"/>
      <c r="AL820" s="18"/>
      <c r="AM820" s="18"/>
      <c r="AN820" s="18"/>
      <c r="AO820" s="142"/>
    </row>
    <row r="821">
      <c r="A821" s="142"/>
      <c r="B821" s="18"/>
      <c r="C821" s="142"/>
      <c r="D821" s="18"/>
      <c r="E821" s="18"/>
      <c r="F821" s="18"/>
      <c r="G821" s="142"/>
      <c r="H821" s="18"/>
      <c r="I821" s="142"/>
      <c r="J821" s="15"/>
      <c r="Q821" s="15"/>
      <c r="R821" s="18"/>
      <c r="S821" s="142"/>
      <c r="T821" s="142"/>
      <c r="U821" s="142"/>
      <c r="V821" s="18"/>
      <c r="W821" s="18"/>
      <c r="X821" s="18"/>
      <c r="Y821" s="142"/>
      <c r="Z821" s="18"/>
      <c r="AA821" s="18"/>
      <c r="AB821" s="18"/>
      <c r="AC821" s="18"/>
      <c r="AD821" s="18"/>
      <c r="AE821" s="18"/>
      <c r="AF821" s="18"/>
      <c r="AG821" s="18"/>
      <c r="AH821" s="18"/>
      <c r="AI821" s="18"/>
      <c r="AJ821" s="142"/>
      <c r="AK821" s="142"/>
      <c r="AL821" s="18"/>
      <c r="AM821" s="18"/>
      <c r="AN821" s="18"/>
      <c r="AO821" s="142"/>
    </row>
    <row r="822">
      <c r="A822" s="142"/>
      <c r="B822" s="18"/>
      <c r="C822" s="142"/>
      <c r="D822" s="18"/>
      <c r="E822" s="18"/>
      <c r="F822" s="18"/>
      <c r="G822" s="142"/>
      <c r="H822" s="18"/>
      <c r="I822" s="142"/>
      <c r="J822" s="15"/>
      <c r="Q822" s="15"/>
      <c r="R822" s="18"/>
      <c r="S822" s="142"/>
      <c r="T822" s="142"/>
      <c r="U822" s="142"/>
      <c r="V822" s="18"/>
      <c r="W822" s="18"/>
      <c r="X822" s="18"/>
      <c r="Y822" s="142"/>
      <c r="Z822" s="18"/>
      <c r="AA822" s="18"/>
      <c r="AB822" s="18"/>
      <c r="AC822" s="18"/>
      <c r="AD822" s="18"/>
      <c r="AE822" s="18"/>
      <c r="AF822" s="18"/>
      <c r="AG822" s="18"/>
      <c r="AH822" s="18"/>
      <c r="AI822" s="18"/>
      <c r="AJ822" s="142"/>
      <c r="AK822" s="142"/>
      <c r="AL822" s="18"/>
      <c r="AM822" s="18"/>
      <c r="AN822" s="18"/>
      <c r="AO822" s="142"/>
    </row>
    <row r="823">
      <c r="A823" s="142"/>
      <c r="B823" s="18"/>
      <c r="C823" s="142"/>
      <c r="D823" s="18"/>
      <c r="E823" s="18"/>
      <c r="F823" s="18"/>
      <c r="G823" s="142"/>
      <c r="H823" s="18"/>
      <c r="I823" s="142"/>
      <c r="J823" s="15"/>
      <c r="Q823" s="15"/>
      <c r="R823" s="18"/>
      <c r="S823" s="142"/>
      <c r="T823" s="142"/>
      <c r="U823" s="142"/>
      <c r="V823" s="18"/>
      <c r="W823" s="18"/>
      <c r="X823" s="18"/>
      <c r="Y823" s="142"/>
      <c r="Z823" s="18"/>
      <c r="AA823" s="18"/>
      <c r="AB823" s="18"/>
      <c r="AC823" s="18"/>
      <c r="AD823" s="18"/>
      <c r="AE823" s="18"/>
      <c r="AF823" s="18"/>
      <c r="AG823" s="18"/>
      <c r="AH823" s="18"/>
      <c r="AI823" s="18"/>
      <c r="AJ823" s="142"/>
      <c r="AK823" s="142"/>
      <c r="AL823" s="18"/>
      <c r="AM823" s="18"/>
      <c r="AN823" s="18"/>
      <c r="AO823" s="142"/>
    </row>
    <row r="824">
      <c r="A824" s="142"/>
      <c r="B824" s="18"/>
      <c r="C824" s="142"/>
      <c r="D824" s="18"/>
      <c r="E824" s="18"/>
      <c r="F824" s="18"/>
      <c r="G824" s="142"/>
      <c r="H824" s="18"/>
      <c r="I824" s="142"/>
      <c r="J824" s="15"/>
      <c r="Q824" s="15"/>
      <c r="R824" s="18"/>
      <c r="S824" s="142"/>
      <c r="T824" s="142"/>
      <c r="U824" s="142"/>
      <c r="V824" s="18"/>
      <c r="W824" s="18"/>
      <c r="X824" s="18"/>
      <c r="Y824" s="142"/>
      <c r="Z824" s="18"/>
      <c r="AA824" s="18"/>
      <c r="AB824" s="18"/>
      <c r="AC824" s="18"/>
      <c r="AD824" s="18"/>
      <c r="AE824" s="18"/>
      <c r="AF824" s="18"/>
      <c r="AG824" s="18"/>
      <c r="AH824" s="18"/>
      <c r="AI824" s="18"/>
      <c r="AJ824" s="142"/>
      <c r="AK824" s="142"/>
      <c r="AL824" s="18"/>
      <c r="AM824" s="18"/>
      <c r="AN824" s="18"/>
      <c r="AO824" s="142"/>
    </row>
    <row r="825">
      <c r="A825" s="142"/>
      <c r="B825" s="18"/>
      <c r="C825" s="142"/>
      <c r="D825" s="18"/>
      <c r="E825" s="18"/>
      <c r="F825" s="18"/>
      <c r="G825" s="142"/>
      <c r="H825" s="18"/>
      <c r="I825" s="142"/>
      <c r="J825" s="15"/>
      <c r="Q825" s="15"/>
      <c r="R825" s="18"/>
      <c r="S825" s="142"/>
      <c r="T825" s="142"/>
      <c r="U825" s="142"/>
      <c r="V825" s="18"/>
      <c r="W825" s="18"/>
      <c r="X825" s="18"/>
      <c r="Y825" s="142"/>
      <c r="Z825" s="18"/>
      <c r="AA825" s="18"/>
      <c r="AB825" s="18"/>
      <c r="AC825" s="18"/>
      <c r="AD825" s="18"/>
      <c r="AE825" s="18"/>
      <c r="AF825" s="18"/>
      <c r="AG825" s="18"/>
      <c r="AH825" s="18"/>
      <c r="AI825" s="18"/>
      <c r="AJ825" s="142"/>
      <c r="AK825" s="142"/>
      <c r="AL825" s="18"/>
      <c r="AM825" s="18"/>
      <c r="AN825" s="18"/>
      <c r="AO825" s="142"/>
    </row>
    <row r="826">
      <c r="A826" s="142"/>
      <c r="B826" s="18"/>
      <c r="C826" s="142"/>
      <c r="D826" s="18"/>
      <c r="E826" s="18"/>
      <c r="F826" s="18"/>
      <c r="G826" s="142"/>
      <c r="H826" s="18"/>
      <c r="I826" s="142"/>
      <c r="J826" s="15"/>
      <c r="Q826" s="15"/>
      <c r="R826" s="18"/>
      <c r="S826" s="142"/>
      <c r="T826" s="142"/>
      <c r="U826" s="142"/>
      <c r="V826" s="18"/>
      <c r="W826" s="18"/>
      <c r="X826" s="18"/>
      <c r="Y826" s="142"/>
      <c r="Z826" s="18"/>
      <c r="AA826" s="18"/>
      <c r="AB826" s="18"/>
      <c r="AC826" s="18"/>
      <c r="AD826" s="18"/>
      <c r="AE826" s="18"/>
      <c r="AF826" s="18"/>
      <c r="AG826" s="18"/>
      <c r="AH826" s="18"/>
      <c r="AI826" s="18"/>
      <c r="AJ826" s="142"/>
      <c r="AK826" s="142"/>
      <c r="AL826" s="18"/>
      <c r="AM826" s="18"/>
      <c r="AN826" s="18"/>
      <c r="AO826" s="142"/>
    </row>
    <row r="827">
      <c r="A827" s="142"/>
      <c r="B827" s="18"/>
      <c r="C827" s="142"/>
      <c r="D827" s="18"/>
      <c r="E827" s="18"/>
      <c r="F827" s="18"/>
      <c r="G827" s="142"/>
      <c r="H827" s="18"/>
      <c r="I827" s="142"/>
      <c r="J827" s="15"/>
      <c r="Q827" s="15"/>
      <c r="R827" s="18"/>
      <c r="S827" s="142"/>
      <c r="T827" s="142"/>
      <c r="U827" s="142"/>
      <c r="V827" s="18"/>
      <c r="W827" s="18"/>
      <c r="X827" s="18"/>
      <c r="Y827" s="142"/>
      <c r="Z827" s="18"/>
      <c r="AA827" s="18"/>
      <c r="AB827" s="18"/>
      <c r="AC827" s="18"/>
      <c r="AD827" s="18"/>
      <c r="AE827" s="18"/>
      <c r="AF827" s="18"/>
      <c r="AG827" s="18"/>
      <c r="AH827" s="18"/>
      <c r="AI827" s="18"/>
      <c r="AJ827" s="142"/>
      <c r="AK827" s="142"/>
      <c r="AL827" s="18"/>
      <c r="AM827" s="18"/>
      <c r="AN827" s="18"/>
      <c r="AO827" s="142"/>
    </row>
    <row r="828">
      <c r="A828" s="142"/>
      <c r="B828" s="18"/>
      <c r="C828" s="142"/>
      <c r="D828" s="18"/>
      <c r="E828" s="18"/>
      <c r="F828" s="18"/>
      <c r="G828" s="142"/>
      <c r="H828" s="18"/>
      <c r="I828" s="142"/>
      <c r="J828" s="15"/>
      <c r="Q828" s="15"/>
      <c r="R828" s="18"/>
      <c r="S828" s="142"/>
      <c r="T828" s="142"/>
      <c r="U828" s="142"/>
      <c r="V828" s="18"/>
      <c r="W828" s="18"/>
      <c r="X828" s="18"/>
      <c r="Y828" s="142"/>
      <c r="Z828" s="18"/>
      <c r="AA828" s="18"/>
      <c r="AB828" s="18"/>
      <c r="AC828" s="18"/>
      <c r="AD828" s="18"/>
      <c r="AE828" s="18"/>
      <c r="AF828" s="18"/>
      <c r="AG828" s="18"/>
      <c r="AH828" s="18"/>
      <c r="AI828" s="18"/>
      <c r="AJ828" s="142"/>
      <c r="AK828" s="142"/>
      <c r="AL828" s="18"/>
      <c r="AM828" s="18"/>
      <c r="AN828" s="18"/>
      <c r="AO828" s="142"/>
    </row>
    <row r="829">
      <c r="A829" s="142"/>
      <c r="B829" s="18"/>
      <c r="C829" s="142"/>
      <c r="D829" s="18"/>
      <c r="E829" s="18"/>
      <c r="F829" s="18"/>
      <c r="G829" s="142"/>
      <c r="H829" s="18"/>
      <c r="I829" s="142"/>
      <c r="J829" s="15"/>
      <c r="Q829" s="15"/>
      <c r="R829" s="18"/>
      <c r="S829" s="142"/>
      <c r="T829" s="142"/>
      <c r="U829" s="142"/>
      <c r="V829" s="18"/>
      <c r="W829" s="18"/>
      <c r="X829" s="18"/>
      <c r="Y829" s="142"/>
      <c r="Z829" s="18"/>
      <c r="AA829" s="18"/>
      <c r="AB829" s="18"/>
      <c r="AC829" s="18"/>
      <c r="AD829" s="18"/>
      <c r="AE829" s="18"/>
      <c r="AF829" s="18"/>
      <c r="AG829" s="18"/>
      <c r="AH829" s="18"/>
      <c r="AI829" s="18"/>
      <c r="AJ829" s="142"/>
      <c r="AK829" s="142"/>
      <c r="AL829" s="18"/>
      <c r="AM829" s="18"/>
      <c r="AN829" s="18"/>
      <c r="AO829" s="142"/>
    </row>
    <row r="830">
      <c r="A830" s="142"/>
      <c r="B830" s="18"/>
      <c r="C830" s="142"/>
      <c r="D830" s="18"/>
      <c r="E830" s="18"/>
      <c r="F830" s="18"/>
      <c r="G830" s="142"/>
      <c r="H830" s="18"/>
      <c r="I830" s="142"/>
      <c r="J830" s="15"/>
      <c r="Q830" s="15"/>
      <c r="R830" s="18"/>
      <c r="S830" s="142"/>
      <c r="T830" s="142"/>
      <c r="U830" s="142"/>
      <c r="V830" s="18"/>
      <c r="W830" s="18"/>
      <c r="X830" s="18"/>
      <c r="Y830" s="142"/>
      <c r="Z830" s="18"/>
      <c r="AA830" s="18"/>
      <c r="AB830" s="18"/>
      <c r="AC830" s="18"/>
      <c r="AD830" s="18"/>
      <c r="AE830" s="18"/>
      <c r="AF830" s="18"/>
      <c r="AG830" s="18"/>
      <c r="AH830" s="18"/>
      <c r="AI830" s="18"/>
      <c r="AJ830" s="142"/>
      <c r="AK830" s="142"/>
      <c r="AL830" s="18"/>
      <c r="AM830" s="18"/>
      <c r="AN830" s="18"/>
      <c r="AO830" s="142"/>
    </row>
    <row r="831">
      <c r="A831" s="142"/>
      <c r="B831" s="18"/>
      <c r="C831" s="142"/>
      <c r="D831" s="18"/>
      <c r="E831" s="18"/>
      <c r="F831" s="18"/>
      <c r="G831" s="142"/>
      <c r="H831" s="18"/>
      <c r="I831" s="142"/>
      <c r="J831" s="15"/>
      <c r="Q831" s="15"/>
      <c r="R831" s="18"/>
      <c r="S831" s="142"/>
      <c r="T831" s="142"/>
      <c r="U831" s="142"/>
      <c r="V831" s="18"/>
      <c r="W831" s="18"/>
      <c r="X831" s="18"/>
      <c r="Y831" s="142"/>
      <c r="Z831" s="18"/>
      <c r="AA831" s="18"/>
      <c r="AB831" s="18"/>
      <c r="AC831" s="18"/>
      <c r="AD831" s="18"/>
      <c r="AE831" s="18"/>
      <c r="AF831" s="18"/>
      <c r="AG831" s="18"/>
      <c r="AH831" s="18"/>
      <c r="AI831" s="18"/>
      <c r="AJ831" s="142"/>
      <c r="AK831" s="142"/>
      <c r="AL831" s="18"/>
      <c r="AM831" s="18"/>
      <c r="AN831" s="18"/>
      <c r="AO831" s="142"/>
    </row>
    <row r="832">
      <c r="A832" s="142"/>
      <c r="B832" s="18"/>
      <c r="C832" s="142"/>
      <c r="D832" s="18"/>
      <c r="E832" s="18"/>
      <c r="F832" s="18"/>
      <c r="G832" s="142"/>
      <c r="H832" s="18"/>
      <c r="I832" s="142"/>
      <c r="J832" s="15"/>
      <c r="Q832" s="15"/>
      <c r="R832" s="18"/>
      <c r="S832" s="142"/>
      <c r="T832" s="142"/>
      <c r="U832" s="142"/>
      <c r="V832" s="18"/>
      <c r="W832" s="18"/>
      <c r="X832" s="18"/>
      <c r="Y832" s="142"/>
      <c r="Z832" s="18"/>
      <c r="AA832" s="18"/>
      <c r="AB832" s="18"/>
      <c r="AC832" s="18"/>
      <c r="AD832" s="18"/>
      <c r="AE832" s="18"/>
      <c r="AF832" s="18"/>
      <c r="AG832" s="18"/>
      <c r="AH832" s="18"/>
      <c r="AI832" s="18"/>
      <c r="AJ832" s="142"/>
      <c r="AK832" s="142"/>
      <c r="AL832" s="18"/>
      <c r="AM832" s="18"/>
      <c r="AN832" s="18"/>
      <c r="AO832" s="142"/>
    </row>
    <row r="833">
      <c r="A833" s="142"/>
      <c r="B833" s="18"/>
      <c r="C833" s="142"/>
      <c r="D833" s="18"/>
      <c r="E833" s="18"/>
      <c r="F833" s="18"/>
      <c r="G833" s="142"/>
      <c r="H833" s="18"/>
      <c r="I833" s="142"/>
      <c r="J833" s="15"/>
      <c r="Q833" s="15"/>
      <c r="R833" s="18"/>
      <c r="S833" s="142"/>
      <c r="T833" s="142"/>
      <c r="U833" s="142"/>
      <c r="V833" s="18"/>
      <c r="W833" s="18"/>
      <c r="X833" s="18"/>
      <c r="Y833" s="142"/>
      <c r="Z833" s="18"/>
      <c r="AA833" s="18"/>
      <c r="AB833" s="18"/>
      <c r="AC833" s="18"/>
      <c r="AD833" s="18"/>
      <c r="AE833" s="18"/>
      <c r="AF833" s="18"/>
      <c r="AG833" s="18"/>
      <c r="AH833" s="18"/>
      <c r="AI833" s="18"/>
      <c r="AJ833" s="142"/>
      <c r="AK833" s="142"/>
      <c r="AL833" s="18"/>
      <c r="AM833" s="18"/>
      <c r="AN833" s="18"/>
      <c r="AO833" s="142"/>
    </row>
    <row r="834">
      <c r="A834" s="142"/>
      <c r="B834" s="18"/>
      <c r="C834" s="142"/>
      <c r="D834" s="18"/>
      <c r="E834" s="18"/>
      <c r="F834" s="18"/>
      <c r="G834" s="142"/>
      <c r="H834" s="18"/>
      <c r="I834" s="142"/>
      <c r="J834" s="15"/>
      <c r="Q834" s="15"/>
      <c r="R834" s="18"/>
      <c r="S834" s="142"/>
      <c r="T834" s="142"/>
      <c r="U834" s="142"/>
      <c r="V834" s="18"/>
      <c r="W834" s="18"/>
      <c r="X834" s="18"/>
      <c r="Y834" s="142"/>
      <c r="Z834" s="18"/>
      <c r="AA834" s="18"/>
      <c r="AB834" s="18"/>
      <c r="AC834" s="18"/>
      <c r="AD834" s="18"/>
      <c r="AE834" s="18"/>
      <c r="AF834" s="18"/>
      <c r="AG834" s="18"/>
      <c r="AH834" s="18"/>
      <c r="AI834" s="18"/>
      <c r="AJ834" s="142"/>
      <c r="AK834" s="142"/>
      <c r="AL834" s="18"/>
      <c r="AM834" s="18"/>
      <c r="AN834" s="18"/>
      <c r="AO834" s="142"/>
    </row>
    <row r="835">
      <c r="A835" s="142"/>
      <c r="B835" s="18"/>
      <c r="C835" s="142"/>
      <c r="D835" s="18"/>
      <c r="E835" s="18"/>
      <c r="F835" s="18"/>
      <c r="G835" s="142"/>
      <c r="H835" s="18"/>
      <c r="I835" s="142"/>
      <c r="J835" s="15"/>
      <c r="Q835" s="15"/>
      <c r="R835" s="18"/>
      <c r="S835" s="142"/>
      <c r="T835" s="142"/>
      <c r="U835" s="142"/>
      <c r="V835" s="18"/>
      <c r="W835" s="18"/>
      <c r="X835" s="18"/>
      <c r="Y835" s="142"/>
      <c r="Z835" s="18"/>
      <c r="AA835" s="18"/>
      <c r="AB835" s="18"/>
      <c r="AC835" s="18"/>
      <c r="AD835" s="18"/>
      <c r="AE835" s="18"/>
      <c r="AF835" s="18"/>
      <c r="AG835" s="18"/>
      <c r="AH835" s="18"/>
      <c r="AI835" s="18"/>
      <c r="AJ835" s="142"/>
      <c r="AK835" s="142"/>
      <c r="AL835" s="18"/>
      <c r="AM835" s="18"/>
      <c r="AN835" s="18"/>
      <c r="AO835" s="142"/>
    </row>
    <row r="836">
      <c r="A836" s="142"/>
      <c r="B836" s="18"/>
      <c r="C836" s="142"/>
      <c r="D836" s="18"/>
      <c r="E836" s="18"/>
      <c r="F836" s="18"/>
      <c r="G836" s="142"/>
      <c r="H836" s="18"/>
      <c r="I836" s="142"/>
      <c r="J836" s="15"/>
      <c r="Q836" s="15"/>
      <c r="R836" s="18"/>
      <c r="S836" s="142"/>
      <c r="T836" s="142"/>
      <c r="U836" s="142"/>
      <c r="V836" s="18"/>
      <c r="W836" s="18"/>
      <c r="X836" s="18"/>
      <c r="Y836" s="142"/>
      <c r="Z836" s="18"/>
      <c r="AA836" s="18"/>
      <c r="AB836" s="18"/>
      <c r="AC836" s="18"/>
      <c r="AD836" s="18"/>
      <c r="AE836" s="18"/>
      <c r="AF836" s="18"/>
      <c r="AG836" s="18"/>
      <c r="AH836" s="18"/>
      <c r="AI836" s="18"/>
      <c r="AJ836" s="142"/>
      <c r="AK836" s="142"/>
      <c r="AL836" s="18"/>
      <c r="AM836" s="18"/>
      <c r="AN836" s="18"/>
      <c r="AO836" s="142"/>
    </row>
    <row r="837">
      <c r="A837" s="142"/>
      <c r="B837" s="18"/>
      <c r="C837" s="142"/>
      <c r="D837" s="18"/>
      <c r="E837" s="18"/>
      <c r="F837" s="18"/>
      <c r="G837" s="142"/>
      <c r="H837" s="18"/>
      <c r="I837" s="142"/>
      <c r="J837" s="15"/>
      <c r="Q837" s="15"/>
      <c r="R837" s="18"/>
      <c r="S837" s="142"/>
      <c r="T837" s="142"/>
      <c r="U837" s="142"/>
      <c r="V837" s="18"/>
      <c r="W837" s="18"/>
      <c r="X837" s="18"/>
      <c r="Y837" s="142"/>
      <c r="Z837" s="18"/>
      <c r="AA837" s="18"/>
      <c r="AB837" s="18"/>
      <c r="AC837" s="18"/>
      <c r="AD837" s="18"/>
      <c r="AE837" s="18"/>
      <c r="AF837" s="18"/>
      <c r="AG837" s="18"/>
      <c r="AH837" s="18"/>
      <c r="AI837" s="18"/>
      <c r="AJ837" s="142"/>
      <c r="AK837" s="142"/>
      <c r="AL837" s="18"/>
      <c r="AM837" s="18"/>
      <c r="AN837" s="18"/>
      <c r="AO837" s="142"/>
    </row>
    <row r="838">
      <c r="A838" s="142"/>
      <c r="B838" s="18"/>
      <c r="C838" s="142"/>
      <c r="D838" s="18"/>
      <c r="E838" s="18"/>
      <c r="F838" s="18"/>
      <c r="G838" s="142"/>
      <c r="H838" s="18"/>
      <c r="I838" s="142"/>
      <c r="J838" s="15"/>
      <c r="Q838" s="15"/>
      <c r="R838" s="18"/>
      <c r="S838" s="142"/>
      <c r="T838" s="142"/>
      <c r="U838" s="142"/>
      <c r="V838" s="18"/>
      <c r="W838" s="18"/>
      <c r="X838" s="18"/>
      <c r="Y838" s="142"/>
      <c r="Z838" s="18"/>
      <c r="AA838" s="18"/>
      <c r="AB838" s="18"/>
      <c r="AC838" s="18"/>
      <c r="AD838" s="18"/>
      <c r="AE838" s="18"/>
      <c r="AF838" s="18"/>
      <c r="AG838" s="18"/>
      <c r="AH838" s="18"/>
      <c r="AI838" s="18"/>
      <c r="AJ838" s="142"/>
      <c r="AK838" s="142"/>
      <c r="AL838" s="18"/>
      <c r="AM838" s="18"/>
      <c r="AN838" s="18"/>
      <c r="AO838" s="142"/>
    </row>
    <row r="839">
      <c r="A839" s="142"/>
      <c r="B839" s="18"/>
      <c r="C839" s="142"/>
      <c r="D839" s="18"/>
      <c r="E839" s="18"/>
      <c r="F839" s="18"/>
      <c r="G839" s="142"/>
      <c r="H839" s="18"/>
      <c r="I839" s="142"/>
      <c r="J839" s="15"/>
      <c r="Q839" s="15"/>
      <c r="R839" s="18"/>
      <c r="S839" s="142"/>
      <c r="T839" s="142"/>
      <c r="U839" s="142"/>
      <c r="V839" s="18"/>
      <c r="W839" s="18"/>
      <c r="X839" s="18"/>
      <c r="Y839" s="142"/>
      <c r="Z839" s="18"/>
      <c r="AA839" s="18"/>
      <c r="AB839" s="18"/>
      <c r="AC839" s="18"/>
      <c r="AD839" s="18"/>
      <c r="AE839" s="18"/>
      <c r="AF839" s="18"/>
      <c r="AG839" s="18"/>
      <c r="AH839" s="18"/>
      <c r="AI839" s="18"/>
      <c r="AJ839" s="142"/>
      <c r="AK839" s="142"/>
      <c r="AL839" s="18"/>
      <c r="AM839" s="18"/>
      <c r="AN839" s="18"/>
      <c r="AO839" s="142"/>
    </row>
    <row r="840">
      <c r="A840" s="142"/>
      <c r="B840" s="18"/>
      <c r="C840" s="142"/>
      <c r="D840" s="18"/>
      <c r="E840" s="18"/>
      <c r="F840" s="18"/>
      <c r="G840" s="142"/>
      <c r="H840" s="18"/>
      <c r="I840" s="142"/>
      <c r="J840" s="15"/>
      <c r="Q840" s="15"/>
      <c r="R840" s="18"/>
      <c r="S840" s="142"/>
      <c r="T840" s="142"/>
      <c r="U840" s="142"/>
      <c r="V840" s="18"/>
      <c r="W840" s="18"/>
      <c r="X840" s="18"/>
      <c r="Y840" s="142"/>
      <c r="Z840" s="18"/>
      <c r="AA840" s="18"/>
      <c r="AB840" s="18"/>
      <c r="AC840" s="18"/>
      <c r="AD840" s="18"/>
      <c r="AE840" s="18"/>
      <c r="AF840" s="18"/>
      <c r="AG840" s="18"/>
      <c r="AH840" s="18"/>
      <c r="AI840" s="18"/>
      <c r="AJ840" s="142"/>
      <c r="AK840" s="142"/>
      <c r="AL840" s="18"/>
      <c r="AM840" s="18"/>
      <c r="AN840" s="18"/>
      <c r="AO840" s="142"/>
    </row>
    <row r="841">
      <c r="A841" s="142"/>
      <c r="B841" s="18"/>
      <c r="C841" s="142"/>
      <c r="D841" s="18"/>
      <c r="E841" s="18"/>
      <c r="F841" s="18"/>
      <c r="G841" s="142"/>
      <c r="H841" s="18"/>
      <c r="I841" s="142"/>
      <c r="J841" s="15"/>
      <c r="Q841" s="15"/>
      <c r="R841" s="18"/>
      <c r="S841" s="142"/>
      <c r="T841" s="142"/>
      <c r="U841" s="142"/>
      <c r="V841" s="18"/>
      <c r="W841" s="18"/>
      <c r="X841" s="18"/>
      <c r="Y841" s="142"/>
      <c r="Z841" s="18"/>
      <c r="AA841" s="18"/>
      <c r="AB841" s="18"/>
      <c r="AC841" s="18"/>
      <c r="AD841" s="18"/>
      <c r="AE841" s="18"/>
      <c r="AF841" s="18"/>
      <c r="AG841" s="18"/>
      <c r="AH841" s="18"/>
      <c r="AI841" s="18"/>
      <c r="AJ841" s="142"/>
      <c r="AK841" s="142"/>
      <c r="AL841" s="18"/>
      <c r="AM841" s="18"/>
      <c r="AN841" s="18"/>
      <c r="AO841" s="142"/>
    </row>
    <row r="842">
      <c r="A842" s="142"/>
      <c r="B842" s="18"/>
      <c r="C842" s="142"/>
      <c r="D842" s="18"/>
      <c r="E842" s="18"/>
      <c r="F842" s="18"/>
      <c r="G842" s="142"/>
      <c r="H842" s="18"/>
      <c r="I842" s="142"/>
      <c r="J842" s="15"/>
      <c r="Q842" s="15"/>
      <c r="R842" s="18"/>
      <c r="S842" s="142"/>
      <c r="T842" s="142"/>
      <c r="U842" s="142"/>
      <c r="V842" s="18"/>
      <c r="W842" s="18"/>
      <c r="X842" s="18"/>
      <c r="Y842" s="142"/>
      <c r="Z842" s="18"/>
      <c r="AA842" s="18"/>
      <c r="AB842" s="18"/>
      <c r="AC842" s="18"/>
      <c r="AD842" s="18"/>
      <c r="AE842" s="18"/>
      <c r="AF842" s="18"/>
      <c r="AG842" s="18"/>
      <c r="AH842" s="18"/>
      <c r="AI842" s="18"/>
      <c r="AJ842" s="142"/>
      <c r="AK842" s="142"/>
      <c r="AL842" s="18"/>
      <c r="AM842" s="18"/>
      <c r="AN842" s="18"/>
      <c r="AO842" s="142"/>
    </row>
    <row r="843">
      <c r="A843" s="142"/>
      <c r="B843" s="18"/>
      <c r="C843" s="142"/>
      <c r="D843" s="18"/>
      <c r="E843" s="18"/>
      <c r="F843" s="18"/>
      <c r="G843" s="142"/>
      <c r="H843" s="18"/>
      <c r="I843" s="142"/>
      <c r="J843" s="15"/>
      <c r="Q843" s="15"/>
      <c r="R843" s="18"/>
      <c r="S843" s="142"/>
      <c r="T843" s="142"/>
      <c r="U843" s="142"/>
      <c r="V843" s="18"/>
      <c r="W843" s="18"/>
      <c r="X843" s="18"/>
      <c r="Y843" s="142"/>
      <c r="Z843" s="18"/>
      <c r="AA843" s="18"/>
      <c r="AB843" s="18"/>
      <c r="AC843" s="18"/>
      <c r="AD843" s="18"/>
      <c r="AE843" s="18"/>
      <c r="AF843" s="18"/>
      <c r="AG843" s="18"/>
      <c r="AH843" s="18"/>
      <c r="AI843" s="18"/>
      <c r="AJ843" s="142"/>
      <c r="AK843" s="142"/>
      <c r="AL843" s="18"/>
      <c r="AM843" s="18"/>
      <c r="AN843" s="18"/>
      <c r="AO843" s="142"/>
    </row>
    <row r="844">
      <c r="A844" s="142"/>
      <c r="B844" s="18"/>
      <c r="C844" s="142"/>
      <c r="D844" s="18"/>
      <c r="E844" s="18"/>
      <c r="F844" s="18"/>
      <c r="G844" s="142"/>
      <c r="H844" s="18"/>
      <c r="I844" s="142"/>
      <c r="J844" s="15"/>
      <c r="Q844" s="15"/>
      <c r="R844" s="18"/>
      <c r="S844" s="142"/>
      <c r="T844" s="142"/>
      <c r="U844" s="142"/>
      <c r="V844" s="18"/>
      <c r="W844" s="18"/>
      <c r="X844" s="18"/>
      <c r="Y844" s="142"/>
      <c r="Z844" s="18"/>
      <c r="AA844" s="18"/>
      <c r="AB844" s="18"/>
      <c r="AC844" s="18"/>
      <c r="AD844" s="18"/>
      <c r="AE844" s="18"/>
      <c r="AF844" s="18"/>
      <c r="AG844" s="18"/>
      <c r="AH844" s="18"/>
      <c r="AI844" s="18"/>
      <c r="AJ844" s="142"/>
      <c r="AK844" s="142"/>
      <c r="AL844" s="18"/>
      <c r="AM844" s="18"/>
      <c r="AN844" s="18"/>
      <c r="AO844" s="142"/>
    </row>
    <row r="845">
      <c r="A845" s="142"/>
      <c r="B845" s="18"/>
      <c r="C845" s="142"/>
      <c r="D845" s="18"/>
      <c r="E845" s="18"/>
      <c r="F845" s="18"/>
      <c r="G845" s="142"/>
      <c r="H845" s="18"/>
      <c r="I845" s="142"/>
      <c r="J845" s="15"/>
      <c r="Q845" s="15"/>
      <c r="R845" s="18"/>
      <c r="S845" s="142"/>
      <c r="T845" s="142"/>
      <c r="U845" s="142"/>
      <c r="V845" s="18"/>
      <c r="W845" s="18"/>
      <c r="X845" s="18"/>
      <c r="Y845" s="142"/>
      <c r="Z845" s="18"/>
      <c r="AA845" s="18"/>
      <c r="AB845" s="18"/>
      <c r="AC845" s="18"/>
      <c r="AD845" s="18"/>
      <c r="AE845" s="18"/>
      <c r="AF845" s="18"/>
      <c r="AG845" s="18"/>
      <c r="AH845" s="18"/>
      <c r="AI845" s="18"/>
      <c r="AJ845" s="142"/>
      <c r="AK845" s="142"/>
      <c r="AL845" s="18"/>
      <c r="AM845" s="18"/>
      <c r="AN845" s="18"/>
      <c r="AO845" s="142"/>
    </row>
    <row r="846">
      <c r="A846" s="142"/>
      <c r="B846" s="18"/>
      <c r="C846" s="142"/>
      <c r="D846" s="18"/>
      <c r="E846" s="18"/>
      <c r="F846" s="18"/>
      <c r="G846" s="142"/>
      <c r="H846" s="18"/>
      <c r="I846" s="142"/>
      <c r="J846" s="15"/>
      <c r="Q846" s="15"/>
      <c r="R846" s="18"/>
      <c r="S846" s="142"/>
      <c r="T846" s="142"/>
      <c r="U846" s="142"/>
      <c r="V846" s="18"/>
      <c r="W846" s="18"/>
      <c r="X846" s="18"/>
      <c r="Y846" s="142"/>
      <c r="Z846" s="18"/>
      <c r="AA846" s="18"/>
      <c r="AB846" s="18"/>
      <c r="AC846" s="18"/>
      <c r="AD846" s="18"/>
      <c r="AE846" s="18"/>
      <c r="AF846" s="18"/>
      <c r="AG846" s="18"/>
      <c r="AH846" s="18"/>
      <c r="AI846" s="18"/>
      <c r="AJ846" s="142"/>
      <c r="AK846" s="142"/>
      <c r="AL846" s="18"/>
      <c r="AM846" s="18"/>
      <c r="AN846" s="18"/>
      <c r="AO846" s="142"/>
    </row>
    <row r="847">
      <c r="A847" s="142"/>
      <c r="B847" s="18"/>
      <c r="C847" s="142"/>
      <c r="D847" s="18"/>
      <c r="E847" s="18"/>
      <c r="F847" s="18"/>
      <c r="G847" s="142"/>
      <c r="H847" s="18"/>
      <c r="I847" s="142"/>
      <c r="J847" s="15"/>
      <c r="Q847" s="15"/>
      <c r="R847" s="18"/>
      <c r="S847" s="142"/>
      <c r="T847" s="142"/>
      <c r="U847" s="142"/>
      <c r="V847" s="18"/>
      <c r="W847" s="18"/>
      <c r="X847" s="18"/>
      <c r="Y847" s="142"/>
      <c r="Z847" s="18"/>
      <c r="AA847" s="18"/>
      <c r="AB847" s="18"/>
      <c r="AC847" s="18"/>
      <c r="AD847" s="18"/>
      <c r="AE847" s="18"/>
      <c r="AF847" s="18"/>
      <c r="AG847" s="18"/>
      <c r="AH847" s="18"/>
      <c r="AI847" s="18"/>
      <c r="AJ847" s="142"/>
      <c r="AK847" s="142"/>
      <c r="AL847" s="18"/>
      <c r="AM847" s="18"/>
      <c r="AN847" s="18"/>
      <c r="AO847" s="142"/>
    </row>
    <row r="848">
      <c r="A848" s="142"/>
      <c r="B848" s="18"/>
      <c r="C848" s="142"/>
      <c r="D848" s="18"/>
      <c r="E848" s="18"/>
      <c r="F848" s="18"/>
      <c r="G848" s="142"/>
      <c r="H848" s="18"/>
      <c r="I848" s="142"/>
      <c r="J848" s="15"/>
      <c r="Q848" s="15"/>
      <c r="R848" s="18"/>
      <c r="S848" s="142"/>
      <c r="T848" s="142"/>
      <c r="U848" s="142"/>
      <c r="V848" s="18"/>
      <c r="W848" s="18"/>
      <c r="X848" s="18"/>
      <c r="Y848" s="142"/>
      <c r="Z848" s="18"/>
      <c r="AA848" s="18"/>
      <c r="AB848" s="18"/>
      <c r="AC848" s="18"/>
      <c r="AD848" s="18"/>
      <c r="AE848" s="18"/>
      <c r="AF848" s="18"/>
      <c r="AG848" s="18"/>
      <c r="AH848" s="18"/>
      <c r="AI848" s="18"/>
      <c r="AJ848" s="142"/>
      <c r="AK848" s="142"/>
      <c r="AL848" s="18"/>
      <c r="AM848" s="18"/>
      <c r="AN848" s="18"/>
      <c r="AO848" s="142"/>
    </row>
    <row r="849">
      <c r="A849" s="142"/>
      <c r="B849" s="18"/>
      <c r="C849" s="142"/>
      <c r="D849" s="18"/>
      <c r="E849" s="18"/>
      <c r="F849" s="18"/>
      <c r="G849" s="142"/>
      <c r="H849" s="18"/>
      <c r="I849" s="142"/>
      <c r="J849" s="15"/>
      <c r="Q849" s="15"/>
      <c r="R849" s="18"/>
      <c r="S849" s="142"/>
      <c r="T849" s="142"/>
      <c r="U849" s="142"/>
      <c r="V849" s="18"/>
      <c r="W849" s="18"/>
      <c r="X849" s="18"/>
      <c r="Y849" s="142"/>
      <c r="Z849" s="18"/>
      <c r="AA849" s="18"/>
      <c r="AB849" s="18"/>
      <c r="AC849" s="18"/>
      <c r="AD849" s="18"/>
      <c r="AE849" s="18"/>
      <c r="AF849" s="18"/>
      <c r="AG849" s="18"/>
      <c r="AH849" s="18"/>
      <c r="AI849" s="18"/>
      <c r="AJ849" s="142"/>
      <c r="AK849" s="142"/>
      <c r="AL849" s="18"/>
      <c r="AM849" s="18"/>
      <c r="AN849" s="18"/>
      <c r="AO849" s="142"/>
    </row>
    <row r="850">
      <c r="A850" s="142"/>
      <c r="B850" s="18"/>
      <c r="C850" s="142"/>
      <c r="D850" s="18"/>
      <c r="E850" s="18"/>
      <c r="F850" s="18"/>
      <c r="G850" s="142"/>
      <c r="H850" s="18"/>
      <c r="I850" s="142"/>
      <c r="J850" s="15"/>
      <c r="Q850" s="15"/>
      <c r="R850" s="18"/>
      <c r="S850" s="142"/>
      <c r="T850" s="142"/>
      <c r="U850" s="142"/>
      <c r="V850" s="18"/>
      <c r="W850" s="18"/>
      <c r="X850" s="18"/>
      <c r="Y850" s="142"/>
      <c r="Z850" s="18"/>
      <c r="AA850" s="18"/>
      <c r="AB850" s="18"/>
      <c r="AC850" s="18"/>
      <c r="AD850" s="18"/>
      <c r="AE850" s="18"/>
      <c r="AF850" s="18"/>
      <c r="AG850" s="18"/>
      <c r="AH850" s="18"/>
      <c r="AI850" s="18"/>
      <c r="AJ850" s="142"/>
      <c r="AK850" s="142"/>
      <c r="AL850" s="18"/>
      <c r="AM850" s="18"/>
      <c r="AN850" s="18"/>
      <c r="AO850" s="142"/>
    </row>
    <row r="851">
      <c r="A851" s="142"/>
      <c r="B851" s="18"/>
      <c r="C851" s="142"/>
      <c r="D851" s="18"/>
      <c r="E851" s="18"/>
      <c r="F851" s="18"/>
      <c r="G851" s="142"/>
      <c r="H851" s="18"/>
      <c r="I851" s="142"/>
      <c r="J851" s="15"/>
      <c r="Q851" s="15"/>
      <c r="R851" s="18"/>
      <c r="S851" s="142"/>
      <c r="T851" s="142"/>
      <c r="U851" s="142"/>
      <c r="V851" s="18"/>
      <c r="W851" s="18"/>
      <c r="X851" s="18"/>
      <c r="Y851" s="142"/>
      <c r="Z851" s="18"/>
      <c r="AA851" s="18"/>
      <c r="AB851" s="18"/>
      <c r="AC851" s="18"/>
      <c r="AD851" s="18"/>
      <c r="AE851" s="18"/>
      <c r="AF851" s="18"/>
      <c r="AG851" s="18"/>
      <c r="AH851" s="18"/>
      <c r="AI851" s="18"/>
      <c r="AJ851" s="142"/>
      <c r="AK851" s="142"/>
      <c r="AL851" s="18"/>
      <c r="AM851" s="18"/>
      <c r="AN851" s="18"/>
      <c r="AO851" s="142"/>
    </row>
    <row r="852">
      <c r="A852" s="142"/>
      <c r="B852" s="18"/>
      <c r="C852" s="142"/>
      <c r="D852" s="18"/>
      <c r="E852" s="18"/>
      <c r="F852" s="18"/>
      <c r="G852" s="142"/>
      <c r="H852" s="18"/>
      <c r="I852" s="142"/>
      <c r="J852" s="15"/>
      <c r="Q852" s="15"/>
      <c r="R852" s="18"/>
      <c r="S852" s="142"/>
      <c r="T852" s="142"/>
      <c r="U852" s="142"/>
      <c r="V852" s="18"/>
      <c r="W852" s="18"/>
      <c r="X852" s="18"/>
      <c r="Y852" s="142"/>
      <c r="Z852" s="18"/>
      <c r="AA852" s="18"/>
      <c r="AB852" s="18"/>
      <c r="AC852" s="18"/>
      <c r="AD852" s="18"/>
      <c r="AE852" s="18"/>
      <c r="AF852" s="18"/>
      <c r="AG852" s="18"/>
      <c r="AH852" s="18"/>
      <c r="AI852" s="18"/>
      <c r="AJ852" s="142"/>
      <c r="AK852" s="142"/>
      <c r="AL852" s="18"/>
      <c r="AM852" s="18"/>
      <c r="AN852" s="18"/>
      <c r="AO852" s="142"/>
    </row>
    <row r="853">
      <c r="A853" s="142"/>
      <c r="B853" s="18"/>
      <c r="C853" s="142"/>
      <c r="D853" s="18"/>
      <c r="E853" s="18"/>
      <c r="F853" s="18"/>
      <c r="G853" s="142"/>
      <c r="H853" s="18"/>
      <c r="I853" s="142"/>
      <c r="J853" s="15"/>
      <c r="Q853" s="15"/>
      <c r="R853" s="18"/>
      <c r="S853" s="142"/>
      <c r="T853" s="142"/>
      <c r="U853" s="142"/>
      <c r="V853" s="18"/>
      <c r="W853" s="18"/>
      <c r="X853" s="18"/>
      <c r="Y853" s="142"/>
      <c r="Z853" s="18"/>
      <c r="AA853" s="18"/>
      <c r="AB853" s="18"/>
      <c r="AC853" s="18"/>
      <c r="AD853" s="18"/>
      <c r="AE853" s="18"/>
      <c r="AF853" s="18"/>
      <c r="AG853" s="18"/>
      <c r="AH853" s="18"/>
      <c r="AI853" s="18"/>
      <c r="AJ853" s="142"/>
      <c r="AK853" s="142"/>
      <c r="AL853" s="18"/>
      <c r="AM853" s="18"/>
      <c r="AN853" s="18"/>
      <c r="AO853" s="142"/>
    </row>
    <row r="854">
      <c r="A854" s="142"/>
      <c r="B854" s="18"/>
      <c r="C854" s="142"/>
      <c r="D854" s="18"/>
      <c r="E854" s="18"/>
      <c r="F854" s="18"/>
      <c r="G854" s="142"/>
      <c r="H854" s="18"/>
      <c r="I854" s="142"/>
      <c r="J854" s="15"/>
      <c r="Q854" s="15"/>
      <c r="R854" s="18"/>
      <c r="S854" s="142"/>
      <c r="T854" s="142"/>
      <c r="U854" s="142"/>
      <c r="V854" s="18"/>
      <c r="W854" s="18"/>
      <c r="X854" s="18"/>
      <c r="Y854" s="142"/>
      <c r="Z854" s="18"/>
      <c r="AA854" s="18"/>
      <c r="AB854" s="18"/>
      <c r="AC854" s="18"/>
      <c r="AD854" s="18"/>
      <c r="AE854" s="18"/>
      <c r="AF854" s="18"/>
      <c r="AG854" s="18"/>
      <c r="AH854" s="18"/>
      <c r="AI854" s="18"/>
      <c r="AJ854" s="142"/>
      <c r="AK854" s="142"/>
      <c r="AL854" s="18"/>
      <c r="AM854" s="18"/>
      <c r="AN854" s="18"/>
      <c r="AO854" s="142"/>
    </row>
    <row r="855">
      <c r="A855" s="142"/>
      <c r="B855" s="18"/>
      <c r="C855" s="142"/>
      <c r="D855" s="18"/>
      <c r="E855" s="18"/>
      <c r="F855" s="18"/>
      <c r="G855" s="142"/>
      <c r="H855" s="18"/>
      <c r="I855" s="142"/>
      <c r="J855" s="15"/>
      <c r="Q855" s="15"/>
      <c r="R855" s="18"/>
      <c r="S855" s="142"/>
      <c r="T855" s="142"/>
      <c r="U855" s="142"/>
      <c r="V855" s="18"/>
      <c r="W855" s="18"/>
      <c r="X855" s="18"/>
      <c r="Y855" s="142"/>
      <c r="Z855" s="18"/>
      <c r="AA855" s="18"/>
      <c r="AB855" s="18"/>
      <c r="AC855" s="18"/>
      <c r="AD855" s="18"/>
      <c r="AE855" s="18"/>
      <c r="AF855" s="18"/>
      <c r="AG855" s="18"/>
      <c r="AH855" s="18"/>
      <c r="AI855" s="18"/>
      <c r="AJ855" s="142"/>
      <c r="AK855" s="142"/>
      <c r="AL855" s="18"/>
      <c r="AM855" s="18"/>
      <c r="AN855" s="18"/>
      <c r="AO855" s="142"/>
    </row>
    <row r="856">
      <c r="A856" s="142"/>
      <c r="B856" s="18"/>
      <c r="C856" s="142"/>
      <c r="D856" s="18"/>
      <c r="E856" s="18"/>
      <c r="F856" s="18"/>
      <c r="G856" s="142"/>
      <c r="H856" s="18"/>
      <c r="I856" s="142"/>
      <c r="J856" s="15"/>
      <c r="Q856" s="15"/>
      <c r="R856" s="18"/>
      <c r="S856" s="142"/>
      <c r="T856" s="142"/>
      <c r="U856" s="142"/>
      <c r="V856" s="18"/>
      <c r="W856" s="18"/>
      <c r="X856" s="18"/>
      <c r="Y856" s="142"/>
      <c r="Z856" s="18"/>
      <c r="AA856" s="18"/>
      <c r="AB856" s="18"/>
      <c r="AC856" s="18"/>
      <c r="AD856" s="18"/>
      <c r="AE856" s="18"/>
      <c r="AF856" s="18"/>
      <c r="AG856" s="18"/>
      <c r="AH856" s="18"/>
      <c r="AI856" s="18"/>
      <c r="AJ856" s="142"/>
      <c r="AK856" s="142"/>
      <c r="AL856" s="18"/>
      <c r="AM856" s="18"/>
      <c r="AN856" s="18"/>
      <c r="AO856" s="142"/>
    </row>
    <row r="857">
      <c r="A857" s="142"/>
      <c r="B857" s="18"/>
      <c r="C857" s="142"/>
      <c r="D857" s="18"/>
      <c r="E857" s="18"/>
      <c r="F857" s="18"/>
      <c r="G857" s="142"/>
      <c r="H857" s="18"/>
      <c r="I857" s="142"/>
      <c r="J857" s="15"/>
      <c r="Q857" s="15"/>
      <c r="R857" s="18"/>
      <c r="S857" s="142"/>
      <c r="T857" s="142"/>
      <c r="U857" s="142"/>
      <c r="V857" s="18"/>
      <c r="W857" s="18"/>
      <c r="X857" s="18"/>
      <c r="Y857" s="142"/>
      <c r="Z857" s="18"/>
      <c r="AA857" s="18"/>
      <c r="AB857" s="18"/>
      <c r="AC857" s="18"/>
      <c r="AD857" s="18"/>
      <c r="AE857" s="18"/>
      <c r="AF857" s="18"/>
      <c r="AG857" s="18"/>
      <c r="AH857" s="18"/>
      <c r="AI857" s="18"/>
      <c r="AJ857" s="142"/>
      <c r="AK857" s="142"/>
      <c r="AL857" s="18"/>
      <c r="AM857" s="18"/>
      <c r="AN857" s="18"/>
      <c r="AO857" s="142"/>
    </row>
    <row r="858">
      <c r="A858" s="142"/>
      <c r="B858" s="18"/>
      <c r="C858" s="142"/>
      <c r="D858" s="18"/>
      <c r="E858" s="18"/>
      <c r="F858" s="18"/>
      <c r="G858" s="142"/>
      <c r="H858" s="18"/>
      <c r="I858" s="142"/>
      <c r="J858" s="15"/>
      <c r="Q858" s="15"/>
      <c r="R858" s="18"/>
      <c r="S858" s="142"/>
      <c r="T858" s="142"/>
      <c r="U858" s="142"/>
      <c r="V858" s="18"/>
      <c r="W858" s="18"/>
      <c r="X858" s="18"/>
      <c r="Y858" s="142"/>
      <c r="Z858" s="18"/>
      <c r="AA858" s="18"/>
      <c r="AB858" s="18"/>
      <c r="AC858" s="18"/>
      <c r="AD858" s="18"/>
      <c r="AE858" s="18"/>
      <c r="AF858" s="18"/>
      <c r="AG858" s="18"/>
      <c r="AH858" s="18"/>
      <c r="AI858" s="18"/>
      <c r="AJ858" s="142"/>
      <c r="AK858" s="142"/>
      <c r="AL858" s="18"/>
      <c r="AM858" s="18"/>
      <c r="AN858" s="18"/>
      <c r="AO858" s="142"/>
    </row>
    <row r="859">
      <c r="A859" s="142"/>
      <c r="B859" s="18"/>
      <c r="C859" s="142"/>
      <c r="D859" s="18"/>
      <c r="E859" s="18"/>
      <c r="F859" s="18"/>
      <c r="G859" s="142"/>
      <c r="H859" s="18"/>
      <c r="I859" s="142"/>
      <c r="J859" s="15"/>
      <c r="Q859" s="15"/>
      <c r="R859" s="18"/>
      <c r="S859" s="142"/>
      <c r="T859" s="142"/>
      <c r="U859" s="142"/>
      <c r="V859" s="18"/>
      <c r="W859" s="18"/>
      <c r="X859" s="18"/>
      <c r="Y859" s="142"/>
      <c r="Z859" s="18"/>
      <c r="AA859" s="18"/>
      <c r="AB859" s="18"/>
      <c r="AC859" s="18"/>
      <c r="AD859" s="18"/>
      <c r="AE859" s="18"/>
      <c r="AF859" s="18"/>
      <c r="AG859" s="18"/>
      <c r="AH859" s="18"/>
      <c r="AI859" s="18"/>
      <c r="AJ859" s="142"/>
      <c r="AK859" s="142"/>
      <c r="AL859" s="18"/>
      <c r="AM859" s="18"/>
      <c r="AN859" s="18"/>
      <c r="AO859" s="142"/>
    </row>
    <row r="860">
      <c r="A860" s="142"/>
      <c r="B860" s="18"/>
      <c r="C860" s="142"/>
      <c r="D860" s="18"/>
      <c r="E860" s="18"/>
      <c r="F860" s="18"/>
      <c r="G860" s="142"/>
      <c r="H860" s="18"/>
      <c r="I860" s="142"/>
      <c r="J860" s="15"/>
      <c r="Q860" s="15"/>
      <c r="R860" s="18"/>
      <c r="S860" s="142"/>
      <c r="T860" s="142"/>
      <c r="U860" s="142"/>
      <c r="V860" s="18"/>
      <c r="W860" s="18"/>
      <c r="X860" s="18"/>
      <c r="Y860" s="142"/>
      <c r="Z860" s="18"/>
      <c r="AA860" s="18"/>
      <c r="AB860" s="18"/>
      <c r="AC860" s="18"/>
      <c r="AD860" s="18"/>
      <c r="AE860" s="18"/>
      <c r="AF860" s="18"/>
      <c r="AG860" s="18"/>
      <c r="AH860" s="18"/>
      <c r="AI860" s="18"/>
      <c r="AJ860" s="142"/>
      <c r="AK860" s="142"/>
      <c r="AL860" s="18"/>
      <c r="AM860" s="18"/>
      <c r="AN860" s="18"/>
      <c r="AO860" s="142"/>
    </row>
    <row r="861">
      <c r="A861" s="142"/>
      <c r="B861" s="18"/>
      <c r="C861" s="142"/>
      <c r="D861" s="18"/>
      <c r="E861" s="18"/>
      <c r="F861" s="18"/>
      <c r="G861" s="142"/>
      <c r="H861" s="18"/>
      <c r="I861" s="142"/>
      <c r="J861" s="15"/>
      <c r="Q861" s="15"/>
      <c r="R861" s="18"/>
      <c r="S861" s="142"/>
      <c r="T861" s="142"/>
      <c r="U861" s="142"/>
      <c r="V861" s="18"/>
      <c r="W861" s="18"/>
      <c r="X861" s="18"/>
      <c r="Y861" s="142"/>
      <c r="Z861" s="18"/>
      <c r="AA861" s="18"/>
      <c r="AB861" s="18"/>
      <c r="AC861" s="18"/>
      <c r="AD861" s="18"/>
      <c r="AE861" s="18"/>
      <c r="AF861" s="18"/>
      <c r="AG861" s="18"/>
      <c r="AH861" s="18"/>
      <c r="AI861" s="18"/>
      <c r="AJ861" s="142"/>
      <c r="AK861" s="142"/>
      <c r="AL861" s="18"/>
      <c r="AM861" s="18"/>
      <c r="AN861" s="18"/>
      <c r="AO861" s="142"/>
    </row>
    <row r="862">
      <c r="A862" s="142"/>
      <c r="B862" s="18"/>
      <c r="C862" s="142"/>
      <c r="D862" s="18"/>
      <c r="E862" s="18"/>
      <c r="F862" s="18"/>
      <c r="G862" s="142"/>
      <c r="H862" s="18"/>
      <c r="I862" s="142"/>
      <c r="J862" s="15"/>
      <c r="Q862" s="15"/>
      <c r="R862" s="18"/>
      <c r="S862" s="142"/>
      <c r="T862" s="142"/>
      <c r="U862" s="142"/>
      <c r="V862" s="18"/>
      <c r="W862" s="18"/>
      <c r="X862" s="18"/>
      <c r="Y862" s="142"/>
      <c r="Z862" s="18"/>
      <c r="AA862" s="18"/>
      <c r="AB862" s="18"/>
      <c r="AC862" s="18"/>
      <c r="AD862" s="18"/>
      <c r="AE862" s="18"/>
      <c r="AF862" s="18"/>
      <c r="AG862" s="18"/>
      <c r="AH862" s="18"/>
      <c r="AI862" s="18"/>
      <c r="AJ862" s="142"/>
      <c r="AK862" s="142"/>
      <c r="AL862" s="18"/>
      <c r="AM862" s="18"/>
      <c r="AN862" s="18"/>
      <c r="AO862" s="142"/>
    </row>
    <row r="863">
      <c r="A863" s="142"/>
      <c r="B863" s="18"/>
      <c r="C863" s="142"/>
      <c r="D863" s="18"/>
      <c r="E863" s="18"/>
      <c r="F863" s="18"/>
      <c r="G863" s="142"/>
      <c r="H863" s="18"/>
      <c r="I863" s="142"/>
      <c r="J863" s="15"/>
      <c r="Q863" s="15"/>
      <c r="R863" s="18"/>
      <c r="S863" s="142"/>
      <c r="T863" s="142"/>
      <c r="U863" s="142"/>
      <c r="V863" s="18"/>
      <c r="W863" s="18"/>
      <c r="X863" s="18"/>
      <c r="Y863" s="142"/>
      <c r="Z863" s="18"/>
      <c r="AA863" s="18"/>
      <c r="AB863" s="18"/>
      <c r="AC863" s="18"/>
      <c r="AD863" s="18"/>
      <c r="AE863" s="18"/>
      <c r="AF863" s="18"/>
      <c r="AG863" s="18"/>
      <c r="AH863" s="18"/>
      <c r="AI863" s="18"/>
      <c r="AJ863" s="142"/>
      <c r="AK863" s="142"/>
      <c r="AL863" s="18"/>
      <c r="AM863" s="18"/>
      <c r="AN863" s="18"/>
      <c r="AO863" s="142"/>
    </row>
    <row r="864">
      <c r="A864" s="142"/>
      <c r="B864" s="18"/>
      <c r="C864" s="142"/>
      <c r="D864" s="18"/>
      <c r="E864" s="18"/>
      <c r="F864" s="18"/>
      <c r="G864" s="142"/>
      <c r="H864" s="18"/>
      <c r="I864" s="142"/>
      <c r="J864" s="15"/>
      <c r="Q864" s="15"/>
      <c r="R864" s="18"/>
      <c r="S864" s="142"/>
      <c r="T864" s="142"/>
      <c r="U864" s="142"/>
      <c r="V864" s="18"/>
      <c r="W864" s="18"/>
      <c r="X864" s="18"/>
      <c r="Y864" s="142"/>
      <c r="Z864" s="18"/>
      <c r="AA864" s="18"/>
      <c r="AB864" s="18"/>
      <c r="AC864" s="18"/>
      <c r="AD864" s="18"/>
      <c r="AE864" s="18"/>
      <c r="AF864" s="18"/>
      <c r="AG864" s="18"/>
      <c r="AH864" s="18"/>
      <c r="AI864" s="18"/>
      <c r="AJ864" s="142"/>
      <c r="AK864" s="142"/>
      <c r="AL864" s="18"/>
      <c r="AM864" s="18"/>
      <c r="AN864" s="18"/>
      <c r="AO864" s="142"/>
    </row>
    <row r="865">
      <c r="A865" s="142"/>
      <c r="B865" s="18"/>
      <c r="C865" s="142"/>
      <c r="D865" s="18"/>
      <c r="E865" s="18"/>
      <c r="F865" s="18"/>
      <c r="G865" s="142"/>
      <c r="H865" s="18"/>
      <c r="I865" s="142"/>
      <c r="J865" s="15"/>
      <c r="Q865" s="15"/>
      <c r="R865" s="18"/>
      <c r="S865" s="142"/>
      <c r="T865" s="142"/>
      <c r="U865" s="142"/>
      <c r="V865" s="18"/>
      <c r="W865" s="18"/>
      <c r="X865" s="18"/>
      <c r="Y865" s="142"/>
      <c r="Z865" s="18"/>
      <c r="AA865" s="18"/>
      <c r="AB865" s="18"/>
      <c r="AC865" s="18"/>
      <c r="AD865" s="18"/>
      <c r="AE865" s="18"/>
      <c r="AF865" s="18"/>
      <c r="AG865" s="18"/>
      <c r="AH865" s="18"/>
      <c r="AI865" s="18"/>
      <c r="AJ865" s="142"/>
      <c r="AK865" s="142"/>
      <c r="AL865" s="18"/>
      <c r="AM865" s="18"/>
      <c r="AN865" s="18"/>
      <c r="AO865" s="142"/>
    </row>
    <row r="866">
      <c r="A866" s="142"/>
      <c r="B866" s="18"/>
      <c r="C866" s="142"/>
      <c r="D866" s="18"/>
      <c r="E866" s="18"/>
      <c r="F866" s="18"/>
      <c r="G866" s="142"/>
      <c r="H866" s="18"/>
      <c r="I866" s="142"/>
      <c r="J866" s="15"/>
      <c r="Q866" s="15"/>
      <c r="R866" s="18"/>
      <c r="S866" s="142"/>
      <c r="T866" s="142"/>
      <c r="U866" s="142"/>
      <c r="V866" s="18"/>
      <c r="W866" s="18"/>
      <c r="X866" s="18"/>
      <c r="Y866" s="142"/>
      <c r="Z866" s="18"/>
      <c r="AA866" s="18"/>
      <c r="AB866" s="18"/>
      <c r="AC866" s="18"/>
      <c r="AD866" s="18"/>
      <c r="AE866" s="18"/>
      <c r="AF866" s="18"/>
      <c r="AG866" s="18"/>
      <c r="AH866" s="18"/>
      <c r="AI866" s="18"/>
      <c r="AJ866" s="142"/>
      <c r="AK866" s="142"/>
      <c r="AL866" s="18"/>
      <c r="AM866" s="18"/>
      <c r="AN866" s="18"/>
      <c r="AO866" s="142"/>
    </row>
    <row r="867">
      <c r="A867" s="142"/>
      <c r="B867" s="18"/>
      <c r="C867" s="142"/>
      <c r="D867" s="18"/>
      <c r="E867" s="18"/>
      <c r="F867" s="18"/>
      <c r="G867" s="142"/>
      <c r="H867" s="18"/>
      <c r="I867" s="142"/>
      <c r="J867" s="15"/>
      <c r="Q867" s="15"/>
      <c r="R867" s="18"/>
      <c r="S867" s="142"/>
      <c r="T867" s="142"/>
      <c r="U867" s="142"/>
      <c r="V867" s="18"/>
      <c r="W867" s="18"/>
      <c r="X867" s="18"/>
      <c r="Y867" s="142"/>
      <c r="Z867" s="18"/>
      <c r="AA867" s="18"/>
      <c r="AB867" s="18"/>
      <c r="AC867" s="18"/>
      <c r="AD867" s="18"/>
      <c r="AE867" s="18"/>
      <c r="AF867" s="18"/>
      <c r="AG867" s="18"/>
      <c r="AH867" s="18"/>
      <c r="AI867" s="18"/>
      <c r="AJ867" s="142"/>
      <c r="AK867" s="142"/>
      <c r="AL867" s="18"/>
      <c r="AM867" s="18"/>
      <c r="AN867" s="18"/>
      <c r="AO867" s="142"/>
    </row>
    <row r="868">
      <c r="A868" s="142"/>
      <c r="B868" s="18"/>
      <c r="C868" s="142"/>
      <c r="D868" s="18"/>
      <c r="E868" s="18"/>
      <c r="F868" s="18"/>
      <c r="G868" s="142"/>
      <c r="H868" s="18"/>
      <c r="I868" s="142"/>
      <c r="J868" s="15"/>
      <c r="Q868" s="15"/>
      <c r="R868" s="18"/>
      <c r="S868" s="142"/>
      <c r="T868" s="142"/>
      <c r="U868" s="142"/>
      <c r="V868" s="18"/>
      <c r="W868" s="18"/>
      <c r="X868" s="18"/>
      <c r="Y868" s="142"/>
      <c r="Z868" s="18"/>
      <c r="AA868" s="18"/>
      <c r="AB868" s="18"/>
      <c r="AC868" s="18"/>
      <c r="AD868" s="18"/>
      <c r="AE868" s="18"/>
      <c r="AF868" s="18"/>
      <c r="AG868" s="18"/>
      <c r="AH868" s="18"/>
      <c r="AI868" s="18"/>
      <c r="AJ868" s="142"/>
      <c r="AK868" s="142"/>
      <c r="AL868" s="18"/>
      <c r="AM868" s="18"/>
      <c r="AN868" s="18"/>
      <c r="AO868" s="142"/>
    </row>
    <row r="869">
      <c r="A869" s="142"/>
      <c r="B869" s="18"/>
      <c r="C869" s="142"/>
      <c r="D869" s="18"/>
      <c r="E869" s="18"/>
      <c r="F869" s="18"/>
      <c r="G869" s="142"/>
      <c r="H869" s="18"/>
      <c r="I869" s="142"/>
      <c r="J869" s="15"/>
      <c r="Q869" s="15"/>
      <c r="R869" s="18"/>
      <c r="S869" s="142"/>
      <c r="T869" s="142"/>
      <c r="U869" s="142"/>
      <c r="V869" s="18"/>
      <c r="W869" s="18"/>
      <c r="X869" s="18"/>
      <c r="Y869" s="142"/>
      <c r="Z869" s="18"/>
      <c r="AA869" s="18"/>
      <c r="AB869" s="18"/>
      <c r="AC869" s="18"/>
      <c r="AD869" s="18"/>
      <c r="AE869" s="18"/>
      <c r="AF869" s="18"/>
      <c r="AG869" s="18"/>
      <c r="AH869" s="18"/>
      <c r="AI869" s="18"/>
      <c r="AJ869" s="142"/>
      <c r="AK869" s="142"/>
      <c r="AL869" s="18"/>
      <c r="AM869" s="18"/>
      <c r="AN869" s="18"/>
      <c r="AO869" s="142"/>
    </row>
    <row r="870">
      <c r="A870" s="142"/>
      <c r="B870" s="18"/>
      <c r="C870" s="142"/>
      <c r="D870" s="18"/>
      <c r="E870" s="18"/>
      <c r="F870" s="18"/>
      <c r="G870" s="142"/>
      <c r="H870" s="18"/>
      <c r="I870" s="142"/>
      <c r="J870" s="15"/>
      <c r="Q870" s="15"/>
      <c r="R870" s="18"/>
      <c r="S870" s="142"/>
      <c r="T870" s="142"/>
      <c r="U870" s="142"/>
      <c r="V870" s="18"/>
      <c r="W870" s="18"/>
      <c r="X870" s="18"/>
      <c r="Y870" s="142"/>
      <c r="Z870" s="18"/>
      <c r="AA870" s="18"/>
      <c r="AB870" s="18"/>
      <c r="AC870" s="18"/>
      <c r="AD870" s="18"/>
      <c r="AE870" s="18"/>
      <c r="AF870" s="18"/>
      <c r="AG870" s="18"/>
      <c r="AH870" s="18"/>
      <c r="AI870" s="18"/>
      <c r="AJ870" s="142"/>
      <c r="AK870" s="142"/>
      <c r="AL870" s="18"/>
      <c r="AM870" s="18"/>
      <c r="AN870" s="18"/>
      <c r="AO870" s="142"/>
    </row>
    <row r="871">
      <c r="A871" s="142"/>
      <c r="B871" s="18"/>
      <c r="C871" s="142"/>
      <c r="D871" s="18"/>
      <c r="E871" s="18"/>
      <c r="F871" s="18"/>
      <c r="G871" s="142"/>
      <c r="H871" s="18"/>
      <c r="I871" s="142"/>
      <c r="J871" s="15"/>
      <c r="Q871" s="15"/>
      <c r="R871" s="18"/>
      <c r="S871" s="142"/>
      <c r="T871" s="142"/>
      <c r="U871" s="142"/>
      <c r="V871" s="18"/>
      <c r="W871" s="18"/>
      <c r="X871" s="18"/>
      <c r="Y871" s="142"/>
      <c r="Z871" s="18"/>
      <c r="AA871" s="18"/>
      <c r="AB871" s="18"/>
      <c r="AC871" s="18"/>
      <c r="AD871" s="18"/>
      <c r="AE871" s="18"/>
      <c r="AF871" s="18"/>
      <c r="AG871" s="18"/>
      <c r="AH871" s="18"/>
      <c r="AI871" s="18"/>
      <c r="AJ871" s="142"/>
      <c r="AK871" s="142"/>
      <c r="AL871" s="18"/>
      <c r="AM871" s="18"/>
      <c r="AN871" s="18"/>
      <c r="AO871" s="142"/>
    </row>
    <row r="872">
      <c r="A872" s="142"/>
      <c r="B872" s="18"/>
      <c r="C872" s="142"/>
      <c r="D872" s="18"/>
      <c r="E872" s="18"/>
      <c r="F872" s="18"/>
      <c r="G872" s="142"/>
      <c r="H872" s="18"/>
      <c r="I872" s="142"/>
      <c r="J872" s="15"/>
      <c r="Q872" s="15"/>
      <c r="R872" s="18"/>
      <c r="S872" s="142"/>
      <c r="T872" s="142"/>
      <c r="U872" s="142"/>
      <c r="V872" s="18"/>
      <c r="W872" s="18"/>
      <c r="X872" s="18"/>
      <c r="Y872" s="142"/>
      <c r="Z872" s="18"/>
      <c r="AA872" s="18"/>
      <c r="AB872" s="18"/>
      <c r="AC872" s="18"/>
      <c r="AD872" s="18"/>
      <c r="AE872" s="18"/>
      <c r="AF872" s="18"/>
      <c r="AG872" s="18"/>
      <c r="AH872" s="18"/>
      <c r="AI872" s="18"/>
      <c r="AJ872" s="142"/>
      <c r="AK872" s="142"/>
      <c r="AL872" s="18"/>
      <c r="AM872" s="18"/>
      <c r="AN872" s="18"/>
      <c r="AO872" s="142"/>
    </row>
    <row r="873">
      <c r="A873" s="142"/>
      <c r="B873" s="18"/>
      <c r="C873" s="142"/>
      <c r="D873" s="18"/>
      <c r="E873" s="18"/>
      <c r="F873" s="18"/>
      <c r="G873" s="142"/>
      <c r="H873" s="18"/>
      <c r="I873" s="142"/>
      <c r="J873" s="15"/>
      <c r="Q873" s="15"/>
      <c r="R873" s="18"/>
      <c r="S873" s="142"/>
      <c r="T873" s="142"/>
      <c r="U873" s="142"/>
      <c r="V873" s="18"/>
      <c r="W873" s="18"/>
      <c r="X873" s="18"/>
      <c r="Y873" s="142"/>
      <c r="Z873" s="18"/>
      <c r="AA873" s="18"/>
      <c r="AB873" s="18"/>
      <c r="AC873" s="18"/>
      <c r="AD873" s="18"/>
      <c r="AE873" s="18"/>
      <c r="AF873" s="18"/>
      <c r="AG873" s="18"/>
      <c r="AH873" s="18"/>
      <c r="AI873" s="18"/>
      <c r="AJ873" s="142"/>
      <c r="AK873" s="142"/>
      <c r="AL873" s="18"/>
      <c r="AM873" s="18"/>
      <c r="AN873" s="18"/>
      <c r="AO873" s="142"/>
    </row>
    <row r="874">
      <c r="A874" s="142"/>
      <c r="B874" s="18"/>
      <c r="C874" s="142"/>
      <c r="D874" s="18"/>
      <c r="E874" s="18"/>
      <c r="F874" s="18"/>
      <c r="G874" s="142"/>
      <c r="H874" s="18"/>
      <c r="I874" s="142"/>
      <c r="J874" s="15"/>
      <c r="Q874" s="15"/>
      <c r="R874" s="18"/>
      <c r="S874" s="142"/>
      <c r="T874" s="142"/>
      <c r="U874" s="142"/>
      <c r="V874" s="18"/>
      <c r="W874" s="18"/>
      <c r="X874" s="18"/>
      <c r="Y874" s="142"/>
      <c r="Z874" s="18"/>
      <c r="AA874" s="18"/>
      <c r="AB874" s="18"/>
      <c r="AC874" s="18"/>
      <c r="AD874" s="18"/>
      <c r="AE874" s="18"/>
      <c r="AF874" s="18"/>
      <c r="AG874" s="18"/>
      <c r="AH874" s="18"/>
      <c r="AI874" s="18"/>
      <c r="AJ874" s="142"/>
      <c r="AK874" s="142"/>
      <c r="AL874" s="18"/>
      <c r="AM874" s="18"/>
      <c r="AN874" s="18"/>
      <c r="AO874" s="142"/>
    </row>
    <row r="875">
      <c r="A875" s="142"/>
      <c r="B875" s="18"/>
      <c r="C875" s="142"/>
      <c r="D875" s="18"/>
      <c r="E875" s="18"/>
      <c r="F875" s="18"/>
      <c r="G875" s="142"/>
      <c r="H875" s="18"/>
      <c r="I875" s="142"/>
      <c r="J875" s="15"/>
      <c r="Q875" s="15"/>
      <c r="R875" s="18"/>
      <c r="S875" s="142"/>
      <c r="T875" s="142"/>
      <c r="U875" s="142"/>
      <c r="V875" s="18"/>
      <c r="W875" s="18"/>
      <c r="X875" s="18"/>
      <c r="Y875" s="142"/>
      <c r="Z875" s="18"/>
      <c r="AA875" s="18"/>
      <c r="AB875" s="18"/>
      <c r="AC875" s="18"/>
      <c r="AD875" s="18"/>
      <c r="AE875" s="18"/>
      <c r="AF875" s="18"/>
      <c r="AG875" s="18"/>
      <c r="AH875" s="18"/>
      <c r="AI875" s="18"/>
      <c r="AJ875" s="142"/>
      <c r="AK875" s="142"/>
      <c r="AL875" s="18"/>
      <c r="AM875" s="18"/>
      <c r="AN875" s="18"/>
      <c r="AO875" s="142"/>
    </row>
    <row r="876">
      <c r="A876" s="142"/>
      <c r="B876" s="18"/>
      <c r="C876" s="142"/>
      <c r="D876" s="18"/>
      <c r="E876" s="18"/>
      <c r="F876" s="18"/>
      <c r="G876" s="142"/>
      <c r="H876" s="18"/>
      <c r="I876" s="142"/>
      <c r="J876" s="15"/>
      <c r="Q876" s="15"/>
      <c r="R876" s="18"/>
      <c r="S876" s="142"/>
      <c r="T876" s="142"/>
      <c r="U876" s="142"/>
      <c r="V876" s="18"/>
      <c r="W876" s="18"/>
      <c r="X876" s="18"/>
      <c r="Y876" s="142"/>
      <c r="Z876" s="18"/>
      <c r="AA876" s="18"/>
      <c r="AB876" s="18"/>
      <c r="AC876" s="18"/>
      <c r="AD876" s="18"/>
      <c r="AE876" s="18"/>
      <c r="AF876" s="18"/>
      <c r="AG876" s="18"/>
      <c r="AH876" s="18"/>
      <c r="AI876" s="18"/>
      <c r="AJ876" s="142"/>
      <c r="AK876" s="142"/>
      <c r="AL876" s="18"/>
      <c r="AM876" s="18"/>
      <c r="AN876" s="18"/>
      <c r="AO876" s="142"/>
    </row>
    <row r="877">
      <c r="A877" s="142"/>
      <c r="B877" s="18"/>
      <c r="C877" s="142"/>
      <c r="D877" s="18"/>
      <c r="E877" s="18"/>
      <c r="F877" s="18"/>
      <c r="G877" s="142"/>
      <c r="H877" s="18"/>
      <c r="I877" s="142"/>
      <c r="J877" s="15"/>
      <c r="Q877" s="15"/>
      <c r="R877" s="18"/>
      <c r="S877" s="142"/>
      <c r="T877" s="142"/>
      <c r="U877" s="142"/>
      <c r="V877" s="18"/>
      <c r="W877" s="18"/>
      <c r="X877" s="18"/>
      <c r="Y877" s="142"/>
      <c r="Z877" s="18"/>
      <c r="AA877" s="18"/>
      <c r="AB877" s="18"/>
      <c r="AC877" s="18"/>
      <c r="AD877" s="18"/>
      <c r="AE877" s="18"/>
      <c r="AF877" s="18"/>
      <c r="AG877" s="18"/>
      <c r="AH877" s="18"/>
      <c r="AI877" s="18"/>
      <c r="AJ877" s="142"/>
      <c r="AK877" s="142"/>
      <c r="AL877" s="18"/>
      <c r="AM877" s="18"/>
      <c r="AN877" s="18"/>
      <c r="AO877" s="142"/>
    </row>
    <row r="878">
      <c r="A878" s="142"/>
      <c r="B878" s="18"/>
      <c r="C878" s="142"/>
      <c r="D878" s="18"/>
      <c r="E878" s="18"/>
      <c r="F878" s="18"/>
      <c r="G878" s="142"/>
      <c r="H878" s="18"/>
      <c r="I878" s="142"/>
      <c r="J878" s="15"/>
      <c r="Q878" s="15"/>
      <c r="R878" s="18"/>
      <c r="S878" s="142"/>
      <c r="T878" s="142"/>
      <c r="U878" s="142"/>
      <c r="V878" s="18"/>
      <c r="W878" s="18"/>
      <c r="X878" s="18"/>
      <c r="Y878" s="142"/>
      <c r="Z878" s="18"/>
      <c r="AA878" s="18"/>
      <c r="AB878" s="18"/>
      <c r="AC878" s="18"/>
      <c r="AD878" s="18"/>
      <c r="AE878" s="18"/>
      <c r="AF878" s="18"/>
      <c r="AG878" s="18"/>
      <c r="AH878" s="18"/>
      <c r="AI878" s="18"/>
      <c r="AJ878" s="142"/>
      <c r="AK878" s="142"/>
      <c r="AL878" s="18"/>
      <c r="AM878" s="18"/>
      <c r="AN878" s="18"/>
      <c r="AO878" s="142"/>
    </row>
    <row r="879">
      <c r="A879" s="142"/>
      <c r="B879" s="18"/>
      <c r="C879" s="142"/>
      <c r="D879" s="18"/>
      <c r="E879" s="18"/>
      <c r="F879" s="18"/>
      <c r="G879" s="142"/>
      <c r="H879" s="18"/>
      <c r="I879" s="142"/>
      <c r="J879" s="15"/>
      <c r="Q879" s="15"/>
      <c r="R879" s="18"/>
      <c r="S879" s="142"/>
      <c r="T879" s="142"/>
      <c r="U879" s="142"/>
      <c r="V879" s="18"/>
      <c r="W879" s="18"/>
      <c r="X879" s="18"/>
      <c r="Y879" s="142"/>
      <c r="Z879" s="18"/>
      <c r="AA879" s="18"/>
      <c r="AB879" s="18"/>
      <c r="AC879" s="18"/>
      <c r="AD879" s="18"/>
      <c r="AE879" s="18"/>
      <c r="AF879" s="18"/>
      <c r="AG879" s="18"/>
      <c r="AH879" s="18"/>
      <c r="AI879" s="18"/>
      <c r="AJ879" s="142"/>
      <c r="AK879" s="142"/>
      <c r="AL879" s="18"/>
      <c r="AM879" s="18"/>
      <c r="AN879" s="18"/>
      <c r="AO879" s="142"/>
    </row>
    <row r="880">
      <c r="A880" s="142"/>
      <c r="B880" s="18"/>
      <c r="C880" s="142"/>
      <c r="D880" s="18"/>
      <c r="E880" s="18"/>
      <c r="F880" s="18"/>
      <c r="G880" s="142"/>
      <c r="H880" s="18"/>
      <c r="I880" s="142"/>
      <c r="J880" s="15"/>
      <c r="Q880" s="15"/>
      <c r="R880" s="18"/>
      <c r="S880" s="142"/>
      <c r="T880" s="142"/>
      <c r="U880" s="142"/>
      <c r="V880" s="18"/>
      <c r="W880" s="18"/>
      <c r="X880" s="18"/>
      <c r="Y880" s="142"/>
      <c r="Z880" s="18"/>
      <c r="AA880" s="18"/>
      <c r="AB880" s="18"/>
      <c r="AC880" s="18"/>
      <c r="AD880" s="18"/>
      <c r="AE880" s="18"/>
      <c r="AF880" s="18"/>
      <c r="AG880" s="18"/>
      <c r="AH880" s="18"/>
      <c r="AI880" s="18"/>
      <c r="AJ880" s="142"/>
      <c r="AK880" s="142"/>
      <c r="AL880" s="18"/>
      <c r="AM880" s="18"/>
      <c r="AN880" s="18"/>
      <c r="AO880" s="142"/>
    </row>
    <row r="881">
      <c r="A881" s="142"/>
      <c r="B881" s="18"/>
      <c r="C881" s="142"/>
      <c r="D881" s="18"/>
      <c r="E881" s="18"/>
      <c r="F881" s="18"/>
      <c r="G881" s="142"/>
      <c r="H881" s="18"/>
      <c r="I881" s="142"/>
      <c r="J881" s="15"/>
      <c r="Q881" s="15"/>
      <c r="R881" s="18"/>
      <c r="S881" s="142"/>
      <c r="T881" s="142"/>
      <c r="U881" s="142"/>
      <c r="V881" s="18"/>
      <c r="W881" s="18"/>
      <c r="X881" s="18"/>
      <c r="Y881" s="142"/>
      <c r="Z881" s="18"/>
      <c r="AA881" s="18"/>
      <c r="AB881" s="18"/>
      <c r="AC881" s="18"/>
      <c r="AD881" s="18"/>
      <c r="AE881" s="18"/>
      <c r="AF881" s="18"/>
      <c r="AG881" s="18"/>
      <c r="AH881" s="18"/>
      <c r="AI881" s="18"/>
      <c r="AJ881" s="142"/>
      <c r="AK881" s="142"/>
      <c r="AL881" s="18"/>
      <c r="AM881" s="18"/>
      <c r="AN881" s="18"/>
      <c r="AO881" s="142"/>
    </row>
    <row r="882">
      <c r="A882" s="142"/>
      <c r="B882" s="18"/>
      <c r="C882" s="142"/>
      <c r="D882" s="18"/>
      <c r="E882" s="18"/>
      <c r="F882" s="18"/>
      <c r="G882" s="142"/>
      <c r="H882" s="18"/>
      <c r="I882" s="142"/>
      <c r="J882" s="15"/>
      <c r="Q882" s="15"/>
      <c r="R882" s="18"/>
      <c r="S882" s="142"/>
      <c r="T882" s="142"/>
      <c r="U882" s="142"/>
      <c r="V882" s="18"/>
      <c r="W882" s="18"/>
      <c r="X882" s="18"/>
      <c r="Y882" s="142"/>
      <c r="Z882" s="18"/>
      <c r="AA882" s="18"/>
      <c r="AB882" s="18"/>
      <c r="AC882" s="18"/>
      <c r="AD882" s="18"/>
      <c r="AE882" s="18"/>
      <c r="AF882" s="18"/>
      <c r="AG882" s="18"/>
      <c r="AH882" s="18"/>
      <c r="AI882" s="18"/>
      <c r="AJ882" s="142"/>
      <c r="AK882" s="142"/>
      <c r="AL882" s="18"/>
      <c r="AM882" s="18"/>
      <c r="AN882" s="18"/>
      <c r="AO882" s="142"/>
    </row>
    <row r="883">
      <c r="A883" s="142"/>
      <c r="B883" s="18"/>
      <c r="C883" s="142"/>
      <c r="D883" s="18"/>
      <c r="E883" s="18"/>
      <c r="F883" s="18"/>
      <c r="G883" s="142"/>
      <c r="H883" s="18"/>
      <c r="I883" s="142"/>
      <c r="J883" s="15"/>
      <c r="Q883" s="15"/>
      <c r="R883" s="18"/>
      <c r="S883" s="142"/>
      <c r="T883" s="142"/>
      <c r="U883" s="142"/>
      <c r="V883" s="18"/>
      <c r="W883" s="18"/>
      <c r="X883" s="18"/>
      <c r="Y883" s="142"/>
      <c r="Z883" s="18"/>
      <c r="AA883" s="18"/>
      <c r="AB883" s="18"/>
      <c r="AC883" s="18"/>
      <c r="AD883" s="18"/>
      <c r="AE883" s="18"/>
      <c r="AF883" s="18"/>
      <c r="AG883" s="18"/>
      <c r="AH883" s="18"/>
      <c r="AI883" s="18"/>
      <c r="AJ883" s="142"/>
      <c r="AK883" s="142"/>
      <c r="AL883" s="18"/>
      <c r="AM883" s="18"/>
      <c r="AN883" s="18"/>
      <c r="AO883" s="142"/>
    </row>
    <row r="884">
      <c r="A884" s="142"/>
      <c r="B884" s="18"/>
      <c r="C884" s="142"/>
      <c r="D884" s="18"/>
      <c r="E884" s="18"/>
      <c r="F884" s="18"/>
      <c r="G884" s="142"/>
      <c r="H884" s="18"/>
      <c r="I884" s="142"/>
      <c r="J884" s="15"/>
      <c r="Q884" s="15"/>
      <c r="R884" s="18"/>
      <c r="S884" s="142"/>
      <c r="T884" s="142"/>
      <c r="U884" s="142"/>
      <c r="V884" s="18"/>
      <c r="W884" s="18"/>
      <c r="X884" s="18"/>
      <c r="Y884" s="142"/>
      <c r="Z884" s="18"/>
      <c r="AA884" s="18"/>
      <c r="AB884" s="18"/>
      <c r="AC884" s="18"/>
      <c r="AD884" s="18"/>
      <c r="AE884" s="18"/>
      <c r="AF884" s="18"/>
      <c r="AG884" s="18"/>
      <c r="AH884" s="18"/>
      <c r="AI884" s="18"/>
      <c r="AJ884" s="142"/>
      <c r="AK884" s="142"/>
      <c r="AL884" s="18"/>
      <c r="AM884" s="18"/>
      <c r="AN884" s="18"/>
      <c r="AO884" s="142"/>
    </row>
    <row r="885">
      <c r="A885" s="142"/>
      <c r="B885" s="18"/>
      <c r="C885" s="142"/>
      <c r="D885" s="18"/>
      <c r="E885" s="18"/>
      <c r="F885" s="18"/>
      <c r="G885" s="142"/>
      <c r="H885" s="18"/>
      <c r="I885" s="142"/>
      <c r="J885" s="15"/>
      <c r="Q885" s="15"/>
      <c r="R885" s="18"/>
      <c r="S885" s="142"/>
      <c r="T885" s="142"/>
      <c r="U885" s="142"/>
      <c r="V885" s="18"/>
      <c r="W885" s="18"/>
      <c r="X885" s="18"/>
      <c r="Y885" s="142"/>
      <c r="Z885" s="18"/>
      <c r="AA885" s="18"/>
      <c r="AB885" s="18"/>
      <c r="AC885" s="18"/>
      <c r="AD885" s="18"/>
      <c r="AE885" s="18"/>
      <c r="AF885" s="18"/>
      <c r="AG885" s="18"/>
      <c r="AH885" s="18"/>
      <c r="AI885" s="18"/>
      <c r="AJ885" s="142"/>
      <c r="AK885" s="142"/>
      <c r="AL885" s="18"/>
      <c r="AM885" s="18"/>
      <c r="AN885" s="18"/>
      <c r="AO885" s="142"/>
    </row>
    <row r="886">
      <c r="A886" s="142"/>
      <c r="B886" s="18"/>
      <c r="C886" s="142"/>
      <c r="D886" s="18"/>
      <c r="E886" s="18"/>
      <c r="F886" s="18"/>
      <c r="G886" s="142"/>
      <c r="H886" s="18"/>
      <c r="I886" s="142"/>
      <c r="J886" s="15"/>
      <c r="Q886" s="15"/>
      <c r="R886" s="18"/>
      <c r="S886" s="142"/>
      <c r="T886" s="142"/>
      <c r="U886" s="142"/>
      <c r="V886" s="18"/>
      <c r="W886" s="18"/>
      <c r="X886" s="18"/>
      <c r="Y886" s="142"/>
      <c r="Z886" s="18"/>
      <c r="AA886" s="18"/>
      <c r="AB886" s="18"/>
      <c r="AC886" s="18"/>
      <c r="AD886" s="18"/>
      <c r="AE886" s="18"/>
      <c r="AF886" s="18"/>
      <c r="AG886" s="18"/>
      <c r="AH886" s="18"/>
      <c r="AI886" s="18"/>
      <c r="AJ886" s="142"/>
      <c r="AK886" s="142"/>
      <c r="AL886" s="18"/>
      <c r="AM886" s="18"/>
      <c r="AN886" s="18"/>
      <c r="AO886" s="142"/>
    </row>
    <row r="887">
      <c r="A887" s="142"/>
      <c r="B887" s="18"/>
      <c r="C887" s="142"/>
      <c r="D887" s="18"/>
      <c r="E887" s="18"/>
      <c r="F887" s="18"/>
      <c r="G887" s="142"/>
      <c r="H887" s="18"/>
      <c r="I887" s="142"/>
      <c r="J887" s="15"/>
      <c r="Q887" s="15"/>
      <c r="R887" s="18"/>
      <c r="S887" s="142"/>
      <c r="T887" s="142"/>
      <c r="U887" s="142"/>
      <c r="V887" s="18"/>
      <c r="W887" s="18"/>
      <c r="X887" s="18"/>
      <c r="Y887" s="142"/>
      <c r="Z887" s="18"/>
      <c r="AA887" s="18"/>
      <c r="AB887" s="18"/>
      <c r="AC887" s="18"/>
      <c r="AD887" s="18"/>
      <c r="AE887" s="18"/>
      <c r="AF887" s="18"/>
      <c r="AG887" s="18"/>
      <c r="AH887" s="18"/>
      <c r="AI887" s="18"/>
      <c r="AJ887" s="142"/>
      <c r="AK887" s="142"/>
      <c r="AL887" s="18"/>
      <c r="AM887" s="18"/>
      <c r="AN887" s="18"/>
      <c r="AO887" s="142"/>
    </row>
    <row r="888">
      <c r="A888" s="142"/>
      <c r="B888" s="18"/>
      <c r="C888" s="142"/>
      <c r="D888" s="18"/>
      <c r="E888" s="18"/>
      <c r="F888" s="18"/>
      <c r="G888" s="142"/>
      <c r="H888" s="18"/>
      <c r="I888" s="142"/>
      <c r="J888" s="15"/>
      <c r="Q888" s="15"/>
      <c r="R888" s="18"/>
      <c r="S888" s="142"/>
      <c r="T888" s="142"/>
      <c r="U888" s="142"/>
      <c r="V888" s="18"/>
      <c r="W888" s="18"/>
      <c r="X888" s="18"/>
      <c r="Y888" s="142"/>
      <c r="Z888" s="18"/>
      <c r="AA888" s="18"/>
      <c r="AB888" s="18"/>
      <c r="AC888" s="18"/>
      <c r="AD888" s="18"/>
      <c r="AE888" s="18"/>
      <c r="AF888" s="18"/>
      <c r="AG888" s="18"/>
      <c r="AH888" s="18"/>
      <c r="AI888" s="18"/>
      <c r="AJ888" s="142"/>
      <c r="AK888" s="142"/>
      <c r="AL888" s="18"/>
      <c r="AM888" s="18"/>
      <c r="AN888" s="18"/>
      <c r="AO888" s="142"/>
    </row>
    <row r="889">
      <c r="A889" s="142"/>
      <c r="B889" s="18"/>
      <c r="C889" s="142"/>
      <c r="D889" s="18"/>
      <c r="E889" s="18"/>
      <c r="F889" s="18"/>
      <c r="G889" s="142"/>
      <c r="H889" s="18"/>
      <c r="I889" s="142"/>
      <c r="J889" s="15"/>
      <c r="Q889" s="15"/>
      <c r="R889" s="18"/>
      <c r="S889" s="142"/>
      <c r="T889" s="142"/>
      <c r="U889" s="142"/>
      <c r="V889" s="18"/>
      <c r="W889" s="18"/>
      <c r="X889" s="18"/>
      <c r="Y889" s="142"/>
      <c r="Z889" s="18"/>
      <c r="AA889" s="18"/>
      <c r="AB889" s="18"/>
      <c r="AC889" s="18"/>
      <c r="AD889" s="18"/>
      <c r="AE889" s="18"/>
      <c r="AF889" s="18"/>
      <c r="AG889" s="18"/>
      <c r="AH889" s="18"/>
      <c r="AI889" s="18"/>
      <c r="AJ889" s="142"/>
      <c r="AK889" s="142"/>
      <c r="AL889" s="18"/>
      <c r="AM889" s="18"/>
      <c r="AN889" s="18"/>
      <c r="AO889" s="142"/>
    </row>
    <row r="890">
      <c r="A890" s="142"/>
      <c r="B890" s="18"/>
      <c r="C890" s="142"/>
      <c r="D890" s="18"/>
      <c r="E890" s="18"/>
      <c r="F890" s="18"/>
      <c r="G890" s="142"/>
      <c r="H890" s="18"/>
      <c r="I890" s="142"/>
      <c r="J890" s="15"/>
      <c r="Q890" s="15"/>
      <c r="R890" s="18"/>
      <c r="S890" s="142"/>
      <c r="T890" s="142"/>
      <c r="U890" s="142"/>
      <c r="V890" s="18"/>
      <c r="W890" s="18"/>
      <c r="X890" s="18"/>
      <c r="Y890" s="142"/>
      <c r="Z890" s="18"/>
      <c r="AA890" s="18"/>
      <c r="AB890" s="18"/>
      <c r="AC890" s="18"/>
      <c r="AD890" s="18"/>
      <c r="AE890" s="18"/>
      <c r="AF890" s="18"/>
      <c r="AG890" s="18"/>
      <c r="AH890" s="18"/>
      <c r="AI890" s="18"/>
      <c r="AJ890" s="142"/>
      <c r="AK890" s="142"/>
      <c r="AL890" s="18"/>
      <c r="AM890" s="18"/>
      <c r="AN890" s="18"/>
      <c r="AO890" s="142"/>
    </row>
    <row r="891">
      <c r="A891" s="142"/>
      <c r="B891" s="18"/>
      <c r="C891" s="142"/>
      <c r="D891" s="18"/>
      <c r="E891" s="18"/>
      <c r="F891" s="18"/>
      <c r="G891" s="142"/>
      <c r="H891" s="18"/>
      <c r="I891" s="142"/>
      <c r="J891" s="15"/>
      <c r="Q891" s="15"/>
      <c r="R891" s="18"/>
      <c r="S891" s="142"/>
      <c r="T891" s="142"/>
      <c r="U891" s="142"/>
      <c r="V891" s="18"/>
      <c r="W891" s="18"/>
      <c r="X891" s="18"/>
      <c r="Y891" s="142"/>
      <c r="Z891" s="18"/>
      <c r="AA891" s="18"/>
      <c r="AB891" s="18"/>
      <c r="AC891" s="18"/>
      <c r="AD891" s="18"/>
      <c r="AE891" s="18"/>
      <c r="AF891" s="18"/>
      <c r="AG891" s="18"/>
      <c r="AH891" s="18"/>
      <c r="AI891" s="18"/>
      <c r="AJ891" s="142"/>
      <c r="AK891" s="142"/>
      <c r="AL891" s="18"/>
      <c r="AM891" s="18"/>
      <c r="AN891" s="18"/>
      <c r="AO891" s="142"/>
    </row>
    <row r="892">
      <c r="A892" s="142"/>
      <c r="B892" s="18"/>
      <c r="C892" s="142"/>
      <c r="D892" s="18"/>
      <c r="E892" s="18"/>
      <c r="F892" s="18"/>
      <c r="G892" s="142"/>
      <c r="H892" s="18"/>
      <c r="I892" s="142"/>
      <c r="J892" s="15"/>
      <c r="Q892" s="15"/>
      <c r="R892" s="18"/>
      <c r="S892" s="142"/>
      <c r="T892" s="142"/>
      <c r="U892" s="142"/>
      <c r="V892" s="18"/>
      <c r="W892" s="18"/>
      <c r="X892" s="18"/>
      <c r="Y892" s="142"/>
      <c r="Z892" s="18"/>
      <c r="AA892" s="18"/>
      <c r="AB892" s="18"/>
      <c r="AC892" s="18"/>
      <c r="AD892" s="18"/>
      <c r="AE892" s="18"/>
      <c r="AF892" s="18"/>
      <c r="AG892" s="18"/>
      <c r="AH892" s="18"/>
      <c r="AI892" s="18"/>
      <c r="AJ892" s="142"/>
      <c r="AK892" s="142"/>
      <c r="AL892" s="18"/>
      <c r="AM892" s="18"/>
      <c r="AN892" s="18"/>
      <c r="AO892" s="142"/>
    </row>
    <row r="893">
      <c r="A893" s="142"/>
      <c r="B893" s="18"/>
      <c r="C893" s="142"/>
      <c r="D893" s="18"/>
      <c r="E893" s="18"/>
      <c r="F893" s="18"/>
      <c r="G893" s="142"/>
      <c r="H893" s="18"/>
      <c r="I893" s="142"/>
      <c r="J893" s="15"/>
      <c r="Q893" s="15"/>
      <c r="R893" s="18"/>
      <c r="S893" s="142"/>
      <c r="T893" s="142"/>
      <c r="U893" s="142"/>
      <c r="V893" s="18"/>
      <c r="W893" s="18"/>
      <c r="X893" s="18"/>
      <c r="Y893" s="142"/>
      <c r="Z893" s="18"/>
      <c r="AA893" s="18"/>
      <c r="AB893" s="18"/>
      <c r="AC893" s="18"/>
      <c r="AD893" s="18"/>
      <c r="AE893" s="18"/>
      <c r="AF893" s="18"/>
      <c r="AG893" s="18"/>
      <c r="AH893" s="18"/>
      <c r="AI893" s="18"/>
      <c r="AJ893" s="142"/>
      <c r="AK893" s="142"/>
      <c r="AL893" s="18"/>
      <c r="AM893" s="18"/>
      <c r="AN893" s="18"/>
      <c r="AO893" s="142"/>
    </row>
    <row r="894">
      <c r="A894" s="142"/>
      <c r="B894" s="18"/>
      <c r="C894" s="142"/>
      <c r="D894" s="18"/>
      <c r="E894" s="18"/>
      <c r="F894" s="18"/>
      <c r="G894" s="142"/>
      <c r="H894" s="18"/>
      <c r="I894" s="142"/>
      <c r="J894" s="15"/>
      <c r="Q894" s="15"/>
      <c r="R894" s="18"/>
      <c r="S894" s="142"/>
      <c r="T894" s="142"/>
      <c r="U894" s="142"/>
      <c r="V894" s="18"/>
      <c r="W894" s="18"/>
      <c r="X894" s="18"/>
      <c r="Y894" s="142"/>
      <c r="Z894" s="18"/>
      <c r="AA894" s="18"/>
      <c r="AB894" s="18"/>
      <c r="AC894" s="18"/>
      <c r="AD894" s="18"/>
      <c r="AE894" s="18"/>
      <c r="AF894" s="18"/>
      <c r="AG894" s="18"/>
      <c r="AH894" s="18"/>
      <c r="AI894" s="18"/>
      <c r="AJ894" s="142"/>
      <c r="AK894" s="142"/>
      <c r="AL894" s="18"/>
      <c r="AM894" s="18"/>
      <c r="AN894" s="18"/>
      <c r="AO894" s="142"/>
    </row>
    <row r="895">
      <c r="A895" s="142"/>
      <c r="B895" s="18"/>
      <c r="C895" s="142"/>
      <c r="D895" s="18"/>
      <c r="E895" s="18"/>
      <c r="F895" s="18"/>
      <c r="G895" s="142"/>
      <c r="H895" s="18"/>
      <c r="I895" s="142"/>
      <c r="J895" s="15"/>
      <c r="Q895" s="15"/>
      <c r="R895" s="18"/>
      <c r="S895" s="142"/>
      <c r="T895" s="142"/>
      <c r="U895" s="142"/>
      <c r="V895" s="18"/>
      <c r="W895" s="18"/>
      <c r="X895" s="18"/>
      <c r="Y895" s="142"/>
      <c r="Z895" s="18"/>
      <c r="AA895" s="18"/>
      <c r="AB895" s="18"/>
      <c r="AC895" s="18"/>
      <c r="AD895" s="18"/>
      <c r="AE895" s="18"/>
      <c r="AF895" s="18"/>
      <c r="AG895" s="18"/>
      <c r="AH895" s="18"/>
      <c r="AI895" s="18"/>
      <c r="AJ895" s="142"/>
      <c r="AK895" s="142"/>
      <c r="AL895" s="18"/>
      <c r="AM895" s="18"/>
      <c r="AN895" s="18"/>
      <c r="AO895" s="142"/>
    </row>
    <row r="896">
      <c r="A896" s="142"/>
      <c r="B896" s="18"/>
      <c r="C896" s="142"/>
      <c r="D896" s="18"/>
      <c r="E896" s="18"/>
      <c r="F896" s="18"/>
      <c r="G896" s="142"/>
      <c r="H896" s="18"/>
      <c r="I896" s="142"/>
      <c r="J896" s="15"/>
      <c r="Q896" s="15"/>
      <c r="R896" s="18"/>
      <c r="S896" s="142"/>
      <c r="T896" s="142"/>
      <c r="U896" s="142"/>
      <c r="V896" s="18"/>
      <c r="W896" s="18"/>
      <c r="X896" s="18"/>
      <c r="Y896" s="142"/>
      <c r="Z896" s="18"/>
      <c r="AA896" s="18"/>
      <c r="AB896" s="18"/>
      <c r="AC896" s="18"/>
      <c r="AD896" s="18"/>
      <c r="AE896" s="18"/>
      <c r="AF896" s="18"/>
      <c r="AG896" s="18"/>
      <c r="AH896" s="18"/>
      <c r="AI896" s="18"/>
      <c r="AJ896" s="142"/>
      <c r="AK896" s="142"/>
      <c r="AL896" s="18"/>
      <c r="AM896" s="18"/>
      <c r="AN896" s="18"/>
      <c r="AO896" s="142"/>
    </row>
    <row r="897">
      <c r="A897" s="142"/>
      <c r="B897" s="18"/>
      <c r="C897" s="142"/>
      <c r="D897" s="18"/>
      <c r="E897" s="18"/>
      <c r="F897" s="18"/>
      <c r="G897" s="142"/>
      <c r="H897" s="18"/>
      <c r="I897" s="142"/>
      <c r="J897" s="15"/>
      <c r="Q897" s="15"/>
      <c r="R897" s="18"/>
      <c r="S897" s="142"/>
      <c r="T897" s="142"/>
      <c r="U897" s="142"/>
      <c r="V897" s="18"/>
      <c r="W897" s="18"/>
      <c r="X897" s="18"/>
      <c r="Y897" s="142"/>
      <c r="Z897" s="18"/>
      <c r="AA897" s="18"/>
      <c r="AB897" s="18"/>
      <c r="AC897" s="18"/>
      <c r="AD897" s="18"/>
      <c r="AE897" s="18"/>
      <c r="AF897" s="18"/>
      <c r="AG897" s="18"/>
      <c r="AH897" s="18"/>
      <c r="AI897" s="18"/>
      <c r="AJ897" s="142"/>
      <c r="AK897" s="142"/>
      <c r="AL897" s="18"/>
      <c r="AM897" s="18"/>
      <c r="AN897" s="18"/>
      <c r="AO897" s="142"/>
    </row>
    <row r="898">
      <c r="A898" s="142"/>
      <c r="B898" s="18"/>
      <c r="C898" s="142"/>
      <c r="D898" s="18"/>
      <c r="E898" s="18"/>
      <c r="F898" s="18"/>
      <c r="G898" s="142"/>
      <c r="H898" s="18"/>
      <c r="I898" s="142"/>
      <c r="J898" s="15"/>
      <c r="Q898" s="15"/>
      <c r="R898" s="18"/>
      <c r="S898" s="142"/>
      <c r="T898" s="142"/>
      <c r="U898" s="142"/>
      <c r="V898" s="18"/>
      <c r="W898" s="18"/>
      <c r="X898" s="18"/>
      <c r="Y898" s="142"/>
      <c r="Z898" s="18"/>
      <c r="AA898" s="18"/>
      <c r="AB898" s="18"/>
      <c r="AC898" s="18"/>
      <c r="AD898" s="18"/>
      <c r="AE898" s="18"/>
      <c r="AF898" s="18"/>
      <c r="AG898" s="18"/>
      <c r="AH898" s="18"/>
      <c r="AI898" s="18"/>
      <c r="AJ898" s="142"/>
      <c r="AK898" s="142"/>
      <c r="AL898" s="18"/>
      <c r="AM898" s="18"/>
      <c r="AN898" s="18"/>
      <c r="AO898" s="142"/>
    </row>
    <row r="899">
      <c r="A899" s="142"/>
      <c r="B899" s="18"/>
      <c r="C899" s="142"/>
      <c r="D899" s="18"/>
      <c r="E899" s="18"/>
      <c r="F899" s="18"/>
      <c r="G899" s="142"/>
      <c r="H899" s="18"/>
      <c r="I899" s="142"/>
      <c r="J899" s="15"/>
      <c r="Q899" s="15"/>
      <c r="R899" s="18"/>
      <c r="S899" s="142"/>
      <c r="T899" s="142"/>
      <c r="U899" s="142"/>
      <c r="V899" s="18"/>
      <c r="W899" s="18"/>
      <c r="X899" s="18"/>
      <c r="Y899" s="142"/>
      <c r="Z899" s="18"/>
      <c r="AA899" s="18"/>
      <c r="AB899" s="18"/>
      <c r="AC899" s="18"/>
      <c r="AD899" s="18"/>
      <c r="AE899" s="18"/>
      <c r="AF899" s="18"/>
      <c r="AG899" s="18"/>
      <c r="AH899" s="18"/>
      <c r="AI899" s="18"/>
      <c r="AJ899" s="142"/>
      <c r="AK899" s="142"/>
      <c r="AL899" s="18"/>
      <c r="AM899" s="18"/>
      <c r="AN899" s="18"/>
      <c r="AO899" s="142"/>
    </row>
    <row r="900">
      <c r="A900" s="142"/>
      <c r="B900" s="18"/>
      <c r="C900" s="142"/>
      <c r="D900" s="18"/>
      <c r="E900" s="18"/>
      <c r="F900" s="18"/>
      <c r="G900" s="142"/>
      <c r="H900" s="18"/>
      <c r="I900" s="142"/>
      <c r="J900" s="15"/>
      <c r="Q900" s="15"/>
      <c r="R900" s="18"/>
      <c r="S900" s="142"/>
      <c r="T900" s="142"/>
      <c r="U900" s="142"/>
      <c r="V900" s="18"/>
      <c r="W900" s="18"/>
      <c r="X900" s="18"/>
      <c r="Y900" s="142"/>
      <c r="Z900" s="18"/>
      <c r="AA900" s="18"/>
      <c r="AB900" s="18"/>
      <c r="AC900" s="18"/>
      <c r="AD900" s="18"/>
      <c r="AE900" s="18"/>
      <c r="AF900" s="18"/>
      <c r="AG900" s="18"/>
      <c r="AH900" s="18"/>
      <c r="AI900" s="18"/>
      <c r="AJ900" s="142"/>
      <c r="AK900" s="142"/>
      <c r="AL900" s="18"/>
      <c r="AM900" s="18"/>
      <c r="AN900" s="18"/>
      <c r="AO900" s="142"/>
    </row>
    <row r="901">
      <c r="A901" s="142"/>
      <c r="B901" s="18"/>
      <c r="C901" s="142"/>
      <c r="D901" s="18"/>
      <c r="E901" s="18"/>
      <c r="F901" s="18"/>
      <c r="G901" s="142"/>
      <c r="H901" s="18"/>
      <c r="I901" s="142"/>
      <c r="J901" s="15"/>
      <c r="Q901" s="15"/>
      <c r="R901" s="18"/>
      <c r="S901" s="142"/>
      <c r="T901" s="142"/>
      <c r="U901" s="142"/>
      <c r="V901" s="18"/>
      <c r="W901" s="18"/>
      <c r="X901" s="18"/>
      <c r="Y901" s="142"/>
      <c r="Z901" s="18"/>
      <c r="AA901" s="18"/>
      <c r="AB901" s="18"/>
      <c r="AC901" s="18"/>
      <c r="AD901" s="18"/>
      <c r="AE901" s="18"/>
      <c r="AF901" s="18"/>
      <c r="AG901" s="18"/>
      <c r="AH901" s="18"/>
      <c r="AI901" s="18"/>
      <c r="AJ901" s="142"/>
      <c r="AK901" s="142"/>
      <c r="AL901" s="18"/>
      <c r="AM901" s="18"/>
      <c r="AN901" s="18"/>
      <c r="AO901" s="142"/>
    </row>
    <row r="902">
      <c r="A902" s="142"/>
      <c r="B902" s="18"/>
      <c r="C902" s="142"/>
      <c r="D902" s="18"/>
      <c r="E902" s="18"/>
      <c r="F902" s="18"/>
      <c r="G902" s="142"/>
      <c r="H902" s="18"/>
      <c r="I902" s="142"/>
      <c r="J902" s="15"/>
      <c r="Q902" s="15"/>
      <c r="R902" s="18"/>
      <c r="S902" s="142"/>
      <c r="T902" s="142"/>
      <c r="U902" s="142"/>
      <c r="V902" s="18"/>
      <c r="W902" s="18"/>
      <c r="X902" s="18"/>
      <c r="Y902" s="142"/>
      <c r="Z902" s="18"/>
      <c r="AA902" s="18"/>
      <c r="AB902" s="18"/>
      <c r="AC902" s="18"/>
      <c r="AD902" s="18"/>
      <c r="AE902" s="18"/>
      <c r="AF902" s="18"/>
      <c r="AG902" s="18"/>
      <c r="AH902" s="18"/>
      <c r="AI902" s="18"/>
      <c r="AJ902" s="142"/>
      <c r="AK902" s="142"/>
      <c r="AL902" s="18"/>
      <c r="AM902" s="18"/>
      <c r="AN902" s="18"/>
      <c r="AO902" s="142"/>
    </row>
    <row r="903">
      <c r="A903" s="142"/>
      <c r="B903" s="18"/>
      <c r="C903" s="142"/>
      <c r="D903" s="18"/>
      <c r="E903" s="18"/>
      <c r="F903" s="18"/>
      <c r="G903" s="142"/>
      <c r="H903" s="18"/>
      <c r="I903" s="142"/>
      <c r="J903" s="15"/>
      <c r="Q903" s="15"/>
      <c r="R903" s="18"/>
      <c r="S903" s="142"/>
      <c r="T903" s="142"/>
      <c r="U903" s="142"/>
      <c r="V903" s="18"/>
      <c r="W903" s="18"/>
      <c r="X903" s="18"/>
      <c r="Y903" s="142"/>
      <c r="Z903" s="18"/>
      <c r="AA903" s="18"/>
      <c r="AB903" s="18"/>
      <c r="AC903" s="18"/>
      <c r="AD903" s="18"/>
      <c r="AE903" s="18"/>
      <c r="AF903" s="18"/>
      <c r="AG903" s="18"/>
      <c r="AH903" s="18"/>
      <c r="AI903" s="18"/>
      <c r="AJ903" s="142"/>
      <c r="AK903" s="142"/>
      <c r="AL903" s="18"/>
      <c r="AM903" s="18"/>
      <c r="AN903" s="18"/>
      <c r="AO903" s="142"/>
    </row>
    <row r="904">
      <c r="A904" s="142"/>
      <c r="B904" s="18"/>
      <c r="C904" s="142"/>
      <c r="D904" s="18"/>
      <c r="E904" s="18"/>
      <c r="F904" s="18"/>
      <c r="G904" s="142"/>
      <c r="H904" s="18"/>
      <c r="I904" s="142"/>
      <c r="J904" s="15"/>
      <c r="Q904" s="15"/>
      <c r="R904" s="18"/>
      <c r="S904" s="142"/>
      <c r="T904" s="142"/>
      <c r="U904" s="142"/>
      <c r="V904" s="18"/>
      <c r="W904" s="18"/>
      <c r="X904" s="18"/>
      <c r="Y904" s="142"/>
      <c r="Z904" s="18"/>
      <c r="AA904" s="18"/>
      <c r="AB904" s="18"/>
      <c r="AC904" s="18"/>
      <c r="AD904" s="18"/>
      <c r="AE904" s="18"/>
      <c r="AF904" s="18"/>
      <c r="AG904" s="18"/>
      <c r="AH904" s="18"/>
      <c r="AI904" s="18"/>
      <c r="AJ904" s="142"/>
      <c r="AK904" s="142"/>
      <c r="AL904" s="18"/>
      <c r="AM904" s="18"/>
      <c r="AN904" s="18"/>
      <c r="AO904" s="142"/>
    </row>
    <row r="905">
      <c r="A905" s="142"/>
      <c r="B905" s="18"/>
      <c r="C905" s="142"/>
      <c r="D905" s="18"/>
      <c r="E905" s="18"/>
      <c r="F905" s="18"/>
      <c r="G905" s="142"/>
      <c r="H905" s="18"/>
      <c r="I905" s="142"/>
      <c r="J905" s="15"/>
      <c r="Q905" s="15"/>
      <c r="R905" s="18"/>
      <c r="S905" s="142"/>
      <c r="T905" s="142"/>
      <c r="U905" s="142"/>
      <c r="V905" s="18"/>
      <c r="W905" s="18"/>
      <c r="X905" s="18"/>
      <c r="Y905" s="142"/>
      <c r="Z905" s="18"/>
      <c r="AA905" s="18"/>
      <c r="AB905" s="18"/>
      <c r="AC905" s="18"/>
      <c r="AD905" s="18"/>
      <c r="AE905" s="18"/>
      <c r="AF905" s="18"/>
      <c r="AG905" s="18"/>
      <c r="AH905" s="18"/>
      <c r="AI905" s="18"/>
      <c r="AJ905" s="142"/>
      <c r="AK905" s="142"/>
      <c r="AL905" s="18"/>
      <c r="AM905" s="18"/>
      <c r="AN905" s="18"/>
      <c r="AO905" s="142"/>
    </row>
    <row r="906">
      <c r="A906" s="142"/>
      <c r="B906" s="18"/>
      <c r="C906" s="142"/>
      <c r="D906" s="18"/>
      <c r="E906" s="18"/>
      <c r="F906" s="18"/>
      <c r="G906" s="142"/>
      <c r="H906" s="18"/>
      <c r="I906" s="142"/>
      <c r="J906" s="15"/>
      <c r="Q906" s="15"/>
      <c r="R906" s="18"/>
      <c r="S906" s="142"/>
      <c r="T906" s="142"/>
      <c r="U906" s="142"/>
      <c r="V906" s="18"/>
      <c r="W906" s="18"/>
      <c r="X906" s="18"/>
      <c r="Y906" s="142"/>
      <c r="Z906" s="18"/>
      <c r="AA906" s="18"/>
      <c r="AB906" s="18"/>
      <c r="AC906" s="18"/>
      <c r="AD906" s="18"/>
      <c r="AE906" s="18"/>
      <c r="AF906" s="18"/>
      <c r="AG906" s="18"/>
      <c r="AH906" s="18"/>
      <c r="AI906" s="18"/>
      <c r="AJ906" s="142"/>
      <c r="AK906" s="142"/>
      <c r="AL906" s="18"/>
      <c r="AM906" s="18"/>
      <c r="AN906" s="18"/>
      <c r="AO906" s="142"/>
    </row>
    <row r="907">
      <c r="A907" s="142"/>
      <c r="B907" s="18"/>
      <c r="C907" s="142"/>
      <c r="D907" s="18"/>
      <c r="E907" s="18"/>
      <c r="F907" s="18"/>
      <c r="G907" s="142"/>
      <c r="H907" s="18"/>
      <c r="I907" s="142"/>
      <c r="J907" s="15"/>
      <c r="Q907" s="15"/>
      <c r="R907" s="18"/>
      <c r="S907" s="142"/>
      <c r="T907" s="142"/>
      <c r="U907" s="142"/>
      <c r="V907" s="18"/>
      <c r="W907" s="18"/>
      <c r="X907" s="18"/>
      <c r="Y907" s="142"/>
      <c r="Z907" s="18"/>
      <c r="AA907" s="18"/>
      <c r="AB907" s="18"/>
      <c r="AC907" s="18"/>
      <c r="AD907" s="18"/>
      <c r="AE907" s="18"/>
      <c r="AF907" s="18"/>
      <c r="AG907" s="18"/>
      <c r="AH907" s="18"/>
      <c r="AI907" s="18"/>
      <c r="AJ907" s="142"/>
      <c r="AK907" s="142"/>
      <c r="AL907" s="18"/>
      <c r="AM907" s="18"/>
      <c r="AN907" s="18"/>
      <c r="AO907" s="142"/>
    </row>
    <row r="908">
      <c r="A908" s="142"/>
      <c r="B908" s="18"/>
      <c r="C908" s="142"/>
      <c r="D908" s="18"/>
      <c r="E908" s="18"/>
      <c r="F908" s="18"/>
      <c r="G908" s="142"/>
      <c r="H908" s="18"/>
      <c r="I908" s="142"/>
      <c r="J908" s="15"/>
      <c r="Q908" s="15"/>
      <c r="R908" s="18"/>
      <c r="S908" s="142"/>
      <c r="T908" s="142"/>
      <c r="U908" s="142"/>
      <c r="V908" s="18"/>
      <c r="W908" s="18"/>
      <c r="X908" s="18"/>
      <c r="Y908" s="142"/>
      <c r="Z908" s="18"/>
      <c r="AA908" s="18"/>
      <c r="AB908" s="18"/>
      <c r="AC908" s="18"/>
      <c r="AD908" s="18"/>
      <c r="AE908" s="18"/>
      <c r="AF908" s="18"/>
      <c r="AG908" s="18"/>
      <c r="AH908" s="18"/>
      <c r="AI908" s="18"/>
      <c r="AJ908" s="142"/>
      <c r="AK908" s="142"/>
      <c r="AL908" s="18"/>
      <c r="AM908" s="18"/>
      <c r="AN908" s="18"/>
      <c r="AO908" s="142"/>
    </row>
    <row r="909">
      <c r="A909" s="142"/>
      <c r="B909" s="18"/>
      <c r="C909" s="142"/>
      <c r="D909" s="18"/>
      <c r="E909" s="18"/>
      <c r="F909" s="18"/>
      <c r="G909" s="142"/>
      <c r="H909" s="18"/>
      <c r="I909" s="142"/>
      <c r="J909" s="15"/>
      <c r="Q909" s="15"/>
      <c r="R909" s="18"/>
      <c r="S909" s="142"/>
      <c r="T909" s="142"/>
      <c r="U909" s="142"/>
      <c r="V909" s="18"/>
      <c r="W909" s="18"/>
      <c r="X909" s="18"/>
      <c r="Y909" s="142"/>
      <c r="Z909" s="18"/>
      <c r="AA909" s="18"/>
      <c r="AB909" s="18"/>
      <c r="AC909" s="18"/>
      <c r="AD909" s="18"/>
      <c r="AE909" s="18"/>
      <c r="AF909" s="18"/>
      <c r="AG909" s="18"/>
      <c r="AH909" s="18"/>
      <c r="AI909" s="18"/>
      <c r="AJ909" s="142"/>
      <c r="AK909" s="142"/>
      <c r="AL909" s="18"/>
      <c r="AM909" s="18"/>
      <c r="AN909" s="18"/>
      <c r="AO909" s="142"/>
    </row>
    <row r="910">
      <c r="A910" s="142"/>
      <c r="B910" s="18"/>
      <c r="C910" s="142"/>
      <c r="D910" s="18"/>
      <c r="E910" s="18"/>
      <c r="F910" s="18"/>
      <c r="G910" s="142"/>
      <c r="H910" s="18"/>
      <c r="I910" s="142"/>
      <c r="J910" s="15"/>
      <c r="Q910" s="15"/>
      <c r="R910" s="18"/>
      <c r="S910" s="142"/>
      <c r="T910" s="142"/>
      <c r="U910" s="142"/>
      <c r="V910" s="18"/>
      <c r="W910" s="18"/>
      <c r="X910" s="18"/>
      <c r="Y910" s="142"/>
      <c r="Z910" s="18"/>
      <c r="AA910" s="18"/>
      <c r="AB910" s="18"/>
      <c r="AC910" s="18"/>
      <c r="AD910" s="18"/>
      <c r="AE910" s="18"/>
      <c r="AF910" s="18"/>
      <c r="AG910" s="18"/>
      <c r="AH910" s="18"/>
      <c r="AI910" s="18"/>
      <c r="AJ910" s="142"/>
      <c r="AK910" s="142"/>
      <c r="AL910" s="18"/>
      <c r="AM910" s="18"/>
      <c r="AN910" s="18"/>
      <c r="AO910" s="142"/>
    </row>
    <row r="911">
      <c r="A911" s="142"/>
      <c r="B911" s="18"/>
      <c r="C911" s="142"/>
      <c r="D911" s="18"/>
      <c r="E911" s="18"/>
      <c r="F911" s="18"/>
      <c r="G911" s="142"/>
      <c r="H911" s="18"/>
      <c r="I911" s="142"/>
      <c r="J911" s="15"/>
      <c r="Q911" s="15"/>
      <c r="R911" s="18"/>
      <c r="S911" s="142"/>
      <c r="T911" s="142"/>
      <c r="U911" s="142"/>
      <c r="V911" s="18"/>
      <c r="W911" s="18"/>
      <c r="X911" s="18"/>
      <c r="Y911" s="142"/>
      <c r="Z911" s="18"/>
      <c r="AA911" s="18"/>
      <c r="AB911" s="18"/>
      <c r="AC911" s="18"/>
      <c r="AD911" s="18"/>
      <c r="AE911" s="18"/>
      <c r="AF911" s="18"/>
      <c r="AG911" s="18"/>
      <c r="AH911" s="18"/>
      <c r="AI911" s="18"/>
      <c r="AJ911" s="142"/>
      <c r="AK911" s="142"/>
      <c r="AL911" s="18"/>
      <c r="AM911" s="18"/>
      <c r="AN911" s="18"/>
      <c r="AO911" s="142"/>
    </row>
    <row r="912">
      <c r="A912" s="142"/>
      <c r="B912" s="18"/>
      <c r="C912" s="142"/>
      <c r="D912" s="18"/>
      <c r="E912" s="18"/>
      <c r="F912" s="18"/>
      <c r="G912" s="142"/>
      <c r="H912" s="18"/>
      <c r="I912" s="142"/>
      <c r="J912" s="15"/>
      <c r="Q912" s="15"/>
      <c r="R912" s="18"/>
      <c r="S912" s="142"/>
      <c r="T912" s="142"/>
      <c r="U912" s="142"/>
      <c r="V912" s="18"/>
      <c r="W912" s="18"/>
      <c r="X912" s="18"/>
      <c r="Y912" s="142"/>
      <c r="Z912" s="18"/>
      <c r="AA912" s="18"/>
      <c r="AB912" s="18"/>
      <c r="AC912" s="18"/>
      <c r="AD912" s="18"/>
      <c r="AE912" s="18"/>
      <c r="AF912" s="18"/>
      <c r="AG912" s="18"/>
      <c r="AH912" s="18"/>
      <c r="AI912" s="18"/>
      <c r="AJ912" s="142"/>
      <c r="AK912" s="142"/>
      <c r="AL912" s="18"/>
      <c r="AM912" s="18"/>
      <c r="AN912" s="18"/>
      <c r="AO912" s="142"/>
    </row>
    <row r="913">
      <c r="A913" s="142"/>
      <c r="B913" s="18"/>
      <c r="C913" s="142"/>
      <c r="D913" s="18"/>
      <c r="E913" s="18"/>
      <c r="F913" s="18"/>
      <c r="G913" s="142"/>
      <c r="H913" s="18"/>
      <c r="I913" s="142"/>
      <c r="J913" s="15"/>
      <c r="Q913" s="15"/>
      <c r="R913" s="18"/>
      <c r="S913" s="142"/>
      <c r="T913" s="142"/>
      <c r="U913" s="142"/>
      <c r="V913" s="18"/>
      <c r="W913" s="18"/>
      <c r="X913" s="18"/>
      <c r="Y913" s="142"/>
      <c r="Z913" s="18"/>
      <c r="AA913" s="18"/>
      <c r="AB913" s="18"/>
      <c r="AC913" s="18"/>
      <c r="AD913" s="18"/>
      <c r="AE913" s="18"/>
      <c r="AF913" s="18"/>
      <c r="AG913" s="18"/>
      <c r="AH913" s="18"/>
      <c r="AI913" s="18"/>
      <c r="AJ913" s="142"/>
      <c r="AK913" s="142"/>
      <c r="AL913" s="18"/>
      <c r="AM913" s="18"/>
      <c r="AN913" s="18"/>
      <c r="AO913" s="142"/>
    </row>
    <row r="914">
      <c r="A914" s="142"/>
      <c r="B914" s="18"/>
      <c r="C914" s="142"/>
      <c r="D914" s="18"/>
      <c r="E914" s="18"/>
      <c r="F914" s="18"/>
      <c r="G914" s="142"/>
      <c r="H914" s="18"/>
      <c r="I914" s="142"/>
      <c r="J914" s="15"/>
      <c r="Q914" s="15"/>
      <c r="R914" s="18"/>
      <c r="S914" s="142"/>
      <c r="T914" s="142"/>
      <c r="U914" s="142"/>
      <c r="V914" s="18"/>
      <c r="W914" s="18"/>
      <c r="X914" s="18"/>
      <c r="Y914" s="142"/>
      <c r="Z914" s="18"/>
      <c r="AA914" s="18"/>
      <c r="AB914" s="18"/>
      <c r="AC914" s="18"/>
      <c r="AD914" s="18"/>
      <c r="AE914" s="18"/>
      <c r="AF914" s="18"/>
      <c r="AG914" s="18"/>
      <c r="AH914" s="18"/>
      <c r="AI914" s="18"/>
      <c r="AJ914" s="142"/>
      <c r="AK914" s="142"/>
      <c r="AL914" s="18"/>
      <c r="AM914" s="18"/>
      <c r="AN914" s="18"/>
      <c r="AO914" s="142"/>
    </row>
    <row r="915">
      <c r="A915" s="142"/>
      <c r="B915" s="18"/>
      <c r="C915" s="142"/>
      <c r="D915" s="18"/>
      <c r="E915" s="18"/>
      <c r="F915" s="18"/>
      <c r="G915" s="142"/>
      <c r="H915" s="18"/>
      <c r="I915" s="142"/>
      <c r="J915" s="15"/>
      <c r="Q915" s="15"/>
      <c r="R915" s="18"/>
      <c r="S915" s="142"/>
      <c r="T915" s="142"/>
      <c r="U915" s="142"/>
      <c r="V915" s="18"/>
      <c r="W915" s="18"/>
      <c r="X915" s="18"/>
      <c r="Y915" s="142"/>
      <c r="Z915" s="18"/>
      <c r="AA915" s="18"/>
      <c r="AB915" s="18"/>
      <c r="AC915" s="18"/>
      <c r="AD915" s="18"/>
      <c r="AE915" s="18"/>
      <c r="AF915" s="18"/>
      <c r="AG915" s="18"/>
      <c r="AH915" s="18"/>
      <c r="AI915" s="18"/>
      <c r="AJ915" s="142"/>
      <c r="AK915" s="142"/>
      <c r="AL915" s="18"/>
      <c r="AM915" s="18"/>
      <c r="AN915" s="18"/>
      <c r="AO915" s="142"/>
    </row>
    <row r="916">
      <c r="A916" s="142"/>
      <c r="B916" s="18"/>
      <c r="C916" s="142"/>
      <c r="D916" s="18"/>
      <c r="E916" s="18"/>
      <c r="F916" s="18"/>
      <c r="G916" s="142"/>
      <c r="H916" s="18"/>
      <c r="I916" s="142"/>
      <c r="J916" s="15"/>
      <c r="Q916" s="15"/>
      <c r="R916" s="18"/>
      <c r="S916" s="142"/>
      <c r="T916" s="142"/>
      <c r="U916" s="142"/>
      <c r="V916" s="18"/>
      <c r="W916" s="18"/>
      <c r="X916" s="18"/>
      <c r="Y916" s="142"/>
      <c r="Z916" s="18"/>
      <c r="AA916" s="18"/>
      <c r="AB916" s="18"/>
      <c r="AC916" s="18"/>
      <c r="AD916" s="18"/>
      <c r="AE916" s="18"/>
      <c r="AF916" s="18"/>
      <c r="AG916" s="18"/>
      <c r="AH916" s="18"/>
      <c r="AI916" s="18"/>
      <c r="AJ916" s="142"/>
      <c r="AK916" s="142"/>
      <c r="AL916" s="18"/>
      <c r="AM916" s="18"/>
      <c r="AN916" s="18"/>
      <c r="AO916" s="142"/>
    </row>
    <row r="917">
      <c r="A917" s="142"/>
      <c r="B917" s="18"/>
      <c r="C917" s="142"/>
      <c r="D917" s="18"/>
      <c r="E917" s="18"/>
      <c r="F917" s="18"/>
      <c r="G917" s="142"/>
      <c r="H917" s="18"/>
      <c r="I917" s="142"/>
      <c r="J917" s="15"/>
      <c r="Q917" s="15"/>
      <c r="R917" s="18"/>
      <c r="S917" s="142"/>
      <c r="T917" s="142"/>
      <c r="U917" s="142"/>
      <c r="V917" s="18"/>
      <c r="W917" s="18"/>
      <c r="X917" s="18"/>
      <c r="Y917" s="142"/>
      <c r="Z917" s="18"/>
      <c r="AA917" s="18"/>
      <c r="AB917" s="18"/>
      <c r="AC917" s="18"/>
      <c r="AD917" s="18"/>
      <c r="AE917" s="18"/>
      <c r="AF917" s="18"/>
      <c r="AG917" s="18"/>
      <c r="AH917" s="18"/>
      <c r="AI917" s="18"/>
      <c r="AJ917" s="142"/>
      <c r="AK917" s="142"/>
      <c r="AL917" s="18"/>
      <c r="AM917" s="18"/>
      <c r="AN917" s="18"/>
      <c r="AO917" s="142"/>
    </row>
    <row r="918">
      <c r="A918" s="142"/>
      <c r="B918" s="18"/>
      <c r="C918" s="142"/>
      <c r="D918" s="18"/>
      <c r="E918" s="18"/>
      <c r="F918" s="18"/>
      <c r="G918" s="142"/>
      <c r="H918" s="18"/>
      <c r="I918" s="142"/>
      <c r="J918" s="15"/>
      <c r="Q918" s="15"/>
      <c r="R918" s="18"/>
      <c r="S918" s="142"/>
      <c r="T918" s="142"/>
      <c r="U918" s="142"/>
      <c r="V918" s="18"/>
      <c r="W918" s="18"/>
      <c r="X918" s="18"/>
      <c r="Y918" s="142"/>
      <c r="Z918" s="18"/>
      <c r="AA918" s="18"/>
      <c r="AB918" s="18"/>
      <c r="AC918" s="18"/>
      <c r="AD918" s="18"/>
      <c r="AE918" s="18"/>
      <c r="AF918" s="18"/>
      <c r="AG918" s="18"/>
      <c r="AH918" s="18"/>
      <c r="AI918" s="18"/>
      <c r="AJ918" s="142"/>
      <c r="AK918" s="142"/>
      <c r="AL918" s="18"/>
      <c r="AM918" s="18"/>
      <c r="AN918" s="18"/>
      <c r="AO918" s="142"/>
    </row>
    <row r="919">
      <c r="A919" s="142"/>
      <c r="B919" s="18"/>
      <c r="C919" s="142"/>
      <c r="D919" s="18"/>
      <c r="E919" s="18"/>
      <c r="F919" s="18"/>
      <c r="G919" s="142"/>
      <c r="H919" s="18"/>
      <c r="I919" s="142"/>
      <c r="J919" s="15"/>
      <c r="Q919" s="15"/>
      <c r="R919" s="18"/>
      <c r="S919" s="142"/>
      <c r="T919" s="142"/>
      <c r="U919" s="142"/>
      <c r="V919" s="18"/>
      <c r="W919" s="18"/>
      <c r="X919" s="18"/>
      <c r="Y919" s="142"/>
      <c r="Z919" s="18"/>
      <c r="AA919" s="18"/>
      <c r="AB919" s="18"/>
      <c r="AC919" s="18"/>
      <c r="AD919" s="18"/>
      <c r="AE919" s="18"/>
      <c r="AF919" s="18"/>
      <c r="AG919" s="18"/>
      <c r="AH919" s="18"/>
      <c r="AI919" s="18"/>
      <c r="AJ919" s="142"/>
      <c r="AK919" s="142"/>
      <c r="AL919" s="18"/>
      <c r="AM919" s="18"/>
      <c r="AN919" s="18"/>
      <c r="AO919" s="142"/>
    </row>
    <row r="920">
      <c r="A920" s="142"/>
      <c r="B920" s="18"/>
      <c r="C920" s="142"/>
      <c r="D920" s="18"/>
      <c r="E920" s="18"/>
      <c r="F920" s="18"/>
      <c r="G920" s="142"/>
      <c r="H920" s="18"/>
      <c r="I920" s="142"/>
      <c r="J920" s="15"/>
      <c r="Q920" s="15"/>
      <c r="R920" s="18"/>
      <c r="S920" s="142"/>
      <c r="T920" s="142"/>
      <c r="U920" s="142"/>
      <c r="V920" s="18"/>
      <c r="W920" s="18"/>
      <c r="X920" s="18"/>
      <c r="Y920" s="142"/>
      <c r="Z920" s="18"/>
      <c r="AA920" s="18"/>
      <c r="AB920" s="18"/>
      <c r="AC920" s="18"/>
      <c r="AD920" s="18"/>
      <c r="AE920" s="18"/>
      <c r="AF920" s="18"/>
      <c r="AG920" s="18"/>
      <c r="AH920" s="18"/>
      <c r="AI920" s="18"/>
      <c r="AJ920" s="142"/>
      <c r="AK920" s="142"/>
      <c r="AL920" s="18"/>
      <c r="AM920" s="18"/>
      <c r="AN920" s="18"/>
      <c r="AO920" s="142"/>
    </row>
    <row r="921">
      <c r="A921" s="142"/>
      <c r="B921" s="18"/>
      <c r="C921" s="142"/>
      <c r="D921" s="18"/>
      <c r="E921" s="18"/>
      <c r="F921" s="18"/>
      <c r="G921" s="142"/>
      <c r="H921" s="18"/>
      <c r="I921" s="142"/>
      <c r="J921" s="15"/>
      <c r="Q921" s="15"/>
      <c r="R921" s="18"/>
      <c r="S921" s="142"/>
      <c r="T921" s="142"/>
      <c r="U921" s="142"/>
      <c r="V921" s="18"/>
      <c r="W921" s="18"/>
      <c r="X921" s="18"/>
      <c r="Y921" s="142"/>
      <c r="Z921" s="18"/>
      <c r="AA921" s="18"/>
      <c r="AB921" s="18"/>
      <c r="AC921" s="18"/>
      <c r="AD921" s="18"/>
      <c r="AE921" s="18"/>
      <c r="AF921" s="18"/>
      <c r="AG921" s="18"/>
      <c r="AH921" s="18"/>
      <c r="AI921" s="18"/>
      <c r="AJ921" s="142"/>
      <c r="AK921" s="142"/>
      <c r="AL921" s="18"/>
      <c r="AM921" s="18"/>
      <c r="AN921" s="18"/>
      <c r="AO921" s="142"/>
    </row>
    <row r="922">
      <c r="A922" s="142"/>
      <c r="B922" s="18"/>
      <c r="C922" s="142"/>
      <c r="D922" s="18"/>
      <c r="E922" s="18"/>
      <c r="F922" s="18"/>
      <c r="G922" s="142"/>
      <c r="H922" s="18"/>
      <c r="I922" s="142"/>
      <c r="J922" s="15"/>
      <c r="Q922" s="15"/>
      <c r="R922" s="18"/>
      <c r="S922" s="142"/>
      <c r="T922" s="142"/>
      <c r="U922" s="142"/>
      <c r="V922" s="18"/>
      <c r="W922" s="18"/>
      <c r="X922" s="18"/>
      <c r="Y922" s="142"/>
      <c r="Z922" s="18"/>
      <c r="AA922" s="18"/>
      <c r="AB922" s="18"/>
      <c r="AC922" s="18"/>
      <c r="AD922" s="18"/>
      <c r="AE922" s="18"/>
      <c r="AF922" s="18"/>
      <c r="AG922" s="18"/>
      <c r="AH922" s="18"/>
      <c r="AI922" s="18"/>
      <c r="AJ922" s="142"/>
      <c r="AK922" s="142"/>
      <c r="AL922" s="18"/>
      <c r="AM922" s="18"/>
      <c r="AN922" s="18"/>
      <c r="AO922" s="142"/>
    </row>
    <row r="923">
      <c r="A923" s="142"/>
      <c r="B923" s="18"/>
      <c r="C923" s="142"/>
      <c r="D923" s="18"/>
      <c r="E923" s="18"/>
      <c r="F923" s="18"/>
      <c r="G923" s="142"/>
      <c r="H923" s="18"/>
      <c r="I923" s="142"/>
      <c r="J923" s="15"/>
      <c r="Q923" s="15"/>
      <c r="R923" s="18"/>
      <c r="S923" s="142"/>
      <c r="T923" s="142"/>
      <c r="U923" s="142"/>
      <c r="V923" s="18"/>
      <c r="W923" s="18"/>
      <c r="X923" s="18"/>
      <c r="Y923" s="142"/>
      <c r="Z923" s="18"/>
      <c r="AA923" s="18"/>
      <c r="AB923" s="18"/>
      <c r="AC923" s="18"/>
      <c r="AD923" s="18"/>
      <c r="AE923" s="18"/>
      <c r="AF923" s="18"/>
      <c r="AG923" s="18"/>
      <c r="AH923" s="18"/>
      <c r="AI923" s="18"/>
      <c r="AJ923" s="142"/>
      <c r="AK923" s="142"/>
      <c r="AL923" s="18"/>
      <c r="AM923" s="18"/>
      <c r="AN923" s="18"/>
      <c r="AO923" s="142"/>
    </row>
    <row r="924">
      <c r="A924" s="142"/>
      <c r="B924" s="18"/>
      <c r="C924" s="142"/>
      <c r="D924" s="18"/>
      <c r="E924" s="18"/>
      <c r="F924" s="18"/>
      <c r="G924" s="142"/>
      <c r="H924" s="18"/>
      <c r="I924" s="142"/>
      <c r="J924" s="15"/>
      <c r="Q924" s="15"/>
      <c r="R924" s="18"/>
      <c r="S924" s="142"/>
      <c r="T924" s="142"/>
      <c r="U924" s="142"/>
      <c r="V924" s="18"/>
      <c r="W924" s="18"/>
      <c r="X924" s="18"/>
      <c r="Y924" s="142"/>
      <c r="Z924" s="18"/>
      <c r="AA924" s="18"/>
      <c r="AB924" s="18"/>
      <c r="AC924" s="18"/>
      <c r="AD924" s="18"/>
      <c r="AE924" s="18"/>
      <c r="AF924" s="18"/>
      <c r="AG924" s="18"/>
      <c r="AH924" s="18"/>
      <c r="AI924" s="18"/>
      <c r="AJ924" s="142"/>
      <c r="AK924" s="142"/>
      <c r="AL924" s="18"/>
      <c r="AM924" s="18"/>
      <c r="AN924" s="18"/>
      <c r="AO924" s="142"/>
    </row>
    <row r="925">
      <c r="A925" s="142"/>
      <c r="B925" s="18"/>
      <c r="C925" s="142"/>
      <c r="D925" s="18"/>
      <c r="E925" s="18"/>
      <c r="F925" s="18"/>
      <c r="G925" s="142"/>
      <c r="H925" s="18"/>
      <c r="I925" s="142"/>
      <c r="J925" s="15"/>
      <c r="Q925" s="15"/>
      <c r="R925" s="18"/>
      <c r="S925" s="142"/>
      <c r="T925" s="142"/>
      <c r="U925" s="142"/>
      <c r="V925" s="18"/>
      <c r="W925" s="18"/>
      <c r="X925" s="18"/>
      <c r="Y925" s="142"/>
      <c r="Z925" s="18"/>
      <c r="AA925" s="18"/>
      <c r="AB925" s="18"/>
      <c r="AC925" s="18"/>
      <c r="AD925" s="18"/>
      <c r="AE925" s="18"/>
      <c r="AF925" s="18"/>
      <c r="AG925" s="18"/>
      <c r="AH925" s="18"/>
      <c r="AI925" s="18"/>
      <c r="AJ925" s="142"/>
      <c r="AK925" s="142"/>
      <c r="AL925" s="18"/>
      <c r="AM925" s="18"/>
      <c r="AN925" s="18"/>
      <c r="AO925" s="142"/>
    </row>
    <row r="926">
      <c r="A926" s="142"/>
      <c r="B926" s="18"/>
      <c r="C926" s="142"/>
      <c r="D926" s="18"/>
      <c r="E926" s="18"/>
      <c r="F926" s="18"/>
      <c r="G926" s="142"/>
      <c r="H926" s="18"/>
      <c r="I926" s="142"/>
      <c r="J926" s="15"/>
      <c r="Q926" s="15"/>
      <c r="R926" s="18"/>
      <c r="S926" s="142"/>
      <c r="T926" s="142"/>
      <c r="U926" s="142"/>
      <c r="V926" s="18"/>
      <c r="W926" s="18"/>
      <c r="X926" s="18"/>
      <c r="Y926" s="142"/>
      <c r="Z926" s="18"/>
      <c r="AA926" s="18"/>
      <c r="AB926" s="18"/>
      <c r="AC926" s="18"/>
      <c r="AD926" s="18"/>
      <c r="AE926" s="18"/>
      <c r="AF926" s="18"/>
      <c r="AG926" s="18"/>
      <c r="AH926" s="18"/>
      <c r="AI926" s="18"/>
      <c r="AJ926" s="142"/>
      <c r="AK926" s="142"/>
      <c r="AL926" s="18"/>
      <c r="AM926" s="18"/>
      <c r="AN926" s="18"/>
      <c r="AO926" s="142"/>
    </row>
    <row r="927">
      <c r="A927" s="142"/>
      <c r="B927" s="18"/>
      <c r="C927" s="142"/>
      <c r="D927" s="18"/>
      <c r="E927" s="18"/>
      <c r="F927" s="18"/>
      <c r="G927" s="142"/>
      <c r="H927" s="18"/>
      <c r="I927" s="142"/>
      <c r="J927" s="15"/>
      <c r="Q927" s="15"/>
      <c r="R927" s="18"/>
      <c r="S927" s="142"/>
      <c r="T927" s="142"/>
      <c r="U927" s="142"/>
      <c r="V927" s="18"/>
      <c r="W927" s="18"/>
      <c r="X927" s="18"/>
      <c r="Y927" s="142"/>
      <c r="Z927" s="18"/>
      <c r="AA927" s="18"/>
      <c r="AB927" s="18"/>
      <c r="AC927" s="18"/>
      <c r="AD927" s="18"/>
      <c r="AE927" s="18"/>
      <c r="AF927" s="18"/>
      <c r="AG927" s="18"/>
      <c r="AH927" s="18"/>
      <c r="AI927" s="18"/>
      <c r="AJ927" s="142"/>
      <c r="AK927" s="142"/>
      <c r="AL927" s="18"/>
      <c r="AM927" s="18"/>
      <c r="AN927" s="18"/>
      <c r="AO927" s="142"/>
    </row>
    <row r="928">
      <c r="A928" s="142"/>
      <c r="B928" s="18"/>
      <c r="C928" s="142"/>
      <c r="D928" s="18"/>
      <c r="E928" s="18"/>
      <c r="F928" s="18"/>
      <c r="G928" s="142"/>
      <c r="H928" s="18"/>
      <c r="I928" s="142"/>
      <c r="J928" s="15"/>
      <c r="Q928" s="15"/>
      <c r="R928" s="18"/>
      <c r="S928" s="142"/>
      <c r="T928" s="142"/>
      <c r="U928" s="142"/>
      <c r="V928" s="18"/>
      <c r="W928" s="18"/>
      <c r="X928" s="18"/>
      <c r="Y928" s="142"/>
      <c r="Z928" s="18"/>
      <c r="AA928" s="18"/>
      <c r="AB928" s="18"/>
      <c r="AC928" s="18"/>
      <c r="AD928" s="18"/>
      <c r="AE928" s="18"/>
      <c r="AF928" s="18"/>
      <c r="AG928" s="18"/>
      <c r="AH928" s="18"/>
      <c r="AI928" s="18"/>
      <c r="AJ928" s="142"/>
      <c r="AK928" s="142"/>
      <c r="AL928" s="18"/>
      <c r="AM928" s="18"/>
      <c r="AN928" s="18"/>
      <c r="AO928" s="142"/>
    </row>
    <row r="929">
      <c r="A929" s="142"/>
      <c r="B929" s="18"/>
      <c r="C929" s="142"/>
      <c r="D929" s="18"/>
      <c r="E929" s="18"/>
      <c r="F929" s="18"/>
      <c r="G929" s="142"/>
      <c r="H929" s="18"/>
      <c r="I929" s="142"/>
      <c r="J929" s="15"/>
      <c r="Q929" s="15"/>
      <c r="R929" s="18"/>
      <c r="S929" s="142"/>
      <c r="T929" s="142"/>
      <c r="U929" s="142"/>
      <c r="V929" s="18"/>
      <c r="W929" s="18"/>
      <c r="X929" s="18"/>
      <c r="Y929" s="142"/>
      <c r="Z929" s="18"/>
      <c r="AA929" s="18"/>
      <c r="AB929" s="18"/>
      <c r="AC929" s="18"/>
      <c r="AD929" s="18"/>
      <c r="AE929" s="18"/>
      <c r="AF929" s="18"/>
      <c r="AG929" s="18"/>
      <c r="AH929" s="18"/>
      <c r="AI929" s="18"/>
      <c r="AJ929" s="142"/>
      <c r="AK929" s="142"/>
      <c r="AL929" s="18"/>
      <c r="AM929" s="18"/>
      <c r="AN929" s="18"/>
      <c r="AO929" s="142"/>
    </row>
    <row r="930">
      <c r="A930" s="142"/>
      <c r="B930" s="18"/>
      <c r="C930" s="142"/>
      <c r="D930" s="18"/>
      <c r="E930" s="18"/>
      <c r="F930" s="18"/>
      <c r="G930" s="142"/>
      <c r="H930" s="18"/>
      <c r="I930" s="142"/>
      <c r="J930" s="15"/>
      <c r="Q930" s="15"/>
      <c r="R930" s="18"/>
      <c r="S930" s="142"/>
      <c r="T930" s="142"/>
      <c r="U930" s="142"/>
      <c r="V930" s="18"/>
      <c r="W930" s="18"/>
      <c r="X930" s="18"/>
      <c r="Y930" s="142"/>
      <c r="Z930" s="18"/>
      <c r="AA930" s="18"/>
      <c r="AB930" s="18"/>
      <c r="AC930" s="18"/>
      <c r="AD930" s="18"/>
      <c r="AE930" s="18"/>
      <c r="AF930" s="18"/>
      <c r="AG930" s="18"/>
      <c r="AH930" s="18"/>
      <c r="AI930" s="18"/>
      <c r="AJ930" s="142"/>
      <c r="AK930" s="142"/>
      <c r="AL930" s="18"/>
      <c r="AM930" s="18"/>
      <c r="AN930" s="18"/>
      <c r="AO930" s="142"/>
    </row>
    <row r="931">
      <c r="A931" s="142"/>
      <c r="B931" s="18"/>
      <c r="C931" s="142"/>
      <c r="D931" s="18"/>
      <c r="E931" s="18"/>
      <c r="F931" s="18"/>
      <c r="G931" s="142"/>
      <c r="H931" s="18"/>
      <c r="I931" s="142"/>
      <c r="J931" s="15"/>
      <c r="Q931" s="15"/>
      <c r="R931" s="18"/>
      <c r="S931" s="142"/>
      <c r="T931" s="142"/>
      <c r="U931" s="142"/>
      <c r="V931" s="18"/>
      <c r="W931" s="18"/>
      <c r="X931" s="18"/>
      <c r="Y931" s="142"/>
      <c r="Z931" s="18"/>
      <c r="AA931" s="18"/>
      <c r="AB931" s="18"/>
      <c r="AC931" s="18"/>
      <c r="AD931" s="18"/>
      <c r="AE931" s="18"/>
      <c r="AF931" s="18"/>
      <c r="AG931" s="18"/>
      <c r="AH931" s="18"/>
      <c r="AI931" s="18"/>
      <c r="AJ931" s="142"/>
      <c r="AK931" s="142"/>
      <c r="AL931" s="18"/>
      <c r="AM931" s="18"/>
      <c r="AN931" s="18"/>
      <c r="AO931" s="142"/>
    </row>
    <row r="932">
      <c r="A932" s="142"/>
      <c r="B932" s="18"/>
      <c r="C932" s="142"/>
      <c r="D932" s="18"/>
      <c r="E932" s="18"/>
      <c r="F932" s="18"/>
      <c r="G932" s="142"/>
      <c r="H932" s="18"/>
      <c r="I932" s="142"/>
      <c r="J932" s="15"/>
      <c r="Q932" s="15"/>
      <c r="R932" s="18"/>
      <c r="S932" s="142"/>
      <c r="T932" s="142"/>
      <c r="U932" s="142"/>
      <c r="V932" s="18"/>
      <c r="W932" s="18"/>
      <c r="X932" s="18"/>
      <c r="Y932" s="142"/>
      <c r="Z932" s="18"/>
      <c r="AA932" s="18"/>
      <c r="AB932" s="18"/>
      <c r="AC932" s="18"/>
      <c r="AD932" s="18"/>
      <c r="AE932" s="18"/>
      <c r="AF932" s="18"/>
      <c r="AG932" s="18"/>
      <c r="AH932" s="18"/>
      <c r="AI932" s="18"/>
      <c r="AJ932" s="142"/>
      <c r="AK932" s="142"/>
      <c r="AL932" s="18"/>
      <c r="AM932" s="18"/>
      <c r="AN932" s="18"/>
      <c r="AO932" s="142"/>
    </row>
    <row r="933">
      <c r="A933" s="142"/>
      <c r="B933" s="18"/>
      <c r="C933" s="142"/>
      <c r="D933" s="18"/>
      <c r="E933" s="18"/>
      <c r="F933" s="18"/>
      <c r="G933" s="142"/>
      <c r="H933" s="18"/>
      <c r="I933" s="142"/>
      <c r="J933" s="15"/>
      <c r="Q933" s="15"/>
      <c r="R933" s="18"/>
      <c r="S933" s="142"/>
      <c r="T933" s="142"/>
      <c r="U933" s="142"/>
      <c r="V933" s="18"/>
      <c r="W933" s="18"/>
      <c r="X933" s="18"/>
      <c r="Y933" s="142"/>
      <c r="Z933" s="18"/>
      <c r="AA933" s="18"/>
      <c r="AB933" s="18"/>
      <c r="AC933" s="18"/>
      <c r="AD933" s="18"/>
      <c r="AE933" s="18"/>
      <c r="AF933" s="18"/>
      <c r="AG933" s="18"/>
      <c r="AH933" s="18"/>
      <c r="AI933" s="18"/>
      <c r="AJ933" s="142"/>
      <c r="AK933" s="142"/>
      <c r="AL933" s="18"/>
      <c r="AM933" s="18"/>
      <c r="AN933" s="18"/>
      <c r="AO933" s="142"/>
    </row>
    <row r="934">
      <c r="A934" s="142"/>
      <c r="B934" s="18"/>
      <c r="C934" s="142"/>
      <c r="D934" s="18"/>
      <c r="E934" s="18"/>
      <c r="F934" s="18"/>
      <c r="G934" s="142"/>
      <c r="H934" s="18"/>
      <c r="I934" s="142"/>
      <c r="J934" s="15"/>
      <c r="Q934" s="15"/>
      <c r="R934" s="18"/>
      <c r="S934" s="142"/>
      <c r="T934" s="142"/>
      <c r="U934" s="142"/>
      <c r="V934" s="18"/>
      <c r="W934" s="18"/>
      <c r="X934" s="18"/>
      <c r="Y934" s="142"/>
      <c r="Z934" s="18"/>
      <c r="AA934" s="18"/>
      <c r="AB934" s="18"/>
      <c r="AC934" s="18"/>
      <c r="AD934" s="18"/>
      <c r="AE934" s="18"/>
      <c r="AF934" s="18"/>
      <c r="AG934" s="18"/>
      <c r="AH934" s="18"/>
      <c r="AI934" s="18"/>
      <c r="AJ934" s="142"/>
      <c r="AK934" s="142"/>
      <c r="AL934" s="18"/>
      <c r="AM934" s="18"/>
      <c r="AN934" s="18"/>
      <c r="AO934" s="142"/>
    </row>
    <row r="935">
      <c r="A935" s="142"/>
      <c r="B935" s="18"/>
      <c r="C935" s="142"/>
      <c r="D935" s="18"/>
      <c r="E935" s="18"/>
      <c r="F935" s="18"/>
      <c r="G935" s="142"/>
      <c r="H935" s="18"/>
      <c r="I935" s="142"/>
      <c r="J935" s="15"/>
      <c r="Q935" s="15"/>
      <c r="R935" s="18"/>
      <c r="S935" s="142"/>
      <c r="T935" s="142"/>
      <c r="U935" s="142"/>
      <c r="V935" s="18"/>
      <c r="W935" s="18"/>
      <c r="X935" s="18"/>
      <c r="Y935" s="142"/>
      <c r="Z935" s="18"/>
      <c r="AA935" s="18"/>
      <c r="AB935" s="18"/>
      <c r="AC935" s="18"/>
      <c r="AD935" s="18"/>
      <c r="AE935" s="18"/>
      <c r="AF935" s="18"/>
      <c r="AG935" s="18"/>
      <c r="AH935" s="18"/>
      <c r="AI935" s="18"/>
      <c r="AJ935" s="142"/>
      <c r="AK935" s="142"/>
      <c r="AL935" s="18"/>
      <c r="AM935" s="18"/>
      <c r="AN935" s="18"/>
      <c r="AO935" s="142"/>
    </row>
    <row r="936">
      <c r="A936" s="142"/>
      <c r="B936" s="18"/>
      <c r="C936" s="142"/>
      <c r="D936" s="18"/>
      <c r="E936" s="18"/>
      <c r="F936" s="18"/>
      <c r="G936" s="142"/>
      <c r="H936" s="18"/>
      <c r="I936" s="142"/>
      <c r="J936" s="15"/>
      <c r="Q936" s="15"/>
      <c r="R936" s="18"/>
      <c r="S936" s="142"/>
      <c r="T936" s="142"/>
      <c r="U936" s="142"/>
      <c r="V936" s="18"/>
      <c r="W936" s="18"/>
      <c r="X936" s="18"/>
      <c r="Y936" s="142"/>
      <c r="Z936" s="18"/>
      <c r="AA936" s="18"/>
      <c r="AB936" s="18"/>
      <c r="AC936" s="18"/>
      <c r="AD936" s="18"/>
      <c r="AE936" s="18"/>
      <c r="AF936" s="18"/>
      <c r="AG936" s="18"/>
      <c r="AH936" s="18"/>
      <c r="AI936" s="18"/>
      <c r="AJ936" s="142"/>
      <c r="AK936" s="142"/>
      <c r="AL936" s="18"/>
      <c r="AM936" s="18"/>
      <c r="AN936" s="18"/>
      <c r="AO936" s="142"/>
    </row>
    <row r="937">
      <c r="A937" s="142"/>
      <c r="B937" s="18"/>
      <c r="C937" s="142"/>
      <c r="D937" s="18"/>
      <c r="E937" s="18"/>
      <c r="F937" s="18"/>
      <c r="G937" s="142"/>
      <c r="H937" s="18"/>
      <c r="I937" s="142"/>
      <c r="J937" s="15"/>
      <c r="Q937" s="15"/>
      <c r="R937" s="18"/>
      <c r="S937" s="142"/>
      <c r="T937" s="142"/>
      <c r="U937" s="142"/>
      <c r="V937" s="18"/>
      <c r="W937" s="18"/>
      <c r="X937" s="18"/>
      <c r="Y937" s="142"/>
      <c r="Z937" s="18"/>
      <c r="AA937" s="18"/>
      <c r="AB937" s="18"/>
      <c r="AC937" s="18"/>
      <c r="AD937" s="18"/>
      <c r="AE937" s="18"/>
      <c r="AF937" s="18"/>
      <c r="AG937" s="18"/>
      <c r="AH937" s="18"/>
      <c r="AI937" s="18"/>
      <c r="AJ937" s="142"/>
      <c r="AK937" s="142"/>
      <c r="AL937" s="18"/>
      <c r="AM937" s="18"/>
      <c r="AN937" s="18"/>
      <c r="AO937" s="142"/>
    </row>
    <row r="938">
      <c r="A938" s="142"/>
      <c r="B938" s="18"/>
      <c r="C938" s="142"/>
      <c r="D938" s="18"/>
      <c r="E938" s="18"/>
      <c r="F938" s="18"/>
      <c r="G938" s="142"/>
      <c r="H938" s="18"/>
      <c r="I938" s="142"/>
      <c r="J938" s="15"/>
      <c r="Q938" s="15"/>
      <c r="R938" s="18"/>
      <c r="S938" s="142"/>
      <c r="T938" s="142"/>
      <c r="U938" s="142"/>
      <c r="V938" s="18"/>
      <c r="W938" s="18"/>
      <c r="X938" s="18"/>
      <c r="Y938" s="142"/>
      <c r="Z938" s="18"/>
      <c r="AA938" s="18"/>
      <c r="AB938" s="18"/>
      <c r="AC938" s="18"/>
      <c r="AD938" s="18"/>
      <c r="AE938" s="18"/>
      <c r="AF938" s="18"/>
      <c r="AG938" s="18"/>
      <c r="AH938" s="18"/>
      <c r="AI938" s="18"/>
      <c r="AJ938" s="142"/>
      <c r="AK938" s="142"/>
      <c r="AL938" s="18"/>
      <c r="AM938" s="18"/>
      <c r="AN938" s="18"/>
      <c r="AO938" s="142"/>
    </row>
    <row r="939">
      <c r="A939" s="142"/>
      <c r="B939" s="18"/>
      <c r="C939" s="142"/>
      <c r="D939" s="18"/>
      <c r="E939" s="18"/>
      <c r="F939" s="18"/>
      <c r="G939" s="142"/>
      <c r="H939" s="18"/>
      <c r="I939" s="142"/>
      <c r="J939" s="15"/>
      <c r="Q939" s="15"/>
      <c r="R939" s="18"/>
      <c r="S939" s="142"/>
      <c r="T939" s="142"/>
      <c r="U939" s="142"/>
      <c r="V939" s="18"/>
      <c r="W939" s="18"/>
      <c r="X939" s="18"/>
      <c r="Y939" s="142"/>
      <c r="Z939" s="18"/>
      <c r="AA939" s="18"/>
      <c r="AB939" s="18"/>
      <c r="AC939" s="18"/>
      <c r="AD939" s="18"/>
      <c r="AE939" s="18"/>
      <c r="AF939" s="18"/>
      <c r="AG939" s="18"/>
      <c r="AH939" s="18"/>
      <c r="AI939" s="18"/>
      <c r="AJ939" s="142"/>
      <c r="AK939" s="142"/>
      <c r="AL939" s="18"/>
      <c r="AM939" s="18"/>
      <c r="AN939" s="18"/>
      <c r="AO939" s="142"/>
    </row>
    <row r="940">
      <c r="A940" s="142"/>
      <c r="B940" s="18"/>
      <c r="C940" s="142"/>
      <c r="D940" s="18"/>
      <c r="E940" s="18"/>
      <c r="F940" s="18"/>
      <c r="G940" s="142"/>
      <c r="H940" s="18"/>
      <c r="I940" s="142"/>
      <c r="J940" s="15"/>
      <c r="Q940" s="15"/>
      <c r="R940" s="18"/>
      <c r="S940" s="142"/>
      <c r="T940" s="142"/>
      <c r="U940" s="142"/>
      <c r="V940" s="18"/>
      <c r="W940" s="18"/>
      <c r="X940" s="18"/>
      <c r="Y940" s="142"/>
      <c r="Z940" s="18"/>
      <c r="AA940" s="18"/>
      <c r="AB940" s="18"/>
      <c r="AC940" s="18"/>
      <c r="AD940" s="18"/>
      <c r="AE940" s="18"/>
      <c r="AF940" s="18"/>
      <c r="AG940" s="18"/>
      <c r="AH940" s="18"/>
      <c r="AI940" s="18"/>
      <c r="AJ940" s="142"/>
      <c r="AK940" s="142"/>
      <c r="AL940" s="18"/>
      <c r="AM940" s="18"/>
      <c r="AN940" s="18"/>
      <c r="AO940" s="142"/>
    </row>
    <row r="941">
      <c r="A941" s="142"/>
      <c r="B941" s="18"/>
      <c r="C941" s="142"/>
      <c r="D941" s="18"/>
      <c r="E941" s="18"/>
      <c r="F941" s="18"/>
      <c r="G941" s="142"/>
      <c r="H941" s="18"/>
      <c r="I941" s="142"/>
      <c r="J941" s="15"/>
      <c r="Q941" s="15"/>
      <c r="R941" s="18"/>
      <c r="S941" s="142"/>
      <c r="T941" s="142"/>
      <c r="U941" s="142"/>
      <c r="V941" s="18"/>
      <c r="W941" s="18"/>
      <c r="X941" s="18"/>
      <c r="Y941" s="142"/>
      <c r="Z941" s="18"/>
      <c r="AA941" s="18"/>
      <c r="AB941" s="18"/>
      <c r="AC941" s="18"/>
      <c r="AD941" s="18"/>
      <c r="AE941" s="18"/>
      <c r="AF941" s="18"/>
      <c r="AG941" s="18"/>
      <c r="AH941" s="18"/>
      <c r="AI941" s="18"/>
      <c r="AJ941" s="142"/>
      <c r="AK941" s="142"/>
      <c r="AL941" s="18"/>
      <c r="AM941" s="18"/>
      <c r="AN941" s="18"/>
      <c r="AO941" s="142"/>
    </row>
    <row r="942">
      <c r="A942" s="142"/>
      <c r="B942" s="18"/>
      <c r="C942" s="142"/>
      <c r="D942" s="18"/>
      <c r="E942" s="18"/>
      <c r="F942" s="18"/>
      <c r="G942" s="142"/>
      <c r="H942" s="18"/>
      <c r="I942" s="142"/>
      <c r="J942" s="15"/>
      <c r="Q942" s="15"/>
      <c r="R942" s="18"/>
      <c r="S942" s="142"/>
      <c r="T942" s="142"/>
      <c r="U942" s="142"/>
      <c r="V942" s="18"/>
      <c r="W942" s="18"/>
      <c r="X942" s="18"/>
      <c r="Y942" s="142"/>
      <c r="Z942" s="18"/>
      <c r="AA942" s="18"/>
      <c r="AB942" s="18"/>
      <c r="AC942" s="18"/>
      <c r="AD942" s="18"/>
      <c r="AE942" s="18"/>
      <c r="AF942" s="18"/>
      <c r="AG942" s="18"/>
      <c r="AH942" s="18"/>
      <c r="AI942" s="18"/>
      <c r="AJ942" s="142"/>
      <c r="AK942" s="142"/>
      <c r="AL942" s="18"/>
      <c r="AM942" s="18"/>
      <c r="AN942" s="18"/>
      <c r="AO942" s="142"/>
    </row>
    <row r="943">
      <c r="A943" s="142"/>
      <c r="B943" s="18"/>
      <c r="C943" s="142"/>
      <c r="D943" s="18"/>
      <c r="E943" s="18"/>
      <c r="F943" s="18"/>
      <c r="G943" s="142"/>
      <c r="H943" s="18"/>
      <c r="I943" s="142"/>
      <c r="J943" s="15"/>
      <c r="Q943" s="15"/>
      <c r="R943" s="18"/>
      <c r="S943" s="142"/>
      <c r="T943" s="142"/>
      <c r="U943" s="142"/>
      <c r="V943" s="18"/>
      <c r="W943" s="18"/>
      <c r="X943" s="18"/>
      <c r="Y943" s="142"/>
      <c r="Z943" s="18"/>
      <c r="AA943" s="18"/>
      <c r="AB943" s="18"/>
      <c r="AC943" s="18"/>
      <c r="AD943" s="18"/>
      <c r="AE943" s="18"/>
      <c r="AF943" s="18"/>
      <c r="AG943" s="18"/>
      <c r="AH943" s="18"/>
      <c r="AI943" s="18"/>
      <c r="AJ943" s="142"/>
      <c r="AK943" s="142"/>
      <c r="AL943" s="18"/>
      <c r="AM943" s="18"/>
      <c r="AN943" s="18"/>
      <c r="AO943" s="142"/>
    </row>
    <row r="944">
      <c r="A944" s="142"/>
      <c r="B944" s="18"/>
      <c r="C944" s="142"/>
      <c r="D944" s="18"/>
      <c r="E944" s="18"/>
      <c r="F944" s="18"/>
      <c r="G944" s="142"/>
      <c r="H944" s="18"/>
      <c r="I944" s="142"/>
      <c r="J944" s="15"/>
      <c r="Q944" s="15"/>
      <c r="R944" s="18"/>
      <c r="S944" s="142"/>
      <c r="T944" s="142"/>
      <c r="U944" s="142"/>
      <c r="V944" s="18"/>
      <c r="W944" s="18"/>
      <c r="X944" s="18"/>
      <c r="Y944" s="142"/>
      <c r="Z944" s="18"/>
      <c r="AA944" s="18"/>
      <c r="AB944" s="18"/>
      <c r="AC944" s="18"/>
      <c r="AD944" s="18"/>
      <c r="AE944" s="18"/>
      <c r="AF944" s="18"/>
      <c r="AG944" s="18"/>
      <c r="AH944" s="18"/>
      <c r="AI944" s="18"/>
      <c r="AJ944" s="142"/>
      <c r="AK944" s="142"/>
      <c r="AL944" s="18"/>
      <c r="AM944" s="18"/>
      <c r="AN944" s="18"/>
      <c r="AO944" s="142"/>
    </row>
    <row r="945">
      <c r="A945" s="142"/>
      <c r="B945" s="18"/>
      <c r="C945" s="142"/>
      <c r="D945" s="18"/>
      <c r="E945" s="18"/>
      <c r="F945" s="18"/>
      <c r="G945" s="142"/>
      <c r="H945" s="18"/>
      <c r="I945" s="142"/>
      <c r="J945" s="15"/>
      <c r="Q945" s="15"/>
      <c r="R945" s="18"/>
      <c r="S945" s="142"/>
      <c r="T945" s="142"/>
      <c r="U945" s="142"/>
      <c r="V945" s="18"/>
      <c r="W945" s="18"/>
      <c r="X945" s="18"/>
      <c r="Y945" s="142"/>
      <c r="Z945" s="18"/>
      <c r="AA945" s="18"/>
      <c r="AB945" s="18"/>
      <c r="AC945" s="18"/>
      <c r="AD945" s="18"/>
      <c r="AE945" s="18"/>
      <c r="AF945" s="18"/>
      <c r="AG945" s="18"/>
      <c r="AH945" s="18"/>
      <c r="AI945" s="18"/>
      <c r="AJ945" s="142"/>
      <c r="AK945" s="142"/>
      <c r="AL945" s="18"/>
      <c r="AM945" s="18"/>
      <c r="AN945" s="18"/>
      <c r="AO945" s="142"/>
    </row>
    <row r="946">
      <c r="A946" s="142"/>
      <c r="B946" s="18"/>
      <c r="C946" s="142"/>
      <c r="D946" s="18"/>
      <c r="E946" s="18"/>
      <c r="F946" s="18"/>
      <c r="G946" s="142"/>
      <c r="H946" s="18"/>
      <c r="I946" s="142"/>
      <c r="J946" s="15"/>
      <c r="Q946" s="15"/>
      <c r="R946" s="18"/>
      <c r="S946" s="142"/>
      <c r="T946" s="142"/>
      <c r="U946" s="142"/>
      <c r="V946" s="18"/>
      <c r="W946" s="18"/>
      <c r="X946" s="18"/>
      <c r="Y946" s="142"/>
      <c r="Z946" s="18"/>
      <c r="AA946" s="18"/>
      <c r="AB946" s="18"/>
      <c r="AC946" s="18"/>
      <c r="AD946" s="18"/>
      <c r="AE946" s="18"/>
      <c r="AF946" s="18"/>
      <c r="AG946" s="18"/>
      <c r="AH946" s="18"/>
      <c r="AI946" s="18"/>
      <c r="AJ946" s="142"/>
      <c r="AK946" s="142"/>
      <c r="AL946" s="18"/>
      <c r="AM946" s="18"/>
      <c r="AN946" s="18"/>
      <c r="AO946" s="142"/>
    </row>
    <row r="947">
      <c r="A947" s="142"/>
      <c r="B947" s="18"/>
      <c r="C947" s="142"/>
      <c r="D947" s="18"/>
      <c r="E947" s="18"/>
      <c r="F947" s="18"/>
      <c r="G947" s="142"/>
      <c r="H947" s="18"/>
      <c r="I947" s="142"/>
      <c r="J947" s="15"/>
      <c r="Q947" s="15"/>
      <c r="R947" s="18"/>
      <c r="S947" s="142"/>
      <c r="T947" s="142"/>
      <c r="U947" s="142"/>
      <c r="V947" s="18"/>
      <c r="W947" s="18"/>
      <c r="X947" s="18"/>
      <c r="Y947" s="142"/>
      <c r="Z947" s="18"/>
      <c r="AA947" s="18"/>
      <c r="AB947" s="18"/>
      <c r="AC947" s="18"/>
      <c r="AD947" s="18"/>
      <c r="AE947" s="18"/>
      <c r="AF947" s="18"/>
      <c r="AG947" s="18"/>
      <c r="AH947" s="18"/>
      <c r="AI947" s="18"/>
      <c r="AJ947" s="142"/>
      <c r="AK947" s="142"/>
      <c r="AL947" s="18"/>
      <c r="AM947" s="18"/>
      <c r="AN947" s="18"/>
      <c r="AO947" s="142"/>
    </row>
    <row r="948">
      <c r="A948" s="142"/>
      <c r="B948" s="18"/>
      <c r="C948" s="142"/>
      <c r="D948" s="18"/>
      <c r="E948" s="18"/>
      <c r="F948" s="18"/>
      <c r="G948" s="142"/>
      <c r="H948" s="18"/>
      <c r="I948" s="142"/>
      <c r="J948" s="15"/>
      <c r="Q948" s="15"/>
      <c r="R948" s="18"/>
      <c r="S948" s="142"/>
      <c r="T948" s="142"/>
      <c r="U948" s="142"/>
      <c r="V948" s="18"/>
      <c r="W948" s="18"/>
      <c r="X948" s="18"/>
      <c r="Y948" s="142"/>
      <c r="Z948" s="18"/>
      <c r="AA948" s="18"/>
      <c r="AB948" s="18"/>
      <c r="AC948" s="18"/>
      <c r="AD948" s="18"/>
      <c r="AE948" s="18"/>
      <c r="AF948" s="18"/>
      <c r="AG948" s="18"/>
      <c r="AH948" s="18"/>
      <c r="AI948" s="18"/>
      <c r="AJ948" s="142"/>
      <c r="AK948" s="142"/>
      <c r="AL948" s="18"/>
      <c r="AM948" s="18"/>
      <c r="AN948" s="18"/>
      <c r="AO948" s="142"/>
    </row>
    <row r="949">
      <c r="A949" s="142"/>
      <c r="B949" s="18"/>
      <c r="C949" s="142"/>
      <c r="D949" s="18"/>
      <c r="E949" s="18"/>
      <c r="F949" s="18"/>
      <c r="G949" s="142"/>
      <c r="H949" s="18"/>
      <c r="I949" s="142"/>
      <c r="J949" s="15"/>
      <c r="Q949" s="15"/>
      <c r="R949" s="18"/>
      <c r="S949" s="142"/>
      <c r="T949" s="142"/>
      <c r="U949" s="142"/>
      <c r="V949" s="18"/>
      <c r="W949" s="18"/>
      <c r="X949" s="18"/>
      <c r="Y949" s="142"/>
      <c r="Z949" s="18"/>
      <c r="AA949" s="18"/>
      <c r="AB949" s="18"/>
      <c r="AC949" s="18"/>
      <c r="AD949" s="18"/>
      <c r="AE949" s="18"/>
      <c r="AF949" s="18"/>
      <c r="AG949" s="18"/>
      <c r="AH949" s="18"/>
      <c r="AI949" s="18"/>
      <c r="AJ949" s="142"/>
      <c r="AK949" s="142"/>
      <c r="AL949" s="18"/>
      <c r="AM949" s="18"/>
      <c r="AN949" s="18"/>
      <c r="AO949" s="142"/>
    </row>
    <row r="950">
      <c r="A950" s="142"/>
      <c r="B950" s="18"/>
      <c r="C950" s="142"/>
      <c r="D950" s="18"/>
      <c r="E950" s="18"/>
      <c r="F950" s="18"/>
      <c r="G950" s="142"/>
      <c r="H950" s="18"/>
      <c r="I950" s="142"/>
      <c r="J950" s="15"/>
      <c r="Q950" s="15"/>
      <c r="R950" s="18"/>
      <c r="S950" s="142"/>
      <c r="T950" s="142"/>
      <c r="U950" s="142"/>
      <c r="V950" s="18"/>
      <c r="W950" s="18"/>
      <c r="X950" s="18"/>
      <c r="Y950" s="142"/>
      <c r="Z950" s="18"/>
      <c r="AA950" s="18"/>
      <c r="AB950" s="18"/>
      <c r="AC950" s="18"/>
      <c r="AD950" s="18"/>
      <c r="AE950" s="18"/>
      <c r="AF950" s="18"/>
      <c r="AG950" s="18"/>
      <c r="AH950" s="18"/>
      <c r="AI950" s="18"/>
      <c r="AJ950" s="142"/>
      <c r="AK950" s="142"/>
      <c r="AL950" s="18"/>
      <c r="AM950" s="18"/>
      <c r="AN950" s="18"/>
      <c r="AO950" s="142"/>
    </row>
    <row r="951">
      <c r="A951" s="142"/>
      <c r="B951" s="18"/>
      <c r="C951" s="142"/>
      <c r="D951" s="18"/>
      <c r="E951" s="18"/>
      <c r="F951" s="18"/>
      <c r="G951" s="142"/>
      <c r="H951" s="18"/>
      <c r="I951" s="142"/>
      <c r="J951" s="15"/>
      <c r="Q951" s="15"/>
      <c r="R951" s="18"/>
      <c r="S951" s="142"/>
      <c r="T951" s="142"/>
      <c r="U951" s="142"/>
      <c r="V951" s="18"/>
      <c r="W951" s="18"/>
      <c r="X951" s="18"/>
      <c r="Y951" s="142"/>
      <c r="Z951" s="18"/>
      <c r="AA951" s="18"/>
      <c r="AB951" s="18"/>
      <c r="AC951" s="18"/>
      <c r="AD951" s="18"/>
      <c r="AE951" s="18"/>
      <c r="AF951" s="18"/>
      <c r="AG951" s="18"/>
      <c r="AH951" s="18"/>
      <c r="AI951" s="18"/>
      <c r="AJ951" s="142"/>
      <c r="AK951" s="142"/>
      <c r="AL951" s="18"/>
      <c r="AM951" s="18"/>
      <c r="AN951" s="18"/>
      <c r="AO951" s="142"/>
    </row>
    <row r="952">
      <c r="A952" s="142"/>
      <c r="B952" s="18"/>
      <c r="C952" s="142"/>
      <c r="D952" s="18"/>
      <c r="E952" s="18"/>
      <c r="F952" s="18"/>
      <c r="G952" s="142"/>
      <c r="H952" s="18"/>
      <c r="I952" s="142"/>
      <c r="J952" s="15"/>
      <c r="Q952" s="15"/>
      <c r="R952" s="18"/>
      <c r="S952" s="142"/>
      <c r="T952" s="142"/>
      <c r="U952" s="142"/>
      <c r="V952" s="18"/>
      <c r="W952" s="18"/>
      <c r="X952" s="18"/>
      <c r="Y952" s="142"/>
      <c r="Z952" s="18"/>
      <c r="AA952" s="18"/>
      <c r="AB952" s="18"/>
      <c r="AC952" s="18"/>
      <c r="AD952" s="18"/>
      <c r="AE952" s="18"/>
      <c r="AF952" s="18"/>
      <c r="AG952" s="18"/>
      <c r="AH952" s="18"/>
      <c r="AI952" s="18"/>
      <c r="AJ952" s="142"/>
      <c r="AK952" s="142"/>
      <c r="AL952" s="18"/>
      <c r="AM952" s="18"/>
      <c r="AN952" s="18"/>
      <c r="AO952" s="142"/>
    </row>
    <row r="953">
      <c r="A953" s="142"/>
      <c r="B953" s="18"/>
      <c r="C953" s="142"/>
      <c r="D953" s="18"/>
      <c r="E953" s="18"/>
      <c r="F953" s="18"/>
      <c r="G953" s="142"/>
      <c r="H953" s="18"/>
      <c r="I953" s="142"/>
      <c r="J953" s="15"/>
      <c r="Q953" s="15"/>
      <c r="R953" s="18"/>
      <c r="S953" s="142"/>
      <c r="T953" s="142"/>
      <c r="U953" s="142"/>
      <c r="V953" s="18"/>
      <c r="W953" s="18"/>
      <c r="X953" s="18"/>
      <c r="Y953" s="142"/>
      <c r="Z953" s="18"/>
      <c r="AA953" s="18"/>
      <c r="AB953" s="18"/>
      <c r="AC953" s="18"/>
      <c r="AD953" s="18"/>
      <c r="AE953" s="18"/>
      <c r="AF953" s="18"/>
      <c r="AG953" s="18"/>
      <c r="AH953" s="18"/>
      <c r="AI953" s="18"/>
      <c r="AJ953" s="142"/>
      <c r="AK953" s="142"/>
      <c r="AL953" s="18"/>
      <c r="AM953" s="18"/>
      <c r="AN953" s="18"/>
      <c r="AO953" s="142"/>
    </row>
    <row r="954">
      <c r="A954" s="142"/>
      <c r="B954" s="18"/>
      <c r="C954" s="142"/>
      <c r="D954" s="18"/>
      <c r="E954" s="18"/>
      <c r="F954" s="18"/>
      <c r="G954" s="142"/>
      <c r="H954" s="18"/>
      <c r="I954" s="142"/>
      <c r="J954" s="15"/>
      <c r="Q954" s="15"/>
      <c r="R954" s="18"/>
      <c r="S954" s="142"/>
      <c r="T954" s="142"/>
      <c r="U954" s="142"/>
      <c r="V954" s="18"/>
      <c r="W954" s="18"/>
      <c r="X954" s="18"/>
      <c r="Y954" s="142"/>
      <c r="Z954" s="18"/>
      <c r="AA954" s="18"/>
      <c r="AB954" s="18"/>
      <c r="AC954" s="18"/>
      <c r="AD954" s="18"/>
      <c r="AE954" s="18"/>
      <c r="AF954" s="18"/>
      <c r="AG954" s="18"/>
      <c r="AH954" s="18"/>
      <c r="AI954" s="18"/>
      <c r="AJ954" s="142"/>
      <c r="AK954" s="142"/>
      <c r="AL954" s="18"/>
      <c r="AM954" s="18"/>
      <c r="AN954" s="18"/>
      <c r="AO954" s="142"/>
    </row>
    <row r="955">
      <c r="A955" s="142"/>
      <c r="B955" s="18"/>
      <c r="C955" s="142"/>
      <c r="D955" s="18"/>
      <c r="E955" s="18"/>
      <c r="F955" s="18"/>
      <c r="G955" s="142"/>
      <c r="H955" s="18"/>
      <c r="I955" s="142"/>
      <c r="J955" s="15"/>
      <c r="Q955" s="15"/>
      <c r="R955" s="18"/>
      <c r="S955" s="142"/>
      <c r="T955" s="142"/>
      <c r="U955" s="142"/>
      <c r="V955" s="18"/>
      <c r="W955" s="18"/>
      <c r="X955" s="18"/>
      <c r="Y955" s="142"/>
      <c r="Z955" s="18"/>
      <c r="AA955" s="18"/>
      <c r="AB955" s="18"/>
      <c r="AC955" s="18"/>
      <c r="AD955" s="18"/>
      <c r="AE955" s="18"/>
      <c r="AF955" s="18"/>
      <c r="AG955" s="18"/>
      <c r="AH955" s="18"/>
      <c r="AI955" s="18"/>
      <c r="AJ955" s="142"/>
      <c r="AK955" s="142"/>
      <c r="AL955" s="18"/>
      <c r="AM955" s="18"/>
      <c r="AN955" s="18"/>
      <c r="AO955" s="142"/>
    </row>
    <row r="956">
      <c r="A956" s="142"/>
      <c r="B956" s="18"/>
      <c r="C956" s="142"/>
      <c r="D956" s="18"/>
      <c r="E956" s="18"/>
      <c r="F956" s="18"/>
      <c r="G956" s="142"/>
      <c r="H956" s="18"/>
      <c r="I956" s="142"/>
      <c r="J956" s="15"/>
      <c r="Q956" s="15"/>
      <c r="R956" s="18"/>
      <c r="S956" s="142"/>
      <c r="T956" s="142"/>
      <c r="U956" s="142"/>
      <c r="V956" s="18"/>
      <c r="W956" s="18"/>
      <c r="X956" s="18"/>
      <c r="Y956" s="142"/>
      <c r="Z956" s="18"/>
      <c r="AA956" s="18"/>
      <c r="AB956" s="18"/>
      <c r="AC956" s="18"/>
      <c r="AD956" s="18"/>
      <c r="AE956" s="18"/>
      <c r="AF956" s="18"/>
      <c r="AG956" s="18"/>
      <c r="AH956" s="18"/>
      <c r="AI956" s="18"/>
      <c r="AJ956" s="142"/>
      <c r="AK956" s="142"/>
      <c r="AL956" s="18"/>
      <c r="AM956" s="18"/>
      <c r="AN956" s="18"/>
      <c r="AO956" s="142"/>
    </row>
    <row r="957">
      <c r="A957" s="142"/>
      <c r="B957" s="18"/>
      <c r="C957" s="142"/>
      <c r="D957" s="18"/>
      <c r="E957" s="18"/>
      <c r="F957" s="18"/>
      <c r="G957" s="142"/>
      <c r="H957" s="18"/>
      <c r="I957" s="142"/>
      <c r="J957" s="15"/>
      <c r="Q957" s="15"/>
      <c r="R957" s="18"/>
      <c r="S957" s="142"/>
      <c r="T957" s="142"/>
      <c r="U957" s="142"/>
      <c r="V957" s="18"/>
      <c r="W957" s="18"/>
      <c r="X957" s="18"/>
      <c r="Y957" s="142"/>
      <c r="Z957" s="18"/>
      <c r="AA957" s="18"/>
      <c r="AB957" s="18"/>
      <c r="AC957" s="18"/>
      <c r="AD957" s="18"/>
      <c r="AE957" s="18"/>
      <c r="AF957" s="18"/>
      <c r="AG957" s="18"/>
      <c r="AH957" s="18"/>
      <c r="AI957" s="18"/>
      <c r="AJ957" s="142"/>
      <c r="AK957" s="142"/>
      <c r="AL957" s="18"/>
      <c r="AM957" s="18"/>
      <c r="AN957" s="18"/>
      <c r="AO957" s="142"/>
    </row>
    <row r="958">
      <c r="A958" s="142"/>
      <c r="B958" s="18"/>
      <c r="C958" s="142"/>
      <c r="D958" s="18"/>
      <c r="E958" s="18"/>
      <c r="F958" s="18"/>
      <c r="G958" s="142"/>
      <c r="H958" s="18"/>
      <c r="I958" s="142"/>
      <c r="J958" s="15"/>
      <c r="Q958" s="15"/>
      <c r="R958" s="18"/>
      <c r="S958" s="142"/>
      <c r="T958" s="142"/>
      <c r="U958" s="142"/>
      <c r="V958" s="18"/>
      <c r="W958" s="18"/>
      <c r="X958" s="18"/>
      <c r="Y958" s="142"/>
      <c r="Z958" s="18"/>
      <c r="AA958" s="18"/>
      <c r="AB958" s="18"/>
      <c r="AC958" s="18"/>
      <c r="AD958" s="18"/>
      <c r="AE958" s="18"/>
      <c r="AF958" s="18"/>
      <c r="AG958" s="18"/>
      <c r="AH958" s="18"/>
      <c r="AI958" s="18"/>
      <c r="AJ958" s="142"/>
      <c r="AK958" s="142"/>
      <c r="AL958" s="18"/>
      <c r="AM958" s="18"/>
      <c r="AN958" s="18"/>
      <c r="AO958" s="142"/>
    </row>
    <row r="959">
      <c r="A959" s="142"/>
      <c r="B959" s="18"/>
      <c r="C959" s="142"/>
      <c r="D959" s="18"/>
      <c r="E959" s="18"/>
      <c r="F959" s="18"/>
      <c r="G959" s="142"/>
      <c r="H959" s="18"/>
      <c r="I959" s="142"/>
      <c r="J959" s="15"/>
      <c r="Q959" s="15"/>
      <c r="R959" s="18"/>
      <c r="S959" s="142"/>
      <c r="T959" s="142"/>
      <c r="U959" s="142"/>
      <c r="V959" s="18"/>
      <c r="W959" s="18"/>
      <c r="X959" s="18"/>
      <c r="Y959" s="142"/>
      <c r="Z959" s="18"/>
      <c r="AA959" s="18"/>
      <c r="AB959" s="18"/>
      <c r="AC959" s="18"/>
      <c r="AD959" s="18"/>
      <c r="AE959" s="18"/>
      <c r="AF959" s="18"/>
      <c r="AG959" s="18"/>
      <c r="AH959" s="18"/>
      <c r="AI959" s="18"/>
      <c r="AJ959" s="142"/>
      <c r="AK959" s="142"/>
      <c r="AL959" s="18"/>
      <c r="AM959" s="18"/>
      <c r="AN959" s="18"/>
      <c r="AO959" s="142"/>
    </row>
    <row r="960">
      <c r="A960" s="142"/>
      <c r="B960" s="18"/>
      <c r="C960" s="142"/>
      <c r="D960" s="18"/>
      <c r="E960" s="18"/>
      <c r="F960" s="18"/>
      <c r="G960" s="142"/>
      <c r="H960" s="18"/>
      <c r="I960" s="142"/>
      <c r="J960" s="15"/>
      <c r="Q960" s="15"/>
      <c r="R960" s="18"/>
      <c r="S960" s="142"/>
      <c r="T960" s="142"/>
      <c r="U960" s="142"/>
      <c r="V960" s="18"/>
      <c r="W960" s="18"/>
      <c r="X960" s="18"/>
      <c r="Y960" s="142"/>
      <c r="Z960" s="18"/>
      <c r="AA960" s="18"/>
      <c r="AB960" s="18"/>
      <c r="AC960" s="18"/>
      <c r="AD960" s="18"/>
      <c r="AE960" s="18"/>
      <c r="AF960" s="18"/>
      <c r="AG960" s="18"/>
      <c r="AH960" s="18"/>
      <c r="AI960" s="18"/>
      <c r="AJ960" s="142"/>
      <c r="AK960" s="142"/>
      <c r="AL960" s="18"/>
      <c r="AM960" s="18"/>
      <c r="AN960" s="18"/>
      <c r="AO960" s="142"/>
    </row>
    <row r="961">
      <c r="A961" s="142"/>
      <c r="B961" s="18"/>
      <c r="C961" s="142"/>
      <c r="D961" s="18"/>
      <c r="E961" s="18"/>
      <c r="F961" s="18"/>
      <c r="G961" s="142"/>
      <c r="H961" s="18"/>
      <c r="I961" s="142"/>
      <c r="J961" s="15"/>
      <c r="Q961" s="15"/>
      <c r="R961" s="18"/>
      <c r="S961" s="142"/>
      <c r="T961" s="142"/>
      <c r="U961" s="142"/>
      <c r="V961" s="18"/>
      <c r="W961" s="18"/>
      <c r="X961" s="18"/>
      <c r="Y961" s="142"/>
      <c r="Z961" s="18"/>
      <c r="AA961" s="18"/>
      <c r="AB961" s="18"/>
      <c r="AC961" s="18"/>
      <c r="AD961" s="18"/>
      <c r="AE961" s="18"/>
      <c r="AF961" s="18"/>
      <c r="AG961" s="18"/>
      <c r="AH961" s="18"/>
      <c r="AI961" s="18"/>
      <c r="AJ961" s="142"/>
      <c r="AK961" s="142"/>
      <c r="AL961" s="18"/>
      <c r="AM961" s="18"/>
      <c r="AN961" s="18"/>
      <c r="AO961" s="142"/>
    </row>
    <row r="962">
      <c r="A962" s="142"/>
      <c r="B962" s="18"/>
      <c r="C962" s="142"/>
      <c r="D962" s="18"/>
      <c r="E962" s="18"/>
      <c r="F962" s="18"/>
      <c r="G962" s="142"/>
      <c r="H962" s="18"/>
      <c r="I962" s="142"/>
      <c r="J962" s="15"/>
      <c r="Q962" s="15"/>
      <c r="R962" s="18"/>
      <c r="S962" s="142"/>
      <c r="T962" s="142"/>
      <c r="U962" s="142"/>
      <c r="V962" s="18"/>
      <c r="W962" s="18"/>
      <c r="X962" s="18"/>
      <c r="Y962" s="142"/>
      <c r="Z962" s="18"/>
      <c r="AA962" s="18"/>
      <c r="AB962" s="18"/>
      <c r="AC962" s="18"/>
      <c r="AD962" s="18"/>
      <c r="AE962" s="18"/>
      <c r="AF962" s="18"/>
      <c r="AG962" s="18"/>
      <c r="AH962" s="18"/>
      <c r="AI962" s="18"/>
      <c r="AJ962" s="142"/>
      <c r="AK962" s="142"/>
      <c r="AL962" s="18"/>
      <c r="AM962" s="18"/>
      <c r="AN962" s="18"/>
      <c r="AO962" s="142"/>
    </row>
    <row r="963">
      <c r="A963" s="142"/>
      <c r="B963" s="18"/>
      <c r="C963" s="142"/>
      <c r="D963" s="18"/>
      <c r="E963" s="18"/>
      <c r="F963" s="18"/>
      <c r="G963" s="142"/>
      <c r="H963" s="18"/>
      <c r="I963" s="142"/>
      <c r="J963" s="15"/>
      <c r="Q963" s="15"/>
      <c r="R963" s="18"/>
      <c r="S963" s="142"/>
      <c r="T963" s="142"/>
      <c r="U963" s="142"/>
      <c r="V963" s="18"/>
      <c r="W963" s="18"/>
      <c r="X963" s="18"/>
      <c r="Y963" s="142"/>
      <c r="Z963" s="18"/>
      <c r="AA963" s="18"/>
      <c r="AB963" s="18"/>
      <c r="AC963" s="18"/>
      <c r="AD963" s="18"/>
      <c r="AE963" s="18"/>
      <c r="AF963" s="18"/>
      <c r="AG963" s="18"/>
      <c r="AH963" s="18"/>
      <c r="AI963" s="18"/>
      <c r="AJ963" s="142"/>
      <c r="AK963" s="142"/>
      <c r="AL963" s="18"/>
      <c r="AM963" s="18"/>
      <c r="AN963" s="18"/>
      <c r="AO963" s="142"/>
    </row>
    <row r="964">
      <c r="A964" s="142"/>
      <c r="B964" s="18"/>
      <c r="C964" s="142"/>
      <c r="D964" s="18"/>
      <c r="E964" s="18"/>
      <c r="F964" s="18"/>
      <c r="G964" s="142"/>
      <c r="H964" s="18"/>
      <c r="I964" s="142"/>
      <c r="J964" s="15"/>
      <c r="Q964" s="15"/>
      <c r="R964" s="18"/>
      <c r="S964" s="142"/>
      <c r="T964" s="142"/>
      <c r="U964" s="142"/>
      <c r="V964" s="18"/>
      <c r="W964" s="18"/>
      <c r="X964" s="18"/>
      <c r="Y964" s="142"/>
      <c r="Z964" s="18"/>
      <c r="AA964" s="18"/>
      <c r="AB964" s="18"/>
      <c r="AC964" s="18"/>
      <c r="AD964" s="18"/>
      <c r="AE964" s="18"/>
      <c r="AF964" s="18"/>
      <c r="AG964" s="18"/>
      <c r="AH964" s="18"/>
      <c r="AI964" s="18"/>
      <c r="AJ964" s="142"/>
      <c r="AK964" s="142"/>
      <c r="AL964" s="18"/>
      <c r="AM964" s="18"/>
      <c r="AN964" s="18"/>
      <c r="AO964" s="142"/>
    </row>
    <row r="965">
      <c r="A965" s="142"/>
      <c r="B965" s="18"/>
      <c r="C965" s="142"/>
      <c r="D965" s="18"/>
      <c r="E965" s="18"/>
      <c r="F965" s="18"/>
      <c r="G965" s="142"/>
      <c r="H965" s="18"/>
      <c r="I965" s="142"/>
      <c r="J965" s="15"/>
      <c r="Q965" s="15"/>
      <c r="R965" s="18"/>
      <c r="S965" s="142"/>
      <c r="T965" s="142"/>
      <c r="U965" s="142"/>
      <c r="V965" s="18"/>
      <c r="W965" s="18"/>
      <c r="X965" s="18"/>
      <c r="Y965" s="142"/>
      <c r="Z965" s="18"/>
      <c r="AA965" s="18"/>
      <c r="AB965" s="18"/>
      <c r="AC965" s="18"/>
      <c r="AD965" s="18"/>
      <c r="AE965" s="18"/>
      <c r="AF965" s="18"/>
      <c r="AG965" s="18"/>
      <c r="AH965" s="18"/>
      <c r="AI965" s="18"/>
      <c r="AJ965" s="142"/>
      <c r="AK965" s="142"/>
      <c r="AL965" s="18"/>
      <c r="AM965" s="18"/>
      <c r="AN965" s="18"/>
      <c r="AO965" s="142"/>
    </row>
    <row r="966">
      <c r="A966" s="142"/>
      <c r="B966" s="18"/>
      <c r="C966" s="142"/>
      <c r="D966" s="18"/>
      <c r="E966" s="18"/>
      <c r="F966" s="18"/>
      <c r="G966" s="142"/>
      <c r="H966" s="18"/>
      <c r="I966" s="142"/>
      <c r="J966" s="15"/>
      <c r="Q966" s="15"/>
      <c r="R966" s="18"/>
      <c r="S966" s="142"/>
      <c r="T966" s="142"/>
      <c r="U966" s="142"/>
      <c r="V966" s="18"/>
      <c r="W966" s="18"/>
      <c r="X966" s="18"/>
      <c r="Y966" s="142"/>
      <c r="Z966" s="18"/>
      <c r="AA966" s="18"/>
      <c r="AB966" s="18"/>
      <c r="AC966" s="18"/>
      <c r="AD966" s="18"/>
      <c r="AE966" s="18"/>
      <c r="AF966" s="18"/>
      <c r="AG966" s="18"/>
      <c r="AH966" s="18"/>
      <c r="AI966" s="18"/>
      <c r="AJ966" s="142"/>
      <c r="AK966" s="142"/>
      <c r="AL966" s="18"/>
      <c r="AM966" s="18"/>
      <c r="AN966" s="18"/>
      <c r="AO966" s="142"/>
    </row>
    <row r="967">
      <c r="A967" s="142"/>
      <c r="B967" s="18"/>
      <c r="C967" s="142"/>
      <c r="D967" s="18"/>
      <c r="E967" s="18"/>
      <c r="F967" s="18"/>
      <c r="G967" s="142"/>
      <c r="H967" s="18"/>
      <c r="I967" s="142"/>
      <c r="J967" s="15"/>
      <c r="Q967" s="15"/>
      <c r="R967" s="18"/>
      <c r="S967" s="142"/>
      <c r="T967" s="142"/>
      <c r="U967" s="142"/>
      <c r="V967" s="18"/>
      <c r="W967" s="18"/>
      <c r="X967" s="18"/>
      <c r="Y967" s="142"/>
      <c r="Z967" s="18"/>
      <c r="AA967" s="18"/>
      <c r="AB967" s="18"/>
      <c r="AC967" s="18"/>
      <c r="AD967" s="18"/>
      <c r="AE967" s="18"/>
      <c r="AF967" s="18"/>
      <c r="AG967" s="18"/>
      <c r="AH967" s="18"/>
      <c r="AI967" s="18"/>
      <c r="AJ967" s="142"/>
      <c r="AK967" s="142"/>
      <c r="AL967" s="18"/>
      <c r="AM967" s="18"/>
      <c r="AN967" s="18"/>
      <c r="AO967" s="142"/>
    </row>
    <row r="968">
      <c r="A968" s="142"/>
      <c r="B968" s="18"/>
      <c r="C968" s="142"/>
      <c r="D968" s="18"/>
      <c r="E968" s="18"/>
      <c r="F968" s="18"/>
      <c r="G968" s="142"/>
      <c r="H968" s="18"/>
      <c r="I968" s="142"/>
      <c r="J968" s="15"/>
      <c r="Q968" s="15"/>
      <c r="R968" s="18"/>
      <c r="S968" s="142"/>
      <c r="T968" s="142"/>
      <c r="U968" s="142"/>
      <c r="V968" s="18"/>
      <c r="W968" s="18"/>
      <c r="X968" s="18"/>
      <c r="Y968" s="142"/>
      <c r="Z968" s="18"/>
      <c r="AA968" s="18"/>
      <c r="AB968" s="18"/>
      <c r="AC968" s="18"/>
      <c r="AD968" s="18"/>
      <c r="AE968" s="18"/>
      <c r="AF968" s="18"/>
      <c r="AG968" s="18"/>
      <c r="AH968" s="18"/>
      <c r="AI968" s="18"/>
      <c r="AJ968" s="142"/>
      <c r="AK968" s="142"/>
      <c r="AL968" s="18"/>
      <c r="AM968" s="18"/>
      <c r="AN968" s="18"/>
      <c r="AO968" s="142"/>
    </row>
    <row r="969">
      <c r="A969" s="142"/>
      <c r="B969" s="18"/>
      <c r="C969" s="142"/>
      <c r="D969" s="18"/>
      <c r="E969" s="18"/>
      <c r="F969" s="18"/>
      <c r="G969" s="142"/>
      <c r="H969" s="18"/>
      <c r="I969" s="142"/>
      <c r="J969" s="15"/>
      <c r="Q969" s="15"/>
      <c r="R969" s="18"/>
      <c r="S969" s="142"/>
      <c r="T969" s="142"/>
      <c r="U969" s="142"/>
      <c r="V969" s="18"/>
      <c r="W969" s="18"/>
      <c r="X969" s="18"/>
      <c r="Y969" s="142"/>
      <c r="Z969" s="18"/>
      <c r="AA969" s="18"/>
      <c r="AB969" s="18"/>
      <c r="AC969" s="18"/>
      <c r="AD969" s="18"/>
      <c r="AE969" s="18"/>
      <c r="AF969" s="18"/>
      <c r="AG969" s="18"/>
      <c r="AH969" s="18"/>
      <c r="AI969" s="18"/>
      <c r="AJ969" s="142"/>
      <c r="AK969" s="142"/>
      <c r="AL969" s="18"/>
      <c r="AM969" s="18"/>
      <c r="AN969" s="18"/>
      <c r="AO969" s="142"/>
    </row>
    <row r="970">
      <c r="A970" s="142"/>
      <c r="B970" s="18"/>
      <c r="C970" s="142"/>
      <c r="D970" s="18"/>
      <c r="E970" s="18"/>
      <c r="F970" s="18"/>
      <c r="G970" s="142"/>
      <c r="H970" s="18"/>
      <c r="I970" s="142"/>
      <c r="J970" s="15"/>
      <c r="Q970" s="15"/>
      <c r="R970" s="18"/>
      <c r="S970" s="142"/>
      <c r="T970" s="142"/>
      <c r="U970" s="142"/>
      <c r="V970" s="18"/>
      <c r="W970" s="18"/>
      <c r="X970" s="18"/>
      <c r="Y970" s="142"/>
      <c r="Z970" s="18"/>
      <c r="AA970" s="18"/>
      <c r="AB970" s="18"/>
      <c r="AC970" s="18"/>
      <c r="AD970" s="18"/>
      <c r="AE970" s="18"/>
      <c r="AF970" s="18"/>
      <c r="AG970" s="18"/>
      <c r="AH970" s="18"/>
      <c r="AI970" s="18"/>
      <c r="AJ970" s="142"/>
      <c r="AK970" s="142"/>
      <c r="AL970" s="18"/>
      <c r="AM970" s="18"/>
      <c r="AN970" s="18"/>
      <c r="AO970" s="142"/>
    </row>
    <row r="971">
      <c r="A971" s="142"/>
      <c r="B971" s="18"/>
      <c r="C971" s="142"/>
      <c r="D971" s="18"/>
      <c r="E971" s="18"/>
      <c r="F971" s="18"/>
      <c r="G971" s="142"/>
      <c r="H971" s="18"/>
      <c r="I971" s="142"/>
      <c r="J971" s="15"/>
      <c r="Q971" s="15"/>
      <c r="R971" s="18"/>
      <c r="S971" s="142"/>
      <c r="T971" s="142"/>
      <c r="U971" s="142"/>
      <c r="V971" s="18"/>
      <c r="W971" s="18"/>
      <c r="X971" s="18"/>
      <c r="Y971" s="142"/>
      <c r="Z971" s="18"/>
      <c r="AA971" s="18"/>
      <c r="AB971" s="18"/>
      <c r="AC971" s="18"/>
      <c r="AD971" s="18"/>
      <c r="AE971" s="18"/>
      <c r="AF971" s="18"/>
      <c r="AG971" s="18"/>
      <c r="AH971" s="18"/>
      <c r="AI971" s="18"/>
      <c r="AJ971" s="142"/>
      <c r="AK971" s="142"/>
      <c r="AL971" s="18"/>
      <c r="AM971" s="18"/>
      <c r="AN971" s="18"/>
      <c r="AO971" s="142"/>
    </row>
    <row r="972">
      <c r="A972" s="142"/>
      <c r="B972" s="18"/>
      <c r="C972" s="142"/>
      <c r="D972" s="18"/>
      <c r="E972" s="18"/>
      <c r="F972" s="18"/>
      <c r="G972" s="142"/>
      <c r="H972" s="18"/>
      <c r="I972" s="142"/>
      <c r="J972" s="15"/>
      <c r="Q972" s="15"/>
      <c r="R972" s="18"/>
      <c r="S972" s="142"/>
      <c r="T972" s="142"/>
      <c r="U972" s="142"/>
      <c r="V972" s="18"/>
      <c r="W972" s="18"/>
      <c r="X972" s="18"/>
      <c r="Y972" s="142"/>
      <c r="Z972" s="18"/>
      <c r="AA972" s="18"/>
      <c r="AB972" s="18"/>
      <c r="AC972" s="18"/>
      <c r="AD972" s="18"/>
      <c r="AE972" s="18"/>
      <c r="AF972" s="18"/>
      <c r="AG972" s="18"/>
      <c r="AH972" s="18"/>
      <c r="AI972" s="18"/>
      <c r="AJ972" s="142"/>
      <c r="AK972" s="142"/>
      <c r="AL972" s="18"/>
      <c r="AM972" s="18"/>
      <c r="AN972" s="18"/>
      <c r="AO972" s="142"/>
    </row>
    <row r="973">
      <c r="A973" s="142"/>
      <c r="B973" s="18"/>
      <c r="C973" s="142"/>
      <c r="D973" s="18"/>
      <c r="E973" s="18"/>
      <c r="F973" s="18"/>
      <c r="G973" s="142"/>
      <c r="H973" s="18"/>
      <c r="I973" s="142"/>
      <c r="J973" s="15"/>
      <c r="Q973" s="15"/>
      <c r="R973" s="18"/>
      <c r="S973" s="142"/>
      <c r="T973" s="142"/>
      <c r="U973" s="142"/>
      <c r="V973" s="18"/>
      <c r="W973" s="18"/>
      <c r="X973" s="18"/>
      <c r="Y973" s="142"/>
      <c r="Z973" s="18"/>
      <c r="AA973" s="18"/>
      <c r="AB973" s="18"/>
      <c r="AC973" s="18"/>
      <c r="AD973" s="18"/>
      <c r="AE973" s="18"/>
      <c r="AF973" s="18"/>
      <c r="AG973" s="18"/>
      <c r="AH973" s="18"/>
      <c r="AI973" s="18"/>
      <c r="AJ973" s="142"/>
      <c r="AK973" s="142"/>
      <c r="AL973" s="18"/>
      <c r="AM973" s="18"/>
      <c r="AN973" s="18"/>
      <c r="AO973" s="142"/>
    </row>
    <row r="974">
      <c r="A974" s="142"/>
      <c r="B974" s="18"/>
      <c r="C974" s="142"/>
      <c r="D974" s="18"/>
      <c r="E974" s="18"/>
      <c r="F974" s="18"/>
      <c r="G974" s="142"/>
      <c r="H974" s="18"/>
      <c r="I974" s="142"/>
      <c r="J974" s="15"/>
      <c r="Q974" s="15"/>
      <c r="R974" s="18"/>
      <c r="S974" s="142"/>
      <c r="T974" s="142"/>
      <c r="U974" s="142"/>
      <c r="V974" s="18"/>
      <c r="W974" s="18"/>
      <c r="X974" s="18"/>
      <c r="Y974" s="142"/>
      <c r="Z974" s="18"/>
      <c r="AA974" s="18"/>
      <c r="AB974" s="18"/>
      <c r="AC974" s="18"/>
      <c r="AD974" s="18"/>
      <c r="AE974" s="18"/>
      <c r="AF974" s="18"/>
      <c r="AG974" s="18"/>
      <c r="AH974" s="18"/>
      <c r="AI974" s="18"/>
      <c r="AJ974" s="142"/>
      <c r="AK974" s="142"/>
      <c r="AL974" s="18"/>
      <c r="AM974" s="18"/>
      <c r="AN974" s="18"/>
      <c r="AO974" s="142"/>
    </row>
    <row r="975">
      <c r="A975" s="142"/>
      <c r="B975" s="18"/>
      <c r="C975" s="142"/>
      <c r="D975" s="18"/>
      <c r="E975" s="18"/>
      <c r="F975" s="18"/>
      <c r="G975" s="142"/>
      <c r="H975" s="18"/>
      <c r="I975" s="142"/>
      <c r="J975" s="15"/>
      <c r="Q975" s="15"/>
      <c r="R975" s="18"/>
      <c r="S975" s="142"/>
      <c r="T975" s="142"/>
      <c r="U975" s="142"/>
      <c r="V975" s="18"/>
      <c r="W975" s="18"/>
      <c r="X975" s="18"/>
      <c r="Y975" s="142"/>
      <c r="Z975" s="18"/>
      <c r="AA975" s="18"/>
      <c r="AB975" s="18"/>
      <c r="AC975" s="18"/>
      <c r="AD975" s="18"/>
      <c r="AE975" s="18"/>
      <c r="AF975" s="18"/>
      <c r="AG975" s="18"/>
      <c r="AH975" s="18"/>
      <c r="AI975" s="18"/>
      <c r="AJ975" s="142"/>
      <c r="AK975" s="142"/>
      <c r="AL975" s="18"/>
      <c r="AM975" s="18"/>
      <c r="AN975" s="18"/>
      <c r="AO975" s="142"/>
    </row>
    <row r="976">
      <c r="A976" s="142"/>
      <c r="B976" s="18"/>
      <c r="C976" s="142"/>
      <c r="D976" s="18"/>
      <c r="E976" s="18"/>
      <c r="F976" s="18"/>
      <c r="G976" s="142"/>
      <c r="H976" s="18"/>
      <c r="I976" s="142"/>
      <c r="J976" s="15"/>
      <c r="Q976" s="15"/>
      <c r="R976" s="18"/>
      <c r="S976" s="142"/>
      <c r="T976" s="142"/>
      <c r="U976" s="142"/>
      <c r="V976" s="18"/>
      <c r="W976" s="18"/>
      <c r="X976" s="18"/>
      <c r="Y976" s="142"/>
      <c r="Z976" s="18"/>
      <c r="AA976" s="18"/>
      <c r="AB976" s="18"/>
      <c r="AC976" s="18"/>
      <c r="AD976" s="18"/>
      <c r="AE976" s="18"/>
      <c r="AF976" s="18"/>
      <c r="AG976" s="18"/>
      <c r="AH976" s="18"/>
      <c r="AI976" s="18"/>
      <c r="AJ976" s="142"/>
      <c r="AK976" s="142"/>
      <c r="AL976" s="18"/>
      <c r="AM976" s="18"/>
      <c r="AN976" s="18"/>
      <c r="AO976" s="142"/>
    </row>
    <row r="977">
      <c r="A977" s="142"/>
      <c r="B977" s="18"/>
      <c r="C977" s="142"/>
      <c r="D977" s="18"/>
      <c r="E977" s="18"/>
      <c r="F977" s="18"/>
      <c r="G977" s="142"/>
      <c r="H977" s="18"/>
      <c r="I977" s="142"/>
      <c r="J977" s="15"/>
      <c r="Q977" s="15"/>
      <c r="R977" s="18"/>
      <c r="S977" s="142"/>
      <c r="T977" s="142"/>
      <c r="U977" s="142"/>
      <c r="V977" s="18"/>
      <c r="W977" s="18"/>
      <c r="X977" s="18"/>
      <c r="Y977" s="142"/>
      <c r="Z977" s="18"/>
      <c r="AA977" s="18"/>
      <c r="AB977" s="18"/>
      <c r="AC977" s="18"/>
      <c r="AD977" s="18"/>
      <c r="AE977" s="18"/>
      <c r="AF977" s="18"/>
      <c r="AG977" s="18"/>
      <c r="AH977" s="18"/>
      <c r="AI977" s="18"/>
      <c r="AJ977" s="142"/>
      <c r="AK977" s="142"/>
      <c r="AL977" s="18"/>
      <c r="AM977" s="18"/>
      <c r="AN977" s="18"/>
      <c r="AO977" s="142"/>
    </row>
    <row r="978">
      <c r="A978" s="142"/>
      <c r="B978" s="18"/>
      <c r="C978" s="142"/>
      <c r="D978" s="18"/>
      <c r="E978" s="18"/>
      <c r="F978" s="18"/>
      <c r="G978" s="142"/>
      <c r="H978" s="18"/>
      <c r="I978" s="142"/>
      <c r="J978" s="15"/>
      <c r="Q978" s="15"/>
      <c r="R978" s="18"/>
      <c r="S978" s="142"/>
      <c r="T978" s="142"/>
      <c r="U978" s="142"/>
      <c r="V978" s="18"/>
      <c r="W978" s="18"/>
      <c r="X978" s="18"/>
      <c r="Y978" s="142"/>
      <c r="Z978" s="18"/>
      <c r="AA978" s="18"/>
      <c r="AB978" s="18"/>
      <c r="AC978" s="18"/>
      <c r="AD978" s="18"/>
      <c r="AE978" s="18"/>
      <c r="AF978" s="18"/>
      <c r="AG978" s="18"/>
      <c r="AH978" s="18"/>
      <c r="AI978" s="18"/>
      <c r="AJ978" s="142"/>
      <c r="AK978" s="142"/>
      <c r="AL978" s="18"/>
      <c r="AM978" s="18"/>
      <c r="AN978" s="18"/>
      <c r="AO978" s="142"/>
    </row>
    <row r="979">
      <c r="A979" s="142"/>
      <c r="B979" s="18"/>
      <c r="C979" s="142"/>
      <c r="D979" s="18"/>
      <c r="E979" s="18"/>
      <c r="F979" s="18"/>
      <c r="G979" s="142"/>
      <c r="H979" s="18"/>
      <c r="I979" s="142"/>
      <c r="J979" s="15"/>
      <c r="Q979" s="15"/>
      <c r="R979" s="18"/>
      <c r="S979" s="142"/>
      <c r="T979" s="142"/>
      <c r="U979" s="142"/>
      <c r="V979" s="18"/>
      <c r="W979" s="18"/>
      <c r="X979" s="18"/>
      <c r="Y979" s="142"/>
      <c r="Z979" s="18"/>
      <c r="AA979" s="18"/>
      <c r="AB979" s="18"/>
      <c r="AC979" s="18"/>
      <c r="AD979" s="18"/>
      <c r="AE979" s="18"/>
      <c r="AF979" s="18"/>
      <c r="AG979" s="18"/>
      <c r="AH979" s="18"/>
      <c r="AI979" s="18"/>
      <c r="AJ979" s="142"/>
      <c r="AK979" s="142"/>
      <c r="AL979" s="18"/>
      <c r="AM979" s="18"/>
      <c r="AN979" s="18"/>
      <c r="AO979" s="142"/>
    </row>
    <row r="980">
      <c r="A980" s="142"/>
      <c r="B980" s="18"/>
      <c r="C980" s="142"/>
      <c r="D980" s="18"/>
      <c r="E980" s="18"/>
      <c r="F980" s="18"/>
      <c r="G980" s="142"/>
      <c r="H980" s="18"/>
      <c r="I980" s="142"/>
      <c r="J980" s="15"/>
      <c r="Q980" s="15"/>
      <c r="R980" s="18"/>
      <c r="S980" s="142"/>
      <c r="T980" s="142"/>
      <c r="U980" s="142"/>
      <c r="V980" s="18"/>
      <c r="W980" s="18"/>
      <c r="X980" s="18"/>
      <c r="Y980" s="142"/>
      <c r="Z980" s="18"/>
      <c r="AA980" s="18"/>
      <c r="AB980" s="18"/>
      <c r="AC980" s="18"/>
      <c r="AD980" s="18"/>
      <c r="AE980" s="18"/>
      <c r="AF980" s="18"/>
      <c r="AG980" s="18"/>
      <c r="AH980" s="18"/>
      <c r="AI980" s="18"/>
      <c r="AJ980" s="142"/>
      <c r="AK980" s="142"/>
      <c r="AL980" s="18"/>
      <c r="AM980" s="18"/>
      <c r="AN980" s="18"/>
      <c r="AO980" s="142"/>
    </row>
    <row r="981">
      <c r="A981" s="142"/>
      <c r="B981" s="18"/>
      <c r="C981" s="142"/>
      <c r="D981" s="18"/>
      <c r="E981" s="18"/>
      <c r="F981" s="18"/>
      <c r="G981" s="142"/>
      <c r="H981" s="18"/>
      <c r="I981" s="142"/>
      <c r="J981" s="15"/>
      <c r="Q981" s="15"/>
      <c r="R981" s="18"/>
      <c r="S981" s="142"/>
      <c r="T981" s="142"/>
      <c r="U981" s="142"/>
      <c r="V981" s="18"/>
      <c r="W981" s="18"/>
      <c r="X981" s="18"/>
      <c r="Y981" s="142"/>
      <c r="Z981" s="18"/>
      <c r="AA981" s="18"/>
      <c r="AB981" s="18"/>
      <c r="AC981" s="18"/>
      <c r="AD981" s="18"/>
      <c r="AE981" s="18"/>
      <c r="AF981" s="18"/>
      <c r="AG981" s="18"/>
      <c r="AH981" s="18"/>
      <c r="AI981" s="18"/>
      <c r="AJ981" s="142"/>
      <c r="AK981" s="142"/>
      <c r="AL981" s="18"/>
      <c r="AM981" s="18"/>
      <c r="AN981" s="18"/>
      <c r="AO981" s="142"/>
    </row>
    <row r="982">
      <c r="A982" s="142"/>
      <c r="B982" s="18"/>
      <c r="C982" s="142"/>
      <c r="D982" s="18"/>
      <c r="E982" s="18"/>
      <c r="F982" s="18"/>
      <c r="G982" s="142"/>
      <c r="H982" s="18"/>
      <c r="I982" s="142"/>
      <c r="J982" s="15"/>
      <c r="Q982" s="15"/>
      <c r="R982" s="18"/>
      <c r="S982" s="142"/>
      <c r="T982" s="142"/>
      <c r="U982" s="142"/>
      <c r="V982" s="18"/>
      <c r="W982" s="18"/>
      <c r="X982" s="18"/>
      <c r="Y982" s="142"/>
      <c r="Z982" s="18"/>
      <c r="AA982" s="18"/>
      <c r="AB982" s="18"/>
      <c r="AC982" s="18"/>
      <c r="AD982" s="18"/>
      <c r="AE982" s="18"/>
      <c r="AF982" s="18"/>
      <c r="AG982" s="18"/>
      <c r="AH982" s="18"/>
      <c r="AI982" s="18"/>
      <c r="AJ982" s="142"/>
      <c r="AK982" s="142"/>
      <c r="AL982" s="18"/>
      <c r="AM982" s="18"/>
      <c r="AN982" s="18"/>
      <c r="AO982" s="142"/>
    </row>
    <row r="983">
      <c r="A983" s="142"/>
      <c r="B983" s="18"/>
      <c r="C983" s="142"/>
      <c r="D983" s="18"/>
      <c r="E983" s="18"/>
      <c r="F983" s="18"/>
      <c r="G983" s="142"/>
      <c r="H983" s="18"/>
      <c r="I983" s="142"/>
      <c r="J983" s="15"/>
      <c r="Q983" s="15"/>
      <c r="R983" s="18"/>
      <c r="S983" s="142"/>
      <c r="T983" s="142"/>
      <c r="U983" s="142"/>
      <c r="V983" s="18"/>
      <c r="W983" s="18"/>
      <c r="X983" s="18"/>
      <c r="Y983" s="142"/>
      <c r="Z983" s="18"/>
      <c r="AA983" s="18"/>
      <c r="AB983" s="18"/>
      <c r="AC983" s="18"/>
      <c r="AD983" s="18"/>
      <c r="AE983" s="18"/>
      <c r="AF983" s="18"/>
      <c r="AG983" s="18"/>
      <c r="AH983" s="18"/>
      <c r="AI983" s="18"/>
      <c r="AJ983" s="142"/>
      <c r="AK983" s="142"/>
      <c r="AL983" s="18"/>
      <c r="AM983" s="18"/>
      <c r="AN983" s="18"/>
      <c r="AO983" s="142"/>
    </row>
    <row r="984">
      <c r="A984" s="142"/>
      <c r="B984" s="18"/>
      <c r="C984" s="142"/>
      <c r="D984" s="18"/>
      <c r="E984" s="18"/>
      <c r="F984" s="18"/>
      <c r="G984" s="142"/>
      <c r="H984" s="18"/>
      <c r="I984" s="142"/>
      <c r="J984" s="15"/>
      <c r="Q984" s="15"/>
      <c r="R984" s="18"/>
      <c r="S984" s="142"/>
      <c r="T984" s="142"/>
      <c r="U984" s="142"/>
      <c r="V984" s="18"/>
      <c r="W984" s="18"/>
      <c r="X984" s="18"/>
      <c r="Y984" s="142"/>
      <c r="Z984" s="18"/>
      <c r="AA984" s="18"/>
      <c r="AB984" s="18"/>
      <c r="AC984" s="18"/>
      <c r="AD984" s="18"/>
      <c r="AE984" s="18"/>
      <c r="AF984" s="18"/>
      <c r="AG984" s="18"/>
      <c r="AH984" s="18"/>
      <c r="AI984" s="18"/>
      <c r="AJ984" s="142"/>
      <c r="AK984" s="142"/>
      <c r="AL984" s="18"/>
      <c r="AM984" s="18"/>
      <c r="AN984" s="18"/>
      <c r="AO984" s="142"/>
    </row>
    <row r="985">
      <c r="A985" s="142"/>
      <c r="B985" s="18"/>
      <c r="C985" s="142"/>
      <c r="D985" s="18"/>
      <c r="E985" s="18"/>
      <c r="F985" s="18"/>
      <c r="G985" s="142"/>
      <c r="H985" s="18"/>
      <c r="I985" s="142"/>
      <c r="J985" s="15"/>
      <c r="Q985" s="15"/>
      <c r="R985" s="18"/>
      <c r="S985" s="142"/>
      <c r="T985" s="142"/>
      <c r="U985" s="142"/>
      <c r="V985" s="18"/>
      <c r="W985" s="18"/>
      <c r="X985" s="18"/>
      <c r="Y985" s="142"/>
      <c r="Z985" s="18"/>
      <c r="AA985" s="18"/>
      <c r="AB985" s="18"/>
      <c r="AC985" s="18"/>
      <c r="AD985" s="18"/>
      <c r="AE985" s="18"/>
      <c r="AF985" s="18"/>
      <c r="AG985" s="18"/>
      <c r="AH985" s="18"/>
      <c r="AI985" s="18"/>
      <c r="AJ985" s="142"/>
      <c r="AK985" s="142"/>
      <c r="AL985" s="18"/>
      <c r="AM985" s="18"/>
      <c r="AN985" s="18"/>
      <c r="AO985" s="142"/>
    </row>
    <row r="986">
      <c r="A986" s="142"/>
      <c r="B986" s="18"/>
      <c r="C986" s="142"/>
      <c r="D986" s="18"/>
      <c r="E986" s="18"/>
      <c r="F986" s="18"/>
      <c r="G986" s="142"/>
      <c r="H986" s="18"/>
      <c r="I986" s="142"/>
      <c r="J986" s="15"/>
      <c r="Q986" s="15"/>
      <c r="R986" s="18"/>
      <c r="S986" s="142"/>
      <c r="T986" s="142"/>
      <c r="U986" s="142"/>
      <c r="V986" s="18"/>
      <c r="W986" s="18"/>
      <c r="X986" s="18"/>
      <c r="Y986" s="142"/>
      <c r="Z986" s="18"/>
      <c r="AA986" s="18"/>
      <c r="AB986" s="18"/>
      <c r="AC986" s="18"/>
      <c r="AD986" s="18"/>
      <c r="AE986" s="18"/>
      <c r="AF986" s="18"/>
      <c r="AG986" s="18"/>
      <c r="AH986" s="18"/>
      <c r="AI986" s="18"/>
      <c r="AJ986" s="142"/>
      <c r="AK986" s="142"/>
      <c r="AL986" s="18"/>
      <c r="AM986" s="18"/>
      <c r="AN986" s="18"/>
      <c r="AO986" s="142"/>
    </row>
    <row r="987">
      <c r="A987" s="142"/>
      <c r="B987" s="18"/>
      <c r="C987" s="142"/>
      <c r="D987" s="18"/>
      <c r="E987" s="18"/>
      <c r="F987" s="18"/>
      <c r="G987" s="142"/>
      <c r="H987" s="18"/>
      <c r="I987" s="142"/>
      <c r="J987" s="15"/>
      <c r="Q987" s="15"/>
      <c r="R987" s="18"/>
      <c r="S987" s="142"/>
      <c r="T987" s="142"/>
      <c r="U987" s="142"/>
      <c r="V987" s="18"/>
      <c r="W987" s="18"/>
      <c r="X987" s="18"/>
      <c r="Y987" s="142"/>
      <c r="Z987" s="18"/>
      <c r="AA987" s="18"/>
      <c r="AB987" s="18"/>
      <c r="AC987" s="18"/>
      <c r="AD987" s="18"/>
      <c r="AE987" s="18"/>
      <c r="AF987" s="18"/>
      <c r="AG987" s="18"/>
      <c r="AH987" s="18"/>
      <c r="AI987" s="18"/>
      <c r="AJ987" s="142"/>
      <c r="AK987" s="142"/>
      <c r="AL987" s="18"/>
      <c r="AM987" s="18"/>
      <c r="AN987" s="18"/>
      <c r="AO987" s="142"/>
    </row>
    <row r="988">
      <c r="A988" s="142"/>
      <c r="B988" s="18"/>
      <c r="C988" s="142"/>
      <c r="D988" s="18"/>
      <c r="E988" s="18"/>
      <c r="F988" s="18"/>
      <c r="G988" s="142"/>
      <c r="H988" s="18"/>
      <c r="I988" s="142"/>
      <c r="J988" s="15"/>
      <c r="Q988" s="15"/>
      <c r="R988" s="18"/>
      <c r="S988" s="142"/>
      <c r="T988" s="142"/>
      <c r="U988" s="142"/>
      <c r="V988" s="18"/>
      <c r="W988" s="18"/>
      <c r="X988" s="18"/>
      <c r="Y988" s="142"/>
      <c r="Z988" s="18"/>
      <c r="AA988" s="18"/>
      <c r="AB988" s="18"/>
      <c r="AC988" s="18"/>
      <c r="AD988" s="18"/>
      <c r="AE988" s="18"/>
      <c r="AF988" s="18"/>
      <c r="AG988" s="18"/>
      <c r="AH988" s="18"/>
      <c r="AI988" s="18"/>
      <c r="AJ988" s="142"/>
      <c r="AK988" s="142"/>
      <c r="AL988" s="18"/>
      <c r="AM988" s="18"/>
      <c r="AN988" s="18"/>
      <c r="AO988" s="142"/>
    </row>
    <row r="989">
      <c r="A989" s="142"/>
      <c r="B989" s="18"/>
      <c r="C989" s="142"/>
      <c r="D989" s="18"/>
      <c r="E989" s="18"/>
      <c r="F989" s="18"/>
      <c r="G989" s="142"/>
      <c r="H989" s="18"/>
      <c r="I989" s="142"/>
      <c r="J989" s="15"/>
      <c r="Q989" s="15"/>
      <c r="R989" s="18"/>
      <c r="S989" s="142"/>
      <c r="T989" s="142"/>
      <c r="U989" s="142"/>
      <c r="V989" s="18"/>
      <c r="W989" s="18"/>
      <c r="X989" s="18"/>
      <c r="Y989" s="142"/>
      <c r="Z989" s="18"/>
      <c r="AA989" s="18"/>
      <c r="AB989" s="18"/>
      <c r="AC989" s="18"/>
      <c r="AD989" s="18"/>
      <c r="AE989" s="18"/>
      <c r="AF989" s="18"/>
      <c r="AG989" s="18"/>
      <c r="AH989" s="18"/>
      <c r="AI989" s="18"/>
      <c r="AJ989" s="142"/>
      <c r="AK989" s="142"/>
      <c r="AL989" s="18"/>
      <c r="AM989" s="18"/>
      <c r="AN989" s="18"/>
      <c r="AO989" s="142"/>
    </row>
    <row r="990">
      <c r="A990" s="142"/>
      <c r="B990" s="18"/>
      <c r="C990" s="142"/>
      <c r="D990" s="18"/>
      <c r="E990" s="18"/>
      <c r="F990" s="18"/>
      <c r="G990" s="142"/>
      <c r="H990" s="18"/>
      <c r="I990" s="142"/>
      <c r="J990" s="15"/>
      <c r="Q990" s="15"/>
      <c r="R990" s="18"/>
      <c r="S990" s="142"/>
      <c r="T990" s="142"/>
      <c r="U990" s="142"/>
      <c r="V990" s="18"/>
      <c r="W990" s="18"/>
      <c r="X990" s="18"/>
      <c r="Y990" s="142"/>
      <c r="Z990" s="18"/>
      <c r="AA990" s="18"/>
      <c r="AB990" s="18"/>
      <c r="AC990" s="18"/>
      <c r="AD990" s="18"/>
      <c r="AE990" s="18"/>
      <c r="AF990" s="18"/>
      <c r="AG990" s="18"/>
      <c r="AH990" s="18"/>
      <c r="AI990" s="18"/>
      <c r="AJ990" s="142"/>
      <c r="AK990" s="142"/>
      <c r="AL990" s="18"/>
      <c r="AM990" s="18"/>
      <c r="AN990" s="18"/>
      <c r="AO990" s="142"/>
    </row>
    <row r="991">
      <c r="A991" s="142"/>
      <c r="B991" s="18"/>
      <c r="C991" s="142"/>
      <c r="D991" s="18"/>
      <c r="E991" s="18"/>
      <c r="F991" s="18"/>
      <c r="G991" s="142"/>
      <c r="H991" s="18"/>
      <c r="I991" s="142"/>
      <c r="J991" s="15"/>
      <c r="Q991" s="15"/>
      <c r="R991" s="18"/>
      <c r="S991" s="142"/>
      <c r="T991" s="142"/>
      <c r="U991" s="142"/>
      <c r="V991" s="18"/>
      <c r="W991" s="18"/>
      <c r="X991" s="18"/>
      <c r="Y991" s="142"/>
      <c r="Z991" s="18"/>
      <c r="AA991" s="18"/>
      <c r="AB991" s="18"/>
      <c r="AC991" s="18"/>
      <c r="AD991" s="18"/>
      <c r="AE991" s="18"/>
      <c r="AF991" s="18"/>
      <c r="AG991" s="18"/>
      <c r="AH991" s="18"/>
      <c r="AI991" s="18"/>
      <c r="AJ991" s="142"/>
      <c r="AK991" s="142"/>
      <c r="AL991" s="18"/>
      <c r="AM991" s="18"/>
      <c r="AN991" s="18"/>
      <c r="AO991" s="142"/>
    </row>
    <row r="992">
      <c r="A992" s="142"/>
      <c r="B992" s="18"/>
      <c r="C992" s="142"/>
      <c r="D992" s="18"/>
      <c r="E992" s="18"/>
      <c r="F992" s="18"/>
      <c r="G992" s="142"/>
      <c r="H992" s="18"/>
      <c r="I992" s="142"/>
      <c r="J992" s="15"/>
      <c r="Q992" s="15"/>
      <c r="R992" s="18"/>
      <c r="S992" s="142"/>
      <c r="T992" s="142"/>
      <c r="U992" s="142"/>
      <c r="V992" s="18"/>
      <c r="W992" s="18"/>
      <c r="X992" s="18"/>
      <c r="Y992" s="142"/>
      <c r="Z992" s="18"/>
      <c r="AA992" s="18"/>
      <c r="AB992" s="18"/>
      <c r="AC992" s="18"/>
      <c r="AD992" s="18"/>
      <c r="AE992" s="18"/>
      <c r="AF992" s="18"/>
      <c r="AG992" s="18"/>
      <c r="AH992" s="18"/>
      <c r="AI992" s="18"/>
      <c r="AJ992" s="142"/>
      <c r="AK992" s="142"/>
      <c r="AL992" s="18"/>
      <c r="AM992" s="18"/>
      <c r="AN992" s="18"/>
      <c r="AO992" s="142"/>
    </row>
    <row r="993">
      <c r="A993" s="142"/>
      <c r="B993" s="18"/>
      <c r="C993" s="142"/>
      <c r="D993" s="18"/>
      <c r="E993" s="18"/>
      <c r="F993" s="18"/>
      <c r="G993" s="142"/>
      <c r="H993" s="18"/>
      <c r="I993" s="142"/>
      <c r="J993" s="15"/>
      <c r="Q993" s="15"/>
      <c r="R993" s="18"/>
      <c r="S993" s="142"/>
      <c r="T993" s="142"/>
      <c r="U993" s="142"/>
      <c r="V993" s="18"/>
      <c r="W993" s="18"/>
      <c r="X993" s="18"/>
      <c r="Y993" s="142"/>
      <c r="Z993" s="18"/>
      <c r="AA993" s="18"/>
      <c r="AB993" s="18"/>
      <c r="AC993" s="18"/>
      <c r="AD993" s="18"/>
      <c r="AE993" s="18"/>
      <c r="AF993" s="18"/>
      <c r="AG993" s="18"/>
      <c r="AH993" s="18"/>
      <c r="AI993" s="18"/>
      <c r="AJ993" s="142"/>
      <c r="AK993" s="142"/>
      <c r="AL993" s="18"/>
      <c r="AM993" s="18"/>
      <c r="AN993" s="18"/>
      <c r="AO993" s="142"/>
    </row>
    <row r="994">
      <c r="A994" s="142"/>
      <c r="B994" s="18"/>
      <c r="C994" s="142"/>
      <c r="D994" s="18"/>
      <c r="E994" s="18"/>
      <c r="F994" s="18"/>
      <c r="G994" s="142"/>
      <c r="H994" s="18"/>
      <c r="I994" s="142"/>
      <c r="J994" s="15"/>
      <c r="Q994" s="15"/>
      <c r="R994" s="18"/>
      <c r="S994" s="142"/>
      <c r="T994" s="142"/>
      <c r="U994" s="142"/>
      <c r="V994" s="18"/>
      <c r="W994" s="18"/>
      <c r="X994" s="18"/>
      <c r="Y994" s="142"/>
      <c r="Z994" s="18"/>
      <c r="AA994" s="18"/>
      <c r="AB994" s="18"/>
      <c r="AC994" s="18"/>
      <c r="AD994" s="18"/>
      <c r="AE994" s="18"/>
      <c r="AF994" s="18"/>
      <c r="AG994" s="18"/>
      <c r="AH994" s="18"/>
      <c r="AI994" s="18"/>
      <c r="AJ994" s="142"/>
      <c r="AK994" s="142"/>
      <c r="AL994" s="18"/>
      <c r="AM994" s="18"/>
      <c r="AN994" s="18"/>
      <c r="AO994" s="142"/>
    </row>
    <row r="995">
      <c r="A995" s="142"/>
      <c r="B995" s="18"/>
      <c r="C995" s="142"/>
      <c r="D995" s="18"/>
      <c r="E995" s="18"/>
      <c r="F995" s="18"/>
      <c r="G995" s="142"/>
      <c r="H995" s="18"/>
      <c r="I995" s="142"/>
      <c r="J995" s="15"/>
      <c r="Q995" s="15"/>
      <c r="R995" s="18"/>
      <c r="S995" s="142"/>
      <c r="T995" s="142"/>
      <c r="U995" s="142"/>
      <c r="V995" s="18"/>
      <c r="W995" s="18"/>
      <c r="X995" s="18"/>
      <c r="Y995" s="142"/>
      <c r="Z995" s="18"/>
      <c r="AA995" s="18"/>
      <c r="AB995" s="18"/>
      <c r="AC995" s="18"/>
      <c r="AD995" s="18"/>
      <c r="AE995" s="18"/>
      <c r="AF995" s="18"/>
      <c r="AG995" s="18"/>
      <c r="AH995" s="18"/>
      <c r="AI995" s="18"/>
      <c r="AJ995" s="142"/>
      <c r="AK995" s="142"/>
      <c r="AL995" s="18"/>
      <c r="AM995" s="18"/>
      <c r="AN995" s="18"/>
      <c r="AO995" s="142"/>
    </row>
    <row r="996">
      <c r="A996" s="142"/>
      <c r="B996" s="18"/>
      <c r="C996" s="142"/>
      <c r="D996" s="18"/>
      <c r="E996" s="18"/>
      <c r="F996" s="18"/>
      <c r="G996" s="142"/>
      <c r="H996" s="18"/>
      <c r="I996" s="142"/>
      <c r="J996" s="15"/>
      <c r="Q996" s="15"/>
      <c r="R996" s="18"/>
      <c r="S996" s="142"/>
      <c r="T996" s="142"/>
      <c r="U996" s="142"/>
      <c r="V996" s="18"/>
      <c r="W996" s="18"/>
      <c r="X996" s="18"/>
      <c r="Y996" s="142"/>
      <c r="Z996" s="18"/>
      <c r="AA996" s="18"/>
      <c r="AB996" s="18"/>
      <c r="AC996" s="18"/>
      <c r="AD996" s="18"/>
      <c r="AE996" s="18"/>
      <c r="AF996" s="18"/>
      <c r="AG996" s="18"/>
      <c r="AH996" s="18"/>
      <c r="AI996" s="18"/>
      <c r="AJ996" s="142"/>
      <c r="AK996" s="142"/>
      <c r="AL996" s="18"/>
      <c r="AM996" s="18"/>
      <c r="AN996" s="18"/>
      <c r="AO996" s="142"/>
    </row>
    <row r="997">
      <c r="A997" s="142"/>
      <c r="B997" s="18"/>
      <c r="C997" s="142"/>
      <c r="D997" s="18"/>
      <c r="E997" s="18"/>
      <c r="F997" s="18"/>
      <c r="G997" s="142"/>
      <c r="H997" s="18"/>
      <c r="I997" s="142"/>
      <c r="J997" s="15"/>
      <c r="Q997" s="15"/>
      <c r="R997" s="18"/>
      <c r="S997" s="142"/>
      <c r="T997" s="142"/>
      <c r="U997" s="142"/>
      <c r="V997" s="18"/>
      <c r="W997" s="18"/>
      <c r="X997" s="18"/>
      <c r="Y997" s="142"/>
      <c r="Z997" s="18"/>
      <c r="AA997" s="18"/>
      <c r="AB997" s="18"/>
      <c r="AC997" s="18"/>
      <c r="AD997" s="18"/>
      <c r="AE997" s="18"/>
      <c r="AF997" s="18"/>
      <c r="AG997" s="18"/>
      <c r="AH997" s="18"/>
      <c r="AI997" s="18"/>
      <c r="AJ997" s="142"/>
      <c r="AK997" s="142"/>
      <c r="AL997" s="18"/>
      <c r="AM997" s="18"/>
      <c r="AN997" s="18"/>
      <c r="AO997" s="142"/>
    </row>
    <row r="998">
      <c r="A998" s="142"/>
      <c r="B998" s="18"/>
      <c r="C998" s="142"/>
      <c r="D998" s="18"/>
      <c r="E998" s="18"/>
      <c r="F998" s="18"/>
      <c r="G998" s="142"/>
      <c r="H998" s="18"/>
      <c r="I998" s="142"/>
      <c r="J998" s="15"/>
      <c r="Q998" s="15"/>
      <c r="R998" s="18"/>
      <c r="S998" s="142"/>
      <c r="T998" s="142"/>
      <c r="U998" s="142"/>
      <c r="V998" s="18"/>
      <c r="W998" s="18"/>
      <c r="X998" s="18"/>
      <c r="Y998" s="142"/>
      <c r="Z998" s="18"/>
      <c r="AA998" s="18"/>
      <c r="AB998" s="18"/>
      <c r="AC998" s="18"/>
      <c r="AD998" s="18"/>
      <c r="AE998" s="18"/>
      <c r="AF998" s="18"/>
      <c r="AG998" s="18"/>
      <c r="AH998" s="18"/>
      <c r="AI998" s="18"/>
      <c r="AJ998" s="142"/>
      <c r="AK998" s="142"/>
      <c r="AL998" s="18"/>
      <c r="AM998" s="18"/>
      <c r="AN998" s="18"/>
      <c r="AO998" s="142"/>
    </row>
    <row r="999">
      <c r="A999" s="142"/>
      <c r="B999" s="18"/>
      <c r="C999" s="142"/>
      <c r="D999" s="18"/>
      <c r="E999" s="18"/>
      <c r="F999" s="18"/>
      <c r="G999" s="142"/>
      <c r="H999" s="18"/>
      <c r="I999" s="142"/>
      <c r="J999" s="15"/>
      <c r="Q999" s="15"/>
      <c r="R999" s="18"/>
      <c r="S999" s="142"/>
      <c r="T999" s="142"/>
      <c r="U999" s="142"/>
      <c r="V999" s="18"/>
      <c r="W999" s="18"/>
      <c r="X999" s="18"/>
      <c r="Y999" s="142"/>
      <c r="Z999" s="18"/>
      <c r="AA999" s="18"/>
      <c r="AB999" s="18"/>
      <c r="AC999" s="18"/>
      <c r="AD999" s="18"/>
      <c r="AE999" s="18"/>
      <c r="AF999" s="18"/>
      <c r="AG999" s="18"/>
      <c r="AH999" s="18"/>
      <c r="AI999" s="18"/>
      <c r="AJ999" s="142"/>
      <c r="AK999" s="142"/>
      <c r="AL999" s="18"/>
      <c r="AM999" s="18"/>
      <c r="AN999" s="18"/>
      <c r="AO999" s="142"/>
    </row>
    <row r="1000">
      <c r="A1000" s="142"/>
      <c r="B1000" s="18"/>
      <c r="C1000" s="142"/>
      <c r="D1000" s="18"/>
      <c r="E1000" s="18"/>
      <c r="F1000" s="18"/>
      <c r="G1000" s="142"/>
      <c r="H1000" s="18"/>
      <c r="I1000" s="142"/>
      <c r="J1000" s="15"/>
      <c r="Q1000" s="15"/>
      <c r="R1000" s="18"/>
      <c r="S1000" s="142"/>
      <c r="T1000" s="142"/>
      <c r="U1000" s="142"/>
      <c r="V1000" s="18"/>
      <c r="W1000" s="18"/>
      <c r="X1000" s="18"/>
      <c r="Y1000" s="142"/>
      <c r="Z1000" s="18"/>
      <c r="AA1000" s="18"/>
      <c r="AB1000" s="18"/>
      <c r="AC1000" s="18"/>
      <c r="AD1000" s="18"/>
      <c r="AE1000" s="18"/>
      <c r="AF1000" s="18"/>
      <c r="AG1000" s="18"/>
      <c r="AH1000" s="18"/>
      <c r="AI1000" s="18"/>
      <c r="AJ1000" s="142"/>
      <c r="AK1000" s="142"/>
      <c r="AL1000" s="18"/>
      <c r="AM1000" s="18"/>
      <c r="AN1000" s="18"/>
      <c r="AO1000" s="142"/>
    </row>
    <row r="1001">
      <c r="A1001" s="142"/>
      <c r="B1001" s="18"/>
      <c r="C1001" s="142"/>
      <c r="D1001" s="18"/>
      <c r="E1001" s="18"/>
      <c r="F1001" s="18"/>
      <c r="G1001" s="142"/>
      <c r="H1001" s="18"/>
      <c r="I1001" s="142"/>
      <c r="J1001" s="15"/>
      <c r="Q1001" s="15"/>
      <c r="R1001" s="18"/>
      <c r="S1001" s="142"/>
      <c r="T1001" s="142"/>
      <c r="U1001" s="142"/>
      <c r="V1001" s="18"/>
      <c r="W1001" s="18"/>
      <c r="X1001" s="18"/>
      <c r="Y1001" s="142"/>
      <c r="Z1001" s="18"/>
      <c r="AA1001" s="18"/>
      <c r="AB1001" s="18"/>
      <c r="AC1001" s="18"/>
      <c r="AD1001" s="18"/>
      <c r="AE1001" s="18"/>
      <c r="AF1001" s="18"/>
      <c r="AG1001" s="18"/>
      <c r="AH1001" s="18"/>
      <c r="AI1001" s="18"/>
      <c r="AJ1001" s="142"/>
      <c r="AK1001" s="142"/>
      <c r="AL1001" s="18"/>
      <c r="AM1001" s="18"/>
      <c r="AN1001" s="18"/>
      <c r="AO1001" s="142"/>
    </row>
  </sheetData>
  <mergeCells count="13">
    <mergeCell ref="N7:N8"/>
    <mergeCell ref="O7:O8"/>
    <mergeCell ref="L11:L12"/>
    <mergeCell ref="M11:M12"/>
    <mergeCell ref="N11:N12"/>
    <mergeCell ref="O11:O12"/>
    <mergeCell ref="L4:L5"/>
    <mergeCell ref="M4:M5"/>
    <mergeCell ref="N4:N5"/>
    <mergeCell ref="O4:O5"/>
    <mergeCell ref="P4:P5"/>
    <mergeCell ref="L7:L8"/>
    <mergeCell ref="M7:M8"/>
  </mergeCells>
  <conditionalFormatting sqref="O7:O8">
    <cfRule type="cellIs" dxfId="4" priority="1" operator="notEqual">
      <formula>26</formula>
    </cfRule>
  </conditionalFormatting>
  <conditionalFormatting sqref="O4:O5">
    <cfRule type="cellIs" dxfId="4" priority="2" operator="greaterThan">
      <formula>P4</formula>
    </cfRule>
  </conditionalFormatting>
  <conditionalFormatting sqref="O11:O12">
    <cfRule type="cellIs" dxfId="4" priority="3" operator="greaterThan">
      <formula>6</formula>
    </cfRule>
  </conditionalFormatting>
  <dataValidations>
    <dataValidation type="list" allowBlank="1" showErrorMessage="1" sqref="R2:R35">
      <formula1>Imports!$B$2:$B1001</formula1>
    </dataValidation>
  </dataValidations>
  <hyperlinks>
    <hyperlink r:id="rId1" ref="D2"/>
    <hyperlink r:id="rId2" ref="V2"/>
    <hyperlink r:id="rId3" ref="D3"/>
    <hyperlink r:id="rId4" ref="V3"/>
    <hyperlink r:id="rId5" ref="D4"/>
    <hyperlink r:id="rId6" ref="V4"/>
    <hyperlink r:id="rId7" ref="D5"/>
    <hyperlink r:id="rId8" ref="V5"/>
    <hyperlink r:id="rId9" ref="D6"/>
    <hyperlink r:id="rId10" ref="D7"/>
    <hyperlink r:id="rId11" ref="D8"/>
    <hyperlink r:id="rId12" ref="D9"/>
    <hyperlink r:id="rId13" ref="D10"/>
    <hyperlink r:id="rId14" ref="D11"/>
    <hyperlink r:id="rId15" ref="D12"/>
    <hyperlink r:id="rId16" ref="D13"/>
    <hyperlink r:id="rId17" ref="D14"/>
    <hyperlink r:id="rId18" ref="D15"/>
    <hyperlink r:id="rId19" ref="L15"/>
    <hyperlink r:id="rId20" ref="D16"/>
    <hyperlink r:id="rId21" ref="D17"/>
    <hyperlink r:id="rId22" ref="D18"/>
    <hyperlink r:id="rId23" ref="D19"/>
    <hyperlink r:id="rId24" ref="D20"/>
    <hyperlink r:id="rId25" ref="D21"/>
    <hyperlink r:id="rId26" ref="D22"/>
    <hyperlink r:id="rId27" ref="D23"/>
    <hyperlink r:id="rId28" ref="D24"/>
    <hyperlink r:id="rId29" ref="D25"/>
    <hyperlink r:id="rId30" ref="D26"/>
    <hyperlink r:id="rId31" ref="D27"/>
    <hyperlink r:id="rId32" ref="D36"/>
    <hyperlink r:id="rId33" ref="D37"/>
    <hyperlink r:id="rId34" ref="D38"/>
    <hyperlink r:id="rId35" ref="D39"/>
    <hyperlink r:id="rId36" ref="D40"/>
    <hyperlink r:id="rId37" ref="D52"/>
    <hyperlink r:id="rId38" ref="D53"/>
  </hyperlinks>
  <drawing r:id="rId39"/>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13.25"/>
    <col customWidth="1" min="2" max="2" width="16.5"/>
    <col customWidth="1" min="3" max="3" width="5.63"/>
    <col customWidth="1" min="7" max="7" width="6.38"/>
    <col customWidth="1" min="8" max="8" width="1.38"/>
    <col customWidth="1" min="9" max="9" width="37.75"/>
    <col customWidth="1" min="10" max="10" width="3.25"/>
    <col customWidth="1" min="11" max="11" width="47.25"/>
  </cols>
  <sheetData>
    <row r="1">
      <c r="A1" s="30" t="s">
        <v>128</v>
      </c>
      <c r="B1" s="29" t="s">
        <v>129</v>
      </c>
      <c r="C1" s="30" t="b">
        <v>1</v>
      </c>
      <c r="F1" s="156"/>
      <c r="G1" s="157"/>
      <c r="H1" s="156"/>
      <c r="I1" s="158"/>
      <c r="J1" s="156"/>
      <c r="K1" s="156"/>
      <c r="L1" s="156"/>
    </row>
    <row r="2">
      <c r="A2" s="30">
        <v>1.0</v>
      </c>
      <c r="B2" s="16" t="str">
        <f t="array" ref="B2">index(Matchups!$A$32:$A$52,match(A2,Matchups!$I$32:$I$52,0))</f>
        <v>Yordan Alvarez</v>
      </c>
      <c r="C2" s="16" t="str">
        <f t="array" ref="C2">index(Matchups!$J$32:$J$52,match(A2,Matchups!$I$32:$I$52,0))</f>
        <v>SS</v>
      </c>
      <c r="F2" s="156"/>
      <c r="G2" s="159" t="str">
        <f>if($C$1,C2,C13)</f>
        <v>SS</v>
      </c>
      <c r="H2" s="160"/>
      <c r="I2" s="161" t="str">
        <f>if($C$1,B2,B13)</f>
        <v>Yordan Alvarez</v>
      </c>
      <c r="J2" s="162"/>
      <c r="K2" s="163" t="str">
        <f>image("https://cdn.showzone.gg/baked-images/mlb-the-show-21/fa0f7ea5e3afe4b9c533995639464fff-21.png",1)</f>
        <v/>
      </c>
      <c r="L2" s="156"/>
    </row>
    <row r="3" ht="7.5" customHeight="1">
      <c r="A3" s="30">
        <v>2.0</v>
      </c>
      <c r="B3" s="16" t="str">
        <f t="array" ref="B3">index(Matchups!$A$32:$A$52,match(A3,Matchups!$I$32:$I$52,0))</f>
        <v/>
      </c>
      <c r="C3" s="16" t="str">
        <f t="array" ref="C3">index(Matchups!$J$32:$J$52,match(A3,Matchups!$I$32:$I$52,0))</f>
        <v>LF</v>
      </c>
      <c r="F3" s="156"/>
      <c r="G3" s="164"/>
      <c r="H3" s="165"/>
      <c r="I3" s="166"/>
      <c r="K3" s="167"/>
      <c r="L3" s="156"/>
    </row>
    <row r="4">
      <c r="A4" s="30">
        <v>3.0</v>
      </c>
      <c r="B4" s="16" t="str">
        <f t="array" ref="B4">index(Matchups!$A$32:$A$52,match(A4,Matchups!$I$32:$I$52,0))</f>
        <v>Trea Turner</v>
      </c>
      <c r="C4" s="16" t="str">
        <f t="array" ref="C4">index(Matchups!$J$32:$J$52,match(A4,Matchups!$I$32:$I$52,0))</f>
        <v>RF</v>
      </c>
      <c r="F4" s="156"/>
      <c r="G4" s="168" t="str">
        <f>if($C$1,C3,C14)</f>
        <v>LF</v>
      </c>
      <c r="H4" s="165"/>
      <c r="I4" s="169" t="str">
        <f>if($C$1,B3,B14)</f>
        <v/>
      </c>
      <c r="K4" s="167"/>
      <c r="L4" s="156"/>
    </row>
    <row r="5" ht="7.5" customHeight="1">
      <c r="A5" s="30">
        <v>4.0</v>
      </c>
      <c r="B5" s="16" t="str">
        <f t="array" ref="B5">index(Matchups!$A$32:$A$52,match(A5,Matchups!$I$32:$I$52,0))</f>
        <v>Cedric Mullins</v>
      </c>
      <c r="C5" s="16" t="str">
        <f t="array" ref="C5">index(Matchups!$J$32:$J$52,match(A5,Matchups!$I$32:$I$52,0))</f>
        <v>CF</v>
      </c>
      <c r="F5" s="156"/>
      <c r="G5" s="164"/>
      <c r="H5" s="165"/>
      <c r="I5" s="166"/>
      <c r="K5" s="167"/>
      <c r="L5" s="156"/>
    </row>
    <row r="6">
      <c r="A6" s="30">
        <v>5.0</v>
      </c>
      <c r="B6" s="16" t="str">
        <f t="array" ref="B6">index(Matchups!$A$32:$A$52,match(A6,Matchups!$I$32:$I$52,0))</f>
        <v>Mickey Moniak</v>
      </c>
      <c r="C6" s="16" t="str">
        <f t="array" ref="C6">index(Matchups!$J$32:$J$52,match(A6,Matchups!$I$32:$I$52,0))</f>
        <v>3B</v>
      </c>
      <c r="F6" s="156"/>
      <c r="G6" s="168" t="str">
        <f>if($C$1,C4,C15)</f>
        <v>RF</v>
      </c>
      <c r="H6" s="165"/>
      <c r="I6" s="169" t="str">
        <f>if($C$1,B4,B15)</f>
        <v>Trea Turner</v>
      </c>
      <c r="K6" s="167"/>
      <c r="L6" s="156"/>
    </row>
    <row r="7" ht="7.5" customHeight="1">
      <c r="A7" s="30">
        <v>6.0</v>
      </c>
      <c r="B7" s="16" t="str">
        <f t="array" ref="B7">index(Matchups!$A$32:$A$52,match(A7,Matchups!$I$32:$I$52,0))</f>
        <v>Jorge Polanco</v>
      </c>
      <c r="C7" s="16" t="str">
        <f t="array" ref="C7">index(Matchups!$J$32:$J$52,match(A7,Matchups!$I$32:$I$52,0))</f>
        <v>LF</v>
      </c>
      <c r="F7" s="156"/>
      <c r="G7" s="164"/>
      <c r="H7" s="165"/>
      <c r="I7" s="166"/>
      <c r="K7" s="167"/>
      <c r="L7" s="156"/>
    </row>
    <row r="8">
      <c r="A8" s="30">
        <v>7.0</v>
      </c>
      <c r="B8" s="16" t="str">
        <f t="array" ref="B8">index(Matchups!$A$32:$A$52,match(A8,Matchups!$I$32:$I$52,0))</f>
        <v>Mark Vientos</v>
      </c>
      <c r="C8" s="16" t="str">
        <f t="array" ref="C8">index(Matchups!$J$32:$J$52,match(A8,Matchups!$I$32:$I$52,0))</f>
        <v>C</v>
      </c>
      <c r="F8" s="156"/>
      <c r="G8" s="168" t="str">
        <f>if($C$1,C5,C16)</f>
        <v>CF</v>
      </c>
      <c r="H8" s="165"/>
      <c r="I8" s="169" t="str">
        <f>if($C$1,B5,B16)</f>
        <v>Cedric Mullins</v>
      </c>
      <c r="K8" s="167"/>
      <c r="L8" s="156"/>
    </row>
    <row r="9" ht="7.5" customHeight="1">
      <c r="A9" s="30">
        <v>8.0</v>
      </c>
      <c r="B9" s="16" t="str">
        <f t="array" ref="B9">index(Matchups!$A$32:$A$52,match(A9,Matchups!$I$32:$I$52,0))</f>
        <v>JT Realmuto</v>
      </c>
      <c r="C9" s="16" t="str">
        <f t="array" ref="C9">index(Matchups!$J$32:$J$52,match(A9,Matchups!$I$32:$I$52,0))</f>
        <v>1B</v>
      </c>
      <c r="F9" s="156"/>
      <c r="G9" s="164"/>
      <c r="H9" s="165"/>
      <c r="I9" s="166"/>
      <c r="K9" s="167"/>
      <c r="L9" s="156"/>
    </row>
    <row r="10">
      <c r="A10" s="30">
        <v>9.0</v>
      </c>
      <c r="B10" s="16" t="str">
        <f t="array" ref="B10">index(Matchups!$A$32:$A$52,match(A10,Matchups!$I$32:$I$52,0))</f>
        <v>Josh Naylor</v>
      </c>
      <c r="C10" s="16" t="str">
        <f t="array" ref="C10">index(Matchups!$J$32:$J$52,match(A10,Matchups!$I$32:$I$52,0))</f>
        <v>2B</v>
      </c>
      <c r="F10" s="156"/>
      <c r="G10" s="168" t="str">
        <f>if($C$1,C6,C17)</f>
        <v>3B</v>
      </c>
      <c r="H10" s="165"/>
      <c r="I10" s="169" t="str">
        <f>if($C$1,B6,B17)</f>
        <v>Mickey Moniak</v>
      </c>
      <c r="K10" s="167"/>
      <c r="L10" s="156"/>
    </row>
    <row r="11" ht="7.5" customHeight="1">
      <c r="F11" s="156"/>
      <c r="G11" s="164"/>
      <c r="H11" s="165"/>
      <c r="I11" s="166"/>
      <c r="K11" s="167"/>
      <c r="L11" s="156"/>
    </row>
    <row r="12">
      <c r="A12" s="30" t="s">
        <v>130</v>
      </c>
      <c r="F12" s="156"/>
      <c r="G12" s="168" t="str">
        <f>if($C$1,C7,C18)</f>
        <v>LF</v>
      </c>
      <c r="H12" s="165"/>
      <c r="I12" s="169" t="str">
        <f>if($C$1,B7,B18)</f>
        <v>Jorge Polanco</v>
      </c>
      <c r="K12" s="167"/>
      <c r="L12" s="156"/>
    </row>
    <row r="13" ht="7.5" customHeight="1">
      <c r="A13" s="30">
        <v>1.0</v>
      </c>
      <c r="B13" s="16" t="str">
        <f t="array" ref="B13">index(Matchups!$R$32:$R$52,match(A2,Matchups!$Z$32:$Z$52,0))</f>
        <v>#N/A</v>
      </c>
      <c r="C13" s="16" t="str">
        <f t="array" ref="C13">index(Matchups!$AA$32:$AA$52,match(A2,Matchups!$Z$32:$Z$52,0))</f>
        <v>#N/A</v>
      </c>
      <c r="F13" s="156"/>
      <c r="G13" s="164"/>
      <c r="H13" s="165"/>
      <c r="I13" s="166"/>
      <c r="K13" s="167"/>
      <c r="L13" s="156"/>
    </row>
    <row r="14">
      <c r="A14" s="30">
        <v>2.0</v>
      </c>
      <c r="B14" s="16" t="str">
        <f t="array" ref="B14">index(Matchups!$R$32:$R$52,match(A3,Matchups!$Z$32:$Z$52,0))</f>
        <v>#N/A</v>
      </c>
      <c r="C14" s="16" t="str">
        <f t="array" ref="C14">index(Matchups!$AA$32:$AA$52,match(A3,Matchups!$Z$32:$Z$52,0))</f>
        <v>#N/A</v>
      </c>
      <c r="F14" s="156"/>
      <c r="G14" s="168" t="str">
        <f>if($C$1,C8,C19)</f>
        <v>C</v>
      </c>
      <c r="H14" s="165"/>
      <c r="I14" s="170" t="str">
        <f>if($C$1,B8,B19)</f>
        <v>Mark Vientos</v>
      </c>
      <c r="K14" s="167"/>
      <c r="L14" s="156"/>
    </row>
    <row r="15" ht="7.5" customHeight="1">
      <c r="A15" s="30">
        <v>3.0</v>
      </c>
      <c r="B15" s="16" t="str">
        <f t="array" ref="B15">index(Matchups!$R$32:$R$52,match(A4,Matchups!$Z$32:$Z$52,0))</f>
        <v>#N/A</v>
      </c>
      <c r="C15" s="16" t="str">
        <f t="array" ref="C15">index(Matchups!$AA$32:$AA$52,match(A4,Matchups!$Z$32:$Z$52,0))</f>
        <v>#N/A</v>
      </c>
      <c r="F15" s="156"/>
      <c r="G15" s="164"/>
      <c r="H15" s="165"/>
      <c r="I15" s="166"/>
      <c r="K15" s="167"/>
      <c r="L15" s="156"/>
    </row>
    <row r="16">
      <c r="A16" s="30">
        <v>4.0</v>
      </c>
      <c r="B16" s="16" t="str">
        <f t="array" ref="B16">index(Matchups!$R$32:$R$52,match(A5,Matchups!$Z$32:$Z$52,0))</f>
        <v>#N/A</v>
      </c>
      <c r="C16" s="16" t="str">
        <f t="array" ref="C16">index(Matchups!$AA$32:$AA$52,match(A5,Matchups!$Z$32:$Z$52,0))</f>
        <v>#N/A</v>
      </c>
      <c r="F16" s="156"/>
      <c r="G16" s="168" t="str">
        <f>if($C$1,C9,C20)</f>
        <v>1B</v>
      </c>
      <c r="H16" s="165"/>
      <c r="I16" s="169" t="str">
        <f>if($C$1,B9,B20)</f>
        <v>JT Realmuto</v>
      </c>
      <c r="K16" s="167"/>
      <c r="L16" s="156"/>
    </row>
    <row r="17" ht="7.5" customHeight="1">
      <c r="A17" s="30">
        <v>5.0</v>
      </c>
      <c r="B17" s="16" t="str">
        <f t="array" ref="B17">index(Matchups!$R$32:$R$52,match(A6,Matchups!$Z$32:$Z$52,0))</f>
        <v>#N/A</v>
      </c>
      <c r="C17" s="16" t="str">
        <f t="array" ref="C17">index(Matchups!$AA$32:$AA$52,match(A6,Matchups!$Z$32:$Z$52,0))</f>
        <v>#N/A</v>
      </c>
      <c r="F17" s="156"/>
      <c r="G17" s="164"/>
      <c r="H17" s="165"/>
      <c r="I17" s="166"/>
      <c r="K17" s="167"/>
      <c r="L17" s="156"/>
    </row>
    <row r="18">
      <c r="A18" s="30">
        <v>6.0</v>
      </c>
      <c r="B18" s="16" t="str">
        <f t="array" ref="B18">index(Matchups!$R$32:$R$52,match(A7,Matchups!$Z$32:$Z$52,0))</f>
        <v>#N/A</v>
      </c>
      <c r="C18" s="16" t="str">
        <f t="array" ref="C18">index(Matchups!$AA$32:$AA$52,match(A7,Matchups!$Z$32:$Z$52,0))</f>
        <v>#N/A</v>
      </c>
      <c r="F18" s="156"/>
      <c r="G18" s="168" t="str">
        <f>if($C$1,C10,C21)</f>
        <v>2B</v>
      </c>
      <c r="H18" s="165"/>
      <c r="I18" s="170" t="str">
        <f>if($C$1,B10,B21)</f>
        <v>Josh Naylor</v>
      </c>
      <c r="K18" s="167"/>
      <c r="L18" s="156"/>
    </row>
    <row r="19" ht="7.5" customHeight="1">
      <c r="A19" s="30">
        <v>7.0</v>
      </c>
      <c r="B19" s="16" t="str">
        <f t="array" ref="B19">index(Matchups!$R$32:$R$52,match(A8,Matchups!$Z$32:$Z$52,0))</f>
        <v>#N/A</v>
      </c>
      <c r="C19" s="16" t="str">
        <f t="array" ref="C19">index(Matchups!$AA$32:$AA$52,match(A8,Matchups!$Z$32:$Z$52,0))</f>
        <v>#N/A</v>
      </c>
      <c r="F19" s="156"/>
      <c r="G19" s="164"/>
      <c r="H19" s="165"/>
      <c r="I19" s="166"/>
      <c r="K19" s="167"/>
      <c r="L19" s="156"/>
    </row>
    <row r="20">
      <c r="A20" s="30">
        <v>8.0</v>
      </c>
      <c r="B20" s="16" t="str">
        <f t="array" ref="B20">index(Matchups!$R$32:$R$52,match(A9,Matchups!$Z$32:$Z$52,0))</f>
        <v>#N/A</v>
      </c>
      <c r="C20" s="16" t="str">
        <f t="array" ref="C20">index(Matchups!$AA$32:$AA$52,match(A9,Matchups!$Z$32:$Z$52,0))</f>
        <v>#N/A</v>
      </c>
      <c r="F20" s="156"/>
      <c r="G20" s="171" t="s">
        <v>23</v>
      </c>
      <c r="H20" s="165"/>
      <c r="I20" s="170" t="str">
        <f>if(C1,Matchups!S12,Matchups!B12)</f>
        <v>Yoshinobu Yamamoto</v>
      </c>
      <c r="K20" s="167"/>
      <c r="L20" s="156"/>
    </row>
    <row r="21">
      <c r="A21" s="30">
        <v>9.0</v>
      </c>
      <c r="B21" s="16" t="str">
        <f t="array" ref="B21">index(Matchups!$R$32:$R$52,match(A10,Matchups!$Z$32:$Z$52,0))</f>
        <v>#N/A</v>
      </c>
      <c r="C21" s="16" t="str">
        <f t="array" ref="C21">index(Matchups!$AA$32:$AA$52,match(A10,Matchups!$Z$32:$Z$52,0))</f>
        <v>#N/A</v>
      </c>
      <c r="F21" s="156"/>
      <c r="G21" s="172"/>
      <c r="H21" s="156"/>
      <c r="I21" s="158"/>
      <c r="J21" s="156"/>
      <c r="K21" s="156"/>
      <c r="L21" s="156"/>
    </row>
    <row r="22">
      <c r="G22" s="15"/>
      <c r="I22" s="173"/>
    </row>
    <row r="23">
      <c r="A23" s="30" t="s">
        <v>131</v>
      </c>
      <c r="B23" s="16"/>
      <c r="C23" s="16" t="str">
        <f t="array" ref="C23">if(B23&lt;&gt;"",index('Depth Chart'!A2:A36,match(B23,'Depth Chart'!B2:B36,0)),)</f>
        <v/>
      </c>
      <c r="G23" s="15"/>
      <c r="I23" s="173"/>
    </row>
    <row r="24">
      <c r="B24" s="16" t="str">
        <f t="array" ref="B24">INDEX(Imports!T:T,match(B23,Imports!B:B,0))</f>
        <v>#N/A</v>
      </c>
      <c r="G24" s="15"/>
      <c r="I24" s="173"/>
    </row>
    <row r="25">
      <c r="G25" s="15"/>
      <c r="I25" s="173"/>
    </row>
    <row r="26">
      <c r="G26" s="15"/>
      <c r="I26" s="173"/>
    </row>
    <row r="27">
      <c r="A27" s="16" t="str">
        <f>if(C23&lt;&gt;"",SbaApiImport("views/season-stats/batting","csv=true&amp;player_id="&amp;C23),"No player selected")</f>
        <v>No player selected</v>
      </c>
      <c r="G27" s="15"/>
      <c r="I27" s="173"/>
    </row>
    <row r="28">
      <c r="G28" s="15"/>
      <c r="I28" s="173"/>
    </row>
    <row r="29">
      <c r="G29" s="15"/>
      <c r="I29" s="173"/>
    </row>
    <row r="30">
      <c r="G30" s="15"/>
      <c r="I30" s="173"/>
    </row>
    <row r="31">
      <c r="G31" s="15"/>
      <c r="I31" s="173"/>
    </row>
    <row r="32">
      <c r="G32" s="15"/>
      <c r="I32" s="173"/>
    </row>
    <row r="33">
      <c r="G33" s="15"/>
      <c r="I33" s="173"/>
    </row>
    <row r="34">
      <c r="G34" s="15"/>
      <c r="I34" s="173"/>
    </row>
    <row r="35">
      <c r="G35" s="15"/>
      <c r="I35" s="173"/>
    </row>
    <row r="36">
      <c r="G36" s="15"/>
      <c r="I36" s="173"/>
    </row>
    <row r="37">
      <c r="G37" s="15"/>
      <c r="I37" s="173"/>
    </row>
    <row r="38">
      <c r="G38" s="15"/>
      <c r="I38" s="173"/>
    </row>
    <row r="39">
      <c r="G39" s="15"/>
      <c r="I39" s="173"/>
    </row>
    <row r="40">
      <c r="G40" s="15"/>
      <c r="I40" s="173"/>
    </row>
    <row r="41">
      <c r="G41" s="15"/>
      <c r="I41" s="173"/>
    </row>
    <row r="42">
      <c r="G42" s="15"/>
      <c r="I42" s="173"/>
    </row>
    <row r="43">
      <c r="G43" s="15"/>
      <c r="I43" s="173"/>
    </row>
    <row r="44">
      <c r="G44" s="15"/>
      <c r="I44" s="173"/>
    </row>
    <row r="45">
      <c r="G45" s="15"/>
      <c r="I45" s="173"/>
    </row>
    <row r="46">
      <c r="G46" s="15"/>
      <c r="I46" s="173"/>
    </row>
    <row r="47">
      <c r="G47" s="15"/>
      <c r="I47" s="173"/>
    </row>
    <row r="48">
      <c r="G48" s="15"/>
      <c r="I48" s="173"/>
    </row>
    <row r="49">
      <c r="G49" s="15"/>
      <c r="I49" s="173"/>
    </row>
    <row r="50">
      <c r="G50" s="15"/>
      <c r="I50" s="173"/>
    </row>
    <row r="51">
      <c r="G51" s="15"/>
      <c r="I51" s="173"/>
    </row>
    <row r="52">
      <c r="G52" s="15"/>
      <c r="I52" s="173"/>
    </row>
    <row r="53">
      <c r="G53" s="15"/>
      <c r="I53" s="173"/>
    </row>
    <row r="54">
      <c r="G54" s="15"/>
      <c r="I54" s="173"/>
    </row>
    <row r="55">
      <c r="G55" s="15"/>
      <c r="I55" s="173"/>
    </row>
    <row r="56">
      <c r="G56" s="15"/>
      <c r="I56" s="173"/>
    </row>
    <row r="57">
      <c r="G57" s="15"/>
      <c r="I57" s="173"/>
    </row>
    <row r="58">
      <c r="G58" s="15"/>
      <c r="I58" s="173"/>
    </row>
    <row r="59">
      <c r="G59" s="15"/>
      <c r="I59" s="173"/>
    </row>
    <row r="60">
      <c r="G60" s="15"/>
      <c r="I60" s="173"/>
    </row>
    <row r="61">
      <c r="G61" s="15"/>
      <c r="I61" s="173"/>
    </row>
    <row r="62">
      <c r="G62" s="15"/>
      <c r="I62" s="173"/>
    </row>
    <row r="63">
      <c r="G63" s="15"/>
      <c r="I63" s="173"/>
    </row>
    <row r="64">
      <c r="G64" s="15"/>
      <c r="I64" s="173"/>
    </row>
    <row r="65">
      <c r="G65" s="15"/>
      <c r="I65" s="173"/>
    </row>
    <row r="66">
      <c r="G66" s="15"/>
      <c r="I66" s="173"/>
    </row>
    <row r="67">
      <c r="G67" s="15"/>
      <c r="I67" s="173"/>
    </row>
    <row r="68">
      <c r="G68" s="15"/>
      <c r="I68" s="173"/>
    </row>
    <row r="69">
      <c r="G69" s="15"/>
      <c r="I69" s="173"/>
    </row>
    <row r="70">
      <c r="G70" s="15"/>
      <c r="I70" s="173"/>
    </row>
    <row r="71">
      <c r="G71" s="15"/>
      <c r="I71" s="173"/>
    </row>
    <row r="72">
      <c r="G72" s="15"/>
      <c r="I72" s="173"/>
    </row>
    <row r="73">
      <c r="G73" s="15"/>
      <c r="I73" s="173"/>
    </row>
    <row r="74">
      <c r="G74" s="15"/>
      <c r="I74" s="173"/>
    </row>
    <row r="75">
      <c r="G75" s="15"/>
      <c r="I75" s="173"/>
    </row>
    <row r="76">
      <c r="G76" s="15"/>
      <c r="I76" s="173"/>
    </row>
    <row r="77">
      <c r="G77" s="15"/>
      <c r="I77" s="173"/>
    </row>
    <row r="78">
      <c r="G78" s="15"/>
      <c r="I78" s="173"/>
    </row>
    <row r="79">
      <c r="G79" s="15"/>
      <c r="I79" s="173"/>
    </row>
    <row r="80">
      <c r="G80" s="15"/>
      <c r="I80" s="173"/>
    </row>
    <row r="81">
      <c r="G81" s="15"/>
      <c r="I81" s="173"/>
    </row>
    <row r="82">
      <c r="G82" s="15"/>
      <c r="I82" s="173"/>
    </row>
    <row r="83">
      <c r="G83" s="15"/>
      <c r="I83" s="173"/>
    </row>
    <row r="84">
      <c r="G84" s="15"/>
      <c r="I84" s="173"/>
    </row>
    <row r="85">
      <c r="G85" s="15"/>
      <c r="I85" s="173"/>
    </row>
    <row r="86">
      <c r="G86" s="15"/>
      <c r="I86" s="173"/>
    </row>
    <row r="87">
      <c r="G87" s="15"/>
      <c r="I87" s="173"/>
    </row>
    <row r="88">
      <c r="G88" s="15"/>
      <c r="I88" s="173"/>
    </row>
    <row r="89">
      <c r="G89" s="15"/>
      <c r="I89" s="173"/>
    </row>
    <row r="90">
      <c r="G90" s="15"/>
      <c r="I90" s="173"/>
    </row>
    <row r="91">
      <c r="G91" s="15"/>
      <c r="I91" s="173"/>
    </row>
    <row r="92">
      <c r="G92" s="15"/>
      <c r="I92" s="173"/>
    </row>
    <row r="93">
      <c r="G93" s="15"/>
      <c r="I93" s="173"/>
    </row>
    <row r="94">
      <c r="G94" s="15"/>
      <c r="I94" s="173"/>
    </row>
    <row r="95">
      <c r="G95" s="15"/>
      <c r="I95" s="173"/>
    </row>
    <row r="96">
      <c r="G96" s="15"/>
      <c r="I96" s="173"/>
    </row>
    <row r="97">
      <c r="G97" s="15"/>
      <c r="I97" s="173"/>
    </row>
    <row r="98">
      <c r="G98" s="15"/>
      <c r="I98" s="173"/>
    </row>
    <row r="99">
      <c r="G99" s="15"/>
      <c r="I99" s="173"/>
    </row>
    <row r="100">
      <c r="G100" s="15"/>
      <c r="I100" s="173"/>
    </row>
    <row r="101">
      <c r="G101" s="15"/>
      <c r="I101" s="173"/>
    </row>
    <row r="102">
      <c r="G102" s="15"/>
      <c r="I102" s="173"/>
    </row>
    <row r="103">
      <c r="G103" s="15"/>
      <c r="I103" s="173"/>
    </row>
    <row r="104">
      <c r="G104" s="15"/>
      <c r="I104" s="173"/>
    </row>
    <row r="105">
      <c r="G105" s="15"/>
      <c r="I105" s="173"/>
    </row>
    <row r="106">
      <c r="G106" s="15"/>
      <c r="I106" s="173"/>
    </row>
    <row r="107">
      <c r="G107" s="15"/>
      <c r="I107" s="173"/>
    </row>
    <row r="108">
      <c r="G108" s="15"/>
      <c r="I108" s="173"/>
    </row>
    <row r="109">
      <c r="G109" s="15"/>
      <c r="I109" s="173"/>
    </row>
    <row r="110">
      <c r="G110" s="15"/>
      <c r="I110" s="173"/>
    </row>
    <row r="111">
      <c r="G111" s="15"/>
      <c r="I111" s="173"/>
    </row>
    <row r="112">
      <c r="G112" s="15"/>
      <c r="I112" s="173"/>
    </row>
    <row r="113">
      <c r="G113" s="15"/>
      <c r="I113" s="173"/>
    </row>
    <row r="114">
      <c r="G114" s="15"/>
      <c r="I114" s="173"/>
    </row>
    <row r="115">
      <c r="G115" s="15"/>
      <c r="I115" s="173"/>
    </row>
    <row r="116">
      <c r="G116" s="15"/>
      <c r="I116" s="173"/>
    </row>
    <row r="117">
      <c r="G117" s="15"/>
      <c r="I117" s="173"/>
    </row>
    <row r="118">
      <c r="G118" s="15"/>
      <c r="I118" s="173"/>
    </row>
    <row r="119">
      <c r="G119" s="15"/>
      <c r="I119" s="173"/>
    </row>
    <row r="120">
      <c r="G120" s="15"/>
      <c r="I120" s="173"/>
    </row>
    <row r="121">
      <c r="G121" s="15"/>
      <c r="I121" s="173"/>
    </row>
    <row r="122">
      <c r="G122" s="15"/>
      <c r="I122" s="173"/>
    </row>
    <row r="123">
      <c r="G123" s="15"/>
      <c r="I123" s="173"/>
    </row>
    <row r="124">
      <c r="G124" s="15"/>
      <c r="I124" s="173"/>
    </row>
    <row r="125">
      <c r="G125" s="15"/>
      <c r="I125" s="173"/>
    </row>
    <row r="126">
      <c r="G126" s="15"/>
      <c r="I126" s="173"/>
    </row>
    <row r="127">
      <c r="G127" s="15"/>
      <c r="I127" s="173"/>
    </row>
    <row r="128">
      <c r="G128" s="15"/>
      <c r="I128" s="173"/>
    </row>
    <row r="129">
      <c r="G129" s="15"/>
      <c r="I129" s="173"/>
    </row>
    <row r="130">
      <c r="G130" s="15"/>
      <c r="I130" s="173"/>
    </row>
    <row r="131">
      <c r="G131" s="15"/>
      <c r="I131" s="173"/>
    </row>
    <row r="132">
      <c r="G132" s="15"/>
      <c r="I132" s="173"/>
    </row>
    <row r="133">
      <c r="G133" s="15"/>
      <c r="I133" s="173"/>
    </row>
    <row r="134">
      <c r="G134" s="15"/>
      <c r="I134" s="173"/>
    </row>
    <row r="135">
      <c r="G135" s="15"/>
      <c r="I135" s="173"/>
    </row>
    <row r="136">
      <c r="G136" s="15"/>
      <c r="I136" s="173"/>
    </row>
    <row r="137">
      <c r="G137" s="15"/>
      <c r="I137" s="173"/>
    </row>
    <row r="138">
      <c r="G138" s="15"/>
      <c r="I138" s="173"/>
    </row>
    <row r="139">
      <c r="G139" s="15"/>
      <c r="I139" s="173"/>
    </row>
    <row r="140">
      <c r="G140" s="15"/>
      <c r="I140" s="173"/>
    </row>
    <row r="141">
      <c r="G141" s="15"/>
      <c r="I141" s="173"/>
    </row>
    <row r="142">
      <c r="G142" s="15"/>
      <c r="I142" s="173"/>
    </row>
    <row r="143">
      <c r="G143" s="15"/>
      <c r="I143" s="173"/>
    </row>
    <row r="144">
      <c r="G144" s="15"/>
      <c r="I144" s="173"/>
    </row>
    <row r="145">
      <c r="G145" s="15"/>
      <c r="I145" s="173"/>
    </row>
    <row r="146">
      <c r="G146" s="15"/>
      <c r="I146" s="173"/>
    </row>
    <row r="147">
      <c r="G147" s="15"/>
      <c r="I147" s="173"/>
    </row>
    <row r="148">
      <c r="G148" s="15"/>
      <c r="I148" s="173"/>
    </row>
    <row r="149">
      <c r="G149" s="15"/>
      <c r="I149" s="173"/>
    </row>
    <row r="150">
      <c r="G150" s="15"/>
      <c r="I150" s="173"/>
    </row>
    <row r="151">
      <c r="G151" s="15"/>
      <c r="I151" s="173"/>
    </row>
    <row r="152">
      <c r="G152" s="15"/>
      <c r="I152" s="173"/>
    </row>
    <row r="153">
      <c r="G153" s="15"/>
      <c r="I153" s="173"/>
    </row>
    <row r="154">
      <c r="G154" s="15"/>
      <c r="I154" s="173"/>
    </row>
    <row r="155">
      <c r="G155" s="15"/>
      <c r="I155" s="173"/>
    </row>
    <row r="156">
      <c r="G156" s="15"/>
      <c r="I156" s="173"/>
    </row>
    <row r="157">
      <c r="G157" s="15"/>
      <c r="I157" s="173"/>
    </row>
    <row r="158">
      <c r="G158" s="15"/>
      <c r="I158" s="173"/>
    </row>
    <row r="159">
      <c r="G159" s="15"/>
      <c r="I159" s="173"/>
    </row>
    <row r="160">
      <c r="G160" s="15"/>
      <c r="I160" s="173"/>
    </row>
    <row r="161">
      <c r="G161" s="15"/>
      <c r="I161" s="173"/>
    </row>
    <row r="162">
      <c r="G162" s="15"/>
      <c r="I162" s="173"/>
    </row>
    <row r="163">
      <c r="G163" s="15"/>
      <c r="I163" s="173"/>
    </row>
    <row r="164">
      <c r="G164" s="15"/>
      <c r="I164" s="173"/>
    </row>
    <row r="165">
      <c r="G165" s="15"/>
      <c r="I165" s="173"/>
    </row>
    <row r="166">
      <c r="G166" s="15"/>
      <c r="I166" s="173"/>
    </row>
    <row r="167">
      <c r="G167" s="15"/>
      <c r="I167" s="173"/>
    </row>
    <row r="168">
      <c r="G168" s="15"/>
      <c r="I168" s="173"/>
    </row>
    <row r="169">
      <c r="G169" s="15"/>
      <c r="I169" s="173"/>
    </row>
    <row r="170">
      <c r="G170" s="15"/>
      <c r="I170" s="173"/>
    </row>
    <row r="171">
      <c r="G171" s="15"/>
      <c r="I171" s="173"/>
    </row>
    <row r="172">
      <c r="G172" s="15"/>
      <c r="I172" s="173"/>
    </row>
    <row r="173">
      <c r="G173" s="15"/>
      <c r="I173" s="173"/>
    </row>
    <row r="174">
      <c r="G174" s="15"/>
      <c r="I174" s="173"/>
    </row>
    <row r="175">
      <c r="G175" s="15"/>
      <c r="I175" s="173"/>
    </row>
    <row r="176">
      <c r="G176" s="15"/>
      <c r="I176" s="173"/>
    </row>
    <row r="177">
      <c r="G177" s="15"/>
      <c r="I177" s="173"/>
    </row>
    <row r="178">
      <c r="G178" s="15"/>
      <c r="I178" s="173"/>
    </row>
    <row r="179">
      <c r="G179" s="15"/>
      <c r="I179" s="173"/>
    </row>
    <row r="180">
      <c r="G180" s="15"/>
      <c r="I180" s="173"/>
    </row>
    <row r="181">
      <c r="G181" s="15"/>
      <c r="I181" s="173"/>
    </row>
    <row r="182">
      <c r="G182" s="15"/>
      <c r="I182" s="173"/>
    </row>
    <row r="183">
      <c r="G183" s="15"/>
      <c r="I183" s="173"/>
    </row>
    <row r="184">
      <c r="G184" s="15"/>
      <c r="I184" s="173"/>
    </row>
    <row r="185">
      <c r="G185" s="15"/>
      <c r="I185" s="173"/>
    </row>
    <row r="186">
      <c r="G186" s="15"/>
      <c r="I186" s="173"/>
    </row>
    <row r="187">
      <c r="G187" s="15"/>
      <c r="I187" s="173"/>
    </row>
    <row r="188">
      <c r="G188" s="15"/>
      <c r="I188" s="173"/>
    </row>
    <row r="189">
      <c r="G189" s="15"/>
      <c r="I189" s="173"/>
    </row>
    <row r="190">
      <c r="G190" s="15"/>
      <c r="I190" s="173"/>
    </row>
    <row r="191">
      <c r="G191" s="15"/>
      <c r="I191" s="173"/>
    </row>
    <row r="192">
      <c r="G192" s="15"/>
      <c r="I192" s="173"/>
    </row>
    <row r="193">
      <c r="G193" s="15"/>
      <c r="I193" s="173"/>
    </row>
    <row r="194">
      <c r="G194" s="15"/>
      <c r="I194" s="173"/>
    </row>
    <row r="195">
      <c r="G195" s="15"/>
      <c r="I195" s="173"/>
    </row>
    <row r="196">
      <c r="G196" s="15"/>
      <c r="I196" s="173"/>
    </row>
    <row r="197">
      <c r="G197" s="15"/>
      <c r="I197" s="173"/>
    </row>
    <row r="198">
      <c r="G198" s="15"/>
      <c r="I198" s="173"/>
    </row>
    <row r="199">
      <c r="G199" s="15"/>
      <c r="I199" s="173"/>
    </row>
    <row r="200">
      <c r="G200" s="15"/>
      <c r="I200" s="173"/>
    </row>
    <row r="201">
      <c r="G201" s="15"/>
      <c r="I201" s="173"/>
    </row>
    <row r="202">
      <c r="G202" s="15"/>
      <c r="I202" s="173"/>
    </row>
    <row r="203">
      <c r="G203" s="15"/>
      <c r="I203" s="173"/>
    </row>
    <row r="204">
      <c r="G204" s="15"/>
      <c r="I204" s="173"/>
    </row>
    <row r="205">
      <c r="G205" s="15"/>
      <c r="I205" s="173"/>
    </row>
    <row r="206">
      <c r="G206" s="15"/>
      <c r="I206" s="173"/>
    </row>
    <row r="207">
      <c r="G207" s="15"/>
      <c r="I207" s="173"/>
    </row>
    <row r="208">
      <c r="G208" s="15"/>
      <c r="I208" s="173"/>
    </row>
    <row r="209">
      <c r="G209" s="15"/>
      <c r="I209" s="173"/>
    </row>
    <row r="210">
      <c r="G210" s="15"/>
      <c r="I210" s="173"/>
    </row>
    <row r="211">
      <c r="G211" s="15"/>
      <c r="I211" s="173"/>
    </row>
    <row r="212">
      <c r="G212" s="15"/>
      <c r="I212" s="173"/>
    </row>
    <row r="213">
      <c r="G213" s="15"/>
      <c r="I213" s="173"/>
    </row>
    <row r="214">
      <c r="G214" s="15"/>
      <c r="I214" s="173"/>
    </row>
    <row r="215">
      <c r="G215" s="15"/>
      <c r="I215" s="173"/>
    </row>
    <row r="216">
      <c r="G216" s="15"/>
      <c r="I216" s="173"/>
    </row>
    <row r="217">
      <c r="G217" s="15"/>
      <c r="I217" s="173"/>
    </row>
    <row r="218">
      <c r="G218" s="15"/>
      <c r="I218" s="173"/>
    </row>
    <row r="219">
      <c r="G219" s="15"/>
      <c r="I219" s="173"/>
    </row>
    <row r="220">
      <c r="G220" s="15"/>
      <c r="I220" s="173"/>
    </row>
    <row r="221">
      <c r="G221" s="15"/>
      <c r="I221" s="173"/>
    </row>
    <row r="222">
      <c r="G222" s="15"/>
      <c r="I222" s="173"/>
    </row>
    <row r="223">
      <c r="G223" s="15"/>
      <c r="I223" s="173"/>
    </row>
    <row r="224">
      <c r="G224" s="15"/>
      <c r="I224" s="173"/>
    </row>
    <row r="225">
      <c r="G225" s="15"/>
      <c r="I225" s="173"/>
    </row>
    <row r="226">
      <c r="G226" s="15"/>
      <c r="I226" s="173"/>
    </row>
    <row r="227">
      <c r="G227" s="15"/>
      <c r="I227" s="173"/>
    </row>
    <row r="228">
      <c r="G228" s="15"/>
      <c r="I228" s="173"/>
    </row>
    <row r="229">
      <c r="G229" s="15"/>
      <c r="I229" s="173"/>
    </row>
    <row r="230">
      <c r="G230" s="15"/>
      <c r="I230" s="173"/>
    </row>
    <row r="231">
      <c r="G231" s="15"/>
      <c r="I231" s="173"/>
    </row>
    <row r="232">
      <c r="G232" s="15"/>
      <c r="I232" s="173"/>
    </row>
    <row r="233">
      <c r="G233" s="15"/>
      <c r="I233" s="173"/>
    </row>
    <row r="234">
      <c r="G234" s="15"/>
      <c r="I234" s="173"/>
    </row>
    <row r="235">
      <c r="G235" s="15"/>
      <c r="I235" s="173"/>
    </row>
    <row r="236">
      <c r="G236" s="15"/>
      <c r="I236" s="173"/>
    </row>
    <row r="237">
      <c r="G237" s="15"/>
      <c r="I237" s="173"/>
    </row>
    <row r="238">
      <c r="G238" s="15"/>
      <c r="I238" s="173"/>
    </row>
    <row r="239">
      <c r="G239" s="15"/>
      <c r="I239" s="173"/>
    </row>
    <row r="240">
      <c r="G240" s="15"/>
      <c r="I240" s="173"/>
    </row>
    <row r="241">
      <c r="G241" s="15"/>
      <c r="I241" s="173"/>
    </row>
    <row r="242">
      <c r="G242" s="15"/>
      <c r="I242" s="173"/>
    </row>
    <row r="243">
      <c r="G243" s="15"/>
      <c r="I243" s="173"/>
    </row>
    <row r="244">
      <c r="G244" s="15"/>
      <c r="I244" s="173"/>
    </row>
    <row r="245">
      <c r="G245" s="15"/>
      <c r="I245" s="173"/>
    </row>
    <row r="246">
      <c r="G246" s="15"/>
      <c r="I246" s="173"/>
    </row>
    <row r="247">
      <c r="G247" s="15"/>
      <c r="I247" s="173"/>
    </row>
    <row r="248">
      <c r="G248" s="15"/>
      <c r="I248" s="173"/>
    </row>
    <row r="249">
      <c r="G249" s="15"/>
      <c r="I249" s="173"/>
    </row>
    <row r="250">
      <c r="G250" s="15"/>
      <c r="I250" s="173"/>
    </row>
    <row r="251">
      <c r="G251" s="15"/>
      <c r="I251" s="173"/>
    </row>
    <row r="252">
      <c r="G252" s="15"/>
      <c r="I252" s="173"/>
    </row>
    <row r="253">
      <c r="G253" s="15"/>
      <c r="I253" s="173"/>
    </row>
    <row r="254">
      <c r="G254" s="15"/>
      <c r="I254" s="173"/>
    </row>
    <row r="255">
      <c r="G255" s="15"/>
      <c r="I255" s="173"/>
    </row>
    <row r="256">
      <c r="G256" s="15"/>
      <c r="I256" s="173"/>
    </row>
    <row r="257">
      <c r="G257" s="15"/>
      <c r="I257" s="173"/>
    </row>
    <row r="258">
      <c r="G258" s="15"/>
      <c r="I258" s="173"/>
    </row>
    <row r="259">
      <c r="G259" s="15"/>
      <c r="I259" s="173"/>
    </row>
    <row r="260">
      <c r="G260" s="15"/>
      <c r="I260" s="173"/>
    </row>
    <row r="261">
      <c r="G261" s="15"/>
      <c r="I261" s="173"/>
    </row>
    <row r="262">
      <c r="G262" s="15"/>
      <c r="I262" s="173"/>
    </row>
    <row r="263">
      <c r="G263" s="15"/>
      <c r="I263" s="173"/>
    </row>
    <row r="264">
      <c r="G264" s="15"/>
      <c r="I264" s="173"/>
    </row>
    <row r="265">
      <c r="G265" s="15"/>
      <c r="I265" s="173"/>
    </row>
    <row r="266">
      <c r="G266" s="15"/>
      <c r="I266" s="173"/>
    </row>
    <row r="267">
      <c r="G267" s="15"/>
      <c r="I267" s="173"/>
    </row>
    <row r="268">
      <c r="G268" s="15"/>
      <c r="I268" s="173"/>
    </row>
    <row r="269">
      <c r="G269" s="15"/>
      <c r="I269" s="173"/>
    </row>
    <row r="270">
      <c r="G270" s="15"/>
      <c r="I270" s="173"/>
    </row>
    <row r="271">
      <c r="G271" s="15"/>
      <c r="I271" s="173"/>
    </row>
    <row r="272">
      <c r="G272" s="15"/>
      <c r="I272" s="173"/>
    </row>
    <row r="273">
      <c r="G273" s="15"/>
      <c r="I273" s="173"/>
    </row>
    <row r="274">
      <c r="G274" s="15"/>
      <c r="I274" s="173"/>
    </row>
    <row r="275">
      <c r="G275" s="15"/>
      <c r="I275" s="173"/>
    </row>
    <row r="276">
      <c r="G276" s="15"/>
      <c r="I276" s="173"/>
    </row>
    <row r="277">
      <c r="G277" s="15"/>
      <c r="I277" s="173"/>
    </row>
    <row r="278">
      <c r="G278" s="15"/>
      <c r="I278" s="173"/>
    </row>
    <row r="279">
      <c r="G279" s="15"/>
      <c r="I279" s="173"/>
    </row>
    <row r="280">
      <c r="G280" s="15"/>
      <c r="I280" s="173"/>
    </row>
    <row r="281">
      <c r="G281" s="15"/>
      <c r="I281" s="173"/>
    </row>
    <row r="282">
      <c r="G282" s="15"/>
      <c r="I282" s="173"/>
    </row>
    <row r="283">
      <c r="G283" s="15"/>
      <c r="I283" s="173"/>
    </row>
    <row r="284">
      <c r="G284" s="15"/>
      <c r="I284" s="173"/>
    </row>
    <row r="285">
      <c r="G285" s="15"/>
      <c r="I285" s="173"/>
    </row>
    <row r="286">
      <c r="G286" s="15"/>
      <c r="I286" s="173"/>
    </row>
    <row r="287">
      <c r="G287" s="15"/>
      <c r="I287" s="173"/>
    </row>
    <row r="288">
      <c r="G288" s="15"/>
      <c r="I288" s="173"/>
    </row>
    <row r="289">
      <c r="G289" s="15"/>
      <c r="I289" s="173"/>
    </row>
    <row r="290">
      <c r="G290" s="15"/>
      <c r="I290" s="173"/>
    </row>
    <row r="291">
      <c r="G291" s="15"/>
      <c r="I291" s="173"/>
    </row>
    <row r="292">
      <c r="G292" s="15"/>
      <c r="I292" s="173"/>
    </row>
    <row r="293">
      <c r="G293" s="15"/>
      <c r="I293" s="173"/>
    </row>
    <row r="294">
      <c r="G294" s="15"/>
      <c r="I294" s="173"/>
    </row>
    <row r="295">
      <c r="G295" s="15"/>
      <c r="I295" s="173"/>
    </row>
    <row r="296">
      <c r="G296" s="15"/>
      <c r="I296" s="173"/>
    </row>
    <row r="297">
      <c r="G297" s="15"/>
      <c r="I297" s="173"/>
    </row>
    <row r="298">
      <c r="G298" s="15"/>
      <c r="I298" s="173"/>
    </row>
    <row r="299">
      <c r="G299" s="15"/>
      <c r="I299" s="173"/>
    </row>
    <row r="300">
      <c r="G300" s="15"/>
      <c r="I300" s="173"/>
    </row>
    <row r="301">
      <c r="G301" s="15"/>
      <c r="I301" s="173"/>
    </row>
    <row r="302">
      <c r="G302" s="15"/>
      <c r="I302" s="173"/>
    </row>
    <row r="303">
      <c r="G303" s="15"/>
      <c r="I303" s="173"/>
    </row>
    <row r="304">
      <c r="G304" s="15"/>
      <c r="I304" s="173"/>
    </row>
    <row r="305">
      <c r="G305" s="15"/>
      <c r="I305" s="173"/>
    </row>
    <row r="306">
      <c r="G306" s="15"/>
      <c r="I306" s="173"/>
    </row>
    <row r="307">
      <c r="G307" s="15"/>
      <c r="I307" s="173"/>
    </row>
    <row r="308">
      <c r="G308" s="15"/>
      <c r="I308" s="173"/>
    </row>
    <row r="309">
      <c r="G309" s="15"/>
      <c r="I309" s="173"/>
    </row>
    <row r="310">
      <c r="G310" s="15"/>
      <c r="I310" s="173"/>
    </row>
    <row r="311">
      <c r="G311" s="15"/>
      <c r="I311" s="173"/>
    </row>
    <row r="312">
      <c r="G312" s="15"/>
      <c r="I312" s="173"/>
    </row>
    <row r="313">
      <c r="G313" s="15"/>
      <c r="I313" s="173"/>
    </row>
    <row r="314">
      <c r="G314" s="15"/>
      <c r="I314" s="173"/>
    </row>
    <row r="315">
      <c r="G315" s="15"/>
      <c r="I315" s="173"/>
    </row>
    <row r="316">
      <c r="G316" s="15"/>
      <c r="I316" s="173"/>
    </row>
    <row r="317">
      <c r="G317" s="15"/>
      <c r="I317" s="173"/>
    </row>
    <row r="318">
      <c r="G318" s="15"/>
      <c r="I318" s="173"/>
    </row>
    <row r="319">
      <c r="G319" s="15"/>
      <c r="I319" s="173"/>
    </row>
    <row r="320">
      <c r="G320" s="15"/>
      <c r="I320" s="173"/>
    </row>
    <row r="321">
      <c r="G321" s="15"/>
      <c r="I321" s="173"/>
    </row>
    <row r="322">
      <c r="G322" s="15"/>
      <c r="I322" s="173"/>
    </row>
    <row r="323">
      <c r="G323" s="15"/>
      <c r="I323" s="173"/>
    </row>
    <row r="324">
      <c r="G324" s="15"/>
      <c r="I324" s="173"/>
    </row>
    <row r="325">
      <c r="G325" s="15"/>
      <c r="I325" s="173"/>
    </row>
    <row r="326">
      <c r="G326" s="15"/>
      <c r="I326" s="173"/>
    </row>
    <row r="327">
      <c r="G327" s="15"/>
      <c r="I327" s="173"/>
    </row>
    <row r="328">
      <c r="G328" s="15"/>
      <c r="I328" s="173"/>
    </row>
    <row r="329">
      <c r="G329" s="15"/>
      <c r="I329" s="173"/>
    </row>
    <row r="330">
      <c r="G330" s="15"/>
      <c r="I330" s="173"/>
    </row>
    <row r="331">
      <c r="G331" s="15"/>
      <c r="I331" s="173"/>
    </row>
    <row r="332">
      <c r="G332" s="15"/>
      <c r="I332" s="173"/>
    </row>
    <row r="333">
      <c r="G333" s="15"/>
      <c r="I333" s="173"/>
    </row>
    <row r="334">
      <c r="G334" s="15"/>
      <c r="I334" s="173"/>
    </row>
    <row r="335">
      <c r="G335" s="15"/>
      <c r="I335" s="173"/>
    </row>
    <row r="336">
      <c r="G336" s="15"/>
      <c r="I336" s="173"/>
    </row>
    <row r="337">
      <c r="G337" s="15"/>
      <c r="I337" s="173"/>
    </row>
    <row r="338">
      <c r="G338" s="15"/>
      <c r="I338" s="173"/>
    </row>
    <row r="339">
      <c r="G339" s="15"/>
      <c r="I339" s="173"/>
    </row>
    <row r="340">
      <c r="G340" s="15"/>
      <c r="I340" s="173"/>
    </row>
    <row r="341">
      <c r="G341" s="15"/>
      <c r="I341" s="173"/>
    </row>
    <row r="342">
      <c r="G342" s="15"/>
      <c r="I342" s="173"/>
    </row>
    <row r="343">
      <c r="G343" s="15"/>
      <c r="I343" s="173"/>
    </row>
    <row r="344">
      <c r="G344" s="15"/>
      <c r="I344" s="173"/>
    </row>
    <row r="345">
      <c r="G345" s="15"/>
      <c r="I345" s="173"/>
    </row>
    <row r="346">
      <c r="G346" s="15"/>
      <c r="I346" s="173"/>
    </row>
    <row r="347">
      <c r="G347" s="15"/>
      <c r="I347" s="173"/>
    </row>
    <row r="348">
      <c r="G348" s="15"/>
      <c r="I348" s="173"/>
    </row>
    <row r="349">
      <c r="G349" s="15"/>
      <c r="I349" s="173"/>
    </row>
    <row r="350">
      <c r="G350" s="15"/>
      <c r="I350" s="173"/>
    </row>
    <row r="351">
      <c r="G351" s="15"/>
      <c r="I351" s="173"/>
    </row>
    <row r="352">
      <c r="G352" s="15"/>
      <c r="I352" s="173"/>
    </row>
    <row r="353">
      <c r="G353" s="15"/>
      <c r="I353" s="173"/>
    </row>
    <row r="354">
      <c r="G354" s="15"/>
      <c r="I354" s="173"/>
    </row>
    <row r="355">
      <c r="G355" s="15"/>
      <c r="I355" s="173"/>
    </row>
    <row r="356">
      <c r="G356" s="15"/>
      <c r="I356" s="173"/>
    </row>
    <row r="357">
      <c r="G357" s="15"/>
      <c r="I357" s="173"/>
    </row>
    <row r="358">
      <c r="G358" s="15"/>
      <c r="I358" s="173"/>
    </row>
    <row r="359">
      <c r="G359" s="15"/>
      <c r="I359" s="173"/>
    </row>
    <row r="360">
      <c r="G360" s="15"/>
      <c r="I360" s="173"/>
    </row>
    <row r="361">
      <c r="G361" s="15"/>
      <c r="I361" s="173"/>
    </row>
    <row r="362">
      <c r="G362" s="15"/>
      <c r="I362" s="173"/>
    </row>
    <row r="363">
      <c r="G363" s="15"/>
      <c r="I363" s="173"/>
    </row>
    <row r="364">
      <c r="G364" s="15"/>
      <c r="I364" s="173"/>
    </row>
    <row r="365">
      <c r="G365" s="15"/>
      <c r="I365" s="173"/>
    </row>
    <row r="366">
      <c r="G366" s="15"/>
      <c r="I366" s="173"/>
    </row>
    <row r="367">
      <c r="G367" s="15"/>
      <c r="I367" s="173"/>
    </row>
    <row r="368">
      <c r="G368" s="15"/>
      <c r="I368" s="173"/>
    </row>
    <row r="369">
      <c r="G369" s="15"/>
      <c r="I369" s="173"/>
    </row>
    <row r="370">
      <c r="G370" s="15"/>
      <c r="I370" s="173"/>
    </row>
    <row r="371">
      <c r="G371" s="15"/>
      <c r="I371" s="173"/>
    </row>
    <row r="372">
      <c r="G372" s="15"/>
      <c r="I372" s="173"/>
    </row>
    <row r="373">
      <c r="G373" s="15"/>
      <c r="I373" s="173"/>
    </row>
    <row r="374">
      <c r="G374" s="15"/>
      <c r="I374" s="173"/>
    </row>
    <row r="375">
      <c r="G375" s="15"/>
      <c r="I375" s="173"/>
    </row>
    <row r="376">
      <c r="G376" s="15"/>
      <c r="I376" s="173"/>
    </row>
    <row r="377">
      <c r="G377" s="15"/>
      <c r="I377" s="173"/>
    </row>
    <row r="378">
      <c r="G378" s="15"/>
      <c r="I378" s="173"/>
    </row>
    <row r="379">
      <c r="G379" s="15"/>
      <c r="I379" s="173"/>
    </row>
    <row r="380">
      <c r="G380" s="15"/>
      <c r="I380" s="173"/>
    </row>
    <row r="381">
      <c r="G381" s="15"/>
      <c r="I381" s="173"/>
    </row>
    <row r="382">
      <c r="G382" s="15"/>
      <c r="I382" s="173"/>
    </row>
    <row r="383">
      <c r="G383" s="15"/>
      <c r="I383" s="173"/>
    </row>
    <row r="384">
      <c r="G384" s="15"/>
      <c r="I384" s="173"/>
    </row>
    <row r="385">
      <c r="G385" s="15"/>
      <c r="I385" s="173"/>
    </row>
    <row r="386">
      <c r="G386" s="15"/>
      <c r="I386" s="173"/>
    </row>
    <row r="387">
      <c r="G387" s="15"/>
      <c r="I387" s="173"/>
    </row>
    <row r="388">
      <c r="G388" s="15"/>
      <c r="I388" s="173"/>
    </row>
    <row r="389">
      <c r="G389" s="15"/>
      <c r="I389" s="173"/>
    </row>
    <row r="390">
      <c r="G390" s="15"/>
      <c r="I390" s="173"/>
    </row>
    <row r="391">
      <c r="G391" s="15"/>
      <c r="I391" s="173"/>
    </row>
    <row r="392">
      <c r="G392" s="15"/>
      <c r="I392" s="173"/>
    </row>
    <row r="393">
      <c r="G393" s="15"/>
      <c r="I393" s="173"/>
    </row>
    <row r="394">
      <c r="G394" s="15"/>
      <c r="I394" s="173"/>
    </row>
    <row r="395">
      <c r="G395" s="15"/>
      <c r="I395" s="173"/>
    </row>
    <row r="396">
      <c r="G396" s="15"/>
      <c r="I396" s="173"/>
    </row>
    <row r="397">
      <c r="G397" s="15"/>
      <c r="I397" s="173"/>
    </row>
    <row r="398">
      <c r="G398" s="15"/>
      <c r="I398" s="173"/>
    </row>
    <row r="399">
      <c r="G399" s="15"/>
      <c r="I399" s="173"/>
    </row>
    <row r="400">
      <c r="G400" s="15"/>
      <c r="I400" s="173"/>
    </row>
    <row r="401">
      <c r="G401" s="15"/>
      <c r="I401" s="173"/>
    </row>
    <row r="402">
      <c r="G402" s="15"/>
      <c r="I402" s="173"/>
    </row>
    <row r="403">
      <c r="G403" s="15"/>
      <c r="I403" s="173"/>
    </row>
    <row r="404">
      <c r="G404" s="15"/>
      <c r="I404" s="173"/>
    </row>
    <row r="405">
      <c r="G405" s="15"/>
      <c r="I405" s="173"/>
    </row>
    <row r="406">
      <c r="G406" s="15"/>
      <c r="I406" s="173"/>
    </row>
    <row r="407">
      <c r="G407" s="15"/>
      <c r="I407" s="173"/>
    </row>
    <row r="408">
      <c r="G408" s="15"/>
      <c r="I408" s="173"/>
    </row>
    <row r="409">
      <c r="G409" s="15"/>
      <c r="I409" s="173"/>
    </row>
    <row r="410">
      <c r="G410" s="15"/>
      <c r="I410" s="173"/>
    </row>
    <row r="411">
      <c r="G411" s="15"/>
      <c r="I411" s="173"/>
    </row>
    <row r="412">
      <c r="G412" s="15"/>
      <c r="I412" s="173"/>
    </row>
    <row r="413">
      <c r="G413" s="15"/>
      <c r="I413" s="173"/>
    </row>
    <row r="414">
      <c r="G414" s="15"/>
      <c r="I414" s="173"/>
    </row>
    <row r="415">
      <c r="G415" s="15"/>
      <c r="I415" s="173"/>
    </row>
    <row r="416">
      <c r="G416" s="15"/>
      <c r="I416" s="173"/>
    </row>
    <row r="417">
      <c r="G417" s="15"/>
      <c r="I417" s="173"/>
    </row>
    <row r="418">
      <c r="G418" s="15"/>
      <c r="I418" s="173"/>
    </row>
    <row r="419">
      <c r="G419" s="15"/>
      <c r="I419" s="173"/>
    </row>
    <row r="420">
      <c r="G420" s="15"/>
      <c r="I420" s="173"/>
    </row>
    <row r="421">
      <c r="G421" s="15"/>
      <c r="I421" s="173"/>
    </row>
    <row r="422">
      <c r="G422" s="15"/>
      <c r="I422" s="173"/>
    </row>
    <row r="423">
      <c r="G423" s="15"/>
      <c r="I423" s="173"/>
    </row>
    <row r="424">
      <c r="G424" s="15"/>
      <c r="I424" s="173"/>
    </row>
    <row r="425">
      <c r="G425" s="15"/>
      <c r="I425" s="173"/>
    </row>
    <row r="426">
      <c r="G426" s="15"/>
      <c r="I426" s="173"/>
    </row>
    <row r="427">
      <c r="G427" s="15"/>
      <c r="I427" s="173"/>
    </row>
    <row r="428">
      <c r="G428" s="15"/>
      <c r="I428" s="173"/>
    </row>
    <row r="429">
      <c r="G429" s="15"/>
      <c r="I429" s="173"/>
    </row>
    <row r="430">
      <c r="G430" s="15"/>
      <c r="I430" s="173"/>
    </row>
    <row r="431">
      <c r="G431" s="15"/>
      <c r="I431" s="173"/>
    </row>
    <row r="432">
      <c r="G432" s="15"/>
      <c r="I432" s="173"/>
    </row>
    <row r="433">
      <c r="G433" s="15"/>
      <c r="I433" s="173"/>
    </row>
    <row r="434">
      <c r="G434" s="15"/>
      <c r="I434" s="173"/>
    </row>
    <row r="435">
      <c r="G435" s="15"/>
      <c r="I435" s="173"/>
    </row>
    <row r="436">
      <c r="G436" s="15"/>
      <c r="I436" s="173"/>
    </row>
    <row r="437">
      <c r="G437" s="15"/>
      <c r="I437" s="173"/>
    </row>
    <row r="438">
      <c r="G438" s="15"/>
      <c r="I438" s="173"/>
    </row>
    <row r="439">
      <c r="G439" s="15"/>
      <c r="I439" s="173"/>
    </row>
    <row r="440">
      <c r="G440" s="15"/>
      <c r="I440" s="173"/>
    </row>
    <row r="441">
      <c r="G441" s="15"/>
      <c r="I441" s="173"/>
    </row>
    <row r="442">
      <c r="G442" s="15"/>
      <c r="I442" s="173"/>
    </row>
    <row r="443">
      <c r="G443" s="15"/>
      <c r="I443" s="173"/>
    </row>
    <row r="444">
      <c r="G444" s="15"/>
      <c r="I444" s="173"/>
    </row>
    <row r="445">
      <c r="G445" s="15"/>
      <c r="I445" s="173"/>
    </row>
    <row r="446">
      <c r="G446" s="15"/>
      <c r="I446" s="173"/>
    </row>
    <row r="447">
      <c r="G447" s="15"/>
      <c r="I447" s="173"/>
    </row>
    <row r="448">
      <c r="G448" s="15"/>
      <c r="I448" s="173"/>
    </row>
    <row r="449">
      <c r="G449" s="15"/>
      <c r="I449" s="173"/>
    </row>
    <row r="450">
      <c r="G450" s="15"/>
      <c r="I450" s="173"/>
    </row>
    <row r="451">
      <c r="G451" s="15"/>
      <c r="I451" s="173"/>
    </row>
    <row r="452">
      <c r="G452" s="15"/>
      <c r="I452" s="173"/>
    </row>
    <row r="453">
      <c r="G453" s="15"/>
      <c r="I453" s="173"/>
    </row>
    <row r="454">
      <c r="G454" s="15"/>
      <c r="I454" s="173"/>
    </row>
    <row r="455">
      <c r="G455" s="15"/>
      <c r="I455" s="173"/>
    </row>
    <row r="456">
      <c r="G456" s="15"/>
      <c r="I456" s="173"/>
    </row>
    <row r="457">
      <c r="G457" s="15"/>
      <c r="I457" s="173"/>
    </row>
    <row r="458">
      <c r="G458" s="15"/>
      <c r="I458" s="173"/>
    </row>
    <row r="459">
      <c r="G459" s="15"/>
      <c r="I459" s="173"/>
    </row>
    <row r="460">
      <c r="G460" s="15"/>
      <c r="I460" s="173"/>
    </row>
    <row r="461">
      <c r="G461" s="15"/>
      <c r="I461" s="173"/>
    </row>
    <row r="462">
      <c r="G462" s="15"/>
      <c r="I462" s="173"/>
    </row>
    <row r="463">
      <c r="G463" s="15"/>
      <c r="I463" s="173"/>
    </row>
    <row r="464">
      <c r="G464" s="15"/>
      <c r="I464" s="173"/>
    </row>
    <row r="465">
      <c r="G465" s="15"/>
      <c r="I465" s="173"/>
    </row>
    <row r="466">
      <c r="G466" s="15"/>
      <c r="I466" s="173"/>
    </row>
    <row r="467">
      <c r="G467" s="15"/>
      <c r="I467" s="173"/>
    </row>
    <row r="468">
      <c r="G468" s="15"/>
      <c r="I468" s="173"/>
    </row>
    <row r="469">
      <c r="G469" s="15"/>
      <c r="I469" s="173"/>
    </row>
    <row r="470">
      <c r="G470" s="15"/>
      <c r="I470" s="173"/>
    </row>
    <row r="471">
      <c r="G471" s="15"/>
      <c r="I471" s="173"/>
    </row>
    <row r="472">
      <c r="G472" s="15"/>
      <c r="I472" s="173"/>
    </row>
    <row r="473">
      <c r="G473" s="15"/>
      <c r="I473" s="173"/>
    </row>
    <row r="474">
      <c r="G474" s="15"/>
      <c r="I474" s="173"/>
    </row>
    <row r="475">
      <c r="G475" s="15"/>
      <c r="I475" s="173"/>
    </row>
    <row r="476">
      <c r="G476" s="15"/>
      <c r="I476" s="173"/>
    </row>
    <row r="477">
      <c r="G477" s="15"/>
      <c r="I477" s="173"/>
    </row>
    <row r="478">
      <c r="G478" s="15"/>
      <c r="I478" s="173"/>
    </row>
    <row r="479">
      <c r="G479" s="15"/>
      <c r="I479" s="173"/>
    </row>
    <row r="480">
      <c r="G480" s="15"/>
      <c r="I480" s="173"/>
    </row>
    <row r="481">
      <c r="G481" s="15"/>
      <c r="I481" s="173"/>
    </row>
    <row r="482">
      <c r="G482" s="15"/>
      <c r="I482" s="173"/>
    </row>
    <row r="483">
      <c r="G483" s="15"/>
      <c r="I483" s="173"/>
    </row>
    <row r="484">
      <c r="G484" s="15"/>
      <c r="I484" s="173"/>
    </row>
    <row r="485">
      <c r="G485" s="15"/>
      <c r="I485" s="173"/>
    </row>
    <row r="486">
      <c r="G486" s="15"/>
      <c r="I486" s="173"/>
    </row>
    <row r="487">
      <c r="G487" s="15"/>
      <c r="I487" s="173"/>
    </row>
    <row r="488">
      <c r="G488" s="15"/>
      <c r="I488" s="173"/>
    </row>
    <row r="489">
      <c r="G489" s="15"/>
      <c r="I489" s="173"/>
    </row>
    <row r="490">
      <c r="G490" s="15"/>
      <c r="I490" s="173"/>
    </row>
    <row r="491">
      <c r="G491" s="15"/>
      <c r="I491" s="173"/>
    </row>
    <row r="492">
      <c r="G492" s="15"/>
      <c r="I492" s="173"/>
    </row>
    <row r="493">
      <c r="G493" s="15"/>
      <c r="I493" s="173"/>
    </row>
    <row r="494">
      <c r="G494" s="15"/>
      <c r="I494" s="173"/>
    </row>
    <row r="495">
      <c r="G495" s="15"/>
      <c r="I495" s="173"/>
    </row>
    <row r="496">
      <c r="G496" s="15"/>
      <c r="I496" s="173"/>
    </row>
    <row r="497">
      <c r="G497" s="15"/>
      <c r="I497" s="173"/>
    </row>
    <row r="498">
      <c r="G498" s="15"/>
      <c r="I498" s="173"/>
    </row>
    <row r="499">
      <c r="G499" s="15"/>
      <c r="I499" s="173"/>
    </row>
    <row r="500">
      <c r="G500" s="15"/>
      <c r="I500" s="173"/>
    </row>
    <row r="501">
      <c r="G501" s="15"/>
      <c r="I501" s="173"/>
    </row>
    <row r="502">
      <c r="G502" s="15"/>
      <c r="I502" s="173"/>
    </row>
    <row r="503">
      <c r="G503" s="15"/>
      <c r="I503" s="173"/>
    </row>
    <row r="504">
      <c r="G504" s="15"/>
      <c r="I504" s="173"/>
    </row>
    <row r="505">
      <c r="G505" s="15"/>
      <c r="I505" s="173"/>
    </row>
    <row r="506">
      <c r="G506" s="15"/>
      <c r="I506" s="173"/>
    </row>
    <row r="507">
      <c r="G507" s="15"/>
      <c r="I507" s="173"/>
    </row>
    <row r="508">
      <c r="G508" s="15"/>
      <c r="I508" s="173"/>
    </row>
    <row r="509">
      <c r="G509" s="15"/>
      <c r="I509" s="173"/>
    </row>
    <row r="510">
      <c r="G510" s="15"/>
      <c r="I510" s="173"/>
    </row>
    <row r="511">
      <c r="G511" s="15"/>
      <c r="I511" s="173"/>
    </row>
    <row r="512">
      <c r="G512" s="15"/>
      <c r="I512" s="173"/>
    </row>
    <row r="513">
      <c r="G513" s="15"/>
      <c r="I513" s="173"/>
    </row>
    <row r="514">
      <c r="G514" s="15"/>
      <c r="I514" s="173"/>
    </row>
    <row r="515">
      <c r="G515" s="15"/>
      <c r="I515" s="173"/>
    </row>
    <row r="516">
      <c r="G516" s="15"/>
      <c r="I516" s="173"/>
    </row>
    <row r="517">
      <c r="G517" s="15"/>
      <c r="I517" s="173"/>
    </row>
    <row r="518">
      <c r="G518" s="15"/>
      <c r="I518" s="173"/>
    </row>
    <row r="519">
      <c r="G519" s="15"/>
      <c r="I519" s="173"/>
    </row>
    <row r="520">
      <c r="G520" s="15"/>
      <c r="I520" s="173"/>
    </row>
    <row r="521">
      <c r="G521" s="15"/>
      <c r="I521" s="173"/>
    </row>
    <row r="522">
      <c r="G522" s="15"/>
      <c r="I522" s="173"/>
    </row>
    <row r="523">
      <c r="G523" s="15"/>
      <c r="I523" s="173"/>
    </row>
    <row r="524">
      <c r="G524" s="15"/>
      <c r="I524" s="173"/>
    </row>
    <row r="525">
      <c r="G525" s="15"/>
      <c r="I525" s="173"/>
    </row>
    <row r="526">
      <c r="G526" s="15"/>
      <c r="I526" s="173"/>
    </row>
    <row r="527">
      <c r="G527" s="15"/>
      <c r="I527" s="173"/>
    </row>
    <row r="528">
      <c r="G528" s="15"/>
      <c r="I528" s="173"/>
    </row>
    <row r="529">
      <c r="G529" s="15"/>
      <c r="I529" s="173"/>
    </row>
    <row r="530">
      <c r="G530" s="15"/>
      <c r="I530" s="173"/>
    </row>
    <row r="531">
      <c r="G531" s="15"/>
      <c r="I531" s="173"/>
    </row>
    <row r="532">
      <c r="G532" s="15"/>
      <c r="I532" s="173"/>
    </row>
    <row r="533">
      <c r="G533" s="15"/>
      <c r="I533" s="173"/>
    </row>
    <row r="534">
      <c r="G534" s="15"/>
      <c r="I534" s="173"/>
    </row>
    <row r="535">
      <c r="G535" s="15"/>
      <c r="I535" s="173"/>
    </row>
    <row r="536">
      <c r="G536" s="15"/>
      <c r="I536" s="173"/>
    </row>
    <row r="537">
      <c r="G537" s="15"/>
      <c r="I537" s="173"/>
    </row>
    <row r="538">
      <c r="G538" s="15"/>
      <c r="I538" s="173"/>
    </row>
    <row r="539">
      <c r="G539" s="15"/>
      <c r="I539" s="173"/>
    </row>
    <row r="540">
      <c r="G540" s="15"/>
      <c r="I540" s="173"/>
    </row>
    <row r="541">
      <c r="G541" s="15"/>
      <c r="I541" s="173"/>
    </row>
    <row r="542">
      <c r="G542" s="15"/>
      <c r="I542" s="173"/>
    </row>
    <row r="543">
      <c r="G543" s="15"/>
      <c r="I543" s="173"/>
    </row>
    <row r="544">
      <c r="G544" s="15"/>
      <c r="I544" s="173"/>
    </row>
    <row r="545">
      <c r="G545" s="15"/>
      <c r="I545" s="173"/>
    </row>
    <row r="546">
      <c r="G546" s="15"/>
      <c r="I546" s="173"/>
    </row>
    <row r="547">
      <c r="G547" s="15"/>
      <c r="I547" s="173"/>
    </row>
    <row r="548">
      <c r="G548" s="15"/>
      <c r="I548" s="173"/>
    </row>
    <row r="549">
      <c r="G549" s="15"/>
      <c r="I549" s="173"/>
    </row>
    <row r="550">
      <c r="G550" s="15"/>
      <c r="I550" s="173"/>
    </row>
    <row r="551">
      <c r="G551" s="15"/>
      <c r="I551" s="173"/>
    </row>
    <row r="552">
      <c r="G552" s="15"/>
      <c r="I552" s="173"/>
    </row>
    <row r="553">
      <c r="G553" s="15"/>
      <c r="I553" s="173"/>
    </row>
    <row r="554">
      <c r="G554" s="15"/>
      <c r="I554" s="173"/>
    </row>
    <row r="555">
      <c r="G555" s="15"/>
      <c r="I555" s="173"/>
    </row>
    <row r="556">
      <c r="G556" s="15"/>
      <c r="I556" s="173"/>
    </row>
    <row r="557">
      <c r="G557" s="15"/>
      <c r="I557" s="173"/>
    </row>
    <row r="558">
      <c r="G558" s="15"/>
      <c r="I558" s="173"/>
    </row>
    <row r="559">
      <c r="G559" s="15"/>
      <c r="I559" s="173"/>
    </row>
    <row r="560">
      <c r="G560" s="15"/>
      <c r="I560" s="173"/>
    </row>
    <row r="561">
      <c r="G561" s="15"/>
      <c r="I561" s="173"/>
    </row>
    <row r="562">
      <c r="G562" s="15"/>
      <c r="I562" s="173"/>
    </row>
    <row r="563">
      <c r="G563" s="15"/>
      <c r="I563" s="173"/>
    </row>
    <row r="564">
      <c r="G564" s="15"/>
      <c r="I564" s="173"/>
    </row>
    <row r="565">
      <c r="G565" s="15"/>
      <c r="I565" s="173"/>
    </row>
    <row r="566">
      <c r="G566" s="15"/>
      <c r="I566" s="173"/>
    </row>
    <row r="567">
      <c r="G567" s="15"/>
      <c r="I567" s="173"/>
    </row>
    <row r="568">
      <c r="G568" s="15"/>
      <c r="I568" s="173"/>
    </row>
    <row r="569">
      <c r="G569" s="15"/>
      <c r="I569" s="173"/>
    </row>
    <row r="570">
      <c r="G570" s="15"/>
      <c r="I570" s="173"/>
    </row>
    <row r="571">
      <c r="G571" s="15"/>
      <c r="I571" s="173"/>
    </row>
    <row r="572">
      <c r="G572" s="15"/>
      <c r="I572" s="173"/>
    </row>
    <row r="573">
      <c r="G573" s="15"/>
      <c r="I573" s="173"/>
    </row>
    <row r="574">
      <c r="G574" s="15"/>
      <c r="I574" s="173"/>
    </row>
    <row r="575">
      <c r="G575" s="15"/>
      <c r="I575" s="173"/>
    </row>
    <row r="576">
      <c r="G576" s="15"/>
      <c r="I576" s="173"/>
    </row>
    <row r="577">
      <c r="G577" s="15"/>
      <c r="I577" s="173"/>
    </row>
    <row r="578">
      <c r="G578" s="15"/>
      <c r="I578" s="173"/>
    </row>
    <row r="579">
      <c r="G579" s="15"/>
      <c r="I579" s="173"/>
    </row>
    <row r="580">
      <c r="G580" s="15"/>
      <c r="I580" s="173"/>
    </row>
    <row r="581">
      <c r="G581" s="15"/>
      <c r="I581" s="173"/>
    </row>
    <row r="582">
      <c r="G582" s="15"/>
      <c r="I582" s="173"/>
    </row>
    <row r="583">
      <c r="G583" s="15"/>
      <c r="I583" s="173"/>
    </row>
    <row r="584">
      <c r="G584" s="15"/>
      <c r="I584" s="173"/>
    </row>
    <row r="585">
      <c r="G585" s="15"/>
      <c r="I585" s="173"/>
    </row>
    <row r="586">
      <c r="G586" s="15"/>
      <c r="I586" s="173"/>
    </row>
    <row r="587">
      <c r="G587" s="15"/>
      <c r="I587" s="173"/>
    </row>
    <row r="588">
      <c r="G588" s="15"/>
      <c r="I588" s="173"/>
    </row>
    <row r="589">
      <c r="G589" s="15"/>
      <c r="I589" s="173"/>
    </row>
    <row r="590">
      <c r="G590" s="15"/>
      <c r="I590" s="173"/>
    </row>
    <row r="591">
      <c r="G591" s="15"/>
      <c r="I591" s="173"/>
    </row>
    <row r="592">
      <c r="G592" s="15"/>
      <c r="I592" s="173"/>
    </row>
    <row r="593">
      <c r="G593" s="15"/>
      <c r="I593" s="173"/>
    </row>
    <row r="594">
      <c r="G594" s="15"/>
      <c r="I594" s="173"/>
    </row>
    <row r="595">
      <c r="G595" s="15"/>
      <c r="I595" s="173"/>
    </row>
    <row r="596">
      <c r="G596" s="15"/>
      <c r="I596" s="173"/>
    </row>
    <row r="597">
      <c r="G597" s="15"/>
      <c r="I597" s="173"/>
    </row>
    <row r="598">
      <c r="G598" s="15"/>
      <c r="I598" s="173"/>
    </row>
    <row r="599">
      <c r="G599" s="15"/>
      <c r="I599" s="173"/>
    </row>
    <row r="600">
      <c r="G600" s="15"/>
      <c r="I600" s="173"/>
    </row>
    <row r="601">
      <c r="G601" s="15"/>
      <c r="I601" s="173"/>
    </row>
    <row r="602">
      <c r="G602" s="15"/>
      <c r="I602" s="173"/>
    </row>
    <row r="603">
      <c r="G603" s="15"/>
      <c r="I603" s="173"/>
    </row>
    <row r="604">
      <c r="G604" s="15"/>
      <c r="I604" s="173"/>
    </row>
    <row r="605">
      <c r="G605" s="15"/>
      <c r="I605" s="173"/>
    </row>
    <row r="606">
      <c r="G606" s="15"/>
      <c r="I606" s="173"/>
    </row>
    <row r="607">
      <c r="G607" s="15"/>
      <c r="I607" s="173"/>
    </row>
    <row r="608">
      <c r="G608" s="15"/>
      <c r="I608" s="173"/>
    </row>
    <row r="609">
      <c r="G609" s="15"/>
      <c r="I609" s="173"/>
    </row>
    <row r="610">
      <c r="G610" s="15"/>
      <c r="I610" s="173"/>
    </row>
    <row r="611">
      <c r="G611" s="15"/>
      <c r="I611" s="173"/>
    </row>
    <row r="612">
      <c r="G612" s="15"/>
      <c r="I612" s="173"/>
    </row>
    <row r="613">
      <c r="G613" s="15"/>
      <c r="I613" s="173"/>
    </row>
    <row r="614">
      <c r="G614" s="15"/>
      <c r="I614" s="173"/>
    </row>
    <row r="615">
      <c r="G615" s="15"/>
      <c r="I615" s="173"/>
    </row>
    <row r="616">
      <c r="G616" s="15"/>
      <c r="I616" s="173"/>
    </row>
    <row r="617">
      <c r="G617" s="15"/>
      <c r="I617" s="173"/>
    </row>
    <row r="618">
      <c r="G618" s="15"/>
      <c r="I618" s="173"/>
    </row>
    <row r="619">
      <c r="G619" s="15"/>
      <c r="I619" s="173"/>
    </row>
    <row r="620">
      <c r="G620" s="15"/>
      <c r="I620" s="173"/>
    </row>
    <row r="621">
      <c r="G621" s="15"/>
      <c r="I621" s="173"/>
    </row>
    <row r="622">
      <c r="G622" s="15"/>
      <c r="I622" s="173"/>
    </row>
    <row r="623">
      <c r="G623" s="15"/>
      <c r="I623" s="173"/>
    </row>
    <row r="624">
      <c r="G624" s="15"/>
      <c r="I624" s="173"/>
    </row>
    <row r="625">
      <c r="G625" s="15"/>
      <c r="I625" s="173"/>
    </row>
    <row r="626">
      <c r="G626" s="15"/>
      <c r="I626" s="173"/>
    </row>
    <row r="627">
      <c r="G627" s="15"/>
      <c r="I627" s="173"/>
    </row>
    <row r="628">
      <c r="G628" s="15"/>
      <c r="I628" s="173"/>
    </row>
    <row r="629">
      <c r="G629" s="15"/>
      <c r="I629" s="173"/>
    </row>
    <row r="630">
      <c r="G630" s="15"/>
      <c r="I630" s="173"/>
    </row>
    <row r="631">
      <c r="G631" s="15"/>
      <c r="I631" s="173"/>
    </row>
    <row r="632">
      <c r="G632" s="15"/>
      <c r="I632" s="173"/>
    </row>
    <row r="633">
      <c r="G633" s="15"/>
      <c r="I633" s="173"/>
    </row>
    <row r="634">
      <c r="G634" s="15"/>
      <c r="I634" s="173"/>
    </row>
    <row r="635">
      <c r="G635" s="15"/>
      <c r="I635" s="173"/>
    </row>
    <row r="636">
      <c r="G636" s="15"/>
      <c r="I636" s="173"/>
    </row>
    <row r="637">
      <c r="G637" s="15"/>
      <c r="I637" s="173"/>
    </row>
    <row r="638">
      <c r="G638" s="15"/>
      <c r="I638" s="173"/>
    </row>
    <row r="639">
      <c r="G639" s="15"/>
      <c r="I639" s="173"/>
    </row>
    <row r="640">
      <c r="G640" s="15"/>
      <c r="I640" s="173"/>
    </row>
    <row r="641">
      <c r="G641" s="15"/>
      <c r="I641" s="173"/>
    </row>
    <row r="642">
      <c r="G642" s="15"/>
      <c r="I642" s="173"/>
    </row>
    <row r="643">
      <c r="G643" s="15"/>
      <c r="I643" s="173"/>
    </row>
    <row r="644">
      <c r="G644" s="15"/>
      <c r="I644" s="173"/>
    </row>
    <row r="645">
      <c r="G645" s="15"/>
      <c r="I645" s="173"/>
    </row>
    <row r="646">
      <c r="G646" s="15"/>
      <c r="I646" s="173"/>
    </row>
    <row r="647">
      <c r="G647" s="15"/>
      <c r="I647" s="173"/>
    </row>
    <row r="648">
      <c r="G648" s="15"/>
      <c r="I648" s="173"/>
    </row>
    <row r="649">
      <c r="G649" s="15"/>
      <c r="I649" s="173"/>
    </row>
    <row r="650">
      <c r="G650" s="15"/>
      <c r="I650" s="173"/>
    </row>
    <row r="651">
      <c r="G651" s="15"/>
      <c r="I651" s="173"/>
    </row>
    <row r="652">
      <c r="G652" s="15"/>
      <c r="I652" s="173"/>
    </row>
    <row r="653">
      <c r="G653" s="15"/>
      <c r="I653" s="173"/>
    </row>
    <row r="654">
      <c r="G654" s="15"/>
      <c r="I654" s="173"/>
    </row>
    <row r="655">
      <c r="G655" s="15"/>
      <c r="I655" s="173"/>
    </row>
    <row r="656">
      <c r="G656" s="15"/>
      <c r="I656" s="173"/>
    </row>
    <row r="657">
      <c r="G657" s="15"/>
      <c r="I657" s="173"/>
    </row>
    <row r="658">
      <c r="G658" s="15"/>
      <c r="I658" s="173"/>
    </row>
    <row r="659">
      <c r="G659" s="15"/>
      <c r="I659" s="173"/>
    </row>
    <row r="660">
      <c r="G660" s="15"/>
      <c r="I660" s="173"/>
    </row>
    <row r="661">
      <c r="G661" s="15"/>
      <c r="I661" s="173"/>
    </row>
    <row r="662">
      <c r="G662" s="15"/>
      <c r="I662" s="173"/>
    </row>
    <row r="663">
      <c r="G663" s="15"/>
      <c r="I663" s="173"/>
    </row>
    <row r="664">
      <c r="G664" s="15"/>
      <c r="I664" s="173"/>
    </row>
    <row r="665">
      <c r="G665" s="15"/>
      <c r="I665" s="173"/>
    </row>
    <row r="666">
      <c r="G666" s="15"/>
      <c r="I666" s="173"/>
    </row>
    <row r="667">
      <c r="G667" s="15"/>
      <c r="I667" s="173"/>
    </row>
    <row r="668">
      <c r="G668" s="15"/>
      <c r="I668" s="173"/>
    </row>
    <row r="669">
      <c r="G669" s="15"/>
      <c r="I669" s="173"/>
    </row>
    <row r="670">
      <c r="G670" s="15"/>
      <c r="I670" s="173"/>
    </row>
    <row r="671">
      <c r="G671" s="15"/>
      <c r="I671" s="173"/>
    </row>
    <row r="672">
      <c r="G672" s="15"/>
      <c r="I672" s="173"/>
    </row>
    <row r="673">
      <c r="G673" s="15"/>
      <c r="I673" s="173"/>
    </row>
    <row r="674">
      <c r="G674" s="15"/>
      <c r="I674" s="173"/>
    </row>
    <row r="675">
      <c r="G675" s="15"/>
      <c r="I675" s="173"/>
    </row>
    <row r="676">
      <c r="G676" s="15"/>
      <c r="I676" s="173"/>
    </row>
    <row r="677">
      <c r="G677" s="15"/>
      <c r="I677" s="173"/>
    </row>
    <row r="678">
      <c r="G678" s="15"/>
      <c r="I678" s="173"/>
    </row>
    <row r="679">
      <c r="G679" s="15"/>
      <c r="I679" s="173"/>
    </row>
    <row r="680">
      <c r="G680" s="15"/>
      <c r="I680" s="173"/>
    </row>
    <row r="681">
      <c r="G681" s="15"/>
      <c r="I681" s="173"/>
    </row>
    <row r="682">
      <c r="G682" s="15"/>
      <c r="I682" s="173"/>
    </row>
    <row r="683">
      <c r="G683" s="15"/>
      <c r="I683" s="173"/>
    </row>
    <row r="684">
      <c r="G684" s="15"/>
      <c r="I684" s="173"/>
    </row>
    <row r="685">
      <c r="G685" s="15"/>
      <c r="I685" s="173"/>
    </row>
    <row r="686">
      <c r="G686" s="15"/>
      <c r="I686" s="173"/>
    </row>
    <row r="687">
      <c r="G687" s="15"/>
      <c r="I687" s="173"/>
    </row>
    <row r="688">
      <c r="G688" s="15"/>
      <c r="I688" s="173"/>
    </row>
    <row r="689">
      <c r="G689" s="15"/>
      <c r="I689" s="173"/>
    </row>
    <row r="690">
      <c r="G690" s="15"/>
      <c r="I690" s="173"/>
    </row>
    <row r="691">
      <c r="G691" s="15"/>
      <c r="I691" s="173"/>
    </row>
    <row r="692">
      <c r="G692" s="15"/>
      <c r="I692" s="173"/>
    </row>
    <row r="693">
      <c r="G693" s="15"/>
      <c r="I693" s="173"/>
    </row>
    <row r="694">
      <c r="G694" s="15"/>
      <c r="I694" s="173"/>
    </row>
    <row r="695">
      <c r="G695" s="15"/>
      <c r="I695" s="173"/>
    </row>
    <row r="696">
      <c r="G696" s="15"/>
      <c r="I696" s="173"/>
    </row>
    <row r="697">
      <c r="G697" s="15"/>
      <c r="I697" s="173"/>
    </row>
    <row r="698">
      <c r="G698" s="15"/>
      <c r="I698" s="173"/>
    </row>
    <row r="699">
      <c r="G699" s="15"/>
      <c r="I699" s="173"/>
    </row>
    <row r="700">
      <c r="G700" s="15"/>
      <c r="I700" s="173"/>
    </row>
    <row r="701">
      <c r="G701" s="15"/>
      <c r="I701" s="173"/>
    </row>
    <row r="702">
      <c r="G702" s="15"/>
      <c r="I702" s="173"/>
    </row>
    <row r="703">
      <c r="G703" s="15"/>
      <c r="I703" s="173"/>
    </row>
    <row r="704">
      <c r="G704" s="15"/>
      <c r="I704" s="173"/>
    </row>
    <row r="705">
      <c r="G705" s="15"/>
      <c r="I705" s="173"/>
    </row>
    <row r="706">
      <c r="G706" s="15"/>
      <c r="I706" s="173"/>
    </row>
    <row r="707">
      <c r="G707" s="15"/>
      <c r="I707" s="173"/>
    </row>
    <row r="708">
      <c r="G708" s="15"/>
      <c r="I708" s="173"/>
    </row>
    <row r="709">
      <c r="G709" s="15"/>
      <c r="I709" s="173"/>
    </row>
    <row r="710">
      <c r="G710" s="15"/>
      <c r="I710" s="173"/>
    </row>
    <row r="711">
      <c r="G711" s="15"/>
      <c r="I711" s="173"/>
    </row>
    <row r="712">
      <c r="G712" s="15"/>
      <c r="I712" s="173"/>
    </row>
    <row r="713">
      <c r="G713" s="15"/>
      <c r="I713" s="173"/>
    </row>
    <row r="714">
      <c r="G714" s="15"/>
      <c r="I714" s="173"/>
    </row>
    <row r="715">
      <c r="G715" s="15"/>
      <c r="I715" s="173"/>
    </row>
    <row r="716">
      <c r="G716" s="15"/>
      <c r="I716" s="173"/>
    </row>
    <row r="717">
      <c r="G717" s="15"/>
      <c r="I717" s="173"/>
    </row>
    <row r="718">
      <c r="G718" s="15"/>
      <c r="I718" s="173"/>
    </row>
    <row r="719">
      <c r="G719" s="15"/>
      <c r="I719" s="173"/>
    </row>
    <row r="720">
      <c r="G720" s="15"/>
      <c r="I720" s="173"/>
    </row>
    <row r="721">
      <c r="G721" s="15"/>
      <c r="I721" s="173"/>
    </row>
    <row r="722">
      <c r="G722" s="15"/>
      <c r="I722" s="173"/>
    </row>
    <row r="723">
      <c r="G723" s="15"/>
      <c r="I723" s="173"/>
    </row>
    <row r="724">
      <c r="G724" s="15"/>
      <c r="I724" s="173"/>
    </row>
    <row r="725">
      <c r="G725" s="15"/>
      <c r="I725" s="173"/>
    </row>
    <row r="726">
      <c r="G726" s="15"/>
      <c r="I726" s="173"/>
    </row>
    <row r="727">
      <c r="G727" s="15"/>
      <c r="I727" s="173"/>
    </row>
    <row r="728">
      <c r="G728" s="15"/>
      <c r="I728" s="173"/>
    </row>
    <row r="729">
      <c r="G729" s="15"/>
      <c r="I729" s="173"/>
    </row>
    <row r="730">
      <c r="G730" s="15"/>
      <c r="I730" s="173"/>
    </row>
    <row r="731">
      <c r="G731" s="15"/>
      <c r="I731" s="173"/>
    </row>
    <row r="732">
      <c r="G732" s="15"/>
      <c r="I732" s="173"/>
    </row>
    <row r="733">
      <c r="G733" s="15"/>
      <c r="I733" s="173"/>
    </row>
    <row r="734">
      <c r="G734" s="15"/>
      <c r="I734" s="173"/>
    </row>
    <row r="735">
      <c r="G735" s="15"/>
      <c r="I735" s="173"/>
    </row>
    <row r="736">
      <c r="G736" s="15"/>
      <c r="I736" s="173"/>
    </row>
    <row r="737">
      <c r="G737" s="15"/>
      <c r="I737" s="173"/>
    </row>
    <row r="738">
      <c r="G738" s="15"/>
      <c r="I738" s="173"/>
    </row>
    <row r="739">
      <c r="G739" s="15"/>
      <c r="I739" s="173"/>
    </row>
    <row r="740">
      <c r="G740" s="15"/>
      <c r="I740" s="173"/>
    </row>
    <row r="741">
      <c r="G741" s="15"/>
      <c r="I741" s="173"/>
    </row>
    <row r="742">
      <c r="G742" s="15"/>
      <c r="I742" s="173"/>
    </row>
    <row r="743">
      <c r="G743" s="15"/>
      <c r="I743" s="173"/>
    </row>
    <row r="744">
      <c r="G744" s="15"/>
      <c r="I744" s="173"/>
    </row>
    <row r="745">
      <c r="G745" s="15"/>
      <c r="I745" s="173"/>
    </row>
    <row r="746">
      <c r="G746" s="15"/>
      <c r="I746" s="173"/>
    </row>
    <row r="747">
      <c r="G747" s="15"/>
      <c r="I747" s="173"/>
    </row>
    <row r="748">
      <c r="G748" s="15"/>
      <c r="I748" s="173"/>
    </row>
    <row r="749">
      <c r="G749" s="15"/>
      <c r="I749" s="173"/>
    </row>
    <row r="750">
      <c r="G750" s="15"/>
      <c r="I750" s="173"/>
    </row>
    <row r="751">
      <c r="G751" s="15"/>
      <c r="I751" s="173"/>
    </row>
    <row r="752">
      <c r="G752" s="15"/>
      <c r="I752" s="173"/>
    </row>
    <row r="753">
      <c r="G753" s="15"/>
      <c r="I753" s="173"/>
    </row>
    <row r="754">
      <c r="G754" s="15"/>
      <c r="I754" s="173"/>
    </row>
    <row r="755">
      <c r="G755" s="15"/>
      <c r="I755" s="173"/>
    </row>
    <row r="756">
      <c r="G756" s="15"/>
      <c r="I756" s="173"/>
    </row>
    <row r="757">
      <c r="G757" s="15"/>
      <c r="I757" s="173"/>
    </row>
    <row r="758">
      <c r="G758" s="15"/>
      <c r="I758" s="173"/>
    </row>
    <row r="759">
      <c r="G759" s="15"/>
      <c r="I759" s="173"/>
    </row>
    <row r="760">
      <c r="G760" s="15"/>
      <c r="I760" s="173"/>
    </row>
    <row r="761">
      <c r="G761" s="15"/>
      <c r="I761" s="173"/>
    </row>
    <row r="762">
      <c r="G762" s="15"/>
      <c r="I762" s="173"/>
    </row>
    <row r="763">
      <c r="G763" s="15"/>
      <c r="I763" s="173"/>
    </row>
    <row r="764">
      <c r="G764" s="15"/>
      <c r="I764" s="173"/>
    </row>
    <row r="765">
      <c r="G765" s="15"/>
      <c r="I765" s="173"/>
    </row>
    <row r="766">
      <c r="G766" s="15"/>
      <c r="I766" s="173"/>
    </row>
    <row r="767">
      <c r="G767" s="15"/>
      <c r="I767" s="173"/>
    </row>
    <row r="768">
      <c r="G768" s="15"/>
      <c r="I768" s="173"/>
    </row>
    <row r="769">
      <c r="G769" s="15"/>
      <c r="I769" s="173"/>
    </row>
    <row r="770">
      <c r="G770" s="15"/>
      <c r="I770" s="173"/>
    </row>
    <row r="771">
      <c r="G771" s="15"/>
      <c r="I771" s="173"/>
    </row>
    <row r="772">
      <c r="G772" s="15"/>
      <c r="I772" s="173"/>
    </row>
    <row r="773">
      <c r="G773" s="15"/>
      <c r="I773" s="173"/>
    </row>
    <row r="774">
      <c r="G774" s="15"/>
      <c r="I774" s="173"/>
    </row>
    <row r="775">
      <c r="G775" s="15"/>
      <c r="I775" s="173"/>
    </row>
    <row r="776">
      <c r="G776" s="15"/>
      <c r="I776" s="173"/>
    </row>
    <row r="777">
      <c r="G777" s="15"/>
      <c r="I777" s="173"/>
    </row>
    <row r="778">
      <c r="G778" s="15"/>
      <c r="I778" s="173"/>
    </row>
    <row r="779">
      <c r="G779" s="15"/>
      <c r="I779" s="173"/>
    </row>
    <row r="780">
      <c r="G780" s="15"/>
      <c r="I780" s="173"/>
    </row>
    <row r="781">
      <c r="G781" s="15"/>
      <c r="I781" s="173"/>
    </row>
    <row r="782">
      <c r="G782" s="15"/>
      <c r="I782" s="173"/>
    </row>
    <row r="783">
      <c r="G783" s="15"/>
      <c r="I783" s="173"/>
    </row>
    <row r="784">
      <c r="G784" s="15"/>
      <c r="I784" s="173"/>
    </row>
    <row r="785">
      <c r="G785" s="15"/>
      <c r="I785" s="173"/>
    </row>
    <row r="786">
      <c r="G786" s="15"/>
      <c r="I786" s="173"/>
    </row>
    <row r="787">
      <c r="G787" s="15"/>
      <c r="I787" s="173"/>
    </row>
    <row r="788">
      <c r="G788" s="15"/>
      <c r="I788" s="173"/>
    </row>
    <row r="789">
      <c r="G789" s="15"/>
      <c r="I789" s="173"/>
    </row>
    <row r="790">
      <c r="G790" s="15"/>
      <c r="I790" s="173"/>
    </row>
    <row r="791">
      <c r="G791" s="15"/>
      <c r="I791" s="173"/>
    </row>
    <row r="792">
      <c r="G792" s="15"/>
      <c r="I792" s="173"/>
    </row>
    <row r="793">
      <c r="G793" s="15"/>
      <c r="I793" s="173"/>
    </row>
    <row r="794">
      <c r="G794" s="15"/>
      <c r="I794" s="173"/>
    </row>
    <row r="795">
      <c r="G795" s="15"/>
      <c r="I795" s="173"/>
    </row>
    <row r="796">
      <c r="G796" s="15"/>
      <c r="I796" s="173"/>
    </row>
    <row r="797">
      <c r="G797" s="15"/>
      <c r="I797" s="173"/>
    </row>
    <row r="798">
      <c r="G798" s="15"/>
      <c r="I798" s="173"/>
    </row>
    <row r="799">
      <c r="G799" s="15"/>
      <c r="I799" s="173"/>
    </row>
    <row r="800">
      <c r="G800" s="15"/>
      <c r="I800" s="173"/>
    </row>
    <row r="801">
      <c r="G801" s="15"/>
      <c r="I801" s="173"/>
    </row>
    <row r="802">
      <c r="G802" s="15"/>
      <c r="I802" s="173"/>
    </row>
    <row r="803">
      <c r="G803" s="15"/>
      <c r="I803" s="173"/>
    </row>
    <row r="804">
      <c r="G804" s="15"/>
      <c r="I804" s="173"/>
    </row>
    <row r="805">
      <c r="G805" s="15"/>
      <c r="I805" s="173"/>
    </row>
    <row r="806">
      <c r="G806" s="15"/>
      <c r="I806" s="173"/>
    </row>
    <row r="807">
      <c r="G807" s="15"/>
      <c r="I807" s="173"/>
    </row>
    <row r="808">
      <c r="G808" s="15"/>
      <c r="I808" s="173"/>
    </row>
    <row r="809">
      <c r="G809" s="15"/>
      <c r="I809" s="173"/>
    </row>
    <row r="810">
      <c r="G810" s="15"/>
      <c r="I810" s="173"/>
    </row>
    <row r="811">
      <c r="G811" s="15"/>
      <c r="I811" s="173"/>
    </row>
    <row r="812">
      <c r="G812" s="15"/>
      <c r="I812" s="173"/>
    </row>
    <row r="813">
      <c r="G813" s="15"/>
      <c r="I813" s="173"/>
    </row>
    <row r="814">
      <c r="G814" s="15"/>
      <c r="I814" s="173"/>
    </row>
    <row r="815">
      <c r="G815" s="15"/>
      <c r="I815" s="173"/>
    </row>
    <row r="816">
      <c r="G816" s="15"/>
      <c r="I816" s="173"/>
    </row>
    <row r="817">
      <c r="G817" s="15"/>
      <c r="I817" s="173"/>
    </row>
    <row r="818">
      <c r="G818" s="15"/>
      <c r="I818" s="173"/>
    </row>
    <row r="819">
      <c r="G819" s="15"/>
      <c r="I819" s="173"/>
    </row>
    <row r="820">
      <c r="G820" s="15"/>
      <c r="I820" s="173"/>
    </row>
    <row r="821">
      <c r="G821" s="15"/>
      <c r="I821" s="173"/>
    </row>
    <row r="822">
      <c r="G822" s="15"/>
      <c r="I822" s="173"/>
    </row>
    <row r="823">
      <c r="G823" s="15"/>
      <c r="I823" s="173"/>
    </row>
    <row r="824">
      <c r="G824" s="15"/>
      <c r="I824" s="173"/>
    </row>
    <row r="825">
      <c r="G825" s="15"/>
      <c r="I825" s="173"/>
    </row>
    <row r="826">
      <c r="G826" s="15"/>
      <c r="I826" s="173"/>
    </row>
    <row r="827">
      <c r="G827" s="15"/>
      <c r="I827" s="173"/>
    </row>
    <row r="828">
      <c r="G828" s="15"/>
      <c r="I828" s="173"/>
    </row>
    <row r="829">
      <c r="G829" s="15"/>
      <c r="I829" s="173"/>
    </row>
    <row r="830">
      <c r="G830" s="15"/>
      <c r="I830" s="173"/>
    </row>
    <row r="831">
      <c r="G831" s="15"/>
      <c r="I831" s="173"/>
    </row>
    <row r="832">
      <c r="G832" s="15"/>
      <c r="I832" s="173"/>
    </row>
    <row r="833">
      <c r="G833" s="15"/>
      <c r="I833" s="173"/>
    </row>
    <row r="834">
      <c r="G834" s="15"/>
      <c r="I834" s="173"/>
    </row>
    <row r="835">
      <c r="G835" s="15"/>
      <c r="I835" s="173"/>
    </row>
    <row r="836">
      <c r="G836" s="15"/>
      <c r="I836" s="173"/>
    </row>
    <row r="837">
      <c r="G837" s="15"/>
      <c r="I837" s="173"/>
    </row>
    <row r="838">
      <c r="G838" s="15"/>
      <c r="I838" s="173"/>
    </row>
    <row r="839">
      <c r="G839" s="15"/>
      <c r="I839" s="173"/>
    </row>
    <row r="840">
      <c r="G840" s="15"/>
      <c r="I840" s="173"/>
    </row>
    <row r="841">
      <c r="G841" s="15"/>
      <c r="I841" s="173"/>
    </row>
    <row r="842">
      <c r="G842" s="15"/>
      <c r="I842" s="173"/>
    </row>
    <row r="843">
      <c r="G843" s="15"/>
      <c r="I843" s="173"/>
    </row>
    <row r="844">
      <c r="G844" s="15"/>
      <c r="I844" s="173"/>
    </row>
    <row r="845">
      <c r="G845" s="15"/>
      <c r="I845" s="173"/>
    </row>
    <row r="846">
      <c r="G846" s="15"/>
      <c r="I846" s="173"/>
    </row>
    <row r="847">
      <c r="G847" s="15"/>
      <c r="I847" s="173"/>
    </row>
    <row r="848">
      <c r="G848" s="15"/>
      <c r="I848" s="173"/>
    </row>
    <row r="849">
      <c r="G849" s="15"/>
      <c r="I849" s="173"/>
    </row>
    <row r="850">
      <c r="G850" s="15"/>
      <c r="I850" s="173"/>
    </row>
    <row r="851">
      <c r="G851" s="15"/>
      <c r="I851" s="173"/>
    </row>
    <row r="852">
      <c r="G852" s="15"/>
      <c r="I852" s="173"/>
    </row>
    <row r="853">
      <c r="G853" s="15"/>
      <c r="I853" s="173"/>
    </row>
    <row r="854">
      <c r="G854" s="15"/>
      <c r="I854" s="173"/>
    </row>
    <row r="855">
      <c r="G855" s="15"/>
      <c r="I855" s="173"/>
    </row>
    <row r="856">
      <c r="G856" s="15"/>
      <c r="I856" s="173"/>
    </row>
    <row r="857">
      <c r="G857" s="15"/>
      <c r="I857" s="173"/>
    </row>
    <row r="858">
      <c r="G858" s="15"/>
      <c r="I858" s="173"/>
    </row>
    <row r="859">
      <c r="G859" s="15"/>
      <c r="I859" s="173"/>
    </row>
    <row r="860">
      <c r="G860" s="15"/>
      <c r="I860" s="173"/>
    </row>
    <row r="861">
      <c r="G861" s="15"/>
      <c r="I861" s="173"/>
    </row>
    <row r="862">
      <c r="G862" s="15"/>
      <c r="I862" s="173"/>
    </row>
    <row r="863">
      <c r="G863" s="15"/>
      <c r="I863" s="173"/>
    </row>
    <row r="864">
      <c r="G864" s="15"/>
      <c r="I864" s="173"/>
    </row>
    <row r="865">
      <c r="G865" s="15"/>
      <c r="I865" s="173"/>
    </row>
    <row r="866">
      <c r="G866" s="15"/>
      <c r="I866" s="173"/>
    </row>
    <row r="867">
      <c r="G867" s="15"/>
      <c r="I867" s="173"/>
    </row>
    <row r="868">
      <c r="G868" s="15"/>
      <c r="I868" s="173"/>
    </row>
    <row r="869">
      <c r="G869" s="15"/>
      <c r="I869" s="173"/>
    </row>
    <row r="870">
      <c r="G870" s="15"/>
      <c r="I870" s="173"/>
    </row>
    <row r="871">
      <c r="G871" s="15"/>
      <c r="I871" s="173"/>
    </row>
    <row r="872">
      <c r="G872" s="15"/>
      <c r="I872" s="173"/>
    </row>
    <row r="873">
      <c r="G873" s="15"/>
      <c r="I873" s="173"/>
    </row>
    <row r="874">
      <c r="G874" s="15"/>
      <c r="I874" s="173"/>
    </row>
    <row r="875">
      <c r="G875" s="15"/>
      <c r="I875" s="173"/>
    </row>
    <row r="876">
      <c r="G876" s="15"/>
      <c r="I876" s="173"/>
    </row>
    <row r="877">
      <c r="G877" s="15"/>
      <c r="I877" s="173"/>
    </row>
    <row r="878">
      <c r="G878" s="15"/>
      <c r="I878" s="173"/>
    </row>
    <row r="879">
      <c r="G879" s="15"/>
      <c r="I879" s="173"/>
    </row>
    <row r="880">
      <c r="G880" s="15"/>
      <c r="I880" s="173"/>
    </row>
    <row r="881">
      <c r="G881" s="15"/>
      <c r="I881" s="173"/>
    </row>
    <row r="882">
      <c r="G882" s="15"/>
      <c r="I882" s="173"/>
    </row>
    <row r="883">
      <c r="G883" s="15"/>
      <c r="I883" s="173"/>
    </row>
    <row r="884">
      <c r="G884" s="15"/>
      <c r="I884" s="173"/>
    </row>
    <row r="885">
      <c r="G885" s="15"/>
      <c r="I885" s="173"/>
    </row>
    <row r="886">
      <c r="G886" s="15"/>
      <c r="I886" s="173"/>
    </row>
    <row r="887">
      <c r="G887" s="15"/>
      <c r="I887" s="173"/>
    </row>
    <row r="888">
      <c r="G888" s="15"/>
      <c r="I888" s="173"/>
    </row>
    <row r="889">
      <c r="G889" s="15"/>
      <c r="I889" s="173"/>
    </row>
    <row r="890">
      <c r="G890" s="15"/>
      <c r="I890" s="173"/>
    </row>
    <row r="891">
      <c r="G891" s="15"/>
      <c r="I891" s="173"/>
    </row>
    <row r="892">
      <c r="G892" s="15"/>
      <c r="I892" s="173"/>
    </row>
    <row r="893">
      <c r="G893" s="15"/>
      <c r="I893" s="173"/>
    </row>
    <row r="894">
      <c r="G894" s="15"/>
      <c r="I894" s="173"/>
    </row>
    <row r="895">
      <c r="G895" s="15"/>
      <c r="I895" s="173"/>
    </row>
    <row r="896">
      <c r="G896" s="15"/>
      <c r="I896" s="173"/>
    </row>
    <row r="897">
      <c r="G897" s="15"/>
      <c r="I897" s="173"/>
    </row>
    <row r="898">
      <c r="G898" s="15"/>
      <c r="I898" s="173"/>
    </row>
    <row r="899">
      <c r="G899" s="15"/>
      <c r="I899" s="173"/>
    </row>
    <row r="900">
      <c r="G900" s="15"/>
      <c r="I900" s="173"/>
    </row>
    <row r="901">
      <c r="G901" s="15"/>
      <c r="I901" s="173"/>
    </row>
    <row r="902">
      <c r="G902" s="15"/>
      <c r="I902" s="173"/>
    </row>
    <row r="903">
      <c r="G903" s="15"/>
      <c r="I903" s="173"/>
    </row>
    <row r="904">
      <c r="G904" s="15"/>
      <c r="I904" s="173"/>
    </row>
    <row r="905">
      <c r="G905" s="15"/>
      <c r="I905" s="173"/>
    </row>
    <row r="906">
      <c r="G906" s="15"/>
      <c r="I906" s="173"/>
    </row>
    <row r="907">
      <c r="G907" s="15"/>
      <c r="I907" s="173"/>
    </row>
    <row r="908">
      <c r="G908" s="15"/>
      <c r="I908" s="173"/>
    </row>
    <row r="909">
      <c r="G909" s="15"/>
      <c r="I909" s="173"/>
    </row>
    <row r="910">
      <c r="G910" s="15"/>
      <c r="I910" s="173"/>
    </row>
    <row r="911">
      <c r="G911" s="15"/>
      <c r="I911" s="173"/>
    </row>
    <row r="912">
      <c r="G912" s="15"/>
      <c r="I912" s="173"/>
    </row>
    <row r="913">
      <c r="G913" s="15"/>
      <c r="I913" s="173"/>
    </row>
    <row r="914">
      <c r="G914" s="15"/>
      <c r="I914" s="173"/>
    </row>
    <row r="915">
      <c r="G915" s="15"/>
      <c r="I915" s="173"/>
    </row>
    <row r="916">
      <c r="G916" s="15"/>
      <c r="I916" s="173"/>
    </row>
    <row r="917">
      <c r="G917" s="15"/>
      <c r="I917" s="173"/>
    </row>
    <row r="918">
      <c r="G918" s="15"/>
      <c r="I918" s="173"/>
    </row>
    <row r="919">
      <c r="G919" s="15"/>
      <c r="I919" s="173"/>
    </row>
    <row r="920">
      <c r="G920" s="15"/>
      <c r="I920" s="173"/>
    </row>
    <row r="921">
      <c r="G921" s="15"/>
      <c r="I921" s="173"/>
    </row>
    <row r="922">
      <c r="G922" s="15"/>
      <c r="I922" s="173"/>
    </row>
    <row r="923">
      <c r="G923" s="15"/>
      <c r="I923" s="173"/>
    </row>
    <row r="924">
      <c r="G924" s="15"/>
      <c r="I924" s="173"/>
    </row>
    <row r="925">
      <c r="G925" s="15"/>
      <c r="I925" s="173"/>
    </row>
    <row r="926">
      <c r="G926" s="15"/>
      <c r="I926" s="173"/>
    </row>
    <row r="927">
      <c r="G927" s="15"/>
      <c r="I927" s="173"/>
    </row>
    <row r="928">
      <c r="G928" s="15"/>
      <c r="I928" s="173"/>
    </row>
    <row r="929">
      <c r="G929" s="15"/>
      <c r="I929" s="173"/>
    </row>
    <row r="930">
      <c r="G930" s="15"/>
      <c r="I930" s="173"/>
    </row>
    <row r="931">
      <c r="G931" s="15"/>
      <c r="I931" s="173"/>
    </row>
    <row r="932">
      <c r="G932" s="15"/>
      <c r="I932" s="173"/>
    </row>
    <row r="933">
      <c r="G933" s="15"/>
      <c r="I933" s="173"/>
    </row>
    <row r="934">
      <c r="G934" s="15"/>
      <c r="I934" s="173"/>
    </row>
    <row r="935">
      <c r="G935" s="15"/>
      <c r="I935" s="173"/>
    </row>
    <row r="936">
      <c r="G936" s="15"/>
      <c r="I936" s="173"/>
    </row>
    <row r="937">
      <c r="G937" s="15"/>
      <c r="I937" s="173"/>
    </row>
    <row r="938">
      <c r="G938" s="15"/>
      <c r="I938" s="173"/>
    </row>
    <row r="939">
      <c r="G939" s="15"/>
      <c r="I939" s="173"/>
    </row>
    <row r="940">
      <c r="G940" s="15"/>
      <c r="I940" s="173"/>
    </row>
    <row r="941">
      <c r="G941" s="15"/>
      <c r="I941" s="173"/>
    </row>
    <row r="942">
      <c r="G942" s="15"/>
      <c r="I942" s="173"/>
    </row>
    <row r="943">
      <c r="G943" s="15"/>
      <c r="I943" s="173"/>
    </row>
    <row r="944">
      <c r="G944" s="15"/>
      <c r="I944" s="173"/>
    </row>
    <row r="945">
      <c r="G945" s="15"/>
      <c r="I945" s="173"/>
    </row>
    <row r="946">
      <c r="G946" s="15"/>
      <c r="I946" s="173"/>
    </row>
    <row r="947">
      <c r="G947" s="15"/>
      <c r="I947" s="173"/>
    </row>
    <row r="948">
      <c r="G948" s="15"/>
      <c r="I948" s="173"/>
    </row>
    <row r="949">
      <c r="G949" s="15"/>
      <c r="I949" s="173"/>
    </row>
    <row r="950">
      <c r="G950" s="15"/>
      <c r="I950" s="173"/>
    </row>
    <row r="951">
      <c r="G951" s="15"/>
      <c r="I951" s="173"/>
    </row>
    <row r="952">
      <c r="G952" s="15"/>
      <c r="I952" s="173"/>
    </row>
    <row r="953">
      <c r="G953" s="15"/>
      <c r="I953" s="173"/>
    </row>
    <row r="954">
      <c r="G954" s="15"/>
      <c r="I954" s="173"/>
    </row>
    <row r="955">
      <c r="G955" s="15"/>
      <c r="I955" s="173"/>
    </row>
    <row r="956">
      <c r="G956" s="15"/>
      <c r="I956" s="173"/>
    </row>
    <row r="957">
      <c r="G957" s="15"/>
      <c r="I957" s="173"/>
    </row>
    <row r="958">
      <c r="G958" s="15"/>
      <c r="I958" s="173"/>
    </row>
    <row r="959">
      <c r="G959" s="15"/>
      <c r="I959" s="173"/>
    </row>
    <row r="960">
      <c r="G960" s="15"/>
      <c r="I960" s="173"/>
    </row>
    <row r="961">
      <c r="G961" s="15"/>
      <c r="I961" s="173"/>
    </row>
    <row r="962">
      <c r="G962" s="15"/>
      <c r="I962" s="173"/>
    </row>
    <row r="963">
      <c r="G963" s="15"/>
      <c r="I963" s="173"/>
    </row>
    <row r="964">
      <c r="G964" s="15"/>
      <c r="I964" s="173"/>
    </row>
    <row r="965">
      <c r="G965" s="15"/>
      <c r="I965" s="173"/>
    </row>
    <row r="966">
      <c r="G966" s="15"/>
      <c r="I966" s="173"/>
    </row>
    <row r="967">
      <c r="G967" s="15"/>
      <c r="I967" s="173"/>
    </row>
    <row r="968">
      <c r="G968" s="15"/>
      <c r="I968" s="173"/>
    </row>
    <row r="969">
      <c r="G969" s="15"/>
      <c r="I969" s="173"/>
    </row>
    <row r="970">
      <c r="G970" s="15"/>
      <c r="I970" s="173"/>
    </row>
    <row r="971">
      <c r="G971" s="15"/>
      <c r="I971" s="173"/>
    </row>
    <row r="972">
      <c r="G972" s="15"/>
      <c r="I972" s="173"/>
    </row>
    <row r="973">
      <c r="G973" s="15"/>
      <c r="I973" s="173"/>
    </row>
    <row r="974">
      <c r="G974" s="15"/>
      <c r="I974" s="173"/>
    </row>
    <row r="975">
      <c r="G975" s="15"/>
      <c r="I975" s="173"/>
    </row>
    <row r="976">
      <c r="G976" s="15"/>
      <c r="I976" s="173"/>
    </row>
    <row r="977">
      <c r="G977" s="15"/>
      <c r="I977" s="173"/>
    </row>
    <row r="978">
      <c r="G978" s="15"/>
      <c r="I978" s="173"/>
    </row>
    <row r="979">
      <c r="G979" s="15"/>
      <c r="I979" s="173"/>
    </row>
    <row r="980">
      <c r="G980" s="15"/>
      <c r="I980" s="173"/>
    </row>
    <row r="981">
      <c r="G981" s="15"/>
      <c r="I981" s="173"/>
    </row>
    <row r="982">
      <c r="G982" s="15"/>
      <c r="I982" s="173"/>
    </row>
    <row r="983">
      <c r="G983" s="15"/>
      <c r="I983" s="173"/>
    </row>
    <row r="984">
      <c r="G984" s="15"/>
      <c r="I984" s="173"/>
    </row>
    <row r="985">
      <c r="G985" s="15"/>
      <c r="I985" s="173"/>
    </row>
    <row r="986">
      <c r="G986" s="15"/>
      <c r="I986" s="173"/>
    </row>
    <row r="987">
      <c r="G987" s="15"/>
      <c r="I987" s="173"/>
    </row>
    <row r="988">
      <c r="G988" s="15"/>
      <c r="I988" s="173"/>
    </row>
    <row r="989">
      <c r="G989" s="15"/>
      <c r="I989" s="173"/>
    </row>
    <row r="990">
      <c r="G990" s="15"/>
      <c r="I990" s="173"/>
    </row>
    <row r="991">
      <c r="G991" s="15"/>
      <c r="I991" s="173"/>
    </row>
    <row r="992">
      <c r="G992" s="15"/>
      <c r="I992" s="173"/>
    </row>
    <row r="993">
      <c r="G993" s="15"/>
      <c r="I993" s="173"/>
    </row>
    <row r="994">
      <c r="G994" s="15"/>
      <c r="I994" s="173"/>
    </row>
    <row r="995">
      <c r="G995" s="15"/>
      <c r="I995" s="173"/>
    </row>
    <row r="996">
      <c r="G996" s="15"/>
      <c r="I996" s="173"/>
    </row>
    <row r="997">
      <c r="G997" s="15"/>
      <c r="I997" s="173"/>
    </row>
    <row r="998">
      <c r="G998" s="15"/>
      <c r="I998" s="173"/>
    </row>
    <row r="999">
      <c r="G999" s="15"/>
      <c r="I999" s="173"/>
    </row>
    <row r="1000">
      <c r="G1000" s="15"/>
      <c r="I1000" s="173"/>
    </row>
  </sheetData>
  <mergeCells count="2">
    <mergeCell ref="J2:J20"/>
    <mergeCell ref="K2:K20"/>
  </mergeCells>
  <conditionalFormatting sqref="I2 I4 I6 I8 I10 I12 I14 I16 I18 I20">
    <cfRule type="expression" dxfId="5" priority="1">
      <formula>I2=$B$23</formula>
    </cfRule>
  </conditionalFormatting>
  <dataValidations>
    <dataValidation type="list" allowBlank="1" sqref="B23">
      <formula1>'Lineup Sheet'!$I$2:$I$20</formula1>
    </dataValidation>
  </dataValidation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outlinePr summaryBelow="0" summaryRight="0"/>
  </sheetPr>
  <sheetViews>
    <sheetView workbookViewId="0"/>
  </sheetViews>
  <sheetFormatPr customHeight="1" defaultColWidth="12.63" defaultRowHeight="15.75"/>
  <cols>
    <col customWidth="1" min="1" max="1" width="7.13"/>
    <col customWidth="1" min="2" max="2" width="22.13"/>
    <col customWidth="1" min="3" max="3" width="5.75"/>
    <col customWidth="1" min="4" max="5" width="7.88"/>
    <col customWidth="1" min="6" max="6" width="6.38"/>
    <col customWidth="1" min="7" max="7" width="9.75"/>
    <col customWidth="1" min="8" max="15" width="5.0"/>
    <col customWidth="1" min="16" max="16" width="8.13"/>
    <col customWidth="1" min="17" max="17" width="9.5"/>
    <col customWidth="1" min="18" max="18" width="6.38"/>
    <col customWidth="1" min="19" max="19" width="8.38"/>
    <col customWidth="1" min="20" max="20" width="10.25"/>
    <col customWidth="1" min="21" max="21" width="14.0"/>
    <col customWidth="1" min="22" max="22" width="9.88"/>
    <col customWidth="1" min="23" max="23" width="9.38"/>
    <col customWidth="1" min="28" max="28" width="3.63"/>
    <col customWidth="1" min="29" max="29" width="5.63"/>
    <col customWidth="1" min="30" max="30" width="12.63"/>
    <col customWidth="1" min="31" max="31" width="22.88"/>
    <col customWidth="1" hidden="1" min="32" max="32" width="12.88"/>
    <col customWidth="1" hidden="1" min="33" max="33" width="11.88"/>
    <col customWidth="1" hidden="1" min="34" max="34" width="16.75"/>
    <col customWidth="1" hidden="1" min="35" max="35" width="17.38"/>
    <col customWidth="1" hidden="1" min="36" max="36" width="9.5"/>
    <col customWidth="1" hidden="1" min="37" max="37" width="8.75"/>
    <col customWidth="1" hidden="1" min="38" max="38" width="6.25"/>
    <col customWidth="1" hidden="1" min="39" max="39" width="6.38"/>
    <col customWidth="1" min="40" max="40" width="6.75"/>
    <col customWidth="1" hidden="1" min="41" max="41" width="5.88"/>
    <col customWidth="1" min="43" max="43" width="7.13"/>
    <col customWidth="1" min="44" max="44" width="8.38"/>
    <col customWidth="1" hidden="1" min="45" max="45" width="6.25"/>
    <col customWidth="1" hidden="1" min="46" max="46" width="8.13"/>
    <col customWidth="1" min="47" max="47" width="9.13"/>
  </cols>
  <sheetData>
    <row r="1">
      <c r="A1" s="16" t="str">
        <f>if('Depth Chart'!AW2,SbaPlayerImport(13),"imports not enabled on Depth Chart tab...")</f>
        <v>player id</v>
      </c>
      <c r="B1" s="16" t="s">
        <v>132</v>
      </c>
      <c r="C1" s="16" t="s">
        <v>2</v>
      </c>
      <c r="D1" s="16" t="s">
        <v>133</v>
      </c>
      <c r="E1" s="16" t="s">
        <v>134</v>
      </c>
      <c r="F1" s="16" t="s">
        <v>135</v>
      </c>
      <c r="G1" s="16" t="s">
        <v>136</v>
      </c>
      <c r="H1" s="16" t="s">
        <v>137</v>
      </c>
      <c r="I1" s="16" t="s">
        <v>138</v>
      </c>
      <c r="J1" s="16" t="s">
        <v>139</v>
      </c>
      <c r="K1" s="16" t="s">
        <v>140</v>
      </c>
      <c r="L1" s="16" t="s">
        <v>141</v>
      </c>
      <c r="M1" s="16" t="s">
        <v>142</v>
      </c>
      <c r="N1" s="16" t="s">
        <v>143</v>
      </c>
      <c r="O1" s="16" t="s">
        <v>144</v>
      </c>
      <c r="P1" s="16" t="s">
        <v>145</v>
      </c>
      <c r="Q1" s="16" t="s">
        <v>146</v>
      </c>
      <c r="R1" s="16" t="s">
        <v>147</v>
      </c>
      <c r="S1" s="16" t="s">
        <v>148</v>
      </c>
      <c r="T1" s="16" t="s">
        <v>149</v>
      </c>
      <c r="U1" s="16" t="s">
        <v>150</v>
      </c>
      <c r="V1" s="16" t="s">
        <v>151</v>
      </c>
      <c r="W1" s="16" t="s">
        <v>152</v>
      </c>
      <c r="X1" s="100" t="s">
        <v>153</v>
      </c>
      <c r="Y1" s="100"/>
      <c r="Z1" s="100" t="s">
        <v>154</v>
      </c>
      <c r="AB1" s="16" t="str">
        <f>SbaApiImport("teams","season=13&amp;active_only=true")</f>
        <v>id</v>
      </c>
      <c r="AC1" s="16" t="s">
        <v>155</v>
      </c>
      <c r="AD1" s="16" t="s">
        <v>156</v>
      </c>
      <c r="AE1" s="16" t="s">
        <v>157</v>
      </c>
      <c r="AF1" s="16" t="s">
        <v>158</v>
      </c>
      <c r="AG1" s="16" t="s">
        <v>159</v>
      </c>
      <c r="AH1" s="16" t="s">
        <v>160</v>
      </c>
      <c r="AI1" s="16" t="s">
        <v>161</v>
      </c>
      <c r="AJ1" s="16" t="s">
        <v>162</v>
      </c>
      <c r="AK1" s="16" t="s">
        <v>163</v>
      </c>
      <c r="AL1" s="16" t="s">
        <v>164</v>
      </c>
      <c r="AM1" s="16" t="s">
        <v>165</v>
      </c>
      <c r="AN1" s="16" t="s">
        <v>166</v>
      </c>
      <c r="AO1" s="16" t="s">
        <v>167</v>
      </c>
      <c r="AP1" s="16" t="s">
        <v>168</v>
      </c>
      <c r="AQ1" s="16" t="s">
        <v>169</v>
      </c>
      <c r="AR1" s="16" t="s">
        <v>170</v>
      </c>
      <c r="AS1" s="16" t="s">
        <v>171</v>
      </c>
      <c r="AT1" s="16" t="s">
        <v>172</v>
      </c>
      <c r="AU1" s="16" t="s">
        <v>173</v>
      </c>
    </row>
    <row r="2">
      <c r="A2" s="16">
        <v>12492.0</v>
      </c>
      <c r="B2" s="16" t="s">
        <v>174</v>
      </c>
      <c r="C2" s="16">
        <v>0.31</v>
      </c>
      <c r="D2" s="174" t="s">
        <v>175</v>
      </c>
      <c r="E2" s="16"/>
      <c r="F2" s="16">
        <v>547.0</v>
      </c>
      <c r="G2" s="16" t="s">
        <v>176</v>
      </c>
      <c r="H2" s="16" t="s">
        <v>25</v>
      </c>
      <c r="I2" s="16"/>
      <c r="J2" s="16"/>
      <c r="K2" s="16"/>
      <c r="L2" s="16"/>
      <c r="M2" s="16"/>
      <c r="N2" s="16"/>
      <c r="O2" s="16"/>
      <c r="P2" s="16"/>
      <c r="Q2" s="16"/>
      <c r="R2" s="16"/>
      <c r="S2" s="16">
        <v>-2.0</v>
      </c>
      <c r="T2" s="16"/>
      <c r="U2" s="16" t="s">
        <v>177</v>
      </c>
      <c r="V2" s="16" t="s">
        <v>178</v>
      </c>
      <c r="W2" s="16" t="s">
        <v>179</v>
      </c>
      <c r="X2" s="175" t="str">
        <f t="array" ref="X2:X1556">if(B2:B1556&lt;&gt;"",XLOOKUP(B2:B1556,'Live Draft Import'!F:F,'Live Draft Import'!D:D,"",0,1),)</f>
        <v/>
      </c>
      <c r="Y2" s="100"/>
      <c r="Z2" s="16" t="str">
        <f t="array" ref="Z2:Z1556">if(not(ISNA(X2:X1556)),X2:X1556,Y2:Y1556)</f>
        <v/>
      </c>
      <c r="AB2" s="16">
        <v>547.0</v>
      </c>
      <c r="AC2" s="16" t="s">
        <v>176</v>
      </c>
      <c r="AD2" s="16" t="s">
        <v>180</v>
      </c>
      <c r="AE2" s="16" t="s">
        <v>180</v>
      </c>
      <c r="AF2" s="16" t="s">
        <v>181</v>
      </c>
      <c r="AG2" s="16" t="s">
        <v>181</v>
      </c>
      <c r="AH2" s="16" t="s">
        <v>181</v>
      </c>
      <c r="AI2" s="16" t="s">
        <v>181</v>
      </c>
      <c r="AJ2" s="16" t="s">
        <v>181</v>
      </c>
      <c r="AK2" s="16" t="s">
        <v>181</v>
      </c>
      <c r="AL2" s="16" t="s">
        <v>181</v>
      </c>
      <c r="AM2" s="16" t="s">
        <v>181</v>
      </c>
      <c r="AN2" s="16" t="s">
        <v>181</v>
      </c>
      <c r="AO2" s="16" t="s">
        <v>181</v>
      </c>
      <c r="AP2" s="174" t="s">
        <v>182</v>
      </c>
      <c r="AQ2" s="16" t="s">
        <v>183</v>
      </c>
      <c r="AR2" s="16" t="s">
        <v>181</v>
      </c>
      <c r="AS2" s="16">
        <v>13.0</v>
      </c>
      <c r="AT2" s="16" t="s">
        <v>181</v>
      </c>
      <c r="AU2" s="16" t="s">
        <v>181</v>
      </c>
    </row>
    <row r="3">
      <c r="A3" s="16">
        <v>12493.0</v>
      </c>
      <c r="B3" s="16" t="s">
        <v>184</v>
      </c>
      <c r="C3" s="16">
        <v>0.34</v>
      </c>
      <c r="D3" s="174" t="s">
        <v>185</v>
      </c>
      <c r="E3" s="16"/>
      <c r="F3" s="16">
        <v>547.0</v>
      </c>
      <c r="G3" s="16" t="s">
        <v>176</v>
      </c>
      <c r="H3" s="16" t="s">
        <v>24</v>
      </c>
      <c r="I3" s="16"/>
      <c r="J3" s="16"/>
      <c r="K3" s="16"/>
      <c r="L3" s="16"/>
      <c r="M3" s="16"/>
      <c r="N3" s="16"/>
      <c r="O3" s="16"/>
      <c r="P3" s="16"/>
      <c r="Q3" s="16"/>
      <c r="R3" s="16"/>
      <c r="S3" s="16">
        <v>-2.0</v>
      </c>
      <c r="T3" s="16"/>
      <c r="U3" s="16" t="s">
        <v>186</v>
      </c>
      <c r="V3" s="16" t="s">
        <v>187</v>
      </c>
      <c r="W3" s="16" t="s">
        <v>188</v>
      </c>
      <c r="X3" s="16" t="s">
        <v>181</v>
      </c>
      <c r="Y3" s="100"/>
      <c r="Z3" s="16" t="s">
        <v>181</v>
      </c>
      <c r="AB3" s="16">
        <v>548.0</v>
      </c>
      <c r="AC3" s="16" t="s">
        <v>126</v>
      </c>
      <c r="AD3" s="16" t="s">
        <v>189</v>
      </c>
      <c r="AE3" s="16" t="s">
        <v>65</v>
      </c>
      <c r="AF3" s="16" t="s">
        <v>181</v>
      </c>
      <c r="AG3" s="16" t="s">
        <v>181</v>
      </c>
      <c r="AH3" s="16" t="s">
        <v>190</v>
      </c>
      <c r="AI3" s="16" t="s">
        <v>181</v>
      </c>
      <c r="AJ3" s="16" t="s">
        <v>191</v>
      </c>
      <c r="AK3" s="16" t="s">
        <v>181</v>
      </c>
      <c r="AL3" s="16">
        <v>42.0</v>
      </c>
      <c r="AM3" s="16" t="s">
        <v>181</v>
      </c>
      <c r="AN3" s="174" t="s">
        <v>192</v>
      </c>
      <c r="AO3" s="16" t="s">
        <v>181</v>
      </c>
      <c r="AP3" s="174" t="s">
        <v>193</v>
      </c>
      <c r="AQ3" s="16" t="s">
        <v>194</v>
      </c>
      <c r="AR3" s="16" t="s">
        <v>181</v>
      </c>
      <c r="AS3" s="16">
        <v>13.0</v>
      </c>
      <c r="AT3" s="16" t="s">
        <v>181</v>
      </c>
      <c r="AU3" s="16">
        <v>29.5</v>
      </c>
    </row>
    <row r="4">
      <c r="A4" s="16">
        <v>12494.0</v>
      </c>
      <c r="B4" s="16" t="s">
        <v>195</v>
      </c>
      <c r="C4" s="16">
        <v>0.0</v>
      </c>
      <c r="D4" s="174" t="s">
        <v>196</v>
      </c>
      <c r="E4" s="16"/>
      <c r="F4" s="16">
        <v>547.0</v>
      </c>
      <c r="G4" s="16" t="s">
        <v>176</v>
      </c>
      <c r="H4" s="16" t="s">
        <v>19</v>
      </c>
      <c r="I4" s="16" t="s">
        <v>17</v>
      </c>
      <c r="J4" s="16" t="s">
        <v>18</v>
      </c>
      <c r="K4" s="16"/>
      <c r="L4" s="16"/>
      <c r="M4" s="16"/>
      <c r="N4" s="16"/>
      <c r="O4" s="16"/>
      <c r="P4" s="16"/>
      <c r="Q4" s="16"/>
      <c r="R4" s="16"/>
      <c r="S4" s="16">
        <v>-2.0</v>
      </c>
      <c r="T4" s="16"/>
      <c r="U4" s="16" t="s">
        <v>197</v>
      </c>
      <c r="V4" s="16" t="s">
        <v>198</v>
      </c>
      <c r="W4" s="16" t="s">
        <v>199</v>
      </c>
      <c r="X4" s="16" t="s">
        <v>181</v>
      </c>
      <c r="Y4" s="100"/>
      <c r="Z4" s="16" t="s">
        <v>181</v>
      </c>
      <c r="AB4" s="16">
        <v>551.0</v>
      </c>
      <c r="AC4" s="16" t="s">
        <v>200</v>
      </c>
      <c r="AD4" s="16" t="s">
        <v>201</v>
      </c>
      <c r="AE4" s="16" t="s">
        <v>202</v>
      </c>
      <c r="AF4" s="16" t="s">
        <v>181</v>
      </c>
      <c r="AG4" s="16" t="s">
        <v>181</v>
      </c>
      <c r="AH4" s="16" t="s">
        <v>203</v>
      </c>
      <c r="AI4" s="16" t="s">
        <v>204</v>
      </c>
      <c r="AJ4" s="16" t="s">
        <v>205</v>
      </c>
      <c r="AK4" s="16" t="s">
        <v>206</v>
      </c>
      <c r="AL4" s="16">
        <v>43.0</v>
      </c>
      <c r="AM4" s="16" t="s">
        <v>181</v>
      </c>
      <c r="AN4" s="174" t="s">
        <v>207</v>
      </c>
      <c r="AO4" s="16" t="s">
        <v>181</v>
      </c>
      <c r="AP4" s="174" t="s">
        <v>208</v>
      </c>
      <c r="AQ4" s="16" t="s">
        <v>209</v>
      </c>
      <c r="AR4" s="16" t="s">
        <v>181</v>
      </c>
      <c r="AS4" s="16">
        <v>13.0</v>
      </c>
      <c r="AT4" s="16" t="s">
        <v>181</v>
      </c>
      <c r="AU4" s="16">
        <v>31.5</v>
      </c>
    </row>
    <row r="5">
      <c r="A5" s="16">
        <v>12495.0</v>
      </c>
      <c r="B5" s="16" t="s">
        <v>210</v>
      </c>
      <c r="C5" s="16">
        <v>4.45</v>
      </c>
      <c r="D5" s="174" t="s">
        <v>211</v>
      </c>
      <c r="E5" s="16"/>
      <c r="F5" s="16">
        <v>575.0</v>
      </c>
      <c r="G5" s="16" t="s">
        <v>212</v>
      </c>
      <c r="H5" s="16" t="s">
        <v>18</v>
      </c>
      <c r="I5" s="16" t="s">
        <v>19</v>
      </c>
      <c r="J5" s="16" t="s">
        <v>17</v>
      </c>
      <c r="K5" s="16"/>
      <c r="L5" s="16"/>
      <c r="M5" s="16"/>
      <c r="N5" s="16"/>
      <c r="O5" s="16"/>
      <c r="P5" s="16"/>
      <c r="Q5" s="16"/>
      <c r="R5" s="16"/>
      <c r="S5" s="16">
        <v>-2.0</v>
      </c>
      <c r="T5" s="16"/>
      <c r="U5" s="16" t="s">
        <v>213</v>
      </c>
      <c r="V5" s="16" t="s">
        <v>214</v>
      </c>
      <c r="W5" s="16" t="s">
        <v>188</v>
      </c>
      <c r="X5" s="16" t="s">
        <v>181</v>
      </c>
      <c r="Y5" s="100"/>
      <c r="Z5" s="16" t="s">
        <v>181</v>
      </c>
      <c r="AB5" s="16">
        <v>554.0</v>
      </c>
      <c r="AC5" s="16" t="s">
        <v>215</v>
      </c>
      <c r="AD5" s="16" t="s">
        <v>216</v>
      </c>
      <c r="AE5" s="16" t="s">
        <v>217</v>
      </c>
      <c r="AF5" s="16" t="s">
        <v>181</v>
      </c>
      <c r="AG5" s="16" t="s">
        <v>181</v>
      </c>
      <c r="AH5" s="16" t="s">
        <v>218</v>
      </c>
      <c r="AI5" s="16" t="s">
        <v>219</v>
      </c>
      <c r="AJ5" s="16" t="s">
        <v>220</v>
      </c>
      <c r="AK5" s="16" t="s">
        <v>221</v>
      </c>
      <c r="AL5" s="16">
        <v>44.0</v>
      </c>
      <c r="AM5" s="16" t="s">
        <v>181</v>
      </c>
      <c r="AN5" s="174" t="s">
        <v>222</v>
      </c>
      <c r="AO5" s="16" t="s">
        <v>181</v>
      </c>
      <c r="AP5" s="174" t="s">
        <v>223</v>
      </c>
      <c r="AQ5" s="16" t="s">
        <v>224</v>
      </c>
      <c r="AR5" s="16" t="s">
        <v>225</v>
      </c>
      <c r="AS5" s="16">
        <v>13.0</v>
      </c>
      <c r="AT5" s="16" t="s">
        <v>181</v>
      </c>
      <c r="AU5" s="16">
        <v>32.5</v>
      </c>
    </row>
    <row r="6">
      <c r="A6" s="16">
        <v>12496.0</v>
      </c>
      <c r="B6" s="16" t="s">
        <v>226</v>
      </c>
      <c r="C6" s="16">
        <v>1.63</v>
      </c>
      <c r="D6" s="174" t="s">
        <v>227</v>
      </c>
      <c r="E6" s="16"/>
      <c r="F6" s="16">
        <v>565.0</v>
      </c>
      <c r="G6" s="16" t="s">
        <v>228</v>
      </c>
      <c r="H6" s="16" t="s">
        <v>24</v>
      </c>
      <c r="I6" s="16"/>
      <c r="J6" s="16"/>
      <c r="K6" s="16"/>
      <c r="L6" s="16"/>
      <c r="M6" s="16"/>
      <c r="N6" s="16"/>
      <c r="O6" s="16"/>
      <c r="P6" s="16"/>
      <c r="Q6" s="16"/>
      <c r="R6" s="16"/>
      <c r="S6" s="16">
        <v>-2.0</v>
      </c>
      <c r="T6" s="16"/>
      <c r="U6" s="16" t="s">
        <v>229</v>
      </c>
      <c r="V6" s="16" t="s">
        <v>230</v>
      </c>
      <c r="W6" s="16" t="s">
        <v>231</v>
      </c>
      <c r="X6" s="16" t="s">
        <v>181</v>
      </c>
      <c r="Y6" s="100"/>
      <c r="Z6" s="16" t="s">
        <v>181</v>
      </c>
      <c r="AB6" s="16">
        <v>557.0</v>
      </c>
      <c r="AC6" s="16" t="s">
        <v>232</v>
      </c>
      <c r="AD6" s="16" t="s">
        <v>233</v>
      </c>
      <c r="AE6" s="16" t="s">
        <v>234</v>
      </c>
      <c r="AF6" s="16" t="s">
        <v>181</v>
      </c>
      <c r="AG6" s="16" t="s">
        <v>181</v>
      </c>
      <c r="AH6" s="16" t="s">
        <v>235</v>
      </c>
      <c r="AI6" s="16" t="s">
        <v>181</v>
      </c>
      <c r="AJ6" s="16" t="s">
        <v>236</v>
      </c>
      <c r="AK6" s="16" t="s">
        <v>181</v>
      </c>
      <c r="AL6" s="16">
        <v>42.0</v>
      </c>
      <c r="AM6" s="16" t="s">
        <v>181</v>
      </c>
      <c r="AN6" s="174" t="s">
        <v>237</v>
      </c>
      <c r="AO6" s="16" t="s">
        <v>181</v>
      </c>
      <c r="AP6" s="174" t="s">
        <v>238</v>
      </c>
      <c r="AQ6" s="16" t="s">
        <v>239</v>
      </c>
      <c r="AR6" s="16" t="s">
        <v>240</v>
      </c>
      <c r="AS6" s="16">
        <v>13.0</v>
      </c>
      <c r="AT6" s="16" t="s">
        <v>181</v>
      </c>
      <c r="AU6" s="16">
        <v>33.5</v>
      </c>
    </row>
    <row r="7">
      <c r="A7" s="16">
        <v>12497.0</v>
      </c>
      <c r="B7" s="16" t="s">
        <v>241</v>
      </c>
      <c r="C7" s="16">
        <v>0.35</v>
      </c>
      <c r="D7" s="174" t="s">
        <v>242</v>
      </c>
      <c r="E7" s="16"/>
      <c r="F7" s="16">
        <v>547.0</v>
      </c>
      <c r="G7" s="16" t="s">
        <v>176</v>
      </c>
      <c r="H7" s="16" t="s">
        <v>14</v>
      </c>
      <c r="I7" s="16" t="s">
        <v>15</v>
      </c>
      <c r="J7" s="16" t="s">
        <v>16</v>
      </c>
      <c r="K7" s="16"/>
      <c r="L7" s="16"/>
      <c r="M7" s="16"/>
      <c r="N7" s="16"/>
      <c r="O7" s="16"/>
      <c r="P7" s="16"/>
      <c r="Q7" s="16"/>
      <c r="R7" s="16"/>
      <c r="S7" s="16">
        <v>-2.0</v>
      </c>
      <c r="T7" s="16"/>
      <c r="U7" s="16" t="s">
        <v>243</v>
      </c>
      <c r="V7" s="16" t="s">
        <v>244</v>
      </c>
      <c r="W7" s="16" t="s">
        <v>199</v>
      </c>
      <c r="X7" s="16" t="s">
        <v>181</v>
      </c>
      <c r="Y7" s="100"/>
      <c r="Z7" s="16" t="s">
        <v>181</v>
      </c>
      <c r="AB7" s="16">
        <v>560.0</v>
      </c>
      <c r="AC7" s="16" t="s">
        <v>245</v>
      </c>
      <c r="AD7" s="16" t="s">
        <v>246</v>
      </c>
      <c r="AE7" s="16" t="s">
        <v>247</v>
      </c>
      <c r="AF7" s="16" t="s">
        <v>181</v>
      </c>
      <c r="AG7" s="16" t="s">
        <v>181</v>
      </c>
      <c r="AH7" s="16" t="s">
        <v>248</v>
      </c>
      <c r="AI7" s="16" t="s">
        <v>249</v>
      </c>
      <c r="AJ7" s="16" t="s">
        <v>250</v>
      </c>
      <c r="AK7" s="16" t="s">
        <v>251</v>
      </c>
      <c r="AL7" s="16">
        <v>43.0</v>
      </c>
      <c r="AM7" s="16" t="s">
        <v>181</v>
      </c>
      <c r="AN7" s="174" t="s">
        <v>252</v>
      </c>
      <c r="AO7" s="16" t="s">
        <v>181</v>
      </c>
      <c r="AP7" s="174" t="s">
        <v>253</v>
      </c>
      <c r="AQ7" s="16" t="s">
        <v>254</v>
      </c>
      <c r="AR7" s="16" t="s">
        <v>181</v>
      </c>
      <c r="AS7" s="16">
        <v>13.0</v>
      </c>
      <c r="AT7" s="16" t="s">
        <v>181</v>
      </c>
      <c r="AU7" s="16">
        <v>32.5</v>
      </c>
    </row>
    <row r="8">
      <c r="A8" s="16">
        <v>12498.0</v>
      </c>
      <c r="B8" s="16" t="s">
        <v>255</v>
      </c>
      <c r="C8" s="16">
        <v>0.48</v>
      </c>
      <c r="D8" s="174" t="s">
        <v>256</v>
      </c>
      <c r="E8" s="16"/>
      <c r="F8" s="16">
        <v>547.0</v>
      </c>
      <c r="G8" s="16" t="s">
        <v>176</v>
      </c>
      <c r="H8" s="16" t="s">
        <v>15</v>
      </c>
      <c r="I8" s="16" t="s">
        <v>14</v>
      </c>
      <c r="J8" s="16" t="s">
        <v>13</v>
      </c>
      <c r="K8" s="16" t="s">
        <v>17</v>
      </c>
      <c r="L8" s="16"/>
      <c r="M8" s="16"/>
      <c r="N8" s="16"/>
      <c r="O8" s="16"/>
      <c r="P8" s="16"/>
      <c r="Q8" s="16"/>
      <c r="R8" s="16"/>
      <c r="S8" s="16">
        <v>-2.0</v>
      </c>
      <c r="T8" s="16"/>
      <c r="U8" s="16" t="s">
        <v>257</v>
      </c>
      <c r="V8" s="16" t="s">
        <v>258</v>
      </c>
      <c r="W8" s="16" t="s">
        <v>259</v>
      </c>
      <c r="X8" s="16" t="s">
        <v>181</v>
      </c>
      <c r="Y8" s="100"/>
      <c r="Z8" s="16" t="s">
        <v>181</v>
      </c>
      <c r="AB8" s="16">
        <v>563.0</v>
      </c>
      <c r="AC8" s="16" t="s">
        <v>260</v>
      </c>
      <c r="AD8" s="16" t="s">
        <v>261</v>
      </c>
      <c r="AE8" s="16" t="s">
        <v>262</v>
      </c>
      <c r="AF8" s="16" t="s">
        <v>181</v>
      </c>
      <c r="AG8" s="16" t="s">
        <v>181</v>
      </c>
      <c r="AH8" s="16" t="s">
        <v>263</v>
      </c>
      <c r="AI8" s="16" t="s">
        <v>264</v>
      </c>
      <c r="AJ8" s="16" t="s">
        <v>265</v>
      </c>
      <c r="AK8" s="16" t="s">
        <v>266</v>
      </c>
      <c r="AL8" s="16">
        <v>44.0</v>
      </c>
      <c r="AM8" s="16" t="s">
        <v>181</v>
      </c>
      <c r="AN8" s="174" t="s">
        <v>267</v>
      </c>
      <c r="AO8" s="16" t="s">
        <v>181</v>
      </c>
      <c r="AP8" s="174" t="s">
        <v>268</v>
      </c>
      <c r="AQ8" s="16" t="s">
        <v>269</v>
      </c>
      <c r="AR8" s="16" t="s">
        <v>181</v>
      </c>
      <c r="AS8" s="16">
        <v>13.0</v>
      </c>
      <c r="AT8" s="16" t="s">
        <v>181</v>
      </c>
      <c r="AU8" s="16">
        <v>31.5</v>
      </c>
    </row>
    <row r="9">
      <c r="A9" s="16">
        <v>12499.0</v>
      </c>
      <c r="B9" s="16" t="s">
        <v>270</v>
      </c>
      <c r="C9" s="16">
        <v>0.0</v>
      </c>
      <c r="D9" s="174" t="s">
        <v>271</v>
      </c>
      <c r="E9" s="16"/>
      <c r="F9" s="16">
        <v>593.0</v>
      </c>
      <c r="G9" s="16" t="s">
        <v>272</v>
      </c>
      <c r="H9" s="16" t="s">
        <v>25</v>
      </c>
      <c r="I9" s="16"/>
      <c r="J9" s="16"/>
      <c r="K9" s="16"/>
      <c r="L9" s="16"/>
      <c r="M9" s="16"/>
      <c r="N9" s="16"/>
      <c r="O9" s="16"/>
      <c r="P9" s="16"/>
      <c r="Q9" s="16"/>
      <c r="R9" s="16"/>
      <c r="S9" s="16">
        <v>-2.0</v>
      </c>
      <c r="T9" s="174" t="s">
        <v>273</v>
      </c>
      <c r="U9" s="16" t="s">
        <v>274</v>
      </c>
      <c r="V9" s="16" t="s">
        <v>275</v>
      </c>
      <c r="W9" s="16" t="s">
        <v>276</v>
      </c>
      <c r="X9" s="16" t="s">
        <v>181</v>
      </c>
      <c r="Y9" s="100"/>
      <c r="Z9" s="16" t="s">
        <v>181</v>
      </c>
      <c r="AB9" s="16">
        <v>566.0</v>
      </c>
      <c r="AC9" s="16" t="s">
        <v>277</v>
      </c>
      <c r="AD9" s="16" t="s">
        <v>278</v>
      </c>
      <c r="AE9" s="16" t="s">
        <v>279</v>
      </c>
      <c r="AF9" s="16" t="s">
        <v>181</v>
      </c>
      <c r="AG9" s="16" t="s">
        <v>181</v>
      </c>
      <c r="AH9" s="16" t="s">
        <v>280</v>
      </c>
      <c r="AI9" s="16" t="s">
        <v>281</v>
      </c>
      <c r="AJ9" s="16" t="s">
        <v>282</v>
      </c>
      <c r="AK9" s="16" t="s">
        <v>283</v>
      </c>
      <c r="AL9" s="16">
        <v>44.0</v>
      </c>
      <c r="AM9" s="16" t="s">
        <v>181</v>
      </c>
      <c r="AN9" s="174" t="s">
        <v>284</v>
      </c>
      <c r="AO9" s="16" t="s">
        <v>181</v>
      </c>
      <c r="AP9" s="174" t="s">
        <v>285</v>
      </c>
      <c r="AQ9" s="16" t="s">
        <v>286</v>
      </c>
      <c r="AR9" s="16" t="s">
        <v>181</v>
      </c>
      <c r="AS9" s="16">
        <v>13.0</v>
      </c>
      <c r="AT9" s="16" t="s">
        <v>181</v>
      </c>
      <c r="AU9" s="16">
        <v>31.5</v>
      </c>
    </row>
    <row r="10">
      <c r="A10" s="16">
        <v>12500.0</v>
      </c>
      <c r="B10" s="16" t="s">
        <v>287</v>
      </c>
      <c r="C10" s="16">
        <v>0.0</v>
      </c>
      <c r="D10" s="174" t="s">
        <v>288</v>
      </c>
      <c r="E10" s="16"/>
      <c r="F10" s="16">
        <v>587.0</v>
      </c>
      <c r="G10" s="16" t="s">
        <v>289</v>
      </c>
      <c r="H10" s="16" t="s">
        <v>19</v>
      </c>
      <c r="I10" s="16" t="s">
        <v>17</v>
      </c>
      <c r="J10" s="16"/>
      <c r="K10" s="16"/>
      <c r="L10" s="16"/>
      <c r="M10" s="16"/>
      <c r="N10" s="16"/>
      <c r="O10" s="16"/>
      <c r="P10" s="16"/>
      <c r="Q10" s="16"/>
      <c r="R10" s="16"/>
      <c r="S10" s="16">
        <v>-2.0</v>
      </c>
      <c r="T10" s="16"/>
      <c r="U10" s="16" t="s">
        <v>290</v>
      </c>
      <c r="V10" s="16" t="s">
        <v>291</v>
      </c>
      <c r="W10" s="16" t="s">
        <v>179</v>
      </c>
      <c r="X10" s="16" t="s">
        <v>181</v>
      </c>
      <c r="Y10" s="100"/>
      <c r="Z10" s="16" t="s">
        <v>181</v>
      </c>
      <c r="AB10" s="16">
        <v>569.0</v>
      </c>
      <c r="AC10" s="16" t="s">
        <v>292</v>
      </c>
      <c r="AD10" s="16" t="s">
        <v>293</v>
      </c>
      <c r="AE10" s="16" t="s">
        <v>294</v>
      </c>
      <c r="AF10" s="16" t="s">
        <v>181</v>
      </c>
      <c r="AG10" s="16" t="s">
        <v>181</v>
      </c>
      <c r="AH10" s="16" t="s">
        <v>295</v>
      </c>
      <c r="AI10" s="16" t="s">
        <v>296</v>
      </c>
      <c r="AJ10" s="16" t="s">
        <v>297</v>
      </c>
      <c r="AK10" s="16" t="s">
        <v>298</v>
      </c>
      <c r="AL10" s="16">
        <v>43.0</v>
      </c>
      <c r="AM10" s="16" t="s">
        <v>181</v>
      </c>
      <c r="AN10" s="174" t="s">
        <v>299</v>
      </c>
      <c r="AO10" s="16" t="s">
        <v>181</v>
      </c>
      <c r="AP10" s="174" t="s">
        <v>300</v>
      </c>
      <c r="AQ10" s="16" t="s">
        <v>301</v>
      </c>
      <c r="AR10" s="16" t="s">
        <v>181</v>
      </c>
      <c r="AS10" s="16">
        <v>13.0</v>
      </c>
      <c r="AT10" s="16" t="s">
        <v>181</v>
      </c>
      <c r="AU10" s="16">
        <v>34.5</v>
      </c>
    </row>
    <row r="11">
      <c r="A11" s="16">
        <v>12501.0</v>
      </c>
      <c r="B11" s="16" t="s">
        <v>302</v>
      </c>
      <c r="C11" s="16">
        <v>0.18</v>
      </c>
      <c r="D11" s="174" t="s">
        <v>303</v>
      </c>
      <c r="E11" s="16"/>
      <c r="F11" s="16">
        <v>547.0</v>
      </c>
      <c r="G11" s="16" t="s">
        <v>176</v>
      </c>
      <c r="H11" s="16" t="s">
        <v>14</v>
      </c>
      <c r="I11" s="16" t="s">
        <v>19</v>
      </c>
      <c r="J11" s="16" t="s">
        <v>17</v>
      </c>
      <c r="K11" s="16" t="s">
        <v>15</v>
      </c>
      <c r="L11" s="16" t="s">
        <v>13</v>
      </c>
      <c r="M11" s="16"/>
      <c r="N11" s="16"/>
      <c r="O11" s="16"/>
      <c r="P11" s="16"/>
      <c r="Q11" s="16"/>
      <c r="R11" s="16"/>
      <c r="S11" s="16">
        <v>-2.0</v>
      </c>
      <c r="T11" s="16"/>
      <c r="U11" s="16" t="s">
        <v>304</v>
      </c>
      <c r="V11" s="16" t="s">
        <v>305</v>
      </c>
      <c r="W11" s="16" t="s">
        <v>179</v>
      </c>
      <c r="X11" s="16" t="s">
        <v>181</v>
      </c>
      <c r="Y11" s="100"/>
      <c r="Z11" s="16" t="s">
        <v>181</v>
      </c>
      <c r="AB11" s="16">
        <v>572.0</v>
      </c>
      <c r="AC11" s="16" t="s">
        <v>306</v>
      </c>
      <c r="AD11" s="16" t="s">
        <v>307</v>
      </c>
      <c r="AE11" s="16" t="s">
        <v>72</v>
      </c>
      <c r="AF11" s="16" t="s">
        <v>181</v>
      </c>
      <c r="AG11" s="16" t="s">
        <v>181</v>
      </c>
      <c r="AH11" s="16" t="s">
        <v>308</v>
      </c>
      <c r="AI11" s="16" t="s">
        <v>309</v>
      </c>
      <c r="AJ11" s="16" t="s">
        <v>310</v>
      </c>
      <c r="AK11" s="16" t="s">
        <v>311</v>
      </c>
      <c r="AL11" s="16">
        <v>45.0</v>
      </c>
      <c r="AM11" s="16" t="s">
        <v>181</v>
      </c>
      <c r="AN11" s="174" t="s">
        <v>312</v>
      </c>
      <c r="AO11" s="16" t="s">
        <v>181</v>
      </c>
      <c r="AP11" s="174" t="s">
        <v>313</v>
      </c>
      <c r="AQ11" s="16" t="s">
        <v>314</v>
      </c>
      <c r="AR11" s="16" t="s">
        <v>181</v>
      </c>
      <c r="AS11" s="16">
        <v>13.0</v>
      </c>
      <c r="AT11" s="16" t="s">
        <v>181</v>
      </c>
      <c r="AU11" s="16">
        <v>33.5</v>
      </c>
    </row>
    <row r="12">
      <c r="A12" s="16">
        <v>12502.0</v>
      </c>
      <c r="B12" s="16" t="s">
        <v>315</v>
      </c>
      <c r="C12" s="16">
        <v>0.0</v>
      </c>
      <c r="D12" s="174" t="s">
        <v>316</v>
      </c>
      <c r="E12" s="16"/>
      <c r="F12" s="16">
        <v>547.0</v>
      </c>
      <c r="G12" s="16" t="s">
        <v>176</v>
      </c>
      <c r="H12" s="16" t="s">
        <v>24</v>
      </c>
      <c r="I12" s="16"/>
      <c r="J12" s="16"/>
      <c r="K12" s="16"/>
      <c r="L12" s="16"/>
      <c r="M12" s="16"/>
      <c r="N12" s="16"/>
      <c r="O12" s="16"/>
      <c r="P12" s="16"/>
      <c r="Q12" s="16"/>
      <c r="R12" s="16"/>
      <c r="S12" s="16">
        <v>-2.0</v>
      </c>
      <c r="T12" s="16"/>
      <c r="U12" s="16" t="s">
        <v>317</v>
      </c>
      <c r="V12" s="16" t="s">
        <v>318</v>
      </c>
      <c r="W12" s="16" t="s">
        <v>199</v>
      </c>
      <c r="X12" s="16" t="s">
        <v>181</v>
      </c>
      <c r="Y12" s="100"/>
      <c r="Z12" s="16" t="s">
        <v>181</v>
      </c>
      <c r="AB12" s="16">
        <v>575.0</v>
      </c>
      <c r="AC12" s="16" t="s">
        <v>212</v>
      </c>
      <c r="AD12" s="16" t="s">
        <v>319</v>
      </c>
      <c r="AE12" s="16" t="s">
        <v>320</v>
      </c>
      <c r="AF12" s="16" t="s">
        <v>181</v>
      </c>
      <c r="AG12" s="16" t="s">
        <v>181</v>
      </c>
      <c r="AH12" s="16" t="s">
        <v>321</v>
      </c>
      <c r="AI12" s="16" t="s">
        <v>322</v>
      </c>
      <c r="AJ12" s="16" t="s">
        <v>323</v>
      </c>
      <c r="AK12" s="16" t="s">
        <v>324</v>
      </c>
      <c r="AL12" s="16">
        <v>45.0</v>
      </c>
      <c r="AM12" s="16" t="s">
        <v>181</v>
      </c>
      <c r="AN12" s="174" t="s">
        <v>325</v>
      </c>
      <c r="AO12" s="16" t="s">
        <v>181</v>
      </c>
      <c r="AP12" s="174" t="s">
        <v>326</v>
      </c>
      <c r="AQ12" s="16" t="s">
        <v>327</v>
      </c>
      <c r="AR12" s="16" t="s">
        <v>327</v>
      </c>
      <c r="AS12" s="16">
        <v>13.0</v>
      </c>
      <c r="AT12" s="16" t="s">
        <v>181</v>
      </c>
      <c r="AU12" s="16">
        <v>29.5</v>
      </c>
    </row>
    <row r="13">
      <c r="A13" s="16">
        <v>12503.0</v>
      </c>
      <c r="B13" s="16" t="s">
        <v>328</v>
      </c>
      <c r="C13" s="16">
        <v>0.43</v>
      </c>
      <c r="D13" s="174" t="s">
        <v>329</v>
      </c>
      <c r="E13" s="16"/>
      <c r="F13" s="16">
        <v>547.0</v>
      </c>
      <c r="G13" s="16" t="s">
        <v>176</v>
      </c>
      <c r="H13" s="16" t="s">
        <v>24</v>
      </c>
      <c r="I13" s="16"/>
      <c r="J13" s="16"/>
      <c r="K13" s="16"/>
      <c r="L13" s="16"/>
      <c r="M13" s="16"/>
      <c r="N13" s="16"/>
      <c r="O13" s="16"/>
      <c r="P13" s="16"/>
      <c r="Q13" s="16"/>
      <c r="R13" s="16"/>
      <c r="S13" s="16">
        <v>-2.0</v>
      </c>
      <c r="T13" s="16"/>
      <c r="U13" s="16" t="s">
        <v>330</v>
      </c>
      <c r="V13" s="16" t="s">
        <v>331</v>
      </c>
      <c r="W13" s="16" t="s">
        <v>332</v>
      </c>
      <c r="X13" s="16" t="s">
        <v>181</v>
      </c>
      <c r="Y13" s="100"/>
      <c r="Z13" s="16" t="s">
        <v>181</v>
      </c>
      <c r="AB13" s="16">
        <v>578.0</v>
      </c>
      <c r="AC13" s="16" t="s">
        <v>333</v>
      </c>
      <c r="AD13" s="16" t="s">
        <v>334</v>
      </c>
      <c r="AE13" s="16" t="s">
        <v>335</v>
      </c>
      <c r="AF13" s="16" t="s">
        <v>181</v>
      </c>
      <c r="AG13" s="16" t="s">
        <v>181</v>
      </c>
      <c r="AH13" s="16" t="s">
        <v>336</v>
      </c>
      <c r="AI13" s="16" t="s">
        <v>181</v>
      </c>
      <c r="AJ13" s="16" t="s">
        <v>337</v>
      </c>
      <c r="AK13" s="16" t="s">
        <v>181</v>
      </c>
      <c r="AL13" s="16">
        <v>43.0</v>
      </c>
      <c r="AM13" s="16" t="s">
        <v>181</v>
      </c>
      <c r="AN13" s="174" t="s">
        <v>338</v>
      </c>
      <c r="AO13" s="16" t="s">
        <v>181</v>
      </c>
      <c r="AP13" s="174" t="s">
        <v>339</v>
      </c>
      <c r="AQ13" s="16" t="s">
        <v>340</v>
      </c>
      <c r="AR13" s="16" t="s">
        <v>341</v>
      </c>
      <c r="AS13" s="16">
        <v>13.0</v>
      </c>
      <c r="AT13" s="16" t="s">
        <v>181</v>
      </c>
      <c r="AU13" s="16">
        <v>33.5</v>
      </c>
    </row>
    <row r="14">
      <c r="A14" s="16">
        <v>12504.0</v>
      </c>
      <c r="B14" s="16" t="s">
        <v>342</v>
      </c>
      <c r="C14" s="16">
        <v>0.0</v>
      </c>
      <c r="D14" s="174" t="s">
        <v>343</v>
      </c>
      <c r="E14" s="16"/>
      <c r="F14" s="16">
        <v>547.0</v>
      </c>
      <c r="G14" s="16" t="s">
        <v>176</v>
      </c>
      <c r="H14" s="16" t="s">
        <v>25</v>
      </c>
      <c r="I14" s="16" t="s">
        <v>26</v>
      </c>
      <c r="J14" s="16"/>
      <c r="K14" s="16"/>
      <c r="L14" s="16"/>
      <c r="M14" s="16"/>
      <c r="N14" s="16"/>
      <c r="O14" s="16"/>
      <c r="P14" s="16"/>
      <c r="Q14" s="16"/>
      <c r="R14" s="16"/>
      <c r="S14" s="16">
        <v>-2.0</v>
      </c>
      <c r="T14" s="16"/>
      <c r="U14" s="16" t="s">
        <v>344</v>
      </c>
      <c r="V14" s="16" t="s">
        <v>345</v>
      </c>
      <c r="W14" s="16" t="s">
        <v>179</v>
      </c>
      <c r="X14" s="16" t="s">
        <v>181</v>
      </c>
      <c r="Y14" s="100"/>
      <c r="Z14" s="16" t="s">
        <v>181</v>
      </c>
      <c r="AB14" s="16">
        <v>581.0</v>
      </c>
      <c r="AC14" s="16" t="s">
        <v>346</v>
      </c>
      <c r="AD14" s="16" t="s">
        <v>347</v>
      </c>
      <c r="AE14" s="16" t="s">
        <v>348</v>
      </c>
      <c r="AF14" s="16" t="s">
        <v>181</v>
      </c>
      <c r="AG14" s="16" t="s">
        <v>181</v>
      </c>
      <c r="AH14" s="16" t="s">
        <v>349</v>
      </c>
      <c r="AI14" s="16" t="s">
        <v>350</v>
      </c>
      <c r="AJ14" s="16" t="s">
        <v>351</v>
      </c>
      <c r="AK14" s="16" t="s">
        <v>352</v>
      </c>
      <c r="AL14" s="16">
        <v>44.0</v>
      </c>
      <c r="AM14" s="16" t="s">
        <v>181</v>
      </c>
      <c r="AN14" s="174" t="s">
        <v>353</v>
      </c>
      <c r="AO14" s="16" t="s">
        <v>181</v>
      </c>
      <c r="AP14" s="174" t="s">
        <v>354</v>
      </c>
      <c r="AQ14" s="16" t="s">
        <v>355</v>
      </c>
      <c r="AR14" s="16" t="s">
        <v>181</v>
      </c>
      <c r="AS14" s="16">
        <v>13.0</v>
      </c>
      <c r="AT14" s="16" t="s">
        <v>181</v>
      </c>
      <c r="AU14" s="16">
        <v>33.5</v>
      </c>
    </row>
    <row r="15">
      <c r="A15" s="16">
        <v>12505.0</v>
      </c>
      <c r="B15" s="16" t="s">
        <v>356</v>
      </c>
      <c r="C15" s="16">
        <v>0.31</v>
      </c>
      <c r="D15" s="174" t="s">
        <v>357</v>
      </c>
      <c r="E15" s="16"/>
      <c r="F15" s="16">
        <v>547.0</v>
      </c>
      <c r="G15" s="16" t="s">
        <v>176</v>
      </c>
      <c r="H15" s="16" t="s">
        <v>15</v>
      </c>
      <c r="I15" s="16" t="s">
        <v>19</v>
      </c>
      <c r="J15" s="16" t="s">
        <v>17</v>
      </c>
      <c r="K15" s="16"/>
      <c r="L15" s="16"/>
      <c r="M15" s="16"/>
      <c r="N15" s="16"/>
      <c r="O15" s="16"/>
      <c r="P15" s="16"/>
      <c r="Q15" s="16"/>
      <c r="R15" s="16"/>
      <c r="S15" s="16">
        <v>-2.0</v>
      </c>
      <c r="T15" s="16"/>
      <c r="U15" s="16" t="s">
        <v>358</v>
      </c>
      <c r="V15" s="16" t="s">
        <v>359</v>
      </c>
      <c r="W15" s="16" t="s">
        <v>360</v>
      </c>
      <c r="X15" s="16" t="s">
        <v>181</v>
      </c>
      <c r="Y15" s="100"/>
      <c r="Z15" s="16" t="s">
        <v>181</v>
      </c>
      <c r="AB15" s="16">
        <v>584.0</v>
      </c>
      <c r="AC15" s="16" t="s">
        <v>361</v>
      </c>
      <c r="AD15" s="16" t="s">
        <v>362</v>
      </c>
      <c r="AE15" s="16" t="s">
        <v>363</v>
      </c>
      <c r="AF15" s="16" t="s">
        <v>181</v>
      </c>
      <c r="AG15" s="16" t="s">
        <v>181</v>
      </c>
      <c r="AH15" s="16" t="s">
        <v>364</v>
      </c>
      <c r="AI15" s="16" t="s">
        <v>181</v>
      </c>
      <c r="AJ15" s="16" t="s">
        <v>365</v>
      </c>
      <c r="AK15" s="16" t="s">
        <v>181</v>
      </c>
      <c r="AL15" s="16">
        <v>42.0</v>
      </c>
      <c r="AM15" s="16" t="s">
        <v>181</v>
      </c>
      <c r="AN15" s="174" t="s">
        <v>366</v>
      </c>
      <c r="AO15" s="16" t="s">
        <v>181</v>
      </c>
      <c r="AP15" s="174" t="s">
        <v>367</v>
      </c>
      <c r="AQ15" s="16" t="s">
        <v>368</v>
      </c>
      <c r="AR15" s="16" t="s">
        <v>368</v>
      </c>
      <c r="AS15" s="16">
        <v>13.0</v>
      </c>
      <c r="AT15" s="16" t="s">
        <v>181</v>
      </c>
      <c r="AU15" s="16">
        <v>29.5</v>
      </c>
    </row>
    <row r="16">
      <c r="A16" s="16">
        <v>12506.0</v>
      </c>
      <c r="B16" s="16" t="s">
        <v>369</v>
      </c>
      <c r="C16" s="16">
        <v>1.55</v>
      </c>
      <c r="D16" s="174" t="s">
        <v>370</v>
      </c>
      <c r="E16" s="16"/>
      <c r="F16" s="16">
        <v>550.0</v>
      </c>
      <c r="G16" s="16" t="s">
        <v>371</v>
      </c>
      <c r="H16" s="16" t="s">
        <v>12</v>
      </c>
      <c r="I16" s="16"/>
      <c r="J16" s="16"/>
      <c r="K16" s="16"/>
      <c r="L16" s="16"/>
      <c r="M16" s="16"/>
      <c r="N16" s="16"/>
      <c r="O16" s="16"/>
      <c r="P16" s="16"/>
      <c r="Q16" s="16"/>
      <c r="R16" s="16"/>
      <c r="S16" s="16">
        <v>-2.0</v>
      </c>
      <c r="T16" s="16"/>
      <c r="U16" s="16" t="s">
        <v>372</v>
      </c>
      <c r="V16" s="16" t="s">
        <v>373</v>
      </c>
      <c r="W16" s="16" t="s">
        <v>188</v>
      </c>
      <c r="X16" s="16" t="s">
        <v>181</v>
      </c>
      <c r="Y16" s="100"/>
      <c r="Z16" s="16" t="s">
        <v>181</v>
      </c>
      <c r="AB16" s="16">
        <v>587.0</v>
      </c>
      <c r="AC16" s="16" t="s">
        <v>289</v>
      </c>
      <c r="AD16" s="16" t="s">
        <v>374</v>
      </c>
      <c r="AE16" s="16" t="s">
        <v>375</v>
      </c>
      <c r="AF16" s="16" t="s">
        <v>181</v>
      </c>
      <c r="AG16" s="16" t="s">
        <v>181</v>
      </c>
      <c r="AH16" s="16" t="s">
        <v>376</v>
      </c>
      <c r="AI16" s="16" t="s">
        <v>377</v>
      </c>
      <c r="AJ16" s="16" t="s">
        <v>378</v>
      </c>
      <c r="AK16" s="16" t="s">
        <v>379</v>
      </c>
      <c r="AL16" s="16">
        <v>45.0</v>
      </c>
      <c r="AM16" s="16" t="s">
        <v>181</v>
      </c>
      <c r="AN16" s="174" t="s">
        <v>380</v>
      </c>
      <c r="AO16" s="16" t="s">
        <v>181</v>
      </c>
      <c r="AP16" s="174" t="s">
        <v>381</v>
      </c>
      <c r="AQ16" s="16" t="s">
        <v>382</v>
      </c>
      <c r="AR16" s="16" t="s">
        <v>181</v>
      </c>
      <c r="AS16" s="16">
        <v>13.0</v>
      </c>
      <c r="AT16" s="16" t="s">
        <v>181</v>
      </c>
      <c r="AU16" s="16">
        <v>31.5</v>
      </c>
    </row>
    <row r="17">
      <c r="A17" s="16">
        <v>12507.0</v>
      </c>
      <c r="B17" s="16" t="s">
        <v>383</v>
      </c>
      <c r="C17" s="16">
        <v>0.08</v>
      </c>
      <c r="D17" s="174" t="s">
        <v>384</v>
      </c>
      <c r="E17" s="16"/>
      <c r="F17" s="16">
        <v>547.0</v>
      </c>
      <c r="G17" s="16" t="s">
        <v>176</v>
      </c>
      <c r="H17" s="16" t="s">
        <v>19</v>
      </c>
      <c r="I17" s="16"/>
      <c r="J17" s="16"/>
      <c r="K17" s="16"/>
      <c r="L17" s="16"/>
      <c r="M17" s="16"/>
      <c r="N17" s="16"/>
      <c r="O17" s="16"/>
      <c r="P17" s="16"/>
      <c r="Q17" s="16"/>
      <c r="R17" s="16"/>
      <c r="S17" s="16">
        <v>-2.0</v>
      </c>
      <c r="T17" s="16"/>
      <c r="U17" s="16" t="s">
        <v>385</v>
      </c>
      <c r="V17" s="16" t="s">
        <v>386</v>
      </c>
      <c r="W17" s="16" t="s">
        <v>188</v>
      </c>
      <c r="X17" s="16" t="s">
        <v>181</v>
      </c>
      <c r="Y17" s="100"/>
      <c r="Z17" s="16" t="s">
        <v>181</v>
      </c>
      <c r="AB17" s="16">
        <v>590.0</v>
      </c>
      <c r="AC17" s="16" t="s">
        <v>387</v>
      </c>
      <c r="AD17" s="16" t="s">
        <v>388</v>
      </c>
      <c r="AE17" s="16" t="s">
        <v>389</v>
      </c>
      <c r="AF17" s="16" t="s">
        <v>181</v>
      </c>
      <c r="AG17" s="16" t="s">
        <v>181</v>
      </c>
      <c r="AH17" s="16" t="s">
        <v>390</v>
      </c>
      <c r="AI17" s="16" t="s">
        <v>181</v>
      </c>
      <c r="AJ17" s="16" t="s">
        <v>391</v>
      </c>
      <c r="AK17" s="16" t="s">
        <v>181</v>
      </c>
      <c r="AL17" s="16">
        <v>45.0</v>
      </c>
      <c r="AM17" s="16" t="s">
        <v>181</v>
      </c>
      <c r="AN17" s="174" t="s">
        <v>392</v>
      </c>
      <c r="AO17" s="16" t="s">
        <v>181</v>
      </c>
      <c r="AP17" s="174" t="s">
        <v>393</v>
      </c>
      <c r="AQ17" s="16" t="s">
        <v>394</v>
      </c>
      <c r="AR17" s="16" t="s">
        <v>181</v>
      </c>
      <c r="AS17" s="16">
        <v>13.0</v>
      </c>
      <c r="AT17" s="16" t="s">
        <v>181</v>
      </c>
      <c r="AU17" s="16">
        <v>31.5</v>
      </c>
    </row>
    <row r="18">
      <c r="A18" s="16">
        <v>12508.0</v>
      </c>
      <c r="B18" s="16" t="s">
        <v>395</v>
      </c>
      <c r="C18" s="16">
        <v>1.67</v>
      </c>
      <c r="D18" s="174" t="s">
        <v>396</v>
      </c>
      <c r="E18" s="16"/>
      <c r="F18" s="16">
        <v>578.0</v>
      </c>
      <c r="G18" s="16" t="s">
        <v>333</v>
      </c>
      <c r="H18" s="16" t="s">
        <v>12</v>
      </c>
      <c r="I18" s="16"/>
      <c r="J18" s="16"/>
      <c r="K18" s="16"/>
      <c r="L18" s="16"/>
      <c r="M18" s="16"/>
      <c r="N18" s="16"/>
      <c r="O18" s="16"/>
      <c r="P18" s="16"/>
      <c r="Q18" s="16"/>
      <c r="R18" s="16"/>
      <c r="S18" s="16">
        <v>-2.0</v>
      </c>
      <c r="T18" s="16"/>
      <c r="U18" s="16" t="s">
        <v>397</v>
      </c>
      <c r="V18" s="16" t="s">
        <v>398</v>
      </c>
      <c r="W18" s="16" t="s">
        <v>399</v>
      </c>
      <c r="X18" s="16" t="s">
        <v>181</v>
      </c>
      <c r="Y18" s="100"/>
      <c r="Z18" s="16" t="s">
        <v>181</v>
      </c>
      <c r="AB18" s="16">
        <v>593.0</v>
      </c>
      <c r="AC18" s="16" t="s">
        <v>272</v>
      </c>
      <c r="AD18" s="16" t="s">
        <v>400</v>
      </c>
      <c r="AE18" s="16" t="s">
        <v>401</v>
      </c>
      <c r="AF18" s="16" t="s">
        <v>181</v>
      </c>
      <c r="AG18" s="16" t="s">
        <v>181</v>
      </c>
      <c r="AH18" s="16" t="s">
        <v>402</v>
      </c>
      <c r="AI18" s="16" t="s">
        <v>403</v>
      </c>
      <c r="AJ18" s="16" t="s">
        <v>404</v>
      </c>
      <c r="AK18" s="16" t="s">
        <v>405</v>
      </c>
      <c r="AL18" s="16">
        <v>42.0</v>
      </c>
      <c r="AM18" s="16" t="s">
        <v>181</v>
      </c>
      <c r="AN18" s="174" t="s">
        <v>406</v>
      </c>
      <c r="AO18" s="16" t="s">
        <v>181</v>
      </c>
      <c r="AP18" s="174" t="s">
        <v>407</v>
      </c>
      <c r="AQ18" s="16" t="s">
        <v>408</v>
      </c>
      <c r="AR18" s="16" t="s">
        <v>181</v>
      </c>
      <c r="AS18" s="16">
        <v>13.0</v>
      </c>
      <c r="AT18" s="16" t="s">
        <v>181</v>
      </c>
      <c r="AU18" s="16">
        <v>33.5</v>
      </c>
    </row>
    <row r="19">
      <c r="A19" s="16">
        <v>12509.0</v>
      </c>
      <c r="B19" s="16" t="s">
        <v>409</v>
      </c>
      <c r="C19" s="16">
        <v>0.0</v>
      </c>
      <c r="D19" s="174" t="s">
        <v>410</v>
      </c>
      <c r="E19" s="16"/>
      <c r="F19" s="16">
        <v>547.0</v>
      </c>
      <c r="G19" s="16" t="s">
        <v>176</v>
      </c>
      <c r="H19" s="16" t="s">
        <v>24</v>
      </c>
      <c r="I19" s="16" t="s">
        <v>25</v>
      </c>
      <c r="J19" s="16" t="s">
        <v>26</v>
      </c>
      <c r="K19" s="16"/>
      <c r="L19" s="16"/>
      <c r="M19" s="16"/>
      <c r="N19" s="16"/>
      <c r="O19" s="16"/>
      <c r="P19" s="16"/>
      <c r="Q19" s="16"/>
      <c r="R19" s="16"/>
      <c r="S19" s="16">
        <v>-2.0</v>
      </c>
      <c r="T19" s="16"/>
      <c r="U19" s="16" t="s">
        <v>411</v>
      </c>
      <c r="V19" s="16" t="s">
        <v>412</v>
      </c>
      <c r="W19" s="16" t="s">
        <v>360</v>
      </c>
      <c r="X19" s="16" t="s">
        <v>181</v>
      </c>
      <c r="Y19" s="100"/>
      <c r="Z19" s="16" t="s">
        <v>181</v>
      </c>
    </row>
    <row r="20">
      <c r="A20" s="16">
        <v>12510.0</v>
      </c>
      <c r="B20" s="16" t="s">
        <v>413</v>
      </c>
      <c r="C20" s="16">
        <v>0.59</v>
      </c>
      <c r="D20" s="174" t="s">
        <v>414</v>
      </c>
      <c r="E20" s="16"/>
      <c r="F20" s="16">
        <v>595.0</v>
      </c>
      <c r="G20" s="16" t="s">
        <v>415</v>
      </c>
      <c r="H20" s="16" t="s">
        <v>25</v>
      </c>
      <c r="I20" s="16" t="s">
        <v>26</v>
      </c>
      <c r="J20" s="16"/>
      <c r="K20" s="16"/>
      <c r="L20" s="16"/>
      <c r="M20" s="16"/>
      <c r="N20" s="16"/>
      <c r="O20" s="16"/>
      <c r="P20" s="16"/>
      <c r="Q20" s="16"/>
      <c r="R20" s="16"/>
      <c r="S20" s="16">
        <v>-2.0</v>
      </c>
      <c r="T20" s="16"/>
      <c r="U20" s="16" t="s">
        <v>416</v>
      </c>
      <c r="V20" s="16" t="s">
        <v>417</v>
      </c>
      <c r="W20" s="16" t="s">
        <v>179</v>
      </c>
      <c r="X20" s="16" t="s">
        <v>181</v>
      </c>
      <c r="Y20" s="100"/>
      <c r="Z20" s="16" t="s">
        <v>181</v>
      </c>
    </row>
    <row r="21">
      <c r="A21" s="16">
        <v>12511.0</v>
      </c>
      <c r="B21" s="16" t="s">
        <v>418</v>
      </c>
      <c r="C21" s="16">
        <v>1.54</v>
      </c>
      <c r="D21" s="174" t="s">
        <v>419</v>
      </c>
      <c r="E21" s="16"/>
      <c r="F21" s="16">
        <v>547.0</v>
      </c>
      <c r="G21" s="16" t="s">
        <v>176</v>
      </c>
      <c r="H21" s="16" t="s">
        <v>25</v>
      </c>
      <c r="I21" s="16" t="s">
        <v>26</v>
      </c>
      <c r="J21" s="16"/>
      <c r="K21" s="16"/>
      <c r="L21" s="16"/>
      <c r="M21" s="16"/>
      <c r="N21" s="16"/>
      <c r="O21" s="16"/>
      <c r="P21" s="16"/>
      <c r="Q21" s="16"/>
      <c r="R21" s="16"/>
      <c r="S21" s="16">
        <v>-2.0</v>
      </c>
      <c r="T21" s="16"/>
      <c r="U21" s="16" t="s">
        <v>420</v>
      </c>
      <c r="V21" s="16" t="s">
        <v>421</v>
      </c>
      <c r="W21" s="16" t="s">
        <v>422</v>
      </c>
      <c r="X21" s="16" t="s">
        <v>181</v>
      </c>
      <c r="Y21" s="100"/>
      <c r="Z21" s="16" t="s">
        <v>181</v>
      </c>
    </row>
    <row r="22">
      <c r="A22" s="16">
        <v>12512.0</v>
      </c>
      <c r="B22" s="16" t="s">
        <v>423</v>
      </c>
      <c r="C22" s="16">
        <v>1.41</v>
      </c>
      <c r="D22" s="174" t="s">
        <v>424</v>
      </c>
      <c r="E22" s="16"/>
      <c r="F22" s="16">
        <v>584.0</v>
      </c>
      <c r="G22" s="16" t="s">
        <v>361</v>
      </c>
      <c r="H22" s="16" t="s">
        <v>24</v>
      </c>
      <c r="I22" s="16" t="s">
        <v>25</v>
      </c>
      <c r="J22" s="16" t="s">
        <v>26</v>
      </c>
      <c r="K22" s="16"/>
      <c r="L22" s="16"/>
      <c r="M22" s="16"/>
      <c r="N22" s="16"/>
      <c r="O22" s="16"/>
      <c r="P22" s="16"/>
      <c r="Q22" s="16"/>
      <c r="R22" s="16"/>
      <c r="S22" s="16">
        <v>-2.0</v>
      </c>
      <c r="T22" s="16"/>
      <c r="U22" s="16" t="s">
        <v>425</v>
      </c>
      <c r="V22" s="16" t="s">
        <v>426</v>
      </c>
      <c r="W22" s="16" t="s">
        <v>360</v>
      </c>
      <c r="X22" s="16" t="s">
        <v>181</v>
      </c>
      <c r="Y22" s="100"/>
      <c r="Z22" s="16" t="s">
        <v>181</v>
      </c>
    </row>
    <row r="23">
      <c r="A23" s="16">
        <v>12513.0</v>
      </c>
      <c r="B23" s="16" t="s">
        <v>427</v>
      </c>
      <c r="C23" s="16">
        <v>0.0</v>
      </c>
      <c r="D23" s="174" t="s">
        <v>428</v>
      </c>
      <c r="E23" s="16"/>
      <c r="F23" s="16">
        <v>547.0</v>
      </c>
      <c r="G23" s="16" t="s">
        <v>176</v>
      </c>
      <c r="H23" s="16" t="s">
        <v>17</v>
      </c>
      <c r="I23" s="16" t="s">
        <v>19</v>
      </c>
      <c r="J23" s="16" t="s">
        <v>18</v>
      </c>
      <c r="K23" s="16"/>
      <c r="L23" s="16"/>
      <c r="M23" s="16"/>
      <c r="N23" s="16"/>
      <c r="O23" s="16"/>
      <c r="P23" s="16"/>
      <c r="Q23" s="16"/>
      <c r="R23" s="16"/>
      <c r="S23" s="16">
        <v>-2.0</v>
      </c>
      <c r="T23" s="16"/>
      <c r="U23" s="16" t="s">
        <v>429</v>
      </c>
      <c r="V23" s="16" t="s">
        <v>430</v>
      </c>
      <c r="W23" s="16" t="s">
        <v>199</v>
      </c>
      <c r="X23" s="16" t="s">
        <v>181</v>
      </c>
      <c r="Y23" s="100"/>
      <c r="Z23" s="16" t="s">
        <v>181</v>
      </c>
    </row>
    <row r="24">
      <c r="A24" s="16">
        <v>12514.0</v>
      </c>
      <c r="B24" s="16" t="s">
        <v>431</v>
      </c>
      <c r="C24" s="16">
        <v>0.0</v>
      </c>
      <c r="D24" s="174" t="s">
        <v>432</v>
      </c>
      <c r="E24" s="16"/>
      <c r="F24" s="16">
        <v>547.0</v>
      </c>
      <c r="G24" s="16" t="s">
        <v>176</v>
      </c>
      <c r="H24" s="16" t="s">
        <v>14</v>
      </c>
      <c r="I24" s="16" t="s">
        <v>15</v>
      </c>
      <c r="J24" s="16" t="s">
        <v>16</v>
      </c>
      <c r="K24" s="16"/>
      <c r="L24" s="16"/>
      <c r="M24" s="16"/>
      <c r="N24" s="16"/>
      <c r="O24" s="16"/>
      <c r="P24" s="16"/>
      <c r="Q24" s="16"/>
      <c r="R24" s="16"/>
      <c r="S24" s="16">
        <v>-2.0</v>
      </c>
      <c r="T24" s="16"/>
      <c r="U24" s="16" t="s">
        <v>433</v>
      </c>
      <c r="V24" s="16" t="s">
        <v>434</v>
      </c>
      <c r="W24" s="16" t="s">
        <v>199</v>
      </c>
      <c r="X24" s="16" t="s">
        <v>181</v>
      </c>
      <c r="Y24" s="100"/>
      <c r="Z24" s="16" t="s">
        <v>181</v>
      </c>
    </row>
    <row r="25">
      <c r="A25" s="16">
        <v>12515.0</v>
      </c>
      <c r="B25" s="16" t="s">
        <v>435</v>
      </c>
      <c r="C25" s="16">
        <v>0.71</v>
      </c>
      <c r="D25" s="174" t="s">
        <v>436</v>
      </c>
      <c r="E25" s="16"/>
      <c r="F25" s="16">
        <v>547.0</v>
      </c>
      <c r="G25" s="16" t="s">
        <v>176</v>
      </c>
      <c r="H25" s="16" t="s">
        <v>24</v>
      </c>
      <c r="I25" s="16" t="s">
        <v>25</v>
      </c>
      <c r="J25" s="16"/>
      <c r="K25" s="16"/>
      <c r="L25" s="16"/>
      <c r="M25" s="16"/>
      <c r="N25" s="16"/>
      <c r="O25" s="16"/>
      <c r="P25" s="16"/>
      <c r="Q25" s="16"/>
      <c r="R25" s="16"/>
      <c r="S25" s="16">
        <v>-2.0</v>
      </c>
      <c r="T25" s="16"/>
      <c r="U25" s="16" t="s">
        <v>437</v>
      </c>
      <c r="V25" s="16" t="s">
        <v>438</v>
      </c>
      <c r="W25" s="16" t="s">
        <v>188</v>
      </c>
      <c r="X25" s="16" t="s">
        <v>181</v>
      </c>
      <c r="Y25" s="100"/>
      <c r="Z25" s="16" t="s">
        <v>181</v>
      </c>
    </row>
    <row r="26">
      <c r="A26" s="16">
        <v>12516.0</v>
      </c>
      <c r="B26" s="16" t="s">
        <v>439</v>
      </c>
      <c r="C26" s="16">
        <v>1.44</v>
      </c>
      <c r="D26" s="174" t="s">
        <v>440</v>
      </c>
      <c r="E26" s="16"/>
      <c r="F26" s="16">
        <v>578.0</v>
      </c>
      <c r="G26" s="16" t="s">
        <v>333</v>
      </c>
      <c r="H26" s="16" t="s">
        <v>15</v>
      </c>
      <c r="I26" s="16" t="s">
        <v>13</v>
      </c>
      <c r="J26" s="16"/>
      <c r="K26" s="16"/>
      <c r="L26" s="16"/>
      <c r="M26" s="16"/>
      <c r="N26" s="16"/>
      <c r="O26" s="16"/>
      <c r="P26" s="16"/>
      <c r="Q26" s="16"/>
      <c r="R26" s="16"/>
      <c r="S26" s="16">
        <v>-2.0</v>
      </c>
      <c r="T26" s="16"/>
      <c r="U26" s="16" t="s">
        <v>441</v>
      </c>
      <c r="V26" s="16" t="s">
        <v>442</v>
      </c>
      <c r="W26" s="16" t="s">
        <v>443</v>
      </c>
      <c r="X26" s="16" t="s">
        <v>181</v>
      </c>
      <c r="Y26" s="100"/>
      <c r="Z26" s="16" t="s">
        <v>181</v>
      </c>
    </row>
    <row r="27">
      <c r="A27" s="16">
        <v>12517.0</v>
      </c>
      <c r="B27" s="16" t="s">
        <v>40</v>
      </c>
      <c r="C27" s="16">
        <v>0.58</v>
      </c>
      <c r="D27" s="174" t="s">
        <v>444</v>
      </c>
      <c r="E27" s="16"/>
      <c r="F27" s="16">
        <v>563.0</v>
      </c>
      <c r="G27" s="16" t="s">
        <v>260</v>
      </c>
      <c r="H27" s="16" t="s">
        <v>19</v>
      </c>
      <c r="I27" s="16" t="s">
        <v>17</v>
      </c>
      <c r="J27" s="16" t="s">
        <v>13</v>
      </c>
      <c r="K27" s="16"/>
      <c r="L27" s="16"/>
      <c r="M27" s="16"/>
      <c r="N27" s="16"/>
      <c r="O27" s="16"/>
      <c r="P27" s="16"/>
      <c r="Q27" s="16"/>
      <c r="R27" s="16"/>
      <c r="S27" s="16">
        <v>-2.0</v>
      </c>
      <c r="T27" s="16"/>
      <c r="U27" s="16" t="s">
        <v>445</v>
      </c>
      <c r="V27" s="16" t="s">
        <v>446</v>
      </c>
      <c r="W27" s="16" t="s">
        <v>188</v>
      </c>
      <c r="X27" s="16" t="s">
        <v>181</v>
      </c>
      <c r="Y27" s="100"/>
      <c r="Z27" s="16" t="s">
        <v>181</v>
      </c>
    </row>
    <row r="28">
      <c r="A28" s="16">
        <v>12518.0</v>
      </c>
      <c r="B28" s="16" t="s">
        <v>447</v>
      </c>
      <c r="C28" s="16">
        <v>0.31</v>
      </c>
      <c r="D28" s="174" t="s">
        <v>448</v>
      </c>
      <c r="E28" s="16"/>
      <c r="F28" s="16">
        <v>547.0</v>
      </c>
      <c r="G28" s="16" t="s">
        <v>176</v>
      </c>
      <c r="H28" s="16" t="s">
        <v>24</v>
      </c>
      <c r="I28" s="16"/>
      <c r="J28" s="16"/>
      <c r="K28" s="16"/>
      <c r="L28" s="16"/>
      <c r="M28" s="16"/>
      <c r="N28" s="16"/>
      <c r="O28" s="16"/>
      <c r="P28" s="16"/>
      <c r="Q28" s="16"/>
      <c r="R28" s="16"/>
      <c r="S28" s="16">
        <v>-2.0</v>
      </c>
      <c r="T28" s="16"/>
      <c r="U28" s="16" t="s">
        <v>449</v>
      </c>
      <c r="V28" s="16" t="s">
        <v>450</v>
      </c>
      <c r="W28" s="16" t="s">
        <v>443</v>
      </c>
      <c r="X28" s="16" t="s">
        <v>181</v>
      </c>
      <c r="Y28" s="100"/>
      <c r="Z28" s="16" t="s">
        <v>181</v>
      </c>
    </row>
    <row r="29">
      <c r="A29" s="16">
        <v>12519.0</v>
      </c>
      <c r="B29" s="16" t="s">
        <v>451</v>
      </c>
      <c r="C29" s="16">
        <v>1.5</v>
      </c>
      <c r="D29" s="174" t="s">
        <v>452</v>
      </c>
      <c r="E29" s="16"/>
      <c r="F29" s="16">
        <v>565.0</v>
      </c>
      <c r="G29" s="16" t="s">
        <v>228</v>
      </c>
      <c r="H29" s="16" t="s">
        <v>12</v>
      </c>
      <c r="I29" s="16"/>
      <c r="J29" s="16"/>
      <c r="K29" s="16"/>
      <c r="L29" s="16"/>
      <c r="M29" s="16"/>
      <c r="N29" s="16"/>
      <c r="O29" s="16"/>
      <c r="P29" s="16"/>
      <c r="Q29" s="16"/>
      <c r="R29" s="16"/>
      <c r="S29" s="16">
        <v>-2.0</v>
      </c>
      <c r="T29" s="16"/>
      <c r="U29" s="16" t="s">
        <v>453</v>
      </c>
      <c r="V29" s="16" t="s">
        <v>454</v>
      </c>
      <c r="W29" s="16" t="s">
        <v>259</v>
      </c>
      <c r="X29" s="16" t="s">
        <v>181</v>
      </c>
      <c r="Y29" s="100"/>
      <c r="Z29" s="16" t="s">
        <v>181</v>
      </c>
    </row>
    <row r="30">
      <c r="A30" s="16">
        <v>12520.0</v>
      </c>
      <c r="B30" s="16" t="s">
        <v>455</v>
      </c>
      <c r="C30" s="16">
        <v>0.0</v>
      </c>
      <c r="D30" s="174" t="s">
        <v>456</v>
      </c>
      <c r="E30" s="16"/>
      <c r="F30" s="16">
        <v>547.0</v>
      </c>
      <c r="G30" s="16" t="s">
        <v>176</v>
      </c>
      <c r="H30" s="16" t="s">
        <v>18</v>
      </c>
      <c r="I30" s="16"/>
      <c r="J30" s="16"/>
      <c r="K30" s="16"/>
      <c r="L30" s="16"/>
      <c r="M30" s="16"/>
      <c r="N30" s="16"/>
      <c r="O30" s="16"/>
      <c r="P30" s="16"/>
      <c r="Q30" s="16"/>
      <c r="R30" s="16"/>
      <c r="S30" s="16">
        <v>-2.0</v>
      </c>
      <c r="T30" s="16"/>
      <c r="U30" s="16" t="s">
        <v>457</v>
      </c>
      <c r="V30" s="16" t="s">
        <v>458</v>
      </c>
      <c r="W30" s="16" t="s">
        <v>459</v>
      </c>
      <c r="X30" s="16" t="s">
        <v>181</v>
      </c>
      <c r="Y30" s="100"/>
      <c r="Z30" s="16" t="s">
        <v>181</v>
      </c>
    </row>
    <row r="31">
      <c r="A31" s="16">
        <v>12521.0</v>
      </c>
      <c r="B31" s="16" t="s">
        <v>42</v>
      </c>
      <c r="C31" s="16">
        <v>1.88</v>
      </c>
      <c r="D31" s="174" t="s">
        <v>460</v>
      </c>
      <c r="E31" s="16"/>
      <c r="F31" s="16">
        <v>581.0</v>
      </c>
      <c r="G31" s="16" t="s">
        <v>346</v>
      </c>
      <c r="H31" s="16" t="s">
        <v>15</v>
      </c>
      <c r="I31" s="16"/>
      <c r="J31" s="16"/>
      <c r="K31" s="16"/>
      <c r="L31" s="16"/>
      <c r="M31" s="16"/>
      <c r="N31" s="16"/>
      <c r="O31" s="16"/>
      <c r="P31" s="16"/>
      <c r="Q31" s="16"/>
      <c r="R31" s="16"/>
      <c r="S31" s="16">
        <v>-2.0</v>
      </c>
      <c r="T31" s="16"/>
      <c r="U31" s="16" t="s">
        <v>461</v>
      </c>
      <c r="V31" s="16" t="s">
        <v>462</v>
      </c>
      <c r="W31" s="16" t="s">
        <v>443</v>
      </c>
      <c r="X31" s="16" t="s">
        <v>181</v>
      </c>
      <c r="Y31" s="100"/>
      <c r="Z31" s="16" t="s">
        <v>181</v>
      </c>
    </row>
    <row r="32">
      <c r="A32" s="16">
        <v>12522.0</v>
      </c>
      <c r="B32" s="16" t="s">
        <v>463</v>
      </c>
      <c r="C32" s="16">
        <v>3.85</v>
      </c>
      <c r="D32" s="174" t="s">
        <v>464</v>
      </c>
      <c r="E32" s="16"/>
      <c r="F32" s="16">
        <v>579.0</v>
      </c>
      <c r="G32" s="16" t="s">
        <v>465</v>
      </c>
      <c r="H32" s="16" t="s">
        <v>19</v>
      </c>
      <c r="I32" s="16" t="s">
        <v>18</v>
      </c>
      <c r="J32" s="16" t="s">
        <v>17</v>
      </c>
      <c r="K32" s="16"/>
      <c r="L32" s="16"/>
      <c r="M32" s="16"/>
      <c r="N32" s="16"/>
      <c r="O32" s="16"/>
      <c r="P32" s="16"/>
      <c r="Q32" s="16"/>
      <c r="R32" s="16" t="s">
        <v>466</v>
      </c>
      <c r="S32" s="16">
        <v>-2.0</v>
      </c>
      <c r="T32" s="16"/>
      <c r="U32" s="16" t="s">
        <v>467</v>
      </c>
      <c r="V32" s="16" t="s">
        <v>468</v>
      </c>
      <c r="W32" s="16" t="s">
        <v>276</v>
      </c>
      <c r="X32" s="16" t="s">
        <v>181</v>
      </c>
      <c r="Y32" s="100"/>
      <c r="Z32" s="16" t="s">
        <v>181</v>
      </c>
    </row>
    <row r="33">
      <c r="A33" s="16">
        <v>12523.0</v>
      </c>
      <c r="B33" s="16" t="s">
        <v>469</v>
      </c>
      <c r="C33" s="16">
        <v>0.3</v>
      </c>
      <c r="D33" s="174" t="s">
        <v>470</v>
      </c>
      <c r="E33" s="16"/>
      <c r="F33" s="16">
        <v>547.0</v>
      </c>
      <c r="G33" s="16" t="s">
        <v>176</v>
      </c>
      <c r="H33" s="16" t="s">
        <v>24</v>
      </c>
      <c r="I33" s="16" t="s">
        <v>25</v>
      </c>
      <c r="J33" s="16"/>
      <c r="K33" s="16"/>
      <c r="L33" s="16"/>
      <c r="M33" s="16"/>
      <c r="N33" s="16"/>
      <c r="O33" s="16"/>
      <c r="P33" s="16"/>
      <c r="Q33" s="16"/>
      <c r="R33" s="16"/>
      <c r="S33" s="16">
        <v>-2.0</v>
      </c>
      <c r="T33" s="16"/>
      <c r="U33" s="16" t="s">
        <v>471</v>
      </c>
      <c r="V33" s="16" t="s">
        <v>472</v>
      </c>
      <c r="W33" s="16" t="s">
        <v>473</v>
      </c>
      <c r="X33" s="16" t="s">
        <v>181</v>
      </c>
      <c r="Y33" s="100"/>
      <c r="Z33" s="16" t="s">
        <v>181</v>
      </c>
    </row>
    <row r="34">
      <c r="A34" s="16">
        <v>12524.0</v>
      </c>
      <c r="B34" s="16" t="s">
        <v>474</v>
      </c>
      <c r="C34" s="16">
        <v>0.0</v>
      </c>
      <c r="D34" s="174" t="s">
        <v>475</v>
      </c>
      <c r="E34" s="16"/>
      <c r="F34" s="16">
        <v>547.0</v>
      </c>
      <c r="G34" s="16" t="s">
        <v>176</v>
      </c>
      <c r="H34" s="16" t="s">
        <v>12</v>
      </c>
      <c r="I34" s="16"/>
      <c r="J34" s="16"/>
      <c r="K34" s="16"/>
      <c r="L34" s="16"/>
      <c r="M34" s="16"/>
      <c r="N34" s="16"/>
      <c r="O34" s="16"/>
      <c r="P34" s="16"/>
      <c r="Q34" s="16"/>
      <c r="R34" s="16"/>
      <c r="S34" s="16">
        <v>-2.0</v>
      </c>
      <c r="T34" s="16"/>
      <c r="U34" s="16" t="s">
        <v>476</v>
      </c>
      <c r="V34" s="16" t="s">
        <v>477</v>
      </c>
      <c r="W34" s="16" t="s">
        <v>478</v>
      </c>
      <c r="X34" s="16" t="s">
        <v>181</v>
      </c>
      <c r="Y34" s="100"/>
      <c r="Z34" s="16" t="s">
        <v>181</v>
      </c>
    </row>
    <row r="35">
      <c r="A35" s="16">
        <v>12525.0</v>
      </c>
      <c r="B35" s="16" t="s">
        <v>479</v>
      </c>
      <c r="C35" s="16">
        <v>0.0</v>
      </c>
      <c r="D35" s="174" t="s">
        <v>480</v>
      </c>
      <c r="E35" s="16"/>
      <c r="F35" s="16">
        <v>547.0</v>
      </c>
      <c r="G35" s="16" t="s">
        <v>176</v>
      </c>
      <c r="H35" s="16" t="s">
        <v>17</v>
      </c>
      <c r="I35" s="16" t="s">
        <v>13</v>
      </c>
      <c r="J35" s="16" t="s">
        <v>19</v>
      </c>
      <c r="K35" s="16"/>
      <c r="L35" s="16"/>
      <c r="M35" s="16"/>
      <c r="N35" s="16"/>
      <c r="O35" s="16"/>
      <c r="P35" s="16"/>
      <c r="Q35" s="16"/>
      <c r="R35" s="16"/>
      <c r="S35" s="16">
        <v>-2.0</v>
      </c>
      <c r="T35" s="16"/>
      <c r="U35" s="16" t="s">
        <v>481</v>
      </c>
      <c r="V35" s="16" t="s">
        <v>482</v>
      </c>
      <c r="W35" s="16" t="s">
        <v>422</v>
      </c>
      <c r="X35" s="16" t="s">
        <v>181</v>
      </c>
      <c r="Y35" s="100"/>
      <c r="Z35" s="16" t="s">
        <v>181</v>
      </c>
    </row>
    <row r="36">
      <c r="A36" s="16">
        <v>12526.0</v>
      </c>
      <c r="B36" s="16" t="s">
        <v>483</v>
      </c>
      <c r="C36" s="16">
        <v>0.22</v>
      </c>
      <c r="D36" s="174" t="s">
        <v>484</v>
      </c>
      <c r="E36" s="16"/>
      <c r="F36" s="16">
        <v>547.0</v>
      </c>
      <c r="G36" s="16" t="s">
        <v>176</v>
      </c>
      <c r="H36" s="16" t="s">
        <v>17</v>
      </c>
      <c r="I36" s="16" t="s">
        <v>19</v>
      </c>
      <c r="J36" s="16" t="s">
        <v>18</v>
      </c>
      <c r="K36" s="16"/>
      <c r="L36" s="16"/>
      <c r="M36" s="16"/>
      <c r="N36" s="16"/>
      <c r="O36" s="16"/>
      <c r="P36" s="16"/>
      <c r="Q36" s="16"/>
      <c r="R36" s="16"/>
      <c r="S36" s="16">
        <v>-2.0</v>
      </c>
      <c r="T36" s="16"/>
      <c r="U36" s="16" t="s">
        <v>485</v>
      </c>
      <c r="V36" s="16" t="s">
        <v>486</v>
      </c>
      <c r="W36" s="16" t="s">
        <v>188</v>
      </c>
      <c r="X36" s="16" t="s">
        <v>181</v>
      </c>
      <c r="Y36" s="100"/>
      <c r="Z36" s="16" t="s">
        <v>181</v>
      </c>
    </row>
    <row r="37">
      <c r="A37" s="16">
        <v>12527.0</v>
      </c>
      <c r="B37" s="16" t="s">
        <v>487</v>
      </c>
      <c r="C37" s="16">
        <v>1.16</v>
      </c>
      <c r="D37" s="174" t="s">
        <v>488</v>
      </c>
      <c r="E37" s="16"/>
      <c r="F37" s="16">
        <v>575.0</v>
      </c>
      <c r="G37" s="16" t="s">
        <v>212</v>
      </c>
      <c r="H37" s="16" t="s">
        <v>25</v>
      </c>
      <c r="I37" s="16" t="s">
        <v>26</v>
      </c>
      <c r="J37" s="16"/>
      <c r="K37" s="16"/>
      <c r="L37" s="16"/>
      <c r="M37" s="16"/>
      <c r="N37" s="16"/>
      <c r="O37" s="16"/>
      <c r="P37" s="16"/>
      <c r="Q37" s="16"/>
      <c r="R37" s="16"/>
      <c r="S37" s="16">
        <v>-2.0</v>
      </c>
      <c r="T37" s="16"/>
      <c r="U37" s="16" t="s">
        <v>489</v>
      </c>
      <c r="V37" s="16" t="s">
        <v>490</v>
      </c>
      <c r="W37" s="16" t="s">
        <v>491</v>
      </c>
      <c r="X37" s="16" t="s">
        <v>181</v>
      </c>
      <c r="Y37" s="100"/>
      <c r="Z37" s="16" t="s">
        <v>181</v>
      </c>
    </row>
    <row r="38">
      <c r="A38" s="16">
        <v>12528.0</v>
      </c>
      <c r="B38" s="16" t="s">
        <v>492</v>
      </c>
      <c r="C38" s="16">
        <v>0.0</v>
      </c>
      <c r="D38" s="174" t="s">
        <v>493</v>
      </c>
      <c r="E38" s="16"/>
      <c r="F38" s="16">
        <v>547.0</v>
      </c>
      <c r="G38" s="16" t="s">
        <v>176</v>
      </c>
      <c r="H38" s="16" t="s">
        <v>24</v>
      </c>
      <c r="I38" s="16"/>
      <c r="J38" s="16"/>
      <c r="K38" s="16"/>
      <c r="L38" s="16"/>
      <c r="M38" s="16"/>
      <c r="N38" s="16"/>
      <c r="O38" s="16"/>
      <c r="P38" s="16"/>
      <c r="Q38" s="16"/>
      <c r="R38" s="16"/>
      <c r="S38" s="16">
        <v>-2.0</v>
      </c>
      <c r="T38" s="16"/>
      <c r="U38" s="16" t="s">
        <v>494</v>
      </c>
      <c r="V38" s="16" t="s">
        <v>495</v>
      </c>
      <c r="W38" s="16" t="s">
        <v>496</v>
      </c>
      <c r="X38" s="16" t="s">
        <v>181</v>
      </c>
      <c r="Y38" s="100"/>
      <c r="Z38" s="16" t="s">
        <v>181</v>
      </c>
    </row>
    <row r="39">
      <c r="A39" s="16">
        <v>12529.0</v>
      </c>
      <c r="B39" s="16" t="s">
        <v>497</v>
      </c>
      <c r="C39" s="16">
        <v>0.43</v>
      </c>
      <c r="D39" s="174" t="s">
        <v>498</v>
      </c>
      <c r="E39" s="16"/>
      <c r="F39" s="16">
        <v>572.0</v>
      </c>
      <c r="G39" s="16" t="s">
        <v>306</v>
      </c>
      <c r="H39" s="16" t="s">
        <v>25</v>
      </c>
      <c r="I39" s="16" t="s">
        <v>26</v>
      </c>
      <c r="J39" s="16"/>
      <c r="K39" s="16"/>
      <c r="L39" s="16"/>
      <c r="M39" s="16"/>
      <c r="N39" s="16"/>
      <c r="O39" s="16"/>
      <c r="P39" s="16"/>
      <c r="Q39" s="16"/>
      <c r="R39" s="16"/>
      <c r="S39" s="16">
        <v>-2.0</v>
      </c>
      <c r="T39" s="16"/>
      <c r="U39" s="16" t="s">
        <v>499</v>
      </c>
      <c r="V39" s="16" t="s">
        <v>500</v>
      </c>
      <c r="W39" s="16" t="s">
        <v>179</v>
      </c>
      <c r="X39" s="16" t="s">
        <v>181</v>
      </c>
      <c r="Y39" s="100"/>
      <c r="Z39" s="16" t="s">
        <v>181</v>
      </c>
    </row>
    <row r="40">
      <c r="A40" s="16">
        <v>12530.0</v>
      </c>
      <c r="B40" s="16" t="s">
        <v>501</v>
      </c>
      <c r="C40" s="16">
        <v>0.0</v>
      </c>
      <c r="D40" s="174" t="s">
        <v>502</v>
      </c>
      <c r="E40" s="16"/>
      <c r="F40" s="16">
        <v>547.0</v>
      </c>
      <c r="G40" s="16" t="s">
        <v>176</v>
      </c>
      <c r="H40" s="16" t="s">
        <v>12</v>
      </c>
      <c r="I40" s="16"/>
      <c r="J40" s="16"/>
      <c r="K40" s="16"/>
      <c r="L40" s="16"/>
      <c r="M40" s="16"/>
      <c r="N40" s="16"/>
      <c r="O40" s="16"/>
      <c r="P40" s="16"/>
      <c r="Q40" s="16"/>
      <c r="R40" s="16"/>
      <c r="S40" s="16">
        <v>-2.0</v>
      </c>
      <c r="T40" s="16"/>
      <c r="U40" s="16" t="s">
        <v>503</v>
      </c>
      <c r="V40" s="16" t="s">
        <v>504</v>
      </c>
      <c r="W40" s="16" t="s">
        <v>399</v>
      </c>
      <c r="X40" s="16" t="s">
        <v>181</v>
      </c>
      <c r="Y40" s="100"/>
      <c r="Z40" s="16" t="s">
        <v>181</v>
      </c>
    </row>
    <row r="41">
      <c r="A41" s="16">
        <v>12531.0</v>
      </c>
      <c r="B41" s="16" t="s">
        <v>505</v>
      </c>
      <c r="C41" s="16">
        <v>0.0</v>
      </c>
      <c r="D41" s="174" t="s">
        <v>506</v>
      </c>
      <c r="E41" s="16"/>
      <c r="F41" s="16">
        <v>575.0</v>
      </c>
      <c r="G41" s="16" t="s">
        <v>212</v>
      </c>
      <c r="H41" s="16" t="s">
        <v>14</v>
      </c>
      <c r="I41" s="16" t="s">
        <v>16</v>
      </c>
      <c r="J41" s="16"/>
      <c r="K41" s="16"/>
      <c r="L41" s="16"/>
      <c r="M41" s="16"/>
      <c r="N41" s="16"/>
      <c r="O41" s="16"/>
      <c r="P41" s="16"/>
      <c r="Q41" s="16"/>
      <c r="R41" s="16"/>
      <c r="S41" s="16">
        <v>-2.0</v>
      </c>
      <c r="T41" s="16"/>
      <c r="U41" s="16" t="s">
        <v>507</v>
      </c>
      <c r="V41" s="16" t="s">
        <v>508</v>
      </c>
      <c r="W41" s="16" t="s">
        <v>399</v>
      </c>
      <c r="X41" s="16" t="s">
        <v>181</v>
      </c>
      <c r="Y41" s="100"/>
      <c r="Z41" s="16" t="s">
        <v>181</v>
      </c>
    </row>
    <row r="42">
      <c r="A42" s="16">
        <v>12532.0</v>
      </c>
      <c r="B42" s="16" t="s">
        <v>509</v>
      </c>
      <c r="C42" s="16">
        <v>0.0</v>
      </c>
      <c r="D42" s="174" t="s">
        <v>510</v>
      </c>
      <c r="E42" s="16"/>
      <c r="F42" s="16">
        <v>554.0</v>
      </c>
      <c r="G42" s="16" t="s">
        <v>215</v>
      </c>
      <c r="H42" s="16" t="s">
        <v>14</v>
      </c>
      <c r="I42" s="16" t="s">
        <v>19</v>
      </c>
      <c r="J42" s="16" t="s">
        <v>15</v>
      </c>
      <c r="K42" s="16" t="s">
        <v>16</v>
      </c>
      <c r="L42" s="16"/>
      <c r="M42" s="16"/>
      <c r="N42" s="16"/>
      <c r="O42" s="16"/>
      <c r="P42" s="16"/>
      <c r="Q42" s="16"/>
      <c r="R42" s="16"/>
      <c r="S42" s="16">
        <v>-2.0</v>
      </c>
      <c r="T42" s="16"/>
      <c r="U42" s="16" t="s">
        <v>511</v>
      </c>
      <c r="V42" s="16" t="s">
        <v>512</v>
      </c>
      <c r="W42" s="16" t="s">
        <v>179</v>
      </c>
      <c r="X42" s="16" t="s">
        <v>181</v>
      </c>
      <c r="Y42" s="100"/>
      <c r="Z42" s="16" t="s">
        <v>181</v>
      </c>
    </row>
    <row r="43">
      <c r="A43" s="16">
        <v>12533.0</v>
      </c>
      <c r="B43" s="16" t="s">
        <v>513</v>
      </c>
      <c r="C43" s="16">
        <v>0.99</v>
      </c>
      <c r="D43" s="174" t="s">
        <v>514</v>
      </c>
      <c r="E43" s="16"/>
      <c r="F43" s="16">
        <v>567.0</v>
      </c>
      <c r="G43" s="16" t="s">
        <v>515</v>
      </c>
      <c r="H43" s="16" t="s">
        <v>24</v>
      </c>
      <c r="I43" s="16" t="s">
        <v>25</v>
      </c>
      <c r="J43" s="16"/>
      <c r="K43" s="16"/>
      <c r="L43" s="16"/>
      <c r="M43" s="16"/>
      <c r="N43" s="16"/>
      <c r="O43" s="16"/>
      <c r="P43" s="16"/>
      <c r="Q43" s="16"/>
      <c r="R43" s="16" t="s">
        <v>516</v>
      </c>
      <c r="S43" s="16">
        <v>-2.0</v>
      </c>
      <c r="T43" s="16"/>
      <c r="U43" s="16" t="s">
        <v>517</v>
      </c>
      <c r="V43" s="16" t="s">
        <v>518</v>
      </c>
      <c r="W43" s="16" t="s">
        <v>491</v>
      </c>
      <c r="X43" s="16" t="s">
        <v>181</v>
      </c>
      <c r="Y43" s="100"/>
      <c r="Z43" s="16" t="s">
        <v>181</v>
      </c>
    </row>
    <row r="44">
      <c r="A44" s="16">
        <v>12534.0</v>
      </c>
      <c r="B44" s="16" t="s">
        <v>519</v>
      </c>
      <c r="C44" s="16">
        <v>0.0</v>
      </c>
      <c r="D44" s="174" t="s">
        <v>520</v>
      </c>
      <c r="E44" s="16"/>
      <c r="F44" s="16">
        <v>576.0</v>
      </c>
      <c r="G44" s="16" t="s">
        <v>521</v>
      </c>
      <c r="H44" s="16" t="s">
        <v>13</v>
      </c>
      <c r="I44" s="16"/>
      <c r="J44" s="16"/>
      <c r="K44" s="16"/>
      <c r="L44" s="16"/>
      <c r="M44" s="16"/>
      <c r="N44" s="16"/>
      <c r="O44" s="16"/>
      <c r="P44" s="16"/>
      <c r="Q44" s="16"/>
      <c r="R44" s="16" t="s">
        <v>522</v>
      </c>
      <c r="S44" s="16">
        <v>-2.0</v>
      </c>
      <c r="T44" s="16"/>
      <c r="U44" s="16" t="s">
        <v>523</v>
      </c>
      <c r="V44" s="16" t="s">
        <v>524</v>
      </c>
      <c r="W44" s="16" t="s">
        <v>199</v>
      </c>
      <c r="X44" s="16" t="s">
        <v>181</v>
      </c>
      <c r="Y44" s="100"/>
      <c r="Z44" s="16" t="s">
        <v>181</v>
      </c>
    </row>
    <row r="45">
      <c r="A45" s="16">
        <v>12535.0</v>
      </c>
      <c r="B45" s="16" t="s">
        <v>525</v>
      </c>
      <c r="C45" s="16">
        <v>1.83</v>
      </c>
      <c r="D45" s="174" t="s">
        <v>526</v>
      </c>
      <c r="E45" s="16"/>
      <c r="F45" s="16">
        <v>547.0</v>
      </c>
      <c r="G45" s="16" t="s">
        <v>176</v>
      </c>
      <c r="H45" s="16" t="s">
        <v>14</v>
      </c>
      <c r="I45" s="16"/>
      <c r="J45" s="16"/>
      <c r="K45" s="16"/>
      <c r="L45" s="16"/>
      <c r="M45" s="16"/>
      <c r="N45" s="16"/>
      <c r="O45" s="16"/>
      <c r="P45" s="16"/>
      <c r="Q45" s="16"/>
      <c r="R45" s="16"/>
      <c r="S45" s="16">
        <v>-2.0</v>
      </c>
      <c r="T45" s="16"/>
      <c r="U45" s="16" t="s">
        <v>527</v>
      </c>
      <c r="V45" s="16" t="s">
        <v>528</v>
      </c>
      <c r="W45" s="16" t="s">
        <v>188</v>
      </c>
      <c r="X45" s="16" t="s">
        <v>181</v>
      </c>
      <c r="Y45" s="100"/>
      <c r="Z45" s="16" t="s">
        <v>181</v>
      </c>
    </row>
    <row r="46">
      <c r="A46" s="16">
        <v>12536.0</v>
      </c>
      <c r="B46" s="16" t="s">
        <v>529</v>
      </c>
      <c r="C46" s="16">
        <v>1.62</v>
      </c>
      <c r="D46" s="174" t="s">
        <v>530</v>
      </c>
      <c r="E46" s="16"/>
      <c r="F46" s="16">
        <v>569.0</v>
      </c>
      <c r="G46" s="16" t="s">
        <v>292</v>
      </c>
      <c r="H46" s="16" t="s">
        <v>25</v>
      </c>
      <c r="I46" s="16" t="s">
        <v>26</v>
      </c>
      <c r="J46" s="16"/>
      <c r="K46" s="16"/>
      <c r="L46" s="16"/>
      <c r="M46" s="16"/>
      <c r="N46" s="16"/>
      <c r="O46" s="16"/>
      <c r="P46" s="16"/>
      <c r="Q46" s="16"/>
      <c r="R46" s="16"/>
      <c r="S46" s="16">
        <v>-2.0</v>
      </c>
      <c r="T46" s="16"/>
      <c r="U46" s="16" t="s">
        <v>531</v>
      </c>
      <c r="V46" s="16" t="s">
        <v>532</v>
      </c>
      <c r="W46" s="16" t="s">
        <v>179</v>
      </c>
      <c r="X46" s="16" t="s">
        <v>181</v>
      </c>
      <c r="Y46" s="100"/>
      <c r="Z46" s="16" t="s">
        <v>181</v>
      </c>
    </row>
    <row r="47">
      <c r="A47" s="16">
        <v>12537.0</v>
      </c>
      <c r="B47" s="16" t="s">
        <v>533</v>
      </c>
      <c r="C47" s="16">
        <v>1.79</v>
      </c>
      <c r="D47" s="174" t="s">
        <v>534</v>
      </c>
      <c r="E47" s="16"/>
      <c r="F47" s="16">
        <v>591.0</v>
      </c>
      <c r="G47" s="16" t="s">
        <v>535</v>
      </c>
      <c r="H47" s="16" t="s">
        <v>24</v>
      </c>
      <c r="I47" s="16"/>
      <c r="J47" s="16"/>
      <c r="K47" s="16"/>
      <c r="L47" s="16"/>
      <c r="M47" s="16"/>
      <c r="N47" s="16"/>
      <c r="O47" s="16"/>
      <c r="P47" s="16"/>
      <c r="Q47" s="16"/>
      <c r="R47" s="16" t="s">
        <v>536</v>
      </c>
      <c r="S47" s="16">
        <v>-2.0</v>
      </c>
      <c r="T47" s="16"/>
      <c r="U47" s="16" t="s">
        <v>537</v>
      </c>
      <c r="V47" s="16" t="s">
        <v>538</v>
      </c>
      <c r="W47" s="16" t="s">
        <v>188</v>
      </c>
      <c r="X47" s="16" t="s">
        <v>181</v>
      </c>
      <c r="Y47" s="100"/>
      <c r="Z47" s="16" t="s">
        <v>181</v>
      </c>
    </row>
    <row r="48">
      <c r="A48" s="16">
        <v>12538.0</v>
      </c>
      <c r="B48" s="16" t="s">
        <v>539</v>
      </c>
      <c r="C48" s="16">
        <v>0.0</v>
      </c>
      <c r="D48" s="174" t="s">
        <v>540</v>
      </c>
      <c r="E48" s="16"/>
      <c r="F48" s="16">
        <v>547.0</v>
      </c>
      <c r="G48" s="16" t="s">
        <v>176</v>
      </c>
      <c r="H48" s="16" t="s">
        <v>17</v>
      </c>
      <c r="I48" s="16"/>
      <c r="J48" s="16"/>
      <c r="K48" s="16"/>
      <c r="L48" s="16"/>
      <c r="M48" s="16"/>
      <c r="N48" s="16"/>
      <c r="O48" s="16"/>
      <c r="P48" s="16"/>
      <c r="Q48" s="16"/>
      <c r="R48" s="16"/>
      <c r="S48" s="16">
        <v>-2.0</v>
      </c>
      <c r="T48" s="16"/>
      <c r="U48" s="16" t="s">
        <v>541</v>
      </c>
      <c r="V48" s="16" t="s">
        <v>542</v>
      </c>
      <c r="W48" s="16" t="s">
        <v>491</v>
      </c>
      <c r="X48" s="16" t="s">
        <v>181</v>
      </c>
      <c r="Y48" s="100"/>
      <c r="Z48" s="16" t="s">
        <v>181</v>
      </c>
    </row>
    <row r="49">
      <c r="A49" s="16">
        <v>12539.0</v>
      </c>
      <c r="B49" s="16" t="s">
        <v>543</v>
      </c>
      <c r="C49" s="16">
        <v>0.26</v>
      </c>
      <c r="D49" s="174" t="s">
        <v>544</v>
      </c>
      <c r="E49" s="16"/>
      <c r="F49" s="16">
        <v>547.0</v>
      </c>
      <c r="G49" s="16" t="s">
        <v>176</v>
      </c>
      <c r="H49" s="16" t="s">
        <v>25</v>
      </c>
      <c r="I49" s="16" t="s">
        <v>26</v>
      </c>
      <c r="J49" s="16"/>
      <c r="K49" s="16"/>
      <c r="L49" s="16"/>
      <c r="M49" s="16"/>
      <c r="N49" s="16"/>
      <c r="O49" s="16"/>
      <c r="P49" s="16"/>
      <c r="Q49" s="16"/>
      <c r="R49" s="16"/>
      <c r="S49" s="16">
        <v>-2.0</v>
      </c>
      <c r="T49" s="16"/>
      <c r="U49" s="16" t="s">
        <v>545</v>
      </c>
      <c r="V49" s="16" t="s">
        <v>546</v>
      </c>
      <c r="W49" s="16" t="s">
        <v>179</v>
      </c>
      <c r="X49" s="16" t="s">
        <v>181</v>
      </c>
      <c r="Y49" s="100"/>
      <c r="Z49" s="16" t="s">
        <v>181</v>
      </c>
    </row>
    <row r="50">
      <c r="A50" s="16">
        <v>12540.0</v>
      </c>
      <c r="B50" s="16" t="s">
        <v>547</v>
      </c>
      <c r="C50" s="16">
        <v>0.23</v>
      </c>
      <c r="D50" s="174" t="s">
        <v>548</v>
      </c>
      <c r="E50" s="16"/>
      <c r="F50" s="16">
        <v>547.0</v>
      </c>
      <c r="G50" s="16" t="s">
        <v>176</v>
      </c>
      <c r="H50" s="16" t="s">
        <v>24</v>
      </c>
      <c r="I50" s="16"/>
      <c r="J50" s="16"/>
      <c r="K50" s="16"/>
      <c r="L50" s="16"/>
      <c r="M50" s="16"/>
      <c r="N50" s="16"/>
      <c r="O50" s="16"/>
      <c r="P50" s="16"/>
      <c r="Q50" s="16"/>
      <c r="R50" s="16"/>
      <c r="S50" s="16">
        <v>-2.0</v>
      </c>
      <c r="T50" s="16"/>
      <c r="U50" s="16" t="s">
        <v>549</v>
      </c>
      <c r="V50" s="16" t="s">
        <v>550</v>
      </c>
      <c r="W50" s="16" t="s">
        <v>188</v>
      </c>
      <c r="X50" s="16" t="s">
        <v>181</v>
      </c>
      <c r="Y50" s="100"/>
      <c r="Z50" s="16" t="s">
        <v>181</v>
      </c>
    </row>
    <row r="51">
      <c r="A51" s="16">
        <v>12541.0</v>
      </c>
      <c r="B51" s="16" t="s">
        <v>551</v>
      </c>
      <c r="C51" s="16">
        <v>0.61</v>
      </c>
      <c r="D51" s="174" t="s">
        <v>552</v>
      </c>
      <c r="E51" s="16"/>
      <c r="F51" s="16">
        <v>547.0</v>
      </c>
      <c r="G51" s="16" t="s">
        <v>176</v>
      </c>
      <c r="H51" s="16" t="s">
        <v>25</v>
      </c>
      <c r="I51" s="16" t="s">
        <v>26</v>
      </c>
      <c r="J51" s="16"/>
      <c r="K51" s="16"/>
      <c r="L51" s="16"/>
      <c r="M51" s="16"/>
      <c r="N51" s="16"/>
      <c r="O51" s="16"/>
      <c r="P51" s="16"/>
      <c r="Q51" s="16"/>
      <c r="R51" s="16"/>
      <c r="S51" s="16">
        <v>-2.0</v>
      </c>
      <c r="T51" s="16"/>
      <c r="U51" s="16" t="s">
        <v>553</v>
      </c>
      <c r="V51" s="16" t="s">
        <v>554</v>
      </c>
      <c r="W51" s="16" t="s">
        <v>231</v>
      </c>
      <c r="X51" s="16" t="s">
        <v>181</v>
      </c>
      <c r="Y51" s="100"/>
      <c r="Z51" s="16" t="s">
        <v>181</v>
      </c>
    </row>
    <row r="52">
      <c r="A52" s="16">
        <v>12542.0</v>
      </c>
      <c r="B52" s="16" t="s">
        <v>555</v>
      </c>
      <c r="C52" s="16">
        <v>0.0</v>
      </c>
      <c r="D52" s="174" t="s">
        <v>556</v>
      </c>
      <c r="E52" s="16"/>
      <c r="F52" s="16">
        <v>547.0</v>
      </c>
      <c r="G52" s="16" t="s">
        <v>176</v>
      </c>
      <c r="H52" s="16" t="s">
        <v>12</v>
      </c>
      <c r="I52" s="16"/>
      <c r="J52" s="16"/>
      <c r="K52" s="16"/>
      <c r="L52" s="16"/>
      <c r="M52" s="16"/>
      <c r="N52" s="16"/>
      <c r="O52" s="16"/>
      <c r="P52" s="16"/>
      <c r="Q52" s="16"/>
      <c r="R52" s="16"/>
      <c r="S52" s="16">
        <v>-2.0</v>
      </c>
      <c r="T52" s="16"/>
      <c r="U52" s="16" t="s">
        <v>557</v>
      </c>
      <c r="V52" s="16" t="s">
        <v>558</v>
      </c>
      <c r="W52" s="16" t="s">
        <v>399</v>
      </c>
      <c r="X52" s="16" t="s">
        <v>181</v>
      </c>
      <c r="Y52" s="100"/>
      <c r="Z52" s="16" t="s">
        <v>181</v>
      </c>
    </row>
    <row r="53">
      <c r="A53" s="16">
        <v>12543.0</v>
      </c>
      <c r="B53" s="16" t="s">
        <v>52</v>
      </c>
      <c r="C53" s="16">
        <v>0.45</v>
      </c>
      <c r="D53" s="174" t="s">
        <v>559</v>
      </c>
      <c r="E53" s="16"/>
      <c r="F53" s="16">
        <v>547.0</v>
      </c>
      <c r="G53" s="16" t="s">
        <v>176</v>
      </c>
      <c r="H53" s="16" t="s">
        <v>19</v>
      </c>
      <c r="I53" s="16"/>
      <c r="J53" s="16"/>
      <c r="K53" s="16"/>
      <c r="L53" s="16"/>
      <c r="M53" s="16"/>
      <c r="N53" s="16"/>
      <c r="O53" s="16"/>
      <c r="P53" s="16"/>
      <c r="Q53" s="16"/>
      <c r="R53" s="16"/>
      <c r="S53" s="16">
        <v>-2.0</v>
      </c>
      <c r="T53" s="16"/>
      <c r="U53" s="16" t="s">
        <v>560</v>
      </c>
      <c r="V53" s="16" t="s">
        <v>561</v>
      </c>
      <c r="W53" s="16" t="s">
        <v>491</v>
      </c>
      <c r="X53" s="16" t="s">
        <v>181</v>
      </c>
      <c r="Y53" s="100"/>
      <c r="Z53" s="16" t="s">
        <v>181</v>
      </c>
    </row>
    <row r="54">
      <c r="A54" s="16">
        <v>12544.0</v>
      </c>
      <c r="B54" s="16" t="s">
        <v>562</v>
      </c>
      <c r="C54" s="16">
        <v>0.19</v>
      </c>
      <c r="D54" s="174" t="s">
        <v>563</v>
      </c>
      <c r="E54" s="16"/>
      <c r="F54" s="16">
        <v>547.0</v>
      </c>
      <c r="G54" s="16" t="s">
        <v>176</v>
      </c>
      <c r="H54" s="16" t="s">
        <v>25</v>
      </c>
      <c r="I54" s="16"/>
      <c r="J54" s="16"/>
      <c r="K54" s="16"/>
      <c r="L54" s="16"/>
      <c r="M54" s="16"/>
      <c r="N54" s="16"/>
      <c r="O54" s="16"/>
      <c r="P54" s="16"/>
      <c r="Q54" s="16"/>
      <c r="R54" s="16"/>
      <c r="S54" s="16">
        <v>-2.0</v>
      </c>
      <c r="T54" s="16"/>
      <c r="U54" s="16" t="s">
        <v>564</v>
      </c>
      <c r="V54" s="16" t="s">
        <v>565</v>
      </c>
      <c r="W54" s="16" t="s">
        <v>566</v>
      </c>
      <c r="X54" s="16" t="s">
        <v>181</v>
      </c>
      <c r="Y54" s="100"/>
      <c r="Z54" s="16" t="s">
        <v>181</v>
      </c>
    </row>
    <row r="55">
      <c r="A55" s="16">
        <v>12545.0</v>
      </c>
      <c r="B55" s="16" t="s">
        <v>567</v>
      </c>
      <c r="C55" s="16">
        <v>0.09</v>
      </c>
      <c r="D55" s="174" t="s">
        <v>568</v>
      </c>
      <c r="E55" s="16"/>
      <c r="F55" s="16">
        <v>547.0</v>
      </c>
      <c r="G55" s="16" t="s">
        <v>176</v>
      </c>
      <c r="H55" s="16" t="s">
        <v>13</v>
      </c>
      <c r="I55" s="16"/>
      <c r="J55" s="16"/>
      <c r="K55" s="16"/>
      <c r="L55" s="16"/>
      <c r="M55" s="16"/>
      <c r="N55" s="16"/>
      <c r="O55" s="16"/>
      <c r="P55" s="16"/>
      <c r="Q55" s="16"/>
      <c r="R55" s="16"/>
      <c r="S55" s="16">
        <v>-2.0</v>
      </c>
      <c r="T55" s="16"/>
      <c r="U55" s="16" t="s">
        <v>569</v>
      </c>
      <c r="V55" s="16" t="s">
        <v>570</v>
      </c>
      <c r="W55" s="16" t="s">
        <v>188</v>
      </c>
      <c r="X55" s="16" t="s">
        <v>181</v>
      </c>
      <c r="Y55" s="100"/>
      <c r="Z55" s="16" t="s">
        <v>181</v>
      </c>
    </row>
    <row r="56">
      <c r="A56" s="16">
        <v>12546.0</v>
      </c>
      <c r="B56" s="16" t="s">
        <v>571</v>
      </c>
      <c r="C56" s="16">
        <v>0.0</v>
      </c>
      <c r="D56" s="174" t="s">
        <v>572</v>
      </c>
      <c r="E56" s="16"/>
      <c r="F56" s="16">
        <v>547.0</v>
      </c>
      <c r="G56" s="16" t="s">
        <v>176</v>
      </c>
      <c r="H56" s="16" t="s">
        <v>15</v>
      </c>
      <c r="I56" s="16" t="s">
        <v>14</v>
      </c>
      <c r="J56" s="16" t="s">
        <v>13</v>
      </c>
      <c r="K56" s="16" t="s">
        <v>17</v>
      </c>
      <c r="L56" s="16"/>
      <c r="M56" s="16"/>
      <c r="N56" s="16"/>
      <c r="O56" s="16"/>
      <c r="P56" s="16"/>
      <c r="Q56" s="16"/>
      <c r="R56" s="16"/>
      <c r="S56" s="16">
        <v>-2.0</v>
      </c>
      <c r="T56" s="16"/>
      <c r="U56" s="16" t="s">
        <v>573</v>
      </c>
      <c r="V56" s="16" t="s">
        <v>574</v>
      </c>
      <c r="W56" s="16" t="s">
        <v>332</v>
      </c>
      <c r="X56" s="16" t="s">
        <v>181</v>
      </c>
      <c r="Y56" s="100"/>
      <c r="Z56" s="16" t="s">
        <v>181</v>
      </c>
    </row>
    <row r="57">
      <c r="A57" s="16">
        <v>12547.0</v>
      </c>
      <c r="B57" s="16" t="s">
        <v>575</v>
      </c>
      <c r="C57" s="16">
        <v>1.0</v>
      </c>
      <c r="D57" s="174" t="s">
        <v>576</v>
      </c>
      <c r="E57" s="16"/>
      <c r="F57" s="16">
        <v>547.0</v>
      </c>
      <c r="G57" s="16" t="s">
        <v>176</v>
      </c>
      <c r="H57" s="16" t="s">
        <v>14</v>
      </c>
      <c r="I57" s="16" t="s">
        <v>13</v>
      </c>
      <c r="J57" s="16" t="s">
        <v>15</v>
      </c>
      <c r="K57" s="16" t="s">
        <v>16</v>
      </c>
      <c r="L57" s="16" t="s">
        <v>17</v>
      </c>
      <c r="M57" s="16"/>
      <c r="N57" s="16"/>
      <c r="O57" s="16"/>
      <c r="P57" s="16"/>
      <c r="Q57" s="16"/>
      <c r="R57" s="16"/>
      <c r="S57" s="16">
        <v>-2.0</v>
      </c>
      <c r="T57" s="16"/>
      <c r="U57" s="16" t="s">
        <v>577</v>
      </c>
      <c r="V57" s="16" t="s">
        <v>578</v>
      </c>
      <c r="W57" s="16" t="s">
        <v>259</v>
      </c>
      <c r="X57" s="16" t="s">
        <v>181</v>
      </c>
      <c r="Y57" s="100"/>
      <c r="Z57" s="16" t="s">
        <v>181</v>
      </c>
    </row>
    <row r="58">
      <c r="A58" s="16">
        <v>12548.0</v>
      </c>
      <c r="B58" s="16" t="s">
        <v>579</v>
      </c>
      <c r="C58" s="16">
        <v>0.85</v>
      </c>
      <c r="D58" s="174" t="s">
        <v>580</v>
      </c>
      <c r="E58" s="16"/>
      <c r="F58" s="16">
        <v>548.0</v>
      </c>
      <c r="G58" s="16" t="s">
        <v>126</v>
      </c>
      <c r="H58" s="16" t="s">
        <v>18</v>
      </c>
      <c r="I58" s="16" t="s">
        <v>19</v>
      </c>
      <c r="J58" s="16" t="s">
        <v>17</v>
      </c>
      <c r="K58" s="16"/>
      <c r="L58" s="16"/>
      <c r="M58" s="16"/>
      <c r="N58" s="16"/>
      <c r="O58" s="16"/>
      <c r="P58" s="16"/>
      <c r="Q58" s="16"/>
      <c r="R58" s="16"/>
      <c r="S58" s="16">
        <v>-2.0</v>
      </c>
      <c r="T58" s="16"/>
      <c r="U58" s="16" t="s">
        <v>581</v>
      </c>
      <c r="V58" s="16" t="s">
        <v>582</v>
      </c>
      <c r="W58" s="16" t="s">
        <v>491</v>
      </c>
      <c r="X58" s="16" t="s">
        <v>181</v>
      </c>
      <c r="Y58" s="100"/>
      <c r="Z58" s="16" t="s">
        <v>181</v>
      </c>
    </row>
    <row r="59">
      <c r="A59" s="16">
        <v>12549.0</v>
      </c>
      <c r="B59" s="16" t="s">
        <v>583</v>
      </c>
      <c r="C59" s="16">
        <v>0.18</v>
      </c>
      <c r="D59" s="174" t="s">
        <v>584</v>
      </c>
      <c r="E59" s="16"/>
      <c r="F59" s="16">
        <v>547.0</v>
      </c>
      <c r="G59" s="16" t="s">
        <v>176</v>
      </c>
      <c r="H59" s="16" t="s">
        <v>25</v>
      </c>
      <c r="I59" s="16" t="s">
        <v>26</v>
      </c>
      <c r="J59" s="16"/>
      <c r="K59" s="16"/>
      <c r="L59" s="16"/>
      <c r="M59" s="16"/>
      <c r="N59" s="16"/>
      <c r="O59" s="16"/>
      <c r="P59" s="16"/>
      <c r="Q59" s="16"/>
      <c r="R59" s="16"/>
      <c r="S59" s="16">
        <v>-2.0</v>
      </c>
      <c r="T59" s="16"/>
      <c r="U59" s="16" t="s">
        <v>585</v>
      </c>
      <c r="V59" s="16" t="s">
        <v>586</v>
      </c>
      <c r="W59" s="16" t="s">
        <v>332</v>
      </c>
      <c r="X59" s="16" t="s">
        <v>181</v>
      </c>
      <c r="Y59" s="100"/>
      <c r="Z59" s="16" t="s">
        <v>181</v>
      </c>
    </row>
    <row r="60">
      <c r="A60" s="16">
        <v>12550.0</v>
      </c>
      <c r="B60" s="16" t="s">
        <v>587</v>
      </c>
      <c r="C60" s="16">
        <v>0.1</v>
      </c>
      <c r="D60" s="174" t="s">
        <v>588</v>
      </c>
      <c r="E60" s="16"/>
      <c r="F60" s="16">
        <v>547.0</v>
      </c>
      <c r="G60" s="16" t="s">
        <v>176</v>
      </c>
      <c r="H60" s="16" t="s">
        <v>18</v>
      </c>
      <c r="I60" s="16" t="s">
        <v>17</v>
      </c>
      <c r="J60" s="16" t="s">
        <v>15</v>
      </c>
      <c r="K60" s="16" t="s">
        <v>19</v>
      </c>
      <c r="L60" s="16" t="s">
        <v>14</v>
      </c>
      <c r="M60" s="16"/>
      <c r="N60" s="16"/>
      <c r="O60" s="16"/>
      <c r="P60" s="16"/>
      <c r="Q60" s="16"/>
      <c r="R60" s="16"/>
      <c r="S60" s="16">
        <v>-2.0</v>
      </c>
      <c r="T60" s="16"/>
      <c r="U60" s="16" t="s">
        <v>589</v>
      </c>
      <c r="V60" s="16" t="s">
        <v>590</v>
      </c>
      <c r="W60" s="16" t="s">
        <v>591</v>
      </c>
      <c r="X60" s="16" t="s">
        <v>181</v>
      </c>
      <c r="Y60" s="100"/>
      <c r="Z60" s="16" t="s">
        <v>181</v>
      </c>
    </row>
    <row r="61">
      <c r="A61" s="16">
        <v>12551.0</v>
      </c>
      <c r="B61" s="16" t="s">
        <v>592</v>
      </c>
      <c r="C61" s="16">
        <v>0.32</v>
      </c>
      <c r="D61" s="174" t="s">
        <v>593</v>
      </c>
      <c r="E61" s="16"/>
      <c r="F61" s="16">
        <v>547.0</v>
      </c>
      <c r="G61" s="16" t="s">
        <v>176</v>
      </c>
      <c r="H61" s="16" t="s">
        <v>25</v>
      </c>
      <c r="I61" s="16"/>
      <c r="J61" s="16"/>
      <c r="K61" s="16"/>
      <c r="L61" s="16"/>
      <c r="M61" s="16"/>
      <c r="N61" s="16"/>
      <c r="O61" s="16"/>
      <c r="P61" s="16"/>
      <c r="Q61" s="16"/>
      <c r="R61" s="16"/>
      <c r="S61" s="16">
        <v>-2.0</v>
      </c>
      <c r="T61" s="16"/>
      <c r="U61" s="16" t="s">
        <v>594</v>
      </c>
      <c r="V61" s="16" t="s">
        <v>595</v>
      </c>
      <c r="W61" s="16" t="s">
        <v>179</v>
      </c>
      <c r="X61" s="16" t="s">
        <v>181</v>
      </c>
      <c r="Y61" s="100"/>
      <c r="Z61" s="16" t="s">
        <v>181</v>
      </c>
    </row>
    <row r="62">
      <c r="A62" s="16">
        <v>12552.0</v>
      </c>
      <c r="B62" s="16" t="s">
        <v>596</v>
      </c>
      <c r="C62" s="16">
        <v>0.48</v>
      </c>
      <c r="D62" s="174" t="s">
        <v>597</v>
      </c>
      <c r="E62" s="16"/>
      <c r="F62" s="16">
        <v>554.0</v>
      </c>
      <c r="G62" s="16" t="s">
        <v>215</v>
      </c>
      <c r="H62" s="16" t="s">
        <v>24</v>
      </c>
      <c r="I62" s="16" t="s">
        <v>25</v>
      </c>
      <c r="J62" s="16" t="s">
        <v>26</v>
      </c>
      <c r="K62" s="16"/>
      <c r="L62" s="16"/>
      <c r="M62" s="16"/>
      <c r="N62" s="16"/>
      <c r="O62" s="16"/>
      <c r="P62" s="16"/>
      <c r="Q62" s="16"/>
      <c r="R62" s="16"/>
      <c r="S62" s="16">
        <v>-2.0</v>
      </c>
      <c r="T62" s="16"/>
      <c r="U62" s="16" t="s">
        <v>598</v>
      </c>
      <c r="V62" s="16" t="s">
        <v>599</v>
      </c>
      <c r="W62" s="16" t="s">
        <v>600</v>
      </c>
      <c r="X62" s="16" t="s">
        <v>181</v>
      </c>
      <c r="Y62" s="100"/>
      <c r="Z62" s="16" t="s">
        <v>181</v>
      </c>
    </row>
    <row r="63">
      <c r="A63" s="16">
        <v>12553.0</v>
      </c>
      <c r="B63" s="16" t="s">
        <v>116</v>
      </c>
      <c r="C63" s="16">
        <v>0.49</v>
      </c>
      <c r="D63" s="174" t="s">
        <v>601</v>
      </c>
      <c r="E63" s="16"/>
      <c r="F63" s="16">
        <v>548.0</v>
      </c>
      <c r="G63" s="16" t="s">
        <v>126</v>
      </c>
      <c r="H63" s="16" t="s">
        <v>25</v>
      </c>
      <c r="I63" s="16" t="s">
        <v>26</v>
      </c>
      <c r="J63" s="16"/>
      <c r="K63" s="16"/>
      <c r="L63" s="16"/>
      <c r="M63" s="16"/>
      <c r="N63" s="16"/>
      <c r="O63" s="16"/>
      <c r="P63" s="16"/>
      <c r="Q63" s="16"/>
      <c r="R63" s="16"/>
      <c r="S63" s="16">
        <v>-2.0</v>
      </c>
      <c r="T63" s="16"/>
      <c r="U63" s="16" t="s">
        <v>602</v>
      </c>
      <c r="V63" s="16" t="s">
        <v>603</v>
      </c>
      <c r="W63" s="16" t="s">
        <v>259</v>
      </c>
      <c r="X63" s="16" t="s">
        <v>181</v>
      </c>
      <c r="Y63" s="100"/>
      <c r="Z63" s="16" t="s">
        <v>181</v>
      </c>
    </row>
    <row r="64">
      <c r="A64" s="16">
        <v>12554.0</v>
      </c>
      <c r="B64" s="16" t="s">
        <v>604</v>
      </c>
      <c r="C64" s="16">
        <v>0.0</v>
      </c>
      <c r="D64" s="174" t="s">
        <v>605</v>
      </c>
      <c r="E64" s="16"/>
      <c r="F64" s="16">
        <v>547.0</v>
      </c>
      <c r="G64" s="16" t="s">
        <v>176</v>
      </c>
      <c r="H64" s="16" t="s">
        <v>25</v>
      </c>
      <c r="I64" s="16"/>
      <c r="J64" s="16"/>
      <c r="K64" s="16"/>
      <c r="L64" s="16"/>
      <c r="M64" s="16"/>
      <c r="N64" s="16"/>
      <c r="O64" s="16"/>
      <c r="P64" s="16"/>
      <c r="Q64" s="16"/>
      <c r="R64" s="16"/>
      <c r="S64" s="16">
        <v>-2.0</v>
      </c>
      <c r="T64" s="16"/>
      <c r="U64" s="16" t="s">
        <v>606</v>
      </c>
      <c r="V64" s="16" t="s">
        <v>607</v>
      </c>
      <c r="W64" s="16" t="s">
        <v>360</v>
      </c>
      <c r="X64" s="16" t="s">
        <v>181</v>
      </c>
      <c r="Y64" s="100"/>
      <c r="Z64" s="16" t="s">
        <v>181</v>
      </c>
    </row>
    <row r="65">
      <c r="A65" s="16">
        <v>12555.0</v>
      </c>
      <c r="B65" s="16" t="s">
        <v>608</v>
      </c>
      <c r="C65" s="16">
        <v>0.44</v>
      </c>
      <c r="D65" s="174" t="s">
        <v>609</v>
      </c>
      <c r="E65" s="16"/>
      <c r="F65" s="16">
        <v>547.0</v>
      </c>
      <c r="G65" s="16" t="s">
        <v>176</v>
      </c>
      <c r="H65" s="16" t="s">
        <v>15</v>
      </c>
      <c r="I65" s="16"/>
      <c r="J65" s="16"/>
      <c r="K65" s="16"/>
      <c r="L65" s="16"/>
      <c r="M65" s="16"/>
      <c r="N65" s="16"/>
      <c r="O65" s="16"/>
      <c r="P65" s="16"/>
      <c r="Q65" s="16"/>
      <c r="R65" s="16"/>
      <c r="S65" s="16">
        <v>-2.0</v>
      </c>
      <c r="T65" s="16"/>
      <c r="U65" s="16" t="s">
        <v>610</v>
      </c>
      <c r="V65" s="16" t="s">
        <v>611</v>
      </c>
      <c r="W65" s="16" t="s">
        <v>422</v>
      </c>
      <c r="X65" s="16" t="s">
        <v>181</v>
      </c>
      <c r="Y65" s="100"/>
      <c r="Z65" s="16" t="s">
        <v>181</v>
      </c>
    </row>
    <row r="66">
      <c r="A66" s="16">
        <v>12556.0</v>
      </c>
      <c r="B66" s="16" t="s">
        <v>612</v>
      </c>
      <c r="C66" s="16">
        <v>0.15</v>
      </c>
      <c r="D66" s="174" t="s">
        <v>613</v>
      </c>
      <c r="E66" s="16"/>
      <c r="F66" s="16">
        <v>547.0</v>
      </c>
      <c r="G66" s="16" t="s">
        <v>176</v>
      </c>
      <c r="H66" s="16" t="s">
        <v>13</v>
      </c>
      <c r="I66" s="16"/>
      <c r="J66" s="16"/>
      <c r="K66" s="16"/>
      <c r="L66" s="16"/>
      <c r="M66" s="16"/>
      <c r="N66" s="16"/>
      <c r="O66" s="16"/>
      <c r="P66" s="16"/>
      <c r="Q66" s="16"/>
      <c r="R66" s="16"/>
      <c r="S66" s="16">
        <v>-2.0</v>
      </c>
      <c r="T66" s="16"/>
      <c r="U66" s="16" t="s">
        <v>614</v>
      </c>
      <c r="V66" s="16" t="s">
        <v>615</v>
      </c>
      <c r="W66" s="16" t="s">
        <v>616</v>
      </c>
      <c r="X66" s="16" t="s">
        <v>181</v>
      </c>
      <c r="Y66" s="100"/>
      <c r="Z66" s="16" t="s">
        <v>181</v>
      </c>
    </row>
    <row r="67">
      <c r="A67" s="16">
        <v>12557.0</v>
      </c>
      <c r="B67" s="16" t="s">
        <v>617</v>
      </c>
      <c r="C67" s="16">
        <v>1.26</v>
      </c>
      <c r="D67" s="174" t="s">
        <v>618</v>
      </c>
      <c r="E67" s="16"/>
      <c r="F67" s="16">
        <v>587.0</v>
      </c>
      <c r="G67" s="16" t="s">
        <v>289</v>
      </c>
      <c r="H67" s="16" t="s">
        <v>19</v>
      </c>
      <c r="I67" s="16" t="s">
        <v>13</v>
      </c>
      <c r="J67" s="16"/>
      <c r="K67" s="16"/>
      <c r="L67" s="16"/>
      <c r="M67" s="16"/>
      <c r="N67" s="16"/>
      <c r="O67" s="16"/>
      <c r="P67" s="16"/>
      <c r="Q67" s="16"/>
      <c r="R67" s="16"/>
      <c r="S67" s="16">
        <v>-2.0</v>
      </c>
      <c r="T67" s="16"/>
      <c r="U67" s="16" t="s">
        <v>619</v>
      </c>
      <c r="V67" s="16" t="s">
        <v>620</v>
      </c>
      <c r="W67" s="16" t="s">
        <v>188</v>
      </c>
      <c r="X67" s="16" t="s">
        <v>181</v>
      </c>
      <c r="Y67" s="100"/>
      <c r="Z67" s="16" t="s">
        <v>181</v>
      </c>
    </row>
    <row r="68">
      <c r="A68" s="16">
        <v>12558.0</v>
      </c>
      <c r="B68" s="16" t="s">
        <v>621</v>
      </c>
      <c r="C68" s="16">
        <v>1.43</v>
      </c>
      <c r="D68" s="174" t="s">
        <v>622</v>
      </c>
      <c r="E68" s="16"/>
      <c r="F68" s="16">
        <v>586.0</v>
      </c>
      <c r="G68" s="16" t="s">
        <v>623</v>
      </c>
      <c r="H68" s="16" t="s">
        <v>16</v>
      </c>
      <c r="I68" s="16"/>
      <c r="J68" s="16"/>
      <c r="K68" s="16"/>
      <c r="L68" s="16"/>
      <c r="M68" s="16"/>
      <c r="N68" s="16"/>
      <c r="O68" s="16"/>
      <c r="P68" s="16"/>
      <c r="Q68" s="16"/>
      <c r="R68" s="16"/>
      <c r="S68" s="16">
        <v>-2.0</v>
      </c>
      <c r="T68" s="16"/>
      <c r="U68" s="16" t="s">
        <v>624</v>
      </c>
      <c r="V68" s="16" t="s">
        <v>625</v>
      </c>
      <c r="W68" s="16" t="s">
        <v>188</v>
      </c>
      <c r="X68" s="16" t="s">
        <v>181</v>
      </c>
      <c r="Y68" s="100"/>
      <c r="Z68" s="16" t="s">
        <v>181</v>
      </c>
    </row>
    <row r="69">
      <c r="A69" s="16">
        <v>12559.0</v>
      </c>
      <c r="B69" s="16" t="s">
        <v>626</v>
      </c>
      <c r="C69" s="16">
        <v>0.31</v>
      </c>
      <c r="D69" s="174" t="s">
        <v>627</v>
      </c>
      <c r="E69" s="16"/>
      <c r="F69" s="16">
        <v>563.0</v>
      </c>
      <c r="G69" s="16" t="s">
        <v>260</v>
      </c>
      <c r="H69" s="16" t="s">
        <v>25</v>
      </c>
      <c r="I69" s="16" t="s">
        <v>26</v>
      </c>
      <c r="J69" s="16"/>
      <c r="K69" s="16"/>
      <c r="L69" s="16"/>
      <c r="M69" s="16"/>
      <c r="N69" s="16"/>
      <c r="O69" s="16"/>
      <c r="P69" s="16"/>
      <c r="Q69" s="16"/>
      <c r="R69" s="16"/>
      <c r="S69" s="16">
        <v>-2.0</v>
      </c>
      <c r="T69" s="16"/>
      <c r="U69" s="16" t="s">
        <v>628</v>
      </c>
      <c r="V69" s="16" t="s">
        <v>629</v>
      </c>
      <c r="W69" s="16" t="s">
        <v>179</v>
      </c>
      <c r="X69" s="16" t="s">
        <v>181</v>
      </c>
      <c r="Y69" s="100"/>
      <c r="Z69" s="16" t="s">
        <v>181</v>
      </c>
    </row>
    <row r="70">
      <c r="A70" s="16">
        <v>12560.0</v>
      </c>
      <c r="B70" s="16" t="s">
        <v>630</v>
      </c>
      <c r="C70" s="16">
        <v>0.35</v>
      </c>
      <c r="D70" s="174" t="s">
        <v>631</v>
      </c>
      <c r="E70" s="16"/>
      <c r="F70" s="16">
        <v>547.0</v>
      </c>
      <c r="G70" s="16" t="s">
        <v>176</v>
      </c>
      <c r="H70" s="16" t="s">
        <v>25</v>
      </c>
      <c r="I70" s="16"/>
      <c r="J70" s="16"/>
      <c r="K70" s="16"/>
      <c r="L70" s="16"/>
      <c r="M70" s="16"/>
      <c r="N70" s="16"/>
      <c r="O70" s="16"/>
      <c r="P70" s="16"/>
      <c r="Q70" s="16"/>
      <c r="R70" s="16"/>
      <c r="S70" s="16">
        <v>-2.0</v>
      </c>
      <c r="T70" s="16"/>
      <c r="U70" s="16" t="s">
        <v>632</v>
      </c>
      <c r="V70" s="16" t="s">
        <v>633</v>
      </c>
      <c r="W70" s="16" t="s">
        <v>634</v>
      </c>
      <c r="X70" s="16" t="s">
        <v>181</v>
      </c>
      <c r="Y70" s="100"/>
      <c r="Z70" s="16" t="s">
        <v>181</v>
      </c>
    </row>
    <row r="71">
      <c r="A71" s="16">
        <v>12561.0</v>
      </c>
      <c r="B71" s="16" t="s">
        <v>635</v>
      </c>
      <c r="C71" s="16">
        <v>0.78</v>
      </c>
      <c r="D71" s="174" t="s">
        <v>636</v>
      </c>
      <c r="E71" s="16"/>
      <c r="F71" s="16">
        <v>595.0</v>
      </c>
      <c r="G71" s="16" t="s">
        <v>415</v>
      </c>
      <c r="H71" s="16" t="s">
        <v>12</v>
      </c>
      <c r="I71" s="16" t="s">
        <v>14</v>
      </c>
      <c r="J71" s="16"/>
      <c r="K71" s="16"/>
      <c r="L71" s="16"/>
      <c r="M71" s="16"/>
      <c r="N71" s="16"/>
      <c r="O71" s="16"/>
      <c r="P71" s="16"/>
      <c r="Q71" s="16"/>
      <c r="R71" s="16"/>
      <c r="S71" s="16">
        <v>-2.0</v>
      </c>
      <c r="T71" s="174" t="s">
        <v>637</v>
      </c>
      <c r="U71" s="16" t="s">
        <v>638</v>
      </c>
      <c r="V71" s="16" t="s">
        <v>639</v>
      </c>
      <c r="W71" s="16" t="s">
        <v>640</v>
      </c>
      <c r="X71" s="16" t="s">
        <v>181</v>
      </c>
      <c r="Y71" s="100"/>
      <c r="Z71" s="16" t="s">
        <v>181</v>
      </c>
    </row>
    <row r="72">
      <c r="A72" s="16">
        <v>12562.0</v>
      </c>
      <c r="B72" s="16" t="s">
        <v>641</v>
      </c>
      <c r="C72" s="16">
        <v>0.69</v>
      </c>
      <c r="D72" s="174" t="s">
        <v>642</v>
      </c>
      <c r="E72" s="16"/>
      <c r="F72" s="16">
        <v>547.0</v>
      </c>
      <c r="G72" s="16" t="s">
        <v>176</v>
      </c>
      <c r="H72" s="16" t="s">
        <v>24</v>
      </c>
      <c r="I72" s="16"/>
      <c r="J72" s="16"/>
      <c r="K72" s="16"/>
      <c r="L72" s="16"/>
      <c r="M72" s="16"/>
      <c r="N72" s="16"/>
      <c r="O72" s="16"/>
      <c r="P72" s="16"/>
      <c r="Q72" s="16"/>
      <c r="R72" s="16"/>
      <c r="S72" s="16">
        <v>-2.0</v>
      </c>
      <c r="T72" s="16"/>
      <c r="U72" s="16" t="s">
        <v>643</v>
      </c>
      <c r="V72" s="16" t="s">
        <v>644</v>
      </c>
      <c r="W72" s="16" t="s">
        <v>188</v>
      </c>
      <c r="X72" s="16" t="s">
        <v>181</v>
      </c>
      <c r="Y72" s="100"/>
      <c r="Z72" s="16" t="s">
        <v>181</v>
      </c>
    </row>
    <row r="73">
      <c r="A73" s="16">
        <v>12563.0</v>
      </c>
      <c r="B73" s="16" t="s">
        <v>645</v>
      </c>
      <c r="C73" s="16">
        <v>0.0</v>
      </c>
      <c r="D73" s="174" t="s">
        <v>646</v>
      </c>
      <c r="E73" s="16"/>
      <c r="F73" s="16">
        <v>581.0</v>
      </c>
      <c r="G73" s="16" t="s">
        <v>346</v>
      </c>
      <c r="H73" s="16" t="s">
        <v>17</v>
      </c>
      <c r="I73" s="16" t="s">
        <v>19</v>
      </c>
      <c r="J73" s="16"/>
      <c r="K73" s="16"/>
      <c r="L73" s="16"/>
      <c r="M73" s="16"/>
      <c r="N73" s="16"/>
      <c r="O73" s="16"/>
      <c r="P73" s="16"/>
      <c r="Q73" s="16"/>
      <c r="R73" s="16" t="s">
        <v>536</v>
      </c>
      <c r="S73" s="16">
        <v>-2.0</v>
      </c>
      <c r="T73" s="16"/>
      <c r="U73" s="16" t="s">
        <v>647</v>
      </c>
      <c r="V73" s="16" t="s">
        <v>648</v>
      </c>
      <c r="W73" s="16" t="s">
        <v>634</v>
      </c>
      <c r="X73" s="16" t="s">
        <v>181</v>
      </c>
      <c r="Y73" s="100"/>
      <c r="Z73" s="16" t="s">
        <v>181</v>
      </c>
    </row>
    <row r="74">
      <c r="A74" s="16">
        <v>12564.0</v>
      </c>
      <c r="B74" s="16" t="s">
        <v>649</v>
      </c>
      <c r="C74" s="16">
        <v>0.0</v>
      </c>
      <c r="D74" s="174" t="s">
        <v>650</v>
      </c>
      <c r="E74" s="16"/>
      <c r="F74" s="16">
        <v>547.0</v>
      </c>
      <c r="G74" s="16" t="s">
        <v>176</v>
      </c>
      <c r="H74" s="16" t="s">
        <v>12</v>
      </c>
      <c r="I74" s="16"/>
      <c r="J74" s="16"/>
      <c r="K74" s="16"/>
      <c r="L74" s="16"/>
      <c r="M74" s="16"/>
      <c r="N74" s="16"/>
      <c r="O74" s="16"/>
      <c r="P74" s="16"/>
      <c r="Q74" s="16"/>
      <c r="R74" s="16"/>
      <c r="S74" s="16">
        <v>-2.0</v>
      </c>
      <c r="T74" s="16"/>
      <c r="U74" s="16" t="s">
        <v>651</v>
      </c>
      <c r="V74" s="16" t="s">
        <v>652</v>
      </c>
      <c r="W74" s="16" t="s">
        <v>478</v>
      </c>
      <c r="X74" s="16" t="s">
        <v>181</v>
      </c>
      <c r="Y74" s="100"/>
      <c r="Z74" s="16" t="s">
        <v>181</v>
      </c>
    </row>
    <row r="75">
      <c r="A75" s="16">
        <v>12565.0</v>
      </c>
      <c r="B75" s="16" t="s">
        <v>653</v>
      </c>
      <c r="C75" s="16">
        <v>0.0</v>
      </c>
      <c r="D75" s="174" t="s">
        <v>654</v>
      </c>
      <c r="E75" s="16"/>
      <c r="F75" s="16">
        <v>578.0</v>
      </c>
      <c r="G75" s="16" t="s">
        <v>333</v>
      </c>
      <c r="H75" s="16" t="s">
        <v>18</v>
      </c>
      <c r="I75" s="16" t="s">
        <v>17</v>
      </c>
      <c r="J75" s="16" t="s">
        <v>14</v>
      </c>
      <c r="K75" s="16"/>
      <c r="L75" s="16"/>
      <c r="M75" s="16"/>
      <c r="N75" s="16"/>
      <c r="O75" s="16"/>
      <c r="P75" s="16"/>
      <c r="Q75" s="16"/>
      <c r="R75" s="16"/>
      <c r="S75" s="16">
        <v>-2.0</v>
      </c>
      <c r="T75" s="16"/>
      <c r="U75" s="16" t="s">
        <v>655</v>
      </c>
      <c r="V75" s="16" t="s">
        <v>656</v>
      </c>
      <c r="W75" s="16" t="s">
        <v>179</v>
      </c>
      <c r="X75" s="16" t="s">
        <v>181</v>
      </c>
      <c r="Y75" s="100"/>
      <c r="Z75" s="16" t="s">
        <v>181</v>
      </c>
    </row>
    <row r="76">
      <c r="A76" s="16">
        <v>12566.0</v>
      </c>
      <c r="B76" s="16" t="s">
        <v>657</v>
      </c>
      <c r="C76" s="16">
        <v>1.79</v>
      </c>
      <c r="D76" s="174" t="s">
        <v>658</v>
      </c>
      <c r="E76" s="16"/>
      <c r="F76" s="16">
        <v>575.0</v>
      </c>
      <c r="G76" s="16" t="s">
        <v>212</v>
      </c>
      <c r="H76" s="16" t="s">
        <v>15</v>
      </c>
      <c r="I76" s="16"/>
      <c r="J76" s="16"/>
      <c r="K76" s="16"/>
      <c r="L76" s="16"/>
      <c r="M76" s="16"/>
      <c r="N76" s="16"/>
      <c r="O76" s="16"/>
      <c r="P76" s="16"/>
      <c r="Q76" s="16"/>
      <c r="R76" s="16"/>
      <c r="S76" s="16">
        <v>-2.0</v>
      </c>
      <c r="T76" s="16"/>
      <c r="U76" s="16" t="s">
        <v>659</v>
      </c>
      <c r="V76" s="16" t="s">
        <v>660</v>
      </c>
      <c r="W76" s="16" t="s">
        <v>661</v>
      </c>
      <c r="X76" s="16" t="s">
        <v>181</v>
      </c>
      <c r="Y76" s="100"/>
      <c r="Z76" s="16" t="s">
        <v>181</v>
      </c>
    </row>
    <row r="77">
      <c r="A77" s="16">
        <v>12567.0</v>
      </c>
      <c r="B77" s="16" t="s">
        <v>662</v>
      </c>
      <c r="C77" s="16">
        <v>0.0</v>
      </c>
      <c r="D77" s="174" t="s">
        <v>663</v>
      </c>
      <c r="E77" s="16"/>
      <c r="F77" s="16">
        <v>578.0</v>
      </c>
      <c r="G77" s="16" t="s">
        <v>333</v>
      </c>
      <c r="H77" s="16" t="s">
        <v>19</v>
      </c>
      <c r="I77" s="16" t="s">
        <v>17</v>
      </c>
      <c r="J77" s="16" t="s">
        <v>18</v>
      </c>
      <c r="K77" s="16"/>
      <c r="L77" s="16"/>
      <c r="M77" s="16"/>
      <c r="N77" s="16"/>
      <c r="O77" s="16"/>
      <c r="P77" s="16"/>
      <c r="Q77" s="16"/>
      <c r="R77" s="16"/>
      <c r="S77" s="16">
        <v>-2.0</v>
      </c>
      <c r="T77" s="16"/>
      <c r="U77" s="16" t="s">
        <v>664</v>
      </c>
      <c r="V77" s="16" t="s">
        <v>665</v>
      </c>
      <c r="W77" s="16" t="s">
        <v>600</v>
      </c>
      <c r="X77" s="16" t="s">
        <v>181</v>
      </c>
      <c r="Y77" s="100"/>
      <c r="Z77" s="16" t="s">
        <v>181</v>
      </c>
    </row>
    <row r="78">
      <c r="A78" s="16">
        <v>12568.0</v>
      </c>
      <c r="B78" s="16" t="s">
        <v>666</v>
      </c>
      <c r="C78" s="16">
        <v>0.0</v>
      </c>
      <c r="D78" s="174" t="s">
        <v>667</v>
      </c>
      <c r="E78" s="16"/>
      <c r="F78" s="16">
        <v>569.0</v>
      </c>
      <c r="G78" s="16" t="s">
        <v>292</v>
      </c>
      <c r="H78" s="16" t="s">
        <v>25</v>
      </c>
      <c r="I78" s="16"/>
      <c r="J78" s="16"/>
      <c r="K78" s="16"/>
      <c r="L78" s="16"/>
      <c r="M78" s="16"/>
      <c r="N78" s="16"/>
      <c r="O78" s="16"/>
      <c r="P78" s="16"/>
      <c r="Q78" s="16"/>
      <c r="R78" s="16"/>
      <c r="S78" s="16">
        <v>-2.0</v>
      </c>
      <c r="T78" s="16"/>
      <c r="U78" s="16" t="s">
        <v>668</v>
      </c>
      <c r="V78" s="16" t="s">
        <v>669</v>
      </c>
      <c r="W78" s="16" t="s">
        <v>179</v>
      </c>
      <c r="X78" s="16" t="s">
        <v>181</v>
      </c>
      <c r="Y78" s="100"/>
      <c r="Z78" s="16" t="s">
        <v>181</v>
      </c>
    </row>
    <row r="79">
      <c r="A79" s="16">
        <v>12569.0</v>
      </c>
      <c r="B79" s="16" t="s">
        <v>670</v>
      </c>
      <c r="C79" s="16">
        <v>1.05</v>
      </c>
      <c r="D79" s="174" t="s">
        <v>671</v>
      </c>
      <c r="E79" s="16"/>
      <c r="F79" s="16">
        <v>574.0</v>
      </c>
      <c r="G79" s="16" t="s">
        <v>672</v>
      </c>
      <c r="H79" s="16" t="s">
        <v>12</v>
      </c>
      <c r="I79" s="16"/>
      <c r="J79" s="16"/>
      <c r="K79" s="16"/>
      <c r="L79" s="16"/>
      <c r="M79" s="16"/>
      <c r="N79" s="16"/>
      <c r="O79" s="16"/>
      <c r="P79" s="16"/>
      <c r="Q79" s="16"/>
      <c r="R79" s="16"/>
      <c r="S79" s="16">
        <v>-2.0</v>
      </c>
      <c r="T79" s="16"/>
      <c r="U79" s="16" t="s">
        <v>673</v>
      </c>
      <c r="V79" s="16" t="s">
        <v>674</v>
      </c>
      <c r="W79" s="16" t="s">
        <v>675</v>
      </c>
      <c r="X79" s="16" t="s">
        <v>181</v>
      </c>
      <c r="Y79" s="100"/>
      <c r="Z79" s="16" t="s">
        <v>181</v>
      </c>
    </row>
    <row r="80">
      <c r="A80" s="16">
        <v>12570.0</v>
      </c>
      <c r="B80" s="16" t="s">
        <v>676</v>
      </c>
      <c r="C80" s="16">
        <v>0.54</v>
      </c>
      <c r="D80" s="174" t="s">
        <v>677</v>
      </c>
      <c r="E80" s="16"/>
      <c r="F80" s="16">
        <v>547.0</v>
      </c>
      <c r="G80" s="16" t="s">
        <v>176</v>
      </c>
      <c r="H80" s="16" t="s">
        <v>24</v>
      </c>
      <c r="I80" s="16"/>
      <c r="J80" s="16"/>
      <c r="K80" s="16"/>
      <c r="L80" s="16"/>
      <c r="M80" s="16"/>
      <c r="N80" s="16"/>
      <c r="O80" s="16"/>
      <c r="P80" s="16"/>
      <c r="Q80" s="16"/>
      <c r="R80" s="16"/>
      <c r="S80" s="16">
        <v>-2.0</v>
      </c>
      <c r="T80" s="16"/>
      <c r="U80" s="16" t="s">
        <v>678</v>
      </c>
      <c r="V80" s="16" t="s">
        <v>679</v>
      </c>
      <c r="W80" s="16" t="s">
        <v>188</v>
      </c>
      <c r="X80" s="16" t="s">
        <v>181</v>
      </c>
      <c r="Y80" s="100"/>
      <c r="Z80" s="16" t="s">
        <v>181</v>
      </c>
    </row>
    <row r="81">
      <c r="A81" s="16">
        <v>12571.0</v>
      </c>
      <c r="B81" s="16" t="s">
        <v>680</v>
      </c>
      <c r="C81" s="16">
        <v>1.46</v>
      </c>
      <c r="D81" s="174" t="s">
        <v>681</v>
      </c>
      <c r="E81" s="16"/>
      <c r="F81" s="16">
        <v>554.0</v>
      </c>
      <c r="G81" s="16" t="s">
        <v>215</v>
      </c>
      <c r="H81" s="16" t="s">
        <v>24</v>
      </c>
      <c r="I81" s="16"/>
      <c r="J81" s="16"/>
      <c r="K81" s="16"/>
      <c r="L81" s="16"/>
      <c r="M81" s="16"/>
      <c r="N81" s="16"/>
      <c r="O81" s="16"/>
      <c r="P81" s="16"/>
      <c r="Q81" s="16"/>
      <c r="R81" s="16"/>
      <c r="S81" s="16">
        <v>-2.0</v>
      </c>
      <c r="T81" s="16"/>
      <c r="U81" s="16" t="s">
        <v>682</v>
      </c>
      <c r="V81" s="16" t="s">
        <v>683</v>
      </c>
      <c r="W81" s="16" t="s">
        <v>188</v>
      </c>
      <c r="X81" s="16" t="s">
        <v>181</v>
      </c>
      <c r="Y81" s="100"/>
      <c r="Z81" s="16" t="s">
        <v>181</v>
      </c>
    </row>
    <row r="82">
      <c r="A82" s="16">
        <v>12572.0</v>
      </c>
      <c r="B82" s="16" t="s">
        <v>684</v>
      </c>
      <c r="C82" s="16">
        <v>0.5</v>
      </c>
      <c r="D82" s="174" t="s">
        <v>685</v>
      </c>
      <c r="E82" s="16"/>
      <c r="F82" s="16">
        <v>571.0</v>
      </c>
      <c r="G82" s="16" t="s">
        <v>686</v>
      </c>
      <c r="H82" s="16" t="s">
        <v>24</v>
      </c>
      <c r="I82" s="16" t="s">
        <v>25</v>
      </c>
      <c r="J82" s="16" t="s">
        <v>26</v>
      </c>
      <c r="K82" s="16"/>
      <c r="L82" s="16"/>
      <c r="M82" s="16"/>
      <c r="N82" s="16"/>
      <c r="O82" s="16"/>
      <c r="P82" s="16"/>
      <c r="Q82" s="16"/>
      <c r="R82" s="16"/>
      <c r="S82" s="16">
        <v>-2.0</v>
      </c>
      <c r="T82" s="16"/>
      <c r="U82" s="16" t="s">
        <v>687</v>
      </c>
      <c r="V82" s="16" t="s">
        <v>688</v>
      </c>
      <c r="W82" s="16" t="s">
        <v>491</v>
      </c>
      <c r="X82" s="16" t="s">
        <v>181</v>
      </c>
      <c r="Y82" s="100"/>
      <c r="Z82" s="16" t="s">
        <v>181</v>
      </c>
    </row>
    <row r="83">
      <c r="A83" s="16">
        <v>12573.0</v>
      </c>
      <c r="B83" s="16" t="s">
        <v>689</v>
      </c>
      <c r="C83" s="16">
        <v>1.22</v>
      </c>
      <c r="D83" s="174" t="s">
        <v>690</v>
      </c>
      <c r="E83" s="16"/>
      <c r="F83" s="16">
        <v>548.0</v>
      </c>
      <c r="G83" s="16" t="s">
        <v>126</v>
      </c>
      <c r="H83" s="16" t="s">
        <v>24</v>
      </c>
      <c r="I83" s="16" t="s">
        <v>25</v>
      </c>
      <c r="J83" s="16"/>
      <c r="K83" s="16"/>
      <c r="L83" s="16"/>
      <c r="M83" s="16"/>
      <c r="N83" s="16"/>
      <c r="O83" s="16"/>
      <c r="P83" s="16"/>
      <c r="Q83" s="16"/>
      <c r="R83" s="16" t="s">
        <v>536</v>
      </c>
      <c r="S83" s="16">
        <v>-2.0</v>
      </c>
      <c r="T83" s="16"/>
      <c r="U83" s="16" t="s">
        <v>691</v>
      </c>
      <c r="V83" s="16" t="s">
        <v>692</v>
      </c>
      <c r="W83" s="16" t="s">
        <v>422</v>
      </c>
      <c r="X83" s="16" t="s">
        <v>181</v>
      </c>
      <c r="Y83" s="100"/>
      <c r="Z83" s="16" t="s">
        <v>181</v>
      </c>
    </row>
    <row r="84">
      <c r="A84" s="16">
        <v>12574.0</v>
      </c>
      <c r="B84" s="16" t="s">
        <v>693</v>
      </c>
      <c r="C84" s="16">
        <v>0.59</v>
      </c>
      <c r="D84" s="174" t="s">
        <v>694</v>
      </c>
      <c r="E84" s="16"/>
      <c r="F84" s="16">
        <v>579.0</v>
      </c>
      <c r="G84" s="16" t="s">
        <v>465</v>
      </c>
      <c r="H84" s="16" t="s">
        <v>19</v>
      </c>
      <c r="I84" s="16" t="s">
        <v>17</v>
      </c>
      <c r="J84" s="16"/>
      <c r="K84" s="16"/>
      <c r="L84" s="16"/>
      <c r="M84" s="16"/>
      <c r="N84" s="16"/>
      <c r="O84" s="16"/>
      <c r="P84" s="16"/>
      <c r="Q84" s="16"/>
      <c r="R84" s="16" t="s">
        <v>695</v>
      </c>
      <c r="S84" s="16">
        <v>-2.0</v>
      </c>
      <c r="T84" s="16"/>
      <c r="U84" s="16" t="s">
        <v>696</v>
      </c>
      <c r="V84" s="16" t="s">
        <v>697</v>
      </c>
      <c r="W84" s="16" t="s">
        <v>399</v>
      </c>
      <c r="X84" s="16" t="s">
        <v>181</v>
      </c>
      <c r="Y84" s="100"/>
      <c r="Z84" s="16" t="s">
        <v>181</v>
      </c>
    </row>
    <row r="85">
      <c r="A85" s="16">
        <v>12575.0</v>
      </c>
      <c r="B85" s="16" t="s">
        <v>698</v>
      </c>
      <c r="C85" s="16">
        <v>2.35</v>
      </c>
      <c r="D85" s="174" t="s">
        <v>699</v>
      </c>
      <c r="E85" s="16"/>
      <c r="F85" s="16">
        <v>593.0</v>
      </c>
      <c r="G85" s="16" t="s">
        <v>272</v>
      </c>
      <c r="H85" s="16" t="s">
        <v>25</v>
      </c>
      <c r="I85" s="16" t="s">
        <v>26</v>
      </c>
      <c r="J85" s="16"/>
      <c r="K85" s="16"/>
      <c r="L85" s="16"/>
      <c r="M85" s="16"/>
      <c r="N85" s="16"/>
      <c r="O85" s="16"/>
      <c r="P85" s="16"/>
      <c r="Q85" s="16"/>
      <c r="R85" s="16"/>
      <c r="S85" s="16">
        <v>-2.0</v>
      </c>
      <c r="T85" s="174" t="s">
        <v>700</v>
      </c>
      <c r="U85" s="16" t="s">
        <v>701</v>
      </c>
      <c r="V85" s="16" t="s">
        <v>702</v>
      </c>
      <c r="W85" s="16" t="s">
        <v>478</v>
      </c>
      <c r="X85" s="16" t="s">
        <v>181</v>
      </c>
      <c r="Y85" s="100"/>
      <c r="Z85" s="16" t="s">
        <v>181</v>
      </c>
    </row>
    <row r="86">
      <c r="A86" s="16">
        <v>12576.0</v>
      </c>
      <c r="B86" s="16" t="s">
        <v>703</v>
      </c>
      <c r="C86" s="16">
        <v>0.75</v>
      </c>
      <c r="D86" s="174" t="s">
        <v>704</v>
      </c>
      <c r="E86" s="16"/>
      <c r="F86" s="16">
        <v>547.0</v>
      </c>
      <c r="G86" s="16" t="s">
        <v>176</v>
      </c>
      <c r="H86" s="16" t="s">
        <v>24</v>
      </c>
      <c r="I86" s="16"/>
      <c r="J86" s="16"/>
      <c r="K86" s="16"/>
      <c r="L86" s="16"/>
      <c r="M86" s="16"/>
      <c r="N86" s="16"/>
      <c r="O86" s="16"/>
      <c r="P86" s="16"/>
      <c r="Q86" s="16"/>
      <c r="R86" s="16"/>
      <c r="S86" s="16">
        <v>-2.0</v>
      </c>
      <c r="T86" s="16"/>
      <c r="U86" s="16" t="s">
        <v>705</v>
      </c>
      <c r="V86" s="16" t="s">
        <v>706</v>
      </c>
      <c r="W86" s="16" t="s">
        <v>188</v>
      </c>
      <c r="X86" s="16" t="s">
        <v>181</v>
      </c>
      <c r="Y86" s="100"/>
      <c r="Z86" s="16" t="s">
        <v>181</v>
      </c>
    </row>
    <row r="87">
      <c r="A87" s="16">
        <v>12577.0</v>
      </c>
      <c r="B87" s="16" t="s">
        <v>707</v>
      </c>
      <c r="C87" s="16">
        <v>0.0</v>
      </c>
      <c r="D87" s="174" t="s">
        <v>708</v>
      </c>
      <c r="E87" s="16"/>
      <c r="F87" s="16">
        <v>548.0</v>
      </c>
      <c r="G87" s="16" t="s">
        <v>126</v>
      </c>
      <c r="H87" s="16" t="s">
        <v>13</v>
      </c>
      <c r="I87" s="16" t="s">
        <v>12</v>
      </c>
      <c r="J87" s="16"/>
      <c r="K87" s="16"/>
      <c r="L87" s="16"/>
      <c r="M87" s="16"/>
      <c r="N87" s="16"/>
      <c r="O87" s="16"/>
      <c r="P87" s="16"/>
      <c r="Q87" s="16"/>
      <c r="R87" s="16"/>
      <c r="S87" s="16">
        <v>-2.0</v>
      </c>
      <c r="T87" s="16"/>
      <c r="U87" s="16" t="s">
        <v>709</v>
      </c>
      <c r="V87" s="16" t="s">
        <v>710</v>
      </c>
      <c r="W87" s="16" t="s">
        <v>332</v>
      </c>
      <c r="X87" s="16" t="s">
        <v>181</v>
      </c>
      <c r="Y87" s="100"/>
      <c r="Z87" s="16" t="s">
        <v>181</v>
      </c>
    </row>
    <row r="88">
      <c r="A88" s="16">
        <v>12578.0</v>
      </c>
      <c r="B88" s="16" t="s">
        <v>711</v>
      </c>
      <c r="C88" s="16">
        <v>0.8</v>
      </c>
      <c r="D88" s="174" t="s">
        <v>712</v>
      </c>
      <c r="E88" s="16"/>
      <c r="F88" s="16">
        <v>547.0</v>
      </c>
      <c r="G88" s="16" t="s">
        <v>176</v>
      </c>
      <c r="H88" s="16" t="s">
        <v>12</v>
      </c>
      <c r="I88" s="16"/>
      <c r="J88" s="16"/>
      <c r="K88" s="16"/>
      <c r="L88" s="16"/>
      <c r="M88" s="16"/>
      <c r="N88" s="16"/>
      <c r="O88" s="16"/>
      <c r="P88" s="16"/>
      <c r="Q88" s="16"/>
      <c r="R88" s="16"/>
      <c r="S88" s="16">
        <v>-2.0</v>
      </c>
      <c r="T88" s="16"/>
      <c r="U88" s="16" t="s">
        <v>713</v>
      </c>
      <c r="V88" s="16" t="s">
        <v>714</v>
      </c>
      <c r="W88" s="16" t="s">
        <v>259</v>
      </c>
      <c r="X88" s="16" t="s">
        <v>181</v>
      </c>
      <c r="Y88" s="100"/>
      <c r="Z88" s="16" t="s">
        <v>181</v>
      </c>
    </row>
    <row r="89">
      <c r="A89" s="16">
        <v>12579.0</v>
      </c>
      <c r="B89" s="16" t="s">
        <v>48</v>
      </c>
      <c r="C89" s="16">
        <v>1.2</v>
      </c>
      <c r="D89" s="174" t="s">
        <v>715</v>
      </c>
      <c r="E89" s="16"/>
      <c r="F89" s="16">
        <v>584.0</v>
      </c>
      <c r="G89" s="16" t="s">
        <v>361</v>
      </c>
      <c r="H89" s="16" t="s">
        <v>18</v>
      </c>
      <c r="I89" s="16"/>
      <c r="J89" s="16"/>
      <c r="K89" s="16"/>
      <c r="L89" s="16"/>
      <c r="M89" s="16"/>
      <c r="N89" s="16"/>
      <c r="O89" s="16"/>
      <c r="P89" s="16"/>
      <c r="Q89" s="16"/>
      <c r="R89" s="16"/>
      <c r="S89" s="16">
        <v>-2.0</v>
      </c>
      <c r="T89" s="16"/>
      <c r="U89" s="16" t="s">
        <v>716</v>
      </c>
      <c r="V89" s="16" t="s">
        <v>717</v>
      </c>
      <c r="W89" s="16" t="s">
        <v>491</v>
      </c>
      <c r="X89" s="16" t="s">
        <v>181</v>
      </c>
      <c r="Y89" s="100"/>
      <c r="Z89" s="16" t="s">
        <v>181</v>
      </c>
    </row>
    <row r="90">
      <c r="A90" s="16">
        <v>12580.0</v>
      </c>
      <c r="B90" s="16" t="s">
        <v>718</v>
      </c>
      <c r="C90" s="16">
        <v>1.51</v>
      </c>
      <c r="D90" s="174" t="s">
        <v>719</v>
      </c>
      <c r="E90" s="16"/>
      <c r="F90" s="16">
        <v>584.0</v>
      </c>
      <c r="G90" s="16" t="s">
        <v>361</v>
      </c>
      <c r="H90" s="16" t="s">
        <v>24</v>
      </c>
      <c r="I90" s="16"/>
      <c r="J90" s="16"/>
      <c r="K90" s="16"/>
      <c r="L90" s="16"/>
      <c r="M90" s="16"/>
      <c r="N90" s="16"/>
      <c r="O90" s="16"/>
      <c r="P90" s="16"/>
      <c r="Q90" s="16"/>
      <c r="R90" s="16"/>
      <c r="S90" s="16">
        <v>-2.0</v>
      </c>
      <c r="T90" s="16"/>
      <c r="U90" s="16" t="s">
        <v>720</v>
      </c>
      <c r="V90" s="16" t="s">
        <v>721</v>
      </c>
      <c r="W90" s="16" t="s">
        <v>722</v>
      </c>
      <c r="X90" s="16" t="s">
        <v>181</v>
      </c>
      <c r="Y90" s="100"/>
      <c r="Z90" s="16" t="s">
        <v>181</v>
      </c>
    </row>
    <row r="91">
      <c r="A91" s="16">
        <v>12581.0</v>
      </c>
      <c r="B91" s="16" t="s">
        <v>723</v>
      </c>
      <c r="C91" s="16">
        <v>1.44</v>
      </c>
      <c r="D91" s="174" t="s">
        <v>724</v>
      </c>
      <c r="E91" s="16"/>
      <c r="F91" s="16">
        <v>560.0</v>
      </c>
      <c r="G91" s="16" t="s">
        <v>245</v>
      </c>
      <c r="H91" s="16" t="s">
        <v>25</v>
      </c>
      <c r="I91" s="16" t="s">
        <v>26</v>
      </c>
      <c r="J91" s="16"/>
      <c r="K91" s="16"/>
      <c r="L91" s="16"/>
      <c r="M91" s="16"/>
      <c r="N91" s="16"/>
      <c r="O91" s="16"/>
      <c r="P91" s="16"/>
      <c r="Q91" s="16"/>
      <c r="R91" s="16"/>
      <c r="S91" s="16">
        <v>-2.0</v>
      </c>
      <c r="T91" s="16"/>
      <c r="U91" s="16" t="s">
        <v>725</v>
      </c>
      <c r="V91" s="16" t="s">
        <v>726</v>
      </c>
      <c r="W91" s="16" t="s">
        <v>634</v>
      </c>
      <c r="X91" s="16" t="s">
        <v>181</v>
      </c>
      <c r="Y91" s="100"/>
      <c r="Z91" s="16" t="s">
        <v>181</v>
      </c>
    </row>
    <row r="92">
      <c r="A92" s="16">
        <v>12582.0</v>
      </c>
      <c r="B92" s="16" t="s">
        <v>727</v>
      </c>
      <c r="C92" s="16">
        <v>0.0</v>
      </c>
      <c r="D92" s="174" t="s">
        <v>728</v>
      </c>
      <c r="E92" s="16"/>
      <c r="F92" s="16">
        <v>575.0</v>
      </c>
      <c r="G92" s="16" t="s">
        <v>212</v>
      </c>
      <c r="H92" s="16" t="s">
        <v>16</v>
      </c>
      <c r="I92" s="16" t="s">
        <v>14</v>
      </c>
      <c r="J92" s="16" t="s">
        <v>15</v>
      </c>
      <c r="K92" s="16"/>
      <c r="L92" s="16"/>
      <c r="M92" s="16"/>
      <c r="N92" s="16"/>
      <c r="O92" s="16"/>
      <c r="P92" s="16"/>
      <c r="Q92" s="16"/>
      <c r="R92" s="16"/>
      <c r="S92" s="16">
        <v>-2.0</v>
      </c>
      <c r="T92" s="16"/>
      <c r="U92" s="16" t="s">
        <v>729</v>
      </c>
      <c r="V92" s="16" t="s">
        <v>730</v>
      </c>
      <c r="W92" s="16" t="s">
        <v>332</v>
      </c>
      <c r="X92" s="16" t="s">
        <v>181</v>
      </c>
      <c r="Y92" s="100"/>
      <c r="Z92" s="16" t="s">
        <v>181</v>
      </c>
    </row>
    <row r="93">
      <c r="A93" s="16">
        <v>12583.0</v>
      </c>
      <c r="B93" s="16" t="s">
        <v>731</v>
      </c>
      <c r="C93" s="16">
        <v>0.46</v>
      </c>
      <c r="D93" s="174" t="s">
        <v>732</v>
      </c>
      <c r="E93" s="16"/>
      <c r="F93" s="16">
        <v>547.0</v>
      </c>
      <c r="G93" s="16" t="s">
        <v>176</v>
      </c>
      <c r="H93" s="16" t="s">
        <v>13</v>
      </c>
      <c r="I93" s="16" t="s">
        <v>19</v>
      </c>
      <c r="J93" s="16"/>
      <c r="K93" s="16"/>
      <c r="L93" s="16"/>
      <c r="M93" s="16"/>
      <c r="N93" s="16"/>
      <c r="O93" s="16"/>
      <c r="P93" s="16"/>
      <c r="Q93" s="16"/>
      <c r="R93" s="16"/>
      <c r="S93" s="16">
        <v>-2.0</v>
      </c>
      <c r="T93" s="16"/>
      <c r="U93" s="16" t="s">
        <v>733</v>
      </c>
      <c r="V93" s="16" t="s">
        <v>734</v>
      </c>
      <c r="W93" s="16" t="s">
        <v>199</v>
      </c>
      <c r="X93" s="16" t="s">
        <v>181</v>
      </c>
      <c r="Y93" s="100"/>
      <c r="Z93" s="16" t="s">
        <v>181</v>
      </c>
    </row>
    <row r="94">
      <c r="A94" s="16">
        <v>12584.0</v>
      </c>
      <c r="B94" s="16" t="s">
        <v>735</v>
      </c>
      <c r="C94" s="16">
        <v>0.0</v>
      </c>
      <c r="D94" s="174" t="s">
        <v>736</v>
      </c>
      <c r="E94" s="16"/>
      <c r="F94" s="16">
        <v>565.0</v>
      </c>
      <c r="G94" s="16" t="s">
        <v>228</v>
      </c>
      <c r="H94" s="16" t="s">
        <v>16</v>
      </c>
      <c r="I94" s="16"/>
      <c r="J94" s="16"/>
      <c r="K94" s="16"/>
      <c r="L94" s="16"/>
      <c r="M94" s="16"/>
      <c r="N94" s="16"/>
      <c r="O94" s="16"/>
      <c r="P94" s="16"/>
      <c r="Q94" s="16"/>
      <c r="R94" s="16"/>
      <c r="S94" s="16">
        <v>-2.0</v>
      </c>
      <c r="T94" s="16"/>
      <c r="U94" s="16" t="s">
        <v>737</v>
      </c>
      <c r="V94" s="16" t="s">
        <v>738</v>
      </c>
      <c r="W94" s="16" t="s">
        <v>634</v>
      </c>
      <c r="X94" s="16" t="s">
        <v>181</v>
      </c>
      <c r="Y94" s="100"/>
      <c r="Z94" s="16" t="s">
        <v>181</v>
      </c>
    </row>
    <row r="95">
      <c r="A95" s="16">
        <v>12585.0</v>
      </c>
      <c r="B95" s="16" t="s">
        <v>739</v>
      </c>
      <c r="C95" s="16">
        <v>0.31</v>
      </c>
      <c r="D95" s="174" t="s">
        <v>740</v>
      </c>
      <c r="E95" s="16"/>
      <c r="F95" s="16">
        <v>547.0</v>
      </c>
      <c r="G95" s="16" t="s">
        <v>176</v>
      </c>
      <c r="H95" s="16" t="s">
        <v>12</v>
      </c>
      <c r="I95" s="16"/>
      <c r="J95" s="16"/>
      <c r="K95" s="16"/>
      <c r="L95" s="16"/>
      <c r="M95" s="16"/>
      <c r="N95" s="16"/>
      <c r="O95" s="16"/>
      <c r="P95" s="16"/>
      <c r="Q95" s="16"/>
      <c r="R95" s="16"/>
      <c r="S95" s="16">
        <v>-2.0</v>
      </c>
      <c r="T95" s="16"/>
      <c r="U95" s="16" t="s">
        <v>741</v>
      </c>
      <c r="V95" s="16" t="s">
        <v>742</v>
      </c>
      <c r="W95" s="16" t="s">
        <v>675</v>
      </c>
      <c r="X95" s="16" t="s">
        <v>181</v>
      </c>
      <c r="Y95" s="100"/>
      <c r="Z95" s="16" t="s">
        <v>181</v>
      </c>
    </row>
    <row r="96">
      <c r="A96" s="16">
        <v>12586.0</v>
      </c>
      <c r="B96" s="16" t="s">
        <v>743</v>
      </c>
      <c r="C96" s="16">
        <v>0.0</v>
      </c>
      <c r="D96" s="174" t="s">
        <v>744</v>
      </c>
      <c r="E96" s="16"/>
      <c r="F96" s="16">
        <v>547.0</v>
      </c>
      <c r="G96" s="16" t="s">
        <v>176</v>
      </c>
      <c r="H96" s="16" t="s">
        <v>13</v>
      </c>
      <c r="I96" s="16" t="s">
        <v>15</v>
      </c>
      <c r="J96" s="16" t="s">
        <v>19</v>
      </c>
      <c r="K96" s="16"/>
      <c r="L96" s="16"/>
      <c r="M96" s="16"/>
      <c r="N96" s="16"/>
      <c r="O96" s="16"/>
      <c r="P96" s="16"/>
      <c r="Q96" s="16"/>
      <c r="R96" s="16"/>
      <c r="S96" s="16">
        <v>-2.0</v>
      </c>
      <c r="T96" s="16"/>
      <c r="U96" s="16" t="s">
        <v>745</v>
      </c>
      <c r="V96" s="16" t="s">
        <v>746</v>
      </c>
      <c r="W96" s="16" t="s">
        <v>199</v>
      </c>
      <c r="X96" s="16" t="s">
        <v>181</v>
      </c>
      <c r="Y96" s="100"/>
      <c r="Z96" s="16" t="s">
        <v>181</v>
      </c>
    </row>
    <row r="97">
      <c r="A97" s="16">
        <v>12587.0</v>
      </c>
      <c r="B97" s="16" t="s">
        <v>747</v>
      </c>
      <c r="C97" s="16">
        <v>0.0</v>
      </c>
      <c r="D97" s="174" t="s">
        <v>748</v>
      </c>
      <c r="E97" s="16"/>
      <c r="F97" s="16">
        <v>547.0</v>
      </c>
      <c r="G97" s="16" t="s">
        <v>176</v>
      </c>
      <c r="H97" s="16" t="s">
        <v>24</v>
      </c>
      <c r="I97" s="16"/>
      <c r="J97" s="16"/>
      <c r="K97" s="16"/>
      <c r="L97" s="16"/>
      <c r="M97" s="16"/>
      <c r="N97" s="16"/>
      <c r="O97" s="16"/>
      <c r="P97" s="16"/>
      <c r="Q97" s="16"/>
      <c r="R97" s="16"/>
      <c r="S97" s="16">
        <v>-2.0</v>
      </c>
      <c r="T97" s="16"/>
      <c r="U97" s="16" t="s">
        <v>749</v>
      </c>
      <c r="V97" s="16" t="s">
        <v>750</v>
      </c>
      <c r="W97" s="16" t="s">
        <v>751</v>
      </c>
      <c r="X97" s="16" t="s">
        <v>181</v>
      </c>
      <c r="Y97" s="100"/>
      <c r="Z97" s="16" t="s">
        <v>181</v>
      </c>
    </row>
    <row r="98">
      <c r="A98" s="16">
        <v>12588.0</v>
      </c>
      <c r="B98" s="16" t="s">
        <v>752</v>
      </c>
      <c r="C98" s="16">
        <v>3.84</v>
      </c>
      <c r="D98" s="174" t="s">
        <v>753</v>
      </c>
      <c r="E98" s="16"/>
      <c r="F98" s="16">
        <v>572.0</v>
      </c>
      <c r="G98" s="16" t="s">
        <v>306</v>
      </c>
      <c r="H98" s="16" t="s">
        <v>16</v>
      </c>
      <c r="I98" s="16"/>
      <c r="J98" s="16"/>
      <c r="K98" s="16"/>
      <c r="L98" s="16"/>
      <c r="M98" s="16"/>
      <c r="N98" s="16"/>
      <c r="O98" s="16"/>
      <c r="P98" s="16"/>
      <c r="Q98" s="16"/>
      <c r="R98" s="16"/>
      <c r="S98" s="16">
        <v>-2.0</v>
      </c>
      <c r="T98" s="16"/>
      <c r="U98" s="16" t="s">
        <v>754</v>
      </c>
      <c r="V98" s="16" t="s">
        <v>755</v>
      </c>
      <c r="W98" s="16" t="s">
        <v>188</v>
      </c>
      <c r="X98" s="16" t="s">
        <v>181</v>
      </c>
      <c r="Y98" s="100"/>
      <c r="Z98" s="16" t="s">
        <v>181</v>
      </c>
    </row>
    <row r="99">
      <c r="A99" s="16">
        <v>12589.0</v>
      </c>
      <c r="B99" s="16" t="s">
        <v>756</v>
      </c>
      <c r="C99" s="16">
        <v>1.39</v>
      </c>
      <c r="D99" s="174" t="s">
        <v>757</v>
      </c>
      <c r="E99" s="16"/>
      <c r="F99" s="16">
        <v>557.0</v>
      </c>
      <c r="G99" s="16" t="s">
        <v>232</v>
      </c>
      <c r="H99" s="16" t="s">
        <v>24</v>
      </c>
      <c r="I99" s="16" t="s">
        <v>25</v>
      </c>
      <c r="J99" s="16"/>
      <c r="K99" s="16"/>
      <c r="L99" s="16"/>
      <c r="M99" s="16"/>
      <c r="N99" s="16"/>
      <c r="O99" s="16"/>
      <c r="P99" s="16"/>
      <c r="Q99" s="16"/>
      <c r="R99" s="16"/>
      <c r="S99" s="16">
        <v>-2.0</v>
      </c>
      <c r="T99" s="16"/>
      <c r="U99" s="16" t="s">
        <v>758</v>
      </c>
      <c r="V99" s="16" t="s">
        <v>759</v>
      </c>
      <c r="W99" s="16" t="s">
        <v>259</v>
      </c>
      <c r="X99" s="16" t="s">
        <v>181</v>
      </c>
      <c r="Y99" s="100"/>
      <c r="Z99" s="16" t="s">
        <v>181</v>
      </c>
    </row>
    <row r="100">
      <c r="A100" s="16">
        <v>12590.0</v>
      </c>
      <c r="B100" s="16" t="s">
        <v>760</v>
      </c>
      <c r="C100" s="16">
        <v>0.0</v>
      </c>
      <c r="D100" s="174" t="s">
        <v>761</v>
      </c>
      <c r="E100" s="16"/>
      <c r="F100" s="16">
        <v>547.0</v>
      </c>
      <c r="G100" s="16" t="s">
        <v>176</v>
      </c>
      <c r="H100" s="16" t="s">
        <v>24</v>
      </c>
      <c r="I100" s="16" t="s">
        <v>25</v>
      </c>
      <c r="J100" s="16" t="s">
        <v>26</v>
      </c>
      <c r="K100" s="16"/>
      <c r="L100" s="16"/>
      <c r="M100" s="16"/>
      <c r="N100" s="16"/>
      <c r="O100" s="16"/>
      <c r="P100" s="16"/>
      <c r="Q100" s="16"/>
      <c r="R100" s="16"/>
      <c r="S100" s="16">
        <v>-2.0</v>
      </c>
      <c r="T100" s="16"/>
      <c r="U100" s="16" t="s">
        <v>762</v>
      </c>
      <c r="V100" s="16" t="s">
        <v>763</v>
      </c>
      <c r="W100" s="16" t="s">
        <v>332</v>
      </c>
      <c r="X100" s="16" t="s">
        <v>181</v>
      </c>
      <c r="Y100" s="100"/>
      <c r="Z100" s="16" t="s">
        <v>181</v>
      </c>
    </row>
    <row r="101">
      <c r="A101" s="16">
        <v>12591.0</v>
      </c>
      <c r="B101" s="16" t="s">
        <v>764</v>
      </c>
      <c r="C101" s="16">
        <v>0.0</v>
      </c>
      <c r="D101" s="174" t="s">
        <v>765</v>
      </c>
      <c r="E101" s="16"/>
      <c r="F101" s="16">
        <v>587.0</v>
      </c>
      <c r="G101" s="16" t="s">
        <v>289</v>
      </c>
      <c r="H101" s="16" t="s">
        <v>16</v>
      </c>
      <c r="I101" s="16" t="s">
        <v>15</v>
      </c>
      <c r="J101" s="16" t="s">
        <v>14</v>
      </c>
      <c r="K101" s="16"/>
      <c r="L101" s="16"/>
      <c r="M101" s="16"/>
      <c r="N101" s="16"/>
      <c r="O101" s="16"/>
      <c r="P101" s="16"/>
      <c r="Q101" s="16"/>
      <c r="R101" s="16"/>
      <c r="S101" s="16">
        <v>-2.0</v>
      </c>
      <c r="T101" s="16"/>
      <c r="U101" s="16" t="s">
        <v>766</v>
      </c>
      <c r="V101" s="16" t="s">
        <v>767</v>
      </c>
      <c r="W101" s="16" t="s">
        <v>199</v>
      </c>
      <c r="X101" s="16" t="s">
        <v>181</v>
      </c>
      <c r="Y101" s="100"/>
      <c r="Z101" s="16" t="s">
        <v>181</v>
      </c>
    </row>
    <row r="102">
      <c r="A102" s="16">
        <v>12592.0</v>
      </c>
      <c r="B102" s="16" t="s">
        <v>768</v>
      </c>
      <c r="C102" s="16">
        <v>0.0</v>
      </c>
      <c r="D102" s="174" t="s">
        <v>769</v>
      </c>
      <c r="E102" s="16"/>
      <c r="F102" s="16">
        <v>547.0</v>
      </c>
      <c r="G102" s="16" t="s">
        <v>176</v>
      </c>
      <c r="H102" s="16" t="s">
        <v>24</v>
      </c>
      <c r="I102" s="16" t="s">
        <v>25</v>
      </c>
      <c r="J102" s="16"/>
      <c r="K102" s="16"/>
      <c r="L102" s="16"/>
      <c r="M102" s="16"/>
      <c r="N102" s="16"/>
      <c r="O102" s="16"/>
      <c r="P102" s="16"/>
      <c r="Q102" s="16"/>
      <c r="R102" s="16"/>
      <c r="S102" s="16">
        <v>-2.0</v>
      </c>
      <c r="T102" s="16"/>
      <c r="U102" s="16" t="s">
        <v>770</v>
      </c>
      <c r="V102" s="16" t="s">
        <v>771</v>
      </c>
      <c r="W102" s="16" t="s">
        <v>199</v>
      </c>
      <c r="X102" s="16" t="s">
        <v>181</v>
      </c>
      <c r="Y102" s="100"/>
      <c r="Z102" s="16" t="s">
        <v>181</v>
      </c>
    </row>
    <row r="103">
      <c r="A103" s="16">
        <v>12593.0</v>
      </c>
      <c r="B103" s="16" t="s">
        <v>772</v>
      </c>
      <c r="C103" s="16">
        <v>1.29</v>
      </c>
      <c r="D103" s="174" t="s">
        <v>773</v>
      </c>
      <c r="E103" s="16"/>
      <c r="F103" s="16">
        <v>547.0</v>
      </c>
      <c r="G103" s="16" t="s">
        <v>176</v>
      </c>
      <c r="H103" s="16" t="s">
        <v>24</v>
      </c>
      <c r="I103" s="16"/>
      <c r="J103" s="16"/>
      <c r="K103" s="16"/>
      <c r="L103" s="16"/>
      <c r="M103" s="16"/>
      <c r="N103" s="16"/>
      <c r="O103" s="16"/>
      <c r="P103" s="16"/>
      <c r="Q103" s="16"/>
      <c r="R103" s="16"/>
      <c r="S103" s="16">
        <v>-2.0</v>
      </c>
      <c r="T103" s="16"/>
      <c r="U103" s="16" t="s">
        <v>774</v>
      </c>
      <c r="V103" s="16" t="s">
        <v>775</v>
      </c>
      <c r="W103" s="16" t="s">
        <v>231</v>
      </c>
      <c r="X103" s="16" t="s">
        <v>181</v>
      </c>
      <c r="Y103" s="100"/>
      <c r="Z103" s="16" t="s">
        <v>181</v>
      </c>
    </row>
    <row r="104">
      <c r="A104" s="16">
        <v>12594.0</v>
      </c>
      <c r="B104" s="16" t="s">
        <v>776</v>
      </c>
      <c r="C104" s="16">
        <v>0.14</v>
      </c>
      <c r="D104" s="174" t="s">
        <v>777</v>
      </c>
      <c r="E104" s="16"/>
      <c r="F104" s="16">
        <v>547.0</v>
      </c>
      <c r="G104" s="16" t="s">
        <v>176</v>
      </c>
      <c r="H104" s="16" t="s">
        <v>25</v>
      </c>
      <c r="I104" s="16"/>
      <c r="J104" s="16"/>
      <c r="K104" s="16"/>
      <c r="L104" s="16"/>
      <c r="M104" s="16"/>
      <c r="N104" s="16"/>
      <c r="O104" s="16"/>
      <c r="P104" s="16"/>
      <c r="Q104" s="16"/>
      <c r="R104" s="16"/>
      <c r="S104" s="16">
        <v>-2.0</v>
      </c>
      <c r="T104" s="16"/>
      <c r="U104" s="16" t="s">
        <v>778</v>
      </c>
      <c r="V104" s="16" t="s">
        <v>779</v>
      </c>
      <c r="W104" s="16" t="s">
        <v>199</v>
      </c>
      <c r="X104" s="16" t="s">
        <v>181</v>
      </c>
      <c r="Y104" s="100"/>
      <c r="Z104" s="16" t="s">
        <v>181</v>
      </c>
    </row>
    <row r="105">
      <c r="A105" s="16">
        <v>12595.0</v>
      </c>
      <c r="B105" s="16" t="s">
        <v>780</v>
      </c>
      <c r="C105" s="16">
        <v>0.0</v>
      </c>
      <c r="D105" s="174" t="s">
        <v>781</v>
      </c>
      <c r="E105" s="16"/>
      <c r="F105" s="16">
        <v>547.0</v>
      </c>
      <c r="G105" s="16" t="s">
        <v>176</v>
      </c>
      <c r="H105" s="16" t="s">
        <v>16</v>
      </c>
      <c r="I105" s="16" t="s">
        <v>15</v>
      </c>
      <c r="J105" s="16"/>
      <c r="K105" s="16"/>
      <c r="L105" s="16"/>
      <c r="M105" s="16"/>
      <c r="N105" s="16"/>
      <c r="O105" s="16"/>
      <c r="P105" s="16"/>
      <c r="Q105" s="16"/>
      <c r="R105" s="16"/>
      <c r="S105" s="16">
        <v>-2.0</v>
      </c>
      <c r="T105" s="16"/>
      <c r="U105" s="16" t="s">
        <v>782</v>
      </c>
      <c r="V105" s="16" t="s">
        <v>783</v>
      </c>
      <c r="W105" s="16" t="s">
        <v>199</v>
      </c>
      <c r="X105" s="16" t="s">
        <v>181</v>
      </c>
      <c r="Y105" s="100"/>
      <c r="Z105" s="16" t="s">
        <v>181</v>
      </c>
    </row>
    <row r="106">
      <c r="A106" s="16">
        <v>12596.0</v>
      </c>
      <c r="B106" s="16" t="s">
        <v>784</v>
      </c>
      <c r="C106" s="16">
        <v>0.0</v>
      </c>
      <c r="D106" s="174" t="s">
        <v>785</v>
      </c>
      <c r="E106" s="16"/>
      <c r="F106" s="16">
        <v>547.0</v>
      </c>
      <c r="G106" s="16" t="s">
        <v>176</v>
      </c>
      <c r="H106" s="16" t="s">
        <v>14</v>
      </c>
      <c r="I106" s="16" t="s">
        <v>15</v>
      </c>
      <c r="J106" s="16" t="s">
        <v>13</v>
      </c>
      <c r="K106" s="16"/>
      <c r="L106" s="16"/>
      <c r="M106" s="16"/>
      <c r="N106" s="16"/>
      <c r="O106" s="16"/>
      <c r="P106" s="16"/>
      <c r="Q106" s="16"/>
      <c r="R106" s="16"/>
      <c r="S106" s="16">
        <v>-2.0</v>
      </c>
      <c r="T106" s="16"/>
      <c r="U106" s="16" t="s">
        <v>786</v>
      </c>
      <c r="V106" s="16" t="s">
        <v>787</v>
      </c>
      <c r="W106" s="16" t="s">
        <v>661</v>
      </c>
      <c r="X106" s="16" t="s">
        <v>181</v>
      </c>
      <c r="Y106" s="100"/>
      <c r="Z106" s="16" t="s">
        <v>181</v>
      </c>
    </row>
    <row r="107">
      <c r="A107" s="16">
        <v>12597.0</v>
      </c>
      <c r="B107" s="16" t="s">
        <v>788</v>
      </c>
      <c r="C107" s="16">
        <v>1.64</v>
      </c>
      <c r="D107" s="174" t="s">
        <v>789</v>
      </c>
      <c r="E107" s="16"/>
      <c r="F107" s="16">
        <v>554.0</v>
      </c>
      <c r="G107" s="16" t="s">
        <v>215</v>
      </c>
      <c r="H107" s="16" t="s">
        <v>14</v>
      </c>
      <c r="I107" s="16" t="s">
        <v>13</v>
      </c>
      <c r="J107" s="16"/>
      <c r="K107" s="16"/>
      <c r="L107" s="16"/>
      <c r="M107" s="16"/>
      <c r="N107" s="16"/>
      <c r="O107" s="16"/>
      <c r="P107" s="16"/>
      <c r="Q107" s="16"/>
      <c r="R107" s="16"/>
      <c r="S107" s="16">
        <v>-2.0</v>
      </c>
      <c r="T107" s="16"/>
      <c r="U107" s="16" t="s">
        <v>790</v>
      </c>
      <c r="V107" s="16" t="s">
        <v>791</v>
      </c>
      <c r="W107" s="16" t="s">
        <v>661</v>
      </c>
      <c r="X107" s="16" t="s">
        <v>181</v>
      </c>
      <c r="Y107" s="100"/>
      <c r="Z107" s="16" t="s">
        <v>181</v>
      </c>
    </row>
    <row r="108">
      <c r="A108" s="16">
        <v>12598.0</v>
      </c>
      <c r="B108" s="16" t="s">
        <v>792</v>
      </c>
      <c r="C108" s="16">
        <v>1.89</v>
      </c>
      <c r="D108" s="174" t="s">
        <v>793</v>
      </c>
      <c r="E108" s="16"/>
      <c r="F108" s="16">
        <v>565.0</v>
      </c>
      <c r="G108" s="16" t="s">
        <v>228</v>
      </c>
      <c r="H108" s="16" t="s">
        <v>17</v>
      </c>
      <c r="I108" s="16" t="s">
        <v>18</v>
      </c>
      <c r="J108" s="16" t="s">
        <v>19</v>
      </c>
      <c r="K108" s="16"/>
      <c r="L108" s="16"/>
      <c r="M108" s="16"/>
      <c r="N108" s="16"/>
      <c r="O108" s="16"/>
      <c r="P108" s="16"/>
      <c r="Q108" s="16"/>
      <c r="R108" s="16"/>
      <c r="S108" s="16">
        <v>-2.0</v>
      </c>
      <c r="T108" s="16"/>
      <c r="U108" s="16" t="s">
        <v>794</v>
      </c>
      <c r="V108" s="16" t="s">
        <v>795</v>
      </c>
      <c r="W108" s="16" t="s">
        <v>491</v>
      </c>
      <c r="X108" s="16" t="s">
        <v>181</v>
      </c>
      <c r="Y108" s="100"/>
      <c r="Z108" s="16" t="s">
        <v>181</v>
      </c>
    </row>
    <row r="109">
      <c r="A109" s="16">
        <v>12599.0</v>
      </c>
      <c r="B109" s="16" t="s">
        <v>796</v>
      </c>
      <c r="C109" s="16">
        <v>0.96</v>
      </c>
      <c r="D109" s="174" t="s">
        <v>797</v>
      </c>
      <c r="E109" s="16"/>
      <c r="F109" s="16">
        <v>551.0</v>
      </c>
      <c r="G109" s="16" t="s">
        <v>200</v>
      </c>
      <c r="H109" s="16" t="s">
        <v>17</v>
      </c>
      <c r="I109" s="16" t="s">
        <v>18</v>
      </c>
      <c r="J109" s="16"/>
      <c r="K109" s="16"/>
      <c r="L109" s="16"/>
      <c r="M109" s="16"/>
      <c r="N109" s="16"/>
      <c r="O109" s="16"/>
      <c r="P109" s="16"/>
      <c r="Q109" s="16"/>
      <c r="R109" s="16"/>
      <c r="S109" s="16">
        <v>-2.0</v>
      </c>
      <c r="T109" s="16"/>
      <c r="U109" s="16" t="s">
        <v>798</v>
      </c>
      <c r="V109" s="16" t="s">
        <v>799</v>
      </c>
      <c r="W109" s="16" t="s">
        <v>188</v>
      </c>
      <c r="X109" s="16" t="s">
        <v>181</v>
      </c>
      <c r="Y109" s="100"/>
      <c r="Z109" s="16" t="s">
        <v>181</v>
      </c>
    </row>
    <row r="110">
      <c r="A110" s="16">
        <v>12600.0</v>
      </c>
      <c r="B110" s="16" t="s">
        <v>800</v>
      </c>
      <c r="C110" s="16">
        <v>0.25</v>
      </c>
      <c r="D110" s="174" t="s">
        <v>801</v>
      </c>
      <c r="E110" s="16"/>
      <c r="F110" s="16">
        <v>551.0</v>
      </c>
      <c r="G110" s="16" t="s">
        <v>200</v>
      </c>
      <c r="H110" s="16" t="s">
        <v>24</v>
      </c>
      <c r="I110" s="16"/>
      <c r="J110" s="16"/>
      <c r="K110" s="16"/>
      <c r="L110" s="16"/>
      <c r="M110" s="16"/>
      <c r="N110" s="16"/>
      <c r="O110" s="16"/>
      <c r="P110" s="16"/>
      <c r="Q110" s="16"/>
      <c r="R110" s="16"/>
      <c r="S110" s="16">
        <v>-2.0</v>
      </c>
      <c r="T110" s="16"/>
      <c r="U110" s="16" t="s">
        <v>802</v>
      </c>
      <c r="V110" s="16" t="s">
        <v>803</v>
      </c>
      <c r="W110" s="16" t="s">
        <v>231</v>
      </c>
      <c r="X110" s="16" t="s">
        <v>181</v>
      </c>
      <c r="Y110" s="100"/>
      <c r="Z110" s="16" t="s">
        <v>181</v>
      </c>
    </row>
    <row r="111">
      <c r="A111" s="16">
        <v>12601.0</v>
      </c>
      <c r="B111" s="16" t="s">
        <v>804</v>
      </c>
      <c r="C111" s="16">
        <v>2.06</v>
      </c>
      <c r="D111" s="174" t="s">
        <v>805</v>
      </c>
      <c r="E111" s="16"/>
      <c r="F111" s="16">
        <v>581.0</v>
      </c>
      <c r="G111" s="16" t="s">
        <v>346</v>
      </c>
      <c r="H111" s="16" t="s">
        <v>24</v>
      </c>
      <c r="I111" s="16" t="s">
        <v>25</v>
      </c>
      <c r="J111" s="16"/>
      <c r="K111" s="16"/>
      <c r="L111" s="16"/>
      <c r="M111" s="16"/>
      <c r="N111" s="16"/>
      <c r="O111" s="16"/>
      <c r="P111" s="16"/>
      <c r="Q111" s="16"/>
      <c r="R111" s="16"/>
      <c r="S111" s="16">
        <v>-2.0</v>
      </c>
      <c r="T111" s="16"/>
      <c r="U111" s="16" t="s">
        <v>806</v>
      </c>
      <c r="V111" s="16" t="s">
        <v>807</v>
      </c>
      <c r="W111" s="16" t="s">
        <v>332</v>
      </c>
      <c r="X111" s="16" t="s">
        <v>181</v>
      </c>
      <c r="Y111" s="100"/>
      <c r="Z111" s="16" t="s">
        <v>181</v>
      </c>
    </row>
    <row r="112">
      <c r="A112" s="16">
        <v>12602.0</v>
      </c>
      <c r="B112" s="16" t="s">
        <v>808</v>
      </c>
      <c r="C112" s="16">
        <v>0.61</v>
      </c>
      <c r="D112" s="174" t="s">
        <v>809</v>
      </c>
      <c r="E112" s="16"/>
      <c r="F112" s="16">
        <v>590.0</v>
      </c>
      <c r="G112" s="16" t="s">
        <v>387</v>
      </c>
      <c r="H112" s="16" t="s">
        <v>24</v>
      </c>
      <c r="I112" s="16"/>
      <c r="J112" s="16"/>
      <c r="K112" s="16"/>
      <c r="L112" s="16"/>
      <c r="M112" s="16"/>
      <c r="N112" s="16"/>
      <c r="O112" s="16"/>
      <c r="P112" s="16"/>
      <c r="Q112" s="16"/>
      <c r="R112" s="16"/>
      <c r="S112" s="16">
        <v>-2.0</v>
      </c>
      <c r="T112" s="16"/>
      <c r="U112" s="16" t="s">
        <v>810</v>
      </c>
      <c r="V112" s="16" t="s">
        <v>811</v>
      </c>
      <c r="W112" s="16" t="s">
        <v>459</v>
      </c>
      <c r="X112" s="16" t="s">
        <v>181</v>
      </c>
      <c r="Y112" s="100"/>
      <c r="Z112" s="16" t="s">
        <v>181</v>
      </c>
    </row>
    <row r="113">
      <c r="A113" s="16">
        <v>12603.0</v>
      </c>
      <c r="B113" s="16" t="s">
        <v>812</v>
      </c>
      <c r="C113" s="16">
        <v>0.69</v>
      </c>
      <c r="D113" s="174" t="s">
        <v>813</v>
      </c>
      <c r="E113" s="16"/>
      <c r="F113" s="16">
        <v>560.0</v>
      </c>
      <c r="G113" s="16" t="s">
        <v>245</v>
      </c>
      <c r="H113" s="16" t="s">
        <v>24</v>
      </c>
      <c r="I113" s="16"/>
      <c r="J113" s="16"/>
      <c r="K113" s="16"/>
      <c r="L113" s="16"/>
      <c r="M113" s="16"/>
      <c r="N113" s="16"/>
      <c r="O113" s="16"/>
      <c r="P113" s="16"/>
      <c r="Q113" s="16"/>
      <c r="R113" s="16"/>
      <c r="S113" s="16">
        <v>-2.0</v>
      </c>
      <c r="T113" s="16"/>
      <c r="U113" s="16" t="s">
        <v>814</v>
      </c>
      <c r="V113" s="16" t="s">
        <v>815</v>
      </c>
      <c r="W113" s="16" t="s">
        <v>188</v>
      </c>
      <c r="X113" s="16" t="s">
        <v>181</v>
      </c>
      <c r="Y113" s="100"/>
      <c r="Z113" s="16" t="s">
        <v>181</v>
      </c>
    </row>
    <row r="114">
      <c r="A114" s="16">
        <v>12604.0</v>
      </c>
      <c r="B114" s="16" t="s">
        <v>816</v>
      </c>
      <c r="C114" s="16">
        <v>0.75</v>
      </c>
      <c r="D114" s="174" t="s">
        <v>817</v>
      </c>
      <c r="E114" s="16"/>
      <c r="F114" s="16">
        <v>557.0</v>
      </c>
      <c r="G114" s="16" t="s">
        <v>232</v>
      </c>
      <c r="H114" s="16" t="s">
        <v>16</v>
      </c>
      <c r="I114" s="16"/>
      <c r="J114" s="16"/>
      <c r="K114" s="16"/>
      <c r="L114" s="16"/>
      <c r="M114" s="16"/>
      <c r="N114" s="16"/>
      <c r="O114" s="16"/>
      <c r="P114" s="16"/>
      <c r="Q114" s="16"/>
      <c r="R114" s="16"/>
      <c r="S114" s="16">
        <v>-2.0</v>
      </c>
      <c r="T114" s="16"/>
      <c r="U114" s="16" t="s">
        <v>818</v>
      </c>
      <c r="V114" s="16" t="s">
        <v>819</v>
      </c>
      <c r="W114" s="16" t="s">
        <v>443</v>
      </c>
      <c r="X114" s="16" t="s">
        <v>181</v>
      </c>
      <c r="Y114" s="100"/>
      <c r="Z114" s="16" t="s">
        <v>181</v>
      </c>
    </row>
    <row r="115">
      <c r="A115" s="16">
        <v>12605.0</v>
      </c>
      <c r="B115" s="16" t="s">
        <v>820</v>
      </c>
      <c r="C115" s="16">
        <v>1.47</v>
      </c>
      <c r="D115" s="174" t="s">
        <v>821</v>
      </c>
      <c r="E115" s="16"/>
      <c r="F115" s="16">
        <v>547.0</v>
      </c>
      <c r="G115" s="16" t="s">
        <v>176</v>
      </c>
      <c r="H115" s="16" t="s">
        <v>24</v>
      </c>
      <c r="I115" s="16" t="s">
        <v>25</v>
      </c>
      <c r="J115" s="16"/>
      <c r="K115" s="16"/>
      <c r="L115" s="16"/>
      <c r="M115" s="16"/>
      <c r="N115" s="16"/>
      <c r="O115" s="16"/>
      <c r="P115" s="16"/>
      <c r="Q115" s="16"/>
      <c r="R115" s="16"/>
      <c r="S115" s="16">
        <v>-2.0</v>
      </c>
      <c r="T115" s="16"/>
      <c r="U115" s="16" t="s">
        <v>822</v>
      </c>
      <c r="V115" s="16" t="s">
        <v>823</v>
      </c>
      <c r="W115" s="16" t="s">
        <v>332</v>
      </c>
      <c r="X115" s="16" t="s">
        <v>181</v>
      </c>
      <c r="Y115" s="100"/>
      <c r="Z115" s="16" t="s">
        <v>181</v>
      </c>
    </row>
    <row r="116">
      <c r="A116" s="16">
        <v>12606.0</v>
      </c>
      <c r="B116" s="16" t="s">
        <v>824</v>
      </c>
      <c r="C116" s="16">
        <v>1.16</v>
      </c>
      <c r="D116" s="174" t="s">
        <v>825</v>
      </c>
      <c r="E116" s="16"/>
      <c r="F116" s="16">
        <v>593.0</v>
      </c>
      <c r="G116" s="16" t="s">
        <v>272</v>
      </c>
      <c r="H116" s="16" t="s">
        <v>17</v>
      </c>
      <c r="I116" s="16" t="s">
        <v>14</v>
      </c>
      <c r="J116" s="16" t="s">
        <v>15</v>
      </c>
      <c r="K116" s="16"/>
      <c r="L116" s="16"/>
      <c r="M116" s="16"/>
      <c r="N116" s="16"/>
      <c r="O116" s="16"/>
      <c r="P116" s="16"/>
      <c r="Q116" s="16"/>
      <c r="R116" s="16"/>
      <c r="S116" s="16">
        <v>-2.0</v>
      </c>
      <c r="T116" s="174" t="s">
        <v>826</v>
      </c>
      <c r="U116" s="16" t="s">
        <v>827</v>
      </c>
      <c r="V116" s="16" t="s">
        <v>828</v>
      </c>
      <c r="W116" s="16" t="s">
        <v>188</v>
      </c>
      <c r="X116" s="16" t="s">
        <v>181</v>
      </c>
      <c r="Y116" s="100"/>
      <c r="Z116" s="16" t="s">
        <v>181</v>
      </c>
    </row>
    <row r="117">
      <c r="A117" s="16">
        <v>12607.0</v>
      </c>
      <c r="B117" s="16" t="s">
        <v>829</v>
      </c>
      <c r="C117" s="16">
        <v>0.59</v>
      </c>
      <c r="D117" s="174" t="s">
        <v>830</v>
      </c>
      <c r="E117" s="16"/>
      <c r="F117" s="16">
        <v>547.0</v>
      </c>
      <c r="G117" s="16" t="s">
        <v>176</v>
      </c>
      <c r="H117" s="16" t="s">
        <v>14</v>
      </c>
      <c r="I117" s="16"/>
      <c r="J117" s="16"/>
      <c r="K117" s="16"/>
      <c r="L117" s="16"/>
      <c r="M117" s="16"/>
      <c r="N117" s="16"/>
      <c r="O117" s="16"/>
      <c r="P117" s="16"/>
      <c r="Q117" s="16"/>
      <c r="R117" s="16"/>
      <c r="S117" s="16">
        <v>-2.0</v>
      </c>
      <c r="T117" s="16"/>
      <c r="U117" s="16" t="s">
        <v>831</v>
      </c>
      <c r="V117" s="16" t="s">
        <v>832</v>
      </c>
      <c r="W117" s="16" t="s">
        <v>491</v>
      </c>
      <c r="X117" s="16" t="s">
        <v>181</v>
      </c>
      <c r="Y117" s="100"/>
      <c r="Z117" s="16" t="s">
        <v>181</v>
      </c>
    </row>
    <row r="118">
      <c r="A118" s="16">
        <v>12608.0</v>
      </c>
      <c r="B118" s="16" t="s">
        <v>833</v>
      </c>
      <c r="C118" s="16">
        <v>0.11</v>
      </c>
      <c r="D118" s="174" t="s">
        <v>834</v>
      </c>
      <c r="E118" s="16"/>
      <c r="F118" s="16">
        <v>563.0</v>
      </c>
      <c r="G118" s="16" t="s">
        <v>260</v>
      </c>
      <c r="H118" s="16" t="s">
        <v>25</v>
      </c>
      <c r="I118" s="16" t="s">
        <v>26</v>
      </c>
      <c r="J118" s="16"/>
      <c r="K118" s="16"/>
      <c r="L118" s="16"/>
      <c r="M118" s="16"/>
      <c r="N118" s="16"/>
      <c r="O118" s="16"/>
      <c r="P118" s="16"/>
      <c r="Q118" s="16"/>
      <c r="R118" s="16"/>
      <c r="S118" s="16">
        <v>-2.0</v>
      </c>
      <c r="T118" s="16"/>
      <c r="U118" s="16" t="s">
        <v>835</v>
      </c>
      <c r="V118" s="16" t="s">
        <v>836</v>
      </c>
      <c r="W118" s="16" t="s">
        <v>360</v>
      </c>
      <c r="X118" s="16" t="s">
        <v>181</v>
      </c>
      <c r="Y118" s="100"/>
      <c r="Z118" s="16" t="s">
        <v>181</v>
      </c>
    </row>
    <row r="119">
      <c r="A119" s="16">
        <v>12609.0</v>
      </c>
      <c r="B119" s="16" t="s">
        <v>837</v>
      </c>
      <c r="C119" s="16">
        <v>0.28</v>
      </c>
      <c r="D119" s="174" t="s">
        <v>838</v>
      </c>
      <c r="E119" s="16"/>
      <c r="F119" s="16">
        <v>547.0</v>
      </c>
      <c r="G119" s="16" t="s">
        <v>176</v>
      </c>
      <c r="H119" s="16" t="s">
        <v>24</v>
      </c>
      <c r="I119" s="16" t="s">
        <v>25</v>
      </c>
      <c r="J119" s="16"/>
      <c r="K119" s="16"/>
      <c r="L119" s="16"/>
      <c r="M119" s="16"/>
      <c r="N119" s="16"/>
      <c r="O119" s="16"/>
      <c r="P119" s="16"/>
      <c r="Q119" s="16"/>
      <c r="R119" s="16"/>
      <c r="S119" s="16">
        <v>-2.0</v>
      </c>
      <c r="T119" s="16"/>
      <c r="U119" s="16" t="s">
        <v>839</v>
      </c>
      <c r="V119" s="16" t="s">
        <v>840</v>
      </c>
      <c r="W119" s="16" t="s">
        <v>600</v>
      </c>
      <c r="X119" s="16" t="s">
        <v>181</v>
      </c>
      <c r="Y119" s="100"/>
      <c r="Z119" s="16" t="s">
        <v>181</v>
      </c>
    </row>
    <row r="120">
      <c r="A120" s="16">
        <v>12610.0</v>
      </c>
      <c r="B120" s="16" t="s">
        <v>841</v>
      </c>
      <c r="C120" s="16">
        <v>1.15</v>
      </c>
      <c r="D120" s="174" t="s">
        <v>842</v>
      </c>
      <c r="E120" s="16"/>
      <c r="F120" s="16">
        <v>547.0</v>
      </c>
      <c r="G120" s="16" t="s">
        <v>176</v>
      </c>
      <c r="H120" s="16" t="s">
        <v>25</v>
      </c>
      <c r="I120" s="16" t="s">
        <v>26</v>
      </c>
      <c r="J120" s="16"/>
      <c r="K120" s="16"/>
      <c r="L120" s="16"/>
      <c r="M120" s="16"/>
      <c r="N120" s="16"/>
      <c r="O120" s="16"/>
      <c r="P120" s="16"/>
      <c r="Q120" s="16"/>
      <c r="R120" s="16"/>
      <c r="S120" s="16">
        <v>-2.0</v>
      </c>
      <c r="T120" s="16"/>
      <c r="U120" s="16" t="s">
        <v>843</v>
      </c>
      <c r="V120" s="16" t="s">
        <v>844</v>
      </c>
      <c r="W120" s="16" t="s">
        <v>199</v>
      </c>
      <c r="X120" s="16" t="s">
        <v>181</v>
      </c>
      <c r="Y120" s="100"/>
      <c r="Z120" s="16" t="s">
        <v>181</v>
      </c>
    </row>
    <row r="121">
      <c r="A121" s="16">
        <v>12611.0</v>
      </c>
      <c r="B121" s="16" t="s">
        <v>845</v>
      </c>
      <c r="C121" s="16">
        <v>2.64</v>
      </c>
      <c r="D121" s="174" t="s">
        <v>846</v>
      </c>
      <c r="E121" s="16"/>
      <c r="F121" s="16">
        <v>560.0</v>
      </c>
      <c r="G121" s="16" t="s">
        <v>245</v>
      </c>
      <c r="H121" s="16" t="s">
        <v>17</v>
      </c>
      <c r="I121" s="16" t="s">
        <v>19</v>
      </c>
      <c r="J121" s="16"/>
      <c r="K121" s="16"/>
      <c r="L121" s="16"/>
      <c r="M121" s="16"/>
      <c r="N121" s="16"/>
      <c r="O121" s="16"/>
      <c r="P121" s="16"/>
      <c r="Q121" s="16"/>
      <c r="R121" s="16"/>
      <c r="S121" s="16">
        <v>-2.0</v>
      </c>
      <c r="T121" s="16"/>
      <c r="U121" s="16" t="s">
        <v>847</v>
      </c>
      <c r="V121" s="16" t="s">
        <v>848</v>
      </c>
      <c r="W121" s="16" t="s">
        <v>443</v>
      </c>
      <c r="X121" s="16" t="s">
        <v>181</v>
      </c>
      <c r="Y121" s="100"/>
      <c r="Z121" s="16" t="s">
        <v>181</v>
      </c>
    </row>
    <row r="122">
      <c r="A122" s="16">
        <v>12612.0</v>
      </c>
      <c r="B122" s="16" t="s">
        <v>849</v>
      </c>
      <c r="C122" s="16">
        <v>0.61</v>
      </c>
      <c r="D122" s="174" t="s">
        <v>850</v>
      </c>
      <c r="E122" s="16"/>
      <c r="F122" s="16">
        <v>547.0</v>
      </c>
      <c r="G122" s="16" t="s">
        <v>176</v>
      </c>
      <c r="H122" s="16" t="s">
        <v>24</v>
      </c>
      <c r="I122" s="16" t="s">
        <v>25</v>
      </c>
      <c r="J122" s="16" t="s">
        <v>26</v>
      </c>
      <c r="K122" s="16"/>
      <c r="L122" s="16"/>
      <c r="M122" s="16"/>
      <c r="N122" s="16"/>
      <c r="O122" s="16"/>
      <c r="P122" s="16"/>
      <c r="Q122" s="16"/>
      <c r="R122" s="16"/>
      <c r="S122" s="16">
        <v>-2.0</v>
      </c>
      <c r="T122" s="16"/>
      <c r="U122" s="16" t="s">
        <v>851</v>
      </c>
      <c r="V122" s="16" t="s">
        <v>852</v>
      </c>
      <c r="W122" s="16" t="s">
        <v>722</v>
      </c>
      <c r="X122" s="16" t="s">
        <v>181</v>
      </c>
      <c r="Y122" s="100"/>
      <c r="Z122" s="16" t="s">
        <v>181</v>
      </c>
    </row>
    <row r="123">
      <c r="A123" s="16">
        <v>12613.0</v>
      </c>
      <c r="B123" s="16" t="s">
        <v>853</v>
      </c>
      <c r="C123" s="16">
        <v>1.92</v>
      </c>
      <c r="D123" s="174" t="s">
        <v>854</v>
      </c>
      <c r="E123" s="16"/>
      <c r="F123" s="16">
        <v>566.0</v>
      </c>
      <c r="G123" s="16" t="s">
        <v>277</v>
      </c>
      <c r="H123" s="16" t="s">
        <v>18</v>
      </c>
      <c r="I123" s="16"/>
      <c r="J123" s="16"/>
      <c r="K123" s="16"/>
      <c r="L123" s="16"/>
      <c r="M123" s="16"/>
      <c r="N123" s="16"/>
      <c r="O123" s="16"/>
      <c r="P123" s="16"/>
      <c r="Q123" s="16"/>
      <c r="R123" s="16"/>
      <c r="S123" s="16">
        <v>-2.0</v>
      </c>
      <c r="T123" s="16"/>
      <c r="U123" s="16" t="s">
        <v>855</v>
      </c>
      <c r="V123" s="16" t="s">
        <v>856</v>
      </c>
      <c r="W123" s="16" t="s">
        <v>188</v>
      </c>
      <c r="X123" s="16" t="s">
        <v>181</v>
      </c>
      <c r="Y123" s="100"/>
      <c r="Z123" s="16" t="s">
        <v>181</v>
      </c>
    </row>
    <row r="124">
      <c r="A124" s="16">
        <v>12614.0</v>
      </c>
      <c r="B124" s="16" t="s">
        <v>857</v>
      </c>
      <c r="C124" s="16">
        <v>0.31</v>
      </c>
      <c r="D124" s="174" t="s">
        <v>858</v>
      </c>
      <c r="E124" s="16"/>
      <c r="F124" s="16">
        <v>547.0</v>
      </c>
      <c r="G124" s="16" t="s">
        <v>176</v>
      </c>
      <c r="H124" s="16" t="s">
        <v>15</v>
      </c>
      <c r="I124" s="16"/>
      <c r="J124" s="16"/>
      <c r="K124" s="16"/>
      <c r="L124" s="16"/>
      <c r="M124" s="16"/>
      <c r="N124" s="16"/>
      <c r="O124" s="16"/>
      <c r="P124" s="16"/>
      <c r="Q124" s="16"/>
      <c r="R124" s="16"/>
      <c r="S124" s="16">
        <v>-2.0</v>
      </c>
      <c r="T124" s="16"/>
      <c r="U124" s="16" t="s">
        <v>859</v>
      </c>
      <c r="V124" s="16" t="s">
        <v>860</v>
      </c>
      <c r="W124" s="16" t="s">
        <v>332</v>
      </c>
      <c r="X124" s="16" t="s">
        <v>181</v>
      </c>
      <c r="Y124" s="100"/>
      <c r="Z124" s="16" t="s">
        <v>181</v>
      </c>
    </row>
    <row r="125">
      <c r="A125" s="16">
        <v>12615.0</v>
      </c>
      <c r="B125" s="16" t="s">
        <v>861</v>
      </c>
      <c r="C125" s="16">
        <v>0.0</v>
      </c>
      <c r="D125" s="174" t="s">
        <v>862</v>
      </c>
      <c r="E125" s="16"/>
      <c r="F125" s="16">
        <v>547.0</v>
      </c>
      <c r="G125" s="16" t="s">
        <v>176</v>
      </c>
      <c r="H125" s="16" t="s">
        <v>15</v>
      </c>
      <c r="I125" s="16"/>
      <c r="J125" s="16"/>
      <c r="K125" s="16"/>
      <c r="L125" s="16"/>
      <c r="M125" s="16"/>
      <c r="N125" s="16"/>
      <c r="O125" s="16"/>
      <c r="P125" s="16"/>
      <c r="Q125" s="16"/>
      <c r="R125" s="16"/>
      <c r="S125" s="16">
        <v>-2.0</v>
      </c>
      <c r="T125" s="16"/>
      <c r="U125" s="16" t="s">
        <v>863</v>
      </c>
      <c r="V125" s="16" t="s">
        <v>864</v>
      </c>
      <c r="W125" s="16" t="s">
        <v>199</v>
      </c>
      <c r="X125" s="16" t="s">
        <v>181</v>
      </c>
      <c r="Y125" s="100"/>
      <c r="Z125" s="16" t="s">
        <v>181</v>
      </c>
    </row>
    <row r="126">
      <c r="A126" s="16">
        <v>12616.0</v>
      </c>
      <c r="B126" s="16" t="s">
        <v>865</v>
      </c>
      <c r="C126" s="16">
        <v>0.53</v>
      </c>
      <c r="D126" s="174" t="s">
        <v>866</v>
      </c>
      <c r="E126" s="16"/>
      <c r="F126" s="16">
        <v>587.0</v>
      </c>
      <c r="G126" s="16" t="s">
        <v>289</v>
      </c>
      <c r="H126" s="16" t="s">
        <v>16</v>
      </c>
      <c r="I126" s="16" t="s">
        <v>14</v>
      </c>
      <c r="J126" s="16" t="s">
        <v>15</v>
      </c>
      <c r="K126" s="16" t="s">
        <v>13</v>
      </c>
      <c r="L126" s="16" t="s">
        <v>18</v>
      </c>
      <c r="M126" s="16"/>
      <c r="N126" s="16"/>
      <c r="O126" s="16"/>
      <c r="P126" s="16"/>
      <c r="Q126" s="16"/>
      <c r="R126" s="16"/>
      <c r="S126" s="16">
        <v>-2.0</v>
      </c>
      <c r="T126" s="16"/>
      <c r="U126" s="16" t="s">
        <v>867</v>
      </c>
      <c r="V126" s="16" t="s">
        <v>868</v>
      </c>
      <c r="W126" s="16" t="s">
        <v>360</v>
      </c>
      <c r="X126" s="16" t="s">
        <v>181</v>
      </c>
      <c r="Y126" s="100"/>
      <c r="Z126" s="16" t="s">
        <v>181</v>
      </c>
    </row>
    <row r="127">
      <c r="A127" s="16">
        <v>12617.0</v>
      </c>
      <c r="B127" s="16" t="s">
        <v>869</v>
      </c>
      <c r="C127" s="16">
        <v>0.49</v>
      </c>
      <c r="D127" s="174" t="s">
        <v>870</v>
      </c>
      <c r="E127" s="16"/>
      <c r="F127" s="16">
        <v>547.0</v>
      </c>
      <c r="G127" s="16" t="s">
        <v>176</v>
      </c>
      <c r="H127" s="16" t="s">
        <v>12</v>
      </c>
      <c r="I127" s="16"/>
      <c r="J127" s="16"/>
      <c r="K127" s="16"/>
      <c r="L127" s="16"/>
      <c r="M127" s="16"/>
      <c r="N127" s="16"/>
      <c r="O127" s="16"/>
      <c r="P127" s="16"/>
      <c r="Q127" s="16"/>
      <c r="R127" s="16"/>
      <c r="S127" s="16">
        <v>-2.0</v>
      </c>
      <c r="T127" s="16"/>
      <c r="U127" s="16" t="s">
        <v>871</v>
      </c>
      <c r="V127" s="16" t="s">
        <v>872</v>
      </c>
      <c r="W127" s="16" t="s">
        <v>399</v>
      </c>
      <c r="X127" s="16" t="s">
        <v>181</v>
      </c>
      <c r="Y127" s="100"/>
      <c r="Z127" s="16" t="s">
        <v>181</v>
      </c>
    </row>
    <row r="128">
      <c r="A128" s="16">
        <v>12618.0</v>
      </c>
      <c r="B128" s="16" t="s">
        <v>873</v>
      </c>
      <c r="C128" s="16">
        <v>2.2</v>
      </c>
      <c r="D128" s="174" t="s">
        <v>874</v>
      </c>
      <c r="E128" s="16"/>
      <c r="F128" s="16">
        <v>557.0</v>
      </c>
      <c r="G128" s="16" t="s">
        <v>232</v>
      </c>
      <c r="H128" s="16" t="s">
        <v>14</v>
      </c>
      <c r="I128" s="16"/>
      <c r="J128" s="16"/>
      <c r="K128" s="16"/>
      <c r="L128" s="16"/>
      <c r="M128" s="16"/>
      <c r="N128" s="16"/>
      <c r="O128" s="16"/>
      <c r="P128" s="16"/>
      <c r="Q128" s="16"/>
      <c r="R128" s="16"/>
      <c r="S128" s="16">
        <v>-2.0</v>
      </c>
      <c r="T128" s="16"/>
      <c r="U128" s="16" t="s">
        <v>875</v>
      </c>
      <c r="V128" s="16" t="s">
        <v>876</v>
      </c>
      <c r="W128" s="16" t="s">
        <v>188</v>
      </c>
      <c r="X128" s="16" t="s">
        <v>181</v>
      </c>
      <c r="Y128" s="100"/>
      <c r="Z128" s="16" t="s">
        <v>181</v>
      </c>
    </row>
    <row r="129">
      <c r="A129" s="16">
        <v>12619.0</v>
      </c>
      <c r="B129" s="16" t="s">
        <v>877</v>
      </c>
      <c r="C129" s="16">
        <v>0.0</v>
      </c>
      <c r="D129" s="174" t="s">
        <v>878</v>
      </c>
      <c r="E129" s="16"/>
      <c r="F129" s="16">
        <v>547.0</v>
      </c>
      <c r="G129" s="16" t="s">
        <v>176</v>
      </c>
      <c r="H129" s="16" t="s">
        <v>25</v>
      </c>
      <c r="I129" s="16"/>
      <c r="J129" s="16"/>
      <c r="K129" s="16"/>
      <c r="L129" s="16"/>
      <c r="M129" s="16"/>
      <c r="N129" s="16"/>
      <c r="O129" s="16"/>
      <c r="P129" s="16"/>
      <c r="Q129" s="16"/>
      <c r="R129" s="16"/>
      <c r="S129" s="16">
        <v>-2.0</v>
      </c>
      <c r="T129" s="16"/>
      <c r="U129" s="16" t="s">
        <v>879</v>
      </c>
      <c r="V129" s="16" t="s">
        <v>880</v>
      </c>
      <c r="W129" s="16" t="s">
        <v>422</v>
      </c>
      <c r="X129" s="16" t="s">
        <v>181</v>
      </c>
      <c r="Y129" s="100"/>
      <c r="Z129" s="16" t="s">
        <v>181</v>
      </c>
    </row>
    <row r="130">
      <c r="A130" s="16">
        <v>12620.0</v>
      </c>
      <c r="B130" s="16" t="s">
        <v>881</v>
      </c>
      <c r="C130" s="16">
        <v>0.0</v>
      </c>
      <c r="D130" s="174" t="s">
        <v>882</v>
      </c>
      <c r="E130" s="16"/>
      <c r="F130" s="16">
        <v>547.0</v>
      </c>
      <c r="G130" s="16" t="s">
        <v>176</v>
      </c>
      <c r="H130" s="16" t="s">
        <v>14</v>
      </c>
      <c r="I130" s="16" t="s">
        <v>16</v>
      </c>
      <c r="J130" s="16"/>
      <c r="K130" s="16"/>
      <c r="L130" s="16"/>
      <c r="M130" s="16"/>
      <c r="N130" s="16"/>
      <c r="O130" s="16"/>
      <c r="P130" s="16"/>
      <c r="Q130" s="16"/>
      <c r="R130" s="16"/>
      <c r="S130" s="16">
        <v>-2.0</v>
      </c>
      <c r="T130" s="16"/>
      <c r="U130" s="16" t="s">
        <v>883</v>
      </c>
      <c r="V130" s="16" t="s">
        <v>884</v>
      </c>
      <c r="W130" s="16" t="s">
        <v>399</v>
      </c>
      <c r="X130" s="16" t="s">
        <v>181</v>
      </c>
      <c r="Y130" s="100"/>
      <c r="Z130" s="16" t="s">
        <v>181</v>
      </c>
    </row>
    <row r="131">
      <c r="A131" s="16">
        <v>12621.0</v>
      </c>
      <c r="B131" s="16" t="s">
        <v>885</v>
      </c>
      <c r="C131" s="16">
        <v>0.0</v>
      </c>
      <c r="D131" s="174" t="s">
        <v>886</v>
      </c>
      <c r="E131" s="16"/>
      <c r="F131" s="16">
        <v>547.0</v>
      </c>
      <c r="G131" s="16" t="s">
        <v>176</v>
      </c>
      <c r="H131" s="16" t="s">
        <v>16</v>
      </c>
      <c r="I131" s="16" t="s">
        <v>15</v>
      </c>
      <c r="J131" s="16" t="s">
        <v>14</v>
      </c>
      <c r="K131" s="16"/>
      <c r="L131" s="16"/>
      <c r="M131" s="16"/>
      <c r="N131" s="16"/>
      <c r="O131" s="16"/>
      <c r="P131" s="16"/>
      <c r="Q131" s="16"/>
      <c r="R131" s="16"/>
      <c r="S131" s="16">
        <v>-2.0</v>
      </c>
      <c r="T131" s="16"/>
      <c r="U131" s="16" t="s">
        <v>887</v>
      </c>
      <c r="V131" s="16" t="s">
        <v>888</v>
      </c>
      <c r="W131" s="16" t="s">
        <v>478</v>
      </c>
      <c r="X131" s="16" t="s">
        <v>181</v>
      </c>
      <c r="Y131" s="100"/>
      <c r="Z131" s="16" t="s">
        <v>181</v>
      </c>
    </row>
    <row r="132">
      <c r="A132" s="16">
        <v>12622.0</v>
      </c>
      <c r="B132" s="16" t="s">
        <v>889</v>
      </c>
      <c r="C132" s="16">
        <v>1.04</v>
      </c>
      <c r="D132" s="174" t="s">
        <v>890</v>
      </c>
      <c r="E132" s="16"/>
      <c r="F132" s="16">
        <v>569.0</v>
      </c>
      <c r="G132" s="16" t="s">
        <v>292</v>
      </c>
      <c r="H132" s="16" t="s">
        <v>25</v>
      </c>
      <c r="I132" s="16" t="s">
        <v>26</v>
      </c>
      <c r="J132" s="16"/>
      <c r="K132" s="16"/>
      <c r="L132" s="16"/>
      <c r="M132" s="16"/>
      <c r="N132" s="16"/>
      <c r="O132" s="16"/>
      <c r="P132" s="16"/>
      <c r="Q132" s="16"/>
      <c r="R132" s="16"/>
      <c r="S132" s="16">
        <v>-2.0</v>
      </c>
      <c r="T132" s="16"/>
      <c r="U132" s="16" t="s">
        <v>891</v>
      </c>
      <c r="V132" s="16" t="s">
        <v>892</v>
      </c>
      <c r="W132" s="16" t="s">
        <v>231</v>
      </c>
      <c r="X132" s="16" t="s">
        <v>181</v>
      </c>
      <c r="Y132" s="100"/>
      <c r="Z132" s="16" t="s">
        <v>181</v>
      </c>
    </row>
    <row r="133">
      <c r="A133" s="16">
        <v>12623.0</v>
      </c>
      <c r="B133" s="16" t="s">
        <v>893</v>
      </c>
      <c r="C133" s="16">
        <v>0.0</v>
      </c>
      <c r="D133" s="174" t="s">
        <v>894</v>
      </c>
      <c r="E133" s="16"/>
      <c r="F133" s="16">
        <v>547.0</v>
      </c>
      <c r="G133" s="16" t="s">
        <v>176</v>
      </c>
      <c r="H133" s="16" t="s">
        <v>25</v>
      </c>
      <c r="I133" s="16"/>
      <c r="J133" s="16"/>
      <c r="K133" s="16"/>
      <c r="L133" s="16"/>
      <c r="M133" s="16"/>
      <c r="N133" s="16"/>
      <c r="O133" s="16"/>
      <c r="P133" s="16"/>
      <c r="Q133" s="16"/>
      <c r="R133" s="16"/>
      <c r="S133" s="16">
        <v>-2.0</v>
      </c>
      <c r="T133" s="16"/>
      <c r="U133" s="16" t="s">
        <v>895</v>
      </c>
      <c r="V133" s="16" t="s">
        <v>896</v>
      </c>
      <c r="W133" s="16" t="s">
        <v>199</v>
      </c>
      <c r="X133" s="16" t="s">
        <v>181</v>
      </c>
      <c r="Y133" s="100"/>
      <c r="Z133" s="16" t="s">
        <v>181</v>
      </c>
    </row>
    <row r="134">
      <c r="A134" s="16">
        <v>12624.0</v>
      </c>
      <c r="B134" s="16" t="s">
        <v>897</v>
      </c>
      <c r="C134" s="16">
        <v>0.0</v>
      </c>
      <c r="D134" s="174" t="s">
        <v>898</v>
      </c>
      <c r="E134" s="16"/>
      <c r="F134" s="16">
        <v>547.0</v>
      </c>
      <c r="G134" s="16" t="s">
        <v>176</v>
      </c>
      <c r="H134" s="16" t="s">
        <v>19</v>
      </c>
      <c r="I134" s="16" t="s">
        <v>17</v>
      </c>
      <c r="J134" s="16"/>
      <c r="K134" s="16"/>
      <c r="L134" s="16"/>
      <c r="M134" s="16"/>
      <c r="N134" s="16"/>
      <c r="O134" s="16"/>
      <c r="P134" s="16"/>
      <c r="Q134" s="16"/>
      <c r="R134" s="16"/>
      <c r="S134" s="16">
        <v>-2.0</v>
      </c>
      <c r="T134" s="16"/>
      <c r="U134" s="16" t="s">
        <v>899</v>
      </c>
      <c r="V134" s="16" t="s">
        <v>900</v>
      </c>
      <c r="W134" s="16" t="s">
        <v>188</v>
      </c>
      <c r="X134" s="16" t="s">
        <v>181</v>
      </c>
      <c r="Y134" s="100"/>
      <c r="Z134" s="16" t="s">
        <v>181</v>
      </c>
    </row>
    <row r="135">
      <c r="A135" s="16">
        <v>12625.0</v>
      </c>
      <c r="B135" s="16" t="s">
        <v>901</v>
      </c>
      <c r="C135" s="16">
        <v>2.28</v>
      </c>
      <c r="D135" s="174" t="s">
        <v>902</v>
      </c>
      <c r="E135" s="16"/>
      <c r="F135" s="16">
        <v>584.0</v>
      </c>
      <c r="G135" s="16" t="s">
        <v>361</v>
      </c>
      <c r="H135" s="16" t="s">
        <v>24</v>
      </c>
      <c r="I135" s="16" t="s">
        <v>25</v>
      </c>
      <c r="J135" s="16"/>
      <c r="K135" s="16"/>
      <c r="L135" s="16"/>
      <c r="M135" s="16"/>
      <c r="N135" s="16"/>
      <c r="O135" s="16"/>
      <c r="P135" s="16"/>
      <c r="Q135" s="16"/>
      <c r="R135" s="16"/>
      <c r="S135" s="16">
        <v>-2.0</v>
      </c>
      <c r="T135" s="16"/>
      <c r="U135" s="16" t="s">
        <v>903</v>
      </c>
      <c r="V135" s="16" t="s">
        <v>904</v>
      </c>
      <c r="W135" s="16" t="s">
        <v>422</v>
      </c>
      <c r="X135" s="16" t="s">
        <v>181</v>
      </c>
      <c r="Y135" s="100"/>
      <c r="Z135" s="16" t="s">
        <v>181</v>
      </c>
    </row>
    <row r="136">
      <c r="A136" s="16">
        <v>12626.0</v>
      </c>
      <c r="B136" s="16" t="s">
        <v>905</v>
      </c>
      <c r="C136" s="16">
        <v>2.89</v>
      </c>
      <c r="D136" s="174" t="s">
        <v>906</v>
      </c>
      <c r="E136" s="16"/>
      <c r="F136" s="16">
        <v>578.0</v>
      </c>
      <c r="G136" s="16" t="s">
        <v>333</v>
      </c>
      <c r="H136" s="16" t="s">
        <v>25</v>
      </c>
      <c r="I136" s="16"/>
      <c r="J136" s="16"/>
      <c r="K136" s="16"/>
      <c r="L136" s="16"/>
      <c r="M136" s="16"/>
      <c r="N136" s="16"/>
      <c r="O136" s="16"/>
      <c r="P136" s="16"/>
      <c r="Q136" s="16"/>
      <c r="R136" s="16"/>
      <c r="S136" s="16">
        <v>-2.0</v>
      </c>
      <c r="T136" s="16"/>
      <c r="U136" s="16" t="s">
        <v>907</v>
      </c>
      <c r="V136" s="16" t="s">
        <v>908</v>
      </c>
      <c r="W136" s="16" t="s">
        <v>600</v>
      </c>
      <c r="X136" s="16" t="s">
        <v>181</v>
      </c>
      <c r="Y136" s="100"/>
      <c r="Z136" s="16" t="s">
        <v>181</v>
      </c>
    </row>
    <row r="137">
      <c r="A137" s="16">
        <v>12627.0</v>
      </c>
      <c r="B137" s="16" t="s">
        <v>909</v>
      </c>
      <c r="C137" s="16">
        <v>1.09</v>
      </c>
      <c r="D137" s="174" t="s">
        <v>910</v>
      </c>
      <c r="E137" s="16"/>
      <c r="F137" s="16">
        <v>547.0</v>
      </c>
      <c r="G137" s="16" t="s">
        <v>176</v>
      </c>
      <c r="H137" s="16" t="s">
        <v>25</v>
      </c>
      <c r="I137" s="16"/>
      <c r="J137" s="16"/>
      <c r="K137" s="16"/>
      <c r="L137" s="16"/>
      <c r="M137" s="16"/>
      <c r="N137" s="16"/>
      <c r="O137" s="16"/>
      <c r="P137" s="16"/>
      <c r="Q137" s="16"/>
      <c r="R137" s="16"/>
      <c r="S137" s="16">
        <v>-2.0</v>
      </c>
      <c r="T137" s="16"/>
      <c r="U137" s="16" t="s">
        <v>911</v>
      </c>
      <c r="V137" s="16" t="s">
        <v>912</v>
      </c>
      <c r="W137" s="16" t="s">
        <v>332</v>
      </c>
      <c r="X137" s="16" t="s">
        <v>181</v>
      </c>
      <c r="Y137" s="100"/>
      <c r="Z137" s="16" t="s">
        <v>181</v>
      </c>
    </row>
    <row r="138">
      <c r="A138" s="16">
        <v>12628.0</v>
      </c>
      <c r="B138" s="16" t="s">
        <v>913</v>
      </c>
      <c r="C138" s="16">
        <v>0.0</v>
      </c>
      <c r="D138" s="174" t="s">
        <v>914</v>
      </c>
      <c r="E138" s="16"/>
      <c r="F138" s="16">
        <v>547.0</v>
      </c>
      <c r="G138" s="16" t="s">
        <v>176</v>
      </c>
      <c r="H138" s="16" t="s">
        <v>15</v>
      </c>
      <c r="I138" s="16"/>
      <c r="J138" s="16"/>
      <c r="K138" s="16"/>
      <c r="L138" s="16"/>
      <c r="M138" s="16"/>
      <c r="N138" s="16"/>
      <c r="O138" s="16"/>
      <c r="P138" s="16"/>
      <c r="Q138" s="16"/>
      <c r="R138" s="16"/>
      <c r="S138" s="16">
        <v>-2.0</v>
      </c>
      <c r="T138" s="16"/>
      <c r="U138" s="16" t="s">
        <v>915</v>
      </c>
      <c r="V138" s="16" t="s">
        <v>916</v>
      </c>
      <c r="W138" s="16" t="s">
        <v>199</v>
      </c>
      <c r="X138" s="16" t="s">
        <v>181</v>
      </c>
      <c r="Y138" s="100"/>
      <c r="Z138" s="16" t="s">
        <v>181</v>
      </c>
    </row>
    <row r="139">
      <c r="A139" s="16">
        <v>12629.0</v>
      </c>
      <c r="B139" s="16" t="s">
        <v>917</v>
      </c>
      <c r="C139" s="16">
        <v>1.51</v>
      </c>
      <c r="D139" s="174" t="s">
        <v>918</v>
      </c>
      <c r="E139" s="16"/>
      <c r="F139" s="16">
        <v>574.0</v>
      </c>
      <c r="G139" s="16" t="s">
        <v>672</v>
      </c>
      <c r="H139" s="16" t="s">
        <v>17</v>
      </c>
      <c r="I139" s="16" t="s">
        <v>19</v>
      </c>
      <c r="J139" s="16"/>
      <c r="K139" s="16"/>
      <c r="L139" s="16"/>
      <c r="M139" s="16"/>
      <c r="N139" s="16"/>
      <c r="O139" s="16"/>
      <c r="P139" s="16"/>
      <c r="Q139" s="16"/>
      <c r="R139" s="16"/>
      <c r="S139" s="16">
        <v>-2.0</v>
      </c>
      <c r="T139" s="16"/>
      <c r="U139" s="16" t="s">
        <v>919</v>
      </c>
      <c r="V139" s="16" t="s">
        <v>920</v>
      </c>
      <c r="W139" s="16" t="s">
        <v>188</v>
      </c>
      <c r="X139" s="16" t="s">
        <v>181</v>
      </c>
      <c r="Y139" s="100"/>
      <c r="Z139" s="16" t="s">
        <v>181</v>
      </c>
    </row>
    <row r="140">
      <c r="A140" s="16">
        <v>12630.0</v>
      </c>
      <c r="B140" s="16" t="s">
        <v>921</v>
      </c>
      <c r="C140" s="16">
        <v>0.79</v>
      </c>
      <c r="D140" s="174" t="s">
        <v>922</v>
      </c>
      <c r="E140" s="16"/>
      <c r="F140" s="16">
        <v>572.0</v>
      </c>
      <c r="G140" s="16" t="s">
        <v>306</v>
      </c>
      <c r="H140" s="16" t="s">
        <v>25</v>
      </c>
      <c r="I140" s="16"/>
      <c r="J140" s="16"/>
      <c r="K140" s="16"/>
      <c r="L140" s="16"/>
      <c r="M140" s="16"/>
      <c r="N140" s="16"/>
      <c r="O140" s="16"/>
      <c r="P140" s="16"/>
      <c r="Q140" s="16"/>
      <c r="R140" s="16"/>
      <c r="S140" s="16">
        <v>-2.0</v>
      </c>
      <c r="T140" s="16"/>
      <c r="U140" s="16" t="s">
        <v>923</v>
      </c>
      <c r="V140" s="16" t="s">
        <v>924</v>
      </c>
      <c r="W140" s="16" t="s">
        <v>199</v>
      </c>
      <c r="X140" s="16" t="s">
        <v>181</v>
      </c>
      <c r="Y140" s="100"/>
      <c r="Z140" s="16" t="s">
        <v>181</v>
      </c>
    </row>
    <row r="141">
      <c r="A141" s="16">
        <v>12631.0</v>
      </c>
      <c r="B141" s="16" t="s">
        <v>925</v>
      </c>
      <c r="C141" s="16">
        <v>1.78</v>
      </c>
      <c r="D141" s="174" t="s">
        <v>926</v>
      </c>
      <c r="E141" s="16"/>
      <c r="F141" s="16">
        <v>579.0</v>
      </c>
      <c r="G141" s="16" t="s">
        <v>465</v>
      </c>
      <c r="H141" s="16" t="s">
        <v>24</v>
      </c>
      <c r="I141" s="16"/>
      <c r="J141" s="16"/>
      <c r="K141" s="16"/>
      <c r="L141" s="16"/>
      <c r="M141" s="16"/>
      <c r="N141" s="16"/>
      <c r="O141" s="16"/>
      <c r="P141" s="16"/>
      <c r="Q141" s="16"/>
      <c r="R141" s="16" t="s">
        <v>927</v>
      </c>
      <c r="S141" s="16">
        <v>-2.0</v>
      </c>
      <c r="T141" s="16"/>
      <c r="U141" s="16" t="s">
        <v>928</v>
      </c>
      <c r="V141" s="16" t="s">
        <v>929</v>
      </c>
      <c r="W141" s="16" t="s">
        <v>661</v>
      </c>
      <c r="X141" s="16" t="s">
        <v>181</v>
      </c>
      <c r="Y141" s="100"/>
      <c r="Z141" s="16" t="s">
        <v>181</v>
      </c>
    </row>
    <row r="142">
      <c r="A142" s="16">
        <v>12632.0</v>
      </c>
      <c r="B142" s="16" t="s">
        <v>930</v>
      </c>
      <c r="C142" s="16">
        <v>0.0</v>
      </c>
      <c r="D142" s="174" t="s">
        <v>931</v>
      </c>
      <c r="E142" s="16"/>
      <c r="F142" s="16">
        <v>547.0</v>
      </c>
      <c r="G142" s="16" t="s">
        <v>176</v>
      </c>
      <c r="H142" s="16" t="s">
        <v>24</v>
      </c>
      <c r="I142" s="16"/>
      <c r="J142" s="16"/>
      <c r="K142" s="16"/>
      <c r="L142" s="16"/>
      <c r="M142" s="16"/>
      <c r="N142" s="16"/>
      <c r="O142" s="16"/>
      <c r="P142" s="16"/>
      <c r="Q142" s="16"/>
      <c r="R142" s="16"/>
      <c r="S142" s="16">
        <v>-2.0</v>
      </c>
      <c r="T142" s="16"/>
      <c r="U142" s="16" t="s">
        <v>932</v>
      </c>
      <c r="V142" s="16" t="s">
        <v>933</v>
      </c>
      <c r="W142" s="16" t="s">
        <v>332</v>
      </c>
      <c r="X142" s="16" t="s">
        <v>181</v>
      </c>
      <c r="Y142" s="100"/>
      <c r="Z142" s="16" t="s">
        <v>181</v>
      </c>
    </row>
    <row r="143">
      <c r="A143" s="16">
        <v>12633.0</v>
      </c>
      <c r="B143" s="16" t="s">
        <v>934</v>
      </c>
      <c r="C143" s="16">
        <v>2.21</v>
      </c>
      <c r="D143" s="174" t="s">
        <v>935</v>
      </c>
      <c r="E143" s="16"/>
      <c r="F143" s="16">
        <v>587.0</v>
      </c>
      <c r="G143" s="16" t="s">
        <v>289</v>
      </c>
      <c r="H143" s="16" t="s">
        <v>13</v>
      </c>
      <c r="I143" s="16"/>
      <c r="J143" s="16"/>
      <c r="K143" s="16"/>
      <c r="L143" s="16"/>
      <c r="M143" s="16"/>
      <c r="N143" s="16"/>
      <c r="O143" s="16"/>
      <c r="P143" s="16"/>
      <c r="Q143" s="16"/>
      <c r="R143" s="16"/>
      <c r="S143" s="16">
        <v>-2.0</v>
      </c>
      <c r="T143" s="16"/>
      <c r="U143" s="16" t="s">
        <v>936</v>
      </c>
      <c r="V143" s="16" t="s">
        <v>937</v>
      </c>
      <c r="W143" s="16" t="s">
        <v>443</v>
      </c>
      <c r="X143" s="16" t="s">
        <v>181</v>
      </c>
      <c r="Y143" s="100"/>
      <c r="Z143" s="16" t="s">
        <v>181</v>
      </c>
    </row>
    <row r="144">
      <c r="A144" s="16">
        <v>12634.0</v>
      </c>
      <c r="B144" s="16" t="s">
        <v>938</v>
      </c>
      <c r="C144" s="16">
        <v>0.58</v>
      </c>
      <c r="D144" s="174" t="s">
        <v>939</v>
      </c>
      <c r="E144" s="16"/>
      <c r="F144" s="16">
        <v>547.0</v>
      </c>
      <c r="G144" s="16" t="s">
        <v>176</v>
      </c>
      <c r="H144" s="16" t="s">
        <v>25</v>
      </c>
      <c r="I144" s="16"/>
      <c r="J144" s="16"/>
      <c r="K144" s="16"/>
      <c r="L144" s="16"/>
      <c r="M144" s="16"/>
      <c r="N144" s="16"/>
      <c r="O144" s="16"/>
      <c r="P144" s="16"/>
      <c r="Q144" s="16"/>
      <c r="R144" s="16"/>
      <c r="S144" s="16">
        <v>-2.0</v>
      </c>
      <c r="T144" s="16"/>
      <c r="U144" s="16" t="s">
        <v>940</v>
      </c>
      <c r="V144" s="16" t="s">
        <v>941</v>
      </c>
      <c r="W144" s="16" t="s">
        <v>942</v>
      </c>
      <c r="X144" s="16" t="s">
        <v>181</v>
      </c>
      <c r="Y144" s="100"/>
      <c r="Z144" s="16" t="s">
        <v>181</v>
      </c>
    </row>
    <row r="145">
      <c r="A145" s="16">
        <v>12635.0</v>
      </c>
      <c r="B145" s="16" t="s">
        <v>943</v>
      </c>
      <c r="C145" s="16">
        <v>0.0</v>
      </c>
      <c r="D145" s="174" t="s">
        <v>944</v>
      </c>
      <c r="E145" s="16"/>
      <c r="F145" s="16">
        <v>584.0</v>
      </c>
      <c r="G145" s="16" t="s">
        <v>361</v>
      </c>
      <c r="H145" s="16" t="s">
        <v>19</v>
      </c>
      <c r="I145" s="16" t="s">
        <v>17</v>
      </c>
      <c r="J145" s="16" t="s">
        <v>18</v>
      </c>
      <c r="K145" s="16"/>
      <c r="L145" s="16"/>
      <c r="M145" s="16"/>
      <c r="N145" s="16"/>
      <c r="O145" s="16"/>
      <c r="P145" s="16"/>
      <c r="Q145" s="16"/>
      <c r="R145" s="16"/>
      <c r="S145" s="16">
        <v>-2.0</v>
      </c>
      <c r="T145" s="16"/>
      <c r="U145" s="16" t="s">
        <v>945</v>
      </c>
      <c r="V145" s="16" t="s">
        <v>946</v>
      </c>
      <c r="W145" s="16" t="s">
        <v>332</v>
      </c>
      <c r="X145" s="16" t="s">
        <v>181</v>
      </c>
      <c r="Y145" s="100"/>
      <c r="Z145" s="16" t="s">
        <v>181</v>
      </c>
    </row>
    <row r="146">
      <c r="A146" s="16">
        <v>12636.0</v>
      </c>
      <c r="B146" s="16" t="s">
        <v>947</v>
      </c>
      <c r="C146" s="16">
        <v>1.7</v>
      </c>
      <c r="D146" s="174" t="s">
        <v>948</v>
      </c>
      <c r="E146" s="16"/>
      <c r="F146" s="16">
        <v>587.0</v>
      </c>
      <c r="G146" s="16" t="s">
        <v>289</v>
      </c>
      <c r="H146" s="16" t="s">
        <v>24</v>
      </c>
      <c r="I146" s="16"/>
      <c r="J146" s="16"/>
      <c r="K146" s="16"/>
      <c r="L146" s="16"/>
      <c r="M146" s="16"/>
      <c r="N146" s="16"/>
      <c r="O146" s="16"/>
      <c r="P146" s="16"/>
      <c r="Q146" s="16"/>
      <c r="R146" s="16"/>
      <c r="S146" s="16">
        <v>-2.0</v>
      </c>
      <c r="T146" s="16"/>
      <c r="U146" s="16" t="s">
        <v>949</v>
      </c>
      <c r="V146" s="16" t="s">
        <v>950</v>
      </c>
      <c r="W146" s="16" t="s">
        <v>188</v>
      </c>
      <c r="X146" s="16" t="s">
        <v>181</v>
      </c>
      <c r="Y146" s="100"/>
      <c r="Z146" s="16" t="s">
        <v>181</v>
      </c>
    </row>
    <row r="147">
      <c r="A147" s="16">
        <v>12637.0</v>
      </c>
      <c r="B147" s="16" t="s">
        <v>951</v>
      </c>
      <c r="C147" s="16">
        <v>0.37</v>
      </c>
      <c r="D147" s="174" t="s">
        <v>952</v>
      </c>
      <c r="E147" s="16"/>
      <c r="F147" s="16">
        <v>547.0</v>
      </c>
      <c r="G147" s="16" t="s">
        <v>176</v>
      </c>
      <c r="H147" s="16" t="s">
        <v>24</v>
      </c>
      <c r="I147" s="16" t="s">
        <v>25</v>
      </c>
      <c r="J147" s="16"/>
      <c r="K147" s="16"/>
      <c r="L147" s="16"/>
      <c r="M147" s="16"/>
      <c r="N147" s="16"/>
      <c r="O147" s="16"/>
      <c r="P147" s="16"/>
      <c r="Q147" s="16"/>
      <c r="R147" s="16"/>
      <c r="S147" s="16">
        <v>-2.0</v>
      </c>
      <c r="T147" s="16"/>
      <c r="U147" s="16" t="s">
        <v>953</v>
      </c>
      <c r="V147" s="16" t="s">
        <v>954</v>
      </c>
      <c r="W147" s="16" t="s">
        <v>675</v>
      </c>
      <c r="X147" s="16" t="s">
        <v>181</v>
      </c>
      <c r="Y147" s="100"/>
      <c r="Z147" s="16" t="s">
        <v>181</v>
      </c>
    </row>
    <row r="148">
      <c r="A148" s="16">
        <v>12638.0</v>
      </c>
      <c r="B148" s="16" t="s">
        <v>955</v>
      </c>
      <c r="C148" s="16">
        <v>1.27</v>
      </c>
      <c r="D148" s="174" t="s">
        <v>956</v>
      </c>
      <c r="E148" s="16"/>
      <c r="F148" s="16">
        <v>595.0</v>
      </c>
      <c r="G148" s="16" t="s">
        <v>415</v>
      </c>
      <c r="H148" s="16" t="s">
        <v>14</v>
      </c>
      <c r="I148" s="16" t="s">
        <v>16</v>
      </c>
      <c r="J148" s="16"/>
      <c r="K148" s="16"/>
      <c r="L148" s="16"/>
      <c r="M148" s="16"/>
      <c r="N148" s="16"/>
      <c r="O148" s="16"/>
      <c r="P148" s="16"/>
      <c r="Q148" s="16"/>
      <c r="R148" s="16"/>
      <c r="S148" s="16">
        <v>-2.0</v>
      </c>
      <c r="T148" s="16"/>
      <c r="U148" s="16" t="s">
        <v>957</v>
      </c>
      <c r="V148" s="16" t="s">
        <v>958</v>
      </c>
      <c r="W148" s="16" t="s">
        <v>188</v>
      </c>
      <c r="X148" s="16" t="s">
        <v>181</v>
      </c>
      <c r="Y148" s="100"/>
      <c r="Z148" s="16" t="s">
        <v>181</v>
      </c>
    </row>
    <row r="149">
      <c r="A149" s="16">
        <v>12639.0</v>
      </c>
      <c r="B149" s="16" t="s">
        <v>959</v>
      </c>
      <c r="C149" s="16">
        <v>1.72</v>
      </c>
      <c r="D149" s="174" t="s">
        <v>960</v>
      </c>
      <c r="E149" s="16"/>
      <c r="F149" s="16">
        <v>587.0</v>
      </c>
      <c r="G149" s="16" t="s">
        <v>289</v>
      </c>
      <c r="H149" s="16" t="s">
        <v>25</v>
      </c>
      <c r="I149" s="16" t="s">
        <v>26</v>
      </c>
      <c r="J149" s="16"/>
      <c r="K149" s="16"/>
      <c r="L149" s="16"/>
      <c r="M149" s="16"/>
      <c r="N149" s="16"/>
      <c r="O149" s="16"/>
      <c r="P149" s="16"/>
      <c r="Q149" s="16"/>
      <c r="R149" s="16"/>
      <c r="S149" s="16">
        <v>-2.0</v>
      </c>
      <c r="T149" s="16"/>
      <c r="U149" s="16" t="s">
        <v>961</v>
      </c>
      <c r="V149" s="16" t="s">
        <v>962</v>
      </c>
      <c r="W149" s="16" t="s">
        <v>360</v>
      </c>
      <c r="X149" s="16" t="s">
        <v>181</v>
      </c>
      <c r="Y149" s="100"/>
      <c r="Z149" s="16" t="s">
        <v>181</v>
      </c>
    </row>
    <row r="150">
      <c r="A150" s="16">
        <v>12640.0</v>
      </c>
      <c r="B150" s="16" t="s">
        <v>963</v>
      </c>
      <c r="C150" s="16">
        <v>0.0</v>
      </c>
      <c r="D150" s="174" t="s">
        <v>964</v>
      </c>
      <c r="E150" s="16"/>
      <c r="F150" s="16">
        <v>547.0</v>
      </c>
      <c r="G150" s="16" t="s">
        <v>176</v>
      </c>
      <c r="H150" s="16" t="s">
        <v>25</v>
      </c>
      <c r="I150" s="16"/>
      <c r="J150" s="16"/>
      <c r="K150" s="16"/>
      <c r="L150" s="16"/>
      <c r="M150" s="16"/>
      <c r="N150" s="16"/>
      <c r="O150" s="16"/>
      <c r="P150" s="16"/>
      <c r="Q150" s="16"/>
      <c r="R150" s="16"/>
      <c r="S150" s="16">
        <v>-2.0</v>
      </c>
      <c r="T150" s="16"/>
      <c r="U150" s="16" t="s">
        <v>965</v>
      </c>
      <c r="V150" s="16" t="s">
        <v>966</v>
      </c>
      <c r="W150" s="16" t="s">
        <v>179</v>
      </c>
      <c r="X150" s="16" t="s">
        <v>181</v>
      </c>
      <c r="Y150" s="100"/>
      <c r="Z150" s="16" t="s">
        <v>181</v>
      </c>
    </row>
    <row r="151">
      <c r="A151" s="16">
        <v>12641.0</v>
      </c>
      <c r="B151" s="16" t="s">
        <v>967</v>
      </c>
      <c r="C151" s="16">
        <v>2.69</v>
      </c>
      <c r="D151" s="174" t="s">
        <v>968</v>
      </c>
      <c r="E151" s="16"/>
      <c r="F151" s="16">
        <v>585.0</v>
      </c>
      <c r="G151" s="16" t="s">
        <v>969</v>
      </c>
      <c r="H151" s="16" t="s">
        <v>18</v>
      </c>
      <c r="I151" s="16"/>
      <c r="J151" s="16"/>
      <c r="K151" s="16"/>
      <c r="L151" s="16"/>
      <c r="M151" s="16"/>
      <c r="N151" s="16"/>
      <c r="O151" s="16"/>
      <c r="P151" s="16"/>
      <c r="Q151" s="16"/>
      <c r="R151" s="16" t="s">
        <v>970</v>
      </c>
      <c r="S151" s="16">
        <v>-2.0</v>
      </c>
      <c r="T151" s="174" t="s">
        <v>971</v>
      </c>
      <c r="U151" s="16" t="s">
        <v>972</v>
      </c>
      <c r="V151" s="16" t="s">
        <v>973</v>
      </c>
      <c r="W151" s="16" t="s">
        <v>661</v>
      </c>
      <c r="X151" s="16" t="s">
        <v>181</v>
      </c>
      <c r="Y151" s="100"/>
      <c r="Z151" s="16" t="s">
        <v>181</v>
      </c>
    </row>
    <row r="152">
      <c r="A152" s="16">
        <v>12642.0</v>
      </c>
      <c r="B152" s="16" t="s">
        <v>974</v>
      </c>
      <c r="C152" s="16">
        <v>0.0</v>
      </c>
      <c r="D152" s="174" t="s">
        <v>975</v>
      </c>
      <c r="E152" s="16"/>
      <c r="F152" s="16">
        <v>547.0</v>
      </c>
      <c r="G152" s="16" t="s">
        <v>176</v>
      </c>
      <c r="H152" s="16" t="s">
        <v>24</v>
      </c>
      <c r="I152" s="16"/>
      <c r="J152" s="16"/>
      <c r="K152" s="16"/>
      <c r="L152" s="16"/>
      <c r="M152" s="16"/>
      <c r="N152" s="16"/>
      <c r="O152" s="16"/>
      <c r="P152" s="16"/>
      <c r="Q152" s="16"/>
      <c r="R152" s="16"/>
      <c r="S152" s="16">
        <v>-2.0</v>
      </c>
      <c r="T152" s="16"/>
      <c r="U152" s="16" t="s">
        <v>976</v>
      </c>
      <c r="V152" s="16" t="s">
        <v>977</v>
      </c>
      <c r="W152" s="16" t="s">
        <v>360</v>
      </c>
      <c r="X152" s="16" t="s">
        <v>181</v>
      </c>
      <c r="Y152" s="100"/>
      <c r="Z152" s="16" t="s">
        <v>181</v>
      </c>
    </row>
    <row r="153">
      <c r="A153" s="16">
        <v>12643.0</v>
      </c>
      <c r="B153" s="16" t="s">
        <v>978</v>
      </c>
      <c r="C153" s="16">
        <v>1.53</v>
      </c>
      <c r="D153" s="174" t="s">
        <v>979</v>
      </c>
      <c r="E153" s="16"/>
      <c r="F153" s="16">
        <v>575.0</v>
      </c>
      <c r="G153" s="16" t="s">
        <v>212</v>
      </c>
      <c r="H153" s="16" t="s">
        <v>25</v>
      </c>
      <c r="I153" s="16" t="s">
        <v>26</v>
      </c>
      <c r="J153" s="16"/>
      <c r="K153" s="16"/>
      <c r="L153" s="16"/>
      <c r="M153" s="16"/>
      <c r="N153" s="16"/>
      <c r="O153" s="16"/>
      <c r="P153" s="16"/>
      <c r="Q153" s="16"/>
      <c r="R153" s="16"/>
      <c r="S153" s="16">
        <v>-2.0</v>
      </c>
      <c r="T153" s="16"/>
      <c r="U153" s="16" t="s">
        <v>980</v>
      </c>
      <c r="V153" s="16" t="s">
        <v>981</v>
      </c>
      <c r="W153" s="16" t="s">
        <v>231</v>
      </c>
      <c r="X153" s="16" t="s">
        <v>181</v>
      </c>
      <c r="Y153" s="100"/>
      <c r="Z153" s="16" t="s">
        <v>181</v>
      </c>
    </row>
    <row r="154">
      <c r="A154" s="16">
        <v>12644.0</v>
      </c>
      <c r="B154" s="16" t="s">
        <v>982</v>
      </c>
      <c r="C154" s="16">
        <v>0.49</v>
      </c>
      <c r="D154" s="174" t="s">
        <v>983</v>
      </c>
      <c r="E154" s="16"/>
      <c r="F154" s="16">
        <v>547.0</v>
      </c>
      <c r="G154" s="16" t="s">
        <v>176</v>
      </c>
      <c r="H154" s="16" t="s">
        <v>24</v>
      </c>
      <c r="I154" s="16"/>
      <c r="J154" s="16"/>
      <c r="K154" s="16"/>
      <c r="L154" s="16"/>
      <c r="M154" s="16"/>
      <c r="N154" s="16"/>
      <c r="O154" s="16"/>
      <c r="P154" s="16"/>
      <c r="Q154" s="16"/>
      <c r="R154" s="16"/>
      <c r="S154" s="16">
        <v>-2.0</v>
      </c>
      <c r="T154" s="16"/>
      <c r="U154" s="16" t="s">
        <v>984</v>
      </c>
      <c r="V154" s="16" t="s">
        <v>985</v>
      </c>
      <c r="W154" s="16" t="s">
        <v>188</v>
      </c>
      <c r="X154" s="16" t="s">
        <v>181</v>
      </c>
      <c r="Y154" s="100"/>
      <c r="Z154" s="16" t="s">
        <v>181</v>
      </c>
    </row>
    <row r="155">
      <c r="A155" s="16">
        <v>12645.0</v>
      </c>
      <c r="B155" s="16" t="s">
        <v>986</v>
      </c>
      <c r="C155" s="16">
        <v>2.17</v>
      </c>
      <c r="D155" s="174" t="s">
        <v>987</v>
      </c>
      <c r="E155" s="16"/>
      <c r="F155" s="16">
        <v>593.0</v>
      </c>
      <c r="G155" s="16" t="s">
        <v>272</v>
      </c>
      <c r="H155" s="16" t="s">
        <v>12</v>
      </c>
      <c r="I155" s="16"/>
      <c r="J155" s="16"/>
      <c r="K155" s="16"/>
      <c r="L155" s="16"/>
      <c r="M155" s="16"/>
      <c r="N155" s="16"/>
      <c r="O155" s="16"/>
      <c r="P155" s="16"/>
      <c r="Q155" s="16"/>
      <c r="R155" s="16"/>
      <c r="S155" s="16">
        <v>-2.0</v>
      </c>
      <c r="T155" s="174" t="s">
        <v>988</v>
      </c>
      <c r="U155" s="16" t="s">
        <v>989</v>
      </c>
      <c r="V155" s="16" t="s">
        <v>990</v>
      </c>
      <c r="W155" s="16" t="s">
        <v>188</v>
      </c>
      <c r="X155" s="16" t="s">
        <v>181</v>
      </c>
      <c r="Y155" s="100"/>
      <c r="Z155" s="16" t="s">
        <v>181</v>
      </c>
    </row>
    <row r="156">
      <c r="A156" s="16">
        <v>12646.0</v>
      </c>
      <c r="B156" s="16" t="s">
        <v>991</v>
      </c>
      <c r="C156" s="16">
        <v>0.0</v>
      </c>
      <c r="D156" s="174" t="s">
        <v>992</v>
      </c>
      <c r="E156" s="16"/>
      <c r="F156" s="16">
        <v>547.0</v>
      </c>
      <c r="G156" s="16" t="s">
        <v>176</v>
      </c>
      <c r="H156" s="16" t="s">
        <v>25</v>
      </c>
      <c r="I156" s="16" t="s">
        <v>26</v>
      </c>
      <c r="J156" s="16"/>
      <c r="K156" s="16"/>
      <c r="L156" s="16"/>
      <c r="M156" s="16"/>
      <c r="N156" s="16"/>
      <c r="O156" s="16"/>
      <c r="P156" s="16"/>
      <c r="Q156" s="16"/>
      <c r="R156" s="16"/>
      <c r="S156" s="16">
        <v>-2.0</v>
      </c>
      <c r="T156" s="16"/>
      <c r="U156" s="16" t="s">
        <v>993</v>
      </c>
      <c r="V156" s="16" t="s">
        <v>994</v>
      </c>
      <c r="W156" s="16" t="s">
        <v>179</v>
      </c>
      <c r="X156" s="16" t="s">
        <v>181</v>
      </c>
      <c r="Y156" s="100"/>
      <c r="Z156" s="16" t="s">
        <v>181</v>
      </c>
    </row>
    <row r="157">
      <c r="A157" s="16">
        <v>12647.0</v>
      </c>
      <c r="B157" s="16" t="s">
        <v>995</v>
      </c>
      <c r="C157" s="16">
        <v>0.0</v>
      </c>
      <c r="D157" s="174" t="s">
        <v>996</v>
      </c>
      <c r="E157" s="16"/>
      <c r="F157" s="16">
        <v>547.0</v>
      </c>
      <c r="G157" s="16" t="s">
        <v>176</v>
      </c>
      <c r="H157" s="16" t="s">
        <v>25</v>
      </c>
      <c r="I157" s="16" t="s">
        <v>26</v>
      </c>
      <c r="J157" s="16"/>
      <c r="K157" s="16"/>
      <c r="L157" s="16"/>
      <c r="M157" s="16"/>
      <c r="N157" s="16"/>
      <c r="O157" s="16"/>
      <c r="P157" s="16"/>
      <c r="Q157" s="16"/>
      <c r="R157" s="16"/>
      <c r="S157" s="16">
        <v>-2.0</v>
      </c>
      <c r="T157" s="16"/>
      <c r="U157" s="16" t="s">
        <v>997</v>
      </c>
      <c r="V157" s="16" t="s">
        <v>998</v>
      </c>
      <c r="W157" s="16" t="s">
        <v>600</v>
      </c>
      <c r="X157" s="16" t="s">
        <v>181</v>
      </c>
      <c r="Y157" s="100"/>
      <c r="Z157" s="16" t="s">
        <v>181</v>
      </c>
    </row>
    <row r="158">
      <c r="A158" s="16">
        <v>12648.0</v>
      </c>
      <c r="B158" s="16" t="s">
        <v>999</v>
      </c>
      <c r="C158" s="16">
        <v>0.64</v>
      </c>
      <c r="D158" s="174" t="s">
        <v>1000</v>
      </c>
      <c r="E158" s="16"/>
      <c r="F158" s="16">
        <v>547.0</v>
      </c>
      <c r="G158" s="16" t="s">
        <v>176</v>
      </c>
      <c r="H158" s="16" t="s">
        <v>25</v>
      </c>
      <c r="I158" s="16" t="s">
        <v>26</v>
      </c>
      <c r="J158" s="16"/>
      <c r="K158" s="16"/>
      <c r="L158" s="16"/>
      <c r="M158" s="16"/>
      <c r="N158" s="16"/>
      <c r="O158" s="16"/>
      <c r="P158" s="16"/>
      <c r="Q158" s="16"/>
      <c r="R158" s="16"/>
      <c r="S158" s="16">
        <v>-2.0</v>
      </c>
      <c r="T158" s="16"/>
      <c r="U158" s="16" t="s">
        <v>1001</v>
      </c>
      <c r="V158" s="16" t="s">
        <v>1002</v>
      </c>
      <c r="W158" s="16" t="s">
        <v>259</v>
      </c>
      <c r="X158" s="16" t="s">
        <v>181</v>
      </c>
      <c r="Y158" s="100"/>
      <c r="Z158" s="16" t="s">
        <v>181</v>
      </c>
    </row>
    <row r="159">
      <c r="A159" s="16">
        <v>12649.0</v>
      </c>
      <c r="B159" s="16" t="s">
        <v>1003</v>
      </c>
      <c r="C159" s="16">
        <v>0.54</v>
      </c>
      <c r="D159" s="174" t="s">
        <v>1004</v>
      </c>
      <c r="E159" s="16"/>
      <c r="F159" s="16">
        <v>547.0</v>
      </c>
      <c r="G159" s="16" t="s">
        <v>176</v>
      </c>
      <c r="H159" s="16" t="s">
        <v>25</v>
      </c>
      <c r="I159" s="16" t="s">
        <v>26</v>
      </c>
      <c r="J159" s="16"/>
      <c r="K159" s="16"/>
      <c r="L159" s="16"/>
      <c r="M159" s="16"/>
      <c r="N159" s="16"/>
      <c r="O159" s="16"/>
      <c r="P159" s="16"/>
      <c r="Q159" s="16"/>
      <c r="R159" s="16"/>
      <c r="S159" s="16">
        <v>-2.0</v>
      </c>
      <c r="T159" s="16"/>
      <c r="U159" s="16" t="s">
        <v>1005</v>
      </c>
      <c r="V159" s="16" t="s">
        <v>1006</v>
      </c>
      <c r="W159" s="16" t="s">
        <v>600</v>
      </c>
      <c r="X159" s="16" t="s">
        <v>181</v>
      </c>
      <c r="Y159" s="100"/>
      <c r="Z159" s="16" t="s">
        <v>181</v>
      </c>
    </row>
    <row r="160">
      <c r="A160" s="16">
        <v>12650.0</v>
      </c>
      <c r="B160" s="16" t="s">
        <v>1007</v>
      </c>
      <c r="C160" s="16">
        <v>0.0</v>
      </c>
      <c r="D160" s="174" t="s">
        <v>1008</v>
      </c>
      <c r="E160" s="16"/>
      <c r="F160" s="16">
        <v>547.0</v>
      </c>
      <c r="G160" s="16" t="s">
        <v>176</v>
      </c>
      <c r="H160" s="16" t="s">
        <v>25</v>
      </c>
      <c r="I160" s="16" t="s">
        <v>26</v>
      </c>
      <c r="J160" s="16"/>
      <c r="K160" s="16"/>
      <c r="L160" s="16"/>
      <c r="M160" s="16"/>
      <c r="N160" s="16"/>
      <c r="O160" s="16"/>
      <c r="P160" s="16"/>
      <c r="Q160" s="16"/>
      <c r="R160" s="16"/>
      <c r="S160" s="16">
        <v>-2.0</v>
      </c>
      <c r="T160" s="16"/>
      <c r="U160" s="16" t="s">
        <v>1009</v>
      </c>
      <c r="V160" s="16" t="s">
        <v>1010</v>
      </c>
      <c r="W160" s="16" t="s">
        <v>179</v>
      </c>
      <c r="X160" s="16" t="s">
        <v>181</v>
      </c>
      <c r="Y160" s="100"/>
      <c r="Z160" s="16" t="s">
        <v>181</v>
      </c>
    </row>
    <row r="161">
      <c r="A161" s="16">
        <v>12651.0</v>
      </c>
      <c r="B161" s="16" t="s">
        <v>1011</v>
      </c>
      <c r="C161" s="16">
        <v>0.0</v>
      </c>
      <c r="D161" s="174" t="s">
        <v>1012</v>
      </c>
      <c r="E161" s="16"/>
      <c r="F161" s="16">
        <v>547.0</v>
      </c>
      <c r="G161" s="16" t="s">
        <v>176</v>
      </c>
      <c r="H161" s="16" t="s">
        <v>24</v>
      </c>
      <c r="I161" s="16"/>
      <c r="J161" s="16"/>
      <c r="K161" s="16"/>
      <c r="L161" s="16"/>
      <c r="M161" s="16"/>
      <c r="N161" s="16"/>
      <c r="O161" s="16"/>
      <c r="P161" s="16"/>
      <c r="Q161" s="16"/>
      <c r="R161" s="16"/>
      <c r="S161" s="16">
        <v>-2.0</v>
      </c>
      <c r="T161" s="16"/>
      <c r="U161" s="16" t="s">
        <v>1013</v>
      </c>
      <c r="V161" s="16" t="s">
        <v>1014</v>
      </c>
      <c r="W161" s="16" t="s">
        <v>675</v>
      </c>
      <c r="X161" s="16" t="s">
        <v>181</v>
      </c>
      <c r="Y161" s="100"/>
      <c r="Z161" s="16" t="s">
        <v>181</v>
      </c>
    </row>
    <row r="162">
      <c r="A162" s="16">
        <v>12652.0</v>
      </c>
      <c r="B162" s="16" t="s">
        <v>1015</v>
      </c>
      <c r="C162" s="16">
        <v>2.92</v>
      </c>
      <c r="D162" s="174" t="s">
        <v>1016</v>
      </c>
      <c r="E162" s="16"/>
      <c r="F162" s="16">
        <v>584.0</v>
      </c>
      <c r="G162" s="16" t="s">
        <v>361</v>
      </c>
      <c r="H162" s="16" t="s">
        <v>16</v>
      </c>
      <c r="I162" s="16"/>
      <c r="J162" s="16"/>
      <c r="K162" s="16"/>
      <c r="L162" s="16"/>
      <c r="M162" s="16"/>
      <c r="N162" s="16"/>
      <c r="O162" s="16"/>
      <c r="P162" s="16"/>
      <c r="Q162" s="16"/>
      <c r="R162" s="16"/>
      <c r="S162" s="16">
        <v>-2.0</v>
      </c>
      <c r="T162" s="16"/>
      <c r="U162" s="16" t="s">
        <v>1017</v>
      </c>
      <c r="V162" s="16" t="s">
        <v>1018</v>
      </c>
      <c r="W162" s="16" t="s">
        <v>634</v>
      </c>
      <c r="X162" s="16" t="s">
        <v>181</v>
      </c>
      <c r="Y162" s="100"/>
      <c r="Z162" s="16" t="s">
        <v>181</v>
      </c>
    </row>
    <row r="163">
      <c r="A163" s="16">
        <v>12653.0</v>
      </c>
      <c r="B163" s="16" t="s">
        <v>1019</v>
      </c>
      <c r="C163" s="16">
        <v>1.83</v>
      </c>
      <c r="D163" s="174" t="s">
        <v>1020</v>
      </c>
      <c r="E163" s="16"/>
      <c r="F163" s="16">
        <v>563.0</v>
      </c>
      <c r="G163" s="16" t="s">
        <v>260</v>
      </c>
      <c r="H163" s="16" t="s">
        <v>25</v>
      </c>
      <c r="I163" s="16" t="s">
        <v>26</v>
      </c>
      <c r="J163" s="16"/>
      <c r="K163" s="16"/>
      <c r="L163" s="16"/>
      <c r="M163" s="16"/>
      <c r="N163" s="16"/>
      <c r="O163" s="16"/>
      <c r="P163" s="16"/>
      <c r="Q163" s="16"/>
      <c r="R163" s="16"/>
      <c r="S163" s="16">
        <v>-2.0</v>
      </c>
      <c r="T163" s="16"/>
      <c r="U163" s="16" t="s">
        <v>1021</v>
      </c>
      <c r="V163" s="16" t="s">
        <v>1022</v>
      </c>
      <c r="W163" s="16" t="s">
        <v>179</v>
      </c>
      <c r="X163" s="16" t="s">
        <v>181</v>
      </c>
      <c r="Y163" s="100"/>
      <c r="Z163" s="16" t="s">
        <v>181</v>
      </c>
    </row>
    <row r="164">
      <c r="A164" s="16">
        <v>12654.0</v>
      </c>
      <c r="B164" s="16" t="s">
        <v>1023</v>
      </c>
      <c r="C164" s="16">
        <v>0.48</v>
      </c>
      <c r="D164" s="174" t="s">
        <v>1024</v>
      </c>
      <c r="E164" s="16"/>
      <c r="F164" s="16">
        <v>563.0</v>
      </c>
      <c r="G164" s="16" t="s">
        <v>260</v>
      </c>
      <c r="H164" s="16" t="s">
        <v>25</v>
      </c>
      <c r="I164" s="16"/>
      <c r="J164" s="16"/>
      <c r="K164" s="16"/>
      <c r="L164" s="16"/>
      <c r="M164" s="16"/>
      <c r="N164" s="16"/>
      <c r="O164" s="16"/>
      <c r="P164" s="16"/>
      <c r="Q164" s="16"/>
      <c r="R164" s="16"/>
      <c r="S164" s="16">
        <v>-2.0</v>
      </c>
      <c r="T164" s="16"/>
      <c r="U164" s="16" t="s">
        <v>1025</v>
      </c>
      <c r="V164" s="16" t="s">
        <v>1026</v>
      </c>
      <c r="W164" s="16" t="s">
        <v>591</v>
      </c>
      <c r="X164" s="16" t="s">
        <v>181</v>
      </c>
      <c r="Y164" s="100"/>
      <c r="Z164" s="16" t="s">
        <v>181</v>
      </c>
    </row>
    <row r="165">
      <c r="A165" s="16">
        <v>12655.0</v>
      </c>
      <c r="B165" s="16" t="s">
        <v>1027</v>
      </c>
      <c r="C165" s="16">
        <v>0.98</v>
      </c>
      <c r="D165" s="174" t="s">
        <v>1028</v>
      </c>
      <c r="E165" s="16"/>
      <c r="F165" s="16">
        <v>554.0</v>
      </c>
      <c r="G165" s="16" t="s">
        <v>215</v>
      </c>
      <c r="H165" s="16" t="s">
        <v>24</v>
      </c>
      <c r="I165" s="16"/>
      <c r="J165" s="16"/>
      <c r="K165" s="16"/>
      <c r="L165" s="16"/>
      <c r="M165" s="16"/>
      <c r="N165" s="16"/>
      <c r="O165" s="16"/>
      <c r="P165" s="16"/>
      <c r="Q165" s="16"/>
      <c r="R165" s="16"/>
      <c r="S165" s="16">
        <v>-2.0</v>
      </c>
      <c r="T165" s="16"/>
      <c r="U165" s="16" t="s">
        <v>1029</v>
      </c>
      <c r="V165" s="16" t="s">
        <v>1030</v>
      </c>
      <c r="W165" s="16" t="s">
        <v>231</v>
      </c>
      <c r="X165" s="16" t="s">
        <v>181</v>
      </c>
      <c r="Y165" s="100"/>
      <c r="Z165" s="16" t="s">
        <v>181</v>
      </c>
    </row>
    <row r="166">
      <c r="A166" s="16">
        <v>12656.0</v>
      </c>
      <c r="B166" s="16" t="s">
        <v>1031</v>
      </c>
      <c r="C166" s="16">
        <v>1.22</v>
      </c>
      <c r="D166" s="174" t="s">
        <v>1032</v>
      </c>
      <c r="E166" s="16"/>
      <c r="F166" s="16">
        <v>547.0</v>
      </c>
      <c r="G166" s="16" t="s">
        <v>176</v>
      </c>
      <c r="H166" s="16" t="s">
        <v>13</v>
      </c>
      <c r="I166" s="16"/>
      <c r="J166" s="16"/>
      <c r="K166" s="16"/>
      <c r="L166" s="16"/>
      <c r="M166" s="16"/>
      <c r="N166" s="16"/>
      <c r="O166" s="16"/>
      <c r="P166" s="16"/>
      <c r="Q166" s="16"/>
      <c r="R166" s="16"/>
      <c r="S166" s="16">
        <v>-2.0</v>
      </c>
      <c r="T166" s="16"/>
      <c r="U166" s="16" t="s">
        <v>1033</v>
      </c>
      <c r="V166" s="16" t="s">
        <v>1034</v>
      </c>
      <c r="W166" s="16" t="s">
        <v>188</v>
      </c>
      <c r="X166" s="16" t="s">
        <v>181</v>
      </c>
      <c r="Y166" s="100"/>
      <c r="Z166" s="16" t="s">
        <v>181</v>
      </c>
    </row>
    <row r="167">
      <c r="A167" s="16">
        <v>12657.0</v>
      </c>
      <c r="B167" s="16" t="s">
        <v>1035</v>
      </c>
      <c r="C167" s="16">
        <v>0.76</v>
      </c>
      <c r="D167" s="174" t="s">
        <v>1036</v>
      </c>
      <c r="E167" s="16"/>
      <c r="F167" s="16">
        <v>590.0</v>
      </c>
      <c r="G167" s="16" t="s">
        <v>387</v>
      </c>
      <c r="H167" s="16" t="s">
        <v>24</v>
      </c>
      <c r="I167" s="16" t="s">
        <v>25</v>
      </c>
      <c r="J167" s="16"/>
      <c r="K167" s="16"/>
      <c r="L167" s="16"/>
      <c r="M167" s="16"/>
      <c r="N167" s="16"/>
      <c r="O167" s="16"/>
      <c r="P167" s="16"/>
      <c r="Q167" s="16"/>
      <c r="R167" s="16"/>
      <c r="S167" s="16">
        <v>-2.0</v>
      </c>
      <c r="T167" s="16"/>
      <c r="U167" s="16" t="s">
        <v>1037</v>
      </c>
      <c r="V167" s="16" t="s">
        <v>1038</v>
      </c>
      <c r="W167" s="16" t="s">
        <v>634</v>
      </c>
      <c r="X167" s="16" t="s">
        <v>181</v>
      </c>
      <c r="Y167" s="100"/>
      <c r="Z167" s="16" t="s">
        <v>181</v>
      </c>
    </row>
    <row r="168">
      <c r="A168" s="16">
        <v>12658.0</v>
      </c>
      <c r="B168" s="16" t="s">
        <v>1039</v>
      </c>
      <c r="C168" s="16">
        <v>0.41</v>
      </c>
      <c r="D168" s="174" t="s">
        <v>1040</v>
      </c>
      <c r="E168" s="16"/>
      <c r="F168" s="16">
        <v>547.0</v>
      </c>
      <c r="G168" s="16" t="s">
        <v>176</v>
      </c>
      <c r="H168" s="16" t="s">
        <v>24</v>
      </c>
      <c r="I168" s="16" t="s">
        <v>25</v>
      </c>
      <c r="J168" s="16"/>
      <c r="K168" s="16"/>
      <c r="L168" s="16"/>
      <c r="M168" s="16"/>
      <c r="N168" s="16"/>
      <c r="O168" s="16"/>
      <c r="P168" s="16"/>
      <c r="Q168" s="16"/>
      <c r="R168" s="16"/>
      <c r="S168" s="16">
        <v>-2.0</v>
      </c>
      <c r="T168" s="16"/>
      <c r="U168" s="16" t="s">
        <v>1041</v>
      </c>
      <c r="V168" s="16" t="s">
        <v>1042</v>
      </c>
      <c r="W168" s="16" t="s">
        <v>661</v>
      </c>
      <c r="X168" s="16" t="s">
        <v>181</v>
      </c>
      <c r="Y168" s="100"/>
      <c r="Z168" s="16" t="s">
        <v>181</v>
      </c>
    </row>
    <row r="169">
      <c r="A169" s="16">
        <v>12659.0</v>
      </c>
      <c r="B169" s="16" t="s">
        <v>1043</v>
      </c>
      <c r="C169" s="16">
        <v>0.46</v>
      </c>
      <c r="D169" s="174" t="s">
        <v>1044</v>
      </c>
      <c r="E169" s="16"/>
      <c r="F169" s="16">
        <v>593.0</v>
      </c>
      <c r="G169" s="16" t="s">
        <v>272</v>
      </c>
      <c r="H169" s="16" t="s">
        <v>12</v>
      </c>
      <c r="I169" s="16"/>
      <c r="J169" s="16"/>
      <c r="K169" s="16"/>
      <c r="L169" s="16"/>
      <c r="M169" s="16"/>
      <c r="N169" s="16"/>
      <c r="O169" s="16"/>
      <c r="P169" s="16"/>
      <c r="Q169" s="16"/>
      <c r="R169" s="16" t="s">
        <v>516</v>
      </c>
      <c r="S169" s="16">
        <v>-2.0</v>
      </c>
      <c r="T169" s="174" t="s">
        <v>1045</v>
      </c>
      <c r="U169" s="16" t="s">
        <v>1046</v>
      </c>
      <c r="V169" s="16" t="s">
        <v>1047</v>
      </c>
      <c r="W169" s="16" t="s">
        <v>600</v>
      </c>
      <c r="X169" s="16" t="s">
        <v>181</v>
      </c>
      <c r="Y169" s="100"/>
      <c r="Z169" s="16" t="s">
        <v>181</v>
      </c>
    </row>
    <row r="170">
      <c r="A170" s="16">
        <v>12660.0</v>
      </c>
      <c r="B170" s="16" t="s">
        <v>1048</v>
      </c>
      <c r="C170" s="16">
        <v>0.0</v>
      </c>
      <c r="D170" s="174" t="s">
        <v>1049</v>
      </c>
      <c r="E170" s="16"/>
      <c r="F170" s="16">
        <v>547.0</v>
      </c>
      <c r="G170" s="16" t="s">
        <v>176</v>
      </c>
      <c r="H170" s="16" t="s">
        <v>24</v>
      </c>
      <c r="I170" s="16" t="s">
        <v>25</v>
      </c>
      <c r="J170" s="16"/>
      <c r="K170" s="16"/>
      <c r="L170" s="16"/>
      <c r="M170" s="16"/>
      <c r="N170" s="16"/>
      <c r="O170" s="16"/>
      <c r="P170" s="16"/>
      <c r="Q170" s="16"/>
      <c r="R170" s="16"/>
      <c r="S170" s="16">
        <v>-2.0</v>
      </c>
      <c r="T170" s="16"/>
      <c r="U170" s="16" t="s">
        <v>1050</v>
      </c>
      <c r="V170" s="16" t="s">
        <v>1051</v>
      </c>
      <c r="W170" s="16" t="s">
        <v>259</v>
      </c>
      <c r="X170" s="16" t="s">
        <v>181</v>
      </c>
      <c r="Y170" s="100"/>
      <c r="Z170" s="16" t="s">
        <v>181</v>
      </c>
    </row>
    <row r="171">
      <c r="A171" s="16">
        <v>12661.0</v>
      </c>
      <c r="B171" s="16" t="s">
        <v>1052</v>
      </c>
      <c r="C171" s="16">
        <v>0.04</v>
      </c>
      <c r="D171" s="174" t="s">
        <v>1053</v>
      </c>
      <c r="E171" s="16"/>
      <c r="F171" s="16">
        <v>547.0</v>
      </c>
      <c r="G171" s="16" t="s">
        <v>176</v>
      </c>
      <c r="H171" s="16" t="s">
        <v>24</v>
      </c>
      <c r="I171" s="16" t="s">
        <v>25</v>
      </c>
      <c r="J171" s="16"/>
      <c r="K171" s="16"/>
      <c r="L171" s="16"/>
      <c r="M171" s="16"/>
      <c r="N171" s="16"/>
      <c r="O171" s="16"/>
      <c r="P171" s="16"/>
      <c r="Q171" s="16"/>
      <c r="R171" s="16"/>
      <c r="S171" s="16">
        <v>-2.0</v>
      </c>
      <c r="T171" s="16"/>
      <c r="U171" s="16" t="s">
        <v>1054</v>
      </c>
      <c r="V171" s="16" t="s">
        <v>1055</v>
      </c>
      <c r="W171" s="16" t="s">
        <v>722</v>
      </c>
      <c r="X171" s="16" t="s">
        <v>181</v>
      </c>
      <c r="Y171" s="100"/>
      <c r="Z171" s="16" t="s">
        <v>181</v>
      </c>
    </row>
    <row r="172">
      <c r="A172" s="16">
        <v>12662.0</v>
      </c>
      <c r="B172" s="16" t="s">
        <v>1056</v>
      </c>
      <c r="C172" s="16">
        <v>0.51</v>
      </c>
      <c r="D172" s="174" t="s">
        <v>1057</v>
      </c>
      <c r="E172" s="16"/>
      <c r="F172" s="16">
        <v>563.0</v>
      </c>
      <c r="G172" s="16" t="s">
        <v>260</v>
      </c>
      <c r="H172" s="16" t="s">
        <v>14</v>
      </c>
      <c r="I172" s="16" t="s">
        <v>16</v>
      </c>
      <c r="J172" s="16" t="s">
        <v>15</v>
      </c>
      <c r="K172" s="16"/>
      <c r="L172" s="16"/>
      <c r="M172" s="16"/>
      <c r="N172" s="16"/>
      <c r="O172" s="16"/>
      <c r="P172" s="16"/>
      <c r="Q172" s="16"/>
      <c r="R172" s="16"/>
      <c r="S172" s="16">
        <v>-2.0</v>
      </c>
      <c r="T172" s="16"/>
      <c r="U172" s="16" t="s">
        <v>1058</v>
      </c>
      <c r="V172" s="16" t="s">
        <v>1059</v>
      </c>
      <c r="W172" s="16" t="s">
        <v>199</v>
      </c>
      <c r="X172" s="16" t="s">
        <v>181</v>
      </c>
      <c r="Y172" s="100"/>
      <c r="Z172" s="16" t="s">
        <v>181</v>
      </c>
    </row>
    <row r="173">
      <c r="A173" s="16">
        <v>12663.0</v>
      </c>
      <c r="B173" s="16" t="s">
        <v>1060</v>
      </c>
      <c r="C173" s="16">
        <v>0.08</v>
      </c>
      <c r="D173" s="174" t="s">
        <v>1061</v>
      </c>
      <c r="E173" s="16"/>
      <c r="F173" s="16">
        <v>547.0</v>
      </c>
      <c r="G173" s="16" t="s">
        <v>176</v>
      </c>
      <c r="H173" s="16" t="s">
        <v>14</v>
      </c>
      <c r="I173" s="16" t="s">
        <v>15</v>
      </c>
      <c r="J173" s="16" t="s">
        <v>13</v>
      </c>
      <c r="K173" s="16" t="s">
        <v>19</v>
      </c>
      <c r="L173" s="16"/>
      <c r="M173" s="16"/>
      <c r="N173" s="16"/>
      <c r="O173" s="16"/>
      <c r="P173" s="16"/>
      <c r="Q173" s="16"/>
      <c r="R173" s="16"/>
      <c r="S173" s="16">
        <v>-2.0</v>
      </c>
      <c r="T173" s="16"/>
      <c r="U173" s="16" t="s">
        <v>1062</v>
      </c>
      <c r="V173" s="16" t="s">
        <v>1063</v>
      </c>
      <c r="W173" s="16" t="s">
        <v>360</v>
      </c>
      <c r="X173" s="16" t="s">
        <v>181</v>
      </c>
      <c r="Y173" s="100"/>
      <c r="Z173" s="16" t="s">
        <v>181</v>
      </c>
    </row>
    <row r="174">
      <c r="A174" s="16">
        <v>12664.0</v>
      </c>
      <c r="B174" s="16" t="s">
        <v>1064</v>
      </c>
      <c r="C174" s="16">
        <v>0.85</v>
      </c>
      <c r="D174" s="174" t="s">
        <v>1065</v>
      </c>
      <c r="E174" s="16"/>
      <c r="F174" s="16">
        <v>554.0</v>
      </c>
      <c r="G174" s="16" t="s">
        <v>215</v>
      </c>
      <c r="H174" s="16" t="s">
        <v>16</v>
      </c>
      <c r="I174" s="16" t="s">
        <v>18</v>
      </c>
      <c r="J174" s="16" t="s">
        <v>14</v>
      </c>
      <c r="K174" s="16" t="s">
        <v>15</v>
      </c>
      <c r="L174" s="16" t="s">
        <v>19</v>
      </c>
      <c r="M174" s="16"/>
      <c r="N174" s="16"/>
      <c r="O174" s="16"/>
      <c r="P174" s="16"/>
      <c r="Q174" s="16"/>
      <c r="R174" s="16"/>
      <c r="S174" s="16">
        <v>-2.0</v>
      </c>
      <c r="T174" s="16"/>
      <c r="U174" s="16" t="s">
        <v>1066</v>
      </c>
      <c r="V174" s="16" t="s">
        <v>1067</v>
      </c>
      <c r="W174" s="16" t="s">
        <v>188</v>
      </c>
      <c r="X174" s="16" t="s">
        <v>181</v>
      </c>
      <c r="Y174" s="100"/>
      <c r="Z174" s="16" t="s">
        <v>181</v>
      </c>
    </row>
    <row r="175">
      <c r="A175" s="16">
        <v>12665.0</v>
      </c>
      <c r="B175" s="16" t="s">
        <v>1068</v>
      </c>
      <c r="C175" s="16">
        <v>1.51</v>
      </c>
      <c r="D175" s="174" t="s">
        <v>1069</v>
      </c>
      <c r="E175" s="16"/>
      <c r="F175" s="16">
        <v>548.0</v>
      </c>
      <c r="G175" s="16" t="s">
        <v>126</v>
      </c>
      <c r="H175" s="16" t="s">
        <v>18</v>
      </c>
      <c r="I175" s="16"/>
      <c r="J175" s="16"/>
      <c r="K175" s="16"/>
      <c r="L175" s="16"/>
      <c r="M175" s="16"/>
      <c r="N175" s="16"/>
      <c r="O175" s="16"/>
      <c r="P175" s="16"/>
      <c r="Q175" s="16"/>
      <c r="R175" s="16"/>
      <c r="S175" s="16">
        <v>-2.0</v>
      </c>
      <c r="T175" s="16"/>
      <c r="U175" s="16" t="s">
        <v>1070</v>
      </c>
      <c r="V175" s="16" t="s">
        <v>1071</v>
      </c>
      <c r="W175" s="16" t="s">
        <v>443</v>
      </c>
      <c r="X175" s="16" t="s">
        <v>181</v>
      </c>
      <c r="Y175" s="100"/>
      <c r="Z175" s="16" t="s">
        <v>181</v>
      </c>
    </row>
    <row r="176">
      <c r="A176" s="16">
        <v>12666.0</v>
      </c>
      <c r="B176" s="16" t="s">
        <v>1072</v>
      </c>
      <c r="C176" s="16">
        <v>0.63</v>
      </c>
      <c r="D176" s="174" t="s">
        <v>1073</v>
      </c>
      <c r="E176" s="16"/>
      <c r="F176" s="16">
        <v>581.0</v>
      </c>
      <c r="G176" s="16" t="s">
        <v>346</v>
      </c>
      <c r="H176" s="16" t="s">
        <v>25</v>
      </c>
      <c r="I176" s="16" t="s">
        <v>26</v>
      </c>
      <c r="J176" s="16"/>
      <c r="K176" s="16"/>
      <c r="L176" s="16"/>
      <c r="M176" s="16"/>
      <c r="N176" s="16"/>
      <c r="O176" s="16"/>
      <c r="P176" s="16"/>
      <c r="Q176" s="16"/>
      <c r="R176" s="16" t="s">
        <v>466</v>
      </c>
      <c r="S176" s="16">
        <v>-2.0</v>
      </c>
      <c r="T176" s="16"/>
      <c r="U176" s="16" t="s">
        <v>1074</v>
      </c>
      <c r="V176" s="16" t="s">
        <v>1075</v>
      </c>
      <c r="W176" s="16" t="s">
        <v>661</v>
      </c>
      <c r="X176" s="16" t="s">
        <v>181</v>
      </c>
      <c r="Y176" s="100"/>
      <c r="Z176" s="16" t="s">
        <v>181</v>
      </c>
    </row>
    <row r="177">
      <c r="A177" s="16">
        <v>12667.0</v>
      </c>
      <c r="B177" s="16" t="s">
        <v>1076</v>
      </c>
      <c r="C177" s="16">
        <v>0.16</v>
      </c>
      <c r="D177" s="174" t="s">
        <v>1077</v>
      </c>
      <c r="E177" s="16"/>
      <c r="F177" s="16">
        <v>547.0</v>
      </c>
      <c r="G177" s="16" t="s">
        <v>176</v>
      </c>
      <c r="H177" s="16" t="s">
        <v>24</v>
      </c>
      <c r="I177" s="16" t="s">
        <v>25</v>
      </c>
      <c r="J177" s="16" t="s">
        <v>26</v>
      </c>
      <c r="K177" s="16"/>
      <c r="L177" s="16"/>
      <c r="M177" s="16"/>
      <c r="N177" s="16"/>
      <c r="O177" s="16"/>
      <c r="P177" s="16"/>
      <c r="Q177" s="16"/>
      <c r="R177" s="16"/>
      <c r="S177" s="16">
        <v>-2.0</v>
      </c>
      <c r="T177" s="16"/>
      <c r="U177" s="16" t="s">
        <v>1078</v>
      </c>
      <c r="V177" s="16" t="s">
        <v>1079</v>
      </c>
      <c r="W177" s="16" t="s">
        <v>332</v>
      </c>
      <c r="X177" s="16" t="s">
        <v>181</v>
      </c>
      <c r="Y177" s="100"/>
      <c r="Z177" s="16" t="s">
        <v>181</v>
      </c>
    </row>
    <row r="178">
      <c r="A178" s="16">
        <v>12668.0</v>
      </c>
      <c r="B178" s="16" t="s">
        <v>1080</v>
      </c>
      <c r="C178" s="16">
        <v>0.35</v>
      </c>
      <c r="D178" s="174" t="s">
        <v>1081</v>
      </c>
      <c r="E178" s="16"/>
      <c r="F178" s="16">
        <v>547.0</v>
      </c>
      <c r="G178" s="16" t="s">
        <v>176</v>
      </c>
      <c r="H178" s="16" t="s">
        <v>19</v>
      </c>
      <c r="I178" s="16"/>
      <c r="J178" s="16"/>
      <c r="K178" s="16"/>
      <c r="L178" s="16"/>
      <c r="M178" s="16"/>
      <c r="N178" s="16"/>
      <c r="O178" s="16"/>
      <c r="P178" s="16"/>
      <c r="Q178" s="16"/>
      <c r="R178" s="16"/>
      <c r="S178" s="16">
        <v>-2.0</v>
      </c>
      <c r="T178" s="16"/>
      <c r="U178" s="16" t="s">
        <v>1082</v>
      </c>
      <c r="V178" s="16" t="s">
        <v>1083</v>
      </c>
      <c r="W178" s="16" t="s">
        <v>491</v>
      </c>
      <c r="X178" s="16" t="s">
        <v>181</v>
      </c>
      <c r="Y178" s="100"/>
      <c r="Z178" s="16" t="s">
        <v>181</v>
      </c>
    </row>
    <row r="179">
      <c r="A179" s="16">
        <v>12669.0</v>
      </c>
      <c r="B179" s="16" t="s">
        <v>1084</v>
      </c>
      <c r="C179" s="16">
        <v>0.36</v>
      </c>
      <c r="D179" s="174" t="s">
        <v>1085</v>
      </c>
      <c r="E179" s="16"/>
      <c r="F179" s="16">
        <v>547.0</v>
      </c>
      <c r="G179" s="16" t="s">
        <v>176</v>
      </c>
      <c r="H179" s="16" t="s">
        <v>24</v>
      </c>
      <c r="I179" s="16"/>
      <c r="J179" s="16"/>
      <c r="K179" s="16"/>
      <c r="L179" s="16"/>
      <c r="M179" s="16"/>
      <c r="N179" s="16"/>
      <c r="O179" s="16"/>
      <c r="P179" s="16"/>
      <c r="Q179" s="16"/>
      <c r="R179" s="16"/>
      <c r="S179" s="16">
        <v>-2.0</v>
      </c>
      <c r="T179" s="16"/>
      <c r="U179" s="16" t="s">
        <v>1086</v>
      </c>
      <c r="V179" s="16" t="s">
        <v>1087</v>
      </c>
      <c r="W179" s="16" t="s">
        <v>188</v>
      </c>
      <c r="X179" s="16" t="s">
        <v>181</v>
      </c>
      <c r="Y179" s="100"/>
      <c r="Z179" s="16" t="s">
        <v>181</v>
      </c>
    </row>
    <row r="180">
      <c r="A180" s="16">
        <v>12670.0</v>
      </c>
      <c r="B180" s="16" t="s">
        <v>1088</v>
      </c>
      <c r="C180" s="16">
        <v>0.0</v>
      </c>
      <c r="D180" s="174" t="s">
        <v>1089</v>
      </c>
      <c r="E180" s="16"/>
      <c r="F180" s="16">
        <v>590.0</v>
      </c>
      <c r="G180" s="16" t="s">
        <v>387</v>
      </c>
      <c r="H180" s="16" t="s">
        <v>17</v>
      </c>
      <c r="I180" s="16" t="s">
        <v>19</v>
      </c>
      <c r="J180" s="16" t="s">
        <v>18</v>
      </c>
      <c r="K180" s="16"/>
      <c r="L180" s="16"/>
      <c r="M180" s="16"/>
      <c r="N180" s="16"/>
      <c r="O180" s="16"/>
      <c r="P180" s="16"/>
      <c r="Q180" s="16"/>
      <c r="R180" s="16"/>
      <c r="S180" s="16">
        <v>-2.0</v>
      </c>
      <c r="T180" s="16"/>
      <c r="U180" s="16" t="s">
        <v>1090</v>
      </c>
      <c r="V180" s="16" t="s">
        <v>1091</v>
      </c>
      <c r="W180" s="16" t="s">
        <v>661</v>
      </c>
      <c r="X180" s="16" t="s">
        <v>181</v>
      </c>
      <c r="Y180" s="100"/>
      <c r="Z180" s="16" t="s">
        <v>181</v>
      </c>
    </row>
    <row r="181">
      <c r="A181" s="16">
        <v>12671.0</v>
      </c>
      <c r="B181" s="16" t="s">
        <v>1092</v>
      </c>
      <c r="C181" s="16">
        <v>0.0</v>
      </c>
      <c r="D181" s="174" t="s">
        <v>1093</v>
      </c>
      <c r="E181" s="16"/>
      <c r="F181" s="16">
        <v>547.0</v>
      </c>
      <c r="G181" s="16" t="s">
        <v>176</v>
      </c>
      <c r="H181" s="16" t="s">
        <v>25</v>
      </c>
      <c r="I181" s="16" t="s">
        <v>26</v>
      </c>
      <c r="J181" s="16"/>
      <c r="K181" s="16"/>
      <c r="L181" s="16"/>
      <c r="M181" s="16"/>
      <c r="N181" s="16"/>
      <c r="O181" s="16"/>
      <c r="P181" s="16"/>
      <c r="Q181" s="16"/>
      <c r="R181" s="16"/>
      <c r="S181" s="16">
        <v>-2.0</v>
      </c>
      <c r="T181" s="16"/>
      <c r="U181" s="16" t="s">
        <v>1094</v>
      </c>
      <c r="V181" s="16" t="s">
        <v>1095</v>
      </c>
      <c r="W181" s="16" t="s">
        <v>332</v>
      </c>
      <c r="X181" s="16" t="s">
        <v>181</v>
      </c>
      <c r="Y181" s="100"/>
      <c r="Z181" s="16" t="s">
        <v>181</v>
      </c>
    </row>
    <row r="182">
      <c r="A182" s="16">
        <v>12672.0</v>
      </c>
      <c r="B182" s="16" t="s">
        <v>1096</v>
      </c>
      <c r="C182" s="16">
        <v>0.0</v>
      </c>
      <c r="D182" s="174" t="s">
        <v>1097</v>
      </c>
      <c r="E182" s="16"/>
      <c r="F182" s="16">
        <v>547.0</v>
      </c>
      <c r="G182" s="16" t="s">
        <v>176</v>
      </c>
      <c r="H182" s="16" t="s">
        <v>24</v>
      </c>
      <c r="I182" s="16"/>
      <c r="J182" s="16"/>
      <c r="K182" s="16"/>
      <c r="L182" s="16"/>
      <c r="M182" s="16"/>
      <c r="N182" s="16"/>
      <c r="O182" s="16"/>
      <c r="P182" s="16"/>
      <c r="Q182" s="16"/>
      <c r="R182" s="16"/>
      <c r="S182" s="16">
        <v>-2.0</v>
      </c>
      <c r="T182" s="16"/>
      <c r="U182" s="16" t="s">
        <v>1098</v>
      </c>
      <c r="V182" s="16" t="s">
        <v>1099</v>
      </c>
      <c r="W182" s="16" t="s">
        <v>188</v>
      </c>
      <c r="X182" s="16" t="s">
        <v>181</v>
      </c>
      <c r="Y182" s="100"/>
      <c r="Z182" s="16" t="s">
        <v>181</v>
      </c>
    </row>
    <row r="183">
      <c r="A183" s="16">
        <v>12673.0</v>
      </c>
      <c r="B183" s="16" t="s">
        <v>1100</v>
      </c>
      <c r="C183" s="16">
        <v>0.0</v>
      </c>
      <c r="D183" s="174" t="s">
        <v>1101</v>
      </c>
      <c r="E183" s="16"/>
      <c r="F183" s="16">
        <v>547.0</v>
      </c>
      <c r="G183" s="16" t="s">
        <v>176</v>
      </c>
      <c r="H183" s="16" t="s">
        <v>25</v>
      </c>
      <c r="I183" s="16"/>
      <c r="J183" s="16"/>
      <c r="K183" s="16"/>
      <c r="L183" s="16"/>
      <c r="M183" s="16"/>
      <c r="N183" s="16"/>
      <c r="O183" s="16"/>
      <c r="P183" s="16"/>
      <c r="Q183" s="16"/>
      <c r="R183" s="16"/>
      <c r="S183" s="16">
        <v>-2.0</v>
      </c>
      <c r="T183" s="16"/>
      <c r="U183" s="16" t="s">
        <v>1102</v>
      </c>
      <c r="V183" s="16" t="s">
        <v>1103</v>
      </c>
      <c r="W183" s="16" t="s">
        <v>276</v>
      </c>
      <c r="X183" s="16" t="s">
        <v>181</v>
      </c>
      <c r="Y183" s="100"/>
      <c r="Z183" s="16" t="s">
        <v>181</v>
      </c>
    </row>
    <row r="184">
      <c r="A184" s="16">
        <v>12674.0</v>
      </c>
      <c r="B184" s="16" t="s">
        <v>1104</v>
      </c>
      <c r="C184" s="16">
        <v>0.45</v>
      </c>
      <c r="D184" s="174" t="s">
        <v>1105</v>
      </c>
      <c r="E184" s="16"/>
      <c r="F184" s="16">
        <v>547.0</v>
      </c>
      <c r="G184" s="16" t="s">
        <v>176</v>
      </c>
      <c r="H184" s="16" t="s">
        <v>24</v>
      </c>
      <c r="I184" s="16" t="s">
        <v>25</v>
      </c>
      <c r="J184" s="16"/>
      <c r="K184" s="16"/>
      <c r="L184" s="16"/>
      <c r="M184" s="16"/>
      <c r="N184" s="16"/>
      <c r="O184" s="16"/>
      <c r="P184" s="16"/>
      <c r="Q184" s="16"/>
      <c r="R184" s="16"/>
      <c r="S184" s="16">
        <v>-2.0</v>
      </c>
      <c r="T184" s="16"/>
      <c r="U184" s="16" t="s">
        <v>1106</v>
      </c>
      <c r="V184" s="16" t="s">
        <v>1107</v>
      </c>
      <c r="W184" s="16" t="s">
        <v>188</v>
      </c>
      <c r="X184" s="16" t="s">
        <v>181</v>
      </c>
      <c r="Y184" s="100"/>
      <c r="Z184" s="16" t="s">
        <v>181</v>
      </c>
    </row>
    <row r="185">
      <c r="A185" s="16">
        <v>12675.0</v>
      </c>
      <c r="B185" s="16" t="s">
        <v>1108</v>
      </c>
      <c r="C185" s="16">
        <v>0.22</v>
      </c>
      <c r="D185" s="174" t="s">
        <v>1109</v>
      </c>
      <c r="E185" s="16"/>
      <c r="F185" s="16">
        <v>581.0</v>
      </c>
      <c r="G185" s="16" t="s">
        <v>346</v>
      </c>
      <c r="H185" s="16" t="s">
        <v>25</v>
      </c>
      <c r="I185" s="16" t="s">
        <v>26</v>
      </c>
      <c r="J185" s="16"/>
      <c r="K185" s="16"/>
      <c r="L185" s="16"/>
      <c r="M185" s="16"/>
      <c r="N185" s="16"/>
      <c r="O185" s="16"/>
      <c r="P185" s="16"/>
      <c r="Q185" s="16"/>
      <c r="R185" s="16"/>
      <c r="S185" s="16">
        <v>-2.0</v>
      </c>
      <c r="T185" s="16"/>
      <c r="U185" s="16" t="s">
        <v>1110</v>
      </c>
      <c r="V185" s="16" t="s">
        <v>1111</v>
      </c>
      <c r="W185" s="16" t="s">
        <v>634</v>
      </c>
      <c r="X185" s="16" t="s">
        <v>181</v>
      </c>
      <c r="Y185" s="100"/>
      <c r="Z185" s="16" t="s">
        <v>181</v>
      </c>
    </row>
    <row r="186">
      <c r="A186" s="16">
        <v>12676.0</v>
      </c>
      <c r="B186" s="16" t="s">
        <v>1112</v>
      </c>
      <c r="C186" s="16">
        <v>0.2</v>
      </c>
      <c r="D186" s="174" t="s">
        <v>1113</v>
      </c>
      <c r="E186" s="16"/>
      <c r="F186" s="16">
        <v>547.0</v>
      </c>
      <c r="G186" s="16" t="s">
        <v>176</v>
      </c>
      <c r="H186" s="16" t="s">
        <v>24</v>
      </c>
      <c r="I186" s="16"/>
      <c r="J186" s="16"/>
      <c r="K186" s="16"/>
      <c r="L186" s="16"/>
      <c r="M186" s="16"/>
      <c r="N186" s="16"/>
      <c r="O186" s="16"/>
      <c r="P186" s="16"/>
      <c r="Q186" s="16"/>
      <c r="R186" s="16"/>
      <c r="S186" s="16">
        <v>-2.0</v>
      </c>
      <c r="T186" s="16"/>
      <c r="U186" s="16" t="s">
        <v>1114</v>
      </c>
      <c r="V186" s="16" t="s">
        <v>1115</v>
      </c>
      <c r="W186" s="16" t="s">
        <v>616</v>
      </c>
      <c r="X186" s="16" t="s">
        <v>181</v>
      </c>
      <c r="Y186" s="100"/>
      <c r="Z186" s="16" t="s">
        <v>181</v>
      </c>
    </row>
    <row r="187">
      <c r="A187" s="16">
        <v>12677.0</v>
      </c>
      <c r="B187" s="16" t="s">
        <v>1116</v>
      </c>
      <c r="C187" s="16">
        <v>0.0</v>
      </c>
      <c r="D187" s="174" t="s">
        <v>1117</v>
      </c>
      <c r="E187" s="16"/>
      <c r="F187" s="16">
        <v>572.0</v>
      </c>
      <c r="G187" s="16" t="s">
        <v>306</v>
      </c>
      <c r="H187" s="16" t="s">
        <v>25</v>
      </c>
      <c r="I187" s="16"/>
      <c r="J187" s="16"/>
      <c r="K187" s="16"/>
      <c r="L187" s="16"/>
      <c r="M187" s="16"/>
      <c r="N187" s="16"/>
      <c r="O187" s="16"/>
      <c r="P187" s="16"/>
      <c r="Q187" s="16"/>
      <c r="R187" s="16"/>
      <c r="S187" s="16">
        <v>-2.0</v>
      </c>
      <c r="T187" s="16"/>
      <c r="U187" s="16" t="s">
        <v>1118</v>
      </c>
      <c r="V187" s="16" t="s">
        <v>1119</v>
      </c>
      <c r="W187" s="16" t="s">
        <v>199</v>
      </c>
      <c r="X187" s="16" t="s">
        <v>181</v>
      </c>
      <c r="Y187" s="100"/>
      <c r="Z187" s="16" t="s">
        <v>181</v>
      </c>
    </row>
    <row r="188">
      <c r="A188" s="16">
        <v>12678.0</v>
      </c>
      <c r="B188" s="16" t="s">
        <v>1120</v>
      </c>
      <c r="C188" s="16">
        <v>3.14</v>
      </c>
      <c r="D188" s="174" t="s">
        <v>1121</v>
      </c>
      <c r="E188" s="16"/>
      <c r="F188" s="16">
        <v>551.0</v>
      </c>
      <c r="G188" s="16" t="s">
        <v>200</v>
      </c>
      <c r="H188" s="16" t="s">
        <v>24</v>
      </c>
      <c r="I188" s="16"/>
      <c r="J188" s="16"/>
      <c r="K188" s="16"/>
      <c r="L188" s="16"/>
      <c r="M188" s="16"/>
      <c r="N188" s="16"/>
      <c r="O188" s="16"/>
      <c r="P188" s="16"/>
      <c r="Q188" s="16"/>
      <c r="R188" s="16"/>
      <c r="S188" s="16">
        <v>-2.0</v>
      </c>
      <c r="T188" s="16"/>
      <c r="U188" s="16" t="s">
        <v>1122</v>
      </c>
      <c r="V188" s="16" t="s">
        <v>1123</v>
      </c>
      <c r="W188" s="16" t="s">
        <v>188</v>
      </c>
      <c r="X188" s="16" t="s">
        <v>181</v>
      </c>
      <c r="Y188" s="100"/>
      <c r="Z188" s="16" t="s">
        <v>181</v>
      </c>
    </row>
    <row r="189">
      <c r="A189" s="16">
        <v>12679.0</v>
      </c>
      <c r="B189" s="16" t="s">
        <v>1124</v>
      </c>
      <c r="C189" s="16">
        <v>0.0</v>
      </c>
      <c r="D189" s="174" t="s">
        <v>1125</v>
      </c>
      <c r="E189" s="16"/>
      <c r="F189" s="16">
        <v>547.0</v>
      </c>
      <c r="G189" s="16" t="s">
        <v>176</v>
      </c>
      <c r="H189" s="16" t="s">
        <v>25</v>
      </c>
      <c r="I189" s="16" t="s">
        <v>26</v>
      </c>
      <c r="J189" s="16"/>
      <c r="K189" s="16"/>
      <c r="L189" s="16"/>
      <c r="M189" s="16"/>
      <c r="N189" s="16"/>
      <c r="O189" s="16"/>
      <c r="P189" s="16"/>
      <c r="Q189" s="16"/>
      <c r="R189" s="16"/>
      <c r="S189" s="16">
        <v>-2.0</v>
      </c>
      <c r="T189" s="16"/>
      <c r="U189" s="16" t="s">
        <v>1126</v>
      </c>
      <c r="V189" s="16" t="s">
        <v>1127</v>
      </c>
      <c r="W189" s="16" t="s">
        <v>259</v>
      </c>
      <c r="X189" s="16" t="s">
        <v>181</v>
      </c>
      <c r="Y189" s="100"/>
      <c r="Z189" s="16" t="s">
        <v>181</v>
      </c>
    </row>
    <row r="190">
      <c r="A190" s="16">
        <v>12680.0</v>
      </c>
      <c r="B190" s="16" t="s">
        <v>1128</v>
      </c>
      <c r="C190" s="16">
        <v>0.0</v>
      </c>
      <c r="D190" s="174" t="s">
        <v>1129</v>
      </c>
      <c r="E190" s="16"/>
      <c r="F190" s="16">
        <v>547.0</v>
      </c>
      <c r="G190" s="16" t="s">
        <v>176</v>
      </c>
      <c r="H190" s="16" t="s">
        <v>17</v>
      </c>
      <c r="I190" s="16" t="s">
        <v>15</v>
      </c>
      <c r="J190" s="16" t="s">
        <v>14</v>
      </c>
      <c r="K190" s="16" t="s">
        <v>18</v>
      </c>
      <c r="L190" s="16"/>
      <c r="M190" s="16"/>
      <c r="N190" s="16"/>
      <c r="O190" s="16"/>
      <c r="P190" s="16"/>
      <c r="Q190" s="16"/>
      <c r="R190" s="16"/>
      <c r="S190" s="16">
        <v>-2.0</v>
      </c>
      <c r="T190" s="16"/>
      <c r="U190" s="16" t="s">
        <v>1130</v>
      </c>
      <c r="V190" s="16" t="s">
        <v>1131</v>
      </c>
      <c r="W190" s="16" t="s">
        <v>600</v>
      </c>
      <c r="X190" s="16" t="s">
        <v>181</v>
      </c>
      <c r="Y190" s="100"/>
      <c r="Z190" s="16" t="s">
        <v>181</v>
      </c>
    </row>
    <row r="191">
      <c r="A191" s="16">
        <v>12681.0</v>
      </c>
      <c r="B191" s="16" t="s">
        <v>1132</v>
      </c>
      <c r="C191" s="16">
        <v>0.59</v>
      </c>
      <c r="D191" s="174" t="s">
        <v>1133</v>
      </c>
      <c r="E191" s="16"/>
      <c r="F191" s="16">
        <v>547.0</v>
      </c>
      <c r="G191" s="16" t="s">
        <v>176</v>
      </c>
      <c r="H191" s="16" t="s">
        <v>12</v>
      </c>
      <c r="I191" s="16"/>
      <c r="J191" s="16"/>
      <c r="K191" s="16"/>
      <c r="L191" s="16"/>
      <c r="M191" s="16"/>
      <c r="N191" s="16"/>
      <c r="O191" s="16"/>
      <c r="P191" s="16"/>
      <c r="Q191" s="16"/>
      <c r="R191" s="16"/>
      <c r="S191" s="16">
        <v>-2.0</v>
      </c>
      <c r="T191" s="16"/>
      <c r="U191" s="16" t="s">
        <v>1134</v>
      </c>
      <c r="V191" s="16" t="s">
        <v>1135</v>
      </c>
      <c r="W191" s="16" t="s">
        <v>478</v>
      </c>
      <c r="X191" s="16" t="s">
        <v>181</v>
      </c>
      <c r="Y191" s="100"/>
      <c r="Z191" s="16" t="s">
        <v>181</v>
      </c>
    </row>
    <row r="192">
      <c r="A192" s="16">
        <v>12682.0</v>
      </c>
      <c r="B192" s="16" t="s">
        <v>1136</v>
      </c>
      <c r="C192" s="16">
        <v>0.0</v>
      </c>
      <c r="D192" s="174" t="s">
        <v>1137</v>
      </c>
      <c r="E192" s="16"/>
      <c r="F192" s="16">
        <v>547.0</v>
      </c>
      <c r="G192" s="16" t="s">
        <v>176</v>
      </c>
      <c r="H192" s="16" t="s">
        <v>13</v>
      </c>
      <c r="I192" s="16"/>
      <c r="J192" s="16"/>
      <c r="K192" s="16"/>
      <c r="L192" s="16"/>
      <c r="M192" s="16"/>
      <c r="N192" s="16"/>
      <c r="O192" s="16"/>
      <c r="P192" s="16"/>
      <c r="Q192" s="16"/>
      <c r="R192" s="16"/>
      <c r="S192" s="16">
        <v>-2.0</v>
      </c>
      <c r="T192" s="16"/>
      <c r="U192" s="16" t="s">
        <v>1138</v>
      </c>
      <c r="V192" s="16" t="s">
        <v>1139</v>
      </c>
      <c r="W192" s="16" t="s">
        <v>591</v>
      </c>
      <c r="X192" s="16" t="s">
        <v>181</v>
      </c>
      <c r="Y192" s="100"/>
      <c r="Z192" s="16" t="s">
        <v>181</v>
      </c>
    </row>
    <row r="193">
      <c r="A193" s="16">
        <v>12683.0</v>
      </c>
      <c r="B193" s="16" t="s">
        <v>1140</v>
      </c>
      <c r="C193" s="16">
        <v>0.29</v>
      </c>
      <c r="D193" s="174" t="s">
        <v>1141</v>
      </c>
      <c r="E193" s="16"/>
      <c r="F193" s="16">
        <v>547.0</v>
      </c>
      <c r="G193" s="16" t="s">
        <v>176</v>
      </c>
      <c r="H193" s="16" t="s">
        <v>24</v>
      </c>
      <c r="I193" s="16"/>
      <c r="J193" s="16"/>
      <c r="K193" s="16"/>
      <c r="L193" s="16"/>
      <c r="M193" s="16"/>
      <c r="N193" s="16"/>
      <c r="O193" s="16"/>
      <c r="P193" s="16"/>
      <c r="Q193" s="16"/>
      <c r="R193" s="16"/>
      <c r="S193" s="16">
        <v>-2.0</v>
      </c>
      <c r="T193" s="16"/>
      <c r="U193" s="16" t="s">
        <v>1142</v>
      </c>
      <c r="V193" s="16" t="s">
        <v>1143</v>
      </c>
      <c r="W193" s="16" t="s">
        <v>496</v>
      </c>
      <c r="X193" s="16" t="s">
        <v>181</v>
      </c>
      <c r="Y193" s="100"/>
      <c r="Z193" s="16" t="s">
        <v>181</v>
      </c>
    </row>
    <row r="194">
      <c r="A194" s="16">
        <v>12684.0</v>
      </c>
      <c r="B194" s="16" t="s">
        <v>1144</v>
      </c>
      <c r="C194" s="16">
        <v>0.0</v>
      </c>
      <c r="D194" s="174" t="s">
        <v>1145</v>
      </c>
      <c r="E194" s="16"/>
      <c r="F194" s="16">
        <v>557.0</v>
      </c>
      <c r="G194" s="16" t="s">
        <v>232</v>
      </c>
      <c r="H194" s="16" t="s">
        <v>12</v>
      </c>
      <c r="I194" s="16" t="s">
        <v>15</v>
      </c>
      <c r="J194" s="16" t="s">
        <v>13</v>
      </c>
      <c r="K194" s="16"/>
      <c r="L194" s="16"/>
      <c r="M194" s="16"/>
      <c r="N194" s="16"/>
      <c r="O194" s="16"/>
      <c r="P194" s="16"/>
      <c r="Q194" s="16"/>
      <c r="R194" s="16"/>
      <c r="S194" s="16">
        <v>-2.0</v>
      </c>
      <c r="T194" s="16"/>
      <c r="U194" s="16" t="s">
        <v>1146</v>
      </c>
      <c r="V194" s="16" t="s">
        <v>1147</v>
      </c>
      <c r="W194" s="16" t="s">
        <v>259</v>
      </c>
      <c r="X194" s="16" t="s">
        <v>181</v>
      </c>
      <c r="Y194" s="100"/>
      <c r="Z194" s="16" t="s">
        <v>181</v>
      </c>
    </row>
    <row r="195">
      <c r="A195" s="16">
        <v>12685.0</v>
      </c>
      <c r="B195" s="16" t="s">
        <v>1148</v>
      </c>
      <c r="C195" s="16">
        <v>1.37</v>
      </c>
      <c r="D195" s="174" t="s">
        <v>1149</v>
      </c>
      <c r="E195" s="16"/>
      <c r="F195" s="16">
        <v>554.0</v>
      </c>
      <c r="G195" s="16" t="s">
        <v>215</v>
      </c>
      <c r="H195" s="16" t="s">
        <v>13</v>
      </c>
      <c r="I195" s="16"/>
      <c r="J195" s="16"/>
      <c r="K195" s="16"/>
      <c r="L195" s="16"/>
      <c r="M195" s="16"/>
      <c r="N195" s="16"/>
      <c r="O195" s="16"/>
      <c r="P195" s="16"/>
      <c r="Q195" s="16"/>
      <c r="R195" s="16"/>
      <c r="S195" s="16">
        <v>-2.0</v>
      </c>
      <c r="T195" s="16"/>
      <c r="U195" s="16" t="s">
        <v>1150</v>
      </c>
      <c r="V195" s="16" t="s">
        <v>1151</v>
      </c>
      <c r="W195" s="16" t="s">
        <v>722</v>
      </c>
      <c r="X195" s="16" t="s">
        <v>181</v>
      </c>
      <c r="Y195" s="100"/>
      <c r="Z195" s="16" t="s">
        <v>181</v>
      </c>
    </row>
    <row r="196">
      <c r="A196" s="16">
        <v>12686.0</v>
      </c>
      <c r="B196" s="16" t="s">
        <v>1152</v>
      </c>
      <c r="C196" s="16">
        <v>2.03</v>
      </c>
      <c r="D196" s="174" t="s">
        <v>1153</v>
      </c>
      <c r="E196" s="16"/>
      <c r="F196" s="16">
        <v>566.0</v>
      </c>
      <c r="G196" s="16" t="s">
        <v>277</v>
      </c>
      <c r="H196" s="16" t="s">
        <v>17</v>
      </c>
      <c r="I196" s="16"/>
      <c r="J196" s="16"/>
      <c r="K196" s="16"/>
      <c r="L196" s="16"/>
      <c r="M196" s="16"/>
      <c r="N196" s="16"/>
      <c r="O196" s="16"/>
      <c r="P196" s="16"/>
      <c r="Q196" s="16"/>
      <c r="R196" s="16"/>
      <c r="S196" s="16">
        <v>-2.0</v>
      </c>
      <c r="T196" s="16"/>
      <c r="U196" s="16" t="s">
        <v>1154</v>
      </c>
      <c r="V196" s="16" t="s">
        <v>1155</v>
      </c>
      <c r="W196" s="16" t="s">
        <v>942</v>
      </c>
      <c r="X196" s="16" t="s">
        <v>181</v>
      </c>
      <c r="Y196" s="100"/>
      <c r="Z196" s="16" t="s">
        <v>181</v>
      </c>
    </row>
    <row r="197">
      <c r="A197" s="16">
        <v>12687.0</v>
      </c>
      <c r="B197" s="16" t="s">
        <v>1156</v>
      </c>
      <c r="C197" s="16">
        <v>0.0</v>
      </c>
      <c r="D197" s="174" t="s">
        <v>1157</v>
      </c>
      <c r="E197" s="16"/>
      <c r="F197" s="16">
        <v>547.0</v>
      </c>
      <c r="G197" s="16" t="s">
        <v>176</v>
      </c>
      <c r="H197" s="16" t="s">
        <v>15</v>
      </c>
      <c r="I197" s="16" t="s">
        <v>14</v>
      </c>
      <c r="J197" s="16" t="s">
        <v>17</v>
      </c>
      <c r="K197" s="16"/>
      <c r="L197" s="16"/>
      <c r="M197" s="16"/>
      <c r="N197" s="16"/>
      <c r="O197" s="16"/>
      <c r="P197" s="16"/>
      <c r="Q197" s="16"/>
      <c r="R197" s="16"/>
      <c r="S197" s="16">
        <v>-2.0</v>
      </c>
      <c r="T197" s="16"/>
      <c r="U197" s="16" t="s">
        <v>1158</v>
      </c>
      <c r="V197" s="16" t="s">
        <v>1159</v>
      </c>
      <c r="W197" s="16" t="s">
        <v>188</v>
      </c>
      <c r="X197" s="16" t="s">
        <v>181</v>
      </c>
      <c r="Y197" s="100"/>
      <c r="Z197" s="16" t="s">
        <v>181</v>
      </c>
    </row>
    <row r="198">
      <c r="A198" s="16">
        <v>12688.0</v>
      </c>
      <c r="B198" s="16" t="s">
        <v>1160</v>
      </c>
      <c r="C198" s="16">
        <v>0.0</v>
      </c>
      <c r="D198" s="174" t="s">
        <v>1161</v>
      </c>
      <c r="E198" s="16"/>
      <c r="F198" s="16">
        <v>547.0</v>
      </c>
      <c r="G198" s="16" t="s">
        <v>176</v>
      </c>
      <c r="H198" s="16" t="s">
        <v>12</v>
      </c>
      <c r="I198" s="16"/>
      <c r="J198" s="16"/>
      <c r="K198" s="16"/>
      <c r="L198" s="16"/>
      <c r="M198" s="16"/>
      <c r="N198" s="16"/>
      <c r="O198" s="16"/>
      <c r="P198" s="16"/>
      <c r="Q198" s="16"/>
      <c r="R198" s="16"/>
      <c r="S198" s="16">
        <v>-2.0</v>
      </c>
      <c r="T198" s="16"/>
      <c r="U198" s="16" t="s">
        <v>1162</v>
      </c>
      <c r="V198" s="16" t="s">
        <v>1163</v>
      </c>
      <c r="W198" s="16" t="s">
        <v>399</v>
      </c>
      <c r="X198" s="16" t="s">
        <v>181</v>
      </c>
      <c r="Y198" s="100"/>
      <c r="Z198" s="16" t="s">
        <v>181</v>
      </c>
    </row>
    <row r="199">
      <c r="A199" s="16">
        <v>12689.0</v>
      </c>
      <c r="B199" s="16" t="s">
        <v>1164</v>
      </c>
      <c r="C199" s="16">
        <v>0.0</v>
      </c>
      <c r="D199" s="174" t="s">
        <v>1165</v>
      </c>
      <c r="E199" s="16"/>
      <c r="F199" s="16">
        <v>547.0</v>
      </c>
      <c r="G199" s="16" t="s">
        <v>176</v>
      </c>
      <c r="H199" s="16" t="s">
        <v>25</v>
      </c>
      <c r="I199" s="16" t="s">
        <v>26</v>
      </c>
      <c r="J199" s="16"/>
      <c r="K199" s="16"/>
      <c r="L199" s="16"/>
      <c r="M199" s="16"/>
      <c r="N199" s="16"/>
      <c r="O199" s="16"/>
      <c r="P199" s="16"/>
      <c r="Q199" s="16"/>
      <c r="R199" s="16"/>
      <c r="S199" s="16">
        <v>-2.0</v>
      </c>
      <c r="T199" s="16"/>
      <c r="U199" s="16" t="s">
        <v>1166</v>
      </c>
      <c r="V199" s="16" t="s">
        <v>1167</v>
      </c>
      <c r="W199" s="16" t="s">
        <v>259</v>
      </c>
      <c r="X199" s="16" t="s">
        <v>181</v>
      </c>
      <c r="Y199" s="100"/>
      <c r="Z199" s="16" t="s">
        <v>181</v>
      </c>
    </row>
    <row r="200">
      <c r="A200" s="16">
        <v>12690.0</v>
      </c>
      <c r="B200" s="16" t="s">
        <v>1168</v>
      </c>
      <c r="C200" s="16">
        <v>1.64</v>
      </c>
      <c r="D200" s="174" t="s">
        <v>1169</v>
      </c>
      <c r="E200" s="16"/>
      <c r="F200" s="16">
        <v>583.0</v>
      </c>
      <c r="G200" s="16" t="s">
        <v>1170</v>
      </c>
      <c r="H200" s="16" t="s">
        <v>16</v>
      </c>
      <c r="I200" s="16"/>
      <c r="J200" s="16"/>
      <c r="K200" s="16"/>
      <c r="L200" s="16"/>
      <c r="M200" s="16"/>
      <c r="N200" s="16"/>
      <c r="O200" s="16"/>
      <c r="P200" s="16"/>
      <c r="Q200" s="16"/>
      <c r="R200" s="16"/>
      <c r="S200" s="16">
        <v>-2.0</v>
      </c>
      <c r="T200" s="16"/>
      <c r="U200" s="16" t="s">
        <v>1171</v>
      </c>
      <c r="V200" s="16" t="s">
        <v>1172</v>
      </c>
      <c r="W200" s="16" t="s">
        <v>443</v>
      </c>
      <c r="X200" s="16" t="s">
        <v>181</v>
      </c>
      <c r="Y200" s="100"/>
      <c r="Z200" s="16" t="s">
        <v>181</v>
      </c>
    </row>
    <row r="201">
      <c r="A201" s="16">
        <v>12691.0</v>
      </c>
      <c r="B201" s="16" t="s">
        <v>1173</v>
      </c>
      <c r="C201" s="16">
        <v>1.76</v>
      </c>
      <c r="D201" s="174" t="s">
        <v>1174</v>
      </c>
      <c r="E201" s="16"/>
      <c r="F201" s="16">
        <v>592.0</v>
      </c>
      <c r="G201" s="16" t="s">
        <v>1175</v>
      </c>
      <c r="H201" s="16" t="s">
        <v>24</v>
      </c>
      <c r="I201" s="16"/>
      <c r="J201" s="16"/>
      <c r="K201" s="16"/>
      <c r="L201" s="16"/>
      <c r="M201" s="16"/>
      <c r="N201" s="16"/>
      <c r="O201" s="16"/>
      <c r="P201" s="16"/>
      <c r="Q201" s="16"/>
      <c r="R201" s="16"/>
      <c r="S201" s="16">
        <v>-2.0</v>
      </c>
      <c r="T201" s="16"/>
      <c r="U201" s="16" t="s">
        <v>1176</v>
      </c>
      <c r="V201" s="16" t="s">
        <v>1177</v>
      </c>
      <c r="W201" s="16" t="s">
        <v>473</v>
      </c>
      <c r="X201" s="16" t="s">
        <v>181</v>
      </c>
      <c r="Y201" s="100"/>
      <c r="Z201" s="16" t="s">
        <v>181</v>
      </c>
    </row>
    <row r="202">
      <c r="A202" s="16">
        <v>12692.0</v>
      </c>
      <c r="B202" s="16" t="s">
        <v>1178</v>
      </c>
      <c r="C202" s="16">
        <v>0.53</v>
      </c>
      <c r="D202" s="174" t="s">
        <v>1179</v>
      </c>
      <c r="E202" s="16"/>
      <c r="F202" s="16">
        <v>566.0</v>
      </c>
      <c r="G202" s="16" t="s">
        <v>277</v>
      </c>
      <c r="H202" s="16" t="s">
        <v>25</v>
      </c>
      <c r="I202" s="16" t="s">
        <v>26</v>
      </c>
      <c r="J202" s="16"/>
      <c r="K202" s="16"/>
      <c r="L202" s="16"/>
      <c r="M202" s="16"/>
      <c r="N202" s="16"/>
      <c r="O202" s="16"/>
      <c r="P202" s="16"/>
      <c r="Q202" s="16"/>
      <c r="R202" s="16"/>
      <c r="S202" s="16">
        <v>-2.0</v>
      </c>
      <c r="T202" s="16"/>
      <c r="U202" s="16" t="s">
        <v>1180</v>
      </c>
      <c r="V202" s="16" t="s">
        <v>1181</v>
      </c>
      <c r="W202" s="16" t="s">
        <v>179</v>
      </c>
      <c r="X202" s="16" t="s">
        <v>181</v>
      </c>
      <c r="Y202" s="100"/>
      <c r="Z202" s="16" t="s">
        <v>181</v>
      </c>
    </row>
    <row r="203">
      <c r="A203" s="16">
        <v>12693.0</v>
      </c>
      <c r="B203" s="16" t="s">
        <v>1182</v>
      </c>
      <c r="C203" s="16">
        <v>0.0</v>
      </c>
      <c r="D203" s="174" t="s">
        <v>1183</v>
      </c>
      <c r="E203" s="16"/>
      <c r="F203" s="16">
        <v>547.0</v>
      </c>
      <c r="G203" s="16" t="s">
        <v>176</v>
      </c>
      <c r="H203" s="16" t="s">
        <v>24</v>
      </c>
      <c r="I203" s="16"/>
      <c r="J203" s="16"/>
      <c r="K203" s="16"/>
      <c r="L203" s="16"/>
      <c r="M203" s="16"/>
      <c r="N203" s="16"/>
      <c r="O203" s="16"/>
      <c r="P203" s="16"/>
      <c r="Q203" s="16"/>
      <c r="R203" s="16"/>
      <c r="S203" s="16">
        <v>-2.0</v>
      </c>
      <c r="T203" s="16"/>
      <c r="U203" s="16" t="s">
        <v>1184</v>
      </c>
      <c r="V203" s="16" t="s">
        <v>1185</v>
      </c>
      <c r="W203" s="16" t="s">
        <v>459</v>
      </c>
      <c r="X203" s="16" t="s">
        <v>181</v>
      </c>
      <c r="Y203" s="100"/>
      <c r="Z203" s="16" t="s">
        <v>181</v>
      </c>
    </row>
    <row r="204">
      <c r="A204" s="16">
        <v>12694.0</v>
      </c>
      <c r="B204" s="16" t="s">
        <v>1186</v>
      </c>
      <c r="C204" s="16">
        <v>1.12</v>
      </c>
      <c r="D204" s="174" t="s">
        <v>1187</v>
      </c>
      <c r="E204" s="16"/>
      <c r="F204" s="16">
        <v>575.0</v>
      </c>
      <c r="G204" s="16" t="s">
        <v>212</v>
      </c>
      <c r="H204" s="16" t="s">
        <v>18</v>
      </c>
      <c r="I204" s="16" t="s">
        <v>19</v>
      </c>
      <c r="J204" s="16" t="s">
        <v>13</v>
      </c>
      <c r="K204" s="16"/>
      <c r="L204" s="16"/>
      <c r="M204" s="16"/>
      <c r="N204" s="16"/>
      <c r="O204" s="16"/>
      <c r="P204" s="16"/>
      <c r="Q204" s="16"/>
      <c r="R204" s="16"/>
      <c r="S204" s="16">
        <v>-2.0</v>
      </c>
      <c r="T204" s="16"/>
      <c r="U204" s="16" t="s">
        <v>1188</v>
      </c>
      <c r="V204" s="16" t="s">
        <v>1189</v>
      </c>
      <c r="W204" s="16" t="s">
        <v>491</v>
      </c>
      <c r="X204" s="16" t="s">
        <v>181</v>
      </c>
      <c r="Y204" s="100"/>
      <c r="Z204" s="16" t="s">
        <v>181</v>
      </c>
    </row>
    <row r="205">
      <c r="A205" s="16">
        <v>12695.0</v>
      </c>
      <c r="B205" s="16" t="s">
        <v>1190</v>
      </c>
      <c r="C205" s="16">
        <v>1.3</v>
      </c>
      <c r="D205" s="174" t="s">
        <v>1191</v>
      </c>
      <c r="E205" s="16"/>
      <c r="F205" s="16">
        <v>587.0</v>
      </c>
      <c r="G205" s="16" t="s">
        <v>289</v>
      </c>
      <c r="H205" s="16" t="s">
        <v>24</v>
      </c>
      <c r="I205" s="16"/>
      <c r="J205" s="16"/>
      <c r="K205" s="16"/>
      <c r="L205" s="16"/>
      <c r="M205" s="16"/>
      <c r="N205" s="16"/>
      <c r="O205" s="16"/>
      <c r="P205" s="16"/>
      <c r="Q205" s="16"/>
      <c r="R205" s="16" t="s">
        <v>516</v>
      </c>
      <c r="S205" s="16">
        <v>-2.0</v>
      </c>
      <c r="T205" s="16"/>
      <c r="U205" s="16" t="s">
        <v>1192</v>
      </c>
      <c r="V205" s="16" t="s">
        <v>1193</v>
      </c>
      <c r="W205" s="16" t="s">
        <v>942</v>
      </c>
      <c r="X205" s="16" t="s">
        <v>181</v>
      </c>
      <c r="Y205" s="100"/>
      <c r="Z205" s="16" t="s">
        <v>181</v>
      </c>
    </row>
    <row r="206">
      <c r="A206" s="16">
        <v>12696.0</v>
      </c>
      <c r="B206" s="16" t="s">
        <v>1194</v>
      </c>
      <c r="C206" s="16">
        <v>0.0</v>
      </c>
      <c r="D206" s="174" t="s">
        <v>1195</v>
      </c>
      <c r="E206" s="16"/>
      <c r="F206" s="16">
        <v>547.0</v>
      </c>
      <c r="G206" s="16" t="s">
        <v>176</v>
      </c>
      <c r="H206" s="16" t="s">
        <v>24</v>
      </c>
      <c r="I206" s="16" t="s">
        <v>25</v>
      </c>
      <c r="J206" s="16" t="s">
        <v>26</v>
      </c>
      <c r="K206" s="16"/>
      <c r="L206" s="16"/>
      <c r="M206" s="16"/>
      <c r="N206" s="16"/>
      <c r="O206" s="16"/>
      <c r="P206" s="16"/>
      <c r="Q206" s="16"/>
      <c r="R206" s="16"/>
      <c r="S206" s="16">
        <v>-2.0</v>
      </c>
      <c r="T206" s="16"/>
      <c r="U206" s="16" t="s">
        <v>1196</v>
      </c>
      <c r="V206" s="16" t="s">
        <v>1197</v>
      </c>
      <c r="W206" s="16" t="s">
        <v>491</v>
      </c>
      <c r="X206" s="16" t="s">
        <v>181</v>
      </c>
      <c r="Y206" s="100"/>
      <c r="Z206" s="16" t="s">
        <v>181</v>
      </c>
    </row>
    <row r="207">
      <c r="A207" s="16">
        <v>12697.0</v>
      </c>
      <c r="B207" s="16" t="s">
        <v>1198</v>
      </c>
      <c r="C207" s="16">
        <v>2.37</v>
      </c>
      <c r="D207" s="174" t="s">
        <v>1199</v>
      </c>
      <c r="E207" s="16"/>
      <c r="F207" s="16">
        <v>566.0</v>
      </c>
      <c r="G207" s="16" t="s">
        <v>277</v>
      </c>
      <c r="H207" s="16" t="s">
        <v>24</v>
      </c>
      <c r="I207" s="16"/>
      <c r="J207" s="16"/>
      <c r="K207" s="16"/>
      <c r="L207" s="16"/>
      <c r="M207" s="16"/>
      <c r="N207" s="16"/>
      <c r="O207" s="16"/>
      <c r="P207" s="16"/>
      <c r="Q207" s="16"/>
      <c r="R207" s="16"/>
      <c r="S207" s="16">
        <v>-2.0</v>
      </c>
      <c r="T207" s="16"/>
      <c r="U207" s="16" t="s">
        <v>1200</v>
      </c>
      <c r="V207" s="16" t="s">
        <v>1201</v>
      </c>
      <c r="W207" s="16" t="s">
        <v>231</v>
      </c>
      <c r="X207" s="16" t="s">
        <v>181</v>
      </c>
      <c r="Y207" s="100"/>
      <c r="Z207" s="16" t="s">
        <v>181</v>
      </c>
    </row>
    <row r="208">
      <c r="A208" s="16">
        <v>12698.0</v>
      </c>
      <c r="B208" s="16" t="s">
        <v>1202</v>
      </c>
      <c r="C208" s="16">
        <v>1.21</v>
      </c>
      <c r="D208" s="174" t="s">
        <v>1203</v>
      </c>
      <c r="E208" s="16"/>
      <c r="F208" s="16">
        <v>557.0</v>
      </c>
      <c r="G208" s="16" t="s">
        <v>232</v>
      </c>
      <c r="H208" s="16" t="s">
        <v>25</v>
      </c>
      <c r="I208" s="16" t="s">
        <v>26</v>
      </c>
      <c r="J208" s="16"/>
      <c r="K208" s="16"/>
      <c r="L208" s="16"/>
      <c r="M208" s="16"/>
      <c r="N208" s="16"/>
      <c r="O208" s="16"/>
      <c r="P208" s="16"/>
      <c r="Q208" s="16"/>
      <c r="R208" s="16"/>
      <c r="S208" s="16">
        <v>-2.0</v>
      </c>
      <c r="T208" s="16"/>
      <c r="U208" s="16" t="s">
        <v>1204</v>
      </c>
      <c r="V208" s="16" t="s">
        <v>1205</v>
      </c>
      <c r="W208" s="16" t="s">
        <v>360</v>
      </c>
      <c r="X208" s="16" t="s">
        <v>181</v>
      </c>
      <c r="Y208" s="100"/>
      <c r="Z208" s="16" t="s">
        <v>181</v>
      </c>
    </row>
    <row r="209">
      <c r="A209" s="16">
        <v>12699.0</v>
      </c>
      <c r="B209" s="16" t="s">
        <v>1206</v>
      </c>
      <c r="C209" s="16">
        <v>0.65</v>
      </c>
      <c r="D209" s="174" t="s">
        <v>1207</v>
      </c>
      <c r="E209" s="16"/>
      <c r="F209" s="16">
        <v>547.0</v>
      </c>
      <c r="G209" s="16" t="s">
        <v>176</v>
      </c>
      <c r="H209" s="16" t="s">
        <v>25</v>
      </c>
      <c r="I209" s="16"/>
      <c r="J209" s="16"/>
      <c r="K209" s="16"/>
      <c r="L209" s="16"/>
      <c r="M209" s="16"/>
      <c r="N209" s="16"/>
      <c r="O209" s="16"/>
      <c r="P209" s="16"/>
      <c r="Q209" s="16"/>
      <c r="R209" s="16"/>
      <c r="S209" s="16">
        <v>-2.0</v>
      </c>
      <c r="T209" s="16"/>
      <c r="U209" s="16" t="s">
        <v>1208</v>
      </c>
      <c r="V209" s="16" t="s">
        <v>1209</v>
      </c>
      <c r="W209" s="16" t="s">
        <v>566</v>
      </c>
      <c r="X209" s="16" t="s">
        <v>181</v>
      </c>
      <c r="Y209" s="100"/>
      <c r="Z209" s="16" t="s">
        <v>181</v>
      </c>
    </row>
    <row r="210">
      <c r="A210" s="16">
        <v>12700.0</v>
      </c>
      <c r="B210" s="16" t="s">
        <v>1210</v>
      </c>
      <c r="C210" s="16">
        <v>0.64</v>
      </c>
      <c r="D210" s="174" t="s">
        <v>1211</v>
      </c>
      <c r="E210" s="16"/>
      <c r="F210" s="16">
        <v>547.0</v>
      </c>
      <c r="G210" s="16" t="s">
        <v>176</v>
      </c>
      <c r="H210" s="16" t="s">
        <v>25</v>
      </c>
      <c r="I210" s="16" t="s">
        <v>26</v>
      </c>
      <c r="J210" s="16"/>
      <c r="K210" s="16"/>
      <c r="L210" s="16"/>
      <c r="M210" s="16"/>
      <c r="N210" s="16"/>
      <c r="O210" s="16"/>
      <c r="P210" s="16"/>
      <c r="Q210" s="16"/>
      <c r="R210" s="16"/>
      <c r="S210" s="16">
        <v>-2.0</v>
      </c>
      <c r="T210" s="16"/>
      <c r="U210" s="16" t="s">
        <v>1212</v>
      </c>
      <c r="V210" s="16" t="s">
        <v>1213</v>
      </c>
      <c r="W210" s="16" t="s">
        <v>422</v>
      </c>
      <c r="X210" s="16" t="s">
        <v>181</v>
      </c>
      <c r="Y210" s="100"/>
      <c r="Z210" s="16" t="s">
        <v>181</v>
      </c>
    </row>
    <row r="211">
      <c r="A211" s="16">
        <v>12701.0</v>
      </c>
      <c r="B211" s="16" t="s">
        <v>1214</v>
      </c>
      <c r="C211" s="16">
        <v>0.32</v>
      </c>
      <c r="D211" s="174" t="s">
        <v>1215</v>
      </c>
      <c r="E211" s="16"/>
      <c r="F211" s="16">
        <v>547.0</v>
      </c>
      <c r="G211" s="16" t="s">
        <v>176</v>
      </c>
      <c r="H211" s="16" t="s">
        <v>24</v>
      </c>
      <c r="I211" s="16" t="s">
        <v>25</v>
      </c>
      <c r="J211" s="16" t="s">
        <v>26</v>
      </c>
      <c r="K211" s="16"/>
      <c r="L211" s="16"/>
      <c r="M211" s="16"/>
      <c r="N211" s="16"/>
      <c r="O211" s="16"/>
      <c r="P211" s="16"/>
      <c r="Q211" s="16"/>
      <c r="R211" s="16"/>
      <c r="S211" s="16">
        <v>-2.0</v>
      </c>
      <c r="T211" s="16"/>
      <c r="U211" s="16" t="s">
        <v>1216</v>
      </c>
      <c r="V211" s="16" t="s">
        <v>1217</v>
      </c>
      <c r="W211" s="16" t="s">
        <v>188</v>
      </c>
      <c r="X211" s="16" t="s">
        <v>181</v>
      </c>
      <c r="Y211" s="100"/>
      <c r="Z211" s="16" t="s">
        <v>181</v>
      </c>
    </row>
    <row r="212">
      <c r="A212" s="16">
        <v>12702.0</v>
      </c>
      <c r="B212" s="16" t="s">
        <v>1218</v>
      </c>
      <c r="C212" s="16">
        <v>1.04</v>
      </c>
      <c r="D212" s="174" t="s">
        <v>1219</v>
      </c>
      <c r="E212" s="16"/>
      <c r="F212" s="16">
        <v>547.0</v>
      </c>
      <c r="G212" s="16" t="s">
        <v>176</v>
      </c>
      <c r="H212" s="16" t="s">
        <v>25</v>
      </c>
      <c r="I212" s="16"/>
      <c r="J212" s="16"/>
      <c r="K212" s="16"/>
      <c r="L212" s="16"/>
      <c r="M212" s="16"/>
      <c r="N212" s="16"/>
      <c r="O212" s="16"/>
      <c r="P212" s="16"/>
      <c r="Q212" s="16"/>
      <c r="R212" s="16"/>
      <c r="S212" s="16">
        <v>-2.0</v>
      </c>
      <c r="T212" s="16"/>
      <c r="U212" s="16" t="s">
        <v>1220</v>
      </c>
      <c r="V212" s="16" t="s">
        <v>1221</v>
      </c>
      <c r="W212" s="16" t="s">
        <v>600</v>
      </c>
      <c r="X212" s="16" t="s">
        <v>181</v>
      </c>
      <c r="Y212" s="100"/>
      <c r="Z212" s="16" t="s">
        <v>181</v>
      </c>
    </row>
    <row r="213">
      <c r="A213" s="16">
        <v>12703.0</v>
      </c>
      <c r="B213" s="16" t="s">
        <v>1222</v>
      </c>
      <c r="C213" s="16">
        <v>0.34</v>
      </c>
      <c r="D213" s="174" t="s">
        <v>1223</v>
      </c>
      <c r="E213" s="16"/>
      <c r="F213" s="16">
        <v>547.0</v>
      </c>
      <c r="G213" s="16" t="s">
        <v>176</v>
      </c>
      <c r="H213" s="16" t="s">
        <v>14</v>
      </c>
      <c r="I213" s="16"/>
      <c r="J213" s="16"/>
      <c r="K213" s="16"/>
      <c r="L213" s="16"/>
      <c r="M213" s="16"/>
      <c r="N213" s="16"/>
      <c r="O213" s="16"/>
      <c r="P213" s="16"/>
      <c r="Q213" s="16"/>
      <c r="R213" s="16"/>
      <c r="S213" s="16">
        <v>-2.0</v>
      </c>
      <c r="T213" s="16"/>
      <c r="U213" s="16" t="s">
        <v>1224</v>
      </c>
      <c r="V213" s="16" t="s">
        <v>1225</v>
      </c>
      <c r="W213" s="16" t="s">
        <v>188</v>
      </c>
      <c r="X213" s="16" t="s">
        <v>181</v>
      </c>
      <c r="Y213" s="100"/>
      <c r="Z213" s="16" t="s">
        <v>181</v>
      </c>
    </row>
    <row r="214">
      <c r="A214" s="16">
        <v>12704.0</v>
      </c>
      <c r="B214" s="16" t="s">
        <v>1226</v>
      </c>
      <c r="C214" s="16">
        <v>0.0</v>
      </c>
      <c r="D214" s="174" t="s">
        <v>1227</v>
      </c>
      <c r="E214" s="16"/>
      <c r="F214" s="16">
        <v>547.0</v>
      </c>
      <c r="G214" s="16" t="s">
        <v>176</v>
      </c>
      <c r="H214" s="16" t="s">
        <v>25</v>
      </c>
      <c r="I214" s="16" t="s">
        <v>26</v>
      </c>
      <c r="J214" s="16"/>
      <c r="K214" s="16"/>
      <c r="L214" s="16"/>
      <c r="M214" s="16"/>
      <c r="N214" s="16"/>
      <c r="O214" s="16"/>
      <c r="P214" s="16"/>
      <c r="Q214" s="16"/>
      <c r="R214" s="16"/>
      <c r="S214" s="16">
        <v>-2.0</v>
      </c>
      <c r="T214" s="16"/>
      <c r="U214" s="16" t="s">
        <v>1228</v>
      </c>
      <c r="V214" s="16" t="s">
        <v>1229</v>
      </c>
      <c r="W214" s="16" t="s">
        <v>591</v>
      </c>
      <c r="X214" s="16" t="s">
        <v>181</v>
      </c>
      <c r="Y214" s="100"/>
      <c r="Z214" s="16" t="s">
        <v>181</v>
      </c>
    </row>
    <row r="215">
      <c r="A215" s="16">
        <v>12705.0</v>
      </c>
      <c r="B215" s="16" t="s">
        <v>1230</v>
      </c>
      <c r="C215" s="16">
        <v>1.6</v>
      </c>
      <c r="D215" s="174" t="s">
        <v>1231</v>
      </c>
      <c r="E215" s="16"/>
      <c r="F215" s="16">
        <v>572.0</v>
      </c>
      <c r="G215" s="16" t="s">
        <v>306</v>
      </c>
      <c r="H215" s="16" t="s">
        <v>17</v>
      </c>
      <c r="I215" s="16" t="s">
        <v>18</v>
      </c>
      <c r="J215" s="16" t="s">
        <v>19</v>
      </c>
      <c r="K215" s="16"/>
      <c r="L215" s="16"/>
      <c r="M215" s="16"/>
      <c r="N215" s="16"/>
      <c r="O215" s="16"/>
      <c r="P215" s="16"/>
      <c r="Q215" s="16"/>
      <c r="R215" s="16"/>
      <c r="S215" s="16">
        <v>-2.0</v>
      </c>
      <c r="T215" s="16"/>
      <c r="U215" s="16" t="s">
        <v>1232</v>
      </c>
      <c r="V215" s="16" t="s">
        <v>1233</v>
      </c>
      <c r="W215" s="16" t="s">
        <v>188</v>
      </c>
      <c r="X215" s="16" t="s">
        <v>181</v>
      </c>
      <c r="Y215" s="100"/>
      <c r="Z215" s="16" t="s">
        <v>181</v>
      </c>
    </row>
    <row r="216">
      <c r="A216" s="16">
        <v>12706.0</v>
      </c>
      <c r="B216" s="16" t="s">
        <v>1234</v>
      </c>
      <c r="C216" s="16">
        <v>0.25</v>
      </c>
      <c r="D216" s="174" t="s">
        <v>1235</v>
      </c>
      <c r="E216" s="16"/>
      <c r="F216" s="16">
        <v>547.0</v>
      </c>
      <c r="G216" s="16" t="s">
        <v>176</v>
      </c>
      <c r="H216" s="16" t="s">
        <v>13</v>
      </c>
      <c r="I216" s="16" t="s">
        <v>19</v>
      </c>
      <c r="J216" s="16" t="s">
        <v>17</v>
      </c>
      <c r="K216" s="16"/>
      <c r="L216" s="16"/>
      <c r="M216" s="16"/>
      <c r="N216" s="16"/>
      <c r="O216" s="16"/>
      <c r="P216" s="16"/>
      <c r="Q216" s="16"/>
      <c r="R216" s="16"/>
      <c r="S216" s="16">
        <v>-2.0</v>
      </c>
      <c r="T216" s="16"/>
      <c r="U216" s="16" t="s">
        <v>1236</v>
      </c>
      <c r="V216" s="16" t="s">
        <v>1237</v>
      </c>
      <c r="W216" s="16" t="s">
        <v>491</v>
      </c>
      <c r="X216" s="16" t="s">
        <v>181</v>
      </c>
      <c r="Y216" s="100"/>
      <c r="Z216" s="16" t="s">
        <v>181</v>
      </c>
    </row>
    <row r="217">
      <c r="A217" s="16">
        <v>12707.0</v>
      </c>
      <c r="B217" s="16" t="s">
        <v>1238</v>
      </c>
      <c r="C217" s="16">
        <v>0.3</v>
      </c>
      <c r="D217" s="174" t="s">
        <v>1239</v>
      </c>
      <c r="E217" s="16"/>
      <c r="F217" s="16">
        <v>554.0</v>
      </c>
      <c r="G217" s="16" t="s">
        <v>215</v>
      </c>
      <c r="H217" s="16" t="s">
        <v>15</v>
      </c>
      <c r="I217" s="16" t="s">
        <v>14</v>
      </c>
      <c r="J217" s="16"/>
      <c r="K217" s="16"/>
      <c r="L217" s="16"/>
      <c r="M217" s="16"/>
      <c r="N217" s="16"/>
      <c r="O217" s="16"/>
      <c r="P217" s="16"/>
      <c r="Q217" s="16"/>
      <c r="R217" s="16"/>
      <c r="S217" s="16">
        <v>-2.0</v>
      </c>
      <c r="T217" s="16"/>
      <c r="U217" s="16" t="s">
        <v>1240</v>
      </c>
      <c r="V217" s="16" t="s">
        <v>1241</v>
      </c>
      <c r="W217" s="16" t="s">
        <v>199</v>
      </c>
      <c r="X217" s="16" t="s">
        <v>181</v>
      </c>
      <c r="Y217" s="100"/>
      <c r="Z217" s="16" t="s">
        <v>181</v>
      </c>
    </row>
    <row r="218">
      <c r="A218" s="16">
        <v>12708.0</v>
      </c>
      <c r="B218" s="16" t="s">
        <v>1242</v>
      </c>
      <c r="C218" s="16">
        <v>0.95</v>
      </c>
      <c r="D218" s="174" t="s">
        <v>1243</v>
      </c>
      <c r="E218" s="16"/>
      <c r="F218" s="16">
        <v>572.0</v>
      </c>
      <c r="G218" s="16" t="s">
        <v>306</v>
      </c>
      <c r="H218" s="16" t="s">
        <v>12</v>
      </c>
      <c r="I218" s="16" t="s">
        <v>13</v>
      </c>
      <c r="J218" s="16" t="s">
        <v>14</v>
      </c>
      <c r="K218" s="16" t="s">
        <v>17</v>
      </c>
      <c r="L218" s="16"/>
      <c r="M218" s="16"/>
      <c r="N218" s="16"/>
      <c r="O218" s="16"/>
      <c r="P218" s="16"/>
      <c r="Q218" s="16"/>
      <c r="R218" s="16"/>
      <c r="S218" s="16">
        <v>-2.0</v>
      </c>
      <c r="T218" s="16"/>
      <c r="U218" s="16" t="s">
        <v>1244</v>
      </c>
      <c r="V218" s="16" t="s">
        <v>1245</v>
      </c>
      <c r="W218" s="16" t="s">
        <v>675</v>
      </c>
      <c r="X218" s="16" t="s">
        <v>181</v>
      </c>
      <c r="Y218" s="100"/>
      <c r="Z218" s="16" t="s">
        <v>181</v>
      </c>
    </row>
    <row r="219">
      <c r="A219" s="16">
        <v>12709.0</v>
      </c>
      <c r="B219" s="16" t="s">
        <v>1246</v>
      </c>
      <c r="C219" s="16">
        <v>0.31</v>
      </c>
      <c r="D219" s="174" t="s">
        <v>1247</v>
      </c>
      <c r="E219" s="16"/>
      <c r="F219" s="16">
        <v>547.0</v>
      </c>
      <c r="G219" s="16" t="s">
        <v>176</v>
      </c>
      <c r="H219" s="16" t="s">
        <v>24</v>
      </c>
      <c r="I219" s="16" t="s">
        <v>25</v>
      </c>
      <c r="J219" s="16"/>
      <c r="K219" s="16"/>
      <c r="L219" s="16"/>
      <c r="M219" s="16"/>
      <c r="N219" s="16"/>
      <c r="O219" s="16"/>
      <c r="P219" s="16"/>
      <c r="Q219" s="16"/>
      <c r="R219" s="16"/>
      <c r="S219" s="16">
        <v>-2.0</v>
      </c>
      <c r="T219" s="16"/>
      <c r="U219" s="16" t="s">
        <v>1248</v>
      </c>
      <c r="V219" s="16" t="s">
        <v>1249</v>
      </c>
      <c r="W219" s="16" t="s">
        <v>491</v>
      </c>
      <c r="X219" s="16" t="s">
        <v>181</v>
      </c>
      <c r="Y219" s="100"/>
      <c r="Z219" s="16" t="s">
        <v>181</v>
      </c>
    </row>
    <row r="220">
      <c r="A220" s="16">
        <v>12710.0</v>
      </c>
      <c r="B220" s="16" t="s">
        <v>1250</v>
      </c>
      <c r="C220" s="16">
        <v>1.57</v>
      </c>
      <c r="D220" s="174" t="s">
        <v>1251</v>
      </c>
      <c r="E220" s="16"/>
      <c r="F220" s="16">
        <v>566.0</v>
      </c>
      <c r="G220" s="16" t="s">
        <v>277</v>
      </c>
      <c r="H220" s="16" t="s">
        <v>24</v>
      </c>
      <c r="I220" s="16"/>
      <c r="J220" s="16"/>
      <c r="K220" s="16"/>
      <c r="L220" s="16"/>
      <c r="M220" s="16"/>
      <c r="N220" s="16"/>
      <c r="O220" s="16"/>
      <c r="P220" s="16"/>
      <c r="Q220" s="16"/>
      <c r="R220" s="16"/>
      <c r="S220" s="16">
        <v>-2.0</v>
      </c>
      <c r="T220" s="16"/>
      <c r="U220" s="16" t="s">
        <v>1252</v>
      </c>
      <c r="V220" s="16" t="s">
        <v>1253</v>
      </c>
      <c r="W220" s="16" t="s">
        <v>231</v>
      </c>
      <c r="X220" s="16" t="s">
        <v>181</v>
      </c>
      <c r="Y220" s="100"/>
      <c r="Z220" s="16" t="s">
        <v>181</v>
      </c>
    </row>
    <row r="221">
      <c r="A221" s="16">
        <v>12711.0</v>
      </c>
      <c r="B221" s="16" t="s">
        <v>1254</v>
      </c>
      <c r="C221" s="16">
        <v>1.44</v>
      </c>
      <c r="D221" s="174" t="s">
        <v>1255</v>
      </c>
      <c r="E221" s="16"/>
      <c r="F221" s="16">
        <v>584.0</v>
      </c>
      <c r="G221" s="16" t="s">
        <v>361</v>
      </c>
      <c r="H221" s="16" t="s">
        <v>18</v>
      </c>
      <c r="I221" s="16" t="s">
        <v>19</v>
      </c>
      <c r="J221" s="16"/>
      <c r="K221" s="16"/>
      <c r="L221" s="16"/>
      <c r="M221" s="16"/>
      <c r="N221" s="16"/>
      <c r="O221" s="16"/>
      <c r="P221" s="16"/>
      <c r="Q221" s="16"/>
      <c r="R221" s="16"/>
      <c r="S221" s="16">
        <v>-2.0</v>
      </c>
      <c r="T221" s="174" t="s">
        <v>1256</v>
      </c>
      <c r="U221" s="16" t="s">
        <v>1257</v>
      </c>
      <c r="V221" s="16" t="s">
        <v>1258</v>
      </c>
      <c r="W221" s="16" t="s">
        <v>188</v>
      </c>
      <c r="X221" s="16" t="s">
        <v>181</v>
      </c>
      <c r="Y221" s="100"/>
      <c r="Z221" s="16" t="s">
        <v>181</v>
      </c>
    </row>
    <row r="222">
      <c r="A222" s="16">
        <v>12712.0</v>
      </c>
      <c r="B222" s="16" t="s">
        <v>1259</v>
      </c>
      <c r="C222" s="16">
        <v>0.0</v>
      </c>
      <c r="D222" s="174" t="s">
        <v>1260</v>
      </c>
      <c r="E222" s="16"/>
      <c r="F222" s="16">
        <v>547.0</v>
      </c>
      <c r="G222" s="16" t="s">
        <v>176</v>
      </c>
      <c r="H222" s="16" t="s">
        <v>19</v>
      </c>
      <c r="I222" s="16" t="s">
        <v>17</v>
      </c>
      <c r="J222" s="16" t="s">
        <v>18</v>
      </c>
      <c r="K222" s="16"/>
      <c r="L222" s="16"/>
      <c r="M222" s="16"/>
      <c r="N222" s="16"/>
      <c r="O222" s="16"/>
      <c r="P222" s="16"/>
      <c r="Q222" s="16"/>
      <c r="R222" s="16"/>
      <c r="S222" s="16">
        <v>-2.0</v>
      </c>
      <c r="T222" s="16"/>
      <c r="U222" s="16" t="s">
        <v>1261</v>
      </c>
      <c r="V222" s="16" t="s">
        <v>1262</v>
      </c>
      <c r="W222" s="16" t="s">
        <v>332</v>
      </c>
      <c r="X222" s="16" t="s">
        <v>181</v>
      </c>
      <c r="Y222" s="100"/>
      <c r="Z222" s="16" t="s">
        <v>181</v>
      </c>
    </row>
    <row r="223">
      <c r="A223" s="16">
        <v>12713.0</v>
      </c>
      <c r="B223" s="16" t="s">
        <v>1263</v>
      </c>
      <c r="C223" s="16">
        <v>2.72</v>
      </c>
      <c r="D223" s="174" t="s">
        <v>1264</v>
      </c>
      <c r="E223" s="16"/>
      <c r="F223" s="16">
        <v>575.0</v>
      </c>
      <c r="G223" s="16" t="s">
        <v>212</v>
      </c>
      <c r="H223" s="16" t="s">
        <v>16</v>
      </c>
      <c r="I223" s="16"/>
      <c r="J223" s="16"/>
      <c r="K223" s="16"/>
      <c r="L223" s="16"/>
      <c r="M223" s="16"/>
      <c r="N223" s="16"/>
      <c r="O223" s="16"/>
      <c r="P223" s="16"/>
      <c r="Q223" s="16"/>
      <c r="R223" s="16"/>
      <c r="S223" s="16">
        <v>-2.0</v>
      </c>
      <c r="T223" s="16"/>
      <c r="U223" s="16" t="s">
        <v>1265</v>
      </c>
      <c r="V223" s="16" t="s">
        <v>1266</v>
      </c>
      <c r="W223" s="16" t="s">
        <v>722</v>
      </c>
      <c r="X223" s="16" t="s">
        <v>181</v>
      </c>
      <c r="Y223" s="100"/>
      <c r="Z223" s="16" t="s">
        <v>181</v>
      </c>
    </row>
    <row r="224">
      <c r="A224" s="16">
        <v>12714.0</v>
      </c>
      <c r="B224" s="16" t="s">
        <v>1267</v>
      </c>
      <c r="C224" s="16">
        <v>0.0</v>
      </c>
      <c r="D224" s="174" t="s">
        <v>1268</v>
      </c>
      <c r="E224" s="16"/>
      <c r="F224" s="16">
        <v>590.0</v>
      </c>
      <c r="G224" s="16" t="s">
        <v>387</v>
      </c>
      <c r="H224" s="16" t="s">
        <v>25</v>
      </c>
      <c r="I224" s="16" t="s">
        <v>26</v>
      </c>
      <c r="J224" s="16"/>
      <c r="K224" s="16"/>
      <c r="L224" s="16"/>
      <c r="M224" s="16"/>
      <c r="N224" s="16"/>
      <c r="O224" s="16"/>
      <c r="P224" s="16"/>
      <c r="Q224" s="16"/>
      <c r="R224" s="16"/>
      <c r="S224" s="16">
        <v>-2.0</v>
      </c>
      <c r="T224" s="16"/>
      <c r="U224" s="16" t="s">
        <v>1269</v>
      </c>
      <c r="V224" s="16" t="s">
        <v>1270</v>
      </c>
      <c r="W224" s="16" t="s">
        <v>179</v>
      </c>
      <c r="X224" s="16" t="s">
        <v>181</v>
      </c>
      <c r="Y224" s="100"/>
      <c r="Z224" s="16" t="s">
        <v>181</v>
      </c>
    </row>
    <row r="225">
      <c r="A225" s="16">
        <v>12715.0</v>
      </c>
      <c r="B225" s="16" t="s">
        <v>1271</v>
      </c>
      <c r="C225" s="16">
        <v>0.52</v>
      </c>
      <c r="D225" s="174" t="s">
        <v>1272</v>
      </c>
      <c r="E225" s="16"/>
      <c r="F225" s="16">
        <v>547.0</v>
      </c>
      <c r="G225" s="16" t="s">
        <v>176</v>
      </c>
      <c r="H225" s="16" t="s">
        <v>24</v>
      </c>
      <c r="I225" s="16"/>
      <c r="J225" s="16"/>
      <c r="K225" s="16"/>
      <c r="L225" s="16"/>
      <c r="M225" s="16"/>
      <c r="N225" s="16"/>
      <c r="O225" s="16"/>
      <c r="P225" s="16"/>
      <c r="Q225" s="16"/>
      <c r="R225" s="16"/>
      <c r="S225" s="16">
        <v>-2.0</v>
      </c>
      <c r="T225" s="16"/>
      <c r="U225" s="16" t="s">
        <v>1273</v>
      </c>
      <c r="V225" s="16" t="s">
        <v>1274</v>
      </c>
      <c r="W225" s="16" t="s">
        <v>459</v>
      </c>
      <c r="X225" s="16" t="s">
        <v>181</v>
      </c>
      <c r="Y225" s="100"/>
      <c r="Z225" s="16" t="s">
        <v>181</v>
      </c>
    </row>
    <row r="226">
      <c r="A226" s="16">
        <v>12716.0</v>
      </c>
      <c r="B226" s="16" t="s">
        <v>1275</v>
      </c>
      <c r="C226" s="16">
        <v>0.0</v>
      </c>
      <c r="D226" s="174" t="s">
        <v>1276</v>
      </c>
      <c r="E226" s="16"/>
      <c r="F226" s="16">
        <v>547.0</v>
      </c>
      <c r="G226" s="16" t="s">
        <v>176</v>
      </c>
      <c r="H226" s="16" t="s">
        <v>18</v>
      </c>
      <c r="I226" s="16" t="s">
        <v>17</v>
      </c>
      <c r="J226" s="16" t="s">
        <v>19</v>
      </c>
      <c r="K226" s="16"/>
      <c r="L226" s="16"/>
      <c r="M226" s="16"/>
      <c r="N226" s="16"/>
      <c r="O226" s="16"/>
      <c r="P226" s="16"/>
      <c r="Q226" s="16"/>
      <c r="R226" s="16"/>
      <c r="S226" s="16">
        <v>-2.0</v>
      </c>
      <c r="T226" s="16"/>
      <c r="U226" s="16" t="s">
        <v>1277</v>
      </c>
      <c r="V226" s="16" t="s">
        <v>1278</v>
      </c>
      <c r="W226" s="16" t="s">
        <v>360</v>
      </c>
      <c r="X226" s="16" t="s">
        <v>181</v>
      </c>
      <c r="Y226" s="100"/>
      <c r="Z226" s="16" t="s">
        <v>181</v>
      </c>
    </row>
    <row r="227">
      <c r="A227" s="16">
        <v>12717.0</v>
      </c>
      <c r="B227" s="16" t="s">
        <v>1279</v>
      </c>
      <c r="C227" s="16">
        <v>1.68</v>
      </c>
      <c r="D227" s="174" t="s">
        <v>1280</v>
      </c>
      <c r="E227" s="16"/>
      <c r="F227" s="16">
        <v>554.0</v>
      </c>
      <c r="G227" s="16" t="s">
        <v>215</v>
      </c>
      <c r="H227" s="16" t="s">
        <v>24</v>
      </c>
      <c r="I227" s="16"/>
      <c r="J227" s="16"/>
      <c r="K227" s="16"/>
      <c r="L227" s="16"/>
      <c r="M227" s="16"/>
      <c r="N227" s="16"/>
      <c r="O227" s="16"/>
      <c r="P227" s="16"/>
      <c r="Q227" s="16"/>
      <c r="R227" s="16"/>
      <c r="S227" s="16">
        <v>-2.0</v>
      </c>
      <c r="T227" s="16"/>
      <c r="U227" s="16" t="s">
        <v>1281</v>
      </c>
      <c r="V227" s="16" t="s">
        <v>1282</v>
      </c>
      <c r="W227" s="16" t="s">
        <v>188</v>
      </c>
      <c r="X227" s="16" t="s">
        <v>181</v>
      </c>
      <c r="Y227" s="100"/>
      <c r="Z227" s="16" t="s">
        <v>181</v>
      </c>
    </row>
    <row r="228">
      <c r="A228" s="16">
        <v>12718.0</v>
      </c>
      <c r="B228" s="16" t="s">
        <v>1283</v>
      </c>
      <c r="C228" s="16">
        <v>0.42</v>
      </c>
      <c r="D228" s="174" t="s">
        <v>1284</v>
      </c>
      <c r="E228" s="16"/>
      <c r="F228" s="16">
        <v>547.0</v>
      </c>
      <c r="G228" s="16" t="s">
        <v>176</v>
      </c>
      <c r="H228" s="16" t="s">
        <v>12</v>
      </c>
      <c r="I228" s="16"/>
      <c r="J228" s="16"/>
      <c r="K228" s="16"/>
      <c r="L228" s="16"/>
      <c r="M228" s="16"/>
      <c r="N228" s="16"/>
      <c r="O228" s="16"/>
      <c r="P228" s="16"/>
      <c r="Q228" s="16"/>
      <c r="R228" s="16"/>
      <c r="S228" s="16">
        <v>-2.0</v>
      </c>
      <c r="T228" s="16"/>
      <c r="U228" s="16" t="s">
        <v>1285</v>
      </c>
      <c r="V228" s="16" t="s">
        <v>1286</v>
      </c>
      <c r="W228" s="16" t="s">
        <v>399</v>
      </c>
      <c r="X228" s="16" t="s">
        <v>181</v>
      </c>
      <c r="Y228" s="100"/>
      <c r="Z228" s="16" t="s">
        <v>181</v>
      </c>
    </row>
    <row r="229">
      <c r="A229" s="16">
        <v>12719.0</v>
      </c>
      <c r="B229" s="16" t="s">
        <v>1287</v>
      </c>
      <c r="C229" s="16">
        <v>0.0</v>
      </c>
      <c r="D229" s="174" t="s">
        <v>1288</v>
      </c>
      <c r="E229" s="16"/>
      <c r="F229" s="16">
        <v>547.0</v>
      </c>
      <c r="G229" s="16" t="s">
        <v>176</v>
      </c>
      <c r="H229" s="16" t="s">
        <v>14</v>
      </c>
      <c r="I229" s="16" t="s">
        <v>15</v>
      </c>
      <c r="J229" s="16" t="s">
        <v>13</v>
      </c>
      <c r="K229" s="16"/>
      <c r="L229" s="16"/>
      <c r="M229" s="16"/>
      <c r="N229" s="16"/>
      <c r="O229" s="16"/>
      <c r="P229" s="16"/>
      <c r="Q229" s="16"/>
      <c r="R229" s="16"/>
      <c r="S229" s="16">
        <v>-2.0</v>
      </c>
      <c r="T229" s="16"/>
      <c r="U229" s="16" t="s">
        <v>1289</v>
      </c>
      <c r="V229" s="16" t="s">
        <v>1290</v>
      </c>
      <c r="W229" s="16" t="s">
        <v>199</v>
      </c>
      <c r="X229" s="16" t="s">
        <v>181</v>
      </c>
      <c r="Y229" s="100"/>
      <c r="Z229" s="16" t="s">
        <v>181</v>
      </c>
    </row>
    <row r="230">
      <c r="A230" s="16">
        <v>12720.0</v>
      </c>
      <c r="B230" s="16" t="s">
        <v>1291</v>
      </c>
      <c r="C230" s="16">
        <v>0.22</v>
      </c>
      <c r="D230" s="174" t="s">
        <v>1292</v>
      </c>
      <c r="E230" s="16"/>
      <c r="F230" s="16">
        <v>560.0</v>
      </c>
      <c r="G230" s="16" t="s">
        <v>245</v>
      </c>
      <c r="H230" s="16" t="s">
        <v>17</v>
      </c>
      <c r="I230" s="16" t="s">
        <v>18</v>
      </c>
      <c r="J230" s="16" t="s">
        <v>19</v>
      </c>
      <c r="K230" s="16"/>
      <c r="L230" s="16"/>
      <c r="M230" s="16"/>
      <c r="N230" s="16"/>
      <c r="O230" s="16"/>
      <c r="P230" s="16"/>
      <c r="Q230" s="16"/>
      <c r="R230" s="16"/>
      <c r="S230" s="16">
        <v>-2.0</v>
      </c>
      <c r="T230" s="16"/>
      <c r="U230" s="16" t="s">
        <v>1293</v>
      </c>
      <c r="V230" s="16" t="s">
        <v>1294</v>
      </c>
      <c r="W230" s="16" t="s">
        <v>360</v>
      </c>
      <c r="X230" s="16" t="s">
        <v>181</v>
      </c>
      <c r="Y230" s="100"/>
      <c r="Z230" s="16" t="s">
        <v>181</v>
      </c>
    </row>
    <row r="231">
      <c r="A231" s="16">
        <v>12721.0</v>
      </c>
      <c r="B231" s="16" t="s">
        <v>1295</v>
      </c>
      <c r="C231" s="16">
        <v>0.0</v>
      </c>
      <c r="D231" s="174" t="s">
        <v>1296</v>
      </c>
      <c r="E231" s="16"/>
      <c r="F231" s="16">
        <v>547.0</v>
      </c>
      <c r="G231" s="16" t="s">
        <v>176</v>
      </c>
      <c r="H231" s="16" t="s">
        <v>24</v>
      </c>
      <c r="I231" s="16"/>
      <c r="J231" s="16"/>
      <c r="K231" s="16"/>
      <c r="L231" s="16"/>
      <c r="M231" s="16"/>
      <c r="N231" s="16"/>
      <c r="O231" s="16"/>
      <c r="P231" s="16"/>
      <c r="Q231" s="16"/>
      <c r="R231" s="16"/>
      <c r="S231" s="16">
        <v>-2.0</v>
      </c>
      <c r="T231" s="16"/>
      <c r="U231" s="16" t="s">
        <v>1297</v>
      </c>
      <c r="V231" s="16" t="s">
        <v>1298</v>
      </c>
      <c r="W231" s="16" t="s">
        <v>259</v>
      </c>
      <c r="X231" s="16" t="s">
        <v>181</v>
      </c>
      <c r="Y231" s="100"/>
      <c r="Z231" s="16" t="s">
        <v>181</v>
      </c>
    </row>
    <row r="232">
      <c r="A232" s="16">
        <v>12722.0</v>
      </c>
      <c r="B232" s="16" t="s">
        <v>1299</v>
      </c>
      <c r="C232" s="16">
        <v>0.0</v>
      </c>
      <c r="D232" s="174" t="s">
        <v>1300</v>
      </c>
      <c r="E232" s="16"/>
      <c r="F232" s="16">
        <v>547.0</v>
      </c>
      <c r="G232" s="16" t="s">
        <v>176</v>
      </c>
      <c r="H232" s="16" t="s">
        <v>24</v>
      </c>
      <c r="I232" s="16" t="s">
        <v>25</v>
      </c>
      <c r="J232" s="16"/>
      <c r="K232" s="16"/>
      <c r="L232" s="16"/>
      <c r="M232" s="16"/>
      <c r="N232" s="16"/>
      <c r="O232" s="16"/>
      <c r="P232" s="16"/>
      <c r="Q232" s="16"/>
      <c r="R232" s="16"/>
      <c r="S232" s="16">
        <v>-2.0</v>
      </c>
      <c r="T232" s="16"/>
      <c r="U232" s="16" t="s">
        <v>1301</v>
      </c>
      <c r="V232" s="16" t="s">
        <v>1302</v>
      </c>
      <c r="W232" s="16" t="s">
        <v>259</v>
      </c>
      <c r="X232" s="16" t="s">
        <v>181</v>
      </c>
      <c r="Y232" s="100"/>
      <c r="Z232" s="16" t="s">
        <v>181</v>
      </c>
    </row>
    <row r="233">
      <c r="A233" s="16">
        <v>12723.0</v>
      </c>
      <c r="B233" s="16" t="s">
        <v>1303</v>
      </c>
      <c r="C233" s="16">
        <v>0.8</v>
      </c>
      <c r="D233" s="174" t="s">
        <v>1304</v>
      </c>
      <c r="E233" s="16"/>
      <c r="F233" s="16">
        <v>547.0</v>
      </c>
      <c r="G233" s="16" t="s">
        <v>176</v>
      </c>
      <c r="H233" s="16" t="s">
        <v>19</v>
      </c>
      <c r="I233" s="16" t="s">
        <v>17</v>
      </c>
      <c r="J233" s="16" t="s">
        <v>18</v>
      </c>
      <c r="K233" s="16"/>
      <c r="L233" s="16"/>
      <c r="M233" s="16"/>
      <c r="N233" s="16"/>
      <c r="O233" s="16"/>
      <c r="P233" s="16"/>
      <c r="Q233" s="16"/>
      <c r="R233" s="16"/>
      <c r="S233" s="16">
        <v>-2.0</v>
      </c>
      <c r="T233" s="16"/>
      <c r="U233" s="16" t="s">
        <v>1305</v>
      </c>
      <c r="V233" s="16" t="s">
        <v>1306</v>
      </c>
      <c r="W233" s="16" t="s">
        <v>459</v>
      </c>
      <c r="X233" s="16" t="s">
        <v>181</v>
      </c>
      <c r="Y233" s="100"/>
      <c r="Z233" s="16" t="s">
        <v>181</v>
      </c>
    </row>
    <row r="234">
      <c r="A234" s="16">
        <v>12724.0</v>
      </c>
      <c r="B234" s="16" t="s">
        <v>1307</v>
      </c>
      <c r="C234" s="16">
        <v>1.46</v>
      </c>
      <c r="D234" s="174" t="s">
        <v>1308</v>
      </c>
      <c r="E234" s="16"/>
      <c r="F234" s="16">
        <v>587.0</v>
      </c>
      <c r="G234" s="16" t="s">
        <v>289</v>
      </c>
      <c r="H234" s="16" t="s">
        <v>25</v>
      </c>
      <c r="I234" s="16" t="s">
        <v>26</v>
      </c>
      <c r="J234" s="16"/>
      <c r="K234" s="16"/>
      <c r="L234" s="16"/>
      <c r="M234" s="16"/>
      <c r="N234" s="16"/>
      <c r="O234" s="16"/>
      <c r="P234" s="16"/>
      <c r="Q234" s="16"/>
      <c r="R234" s="16"/>
      <c r="S234" s="16">
        <v>-2.0</v>
      </c>
      <c r="T234" s="16"/>
      <c r="U234" s="16" t="s">
        <v>1309</v>
      </c>
      <c r="V234" s="16" t="s">
        <v>1310</v>
      </c>
      <c r="W234" s="16" t="s">
        <v>422</v>
      </c>
      <c r="X234" s="16" t="s">
        <v>181</v>
      </c>
      <c r="Y234" s="100"/>
      <c r="Z234" s="16" t="s">
        <v>181</v>
      </c>
    </row>
    <row r="235">
      <c r="A235" s="16">
        <v>12725.0</v>
      </c>
      <c r="B235" s="16" t="s">
        <v>1311</v>
      </c>
      <c r="C235" s="16">
        <v>0.38</v>
      </c>
      <c r="D235" s="174" t="s">
        <v>1312</v>
      </c>
      <c r="E235" s="16"/>
      <c r="F235" s="16">
        <v>578.0</v>
      </c>
      <c r="G235" s="16" t="s">
        <v>333</v>
      </c>
      <c r="H235" s="16" t="s">
        <v>25</v>
      </c>
      <c r="I235" s="16" t="s">
        <v>26</v>
      </c>
      <c r="J235" s="16"/>
      <c r="K235" s="16"/>
      <c r="L235" s="16"/>
      <c r="M235" s="16"/>
      <c r="N235" s="16"/>
      <c r="O235" s="16"/>
      <c r="P235" s="16"/>
      <c r="Q235" s="16"/>
      <c r="R235" s="16"/>
      <c r="S235" s="16">
        <v>-2.0</v>
      </c>
      <c r="T235" s="16"/>
      <c r="U235" s="16" t="s">
        <v>1313</v>
      </c>
      <c r="V235" s="16" t="s">
        <v>1314</v>
      </c>
      <c r="W235" s="16" t="s">
        <v>179</v>
      </c>
      <c r="X235" s="16" t="s">
        <v>181</v>
      </c>
      <c r="Y235" s="100"/>
      <c r="Z235" s="16" t="s">
        <v>181</v>
      </c>
    </row>
    <row r="236">
      <c r="A236" s="16">
        <v>12726.0</v>
      </c>
      <c r="B236" s="16" t="s">
        <v>1315</v>
      </c>
      <c r="C236" s="16">
        <v>1.5</v>
      </c>
      <c r="D236" s="174" t="s">
        <v>1316</v>
      </c>
      <c r="E236" s="16"/>
      <c r="F236" s="16">
        <v>556.0</v>
      </c>
      <c r="G236" s="16" t="s">
        <v>1317</v>
      </c>
      <c r="H236" s="16" t="s">
        <v>24</v>
      </c>
      <c r="I236" s="16" t="s">
        <v>25</v>
      </c>
      <c r="J236" s="16" t="s">
        <v>26</v>
      </c>
      <c r="K236" s="16"/>
      <c r="L236" s="16"/>
      <c r="M236" s="16"/>
      <c r="N236" s="16"/>
      <c r="O236" s="16"/>
      <c r="P236" s="16"/>
      <c r="Q236" s="16"/>
      <c r="R236" s="16"/>
      <c r="S236" s="16">
        <v>-2.0</v>
      </c>
      <c r="T236" s="16"/>
      <c r="U236" s="16" t="s">
        <v>1318</v>
      </c>
      <c r="V236" s="16" t="s">
        <v>1319</v>
      </c>
      <c r="W236" s="16" t="s">
        <v>332</v>
      </c>
      <c r="X236" s="16" t="s">
        <v>181</v>
      </c>
      <c r="Y236" s="100"/>
      <c r="Z236" s="16" t="s">
        <v>181</v>
      </c>
    </row>
    <row r="237">
      <c r="A237" s="16">
        <v>12727.0</v>
      </c>
      <c r="B237" s="16" t="s">
        <v>1320</v>
      </c>
      <c r="C237" s="16">
        <v>0.55</v>
      </c>
      <c r="D237" s="174" t="s">
        <v>1321</v>
      </c>
      <c r="E237" s="16"/>
      <c r="F237" s="16">
        <v>547.0</v>
      </c>
      <c r="G237" s="16" t="s">
        <v>176</v>
      </c>
      <c r="H237" s="16" t="s">
        <v>16</v>
      </c>
      <c r="I237" s="16" t="s">
        <v>18</v>
      </c>
      <c r="J237" s="16" t="s">
        <v>15</v>
      </c>
      <c r="K237" s="16" t="s">
        <v>19</v>
      </c>
      <c r="L237" s="16" t="s">
        <v>14</v>
      </c>
      <c r="M237" s="16" t="s">
        <v>17</v>
      </c>
      <c r="N237" s="16"/>
      <c r="O237" s="16"/>
      <c r="P237" s="16"/>
      <c r="Q237" s="16"/>
      <c r="R237" s="16"/>
      <c r="S237" s="16">
        <v>-2.0</v>
      </c>
      <c r="T237" s="16"/>
      <c r="U237" s="16" t="s">
        <v>1322</v>
      </c>
      <c r="V237" s="16" t="s">
        <v>1323</v>
      </c>
      <c r="W237" s="16" t="s">
        <v>360</v>
      </c>
      <c r="X237" s="16" t="s">
        <v>181</v>
      </c>
      <c r="Y237" s="100"/>
      <c r="Z237" s="16" t="s">
        <v>181</v>
      </c>
    </row>
    <row r="238">
      <c r="A238" s="16">
        <v>12728.0</v>
      </c>
      <c r="B238" s="16" t="s">
        <v>1324</v>
      </c>
      <c r="C238" s="16">
        <v>0.0</v>
      </c>
      <c r="D238" s="174" t="s">
        <v>1325</v>
      </c>
      <c r="E238" s="16"/>
      <c r="F238" s="16">
        <v>547.0</v>
      </c>
      <c r="G238" s="16" t="s">
        <v>176</v>
      </c>
      <c r="H238" s="16" t="s">
        <v>51</v>
      </c>
      <c r="I238" s="16"/>
      <c r="J238" s="16"/>
      <c r="K238" s="16"/>
      <c r="L238" s="16"/>
      <c r="M238" s="16"/>
      <c r="N238" s="16"/>
      <c r="O238" s="16"/>
      <c r="P238" s="16"/>
      <c r="Q238" s="16"/>
      <c r="R238" s="16"/>
      <c r="S238" s="16">
        <v>-2.0</v>
      </c>
      <c r="T238" s="16"/>
      <c r="U238" s="16" t="s">
        <v>1326</v>
      </c>
      <c r="V238" s="16" t="s">
        <v>1327</v>
      </c>
      <c r="W238" s="16" t="s">
        <v>199</v>
      </c>
      <c r="X238" s="16" t="s">
        <v>181</v>
      </c>
      <c r="Y238" s="100"/>
      <c r="Z238" s="16" t="s">
        <v>181</v>
      </c>
    </row>
    <row r="239">
      <c r="A239" s="16">
        <v>12729.0</v>
      </c>
      <c r="B239" s="16" t="s">
        <v>1328</v>
      </c>
      <c r="C239" s="16">
        <v>0.63</v>
      </c>
      <c r="D239" s="174" t="s">
        <v>1329</v>
      </c>
      <c r="E239" s="16"/>
      <c r="F239" s="16">
        <v>551.0</v>
      </c>
      <c r="G239" s="16" t="s">
        <v>200</v>
      </c>
      <c r="H239" s="16" t="s">
        <v>12</v>
      </c>
      <c r="I239" s="16"/>
      <c r="J239" s="16"/>
      <c r="K239" s="16"/>
      <c r="L239" s="16"/>
      <c r="M239" s="16"/>
      <c r="N239" s="16"/>
      <c r="O239" s="16"/>
      <c r="P239" s="16"/>
      <c r="Q239" s="16"/>
      <c r="R239" s="16"/>
      <c r="S239" s="16">
        <v>-2.0</v>
      </c>
      <c r="T239" s="16"/>
      <c r="U239" s="16" t="s">
        <v>1330</v>
      </c>
      <c r="V239" s="16" t="s">
        <v>1331</v>
      </c>
      <c r="W239" s="16" t="s">
        <v>661</v>
      </c>
      <c r="X239" s="16" t="s">
        <v>181</v>
      </c>
      <c r="Y239" s="100"/>
      <c r="Z239" s="16" t="s">
        <v>181</v>
      </c>
    </row>
    <row r="240">
      <c r="A240" s="16">
        <v>12730.0</v>
      </c>
      <c r="B240" s="16" t="s">
        <v>1332</v>
      </c>
      <c r="C240" s="16">
        <v>0.0</v>
      </c>
      <c r="D240" s="174" t="s">
        <v>1333</v>
      </c>
      <c r="E240" s="16"/>
      <c r="F240" s="16">
        <v>547.0</v>
      </c>
      <c r="G240" s="16" t="s">
        <v>176</v>
      </c>
      <c r="H240" s="16" t="s">
        <v>15</v>
      </c>
      <c r="I240" s="16" t="s">
        <v>14</v>
      </c>
      <c r="J240" s="16"/>
      <c r="K240" s="16"/>
      <c r="L240" s="16"/>
      <c r="M240" s="16"/>
      <c r="N240" s="16"/>
      <c r="O240" s="16"/>
      <c r="P240" s="16"/>
      <c r="Q240" s="16"/>
      <c r="R240" s="16"/>
      <c r="S240" s="16">
        <v>-2.0</v>
      </c>
      <c r="T240" s="16"/>
      <c r="U240" s="16" t="s">
        <v>1334</v>
      </c>
      <c r="V240" s="16" t="s">
        <v>1335</v>
      </c>
      <c r="W240" s="16" t="s">
        <v>332</v>
      </c>
      <c r="X240" s="16" t="s">
        <v>181</v>
      </c>
      <c r="Y240" s="100"/>
      <c r="Z240" s="16" t="s">
        <v>181</v>
      </c>
    </row>
    <row r="241">
      <c r="A241" s="16">
        <v>12731.0</v>
      </c>
      <c r="B241" s="16" t="s">
        <v>1336</v>
      </c>
      <c r="C241" s="16">
        <v>0.0</v>
      </c>
      <c r="D241" s="174" t="s">
        <v>1337</v>
      </c>
      <c r="E241" s="16"/>
      <c r="F241" s="16">
        <v>578.0</v>
      </c>
      <c r="G241" s="16" t="s">
        <v>333</v>
      </c>
      <c r="H241" s="16" t="s">
        <v>25</v>
      </c>
      <c r="I241" s="16"/>
      <c r="J241" s="16"/>
      <c r="K241" s="16"/>
      <c r="L241" s="16"/>
      <c r="M241" s="16"/>
      <c r="N241" s="16"/>
      <c r="O241" s="16"/>
      <c r="P241" s="16"/>
      <c r="Q241" s="16"/>
      <c r="R241" s="16"/>
      <c r="S241" s="16">
        <v>-2.0</v>
      </c>
      <c r="T241" s="16"/>
      <c r="U241" s="16" t="s">
        <v>1338</v>
      </c>
      <c r="V241" s="16" t="s">
        <v>1339</v>
      </c>
      <c r="W241" s="16" t="s">
        <v>332</v>
      </c>
      <c r="X241" s="16" t="s">
        <v>181</v>
      </c>
      <c r="Y241" s="100"/>
      <c r="Z241" s="16" t="s">
        <v>181</v>
      </c>
    </row>
    <row r="242">
      <c r="A242" s="16">
        <v>12732.0</v>
      </c>
      <c r="B242" s="16" t="s">
        <v>1340</v>
      </c>
      <c r="C242" s="16">
        <v>1.96</v>
      </c>
      <c r="D242" s="174" t="s">
        <v>1341</v>
      </c>
      <c r="E242" s="16"/>
      <c r="F242" s="16">
        <v>578.0</v>
      </c>
      <c r="G242" s="16" t="s">
        <v>333</v>
      </c>
      <c r="H242" s="16" t="s">
        <v>16</v>
      </c>
      <c r="I242" s="16"/>
      <c r="J242" s="16"/>
      <c r="K242" s="16"/>
      <c r="L242" s="16"/>
      <c r="M242" s="16"/>
      <c r="N242" s="16"/>
      <c r="O242" s="16"/>
      <c r="P242" s="16"/>
      <c r="Q242" s="16"/>
      <c r="R242" s="16"/>
      <c r="S242" s="16">
        <v>-2.0</v>
      </c>
      <c r="T242" s="16"/>
      <c r="U242" s="16" t="s">
        <v>1342</v>
      </c>
      <c r="V242" s="16" t="s">
        <v>1343</v>
      </c>
      <c r="W242" s="16" t="s">
        <v>188</v>
      </c>
      <c r="X242" s="16" t="s">
        <v>181</v>
      </c>
      <c r="Y242" s="100"/>
      <c r="Z242" s="16" t="s">
        <v>181</v>
      </c>
    </row>
    <row r="243">
      <c r="A243" s="16">
        <v>12733.0</v>
      </c>
      <c r="B243" s="16" t="s">
        <v>1344</v>
      </c>
      <c r="C243" s="16">
        <v>0.0</v>
      </c>
      <c r="D243" s="174" t="s">
        <v>1345</v>
      </c>
      <c r="E243" s="16"/>
      <c r="F243" s="16">
        <v>547.0</v>
      </c>
      <c r="G243" s="16" t="s">
        <v>176</v>
      </c>
      <c r="H243" s="16" t="s">
        <v>25</v>
      </c>
      <c r="I243" s="16" t="s">
        <v>26</v>
      </c>
      <c r="J243" s="16"/>
      <c r="K243" s="16"/>
      <c r="L243" s="16"/>
      <c r="M243" s="16"/>
      <c r="N243" s="16"/>
      <c r="O243" s="16"/>
      <c r="P243" s="16"/>
      <c r="Q243" s="16"/>
      <c r="R243" s="16"/>
      <c r="S243" s="16">
        <v>-2.0</v>
      </c>
      <c r="T243" s="16"/>
      <c r="U243" s="16" t="s">
        <v>1346</v>
      </c>
      <c r="V243" s="16" t="s">
        <v>1347</v>
      </c>
      <c r="W243" s="16" t="s">
        <v>591</v>
      </c>
      <c r="X243" s="16" t="s">
        <v>181</v>
      </c>
      <c r="Y243" s="100"/>
      <c r="Z243" s="16" t="s">
        <v>181</v>
      </c>
    </row>
    <row r="244">
      <c r="A244" s="16">
        <v>12734.0</v>
      </c>
      <c r="B244" s="16" t="s">
        <v>1348</v>
      </c>
      <c r="C244" s="16">
        <v>0.0</v>
      </c>
      <c r="D244" s="174" t="s">
        <v>1349</v>
      </c>
      <c r="E244" s="16"/>
      <c r="F244" s="16">
        <v>547.0</v>
      </c>
      <c r="G244" s="16" t="s">
        <v>176</v>
      </c>
      <c r="H244" s="16" t="s">
        <v>15</v>
      </c>
      <c r="I244" s="16" t="s">
        <v>16</v>
      </c>
      <c r="J244" s="16" t="s">
        <v>14</v>
      </c>
      <c r="K244" s="16"/>
      <c r="L244" s="16"/>
      <c r="M244" s="16"/>
      <c r="N244" s="16"/>
      <c r="O244" s="16"/>
      <c r="P244" s="16"/>
      <c r="Q244" s="16"/>
      <c r="R244" s="16"/>
      <c r="S244" s="16">
        <v>-2.0</v>
      </c>
      <c r="T244" s="16"/>
      <c r="U244" s="16" t="s">
        <v>1350</v>
      </c>
      <c r="V244" s="16" t="s">
        <v>1351</v>
      </c>
      <c r="W244" s="16" t="s">
        <v>422</v>
      </c>
      <c r="X244" s="16" t="s">
        <v>181</v>
      </c>
      <c r="Y244" s="100"/>
      <c r="Z244" s="16" t="s">
        <v>181</v>
      </c>
    </row>
    <row r="245">
      <c r="A245" s="16">
        <v>12735.0</v>
      </c>
      <c r="B245" s="16" t="s">
        <v>1352</v>
      </c>
      <c r="C245" s="16">
        <v>0.0</v>
      </c>
      <c r="D245" s="174" t="s">
        <v>1353</v>
      </c>
      <c r="E245" s="16"/>
      <c r="F245" s="16">
        <v>547.0</v>
      </c>
      <c r="G245" s="16" t="s">
        <v>176</v>
      </c>
      <c r="H245" s="16" t="s">
        <v>24</v>
      </c>
      <c r="I245" s="16" t="s">
        <v>25</v>
      </c>
      <c r="J245" s="16" t="s">
        <v>26</v>
      </c>
      <c r="K245" s="16"/>
      <c r="L245" s="16"/>
      <c r="M245" s="16"/>
      <c r="N245" s="16"/>
      <c r="O245" s="16"/>
      <c r="P245" s="16"/>
      <c r="Q245" s="16"/>
      <c r="R245" s="16"/>
      <c r="S245" s="16">
        <v>-2.0</v>
      </c>
      <c r="T245" s="16"/>
      <c r="U245" s="16" t="s">
        <v>1354</v>
      </c>
      <c r="V245" s="16" t="s">
        <v>1355</v>
      </c>
      <c r="W245" s="16" t="s">
        <v>332</v>
      </c>
      <c r="X245" s="16" t="s">
        <v>181</v>
      </c>
      <c r="Y245" s="100"/>
      <c r="Z245" s="16" t="s">
        <v>181</v>
      </c>
    </row>
    <row r="246">
      <c r="A246" s="16">
        <v>12736.0</v>
      </c>
      <c r="B246" s="16" t="s">
        <v>1356</v>
      </c>
      <c r="C246" s="16">
        <v>2.83</v>
      </c>
      <c r="D246" s="174" t="s">
        <v>1357</v>
      </c>
      <c r="E246" s="16"/>
      <c r="F246" s="16">
        <v>560.0</v>
      </c>
      <c r="G246" s="16" t="s">
        <v>245</v>
      </c>
      <c r="H246" s="16" t="s">
        <v>18</v>
      </c>
      <c r="I246" s="16" t="s">
        <v>17</v>
      </c>
      <c r="J246" s="16" t="s">
        <v>19</v>
      </c>
      <c r="K246" s="16"/>
      <c r="L246" s="16"/>
      <c r="M246" s="16"/>
      <c r="N246" s="16"/>
      <c r="O246" s="16"/>
      <c r="P246" s="16"/>
      <c r="Q246" s="16"/>
      <c r="R246" s="16"/>
      <c r="S246" s="16">
        <v>-2.0</v>
      </c>
      <c r="T246" s="16"/>
      <c r="U246" s="16" t="s">
        <v>1358</v>
      </c>
      <c r="V246" s="16" t="s">
        <v>1359</v>
      </c>
      <c r="W246" s="16" t="s">
        <v>675</v>
      </c>
      <c r="X246" s="16" t="s">
        <v>181</v>
      </c>
      <c r="Y246" s="100"/>
      <c r="Z246" s="16" t="s">
        <v>181</v>
      </c>
    </row>
    <row r="247">
      <c r="A247" s="16">
        <v>12737.0</v>
      </c>
      <c r="B247" s="16" t="s">
        <v>1360</v>
      </c>
      <c r="C247" s="16">
        <v>0.0</v>
      </c>
      <c r="D247" s="174" t="s">
        <v>1361</v>
      </c>
      <c r="E247" s="16"/>
      <c r="F247" s="16">
        <v>590.0</v>
      </c>
      <c r="G247" s="16" t="s">
        <v>387</v>
      </c>
      <c r="H247" s="16" t="s">
        <v>25</v>
      </c>
      <c r="I247" s="16" t="s">
        <v>26</v>
      </c>
      <c r="J247" s="16"/>
      <c r="K247" s="16"/>
      <c r="L247" s="16"/>
      <c r="M247" s="16"/>
      <c r="N247" s="16"/>
      <c r="O247" s="16"/>
      <c r="P247" s="16"/>
      <c r="Q247" s="16"/>
      <c r="R247" s="16"/>
      <c r="S247" s="16">
        <v>-2.0</v>
      </c>
      <c r="T247" s="16"/>
      <c r="U247" s="16" t="s">
        <v>1362</v>
      </c>
      <c r="V247" s="16" t="s">
        <v>1363</v>
      </c>
      <c r="W247" s="16" t="s">
        <v>179</v>
      </c>
      <c r="X247" s="16" t="s">
        <v>181</v>
      </c>
      <c r="Y247" s="100"/>
      <c r="Z247" s="16" t="s">
        <v>181</v>
      </c>
    </row>
    <row r="248">
      <c r="A248" s="16">
        <v>12738.0</v>
      </c>
      <c r="B248" s="16" t="s">
        <v>1364</v>
      </c>
      <c r="C248" s="16">
        <v>0.84</v>
      </c>
      <c r="D248" s="174" t="s">
        <v>1365</v>
      </c>
      <c r="E248" s="16"/>
      <c r="F248" s="16">
        <v>547.0</v>
      </c>
      <c r="G248" s="16" t="s">
        <v>176</v>
      </c>
      <c r="H248" s="16" t="s">
        <v>17</v>
      </c>
      <c r="I248" s="16" t="s">
        <v>19</v>
      </c>
      <c r="J248" s="16"/>
      <c r="K248" s="16"/>
      <c r="L248" s="16"/>
      <c r="M248" s="16"/>
      <c r="N248" s="16"/>
      <c r="O248" s="16"/>
      <c r="P248" s="16"/>
      <c r="Q248" s="16"/>
      <c r="R248" s="16"/>
      <c r="S248" s="16">
        <v>-2.0</v>
      </c>
      <c r="T248" s="16"/>
      <c r="U248" s="16" t="s">
        <v>1366</v>
      </c>
      <c r="V248" s="16" t="s">
        <v>1367</v>
      </c>
      <c r="W248" s="16" t="s">
        <v>199</v>
      </c>
      <c r="X248" s="16" t="s">
        <v>181</v>
      </c>
      <c r="Y248" s="100"/>
      <c r="Z248" s="16" t="s">
        <v>181</v>
      </c>
    </row>
    <row r="249">
      <c r="A249" s="16">
        <v>12739.0</v>
      </c>
      <c r="B249" s="16" t="s">
        <v>1368</v>
      </c>
      <c r="C249" s="16">
        <v>0.28</v>
      </c>
      <c r="D249" s="174" t="s">
        <v>1369</v>
      </c>
      <c r="E249" s="16"/>
      <c r="F249" s="16">
        <v>547.0</v>
      </c>
      <c r="G249" s="16" t="s">
        <v>176</v>
      </c>
      <c r="H249" s="16" t="s">
        <v>24</v>
      </c>
      <c r="I249" s="16" t="s">
        <v>25</v>
      </c>
      <c r="J249" s="16"/>
      <c r="K249" s="16"/>
      <c r="L249" s="16"/>
      <c r="M249" s="16"/>
      <c r="N249" s="16"/>
      <c r="O249" s="16"/>
      <c r="P249" s="16"/>
      <c r="Q249" s="16"/>
      <c r="R249" s="16"/>
      <c r="S249" s="16">
        <v>-2.0</v>
      </c>
      <c r="T249" s="16"/>
      <c r="U249" s="16" t="s">
        <v>1370</v>
      </c>
      <c r="V249" s="16" t="s">
        <v>1371</v>
      </c>
      <c r="W249" s="16" t="s">
        <v>360</v>
      </c>
      <c r="X249" s="16" t="s">
        <v>181</v>
      </c>
      <c r="Y249" s="100"/>
      <c r="Z249" s="16" t="s">
        <v>181</v>
      </c>
    </row>
    <row r="250">
      <c r="A250" s="16">
        <v>12740.0</v>
      </c>
      <c r="B250" s="16" t="s">
        <v>37</v>
      </c>
      <c r="C250" s="16">
        <v>1.04</v>
      </c>
      <c r="D250" s="174" t="s">
        <v>1372</v>
      </c>
      <c r="E250" s="16"/>
      <c r="F250" s="16">
        <v>584.0</v>
      </c>
      <c r="G250" s="16" t="s">
        <v>361</v>
      </c>
      <c r="H250" s="16" t="s">
        <v>13</v>
      </c>
      <c r="I250" s="16" t="s">
        <v>12</v>
      </c>
      <c r="J250" s="16" t="s">
        <v>17</v>
      </c>
      <c r="K250" s="16" t="s">
        <v>19</v>
      </c>
      <c r="L250" s="16" t="s">
        <v>15</v>
      </c>
      <c r="M250" s="16"/>
      <c r="N250" s="16"/>
      <c r="O250" s="16"/>
      <c r="P250" s="16"/>
      <c r="Q250" s="16"/>
      <c r="R250" s="16"/>
      <c r="S250" s="16">
        <v>-2.0</v>
      </c>
      <c r="T250" s="16"/>
      <c r="U250" s="16" t="s">
        <v>1373</v>
      </c>
      <c r="V250" s="16" t="s">
        <v>1374</v>
      </c>
      <c r="W250" s="16" t="s">
        <v>675</v>
      </c>
      <c r="X250" s="16" t="s">
        <v>181</v>
      </c>
      <c r="Y250" s="100"/>
      <c r="Z250" s="16" t="s">
        <v>181</v>
      </c>
    </row>
    <row r="251">
      <c r="A251" s="16">
        <v>12741.0</v>
      </c>
      <c r="B251" s="16" t="s">
        <v>1375</v>
      </c>
      <c r="C251" s="16">
        <v>1.43</v>
      </c>
      <c r="D251" s="174" t="s">
        <v>1376</v>
      </c>
      <c r="E251" s="16"/>
      <c r="F251" s="16">
        <v>547.0</v>
      </c>
      <c r="G251" s="16" t="s">
        <v>176</v>
      </c>
      <c r="H251" s="16" t="s">
        <v>16</v>
      </c>
      <c r="I251" s="16" t="s">
        <v>14</v>
      </c>
      <c r="J251" s="16"/>
      <c r="K251" s="16"/>
      <c r="L251" s="16"/>
      <c r="M251" s="16"/>
      <c r="N251" s="16"/>
      <c r="O251" s="16"/>
      <c r="P251" s="16"/>
      <c r="Q251" s="16"/>
      <c r="R251" s="16"/>
      <c r="S251" s="16">
        <v>-2.0</v>
      </c>
      <c r="T251" s="16"/>
      <c r="U251" s="16" t="s">
        <v>1377</v>
      </c>
      <c r="V251" s="16" t="s">
        <v>1378</v>
      </c>
      <c r="W251" s="16" t="s">
        <v>661</v>
      </c>
      <c r="X251" s="16" t="s">
        <v>181</v>
      </c>
      <c r="Y251" s="100"/>
      <c r="Z251" s="16" t="s">
        <v>181</v>
      </c>
    </row>
    <row r="252">
      <c r="A252" s="16">
        <v>12742.0</v>
      </c>
      <c r="B252" s="16" t="s">
        <v>1379</v>
      </c>
      <c r="C252" s="16">
        <v>0.89</v>
      </c>
      <c r="D252" s="174" t="s">
        <v>1380</v>
      </c>
      <c r="E252" s="16"/>
      <c r="F252" s="16">
        <v>562.0</v>
      </c>
      <c r="G252" s="16" t="s">
        <v>1381</v>
      </c>
      <c r="H252" s="16" t="s">
        <v>19</v>
      </c>
      <c r="I252" s="16" t="s">
        <v>17</v>
      </c>
      <c r="J252" s="16"/>
      <c r="K252" s="16"/>
      <c r="L252" s="16"/>
      <c r="M252" s="16"/>
      <c r="N252" s="16"/>
      <c r="O252" s="16"/>
      <c r="P252" s="16"/>
      <c r="Q252" s="16"/>
      <c r="R252" s="16"/>
      <c r="S252" s="16">
        <v>-2.0</v>
      </c>
      <c r="T252" s="16"/>
      <c r="U252" s="16" t="s">
        <v>1382</v>
      </c>
      <c r="V252" s="16" t="s">
        <v>1383</v>
      </c>
      <c r="W252" s="16" t="s">
        <v>360</v>
      </c>
      <c r="X252" s="16" t="s">
        <v>181</v>
      </c>
      <c r="Y252" s="100"/>
      <c r="Z252" s="16" t="s">
        <v>181</v>
      </c>
    </row>
    <row r="253">
      <c r="A253" s="16">
        <v>12743.0</v>
      </c>
      <c r="B253" s="16" t="s">
        <v>1384</v>
      </c>
      <c r="C253" s="16">
        <v>2.16</v>
      </c>
      <c r="D253" s="174" t="s">
        <v>1385</v>
      </c>
      <c r="E253" s="16"/>
      <c r="F253" s="16">
        <v>547.0</v>
      </c>
      <c r="G253" s="16" t="s">
        <v>176</v>
      </c>
      <c r="H253" s="16" t="s">
        <v>24</v>
      </c>
      <c r="I253" s="16"/>
      <c r="J253" s="16"/>
      <c r="K253" s="16"/>
      <c r="L253" s="16"/>
      <c r="M253" s="16"/>
      <c r="N253" s="16"/>
      <c r="O253" s="16"/>
      <c r="P253" s="16"/>
      <c r="Q253" s="16"/>
      <c r="R253" s="16"/>
      <c r="S253" s="16">
        <v>-2.0</v>
      </c>
      <c r="T253" s="16"/>
      <c r="U253" s="16" t="s">
        <v>1386</v>
      </c>
      <c r="V253" s="16" t="s">
        <v>1387</v>
      </c>
      <c r="W253" s="16" t="s">
        <v>661</v>
      </c>
      <c r="X253" s="16" t="s">
        <v>181</v>
      </c>
      <c r="Y253" s="100"/>
      <c r="Z253" s="16" t="s">
        <v>181</v>
      </c>
    </row>
    <row r="254">
      <c r="A254" s="16">
        <v>12744.0</v>
      </c>
      <c r="B254" s="16" t="s">
        <v>1388</v>
      </c>
      <c r="C254" s="16">
        <v>1.13</v>
      </c>
      <c r="D254" s="174" t="s">
        <v>1389</v>
      </c>
      <c r="E254" s="16"/>
      <c r="F254" s="16">
        <v>560.0</v>
      </c>
      <c r="G254" s="16" t="s">
        <v>245</v>
      </c>
      <c r="H254" s="16" t="s">
        <v>25</v>
      </c>
      <c r="I254" s="16" t="s">
        <v>26</v>
      </c>
      <c r="J254" s="16"/>
      <c r="K254" s="16"/>
      <c r="L254" s="16"/>
      <c r="M254" s="16"/>
      <c r="N254" s="16"/>
      <c r="O254" s="16"/>
      <c r="P254" s="16"/>
      <c r="Q254" s="16"/>
      <c r="R254" s="16"/>
      <c r="S254" s="16">
        <v>-2.0</v>
      </c>
      <c r="T254" s="16"/>
      <c r="U254" s="16" t="s">
        <v>1390</v>
      </c>
      <c r="V254" s="16" t="s">
        <v>1391</v>
      </c>
      <c r="W254" s="16" t="s">
        <v>491</v>
      </c>
      <c r="X254" s="16" t="s">
        <v>181</v>
      </c>
      <c r="Y254" s="100"/>
      <c r="Z254" s="16" t="s">
        <v>181</v>
      </c>
    </row>
    <row r="255">
      <c r="A255" s="16">
        <v>12745.0</v>
      </c>
      <c r="B255" s="16" t="s">
        <v>1392</v>
      </c>
      <c r="C255" s="16">
        <v>0.0</v>
      </c>
      <c r="D255" s="174" t="s">
        <v>1393</v>
      </c>
      <c r="E255" s="16"/>
      <c r="F255" s="16">
        <v>547.0</v>
      </c>
      <c r="G255" s="16" t="s">
        <v>176</v>
      </c>
      <c r="H255" s="16" t="s">
        <v>24</v>
      </c>
      <c r="I255" s="16"/>
      <c r="J255" s="16"/>
      <c r="K255" s="16"/>
      <c r="L255" s="16"/>
      <c r="M255" s="16"/>
      <c r="N255" s="16"/>
      <c r="O255" s="16"/>
      <c r="P255" s="16"/>
      <c r="Q255" s="16"/>
      <c r="R255" s="16"/>
      <c r="S255" s="16">
        <v>-2.0</v>
      </c>
      <c r="T255" s="16"/>
      <c r="U255" s="16" t="s">
        <v>1394</v>
      </c>
      <c r="V255" s="16" t="s">
        <v>1395</v>
      </c>
      <c r="W255" s="16" t="s">
        <v>199</v>
      </c>
      <c r="X255" s="16" t="s">
        <v>181</v>
      </c>
      <c r="Y255" s="100"/>
      <c r="Z255" s="16" t="s">
        <v>181</v>
      </c>
    </row>
    <row r="256">
      <c r="A256" s="16">
        <v>12746.0</v>
      </c>
      <c r="B256" s="16" t="s">
        <v>1396</v>
      </c>
      <c r="C256" s="16">
        <v>0.81</v>
      </c>
      <c r="D256" s="174" t="s">
        <v>1397</v>
      </c>
      <c r="E256" s="16"/>
      <c r="F256" s="16">
        <v>547.0</v>
      </c>
      <c r="G256" s="16" t="s">
        <v>176</v>
      </c>
      <c r="H256" s="16" t="s">
        <v>24</v>
      </c>
      <c r="I256" s="16" t="s">
        <v>25</v>
      </c>
      <c r="J256" s="16"/>
      <c r="K256" s="16"/>
      <c r="L256" s="16"/>
      <c r="M256" s="16"/>
      <c r="N256" s="16"/>
      <c r="O256" s="16"/>
      <c r="P256" s="16"/>
      <c r="Q256" s="16"/>
      <c r="R256" s="16"/>
      <c r="S256" s="16">
        <v>-2.0</v>
      </c>
      <c r="T256" s="16"/>
      <c r="U256" s="16" t="s">
        <v>1398</v>
      </c>
      <c r="V256" s="16" t="s">
        <v>1399</v>
      </c>
      <c r="W256" s="16" t="s">
        <v>332</v>
      </c>
      <c r="X256" s="16" t="s">
        <v>181</v>
      </c>
      <c r="Y256" s="100"/>
      <c r="Z256" s="16" t="s">
        <v>181</v>
      </c>
    </row>
    <row r="257">
      <c r="A257" s="16">
        <v>12747.0</v>
      </c>
      <c r="B257" s="16" t="s">
        <v>1400</v>
      </c>
      <c r="C257" s="16">
        <v>0.0</v>
      </c>
      <c r="D257" s="174" t="s">
        <v>1401</v>
      </c>
      <c r="E257" s="16"/>
      <c r="F257" s="16">
        <v>586.0</v>
      </c>
      <c r="G257" s="16" t="s">
        <v>623</v>
      </c>
      <c r="H257" s="16" t="s">
        <v>17</v>
      </c>
      <c r="I257" s="16" t="s">
        <v>14</v>
      </c>
      <c r="J257" s="16"/>
      <c r="K257" s="16"/>
      <c r="L257" s="16"/>
      <c r="M257" s="16"/>
      <c r="N257" s="16"/>
      <c r="O257" s="16"/>
      <c r="P257" s="16"/>
      <c r="Q257" s="16"/>
      <c r="R257" s="16"/>
      <c r="S257" s="16">
        <v>-2.0</v>
      </c>
      <c r="T257" s="16"/>
      <c r="U257" s="16" t="s">
        <v>1402</v>
      </c>
      <c r="V257" s="16" t="s">
        <v>1403</v>
      </c>
      <c r="W257" s="16" t="s">
        <v>491</v>
      </c>
      <c r="X257" s="16" t="s">
        <v>181</v>
      </c>
      <c r="Y257" s="100"/>
      <c r="Z257" s="16" t="s">
        <v>181</v>
      </c>
    </row>
    <row r="258">
      <c r="A258" s="16">
        <v>12748.0</v>
      </c>
      <c r="B258" s="16" t="s">
        <v>1404</v>
      </c>
      <c r="C258" s="16">
        <v>0.0</v>
      </c>
      <c r="D258" s="174" t="s">
        <v>1405</v>
      </c>
      <c r="E258" s="16"/>
      <c r="F258" s="16">
        <v>581.0</v>
      </c>
      <c r="G258" s="16" t="s">
        <v>346</v>
      </c>
      <c r="H258" s="16" t="s">
        <v>17</v>
      </c>
      <c r="I258" s="16" t="s">
        <v>19</v>
      </c>
      <c r="J258" s="16" t="s">
        <v>18</v>
      </c>
      <c r="K258" s="16"/>
      <c r="L258" s="16"/>
      <c r="M258" s="16"/>
      <c r="N258" s="16"/>
      <c r="O258" s="16"/>
      <c r="P258" s="16"/>
      <c r="Q258" s="16"/>
      <c r="R258" s="16"/>
      <c r="S258" s="16">
        <v>-2.0</v>
      </c>
      <c r="T258" s="16"/>
      <c r="U258" s="16" t="s">
        <v>1406</v>
      </c>
      <c r="V258" s="16" t="s">
        <v>1407</v>
      </c>
      <c r="W258" s="16" t="s">
        <v>332</v>
      </c>
      <c r="X258" s="16" t="s">
        <v>181</v>
      </c>
      <c r="Y258" s="100"/>
      <c r="Z258" s="16" t="s">
        <v>181</v>
      </c>
    </row>
    <row r="259">
      <c r="A259" s="16">
        <v>12749.0</v>
      </c>
      <c r="B259" s="16" t="s">
        <v>1408</v>
      </c>
      <c r="C259" s="16">
        <v>0.29</v>
      </c>
      <c r="D259" s="174" t="s">
        <v>1409</v>
      </c>
      <c r="E259" s="16"/>
      <c r="F259" s="16">
        <v>575.0</v>
      </c>
      <c r="G259" s="16" t="s">
        <v>212</v>
      </c>
      <c r="H259" s="16" t="s">
        <v>24</v>
      </c>
      <c r="I259" s="16"/>
      <c r="J259" s="16"/>
      <c r="K259" s="16"/>
      <c r="L259" s="16"/>
      <c r="M259" s="16"/>
      <c r="N259" s="16"/>
      <c r="O259" s="16"/>
      <c r="P259" s="16"/>
      <c r="Q259" s="16"/>
      <c r="R259" s="16"/>
      <c r="S259" s="16">
        <v>-2.0</v>
      </c>
      <c r="T259" s="16"/>
      <c r="U259" s="16" t="s">
        <v>1410</v>
      </c>
      <c r="V259" s="16" t="s">
        <v>1411</v>
      </c>
      <c r="W259" s="16" t="s">
        <v>1412</v>
      </c>
      <c r="X259" s="16" t="s">
        <v>181</v>
      </c>
      <c r="Y259" s="100"/>
      <c r="Z259" s="16" t="s">
        <v>181</v>
      </c>
    </row>
    <row r="260">
      <c r="A260" s="16">
        <v>12750.0</v>
      </c>
      <c r="B260" s="16" t="s">
        <v>1413</v>
      </c>
      <c r="C260" s="16">
        <v>0.31</v>
      </c>
      <c r="D260" s="174" t="s">
        <v>1414</v>
      </c>
      <c r="E260" s="16"/>
      <c r="F260" s="16">
        <v>547.0</v>
      </c>
      <c r="G260" s="16" t="s">
        <v>176</v>
      </c>
      <c r="H260" s="16" t="s">
        <v>25</v>
      </c>
      <c r="I260" s="16"/>
      <c r="J260" s="16"/>
      <c r="K260" s="16"/>
      <c r="L260" s="16"/>
      <c r="M260" s="16"/>
      <c r="N260" s="16"/>
      <c r="O260" s="16"/>
      <c r="P260" s="16"/>
      <c r="Q260" s="16"/>
      <c r="R260" s="16"/>
      <c r="S260" s="16">
        <v>-2.0</v>
      </c>
      <c r="T260" s="16"/>
      <c r="U260" s="16" t="s">
        <v>1415</v>
      </c>
      <c r="V260" s="16" t="s">
        <v>1416</v>
      </c>
      <c r="W260" s="16" t="s">
        <v>360</v>
      </c>
      <c r="X260" s="16" t="s">
        <v>181</v>
      </c>
      <c r="Y260" s="100"/>
      <c r="Z260" s="16" t="s">
        <v>181</v>
      </c>
    </row>
    <row r="261">
      <c r="A261" s="16">
        <v>12751.0</v>
      </c>
      <c r="B261" s="16" t="s">
        <v>1417</v>
      </c>
      <c r="C261" s="16">
        <v>1.65</v>
      </c>
      <c r="D261" s="174" t="s">
        <v>1418</v>
      </c>
      <c r="E261" s="16"/>
      <c r="F261" s="16">
        <v>548.0</v>
      </c>
      <c r="G261" s="16" t="s">
        <v>126</v>
      </c>
      <c r="H261" s="16" t="s">
        <v>25</v>
      </c>
      <c r="I261" s="16" t="s">
        <v>26</v>
      </c>
      <c r="J261" s="16"/>
      <c r="K261" s="16"/>
      <c r="L261" s="16"/>
      <c r="M261" s="16"/>
      <c r="N261" s="16"/>
      <c r="O261" s="16"/>
      <c r="P261" s="16"/>
      <c r="Q261" s="16"/>
      <c r="R261" s="16"/>
      <c r="S261" s="16">
        <v>-2.0</v>
      </c>
      <c r="T261" s="16"/>
      <c r="U261" s="16" t="s">
        <v>1419</v>
      </c>
      <c r="V261" s="16" t="s">
        <v>1420</v>
      </c>
      <c r="W261" s="16" t="s">
        <v>591</v>
      </c>
      <c r="X261" s="16" t="s">
        <v>181</v>
      </c>
      <c r="Y261" s="100"/>
      <c r="Z261" s="16" t="s">
        <v>181</v>
      </c>
    </row>
    <row r="262">
      <c r="A262" s="16">
        <v>12752.0</v>
      </c>
      <c r="B262" s="16" t="s">
        <v>1421</v>
      </c>
      <c r="C262" s="16">
        <v>0.9</v>
      </c>
      <c r="D262" s="174" t="s">
        <v>1422</v>
      </c>
      <c r="E262" s="16"/>
      <c r="F262" s="16">
        <v>548.0</v>
      </c>
      <c r="G262" s="16" t="s">
        <v>126</v>
      </c>
      <c r="H262" s="16" t="s">
        <v>25</v>
      </c>
      <c r="I262" s="16" t="s">
        <v>26</v>
      </c>
      <c r="J262" s="16"/>
      <c r="K262" s="16"/>
      <c r="L262" s="16"/>
      <c r="M262" s="16"/>
      <c r="N262" s="16"/>
      <c r="O262" s="16"/>
      <c r="P262" s="16"/>
      <c r="Q262" s="16"/>
      <c r="R262" s="16"/>
      <c r="S262" s="16">
        <v>-2.0</v>
      </c>
      <c r="T262" s="16"/>
      <c r="U262" s="16" t="s">
        <v>1423</v>
      </c>
      <c r="V262" s="16" t="s">
        <v>1424</v>
      </c>
      <c r="W262" s="16" t="s">
        <v>360</v>
      </c>
      <c r="X262" s="16" t="s">
        <v>181</v>
      </c>
      <c r="Y262" s="100"/>
      <c r="Z262" s="16" t="s">
        <v>181</v>
      </c>
    </row>
    <row r="263">
      <c r="A263" s="16">
        <v>12753.0</v>
      </c>
      <c r="B263" s="16" t="s">
        <v>1425</v>
      </c>
      <c r="C263" s="16">
        <v>0.0</v>
      </c>
      <c r="D263" s="174" t="s">
        <v>1426</v>
      </c>
      <c r="E263" s="16"/>
      <c r="F263" s="16">
        <v>575.0</v>
      </c>
      <c r="G263" s="16" t="s">
        <v>212</v>
      </c>
      <c r="H263" s="16" t="s">
        <v>18</v>
      </c>
      <c r="I263" s="16" t="s">
        <v>17</v>
      </c>
      <c r="J263" s="16" t="s">
        <v>19</v>
      </c>
      <c r="K263" s="16"/>
      <c r="L263" s="16"/>
      <c r="M263" s="16"/>
      <c r="N263" s="16"/>
      <c r="O263" s="16"/>
      <c r="P263" s="16"/>
      <c r="Q263" s="16"/>
      <c r="R263" s="16"/>
      <c r="S263" s="16">
        <v>-2.0</v>
      </c>
      <c r="T263" s="16"/>
      <c r="U263" s="16" t="s">
        <v>1427</v>
      </c>
      <c r="V263" s="16" t="s">
        <v>1428</v>
      </c>
      <c r="W263" s="16" t="s">
        <v>332</v>
      </c>
      <c r="X263" s="16" t="s">
        <v>181</v>
      </c>
      <c r="Y263" s="100"/>
      <c r="Z263" s="16" t="s">
        <v>181</v>
      </c>
    </row>
    <row r="264">
      <c r="A264" s="16">
        <v>12754.0</v>
      </c>
      <c r="B264" s="16" t="s">
        <v>1429</v>
      </c>
      <c r="C264" s="16">
        <v>1.52</v>
      </c>
      <c r="D264" s="174" t="s">
        <v>1430</v>
      </c>
      <c r="E264" s="16"/>
      <c r="F264" s="16">
        <v>581.0</v>
      </c>
      <c r="G264" s="16" t="s">
        <v>346</v>
      </c>
      <c r="H264" s="16" t="s">
        <v>25</v>
      </c>
      <c r="I264" s="16" t="s">
        <v>26</v>
      </c>
      <c r="J264" s="16"/>
      <c r="K264" s="16"/>
      <c r="L264" s="16"/>
      <c r="M264" s="16"/>
      <c r="N264" s="16"/>
      <c r="O264" s="16"/>
      <c r="P264" s="16"/>
      <c r="Q264" s="16"/>
      <c r="R264" s="16"/>
      <c r="S264" s="16">
        <v>-2.0</v>
      </c>
      <c r="T264" s="16"/>
      <c r="U264" s="16" t="s">
        <v>1431</v>
      </c>
      <c r="V264" s="16" t="s">
        <v>1432</v>
      </c>
      <c r="W264" s="16" t="s">
        <v>231</v>
      </c>
      <c r="X264" s="16" t="s">
        <v>181</v>
      </c>
      <c r="Y264" s="100"/>
      <c r="Z264" s="16" t="s">
        <v>181</v>
      </c>
    </row>
    <row r="265">
      <c r="A265" s="16">
        <v>12755.0</v>
      </c>
      <c r="B265" s="16" t="s">
        <v>1433</v>
      </c>
      <c r="C265" s="16">
        <v>3.1</v>
      </c>
      <c r="D265" s="174" t="s">
        <v>1434</v>
      </c>
      <c r="E265" s="16"/>
      <c r="F265" s="16">
        <v>562.0</v>
      </c>
      <c r="G265" s="16" t="s">
        <v>1381</v>
      </c>
      <c r="H265" s="16" t="s">
        <v>25</v>
      </c>
      <c r="I265" s="16" t="s">
        <v>26</v>
      </c>
      <c r="J265" s="16"/>
      <c r="K265" s="16"/>
      <c r="L265" s="16"/>
      <c r="M265" s="16"/>
      <c r="N265" s="16"/>
      <c r="O265" s="16"/>
      <c r="P265" s="16"/>
      <c r="Q265" s="16"/>
      <c r="R265" s="16" t="s">
        <v>1435</v>
      </c>
      <c r="S265" s="16">
        <v>-2.0</v>
      </c>
      <c r="T265" s="16"/>
      <c r="U265" s="16" t="s">
        <v>1436</v>
      </c>
      <c r="V265" s="16" t="s">
        <v>1437</v>
      </c>
      <c r="W265" s="16" t="s">
        <v>591</v>
      </c>
      <c r="X265" s="16" t="s">
        <v>181</v>
      </c>
      <c r="Y265" s="100"/>
      <c r="Z265" s="16" t="s">
        <v>181</v>
      </c>
    </row>
    <row r="266">
      <c r="A266" s="16">
        <v>12756.0</v>
      </c>
      <c r="B266" s="16" t="s">
        <v>1438</v>
      </c>
      <c r="C266" s="16">
        <v>0.0</v>
      </c>
      <c r="D266" s="174" t="s">
        <v>1439</v>
      </c>
      <c r="E266" s="16"/>
      <c r="F266" s="16">
        <v>563.0</v>
      </c>
      <c r="G266" s="16" t="s">
        <v>260</v>
      </c>
      <c r="H266" s="16" t="s">
        <v>12</v>
      </c>
      <c r="I266" s="16"/>
      <c r="J266" s="16"/>
      <c r="K266" s="16"/>
      <c r="L266" s="16"/>
      <c r="M266" s="16"/>
      <c r="N266" s="16"/>
      <c r="O266" s="16"/>
      <c r="P266" s="16"/>
      <c r="Q266" s="16"/>
      <c r="R266" s="16"/>
      <c r="S266" s="16">
        <v>-2.0</v>
      </c>
      <c r="T266" s="16"/>
      <c r="U266" s="16" t="s">
        <v>1440</v>
      </c>
      <c r="V266" s="16" t="s">
        <v>1441</v>
      </c>
      <c r="W266" s="16" t="s">
        <v>399</v>
      </c>
      <c r="X266" s="16" t="s">
        <v>181</v>
      </c>
      <c r="Y266" s="100"/>
      <c r="Z266" s="16" t="s">
        <v>181</v>
      </c>
    </row>
    <row r="267">
      <c r="A267" s="16">
        <v>12757.0</v>
      </c>
      <c r="B267" s="16" t="s">
        <v>1442</v>
      </c>
      <c r="C267" s="16">
        <v>0.0</v>
      </c>
      <c r="D267" s="174" t="s">
        <v>1443</v>
      </c>
      <c r="E267" s="16"/>
      <c r="F267" s="16">
        <v>547.0</v>
      </c>
      <c r="G267" s="16" t="s">
        <v>176</v>
      </c>
      <c r="H267" s="16" t="s">
        <v>25</v>
      </c>
      <c r="I267" s="16" t="s">
        <v>26</v>
      </c>
      <c r="J267" s="16"/>
      <c r="K267" s="16"/>
      <c r="L267" s="16"/>
      <c r="M267" s="16"/>
      <c r="N267" s="16"/>
      <c r="O267" s="16"/>
      <c r="P267" s="16"/>
      <c r="Q267" s="16"/>
      <c r="R267" s="16"/>
      <c r="S267" s="16">
        <v>-2.0</v>
      </c>
      <c r="T267" s="16"/>
      <c r="U267" s="16" t="s">
        <v>1444</v>
      </c>
      <c r="V267" s="16" t="s">
        <v>1445</v>
      </c>
      <c r="W267" s="16" t="s">
        <v>332</v>
      </c>
      <c r="X267" s="16" t="s">
        <v>181</v>
      </c>
      <c r="Y267" s="100"/>
      <c r="Z267" s="16" t="s">
        <v>181</v>
      </c>
    </row>
    <row r="268">
      <c r="A268" s="16">
        <v>12758.0</v>
      </c>
      <c r="B268" s="16" t="s">
        <v>1446</v>
      </c>
      <c r="C268" s="16">
        <v>0.59</v>
      </c>
      <c r="D268" s="174" t="s">
        <v>1447</v>
      </c>
      <c r="E268" s="16"/>
      <c r="F268" s="16">
        <v>566.0</v>
      </c>
      <c r="G268" s="16" t="s">
        <v>277</v>
      </c>
      <c r="H268" s="16" t="s">
        <v>24</v>
      </c>
      <c r="I268" s="16"/>
      <c r="J268" s="16"/>
      <c r="K268" s="16"/>
      <c r="L268" s="16"/>
      <c r="M268" s="16"/>
      <c r="N268" s="16"/>
      <c r="O268" s="16"/>
      <c r="P268" s="16"/>
      <c r="Q268" s="16"/>
      <c r="R268" s="16"/>
      <c r="S268" s="16">
        <v>-2.0</v>
      </c>
      <c r="T268" s="16"/>
      <c r="U268" s="16" t="s">
        <v>1448</v>
      </c>
      <c r="V268" s="16" t="s">
        <v>1449</v>
      </c>
      <c r="W268" s="16" t="s">
        <v>179</v>
      </c>
      <c r="X268" s="16" t="s">
        <v>181</v>
      </c>
      <c r="Y268" s="100"/>
      <c r="Z268" s="16" t="s">
        <v>181</v>
      </c>
    </row>
    <row r="269">
      <c r="A269" s="16">
        <v>12759.0</v>
      </c>
      <c r="B269" s="16" t="s">
        <v>1450</v>
      </c>
      <c r="C269" s="16">
        <v>0.0</v>
      </c>
      <c r="D269" s="174" t="s">
        <v>1451</v>
      </c>
      <c r="E269" s="16"/>
      <c r="F269" s="16">
        <v>568.0</v>
      </c>
      <c r="G269" s="16" t="s">
        <v>1452</v>
      </c>
      <c r="H269" s="16" t="s">
        <v>15</v>
      </c>
      <c r="I269" s="16" t="s">
        <v>13</v>
      </c>
      <c r="J269" s="16"/>
      <c r="K269" s="16"/>
      <c r="L269" s="16"/>
      <c r="M269" s="16"/>
      <c r="N269" s="16"/>
      <c r="O269" s="16"/>
      <c r="P269" s="16"/>
      <c r="Q269" s="16"/>
      <c r="R269" s="16"/>
      <c r="S269" s="16">
        <v>-2.0</v>
      </c>
      <c r="T269" s="16"/>
      <c r="U269" s="16" t="s">
        <v>1453</v>
      </c>
      <c r="V269" s="16" t="s">
        <v>1454</v>
      </c>
      <c r="W269" s="16" t="s">
        <v>422</v>
      </c>
      <c r="X269" s="16" t="s">
        <v>181</v>
      </c>
      <c r="Y269" s="100"/>
      <c r="Z269" s="16" t="s">
        <v>181</v>
      </c>
    </row>
    <row r="270">
      <c r="A270" s="16">
        <v>12760.0</v>
      </c>
      <c r="B270" s="16" t="s">
        <v>1455</v>
      </c>
      <c r="C270" s="16">
        <v>0.0</v>
      </c>
      <c r="D270" s="174" t="s">
        <v>1456</v>
      </c>
      <c r="E270" s="16"/>
      <c r="F270" s="16">
        <v>547.0</v>
      </c>
      <c r="G270" s="16" t="s">
        <v>176</v>
      </c>
      <c r="H270" s="16" t="s">
        <v>19</v>
      </c>
      <c r="I270" s="16" t="s">
        <v>17</v>
      </c>
      <c r="J270" s="16" t="s">
        <v>13</v>
      </c>
      <c r="K270" s="16"/>
      <c r="L270" s="16"/>
      <c r="M270" s="16"/>
      <c r="N270" s="16"/>
      <c r="O270" s="16"/>
      <c r="P270" s="16"/>
      <c r="Q270" s="16"/>
      <c r="R270" s="16"/>
      <c r="S270" s="16">
        <v>-2.0</v>
      </c>
      <c r="T270" s="16"/>
      <c r="U270" s="16" t="s">
        <v>1457</v>
      </c>
      <c r="V270" s="16" t="s">
        <v>1458</v>
      </c>
      <c r="W270" s="16" t="s">
        <v>360</v>
      </c>
      <c r="X270" s="16" t="s">
        <v>181</v>
      </c>
      <c r="Y270" s="100"/>
      <c r="Z270" s="16" t="s">
        <v>181</v>
      </c>
    </row>
    <row r="271">
      <c r="A271" s="16">
        <v>12761.0</v>
      </c>
      <c r="B271" s="16" t="s">
        <v>1459</v>
      </c>
      <c r="C271" s="16">
        <v>0.0</v>
      </c>
      <c r="D271" s="174" t="s">
        <v>1460</v>
      </c>
      <c r="E271" s="16"/>
      <c r="F271" s="16">
        <v>586.0</v>
      </c>
      <c r="G271" s="16" t="s">
        <v>623</v>
      </c>
      <c r="H271" s="16" t="s">
        <v>24</v>
      </c>
      <c r="I271" s="16" t="s">
        <v>25</v>
      </c>
      <c r="J271" s="16"/>
      <c r="K271" s="16"/>
      <c r="L271" s="16"/>
      <c r="M271" s="16"/>
      <c r="N271" s="16"/>
      <c r="O271" s="16"/>
      <c r="P271" s="16"/>
      <c r="Q271" s="16"/>
      <c r="R271" s="16"/>
      <c r="S271" s="16">
        <v>-2.0</v>
      </c>
      <c r="T271" s="16"/>
      <c r="U271" s="16" t="s">
        <v>1461</v>
      </c>
      <c r="V271" s="16" t="s">
        <v>1462</v>
      </c>
      <c r="W271" s="16" t="s">
        <v>496</v>
      </c>
      <c r="X271" s="16" t="s">
        <v>181</v>
      </c>
      <c r="Y271" s="100"/>
      <c r="Z271" s="16" t="s">
        <v>181</v>
      </c>
    </row>
    <row r="272">
      <c r="A272" s="16">
        <v>12762.0</v>
      </c>
      <c r="B272" s="16" t="s">
        <v>1463</v>
      </c>
      <c r="C272" s="16">
        <v>0.19</v>
      </c>
      <c r="D272" s="174" t="s">
        <v>1464</v>
      </c>
      <c r="E272" s="16"/>
      <c r="F272" s="16">
        <v>553.0</v>
      </c>
      <c r="G272" s="16" t="s">
        <v>1465</v>
      </c>
      <c r="H272" s="16" t="s">
        <v>19</v>
      </c>
      <c r="I272" s="16" t="s">
        <v>17</v>
      </c>
      <c r="J272" s="16"/>
      <c r="K272" s="16"/>
      <c r="L272" s="16"/>
      <c r="M272" s="16"/>
      <c r="N272" s="16"/>
      <c r="O272" s="16"/>
      <c r="P272" s="16"/>
      <c r="Q272" s="16"/>
      <c r="R272" s="16"/>
      <c r="S272" s="16">
        <v>-2.0</v>
      </c>
      <c r="T272" s="16"/>
      <c r="U272" s="16" t="s">
        <v>1466</v>
      </c>
      <c r="V272" s="16" t="s">
        <v>1467</v>
      </c>
      <c r="W272" s="16" t="s">
        <v>751</v>
      </c>
      <c r="X272" s="16" t="s">
        <v>181</v>
      </c>
      <c r="Y272" s="100"/>
      <c r="Z272" s="16" t="s">
        <v>181</v>
      </c>
    </row>
    <row r="273">
      <c r="A273" s="16">
        <v>12763.0</v>
      </c>
      <c r="B273" s="16" t="s">
        <v>1468</v>
      </c>
      <c r="C273" s="16">
        <v>0.0</v>
      </c>
      <c r="D273" s="174" t="s">
        <v>1469</v>
      </c>
      <c r="E273" s="16"/>
      <c r="F273" s="16">
        <v>547.0</v>
      </c>
      <c r="G273" s="16" t="s">
        <v>176</v>
      </c>
      <c r="H273" s="16" t="s">
        <v>19</v>
      </c>
      <c r="I273" s="16" t="s">
        <v>18</v>
      </c>
      <c r="J273" s="16" t="s">
        <v>17</v>
      </c>
      <c r="K273" s="16"/>
      <c r="L273" s="16"/>
      <c r="M273" s="16"/>
      <c r="N273" s="16"/>
      <c r="O273" s="16"/>
      <c r="P273" s="16"/>
      <c r="Q273" s="16"/>
      <c r="R273" s="16"/>
      <c r="S273" s="16">
        <v>-2.0</v>
      </c>
      <c r="T273" s="16"/>
      <c r="U273" s="16" t="s">
        <v>1470</v>
      </c>
      <c r="V273" s="16" t="s">
        <v>1471</v>
      </c>
      <c r="W273" s="16" t="s">
        <v>566</v>
      </c>
      <c r="X273" s="16" t="s">
        <v>181</v>
      </c>
      <c r="Y273" s="100"/>
      <c r="Z273" s="16" t="s">
        <v>181</v>
      </c>
    </row>
    <row r="274">
      <c r="A274" s="16">
        <v>12764.0</v>
      </c>
      <c r="B274" s="16" t="s">
        <v>1472</v>
      </c>
      <c r="C274" s="16">
        <v>0.0</v>
      </c>
      <c r="D274" s="174" t="s">
        <v>1473</v>
      </c>
      <c r="E274" s="16"/>
      <c r="F274" s="16">
        <v>547.0</v>
      </c>
      <c r="G274" s="16" t="s">
        <v>176</v>
      </c>
      <c r="H274" s="16" t="s">
        <v>13</v>
      </c>
      <c r="I274" s="16"/>
      <c r="J274" s="16"/>
      <c r="K274" s="16"/>
      <c r="L274" s="16"/>
      <c r="M274" s="16"/>
      <c r="N274" s="16"/>
      <c r="O274" s="16"/>
      <c r="P274" s="16"/>
      <c r="Q274" s="16"/>
      <c r="R274" s="16"/>
      <c r="S274" s="16">
        <v>-2.0</v>
      </c>
      <c r="T274" s="16"/>
      <c r="U274" s="16" t="s">
        <v>1474</v>
      </c>
      <c r="V274" s="16" t="s">
        <v>1475</v>
      </c>
      <c r="W274" s="16" t="s">
        <v>179</v>
      </c>
      <c r="X274" s="16" t="s">
        <v>181</v>
      </c>
      <c r="Y274" s="100"/>
      <c r="Z274" s="16" t="s">
        <v>181</v>
      </c>
    </row>
    <row r="275">
      <c r="A275" s="16">
        <v>12765.0</v>
      </c>
      <c r="B275" s="16" t="s">
        <v>1476</v>
      </c>
      <c r="C275" s="16">
        <v>0.94</v>
      </c>
      <c r="D275" s="174" t="s">
        <v>1477</v>
      </c>
      <c r="E275" s="16"/>
      <c r="F275" s="16">
        <v>549.0</v>
      </c>
      <c r="G275" s="16" t="s">
        <v>120</v>
      </c>
      <c r="H275" s="16" t="s">
        <v>15</v>
      </c>
      <c r="I275" s="16" t="s">
        <v>13</v>
      </c>
      <c r="J275" s="16" t="s">
        <v>14</v>
      </c>
      <c r="K275" s="16"/>
      <c r="L275" s="16"/>
      <c r="M275" s="16"/>
      <c r="N275" s="16"/>
      <c r="O275" s="16"/>
      <c r="P275" s="16"/>
      <c r="Q275" s="16"/>
      <c r="R275" s="16" t="s">
        <v>970</v>
      </c>
      <c r="S275" s="16">
        <v>-2.0</v>
      </c>
      <c r="T275" s="16"/>
      <c r="U275" s="16" t="s">
        <v>1478</v>
      </c>
      <c r="V275" s="16" t="s">
        <v>1479</v>
      </c>
      <c r="W275" s="16" t="s">
        <v>179</v>
      </c>
      <c r="X275" s="16" t="s">
        <v>181</v>
      </c>
      <c r="Y275" s="100"/>
      <c r="Z275" s="16" t="s">
        <v>181</v>
      </c>
    </row>
    <row r="276">
      <c r="A276" s="16">
        <v>12766.0</v>
      </c>
      <c r="B276" s="16" t="s">
        <v>1480</v>
      </c>
      <c r="C276" s="16">
        <v>1.12</v>
      </c>
      <c r="D276" s="174" t="s">
        <v>1481</v>
      </c>
      <c r="E276" s="16"/>
      <c r="F276" s="16">
        <v>557.0</v>
      </c>
      <c r="G276" s="16" t="s">
        <v>232</v>
      </c>
      <c r="H276" s="16" t="s">
        <v>12</v>
      </c>
      <c r="I276" s="16"/>
      <c r="J276" s="16"/>
      <c r="K276" s="16"/>
      <c r="L276" s="16"/>
      <c r="M276" s="16"/>
      <c r="N276" s="16"/>
      <c r="O276" s="16"/>
      <c r="P276" s="16"/>
      <c r="Q276" s="16"/>
      <c r="R276" s="16"/>
      <c r="S276" s="16">
        <v>-2.0</v>
      </c>
      <c r="T276" s="16"/>
      <c r="U276" s="16" t="s">
        <v>1482</v>
      </c>
      <c r="V276" s="16" t="s">
        <v>1483</v>
      </c>
      <c r="W276" s="16" t="s">
        <v>399</v>
      </c>
      <c r="X276" s="16" t="s">
        <v>181</v>
      </c>
      <c r="Y276" s="100"/>
      <c r="Z276" s="16" t="s">
        <v>181</v>
      </c>
    </row>
    <row r="277">
      <c r="A277" s="16">
        <v>12767.0</v>
      </c>
      <c r="B277" s="16" t="s">
        <v>1484</v>
      </c>
      <c r="C277" s="16">
        <v>1.0</v>
      </c>
      <c r="D277" s="174" t="s">
        <v>1485</v>
      </c>
      <c r="E277" s="16"/>
      <c r="F277" s="16">
        <v>560.0</v>
      </c>
      <c r="G277" s="16" t="s">
        <v>245</v>
      </c>
      <c r="H277" s="16" t="s">
        <v>24</v>
      </c>
      <c r="I277" s="16" t="s">
        <v>25</v>
      </c>
      <c r="J277" s="16" t="s">
        <v>26</v>
      </c>
      <c r="K277" s="16"/>
      <c r="L277" s="16"/>
      <c r="M277" s="16"/>
      <c r="N277" s="16"/>
      <c r="O277" s="16"/>
      <c r="P277" s="16"/>
      <c r="Q277" s="16"/>
      <c r="R277" s="16"/>
      <c r="S277" s="16">
        <v>-2.0</v>
      </c>
      <c r="T277" s="16"/>
      <c r="U277" s="16" t="s">
        <v>1486</v>
      </c>
      <c r="V277" s="16" t="s">
        <v>1487</v>
      </c>
      <c r="W277" s="16" t="s">
        <v>422</v>
      </c>
      <c r="X277" s="16" t="s">
        <v>181</v>
      </c>
      <c r="Y277" s="100"/>
      <c r="Z277" s="16" t="s">
        <v>181</v>
      </c>
    </row>
    <row r="278">
      <c r="A278" s="16">
        <v>12768.0</v>
      </c>
      <c r="B278" s="16" t="s">
        <v>1488</v>
      </c>
      <c r="C278" s="16">
        <v>0.0</v>
      </c>
      <c r="D278" s="174" t="s">
        <v>1489</v>
      </c>
      <c r="E278" s="16"/>
      <c r="F278" s="16">
        <v>547.0</v>
      </c>
      <c r="G278" s="16" t="s">
        <v>176</v>
      </c>
      <c r="H278" s="16" t="s">
        <v>25</v>
      </c>
      <c r="I278" s="16"/>
      <c r="J278" s="16"/>
      <c r="K278" s="16"/>
      <c r="L278" s="16"/>
      <c r="M278" s="16"/>
      <c r="N278" s="16"/>
      <c r="O278" s="16"/>
      <c r="P278" s="16"/>
      <c r="Q278" s="16"/>
      <c r="R278" s="16"/>
      <c r="S278" s="16">
        <v>-2.0</v>
      </c>
      <c r="T278" s="16"/>
      <c r="U278" s="16" t="s">
        <v>1490</v>
      </c>
      <c r="V278" s="16" t="s">
        <v>1491</v>
      </c>
      <c r="W278" s="16" t="s">
        <v>566</v>
      </c>
      <c r="X278" s="16" t="s">
        <v>181</v>
      </c>
      <c r="Y278" s="100"/>
      <c r="Z278" s="16" t="s">
        <v>181</v>
      </c>
    </row>
    <row r="279">
      <c r="A279" s="16">
        <v>12769.0</v>
      </c>
      <c r="B279" s="16" t="s">
        <v>1492</v>
      </c>
      <c r="C279" s="16">
        <v>0.0</v>
      </c>
      <c r="D279" s="174" t="s">
        <v>1493</v>
      </c>
      <c r="E279" s="16"/>
      <c r="F279" s="16">
        <v>572.0</v>
      </c>
      <c r="G279" s="16" t="s">
        <v>306</v>
      </c>
      <c r="H279" s="16" t="s">
        <v>24</v>
      </c>
      <c r="I279" s="16"/>
      <c r="J279" s="16"/>
      <c r="K279" s="16"/>
      <c r="L279" s="16"/>
      <c r="M279" s="16"/>
      <c r="N279" s="16"/>
      <c r="O279" s="16"/>
      <c r="P279" s="16"/>
      <c r="Q279" s="16"/>
      <c r="R279" s="16"/>
      <c r="S279" s="16">
        <v>-2.0</v>
      </c>
      <c r="T279" s="16"/>
      <c r="U279" s="16" t="s">
        <v>1494</v>
      </c>
      <c r="V279" s="16" t="s">
        <v>1495</v>
      </c>
      <c r="W279" s="16" t="s">
        <v>496</v>
      </c>
      <c r="X279" s="16" t="s">
        <v>181</v>
      </c>
      <c r="Y279" s="100"/>
      <c r="Z279" s="16" t="s">
        <v>181</v>
      </c>
    </row>
    <row r="280">
      <c r="A280" s="16">
        <v>12770.0</v>
      </c>
      <c r="B280" s="16" t="s">
        <v>1496</v>
      </c>
      <c r="C280" s="16">
        <v>0.0</v>
      </c>
      <c r="D280" s="174" t="s">
        <v>1497</v>
      </c>
      <c r="E280" s="16"/>
      <c r="F280" s="16">
        <v>547.0</v>
      </c>
      <c r="G280" s="16" t="s">
        <v>176</v>
      </c>
      <c r="H280" s="16" t="s">
        <v>17</v>
      </c>
      <c r="I280" s="16" t="s">
        <v>19</v>
      </c>
      <c r="J280" s="16" t="s">
        <v>18</v>
      </c>
      <c r="K280" s="16"/>
      <c r="L280" s="16"/>
      <c r="M280" s="16"/>
      <c r="N280" s="16"/>
      <c r="O280" s="16"/>
      <c r="P280" s="16"/>
      <c r="Q280" s="16"/>
      <c r="R280" s="16"/>
      <c r="S280" s="16">
        <v>-2.0</v>
      </c>
      <c r="T280" s="16"/>
      <c r="U280" s="16" t="s">
        <v>1498</v>
      </c>
      <c r="V280" s="16" t="s">
        <v>1499</v>
      </c>
      <c r="W280" s="16" t="s">
        <v>661</v>
      </c>
      <c r="X280" s="16" t="s">
        <v>181</v>
      </c>
      <c r="Y280" s="100"/>
      <c r="Z280" s="16" t="s">
        <v>181</v>
      </c>
    </row>
    <row r="281">
      <c r="A281" s="16">
        <v>12771.0</v>
      </c>
      <c r="B281" s="16" t="s">
        <v>70</v>
      </c>
      <c r="C281" s="16">
        <v>2.0</v>
      </c>
      <c r="D281" s="174" t="s">
        <v>1500</v>
      </c>
      <c r="E281" s="16"/>
      <c r="F281" s="16">
        <v>572.0</v>
      </c>
      <c r="G281" s="16" t="s">
        <v>306</v>
      </c>
      <c r="H281" s="16" t="s">
        <v>24</v>
      </c>
      <c r="I281" s="16"/>
      <c r="J281" s="16"/>
      <c r="K281" s="16"/>
      <c r="L281" s="16"/>
      <c r="M281" s="16"/>
      <c r="N281" s="16"/>
      <c r="O281" s="16"/>
      <c r="P281" s="16"/>
      <c r="Q281" s="16"/>
      <c r="R281" s="16"/>
      <c r="S281" s="16">
        <v>-2.0</v>
      </c>
      <c r="T281" s="16"/>
      <c r="U281" s="16" t="s">
        <v>1501</v>
      </c>
      <c r="V281" s="16" t="s">
        <v>1502</v>
      </c>
      <c r="W281" s="16" t="s">
        <v>231</v>
      </c>
      <c r="X281" s="16" t="s">
        <v>181</v>
      </c>
      <c r="Y281" s="100"/>
      <c r="Z281" s="16" t="s">
        <v>181</v>
      </c>
    </row>
    <row r="282">
      <c r="A282" s="16">
        <v>12772.0</v>
      </c>
      <c r="B282" s="16" t="s">
        <v>1503</v>
      </c>
      <c r="C282" s="16">
        <v>1.32</v>
      </c>
      <c r="D282" s="174" t="s">
        <v>1504</v>
      </c>
      <c r="E282" s="16"/>
      <c r="F282" s="16">
        <v>547.0</v>
      </c>
      <c r="G282" s="16" t="s">
        <v>176</v>
      </c>
      <c r="H282" s="16" t="s">
        <v>19</v>
      </c>
      <c r="I282" s="16" t="s">
        <v>18</v>
      </c>
      <c r="J282" s="16"/>
      <c r="K282" s="16"/>
      <c r="L282" s="16"/>
      <c r="M282" s="16"/>
      <c r="N282" s="16"/>
      <c r="O282" s="16"/>
      <c r="P282" s="16"/>
      <c r="Q282" s="16"/>
      <c r="R282" s="16"/>
      <c r="S282" s="16">
        <v>-2.0</v>
      </c>
      <c r="T282" s="16"/>
      <c r="U282" s="16" t="s">
        <v>1505</v>
      </c>
      <c r="V282" s="16" t="s">
        <v>1506</v>
      </c>
      <c r="W282" s="16" t="s">
        <v>199</v>
      </c>
      <c r="X282" s="16" t="s">
        <v>181</v>
      </c>
      <c r="Y282" s="100"/>
      <c r="Z282" s="16" t="s">
        <v>181</v>
      </c>
    </row>
    <row r="283">
      <c r="A283" s="16">
        <v>12773.0</v>
      </c>
      <c r="B283" s="16" t="s">
        <v>1507</v>
      </c>
      <c r="C283" s="16">
        <v>0.56</v>
      </c>
      <c r="D283" s="174" t="s">
        <v>1508</v>
      </c>
      <c r="E283" s="16"/>
      <c r="F283" s="16">
        <v>569.0</v>
      </c>
      <c r="G283" s="16" t="s">
        <v>292</v>
      </c>
      <c r="H283" s="16" t="s">
        <v>25</v>
      </c>
      <c r="I283" s="16"/>
      <c r="J283" s="16"/>
      <c r="K283" s="16"/>
      <c r="L283" s="16"/>
      <c r="M283" s="16"/>
      <c r="N283" s="16"/>
      <c r="O283" s="16"/>
      <c r="P283" s="16"/>
      <c r="Q283" s="16"/>
      <c r="R283" s="16"/>
      <c r="S283" s="16">
        <v>-2.0</v>
      </c>
      <c r="T283" s="16"/>
      <c r="U283" s="16" t="s">
        <v>1509</v>
      </c>
      <c r="V283" s="16" t="s">
        <v>1510</v>
      </c>
      <c r="W283" s="16" t="s">
        <v>491</v>
      </c>
      <c r="X283" s="16" t="s">
        <v>181</v>
      </c>
      <c r="Y283" s="100"/>
      <c r="Z283" s="16" t="s">
        <v>181</v>
      </c>
    </row>
    <row r="284">
      <c r="A284" s="16">
        <v>12774.0</v>
      </c>
      <c r="B284" s="16" t="s">
        <v>1511</v>
      </c>
      <c r="C284" s="16">
        <v>0.94</v>
      </c>
      <c r="D284" s="174" t="s">
        <v>1512</v>
      </c>
      <c r="E284" s="16"/>
      <c r="F284" s="16">
        <v>547.0</v>
      </c>
      <c r="G284" s="16" t="s">
        <v>176</v>
      </c>
      <c r="H284" s="16" t="s">
        <v>25</v>
      </c>
      <c r="I284" s="16"/>
      <c r="J284" s="16"/>
      <c r="K284" s="16"/>
      <c r="L284" s="16"/>
      <c r="M284" s="16"/>
      <c r="N284" s="16"/>
      <c r="O284" s="16"/>
      <c r="P284" s="16"/>
      <c r="Q284" s="16"/>
      <c r="R284" s="16"/>
      <c r="S284" s="16">
        <v>-2.0</v>
      </c>
      <c r="T284" s="16"/>
      <c r="U284" s="16" t="s">
        <v>1513</v>
      </c>
      <c r="V284" s="16" t="s">
        <v>1514</v>
      </c>
      <c r="W284" s="16" t="s">
        <v>360</v>
      </c>
      <c r="X284" s="16" t="s">
        <v>181</v>
      </c>
      <c r="Y284" s="100"/>
      <c r="Z284" s="16" t="s">
        <v>181</v>
      </c>
    </row>
    <row r="285">
      <c r="A285" s="16">
        <v>12775.0</v>
      </c>
      <c r="B285" s="16" t="s">
        <v>1515</v>
      </c>
      <c r="C285" s="16">
        <v>0.87</v>
      </c>
      <c r="D285" s="174" t="s">
        <v>1516</v>
      </c>
      <c r="E285" s="16"/>
      <c r="F285" s="16">
        <v>547.0</v>
      </c>
      <c r="G285" s="16" t="s">
        <v>176</v>
      </c>
      <c r="H285" s="16" t="s">
        <v>16</v>
      </c>
      <c r="I285" s="16" t="s">
        <v>14</v>
      </c>
      <c r="J285" s="16" t="s">
        <v>15</v>
      </c>
      <c r="K285" s="16" t="s">
        <v>17</v>
      </c>
      <c r="L285" s="16" t="s">
        <v>13</v>
      </c>
      <c r="M285" s="16"/>
      <c r="N285" s="16"/>
      <c r="O285" s="16"/>
      <c r="P285" s="16"/>
      <c r="Q285" s="16"/>
      <c r="R285" s="16"/>
      <c r="S285" s="16">
        <v>-2.0</v>
      </c>
      <c r="T285" s="16"/>
      <c r="U285" s="16" t="s">
        <v>1517</v>
      </c>
      <c r="V285" s="16" t="s">
        <v>1518</v>
      </c>
      <c r="W285" s="16" t="s">
        <v>491</v>
      </c>
      <c r="X285" s="16" t="s">
        <v>181</v>
      </c>
      <c r="Y285" s="100"/>
      <c r="Z285" s="16" t="s">
        <v>181</v>
      </c>
    </row>
    <row r="286">
      <c r="A286" s="16">
        <v>12776.0</v>
      </c>
      <c r="B286" s="16" t="s">
        <v>1519</v>
      </c>
      <c r="C286" s="16">
        <v>0.0</v>
      </c>
      <c r="D286" s="174" t="s">
        <v>1520</v>
      </c>
      <c r="E286" s="16"/>
      <c r="F286" s="16">
        <v>547.0</v>
      </c>
      <c r="G286" s="16" t="s">
        <v>176</v>
      </c>
      <c r="H286" s="16" t="s">
        <v>17</v>
      </c>
      <c r="I286" s="16" t="s">
        <v>19</v>
      </c>
      <c r="J286" s="16" t="s">
        <v>18</v>
      </c>
      <c r="K286" s="16"/>
      <c r="L286" s="16"/>
      <c r="M286" s="16"/>
      <c r="N286" s="16"/>
      <c r="O286" s="16"/>
      <c r="P286" s="16"/>
      <c r="Q286" s="16"/>
      <c r="R286" s="16"/>
      <c r="S286" s="16">
        <v>-2.0</v>
      </c>
      <c r="T286" s="16"/>
      <c r="U286" s="16" t="s">
        <v>1521</v>
      </c>
      <c r="V286" s="16" t="s">
        <v>1522</v>
      </c>
      <c r="W286" s="16" t="s">
        <v>360</v>
      </c>
      <c r="X286" s="16" t="s">
        <v>181</v>
      </c>
      <c r="Y286" s="100"/>
      <c r="Z286" s="16" t="s">
        <v>181</v>
      </c>
    </row>
    <row r="287">
      <c r="A287" s="16">
        <v>12777.0</v>
      </c>
      <c r="B287" s="16" t="s">
        <v>1523</v>
      </c>
      <c r="C287" s="16">
        <v>1.46</v>
      </c>
      <c r="D287" s="174" t="s">
        <v>1524</v>
      </c>
      <c r="E287" s="16"/>
      <c r="F287" s="16">
        <v>593.0</v>
      </c>
      <c r="G287" s="16" t="s">
        <v>272</v>
      </c>
      <c r="H287" s="16" t="s">
        <v>16</v>
      </c>
      <c r="I287" s="16" t="s">
        <v>14</v>
      </c>
      <c r="J287" s="16" t="s">
        <v>15</v>
      </c>
      <c r="K287" s="16"/>
      <c r="L287" s="16"/>
      <c r="M287" s="16"/>
      <c r="N287" s="16"/>
      <c r="O287" s="16"/>
      <c r="P287" s="16"/>
      <c r="Q287" s="16"/>
      <c r="R287" s="16"/>
      <c r="S287" s="16">
        <v>-2.0</v>
      </c>
      <c r="T287" s="174" t="s">
        <v>1525</v>
      </c>
      <c r="U287" s="16" t="s">
        <v>1526</v>
      </c>
      <c r="V287" s="16" t="s">
        <v>1527</v>
      </c>
      <c r="W287" s="16" t="s">
        <v>360</v>
      </c>
      <c r="X287" s="16" t="s">
        <v>181</v>
      </c>
      <c r="Y287" s="100"/>
      <c r="Z287" s="16" t="s">
        <v>181</v>
      </c>
    </row>
    <row r="288">
      <c r="A288" s="16">
        <v>12778.0</v>
      </c>
      <c r="B288" s="16" t="s">
        <v>1528</v>
      </c>
      <c r="C288" s="16">
        <v>0.0</v>
      </c>
      <c r="D288" s="174" t="s">
        <v>1529</v>
      </c>
      <c r="E288" s="16"/>
      <c r="F288" s="16">
        <v>547.0</v>
      </c>
      <c r="G288" s="16" t="s">
        <v>176</v>
      </c>
      <c r="H288" s="16" t="s">
        <v>14</v>
      </c>
      <c r="I288" s="16" t="s">
        <v>13</v>
      </c>
      <c r="J288" s="16"/>
      <c r="K288" s="16"/>
      <c r="L288" s="16"/>
      <c r="M288" s="16"/>
      <c r="N288" s="16"/>
      <c r="O288" s="16"/>
      <c r="P288" s="16"/>
      <c r="Q288" s="16"/>
      <c r="R288" s="16"/>
      <c r="S288" s="16">
        <v>-2.0</v>
      </c>
      <c r="T288" s="16"/>
      <c r="U288" s="16" t="s">
        <v>1530</v>
      </c>
      <c r="V288" s="16" t="s">
        <v>1531</v>
      </c>
      <c r="W288" s="16" t="s">
        <v>179</v>
      </c>
      <c r="X288" s="16" t="s">
        <v>181</v>
      </c>
      <c r="Y288" s="100"/>
      <c r="Z288" s="16" t="s">
        <v>181</v>
      </c>
    </row>
    <row r="289">
      <c r="A289" s="16">
        <v>12779.0</v>
      </c>
      <c r="B289" s="16" t="s">
        <v>1532</v>
      </c>
      <c r="C289" s="16">
        <v>0.0</v>
      </c>
      <c r="D289" s="174" t="s">
        <v>1533</v>
      </c>
      <c r="E289" s="16"/>
      <c r="F289" s="16">
        <v>581.0</v>
      </c>
      <c r="G289" s="16" t="s">
        <v>346</v>
      </c>
      <c r="H289" s="16" t="s">
        <v>25</v>
      </c>
      <c r="I289" s="16"/>
      <c r="J289" s="16"/>
      <c r="K289" s="16"/>
      <c r="L289" s="16"/>
      <c r="M289" s="16"/>
      <c r="N289" s="16"/>
      <c r="O289" s="16"/>
      <c r="P289" s="16"/>
      <c r="Q289" s="16"/>
      <c r="R289" s="16"/>
      <c r="S289" s="16">
        <v>-2.0</v>
      </c>
      <c r="T289" s="16"/>
      <c r="U289" s="16" t="s">
        <v>1534</v>
      </c>
      <c r="V289" s="16" t="s">
        <v>1535</v>
      </c>
      <c r="W289" s="16" t="s">
        <v>591</v>
      </c>
      <c r="X289" s="16" t="s">
        <v>181</v>
      </c>
      <c r="Y289" s="100"/>
      <c r="Z289" s="16" t="s">
        <v>181</v>
      </c>
    </row>
    <row r="290">
      <c r="A290" s="16">
        <v>12780.0</v>
      </c>
      <c r="B290" s="16" t="s">
        <v>1536</v>
      </c>
      <c r="C290" s="16">
        <v>0.18</v>
      </c>
      <c r="D290" s="174" t="s">
        <v>1537</v>
      </c>
      <c r="E290" s="16"/>
      <c r="F290" s="16">
        <v>547.0</v>
      </c>
      <c r="G290" s="16" t="s">
        <v>176</v>
      </c>
      <c r="H290" s="16" t="s">
        <v>24</v>
      </c>
      <c r="I290" s="16"/>
      <c r="J290" s="16"/>
      <c r="K290" s="16"/>
      <c r="L290" s="16"/>
      <c r="M290" s="16"/>
      <c r="N290" s="16"/>
      <c r="O290" s="16"/>
      <c r="P290" s="16"/>
      <c r="Q290" s="16"/>
      <c r="R290" s="16"/>
      <c r="S290" s="16">
        <v>-2.0</v>
      </c>
      <c r="T290" s="16"/>
      <c r="U290" s="16" t="s">
        <v>1538</v>
      </c>
      <c r="V290" s="16" t="s">
        <v>1539</v>
      </c>
      <c r="W290" s="16" t="s">
        <v>496</v>
      </c>
      <c r="X290" s="16" t="s">
        <v>181</v>
      </c>
      <c r="Y290" s="100"/>
      <c r="Z290" s="16" t="s">
        <v>181</v>
      </c>
    </row>
    <row r="291">
      <c r="A291" s="16">
        <v>12781.0</v>
      </c>
      <c r="B291" s="16" t="s">
        <v>1540</v>
      </c>
      <c r="C291" s="16">
        <v>0.74</v>
      </c>
      <c r="D291" s="174" t="s">
        <v>1541</v>
      </c>
      <c r="E291" s="16"/>
      <c r="F291" s="16">
        <v>547.0</v>
      </c>
      <c r="G291" s="16" t="s">
        <v>176</v>
      </c>
      <c r="H291" s="16" t="s">
        <v>25</v>
      </c>
      <c r="I291" s="16"/>
      <c r="J291" s="16"/>
      <c r="K291" s="16"/>
      <c r="L291" s="16"/>
      <c r="M291" s="16"/>
      <c r="N291" s="16"/>
      <c r="O291" s="16"/>
      <c r="P291" s="16"/>
      <c r="Q291" s="16"/>
      <c r="R291" s="16"/>
      <c r="S291" s="16">
        <v>-2.0</v>
      </c>
      <c r="T291" s="16"/>
      <c r="U291" s="16" t="s">
        <v>1542</v>
      </c>
      <c r="V291" s="16" t="s">
        <v>1543</v>
      </c>
      <c r="W291" s="16" t="s">
        <v>199</v>
      </c>
      <c r="X291" s="16" t="s">
        <v>181</v>
      </c>
      <c r="Y291" s="100"/>
      <c r="Z291" s="16" t="s">
        <v>181</v>
      </c>
    </row>
    <row r="292">
      <c r="A292" s="16">
        <v>12782.0</v>
      </c>
      <c r="B292" s="16" t="s">
        <v>1544</v>
      </c>
      <c r="C292" s="16">
        <v>0.54</v>
      </c>
      <c r="D292" s="174" t="s">
        <v>1545</v>
      </c>
      <c r="E292" s="16"/>
      <c r="F292" s="16">
        <v>571.0</v>
      </c>
      <c r="G292" s="16" t="s">
        <v>686</v>
      </c>
      <c r="H292" s="16" t="s">
        <v>24</v>
      </c>
      <c r="I292" s="16"/>
      <c r="J292" s="16"/>
      <c r="K292" s="16"/>
      <c r="L292" s="16"/>
      <c r="M292" s="16"/>
      <c r="N292" s="16"/>
      <c r="O292" s="16"/>
      <c r="P292" s="16"/>
      <c r="Q292" s="16"/>
      <c r="R292" s="16"/>
      <c r="S292" s="16">
        <v>-2.0</v>
      </c>
      <c r="T292" s="16"/>
      <c r="U292" s="16" t="s">
        <v>1546</v>
      </c>
      <c r="V292" s="16" t="s">
        <v>1547</v>
      </c>
      <c r="W292" s="16" t="s">
        <v>661</v>
      </c>
      <c r="X292" s="16" t="s">
        <v>181</v>
      </c>
      <c r="Y292" s="100"/>
      <c r="Z292" s="16" t="s">
        <v>181</v>
      </c>
    </row>
    <row r="293">
      <c r="A293" s="16">
        <v>12783.0</v>
      </c>
      <c r="B293" s="16" t="s">
        <v>1548</v>
      </c>
      <c r="C293" s="16">
        <v>0.0</v>
      </c>
      <c r="D293" s="174" t="s">
        <v>1549</v>
      </c>
      <c r="E293" s="16"/>
      <c r="F293" s="16">
        <v>547.0</v>
      </c>
      <c r="G293" s="16" t="s">
        <v>176</v>
      </c>
      <c r="H293" s="16" t="s">
        <v>19</v>
      </c>
      <c r="I293" s="16" t="s">
        <v>17</v>
      </c>
      <c r="J293" s="16"/>
      <c r="K293" s="16"/>
      <c r="L293" s="16"/>
      <c r="M293" s="16"/>
      <c r="N293" s="16"/>
      <c r="O293" s="16"/>
      <c r="P293" s="16"/>
      <c r="Q293" s="16"/>
      <c r="R293" s="16"/>
      <c r="S293" s="16">
        <v>-2.0</v>
      </c>
      <c r="T293" s="16"/>
      <c r="U293" s="16" t="s">
        <v>1550</v>
      </c>
      <c r="V293" s="16" t="s">
        <v>1551</v>
      </c>
      <c r="W293" s="16" t="s">
        <v>332</v>
      </c>
      <c r="X293" s="16" t="s">
        <v>181</v>
      </c>
      <c r="Y293" s="100"/>
      <c r="Z293" s="16" t="s">
        <v>181</v>
      </c>
    </row>
    <row r="294">
      <c r="A294" s="16">
        <v>12784.0</v>
      </c>
      <c r="B294" s="16" t="s">
        <v>1552</v>
      </c>
      <c r="C294" s="16">
        <v>0.45</v>
      </c>
      <c r="D294" s="174" t="s">
        <v>1553</v>
      </c>
      <c r="E294" s="16"/>
      <c r="F294" s="16">
        <v>572.0</v>
      </c>
      <c r="G294" s="16" t="s">
        <v>306</v>
      </c>
      <c r="H294" s="16" t="s">
        <v>25</v>
      </c>
      <c r="I294" s="16" t="s">
        <v>26</v>
      </c>
      <c r="J294" s="16"/>
      <c r="K294" s="16"/>
      <c r="L294" s="16"/>
      <c r="M294" s="16"/>
      <c r="N294" s="16"/>
      <c r="O294" s="16"/>
      <c r="P294" s="16"/>
      <c r="Q294" s="16"/>
      <c r="R294" s="16"/>
      <c r="S294" s="16">
        <v>-2.0</v>
      </c>
      <c r="T294" s="16"/>
      <c r="U294" s="16" t="s">
        <v>1554</v>
      </c>
      <c r="V294" s="16" t="s">
        <v>1555</v>
      </c>
      <c r="W294" s="16" t="s">
        <v>259</v>
      </c>
      <c r="X294" s="16" t="s">
        <v>181</v>
      </c>
      <c r="Y294" s="100"/>
      <c r="Z294" s="16" t="s">
        <v>181</v>
      </c>
    </row>
    <row r="295">
      <c r="A295" s="16">
        <v>12785.0</v>
      </c>
      <c r="B295" s="16" t="s">
        <v>1556</v>
      </c>
      <c r="C295" s="16">
        <v>3.28</v>
      </c>
      <c r="D295" s="174" t="s">
        <v>1557</v>
      </c>
      <c r="E295" s="16"/>
      <c r="F295" s="16">
        <v>563.0</v>
      </c>
      <c r="G295" s="16" t="s">
        <v>260</v>
      </c>
      <c r="H295" s="16" t="s">
        <v>25</v>
      </c>
      <c r="I295" s="16" t="s">
        <v>26</v>
      </c>
      <c r="J295" s="16"/>
      <c r="K295" s="16"/>
      <c r="L295" s="16"/>
      <c r="M295" s="16"/>
      <c r="N295" s="16"/>
      <c r="O295" s="16"/>
      <c r="P295" s="16"/>
      <c r="Q295" s="16"/>
      <c r="R295" s="16"/>
      <c r="S295" s="16">
        <v>-2.0</v>
      </c>
      <c r="T295" s="16"/>
      <c r="U295" s="16" t="s">
        <v>1558</v>
      </c>
      <c r="V295" s="16" t="s">
        <v>1559</v>
      </c>
      <c r="W295" s="16" t="s">
        <v>332</v>
      </c>
      <c r="X295" s="16" t="s">
        <v>181</v>
      </c>
      <c r="Y295" s="100"/>
      <c r="Z295" s="16" t="s">
        <v>181</v>
      </c>
    </row>
    <row r="296">
      <c r="A296" s="16">
        <v>12786.0</v>
      </c>
      <c r="B296" s="16" t="s">
        <v>1560</v>
      </c>
      <c r="C296" s="16">
        <v>0.0</v>
      </c>
      <c r="D296" s="174" t="s">
        <v>1561</v>
      </c>
      <c r="E296" s="16"/>
      <c r="F296" s="16">
        <v>547.0</v>
      </c>
      <c r="G296" s="16" t="s">
        <v>176</v>
      </c>
      <c r="H296" s="16" t="s">
        <v>13</v>
      </c>
      <c r="I296" s="16"/>
      <c r="J296" s="16"/>
      <c r="K296" s="16"/>
      <c r="L296" s="16"/>
      <c r="M296" s="16"/>
      <c r="N296" s="16"/>
      <c r="O296" s="16"/>
      <c r="P296" s="16"/>
      <c r="Q296" s="16"/>
      <c r="R296" s="16"/>
      <c r="S296" s="16">
        <v>-2.0</v>
      </c>
      <c r="T296" s="16"/>
      <c r="U296" s="16" t="s">
        <v>1562</v>
      </c>
      <c r="V296" s="16" t="s">
        <v>1563</v>
      </c>
      <c r="W296" s="16" t="s">
        <v>332</v>
      </c>
      <c r="X296" s="16" t="s">
        <v>181</v>
      </c>
      <c r="Y296" s="100"/>
      <c r="Z296" s="16" t="s">
        <v>181</v>
      </c>
    </row>
    <row r="297">
      <c r="A297" s="16">
        <v>12787.0</v>
      </c>
      <c r="B297" s="16" t="s">
        <v>1564</v>
      </c>
      <c r="C297" s="16">
        <v>1.89</v>
      </c>
      <c r="D297" s="174" t="s">
        <v>1565</v>
      </c>
      <c r="E297" s="16"/>
      <c r="F297" s="16">
        <v>590.0</v>
      </c>
      <c r="G297" s="16" t="s">
        <v>387</v>
      </c>
      <c r="H297" s="16" t="s">
        <v>25</v>
      </c>
      <c r="I297" s="16"/>
      <c r="J297" s="16"/>
      <c r="K297" s="16"/>
      <c r="L297" s="16"/>
      <c r="M297" s="16"/>
      <c r="N297" s="16"/>
      <c r="O297" s="16"/>
      <c r="P297" s="16"/>
      <c r="Q297" s="16"/>
      <c r="R297" s="16"/>
      <c r="S297" s="16">
        <v>-2.0</v>
      </c>
      <c r="T297" s="16"/>
      <c r="U297" s="16" t="s">
        <v>1566</v>
      </c>
      <c r="V297" s="16" t="s">
        <v>1567</v>
      </c>
      <c r="W297" s="16" t="s">
        <v>422</v>
      </c>
      <c r="X297" s="16" t="s">
        <v>181</v>
      </c>
      <c r="Y297" s="100"/>
      <c r="Z297" s="16" t="s">
        <v>181</v>
      </c>
    </row>
    <row r="298">
      <c r="A298" s="16">
        <v>12788.0</v>
      </c>
      <c r="B298" s="16" t="s">
        <v>1568</v>
      </c>
      <c r="C298" s="16">
        <v>1.07</v>
      </c>
      <c r="D298" s="174" t="s">
        <v>1569</v>
      </c>
      <c r="E298" s="16"/>
      <c r="F298" s="16">
        <v>581.0</v>
      </c>
      <c r="G298" s="16" t="s">
        <v>346</v>
      </c>
      <c r="H298" s="16" t="s">
        <v>12</v>
      </c>
      <c r="I298" s="16"/>
      <c r="J298" s="16"/>
      <c r="K298" s="16"/>
      <c r="L298" s="16"/>
      <c r="M298" s="16"/>
      <c r="N298" s="16"/>
      <c r="O298" s="16"/>
      <c r="P298" s="16"/>
      <c r="Q298" s="16"/>
      <c r="R298" s="16"/>
      <c r="S298" s="16">
        <v>-2.0</v>
      </c>
      <c r="T298" s="16"/>
      <c r="U298" s="16" t="s">
        <v>1570</v>
      </c>
      <c r="V298" s="16" t="s">
        <v>1571</v>
      </c>
      <c r="W298" s="16" t="s">
        <v>661</v>
      </c>
      <c r="X298" s="16" t="s">
        <v>181</v>
      </c>
      <c r="Y298" s="100"/>
      <c r="Z298" s="16" t="s">
        <v>181</v>
      </c>
    </row>
    <row r="299">
      <c r="A299" s="16">
        <v>12789.0</v>
      </c>
      <c r="B299" s="16" t="s">
        <v>1572</v>
      </c>
      <c r="C299" s="16">
        <v>2.17</v>
      </c>
      <c r="D299" s="174" t="s">
        <v>1573</v>
      </c>
      <c r="E299" s="16"/>
      <c r="F299" s="16">
        <v>560.0</v>
      </c>
      <c r="G299" s="16" t="s">
        <v>245</v>
      </c>
      <c r="H299" s="16" t="s">
        <v>16</v>
      </c>
      <c r="I299" s="16"/>
      <c r="J299" s="16"/>
      <c r="K299" s="16"/>
      <c r="L299" s="16"/>
      <c r="M299" s="16"/>
      <c r="N299" s="16"/>
      <c r="O299" s="16"/>
      <c r="P299" s="16"/>
      <c r="Q299" s="16"/>
      <c r="R299" s="16"/>
      <c r="S299" s="16">
        <v>-2.0</v>
      </c>
      <c r="T299" s="16"/>
      <c r="U299" s="16" t="s">
        <v>1574</v>
      </c>
      <c r="V299" s="16" t="s">
        <v>1575</v>
      </c>
      <c r="W299" s="16" t="s">
        <v>188</v>
      </c>
      <c r="X299" s="16" t="s">
        <v>181</v>
      </c>
      <c r="Y299" s="100"/>
      <c r="Z299" s="16" t="s">
        <v>181</v>
      </c>
    </row>
    <row r="300">
      <c r="A300" s="16">
        <v>12790.0</v>
      </c>
      <c r="B300" s="16" t="s">
        <v>1576</v>
      </c>
      <c r="C300" s="16">
        <v>0.0</v>
      </c>
      <c r="D300" s="174" t="s">
        <v>1577</v>
      </c>
      <c r="E300" s="16"/>
      <c r="F300" s="16">
        <v>547.0</v>
      </c>
      <c r="G300" s="16" t="s">
        <v>176</v>
      </c>
      <c r="H300" s="16" t="s">
        <v>19</v>
      </c>
      <c r="I300" s="16"/>
      <c r="J300" s="16"/>
      <c r="K300" s="16"/>
      <c r="L300" s="16"/>
      <c r="M300" s="16"/>
      <c r="N300" s="16"/>
      <c r="O300" s="16"/>
      <c r="P300" s="16"/>
      <c r="Q300" s="16"/>
      <c r="R300" s="16"/>
      <c r="S300" s="16">
        <v>-2.0</v>
      </c>
      <c r="T300" s="16"/>
      <c r="U300" s="16" t="s">
        <v>1578</v>
      </c>
      <c r="V300" s="16" t="s">
        <v>1579</v>
      </c>
      <c r="W300" s="16" t="s">
        <v>661</v>
      </c>
      <c r="X300" s="16" t="s">
        <v>181</v>
      </c>
      <c r="Y300" s="100"/>
      <c r="Z300" s="16" t="s">
        <v>181</v>
      </c>
    </row>
    <row r="301">
      <c r="A301" s="16">
        <v>12791.0</v>
      </c>
      <c r="B301" s="16" t="s">
        <v>1580</v>
      </c>
      <c r="C301" s="16">
        <v>0.37</v>
      </c>
      <c r="D301" s="174" t="s">
        <v>1581</v>
      </c>
      <c r="E301" s="16"/>
      <c r="F301" s="16">
        <v>547.0</v>
      </c>
      <c r="G301" s="16" t="s">
        <v>176</v>
      </c>
      <c r="H301" s="16" t="s">
        <v>25</v>
      </c>
      <c r="I301" s="16" t="s">
        <v>26</v>
      </c>
      <c r="J301" s="16"/>
      <c r="K301" s="16"/>
      <c r="L301" s="16"/>
      <c r="M301" s="16"/>
      <c r="N301" s="16"/>
      <c r="O301" s="16"/>
      <c r="P301" s="16"/>
      <c r="Q301" s="16"/>
      <c r="R301" s="16"/>
      <c r="S301" s="16">
        <v>-2.0</v>
      </c>
      <c r="T301" s="16"/>
      <c r="U301" s="16" t="s">
        <v>1582</v>
      </c>
      <c r="V301" s="16" t="s">
        <v>1583</v>
      </c>
      <c r="W301" s="16" t="s">
        <v>360</v>
      </c>
      <c r="X301" s="16" t="s">
        <v>181</v>
      </c>
      <c r="Y301" s="100"/>
      <c r="Z301" s="16" t="s">
        <v>181</v>
      </c>
    </row>
    <row r="302">
      <c r="A302" s="16">
        <v>12792.0</v>
      </c>
      <c r="B302" s="16" t="s">
        <v>1584</v>
      </c>
      <c r="C302" s="16">
        <v>0.0</v>
      </c>
      <c r="D302" s="174" t="s">
        <v>1585</v>
      </c>
      <c r="E302" s="16"/>
      <c r="F302" s="16">
        <v>547.0</v>
      </c>
      <c r="G302" s="16" t="s">
        <v>176</v>
      </c>
      <c r="H302" s="16" t="s">
        <v>24</v>
      </c>
      <c r="I302" s="16"/>
      <c r="J302" s="16"/>
      <c r="K302" s="16"/>
      <c r="L302" s="16"/>
      <c r="M302" s="16"/>
      <c r="N302" s="16"/>
      <c r="O302" s="16"/>
      <c r="P302" s="16"/>
      <c r="Q302" s="16"/>
      <c r="R302" s="16"/>
      <c r="S302" s="16">
        <v>-2.0</v>
      </c>
      <c r="T302" s="16"/>
      <c r="U302" s="16" t="s">
        <v>1586</v>
      </c>
      <c r="V302" s="16" t="s">
        <v>1587</v>
      </c>
      <c r="W302" s="16" t="s">
        <v>332</v>
      </c>
      <c r="X302" s="16" t="s">
        <v>181</v>
      </c>
      <c r="Y302" s="100"/>
      <c r="Z302" s="16" t="s">
        <v>181</v>
      </c>
    </row>
    <row r="303">
      <c r="A303" s="16">
        <v>12793.0</v>
      </c>
      <c r="B303" s="16" t="s">
        <v>1588</v>
      </c>
      <c r="C303" s="16">
        <v>0.31</v>
      </c>
      <c r="D303" s="174" t="s">
        <v>1589</v>
      </c>
      <c r="E303" s="16"/>
      <c r="F303" s="16">
        <v>547.0</v>
      </c>
      <c r="G303" s="16" t="s">
        <v>176</v>
      </c>
      <c r="H303" s="16" t="s">
        <v>25</v>
      </c>
      <c r="I303" s="16" t="s">
        <v>26</v>
      </c>
      <c r="J303" s="16"/>
      <c r="K303" s="16"/>
      <c r="L303" s="16"/>
      <c r="M303" s="16"/>
      <c r="N303" s="16"/>
      <c r="O303" s="16"/>
      <c r="P303" s="16"/>
      <c r="Q303" s="16"/>
      <c r="R303" s="16"/>
      <c r="S303" s="16">
        <v>-2.0</v>
      </c>
      <c r="T303" s="16"/>
      <c r="U303" s="16" t="s">
        <v>1590</v>
      </c>
      <c r="V303" s="16" t="s">
        <v>1591</v>
      </c>
      <c r="W303" s="16" t="s">
        <v>422</v>
      </c>
      <c r="X303" s="16" t="s">
        <v>181</v>
      </c>
      <c r="Y303" s="100"/>
      <c r="Z303" s="16" t="s">
        <v>181</v>
      </c>
    </row>
    <row r="304">
      <c r="A304" s="16">
        <v>12794.0</v>
      </c>
      <c r="B304" s="16" t="s">
        <v>1592</v>
      </c>
      <c r="C304" s="16">
        <v>2.84</v>
      </c>
      <c r="D304" s="174" t="s">
        <v>1593</v>
      </c>
      <c r="E304" s="16"/>
      <c r="F304" s="16">
        <v>581.0</v>
      </c>
      <c r="G304" s="16" t="s">
        <v>346</v>
      </c>
      <c r="H304" s="16" t="s">
        <v>25</v>
      </c>
      <c r="I304" s="16" t="s">
        <v>26</v>
      </c>
      <c r="J304" s="16"/>
      <c r="K304" s="16"/>
      <c r="L304" s="16"/>
      <c r="M304" s="16"/>
      <c r="N304" s="16"/>
      <c r="O304" s="16"/>
      <c r="P304" s="16"/>
      <c r="Q304" s="16"/>
      <c r="R304" s="16"/>
      <c r="S304" s="16">
        <v>-2.0</v>
      </c>
      <c r="T304" s="16"/>
      <c r="U304" s="16" t="s">
        <v>1594</v>
      </c>
      <c r="V304" s="16" t="s">
        <v>1595</v>
      </c>
      <c r="W304" s="16" t="s">
        <v>231</v>
      </c>
      <c r="X304" s="16" t="s">
        <v>181</v>
      </c>
      <c r="Y304" s="100"/>
      <c r="Z304" s="16" t="s">
        <v>181</v>
      </c>
    </row>
    <row r="305">
      <c r="A305" s="16">
        <v>12795.0</v>
      </c>
      <c r="B305" s="16" t="s">
        <v>1596</v>
      </c>
      <c r="C305" s="16">
        <v>0.0</v>
      </c>
      <c r="D305" s="174" t="s">
        <v>1597</v>
      </c>
      <c r="E305" s="16"/>
      <c r="F305" s="16">
        <v>547.0</v>
      </c>
      <c r="G305" s="16" t="s">
        <v>176</v>
      </c>
      <c r="H305" s="16" t="s">
        <v>25</v>
      </c>
      <c r="I305" s="16"/>
      <c r="J305" s="16"/>
      <c r="K305" s="16"/>
      <c r="L305" s="16"/>
      <c r="M305" s="16"/>
      <c r="N305" s="16"/>
      <c r="O305" s="16"/>
      <c r="P305" s="16"/>
      <c r="Q305" s="16"/>
      <c r="R305" s="16"/>
      <c r="S305" s="16">
        <v>-2.0</v>
      </c>
      <c r="T305" s="16"/>
      <c r="U305" s="16" t="s">
        <v>1598</v>
      </c>
      <c r="V305" s="16" t="s">
        <v>1599</v>
      </c>
      <c r="W305" s="16" t="s">
        <v>199</v>
      </c>
      <c r="X305" s="16" t="s">
        <v>181</v>
      </c>
      <c r="Y305" s="100"/>
      <c r="Z305" s="16" t="s">
        <v>181</v>
      </c>
    </row>
    <row r="306">
      <c r="A306" s="16">
        <v>12796.0</v>
      </c>
      <c r="B306" s="16" t="s">
        <v>1600</v>
      </c>
      <c r="C306" s="16">
        <v>0.0</v>
      </c>
      <c r="D306" s="174" t="s">
        <v>1601</v>
      </c>
      <c r="E306" s="16"/>
      <c r="F306" s="16">
        <v>547.0</v>
      </c>
      <c r="G306" s="16" t="s">
        <v>176</v>
      </c>
      <c r="H306" s="16" t="s">
        <v>15</v>
      </c>
      <c r="I306" s="16" t="s">
        <v>13</v>
      </c>
      <c r="J306" s="16"/>
      <c r="K306" s="16"/>
      <c r="L306" s="16"/>
      <c r="M306" s="16"/>
      <c r="N306" s="16"/>
      <c r="O306" s="16"/>
      <c r="P306" s="16"/>
      <c r="Q306" s="16"/>
      <c r="R306" s="16"/>
      <c r="S306" s="16">
        <v>-2.0</v>
      </c>
      <c r="T306" s="16"/>
      <c r="U306" s="16" t="s">
        <v>1602</v>
      </c>
      <c r="V306" s="16" t="s">
        <v>1603</v>
      </c>
      <c r="W306" s="16" t="s">
        <v>491</v>
      </c>
      <c r="X306" s="16" t="s">
        <v>181</v>
      </c>
      <c r="Y306" s="100"/>
      <c r="Z306" s="16" t="s">
        <v>181</v>
      </c>
    </row>
    <row r="307">
      <c r="A307" s="16">
        <v>12797.0</v>
      </c>
      <c r="B307" s="16" t="s">
        <v>1604</v>
      </c>
      <c r="C307" s="16">
        <v>0.0</v>
      </c>
      <c r="D307" s="174" t="s">
        <v>1605</v>
      </c>
      <c r="E307" s="16"/>
      <c r="F307" s="16">
        <v>547.0</v>
      </c>
      <c r="G307" s="16" t="s">
        <v>176</v>
      </c>
      <c r="H307" s="16" t="s">
        <v>14</v>
      </c>
      <c r="I307" s="16" t="s">
        <v>15</v>
      </c>
      <c r="J307" s="16" t="s">
        <v>17</v>
      </c>
      <c r="K307" s="16"/>
      <c r="L307" s="16"/>
      <c r="M307" s="16"/>
      <c r="N307" s="16"/>
      <c r="O307" s="16"/>
      <c r="P307" s="16"/>
      <c r="Q307" s="16"/>
      <c r="R307" s="16"/>
      <c r="S307" s="16">
        <v>-2.0</v>
      </c>
      <c r="T307" s="16"/>
      <c r="U307" s="16" t="s">
        <v>1606</v>
      </c>
      <c r="V307" s="16" t="s">
        <v>1607</v>
      </c>
      <c r="W307" s="16" t="s">
        <v>360</v>
      </c>
      <c r="X307" s="16" t="s">
        <v>181</v>
      </c>
      <c r="Y307" s="100"/>
      <c r="Z307" s="16" t="s">
        <v>181</v>
      </c>
    </row>
    <row r="308">
      <c r="A308" s="16">
        <v>12798.0</v>
      </c>
      <c r="B308" s="16" t="s">
        <v>1608</v>
      </c>
      <c r="C308" s="16">
        <v>2.33</v>
      </c>
      <c r="D308" s="174" t="s">
        <v>1609</v>
      </c>
      <c r="E308" s="16"/>
      <c r="F308" s="16">
        <v>557.0</v>
      </c>
      <c r="G308" s="16" t="s">
        <v>232</v>
      </c>
      <c r="H308" s="16" t="s">
        <v>25</v>
      </c>
      <c r="I308" s="16" t="s">
        <v>26</v>
      </c>
      <c r="J308" s="16"/>
      <c r="K308" s="16"/>
      <c r="L308" s="16"/>
      <c r="M308" s="16"/>
      <c r="N308" s="16"/>
      <c r="O308" s="16"/>
      <c r="P308" s="16"/>
      <c r="Q308" s="16"/>
      <c r="R308" s="16"/>
      <c r="S308" s="16">
        <v>-2.0</v>
      </c>
      <c r="T308" s="16"/>
      <c r="U308" s="16" t="s">
        <v>1610</v>
      </c>
      <c r="V308" s="16" t="s">
        <v>1611</v>
      </c>
      <c r="W308" s="16" t="s">
        <v>591</v>
      </c>
      <c r="X308" s="16" t="s">
        <v>181</v>
      </c>
      <c r="Y308" s="100"/>
      <c r="Z308" s="16" t="s">
        <v>181</v>
      </c>
    </row>
    <row r="309">
      <c r="A309" s="16">
        <v>12799.0</v>
      </c>
      <c r="B309" s="16" t="s">
        <v>1612</v>
      </c>
      <c r="C309" s="16">
        <v>0.96</v>
      </c>
      <c r="D309" s="174" t="s">
        <v>1613</v>
      </c>
      <c r="E309" s="16"/>
      <c r="F309" s="16">
        <v>547.0</v>
      </c>
      <c r="G309" s="16" t="s">
        <v>176</v>
      </c>
      <c r="H309" s="16" t="s">
        <v>15</v>
      </c>
      <c r="I309" s="16" t="s">
        <v>13</v>
      </c>
      <c r="J309" s="16" t="s">
        <v>17</v>
      </c>
      <c r="K309" s="16" t="s">
        <v>16</v>
      </c>
      <c r="L309" s="16" t="s">
        <v>14</v>
      </c>
      <c r="M309" s="16" t="s">
        <v>18</v>
      </c>
      <c r="N309" s="16"/>
      <c r="O309" s="16"/>
      <c r="P309" s="16"/>
      <c r="Q309" s="16"/>
      <c r="R309" s="16"/>
      <c r="S309" s="16">
        <v>-2.0</v>
      </c>
      <c r="T309" s="16"/>
      <c r="U309" s="16" t="s">
        <v>1614</v>
      </c>
      <c r="V309" s="16" t="s">
        <v>1615</v>
      </c>
      <c r="W309" s="16" t="s">
        <v>491</v>
      </c>
      <c r="X309" s="16" t="s">
        <v>181</v>
      </c>
      <c r="Y309" s="100"/>
      <c r="Z309" s="16" t="s">
        <v>181</v>
      </c>
    </row>
    <row r="310">
      <c r="A310" s="16">
        <v>12800.0</v>
      </c>
      <c r="B310" s="16" t="s">
        <v>1616</v>
      </c>
      <c r="C310" s="16">
        <v>0.05</v>
      </c>
      <c r="D310" s="174" t="s">
        <v>1617</v>
      </c>
      <c r="E310" s="16"/>
      <c r="F310" s="16">
        <v>547.0</v>
      </c>
      <c r="G310" s="16" t="s">
        <v>176</v>
      </c>
      <c r="H310" s="16" t="s">
        <v>25</v>
      </c>
      <c r="I310" s="16" t="s">
        <v>26</v>
      </c>
      <c r="J310" s="16"/>
      <c r="K310" s="16"/>
      <c r="L310" s="16"/>
      <c r="M310" s="16"/>
      <c r="N310" s="16"/>
      <c r="O310" s="16"/>
      <c r="P310" s="16"/>
      <c r="Q310" s="16"/>
      <c r="R310" s="16"/>
      <c r="S310" s="16">
        <v>-2.0</v>
      </c>
      <c r="T310" s="16"/>
      <c r="U310" s="16" t="s">
        <v>1618</v>
      </c>
      <c r="V310" s="16" t="s">
        <v>1619</v>
      </c>
      <c r="W310" s="16" t="s">
        <v>179</v>
      </c>
      <c r="X310" s="16" t="s">
        <v>181</v>
      </c>
      <c r="Y310" s="100"/>
      <c r="Z310" s="16" t="s">
        <v>181</v>
      </c>
    </row>
    <row r="311">
      <c r="A311" s="16">
        <v>12801.0</v>
      </c>
      <c r="B311" s="16" t="s">
        <v>1620</v>
      </c>
      <c r="C311" s="16">
        <v>0.0</v>
      </c>
      <c r="D311" s="174" t="s">
        <v>1621</v>
      </c>
      <c r="E311" s="16"/>
      <c r="F311" s="16">
        <v>587.0</v>
      </c>
      <c r="G311" s="16" t="s">
        <v>289</v>
      </c>
      <c r="H311" s="16" t="s">
        <v>25</v>
      </c>
      <c r="I311" s="16" t="s">
        <v>26</v>
      </c>
      <c r="J311" s="16"/>
      <c r="K311" s="16"/>
      <c r="L311" s="16"/>
      <c r="M311" s="16"/>
      <c r="N311" s="16"/>
      <c r="O311" s="16"/>
      <c r="P311" s="16"/>
      <c r="Q311" s="16"/>
      <c r="R311" s="16"/>
      <c r="S311" s="16">
        <v>-2.0</v>
      </c>
      <c r="T311" s="16"/>
      <c r="U311" s="16" t="s">
        <v>1622</v>
      </c>
      <c r="V311" s="16" t="s">
        <v>1623</v>
      </c>
      <c r="W311" s="16" t="s">
        <v>199</v>
      </c>
      <c r="X311" s="16" t="s">
        <v>181</v>
      </c>
      <c r="Y311" s="100"/>
      <c r="Z311" s="16" t="s">
        <v>181</v>
      </c>
    </row>
    <row r="312">
      <c r="A312" s="16">
        <v>12802.0</v>
      </c>
      <c r="B312" s="16" t="s">
        <v>1624</v>
      </c>
      <c r="C312" s="16">
        <v>1.68</v>
      </c>
      <c r="D312" s="174" t="s">
        <v>1625</v>
      </c>
      <c r="E312" s="16"/>
      <c r="F312" s="16">
        <v>547.0</v>
      </c>
      <c r="G312" s="16" t="s">
        <v>176</v>
      </c>
      <c r="H312" s="16" t="s">
        <v>12</v>
      </c>
      <c r="I312" s="16"/>
      <c r="J312" s="16"/>
      <c r="K312" s="16"/>
      <c r="L312" s="16"/>
      <c r="M312" s="16"/>
      <c r="N312" s="16"/>
      <c r="O312" s="16"/>
      <c r="P312" s="16"/>
      <c r="Q312" s="16"/>
      <c r="R312" s="16"/>
      <c r="S312" s="16">
        <v>-2.0</v>
      </c>
      <c r="T312" s="16"/>
      <c r="U312" s="16" t="s">
        <v>1626</v>
      </c>
      <c r="V312" s="16" t="s">
        <v>1627</v>
      </c>
      <c r="W312" s="16" t="s">
        <v>399</v>
      </c>
      <c r="X312" s="16" t="s">
        <v>181</v>
      </c>
      <c r="Y312" s="100"/>
      <c r="Z312" s="16" t="s">
        <v>181</v>
      </c>
    </row>
    <row r="313">
      <c r="A313" s="16">
        <v>12803.0</v>
      </c>
      <c r="B313" s="16" t="s">
        <v>1628</v>
      </c>
      <c r="C313" s="16">
        <v>0.94</v>
      </c>
      <c r="D313" s="174" t="s">
        <v>1629</v>
      </c>
      <c r="E313" s="16"/>
      <c r="F313" s="16">
        <v>547.0</v>
      </c>
      <c r="G313" s="16" t="s">
        <v>176</v>
      </c>
      <c r="H313" s="16" t="s">
        <v>15</v>
      </c>
      <c r="I313" s="16" t="s">
        <v>17</v>
      </c>
      <c r="J313" s="16"/>
      <c r="K313" s="16"/>
      <c r="L313" s="16"/>
      <c r="M313" s="16"/>
      <c r="N313" s="16"/>
      <c r="O313" s="16"/>
      <c r="P313" s="16"/>
      <c r="Q313" s="16"/>
      <c r="R313" s="16"/>
      <c r="S313" s="16">
        <v>-2.0</v>
      </c>
      <c r="T313" s="16"/>
      <c r="U313" s="16" t="s">
        <v>1630</v>
      </c>
      <c r="V313" s="16" t="s">
        <v>1631</v>
      </c>
      <c r="W313" s="16" t="s">
        <v>199</v>
      </c>
      <c r="X313" s="16" t="s">
        <v>181</v>
      </c>
      <c r="Y313" s="100"/>
      <c r="Z313" s="16" t="s">
        <v>181</v>
      </c>
    </row>
    <row r="314">
      <c r="A314" s="16">
        <v>12804.0</v>
      </c>
      <c r="B314" s="16" t="s">
        <v>1632</v>
      </c>
      <c r="C314" s="16">
        <v>2.84</v>
      </c>
      <c r="D314" s="174" t="s">
        <v>1633</v>
      </c>
      <c r="E314" s="16"/>
      <c r="F314" s="16">
        <v>593.0</v>
      </c>
      <c r="G314" s="16" t="s">
        <v>272</v>
      </c>
      <c r="H314" s="16" t="s">
        <v>24</v>
      </c>
      <c r="I314" s="16"/>
      <c r="J314" s="16"/>
      <c r="K314" s="16"/>
      <c r="L314" s="16"/>
      <c r="M314" s="16"/>
      <c r="N314" s="16"/>
      <c r="O314" s="16"/>
      <c r="P314" s="16"/>
      <c r="Q314" s="16"/>
      <c r="R314" s="16"/>
      <c r="S314" s="16">
        <v>-2.0</v>
      </c>
      <c r="T314" s="174" t="s">
        <v>1634</v>
      </c>
      <c r="U314" s="16" t="s">
        <v>1635</v>
      </c>
      <c r="V314" s="16" t="s">
        <v>1636</v>
      </c>
      <c r="W314" s="16" t="s">
        <v>188</v>
      </c>
      <c r="X314" s="16" t="s">
        <v>181</v>
      </c>
      <c r="Y314" s="100"/>
      <c r="Z314" s="16" t="s">
        <v>181</v>
      </c>
    </row>
    <row r="315">
      <c r="A315" s="16">
        <v>12805.0</v>
      </c>
      <c r="B315" s="16" t="s">
        <v>1637</v>
      </c>
      <c r="C315" s="16">
        <v>0.29</v>
      </c>
      <c r="D315" s="174" t="s">
        <v>1638</v>
      </c>
      <c r="E315" s="16"/>
      <c r="F315" s="16">
        <v>572.0</v>
      </c>
      <c r="G315" s="16" t="s">
        <v>306</v>
      </c>
      <c r="H315" s="16" t="s">
        <v>24</v>
      </c>
      <c r="I315" s="16" t="s">
        <v>25</v>
      </c>
      <c r="J315" s="16"/>
      <c r="K315" s="16"/>
      <c r="L315" s="16"/>
      <c r="M315" s="16"/>
      <c r="N315" s="16"/>
      <c r="O315" s="16"/>
      <c r="P315" s="16"/>
      <c r="Q315" s="16"/>
      <c r="R315" s="16"/>
      <c r="S315" s="16">
        <v>-2.0</v>
      </c>
      <c r="T315" s="16"/>
      <c r="U315" s="16" t="s">
        <v>1639</v>
      </c>
      <c r="V315" s="16" t="s">
        <v>1640</v>
      </c>
      <c r="W315" s="16" t="s">
        <v>231</v>
      </c>
      <c r="X315" s="16" t="s">
        <v>181</v>
      </c>
      <c r="Y315" s="100"/>
      <c r="Z315" s="16" t="s">
        <v>181</v>
      </c>
    </row>
    <row r="316">
      <c r="A316" s="16">
        <v>12806.0</v>
      </c>
      <c r="B316" s="16" t="s">
        <v>1641</v>
      </c>
      <c r="C316" s="16">
        <v>0.0</v>
      </c>
      <c r="D316" s="174" t="s">
        <v>1642</v>
      </c>
      <c r="E316" s="16"/>
      <c r="F316" s="16">
        <v>547.0</v>
      </c>
      <c r="G316" s="16" t="s">
        <v>176</v>
      </c>
      <c r="H316" s="16" t="s">
        <v>25</v>
      </c>
      <c r="I316" s="16"/>
      <c r="J316" s="16"/>
      <c r="K316" s="16"/>
      <c r="L316" s="16"/>
      <c r="M316" s="16"/>
      <c r="N316" s="16"/>
      <c r="O316" s="16"/>
      <c r="P316" s="16"/>
      <c r="Q316" s="16"/>
      <c r="R316" s="16"/>
      <c r="S316" s="16">
        <v>-2.0</v>
      </c>
      <c r="T316" s="16"/>
      <c r="U316" s="16" t="s">
        <v>1643</v>
      </c>
      <c r="V316" s="16" t="s">
        <v>1644</v>
      </c>
      <c r="W316" s="16" t="s">
        <v>600</v>
      </c>
      <c r="X316" s="16" t="s">
        <v>181</v>
      </c>
      <c r="Y316" s="100"/>
      <c r="Z316" s="16" t="s">
        <v>181</v>
      </c>
    </row>
    <row r="317">
      <c r="A317" s="16">
        <v>12807.0</v>
      </c>
      <c r="B317" s="16" t="s">
        <v>1645</v>
      </c>
      <c r="C317" s="16">
        <v>1.31</v>
      </c>
      <c r="D317" s="174" t="s">
        <v>1646</v>
      </c>
      <c r="E317" s="16"/>
      <c r="F317" s="16">
        <v>563.0</v>
      </c>
      <c r="G317" s="16" t="s">
        <v>260</v>
      </c>
      <c r="H317" s="16" t="s">
        <v>15</v>
      </c>
      <c r="I317" s="16" t="s">
        <v>16</v>
      </c>
      <c r="J317" s="16" t="s">
        <v>14</v>
      </c>
      <c r="K317" s="16" t="s">
        <v>17</v>
      </c>
      <c r="L317" s="16"/>
      <c r="M317" s="16"/>
      <c r="N317" s="16"/>
      <c r="O317" s="16"/>
      <c r="P317" s="16"/>
      <c r="Q317" s="16"/>
      <c r="R317" s="16"/>
      <c r="S317" s="16">
        <v>-2.0</v>
      </c>
      <c r="T317" s="16"/>
      <c r="U317" s="16" t="s">
        <v>1647</v>
      </c>
      <c r="V317" s="16" t="s">
        <v>1648</v>
      </c>
      <c r="W317" s="16" t="s">
        <v>443</v>
      </c>
      <c r="X317" s="16" t="s">
        <v>181</v>
      </c>
      <c r="Y317" s="100"/>
      <c r="Z317" s="16" t="s">
        <v>181</v>
      </c>
    </row>
    <row r="318">
      <c r="A318" s="16">
        <v>12808.0</v>
      </c>
      <c r="B318" s="16" t="s">
        <v>1649</v>
      </c>
      <c r="C318" s="16">
        <v>0.0</v>
      </c>
      <c r="D318" s="174" t="s">
        <v>1650</v>
      </c>
      <c r="E318" s="16"/>
      <c r="F318" s="16">
        <v>551.0</v>
      </c>
      <c r="G318" s="16" t="s">
        <v>200</v>
      </c>
      <c r="H318" s="16" t="s">
        <v>17</v>
      </c>
      <c r="I318" s="16" t="s">
        <v>18</v>
      </c>
      <c r="J318" s="16"/>
      <c r="K318" s="16"/>
      <c r="L318" s="16"/>
      <c r="M318" s="16"/>
      <c r="N318" s="16"/>
      <c r="O318" s="16"/>
      <c r="P318" s="16"/>
      <c r="Q318" s="16"/>
      <c r="R318" s="16"/>
      <c r="S318" s="16">
        <v>-2.0</v>
      </c>
      <c r="T318" s="16"/>
      <c r="U318" s="16" t="s">
        <v>1651</v>
      </c>
      <c r="V318" s="16" t="s">
        <v>1652</v>
      </c>
      <c r="W318" s="16" t="s">
        <v>459</v>
      </c>
      <c r="X318" s="16" t="s">
        <v>181</v>
      </c>
      <c r="Y318" s="100"/>
      <c r="Z318" s="16" t="s">
        <v>181</v>
      </c>
    </row>
    <row r="319">
      <c r="A319" s="16">
        <v>12809.0</v>
      </c>
      <c r="B319" s="16" t="s">
        <v>1653</v>
      </c>
      <c r="C319" s="16">
        <v>0.16</v>
      </c>
      <c r="D319" s="174" t="s">
        <v>1654</v>
      </c>
      <c r="E319" s="16"/>
      <c r="F319" s="16">
        <v>547.0</v>
      </c>
      <c r="G319" s="16" t="s">
        <v>176</v>
      </c>
      <c r="H319" s="16" t="s">
        <v>17</v>
      </c>
      <c r="I319" s="16" t="s">
        <v>19</v>
      </c>
      <c r="J319" s="16" t="s">
        <v>18</v>
      </c>
      <c r="K319" s="16"/>
      <c r="L319" s="16"/>
      <c r="M319" s="16"/>
      <c r="N319" s="16"/>
      <c r="O319" s="16"/>
      <c r="P319" s="16"/>
      <c r="Q319" s="16"/>
      <c r="R319" s="16"/>
      <c r="S319" s="16">
        <v>-2.0</v>
      </c>
      <c r="T319" s="16"/>
      <c r="U319" s="16" t="s">
        <v>1655</v>
      </c>
      <c r="V319" s="16" t="s">
        <v>1656</v>
      </c>
      <c r="W319" s="16" t="s">
        <v>199</v>
      </c>
      <c r="X319" s="16" t="s">
        <v>181</v>
      </c>
      <c r="Y319" s="100"/>
      <c r="Z319" s="16" t="s">
        <v>181</v>
      </c>
    </row>
    <row r="320">
      <c r="A320" s="16">
        <v>12810.0</v>
      </c>
      <c r="B320" s="16" t="s">
        <v>1657</v>
      </c>
      <c r="C320" s="16">
        <v>0.32</v>
      </c>
      <c r="D320" s="174" t="s">
        <v>1658</v>
      </c>
      <c r="E320" s="16"/>
      <c r="F320" s="16">
        <v>547.0</v>
      </c>
      <c r="G320" s="16" t="s">
        <v>176</v>
      </c>
      <c r="H320" s="16" t="s">
        <v>25</v>
      </c>
      <c r="I320" s="16"/>
      <c r="J320" s="16"/>
      <c r="K320" s="16"/>
      <c r="L320" s="16"/>
      <c r="M320" s="16"/>
      <c r="N320" s="16"/>
      <c r="O320" s="16"/>
      <c r="P320" s="16"/>
      <c r="Q320" s="16"/>
      <c r="R320" s="16"/>
      <c r="S320" s="16">
        <v>-2.0</v>
      </c>
      <c r="T320" s="16"/>
      <c r="U320" s="16" t="s">
        <v>1659</v>
      </c>
      <c r="V320" s="16" t="s">
        <v>1660</v>
      </c>
      <c r="W320" s="16" t="s">
        <v>199</v>
      </c>
      <c r="X320" s="16" t="s">
        <v>181</v>
      </c>
      <c r="Y320" s="100"/>
      <c r="Z320" s="16" t="s">
        <v>181</v>
      </c>
    </row>
    <row r="321">
      <c r="A321" s="16">
        <v>12811.0</v>
      </c>
      <c r="B321" s="16" t="s">
        <v>1661</v>
      </c>
      <c r="C321" s="16">
        <v>1.4</v>
      </c>
      <c r="D321" s="174" t="s">
        <v>1662</v>
      </c>
      <c r="E321" s="16"/>
      <c r="F321" s="16">
        <v>587.0</v>
      </c>
      <c r="G321" s="16" t="s">
        <v>289</v>
      </c>
      <c r="H321" s="16" t="s">
        <v>15</v>
      </c>
      <c r="I321" s="16"/>
      <c r="J321" s="16"/>
      <c r="K321" s="16"/>
      <c r="L321" s="16"/>
      <c r="M321" s="16"/>
      <c r="N321" s="16"/>
      <c r="O321" s="16"/>
      <c r="P321" s="16"/>
      <c r="Q321" s="16"/>
      <c r="R321" s="16"/>
      <c r="S321" s="16">
        <v>-2.0</v>
      </c>
      <c r="T321" s="16"/>
      <c r="U321" s="16" t="s">
        <v>1663</v>
      </c>
      <c r="V321" s="16" t="s">
        <v>1664</v>
      </c>
      <c r="W321" s="16" t="s">
        <v>188</v>
      </c>
      <c r="X321" s="16" t="s">
        <v>181</v>
      </c>
      <c r="Y321" s="100"/>
      <c r="Z321" s="16" t="s">
        <v>181</v>
      </c>
    </row>
    <row r="322">
      <c r="A322" s="16">
        <v>12812.0</v>
      </c>
      <c r="B322" s="16" t="s">
        <v>1665</v>
      </c>
      <c r="C322" s="16">
        <v>1.07</v>
      </c>
      <c r="D322" s="174" t="s">
        <v>1666</v>
      </c>
      <c r="E322" s="16"/>
      <c r="F322" s="16">
        <v>582.0</v>
      </c>
      <c r="G322" s="16" t="s">
        <v>1667</v>
      </c>
      <c r="H322" s="16" t="s">
        <v>17</v>
      </c>
      <c r="I322" s="16" t="s">
        <v>19</v>
      </c>
      <c r="J322" s="16" t="s">
        <v>18</v>
      </c>
      <c r="K322" s="16"/>
      <c r="L322" s="16"/>
      <c r="M322" s="16"/>
      <c r="N322" s="16"/>
      <c r="O322" s="16"/>
      <c r="P322" s="16"/>
      <c r="Q322" s="16"/>
      <c r="R322" s="16" t="s">
        <v>1668</v>
      </c>
      <c r="S322" s="16">
        <v>-2.0</v>
      </c>
      <c r="T322" s="16"/>
      <c r="U322" s="16" t="s">
        <v>1669</v>
      </c>
      <c r="V322" s="16" t="s">
        <v>1670</v>
      </c>
      <c r="W322" s="16" t="s">
        <v>591</v>
      </c>
      <c r="X322" s="16" t="s">
        <v>181</v>
      </c>
      <c r="Y322" s="100"/>
      <c r="Z322" s="16" t="s">
        <v>181</v>
      </c>
    </row>
    <row r="323">
      <c r="A323" s="16">
        <v>12813.0</v>
      </c>
      <c r="B323" s="16" t="s">
        <v>1671</v>
      </c>
      <c r="C323" s="16">
        <v>0.0</v>
      </c>
      <c r="D323" s="174" t="s">
        <v>1672</v>
      </c>
      <c r="E323" s="16"/>
      <c r="F323" s="16">
        <v>569.0</v>
      </c>
      <c r="G323" s="16" t="s">
        <v>292</v>
      </c>
      <c r="H323" s="16" t="s">
        <v>25</v>
      </c>
      <c r="I323" s="16" t="s">
        <v>26</v>
      </c>
      <c r="J323" s="16"/>
      <c r="K323" s="16"/>
      <c r="L323" s="16"/>
      <c r="M323" s="16"/>
      <c r="N323" s="16"/>
      <c r="O323" s="16"/>
      <c r="P323" s="16"/>
      <c r="Q323" s="16"/>
      <c r="R323" s="16"/>
      <c r="S323" s="16">
        <v>-2.0</v>
      </c>
      <c r="T323" s="16"/>
      <c r="U323" s="16" t="s">
        <v>1673</v>
      </c>
      <c r="V323" s="16" t="s">
        <v>1674</v>
      </c>
      <c r="W323" s="16" t="s">
        <v>179</v>
      </c>
      <c r="X323" s="16" t="s">
        <v>181</v>
      </c>
      <c r="Y323" s="100"/>
      <c r="Z323" s="16" t="s">
        <v>181</v>
      </c>
    </row>
    <row r="324">
      <c r="A324" s="16">
        <v>12814.0</v>
      </c>
      <c r="B324" s="16" t="s">
        <v>1675</v>
      </c>
      <c r="C324" s="16">
        <v>0.0</v>
      </c>
      <c r="D324" s="174" t="s">
        <v>1676</v>
      </c>
      <c r="E324" s="16"/>
      <c r="F324" s="16">
        <v>578.0</v>
      </c>
      <c r="G324" s="16" t="s">
        <v>333</v>
      </c>
      <c r="H324" s="16" t="s">
        <v>15</v>
      </c>
      <c r="I324" s="16" t="s">
        <v>17</v>
      </c>
      <c r="J324" s="16" t="s">
        <v>13</v>
      </c>
      <c r="K324" s="16" t="s">
        <v>16</v>
      </c>
      <c r="L324" s="16" t="s">
        <v>14</v>
      </c>
      <c r="M324" s="16" t="s">
        <v>19</v>
      </c>
      <c r="N324" s="16"/>
      <c r="O324" s="16"/>
      <c r="P324" s="16"/>
      <c r="Q324" s="16"/>
      <c r="R324" s="16"/>
      <c r="S324" s="16">
        <v>-2.0</v>
      </c>
      <c r="T324" s="16"/>
      <c r="U324" s="16" t="s">
        <v>1677</v>
      </c>
      <c r="V324" s="16" t="s">
        <v>1678</v>
      </c>
      <c r="W324" s="16" t="s">
        <v>179</v>
      </c>
      <c r="X324" s="16" t="s">
        <v>181</v>
      </c>
      <c r="Y324" s="100"/>
      <c r="Z324" s="16" t="s">
        <v>181</v>
      </c>
    </row>
    <row r="325">
      <c r="A325" s="16">
        <v>12815.0</v>
      </c>
      <c r="B325" s="16" t="s">
        <v>1679</v>
      </c>
      <c r="C325" s="16">
        <v>1.59</v>
      </c>
      <c r="D325" s="174" t="s">
        <v>1680</v>
      </c>
      <c r="E325" s="16"/>
      <c r="F325" s="16">
        <v>551.0</v>
      </c>
      <c r="G325" s="16" t="s">
        <v>200</v>
      </c>
      <c r="H325" s="16" t="s">
        <v>16</v>
      </c>
      <c r="I325" s="16"/>
      <c r="J325" s="16"/>
      <c r="K325" s="16"/>
      <c r="L325" s="16"/>
      <c r="M325" s="16"/>
      <c r="N325" s="16"/>
      <c r="O325" s="16"/>
      <c r="P325" s="16"/>
      <c r="Q325" s="16"/>
      <c r="R325" s="16"/>
      <c r="S325" s="16">
        <v>-2.0</v>
      </c>
      <c r="T325" s="16"/>
      <c r="U325" s="16" t="s">
        <v>1681</v>
      </c>
      <c r="V325" s="16" t="s">
        <v>1682</v>
      </c>
      <c r="W325" s="16" t="s">
        <v>188</v>
      </c>
      <c r="X325" s="16" t="s">
        <v>181</v>
      </c>
      <c r="Y325" s="100"/>
      <c r="Z325" s="16" t="s">
        <v>181</v>
      </c>
    </row>
    <row r="326">
      <c r="A326" s="16">
        <v>12816.0</v>
      </c>
      <c r="B326" s="16" t="s">
        <v>1683</v>
      </c>
      <c r="C326" s="16">
        <v>0.22</v>
      </c>
      <c r="D326" s="174" t="s">
        <v>1684</v>
      </c>
      <c r="E326" s="16"/>
      <c r="F326" s="16">
        <v>560.0</v>
      </c>
      <c r="G326" s="16" t="s">
        <v>245</v>
      </c>
      <c r="H326" s="16" t="s">
        <v>24</v>
      </c>
      <c r="I326" s="16" t="s">
        <v>25</v>
      </c>
      <c r="J326" s="16"/>
      <c r="K326" s="16"/>
      <c r="L326" s="16"/>
      <c r="M326" s="16"/>
      <c r="N326" s="16"/>
      <c r="O326" s="16"/>
      <c r="P326" s="16"/>
      <c r="Q326" s="16"/>
      <c r="R326" s="16"/>
      <c r="S326" s="16">
        <v>-2.0</v>
      </c>
      <c r="T326" s="16"/>
      <c r="U326" s="16" t="s">
        <v>1685</v>
      </c>
      <c r="V326" s="16" t="s">
        <v>1686</v>
      </c>
      <c r="W326" s="16" t="s">
        <v>491</v>
      </c>
      <c r="X326" s="16" t="s">
        <v>181</v>
      </c>
      <c r="Y326" s="100"/>
      <c r="Z326" s="16" t="s">
        <v>181</v>
      </c>
    </row>
    <row r="327">
      <c r="A327" s="16">
        <v>12817.0</v>
      </c>
      <c r="B327" s="16" t="s">
        <v>1687</v>
      </c>
      <c r="C327" s="16">
        <v>1.72</v>
      </c>
      <c r="D327" s="174" t="s">
        <v>1688</v>
      </c>
      <c r="E327" s="16"/>
      <c r="F327" s="16">
        <v>578.0</v>
      </c>
      <c r="G327" s="16" t="s">
        <v>333</v>
      </c>
      <c r="H327" s="16" t="s">
        <v>19</v>
      </c>
      <c r="I327" s="16"/>
      <c r="J327" s="16"/>
      <c r="K327" s="16"/>
      <c r="L327" s="16"/>
      <c r="M327" s="16"/>
      <c r="N327" s="16"/>
      <c r="O327" s="16"/>
      <c r="P327" s="16"/>
      <c r="Q327" s="16"/>
      <c r="R327" s="16"/>
      <c r="S327" s="16">
        <v>-2.0</v>
      </c>
      <c r="T327" s="16"/>
      <c r="U327" s="16" t="s">
        <v>1689</v>
      </c>
      <c r="V327" s="16" t="s">
        <v>1690</v>
      </c>
      <c r="W327" s="16" t="s">
        <v>616</v>
      </c>
      <c r="X327" s="16" t="s">
        <v>181</v>
      </c>
      <c r="Y327" s="100"/>
      <c r="Z327" s="16" t="s">
        <v>181</v>
      </c>
    </row>
    <row r="328">
      <c r="A328" s="16">
        <v>12818.0</v>
      </c>
      <c r="B328" s="16" t="s">
        <v>1691</v>
      </c>
      <c r="C328" s="16">
        <v>2.3</v>
      </c>
      <c r="D328" s="174" t="s">
        <v>1692</v>
      </c>
      <c r="E328" s="16"/>
      <c r="F328" s="16">
        <v>569.0</v>
      </c>
      <c r="G328" s="16" t="s">
        <v>292</v>
      </c>
      <c r="H328" s="16" t="s">
        <v>24</v>
      </c>
      <c r="I328" s="16"/>
      <c r="J328" s="16"/>
      <c r="K328" s="16"/>
      <c r="L328" s="16"/>
      <c r="M328" s="16"/>
      <c r="N328" s="16"/>
      <c r="O328" s="16"/>
      <c r="P328" s="16"/>
      <c r="Q328" s="16"/>
      <c r="R328" s="16"/>
      <c r="S328" s="16">
        <v>-2.0</v>
      </c>
      <c r="T328" s="16"/>
      <c r="U328" s="16" t="s">
        <v>1693</v>
      </c>
      <c r="V328" s="16" t="s">
        <v>1694</v>
      </c>
      <c r="W328" s="16" t="s">
        <v>188</v>
      </c>
      <c r="X328" s="16" t="s">
        <v>181</v>
      </c>
      <c r="Y328" s="100"/>
      <c r="Z328" s="16" t="s">
        <v>181</v>
      </c>
    </row>
    <row r="329">
      <c r="A329" s="16">
        <v>12819.0</v>
      </c>
      <c r="B329" s="16" t="s">
        <v>1695</v>
      </c>
      <c r="C329" s="16">
        <v>0.68</v>
      </c>
      <c r="D329" s="174" t="s">
        <v>1696</v>
      </c>
      <c r="E329" s="16"/>
      <c r="F329" s="16">
        <v>590.0</v>
      </c>
      <c r="G329" s="16" t="s">
        <v>387</v>
      </c>
      <c r="H329" s="16" t="s">
        <v>12</v>
      </c>
      <c r="I329" s="16"/>
      <c r="J329" s="16"/>
      <c r="K329" s="16"/>
      <c r="L329" s="16"/>
      <c r="M329" s="16"/>
      <c r="N329" s="16"/>
      <c r="O329" s="16"/>
      <c r="P329" s="16"/>
      <c r="Q329" s="16"/>
      <c r="R329" s="16"/>
      <c r="S329" s="16">
        <v>-2.0</v>
      </c>
      <c r="T329" s="16"/>
      <c r="U329" s="16" t="s">
        <v>1697</v>
      </c>
      <c r="V329" s="16" t="s">
        <v>1698</v>
      </c>
      <c r="W329" s="16" t="s">
        <v>473</v>
      </c>
      <c r="X329" s="16" t="s">
        <v>181</v>
      </c>
      <c r="Y329" s="100"/>
      <c r="Z329" s="16" t="s">
        <v>181</v>
      </c>
    </row>
    <row r="330">
      <c r="A330" s="16">
        <v>12820.0</v>
      </c>
      <c r="B330" s="16" t="s">
        <v>1699</v>
      </c>
      <c r="C330" s="16">
        <v>2.9</v>
      </c>
      <c r="D330" s="174" t="s">
        <v>1700</v>
      </c>
      <c r="E330" s="16"/>
      <c r="F330" s="16">
        <v>566.0</v>
      </c>
      <c r="G330" s="16" t="s">
        <v>277</v>
      </c>
      <c r="H330" s="16" t="s">
        <v>16</v>
      </c>
      <c r="I330" s="16"/>
      <c r="J330" s="16"/>
      <c r="K330" s="16"/>
      <c r="L330" s="16"/>
      <c r="M330" s="16"/>
      <c r="N330" s="16"/>
      <c r="O330" s="16"/>
      <c r="P330" s="16"/>
      <c r="Q330" s="16"/>
      <c r="R330" s="16"/>
      <c r="S330" s="16">
        <v>-2.0</v>
      </c>
      <c r="T330" s="16"/>
      <c r="U330" s="16" t="s">
        <v>1701</v>
      </c>
      <c r="V330" s="16" t="s">
        <v>1702</v>
      </c>
      <c r="W330" s="16" t="s">
        <v>188</v>
      </c>
      <c r="X330" s="16" t="s">
        <v>181</v>
      </c>
      <c r="Y330" s="100"/>
      <c r="Z330" s="16" t="s">
        <v>181</v>
      </c>
    </row>
    <row r="331">
      <c r="A331" s="16">
        <v>12821.0</v>
      </c>
      <c r="B331" s="16" t="s">
        <v>1703</v>
      </c>
      <c r="C331" s="16">
        <v>0.18</v>
      </c>
      <c r="D331" s="174" t="s">
        <v>1704</v>
      </c>
      <c r="E331" s="16"/>
      <c r="F331" s="16">
        <v>547.0</v>
      </c>
      <c r="G331" s="16" t="s">
        <v>176</v>
      </c>
      <c r="H331" s="16" t="s">
        <v>24</v>
      </c>
      <c r="I331" s="16"/>
      <c r="J331" s="16"/>
      <c r="K331" s="16"/>
      <c r="L331" s="16"/>
      <c r="M331" s="16"/>
      <c r="N331" s="16"/>
      <c r="O331" s="16"/>
      <c r="P331" s="16"/>
      <c r="Q331" s="16"/>
      <c r="R331" s="16"/>
      <c r="S331" s="16">
        <v>-2.0</v>
      </c>
      <c r="T331" s="16"/>
      <c r="U331" s="16" t="s">
        <v>1705</v>
      </c>
      <c r="V331" s="16" t="s">
        <v>1706</v>
      </c>
      <c r="W331" s="16" t="s">
        <v>188</v>
      </c>
      <c r="X331" s="16" t="s">
        <v>181</v>
      </c>
      <c r="Y331" s="100"/>
      <c r="Z331" s="16" t="s">
        <v>181</v>
      </c>
    </row>
    <row r="332">
      <c r="A332" s="16">
        <v>12822.0</v>
      </c>
      <c r="B332" s="16" t="s">
        <v>1707</v>
      </c>
      <c r="C332" s="16">
        <v>0.4</v>
      </c>
      <c r="D332" s="174" t="s">
        <v>1708</v>
      </c>
      <c r="E332" s="16"/>
      <c r="F332" s="16">
        <v>572.0</v>
      </c>
      <c r="G332" s="16" t="s">
        <v>306</v>
      </c>
      <c r="H332" s="16" t="s">
        <v>25</v>
      </c>
      <c r="I332" s="16" t="s">
        <v>26</v>
      </c>
      <c r="J332" s="16"/>
      <c r="K332" s="16"/>
      <c r="L332" s="16"/>
      <c r="M332" s="16"/>
      <c r="N332" s="16"/>
      <c r="O332" s="16"/>
      <c r="P332" s="16"/>
      <c r="Q332" s="16"/>
      <c r="R332" s="16"/>
      <c r="S332" s="16">
        <v>-2.0</v>
      </c>
      <c r="T332" s="16"/>
      <c r="U332" s="16" t="s">
        <v>1709</v>
      </c>
      <c r="V332" s="16" t="s">
        <v>1710</v>
      </c>
      <c r="W332" s="16" t="s">
        <v>199</v>
      </c>
      <c r="X332" s="16" t="s">
        <v>181</v>
      </c>
      <c r="Y332" s="100"/>
      <c r="Z332" s="16" t="s">
        <v>181</v>
      </c>
    </row>
    <row r="333">
      <c r="A333" s="16">
        <v>12823.0</v>
      </c>
      <c r="B333" s="16" t="s">
        <v>1711</v>
      </c>
      <c r="C333" s="16">
        <v>2.14</v>
      </c>
      <c r="D333" s="174" t="s">
        <v>1712</v>
      </c>
      <c r="E333" s="16"/>
      <c r="F333" s="16">
        <v>569.0</v>
      </c>
      <c r="G333" s="16" t="s">
        <v>292</v>
      </c>
      <c r="H333" s="16" t="s">
        <v>13</v>
      </c>
      <c r="I333" s="16"/>
      <c r="J333" s="16"/>
      <c r="K333" s="16"/>
      <c r="L333" s="16"/>
      <c r="M333" s="16"/>
      <c r="N333" s="16"/>
      <c r="O333" s="16"/>
      <c r="P333" s="16"/>
      <c r="Q333" s="16"/>
      <c r="R333" s="16"/>
      <c r="S333" s="16">
        <v>-2.0</v>
      </c>
      <c r="T333" s="16"/>
      <c r="U333" s="16" t="s">
        <v>1713</v>
      </c>
      <c r="V333" s="16" t="s">
        <v>1714</v>
      </c>
      <c r="W333" s="16" t="s">
        <v>443</v>
      </c>
      <c r="X333" s="16" t="s">
        <v>181</v>
      </c>
      <c r="Y333" s="100"/>
      <c r="Z333" s="16" t="s">
        <v>181</v>
      </c>
    </row>
    <row r="334">
      <c r="A334" s="16">
        <v>12824.0</v>
      </c>
      <c r="B334" s="16" t="s">
        <v>1715</v>
      </c>
      <c r="C334" s="16">
        <v>2.36</v>
      </c>
      <c r="D334" s="174" t="s">
        <v>1716</v>
      </c>
      <c r="E334" s="16"/>
      <c r="F334" s="16">
        <v>557.0</v>
      </c>
      <c r="G334" s="16" t="s">
        <v>232</v>
      </c>
      <c r="H334" s="16" t="s">
        <v>12</v>
      </c>
      <c r="I334" s="16"/>
      <c r="J334" s="16"/>
      <c r="K334" s="16"/>
      <c r="L334" s="16"/>
      <c r="M334" s="16"/>
      <c r="N334" s="16"/>
      <c r="O334" s="16"/>
      <c r="P334" s="16"/>
      <c r="Q334" s="16"/>
      <c r="R334" s="16"/>
      <c r="S334" s="16">
        <v>-2.0</v>
      </c>
      <c r="T334" s="16"/>
      <c r="U334" s="16" t="s">
        <v>1717</v>
      </c>
      <c r="V334" s="16" t="s">
        <v>1718</v>
      </c>
      <c r="W334" s="16" t="s">
        <v>259</v>
      </c>
      <c r="X334" s="16" t="s">
        <v>181</v>
      </c>
      <c r="Y334" s="100"/>
      <c r="Z334" s="16" t="s">
        <v>181</v>
      </c>
    </row>
    <row r="335">
      <c r="A335" s="16">
        <v>12825.0</v>
      </c>
      <c r="B335" s="16" t="s">
        <v>1719</v>
      </c>
      <c r="C335" s="16">
        <v>1.12</v>
      </c>
      <c r="D335" s="174" t="s">
        <v>1720</v>
      </c>
      <c r="E335" s="16"/>
      <c r="F335" s="16">
        <v>578.0</v>
      </c>
      <c r="G335" s="16" t="s">
        <v>333</v>
      </c>
      <c r="H335" s="16" t="s">
        <v>24</v>
      </c>
      <c r="I335" s="16"/>
      <c r="J335" s="16"/>
      <c r="K335" s="16"/>
      <c r="L335" s="16"/>
      <c r="M335" s="16"/>
      <c r="N335" s="16"/>
      <c r="O335" s="16"/>
      <c r="P335" s="16"/>
      <c r="Q335" s="16"/>
      <c r="R335" s="16"/>
      <c r="S335" s="16">
        <v>-2.0</v>
      </c>
      <c r="T335" s="16"/>
      <c r="U335" s="16" t="s">
        <v>1721</v>
      </c>
      <c r="V335" s="16" t="s">
        <v>1722</v>
      </c>
      <c r="W335" s="16" t="s">
        <v>231</v>
      </c>
      <c r="X335" s="16" t="s">
        <v>181</v>
      </c>
      <c r="Y335" s="100"/>
      <c r="Z335" s="16" t="s">
        <v>181</v>
      </c>
    </row>
    <row r="336">
      <c r="A336" s="16">
        <v>12826.0</v>
      </c>
      <c r="B336" s="16" t="s">
        <v>1723</v>
      </c>
      <c r="C336" s="16">
        <v>0.0</v>
      </c>
      <c r="D336" s="174" t="s">
        <v>1724</v>
      </c>
      <c r="E336" s="16"/>
      <c r="F336" s="16">
        <v>547.0</v>
      </c>
      <c r="G336" s="16" t="s">
        <v>176</v>
      </c>
      <c r="H336" s="16" t="s">
        <v>25</v>
      </c>
      <c r="I336" s="16"/>
      <c r="J336" s="16"/>
      <c r="K336" s="16"/>
      <c r="L336" s="16"/>
      <c r="M336" s="16"/>
      <c r="N336" s="16"/>
      <c r="O336" s="16"/>
      <c r="P336" s="16"/>
      <c r="Q336" s="16"/>
      <c r="R336" s="16"/>
      <c r="S336" s="16">
        <v>-2.0</v>
      </c>
      <c r="T336" s="16"/>
      <c r="U336" s="16" t="s">
        <v>1725</v>
      </c>
      <c r="V336" s="16" t="s">
        <v>1726</v>
      </c>
      <c r="W336" s="16" t="s">
        <v>591</v>
      </c>
      <c r="X336" s="16" t="s">
        <v>181</v>
      </c>
      <c r="Y336" s="100"/>
      <c r="Z336" s="16" t="s">
        <v>181</v>
      </c>
    </row>
    <row r="337">
      <c r="A337" s="16">
        <v>12827.0</v>
      </c>
      <c r="B337" s="16" t="s">
        <v>1727</v>
      </c>
      <c r="C337" s="16">
        <v>0.0</v>
      </c>
      <c r="D337" s="174" t="s">
        <v>1728</v>
      </c>
      <c r="E337" s="16"/>
      <c r="F337" s="16">
        <v>589.0</v>
      </c>
      <c r="G337" s="16" t="s">
        <v>1729</v>
      </c>
      <c r="H337" s="16" t="s">
        <v>15</v>
      </c>
      <c r="I337" s="16" t="s">
        <v>16</v>
      </c>
      <c r="J337" s="16" t="s">
        <v>14</v>
      </c>
      <c r="K337" s="16" t="s">
        <v>13</v>
      </c>
      <c r="L337" s="16" t="s">
        <v>17</v>
      </c>
      <c r="M337" s="16" t="s">
        <v>18</v>
      </c>
      <c r="N337" s="16" t="s">
        <v>19</v>
      </c>
      <c r="O337" s="16"/>
      <c r="P337" s="16"/>
      <c r="Q337" s="16"/>
      <c r="R337" s="16"/>
      <c r="S337" s="16">
        <v>-2.0</v>
      </c>
      <c r="T337" s="16"/>
      <c r="U337" s="16" t="s">
        <v>1730</v>
      </c>
      <c r="V337" s="16" t="s">
        <v>1731</v>
      </c>
      <c r="W337" s="16" t="s">
        <v>332</v>
      </c>
      <c r="X337" s="16" t="s">
        <v>181</v>
      </c>
      <c r="Y337" s="100"/>
      <c r="Z337" s="16" t="s">
        <v>181</v>
      </c>
    </row>
    <row r="338">
      <c r="A338" s="16">
        <v>12828.0</v>
      </c>
      <c r="B338" s="16" t="s">
        <v>1732</v>
      </c>
      <c r="C338" s="16">
        <v>2.15</v>
      </c>
      <c r="D338" s="174" t="s">
        <v>1733</v>
      </c>
      <c r="E338" s="16"/>
      <c r="F338" s="16">
        <v>587.0</v>
      </c>
      <c r="G338" s="16" t="s">
        <v>289</v>
      </c>
      <c r="H338" s="16" t="s">
        <v>12</v>
      </c>
      <c r="I338" s="16"/>
      <c r="J338" s="16"/>
      <c r="K338" s="16"/>
      <c r="L338" s="16"/>
      <c r="M338" s="16"/>
      <c r="N338" s="16"/>
      <c r="O338" s="16"/>
      <c r="P338" s="16"/>
      <c r="Q338" s="16"/>
      <c r="R338" s="16"/>
      <c r="S338" s="16">
        <v>-2.0</v>
      </c>
      <c r="T338" s="16"/>
      <c r="U338" s="16" t="s">
        <v>1734</v>
      </c>
      <c r="V338" s="16" t="s">
        <v>1735</v>
      </c>
      <c r="W338" s="16" t="s">
        <v>473</v>
      </c>
      <c r="X338" s="16" t="s">
        <v>181</v>
      </c>
      <c r="Y338" s="100"/>
      <c r="Z338" s="16" t="s">
        <v>181</v>
      </c>
    </row>
    <row r="339">
      <c r="A339" s="16">
        <v>12829.0</v>
      </c>
      <c r="B339" s="16" t="s">
        <v>1736</v>
      </c>
      <c r="C339" s="16">
        <v>0.64</v>
      </c>
      <c r="D339" s="174" t="s">
        <v>1737</v>
      </c>
      <c r="E339" s="16"/>
      <c r="F339" s="16">
        <v>582.0</v>
      </c>
      <c r="G339" s="16" t="s">
        <v>1667</v>
      </c>
      <c r="H339" s="16" t="s">
        <v>25</v>
      </c>
      <c r="I339" s="16" t="s">
        <v>26</v>
      </c>
      <c r="J339" s="16"/>
      <c r="K339" s="16"/>
      <c r="L339" s="16"/>
      <c r="M339" s="16"/>
      <c r="N339" s="16"/>
      <c r="O339" s="16"/>
      <c r="P339" s="16"/>
      <c r="Q339" s="16"/>
      <c r="R339" s="16" t="s">
        <v>1738</v>
      </c>
      <c r="S339" s="16">
        <v>-2.0</v>
      </c>
      <c r="T339" s="16"/>
      <c r="U339" s="16" t="s">
        <v>1739</v>
      </c>
      <c r="V339" s="16" t="s">
        <v>1740</v>
      </c>
      <c r="W339" s="16" t="s">
        <v>179</v>
      </c>
      <c r="X339" s="16" t="s">
        <v>181</v>
      </c>
      <c r="Y339" s="100"/>
      <c r="Z339" s="16" t="s">
        <v>181</v>
      </c>
    </row>
    <row r="340">
      <c r="A340" s="16">
        <v>12830.0</v>
      </c>
      <c r="B340" s="16" t="s">
        <v>1741</v>
      </c>
      <c r="C340" s="16">
        <v>0.0</v>
      </c>
      <c r="D340" s="174" t="s">
        <v>1742</v>
      </c>
      <c r="E340" s="16"/>
      <c r="F340" s="16">
        <v>547.0</v>
      </c>
      <c r="G340" s="16" t="s">
        <v>176</v>
      </c>
      <c r="H340" s="16" t="s">
        <v>13</v>
      </c>
      <c r="I340" s="16" t="s">
        <v>17</v>
      </c>
      <c r="J340" s="16"/>
      <c r="K340" s="16"/>
      <c r="L340" s="16"/>
      <c r="M340" s="16"/>
      <c r="N340" s="16"/>
      <c r="O340" s="16"/>
      <c r="P340" s="16"/>
      <c r="Q340" s="16"/>
      <c r="R340" s="16"/>
      <c r="S340" s="16">
        <v>-2.0</v>
      </c>
      <c r="T340" s="16"/>
      <c r="U340" s="16" t="s">
        <v>1743</v>
      </c>
      <c r="V340" s="16" t="s">
        <v>1744</v>
      </c>
      <c r="W340" s="16" t="s">
        <v>199</v>
      </c>
      <c r="X340" s="16" t="s">
        <v>181</v>
      </c>
      <c r="Y340" s="100"/>
      <c r="Z340" s="16" t="s">
        <v>181</v>
      </c>
    </row>
    <row r="341">
      <c r="A341" s="16">
        <v>12831.0</v>
      </c>
      <c r="B341" s="16" t="s">
        <v>1745</v>
      </c>
      <c r="C341" s="16">
        <v>2.02</v>
      </c>
      <c r="D341" s="174" t="s">
        <v>1746</v>
      </c>
      <c r="E341" s="16"/>
      <c r="F341" s="16">
        <v>557.0</v>
      </c>
      <c r="G341" s="16" t="s">
        <v>232</v>
      </c>
      <c r="H341" s="16" t="s">
        <v>24</v>
      </c>
      <c r="I341" s="16"/>
      <c r="J341" s="16"/>
      <c r="K341" s="16"/>
      <c r="L341" s="16"/>
      <c r="M341" s="16"/>
      <c r="N341" s="16"/>
      <c r="O341" s="16"/>
      <c r="P341" s="16"/>
      <c r="Q341" s="16"/>
      <c r="R341" s="16"/>
      <c r="S341" s="16">
        <v>-2.0</v>
      </c>
      <c r="T341" s="16"/>
      <c r="U341" s="16" t="s">
        <v>1747</v>
      </c>
      <c r="V341" s="16" t="s">
        <v>1748</v>
      </c>
      <c r="W341" s="16" t="s">
        <v>231</v>
      </c>
      <c r="X341" s="16" t="s">
        <v>181</v>
      </c>
      <c r="Y341" s="100"/>
      <c r="Z341" s="16" t="s">
        <v>181</v>
      </c>
    </row>
    <row r="342">
      <c r="A342" s="16">
        <v>12832.0</v>
      </c>
      <c r="B342" s="16" t="s">
        <v>1749</v>
      </c>
      <c r="C342" s="16">
        <v>0.5</v>
      </c>
      <c r="D342" s="174" t="s">
        <v>1750</v>
      </c>
      <c r="E342" s="16"/>
      <c r="F342" s="16">
        <v>547.0</v>
      </c>
      <c r="G342" s="16" t="s">
        <v>176</v>
      </c>
      <c r="H342" s="16" t="s">
        <v>18</v>
      </c>
      <c r="I342" s="16" t="s">
        <v>14</v>
      </c>
      <c r="J342" s="16" t="s">
        <v>17</v>
      </c>
      <c r="K342" s="16" t="s">
        <v>19</v>
      </c>
      <c r="L342" s="16" t="s">
        <v>13</v>
      </c>
      <c r="M342" s="16" t="s">
        <v>15</v>
      </c>
      <c r="N342" s="16" t="s">
        <v>16</v>
      </c>
      <c r="O342" s="16"/>
      <c r="P342" s="16"/>
      <c r="Q342" s="16"/>
      <c r="R342" s="16"/>
      <c r="S342" s="16">
        <v>-2.0</v>
      </c>
      <c r="T342" s="16"/>
      <c r="U342" s="16" t="s">
        <v>1751</v>
      </c>
      <c r="V342" s="16" t="s">
        <v>1752</v>
      </c>
      <c r="W342" s="16" t="s">
        <v>179</v>
      </c>
      <c r="X342" s="16" t="s">
        <v>181</v>
      </c>
      <c r="Y342" s="100"/>
      <c r="Z342" s="16" t="s">
        <v>181</v>
      </c>
    </row>
    <row r="343">
      <c r="A343" s="16">
        <v>12833.0</v>
      </c>
      <c r="B343" s="16" t="s">
        <v>1753</v>
      </c>
      <c r="C343" s="16">
        <v>2.59</v>
      </c>
      <c r="D343" s="174" t="s">
        <v>1754</v>
      </c>
      <c r="E343" s="16"/>
      <c r="F343" s="16">
        <v>577.0</v>
      </c>
      <c r="G343" s="16" t="s">
        <v>1755</v>
      </c>
      <c r="H343" s="16" t="s">
        <v>18</v>
      </c>
      <c r="I343" s="16" t="s">
        <v>19</v>
      </c>
      <c r="J343" s="16"/>
      <c r="K343" s="16"/>
      <c r="L343" s="16"/>
      <c r="M343" s="16"/>
      <c r="N343" s="16"/>
      <c r="O343" s="16"/>
      <c r="P343" s="16"/>
      <c r="Q343" s="16"/>
      <c r="R343" s="16"/>
      <c r="S343" s="16">
        <v>-2.0</v>
      </c>
      <c r="T343" s="16"/>
      <c r="U343" s="16" t="s">
        <v>1756</v>
      </c>
      <c r="V343" s="16" t="s">
        <v>1757</v>
      </c>
      <c r="W343" s="16" t="s">
        <v>942</v>
      </c>
      <c r="X343" s="16" t="s">
        <v>181</v>
      </c>
      <c r="Y343" s="100"/>
      <c r="Z343" s="16" t="s">
        <v>181</v>
      </c>
    </row>
    <row r="344">
      <c r="A344" s="16">
        <v>12834.0</v>
      </c>
      <c r="B344" s="16" t="s">
        <v>1758</v>
      </c>
      <c r="C344" s="16">
        <v>0.37</v>
      </c>
      <c r="D344" s="174" t="s">
        <v>1759</v>
      </c>
      <c r="E344" s="16"/>
      <c r="F344" s="16">
        <v>547.0</v>
      </c>
      <c r="G344" s="16" t="s">
        <v>176</v>
      </c>
      <c r="H344" s="16" t="s">
        <v>12</v>
      </c>
      <c r="I344" s="16"/>
      <c r="J344" s="16"/>
      <c r="K344" s="16"/>
      <c r="L344" s="16"/>
      <c r="M344" s="16"/>
      <c r="N344" s="16"/>
      <c r="O344" s="16"/>
      <c r="P344" s="16"/>
      <c r="Q344" s="16"/>
      <c r="R344" s="16"/>
      <c r="S344" s="16">
        <v>-2.0</v>
      </c>
      <c r="T344" s="16"/>
      <c r="U344" s="16" t="s">
        <v>1760</v>
      </c>
      <c r="V344" s="16" t="s">
        <v>1761</v>
      </c>
      <c r="W344" s="16" t="s">
        <v>478</v>
      </c>
      <c r="X344" s="16" t="s">
        <v>181</v>
      </c>
      <c r="Y344" s="100"/>
      <c r="Z344" s="16" t="s">
        <v>181</v>
      </c>
    </row>
    <row r="345">
      <c r="A345" s="16">
        <v>12835.0</v>
      </c>
      <c r="B345" s="16" t="s">
        <v>1762</v>
      </c>
      <c r="C345" s="16">
        <v>0.21</v>
      </c>
      <c r="D345" s="174" t="s">
        <v>1763</v>
      </c>
      <c r="E345" s="16"/>
      <c r="F345" s="16">
        <v>560.0</v>
      </c>
      <c r="G345" s="16" t="s">
        <v>245</v>
      </c>
      <c r="H345" s="16" t="s">
        <v>12</v>
      </c>
      <c r="I345" s="16" t="s">
        <v>13</v>
      </c>
      <c r="J345" s="16"/>
      <c r="K345" s="16"/>
      <c r="L345" s="16"/>
      <c r="M345" s="16"/>
      <c r="N345" s="16"/>
      <c r="O345" s="16"/>
      <c r="P345" s="16"/>
      <c r="Q345" s="16"/>
      <c r="R345" s="16"/>
      <c r="S345" s="16">
        <v>-2.0</v>
      </c>
      <c r="T345" s="16"/>
      <c r="U345" s="16" t="s">
        <v>1764</v>
      </c>
      <c r="V345" s="16" t="s">
        <v>1765</v>
      </c>
      <c r="W345" s="16" t="s">
        <v>566</v>
      </c>
      <c r="X345" s="16" t="s">
        <v>181</v>
      </c>
      <c r="Y345" s="100"/>
      <c r="Z345" s="16" t="s">
        <v>181</v>
      </c>
    </row>
    <row r="346">
      <c r="A346" s="16">
        <v>12836.0</v>
      </c>
      <c r="B346" s="16" t="s">
        <v>1766</v>
      </c>
      <c r="C346" s="16">
        <v>0.75</v>
      </c>
      <c r="D346" s="174" t="s">
        <v>1767</v>
      </c>
      <c r="E346" s="16"/>
      <c r="F346" s="16">
        <v>592.0</v>
      </c>
      <c r="G346" s="16" t="s">
        <v>1175</v>
      </c>
      <c r="H346" s="16" t="s">
        <v>14</v>
      </c>
      <c r="I346" s="16" t="s">
        <v>16</v>
      </c>
      <c r="J346" s="16"/>
      <c r="K346" s="16"/>
      <c r="L346" s="16"/>
      <c r="M346" s="16"/>
      <c r="N346" s="16"/>
      <c r="O346" s="16"/>
      <c r="P346" s="16"/>
      <c r="Q346" s="16"/>
      <c r="R346" s="16"/>
      <c r="S346" s="16">
        <v>-2.0</v>
      </c>
      <c r="T346" s="16"/>
      <c r="U346" s="16" t="s">
        <v>1768</v>
      </c>
      <c r="V346" s="16" t="s">
        <v>1769</v>
      </c>
      <c r="W346" s="16" t="s">
        <v>443</v>
      </c>
      <c r="X346" s="16" t="s">
        <v>181</v>
      </c>
      <c r="Y346" s="100"/>
      <c r="Z346" s="16" t="s">
        <v>181</v>
      </c>
    </row>
    <row r="347">
      <c r="A347" s="16">
        <v>12837.0</v>
      </c>
      <c r="B347" s="16" t="s">
        <v>1770</v>
      </c>
      <c r="C347" s="16">
        <v>0.0</v>
      </c>
      <c r="D347" s="174" t="s">
        <v>1771</v>
      </c>
      <c r="E347" s="16"/>
      <c r="F347" s="16">
        <v>547.0</v>
      </c>
      <c r="G347" s="16" t="s">
        <v>176</v>
      </c>
      <c r="H347" s="16" t="s">
        <v>19</v>
      </c>
      <c r="I347" s="16" t="s">
        <v>13</v>
      </c>
      <c r="J347" s="16"/>
      <c r="K347" s="16"/>
      <c r="L347" s="16"/>
      <c r="M347" s="16"/>
      <c r="N347" s="16"/>
      <c r="O347" s="16"/>
      <c r="P347" s="16"/>
      <c r="Q347" s="16"/>
      <c r="R347" s="16"/>
      <c r="S347" s="16">
        <v>-2.0</v>
      </c>
      <c r="T347" s="16"/>
      <c r="U347" s="16" t="s">
        <v>1772</v>
      </c>
      <c r="V347" s="16" t="s">
        <v>1773</v>
      </c>
      <c r="W347" s="16" t="s">
        <v>443</v>
      </c>
      <c r="X347" s="16" t="s">
        <v>181</v>
      </c>
      <c r="Y347" s="100"/>
      <c r="Z347" s="16" t="s">
        <v>181</v>
      </c>
    </row>
    <row r="348">
      <c r="A348" s="16">
        <v>12838.0</v>
      </c>
      <c r="B348" s="16" t="s">
        <v>1774</v>
      </c>
      <c r="C348" s="16">
        <v>0.96</v>
      </c>
      <c r="D348" s="174" t="s">
        <v>1775</v>
      </c>
      <c r="E348" s="16"/>
      <c r="F348" s="16">
        <v>584.0</v>
      </c>
      <c r="G348" s="16" t="s">
        <v>361</v>
      </c>
      <c r="H348" s="16" t="s">
        <v>24</v>
      </c>
      <c r="I348" s="16"/>
      <c r="J348" s="16"/>
      <c r="K348" s="16"/>
      <c r="L348" s="16"/>
      <c r="M348" s="16"/>
      <c r="N348" s="16"/>
      <c r="O348" s="16"/>
      <c r="P348" s="16"/>
      <c r="Q348" s="16"/>
      <c r="R348" s="16"/>
      <c r="S348" s="16">
        <v>-2.0</v>
      </c>
      <c r="T348" s="16"/>
      <c r="U348" s="16" t="s">
        <v>1776</v>
      </c>
      <c r="V348" s="16" t="s">
        <v>1777</v>
      </c>
      <c r="W348" s="16" t="s">
        <v>188</v>
      </c>
      <c r="X348" s="16" t="s">
        <v>181</v>
      </c>
      <c r="Y348" s="100"/>
      <c r="Z348" s="16" t="s">
        <v>181</v>
      </c>
    </row>
    <row r="349">
      <c r="A349" s="16">
        <v>12839.0</v>
      </c>
      <c r="B349" s="16" t="s">
        <v>1778</v>
      </c>
      <c r="C349" s="16">
        <v>0.0</v>
      </c>
      <c r="D349" s="174" t="s">
        <v>1779</v>
      </c>
      <c r="E349" s="16"/>
      <c r="F349" s="16">
        <v>547.0</v>
      </c>
      <c r="G349" s="16" t="s">
        <v>176</v>
      </c>
      <c r="H349" s="16" t="s">
        <v>24</v>
      </c>
      <c r="I349" s="16"/>
      <c r="J349" s="16"/>
      <c r="K349" s="16"/>
      <c r="L349" s="16"/>
      <c r="M349" s="16"/>
      <c r="N349" s="16"/>
      <c r="O349" s="16"/>
      <c r="P349" s="16"/>
      <c r="Q349" s="16"/>
      <c r="R349" s="16"/>
      <c r="S349" s="16">
        <v>-2.0</v>
      </c>
      <c r="T349" s="16"/>
      <c r="U349" s="16" t="s">
        <v>1780</v>
      </c>
      <c r="V349" s="16" t="s">
        <v>1781</v>
      </c>
      <c r="W349" s="16" t="s">
        <v>634</v>
      </c>
      <c r="X349" s="16" t="s">
        <v>181</v>
      </c>
      <c r="Y349" s="100"/>
      <c r="Z349" s="16" t="s">
        <v>181</v>
      </c>
    </row>
    <row r="350">
      <c r="A350" s="16">
        <v>12840.0</v>
      </c>
      <c r="B350" s="16" t="s">
        <v>1782</v>
      </c>
      <c r="C350" s="16">
        <v>0.0</v>
      </c>
      <c r="D350" s="174" t="s">
        <v>1783</v>
      </c>
      <c r="E350" s="16"/>
      <c r="F350" s="16">
        <v>547.0</v>
      </c>
      <c r="G350" s="16" t="s">
        <v>176</v>
      </c>
      <c r="H350" s="16" t="s">
        <v>25</v>
      </c>
      <c r="I350" s="16" t="s">
        <v>26</v>
      </c>
      <c r="J350" s="16"/>
      <c r="K350" s="16"/>
      <c r="L350" s="16"/>
      <c r="M350" s="16"/>
      <c r="N350" s="16"/>
      <c r="O350" s="16"/>
      <c r="P350" s="16"/>
      <c r="Q350" s="16"/>
      <c r="R350" s="16"/>
      <c r="S350" s="16">
        <v>-2.0</v>
      </c>
      <c r="T350" s="16"/>
      <c r="U350" s="16" t="s">
        <v>1784</v>
      </c>
      <c r="V350" s="16" t="s">
        <v>1785</v>
      </c>
      <c r="W350" s="16" t="s">
        <v>179</v>
      </c>
      <c r="X350" s="16" t="s">
        <v>181</v>
      </c>
      <c r="Y350" s="100"/>
      <c r="Z350" s="16" t="s">
        <v>181</v>
      </c>
    </row>
    <row r="351">
      <c r="A351" s="16">
        <v>12841.0</v>
      </c>
      <c r="B351" s="16" t="s">
        <v>1786</v>
      </c>
      <c r="C351" s="16">
        <v>0.9</v>
      </c>
      <c r="D351" s="174" t="s">
        <v>1787</v>
      </c>
      <c r="E351" s="16"/>
      <c r="F351" s="16">
        <v>560.0</v>
      </c>
      <c r="G351" s="16" t="s">
        <v>245</v>
      </c>
      <c r="H351" s="16" t="s">
        <v>24</v>
      </c>
      <c r="I351" s="16"/>
      <c r="J351" s="16"/>
      <c r="K351" s="16"/>
      <c r="L351" s="16"/>
      <c r="M351" s="16"/>
      <c r="N351" s="16"/>
      <c r="O351" s="16"/>
      <c r="P351" s="16"/>
      <c r="Q351" s="16"/>
      <c r="R351" s="16"/>
      <c r="S351" s="16">
        <v>-2.0</v>
      </c>
      <c r="T351" s="16"/>
      <c r="U351" s="16" t="s">
        <v>1788</v>
      </c>
      <c r="V351" s="16" t="s">
        <v>1789</v>
      </c>
      <c r="W351" s="16" t="s">
        <v>231</v>
      </c>
      <c r="X351" s="16" t="s">
        <v>181</v>
      </c>
      <c r="Y351" s="100"/>
      <c r="Z351" s="16" t="s">
        <v>181</v>
      </c>
    </row>
    <row r="352">
      <c r="A352" s="16">
        <v>12842.0</v>
      </c>
      <c r="B352" s="16" t="s">
        <v>1790</v>
      </c>
      <c r="C352" s="16">
        <v>0.0</v>
      </c>
      <c r="D352" s="174" t="s">
        <v>1791</v>
      </c>
      <c r="E352" s="16"/>
      <c r="F352" s="16">
        <v>547.0</v>
      </c>
      <c r="G352" s="16" t="s">
        <v>176</v>
      </c>
      <c r="H352" s="16" t="s">
        <v>25</v>
      </c>
      <c r="I352" s="16" t="s">
        <v>26</v>
      </c>
      <c r="J352" s="16"/>
      <c r="K352" s="16"/>
      <c r="L352" s="16"/>
      <c r="M352" s="16"/>
      <c r="N352" s="16"/>
      <c r="O352" s="16"/>
      <c r="P352" s="16"/>
      <c r="Q352" s="16"/>
      <c r="R352" s="16"/>
      <c r="S352" s="16">
        <v>-2.0</v>
      </c>
      <c r="T352" s="16"/>
      <c r="U352" s="16" t="s">
        <v>1792</v>
      </c>
      <c r="V352" s="16" t="s">
        <v>1793</v>
      </c>
      <c r="W352" s="16" t="s">
        <v>199</v>
      </c>
      <c r="X352" s="16" t="s">
        <v>181</v>
      </c>
      <c r="Y352" s="100"/>
      <c r="Z352" s="16" t="s">
        <v>181</v>
      </c>
    </row>
    <row r="353">
      <c r="A353" s="16">
        <v>12843.0</v>
      </c>
      <c r="B353" s="16" t="s">
        <v>1794</v>
      </c>
      <c r="C353" s="16">
        <v>0.31</v>
      </c>
      <c r="D353" s="174" t="s">
        <v>1795</v>
      </c>
      <c r="E353" s="16"/>
      <c r="F353" s="16">
        <v>560.0</v>
      </c>
      <c r="G353" s="16" t="s">
        <v>245</v>
      </c>
      <c r="H353" s="16" t="s">
        <v>19</v>
      </c>
      <c r="I353" s="16" t="s">
        <v>18</v>
      </c>
      <c r="J353" s="16"/>
      <c r="K353" s="16"/>
      <c r="L353" s="16"/>
      <c r="M353" s="16"/>
      <c r="N353" s="16"/>
      <c r="O353" s="16"/>
      <c r="P353" s="16"/>
      <c r="Q353" s="16"/>
      <c r="R353" s="16"/>
      <c r="S353" s="16">
        <v>-2.0</v>
      </c>
      <c r="T353" s="16"/>
      <c r="U353" s="16" t="s">
        <v>1796</v>
      </c>
      <c r="V353" s="16" t="s">
        <v>1797</v>
      </c>
      <c r="W353" s="16" t="s">
        <v>443</v>
      </c>
      <c r="X353" s="16" t="s">
        <v>181</v>
      </c>
      <c r="Y353" s="100"/>
      <c r="Z353" s="16" t="s">
        <v>181</v>
      </c>
    </row>
    <row r="354">
      <c r="A354" s="16">
        <v>12844.0</v>
      </c>
      <c r="B354" s="16" t="s">
        <v>1798</v>
      </c>
      <c r="C354" s="16">
        <v>2.62</v>
      </c>
      <c r="D354" s="174" t="s">
        <v>1799</v>
      </c>
      <c r="E354" s="16"/>
      <c r="F354" s="16">
        <v>569.0</v>
      </c>
      <c r="G354" s="16" t="s">
        <v>292</v>
      </c>
      <c r="H354" s="16" t="s">
        <v>16</v>
      </c>
      <c r="I354" s="16"/>
      <c r="J354" s="16"/>
      <c r="K354" s="16"/>
      <c r="L354" s="16"/>
      <c r="M354" s="16"/>
      <c r="N354" s="16"/>
      <c r="O354" s="16"/>
      <c r="P354" s="16"/>
      <c r="Q354" s="16"/>
      <c r="R354" s="16"/>
      <c r="S354" s="16">
        <v>-2.0</v>
      </c>
      <c r="T354" s="16"/>
      <c r="U354" s="16" t="s">
        <v>1800</v>
      </c>
      <c r="V354" s="16" t="s">
        <v>1801</v>
      </c>
      <c r="W354" s="16" t="s">
        <v>616</v>
      </c>
      <c r="X354" s="16" t="s">
        <v>181</v>
      </c>
      <c r="Y354" s="100"/>
      <c r="Z354" s="16" t="s">
        <v>181</v>
      </c>
    </row>
    <row r="355">
      <c r="A355" s="16">
        <v>12845.0</v>
      </c>
      <c r="B355" s="16" t="s">
        <v>1802</v>
      </c>
      <c r="C355" s="16">
        <v>1.89</v>
      </c>
      <c r="D355" s="174" t="s">
        <v>1803</v>
      </c>
      <c r="E355" s="16"/>
      <c r="F355" s="16">
        <v>578.0</v>
      </c>
      <c r="G355" s="16" t="s">
        <v>333</v>
      </c>
      <c r="H355" s="16" t="s">
        <v>24</v>
      </c>
      <c r="I355" s="16"/>
      <c r="J355" s="16"/>
      <c r="K355" s="16"/>
      <c r="L355" s="16"/>
      <c r="M355" s="16"/>
      <c r="N355" s="16"/>
      <c r="O355" s="16"/>
      <c r="P355" s="16"/>
      <c r="Q355" s="16"/>
      <c r="R355" s="16"/>
      <c r="S355" s="16">
        <v>-2.0</v>
      </c>
      <c r="T355" s="16"/>
      <c r="U355" s="16" t="s">
        <v>1804</v>
      </c>
      <c r="V355" s="16" t="s">
        <v>1805</v>
      </c>
      <c r="W355" s="16" t="s">
        <v>634</v>
      </c>
      <c r="X355" s="16" t="s">
        <v>181</v>
      </c>
      <c r="Y355" s="100"/>
      <c r="Z355" s="16" t="s">
        <v>181</v>
      </c>
    </row>
    <row r="356">
      <c r="A356" s="16">
        <v>12846.0</v>
      </c>
      <c r="B356" s="16" t="s">
        <v>1806</v>
      </c>
      <c r="C356" s="16">
        <v>0.44</v>
      </c>
      <c r="D356" s="174" t="s">
        <v>1807</v>
      </c>
      <c r="E356" s="16"/>
      <c r="F356" s="16">
        <v>577.0</v>
      </c>
      <c r="G356" s="16" t="s">
        <v>1755</v>
      </c>
      <c r="H356" s="16" t="s">
        <v>51</v>
      </c>
      <c r="I356" s="16"/>
      <c r="J356" s="16"/>
      <c r="K356" s="16"/>
      <c r="L356" s="16"/>
      <c r="M356" s="16"/>
      <c r="N356" s="16"/>
      <c r="O356" s="16"/>
      <c r="P356" s="16"/>
      <c r="Q356" s="16"/>
      <c r="R356" s="16"/>
      <c r="S356" s="16">
        <v>-2.0</v>
      </c>
      <c r="T356" s="16"/>
      <c r="U356" s="16" t="s">
        <v>1808</v>
      </c>
      <c r="V356" s="16" t="s">
        <v>1809</v>
      </c>
      <c r="W356" s="16" t="s">
        <v>722</v>
      </c>
      <c r="X356" s="16" t="s">
        <v>181</v>
      </c>
      <c r="Y356" s="100"/>
      <c r="Z356" s="16" t="s">
        <v>181</v>
      </c>
    </row>
    <row r="357">
      <c r="A357" s="16">
        <v>12847.0</v>
      </c>
      <c r="B357" s="16" t="s">
        <v>1810</v>
      </c>
      <c r="C357" s="16">
        <v>0.26</v>
      </c>
      <c r="D357" s="174" t="s">
        <v>1811</v>
      </c>
      <c r="E357" s="16"/>
      <c r="F357" s="16">
        <v>547.0</v>
      </c>
      <c r="G357" s="16" t="s">
        <v>176</v>
      </c>
      <c r="H357" s="16" t="s">
        <v>15</v>
      </c>
      <c r="I357" s="16" t="s">
        <v>13</v>
      </c>
      <c r="J357" s="16" t="s">
        <v>16</v>
      </c>
      <c r="K357" s="16"/>
      <c r="L357" s="16"/>
      <c r="M357" s="16"/>
      <c r="N357" s="16"/>
      <c r="O357" s="16"/>
      <c r="P357" s="16"/>
      <c r="Q357" s="16"/>
      <c r="R357" s="16"/>
      <c r="S357" s="16">
        <v>-2.0</v>
      </c>
      <c r="T357" s="16"/>
      <c r="U357" s="16" t="s">
        <v>1812</v>
      </c>
      <c r="V357" s="16" t="s">
        <v>1813</v>
      </c>
      <c r="W357" s="16" t="s">
        <v>675</v>
      </c>
      <c r="X357" s="16" t="s">
        <v>181</v>
      </c>
      <c r="Y357" s="100"/>
      <c r="Z357" s="16" t="s">
        <v>181</v>
      </c>
    </row>
    <row r="358">
      <c r="A358" s="16">
        <v>12848.0</v>
      </c>
      <c r="B358" s="16" t="s">
        <v>1814</v>
      </c>
      <c r="C358" s="16">
        <v>0.0</v>
      </c>
      <c r="D358" s="174" t="s">
        <v>1815</v>
      </c>
      <c r="E358" s="16"/>
      <c r="F358" s="16">
        <v>547.0</v>
      </c>
      <c r="G358" s="16" t="s">
        <v>176</v>
      </c>
      <c r="H358" s="16" t="s">
        <v>25</v>
      </c>
      <c r="I358" s="16" t="s">
        <v>26</v>
      </c>
      <c r="J358" s="16"/>
      <c r="K358" s="16"/>
      <c r="L358" s="16"/>
      <c r="M358" s="16"/>
      <c r="N358" s="16"/>
      <c r="O358" s="16"/>
      <c r="P358" s="16"/>
      <c r="Q358" s="16"/>
      <c r="R358" s="16"/>
      <c r="S358" s="16">
        <v>-2.0</v>
      </c>
      <c r="T358" s="16"/>
      <c r="U358" s="16" t="s">
        <v>1816</v>
      </c>
      <c r="V358" s="16" t="s">
        <v>1817</v>
      </c>
      <c r="W358" s="16" t="s">
        <v>591</v>
      </c>
      <c r="X358" s="16" t="s">
        <v>181</v>
      </c>
      <c r="Y358" s="100"/>
      <c r="Z358" s="16" t="s">
        <v>181</v>
      </c>
    </row>
    <row r="359">
      <c r="A359" s="16">
        <v>12849.0</v>
      </c>
      <c r="B359" s="16" t="s">
        <v>1818</v>
      </c>
      <c r="C359" s="16">
        <v>0.47</v>
      </c>
      <c r="D359" s="174" t="s">
        <v>1819</v>
      </c>
      <c r="E359" s="16"/>
      <c r="F359" s="16">
        <v>563.0</v>
      </c>
      <c r="G359" s="16" t="s">
        <v>260</v>
      </c>
      <c r="H359" s="16" t="s">
        <v>14</v>
      </c>
      <c r="I359" s="16"/>
      <c r="J359" s="16"/>
      <c r="K359" s="16"/>
      <c r="L359" s="16"/>
      <c r="M359" s="16"/>
      <c r="N359" s="16"/>
      <c r="O359" s="16"/>
      <c r="P359" s="16"/>
      <c r="Q359" s="16"/>
      <c r="R359" s="16"/>
      <c r="S359" s="16">
        <v>-2.0</v>
      </c>
      <c r="T359" s="16"/>
      <c r="U359" s="16" t="s">
        <v>1820</v>
      </c>
      <c r="V359" s="16" t="s">
        <v>1821</v>
      </c>
      <c r="W359" s="16" t="s">
        <v>188</v>
      </c>
      <c r="X359" s="16" t="s">
        <v>181</v>
      </c>
      <c r="Y359" s="100"/>
      <c r="Z359" s="16" t="s">
        <v>181</v>
      </c>
    </row>
    <row r="360">
      <c r="A360" s="16">
        <v>12850.0</v>
      </c>
      <c r="B360" s="16" t="s">
        <v>1822</v>
      </c>
      <c r="C360" s="16">
        <v>0.17</v>
      </c>
      <c r="D360" s="174" t="s">
        <v>1823</v>
      </c>
      <c r="E360" s="16"/>
      <c r="F360" s="16">
        <v>547.0</v>
      </c>
      <c r="G360" s="16" t="s">
        <v>176</v>
      </c>
      <c r="H360" s="16" t="s">
        <v>24</v>
      </c>
      <c r="I360" s="16"/>
      <c r="J360" s="16"/>
      <c r="K360" s="16"/>
      <c r="L360" s="16"/>
      <c r="M360" s="16"/>
      <c r="N360" s="16"/>
      <c r="O360" s="16"/>
      <c r="P360" s="16"/>
      <c r="Q360" s="16"/>
      <c r="R360" s="16"/>
      <c r="S360" s="16">
        <v>-2.0</v>
      </c>
      <c r="T360" s="16"/>
      <c r="U360" s="16" t="s">
        <v>1824</v>
      </c>
      <c r="V360" s="16" t="s">
        <v>1825</v>
      </c>
      <c r="W360" s="16" t="s">
        <v>634</v>
      </c>
      <c r="X360" s="16" t="s">
        <v>181</v>
      </c>
      <c r="Y360" s="100"/>
      <c r="Z360" s="16" t="s">
        <v>181</v>
      </c>
    </row>
    <row r="361">
      <c r="A361" s="16">
        <v>12851.0</v>
      </c>
      <c r="B361" s="16" t="s">
        <v>1826</v>
      </c>
      <c r="C361" s="16">
        <v>0.0</v>
      </c>
      <c r="D361" s="174" t="s">
        <v>1827</v>
      </c>
      <c r="E361" s="16"/>
      <c r="F361" s="16">
        <v>547.0</v>
      </c>
      <c r="G361" s="16" t="s">
        <v>176</v>
      </c>
      <c r="H361" s="16" t="s">
        <v>25</v>
      </c>
      <c r="I361" s="16" t="s">
        <v>26</v>
      </c>
      <c r="J361" s="16"/>
      <c r="K361" s="16"/>
      <c r="L361" s="16"/>
      <c r="M361" s="16"/>
      <c r="N361" s="16"/>
      <c r="O361" s="16"/>
      <c r="P361" s="16"/>
      <c r="Q361" s="16"/>
      <c r="R361" s="16"/>
      <c r="S361" s="16">
        <v>-2.0</v>
      </c>
      <c r="T361" s="16"/>
      <c r="U361" s="16" t="s">
        <v>1828</v>
      </c>
      <c r="V361" s="16" t="s">
        <v>1829</v>
      </c>
      <c r="W361" s="16" t="s">
        <v>399</v>
      </c>
      <c r="X361" s="16" t="s">
        <v>181</v>
      </c>
      <c r="Y361" s="100"/>
      <c r="Z361" s="16" t="s">
        <v>181</v>
      </c>
    </row>
    <row r="362">
      <c r="A362" s="16">
        <v>12852.0</v>
      </c>
      <c r="B362" s="16" t="s">
        <v>1830</v>
      </c>
      <c r="C362" s="16">
        <v>1.16</v>
      </c>
      <c r="D362" s="174" t="s">
        <v>1831</v>
      </c>
      <c r="E362" s="16"/>
      <c r="F362" s="16">
        <v>583.0</v>
      </c>
      <c r="G362" s="16" t="s">
        <v>1170</v>
      </c>
      <c r="H362" s="16" t="s">
        <v>24</v>
      </c>
      <c r="I362" s="16" t="s">
        <v>25</v>
      </c>
      <c r="J362" s="16"/>
      <c r="K362" s="16"/>
      <c r="L362" s="16"/>
      <c r="M362" s="16"/>
      <c r="N362" s="16"/>
      <c r="O362" s="16"/>
      <c r="P362" s="16"/>
      <c r="Q362" s="16"/>
      <c r="R362" s="16"/>
      <c r="S362" s="16">
        <v>-2.0</v>
      </c>
      <c r="T362" s="16"/>
      <c r="U362" s="16" t="s">
        <v>1832</v>
      </c>
      <c r="V362" s="16" t="s">
        <v>1833</v>
      </c>
      <c r="W362" s="16" t="s">
        <v>360</v>
      </c>
      <c r="X362" s="16" t="s">
        <v>181</v>
      </c>
      <c r="Y362" s="100"/>
      <c r="Z362" s="16" t="s">
        <v>181</v>
      </c>
    </row>
    <row r="363">
      <c r="A363" s="16">
        <v>12853.0</v>
      </c>
      <c r="B363" s="16" t="s">
        <v>1834</v>
      </c>
      <c r="C363" s="16">
        <v>0.0</v>
      </c>
      <c r="D363" s="174" t="s">
        <v>1835</v>
      </c>
      <c r="E363" s="16"/>
      <c r="F363" s="16">
        <v>547.0</v>
      </c>
      <c r="G363" s="16" t="s">
        <v>176</v>
      </c>
      <c r="H363" s="16" t="s">
        <v>18</v>
      </c>
      <c r="I363" s="16"/>
      <c r="J363" s="16"/>
      <c r="K363" s="16"/>
      <c r="L363" s="16"/>
      <c r="M363" s="16"/>
      <c r="N363" s="16"/>
      <c r="O363" s="16"/>
      <c r="P363" s="16"/>
      <c r="Q363" s="16"/>
      <c r="R363" s="16"/>
      <c r="S363" s="16">
        <v>-2.0</v>
      </c>
      <c r="T363" s="16"/>
      <c r="U363" s="16" t="s">
        <v>1836</v>
      </c>
      <c r="V363" s="16" t="s">
        <v>1837</v>
      </c>
      <c r="W363" s="16" t="s">
        <v>199</v>
      </c>
      <c r="X363" s="16" t="s">
        <v>181</v>
      </c>
      <c r="Y363" s="100"/>
      <c r="Z363" s="16" t="s">
        <v>181</v>
      </c>
    </row>
    <row r="364">
      <c r="A364" s="16">
        <v>12854.0</v>
      </c>
      <c r="B364" s="16" t="s">
        <v>1838</v>
      </c>
      <c r="C364" s="16">
        <v>1.08</v>
      </c>
      <c r="D364" s="174" t="s">
        <v>1839</v>
      </c>
      <c r="E364" s="16"/>
      <c r="F364" s="16">
        <v>547.0</v>
      </c>
      <c r="G364" s="16" t="s">
        <v>176</v>
      </c>
      <c r="H364" s="16" t="s">
        <v>24</v>
      </c>
      <c r="I364" s="16"/>
      <c r="J364" s="16"/>
      <c r="K364" s="16"/>
      <c r="L364" s="16"/>
      <c r="M364" s="16"/>
      <c r="N364" s="16"/>
      <c r="O364" s="16"/>
      <c r="P364" s="16"/>
      <c r="Q364" s="16"/>
      <c r="R364" s="16"/>
      <c r="S364" s="16">
        <v>-2.0</v>
      </c>
      <c r="T364" s="16"/>
      <c r="U364" s="16" t="s">
        <v>1840</v>
      </c>
      <c r="V364" s="16" t="s">
        <v>1841</v>
      </c>
      <c r="W364" s="16" t="s">
        <v>661</v>
      </c>
      <c r="X364" s="16" t="s">
        <v>181</v>
      </c>
      <c r="Y364" s="100"/>
      <c r="Z364" s="16" t="s">
        <v>181</v>
      </c>
    </row>
    <row r="365">
      <c r="A365" s="16">
        <v>12855.0</v>
      </c>
      <c r="B365" s="16" t="s">
        <v>1842</v>
      </c>
      <c r="C365" s="16">
        <v>0.27</v>
      </c>
      <c r="D365" s="174" t="s">
        <v>1843</v>
      </c>
      <c r="E365" s="16"/>
      <c r="F365" s="16">
        <v>547.0</v>
      </c>
      <c r="G365" s="16" t="s">
        <v>176</v>
      </c>
      <c r="H365" s="16" t="s">
        <v>25</v>
      </c>
      <c r="I365" s="16" t="s">
        <v>26</v>
      </c>
      <c r="J365" s="16"/>
      <c r="K365" s="16"/>
      <c r="L365" s="16"/>
      <c r="M365" s="16"/>
      <c r="N365" s="16"/>
      <c r="O365" s="16"/>
      <c r="P365" s="16"/>
      <c r="Q365" s="16"/>
      <c r="R365" s="16"/>
      <c r="S365" s="16">
        <v>-2.0</v>
      </c>
      <c r="T365" s="16"/>
      <c r="U365" s="16" t="s">
        <v>1844</v>
      </c>
      <c r="V365" s="16" t="s">
        <v>1845</v>
      </c>
      <c r="W365" s="16" t="s">
        <v>179</v>
      </c>
      <c r="X365" s="16" t="s">
        <v>181</v>
      </c>
      <c r="Y365" s="100"/>
      <c r="Z365" s="16" t="s">
        <v>181</v>
      </c>
    </row>
    <row r="366">
      <c r="A366" s="16">
        <v>12856.0</v>
      </c>
      <c r="B366" s="16" t="s">
        <v>1846</v>
      </c>
      <c r="C366" s="16">
        <v>0.11</v>
      </c>
      <c r="D366" s="174" t="s">
        <v>1847</v>
      </c>
      <c r="E366" s="16"/>
      <c r="F366" s="16">
        <v>547.0</v>
      </c>
      <c r="G366" s="16" t="s">
        <v>176</v>
      </c>
      <c r="H366" s="16" t="s">
        <v>25</v>
      </c>
      <c r="I366" s="16" t="s">
        <v>26</v>
      </c>
      <c r="J366" s="16"/>
      <c r="K366" s="16"/>
      <c r="L366" s="16"/>
      <c r="M366" s="16"/>
      <c r="N366" s="16"/>
      <c r="O366" s="16"/>
      <c r="P366" s="16"/>
      <c r="Q366" s="16"/>
      <c r="R366" s="16"/>
      <c r="S366" s="16">
        <v>-2.0</v>
      </c>
      <c r="T366" s="16"/>
      <c r="U366" s="16" t="s">
        <v>1848</v>
      </c>
      <c r="V366" s="16" t="s">
        <v>1849</v>
      </c>
      <c r="W366" s="16" t="s">
        <v>179</v>
      </c>
      <c r="X366" s="16" t="s">
        <v>181</v>
      </c>
      <c r="Y366" s="100"/>
      <c r="Z366" s="16" t="s">
        <v>181</v>
      </c>
    </row>
    <row r="367">
      <c r="A367" s="16">
        <v>12857.0</v>
      </c>
      <c r="B367" s="16" t="s">
        <v>1850</v>
      </c>
      <c r="C367" s="16">
        <v>0.08</v>
      </c>
      <c r="D367" s="174" t="s">
        <v>1851</v>
      </c>
      <c r="E367" s="16"/>
      <c r="F367" s="16">
        <v>548.0</v>
      </c>
      <c r="G367" s="16" t="s">
        <v>126</v>
      </c>
      <c r="H367" s="16" t="s">
        <v>24</v>
      </c>
      <c r="I367" s="16"/>
      <c r="J367" s="16"/>
      <c r="K367" s="16"/>
      <c r="L367" s="16"/>
      <c r="M367" s="16"/>
      <c r="N367" s="16"/>
      <c r="O367" s="16"/>
      <c r="P367" s="16"/>
      <c r="Q367" s="16"/>
      <c r="R367" s="16"/>
      <c r="S367" s="16">
        <v>-2.0</v>
      </c>
      <c r="T367" s="16"/>
      <c r="U367" s="16" t="s">
        <v>1852</v>
      </c>
      <c r="V367" s="16" t="s">
        <v>1853</v>
      </c>
      <c r="W367" s="16" t="s">
        <v>188</v>
      </c>
      <c r="X367" s="16" t="s">
        <v>181</v>
      </c>
      <c r="Y367" s="100"/>
      <c r="Z367" s="16" t="s">
        <v>181</v>
      </c>
    </row>
    <row r="368">
      <c r="A368" s="16">
        <v>12858.0</v>
      </c>
      <c r="B368" s="16" t="s">
        <v>1854</v>
      </c>
      <c r="C368" s="16">
        <v>1.37</v>
      </c>
      <c r="D368" s="174" t="s">
        <v>1855</v>
      </c>
      <c r="E368" s="16"/>
      <c r="F368" s="16">
        <v>547.0</v>
      </c>
      <c r="G368" s="16" t="s">
        <v>176</v>
      </c>
      <c r="H368" s="16" t="s">
        <v>19</v>
      </c>
      <c r="I368" s="16" t="s">
        <v>17</v>
      </c>
      <c r="J368" s="16"/>
      <c r="K368" s="16"/>
      <c r="L368" s="16"/>
      <c r="M368" s="16"/>
      <c r="N368" s="16"/>
      <c r="O368" s="16"/>
      <c r="P368" s="16"/>
      <c r="Q368" s="16"/>
      <c r="R368" s="16"/>
      <c r="S368" s="16">
        <v>-2.0</v>
      </c>
      <c r="T368" s="16"/>
      <c r="U368" s="16" t="s">
        <v>1856</v>
      </c>
      <c r="V368" s="16" t="s">
        <v>1857</v>
      </c>
      <c r="W368" s="16" t="s">
        <v>199</v>
      </c>
      <c r="X368" s="16" t="s">
        <v>181</v>
      </c>
      <c r="Y368" s="100"/>
      <c r="Z368" s="16" t="s">
        <v>181</v>
      </c>
    </row>
    <row r="369">
      <c r="A369" s="16">
        <v>12859.0</v>
      </c>
      <c r="B369" s="16" t="s">
        <v>1858</v>
      </c>
      <c r="C369" s="16">
        <v>1.89</v>
      </c>
      <c r="D369" s="174" t="s">
        <v>1859</v>
      </c>
      <c r="E369" s="16"/>
      <c r="F369" s="16">
        <v>572.0</v>
      </c>
      <c r="G369" s="16" t="s">
        <v>306</v>
      </c>
      <c r="H369" s="16" t="s">
        <v>25</v>
      </c>
      <c r="I369" s="16" t="s">
        <v>26</v>
      </c>
      <c r="J369" s="16"/>
      <c r="K369" s="16"/>
      <c r="L369" s="16"/>
      <c r="M369" s="16"/>
      <c r="N369" s="16"/>
      <c r="O369" s="16"/>
      <c r="P369" s="16"/>
      <c r="Q369" s="16"/>
      <c r="R369" s="16"/>
      <c r="S369" s="16">
        <v>-2.0</v>
      </c>
      <c r="T369" s="16"/>
      <c r="U369" s="16" t="s">
        <v>1860</v>
      </c>
      <c r="V369" s="16" t="s">
        <v>1861</v>
      </c>
      <c r="W369" s="16" t="s">
        <v>231</v>
      </c>
      <c r="X369" s="16" t="s">
        <v>181</v>
      </c>
      <c r="Y369" s="100"/>
      <c r="Z369" s="16" t="s">
        <v>181</v>
      </c>
    </row>
    <row r="370">
      <c r="A370" s="16">
        <v>12860.0</v>
      </c>
      <c r="B370" s="16" t="s">
        <v>1862</v>
      </c>
      <c r="C370" s="16">
        <v>3.67</v>
      </c>
      <c r="D370" s="174" t="s">
        <v>1863</v>
      </c>
      <c r="E370" s="16"/>
      <c r="F370" s="16">
        <v>554.0</v>
      </c>
      <c r="G370" s="16" t="s">
        <v>215</v>
      </c>
      <c r="H370" s="16" t="s">
        <v>16</v>
      </c>
      <c r="I370" s="16"/>
      <c r="J370" s="16"/>
      <c r="K370" s="16"/>
      <c r="L370" s="16"/>
      <c r="M370" s="16"/>
      <c r="N370" s="16"/>
      <c r="O370" s="16"/>
      <c r="P370" s="16"/>
      <c r="Q370" s="16"/>
      <c r="R370" s="16"/>
      <c r="S370" s="16">
        <v>-2.0</v>
      </c>
      <c r="T370" s="16"/>
      <c r="U370" s="16" t="s">
        <v>1864</v>
      </c>
      <c r="V370" s="16" t="s">
        <v>1865</v>
      </c>
      <c r="W370" s="16" t="s">
        <v>188</v>
      </c>
      <c r="X370" s="16" t="s">
        <v>181</v>
      </c>
      <c r="Y370" s="100"/>
      <c r="Z370" s="16" t="s">
        <v>181</v>
      </c>
    </row>
    <row r="371">
      <c r="A371" s="16">
        <v>12861.0</v>
      </c>
      <c r="B371" s="16" t="s">
        <v>1866</v>
      </c>
      <c r="C371" s="16">
        <v>0.44</v>
      </c>
      <c r="D371" s="174" t="s">
        <v>1867</v>
      </c>
      <c r="E371" s="16"/>
      <c r="F371" s="16">
        <v>547.0</v>
      </c>
      <c r="G371" s="16" t="s">
        <v>176</v>
      </c>
      <c r="H371" s="16" t="s">
        <v>25</v>
      </c>
      <c r="I371" s="16"/>
      <c r="J371" s="16"/>
      <c r="K371" s="16"/>
      <c r="L371" s="16"/>
      <c r="M371" s="16"/>
      <c r="N371" s="16"/>
      <c r="O371" s="16"/>
      <c r="P371" s="16"/>
      <c r="Q371" s="16"/>
      <c r="R371" s="16"/>
      <c r="S371" s="16">
        <v>-2.0</v>
      </c>
      <c r="T371" s="16"/>
      <c r="U371" s="16" t="s">
        <v>1868</v>
      </c>
      <c r="V371" s="16" t="s">
        <v>1869</v>
      </c>
      <c r="W371" s="16" t="s">
        <v>332</v>
      </c>
      <c r="X371" s="16" t="s">
        <v>181</v>
      </c>
      <c r="Y371" s="100"/>
      <c r="Z371" s="16" t="s">
        <v>181</v>
      </c>
    </row>
    <row r="372">
      <c r="A372" s="16">
        <v>12862.0</v>
      </c>
      <c r="B372" s="16" t="s">
        <v>1870</v>
      </c>
      <c r="C372" s="16">
        <v>1.6</v>
      </c>
      <c r="D372" s="174" t="s">
        <v>1871</v>
      </c>
      <c r="E372" s="16"/>
      <c r="F372" s="16">
        <v>592.0</v>
      </c>
      <c r="G372" s="16" t="s">
        <v>1175</v>
      </c>
      <c r="H372" s="16" t="s">
        <v>16</v>
      </c>
      <c r="I372" s="16"/>
      <c r="J372" s="16"/>
      <c r="K372" s="16"/>
      <c r="L372" s="16"/>
      <c r="M372" s="16"/>
      <c r="N372" s="16"/>
      <c r="O372" s="16"/>
      <c r="P372" s="16"/>
      <c r="Q372" s="16"/>
      <c r="R372" s="16"/>
      <c r="S372" s="16">
        <v>-2.0</v>
      </c>
      <c r="T372" s="16"/>
      <c r="U372" s="16" t="s">
        <v>1872</v>
      </c>
      <c r="V372" s="16" t="s">
        <v>1873</v>
      </c>
      <c r="W372" s="16" t="s">
        <v>722</v>
      </c>
      <c r="X372" s="16" t="s">
        <v>181</v>
      </c>
      <c r="Y372" s="100"/>
      <c r="Z372" s="16" t="s">
        <v>181</v>
      </c>
    </row>
    <row r="373">
      <c r="A373" s="16">
        <v>12863.0</v>
      </c>
      <c r="B373" s="16" t="s">
        <v>1874</v>
      </c>
      <c r="C373" s="16">
        <v>0.95</v>
      </c>
      <c r="D373" s="174" t="s">
        <v>1875</v>
      </c>
      <c r="E373" s="16"/>
      <c r="F373" s="16">
        <v>570.0</v>
      </c>
      <c r="G373" s="16" t="s">
        <v>1876</v>
      </c>
      <c r="H373" s="16" t="s">
        <v>25</v>
      </c>
      <c r="I373" s="16"/>
      <c r="J373" s="16"/>
      <c r="K373" s="16"/>
      <c r="L373" s="16"/>
      <c r="M373" s="16"/>
      <c r="N373" s="16"/>
      <c r="O373" s="16"/>
      <c r="P373" s="16"/>
      <c r="Q373" s="16"/>
      <c r="R373" s="16" t="s">
        <v>536</v>
      </c>
      <c r="S373" s="16">
        <v>-2.0</v>
      </c>
      <c r="T373" s="16"/>
      <c r="U373" s="16" t="s">
        <v>1877</v>
      </c>
      <c r="V373" s="16" t="s">
        <v>1878</v>
      </c>
      <c r="W373" s="16" t="s">
        <v>199</v>
      </c>
      <c r="X373" s="16" t="s">
        <v>181</v>
      </c>
      <c r="Y373" s="100"/>
      <c r="Z373" s="16" t="s">
        <v>181</v>
      </c>
    </row>
    <row r="374">
      <c r="A374" s="16">
        <v>12864.0</v>
      </c>
      <c r="B374" s="16" t="s">
        <v>1879</v>
      </c>
      <c r="C374" s="16">
        <v>0.0</v>
      </c>
      <c r="D374" s="174" t="s">
        <v>1880</v>
      </c>
      <c r="E374" s="16"/>
      <c r="F374" s="16">
        <v>547.0</v>
      </c>
      <c r="G374" s="16" t="s">
        <v>176</v>
      </c>
      <c r="H374" s="16" t="s">
        <v>17</v>
      </c>
      <c r="I374" s="16" t="s">
        <v>19</v>
      </c>
      <c r="J374" s="16"/>
      <c r="K374" s="16"/>
      <c r="L374" s="16"/>
      <c r="M374" s="16"/>
      <c r="N374" s="16"/>
      <c r="O374" s="16"/>
      <c r="P374" s="16"/>
      <c r="Q374" s="16"/>
      <c r="R374" s="16"/>
      <c r="S374" s="16">
        <v>-2.0</v>
      </c>
      <c r="T374" s="16"/>
      <c r="U374" s="16" t="s">
        <v>1881</v>
      </c>
      <c r="V374" s="16" t="s">
        <v>1882</v>
      </c>
      <c r="W374" s="16" t="s">
        <v>360</v>
      </c>
      <c r="X374" s="16" t="s">
        <v>181</v>
      </c>
      <c r="Y374" s="100"/>
      <c r="Z374" s="16" t="s">
        <v>181</v>
      </c>
    </row>
    <row r="375">
      <c r="A375" s="16">
        <v>12865.0</v>
      </c>
      <c r="B375" s="16" t="s">
        <v>1883</v>
      </c>
      <c r="C375" s="16">
        <v>0.6</v>
      </c>
      <c r="D375" s="174" t="s">
        <v>1884</v>
      </c>
      <c r="E375" s="16"/>
      <c r="F375" s="16">
        <v>563.0</v>
      </c>
      <c r="G375" s="16" t="s">
        <v>260</v>
      </c>
      <c r="H375" s="16" t="s">
        <v>18</v>
      </c>
      <c r="I375" s="16"/>
      <c r="J375" s="16"/>
      <c r="K375" s="16"/>
      <c r="L375" s="16"/>
      <c r="M375" s="16"/>
      <c r="N375" s="16"/>
      <c r="O375" s="16"/>
      <c r="P375" s="16"/>
      <c r="Q375" s="16"/>
      <c r="R375" s="16"/>
      <c r="S375" s="16">
        <v>-2.0</v>
      </c>
      <c r="T375" s="16"/>
      <c r="U375" s="16" t="s">
        <v>1885</v>
      </c>
      <c r="V375" s="16" t="s">
        <v>1886</v>
      </c>
      <c r="W375" s="16" t="s">
        <v>443</v>
      </c>
      <c r="X375" s="16" t="s">
        <v>181</v>
      </c>
      <c r="Y375" s="100"/>
      <c r="Z375" s="16" t="s">
        <v>181</v>
      </c>
    </row>
    <row r="376">
      <c r="A376" s="16">
        <v>12866.0</v>
      </c>
      <c r="B376" s="16" t="s">
        <v>1887</v>
      </c>
      <c r="C376" s="16">
        <v>0.21</v>
      </c>
      <c r="D376" s="174" t="s">
        <v>1888</v>
      </c>
      <c r="E376" s="16"/>
      <c r="F376" s="16">
        <v>547.0</v>
      </c>
      <c r="G376" s="16" t="s">
        <v>176</v>
      </c>
      <c r="H376" s="16" t="s">
        <v>24</v>
      </c>
      <c r="I376" s="16"/>
      <c r="J376" s="16"/>
      <c r="K376" s="16"/>
      <c r="L376" s="16"/>
      <c r="M376" s="16"/>
      <c r="N376" s="16"/>
      <c r="O376" s="16"/>
      <c r="P376" s="16"/>
      <c r="Q376" s="16"/>
      <c r="R376" s="16"/>
      <c r="S376" s="16">
        <v>-2.0</v>
      </c>
      <c r="T376" s="16"/>
      <c r="U376" s="16" t="s">
        <v>1889</v>
      </c>
      <c r="V376" s="16" t="s">
        <v>1890</v>
      </c>
      <c r="W376" s="16" t="s">
        <v>360</v>
      </c>
      <c r="X376" s="16" t="s">
        <v>181</v>
      </c>
      <c r="Y376" s="100"/>
      <c r="Z376" s="16" t="s">
        <v>181</v>
      </c>
    </row>
    <row r="377">
      <c r="A377" s="16">
        <v>12867.0</v>
      </c>
      <c r="B377" s="16" t="s">
        <v>1891</v>
      </c>
      <c r="C377" s="16">
        <v>0.0</v>
      </c>
      <c r="D377" s="174" t="s">
        <v>1892</v>
      </c>
      <c r="E377" s="16"/>
      <c r="F377" s="16">
        <v>554.0</v>
      </c>
      <c r="G377" s="16" t="s">
        <v>215</v>
      </c>
      <c r="H377" s="16" t="s">
        <v>24</v>
      </c>
      <c r="I377" s="16" t="s">
        <v>25</v>
      </c>
      <c r="J377" s="16"/>
      <c r="K377" s="16"/>
      <c r="L377" s="16"/>
      <c r="M377" s="16"/>
      <c r="N377" s="16"/>
      <c r="O377" s="16"/>
      <c r="P377" s="16"/>
      <c r="Q377" s="16"/>
      <c r="R377" s="16"/>
      <c r="S377" s="16">
        <v>-2.0</v>
      </c>
      <c r="T377" s="16"/>
      <c r="U377" s="16" t="s">
        <v>1893</v>
      </c>
      <c r="V377" s="16" t="s">
        <v>1894</v>
      </c>
      <c r="W377" s="16" t="s">
        <v>942</v>
      </c>
      <c r="X377" s="16" t="s">
        <v>181</v>
      </c>
      <c r="Y377" s="100"/>
      <c r="Z377" s="16" t="s">
        <v>181</v>
      </c>
    </row>
    <row r="378">
      <c r="A378" s="16">
        <v>12868.0</v>
      </c>
      <c r="B378" s="16" t="s">
        <v>1895</v>
      </c>
      <c r="C378" s="16">
        <v>0.0</v>
      </c>
      <c r="D378" s="174" t="s">
        <v>1896</v>
      </c>
      <c r="E378" s="16"/>
      <c r="F378" s="16">
        <v>547.0</v>
      </c>
      <c r="G378" s="16" t="s">
        <v>176</v>
      </c>
      <c r="H378" s="16" t="s">
        <v>25</v>
      </c>
      <c r="I378" s="16" t="s">
        <v>26</v>
      </c>
      <c r="J378" s="16"/>
      <c r="K378" s="16"/>
      <c r="L378" s="16"/>
      <c r="M378" s="16"/>
      <c r="N378" s="16"/>
      <c r="O378" s="16"/>
      <c r="P378" s="16"/>
      <c r="Q378" s="16"/>
      <c r="R378" s="16"/>
      <c r="S378" s="16">
        <v>-2.0</v>
      </c>
      <c r="T378" s="16"/>
      <c r="U378" s="16" t="s">
        <v>1897</v>
      </c>
      <c r="V378" s="16" t="s">
        <v>1898</v>
      </c>
      <c r="W378" s="16" t="s">
        <v>179</v>
      </c>
      <c r="X378" s="16" t="s">
        <v>181</v>
      </c>
      <c r="Y378" s="100"/>
      <c r="Z378" s="16" t="s">
        <v>181</v>
      </c>
    </row>
    <row r="379">
      <c r="A379" s="16">
        <v>12869.0</v>
      </c>
      <c r="B379" s="16" t="s">
        <v>1899</v>
      </c>
      <c r="C379" s="16">
        <v>1.29</v>
      </c>
      <c r="D379" s="174" t="s">
        <v>1900</v>
      </c>
      <c r="E379" s="16"/>
      <c r="F379" s="16">
        <v>584.0</v>
      </c>
      <c r="G379" s="16" t="s">
        <v>361</v>
      </c>
      <c r="H379" s="16" t="s">
        <v>18</v>
      </c>
      <c r="I379" s="16" t="s">
        <v>17</v>
      </c>
      <c r="J379" s="16" t="s">
        <v>19</v>
      </c>
      <c r="K379" s="16"/>
      <c r="L379" s="16"/>
      <c r="M379" s="16"/>
      <c r="N379" s="16"/>
      <c r="O379" s="16"/>
      <c r="P379" s="16"/>
      <c r="Q379" s="16"/>
      <c r="R379" s="16"/>
      <c r="S379" s="16">
        <v>-2.0</v>
      </c>
      <c r="T379" s="16"/>
      <c r="U379" s="16" t="s">
        <v>1901</v>
      </c>
      <c r="V379" s="16" t="s">
        <v>1902</v>
      </c>
      <c r="W379" s="16" t="s">
        <v>491</v>
      </c>
      <c r="X379" s="16" t="s">
        <v>181</v>
      </c>
      <c r="Y379" s="100"/>
      <c r="Z379" s="16" t="s">
        <v>181</v>
      </c>
    </row>
    <row r="380">
      <c r="A380" s="16">
        <v>12870.0</v>
      </c>
      <c r="B380" s="16" t="s">
        <v>1903</v>
      </c>
      <c r="C380" s="16">
        <v>0.0</v>
      </c>
      <c r="D380" s="174" t="s">
        <v>1904</v>
      </c>
      <c r="E380" s="16"/>
      <c r="F380" s="16">
        <v>547.0</v>
      </c>
      <c r="G380" s="16" t="s">
        <v>176</v>
      </c>
      <c r="H380" s="16" t="s">
        <v>12</v>
      </c>
      <c r="I380" s="16"/>
      <c r="J380" s="16"/>
      <c r="K380" s="16"/>
      <c r="L380" s="16"/>
      <c r="M380" s="16"/>
      <c r="N380" s="16"/>
      <c r="O380" s="16"/>
      <c r="P380" s="16"/>
      <c r="Q380" s="16"/>
      <c r="R380" s="16"/>
      <c r="S380" s="16">
        <v>-2.0</v>
      </c>
      <c r="T380" s="16"/>
      <c r="U380" s="16" t="s">
        <v>1905</v>
      </c>
      <c r="V380" s="16" t="s">
        <v>1906</v>
      </c>
      <c r="W380" s="16" t="s">
        <v>1907</v>
      </c>
      <c r="X380" s="16" t="s">
        <v>181</v>
      </c>
      <c r="Y380" s="100"/>
      <c r="Z380" s="16" t="s">
        <v>181</v>
      </c>
    </row>
    <row r="381">
      <c r="A381" s="16">
        <v>12871.0</v>
      </c>
      <c r="B381" s="16" t="s">
        <v>1908</v>
      </c>
      <c r="C381" s="16">
        <v>1.02</v>
      </c>
      <c r="D381" s="174" t="s">
        <v>1909</v>
      </c>
      <c r="E381" s="16"/>
      <c r="F381" s="16">
        <v>547.0</v>
      </c>
      <c r="G381" s="16" t="s">
        <v>176</v>
      </c>
      <c r="H381" s="16" t="s">
        <v>17</v>
      </c>
      <c r="I381" s="16" t="s">
        <v>19</v>
      </c>
      <c r="J381" s="16"/>
      <c r="K381" s="16"/>
      <c r="L381" s="16"/>
      <c r="M381" s="16"/>
      <c r="N381" s="16"/>
      <c r="O381" s="16"/>
      <c r="P381" s="16"/>
      <c r="Q381" s="16"/>
      <c r="R381" s="16"/>
      <c r="S381" s="16">
        <v>-2.0</v>
      </c>
      <c r="T381" s="16"/>
      <c r="U381" s="16" t="s">
        <v>1910</v>
      </c>
      <c r="V381" s="16" t="s">
        <v>1911</v>
      </c>
      <c r="W381" s="16" t="s">
        <v>199</v>
      </c>
      <c r="X381" s="16" t="s">
        <v>181</v>
      </c>
      <c r="Y381" s="100"/>
      <c r="Z381" s="16" t="s">
        <v>181</v>
      </c>
    </row>
    <row r="382">
      <c r="A382" s="16">
        <v>12872.0</v>
      </c>
      <c r="B382" s="16" t="s">
        <v>1912</v>
      </c>
      <c r="C382" s="16">
        <v>0.0</v>
      </c>
      <c r="D382" s="174" t="s">
        <v>1913</v>
      </c>
      <c r="E382" s="16"/>
      <c r="F382" s="16">
        <v>547.0</v>
      </c>
      <c r="G382" s="16" t="s">
        <v>176</v>
      </c>
      <c r="H382" s="16" t="s">
        <v>25</v>
      </c>
      <c r="I382" s="16" t="s">
        <v>26</v>
      </c>
      <c r="J382" s="16"/>
      <c r="K382" s="16"/>
      <c r="L382" s="16"/>
      <c r="M382" s="16"/>
      <c r="N382" s="16"/>
      <c r="O382" s="16"/>
      <c r="P382" s="16"/>
      <c r="Q382" s="16"/>
      <c r="R382" s="16"/>
      <c r="S382" s="16">
        <v>-2.0</v>
      </c>
      <c r="T382" s="16"/>
      <c r="U382" s="16" t="s">
        <v>1914</v>
      </c>
      <c r="V382" s="16" t="s">
        <v>1915</v>
      </c>
      <c r="W382" s="16" t="s">
        <v>179</v>
      </c>
      <c r="X382" s="16" t="s">
        <v>181</v>
      </c>
      <c r="Y382" s="100"/>
      <c r="Z382" s="16" t="s">
        <v>181</v>
      </c>
    </row>
    <row r="383">
      <c r="A383" s="16">
        <v>12873.0</v>
      </c>
      <c r="B383" s="16" t="s">
        <v>1916</v>
      </c>
      <c r="C383" s="16">
        <v>1.97</v>
      </c>
      <c r="D383" s="174" t="s">
        <v>1917</v>
      </c>
      <c r="E383" s="16"/>
      <c r="F383" s="16">
        <v>547.0</v>
      </c>
      <c r="G383" s="16" t="s">
        <v>176</v>
      </c>
      <c r="H383" s="16" t="s">
        <v>24</v>
      </c>
      <c r="I383" s="16" t="s">
        <v>25</v>
      </c>
      <c r="J383" s="16"/>
      <c r="K383" s="16"/>
      <c r="L383" s="16"/>
      <c r="M383" s="16"/>
      <c r="N383" s="16"/>
      <c r="O383" s="16"/>
      <c r="P383" s="16"/>
      <c r="Q383" s="16"/>
      <c r="R383" s="16"/>
      <c r="S383" s="16">
        <v>-2.0</v>
      </c>
      <c r="T383" s="16"/>
      <c r="U383" s="16" t="s">
        <v>1918</v>
      </c>
      <c r="V383" s="16" t="s">
        <v>1919</v>
      </c>
      <c r="W383" s="16" t="s">
        <v>360</v>
      </c>
      <c r="X383" s="16" t="s">
        <v>181</v>
      </c>
      <c r="Y383" s="100"/>
      <c r="Z383" s="16" t="s">
        <v>181</v>
      </c>
    </row>
    <row r="384">
      <c r="A384" s="16">
        <v>12874.0</v>
      </c>
      <c r="B384" s="16" t="s">
        <v>1920</v>
      </c>
      <c r="C384" s="16">
        <v>0.42</v>
      </c>
      <c r="D384" s="174" t="s">
        <v>1921</v>
      </c>
      <c r="E384" s="16"/>
      <c r="F384" s="16">
        <v>555.0</v>
      </c>
      <c r="G384" s="16" t="s">
        <v>1922</v>
      </c>
      <c r="H384" s="16" t="s">
        <v>25</v>
      </c>
      <c r="I384" s="16"/>
      <c r="J384" s="16"/>
      <c r="K384" s="16"/>
      <c r="L384" s="16"/>
      <c r="M384" s="16"/>
      <c r="N384" s="16"/>
      <c r="O384" s="16"/>
      <c r="P384" s="16"/>
      <c r="Q384" s="16"/>
      <c r="R384" s="16" t="s">
        <v>1923</v>
      </c>
      <c r="S384" s="16">
        <v>-2.0</v>
      </c>
      <c r="T384" s="16"/>
      <c r="U384" s="16" t="s">
        <v>1924</v>
      </c>
      <c r="V384" s="16" t="s">
        <v>1925</v>
      </c>
      <c r="W384" s="16" t="s">
        <v>332</v>
      </c>
      <c r="X384" s="16" t="s">
        <v>181</v>
      </c>
      <c r="Y384" s="100"/>
      <c r="Z384" s="16" t="s">
        <v>181</v>
      </c>
    </row>
    <row r="385">
      <c r="A385" s="16">
        <v>12875.0</v>
      </c>
      <c r="B385" s="16" t="s">
        <v>1926</v>
      </c>
      <c r="C385" s="16">
        <v>1.38</v>
      </c>
      <c r="D385" s="174" t="s">
        <v>1927</v>
      </c>
      <c r="E385" s="16"/>
      <c r="F385" s="16">
        <v>563.0</v>
      </c>
      <c r="G385" s="16" t="s">
        <v>260</v>
      </c>
      <c r="H385" s="16" t="s">
        <v>24</v>
      </c>
      <c r="I385" s="16"/>
      <c r="J385" s="16"/>
      <c r="K385" s="16"/>
      <c r="L385" s="16"/>
      <c r="M385" s="16"/>
      <c r="N385" s="16"/>
      <c r="O385" s="16"/>
      <c r="P385" s="16"/>
      <c r="Q385" s="16"/>
      <c r="R385" s="16"/>
      <c r="S385" s="16">
        <v>-2.0</v>
      </c>
      <c r="T385" s="16"/>
      <c r="U385" s="16" t="s">
        <v>1928</v>
      </c>
      <c r="V385" s="16" t="s">
        <v>1929</v>
      </c>
      <c r="W385" s="16" t="s">
        <v>188</v>
      </c>
      <c r="X385" s="16" t="s">
        <v>181</v>
      </c>
      <c r="Y385" s="100"/>
      <c r="Z385" s="16" t="s">
        <v>181</v>
      </c>
    </row>
    <row r="386">
      <c r="A386" s="16">
        <v>12876.0</v>
      </c>
      <c r="B386" s="16" t="s">
        <v>1930</v>
      </c>
      <c r="C386" s="16">
        <v>1.67</v>
      </c>
      <c r="D386" s="174" t="s">
        <v>1931</v>
      </c>
      <c r="E386" s="16"/>
      <c r="F386" s="16">
        <v>554.0</v>
      </c>
      <c r="G386" s="16" t="s">
        <v>215</v>
      </c>
      <c r="H386" s="16" t="s">
        <v>25</v>
      </c>
      <c r="I386" s="16"/>
      <c r="J386" s="16"/>
      <c r="K386" s="16"/>
      <c r="L386" s="16"/>
      <c r="M386" s="16"/>
      <c r="N386" s="16"/>
      <c r="O386" s="16"/>
      <c r="P386" s="16"/>
      <c r="Q386" s="16"/>
      <c r="R386" s="16"/>
      <c r="S386" s="16">
        <v>-2.0</v>
      </c>
      <c r="T386" s="16"/>
      <c r="U386" s="16" t="s">
        <v>1932</v>
      </c>
      <c r="V386" s="16" t="s">
        <v>1933</v>
      </c>
      <c r="W386" s="16" t="s">
        <v>231</v>
      </c>
      <c r="X386" s="16" t="s">
        <v>181</v>
      </c>
      <c r="Y386" s="100"/>
      <c r="Z386" s="16" t="s">
        <v>181</v>
      </c>
    </row>
    <row r="387">
      <c r="A387" s="16">
        <v>12877.0</v>
      </c>
      <c r="B387" s="16" t="s">
        <v>1934</v>
      </c>
      <c r="C387" s="16">
        <v>0.0</v>
      </c>
      <c r="D387" s="174" t="s">
        <v>1935</v>
      </c>
      <c r="E387" s="16"/>
      <c r="F387" s="16">
        <v>572.0</v>
      </c>
      <c r="G387" s="16" t="s">
        <v>306</v>
      </c>
      <c r="H387" s="16" t="s">
        <v>12</v>
      </c>
      <c r="I387" s="16" t="s">
        <v>19</v>
      </c>
      <c r="J387" s="16" t="s">
        <v>17</v>
      </c>
      <c r="K387" s="16" t="s">
        <v>13</v>
      </c>
      <c r="L387" s="16"/>
      <c r="M387" s="16"/>
      <c r="N387" s="16"/>
      <c r="O387" s="16"/>
      <c r="P387" s="16"/>
      <c r="Q387" s="16"/>
      <c r="R387" s="16"/>
      <c r="S387" s="16">
        <v>-2.0</v>
      </c>
      <c r="T387" s="16"/>
      <c r="U387" s="16" t="s">
        <v>1936</v>
      </c>
      <c r="V387" s="16" t="s">
        <v>1937</v>
      </c>
      <c r="W387" s="16" t="s">
        <v>600</v>
      </c>
      <c r="X387" s="16" t="s">
        <v>181</v>
      </c>
      <c r="Y387" s="100"/>
      <c r="Z387" s="16" t="s">
        <v>181</v>
      </c>
    </row>
    <row r="388">
      <c r="A388" s="16">
        <v>12878.0</v>
      </c>
      <c r="B388" s="16" t="s">
        <v>1938</v>
      </c>
      <c r="C388" s="16">
        <v>3.77</v>
      </c>
      <c r="D388" s="174" t="s">
        <v>1939</v>
      </c>
      <c r="E388" s="16"/>
      <c r="F388" s="16">
        <v>551.0</v>
      </c>
      <c r="G388" s="16" t="s">
        <v>200</v>
      </c>
      <c r="H388" s="16" t="s">
        <v>24</v>
      </c>
      <c r="I388" s="16"/>
      <c r="J388" s="16"/>
      <c r="K388" s="16"/>
      <c r="L388" s="16"/>
      <c r="M388" s="16"/>
      <c r="N388" s="16"/>
      <c r="O388" s="16"/>
      <c r="P388" s="16"/>
      <c r="Q388" s="16"/>
      <c r="R388" s="16"/>
      <c r="S388" s="16">
        <v>-2.0</v>
      </c>
      <c r="T388" s="174" t="s">
        <v>1940</v>
      </c>
      <c r="U388" s="16" t="s">
        <v>1941</v>
      </c>
      <c r="V388" s="16" t="s">
        <v>1942</v>
      </c>
      <c r="W388" s="16" t="s">
        <v>443</v>
      </c>
      <c r="X388" s="16" t="s">
        <v>181</v>
      </c>
      <c r="Y388" s="100"/>
      <c r="Z388" s="16" t="s">
        <v>181</v>
      </c>
    </row>
    <row r="389">
      <c r="A389" s="16">
        <v>12879.0</v>
      </c>
      <c r="B389" s="16" t="s">
        <v>1943</v>
      </c>
      <c r="C389" s="16">
        <v>0.0</v>
      </c>
      <c r="D389" s="174" t="s">
        <v>1944</v>
      </c>
      <c r="E389" s="16"/>
      <c r="F389" s="16">
        <v>547.0</v>
      </c>
      <c r="G389" s="16" t="s">
        <v>176</v>
      </c>
      <c r="H389" s="16" t="s">
        <v>25</v>
      </c>
      <c r="I389" s="16" t="s">
        <v>26</v>
      </c>
      <c r="J389" s="16"/>
      <c r="K389" s="16"/>
      <c r="L389" s="16"/>
      <c r="M389" s="16"/>
      <c r="N389" s="16"/>
      <c r="O389" s="16"/>
      <c r="P389" s="16"/>
      <c r="Q389" s="16"/>
      <c r="R389" s="16"/>
      <c r="S389" s="16">
        <v>-2.0</v>
      </c>
      <c r="T389" s="16"/>
      <c r="U389" s="16" t="s">
        <v>1945</v>
      </c>
      <c r="V389" s="16" t="s">
        <v>1946</v>
      </c>
      <c r="W389" s="16" t="s">
        <v>634</v>
      </c>
      <c r="X389" s="16" t="s">
        <v>181</v>
      </c>
      <c r="Y389" s="100"/>
      <c r="Z389" s="16" t="s">
        <v>181</v>
      </c>
    </row>
    <row r="390">
      <c r="A390" s="16">
        <v>12880.0</v>
      </c>
      <c r="B390" s="16" t="s">
        <v>1947</v>
      </c>
      <c r="C390" s="16">
        <v>0.0</v>
      </c>
      <c r="D390" s="174" t="s">
        <v>1948</v>
      </c>
      <c r="E390" s="16"/>
      <c r="F390" s="16">
        <v>547.0</v>
      </c>
      <c r="G390" s="16" t="s">
        <v>176</v>
      </c>
      <c r="H390" s="16" t="s">
        <v>19</v>
      </c>
      <c r="I390" s="16" t="s">
        <v>13</v>
      </c>
      <c r="J390" s="16"/>
      <c r="K390" s="16"/>
      <c r="L390" s="16"/>
      <c r="M390" s="16"/>
      <c r="N390" s="16"/>
      <c r="O390" s="16"/>
      <c r="P390" s="16"/>
      <c r="Q390" s="16"/>
      <c r="R390" s="16"/>
      <c r="S390" s="16">
        <v>-2.0</v>
      </c>
      <c r="T390" s="16"/>
      <c r="U390" s="16" t="s">
        <v>1949</v>
      </c>
      <c r="V390" s="16" t="s">
        <v>1950</v>
      </c>
      <c r="W390" s="16" t="s">
        <v>675</v>
      </c>
      <c r="X390" s="16" t="s">
        <v>181</v>
      </c>
      <c r="Y390" s="100"/>
      <c r="Z390" s="16" t="s">
        <v>181</v>
      </c>
    </row>
    <row r="391">
      <c r="A391" s="16">
        <v>12881.0</v>
      </c>
      <c r="B391" s="16" t="s">
        <v>1951</v>
      </c>
      <c r="C391" s="16">
        <v>0.76</v>
      </c>
      <c r="D391" s="174" t="s">
        <v>1952</v>
      </c>
      <c r="E391" s="16"/>
      <c r="F391" s="16">
        <v>547.0</v>
      </c>
      <c r="G391" s="16" t="s">
        <v>176</v>
      </c>
      <c r="H391" s="16" t="s">
        <v>25</v>
      </c>
      <c r="I391" s="16" t="s">
        <v>26</v>
      </c>
      <c r="J391" s="16"/>
      <c r="K391" s="16"/>
      <c r="L391" s="16"/>
      <c r="M391" s="16"/>
      <c r="N391" s="16"/>
      <c r="O391" s="16"/>
      <c r="P391" s="16"/>
      <c r="Q391" s="16"/>
      <c r="R391" s="16"/>
      <c r="S391" s="16">
        <v>-2.0</v>
      </c>
      <c r="T391" s="16"/>
      <c r="U391" s="16" t="s">
        <v>1953</v>
      </c>
      <c r="V391" s="16" t="s">
        <v>1954</v>
      </c>
      <c r="W391" s="16" t="s">
        <v>422</v>
      </c>
      <c r="X391" s="16" t="s">
        <v>181</v>
      </c>
      <c r="Y391" s="100"/>
      <c r="Z391" s="16" t="s">
        <v>181</v>
      </c>
    </row>
    <row r="392">
      <c r="A392" s="16">
        <v>12882.0</v>
      </c>
      <c r="B392" s="16" t="s">
        <v>1955</v>
      </c>
      <c r="C392" s="16">
        <v>0.65</v>
      </c>
      <c r="D392" s="174" t="s">
        <v>1956</v>
      </c>
      <c r="E392" s="16"/>
      <c r="F392" s="16">
        <v>575.0</v>
      </c>
      <c r="G392" s="16" t="s">
        <v>212</v>
      </c>
      <c r="H392" s="16" t="s">
        <v>25</v>
      </c>
      <c r="I392" s="16" t="s">
        <v>26</v>
      </c>
      <c r="J392" s="16"/>
      <c r="K392" s="16"/>
      <c r="L392" s="16"/>
      <c r="M392" s="16"/>
      <c r="N392" s="16"/>
      <c r="O392" s="16"/>
      <c r="P392" s="16"/>
      <c r="Q392" s="16"/>
      <c r="R392" s="16"/>
      <c r="S392" s="16">
        <v>-2.0</v>
      </c>
      <c r="T392" s="16"/>
      <c r="U392" s="16" t="s">
        <v>1957</v>
      </c>
      <c r="V392" s="16" t="s">
        <v>1958</v>
      </c>
      <c r="W392" s="16" t="s">
        <v>231</v>
      </c>
      <c r="X392" s="16" t="s">
        <v>181</v>
      </c>
      <c r="Y392" s="100"/>
      <c r="Z392" s="16" t="s">
        <v>181</v>
      </c>
    </row>
    <row r="393">
      <c r="A393" s="16">
        <v>12883.0</v>
      </c>
      <c r="B393" s="16" t="s">
        <v>1959</v>
      </c>
      <c r="C393" s="16">
        <v>0.38</v>
      </c>
      <c r="D393" s="174" t="s">
        <v>1960</v>
      </c>
      <c r="E393" s="16"/>
      <c r="F393" s="16">
        <v>547.0</v>
      </c>
      <c r="G393" s="16" t="s">
        <v>176</v>
      </c>
      <c r="H393" s="16" t="s">
        <v>25</v>
      </c>
      <c r="I393" s="16" t="s">
        <v>26</v>
      </c>
      <c r="J393" s="16"/>
      <c r="K393" s="16"/>
      <c r="L393" s="16"/>
      <c r="M393" s="16"/>
      <c r="N393" s="16"/>
      <c r="O393" s="16"/>
      <c r="P393" s="16"/>
      <c r="Q393" s="16"/>
      <c r="R393" s="16"/>
      <c r="S393" s="16">
        <v>-2.0</v>
      </c>
      <c r="T393" s="16"/>
      <c r="U393" s="16" t="s">
        <v>1961</v>
      </c>
      <c r="V393" s="16" t="s">
        <v>1962</v>
      </c>
      <c r="W393" s="16" t="s">
        <v>422</v>
      </c>
      <c r="X393" s="16" t="s">
        <v>181</v>
      </c>
      <c r="Y393" s="100"/>
      <c r="Z393" s="16" t="s">
        <v>181</v>
      </c>
    </row>
    <row r="394">
      <c r="A394" s="16">
        <v>12884.0</v>
      </c>
      <c r="B394" s="16" t="s">
        <v>1963</v>
      </c>
      <c r="C394" s="16">
        <v>1.72</v>
      </c>
      <c r="D394" s="174" t="s">
        <v>1964</v>
      </c>
      <c r="E394" s="16"/>
      <c r="F394" s="16">
        <v>590.0</v>
      </c>
      <c r="G394" s="16" t="s">
        <v>387</v>
      </c>
      <c r="H394" s="16" t="s">
        <v>17</v>
      </c>
      <c r="I394" s="16"/>
      <c r="J394" s="16"/>
      <c r="K394" s="16"/>
      <c r="L394" s="16"/>
      <c r="M394" s="16"/>
      <c r="N394" s="16"/>
      <c r="O394" s="16"/>
      <c r="P394" s="16"/>
      <c r="Q394" s="16"/>
      <c r="R394" s="16"/>
      <c r="S394" s="16">
        <v>-2.0</v>
      </c>
      <c r="T394" s="16"/>
      <c r="U394" s="16" t="s">
        <v>1965</v>
      </c>
      <c r="V394" s="16" t="s">
        <v>1966</v>
      </c>
      <c r="W394" s="16" t="s">
        <v>188</v>
      </c>
      <c r="X394" s="16" t="s">
        <v>181</v>
      </c>
      <c r="Y394" s="100"/>
      <c r="Z394" s="16" t="s">
        <v>181</v>
      </c>
    </row>
    <row r="395">
      <c r="A395" s="16">
        <v>12885.0</v>
      </c>
      <c r="B395" s="16" t="s">
        <v>1967</v>
      </c>
      <c r="C395" s="16">
        <v>0.0</v>
      </c>
      <c r="D395" s="174" t="s">
        <v>1968</v>
      </c>
      <c r="E395" s="16"/>
      <c r="F395" s="16">
        <v>548.0</v>
      </c>
      <c r="G395" s="16" t="s">
        <v>126</v>
      </c>
      <c r="H395" s="16" t="s">
        <v>15</v>
      </c>
      <c r="I395" s="16" t="s">
        <v>14</v>
      </c>
      <c r="J395" s="16" t="s">
        <v>17</v>
      </c>
      <c r="K395" s="16" t="s">
        <v>16</v>
      </c>
      <c r="L395" s="16" t="s">
        <v>13</v>
      </c>
      <c r="M395" s="16"/>
      <c r="N395" s="16"/>
      <c r="O395" s="16"/>
      <c r="P395" s="16"/>
      <c r="Q395" s="16"/>
      <c r="R395" s="16"/>
      <c r="S395" s="16">
        <v>-2.0</v>
      </c>
      <c r="T395" s="16"/>
      <c r="U395" s="16" t="s">
        <v>1969</v>
      </c>
      <c r="V395" s="16" t="s">
        <v>1970</v>
      </c>
      <c r="W395" s="16" t="s">
        <v>179</v>
      </c>
      <c r="X395" s="16" t="s">
        <v>181</v>
      </c>
      <c r="Y395" s="100"/>
      <c r="Z395" s="16" t="s">
        <v>181</v>
      </c>
    </row>
    <row r="396">
      <c r="A396" s="16">
        <v>12886.0</v>
      </c>
      <c r="B396" s="16" t="s">
        <v>1971</v>
      </c>
      <c r="C396" s="16">
        <v>1.22</v>
      </c>
      <c r="D396" s="174" t="s">
        <v>1972</v>
      </c>
      <c r="E396" s="16"/>
      <c r="F396" s="16">
        <v>593.0</v>
      </c>
      <c r="G396" s="16" t="s">
        <v>272</v>
      </c>
      <c r="H396" s="16" t="s">
        <v>15</v>
      </c>
      <c r="I396" s="16" t="s">
        <v>13</v>
      </c>
      <c r="J396" s="16"/>
      <c r="K396" s="16"/>
      <c r="L396" s="16"/>
      <c r="M396" s="16"/>
      <c r="N396" s="16"/>
      <c r="O396" s="16"/>
      <c r="P396" s="16"/>
      <c r="Q396" s="16"/>
      <c r="R396" s="16"/>
      <c r="S396" s="16">
        <v>-2.0</v>
      </c>
      <c r="T396" s="174" t="s">
        <v>1973</v>
      </c>
      <c r="U396" s="16" t="s">
        <v>1974</v>
      </c>
      <c r="V396" s="16" t="s">
        <v>1975</v>
      </c>
      <c r="W396" s="16" t="s">
        <v>188</v>
      </c>
      <c r="X396" s="16" t="s">
        <v>181</v>
      </c>
      <c r="Y396" s="100"/>
      <c r="Z396" s="16" t="s">
        <v>181</v>
      </c>
    </row>
    <row r="397">
      <c r="A397" s="16">
        <v>12887.0</v>
      </c>
      <c r="B397" s="16" t="s">
        <v>1976</v>
      </c>
      <c r="C397" s="16">
        <v>1.26</v>
      </c>
      <c r="D397" s="174" t="s">
        <v>1977</v>
      </c>
      <c r="E397" s="16"/>
      <c r="F397" s="16">
        <v>571.0</v>
      </c>
      <c r="G397" s="16" t="s">
        <v>686</v>
      </c>
      <c r="H397" s="16" t="s">
        <v>14</v>
      </c>
      <c r="I397" s="16" t="s">
        <v>15</v>
      </c>
      <c r="J397" s="16" t="s">
        <v>16</v>
      </c>
      <c r="K397" s="16" t="s">
        <v>18</v>
      </c>
      <c r="L397" s="16"/>
      <c r="M397" s="16"/>
      <c r="N397" s="16"/>
      <c r="O397" s="16"/>
      <c r="P397" s="16"/>
      <c r="Q397" s="16"/>
      <c r="R397" s="16"/>
      <c r="S397" s="16">
        <v>-2.0</v>
      </c>
      <c r="T397" s="16"/>
      <c r="U397" s="16" t="s">
        <v>1978</v>
      </c>
      <c r="V397" s="16" t="s">
        <v>1979</v>
      </c>
      <c r="W397" s="16" t="s">
        <v>722</v>
      </c>
      <c r="X397" s="16" t="s">
        <v>181</v>
      </c>
      <c r="Y397" s="100"/>
      <c r="Z397" s="16" t="s">
        <v>181</v>
      </c>
    </row>
    <row r="398">
      <c r="A398" s="16">
        <v>12888.0</v>
      </c>
      <c r="B398" s="16" t="s">
        <v>1980</v>
      </c>
      <c r="C398" s="16">
        <v>1.9</v>
      </c>
      <c r="D398" s="174" t="s">
        <v>1981</v>
      </c>
      <c r="E398" s="16"/>
      <c r="F398" s="16">
        <v>569.0</v>
      </c>
      <c r="G398" s="16" t="s">
        <v>292</v>
      </c>
      <c r="H398" s="16" t="s">
        <v>12</v>
      </c>
      <c r="I398" s="16"/>
      <c r="J398" s="16"/>
      <c r="K398" s="16"/>
      <c r="L398" s="16"/>
      <c r="M398" s="16"/>
      <c r="N398" s="16"/>
      <c r="O398" s="16"/>
      <c r="P398" s="16"/>
      <c r="Q398" s="16"/>
      <c r="R398" s="16"/>
      <c r="S398" s="16">
        <v>-2.0</v>
      </c>
      <c r="T398" s="16"/>
      <c r="U398" s="16" t="s">
        <v>1982</v>
      </c>
      <c r="V398" s="16" t="s">
        <v>1983</v>
      </c>
      <c r="W398" s="16" t="s">
        <v>566</v>
      </c>
      <c r="X398" s="16" t="s">
        <v>181</v>
      </c>
      <c r="Y398" s="100"/>
      <c r="Z398" s="16" t="s">
        <v>181</v>
      </c>
    </row>
    <row r="399">
      <c r="A399" s="16">
        <v>12889.0</v>
      </c>
      <c r="B399" s="16" t="s">
        <v>1984</v>
      </c>
      <c r="C399" s="16">
        <v>0.0</v>
      </c>
      <c r="D399" s="174" t="s">
        <v>1985</v>
      </c>
      <c r="E399" s="16"/>
      <c r="F399" s="16">
        <v>551.0</v>
      </c>
      <c r="G399" s="16" t="s">
        <v>200</v>
      </c>
      <c r="H399" s="16" t="s">
        <v>15</v>
      </c>
      <c r="I399" s="16" t="s">
        <v>14</v>
      </c>
      <c r="J399" s="16"/>
      <c r="K399" s="16"/>
      <c r="L399" s="16"/>
      <c r="M399" s="16"/>
      <c r="N399" s="16"/>
      <c r="O399" s="16"/>
      <c r="P399" s="16"/>
      <c r="Q399" s="16"/>
      <c r="R399" s="16"/>
      <c r="S399" s="16">
        <v>-2.0</v>
      </c>
      <c r="T399" s="16"/>
      <c r="U399" s="16" t="s">
        <v>1986</v>
      </c>
      <c r="V399" s="16" t="s">
        <v>1987</v>
      </c>
      <c r="W399" s="16" t="s">
        <v>199</v>
      </c>
      <c r="X399" s="16" t="s">
        <v>181</v>
      </c>
      <c r="Y399" s="100"/>
      <c r="Z399" s="16" t="s">
        <v>181</v>
      </c>
    </row>
    <row r="400">
      <c r="A400" s="16">
        <v>12890.0</v>
      </c>
      <c r="B400" s="16" t="s">
        <v>1988</v>
      </c>
      <c r="C400" s="16">
        <v>1.72</v>
      </c>
      <c r="D400" s="174" t="s">
        <v>1989</v>
      </c>
      <c r="E400" s="16"/>
      <c r="F400" s="16">
        <v>569.0</v>
      </c>
      <c r="G400" s="16" t="s">
        <v>292</v>
      </c>
      <c r="H400" s="16" t="s">
        <v>24</v>
      </c>
      <c r="I400" s="16"/>
      <c r="J400" s="16"/>
      <c r="K400" s="16"/>
      <c r="L400" s="16"/>
      <c r="M400" s="16"/>
      <c r="N400" s="16"/>
      <c r="O400" s="16"/>
      <c r="P400" s="16"/>
      <c r="Q400" s="16"/>
      <c r="R400" s="16"/>
      <c r="S400" s="16">
        <v>-2.0</v>
      </c>
      <c r="T400" s="16"/>
      <c r="U400" s="16" t="s">
        <v>1990</v>
      </c>
      <c r="V400" s="16" t="s">
        <v>1991</v>
      </c>
      <c r="W400" s="16" t="s">
        <v>188</v>
      </c>
      <c r="X400" s="16" t="s">
        <v>181</v>
      </c>
      <c r="Y400" s="100"/>
      <c r="Z400" s="16" t="s">
        <v>181</v>
      </c>
    </row>
    <row r="401">
      <c r="A401" s="16">
        <v>12891.0</v>
      </c>
      <c r="B401" s="16" t="s">
        <v>1992</v>
      </c>
      <c r="C401" s="16">
        <v>0.96</v>
      </c>
      <c r="D401" s="174" t="s">
        <v>1993</v>
      </c>
      <c r="E401" s="16"/>
      <c r="F401" s="16">
        <v>547.0</v>
      </c>
      <c r="G401" s="16" t="s">
        <v>176</v>
      </c>
      <c r="H401" s="16" t="s">
        <v>24</v>
      </c>
      <c r="I401" s="16"/>
      <c r="J401" s="16"/>
      <c r="K401" s="16"/>
      <c r="L401" s="16"/>
      <c r="M401" s="16"/>
      <c r="N401" s="16"/>
      <c r="O401" s="16"/>
      <c r="P401" s="16"/>
      <c r="Q401" s="16"/>
      <c r="R401" s="16"/>
      <c r="S401" s="16">
        <v>-2.0</v>
      </c>
      <c r="T401" s="16"/>
      <c r="U401" s="16" t="s">
        <v>1994</v>
      </c>
      <c r="V401" s="16" t="s">
        <v>1995</v>
      </c>
      <c r="W401" s="16" t="s">
        <v>332</v>
      </c>
      <c r="X401" s="16" t="s">
        <v>181</v>
      </c>
      <c r="Y401" s="100"/>
      <c r="Z401" s="16" t="s">
        <v>181</v>
      </c>
    </row>
    <row r="402">
      <c r="A402" s="16">
        <v>12892.0</v>
      </c>
      <c r="B402" s="16" t="s">
        <v>1996</v>
      </c>
      <c r="C402" s="16">
        <v>0.0</v>
      </c>
      <c r="D402" s="174" t="s">
        <v>1997</v>
      </c>
      <c r="E402" s="16"/>
      <c r="F402" s="16">
        <v>547.0</v>
      </c>
      <c r="G402" s="16" t="s">
        <v>176</v>
      </c>
      <c r="H402" s="16" t="s">
        <v>24</v>
      </c>
      <c r="I402" s="16" t="s">
        <v>25</v>
      </c>
      <c r="J402" s="16"/>
      <c r="K402" s="16"/>
      <c r="L402" s="16"/>
      <c r="M402" s="16"/>
      <c r="N402" s="16"/>
      <c r="O402" s="16"/>
      <c r="P402" s="16"/>
      <c r="Q402" s="16"/>
      <c r="R402" s="16"/>
      <c r="S402" s="16">
        <v>-2.0</v>
      </c>
      <c r="T402" s="16"/>
      <c r="U402" s="16" t="s">
        <v>1998</v>
      </c>
      <c r="V402" s="16" t="s">
        <v>1999</v>
      </c>
      <c r="W402" s="16" t="s">
        <v>199</v>
      </c>
      <c r="X402" s="16" t="s">
        <v>181</v>
      </c>
      <c r="Y402" s="100"/>
      <c r="Z402" s="16" t="s">
        <v>181</v>
      </c>
    </row>
    <row r="403">
      <c r="A403" s="16">
        <v>12893.0</v>
      </c>
      <c r="B403" s="16" t="s">
        <v>2000</v>
      </c>
      <c r="C403" s="16">
        <v>0.0</v>
      </c>
      <c r="D403" s="174" t="s">
        <v>2001</v>
      </c>
      <c r="E403" s="16"/>
      <c r="F403" s="16">
        <v>575.0</v>
      </c>
      <c r="G403" s="16" t="s">
        <v>212</v>
      </c>
      <c r="H403" s="16" t="s">
        <v>14</v>
      </c>
      <c r="I403" s="16" t="s">
        <v>16</v>
      </c>
      <c r="J403" s="16" t="s">
        <v>19</v>
      </c>
      <c r="K403" s="16"/>
      <c r="L403" s="16"/>
      <c r="M403" s="16"/>
      <c r="N403" s="16"/>
      <c r="O403" s="16"/>
      <c r="P403" s="16"/>
      <c r="Q403" s="16"/>
      <c r="R403" s="16"/>
      <c r="S403" s="16">
        <v>-2.0</v>
      </c>
      <c r="T403" s="16"/>
      <c r="U403" s="16" t="s">
        <v>2002</v>
      </c>
      <c r="V403" s="16" t="s">
        <v>2003</v>
      </c>
      <c r="W403" s="16" t="s">
        <v>199</v>
      </c>
      <c r="X403" s="16" t="s">
        <v>181</v>
      </c>
      <c r="Y403" s="100"/>
      <c r="Z403" s="16" t="s">
        <v>181</v>
      </c>
    </row>
    <row r="404">
      <c r="A404" s="16">
        <v>12894.0</v>
      </c>
      <c r="B404" s="16" t="s">
        <v>2004</v>
      </c>
      <c r="C404" s="16">
        <v>0.0</v>
      </c>
      <c r="D404" s="174" t="s">
        <v>2005</v>
      </c>
      <c r="E404" s="16"/>
      <c r="F404" s="16">
        <v>547.0</v>
      </c>
      <c r="G404" s="16" t="s">
        <v>176</v>
      </c>
      <c r="H404" s="16" t="s">
        <v>18</v>
      </c>
      <c r="I404" s="16" t="s">
        <v>17</v>
      </c>
      <c r="J404" s="16" t="s">
        <v>19</v>
      </c>
      <c r="K404" s="16"/>
      <c r="L404" s="16"/>
      <c r="M404" s="16"/>
      <c r="N404" s="16"/>
      <c r="O404" s="16"/>
      <c r="P404" s="16"/>
      <c r="Q404" s="16"/>
      <c r="R404" s="16"/>
      <c r="S404" s="16">
        <v>-2.0</v>
      </c>
      <c r="T404" s="16"/>
      <c r="U404" s="16" t="s">
        <v>2006</v>
      </c>
      <c r="V404" s="16" t="s">
        <v>2007</v>
      </c>
      <c r="W404" s="16" t="s">
        <v>360</v>
      </c>
      <c r="X404" s="16" t="s">
        <v>181</v>
      </c>
      <c r="Y404" s="100"/>
      <c r="Z404" s="16" t="s">
        <v>181</v>
      </c>
    </row>
    <row r="405">
      <c r="A405" s="16">
        <v>12895.0</v>
      </c>
      <c r="B405" s="16" t="s">
        <v>2008</v>
      </c>
      <c r="C405" s="16">
        <v>1.92</v>
      </c>
      <c r="D405" s="174" t="s">
        <v>2009</v>
      </c>
      <c r="E405" s="16"/>
      <c r="F405" s="16">
        <v>566.0</v>
      </c>
      <c r="G405" s="16" t="s">
        <v>277</v>
      </c>
      <c r="H405" s="16" t="s">
        <v>17</v>
      </c>
      <c r="I405" s="16" t="s">
        <v>19</v>
      </c>
      <c r="J405" s="16"/>
      <c r="K405" s="16"/>
      <c r="L405" s="16"/>
      <c r="M405" s="16"/>
      <c r="N405" s="16"/>
      <c r="O405" s="16"/>
      <c r="P405" s="16"/>
      <c r="Q405" s="16"/>
      <c r="R405" s="16"/>
      <c r="S405" s="16">
        <v>-2.0</v>
      </c>
      <c r="T405" s="174" t="s">
        <v>2010</v>
      </c>
      <c r="U405" s="16" t="s">
        <v>2011</v>
      </c>
      <c r="V405" s="16" t="s">
        <v>2012</v>
      </c>
      <c r="W405" s="16" t="s">
        <v>188</v>
      </c>
      <c r="X405" s="16" t="s">
        <v>181</v>
      </c>
      <c r="Y405" s="100"/>
      <c r="Z405" s="16" t="s">
        <v>181</v>
      </c>
    </row>
    <row r="406">
      <c r="A406" s="16">
        <v>12896.0</v>
      </c>
      <c r="B406" s="16" t="s">
        <v>2013</v>
      </c>
      <c r="C406" s="16">
        <v>0.14</v>
      </c>
      <c r="D406" s="174" t="s">
        <v>2014</v>
      </c>
      <c r="E406" s="16"/>
      <c r="F406" s="16">
        <v>547.0</v>
      </c>
      <c r="G406" s="16" t="s">
        <v>176</v>
      </c>
      <c r="H406" s="16" t="s">
        <v>14</v>
      </c>
      <c r="I406" s="16" t="s">
        <v>16</v>
      </c>
      <c r="J406" s="16"/>
      <c r="K406" s="16"/>
      <c r="L406" s="16"/>
      <c r="M406" s="16"/>
      <c r="N406" s="16"/>
      <c r="O406" s="16"/>
      <c r="P406" s="16"/>
      <c r="Q406" s="16"/>
      <c r="R406" s="16"/>
      <c r="S406" s="16">
        <v>-2.0</v>
      </c>
      <c r="T406" s="16"/>
      <c r="U406" s="16" t="s">
        <v>2015</v>
      </c>
      <c r="V406" s="16" t="s">
        <v>2016</v>
      </c>
      <c r="W406" s="16" t="s">
        <v>332</v>
      </c>
      <c r="X406" s="16" t="s">
        <v>181</v>
      </c>
      <c r="Y406" s="100"/>
      <c r="Z406" s="16" t="s">
        <v>181</v>
      </c>
    </row>
    <row r="407">
      <c r="A407" s="16">
        <v>12897.0</v>
      </c>
      <c r="B407" s="16" t="s">
        <v>2017</v>
      </c>
      <c r="C407" s="16">
        <v>2.15</v>
      </c>
      <c r="D407" s="174" t="s">
        <v>2018</v>
      </c>
      <c r="E407" s="16"/>
      <c r="F407" s="16">
        <v>593.0</v>
      </c>
      <c r="G407" s="16" t="s">
        <v>272</v>
      </c>
      <c r="H407" s="16" t="s">
        <v>18</v>
      </c>
      <c r="I407" s="16"/>
      <c r="J407" s="16"/>
      <c r="K407" s="16"/>
      <c r="L407" s="16"/>
      <c r="M407" s="16"/>
      <c r="N407" s="16"/>
      <c r="O407" s="16"/>
      <c r="P407" s="16"/>
      <c r="Q407" s="16"/>
      <c r="R407" s="16" t="s">
        <v>466</v>
      </c>
      <c r="S407" s="16">
        <v>-2.0</v>
      </c>
      <c r="T407" s="174" t="s">
        <v>2019</v>
      </c>
      <c r="U407" s="16" t="s">
        <v>2020</v>
      </c>
      <c r="V407" s="16" t="s">
        <v>2021</v>
      </c>
      <c r="W407" s="16" t="s">
        <v>188</v>
      </c>
      <c r="X407" s="16" t="s">
        <v>181</v>
      </c>
      <c r="Y407" s="100"/>
      <c r="Z407" s="16" t="s">
        <v>181</v>
      </c>
    </row>
    <row r="408">
      <c r="A408" s="16">
        <v>12898.0</v>
      </c>
      <c r="B408" s="16" t="s">
        <v>2022</v>
      </c>
      <c r="C408" s="16">
        <v>0.0</v>
      </c>
      <c r="D408" s="174" t="s">
        <v>2023</v>
      </c>
      <c r="E408" s="16"/>
      <c r="F408" s="16">
        <v>547.0</v>
      </c>
      <c r="G408" s="16" t="s">
        <v>176</v>
      </c>
      <c r="H408" s="16" t="s">
        <v>16</v>
      </c>
      <c r="I408" s="16" t="s">
        <v>14</v>
      </c>
      <c r="J408" s="16"/>
      <c r="K408" s="16"/>
      <c r="L408" s="16"/>
      <c r="M408" s="16"/>
      <c r="N408" s="16"/>
      <c r="O408" s="16"/>
      <c r="P408" s="16"/>
      <c r="Q408" s="16"/>
      <c r="R408" s="16"/>
      <c r="S408" s="16">
        <v>-2.0</v>
      </c>
      <c r="T408" s="16"/>
      <c r="U408" s="16" t="s">
        <v>2024</v>
      </c>
      <c r="V408" s="16" t="s">
        <v>2025</v>
      </c>
      <c r="W408" s="16" t="s">
        <v>199</v>
      </c>
      <c r="X408" s="16" t="s">
        <v>181</v>
      </c>
      <c r="Y408" s="100"/>
      <c r="Z408" s="16" t="s">
        <v>181</v>
      </c>
    </row>
    <row r="409">
      <c r="A409" s="16">
        <v>12899.0</v>
      </c>
      <c r="B409" s="16" t="s">
        <v>2026</v>
      </c>
      <c r="C409" s="16">
        <v>0.04</v>
      </c>
      <c r="D409" s="174" t="s">
        <v>2027</v>
      </c>
      <c r="E409" s="16"/>
      <c r="F409" s="16">
        <v>547.0</v>
      </c>
      <c r="G409" s="16" t="s">
        <v>176</v>
      </c>
      <c r="H409" s="16" t="s">
        <v>25</v>
      </c>
      <c r="I409" s="16"/>
      <c r="J409" s="16"/>
      <c r="K409" s="16"/>
      <c r="L409" s="16"/>
      <c r="M409" s="16"/>
      <c r="N409" s="16"/>
      <c r="O409" s="16"/>
      <c r="P409" s="16"/>
      <c r="Q409" s="16"/>
      <c r="R409" s="16"/>
      <c r="S409" s="16">
        <v>-2.0</v>
      </c>
      <c r="T409" s="16"/>
      <c r="U409" s="16" t="s">
        <v>2028</v>
      </c>
      <c r="V409" s="16" t="s">
        <v>2029</v>
      </c>
      <c r="W409" s="16" t="s">
        <v>491</v>
      </c>
      <c r="X409" s="16" t="s">
        <v>181</v>
      </c>
      <c r="Y409" s="100"/>
      <c r="Z409" s="16" t="s">
        <v>181</v>
      </c>
    </row>
    <row r="410">
      <c r="A410" s="16">
        <v>12900.0</v>
      </c>
      <c r="B410" s="16" t="s">
        <v>2030</v>
      </c>
      <c r="C410" s="16">
        <v>0.0</v>
      </c>
      <c r="D410" s="174" t="s">
        <v>2031</v>
      </c>
      <c r="E410" s="16"/>
      <c r="F410" s="16">
        <v>547.0</v>
      </c>
      <c r="G410" s="16" t="s">
        <v>176</v>
      </c>
      <c r="H410" s="16" t="s">
        <v>17</v>
      </c>
      <c r="I410" s="16" t="s">
        <v>19</v>
      </c>
      <c r="J410" s="16"/>
      <c r="K410" s="16"/>
      <c r="L410" s="16"/>
      <c r="M410" s="16"/>
      <c r="N410" s="16"/>
      <c r="O410" s="16"/>
      <c r="P410" s="16"/>
      <c r="Q410" s="16"/>
      <c r="R410" s="16"/>
      <c r="S410" s="16">
        <v>-2.0</v>
      </c>
      <c r="T410" s="16"/>
      <c r="U410" s="16" t="s">
        <v>2032</v>
      </c>
      <c r="V410" s="16" t="s">
        <v>2033</v>
      </c>
      <c r="W410" s="16" t="s">
        <v>199</v>
      </c>
      <c r="X410" s="16" t="s">
        <v>181</v>
      </c>
      <c r="Y410" s="100"/>
      <c r="Z410" s="16" t="s">
        <v>181</v>
      </c>
    </row>
    <row r="411">
      <c r="A411" s="16">
        <v>12901.0</v>
      </c>
      <c r="B411" s="16" t="s">
        <v>2034</v>
      </c>
      <c r="C411" s="16">
        <v>0.2</v>
      </c>
      <c r="D411" s="174" t="s">
        <v>2035</v>
      </c>
      <c r="E411" s="16"/>
      <c r="F411" s="16">
        <v>547.0</v>
      </c>
      <c r="G411" s="16" t="s">
        <v>176</v>
      </c>
      <c r="H411" s="16" t="s">
        <v>25</v>
      </c>
      <c r="I411" s="16"/>
      <c r="J411" s="16"/>
      <c r="K411" s="16"/>
      <c r="L411" s="16"/>
      <c r="M411" s="16"/>
      <c r="N411" s="16"/>
      <c r="O411" s="16"/>
      <c r="P411" s="16"/>
      <c r="Q411" s="16"/>
      <c r="R411" s="16"/>
      <c r="S411" s="16">
        <v>-2.0</v>
      </c>
      <c r="T411" s="16"/>
      <c r="U411" s="16" t="s">
        <v>2036</v>
      </c>
      <c r="V411" s="16" t="s">
        <v>2037</v>
      </c>
      <c r="W411" s="16" t="s">
        <v>634</v>
      </c>
      <c r="X411" s="16" t="s">
        <v>181</v>
      </c>
      <c r="Y411" s="100"/>
      <c r="Z411" s="16" t="s">
        <v>181</v>
      </c>
    </row>
    <row r="412">
      <c r="A412" s="16">
        <v>12902.0</v>
      </c>
      <c r="B412" s="16" t="s">
        <v>2038</v>
      </c>
      <c r="C412" s="16">
        <v>1.12</v>
      </c>
      <c r="D412" s="174" t="s">
        <v>2039</v>
      </c>
      <c r="E412" s="16"/>
      <c r="F412" s="16">
        <v>566.0</v>
      </c>
      <c r="G412" s="16" t="s">
        <v>277</v>
      </c>
      <c r="H412" s="16" t="s">
        <v>12</v>
      </c>
      <c r="I412" s="16"/>
      <c r="J412" s="16"/>
      <c r="K412" s="16"/>
      <c r="L412" s="16"/>
      <c r="M412" s="16"/>
      <c r="N412" s="16"/>
      <c r="O412" s="16"/>
      <c r="P412" s="16"/>
      <c r="Q412" s="16"/>
      <c r="R412" s="16"/>
      <c r="S412" s="16">
        <v>-2.0</v>
      </c>
      <c r="T412" s="16"/>
      <c r="U412" s="16" t="s">
        <v>2040</v>
      </c>
      <c r="V412" s="16" t="s">
        <v>2041</v>
      </c>
      <c r="W412" s="16" t="s">
        <v>600</v>
      </c>
      <c r="X412" s="16" t="s">
        <v>181</v>
      </c>
      <c r="Y412" s="100"/>
      <c r="Z412" s="16" t="s">
        <v>181</v>
      </c>
    </row>
    <row r="413">
      <c r="A413" s="16">
        <v>12903.0</v>
      </c>
      <c r="B413" s="16" t="s">
        <v>2042</v>
      </c>
      <c r="C413" s="16">
        <v>0.76</v>
      </c>
      <c r="D413" s="174" t="s">
        <v>2043</v>
      </c>
      <c r="E413" s="16"/>
      <c r="F413" s="16">
        <v>577.0</v>
      </c>
      <c r="G413" s="16" t="s">
        <v>1755</v>
      </c>
      <c r="H413" s="16" t="s">
        <v>25</v>
      </c>
      <c r="I413" s="16" t="s">
        <v>26</v>
      </c>
      <c r="J413" s="16"/>
      <c r="K413" s="16"/>
      <c r="L413" s="16"/>
      <c r="M413" s="16"/>
      <c r="N413" s="16"/>
      <c r="O413" s="16"/>
      <c r="P413" s="16"/>
      <c r="Q413" s="16"/>
      <c r="R413" s="16"/>
      <c r="S413" s="16">
        <v>-2.0</v>
      </c>
      <c r="T413" s="16"/>
      <c r="U413" s="16" t="s">
        <v>2044</v>
      </c>
      <c r="V413" s="16" t="s">
        <v>2045</v>
      </c>
      <c r="W413" s="16" t="s">
        <v>259</v>
      </c>
      <c r="X413" s="16" t="s">
        <v>181</v>
      </c>
      <c r="Y413" s="100"/>
      <c r="Z413" s="16" t="s">
        <v>181</v>
      </c>
    </row>
    <row r="414">
      <c r="A414" s="16">
        <v>12904.0</v>
      </c>
      <c r="B414" s="16" t="s">
        <v>2046</v>
      </c>
      <c r="C414" s="16">
        <v>0.0</v>
      </c>
      <c r="D414" s="174" t="s">
        <v>2047</v>
      </c>
      <c r="E414" s="16"/>
      <c r="F414" s="16">
        <v>582.0</v>
      </c>
      <c r="G414" s="16" t="s">
        <v>1667</v>
      </c>
      <c r="H414" s="16" t="s">
        <v>16</v>
      </c>
      <c r="I414" s="16"/>
      <c r="J414" s="16"/>
      <c r="K414" s="16"/>
      <c r="L414" s="16"/>
      <c r="M414" s="16"/>
      <c r="N414" s="16"/>
      <c r="O414" s="16"/>
      <c r="P414" s="16"/>
      <c r="Q414" s="16"/>
      <c r="R414" s="16" t="s">
        <v>970</v>
      </c>
      <c r="S414" s="16">
        <v>-2.0</v>
      </c>
      <c r="T414" s="16"/>
      <c r="U414" s="16" t="s">
        <v>2048</v>
      </c>
      <c r="V414" s="16" t="s">
        <v>2049</v>
      </c>
      <c r="W414" s="16" t="s">
        <v>276</v>
      </c>
      <c r="X414" s="16" t="s">
        <v>181</v>
      </c>
      <c r="Y414" s="100"/>
      <c r="Z414" s="16" t="s">
        <v>181</v>
      </c>
    </row>
    <row r="415">
      <c r="A415" s="16">
        <v>12905.0</v>
      </c>
      <c r="B415" s="16" t="s">
        <v>2050</v>
      </c>
      <c r="C415" s="16">
        <v>1.56</v>
      </c>
      <c r="D415" s="174" t="s">
        <v>2051</v>
      </c>
      <c r="E415" s="16"/>
      <c r="F415" s="16">
        <v>547.0</v>
      </c>
      <c r="G415" s="16" t="s">
        <v>176</v>
      </c>
      <c r="H415" s="16" t="s">
        <v>18</v>
      </c>
      <c r="I415" s="16"/>
      <c r="J415" s="16"/>
      <c r="K415" s="16"/>
      <c r="L415" s="16"/>
      <c r="M415" s="16"/>
      <c r="N415" s="16"/>
      <c r="O415" s="16"/>
      <c r="P415" s="16"/>
      <c r="Q415" s="16"/>
      <c r="R415" s="16"/>
      <c r="S415" s="16">
        <v>-2.0</v>
      </c>
      <c r="T415" s="16"/>
      <c r="U415" s="16" t="s">
        <v>2052</v>
      </c>
      <c r="V415" s="16" t="s">
        <v>2053</v>
      </c>
      <c r="W415" s="16" t="s">
        <v>188</v>
      </c>
      <c r="X415" s="16" t="s">
        <v>181</v>
      </c>
      <c r="Y415" s="100"/>
      <c r="Z415" s="16" t="s">
        <v>181</v>
      </c>
    </row>
    <row r="416">
      <c r="A416" s="16">
        <v>12906.0</v>
      </c>
      <c r="B416" s="16" t="s">
        <v>2054</v>
      </c>
      <c r="C416" s="16">
        <v>0.0</v>
      </c>
      <c r="D416" s="174" t="s">
        <v>2055</v>
      </c>
      <c r="E416" s="16"/>
      <c r="F416" s="16">
        <v>569.0</v>
      </c>
      <c r="G416" s="16" t="s">
        <v>292</v>
      </c>
      <c r="H416" s="16" t="s">
        <v>13</v>
      </c>
      <c r="I416" s="16" t="s">
        <v>17</v>
      </c>
      <c r="J416" s="16" t="s">
        <v>19</v>
      </c>
      <c r="K416" s="16"/>
      <c r="L416" s="16"/>
      <c r="M416" s="16"/>
      <c r="N416" s="16"/>
      <c r="O416" s="16"/>
      <c r="P416" s="16"/>
      <c r="Q416" s="16"/>
      <c r="R416" s="16"/>
      <c r="S416" s="16">
        <v>-2.0</v>
      </c>
      <c r="T416" s="16"/>
      <c r="U416" s="16" t="s">
        <v>2056</v>
      </c>
      <c r="V416" s="16" t="s">
        <v>2057</v>
      </c>
      <c r="W416" s="16" t="s">
        <v>491</v>
      </c>
      <c r="X416" s="16" t="s">
        <v>181</v>
      </c>
      <c r="Y416" s="100"/>
      <c r="Z416" s="16" t="s">
        <v>181</v>
      </c>
    </row>
    <row r="417">
      <c r="A417" s="16">
        <v>12907.0</v>
      </c>
      <c r="B417" s="16" t="s">
        <v>2058</v>
      </c>
      <c r="C417" s="16">
        <v>0.32</v>
      </c>
      <c r="D417" s="174" t="s">
        <v>2059</v>
      </c>
      <c r="E417" s="16"/>
      <c r="F417" s="16">
        <v>547.0</v>
      </c>
      <c r="G417" s="16" t="s">
        <v>176</v>
      </c>
      <c r="H417" s="16" t="s">
        <v>25</v>
      </c>
      <c r="I417" s="16" t="s">
        <v>26</v>
      </c>
      <c r="J417" s="16"/>
      <c r="K417" s="16"/>
      <c r="L417" s="16"/>
      <c r="M417" s="16"/>
      <c r="N417" s="16"/>
      <c r="O417" s="16"/>
      <c r="P417" s="16"/>
      <c r="Q417" s="16"/>
      <c r="R417" s="16"/>
      <c r="S417" s="16">
        <v>-2.0</v>
      </c>
      <c r="T417" s="16"/>
      <c r="U417" s="16" t="s">
        <v>2060</v>
      </c>
      <c r="V417" s="16" t="s">
        <v>2061</v>
      </c>
      <c r="W417" s="16" t="s">
        <v>422</v>
      </c>
      <c r="X417" s="16" t="s">
        <v>181</v>
      </c>
      <c r="Y417" s="100"/>
      <c r="Z417" s="16" t="s">
        <v>181</v>
      </c>
    </row>
    <row r="418">
      <c r="A418" s="16">
        <v>12908.0</v>
      </c>
      <c r="B418" s="16" t="s">
        <v>2062</v>
      </c>
      <c r="C418" s="16">
        <v>0.25</v>
      </c>
      <c r="D418" s="174" t="s">
        <v>2063</v>
      </c>
      <c r="E418" s="16"/>
      <c r="F418" s="16">
        <v>566.0</v>
      </c>
      <c r="G418" s="16" t="s">
        <v>277</v>
      </c>
      <c r="H418" s="16" t="s">
        <v>13</v>
      </c>
      <c r="I418" s="16" t="s">
        <v>15</v>
      </c>
      <c r="J418" s="16"/>
      <c r="K418" s="16"/>
      <c r="L418" s="16"/>
      <c r="M418" s="16"/>
      <c r="N418" s="16"/>
      <c r="O418" s="16"/>
      <c r="P418" s="16"/>
      <c r="Q418" s="16"/>
      <c r="R418" s="16"/>
      <c r="S418" s="16">
        <v>-2.0</v>
      </c>
      <c r="T418" s="16"/>
      <c r="U418" s="16" t="s">
        <v>2064</v>
      </c>
      <c r="V418" s="16" t="s">
        <v>2065</v>
      </c>
      <c r="W418" s="16" t="s">
        <v>443</v>
      </c>
      <c r="X418" s="16" t="s">
        <v>181</v>
      </c>
      <c r="Y418" s="100"/>
      <c r="Z418" s="16" t="s">
        <v>181</v>
      </c>
    </row>
    <row r="419">
      <c r="A419" s="16">
        <v>12909.0</v>
      </c>
      <c r="B419" s="16" t="s">
        <v>2066</v>
      </c>
      <c r="C419" s="16">
        <v>0.0</v>
      </c>
      <c r="D419" s="174" t="s">
        <v>2067</v>
      </c>
      <c r="E419" s="16"/>
      <c r="F419" s="16">
        <v>560.0</v>
      </c>
      <c r="G419" s="16" t="s">
        <v>245</v>
      </c>
      <c r="H419" s="16" t="s">
        <v>19</v>
      </c>
      <c r="I419" s="16" t="s">
        <v>17</v>
      </c>
      <c r="J419" s="16" t="s">
        <v>18</v>
      </c>
      <c r="K419" s="16"/>
      <c r="L419" s="16"/>
      <c r="M419" s="16"/>
      <c r="N419" s="16"/>
      <c r="O419" s="16"/>
      <c r="P419" s="16"/>
      <c r="Q419" s="16"/>
      <c r="R419" s="16"/>
      <c r="S419" s="16">
        <v>-2.0</v>
      </c>
      <c r="T419" s="16"/>
      <c r="U419" s="16" t="s">
        <v>2068</v>
      </c>
      <c r="V419" s="16" t="s">
        <v>2069</v>
      </c>
      <c r="W419" s="16" t="s">
        <v>491</v>
      </c>
      <c r="X419" s="16" t="s">
        <v>181</v>
      </c>
      <c r="Y419" s="100"/>
      <c r="Z419" s="16" t="s">
        <v>181</v>
      </c>
    </row>
    <row r="420">
      <c r="A420" s="16">
        <v>12910.0</v>
      </c>
      <c r="B420" s="16" t="s">
        <v>2070</v>
      </c>
      <c r="C420" s="16">
        <v>0.88</v>
      </c>
      <c r="D420" s="174" t="s">
        <v>2071</v>
      </c>
      <c r="E420" s="16"/>
      <c r="F420" s="16">
        <v>554.0</v>
      </c>
      <c r="G420" s="16" t="s">
        <v>215</v>
      </c>
      <c r="H420" s="16" t="s">
        <v>25</v>
      </c>
      <c r="I420" s="16" t="s">
        <v>26</v>
      </c>
      <c r="J420" s="16"/>
      <c r="K420" s="16"/>
      <c r="L420" s="16"/>
      <c r="M420" s="16"/>
      <c r="N420" s="16"/>
      <c r="O420" s="16"/>
      <c r="P420" s="16"/>
      <c r="Q420" s="16"/>
      <c r="R420" s="16"/>
      <c r="S420" s="16">
        <v>-2.0</v>
      </c>
      <c r="T420" s="16"/>
      <c r="U420" s="16" t="s">
        <v>2072</v>
      </c>
      <c r="V420" s="16" t="s">
        <v>2073</v>
      </c>
      <c r="W420" s="16" t="s">
        <v>332</v>
      </c>
      <c r="X420" s="16" t="s">
        <v>181</v>
      </c>
      <c r="Y420" s="100"/>
      <c r="Z420" s="16" t="s">
        <v>181</v>
      </c>
    </row>
    <row r="421">
      <c r="A421" s="16">
        <v>12911.0</v>
      </c>
      <c r="B421" s="16" t="s">
        <v>2074</v>
      </c>
      <c r="C421" s="16">
        <v>0.84</v>
      </c>
      <c r="D421" s="174" t="s">
        <v>2075</v>
      </c>
      <c r="E421" s="16"/>
      <c r="F421" s="16">
        <v>584.0</v>
      </c>
      <c r="G421" s="16" t="s">
        <v>361</v>
      </c>
      <c r="H421" s="16" t="s">
        <v>13</v>
      </c>
      <c r="I421" s="16" t="s">
        <v>14</v>
      </c>
      <c r="J421" s="16"/>
      <c r="K421" s="16"/>
      <c r="L421" s="16"/>
      <c r="M421" s="16"/>
      <c r="N421" s="16"/>
      <c r="O421" s="16"/>
      <c r="P421" s="16"/>
      <c r="Q421" s="16"/>
      <c r="R421" s="16"/>
      <c r="S421" s="16">
        <v>-2.0</v>
      </c>
      <c r="T421" s="16"/>
      <c r="U421" s="16" t="s">
        <v>2076</v>
      </c>
      <c r="V421" s="16" t="s">
        <v>2077</v>
      </c>
      <c r="W421" s="16" t="s">
        <v>188</v>
      </c>
      <c r="X421" s="16" t="s">
        <v>181</v>
      </c>
      <c r="Y421" s="100"/>
      <c r="Z421" s="16" t="s">
        <v>181</v>
      </c>
    </row>
    <row r="422">
      <c r="A422" s="16">
        <v>12912.0</v>
      </c>
      <c r="B422" s="16" t="s">
        <v>2078</v>
      </c>
      <c r="C422" s="16">
        <v>0.0</v>
      </c>
      <c r="D422" s="174" t="s">
        <v>2079</v>
      </c>
      <c r="E422" s="16"/>
      <c r="F422" s="16">
        <v>547.0</v>
      </c>
      <c r="G422" s="16" t="s">
        <v>176</v>
      </c>
      <c r="H422" s="16" t="s">
        <v>25</v>
      </c>
      <c r="I422" s="16" t="s">
        <v>26</v>
      </c>
      <c r="J422" s="16"/>
      <c r="K422" s="16"/>
      <c r="L422" s="16"/>
      <c r="M422" s="16"/>
      <c r="N422" s="16"/>
      <c r="O422" s="16"/>
      <c r="P422" s="16"/>
      <c r="Q422" s="16"/>
      <c r="R422" s="16"/>
      <c r="S422" s="16">
        <v>-2.0</v>
      </c>
      <c r="T422" s="16"/>
      <c r="U422" s="16" t="s">
        <v>2080</v>
      </c>
      <c r="V422" s="16" t="s">
        <v>2081</v>
      </c>
      <c r="W422" s="16" t="s">
        <v>332</v>
      </c>
      <c r="X422" s="16" t="s">
        <v>181</v>
      </c>
      <c r="Y422" s="100"/>
      <c r="Z422" s="16" t="s">
        <v>181</v>
      </c>
    </row>
    <row r="423">
      <c r="A423" s="16">
        <v>12913.0</v>
      </c>
      <c r="B423" s="16" t="s">
        <v>2082</v>
      </c>
      <c r="C423" s="16">
        <v>0.23</v>
      </c>
      <c r="D423" s="174" t="s">
        <v>2083</v>
      </c>
      <c r="E423" s="16"/>
      <c r="F423" s="16">
        <v>569.0</v>
      </c>
      <c r="G423" s="16" t="s">
        <v>292</v>
      </c>
      <c r="H423" s="16" t="s">
        <v>19</v>
      </c>
      <c r="I423" s="16" t="s">
        <v>17</v>
      </c>
      <c r="J423" s="16" t="s">
        <v>18</v>
      </c>
      <c r="K423" s="16"/>
      <c r="L423" s="16"/>
      <c r="M423" s="16"/>
      <c r="N423" s="16"/>
      <c r="O423" s="16"/>
      <c r="P423" s="16"/>
      <c r="Q423" s="16"/>
      <c r="R423" s="16"/>
      <c r="S423" s="16">
        <v>-2.0</v>
      </c>
      <c r="T423" s="16"/>
      <c r="U423" s="16" t="s">
        <v>2084</v>
      </c>
      <c r="V423" s="16" t="s">
        <v>2085</v>
      </c>
      <c r="W423" s="16" t="s">
        <v>491</v>
      </c>
      <c r="X423" s="16" t="s">
        <v>181</v>
      </c>
      <c r="Y423" s="100"/>
      <c r="Z423" s="16" t="s">
        <v>181</v>
      </c>
    </row>
    <row r="424">
      <c r="A424" s="16">
        <v>12914.0</v>
      </c>
      <c r="B424" s="16" t="s">
        <v>2086</v>
      </c>
      <c r="C424" s="16">
        <v>0.91</v>
      </c>
      <c r="D424" s="174" t="s">
        <v>2087</v>
      </c>
      <c r="E424" s="16"/>
      <c r="F424" s="16">
        <v>559.0</v>
      </c>
      <c r="G424" s="16" t="s">
        <v>2088</v>
      </c>
      <c r="H424" s="16" t="s">
        <v>24</v>
      </c>
      <c r="I424" s="16"/>
      <c r="J424" s="16"/>
      <c r="K424" s="16"/>
      <c r="L424" s="16"/>
      <c r="M424" s="16"/>
      <c r="N424" s="16"/>
      <c r="O424" s="16"/>
      <c r="P424" s="16"/>
      <c r="Q424" s="16"/>
      <c r="R424" s="16"/>
      <c r="S424" s="16">
        <v>-2.0</v>
      </c>
      <c r="T424" s="16"/>
      <c r="U424" s="16" t="s">
        <v>2089</v>
      </c>
      <c r="V424" s="16" t="s">
        <v>2090</v>
      </c>
      <c r="W424" s="16" t="s">
        <v>231</v>
      </c>
      <c r="X424" s="16" t="s">
        <v>181</v>
      </c>
      <c r="Y424" s="100"/>
      <c r="Z424" s="16" t="s">
        <v>181</v>
      </c>
    </row>
    <row r="425">
      <c r="A425" s="16">
        <v>12915.0</v>
      </c>
      <c r="B425" s="16" t="s">
        <v>2091</v>
      </c>
      <c r="C425" s="16">
        <v>2.01</v>
      </c>
      <c r="D425" s="174" t="s">
        <v>2092</v>
      </c>
      <c r="E425" s="16"/>
      <c r="F425" s="16">
        <v>593.0</v>
      </c>
      <c r="G425" s="16" t="s">
        <v>272</v>
      </c>
      <c r="H425" s="16" t="s">
        <v>24</v>
      </c>
      <c r="I425" s="16" t="s">
        <v>25</v>
      </c>
      <c r="J425" s="16" t="s">
        <v>26</v>
      </c>
      <c r="K425" s="16"/>
      <c r="L425" s="16"/>
      <c r="M425" s="16"/>
      <c r="N425" s="16"/>
      <c r="O425" s="16"/>
      <c r="P425" s="16"/>
      <c r="Q425" s="16"/>
      <c r="R425" s="16" t="s">
        <v>2093</v>
      </c>
      <c r="S425" s="16">
        <v>-2.0</v>
      </c>
      <c r="T425" s="174" t="s">
        <v>2094</v>
      </c>
      <c r="U425" s="16" t="s">
        <v>2095</v>
      </c>
      <c r="V425" s="16" t="s">
        <v>2096</v>
      </c>
      <c r="W425" s="16" t="s">
        <v>942</v>
      </c>
      <c r="X425" s="16" t="s">
        <v>181</v>
      </c>
      <c r="Y425" s="100"/>
      <c r="Z425" s="16" t="s">
        <v>181</v>
      </c>
    </row>
    <row r="426">
      <c r="A426" s="16">
        <v>12916.0</v>
      </c>
      <c r="B426" s="16" t="s">
        <v>2097</v>
      </c>
      <c r="C426" s="16">
        <v>1.0</v>
      </c>
      <c r="D426" s="174" t="s">
        <v>2098</v>
      </c>
      <c r="E426" s="16"/>
      <c r="F426" s="16">
        <v>557.0</v>
      </c>
      <c r="G426" s="16" t="s">
        <v>232</v>
      </c>
      <c r="H426" s="16" t="s">
        <v>18</v>
      </c>
      <c r="I426" s="16" t="s">
        <v>19</v>
      </c>
      <c r="J426" s="16" t="s">
        <v>17</v>
      </c>
      <c r="K426" s="16"/>
      <c r="L426" s="16"/>
      <c r="M426" s="16"/>
      <c r="N426" s="16"/>
      <c r="O426" s="16"/>
      <c r="P426" s="16"/>
      <c r="Q426" s="16"/>
      <c r="R426" s="16"/>
      <c r="S426" s="16">
        <v>-2.0</v>
      </c>
      <c r="T426" s="16"/>
      <c r="U426" s="16" t="s">
        <v>2099</v>
      </c>
      <c r="V426" s="16" t="s">
        <v>2100</v>
      </c>
      <c r="W426" s="16" t="s">
        <v>443</v>
      </c>
      <c r="X426" s="16" t="s">
        <v>181</v>
      </c>
      <c r="Y426" s="100"/>
      <c r="Z426" s="16" t="s">
        <v>181</v>
      </c>
    </row>
    <row r="427">
      <c r="A427" s="16">
        <v>12917.0</v>
      </c>
      <c r="B427" s="16" t="s">
        <v>2101</v>
      </c>
      <c r="C427" s="16">
        <v>0.96</v>
      </c>
      <c r="D427" s="174" t="s">
        <v>2102</v>
      </c>
      <c r="E427" s="16"/>
      <c r="F427" s="16">
        <v>589.0</v>
      </c>
      <c r="G427" s="16" t="s">
        <v>1729</v>
      </c>
      <c r="H427" s="16" t="s">
        <v>18</v>
      </c>
      <c r="I427" s="16"/>
      <c r="J427" s="16"/>
      <c r="K427" s="16"/>
      <c r="L427" s="16"/>
      <c r="M427" s="16"/>
      <c r="N427" s="16"/>
      <c r="O427" s="16"/>
      <c r="P427" s="16"/>
      <c r="Q427" s="16"/>
      <c r="R427" s="16"/>
      <c r="S427" s="16">
        <v>-2.0</v>
      </c>
      <c r="T427" s="16"/>
      <c r="U427" s="16" t="s">
        <v>2103</v>
      </c>
      <c r="V427" s="16" t="s">
        <v>2104</v>
      </c>
      <c r="W427" s="16" t="s">
        <v>188</v>
      </c>
      <c r="X427" s="16" t="s">
        <v>181</v>
      </c>
      <c r="Y427" s="100"/>
      <c r="Z427" s="16" t="s">
        <v>181</v>
      </c>
    </row>
    <row r="428">
      <c r="A428" s="16">
        <v>12918.0</v>
      </c>
      <c r="B428" s="16" t="s">
        <v>2105</v>
      </c>
      <c r="C428" s="16">
        <v>0.52</v>
      </c>
      <c r="D428" s="174" t="s">
        <v>2106</v>
      </c>
      <c r="E428" s="16"/>
      <c r="F428" s="16">
        <v>547.0</v>
      </c>
      <c r="G428" s="16" t="s">
        <v>176</v>
      </c>
      <c r="H428" s="16" t="s">
        <v>12</v>
      </c>
      <c r="I428" s="16"/>
      <c r="J428" s="16"/>
      <c r="K428" s="16"/>
      <c r="L428" s="16"/>
      <c r="M428" s="16"/>
      <c r="N428" s="16"/>
      <c r="O428" s="16"/>
      <c r="P428" s="16"/>
      <c r="Q428" s="16"/>
      <c r="R428" s="16"/>
      <c r="S428" s="16">
        <v>-2.0</v>
      </c>
      <c r="T428" s="16"/>
      <c r="U428" s="16" t="s">
        <v>2107</v>
      </c>
      <c r="V428" s="16" t="s">
        <v>2108</v>
      </c>
      <c r="W428" s="16" t="s">
        <v>259</v>
      </c>
      <c r="X428" s="16" t="s">
        <v>181</v>
      </c>
      <c r="Y428" s="100"/>
      <c r="Z428" s="16" t="s">
        <v>181</v>
      </c>
    </row>
    <row r="429">
      <c r="A429" s="16">
        <v>12919.0</v>
      </c>
      <c r="B429" s="16" t="s">
        <v>2109</v>
      </c>
      <c r="C429" s="16">
        <v>0.0</v>
      </c>
      <c r="D429" s="174" t="s">
        <v>2110</v>
      </c>
      <c r="E429" s="16"/>
      <c r="F429" s="16">
        <v>547.0</v>
      </c>
      <c r="G429" s="16" t="s">
        <v>176</v>
      </c>
      <c r="H429" s="16" t="s">
        <v>24</v>
      </c>
      <c r="I429" s="16" t="s">
        <v>25</v>
      </c>
      <c r="J429" s="16"/>
      <c r="K429" s="16"/>
      <c r="L429" s="16"/>
      <c r="M429" s="16"/>
      <c r="N429" s="16"/>
      <c r="O429" s="16"/>
      <c r="P429" s="16"/>
      <c r="Q429" s="16"/>
      <c r="R429" s="16"/>
      <c r="S429" s="16">
        <v>-2.0</v>
      </c>
      <c r="T429" s="16"/>
      <c r="U429" s="16" t="s">
        <v>2111</v>
      </c>
      <c r="V429" s="16" t="s">
        <v>2112</v>
      </c>
      <c r="W429" s="16" t="s">
        <v>199</v>
      </c>
      <c r="X429" s="16" t="s">
        <v>181</v>
      </c>
      <c r="Y429" s="100"/>
      <c r="Z429" s="16" t="s">
        <v>181</v>
      </c>
    </row>
    <row r="430">
      <c r="A430" s="16">
        <v>12920.0</v>
      </c>
      <c r="B430" s="16" t="s">
        <v>2113</v>
      </c>
      <c r="C430" s="16">
        <v>0.0</v>
      </c>
      <c r="D430" s="174" t="s">
        <v>2114</v>
      </c>
      <c r="E430" s="16"/>
      <c r="F430" s="16">
        <v>547.0</v>
      </c>
      <c r="G430" s="16" t="s">
        <v>176</v>
      </c>
      <c r="H430" s="16" t="s">
        <v>25</v>
      </c>
      <c r="I430" s="16" t="s">
        <v>26</v>
      </c>
      <c r="J430" s="16"/>
      <c r="K430" s="16"/>
      <c r="L430" s="16"/>
      <c r="M430" s="16"/>
      <c r="N430" s="16"/>
      <c r="O430" s="16"/>
      <c r="P430" s="16"/>
      <c r="Q430" s="16"/>
      <c r="R430" s="16"/>
      <c r="S430" s="16">
        <v>-2.0</v>
      </c>
      <c r="T430" s="16"/>
      <c r="U430" s="16" t="s">
        <v>2115</v>
      </c>
      <c r="V430" s="16" t="s">
        <v>2116</v>
      </c>
      <c r="W430" s="16" t="s">
        <v>231</v>
      </c>
      <c r="X430" s="16" t="s">
        <v>181</v>
      </c>
      <c r="Y430" s="100"/>
      <c r="Z430" s="16" t="s">
        <v>181</v>
      </c>
    </row>
    <row r="431">
      <c r="A431" s="16">
        <v>12921.0</v>
      </c>
      <c r="B431" s="16" t="s">
        <v>2117</v>
      </c>
      <c r="C431" s="16">
        <v>0.0</v>
      </c>
      <c r="D431" s="174" t="s">
        <v>2118</v>
      </c>
      <c r="E431" s="16"/>
      <c r="F431" s="16">
        <v>547.0</v>
      </c>
      <c r="G431" s="16" t="s">
        <v>176</v>
      </c>
      <c r="H431" s="16" t="s">
        <v>25</v>
      </c>
      <c r="I431" s="16" t="s">
        <v>26</v>
      </c>
      <c r="J431" s="16"/>
      <c r="K431" s="16"/>
      <c r="L431" s="16"/>
      <c r="M431" s="16"/>
      <c r="N431" s="16"/>
      <c r="O431" s="16"/>
      <c r="P431" s="16"/>
      <c r="Q431" s="16"/>
      <c r="R431" s="16"/>
      <c r="S431" s="16">
        <v>-2.0</v>
      </c>
      <c r="T431" s="16"/>
      <c r="U431" s="16" t="s">
        <v>2119</v>
      </c>
      <c r="V431" s="16" t="s">
        <v>2120</v>
      </c>
      <c r="W431" s="16" t="s">
        <v>179</v>
      </c>
      <c r="X431" s="16" t="s">
        <v>181</v>
      </c>
      <c r="Y431" s="100"/>
      <c r="Z431" s="16" t="s">
        <v>181</v>
      </c>
    </row>
    <row r="432">
      <c r="A432" s="16">
        <v>12922.0</v>
      </c>
      <c r="B432" s="16" t="s">
        <v>2121</v>
      </c>
      <c r="C432" s="16">
        <v>1.0</v>
      </c>
      <c r="D432" s="174" t="s">
        <v>2122</v>
      </c>
      <c r="E432" s="16"/>
      <c r="F432" s="16">
        <v>568.0</v>
      </c>
      <c r="G432" s="16" t="s">
        <v>1452</v>
      </c>
      <c r="H432" s="16" t="s">
        <v>12</v>
      </c>
      <c r="I432" s="16"/>
      <c r="J432" s="16"/>
      <c r="K432" s="16"/>
      <c r="L432" s="16"/>
      <c r="M432" s="16"/>
      <c r="N432" s="16"/>
      <c r="O432" s="16"/>
      <c r="P432" s="16"/>
      <c r="Q432" s="16"/>
      <c r="R432" s="16"/>
      <c r="S432" s="16">
        <v>-2.0</v>
      </c>
      <c r="T432" s="16"/>
      <c r="U432" s="16" t="s">
        <v>2123</v>
      </c>
      <c r="V432" s="16" t="s">
        <v>2124</v>
      </c>
      <c r="W432" s="16" t="s">
        <v>478</v>
      </c>
      <c r="X432" s="16" t="s">
        <v>181</v>
      </c>
      <c r="Y432" s="100"/>
      <c r="Z432" s="16" t="s">
        <v>181</v>
      </c>
    </row>
    <row r="433">
      <c r="A433" s="16">
        <v>12923.0</v>
      </c>
      <c r="B433" s="16" t="s">
        <v>2125</v>
      </c>
      <c r="C433" s="16">
        <v>0.0</v>
      </c>
      <c r="D433" s="174" t="s">
        <v>2126</v>
      </c>
      <c r="E433" s="16"/>
      <c r="F433" s="16">
        <v>547.0</v>
      </c>
      <c r="G433" s="16" t="s">
        <v>176</v>
      </c>
      <c r="H433" s="16" t="s">
        <v>18</v>
      </c>
      <c r="I433" s="16"/>
      <c r="J433" s="16"/>
      <c r="K433" s="16"/>
      <c r="L433" s="16"/>
      <c r="M433" s="16"/>
      <c r="N433" s="16"/>
      <c r="O433" s="16"/>
      <c r="P433" s="16"/>
      <c r="Q433" s="16"/>
      <c r="R433" s="16"/>
      <c r="S433" s="16">
        <v>-2.0</v>
      </c>
      <c r="T433" s="16"/>
      <c r="U433" s="16" t="s">
        <v>2127</v>
      </c>
      <c r="V433" s="16" t="s">
        <v>2128</v>
      </c>
      <c r="W433" s="16" t="s">
        <v>332</v>
      </c>
      <c r="X433" s="16" t="s">
        <v>181</v>
      </c>
      <c r="Y433" s="100"/>
      <c r="Z433" s="16" t="s">
        <v>181</v>
      </c>
    </row>
    <row r="434">
      <c r="A434" s="16">
        <v>12924.0</v>
      </c>
      <c r="B434" s="16" t="s">
        <v>2129</v>
      </c>
      <c r="C434" s="16">
        <v>0.07</v>
      </c>
      <c r="D434" s="174" t="s">
        <v>2130</v>
      </c>
      <c r="E434" s="16"/>
      <c r="F434" s="16">
        <v>547.0</v>
      </c>
      <c r="G434" s="16" t="s">
        <v>176</v>
      </c>
      <c r="H434" s="16" t="s">
        <v>24</v>
      </c>
      <c r="I434" s="16"/>
      <c r="J434" s="16"/>
      <c r="K434" s="16"/>
      <c r="L434" s="16"/>
      <c r="M434" s="16"/>
      <c r="N434" s="16"/>
      <c r="O434" s="16"/>
      <c r="P434" s="16"/>
      <c r="Q434" s="16"/>
      <c r="R434" s="16"/>
      <c r="S434" s="16">
        <v>-2.0</v>
      </c>
      <c r="T434" s="16"/>
      <c r="U434" s="16" t="s">
        <v>2131</v>
      </c>
      <c r="V434" s="16" t="s">
        <v>2132</v>
      </c>
      <c r="W434" s="16" t="s">
        <v>259</v>
      </c>
      <c r="X434" s="16" t="s">
        <v>181</v>
      </c>
      <c r="Y434" s="100"/>
      <c r="Z434" s="16" t="s">
        <v>181</v>
      </c>
    </row>
    <row r="435">
      <c r="A435" s="16">
        <v>12925.0</v>
      </c>
      <c r="B435" s="16" t="s">
        <v>2133</v>
      </c>
      <c r="C435" s="16">
        <v>0.95</v>
      </c>
      <c r="D435" s="174" t="s">
        <v>2134</v>
      </c>
      <c r="E435" s="16"/>
      <c r="F435" s="16">
        <v>587.0</v>
      </c>
      <c r="G435" s="16" t="s">
        <v>289</v>
      </c>
      <c r="H435" s="16" t="s">
        <v>17</v>
      </c>
      <c r="I435" s="16"/>
      <c r="J435" s="16"/>
      <c r="K435" s="16"/>
      <c r="L435" s="16"/>
      <c r="M435" s="16"/>
      <c r="N435" s="16"/>
      <c r="O435" s="16"/>
      <c r="P435" s="16"/>
      <c r="Q435" s="16"/>
      <c r="R435" s="16" t="s">
        <v>522</v>
      </c>
      <c r="S435" s="16">
        <v>-2.0</v>
      </c>
      <c r="T435" s="16"/>
      <c r="U435" s="16" t="s">
        <v>2135</v>
      </c>
      <c r="V435" s="16" t="s">
        <v>2136</v>
      </c>
      <c r="W435" s="16" t="s">
        <v>360</v>
      </c>
      <c r="X435" s="16" t="s">
        <v>181</v>
      </c>
      <c r="Y435" s="100"/>
      <c r="Z435" s="16" t="s">
        <v>181</v>
      </c>
    </row>
    <row r="436">
      <c r="A436" s="16">
        <v>12926.0</v>
      </c>
      <c r="B436" s="16" t="s">
        <v>2137</v>
      </c>
      <c r="C436" s="16">
        <v>1.2</v>
      </c>
      <c r="D436" s="174" t="s">
        <v>2138</v>
      </c>
      <c r="E436" s="16"/>
      <c r="F436" s="16">
        <v>547.0</v>
      </c>
      <c r="G436" s="16" t="s">
        <v>176</v>
      </c>
      <c r="H436" s="16" t="s">
        <v>24</v>
      </c>
      <c r="I436" s="16"/>
      <c r="J436" s="16"/>
      <c r="K436" s="16"/>
      <c r="L436" s="16"/>
      <c r="M436" s="16"/>
      <c r="N436" s="16"/>
      <c r="O436" s="16"/>
      <c r="P436" s="16"/>
      <c r="Q436" s="16"/>
      <c r="R436" s="16"/>
      <c r="S436" s="16">
        <v>-2.0</v>
      </c>
      <c r="T436" s="16"/>
      <c r="U436" s="16" t="s">
        <v>2139</v>
      </c>
      <c r="V436" s="16" t="s">
        <v>2140</v>
      </c>
      <c r="W436" s="16" t="s">
        <v>188</v>
      </c>
      <c r="X436" s="16" t="s">
        <v>181</v>
      </c>
      <c r="Y436" s="100"/>
      <c r="Z436" s="16" t="s">
        <v>181</v>
      </c>
    </row>
    <row r="437">
      <c r="A437" s="16">
        <v>12927.0</v>
      </c>
      <c r="B437" s="16" t="s">
        <v>2141</v>
      </c>
      <c r="C437" s="16">
        <v>1.11</v>
      </c>
      <c r="D437" s="174" t="s">
        <v>2142</v>
      </c>
      <c r="E437" s="16"/>
      <c r="F437" s="16">
        <v>548.0</v>
      </c>
      <c r="G437" s="16" t="s">
        <v>126</v>
      </c>
      <c r="H437" s="16" t="s">
        <v>24</v>
      </c>
      <c r="I437" s="16"/>
      <c r="J437" s="16"/>
      <c r="K437" s="16"/>
      <c r="L437" s="16"/>
      <c r="M437" s="16"/>
      <c r="N437" s="16"/>
      <c r="O437" s="16"/>
      <c r="P437" s="16"/>
      <c r="Q437" s="16"/>
      <c r="R437" s="16"/>
      <c r="S437" s="16">
        <v>-2.0</v>
      </c>
      <c r="T437" s="16"/>
      <c r="U437" s="16" t="s">
        <v>2143</v>
      </c>
      <c r="V437" s="16" t="s">
        <v>2144</v>
      </c>
      <c r="W437" s="16" t="s">
        <v>1412</v>
      </c>
      <c r="X437" s="16" t="s">
        <v>181</v>
      </c>
      <c r="Y437" s="100"/>
      <c r="Z437" s="16" t="s">
        <v>181</v>
      </c>
    </row>
    <row r="438">
      <c r="A438" s="16">
        <v>12928.0</v>
      </c>
      <c r="B438" s="16" t="s">
        <v>2145</v>
      </c>
      <c r="C438" s="16">
        <v>1.16</v>
      </c>
      <c r="D438" s="174" t="s">
        <v>2146</v>
      </c>
      <c r="E438" s="16"/>
      <c r="F438" s="16">
        <v>559.0</v>
      </c>
      <c r="G438" s="16" t="s">
        <v>2088</v>
      </c>
      <c r="H438" s="16" t="s">
        <v>24</v>
      </c>
      <c r="I438" s="16" t="s">
        <v>25</v>
      </c>
      <c r="J438" s="16" t="s">
        <v>26</v>
      </c>
      <c r="K438" s="16"/>
      <c r="L438" s="16"/>
      <c r="M438" s="16"/>
      <c r="N438" s="16"/>
      <c r="O438" s="16"/>
      <c r="P438" s="16"/>
      <c r="Q438" s="16"/>
      <c r="R438" s="16"/>
      <c r="S438" s="16">
        <v>-2.0</v>
      </c>
      <c r="T438" s="16"/>
      <c r="U438" s="16" t="s">
        <v>2147</v>
      </c>
      <c r="V438" s="16" t="s">
        <v>2148</v>
      </c>
      <c r="W438" s="16" t="s">
        <v>259</v>
      </c>
      <c r="X438" s="16" t="s">
        <v>181</v>
      </c>
      <c r="Y438" s="100"/>
      <c r="Z438" s="16" t="s">
        <v>181</v>
      </c>
    </row>
    <row r="439">
      <c r="A439" s="16">
        <v>12929.0</v>
      </c>
      <c r="B439" s="16" t="s">
        <v>2149</v>
      </c>
      <c r="C439" s="16">
        <v>0.59</v>
      </c>
      <c r="D439" s="174" t="s">
        <v>2150</v>
      </c>
      <c r="E439" s="16"/>
      <c r="F439" s="16">
        <v>547.0</v>
      </c>
      <c r="G439" s="16" t="s">
        <v>176</v>
      </c>
      <c r="H439" s="16" t="s">
        <v>24</v>
      </c>
      <c r="I439" s="16" t="s">
        <v>25</v>
      </c>
      <c r="J439" s="16"/>
      <c r="K439" s="16"/>
      <c r="L439" s="16"/>
      <c r="M439" s="16"/>
      <c r="N439" s="16"/>
      <c r="O439" s="16"/>
      <c r="P439" s="16"/>
      <c r="Q439" s="16"/>
      <c r="R439" s="16"/>
      <c r="S439" s="16">
        <v>-2.0</v>
      </c>
      <c r="T439" s="16"/>
      <c r="U439" s="16" t="s">
        <v>2151</v>
      </c>
      <c r="V439" s="16" t="s">
        <v>2152</v>
      </c>
      <c r="W439" s="16" t="s">
        <v>360</v>
      </c>
      <c r="X439" s="16" t="s">
        <v>181</v>
      </c>
      <c r="Y439" s="100"/>
      <c r="Z439" s="16" t="s">
        <v>181</v>
      </c>
    </row>
    <row r="440">
      <c r="A440" s="16">
        <v>12930.0</v>
      </c>
      <c r="B440" s="16" t="s">
        <v>2153</v>
      </c>
      <c r="C440" s="16">
        <v>0.51</v>
      </c>
      <c r="D440" s="174" t="s">
        <v>2154</v>
      </c>
      <c r="E440" s="16"/>
      <c r="F440" s="16">
        <v>547.0</v>
      </c>
      <c r="G440" s="16" t="s">
        <v>176</v>
      </c>
      <c r="H440" s="16" t="s">
        <v>15</v>
      </c>
      <c r="I440" s="16" t="s">
        <v>14</v>
      </c>
      <c r="J440" s="16" t="s">
        <v>16</v>
      </c>
      <c r="K440" s="16" t="s">
        <v>13</v>
      </c>
      <c r="L440" s="16" t="s">
        <v>19</v>
      </c>
      <c r="M440" s="16"/>
      <c r="N440" s="16"/>
      <c r="O440" s="16"/>
      <c r="P440" s="16"/>
      <c r="Q440" s="16"/>
      <c r="R440" s="16"/>
      <c r="S440" s="16">
        <v>-2.0</v>
      </c>
      <c r="T440" s="16"/>
      <c r="U440" s="16" t="s">
        <v>2155</v>
      </c>
      <c r="V440" s="16" t="s">
        <v>2156</v>
      </c>
      <c r="W440" s="16" t="s">
        <v>491</v>
      </c>
      <c r="X440" s="16" t="s">
        <v>181</v>
      </c>
      <c r="Y440" s="100"/>
      <c r="Z440" s="16" t="s">
        <v>181</v>
      </c>
    </row>
    <row r="441">
      <c r="A441" s="16">
        <v>12931.0</v>
      </c>
      <c r="B441" s="16" t="s">
        <v>2157</v>
      </c>
      <c r="C441" s="16">
        <v>0.0</v>
      </c>
      <c r="D441" s="174" t="s">
        <v>2158</v>
      </c>
      <c r="E441" s="16"/>
      <c r="F441" s="16">
        <v>547.0</v>
      </c>
      <c r="G441" s="16" t="s">
        <v>176</v>
      </c>
      <c r="H441" s="16" t="s">
        <v>13</v>
      </c>
      <c r="I441" s="16"/>
      <c r="J441" s="16"/>
      <c r="K441" s="16"/>
      <c r="L441" s="16"/>
      <c r="M441" s="16"/>
      <c r="N441" s="16"/>
      <c r="O441" s="16"/>
      <c r="P441" s="16"/>
      <c r="Q441" s="16"/>
      <c r="R441" s="16"/>
      <c r="S441" s="16">
        <v>-2.0</v>
      </c>
      <c r="T441" s="16"/>
      <c r="U441" s="16" t="s">
        <v>2159</v>
      </c>
      <c r="V441" s="16" t="s">
        <v>2160</v>
      </c>
      <c r="W441" s="16" t="s">
        <v>199</v>
      </c>
      <c r="X441" s="16" t="s">
        <v>181</v>
      </c>
      <c r="Y441" s="100"/>
      <c r="Z441" s="16" t="s">
        <v>181</v>
      </c>
    </row>
    <row r="442">
      <c r="A442" s="16">
        <v>12932.0</v>
      </c>
      <c r="B442" s="16" t="s">
        <v>2161</v>
      </c>
      <c r="C442" s="16">
        <v>0.16</v>
      </c>
      <c r="D442" s="174" t="s">
        <v>2162</v>
      </c>
      <c r="E442" s="16"/>
      <c r="F442" s="16">
        <v>547.0</v>
      </c>
      <c r="G442" s="16" t="s">
        <v>176</v>
      </c>
      <c r="H442" s="16" t="s">
        <v>17</v>
      </c>
      <c r="I442" s="16" t="s">
        <v>18</v>
      </c>
      <c r="J442" s="16"/>
      <c r="K442" s="16"/>
      <c r="L442" s="16"/>
      <c r="M442" s="16"/>
      <c r="N442" s="16"/>
      <c r="O442" s="16"/>
      <c r="P442" s="16"/>
      <c r="Q442" s="16"/>
      <c r="R442" s="16"/>
      <c r="S442" s="16">
        <v>-2.0</v>
      </c>
      <c r="T442" s="16"/>
      <c r="U442" s="16" t="s">
        <v>2163</v>
      </c>
      <c r="V442" s="16" t="s">
        <v>2164</v>
      </c>
      <c r="W442" s="16" t="s">
        <v>491</v>
      </c>
      <c r="X442" s="16" t="s">
        <v>181</v>
      </c>
      <c r="Y442" s="100"/>
      <c r="Z442" s="16" t="s">
        <v>181</v>
      </c>
    </row>
    <row r="443">
      <c r="A443" s="16">
        <v>12933.0</v>
      </c>
      <c r="B443" s="16" t="s">
        <v>2165</v>
      </c>
      <c r="C443" s="16">
        <v>3.43</v>
      </c>
      <c r="D443" s="174" t="s">
        <v>2166</v>
      </c>
      <c r="E443" s="16"/>
      <c r="F443" s="16">
        <v>569.0</v>
      </c>
      <c r="G443" s="16" t="s">
        <v>292</v>
      </c>
      <c r="H443" s="16" t="s">
        <v>18</v>
      </c>
      <c r="I443" s="16" t="s">
        <v>17</v>
      </c>
      <c r="J443" s="16"/>
      <c r="K443" s="16"/>
      <c r="L443" s="16"/>
      <c r="M443" s="16"/>
      <c r="N443" s="16"/>
      <c r="O443" s="16"/>
      <c r="P443" s="16"/>
      <c r="Q443" s="16"/>
      <c r="R443" s="16"/>
      <c r="S443" s="16">
        <v>-2.0</v>
      </c>
      <c r="T443" s="16"/>
      <c r="U443" s="16" t="s">
        <v>2167</v>
      </c>
      <c r="V443" s="16" t="s">
        <v>2168</v>
      </c>
      <c r="W443" s="16" t="s">
        <v>188</v>
      </c>
      <c r="X443" s="16" t="s">
        <v>181</v>
      </c>
      <c r="Y443" s="100"/>
      <c r="Z443" s="16" t="s">
        <v>181</v>
      </c>
    </row>
    <row r="444">
      <c r="A444" s="16">
        <v>12934.0</v>
      </c>
      <c r="B444" s="16" t="s">
        <v>2169</v>
      </c>
      <c r="C444" s="16">
        <v>1.69</v>
      </c>
      <c r="D444" s="174" t="s">
        <v>2170</v>
      </c>
      <c r="E444" s="16"/>
      <c r="F444" s="16">
        <v>578.0</v>
      </c>
      <c r="G444" s="16" t="s">
        <v>333</v>
      </c>
      <c r="H444" s="16" t="s">
        <v>25</v>
      </c>
      <c r="I444" s="16" t="s">
        <v>26</v>
      </c>
      <c r="J444" s="16"/>
      <c r="K444" s="16"/>
      <c r="L444" s="16"/>
      <c r="M444" s="16"/>
      <c r="N444" s="16"/>
      <c r="O444" s="16"/>
      <c r="P444" s="16"/>
      <c r="Q444" s="16"/>
      <c r="R444" s="16"/>
      <c r="S444" s="16">
        <v>-2.0</v>
      </c>
      <c r="T444" s="16"/>
      <c r="U444" s="16" t="s">
        <v>2171</v>
      </c>
      <c r="V444" s="16" t="s">
        <v>2172</v>
      </c>
      <c r="W444" s="16" t="s">
        <v>231</v>
      </c>
      <c r="X444" s="16" t="s">
        <v>181</v>
      </c>
      <c r="Y444" s="100"/>
      <c r="Z444" s="16" t="s">
        <v>181</v>
      </c>
    </row>
    <row r="445">
      <c r="A445" s="16">
        <v>12935.0</v>
      </c>
      <c r="B445" s="16" t="s">
        <v>2173</v>
      </c>
      <c r="C445" s="16">
        <v>0.64</v>
      </c>
      <c r="D445" s="174" t="s">
        <v>2174</v>
      </c>
      <c r="E445" s="16"/>
      <c r="F445" s="16">
        <v>566.0</v>
      </c>
      <c r="G445" s="16" t="s">
        <v>277</v>
      </c>
      <c r="H445" s="16" t="s">
        <v>25</v>
      </c>
      <c r="I445" s="16" t="s">
        <v>26</v>
      </c>
      <c r="J445" s="16"/>
      <c r="K445" s="16"/>
      <c r="L445" s="16"/>
      <c r="M445" s="16"/>
      <c r="N445" s="16"/>
      <c r="O445" s="16"/>
      <c r="P445" s="16"/>
      <c r="Q445" s="16"/>
      <c r="R445" s="16"/>
      <c r="S445" s="16">
        <v>-2.0</v>
      </c>
      <c r="T445" s="16"/>
      <c r="U445" s="16" t="s">
        <v>2175</v>
      </c>
      <c r="V445" s="16" t="s">
        <v>2176</v>
      </c>
      <c r="W445" s="16" t="s">
        <v>179</v>
      </c>
      <c r="X445" s="16" t="s">
        <v>181</v>
      </c>
      <c r="Y445" s="100"/>
      <c r="Z445" s="16" t="s">
        <v>181</v>
      </c>
    </row>
    <row r="446">
      <c r="A446" s="16">
        <v>12936.0</v>
      </c>
      <c r="B446" s="16" t="s">
        <v>2177</v>
      </c>
      <c r="C446" s="16">
        <v>0.81</v>
      </c>
      <c r="D446" s="174" t="s">
        <v>2178</v>
      </c>
      <c r="E446" s="16"/>
      <c r="F446" s="16">
        <v>547.0</v>
      </c>
      <c r="G446" s="16" t="s">
        <v>176</v>
      </c>
      <c r="H446" s="16" t="s">
        <v>19</v>
      </c>
      <c r="I446" s="16" t="s">
        <v>17</v>
      </c>
      <c r="J446" s="16" t="s">
        <v>18</v>
      </c>
      <c r="K446" s="16"/>
      <c r="L446" s="16"/>
      <c r="M446" s="16"/>
      <c r="N446" s="16"/>
      <c r="O446" s="16"/>
      <c r="P446" s="16"/>
      <c r="Q446" s="16"/>
      <c r="R446" s="16"/>
      <c r="S446" s="16">
        <v>-2.0</v>
      </c>
      <c r="T446" s="16"/>
      <c r="U446" s="16" t="s">
        <v>2179</v>
      </c>
      <c r="V446" s="16" t="s">
        <v>2180</v>
      </c>
      <c r="W446" s="16" t="s">
        <v>634</v>
      </c>
      <c r="X446" s="16" t="s">
        <v>181</v>
      </c>
      <c r="Y446" s="100"/>
      <c r="Z446" s="16" t="s">
        <v>181</v>
      </c>
    </row>
    <row r="447">
      <c r="A447" s="16">
        <v>12937.0</v>
      </c>
      <c r="B447" s="16" t="s">
        <v>2181</v>
      </c>
      <c r="C447" s="16">
        <v>0.0</v>
      </c>
      <c r="D447" s="174" t="s">
        <v>2182</v>
      </c>
      <c r="E447" s="16"/>
      <c r="F447" s="16">
        <v>547.0</v>
      </c>
      <c r="G447" s="16" t="s">
        <v>176</v>
      </c>
      <c r="H447" s="16" t="s">
        <v>17</v>
      </c>
      <c r="I447" s="16" t="s">
        <v>18</v>
      </c>
      <c r="J447" s="16"/>
      <c r="K447" s="16"/>
      <c r="L447" s="16"/>
      <c r="M447" s="16"/>
      <c r="N447" s="16"/>
      <c r="O447" s="16"/>
      <c r="P447" s="16"/>
      <c r="Q447" s="16"/>
      <c r="R447" s="16"/>
      <c r="S447" s="16">
        <v>-2.0</v>
      </c>
      <c r="T447" s="16"/>
      <c r="U447" s="16" t="s">
        <v>2183</v>
      </c>
      <c r="V447" s="16" t="s">
        <v>2184</v>
      </c>
      <c r="W447" s="16" t="s">
        <v>459</v>
      </c>
      <c r="X447" s="16" t="s">
        <v>181</v>
      </c>
      <c r="Y447" s="100"/>
      <c r="Z447" s="16" t="s">
        <v>181</v>
      </c>
    </row>
    <row r="448">
      <c r="A448" s="16">
        <v>12938.0</v>
      </c>
      <c r="B448" s="16" t="s">
        <v>2185</v>
      </c>
      <c r="C448" s="16">
        <v>0.49</v>
      </c>
      <c r="D448" s="174" t="s">
        <v>2186</v>
      </c>
      <c r="E448" s="16"/>
      <c r="F448" s="16">
        <v>547.0</v>
      </c>
      <c r="G448" s="16" t="s">
        <v>176</v>
      </c>
      <c r="H448" s="16" t="s">
        <v>24</v>
      </c>
      <c r="I448" s="16"/>
      <c r="J448" s="16"/>
      <c r="K448" s="16"/>
      <c r="L448" s="16"/>
      <c r="M448" s="16"/>
      <c r="N448" s="16"/>
      <c r="O448" s="16"/>
      <c r="P448" s="16"/>
      <c r="Q448" s="16"/>
      <c r="R448" s="16"/>
      <c r="S448" s="16">
        <v>-2.0</v>
      </c>
      <c r="T448" s="16"/>
      <c r="U448" s="16" t="s">
        <v>2187</v>
      </c>
      <c r="V448" s="16" t="s">
        <v>2188</v>
      </c>
      <c r="W448" s="16" t="s">
        <v>188</v>
      </c>
      <c r="X448" s="16" t="s">
        <v>181</v>
      </c>
      <c r="Y448" s="100"/>
      <c r="Z448" s="16" t="s">
        <v>181</v>
      </c>
    </row>
    <row r="449">
      <c r="A449" s="16">
        <v>12939.0</v>
      </c>
      <c r="B449" s="16" t="s">
        <v>2189</v>
      </c>
      <c r="C449" s="16">
        <v>0.0</v>
      </c>
      <c r="D449" s="174" t="s">
        <v>2190</v>
      </c>
      <c r="E449" s="16"/>
      <c r="F449" s="16">
        <v>547.0</v>
      </c>
      <c r="G449" s="16" t="s">
        <v>176</v>
      </c>
      <c r="H449" s="16" t="s">
        <v>16</v>
      </c>
      <c r="I449" s="16"/>
      <c r="J449" s="16"/>
      <c r="K449" s="16"/>
      <c r="L449" s="16"/>
      <c r="M449" s="16"/>
      <c r="N449" s="16"/>
      <c r="O449" s="16"/>
      <c r="P449" s="16"/>
      <c r="Q449" s="16"/>
      <c r="R449" s="16"/>
      <c r="S449" s="16">
        <v>-2.0</v>
      </c>
      <c r="T449" s="16"/>
      <c r="U449" s="16" t="s">
        <v>2191</v>
      </c>
      <c r="V449" s="16" t="s">
        <v>2192</v>
      </c>
      <c r="W449" s="16" t="s">
        <v>942</v>
      </c>
      <c r="X449" s="16" t="s">
        <v>181</v>
      </c>
      <c r="Y449" s="100"/>
      <c r="Z449" s="16" t="s">
        <v>181</v>
      </c>
    </row>
    <row r="450">
      <c r="A450" s="16">
        <v>12940.0</v>
      </c>
      <c r="B450" s="16" t="s">
        <v>2193</v>
      </c>
      <c r="C450" s="16">
        <v>0.0</v>
      </c>
      <c r="D450" s="174" t="s">
        <v>2194</v>
      </c>
      <c r="E450" s="16"/>
      <c r="F450" s="16">
        <v>547.0</v>
      </c>
      <c r="G450" s="16" t="s">
        <v>176</v>
      </c>
      <c r="H450" s="16" t="s">
        <v>25</v>
      </c>
      <c r="I450" s="16"/>
      <c r="J450" s="16"/>
      <c r="K450" s="16"/>
      <c r="L450" s="16"/>
      <c r="M450" s="16"/>
      <c r="N450" s="16"/>
      <c r="O450" s="16"/>
      <c r="P450" s="16"/>
      <c r="Q450" s="16"/>
      <c r="R450" s="16"/>
      <c r="S450" s="16">
        <v>-2.0</v>
      </c>
      <c r="T450" s="16"/>
      <c r="U450" s="16" t="s">
        <v>2195</v>
      </c>
      <c r="V450" s="16" t="s">
        <v>2196</v>
      </c>
      <c r="W450" s="16" t="s">
        <v>199</v>
      </c>
      <c r="X450" s="16" t="s">
        <v>181</v>
      </c>
      <c r="Y450" s="100"/>
      <c r="Z450" s="16" t="s">
        <v>181</v>
      </c>
    </row>
    <row r="451">
      <c r="A451" s="16">
        <v>12941.0</v>
      </c>
      <c r="B451" s="16" t="s">
        <v>2197</v>
      </c>
      <c r="C451" s="16">
        <v>1.26</v>
      </c>
      <c r="D451" s="174" t="s">
        <v>2198</v>
      </c>
      <c r="E451" s="16"/>
      <c r="F451" s="16">
        <v>560.0</v>
      </c>
      <c r="G451" s="16" t="s">
        <v>245</v>
      </c>
      <c r="H451" s="16" t="s">
        <v>18</v>
      </c>
      <c r="I451" s="16" t="s">
        <v>15</v>
      </c>
      <c r="J451" s="16" t="s">
        <v>14</v>
      </c>
      <c r="K451" s="16"/>
      <c r="L451" s="16"/>
      <c r="M451" s="16"/>
      <c r="N451" s="16"/>
      <c r="O451" s="16"/>
      <c r="P451" s="16"/>
      <c r="Q451" s="16"/>
      <c r="R451" s="16"/>
      <c r="S451" s="16">
        <v>-2.0</v>
      </c>
      <c r="T451" s="16"/>
      <c r="U451" s="16" t="s">
        <v>2199</v>
      </c>
      <c r="V451" s="16" t="s">
        <v>2200</v>
      </c>
      <c r="W451" s="16" t="s">
        <v>443</v>
      </c>
      <c r="X451" s="16" t="s">
        <v>181</v>
      </c>
      <c r="Y451" s="100"/>
      <c r="Z451" s="16" t="s">
        <v>181</v>
      </c>
    </row>
    <row r="452">
      <c r="A452" s="16">
        <v>12942.0</v>
      </c>
      <c r="B452" s="16" t="s">
        <v>2201</v>
      </c>
      <c r="C452" s="16">
        <v>0.0</v>
      </c>
      <c r="D452" s="174" t="s">
        <v>2202</v>
      </c>
      <c r="E452" s="16"/>
      <c r="F452" s="16">
        <v>547.0</v>
      </c>
      <c r="G452" s="16" t="s">
        <v>176</v>
      </c>
      <c r="H452" s="16" t="s">
        <v>13</v>
      </c>
      <c r="I452" s="16" t="s">
        <v>15</v>
      </c>
      <c r="J452" s="16"/>
      <c r="K452" s="16"/>
      <c r="L452" s="16"/>
      <c r="M452" s="16"/>
      <c r="N452" s="16"/>
      <c r="O452" s="16"/>
      <c r="P452" s="16"/>
      <c r="Q452" s="16"/>
      <c r="R452" s="16"/>
      <c r="S452" s="16">
        <v>-2.0</v>
      </c>
      <c r="T452" s="16"/>
      <c r="U452" s="16" t="s">
        <v>2203</v>
      </c>
      <c r="V452" s="16" t="s">
        <v>2204</v>
      </c>
      <c r="W452" s="16" t="s">
        <v>399</v>
      </c>
      <c r="X452" s="16" t="s">
        <v>181</v>
      </c>
      <c r="Y452" s="100"/>
      <c r="Z452" s="16" t="s">
        <v>181</v>
      </c>
    </row>
    <row r="453">
      <c r="A453" s="16">
        <v>12943.0</v>
      </c>
      <c r="B453" s="16" t="s">
        <v>2205</v>
      </c>
      <c r="C453" s="16">
        <v>0.29</v>
      </c>
      <c r="D453" s="174" t="s">
        <v>2206</v>
      </c>
      <c r="E453" s="16"/>
      <c r="F453" s="16">
        <v>547.0</v>
      </c>
      <c r="G453" s="16" t="s">
        <v>176</v>
      </c>
      <c r="H453" s="16" t="s">
        <v>51</v>
      </c>
      <c r="I453" s="16"/>
      <c r="J453" s="16"/>
      <c r="K453" s="16"/>
      <c r="L453" s="16"/>
      <c r="M453" s="16"/>
      <c r="N453" s="16"/>
      <c r="O453" s="16"/>
      <c r="P453" s="16"/>
      <c r="Q453" s="16"/>
      <c r="R453" s="16"/>
      <c r="S453" s="16">
        <v>-2.0</v>
      </c>
      <c r="T453" s="16"/>
      <c r="U453" s="16" t="s">
        <v>2207</v>
      </c>
      <c r="V453" s="16" t="s">
        <v>2208</v>
      </c>
      <c r="W453" s="16" t="s">
        <v>491</v>
      </c>
      <c r="X453" s="16" t="s">
        <v>181</v>
      </c>
      <c r="Y453" s="100"/>
      <c r="Z453" s="16" t="s">
        <v>181</v>
      </c>
    </row>
    <row r="454">
      <c r="A454" s="16">
        <v>12944.0</v>
      </c>
      <c r="B454" s="16" t="s">
        <v>2209</v>
      </c>
      <c r="C454" s="16">
        <v>2.25</v>
      </c>
      <c r="D454" s="174" t="s">
        <v>2210</v>
      </c>
      <c r="E454" s="16"/>
      <c r="F454" s="16">
        <v>547.0</v>
      </c>
      <c r="G454" s="16" t="s">
        <v>176</v>
      </c>
      <c r="H454" s="16" t="s">
        <v>25</v>
      </c>
      <c r="I454" s="16"/>
      <c r="J454" s="16"/>
      <c r="K454" s="16"/>
      <c r="L454" s="16"/>
      <c r="M454" s="16"/>
      <c r="N454" s="16"/>
      <c r="O454" s="16"/>
      <c r="P454" s="16"/>
      <c r="Q454" s="16"/>
      <c r="R454" s="16"/>
      <c r="S454" s="16">
        <v>-2.0</v>
      </c>
      <c r="T454" s="16"/>
      <c r="U454" s="16" t="s">
        <v>2211</v>
      </c>
      <c r="V454" s="16" t="s">
        <v>2212</v>
      </c>
      <c r="W454" s="16" t="s">
        <v>199</v>
      </c>
      <c r="X454" s="16" t="s">
        <v>181</v>
      </c>
      <c r="Y454" s="100"/>
      <c r="Z454" s="16" t="s">
        <v>181</v>
      </c>
    </row>
    <row r="455">
      <c r="A455" s="16">
        <v>12945.0</v>
      </c>
      <c r="B455" s="16" t="s">
        <v>2213</v>
      </c>
      <c r="C455" s="16">
        <v>1.45</v>
      </c>
      <c r="D455" s="174" t="s">
        <v>2214</v>
      </c>
      <c r="E455" s="16"/>
      <c r="F455" s="16">
        <v>560.0</v>
      </c>
      <c r="G455" s="16" t="s">
        <v>245</v>
      </c>
      <c r="H455" s="16" t="s">
        <v>25</v>
      </c>
      <c r="I455" s="16" t="s">
        <v>26</v>
      </c>
      <c r="J455" s="16"/>
      <c r="K455" s="16"/>
      <c r="L455" s="16"/>
      <c r="M455" s="16"/>
      <c r="N455" s="16"/>
      <c r="O455" s="16"/>
      <c r="P455" s="16"/>
      <c r="Q455" s="16"/>
      <c r="R455" s="16"/>
      <c r="S455" s="16">
        <v>-2.0</v>
      </c>
      <c r="T455" s="16"/>
      <c r="U455" s="16" t="s">
        <v>2215</v>
      </c>
      <c r="V455" s="16" t="s">
        <v>2216</v>
      </c>
      <c r="W455" s="16" t="s">
        <v>491</v>
      </c>
      <c r="X455" s="16" t="s">
        <v>181</v>
      </c>
      <c r="Y455" s="100"/>
      <c r="Z455" s="16" t="s">
        <v>181</v>
      </c>
    </row>
    <row r="456">
      <c r="A456" s="16">
        <v>12946.0</v>
      </c>
      <c r="B456" s="16" t="s">
        <v>2217</v>
      </c>
      <c r="C456" s="16">
        <v>0.98</v>
      </c>
      <c r="D456" s="174" t="s">
        <v>2218</v>
      </c>
      <c r="E456" s="16"/>
      <c r="F456" s="16">
        <v>547.0</v>
      </c>
      <c r="G456" s="16" t="s">
        <v>176</v>
      </c>
      <c r="H456" s="16" t="s">
        <v>14</v>
      </c>
      <c r="I456" s="16" t="s">
        <v>19</v>
      </c>
      <c r="J456" s="16" t="s">
        <v>17</v>
      </c>
      <c r="K456" s="16"/>
      <c r="L456" s="16"/>
      <c r="M456" s="16"/>
      <c r="N456" s="16"/>
      <c r="O456" s="16"/>
      <c r="P456" s="16"/>
      <c r="Q456" s="16"/>
      <c r="R456" s="16"/>
      <c r="S456" s="16">
        <v>-2.0</v>
      </c>
      <c r="T456" s="16"/>
      <c r="U456" s="16" t="s">
        <v>2219</v>
      </c>
      <c r="V456" s="16" t="s">
        <v>2220</v>
      </c>
      <c r="W456" s="16" t="s">
        <v>722</v>
      </c>
      <c r="X456" s="16" t="s">
        <v>181</v>
      </c>
      <c r="Y456" s="100"/>
      <c r="Z456" s="16" t="s">
        <v>181</v>
      </c>
    </row>
    <row r="457">
      <c r="A457" s="16">
        <v>12947.0</v>
      </c>
      <c r="B457" s="16" t="s">
        <v>2221</v>
      </c>
      <c r="C457" s="16">
        <v>2.05</v>
      </c>
      <c r="D457" s="174" t="s">
        <v>2222</v>
      </c>
      <c r="E457" s="16"/>
      <c r="F457" s="16">
        <v>547.0</v>
      </c>
      <c r="G457" s="16" t="s">
        <v>176</v>
      </c>
      <c r="H457" s="16" t="s">
        <v>24</v>
      </c>
      <c r="I457" s="16"/>
      <c r="J457" s="16"/>
      <c r="K457" s="16"/>
      <c r="L457" s="16"/>
      <c r="M457" s="16"/>
      <c r="N457" s="16"/>
      <c r="O457" s="16"/>
      <c r="P457" s="16"/>
      <c r="Q457" s="16"/>
      <c r="R457" s="16"/>
      <c r="S457" s="16">
        <v>-2.0</v>
      </c>
      <c r="T457" s="16"/>
      <c r="U457" s="16" t="s">
        <v>2223</v>
      </c>
      <c r="V457" s="16" t="s">
        <v>2224</v>
      </c>
      <c r="W457" s="16" t="s">
        <v>459</v>
      </c>
      <c r="X457" s="16" t="s">
        <v>181</v>
      </c>
      <c r="Y457" s="100"/>
      <c r="Z457" s="16" t="s">
        <v>181</v>
      </c>
    </row>
    <row r="458">
      <c r="A458" s="16">
        <v>12948.0</v>
      </c>
      <c r="B458" s="16" t="s">
        <v>2225</v>
      </c>
      <c r="C458" s="16">
        <v>0.0</v>
      </c>
      <c r="D458" s="174" t="s">
        <v>2226</v>
      </c>
      <c r="E458" s="16"/>
      <c r="F458" s="16">
        <v>547.0</v>
      </c>
      <c r="G458" s="16" t="s">
        <v>176</v>
      </c>
      <c r="H458" s="16" t="s">
        <v>15</v>
      </c>
      <c r="I458" s="16" t="s">
        <v>13</v>
      </c>
      <c r="J458" s="16"/>
      <c r="K458" s="16"/>
      <c r="L458" s="16"/>
      <c r="M458" s="16"/>
      <c r="N458" s="16"/>
      <c r="O458" s="16"/>
      <c r="P458" s="16"/>
      <c r="Q458" s="16"/>
      <c r="R458" s="16"/>
      <c r="S458" s="16">
        <v>-2.0</v>
      </c>
      <c r="T458" s="16"/>
      <c r="U458" s="16" t="s">
        <v>2227</v>
      </c>
      <c r="V458" s="16" t="s">
        <v>2228</v>
      </c>
      <c r="W458" s="16" t="s">
        <v>661</v>
      </c>
      <c r="X458" s="16" t="s">
        <v>181</v>
      </c>
      <c r="Y458" s="100"/>
      <c r="Z458" s="16" t="s">
        <v>181</v>
      </c>
    </row>
    <row r="459">
      <c r="A459" s="16">
        <v>12949.0</v>
      </c>
      <c r="B459" s="16" t="s">
        <v>2229</v>
      </c>
      <c r="C459" s="16">
        <v>0.14</v>
      </c>
      <c r="D459" s="174" t="s">
        <v>2230</v>
      </c>
      <c r="E459" s="16"/>
      <c r="F459" s="16">
        <v>547.0</v>
      </c>
      <c r="G459" s="16" t="s">
        <v>176</v>
      </c>
      <c r="H459" s="16" t="s">
        <v>19</v>
      </c>
      <c r="I459" s="16" t="s">
        <v>17</v>
      </c>
      <c r="J459" s="16" t="s">
        <v>13</v>
      </c>
      <c r="K459" s="16"/>
      <c r="L459" s="16"/>
      <c r="M459" s="16"/>
      <c r="N459" s="16"/>
      <c r="O459" s="16"/>
      <c r="P459" s="16"/>
      <c r="Q459" s="16"/>
      <c r="R459" s="16"/>
      <c r="S459" s="16">
        <v>-2.0</v>
      </c>
      <c r="T459" s="16"/>
      <c r="U459" s="16" t="s">
        <v>2231</v>
      </c>
      <c r="V459" s="16" t="s">
        <v>2232</v>
      </c>
      <c r="W459" s="16" t="s">
        <v>199</v>
      </c>
      <c r="X459" s="16" t="s">
        <v>181</v>
      </c>
      <c r="Y459" s="100"/>
      <c r="Z459" s="16" t="s">
        <v>181</v>
      </c>
    </row>
    <row r="460">
      <c r="A460" s="16">
        <v>12950.0</v>
      </c>
      <c r="B460" s="16" t="s">
        <v>2233</v>
      </c>
      <c r="C460" s="16">
        <v>0.94</v>
      </c>
      <c r="D460" s="174" t="s">
        <v>2234</v>
      </c>
      <c r="E460" s="16"/>
      <c r="F460" s="16">
        <v>557.0</v>
      </c>
      <c r="G460" s="16" t="s">
        <v>232</v>
      </c>
      <c r="H460" s="16" t="s">
        <v>25</v>
      </c>
      <c r="I460" s="16" t="s">
        <v>26</v>
      </c>
      <c r="J460" s="16"/>
      <c r="K460" s="16"/>
      <c r="L460" s="16"/>
      <c r="M460" s="16"/>
      <c r="N460" s="16"/>
      <c r="O460" s="16"/>
      <c r="P460" s="16"/>
      <c r="Q460" s="16"/>
      <c r="R460" s="16"/>
      <c r="S460" s="16">
        <v>-2.0</v>
      </c>
      <c r="T460" s="16"/>
      <c r="U460" s="16" t="s">
        <v>2235</v>
      </c>
      <c r="V460" s="16" t="s">
        <v>2236</v>
      </c>
      <c r="W460" s="16" t="s">
        <v>179</v>
      </c>
      <c r="X460" s="16" t="s">
        <v>181</v>
      </c>
      <c r="Y460" s="100"/>
      <c r="Z460" s="16" t="s">
        <v>181</v>
      </c>
    </row>
    <row r="461">
      <c r="A461" s="16">
        <v>12951.0</v>
      </c>
      <c r="B461" s="16" t="s">
        <v>2237</v>
      </c>
      <c r="C461" s="16">
        <v>1.83</v>
      </c>
      <c r="D461" s="174" t="s">
        <v>2238</v>
      </c>
      <c r="E461" s="16"/>
      <c r="F461" s="16">
        <v>563.0</v>
      </c>
      <c r="G461" s="16" t="s">
        <v>260</v>
      </c>
      <c r="H461" s="16" t="s">
        <v>16</v>
      </c>
      <c r="I461" s="16"/>
      <c r="J461" s="16"/>
      <c r="K461" s="16"/>
      <c r="L461" s="16"/>
      <c r="M461" s="16"/>
      <c r="N461" s="16"/>
      <c r="O461" s="16"/>
      <c r="P461" s="16"/>
      <c r="Q461" s="16"/>
      <c r="R461" s="16"/>
      <c r="S461" s="16">
        <v>-2.0</v>
      </c>
      <c r="T461" s="16"/>
      <c r="U461" s="16" t="s">
        <v>2239</v>
      </c>
      <c r="V461" s="16" t="s">
        <v>2240</v>
      </c>
      <c r="W461" s="16" t="s">
        <v>188</v>
      </c>
      <c r="X461" s="16" t="s">
        <v>181</v>
      </c>
      <c r="Y461" s="100"/>
      <c r="Z461" s="16" t="s">
        <v>181</v>
      </c>
    </row>
    <row r="462">
      <c r="A462" s="16">
        <v>12952.0</v>
      </c>
      <c r="B462" s="16" t="s">
        <v>2241</v>
      </c>
      <c r="C462" s="16">
        <v>0.48</v>
      </c>
      <c r="D462" s="174" t="s">
        <v>2242</v>
      </c>
      <c r="E462" s="16"/>
      <c r="F462" s="16">
        <v>547.0</v>
      </c>
      <c r="G462" s="16" t="s">
        <v>176</v>
      </c>
      <c r="H462" s="16" t="s">
        <v>25</v>
      </c>
      <c r="I462" s="16"/>
      <c r="J462" s="16"/>
      <c r="K462" s="16"/>
      <c r="L462" s="16"/>
      <c r="M462" s="16"/>
      <c r="N462" s="16"/>
      <c r="O462" s="16"/>
      <c r="P462" s="16"/>
      <c r="Q462" s="16"/>
      <c r="R462" s="16"/>
      <c r="S462" s="16">
        <v>-2.0</v>
      </c>
      <c r="T462" s="16"/>
      <c r="U462" s="16" t="s">
        <v>2243</v>
      </c>
      <c r="V462" s="16" t="s">
        <v>2244</v>
      </c>
      <c r="W462" s="16" t="s">
        <v>360</v>
      </c>
      <c r="X462" s="16" t="s">
        <v>181</v>
      </c>
      <c r="Y462" s="100"/>
      <c r="Z462" s="16" t="s">
        <v>181</v>
      </c>
    </row>
    <row r="463">
      <c r="A463" s="16">
        <v>12953.0</v>
      </c>
      <c r="B463" s="16" t="s">
        <v>2245</v>
      </c>
      <c r="C463" s="16">
        <v>1.14</v>
      </c>
      <c r="D463" s="174" t="s">
        <v>2246</v>
      </c>
      <c r="E463" s="16"/>
      <c r="F463" s="16">
        <v>593.0</v>
      </c>
      <c r="G463" s="16" t="s">
        <v>272</v>
      </c>
      <c r="H463" s="16" t="s">
        <v>17</v>
      </c>
      <c r="I463" s="16" t="s">
        <v>19</v>
      </c>
      <c r="J463" s="16"/>
      <c r="K463" s="16"/>
      <c r="L463" s="16"/>
      <c r="M463" s="16"/>
      <c r="N463" s="16"/>
      <c r="O463" s="16"/>
      <c r="P463" s="16"/>
      <c r="Q463" s="16"/>
      <c r="R463" s="16"/>
      <c r="S463" s="16">
        <v>-2.0</v>
      </c>
      <c r="T463" s="174" t="s">
        <v>2247</v>
      </c>
      <c r="U463" s="16" t="s">
        <v>2248</v>
      </c>
      <c r="V463" s="16" t="s">
        <v>2249</v>
      </c>
      <c r="W463" s="16" t="s">
        <v>443</v>
      </c>
      <c r="X463" s="16" t="s">
        <v>181</v>
      </c>
      <c r="Y463" s="100"/>
      <c r="Z463" s="16" t="s">
        <v>181</v>
      </c>
    </row>
    <row r="464">
      <c r="A464" s="16">
        <v>12954.0</v>
      </c>
      <c r="B464" s="16" t="s">
        <v>2250</v>
      </c>
      <c r="C464" s="16">
        <v>1.01</v>
      </c>
      <c r="D464" s="174" t="s">
        <v>2251</v>
      </c>
      <c r="E464" s="16"/>
      <c r="F464" s="16">
        <v>547.0</v>
      </c>
      <c r="G464" s="16" t="s">
        <v>176</v>
      </c>
      <c r="H464" s="16" t="s">
        <v>24</v>
      </c>
      <c r="I464" s="16"/>
      <c r="J464" s="16"/>
      <c r="K464" s="16"/>
      <c r="L464" s="16"/>
      <c r="M464" s="16"/>
      <c r="N464" s="16"/>
      <c r="O464" s="16"/>
      <c r="P464" s="16"/>
      <c r="Q464" s="16"/>
      <c r="R464" s="16"/>
      <c r="S464" s="16">
        <v>-2.0</v>
      </c>
      <c r="T464" s="16"/>
      <c r="U464" s="16" t="s">
        <v>2252</v>
      </c>
      <c r="V464" s="16" t="s">
        <v>2253</v>
      </c>
      <c r="W464" s="16" t="s">
        <v>942</v>
      </c>
      <c r="X464" s="16" t="s">
        <v>181</v>
      </c>
      <c r="Y464" s="100"/>
      <c r="Z464" s="16" t="s">
        <v>181</v>
      </c>
    </row>
    <row r="465">
      <c r="A465" s="16">
        <v>12955.0</v>
      </c>
      <c r="B465" s="16" t="s">
        <v>2254</v>
      </c>
      <c r="C465" s="16">
        <v>0.38</v>
      </c>
      <c r="D465" s="174" t="s">
        <v>2255</v>
      </c>
      <c r="E465" s="16"/>
      <c r="F465" s="16">
        <v>575.0</v>
      </c>
      <c r="G465" s="16" t="s">
        <v>212</v>
      </c>
      <c r="H465" s="16" t="s">
        <v>19</v>
      </c>
      <c r="I465" s="16" t="s">
        <v>17</v>
      </c>
      <c r="J465" s="16"/>
      <c r="K465" s="16"/>
      <c r="L465" s="16"/>
      <c r="M465" s="16"/>
      <c r="N465" s="16"/>
      <c r="O465" s="16"/>
      <c r="P465" s="16"/>
      <c r="Q465" s="16"/>
      <c r="R465" s="16"/>
      <c r="S465" s="16">
        <v>-2.0</v>
      </c>
      <c r="T465" s="16"/>
      <c r="U465" s="16" t="s">
        <v>2256</v>
      </c>
      <c r="V465" s="16" t="s">
        <v>2257</v>
      </c>
      <c r="W465" s="16" t="s">
        <v>188</v>
      </c>
      <c r="X465" s="16" t="s">
        <v>181</v>
      </c>
      <c r="Y465" s="100"/>
      <c r="Z465" s="16" t="s">
        <v>181</v>
      </c>
    </row>
    <row r="466">
      <c r="A466" s="16">
        <v>12956.0</v>
      </c>
      <c r="B466" s="16" t="s">
        <v>2258</v>
      </c>
      <c r="C466" s="16">
        <v>1.95</v>
      </c>
      <c r="D466" s="174" t="s">
        <v>2259</v>
      </c>
      <c r="E466" s="16"/>
      <c r="F466" s="16">
        <v>566.0</v>
      </c>
      <c r="G466" s="16" t="s">
        <v>277</v>
      </c>
      <c r="H466" s="16" t="s">
        <v>25</v>
      </c>
      <c r="I466" s="16" t="s">
        <v>26</v>
      </c>
      <c r="J466" s="16"/>
      <c r="K466" s="16"/>
      <c r="L466" s="16"/>
      <c r="M466" s="16"/>
      <c r="N466" s="16"/>
      <c r="O466" s="16"/>
      <c r="P466" s="16"/>
      <c r="Q466" s="16"/>
      <c r="R466" s="16"/>
      <c r="S466" s="16">
        <v>-2.0</v>
      </c>
      <c r="T466" s="174" t="s">
        <v>2260</v>
      </c>
      <c r="U466" s="16" t="s">
        <v>2261</v>
      </c>
      <c r="V466" s="16" t="s">
        <v>2262</v>
      </c>
      <c r="W466" s="16" t="s">
        <v>332</v>
      </c>
      <c r="X466" s="16" t="s">
        <v>181</v>
      </c>
      <c r="Y466" s="100"/>
      <c r="Z466" s="16" t="s">
        <v>181</v>
      </c>
    </row>
    <row r="467">
      <c r="A467" s="16">
        <v>12957.0</v>
      </c>
      <c r="B467" s="16" t="s">
        <v>2263</v>
      </c>
      <c r="C467" s="16">
        <v>0.18</v>
      </c>
      <c r="D467" s="174" t="s">
        <v>2264</v>
      </c>
      <c r="E467" s="16"/>
      <c r="F467" s="16">
        <v>584.0</v>
      </c>
      <c r="G467" s="16" t="s">
        <v>361</v>
      </c>
      <c r="H467" s="16" t="s">
        <v>25</v>
      </c>
      <c r="I467" s="16" t="s">
        <v>26</v>
      </c>
      <c r="J467" s="16"/>
      <c r="K467" s="16"/>
      <c r="L467" s="16"/>
      <c r="M467" s="16"/>
      <c r="N467" s="16"/>
      <c r="O467" s="16"/>
      <c r="P467" s="16"/>
      <c r="Q467" s="16"/>
      <c r="R467" s="16"/>
      <c r="S467" s="16">
        <v>-2.0</v>
      </c>
      <c r="T467" s="16"/>
      <c r="U467" s="16" t="s">
        <v>2265</v>
      </c>
      <c r="V467" s="16" t="s">
        <v>2266</v>
      </c>
      <c r="W467" s="16" t="s">
        <v>661</v>
      </c>
      <c r="X467" s="16" t="s">
        <v>181</v>
      </c>
      <c r="Y467" s="100"/>
      <c r="Z467" s="16" t="s">
        <v>181</v>
      </c>
    </row>
    <row r="468">
      <c r="A468" s="16">
        <v>12958.0</v>
      </c>
      <c r="B468" s="16" t="s">
        <v>2267</v>
      </c>
      <c r="C468" s="16">
        <v>1.46</v>
      </c>
      <c r="D468" s="174" t="s">
        <v>2268</v>
      </c>
      <c r="E468" s="16"/>
      <c r="F468" s="16">
        <v>554.0</v>
      </c>
      <c r="G468" s="16" t="s">
        <v>215</v>
      </c>
      <c r="H468" s="16" t="s">
        <v>19</v>
      </c>
      <c r="I468" s="16" t="s">
        <v>13</v>
      </c>
      <c r="J468" s="16"/>
      <c r="K468" s="16"/>
      <c r="L468" s="16"/>
      <c r="M468" s="16"/>
      <c r="N468" s="16"/>
      <c r="O468" s="16"/>
      <c r="P468" s="16"/>
      <c r="Q468" s="16"/>
      <c r="R468" s="16"/>
      <c r="S468" s="16">
        <v>-2.0</v>
      </c>
      <c r="T468" s="16"/>
      <c r="U468" s="16" t="s">
        <v>2269</v>
      </c>
      <c r="V468" s="16" t="s">
        <v>2270</v>
      </c>
      <c r="W468" s="16" t="s">
        <v>332</v>
      </c>
      <c r="X468" s="16" t="s">
        <v>181</v>
      </c>
      <c r="Y468" s="100"/>
      <c r="Z468" s="16" t="s">
        <v>181</v>
      </c>
    </row>
    <row r="469">
      <c r="A469" s="16">
        <v>12959.0</v>
      </c>
      <c r="B469" s="16" t="s">
        <v>2271</v>
      </c>
      <c r="C469" s="16">
        <v>0.2</v>
      </c>
      <c r="D469" s="174" t="s">
        <v>2272</v>
      </c>
      <c r="E469" s="16"/>
      <c r="F469" s="16">
        <v>547.0</v>
      </c>
      <c r="G469" s="16" t="s">
        <v>176</v>
      </c>
      <c r="H469" s="16" t="s">
        <v>25</v>
      </c>
      <c r="I469" s="16"/>
      <c r="J469" s="16"/>
      <c r="K469" s="16"/>
      <c r="L469" s="16"/>
      <c r="M469" s="16"/>
      <c r="N469" s="16"/>
      <c r="O469" s="16"/>
      <c r="P469" s="16"/>
      <c r="Q469" s="16"/>
      <c r="R469" s="16"/>
      <c r="S469" s="16">
        <v>-2.0</v>
      </c>
      <c r="T469" s="16"/>
      <c r="U469" s="16" t="s">
        <v>2273</v>
      </c>
      <c r="V469" s="16" t="s">
        <v>2274</v>
      </c>
      <c r="W469" s="16" t="s">
        <v>332</v>
      </c>
      <c r="X469" s="16" t="s">
        <v>181</v>
      </c>
      <c r="Y469" s="100"/>
      <c r="Z469" s="16" t="s">
        <v>181</v>
      </c>
    </row>
    <row r="470">
      <c r="A470" s="16">
        <v>12960.0</v>
      </c>
      <c r="B470" s="16" t="s">
        <v>2275</v>
      </c>
      <c r="C470" s="16">
        <v>0.0</v>
      </c>
      <c r="D470" s="174" t="s">
        <v>2276</v>
      </c>
      <c r="E470" s="16"/>
      <c r="F470" s="16">
        <v>547.0</v>
      </c>
      <c r="G470" s="16" t="s">
        <v>176</v>
      </c>
      <c r="H470" s="16" t="s">
        <v>18</v>
      </c>
      <c r="I470" s="16" t="s">
        <v>19</v>
      </c>
      <c r="J470" s="16" t="s">
        <v>14</v>
      </c>
      <c r="K470" s="16"/>
      <c r="L470" s="16"/>
      <c r="M470" s="16"/>
      <c r="N470" s="16"/>
      <c r="O470" s="16"/>
      <c r="P470" s="16"/>
      <c r="Q470" s="16"/>
      <c r="R470" s="16"/>
      <c r="S470" s="16">
        <v>-2.0</v>
      </c>
      <c r="T470" s="16"/>
      <c r="U470" s="16" t="s">
        <v>2277</v>
      </c>
      <c r="V470" s="16" t="s">
        <v>2278</v>
      </c>
      <c r="W470" s="16" t="s">
        <v>276</v>
      </c>
      <c r="X470" s="16" t="s">
        <v>181</v>
      </c>
      <c r="Y470" s="100"/>
      <c r="Z470" s="16" t="s">
        <v>181</v>
      </c>
    </row>
    <row r="471">
      <c r="A471" s="16">
        <v>12961.0</v>
      </c>
      <c r="B471" s="16" t="s">
        <v>2279</v>
      </c>
      <c r="C471" s="16">
        <v>0.95</v>
      </c>
      <c r="D471" s="174" t="s">
        <v>2280</v>
      </c>
      <c r="E471" s="16"/>
      <c r="F471" s="16">
        <v>548.0</v>
      </c>
      <c r="G471" s="16" t="s">
        <v>126</v>
      </c>
      <c r="H471" s="16" t="s">
        <v>18</v>
      </c>
      <c r="I471" s="16"/>
      <c r="J471" s="16"/>
      <c r="K471" s="16"/>
      <c r="L471" s="16"/>
      <c r="M471" s="16"/>
      <c r="N471" s="16"/>
      <c r="O471" s="16"/>
      <c r="P471" s="16"/>
      <c r="Q471" s="16"/>
      <c r="R471" s="16"/>
      <c r="S471" s="16">
        <v>-2.0</v>
      </c>
      <c r="T471" s="16"/>
      <c r="U471" s="16" t="s">
        <v>2281</v>
      </c>
      <c r="V471" s="16" t="s">
        <v>2282</v>
      </c>
      <c r="W471" s="16" t="s">
        <v>188</v>
      </c>
      <c r="X471" s="16" t="s">
        <v>181</v>
      </c>
      <c r="Y471" s="100"/>
      <c r="Z471" s="16" t="s">
        <v>181</v>
      </c>
    </row>
    <row r="472">
      <c r="A472" s="16">
        <v>12962.0</v>
      </c>
      <c r="B472" s="16" t="s">
        <v>49</v>
      </c>
      <c r="C472" s="16">
        <v>0.58</v>
      </c>
      <c r="D472" s="174" t="s">
        <v>2283</v>
      </c>
      <c r="E472" s="16"/>
      <c r="F472" s="16">
        <v>547.0</v>
      </c>
      <c r="G472" s="16" t="s">
        <v>176</v>
      </c>
      <c r="H472" s="16" t="s">
        <v>19</v>
      </c>
      <c r="I472" s="16" t="s">
        <v>18</v>
      </c>
      <c r="J472" s="16"/>
      <c r="K472" s="16"/>
      <c r="L472" s="16"/>
      <c r="M472" s="16"/>
      <c r="N472" s="16"/>
      <c r="O472" s="16"/>
      <c r="P472" s="16"/>
      <c r="Q472" s="16"/>
      <c r="R472" s="16"/>
      <c r="S472" s="16">
        <v>-2.0</v>
      </c>
      <c r="T472" s="16"/>
      <c r="U472" s="16" t="s">
        <v>2284</v>
      </c>
      <c r="V472" s="16" t="s">
        <v>2285</v>
      </c>
      <c r="W472" s="16" t="s">
        <v>722</v>
      </c>
      <c r="X472" s="16" t="s">
        <v>181</v>
      </c>
      <c r="Y472" s="100"/>
      <c r="Z472" s="16" t="s">
        <v>181</v>
      </c>
    </row>
    <row r="473">
      <c r="A473" s="16">
        <v>12963.0</v>
      </c>
      <c r="B473" s="16" t="s">
        <v>2286</v>
      </c>
      <c r="C473" s="16">
        <v>1.87</v>
      </c>
      <c r="D473" s="174" t="s">
        <v>2287</v>
      </c>
      <c r="E473" s="16"/>
      <c r="F473" s="16">
        <v>581.0</v>
      </c>
      <c r="G473" s="16" t="s">
        <v>346</v>
      </c>
      <c r="H473" s="16" t="s">
        <v>51</v>
      </c>
      <c r="I473" s="16"/>
      <c r="J473" s="16"/>
      <c r="K473" s="16"/>
      <c r="L473" s="16"/>
      <c r="M473" s="16"/>
      <c r="N473" s="16"/>
      <c r="O473" s="16"/>
      <c r="P473" s="16"/>
      <c r="Q473" s="16"/>
      <c r="R473" s="16"/>
      <c r="S473" s="16">
        <v>-2.0</v>
      </c>
      <c r="T473" s="16"/>
      <c r="U473" s="16" t="s">
        <v>2288</v>
      </c>
      <c r="V473" s="16" t="s">
        <v>2289</v>
      </c>
      <c r="W473" s="16" t="s">
        <v>491</v>
      </c>
      <c r="X473" s="16" t="s">
        <v>181</v>
      </c>
      <c r="Y473" s="100"/>
      <c r="Z473" s="16" t="s">
        <v>181</v>
      </c>
    </row>
    <row r="474">
      <c r="A474" s="16">
        <v>12964.0</v>
      </c>
      <c r="B474" s="16" t="s">
        <v>2290</v>
      </c>
      <c r="C474" s="16">
        <v>0.0</v>
      </c>
      <c r="D474" s="174" t="s">
        <v>2291</v>
      </c>
      <c r="E474" s="16"/>
      <c r="F474" s="16">
        <v>572.0</v>
      </c>
      <c r="G474" s="16" t="s">
        <v>306</v>
      </c>
      <c r="H474" s="16" t="s">
        <v>24</v>
      </c>
      <c r="I474" s="16" t="s">
        <v>25</v>
      </c>
      <c r="J474" s="16"/>
      <c r="K474" s="16"/>
      <c r="L474" s="16"/>
      <c r="M474" s="16"/>
      <c r="N474" s="16"/>
      <c r="O474" s="16"/>
      <c r="P474" s="16"/>
      <c r="Q474" s="16"/>
      <c r="R474" s="16"/>
      <c r="S474" s="16">
        <v>-2.0</v>
      </c>
      <c r="T474" s="16"/>
      <c r="U474" s="16" t="s">
        <v>2292</v>
      </c>
      <c r="V474" s="16" t="s">
        <v>2293</v>
      </c>
      <c r="W474" s="16" t="s">
        <v>478</v>
      </c>
      <c r="X474" s="16" t="s">
        <v>181</v>
      </c>
      <c r="Y474" s="100"/>
      <c r="Z474" s="16" t="s">
        <v>181</v>
      </c>
    </row>
    <row r="475">
      <c r="A475" s="16">
        <v>12965.0</v>
      </c>
      <c r="B475" s="16" t="s">
        <v>2294</v>
      </c>
      <c r="C475" s="16">
        <v>1.26</v>
      </c>
      <c r="D475" s="174" t="s">
        <v>2295</v>
      </c>
      <c r="E475" s="16"/>
      <c r="F475" s="16">
        <v>564.0</v>
      </c>
      <c r="G475" s="16" t="s">
        <v>2296</v>
      </c>
      <c r="H475" s="16" t="s">
        <v>25</v>
      </c>
      <c r="I475" s="16" t="s">
        <v>26</v>
      </c>
      <c r="J475" s="16"/>
      <c r="K475" s="16"/>
      <c r="L475" s="16"/>
      <c r="M475" s="16"/>
      <c r="N475" s="16"/>
      <c r="O475" s="16"/>
      <c r="P475" s="16"/>
      <c r="Q475" s="16"/>
      <c r="R475" s="16" t="s">
        <v>516</v>
      </c>
      <c r="S475" s="16">
        <v>-2.0</v>
      </c>
      <c r="T475" s="16"/>
      <c r="U475" s="16" t="s">
        <v>2297</v>
      </c>
      <c r="V475" s="16" t="s">
        <v>2298</v>
      </c>
      <c r="W475" s="16" t="s">
        <v>491</v>
      </c>
      <c r="X475" s="16" t="s">
        <v>181</v>
      </c>
      <c r="Y475" s="100"/>
      <c r="Z475" s="16" t="s">
        <v>181</v>
      </c>
    </row>
    <row r="476">
      <c r="A476" s="16">
        <v>12966.0</v>
      </c>
      <c r="B476" s="16" t="s">
        <v>2299</v>
      </c>
      <c r="C476" s="16">
        <v>0.0</v>
      </c>
      <c r="D476" s="174" t="s">
        <v>2300</v>
      </c>
      <c r="E476" s="16"/>
      <c r="F476" s="16">
        <v>547.0</v>
      </c>
      <c r="G476" s="16" t="s">
        <v>176</v>
      </c>
      <c r="H476" s="16" t="s">
        <v>25</v>
      </c>
      <c r="I476" s="16"/>
      <c r="J476" s="16"/>
      <c r="K476" s="16"/>
      <c r="L476" s="16"/>
      <c r="M476" s="16"/>
      <c r="N476" s="16"/>
      <c r="O476" s="16"/>
      <c r="P476" s="16"/>
      <c r="Q476" s="16"/>
      <c r="R476" s="16"/>
      <c r="S476" s="16">
        <v>-2.0</v>
      </c>
      <c r="T476" s="16"/>
      <c r="U476" s="16" t="s">
        <v>2301</v>
      </c>
      <c r="V476" s="16" t="s">
        <v>2302</v>
      </c>
      <c r="W476" s="16" t="s">
        <v>422</v>
      </c>
      <c r="X476" s="16" t="s">
        <v>181</v>
      </c>
      <c r="Y476" s="100"/>
      <c r="Z476" s="16" t="s">
        <v>181</v>
      </c>
    </row>
    <row r="477">
      <c r="A477" s="16">
        <v>12967.0</v>
      </c>
      <c r="B477" s="16" t="s">
        <v>2303</v>
      </c>
      <c r="C477" s="16">
        <v>0.48</v>
      </c>
      <c r="D477" s="174" t="s">
        <v>2304</v>
      </c>
      <c r="E477" s="16"/>
      <c r="F477" s="16">
        <v>548.0</v>
      </c>
      <c r="G477" s="16" t="s">
        <v>126</v>
      </c>
      <c r="H477" s="16" t="s">
        <v>24</v>
      </c>
      <c r="I477" s="16" t="s">
        <v>25</v>
      </c>
      <c r="J477" s="16" t="s">
        <v>26</v>
      </c>
      <c r="K477" s="16"/>
      <c r="L477" s="16"/>
      <c r="M477" s="16"/>
      <c r="N477" s="16"/>
      <c r="O477" s="16"/>
      <c r="P477" s="16"/>
      <c r="Q477" s="16"/>
      <c r="R477" s="16"/>
      <c r="S477" s="16">
        <v>-2.0</v>
      </c>
      <c r="T477" s="16"/>
      <c r="U477" s="16" t="s">
        <v>2305</v>
      </c>
      <c r="V477" s="16" t="s">
        <v>2306</v>
      </c>
      <c r="W477" s="16" t="s">
        <v>231</v>
      </c>
      <c r="X477" s="16" t="s">
        <v>181</v>
      </c>
      <c r="Y477" s="100"/>
      <c r="Z477" s="16" t="s">
        <v>181</v>
      </c>
    </row>
    <row r="478">
      <c r="A478" s="16">
        <v>12968.0</v>
      </c>
      <c r="B478" s="16" t="s">
        <v>2307</v>
      </c>
      <c r="C478" s="16">
        <v>0.92</v>
      </c>
      <c r="D478" s="174" t="s">
        <v>2308</v>
      </c>
      <c r="E478" s="16"/>
      <c r="F478" s="16">
        <v>547.0</v>
      </c>
      <c r="G478" s="16" t="s">
        <v>176</v>
      </c>
      <c r="H478" s="16" t="s">
        <v>24</v>
      </c>
      <c r="I478" s="16"/>
      <c r="J478" s="16"/>
      <c r="K478" s="16"/>
      <c r="L478" s="16"/>
      <c r="M478" s="16"/>
      <c r="N478" s="16"/>
      <c r="O478" s="16"/>
      <c r="P478" s="16"/>
      <c r="Q478" s="16"/>
      <c r="R478" s="16"/>
      <c r="S478" s="16">
        <v>-2.0</v>
      </c>
      <c r="T478" s="16"/>
      <c r="U478" s="16" t="s">
        <v>2309</v>
      </c>
      <c r="V478" s="16" t="s">
        <v>2310</v>
      </c>
      <c r="W478" s="16" t="s">
        <v>661</v>
      </c>
      <c r="X478" s="16" t="s">
        <v>181</v>
      </c>
      <c r="Y478" s="100"/>
      <c r="Z478" s="16" t="s">
        <v>181</v>
      </c>
    </row>
    <row r="479">
      <c r="A479" s="16">
        <v>12969.0</v>
      </c>
      <c r="B479" s="16" t="s">
        <v>2311</v>
      </c>
      <c r="C479" s="16">
        <v>0.51</v>
      </c>
      <c r="D479" s="174" t="s">
        <v>2312</v>
      </c>
      <c r="E479" s="16"/>
      <c r="F479" s="16">
        <v>547.0</v>
      </c>
      <c r="G479" s="16" t="s">
        <v>176</v>
      </c>
      <c r="H479" s="16" t="s">
        <v>24</v>
      </c>
      <c r="I479" s="16" t="s">
        <v>25</v>
      </c>
      <c r="J479" s="16"/>
      <c r="K479" s="16"/>
      <c r="L479" s="16"/>
      <c r="M479" s="16"/>
      <c r="N479" s="16"/>
      <c r="O479" s="16"/>
      <c r="P479" s="16"/>
      <c r="Q479" s="16"/>
      <c r="R479" s="16"/>
      <c r="S479" s="16">
        <v>-2.0</v>
      </c>
      <c r="T479" s="16"/>
      <c r="U479" s="16" t="s">
        <v>2313</v>
      </c>
      <c r="V479" s="16" t="s">
        <v>2314</v>
      </c>
      <c r="W479" s="16" t="s">
        <v>634</v>
      </c>
      <c r="X479" s="16" t="s">
        <v>181</v>
      </c>
      <c r="Y479" s="100"/>
      <c r="Z479" s="16" t="s">
        <v>181</v>
      </c>
    </row>
    <row r="480">
      <c r="A480" s="16">
        <v>12970.0</v>
      </c>
      <c r="B480" s="16" t="s">
        <v>2315</v>
      </c>
      <c r="C480" s="16">
        <v>1.53</v>
      </c>
      <c r="D480" s="174" t="s">
        <v>2316</v>
      </c>
      <c r="E480" s="16"/>
      <c r="F480" s="16">
        <v>557.0</v>
      </c>
      <c r="G480" s="16" t="s">
        <v>232</v>
      </c>
      <c r="H480" s="16" t="s">
        <v>24</v>
      </c>
      <c r="I480" s="16"/>
      <c r="J480" s="16"/>
      <c r="K480" s="16"/>
      <c r="L480" s="16"/>
      <c r="M480" s="16"/>
      <c r="N480" s="16"/>
      <c r="O480" s="16"/>
      <c r="P480" s="16"/>
      <c r="Q480" s="16"/>
      <c r="R480" s="16"/>
      <c r="S480" s="16">
        <v>-2.0</v>
      </c>
      <c r="T480" s="16"/>
      <c r="U480" s="16" t="s">
        <v>2317</v>
      </c>
      <c r="V480" s="16" t="s">
        <v>2318</v>
      </c>
      <c r="W480" s="16" t="s">
        <v>675</v>
      </c>
      <c r="X480" s="16" t="s">
        <v>181</v>
      </c>
      <c r="Y480" s="100"/>
      <c r="Z480" s="16" t="s">
        <v>181</v>
      </c>
    </row>
    <row r="481">
      <c r="A481" s="16">
        <v>12971.0</v>
      </c>
      <c r="B481" s="16" t="s">
        <v>2319</v>
      </c>
      <c r="C481" s="16">
        <v>0.89</v>
      </c>
      <c r="D481" s="174" t="s">
        <v>2320</v>
      </c>
      <c r="E481" s="16"/>
      <c r="F481" s="16">
        <v>590.0</v>
      </c>
      <c r="G481" s="16" t="s">
        <v>387</v>
      </c>
      <c r="H481" s="16" t="s">
        <v>25</v>
      </c>
      <c r="I481" s="16" t="s">
        <v>26</v>
      </c>
      <c r="J481" s="16"/>
      <c r="K481" s="16"/>
      <c r="L481" s="16"/>
      <c r="M481" s="16"/>
      <c r="N481" s="16"/>
      <c r="O481" s="16"/>
      <c r="P481" s="16"/>
      <c r="Q481" s="16"/>
      <c r="R481" s="16"/>
      <c r="S481" s="16">
        <v>-2.0</v>
      </c>
      <c r="T481" s="16"/>
      <c r="U481" s="16" t="s">
        <v>2321</v>
      </c>
      <c r="V481" s="16" t="s">
        <v>2322</v>
      </c>
      <c r="W481" s="16" t="s">
        <v>179</v>
      </c>
      <c r="X481" s="16" t="s">
        <v>181</v>
      </c>
      <c r="Y481" s="100"/>
      <c r="Z481" s="16" t="s">
        <v>181</v>
      </c>
    </row>
    <row r="482">
      <c r="A482" s="16">
        <v>12972.0</v>
      </c>
      <c r="B482" s="16" t="s">
        <v>2323</v>
      </c>
      <c r="C482" s="16">
        <v>2.26</v>
      </c>
      <c r="D482" s="174" t="s">
        <v>2324</v>
      </c>
      <c r="E482" s="16"/>
      <c r="F482" s="16">
        <v>587.0</v>
      </c>
      <c r="G482" s="16" t="s">
        <v>289</v>
      </c>
      <c r="H482" s="16" t="s">
        <v>12</v>
      </c>
      <c r="I482" s="16"/>
      <c r="J482" s="16"/>
      <c r="K482" s="16"/>
      <c r="L482" s="16"/>
      <c r="M482" s="16"/>
      <c r="N482" s="16"/>
      <c r="O482" s="16"/>
      <c r="P482" s="16"/>
      <c r="Q482" s="16"/>
      <c r="R482" s="16"/>
      <c r="S482" s="16">
        <v>-2.0</v>
      </c>
      <c r="T482" s="16"/>
      <c r="U482" s="16" t="s">
        <v>2325</v>
      </c>
      <c r="V482" s="16" t="s">
        <v>2326</v>
      </c>
      <c r="W482" s="16" t="s">
        <v>634</v>
      </c>
      <c r="X482" s="16" t="s">
        <v>181</v>
      </c>
      <c r="Y482" s="100"/>
      <c r="Z482" s="16" t="s">
        <v>181</v>
      </c>
    </row>
    <row r="483">
      <c r="A483" s="16">
        <v>12973.0</v>
      </c>
      <c r="B483" s="16" t="s">
        <v>2327</v>
      </c>
      <c r="C483" s="16">
        <v>0.0</v>
      </c>
      <c r="D483" s="174" t="s">
        <v>2328</v>
      </c>
      <c r="E483" s="16"/>
      <c r="F483" s="16">
        <v>547.0</v>
      </c>
      <c r="G483" s="16" t="s">
        <v>176</v>
      </c>
      <c r="H483" s="16" t="s">
        <v>24</v>
      </c>
      <c r="I483" s="16" t="s">
        <v>25</v>
      </c>
      <c r="J483" s="16"/>
      <c r="K483" s="16"/>
      <c r="L483" s="16"/>
      <c r="M483" s="16"/>
      <c r="N483" s="16"/>
      <c r="O483" s="16"/>
      <c r="P483" s="16"/>
      <c r="Q483" s="16"/>
      <c r="R483" s="16"/>
      <c r="S483" s="16">
        <v>-2.0</v>
      </c>
      <c r="T483" s="16"/>
      <c r="U483" s="16" t="s">
        <v>2329</v>
      </c>
      <c r="V483" s="16" t="s">
        <v>2330</v>
      </c>
      <c r="W483" s="16" t="s">
        <v>199</v>
      </c>
      <c r="X483" s="16" t="s">
        <v>181</v>
      </c>
      <c r="Y483" s="100"/>
      <c r="Z483" s="16" t="s">
        <v>181</v>
      </c>
    </row>
    <row r="484">
      <c r="A484" s="16">
        <v>12974.0</v>
      </c>
      <c r="B484" s="16" t="s">
        <v>2331</v>
      </c>
      <c r="C484" s="16">
        <v>0.25</v>
      </c>
      <c r="D484" s="174" t="s">
        <v>2332</v>
      </c>
      <c r="E484" s="16"/>
      <c r="F484" s="16">
        <v>547.0</v>
      </c>
      <c r="G484" s="16" t="s">
        <v>176</v>
      </c>
      <c r="H484" s="16" t="s">
        <v>24</v>
      </c>
      <c r="I484" s="16"/>
      <c r="J484" s="16"/>
      <c r="K484" s="16"/>
      <c r="L484" s="16"/>
      <c r="M484" s="16"/>
      <c r="N484" s="16"/>
      <c r="O484" s="16"/>
      <c r="P484" s="16"/>
      <c r="Q484" s="16"/>
      <c r="R484" s="16"/>
      <c r="S484" s="16">
        <v>-2.0</v>
      </c>
      <c r="T484" s="16"/>
      <c r="U484" s="16" t="s">
        <v>2333</v>
      </c>
      <c r="V484" s="16" t="s">
        <v>2334</v>
      </c>
      <c r="W484" s="16" t="s">
        <v>443</v>
      </c>
      <c r="X484" s="16" t="s">
        <v>181</v>
      </c>
      <c r="Y484" s="100"/>
      <c r="Z484" s="16" t="s">
        <v>181</v>
      </c>
    </row>
    <row r="485">
      <c r="A485" s="16">
        <v>12975.0</v>
      </c>
      <c r="B485" s="16" t="s">
        <v>2335</v>
      </c>
      <c r="C485" s="16">
        <v>0.33</v>
      </c>
      <c r="D485" s="174" t="s">
        <v>2336</v>
      </c>
      <c r="E485" s="16"/>
      <c r="F485" s="16">
        <v>566.0</v>
      </c>
      <c r="G485" s="16" t="s">
        <v>277</v>
      </c>
      <c r="H485" s="16" t="s">
        <v>13</v>
      </c>
      <c r="I485" s="16" t="s">
        <v>19</v>
      </c>
      <c r="J485" s="16" t="s">
        <v>17</v>
      </c>
      <c r="K485" s="16"/>
      <c r="L485" s="16"/>
      <c r="M485" s="16"/>
      <c r="N485" s="16"/>
      <c r="O485" s="16"/>
      <c r="P485" s="16"/>
      <c r="Q485" s="16"/>
      <c r="R485" s="16"/>
      <c r="S485" s="16">
        <v>-2.0</v>
      </c>
      <c r="T485" s="16"/>
      <c r="U485" s="16" t="s">
        <v>2337</v>
      </c>
      <c r="V485" s="16" t="s">
        <v>2338</v>
      </c>
      <c r="W485" s="16" t="s">
        <v>942</v>
      </c>
      <c r="X485" s="16" t="s">
        <v>181</v>
      </c>
      <c r="Y485" s="100"/>
      <c r="Z485" s="16" t="s">
        <v>181</v>
      </c>
    </row>
    <row r="486">
      <c r="A486" s="16">
        <v>12976.0</v>
      </c>
      <c r="B486" s="16" t="s">
        <v>2339</v>
      </c>
      <c r="C486" s="16">
        <v>0.33</v>
      </c>
      <c r="D486" s="174" t="s">
        <v>2340</v>
      </c>
      <c r="E486" s="16"/>
      <c r="F486" s="16">
        <v>551.0</v>
      </c>
      <c r="G486" s="16" t="s">
        <v>200</v>
      </c>
      <c r="H486" s="16" t="s">
        <v>17</v>
      </c>
      <c r="I486" s="16" t="s">
        <v>18</v>
      </c>
      <c r="J486" s="16" t="s">
        <v>19</v>
      </c>
      <c r="K486" s="16" t="s">
        <v>13</v>
      </c>
      <c r="L486" s="16"/>
      <c r="M486" s="16"/>
      <c r="N486" s="16"/>
      <c r="O486" s="16"/>
      <c r="P486" s="16"/>
      <c r="Q486" s="16"/>
      <c r="R486" s="16"/>
      <c r="S486" s="16">
        <v>-2.0</v>
      </c>
      <c r="T486" s="16"/>
      <c r="U486" s="16" t="s">
        <v>2341</v>
      </c>
      <c r="V486" s="16" t="s">
        <v>2342</v>
      </c>
      <c r="W486" s="16" t="s">
        <v>360</v>
      </c>
      <c r="X486" s="16" t="s">
        <v>181</v>
      </c>
      <c r="Y486" s="100"/>
      <c r="Z486" s="16" t="s">
        <v>181</v>
      </c>
    </row>
    <row r="487">
      <c r="A487" s="16">
        <v>12977.0</v>
      </c>
      <c r="B487" s="16" t="s">
        <v>2343</v>
      </c>
      <c r="C487" s="16">
        <v>0.0</v>
      </c>
      <c r="D487" s="174" t="s">
        <v>2344</v>
      </c>
      <c r="E487" s="16"/>
      <c r="F487" s="16">
        <v>547.0</v>
      </c>
      <c r="G487" s="16" t="s">
        <v>176</v>
      </c>
      <c r="H487" s="16" t="s">
        <v>13</v>
      </c>
      <c r="I487" s="16"/>
      <c r="J487" s="16"/>
      <c r="K487" s="16"/>
      <c r="L487" s="16"/>
      <c r="M487" s="16"/>
      <c r="N487" s="16"/>
      <c r="O487" s="16"/>
      <c r="P487" s="16"/>
      <c r="Q487" s="16"/>
      <c r="R487" s="16"/>
      <c r="S487" s="16">
        <v>-2.0</v>
      </c>
      <c r="T487" s="16"/>
      <c r="U487" s="16" t="s">
        <v>2345</v>
      </c>
      <c r="V487" s="16" t="s">
        <v>2346</v>
      </c>
      <c r="W487" s="16" t="s">
        <v>360</v>
      </c>
      <c r="X487" s="16" t="s">
        <v>181</v>
      </c>
      <c r="Y487" s="100"/>
      <c r="Z487" s="16" t="s">
        <v>181</v>
      </c>
    </row>
    <row r="488">
      <c r="A488" s="16">
        <v>12978.0</v>
      </c>
      <c r="B488" s="16" t="s">
        <v>2347</v>
      </c>
      <c r="C488" s="16">
        <v>1.53</v>
      </c>
      <c r="D488" s="174" t="s">
        <v>2348</v>
      </c>
      <c r="E488" s="16"/>
      <c r="F488" s="16">
        <v>581.0</v>
      </c>
      <c r="G488" s="16" t="s">
        <v>346</v>
      </c>
      <c r="H488" s="16" t="s">
        <v>15</v>
      </c>
      <c r="I488" s="16" t="s">
        <v>14</v>
      </c>
      <c r="J488" s="16" t="s">
        <v>16</v>
      </c>
      <c r="K488" s="16"/>
      <c r="L488" s="16"/>
      <c r="M488" s="16"/>
      <c r="N488" s="16"/>
      <c r="O488" s="16"/>
      <c r="P488" s="16"/>
      <c r="Q488" s="16"/>
      <c r="R488" s="16"/>
      <c r="S488" s="16">
        <v>-2.0</v>
      </c>
      <c r="T488" s="16"/>
      <c r="U488" s="16" t="s">
        <v>2349</v>
      </c>
      <c r="V488" s="16" t="s">
        <v>2350</v>
      </c>
      <c r="W488" s="16" t="s">
        <v>443</v>
      </c>
      <c r="X488" s="16" t="s">
        <v>181</v>
      </c>
      <c r="Y488" s="100"/>
      <c r="Z488" s="16" t="s">
        <v>181</v>
      </c>
    </row>
    <row r="489">
      <c r="A489" s="16">
        <v>12979.0</v>
      </c>
      <c r="B489" s="16" t="s">
        <v>2351</v>
      </c>
      <c r="C489" s="16">
        <v>0.11</v>
      </c>
      <c r="D489" s="174" t="s">
        <v>2352</v>
      </c>
      <c r="E489" s="16"/>
      <c r="F489" s="16">
        <v>593.0</v>
      </c>
      <c r="G489" s="16" t="s">
        <v>272</v>
      </c>
      <c r="H489" s="16" t="s">
        <v>25</v>
      </c>
      <c r="I489" s="16" t="s">
        <v>26</v>
      </c>
      <c r="J489" s="16"/>
      <c r="K489" s="16"/>
      <c r="L489" s="16"/>
      <c r="M489" s="16"/>
      <c r="N489" s="16"/>
      <c r="O489" s="16"/>
      <c r="P489" s="16"/>
      <c r="Q489" s="16"/>
      <c r="R489" s="16"/>
      <c r="S489" s="16">
        <v>-2.0</v>
      </c>
      <c r="T489" s="174" t="s">
        <v>2353</v>
      </c>
      <c r="U489" s="16" t="s">
        <v>2354</v>
      </c>
      <c r="V489" s="16" t="s">
        <v>2355</v>
      </c>
      <c r="W489" s="16" t="s">
        <v>360</v>
      </c>
      <c r="X489" s="16" t="s">
        <v>181</v>
      </c>
      <c r="Y489" s="100"/>
      <c r="Z489" s="16" t="s">
        <v>181</v>
      </c>
    </row>
    <row r="490">
      <c r="A490" s="16">
        <v>12980.0</v>
      </c>
      <c r="B490" s="16" t="s">
        <v>2356</v>
      </c>
      <c r="C490" s="16">
        <v>0.34</v>
      </c>
      <c r="D490" s="174" t="s">
        <v>2357</v>
      </c>
      <c r="E490" s="16"/>
      <c r="F490" s="16">
        <v>547.0</v>
      </c>
      <c r="G490" s="16" t="s">
        <v>176</v>
      </c>
      <c r="H490" s="16" t="s">
        <v>18</v>
      </c>
      <c r="I490" s="16"/>
      <c r="J490" s="16"/>
      <c r="K490" s="16"/>
      <c r="L490" s="16"/>
      <c r="M490" s="16"/>
      <c r="N490" s="16"/>
      <c r="O490" s="16"/>
      <c r="P490" s="16"/>
      <c r="Q490" s="16"/>
      <c r="R490" s="16"/>
      <c r="S490" s="16">
        <v>-2.0</v>
      </c>
      <c r="T490" s="16"/>
      <c r="U490" s="16" t="s">
        <v>2358</v>
      </c>
      <c r="V490" s="16" t="s">
        <v>2359</v>
      </c>
      <c r="W490" s="16" t="s">
        <v>491</v>
      </c>
      <c r="X490" s="16" t="s">
        <v>181</v>
      </c>
      <c r="Y490" s="100"/>
      <c r="Z490" s="16" t="s">
        <v>181</v>
      </c>
    </row>
    <row r="491">
      <c r="A491" s="16">
        <v>12981.0</v>
      </c>
      <c r="B491" s="16" t="s">
        <v>2360</v>
      </c>
      <c r="C491" s="16">
        <v>0.0</v>
      </c>
      <c r="D491" s="174" t="s">
        <v>2361</v>
      </c>
      <c r="E491" s="16"/>
      <c r="F491" s="16">
        <v>547.0</v>
      </c>
      <c r="G491" s="16" t="s">
        <v>176</v>
      </c>
      <c r="H491" s="16" t="s">
        <v>25</v>
      </c>
      <c r="I491" s="16" t="s">
        <v>26</v>
      </c>
      <c r="J491" s="16"/>
      <c r="K491" s="16"/>
      <c r="L491" s="16"/>
      <c r="M491" s="16"/>
      <c r="N491" s="16"/>
      <c r="O491" s="16"/>
      <c r="P491" s="16"/>
      <c r="Q491" s="16"/>
      <c r="R491" s="16"/>
      <c r="S491" s="16">
        <v>-2.0</v>
      </c>
      <c r="T491" s="16"/>
      <c r="U491" s="16" t="s">
        <v>2362</v>
      </c>
      <c r="V491" s="16" t="s">
        <v>2363</v>
      </c>
      <c r="W491" s="16" t="s">
        <v>259</v>
      </c>
      <c r="X491" s="16" t="s">
        <v>181</v>
      </c>
      <c r="Y491" s="100"/>
      <c r="Z491" s="16" t="s">
        <v>181</v>
      </c>
    </row>
    <row r="492">
      <c r="A492" s="16">
        <v>12982.0</v>
      </c>
      <c r="B492" s="16" t="s">
        <v>2364</v>
      </c>
      <c r="C492" s="16">
        <v>0.96</v>
      </c>
      <c r="D492" s="174" t="s">
        <v>2365</v>
      </c>
      <c r="E492" s="16"/>
      <c r="F492" s="16">
        <v>547.0</v>
      </c>
      <c r="G492" s="16" t="s">
        <v>176</v>
      </c>
      <c r="H492" s="16" t="s">
        <v>25</v>
      </c>
      <c r="I492" s="16"/>
      <c r="J492" s="16"/>
      <c r="K492" s="16"/>
      <c r="L492" s="16"/>
      <c r="M492" s="16"/>
      <c r="N492" s="16"/>
      <c r="O492" s="16"/>
      <c r="P492" s="16"/>
      <c r="Q492" s="16"/>
      <c r="R492" s="16"/>
      <c r="S492" s="16">
        <v>-2.0</v>
      </c>
      <c r="T492" s="16"/>
      <c r="U492" s="16" t="s">
        <v>2366</v>
      </c>
      <c r="V492" s="16" t="s">
        <v>2367</v>
      </c>
      <c r="W492" s="16" t="s">
        <v>360</v>
      </c>
      <c r="X492" s="16" t="s">
        <v>181</v>
      </c>
      <c r="Y492" s="100"/>
      <c r="Z492" s="16" t="s">
        <v>181</v>
      </c>
    </row>
    <row r="493">
      <c r="A493" s="16">
        <v>12983.0</v>
      </c>
      <c r="B493" s="16" t="s">
        <v>2368</v>
      </c>
      <c r="C493" s="16">
        <v>0.46</v>
      </c>
      <c r="D493" s="174" t="s">
        <v>2369</v>
      </c>
      <c r="E493" s="16"/>
      <c r="F493" s="16">
        <v>548.0</v>
      </c>
      <c r="G493" s="16" t="s">
        <v>126</v>
      </c>
      <c r="H493" s="16" t="s">
        <v>25</v>
      </c>
      <c r="I493" s="16" t="s">
        <v>26</v>
      </c>
      <c r="J493" s="16"/>
      <c r="K493" s="16"/>
      <c r="L493" s="16"/>
      <c r="M493" s="16"/>
      <c r="N493" s="16"/>
      <c r="O493" s="16"/>
      <c r="P493" s="16"/>
      <c r="Q493" s="16"/>
      <c r="R493" s="16"/>
      <c r="S493" s="16">
        <v>-2.0</v>
      </c>
      <c r="T493" s="16"/>
      <c r="U493" s="16" t="s">
        <v>2370</v>
      </c>
      <c r="V493" s="16" t="s">
        <v>2371</v>
      </c>
      <c r="W493" s="16" t="s">
        <v>600</v>
      </c>
      <c r="X493" s="16" t="s">
        <v>181</v>
      </c>
      <c r="Y493" s="100"/>
      <c r="Z493" s="16" t="s">
        <v>181</v>
      </c>
    </row>
    <row r="494">
      <c r="A494" s="16">
        <v>12984.0</v>
      </c>
      <c r="B494" s="16" t="s">
        <v>2372</v>
      </c>
      <c r="C494" s="16">
        <v>0.73</v>
      </c>
      <c r="D494" s="174" t="s">
        <v>2373</v>
      </c>
      <c r="E494" s="16"/>
      <c r="F494" s="16">
        <v>547.0</v>
      </c>
      <c r="G494" s="16" t="s">
        <v>176</v>
      </c>
      <c r="H494" s="16" t="s">
        <v>25</v>
      </c>
      <c r="I494" s="16" t="s">
        <v>26</v>
      </c>
      <c r="J494" s="16"/>
      <c r="K494" s="16"/>
      <c r="L494" s="16"/>
      <c r="M494" s="16"/>
      <c r="N494" s="16"/>
      <c r="O494" s="16"/>
      <c r="P494" s="16"/>
      <c r="Q494" s="16"/>
      <c r="R494" s="16"/>
      <c r="S494" s="16">
        <v>-2.0</v>
      </c>
      <c r="T494" s="16"/>
      <c r="U494" s="16" t="s">
        <v>2374</v>
      </c>
      <c r="V494" s="16" t="s">
        <v>2375</v>
      </c>
      <c r="W494" s="16" t="s">
        <v>179</v>
      </c>
      <c r="X494" s="16" t="s">
        <v>181</v>
      </c>
      <c r="Y494" s="100"/>
      <c r="Z494" s="16" t="s">
        <v>181</v>
      </c>
    </row>
    <row r="495">
      <c r="A495" s="16">
        <v>12985.0</v>
      </c>
      <c r="B495" s="16" t="s">
        <v>2376</v>
      </c>
      <c r="C495" s="16">
        <v>1.41</v>
      </c>
      <c r="D495" s="174" t="s">
        <v>2377</v>
      </c>
      <c r="E495" s="16"/>
      <c r="F495" s="16">
        <v>547.0</v>
      </c>
      <c r="G495" s="16" t="s">
        <v>176</v>
      </c>
      <c r="H495" s="16" t="s">
        <v>15</v>
      </c>
      <c r="I495" s="16" t="s">
        <v>14</v>
      </c>
      <c r="J495" s="16" t="s">
        <v>17</v>
      </c>
      <c r="K495" s="16"/>
      <c r="L495" s="16"/>
      <c r="M495" s="16"/>
      <c r="N495" s="16"/>
      <c r="O495" s="16"/>
      <c r="P495" s="16"/>
      <c r="Q495" s="16"/>
      <c r="R495" s="16"/>
      <c r="S495" s="16">
        <v>-2.0</v>
      </c>
      <c r="T495" s="16"/>
      <c r="U495" s="16" t="s">
        <v>2378</v>
      </c>
      <c r="V495" s="16" t="s">
        <v>2379</v>
      </c>
      <c r="W495" s="16" t="s">
        <v>459</v>
      </c>
      <c r="X495" s="16" t="s">
        <v>181</v>
      </c>
      <c r="Y495" s="100"/>
      <c r="Z495" s="16" t="s">
        <v>181</v>
      </c>
    </row>
    <row r="496">
      <c r="A496" s="16">
        <v>12986.0</v>
      </c>
      <c r="B496" s="16" t="s">
        <v>2380</v>
      </c>
      <c r="C496" s="16">
        <v>0.22</v>
      </c>
      <c r="D496" s="174" t="s">
        <v>2381</v>
      </c>
      <c r="E496" s="16"/>
      <c r="F496" s="16">
        <v>547.0</v>
      </c>
      <c r="G496" s="16" t="s">
        <v>176</v>
      </c>
      <c r="H496" s="16" t="s">
        <v>24</v>
      </c>
      <c r="I496" s="16" t="s">
        <v>25</v>
      </c>
      <c r="J496" s="16"/>
      <c r="K496" s="16"/>
      <c r="L496" s="16"/>
      <c r="M496" s="16"/>
      <c r="N496" s="16"/>
      <c r="O496" s="16"/>
      <c r="P496" s="16"/>
      <c r="Q496" s="16"/>
      <c r="R496" s="16"/>
      <c r="S496" s="16">
        <v>-2.0</v>
      </c>
      <c r="T496" s="16"/>
      <c r="U496" s="16" t="s">
        <v>2382</v>
      </c>
      <c r="V496" s="16" t="s">
        <v>2383</v>
      </c>
      <c r="W496" s="16" t="s">
        <v>722</v>
      </c>
      <c r="X496" s="16" t="s">
        <v>181</v>
      </c>
      <c r="Y496" s="100"/>
      <c r="Z496" s="16" t="s">
        <v>181</v>
      </c>
    </row>
    <row r="497">
      <c r="A497" s="16">
        <v>12987.0</v>
      </c>
      <c r="B497" s="16" t="s">
        <v>2384</v>
      </c>
      <c r="C497" s="16">
        <v>0.21</v>
      </c>
      <c r="D497" s="174" t="s">
        <v>2385</v>
      </c>
      <c r="E497" s="16"/>
      <c r="F497" s="16">
        <v>575.0</v>
      </c>
      <c r="G497" s="16" t="s">
        <v>212</v>
      </c>
      <c r="H497" s="16" t="s">
        <v>13</v>
      </c>
      <c r="I497" s="16"/>
      <c r="J497" s="16"/>
      <c r="K497" s="16"/>
      <c r="L497" s="16"/>
      <c r="M497" s="16"/>
      <c r="N497" s="16"/>
      <c r="O497" s="16"/>
      <c r="P497" s="16"/>
      <c r="Q497" s="16"/>
      <c r="R497" s="16"/>
      <c r="S497" s="16">
        <v>-2.0</v>
      </c>
      <c r="T497" s="16"/>
      <c r="U497" s="16" t="s">
        <v>2386</v>
      </c>
      <c r="V497" s="16" t="s">
        <v>2387</v>
      </c>
      <c r="W497" s="16" t="s">
        <v>491</v>
      </c>
      <c r="X497" s="16" t="s">
        <v>181</v>
      </c>
      <c r="Y497" s="100"/>
      <c r="Z497" s="16" t="s">
        <v>181</v>
      </c>
    </row>
    <row r="498">
      <c r="A498" s="16">
        <v>12988.0</v>
      </c>
      <c r="B498" s="16" t="s">
        <v>2388</v>
      </c>
      <c r="C498" s="16">
        <v>0.85</v>
      </c>
      <c r="D498" s="174" t="s">
        <v>2389</v>
      </c>
      <c r="E498" s="16"/>
      <c r="F498" s="16">
        <v>584.0</v>
      </c>
      <c r="G498" s="16" t="s">
        <v>361</v>
      </c>
      <c r="H498" s="16" t="s">
        <v>13</v>
      </c>
      <c r="I498" s="16" t="s">
        <v>15</v>
      </c>
      <c r="J498" s="16" t="s">
        <v>14</v>
      </c>
      <c r="K498" s="16"/>
      <c r="L498" s="16"/>
      <c r="M498" s="16"/>
      <c r="N498" s="16"/>
      <c r="O498" s="16"/>
      <c r="P498" s="16"/>
      <c r="Q498" s="16"/>
      <c r="R498" s="16"/>
      <c r="S498" s="16">
        <v>-2.0</v>
      </c>
      <c r="T498" s="174" t="s">
        <v>2390</v>
      </c>
      <c r="U498" s="16" t="s">
        <v>2391</v>
      </c>
      <c r="V498" s="16" t="s">
        <v>2392</v>
      </c>
      <c r="W498" s="16" t="s">
        <v>360</v>
      </c>
      <c r="X498" s="16" t="s">
        <v>181</v>
      </c>
      <c r="Y498" s="100"/>
      <c r="Z498" s="16" t="s">
        <v>181</v>
      </c>
    </row>
    <row r="499">
      <c r="A499" s="16">
        <v>12989.0</v>
      </c>
      <c r="B499" s="16" t="s">
        <v>2393</v>
      </c>
      <c r="C499" s="16">
        <v>0.39</v>
      </c>
      <c r="D499" s="174" t="s">
        <v>2394</v>
      </c>
      <c r="E499" s="16"/>
      <c r="F499" s="16">
        <v>547.0</v>
      </c>
      <c r="G499" s="16" t="s">
        <v>176</v>
      </c>
      <c r="H499" s="16" t="s">
        <v>12</v>
      </c>
      <c r="I499" s="16"/>
      <c r="J499" s="16"/>
      <c r="K499" s="16"/>
      <c r="L499" s="16"/>
      <c r="M499" s="16"/>
      <c r="N499" s="16"/>
      <c r="O499" s="16"/>
      <c r="P499" s="16"/>
      <c r="Q499" s="16"/>
      <c r="R499" s="16"/>
      <c r="S499" s="16">
        <v>-2.0</v>
      </c>
      <c r="T499" s="16"/>
      <c r="U499" s="16" t="s">
        <v>2395</v>
      </c>
      <c r="V499" s="16" t="s">
        <v>2396</v>
      </c>
      <c r="W499" s="16" t="s">
        <v>675</v>
      </c>
      <c r="X499" s="16" t="s">
        <v>181</v>
      </c>
      <c r="Y499" s="100"/>
      <c r="Z499" s="16" t="s">
        <v>181</v>
      </c>
    </row>
    <row r="500">
      <c r="A500" s="16">
        <v>12990.0</v>
      </c>
      <c r="B500" s="16" t="s">
        <v>2397</v>
      </c>
      <c r="C500" s="16">
        <v>0.0</v>
      </c>
      <c r="D500" s="174" t="s">
        <v>2398</v>
      </c>
      <c r="E500" s="16"/>
      <c r="F500" s="16">
        <v>547.0</v>
      </c>
      <c r="G500" s="16" t="s">
        <v>176</v>
      </c>
      <c r="H500" s="16" t="s">
        <v>17</v>
      </c>
      <c r="I500" s="16" t="s">
        <v>18</v>
      </c>
      <c r="J500" s="16"/>
      <c r="K500" s="16"/>
      <c r="L500" s="16"/>
      <c r="M500" s="16"/>
      <c r="N500" s="16"/>
      <c r="O500" s="16"/>
      <c r="P500" s="16"/>
      <c r="Q500" s="16"/>
      <c r="R500" s="16"/>
      <c r="S500" s="16">
        <v>-2.0</v>
      </c>
      <c r="T500" s="16"/>
      <c r="U500" s="16" t="s">
        <v>2399</v>
      </c>
      <c r="V500" s="16" t="s">
        <v>2400</v>
      </c>
      <c r="W500" s="16" t="s">
        <v>199</v>
      </c>
      <c r="X500" s="16" t="s">
        <v>181</v>
      </c>
      <c r="Y500" s="100"/>
      <c r="Z500" s="16" t="s">
        <v>181</v>
      </c>
    </row>
    <row r="501">
      <c r="A501" s="16">
        <v>12991.0</v>
      </c>
      <c r="B501" s="16" t="s">
        <v>2401</v>
      </c>
      <c r="C501" s="16">
        <v>1.42</v>
      </c>
      <c r="D501" s="174" t="s">
        <v>2402</v>
      </c>
      <c r="E501" s="16"/>
      <c r="F501" s="16">
        <v>578.0</v>
      </c>
      <c r="G501" s="16" t="s">
        <v>333</v>
      </c>
      <c r="H501" s="16" t="s">
        <v>13</v>
      </c>
      <c r="I501" s="16" t="s">
        <v>14</v>
      </c>
      <c r="J501" s="16" t="s">
        <v>15</v>
      </c>
      <c r="K501" s="16"/>
      <c r="L501" s="16"/>
      <c r="M501" s="16"/>
      <c r="N501" s="16"/>
      <c r="O501" s="16"/>
      <c r="P501" s="16"/>
      <c r="Q501" s="16"/>
      <c r="R501" s="16"/>
      <c r="S501" s="16">
        <v>-2.0</v>
      </c>
      <c r="T501" s="16"/>
      <c r="U501" s="16" t="s">
        <v>2403</v>
      </c>
      <c r="V501" s="16" t="s">
        <v>2404</v>
      </c>
      <c r="W501" s="16" t="s">
        <v>1907</v>
      </c>
      <c r="X501" s="16" t="s">
        <v>181</v>
      </c>
      <c r="Y501" s="100"/>
      <c r="Z501" s="16" t="s">
        <v>181</v>
      </c>
    </row>
    <row r="502">
      <c r="A502" s="16">
        <v>12992.0</v>
      </c>
      <c r="B502" s="16" t="s">
        <v>2405</v>
      </c>
      <c r="C502" s="16">
        <v>0.83</v>
      </c>
      <c r="D502" s="174" t="s">
        <v>2406</v>
      </c>
      <c r="E502" s="16"/>
      <c r="F502" s="16">
        <v>547.0</v>
      </c>
      <c r="G502" s="16" t="s">
        <v>176</v>
      </c>
      <c r="H502" s="16" t="s">
        <v>24</v>
      </c>
      <c r="I502" s="16" t="s">
        <v>25</v>
      </c>
      <c r="J502" s="16" t="s">
        <v>26</v>
      </c>
      <c r="K502" s="16"/>
      <c r="L502" s="16"/>
      <c r="M502" s="16"/>
      <c r="N502" s="16"/>
      <c r="O502" s="16"/>
      <c r="P502" s="16"/>
      <c r="Q502" s="16"/>
      <c r="R502" s="16"/>
      <c r="S502" s="16">
        <v>-2.0</v>
      </c>
      <c r="T502" s="16"/>
      <c r="U502" s="16" t="s">
        <v>2407</v>
      </c>
      <c r="V502" s="16" t="s">
        <v>2408</v>
      </c>
      <c r="W502" s="16" t="s">
        <v>491</v>
      </c>
      <c r="X502" s="16" t="s">
        <v>181</v>
      </c>
      <c r="Y502" s="100"/>
      <c r="Z502" s="16" t="s">
        <v>181</v>
      </c>
    </row>
    <row r="503">
      <c r="A503" s="16">
        <v>12993.0</v>
      </c>
      <c r="B503" s="16" t="s">
        <v>2409</v>
      </c>
      <c r="C503" s="16">
        <v>0.0</v>
      </c>
      <c r="D503" s="174" t="s">
        <v>2410</v>
      </c>
      <c r="E503" s="16"/>
      <c r="F503" s="16">
        <v>547.0</v>
      </c>
      <c r="G503" s="16" t="s">
        <v>176</v>
      </c>
      <c r="H503" s="16" t="s">
        <v>25</v>
      </c>
      <c r="I503" s="16"/>
      <c r="J503" s="16"/>
      <c r="K503" s="16"/>
      <c r="L503" s="16"/>
      <c r="M503" s="16"/>
      <c r="N503" s="16"/>
      <c r="O503" s="16"/>
      <c r="P503" s="16"/>
      <c r="Q503" s="16"/>
      <c r="R503" s="16"/>
      <c r="S503" s="16">
        <v>-2.0</v>
      </c>
      <c r="T503" s="16"/>
      <c r="U503" s="16" t="s">
        <v>2411</v>
      </c>
      <c r="V503" s="16" t="s">
        <v>2412</v>
      </c>
      <c r="W503" s="16" t="s">
        <v>478</v>
      </c>
      <c r="X503" s="16" t="s">
        <v>181</v>
      </c>
      <c r="Y503" s="100"/>
      <c r="Z503" s="16" t="s">
        <v>181</v>
      </c>
    </row>
    <row r="504">
      <c r="A504" s="16">
        <v>12994.0</v>
      </c>
      <c r="B504" s="16" t="s">
        <v>2413</v>
      </c>
      <c r="C504" s="16">
        <v>0.77</v>
      </c>
      <c r="D504" s="174" t="s">
        <v>2414</v>
      </c>
      <c r="E504" s="16"/>
      <c r="F504" s="16">
        <v>547.0</v>
      </c>
      <c r="G504" s="16" t="s">
        <v>176</v>
      </c>
      <c r="H504" s="16" t="s">
        <v>14</v>
      </c>
      <c r="I504" s="16"/>
      <c r="J504" s="16"/>
      <c r="K504" s="16"/>
      <c r="L504" s="16"/>
      <c r="M504" s="16"/>
      <c r="N504" s="16"/>
      <c r="O504" s="16"/>
      <c r="P504" s="16"/>
      <c r="Q504" s="16"/>
      <c r="R504" s="16"/>
      <c r="S504" s="16">
        <v>-2.0</v>
      </c>
      <c r="T504" s="16"/>
      <c r="U504" s="16" t="s">
        <v>2415</v>
      </c>
      <c r="V504" s="16" t="s">
        <v>2416</v>
      </c>
      <c r="W504" s="16" t="s">
        <v>188</v>
      </c>
      <c r="X504" s="16" t="s">
        <v>181</v>
      </c>
      <c r="Y504" s="100"/>
      <c r="Z504" s="16" t="s">
        <v>181</v>
      </c>
    </row>
    <row r="505">
      <c r="A505" s="16">
        <v>12995.0</v>
      </c>
      <c r="B505" s="16" t="s">
        <v>2417</v>
      </c>
      <c r="C505" s="16">
        <v>0.29</v>
      </c>
      <c r="D505" s="174" t="s">
        <v>2418</v>
      </c>
      <c r="E505" s="16"/>
      <c r="F505" s="16">
        <v>562.0</v>
      </c>
      <c r="G505" s="16" t="s">
        <v>1381</v>
      </c>
      <c r="H505" s="16" t="s">
        <v>19</v>
      </c>
      <c r="I505" s="16" t="s">
        <v>18</v>
      </c>
      <c r="J505" s="16" t="s">
        <v>17</v>
      </c>
      <c r="K505" s="16"/>
      <c r="L505" s="16"/>
      <c r="M505" s="16"/>
      <c r="N505" s="16"/>
      <c r="O505" s="16"/>
      <c r="P505" s="16"/>
      <c r="Q505" s="16"/>
      <c r="R505" s="16"/>
      <c r="S505" s="16">
        <v>-2.0</v>
      </c>
      <c r="T505" s="16"/>
      <c r="U505" s="16" t="s">
        <v>2419</v>
      </c>
      <c r="V505" s="16" t="s">
        <v>2420</v>
      </c>
      <c r="W505" s="16" t="s">
        <v>661</v>
      </c>
      <c r="X505" s="16" t="s">
        <v>181</v>
      </c>
      <c r="Y505" s="100"/>
      <c r="Z505" s="16" t="s">
        <v>181</v>
      </c>
    </row>
    <row r="506">
      <c r="A506" s="16">
        <v>12996.0</v>
      </c>
      <c r="B506" s="16" t="s">
        <v>2421</v>
      </c>
      <c r="C506" s="16">
        <v>0.0</v>
      </c>
      <c r="D506" s="174" t="s">
        <v>2422</v>
      </c>
      <c r="E506" s="16"/>
      <c r="F506" s="16">
        <v>547.0</v>
      </c>
      <c r="G506" s="16" t="s">
        <v>176</v>
      </c>
      <c r="H506" s="16" t="s">
        <v>17</v>
      </c>
      <c r="I506" s="16" t="s">
        <v>19</v>
      </c>
      <c r="J506" s="16" t="s">
        <v>18</v>
      </c>
      <c r="K506" s="16"/>
      <c r="L506" s="16"/>
      <c r="M506" s="16"/>
      <c r="N506" s="16"/>
      <c r="O506" s="16"/>
      <c r="P506" s="16"/>
      <c r="Q506" s="16"/>
      <c r="R506" s="16"/>
      <c r="S506" s="16">
        <v>-2.0</v>
      </c>
      <c r="T506" s="16"/>
      <c r="U506" s="16" t="s">
        <v>2423</v>
      </c>
      <c r="V506" s="16" t="s">
        <v>2424</v>
      </c>
      <c r="W506" s="16" t="s">
        <v>422</v>
      </c>
      <c r="X506" s="16" t="s">
        <v>181</v>
      </c>
      <c r="Y506" s="100"/>
      <c r="Z506" s="16" t="s">
        <v>181</v>
      </c>
    </row>
    <row r="507">
      <c r="A507" s="16">
        <v>12997.0</v>
      </c>
      <c r="B507" s="16" t="s">
        <v>2425</v>
      </c>
      <c r="C507" s="16">
        <v>0.62</v>
      </c>
      <c r="D507" s="174" t="s">
        <v>2426</v>
      </c>
      <c r="E507" s="16"/>
      <c r="F507" s="16">
        <v>547.0</v>
      </c>
      <c r="G507" s="16" t="s">
        <v>176</v>
      </c>
      <c r="H507" s="16" t="s">
        <v>24</v>
      </c>
      <c r="I507" s="16" t="s">
        <v>25</v>
      </c>
      <c r="J507" s="16" t="s">
        <v>26</v>
      </c>
      <c r="K507" s="16"/>
      <c r="L507" s="16"/>
      <c r="M507" s="16"/>
      <c r="N507" s="16"/>
      <c r="O507" s="16"/>
      <c r="P507" s="16"/>
      <c r="Q507" s="16"/>
      <c r="R507" s="16"/>
      <c r="S507" s="16">
        <v>-2.0</v>
      </c>
      <c r="T507" s="16"/>
      <c r="U507" s="16" t="s">
        <v>2427</v>
      </c>
      <c r="V507" s="16" t="s">
        <v>2428</v>
      </c>
      <c r="W507" s="16" t="s">
        <v>675</v>
      </c>
      <c r="X507" s="16" t="s">
        <v>181</v>
      </c>
      <c r="Y507" s="100"/>
      <c r="Z507" s="16" t="s">
        <v>181</v>
      </c>
    </row>
    <row r="508">
      <c r="A508" s="16">
        <v>12998.0</v>
      </c>
      <c r="B508" s="16" t="s">
        <v>2429</v>
      </c>
      <c r="C508" s="16">
        <v>0.0</v>
      </c>
      <c r="D508" s="174" t="s">
        <v>2430</v>
      </c>
      <c r="E508" s="16"/>
      <c r="F508" s="16">
        <v>547.0</v>
      </c>
      <c r="G508" s="16" t="s">
        <v>176</v>
      </c>
      <c r="H508" s="16" t="s">
        <v>25</v>
      </c>
      <c r="I508" s="16" t="s">
        <v>26</v>
      </c>
      <c r="J508" s="16"/>
      <c r="K508" s="16"/>
      <c r="L508" s="16"/>
      <c r="M508" s="16"/>
      <c r="N508" s="16"/>
      <c r="O508" s="16"/>
      <c r="P508" s="16"/>
      <c r="Q508" s="16"/>
      <c r="R508" s="16"/>
      <c r="S508" s="16">
        <v>-2.0</v>
      </c>
      <c r="T508" s="16"/>
      <c r="U508" s="16" t="s">
        <v>2431</v>
      </c>
      <c r="V508" s="16" t="s">
        <v>2432</v>
      </c>
      <c r="W508" s="16" t="s">
        <v>422</v>
      </c>
      <c r="X508" s="16" t="s">
        <v>181</v>
      </c>
      <c r="Y508" s="100"/>
      <c r="Z508" s="16" t="s">
        <v>181</v>
      </c>
    </row>
    <row r="509">
      <c r="A509" s="16">
        <v>12999.0</v>
      </c>
      <c r="B509" s="16" t="s">
        <v>2433</v>
      </c>
      <c r="C509" s="16">
        <v>0.0</v>
      </c>
      <c r="D509" s="174" t="s">
        <v>2434</v>
      </c>
      <c r="E509" s="16"/>
      <c r="F509" s="16">
        <v>547.0</v>
      </c>
      <c r="G509" s="16" t="s">
        <v>176</v>
      </c>
      <c r="H509" s="16" t="s">
        <v>24</v>
      </c>
      <c r="I509" s="16" t="s">
        <v>25</v>
      </c>
      <c r="J509" s="16" t="s">
        <v>26</v>
      </c>
      <c r="K509" s="16"/>
      <c r="L509" s="16"/>
      <c r="M509" s="16"/>
      <c r="N509" s="16"/>
      <c r="O509" s="16"/>
      <c r="P509" s="16"/>
      <c r="Q509" s="16"/>
      <c r="R509" s="16"/>
      <c r="S509" s="16">
        <v>-2.0</v>
      </c>
      <c r="T509" s="16"/>
      <c r="U509" s="16" t="s">
        <v>2435</v>
      </c>
      <c r="V509" s="16" t="s">
        <v>2436</v>
      </c>
      <c r="W509" s="16" t="s">
        <v>675</v>
      </c>
      <c r="X509" s="16" t="s">
        <v>181</v>
      </c>
      <c r="Y509" s="100"/>
      <c r="Z509" s="16" t="s">
        <v>181</v>
      </c>
    </row>
    <row r="510">
      <c r="A510" s="16">
        <v>13000.0</v>
      </c>
      <c r="B510" s="16" t="s">
        <v>2437</v>
      </c>
      <c r="C510" s="16">
        <v>0.0</v>
      </c>
      <c r="D510" s="174" t="s">
        <v>2438</v>
      </c>
      <c r="E510" s="16"/>
      <c r="F510" s="16">
        <v>547.0</v>
      </c>
      <c r="G510" s="16" t="s">
        <v>176</v>
      </c>
      <c r="H510" s="16" t="s">
        <v>19</v>
      </c>
      <c r="I510" s="16"/>
      <c r="J510" s="16"/>
      <c r="K510" s="16"/>
      <c r="L510" s="16"/>
      <c r="M510" s="16"/>
      <c r="N510" s="16"/>
      <c r="O510" s="16"/>
      <c r="P510" s="16"/>
      <c r="Q510" s="16"/>
      <c r="R510" s="16"/>
      <c r="S510" s="16">
        <v>-2.0</v>
      </c>
      <c r="T510" s="16"/>
      <c r="U510" s="16" t="s">
        <v>2439</v>
      </c>
      <c r="V510" s="16" t="s">
        <v>2440</v>
      </c>
      <c r="W510" s="16" t="s">
        <v>332</v>
      </c>
      <c r="X510" s="16" t="s">
        <v>181</v>
      </c>
      <c r="Y510" s="100"/>
      <c r="Z510" s="16" t="s">
        <v>181</v>
      </c>
    </row>
    <row r="511">
      <c r="A511" s="16">
        <v>13001.0</v>
      </c>
      <c r="B511" s="16" t="s">
        <v>2441</v>
      </c>
      <c r="C511" s="16">
        <v>0.0</v>
      </c>
      <c r="D511" s="174" t="s">
        <v>2442</v>
      </c>
      <c r="E511" s="16"/>
      <c r="F511" s="16">
        <v>547.0</v>
      </c>
      <c r="G511" s="16" t="s">
        <v>176</v>
      </c>
      <c r="H511" s="16" t="s">
        <v>25</v>
      </c>
      <c r="I511" s="16"/>
      <c r="J511" s="16"/>
      <c r="K511" s="16"/>
      <c r="L511" s="16"/>
      <c r="M511" s="16"/>
      <c r="N511" s="16"/>
      <c r="O511" s="16"/>
      <c r="P511" s="16"/>
      <c r="Q511" s="16"/>
      <c r="R511" s="16"/>
      <c r="S511" s="16">
        <v>-2.0</v>
      </c>
      <c r="T511" s="16"/>
      <c r="U511" s="16" t="s">
        <v>2443</v>
      </c>
      <c r="V511" s="16" t="s">
        <v>2444</v>
      </c>
      <c r="W511" s="16" t="s">
        <v>942</v>
      </c>
      <c r="X511" s="16" t="s">
        <v>181</v>
      </c>
      <c r="Y511" s="100"/>
      <c r="Z511" s="16" t="s">
        <v>181</v>
      </c>
    </row>
    <row r="512">
      <c r="A512" s="16">
        <v>13002.0</v>
      </c>
      <c r="B512" s="16" t="s">
        <v>2445</v>
      </c>
      <c r="C512" s="16">
        <v>1.56</v>
      </c>
      <c r="D512" s="174" t="s">
        <v>2446</v>
      </c>
      <c r="E512" s="16"/>
      <c r="F512" s="16">
        <v>572.0</v>
      </c>
      <c r="G512" s="16" t="s">
        <v>306</v>
      </c>
      <c r="H512" s="16" t="s">
        <v>15</v>
      </c>
      <c r="I512" s="16" t="s">
        <v>14</v>
      </c>
      <c r="J512" s="16" t="s">
        <v>16</v>
      </c>
      <c r="K512" s="16"/>
      <c r="L512" s="16"/>
      <c r="M512" s="16"/>
      <c r="N512" s="16"/>
      <c r="O512" s="16"/>
      <c r="P512" s="16"/>
      <c r="Q512" s="16"/>
      <c r="R512" s="16"/>
      <c r="S512" s="16">
        <v>-2.0</v>
      </c>
      <c r="T512" s="16"/>
      <c r="U512" s="16" t="s">
        <v>2447</v>
      </c>
      <c r="V512" s="16" t="s">
        <v>2448</v>
      </c>
      <c r="W512" s="16" t="s">
        <v>661</v>
      </c>
      <c r="X512" s="16" t="s">
        <v>181</v>
      </c>
      <c r="Y512" s="100"/>
      <c r="Z512" s="16" t="s">
        <v>181</v>
      </c>
    </row>
    <row r="513">
      <c r="A513" s="16">
        <v>13003.0</v>
      </c>
      <c r="B513" s="16" t="s">
        <v>2449</v>
      </c>
      <c r="C513" s="16">
        <v>0.0</v>
      </c>
      <c r="D513" s="174" t="s">
        <v>2450</v>
      </c>
      <c r="E513" s="16"/>
      <c r="F513" s="16">
        <v>547.0</v>
      </c>
      <c r="G513" s="16" t="s">
        <v>176</v>
      </c>
      <c r="H513" s="16" t="s">
        <v>24</v>
      </c>
      <c r="I513" s="16"/>
      <c r="J513" s="16"/>
      <c r="K513" s="16"/>
      <c r="L513" s="16"/>
      <c r="M513" s="16"/>
      <c r="N513" s="16"/>
      <c r="O513" s="16"/>
      <c r="P513" s="16"/>
      <c r="Q513" s="16"/>
      <c r="R513" s="16"/>
      <c r="S513" s="16">
        <v>-2.0</v>
      </c>
      <c r="T513" s="16"/>
      <c r="U513" s="16" t="s">
        <v>2451</v>
      </c>
      <c r="V513" s="16" t="s">
        <v>2452</v>
      </c>
      <c r="W513" s="16" t="s">
        <v>496</v>
      </c>
      <c r="X513" s="16" t="s">
        <v>181</v>
      </c>
      <c r="Y513" s="100"/>
      <c r="Z513" s="16" t="s">
        <v>181</v>
      </c>
    </row>
    <row r="514">
      <c r="A514" s="16">
        <v>13004.0</v>
      </c>
      <c r="B514" s="16" t="s">
        <v>2453</v>
      </c>
      <c r="C514" s="16">
        <v>1.15</v>
      </c>
      <c r="D514" s="174" t="s">
        <v>2454</v>
      </c>
      <c r="E514" s="16"/>
      <c r="F514" s="16">
        <v>587.0</v>
      </c>
      <c r="G514" s="16" t="s">
        <v>289</v>
      </c>
      <c r="H514" s="16" t="s">
        <v>25</v>
      </c>
      <c r="I514" s="16"/>
      <c r="J514" s="16"/>
      <c r="K514" s="16"/>
      <c r="L514" s="16"/>
      <c r="M514" s="16"/>
      <c r="N514" s="16"/>
      <c r="O514" s="16"/>
      <c r="P514" s="16"/>
      <c r="Q514" s="16"/>
      <c r="R514" s="16"/>
      <c r="S514" s="16">
        <v>-2.0</v>
      </c>
      <c r="T514" s="16"/>
      <c r="U514" s="16" t="s">
        <v>2455</v>
      </c>
      <c r="V514" s="16" t="s">
        <v>2456</v>
      </c>
      <c r="W514" s="16" t="s">
        <v>179</v>
      </c>
      <c r="X514" s="16" t="s">
        <v>181</v>
      </c>
      <c r="Y514" s="100"/>
      <c r="Z514" s="16" t="s">
        <v>181</v>
      </c>
    </row>
    <row r="515">
      <c r="A515" s="16">
        <v>13005.0</v>
      </c>
      <c r="B515" s="16" t="s">
        <v>2457</v>
      </c>
      <c r="C515" s="16">
        <v>0.49</v>
      </c>
      <c r="D515" s="174" t="s">
        <v>2458</v>
      </c>
      <c r="E515" s="16"/>
      <c r="F515" s="16">
        <v>547.0</v>
      </c>
      <c r="G515" s="16" t="s">
        <v>176</v>
      </c>
      <c r="H515" s="16" t="s">
        <v>25</v>
      </c>
      <c r="I515" s="16" t="s">
        <v>26</v>
      </c>
      <c r="J515" s="16"/>
      <c r="K515" s="16"/>
      <c r="L515" s="16"/>
      <c r="M515" s="16"/>
      <c r="N515" s="16"/>
      <c r="O515" s="16"/>
      <c r="P515" s="16"/>
      <c r="Q515" s="16"/>
      <c r="R515" s="16"/>
      <c r="S515" s="16">
        <v>-2.0</v>
      </c>
      <c r="T515" s="16"/>
      <c r="U515" s="16" t="s">
        <v>2459</v>
      </c>
      <c r="V515" s="16" t="s">
        <v>2460</v>
      </c>
      <c r="W515" s="16" t="s">
        <v>259</v>
      </c>
      <c r="X515" s="16" t="s">
        <v>181</v>
      </c>
      <c r="Y515" s="100"/>
      <c r="Z515" s="16" t="s">
        <v>181</v>
      </c>
    </row>
    <row r="516">
      <c r="A516" s="16">
        <v>13006.0</v>
      </c>
      <c r="B516" s="16" t="s">
        <v>2461</v>
      </c>
      <c r="C516" s="16">
        <v>1.25</v>
      </c>
      <c r="D516" s="174" t="s">
        <v>2462</v>
      </c>
      <c r="E516" s="16"/>
      <c r="F516" s="16">
        <v>547.0</v>
      </c>
      <c r="G516" s="16" t="s">
        <v>176</v>
      </c>
      <c r="H516" s="16" t="s">
        <v>14</v>
      </c>
      <c r="I516" s="16" t="s">
        <v>16</v>
      </c>
      <c r="J516" s="16" t="s">
        <v>18</v>
      </c>
      <c r="K516" s="16"/>
      <c r="L516" s="16"/>
      <c r="M516" s="16"/>
      <c r="N516" s="16"/>
      <c r="O516" s="16"/>
      <c r="P516" s="16"/>
      <c r="Q516" s="16"/>
      <c r="R516" s="16"/>
      <c r="S516" s="16">
        <v>-2.0</v>
      </c>
      <c r="T516" s="16"/>
      <c r="U516" s="16" t="s">
        <v>2463</v>
      </c>
      <c r="V516" s="16" t="s">
        <v>2464</v>
      </c>
      <c r="W516" s="16" t="s">
        <v>422</v>
      </c>
      <c r="X516" s="16" t="s">
        <v>181</v>
      </c>
      <c r="Y516" s="100"/>
      <c r="Z516" s="16" t="s">
        <v>181</v>
      </c>
    </row>
    <row r="517">
      <c r="A517" s="16">
        <v>13007.0</v>
      </c>
      <c r="B517" s="16" t="s">
        <v>110</v>
      </c>
      <c r="C517" s="16">
        <v>0.48</v>
      </c>
      <c r="D517" s="174" t="s">
        <v>2465</v>
      </c>
      <c r="E517" s="16"/>
      <c r="F517" s="16">
        <v>548.0</v>
      </c>
      <c r="G517" s="16" t="s">
        <v>126</v>
      </c>
      <c r="H517" s="16" t="s">
        <v>14</v>
      </c>
      <c r="I517" s="16"/>
      <c r="J517" s="16"/>
      <c r="K517" s="16"/>
      <c r="L517" s="16"/>
      <c r="M517" s="16"/>
      <c r="N517" s="16"/>
      <c r="O517" s="16"/>
      <c r="P517" s="16"/>
      <c r="Q517" s="16"/>
      <c r="R517" s="16"/>
      <c r="S517" s="16">
        <v>-2.0</v>
      </c>
      <c r="T517" s="16"/>
      <c r="U517" s="16" t="s">
        <v>2466</v>
      </c>
      <c r="V517" s="16" t="s">
        <v>2467</v>
      </c>
      <c r="W517" s="16" t="s">
        <v>675</v>
      </c>
      <c r="X517" s="16" t="s">
        <v>181</v>
      </c>
      <c r="Y517" s="100"/>
      <c r="Z517" s="16" t="s">
        <v>181</v>
      </c>
    </row>
    <row r="518">
      <c r="A518" s="16">
        <v>13008.0</v>
      </c>
      <c r="B518" s="16" t="s">
        <v>2468</v>
      </c>
      <c r="C518" s="16">
        <v>0.56</v>
      </c>
      <c r="D518" s="174" t="s">
        <v>2469</v>
      </c>
      <c r="E518" s="16"/>
      <c r="F518" s="16">
        <v>569.0</v>
      </c>
      <c r="G518" s="16" t="s">
        <v>292</v>
      </c>
      <c r="H518" s="16" t="s">
        <v>19</v>
      </c>
      <c r="I518" s="16" t="s">
        <v>17</v>
      </c>
      <c r="J518" s="16"/>
      <c r="K518" s="16"/>
      <c r="L518" s="16"/>
      <c r="M518" s="16"/>
      <c r="N518" s="16"/>
      <c r="O518" s="16"/>
      <c r="P518" s="16"/>
      <c r="Q518" s="16"/>
      <c r="R518" s="16"/>
      <c r="S518" s="16">
        <v>-2.0</v>
      </c>
      <c r="T518" s="16"/>
      <c r="U518" s="16" t="s">
        <v>2470</v>
      </c>
      <c r="V518" s="16" t="s">
        <v>2471</v>
      </c>
      <c r="W518" s="16" t="s">
        <v>443</v>
      </c>
      <c r="X518" s="16" t="s">
        <v>181</v>
      </c>
      <c r="Y518" s="100"/>
      <c r="Z518" s="16" t="s">
        <v>181</v>
      </c>
    </row>
    <row r="519">
      <c r="A519" s="16">
        <v>13009.0</v>
      </c>
      <c r="B519" s="16" t="s">
        <v>2472</v>
      </c>
      <c r="C519" s="16">
        <v>0.75</v>
      </c>
      <c r="D519" s="174" t="s">
        <v>2473</v>
      </c>
      <c r="E519" s="16"/>
      <c r="F519" s="16">
        <v>590.0</v>
      </c>
      <c r="G519" s="16" t="s">
        <v>387</v>
      </c>
      <c r="H519" s="16" t="s">
        <v>25</v>
      </c>
      <c r="I519" s="16" t="s">
        <v>26</v>
      </c>
      <c r="J519" s="16"/>
      <c r="K519" s="16"/>
      <c r="L519" s="16"/>
      <c r="M519" s="16"/>
      <c r="N519" s="16"/>
      <c r="O519" s="16"/>
      <c r="P519" s="16"/>
      <c r="Q519" s="16"/>
      <c r="R519" s="16"/>
      <c r="S519" s="16">
        <v>-2.0</v>
      </c>
      <c r="T519" s="16"/>
      <c r="U519" s="16" t="s">
        <v>2474</v>
      </c>
      <c r="V519" s="16" t="s">
        <v>2475</v>
      </c>
      <c r="W519" s="16" t="s">
        <v>422</v>
      </c>
      <c r="X519" s="16" t="s">
        <v>181</v>
      </c>
      <c r="Y519" s="100"/>
      <c r="Z519" s="16" t="s">
        <v>181</v>
      </c>
    </row>
    <row r="520">
      <c r="A520" s="16">
        <v>13010.0</v>
      </c>
      <c r="B520" s="16" t="s">
        <v>2476</v>
      </c>
      <c r="C520" s="16">
        <v>0.0</v>
      </c>
      <c r="D520" s="174" t="s">
        <v>2477</v>
      </c>
      <c r="E520" s="16"/>
      <c r="F520" s="16">
        <v>547.0</v>
      </c>
      <c r="G520" s="16" t="s">
        <v>176</v>
      </c>
      <c r="H520" s="16" t="s">
        <v>13</v>
      </c>
      <c r="I520" s="16"/>
      <c r="J520" s="16"/>
      <c r="K520" s="16"/>
      <c r="L520" s="16"/>
      <c r="M520" s="16"/>
      <c r="N520" s="16"/>
      <c r="O520" s="16"/>
      <c r="P520" s="16"/>
      <c r="Q520" s="16"/>
      <c r="R520" s="16"/>
      <c r="S520" s="16">
        <v>-2.0</v>
      </c>
      <c r="T520" s="16"/>
      <c r="U520" s="16" t="s">
        <v>2478</v>
      </c>
      <c r="V520" s="16" t="s">
        <v>2479</v>
      </c>
      <c r="W520" s="16" t="s">
        <v>199</v>
      </c>
      <c r="X520" s="16" t="s">
        <v>181</v>
      </c>
      <c r="Y520" s="100"/>
      <c r="Z520" s="16" t="s">
        <v>181</v>
      </c>
    </row>
    <row r="521">
      <c r="A521" s="16">
        <v>13011.0</v>
      </c>
      <c r="B521" s="16" t="s">
        <v>2480</v>
      </c>
      <c r="C521" s="16">
        <v>1.45</v>
      </c>
      <c r="D521" s="174" t="s">
        <v>2481</v>
      </c>
      <c r="E521" s="16"/>
      <c r="F521" s="16">
        <v>590.0</v>
      </c>
      <c r="G521" s="16" t="s">
        <v>387</v>
      </c>
      <c r="H521" s="16" t="s">
        <v>14</v>
      </c>
      <c r="I521" s="16"/>
      <c r="J521" s="16"/>
      <c r="K521" s="16"/>
      <c r="L521" s="16"/>
      <c r="M521" s="16"/>
      <c r="N521" s="16"/>
      <c r="O521" s="16"/>
      <c r="P521" s="16"/>
      <c r="Q521" s="16"/>
      <c r="R521" s="16"/>
      <c r="S521" s="16">
        <v>-2.0</v>
      </c>
      <c r="T521" s="16"/>
      <c r="U521" s="16" t="s">
        <v>2482</v>
      </c>
      <c r="V521" s="16" t="s">
        <v>2483</v>
      </c>
      <c r="W521" s="16" t="s">
        <v>188</v>
      </c>
      <c r="X521" s="16" t="s">
        <v>181</v>
      </c>
      <c r="Y521" s="100"/>
      <c r="Z521" s="16" t="s">
        <v>181</v>
      </c>
    </row>
    <row r="522">
      <c r="A522" s="16">
        <v>13012.0</v>
      </c>
      <c r="B522" s="16" t="s">
        <v>2484</v>
      </c>
      <c r="C522" s="16">
        <v>0.23</v>
      </c>
      <c r="D522" s="174" t="s">
        <v>2485</v>
      </c>
      <c r="E522" s="16"/>
      <c r="F522" s="16">
        <v>557.0</v>
      </c>
      <c r="G522" s="16" t="s">
        <v>232</v>
      </c>
      <c r="H522" s="16" t="s">
        <v>25</v>
      </c>
      <c r="I522" s="16" t="s">
        <v>26</v>
      </c>
      <c r="J522" s="16"/>
      <c r="K522" s="16"/>
      <c r="L522" s="16"/>
      <c r="M522" s="16"/>
      <c r="N522" s="16"/>
      <c r="O522" s="16"/>
      <c r="P522" s="16"/>
      <c r="Q522" s="16"/>
      <c r="R522" s="16"/>
      <c r="S522" s="16">
        <v>-2.0</v>
      </c>
      <c r="T522" s="16"/>
      <c r="U522" s="16" t="s">
        <v>2486</v>
      </c>
      <c r="V522" s="16" t="s">
        <v>2487</v>
      </c>
      <c r="W522" s="16" t="s">
        <v>179</v>
      </c>
      <c r="X522" s="16" t="s">
        <v>181</v>
      </c>
      <c r="Y522" s="100"/>
      <c r="Z522" s="16" t="s">
        <v>181</v>
      </c>
    </row>
    <row r="523">
      <c r="A523" s="16">
        <v>13013.0</v>
      </c>
      <c r="B523" s="16" t="s">
        <v>2488</v>
      </c>
      <c r="C523" s="16">
        <v>0.0</v>
      </c>
      <c r="D523" s="174" t="s">
        <v>2489</v>
      </c>
      <c r="E523" s="16"/>
      <c r="F523" s="16">
        <v>566.0</v>
      </c>
      <c r="G523" s="16" t="s">
        <v>277</v>
      </c>
      <c r="H523" s="16" t="s">
        <v>17</v>
      </c>
      <c r="I523" s="16" t="s">
        <v>18</v>
      </c>
      <c r="J523" s="16" t="s">
        <v>19</v>
      </c>
      <c r="K523" s="16"/>
      <c r="L523" s="16"/>
      <c r="M523" s="16"/>
      <c r="N523" s="16"/>
      <c r="O523" s="16"/>
      <c r="P523" s="16"/>
      <c r="Q523" s="16"/>
      <c r="R523" s="16"/>
      <c r="S523" s="16">
        <v>-2.0</v>
      </c>
      <c r="T523" s="16"/>
      <c r="U523" s="16" t="s">
        <v>2490</v>
      </c>
      <c r="V523" s="16" t="s">
        <v>2491</v>
      </c>
      <c r="W523" s="16" t="s">
        <v>332</v>
      </c>
      <c r="X523" s="16" t="s">
        <v>181</v>
      </c>
      <c r="Y523" s="100"/>
      <c r="Z523" s="16" t="s">
        <v>181</v>
      </c>
    </row>
    <row r="524">
      <c r="A524" s="16">
        <v>13014.0</v>
      </c>
      <c r="B524" s="16" t="s">
        <v>2492</v>
      </c>
      <c r="C524" s="16">
        <v>1.03</v>
      </c>
      <c r="D524" s="174" t="s">
        <v>2493</v>
      </c>
      <c r="E524" s="16"/>
      <c r="F524" s="16">
        <v>581.0</v>
      </c>
      <c r="G524" s="16" t="s">
        <v>346</v>
      </c>
      <c r="H524" s="16" t="s">
        <v>24</v>
      </c>
      <c r="I524" s="16"/>
      <c r="J524" s="16"/>
      <c r="K524" s="16"/>
      <c r="L524" s="16"/>
      <c r="M524" s="16"/>
      <c r="N524" s="16"/>
      <c r="O524" s="16"/>
      <c r="P524" s="16"/>
      <c r="Q524" s="16"/>
      <c r="R524" s="16"/>
      <c r="S524" s="16">
        <v>-2.0</v>
      </c>
      <c r="T524" s="16"/>
      <c r="U524" s="16" t="s">
        <v>2494</v>
      </c>
      <c r="V524" s="16" t="s">
        <v>2495</v>
      </c>
      <c r="W524" s="16" t="s">
        <v>231</v>
      </c>
      <c r="X524" s="16" t="s">
        <v>181</v>
      </c>
      <c r="Y524" s="100"/>
      <c r="Z524" s="16" t="s">
        <v>181</v>
      </c>
    </row>
    <row r="525">
      <c r="A525" s="16">
        <v>13015.0</v>
      </c>
      <c r="B525" s="16" t="s">
        <v>2496</v>
      </c>
      <c r="C525" s="16">
        <v>2.23</v>
      </c>
      <c r="D525" s="174" t="s">
        <v>2497</v>
      </c>
      <c r="E525" s="16"/>
      <c r="F525" s="16">
        <v>569.0</v>
      </c>
      <c r="G525" s="16" t="s">
        <v>292</v>
      </c>
      <c r="H525" s="16" t="s">
        <v>24</v>
      </c>
      <c r="I525" s="16" t="s">
        <v>25</v>
      </c>
      <c r="J525" s="16" t="s">
        <v>26</v>
      </c>
      <c r="K525" s="16"/>
      <c r="L525" s="16"/>
      <c r="M525" s="16"/>
      <c r="N525" s="16"/>
      <c r="O525" s="16"/>
      <c r="P525" s="16"/>
      <c r="Q525" s="16"/>
      <c r="R525" s="16"/>
      <c r="S525" s="16">
        <v>-2.0</v>
      </c>
      <c r="T525" s="16"/>
      <c r="U525" s="16" t="s">
        <v>2498</v>
      </c>
      <c r="V525" s="16" t="s">
        <v>2499</v>
      </c>
      <c r="W525" s="16" t="s">
        <v>360</v>
      </c>
      <c r="X525" s="16" t="s">
        <v>181</v>
      </c>
      <c r="Y525" s="100"/>
      <c r="Z525" s="16" t="s">
        <v>181</v>
      </c>
    </row>
    <row r="526">
      <c r="A526" s="16">
        <v>13016.0</v>
      </c>
      <c r="B526" s="16" t="s">
        <v>2500</v>
      </c>
      <c r="C526" s="16">
        <v>0.96</v>
      </c>
      <c r="D526" s="174" t="s">
        <v>2501</v>
      </c>
      <c r="E526" s="16"/>
      <c r="F526" s="16">
        <v>562.0</v>
      </c>
      <c r="G526" s="16" t="s">
        <v>1381</v>
      </c>
      <c r="H526" s="16" t="s">
        <v>16</v>
      </c>
      <c r="I526" s="16" t="s">
        <v>15</v>
      </c>
      <c r="J526" s="16" t="s">
        <v>14</v>
      </c>
      <c r="K526" s="16"/>
      <c r="L526" s="16"/>
      <c r="M526" s="16"/>
      <c r="N526" s="16"/>
      <c r="O526" s="16"/>
      <c r="P526" s="16"/>
      <c r="Q526" s="16"/>
      <c r="R526" s="16"/>
      <c r="S526" s="16">
        <v>-2.0</v>
      </c>
      <c r="T526" s="16"/>
      <c r="U526" s="16" t="s">
        <v>2502</v>
      </c>
      <c r="V526" s="16" t="s">
        <v>2503</v>
      </c>
      <c r="W526" s="16" t="s">
        <v>443</v>
      </c>
      <c r="X526" s="16" t="s">
        <v>181</v>
      </c>
      <c r="Y526" s="100"/>
      <c r="Z526" s="16" t="s">
        <v>181</v>
      </c>
    </row>
    <row r="527">
      <c r="A527" s="16">
        <v>13017.0</v>
      </c>
      <c r="B527" s="16" t="s">
        <v>2504</v>
      </c>
      <c r="C527" s="16">
        <v>0.0</v>
      </c>
      <c r="D527" s="174" t="s">
        <v>2505</v>
      </c>
      <c r="E527" s="16"/>
      <c r="F527" s="16">
        <v>569.0</v>
      </c>
      <c r="G527" s="16" t="s">
        <v>292</v>
      </c>
      <c r="H527" s="16" t="s">
        <v>14</v>
      </c>
      <c r="I527" s="16" t="s">
        <v>15</v>
      </c>
      <c r="J527" s="16" t="s">
        <v>17</v>
      </c>
      <c r="K527" s="16"/>
      <c r="L527" s="16"/>
      <c r="M527" s="16"/>
      <c r="N527" s="16"/>
      <c r="O527" s="16"/>
      <c r="P527" s="16"/>
      <c r="Q527" s="16"/>
      <c r="R527" s="16"/>
      <c r="S527" s="16">
        <v>-2.0</v>
      </c>
      <c r="T527" s="16"/>
      <c r="U527" s="16" t="s">
        <v>2506</v>
      </c>
      <c r="V527" s="16" t="s">
        <v>2507</v>
      </c>
      <c r="W527" s="16" t="s">
        <v>199</v>
      </c>
      <c r="X527" s="16" t="s">
        <v>181</v>
      </c>
      <c r="Y527" s="100"/>
      <c r="Z527" s="16" t="s">
        <v>181</v>
      </c>
    </row>
    <row r="528">
      <c r="A528" s="16">
        <v>13018.0</v>
      </c>
      <c r="B528" s="16" t="s">
        <v>2508</v>
      </c>
      <c r="C528" s="16">
        <v>0.0</v>
      </c>
      <c r="D528" s="174" t="s">
        <v>2509</v>
      </c>
      <c r="E528" s="16"/>
      <c r="F528" s="16">
        <v>578.0</v>
      </c>
      <c r="G528" s="16" t="s">
        <v>333</v>
      </c>
      <c r="H528" s="16" t="s">
        <v>12</v>
      </c>
      <c r="I528" s="16" t="s">
        <v>15</v>
      </c>
      <c r="J528" s="16"/>
      <c r="K528" s="16"/>
      <c r="L528" s="16"/>
      <c r="M528" s="16"/>
      <c r="N528" s="16"/>
      <c r="O528" s="16"/>
      <c r="P528" s="16"/>
      <c r="Q528" s="16"/>
      <c r="R528" s="16"/>
      <c r="S528" s="16">
        <v>-2.0</v>
      </c>
      <c r="T528" s="16"/>
      <c r="U528" s="16" t="s">
        <v>2510</v>
      </c>
      <c r="V528" s="16" t="s">
        <v>2511</v>
      </c>
      <c r="W528" s="16" t="s">
        <v>399</v>
      </c>
      <c r="X528" s="16" t="s">
        <v>181</v>
      </c>
      <c r="Y528" s="100"/>
      <c r="Z528" s="16" t="s">
        <v>181</v>
      </c>
    </row>
    <row r="529">
      <c r="A529" s="16">
        <v>13019.0</v>
      </c>
      <c r="B529" s="16" t="s">
        <v>2512</v>
      </c>
      <c r="C529" s="16">
        <v>3.09</v>
      </c>
      <c r="D529" s="174" t="s">
        <v>2513</v>
      </c>
      <c r="E529" s="16"/>
      <c r="F529" s="16">
        <v>569.0</v>
      </c>
      <c r="G529" s="16" t="s">
        <v>292</v>
      </c>
      <c r="H529" s="16" t="s">
        <v>14</v>
      </c>
      <c r="I529" s="16" t="s">
        <v>15</v>
      </c>
      <c r="J529" s="16" t="s">
        <v>16</v>
      </c>
      <c r="K529" s="16"/>
      <c r="L529" s="16"/>
      <c r="M529" s="16"/>
      <c r="N529" s="16"/>
      <c r="O529" s="16"/>
      <c r="P529" s="16"/>
      <c r="Q529" s="16"/>
      <c r="R529" s="16"/>
      <c r="S529" s="16">
        <v>-2.0</v>
      </c>
      <c r="T529" s="16"/>
      <c r="U529" s="16" t="s">
        <v>2514</v>
      </c>
      <c r="V529" s="16" t="s">
        <v>2515</v>
      </c>
      <c r="W529" s="16" t="s">
        <v>360</v>
      </c>
      <c r="X529" s="16" t="s">
        <v>181</v>
      </c>
      <c r="Y529" s="100"/>
      <c r="Z529" s="16" t="s">
        <v>181</v>
      </c>
    </row>
    <row r="530">
      <c r="A530" s="16">
        <v>13020.0</v>
      </c>
      <c r="B530" s="16" t="s">
        <v>2516</v>
      </c>
      <c r="C530" s="16">
        <v>0.0</v>
      </c>
      <c r="D530" s="174" t="s">
        <v>2517</v>
      </c>
      <c r="E530" s="16"/>
      <c r="F530" s="16">
        <v>547.0</v>
      </c>
      <c r="G530" s="16" t="s">
        <v>176</v>
      </c>
      <c r="H530" s="16" t="s">
        <v>25</v>
      </c>
      <c r="I530" s="16" t="s">
        <v>26</v>
      </c>
      <c r="J530" s="16"/>
      <c r="K530" s="16"/>
      <c r="L530" s="16"/>
      <c r="M530" s="16"/>
      <c r="N530" s="16"/>
      <c r="O530" s="16"/>
      <c r="P530" s="16"/>
      <c r="Q530" s="16"/>
      <c r="R530" s="16"/>
      <c r="S530" s="16">
        <v>-2.0</v>
      </c>
      <c r="T530" s="16"/>
      <c r="U530" s="16" t="s">
        <v>2518</v>
      </c>
      <c r="V530" s="16" t="s">
        <v>2519</v>
      </c>
      <c r="W530" s="16" t="s">
        <v>491</v>
      </c>
      <c r="X530" s="16" t="s">
        <v>181</v>
      </c>
      <c r="Y530" s="100"/>
      <c r="Z530" s="16" t="s">
        <v>181</v>
      </c>
    </row>
    <row r="531">
      <c r="A531" s="16">
        <v>13021.0</v>
      </c>
      <c r="B531" s="16" t="s">
        <v>2520</v>
      </c>
      <c r="C531" s="16">
        <v>1.15</v>
      </c>
      <c r="D531" s="174" t="s">
        <v>2521</v>
      </c>
      <c r="E531" s="16"/>
      <c r="F531" s="16">
        <v>581.0</v>
      </c>
      <c r="G531" s="16" t="s">
        <v>346</v>
      </c>
      <c r="H531" s="16" t="s">
        <v>15</v>
      </c>
      <c r="I531" s="16" t="s">
        <v>13</v>
      </c>
      <c r="J531" s="16" t="s">
        <v>16</v>
      </c>
      <c r="K531" s="16"/>
      <c r="L531" s="16"/>
      <c r="M531" s="16"/>
      <c r="N531" s="16"/>
      <c r="O531" s="16"/>
      <c r="P531" s="16"/>
      <c r="Q531" s="16"/>
      <c r="R531" s="16"/>
      <c r="S531" s="16">
        <v>-2.0</v>
      </c>
      <c r="T531" s="16"/>
      <c r="U531" s="16" t="s">
        <v>2522</v>
      </c>
      <c r="V531" s="16" t="s">
        <v>2523</v>
      </c>
      <c r="W531" s="16" t="s">
        <v>675</v>
      </c>
      <c r="X531" s="16" t="s">
        <v>181</v>
      </c>
      <c r="Y531" s="100"/>
      <c r="Z531" s="16" t="s">
        <v>181</v>
      </c>
    </row>
    <row r="532">
      <c r="A532" s="16">
        <v>13022.0</v>
      </c>
      <c r="B532" s="16" t="s">
        <v>2524</v>
      </c>
      <c r="C532" s="16">
        <v>0.66</v>
      </c>
      <c r="D532" s="174" t="s">
        <v>2525</v>
      </c>
      <c r="E532" s="16"/>
      <c r="F532" s="16">
        <v>547.0</v>
      </c>
      <c r="G532" s="16" t="s">
        <v>176</v>
      </c>
      <c r="H532" s="16" t="s">
        <v>24</v>
      </c>
      <c r="I532" s="16"/>
      <c r="J532" s="16"/>
      <c r="K532" s="16"/>
      <c r="L532" s="16"/>
      <c r="M532" s="16"/>
      <c r="N532" s="16"/>
      <c r="O532" s="16"/>
      <c r="P532" s="16"/>
      <c r="Q532" s="16"/>
      <c r="R532" s="16"/>
      <c r="S532" s="16">
        <v>-2.0</v>
      </c>
      <c r="T532" s="16"/>
      <c r="U532" s="16" t="s">
        <v>2526</v>
      </c>
      <c r="V532" s="16" t="s">
        <v>2527</v>
      </c>
      <c r="W532" s="16" t="s">
        <v>188</v>
      </c>
      <c r="X532" s="16" t="s">
        <v>181</v>
      </c>
      <c r="Y532" s="100"/>
      <c r="Z532" s="16" t="s">
        <v>181</v>
      </c>
    </row>
    <row r="533">
      <c r="A533" s="16">
        <v>13023.0</v>
      </c>
      <c r="B533" s="16" t="s">
        <v>2528</v>
      </c>
      <c r="C533" s="16">
        <v>2.89</v>
      </c>
      <c r="D533" s="174" t="s">
        <v>2529</v>
      </c>
      <c r="E533" s="16"/>
      <c r="F533" s="16">
        <v>566.0</v>
      </c>
      <c r="G533" s="16" t="s">
        <v>277</v>
      </c>
      <c r="H533" s="16" t="s">
        <v>15</v>
      </c>
      <c r="I533" s="16"/>
      <c r="J533" s="16"/>
      <c r="K533" s="16"/>
      <c r="L533" s="16"/>
      <c r="M533" s="16"/>
      <c r="N533" s="16"/>
      <c r="O533" s="16"/>
      <c r="P533" s="16"/>
      <c r="Q533" s="16"/>
      <c r="R533" s="16"/>
      <c r="S533" s="16">
        <v>-2.0</v>
      </c>
      <c r="T533" s="16"/>
      <c r="U533" s="16" t="s">
        <v>2530</v>
      </c>
      <c r="V533" s="16" t="s">
        <v>2531</v>
      </c>
      <c r="W533" s="16" t="s">
        <v>188</v>
      </c>
      <c r="X533" s="16" t="s">
        <v>181</v>
      </c>
      <c r="Y533" s="100"/>
      <c r="Z533" s="16" t="s">
        <v>181</v>
      </c>
    </row>
    <row r="534">
      <c r="A534" s="16">
        <v>13024.0</v>
      </c>
      <c r="B534" s="16" t="s">
        <v>2532</v>
      </c>
      <c r="C534" s="16">
        <v>0.28</v>
      </c>
      <c r="D534" s="174" t="s">
        <v>2533</v>
      </c>
      <c r="E534" s="16"/>
      <c r="F534" s="16">
        <v>547.0</v>
      </c>
      <c r="G534" s="16" t="s">
        <v>176</v>
      </c>
      <c r="H534" s="16" t="s">
        <v>25</v>
      </c>
      <c r="I534" s="16" t="s">
        <v>26</v>
      </c>
      <c r="J534" s="16"/>
      <c r="K534" s="16"/>
      <c r="L534" s="16"/>
      <c r="M534" s="16"/>
      <c r="N534" s="16"/>
      <c r="O534" s="16"/>
      <c r="P534" s="16"/>
      <c r="Q534" s="16"/>
      <c r="R534" s="16"/>
      <c r="S534" s="16">
        <v>-2.0</v>
      </c>
      <c r="T534" s="16"/>
      <c r="U534" s="16" t="s">
        <v>2534</v>
      </c>
      <c r="V534" s="16" t="s">
        <v>2535</v>
      </c>
      <c r="W534" s="16" t="s">
        <v>360</v>
      </c>
      <c r="X534" s="16" t="s">
        <v>181</v>
      </c>
      <c r="Y534" s="100"/>
      <c r="Z534" s="16" t="s">
        <v>181</v>
      </c>
    </row>
    <row r="535">
      <c r="A535" s="16">
        <v>13025.0</v>
      </c>
      <c r="B535" s="16" t="s">
        <v>2536</v>
      </c>
      <c r="C535" s="16">
        <v>0.7</v>
      </c>
      <c r="D535" s="174" t="s">
        <v>2537</v>
      </c>
      <c r="E535" s="16"/>
      <c r="F535" s="16">
        <v>547.0</v>
      </c>
      <c r="G535" s="16" t="s">
        <v>176</v>
      </c>
      <c r="H535" s="16" t="s">
        <v>18</v>
      </c>
      <c r="I535" s="16" t="s">
        <v>13</v>
      </c>
      <c r="J535" s="16"/>
      <c r="K535" s="16"/>
      <c r="L535" s="16"/>
      <c r="M535" s="16"/>
      <c r="N535" s="16"/>
      <c r="O535" s="16"/>
      <c r="P535" s="16"/>
      <c r="Q535" s="16"/>
      <c r="R535" s="16"/>
      <c r="S535" s="16">
        <v>-2.0</v>
      </c>
      <c r="T535" s="16"/>
      <c r="U535" s="16" t="s">
        <v>2538</v>
      </c>
      <c r="V535" s="16" t="s">
        <v>2539</v>
      </c>
      <c r="W535" s="16" t="s">
        <v>491</v>
      </c>
      <c r="X535" s="16" t="s">
        <v>181</v>
      </c>
      <c r="Y535" s="100"/>
      <c r="Z535" s="16" t="s">
        <v>181</v>
      </c>
    </row>
    <row r="536">
      <c r="A536" s="16">
        <v>13026.0</v>
      </c>
      <c r="B536" s="16" t="s">
        <v>2540</v>
      </c>
      <c r="C536" s="16">
        <v>1.39</v>
      </c>
      <c r="D536" s="174" t="s">
        <v>2541</v>
      </c>
      <c r="E536" s="16"/>
      <c r="F536" s="16">
        <v>550.0</v>
      </c>
      <c r="G536" s="16" t="s">
        <v>371</v>
      </c>
      <c r="H536" s="16" t="s">
        <v>24</v>
      </c>
      <c r="I536" s="16" t="s">
        <v>25</v>
      </c>
      <c r="J536" s="16"/>
      <c r="K536" s="16"/>
      <c r="L536" s="16"/>
      <c r="M536" s="16"/>
      <c r="N536" s="16"/>
      <c r="O536" s="16"/>
      <c r="P536" s="16"/>
      <c r="Q536" s="16"/>
      <c r="R536" s="16"/>
      <c r="S536" s="16">
        <v>-2.0</v>
      </c>
      <c r="T536" s="16"/>
      <c r="U536" s="16" t="s">
        <v>2542</v>
      </c>
      <c r="V536" s="16" t="s">
        <v>2543</v>
      </c>
      <c r="W536" s="16" t="s">
        <v>722</v>
      </c>
      <c r="X536" s="16" t="s">
        <v>181</v>
      </c>
      <c r="Y536" s="100"/>
      <c r="Z536" s="16" t="s">
        <v>181</v>
      </c>
    </row>
    <row r="537">
      <c r="A537" s="16">
        <v>13027.0</v>
      </c>
      <c r="B537" s="16" t="s">
        <v>2544</v>
      </c>
      <c r="C537" s="16">
        <v>0.0</v>
      </c>
      <c r="D537" s="174" t="s">
        <v>2545</v>
      </c>
      <c r="E537" s="16"/>
      <c r="F537" s="16">
        <v>547.0</v>
      </c>
      <c r="G537" s="16" t="s">
        <v>176</v>
      </c>
      <c r="H537" s="16" t="s">
        <v>24</v>
      </c>
      <c r="I537" s="16" t="s">
        <v>25</v>
      </c>
      <c r="J537" s="16" t="s">
        <v>26</v>
      </c>
      <c r="K537" s="16"/>
      <c r="L537" s="16"/>
      <c r="M537" s="16"/>
      <c r="N537" s="16"/>
      <c r="O537" s="16"/>
      <c r="P537" s="16"/>
      <c r="Q537" s="16"/>
      <c r="R537" s="16"/>
      <c r="S537" s="16">
        <v>-2.0</v>
      </c>
      <c r="T537" s="16"/>
      <c r="U537" s="16" t="s">
        <v>2546</v>
      </c>
      <c r="V537" s="16" t="s">
        <v>2547</v>
      </c>
      <c r="W537" s="16" t="s">
        <v>332</v>
      </c>
      <c r="X537" s="16" t="s">
        <v>181</v>
      </c>
      <c r="Y537" s="100"/>
      <c r="Z537" s="16" t="s">
        <v>181</v>
      </c>
    </row>
    <row r="538">
      <c r="A538" s="16">
        <v>13028.0</v>
      </c>
      <c r="B538" s="16" t="s">
        <v>2548</v>
      </c>
      <c r="C538" s="16">
        <v>0.21</v>
      </c>
      <c r="D538" s="174" t="s">
        <v>2549</v>
      </c>
      <c r="E538" s="16"/>
      <c r="F538" s="16">
        <v>547.0</v>
      </c>
      <c r="G538" s="16" t="s">
        <v>176</v>
      </c>
      <c r="H538" s="16" t="s">
        <v>15</v>
      </c>
      <c r="I538" s="16" t="s">
        <v>14</v>
      </c>
      <c r="J538" s="16"/>
      <c r="K538" s="16"/>
      <c r="L538" s="16"/>
      <c r="M538" s="16"/>
      <c r="N538" s="16"/>
      <c r="O538" s="16"/>
      <c r="P538" s="16"/>
      <c r="Q538" s="16"/>
      <c r="R538" s="16"/>
      <c r="S538" s="16">
        <v>-2.0</v>
      </c>
      <c r="T538" s="16"/>
      <c r="U538" s="16" t="s">
        <v>2550</v>
      </c>
      <c r="V538" s="16" t="s">
        <v>2551</v>
      </c>
      <c r="W538" s="16" t="s">
        <v>199</v>
      </c>
      <c r="X538" s="16" t="s">
        <v>181</v>
      </c>
      <c r="Y538" s="100"/>
      <c r="Z538" s="16" t="s">
        <v>181</v>
      </c>
    </row>
    <row r="539">
      <c r="A539" s="16">
        <v>13029.0</v>
      </c>
      <c r="B539" s="16" t="s">
        <v>2552</v>
      </c>
      <c r="C539" s="16">
        <v>0.44</v>
      </c>
      <c r="D539" s="174" t="s">
        <v>2553</v>
      </c>
      <c r="E539" s="16"/>
      <c r="F539" s="16">
        <v>547.0</v>
      </c>
      <c r="G539" s="16" t="s">
        <v>176</v>
      </c>
      <c r="H539" s="16" t="s">
        <v>12</v>
      </c>
      <c r="I539" s="16"/>
      <c r="J539" s="16"/>
      <c r="K539" s="16"/>
      <c r="L539" s="16"/>
      <c r="M539" s="16"/>
      <c r="N539" s="16"/>
      <c r="O539" s="16"/>
      <c r="P539" s="16"/>
      <c r="Q539" s="16"/>
      <c r="R539" s="16"/>
      <c r="S539" s="16">
        <v>-2.0</v>
      </c>
      <c r="T539" s="16"/>
      <c r="U539" s="16" t="s">
        <v>2554</v>
      </c>
      <c r="V539" s="16" t="s">
        <v>2555</v>
      </c>
      <c r="W539" s="16" t="s">
        <v>634</v>
      </c>
      <c r="X539" s="16" t="s">
        <v>181</v>
      </c>
      <c r="Y539" s="100"/>
      <c r="Z539" s="16" t="s">
        <v>181</v>
      </c>
    </row>
    <row r="540">
      <c r="A540" s="16">
        <v>13030.0</v>
      </c>
      <c r="B540" s="16" t="s">
        <v>2556</v>
      </c>
      <c r="C540" s="16">
        <v>0.41</v>
      </c>
      <c r="D540" s="174" t="s">
        <v>2557</v>
      </c>
      <c r="E540" s="16"/>
      <c r="F540" s="16">
        <v>547.0</v>
      </c>
      <c r="G540" s="16" t="s">
        <v>176</v>
      </c>
      <c r="H540" s="16" t="s">
        <v>24</v>
      </c>
      <c r="I540" s="16" t="s">
        <v>25</v>
      </c>
      <c r="J540" s="16" t="s">
        <v>26</v>
      </c>
      <c r="K540" s="16"/>
      <c r="L540" s="16"/>
      <c r="M540" s="16"/>
      <c r="N540" s="16"/>
      <c r="O540" s="16"/>
      <c r="P540" s="16"/>
      <c r="Q540" s="16"/>
      <c r="R540" s="16"/>
      <c r="S540" s="16">
        <v>-2.0</v>
      </c>
      <c r="T540" s="16"/>
      <c r="U540" s="16" t="s">
        <v>2558</v>
      </c>
      <c r="V540" s="16" t="s">
        <v>2559</v>
      </c>
      <c r="W540" s="16" t="s">
        <v>675</v>
      </c>
      <c r="X540" s="16" t="s">
        <v>181</v>
      </c>
      <c r="Y540" s="100"/>
      <c r="Z540" s="16" t="s">
        <v>181</v>
      </c>
    </row>
    <row r="541">
      <c r="A541" s="16">
        <v>13031.0</v>
      </c>
      <c r="B541" s="16" t="s">
        <v>2560</v>
      </c>
      <c r="C541" s="16">
        <v>0.0</v>
      </c>
      <c r="D541" s="174" t="s">
        <v>2561</v>
      </c>
      <c r="E541" s="16"/>
      <c r="F541" s="16">
        <v>547.0</v>
      </c>
      <c r="G541" s="16" t="s">
        <v>176</v>
      </c>
      <c r="H541" s="16" t="s">
        <v>13</v>
      </c>
      <c r="I541" s="16"/>
      <c r="J541" s="16"/>
      <c r="K541" s="16"/>
      <c r="L541" s="16"/>
      <c r="M541" s="16"/>
      <c r="N541" s="16"/>
      <c r="O541" s="16"/>
      <c r="P541" s="16"/>
      <c r="Q541" s="16"/>
      <c r="R541" s="16"/>
      <c r="S541" s="16">
        <v>-2.0</v>
      </c>
      <c r="T541" s="16"/>
      <c r="U541" s="16" t="s">
        <v>2562</v>
      </c>
      <c r="V541" s="16" t="s">
        <v>2563</v>
      </c>
      <c r="W541" s="16" t="s">
        <v>443</v>
      </c>
      <c r="X541" s="16" t="s">
        <v>181</v>
      </c>
      <c r="Y541" s="100"/>
      <c r="Z541" s="16" t="s">
        <v>181</v>
      </c>
    </row>
    <row r="542">
      <c r="A542" s="16">
        <v>13032.0</v>
      </c>
      <c r="B542" s="16" t="s">
        <v>2564</v>
      </c>
      <c r="C542" s="16">
        <v>0.0</v>
      </c>
      <c r="D542" s="174" t="s">
        <v>2565</v>
      </c>
      <c r="E542" s="16"/>
      <c r="F542" s="16">
        <v>547.0</v>
      </c>
      <c r="G542" s="16" t="s">
        <v>176</v>
      </c>
      <c r="H542" s="16" t="s">
        <v>24</v>
      </c>
      <c r="I542" s="16" t="s">
        <v>25</v>
      </c>
      <c r="J542" s="16" t="s">
        <v>26</v>
      </c>
      <c r="K542" s="16"/>
      <c r="L542" s="16"/>
      <c r="M542" s="16"/>
      <c r="N542" s="16"/>
      <c r="O542" s="16"/>
      <c r="P542" s="16"/>
      <c r="Q542" s="16"/>
      <c r="R542" s="16"/>
      <c r="S542" s="16">
        <v>-2.0</v>
      </c>
      <c r="T542" s="16"/>
      <c r="U542" s="16" t="s">
        <v>2566</v>
      </c>
      <c r="V542" s="16" t="s">
        <v>2567</v>
      </c>
      <c r="W542" s="16" t="s">
        <v>199</v>
      </c>
      <c r="X542" s="16" t="s">
        <v>181</v>
      </c>
      <c r="Y542" s="100"/>
      <c r="Z542" s="16" t="s">
        <v>181</v>
      </c>
    </row>
    <row r="543">
      <c r="A543" s="16">
        <v>13033.0</v>
      </c>
      <c r="B543" s="16" t="s">
        <v>2568</v>
      </c>
      <c r="C543" s="16">
        <v>0.41</v>
      </c>
      <c r="D543" s="174" t="s">
        <v>2569</v>
      </c>
      <c r="E543" s="16"/>
      <c r="F543" s="16">
        <v>554.0</v>
      </c>
      <c r="G543" s="16" t="s">
        <v>215</v>
      </c>
      <c r="H543" s="16" t="s">
        <v>25</v>
      </c>
      <c r="I543" s="16" t="s">
        <v>26</v>
      </c>
      <c r="J543" s="16"/>
      <c r="K543" s="16"/>
      <c r="L543" s="16"/>
      <c r="M543" s="16"/>
      <c r="N543" s="16"/>
      <c r="O543" s="16"/>
      <c r="P543" s="16"/>
      <c r="Q543" s="16"/>
      <c r="R543" s="16"/>
      <c r="S543" s="16">
        <v>-2.0</v>
      </c>
      <c r="T543" s="16"/>
      <c r="U543" s="16" t="s">
        <v>2570</v>
      </c>
      <c r="V543" s="16" t="s">
        <v>2571</v>
      </c>
      <c r="W543" s="16" t="s">
        <v>231</v>
      </c>
      <c r="X543" s="16" t="s">
        <v>181</v>
      </c>
      <c r="Y543" s="100"/>
      <c r="Z543" s="16" t="s">
        <v>181</v>
      </c>
    </row>
    <row r="544">
      <c r="A544" s="16">
        <v>13034.0</v>
      </c>
      <c r="B544" s="16" t="s">
        <v>2572</v>
      </c>
      <c r="C544" s="16">
        <v>0.56</v>
      </c>
      <c r="D544" s="174" t="s">
        <v>2573</v>
      </c>
      <c r="E544" s="16"/>
      <c r="F544" s="16">
        <v>547.0</v>
      </c>
      <c r="G544" s="16" t="s">
        <v>176</v>
      </c>
      <c r="H544" s="16" t="s">
        <v>15</v>
      </c>
      <c r="I544" s="16"/>
      <c r="J544" s="16"/>
      <c r="K544" s="16"/>
      <c r="L544" s="16"/>
      <c r="M544" s="16"/>
      <c r="N544" s="16"/>
      <c r="O544" s="16"/>
      <c r="P544" s="16"/>
      <c r="Q544" s="16"/>
      <c r="R544" s="16"/>
      <c r="S544" s="16">
        <v>-2.0</v>
      </c>
      <c r="T544" s="16"/>
      <c r="U544" s="16" t="s">
        <v>2574</v>
      </c>
      <c r="V544" s="16" t="s">
        <v>2575</v>
      </c>
      <c r="W544" s="16" t="s">
        <v>591</v>
      </c>
      <c r="X544" s="16" t="s">
        <v>181</v>
      </c>
      <c r="Y544" s="100"/>
      <c r="Z544" s="16" t="s">
        <v>181</v>
      </c>
    </row>
    <row r="545">
      <c r="A545" s="16">
        <v>13035.0</v>
      </c>
      <c r="B545" s="16" t="s">
        <v>2576</v>
      </c>
      <c r="C545" s="16">
        <v>0.31</v>
      </c>
      <c r="D545" s="174" t="s">
        <v>2577</v>
      </c>
      <c r="E545" s="16"/>
      <c r="F545" s="16">
        <v>547.0</v>
      </c>
      <c r="G545" s="16" t="s">
        <v>176</v>
      </c>
      <c r="H545" s="16" t="s">
        <v>19</v>
      </c>
      <c r="I545" s="16" t="s">
        <v>17</v>
      </c>
      <c r="J545" s="16" t="s">
        <v>18</v>
      </c>
      <c r="K545" s="16"/>
      <c r="L545" s="16"/>
      <c r="M545" s="16"/>
      <c r="N545" s="16"/>
      <c r="O545" s="16"/>
      <c r="P545" s="16"/>
      <c r="Q545" s="16"/>
      <c r="R545" s="16"/>
      <c r="S545" s="16">
        <v>-2.0</v>
      </c>
      <c r="T545" s="16"/>
      <c r="U545" s="16" t="s">
        <v>2578</v>
      </c>
      <c r="V545" s="16" t="s">
        <v>2579</v>
      </c>
      <c r="W545" s="16" t="s">
        <v>616</v>
      </c>
      <c r="X545" s="16" t="s">
        <v>181</v>
      </c>
      <c r="Y545" s="100"/>
      <c r="Z545" s="16" t="s">
        <v>181</v>
      </c>
    </row>
    <row r="546">
      <c r="A546" s="16">
        <v>13036.0</v>
      </c>
      <c r="B546" s="16" t="s">
        <v>2580</v>
      </c>
      <c r="C546" s="16">
        <v>0.69</v>
      </c>
      <c r="D546" s="174" t="s">
        <v>2581</v>
      </c>
      <c r="E546" s="16"/>
      <c r="F546" s="16">
        <v>548.0</v>
      </c>
      <c r="G546" s="16" t="s">
        <v>126</v>
      </c>
      <c r="H546" s="16" t="s">
        <v>13</v>
      </c>
      <c r="I546" s="16"/>
      <c r="J546" s="16"/>
      <c r="K546" s="16"/>
      <c r="L546" s="16"/>
      <c r="M546" s="16"/>
      <c r="N546" s="16"/>
      <c r="O546" s="16"/>
      <c r="P546" s="16"/>
      <c r="Q546" s="16"/>
      <c r="R546" s="16"/>
      <c r="S546" s="16">
        <v>-2.0</v>
      </c>
      <c r="T546" s="16"/>
      <c r="U546" s="16" t="s">
        <v>2582</v>
      </c>
      <c r="V546" s="16" t="s">
        <v>2583</v>
      </c>
      <c r="W546" s="16" t="s">
        <v>188</v>
      </c>
      <c r="X546" s="16" t="s">
        <v>181</v>
      </c>
      <c r="Y546" s="100"/>
      <c r="Z546" s="16" t="s">
        <v>181</v>
      </c>
    </row>
    <row r="547">
      <c r="A547" s="16">
        <v>13037.0</v>
      </c>
      <c r="B547" s="16" t="s">
        <v>2584</v>
      </c>
      <c r="C547" s="16">
        <v>0.0</v>
      </c>
      <c r="D547" s="174" t="s">
        <v>2585</v>
      </c>
      <c r="E547" s="16"/>
      <c r="F547" s="16">
        <v>584.0</v>
      </c>
      <c r="G547" s="16" t="s">
        <v>361</v>
      </c>
      <c r="H547" s="16" t="s">
        <v>19</v>
      </c>
      <c r="I547" s="16" t="s">
        <v>17</v>
      </c>
      <c r="J547" s="16" t="s">
        <v>18</v>
      </c>
      <c r="K547" s="16"/>
      <c r="L547" s="16"/>
      <c r="M547" s="16"/>
      <c r="N547" s="16"/>
      <c r="O547" s="16"/>
      <c r="P547" s="16"/>
      <c r="Q547" s="16"/>
      <c r="R547" s="16"/>
      <c r="S547" s="16">
        <v>-2.0</v>
      </c>
      <c r="T547" s="16"/>
      <c r="U547" s="16" t="s">
        <v>2586</v>
      </c>
      <c r="V547" s="16" t="s">
        <v>2587</v>
      </c>
      <c r="W547" s="16" t="s">
        <v>399</v>
      </c>
      <c r="X547" s="16" t="s">
        <v>181</v>
      </c>
      <c r="Y547" s="100"/>
      <c r="Z547" s="16" t="s">
        <v>181</v>
      </c>
    </row>
    <row r="548">
      <c r="A548" s="16">
        <v>13038.0</v>
      </c>
      <c r="B548" s="16" t="s">
        <v>2588</v>
      </c>
      <c r="C548" s="16">
        <v>0.8</v>
      </c>
      <c r="D548" s="174" t="s">
        <v>2589</v>
      </c>
      <c r="E548" s="16"/>
      <c r="F548" s="16">
        <v>547.0</v>
      </c>
      <c r="G548" s="16" t="s">
        <v>176</v>
      </c>
      <c r="H548" s="16" t="s">
        <v>15</v>
      </c>
      <c r="I548" s="16" t="s">
        <v>14</v>
      </c>
      <c r="J548" s="16" t="s">
        <v>17</v>
      </c>
      <c r="K548" s="16" t="s">
        <v>13</v>
      </c>
      <c r="L548" s="16"/>
      <c r="M548" s="16"/>
      <c r="N548" s="16"/>
      <c r="O548" s="16"/>
      <c r="P548" s="16"/>
      <c r="Q548" s="16"/>
      <c r="R548" s="16"/>
      <c r="S548" s="16">
        <v>-2.0</v>
      </c>
      <c r="T548" s="16"/>
      <c r="U548" s="16" t="s">
        <v>2590</v>
      </c>
      <c r="V548" s="16" t="s">
        <v>2591</v>
      </c>
      <c r="W548" s="16" t="s">
        <v>443</v>
      </c>
      <c r="X548" s="16" t="s">
        <v>181</v>
      </c>
      <c r="Y548" s="100"/>
      <c r="Z548" s="16" t="s">
        <v>181</v>
      </c>
    </row>
    <row r="549">
      <c r="A549" s="16">
        <v>13039.0</v>
      </c>
      <c r="B549" s="16" t="s">
        <v>2592</v>
      </c>
      <c r="C549" s="16">
        <v>1.57</v>
      </c>
      <c r="D549" s="174" t="s">
        <v>2593</v>
      </c>
      <c r="E549" s="16"/>
      <c r="F549" s="16">
        <v>590.0</v>
      </c>
      <c r="G549" s="16" t="s">
        <v>387</v>
      </c>
      <c r="H549" s="16" t="s">
        <v>15</v>
      </c>
      <c r="I549" s="16" t="s">
        <v>16</v>
      </c>
      <c r="J549" s="16" t="s">
        <v>17</v>
      </c>
      <c r="K549" s="16" t="s">
        <v>19</v>
      </c>
      <c r="L549" s="16" t="s">
        <v>14</v>
      </c>
      <c r="M549" s="16"/>
      <c r="N549" s="16"/>
      <c r="O549" s="16"/>
      <c r="P549" s="16"/>
      <c r="Q549" s="16"/>
      <c r="R549" s="16"/>
      <c r="S549" s="16">
        <v>-2.0</v>
      </c>
      <c r="T549" s="16"/>
      <c r="U549" s="16" t="s">
        <v>2594</v>
      </c>
      <c r="V549" s="16" t="s">
        <v>2595</v>
      </c>
      <c r="W549" s="16" t="s">
        <v>188</v>
      </c>
      <c r="X549" s="16" t="s">
        <v>181</v>
      </c>
      <c r="Y549" s="100"/>
      <c r="Z549" s="16" t="s">
        <v>181</v>
      </c>
    </row>
    <row r="550">
      <c r="A550" s="16">
        <v>13040.0</v>
      </c>
      <c r="B550" s="16" t="s">
        <v>2596</v>
      </c>
      <c r="C550" s="16">
        <v>0.39</v>
      </c>
      <c r="D550" s="174" t="s">
        <v>2597</v>
      </c>
      <c r="E550" s="16"/>
      <c r="F550" s="16">
        <v>563.0</v>
      </c>
      <c r="G550" s="16" t="s">
        <v>260</v>
      </c>
      <c r="H550" s="16" t="s">
        <v>25</v>
      </c>
      <c r="I550" s="16"/>
      <c r="J550" s="16"/>
      <c r="K550" s="16"/>
      <c r="L550" s="16"/>
      <c r="M550" s="16"/>
      <c r="N550" s="16"/>
      <c r="O550" s="16"/>
      <c r="P550" s="16"/>
      <c r="Q550" s="16"/>
      <c r="R550" s="16" t="s">
        <v>2598</v>
      </c>
      <c r="S550" s="16">
        <v>-2.0</v>
      </c>
      <c r="T550" s="16"/>
      <c r="U550" s="16" t="s">
        <v>2599</v>
      </c>
      <c r="V550" s="16" t="s">
        <v>2600</v>
      </c>
      <c r="W550" s="16" t="s">
        <v>399</v>
      </c>
      <c r="X550" s="16" t="s">
        <v>181</v>
      </c>
      <c r="Y550" s="100"/>
      <c r="Z550" s="16" t="s">
        <v>181</v>
      </c>
    </row>
    <row r="551">
      <c r="A551" s="16">
        <v>13041.0</v>
      </c>
      <c r="B551" s="16" t="s">
        <v>2601</v>
      </c>
      <c r="C551" s="16">
        <v>0.23</v>
      </c>
      <c r="D551" s="174" t="s">
        <v>2602</v>
      </c>
      <c r="E551" s="16"/>
      <c r="F551" s="16">
        <v>547.0</v>
      </c>
      <c r="G551" s="16" t="s">
        <v>176</v>
      </c>
      <c r="H551" s="16" t="s">
        <v>24</v>
      </c>
      <c r="I551" s="16" t="s">
        <v>25</v>
      </c>
      <c r="J551" s="16" t="s">
        <v>26</v>
      </c>
      <c r="K551" s="16"/>
      <c r="L551" s="16"/>
      <c r="M551" s="16"/>
      <c r="N551" s="16"/>
      <c r="O551" s="16"/>
      <c r="P551" s="16"/>
      <c r="Q551" s="16"/>
      <c r="R551" s="16"/>
      <c r="S551" s="16">
        <v>-2.0</v>
      </c>
      <c r="T551" s="16"/>
      <c r="U551" s="16" t="s">
        <v>2603</v>
      </c>
      <c r="V551" s="16" t="s">
        <v>2604</v>
      </c>
      <c r="W551" s="16" t="s">
        <v>360</v>
      </c>
      <c r="X551" s="16" t="s">
        <v>181</v>
      </c>
      <c r="Y551" s="100"/>
      <c r="Z551" s="16" t="s">
        <v>181</v>
      </c>
    </row>
    <row r="552">
      <c r="A552" s="16">
        <v>13042.0</v>
      </c>
      <c r="B552" s="16" t="s">
        <v>2605</v>
      </c>
      <c r="C552" s="16">
        <v>1.74</v>
      </c>
      <c r="D552" s="174" t="s">
        <v>2606</v>
      </c>
      <c r="E552" s="16"/>
      <c r="F552" s="16">
        <v>547.0</v>
      </c>
      <c r="G552" s="16" t="s">
        <v>176</v>
      </c>
      <c r="H552" s="16" t="s">
        <v>16</v>
      </c>
      <c r="I552" s="16"/>
      <c r="J552" s="16"/>
      <c r="K552" s="16"/>
      <c r="L552" s="16"/>
      <c r="M552" s="16"/>
      <c r="N552" s="16"/>
      <c r="O552" s="16"/>
      <c r="P552" s="16"/>
      <c r="Q552" s="16"/>
      <c r="R552" s="16"/>
      <c r="S552" s="16">
        <v>-2.0</v>
      </c>
      <c r="T552" s="16"/>
      <c r="U552" s="16" t="s">
        <v>2607</v>
      </c>
      <c r="V552" s="16" t="s">
        <v>2608</v>
      </c>
      <c r="W552" s="16" t="s">
        <v>616</v>
      </c>
      <c r="X552" s="16" t="s">
        <v>181</v>
      </c>
      <c r="Y552" s="100"/>
      <c r="Z552" s="16" t="s">
        <v>181</v>
      </c>
    </row>
    <row r="553">
      <c r="A553" s="16">
        <v>13043.0</v>
      </c>
      <c r="B553" s="16" t="s">
        <v>2609</v>
      </c>
      <c r="C553" s="16">
        <v>0.69</v>
      </c>
      <c r="D553" s="174" t="s">
        <v>2610</v>
      </c>
      <c r="E553" s="16"/>
      <c r="F553" s="16">
        <v>547.0</v>
      </c>
      <c r="G553" s="16" t="s">
        <v>176</v>
      </c>
      <c r="H553" s="16" t="s">
        <v>24</v>
      </c>
      <c r="I553" s="16"/>
      <c r="J553" s="16"/>
      <c r="K553" s="16"/>
      <c r="L553" s="16"/>
      <c r="M553" s="16"/>
      <c r="N553" s="16"/>
      <c r="O553" s="16"/>
      <c r="P553" s="16"/>
      <c r="Q553" s="16"/>
      <c r="R553" s="16"/>
      <c r="S553" s="16">
        <v>-2.0</v>
      </c>
      <c r="T553" s="16"/>
      <c r="U553" s="16" t="s">
        <v>2611</v>
      </c>
      <c r="V553" s="16" t="s">
        <v>2612</v>
      </c>
      <c r="W553" s="16" t="s">
        <v>231</v>
      </c>
      <c r="X553" s="16" t="s">
        <v>181</v>
      </c>
      <c r="Y553" s="100"/>
      <c r="Z553" s="16" t="s">
        <v>181</v>
      </c>
    </row>
    <row r="554">
      <c r="A554" s="16">
        <v>13044.0</v>
      </c>
      <c r="B554" s="16" t="s">
        <v>2613</v>
      </c>
      <c r="C554" s="16">
        <v>1.19</v>
      </c>
      <c r="D554" s="174" t="s">
        <v>2614</v>
      </c>
      <c r="E554" s="16"/>
      <c r="F554" s="16">
        <v>559.0</v>
      </c>
      <c r="G554" s="16" t="s">
        <v>2088</v>
      </c>
      <c r="H554" s="16" t="s">
        <v>25</v>
      </c>
      <c r="I554" s="16"/>
      <c r="J554" s="16"/>
      <c r="K554" s="16"/>
      <c r="L554" s="16"/>
      <c r="M554" s="16"/>
      <c r="N554" s="16"/>
      <c r="O554" s="16"/>
      <c r="P554" s="16"/>
      <c r="Q554" s="16"/>
      <c r="R554" s="16"/>
      <c r="S554" s="16">
        <v>-2.0</v>
      </c>
      <c r="T554" s="16"/>
      <c r="U554" s="16" t="s">
        <v>2615</v>
      </c>
      <c r="V554" s="16" t="s">
        <v>2616</v>
      </c>
      <c r="W554" s="16" t="s">
        <v>422</v>
      </c>
      <c r="X554" s="16" t="s">
        <v>181</v>
      </c>
      <c r="Y554" s="100"/>
      <c r="Z554" s="16" t="s">
        <v>181</v>
      </c>
    </row>
    <row r="555">
      <c r="A555" s="16">
        <v>13045.0</v>
      </c>
      <c r="B555" s="16" t="s">
        <v>2617</v>
      </c>
      <c r="C555" s="16">
        <v>0.66</v>
      </c>
      <c r="D555" s="174" t="s">
        <v>2618</v>
      </c>
      <c r="E555" s="16"/>
      <c r="F555" s="16">
        <v>581.0</v>
      </c>
      <c r="G555" s="16" t="s">
        <v>346</v>
      </c>
      <c r="H555" s="16" t="s">
        <v>24</v>
      </c>
      <c r="I555" s="16" t="s">
        <v>25</v>
      </c>
      <c r="J555" s="16"/>
      <c r="K555" s="16"/>
      <c r="L555" s="16"/>
      <c r="M555" s="16"/>
      <c r="N555" s="16"/>
      <c r="O555" s="16"/>
      <c r="P555" s="16"/>
      <c r="Q555" s="16"/>
      <c r="R555" s="16"/>
      <c r="S555" s="16">
        <v>-2.0</v>
      </c>
      <c r="T555" s="16"/>
      <c r="U555" s="16" t="s">
        <v>2619</v>
      </c>
      <c r="V555" s="16" t="s">
        <v>2620</v>
      </c>
      <c r="W555" s="16" t="s">
        <v>199</v>
      </c>
      <c r="X555" s="16" t="s">
        <v>181</v>
      </c>
      <c r="Y555" s="100"/>
      <c r="Z555" s="16" t="s">
        <v>181</v>
      </c>
    </row>
    <row r="556">
      <c r="A556" s="16">
        <v>13046.0</v>
      </c>
      <c r="B556" s="16" t="s">
        <v>2621</v>
      </c>
      <c r="C556" s="16">
        <v>2.11</v>
      </c>
      <c r="D556" s="174" t="s">
        <v>2622</v>
      </c>
      <c r="E556" s="16"/>
      <c r="F556" s="16">
        <v>548.0</v>
      </c>
      <c r="G556" s="16" t="s">
        <v>126</v>
      </c>
      <c r="H556" s="16" t="s">
        <v>12</v>
      </c>
      <c r="I556" s="16"/>
      <c r="J556" s="16"/>
      <c r="K556" s="16"/>
      <c r="L556" s="16"/>
      <c r="M556" s="16"/>
      <c r="N556" s="16"/>
      <c r="O556" s="16"/>
      <c r="P556" s="16"/>
      <c r="Q556" s="16"/>
      <c r="R556" s="16"/>
      <c r="S556" s="16">
        <v>-2.0</v>
      </c>
      <c r="T556" s="16"/>
      <c r="U556" s="16" t="s">
        <v>2623</v>
      </c>
      <c r="V556" s="16" t="s">
        <v>2624</v>
      </c>
      <c r="W556" s="16" t="s">
        <v>616</v>
      </c>
      <c r="X556" s="16" t="s">
        <v>181</v>
      </c>
      <c r="Y556" s="100"/>
      <c r="Z556" s="16" t="s">
        <v>181</v>
      </c>
    </row>
    <row r="557">
      <c r="A557" s="16">
        <v>13047.0</v>
      </c>
      <c r="B557" s="16" t="s">
        <v>2625</v>
      </c>
      <c r="C557" s="16">
        <v>3.21</v>
      </c>
      <c r="D557" s="174" t="s">
        <v>2626</v>
      </c>
      <c r="E557" s="16"/>
      <c r="F557" s="16">
        <v>554.0</v>
      </c>
      <c r="G557" s="16" t="s">
        <v>215</v>
      </c>
      <c r="H557" s="16" t="s">
        <v>19</v>
      </c>
      <c r="I557" s="16" t="s">
        <v>17</v>
      </c>
      <c r="J557" s="16"/>
      <c r="K557" s="16"/>
      <c r="L557" s="16"/>
      <c r="M557" s="16"/>
      <c r="N557" s="16"/>
      <c r="O557" s="16"/>
      <c r="P557" s="16"/>
      <c r="Q557" s="16"/>
      <c r="R557" s="16"/>
      <c r="S557" s="16">
        <v>-2.0</v>
      </c>
      <c r="T557" s="16"/>
      <c r="U557" s="16" t="s">
        <v>2627</v>
      </c>
      <c r="V557" s="16" t="s">
        <v>2628</v>
      </c>
      <c r="W557" s="16" t="s">
        <v>188</v>
      </c>
      <c r="X557" s="16" t="s">
        <v>181</v>
      </c>
      <c r="Y557" s="100"/>
      <c r="Z557" s="16" t="s">
        <v>181</v>
      </c>
    </row>
    <row r="558">
      <c r="A558" s="16">
        <v>13048.0</v>
      </c>
      <c r="B558" s="16" t="s">
        <v>2629</v>
      </c>
      <c r="C558" s="16">
        <v>0.7</v>
      </c>
      <c r="D558" s="174" t="s">
        <v>2630</v>
      </c>
      <c r="E558" s="16"/>
      <c r="F558" s="16">
        <v>565.0</v>
      </c>
      <c r="G558" s="16" t="s">
        <v>228</v>
      </c>
      <c r="H558" s="16" t="s">
        <v>13</v>
      </c>
      <c r="I558" s="16"/>
      <c r="J558" s="16"/>
      <c r="K558" s="16"/>
      <c r="L558" s="16"/>
      <c r="M558" s="16"/>
      <c r="N558" s="16"/>
      <c r="O558" s="16"/>
      <c r="P558" s="16"/>
      <c r="Q558" s="16"/>
      <c r="R558" s="16"/>
      <c r="S558" s="16">
        <v>-2.0</v>
      </c>
      <c r="T558" s="16"/>
      <c r="U558" s="16" t="s">
        <v>2631</v>
      </c>
      <c r="V558" s="16" t="s">
        <v>2632</v>
      </c>
      <c r="W558" s="16" t="s">
        <v>332</v>
      </c>
      <c r="X558" s="16" t="s">
        <v>181</v>
      </c>
      <c r="Y558" s="100"/>
      <c r="Z558" s="16" t="s">
        <v>181</v>
      </c>
    </row>
    <row r="559">
      <c r="A559" s="16">
        <v>13049.0</v>
      </c>
      <c r="B559" s="16" t="s">
        <v>2633</v>
      </c>
      <c r="C559" s="16">
        <v>0.0</v>
      </c>
      <c r="D559" s="174" t="s">
        <v>2634</v>
      </c>
      <c r="E559" s="16"/>
      <c r="F559" s="16">
        <v>547.0</v>
      </c>
      <c r="G559" s="16" t="s">
        <v>176</v>
      </c>
      <c r="H559" s="16" t="s">
        <v>24</v>
      </c>
      <c r="I559" s="16"/>
      <c r="J559" s="16"/>
      <c r="K559" s="16"/>
      <c r="L559" s="16"/>
      <c r="M559" s="16"/>
      <c r="N559" s="16"/>
      <c r="O559" s="16"/>
      <c r="P559" s="16"/>
      <c r="Q559" s="16"/>
      <c r="R559" s="16"/>
      <c r="S559" s="16">
        <v>-2.0</v>
      </c>
      <c r="T559" s="16"/>
      <c r="U559" s="16" t="s">
        <v>2635</v>
      </c>
      <c r="V559" s="16" t="s">
        <v>2636</v>
      </c>
      <c r="W559" s="16" t="s">
        <v>199</v>
      </c>
      <c r="X559" s="16" t="s">
        <v>181</v>
      </c>
      <c r="Y559" s="176"/>
      <c r="Z559" s="16" t="s">
        <v>181</v>
      </c>
    </row>
    <row r="560">
      <c r="A560" s="16">
        <v>13050.0</v>
      </c>
      <c r="B560" s="16" t="s">
        <v>2637</v>
      </c>
      <c r="C560" s="16">
        <v>2.03</v>
      </c>
      <c r="D560" s="174" t="s">
        <v>2638</v>
      </c>
      <c r="E560" s="16"/>
      <c r="F560" s="16">
        <v>590.0</v>
      </c>
      <c r="G560" s="16" t="s">
        <v>387</v>
      </c>
      <c r="H560" s="16" t="s">
        <v>18</v>
      </c>
      <c r="I560" s="16"/>
      <c r="J560" s="16"/>
      <c r="K560" s="16"/>
      <c r="L560" s="16"/>
      <c r="M560" s="16"/>
      <c r="N560" s="16"/>
      <c r="O560" s="16"/>
      <c r="P560" s="16"/>
      <c r="Q560" s="16"/>
      <c r="R560" s="16"/>
      <c r="S560" s="16">
        <v>-2.0</v>
      </c>
      <c r="T560" s="16"/>
      <c r="U560" s="16" t="s">
        <v>2639</v>
      </c>
      <c r="V560" s="16" t="s">
        <v>2640</v>
      </c>
      <c r="W560" s="16" t="s">
        <v>443</v>
      </c>
      <c r="X560" s="16" t="s">
        <v>181</v>
      </c>
      <c r="Y560" s="100"/>
      <c r="Z560" s="16" t="s">
        <v>181</v>
      </c>
    </row>
    <row r="561">
      <c r="A561" s="16">
        <v>13051.0</v>
      </c>
      <c r="B561" s="16" t="s">
        <v>2641</v>
      </c>
      <c r="C561" s="16">
        <v>0.18</v>
      </c>
      <c r="D561" s="174" t="s">
        <v>2642</v>
      </c>
      <c r="E561" s="16"/>
      <c r="F561" s="16">
        <v>557.0</v>
      </c>
      <c r="G561" s="16" t="s">
        <v>232</v>
      </c>
      <c r="H561" s="16" t="s">
        <v>18</v>
      </c>
      <c r="I561" s="16"/>
      <c r="J561" s="16"/>
      <c r="K561" s="16"/>
      <c r="L561" s="16"/>
      <c r="M561" s="16"/>
      <c r="N561" s="16"/>
      <c r="O561" s="16"/>
      <c r="P561" s="16"/>
      <c r="Q561" s="16"/>
      <c r="R561" s="16"/>
      <c r="S561" s="16">
        <v>-2.0</v>
      </c>
      <c r="T561" s="16"/>
      <c r="U561" s="16" t="s">
        <v>2643</v>
      </c>
      <c r="V561" s="16" t="s">
        <v>2644</v>
      </c>
      <c r="W561" s="16" t="s">
        <v>591</v>
      </c>
      <c r="X561" s="16" t="s">
        <v>181</v>
      </c>
      <c r="Y561" s="100"/>
      <c r="Z561" s="16" t="s">
        <v>181</v>
      </c>
    </row>
    <row r="562">
      <c r="A562" s="16">
        <v>13052.0</v>
      </c>
      <c r="B562" s="16" t="s">
        <v>2645</v>
      </c>
      <c r="C562" s="16">
        <v>0.69</v>
      </c>
      <c r="D562" s="174" t="s">
        <v>2646</v>
      </c>
      <c r="E562" s="16"/>
      <c r="F562" s="16">
        <v>572.0</v>
      </c>
      <c r="G562" s="16" t="s">
        <v>306</v>
      </c>
      <c r="H562" s="16" t="s">
        <v>15</v>
      </c>
      <c r="I562" s="16" t="s">
        <v>13</v>
      </c>
      <c r="J562" s="16"/>
      <c r="K562" s="16"/>
      <c r="L562" s="16"/>
      <c r="M562" s="16"/>
      <c r="N562" s="16"/>
      <c r="O562" s="16"/>
      <c r="P562" s="16"/>
      <c r="Q562" s="16"/>
      <c r="R562" s="16"/>
      <c r="S562" s="16">
        <v>-2.0</v>
      </c>
      <c r="T562" s="16"/>
      <c r="U562" s="16" t="s">
        <v>2647</v>
      </c>
      <c r="V562" s="16" t="s">
        <v>2648</v>
      </c>
      <c r="W562" s="16" t="s">
        <v>199</v>
      </c>
      <c r="X562" s="16" t="s">
        <v>181</v>
      </c>
      <c r="Y562" s="100"/>
      <c r="Z562" s="16" t="s">
        <v>181</v>
      </c>
    </row>
    <row r="563">
      <c r="A563" s="16">
        <v>13053.0</v>
      </c>
      <c r="B563" s="16" t="s">
        <v>2649</v>
      </c>
      <c r="C563" s="16">
        <v>1.56</v>
      </c>
      <c r="D563" s="174" t="s">
        <v>2650</v>
      </c>
      <c r="E563" s="16"/>
      <c r="F563" s="16">
        <v>581.0</v>
      </c>
      <c r="G563" s="16" t="s">
        <v>346</v>
      </c>
      <c r="H563" s="16" t="s">
        <v>17</v>
      </c>
      <c r="I563" s="16" t="s">
        <v>13</v>
      </c>
      <c r="J563" s="16"/>
      <c r="K563" s="16"/>
      <c r="L563" s="16"/>
      <c r="M563" s="16"/>
      <c r="N563" s="16"/>
      <c r="O563" s="16"/>
      <c r="P563" s="16"/>
      <c r="Q563" s="16"/>
      <c r="R563" s="16"/>
      <c r="S563" s="16">
        <v>-2.0</v>
      </c>
      <c r="T563" s="16"/>
      <c r="U563" s="16" t="s">
        <v>2651</v>
      </c>
      <c r="V563" s="16" t="s">
        <v>2652</v>
      </c>
      <c r="W563" s="16" t="s">
        <v>188</v>
      </c>
      <c r="X563" s="16" t="s">
        <v>181</v>
      </c>
      <c r="Y563" s="100"/>
      <c r="Z563" s="16" t="s">
        <v>181</v>
      </c>
    </row>
    <row r="564">
      <c r="A564" s="16">
        <v>13054.0</v>
      </c>
      <c r="B564" s="16" t="s">
        <v>2653</v>
      </c>
      <c r="C564" s="16">
        <v>0.27</v>
      </c>
      <c r="D564" s="174" t="s">
        <v>2654</v>
      </c>
      <c r="E564" s="16"/>
      <c r="F564" s="16">
        <v>547.0</v>
      </c>
      <c r="G564" s="16" t="s">
        <v>176</v>
      </c>
      <c r="H564" s="16" t="s">
        <v>25</v>
      </c>
      <c r="I564" s="16" t="s">
        <v>26</v>
      </c>
      <c r="J564" s="16"/>
      <c r="K564" s="16"/>
      <c r="L564" s="16"/>
      <c r="M564" s="16"/>
      <c r="N564" s="16"/>
      <c r="O564" s="16"/>
      <c r="P564" s="16"/>
      <c r="Q564" s="16"/>
      <c r="R564" s="16"/>
      <c r="S564" s="16">
        <v>-2.0</v>
      </c>
      <c r="T564" s="16"/>
      <c r="U564" s="16" t="s">
        <v>2655</v>
      </c>
      <c r="V564" s="16" t="s">
        <v>2656</v>
      </c>
      <c r="W564" s="16" t="s">
        <v>179</v>
      </c>
      <c r="X564" s="16" t="s">
        <v>181</v>
      </c>
      <c r="Y564" s="100"/>
      <c r="Z564" s="16" t="s">
        <v>181</v>
      </c>
    </row>
    <row r="565">
      <c r="A565" s="16">
        <v>13055.0</v>
      </c>
      <c r="B565" s="16" t="s">
        <v>2657</v>
      </c>
      <c r="C565" s="16">
        <v>0.0</v>
      </c>
      <c r="D565" s="174" t="s">
        <v>2658</v>
      </c>
      <c r="E565" s="16"/>
      <c r="F565" s="16">
        <v>547.0</v>
      </c>
      <c r="G565" s="16" t="s">
        <v>176</v>
      </c>
      <c r="H565" s="16" t="s">
        <v>25</v>
      </c>
      <c r="I565" s="16" t="s">
        <v>26</v>
      </c>
      <c r="J565" s="16"/>
      <c r="K565" s="16"/>
      <c r="L565" s="16"/>
      <c r="M565" s="16"/>
      <c r="N565" s="16"/>
      <c r="O565" s="16"/>
      <c r="P565" s="16"/>
      <c r="Q565" s="16"/>
      <c r="R565" s="16"/>
      <c r="S565" s="16">
        <v>-2.0</v>
      </c>
      <c r="T565" s="16"/>
      <c r="U565" s="16" t="s">
        <v>2659</v>
      </c>
      <c r="V565" s="16" t="s">
        <v>2660</v>
      </c>
      <c r="W565" s="16" t="s">
        <v>259</v>
      </c>
      <c r="X565" s="16" t="s">
        <v>181</v>
      </c>
      <c r="Y565" s="100"/>
      <c r="Z565" s="16" t="s">
        <v>181</v>
      </c>
    </row>
    <row r="566">
      <c r="A566" s="16">
        <v>13056.0</v>
      </c>
      <c r="B566" s="16" t="s">
        <v>2661</v>
      </c>
      <c r="C566" s="16">
        <v>1.32</v>
      </c>
      <c r="D566" s="174" t="s">
        <v>2662</v>
      </c>
      <c r="E566" s="16"/>
      <c r="F566" s="16">
        <v>595.0</v>
      </c>
      <c r="G566" s="16" t="s">
        <v>415</v>
      </c>
      <c r="H566" s="16" t="s">
        <v>25</v>
      </c>
      <c r="I566" s="16" t="s">
        <v>26</v>
      </c>
      <c r="J566" s="16"/>
      <c r="K566" s="16"/>
      <c r="L566" s="16"/>
      <c r="M566" s="16"/>
      <c r="N566" s="16"/>
      <c r="O566" s="16"/>
      <c r="P566" s="16"/>
      <c r="Q566" s="16"/>
      <c r="R566" s="16"/>
      <c r="S566" s="16">
        <v>-2.0</v>
      </c>
      <c r="T566" s="174" t="s">
        <v>2663</v>
      </c>
      <c r="U566" s="16" t="s">
        <v>2664</v>
      </c>
      <c r="V566" s="16" t="s">
        <v>2665</v>
      </c>
      <c r="W566" s="16" t="s">
        <v>491</v>
      </c>
      <c r="X566" s="16" t="s">
        <v>181</v>
      </c>
      <c r="Y566" s="100"/>
      <c r="Z566" s="16" t="s">
        <v>181</v>
      </c>
    </row>
    <row r="567">
      <c r="A567" s="16">
        <v>13057.0</v>
      </c>
      <c r="B567" s="16" t="s">
        <v>2666</v>
      </c>
      <c r="C567" s="16">
        <v>1.17</v>
      </c>
      <c r="D567" s="174" t="s">
        <v>2667</v>
      </c>
      <c r="E567" s="16"/>
      <c r="F567" s="16">
        <v>575.0</v>
      </c>
      <c r="G567" s="16" t="s">
        <v>212</v>
      </c>
      <c r="H567" s="16" t="s">
        <v>25</v>
      </c>
      <c r="I567" s="16" t="s">
        <v>26</v>
      </c>
      <c r="J567" s="16"/>
      <c r="K567" s="16"/>
      <c r="L567" s="16"/>
      <c r="M567" s="16"/>
      <c r="N567" s="16"/>
      <c r="O567" s="16"/>
      <c r="P567" s="16"/>
      <c r="Q567" s="16"/>
      <c r="R567" s="16"/>
      <c r="S567" s="16">
        <v>-2.0</v>
      </c>
      <c r="T567" s="16"/>
      <c r="U567" s="16" t="s">
        <v>2668</v>
      </c>
      <c r="V567" s="16" t="s">
        <v>2669</v>
      </c>
      <c r="W567" s="16" t="s">
        <v>751</v>
      </c>
      <c r="X567" s="16" t="s">
        <v>181</v>
      </c>
      <c r="Y567" s="100"/>
      <c r="Z567" s="16" t="s">
        <v>181</v>
      </c>
    </row>
    <row r="568">
      <c r="A568" s="16">
        <v>13058.0</v>
      </c>
      <c r="B568" s="16" t="s">
        <v>2670</v>
      </c>
      <c r="C568" s="16">
        <v>1.06</v>
      </c>
      <c r="D568" s="174" t="s">
        <v>2671</v>
      </c>
      <c r="E568" s="16"/>
      <c r="F568" s="16">
        <v>563.0</v>
      </c>
      <c r="G568" s="16" t="s">
        <v>260</v>
      </c>
      <c r="H568" s="16" t="s">
        <v>24</v>
      </c>
      <c r="I568" s="16"/>
      <c r="J568" s="16"/>
      <c r="K568" s="16"/>
      <c r="L568" s="16"/>
      <c r="M568" s="16"/>
      <c r="N568" s="16"/>
      <c r="O568" s="16"/>
      <c r="P568" s="16"/>
      <c r="Q568" s="16"/>
      <c r="R568" s="16"/>
      <c r="S568" s="16">
        <v>-2.0</v>
      </c>
      <c r="T568" s="16"/>
      <c r="U568" s="16" t="s">
        <v>2672</v>
      </c>
      <c r="V568" s="16" t="s">
        <v>2673</v>
      </c>
      <c r="W568" s="16" t="s">
        <v>2674</v>
      </c>
      <c r="X568" s="16" t="s">
        <v>181</v>
      </c>
      <c r="Y568" s="100"/>
      <c r="Z568" s="16" t="s">
        <v>181</v>
      </c>
    </row>
    <row r="569">
      <c r="A569" s="16">
        <v>13059.0</v>
      </c>
      <c r="B569" s="16" t="s">
        <v>2675</v>
      </c>
      <c r="C569" s="16">
        <v>0.81</v>
      </c>
      <c r="D569" s="174" t="s">
        <v>2676</v>
      </c>
      <c r="E569" s="16"/>
      <c r="F569" s="16">
        <v>547.0</v>
      </c>
      <c r="G569" s="16" t="s">
        <v>176</v>
      </c>
      <c r="H569" s="16" t="s">
        <v>13</v>
      </c>
      <c r="I569" s="16" t="s">
        <v>15</v>
      </c>
      <c r="J569" s="16"/>
      <c r="K569" s="16"/>
      <c r="L569" s="16"/>
      <c r="M569" s="16"/>
      <c r="N569" s="16"/>
      <c r="O569" s="16"/>
      <c r="P569" s="16"/>
      <c r="Q569" s="16"/>
      <c r="R569" s="16"/>
      <c r="S569" s="16">
        <v>-2.0</v>
      </c>
      <c r="T569" s="16"/>
      <c r="U569" s="16" t="s">
        <v>2677</v>
      </c>
      <c r="V569" s="16" t="s">
        <v>2678</v>
      </c>
      <c r="W569" s="16" t="s">
        <v>443</v>
      </c>
      <c r="X569" s="16" t="s">
        <v>181</v>
      </c>
      <c r="Y569" s="100"/>
      <c r="Z569" s="16" t="s">
        <v>181</v>
      </c>
    </row>
    <row r="570">
      <c r="A570" s="16">
        <v>13060.0</v>
      </c>
      <c r="B570" s="16" t="s">
        <v>2679</v>
      </c>
      <c r="C570" s="16">
        <v>0.0</v>
      </c>
      <c r="D570" s="174" t="s">
        <v>2680</v>
      </c>
      <c r="E570" s="16"/>
      <c r="F570" s="16">
        <v>547.0</v>
      </c>
      <c r="G570" s="16" t="s">
        <v>176</v>
      </c>
      <c r="H570" s="16" t="s">
        <v>24</v>
      </c>
      <c r="I570" s="16"/>
      <c r="J570" s="16"/>
      <c r="K570" s="16"/>
      <c r="L570" s="16"/>
      <c r="M570" s="16"/>
      <c r="N570" s="16"/>
      <c r="O570" s="16"/>
      <c r="P570" s="16"/>
      <c r="Q570" s="16"/>
      <c r="R570" s="16"/>
      <c r="S570" s="16">
        <v>-2.0</v>
      </c>
      <c r="T570" s="16"/>
      <c r="U570" s="16" t="s">
        <v>2681</v>
      </c>
      <c r="V570" s="16" t="s">
        <v>2682</v>
      </c>
      <c r="W570" s="16" t="s">
        <v>616</v>
      </c>
      <c r="X570" s="16" t="s">
        <v>181</v>
      </c>
      <c r="Y570" s="100"/>
      <c r="Z570" s="16" t="s">
        <v>181</v>
      </c>
    </row>
    <row r="571">
      <c r="A571" s="16">
        <v>13061.0</v>
      </c>
      <c r="B571" s="16" t="s">
        <v>2683</v>
      </c>
      <c r="C571" s="16">
        <v>0.0</v>
      </c>
      <c r="D571" s="174" t="s">
        <v>2684</v>
      </c>
      <c r="E571" s="16"/>
      <c r="F571" s="16">
        <v>547.0</v>
      </c>
      <c r="G571" s="16" t="s">
        <v>176</v>
      </c>
      <c r="H571" s="16" t="s">
        <v>25</v>
      </c>
      <c r="I571" s="16" t="s">
        <v>26</v>
      </c>
      <c r="J571" s="16"/>
      <c r="K571" s="16"/>
      <c r="L571" s="16"/>
      <c r="M571" s="16"/>
      <c r="N571" s="16"/>
      <c r="O571" s="16"/>
      <c r="P571" s="16"/>
      <c r="Q571" s="16"/>
      <c r="R571" s="16"/>
      <c r="S571" s="16">
        <v>-2.0</v>
      </c>
      <c r="T571" s="16"/>
      <c r="U571" s="16" t="s">
        <v>2685</v>
      </c>
      <c r="V571" s="16" t="s">
        <v>2686</v>
      </c>
      <c r="W571" s="16" t="s">
        <v>360</v>
      </c>
      <c r="X571" s="16" t="s">
        <v>181</v>
      </c>
      <c r="Y571" s="100"/>
      <c r="Z571" s="16" t="s">
        <v>181</v>
      </c>
    </row>
    <row r="572">
      <c r="A572" s="16">
        <v>13062.0</v>
      </c>
      <c r="B572" s="16" t="s">
        <v>2687</v>
      </c>
      <c r="C572" s="16">
        <v>0.0</v>
      </c>
      <c r="D572" s="174" t="s">
        <v>2688</v>
      </c>
      <c r="E572" s="16"/>
      <c r="F572" s="16">
        <v>584.0</v>
      </c>
      <c r="G572" s="16" t="s">
        <v>361</v>
      </c>
      <c r="H572" s="16" t="s">
        <v>24</v>
      </c>
      <c r="I572" s="16" t="s">
        <v>25</v>
      </c>
      <c r="J572" s="16" t="s">
        <v>26</v>
      </c>
      <c r="K572" s="16"/>
      <c r="L572" s="16"/>
      <c r="M572" s="16"/>
      <c r="N572" s="16"/>
      <c r="O572" s="16"/>
      <c r="P572" s="16"/>
      <c r="Q572" s="16"/>
      <c r="R572" s="16"/>
      <c r="S572" s="16">
        <v>-2.0</v>
      </c>
      <c r="T572" s="16"/>
      <c r="U572" s="16" t="s">
        <v>2689</v>
      </c>
      <c r="V572" s="16" t="s">
        <v>2690</v>
      </c>
      <c r="W572" s="16" t="s">
        <v>199</v>
      </c>
      <c r="X572" s="16" t="s">
        <v>181</v>
      </c>
      <c r="Y572" s="100"/>
      <c r="Z572" s="16" t="s">
        <v>181</v>
      </c>
    </row>
    <row r="573">
      <c r="A573" s="16">
        <v>13063.0</v>
      </c>
      <c r="B573" s="16" t="s">
        <v>2691</v>
      </c>
      <c r="C573" s="16">
        <v>0.0</v>
      </c>
      <c r="D573" s="174" t="s">
        <v>2692</v>
      </c>
      <c r="E573" s="16"/>
      <c r="F573" s="16">
        <v>575.0</v>
      </c>
      <c r="G573" s="16" t="s">
        <v>212</v>
      </c>
      <c r="H573" s="16" t="s">
        <v>51</v>
      </c>
      <c r="I573" s="16"/>
      <c r="J573" s="16"/>
      <c r="K573" s="16"/>
      <c r="L573" s="16"/>
      <c r="M573" s="16"/>
      <c r="N573" s="16"/>
      <c r="O573" s="16"/>
      <c r="P573" s="16"/>
      <c r="Q573" s="16"/>
      <c r="R573" s="16"/>
      <c r="S573" s="16">
        <v>-2.0</v>
      </c>
      <c r="T573" s="16"/>
      <c r="U573" s="16" t="s">
        <v>2693</v>
      </c>
      <c r="V573" s="16" t="s">
        <v>2694</v>
      </c>
      <c r="W573" s="16" t="s">
        <v>360</v>
      </c>
      <c r="X573" s="16" t="s">
        <v>181</v>
      </c>
      <c r="Y573" s="100"/>
      <c r="Z573" s="16" t="s">
        <v>181</v>
      </c>
    </row>
    <row r="574">
      <c r="A574" s="16">
        <v>13064.0</v>
      </c>
      <c r="B574" s="16" t="s">
        <v>2695</v>
      </c>
      <c r="C574" s="16">
        <v>0.88</v>
      </c>
      <c r="D574" s="174" t="s">
        <v>2696</v>
      </c>
      <c r="E574" s="16"/>
      <c r="F574" s="16">
        <v>547.0</v>
      </c>
      <c r="G574" s="16" t="s">
        <v>176</v>
      </c>
      <c r="H574" s="16" t="s">
        <v>25</v>
      </c>
      <c r="I574" s="16"/>
      <c r="J574" s="16"/>
      <c r="K574" s="16"/>
      <c r="L574" s="16"/>
      <c r="M574" s="16"/>
      <c r="N574" s="16"/>
      <c r="O574" s="16"/>
      <c r="P574" s="16"/>
      <c r="Q574" s="16"/>
      <c r="R574" s="16"/>
      <c r="S574" s="16">
        <v>-2.0</v>
      </c>
      <c r="T574" s="16"/>
      <c r="U574" s="16" t="s">
        <v>2697</v>
      </c>
      <c r="V574" s="16" t="s">
        <v>2698</v>
      </c>
      <c r="W574" s="16" t="s">
        <v>199</v>
      </c>
      <c r="X574" s="16" t="s">
        <v>181</v>
      </c>
      <c r="Y574" s="100"/>
      <c r="Z574" s="16" t="s">
        <v>181</v>
      </c>
    </row>
    <row r="575">
      <c r="A575" s="16">
        <v>13065.0</v>
      </c>
      <c r="B575" s="16" t="s">
        <v>2699</v>
      </c>
      <c r="C575" s="16">
        <v>0.0</v>
      </c>
      <c r="D575" s="174" t="s">
        <v>2700</v>
      </c>
      <c r="E575" s="16"/>
      <c r="F575" s="16">
        <v>547.0</v>
      </c>
      <c r="G575" s="16" t="s">
        <v>176</v>
      </c>
      <c r="H575" s="16" t="s">
        <v>24</v>
      </c>
      <c r="I575" s="16"/>
      <c r="J575" s="16"/>
      <c r="K575" s="16"/>
      <c r="L575" s="16"/>
      <c r="M575" s="16"/>
      <c r="N575" s="16"/>
      <c r="O575" s="16"/>
      <c r="P575" s="16"/>
      <c r="Q575" s="16"/>
      <c r="R575" s="16"/>
      <c r="S575" s="16">
        <v>-2.0</v>
      </c>
      <c r="T575" s="16"/>
      <c r="U575" s="16" t="s">
        <v>2701</v>
      </c>
      <c r="V575" s="16" t="s">
        <v>2702</v>
      </c>
      <c r="W575" s="16" t="s">
        <v>422</v>
      </c>
      <c r="X575" s="16" t="s">
        <v>181</v>
      </c>
      <c r="Y575" s="100"/>
      <c r="Z575" s="16" t="s">
        <v>181</v>
      </c>
    </row>
    <row r="576">
      <c r="A576" s="16">
        <v>13066.0</v>
      </c>
      <c r="B576" s="16" t="s">
        <v>2703</v>
      </c>
      <c r="C576" s="16">
        <v>0.59</v>
      </c>
      <c r="D576" s="174" t="s">
        <v>2704</v>
      </c>
      <c r="E576" s="16"/>
      <c r="F576" s="16">
        <v>551.0</v>
      </c>
      <c r="G576" s="16" t="s">
        <v>200</v>
      </c>
      <c r="H576" s="16" t="s">
        <v>15</v>
      </c>
      <c r="I576" s="16"/>
      <c r="J576" s="16"/>
      <c r="K576" s="16"/>
      <c r="L576" s="16"/>
      <c r="M576" s="16"/>
      <c r="N576" s="16"/>
      <c r="O576" s="16"/>
      <c r="P576" s="16"/>
      <c r="Q576" s="16"/>
      <c r="R576" s="16"/>
      <c r="S576" s="16">
        <v>-2.0</v>
      </c>
      <c r="T576" s="16"/>
      <c r="U576" s="16" t="s">
        <v>2705</v>
      </c>
      <c r="V576" s="16" t="s">
        <v>2706</v>
      </c>
      <c r="W576" s="16" t="s">
        <v>616</v>
      </c>
      <c r="X576" s="16" t="s">
        <v>181</v>
      </c>
      <c r="Y576" s="100"/>
      <c r="Z576" s="16" t="s">
        <v>181</v>
      </c>
    </row>
    <row r="577">
      <c r="A577" s="16">
        <v>13067.0</v>
      </c>
      <c r="B577" s="16" t="s">
        <v>2707</v>
      </c>
      <c r="C577" s="16">
        <v>1.01</v>
      </c>
      <c r="D577" s="174" t="s">
        <v>2708</v>
      </c>
      <c r="E577" s="16"/>
      <c r="F577" s="16">
        <v>583.0</v>
      </c>
      <c r="G577" s="16" t="s">
        <v>1170</v>
      </c>
      <c r="H577" s="16" t="s">
        <v>25</v>
      </c>
      <c r="I577" s="16" t="s">
        <v>26</v>
      </c>
      <c r="J577" s="16"/>
      <c r="K577" s="16"/>
      <c r="L577" s="16"/>
      <c r="M577" s="16"/>
      <c r="N577" s="16"/>
      <c r="O577" s="16"/>
      <c r="P577" s="16"/>
      <c r="Q577" s="16"/>
      <c r="R577" s="16"/>
      <c r="S577" s="16">
        <v>-2.0</v>
      </c>
      <c r="T577" s="16"/>
      <c r="U577" s="16" t="s">
        <v>2709</v>
      </c>
      <c r="V577" s="16" t="s">
        <v>2710</v>
      </c>
      <c r="W577" s="16" t="s">
        <v>179</v>
      </c>
      <c r="X577" s="16" t="s">
        <v>181</v>
      </c>
      <c r="Y577" s="100"/>
      <c r="Z577" s="16" t="s">
        <v>181</v>
      </c>
    </row>
    <row r="578">
      <c r="A578" s="16">
        <v>13068.0</v>
      </c>
      <c r="B578" s="16" t="s">
        <v>2711</v>
      </c>
      <c r="C578" s="16">
        <v>1.42</v>
      </c>
      <c r="D578" s="174" t="s">
        <v>2712</v>
      </c>
      <c r="E578" s="16"/>
      <c r="F578" s="16">
        <v>558.0</v>
      </c>
      <c r="G578" s="16" t="s">
        <v>2713</v>
      </c>
      <c r="H578" s="16" t="s">
        <v>25</v>
      </c>
      <c r="I578" s="16" t="s">
        <v>26</v>
      </c>
      <c r="J578" s="16"/>
      <c r="K578" s="16"/>
      <c r="L578" s="16"/>
      <c r="M578" s="16"/>
      <c r="N578" s="16"/>
      <c r="O578" s="16"/>
      <c r="P578" s="16"/>
      <c r="Q578" s="16"/>
      <c r="R578" s="16" t="s">
        <v>1668</v>
      </c>
      <c r="S578" s="16">
        <v>-2.0</v>
      </c>
      <c r="T578" s="16"/>
      <c r="U578" s="16" t="s">
        <v>2714</v>
      </c>
      <c r="V578" s="16" t="s">
        <v>2715</v>
      </c>
      <c r="W578" s="16" t="s">
        <v>591</v>
      </c>
      <c r="X578" s="16" t="s">
        <v>181</v>
      </c>
      <c r="Y578" s="100"/>
      <c r="Z578" s="16" t="s">
        <v>181</v>
      </c>
    </row>
    <row r="579">
      <c r="A579" s="16">
        <v>13069.0</v>
      </c>
      <c r="B579" s="16" t="s">
        <v>2716</v>
      </c>
      <c r="C579" s="16">
        <v>0.22</v>
      </c>
      <c r="D579" s="174" t="s">
        <v>2717</v>
      </c>
      <c r="E579" s="16"/>
      <c r="F579" s="16">
        <v>547.0</v>
      </c>
      <c r="G579" s="16" t="s">
        <v>176</v>
      </c>
      <c r="H579" s="16" t="s">
        <v>12</v>
      </c>
      <c r="I579" s="16"/>
      <c r="J579" s="16"/>
      <c r="K579" s="16"/>
      <c r="L579" s="16"/>
      <c r="M579" s="16"/>
      <c r="N579" s="16"/>
      <c r="O579" s="16"/>
      <c r="P579" s="16"/>
      <c r="Q579" s="16"/>
      <c r="R579" s="16"/>
      <c r="S579" s="16">
        <v>-2.0</v>
      </c>
      <c r="T579" s="16"/>
      <c r="U579" s="16" t="s">
        <v>2718</v>
      </c>
      <c r="V579" s="16" t="s">
        <v>2719</v>
      </c>
      <c r="W579" s="16" t="s">
        <v>675</v>
      </c>
      <c r="X579" s="16" t="s">
        <v>181</v>
      </c>
      <c r="Y579" s="100"/>
      <c r="Z579" s="16" t="s">
        <v>181</v>
      </c>
    </row>
    <row r="580">
      <c r="A580" s="16">
        <v>13070.0</v>
      </c>
      <c r="B580" s="16" t="s">
        <v>2720</v>
      </c>
      <c r="C580" s="16">
        <v>0.05</v>
      </c>
      <c r="D580" s="174" t="s">
        <v>2721</v>
      </c>
      <c r="E580" s="16"/>
      <c r="F580" s="16">
        <v>547.0</v>
      </c>
      <c r="G580" s="16" t="s">
        <v>176</v>
      </c>
      <c r="H580" s="16" t="s">
        <v>24</v>
      </c>
      <c r="I580" s="16" t="s">
        <v>25</v>
      </c>
      <c r="J580" s="16"/>
      <c r="K580" s="16"/>
      <c r="L580" s="16"/>
      <c r="M580" s="16"/>
      <c r="N580" s="16"/>
      <c r="O580" s="16"/>
      <c r="P580" s="16"/>
      <c r="Q580" s="16"/>
      <c r="R580" s="16"/>
      <c r="S580" s="16">
        <v>-2.0</v>
      </c>
      <c r="T580" s="16"/>
      <c r="U580" s="16" t="s">
        <v>2722</v>
      </c>
      <c r="V580" s="16" t="s">
        <v>2723</v>
      </c>
      <c r="W580" s="16" t="s">
        <v>179</v>
      </c>
      <c r="X580" s="16" t="s">
        <v>181</v>
      </c>
      <c r="Y580" s="100"/>
      <c r="Z580" s="16" t="s">
        <v>181</v>
      </c>
    </row>
    <row r="581">
      <c r="A581" s="16">
        <v>13071.0</v>
      </c>
      <c r="B581" s="16" t="s">
        <v>2724</v>
      </c>
      <c r="C581" s="16">
        <v>1.14</v>
      </c>
      <c r="D581" s="174" t="s">
        <v>2725</v>
      </c>
      <c r="E581" s="16"/>
      <c r="F581" s="16">
        <v>551.0</v>
      </c>
      <c r="G581" s="16" t="s">
        <v>200</v>
      </c>
      <c r="H581" s="16" t="s">
        <v>25</v>
      </c>
      <c r="I581" s="16" t="s">
        <v>26</v>
      </c>
      <c r="J581" s="16"/>
      <c r="K581" s="16"/>
      <c r="L581" s="16"/>
      <c r="M581" s="16"/>
      <c r="N581" s="16"/>
      <c r="O581" s="16"/>
      <c r="P581" s="16"/>
      <c r="Q581" s="16"/>
      <c r="R581" s="16"/>
      <c r="S581" s="16">
        <v>-2.0</v>
      </c>
      <c r="T581" s="16"/>
      <c r="U581" s="16" t="s">
        <v>2726</v>
      </c>
      <c r="V581" s="16" t="s">
        <v>2727</v>
      </c>
      <c r="W581" s="16" t="s">
        <v>179</v>
      </c>
      <c r="X581" s="16" t="s">
        <v>181</v>
      </c>
      <c r="Y581" s="100"/>
      <c r="Z581" s="16" t="s">
        <v>181</v>
      </c>
    </row>
    <row r="582">
      <c r="A582" s="16">
        <v>13072.0</v>
      </c>
      <c r="B582" s="16" t="s">
        <v>2728</v>
      </c>
      <c r="C582" s="16">
        <v>0.0</v>
      </c>
      <c r="D582" s="174" t="s">
        <v>2729</v>
      </c>
      <c r="E582" s="16"/>
      <c r="F582" s="16">
        <v>547.0</v>
      </c>
      <c r="G582" s="16" t="s">
        <v>176</v>
      </c>
      <c r="H582" s="16" t="s">
        <v>24</v>
      </c>
      <c r="I582" s="16" t="s">
        <v>25</v>
      </c>
      <c r="J582" s="16"/>
      <c r="K582" s="16"/>
      <c r="L582" s="16"/>
      <c r="M582" s="16"/>
      <c r="N582" s="16"/>
      <c r="O582" s="16"/>
      <c r="P582" s="16"/>
      <c r="Q582" s="16"/>
      <c r="R582" s="16"/>
      <c r="S582" s="16">
        <v>-2.0</v>
      </c>
      <c r="T582" s="16"/>
      <c r="U582" s="16" t="s">
        <v>2730</v>
      </c>
      <c r="V582" s="16" t="s">
        <v>2731</v>
      </c>
      <c r="W582" s="16" t="s">
        <v>675</v>
      </c>
      <c r="X582" s="16" t="s">
        <v>181</v>
      </c>
      <c r="Y582" s="100"/>
      <c r="Z582" s="16" t="s">
        <v>181</v>
      </c>
    </row>
    <row r="583">
      <c r="A583" s="16">
        <v>13073.0</v>
      </c>
      <c r="B583" s="16" t="s">
        <v>2732</v>
      </c>
      <c r="C583" s="16">
        <v>2.16</v>
      </c>
      <c r="D583" s="174" t="s">
        <v>2733</v>
      </c>
      <c r="E583" s="16"/>
      <c r="F583" s="16">
        <v>569.0</v>
      </c>
      <c r="G583" s="16" t="s">
        <v>292</v>
      </c>
      <c r="H583" s="16" t="s">
        <v>19</v>
      </c>
      <c r="I583" s="16" t="s">
        <v>17</v>
      </c>
      <c r="J583" s="16"/>
      <c r="K583" s="16"/>
      <c r="L583" s="16"/>
      <c r="M583" s="16"/>
      <c r="N583" s="16"/>
      <c r="O583" s="16"/>
      <c r="P583" s="16"/>
      <c r="Q583" s="16"/>
      <c r="R583" s="16"/>
      <c r="S583" s="16">
        <v>-2.0</v>
      </c>
      <c r="T583" s="16"/>
      <c r="U583" s="16" t="s">
        <v>2734</v>
      </c>
      <c r="V583" s="16" t="s">
        <v>2735</v>
      </c>
      <c r="W583" s="16" t="s">
        <v>942</v>
      </c>
      <c r="X583" s="16" t="s">
        <v>181</v>
      </c>
      <c r="Y583" s="100"/>
      <c r="Z583" s="16" t="s">
        <v>181</v>
      </c>
    </row>
    <row r="584">
      <c r="A584" s="16">
        <v>13074.0</v>
      </c>
      <c r="B584" s="16" t="s">
        <v>2736</v>
      </c>
      <c r="C584" s="16">
        <v>3.38</v>
      </c>
      <c r="D584" s="174" t="s">
        <v>2737</v>
      </c>
      <c r="E584" s="16"/>
      <c r="F584" s="16">
        <v>551.0</v>
      </c>
      <c r="G584" s="16" t="s">
        <v>200</v>
      </c>
      <c r="H584" s="16" t="s">
        <v>14</v>
      </c>
      <c r="I584" s="16" t="s">
        <v>16</v>
      </c>
      <c r="J584" s="16"/>
      <c r="K584" s="16"/>
      <c r="L584" s="16"/>
      <c r="M584" s="16"/>
      <c r="N584" s="16"/>
      <c r="O584" s="16"/>
      <c r="P584" s="16"/>
      <c r="Q584" s="16"/>
      <c r="R584" s="16"/>
      <c r="S584" s="16">
        <v>-2.0</v>
      </c>
      <c r="T584" s="174" t="s">
        <v>2738</v>
      </c>
      <c r="U584" s="16" t="s">
        <v>2739</v>
      </c>
      <c r="V584" s="16" t="s">
        <v>2740</v>
      </c>
      <c r="W584" s="16" t="s">
        <v>491</v>
      </c>
      <c r="X584" s="16" t="s">
        <v>181</v>
      </c>
      <c r="Y584" s="100"/>
      <c r="Z584" s="16" t="s">
        <v>181</v>
      </c>
    </row>
    <row r="585">
      <c r="A585" s="16">
        <v>13075.0</v>
      </c>
      <c r="B585" s="16" t="s">
        <v>2741</v>
      </c>
      <c r="C585" s="16">
        <v>0.45</v>
      </c>
      <c r="D585" s="174" t="s">
        <v>2742</v>
      </c>
      <c r="E585" s="16"/>
      <c r="F585" s="16">
        <v>563.0</v>
      </c>
      <c r="G585" s="16" t="s">
        <v>260</v>
      </c>
      <c r="H585" s="16" t="s">
        <v>24</v>
      </c>
      <c r="I585" s="16"/>
      <c r="J585" s="16"/>
      <c r="K585" s="16"/>
      <c r="L585" s="16"/>
      <c r="M585" s="16"/>
      <c r="N585" s="16"/>
      <c r="O585" s="16"/>
      <c r="P585" s="16"/>
      <c r="Q585" s="16"/>
      <c r="R585" s="16"/>
      <c r="S585" s="16">
        <v>-2.0</v>
      </c>
      <c r="T585" s="16"/>
      <c r="U585" s="16" t="s">
        <v>2743</v>
      </c>
      <c r="V585" s="16" t="s">
        <v>2744</v>
      </c>
      <c r="W585" s="16" t="s">
        <v>188</v>
      </c>
      <c r="X585" s="16" t="s">
        <v>181</v>
      </c>
      <c r="Y585" s="100"/>
      <c r="Z585" s="16" t="s">
        <v>181</v>
      </c>
    </row>
    <row r="586">
      <c r="A586" s="16">
        <v>13076.0</v>
      </c>
      <c r="B586" s="16" t="s">
        <v>2745</v>
      </c>
      <c r="C586" s="16">
        <v>0.55</v>
      </c>
      <c r="D586" s="174" t="s">
        <v>2746</v>
      </c>
      <c r="E586" s="16"/>
      <c r="F586" s="16">
        <v>547.0</v>
      </c>
      <c r="G586" s="16" t="s">
        <v>176</v>
      </c>
      <c r="H586" s="16" t="s">
        <v>25</v>
      </c>
      <c r="I586" s="16" t="s">
        <v>26</v>
      </c>
      <c r="J586" s="16"/>
      <c r="K586" s="16"/>
      <c r="L586" s="16"/>
      <c r="M586" s="16"/>
      <c r="N586" s="16"/>
      <c r="O586" s="16"/>
      <c r="P586" s="16"/>
      <c r="Q586" s="16"/>
      <c r="R586" s="16"/>
      <c r="S586" s="16">
        <v>-2.0</v>
      </c>
      <c r="T586" s="16"/>
      <c r="U586" s="16" t="s">
        <v>2747</v>
      </c>
      <c r="V586" s="16" t="s">
        <v>2748</v>
      </c>
      <c r="W586" s="16" t="s">
        <v>491</v>
      </c>
      <c r="X586" s="16" t="s">
        <v>181</v>
      </c>
      <c r="Y586" s="100"/>
      <c r="Z586" s="16" t="s">
        <v>181</v>
      </c>
    </row>
    <row r="587">
      <c r="A587" s="16">
        <v>13077.0</v>
      </c>
      <c r="B587" s="16" t="s">
        <v>2749</v>
      </c>
      <c r="C587" s="16">
        <v>1.15</v>
      </c>
      <c r="D587" s="174" t="s">
        <v>2750</v>
      </c>
      <c r="E587" s="16"/>
      <c r="F587" s="16">
        <v>551.0</v>
      </c>
      <c r="G587" s="16" t="s">
        <v>200</v>
      </c>
      <c r="H587" s="16" t="s">
        <v>25</v>
      </c>
      <c r="I587" s="16" t="s">
        <v>26</v>
      </c>
      <c r="J587" s="16"/>
      <c r="K587" s="16"/>
      <c r="L587" s="16"/>
      <c r="M587" s="16"/>
      <c r="N587" s="16"/>
      <c r="O587" s="16"/>
      <c r="P587" s="16"/>
      <c r="Q587" s="16"/>
      <c r="R587" s="16"/>
      <c r="S587" s="16">
        <v>-2.0</v>
      </c>
      <c r="T587" s="16"/>
      <c r="U587" s="16" t="s">
        <v>2751</v>
      </c>
      <c r="V587" s="16" t="s">
        <v>2752</v>
      </c>
      <c r="W587" s="16" t="s">
        <v>491</v>
      </c>
      <c r="X587" s="16" t="s">
        <v>181</v>
      </c>
      <c r="Y587" s="100"/>
      <c r="Z587" s="16" t="s">
        <v>181</v>
      </c>
    </row>
    <row r="588">
      <c r="A588" s="16">
        <v>13078.0</v>
      </c>
      <c r="B588" s="16" t="s">
        <v>2753</v>
      </c>
      <c r="C588" s="16">
        <v>1.03</v>
      </c>
      <c r="D588" s="174" t="s">
        <v>2754</v>
      </c>
      <c r="E588" s="16"/>
      <c r="F588" s="16">
        <v>547.0</v>
      </c>
      <c r="G588" s="16" t="s">
        <v>176</v>
      </c>
      <c r="H588" s="16" t="s">
        <v>18</v>
      </c>
      <c r="I588" s="16"/>
      <c r="J588" s="16"/>
      <c r="K588" s="16"/>
      <c r="L588" s="16"/>
      <c r="M588" s="16"/>
      <c r="N588" s="16"/>
      <c r="O588" s="16"/>
      <c r="P588" s="16"/>
      <c r="Q588" s="16"/>
      <c r="R588" s="16"/>
      <c r="S588" s="16">
        <v>-2.0</v>
      </c>
      <c r="T588" s="16"/>
      <c r="U588" s="16" t="s">
        <v>2755</v>
      </c>
      <c r="V588" s="16" t="s">
        <v>2756</v>
      </c>
      <c r="W588" s="16" t="s">
        <v>491</v>
      </c>
      <c r="X588" s="16" t="s">
        <v>181</v>
      </c>
      <c r="Y588" s="100"/>
      <c r="Z588" s="16" t="s">
        <v>181</v>
      </c>
    </row>
    <row r="589">
      <c r="A589" s="16">
        <v>13079.0</v>
      </c>
      <c r="B589" s="16" t="s">
        <v>2757</v>
      </c>
      <c r="C589" s="16">
        <v>2.05</v>
      </c>
      <c r="D589" s="174" t="s">
        <v>2758</v>
      </c>
      <c r="E589" s="16"/>
      <c r="F589" s="16">
        <v>557.0</v>
      </c>
      <c r="G589" s="16" t="s">
        <v>232</v>
      </c>
      <c r="H589" s="16" t="s">
        <v>16</v>
      </c>
      <c r="I589" s="16" t="s">
        <v>14</v>
      </c>
      <c r="J589" s="16" t="s">
        <v>13</v>
      </c>
      <c r="K589" s="16" t="s">
        <v>15</v>
      </c>
      <c r="L589" s="16" t="s">
        <v>17</v>
      </c>
      <c r="M589" s="16"/>
      <c r="N589" s="16"/>
      <c r="O589" s="16"/>
      <c r="P589" s="16"/>
      <c r="Q589" s="16"/>
      <c r="R589" s="16"/>
      <c r="S589" s="16">
        <v>-2.0</v>
      </c>
      <c r="T589" s="16"/>
      <c r="U589" s="16" t="s">
        <v>2759</v>
      </c>
      <c r="V589" s="16" t="s">
        <v>2760</v>
      </c>
      <c r="W589" s="16" t="s">
        <v>179</v>
      </c>
      <c r="X589" s="16" t="s">
        <v>181</v>
      </c>
      <c r="Y589" s="100"/>
      <c r="Z589" s="16" t="s">
        <v>181</v>
      </c>
    </row>
    <row r="590">
      <c r="A590" s="16">
        <v>13080.0</v>
      </c>
      <c r="B590" s="16" t="s">
        <v>2761</v>
      </c>
      <c r="C590" s="16">
        <v>0.37</v>
      </c>
      <c r="D590" s="174" t="s">
        <v>2762</v>
      </c>
      <c r="E590" s="16"/>
      <c r="F590" s="16">
        <v>593.0</v>
      </c>
      <c r="G590" s="16" t="s">
        <v>272</v>
      </c>
      <c r="H590" s="16" t="s">
        <v>18</v>
      </c>
      <c r="I590" s="16" t="s">
        <v>17</v>
      </c>
      <c r="J590" s="16" t="s">
        <v>19</v>
      </c>
      <c r="K590" s="16"/>
      <c r="L590" s="16"/>
      <c r="M590" s="16"/>
      <c r="N590" s="16"/>
      <c r="O590" s="16"/>
      <c r="P590" s="16"/>
      <c r="Q590" s="16"/>
      <c r="R590" s="16"/>
      <c r="S590" s="16">
        <v>-2.0</v>
      </c>
      <c r="T590" s="174" t="s">
        <v>2763</v>
      </c>
      <c r="U590" s="16" t="s">
        <v>2764</v>
      </c>
      <c r="V590" s="16" t="s">
        <v>2765</v>
      </c>
      <c r="W590" s="16" t="s">
        <v>179</v>
      </c>
      <c r="X590" s="16" t="s">
        <v>181</v>
      </c>
      <c r="Y590" s="100"/>
      <c r="Z590" s="16" t="s">
        <v>181</v>
      </c>
    </row>
    <row r="591">
      <c r="A591" s="16">
        <v>13081.0</v>
      </c>
      <c r="B591" s="16" t="s">
        <v>2766</v>
      </c>
      <c r="C591" s="16">
        <v>2.57</v>
      </c>
      <c r="D591" s="174" t="s">
        <v>2767</v>
      </c>
      <c r="E591" s="16"/>
      <c r="F591" s="16">
        <v>557.0</v>
      </c>
      <c r="G591" s="16" t="s">
        <v>232</v>
      </c>
      <c r="H591" s="16" t="s">
        <v>25</v>
      </c>
      <c r="I591" s="16" t="s">
        <v>26</v>
      </c>
      <c r="J591" s="16"/>
      <c r="K591" s="16"/>
      <c r="L591" s="16"/>
      <c r="M591" s="16"/>
      <c r="N591" s="16"/>
      <c r="O591" s="16"/>
      <c r="P591" s="16"/>
      <c r="Q591" s="16"/>
      <c r="R591" s="16"/>
      <c r="S591" s="16">
        <v>-2.0</v>
      </c>
      <c r="T591" s="16"/>
      <c r="U591" s="16" t="s">
        <v>2768</v>
      </c>
      <c r="V591" s="16" t="s">
        <v>2769</v>
      </c>
      <c r="W591" s="16" t="s">
        <v>179</v>
      </c>
      <c r="X591" s="16" t="s">
        <v>181</v>
      </c>
      <c r="Y591" s="100"/>
      <c r="Z591" s="16" t="s">
        <v>181</v>
      </c>
    </row>
    <row r="592">
      <c r="A592" s="16">
        <v>13082.0</v>
      </c>
      <c r="B592" s="16" t="s">
        <v>2770</v>
      </c>
      <c r="C592" s="16">
        <v>0.44</v>
      </c>
      <c r="D592" s="174" t="s">
        <v>2771</v>
      </c>
      <c r="E592" s="16"/>
      <c r="F592" s="16">
        <v>547.0</v>
      </c>
      <c r="G592" s="16" t="s">
        <v>176</v>
      </c>
      <c r="H592" s="16" t="s">
        <v>13</v>
      </c>
      <c r="I592" s="16" t="s">
        <v>15</v>
      </c>
      <c r="J592" s="16" t="s">
        <v>14</v>
      </c>
      <c r="K592" s="16" t="s">
        <v>17</v>
      </c>
      <c r="L592" s="16"/>
      <c r="M592" s="16"/>
      <c r="N592" s="16"/>
      <c r="O592" s="16"/>
      <c r="P592" s="16"/>
      <c r="Q592" s="16"/>
      <c r="R592" s="16"/>
      <c r="S592" s="16">
        <v>-2.0</v>
      </c>
      <c r="T592" s="16"/>
      <c r="U592" s="16" t="s">
        <v>2772</v>
      </c>
      <c r="V592" s="16" t="s">
        <v>2773</v>
      </c>
      <c r="W592" s="16" t="s">
        <v>399</v>
      </c>
      <c r="X592" s="16" t="s">
        <v>181</v>
      </c>
      <c r="Y592" s="100"/>
      <c r="Z592" s="16" t="s">
        <v>181</v>
      </c>
    </row>
    <row r="593">
      <c r="A593" s="16">
        <v>13083.0</v>
      </c>
      <c r="B593" s="16" t="s">
        <v>2774</v>
      </c>
      <c r="C593" s="16">
        <v>0.0</v>
      </c>
      <c r="D593" s="174" t="s">
        <v>2775</v>
      </c>
      <c r="E593" s="16"/>
      <c r="F593" s="16">
        <v>547.0</v>
      </c>
      <c r="G593" s="16" t="s">
        <v>176</v>
      </c>
      <c r="H593" s="16" t="s">
        <v>25</v>
      </c>
      <c r="I593" s="16" t="s">
        <v>26</v>
      </c>
      <c r="J593" s="16"/>
      <c r="K593" s="16"/>
      <c r="L593" s="16"/>
      <c r="M593" s="16"/>
      <c r="N593" s="16"/>
      <c r="O593" s="16"/>
      <c r="P593" s="16"/>
      <c r="Q593" s="16"/>
      <c r="R593" s="16"/>
      <c r="S593" s="16">
        <v>-2.0</v>
      </c>
      <c r="T593" s="16"/>
      <c r="U593" s="16" t="s">
        <v>2776</v>
      </c>
      <c r="V593" s="16" t="s">
        <v>2777</v>
      </c>
      <c r="W593" s="16" t="s">
        <v>591</v>
      </c>
      <c r="X593" s="16" t="s">
        <v>181</v>
      </c>
      <c r="Y593" s="100"/>
      <c r="Z593" s="16" t="s">
        <v>181</v>
      </c>
    </row>
    <row r="594">
      <c r="A594" s="16">
        <v>13084.0</v>
      </c>
      <c r="B594" s="16" t="s">
        <v>2778</v>
      </c>
      <c r="C594" s="16">
        <v>0.07</v>
      </c>
      <c r="D594" s="174" t="s">
        <v>2779</v>
      </c>
      <c r="E594" s="16"/>
      <c r="F594" s="16">
        <v>569.0</v>
      </c>
      <c r="G594" s="16" t="s">
        <v>292</v>
      </c>
      <c r="H594" s="16" t="s">
        <v>12</v>
      </c>
      <c r="I594" s="16"/>
      <c r="J594" s="16"/>
      <c r="K594" s="16"/>
      <c r="L594" s="16"/>
      <c r="M594" s="16"/>
      <c r="N594" s="16"/>
      <c r="O594" s="16"/>
      <c r="P594" s="16"/>
      <c r="Q594" s="16"/>
      <c r="R594" s="16"/>
      <c r="S594" s="16">
        <v>-2.0</v>
      </c>
      <c r="T594" s="16"/>
      <c r="U594" s="16" t="s">
        <v>2780</v>
      </c>
      <c r="V594" s="16" t="s">
        <v>2781</v>
      </c>
      <c r="W594" s="16" t="s">
        <v>675</v>
      </c>
      <c r="X594" s="16" t="s">
        <v>181</v>
      </c>
      <c r="Y594" s="100"/>
      <c r="Z594" s="16" t="s">
        <v>181</v>
      </c>
    </row>
    <row r="595">
      <c r="A595" s="16">
        <v>13085.0</v>
      </c>
      <c r="B595" s="16" t="s">
        <v>2782</v>
      </c>
      <c r="C595" s="16">
        <v>0.0</v>
      </c>
      <c r="D595" s="174" t="s">
        <v>2783</v>
      </c>
      <c r="E595" s="16"/>
      <c r="F595" s="16">
        <v>547.0</v>
      </c>
      <c r="G595" s="16" t="s">
        <v>176</v>
      </c>
      <c r="H595" s="16" t="s">
        <v>13</v>
      </c>
      <c r="I595" s="16" t="s">
        <v>19</v>
      </c>
      <c r="J595" s="16"/>
      <c r="K595" s="16"/>
      <c r="L595" s="16"/>
      <c r="M595" s="16"/>
      <c r="N595" s="16"/>
      <c r="O595" s="16"/>
      <c r="P595" s="16"/>
      <c r="Q595" s="16"/>
      <c r="R595" s="16"/>
      <c r="S595" s="16">
        <v>-2.0</v>
      </c>
      <c r="T595" s="16"/>
      <c r="U595" s="16" t="s">
        <v>2784</v>
      </c>
      <c r="V595" s="16" t="s">
        <v>2785</v>
      </c>
      <c r="W595" s="16" t="s">
        <v>591</v>
      </c>
      <c r="X595" s="16" t="s">
        <v>181</v>
      </c>
      <c r="Y595" s="100"/>
      <c r="Z595" s="16" t="s">
        <v>181</v>
      </c>
    </row>
    <row r="596">
      <c r="A596" s="16">
        <v>13086.0</v>
      </c>
      <c r="B596" s="16" t="s">
        <v>2786</v>
      </c>
      <c r="C596" s="16">
        <v>1.27</v>
      </c>
      <c r="D596" s="174" t="s">
        <v>2787</v>
      </c>
      <c r="E596" s="16"/>
      <c r="F596" s="16">
        <v>551.0</v>
      </c>
      <c r="G596" s="16" t="s">
        <v>200</v>
      </c>
      <c r="H596" s="16" t="s">
        <v>25</v>
      </c>
      <c r="I596" s="16" t="s">
        <v>26</v>
      </c>
      <c r="J596" s="16"/>
      <c r="K596" s="16"/>
      <c r="L596" s="16"/>
      <c r="M596" s="16"/>
      <c r="N596" s="16"/>
      <c r="O596" s="16"/>
      <c r="P596" s="16"/>
      <c r="Q596" s="16"/>
      <c r="R596" s="16"/>
      <c r="S596" s="16">
        <v>-2.0</v>
      </c>
      <c r="T596" s="16"/>
      <c r="U596" s="16" t="s">
        <v>2788</v>
      </c>
      <c r="V596" s="16" t="s">
        <v>2789</v>
      </c>
      <c r="W596" s="16" t="s">
        <v>422</v>
      </c>
      <c r="X596" s="16" t="s">
        <v>181</v>
      </c>
      <c r="Y596" s="100"/>
      <c r="Z596" s="16" t="s">
        <v>181</v>
      </c>
    </row>
    <row r="597">
      <c r="A597" s="16">
        <v>13087.0</v>
      </c>
      <c r="B597" s="16" t="s">
        <v>2790</v>
      </c>
      <c r="C597" s="16">
        <v>0.98</v>
      </c>
      <c r="D597" s="174" t="s">
        <v>2791</v>
      </c>
      <c r="E597" s="16"/>
      <c r="F597" s="16">
        <v>577.0</v>
      </c>
      <c r="G597" s="16" t="s">
        <v>1755</v>
      </c>
      <c r="H597" s="16" t="s">
        <v>24</v>
      </c>
      <c r="I597" s="16"/>
      <c r="J597" s="16"/>
      <c r="K597" s="16"/>
      <c r="L597" s="16"/>
      <c r="M597" s="16"/>
      <c r="N597" s="16"/>
      <c r="O597" s="16"/>
      <c r="P597" s="16"/>
      <c r="Q597" s="16"/>
      <c r="R597" s="16"/>
      <c r="S597" s="16">
        <v>-2.0</v>
      </c>
      <c r="T597" s="16"/>
      <c r="U597" s="16" t="s">
        <v>2792</v>
      </c>
      <c r="V597" s="16" t="s">
        <v>2793</v>
      </c>
      <c r="W597" s="16" t="s">
        <v>231</v>
      </c>
      <c r="X597" s="16" t="s">
        <v>181</v>
      </c>
      <c r="Y597" s="100"/>
      <c r="Z597" s="16" t="s">
        <v>181</v>
      </c>
    </row>
    <row r="598">
      <c r="A598" s="16">
        <v>13088.0</v>
      </c>
      <c r="B598" s="16" t="s">
        <v>2794</v>
      </c>
      <c r="C598" s="16">
        <v>1.91</v>
      </c>
      <c r="D598" s="174" t="s">
        <v>2795</v>
      </c>
      <c r="E598" s="16"/>
      <c r="F598" s="16">
        <v>569.0</v>
      </c>
      <c r="G598" s="16" t="s">
        <v>292</v>
      </c>
      <c r="H598" s="16" t="s">
        <v>24</v>
      </c>
      <c r="I598" s="16"/>
      <c r="J598" s="16"/>
      <c r="K598" s="16"/>
      <c r="L598" s="16"/>
      <c r="M598" s="16"/>
      <c r="N598" s="16"/>
      <c r="O598" s="16"/>
      <c r="P598" s="16"/>
      <c r="Q598" s="16"/>
      <c r="R598" s="16"/>
      <c r="S598" s="16">
        <v>-2.0</v>
      </c>
      <c r="T598" s="16"/>
      <c r="U598" s="16" t="s">
        <v>2796</v>
      </c>
      <c r="V598" s="16" t="s">
        <v>2797</v>
      </c>
      <c r="W598" s="16" t="s">
        <v>459</v>
      </c>
      <c r="X598" s="16" t="s">
        <v>181</v>
      </c>
      <c r="Y598" s="100"/>
      <c r="Z598" s="16" t="s">
        <v>181</v>
      </c>
    </row>
    <row r="599">
      <c r="A599" s="16">
        <v>13089.0</v>
      </c>
      <c r="B599" s="16" t="s">
        <v>2798</v>
      </c>
      <c r="C599" s="16">
        <v>0.0</v>
      </c>
      <c r="D599" s="174" t="s">
        <v>2799</v>
      </c>
      <c r="E599" s="16"/>
      <c r="F599" s="16">
        <v>584.0</v>
      </c>
      <c r="G599" s="16" t="s">
        <v>361</v>
      </c>
      <c r="H599" s="16" t="s">
        <v>14</v>
      </c>
      <c r="I599" s="16" t="s">
        <v>15</v>
      </c>
      <c r="J599" s="16" t="s">
        <v>16</v>
      </c>
      <c r="K599" s="16" t="s">
        <v>13</v>
      </c>
      <c r="L599" s="16"/>
      <c r="M599" s="16"/>
      <c r="N599" s="16"/>
      <c r="O599" s="16"/>
      <c r="P599" s="16"/>
      <c r="Q599" s="16"/>
      <c r="R599" s="16"/>
      <c r="S599" s="16">
        <v>-2.0</v>
      </c>
      <c r="T599" s="16"/>
      <c r="U599" s="16" t="s">
        <v>2800</v>
      </c>
      <c r="V599" s="16" t="s">
        <v>2801</v>
      </c>
      <c r="W599" s="16" t="s">
        <v>259</v>
      </c>
      <c r="X599" s="16" t="s">
        <v>181</v>
      </c>
      <c r="Y599" s="100"/>
      <c r="Z599" s="16" t="s">
        <v>181</v>
      </c>
    </row>
    <row r="600">
      <c r="A600" s="16">
        <v>13090.0</v>
      </c>
      <c r="B600" s="16" t="s">
        <v>2802</v>
      </c>
      <c r="C600" s="16">
        <v>0.68</v>
      </c>
      <c r="D600" s="174" t="s">
        <v>2803</v>
      </c>
      <c r="E600" s="16"/>
      <c r="F600" s="16">
        <v>547.0</v>
      </c>
      <c r="G600" s="16" t="s">
        <v>176</v>
      </c>
      <c r="H600" s="16" t="s">
        <v>25</v>
      </c>
      <c r="I600" s="16" t="s">
        <v>26</v>
      </c>
      <c r="J600" s="16"/>
      <c r="K600" s="16"/>
      <c r="L600" s="16"/>
      <c r="M600" s="16"/>
      <c r="N600" s="16"/>
      <c r="O600" s="16"/>
      <c r="P600" s="16"/>
      <c r="Q600" s="16"/>
      <c r="R600" s="16"/>
      <c r="S600" s="16">
        <v>-2.0</v>
      </c>
      <c r="T600" s="16"/>
      <c r="U600" s="16" t="s">
        <v>2804</v>
      </c>
      <c r="V600" s="16" t="s">
        <v>2805</v>
      </c>
      <c r="W600" s="16" t="s">
        <v>179</v>
      </c>
      <c r="X600" s="16" t="s">
        <v>181</v>
      </c>
      <c r="Y600" s="100"/>
      <c r="Z600" s="16" t="s">
        <v>181</v>
      </c>
    </row>
    <row r="601">
      <c r="A601" s="16">
        <v>13091.0</v>
      </c>
      <c r="B601" s="16" t="s">
        <v>2806</v>
      </c>
      <c r="C601" s="16">
        <v>0.0</v>
      </c>
      <c r="D601" s="174" t="s">
        <v>2807</v>
      </c>
      <c r="E601" s="16"/>
      <c r="F601" s="16">
        <v>547.0</v>
      </c>
      <c r="G601" s="16" t="s">
        <v>176</v>
      </c>
      <c r="H601" s="16" t="s">
        <v>24</v>
      </c>
      <c r="I601" s="16"/>
      <c r="J601" s="16"/>
      <c r="K601" s="16"/>
      <c r="L601" s="16"/>
      <c r="M601" s="16"/>
      <c r="N601" s="16"/>
      <c r="O601" s="16"/>
      <c r="P601" s="16"/>
      <c r="Q601" s="16"/>
      <c r="R601" s="16"/>
      <c r="S601" s="16">
        <v>-2.0</v>
      </c>
      <c r="T601" s="16"/>
      <c r="U601" s="16" t="s">
        <v>2808</v>
      </c>
      <c r="V601" s="16" t="s">
        <v>2809</v>
      </c>
      <c r="W601" s="16" t="s">
        <v>722</v>
      </c>
      <c r="X601" s="16" t="s">
        <v>181</v>
      </c>
      <c r="Y601" s="100"/>
      <c r="Z601" s="16" t="s">
        <v>181</v>
      </c>
    </row>
    <row r="602">
      <c r="A602" s="16">
        <v>13092.0</v>
      </c>
      <c r="B602" s="16" t="s">
        <v>2810</v>
      </c>
      <c r="C602" s="16">
        <v>0.29</v>
      </c>
      <c r="D602" s="174" t="s">
        <v>2811</v>
      </c>
      <c r="E602" s="16"/>
      <c r="F602" s="16">
        <v>547.0</v>
      </c>
      <c r="G602" s="16" t="s">
        <v>176</v>
      </c>
      <c r="H602" s="16" t="s">
        <v>24</v>
      </c>
      <c r="I602" s="16"/>
      <c r="J602" s="16"/>
      <c r="K602" s="16"/>
      <c r="L602" s="16"/>
      <c r="M602" s="16"/>
      <c r="N602" s="16"/>
      <c r="O602" s="16"/>
      <c r="P602" s="16"/>
      <c r="Q602" s="16"/>
      <c r="R602" s="16"/>
      <c r="S602" s="16">
        <v>-2.0</v>
      </c>
      <c r="T602" s="16"/>
      <c r="U602" s="16" t="s">
        <v>2812</v>
      </c>
      <c r="V602" s="16" t="s">
        <v>2813</v>
      </c>
      <c r="W602" s="16" t="s">
        <v>188</v>
      </c>
      <c r="X602" s="16" t="s">
        <v>181</v>
      </c>
      <c r="Y602" s="100"/>
      <c r="Z602" s="16" t="s">
        <v>181</v>
      </c>
    </row>
    <row r="603">
      <c r="A603" s="16">
        <v>13093.0</v>
      </c>
      <c r="B603" s="16" t="s">
        <v>2814</v>
      </c>
      <c r="C603" s="16">
        <v>0.22</v>
      </c>
      <c r="D603" s="174" t="s">
        <v>2815</v>
      </c>
      <c r="E603" s="16"/>
      <c r="F603" s="16">
        <v>547.0</v>
      </c>
      <c r="G603" s="16" t="s">
        <v>176</v>
      </c>
      <c r="H603" s="16" t="s">
        <v>24</v>
      </c>
      <c r="I603" s="16"/>
      <c r="J603" s="16"/>
      <c r="K603" s="16"/>
      <c r="L603" s="16"/>
      <c r="M603" s="16"/>
      <c r="N603" s="16"/>
      <c r="O603" s="16"/>
      <c r="P603" s="16"/>
      <c r="Q603" s="16"/>
      <c r="R603" s="16"/>
      <c r="S603" s="16">
        <v>-2.0</v>
      </c>
      <c r="T603" s="16"/>
      <c r="U603" s="16" t="s">
        <v>2816</v>
      </c>
      <c r="V603" s="16" t="s">
        <v>2817</v>
      </c>
      <c r="W603" s="16" t="s">
        <v>1412</v>
      </c>
      <c r="X603" s="16" t="s">
        <v>181</v>
      </c>
      <c r="Y603" s="100"/>
      <c r="Z603" s="16" t="s">
        <v>181</v>
      </c>
    </row>
    <row r="604">
      <c r="A604" s="16">
        <v>13094.0</v>
      </c>
      <c r="B604" s="16" t="s">
        <v>2818</v>
      </c>
      <c r="C604" s="16">
        <v>0.0</v>
      </c>
      <c r="D604" s="174" t="s">
        <v>2819</v>
      </c>
      <c r="E604" s="16"/>
      <c r="F604" s="16">
        <v>547.0</v>
      </c>
      <c r="G604" s="16" t="s">
        <v>176</v>
      </c>
      <c r="H604" s="16" t="s">
        <v>24</v>
      </c>
      <c r="I604" s="16" t="s">
        <v>25</v>
      </c>
      <c r="J604" s="16"/>
      <c r="K604" s="16"/>
      <c r="L604" s="16"/>
      <c r="M604" s="16"/>
      <c r="N604" s="16"/>
      <c r="O604" s="16"/>
      <c r="P604" s="16"/>
      <c r="Q604" s="16"/>
      <c r="R604" s="16"/>
      <c r="S604" s="16">
        <v>-2.0</v>
      </c>
      <c r="T604" s="16"/>
      <c r="U604" s="16" t="s">
        <v>2820</v>
      </c>
      <c r="V604" s="16" t="s">
        <v>2821</v>
      </c>
      <c r="W604" s="16" t="s">
        <v>443</v>
      </c>
      <c r="X604" s="16" t="s">
        <v>181</v>
      </c>
      <c r="Y604" s="100"/>
      <c r="Z604" s="16" t="s">
        <v>181</v>
      </c>
    </row>
    <row r="605">
      <c r="A605" s="16">
        <v>13095.0</v>
      </c>
      <c r="B605" s="16" t="s">
        <v>2822</v>
      </c>
      <c r="C605" s="16">
        <v>1.54</v>
      </c>
      <c r="D605" s="174" t="s">
        <v>2823</v>
      </c>
      <c r="E605" s="16"/>
      <c r="F605" s="16">
        <v>547.0</v>
      </c>
      <c r="G605" s="16" t="s">
        <v>176</v>
      </c>
      <c r="H605" s="16" t="s">
        <v>12</v>
      </c>
      <c r="I605" s="16"/>
      <c r="J605" s="16"/>
      <c r="K605" s="16"/>
      <c r="L605" s="16"/>
      <c r="M605" s="16"/>
      <c r="N605" s="16"/>
      <c r="O605" s="16"/>
      <c r="P605" s="16"/>
      <c r="Q605" s="16"/>
      <c r="R605" s="16"/>
      <c r="S605" s="16">
        <v>-2.0</v>
      </c>
      <c r="T605" s="16"/>
      <c r="U605" s="16" t="s">
        <v>2824</v>
      </c>
      <c r="V605" s="16" t="s">
        <v>2825</v>
      </c>
      <c r="W605" s="16" t="s">
        <v>600</v>
      </c>
      <c r="X605" s="16" t="s">
        <v>181</v>
      </c>
      <c r="Y605" s="100"/>
      <c r="Z605" s="16" t="s">
        <v>181</v>
      </c>
    </row>
    <row r="606">
      <c r="A606" s="16">
        <v>13096.0</v>
      </c>
      <c r="B606" s="16" t="s">
        <v>2826</v>
      </c>
      <c r="C606" s="16">
        <v>1.23</v>
      </c>
      <c r="D606" s="174" t="s">
        <v>2827</v>
      </c>
      <c r="E606" s="16"/>
      <c r="F606" s="16">
        <v>547.0</v>
      </c>
      <c r="G606" s="16" t="s">
        <v>176</v>
      </c>
      <c r="H606" s="16" t="s">
        <v>18</v>
      </c>
      <c r="I606" s="16"/>
      <c r="J606" s="16"/>
      <c r="K606" s="16"/>
      <c r="L606" s="16"/>
      <c r="M606" s="16"/>
      <c r="N606" s="16"/>
      <c r="O606" s="16"/>
      <c r="P606" s="16"/>
      <c r="Q606" s="16"/>
      <c r="R606" s="16"/>
      <c r="S606" s="16">
        <v>-2.0</v>
      </c>
      <c r="T606" s="16"/>
      <c r="U606" s="16" t="s">
        <v>2828</v>
      </c>
      <c r="V606" s="16" t="s">
        <v>2829</v>
      </c>
      <c r="W606" s="16" t="s">
        <v>491</v>
      </c>
      <c r="X606" s="16" t="s">
        <v>181</v>
      </c>
      <c r="Y606" s="100"/>
      <c r="Z606" s="16" t="s">
        <v>181</v>
      </c>
    </row>
    <row r="607">
      <c r="A607" s="16">
        <v>13097.0</v>
      </c>
      <c r="B607" s="16" t="s">
        <v>2830</v>
      </c>
      <c r="C607" s="16">
        <v>0.3</v>
      </c>
      <c r="D607" s="174" t="s">
        <v>2831</v>
      </c>
      <c r="E607" s="16"/>
      <c r="F607" s="16">
        <v>590.0</v>
      </c>
      <c r="G607" s="16" t="s">
        <v>387</v>
      </c>
      <c r="H607" s="16" t="s">
        <v>25</v>
      </c>
      <c r="I607" s="16" t="s">
        <v>26</v>
      </c>
      <c r="J607" s="16"/>
      <c r="K607" s="16"/>
      <c r="L607" s="16"/>
      <c r="M607" s="16"/>
      <c r="N607" s="16"/>
      <c r="O607" s="16"/>
      <c r="P607" s="16"/>
      <c r="Q607" s="16"/>
      <c r="R607" s="16"/>
      <c r="S607" s="16">
        <v>-2.0</v>
      </c>
      <c r="T607" s="16"/>
      <c r="U607" s="16" t="s">
        <v>2832</v>
      </c>
      <c r="V607" s="16" t="s">
        <v>2833</v>
      </c>
      <c r="W607" s="16" t="s">
        <v>332</v>
      </c>
      <c r="X607" s="16" t="s">
        <v>181</v>
      </c>
      <c r="Y607" s="100"/>
      <c r="Z607" s="16" t="s">
        <v>181</v>
      </c>
    </row>
    <row r="608">
      <c r="A608" s="16">
        <v>13098.0</v>
      </c>
      <c r="B608" s="16" t="s">
        <v>2834</v>
      </c>
      <c r="C608" s="16">
        <v>0.0</v>
      </c>
      <c r="D608" s="174" t="s">
        <v>2835</v>
      </c>
      <c r="E608" s="16"/>
      <c r="F608" s="16">
        <v>547.0</v>
      </c>
      <c r="G608" s="16" t="s">
        <v>176</v>
      </c>
      <c r="H608" s="16" t="s">
        <v>13</v>
      </c>
      <c r="I608" s="16"/>
      <c r="J608" s="16"/>
      <c r="K608" s="16"/>
      <c r="L608" s="16"/>
      <c r="M608" s="16"/>
      <c r="N608" s="16"/>
      <c r="O608" s="16"/>
      <c r="P608" s="16"/>
      <c r="Q608" s="16"/>
      <c r="R608" s="16"/>
      <c r="S608" s="16">
        <v>-2.0</v>
      </c>
      <c r="T608" s="16"/>
      <c r="U608" s="16" t="s">
        <v>2836</v>
      </c>
      <c r="V608" s="16" t="s">
        <v>2837</v>
      </c>
      <c r="W608" s="16" t="s">
        <v>332</v>
      </c>
      <c r="X608" s="16" t="s">
        <v>181</v>
      </c>
      <c r="Y608" s="100"/>
      <c r="Z608" s="16" t="s">
        <v>181</v>
      </c>
    </row>
    <row r="609">
      <c r="A609" s="16">
        <v>13099.0</v>
      </c>
      <c r="B609" s="16" t="s">
        <v>2838</v>
      </c>
      <c r="C609" s="16">
        <v>0.37</v>
      </c>
      <c r="D609" s="174" t="s">
        <v>2839</v>
      </c>
      <c r="E609" s="16"/>
      <c r="F609" s="16">
        <v>554.0</v>
      </c>
      <c r="G609" s="16" t="s">
        <v>215</v>
      </c>
      <c r="H609" s="16" t="s">
        <v>12</v>
      </c>
      <c r="I609" s="16"/>
      <c r="J609" s="16"/>
      <c r="K609" s="16"/>
      <c r="L609" s="16"/>
      <c r="M609" s="16"/>
      <c r="N609" s="16"/>
      <c r="O609" s="16"/>
      <c r="P609" s="16"/>
      <c r="Q609" s="16"/>
      <c r="R609" s="16"/>
      <c r="S609" s="16">
        <v>-2.0</v>
      </c>
      <c r="T609" s="16"/>
      <c r="U609" s="16" t="s">
        <v>2840</v>
      </c>
      <c r="V609" s="16" t="s">
        <v>2841</v>
      </c>
      <c r="W609" s="16" t="s">
        <v>478</v>
      </c>
      <c r="X609" s="16" t="s">
        <v>181</v>
      </c>
      <c r="Y609" s="100"/>
      <c r="Z609" s="16" t="s">
        <v>181</v>
      </c>
    </row>
    <row r="610">
      <c r="A610" s="16">
        <v>13100.0</v>
      </c>
      <c r="B610" s="16" t="s">
        <v>2842</v>
      </c>
      <c r="C610" s="16">
        <v>0.58</v>
      </c>
      <c r="D610" s="174" t="s">
        <v>2843</v>
      </c>
      <c r="E610" s="16"/>
      <c r="F610" s="16">
        <v>563.0</v>
      </c>
      <c r="G610" s="16" t="s">
        <v>260</v>
      </c>
      <c r="H610" s="16" t="s">
        <v>25</v>
      </c>
      <c r="I610" s="16"/>
      <c r="J610" s="16"/>
      <c r="K610" s="16"/>
      <c r="L610" s="16"/>
      <c r="M610" s="16"/>
      <c r="N610" s="16"/>
      <c r="O610" s="16"/>
      <c r="P610" s="16"/>
      <c r="Q610" s="16"/>
      <c r="R610" s="16"/>
      <c r="S610" s="16">
        <v>-2.0</v>
      </c>
      <c r="T610" s="16"/>
      <c r="U610" s="16" t="s">
        <v>2844</v>
      </c>
      <c r="V610" s="16" t="s">
        <v>2845</v>
      </c>
      <c r="W610" s="16" t="s">
        <v>640</v>
      </c>
      <c r="X610" s="16" t="s">
        <v>181</v>
      </c>
      <c r="Y610" s="100"/>
      <c r="Z610" s="16" t="s">
        <v>181</v>
      </c>
    </row>
    <row r="611">
      <c r="A611" s="16">
        <v>13101.0</v>
      </c>
      <c r="B611" s="16" t="s">
        <v>2846</v>
      </c>
      <c r="C611" s="16">
        <v>0.18</v>
      </c>
      <c r="D611" s="174" t="s">
        <v>2847</v>
      </c>
      <c r="E611" s="16"/>
      <c r="F611" s="16">
        <v>547.0</v>
      </c>
      <c r="G611" s="16" t="s">
        <v>176</v>
      </c>
      <c r="H611" s="16" t="s">
        <v>25</v>
      </c>
      <c r="I611" s="16"/>
      <c r="J611" s="16"/>
      <c r="K611" s="16"/>
      <c r="L611" s="16"/>
      <c r="M611" s="16"/>
      <c r="N611" s="16"/>
      <c r="O611" s="16"/>
      <c r="P611" s="16"/>
      <c r="Q611" s="16"/>
      <c r="R611" s="16"/>
      <c r="S611" s="16">
        <v>-2.0</v>
      </c>
      <c r="T611" s="16"/>
      <c r="U611" s="16" t="s">
        <v>2848</v>
      </c>
      <c r="V611" s="16" t="s">
        <v>2849</v>
      </c>
      <c r="W611" s="16" t="s">
        <v>179</v>
      </c>
      <c r="X611" s="16" t="s">
        <v>181</v>
      </c>
      <c r="Y611" s="100"/>
      <c r="Z611" s="16" t="s">
        <v>181</v>
      </c>
    </row>
    <row r="612">
      <c r="A612" s="16">
        <v>13102.0</v>
      </c>
      <c r="B612" s="16" t="s">
        <v>2850</v>
      </c>
      <c r="C612" s="16">
        <v>1.47</v>
      </c>
      <c r="D612" s="174" t="s">
        <v>2851</v>
      </c>
      <c r="E612" s="16"/>
      <c r="F612" s="16">
        <v>566.0</v>
      </c>
      <c r="G612" s="16" t="s">
        <v>277</v>
      </c>
      <c r="H612" s="16" t="s">
        <v>17</v>
      </c>
      <c r="I612" s="16"/>
      <c r="J612" s="16"/>
      <c r="K612" s="16"/>
      <c r="L612" s="16"/>
      <c r="M612" s="16"/>
      <c r="N612" s="16"/>
      <c r="O612" s="16"/>
      <c r="P612" s="16"/>
      <c r="Q612" s="16"/>
      <c r="R612" s="16"/>
      <c r="S612" s="16">
        <v>-2.0</v>
      </c>
      <c r="T612" s="16"/>
      <c r="U612" s="16" t="s">
        <v>2852</v>
      </c>
      <c r="V612" s="16" t="s">
        <v>2853</v>
      </c>
      <c r="W612" s="16" t="s">
        <v>188</v>
      </c>
      <c r="X612" s="16" t="s">
        <v>181</v>
      </c>
      <c r="Y612" s="100"/>
      <c r="Z612" s="16" t="s">
        <v>181</v>
      </c>
    </row>
    <row r="613">
      <c r="A613" s="16">
        <v>13103.0</v>
      </c>
      <c r="B613" s="16" t="s">
        <v>2854</v>
      </c>
      <c r="C613" s="16">
        <v>0.0</v>
      </c>
      <c r="D613" s="174" t="s">
        <v>2855</v>
      </c>
      <c r="E613" s="16"/>
      <c r="F613" s="16">
        <v>578.0</v>
      </c>
      <c r="G613" s="16" t="s">
        <v>333</v>
      </c>
      <c r="H613" s="16" t="s">
        <v>17</v>
      </c>
      <c r="I613" s="16" t="s">
        <v>18</v>
      </c>
      <c r="J613" s="16" t="s">
        <v>19</v>
      </c>
      <c r="K613" s="16"/>
      <c r="L613" s="16"/>
      <c r="M613" s="16"/>
      <c r="N613" s="16"/>
      <c r="O613" s="16"/>
      <c r="P613" s="16"/>
      <c r="Q613" s="16"/>
      <c r="R613" s="16"/>
      <c r="S613" s="16">
        <v>-2.0</v>
      </c>
      <c r="T613" s="16"/>
      <c r="U613" s="16" t="s">
        <v>2856</v>
      </c>
      <c r="V613" s="16" t="s">
        <v>2857</v>
      </c>
      <c r="W613" s="16" t="s">
        <v>360</v>
      </c>
      <c r="X613" s="16" t="s">
        <v>181</v>
      </c>
      <c r="Y613" s="100"/>
      <c r="Z613" s="16" t="s">
        <v>181</v>
      </c>
    </row>
    <row r="614">
      <c r="A614" s="16">
        <v>13104.0</v>
      </c>
      <c r="B614" s="16" t="s">
        <v>2858</v>
      </c>
      <c r="C614" s="16">
        <v>4.02</v>
      </c>
      <c r="D614" s="174" t="s">
        <v>2859</v>
      </c>
      <c r="E614" s="16"/>
      <c r="F614" s="16">
        <v>552.0</v>
      </c>
      <c r="G614" s="16" t="s">
        <v>2860</v>
      </c>
      <c r="H614" s="16" t="s">
        <v>19</v>
      </c>
      <c r="I614" s="16"/>
      <c r="J614" s="16"/>
      <c r="K614" s="16"/>
      <c r="L614" s="16"/>
      <c r="M614" s="16"/>
      <c r="N614" s="16"/>
      <c r="O614" s="16"/>
      <c r="P614" s="16"/>
      <c r="Q614" s="16"/>
      <c r="R614" s="16" t="s">
        <v>970</v>
      </c>
      <c r="S614" s="16">
        <v>-2.0</v>
      </c>
      <c r="T614" s="174" t="s">
        <v>2861</v>
      </c>
      <c r="U614" s="16" t="s">
        <v>2862</v>
      </c>
      <c r="V614" s="16" t="s">
        <v>2863</v>
      </c>
      <c r="W614" s="16" t="s">
        <v>942</v>
      </c>
      <c r="X614" s="16" t="s">
        <v>181</v>
      </c>
      <c r="Y614" s="100"/>
      <c r="Z614" s="16" t="s">
        <v>181</v>
      </c>
    </row>
    <row r="615">
      <c r="A615" s="16">
        <v>13105.0</v>
      </c>
      <c r="B615" s="16" t="s">
        <v>2864</v>
      </c>
      <c r="C615" s="16">
        <v>0.41</v>
      </c>
      <c r="D615" s="174" t="s">
        <v>2865</v>
      </c>
      <c r="E615" s="16"/>
      <c r="F615" s="16">
        <v>547.0</v>
      </c>
      <c r="G615" s="16" t="s">
        <v>176</v>
      </c>
      <c r="H615" s="16" t="s">
        <v>24</v>
      </c>
      <c r="I615" s="16" t="s">
        <v>25</v>
      </c>
      <c r="J615" s="16"/>
      <c r="K615" s="16"/>
      <c r="L615" s="16"/>
      <c r="M615" s="16"/>
      <c r="N615" s="16"/>
      <c r="O615" s="16"/>
      <c r="P615" s="16"/>
      <c r="Q615" s="16"/>
      <c r="R615" s="16"/>
      <c r="S615" s="16">
        <v>-2.0</v>
      </c>
      <c r="T615" s="16"/>
      <c r="U615" s="16" t="s">
        <v>2866</v>
      </c>
      <c r="V615" s="16" t="s">
        <v>2867</v>
      </c>
      <c r="W615" s="16" t="s">
        <v>199</v>
      </c>
      <c r="X615" s="16" t="s">
        <v>181</v>
      </c>
      <c r="Y615" s="100"/>
      <c r="Z615" s="16" t="s">
        <v>181</v>
      </c>
    </row>
    <row r="616">
      <c r="A616" s="16">
        <v>13106.0</v>
      </c>
      <c r="B616" s="16" t="s">
        <v>2868</v>
      </c>
      <c r="C616" s="16">
        <v>1.52</v>
      </c>
      <c r="D616" s="174" t="s">
        <v>2869</v>
      </c>
      <c r="E616" s="16"/>
      <c r="F616" s="16">
        <v>578.0</v>
      </c>
      <c r="G616" s="16" t="s">
        <v>333</v>
      </c>
      <c r="H616" s="16" t="s">
        <v>13</v>
      </c>
      <c r="I616" s="16" t="s">
        <v>19</v>
      </c>
      <c r="J616" s="16" t="s">
        <v>17</v>
      </c>
      <c r="K616" s="16"/>
      <c r="L616" s="16"/>
      <c r="M616" s="16"/>
      <c r="N616" s="16"/>
      <c r="O616" s="16"/>
      <c r="P616" s="16"/>
      <c r="Q616" s="16"/>
      <c r="R616" s="16"/>
      <c r="S616" s="16">
        <v>-2.0</v>
      </c>
      <c r="T616" s="16"/>
      <c r="U616" s="16" t="s">
        <v>2870</v>
      </c>
      <c r="V616" s="16" t="s">
        <v>2871</v>
      </c>
      <c r="W616" s="16" t="s">
        <v>722</v>
      </c>
      <c r="X616" s="16" t="s">
        <v>181</v>
      </c>
      <c r="Y616" s="100"/>
      <c r="Z616" s="16" t="s">
        <v>181</v>
      </c>
    </row>
    <row r="617">
      <c r="A617" s="16">
        <v>13107.0</v>
      </c>
      <c r="B617" s="16" t="s">
        <v>2872</v>
      </c>
      <c r="C617" s="16">
        <v>0.11</v>
      </c>
      <c r="D617" s="174" t="s">
        <v>2873</v>
      </c>
      <c r="E617" s="16"/>
      <c r="F617" s="16">
        <v>547.0</v>
      </c>
      <c r="G617" s="16" t="s">
        <v>176</v>
      </c>
      <c r="H617" s="16" t="s">
        <v>24</v>
      </c>
      <c r="I617" s="16"/>
      <c r="J617" s="16"/>
      <c r="K617" s="16"/>
      <c r="L617" s="16"/>
      <c r="M617" s="16"/>
      <c r="N617" s="16"/>
      <c r="O617" s="16"/>
      <c r="P617" s="16"/>
      <c r="Q617" s="16"/>
      <c r="R617" s="16"/>
      <c r="S617" s="16">
        <v>-2.0</v>
      </c>
      <c r="T617" s="16"/>
      <c r="U617" s="16" t="s">
        <v>2874</v>
      </c>
      <c r="V617" s="16" t="s">
        <v>2875</v>
      </c>
      <c r="W617" s="16" t="s">
        <v>675</v>
      </c>
      <c r="X617" s="16" t="s">
        <v>181</v>
      </c>
      <c r="Y617" s="100"/>
      <c r="Z617" s="16" t="s">
        <v>181</v>
      </c>
    </row>
    <row r="618">
      <c r="A618" s="16">
        <v>13108.0</v>
      </c>
      <c r="B618" s="16" t="s">
        <v>2876</v>
      </c>
      <c r="C618" s="16">
        <v>0.89</v>
      </c>
      <c r="D618" s="174" t="s">
        <v>2877</v>
      </c>
      <c r="E618" s="16"/>
      <c r="F618" s="16">
        <v>566.0</v>
      </c>
      <c r="G618" s="16" t="s">
        <v>277</v>
      </c>
      <c r="H618" s="16" t="s">
        <v>24</v>
      </c>
      <c r="I618" s="16" t="s">
        <v>25</v>
      </c>
      <c r="J618" s="16"/>
      <c r="K618" s="16"/>
      <c r="L618" s="16"/>
      <c r="M618" s="16"/>
      <c r="N618" s="16"/>
      <c r="O618" s="16"/>
      <c r="P618" s="16"/>
      <c r="Q618" s="16"/>
      <c r="R618" s="16"/>
      <c r="S618" s="16">
        <v>-2.0</v>
      </c>
      <c r="T618" s="16"/>
      <c r="U618" s="16" t="s">
        <v>2878</v>
      </c>
      <c r="V618" s="16" t="s">
        <v>2879</v>
      </c>
      <c r="W618" s="16" t="s">
        <v>332</v>
      </c>
      <c r="X618" s="16" t="s">
        <v>181</v>
      </c>
      <c r="Y618" s="100"/>
      <c r="Z618" s="16" t="s">
        <v>181</v>
      </c>
    </row>
    <row r="619">
      <c r="A619" s="16">
        <v>13109.0</v>
      </c>
      <c r="B619" s="16" t="s">
        <v>2880</v>
      </c>
      <c r="C619" s="16">
        <v>0.98</v>
      </c>
      <c r="D619" s="174" t="s">
        <v>2881</v>
      </c>
      <c r="E619" s="16"/>
      <c r="F619" s="16">
        <v>584.0</v>
      </c>
      <c r="G619" s="16" t="s">
        <v>361</v>
      </c>
      <c r="H619" s="16" t="s">
        <v>24</v>
      </c>
      <c r="I619" s="16" t="s">
        <v>25</v>
      </c>
      <c r="J619" s="16" t="s">
        <v>26</v>
      </c>
      <c r="K619" s="16"/>
      <c r="L619" s="16"/>
      <c r="M619" s="16"/>
      <c r="N619" s="16"/>
      <c r="O619" s="16"/>
      <c r="P619" s="16"/>
      <c r="Q619" s="16"/>
      <c r="R619" s="16"/>
      <c r="S619" s="16">
        <v>-2.0</v>
      </c>
      <c r="T619" s="16"/>
      <c r="U619" s="16" t="s">
        <v>2882</v>
      </c>
      <c r="V619" s="16" t="s">
        <v>2883</v>
      </c>
      <c r="W619" s="16" t="s">
        <v>360</v>
      </c>
      <c r="X619" s="16" t="s">
        <v>181</v>
      </c>
      <c r="Y619" s="100"/>
      <c r="Z619" s="16" t="s">
        <v>181</v>
      </c>
    </row>
    <row r="620">
      <c r="A620" s="16">
        <v>13110.0</v>
      </c>
      <c r="B620" s="16" t="s">
        <v>2884</v>
      </c>
      <c r="C620" s="16">
        <v>0.16</v>
      </c>
      <c r="D620" s="174" t="s">
        <v>2885</v>
      </c>
      <c r="E620" s="16"/>
      <c r="F620" s="16">
        <v>557.0</v>
      </c>
      <c r="G620" s="16" t="s">
        <v>232</v>
      </c>
      <c r="H620" s="16" t="s">
        <v>19</v>
      </c>
      <c r="I620" s="16" t="s">
        <v>18</v>
      </c>
      <c r="J620" s="16"/>
      <c r="K620" s="16"/>
      <c r="L620" s="16"/>
      <c r="M620" s="16"/>
      <c r="N620" s="16"/>
      <c r="O620" s="16"/>
      <c r="P620" s="16"/>
      <c r="Q620" s="16"/>
      <c r="R620" s="16"/>
      <c r="S620" s="16">
        <v>-2.0</v>
      </c>
      <c r="T620" s="16"/>
      <c r="U620" s="16" t="s">
        <v>2886</v>
      </c>
      <c r="V620" s="16" t="s">
        <v>2887</v>
      </c>
      <c r="W620" s="16" t="s">
        <v>722</v>
      </c>
      <c r="X620" s="16" t="s">
        <v>181</v>
      </c>
      <c r="Y620" s="100"/>
      <c r="Z620" s="16" t="s">
        <v>181</v>
      </c>
    </row>
    <row r="621">
      <c r="A621" s="16">
        <v>13111.0</v>
      </c>
      <c r="B621" s="16" t="s">
        <v>2888</v>
      </c>
      <c r="C621" s="16">
        <v>1.07</v>
      </c>
      <c r="D621" s="174" t="s">
        <v>2889</v>
      </c>
      <c r="E621" s="16"/>
      <c r="F621" s="16">
        <v>568.0</v>
      </c>
      <c r="G621" s="16" t="s">
        <v>1452</v>
      </c>
      <c r="H621" s="16" t="s">
        <v>19</v>
      </c>
      <c r="I621" s="16" t="s">
        <v>17</v>
      </c>
      <c r="J621" s="16" t="s">
        <v>18</v>
      </c>
      <c r="K621" s="16"/>
      <c r="L621" s="16"/>
      <c r="M621" s="16"/>
      <c r="N621" s="16"/>
      <c r="O621" s="16"/>
      <c r="P621" s="16"/>
      <c r="Q621" s="16"/>
      <c r="R621" s="16"/>
      <c r="S621" s="16">
        <v>-2.0</v>
      </c>
      <c r="T621" s="16"/>
      <c r="U621" s="16" t="s">
        <v>2890</v>
      </c>
      <c r="V621" s="16" t="s">
        <v>2891</v>
      </c>
      <c r="W621" s="16" t="s">
        <v>616</v>
      </c>
      <c r="X621" s="16" t="s">
        <v>181</v>
      </c>
      <c r="Y621" s="100"/>
      <c r="Z621" s="16" t="s">
        <v>181</v>
      </c>
    </row>
    <row r="622">
      <c r="A622" s="16">
        <v>13112.0</v>
      </c>
      <c r="B622" s="16" t="s">
        <v>2892</v>
      </c>
      <c r="C622" s="16">
        <v>1.93</v>
      </c>
      <c r="D622" s="174" t="s">
        <v>2893</v>
      </c>
      <c r="E622" s="16"/>
      <c r="F622" s="16">
        <v>563.0</v>
      </c>
      <c r="G622" s="16" t="s">
        <v>260</v>
      </c>
      <c r="H622" s="16" t="s">
        <v>19</v>
      </c>
      <c r="I622" s="16" t="s">
        <v>18</v>
      </c>
      <c r="J622" s="16"/>
      <c r="K622" s="16"/>
      <c r="L622" s="16"/>
      <c r="M622" s="16"/>
      <c r="N622" s="16"/>
      <c r="O622" s="16"/>
      <c r="P622" s="16"/>
      <c r="Q622" s="16"/>
      <c r="R622" s="16"/>
      <c r="S622" s="16">
        <v>-2.0</v>
      </c>
      <c r="T622" s="16"/>
      <c r="U622" s="16" t="s">
        <v>2894</v>
      </c>
      <c r="V622" s="16" t="s">
        <v>2895</v>
      </c>
      <c r="W622" s="16" t="s">
        <v>491</v>
      </c>
      <c r="X622" s="16" t="s">
        <v>181</v>
      </c>
      <c r="Y622" s="100"/>
      <c r="Z622" s="16" t="s">
        <v>181</v>
      </c>
    </row>
    <row r="623">
      <c r="A623" s="16">
        <v>13113.0</v>
      </c>
      <c r="B623" s="16" t="s">
        <v>2896</v>
      </c>
      <c r="C623" s="16">
        <v>0.0</v>
      </c>
      <c r="D623" s="174" t="s">
        <v>2897</v>
      </c>
      <c r="E623" s="16"/>
      <c r="F623" s="16">
        <v>547.0</v>
      </c>
      <c r="G623" s="16" t="s">
        <v>176</v>
      </c>
      <c r="H623" s="16" t="s">
        <v>15</v>
      </c>
      <c r="I623" s="16" t="s">
        <v>14</v>
      </c>
      <c r="J623" s="16" t="s">
        <v>13</v>
      </c>
      <c r="K623" s="16"/>
      <c r="L623" s="16"/>
      <c r="M623" s="16"/>
      <c r="N623" s="16"/>
      <c r="O623" s="16"/>
      <c r="P623" s="16"/>
      <c r="Q623" s="16"/>
      <c r="R623" s="16"/>
      <c r="S623" s="16">
        <v>-2.0</v>
      </c>
      <c r="T623" s="16"/>
      <c r="U623" s="16" t="s">
        <v>2898</v>
      </c>
      <c r="V623" s="16" t="s">
        <v>2899</v>
      </c>
      <c r="W623" s="16" t="s">
        <v>179</v>
      </c>
      <c r="X623" s="16" t="s">
        <v>181</v>
      </c>
      <c r="Y623" s="100"/>
      <c r="Z623" s="16" t="s">
        <v>181</v>
      </c>
    </row>
    <row r="624">
      <c r="A624" s="16">
        <v>13114.0</v>
      </c>
      <c r="B624" s="16" t="s">
        <v>2900</v>
      </c>
      <c r="C624" s="16">
        <v>0.74</v>
      </c>
      <c r="D624" s="174" t="s">
        <v>2901</v>
      </c>
      <c r="E624" s="16"/>
      <c r="F624" s="16">
        <v>578.0</v>
      </c>
      <c r="G624" s="16" t="s">
        <v>333</v>
      </c>
      <c r="H624" s="16" t="s">
        <v>16</v>
      </c>
      <c r="I624" s="16" t="s">
        <v>14</v>
      </c>
      <c r="J624" s="16"/>
      <c r="K624" s="16"/>
      <c r="L624" s="16"/>
      <c r="M624" s="16"/>
      <c r="N624" s="16"/>
      <c r="O624" s="16"/>
      <c r="P624" s="16"/>
      <c r="Q624" s="16"/>
      <c r="R624" s="16"/>
      <c r="S624" s="16">
        <v>-2.0</v>
      </c>
      <c r="T624" s="16"/>
      <c r="U624" s="16" t="s">
        <v>2902</v>
      </c>
      <c r="V624" s="16" t="s">
        <v>2903</v>
      </c>
      <c r="W624" s="16" t="s">
        <v>332</v>
      </c>
      <c r="X624" s="16" t="s">
        <v>181</v>
      </c>
      <c r="Y624" s="100"/>
      <c r="Z624" s="16" t="s">
        <v>181</v>
      </c>
    </row>
    <row r="625">
      <c r="A625" s="16">
        <v>13115.0</v>
      </c>
      <c r="B625" s="16" t="s">
        <v>2904</v>
      </c>
      <c r="C625" s="16">
        <v>0.61</v>
      </c>
      <c r="D625" s="174" t="s">
        <v>2905</v>
      </c>
      <c r="E625" s="16"/>
      <c r="F625" s="16">
        <v>572.0</v>
      </c>
      <c r="G625" s="16" t="s">
        <v>306</v>
      </c>
      <c r="H625" s="16" t="s">
        <v>16</v>
      </c>
      <c r="I625" s="16" t="s">
        <v>14</v>
      </c>
      <c r="J625" s="16" t="s">
        <v>15</v>
      </c>
      <c r="K625" s="16"/>
      <c r="L625" s="16"/>
      <c r="M625" s="16"/>
      <c r="N625" s="16"/>
      <c r="O625" s="16"/>
      <c r="P625" s="16"/>
      <c r="Q625" s="16"/>
      <c r="R625" s="16"/>
      <c r="S625" s="16">
        <v>-2.0</v>
      </c>
      <c r="T625" s="16"/>
      <c r="U625" s="16" t="s">
        <v>2906</v>
      </c>
      <c r="V625" s="16" t="s">
        <v>2907</v>
      </c>
      <c r="W625" s="16" t="s">
        <v>199</v>
      </c>
      <c r="X625" s="16" t="s">
        <v>181</v>
      </c>
      <c r="Y625" s="100"/>
      <c r="Z625" s="16" t="s">
        <v>181</v>
      </c>
    </row>
    <row r="626">
      <c r="A626" s="16">
        <v>13116.0</v>
      </c>
      <c r="B626" s="16" t="s">
        <v>2908</v>
      </c>
      <c r="C626" s="16">
        <v>0.27</v>
      </c>
      <c r="D626" s="174" t="s">
        <v>2909</v>
      </c>
      <c r="E626" s="16"/>
      <c r="F626" s="16">
        <v>553.0</v>
      </c>
      <c r="G626" s="16" t="s">
        <v>1465</v>
      </c>
      <c r="H626" s="16" t="s">
        <v>18</v>
      </c>
      <c r="I626" s="16"/>
      <c r="J626" s="16"/>
      <c r="K626" s="16"/>
      <c r="L626" s="16"/>
      <c r="M626" s="16"/>
      <c r="N626" s="16"/>
      <c r="O626" s="16"/>
      <c r="P626" s="16"/>
      <c r="Q626" s="16"/>
      <c r="R626" s="16"/>
      <c r="S626" s="16">
        <v>-2.0</v>
      </c>
      <c r="T626" s="16"/>
      <c r="U626" s="16" t="s">
        <v>2910</v>
      </c>
      <c r="V626" s="16" t="s">
        <v>2911</v>
      </c>
      <c r="W626" s="16" t="s">
        <v>188</v>
      </c>
      <c r="X626" s="16" t="s">
        <v>181</v>
      </c>
      <c r="Y626" s="100"/>
      <c r="Z626" s="16" t="s">
        <v>181</v>
      </c>
    </row>
    <row r="627">
      <c r="A627" s="16">
        <v>13117.0</v>
      </c>
      <c r="B627" s="16" t="s">
        <v>2912</v>
      </c>
      <c r="C627" s="16">
        <v>0.0</v>
      </c>
      <c r="D627" s="174" t="s">
        <v>2913</v>
      </c>
      <c r="E627" s="16"/>
      <c r="F627" s="16">
        <v>547.0</v>
      </c>
      <c r="G627" s="16" t="s">
        <v>176</v>
      </c>
      <c r="H627" s="16" t="s">
        <v>25</v>
      </c>
      <c r="I627" s="16" t="s">
        <v>26</v>
      </c>
      <c r="J627" s="16"/>
      <c r="K627" s="16"/>
      <c r="L627" s="16"/>
      <c r="M627" s="16"/>
      <c r="N627" s="16"/>
      <c r="O627" s="16"/>
      <c r="P627" s="16"/>
      <c r="Q627" s="16"/>
      <c r="R627" s="16"/>
      <c r="S627" s="16">
        <v>-2.0</v>
      </c>
      <c r="T627" s="16"/>
      <c r="U627" s="16" t="s">
        <v>2914</v>
      </c>
      <c r="V627" s="16" t="s">
        <v>2915</v>
      </c>
      <c r="W627" s="16" t="s">
        <v>199</v>
      </c>
      <c r="X627" s="16" t="s">
        <v>181</v>
      </c>
      <c r="Y627" s="100"/>
      <c r="Z627" s="16" t="s">
        <v>181</v>
      </c>
    </row>
    <row r="628">
      <c r="A628" s="16">
        <v>13118.0</v>
      </c>
      <c r="B628" s="16" t="s">
        <v>2916</v>
      </c>
      <c r="C628" s="16">
        <v>1.21</v>
      </c>
      <c r="D628" s="174" t="s">
        <v>2917</v>
      </c>
      <c r="E628" s="16"/>
      <c r="F628" s="16">
        <v>563.0</v>
      </c>
      <c r="G628" s="16" t="s">
        <v>260</v>
      </c>
      <c r="H628" s="16" t="s">
        <v>24</v>
      </c>
      <c r="I628" s="16"/>
      <c r="J628" s="16"/>
      <c r="K628" s="16"/>
      <c r="L628" s="16"/>
      <c r="M628" s="16"/>
      <c r="N628" s="16"/>
      <c r="O628" s="16"/>
      <c r="P628" s="16"/>
      <c r="Q628" s="16"/>
      <c r="R628" s="16"/>
      <c r="S628" s="16">
        <v>-2.0</v>
      </c>
      <c r="T628" s="16"/>
      <c r="U628" s="16" t="s">
        <v>2918</v>
      </c>
      <c r="V628" s="16" t="s">
        <v>2919</v>
      </c>
      <c r="W628" s="16" t="s">
        <v>231</v>
      </c>
      <c r="X628" s="16" t="s">
        <v>181</v>
      </c>
      <c r="Y628" s="100"/>
      <c r="Z628" s="16" t="s">
        <v>181</v>
      </c>
    </row>
    <row r="629">
      <c r="A629" s="16">
        <v>13119.0</v>
      </c>
      <c r="B629" s="16" t="s">
        <v>2920</v>
      </c>
      <c r="C629" s="16">
        <v>0.9</v>
      </c>
      <c r="D629" s="174" t="s">
        <v>2921</v>
      </c>
      <c r="E629" s="16"/>
      <c r="F629" s="16">
        <v>554.0</v>
      </c>
      <c r="G629" s="16" t="s">
        <v>215</v>
      </c>
      <c r="H629" s="16" t="s">
        <v>12</v>
      </c>
      <c r="I629" s="16"/>
      <c r="J629" s="16"/>
      <c r="K629" s="16"/>
      <c r="L629" s="16"/>
      <c r="M629" s="16"/>
      <c r="N629" s="16"/>
      <c r="O629" s="16"/>
      <c r="P629" s="16"/>
      <c r="Q629" s="16"/>
      <c r="R629" s="16"/>
      <c r="S629" s="16">
        <v>-2.0</v>
      </c>
      <c r="T629" s="16"/>
      <c r="U629" s="16" t="s">
        <v>2922</v>
      </c>
      <c r="V629" s="16" t="s">
        <v>2923</v>
      </c>
      <c r="W629" s="16" t="s">
        <v>491</v>
      </c>
      <c r="X629" s="16" t="s">
        <v>181</v>
      </c>
      <c r="Y629" s="100"/>
      <c r="Z629" s="16" t="s">
        <v>181</v>
      </c>
    </row>
    <row r="630">
      <c r="A630" s="16">
        <v>13120.0</v>
      </c>
      <c r="B630" s="16" t="s">
        <v>2924</v>
      </c>
      <c r="C630" s="16">
        <v>0.0</v>
      </c>
      <c r="D630" s="174" t="s">
        <v>2925</v>
      </c>
      <c r="E630" s="16"/>
      <c r="F630" s="16">
        <v>547.0</v>
      </c>
      <c r="G630" s="16" t="s">
        <v>176</v>
      </c>
      <c r="H630" s="16" t="s">
        <v>24</v>
      </c>
      <c r="I630" s="16"/>
      <c r="J630" s="16"/>
      <c r="K630" s="16"/>
      <c r="L630" s="16"/>
      <c r="M630" s="16"/>
      <c r="N630" s="16"/>
      <c r="O630" s="16"/>
      <c r="P630" s="16"/>
      <c r="Q630" s="16"/>
      <c r="R630" s="16"/>
      <c r="S630" s="16">
        <v>-2.0</v>
      </c>
      <c r="T630" s="16"/>
      <c r="U630" s="16" t="s">
        <v>2926</v>
      </c>
      <c r="V630" s="16" t="s">
        <v>2927</v>
      </c>
      <c r="W630" s="16" t="s">
        <v>179</v>
      </c>
      <c r="X630" s="16" t="s">
        <v>181</v>
      </c>
      <c r="Y630" s="100"/>
      <c r="Z630" s="16" t="s">
        <v>181</v>
      </c>
    </row>
    <row r="631">
      <c r="A631" s="16">
        <v>13121.0</v>
      </c>
      <c r="B631" s="16" t="s">
        <v>2928</v>
      </c>
      <c r="C631" s="16">
        <v>1.63</v>
      </c>
      <c r="D631" s="174" t="s">
        <v>2929</v>
      </c>
      <c r="E631" s="16"/>
      <c r="F631" s="16">
        <v>590.0</v>
      </c>
      <c r="G631" s="16" t="s">
        <v>387</v>
      </c>
      <c r="H631" s="16" t="s">
        <v>24</v>
      </c>
      <c r="I631" s="16"/>
      <c r="J631" s="16"/>
      <c r="K631" s="16"/>
      <c r="L631" s="16"/>
      <c r="M631" s="16"/>
      <c r="N631" s="16"/>
      <c r="O631" s="16"/>
      <c r="P631" s="16"/>
      <c r="Q631" s="16"/>
      <c r="R631" s="16"/>
      <c r="S631" s="16">
        <v>-2.0</v>
      </c>
      <c r="T631" s="16"/>
      <c r="U631" s="16" t="s">
        <v>2930</v>
      </c>
      <c r="V631" s="16" t="s">
        <v>2931</v>
      </c>
      <c r="W631" s="16" t="s">
        <v>231</v>
      </c>
      <c r="X631" s="16" t="s">
        <v>181</v>
      </c>
      <c r="Y631" s="100"/>
      <c r="Z631" s="16" t="s">
        <v>181</v>
      </c>
    </row>
    <row r="632">
      <c r="A632" s="16">
        <v>13122.0</v>
      </c>
      <c r="B632" s="16" t="s">
        <v>2932</v>
      </c>
      <c r="C632" s="16">
        <v>0.0</v>
      </c>
      <c r="D632" s="174" t="s">
        <v>2933</v>
      </c>
      <c r="E632" s="16"/>
      <c r="F632" s="16">
        <v>547.0</v>
      </c>
      <c r="G632" s="16" t="s">
        <v>176</v>
      </c>
      <c r="H632" s="16" t="s">
        <v>24</v>
      </c>
      <c r="I632" s="16" t="s">
        <v>25</v>
      </c>
      <c r="J632" s="16"/>
      <c r="K632" s="16"/>
      <c r="L632" s="16"/>
      <c r="M632" s="16"/>
      <c r="N632" s="16"/>
      <c r="O632" s="16"/>
      <c r="P632" s="16"/>
      <c r="Q632" s="16"/>
      <c r="R632" s="16"/>
      <c r="S632" s="16">
        <v>-2.0</v>
      </c>
      <c r="T632" s="16"/>
      <c r="U632" s="16" t="s">
        <v>2934</v>
      </c>
      <c r="V632" s="16" t="s">
        <v>2935</v>
      </c>
      <c r="W632" s="16" t="s">
        <v>332</v>
      </c>
      <c r="X632" s="16" t="s">
        <v>181</v>
      </c>
      <c r="Y632" s="100"/>
      <c r="Z632" s="16" t="s">
        <v>181</v>
      </c>
    </row>
    <row r="633">
      <c r="A633" s="16">
        <v>13123.0</v>
      </c>
      <c r="B633" s="16" t="s">
        <v>2936</v>
      </c>
      <c r="C633" s="16">
        <v>1.05</v>
      </c>
      <c r="D633" s="174" t="s">
        <v>2937</v>
      </c>
      <c r="E633" s="16"/>
      <c r="F633" s="16">
        <v>547.0</v>
      </c>
      <c r="G633" s="16" t="s">
        <v>176</v>
      </c>
      <c r="H633" s="16" t="s">
        <v>17</v>
      </c>
      <c r="I633" s="16" t="s">
        <v>13</v>
      </c>
      <c r="J633" s="16"/>
      <c r="K633" s="16"/>
      <c r="L633" s="16"/>
      <c r="M633" s="16"/>
      <c r="N633" s="16"/>
      <c r="O633" s="16"/>
      <c r="P633" s="16"/>
      <c r="Q633" s="16"/>
      <c r="R633" s="16"/>
      <c r="S633" s="16">
        <v>-2.0</v>
      </c>
      <c r="T633" s="16"/>
      <c r="U633" s="16" t="s">
        <v>2938</v>
      </c>
      <c r="V633" s="16" t="s">
        <v>2939</v>
      </c>
      <c r="W633" s="16" t="s">
        <v>491</v>
      </c>
      <c r="X633" s="16" t="s">
        <v>181</v>
      </c>
      <c r="Y633" s="100"/>
      <c r="Z633" s="16" t="s">
        <v>181</v>
      </c>
    </row>
    <row r="634">
      <c r="A634" s="16">
        <v>13124.0</v>
      </c>
      <c r="B634" s="16" t="s">
        <v>2940</v>
      </c>
      <c r="C634" s="16">
        <v>0.93</v>
      </c>
      <c r="D634" s="174" t="s">
        <v>2941</v>
      </c>
      <c r="E634" s="16"/>
      <c r="F634" s="16">
        <v>587.0</v>
      </c>
      <c r="G634" s="16" t="s">
        <v>289</v>
      </c>
      <c r="H634" s="16" t="s">
        <v>25</v>
      </c>
      <c r="I634" s="16" t="s">
        <v>26</v>
      </c>
      <c r="J634" s="16"/>
      <c r="K634" s="16"/>
      <c r="L634" s="16"/>
      <c r="M634" s="16"/>
      <c r="N634" s="16"/>
      <c r="O634" s="16"/>
      <c r="P634" s="16"/>
      <c r="Q634" s="16"/>
      <c r="R634" s="16"/>
      <c r="S634" s="16">
        <v>-2.0</v>
      </c>
      <c r="T634" s="16"/>
      <c r="U634" s="16" t="s">
        <v>2942</v>
      </c>
      <c r="V634" s="16" t="s">
        <v>2943</v>
      </c>
      <c r="W634" s="16" t="s">
        <v>179</v>
      </c>
      <c r="X634" s="16" t="s">
        <v>181</v>
      </c>
      <c r="Y634" s="100"/>
      <c r="Z634" s="16" t="s">
        <v>181</v>
      </c>
    </row>
    <row r="635">
      <c r="A635" s="16">
        <v>13125.0</v>
      </c>
      <c r="B635" s="16" t="s">
        <v>2944</v>
      </c>
      <c r="C635" s="16">
        <v>0.29</v>
      </c>
      <c r="D635" s="174" t="s">
        <v>2945</v>
      </c>
      <c r="E635" s="16"/>
      <c r="F635" s="16">
        <v>547.0</v>
      </c>
      <c r="G635" s="16" t="s">
        <v>176</v>
      </c>
      <c r="H635" s="16" t="s">
        <v>25</v>
      </c>
      <c r="I635" s="16" t="s">
        <v>26</v>
      </c>
      <c r="J635" s="16"/>
      <c r="K635" s="16"/>
      <c r="L635" s="16"/>
      <c r="M635" s="16"/>
      <c r="N635" s="16"/>
      <c r="O635" s="16"/>
      <c r="P635" s="16"/>
      <c r="Q635" s="16"/>
      <c r="R635" s="16"/>
      <c r="S635" s="16">
        <v>-2.0</v>
      </c>
      <c r="T635" s="16"/>
      <c r="U635" s="16" t="s">
        <v>2946</v>
      </c>
      <c r="V635" s="16" t="s">
        <v>2947</v>
      </c>
      <c r="W635" s="16" t="s">
        <v>600</v>
      </c>
      <c r="X635" s="16" t="s">
        <v>181</v>
      </c>
      <c r="Y635" s="100"/>
      <c r="Z635" s="16" t="s">
        <v>181</v>
      </c>
    </row>
    <row r="636">
      <c r="A636" s="16">
        <v>13126.0</v>
      </c>
      <c r="B636" s="16" t="s">
        <v>2948</v>
      </c>
      <c r="C636" s="16">
        <v>0.43</v>
      </c>
      <c r="D636" s="174" t="s">
        <v>2949</v>
      </c>
      <c r="E636" s="16"/>
      <c r="F636" s="16">
        <v>557.0</v>
      </c>
      <c r="G636" s="16" t="s">
        <v>232</v>
      </c>
      <c r="H636" s="16" t="s">
        <v>13</v>
      </c>
      <c r="I636" s="16" t="s">
        <v>14</v>
      </c>
      <c r="J636" s="16"/>
      <c r="K636" s="16"/>
      <c r="L636" s="16"/>
      <c r="M636" s="16"/>
      <c r="N636" s="16"/>
      <c r="O636" s="16"/>
      <c r="P636" s="16"/>
      <c r="Q636" s="16"/>
      <c r="R636" s="16"/>
      <c r="S636" s="16">
        <v>-2.0</v>
      </c>
      <c r="T636" s="16"/>
      <c r="U636" s="16" t="s">
        <v>2950</v>
      </c>
      <c r="V636" s="16" t="s">
        <v>2951</v>
      </c>
      <c r="W636" s="16" t="s">
        <v>188</v>
      </c>
      <c r="X636" s="16" t="s">
        <v>181</v>
      </c>
      <c r="Y636" s="100"/>
      <c r="Z636" s="16" t="s">
        <v>181</v>
      </c>
    </row>
    <row r="637">
      <c r="A637" s="16">
        <v>13127.0</v>
      </c>
      <c r="B637" s="16" t="s">
        <v>2952</v>
      </c>
      <c r="C637" s="16">
        <v>0.0</v>
      </c>
      <c r="D637" s="174" t="s">
        <v>2953</v>
      </c>
      <c r="E637" s="16"/>
      <c r="F637" s="16">
        <v>547.0</v>
      </c>
      <c r="G637" s="16" t="s">
        <v>176</v>
      </c>
      <c r="H637" s="16" t="s">
        <v>12</v>
      </c>
      <c r="I637" s="16" t="s">
        <v>13</v>
      </c>
      <c r="J637" s="16"/>
      <c r="K637" s="16"/>
      <c r="L637" s="16"/>
      <c r="M637" s="16"/>
      <c r="N637" s="16"/>
      <c r="O637" s="16"/>
      <c r="P637" s="16"/>
      <c r="Q637" s="16"/>
      <c r="R637" s="16"/>
      <c r="S637" s="16">
        <v>-2.0</v>
      </c>
      <c r="T637" s="16"/>
      <c r="U637" s="16" t="s">
        <v>2954</v>
      </c>
      <c r="V637" s="16" t="s">
        <v>2955</v>
      </c>
      <c r="W637" s="16" t="s">
        <v>600</v>
      </c>
      <c r="X637" s="16" t="s">
        <v>181</v>
      </c>
      <c r="Y637" s="100"/>
      <c r="Z637" s="16" t="s">
        <v>181</v>
      </c>
    </row>
    <row r="638">
      <c r="A638" s="16">
        <v>13128.0</v>
      </c>
      <c r="B638" s="16" t="s">
        <v>2956</v>
      </c>
      <c r="C638" s="16">
        <v>0.92</v>
      </c>
      <c r="D638" s="174" t="s">
        <v>2957</v>
      </c>
      <c r="E638" s="16"/>
      <c r="F638" s="16">
        <v>557.0</v>
      </c>
      <c r="G638" s="16" t="s">
        <v>232</v>
      </c>
      <c r="H638" s="16" t="s">
        <v>24</v>
      </c>
      <c r="I638" s="16"/>
      <c r="J638" s="16"/>
      <c r="K638" s="16"/>
      <c r="L638" s="16"/>
      <c r="M638" s="16"/>
      <c r="N638" s="16"/>
      <c r="O638" s="16"/>
      <c r="P638" s="16"/>
      <c r="Q638" s="16"/>
      <c r="R638" s="16"/>
      <c r="S638" s="16">
        <v>-2.0</v>
      </c>
      <c r="T638" s="16"/>
      <c r="U638" s="16" t="s">
        <v>2958</v>
      </c>
      <c r="V638" s="16" t="s">
        <v>2959</v>
      </c>
      <c r="W638" s="16" t="s">
        <v>188</v>
      </c>
      <c r="X638" s="16" t="s">
        <v>181</v>
      </c>
      <c r="Y638" s="100"/>
      <c r="Z638" s="16" t="s">
        <v>181</v>
      </c>
    </row>
    <row r="639">
      <c r="A639" s="16">
        <v>13129.0</v>
      </c>
      <c r="B639" s="16" t="s">
        <v>2960</v>
      </c>
      <c r="C639" s="16">
        <v>0.0</v>
      </c>
      <c r="D639" s="174" t="s">
        <v>2961</v>
      </c>
      <c r="E639" s="16"/>
      <c r="F639" s="16">
        <v>547.0</v>
      </c>
      <c r="G639" s="16" t="s">
        <v>176</v>
      </c>
      <c r="H639" s="16" t="s">
        <v>25</v>
      </c>
      <c r="I639" s="16" t="s">
        <v>26</v>
      </c>
      <c r="J639" s="16"/>
      <c r="K639" s="16"/>
      <c r="L639" s="16"/>
      <c r="M639" s="16"/>
      <c r="N639" s="16"/>
      <c r="O639" s="16"/>
      <c r="P639" s="16"/>
      <c r="Q639" s="16"/>
      <c r="R639" s="16"/>
      <c r="S639" s="16">
        <v>-2.0</v>
      </c>
      <c r="T639" s="16"/>
      <c r="U639" s="16" t="s">
        <v>2962</v>
      </c>
      <c r="V639" s="16" t="s">
        <v>2963</v>
      </c>
      <c r="W639" s="16" t="s">
        <v>259</v>
      </c>
      <c r="X639" s="16" t="s">
        <v>181</v>
      </c>
      <c r="Y639" s="100"/>
      <c r="Z639" s="16" t="s">
        <v>181</v>
      </c>
    </row>
    <row r="640">
      <c r="A640" s="16">
        <v>13130.0</v>
      </c>
      <c r="B640" s="16" t="s">
        <v>2964</v>
      </c>
      <c r="C640" s="16">
        <v>1.53</v>
      </c>
      <c r="D640" s="174" t="s">
        <v>2965</v>
      </c>
      <c r="E640" s="16"/>
      <c r="F640" s="16">
        <v>590.0</v>
      </c>
      <c r="G640" s="16" t="s">
        <v>387</v>
      </c>
      <c r="H640" s="16" t="s">
        <v>24</v>
      </c>
      <c r="I640" s="16"/>
      <c r="J640" s="16"/>
      <c r="K640" s="16"/>
      <c r="L640" s="16"/>
      <c r="M640" s="16"/>
      <c r="N640" s="16"/>
      <c r="O640" s="16"/>
      <c r="P640" s="16"/>
      <c r="Q640" s="16"/>
      <c r="R640" s="16"/>
      <c r="S640" s="16">
        <v>-2.0</v>
      </c>
      <c r="T640" s="16"/>
      <c r="U640" s="16" t="s">
        <v>2966</v>
      </c>
      <c r="V640" s="16" t="s">
        <v>2967</v>
      </c>
      <c r="W640" s="16" t="s">
        <v>188</v>
      </c>
      <c r="X640" s="16" t="s">
        <v>181</v>
      </c>
      <c r="Y640" s="100"/>
      <c r="Z640" s="16" t="s">
        <v>181</v>
      </c>
    </row>
    <row r="641">
      <c r="A641" s="16">
        <v>13131.0</v>
      </c>
      <c r="B641" s="16" t="s">
        <v>2968</v>
      </c>
      <c r="C641" s="16">
        <v>0.47</v>
      </c>
      <c r="D641" s="174" t="s">
        <v>2969</v>
      </c>
      <c r="E641" s="16"/>
      <c r="F641" s="16">
        <v>566.0</v>
      </c>
      <c r="G641" s="16" t="s">
        <v>277</v>
      </c>
      <c r="H641" s="16" t="s">
        <v>14</v>
      </c>
      <c r="I641" s="16" t="s">
        <v>15</v>
      </c>
      <c r="J641" s="16" t="s">
        <v>16</v>
      </c>
      <c r="K641" s="16"/>
      <c r="L641" s="16"/>
      <c r="M641" s="16"/>
      <c r="N641" s="16"/>
      <c r="O641" s="16"/>
      <c r="P641" s="16"/>
      <c r="Q641" s="16"/>
      <c r="R641" s="16"/>
      <c r="S641" s="16">
        <v>-2.0</v>
      </c>
      <c r="T641" s="16"/>
      <c r="U641" s="16" t="s">
        <v>2970</v>
      </c>
      <c r="V641" s="16" t="s">
        <v>2971</v>
      </c>
      <c r="W641" s="16" t="s">
        <v>360</v>
      </c>
      <c r="X641" s="16" t="s">
        <v>181</v>
      </c>
      <c r="Y641" s="100"/>
      <c r="Z641" s="16" t="s">
        <v>181</v>
      </c>
    </row>
    <row r="642">
      <c r="A642" s="16">
        <v>13132.0</v>
      </c>
      <c r="B642" s="16" t="s">
        <v>2972</v>
      </c>
      <c r="C642" s="16">
        <v>0.0</v>
      </c>
      <c r="D642" s="174" t="s">
        <v>2973</v>
      </c>
      <c r="E642" s="16"/>
      <c r="F642" s="16">
        <v>547.0</v>
      </c>
      <c r="G642" s="16" t="s">
        <v>176</v>
      </c>
      <c r="H642" s="16" t="s">
        <v>18</v>
      </c>
      <c r="I642" s="16" t="s">
        <v>19</v>
      </c>
      <c r="J642" s="16" t="s">
        <v>17</v>
      </c>
      <c r="K642" s="16"/>
      <c r="L642" s="16"/>
      <c r="M642" s="16"/>
      <c r="N642" s="16"/>
      <c r="O642" s="16"/>
      <c r="P642" s="16"/>
      <c r="Q642" s="16"/>
      <c r="R642" s="16"/>
      <c r="S642" s="16">
        <v>-2.0</v>
      </c>
      <c r="T642" s="16"/>
      <c r="U642" s="16" t="s">
        <v>2974</v>
      </c>
      <c r="V642" s="16" t="s">
        <v>2975</v>
      </c>
      <c r="W642" s="16" t="s">
        <v>199</v>
      </c>
      <c r="X642" s="16" t="s">
        <v>181</v>
      </c>
      <c r="Y642" s="100"/>
      <c r="Z642" s="16" t="s">
        <v>181</v>
      </c>
    </row>
    <row r="643">
      <c r="A643" s="16">
        <v>13133.0</v>
      </c>
      <c r="B643" s="16" t="s">
        <v>2976</v>
      </c>
      <c r="C643" s="16">
        <v>0.34</v>
      </c>
      <c r="D643" s="174" t="s">
        <v>2977</v>
      </c>
      <c r="E643" s="16"/>
      <c r="F643" s="16">
        <v>547.0</v>
      </c>
      <c r="G643" s="16" t="s">
        <v>176</v>
      </c>
      <c r="H643" s="16" t="s">
        <v>24</v>
      </c>
      <c r="I643" s="16"/>
      <c r="J643" s="16"/>
      <c r="K643" s="16"/>
      <c r="L643" s="16"/>
      <c r="M643" s="16"/>
      <c r="N643" s="16"/>
      <c r="O643" s="16"/>
      <c r="P643" s="16"/>
      <c r="Q643" s="16"/>
      <c r="R643" s="16"/>
      <c r="S643" s="16">
        <v>-2.0</v>
      </c>
      <c r="T643" s="16"/>
      <c r="U643" s="16" t="s">
        <v>2978</v>
      </c>
      <c r="V643" s="16" t="s">
        <v>2979</v>
      </c>
      <c r="W643" s="16" t="s">
        <v>459</v>
      </c>
      <c r="X643" s="16" t="s">
        <v>181</v>
      </c>
      <c r="Y643" s="100"/>
      <c r="Z643" s="16" t="s">
        <v>181</v>
      </c>
    </row>
    <row r="644">
      <c r="A644" s="16">
        <v>13134.0</v>
      </c>
      <c r="B644" s="16" t="s">
        <v>2980</v>
      </c>
      <c r="C644" s="16">
        <v>1.99</v>
      </c>
      <c r="D644" s="174" t="s">
        <v>2981</v>
      </c>
      <c r="E644" s="16"/>
      <c r="F644" s="16">
        <v>587.0</v>
      </c>
      <c r="G644" s="16" t="s">
        <v>289</v>
      </c>
      <c r="H644" s="16" t="s">
        <v>24</v>
      </c>
      <c r="I644" s="16" t="s">
        <v>25</v>
      </c>
      <c r="J644" s="16" t="s">
        <v>26</v>
      </c>
      <c r="K644" s="16"/>
      <c r="L644" s="16"/>
      <c r="M644" s="16"/>
      <c r="N644" s="16"/>
      <c r="O644" s="16"/>
      <c r="P644" s="16"/>
      <c r="Q644" s="16"/>
      <c r="R644" s="16"/>
      <c r="S644" s="16">
        <v>-2.0</v>
      </c>
      <c r="T644" s="16"/>
      <c r="U644" s="16" t="s">
        <v>2982</v>
      </c>
      <c r="V644" s="16" t="s">
        <v>2983</v>
      </c>
      <c r="W644" s="16" t="s">
        <v>491</v>
      </c>
      <c r="X644" s="16" t="s">
        <v>181</v>
      </c>
      <c r="Y644" s="100"/>
      <c r="Z644" s="16" t="s">
        <v>181</v>
      </c>
    </row>
    <row r="645">
      <c r="A645" s="16">
        <v>13135.0</v>
      </c>
      <c r="B645" s="16" t="s">
        <v>2984</v>
      </c>
      <c r="C645" s="16">
        <v>1.81</v>
      </c>
      <c r="D645" s="174" t="s">
        <v>2985</v>
      </c>
      <c r="E645" s="16"/>
      <c r="F645" s="16">
        <v>557.0</v>
      </c>
      <c r="G645" s="16" t="s">
        <v>232</v>
      </c>
      <c r="H645" s="16" t="s">
        <v>15</v>
      </c>
      <c r="I645" s="16" t="s">
        <v>14</v>
      </c>
      <c r="J645" s="16" t="s">
        <v>16</v>
      </c>
      <c r="K645" s="16" t="s">
        <v>19</v>
      </c>
      <c r="L645" s="16"/>
      <c r="M645" s="16"/>
      <c r="N645" s="16"/>
      <c r="O645" s="16"/>
      <c r="P645" s="16"/>
      <c r="Q645" s="16"/>
      <c r="R645" s="16"/>
      <c r="S645" s="16">
        <v>-2.0</v>
      </c>
      <c r="T645" s="16"/>
      <c r="U645" s="16" t="s">
        <v>2986</v>
      </c>
      <c r="V645" s="16" t="s">
        <v>2987</v>
      </c>
      <c r="W645" s="16" t="s">
        <v>360</v>
      </c>
      <c r="X645" s="16" t="s">
        <v>181</v>
      </c>
      <c r="Y645" s="100"/>
      <c r="Z645" s="16" t="s">
        <v>181</v>
      </c>
    </row>
    <row r="646">
      <c r="A646" s="16">
        <v>13136.0</v>
      </c>
      <c r="B646" s="16" t="s">
        <v>2988</v>
      </c>
      <c r="C646" s="16">
        <v>0.96</v>
      </c>
      <c r="D646" s="174" t="s">
        <v>2989</v>
      </c>
      <c r="E646" s="16"/>
      <c r="F646" s="16">
        <v>547.0</v>
      </c>
      <c r="G646" s="16" t="s">
        <v>176</v>
      </c>
      <c r="H646" s="16" t="s">
        <v>18</v>
      </c>
      <c r="I646" s="16"/>
      <c r="J646" s="16"/>
      <c r="K646" s="16"/>
      <c r="L646" s="16"/>
      <c r="M646" s="16"/>
      <c r="N646" s="16"/>
      <c r="O646" s="16"/>
      <c r="P646" s="16"/>
      <c r="Q646" s="16"/>
      <c r="R646" s="16"/>
      <c r="S646" s="16">
        <v>-2.0</v>
      </c>
      <c r="T646" s="16"/>
      <c r="U646" s="16" t="s">
        <v>2990</v>
      </c>
      <c r="V646" s="16" t="s">
        <v>2991</v>
      </c>
      <c r="W646" s="16" t="s">
        <v>616</v>
      </c>
      <c r="X646" s="16" t="s">
        <v>181</v>
      </c>
      <c r="Y646" s="100"/>
      <c r="Z646" s="16" t="s">
        <v>181</v>
      </c>
    </row>
    <row r="647">
      <c r="A647" s="16">
        <v>13137.0</v>
      </c>
      <c r="B647" s="16" t="s">
        <v>2992</v>
      </c>
      <c r="C647" s="16">
        <v>0.79</v>
      </c>
      <c r="D647" s="174" t="s">
        <v>2993</v>
      </c>
      <c r="E647" s="16"/>
      <c r="F647" s="16">
        <v>581.0</v>
      </c>
      <c r="G647" s="16" t="s">
        <v>346</v>
      </c>
      <c r="H647" s="16" t="s">
        <v>24</v>
      </c>
      <c r="I647" s="16"/>
      <c r="J647" s="16"/>
      <c r="K647" s="16"/>
      <c r="L647" s="16"/>
      <c r="M647" s="16"/>
      <c r="N647" s="16"/>
      <c r="O647" s="16"/>
      <c r="P647" s="16"/>
      <c r="Q647" s="16"/>
      <c r="R647" s="16"/>
      <c r="S647" s="16">
        <v>-2.0</v>
      </c>
      <c r="T647" s="16"/>
      <c r="U647" s="16" t="s">
        <v>2994</v>
      </c>
      <c r="V647" s="16" t="s">
        <v>2995</v>
      </c>
      <c r="W647" s="16" t="s">
        <v>188</v>
      </c>
      <c r="X647" s="16" t="s">
        <v>181</v>
      </c>
      <c r="Y647" s="100"/>
      <c r="Z647" s="16" t="s">
        <v>181</v>
      </c>
    </row>
    <row r="648">
      <c r="A648" s="16">
        <v>13138.0</v>
      </c>
      <c r="B648" s="16" t="s">
        <v>2996</v>
      </c>
      <c r="C648" s="16">
        <v>1.56</v>
      </c>
      <c r="D648" s="174" t="s">
        <v>2997</v>
      </c>
      <c r="E648" s="16"/>
      <c r="F648" s="16">
        <v>581.0</v>
      </c>
      <c r="G648" s="16" t="s">
        <v>346</v>
      </c>
      <c r="H648" s="16" t="s">
        <v>12</v>
      </c>
      <c r="I648" s="16"/>
      <c r="J648" s="16"/>
      <c r="K648" s="16"/>
      <c r="L648" s="16"/>
      <c r="M648" s="16"/>
      <c r="N648" s="16"/>
      <c r="O648" s="16"/>
      <c r="P648" s="16"/>
      <c r="Q648" s="16"/>
      <c r="R648" s="16"/>
      <c r="S648" s="16">
        <v>-2.0</v>
      </c>
      <c r="T648" s="16"/>
      <c r="U648" s="16" t="s">
        <v>2998</v>
      </c>
      <c r="V648" s="16" t="s">
        <v>2999</v>
      </c>
      <c r="W648" s="16" t="s">
        <v>478</v>
      </c>
      <c r="X648" s="16" t="s">
        <v>181</v>
      </c>
      <c r="Y648" s="100"/>
      <c r="Z648" s="16" t="s">
        <v>181</v>
      </c>
    </row>
    <row r="649">
      <c r="A649" s="16">
        <v>13139.0</v>
      </c>
      <c r="B649" s="16" t="s">
        <v>3000</v>
      </c>
      <c r="C649" s="16">
        <v>0.64</v>
      </c>
      <c r="D649" s="174" t="s">
        <v>3001</v>
      </c>
      <c r="E649" s="16"/>
      <c r="F649" s="16">
        <v>547.0</v>
      </c>
      <c r="G649" s="16" t="s">
        <v>176</v>
      </c>
      <c r="H649" s="16" t="s">
        <v>15</v>
      </c>
      <c r="I649" s="16"/>
      <c r="J649" s="16"/>
      <c r="K649" s="16"/>
      <c r="L649" s="16"/>
      <c r="M649" s="16"/>
      <c r="N649" s="16"/>
      <c r="O649" s="16"/>
      <c r="P649" s="16"/>
      <c r="Q649" s="16"/>
      <c r="R649" s="16"/>
      <c r="S649" s="16">
        <v>-2.0</v>
      </c>
      <c r="T649" s="16"/>
      <c r="U649" s="16" t="s">
        <v>3002</v>
      </c>
      <c r="V649" s="16" t="s">
        <v>3003</v>
      </c>
      <c r="W649" s="16" t="s">
        <v>199</v>
      </c>
      <c r="X649" s="16" t="s">
        <v>181</v>
      </c>
      <c r="Y649" s="100"/>
      <c r="Z649" s="16" t="s">
        <v>181</v>
      </c>
    </row>
    <row r="650">
      <c r="A650" s="16">
        <v>13140.0</v>
      </c>
      <c r="B650" s="16" t="s">
        <v>3004</v>
      </c>
      <c r="C650" s="16">
        <v>1.21</v>
      </c>
      <c r="D650" s="174" t="s">
        <v>3005</v>
      </c>
      <c r="E650" s="16"/>
      <c r="F650" s="16">
        <v>581.0</v>
      </c>
      <c r="G650" s="16" t="s">
        <v>346</v>
      </c>
      <c r="H650" s="16" t="s">
        <v>14</v>
      </c>
      <c r="I650" s="16"/>
      <c r="J650" s="16"/>
      <c r="K650" s="16"/>
      <c r="L650" s="16"/>
      <c r="M650" s="16"/>
      <c r="N650" s="16"/>
      <c r="O650" s="16"/>
      <c r="P650" s="16"/>
      <c r="Q650" s="16"/>
      <c r="R650" s="16"/>
      <c r="S650" s="16">
        <v>-2.0</v>
      </c>
      <c r="T650" s="16"/>
      <c r="U650" s="16" t="s">
        <v>3006</v>
      </c>
      <c r="V650" s="16" t="s">
        <v>3007</v>
      </c>
      <c r="W650" s="16" t="s">
        <v>443</v>
      </c>
      <c r="X650" s="16" t="s">
        <v>181</v>
      </c>
      <c r="Y650" s="100"/>
      <c r="Z650" s="16" t="s">
        <v>181</v>
      </c>
    </row>
    <row r="651">
      <c r="A651" s="16">
        <v>13141.0</v>
      </c>
      <c r="B651" s="16" t="s">
        <v>3008</v>
      </c>
      <c r="C651" s="16">
        <v>0.0</v>
      </c>
      <c r="D651" s="174" t="s">
        <v>3009</v>
      </c>
      <c r="E651" s="16"/>
      <c r="F651" s="16">
        <v>547.0</v>
      </c>
      <c r="G651" s="16" t="s">
        <v>176</v>
      </c>
      <c r="H651" s="16" t="s">
        <v>25</v>
      </c>
      <c r="I651" s="16"/>
      <c r="J651" s="16"/>
      <c r="K651" s="16"/>
      <c r="L651" s="16"/>
      <c r="M651" s="16"/>
      <c r="N651" s="16"/>
      <c r="O651" s="16"/>
      <c r="P651" s="16"/>
      <c r="Q651" s="16"/>
      <c r="R651" s="16"/>
      <c r="S651" s="16">
        <v>-2.0</v>
      </c>
      <c r="T651" s="16"/>
      <c r="U651" s="16" t="s">
        <v>3010</v>
      </c>
      <c r="V651" s="16" t="s">
        <v>3011</v>
      </c>
      <c r="W651" s="16" t="s">
        <v>259</v>
      </c>
      <c r="X651" s="16" t="s">
        <v>181</v>
      </c>
      <c r="Y651" s="100"/>
      <c r="Z651" s="16" t="s">
        <v>181</v>
      </c>
    </row>
    <row r="652">
      <c r="A652" s="16">
        <v>13142.0</v>
      </c>
      <c r="B652" s="16" t="s">
        <v>3012</v>
      </c>
      <c r="C652" s="16">
        <v>0.55</v>
      </c>
      <c r="D652" s="174" t="s">
        <v>3013</v>
      </c>
      <c r="E652" s="16"/>
      <c r="F652" s="16">
        <v>590.0</v>
      </c>
      <c r="G652" s="16" t="s">
        <v>387</v>
      </c>
      <c r="H652" s="16" t="s">
        <v>25</v>
      </c>
      <c r="I652" s="16"/>
      <c r="J652" s="16"/>
      <c r="K652" s="16"/>
      <c r="L652" s="16"/>
      <c r="M652" s="16"/>
      <c r="N652" s="16"/>
      <c r="O652" s="16"/>
      <c r="P652" s="16"/>
      <c r="Q652" s="16"/>
      <c r="R652" s="16"/>
      <c r="S652" s="16">
        <v>-2.0</v>
      </c>
      <c r="T652" s="16"/>
      <c r="U652" s="16" t="s">
        <v>3014</v>
      </c>
      <c r="V652" s="16" t="s">
        <v>3015</v>
      </c>
      <c r="W652" s="16" t="s">
        <v>422</v>
      </c>
      <c r="X652" s="16" t="s">
        <v>181</v>
      </c>
      <c r="Y652" s="100"/>
      <c r="Z652" s="16" t="s">
        <v>181</v>
      </c>
    </row>
    <row r="653">
      <c r="A653" s="16">
        <v>13143.0</v>
      </c>
      <c r="B653" s="16" t="s">
        <v>3016</v>
      </c>
      <c r="C653" s="16">
        <v>0.0</v>
      </c>
      <c r="D653" s="174" t="s">
        <v>3017</v>
      </c>
      <c r="E653" s="16"/>
      <c r="F653" s="16">
        <v>575.0</v>
      </c>
      <c r="G653" s="16" t="s">
        <v>212</v>
      </c>
      <c r="H653" s="16" t="s">
        <v>12</v>
      </c>
      <c r="I653" s="16"/>
      <c r="J653" s="16"/>
      <c r="K653" s="16"/>
      <c r="L653" s="16"/>
      <c r="M653" s="16"/>
      <c r="N653" s="16"/>
      <c r="O653" s="16"/>
      <c r="P653" s="16"/>
      <c r="Q653" s="16"/>
      <c r="R653" s="16"/>
      <c r="S653" s="16">
        <v>-2.0</v>
      </c>
      <c r="T653" s="16"/>
      <c r="U653" s="16" t="s">
        <v>3018</v>
      </c>
      <c r="V653" s="16" t="s">
        <v>3019</v>
      </c>
      <c r="W653" s="16" t="s">
        <v>640</v>
      </c>
      <c r="X653" s="16" t="s">
        <v>181</v>
      </c>
      <c r="Y653" s="100"/>
      <c r="Z653" s="16" t="s">
        <v>181</v>
      </c>
    </row>
    <row r="654">
      <c r="A654" s="16">
        <v>13144.0</v>
      </c>
      <c r="B654" s="16" t="s">
        <v>3020</v>
      </c>
      <c r="C654" s="16">
        <v>2.04</v>
      </c>
      <c r="D654" s="174" t="s">
        <v>3021</v>
      </c>
      <c r="E654" s="16"/>
      <c r="F654" s="16">
        <v>551.0</v>
      </c>
      <c r="G654" s="16" t="s">
        <v>200</v>
      </c>
      <c r="H654" s="16" t="s">
        <v>17</v>
      </c>
      <c r="I654" s="16" t="s">
        <v>13</v>
      </c>
      <c r="J654" s="16" t="s">
        <v>19</v>
      </c>
      <c r="K654" s="16" t="s">
        <v>18</v>
      </c>
      <c r="L654" s="16"/>
      <c r="M654" s="16"/>
      <c r="N654" s="16"/>
      <c r="O654" s="16"/>
      <c r="P654" s="16"/>
      <c r="Q654" s="16"/>
      <c r="R654" s="16"/>
      <c r="S654" s="16">
        <v>-2.0</v>
      </c>
      <c r="T654" s="16"/>
      <c r="U654" s="16" t="s">
        <v>3022</v>
      </c>
      <c r="V654" s="16" t="s">
        <v>3023</v>
      </c>
      <c r="W654" s="16" t="s">
        <v>443</v>
      </c>
      <c r="X654" s="16" t="s">
        <v>181</v>
      </c>
      <c r="Y654" s="100"/>
      <c r="Z654" s="16" t="s">
        <v>181</v>
      </c>
    </row>
    <row r="655">
      <c r="A655" s="16">
        <v>13145.0</v>
      </c>
      <c r="B655" s="16" t="s">
        <v>3024</v>
      </c>
      <c r="C655" s="16">
        <v>1.63</v>
      </c>
      <c r="D655" s="174" t="s">
        <v>3025</v>
      </c>
      <c r="E655" s="16"/>
      <c r="F655" s="16">
        <v>593.0</v>
      </c>
      <c r="G655" s="16" t="s">
        <v>272</v>
      </c>
      <c r="H655" s="16" t="s">
        <v>25</v>
      </c>
      <c r="I655" s="16" t="s">
        <v>26</v>
      </c>
      <c r="J655" s="16"/>
      <c r="K655" s="16"/>
      <c r="L655" s="16"/>
      <c r="M655" s="16"/>
      <c r="N655" s="16"/>
      <c r="O655" s="16"/>
      <c r="P655" s="16"/>
      <c r="Q655" s="16"/>
      <c r="R655" s="16"/>
      <c r="S655" s="16">
        <v>-2.0</v>
      </c>
      <c r="T655" s="174" t="s">
        <v>3026</v>
      </c>
      <c r="U655" s="16" t="s">
        <v>3027</v>
      </c>
      <c r="V655" s="16" t="s">
        <v>3028</v>
      </c>
      <c r="W655" s="16" t="s">
        <v>179</v>
      </c>
      <c r="X655" s="16" t="s">
        <v>181</v>
      </c>
      <c r="Y655" s="100"/>
      <c r="Z655" s="16" t="s">
        <v>181</v>
      </c>
    </row>
    <row r="656">
      <c r="A656" s="16">
        <v>13146.0</v>
      </c>
      <c r="B656" s="16" t="s">
        <v>3029</v>
      </c>
      <c r="C656" s="16">
        <v>0.22</v>
      </c>
      <c r="D656" s="174" t="s">
        <v>3030</v>
      </c>
      <c r="E656" s="16"/>
      <c r="F656" s="16">
        <v>547.0</v>
      </c>
      <c r="G656" s="16" t="s">
        <v>176</v>
      </c>
      <c r="H656" s="16" t="s">
        <v>24</v>
      </c>
      <c r="I656" s="16"/>
      <c r="J656" s="16"/>
      <c r="K656" s="16"/>
      <c r="L656" s="16"/>
      <c r="M656" s="16"/>
      <c r="N656" s="16"/>
      <c r="O656" s="16"/>
      <c r="P656" s="16"/>
      <c r="Q656" s="16"/>
      <c r="R656" s="16"/>
      <c r="S656" s="16">
        <v>-2.0</v>
      </c>
      <c r="T656" s="16"/>
      <c r="U656" s="16" t="s">
        <v>3031</v>
      </c>
      <c r="V656" s="16" t="s">
        <v>3032</v>
      </c>
      <c r="W656" s="16" t="s">
        <v>231</v>
      </c>
      <c r="X656" s="16" t="s">
        <v>181</v>
      </c>
      <c r="Y656" s="100"/>
      <c r="Z656" s="16" t="s">
        <v>181</v>
      </c>
    </row>
    <row r="657">
      <c r="A657" s="16">
        <v>13147.0</v>
      </c>
      <c r="B657" s="16" t="s">
        <v>3033</v>
      </c>
      <c r="C657" s="16">
        <v>0.56</v>
      </c>
      <c r="D657" s="174" t="s">
        <v>3034</v>
      </c>
      <c r="E657" s="16"/>
      <c r="F657" s="16">
        <v>569.0</v>
      </c>
      <c r="G657" s="16" t="s">
        <v>292</v>
      </c>
      <c r="H657" s="16" t="s">
        <v>15</v>
      </c>
      <c r="I657" s="16" t="s">
        <v>14</v>
      </c>
      <c r="J657" s="16" t="s">
        <v>16</v>
      </c>
      <c r="K657" s="16" t="s">
        <v>19</v>
      </c>
      <c r="L657" s="16"/>
      <c r="M657" s="16"/>
      <c r="N657" s="16"/>
      <c r="O657" s="16"/>
      <c r="P657" s="16"/>
      <c r="Q657" s="16"/>
      <c r="R657" s="16"/>
      <c r="S657" s="16">
        <v>-2.0</v>
      </c>
      <c r="T657" s="16"/>
      <c r="U657" s="16" t="s">
        <v>3035</v>
      </c>
      <c r="V657" s="16" t="s">
        <v>3036</v>
      </c>
      <c r="W657" s="16" t="s">
        <v>188</v>
      </c>
      <c r="X657" s="16" t="s">
        <v>181</v>
      </c>
      <c r="Y657" s="100"/>
      <c r="Z657" s="16" t="s">
        <v>181</v>
      </c>
    </row>
    <row r="658">
      <c r="A658" s="16">
        <v>13148.0</v>
      </c>
      <c r="B658" s="16" t="s">
        <v>3037</v>
      </c>
      <c r="C658" s="16">
        <v>1.4</v>
      </c>
      <c r="D658" s="174" t="s">
        <v>3038</v>
      </c>
      <c r="E658" s="16"/>
      <c r="F658" s="16">
        <v>560.0</v>
      </c>
      <c r="G658" s="16" t="s">
        <v>245</v>
      </c>
      <c r="H658" s="16" t="s">
        <v>15</v>
      </c>
      <c r="I658" s="16"/>
      <c r="J658" s="16"/>
      <c r="K658" s="16"/>
      <c r="L658" s="16"/>
      <c r="M658" s="16"/>
      <c r="N658" s="16"/>
      <c r="O658" s="16"/>
      <c r="P658" s="16"/>
      <c r="Q658" s="16"/>
      <c r="R658" s="16"/>
      <c r="S658" s="16">
        <v>-2.0</v>
      </c>
      <c r="T658" s="16"/>
      <c r="U658" s="16" t="s">
        <v>3039</v>
      </c>
      <c r="V658" s="16" t="s">
        <v>3040</v>
      </c>
      <c r="W658" s="16" t="s">
        <v>188</v>
      </c>
      <c r="X658" s="16" t="s">
        <v>181</v>
      </c>
      <c r="Y658" s="100"/>
      <c r="Z658" s="16" t="s">
        <v>181</v>
      </c>
    </row>
    <row r="659">
      <c r="A659" s="16">
        <v>13149.0</v>
      </c>
      <c r="B659" s="16" t="s">
        <v>3041</v>
      </c>
      <c r="C659" s="16">
        <v>0.0</v>
      </c>
      <c r="D659" s="174" t="s">
        <v>3042</v>
      </c>
      <c r="E659" s="16"/>
      <c r="F659" s="16">
        <v>547.0</v>
      </c>
      <c r="G659" s="16" t="s">
        <v>176</v>
      </c>
      <c r="H659" s="16" t="s">
        <v>17</v>
      </c>
      <c r="I659" s="16" t="s">
        <v>19</v>
      </c>
      <c r="J659" s="16" t="s">
        <v>18</v>
      </c>
      <c r="K659" s="16"/>
      <c r="L659" s="16"/>
      <c r="M659" s="16"/>
      <c r="N659" s="16"/>
      <c r="O659" s="16"/>
      <c r="P659" s="16"/>
      <c r="Q659" s="16"/>
      <c r="R659" s="16"/>
      <c r="S659" s="16">
        <v>-2.0</v>
      </c>
      <c r="T659" s="16"/>
      <c r="U659" s="16" t="s">
        <v>3043</v>
      </c>
      <c r="V659" s="16" t="s">
        <v>3044</v>
      </c>
      <c r="W659" s="16" t="s">
        <v>491</v>
      </c>
      <c r="X659" s="16" t="s">
        <v>181</v>
      </c>
      <c r="Y659" s="100"/>
      <c r="Z659" s="16" t="s">
        <v>181</v>
      </c>
    </row>
    <row r="660">
      <c r="A660" s="16">
        <v>13150.0</v>
      </c>
      <c r="B660" s="16" t="s">
        <v>3045</v>
      </c>
      <c r="C660" s="16">
        <v>1.4</v>
      </c>
      <c r="D660" s="174" t="s">
        <v>3046</v>
      </c>
      <c r="E660" s="16"/>
      <c r="F660" s="16">
        <v>557.0</v>
      </c>
      <c r="G660" s="16" t="s">
        <v>232</v>
      </c>
      <c r="H660" s="16" t="s">
        <v>25</v>
      </c>
      <c r="I660" s="16" t="s">
        <v>26</v>
      </c>
      <c r="J660" s="16"/>
      <c r="K660" s="16"/>
      <c r="L660" s="16"/>
      <c r="M660" s="16"/>
      <c r="N660" s="16"/>
      <c r="O660" s="16"/>
      <c r="P660" s="16"/>
      <c r="Q660" s="16"/>
      <c r="R660" s="16"/>
      <c r="S660" s="16">
        <v>-2.0</v>
      </c>
      <c r="T660" s="16"/>
      <c r="U660" s="16" t="s">
        <v>3047</v>
      </c>
      <c r="V660" s="16" t="s">
        <v>3048</v>
      </c>
      <c r="W660" s="16" t="s">
        <v>332</v>
      </c>
      <c r="X660" s="16" t="s">
        <v>181</v>
      </c>
      <c r="Y660" s="100"/>
      <c r="Z660" s="16" t="s">
        <v>181</v>
      </c>
    </row>
    <row r="661">
      <c r="A661" s="16">
        <v>13151.0</v>
      </c>
      <c r="B661" s="16" t="s">
        <v>3049</v>
      </c>
      <c r="C661" s="16">
        <v>1.81</v>
      </c>
      <c r="D661" s="174" t="s">
        <v>3050</v>
      </c>
      <c r="E661" s="16"/>
      <c r="F661" s="16">
        <v>551.0</v>
      </c>
      <c r="G661" s="16" t="s">
        <v>200</v>
      </c>
      <c r="H661" s="16" t="s">
        <v>51</v>
      </c>
      <c r="I661" s="16"/>
      <c r="J661" s="16"/>
      <c r="K661" s="16"/>
      <c r="L661" s="16"/>
      <c r="M661" s="16"/>
      <c r="N661" s="16"/>
      <c r="O661" s="16"/>
      <c r="P661" s="16"/>
      <c r="Q661" s="16"/>
      <c r="R661" s="16"/>
      <c r="S661" s="16">
        <v>-2.0</v>
      </c>
      <c r="T661" s="16"/>
      <c r="U661" s="16" t="s">
        <v>3051</v>
      </c>
      <c r="V661" s="16" t="s">
        <v>3052</v>
      </c>
      <c r="W661" s="16" t="s">
        <v>231</v>
      </c>
      <c r="X661" s="16" t="s">
        <v>181</v>
      </c>
      <c r="Y661" s="100"/>
      <c r="Z661" s="16" t="s">
        <v>181</v>
      </c>
    </row>
    <row r="662">
      <c r="A662" s="16">
        <v>13152.0</v>
      </c>
      <c r="B662" s="16" t="s">
        <v>3053</v>
      </c>
      <c r="C662" s="16">
        <v>0.67</v>
      </c>
      <c r="D662" s="174" t="s">
        <v>3054</v>
      </c>
      <c r="E662" s="16"/>
      <c r="F662" s="16">
        <v>547.0</v>
      </c>
      <c r="G662" s="16" t="s">
        <v>176</v>
      </c>
      <c r="H662" s="16" t="s">
        <v>24</v>
      </c>
      <c r="I662" s="16"/>
      <c r="J662" s="16"/>
      <c r="K662" s="16"/>
      <c r="L662" s="16"/>
      <c r="M662" s="16"/>
      <c r="N662" s="16"/>
      <c r="O662" s="16"/>
      <c r="P662" s="16"/>
      <c r="Q662" s="16"/>
      <c r="R662" s="16"/>
      <c r="S662" s="16">
        <v>-2.0</v>
      </c>
      <c r="T662" s="16"/>
      <c r="U662" s="16" t="s">
        <v>3055</v>
      </c>
      <c r="V662" s="16" t="s">
        <v>3056</v>
      </c>
      <c r="W662" s="16" t="s">
        <v>459</v>
      </c>
      <c r="X662" s="16" t="s">
        <v>181</v>
      </c>
      <c r="Y662" s="100"/>
      <c r="Z662" s="16" t="s">
        <v>181</v>
      </c>
    </row>
    <row r="663">
      <c r="A663" s="16">
        <v>13153.0</v>
      </c>
      <c r="B663" s="16" t="s">
        <v>3057</v>
      </c>
      <c r="C663" s="16">
        <v>0.0</v>
      </c>
      <c r="D663" s="174" t="s">
        <v>3058</v>
      </c>
      <c r="E663" s="16"/>
      <c r="F663" s="16">
        <v>547.0</v>
      </c>
      <c r="G663" s="16" t="s">
        <v>176</v>
      </c>
      <c r="H663" s="16" t="s">
        <v>16</v>
      </c>
      <c r="I663" s="16" t="s">
        <v>14</v>
      </c>
      <c r="J663" s="16"/>
      <c r="K663" s="16"/>
      <c r="L663" s="16"/>
      <c r="M663" s="16"/>
      <c r="N663" s="16"/>
      <c r="O663" s="16"/>
      <c r="P663" s="16"/>
      <c r="Q663" s="16"/>
      <c r="R663" s="16"/>
      <c r="S663" s="16">
        <v>-2.0</v>
      </c>
      <c r="T663" s="16"/>
      <c r="U663" s="16" t="s">
        <v>3059</v>
      </c>
      <c r="V663" s="16" t="s">
        <v>3060</v>
      </c>
      <c r="W663" s="16" t="s">
        <v>199</v>
      </c>
      <c r="X663" s="16" t="s">
        <v>181</v>
      </c>
      <c r="Y663" s="100"/>
      <c r="Z663" s="16" t="s">
        <v>181</v>
      </c>
    </row>
    <row r="664">
      <c r="A664" s="16">
        <v>13154.0</v>
      </c>
      <c r="B664" s="16" t="s">
        <v>3061</v>
      </c>
      <c r="C664" s="16">
        <v>1.66</v>
      </c>
      <c r="D664" s="174" t="s">
        <v>3062</v>
      </c>
      <c r="E664" s="16"/>
      <c r="F664" s="16">
        <v>566.0</v>
      </c>
      <c r="G664" s="16" t="s">
        <v>277</v>
      </c>
      <c r="H664" s="16" t="s">
        <v>14</v>
      </c>
      <c r="I664" s="16"/>
      <c r="J664" s="16"/>
      <c r="K664" s="16"/>
      <c r="L664" s="16"/>
      <c r="M664" s="16"/>
      <c r="N664" s="16"/>
      <c r="O664" s="16"/>
      <c r="P664" s="16"/>
      <c r="Q664" s="16"/>
      <c r="R664" s="16"/>
      <c r="S664" s="16">
        <v>-2.0</v>
      </c>
      <c r="T664" s="16"/>
      <c r="U664" s="16" t="s">
        <v>3063</v>
      </c>
      <c r="V664" s="16" t="s">
        <v>3064</v>
      </c>
      <c r="W664" s="16" t="s">
        <v>188</v>
      </c>
      <c r="X664" s="16" t="s">
        <v>181</v>
      </c>
      <c r="Y664" s="100"/>
      <c r="Z664" s="16" t="s">
        <v>181</v>
      </c>
    </row>
    <row r="665">
      <c r="A665" s="16">
        <v>13155.0</v>
      </c>
      <c r="B665" s="16" t="s">
        <v>3065</v>
      </c>
      <c r="C665" s="16">
        <v>0.2</v>
      </c>
      <c r="D665" s="174" t="s">
        <v>3066</v>
      </c>
      <c r="E665" s="16"/>
      <c r="F665" s="16">
        <v>547.0</v>
      </c>
      <c r="G665" s="16" t="s">
        <v>176</v>
      </c>
      <c r="H665" s="16" t="s">
        <v>24</v>
      </c>
      <c r="I665" s="16" t="s">
        <v>25</v>
      </c>
      <c r="J665" s="16" t="s">
        <v>26</v>
      </c>
      <c r="K665" s="16"/>
      <c r="L665" s="16"/>
      <c r="M665" s="16"/>
      <c r="N665" s="16"/>
      <c r="O665" s="16"/>
      <c r="P665" s="16"/>
      <c r="Q665" s="16"/>
      <c r="R665" s="16"/>
      <c r="S665" s="16">
        <v>-2.0</v>
      </c>
      <c r="T665" s="16"/>
      <c r="U665" s="16" t="s">
        <v>3067</v>
      </c>
      <c r="V665" s="16" t="s">
        <v>3068</v>
      </c>
      <c r="W665" s="16" t="s">
        <v>188</v>
      </c>
      <c r="X665" s="16" t="s">
        <v>181</v>
      </c>
      <c r="Y665" s="100"/>
      <c r="Z665" s="16" t="s">
        <v>181</v>
      </c>
    </row>
    <row r="666">
      <c r="A666" s="16">
        <v>13156.0</v>
      </c>
      <c r="B666" s="16" t="s">
        <v>3069</v>
      </c>
      <c r="C666" s="16">
        <v>0.38</v>
      </c>
      <c r="D666" s="174" t="s">
        <v>3070</v>
      </c>
      <c r="E666" s="16"/>
      <c r="F666" s="16">
        <v>547.0</v>
      </c>
      <c r="G666" s="16" t="s">
        <v>176</v>
      </c>
      <c r="H666" s="16" t="s">
        <v>13</v>
      </c>
      <c r="I666" s="16" t="s">
        <v>17</v>
      </c>
      <c r="J666" s="16" t="s">
        <v>19</v>
      </c>
      <c r="K666" s="16" t="s">
        <v>15</v>
      </c>
      <c r="L666" s="16"/>
      <c r="M666" s="16"/>
      <c r="N666" s="16"/>
      <c r="O666" s="16"/>
      <c r="P666" s="16"/>
      <c r="Q666" s="16"/>
      <c r="R666" s="16"/>
      <c r="S666" s="16">
        <v>-2.0</v>
      </c>
      <c r="T666" s="16"/>
      <c r="U666" s="16" t="s">
        <v>3071</v>
      </c>
      <c r="V666" s="16" t="s">
        <v>3072</v>
      </c>
      <c r="W666" s="16" t="s">
        <v>491</v>
      </c>
      <c r="X666" s="16" t="s">
        <v>181</v>
      </c>
      <c r="Y666" s="100"/>
      <c r="Z666" s="16" t="s">
        <v>181</v>
      </c>
    </row>
    <row r="667">
      <c r="A667" s="16">
        <v>13157.0</v>
      </c>
      <c r="B667" s="16" t="s">
        <v>3073</v>
      </c>
      <c r="C667" s="16">
        <v>0.0</v>
      </c>
      <c r="D667" s="174" t="s">
        <v>3074</v>
      </c>
      <c r="E667" s="16"/>
      <c r="F667" s="16">
        <v>547.0</v>
      </c>
      <c r="G667" s="16" t="s">
        <v>176</v>
      </c>
      <c r="H667" s="16" t="s">
        <v>25</v>
      </c>
      <c r="I667" s="16"/>
      <c r="J667" s="16"/>
      <c r="K667" s="16"/>
      <c r="L667" s="16"/>
      <c r="M667" s="16"/>
      <c r="N667" s="16"/>
      <c r="O667" s="16"/>
      <c r="P667" s="16"/>
      <c r="Q667" s="16"/>
      <c r="R667" s="16"/>
      <c r="S667" s="16">
        <v>-2.0</v>
      </c>
      <c r="T667" s="16"/>
      <c r="U667" s="16" t="s">
        <v>3075</v>
      </c>
      <c r="V667" s="16" t="s">
        <v>3076</v>
      </c>
      <c r="W667" s="16" t="s">
        <v>179</v>
      </c>
      <c r="X667" s="16" t="s">
        <v>181</v>
      </c>
      <c r="Y667" s="100"/>
      <c r="Z667" s="16" t="s">
        <v>181</v>
      </c>
    </row>
    <row r="668">
      <c r="A668" s="16">
        <v>13158.0</v>
      </c>
      <c r="B668" s="16" t="s">
        <v>3077</v>
      </c>
      <c r="C668" s="16">
        <v>1.98</v>
      </c>
      <c r="D668" s="174" t="s">
        <v>3078</v>
      </c>
      <c r="E668" s="16"/>
      <c r="F668" s="16">
        <v>548.0</v>
      </c>
      <c r="G668" s="16" t="s">
        <v>126</v>
      </c>
      <c r="H668" s="16" t="s">
        <v>15</v>
      </c>
      <c r="I668" s="16" t="s">
        <v>13</v>
      </c>
      <c r="J668" s="16"/>
      <c r="K668" s="16"/>
      <c r="L668" s="16"/>
      <c r="M668" s="16"/>
      <c r="N668" s="16"/>
      <c r="O668" s="16"/>
      <c r="P668" s="16"/>
      <c r="Q668" s="16"/>
      <c r="R668" s="16"/>
      <c r="S668" s="16">
        <v>-2.0</v>
      </c>
      <c r="T668" s="16"/>
      <c r="U668" s="16" t="s">
        <v>3079</v>
      </c>
      <c r="V668" s="16" t="s">
        <v>3080</v>
      </c>
      <c r="W668" s="16" t="s">
        <v>179</v>
      </c>
      <c r="X668" s="16" t="s">
        <v>181</v>
      </c>
      <c r="Y668" s="100"/>
      <c r="Z668" s="16" t="s">
        <v>181</v>
      </c>
    </row>
    <row r="669">
      <c r="A669" s="16">
        <v>13159.0</v>
      </c>
      <c r="B669" s="16" t="s">
        <v>3081</v>
      </c>
      <c r="C669" s="16">
        <v>0.0</v>
      </c>
      <c r="D669" s="174" t="s">
        <v>3082</v>
      </c>
      <c r="E669" s="16"/>
      <c r="F669" s="16">
        <v>547.0</v>
      </c>
      <c r="G669" s="16" t="s">
        <v>176</v>
      </c>
      <c r="H669" s="16" t="s">
        <v>12</v>
      </c>
      <c r="I669" s="16"/>
      <c r="J669" s="16"/>
      <c r="K669" s="16"/>
      <c r="L669" s="16"/>
      <c r="M669" s="16"/>
      <c r="N669" s="16"/>
      <c r="O669" s="16"/>
      <c r="P669" s="16"/>
      <c r="Q669" s="16"/>
      <c r="R669" s="16"/>
      <c r="S669" s="16">
        <v>-2.0</v>
      </c>
      <c r="T669" s="16"/>
      <c r="U669" s="16" t="s">
        <v>3083</v>
      </c>
      <c r="V669" s="16" t="s">
        <v>3084</v>
      </c>
      <c r="W669" s="16" t="s">
        <v>478</v>
      </c>
      <c r="X669" s="16" t="s">
        <v>181</v>
      </c>
      <c r="Y669" s="100"/>
      <c r="Z669" s="16" t="s">
        <v>181</v>
      </c>
    </row>
    <row r="670">
      <c r="A670" s="16">
        <v>13160.0</v>
      </c>
      <c r="B670" s="16" t="s">
        <v>3085</v>
      </c>
      <c r="C670" s="16">
        <v>0.3</v>
      </c>
      <c r="D670" s="174" t="s">
        <v>3086</v>
      </c>
      <c r="E670" s="16"/>
      <c r="F670" s="16">
        <v>547.0</v>
      </c>
      <c r="G670" s="16" t="s">
        <v>176</v>
      </c>
      <c r="H670" s="16" t="s">
        <v>24</v>
      </c>
      <c r="I670" s="16"/>
      <c r="J670" s="16"/>
      <c r="K670" s="16"/>
      <c r="L670" s="16"/>
      <c r="M670" s="16"/>
      <c r="N670" s="16"/>
      <c r="O670" s="16"/>
      <c r="P670" s="16"/>
      <c r="Q670" s="16"/>
      <c r="R670" s="16"/>
      <c r="S670" s="16">
        <v>-2.0</v>
      </c>
      <c r="T670" s="16"/>
      <c r="U670" s="16" t="s">
        <v>3087</v>
      </c>
      <c r="V670" s="16" t="s">
        <v>3088</v>
      </c>
      <c r="W670" s="16" t="s">
        <v>188</v>
      </c>
      <c r="X670" s="16" t="s">
        <v>181</v>
      </c>
      <c r="Y670" s="100"/>
      <c r="Z670" s="16" t="s">
        <v>181</v>
      </c>
    </row>
    <row r="671">
      <c r="A671" s="16">
        <v>13161.0</v>
      </c>
      <c r="B671" s="16" t="s">
        <v>3089</v>
      </c>
      <c r="C671" s="16">
        <v>0.96</v>
      </c>
      <c r="D671" s="174" t="s">
        <v>3090</v>
      </c>
      <c r="E671" s="16"/>
      <c r="F671" s="16">
        <v>547.0</v>
      </c>
      <c r="G671" s="16" t="s">
        <v>176</v>
      </c>
      <c r="H671" s="16" t="s">
        <v>17</v>
      </c>
      <c r="I671" s="16"/>
      <c r="J671" s="16"/>
      <c r="K671" s="16"/>
      <c r="L671" s="16"/>
      <c r="M671" s="16"/>
      <c r="N671" s="16"/>
      <c r="O671" s="16"/>
      <c r="P671" s="16"/>
      <c r="Q671" s="16"/>
      <c r="R671" s="16"/>
      <c r="S671" s="16">
        <v>-2.0</v>
      </c>
      <c r="T671" s="16"/>
      <c r="U671" s="16" t="s">
        <v>3091</v>
      </c>
      <c r="V671" s="16" t="s">
        <v>3092</v>
      </c>
      <c r="W671" s="16" t="s">
        <v>661</v>
      </c>
      <c r="X671" s="16" t="s">
        <v>181</v>
      </c>
      <c r="Y671" s="100"/>
      <c r="Z671" s="16" t="s">
        <v>181</v>
      </c>
    </row>
    <row r="672">
      <c r="A672" s="16">
        <v>13162.0</v>
      </c>
      <c r="B672" s="16" t="s">
        <v>3093</v>
      </c>
      <c r="C672" s="16">
        <v>0.0</v>
      </c>
      <c r="D672" s="174" t="s">
        <v>3094</v>
      </c>
      <c r="E672" s="16"/>
      <c r="F672" s="16">
        <v>547.0</v>
      </c>
      <c r="G672" s="16" t="s">
        <v>176</v>
      </c>
      <c r="H672" s="16" t="s">
        <v>24</v>
      </c>
      <c r="I672" s="16" t="s">
        <v>25</v>
      </c>
      <c r="J672" s="16"/>
      <c r="K672" s="16"/>
      <c r="L672" s="16"/>
      <c r="M672" s="16"/>
      <c r="N672" s="16"/>
      <c r="O672" s="16"/>
      <c r="P672" s="16"/>
      <c r="Q672" s="16"/>
      <c r="R672" s="16"/>
      <c r="S672" s="16">
        <v>-2.0</v>
      </c>
      <c r="T672" s="16"/>
      <c r="U672" s="16" t="s">
        <v>3095</v>
      </c>
      <c r="V672" s="16" t="s">
        <v>3096</v>
      </c>
      <c r="W672" s="16" t="s">
        <v>199</v>
      </c>
      <c r="X672" s="16" t="s">
        <v>181</v>
      </c>
      <c r="Y672" s="100"/>
      <c r="Z672" s="16" t="s">
        <v>181</v>
      </c>
    </row>
    <row r="673">
      <c r="A673" s="16">
        <v>13163.0</v>
      </c>
      <c r="B673" s="16" t="s">
        <v>3097</v>
      </c>
      <c r="C673" s="16">
        <v>0.0</v>
      </c>
      <c r="D673" s="174" t="s">
        <v>3098</v>
      </c>
      <c r="E673" s="16"/>
      <c r="F673" s="16">
        <v>547.0</v>
      </c>
      <c r="G673" s="16" t="s">
        <v>176</v>
      </c>
      <c r="H673" s="16" t="s">
        <v>25</v>
      </c>
      <c r="I673" s="16"/>
      <c r="J673" s="16"/>
      <c r="K673" s="16"/>
      <c r="L673" s="16"/>
      <c r="M673" s="16"/>
      <c r="N673" s="16"/>
      <c r="O673" s="16"/>
      <c r="P673" s="16"/>
      <c r="Q673" s="16"/>
      <c r="R673" s="16"/>
      <c r="S673" s="16">
        <v>-2.0</v>
      </c>
      <c r="T673" s="16"/>
      <c r="U673" s="16" t="s">
        <v>3099</v>
      </c>
      <c r="V673" s="16" t="s">
        <v>3100</v>
      </c>
      <c r="W673" s="16" t="s">
        <v>199</v>
      </c>
      <c r="X673" s="16" t="s">
        <v>181</v>
      </c>
      <c r="Y673" s="100"/>
      <c r="Z673" s="16" t="s">
        <v>181</v>
      </c>
    </row>
    <row r="674">
      <c r="A674" s="16">
        <v>13164.0</v>
      </c>
      <c r="B674" s="16" t="s">
        <v>3101</v>
      </c>
      <c r="C674" s="16">
        <v>1.77</v>
      </c>
      <c r="D674" s="174" t="s">
        <v>3102</v>
      </c>
      <c r="E674" s="16"/>
      <c r="F674" s="16">
        <v>578.0</v>
      </c>
      <c r="G674" s="16" t="s">
        <v>333</v>
      </c>
      <c r="H674" s="16" t="s">
        <v>25</v>
      </c>
      <c r="I674" s="16" t="s">
        <v>26</v>
      </c>
      <c r="J674" s="16"/>
      <c r="K674" s="16"/>
      <c r="L674" s="16"/>
      <c r="M674" s="16"/>
      <c r="N674" s="16"/>
      <c r="O674" s="16"/>
      <c r="P674" s="16"/>
      <c r="Q674" s="16"/>
      <c r="R674" s="16"/>
      <c r="S674" s="16">
        <v>-2.0</v>
      </c>
      <c r="T674" s="16"/>
      <c r="U674" s="16" t="s">
        <v>3103</v>
      </c>
      <c r="V674" s="16" t="s">
        <v>3104</v>
      </c>
      <c r="W674" s="16" t="s">
        <v>675</v>
      </c>
      <c r="X674" s="16" t="s">
        <v>181</v>
      </c>
      <c r="Y674" s="100"/>
      <c r="Z674" s="16" t="s">
        <v>181</v>
      </c>
    </row>
    <row r="675">
      <c r="A675" s="16">
        <v>13165.0</v>
      </c>
      <c r="B675" s="16" t="s">
        <v>3105</v>
      </c>
      <c r="C675" s="16">
        <v>2.23</v>
      </c>
      <c r="D675" s="174" t="s">
        <v>3106</v>
      </c>
      <c r="E675" s="16"/>
      <c r="F675" s="16">
        <v>587.0</v>
      </c>
      <c r="G675" s="16" t="s">
        <v>289</v>
      </c>
      <c r="H675" s="16" t="s">
        <v>16</v>
      </c>
      <c r="I675" s="16"/>
      <c r="J675" s="16"/>
      <c r="K675" s="16"/>
      <c r="L675" s="16"/>
      <c r="M675" s="16"/>
      <c r="N675" s="16"/>
      <c r="O675" s="16"/>
      <c r="P675" s="16"/>
      <c r="Q675" s="16"/>
      <c r="R675" s="16"/>
      <c r="S675" s="16">
        <v>-2.0</v>
      </c>
      <c r="T675" s="16"/>
      <c r="U675" s="16" t="s">
        <v>3107</v>
      </c>
      <c r="V675" s="16" t="s">
        <v>3108</v>
      </c>
      <c r="W675" s="16" t="s">
        <v>188</v>
      </c>
      <c r="X675" s="16" t="s">
        <v>181</v>
      </c>
      <c r="Y675" s="100"/>
      <c r="Z675" s="16" t="s">
        <v>181</v>
      </c>
    </row>
    <row r="676">
      <c r="A676" s="16">
        <v>13166.0</v>
      </c>
      <c r="B676" s="16" t="s">
        <v>3109</v>
      </c>
      <c r="C676" s="16">
        <v>0.7</v>
      </c>
      <c r="D676" s="174" t="s">
        <v>3110</v>
      </c>
      <c r="E676" s="16"/>
      <c r="F676" s="16">
        <v>589.0</v>
      </c>
      <c r="G676" s="16" t="s">
        <v>1729</v>
      </c>
      <c r="H676" s="16" t="s">
        <v>25</v>
      </c>
      <c r="I676" s="16"/>
      <c r="J676" s="16"/>
      <c r="K676" s="16"/>
      <c r="L676" s="16"/>
      <c r="M676" s="16"/>
      <c r="N676" s="16"/>
      <c r="O676" s="16"/>
      <c r="P676" s="16"/>
      <c r="Q676" s="16"/>
      <c r="R676" s="16"/>
      <c r="S676" s="16">
        <v>-2.0</v>
      </c>
      <c r="T676" s="16"/>
      <c r="U676" s="16" t="s">
        <v>3111</v>
      </c>
      <c r="V676" s="16" t="s">
        <v>3112</v>
      </c>
      <c r="W676" s="16" t="s">
        <v>199</v>
      </c>
      <c r="X676" s="16" t="s">
        <v>181</v>
      </c>
      <c r="Y676" s="100"/>
      <c r="Z676" s="16" t="s">
        <v>181</v>
      </c>
    </row>
    <row r="677">
      <c r="A677" s="16">
        <v>13167.0</v>
      </c>
      <c r="B677" s="16" t="s">
        <v>3113</v>
      </c>
      <c r="C677" s="16">
        <v>1.32</v>
      </c>
      <c r="D677" s="174" t="s">
        <v>3114</v>
      </c>
      <c r="E677" s="16"/>
      <c r="F677" s="16">
        <v>588.0</v>
      </c>
      <c r="G677" s="16" t="s">
        <v>3115</v>
      </c>
      <c r="H677" s="16" t="s">
        <v>24</v>
      </c>
      <c r="I677" s="16"/>
      <c r="J677" s="16"/>
      <c r="K677" s="16"/>
      <c r="L677" s="16"/>
      <c r="M677" s="16"/>
      <c r="N677" s="16"/>
      <c r="O677" s="16"/>
      <c r="P677" s="16"/>
      <c r="Q677" s="16"/>
      <c r="R677" s="16" t="s">
        <v>536</v>
      </c>
      <c r="S677" s="16">
        <v>-2.0</v>
      </c>
      <c r="T677" s="16"/>
      <c r="U677" s="16" t="s">
        <v>3116</v>
      </c>
      <c r="V677" s="16" t="s">
        <v>3117</v>
      </c>
      <c r="W677" s="16" t="s">
        <v>1907</v>
      </c>
      <c r="X677" s="16" t="s">
        <v>181</v>
      </c>
      <c r="Y677" s="100"/>
      <c r="Z677" s="16" t="s">
        <v>181</v>
      </c>
    </row>
    <row r="678">
      <c r="A678" s="16">
        <v>13168.0</v>
      </c>
      <c r="B678" s="16" t="s">
        <v>3118</v>
      </c>
      <c r="C678" s="16">
        <v>0.0</v>
      </c>
      <c r="D678" s="174" t="s">
        <v>3119</v>
      </c>
      <c r="E678" s="16"/>
      <c r="F678" s="16">
        <v>547.0</v>
      </c>
      <c r="G678" s="16" t="s">
        <v>176</v>
      </c>
      <c r="H678" s="16" t="s">
        <v>13</v>
      </c>
      <c r="I678" s="16" t="s">
        <v>14</v>
      </c>
      <c r="J678" s="16" t="s">
        <v>15</v>
      </c>
      <c r="K678" s="16"/>
      <c r="L678" s="16"/>
      <c r="M678" s="16"/>
      <c r="N678" s="16"/>
      <c r="O678" s="16"/>
      <c r="P678" s="16"/>
      <c r="Q678" s="16"/>
      <c r="R678" s="16"/>
      <c r="S678" s="16">
        <v>-2.0</v>
      </c>
      <c r="T678" s="16"/>
      <c r="U678" s="16" t="s">
        <v>3120</v>
      </c>
      <c r="V678" s="16" t="s">
        <v>3121</v>
      </c>
      <c r="W678" s="16" t="s">
        <v>751</v>
      </c>
      <c r="X678" s="16" t="s">
        <v>181</v>
      </c>
      <c r="Y678" s="100"/>
      <c r="Z678" s="16" t="s">
        <v>181</v>
      </c>
    </row>
    <row r="679">
      <c r="A679" s="16">
        <v>13169.0</v>
      </c>
      <c r="B679" s="16" t="s">
        <v>3122</v>
      </c>
      <c r="C679" s="16">
        <v>3.18</v>
      </c>
      <c r="D679" s="174" t="s">
        <v>3123</v>
      </c>
      <c r="E679" s="16"/>
      <c r="F679" s="16">
        <v>554.0</v>
      </c>
      <c r="G679" s="16" t="s">
        <v>215</v>
      </c>
      <c r="H679" s="16" t="s">
        <v>15</v>
      </c>
      <c r="I679" s="16"/>
      <c r="J679" s="16"/>
      <c r="K679" s="16"/>
      <c r="L679" s="16"/>
      <c r="M679" s="16"/>
      <c r="N679" s="16"/>
      <c r="O679" s="16"/>
      <c r="P679" s="16"/>
      <c r="Q679" s="16"/>
      <c r="R679" s="16"/>
      <c r="S679" s="16">
        <v>-2.0</v>
      </c>
      <c r="T679" s="16"/>
      <c r="U679" s="16" t="s">
        <v>3124</v>
      </c>
      <c r="V679" s="16" t="s">
        <v>3125</v>
      </c>
      <c r="W679" s="16" t="s">
        <v>188</v>
      </c>
      <c r="X679" s="16" t="s">
        <v>181</v>
      </c>
      <c r="Y679" s="100"/>
      <c r="Z679" s="16" t="s">
        <v>181</v>
      </c>
    </row>
    <row r="680">
      <c r="A680" s="16">
        <v>13170.0</v>
      </c>
      <c r="B680" s="16" t="s">
        <v>3126</v>
      </c>
      <c r="C680" s="16">
        <v>0.0</v>
      </c>
      <c r="D680" s="174" t="s">
        <v>3127</v>
      </c>
      <c r="E680" s="16"/>
      <c r="F680" s="16">
        <v>547.0</v>
      </c>
      <c r="G680" s="16" t="s">
        <v>176</v>
      </c>
      <c r="H680" s="16" t="s">
        <v>25</v>
      </c>
      <c r="I680" s="16"/>
      <c r="J680" s="16"/>
      <c r="K680" s="16"/>
      <c r="L680" s="16"/>
      <c r="M680" s="16"/>
      <c r="N680" s="16"/>
      <c r="O680" s="16"/>
      <c r="P680" s="16"/>
      <c r="Q680" s="16"/>
      <c r="R680" s="16"/>
      <c r="S680" s="16">
        <v>-2.0</v>
      </c>
      <c r="T680" s="16"/>
      <c r="U680" s="16" t="s">
        <v>3128</v>
      </c>
      <c r="V680" s="16" t="s">
        <v>3129</v>
      </c>
      <c r="W680" s="16" t="s">
        <v>199</v>
      </c>
      <c r="X680" s="16" t="s">
        <v>181</v>
      </c>
      <c r="Y680" s="100"/>
      <c r="Z680" s="16" t="s">
        <v>181</v>
      </c>
    </row>
    <row r="681">
      <c r="A681" s="16">
        <v>13171.0</v>
      </c>
      <c r="B681" s="16" t="s">
        <v>3130</v>
      </c>
      <c r="C681" s="16">
        <v>0.0</v>
      </c>
      <c r="D681" s="174" t="s">
        <v>3131</v>
      </c>
      <c r="E681" s="16"/>
      <c r="F681" s="16">
        <v>547.0</v>
      </c>
      <c r="G681" s="16" t="s">
        <v>176</v>
      </c>
      <c r="H681" s="16" t="s">
        <v>25</v>
      </c>
      <c r="I681" s="16" t="s">
        <v>26</v>
      </c>
      <c r="J681" s="16"/>
      <c r="K681" s="16"/>
      <c r="L681" s="16"/>
      <c r="M681" s="16"/>
      <c r="N681" s="16"/>
      <c r="O681" s="16"/>
      <c r="P681" s="16"/>
      <c r="Q681" s="16"/>
      <c r="R681" s="16"/>
      <c r="S681" s="16">
        <v>-2.0</v>
      </c>
      <c r="T681" s="16"/>
      <c r="U681" s="16" t="s">
        <v>3132</v>
      </c>
      <c r="V681" s="16" t="s">
        <v>3133</v>
      </c>
      <c r="W681" s="16" t="s">
        <v>566</v>
      </c>
      <c r="X681" s="16" t="s">
        <v>181</v>
      </c>
      <c r="Y681" s="100"/>
      <c r="Z681" s="16" t="s">
        <v>181</v>
      </c>
    </row>
    <row r="682">
      <c r="A682" s="16">
        <v>13172.0</v>
      </c>
      <c r="B682" s="16" t="s">
        <v>3134</v>
      </c>
      <c r="C682" s="16">
        <v>1.61</v>
      </c>
      <c r="D682" s="174" t="s">
        <v>3135</v>
      </c>
      <c r="E682" s="16"/>
      <c r="F682" s="16">
        <v>560.0</v>
      </c>
      <c r="G682" s="16" t="s">
        <v>245</v>
      </c>
      <c r="H682" s="16" t="s">
        <v>13</v>
      </c>
      <c r="I682" s="16"/>
      <c r="J682" s="16"/>
      <c r="K682" s="16"/>
      <c r="L682" s="16"/>
      <c r="M682" s="16"/>
      <c r="N682" s="16"/>
      <c r="O682" s="16"/>
      <c r="P682" s="16"/>
      <c r="Q682" s="16"/>
      <c r="R682" s="16"/>
      <c r="S682" s="16">
        <v>-2.0</v>
      </c>
      <c r="T682" s="16"/>
      <c r="U682" s="16" t="s">
        <v>3136</v>
      </c>
      <c r="V682" s="16" t="s">
        <v>3137</v>
      </c>
      <c r="W682" s="16" t="s">
        <v>231</v>
      </c>
      <c r="X682" s="16" t="s">
        <v>181</v>
      </c>
      <c r="Y682" s="100"/>
      <c r="Z682" s="16" t="s">
        <v>181</v>
      </c>
    </row>
    <row r="683">
      <c r="A683" s="16">
        <v>13173.0</v>
      </c>
      <c r="B683" s="16" t="s">
        <v>3138</v>
      </c>
      <c r="C683" s="16">
        <v>1.91</v>
      </c>
      <c r="D683" s="174" t="s">
        <v>3139</v>
      </c>
      <c r="E683" s="16"/>
      <c r="F683" s="16">
        <v>584.0</v>
      </c>
      <c r="G683" s="16" t="s">
        <v>361</v>
      </c>
      <c r="H683" s="16" t="s">
        <v>25</v>
      </c>
      <c r="I683" s="16" t="s">
        <v>26</v>
      </c>
      <c r="J683" s="16"/>
      <c r="K683" s="16"/>
      <c r="L683" s="16"/>
      <c r="M683" s="16"/>
      <c r="N683" s="16"/>
      <c r="O683" s="16"/>
      <c r="P683" s="16"/>
      <c r="Q683" s="16"/>
      <c r="R683" s="16"/>
      <c r="S683" s="16">
        <v>-2.0</v>
      </c>
      <c r="T683" s="16"/>
      <c r="U683" s="16" t="s">
        <v>3140</v>
      </c>
      <c r="V683" s="16" t="s">
        <v>3141</v>
      </c>
      <c r="W683" s="16" t="s">
        <v>179</v>
      </c>
      <c r="X683" s="16" t="s">
        <v>181</v>
      </c>
      <c r="Y683" s="100"/>
      <c r="Z683" s="16" t="s">
        <v>181</v>
      </c>
    </row>
    <row r="684">
      <c r="A684" s="16">
        <v>13174.0</v>
      </c>
      <c r="B684" s="16" t="s">
        <v>3142</v>
      </c>
      <c r="C684" s="16">
        <v>0.56</v>
      </c>
      <c r="D684" s="174" t="s">
        <v>3143</v>
      </c>
      <c r="E684" s="16"/>
      <c r="F684" s="16">
        <v>551.0</v>
      </c>
      <c r="G684" s="16" t="s">
        <v>200</v>
      </c>
      <c r="H684" s="16" t="s">
        <v>12</v>
      </c>
      <c r="I684" s="16"/>
      <c r="J684" s="16"/>
      <c r="K684" s="16"/>
      <c r="L684" s="16"/>
      <c r="M684" s="16"/>
      <c r="N684" s="16"/>
      <c r="O684" s="16"/>
      <c r="P684" s="16"/>
      <c r="Q684" s="16"/>
      <c r="R684" s="16"/>
      <c r="S684" s="16">
        <v>-2.0</v>
      </c>
      <c r="T684" s="16"/>
      <c r="U684" s="16" t="s">
        <v>3144</v>
      </c>
      <c r="V684" s="16" t="s">
        <v>3145</v>
      </c>
      <c r="W684" s="16" t="s">
        <v>478</v>
      </c>
      <c r="X684" s="16" t="s">
        <v>181</v>
      </c>
      <c r="Y684" s="100"/>
      <c r="Z684" s="16" t="s">
        <v>181</v>
      </c>
    </row>
    <row r="685">
      <c r="A685" s="16">
        <v>13175.0</v>
      </c>
      <c r="B685" s="16" t="s">
        <v>3146</v>
      </c>
      <c r="C685" s="16">
        <v>1.53</v>
      </c>
      <c r="D685" s="174" t="s">
        <v>3147</v>
      </c>
      <c r="E685" s="16"/>
      <c r="F685" s="16">
        <v>583.0</v>
      </c>
      <c r="G685" s="16" t="s">
        <v>1170</v>
      </c>
      <c r="H685" s="16" t="s">
        <v>18</v>
      </c>
      <c r="I685" s="16" t="s">
        <v>15</v>
      </c>
      <c r="J685" s="16" t="s">
        <v>19</v>
      </c>
      <c r="K685" s="16" t="s">
        <v>17</v>
      </c>
      <c r="L685" s="16" t="s">
        <v>13</v>
      </c>
      <c r="M685" s="16"/>
      <c r="N685" s="16"/>
      <c r="O685" s="16"/>
      <c r="P685" s="16"/>
      <c r="Q685" s="16"/>
      <c r="R685" s="16"/>
      <c r="S685" s="16">
        <v>-2.0</v>
      </c>
      <c r="T685" s="16"/>
      <c r="U685" s="16" t="s">
        <v>3148</v>
      </c>
      <c r="V685" s="16" t="s">
        <v>3149</v>
      </c>
      <c r="W685" s="16" t="s">
        <v>443</v>
      </c>
      <c r="X685" s="16" t="s">
        <v>181</v>
      </c>
      <c r="Y685" s="100"/>
      <c r="Z685" s="16" t="s">
        <v>181</v>
      </c>
    </row>
    <row r="686">
      <c r="A686" s="16">
        <v>13176.0</v>
      </c>
      <c r="B686" s="16" t="s">
        <v>3150</v>
      </c>
      <c r="C686" s="16">
        <v>0.29</v>
      </c>
      <c r="D686" s="174" t="s">
        <v>3151</v>
      </c>
      <c r="E686" s="16"/>
      <c r="F686" s="16">
        <v>590.0</v>
      </c>
      <c r="G686" s="16" t="s">
        <v>387</v>
      </c>
      <c r="H686" s="16" t="s">
        <v>24</v>
      </c>
      <c r="I686" s="16"/>
      <c r="J686" s="16"/>
      <c r="K686" s="16"/>
      <c r="L686" s="16"/>
      <c r="M686" s="16"/>
      <c r="N686" s="16"/>
      <c r="O686" s="16"/>
      <c r="P686" s="16"/>
      <c r="Q686" s="16"/>
      <c r="R686" s="16"/>
      <c r="S686" s="16">
        <v>-2.0</v>
      </c>
      <c r="T686" s="16"/>
      <c r="U686" s="16" t="s">
        <v>3152</v>
      </c>
      <c r="V686" s="16" t="s">
        <v>3153</v>
      </c>
      <c r="W686" s="16" t="s">
        <v>443</v>
      </c>
      <c r="X686" s="16" t="s">
        <v>181</v>
      </c>
      <c r="Y686" s="100"/>
      <c r="Z686" s="16" t="s">
        <v>181</v>
      </c>
    </row>
    <row r="687">
      <c r="A687" s="16">
        <v>13177.0</v>
      </c>
      <c r="B687" s="16" t="s">
        <v>3154</v>
      </c>
      <c r="C687" s="16">
        <v>2.44</v>
      </c>
      <c r="D687" s="174" t="s">
        <v>3155</v>
      </c>
      <c r="E687" s="16"/>
      <c r="F687" s="16">
        <v>572.0</v>
      </c>
      <c r="G687" s="16" t="s">
        <v>306</v>
      </c>
      <c r="H687" s="16" t="s">
        <v>19</v>
      </c>
      <c r="I687" s="16" t="s">
        <v>17</v>
      </c>
      <c r="J687" s="16"/>
      <c r="K687" s="16"/>
      <c r="L687" s="16"/>
      <c r="M687" s="16"/>
      <c r="N687" s="16"/>
      <c r="O687" s="16"/>
      <c r="P687" s="16"/>
      <c r="Q687" s="16"/>
      <c r="R687" s="16"/>
      <c r="S687" s="16">
        <v>-2.0</v>
      </c>
      <c r="T687" s="16"/>
      <c r="U687" s="16" t="s">
        <v>3156</v>
      </c>
      <c r="V687" s="16" t="s">
        <v>3157</v>
      </c>
      <c r="W687" s="16" t="s">
        <v>360</v>
      </c>
      <c r="X687" s="16" t="s">
        <v>181</v>
      </c>
      <c r="Y687" s="100"/>
      <c r="Z687" s="16" t="s">
        <v>181</v>
      </c>
    </row>
    <row r="688">
      <c r="A688" s="16">
        <v>13178.0</v>
      </c>
      <c r="B688" s="16" t="s">
        <v>3158</v>
      </c>
      <c r="C688" s="16">
        <v>0.25</v>
      </c>
      <c r="D688" s="174" t="s">
        <v>3159</v>
      </c>
      <c r="E688" s="16"/>
      <c r="F688" s="16">
        <v>547.0</v>
      </c>
      <c r="G688" s="16" t="s">
        <v>176</v>
      </c>
      <c r="H688" s="16" t="s">
        <v>24</v>
      </c>
      <c r="I688" s="16" t="s">
        <v>25</v>
      </c>
      <c r="J688" s="16"/>
      <c r="K688" s="16"/>
      <c r="L688" s="16"/>
      <c r="M688" s="16"/>
      <c r="N688" s="16"/>
      <c r="O688" s="16"/>
      <c r="P688" s="16"/>
      <c r="Q688" s="16"/>
      <c r="R688" s="16"/>
      <c r="S688" s="16">
        <v>-2.0</v>
      </c>
      <c r="T688" s="16"/>
      <c r="U688" s="16" t="s">
        <v>3160</v>
      </c>
      <c r="V688" s="16" t="s">
        <v>3161</v>
      </c>
      <c r="W688" s="16" t="s">
        <v>179</v>
      </c>
      <c r="X688" s="16" t="s">
        <v>181</v>
      </c>
      <c r="Y688" s="100"/>
      <c r="Z688" s="16" t="s">
        <v>181</v>
      </c>
    </row>
    <row r="689">
      <c r="A689" s="16">
        <v>13179.0</v>
      </c>
      <c r="B689" s="16" t="s">
        <v>3162</v>
      </c>
      <c r="C689" s="16">
        <v>0.75</v>
      </c>
      <c r="D689" s="174" t="s">
        <v>3163</v>
      </c>
      <c r="E689" s="16"/>
      <c r="F689" s="16">
        <v>563.0</v>
      </c>
      <c r="G689" s="16" t="s">
        <v>260</v>
      </c>
      <c r="H689" s="16" t="s">
        <v>17</v>
      </c>
      <c r="I689" s="16" t="s">
        <v>18</v>
      </c>
      <c r="J689" s="16" t="s">
        <v>14</v>
      </c>
      <c r="K689" s="16" t="s">
        <v>13</v>
      </c>
      <c r="L689" s="16" t="s">
        <v>19</v>
      </c>
      <c r="M689" s="16" t="s">
        <v>15</v>
      </c>
      <c r="N689" s="16" t="s">
        <v>16</v>
      </c>
      <c r="O689" s="16"/>
      <c r="P689" s="16"/>
      <c r="Q689" s="16"/>
      <c r="R689" s="16"/>
      <c r="S689" s="16">
        <v>-2.0</v>
      </c>
      <c r="T689" s="16"/>
      <c r="U689" s="16" t="s">
        <v>3164</v>
      </c>
      <c r="V689" s="16" t="s">
        <v>3165</v>
      </c>
      <c r="W689" s="16" t="s">
        <v>443</v>
      </c>
      <c r="X689" s="16" t="s">
        <v>181</v>
      </c>
      <c r="Y689" s="100"/>
      <c r="Z689" s="16" t="s">
        <v>181</v>
      </c>
    </row>
    <row r="690">
      <c r="A690" s="16">
        <v>13180.0</v>
      </c>
      <c r="B690" s="16" t="s">
        <v>3166</v>
      </c>
      <c r="C690" s="16">
        <v>1.81</v>
      </c>
      <c r="D690" s="174" t="s">
        <v>3167</v>
      </c>
      <c r="E690" s="16"/>
      <c r="F690" s="16">
        <v>560.0</v>
      </c>
      <c r="G690" s="16" t="s">
        <v>245</v>
      </c>
      <c r="H690" s="16" t="s">
        <v>24</v>
      </c>
      <c r="I690" s="16"/>
      <c r="J690" s="16"/>
      <c r="K690" s="16"/>
      <c r="L690" s="16"/>
      <c r="M690" s="16"/>
      <c r="N690" s="16"/>
      <c r="O690" s="16"/>
      <c r="P690" s="16"/>
      <c r="Q690" s="16"/>
      <c r="R690" s="16"/>
      <c r="S690" s="16">
        <v>-2.0</v>
      </c>
      <c r="T690" s="16"/>
      <c r="U690" s="16" t="s">
        <v>3168</v>
      </c>
      <c r="V690" s="16" t="s">
        <v>3169</v>
      </c>
      <c r="W690" s="16" t="s">
        <v>188</v>
      </c>
      <c r="X690" s="16" t="s">
        <v>181</v>
      </c>
      <c r="Y690" s="100"/>
      <c r="Z690" s="16" t="s">
        <v>181</v>
      </c>
    </row>
    <row r="691">
      <c r="A691" s="16">
        <v>13181.0</v>
      </c>
      <c r="B691" s="16" t="s">
        <v>3170</v>
      </c>
      <c r="C691" s="16">
        <v>0.73</v>
      </c>
      <c r="D691" s="174" t="s">
        <v>3171</v>
      </c>
      <c r="E691" s="16"/>
      <c r="F691" s="16">
        <v>547.0</v>
      </c>
      <c r="G691" s="16" t="s">
        <v>176</v>
      </c>
      <c r="H691" s="16" t="s">
        <v>19</v>
      </c>
      <c r="I691" s="16"/>
      <c r="J691" s="16"/>
      <c r="K691" s="16"/>
      <c r="L691" s="16"/>
      <c r="M691" s="16"/>
      <c r="N691" s="16"/>
      <c r="O691" s="16"/>
      <c r="P691" s="16"/>
      <c r="Q691" s="16"/>
      <c r="R691" s="16"/>
      <c r="S691" s="16">
        <v>-2.0</v>
      </c>
      <c r="T691" s="16"/>
      <c r="U691" s="16" t="s">
        <v>3172</v>
      </c>
      <c r="V691" s="16" t="s">
        <v>3173</v>
      </c>
      <c r="W691" s="16" t="s">
        <v>616</v>
      </c>
      <c r="X691" s="16" t="s">
        <v>181</v>
      </c>
      <c r="Y691" s="100"/>
      <c r="Z691" s="16" t="s">
        <v>181</v>
      </c>
    </row>
    <row r="692">
      <c r="A692" s="16">
        <v>13182.0</v>
      </c>
      <c r="B692" s="16" t="s">
        <v>3174</v>
      </c>
      <c r="C692" s="16">
        <v>0.0</v>
      </c>
      <c r="D692" s="174" t="s">
        <v>3175</v>
      </c>
      <c r="E692" s="16"/>
      <c r="F692" s="16">
        <v>547.0</v>
      </c>
      <c r="G692" s="16" t="s">
        <v>176</v>
      </c>
      <c r="H692" s="16" t="s">
        <v>24</v>
      </c>
      <c r="I692" s="16"/>
      <c r="J692" s="16"/>
      <c r="K692" s="16"/>
      <c r="L692" s="16"/>
      <c r="M692" s="16"/>
      <c r="N692" s="16"/>
      <c r="O692" s="16"/>
      <c r="P692" s="16"/>
      <c r="Q692" s="16"/>
      <c r="R692" s="16"/>
      <c r="S692" s="16">
        <v>-2.0</v>
      </c>
      <c r="T692" s="16"/>
      <c r="U692" s="16" t="s">
        <v>3176</v>
      </c>
      <c r="V692" s="16" t="s">
        <v>3177</v>
      </c>
      <c r="W692" s="16" t="s">
        <v>478</v>
      </c>
      <c r="X692" s="16" t="s">
        <v>181</v>
      </c>
      <c r="Y692" s="100"/>
      <c r="Z692" s="16" t="s">
        <v>181</v>
      </c>
    </row>
    <row r="693">
      <c r="A693" s="16">
        <v>13183.0</v>
      </c>
      <c r="B693" s="16" t="s">
        <v>3178</v>
      </c>
      <c r="C693" s="16">
        <v>2.97</v>
      </c>
      <c r="D693" s="174" t="s">
        <v>3179</v>
      </c>
      <c r="E693" s="16"/>
      <c r="F693" s="16">
        <v>556.0</v>
      </c>
      <c r="G693" s="16" t="s">
        <v>1317</v>
      </c>
      <c r="H693" s="16" t="s">
        <v>15</v>
      </c>
      <c r="I693" s="16"/>
      <c r="J693" s="16"/>
      <c r="K693" s="16"/>
      <c r="L693" s="16"/>
      <c r="M693" s="16"/>
      <c r="N693" s="16"/>
      <c r="O693" s="16"/>
      <c r="P693" s="16"/>
      <c r="Q693" s="16"/>
      <c r="R693" s="16"/>
      <c r="S693" s="16">
        <v>-2.0</v>
      </c>
      <c r="T693" s="16"/>
      <c r="U693" s="16" t="s">
        <v>3180</v>
      </c>
      <c r="V693" s="16" t="s">
        <v>3181</v>
      </c>
      <c r="W693" s="16" t="s">
        <v>942</v>
      </c>
      <c r="X693" s="16" t="s">
        <v>181</v>
      </c>
      <c r="Y693" s="100"/>
      <c r="Z693" s="16" t="s">
        <v>181</v>
      </c>
    </row>
    <row r="694">
      <c r="A694" s="16">
        <v>13184.0</v>
      </c>
      <c r="B694" s="16" t="s">
        <v>3182</v>
      </c>
      <c r="C694" s="16">
        <v>0.4</v>
      </c>
      <c r="D694" s="174" t="s">
        <v>3183</v>
      </c>
      <c r="E694" s="16"/>
      <c r="F694" s="16">
        <v>547.0</v>
      </c>
      <c r="G694" s="16" t="s">
        <v>176</v>
      </c>
      <c r="H694" s="16" t="s">
        <v>24</v>
      </c>
      <c r="I694" s="16"/>
      <c r="J694" s="16"/>
      <c r="K694" s="16"/>
      <c r="L694" s="16"/>
      <c r="M694" s="16"/>
      <c r="N694" s="16"/>
      <c r="O694" s="16"/>
      <c r="P694" s="16"/>
      <c r="Q694" s="16"/>
      <c r="R694" s="16"/>
      <c r="S694" s="16">
        <v>-2.0</v>
      </c>
      <c r="T694" s="16"/>
      <c r="U694" s="16" t="s">
        <v>3184</v>
      </c>
      <c r="V694" s="16" t="s">
        <v>3185</v>
      </c>
      <c r="W694" s="16" t="s">
        <v>496</v>
      </c>
      <c r="X694" s="16" t="s">
        <v>181</v>
      </c>
      <c r="Y694" s="100"/>
      <c r="Z694" s="16" t="s">
        <v>181</v>
      </c>
    </row>
    <row r="695">
      <c r="A695" s="16">
        <v>13185.0</v>
      </c>
      <c r="B695" s="16" t="s">
        <v>3186</v>
      </c>
      <c r="C695" s="16">
        <v>0.31</v>
      </c>
      <c r="D695" s="174" t="s">
        <v>3187</v>
      </c>
      <c r="E695" s="16"/>
      <c r="F695" s="16">
        <v>547.0</v>
      </c>
      <c r="G695" s="16" t="s">
        <v>176</v>
      </c>
      <c r="H695" s="16" t="s">
        <v>16</v>
      </c>
      <c r="I695" s="16" t="s">
        <v>15</v>
      </c>
      <c r="J695" s="16" t="s">
        <v>14</v>
      </c>
      <c r="K695" s="16" t="s">
        <v>17</v>
      </c>
      <c r="L695" s="16" t="s">
        <v>18</v>
      </c>
      <c r="M695" s="16"/>
      <c r="N695" s="16"/>
      <c r="O695" s="16"/>
      <c r="P695" s="16"/>
      <c r="Q695" s="16"/>
      <c r="R695" s="16"/>
      <c r="S695" s="16">
        <v>-2.0</v>
      </c>
      <c r="T695" s="16"/>
      <c r="U695" s="16" t="s">
        <v>3188</v>
      </c>
      <c r="V695" s="16" t="s">
        <v>3189</v>
      </c>
      <c r="W695" s="16" t="s">
        <v>491</v>
      </c>
      <c r="X695" s="16" t="s">
        <v>181</v>
      </c>
      <c r="Y695" s="100"/>
      <c r="Z695" s="16" t="s">
        <v>181</v>
      </c>
    </row>
    <row r="696">
      <c r="A696" s="16">
        <v>13186.0</v>
      </c>
      <c r="B696" s="16" t="s">
        <v>3190</v>
      </c>
      <c r="C696" s="16">
        <v>0.61</v>
      </c>
      <c r="D696" s="174" t="s">
        <v>3191</v>
      </c>
      <c r="E696" s="16"/>
      <c r="F696" s="16">
        <v>547.0</v>
      </c>
      <c r="G696" s="16" t="s">
        <v>176</v>
      </c>
      <c r="H696" s="16" t="s">
        <v>24</v>
      </c>
      <c r="I696" s="16"/>
      <c r="J696" s="16"/>
      <c r="K696" s="16"/>
      <c r="L696" s="16"/>
      <c r="M696" s="16"/>
      <c r="N696" s="16"/>
      <c r="O696" s="16"/>
      <c r="P696" s="16"/>
      <c r="Q696" s="16"/>
      <c r="R696" s="16"/>
      <c r="S696" s="16">
        <v>-2.0</v>
      </c>
      <c r="T696" s="16"/>
      <c r="U696" s="16" t="s">
        <v>3192</v>
      </c>
      <c r="V696" s="16" t="s">
        <v>3193</v>
      </c>
      <c r="W696" s="16" t="s">
        <v>942</v>
      </c>
      <c r="X696" s="16" t="s">
        <v>181</v>
      </c>
      <c r="Y696" s="100"/>
      <c r="Z696" s="16" t="s">
        <v>181</v>
      </c>
    </row>
    <row r="697">
      <c r="A697" s="16">
        <v>13187.0</v>
      </c>
      <c r="B697" s="16" t="s">
        <v>3194</v>
      </c>
      <c r="C697" s="16">
        <v>0.52</v>
      </c>
      <c r="D697" s="174" t="s">
        <v>3195</v>
      </c>
      <c r="E697" s="16"/>
      <c r="F697" s="16">
        <v>547.0</v>
      </c>
      <c r="G697" s="16" t="s">
        <v>176</v>
      </c>
      <c r="H697" s="16" t="s">
        <v>18</v>
      </c>
      <c r="I697" s="16" t="s">
        <v>17</v>
      </c>
      <c r="J697" s="16"/>
      <c r="K697" s="16"/>
      <c r="L697" s="16"/>
      <c r="M697" s="16"/>
      <c r="N697" s="16"/>
      <c r="O697" s="16"/>
      <c r="P697" s="16"/>
      <c r="Q697" s="16"/>
      <c r="R697" s="16"/>
      <c r="S697" s="16">
        <v>-2.0</v>
      </c>
      <c r="T697" s="16"/>
      <c r="U697" s="16" t="s">
        <v>3196</v>
      </c>
      <c r="V697" s="16" t="s">
        <v>3197</v>
      </c>
      <c r="W697" s="16" t="s">
        <v>179</v>
      </c>
      <c r="X697" s="16" t="s">
        <v>181</v>
      </c>
      <c r="Y697" s="100"/>
      <c r="Z697" s="16" t="s">
        <v>181</v>
      </c>
    </row>
    <row r="698">
      <c r="A698" s="16">
        <v>13188.0</v>
      </c>
      <c r="B698" s="16" t="s">
        <v>3198</v>
      </c>
      <c r="C698" s="16">
        <v>1.43</v>
      </c>
      <c r="D698" s="174" t="s">
        <v>3199</v>
      </c>
      <c r="E698" s="16"/>
      <c r="F698" s="16">
        <v>572.0</v>
      </c>
      <c r="G698" s="16" t="s">
        <v>306</v>
      </c>
      <c r="H698" s="16" t="s">
        <v>13</v>
      </c>
      <c r="I698" s="16" t="s">
        <v>14</v>
      </c>
      <c r="J698" s="16" t="s">
        <v>15</v>
      </c>
      <c r="K698" s="16"/>
      <c r="L698" s="16"/>
      <c r="M698" s="16"/>
      <c r="N698" s="16"/>
      <c r="O698" s="16"/>
      <c r="P698" s="16"/>
      <c r="Q698" s="16"/>
      <c r="R698" s="16"/>
      <c r="S698" s="16">
        <v>-2.0</v>
      </c>
      <c r="T698" s="16"/>
      <c r="U698" s="16" t="s">
        <v>3200</v>
      </c>
      <c r="V698" s="16" t="s">
        <v>3201</v>
      </c>
      <c r="W698" s="16" t="s">
        <v>188</v>
      </c>
      <c r="X698" s="16" t="s">
        <v>181</v>
      </c>
      <c r="Y698" s="100"/>
      <c r="Z698" s="16" t="s">
        <v>181</v>
      </c>
    </row>
    <row r="699">
      <c r="A699" s="16">
        <v>13189.0</v>
      </c>
      <c r="B699" s="16" t="s">
        <v>3202</v>
      </c>
      <c r="C699" s="16">
        <v>0.77</v>
      </c>
      <c r="D699" s="174" t="s">
        <v>3203</v>
      </c>
      <c r="E699" s="16"/>
      <c r="F699" s="16">
        <v>547.0</v>
      </c>
      <c r="G699" s="16" t="s">
        <v>176</v>
      </c>
      <c r="H699" s="16" t="s">
        <v>17</v>
      </c>
      <c r="I699" s="16"/>
      <c r="J699" s="16"/>
      <c r="K699" s="16"/>
      <c r="L699" s="16"/>
      <c r="M699" s="16"/>
      <c r="N699" s="16"/>
      <c r="O699" s="16"/>
      <c r="P699" s="16"/>
      <c r="Q699" s="16"/>
      <c r="R699" s="16"/>
      <c r="S699" s="16">
        <v>-2.0</v>
      </c>
      <c r="T699" s="16"/>
      <c r="U699" s="16" t="s">
        <v>3204</v>
      </c>
      <c r="V699" s="16" t="s">
        <v>3205</v>
      </c>
      <c r="W699" s="16" t="s">
        <v>675</v>
      </c>
      <c r="X699" s="16" t="s">
        <v>181</v>
      </c>
      <c r="Y699" s="100"/>
      <c r="Z699" s="16" t="s">
        <v>181</v>
      </c>
    </row>
    <row r="700">
      <c r="A700" s="16">
        <v>13190.0</v>
      </c>
      <c r="B700" s="16" t="s">
        <v>3206</v>
      </c>
      <c r="C700" s="16">
        <v>0.0</v>
      </c>
      <c r="D700" s="174" t="s">
        <v>3207</v>
      </c>
      <c r="E700" s="16"/>
      <c r="F700" s="16">
        <v>551.0</v>
      </c>
      <c r="G700" s="16" t="s">
        <v>200</v>
      </c>
      <c r="H700" s="16" t="s">
        <v>24</v>
      </c>
      <c r="I700" s="16" t="s">
        <v>25</v>
      </c>
      <c r="J700" s="16"/>
      <c r="K700" s="16"/>
      <c r="L700" s="16"/>
      <c r="M700" s="16"/>
      <c r="N700" s="16"/>
      <c r="O700" s="16"/>
      <c r="P700" s="16"/>
      <c r="Q700" s="16"/>
      <c r="R700" s="16" t="s">
        <v>516</v>
      </c>
      <c r="S700" s="16">
        <v>-2.0</v>
      </c>
      <c r="T700" s="16"/>
      <c r="U700" s="16" t="s">
        <v>3208</v>
      </c>
      <c r="V700" s="16" t="s">
        <v>3209</v>
      </c>
      <c r="W700" s="16" t="s">
        <v>634</v>
      </c>
      <c r="X700" s="16" t="s">
        <v>181</v>
      </c>
      <c r="Y700" s="100"/>
      <c r="Z700" s="16" t="s">
        <v>181</v>
      </c>
    </row>
    <row r="701">
      <c r="A701" s="16">
        <v>13191.0</v>
      </c>
      <c r="B701" s="16" t="s">
        <v>3210</v>
      </c>
      <c r="C701" s="16">
        <v>1.97</v>
      </c>
      <c r="D701" s="174" t="s">
        <v>3211</v>
      </c>
      <c r="E701" s="16"/>
      <c r="F701" s="16">
        <v>579.0</v>
      </c>
      <c r="G701" s="16" t="s">
        <v>465</v>
      </c>
      <c r="H701" s="16" t="s">
        <v>18</v>
      </c>
      <c r="I701" s="16"/>
      <c r="J701" s="16"/>
      <c r="K701" s="16"/>
      <c r="L701" s="16"/>
      <c r="M701" s="16"/>
      <c r="N701" s="16"/>
      <c r="O701" s="16"/>
      <c r="P701" s="16"/>
      <c r="Q701" s="16"/>
      <c r="R701" s="16" t="s">
        <v>927</v>
      </c>
      <c r="S701" s="16">
        <v>-2.0</v>
      </c>
      <c r="T701" s="16"/>
      <c r="U701" s="16" t="s">
        <v>3212</v>
      </c>
      <c r="V701" s="16" t="s">
        <v>3213</v>
      </c>
      <c r="W701" s="16" t="s">
        <v>661</v>
      </c>
      <c r="X701" s="16" t="s">
        <v>181</v>
      </c>
      <c r="Y701" s="100"/>
      <c r="Z701" s="16" t="s">
        <v>181</v>
      </c>
    </row>
    <row r="702">
      <c r="A702" s="16">
        <v>13192.0</v>
      </c>
      <c r="B702" s="16" t="s">
        <v>3214</v>
      </c>
      <c r="C702" s="16">
        <v>1.1</v>
      </c>
      <c r="D702" s="174" t="s">
        <v>3215</v>
      </c>
      <c r="E702" s="16"/>
      <c r="F702" s="16">
        <v>547.0</v>
      </c>
      <c r="G702" s="16" t="s">
        <v>176</v>
      </c>
      <c r="H702" s="16" t="s">
        <v>25</v>
      </c>
      <c r="I702" s="16"/>
      <c r="J702" s="16"/>
      <c r="K702" s="16"/>
      <c r="L702" s="16"/>
      <c r="M702" s="16"/>
      <c r="N702" s="16"/>
      <c r="O702" s="16"/>
      <c r="P702" s="16"/>
      <c r="Q702" s="16"/>
      <c r="R702" s="16"/>
      <c r="S702" s="16">
        <v>-2.0</v>
      </c>
      <c r="T702" s="16"/>
      <c r="U702" s="16" t="s">
        <v>3216</v>
      </c>
      <c r="V702" s="16" t="s">
        <v>3217</v>
      </c>
      <c r="W702" s="16" t="s">
        <v>199</v>
      </c>
      <c r="X702" s="16" t="s">
        <v>181</v>
      </c>
      <c r="Y702" s="100"/>
      <c r="Z702" s="16" t="s">
        <v>181</v>
      </c>
    </row>
    <row r="703">
      <c r="A703" s="16">
        <v>13193.0</v>
      </c>
      <c r="B703" s="16" t="s">
        <v>3218</v>
      </c>
      <c r="C703" s="16">
        <v>1.81</v>
      </c>
      <c r="D703" s="174" t="s">
        <v>3219</v>
      </c>
      <c r="E703" s="16"/>
      <c r="F703" s="16">
        <v>575.0</v>
      </c>
      <c r="G703" s="16" t="s">
        <v>212</v>
      </c>
      <c r="H703" s="16" t="s">
        <v>24</v>
      </c>
      <c r="I703" s="16"/>
      <c r="J703" s="16"/>
      <c r="K703" s="16"/>
      <c r="L703" s="16"/>
      <c r="M703" s="16"/>
      <c r="N703" s="16"/>
      <c r="O703" s="16"/>
      <c r="P703" s="16"/>
      <c r="Q703" s="16"/>
      <c r="R703" s="16"/>
      <c r="S703" s="16">
        <v>-2.0</v>
      </c>
      <c r="T703" s="16"/>
      <c r="U703" s="16" t="s">
        <v>3220</v>
      </c>
      <c r="V703" s="16" t="s">
        <v>3221</v>
      </c>
      <c r="W703" s="16" t="s">
        <v>188</v>
      </c>
      <c r="X703" s="16" t="s">
        <v>181</v>
      </c>
      <c r="Y703" s="100"/>
      <c r="Z703" s="16" t="s">
        <v>181</v>
      </c>
    </row>
    <row r="704">
      <c r="A704" s="16">
        <v>13194.0</v>
      </c>
      <c r="B704" s="16" t="s">
        <v>3222</v>
      </c>
      <c r="C704" s="16">
        <v>0.92</v>
      </c>
      <c r="D704" s="174" t="s">
        <v>3223</v>
      </c>
      <c r="E704" s="16"/>
      <c r="F704" s="16">
        <v>587.0</v>
      </c>
      <c r="G704" s="16" t="s">
        <v>289</v>
      </c>
      <c r="H704" s="16" t="s">
        <v>25</v>
      </c>
      <c r="I704" s="16" t="s">
        <v>26</v>
      </c>
      <c r="J704" s="16"/>
      <c r="K704" s="16"/>
      <c r="L704" s="16"/>
      <c r="M704" s="16"/>
      <c r="N704" s="16"/>
      <c r="O704" s="16"/>
      <c r="P704" s="16"/>
      <c r="Q704" s="16"/>
      <c r="R704" s="16"/>
      <c r="S704" s="16">
        <v>-2.0</v>
      </c>
      <c r="T704" s="16"/>
      <c r="U704" s="16" t="s">
        <v>3224</v>
      </c>
      <c r="V704" s="16" t="s">
        <v>3225</v>
      </c>
      <c r="W704" s="16" t="s">
        <v>491</v>
      </c>
      <c r="X704" s="16" t="s">
        <v>181</v>
      </c>
      <c r="Y704" s="100"/>
      <c r="Z704" s="16" t="s">
        <v>181</v>
      </c>
    </row>
    <row r="705">
      <c r="A705" s="16">
        <v>13195.0</v>
      </c>
      <c r="B705" s="16" t="s">
        <v>3226</v>
      </c>
      <c r="C705" s="16">
        <v>1.5</v>
      </c>
      <c r="D705" s="174" t="s">
        <v>3227</v>
      </c>
      <c r="E705" s="16"/>
      <c r="F705" s="16">
        <v>566.0</v>
      </c>
      <c r="G705" s="16" t="s">
        <v>277</v>
      </c>
      <c r="H705" s="16" t="s">
        <v>24</v>
      </c>
      <c r="I705" s="16" t="s">
        <v>25</v>
      </c>
      <c r="J705" s="16"/>
      <c r="K705" s="16"/>
      <c r="L705" s="16"/>
      <c r="M705" s="16"/>
      <c r="N705" s="16"/>
      <c r="O705" s="16"/>
      <c r="P705" s="16"/>
      <c r="Q705" s="16"/>
      <c r="R705" s="16"/>
      <c r="S705" s="16">
        <v>-2.0</v>
      </c>
      <c r="T705" s="16"/>
      <c r="U705" s="16" t="s">
        <v>3228</v>
      </c>
      <c r="V705" s="16" t="s">
        <v>3229</v>
      </c>
      <c r="W705" s="16" t="s">
        <v>1412</v>
      </c>
      <c r="X705" s="16" t="s">
        <v>181</v>
      </c>
      <c r="Y705" s="100"/>
      <c r="Z705" s="16" t="s">
        <v>181</v>
      </c>
    </row>
    <row r="706">
      <c r="A706" s="16">
        <v>13196.0</v>
      </c>
      <c r="B706" s="16" t="s">
        <v>3230</v>
      </c>
      <c r="C706" s="16">
        <v>1.3</v>
      </c>
      <c r="D706" s="174" t="s">
        <v>3231</v>
      </c>
      <c r="E706" s="16"/>
      <c r="F706" s="16">
        <v>580.0</v>
      </c>
      <c r="G706" s="16" t="s">
        <v>3232</v>
      </c>
      <c r="H706" s="16" t="s">
        <v>14</v>
      </c>
      <c r="I706" s="16"/>
      <c r="J706" s="16"/>
      <c r="K706" s="16"/>
      <c r="L706" s="16"/>
      <c r="M706" s="16"/>
      <c r="N706" s="16"/>
      <c r="O706" s="16"/>
      <c r="P706" s="16"/>
      <c r="Q706" s="16"/>
      <c r="R706" s="16"/>
      <c r="S706" s="16">
        <v>-2.0</v>
      </c>
      <c r="T706" s="16"/>
      <c r="U706" s="16" t="s">
        <v>3233</v>
      </c>
      <c r="V706" s="16" t="s">
        <v>3234</v>
      </c>
      <c r="W706" s="16" t="s">
        <v>616</v>
      </c>
      <c r="X706" s="16" t="s">
        <v>181</v>
      </c>
      <c r="Y706" s="100"/>
      <c r="Z706" s="16" t="s">
        <v>181</v>
      </c>
    </row>
    <row r="707">
      <c r="A707" s="16">
        <v>13197.0</v>
      </c>
      <c r="B707" s="16" t="s">
        <v>3235</v>
      </c>
      <c r="C707" s="16">
        <v>0.0</v>
      </c>
      <c r="D707" s="174" t="s">
        <v>3236</v>
      </c>
      <c r="E707" s="16"/>
      <c r="F707" s="16">
        <v>547.0</v>
      </c>
      <c r="G707" s="16" t="s">
        <v>176</v>
      </c>
      <c r="H707" s="16" t="s">
        <v>25</v>
      </c>
      <c r="I707" s="16"/>
      <c r="J707" s="16"/>
      <c r="K707" s="16"/>
      <c r="L707" s="16"/>
      <c r="M707" s="16"/>
      <c r="N707" s="16"/>
      <c r="O707" s="16"/>
      <c r="P707" s="16"/>
      <c r="Q707" s="16"/>
      <c r="R707" s="16"/>
      <c r="S707" s="16">
        <v>-2.0</v>
      </c>
      <c r="T707" s="16"/>
      <c r="U707" s="16" t="s">
        <v>3237</v>
      </c>
      <c r="V707" s="16" t="s">
        <v>3238</v>
      </c>
      <c r="W707" s="16" t="s">
        <v>199</v>
      </c>
      <c r="X707" s="16" t="s">
        <v>181</v>
      </c>
      <c r="Y707" s="100"/>
      <c r="Z707" s="16" t="s">
        <v>181</v>
      </c>
    </row>
    <row r="708">
      <c r="A708" s="16">
        <v>13198.0</v>
      </c>
      <c r="B708" s="16" t="s">
        <v>3239</v>
      </c>
      <c r="C708" s="16">
        <v>0.61</v>
      </c>
      <c r="D708" s="174" t="s">
        <v>3240</v>
      </c>
      <c r="E708" s="16"/>
      <c r="F708" s="16">
        <v>560.0</v>
      </c>
      <c r="G708" s="16" t="s">
        <v>245</v>
      </c>
      <c r="H708" s="16" t="s">
        <v>18</v>
      </c>
      <c r="I708" s="16" t="s">
        <v>17</v>
      </c>
      <c r="J708" s="16" t="s">
        <v>19</v>
      </c>
      <c r="K708" s="16"/>
      <c r="L708" s="16"/>
      <c r="M708" s="16"/>
      <c r="N708" s="16"/>
      <c r="O708" s="16"/>
      <c r="P708" s="16"/>
      <c r="Q708" s="16"/>
      <c r="R708" s="16"/>
      <c r="S708" s="16">
        <v>-2.0</v>
      </c>
      <c r="T708" s="16"/>
      <c r="U708" s="16" t="s">
        <v>3241</v>
      </c>
      <c r="V708" s="16" t="s">
        <v>3242</v>
      </c>
      <c r="W708" s="16" t="s">
        <v>675</v>
      </c>
      <c r="X708" s="16" t="s">
        <v>181</v>
      </c>
      <c r="Y708" s="100"/>
      <c r="Z708" s="16" t="s">
        <v>181</v>
      </c>
    </row>
    <row r="709">
      <c r="A709" s="16">
        <v>13199.0</v>
      </c>
      <c r="B709" s="16" t="s">
        <v>3243</v>
      </c>
      <c r="C709" s="16">
        <v>0.34</v>
      </c>
      <c r="D709" s="174" t="s">
        <v>3244</v>
      </c>
      <c r="E709" s="16"/>
      <c r="F709" s="16">
        <v>547.0</v>
      </c>
      <c r="G709" s="16" t="s">
        <v>176</v>
      </c>
      <c r="H709" s="16" t="s">
        <v>24</v>
      </c>
      <c r="I709" s="16" t="s">
        <v>25</v>
      </c>
      <c r="J709" s="16"/>
      <c r="K709" s="16"/>
      <c r="L709" s="16"/>
      <c r="M709" s="16"/>
      <c r="N709" s="16"/>
      <c r="O709" s="16"/>
      <c r="P709" s="16"/>
      <c r="Q709" s="16"/>
      <c r="R709" s="16"/>
      <c r="S709" s="16">
        <v>-2.0</v>
      </c>
      <c r="T709" s="16"/>
      <c r="U709" s="16" t="s">
        <v>3245</v>
      </c>
      <c r="V709" s="16" t="s">
        <v>3246</v>
      </c>
      <c r="W709" s="16" t="s">
        <v>634</v>
      </c>
      <c r="X709" s="16" t="s">
        <v>181</v>
      </c>
      <c r="Y709" s="100"/>
      <c r="Z709" s="16" t="s">
        <v>181</v>
      </c>
    </row>
    <row r="710">
      <c r="A710" s="16">
        <v>13200.0</v>
      </c>
      <c r="B710" s="16" t="s">
        <v>3247</v>
      </c>
      <c r="C710" s="16">
        <v>0.0</v>
      </c>
      <c r="D710" s="174" t="s">
        <v>3248</v>
      </c>
      <c r="E710" s="16"/>
      <c r="F710" s="16">
        <v>547.0</v>
      </c>
      <c r="G710" s="16" t="s">
        <v>176</v>
      </c>
      <c r="H710" s="16" t="s">
        <v>14</v>
      </c>
      <c r="I710" s="16" t="s">
        <v>15</v>
      </c>
      <c r="J710" s="16"/>
      <c r="K710" s="16"/>
      <c r="L710" s="16"/>
      <c r="M710" s="16"/>
      <c r="N710" s="16"/>
      <c r="O710" s="16"/>
      <c r="P710" s="16"/>
      <c r="Q710" s="16"/>
      <c r="R710" s="16"/>
      <c r="S710" s="16">
        <v>-2.0</v>
      </c>
      <c r="T710" s="16"/>
      <c r="U710" s="16" t="s">
        <v>3249</v>
      </c>
      <c r="V710" s="16" t="s">
        <v>3250</v>
      </c>
      <c r="W710" s="16" t="s">
        <v>591</v>
      </c>
      <c r="X710" s="16" t="s">
        <v>181</v>
      </c>
      <c r="Y710" s="100"/>
      <c r="Z710" s="16" t="s">
        <v>181</v>
      </c>
    </row>
    <row r="711">
      <c r="A711" s="16">
        <v>13201.0</v>
      </c>
      <c r="B711" s="16" t="s">
        <v>3251</v>
      </c>
      <c r="C711" s="16">
        <v>0.83</v>
      </c>
      <c r="D711" s="174" t="s">
        <v>3252</v>
      </c>
      <c r="E711" s="16"/>
      <c r="F711" s="16">
        <v>547.0</v>
      </c>
      <c r="G711" s="16" t="s">
        <v>176</v>
      </c>
      <c r="H711" s="16" t="s">
        <v>13</v>
      </c>
      <c r="I711" s="16" t="s">
        <v>19</v>
      </c>
      <c r="J711" s="16"/>
      <c r="K711" s="16"/>
      <c r="L711" s="16"/>
      <c r="M711" s="16"/>
      <c r="N711" s="16"/>
      <c r="O711" s="16"/>
      <c r="P711" s="16"/>
      <c r="Q711" s="16"/>
      <c r="R711" s="16"/>
      <c r="S711" s="16">
        <v>-2.0</v>
      </c>
      <c r="T711" s="16"/>
      <c r="U711" s="16" t="s">
        <v>3253</v>
      </c>
      <c r="V711" s="16" t="s">
        <v>3254</v>
      </c>
      <c r="W711" s="16" t="s">
        <v>491</v>
      </c>
      <c r="X711" s="16" t="s">
        <v>181</v>
      </c>
      <c r="Y711" s="100"/>
      <c r="Z711" s="16" t="s">
        <v>181</v>
      </c>
    </row>
    <row r="712">
      <c r="A712" s="16">
        <v>13202.0</v>
      </c>
      <c r="B712" s="16" t="s">
        <v>3255</v>
      </c>
      <c r="C712" s="16">
        <v>0.0</v>
      </c>
      <c r="D712" s="174" t="s">
        <v>3256</v>
      </c>
      <c r="E712" s="16"/>
      <c r="F712" s="16">
        <v>566.0</v>
      </c>
      <c r="G712" s="16" t="s">
        <v>277</v>
      </c>
      <c r="H712" s="16" t="s">
        <v>25</v>
      </c>
      <c r="I712" s="16" t="s">
        <v>26</v>
      </c>
      <c r="J712" s="16"/>
      <c r="K712" s="16"/>
      <c r="L712" s="16"/>
      <c r="M712" s="16"/>
      <c r="N712" s="16"/>
      <c r="O712" s="16"/>
      <c r="P712" s="16"/>
      <c r="Q712" s="16"/>
      <c r="R712" s="16"/>
      <c r="S712" s="16">
        <v>-2.0</v>
      </c>
      <c r="T712" s="16"/>
      <c r="U712" s="16" t="s">
        <v>3257</v>
      </c>
      <c r="V712" s="16" t="s">
        <v>3258</v>
      </c>
      <c r="W712" s="16" t="s">
        <v>179</v>
      </c>
      <c r="X712" s="16" t="s">
        <v>181</v>
      </c>
      <c r="Y712" s="100"/>
      <c r="Z712" s="16" t="s">
        <v>181</v>
      </c>
    </row>
    <row r="713">
      <c r="A713" s="16">
        <v>13203.0</v>
      </c>
      <c r="B713" s="16" t="s">
        <v>3259</v>
      </c>
      <c r="C713" s="16">
        <v>1.89</v>
      </c>
      <c r="D713" s="174" t="s">
        <v>3260</v>
      </c>
      <c r="E713" s="16"/>
      <c r="F713" s="16">
        <v>563.0</v>
      </c>
      <c r="G713" s="16" t="s">
        <v>260</v>
      </c>
      <c r="H713" s="16" t="s">
        <v>24</v>
      </c>
      <c r="I713" s="16"/>
      <c r="J713" s="16"/>
      <c r="K713" s="16"/>
      <c r="L713" s="16"/>
      <c r="M713" s="16"/>
      <c r="N713" s="16"/>
      <c r="O713" s="16"/>
      <c r="P713" s="16"/>
      <c r="Q713" s="16"/>
      <c r="R713" s="16"/>
      <c r="S713" s="16">
        <v>-2.0</v>
      </c>
      <c r="T713" s="16"/>
      <c r="U713" s="16" t="s">
        <v>3261</v>
      </c>
      <c r="V713" s="16" t="s">
        <v>3262</v>
      </c>
      <c r="W713" s="16" t="s">
        <v>188</v>
      </c>
      <c r="X713" s="16" t="s">
        <v>181</v>
      </c>
      <c r="Y713" s="100"/>
      <c r="Z713" s="16" t="s">
        <v>181</v>
      </c>
    </row>
    <row r="714">
      <c r="A714" s="16">
        <v>13204.0</v>
      </c>
      <c r="B714" s="16" t="s">
        <v>3263</v>
      </c>
      <c r="C714" s="16">
        <v>0.56</v>
      </c>
      <c r="D714" s="174" t="s">
        <v>3264</v>
      </c>
      <c r="E714" s="16"/>
      <c r="F714" s="16">
        <v>569.0</v>
      </c>
      <c r="G714" s="16" t="s">
        <v>292</v>
      </c>
      <c r="H714" s="16" t="s">
        <v>25</v>
      </c>
      <c r="I714" s="16" t="s">
        <v>26</v>
      </c>
      <c r="J714" s="16"/>
      <c r="K714" s="16"/>
      <c r="L714" s="16"/>
      <c r="M714" s="16"/>
      <c r="N714" s="16"/>
      <c r="O714" s="16"/>
      <c r="P714" s="16"/>
      <c r="Q714" s="16"/>
      <c r="R714" s="16"/>
      <c r="S714" s="16">
        <v>-2.0</v>
      </c>
      <c r="T714" s="16"/>
      <c r="U714" s="16" t="s">
        <v>3265</v>
      </c>
      <c r="V714" s="16" t="s">
        <v>3266</v>
      </c>
      <c r="W714" s="16" t="s">
        <v>332</v>
      </c>
      <c r="X714" s="16" t="s">
        <v>181</v>
      </c>
      <c r="Y714" s="100"/>
      <c r="Z714" s="16" t="s">
        <v>181</v>
      </c>
    </row>
    <row r="715">
      <c r="A715" s="16">
        <v>13205.0</v>
      </c>
      <c r="B715" s="16" t="s">
        <v>118</v>
      </c>
      <c r="C715" s="16">
        <v>0.0</v>
      </c>
      <c r="D715" s="174" t="s">
        <v>3267</v>
      </c>
      <c r="E715" s="16"/>
      <c r="F715" s="16">
        <v>548.0</v>
      </c>
      <c r="G715" s="16" t="s">
        <v>126</v>
      </c>
      <c r="H715" s="16" t="s">
        <v>18</v>
      </c>
      <c r="I715" s="16" t="s">
        <v>19</v>
      </c>
      <c r="J715" s="16" t="s">
        <v>17</v>
      </c>
      <c r="K715" s="16"/>
      <c r="L715" s="16"/>
      <c r="M715" s="16"/>
      <c r="N715" s="16"/>
      <c r="O715" s="16"/>
      <c r="P715" s="16"/>
      <c r="Q715" s="16"/>
      <c r="R715" s="16"/>
      <c r="S715" s="16">
        <v>-2.0</v>
      </c>
      <c r="T715" s="16"/>
      <c r="U715" s="16" t="s">
        <v>3268</v>
      </c>
      <c r="V715" s="16" t="s">
        <v>3269</v>
      </c>
      <c r="W715" s="16" t="s">
        <v>491</v>
      </c>
      <c r="X715" s="16" t="s">
        <v>181</v>
      </c>
      <c r="Y715" s="100"/>
      <c r="Z715" s="16" t="s">
        <v>181</v>
      </c>
    </row>
    <row r="716">
      <c r="A716" s="16">
        <v>13206.0</v>
      </c>
      <c r="B716" s="16" t="s">
        <v>3270</v>
      </c>
      <c r="C716" s="16">
        <v>1.52</v>
      </c>
      <c r="D716" s="174" t="s">
        <v>3271</v>
      </c>
      <c r="E716" s="16"/>
      <c r="F716" s="16">
        <v>547.0</v>
      </c>
      <c r="G716" s="16" t="s">
        <v>176</v>
      </c>
      <c r="H716" s="16" t="s">
        <v>12</v>
      </c>
      <c r="I716" s="16"/>
      <c r="J716" s="16"/>
      <c r="K716" s="16"/>
      <c r="L716" s="16"/>
      <c r="M716" s="16"/>
      <c r="N716" s="16"/>
      <c r="O716" s="16"/>
      <c r="P716" s="16"/>
      <c r="Q716" s="16"/>
      <c r="R716" s="16"/>
      <c r="S716" s="16">
        <v>-2.0</v>
      </c>
      <c r="T716" s="16"/>
      <c r="U716" s="16" t="s">
        <v>3272</v>
      </c>
      <c r="V716" s="16" t="s">
        <v>3273</v>
      </c>
      <c r="W716" s="16" t="s">
        <v>675</v>
      </c>
      <c r="X716" s="16" t="s">
        <v>181</v>
      </c>
      <c r="Y716" s="100"/>
      <c r="Z716" s="16" t="s">
        <v>181</v>
      </c>
    </row>
    <row r="717">
      <c r="A717" s="16">
        <v>13207.0</v>
      </c>
      <c r="B717" s="16" t="s">
        <v>3274</v>
      </c>
      <c r="C717" s="16">
        <v>0.36</v>
      </c>
      <c r="D717" s="174" t="s">
        <v>3275</v>
      </c>
      <c r="E717" s="16"/>
      <c r="F717" s="16">
        <v>572.0</v>
      </c>
      <c r="G717" s="16" t="s">
        <v>306</v>
      </c>
      <c r="H717" s="16" t="s">
        <v>17</v>
      </c>
      <c r="I717" s="16"/>
      <c r="J717" s="16"/>
      <c r="K717" s="16"/>
      <c r="L717" s="16"/>
      <c r="M717" s="16"/>
      <c r="N717" s="16"/>
      <c r="O717" s="16"/>
      <c r="P717" s="16"/>
      <c r="Q717" s="16"/>
      <c r="R717" s="16"/>
      <c r="S717" s="16">
        <v>-2.0</v>
      </c>
      <c r="T717" s="16"/>
      <c r="U717" s="16" t="s">
        <v>3276</v>
      </c>
      <c r="V717" s="16" t="s">
        <v>3277</v>
      </c>
      <c r="W717" s="16" t="s">
        <v>634</v>
      </c>
      <c r="X717" s="16" t="s">
        <v>181</v>
      </c>
      <c r="Y717" s="100"/>
      <c r="Z717" s="16" t="s">
        <v>181</v>
      </c>
    </row>
    <row r="718">
      <c r="A718" s="16">
        <v>13208.0</v>
      </c>
      <c r="B718" s="16" t="s">
        <v>3278</v>
      </c>
      <c r="C718" s="16">
        <v>2.93</v>
      </c>
      <c r="D718" s="174" t="s">
        <v>3279</v>
      </c>
      <c r="E718" s="16"/>
      <c r="F718" s="16">
        <v>590.0</v>
      </c>
      <c r="G718" s="16" t="s">
        <v>387</v>
      </c>
      <c r="H718" s="16" t="s">
        <v>16</v>
      </c>
      <c r="I718" s="16" t="s">
        <v>14</v>
      </c>
      <c r="J718" s="16" t="s">
        <v>15</v>
      </c>
      <c r="K718" s="16" t="s">
        <v>13</v>
      </c>
      <c r="L718" s="16"/>
      <c r="M718" s="16"/>
      <c r="N718" s="16"/>
      <c r="O718" s="16"/>
      <c r="P718" s="16"/>
      <c r="Q718" s="16"/>
      <c r="R718" s="16"/>
      <c r="S718" s="16">
        <v>-2.0</v>
      </c>
      <c r="T718" s="16"/>
      <c r="U718" s="16" t="s">
        <v>3280</v>
      </c>
      <c r="V718" s="16" t="s">
        <v>3281</v>
      </c>
      <c r="W718" s="16" t="s">
        <v>179</v>
      </c>
      <c r="X718" s="16" t="s">
        <v>181</v>
      </c>
      <c r="Y718" s="100"/>
      <c r="Z718" s="16" t="s">
        <v>181</v>
      </c>
    </row>
    <row r="719">
      <c r="A719" s="16">
        <v>13209.0</v>
      </c>
      <c r="B719" s="16" t="s">
        <v>3282</v>
      </c>
      <c r="C719" s="16">
        <v>0.0</v>
      </c>
      <c r="D719" s="174" t="s">
        <v>3283</v>
      </c>
      <c r="E719" s="16"/>
      <c r="F719" s="16">
        <v>547.0</v>
      </c>
      <c r="G719" s="16" t="s">
        <v>176</v>
      </c>
      <c r="H719" s="16" t="s">
        <v>15</v>
      </c>
      <c r="I719" s="16" t="s">
        <v>13</v>
      </c>
      <c r="J719" s="16"/>
      <c r="K719" s="16"/>
      <c r="L719" s="16"/>
      <c r="M719" s="16"/>
      <c r="N719" s="16"/>
      <c r="O719" s="16"/>
      <c r="P719" s="16"/>
      <c r="Q719" s="16"/>
      <c r="R719" s="16"/>
      <c r="S719" s="16">
        <v>-2.0</v>
      </c>
      <c r="T719" s="16"/>
      <c r="U719" s="16" t="s">
        <v>3284</v>
      </c>
      <c r="V719" s="16" t="s">
        <v>3285</v>
      </c>
      <c r="W719" s="16" t="s">
        <v>1907</v>
      </c>
      <c r="X719" s="16" t="s">
        <v>181</v>
      </c>
      <c r="Y719" s="100"/>
      <c r="Z719" s="16" t="s">
        <v>181</v>
      </c>
    </row>
    <row r="720">
      <c r="A720" s="16">
        <v>13210.0</v>
      </c>
      <c r="B720" s="16" t="s">
        <v>3286</v>
      </c>
      <c r="C720" s="16">
        <v>0.0</v>
      </c>
      <c r="D720" s="174" t="s">
        <v>3287</v>
      </c>
      <c r="E720" s="16"/>
      <c r="F720" s="16">
        <v>547.0</v>
      </c>
      <c r="G720" s="16" t="s">
        <v>176</v>
      </c>
      <c r="H720" s="16" t="s">
        <v>15</v>
      </c>
      <c r="I720" s="16" t="s">
        <v>17</v>
      </c>
      <c r="J720" s="16"/>
      <c r="K720" s="16"/>
      <c r="L720" s="16"/>
      <c r="M720" s="16"/>
      <c r="N720" s="16"/>
      <c r="O720" s="16"/>
      <c r="P720" s="16"/>
      <c r="Q720" s="16"/>
      <c r="R720" s="16"/>
      <c r="S720" s="16">
        <v>-2.0</v>
      </c>
      <c r="T720" s="16"/>
      <c r="U720" s="16" t="s">
        <v>3288</v>
      </c>
      <c r="V720" s="16" t="s">
        <v>3289</v>
      </c>
      <c r="W720" s="16" t="s">
        <v>360</v>
      </c>
      <c r="X720" s="16" t="s">
        <v>181</v>
      </c>
      <c r="Y720" s="100"/>
      <c r="Z720" s="16" t="s">
        <v>181</v>
      </c>
    </row>
    <row r="721">
      <c r="A721" s="16">
        <v>13211.0</v>
      </c>
      <c r="B721" s="16" t="s">
        <v>3290</v>
      </c>
      <c r="C721" s="16">
        <v>0.0</v>
      </c>
      <c r="D721" s="174" t="s">
        <v>3291</v>
      </c>
      <c r="E721" s="16"/>
      <c r="F721" s="16">
        <v>547.0</v>
      </c>
      <c r="G721" s="16" t="s">
        <v>176</v>
      </c>
      <c r="H721" s="16" t="s">
        <v>25</v>
      </c>
      <c r="I721" s="16"/>
      <c r="J721" s="16"/>
      <c r="K721" s="16"/>
      <c r="L721" s="16"/>
      <c r="M721" s="16"/>
      <c r="N721" s="16"/>
      <c r="O721" s="16"/>
      <c r="P721" s="16"/>
      <c r="Q721" s="16"/>
      <c r="R721" s="16"/>
      <c r="S721" s="16">
        <v>-2.0</v>
      </c>
      <c r="T721" s="16"/>
      <c r="U721" s="16" t="s">
        <v>3292</v>
      </c>
      <c r="V721" s="16" t="s">
        <v>3293</v>
      </c>
      <c r="W721" s="16" t="s">
        <v>179</v>
      </c>
      <c r="X721" s="16" t="s">
        <v>181</v>
      </c>
      <c r="Y721" s="100"/>
      <c r="Z721" s="16" t="s">
        <v>181</v>
      </c>
    </row>
    <row r="722">
      <c r="A722" s="16">
        <v>13212.0</v>
      </c>
      <c r="B722" s="16" t="s">
        <v>3294</v>
      </c>
      <c r="C722" s="16">
        <v>0.0</v>
      </c>
      <c r="D722" s="174" t="s">
        <v>3295</v>
      </c>
      <c r="E722" s="16"/>
      <c r="F722" s="16">
        <v>547.0</v>
      </c>
      <c r="G722" s="16" t="s">
        <v>176</v>
      </c>
      <c r="H722" s="16" t="s">
        <v>13</v>
      </c>
      <c r="I722" s="16"/>
      <c r="J722" s="16"/>
      <c r="K722" s="16"/>
      <c r="L722" s="16"/>
      <c r="M722" s="16"/>
      <c r="N722" s="16"/>
      <c r="O722" s="16"/>
      <c r="P722" s="16"/>
      <c r="Q722" s="16"/>
      <c r="R722" s="16"/>
      <c r="S722" s="16">
        <v>-2.0</v>
      </c>
      <c r="T722" s="16"/>
      <c r="U722" s="16" t="s">
        <v>3296</v>
      </c>
      <c r="V722" s="16" t="s">
        <v>3297</v>
      </c>
      <c r="W722" s="16" t="s">
        <v>199</v>
      </c>
      <c r="X722" s="16" t="s">
        <v>181</v>
      </c>
      <c r="Y722" s="100"/>
      <c r="Z722" s="16" t="s">
        <v>181</v>
      </c>
    </row>
    <row r="723">
      <c r="A723" s="16">
        <v>13213.0</v>
      </c>
      <c r="B723" s="16" t="s">
        <v>3298</v>
      </c>
      <c r="C723" s="16">
        <v>0.5</v>
      </c>
      <c r="D723" s="174" t="s">
        <v>3299</v>
      </c>
      <c r="E723" s="16"/>
      <c r="F723" s="16">
        <v>561.0</v>
      </c>
      <c r="G723" s="16" t="s">
        <v>3300</v>
      </c>
      <c r="H723" s="16" t="s">
        <v>19</v>
      </c>
      <c r="I723" s="16" t="s">
        <v>17</v>
      </c>
      <c r="J723" s="16" t="s">
        <v>18</v>
      </c>
      <c r="K723" s="16"/>
      <c r="L723" s="16"/>
      <c r="M723" s="16"/>
      <c r="N723" s="16"/>
      <c r="O723" s="16"/>
      <c r="P723" s="16"/>
      <c r="Q723" s="16"/>
      <c r="R723" s="16" t="s">
        <v>927</v>
      </c>
      <c r="S723" s="16">
        <v>-2.0</v>
      </c>
      <c r="T723" s="16"/>
      <c r="U723" s="16" t="s">
        <v>3301</v>
      </c>
      <c r="V723" s="16" t="s">
        <v>3302</v>
      </c>
      <c r="W723" s="16" t="s">
        <v>661</v>
      </c>
      <c r="X723" s="16" t="s">
        <v>181</v>
      </c>
      <c r="Y723" s="100"/>
      <c r="Z723" s="16" t="s">
        <v>181</v>
      </c>
    </row>
    <row r="724">
      <c r="A724" s="16">
        <v>13214.0</v>
      </c>
      <c r="B724" s="16" t="s">
        <v>3303</v>
      </c>
      <c r="C724" s="16">
        <v>2.53</v>
      </c>
      <c r="D724" s="174" t="s">
        <v>3304</v>
      </c>
      <c r="E724" s="16"/>
      <c r="F724" s="16">
        <v>581.0</v>
      </c>
      <c r="G724" s="16" t="s">
        <v>346</v>
      </c>
      <c r="H724" s="16" t="s">
        <v>18</v>
      </c>
      <c r="I724" s="16"/>
      <c r="J724" s="16"/>
      <c r="K724" s="16"/>
      <c r="L724" s="16"/>
      <c r="M724" s="16"/>
      <c r="N724" s="16"/>
      <c r="O724" s="16"/>
      <c r="P724" s="16"/>
      <c r="Q724" s="16"/>
      <c r="R724" s="16"/>
      <c r="S724" s="16">
        <v>-2.0</v>
      </c>
      <c r="T724" s="16"/>
      <c r="U724" s="16" t="s">
        <v>3305</v>
      </c>
      <c r="V724" s="16" t="s">
        <v>3306</v>
      </c>
      <c r="W724" s="16" t="s">
        <v>591</v>
      </c>
      <c r="X724" s="16" t="s">
        <v>181</v>
      </c>
      <c r="Y724" s="100"/>
      <c r="Z724" s="16" t="s">
        <v>181</v>
      </c>
    </row>
    <row r="725">
      <c r="A725" s="16">
        <v>13215.0</v>
      </c>
      <c r="B725" s="16" t="s">
        <v>3307</v>
      </c>
      <c r="C725" s="16">
        <v>1.28</v>
      </c>
      <c r="D725" s="174" t="s">
        <v>3308</v>
      </c>
      <c r="E725" s="16"/>
      <c r="F725" s="16">
        <v>554.0</v>
      </c>
      <c r="G725" s="16" t="s">
        <v>215</v>
      </c>
      <c r="H725" s="16" t="s">
        <v>19</v>
      </c>
      <c r="I725" s="16" t="s">
        <v>18</v>
      </c>
      <c r="J725" s="16"/>
      <c r="K725" s="16"/>
      <c r="L725" s="16"/>
      <c r="M725" s="16"/>
      <c r="N725" s="16"/>
      <c r="O725" s="16"/>
      <c r="P725" s="16"/>
      <c r="Q725" s="16"/>
      <c r="R725" s="16"/>
      <c r="S725" s="16">
        <v>-2.0</v>
      </c>
      <c r="T725" s="16"/>
      <c r="U725" s="16" t="s">
        <v>3309</v>
      </c>
      <c r="V725" s="16" t="s">
        <v>3310</v>
      </c>
      <c r="W725" s="16" t="s">
        <v>443</v>
      </c>
      <c r="X725" s="16" t="s">
        <v>181</v>
      </c>
      <c r="Y725" s="100"/>
      <c r="Z725" s="16" t="s">
        <v>181</v>
      </c>
    </row>
    <row r="726">
      <c r="A726" s="16">
        <v>13216.0</v>
      </c>
      <c r="B726" s="16" t="s">
        <v>3311</v>
      </c>
      <c r="C726" s="16">
        <v>0.0</v>
      </c>
      <c r="D726" s="174" t="s">
        <v>3312</v>
      </c>
      <c r="E726" s="16"/>
      <c r="F726" s="16">
        <v>547.0</v>
      </c>
      <c r="G726" s="16" t="s">
        <v>176</v>
      </c>
      <c r="H726" s="16" t="s">
        <v>15</v>
      </c>
      <c r="I726" s="16" t="s">
        <v>14</v>
      </c>
      <c r="J726" s="16" t="s">
        <v>16</v>
      </c>
      <c r="K726" s="16" t="s">
        <v>17</v>
      </c>
      <c r="L726" s="16" t="s">
        <v>19</v>
      </c>
      <c r="M726" s="16"/>
      <c r="N726" s="16"/>
      <c r="O726" s="16"/>
      <c r="P726" s="16"/>
      <c r="Q726" s="16"/>
      <c r="R726" s="16"/>
      <c r="S726" s="16">
        <v>-2.0</v>
      </c>
      <c r="T726" s="16"/>
      <c r="U726" s="16" t="s">
        <v>3313</v>
      </c>
      <c r="V726" s="16" t="s">
        <v>3314</v>
      </c>
      <c r="W726" s="16" t="s">
        <v>332</v>
      </c>
      <c r="X726" s="16" t="s">
        <v>181</v>
      </c>
      <c r="Y726" s="100"/>
      <c r="Z726" s="16" t="s">
        <v>181</v>
      </c>
    </row>
    <row r="727">
      <c r="A727" s="16">
        <v>13217.0</v>
      </c>
      <c r="B727" s="16" t="s">
        <v>3315</v>
      </c>
      <c r="C727" s="16">
        <v>0.0</v>
      </c>
      <c r="D727" s="174" t="s">
        <v>3316</v>
      </c>
      <c r="E727" s="16"/>
      <c r="F727" s="16">
        <v>547.0</v>
      </c>
      <c r="G727" s="16" t="s">
        <v>176</v>
      </c>
      <c r="H727" s="16" t="s">
        <v>24</v>
      </c>
      <c r="I727" s="16"/>
      <c r="J727" s="16"/>
      <c r="K727" s="16"/>
      <c r="L727" s="16"/>
      <c r="M727" s="16"/>
      <c r="N727" s="16"/>
      <c r="O727" s="16"/>
      <c r="P727" s="16"/>
      <c r="Q727" s="16"/>
      <c r="R727" s="16"/>
      <c r="S727" s="16">
        <v>-2.0</v>
      </c>
      <c r="T727" s="16"/>
      <c r="U727" s="16" t="s">
        <v>3317</v>
      </c>
      <c r="V727" s="16" t="s">
        <v>3318</v>
      </c>
      <c r="W727" s="16" t="s">
        <v>231</v>
      </c>
      <c r="X727" s="16" t="s">
        <v>181</v>
      </c>
      <c r="Y727" s="100"/>
      <c r="Z727" s="16" t="s">
        <v>181</v>
      </c>
    </row>
    <row r="728">
      <c r="A728" s="16">
        <v>13218.0</v>
      </c>
      <c r="B728" s="16" t="s">
        <v>3319</v>
      </c>
      <c r="C728" s="16">
        <v>0.0</v>
      </c>
      <c r="D728" s="174" t="s">
        <v>3320</v>
      </c>
      <c r="E728" s="16"/>
      <c r="F728" s="16">
        <v>566.0</v>
      </c>
      <c r="G728" s="16" t="s">
        <v>277</v>
      </c>
      <c r="H728" s="16" t="s">
        <v>12</v>
      </c>
      <c r="I728" s="16"/>
      <c r="J728" s="16"/>
      <c r="K728" s="16"/>
      <c r="L728" s="16"/>
      <c r="M728" s="16"/>
      <c r="N728" s="16"/>
      <c r="O728" s="16"/>
      <c r="P728" s="16"/>
      <c r="Q728" s="16"/>
      <c r="R728" s="16"/>
      <c r="S728" s="16">
        <v>-2.0</v>
      </c>
      <c r="T728" s="16"/>
      <c r="U728" s="16" t="s">
        <v>3321</v>
      </c>
      <c r="V728" s="16" t="s">
        <v>3322</v>
      </c>
      <c r="W728" s="16" t="s">
        <v>675</v>
      </c>
      <c r="X728" s="16" t="s">
        <v>181</v>
      </c>
      <c r="Y728" s="100"/>
      <c r="Z728" s="16" t="s">
        <v>181</v>
      </c>
    </row>
    <row r="729">
      <c r="A729" s="16">
        <v>13219.0</v>
      </c>
      <c r="B729" s="16" t="s">
        <v>3323</v>
      </c>
      <c r="C729" s="16">
        <v>0.0</v>
      </c>
      <c r="D729" s="174" t="s">
        <v>3324</v>
      </c>
      <c r="E729" s="16"/>
      <c r="F729" s="16">
        <v>547.0</v>
      </c>
      <c r="G729" s="16" t="s">
        <v>176</v>
      </c>
      <c r="H729" s="16" t="s">
        <v>19</v>
      </c>
      <c r="I729" s="16"/>
      <c r="J729" s="16"/>
      <c r="K729" s="16"/>
      <c r="L729" s="16"/>
      <c r="M729" s="16"/>
      <c r="N729" s="16"/>
      <c r="O729" s="16"/>
      <c r="P729" s="16"/>
      <c r="Q729" s="16"/>
      <c r="R729" s="16"/>
      <c r="S729" s="16">
        <v>-2.0</v>
      </c>
      <c r="T729" s="16"/>
      <c r="U729" s="16" t="s">
        <v>3325</v>
      </c>
      <c r="V729" s="16" t="s">
        <v>3326</v>
      </c>
      <c r="W729" s="16" t="s">
        <v>491</v>
      </c>
      <c r="X729" s="16" t="s">
        <v>181</v>
      </c>
      <c r="Y729" s="100"/>
      <c r="Z729" s="16" t="s">
        <v>181</v>
      </c>
    </row>
    <row r="730">
      <c r="A730" s="16">
        <v>13220.0</v>
      </c>
      <c r="B730" s="16" t="s">
        <v>3327</v>
      </c>
      <c r="C730" s="16">
        <v>0.61</v>
      </c>
      <c r="D730" s="174" t="s">
        <v>3328</v>
      </c>
      <c r="E730" s="16"/>
      <c r="F730" s="16">
        <v>547.0</v>
      </c>
      <c r="G730" s="16" t="s">
        <v>176</v>
      </c>
      <c r="H730" s="16" t="s">
        <v>24</v>
      </c>
      <c r="I730" s="16"/>
      <c r="J730" s="16"/>
      <c r="K730" s="16"/>
      <c r="L730" s="16"/>
      <c r="M730" s="16"/>
      <c r="N730" s="16"/>
      <c r="O730" s="16"/>
      <c r="P730" s="16"/>
      <c r="Q730" s="16"/>
      <c r="R730" s="16"/>
      <c r="S730" s="16">
        <v>-2.0</v>
      </c>
      <c r="T730" s="16"/>
      <c r="U730" s="16" t="s">
        <v>3329</v>
      </c>
      <c r="V730" s="16" t="s">
        <v>3330</v>
      </c>
      <c r="W730" s="16" t="s">
        <v>188</v>
      </c>
      <c r="X730" s="16" t="s">
        <v>181</v>
      </c>
      <c r="Y730" s="100"/>
      <c r="Z730" s="16" t="s">
        <v>181</v>
      </c>
    </row>
    <row r="731">
      <c r="A731" s="16">
        <v>13221.0</v>
      </c>
      <c r="B731" s="16" t="s">
        <v>3331</v>
      </c>
      <c r="C731" s="16">
        <v>0.47</v>
      </c>
      <c r="D731" s="174" t="s">
        <v>3332</v>
      </c>
      <c r="E731" s="16"/>
      <c r="F731" s="16">
        <v>547.0</v>
      </c>
      <c r="G731" s="16" t="s">
        <v>176</v>
      </c>
      <c r="H731" s="16" t="s">
        <v>24</v>
      </c>
      <c r="I731" s="16" t="s">
        <v>25</v>
      </c>
      <c r="J731" s="16"/>
      <c r="K731" s="16"/>
      <c r="L731" s="16"/>
      <c r="M731" s="16"/>
      <c r="N731" s="16"/>
      <c r="O731" s="16"/>
      <c r="P731" s="16"/>
      <c r="Q731" s="16"/>
      <c r="R731" s="16"/>
      <c r="S731" s="16">
        <v>-2.0</v>
      </c>
      <c r="T731" s="16"/>
      <c r="U731" s="16" t="s">
        <v>3333</v>
      </c>
      <c r="V731" s="16" t="s">
        <v>3334</v>
      </c>
      <c r="W731" s="16" t="s">
        <v>188</v>
      </c>
      <c r="X731" s="16" t="s">
        <v>181</v>
      </c>
      <c r="Y731" s="100"/>
      <c r="Z731" s="16" t="s">
        <v>181</v>
      </c>
    </row>
    <row r="732">
      <c r="A732" s="16">
        <v>13222.0</v>
      </c>
      <c r="B732" s="16" t="s">
        <v>3335</v>
      </c>
      <c r="C732" s="16">
        <v>0.0</v>
      </c>
      <c r="D732" s="174" t="s">
        <v>3336</v>
      </c>
      <c r="E732" s="16"/>
      <c r="F732" s="16">
        <v>547.0</v>
      </c>
      <c r="G732" s="16" t="s">
        <v>176</v>
      </c>
      <c r="H732" s="16" t="s">
        <v>25</v>
      </c>
      <c r="I732" s="16"/>
      <c r="J732" s="16"/>
      <c r="K732" s="16"/>
      <c r="L732" s="16"/>
      <c r="M732" s="16"/>
      <c r="N732" s="16"/>
      <c r="O732" s="16"/>
      <c r="P732" s="16"/>
      <c r="Q732" s="16"/>
      <c r="R732" s="16"/>
      <c r="S732" s="16">
        <v>-2.0</v>
      </c>
      <c r="T732" s="16"/>
      <c r="U732" s="16" t="s">
        <v>3337</v>
      </c>
      <c r="V732" s="16" t="s">
        <v>3338</v>
      </c>
      <c r="W732" s="16" t="s">
        <v>199</v>
      </c>
      <c r="X732" s="16" t="s">
        <v>181</v>
      </c>
      <c r="Y732" s="100"/>
      <c r="Z732" s="16" t="s">
        <v>181</v>
      </c>
    </row>
    <row r="733">
      <c r="A733" s="16">
        <v>13223.0</v>
      </c>
      <c r="B733" s="16" t="s">
        <v>3339</v>
      </c>
      <c r="C733" s="16">
        <v>0.3</v>
      </c>
      <c r="D733" s="174" t="s">
        <v>3340</v>
      </c>
      <c r="E733" s="16"/>
      <c r="F733" s="16">
        <v>547.0</v>
      </c>
      <c r="G733" s="16" t="s">
        <v>176</v>
      </c>
      <c r="H733" s="16" t="s">
        <v>24</v>
      </c>
      <c r="I733" s="16"/>
      <c r="J733" s="16"/>
      <c r="K733" s="16"/>
      <c r="L733" s="16"/>
      <c r="M733" s="16"/>
      <c r="N733" s="16"/>
      <c r="O733" s="16"/>
      <c r="P733" s="16"/>
      <c r="Q733" s="16"/>
      <c r="R733" s="16"/>
      <c r="S733" s="16">
        <v>-2.0</v>
      </c>
      <c r="T733" s="16"/>
      <c r="U733" s="16" t="s">
        <v>3341</v>
      </c>
      <c r="V733" s="16" t="s">
        <v>3342</v>
      </c>
      <c r="W733" s="16" t="s">
        <v>188</v>
      </c>
      <c r="X733" s="16" t="s">
        <v>181</v>
      </c>
      <c r="Y733" s="100"/>
      <c r="Z733" s="16" t="s">
        <v>181</v>
      </c>
    </row>
    <row r="734">
      <c r="A734" s="16">
        <v>13224.0</v>
      </c>
      <c r="B734" s="16" t="s">
        <v>3343</v>
      </c>
      <c r="C734" s="16">
        <v>0.0</v>
      </c>
      <c r="D734" s="174" t="s">
        <v>3344</v>
      </c>
      <c r="E734" s="16"/>
      <c r="F734" s="16">
        <v>547.0</v>
      </c>
      <c r="G734" s="16" t="s">
        <v>176</v>
      </c>
      <c r="H734" s="16" t="s">
        <v>17</v>
      </c>
      <c r="I734" s="16" t="s">
        <v>19</v>
      </c>
      <c r="J734" s="16" t="s">
        <v>13</v>
      </c>
      <c r="K734" s="16"/>
      <c r="L734" s="16"/>
      <c r="M734" s="16"/>
      <c r="N734" s="16"/>
      <c r="O734" s="16"/>
      <c r="P734" s="16"/>
      <c r="Q734" s="16"/>
      <c r="R734" s="16"/>
      <c r="S734" s="16">
        <v>-2.0</v>
      </c>
      <c r="T734" s="16"/>
      <c r="U734" s="16" t="s">
        <v>3345</v>
      </c>
      <c r="V734" s="16" t="s">
        <v>3346</v>
      </c>
      <c r="W734" s="16" t="s">
        <v>491</v>
      </c>
      <c r="X734" s="16" t="s">
        <v>181</v>
      </c>
      <c r="Y734" s="100"/>
      <c r="Z734" s="16" t="s">
        <v>181</v>
      </c>
    </row>
    <row r="735">
      <c r="A735" s="16">
        <v>13225.0</v>
      </c>
      <c r="B735" s="16" t="s">
        <v>3347</v>
      </c>
      <c r="C735" s="16">
        <v>2.7</v>
      </c>
      <c r="D735" s="174" t="s">
        <v>3348</v>
      </c>
      <c r="E735" s="16"/>
      <c r="F735" s="16">
        <v>590.0</v>
      </c>
      <c r="G735" s="16" t="s">
        <v>387</v>
      </c>
      <c r="H735" s="16" t="s">
        <v>16</v>
      </c>
      <c r="I735" s="16" t="s">
        <v>19</v>
      </c>
      <c r="J735" s="16" t="s">
        <v>14</v>
      </c>
      <c r="K735" s="16"/>
      <c r="L735" s="16"/>
      <c r="M735" s="16"/>
      <c r="N735" s="16"/>
      <c r="O735" s="16"/>
      <c r="P735" s="16"/>
      <c r="Q735" s="16"/>
      <c r="R735" s="16" t="s">
        <v>466</v>
      </c>
      <c r="S735" s="16">
        <v>-2.0</v>
      </c>
      <c r="T735" s="16"/>
      <c r="U735" s="16" t="s">
        <v>3349</v>
      </c>
      <c r="V735" s="16" t="s">
        <v>3350</v>
      </c>
      <c r="W735" s="16" t="s">
        <v>722</v>
      </c>
      <c r="X735" s="16" t="s">
        <v>181</v>
      </c>
      <c r="Y735" s="100"/>
      <c r="Z735" s="16" t="s">
        <v>181</v>
      </c>
    </row>
    <row r="736">
      <c r="A736" s="16">
        <v>13226.0</v>
      </c>
      <c r="B736" s="16" t="s">
        <v>3351</v>
      </c>
      <c r="C736" s="16">
        <v>1.56</v>
      </c>
      <c r="D736" s="174" t="s">
        <v>3352</v>
      </c>
      <c r="E736" s="16"/>
      <c r="F736" s="16">
        <v>547.0</v>
      </c>
      <c r="G736" s="16" t="s">
        <v>176</v>
      </c>
      <c r="H736" s="16" t="s">
        <v>16</v>
      </c>
      <c r="I736" s="16" t="s">
        <v>14</v>
      </c>
      <c r="J736" s="16"/>
      <c r="K736" s="16"/>
      <c r="L736" s="16"/>
      <c r="M736" s="16"/>
      <c r="N736" s="16"/>
      <c r="O736" s="16"/>
      <c r="P736" s="16"/>
      <c r="Q736" s="16"/>
      <c r="R736" s="16"/>
      <c r="S736" s="16">
        <v>-2.0</v>
      </c>
      <c r="T736" s="16"/>
      <c r="U736" s="16" t="s">
        <v>3353</v>
      </c>
      <c r="V736" s="16" t="s">
        <v>3354</v>
      </c>
      <c r="W736" s="16" t="s">
        <v>332</v>
      </c>
      <c r="X736" s="16" t="s">
        <v>181</v>
      </c>
      <c r="Y736" s="100"/>
      <c r="Z736" s="16" t="s">
        <v>181</v>
      </c>
    </row>
    <row r="737">
      <c r="A737" s="16">
        <v>13227.0</v>
      </c>
      <c r="B737" s="16" t="s">
        <v>3355</v>
      </c>
      <c r="C737" s="16">
        <v>0.0</v>
      </c>
      <c r="D737" s="174" t="s">
        <v>3356</v>
      </c>
      <c r="E737" s="16"/>
      <c r="F737" s="16">
        <v>547.0</v>
      </c>
      <c r="G737" s="16" t="s">
        <v>176</v>
      </c>
      <c r="H737" s="16" t="s">
        <v>25</v>
      </c>
      <c r="I737" s="16" t="s">
        <v>26</v>
      </c>
      <c r="J737" s="16"/>
      <c r="K737" s="16"/>
      <c r="L737" s="16"/>
      <c r="M737" s="16"/>
      <c r="N737" s="16"/>
      <c r="O737" s="16"/>
      <c r="P737" s="16"/>
      <c r="Q737" s="16"/>
      <c r="R737" s="16"/>
      <c r="S737" s="16">
        <v>-2.0</v>
      </c>
      <c r="T737" s="16"/>
      <c r="U737" s="16" t="s">
        <v>3357</v>
      </c>
      <c r="V737" s="16" t="s">
        <v>3358</v>
      </c>
      <c r="W737" s="16" t="s">
        <v>491</v>
      </c>
      <c r="X737" s="16" t="s">
        <v>181</v>
      </c>
      <c r="Y737" s="100"/>
      <c r="Z737" s="16" t="s">
        <v>181</v>
      </c>
    </row>
    <row r="738">
      <c r="A738" s="16">
        <v>13228.0</v>
      </c>
      <c r="B738" s="16" t="s">
        <v>3359</v>
      </c>
      <c r="C738" s="16">
        <v>1.21</v>
      </c>
      <c r="D738" s="174" t="s">
        <v>3360</v>
      </c>
      <c r="E738" s="16"/>
      <c r="F738" s="16">
        <v>554.0</v>
      </c>
      <c r="G738" s="16" t="s">
        <v>215</v>
      </c>
      <c r="H738" s="16" t="s">
        <v>24</v>
      </c>
      <c r="I738" s="16"/>
      <c r="J738" s="16"/>
      <c r="K738" s="16"/>
      <c r="L738" s="16"/>
      <c r="M738" s="16"/>
      <c r="N738" s="16"/>
      <c r="O738" s="16"/>
      <c r="P738" s="16"/>
      <c r="Q738" s="16"/>
      <c r="R738" s="16" t="s">
        <v>466</v>
      </c>
      <c r="S738" s="16">
        <v>-2.0</v>
      </c>
      <c r="T738" s="16"/>
      <c r="U738" s="16" t="s">
        <v>3361</v>
      </c>
      <c r="V738" s="16" t="s">
        <v>3362</v>
      </c>
      <c r="W738" s="16" t="s">
        <v>188</v>
      </c>
      <c r="X738" s="16" t="s">
        <v>181</v>
      </c>
      <c r="Y738" s="100"/>
      <c r="Z738" s="16" t="s">
        <v>181</v>
      </c>
    </row>
    <row r="739">
      <c r="A739" s="16">
        <v>13229.0</v>
      </c>
      <c r="B739" s="16" t="s">
        <v>3363</v>
      </c>
      <c r="C739" s="16">
        <v>3.82</v>
      </c>
      <c r="D739" s="174" t="s">
        <v>3364</v>
      </c>
      <c r="E739" s="16"/>
      <c r="F739" s="16">
        <v>578.0</v>
      </c>
      <c r="G739" s="16" t="s">
        <v>333</v>
      </c>
      <c r="H739" s="16" t="s">
        <v>17</v>
      </c>
      <c r="I739" s="16" t="s">
        <v>19</v>
      </c>
      <c r="J739" s="16" t="s">
        <v>18</v>
      </c>
      <c r="K739" s="16"/>
      <c r="L739" s="16"/>
      <c r="M739" s="16"/>
      <c r="N739" s="16"/>
      <c r="O739" s="16"/>
      <c r="P739" s="16"/>
      <c r="Q739" s="16"/>
      <c r="R739" s="16"/>
      <c r="S739" s="16">
        <v>-2.0</v>
      </c>
      <c r="T739" s="16"/>
      <c r="U739" s="16" t="s">
        <v>3365</v>
      </c>
      <c r="V739" s="16" t="s">
        <v>3366</v>
      </c>
      <c r="W739" s="16" t="s">
        <v>199</v>
      </c>
      <c r="X739" s="16" t="s">
        <v>181</v>
      </c>
      <c r="Y739" s="100"/>
      <c r="Z739" s="16" t="s">
        <v>181</v>
      </c>
    </row>
    <row r="740">
      <c r="A740" s="16">
        <v>13230.0</v>
      </c>
      <c r="B740" s="16" t="s">
        <v>3367</v>
      </c>
      <c r="C740" s="16">
        <v>1.39</v>
      </c>
      <c r="D740" s="174" t="s">
        <v>3368</v>
      </c>
      <c r="E740" s="16"/>
      <c r="F740" s="16">
        <v>552.0</v>
      </c>
      <c r="G740" s="16" t="s">
        <v>2860</v>
      </c>
      <c r="H740" s="16" t="s">
        <v>13</v>
      </c>
      <c r="I740" s="16"/>
      <c r="J740" s="16"/>
      <c r="K740" s="16"/>
      <c r="L740" s="16"/>
      <c r="M740" s="16"/>
      <c r="N740" s="16"/>
      <c r="O740" s="16"/>
      <c r="P740" s="16"/>
      <c r="Q740" s="16"/>
      <c r="R740" s="16" t="s">
        <v>516</v>
      </c>
      <c r="S740" s="16">
        <v>-2.0</v>
      </c>
      <c r="T740" s="16"/>
      <c r="U740" s="16" t="s">
        <v>3369</v>
      </c>
      <c r="V740" s="16" t="s">
        <v>3370</v>
      </c>
      <c r="W740" s="16" t="s">
        <v>1412</v>
      </c>
      <c r="X740" s="16" t="s">
        <v>181</v>
      </c>
      <c r="Y740" s="100"/>
      <c r="Z740" s="16" t="s">
        <v>181</v>
      </c>
    </row>
    <row r="741">
      <c r="A741" s="16">
        <v>13231.0</v>
      </c>
      <c r="B741" s="16" t="s">
        <v>3371</v>
      </c>
      <c r="C741" s="16">
        <v>0.0</v>
      </c>
      <c r="D741" s="174" t="s">
        <v>3372</v>
      </c>
      <c r="E741" s="16"/>
      <c r="F741" s="16">
        <v>547.0</v>
      </c>
      <c r="G741" s="16" t="s">
        <v>176</v>
      </c>
      <c r="H741" s="16" t="s">
        <v>19</v>
      </c>
      <c r="I741" s="16" t="s">
        <v>17</v>
      </c>
      <c r="J741" s="16"/>
      <c r="K741" s="16"/>
      <c r="L741" s="16"/>
      <c r="M741" s="16"/>
      <c r="N741" s="16"/>
      <c r="O741" s="16"/>
      <c r="P741" s="16"/>
      <c r="Q741" s="16"/>
      <c r="R741" s="16"/>
      <c r="S741" s="16">
        <v>-2.0</v>
      </c>
      <c r="T741" s="16"/>
      <c r="U741" s="16" t="s">
        <v>3373</v>
      </c>
      <c r="V741" s="16" t="s">
        <v>3374</v>
      </c>
      <c r="W741" s="16" t="s">
        <v>332</v>
      </c>
      <c r="X741" s="16" t="s">
        <v>181</v>
      </c>
      <c r="Y741" s="100"/>
      <c r="Z741" s="16" t="s">
        <v>181</v>
      </c>
    </row>
    <row r="742">
      <c r="A742" s="16">
        <v>13232.0</v>
      </c>
      <c r="B742" s="16" t="s">
        <v>3375</v>
      </c>
      <c r="C742" s="16">
        <v>0.67</v>
      </c>
      <c r="D742" s="174" t="s">
        <v>3376</v>
      </c>
      <c r="E742" s="16"/>
      <c r="F742" s="16">
        <v>547.0</v>
      </c>
      <c r="G742" s="16" t="s">
        <v>176</v>
      </c>
      <c r="H742" s="16" t="s">
        <v>24</v>
      </c>
      <c r="I742" s="16"/>
      <c r="J742" s="16"/>
      <c r="K742" s="16"/>
      <c r="L742" s="16"/>
      <c r="M742" s="16"/>
      <c r="N742" s="16"/>
      <c r="O742" s="16"/>
      <c r="P742" s="16"/>
      <c r="Q742" s="16"/>
      <c r="R742" s="16"/>
      <c r="S742" s="16">
        <v>-2.0</v>
      </c>
      <c r="T742" s="16"/>
      <c r="U742" s="16" t="s">
        <v>3377</v>
      </c>
      <c r="V742" s="16" t="s">
        <v>3378</v>
      </c>
      <c r="W742" s="16" t="s">
        <v>188</v>
      </c>
      <c r="X742" s="16" t="s">
        <v>181</v>
      </c>
      <c r="Y742" s="100"/>
      <c r="Z742" s="16" t="s">
        <v>181</v>
      </c>
    </row>
    <row r="743">
      <c r="A743" s="16">
        <v>13233.0</v>
      </c>
      <c r="B743" s="16" t="s">
        <v>3379</v>
      </c>
      <c r="C743" s="16">
        <v>0.35</v>
      </c>
      <c r="D743" s="174" t="s">
        <v>3380</v>
      </c>
      <c r="E743" s="16"/>
      <c r="F743" s="16">
        <v>593.0</v>
      </c>
      <c r="G743" s="16" t="s">
        <v>272</v>
      </c>
      <c r="H743" s="16" t="s">
        <v>19</v>
      </c>
      <c r="I743" s="16"/>
      <c r="J743" s="16"/>
      <c r="K743" s="16"/>
      <c r="L743" s="16"/>
      <c r="M743" s="16"/>
      <c r="N743" s="16"/>
      <c r="O743" s="16"/>
      <c r="P743" s="16"/>
      <c r="Q743" s="16"/>
      <c r="R743" s="16"/>
      <c r="S743" s="16">
        <v>-2.0</v>
      </c>
      <c r="T743" s="174" t="s">
        <v>3381</v>
      </c>
      <c r="U743" s="16" t="s">
        <v>3382</v>
      </c>
      <c r="V743" s="16" t="s">
        <v>3383</v>
      </c>
      <c r="W743" s="16" t="s">
        <v>231</v>
      </c>
      <c r="X743" s="16" t="s">
        <v>181</v>
      </c>
      <c r="Y743" s="100"/>
      <c r="Z743" s="16" t="s">
        <v>181</v>
      </c>
    </row>
    <row r="744">
      <c r="A744" s="16">
        <v>13234.0</v>
      </c>
      <c r="B744" s="16" t="s">
        <v>3384</v>
      </c>
      <c r="C744" s="16">
        <v>0.0</v>
      </c>
      <c r="D744" s="174" t="s">
        <v>3385</v>
      </c>
      <c r="E744" s="16"/>
      <c r="F744" s="16">
        <v>547.0</v>
      </c>
      <c r="G744" s="16" t="s">
        <v>176</v>
      </c>
      <c r="H744" s="16" t="s">
        <v>16</v>
      </c>
      <c r="I744" s="16" t="s">
        <v>14</v>
      </c>
      <c r="J744" s="16"/>
      <c r="K744" s="16"/>
      <c r="L744" s="16"/>
      <c r="M744" s="16"/>
      <c r="N744" s="16"/>
      <c r="O744" s="16"/>
      <c r="P744" s="16"/>
      <c r="Q744" s="16"/>
      <c r="R744" s="16"/>
      <c r="S744" s="16">
        <v>-2.0</v>
      </c>
      <c r="T744" s="16"/>
      <c r="U744" s="16" t="s">
        <v>3386</v>
      </c>
      <c r="V744" s="16" t="s">
        <v>3387</v>
      </c>
      <c r="W744" s="16" t="s">
        <v>566</v>
      </c>
      <c r="X744" s="16" t="s">
        <v>181</v>
      </c>
      <c r="Y744" s="100"/>
      <c r="Z744" s="16" t="s">
        <v>181</v>
      </c>
    </row>
    <row r="745">
      <c r="A745" s="16">
        <v>13235.0</v>
      </c>
      <c r="B745" s="16" t="s">
        <v>3388</v>
      </c>
      <c r="C745" s="16">
        <v>0.33</v>
      </c>
      <c r="D745" s="174" t="s">
        <v>3389</v>
      </c>
      <c r="E745" s="16"/>
      <c r="F745" s="16">
        <v>574.0</v>
      </c>
      <c r="G745" s="16" t="s">
        <v>672</v>
      </c>
      <c r="H745" s="16" t="s">
        <v>16</v>
      </c>
      <c r="I745" s="16" t="s">
        <v>15</v>
      </c>
      <c r="J745" s="16" t="s">
        <v>14</v>
      </c>
      <c r="K745" s="16"/>
      <c r="L745" s="16"/>
      <c r="M745" s="16"/>
      <c r="N745" s="16"/>
      <c r="O745" s="16"/>
      <c r="P745" s="16"/>
      <c r="Q745" s="16"/>
      <c r="R745" s="16"/>
      <c r="S745" s="16">
        <v>-2.0</v>
      </c>
      <c r="T745" s="16"/>
      <c r="U745" s="16" t="s">
        <v>3390</v>
      </c>
      <c r="V745" s="16" t="s">
        <v>3391</v>
      </c>
      <c r="W745" s="16" t="s">
        <v>199</v>
      </c>
      <c r="X745" s="16" t="s">
        <v>181</v>
      </c>
      <c r="Y745" s="100"/>
      <c r="Z745" s="16" t="s">
        <v>181</v>
      </c>
    </row>
    <row r="746">
      <c r="A746" s="16">
        <v>13236.0</v>
      </c>
      <c r="B746" s="16" t="s">
        <v>3392</v>
      </c>
      <c r="C746" s="16">
        <v>0.24</v>
      </c>
      <c r="D746" s="174" t="s">
        <v>3393</v>
      </c>
      <c r="E746" s="16"/>
      <c r="F746" s="16">
        <v>547.0</v>
      </c>
      <c r="G746" s="16" t="s">
        <v>176</v>
      </c>
      <c r="H746" s="16" t="s">
        <v>25</v>
      </c>
      <c r="I746" s="16" t="s">
        <v>26</v>
      </c>
      <c r="J746" s="16"/>
      <c r="K746" s="16"/>
      <c r="L746" s="16"/>
      <c r="M746" s="16"/>
      <c r="N746" s="16"/>
      <c r="O746" s="16"/>
      <c r="P746" s="16"/>
      <c r="Q746" s="16"/>
      <c r="R746" s="16"/>
      <c r="S746" s="16">
        <v>-2.0</v>
      </c>
      <c r="T746" s="16"/>
      <c r="U746" s="16" t="s">
        <v>3394</v>
      </c>
      <c r="V746" s="16" t="s">
        <v>3395</v>
      </c>
      <c r="W746" s="16" t="s">
        <v>332</v>
      </c>
      <c r="X746" s="16" t="s">
        <v>181</v>
      </c>
      <c r="Y746" s="100"/>
      <c r="Z746" s="16" t="s">
        <v>181</v>
      </c>
    </row>
    <row r="747">
      <c r="A747" s="16">
        <v>13237.0</v>
      </c>
      <c r="B747" s="16" t="s">
        <v>3396</v>
      </c>
      <c r="C747" s="16">
        <v>0.0</v>
      </c>
      <c r="D747" s="174" t="s">
        <v>3397</v>
      </c>
      <c r="E747" s="16"/>
      <c r="F747" s="16">
        <v>547.0</v>
      </c>
      <c r="G747" s="16" t="s">
        <v>176</v>
      </c>
      <c r="H747" s="16" t="s">
        <v>12</v>
      </c>
      <c r="I747" s="16"/>
      <c r="J747" s="16"/>
      <c r="K747" s="16"/>
      <c r="L747" s="16"/>
      <c r="M747" s="16"/>
      <c r="N747" s="16"/>
      <c r="O747" s="16"/>
      <c r="P747" s="16"/>
      <c r="Q747" s="16"/>
      <c r="R747" s="16"/>
      <c r="S747" s="16">
        <v>-2.0</v>
      </c>
      <c r="T747" s="16"/>
      <c r="U747" s="16" t="s">
        <v>3398</v>
      </c>
      <c r="V747" s="16" t="s">
        <v>3399</v>
      </c>
      <c r="W747" s="16" t="s">
        <v>259</v>
      </c>
      <c r="X747" s="16" t="s">
        <v>181</v>
      </c>
      <c r="Y747" s="100"/>
      <c r="Z747" s="16" t="s">
        <v>181</v>
      </c>
    </row>
    <row r="748">
      <c r="A748" s="16">
        <v>13238.0</v>
      </c>
      <c r="B748" s="16" t="s">
        <v>3400</v>
      </c>
      <c r="C748" s="16">
        <v>0.67</v>
      </c>
      <c r="D748" s="174" t="s">
        <v>3401</v>
      </c>
      <c r="E748" s="16"/>
      <c r="F748" s="16">
        <v>569.0</v>
      </c>
      <c r="G748" s="16" t="s">
        <v>292</v>
      </c>
      <c r="H748" s="16" t="s">
        <v>14</v>
      </c>
      <c r="I748" s="16" t="s">
        <v>16</v>
      </c>
      <c r="J748" s="16" t="s">
        <v>15</v>
      </c>
      <c r="K748" s="16"/>
      <c r="L748" s="16"/>
      <c r="M748" s="16"/>
      <c r="N748" s="16"/>
      <c r="O748" s="16"/>
      <c r="P748" s="16"/>
      <c r="Q748" s="16"/>
      <c r="R748" s="16"/>
      <c r="S748" s="16">
        <v>-2.0</v>
      </c>
      <c r="T748" s="16"/>
      <c r="U748" s="16" t="s">
        <v>3402</v>
      </c>
      <c r="V748" s="16" t="s">
        <v>3403</v>
      </c>
      <c r="W748" s="16" t="s">
        <v>259</v>
      </c>
      <c r="X748" s="16" t="s">
        <v>181</v>
      </c>
      <c r="Y748" s="100"/>
      <c r="Z748" s="16" t="s">
        <v>181</v>
      </c>
    </row>
    <row r="749">
      <c r="A749" s="16">
        <v>13239.0</v>
      </c>
      <c r="B749" s="16" t="s">
        <v>3404</v>
      </c>
      <c r="C749" s="16">
        <v>0.0</v>
      </c>
      <c r="D749" s="174" t="s">
        <v>3405</v>
      </c>
      <c r="E749" s="16"/>
      <c r="F749" s="16">
        <v>547.0</v>
      </c>
      <c r="G749" s="16" t="s">
        <v>176</v>
      </c>
      <c r="H749" s="16" t="s">
        <v>17</v>
      </c>
      <c r="I749" s="16" t="s">
        <v>18</v>
      </c>
      <c r="J749" s="16" t="s">
        <v>14</v>
      </c>
      <c r="K749" s="16"/>
      <c r="L749" s="16"/>
      <c r="M749" s="16"/>
      <c r="N749" s="16"/>
      <c r="O749" s="16"/>
      <c r="P749" s="16"/>
      <c r="Q749" s="16"/>
      <c r="R749" s="16"/>
      <c r="S749" s="16">
        <v>-2.0</v>
      </c>
      <c r="T749" s="16"/>
      <c r="U749" s="16" t="s">
        <v>3406</v>
      </c>
      <c r="V749" s="16" t="s">
        <v>3407</v>
      </c>
      <c r="W749" s="16" t="s">
        <v>179</v>
      </c>
      <c r="X749" s="16" t="s">
        <v>181</v>
      </c>
      <c r="Y749" s="100"/>
      <c r="Z749" s="16" t="s">
        <v>181</v>
      </c>
    </row>
    <row r="750">
      <c r="A750" s="16">
        <v>13240.0</v>
      </c>
      <c r="B750" s="16" t="s">
        <v>3408</v>
      </c>
      <c r="C750" s="16">
        <v>0.94</v>
      </c>
      <c r="D750" s="174" t="s">
        <v>3409</v>
      </c>
      <c r="E750" s="16"/>
      <c r="F750" s="16">
        <v>557.0</v>
      </c>
      <c r="G750" s="16" t="s">
        <v>232</v>
      </c>
      <c r="H750" s="16" t="s">
        <v>24</v>
      </c>
      <c r="I750" s="16"/>
      <c r="J750" s="16"/>
      <c r="K750" s="16"/>
      <c r="L750" s="16"/>
      <c r="M750" s="16"/>
      <c r="N750" s="16"/>
      <c r="O750" s="16"/>
      <c r="P750" s="16"/>
      <c r="Q750" s="16"/>
      <c r="R750" s="16"/>
      <c r="S750" s="16">
        <v>-2.0</v>
      </c>
      <c r="T750" s="16"/>
      <c r="U750" s="16" t="s">
        <v>3410</v>
      </c>
      <c r="V750" s="16" t="s">
        <v>3411</v>
      </c>
      <c r="W750" s="16" t="s">
        <v>661</v>
      </c>
      <c r="X750" s="16" t="s">
        <v>181</v>
      </c>
      <c r="Y750" s="100"/>
      <c r="Z750" s="16" t="s">
        <v>181</v>
      </c>
    </row>
    <row r="751">
      <c r="A751" s="16">
        <v>13241.0</v>
      </c>
      <c r="B751" s="16" t="s">
        <v>3412</v>
      </c>
      <c r="C751" s="16">
        <v>0.2</v>
      </c>
      <c r="D751" s="174" t="s">
        <v>3413</v>
      </c>
      <c r="E751" s="16"/>
      <c r="F751" s="16">
        <v>547.0</v>
      </c>
      <c r="G751" s="16" t="s">
        <v>176</v>
      </c>
      <c r="H751" s="16" t="s">
        <v>14</v>
      </c>
      <c r="I751" s="16" t="s">
        <v>15</v>
      </c>
      <c r="J751" s="16" t="s">
        <v>13</v>
      </c>
      <c r="K751" s="16" t="s">
        <v>17</v>
      </c>
      <c r="L751" s="16"/>
      <c r="M751" s="16"/>
      <c r="N751" s="16"/>
      <c r="O751" s="16"/>
      <c r="P751" s="16"/>
      <c r="Q751" s="16"/>
      <c r="R751" s="16"/>
      <c r="S751" s="16">
        <v>-2.0</v>
      </c>
      <c r="T751" s="16"/>
      <c r="U751" s="16" t="s">
        <v>3414</v>
      </c>
      <c r="V751" s="16" t="s">
        <v>3415</v>
      </c>
      <c r="W751" s="16" t="s">
        <v>332</v>
      </c>
      <c r="X751" s="16" t="s">
        <v>181</v>
      </c>
      <c r="Y751" s="100"/>
      <c r="Z751" s="16" t="s">
        <v>181</v>
      </c>
    </row>
    <row r="752">
      <c r="A752" s="16">
        <v>13242.0</v>
      </c>
      <c r="B752" s="16" t="s">
        <v>3416</v>
      </c>
      <c r="C752" s="16">
        <v>0.0</v>
      </c>
      <c r="D752" s="174" t="s">
        <v>3417</v>
      </c>
      <c r="E752" s="16"/>
      <c r="F752" s="16">
        <v>547.0</v>
      </c>
      <c r="G752" s="16" t="s">
        <v>176</v>
      </c>
      <c r="H752" s="16" t="s">
        <v>15</v>
      </c>
      <c r="I752" s="16" t="s">
        <v>14</v>
      </c>
      <c r="J752" s="16"/>
      <c r="K752" s="16"/>
      <c r="L752" s="16"/>
      <c r="M752" s="16"/>
      <c r="N752" s="16"/>
      <c r="O752" s="16"/>
      <c r="P752" s="16"/>
      <c r="Q752" s="16"/>
      <c r="R752" s="16"/>
      <c r="S752" s="16">
        <v>-2.0</v>
      </c>
      <c r="T752" s="16"/>
      <c r="U752" s="16" t="s">
        <v>3418</v>
      </c>
      <c r="V752" s="16" t="s">
        <v>3419</v>
      </c>
      <c r="W752" s="16" t="s">
        <v>640</v>
      </c>
      <c r="X752" s="16" t="s">
        <v>181</v>
      </c>
      <c r="Y752" s="100"/>
      <c r="Z752" s="16" t="s">
        <v>181</v>
      </c>
    </row>
    <row r="753">
      <c r="A753" s="16">
        <v>13243.0</v>
      </c>
      <c r="B753" s="16" t="s">
        <v>3420</v>
      </c>
      <c r="C753" s="16">
        <v>2.11</v>
      </c>
      <c r="D753" s="174" t="s">
        <v>3421</v>
      </c>
      <c r="E753" s="16"/>
      <c r="F753" s="16">
        <v>581.0</v>
      </c>
      <c r="G753" s="16" t="s">
        <v>346</v>
      </c>
      <c r="H753" s="16" t="s">
        <v>24</v>
      </c>
      <c r="I753" s="16" t="s">
        <v>25</v>
      </c>
      <c r="J753" s="16"/>
      <c r="K753" s="16"/>
      <c r="L753" s="16"/>
      <c r="M753" s="16"/>
      <c r="N753" s="16"/>
      <c r="O753" s="16"/>
      <c r="P753" s="16"/>
      <c r="Q753" s="16"/>
      <c r="R753" s="16"/>
      <c r="S753" s="16">
        <v>-2.0</v>
      </c>
      <c r="T753" s="16"/>
      <c r="U753" s="16" t="s">
        <v>3422</v>
      </c>
      <c r="V753" s="16" t="s">
        <v>3423</v>
      </c>
      <c r="W753" s="16" t="s">
        <v>188</v>
      </c>
      <c r="X753" s="16" t="s">
        <v>181</v>
      </c>
      <c r="Y753" s="100"/>
      <c r="Z753" s="16" t="s">
        <v>181</v>
      </c>
    </row>
    <row r="754">
      <c r="A754" s="16">
        <v>13244.0</v>
      </c>
      <c r="B754" s="16" t="s">
        <v>3424</v>
      </c>
      <c r="C754" s="16">
        <v>0.0</v>
      </c>
      <c r="D754" s="174" t="s">
        <v>3425</v>
      </c>
      <c r="E754" s="16"/>
      <c r="F754" s="16">
        <v>547.0</v>
      </c>
      <c r="G754" s="16" t="s">
        <v>176</v>
      </c>
      <c r="H754" s="16" t="s">
        <v>17</v>
      </c>
      <c r="I754" s="16" t="s">
        <v>19</v>
      </c>
      <c r="J754" s="16"/>
      <c r="K754" s="16"/>
      <c r="L754" s="16"/>
      <c r="M754" s="16"/>
      <c r="N754" s="16"/>
      <c r="O754" s="16"/>
      <c r="P754" s="16"/>
      <c r="Q754" s="16"/>
      <c r="R754" s="16"/>
      <c r="S754" s="16">
        <v>-2.0</v>
      </c>
      <c r="T754" s="16"/>
      <c r="U754" s="16" t="s">
        <v>3426</v>
      </c>
      <c r="V754" s="16" t="s">
        <v>3427</v>
      </c>
      <c r="W754" s="16" t="s">
        <v>422</v>
      </c>
      <c r="X754" s="16" t="s">
        <v>181</v>
      </c>
      <c r="Y754" s="100"/>
      <c r="Z754" s="16" t="s">
        <v>181</v>
      </c>
    </row>
    <row r="755">
      <c r="A755" s="16">
        <v>13245.0</v>
      </c>
      <c r="B755" s="16" t="s">
        <v>3428</v>
      </c>
      <c r="C755" s="16">
        <v>0.0</v>
      </c>
      <c r="D755" s="174" t="s">
        <v>3429</v>
      </c>
      <c r="E755" s="16"/>
      <c r="F755" s="16">
        <v>547.0</v>
      </c>
      <c r="G755" s="16" t="s">
        <v>176</v>
      </c>
      <c r="H755" s="16" t="s">
        <v>25</v>
      </c>
      <c r="I755" s="16"/>
      <c r="J755" s="16"/>
      <c r="K755" s="16"/>
      <c r="L755" s="16"/>
      <c r="M755" s="16"/>
      <c r="N755" s="16"/>
      <c r="O755" s="16"/>
      <c r="P755" s="16"/>
      <c r="Q755" s="16"/>
      <c r="R755" s="16"/>
      <c r="S755" s="16">
        <v>-2.0</v>
      </c>
      <c r="T755" s="16"/>
      <c r="U755" s="16" t="s">
        <v>3430</v>
      </c>
      <c r="V755" s="16" t="s">
        <v>3431</v>
      </c>
      <c r="W755" s="16" t="s">
        <v>661</v>
      </c>
      <c r="X755" s="16" t="s">
        <v>181</v>
      </c>
      <c r="Y755" s="100"/>
      <c r="Z755" s="16" t="s">
        <v>181</v>
      </c>
    </row>
    <row r="756">
      <c r="A756" s="16">
        <v>13246.0</v>
      </c>
      <c r="B756" s="16" t="s">
        <v>3432</v>
      </c>
      <c r="C756" s="16">
        <v>0.0</v>
      </c>
      <c r="D756" s="174" t="s">
        <v>3433</v>
      </c>
      <c r="E756" s="16"/>
      <c r="F756" s="16">
        <v>547.0</v>
      </c>
      <c r="G756" s="16" t="s">
        <v>176</v>
      </c>
      <c r="H756" s="16" t="s">
        <v>24</v>
      </c>
      <c r="I756" s="16" t="s">
        <v>25</v>
      </c>
      <c r="J756" s="16"/>
      <c r="K756" s="16"/>
      <c r="L756" s="16"/>
      <c r="M756" s="16"/>
      <c r="N756" s="16"/>
      <c r="O756" s="16"/>
      <c r="P756" s="16"/>
      <c r="Q756" s="16"/>
      <c r="R756" s="16"/>
      <c r="S756" s="16">
        <v>-2.0</v>
      </c>
      <c r="T756" s="16"/>
      <c r="U756" s="16" t="s">
        <v>3434</v>
      </c>
      <c r="V756" s="16" t="s">
        <v>3435</v>
      </c>
      <c r="W756" s="16" t="s">
        <v>199</v>
      </c>
      <c r="X756" s="16" t="s">
        <v>181</v>
      </c>
      <c r="Y756" s="100"/>
      <c r="Z756" s="16" t="s">
        <v>181</v>
      </c>
    </row>
    <row r="757">
      <c r="A757" s="16">
        <v>13247.0</v>
      </c>
      <c r="B757" s="16" t="s">
        <v>3436</v>
      </c>
      <c r="C757" s="16">
        <v>0.93</v>
      </c>
      <c r="D757" s="174" t="s">
        <v>3437</v>
      </c>
      <c r="E757" s="16"/>
      <c r="F757" s="16">
        <v>587.0</v>
      </c>
      <c r="G757" s="16" t="s">
        <v>289</v>
      </c>
      <c r="H757" s="16" t="s">
        <v>24</v>
      </c>
      <c r="I757" s="16" t="s">
        <v>25</v>
      </c>
      <c r="J757" s="16"/>
      <c r="K757" s="16"/>
      <c r="L757" s="16"/>
      <c r="M757" s="16"/>
      <c r="N757" s="16"/>
      <c r="O757" s="16"/>
      <c r="P757" s="16"/>
      <c r="Q757" s="16"/>
      <c r="R757" s="16"/>
      <c r="S757" s="16">
        <v>-2.0</v>
      </c>
      <c r="T757" s="16"/>
      <c r="U757" s="16" t="s">
        <v>3438</v>
      </c>
      <c r="V757" s="16" t="s">
        <v>3439</v>
      </c>
      <c r="W757" s="16" t="s">
        <v>188</v>
      </c>
      <c r="X757" s="16" t="s">
        <v>181</v>
      </c>
      <c r="Y757" s="100"/>
      <c r="Z757" s="16" t="s">
        <v>181</v>
      </c>
    </row>
    <row r="758">
      <c r="A758" s="16">
        <v>13248.0</v>
      </c>
      <c r="B758" s="16" t="s">
        <v>3440</v>
      </c>
      <c r="C758" s="16">
        <v>0.0</v>
      </c>
      <c r="D758" s="174" t="s">
        <v>3441</v>
      </c>
      <c r="E758" s="16"/>
      <c r="F758" s="16">
        <v>547.0</v>
      </c>
      <c r="G758" s="16" t="s">
        <v>176</v>
      </c>
      <c r="H758" s="16" t="s">
        <v>25</v>
      </c>
      <c r="I758" s="16" t="s">
        <v>26</v>
      </c>
      <c r="J758" s="16"/>
      <c r="K758" s="16"/>
      <c r="L758" s="16"/>
      <c r="M758" s="16"/>
      <c r="N758" s="16"/>
      <c r="O758" s="16"/>
      <c r="P758" s="16"/>
      <c r="Q758" s="16"/>
      <c r="R758" s="16"/>
      <c r="S758" s="16">
        <v>-2.0</v>
      </c>
      <c r="T758" s="16"/>
      <c r="U758" s="16" t="s">
        <v>3442</v>
      </c>
      <c r="V758" s="16" t="s">
        <v>3443</v>
      </c>
      <c r="W758" s="16" t="s">
        <v>179</v>
      </c>
      <c r="X758" s="16" t="s">
        <v>181</v>
      </c>
      <c r="Y758" s="100"/>
      <c r="Z758" s="16" t="s">
        <v>181</v>
      </c>
    </row>
    <row r="759">
      <c r="A759" s="16">
        <v>13249.0</v>
      </c>
      <c r="B759" s="16" t="s">
        <v>3444</v>
      </c>
      <c r="C759" s="16">
        <v>0.0</v>
      </c>
      <c r="D759" s="174" t="s">
        <v>3445</v>
      </c>
      <c r="E759" s="16"/>
      <c r="F759" s="16">
        <v>547.0</v>
      </c>
      <c r="G759" s="16" t="s">
        <v>176</v>
      </c>
      <c r="H759" s="16" t="s">
        <v>15</v>
      </c>
      <c r="I759" s="16" t="s">
        <v>19</v>
      </c>
      <c r="J759" s="16"/>
      <c r="K759" s="16"/>
      <c r="L759" s="16"/>
      <c r="M759" s="16"/>
      <c r="N759" s="16"/>
      <c r="O759" s="16"/>
      <c r="P759" s="16"/>
      <c r="Q759" s="16"/>
      <c r="R759" s="16"/>
      <c r="S759" s="16">
        <v>-2.0</v>
      </c>
      <c r="T759" s="16"/>
      <c r="U759" s="16" t="s">
        <v>3446</v>
      </c>
      <c r="V759" s="16" t="s">
        <v>3447</v>
      </c>
      <c r="W759" s="16" t="s">
        <v>600</v>
      </c>
      <c r="X759" s="16" t="s">
        <v>181</v>
      </c>
      <c r="Y759" s="100"/>
      <c r="Z759" s="16" t="s">
        <v>181</v>
      </c>
    </row>
    <row r="760">
      <c r="A760" s="16">
        <v>13250.0</v>
      </c>
      <c r="B760" s="16" t="s">
        <v>3448</v>
      </c>
      <c r="C760" s="16">
        <v>0.61</v>
      </c>
      <c r="D760" s="174" t="s">
        <v>3449</v>
      </c>
      <c r="E760" s="16"/>
      <c r="F760" s="16">
        <v>547.0</v>
      </c>
      <c r="G760" s="16" t="s">
        <v>176</v>
      </c>
      <c r="H760" s="16" t="s">
        <v>14</v>
      </c>
      <c r="I760" s="16" t="s">
        <v>15</v>
      </c>
      <c r="J760" s="16" t="s">
        <v>16</v>
      </c>
      <c r="K760" s="16"/>
      <c r="L760" s="16"/>
      <c r="M760" s="16"/>
      <c r="N760" s="16"/>
      <c r="O760" s="16"/>
      <c r="P760" s="16"/>
      <c r="Q760" s="16"/>
      <c r="R760" s="16"/>
      <c r="S760" s="16">
        <v>-2.0</v>
      </c>
      <c r="T760" s="16"/>
      <c r="U760" s="16" t="s">
        <v>3450</v>
      </c>
      <c r="V760" s="16" t="s">
        <v>3451</v>
      </c>
      <c r="W760" s="16" t="s">
        <v>199</v>
      </c>
      <c r="X760" s="16" t="s">
        <v>181</v>
      </c>
      <c r="Y760" s="100"/>
      <c r="Z760" s="16" t="s">
        <v>181</v>
      </c>
    </row>
    <row r="761">
      <c r="A761" s="16">
        <v>13251.0</v>
      </c>
      <c r="B761" s="16" t="s">
        <v>3452</v>
      </c>
      <c r="C761" s="16">
        <v>0.13</v>
      </c>
      <c r="D761" s="174" t="s">
        <v>3453</v>
      </c>
      <c r="E761" s="16"/>
      <c r="F761" s="16">
        <v>576.0</v>
      </c>
      <c r="G761" s="16" t="s">
        <v>521</v>
      </c>
      <c r="H761" s="16" t="s">
        <v>16</v>
      </c>
      <c r="I761" s="16" t="s">
        <v>14</v>
      </c>
      <c r="J761" s="16"/>
      <c r="K761" s="16"/>
      <c r="L761" s="16"/>
      <c r="M761" s="16"/>
      <c r="N761" s="16"/>
      <c r="O761" s="16"/>
      <c r="P761" s="16"/>
      <c r="Q761" s="16"/>
      <c r="R761" s="16" t="s">
        <v>927</v>
      </c>
      <c r="S761" s="16">
        <v>-2.0</v>
      </c>
      <c r="T761" s="16"/>
      <c r="U761" s="16" t="s">
        <v>3454</v>
      </c>
      <c r="V761" s="16" t="s">
        <v>3455</v>
      </c>
      <c r="W761" s="16" t="s">
        <v>491</v>
      </c>
      <c r="X761" s="16" t="s">
        <v>181</v>
      </c>
      <c r="Y761" s="100"/>
      <c r="Z761" s="16" t="s">
        <v>181</v>
      </c>
    </row>
    <row r="762">
      <c r="A762" s="16">
        <v>13252.0</v>
      </c>
      <c r="B762" s="16" t="s">
        <v>3456</v>
      </c>
      <c r="C762" s="16">
        <v>1.67</v>
      </c>
      <c r="D762" s="174" t="s">
        <v>3457</v>
      </c>
      <c r="E762" s="16"/>
      <c r="F762" s="16">
        <v>572.0</v>
      </c>
      <c r="G762" s="16" t="s">
        <v>306</v>
      </c>
      <c r="H762" s="16" t="s">
        <v>14</v>
      </c>
      <c r="I762" s="16" t="s">
        <v>16</v>
      </c>
      <c r="J762" s="16"/>
      <c r="K762" s="16"/>
      <c r="L762" s="16"/>
      <c r="M762" s="16"/>
      <c r="N762" s="16"/>
      <c r="O762" s="16"/>
      <c r="P762" s="16"/>
      <c r="Q762" s="16"/>
      <c r="R762" s="16"/>
      <c r="S762" s="16">
        <v>-2.0</v>
      </c>
      <c r="T762" s="16"/>
      <c r="U762" s="16" t="s">
        <v>3458</v>
      </c>
      <c r="V762" s="16" t="s">
        <v>3459</v>
      </c>
      <c r="W762" s="16" t="s">
        <v>188</v>
      </c>
      <c r="X762" s="16" t="s">
        <v>181</v>
      </c>
      <c r="Y762" s="100"/>
      <c r="Z762" s="16" t="s">
        <v>181</v>
      </c>
    </row>
    <row r="763">
      <c r="A763" s="16">
        <v>13253.0</v>
      </c>
      <c r="B763" s="16" t="s">
        <v>3460</v>
      </c>
      <c r="C763" s="16">
        <v>0.0</v>
      </c>
      <c r="D763" s="174" t="s">
        <v>3461</v>
      </c>
      <c r="E763" s="16"/>
      <c r="F763" s="16">
        <v>547.0</v>
      </c>
      <c r="G763" s="16" t="s">
        <v>176</v>
      </c>
      <c r="H763" s="16" t="s">
        <v>13</v>
      </c>
      <c r="I763" s="16"/>
      <c r="J763" s="16"/>
      <c r="K763" s="16"/>
      <c r="L763" s="16"/>
      <c r="M763" s="16"/>
      <c r="N763" s="16"/>
      <c r="O763" s="16"/>
      <c r="P763" s="16"/>
      <c r="Q763" s="16"/>
      <c r="R763" s="16"/>
      <c r="S763" s="16">
        <v>-2.0</v>
      </c>
      <c r="T763" s="16"/>
      <c r="U763" s="16" t="s">
        <v>3462</v>
      </c>
      <c r="V763" s="16" t="s">
        <v>3463</v>
      </c>
      <c r="W763" s="16" t="s">
        <v>199</v>
      </c>
      <c r="X763" s="16" t="s">
        <v>181</v>
      </c>
      <c r="Y763" s="100"/>
      <c r="Z763" s="16" t="s">
        <v>181</v>
      </c>
    </row>
    <row r="764">
      <c r="A764" s="16">
        <v>13254.0</v>
      </c>
      <c r="B764" s="16" t="s">
        <v>3464</v>
      </c>
      <c r="C764" s="16">
        <v>0.0</v>
      </c>
      <c r="D764" s="174" t="s">
        <v>3465</v>
      </c>
      <c r="E764" s="16"/>
      <c r="F764" s="16">
        <v>547.0</v>
      </c>
      <c r="G764" s="16" t="s">
        <v>176</v>
      </c>
      <c r="H764" s="16" t="s">
        <v>25</v>
      </c>
      <c r="I764" s="16"/>
      <c r="J764" s="16"/>
      <c r="K764" s="16"/>
      <c r="L764" s="16"/>
      <c r="M764" s="16"/>
      <c r="N764" s="16"/>
      <c r="O764" s="16"/>
      <c r="P764" s="16"/>
      <c r="Q764" s="16"/>
      <c r="R764" s="16"/>
      <c r="S764" s="16">
        <v>-2.0</v>
      </c>
      <c r="T764" s="16"/>
      <c r="U764" s="16" t="s">
        <v>3466</v>
      </c>
      <c r="V764" s="16" t="s">
        <v>3467</v>
      </c>
      <c r="W764" s="16" t="s">
        <v>199</v>
      </c>
      <c r="X764" s="16" t="s">
        <v>181</v>
      </c>
      <c r="Y764" s="100"/>
      <c r="Z764" s="16" t="s">
        <v>181</v>
      </c>
    </row>
    <row r="765">
      <c r="A765" s="16">
        <v>13255.0</v>
      </c>
      <c r="B765" s="16" t="s">
        <v>3468</v>
      </c>
      <c r="C765" s="16">
        <v>0.0</v>
      </c>
      <c r="D765" s="174" t="s">
        <v>3469</v>
      </c>
      <c r="E765" s="16"/>
      <c r="F765" s="16">
        <v>547.0</v>
      </c>
      <c r="G765" s="16" t="s">
        <v>176</v>
      </c>
      <c r="H765" s="16" t="s">
        <v>15</v>
      </c>
      <c r="I765" s="16" t="s">
        <v>14</v>
      </c>
      <c r="J765" s="16"/>
      <c r="K765" s="16"/>
      <c r="L765" s="16"/>
      <c r="M765" s="16"/>
      <c r="N765" s="16"/>
      <c r="O765" s="16"/>
      <c r="P765" s="16"/>
      <c r="Q765" s="16"/>
      <c r="R765" s="16"/>
      <c r="S765" s="16">
        <v>-2.0</v>
      </c>
      <c r="T765" s="16"/>
      <c r="U765" s="16" t="s">
        <v>3470</v>
      </c>
      <c r="V765" s="16" t="s">
        <v>3471</v>
      </c>
      <c r="W765" s="16" t="s">
        <v>332</v>
      </c>
      <c r="X765" s="16" t="s">
        <v>181</v>
      </c>
      <c r="Y765" s="100"/>
      <c r="Z765" s="16" t="s">
        <v>181</v>
      </c>
    </row>
    <row r="766">
      <c r="A766" s="16">
        <v>13256.0</v>
      </c>
      <c r="B766" s="16" t="s">
        <v>3472</v>
      </c>
      <c r="C766" s="16">
        <v>1.14</v>
      </c>
      <c r="D766" s="174" t="s">
        <v>3473</v>
      </c>
      <c r="E766" s="16"/>
      <c r="F766" s="16">
        <v>551.0</v>
      </c>
      <c r="G766" s="16" t="s">
        <v>200</v>
      </c>
      <c r="H766" s="16" t="s">
        <v>15</v>
      </c>
      <c r="I766" s="16"/>
      <c r="J766" s="16"/>
      <c r="K766" s="16"/>
      <c r="L766" s="16"/>
      <c r="M766" s="16"/>
      <c r="N766" s="16"/>
      <c r="O766" s="16"/>
      <c r="P766" s="16"/>
      <c r="Q766" s="16"/>
      <c r="R766" s="16"/>
      <c r="S766" s="16">
        <v>-2.0</v>
      </c>
      <c r="T766" s="174" t="s">
        <v>3474</v>
      </c>
      <c r="U766" s="16" t="s">
        <v>3475</v>
      </c>
      <c r="V766" s="16" t="s">
        <v>3476</v>
      </c>
      <c r="W766" s="16" t="s">
        <v>188</v>
      </c>
      <c r="X766" s="16" t="s">
        <v>181</v>
      </c>
      <c r="Y766" s="100"/>
      <c r="Z766" s="16" t="s">
        <v>181</v>
      </c>
    </row>
    <row r="767">
      <c r="A767" s="16">
        <v>13257.0</v>
      </c>
      <c r="B767" s="16" t="s">
        <v>3477</v>
      </c>
      <c r="C767" s="16">
        <v>0.22</v>
      </c>
      <c r="D767" s="174" t="s">
        <v>3478</v>
      </c>
      <c r="E767" s="16"/>
      <c r="F767" s="16">
        <v>547.0</v>
      </c>
      <c r="G767" s="16" t="s">
        <v>176</v>
      </c>
      <c r="H767" s="16" t="s">
        <v>14</v>
      </c>
      <c r="I767" s="16" t="s">
        <v>15</v>
      </c>
      <c r="J767" s="16"/>
      <c r="K767" s="16"/>
      <c r="L767" s="16"/>
      <c r="M767" s="16"/>
      <c r="N767" s="16"/>
      <c r="O767" s="16"/>
      <c r="P767" s="16"/>
      <c r="Q767" s="16"/>
      <c r="R767" s="16"/>
      <c r="S767" s="16">
        <v>-2.0</v>
      </c>
      <c r="T767" s="16"/>
      <c r="U767" s="16" t="s">
        <v>3479</v>
      </c>
      <c r="V767" s="16" t="s">
        <v>3480</v>
      </c>
      <c r="W767" s="16" t="s">
        <v>179</v>
      </c>
      <c r="X767" s="16" t="s">
        <v>181</v>
      </c>
      <c r="Y767" s="100"/>
      <c r="Z767" s="16" t="s">
        <v>181</v>
      </c>
    </row>
    <row r="768">
      <c r="A768" s="16">
        <v>13258.0</v>
      </c>
      <c r="B768" s="16" t="s">
        <v>3481</v>
      </c>
      <c r="C768" s="16">
        <v>0.0</v>
      </c>
      <c r="D768" s="174" t="s">
        <v>3482</v>
      </c>
      <c r="E768" s="16"/>
      <c r="F768" s="16">
        <v>547.0</v>
      </c>
      <c r="G768" s="16" t="s">
        <v>176</v>
      </c>
      <c r="H768" s="16" t="s">
        <v>17</v>
      </c>
      <c r="I768" s="16"/>
      <c r="J768" s="16"/>
      <c r="K768" s="16"/>
      <c r="L768" s="16"/>
      <c r="M768" s="16"/>
      <c r="N768" s="16"/>
      <c r="O768" s="16"/>
      <c r="P768" s="16"/>
      <c r="Q768" s="16"/>
      <c r="R768" s="16"/>
      <c r="S768" s="16">
        <v>-2.0</v>
      </c>
      <c r="T768" s="16"/>
      <c r="U768" s="16" t="s">
        <v>3483</v>
      </c>
      <c r="V768" s="16" t="s">
        <v>3484</v>
      </c>
      <c r="W768" s="16" t="s">
        <v>942</v>
      </c>
      <c r="X768" s="16" t="s">
        <v>181</v>
      </c>
      <c r="Y768" s="100"/>
      <c r="Z768" s="16" t="s">
        <v>181</v>
      </c>
    </row>
    <row r="769">
      <c r="A769" s="16">
        <v>13259.0</v>
      </c>
      <c r="B769" s="16" t="s">
        <v>3485</v>
      </c>
      <c r="C769" s="16">
        <v>0.62</v>
      </c>
      <c r="D769" s="174" t="s">
        <v>3486</v>
      </c>
      <c r="E769" s="16"/>
      <c r="F769" s="16">
        <v>547.0</v>
      </c>
      <c r="G769" s="16" t="s">
        <v>176</v>
      </c>
      <c r="H769" s="16" t="s">
        <v>13</v>
      </c>
      <c r="I769" s="16"/>
      <c r="J769" s="16"/>
      <c r="K769" s="16"/>
      <c r="L769" s="16"/>
      <c r="M769" s="16"/>
      <c r="N769" s="16"/>
      <c r="O769" s="16"/>
      <c r="P769" s="16"/>
      <c r="Q769" s="16"/>
      <c r="R769" s="16"/>
      <c r="S769" s="16">
        <v>-2.0</v>
      </c>
      <c r="T769" s="16"/>
      <c r="U769" s="16" t="s">
        <v>3487</v>
      </c>
      <c r="V769" s="16" t="s">
        <v>3488</v>
      </c>
      <c r="W769" s="16" t="s">
        <v>443</v>
      </c>
      <c r="X769" s="16" t="s">
        <v>181</v>
      </c>
      <c r="Y769" s="100"/>
      <c r="Z769" s="16" t="s">
        <v>181</v>
      </c>
    </row>
    <row r="770">
      <c r="A770" s="16">
        <v>13260.0</v>
      </c>
      <c r="B770" s="16" t="s">
        <v>3489</v>
      </c>
      <c r="C770" s="16">
        <v>0.34</v>
      </c>
      <c r="D770" s="174" t="s">
        <v>3490</v>
      </c>
      <c r="E770" s="16"/>
      <c r="F770" s="16">
        <v>547.0</v>
      </c>
      <c r="G770" s="16" t="s">
        <v>176</v>
      </c>
      <c r="H770" s="16" t="s">
        <v>15</v>
      </c>
      <c r="I770" s="16" t="s">
        <v>13</v>
      </c>
      <c r="J770" s="16" t="s">
        <v>14</v>
      </c>
      <c r="K770" s="16"/>
      <c r="L770" s="16"/>
      <c r="M770" s="16"/>
      <c r="N770" s="16"/>
      <c r="O770" s="16"/>
      <c r="P770" s="16"/>
      <c r="Q770" s="16"/>
      <c r="R770" s="16"/>
      <c r="S770" s="16">
        <v>-2.0</v>
      </c>
      <c r="T770" s="16"/>
      <c r="U770" s="16" t="s">
        <v>3491</v>
      </c>
      <c r="V770" s="16" t="s">
        <v>3492</v>
      </c>
      <c r="W770" s="16" t="s">
        <v>459</v>
      </c>
      <c r="X770" s="16" t="s">
        <v>181</v>
      </c>
      <c r="Y770" s="100"/>
      <c r="Z770" s="16" t="s">
        <v>181</v>
      </c>
    </row>
    <row r="771">
      <c r="A771" s="16">
        <v>13261.0</v>
      </c>
      <c r="B771" s="16" t="s">
        <v>3493</v>
      </c>
      <c r="C771" s="16">
        <v>0.0</v>
      </c>
      <c r="D771" s="174" t="s">
        <v>3494</v>
      </c>
      <c r="E771" s="16"/>
      <c r="F771" s="16">
        <v>547.0</v>
      </c>
      <c r="G771" s="16" t="s">
        <v>176</v>
      </c>
      <c r="H771" s="16" t="s">
        <v>12</v>
      </c>
      <c r="I771" s="16"/>
      <c r="J771" s="16"/>
      <c r="K771" s="16"/>
      <c r="L771" s="16"/>
      <c r="M771" s="16"/>
      <c r="N771" s="16"/>
      <c r="O771" s="16"/>
      <c r="P771" s="16"/>
      <c r="Q771" s="16"/>
      <c r="R771" s="16"/>
      <c r="S771" s="16">
        <v>-2.0</v>
      </c>
      <c r="T771" s="16"/>
      <c r="U771" s="16" t="s">
        <v>3495</v>
      </c>
      <c r="V771" s="16" t="s">
        <v>3496</v>
      </c>
      <c r="W771" s="16" t="s">
        <v>399</v>
      </c>
      <c r="X771" s="16" t="s">
        <v>181</v>
      </c>
      <c r="Y771" s="100"/>
      <c r="Z771" s="16" t="s">
        <v>181</v>
      </c>
    </row>
    <row r="772">
      <c r="A772" s="16">
        <v>13262.0</v>
      </c>
      <c r="B772" s="16" t="s">
        <v>3497</v>
      </c>
      <c r="C772" s="16">
        <v>1.21</v>
      </c>
      <c r="D772" s="174" t="s">
        <v>3498</v>
      </c>
      <c r="E772" s="16"/>
      <c r="F772" s="16">
        <v>547.0</v>
      </c>
      <c r="G772" s="16" t="s">
        <v>176</v>
      </c>
      <c r="H772" s="16" t="s">
        <v>16</v>
      </c>
      <c r="I772" s="16" t="s">
        <v>18</v>
      </c>
      <c r="J772" s="16"/>
      <c r="K772" s="16"/>
      <c r="L772" s="16"/>
      <c r="M772" s="16"/>
      <c r="N772" s="16"/>
      <c r="O772" s="16"/>
      <c r="P772" s="16"/>
      <c r="Q772" s="16"/>
      <c r="R772" s="16"/>
      <c r="S772" s="16">
        <v>-2.0</v>
      </c>
      <c r="T772" s="16"/>
      <c r="U772" s="16" t="s">
        <v>3499</v>
      </c>
      <c r="V772" s="16" t="s">
        <v>3500</v>
      </c>
      <c r="W772" s="16" t="s">
        <v>443</v>
      </c>
      <c r="X772" s="16" t="s">
        <v>181</v>
      </c>
      <c r="Y772" s="100"/>
      <c r="Z772" s="16" t="s">
        <v>181</v>
      </c>
    </row>
    <row r="773">
      <c r="A773" s="16">
        <v>13263.0</v>
      </c>
      <c r="B773" s="16" t="s">
        <v>3501</v>
      </c>
      <c r="C773" s="16">
        <v>1.22</v>
      </c>
      <c r="D773" s="174" t="s">
        <v>3502</v>
      </c>
      <c r="E773" s="16"/>
      <c r="F773" s="16">
        <v>572.0</v>
      </c>
      <c r="G773" s="16" t="s">
        <v>306</v>
      </c>
      <c r="H773" s="16" t="s">
        <v>24</v>
      </c>
      <c r="I773" s="16" t="s">
        <v>25</v>
      </c>
      <c r="J773" s="16"/>
      <c r="K773" s="16"/>
      <c r="L773" s="16"/>
      <c r="M773" s="16"/>
      <c r="N773" s="16"/>
      <c r="O773" s="16"/>
      <c r="P773" s="16"/>
      <c r="Q773" s="16"/>
      <c r="R773" s="16"/>
      <c r="S773" s="16">
        <v>-2.0</v>
      </c>
      <c r="T773" s="16"/>
      <c r="U773" s="16" t="s">
        <v>3503</v>
      </c>
      <c r="V773" s="16" t="s">
        <v>3504</v>
      </c>
      <c r="W773" s="16" t="s">
        <v>179</v>
      </c>
      <c r="X773" s="16" t="s">
        <v>181</v>
      </c>
      <c r="Y773" s="100"/>
      <c r="Z773" s="16" t="s">
        <v>181</v>
      </c>
    </row>
    <row r="774">
      <c r="A774" s="16">
        <v>13264.0</v>
      </c>
      <c r="B774" s="16" t="s">
        <v>3505</v>
      </c>
      <c r="C774" s="16">
        <v>0.14</v>
      </c>
      <c r="D774" s="174" t="s">
        <v>3506</v>
      </c>
      <c r="E774" s="16"/>
      <c r="F774" s="16">
        <v>547.0</v>
      </c>
      <c r="G774" s="16" t="s">
        <v>176</v>
      </c>
      <c r="H774" s="16" t="s">
        <v>16</v>
      </c>
      <c r="I774" s="16"/>
      <c r="J774" s="16"/>
      <c r="K774" s="16"/>
      <c r="L774" s="16"/>
      <c r="M774" s="16"/>
      <c r="N774" s="16"/>
      <c r="O774" s="16"/>
      <c r="P774" s="16"/>
      <c r="Q774" s="16"/>
      <c r="R774" s="16"/>
      <c r="S774" s="16">
        <v>-2.0</v>
      </c>
      <c r="T774" s="16"/>
      <c r="U774" s="16" t="s">
        <v>3507</v>
      </c>
      <c r="V774" s="16" t="s">
        <v>3508</v>
      </c>
      <c r="W774" s="16" t="s">
        <v>188</v>
      </c>
      <c r="X774" s="16" t="s">
        <v>181</v>
      </c>
      <c r="Y774" s="100"/>
      <c r="Z774" s="16" t="s">
        <v>181</v>
      </c>
    </row>
    <row r="775">
      <c r="A775" s="16">
        <v>13265.0</v>
      </c>
      <c r="B775" s="16" t="s">
        <v>3509</v>
      </c>
      <c r="C775" s="16">
        <v>2.01</v>
      </c>
      <c r="D775" s="174" t="s">
        <v>3510</v>
      </c>
      <c r="E775" s="16"/>
      <c r="F775" s="16">
        <v>578.0</v>
      </c>
      <c r="G775" s="16" t="s">
        <v>333</v>
      </c>
      <c r="H775" s="16" t="s">
        <v>24</v>
      </c>
      <c r="I775" s="16" t="s">
        <v>25</v>
      </c>
      <c r="J775" s="16"/>
      <c r="K775" s="16"/>
      <c r="L775" s="16"/>
      <c r="M775" s="16"/>
      <c r="N775" s="16"/>
      <c r="O775" s="16"/>
      <c r="P775" s="16"/>
      <c r="Q775" s="16"/>
      <c r="R775" s="16"/>
      <c r="S775" s="16">
        <v>-2.0</v>
      </c>
      <c r="T775" s="16"/>
      <c r="U775" s="16" t="s">
        <v>3511</v>
      </c>
      <c r="V775" s="16" t="s">
        <v>3512</v>
      </c>
      <c r="W775" s="16" t="s">
        <v>600</v>
      </c>
      <c r="X775" s="16" t="s">
        <v>181</v>
      </c>
      <c r="Y775" s="100"/>
      <c r="Z775" s="16" t="s">
        <v>181</v>
      </c>
    </row>
    <row r="776">
      <c r="A776" s="16">
        <v>13266.0</v>
      </c>
      <c r="B776" s="16" t="s">
        <v>3513</v>
      </c>
      <c r="C776" s="16">
        <v>1.16</v>
      </c>
      <c r="D776" s="174" t="s">
        <v>3514</v>
      </c>
      <c r="E776" s="16"/>
      <c r="F776" s="16">
        <v>547.0</v>
      </c>
      <c r="G776" s="16" t="s">
        <v>176</v>
      </c>
      <c r="H776" s="16" t="s">
        <v>15</v>
      </c>
      <c r="I776" s="16" t="s">
        <v>14</v>
      </c>
      <c r="J776" s="16" t="s">
        <v>13</v>
      </c>
      <c r="K776" s="16" t="s">
        <v>16</v>
      </c>
      <c r="L776" s="16" t="s">
        <v>19</v>
      </c>
      <c r="M776" s="16" t="s">
        <v>17</v>
      </c>
      <c r="N776" s="16"/>
      <c r="O776" s="16"/>
      <c r="P776" s="16"/>
      <c r="Q776" s="16"/>
      <c r="R776" s="16"/>
      <c r="S776" s="16">
        <v>-2.0</v>
      </c>
      <c r="T776" s="16"/>
      <c r="U776" s="16" t="s">
        <v>3515</v>
      </c>
      <c r="V776" s="16" t="s">
        <v>3516</v>
      </c>
      <c r="W776" s="16" t="s">
        <v>179</v>
      </c>
      <c r="X776" s="16" t="s">
        <v>181</v>
      </c>
      <c r="Y776" s="100"/>
      <c r="Z776" s="16" t="s">
        <v>181</v>
      </c>
    </row>
    <row r="777">
      <c r="A777" s="16">
        <v>13267.0</v>
      </c>
      <c r="B777" s="16" t="s">
        <v>3517</v>
      </c>
      <c r="C777" s="16">
        <v>1.74</v>
      </c>
      <c r="D777" s="174" t="s">
        <v>3518</v>
      </c>
      <c r="E777" s="16"/>
      <c r="F777" s="16">
        <v>557.0</v>
      </c>
      <c r="G777" s="16" t="s">
        <v>232</v>
      </c>
      <c r="H777" s="16" t="s">
        <v>14</v>
      </c>
      <c r="I777" s="16" t="s">
        <v>16</v>
      </c>
      <c r="J777" s="16" t="s">
        <v>15</v>
      </c>
      <c r="K777" s="16" t="s">
        <v>17</v>
      </c>
      <c r="L777" s="16" t="s">
        <v>18</v>
      </c>
      <c r="M777" s="16"/>
      <c r="N777" s="16"/>
      <c r="O777" s="16"/>
      <c r="P777" s="16"/>
      <c r="Q777" s="16"/>
      <c r="R777" s="16"/>
      <c r="S777" s="16">
        <v>-2.0</v>
      </c>
      <c r="T777" s="16"/>
      <c r="U777" s="16" t="s">
        <v>3519</v>
      </c>
      <c r="V777" s="16" t="s">
        <v>3520</v>
      </c>
      <c r="W777" s="16" t="s">
        <v>675</v>
      </c>
      <c r="X777" s="16" t="s">
        <v>181</v>
      </c>
      <c r="Y777" s="100"/>
      <c r="Z777" s="16" t="s">
        <v>181</v>
      </c>
    </row>
    <row r="778">
      <c r="A778" s="16">
        <v>13268.0</v>
      </c>
      <c r="B778" s="16" t="s">
        <v>3521</v>
      </c>
      <c r="C778" s="16">
        <v>1.07</v>
      </c>
      <c r="D778" s="174" t="s">
        <v>3522</v>
      </c>
      <c r="E778" s="16"/>
      <c r="F778" s="16">
        <v>547.0</v>
      </c>
      <c r="G778" s="16" t="s">
        <v>176</v>
      </c>
      <c r="H778" s="16" t="s">
        <v>14</v>
      </c>
      <c r="I778" s="16"/>
      <c r="J778" s="16"/>
      <c r="K778" s="16"/>
      <c r="L778" s="16"/>
      <c r="M778" s="16"/>
      <c r="N778" s="16"/>
      <c r="O778" s="16"/>
      <c r="P778" s="16"/>
      <c r="Q778" s="16"/>
      <c r="R778" s="16"/>
      <c r="S778" s="16">
        <v>-2.0</v>
      </c>
      <c r="T778" s="16"/>
      <c r="U778" s="16" t="s">
        <v>3523</v>
      </c>
      <c r="V778" s="16" t="s">
        <v>3524</v>
      </c>
      <c r="W778" s="16" t="s">
        <v>616</v>
      </c>
      <c r="X778" s="16" t="s">
        <v>181</v>
      </c>
      <c r="Y778" s="100"/>
      <c r="Z778" s="16" t="s">
        <v>181</v>
      </c>
    </row>
    <row r="779">
      <c r="A779" s="16">
        <v>13269.0</v>
      </c>
      <c r="B779" s="16" t="s">
        <v>3525</v>
      </c>
      <c r="C779" s="16">
        <v>1.21</v>
      </c>
      <c r="D779" s="174" t="s">
        <v>3526</v>
      </c>
      <c r="E779" s="16"/>
      <c r="F779" s="16">
        <v>581.0</v>
      </c>
      <c r="G779" s="16" t="s">
        <v>346</v>
      </c>
      <c r="H779" s="16" t="s">
        <v>24</v>
      </c>
      <c r="I779" s="16"/>
      <c r="J779" s="16"/>
      <c r="K779" s="16"/>
      <c r="L779" s="16"/>
      <c r="M779" s="16"/>
      <c r="N779" s="16"/>
      <c r="O779" s="16"/>
      <c r="P779" s="16"/>
      <c r="Q779" s="16"/>
      <c r="R779" s="16"/>
      <c r="S779" s="16">
        <v>-2.0</v>
      </c>
      <c r="T779" s="16"/>
      <c r="U779" s="16" t="s">
        <v>3527</v>
      </c>
      <c r="V779" s="16" t="s">
        <v>3528</v>
      </c>
      <c r="W779" s="16" t="s">
        <v>231</v>
      </c>
      <c r="X779" s="16" t="s">
        <v>181</v>
      </c>
      <c r="Y779" s="100"/>
      <c r="Z779" s="16" t="s">
        <v>181</v>
      </c>
    </row>
    <row r="780">
      <c r="A780" s="16">
        <v>13270.0</v>
      </c>
      <c r="B780" s="16" t="s">
        <v>3529</v>
      </c>
      <c r="C780" s="16">
        <v>0.0</v>
      </c>
      <c r="D780" s="174" t="s">
        <v>3530</v>
      </c>
      <c r="E780" s="16"/>
      <c r="F780" s="16">
        <v>547.0</v>
      </c>
      <c r="G780" s="16" t="s">
        <v>176</v>
      </c>
      <c r="H780" s="16" t="s">
        <v>15</v>
      </c>
      <c r="I780" s="16" t="s">
        <v>14</v>
      </c>
      <c r="J780" s="16" t="s">
        <v>13</v>
      </c>
      <c r="K780" s="16" t="s">
        <v>16</v>
      </c>
      <c r="L780" s="16"/>
      <c r="M780" s="16"/>
      <c r="N780" s="16"/>
      <c r="O780" s="16"/>
      <c r="P780" s="16"/>
      <c r="Q780" s="16"/>
      <c r="R780" s="16"/>
      <c r="S780" s="16">
        <v>-2.0</v>
      </c>
      <c r="T780" s="16"/>
      <c r="U780" s="16" t="s">
        <v>3531</v>
      </c>
      <c r="V780" s="16" t="s">
        <v>3532</v>
      </c>
      <c r="W780" s="16" t="s">
        <v>199</v>
      </c>
      <c r="X780" s="16" t="s">
        <v>181</v>
      </c>
      <c r="Y780" s="100"/>
      <c r="Z780" s="16" t="s">
        <v>181</v>
      </c>
    </row>
    <row r="781">
      <c r="A781" s="16">
        <v>13271.0</v>
      </c>
      <c r="B781" s="16" t="s">
        <v>3533</v>
      </c>
      <c r="C781" s="16">
        <v>2.14</v>
      </c>
      <c r="D781" s="174" t="s">
        <v>3534</v>
      </c>
      <c r="E781" s="16"/>
      <c r="F781" s="16">
        <v>571.0</v>
      </c>
      <c r="G781" s="16" t="s">
        <v>686</v>
      </c>
      <c r="H781" s="16" t="s">
        <v>18</v>
      </c>
      <c r="I781" s="16"/>
      <c r="J781" s="16"/>
      <c r="K781" s="16"/>
      <c r="L781" s="16"/>
      <c r="M781" s="16"/>
      <c r="N781" s="16"/>
      <c r="O781" s="16"/>
      <c r="P781" s="16"/>
      <c r="Q781" s="16"/>
      <c r="R781" s="16"/>
      <c r="S781" s="16">
        <v>-2.0</v>
      </c>
      <c r="T781" s="16"/>
      <c r="U781" s="16" t="s">
        <v>3535</v>
      </c>
      <c r="V781" s="16" t="s">
        <v>3536</v>
      </c>
      <c r="W781" s="16" t="s">
        <v>600</v>
      </c>
      <c r="X781" s="16" t="s">
        <v>181</v>
      </c>
      <c r="Y781" s="100"/>
      <c r="Z781" s="16" t="s">
        <v>181</v>
      </c>
    </row>
    <row r="782">
      <c r="A782" s="16">
        <v>13272.0</v>
      </c>
      <c r="B782" s="16" t="s">
        <v>3537</v>
      </c>
      <c r="C782" s="16">
        <v>1.17</v>
      </c>
      <c r="D782" s="174" t="s">
        <v>3538</v>
      </c>
      <c r="E782" s="16"/>
      <c r="F782" s="16">
        <v>547.0</v>
      </c>
      <c r="G782" s="16" t="s">
        <v>176</v>
      </c>
      <c r="H782" s="16" t="s">
        <v>12</v>
      </c>
      <c r="I782" s="16"/>
      <c r="J782" s="16"/>
      <c r="K782" s="16"/>
      <c r="L782" s="16"/>
      <c r="M782" s="16"/>
      <c r="N782" s="16"/>
      <c r="O782" s="16"/>
      <c r="P782" s="16"/>
      <c r="Q782" s="16"/>
      <c r="R782" s="16"/>
      <c r="S782" s="16">
        <v>-2.0</v>
      </c>
      <c r="T782" s="16"/>
      <c r="U782" s="16" t="s">
        <v>3539</v>
      </c>
      <c r="V782" s="16" t="s">
        <v>3540</v>
      </c>
      <c r="W782" s="16" t="s">
        <v>722</v>
      </c>
      <c r="X782" s="16" t="s">
        <v>181</v>
      </c>
      <c r="Y782" s="100"/>
      <c r="Z782" s="16" t="s">
        <v>181</v>
      </c>
    </row>
    <row r="783">
      <c r="A783" s="16">
        <v>13273.0</v>
      </c>
      <c r="B783" s="16" t="s">
        <v>3541</v>
      </c>
      <c r="C783" s="16">
        <v>0.0</v>
      </c>
      <c r="D783" s="174" t="s">
        <v>3542</v>
      </c>
      <c r="E783" s="16"/>
      <c r="F783" s="16">
        <v>547.0</v>
      </c>
      <c r="G783" s="16" t="s">
        <v>176</v>
      </c>
      <c r="H783" s="16" t="s">
        <v>24</v>
      </c>
      <c r="I783" s="16"/>
      <c r="J783" s="16"/>
      <c r="K783" s="16"/>
      <c r="L783" s="16"/>
      <c r="M783" s="16"/>
      <c r="N783" s="16"/>
      <c r="O783" s="16"/>
      <c r="P783" s="16"/>
      <c r="Q783" s="16"/>
      <c r="R783" s="16"/>
      <c r="S783" s="16">
        <v>-2.0</v>
      </c>
      <c r="T783" s="16"/>
      <c r="U783" s="16" t="s">
        <v>3543</v>
      </c>
      <c r="V783" s="16" t="s">
        <v>3544</v>
      </c>
      <c r="W783" s="16" t="s">
        <v>231</v>
      </c>
      <c r="X783" s="16" t="s">
        <v>181</v>
      </c>
      <c r="Y783" s="100"/>
      <c r="Z783" s="16" t="s">
        <v>181</v>
      </c>
    </row>
    <row r="784">
      <c r="A784" s="16">
        <v>13274.0</v>
      </c>
      <c r="B784" s="16" t="s">
        <v>3545</v>
      </c>
      <c r="C784" s="16">
        <v>0.0</v>
      </c>
      <c r="D784" s="174" t="s">
        <v>3546</v>
      </c>
      <c r="E784" s="16"/>
      <c r="F784" s="16">
        <v>547.0</v>
      </c>
      <c r="G784" s="16" t="s">
        <v>176</v>
      </c>
      <c r="H784" s="16" t="s">
        <v>24</v>
      </c>
      <c r="I784" s="16"/>
      <c r="J784" s="16"/>
      <c r="K784" s="16"/>
      <c r="L784" s="16"/>
      <c r="M784" s="16"/>
      <c r="N784" s="16"/>
      <c r="O784" s="16"/>
      <c r="P784" s="16"/>
      <c r="Q784" s="16"/>
      <c r="R784" s="16"/>
      <c r="S784" s="16">
        <v>-2.0</v>
      </c>
      <c r="T784" s="16"/>
      <c r="U784" s="16" t="s">
        <v>3547</v>
      </c>
      <c r="V784" s="16" t="s">
        <v>3548</v>
      </c>
      <c r="W784" s="16" t="s">
        <v>942</v>
      </c>
      <c r="X784" s="16" t="s">
        <v>181</v>
      </c>
      <c r="Y784" s="100"/>
      <c r="Z784" s="16" t="s">
        <v>181</v>
      </c>
    </row>
    <row r="785">
      <c r="A785" s="16">
        <v>13275.0</v>
      </c>
      <c r="B785" s="16" t="s">
        <v>3549</v>
      </c>
      <c r="C785" s="16">
        <v>0.0</v>
      </c>
      <c r="D785" s="174" t="s">
        <v>3550</v>
      </c>
      <c r="E785" s="16"/>
      <c r="F785" s="16">
        <v>547.0</v>
      </c>
      <c r="G785" s="16" t="s">
        <v>176</v>
      </c>
      <c r="H785" s="16" t="s">
        <v>13</v>
      </c>
      <c r="I785" s="16" t="s">
        <v>15</v>
      </c>
      <c r="J785" s="16" t="s">
        <v>17</v>
      </c>
      <c r="K785" s="16" t="s">
        <v>19</v>
      </c>
      <c r="L785" s="16" t="s">
        <v>14</v>
      </c>
      <c r="M785" s="16"/>
      <c r="N785" s="16"/>
      <c r="O785" s="16"/>
      <c r="P785" s="16"/>
      <c r="Q785" s="16"/>
      <c r="R785" s="16"/>
      <c r="S785" s="16">
        <v>-2.0</v>
      </c>
      <c r="T785" s="16"/>
      <c r="U785" s="16" t="s">
        <v>3551</v>
      </c>
      <c r="V785" s="16" t="s">
        <v>3552</v>
      </c>
      <c r="W785" s="16" t="s">
        <v>600</v>
      </c>
      <c r="X785" s="16" t="s">
        <v>181</v>
      </c>
      <c r="Y785" s="100"/>
      <c r="Z785" s="16" t="s">
        <v>181</v>
      </c>
    </row>
    <row r="786">
      <c r="A786" s="16">
        <v>13276.0</v>
      </c>
      <c r="B786" s="16" t="s">
        <v>3553</v>
      </c>
      <c r="C786" s="16">
        <v>0.29</v>
      </c>
      <c r="D786" s="174" t="s">
        <v>3554</v>
      </c>
      <c r="E786" s="16"/>
      <c r="F786" s="16">
        <v>547.0</v>
      </c>
      <c r="G786" s="16" t="s">
        <v>176</v>
      </c>
      <c r="H786" s="16" t="s">
        <v>24</v>
      </c>
      <c r="I786" s="16"/>
      <c r="J786" s="16"/>
      <c r="K786" s="16"/>
      <c r="L786" s="16"/>
      <c r="M786" s="16"/>
      <c r="N786" s="16"/>
      <c r="O786" s="16"/>
      <c r="P786" s="16"/>
      <c r="Q786" s="16"/>
      <c r="R786" s="16"/>
      <c r="S786" s="16">
        <v>-2.0</v>
      </c>
      <c r="T786" s="16"/>
      <c r="U786" s="16" t="s">
        <v>3555</v>
      </c>
      <c r="V786" s="16" t="s">
        <v>3556</v>
      </c>
      <c r="W786" s="16" t="s">
        <v>942</v>
      </c>
      <c r="X786" s="16" t="s">
        <v>181</v>
      </c>
      <c r="Y786" s="100"/>
      <c r="Z786" s="16" t="s">
        <v>181</v>
      </c>
    </row>
    <row r="787">
      <c r="A787" s="16">
        <v>13277.0</v>
      </c>
      <c r="B787" s="16" t="s">
        <v>3557</v>
      </c>
      <c r="C787" s="16">
        <v>0.54</v>
      </c>
      <c r="D787" s="174" t="s">
        <v>3558</v>
      </c>
      <c r="E787" s="16"/>
      <c r="F787" s="16">
        <v>547.0</v>
      </c>
      <c r="G787" s="16" t="s">
        <v>176</v>
      </c>
      <c r="H787" s="16" t="s">
        <v>16</v>
      </c>
      <c r="I787" s="16" t="s">
        <v>15</v>
      </c>
      <c r="J787" s="16"/>
      <c r="K787" s="16"/>
      <c r="L787" s="16"/>
      <c r="M787" s="16"/>
      <c r="N787" s="16"/>
      <c r="O787" s="16"/>
      <c r="P787" s="16"/>
      <c r="Q787" s="16"/>
      <c r="R787" s="16"/>
      <c r="S787" s="16">
        <v>-2.0</v>
      </c>
      <c r="T787" s="16"/>
      <c r="U787" s="16" t="s">
        <v>3559</v>
      </c>
      <c r="V787" s="16" t="s">
        <v>3560</v>
      </c>
      <c r="W787" s="16" t="s">
        <v>443</v>
      </c>
      <c r="X787" s="16" t="s">
        <v>181</v>
      </c>
      <c r="Y787" s="100"/>
      <c r="Z787" s="16" t="s">
        <v>181</v>
      </c>
    </row>
    <row r="788">
      <c r="A788" s="16">
        <v>13278.0</v>
      </c>
      <c r="B788" s="16" t="s">
        <v>3561</v>
      </c>
      <c r="C788" s="16">
        <v>0.58</v>
      </c>
      <c r="D788" s="174" t="s">
        <v>3562</v>
      </c>
      <c r="E788" s="16"/>
      <c r="F788" s="16">
        <v>557.0</v>
      </c>
      <c r="G788" s="16" t="s">
        <v>232</v>
      </c>
      <c r="H788" s="16" t="s">
        <v>13</v>
      </c>
      <c r="I788" s="16"/>
      <c r="J788" s="16"/>
      <c r="K788" s="16"/>
      <c r="L788" s="16"/>
      <c r="M788" s="16"/>
      <c r="N788" s="16"/>
      <c r="O788" s="16"/>
      <c r="P788" s="16"/>
      <c r="Q788" s="16"/>
      <c r="R788" s="16"/>
      <c r="S788" s="16">
        <v>-2.0</v>
      </c>
      <c r="T788" s="16"/>
      <c r="U788" s="16" t="s">
        <v>3563</v>
      </c>
      <c r="V788" s="16" t="s">
        <v>3564</v>
      </c>
      <c r="W788" s="16" t="s">
        <v>188</v>
      </c>
      <c r="X788" s="16" t="s">
        <v>181</v>
      </c>
      <c r="Y788" s="100"/>
      <c r="Z788" s="16" t="s">
        <v>181</v>
      </c>
    </row>
    <row r="789">
      <c r="A789" s="16">
        <v>13279.0</v>
      </c>
      <c r="B789" s="16" t="s">
        <v>3565</v>
      </c>
      <c r="C789" s="16">
        <v>0.14</v>
      </c>
      <c r="D789" s="174" t="s">
        <v>3566</v>
      </c>
      <c r="E789" s="16"/>
      <c r="F789" s="16">
        <v>547.0</v>
      </c>
      <c r="G789" s="16" t="s">
        <v>176</v>
      </c>
      <c r="H789" s="16" t="s">
        <v>25</v>
      </c>
      <c r="I789" s="16" t="s">
        <v>26</v>
      </c>
      <c r="J789" s="16"/>
      <c r="K789" s="16"/>
      <c r="L789" s="16"/>
      <c r="M789" s="16"/>
      <c r="N789" s="16"/>
      <c r="O789" s="16"/>
      <c r="P789" s="16"/>
      <c r="Q789" s="16"/>
      <c r="R789" s="16"/>
      <c r="S789" s="16">
        <v>-2.0</v>
      </c>
      <c r="T789" s="16"/>
      <c r="U789" s="16" t="s">
        <v>3567</v>
      </c>
      <c r="V789" s="16" t="s">
        <v>3568</v>
      </c>
      <c r="W789" s="16" t="s">
        <v>942</v>
      </c>
      <c r="X789" s="16" t="s">
        <v>181</v>
      </c>
      <c r="Y789" s="100"/>
      <c r="Z789" s="16" t="s">
        <v>181</v>
      </c>
    </row>
    <row r="790">
      <c r="A790" s="16">
        <v>13280.0</v>
      </c>
      <c r="B790" s="16" t="s">
        <v>3569</v>
      </c>
      <c r="C790" s="16">
        <v>3.99</v>
      </c>
      <c r="D790" s="174" t="s">
        <v>3570</v>
      </c>
      <c r="E790" s="16"/>
      <c r="F790" s="16">
        <v>572.0</v>
      </c>
      <c r="G790" s="16" t="s">
        <v>306</v>
      </c>
      <c r="H790" s="16" t="s">
        <v>24</v>
      </c>
      <c r="I790" s="16"/>
      <c r="J790" s="16"/>
      <c r="K790" s="16"/>
      <c r="L790" s="16"/>
      <c r="M790" s="16"/>
      <c r="N790" s="16"/>
      <c r="O790" s="16"/>
      <c r="P790" s="16"/>
      <c r="Q790" s="16"/>
      <c r="R790" s="16"/>
      <c r="S790" s="16">
        <v>-2.0</v>
      </c>
      <c r="T790" s="16"/>
      <c r="U790" s="16" t="s">
        <v>3571</v>
      </c>
      <c r="V790" s="16" t="s">
        <v>3572</v>
      </c>
      <c r="W790" s="16" t="s">
        <v>491</v>
      </c>
      <c r="X790" s="16" t="s">
        <v>181</v>
      </c>
      <c r="Y790" s="100"/>
      <c r="Z790" s="16" t="s">
        <v>181</v>
      </c>
    </row>
    <row r="791">
      <c r="A791" s="16">
        <v>13281.0</v>
      </c>
      <c r="B791" s="16" t="s">
        <v>3573</v>
      </c>
      <c r="C791" s="16">
        <v>1.1</v>
      </c>
      <c r="D791" s="174" t="s">
        <v>3574</v>
      </c>
      <c r="E791" s="16"/>
      <c r="F791" s="16">
        <v>575.0</v>
      </c>
      <c r="G791" s="16" t="s">
        <v>212</v>
      </c>
      <c r="H791" s="16" t="s">
        <v>17</v>
      </c>
      <c r="I791" s="16" t="s">
        <v>19</v>
      </c>
      <c r="J791" s="16" t="s">
        <v>13</v>
      </c>
      <c r="K791" s="16"/>
      <c r="L791" s="16"/>
      <c r="M791" s="16"/>
      <c r="N791" s="16"/>
      <c r="O791" s="16"/>
      <c r="P791" s="16"/>
      <c r="Q791" s="16"/>
      <c r="R791" s="16"/>
      <c r="S791" s="16">
        <v>-2.0</v>
      </c>
      <c r="T791" s="16"/>
      <c r="U791" s="16" t="s">
        <v>3575</v>
      </c>
      <c r="V791" s="16" t="s">
        <v>3576</v>
      </c>
      <c r="W791" s="16" t="s">
        <v>332</v>
      </c>
      <c r="X791" s="16" t="s">
        <v>181</v>
      </c>
      <c r="Y791" s="100"/>
      <c r="Z791" s="16" t="s">
        <v>181</v>
      </c>
    </row>
    <row r="792">
      <c r="A792" s="16">
        <v>13282.0</v>
      </c>
      <c r="B792" s="16" t="s">
        <v>3577</v>
      </c>
      <c r="C792" s="16">
        <v>0.21</v>
      </c>
      <c r="D792" s="174" t="s">
        <v>3578</v>
      </c>
      <c r="E792" s="16"/>
      <c r="F792" s="16">
        <v>578.0</v>
      </c>
      <c r="G792" s="16" t="s">
        <v>333</v>
      </c>
      <c r="H792" s="16" t="s">
        <v>25</v>
      </c>
      <c r="I792" s="16" t="s">
        <v>26</v>
      </c>
      <c r="J792" s="16"/>
      <c r="K792" s="16"/>
      <c r="L792" s="16"/>
      <c r="M792" s="16"/>
      <c r="N792" s="16"/>
      <c r="O792" s="16"/>
      <c r="P792" s="16"/>
      <c r="Q792" s="16"/>
      <c r="R792" s="16"/>
      <c r="S792" s="16">
        <v>-2.0</v>
      </c>
      <c r="T792" s="16"/>
      <c r="U792" s="16" t="s">
        <v>3579</v>
      </c>
      <c r="V792" s="16" t="s">
        <v>3580</v>
      </c>
      <c r="W792" s="16" t="s">
        <v>179</v>
      </c>
      <c r="X792" s="16" t="s">
        <v>181</v>
      </c>
      <c r="Y792" s="100"/>
      <c r="Z792" s="16" t="s">
        <v>181</v>
      </c>
    </row>
    <row r="793">
      <c r="A793" s="16">
        <v>13283.0</v>
      </c>
      <c r="B793" s="16" t="s">
        <v>3581</v>
      </c>
      <c r="C793" s="16">
        <v>0.64</v>
      </c>
      <c r="D793" s="174" t="s">
        <v>3582</v>
      </c>
      <c r="E793" s="16"/>
      <c r="F793" s="16">
        <v>547.0</v>
      </c>
      <c r="G793" s="16" t="s">
        <v>176</v>
      </c>
      <c r="H793" s="16" t="s">
        <v>12</v>
      </c>
      <c r="I793" s="16" t="s">
        <v>13</v>
      </c>
      <c r="J793" s="16"/>
      <c r="K793" s="16"/>
      <c r="L793" s="16"/>
      <c r="M793" s="16"/>
      <c r="N793" s="16"/>
      <c r="O793" s="16"/>
      <c r="P793" s="16"/>
      <c r="Q793" s="16"/>
      <c r="R793" s="16"/>
      <c r="S793" s="16">
        <v>-2.0</v>
      </c>
      <c r="T793" s="16"/>
      <c r="U793" s="16" t="s">
        <v>3583</v>
      </c>
      <c r="V793" s="16" t="s">
        <v>3584</v>
      </c>
      <c r="W793" s="16" t="s">
        <v>478</v>
      </c>
      <c r="X793" s="16" t="s">
        <v>181</v>
      </c>
      <c r="Y793" s="100"/>
      <c r="Z793" s="16" t="s">
        <v>181</v>
      </c>
    </row>
    <row r="794">
      <c r="A794" s="16">
        <v>13284.0</v>
      </c>
      <c r="B794" s="16" t="s">
        <v>3585</v>
      </c>
      <c r="C794" s="16">
        <v>1.08</v>
      </c>
      <c r="D794" s="174" t="s">
        <v>3586</v>
      </c>
      <c r="E794" s="16"/>
      <c r="F794" s="16">
        <v>593.0</v>
      </c>
      <c r="G794" s="16" t="s">
        <v>272</v>
      </c>
      <c r="H794" s="16" t="s">
        <v>13</v>
      </c>
      <c r="I794" s="16"/>
      <c r="J794" s="16"/>
      <c r="K794" s="16"/>
      <c r="L794" s="16"/>
      <c r="M794" s="16"/>
      <c r="N794" s="16"/>
      <c r="O794" s="16"/>
      <c r="P794" s="16"/>
      <c r="Q794" s="16"/>
      <c r="R794" s="16"/>
      <c r="S794" s="16">
        <v>-2.0</v>
      </c>
      <c r="T794" s="174" t="s">
        <v>3587</v>
      </c>
      <c r="U794" s="16" t="s">
        <v>3588</v>
      </c>
      <c r="V794" s="16" t="s">
        <v>3589</v>
      </c>
      <c r="W794" s="16" t="s">
        <v>231</v>
      </c>
      <c r="X794" s="16" t="s">
        <v>181</v>
      </c>
      <c r="Y794" s="100"/>
      <c r="Z794" s="16" t="s">
        <v>181</v>
      </c>
    </row>
    <row r="795">
      <c r="A795" s="16">
        <v>13285.0</v>
      </c>
      <c r="B795" s="16" t="s">
        <v>3590</v>
      </c>
      <c r="C795" s="16">
        <v>1.63</v>
      </c>
      <c r="D795" s="174" t="s">
        <v>3591</v>
      </c>
      <c r="E795" s="16"/>
      <c r="F795" s="16">
        <v>578.0</v>
      </c>
      <c r="G795" s="16" t="s">
        <v>333</v>
      </c>
      <c r="H795" s="16" t="s">
        <v>18</v>
      </c>
      <c r="I795" s="16"/>
      <c r="J795" s="16"/>
      <c r="K795" s="16"/>
      <c r="L795" s="16"/>
      <c r="M795" s="16"/>
      <c r="N795" s="16"/>
      <c r="O795" s="16"/>
      <c r="P795" s="16"/>
      <c r="Q795" s="16"/>
      <c r="R795" s="16"/>
      <c r="S795" s="16">
        <v>-2.0</v>
      </c>
      <c r="T795" s="16"/>
      <c r="U795" s="16" t="s">
        <v>3592</v>
      </c>
      <c r="V795" s="16" t="s">
        <v>3593</v>
      </c>
      <c r="W795" s="16" t="s">
        <v>491</v>
      </c>
      <c r="X795" s="16" t="s">
        <v>181</v>
      </c>
      <c r="Y795" s="100"/>
      <c r="Z795" s="16" t="s">
        <v>181</v>
      </c>
    </row>
    <row r="796">
      <c r="A796" s="16">
        <v>13286.0</v>
      </c>
      <c r="B796" s="16" t="s">
        <v>3594</v>
      </c>
      <c r="C796" s="16">
        <v>0.85</v>
      </c>
      <c r="D796" s="174" t="s">
        <v>3595</v>
      </c>
      <c r="E796" s="16"/>
      <c r="F796" s="16">
        <v>560.0</v>
      </c>
      <c r="G796" s="16" t="s">
        <v>245</v>
      </c>
      <c r="H796" s="16" t="s">
        <v>25</v>
      </c>
      <c r="I796" s="16" t="s">
        <v>26</v>
      </c>
      <c r="J796" s="16"/>
      <c r="K796" s="16"/>
      <c r="L796" s="16"/>
      <c r="M796" s="16"/>
      <c r="N796" s="16"/>
      <c r="O796" s="16"/>
      <c r="P796" s="16"/>
      <c r="Q796" s="16"/>
      <c r="R796" s="16" t="s">
        <v>2093</v>
      </c>
      <c r="S796" s="16">
        <v>-2.0</v>
      </c>
      <c r="T796" s="16"/>
      <c r="U796" s="16" t="s">
        <v>3596</v>
      </c>
      <c r="V796" s="16" t="s">
        <v>3597</v>
      </c>
      <c r="W796" s="16" t="s">
        <v>942</v>
      </c>
      <c r="X796" s="16" t="s">
        <v>181</v>
      </c>
      <c r="Y796" s="100"/>
      <c r="Z796" s="16" t="s">
        <v>181</v>
      </c>
    </row>
    <row r="797">
      <c r="A797" s="16">
        <v>13287.0</v>
      </c>
      <c r="B797" s="16" t="s">
        <v>3598</v>
      </c>
      <c r="C797" s="16">
        <v>0.0</v>
      </c>
      <c r="D797" s="174" t="s">
        <v>3599</v>
      </c>
      <c r="E797" s="16"/>
      <c r="F797" s="16">
        <v>547.0</v>
      </c>
      <c r="G797" s="16" t="s">
        <v>176</v>
      </c>
      <c r="H797" s="16" t="s">
        <v>24</v>
      </c>
      <c r="I797" s="16" t="s">
        <v>25</v>
      </c>
      <c r="J797" s="16"/>
      <c r="K797" s="16"/>
      <c r="L797" s="16"/>
      <c r="M797" s="16"/>
      <c r="N797" s="16"/>
      <c r="O797" s="16"/>
      <c r="P797" s="16"/>
      <c r="Q797" s="16"/>
      <c r="R797" s="16"/>
      <c r="S797" s="16">
        <v>-2.0</v>
      </c>
      <c r="T797" s="16"/>
      <c r="U797" s="16" t="s">
        <v>3600</v>
      </c>
      <c r="V797" s="16" t="s">
        <v>3601</v>
      </c>
      <c r="W797" s="16" t="s">
        <v>360</v>
      </c>
      <c r="X797" s="16" t="s">
        <v>181</v>
      </c>
      <c r="Y797" s="100"/>
      <c r="Z797" s="16" t="s">
        <v>181</v>
      </c>
    </row>
    <row r="798">
      <c r="A798" s="16">
        <v>13288.0</v>
      </c>
      <c r="B798" s="16" t="s">
        <v>3602</v>
      </c>
      <c r="C798" s="16">
        <v>0.68</v>
      </c>
      <c r="D798" s="174" t="s">
        <v>3603</v>
      </c>
      <c r="E798" s="16"/>
      <c r="F798" s="16">
        <v>584.0</v>
      </c>
      <c r="G798" s="16" t="s">
        <v>361</v>
      </c>
      <c r="H798" s="16" t="s">
        <v>25</v>
      </c>
      <c r="I798" s="16" t="s">
        <v>26</v>
      </c>
      <c r="J798" s="16"/>
      <c r="K798" s="16"/>
      <c r="L798" s="16"/>
      <c r="M798" s="16"/>
      <c r="N798" s="16"/>
      <c r="O798" s="16"/>
      <c r="P798" s="16"/>
      <c r="Q798" s="16"/>
      <c r="R798" s="16"/>
      <c r="S798" s="16">
        <v>-2.0</v>
      </c>
      <c r="T798" s="16"/>
      <c r="U798" s="16" t="s">
        <v>3604</v>
      </c>
      <c r="V798" s="16" t="s">
        <v>3605</v>
      </c>
      <c r="W798" s="16" t="s">
        <v>231</v>
      </c>
      <c r="X798" s="16" t="s">
        <v>181</v>
      </c>
      <c r="Y798" s="100"/>
      <c r="Z798" s="16" t="s">
        <v>181</v>
      </c>
    </row>
    <row r="799">
      <c r="A799" s="16">
        <v>13289.0</v>
      </c>
      <c r="B799" s="16" t="s">
        <v>3606</v>
      </c>
      <c r="C799" s="16">
        <v>0.6</v>
      </c>
      <c r="D799" s="174" t="s">
        <v>3607</v>
      </c>
      <c r="E799" s="16"/>
      <c r="F799" s="16">
        <v>547.0</v>
      </c>
      <c r="G799" s="16" t="s">
        <v>176</v>
      </c>
      <c r="H799" s="16" t="s">
        <v>25</v>
      </c>
      <c r="I799" s="16" t="s">
        <v>26</v>
      </c>
      <c r="J799" s="16"/>
      <c r="K799" s="16"/>
      <c r="L799" s="16"/>
      <c r="M799" s="16"/>
      <c r="N799" s="16"/>
      <c r="O799" s="16"/>
      <c r="P799" s="16"/>
      <c r="Q799" s="16"/>
      <c r="R799" s="16"/>
      <c r="S799" s="16">
        <v>-2.0</v>
      </c>
      <c r="T799" s="16"/>
      <c r="U799" s="16" t="s">
        <v>3608</v>
      </c>
      <c r="V799" s="16" t="s">
        <v>3609</v>
      </c>
      <c r="W799" s="16" t="s">
        <v>259</v>
      </c>
      <c r="X799" s="16" t="s">
        <v>181</v>
      </c>
      <c r="Y799" s="100"/>
      <c r="Z799" s="16" t="s">
        <v>181</v>
      </c>
    </row>
    <row r="800">
      <c r="A800" s="16">
        <v>13290.0</v>
      </c>
      <c r="B800" s="16" t="s">
        <v>3610</v>
      </c>
      <c r="C800" s="16">
        <v>1.45</v>
      </c>
      <c r="D800" s="174" t="s">
        <v>3611</v>
      </c>
      <c r="E800" s="16"/>
      <c r="F800" s="16">
        <v>548.0</v>
      </c>
      <c r="G800" s="16" t="s">
        <v>126</v>
      </c>
      <c r="H800" s="16" t="s">
        <v>25</v>
      </c>
      <c r="I800" s="16" t="s">
        <v>26</v>
      </c>
      <c r="J800" s="16"/>
      <c r="K800" s="16"/>
      <c r="L800" s="16"/>
      <c r="M800" s="16"/>
      <c r="N800" s="16"/>
      <c r="O800" s="16"/>
      <c r="P800" s="16"/>
      <c r="Q800" s="16"/>
      <c r="R800" s="16"/>
      <c r="S800" s="16">
        <v>-2.0</v>
      </c>
      <c r="T800" s="16"/>
      <c r="U800" s="16" t="s">
        <v>3612</v>
      </c>
      <c r="V800" s="16" t="s">
        <v>3613</v>
      </c>
      <c r="W800" s="16" t="s">
        <v>360</v>
      </c>
      <c r="X800" s="16" t="s">
        <v>181</v>
      </c>
      <c r="Y800" s="100"/>
      <c r="Z800" s="16" t="s">
        <v>181</v>
      </c>
    </row>
    <row r="801">
      <c r="A801" s="16">
        <v>13291.0</v>
      </c>
      <c r="B801" s="16" t="s">
        <v>3614</v>
      </c>
      <c r="C801" s="16">
        <v>0.0</v>
      </c>
      <c r="D801" s="174" t="s">
        <v>3615</v>
      </c>
      <c r="E801" s="16"/>
      <c r="F801" s="16">
        <v>547.0</v>
      </c>
      <c r="G801" s="16" t="s">
        <v>176</v>
      </c>
      <c r="H801" s="16" t="s">
        <v>24</v>
      </c>
      <c r="I801" s="16" t="s">
        <v>25</v>
      </c>
      <c r="J801" s="16"/>
      <c r="K801" s="16"/>
      <c r="L801" s="16"/>
      <c r="M801" s="16"/>
      <c r="N801" s="16"/>
      <c r="O801" s="16"/>
      <c r="P801" s="16"/>
      <c r="Q801" s="16"/>
      <c r="R801" s="16"/>
      <c r="S801" s="16">
        <v>-2.0</v>
      </c>
      <c r="T801" s="16"/>
      <c r="U801" s="16" t="s">
        <v>3616</v>
      </c>
      <c r="V801" s="16" t="s">
        <v>3617</v>
      </c>
      <c r="W801" s="16" t="s">
        <v>640</v>
      </c>
      <c r="X801" s="16" t="s">
        <v>181</v>
      </c>
      <c r="Y801" s="100"/>
      <c r="Z801" s="16" t="s">
        <v>181</v>
      </c>
    </row>
    <row r="802">
      <c r="A802" s="16">
        <v>13292.0</v>
      </c>
      <c r="B802" s="16" t="s">
        <v>3618</v>
      </c>
      <c r="C802" s="16">
        <v>1.79</v>
      </c>
      <c r="D802" s="174" t="s">
        <v>3619</v>
      </c>
      <c r="E802" s="16"/>
      <c r="F802" s="16">
        <v>563.0</v>
      </c>
      <c r="G802" s="16" t="s">
        <v>260</v>
      </c>
      <c r="H802" s="16" t="s">
        <v>15</v>
      </c>
      <c r="I802" s="16"/>
      <c r="J802" s="16"/>
      <c r="K802" s="16"/>
      <c r="L802" s="16"/>
      <c r="M802" s="16"/>
      <c r="N802" s="16"/>
      <c r="O802" s="16"/>
      <c r="P802" s="16"/>
      <c r="Q802" s="16"/>
      <c r="R802" s="16"/>
      <c r="S802" s="16">
        <v>-2.0</v>
      </c>
      <c r="T802" s="16"/>
      <c r="U802" s="16" t="s">
        <v>3620</v>
      </c>
      <c r="V802" s="16" t="s">
        <v>3621</v>
      </c>
      <c r="W802" s="16" t="s">
        <v>443</v>
      </c>
      <c r="X802" s="16" t="s">
        <v>181</v>
      </c>
      <c r="Y802" s="100"/>
      <c r="Z802" s="16" t="s">
        <v>181</v>
      </c>
    </row>
    <row r="803">
      <c r="A803" s="16">
        <v>13293.0</v>
      </c>
      <c r="B803" s="16" t="s">
        <v>3622</v>
      </c>
      <c r="C803" s="16">
        <v>0.0</v>
      </c>
      <c r="D803" s="174" t="s">
        <v>3623</v>
      </c>
      <c r="E803" s="16"/>
      <c r="F803" s="16">
        <v>547.0</v>
      </c>
      <c r="G803" s="16" t="s">
        <v>176</v>
      </c>
      <c r="H803" s="16" t="s">
        <v>25</v>
      </c>
      <c r="I803" s="16"/>
      <c r="J803" s="16"/>
      <c r="K803" s="16"/>
      <c r="L803" s="16"/>
      <c r="M803" s="16"/>
      <c r="N803" s="16"/>
      <c r="O803" s="16"/>
      <c r="P803" s="16"/>
      <c r="Q803" s="16"/>
      <c r="R803" s="16"/>
      <c r="S803" s="16">
        <v>-2.0</v>
      </c>
      <c r="T803" s="16"/>
      <c r="U803" s="16" t="s">
        <v>3624</v>
      </c>
      <c r="V803" s="16" t="s">
        <v>3625</v>
      </c>
      <c r="W803" s="16" t="s">
        <v>332</v>
      </c>
      <c r="X803" s="16" t="s">
        <v>181</v>
      </c>
      <c r="Y803" s="100"/>
      <c r="Z803" s="16" t="s">
        <v>181</v>
      </c>
    </row>
    <row r="804">
      <c r="A804" s="16">
        <v>13294.0</v>
      </c>
      <c r="B804" s="16" t="s">
        <v>3626</v>
      </c>
      <c r="C804" s="16">
        <v>2.01</v>
      </c>
      <c r="D804" s="174" t="s">
        <v>3627</v>
      </c>
      <c r="E804" s="16"/>
      <c r="F804" s="16">
        <v>566.0</v>
      </c>
      <c r="G804" s="16" t="s">
        <v>277</v>
      </c>
      <c r="H804" s="16" t="s">
        <v>25</v>
      </c>
      <c r="I804" s="16" t="s">
        <v>26</v>
      </c>
      <c r="J804" s="16"/>
      <c r="K804" s="16"/>
      <c r="L804" s="16"/>
      <c r="M804" s="16"/>
      <c r="N804" s="16"/>
      <c r="O804" s="16"/>
      <c r="P804" s="16"/>
      <c r="Q804" s="16"/>
      <c r="R804" s="16"/>
      <c r="S804" s="16">
        <v>-2.0</v>
      </c>
      <c r="T804" s="16"/>
      <c r="U804" s="16" t="s">
        <v>3628</v>
      </c>
      <c r="V804" s="16" t="s">
        <v>3629</v>
      </c>
      <c r="W804" s="16" t="s">
        <v>491</v>
      </c>
      <c r="X804" s="16" t="s">
        <v>181</v>
      </c>
      <c r="Y804" s="100"/>
      <c r="Z804" s="16" t="s">
        <v>181</v>
      </c>
    </row>
    <row r="805">
      <c r="A805" s="16">
        <v>13295.0</v>
      </c>
      <c r="B805" s="16" t="s">
        <v>3630</v>
      </c>
      <c r="C805" s="16">
        <v>1.22</v>
      </c>
      <c r="D805" s="174" t="s">
        <v>3631</v>
      </c>
      <c r="E805" s="16"/>
      <c r="F805" s="16">
        <v>554.0</v>
      </c>
      <c r="G805" s="16" t="s">
        <v>215</v>
      </c>
      <c r="H805" s="16" t="s">
        <v>19</v>
      </c>
      <c r="I805" s="16" t="s">
        <v>17</v>
      </c>
      <c r="J805" s="16" t="s">
        <v>18</v>
      </c>
      <c r="K805" s="16"/>
      <c r="L805" s="16"/>
      <c r="M805" s="16"/>
      <c r="N805" s="16"/>
      <c r="O805" s="16"/>
      <c r="P805" s="16"/>
      <c r="Q805" s="16"/>
      <c r="R805" s="16"/>
      <c r="S805" s="16">
        <v>-2.0</v>
      </c>
      <c r="T805" s="16"/>
      <c r="U805" s="16" t="s">
        <v>3632</v>
      </c>
      <c r="V805" s="16" t="s">
        <v>3633</v>
      </c>
      <c r="W805" s="16" t="s">
        <v>179</v>
      </c>
      <c r="X805" s="16" t="s">
        <v>181</v>
      </c>
      <c r="Y805" s="100"/>
      <c r="Z805" s="16" t="s">
        <v>181</v>
      </c>
    </row>
    <row r="806">
      <c r="A806" s="16">
        <v>13296.0</v>
      </c>
      <c r="B806" s="16" t="s">
        <v>41</v>
      </c>
      <c r="C806" s="16">
        <v>1.45</v>
      </c>
      <c r="D806" s="174" t="s">
        <v>3634</v>
      </c>
      <c r="E806" s="16"/>
      <c r="F806" s="16">
        <v>578.0</v>
      </c>
      <c r="G806" s="16" t="s">
        <v>333</v>
      </c>
      <c r="H806" s="16" t="s">
        <v>15</v>
      </c>
      <c r="I806" s="16" t="s">
        <v>13</v>
      </c>
      <c r="J806" s="16" t="s">
        <v>14</v>
      </c>
      <c r="K806" s="16"/>
      <c r="L806" s="16"/>
      <c r="M806" s="16"/>
      <c r="N806" s="16"/>
      <c r="O806" s="16"/>
      <c r="P806" s="16"/>
      <c r="Q806" s="16"/>
      <c r="R806" s="16"/>
      <c r="S806" s="16">
        <v>-2.0</v>
      </c>
      <c r="T806" s="16"/>
      <c r="U806" s="16" t="s">
        <v>3635</v>
      </c>
      <c r="V806" s="16" t="s">
        <v>3636</v>
      </c>
      <c r="W806" s="16" t="s">
        <v>259</v>
      </c>
      <c r="X806" s="16" t="s">
        <v>181</v>
      </c>
      <c r="Y806" s="100"/>
      <c r="Z806" s="16" t="s">
        <v>181</v>
      </c>
    </row>
    <row r="807">
      <c r="A807" s="16">
        <v>13297.0</v>
      </c>
      <c r="B807" s="16" t="s">
        <v>3637</v>
      </c>
      <c r="C807" s="16">
        <v>2.29</v>
      </c>
      <c r="D807" s="174" t="s">
        <v>3638</v>
      </c>
      <c r="E807" s="16"/>
      <c r="F807" s="16">
        <v>563.0</v>
      </c>
      <c r="G807" s="16" t="s">
        <v>260</v>
      </c>
      <c r="H807" s="16" t="s">
        <v>19</v>
      </c>
      <c r="I807" s="16" t="s">
        <v>17</v>
      </c>
      <c r="J807" s="16"/>
      <c r="K807" s="16"/>
      <c r="L807" s="16"/>
      <c r="M807" s="16"/>
      <c r="N807" s="16"/>
      <c r="O807" s="16"/>
      <c r="P807" s="16"/>
      <c r="Q807" s="16"/>
      <c r="R807" s="16"/>
      <c r="S807" s="16">
        <v>-2.0</v>
      </c>
      <c r="T807" s="16"/>
      <c r="U807" s="16" t="s">
        <v>3639</v>
      </c>
      <c r="V807" s="16" t="s">
        <v>3640</v>
      </c>
      <c r="W807" s="16" t="s">
        <v>179</v>
      </c>
      <c r="X807" s="16" t="s">
        <v>181</v>
      </c>
      <c r="Y807" s="100"/>
      <c r="Z807" s="16" t="s">
        <v>181</v>
      </c>
    </row>
    <row r="808">
      <c r="A808" s="16">
        <v>13298.0</v>
      </c>
      <c r="B808" s="16" t="s">
        <v>3641</v>
      </c>
      <c r="C808" s="16">
        <v>0.76</v>
      </c>
      <c r="D808" s="174" t="s">
        <v>3642</v>
      </c>
      <c r="E808" s="16"/>
      <c r="F808" s="16">
        <v>593.0</v>
      </c>
      <c r="G808" s="16" t="s">
        <v>272</v>
      </c>
      <c r="H808" s="16" t="s">
        <v>17</v>
      </c>
      <c r="I808" s="16" t="s">
        <v>18</v>
      </c>
      <c r="J808" s="16"/>
      <c r="K808" s="16"/>
      <c r="L808" s="16"/>
      <c r="M808" s="16"/>
      <c r="N808" s="16"/>
      <c r="O808" s="16"/>
      <c r="P808" s="16"/>
      <c r="Q808" s="16"/>
      <c r="R808" s="16"/>
      <c r="S808" s="16">
        <v>-2.0</v>
      </c>
      <c r="T808" s="174" t="s">
        <v>3643</v>
      </c>
      <c r="U808" s="16" t="s">
        <v>3644</v>
      </c>
      <c r="V808" s="16" t="s">
        <v>3645</v>
      </c>
      <c r="W808" s="16" t="s">
        <v>188</v>
      </c>
      <c r="X808" s="16" t="s">
        <v>181</v>
      </c>
      <c r="Y808" s="100"/>
      <c r="Z808" s="16" t="s">
        <v>181</v>
      </c>
    </row>
    <row r="809">
      <c r="A809" s="16">
        <v>13299.0</v>
      </c>
      <c r="B809" s="16" t="s">
        <v>3646</v>
      </c>
      <c r="C809" s="16">
        <v>0.0</v>
      </c>
      <c r="D809" s="174" t="s">
        <v>3647</v>
      </c>
      <c r="E809" s="16"/>
      <c r="F809" s="16">
        <v>551.0</v>
      </c>
      <c r="G809" s="16" t="s">
        <v>200</v>
      </c>
      <c r="H809" s="16" t="s">
        <v>25</v>
      </c>
      <c r="I809" s="16"/>
      <c r="J809" s="16"/>
      <c r="K809" s="16"/>
      <c r="L809" s="16"/>
      <c r="M809" s="16"/>
      <c r="N809" s="16"/>
      <c r="O809" s="16"/>
      <c r="P809" s="16"/>
      <c r="Q809" s="16"/>
      <c r="R809" s="16"/>
      <c r="S809" s="16">
        <v>-2.0</v>
      </c>
      <c r="T809" s="16"/>
      <c r="U809" s="16" t="s">
        <v>3648</v>
      </c>
      <c r="V809" s="16" t="s">
        <v>3649</v>
      </c>
      <c r="W809" s="16" t="s">
        <v>422</v>
      </c>
      <c r="X809" s="16" t="s">
        <v>181</v>
      </c>
      <c r="Y809" s="100"/>
      <c r="Z809" s="16" t="s">
        <v>181</v>
      </c>
    </row>
    <row r="810">
      <c r="A810" s="16">
        <v>13300.0</v>
      </c>
      <c r="B810" s="16" t="s">
        <v>3650</v>
      </c>
      <c r="C810" s="16">
        <v>0.23</v>
      </c>
      <c r="D810" s="174" t="s">
        <v>3651</v>
      </c>
      <c r="E810" s="16"/>
      <c r="F810" s="16">
        <v>547.0</v>
      </c>
      <c r="G810" s="16" t="s">
        <v>176</v>
      </c>
      <c r="H810" s="16" t="s">
        <v>24</v>
      </c>
      <c r="I810" s="16"/>
      <c r="J810" s="16"/>
      <c r="K810" s="16"/>
      <c r="L810" s="16"/>
      <c r="M810" s="16"/>
      <c r="N810" s="16"/>
      <c r="O810" s="16"/>
      <c r="P810" s="16"/>
      <c r="Q810" s="16"/>
      <c r="R810" s="16"/>
      <c r="S810" s="16">
        <v>-2.0</v>
      </c>
      <c r="T810" s="16"/>
      <c r="U810" s="16" t="s">
        <v>3652</v>
      </c>
      <c r="V810" s="16" t="s">
        <v>3653</v>
      </c>
      <c r="W810" s="16" t="s">
        <v>179</v>
      </c>
      <c r="X810" s="16" t="s">
        <v>181</v>
      </c>
      <c r="Y810" s="100"/>
      <c r="Z810" s="16" t="s">
        <v>181</v>
      </c>
    </row>
    <row r="811">
      <c r="A811" s="16">
        <v>13301.0</v>
      </c>
      <c r="B811" s="16" t="s">
        <v>3654</v>
      </c>
      <c r="C811" s="16">
        <v>0.77</v>
      </c>
      <c r="D811" s="174" t="s">
        <v>3655</v>
      </c>
      <c r="E811" s="16"/>
      <c r="F811" s="16">
        <v>551.0</v>
      </c>
      <c r="G811" s="16" t="s">
        <v>200</v>
      </c>
      <c r="H811" s="16" t="s">
        <v>24</v>
      </c>
      <c r="I811" s="16"/>
      <c r="J811" s="16"/>
      <c r="K811" s="16"/>
      <c r="L811" s="16"/>
      <c r="M811" s="16"/>
      <c r="N811" s="16"/>
      <c r="O811" s="16"/>
      <c r="P811" s="16"/>
      <c r="Q811" s="16"/>
      <c r="R811" s="16"/>
      <c r="S811" s="16">
        <v>-2.0</v>
      </c>
      <c r="T811" s="16"/>
      <c r="U811" s="16" t="s">
        <v>3656</v>
      </c>
      <c r="V811" s="16" t="s">
        <v>3657</v>
      </c>
      <c r="W811" s="16" t="s">
        <v>188</v>
      </c>
      <c r="X811" s="16" t="s">
        <v>181</v>
      </c>
      <c r="Y811" s="100"/>
      <c r="Z811" s="16" t="s">
        <v>181</v>
      </c>
    </row>
    <row r="812">
      <c r="A812" s="16">
        <v>13302.0</v>
      </c>
      <c r="B812" s="16" t="s">
        <v>3658</v>
      </c>
      <c r="C812" s="16">
        <v>0.1</v>
      </c>
      <c r="D812" s="174" t="s">
        <v>3659</v>
      </c>
      <c r="E812" s="16"/>
      <c r="F812" s="16">
        <v>547.0</v>
      </c>
      <c r="G812" s="16" t="s">
        <v>176</v>
      </c>
      <c r="H812" s="16" t="s">
        <v>25</v>
      </c>
      <c r="I812" s="16" t="s">
        <v>26</v>
      </c>
      <c r="J812" s="16"/>
      <c r="K812" s="16"/>
      <c r="L812" s="16"/>
      <c r="M812" s="16"/>
      <c r="N812" s="16"/>
      <c r="O812" s="16"/>
      <c r="P812" s="16"/>
      <c r="Q812" s="16"/>
      <c r="R812" s="16"/>
      <c r="S812" s="16">
        <v>-2.0</v>
      </c>
      <c r="T812" s="16"/>
      <c r="U812" s="16" t="s">
        <v>3660</v>
      </c>
      <c r="V812" s="16" t="s">
        <v>3661</v>
      </c>
      <c r="W812" s="16" t="s">
        <v>661</v>
      </c>
      <c r="X812" s="16" t="s">
        <v>181</v>
      </c>
      <c r="Y812" s="100"/>
      <c r="Z812" s="16" t="s">
        <v>181</v>
      </c>
    </row>
    <row r="813">
      <c r="A813" s="16">
        <v>13303.0</v>
      </c>
      <c r="B813" s="16" t="s">
        <v>3662</v>
      </c>
      <c r="C813" s="16">
        <v>0.11</v>
      </c>
      <c r="D813" s="174" t="s">
        <v>3663</v>
      </c>
      <c r="E813" s="16"/>
      <c r="F813" s="16">
        <v>587.0</v>
      </c>
      <c r="G813" s="16" t="s">
        <v>289</v>
      </c>
      <c r="H813" s="16" t="s">
        <v>12</v>
      </c>
      <c r="I813" s="16"/>
      <c r="J813" s="16"/>
      <c r="K813" s="16"/>
      <c r="L813" s="16"/>
      <c r="M813" s="16"/>
      <c r="N813" s="16"/>
      <c r="O813" s="16"/>
      <c r="P813" s="16"/>
      <c r="Q813" s="16"/>
      <c r="R813" s="16"/>
      <c r="S813" s="16">
        <v>-2.0</v>
      </c>
      <c r="T813" s="16"/>
      <c r="U813" s="16" t="s">
        <v>3664</v>
      </c>
      <c r="V813" s="16" t="s">
        <v>3665</v>
      </c>
      <c r="W813" s="16" t="s">
        <v>478</v>
      </c>
      <c r="X813" s="16" t="s">
        <v>181</v>
      </c>
      <c r="Y813" s="100"/>
      <c r="Z813" s="16" t="s">
        <v>181</v>
      </c>
    </row>
    <row r="814">
      <c r="A814" s="16">
        <v>13304.0</v>
      </c>
      <c r="B814" s="16" t="s">
        <v>3666</v>
      </c>
      <c r="C814" s="16">
        <v>0.8</v>
      </c>
      <c r="D814" s="174" t="s">
        <v>3667</v>
      </c>
      <c r="E814" s="16"/>
      <c r="F814" s="16">
        <v>552.0</v>
      </c>
      <c r="G814" s="16" t="s">
        <v>2860</v>
      </c>
      <c r="H814" s="16" t="s">
        <v>24</v>
      </c>
      <c r="I814" s="16"/>
      <c r="J814" s="16"/>
      <c r="K814" s="16"/>
      <c r="L814" s="16"/>
      <c r="M814" s="16"/>
      <c r="N814" s="16"/>
      <c r="O814" s="16"/>
      <c r="P814" s="16"/>
      <c r="Q814" s="16"/>
      <c r="R814" s="16" t="s">
        <v>927</v>
      </c>
      <c r="S814" s="16">
        <v>-2.0</v>
      </c>
      <c r="T814" s="16"/>
      <c r="U814" s="16" t="s">
        <v>3668</v>
      </c>
      <c r="V814" s="16" t="s">
        <v>3669</v>
      </c>
      <c r="W814" s="16" t="s">
        <v>675</v>
      </c>
      <c r="X814" s="16" t="s">
        <v>181</v>
      </c>
      <c r="Y814" s="100"/>
      <c r="Z814" s="16" t="s">
        <v>181</v>
      </c>
    </row>
    <row r="815">
      <c r="A815" s="16">
        <v>13305.0</v>
      </c>
      <c r="B815" s="16" t="s">
        <v>3670</v>
      </c>
      <c r="C815" s="16">
        <v>0.0</v>
      </c>
      <c r="D815" s="174" t="s">
        <v>3671</v>
      </c>
      <c r="E815" s="16"/>
      <c r="F815" s="16">
        <v>547.0</v>
      </c>
      <c r="G815" s="16" t="s">
        <v>176</v>
      </c>
      <c r="H815" s="16" t="s">
        <v>24</v>
      </c>
      <c r="I815" s="16"/>
      <c r="J815" s="16"/>
      <c r="K815" s="16"/>
      <c r="L815" s="16"/>
      <c r="M815" s="16"/>
      <c r="N815" s="16"/>
      <c r="O815" s="16"/>
      <c r="P815" s="16"/>
      <c r="Q815" s="16"/>
      <c r="R815" s="16"/>
      <c r="S815" s="16">
        <v>-2.0</v>
      </c>
      <c r="T815" s="16"/>
      <c r="U815" s="16" t="s">
        <v>3672</v>
      </c>
      <c r="V815" s="16" t="s">
        <v>3673</v>
      </c>
      <c r="W815" s="16" t="s">
        <v>179</v>
      </c>
      <c r="X815" s="16" t="s">
        <v>181</v>
      </c>
      <c r="Y815" s="100"/>
      <c r="Z815" s="16" t="s">
        <v>181</v>
      </c>
    </row>
    <row r="816">
      <c r="A816" s="16">
        <v>13306.0</v>
      </c>
      <c r="B816" s="16" t="s">
        <v>3674</v>
      </c>
      <c r="C816" s="16">
        <v>3.38</v>
      </c>
      <c r="D816" s="174" t="s">
        <v>3675</v>
      </c>
      <c r="E816" s="16"/>
      <c r="F816" s="16">
        <v>556.0</v>
      </c>
      <c r="G816" s="16" t="s">
        <v>1317</v>
      </c>
      <c r="H816" s="16" t="s">
        <v>24</v>
      </c>
      <c r="I816" s="16"/>
      <c r="J816" s="16"/>
      <c r="K816" s="16"/>
      <c r="L816" s="16"/>
      <c r="M816" s="16"/>
      <c r="N816" s="16"/>
      <c r="O816" s="16"/>
      <c r="P816" s="16"/>
      <c r="Q816" s="16"/>
      <c r="R816" s="16"/>
      <c r="S816" s="16">
        <v>-2.0</v>
      </c>
      <c r="T816" s="16"/>
      <c r="U816" s="16" t="s">
        <v>3676</v>
      </c>
      <c r="V816" s="16" t="s">
        <v>3677</v>
      </c>
      <c r="W816" s="16" t="s">
        <v>491</v>
      </c>
      <c r="X816" s="16" t="s">
        <v>181</v>
      </c>
      <c r="Y816" s="100"/>
      <c r="Z816" s="16" t="s">
        <v>181</v>
      </c>
    </row>
    <row r="817">
      <c r="A817" s="16">
        <v>13307.0</v>
      </c>
      <c r="B817" s="16" t="s">
        <v>3678</v>
      </c>
      <c r="C817" s="16">
        <v>4.65</v>
      </c>
      <c r="D817" s="174" t="s">
        <v>3679</v>
      </c>
      <c r="E817" s="16"/>
      <c r="F817" s="16">
        <v>569.0</v>
      </c>
      <c r="G817" s="16" t="s">
        <v>292</v>
      </c>
      <c r="H817" s="16" t="s">
        <v>24</v>
      </c>
      <c r="I817" s="16"/>
      <c r="J817" s="16"/>
      <c r="K817" s="16"/>
      <c r="L817" s="16"/>
      <c r="M817" s="16"/>
      <c r="N817" s="16"/>
      <c r="O817" s="16"/>
      <c r="P817" s="16"/>
      <c r="Q817" s="16"/>
      <c r="R817" s="16"/>
      <c r="S817" s="16">
        <v>-2.0</v>
      </c>
      <c r="T817" s="16"/>
      <c r="U817" s="16" t="s">
        <v>3680</v>
      </c>
      <c r="V817" s="16" t="s">
        <v>3681</v>
      </c>
      <c r="W817" s="16" t="s">
        <v>199</v>
      </c>
      <c r="X817" s="16" t="s">
        <v>181</v>
      </c>
      <c r="Y817" s="100"/>
      <c r="Z817" s="16" t="s">
        <v>181</v>
      </c>
    </row>
    <row r="818">
      <c r="A818" s="16">
        <v>13308.0</v>
      </c>
      <c r="B818" s="16" t="s">
        <v>39</v>
      </c>
      <c r="C818" s="16">
        <v>0.0</v>
      </c>
      <c r="D818" s="174" t="s">
        <v>3682</v>
      </c>
      <c r="E818" s="16"/>
      <c r="F818" s="16">
        <v>566.0</v>
      </c>
      <c r="G818" s="16" t="s">
        <v>277</v>
      </c>
      <c r="H818" s="16" t="s">
        <v>13</v>
      </c>
      <c r="I818" s="16"/>
      <c r="J818" s="16"/>
      <c r="K818" s="16"/>
      <c r="L818" s="16"/>
      <c r="M818" s="16"/>
      <c r="N818" s="16"/>
      <c r="O818" s="16"/>
      <c r="P818" s="16"/>
      <c r="Q818" s="16"/>
      <c r="R818" s="16"/>
      <c r="S818" s="16">
        <v>-2.0</v>
      </c>
      <c r="T818" s="16"/>
      <c r="U818" s="16" t="s">
        <v>3683</v>
      </c>
      <c r="V818" s="16" t="s">
        <v>3684</v>
      </c>
      <c r="W818" s="16" t="s">
        <v>675</v>
      </c>
      <c r="X818" s="16" t="s">
        <v>181</v>
      </c>
      <c r="Y818" s="100"/>
      <c r="Z818" s="16" t="s">
        <v>181</v>
      </c>
    </row>
    <row r="819">
      <c r="A819" s="16">
        <v>13309.0</v>
      </c>
      <c r="B819" s="16" t="s">
        <v>3685</v>
      </c>
      <c r="C819" s="16">
        <v>0.17</v>
      </c>
      <c r="D819" s="174" t="s">
        <v>3686</v>
      </c>
      <c r="E819" s="16"/>
      <c r="F819" s="16">
        <v>547.0</v>
      </c>
      <c r="G819" s="16" t="s">
        <v>176</v>
      </c>
      <c r="H819" s="16" t="s">
        <v>25</v>
      </c>
      <c r="I819" s="16" t="s">
        <v>26</v>
      </c>
      <c r="J819" s="16"/>
      <c r="K819" s="16"/>
      <c r="L819" s="16"/>
      <c r="M819" s="16"/>
      <c r="N819" s="16"/>
      <c r="O819" s="16"/>
      <c r="P819" s="16"/>
      <c r="Q819" s="16"/>
      <c r="R819" s="16"/>
      <c r="S819" s="16">
        <v>-2.0</v>
      </c>
      <c r="T819" s="16"/>
      <c r="U819" s="16" t="s">
        <v>3687</v>
      </c>
      <c r="V819" s="16" t="s">
        <v>3688</v>
      </c>
      <c r="W819" s="16" t="s">
        <v>422</v>
      </c>
      <c r="X819" s="16" t="s">
        <v>181</v>
      </c>
      <c r="Y819" s="100"/>
      <c r="Z819" s="16" t="s">
        <v>181</v>
      </c>
    </row>
    <row r="820">
      <c r="A820" s="16">
        <v>13310.0</v>
      </c>
      <c r="B820" s="16" t="s">
        <v>3689</v>
      </c>
      <c r="C820" s="16">
        <v>0.99</v>
      </c>
      <c r="D820" s="174" t="s">
        <v>3690</v>
      </c>
      <c r="E820" s="16"/>
      <c r="F820" s="16">
        <v>547.0</v>
      </c>
      <c r="G820" s="16" t="s">
        <v>176</v>
      </c>
      <c r="H820" s="16" t="s">
        <v>17</v>
      </c>
      <c r="I820" s="16" t="s">
        <v>14</v>
      </c>
      <c r="J820" s="16" t="s">
        <v>19</v>
      </c>
      <c r="K820" s="16" t="s">
        <v>15</v>
      </c>
      <c r="L820" s="16" t="s">
        <v>16</v>
      </c>
      <c r="M820" s="16"/>
      <c r="N820" s="16"/>
      <c r="O820" s="16"/>
      <c r="P820" s="16"/>
      <c r="Q820" s="16"/>
      <c r="R820" s="16"/>
      <c r="S820" s="16">
        <v>-2.0</v>
      </c>
      <c r="T820" s="16"/>
      <c r="U820" s="16" t="s">
        <v>3691</v>
      </c>
      <c r="V820" s="16" t="s">
        <v>3692</v>
      </c>
      <c r="W820" s="16" t="s">
        <v>616</v>
      </c>
      <c r="X820" s="16" t="s">
        <v>181</v>
      </c>
      <c r="Y820" s="100"/>
      <c r="Z820" s="16" t="s">
        <v>181</v>
      </c>
    </row>
    <row r="821">
      <c r="A821" s="16">
        <v>13311.0</v>
      </c>
      <c r="B821" s="16" t="s">
        <v>3693</v>
      </c>
      <c r="C821" s="16">
        <v>0.27</v>
      </c>
      <c r="D821" s="174" t="s">
        <v>3694</v>
      </c>
      <c r="E821" s="16"/>
      <c r="F821" s="16">
        <v>547.0</v>
      </c>
      <c r="G821" s="16" t="s">
        <v>176</v>
      </c>
      <c r="H821" s="16" t="s">
        <v>12</v>
      </c>
      <c r="I821" s="16"/>
      <c r="J821" s="16"/>
      <c r="K821" s="16"/>
      <c r="L821" s="16"/>
      <c r="M821" s="16"/>
      <c r="N821" s="16"/>
      <c r="O821" s="16"/>
      <c r="P821" s="16"/>
      <c r="Q821" s="16"/>
      <c r="R821" s="16"/>
      <c r="S821" s="16">
        <v>-2.0</v>
      </c>
      <c r="T821" s="16"/>
      <c r="U821" s="16" t="s">
        <v>3695</v>
      </c>
      <c r="V821" s="16" t="s">
        <v>3696</v>
      </c>
      <c r="W821" s="16" t="s">
        <v>399</v>
      </c>
      <c r="X821" s="16" t="s">
        <v>181</v>
      </c>
      <c r="Y821" s="100"/>
      <c r="Z821" s="16" t="s">
        <v>181</v>
      </c>
    </row>
    <row r="822">
      <c r="A822" s="16">
        <v>13312.0</v>
      </c>
      <c r="B822" s="16" t="s">
        <v>3697</v>
      </c>
      <c r="C822" s="16">
        <v>2.68</v>
      </c>
      <c r="D822" s="174" t="s">
        <v>3698</v>
      </c>
      <c r="E822" s="16"/>
      <c r="F822" s="16">
        <v>572.0</v>
      </c>
      <c r="G822" s="16" t="s">
        <v>306</v>
      </c>
      <c r="H822" s="16" t="s">
        <v>17</v>
      </c>
      <c r="I822" s="16" t="s">
        <v>18</v>
      </c>
      <c r="J822" s="16" t="s">
        <v>19</v>
      </c>
      <c r="K822" s="16"/>
      <c r="L822" s="16"/>
      <c r="M822" s="16"/>
      <c r="N822" s="16"/>
      <c r="O822" s="16"/>
      <c r="P822" s="16"/>
      <c r="Q822" s="16"/>
      <c r="R822" s="16"/>
      <c r="S822" s="16">
        <v>-2.0</v>
      </c>
      <c r="T822" s="16"/>
      <c r="U822" s="16" t="s">
        <v>3699</v>
      </c>
      <c r="V822" s="16" t="s">
        <v>3700</v>
      </c>
      <c r="W822" s="16" t="s">
        <v>443</v>
      </c>
      <c r="X822" s="16" t="s">
        <v>181</v>
      </c>
      <c r="Y822" s="100"/>
      <c r="Z822" s="16" t="s">
        <v>181</v>
      </c>
    </row>
    <row r="823">
      <c r="A823" s="16">
        <v>13313.0</v>
      </c>
      <c r="B823" s="16" t="s">
        <v>3701</v>
      </c>
      <c r="C823" s="16">
        <v>0.32</v>
      </c>
      <c r="D823" s="174" t="s">
        <v>3702</v>
      </c>
      <c r="E823" s="16"/>
      <c r="F823" s="16">
        <v>547.0</v>
      </c>
      <c r="G823" s="16" t="s">
        <v>176</v>
      </c>
      <c r="H823" s="16" t="s">
        <v>24</v>
      </c>
      <c r="I823" s="16" t="s">
        <v>25</v>
      </c>
      <c r="J823" s="16" t="s">
        <v>26</v>
      </c>
      <c r="K823" s="16"/>
      <c r="L823" s="16"/>
      <c r="M823" s="16"/>
      <c r="N823" s="16"/>
      <c r="O823" s="16"/>
      <c r="P823" s="16"/>
      <c r="Q823" s="16"/>
      <c r="R823" s="16"/>
      <c r="S823" s="16">
        <v>-2.0</v>
      </c>
      <c r="T823" s="16"/>
      <c r="U823" s="16" t="s">
        <v>3703</v>
      </c>
      <c r="V823" s="16" t="s">
        <v>3704</v>
      </c>
      <c r="W823" s="16" t="s">
        <v>360</v>
      </c>
      <c r="X823" s="16" t="s">
        <v>181</v>
      </c>
      <c r="Y823" s="100"/>
      <c r="Z823" s="16" t="s">
        <v>181</v>
      </c>
    </row>
    <row r="824">
      <c r="A824" s="16">
        <v>13314.0</v>
      </c>
      <c r="B824" s="16" t="s">
        <v>3705</v>
      </c>
      <c r="C824" s="16">
        <v>0.76</v>
      </c>
      <c r="D824" s="174" t="s">
        <v>3706</v>
      </c>
      <c r="E824" s="16"/>
      <c r="F824" s="16">
        <v>570.0</v>
      </c>
      <c r="G824" s="16" t="s">
        <v>1876</v>
      </c>
      <c r="H824" s="16" t="s">
        <v>17</v>
      </c>
      <c r="I824" s="16" t="s">
        <v>19</v>
      </c>
      <c r="J824" s="16"/>
      <c r="K824" s="16"/>
      <c r="L824" s="16"/>
      <c r="M824" s="16"/>
      <c r="N824" s="16"/>
      <c r="O824" s="16"/>
      <c r="P824" s="16"/>
      <c r="Q824" s="16"/>
      <c r="R824" s="16" t="s">
        <v>536</v>
      </c>
      <c r="S824" s="16">
        <v>-2.0</v>
      </c>
      <c r="T824" s="16"/>
      <c r="U824" s="16" t="s">
        <v>3707</v>
      </c>
      <c r="V824" s="16" t="s">
        <v>3708</v>
      </c>
      <c r="W824" s="16" t="s">
        <v>661</v>
      </c>
      <c r="X824" s="16" t="s">
        <v>181</v>
      </c>
      <c r="Y824" s="100"/>
      <c r="Z824" s="16" t="s">
        <v>181</v>
      </c>
    </row>
    <row r="825">
      <c r="A825" s="16">
        <v>13315.0</v>
      </c>
      <c r="B825" s="16" t="s">
        <v>3709</v>
      </c>
      <c r="C825" s="16">
        <v>0.0</v>
      </c>
      <c r="D825" s="174" t="s">
        <v>3710</v>
      </c>
      <c r="E825" s="16"/>
      <c r="F825" s="16">
        <v>547.0</v>
      </c>
      <c r="G825" s="16" t="s">
        <v>176</v>
      </c>
      <c r="H825" s="16" t="s">
        <v>19</v>
      </c>
      <c r="I825" s="16" t="s">
        <v>17</v>
      </c>
      <c r="J825" s="16"/>
      <c r="K825" s="16"/>
      <c r="L825" s="16"/>
      <c r="M825" s="16"/>
      <c r="N825" s="16"/>
      <c r="O825" s="16"/>
      <c r="P825" s="16"/>
      <c r="Q825" s="16"/>
      <c r="R825" s="16"/>
      <c r="S825" s="16">
        <v>-2.0</v>
      </c>
      <c r="T825" s="16"/>
      <c r="U825" s="16" t="s">
        <v>3711</v>
      </c>
      <c r="V825" s="16" t="s">
        <v>3712</v>
      </c>
      <c r="W825" s="16" t="s">
        <v>360</v>
      </c>
      <c r="X825" s="16" t="s">
        <v>181</v>
      </c>
      <c r="Y825" s="100"/>
      <c r="Z825" s="16" t="s">
        <v>181</v>
      </c>
    </row>
    <row r="826">
      <c r="A826" s="16">
        <v>13316.0</v>
      </c>
      <c r="B826" s="16" t="s">
        <v>3713</v>
      </c>
      <c r="C826" s="16">
        <v>0.0</v>
      </c>
      <c r="D826" s="174" t="s">
        <v>3714</v>
      </c>
      <c r="E826" s="16"/>
      <c r="F826" s="16">
        <v>547.0</v>
      </c>
      <c r="G826" s="16" t="s">
        <v>176</v>
      </c>
      <c r="H826" s="16" t="s">
        <v>24</v>
      </c>
      <c r="I826" s="16"/>
      <c r="J826" s="16"/>
      <c r="K826" s="16"/>
      <c r="L826" s="16"/>
      <c r="M826" s="16"/>
      <c r="N826" s="16"/>
      <c r="O826" s="16"/>
      <c r="P826" s="16"/>
      <c r="Q826" s="16"/>
      <c r="R826" s="16"/>
      <c r="S826" s="16">
        <v>-2.0</v>
      </c>
      <c r="T826" s="16"/>
      <c r="U826" s="16" t="s">
        <v>3715</v>
      </c>
      <c r="V826" s="16" t="s">
        <v>3716</v>
      </c>
      <c r="W826" s="16" t="s">
        <v>459</v>
      </c>
      <c r="X826" s="16" t="s">
        <v>181</v>
      </c>
      <c r="Y826" s="100"/>
      <c r="Z826" s="16" t="s">
        <v>181</v>
      </c>
    </row>
    <row r="827">
      <c r="A827" s="16">
        <v>13317.0</v>
      </c>
      <c r="B827" s="16" t="s">
        <v>3717</v>
      </c>
      <c r="C827" s="16">
        <v>0.0</v>
      </c>
      <c r="D827" s="174" t="s">
        <v>3718</v>
      </c>
      <c r="E827" s="16"/>
      <c r="F827" s="16">
        <v>584.0</v>
      </c>
      <c r="G827" s="16" t="s">
        <v>361</v>
      </c>
      <c r="H827" s="16" t="s">
        <v>25</v>
      </c>
      <c r="I827" s="16"/>
      <c r="J827" s="16"/>
      <c r="K827" s="16"/>
      <c r="L827" s="16"/>
      <c r="M827" s="16"/>
      <c r="N827" s="16"/>
      <c r="O827" s="16"/>
      <c r="P827" s="16"/>
      <c r="Q827" s="16"/>
      <c r="R827" s="16"/>
      <c r="S827" s="16">
        <v>-2.0</v>
      </c>
      <c r="T827" s="16"/>
      <c r="U827" s="16" t="s">
        <v>3719</v>
      </c>
      <c r="V827" s="16" t="s">
        <v>3720</v>
      </c>
      <c r="W827" s="16" t="s">
        <v>231</v>
      </c>
      <c r="X827" s="16" t="s">
        <v>181</v>
      </c>
      <c r="Y827" s="100"/>
      <c r="Z827" s="16" t="s">
        <v>181</v>
      </c>
    </row>
    <row r="828">
      <c r="A828" s="16">
        <v>13318.0</v>
      </c>
      <c r="B828" s="16" t="s">
        <v>3721</v>
      </c>
      <c r="C828" s="16">
        <v>1.55</v>
      </c>
      <c r="D828" s="174" t="s">
        <v>3722</v>
      </c>
      <c r="E828" s="16"/>
      <c r="F828" s="16">
        <v>578.0</v>
      </c>
      <c r="G828" s="16" t="s">
        <v>333</v>
      </c>
      <c r="H828" s="16" t="s">
        <v>25</v>
      </c>
      <c r="I828" s="16" t="s">
        <v>26</v>
      </c>
      <c r="J828" s="16"/>
      <c r="K828" s="16"/>
      <c r="L828" s="16"/>
      <c r="M828" s="16"/>
      <c r="N828" s="16"/>
      <c r="O828" s="16"/>
      <c r="P828" s="16"/>
      <c r="Q828" s="16"/>
      <c r="R828" s="16"/>
      <c r="S828" s="16">
        <v>-2.0</v>
      </c>
      <c r="T828" s="16"/>
      <c r="U828" s="16" t="s">
        <v>3723</v>
      </c>
      <c r="V828" s="16" t="s">
        <v>3724</v>
      </c>
      <c r="W828" s="16" t="s">
        <v>491</v>
      </c>
      <c r="X828" s="16" t="s">
        <v>181</v>
      </c>
      <c r="Y828" s="100"/>
      <c r="Z828" s="16" t="s">
        <v>181</v>
      </c>
    </row>
    <row r="829">
      <c r="A829" s="16">
        <v>13319.0</v>
      </c>
      <c r="B829" s="16" t="s">
        <v>3725</v>
      </c>
      <c r="C829" s="16">
        <v>0.0</v>
      </c>
      <c r="D829" s="174" t="s">
        <v>3726</v>
      </c>
      <c r="E829" s="16"/>
      <c r="F829" s="16">
        <v>547.0</v>
      </c>
      <c r="G829" s="16" t="s">
        <v>176</v>
      </c>
      <c r="H829" s="16" t="s">
        <v>24</v>
      </c>
      <c r="I829" s="16"/>
      <c r="J829" s="16"/>
      <c r="K829" s="16"/>
      <c r="L829" s="16"/>
      <c r="M829" s="16"/>
      <c r="N829" s="16"/>
      <c r="O829" s="16"/>
      <c r="P829" s="16"/>
      <c r="Q829" s="16"/>
      <c r="R829" s="16"/>
      <c r="S829" s="16">
        <v>-2.0</v>
      </c>
      <c r="T829" s="16"/>
      <c r="U829" s="16" t="s">
        <v>3727</v>
      </c>
      <c r="V829" s="16" t="s">
        <v>3728</v>
      </c>
      <c r="W829" s="16" t="s">
        <v>179</v>
      </c>
      <c r="X829" s="16" t="s">
        <v>181</v>
      </c>
      <c r="Y829" s="100"/>
      <c r="Z829" s="16" t="s">
        <v>181</v>
      </c>
    </row>
    <row r="830">
      <c r="A830" s="16">
        <v>13320.0</v>
      </c>
      <c r="B830" s="16" t="s">
        <v>3729</v>
      </c>
      <c r="C830" s="16">
        <v>0.73</v>
      </c>
      <c r="D830" s="174" t="s">
        <v>3730</v>
      </c>
      <c r="E830" s="16"/>
      <c r="F830" s="16">
        <v>581.0</v>
      </c>
      <c r="G830" s="16" t="s">
        <v>346</v>
      </c>
      <c r="H830" s="16" t="s">
        <v>14</v>
      </c>
      <c r="I830" s="16" t="s">
        <v>13</v>
      </c>
      <c r="J830" s="16" t="s">
        <v>15</v>
      </c>
      <c r="K830" s="16" t="s">
        <v>16</v>
      </c>
      <c r="L830" s="16" t="s">
        <v>18</v>
      </c>
      <c r="M830" s="16" t="s">
        <v>19</v>
      </c>
      <c r="N830" s="16" t="s">
        <v>17</v>
      </c>
      <c r="O830" s="16"/>
      <c r="P830" s="16"/>
      <c r="Q830" s="16"/>
      <c r="R830" s="16"/>
      <c r="S830" s="16">
        <v>-2.0</v>
      </c>
      <c r="T830" s="16"/>
      <c r="U830" s="16" t="s">
        <v>3731</v>
      </c>
      <c r="V830" s="16" t="s">
        <v>3732</v>
      </c>
      <c r="W830" s="16" t="s">
        <v>566</v>
      </c>
      <c r="X830" s="16" t="s">
        <v>181</v>
      </c>
      <c r="Y830" s="100"/>
      <c r="Z830" s="16" t="s">
        <v>181</v>
      </c>
    </row>
    <row r="831">
      <c r="A831" s="16">
        <v>13321.0</v>
      </c>
      <c r="B831" s="16" t="s">
        <v>3733</v>
      </c>
      <c r="C831" s="16">
        <v>0.37</v>
      </c>
      <c r="D831" s="174" t="s">
        <v>3734</v>
      </c>
      <c r="E831" s="16"/>
      <c r="F831" s="16">
        <v>547.0</v>
      </c>
      <c r="G831" s="16" t="s">
        <v>176</v>
      </c>
      <c r="H831" s="16" t="s">
        <v>25</v>
      </c>
      <c r="I831" s="16"/>
      <c r="J831" s="16"/>
      <c r="K831" s="16"/>
      <c r="L831" s="16"/>
      <c r="M831" s="16"/>
      <c r="N831" s="16"/>
      <c r="O831" s="16"/>
      <c r="P831" s="16"/>
      <c r="Q831" s="16"/>
      <c r="R831" s="16"/>
      <c r="S831" s="16">
        <v>-2.0</v>
      </c>
      <c r="T831" s="16"/>
      <c r="U831" s="16" t="s">
        <v>3735</v>
      </c>
      <c r="V831" s="16" t="s">
        <v>3736</v>
      </c>
      <c r="W831" s="16" t="s">
        <v>199</v>
      </c>
      <c r="X831" s="16" t="s">
        <v>181</v>
      </c>
      <c r="Y831" s="100"/>
      <c r="Z831" s="16" t="s">
        <v>181</v>
      </c>
    </row>
    <row r="832">
      <c r="A832" s="16">
        <v>13322.0</v>
      </c>
      <c r="B832" s="16" t="s">
        <v>50</v>
      </c>
      <c r="C832" s="16">
        <v>0.0</v>
      </c>
      <c r="D832" s="174" t="s">
        <v>3737</v>
      </c>
      <c r="E832" s="16"/>
      <c r="F832" s="16">
        <v>550.0</v>
      </c>
      <c r="G832" s="16" t="s">
        <v>371</v>
      </c>
      <c r="H832" s="16" t="s">
        <v>19</v>
      </c>
      <c r="I832" s="16"/>
      <c r="J832" s="16"/>
      <c r="K832" s="16"/>
      <c r="L832" s="16"/>
      <c r="M832" s="16"/>
      <c r="N832" s="16"/>
      <c r="O832" s="16"/>
      <c r="P832" s="16"/>
      <c r="Q832" s="16"/>
      <c r="R832" s="16"/>
      <c r="S832" s="16">
        <v>-2.0</v>
      </c>
      <c r="T832" s="16"/>
      <c r="U832" s="16" t="s">
        <v>3738</v>
      </c>
      <c r="V832" s="16" t="s">
        <v>3739</v>
      </c>
      <c r="W832" s="16" t="s">
        <v>422</v>
      </c>
      <c r="X832" s="16" t="s">
        <v>181</v>
      </c>
      <c r="Y832" s="100"/>
      <c r="Z832" s="16" t="s">
        <v>181</v>
      </c>
    </row>
    <row r="833">
      <c r="A833" s="16">
        <v>13323.0</v>
      </c>
      <c r="B833" s="16" t="s">
        <v>3740</v>
      </c>
      <c r="C833" s="16">
        <v>2.42</v>
      </c>
      <c r="D833" s="174" t="s">
        <v>3741</v>
      </c>
      <c r="E833" s="16"/>
      <c r="F833" s="16">
        <v>575.0</v>
      </c>
      <c r="G833" s="16" t="s">
        <v>212</v>
      </c>
      <c r="H833" s="16" t="s">
        <v>24</v>
      </c>
      <c r="I833" s="16"/>
      <c r="J833" s="16"/>
      <c r="K833" s="16"/>
      <c r="L833" s="16"/>
      <c r="M833" s="16"/>
      <c r="N833" s="16"/>
      <c r="O833" s="16"/>
      <c r="P833" s="16"/>
      <c r="Q833" s="16"/>
      <c r="R833" s="16"/>
      <c r="S833" s="16">
        <v>-2.0</v>
      </c>
      <c r="T833" s="16"/>
      <c r="U833" s="16" t="s">
        <v>3742</v>
      </c>
      <c r="V833" s="16" t="s">
        <v>3743</v>
      </c>
      <c r="W833" s="16" t="s">
        <v>188</v>
      </c>
      <c r="X833" s="16" t="s">
        <v>181</v>
      </c>
      <c r="Y833" s="100"/>
      <c r="Z833" s="16" t="s">
        <v>181</v>
      </c>
    </row>
    <row r="834">
      <c r="A834" s="16">
        <v>13324.0</v>
      </c>
      <c r="B834" s="16" t="s">
        <v>3744</v>
      </c>
      <c r="C834" s="16">
        <v>0.0</v>
      </c>
      <c r="D834" s="174" t="s">
        <v>3745</v>
      </c>
      <c r="E834" s="16"/>
      <c r="F834" s="16">
        <v>547.0</v>
      </c>
      <c r="G834" s="16" t="s">
        <v>176</v>
      </c>
      <c r="H834" s="16" t="s">
        <v>24</v>
      </c>
      <c r="I834" s="16" t="s">
        <v>25</v>
      </c>
      <c r="J834" s="16"/>
      <c r="K834" s="16"/>
      <c r="L834" s="16"/>
      <c r="M834" s="16"/>
      <c r="N834" s="16"/>
      <c r="O834" s="16"/>
      <c r="P834" s="16"/>
      <c r="Q834" s="16"/>
      <c r="R834" s="16"/>
      <c r="S834" s="16">
        <v>-2.0</v>
      </c>
      <c r="T834" s="16"/>
      <c r="U834" s="16" t="s">
        <v>3746</v>
      </c>
      <c r="V834" s="16" t="s">
        <v>3747</v>
      </c>
      <c r="W834" s="16" t="s">
        <v>616</v>
      </c>
      <c r="X834" s="16" t="s">
        <v>181</v>
      </c>
      <c r="Y834" s="100"/>
      <c r="Z834" s="16" t="s">
        <v>181</v>
      </c>
    </row>
    <row r="835">
      <c r="A835" s="16">
        <v>13325.0</v>
      </c>
      <c r="B835" s="16" t="s">
        <v>3748</v>
      </c>
      <c r="C835" s="16">
        <v>0.0</v>
      </c>
      <c r="D835" s="174" t="s">
        <v>3749</v>
      </c>
      <c r="E835" s="16"/>
      <c r="F835" s="16">
        <v>547.0</v>
      </c>
      <c r="G835" s="16" t="s">
        <v>176</v>
      </c>
      <c r="H835" s="16" t="s">
        <v>13</v>
      </c>
      <c r="I835" s="16"/>
      <c r="J835" s="16"/>
      <c r="K835" s="16"/>
      <c r="L835" s="16"/>
      <c r="M835" s="16"/>
      <c r="N835" s="16"/>
      <c r="O835" s="16"/>
      <c r="P835" s="16"/>
      <c r="Q835" s="16"/>
      <c r="R835" s="16"/>
      <c r="S835" s="16">
        <v>-2.0</v>
      </c>
      <c r="T835" s="16"/>
      <c r="U835" s="16" t="s">
        <v>3750</v>
      </c>
      <c r="V835" s="16" t="s">
        <v>3751</v>
      </c>
      <c r="W835" s="16" t="s">
        <v>491</v>
      </c>
      <c r="X835" s="16" t="s">
        <v>181</v>
      </c>
      <c r="Y835" s="100"/>
      <c r="Z835" s="16" t="s">
        <v>181</v>
      </c>
    </row>
    <row r="836">
      <c r="A836" s="16">
        <v>13326.0</v>
      </c>
      <c r="B836" s="16" t="s">
        <v>3752</v>
      </c>
      <c r="C836" s="16">
        <v>0.62</v>
      </c>
      <c r="D836" s="174" t="s">
        <v>3753</v>
      </c>
      <c r="E836" s="16"/>
      <c r="F836" s="16">
        <v>577.0</v>
      </c>
      <c r="G836" s="16" t="s">
        <v>1755</v>
      </c>
      <c r="H836" s="16" t="s">
        <v>15</v>
      </c>
      <c r="I836" s="16" t="s">
        <v>14</v>
      </c>
      <c r="J836" s="16"/>
      <c r="K836" s="16"/>
      <c r="L836" s="16"/>
      <c r="M836" s="16"/>
      <c r="N836" s="16"/>
      <c r="O836" s="16"/>
      <c r="P836" s="16"/>
      <c r="Q836" s="16"/>
      <c r="R836" s="16"/>
      <c r="S836" s="16">
        <v>-2.0</v>
      </c>
      <c r="T836" s="16"/>
      <c r="U836" s="16" t="s">
        <v>3754</v>
      </c>
      <c r="V836" s="16" t="s">
        <v>3755</v>
      </c>
      <c r="W836" s="16" t="s">
        <v>942</v>
      </c>
      <c r="X836" s="16" t="s">
        <v>181</v>
      </c>
      <c r="Y836" s="100"/>
      <c r="Z836" s="16" t="s">
        <v>181</v>
      </c>
    </row>
    <row r="837">
      <c r="A837" s="16">
        <v>13327.0</v>
      </c>
      <c r="B837" s="16" t="s">
        <v>3756</v>
      </c>
      <c r="C837" s="16">
        <v>0.98</v>
      </c>
      <c r="D837" s="174" t="s">
        <v>3757</v>
      </c>
      <c r="E837" s="16"/>
      <c r="F837" s="16">
        <v>547.0</v>
      </c>
      <c r="G837" s="16" t="s">
        <v>176</v>
      </c>
      <c r="H837" s="16" t="s">
        <v>14</v>
      </c>
      <c r="I837" s="16"/>
      <c r="J837" s="16"/>
      <c r="K837" s="16"/>
      <c r="L837" s="16"/>
      <c r="M837" s="16"/>
      <c r="N837" s="16"/>
      <c r="O837" s="16"/>
      <c r="P837" s="16"/>
      <c r="Q837" s="16"/>
      <c r="R837" s="16"/>
      <c r="S837" s="16">
        <v>-2.0</v>
      </c>
      <c r="T837" s="16"/>
      <c r="U837" s="16" t="s">
        <v>3758</v>
      </c>
      <c r="V837" s="16" t="s">
        <v>3759</v>
      </c>
      <c r="W837" s="16" t="s">
        <v>199</v>
      </c>
      <c r="X837" s="16" t="s">
        <v>181</v>
      </c>
      <c r="Y837" s="100"/>
      <c r="Z837" s="16" t="s">
        <v>181</v>
      </c>
    </row>
    <row r="838">
      <c r="A838" s="16">
        <v>13328.0</v>
      </c>
      <c r="B838" s="16" t="s">
        <v>3760</v>
      </c>
      <c r="C838" s="16">
        <v>0.34</v>
      </c>
      <c r="D838" s="174" t="s">
        <v>3761</v>
      </c>
      <c r="E838" s="16"/>
      <c r="F838" s="16">
        <v>551.0</v>
      </c>
      <c r="G838" s="16" t="s">
        <v>200</v>
      </c>
      <c r="H838" s="16" t="s">
        <v>24</v>
      </c>
      <c r="I838" s="16" t="s">
        <v>25</v>
      </c>
      <c r="J838" s="16"/>
      <c r="K838" s="16"/>
      <c r="L838" s="16"/>
      <c r="M838" s="16"/>
      <c r="N838" s="16"/>
      <c r="O838" s="16"/>
      <c r="P838" s="16"/>
      <c r="Q838" s="16"/>
      <c r="R838" s="16"/>
      <c r="S838" s="16">
        <v>-2.0</v>
      </c>
      <c r="T838" s="16"/>
      <c r="U838" s="16" t="s">
        <v>3762</v>
      </c>
      <c r="V838" s="16" t="s">
        <v>3763</v>
      </c>
      <c r="W838" s="16" t="s">
        <v>422</v>
      </c>
      <c r="X838" s="16" t="s">
        <v>181</v>
      </c>
      <c r="Y838" s="100"/>
      <c r="Z838" s="16" t="s">
        <v>181</v>
      </c>
    </row>
    <row r="839">
      <c r="A839" s="16">
        <v>13329.0</v>
      </c>
      <c r="B839" s="16" t="s">
        <v>3764</v>
      </c>
      <c r="C839" s="16">
        <v>0.0</v>
      </c>
      <c r="D839" s="174" t="s">
        <v>3765</v>
      </c>
      <c r="E839" s="16"/>
      <c r="F839" s="16">
        <v>575.0</v>
      </c>
      <c r="G839" s="16" t="s">
        <v>212</v>
      </c>
      <c r="H839" s="16" t="s">
        <v>24</v>
      </c>
      <c r="I839" s="16" t="s">
        <v>25</v>
      </c>
      <c r="J839" s="16"/>
      <c r="K839" s="16"/>
      <c r="L839" s="16"/>
      <c r="M839" s="16"/>
      <c r="N839" s="16"/>
      <c r="O839" s="16"/>
      <c r="P839" s="16"/>
      <c r="Q839" s="16"/>
      <c r="R839" s="16"/>
      <c r="S839" s="16">
        <v>-2.0</v>
      </c>
      <c r="T839" s="16"/>
      <c r="U839" s="16" t="s">
        <v>3766</v>
      </c>
      <c r="V839" s="16" t="s">
        <v>3767</v>
      </c>
      <c r="W839" s="16" t="s">
        <v>332</v>
      </c>
      <c r="X839" s="16" t="s">
        <v>181</v>
      </c>
      <c r="Y839" s="100"/>
      <c r="Z839" s="16" t="s">
        <v>181</v>
      </c>
    </row>
    <row r="840">
      <c r="A840" s="16">
        <v>13330.0</v>
      </c>
      <c r="B840" s="16" t="s">
        <v>3768</v>
      </c>
      <c r="C840" s="16">
        <v>0.51</v>
      </c>
      <c r="D840" s="174" t="s">
        <v>3769</v>
      </c>
      <c r="E840" s="16"/>
      <c r="F840" s="16">
        <v>547.0</v>
      </c>
      <c r="G840" s="16" t="s">
        <v>176</v>
      </c>
      <c r="H840" s="16" t="s">
        <v>24</v>
      </c>
      <c r="I840" s="16"/>
      <c r="J840" s="16"/>
      <c r="K840" s="16"/>
      <c r="L840" s="16"/>
      <c r="M840" s="16"/>
      <c r="N840" s="16"/>
      <c r="O840" s="16"/>
      <c r="P840" s="16"/>
      <c r="Q840" s="16"/>
      <c r="R840" s="16"/>
      <c r="S840" s="16">
        <v>-2.0</v>
      </c>
      <c r="T840" s="16"/>
      <c r="U840" s="16" t="s">
        <v>3770</v>
      </c>
      <c r="V840" s="16" t="s">
        <v>3771</v>
      </c>
      <c r="W840" s="16" t="s">
        <v>188</v>
      </c>
      <c r="X840" s="16" t="s">
        <v>181</v>
      </c>
      <c r="Y840" s="100"/>
      <c r="Z840" s="16" t="s">
        <v>181</v>
      </c>
    </row>
    <row r="841">
      <c r="A841" s="16">
        <v>13331.0</v>
      </c>
      <c r="B841" s="16" t="s">
        <v>3772</v>
      </c>
      <c r="C841" s="16">
        <v>0.72</v>
      </c>
      <c r="D841" s="174" t="s">
        <v>3773</v>
      </c>
      <c r="E841" s="16"/>
      <c r="F841" s="16">
        <v>548.0</v>
      </c>
      <c r="G841" s="16" t="s">
        <v>126</v>
      </c>
      <c r="H841" s="16" t="s">
        <v>25</v>
      </c>
      <c r="I841" s="16" t="s">
        <v>26</v>
      </c>
      <c r="J841" s="16"/>
      <c r="K841" s="16"/>
      <c r="L841" s="16"/>
      <c r="M841" s="16"/>
      <c r="N841" s="16"/>
      <c r="O841" s="16"/>
      <c r="P841" s="16"/>
      <c r="Q841" s="16"/>
      <c r="R841" s="16"/>
      <c r="S841" s="16">
        <v>-2.0</v>
      </c>
      <c r="T841" s="16"/>
      <c r="U841" s="16" t="s">
        <v>3774</v>
      </c>
      <c r="V841" s="16" t="s">
        <v>3775</v>
      </c>
      <c r="W841" s="16" t="s">
        <v>491</v>
      </c>
      <c r="X841" s="16" t="s">
        <v>181</v>
      </c>
      <c r="Y841" s="100"/>
      <c r="Z841" s="16" t="s">
        <v>181</v>
      </c>
    </row>
    <row r="842">
      <c r="A842" s="16">
        <v>13332.0</v>
      </c>
      <c r="B842" s="16" t="s">
        <v>3776</v>
      </c>
      <c r="C842" s="16">
        <v>2.17</v>
      </c>
      <c r="D842" s="174" t="s">
        <v>3777</v>
      </c>
      <c r="E842" s="16"/>
      <c r="F842" s="16">
        <v>575.0</v>
      </c>
      <c r="G842" s="16" t="s">
        <v>212</v>
      </c>
      <c r="H842" s="16" t="s">
        <v>25</v>
      </c>
      <c r="I842" s="16" t="s">
        <v>26</v>
      </c>
      <c r="J842" s="16"/>
      <c r="K842" s="16"/>
      <c r="L842" s="16"/>
      <c r="M842" s="16"/>
      <c r="N842" s="16"/>
      <c r="O842" s="16"/>
      <c r="P842" s="16"/>
      <c r="Q842" s="16"/>
      <c r="R842" s="16"/>
      <c r="S842" s="16">
        <v>-2.0</v>
      </c>
      <c r="T842" s="16"/>
      <c r="U842" s="16" t="s">
        <v>3778</v>
      </c>
      <c r="V842" s="16" t="s">
        <v>3779</v>
      </c>
      <c r="W842" s="16" t="s">
        <v>491</v>
      </c>
      <c r="X842" s="16" t="s">
        <v>181</v>
      </c>
      <c r="Y842" s="100"/>
      <c r="Z842" s="16" t="s">
        <v>181</v>
      </c>
    </row>
    <row r="843">
      <c r="A843" s="16">
        <v>13333.0</v>
      </c>
      <c r="B843" s="16" t="s">
        <v>3780</v>
      </c>
      <c r="C843" s="16">
        <v>1.31</v>
      </c>
      <c r="D843" s="174" t="s">
        <v>3781</v>
      </c>
      <c r="E843" s="16"/>
      <c r="F843" s="16">
        <v>547.0</v>
      </c>
      <c r="G843" s="16" t="s">
        <v>176</v>
      </c>
      <c r="H843" s="16" t="s">
        <v>12</v>
      </c>
      <c r="I843" s="16"/>
      <c r="J843" s="16"/>
      <c r="K843" s="16"/>
      <c r="L843" s="16"/>
      <c r="M843" s="16"/>
      <c r="N843" s="16"/>
      <c r="O843" s="16"/>
      <c r="P843" s="16"/>
      <c r="Q843" s="16"/>
      <c r="R843" s="16"/>
      <c r="S843" s="16">
        <v>-2.0</v>
      </c>
      <c r="T843" s="16"/>
      <c r="U843" s="16" t="s">
        <v>3782</v>
      </c>
      <c r="V843" s="16" t="s">
        <v>3783</v>
      </c>
      <c r="W843" s="16" t="s">
        <v>675</v>
      </c>
      <c r="X843" s="16" t="s">
        <v>181</v>
      </c>
      <c r="Y843" s="100"/>
      <c r="Z843" s="16" t="s">
        <v>181</v>
      </c>
    </row>
    <row r="844">
      <c r="A844" s="16">
        <v>13334.0</v>
      </c>
      <c r="B844" s="16" t="s">
        <v>3784</v>
      </c>
      <c r="C844" s="16">
        <v>0.0</v>
      </c>
      <c r="D844" s="174" t="s">
        <v>3785</v>
      </c>
      <c r="E844" s="16"/>
      <c r="F844" s="16">
        <v>547.0</v>
      </c>
      <c r="G844" s="16" t="s">
        <v>176</v>
      </c>
      <c r="H844" s="16" t="s">
        <v>16</v>
      </c>
      <c r="I844" s="16" t="s">
        <v>15</v>
      </c>
      <c r="J844" s="16" t="s">
        <v>17</v>
      </c>
      <c r="K844" s="16" t="s">
        <v>18</v>
      </c>
      <c r="L844" s="16"/>
      <c r="M844" s="16"/>
      <c r="N844" s="16"/>
      <c r="O844" s="16"/>
      <c r="P844" s="16"/>
      <c r="Q844" s="16"/>
      <c r="R844" s="16"/>
      <c r="S844" s="16">
        <v>-2.0</v>
      </c>
      <c r="T844" s="16"/>
      <c r="U844" s="16" t="s">
        <v>3786</v>
      </c>
      <c r="V844" s="16" t="s">
        <v>3787</v>
      </c>
      <c r="W844" s="16" t="s">
        <v>199</v>
      </c>
      <c r="X844" s="16" t="s">
        <v>181</v>
      </c>
      <c r="Y844" s="100"/>
      <c r="Z844" s="16" t="s">
        <v>181</v>
      </c>
    </row>
    <row r="845">
      <c r="A845" s="16">
        <v>13335.0</v>
      </c>
      <c r="B845" s="16" t="s">
        <v>3788</v>
      </c>
      <c r="C845" s="16">
        <v>1.12</v>
      </c>
      <c r="D845" s="174" t="s">
        <v>3789</v>
      </c>
      <c r="E845" s="16"/>
      <c r="F845" s="16">
        <v>547.0</v>
      </c>
      <c r="G845" s="16" t="s">
        <v>176</v>
      </c>
      <c r="H845" s="16" t="s">
        <v>15</v>
      </c>
      <c r="I845" s="16"/>
      <c r="J845" s="16"/>
      <c r="K845" s="16"/>
      <c r="L845" s="16"/>
      <c r="M845" s="16"/>
      <c r="N845" s="16"/>
      <c r="O845" s="16"/>
      <c r="P845" s="16"/>
      <c r="Q845" s="16"/>
      <c r="R845" s="16"/>
      <c r="S845" s="16">
        <v>-2.0</v>
      </c>
      <c r="T845" s="16"/>
      <c r="U845" s="16" t="s">
        <v>3790</v>
      </c>
      <c r="V845" s="16" t="s">
        <v>3791</v>
      </c>
      <c r="W845" s="16" t="s">
        <v>188</v>
      </c>
      <c r="X845" s="16" t="s">
        <v>181</v>
      </c>
      <c r="Y845" s="100"/>
      <c r="Z845" s="16" t="s">
        <v>181</v>
      </c>
    </row>
    <row r="846">
      <c r="A846" s="16">
        <v>13336.0</v>
      </c>
      <c r="B846" s="16" t="s">
        <v>3792</v>
      </c>
      <c r="C846" s="16">
        <v>1.49</v>
      </c>
      <c r="D846" s="174" t="s">
        <v>3793</v>
      </c>
      <c r="E846" s="16"/>
      <c r="F846" s="16">
        <v>547.0</v>
      </c>
      <c r="G846" s="16" t="s">
        <v>176</v>
      </c>
      <c r="H846" s="16" t="s">
        <v>13</v>
      </c>
      <c r="I846" s="16"/>
      <c r="J846" s="16"/>
      <c r="K846" s="16"/>
      <c r="L846" s="16"/>
      <c r="M846" s="16"/>
      <c r="N846" s="16"/>
      <c r="O846" s="16"/>
      <c r="P846" s="16"/>
      <c r="Q846" s="16"/>
      <c r="R846" s="16"/>
      <c r="S846" s="16">
        <v>-2.0</v>
      </c>
      <c r="T846" s="16"/>
      <c r="U846" s="16" t="s">
        <v>3794</v>
      </c>
      <c r="V846" s="16" t="s">
        <v>3795</v>
      </c>
      <c r="W846" s="16" t="s">
        <v>675</v>
      </c>
      <c r="X846" s="16" t="s">
        <v>181</v>
      </c>
      <c r="Y846" s="100"/>
      <c r="Z846" s="16" t="s">
        <v>181</v>
      </c>
    </row>
    <row r="847">
      <c r="A847" s="16">
        <v>13337.0</v>
      </c>
      <c r="B847" s="16" t="s">
        <v>3796</v>
      </c>
      <c r="C847" s="16">
        <v>0.0</v>
      </c>
      <c r="D847" s="174" t="s">
        <v>3797</v>
      </c>
      <c r="E847" s="16"/>
      <c r="F847" s="16">
        <v>547.0</v>
      </c>
      <c r="G847" s="16" t="s">
        <v>176</v>
      </c>
      <c r="H847" s="16" t="s">
        <v>13</v>
      </c>
      <c r="I847" s="16" t="s">
        <v>19</v>
      </c>
      <c r="J847" s="16"/>
      <c r="K847" s="16"/>
      <c r="L847" s="16"/>
      <c r="M847" s="16"/>
      <c r="N847" s="16"/>
      <c r="O847" s="16"/>
      <c r="P847" s="16"/>
      <c r="Q847" s="16"/>
      <c r="R847" s="16"/>
      <c r="S847" s="16">
        <v>-2.0</v>
      </c>
      <c r="T847" s="16"/>
      <c r="U847" s="16" t="s">
        <v>3798</v>
      </c>
      <c r="V847" s="16" t="s">
        <v>3799</v>
      </c>
      <c r="W847" s="16" t="s">
        <v>199</v>
      </c>
      <c r="X847" s="16" t="s">
        <v>181</v>
      </c>
      <c r="Y847" s="100"/>
      <c r="Z847" s="16" t="s">
        <v>181</v>
      </c>
    </row>
    <row r="848">
      <c r="A848" s="16">
        <v>13338.0</v>
      </c>
      <c r="B848" s="16" t="s">
        <v>3800</v>
      </c>
      <c r="C848" s="16">
        <v>1.12</v>
      </c>
      <c r="D848" s="174" t="s">
        <v>3801</v>
      </c>
      <c r="E848" s="16"/>
      <c r="F848" s="16">
        <v>592.0</v>
      </c>
      <c r="G848" s="16" t="s">
        <v>1175</v>
      </c>
      <c r="H848" s="16" t="s">
        <v>13</v>
      </c>
      <c r="I848" s="16" t="s">
        <v>19</v>
      </c>
      <c r="J848" s="16" t="s">
        <v>17</v>
      </c>
      <c r="K848" s="16"/>
      <c r="L848" s="16"/>
      <c r="M848" s="16"/>
      <c r="N848" s="16"/>
      <c r="O848" s="16"/>
      <c r="P848" s="16"/>
      <c r="Q848" s="16"/>
      <c r="R848" s="16"/>
      <c r="S848" s="16">
        <v>-2.0</v>
      </c>
      <c r="T848" s="16"/>
      <c r="U848" s="16" t="s">
        <v>3802</v>
      </c>
      <c r="V848" s="16" t="s">
        <v>3803</v>
      </c>
      <c r="W848" s="16" t="s">
        <v>443</v>
      </c>
      <c r="X848" s="16" t="s">
        <v>181</v>
      </c>
      <c r="Y848" s="100"/>
      <c r="Z848" s="16" t="s">
        <v>181</v>
      </c>
    </row>
    <row r="849">
      <c r="A849" s="16">
        <v>13339.0</v>
      </c>
      <c r="B849" s="16" t="s">
        <v>3804</v>
      </c>
      <c r="C849" s="16">
        <v>1.21</v>
      </c>
      <c r="D849" s="174" t="s">
        <v>3805</v>
      </c>
      <c r="E849" s="16"/>
      <c r="F849" s="16">
        <v>575.0</v>
      </c>
      <c r="G849" s="16" t="s">
        <v>212</v>
      </c>
      <c r="H849" s="16" t="s">
        <v>24</v>
      </c>
      <c r="I849" s="16"/>
      <c r="J849" s="16"/>
      <c r="K849" s="16"/>
      <c r="L849" s="16"/>
      <c r="M849" s="16"/>
      <c r="N849" s="16"/>
      <c r="O849" s="16"/>
      <c r="P849" s="16"/>
      <c r="Q849" s="16"/>
      <c r="R849" s="16"/>
      <c r="S849" s="16">
        <v>-2.0</v>
      </c>
      <c r="T849" s="16"/>
      <c r="U849" s="16" t="s">
        <v>3806</v>
      </c>
      <c r="V849" s="16" t="s">
        <v>3807</v>
      </c>
      <c r="W849" s="16" t="s">
        <v>443</v>
      </c>
      <c r="X849" s="16" t="s">
        <v>181</v>
      </c>
      <c r="Y849" s="100"/>
      <c r="Z849" s="16" t="s">
        <v>181</v>
      </c>
    </row>
    <row r="850">
      <c r="A850" s="16">
        <v>13340.0</v>
      </c>
      <c r="B850" s="16" t="s">
        <v>3808</v>
      </c>
      <c r="C850" s="16">
        <v>0.2</v>
      </c>
      <c r="D850" s="174" t="s">
        <v>3809</v>
      </c>
      <c r="E850" s="16"/>
      <c r="F850" s="16">
        <v>547.0</v>
      </c>
      <c r="G850" s="16" t="s">
        <v>176</v>
      </c>
      <c r="H850" s="16" t="s">
        <v>25</v>
      </c>
      <c r="I850" s="16" t="s">
        <v>26</v>
      </c>
      <c r="J850" s="16"/>
      <c r="K850" s="16"/>
      <c r="L850" s="16"/>
      <c r="M850" s="16"/>
      <c r="N850" s="16"/>
      <c r="O850" s="16"/>
      <c r="P850" s="16"/>
      <c r="Q850" s="16"/>
      <c r="R850" s="16"/>
      <c r="S850" s="16">
        <v>-2.0</v>
      </c>
      <c r="T850" s="16"/>
      <c r="U850" s="16" t="s">
        <v>3810</v>
      </c>
      <c r="V850" s="16" t="s">
        <v>3811</v>
      </c>
      <c r="W850" s="16" t="s">
        <v>259</v>
      </c>
      <c r="X850" s="16" t="s">
        <v>181</v>
      </c>
      <c r="Y850" s="100"/>
      <c r="Z850" s="16" t="s">
        <v>181</v>
      </c>
    </row>
    <row r="851">
      <c r="A851" s="16">
        <v>13341.0</v>
      </c>
      <c r="B851" s="16" t="s">
        <v>3812</v>
      </c>
      <c r="C851" s="16">
        <v>0.72</v>
      </c>
      <c r="D851" s="174" t="s">
        <v>3813</v>
      </c>
      <c r="E851" s="16"/>
      <c r="F851" s="16">
        <v>550.0</v>
      </c>
      <c r="G851" s="16" t="s">
        <v>371</v>
      </c>
      <c r="H851" s="16" t="s">
        <v>25</v>
      </c>
      <c r="I851" s="16" t="s">
        <v>26</v>
      </c>
      <c r="J851" s="16"/>
      <c r="K851" s="16"/>
      <c r="L851" s="16"/>
      <c r="M851" s="16"/>
      <c r="N851" s="16"/>
      <c r="O851" s="16"/>
      <c r="P851" s="16"/>
      <c r="Q851" s="16"/>
      <c r="R851" s="16"/>
      <c r="S851" s="16">
        <v>-2.0</v>
      </c>
      <c r="T851" s="16"/>
      <c r="U851" s="16" t="s">
        <v>3814</v>
      </c>
      <c r="V851" s="16" t="s">
        <v>3815</v>
      </c>
      <c r="W851" s="16" t="s">
        <v>491</v>
      </c>
      <c r="X851" s="16" t="s">
        <v>181</v>
      </c>
      <c r="Y851" s="100"/>
      <c r="Z851" s="16" t="s">
        <v>181</v>
      </c>
    </row>
    <row r="852">
      <c r="A852" s="16">
        <v>13342.0</v>
      </c>
      <c r="B852" s="16" t="s">
        <v>3816</v>
      </c>
      <c r="C852" s="16">
        <v>1.68</v>
      </c>
      <c r="D852" s="174" t="s">
        <v>3817</v>
      </c>
      <c r="E852" s="16"/>
      <c r="F852" s="16">
        <v>593.0</v>
      </c>
      <c r="G852" s="16" t="s">
        <v>272</v>
      </c>
      <c r="H852" s="16" t="s">
        <v>25</v>
      </c>
      <c r="I852" s="16" t="s">
        <v>26</v>
      </c>
      <c r="J852" s="16"/>
      <c r="K852" s="16"/>
      <c r="L852" s="16"/>
      <c r="M852" s="16"/>
      <c r="N852" s="16"/>
      <c r="O852" s="16"/>
      <c r="P852" s="16"/>
      <c r="Q852" s="16"/>
      <c r="R852" s="16"/>
      <c r="S852" s="16">
        <v>-2.0</v>
      </c>
      <c r="T852" s="174" t="s">
        <v>3818</v>
      </c>
      <c r="U852" s="16" t="s">
        <v>3819</v>
      </c>
      <c r="V852" s="16" t="s">
        <v>3820</v>
      </c>
      <c r="W852" s="16" t="s">
        <v>231</v>
      </c>
      <c r="X852" s="16" t="s">
        <v>181</v>
      </c>
      <c r="Y852" s="100"/>
      <c r="Z852" s="16" t="s">
        <v>181</v>
      </c>
    </row>
    <row r="853">
      <c r="A853" s="16">
        <v>13343.0</v>
      </c>
      <c r="B853" s="16" t="s">
        <v>3821</v>
      </c>
      <c r="C853" s="16">
        <v>1.9</v>
      </c>
      <c r="D853" s="174" t="s">
        <v>3822</v>
      </c>
      <c r="E853" s="16"/>
      <c r="F853" s="16">
        <v>547.0</v>
      </c>
      <c r="G853" s="16" t="s">
        <v>176</v>
      </c>
      <c r="H853" s="16" t="s">
        <v>24</v>
      </c>
      <c r="I853" s="16"/>
      <c r="J853" s="16"/>
      <c r="K853" s="16"/>
      <c r="L853" s="16"/>
      <c r="M853" s="16"/>
      <c r="N853" s="16"/>
      <c r="O853" s="16"/>
      <c r="P853" s="16"/>
      <c r="Q853" s="16"/>
      <c r="R853" s="16"/>
      <c r="S853" s="16">
        <v>-2.0</v>
      </c>
      <c r="T853" s="16"/>
      <c r="U853" s="16" t="s">
        <v>3823</v>
      </c>
      <c r="V853" s="16" t="s">
        <v>3824</v>
      </c>
      <c r="W853" s="16" t="s">
        <v>473</v>
      </c>
      <c r="X853" s="16" t="s">
        <v>181</v>
      </c>
      <c r="Y853" s="100"/>
      <c r="Z853" s="16" t="s">
        <v>181</v>
      </c>
    </row>
    <row r="854">
      <c r="A854" s="16">
        <v>13344.0</v>
      </c>
      <c r="B854" s="16" t="s">
        <v>3825</v>
      </c>
      <c r="C854" s="16">
        <v>0.88</v>
      </c>
      <c r="D854" s="174" t="s">
        <v>3826</v>
      </c>
      <c r="E854" s="16"/>
      <c r="F854" s="16">
        <v>566.0</v>
      </c>
      <c r="G854" s="16" t="s">
        <v>277</v>
      </c>
      <c r="H854" s="16" t="s">
        <v>25</v>
      </c>
      <c r="I854" s="16" t="s">
        <v>26</v>
      </c>
      <c r="J854" s="16"/>
      <c r="K854" s="16"/>
      <c r="L854" s="16"/>
      <c r="M854" s="16"/>
      <c r="N854" s="16"/>
      <c r="O854" s="16"/>
      <c r="P854" s="16"/>
      <c r="Q854" s="16"/>
      <c r="R854" s="16"/>
      <c r="S854" s="16">
        <v>-2.0</v>
      </c>
      <c r="T854" s="16"/>
      <c r="U854" s="16" t="s">
        <v>3827</v>
      </c>
      <c r="V854" s="16" t="s">
        <v>3828</v>
      </c>
      <c r="W854" s="16" t="s">
        <v>491</v>
      </c>
      <c r="X854" s="16" t="s">
        <v>181</v>
      </c>
      <c r="Y854" s="100"/>
      <c r="Z854" s="16" t="s">
        <v>181</v>
      </c>
    </row>
    <row r="855">
      <c r="A855" s="16">
        <v>13345.0</v>
      </c>
      <c r="B855" s="16" t="s">
        <v>3829</v>
      </c>
      <c r="C855" s="16">
        <v>0.0</v>
      </c>
      <c r="D855" s="174" t="s">
        <v>3830</v>
      </c>
      <c r="E855" s="16"/>
      <c r="F855" s="16">
        <v>547.0</v>
      </c>
      <c r="G855" s="16" t="s">
        <v>176</v>
      </c>
      <c r="H855" s="16" t="s">
        <v>25</v>
      </c>
      <c r="I855" s="16"/>
      <c r="J855" s="16"/>
      <c r="K855" s="16"/>
      <c r="L855" s="16"/>
      <c r="M855" s="16"/>
      <c r="N855" s="16"/>
      <c r="O855" s="16"/>
      <c r="P855" s="16"/>
      <c r="Q855" s="16"/>
      <c r="R855" s="16"/>
      <c r="S855" s="16">
        <v>-2.0</v>
      </c>
      <c r="T855" s="16"/>
      <c r="U855" s="16" t="s">
        <v>3831</v>
      </c>
      <c r="V855" s="16" t="s">
        <v>3832</v>
      </c>
      <c r="W855" s="16" t="s">
        <v>199</v>
      </c>
      <c r="X855" s="16" t="s">
        <v>181</v>
      </c>
      <c r="Y855" s="100"/>
      <c r="Z855" s="16" t="s">
        <v>181</v>
      </c>
    </row>
    <row r="856">
      <c r="A856" s="16">
        <v>13346.0</v>
      </c>
      <c r="B856" s="16" t="s">
        <v>3833</v>
      </c>
      <c r="C856" s="16">
        <v>0.61</v>
      </c>
      <c r="D856" s="174" t="s">
        <v>3834</v>
      </c>
      <c r="E856" s="16"/>
      <c r="F856" s="16">
        <v>547.0</v>
      </c>
      <c r="G856" s="16" t="s">
        <v>176</v>
      </c>
      <c r="H856" s="16" t="s">
        <v>24</v>
      </c>
      <c r="I856" s="16" t="s">
        <v>25</v>
      </c>
      <c r="J856" s="16" t="s">
        <v>26</v>
      </c>
      <c r="K856" s="16"/>
      <c r="L856" s="16"/>
      <c r="M856" s="16"/>
      <c r="N856" s="16"/>
      <c r="O856" s="16"/>
      <c r="P856" s="16"/>
      <c r="Q856" s="16"/>
      <c r="R856" s="16"/>
      <c r="S856" s="16">
        <v>-2.0</v>
      </c>
      <c r="T856" s="16"/>
      <c r="U856" s="16" t="s">
        <v>3835</v>
      </c>
      <c r="V856" s="16" t="s">
        <v>3836</v>
      </c>
      <c r="W856" s="16" t="s">
        <v>1412</v>
      </c>
      <c r="X856" s="16" t="s">
        <v>181</v>
      </c>
      <c r="Y856" s="100"/>
      <c r="Z856" s="16" t="s">
        <v>181</v>
      </c>
    </row>
    <row r="857">
      <c r="A857" s="16">
        <v>13347.0</v>
      </c>
      <c r="B857" s="16" t="s">
        <v>3837</v>
      </c>
      <c r="C857" s="16">
        <v>0.0</v>
      </c>
      <c r="D857" s="174" t="s">
        <v>3838</v>
      </c>
      <c r="E857" s="16"/>
      <c r="F857" s="16">
        <v>578.0</v>
      </c>
      <c r="G857" s="16" t="s">
        <v>333</v>
      </c>
      <c r="H857" s="16" t="s">
        <v>25</v>
      </c>
      <c r="I857" s="16" t="s">
        <v>26</v>
      </c>
      <c r="J857" s="16"/>
      <c r="K857" s="16"/>
      <c r="L857" s="16"/>
      <c r="M857" s="16"/>
      <c r="N857" s="16"/>
      <c r="O857" s="16"/>
      <c r="P857" s="16"/>
      <c r="Q857" s="16"/>
      <c r="R857" s="16"/>
      <c r="S857" s="16">
        <v>-2.0</v>
      </c>
      <c r="T857" s="16"/>
      <c r="U857" s="16" t="s">
        <v>3839</v>
      </c>
      <c r="V857" s="16" t="s">
        <v>3840</v>
      </c>
      <c r="W857" s="16" t="s">
        <v>179</v>
      </c>
      <c r="X857" s="16" t="s">
        <v>181</v>
      </c>
      <c r="Y857" s="100"/>
      <c r="Z857" s="16" t="s">
        <v>181</v>
      </c>
    </row>
    <row r="858">
      <c r="A858" s="16">
        <v>13348.0</v>
      </c>
      <c r="B858" s="16" t="s">
        <v>3841</v>
      </c>
      <c r="C858" s="16">
        <v>1.16</v>
      </c>
      <c r="D858" s="174" t="s">
        <v>3842</v>
      </c>
      <c r="E858" s="16"/>
      <c r="F858" s="16">
        <v>572.0</v>
      </c>
      <c r="G858" s="16" t="s">
        <v>306</v>
      </c>
      <c r="H858" s="16" t="s">
        <v>19</v>
      </c>
      <c r="I858" s="16" t="s">
        <v>17</v>
      </c>
      <c r="J858" s="16" t="s">
        <v>18</v>
      </c>
      <c r="K858" s="16" t="s">
        <v>15</v>
      </c>
      <c r="L858" s="16"/>
      <c r="M858" s="16"/>
      <c r="N858" s="16"/>
      <c r="O858" s="16"/>
      <c r="P858" s="16"/>
      <c r="Q858" s="16"/>
      <c r="R858" s="16"/>
      <c r="S858" s="16">
        <v>-2.0</v>
      </c>
      <c r="T858" s="16"/>
      <c r="U858" s="16" t="s">
        <v>3843</v>
      </c>
      <c r="V858" s="16" t="s">
        <v>3844</v>
      </c>
      <c r="W858" s="16" t="s">
        <v>443</v>
      </c>
      <c r="X858" s="16" t="s">
        <v>181</v>
      </c>
      <c r="Y858" s="100"/>
      <c r="Z858" s="16" t="s">
        <v>181</v>
      </c>
    </row>
    <row r="859">
      <c r="A859" s="16">
        <v>13349.0</v>
      </c>
      <c r="B859" s="16" t="s">
        <v>3845</v>
      </c>
      <c r="C859" s="16">
        <v>1.11</v>
      </c>
      <c r="D859" s="174" t="s">
        <v>3846</v>
      </c>
      <c r="E859" s="16"/>
      <c r="F859" s="16">
        <v>590.0</v>
      </c>
      <c r="G859" s="16" t="s">
        <v>387</v>
      </c>
      <c r="H859" s="16" t="s">
        <v>12</v>
      </c>
      <c r="I859" s="16" t="s">
        <v>13</v>
      </c>
      <c r="J859" s="16"/>
      <c r="K859" s="16"/>
      <c r="L859" s="16"/>
      <c r="M859" s="16"/>
      <c r="N859" s="16"/>
      <c r="O859" s="16"/>
      <c r="P859" s="16"/>
      <c r="Q859" s="16"/>
      <c r="R859" s="16"/>
      <c r="S859" s="16">
        <v>-2.0</v>
      </c>
      <c r="T859" s="16"/>
      <c r="U859" s="16" t="s">
        <v>3847</v>
      </c>
      <c r="V859" s="16" t="s">
        <v>3848</v>
      </c>
      <c r="W859" s="16" t="s">
        <v>188</v>
      </c>
      <c r="X859" s="16" t="s">
        <v>181</v>
      </c>
      <c r="Y859" s="100"/>
      <c r="Z859" s="16" t="s">
        <v>181</v>
      </c>
    </row>
    <row r="860">
      <c r="A860" s="16">
        <v>13350.0</v>
      </c>
      <c r="B860" s="16" t="s">
        <v>3849</v>
      </c>
      <c r="C860" s="16">
        <v>0.49</v>
      </c>
      <c r="D860" s="174" t="s">
        <v>3850</v>
      </c>
      <c r="E860" s="16"/>
      <c r="F860" s="16">
        <v>553.0</v>
      </c>
      <c r="G860" s="16" t="s">
        <v>1465</v>
      </c>
      <c r="H860" s="16" t="s">
        <v>25</v>
      </c>
      <c r="I860" s="16"/>
      <c r="J860" s="16"/>
      <c r="K860" s="16"/>
      <c r="L860" s="16"/>
      <c r="M860" s="16"/>
      <c r="N860" s="16"/>
      <c r="O860" s="16"/>
      <c r="P860" s="16"/>
      <c r="Q860" s="16"/>
      <c r="R860" s="16"/>
      <c r="S860" s="16">
        <v>-2.0</v>
      </c>
      <c r="T860" s="16"/>
      <c r="U860" s="16" t="s">
        <v>3851</v>
      </c>
      <c r="V860" s="16" t="s">
        <v>3852</v>
      </c>
      <c r="W860" s="16" t="s">
        <v>591</v>
      </c>
      <c r="X860" s="16" t="s">
        <v>181</v>
      </c>
      <c r="Y860" s="100"/>
      <c r="Z860" s="16" t="s">
        <v>181</v>
      </c>
    </row>
    <row r="861">
      <c r="A861" s="16">
        <v>13351.0</v>
      </c>
      <c r="B861" s="16" t="s">
        <v>3853</v>
      </c>
      <c r="C861" s="16">
        <v>0.92</v>
      </c>
      <c r="D861" s="174" t="s">
        <v>3854</v>
      </c>
      <c r="E861" s="16"/>
      <c r="F861" s="16">
        <v>587.0</v>
      </c>
      <c r="G861" s="16" t="s">
        <v>289</v>
      </c>
      <c r="H861" s="16" t="s">
        <v>17</v>
      </c>
      <c r="I861" s="16" t="s">
        <v>18</v>
      </c>
      <c r="J861" s="16" t="s">
        <v>19</v>
      </c>
      <c r="K861" s="16"/>
      <c r="L861" s="16"/>
      <c r="M861" s="16"/>
      <c r="N861" s="16"/>
      <c r="O861" s="16"/>
      <c r="P861" s="16"/>
      <c r="Q861" s="16"/>
      <c r="R861" s="16"/>
      <c r="S861" s="16">
        <v>-2.0</v>
      </c>
      <c r="T861" s="16"/>
      <c r="U861" s="16" t="s">
        <v>3855</v>
      </c>
      <c r="V861" s="16" t="s">
        <v>3856</v>
      </c>
      <c r="W861" s="16" t="s">
        <v>332</v>
      </c>
      <c r="X861" s="16" t="s">
        <v>181</v>
      </c>
      <c r="Y861" s="100"/>
      <c r="Z861" s="16" t="s">
        <v>181</v>
      </c>
    </row>
    <row r="862">
      <c r="A862" s="16">
        <v>13352.0</v>
      </c>
      <c r="B862" s="16" t="s">
        <v>3857</v>
      </c>
      <c r="C862" s="16">
        <v>0.79</v>
      </c>
      <c r="D862" s="174" t="s">
        <v>3858</v>
      </c>
      <c r="E862" s="16"/>
      <c r="F862" s="16">
        <v>574.0</v>
      </c>
      <c r="G862" s="16" t="s">
        <v>672</v>
      </c>
      <c r="H862" s="16" t="s">
        <v>25</v>
      </c>
      <c r="I862" s="16" t="s">
        <v>26</v>
      </c>
      <c r="J862" s="16"/>
      <c r="K862" s="16"/>
      <c r="L862" s="16"/>
      <c r="M862" s="16"/>
      <c r="N862" s="16"/>
      <c r="O862" s="16"/>
      <c r="P862" s="16"/>
      <c r="Q862" s="16"/>
      <c r="R862" s="16"/>
      <c r="S862" s="16">
        <v>-2.0</v>
      </c>
      <c r="T862" s="16"/>
      <c r="U862" s="16" t="s">
        <v>3859</v>
      </c>
      <c r="V862" s="16" t="s">
        <v>3860</v>
      </c>
      <c r="W862" s="16" t="s">
        <v>360</v>
      </c>
      <c r="X862" s="16" t="s">
        <v>181</v>
      </c>
      <c r="Y862" s="100"/>
      <c r="Z862" s="16" t="s">
        <v>181</v>
      </c>
    </row>
    <row r="863">
      <c r="A863" s="16">
        <v>13353.0</v>
      </c>
      <c r="B863" s="16" t="s">
        <v>3861</v>
      </c>
      <c r="C863" s="16">
        <v>1.02</v>
      </c>
      <c r="D863" s="174" t="s">
        <v>3862</v>
      </c>
      <c r="E863" s="16"/>
      <c r="F863" s="16">
        <v>584.0</v>
      </c>
      <c r="G863" s="16" t="s">
        <v>361</v>
      </c>
      <c r="H863" s="16" t="s">
        <v>25</v>
      </c>
      <c r="I863" s="16"/>
      <c r="J863" s="16"/>
      <c r="K863" s="16"/>
      <c r="L863" s="16"/>
      <c r="M863" s="16"/>
      <c r="N863" s="16"/>
      <c r="O863" s="16"/>
      <c r="P863" s="16"/>
      <c r="Q863" s="16"/>
      <c r="R863" s="16"/>
      <c r="S863" s="16">
        <v>-2.0</v>
      </c>
      <c r="T863" s="16"/>
      <c r="U863" s="16" t="s">
        <v>3863</v>
      </c>
      <c r="V863" s="16" t="s">
        <v>3864</v>
      </c>
      <c r="W863" s="16" t="s">
        <v>751</v>
      </c>
      <c r="X863" s="16" t="s">
        <v>181</v>
      </c>
      <c r="Y863" s="100"/>
      <c r="Z863" s="16" t="s">
        <v>181</v>
      </c>
    </row>
    <row r="864">
      <c r="A864" s="16">
        <v>13354.0</v>
      </c>
      <c r="B864" s="16" t="s">
        <v>3865</v>
      </c>
      <c r="C864" s="16">
        <v>0.0</v>
      </c>
      <c r="D864" s="174" t="s">
        <v>3866</v>
      </c>
      <c r="E864" s="16"/>
      <c r="F864" s="16">
        <v>560.0</v>
      </c>
      <c r="G864" s="16" t="s">
        <v>245</v>
      </c>
      <c r="H864" s="16" t="s">
        <v>15</v>
      </c>
      <c r="I864" s="16" t="s">
        <v>14</v>
      </c>
      <c r="J864" s="16" t="s">
        <v>16</v>
      </c>
      <c r="K864" s="16" t="s">
        <v>17</v>
      </c>
      <c r="L864" s="16" t="s">
        <v>19</v>
      </c>
      <c r="M864" s="16"/>
      <c r="N864" s="16"/>
      <c r="O864" s="16"/>
      <c r="P864" s="16"/>
      <c r="Q864" s="16"/>
      <c r="R864" s="16"/>
      <c r="S864" s="16">
        <v>-2.0</v>
      </c>
      <c r="T864" s="16"/>
      <c r="U864" s="16" t="s">
        <v>3867</v>
      </c>
      <c r="V864" s="16" t="s">
        <v>3868</v>
      </c>
      <c r="W864" s="16" t="s">
        <v>491</v>
      </c>
      <c r="X864" s="16" t="s">
        <v>181</v>
      </c>
      <c r="Y864" s="100"/>
      <c r="Z864" s="16" t="s">
        <v>181</v>
      </c>
    </row>
    <row r="865">
      <c r="A865" s="16">
        <v>13355.0</v>
      </c>
      <c r="B865" s="16" t="s">
        <v>3869</v>
      </c>
      <c r="C865" s="16">
        <v>0.89</v>
      </c>
      <c r="D865" s="174" t="s">
        <v>3870</v>
      </c>
      <c r="E865" s="16"/>
      <c r="F865" s="16">
        <v>547.0</v>
      </c>
      <c r="G865" s="16" t="s">
        <v>176</v>
      </c>
      <c r="H865" s="16" t="s">
        <v>25</v>
      </c>
      <c r="I865" s="16"/>
      <c r="J865" s="16"/>
      <c r="K865" s="16"/>
      <c r="L865" s="16"/>
      <c r="M865" s="16"/>
      <c r="N865" s="16"/>
      <c r="O865" s="16"/>
      <c r="P865" s="16"/>
      <c r="Q865" s="16"/>
      <c r="R865" s="16"/>
      <c r="S865" s="16">
        <v>-2.0</v>
      </c>
      <c r="T865" s="16"/>
      <c r="U865" s="16" t="s">
        <v>3871</v>
      </c>
      <c r="V865" s="16" t="s">
        <v>3872</v>
      </c>
      <c r="W865" s="16" t="s">
        <v>422</v>
      </c>
      <c r="X865" s="16" t="s">
        <v>181</v>
      </c>
      <c r="Y865" s="100"/>
      <c r="Z865" s="16" t="s">
        <v>181</v>
      </c>
    </row>
    <row r="866">
      <c r="A866" s="16">
        <v>13356.0</v>
      </c>
      <c r="B866" s="16" t="s">
        <v>3873</v>
      </c>
      <c r="C866" s="16">
        <v>0.17</v>
      </c>
      <c r="D866" s="174" t="s">
        <v>3874</v>
      </c>
      <c r="E866" s="16"/>
      <c r="F866" s="16">
        <v>554.0</v>
      </c>
      <c r="G866" s="16" t="s">
        <v>215</v>
      </c>
      <c r="H866" s="16" t="s">
        <v>25</v>
      </c>
      <c r="I866" s="16" t="s">
        <v>26</v>
      </c>
      <c r="J866" s="16"/>
      <c r="K866" s="16"/>
      <c r="L866" s="16"/>
      <c r="M866" s="16"/>
      <c r="N866" s="16"/>
      <c r="O866" s="16"/>
      <c r="P866" s="16"/>
      <c r="Q866" s="16"/>
      <c r="R866" s="16"/>
      <c r="S866" s="16">
        <v>-2.0</v>
      </c>
      <c r="T866" s="16"/>
      <c r="U866" s="16" t="s">
        <v>3875</v>
      </c>
      <c r="V866" s="16" t="s">
        <v>3876</v>
      </c>
      <c r="W866" s="16" t="s">
        <v>179</v>
      </c>
      <c r="X866" s="16" t="s">
        <v>181</v>
      </c>
      <c r="Y866" s="100"/>
      <c r="Z866" s="16" t="s">
        <v>181</v>
      </c>
    </row>
    <row r="867">
      <c r="A867" s="16">
        <v>13357.0</v>
      </c>
      <c r="B867" s="16" t="s">
        <v>3877</v>
      </c>
      <c r="C867" s="16">
        <v>1.7</v>
      </c>
      <c r="D867" s="174" t="s">
        <v>3878</v>
      </c>
      <c r="E867" s="16"/>
      <c r="F867" s="16">
        <v>547.0</v>
      </c>
      <c r="G867" s="16" t="s">
        <v>176</v>
      </c>
      <c r="H867" s="16" t="s">
        <v>25</v>
      </c>
      <c r="I867" s="16"/>
      <c r="J867" s="16"/>
      <c r="K867" s="16"/>
      <c r="L867" s="16"/>
      <c r="M867" s="16"/>
      <c r="N867" s="16"/>
      <c r="O867" s="16"/>
      <c r="P867" s="16"/>
      <c r="Q867" s="16"/>
      <c r="R867" s="16"/>
      <c r="S867" s="16">
        <v>-2.0</v>
      </c>
      <c r="T867" s="16"/>
      <c r="U867" s="16" t="s">
        <v>3879</v>
      </c>
      <c r="V867" s="16" t="s">
        <v>3880</v>
      </c>
      <c r="W867" s="16" t="s">
        <v>199</v>
      </c>
      <c r="X867" s="16" t="s">
        <v>181</v>
      </c>
      <c r="Y867" s="100"/>
      <c r="Z867" s="16" t="s">
        <v>181</v>
      </c>
    </row>
    <row r="868">
      <c r="A868" s="16">
        <v>13358.0</v>
      </c>
      <c r="B868" s="16" t="s">
        <v>3881</v>
      </c>
      <c r="C868" s="16">
        <v>0.0</v>
      </c>
      <c r="D868" s="174" t="s">
        <v>3882</v>
      </c>
      <c r="E868" s="16"/>
      <c r="F868" s="16">
        <v>547.0</v>
      </c>
      <c r="G868" s="16" t="s">
        <v>176</v>
      </c>
      <c r="H868" s="16" t="s">
        <v>24</v>
      </c>
      <c r="I868" s="16" t="s">
        <v>25</v>
      </c>
      <c r="J868" s="16"/>
      <c r="K868" s="16"/>
      <c r="L868" s="16"/>
      <c r="M868" s="16"/>
      <c r="N868" s="16"/>
      <c r="O868" s="16"/>
      <c r="P868" s="16"/>
      <c r="Q868" s="16"/>
      <c r="R868" s="16"/>
      <c r="S868" s="16">
        <v>-2.0</v>
      </c>
      <c r="T868" s="16"/>
      <c r="U868" s="16" t="s">
        <v>3883</v>
      </c>
      <c r="V868" s="16" t="s">
        <v>3884</v>
      </c>
      <c r="W868" s="16" t="s">
        <v>332</v>
      </c>
      <c r="X868" s="16" t="s">
        <v>181</v>
      </c>
      <c r="Y868" s="100"/>
      <c r="Z868" s="16" t="s">
        <v>181</v>
      </c>
    </row>
    <row r="869">
      <c r="A869" s="16">
        <v>13359.0</v>
      </c>
      <c r="B869" s="16" t="s">
        <v>3885</v>
      </c>
      <c r="C869" s="16">
        <v>0.0</v>
      </c>
      <c r="D869" s="174" t="s">
        <v>3886</v>
      </c>
      <c r="E869" s="16"/>
      <c r="F869" s="16">
        <v>547.0</v>
      </c>
      <c r="G869" s="16" t="s">
        <v>176</v>
      </c>
      <c r="H869" s="16" t="s">
        <v>19</v>
      </c>
      <c r="I869" s="16" t="s">
        <v>17</v>
      </c>
      <c r="J869" s="16"/>
      <c r="K869" s="16"/>
      <c r="L869" s="16"/>
      <c r="M869" s="16"/>
      <c r="N869" s="16"/>
      <c r="O869" s="16"/>
      <c r="P869" s="16"/>
      <c r="Q869" s="16"/>
      <c r="R869" s="16"/>
      <c r="S869" s="16">
        <v>-2.0</v>
      </c>
      <c r="T869" s="16"/>
      <c r="U869" s="16" t="s">
        <v>3887</v>
      </c>
      <c r="V869" s="16" t="s">
        <v>3888</v>
      </c>
      <c r="W869" s="16" t="s">
        <v>199</v>
      </c>
      <c r="X869" s="16" t="s">
        <v>181</v>
      </c>
      <c r="Y869" s="100"/>
      <c r="Z869" s="16" t="s">
        <v>181</v>
      </c>
    </row>
    <row r="870">
      <c r="A870" s="16">
        <v>13360.0</v>
      </c>
      <c r="B870" s="16" t="s">
        <v>3889</v>
      </c>
      <c r="C870" s="16">
        <v>3.43</v>
      </c>
      <c r="D870" s="174" t="s">
        <v>3890</v>
      </c>
      <c r="E870" s="16"/>
      <c r="F870" s="16">
        <v>560.0</v>
      </c>
      <c r="G870" s="16" t="s">
        <v>245</v>
      </c>
      <c r="H870" s="16" t="s">
        <v>25</v>
      </c>
      <c r="I870" s="16"/>
      <c r="J870" s="16"/>
      <c r="K870" s="16"/>
      <c r="L870" s="16"/>
      <c r="M870" s="16"/>
      <c r="N870" s="16"/>
      <c r="O870" s="16"/>
      <c r="P870" s="16"/>
      <c r="Q870" s="16"/>
      <c r="R870" s="16"/>
      <c r="S870" s="16">
        <v>-2.0</v>
      </c>
      <c r="T870" s="16"/>
      <c r="U870" s="16" t="s">
        <v>3891</v>
      </c>
      <c r="V870" s="16" t="s">
        <v>3892</v>
      </c>
      <c r="W870" s="16" t="s">
        <v>199</v>
      </c>
      <c r="X870" s="16" t="s">
        <v>181</v>
      </c>
      <c r="Y870" s="100"/>
      <c r="Z870" s="16" t="s">
        <v>181</v>
      </c>
    </row>
    <row r="871">
      <c r="A871" s="16">
        <v>13361.0</v>
      </c>
      <c r="B871" s="16" t="s">
        <v>3893</v>
      </c>
      <c r="C871" s="16">
        <v>0.32</v>
      </c>
      <c r="D871" s="174" t="s">
        <v>3894</v>
      </c>
      <c r="E871" s="16"/>
      <c r="F871" s="16">
        <v>547.0</v>
      </c>
      <c r="G871" s="16" t="s">
        <v>176</v>
      </c>
      <c r="H871" s="16" t="s">
        <v>25</v>
      </c>
      <c r="I871" s="16"/>
      <c r="J871" s="16"/>
      <c r="K871" s="16"/>
      <c r="L871" s="16"/>
      <c r="M871" s="16"/>
      <c r="N871" s="16"/>
      <c r="O871" s="16"/>
      <c r="P871" s="16"/>
      <c r="Q871" s="16"/>
      <c r="R871" s="16"/>
      <c r="S871" s="16">
        <v>-2.0</v>
      </c>
      <c r="T871" s="16"/>
      <c r="U871" s="16" t="s">
        <v>3895</v>
      </c>
      <c r="V871" s="16" t="s">
        <v>3896</v>
      </c>
      <c r="W871" s="16" t="s">
        <v>259</v>
      </c>
      <c r="X871" s="16" t="s">
        <v>181</v>
      </c>
      <c r="Y871" s="100"/>
      <c r="Z871" s="16" t="s">
        <v>181</v>
      </c>
    </row>
    <row r="872">
      <c r="A872" s="16">
        <v>13362.0</v>
      </c>
      <c r="B872" s="16" t="s">
        <v>3897</v>
      </c>
      <c r="C872" s="16">
        <v>1.49</v>
      </c>
      <c r="D872" s="174" t="s">
        <v>3898</v>
      </c>
      <c r="E872" s="16"/>
      <c r="F872" s="16">
        <v>587.0</v>
      </c>
      <c r="G872" s="16" t="s">
        <v>289</v>
      </c>
      <c r="H872" s="16" t="s">
        <v>24</v>
      </c>
      <c r="I872" s="16"/>
      <c r="J872" s="16"/>
      <c r="K872" s="16"/>
      <c r="L872" s="16"/>
      <c r="M872" s="16"/>
      <c r="N872" s="16"/>
      <c r="O872" s="16"/>
      <c r="P872" s="16"/>
      <c r="Q872" s="16"/>
      <c r="R872" s="16"/>
      <c r="S872" s="16">
        <v>-2.0</v>
      </c>
      <c r="T872" s="16"/>
      <c r="U872" s="16" t="s">
        <v>3899</v>
      </c>
      <c r="V872" s="16" t="s">
        <v>3900</v>
      </c>
      <c r="W872" s="16" t="s">
        <v>231</v>
      </c>
      <c r="X872" s="16" t="s">
        <v>181</v>
      </c>
      <c r="Y872" s="100"/>
      <c r="Z872" s="16" t="s">
        <v>181</v>
      </c>
    </row>
    <row r="873">
      <c r="A873" s="16">
        <v>13363.0</v>
      </c>
      <c r="B873" s="16" t="s">
        <v>3901</v>
      </c>
      <c r="C873" s="16">
        <v>1.43</v>
      </c>
      <c r="D873" s="174" t="s">
        <v>3902</v>
      </c>
      <c r="E873" s="16"/>
      <c r="F873" s="16">
        <v>547.0</v>
      </c>
      <c r="G873" s="16" t="s">
        <v>176</v>
      </c>
      <c r="H873" s="16" t="s">
        <v>12</v>
      </c>
      <c r="I873" s="16"/>
      <c r="J873" s="16"/>
      <c r="K873" s="16"/>
      <c r="L873" s="16"/>
      <c r="M873" s="16"/>
      <c r="N873" s="16"/>
      <c r="O873" s="16"/>
      <c r="P873" s="16"/>
      <c r="Q873" s="16"/>
      <c r="R873" s="16"/>
      <c r="S873" s="16">
        <v>-2.0</v>
      </c>
      <c r="T873" s="16"/>
      <c r="U873" s="16" t="s">
        <v>3903</v>
      </c>
      <c r="V873" s="16" t="s">
        <v>3904</v>
      </c>
      <c r="W873" s="16" t="s">
        <v>942</v>
      </c>
      <c r="X873" s="16" t="s">
        <v>181</v>
      </c>
      <c r="Y873" s="100"/>
      <c r="Z873" s="16" t="s">
        <v>181</v>
      </c>
    </row>
    <row r="874">
      <c r="A874" s="16">
        <v>13364.0</v>
      </c>
      <c r="B874" s="16" t="s">
        <v>3905</v>
      </c>
      <c r="C874" s="16">
        <v>0.44</v>
      </c>
      <c r="D874" s="174" t="s">
        <v>3906</v>
      </c>
      <c r="E874" s="16"/>
      <c r="F874" s="16">
        <v>554.0</v>
      </c>
      <c r="G874" s="16" t="s">
        <v>215</v>
      </c>
      <c r="H874" s="16" t="s">
        <v>25</v>
      </c>
      <c r="I874" s="16"/>
      <c r="J874" s="16"/>
      <c r="K874" s="16"/>
      <c r="L874" s="16"/>
      <c r="M874" s="16"/>
      <c r="N874" s="16"/>
      <c r="O874" s="16"/>
      <c r="P874" s="16"/>
      <c r="Q874" s="16"/>
      <c r="R874" s="16"/>
      <c r="S874" s="16">
        <v>-2.0</v>
      </c>
      <c r="T874" s="16"/>
      <c r="U874" s="16" t="s">
        <v>3907</v>
      </c>
      <c r="V874" s="16" t="s">
        <v>3908</v>
      </c>
      <c r="W874" s="16" t="s">
        <v>591</v>
      </c>
      <c r="X874" s="16" t="s">
        <v>181</v>
      </c>
      <c r="Y874" s="100"/>
      <c r="Z874" s="16" t="s">
        <v>181</v>
      </c>
    </row>
    <row r="875">
      <c r="A875" s="16">
        <v>13365.0</v>
      </c>
      <c r="B875" s="16" t="s">
        <v>3909</v>
      </c>
      <c r="C875" s="16">
        <v>1.74</v>
      </c>
      <c r="D875" s="174" t="s">
        <v>3910</v>
      </c>
      <c r="E875" s="16"/>
      <c r="F875" s="16">
        <v>555.0</v>
      </c>
      <c r="G875" s="16" t="s">
        <v>1922</v>
      </c>
      <c r="H875" s="16" t="s">
        <v>19</v>
      </c>
      <c r="I875" s="16" t="s">
        <v>17</v>
      </c>
      <c r="J875" s="16"/>
      <c r="K875" s="16"/>
      <c r="L875" s="16"/>
      <c r="M875" s="16"/>
      <c r="N875" s="16"/>
      <c r="O875" s="16"/>
      <c r="P875" s="16"/>
      <c r="Q875" s="16"/>
      <c r="R875" s="16" t="s">
        <v>466</v>
      </c>
      <c r="S875" s="16">
        <v>-2.0</v>
      </c>
      <c r="T875" s="16"/>
      <c r="U875" s="16" t="s">
        <v>3911</v>
      </c>
      <c r="V875" s="16" t="s">
        <v>3912</v>
      </c>
      <c r="W875" s="16" t="s">
        <v>491</v>
      </c>
      <c r="X875" s="16" t="s">
        <v>181</v>
      </c>
      <c r="Y875" s="100"/>
      <c r="Z875" s="16" t="s">
        <v>181</v>
      </c>
    </row>
    <row r="876">
      <c r="A876" s="16">
        <v>13366.0</v>
      </c>
      <c r="B876" s="16" t="s">
        <v>3913</v>
      </c>
      <c r="C876" s="16">
        <v>0.08</v>
      </c>
      <c r="D876" s="174" t="s">
        <v>3914</v>
      </c>
      <c r="E876" s="16"/>
      <c r="F876" s="16">
        <v>547.0</v>
      </c>
      <c r="G876" s="16" t="s">
        <v>176</v>
      </c>
      <c r="H876" s="16" t="s">
        <v>25</v>
      </c>
      <c r="I876" s="16" t="s">
        <v>26</v>
      </c>
      <c r="J876" s="16"/>
      <c r="K876" s="16"/>
      <c r="L876" s="16"/>
      <c r="M876" s="16"/>
      <c r="N876" s="16"/>
      <c r="O876" s="16"/>
      <c r="P876" s="16"/>
      <c r="Q876" s="16"/>
      <c r="R876" s="16"/>
      <c r="S876" s="16">
        <v>-2.0</v>
      </c>
      <c r="T876" s="16"/>
      <c r="U876" s="16" t="s">
        <v>3915</v>
      </c>
      <c r="V876" s="16" t="s">
        <v>3916</v>
      </c>
      <c r="W876" s="16" t="s">
        <v>179</v>
      </c>
      <c r="X876" s="16" t="s">
        <v>181</v>
      </c>
      <c r="Y876" s="100"/>
      <c r="Z876" s="16" t="s">
        <v>181</v>
      </c>
    </row>
    <row r="877">
      <c r="A877" s="16">
        <v>13367.0</v>
      </c>
      <c r="B877" s="16" t="s">
        <v>3917</v>
      </c>
      <c r="C877" s="16">
        <v>0.0</v>
      </c>
      <c r="D877" s="174" t="s">
        <v>3918</v>
      </c>
      <c r="E877" s="16"/>
      <c r="F877" s="16">
        <v>547.0</v>
      </c>
      <c r="G877" s="16" t="s">
        <v>176</v>
      </c>
      <c r="H877" s="16" t="s">
        <v>17</v>
      </c>
      <c r="I877" s="16" t="s">
        <v>13</v>
      </c>
      <c r="J877" s="16" t="s">
        <v>19</v>
      </c>
      <c r="K877" s="16"/>
      <c r="L877" s="16"/>
      <c r="M877" s="16"/>
      <c r="N877" s="16"/>
      <c r="O877" s="16"/>
      <c r="P877" s="16"/>
      <c r="Q877" s="16"/>
      <c r="R877" s="16"/>
      <c r="S877" s="16">
        <v>-2.0</v>
      </c>
      <c r="T877" s="16"/>
      <c r="U877" s="16" t="s">
        <v>3919</v>
      </c>
      <c r="V877" s="16" t="s">
        <v>3920</v>
      </c>
      <c r="W877" s="16" t="s">
        <v>491</v>
      </c>
      <c r="X877" s="16" t="s">
        <v>181</v>
      </c>
      <c r="Y877" s="100"/>
      <c r="Z877" s="16" t="s">
        <v>181</v>
      </c>
    </row>
    <row r="878">
      <c r="A878" s="16">
        <v>13368.0</v>
      </c>
      <c r="B878" s="16" t="s">
        <v>3921</v>
      </c>
      <c r="C878" s="16">
        <v>2.31</v>
      </c>
      <c r="D878" s="174" t="s">
        <v>3922</v>
      </c>
      <c r="E878" s="16"/>
      <c r="F878" s="16">
        <v>575.0</v>
      </c>
      <c r="G878" s="16" t="s">
        <v>212</v>
      </c>
      <c r="H878" s="16" t="s">
        <v>24</v>
      </c>
      <c r="I878" s="16"/>
      <c r="J878" s="16"/>
      <c r="K878" s="16"/>
      <c r="L878" s="16"/>
      <c r="M878" s="16"/>
      <c r="N878" s="16"/>
      <c r="O878" s="16"/>
      <c r="P878" s="16"/>
      <c r="Q878" s="16"/>
      <c r="R878" s="16"/>
      <c r="S878" s="16">
        <v>-2.0</v>
      </c>
      <c r="T878" s="16"/>
      <c r="U878" s="16" t="s">
        <v>3923</v>
      </c>
      <c r="V878" s="16" t="s">
        <v>3924</v>
      </c>
      <c r="W878" s="16" t="s">
        <v>231</v>
      </c>
      <c r="X878" s="16" t="s">
        <v>181</v>
      </c>
      <c r="Y878" s="100"/>
      <c r="Z878" s="16" t="s">
        <v>181</v>
      </c>
    </row>
    <row r="879">
      <c r="A879" s="16">
        <v>13369.0</v>
      </c>
      <c r="B879" s="16" t="s">
        <v>3925</v>
      </c>
      <c r="C879" s="16">
        <v>0.33</v>
      </c>
      <c r="D879" s="174" t="s">
        <v>3926</v>
      </c>
      <c r="E879" s="16"/>
      <c r="F879" s="16">
        <v>547.0</v>
      </c>
      <c r="G879" s="16" t="s">
        <v>176</v>
      </c>
      <c r="H879" s="16" t="s">
        <v>25</v>
      </c>
      <c r="I879" s="16" t="s">
        <v>26</v>
      </c>
      <c r="J879" s="16"/>
      <c r="K879" s="16"/>
      <c r="L879" s="16"/>
      <c r="M879" s="16"/>
      <c r="N879" s="16"/>
      <c r="O879" s="16"/>
      <c r="P879" s="16"/>
      <c r="Q879" s="16"/>
      <c r="R879" s="16"/>
      <c r="S879" s="16">
        <v>-2.0</v>
      </c>
      <c r="T879" s="16"/>
      <c r="U879" s="16" t="s">
        <v>3927</v>
      </c>
      <c r="V879" s="16" t="s">
        <v>3928</v>
      </c>
      <c r="W879" s="16" t="s">
        <v>332</v>
      </c>
      <c r="X879" s="16" t="s">
        <v>181</v>
      </c>
      <c r="Y879" s="100"/>
      <c r="Z879" s="16" t="s">
        <v>181</v>
      </c>
    </row>
    <row r="880">
      <c r="A880" s="16">
        <v>13370.0</v>
      </c>
      <c r="B880" s="16" t="s">
        <v>3929</v>
      </c>
      <c r="C880" s="16">
        <v>1.99</v>
      </c>
      <c r="D880" s="174" t="s">
        <v>3930</v>
      </c>
      <c r="E880" s="16"/>
      <c r="F880" s="16">
        <v>579.0</v>
      </c>
      <c r="G880" s="16" t="s">
        <v>465</v>
      </c>
      <c r="H880" s="16" t="s">
        <v>24</v>
      </c>
      <c r="I880" s="16"/>
      <c r="J880" s="16"/>
      <c r="K880" s="16"/>
      <c r="L880" s="16"/>
      <c r="M880" s="16"/>
      <c r="N880" s="16"/>
      <c r="O880" s="16"/>
      <c r="P880" s="16"/>
      <c r="Q880" s="16"/>
      <c r="R880" s="16" t="s">
        <v>2598</v>
      </c>
      <c r="S880" s="16">
        <v>-2.0</v>
      </c>
      <c r="T880" s="16"/>
      <c r="U880" s="16" t="s">
        <v>3931</v>
      </c>
      <c r="V880" s="16" t="s">
        <v>3932</v>
      </c>
      <c r="W880" s="16" t="s">
        <v>634</v>
      </c>
      <c r="X880" s="16" t="s">
        <v>181</v>
      </c>
      <c r="Y880" s="100"/>
      <c r="Z880" s="16" t="s">
        <v>181</v>
      </c>
    </row>
    <row r="881">
      <c r="A881" s="16">
        <v>13371.0</v>
      </c>
      <c r="B881" s="16" t="s">
        <v>3933</v>
      </c>
      <c r="C881" s="16">
        <v>0.0</v>
      </c>
      <c r="D881" s="174" t="s">
        <v>3934</v>
      </c>
      <c r="E881" s="16"/>
      <c r="F881" s="16">
        <v>547.0</v>
      </c>
      <c r="G881" s="16" t="s">
        <v>176</v>
      </c>
      <c r="H881" s="16" t="s">
        <v>24</v>
      </c>
      <c r="I881" s="16" t="s">
        <v>25</v>
      </c>
      <c r="J881" s="16" t="s">
        <v>26</v>
      </c>
      <c r="K881" s="16"/>
      <c r="L881" s="16"/>
      <c r="M881" s="16"/>
      <c r="N881" s="16"/>
      <c r="O881" s="16"/>
      <c r="P881" s="16"/>
      <c r="Q881" s="16"/>
      <c r="R881" s="16"/>
      <c r="S881" s="16">
        <v>-2.0</v>
      </c>
      <c r="T881" s="16"/>
      <c r="U881" s="16" t="s">
        <v>3935</v>
      </c>
      <c r="V881" s="16" t="s">
        <v>3936</v>
      </c>
      <c r="W881" s="16" t="s">
        <v>491</v>
      </c>
      <c r="X881" s="16" t="s">
        <v>181</v>
      </c>
      <c r="Y881" s="100"/>
      <c r="Z881" s="16" t="s">
        <v>181</v>
      </c>
    </row>
    <row r="882">
      <c r="A882" s="16">
        <v>13372.0</v>
      </c>
      <c r="B882" s="16" t="s">
        <v>3937</v>
      </c>
      <c r="C882" s="16">
        <v>0.0</v>
      </c>
      <c r="D882" s="174" t="s">
        <v>3938</v>
      </c>
      <c r="E882" s="16"/>
      <c r="F882" s="16">
        <v>560.0</v>
      </c>
      <c r="G882" s="16" t="s">
        <v>245</v>
      </c>
      <c r="H882" s="16" t="s">
        <v>24</v>
      </c>
      <c r="I882" s="16" t="s">
        <v>25</v>
      </c>
      <c r="J882" s="16" t="s">
        <v>26</v>
      </c>
      <c r="K882" s="16"/>
      <c r="L882" s="16"/>
      <c r="M882" s="16"/>
      <c r="N882" s="16"/>
      <c r="O882" s="16"/>
      <c r="P882" s="16"/>
      <c r="Q882" s="16"/>
      <c r="R882" s="16"/>
      <c r="S882" s="16">
        <v>-2.0</v>
      </c>
      <c r="T882" s="16"/>
      <c r="U882" s="16" t="s">
        <v>3939</v>
      </c>
      <c r="V882" s="16" t="s">
        <v>3940</v>
      </c>
      <c r="W882" s="16" t="s">
        <v>478</v>
      </c>
      <c r="X882" s="16" t="s">
        <v>181</v>
      </c>
      <c r="Y882" s="100"/>
      <c r="Z882" s="16" t="s">
        <v>181</v>
      </c>
    </row>
    <row r="883">
      <c r="A883" s="16">
        <v>13373.0</v>
      </c>
      <c r="B883" s="16" t="s">
        <v>3941</v>
      </c>
      <c r="C883" s="16">
        <v>1.57</v>
      </c>
      <c r="D883" s="174" t="s">
        <v>3942</v>
      </c>
      <c r="E883" s="16"/>
      <c r="F883" s="16">
        <v>575.0</v>
      </c>
      <c r="G883" s="16" t="s">
        <v>212</v>
      </c>
      <c r="H883" s="16" t="s">
        <v>12</v>
      </c>
      <c r="I883" s="16"/>
      <c r="J883" s="16"/>
      <c r="K883" s="16"/>
      <c r="L883" s="16"/>
      <c r="M883" s="16"/>
      <c r="N883" s="16"/>
      <c r="O883" s="16"/>
      <c r="P883" s="16"/>
      <c r="Q883" s="16"/>
      <c r="R883" s="16"/>
      <c r="S883" s="16">
        <v>-2.0</v>
      </c>
      <c r="T883" s="16"/>
      <c r="U883" s="16" t="s">
        <v>3943</v>
      </c>
      <c r="V883" s="16" t="s">
        <v>3944</v>
      </c>
      <c r="W883" s="16" t="s">
        <v>443</v>
      </c>
      <c r="X883" s="16" t="s">
        <v>181</v>
      </c>
      <c r="Y883" s="100"/>
      <c r="Z883" s="16" t="s">
        <v>181</v>
      </c>
    </row>
    <row r="884">
      <c r="A884" s="16">
        <v>13374.0</v>
      </c>
      <c r="B884" s="16" t="s">
        <v>3945</v>
      </c>
      <c r="C884" s="16">
        <v>0.0</v>
      </c>
      <c r="D884" s="174" t="s">
        <v>3946</v>
      </c>
      <c r="E884" s="16"/>
      <c r="F884" s="16">
        <v>584.0</v>
      </c>
      <c r="G884" s="16" t="s">
        <v>361</v>
      </c>
      <c r="H884" s="16" t="s">
        <v>25</v>
      </c>
      <c r="I884" s="16" t="s">
        <v>26</v>
      </c>
      <c r="J884" s="16"/>
      <c r="K884" s="16"/>
      <c r="L884" s="16"/>
      <c r="M884" s="16"/>
      <c r="N884" s="16"/>
      <c r="O884" s="16"/>
      <c r="P884" s="16"/>
      <c r="Q884" s="16"/>
      <c r="R884" s="16"/>
      <c r="S884" s="16">
        <v>-2.0</v>
      </c>
      <c r="T884" s="16"/>
      <c r="U884" s="16" t="s">
        <v>3947</v>
      </c>
      <c r="V884" s="16" t="s">
        <v>3948</v>
      </c>
      <c r="W884" s="16" t="s">
        <v>259</v>
      </c>
      <c r="X884" s="16" t="s">
        <v>181</v>
      </c>
      <c r="Y884" s="100"/>
      <c r="Z884" s="16" t="s">
        <v>181</v>
      </c>
    </row>
    <row r="885">
      <c r="A885" s="16">
        <v>13375.0</v>
      </c>
      <c r="B885" s="16" t="s">
        <v>3949</v>
      </c>
      <c r="C885" s="16">
        <v>3.65</v>
      </c>
      <c r="D885" s="174" t="s">
        <v>3950</v>
      </c>
      <c r="E885" s="16"/>
      <c r="F885" s="16">
        <v>584.0</v>
      </c>
      <c r="G885" s="16" t="s">
        <v>361</v>
      </c>
      <c r="H885" s="16" t="s">
        <v>51</v>
      </c>
      <c r="I885" s="16"/>
      <c r="J885" s="16"/>
      <c r="K885" s="16"/>
      <c r="L885" s="16"/>
      <c r="M885" s="16"/>
      <c r="N885" s="16"/>
      <c r="O885" s="16"/>
      <c r="P885" s="16"/>
      <c r="Q885" s="16"/>
      <c r="R885" s="16"/>
      <c r="S885" s="16">
        <v>-2.0</v>
      </c>
      <c r="T885" s="174" t="s">
        <v>3951</v>
      </c>
      <c r="U885" s="16" t="s">
        <v>3952</v>
      </c>
      <c r="V885" s="16" t="s">
        <v>3953</v>
      </c>
      <c r="W885" s="16" t="s">
        <v>188</v>
      </c>
      <c r="X885" s="16" t="s">
        <v>181</v>
      </c>
      <c r="Y885" s="100"/>
      <c r="Z885" s="16" t="s">
        <v>181</v>
      </c>
    </row>
    <row r="886">
      <c r="A886" s="16">
        <v>13376.0</v>
      </c>
      <c r="B886" s="16" t="s">
        <v>3954</v>
      </c>
      <c r="C886" s="16">
        <v>1.56</v>
      </c>
      <c r="D886" s="174" t="s">
        <v>3955</v>
      </c>
      <c r="E886" s="16"/>
      <c r="F886" s="16">
        <v>590.0</v>
      </c>
      <c r="G886" s="16" t="s">
        <v>387</v>
      </c>
      <c r="H886" s="16" t="s">
        <v>24</v>
      </c>
      <c r="I886" s="16"/>
      <c r="J886" s="16"/>
      <c r="K886" s="16"/>
      <c r="L886" s="16"/>
      <c r="M886" s="16"/>
      <c r="N886" s="16"/>
      <c r="O886" s="16"/>
      <c r="P886" s="16"/>
      <c r="Q886" s="16"/>
      <c r="R886" s="16"/>
      <c r="S886" s="16">
        <v>-2.0</v>
      </c>
      <c r="T886" s="16"/>
      <c r="U886" s="16" t="s">
        <v>3956</v>
      </c>
      <c r="V886" s="16" t="s">
        <v>3957</v>
      </c>
      <c r="W886" s="16" t="s">
        <v>188</v>
      </c>
      <c r="X886" s="16" t="s">
        <v>181</v>
      </c>
      <c r="Y886" s="100"/>
      <c r="Z886" s="16" t="s">
        <v>181</v>
      </c>
    </row>
    <row r="887">
      <c r="A887" s="16">
        <v>13377.0</v>
      </c>
      <c r="B887" s="16" t="s">
        <v>3958</v>
      </c>
      <c r="C887" s="16">
        <v>1.12</v>
      </c>
      <c r="D887" s="174" t="s">
        <v>3959</v>
      </c>
      <c r="E887" s="16"/>
      <c r="F887" s="16">
        <v>593.0</v>
      </c>
      <c r="G887" s="16" t="s">
        <v>272</v>
      </c>
      <c r="H887" s="16" t="s">
        <v>24</v>
      </c>
      <c r="I887" s="16"/>
      <c r="J887" s="16"/>
      <c r="K887" s="16"/>
      <c r="L887" s="16"/>
      <c r="M887" s="16"/>
      <c r="N887" s="16"/>
      <c r="O887" s="16"/>
      <c r="P887" s="16"/>
      <c r="Q887" s="16"/>
      <c r="R887" s="16"/>
      <c r="S887" s="16">
        <v>-2.0</v>
      </c>
      <c r="T887" s="174" t="s">
        <v>3960</v>
      </c>
      <c r="U887" s="16" t="s">
        <v>3961</v>
      </c>
      <c r="V887" s="16" t="s">
        <v>3962</v>
      </c>
      <c r="W887" s="16" t="s">
        <v>188</v>
      </c>
      <c r="X887" s="16" t="s">
        <v>181</v>
      </c>
      <c r="Y887" s="100"/>
      <c r="Z887" s="16" t="s">
        <v>181</v>
      </c>
    </row>
    <row r="888">
      <c r="A888" s="16">
        <v>13378.0</v>
      </c>
      <c r="B888" s="16" t="s">
        <v>3963</v>
      </c>
      <c r="C888" s="16">
        <v>0.0</v>
      </c>
      <c r="D888" s="174" t="s">
        <v>3964</v>
      </c>
      <c r="E888" s="16"/>
      <c r="F888" s="16">
        <v>547.0</v>
      </c>
      <c r="G888" s="16" t="s">
        <v>176</v>
      </c>
      <c r="H888" s="16" t="s">
        <v>24</v>
      </c>
      <c r="I888" s="16" t="s">
        <v>25</v>
      </c>
      <c r="J888" s="16"/>
      <c r="K888" s="16"/>
      <c r="L888" s="16"/>
      <c r="M888" s="16"/>
      <c r="N888" s="16"/>
      <c r="O888" s="16"/>
      <c r="P888" s="16"/>
      <c r="Q888" s="16"/>
      <c r="R888" s="16"/>
      <c r="S888" s="16">
        <v>-2.0</v>
      </c>
      <c r="T888" s="16"/>
      <c r="U888" s="16" t="s">
        <v>3965</v>
      </c>
      <c r="V888" s="16" t="s">
        <v>3966</v>
      </c>
      <c r="W888" s="16" t="s">
        <v>459</v>
      </c>
      <c r="X888" s="16" t="s">
        <v>181</v>
      </c>
      <c r="Y888" s="100"/>
      <c r="Z888" s="16" t="s">
        <v>181</v>
      </c>
    </row>
    <row r="889">
      <c r="A889" s="16">
        <v>13379.0</v>
      </c>
      <c r="B889" s="16" t="s">
        <v>3967</v>
      </c>
      <c r="C889" s="16">
        <v>0.0</v>
      </c>
      <c r="D889" s="174" t="s">
        <v>3968</v>
      </c>
      <c r="E889" s="16"/>
      <c r="F889" s="16">
        <v>595.0</v>
      </c>
      <c r="G889" s="16" t="s">
        <v>415</v>
      </c>
      <c r="H889" s="16" t="s">
        <v>24</v>
      </c>
      <c r="I889" s="16" t="s">
        <v>25</v>
      </c>
      <c r="J889" s="16"/>
      <c r="K889" s="16"/>
      <c r="L889" s="16"/>
      <c r="M889" s="16"/>
      <c r="N889" s="16"/>
      <c r="O889" s="16"/>
      <c r="P889" s="16"/>
      <c r="Q889" s="16"/>
      <c r="R889" s="16"/>
      <c r="S889" s="16">
        <v>-2.0</v>
      </c>
      <c r="T889" s="16"/>
      <c r="U889" s="16" t="s">
        <v>3969</v>
      </c>
      <c r="V889" s="16" t="s">
        <v>3970</v>
      </c>
      <c r="W889" s="16" t="s">
        <v>360</v>
      </c>
      <c r="X889" s="16" t="s">
        <v>181</v>
      </c>
      <c r="Y889" s="100"/>
      <c r="Z889" s="16" t="s">
        <v>181</v>
      </c>
    </row>
    <row r="890">
      <c r="A890" s="16">
        <v>13380.0</v>
      </c>
      <c r="B890" s="16" t="s">
        <v>3971</v>
      </c>
      <c r="C890" s="16">
        <v>0.97</v>
      </c>
      <c r="D890" s="174" t="s">
        <v>3972</v>
      </c>
      <c r="E890" s="16"/>
      <c r="F890" s="16">
        <v>551.0</v>
      </c>
      <c r="G890" s="16" t="s">
        <v>200</v>
      </c>
      <c r="H890" s="16" t="s">
        <v>24</v>
      </c>
      <c r="I890" s="16"/>
      <c r="J890" s="16"/>
      <c r="K890" s="16"/>
      <c r="L890" s="16"/>
      <c r="M890" s="16"/>
      <c r="N890" s="16"/>
      <c r="O890" s="16"/>
      <c r="P890" s="16"/>
      <c r="Q890" s="16"/>
      <c r="R890" s="16"/>
      <c r="S890" s="16">
        <v>-2.0</v>
      </c>
      <c r="T890" s="16"/>
      <c r="U890" s="16" t="s">
        <v>3973</v>
      </c>
      <c r="V890" s="16" t="s">
        <v>3974</v>
      </c>
      <c r="W890" s="16" t="s">
        <v>188</v>
      </c>
      <c r="X890" s="16" t="s">
        <v>181</v>
      </c>
      <c r="Y890" s="100"/>
      <c r="Z890" s="16" t="s">
        <v>181</v>
      </c>
    </row>
    <row r="891">
      <c r="A891" s="16">
        <v>13381.0</v>
      </c>
      <c r="B891" s="16" t="s">
        <v>3975</v>
      </c>
      <c r="C891" s="16">
        <v>0.1</v>
      </c>
      <c r="D891" s="174" t="s">
        <v>3976</v>
      </c>
      <c r="E891" s="16"/>
      <c r="F891" s="16">
        <v>547.0</v>
      </c>
      <c r="G891" s="16" t="s">
        <v>176</v>
      </c>
      <c r="H891" s="16" t="s">
        <v>24</v>
      </c>
      <c r="I891" s="16"/>
      <c r="J891" s="16"/>
      <c r="K891" s="16"/>
      <c r="L891" s="16"/>
      <c r="M891" s="16"/>
      <c r="N891" s="16"/>
      <c r="O891" s="16"/>
      <c r="P891" s="16"/>
      <c r="Q891" s="16"/>
      <c r="R891" s="16"/>
      <c r="S891" s="16">
        <v>-2.0</v>
      </c>
      <c r="T891" s="16"/>
      <c r="U891" s="16" t="s">
        <v>3977</v>
      </c>
      <c r="V891" s="16" t="s">
        <v>3978</v>
      </c>
      <c r="W891" s="16" t="s">
        <v>188</v>
      </c>
      <c r="X891" s="16" t="s">
        <v>181</v>
      </c>
      <c r="Y891" s="100"/>
      <c r="Z891" s="16" t="s">
        <v>181</v>
      </c>
    </row>
    <row r="892">
      <c r="A892" s="16">
        <v>13382.0</v>
      </c>
      <c r="B892" s="16" t="s">
        <v>3979</v>
      </c>
      <c r="C892" s="16">
        <v>0.89</v>
      </c>
      <c r="D892" s="174" t="s">
        <v>3980</v>
      </c>
      <c r="E892" s="16"/>
      <c r="F892" s="16">
        <v>547.0</v>
      </c>
      <c r="G892" s="16" t="s">
        <v>176</v>
      </c>
      <c r="H892" s="16" t="s">
        <v>24</v>
      </c>
      <c r="I892" s="16" t="s">
        <v>25</v>
      </c>
      <c r="J892" s="16" t="s">
        <v>26</v>
      </c>
      <c r="K892" s="16"/>
      <c r="L892" s="16"/>
      <c r="M892" s="16"/>
      <c r="N892" s="16"/>
      <c r="O892" s="16"/>
      <c r="P892" s="16"/>
      <c r="Q892" s="16"/>
      <c r="R892" s="16"/>
      <c r="S892" s="16">
        <v>-2.0</v>
      </c>
      <c r="T892" s="16"/>
      <c r="U892" s="16" t="s">
        <v>3981</v>
      </c>
      <c r="V892" s="16" t="s">
        <v>3982</v>
      </c>
      <c r="W892" s="16" t="s">
        <v>332</v>
      </c>
      <c r="X892" s="16" t="s">
        <v>181</v>
      </c>
      <c r="Y892" s="100"/>
      <c r="Z892" s="16" t="s">
        <v>181</v>
      </c>
    </row>
    <row r="893">
      <c r="A893" s="16">
        <v>13383.0</v>
      </c>
      <c r="B893" s="16" t="s">
        <v>3983</v>
      </c>
      <c r="C893" s="16">
        <v>0.91</v>
      </c>
      <c r="D893" s="174" t="s">
        <v>3984</v>
      </c>
      <c r="E893" s="16"/>
      <c r="F893" s="16">
        <v>587.0</v>
      </c>
      <c r="G893" s="16" t="s">
        <v>289</v>
      </c>
      <c r="H893" s="16" t="s">
        <v>14</v>
      </c>
      <c r="I893" s="16" t="s">
        <v>13</v>
      </c>
      <c r="J893" s="16"/>
      <c r="K893" s="16"/>
      <c r="L893" s="16"/>
      <c r="M893" s="16"/>
      <c r="N893" s="16"/>
      <c r="O893" s="16"/>
      <c r="P893" s="16"/>
      <c r="Q893" s="16"/>
      <c r="R893" s="16"/>
      <c r="S893" s="16">
        <v>-2.0</v>
      </c>
      <c r="T893" s="16"/>
      <c r="U893" s="16" t="s">
        <v>3985</v>
      </c>
      <c r="V893" s="16" t="s">
        <v>3986</v>
      </c>
      <c r="W893" s="16" t="s">
        <v>179</v>
      </c>
      <c r="X893" s="16" t="s">
        <v>181</v>
      </c>
      <c r="Y893" s="100"/>
      <c r="Z893" s="16" t="s">
        <v>181</v>
      </c>
    </row>
    <row r="894">
      <c r="A894" s="16">
        <v>13384.0</v>
      </c>
      <c r="B894" s="16" t="s">
        <v>3987</v>
      </c>
      <c r="C894" s="16">
        <v>1.96</v>
      </c>
      <c r="D894" s="174" t="s">
        <v>3988</v>
      </c>
      <c r="E894" s="16"/>
      <c r="F894" s="16">
        <v>554.0</v>
      </c>
      <c r="G894" s="16" t="s">
        <v>215</v>
      </c>
      <c r="H894" s="16" t="s">
        <v>24</v>
      </c>
      <c r="I894" s="16"/>
      <c r="J894" s="16"/>
      <c r="K894" s="16"/>
      <c r="L894" s="16"/>
      <c r="M894" s="16"/>
      <c r="N894" s="16"/>
      <c r="O894" s="16"/>
      <c r="P894" s="16"/>
      <c r="Q894" s="16"/>
      <c r="R894" s="16"/>
      <c r="S894" s="16">
        <v>-2.0</v>
      </c>
      <c r="T894" s="16"/>
      <c r="U894" s="16" t="s">
        <v>3989</v>
      </c>
      <c r="V894" s="16" t="s">
        <v>3990</v>
      </c>
      <c r="W894" s="16" t="s">
        <v>491</v>
      </c>
      <c r="X894" s="16" t="s">
        <v>181</v>
      </c>
      <c r="Y894" s="100"/>
      <c r="Z894" s="16" t="s">
        <v>181</v>
      </c>
    </row>
    <row r="895">
      <c r="A895" s="16">
        <v>13385.0</v>
      </c>
      <c r="B895" s="16" t="s">
        <v>3991</v>
      </c>
      <c r="C895" s="16">
        <v>0.66</v>
      </c>
      <c r="D895" s="174" t="s">
        <v>3992</v>
      </c>
      <c r="E895" s="16"/>
      <c r="F895" s="16">
        <v>568.0</v>
      </c>
      <c r="G895" s="16" t="s">
        <v>1452</v>
      </c>
      <c r="H895" s="16" t="s">
        <v>17</v>
      </c>
      <c r="I895" s="16" t="s">
        <v>13</v>
      </c>
      <c r="J895" s="16" t="s">
        <v>14</v>
      </c>
      <c r="K895" s="16" t="s">
        <v>19</v>
      </c>
      <c r="L895" s="16" t="s">
        <v>16</v>
      </c>
      <c r="M895" s="16"/>
      <c r="N895" s="16"/>
      <c r="O895" s="16"/>
      <c r="P895" s="16"/>
      <c r="Q895" s="16"/>
      <c r="R895" s="16"/>
      <c r="S895" s="16">
        <v>-2.0</v>
      </c>
      <c r="T895" s="16"/>
      <c r="U895" s="16" t="s">
        <v>3993</v>
      </c>
      <c r="V895" s="16" t="s">
        <v>3994</v>
      </c>
      <c r="W895" s="16" t="s">
        <v>188</v>
      </c>
      <c r="X895" s="16" t="s">
        <v>181</v>
      </c>
      <c r="Y895" s="100"/>
      <c r="Z895" s="16" t="s">
        <v>181</v>
      </c>
    </row>
    <row r="896">
      <c r="A896" s="16">
        <v>13386.0</v>
      </c>
      <c r="B896" s="16" t="s">
        <v>3995</v>
      </c>
      <c r="C896" s="16">
        <v>0.14</v>
      </c>
      <c r="D896" s="174" t="s">
        <v>3996</v>
      </c>
      <c r="E896" s="16"/>
      <c r="F896" s="16">
        <v>547.0</v>
      </c>
      <c r="G896" s="16" t="s">
        <v>176</v>
      </c>
      <c r="H896" s="16" t="s">
        <v>13</v>
      </c>
      <c r="I896" s="16"/>
      <c r="J896" s="16"/>
      <c r="K896" s="16"/>
      <c r="L896" s="16"/>
      <c r="M896" s="16"/>
      <c r="N896" s="16"/>
      <c r="O896" s="16"/>
      <c r="P896" s="16"/>
      <c r="Q896" s="16"/>
      <c r="R896" s="16"/>
      <c r="S896" s="16">
        <v>-2.0</v>
      </c>
      <c r="T896" s="16"/>
      <c r="U896" s="16" t="s">
        <v>3997</v>
      </c>
      <c r="V896" s="16" t="s">
        <v>3998</v>
      </c>
      <c r="W896" s="16" t="s">
        <v>179</v>
      </c>
      <c r="X896" s="16" t="s">
        <v>181</v>
      </c>
      <c r="Y896" s="100"/>
      <c r="Z896" s="16" t="s">
        <v>181</v>
      </c>
    </row>
    <row r="897">
      <c r="A897" s="16">
        <v>13387.0</v>
      </c>
      <c r="B897" s="16" t="s">
        <v>3999</v>
      </c>
      <c r="C897" s="16">
        <v>1.66</v>
      </c>
      <c r="D897" s="174" t="s">
        <v>4000</v>
      </c>
      <c r="E897" s="16"/>
      <c r="F897" s="16">
        <v>593.0</v>
      </c>
      <c r="G897" s="16" t="s">
        <v>272</v>
      </c>
      <c r="H897" s="16" t="s">
        <v>24</v>
      </c>
      <c r="I897" s="16" t="s">
        <v>25</v>
      </c>
      <c r="J897" s="16"/>
      <c r="K897" s="16"/>
      <c r="L897" s="16"/>
      <c r="M897" s="16"/>
      <c r="N897" s="16"/>
      <c r="O897" s="16"/>
      <c r="P897" s="16"/>
      <c r="Q897" s="16"/>
      <c r="R897" s="16" t="s">
        <v>2093</v>
      </c>
      <c r="S897" s="16">
        <v>-2.0</v>
      </c>
      <c r="T897" s="174" t="s">
        <v>4001</v>
      </c>
      <c r="U897" s="16" t="s">
        <v>4002</v>
      </c>
      <c r="V897" s="16" t="s">
        <v>4003</v>
      </c>
      <c r="W897" s="16" t="s">
        <v>751</v>
      </c>
      <c r="X897" s="16" t="s">
        <v>181</v>
      </c>
      <c r="Y897" s="100"/>
      <c r="Z897" s="16" t="s">
        <v>181</v>
      </c>
    </row>
    <row r="898">
      <c r="A898" s="16">
        <v>13388.0</v>
      </c>
      <c r="B898" s="16" t="s">
        <v>4004</v>
      </c>
      <c r="C898" s="16">
        <v>0.55</v>
      </c>
      <c r="D898" s="174" t="s">
        <v>4005</v>
      </c>
      <c r="E898" s="16"/>
      <c r="F898" s="16">
        <v>590.0</v>
      </c>
      <c r="G898" s="16" t="s">
        <v>387</v>
      </c>
      <c r="H898" s="16" t="s">
        <v>19</v>
      </c>
      <c r="I898" s="16"/>
      <c r="J898" s="16"/>
      <c r="K898" s="16"/>
      <c r="L898" s="16"/>
      <c r="M898" s="16"/>
      <c r="N898" s="16"/>
      <c r="O898" s="16"/>
      <c r="P898" s="16"/>
      <c r="Q898" s="16"/>
      <c r="R898" s="16"/>
      <c r="S898" s="16">
        <v>-2.0</v>
      </c>
      <c r="T898" s="16"/>
      <c r="U898" s="16" t="s">
        <v>4006</v>
      </c>
      <c r="V898" s="16" t="s">
        <v>4007</v>
      </c>
      <c r="W898" s="16" t="s">
        <v>616</v>
      </c>
      <c r="X898" s="16" t="s">
        <v>181</v>
      </c>
      <c r="Y898" s="100"/>
      <c r="Z898" s="16" t="s">
        <v>181</v>
      </c>
    </row>
    <row r="899">
      <c r="A899" s="16">
        <v>13389.0</v>
      </c>
      <c r="B899" s="16" t="s">
        <v>117</v>
      </c>
      <c r="C899" s="16">
        <v>0.0</v>
      </c>
      <c r="D899" s="174" t="s">
        <v>4008</v>
      </c>
      <c r="E899" s="16"/>
      <c r="F899" s="16">
        <v>569.0</v>
      </c>
      <c r="G899" s="16" t="s">
        <v>292</v>
      </c>
      <c r="H899" s="16" t="s">
        <v>25</v>
      </c>
      <c r="I899" s="16"/>
      <c r="J899" s="16"/>
      <c r="K899" s="16"/>
      <c r="L899" s="16"/>
      <c r="M899" s="16"/>
      <c r="N899" s="16"/>
      <c r="O899" s="16"/>
      <c r="P899" s="16"/>
      <c r="Q899" s="16"/>
      <c r="R899" s="16"/>
      <c r="S899" s="16">
        <v>-2.0</v>
      </c>
      <c r="T899" s="16"/>
      <c r="U899" s="16" t="s">
        <v>4009</v>
      </c>
      <c r="V899" s="16" t="s">
        <v>4010</v>
      </c>
      <c r="W899" s="16" t="s">
        <v>422</v>
      </c>
      <c r="X899" s="16" t="s">
        <v>181</v>
      </c>
      <c r="Y899" s="100"/>
      <c r="Z899" s="16" t="s">
        <v>181</v>
      </c>
    </row>
    <row r="900">
      <c r="A900" s="16">
        <v>13390.0</v>
      </c>
      <c r="B900" s="16" t="s">
        <v>44</v>
      </c>
      <c r="C900" s="16">
        <v>2.15</v>
      </c>
      <c r="D900" s="174" t="s">
        <v>4011</v>
      </c>
      <c r="E900" s="16"/>
      <c r="F900" s="16">
        <v>557.0</v>
      </c>
      <c r="G900" s="16" t="s">
        <v>232</v>
      </c>
      <c r="H900" s="16" t="s">
        <v>17</v>
      </c>
      <c r="I900" s="16"/>
      <c r="J900" s="16"/>
      <c r="K900" s="16"/>
      <c r="L900" s="16"/>
      <c r="M900" s="16"/>
      <c r="N900" s="16"/>
      <c r="O900" s="16"/>
      <c r="P900" s="16"/>
      <c r="Q900" s="16"/>
      <c r="R900" s="16"/>
      <c r="S900" s="16">
        <v>-2.0</v>
      </c>
      <c r="T900" s="16"/>
      <c r="U900" s="16" t="s">
        <v>4012</v>
      </c>
      <c r="V900" s="16" t="s">
        <v>4013</v>
      </c>
      <c r="W900" s="16" t="s">
        <v>722</v>
      </c>
      <c r="X900" s="16" t="s">
        <v>181</v>
      </c>
      <c r="Y900" s="100"/>
      <c r="Z900" s="16" t="s">
        <v>181</v>
      </c>
    </row>
    <row r="901">
      <c r="A901" s="16">
        <v>13391.0</v>
      </c>
      <c r="B901" s="16" t="s">
        <v>4014</v>
      </c>
      <c r="C901" s="16">
        <v>0.0</v>
      </c>
      <c r="D901" s="174" t="s">
        <v>4015</v>
      </c>
      <c r="E901" s="16"/>
      <c r="F901" s="16">
        <v>547.0</v>
      </c>
      <c r="G901" s="16" t="s">
        <v>176</v>
      </c>
      <c r="H901" s="16" t="s">
        <v>24</v>
      </c>
      <c r="I901" s="16" t="s">
        <v>25</v>
      </c>
      <c r="J901" s="16"/>
      <c r="K901" s="16"/>
      <c r="L901" s="16"/>
      <c r="M901" s="16"/>
      <c r="N901" s="16"/>
      <c r="O901" s="16"/>
      <c r="P901" s="16"/>
      <c r="Q901" s="16"/>
      <c r="R901" s="16"/>
      <c r="S901" s="16">
        <v>-2.0</v>
      </c>
      <c r="T901" s="16"/>
      <c r="U901" s="16" t="s">
        <v>4016</v>
      </c>
      <c r="V901" s="16" t="s">
        <v>4017</v>
      </c>
      <c r="W901" s="16" t="s">
        <v>496</v>
      </c>
      <c r="X901" s="16" t="s">
        <v>181</v>
      </c>
      <c r="Y901" s="100"/>
      <c r="Z901" s="16" t="s">
        <v>181</v>
      </c>
    </row>
    <row r="902">
      <c r="A902" s="16">
        <v>13392.0</v>
      </c>
      <c r="B902" s="16" t="s">
        <v>4018</v>
      </c>
      <c r="C902" s="16">
        <v>0.0</v>
      </c>
      <c r="D902" s="174" t="s">
        <v>4019</v>
      </c>
      <c r="E902" s="16"/>
      <c r="F902" s="16">
        <v>547.0</v>
      </c>
      <c r="G902" s="16" t="s">
        <v>176</v>
      </c>
      <c r="H902" s="16" t="s">
        <v>25</v>
      </c>
      <c r="I902" s="16" t="s">
        <v>26</v>
      </c>
      <c r="J902" s="16"/>
      <c r="K902" s="16"/>
      <c r="L902" s="16"/>
      <c r="M902" s="16"/>
      <c r="N902" s="16"/>
      <c r="O902" s="16"/>
      <c r="P902" s="16"/>
      <c r="Q902" s="16"/>
      <c r="R902" s="16"/>
      <c r="S902" s="16">
        <v>-2.0</v>
      </c>
      <c r="T902" s="16"/>
      <c r="U902" s="16" t="s">
        <v>4020</v>
      </c>
      <c r="V902" s="16" t="s">
        <v>4021</v>
      </c>
      <c r="W902" s="16" t="s">
        <v>332</v>
      </c>
      <c r="X902" s="16" t="s">
        <v>181</v>
      </c>
      <c r="Y902" s="100"/>
      <c r="Z902" s="16" t="s">
        <v>181</v>
      </c>
    </row>
    <row r="903">
      <c r="A903" s="16">
        <v>13393.0</v>
      </c>
      <c r="B903" s="16" t="s">
        <v>4022</v>
      </c>
      <c r="C903" s="16">
        <v>0.0</v>
      </c>
      <c r="D903" s="174" t="s">
        <v>4023</v>
      </c>
      <c r="E903" s="16"/>
      <c r="F903" s="16">
        <v>547.0</v>
      </c>
      <c r="G903" s="16" t="s">
        <v>176</v>
      </c>
      <c r="H903" s="16" t="s">
        <v>25</v>
      </c>
      <c r="I903" s="16"/>
      <c r="J903" s="16"/>
      <c r="K903" s="16"/>
      <c r="L903" s="16"/>
      <c r="M903" s="16"/>
      <c r="N903" s="16"/>
      <c r="O903" s="16"/>
      <c r="P903" s="16"/>
      <c r="Q903" s="16"/>
      <c r="R903" s="16"/>
      <c r="S903" s="16">
        <v>-2.0</v>
      </c>
      <c r="T903" s="16"/>
      <c r="U903" s="16" t="s">
        <v>4024</v>
      </c>
      <c r="V903" s="16" t="s">
        <v>4025</v>
      </c>
      <c r="W903" s="16" t="s">
        <v>422</v>
      </c>
      <c r="X903" s="16" t="s">
        <v>181</v>
      </c>
      <c r="Y903" s="100"/>
      <c r="Z903" s="16" t="s">
        <v>181</v>
      </c>
    </row>
    <row r="904">
      <c r="A904" s="16">
        <v>13394.0</v>
      </c>
      <c r="B904" s="16" t="s">
        <v>4026</v>
      </c>
      <c r="C904" s="16">
        <v>0.74</v>
      </c>
      <c r="D904" s="174" t="s">
        <v>4027</v>
      </c>
      <c r="E904" s="16"/>
      <c r="F904" s="16">
        <v>547.0</v>
      </c>
      <c r="G904" s="16" t="s">
        <v>176</v>
      </c>
      <c r="H904" s="16" t="s">
        <v>18</v>
      </c>
      <c r="I904" s="16" t="s">
        <v>19</v>
      </c>
      <c r="J904" s="16" t="s">
        <v>17</v>
      </c>
      <c r="K904" s="16"/>
      <c r="L904" s="16"/>
      <c r="M904" s="16"/>
      <c r="N904" s="16"/>
      <c r="O904" s="16"/>
      <c r="P904" s="16"/>
      <c r="Q904" s="16"/>
      <c r="R904" s="16"/>
      <c r="S904" s="16">
        <v>-2.0</v>
      </c>
      <c r="T904" s="16"/>
      <c r="U904" s="16" t="s">
        <v>4028</v>
      </c>
      <c r="V904" s="16" t="s">
        <v>4029</v>
      </c>
      <c r="W904" s="16" t="s">
        <v>616</v>
      </c>
      <c r="X904" s="16" t="s">
        <v>181</v>
      </c>
      <c r="Y904" s="100"/>
      <c r="Z904" s="16" t="s">
        <v>181</v>
      </c>
    </row>
    <row r="905">
      <c r="A905" s="16">
        <v>13395.0</v>
      </c>
      <c r="B905" s="16" t="s">
        <v>4030</v>
      </c>
      <c r="C905" s="16">
        <v>0.0</v>
      </c>
      <c r="D905" s="174" t="s">
        <v>4031</v>
      </c>
      <c r="E905" s="16"/>
      <c r="F905" s="16">
        <v>547.0</v>
      </c>
      <c r="G905" s="16" t="s">
        <v>176</v>
      </c>
      <c r="H905" s="16" t="s">
        <v>24</v>
      </c>
      <c r="I905" s="16" t="s">
        <v>25</v>
      </c>
      <c r="J905" s="16"/>
      <c r="K905" s="16"/>
      <c r="L905" s="16"/>
      <c r="M905" s="16"/>
      <c r="N905" s="16"/>
      <c r="O905" s="16"/>
      <c r="P905" s="16"/>
      <c r="Q905" s="16"/>
      <c r="R905" s="16"/>
      <c r="S905" s="16">
        <v>-2.0</v>
      </c>
      <c r="T905" s="16"/>
      <c r="U905" s="16" t="s">
        <v>4032</v>
      </c>
      <c r="V905" s="16" t="s">
        <v>4033</v>
      </c>
      <c r="W905" s="16" t="s">
        <v>616</v>
      </c>
      <c r="X905" s="16" t="s">
        <v>181</v>
      </c>
      <c r="Y905" s="100"/>
      <c r="Z905" s="16" t="s">
        <v>181</v>
      </c>
    </row>
    <row r="906">
      <c r="A906" s="16">
        <v>13396.0</v>
      </c>
      <c r="B906" s="16" t="s">
        <v>4034</v>
      </c>
      <c r="C906" s="16">
        <v>1.04</v>
      </c>
      <c r="D906" s="174" t="s">
        <v>4035</v>
      </c>
      <c r="E906" s="16"/>
      <c r="F906" s="16">
        <v>549.0</v>
      </c>
      <c r="G906" s="16" t="s">
        <v>120</v>
      </c>
      <c r="H906" s="16" t="s">
        <v>24</v>
      </c>
      <c r="I906" s="16"/>
      <c r="J906" s="16"/>
      <c r="K906" s="16"/>
      <c r="L906" s="16"/>
      <c r="M906" s="16"/>
      <c r="N906" s="16"/>
      <c r="O906" s="16"/>
      <c r="P906" s="16"/>
      <c r="Q906" s="16"/>
      <c r="R906" s="16" t="s">
        <v>536</v>
      </c>
      <c r="S906" s="16">
        <v>-2.0</v>
      </c>
      <c r="T906" s="16"/>
      <c r="U906" s="16" t="s">
        <v>4036</v>
      </c>
      <c r="V906" s="16" t="s">
        <v>4037</v>
      </c>
      <c r="W906" s="16" t="s">
        <v>491</v>
      </c>
      <c r="X906" s="16" t="s">
        <v>181</v>
      </c>
      <c r="Y906" s="100"/>
      <c r="Z906" s="16" t="s">
        <v>181</v>
      </c>
    </row>
    <row r="907">
      <c r="A907" s="16">
        <v>13397.0</v>
      </c>
      <c r="B907" s="16" t="s">
        <v>4038</v>
      </c>
      <c r="C907" s="16">
        <v>0.07</v>
      </c>
      <c r="D907" s="174" t="s">
        <v>4039</v>
      </c>
      <c r="E907" s="16"/>
      <c r="F907" s="16">
        <v>547.0</v>
      </c>
      <c r="G907" s="16" t="s">
        <v>176</v>
      </c>
      <c r="H907" s="16" t="s">
        <v>25</v>
      </c>
      <c r="I907" s="16" t="s">
        <v>26</v>
      </c>
      <c r="J907" s="16"/>
      <c r="K907" s="16"/>
      <c r="L907" s="16"/>
      <c r="M907" s="16"/>
      <c r="N907" s="16"/>
      <c r="O907" s="16"/>
      <c r="P907" s="16"/>
      <c r="Q907" s="16"/>
      <c r="R907" s="16"/>
      <c r="S907" s="16">
        <v>-2.0</v>
      </c>
      <c r="T907" s="16"/>
      <c r="U907" s="16" t="s">
        <v>4040</v>
      </c>
      <c r="V907" s="16" t="s">
        <v>4041</v>
      </c>
      <c r="W907" s="16" t="s">
        <v>491</v>
      </c>
      <c r="X907" s="16" t="s">
        <v>181</v>
      </c>
      <c r="Y907" s="100"/>
      <c r="Z907" s="16" t="s">
        <v>181</v>
      </c>
    </row>
    <row r="908">
      <c r="A908" s="16">
        <v>13398.0</v>
      </c>
      <c r="B908" s="16" t="s">
        <v>4042</v>
      </c>
      <c r="C908" s="16">
        <v>1.12</v>
      </c>
      <c r="D908" s="174" t="s">
        <v>4043</v>
      </c>
      <c r="E908" s="16"/>
      <c r="F908" s="16">
        <v>587.0</v>
      </c>
      <c r="G908" s="16" t="s">
        <v>289</v>
      </c>
      <c r="H908" s="16" t="s">
        <v>24</v>
      </c>
      <c r="I908" s="16"/>
      <c r="J908" s="16"/>
      <c r="K908" s="16"/>
      <c r="L908" s="16"/>
      <c r="M908" s="16"/>
      <c r="N908" s="16"/>
      <c r="O908" s="16"/>
      <c r="P908" s="16"/>
      <c r="Q908" s="16"/>
      <c r="R908" s="16"/>
      <c r="S908" s="16">
        <v>-2.0</v>
      </c>
      <c r="T908" s="16"/>
      <c r="U908" s="16" t="s">
        <v>4044</v>
      </c>
      <c r="V908" s="16" t="s">
        <v>4045</v>
      </c>
      <c r="W908" s="16" t="s">
        <v>188</v>
      </c>
      <c r="X908" s="16" t="s">
        <v>181</v>
      </c>
      <c r="Y908" s="100"/>
      <c r="Z908" s="16" t="s">
        <v>181</v>
      </c>
    </row>
    <row r="909">
      <c r="A909" s="16">
        <v>13399.0</v>
      </c>
      <c r="B909" s="16" t="s">
        <v>4046</v>
      </c>
      <c r="C909" s="16">
        <v>0.0</v>
      </c>
      <c r="D909" s="174" t="s">
        <v>4047</v>
      </c>
      <c r="E909" s="16"/>
      <c r="F909" s="16">
        <v>547.0</v>
      </c>
      <c r="G909" s="16" t="s">
        <v>176</v>
      </c>
      <c r="H909" s="16" t="s">
        <v>24</v>
      </c>
      <c r="I909" s="16"/>
      <c r="J909" s="16"/>
      <c r="K909" s="16"/>
      <c r="L909" s="16"/>
      <c r="M909" s="16"/>
      <c r="N909" s="16"/>
      <c r="O909" s="16"/>
      <c r="P909" s="16"/>
      <c r="Q909" s="16"/>
      <c r="R909" s="16"/>
      <c r="S909" s="16">
        <v>-2.0</v>
      </c>
      <c r="T909" s="16"/>
      <c r="U909" s="16" t="s">
        <v>4048</v>
      </c>
      <c r="V909" s="16" t="s">
        <v>4049</v>
      </c>
      <c r="W909" s="16" t="s">
        <v>199</v>
      </c>
      <c r="X909" s="16" t="s">
        <v>181</v>
      </c>
      <c r="Y909" s="100"/>
      <c r="Z909" s="16" t="s">
        <v>181</v>
      </c>
    </row>
    <row r="910">
      <c r="A910" s="16">
        <v>13400.0</v>
      </c>
      <c r="B910" s="16" t="s">
        <v>4050</v>
      </c>
      <c r="C910" s="16">
        <v>1.76</v>
      </c>
      <c r="D910" s="174" t="s">
        <v>4051</v>
      </c>
      <c r="E910" s="16"/>
      <c r="F910" s="16">
        <v>593.0</v>
      </c>
      <c r="G910" s="16" t="s">
        <v>272</v>
      </c>
      <c r="H910" s="16" t="s">
        <v>24</v>
      </c>
      <c r="I910" s="16"/>
      <c r="J910" s="16"/>
      <c r="K910" s="16"/>
      <c r="L910" s="16"/>
      <c r="M910" s="16"/>
      <c r="N910" s="16"/>
      <c r="O910" s="16"/>
      <c r="P910" s="16"/>
      <c r="Q910" s="16"/>
      <c r="R910" s="16"/>
      <c r="S910" s="16">
        <v>-2.0</v>
      </c>
      <c r="T910" s="174" t="s">
        <v>4052</v>
      </c>
      <c r="U910" s="16" t="s">
        <v>4053</v>
      </c>
      <c r="V910" s="16" t="s">
        <v>4054</v>
      </c>
      <c r="W910" s="16" t="s">
        <v>188</v>
      </c>
      <c r="X910" s="16" t="s">
        <v>181</v>
      </c>
      <c r="Y910" s="100"/>
      <c r="Z910" s="16" t="s">
        <v>181</v>
      </c>
    </row>
    <row r="911">
      <c r="A911" s="16">
        <v>13401.0</v>
      </c>
      <c r="B911" s="16" t="s">
        <v>4055</v>
      </c>
      <c r="C911" s="16">
        <v>0.05</v>
      </c>
      <c r="D911" s="174" t="s">
        <v>4056</v>
      </c>
      <c r="E911" s="16"/>
      <c r="F911" s="16">
        <v>547.0</v>
      </c>
      <c r="G911" s="16" t="s">
        <v>176</v>
      </c>
      <c r="H911" s="16" t="s">
        <v>25</v>
      </c>
      <c r="I911" s="16"/>
      <c r="J911" s="16"/>
      <c r="K911" s="16"/>
      <c r="L911" s="16"/>
      <c r="M911" s="16"/>
      <c r="N911" s="16"/>
      <c r="O911" s="16"/>
      <c r="P911" s="16"/>
      <c r="Q911" s="16"/>
      <c r="R911" s="16"/>
      <c r="S911" s="16">
        <v>-2.0</v>
      </c>
      <c r="T911" s="16"/>
      <c r="U911" s="16" t="s">
        <v>4057</v>
      </c>
      <c r="V911" s="16" t="s">
        <v>4058</v>
      </c>
      <c r="W911" s="16" t="s">
        <v>360</v>
      </c>
      <c r="X911" s="16" t="s">
        <v>181</v>
      </c>
      <c r="Y911" s="100"/>
      <c r="Z911" s="16" t="s">
        <v>181</v>
      </c>
    </row>
    <row r="912">
      <c r="A912" s="16">
        <v>13402.0</v>
      </c>
      <c r="B912" s="16" t="s">
        <v>4059</v>
      </c>
      <c r="C912" s="16">
        <v>2.67</v>
      </c>
      <c r="D912" s="174" t="s">
        <v>4060</v>
      </c>
      <c r="E912" s="16"/>
      <c r="F912" s="16">
        <v>593.0</v>
      </c>
      <c r="G912" s="16" t="s">
        <v>272</v>
      </c>
      <c r="H912" s="16" t="s">
        <v>25</v>
      </c>
      <c r="I912" s="16" t="s">
        <v>26</v>
      </c>
      <c r="J912" s="16"/>
      <c r="K912" s="16"/>
      <c r="L912" s="16"/>
      <c r="M912" s="16"/>
      <c r="N912" s="16"/>
      <c r="O912" s="16"/>
      <c r="P912" s="16"/>
      <c r="Q912" s="16"/>
      <c r="R912" s="16"/>
      <c r="S912" s="16">
        <v>-2.0</v>
      </c>
      <c r="T912" s="174" t="s">
        <v>4061</v>
      </c>
      <c r="U912" s="16" t="s">
        <v>4062</v>
      </c>
      <c r="V912" s="16" t="s">
        <v>4063</v>
      </c>
      <c r="W912" s="16" t="s">
        <v>231</v>
      </c>
      <c r="X912" s="16" t="s">
        <v>181</v>
      </c>
      <c r="Y912" s="100"/>
      <c r="Z912" s="16" t="s">
        <v>181</v>
      </c>
    </row>
    <row r="913">
      <c r="A913" s="16">
        <v>13403.0</v>
      </c>
      <c r="B913" s="16" t="s">
        <v>4064</v>
      </c>
      <c r="C913" s="16">
        <v>2.95</v>
      </c>
      <c r="D913" s="174" t="s">
        <v>4065</v>
      </c>
      <c r="E913" s="16"/>
      <c r="F913" s="16">
        <v>572.0</v>
      </c>
      <c r="G913" s="16" t="s">
        <v>306</v>
      </c>
      <c r="H913" s="16" t="s">
        <v>24</v>
      </c>
      <c r="I913" s="16"/>
      <c r="J913" s="16"/>
      <c r="K913" s="16"/>
      <c r="L913" s="16"/>
      <c r="M913" s="16"/>
      <c r="N913" s="16"/>
      <c r="O913" s="16"/>
      <c r="P913" s="16"/>
      <c r="Q913" s="16"/>
      <c r="R913" s="16" t="s">
        <v>1435</v>
      </c>
      <c r="S913" s="16">
        <v>-2.0</v>
      </c>
      <c r="T913" s="16"/>
      <c r="U913" s="16" t="s">
        <v>4066</v>
      </c>
      <c r="V913" s="16" t="s">
        <v>4067</v>
      </c>
      <c r="W913" s="16" t="s">
        <v>188</v>
      </c>
      <c r="X913" s="16" t="s">
        <v>181</v>
      </c>
      <c r="Y913" s="100"/>
      <c r="Z913" s="16" t="s">
        <v>181</v>
      </c>
    </row>
    <row r="914">
      <c r="A914" s="16">
        <v>13404.0</v>
      </c>
      <c r="B914" s="16" t="s">
        <v>4068</v>
      </c>
      <c r="C914" s="16">
        <v>0.3</v>
      </c>
      <c r="D914" s="174" t="s">
        <v>4069</v>
      </c>
      <c r="E914" s="16"/>
      <c r="F914" s="16">
        <v>593.0</v>
      </c>
      <c r="G914" s="16" t="s">
        <v>272</v>
      </c>
      <c r="H914" s="16" t="s">
        <v>25</v>
      </c>
      <c r="I914" s="16" t="s">
        <v>26</v>
      </c>
      <c r="J914" s="16"/>
      <c r="K914" s="16"/>
      <c r="L914" s="16"/>
      <c r="M914" s="16"/>
      <c r="N914" s="16"/>
      <c r="O914" s="16"/>
      <c r="P914" s="16"/>
      <c r="Q914" s="16"/>
      <c r="R914" s="16"/>
      <c r="S914" s="16">
        <v>-2.0</v>
      </c>
      <c r="T914" s="174" t="s">
        <v>4070</v>
      </c>
      <c r="U914" s="16" t="s">
        <v>4071</v>
      </c>
      <c r="V914" s="16" t="s">
        <v>4072</v>
      </c>
      <c r="W914" s="16" t="s">
        <v>478</v>
      </c>
      <c r="X914" s="16" t="s">
        <v>181</v>
      </c>
      <c r="Y914" s="100"/>
      <c r="Z914" s="16" t="s">
        <v>181</v>
      </c>
    </row>
    <row r="915">
      <c r="A915" s="16">
        <v>13405.0</v>
      </c>
      <c r="B915" s="16" t="s">
        <v>4073</v>
      </c>
      <c r="C915" s="16">
        <v>1.19</v>
      </c>
      <c r="D915" s="174" t="s">
        <v>4074</v>
      </c>
      <c r="E915" s="16"/>
      <c r="F915" s="16">
        <v>575.0</v>
      </c>
      <c r="G915" s="16" t="s">
        <v>212</v>
      </c>
      <c r="H915" s="16" t="s">
        <v>25</v>
      </c>
      <c r="I915" s="16"/>
      <c r="J915" s="16"/>
      <c r="K915" s="16"/>
      <c r="L915" s="16"/>
      <c r="M915" s="16"/>
      <c r="N915" s="16"/>
      <c r="O915" s="16"/>
      <c r="P915" s="16"/>
      <c r="Q915" s="16"/>
      <c r="R915" s="16"/>
      <c r="S915" s="16">
        <v>-2.0</v>
      </c>
      <c r="T915" s="16"/>
      <c r="U915" s="16" t="s">
        <v>4075</v>
      </c>
      <c r="V915" s="16" t="s">
        <v>4076</v>
      </c>
      <c r="W915" s="16" t="s">
        <v>491</v>
      </c>
      <c r="X915" s="16" t="s">
        <v>181</v>
      </c>
      <c r="Y915" s="100"/>
      <c r="Z915" s="16" t="s">
        <v>181</v>
      </c>
    </row>
    <row r="916">
      <c r="A916" s="16">
        <v>13406.0</v>
      </c>
      <c r="B916" s="16" t="s">
        <v>4077</v>
      </c>
      <c r="C916" s="16">
        <v>0.53</v>
      </c>
      <c r="D916" s="174" t="s">
        <v>4078</v>
      </c>
      <c r="E916" s="16"/>
      <c r="F916" s="16">
        <v>547.0</v>
      </c>
      <c r="G916" s="16" t="s">
        <v>176</v>
      </c>
      <c r="H916" s="16" t="s">
        <v>25</v>
      </c>
      <c r="I916" s="16"/>
      <c r="J916" s="16"/>
      <c r="K916" s="16"/>
      <c r="L916" s="16"/>
      <c r="M916" s="16"/>
      <c r="N916" s="16"/>
      <c r="O916" s="16"/>
      <c r="P916" s="16"/>
      <c r="Q916" s="16"/>
      <c r="R916" s="16"/>
      <c r="S916" s="16">
        <v>-2.0</v>
      </c>
      <c r="T916" s="16"/>
      <c r="U916" s="16" t="s">
        <v>4079</v>
      </c>
      <c r="V916" s="16" t="s">
        <v>4080</v>
      </c>
      <c r="W916" s="16" t="s">
        <v>179</v>
      </c>
      <c r="X916" s="16" t="s">
        <v>181</v>
      </c>
      <c r="Y916" s="100"/>
      <c r="Z916" s="16" t="s">
        <v>181</v>
      </c>
    </row>
    <row r="917">
      <c r="A917" s="16">
        <v>13407.0</v>
      </c>
      <c r="B917" s="16" t="s">
        <v>4081</v>
      </c>
      <c r="C917" s="16">
        <v>0.97</v>
      </c>
      <c r="D917" s="174" t="s">
        <v>4082</v>
      </c>
      <c r="E917" s="16"/>
      <c r="F917" s="16">
        <v>547.0</v>
      </c>
      <c r="G917" s="16" t="s">
        <v>176</v>
      </c>
      <c r="H917" s="16" t="s">
        <v>16</v>
      </c>
      <c r="I917" s="16"/>
      <c r="J917" s="16"/>
      <c r="K917" s="16"/>
      <c r="L917" s="16"/>
      <c r="M917" s="16"/>
      <c r="N917" s="16"/>
      <c r="O917" s="16"/>
      <c r="P917" s="16"/>
      <c r="Q917" s="16"/>
      <c r="R917" s="16"/>
      <c r="S917" s="16">
        <v>-2.0</v>
      </c>
      <c r="T917" s="16"/>
      <c r="U917" s="16" t="s">
        <v>4083</v>
      </c>
      <c r="V917" s="16" t="s">
        <v>4084</v>
      </c>
      <c r="W917" s="16" t="s">
        <v>942</v>
      </c>
      <c r="X917" s="16" t="s">
        <v>181</v>
      </c>
      <c r="Y917" s="100"/>
      <c r="Z917" s="16" t="s">
        <v>181</v>
      </c>
    </row>
    <row r="918">
      <c r="A918" s="16">
        <v>13408.0</v>
      </c>
      <c r="B918" s="16" t="s">
        <v>4085</v>
      </c>
      <c r="C918" s="16">
        <v>1.01</v>
      </c>
      <c r="D918" s="174" t="s">
        <v>4086</v>
      </c>
      <c r="E918" s="16"/>
      <c r="F918" s="16">
        <v>568.0</v>
      </c>
      <c r="G918" s="16" t="s">
        <v>1452</v>
      </c>
      <c r="H918" s="16" t="s">
        <v>17</v>
      </c>
      <c r="I918" s="16"/>
      <c r="J918" s="16"/>
      <c r="K918" s="16"/>
      <c r="L918" s="16"/>
      <c r="M918" s="16"/>
      <c r="N918" s="16"/>
      <c r="O918" s="16"/>
      <c r="P918" s="16"/>
      <c r="Q918" s="16"/>
      <c r="R918" s="16"/>
      <c r="S918" s="16">
        <v>-2.0</v>
      </c>
      <c r="T918" s="16"/>
      <c r="U918" s="16" t="s">
        <v>4087</v>
      </c>
      <c r="V918" s="16" t="s">
        <v>4088</v>
      </c>
      <c r="W918" s="16" t="s">
        <v>188</v>
      </c>
      <c r="X918" s="16" t="s">
        <v>181</v>
      </c>
      <c r="Y918" s="100"/>
      <c r="Z918" s="16" t="s">
        <v>181</v>
      </c>
    </row>
    <row r="919">
      <c r="A919" s="16">
        <v>13409.0</v>
      </c>
      <c r="B919" s="16" t="s">
        <v>4089</v>
      </c>
      <c r="C919" s="16">
        <v>1.91</v>
      </c>
      <c r="D919" s="174" t="s">
        <v>4090</v>
      </c>
      <c r="E919" s="16"/>
      <c r="F919" s="16">
        <v>548.0</v>
      </c>
      <c r="G919" s="16" t="s">
        <v>126</v>
      </c>
      <c r="H919" s="16" t="s">
        <v>17</v>
      </c>
      <c r="I919" s="16" t="s">
        <v>19</v>
      </c>
      <c r="J919" s="16"/>
      <c r="K919" s="16"/>
      <c r="L919" s="16"/>
      <c r="M919" s="16"/>
      <c r="N919" s="16"/>
      <c r="O919" s="16"/>
      <c r="P919" s="16"/>
      <c r="Q919" s="16"/>
      <c r="R919" s="16"/>
      <c r="S919" s="16">
        <v>-2.0</v>
      </c>
      <c r="T919" s="16"/>
      <c r="U919" s="16" t="s">
        <v>4091</v>
      </c>
      <c r="V919" s="16" t="s">
        <v>4092</v>
      </c>
      <c r="W919" s="16" t="s">
        <v>188</v>
      </c>
      <c r="X919" s="16" t="s">
        <v>181</v>
      </c>
      <c r="Y919" s="100"/>
      <c r="Z919" s="16" t="s">
        <v>181</v>
      </c>
    </row>
    <row r="920">
      <c r="A920" s="16">
        <v>13410.0</v>
      </c>
      <c r="B920" s="16" t="s">
        <v>4093</v>
      </c>
      <c r="C920" s="16">
        <v>0.0</v>
      </c>
      <c r="D920" s="174" t="s">
        <v>4094</v>
      </c>
      <c r="E920" s="16"/>
      <c r="F920" s="16">
        <v>547.0</v>
      </c>
      <c r="G920" s="16" t="s">
        <v>176</v>
      </c>
      <c r="H920" s="16" t="s">
        <v>14</v>
      </c>
      <c r="I920" s="16"/>
      <c r="J920" s="16"/>
      <c r="K920" s="16"/>
      <c r="L920" s="16"/>
      <c r="M920" s="16"/>
      <c r="N920" s="16"/>
      <c r="O920" s="16"/>
      <c r="P920" s="16"/>
      <c r="Q920" s="16"/>
      <c r="R920" s="16"/>
      <c r="S920" s="16">
        <v>-2.0</v>
      </c>
      <c r="T920" s="16"/>
      <c r="U920" s="16" t="s">
        <v>4095</v>
      </c>
      <c r="V920" s="16" t="s">
        <v>4096</v>
      </c>
      <c r="W920" s="16" t="s">
        <v>661</v>
      </c>
      <c r="X920" s="16" t="s">
        <v>181</v>
      </c>
      <c r="Y920" s="100"/>
      <c r="Z920" s="16" t="s">
        <v>181</v>
      </c>
    </row>
    <row r="921">
      <c r="A921" s="16">
        <v>13411.0</v>
      </c>
      <c r="B921" s="16" t="s">
        <v>4097</v>
      </c>
      <c r="C921" s="16">
        <v>0.0</v>
      </c>
      <c r="D921" s="174" t="s">
        <v>4098</v>
      </c>
      <c r="E921" s="16"/>
      <c r="F921" s="16">
        <v>547.0</v>
      </c>
      <c r="G921" s="16" t="s">
        <v>176</v>
      </c>
      <c r="H921" s="16" t="s">
        <v>25</v>
      </c>
      <c r="I921" s="16" t="s">
        <v>26</v>
      </c>
      <c r="J921" s="16"/>
      <c r="K921" s="16"/>
      <c r="L921" s="16"/>
      <c r="M921" s="16"/>
      <c r="N921" s="16"/>
      <c r="O921" s="16"/>
      <c r="P921" s="16"/>
      <c r="Q921" s="16"/>
      <c r="R921" s="16"/>
      <c r="S921" s="16">
        <v>-2.0</v>
      </c>
      <c r="T921" s="16"/>
      <c r="U921" s="16" t="s">
        <v>4099</v>
      </c>
      <c r="V921" s="16" t="s">
        <v>4100</v>
      </c>
      <c r="W921" s="16" t="s">
        <v>199</v>
      </c>
      <c r="X921" s="16" t="s">
        <v>181</v>
      </c>
      <c r="Y921" s="100"/>
      <c r="Z921" s="16" t="s">
        <v>181</v>
      </c>
    </row>
    <row r="922">
      <c r="A922" s="16">
        <v>13412.0</v>
      </c>
      <c r="B922" s="16" t="s">
        <v>4101</v>
      </c>
      <c r="C922" s="16">
        <v>0.0</v>
      </c>
      <c r="D922" s="174" t="s">
        <v>4102</v>
      </c>
      <c r="E922" s="16"/>
      <c r="F922" s="16">
        <v>547.0</v>
      </c>
      <c r="G922" s="16" t="s">
        <v>176</v>
      </c>
      <c r="H922" s="16" t="s">
        <v>16</v>
      </c>
      <c r="I922" s="16"/>
      <c r="J922" s="16"/>
      <c r="K922" s="16"/>
      <c r="L922" s="16"/>
      <c r="M922" s="16"/>
      <c r="N922" s="16"/>
      <c r="O922" s="16"/>
      <c r="P922" s="16"/>
      <c r="Q922" s="16"/>
      <c r="R922" s="16"/>
      <c r="S922" s="16">
        <v>-2.0</v>
      </c>
      <c r="T922" s="16"/>
      <c r="U922" s="16" t="s">
        <v>4103</v>
      </c>
      <c r="V922" s="16" t="s">
        <v>4104</v>
      </c>
      <c r="W922" s="16" t="s">
        <v>332</v>
      </c>
      <c r="X922" s="16" t="s">
        <v>181</v>
      </c>
      <c r="Y922" s="100"/>
      <c r="Z922" s="16" t="s">
        <v>181</v>
      </c>
    </row>
    <row r="923">
      <c r="A923" s="16">
        <v>13413.0</v>
      </c>
      <c r="B923" s="16" t="s">
        <v>4105</v>
      </c>
      <c r="C923" s="16">
        <v>1.24</v>
      </c>
      <c r="D923" s="174" t="s">
        <v>4106</v>
      </c>
      <c r="E923" s="16"/>
      <c r="F923" s="16">
        <v>566.0</v>
      </c>
      <c r="G923" s="16" t="s">
        <v>277</v>
      </c>
      <c r="H923" s="16" t="s">
        <v>25</v>
      </c>
      <c r="I923" s="16"/>
      <c r="J923" s="16"/>
      <c r="K923" s="16"/>
      <c r="L923" s="16"/>
      <c r="M923" s="16"/>
      <c r="N923" s="16"/>
      <c r="O923" s="16"/>
      <c r="P923" s="16"/>
      <c r="Q923" s="16"/>
      <c r="R923" s="16"/>
      <c r="S923" s="16">
        <v>-2.0</v>
      </c>
      <c r="T923" s="16"/>
      <c r="U923" s="16" t="s">
        <v>4107</v>
      </c>
      <c r="V923" s="16" t="s">
        <v>4108</v>
      </c>
      <c r="W923" s="16" t="s">
        <v>231</v>
      </c>
      <c r="X923" s="16" t="s">
        <v>181</v>
      </c>
      <c r="Y923" s="100"/>
      <c r="Z923" s="16" t="s">
        <v>181</v>
      </c>
    </row>
    <row r="924">
      <c r="A924" s="16">
        <v>13414.0</v>
      </c>
      <c r="B924" s="16" t="s">
        <v>4109</v>
      </c>
      <c r="C924" s="16">
        <v>0.22</v>
      </c>
      <c r="D924" s="174" t="s">
        <v>4110</v>
      </c>
      <c r="E924" s="16"/>
      <c r="F924" s="16">
        <v>547.0</v>
      </c>
      <c r="G924" s="16" t="s">
        <v>176</v>
      </c>
      <c r="H924" s="16" t="s">
        <v>25</v>
      </c>
      <c r="I924" s="16"/>
      <c r="J924" s="16"/>
      <c r="K924" s="16"/>
      <c r="L924" s="16"/>
      <c r="M924" s="16"/>
      <c r="N924" s="16"/>
      <c r="O924" s="16"/>
      <c r="P924" s="16"/>
      <c r="Q924" s="16"/>
      <c r="R924" s="16"/>
      <c r="S924" s="16">
        <v>-2.0</v>
      </c>
      <c r="T924" s="16"/>
      <c r="U924" s="16" t="s">
        <v>4111</v>
      </c>
      <c r="V924" s="16" t="s">
        <v>4112</v>
      </c>
      <c r="W924" s="16" t="s">
        <v>491</v>
      </c>
      <c r="X924" s="16" t="s">
        <v>181</v>
      </c>
      <c r="Y924" s="100"/>
      <c r="Z924" s="16" t="s">
        <v>181</v>
      </c>
    </row>
    <row r="925">
      <c r="A925" s="16">
        <v>13415.0</v>
      </c>
      <c r="B925" s="16" t="s">
        <v>4113</v>
      </c>
      <c r="C925" s="16">
        <v>0.0</v>
      </c>
      <c r="D925" s="174" t="s">
        <v>4114</v>
      </c>
      <c r="E925" s="16"/>
      <c r="F925" s="16">
        <v>547.0</v>
      </c>
      <c r="G925" s="16" t="s">
        <v>176</v>
      </c>
      <c r="H925" s="16" t="s">
        <v>25</v>
      </c>
      <c r="I925" s="16"/>
      <c r="J925" s="16"/>
      <c r="K925" s="16"/>
      <c r="L925" s="16"/>
      <c r="M925" s="16"/>
      <c r="N925" s="16"/>
      <c r="O925" s="16"/>
      <c r="P925" s="16"/>
      <c r="Q925" s="16"/>
      <c r="R925" s="16"/>
      <c r="S925" s="16">
        <v>-2.0</v>
      </c>
      <c r="T925" s="16"/>
      <c r="U925" s="16" t="s">
        <v>4115</v>
      </c>
      <c r="V925" s="16" t="s">
        <v>4116</v>
      </c>
      <c r="W925" s="16" t="s">
        <v>360</v>
      </c>
      <c r="X925" s="16" t="s">
        <v>181</v>
      </c>
      <c r="Y925" s="100"/>
      <c r="Z925" s="16" t="s">
        <v>181</v>
      </c>
    </row>
    <row r="926">
      <c r="A926" s="16">
        <v>13416.0</v>
      </c>
      <c r="B926" s="16" t="s">
        <v>4117</v>
      </c>
      <c r="C926" s="16">
        <v>0.26</v>
      </c>
      <c r="D926" s="174" t="s">
        <v>4118</v>
      </c>
      <c r="E926" s="16"/>
      <c r="F926" s="16">
        <v>547.0</v>
      </c>
      <c r="G926" s="16" t="s">
        <v>176</v>
      </c>
      <c r="H926" s="16" t="s">
        <v>18</v>
      </c>
      <c r="I926" s="16"/>
      <c r="J926" s="16"/>
      <c r="K926" s="16"/>
      <c r="L926" s="16"/>
      <c r="M926" s="16"/>
      <c r="N926" s="16"/>
      <c r="O926" s="16"/>
      <c r="P926" s="16"/>
      <c r="Q926" s="16"/>
      <c r="R926" s="16"/>
      <c r="S926" s="16">
        <v>-2.0</v>
      </c>
      <c r="T926" s="16"/>
      <c r="U926" s="16" t="s">
        <v>4119</v>
      </c>
      <c r="V926" s="16" t="s">
        <v>4120</v>
      </c>
      <c r="W926" s="16" t="s">
        <v>942</v>
      </c>
      <c r="X926" s="16" t="s">
        <v>181</v>
      </c>
      <c r="Y926" s="100"/>
      <c r="Z926" s="16" t="s">
        <v>181</v>
      </c>
    </row>
    <row r="927">
      <c r="A927" s="16">
        <v>13417.0</v>
      </c>
      <c r="B927" s="16" t="s">
        <v>4121</v>
      </c>
      <c r="C927" s="16">
        <v>0.51</v>
      </c>
      <c r="D927" s="174" t="s">
        <v>4122</v>
      </c>
      <c r="E927" s="16"/>
      <c r="F927" s="16">
        <v>547.0</v>
      </c>
      <c r="G927" s="16" t="s">
        <v>176</v>
      </c>
      <c r="H927" s="16" t="s">
        <v>25</v>
      </c>
      <c r="I927" s="16"/>
      <c r="J927" s="16"/>
      <c r="K927" s="16"/>
      <c r="L927" s="16"/>
      <c r="M927" s="16"/>
      <c r="N927" s="16"/>
      <c r="O927" s="16"/>
      <c r="P927" s="16"/>
      <c r="Q927" s="16"/>
      <c r="R927" s="16"/>
      <c r="S927" s="16">
        <v>-2.0</v>
      </c>
      <c r="T927" s="16"/>
      <c r="U927" s="16" t="s">
        <v>4123</v>
      </c>
      <c r="V927" s="16" t="s">
        <v>4124</v>
      </c>
      <c r="W927" s="16" t="s">
        <v>231</v>
      </c>
      <c r="X927" s="16" t="s">
        <v>181</v>
      </c>
      <c r="Y927" s="100"/>
      <c r="Z927" s="16" t="s">
        <v>181</v>
      </c>
    </row>
    <row r="928">
      <c r="A928" s="16">
        <v>13418.0</v>
      </c>
      <c r="B928" s="16" t="s">
        <v>4125</v>
      </c>
      <c r="C928" s="16">
        <v>0.88</v>
      </c>
      <c r="D928" s="174" t="s">
        <v>4126</v>
      </c>
      <c r="E928" s="16"/>
      <c r="F928" s="16">
        <v>568.0</v>
      </c>
      <c r="G928" s="16" t="s">
        <v>1452</v>
      </c>
      <c r="H928" s="16" t="s">
        <v>24</v>
      </c>
      <c r="I928" s="16" t="s">
        <v>25</v>
      </c>
      <c r="J928" s="16"/>
      <c r="K928" s="16"/>
      <c r="L928" s="16"/>
      <c r="M928" s="16"/>
      <c r="N928" s="16"/>
      <c r="O928" s="16"/>
      <c r="P928" s="16"/>
      <c r="Q928" s="16"/>
      <c r="R928" s="16"/>
      <c r="S928" s="16">
        <v>-2.0</v>
      </c>
      <c r="T928" s="16"/>
      <c r="U928" s="16" t="s">
        <v>4127</v>
      </c>
      <c r="V928" s="16" t="s">
        <v>4128</v>
      </c>
      <c r="W928" s="16" t="s">
        <v>188</v>
      </c>
      <c r="X928" s="16" t="s">
        <v>181</v>
      </c>
      <c r="Y928" s="100"/>
      <c r="Z928" s="16" t="s">
        <v>181</v>
      </c>
    </row>
    <row r="929">
      <c r="A929" s="16">
        <v>13419.0</v>
      </c>
      <c r="B929" s="16" t="s">
        <v>4129</v>
      </c>
      <c r="C929" s="16">
        <v>0.0</v>
      </c>
      <c r="D929" s="174" t="s">
        <v>4130</v>
      </c>
      <c r="E929" s="16"/>
      <c r="F929" s="16">
        <v>547.0</v>
      </c>
      <c r="G929" s="16" t="s">
        <v>176</v>
      </c>
      <c r="H929" s="16" t="s">
        <v>12</v>
      </c>
      <c r="I929" s="16"/>
      <c r="J929" s="16"/>
      <c r="K929" s="16"/>
      <c r="L929" s="16"/>
      <c r="M929" s="16"/>
      <c r="N929" s="16"/>
      <c r="O929" s="16"/>
      <c r="P929" s="16"/>
      <c r="Q929" s="16"/>
      <c r="R929" s="16"/>
      <c r="S929" s="16">
        <v>-2.0</v>
      </c>
      <c r="T929" s="16"/>
      <c r="U929" s="16" t="s">
        <v>4131</v>
      </c>
      <c r="V929" s="16" t="s">
        <v>4132</v>
      </c>
      <c r="W929" s="16" t="s">
        <v>751</v>
      </c>
      <c r="X929" s="16" t="s">
        <v>181</v>
      </c>
      <c r="Y929" s="100"/>
      <c r="Z929" s="16" t="s">
        <v>181</v>
      </c>
    </row>
    <row r="930">
      <c r="A930" s="16">
        <v>13420.0</v>
      </c>
      <c r="B930" s="16" t="s">
        <v>4133</v>
      </c>
      <c r="C930" s="16">
        <v>1.71</v>
      </c>
      <c r="D930" s="174" t="s">
        <v>4134</v>
      </c>
      <c r="E930" s="16"/>
      <c r="F930" s="16">
        <v>547.0</v>
      </c>
      <c r="G930" s="16" t="s">
        <v>176</v>
      </c>
      <c r="H930" s="16" t="s">
        <v>18</v>
      </c>
      <c r="I930" s="16" t="s">
        <v>16</v>
      </c>
      <c r="J930" s="16" t="s">
        <v>14</v>
      </c>
      <c r="K930" s="16"/>
      <c r="L930" s="16"/>
      <c r="M930" s="16"/>
      <c r="N930" s="16"/>
      <c r="O930" s="16"/>
      <c r="P930" s="16"/>
      <c r="Q930" s="16"/>
      <c r="R930" s="16"/>
      <c r="S930" s="16">
        <v>-2.0</v>
      </c>
      <c r="T930" s="16"/>
      <c r="U930" s="16" t="s">
        <v>4135</v>
      </c>
      <c r="V930" s="16" t="s">
        <v>4136</v>
      </c>
      <c r="W930" s="16" t="s">
        <v>591</v>
      </c>
      <c r="X930" s="16" t="s">
        <v>181</v>
      </c>
      <c r="Y930" s="100"/>
      <c r="Z930" s="16" t="s">
        <v>181</v>
      </c>
    </row>
    <row r="931">
      <c r="A931" s="16">
        <v>13421.0</v>
      </c>
      <c r="B931" s="16" t="s">
        <v>4137</v>
      </c>
      <c r="C931" s="16">
        <v>0.0</v>
      </c>
      <c r="D931" s="174" t="s">
        <v>4138</v>
      </c>
      <c r="E931" s="16"/>
      <c r="F931" s="16">
        <v>547.0</v>
      </c>
      <c r="G931" s="16" t="s">
        <v>176</v>
      </c>
      <c r="H931" s="16" t="s">
        <v>24</v>
      </c>
      <c r="I931" s="16" t="s">
        <v>25</v>
      </c>
      <c r="J931" s="16"/>
      <c r="K931" s="16"/>
      <c r="L931" s="16"/>
      <c r="M931" s="16"/>
      <c r="N931" s="16"/>
      <c r="O931" s="16"/>
      <c r="P931" s="16"/>
      <c r="Q931" s="16"/>
      <c r="R931" s="16"/>
      <c r="S931" s="16">
        <v>-2.0</v>
      </c>
      <c r="T931" s="16"/>
      <c r="U931" s="16" t="s">
        <v>4139</v>
      </c>
      <c r="V931" s="16" t="s">
        <v>4140</v>
      </c>
      <c r="W931" s="16" t="s">
        <v>199</v>
      </c>
      <c r="X931" s="16" t="s">
        <v>181</v>
      </c>
      <c r="Y931" s="100"/>
      <c r="Z931" s="16" t="s">
        <v>181</v>
      </c>
    </row>
    <row r="932">
      <c r="A932" s="16">
        <v>13422.0</v>
      </c>
      <c r="B932" s="16" t="s">
        <v>4141</v>
      </c>
      <c r="C932" s="16">
        <v>0.9</v>
      </c>
      <c r="D932" s="174" t="s">
        <v>4142</v>
      </c>
      <c r="E932" s="16"/>
      <c r="F932" s="16">
        <v>556.0</v>
      </c>
      <c r="G932" s="16" t="s">
        <v>1317</v>
      </c>
      <c r="H932" s="16" t="s">
        <v>25</v>
      </c>
      <c r="I932" s="16" t="s">
        <v>26</v>
      </c>
      <c r="J932" s="16"/>
      <c r="K932" s="16"/>
      <c r="L932" s="16"/>
      <c r="M932" s="16"/>
      <c r="N932" s="16"/>
      <c r="O932" s="16"/>
      <c r="P932" s="16"/>
      <c r="Q932" s="16"/>
      <c r="R932" s="16"/>
      <c r="S932" s="16">
        <v>-2.0</v>
      </c>
      <c r="T932" s="16"/>
      <c r="U932" s="16" t="s">
        <v>4143</v>
      </c>
      <c r="V932" s="16" t="s">
        <v>4144</v>
      </c>
      <c r="W932" s="16" t="s">
        <v>634</v>
      </c>
      <c r="X932" s="16" t="s">
        <v>181</v>
      </c>
      <c r="Y932" s="100"/>
      <c r="Z932" s="16" t="s">
        <v>181</v>
      </c>
    </row>
    <row r="933">
      <c r="A933" s="16">
        <v>13423.0</v>
      </c>
      <c r="B933" s="16" t="s">
        <v>4145</v>
      </c>
      <c r="C933" s="16">
        <v>0.0</v>
      </c>
      <c r="D933" s="174" t="s">
        <v>4146</v>
      </c>
      <c r="E933" s="16"/>
      <c r="F933" s="16">
        <v>571.0</v>
      </c>
      <c r="G933" s="16" t="s">
        <v>686</v>
      </c>
      <c r="H933" s="16" t="s">
        <v>25</v>
      </c>
      <c r="I933" s="16"/>
      <c r="J933" s="16"/>
      <c r="K933" s="16"/>
      <c r="L933" s="16"/>
      <c r="M933" s="16"/>
      <c r="N933" s="16"/>
      <c r="O933" s="16"/>
      <c r="P933" s="16"/>
      <c r="Q933" s="16"/>
      <c r="R933" s="16"/>
      <c r="S933" s="16">
        <v>-2.0</v>
      </c>
      <c r="T933" s="16"/>
      <c r="U933" s="16" t="s">
        <v>4147</v>
      </c>
      <c r="V933" s="16" t="s">
        <v>4148</v>
      </c>
      <c r="W933" s="16" t="s">
        <v>199</v>
      </c>
      <c r="X933" s="16" t="s">
        <v>181</v>
      </c>
      <c r="Y933" s="100"/>
      <c r="Z933" s="16" t="s">
        <v>181</v>
      </c>
    </row>
    <row r="934">
      <c r="A934" s="16">
        <v>13424.0</v>
      </c>
      <c r="B934" s="16" t="s">
        <v>4149</v>
      </c>
      <c r="C934" s="16">
        <v>0.0</v>
      </c>
      <c r="D934" s="174" t="s">
        <v>4150</v>
      </c>
      <c r="E934" s="16"/>
      <c r="F934" s="16">
        <v>547.0</v>
      </c>
      <c r="G934" s="16" t="s">
        <v>176</v>
      </c>
      <c r="H934" s="16" t="s">
        <v>19</v>
      </c>
      <c r="I934" s="16" t="s">
        <v>17</v>
      </c>
      <c r="J934" s="16" t="s">
        <v>18</v>
      </c>
      <c r="K934" s="16"/>
      <c r="L934" s="16"/>
      <c r="M934" s="16"/>
      <c r="N934" s="16"/>
      <c r="O934" s="16"/>
      <c r="P934" s="16"/>
      <c r="Q934" s="16"/>
      <c r="R934" s="16"/>
      <c r="S934" s="16">
        <v>-2.0</v>
      </c>
      <c r="T934" s="16"/>
      <c r="U934" s="16" t="s">
        <v>4151</v>
      </c>
      <c r="V934" s="16" t="s">
        <v>4152</v>
      </c>
      <c r="W934" s="16" t="s">
        <v>491</v>
      </c>
      <c r="X934" s="16" t="s">
        <v>181</v>
      </c>
      <c r="Y934" s="100"/>
      <c r="Z934" s="16" t="s">
        <v>181</v>
      </c>
    </row>
    <row r="935">
      <c r="A935" s="16">
        <v>13425.0</v>
      </c>
      <c r="B935" s="16" t="s">
        <v>4153</v>
      </c>
      <c r="C935" s="16">
        <v>1.12</v>
      </c>
      <c r="D935" s="174" t="s">
        <v>4154</v>
      </c>
      <c r="E935" s="16"/>
      <c r="F935" s="16">
        <v>587.0</v>
      </c>
      <c r="G935" s="16" t="s">
        <v>289</v>
      </c>
      <c r="H935" s="16" t="s">
        <v>25</v>
      </c>
      <c r="I935" s="16"/>
      <c r="J935" s="16"/>
      <c r="K935" s="16"/>
      <c r="L935" s="16"/>
      <c r="M935" s="16"/>
      <c r="N935" s="16"/>
      <c r="O935" s="16"/>
      <c r="P935" s="16"/>
      <c r="Q935" s="16"/>
      <c r="R935" s="16"/>
      <c r="S935" s="16">
        <v>-2.0</v>
      </c>
      <c r="T935" s="16"/>
      <c r="U935" s="16" t="s">
        <v>4155</v>
      </c>
      <c r="V935" s="16" t="s">
        <v>4156</v>
      </c>
      <c r="W935" s="16" t="s">
        <v>332</v>
      </c>
      <c r="X935" s="16" t="s">
        <v>181</v>
      </c>
      <c r="Y935" s="100"/>
      <c r="Z935" s="16" t="s">
        <v>181</v>
      </c>
    </row>
    <row r="936">
      <c r="A936" s="16">
        <v>13426.0</v>
      </c>
      <c r="B936" s="16" t="s">
        <v>4157</v>
      </c>
      <c r="C936" s="16">
        <v>0.0</v>
      </c>
      <c r="D936" s="174" t="s">
        <v>4158</v>
      </c>
      <c r="E936" s="16"/>
      <c r="F936" s="16">
        <v>547.0</v>
      </c>
      <c r="G936" s="16" t="s">
        <v>176</v>
      </c>
      <c r="H936" s="16" t="s">
        <v>25</v>
      </c>
      <c r="I936" s="16"/>
      <c r="J936" s="16"/>
      <c r="K936" s="16"/>
      <c r="L936" s="16"/>
      <c r="M936" s="16"/>
      <c r="N936" s="16"/>
      <c r="O936" s="16"/>
      <c r="P936" s="16"/>
      <c r="Q936" s="16"/>
      <c r="R936" s="16"/>
      <c r="S936" s="16">
        <v>-2.0</v>
      </c>
      <c r="T936" s="16"/>
      <c r="U936" s="16" t="s">
        <v>4159</v>
      </c>
      <c r="V936" s="16" t="s">
        <v>4160</v>
      </c>
      <c r="W936" s="16" t="s">
        <v>199</v>
      </c>
      <c r="X936" s="16" t="s">
        <v>181</v>
      </c>
      <c r="Y936" s="100"/>
      <c r="Z936" s="16" t="s">
        <v>181</v>
      </c>
    </row>
    <row r="937">
      <c r="A937" s="16">
        <v>13427.0</v>
      </c>
      <c r="B937" s="16" t="s">
        <v>4161</v>
      </c>
      <c r="C937" s="16">
        <v>0.94</v>
      </c>
      <c r="D937" s="174" t="s">
        <v>4162</v>
      </c>
      <c r="E937" s="16"/>
      <c r="F937" s="16">
        <v>554.0</v>
      </c>
      <c r="G937" s="16" t="s">
        <v>215</v>
      </c>
      <c r="H937" s="16" t="s">
        <v>12</v>
      </c>
      <c r="I937" s="16"/>
      <c r="J937" s="16"/>
      <c r="K937" s="16"/>
      <c r="L937" s="16"/>
      <c r="M937" s="16"/>
      <c r="N937" s="16"/>
      <c r="O937" s="16"/>
      <c r="P937" s="16"/>
      <c r="Q937" s="16"/>
      <c r="R937" s="16"/>
      <c r="S937" s="16">
        <v>-2.0</v>
      </c>
      <c r="T937" s="16"/>
      <c r="U937" s="16" t="s">
        <v>4163</v>
      </c>
      <c r="V937" s="16" t="s">
        <v>4164</v>
      </c>
      <c r="W937" s="16" t="s">
        <v>259</v>
      </c>
      <c r="X937" s="16" t="s">
        <v>181</v>
      </c>
      <c r="Y937" s="100"/>
      <c r="Z937" s="16" t="s">
        <v>181</v>
      </c>
    </row>
    <row r="938">
      <c r="A938" s="16">
        <v>13428.0</v>
      </c>
      <c r="B938" s="16" t="s">
        <v>4165</v>
      </c>
      <c r="C938" s="16">
        <v>0.25</v>
      </c>
      <c r="D938" s="174" t="s">
        <v>4166</v>
      </c>
      <c r="E938" s="16"/>
      <c r="F938" s="16">
        <v>547.0</v>
      </c>
      <c r="G938" s="16" t="s">
        <v>176</v>
      </c>
      <c r="H938" s="16" t="s">
        <v>19</v>
      </c>
      <c r="I938" s="16" t="s">
        <v>17</v>
      </c>
      <c r="J938" s="16" t="s">
        <v>18</v>
      </c>
      <c r="K938" s="16"/>
      <c r="L938" s="16"/>
      <c r="M938" s="16"/>
      <c r="N938" s="16"/>
      <c r="O938" s="16"/>
      <c r="P938" s="16"/>
      <c r="Q938" s="16"/>
      <c r="R938" s="16"/>
      <c r="S938" s="16">
        <v>-2.0</v>
      </c>
      <c r="T938" s="16"/>
      <c r="U938" s="16" t="s">
        <v>4167</v>
      </c>
      <c r="V938" s="16" t="s">
        <v>4168</v>
      </c>
      <c r="W938" s="16" t="s">
        <v>179</v>
      </c>
      <c r="X938" s="16" t="s">
        <v>181</v>
      </c>
      <c r="Y938" s="100"/>
      <c r="Z938" s="16" t="s">
        <v>181</v>
      </c>
    </row>
    <row r="939">
      <c r="A939" s="16">
        <v>13429.0</v>
      </c>
      <c r="B939" s="16" t="s">
        <v>43</v>
      </c>
      <c r="C939" s="16">
        <v>1.61</v>
      </c>
      <c r="D939" s="174" t="s">
        <v>4169</v>
      </c>
      <c r="E939" s="16"/>
      <c r="F939" s="16">
        <v>548.0</v>
      </c>
      <c r="G939" s="16" t="s">
        <v>126</v>
      </c>
      <c r="H939" s="16" t="s">
        <v>16</v>
      </c>
      <c r="I939" s="16"/>
      <c r="J939" s="16"/>
      <c r="K939" s="16"/>
      <c r="L939" s="16"/>
      <c r="M939" s="16"/>
      <c r="N939" s="16"/>
      <c r="O939" s="16"/>
      <c r="P939" s="16"/>
      <c r="Q939" s="16"/>
      <c r="R939" s="16"/>
      <c r="S939" s="16">
        <v>-2.0</v>
      </c>
      <c r="T939" s="16"/>
      <c r="U939" s="16" t="s">
        <v>4170</v>
      </c>
      <c r="V939" s="16" t="s">
        <v>4171</v>
      </c>
      <c r="W939" s="16" t="s">
        <v>491</v>
      </c>
      <c r="X939" s="16" t="s">
        <v>181</v>
      </c>
      <c r="Y939" s="100"/>
      <c r="Z939" s="16" t="s">
        <v>181</v>
      </c>
    </row>
    <row r="940">
      <c r="A940" s="16">
        <v>13430.0</v>
      </c>
      <c r="B940" s="16" t="s">
        <v>4172</v>
      </c>
      <c r="C940" s="16">
        <v>0.56</v>
      </c>
      <c r="D940" s="174" t="s">
        <v>4173</v>
      </c>
      <c r="E940" s="16"/>
      <c r="F940" s="16">
        <v>551.0</v>
      </c>
      <c r="G940" s="16" t="s">
        <v>200</v>
      </c>
      <c r="H940" s="16" t="s">
        <v>18</v>
      </c>
      <c r="I940" s="16"/>
      <c r="J940" s="16"/>
      <c r="K940" s="16"/>
      <c r="L940" s="16"/>
      <c r="M940" s="16"/>
      <c r="N940" s="16"/>
      <c r="O940" s="16"/>
      <c r="P940" s="16"/>
      <c r="Q940" s="16"/>
      <c r="R940" s="16"/>
      <c r="S940" s="16">
        <v>-2.0</v>
      </c>
      <c r="T940" s="16"/>
      <c r="U940" s="16" t="s">
        <v>4174</v>
      </c>
      <c r="V940" s="16" t="s">
        <v>4175</v>
      </c>
      <c r="W940" s="16" t="s">
        <v>360</v>
      </c>
      <c r="X940" s="16" t="s">
        <v>181</v>
      </c>
      <c r="Y940" s="100"/>
      <c r="Z940" s="16" t="s">
        <v>181</v>
      </c>
    </row>
    <row r="941">
      <c r="A941" s="16">
        <v>13431.0</v>
      </c>
      <c r="B941" s="16" t="s">
        <v>4176</v>
      </c>
      <c r="C941" s="16">
        <v>0.2</v>
      </c>
      <c r="D941" s="174" t="s">
        <v>4177</v>
      </c>
      <c r="E941" s="16"/>
      <c r="F941" s="16">
        <v>547.0</v>
      </c>
      <c r="G941" s="16" t="s">
        <v>176</v>
      </c>
      <c r="H941" s="16" t="s">
        <v>25</v>
      </c>
      <c r="I941" s="16" t="s">
        <v>26</v>
      </c>
      <c r="J941" s="16"/>
      <c r="K941" s="16"/>
      <c r="L941" s="16"/>
      <c r="M941" s="16"/>
      <c r="N941" s="16"/>
      <c r="O941" s="16"/>
      <c r="P941" s="16"/>
      <c r="Q941" s="16"/>
      <c r="R941" s="16"/>
      <c r="S941" s="16">
        <v>-2.0</v>
      </c>
      <c r="T941" s="16"/>
      <c r="U941" s="16" t="s">
        <v>4178</v>
      </c>
      <c r="V941" s="16" t="s">
        <v>4179</v>
      </c>
      <c r="W941" s="16" t="s">
        <v>231</v>
      </c>
      <c r="X941" s="16" t="s">
        <v>181</v>
      </c>
      <c r="Y941" s="100"/>
      <c r="Z941" s="16" t="s">
        <v>181</v>
      </c>
    </row>
    <row r="942">
      <c r="A942" s="16">
        <v>13432.0</v>
      </c>
      <c r="B942" s="16" t="s">
        <v>4180</v>
      </c>
      <c r="C942" s="16">
        <v>0.94</v>
      </c>
      <c r="D942" s="174" t="s">
        <v>4181</v>
      </c>
      <c r="E942" s="16"/>
      <c r="F942" s="16">
        <v>547.0</v>
      </c>
      <c r="G942" s="16" t="s">
        <v>176</v>
      </c>
      <c r="H942" s="16" t="s">
        <v>17</v>
      </c>
      <c r="I942" s="16" t="s">
        <v>19</v>
      </c>
      <c r="J942" s="16"/>
      <c r="K942" s="16"/>
      <c r="L942" s="16"/>
      <c r="M942" s="16"/>
      <c r="N942" s="16"/>
      <c r="O942" s="16"/>
      <c r="P942" s="16"/>
      <c r="Q942" s="16"/>
      <c r="R942" s="16"/>
      <c r="S942" s="16">
        <v>-2.0</v>
      </c>
      <c r="T942" s="16"/>
      <c r="U942" s="16" t="s">
        <v>4182</v>
      </c>
      <c r="V942" s="16" t="s">
        <v>4183</v>
      </c>
      <c r="W942" s="16" t="s">
        <v>179</v>
      </c>
      <c r="X942" s="16" t="s">
        <v>181</v>
      </c>
      <c r="Y942" s="100"/>
      <c r="Z942" s="16" t="s">
        <v>181</v>
      </c>
    </row>
    <row r="943">
      <c r="A943" s="16">
        <v>13433.0</v>
      </c>
      <c r="B943" s="16" t="s">
        <v>4184</v>
      </c>
      <c r="C943" s="16">
        <v>1.35</v>
      </c>
      <c r="D943" s="174" t="s">
        <v>4185</v>
      </c>
      <c r="E943" s="16"/>
      <c r="F943" s="16">
        <v>593.0</v>
      </c>
      <c r="G943" s="16" t="s">
        <v>272</v>
      </c>
      <c r="H943" s="16" t="s">
        <v>25</v>
      </c>
      <c r="I943" s="16" t="s">
        <v>26</v>
      </c>
      <c r="J943" s="16"/>
      <c r="K943" s="16"/>
      <c r="L943" s="16"/>
      <c r="M943" s="16"/>
      <c r="N943" s="16"/>
      <c r="O943" s="16"/>
      <c r="P943" s="16"/>
      <c r="Q943" s="16"/>
      <c r="R943" s="16"/>
      <c r="S943" s="16">
        <v>-2.0</v>
      </c>
      <c r="T943" s="174" t="s">
        <v>4186</v>
      </c>
      <c r="U943" s="16" t="s">
        <v>4187</v>
      </c>
      <c r="V943" s="16" t="s">
        <v>4188</v>
      </c>
      <c r="W943" s="16" t="s">
        <v>634</v>
      </c>
      <c r="X943" s="16" t="s">
        <v>181</v>
      </c>
      <c r="Y943" s="100"/>
      <c r="Z943" s="16" t="s">
        <v>181</v>
      </c>
    </row>
    <row r="944">
      <c r="A944" s="16">
        <v>13434.0</v>
      </c>
      <c r="B944" s="16" t="s">
        <v>4189</v>
      </c>
      <c r="C944" s="16">
        <v>0.0</v>
      </c>
      <c r="D944" s="174" t="s">
        <v>4190</v>
      </c>
      <c r="E944" s="16"/>
      <c r="F944" s="16">
        <v>556.0</v>
      </c>
      <c r="G944" s="16" t="s">
        <v>1317</v>
      </c>
      <c r="H944" s="16" t="s">
        <v>24</v>
      </c>
      <c r="I944" s="16" t="s">
        <v>25</v>
      </c>
      <c r="J944" s="16" t="s">
        <v>26</v>
      </c>
      <c r="K944" s="16"/>
      <c r="L944" s="16"/>
      <c r="M944" s="16"/>
      <c r="N944" s="16"/>
      <c r="O944" s="16"/>
      <c r="P944" s="16"/>
      <c r="Q944" s="16"/>
      <c r="R944" s="16"/>
      <c r="S944" s="16">
        <v>-2.0</v>
      </c>
      <c r="T944" s="16"/>
      <c r="U944" s="16" t="s">
        <v>4191</v>
      </c>
      <c r="V944" s="16" t="s">
        <v>4192</v>
      </c>
      <c r="W944" s="16" t="s">
        <v>491</v>
      </c>
      <c r="X944" s="16" t="s">
        <v>181</v>
      </c>
      <c r="Y944" s="100"/>
      <c r="Z944" s="16" t="s">
        <v>181</v>
      </c>
    </row>
    <row r="945">
      <c r="A945" s="16">
        <v>13435.0</v>
      </c>
      <c r="B945" s="16" t="s">
        <v>4193</v>
      </c>
      <c r="C945" s="16">
        <v>0.36</v>
      </c>
      <c r="D945" s="174" t="s">
        <v>4194</v>
      </c>
      <c r="E945" s="16"/>
      <c r="F945" s="16">
        <v>593.0</v>
      </c>
      <c r="G945" s="16" t="s">
        <v>272</v>
      </c>
      <c r="H945" s="16" t="s">
        <v>24</v>
      </c>
      <c r="I945" s="16"/>
      <c r="J945" s="16"/>
      <c r="K945" s="16"/>
      <c r="L945" s="16"/>
      <c r="M945" s="16"/>
      <c r="N945" s="16"/>
      <c r="O945" s="16"/>
      <c r="P945" s="16"/>
      <c r="Q945" s="16"/>
      <c r="R945" s="16"/>
      <c r="S945" s="16">
        <v>-2.0</v>
      </c>
      <c r="T945" s="174" t="s">
        <v>4195</v>
      </c>
      <c r="U945" s="16" t="s">
        <v>4196</v>
      </c>
      <c r="V945" s="16" t="s">
        <v>4197</v>
      </c>
      <c r="W945" s="16" t="s">
        <v>443</v>
      </c>
      <c r="X945" s="16" t="s">
        <v>181</v>
      </c>
      <c r="Y945" s="100"/>
      <c r="Z945" s="16" t="s">
        <v>181</v>
      </c>
    </row>
    <row r="946">
      <c r="A946" s="16">
        <v>13436.0</v>
      </c>
      <c r="B946" s="16" t="s">
        <v>4198</v>
      </c>
      <c r="C946" s="16">
        <v>1.92</v>
      </c>
      <c r="D946" s="174" t="s">
        <v>4199</v>
      </c>
      <c r="E946" s="16"/>
      <c r="F946" s="16">
        <v>558.0</v>
      </c>
      <c r="G946" s="16" t="s">
        <v>2713</v>
      </c>
      <c r="H946" s="16" t="s">
        <v>16</v>
      </c>
      <c r="I946" s="16"/>
      <c r="J946" s="16"/>
      <c r="K946" s="16"/>
      <c r="L946" s="16"/>
      <c r="M946" s="16"/>
      <c r="N946" s="16"/>
      <c r="O946" s="16"/>
      <c r="P946" s="16"/>
      <c r="Q946" s="16"/>
      <c r="R946" s="16" t="s">
        <v>970</v>
      </c>
      <c r="S946" s="16">
        <v>-2.0</v>
      </c>
      <c r="T946" s="16"/>
      <c r="U946" s="16" t="s">
        <v>4200</v>
      </c>
      <c r="V946" s="16" t="s">
        <v>4201</v>
      </c>
      <c r="W946" s="16" t="s">
        <v>459</v>
      </c>
      <c r="X946" s="16" t="s">
        <v>181</v>
      </c>
      <c r="Y946" s="100"/>
      <c r="Z946" s="16" t="s">
        <v>181</v>
      </c>
    </row>
    <row r="947">
      <c r="A947" s="16">
        <v>13437.0</v>
      </c>
      <c r="B947" s="16" t="s">
        <v>4202</v>
      </c>
      <c r="C947" s="16">
        <v>2.93</v>
      </c>
      <c r="D947" s="174" t="s">
        <v>4203</v>
      </c>
      <c r="E947" s="16"/>
      <c r="F947" s="16">
        <v>579.0</v>
      </c>
      <c r="G947" s="16" t="s">
        <v>465</v>
      </c>
      <c r="H947" s="16" t="s">
        <v>24</v>
      </c>
      <c r="I947" s="16"/>
      <c r="J947" s="16"/>
      <c r="K947" s="16"/>
      <c r="L947" s="16"/>
      <c r="M947" s="16"/>
      <c r="N947" s="16"/>
      <c r="O947" s="16"/>
      <c r="P947" s="16"/>
      <c r="Q947" s="16"/>
      <c r="R947" s="16" t="s">
        <v>1923</v>
      </c>
      <c r="S947" s="16">
        <v>-2.0</v>
      </c>
      <c r="T947" s="16"/>
      <c r="U947" s="16" t="s">
        <v>4204</v>
      </c>
      <c r="V947" s="16" t="s">
        <v>4205</v>
      </c>
      <c r="W947" s="16" t="s">
        <v>942</v>
      </c>
      <c r="X947" s="16" t="s">
        <v>181</v>
      </c>
      <c r="Y947" s="100"/>
      <c r="Z947" s="16" t="s">
        <v>181</v>
      </c>
    </row>
    <row r="948">
      <c r="A948" s="16">
        <v>13438.0</v>
      </c>
      <c r="B948" s="16" t="s">
        <v>4206</v>
      </c>
      <c r="C948" s="16">
        <v>0.0</v>
      </c>
      <c r="D948" s="174" t="s">
        <v>4207</v>
      </c>
      <c r="E948" s="16"/>
      <c r="F948" s="16">
        <v>547.0</v>
      </c>
      <c r="G948" s="16" t="s">
        <v>176</v>
      </c>
      <c r="H948" s="16" t="s">
        <v>19</v>
      </c>
      <c r="I948" s="16" t="s">
        <v>17</v>
      </c>
      <c r="J948" s="16"/>
      <c r="K948" s="16"/>
      <c r="L948" s="16"/>
      <c r="M948" s="16"/>
      <c r="N948" s="16"/>
      <c r="O948" s="16"/>
      <c r="P948" s="16"/>
      <c r="Q948" s="16"/>
      <c r="R948" s="16"/>
      <c r="S948" s="16">
        <v>-2.0</v>
      </c>
      <c r="T948" s="16"/>
      <c r="U948" s="16" t="s">
        <v>4208</v>
      </c>
      <c r="V948" s="16" t="s">
        <v>4209</v>
      </c>
      <c r="W948" s="16" t="s">
        <v>199</v>
      </c>
      <c r="X948" s="16" t="s">
        <v>181</v>
      </c>
      <c r="Y948" s="100"/>
      <c r="Z948" s="16" t="s">
        <v>181</v>
      </c>
    </row>
    <row r="949">
      <c r="A949" s="16">
        <v>13439.0</v>
      </c>
      <c r="B949" s="16" t="s">
        <v>4210</v>
      </c>
      <c r="C949" s="16">
        <v>0.0</v>
      </c>
      <c r="D949" s="174" t="s">
        <v>4211</v>
      </c>
      <c r="E949" s="16"/>
      <c r="F949" s="16">
        <v>547.0</v>
      </c>
      <c r="G949" s="16" t="s">
        <v>176</v>
      </c>
      <c r="H949" s="16" t="s">
        <v>15</v>
      </c>
      <c r="I949" s="16" t="s">
        <v>13</v>
      </c>
      <c r="J949" s="16" t="s">
        <v>14</v>
      </c>
      <c r="K949" s="16"/>
      <c r="L949" s="16"/>
      <c r="M949" s="16"/>
      <c r="N949" s="16"/>
      <c r="O949" s="16"/>
      <c r="P949" s="16"/>
      <c r="Q949" s="16"/>
      <c r="R949" s="16"/>
      <c r="S949" s="16">
        <v>-2.0</v>
      </c>
      <c r="T949" s="16"/>
      <c r="U949" s="16" t="s">
        <v>4212</v>
      </c>
      <c r="V949" s="16" t="s">
        <v>4213</v>
      </c>
      <c r="W949" s="16" t="s">
        <v>332</v>
      </c>
      <c r="X949" s="16" t="s">
        <v>181</v>
      </c>
      <c r="Y949" s="100"/>
      <c r="Z949" s="16" t="s">
        <v>181</v>
      </c>
    </row>
    <row r="950">
      <c r="A950" s="16">
        <v>13440.0</v>
      </c>
      <c r="B950" s="16" t="s">
        <v>4214</v>
      </c>
      <c r="C950" s="16">
        <v>1.03</v>
      </c>
      <c r="D950" s="174" t="s">
        <v>4215</v>
      </c>
      <c r="E950" s="16"/>
      <c r="F950" s="16">
        <v>547.0</v>
      </c>
      <c r="G950" s="16" t="s">
        <v>176</v>
      </c>
      <c r="H950" s="16" t="s">
        <v>16</v>
      </c>
      <c r="I950" s="16"/>
      <c r="J950" s="16"/>
      <c r="K950" s="16"/>
      <c r="L950" s="16"/>
      <c r="M950" s="16"/>
      <c r="N950" s="16"/>
      <c r="O950" s="16"/>
      <c r="P950" s="16"/>
      <c r="Q950" s="16"/>
      <c r="R950" s="16"/>
      <c r="S950" s="16">
        <v>-2.0</v>
      </c>
      <c r="T950" s="16"/>
      <c r="U950" s="16" t="s">
        <v>4216</v>
      </c>
      <c r="V950" s="16" t="s">
        <v>4217</v>
      </c>
      <c r="W950" s="16" t="s">
        <v>199</v>
      </c>
      <c r="X950" s="16" t="s">
        <v>181</v>
      </c>
      <c r="Y950" s="100"/>
      <c r="Z950" s="16" t="s">
        <v>181</v>
      </c>
    </row>
    <row r="951">
      <c r="A951" s="16">
        <v>13441.0</v>
      </c>
      <c r="B951" s="16" t="s">
        <v>4218</v>
      </c>
      <c r="C951" s="16">
        <v>0.72</v>
      </c>
      <c r="D951" s="174" t="s">
        <v>4219</v>
      </c>
      <c r="E951" s="16"/>
      <c r="F951" s="16">
        <v>586.0</v>
      </c>
      <c r="G951" s="16" t="s">
        <v>623</v>
      </c>
      <c r="H951" s="16" t="s">
        <v>13</v>
      </c>
      <c r="I951" s="16"/>
      <c r="J951" s="16"/>
      <c r="K951" s="16"/>
      <c r="L951" s="16"/>
      <c r="M951" s="16"/>
      <c r="N951" s="16"/>
      <c r="O951" s="16"/>
      <c r="P951" s="16"/>
      <c r="Q951" s="16"/>
      <c r="R951" s="16"/>
      <c r="S951" s="16">
        <v>-2.0</v>
      </c>
      <c r="T951" s="16"/>
      <c r="U951" s="16" t="s">
        <v>4220</v>
      </c>
      <c r="V951" s="16" t="s">
        <v>4221</v>
      </c>
      <c r="W951" s="16" t="s">
        <v>422</v>
      </c>
      <c r="X951" s="16" t="s">
        <v>181</v>
      </c>
      <c r="Y951" s="100"/>
      <c r="Z951" s="16" t="s">
        <v>181</v>
      </c>
    </row>
    <row r="952">
      <c r="A952" s="16">
        <v>13442.0</v>
      </c>
      <c r="B952" s="16" t="s">
        <v>4222</v>
      </c>
      <c r="C952" s="16">
        <v>0.0</v>
      </c>
      <c r="D952" s="174" t="s">
        <v>4223</v>
      </c>
      <c r="E952" s="16"/>
      <c r="F952" s="16">
        <v>547.0</v>
      </c>
      <c r="G952" s="16" t="s">
        <v>176</v>
      </c>
      <c r="H952" s="16" t="s">
        <v>24</v>
      </c>
      <c r="I952" s="16"/>
      <c r="J952" s="16"/>
      <c r="K952" s="16"/>
      <c r="L952" s="16"/>
      <c r="M952" s="16"/>
      <c r="N952" s="16"/>
      <c r="O952" s="16"/>
      <c r="P952" s="16"/>
      <c r="Q952" s="16"/>
      <c r="R952" s="16"/>
      <c r="S952" s="16">
        <v>-2.0</v>
      </c>
      <c r="T952" s="16"/>
      <c r="U952" s="16" t="s">
        <v>4224</v>
      </c>
      <c r="V952" s="16" t="s">
        <v>4225</v>
      </c>
      <c r="W952" s="16" t="s">
        <v>360</v>
      </c>
      <c r="X952" s="16" t="s">
        <v>181</v>
      </c>
      <c r="Y952" s="100"/>
      <c r="Z952" s="16" t="s">
        <v>181</v>
      </c>
    </row>
    <row r="953">
      <c r="A953" s="16">
        <v>13443.0</v>
      </c>
      <c r="B953" s="16" t="s">
        <v>4226</v>
      </c>
      <c r="C953" s="16">
        <v>0.55</v>
      </c>
      <c r="D953" s="174" t="s">
        <v>4227</v>
      </c>
      <c r="E953" s="16"/>
      <c r="F953" s="16">
        <v>547.0</v>
      </c>
      <c r="G953" s="16" t="s">
        <v>176</v>
      </c>
      <c r="H953" s="16" t="s">
        <v>12</v>
      </c>
      <c r="I953" s="16"/>
      <c r="J953" s="16"/>
      <c r="K953" s="16"/>
      <c r="L953" s="16"/>
      <c r="M953" s="16"/>
      <c r="N953" s="16"/>
      <c r="O953" s="16"/>
      <c r="P953" s="16"/>
      <c r="Q953" s="16"/>
      <c r="R953" s="16"/>
      <c r="S953" s="16">
        <v>-2.0</v>
      </c>
      <c r="T953" s="16"/>
      <c r="U953" s="16" t="s">
        <v>4228</v>
      </c>
      <c r="V953" s="16" t="s">
        <v>4229</v>
      </c>
      <c r="W953" s="16" t="s">
        <v>399</v>
      </c>
      <c r="X953" s="16" t="s">
        <v>181</v>
      </c>
      <c r="Y953" s="100"/>
      <c r="Z953" s="16" t="s">
        <v>181</v>
      </c>
    </row>
    <row r="954">
      <c r="A954" s="16">
        <v>13444.0</v>
      </c>
      <c r="B954" s="16" t="s">
        <v>4230</v>
      </c>
      <c r="C954" s="16">
        <v>0.0</v>
      </c>
      <c r="D954" s="174" t="s">
        <v>4231</v>
      </c>
      <c r="E954" s="16"/>
      <c r="F954" s="16">
        <v>547.0</v>
      </c>
      <c r="G954" s="16" t="s">
        <v>176</v>
      </c>
      <c r="H954" s="16" t="s">
        <v>24</v>
      </c>
      <c r="I954" s="16" t="s">
        <v>25</v>
      </c>
      <c r="J954" s="16"/>
      <c r="K954" s="16"/>
      <c r="L954" s="16"/>
      <c r="M954" s="16"/>
      <c r="N954" s="16"/>
      <c r="O954" s="16"/>
      <c r="P954" s="16"/>
      <c r="Q954" s="16"/>
      <c r="R954" s="16"/>
      <c r="S954" s="16">
        <v>-2.0</v>
      </c>
      <c r="T954" s="16"/>
      <c r="U954" s="16" t="s">
        <v>4232</v>
      </c>
      <c r="V954" s="16" t="s">
        <v>4233</v>
      </c>
      <c r="W954" s="16" t="s">
        <v>360</v>
      </c>
      <c r="X954" s="16" t="s">
        <v>181</v>
      </c>
      <c r="Y954" s="100"/>
      <c r="Z954" s="16" t="s">
        <v>181</v>
      </c>
    </row>
    <row r="955">
      <c r="A955" s="16">
        <v>13445.0</v>
      </c>
      <c r="B955" s="16" t="s">
        <v>4234</v>
      </c>
      <c r="C955" s="16">
        <v>0.0</v>
      </c>
      <c r="D955" s="174" t="s">
        <v>4235</v>
      </c>
      <c r="E955" s="16"/>
      <c r="F955" s="16">
        <v>547.0</v>
      </c>
      <c r="G955" s="16" t="s">
        <v>176</v>
      </c>
      <c r="H955" s="16" t="s">
        <v>13</v>
      </c>
      <c r="I955" s="16" t="s">
        <v>14</v>
      </c>
      <c r="J955" s="16"/>
      <c r="K955" s="16"/>
      <c r="L955" s="16"/>
      <c r="M955" s="16"/>
      <c r="N955" s="16"/>
      <c r="O955" s="16"/>
      <c r="P955" s="16"/>
      <c r="Q955" s="16"/>
      <c r="R955" s="16"/>
      <c r="S955" s="16">
        <v>-2.0</v>
      </c>
      <c r="T955" s="16"/>
      <c r="U955" s="16" t="s">
        <v>4236</v>
      </c>
      <c r="V955" s="16" t="s">
        <v>4237</v>
      </c>
      <c r="W955" s="16" t="s">
        <v>443</v>
      </c>
      <c r="X955" s="16" t="s">
        <v>181</v>
      </c>
      <c r="Y955" s="100"/>
      <c r="Z955" s="16" t="s">
        <v>181</v>
      </c>
    </row>
    <row r="956">
      <c r="A956" s="16">
        <v>13446.0</v>
      </c>
      <c r="B956" s="16" t="s">
        <v>4238</v>
      </c>
      <c r="C956" s="16">
        <v>0.12</v>
      </c>
      <c r="D956" s="174" t="s">
        <v>4239</v>
      </c>
      <c r="E956" s="16"/>
      <c r="F956" s="16">
        <v>547.0</v>
      </c>
      <c r="G956" s="16" t="s">
        <v>176</v>
      </c>
      <c r="H956" s="16" t="s">
        <v>24</v>
      </c>
      <c r="I956" s="16" t="s">
        <v>25</v>
      </c>
      <c r="J956" s="16"/>
      <c r="K956" s="16"/>
      <c r="L956" s="16"/>
      <c r="M956" s="16"/>
      <c r="N956" s="16"/>
      <c r="O956" s="16"/>
      <c r="P956" s="16"/>
      <c r="Q956" s="16"/>
      <c r="R956" s="16"/>
      <c r="S956" s="16">
        <v>-2.0</v>
      </c>
      <c r="T956" s="16"/>
      <c r="U956" s="16" t="s">
        <v>4240</v>
      </c>
      <c r="V956" s="16" t="s">
        <v>4241</v>
      </c>
      <c r="W956" s="16" t="s">
        <v>491</v>
      </c>
      <c r="X956" s="16" t="s">
        <v>181</v>
      </c>
      <c r="Y956" s="100"/>
      <c r="Z956" s="16" t="s">
        <v>181</v>
      </c>
    </row>
    <row r="957">
      <c r="A957" s="16">
        <v>13447.0</v>
      </c>
      <c r="B957" s="16" t="s">
        <v>4242</v>
      </c>
      <c r="C957" s="16">
        <v>0.94</v>
      </c>
      <c r="D957" s="174" t="s">
        <v>4243</v>
      </c>
      <c r="E957" s="16"/>
      <c r="F957" s="16">
        <v>559.0</v>
      </c>
      <c r="G957" s="16" t="s">
        <v>2088</v>
      </c>
      <c r="H957" s="16" t="s">
        <v>24</v>
      </c>
      <c r="I957" s="16"/>
      <c r="J957" s="16"/>
      <c r="K957" s="16"/>
      <c r="L957" s="16"/>
      <c r="M957" s="16"/>
      <c r="N957" s="16"/>
      <c r="O957" s="16"/>
      <c r="P957" s="16"/>
      <c r="Q957" s="16"/>
      <c r="R957" s="16"/>
      <c r="S957" s="16">
        <v>-2.0</v>
      </c>
      <c r="T957" s="16"/>
      <c r="U957" s="16" t="s">
        <v>4244</v>
      </c>
      <c r="V957" s="16" t="s">
        <v>4245</v>
      </c>
      <c r="W957" s="16" t="s">
        <v>188</v>
      </c>
      <c r="X957" s="16" t="s">
        <v>181</v>
      </c>
      <c r="Y957" s="100"/>
      <c r="Z957" s="16" t="s">
        <v>181</v>
      </c>
    </row>
    <row r="958">
      <c r="A958" s="16">
        <v>13448.0</v>
      </c>
      <c r="B958" s="16" t="s">
        <v>4246</v>
      </c>
      <c r="C958" s="16">
        <v>0.65</v>
      </c>
      <c r="D958" s="174" t="s">
        <v>4247</v>
      </c>
      <c r="E958" s="16"/>
      <c r="F958" s="16">
        <v>547.0</v>
      </c>
      <c r="G958" s="16" t="s">
        <v>176</v>
      </c>
      <c r="H958" s="16" t="s">
        <v>25</v>
      </c>
      <c r="I958" s="16" t="s">
        <v>26</v>
      </c>
      <c r="J958" s="16"/>
      <c r="K958" s="16"/>
      <c r="L958" s="16"/>
      <c r="M958" s="16"/>
      <c r="N958" s="16"/>
      <c r="O958" s="16"/>
      <c r="P958" s="16"/>
      <c r="Q958" s="16"/>
      <c r="R958" s="16"/>
      <c r="S958" s="16">
        <v>-2.0</v>
      </c>
      <c r="T958" s="16"/>
      <c r="U958" s="16" t="s">
        <v>4248</v>
      </c>
      <c r="V958" s="16" t="s">
        <v>4249</v>
      </c>
      <c r="W958" s="16" t="s">
        <v>360</v>
      </c>
      <c r="X958" s="16" t="s">
        <v>181</v>
      </c>
      <c r="Y958" s="100"/>
      <c r="Z958" s="16" t="s">
        <v>181</v>
      </c>
    </row>
    <row r="959">
      <c r="A959" s="16">
        <v>13449.0</v>
      </c>
      <c r="B959" s="16" t="s">
        <v>4250</v>
      </c>
      <c r="C959" s="16">
        <v>2.38</v>
      </c>
      <c r="D959" s="174" t="s">
        <v>4251</v>
      </c>
      <c r="E959" s="16"/>
      <c r="F959" s="16">
        <v>588.0</v>
      </c>
      <c r="G959" s="16" t="s">
        <v>3115</v>
      </c>
      <c r="H959" s="16" t="s">
        <v>16</v>
      </c>
      <c r="I959" s="16" t="s">
        <v>18</v>
      </c>
      <c r="J959" s="16" t="s">
        <v>14</v>
      </c>
      <c r="K959" s="16" t="s">
        <v>17</v>
      </c>
      <c r="L959" s="16" t="s">
        <v>13</v>
      </c>
      <c r="M959" s="16"/>
      <c r="N959" s="16"/>
      <c r="O959" s="16"/>
      <c r="P959" s="16"/>
      <c r="Q959" s="16"/>
      <c r="R959" s="16" t="s">
        <v>1668</v>
      </c>
      <c r="S959" s="16">
        <v>-2.0</v>
      </c>
      <c r="T959" s="16"/>
      <c r="U959" s="16" t="s">
        <v>4252</v>
      </c>
      <c r="V959" s="16" t="s">
        <v>4253</v>
      </c>
      <c r="W959" s="16" t="s">
        <v>179</v>
      </c>
      <c r="X959" s="16" t="s">
        <v>181</v>
      </c>
      <c r="Y959" s="100"/>
      <c r="Z959" s="16" t="s">
        <v>181</v>
      </c>
    </row>
    <row r="960">
      <c r="A960" s="16">
        <v>13450.0</v>
      </c>
      <c r="B960" s="16" t="s">
        <v>4254</v>
      </c>
      <c r="C960" s="16">
        <v>0.41</v>
      </c>
      <c r="D960" s="174" t="s">
        <v>4255</v>
      </c>
      <c r="E960" s="16"/>
      <c r="F960" s="16">
        <v>547.0</v>
      </c>
      <c r="G960" s="16" t="s">
        <v>176</v>
      </c>
      <c r="H960" s="16" t="s">
        <v>18</v>
      </c>
      <c r="I960" s="16" t="s">
        <v>16</v>
      </c>
      <c r="J960" s="16" t="s">
        <v>14</v>
      </c>
      <c r="K960" s="16" t="s">
        <v>15</v>
      </c>
      <c r="L960" s="16"/>
      <c r="M960" s="16"/>
      <c r="N960" s="16"/>
      <c r="O960" s="16"/>
      <c r="P960" s="16"/>
      <c r="Q960" s="16"/>
      <c r="R960" s="16"/>
      <c r="S960" s="16">
        <v>-2.0</v>
      </c>
      <c r="T960" s="16"/>
      <c r="U960" s="16" t="s">
        <v>4256</v>
      </c>
      <c r="V960" s="16" t="s">
        <v>4257</v>
      </c>
      <c r="W960" s="16" t="s">
        <v>491</v>
      </c>
      <c r="X960" s="16" t="s">
        <v>181</v>
      </c>
      <c r="Y960" s="100"/>
      <c r="Z960" s="16" t="s">
        <v>181</v>
      </c>
    </row>
    <row r="961">
      <c r="A961" s="16">
        <v>13451.0</v>
      </c>
      <c r="B961" s="16" t="s">
        <v>4258</v>
      </c>
      <c r="C961" s="16">
        <v>1.28</v>
      </c>
      <c r="D961" s="174" t="s">
        <v>4259</v>
      </c>
      <c r="E961" s="16"/>
      <c r="F961" s="16">
        <v>561.0</v>
      </c>
      <c r="G961" s="16" t="s">
        <v>3300</v>
      </c>
      <c r="H961" s="16" t="s">
        <v>24</v>
      </c>
      <c r="I961" s="16"/>
      <c r="J961" s="16"/>
      <c r="K961" s="16"/>
      <c r="L961" s="16"/>
      <c r="M961" s="16"/>
      <c r="N961" s="16"/>
      <c r="O961" s="16"/>
      <c r="P961" s="16"/>
      <c r="Q961" s="16"/>
      <c r="R961" s="16" t="s">
        <v>927</v>
      </c>
      <c r="S961" s="16">
        <v>-2.0</v>
      </c>
      <c r="T961" s="16"/>
      <c r="U961" s="16" t="s">
        <v>4260</v>
      </c>
      <c r="V961" s="16" t="s">
        <v>4261</v>
      </c>
      <c r="W961" s="16" t="s">
        <v>722</v>
      </c>
      <c r="X961" s="16" t="s">
        <v>181</v>
      </c>
      <c r="Y961" s="100"/>
      <c r="Z961" s="16" t="s">
        <v>181</v>
      </c>
    </row>
    <row r="962">
      <c r="A962" s="16">
        <v>13452.0</v>
      </c>
      <c r="B962" s="16" t="s">
        <v>4262</v>
      </c>
      <c r="C962" s="16">
        <v>1.58</v>
      </c>
      <c r="D962" s="174" t="s">
        <v>4263</v>
      </c>
      <c r="E962" s="16"/>
      <c r="F962" s="16">
        <v>551.0</v>
      </c>
      <c r="G962" s="16" t="s">
        <v>200</v>
      </c>
      <c r="H962" s="16" t="s">
        <v>24</v>
      </c>
      <c r="I962" s="16" t="s">
        <v>25</v>
      </c>
      <c r="J962" s="16" t="s">
        <v>26</v>
      </c>
      <c r="K962" s="16"/>
      <c r="L962" s="16"/>
      <c r="M962" s="16"/>
      <c r="N962" s="16"/>
      <c r="O962" s="16"/>
      <c r="P962" s="16"/>
      <c r="Q962" s="16"/>
      <c r="R962" s="16"/>
      <c r="S962" s="16">
        <v>-2.0</v>
      </c>
      <c r="T962" s="16"/>
      <c r="U962" s="16" t="s">
        <v>4264</v>
      </c>
      <c r="V962" s="16" t="s">
        <v>4265</v>
      </c>
      <c r="W962" s="16" t="s">
        <v>188</v>
      </c>
      <c r="X962" s="16" t="s">
        <v>181</v>
      </c>
      <c r="Y962" s="100"/>
      <c r="Z962" s="16" t="s">
        <v>181</v>
      </c>
    </row>
    <row r="963">
      <c r="A963" s="16">
        <v>13453.0</v>
      </c>
      <c r="B963" s="16" t="s">
        <v>4266</v>
      </c>
      <c r="C963" s="16">
        <v>0.0</v>
      </c>
      <c r="D963" s="174" t="s">
        <v>4267</v>
      </c>
      <c r="E963" s="16"/>
      <c r="F963" s="16">
        <v>547.0</v>
      </c>
      <c r="G963" s="16" t="s">
        <v>176</v>
      </c>
      <c r="H963" s="16" t="s">
        <v>25</v>
      </c>
      <c r="I963" s="16" t="s">
        <v>26</v>
      </c>
      <c r="J963" s="16"/>
      <c r="K963" s="16"/>
      <c r="L963" s="16"/>
      <c r="M963" s="16"/>
      <c r="N963" s="16"/>
      <c r="O963" s="16"/>
      <c r="P963" s="16"/>
      <c r="Q963" s="16"/>
      <c r="R963" s="16"/>
      <c r="S963" s="16">
        <v>-2.0</v>
      </c>
      <c r="T963" s="16"/>
      <c r="U963" s="16" t="s">
        <v>4268</v>
      </c>
      <c r="V963" s="16" t="s">
        <v>4269</v>
      </c>
      <c r="W963" s="16" t="s">
        <v>179</v>
      </c>
      <c r="X963" s="16" t="s">
        <v>181</v>
      </c>
      <c r="Y963" s="100"/>
      <c r="Z963" s="16" t="s">
        <v>181</v>
      </c>
    </row>
    <row r="964">
      <c r="A964" s="16">
        <v>13454.0</v>
      </c>
      <c r="B964" s="16" t="s">
        <v>4270</v>
      </c>
      <c r="C964" s="16">
        <v>0.0</v>
      </c>
      <c r="D964" s="174" t="s">
        <v>4271</v>
      </c>
      <c r="E964" s="16"/>
      <c r="F964" s="16">
        <v>547.0</v>
      </c>
      <c r="G964" s="16" t="s">
        <v>176</v>
      </c>
      <c r="H964" s="16" t="s">
        <v>13</v>
      </c>
      <c r="I964" s="16" t="s">
        <v>15</v>
      </c>
      <c r="J964" s="16" t="s">
        <v>19</v>
      </c>
      <c r="K964" s="16" t="s">
        <v>17</v>
      </c>
      <c r="L964" s="16"/>
      <c r="M964" s="16"/>
      <c r="N964" s="16"/>
      <c r="O964" s="16"/>
      <c r="P964" s="16"/>
      <c r="Q964" s="16"/>
      <c r="R964" s="16"/>
      <c r="S964" s="16">
        <v>-2.0</v>
      </c>
      <c r="T964" s="16"/>
      <c r="U964" s="16" t="s">
        <v>4272</v>
      </c>
      <c r="V964" s="16" t="s">
        <v>4273</v>
      </c>
      <c r="W964" s="16" t="s">
        <v>360</v>
      </c>
      <c r="X964" s="16" t="s">
        <v>181</v>
      </c>
      <c r="Y964" s="100"/>
      <c r="Z964" s="16" t="s">
        <v>181</v>
      </c>
    </row>
    <row r="965">
      <c r="A965" s="16">
        <v>13455.0</v>
      </c>
      <c r="B965" s="16" t="s">
        <v>4274</v>
      </c>
      <c r="C965" s="16">
        <v>1.59</v>
      </c>
      <c r="D965" s="174" t="s">
        <v>4275</v>
      </c>
      <c r="E965" s="16"/>
      <c r="F965" s="16">
        <v>560.0</v>
      </c>
      <c r="G965" s="16" t="s">
        <v>245</v>
      </c>
      <c r="H965" s="16" t="s">
        <v>17</v>
      </c>
      <c r="I965" s="16" t="s">
        <v>19</v>
      </c>
      <c r="J965" s="16"/>
      <c r="K965" s="16"/>
      <c r="L965" s="16"/>
      <c r="M965" s="16"/>
      <c r="N965" s="16"/>
      <c r="O965" s="16"/>
      <c r="P965" s="16"/>
      <c r="Q965" s="16"/>
      <c r="R965" s="16"/>
      <c r="S965" s="16">
        <v>-2.0</v>
      </c>
      <c r="T965" s="16"/>
      <c r="U965" s="16" t="s">
        <v>4276</v>
      </c>
      <c r="V965" s="16" t="s">
        <v>4277</v>
      </c>
      <c r="W965" s="16" t="s">
        <v>259</v>
      </c>
      <c r="X965" s="16" t="s">
        <v>181</v>
      </c>
      <c r="Y965" s="100"/>
      <c r="Z965" s="16" t="s">
        <v>181</v>
      </c>
    </row>
    <row r="966">
      <c r="A966" s="16">
        <v>13456.0</v>
      </c>
      <c r="B966" s="16" t="s">
        <v>4278</v>
      </c>
      <c r="C966" s="16">
        <v>0.0</v>
      </c>
      <c r="D966" s="174" t="s">
        <v>4279</v>
      </c>
      <c r="E966" s="16"/>
      <c r="F966" s="16">
        <v>547.0</v>
      </c>
      <c r="G966" s="16" t="s">
        <v>176</v>
      </c>
      <c r="H966" s="16" t="s">
        <v>24</v>
      </c>
      <c r="I966" s="16" t="s">
        <v>25</v>
      </c>
      <c r="J966" s="16"/>
      <c r="K966" s="16"/>
      <c r="L966" s="16"/>
      <c r="M966" s="16"/>
      <c r="N966" s="16"/>
      <c r="O966" s="16"/>
      <c r="P966" s="16"/>
      <c r="Q966" s="16"/>
      <c r="R966" s="16"/>
      <c r="S966" s="16">
        <v>-2.0</v>
      </c>
      <c r="T966" s="16"/>
      <c r="U966" s="16" t="s">
        <v>4280</v>
      </c>
      <c r="V966" s="16" t="s">
        <v>4281</v>
      </c>
      <c r="W966" s="16" t="s">
        <v>199</v>
      </c>
      <c r="X966" s="16" t="s">
        <v>181</v>
      </c>
      <c r="Y966" s="100"/>
      <c r="Z966" s="16" t="s">
        <v>181</v>
      </c>
    </row>
    <row r="967">
      <c r="A967" s="16">
        <v>13457.0</v>
      </c>
      <c r="B967" s="16" t="s">
        <v>4282</v>
      </c>
      <c r="C967" s="16">
        <v>1.02</v>
      </c>
      <c r="D967" s="174" t="s">
        <v>4283</v>
      </c>
      <c r="E967" s="16"/>
      <c r="F967" s="16">
        <v>584.0</v>
      </c>
      <c r="G967" s="16" t="s">
        <v>361</v>
      </c>
      <c r="H967" s="16" t="s">
        <v>25</v>
      </c>
      <c r="I967" s="16" t="s">
        <v>26</v>
      </c>
      <c r="J967" s="16"/>
      <c r="K967" s="16"/>
      <c r="L967" s="16"/>
      <c r="M967" s="16"/>
      <c r="N967" s="16"/>
      <c r="O967" s="16"/>
      <c r="P967" s="16"/>
      <c r="Q967" s="16"/>
      <c r="R967" s="16"/>
      <c r="S967" s="16">
        <v>-2.0</v>
      </c>
      <c r="T967" s="16"/>
      <c r="U967" s="16" t="s">
        <v>4284</v>
      </c>
      <c r="V967" s="16" t="s">
        <v>4285</v>
      </c>
      <c r="W967" s="16" t="s">
        <v>231</v>
      </c>
      <c r="X967" s="16" t="s">
        <v>181</v>
      </c>
      <c r="Y967" s="100"/>
      <c r="Z967" s="16" t="s">
        <v>181</v>
      </c>
    </row>
    <row r="968">
      <c r="A968" s="16">
        <v>13458.0</v>
      </c>
      <c r="B968" s="16" t="s">
        <v>4286</v>
      </c>
      <c r="C968" s="16">
        <v>0.68</v>
      </c>
      <c r="D968" s="174" t="s">
        <v>4287</v>
      </c>
      <c r="E968" s="16"/>
      <c r="F968" s="16">
        <v>551.0</v>
      </c>
      <c r="G968" s="16" t="s">
        <v>200</v>
      </c>
      <c r="H968" s="16" t="s">
        <v>13</v>
      </c>
      <c r="I968" s="16" t="s">
        <v>12</v>
      </c>
      <c r="J968" s="16"/>
      <c r="K968" s="16"/>
      <c r="L968" s="16"/>
      <c r="M968" s="16"/>
      <c r="N968" s="16"/>
      <c r="O968" s="16"/>
      <c r="P968" s="16"/>
      <c r="Q968" s="16"/>
      <c r="R968" s="16"/>
      <c r="S968" s="16">
        <v>-2.0</v>
      </c>
      <c r="T968" s="16"/>
      <c r="U968" s="16" t="s">
        <v>4288</v>
      </c>
      <c r="V968" s="16" t="s">
        <v>4289</v>
      </c>
      <c r="W968" s="16" t="s">
        <v>422</v>
      </c>
      <c r="X968" s="16" t="s">
        <v>181</v>
      </c>
      <c r="Y968" s="100"/>
      <c r="Z968" s="16" t="s">
        <v>181</v>
      </c>
    </row>
    <row r="969">
      <c r="A969" s="16">
        <v>13459.0</v>
      </c>
      <c r="B969" s="16" t="s">
        <v>4290</v>
      </c>
      <c r="C969" s="16">
        <v>1.35</v>
      </c>
      <c r="D969" s="174" t="s">
        <v>4291</v>
      </c>
      <c r="E969" s="16"/>
      <c r="F969" s="16">
        <v>584.0</v>
      </c>
      <c r="G969" s="16" t="s">
        <v>361</v>
      </c>
      <c r="H969" s="16" t="s">
        <v>12</v>
      </c>
      <c r="I969" s="16"/>
      <c r="J969" s="16"/>
      <c r="K969" s="16"/>
      <c r="L969" s="16"/>
      <c r="M969" s="16"/>
      <c r="N969" s="16"/>
      <c r="O969" s="16"/>
      <c r="P969" s="16"/>
      <c r="Q969" s="16"/>
      <c r="R969" s="16"/>
      <c r="S969" s="16">
        <v>-2.0</v>
      </c>
      <c r="T969" s="16"/>
      <c r="U969" s="16" t="s">
        <v>4292</v>
      </c>
      <c r="V969" s="16" t="s">
        <v>4293</v>
      </c>
      <c r="W969" s="16" t="s">
        <v>443</v>
      </c>
      <c r="X969" s="16" t="s">
        <v>181</v>
      </c>
      <c r="Y969" s="100"/>
      <c r="Z969" s="16" t="s">
        <v>181</v>
      </c>
    </row>
    <row r="970">
      <c r="A970" s="16">
        <v>13460.0</v>
      </c>
      <c r="B970" s="16" t="s">
        <v>4294</v>
      </c>
      <c r="C970" s="16">
        <v>0.0</v>
      </c>
      <c r="D970" s="174" t="s">
        <v>4295</v>
      </c>
      <c r="E970" s="16"/>
      <c r="F970" s="16">
        <v>547.0</v>
      </c>
      <c r="G970" s="16" t="s">
        <v>176</v>
      </c>
      <c r="H970" s="16" t="s">
        <v>15</v>
      </c>
      <c r="I970" s="16" t="s">
        <v>16</v>
      </c>
      <c r="J970" s="16" t="s">
        <v>14</v>
      </c>
      <c r="K970" s="16" t="s">
        <v>17</v>
      </c>
      <c r="L970" s="16" t="s">
        <v>18</v>
      </c>
      <c r="M970" s="16" t="s">
        <v>19</v>
      </c>
      <c r="N970" s="16"/>
      <c r="O970" s="16"/>
      <c r="P970" s="16"/>
      <c r="Q970" s="16"/>
      <c r="R970" s="16"/>
      <c r="S970" s="16">
        <v>-2.0</v>
      </c>
      <c r="T970" s="16"/>
      <c r="U970" s="16" t="s">
        <v>4296</v>
      </c>
      <c r="V970" s="16" t="s">
        <v>4297</v>
      </c>
      <c r="W970" s="16" t="s">
        <v>360</v>
      </c>
      <c r="X970" s="16" t="s">
        <v>181</v>
      </c>
      <c r="Y970" s="100"/>
      <c r="Z970" s="16" t="s">
        <v>181</v>
      </c>
    </row>
    <row r="971">
      <c r="A971" s="16">
        <v>13461.0</v>
      </c>
      <c r="B971" s="16" t="s">
        <v>4298</v>
      </c>
      <c r="C971" s="16">
        <v>0.48</v>
      </c>
      <c r="D971" s="174" t="s">
        <v>4299</v>
      </c>
      <c r="E971" s="16"/>
      <c r="F971" s="16">
        <v>547.0</v>
      </c>
      <c r="G971" s="16" t="s">
        <v>176</v>
      </c>
      <c r="H971" s="16" t="s">
        <v>24</v>
      </c>
      <c r="I971" s="16"/>
      <c r="J971" s="16"/>
      <c r="K971" s="16"/>
      <c r="L971" s="16"/>
      <c r="M971" s="16"/>
      <c r="N971" s="16"/>
      <c r="O971" s="16"/>
      <c r="P971" s="16"/>
      <c r="Q971" s="16"/>
      <c r="R971" s="16"/>
      <c r="S971" s="16">
        <v>-2.0</v>
      </c>
      <c r="T971" s="16"/>
      <c r="U971" s="16" t="s">
        <v>4300</v>
      </c>
      <c r="V971" s="16" t="s">
        <v>4301</v>
      </c>
      <c r="W971" s="16" t="s">
        <v>566</v>
      </c>
      <c r="X971" s="16" t="s">
        <v>181</v>
      </c>
      <c r="Y971" s="100"/>
      <c r="Z971" s="16" t="s">
        <v>181</v>
      </c>
    </row>
    <row r="972">
      <c r="A972" s="16">
        <v>13462.0</v>
      </c>
      <c r="B972" s="16" t="s">
        <v>4302</v>
      </c>
      <c r="C972" s="16">
        <v>1.68</v>
      </c>
      <c r="D972" s="174" t="s">
        <v>4303</v>
      </c>
      <c r="E972" s="16"/>
      <c r="F972" s="16">
        <v>547.0</v>
      </c>
      <c r="G972" s="16" t="s">
        <v>176</v>
      </c>
      <c r="H972" s="16" t="s">
        <v>19</v>
      </c>
      <c r="I972" s="16" t="s">
        <v>18</v>
      </c>
      <c r="J972" s="16" t="s">
        <v>17</v>
      </c>
      <c r="K972" s="16"/>
      <c r="L972" s="16"/>
      <c r="M972" s="16"/>
      <c r="N972" s="16"/>
      <c r="O972" s="16"/>
      <c r="P972" s="16"/>
      <c r="Q972" s="16"/>
      <c r="R972" s="16"/>
      <c r="S972" s="16">
        <v>-2.0</v>
      </c>
      <c r="T972" s="16"/>
      <c r="U972" s="16" t="s">
        <v>4304</v>
      </c>
      <c r="V972" s="16" t="s">
        <v>4305</v>
      </c>
      <c r="W972" s="16" t="s">
        <v>491</v>
      </c>
      <c r="X972" s="16" t="s">
        <v>181</v>
      </c>
      <c r="Y972" s="100"/>
      <c r="Z972" s="16" t="s">
        <v>181</v>
      </c>
    </row>
    <row r="973">
      <c r="A973" s="16">
        <v>13463.0</v>
      </c>
      <c r="B973" s="16" t="s">
        <v>4306</v>
      </c>
      <c r="C973" s="16">
        <v>1.08</v>
      </c>
      <c r="D973" s="174" t="s">
        <v>4307</v>
      </c>
      <c r="E973" s="16"/>
      <c r="F973" s="16">
        <v>581.0</v>
      </c>
      <c r="G973" s="16" t="s">
        <v>346</v>
      </c>
      <c r="H973" s="16" t="s">
        <v>25</v>
      </c>
      <c r="I973" s="16" t="s">
        <v>26</v>
      </c>
      <c r="J973" s="16"/>
      <c r="K973" s="16"/>
      <c r="L973" s="16"/>
      <c r="M973" s="16"/>
      <c r="N973" s="16"/>
      <c r="O973" s="16"/>
      <c r="P973" s="16"/>
      <c r="Q973" s="16"/>
      <c r="R973" s="16"/>
      <c r="S973" s="16">
        <v>-2.0</v>
      </c>
      <c r="T973" s="16"/>
      <c r="U973" s="16" t="s">
        <v>4308</v>
      </c>
      <c r="V973" s="16" t="s">
        <v>4309</v>
      </c>
      <c r="W973" s="16" t="s">
        <v>179</v>
      </c>
      <c r="X973" s="16" t="s">
        <v>181</v>
      </c>
      <c r="Y973" s="100"/>
      <c r="Z973" s="16" t="s">
        <v>181</v>
      </c>
    </row>
    <row r="974">
      <c r="A974" s="16">
        <v>13464.0</v>
      </c>
      <c r="B974" s="16" t="s">
        <v>4310</v>
      </c>
      <c r="C974" s="16">
        <v>1.64</v>
      </c>
      <c r="D974" s="174" t="s">
        <v>4311</v>
      </c>
      <c r="E974" s="16"/>
      <c r="F974" s="16">
        <v>547.0</v>
      </c>
      <c r="G974" s="16" t="s">
        <v>176</v>
      </c>
      <c r="H974" s="16" t="s">
        <v>24</v>
      </c>
      <c r="I974" s="16"/>
      <c r="J974" s="16"/>
      <c r="K974" s="16"/>
      <c r="L974" s="16"/>
      <c r="M974" s="16"/>
      <c r="N974" s="16"/>
      <c r="O974" s="16"/>
      <c r="P974" s="16"/>
      <c r="Q974" s="16"/>
      <c r="R974" s="16"/>
      <c r="S974" s="16">
        <v>-2.0</v>
      </c>
      <c r="T974" s="16"/>
      <c r="U974" s="16" t="s">
        <v>4312</v>
      </c>
      <c r="V974" s="16" t="s">
        <v>4313</v>
      </c>
      <c r="W974" s="16" t="s">
        <v>360</v>
      </c>
      <c r="X974" s="16" t="s">
        <v>181</v>
      </c>
      <c r="Y974" s="100"/>
      <c r="Z974" s="16" t="s">
        <v>181</v>
      </c>
    </row>
    <row r="975">
      <c r="A975" s="16">
        <v>13465.0</v>
      </c>
      <c r="B975" s="16" t="s">
        <v>4314</v>
      </c>
      <c r="C975" s="16">
        <v>0.0</v>
      </c>
      <c r="D975" s="174" t="s">
        <v>4315</v>
      </c>
      <c r="E975" s="16"/>
      <c r="F975" s="16">
        <v>547.0</v>
      </c>
      <c r="G975" s="16" t="s">
        <v>176</v>
      </c>
      <c r="H975" s="16" t="s">
        <v>14</v>
      </c>
      <c r="I975" s="16"/>
      <c r="J975" s="16"/>
      <c r="K975" s="16"/>
      <c r="L975" s="16"/>
      <c r="M975" s="16"/>
      <c r="N975" s="16"/>
      <c r="O975" s="16"/>
      <c r="P975" s="16"/>
      <c r="Q975" s="16"/>
      <c r="R975" s="16"/>
      <c r="S975" s="16">
        <v>-2.0</v>
      </c>
      <c r="T975" s="16"/>
      <c r="U975" s="16" t="s">
        <v>4316</v>
      </c>
      <c r="V975" s="16" t="s">
        <v>4317</v>
      </c>
      <c r="W975" s="16" t="s">
        <v>591</v>
      </c>
      <c r="X975" s="16" t="s">
        <v>181</v>
      </c>
      <c r="Y975" s="100"/>
      <c r="Z975" s="16" t="s">
        <v>181</v>
      </c>
    </row>
    <row r="976">
      <c r="A976" s="16">
        <v>13466.0</v>
      </c>
      <c r="B976" s="16" t="s">
        <v>4318</v>
      </c>
      <c r="C976" s="16">
        <v>1.38</v>
      </c>
      <c r="D976" s="174" t="s">
        <v>4319</v>
      </c>
      <c r="E976" s="16"/>
      <c r="F976" s="16">
        <v>571.0</v>
      </c>
      <c r="G976" s="16" t="s">
        <v>686</v>
      </c>
      <c r="H976" s="16" t="s">
        <v>12</v>
      </c>
      <c r="I976" s="16" t="s">
        <v>13</v>
      </c>
      <c r="J976" s="16"/>
      <c r="K976" s="16"/>
      <c r="L976" s="16"/>
      <c r="M976" s="16"/>
      <c r="N976" s="16"/>
      <c r="O976" s="16"/>
      <c r="P976" s="16"/>
      <c r="Q976" s="16"/>
      <c r="R976" s="16"/>
      <c r="S976" s="16">
        <v>-2.0</v>
      </c>
      <c r="T976" s="16"/>
      <c r="U976" s="16" t="s">
        <v>4320</v>
      </c>
      <c r="V976" s="16" t="s">
        <v>4321</v>
      </c>
      <c r="W976" s="16" t="s">
        <v>634</v>
      </c>
      <c r="X976" s="16" t="s">
        <v>181</v>
      </c>
      <c r="Y976" s="100"/>
      <c r="Z976" s="16" t="s">
        <v>181</v>
      </c>
    </row>
    <row r="977">
      <c r="A977" s="16">
        <v>13467.0</v>
      </c>
      <c r="B977" s="16" t="s">
        <v>4322</v>
      </c>
      <c r="C977" s="16">
        <v>0.21</v>
      </c>
      <c r="D977" s="174" t="s">
        <v>4323</v>
      </c>
      <c r="E977" s="16"/>
      <c r="F977" s="16">
        <v>569.0</v>
      </c>
      <c r="G977" s="16" t="s">
        <v>292</v>
      </c>
      <c r="H977" s="16" t="s">
        <v>25</v>
      </c>
      <c r="I977" s="16" t="s">
        <v>26</v>
      </c>
      <c r="J977" s="16"/>
      <c r="K977" s="16"/>
      <c r="L977" s="16"/>
      <c r="M977" s="16"/>
      <c r="N977" s="16"/>
      <c r="O977" s="16"/>
      <c r="P977" s="16"/>
      <c r="Q977" s="16"/>
      <c r="R977" s="16"/>
      <c r="S977" s="16">
        <v>-2.0</v>
      </c>
      <c r="T977" s="16"/>
      <c r="U977" s="16" t="s">
        <v>4324</v>
      </c>
      <c r="V977" s="16" t="s">
        <v>4325</v>
      </c>
      <c r="W977" s="16" t="s">
        <v>199</v>
      </c>
      <c r="X977" s="16" t="s">
        <v>181</v>
      </c>
      <c r="Y977" s="100"/>
      <c r="Z977" s="16" t="s">
        <v>181</v>
      </c>
    </row>
    <row r="978">
      <c r="A978" s="16">
        <v>13468.0</v>
      </c>
      <c r="B978" s="16" t="s">
        <v>4326</v>
      </c>
      <c r="C978" s="16">
        <v>3.05</v>
      </c>
      <c r="D978" s="174" t="s">
        <v>4327</v>
      </c>
      <c r="E978" s="16"/>
      <c r="F978" s="16">
        <v>581.0</v>
      </c>
      <c r="G978" s="16" t="s">
        <v>346</v>
      </c>
      <c r="H978" s="16" t="s">
        <v>18</v>
      </c>
      <c r="I978" s="16" t="s">
        <v>19</v>
      </c>
      <c r="J978" s="16" t="s">
        <v>17</v>
      </c>
      <c r="K978" s="16"/>
      <c r="L978" s="16"/>
      <c r="M978" s="16"/>
      <c r="N978" s="16"/>
      <c r="O978" s="16"/>
      <c r="P978" s="16"/>
      <c r="Q978" s="16"/>
      <c r="R978" s="16"/>
      <c r="S978" s="16">
        <v>-2.0</v>
      </c>
      <c r="T978" s="16"/>
      <c r="U978" s="16" t="s">
        <v>4328</v>
      </c>
      <c r="V978" s="16" t="s">
        <v>4329</v>
      </c>
      <c r="W978" s="16" t="s">
        <v>566</v>
      </c>
      <c r="X978" s="16" t="s">
        <v>181</v>
      </c>
      <c r="Y978" s="100"/>
      <c r="Z978" s="16" t="s">
        <v>181</v>
      </c>
    </row>
    <row r="979">
      <c r="A979" s="16">
        <v>13469.0</v>
      </c>
      <c r="B979" s="16" t="s">
        <v>4330</v>
      </c>
      <c r="C979" s="16">
        <v>0.0</v>
      </c>
      <c r="D979" s="174" t="s">
        <v>4331</v>
      </c>
      <c r="E979" s="16"/>
      <c r="F979" s="16">
        <v>547.0</v>
      </c>
      <c r="G979" s="16" t="s">
        <v>176</v>
      </c>
      <c r="H979" s="16" t="s">
        <v>18</v>
      </c>
      <c r="I979" s="16" t="s">
        <v>19</v>
      </c>
      <c r="J979" s="16" t="s">
        <v>17</v>
      </c>
      <c r="K979" s="16"/>
      <c r="L979" s="16"/>
      <c r="M979" s="16"/>
      <c r="N979" s="16"/>
      <c r="O979" s="16"/>
      <c r="P979" s="16"/>
      <c r="Q979" s="16"/>
      <c r="R979" s="16"/>
      <c r="S979" s="16">
        <v>-2.0</v>
      </c>
      <c r="T979" s="16"/>
      <c r="U979" s="16" t="s">
        <v>4332</v>
      </c>
      <c r="V979" s="16" t="s">
        <v>4333</v>
      </c>
      <c r="W979" s="16" t="s">
        <v>332</v>
      </c>
      <c r="X979" s="16" t="s">
        <v>181</v>
      </c>
      <c r="Y979" s="100"/>
      <c r="Z979" s="16" t="s">
        <v>181</v>
      </c>
    </row>
    <row r="980">
      <c r="A980" s="16">
        <v>13470.0</v>
      </c>
      <c r="B980" s="16" t="s">
        <v>4334</v>
      </c>
      <c r="C980" s="16">
        <v>0.78</v>
      </c>
      <c r="D980" s="174" t="s">
        <v>4335</v>
      </c>
      <c r="E980" s="16"/>
      <c r="F980" s="16">
        <v>550.0</v>
      </c>
      <c r="G980" s="16" t="s">
        <v>371</v>
      </c>
      <c r="H980" s="16" t="s">
        <v>25</v>
      </c>
      <c r="I980" s="16" t="s">
        <v>26</v>
      </c>
      <c r="J980" s="16"/>
      <c r="K980" s="16"/>
      <c r="L980" s="16"/>
      <c r="M980" s="16"/>
      <c r="N980" s="16"/>
      <c r="O980" s="16"/>
      <c r="P980" s="16"/>
      <c r="Q980" s="16"/>
      <c r="R980" s="16"/>
      <c r="S980" s="16">
        <v>-2.0</v>
      </c>
      <c r="T980" s="16"/>
      <c r="U980" s="16" t="s">
        <v>4336</v>
      </c>
      <c r="V980" s="16" t="s">
        <v>4337</v>
      </c>
      <c r="W980" s="16" t="s">
        <v>360</v>
      </c>
      <c r="X980" s="16" t="s">
        <v>181</v>
      </c>
      <c r="Y980" s="100"/>
      <c r="Z980" s="16" t="s">
        <v>181</v>
      </c>
    </row>
    <row r="981">
      <c r="A981" s="16">
        <v>13471.0</v>
      </c>
      <c r="B981" s="16" t="s">
        <v>4338</v>
      </c>
      <c r="C981" s="16">
        <v>0.52</v>
      </c>
      <c r="D981" s="174" t="s">
        <v>4339</v>
      </c>
      <c r="E981" s="16"/>
      <c r="F981" s="16">
        <v>547.0</v>
      </c>
      <c r="G981" s="16" t="s">
        <v>176</v>
      </c>
      <c r="H981" s="16" t="s">
        <v>14</v>
      </c>
      <c r="I981" s="16" t="s">
        <v>16</v>
      </c>
      <c r="J981" s="16" t="s">
        <v>18</v>
      </c>
      <c r="K981" s="16" t="s">
        <v>15</v>
      </c>
      <c r="L981" s="16" t="s">
        <v>19</v>
      </c>
      <c r="M981" s="16" t="s">
        <v>17</v>
      </c>
      <c r="N981" s="16" t="s">
        <v>13</v>
      </c>
      <c r="O981" s="16"/>
      <c r="P981" s="16"/>
      <c r="Q981" s="16"/>
      <c r="R981" s="16"/>
      <c r="S981" s="16">
        <v>-2.0</v>
      </c>
      <c r="T981" s="16"/>
      <c r="U981" s="16" t="s">
        <v>4340</v>
      </c>
      <c r="V981" s="16" t="s">
        <v>4341</v>
      </c>
      <c r="W981" s="16" t="s">
        <v>259</v>
      </c>
      <c r="X981" s="16" t="s">
        <v>181</v>
      </c>
      <c r="Y981" s="100"/>
      <c r="Z981" s="16" t="s">
        <v>181</v>
      </c>
    </row>
    <row r="982">
      <c r="A982" s="16">
        <v>13472.0</v>
      </c>
      <c r="B982" s="16" t="s">
        <v>4342</v>
      </c>
      <c r="C982" s="16">
        <v>0.58</v>
      </c>
      <c r="D982" s="174" t="s">
        <v>4343</v>
      </c>
      <c r="E982" s="16"/>
      <c r="F982" s="16">
        <v>584.0</v>
      </c>
      <c r="G982" s="16" t="s">
        <v>361</v>
      </c>
      <c r="H982" s="16" t="s">
        <v>13</v>
      </c>
      <c r="I982" s="16"/>
      <c r="J982" s="16"/>
      <c r="K982" s="16"/>
      <c r="L982" s="16"/>
      <c r="M982" s="16"/>
      <c r="N982" s="16"/>
      <c r="O982" s="16"/>
      <c r="P982" s="16"/>
      <c r="Q982" s="16"/>
      <c r="R982" s="16"/>
      <c r="S982" s="16">
        <v>-2.0</v>
      </c>
      <c r="T982" s="16"/>
      <c r="U982" s="16" t="s">
        <v>4344</v>
      </c>
      <c r="V982" s="16" t="s">
        <v>4345</v>
      </c>
      <c r="W982" s="16" t="s">
        <v>722</v>
      </c>
      <c r="X982" s="16" t="s">
        <v>181</v>
      </c>
      <c r="Y982" s="100"/>
      <c r="Z982" s="16" t="s">
        <v>181</v>
      </c>
    </row>
    <row r="983">
      <c r="A983" s="16">
        <v>13473.0</v>
      </c>
      <c r="B983" s="16" t="s">
        <v>4346</v>
      </c>
      <c r="C983" s="16">
        <v>2.58</v>
      </c>
      <c r="D983" s="174" t="s">
        <v>4347</v>
      </c>
      <c r="E983" s="16"/>
      <c r="F983" s="16">
        <v>563.0</v>
      </c>
      <c r="G983" s="16" t="s">
        <v>260</v>
      </c>
      <c r="H983" s="16" t="s">
        <v>13</v>
      </c>
      <c r="I983" s="16" t="s">
        <v>15</v>
      </c>
      <c r="J983" s="16"/>
      <c r="K983" s="16"/>
      <c r="L983" s="16"/>
      <c r="M983" s="16"/>
      <c r="N983" s="16"/>
      <c r="O983" s="16"/>
      <c r="P983" s="16"/>
      <c r="Q983" s="16"/>
      <c r="R983" s="16"/>
      <c r="S983" s="16">
        <v>-2.0</v>
      </c>
      <c r="T983" s="16"/>
      <c r="U983" s="16" t="s">
        <v>4348</v>
      </c>
      <c r="V983" s="16" t="s">
        <v>4349</v>
      </c>
      <c r="W983" s="16" t="s">
        <v>188</v>
      </c>
      <c r="X983" s="16" t="s">
        <v>181</v>
      </c>
      <c r="Y983" s="100"/>
      <c r="Z983" s="16" t="s">
        <v>181</v>
      </c>
    </row>
    <row r="984">
      <c r="A984" s="16">
        <v>13474.0</v>
      </c>
      <c r="B984" s="16" t="s">
        <v>4350</v>
      </c>
      <c r="C984" s="16">
        <v>0.0</v>
      </c>
      <c r="D984" s="174" t="s">
        <v>4351</v>
      </c>
      <c r="E984" s="16"/>
      <c r="F984" s="16">
        <v>547.0</v>
      </c>
      <c r="G984" s="16" t="s">
        <v>176</v>
      </c>
      <c r="H984" s="16" t="s">
        <v>24</v>
      </c>
      <c r="I984" s="16"/>
      <c r="J984" s="16"/>
      <c r="K984" s="16"/>
      <c r="L984" s="16"/>
      <c r="M984" s="16"/>
      <c r="N984" s="16"/>
      <c r="O984" s="16"/>
      <c r="P984" s="16"/>
      <c r="Q984" s="16"/>
      <c r="R984" s="16"/>
      <c r="S984" s="16">
        <v>-2.0</v>
      </c>
      <c r="T984" s="16"/>
      <c r="U984" s="16" t="s">
        <v>4352</v>
      </c>
      <c r="V984" s="16" t="s">
        <v>4353</v>
      </c>
      <c r="W984" s="16" t="s">
        <v>942</v>
      </c>
      <c r="X984" s="16" t="s">
        <v>181</v>
      </c>
      <c r="Y984" s="100"/>
      <c r="Z984" s="16" t="s">
        <v>181</v>
      </c>
    </row>
    <row r="985">
      <c r="A985" s="16">
        <v>13475.0</v>
      </c>
      <c r="B985" s="16" t="s">
        <v>4354</v>
      </c>
      <c r="C985" s="16">
        <v>0.5</v>
      </c>
      <c r="D985" s="174" t="s">
        <v>4355</v>
      </c>
      <c r="E985" s="16"/>
      <c r="F985" s="16">
        <v>592.0</v>
      </c>
      <c r="G985" s="16" t="s">
        <v>1175</v>
      </c>
      <c r="H985" s="16" t="s">
        <v>25</v>
      </c>
      <c r="I985" s="16"/>
      <c r="J985" s="16"/>
      <c r="K985" s="16"/>
      <c r="L985" s="16"/>
      <c r="M985" s="16"/>
      <c r="N985" s="16"/>
      <c r="O985" s="16"/>
      <c r="P985" s="16"/>
      <c r="Q985" s="16"/>
      <c r="R985" s="16"/>
      <c r="S985" s="16">
        <v>-2.0</v>
      </c>
      <c r="T985" s="16"/>
      <c r="U985" s="16" t="s">
        <v>4356</v>
      </c>
      <c r="V985" s="16" t="s">
        <v>4357</v>
      </c>
      <c r="W985" s="16" t="s">
        <v>751</v>
      </c>
      <c r="X985" s="16" t="s">
        <v>181</v>
      </c>
      <c r="Y985" s="100"/>
      <c r="Z985" s="16" t="s">
        <v>181</v>
      </c>
    </row>
    <row r="986">
      <c r="A986" s="16">
        <v>13476.0</v>
      </c>
      <c r="B986" s="16" t="s">
        <v>4358</v>
      </c>
      <c r="C986" s="16">
        <v>0.29</v>
      </c>
      <c r="D986" s="174" t="s">
        <v>4359</v>
      </c>
      <c r="E986" s="16"/>
      <c r="F986" s="16">
        <v>547.0</v>
      </c>
      <c r="G986" s="16" t="s">
        <v>176</v>
      </c>
      <c r="H986" s="16" t="s">
        <v>19</v>
      </c>
      <c r="I986" s="16" t="s">
        <v>18</v>
      </c>
      <c r="J986" s="16" t="s">
        <v>17</v>
      </c>
      <c r="K986" s="16"/>
      <c r="L986" s="16"/>
      <c r="M986" s="16"/>
      <c r="N986" s="16"/>
      <c r="O986" s="16"/>
      <c r="P986" s="16"/>
      <c r="Q986" s="16"/>
      <c r="R986" s="16"/>
      <c r="S986" s="16">
        <v>-2.0</v>
      </c>
      <c r="T986" s="16"/>
      <c r="U986" s="16" t="s">
        <v>4360</v>
      </c>
      <c r="V986" s="16" t="s">
        <v>4361</v>
      </c>
      <c r="W986" s="16" t="s">
        <v>661</v>
      </c>
      <c r="X986" s="16" t="s">
        <v>181</v>
      </c>
      <c r="Y986" s="100"/>
      <c r="Z986" s="16" t="s">
        <v>181</v>
      </c>
    </row>
    <row r="987">
      <c r="A987" s="16">
        <v>13477.0</v>
      </c>
      <c r="B987" s="16" t="s">
        <v>4362</v>
      </c>
      <c r="C987" s="16">
        <v>2.07</v>
      </c>
      <c r="D987" s="174" t="s">
        <v>4363</v>
      </c>
      <c r="E987" s="16"/>
      <c r="F987" s="16">
        <v>559.0</v>
      </c>
      <c r="G987" s="16" t="s">
        <v>2088</v>
      </c>
      <c r="H987" s="16" t="s">
        <v>17</v>
      </c>
      <c r="I987" s="16" t="s">
        <v>15</v>
      </c>
      <c r="J987" s="16" t="s">
        <v>19</v>
      </c>
      <c r="K987" s="16" t="s">
        <v>14</v>
      </c>
      <c r="L987" s="16" t="s">
        <v>13</v>
      </c>
      <c r="M987" s="16"/>
      <c r="N987" s="16"/>
      <c r="O987" s="16"/>
      <c r="P987" s="16"/>
      <c r="Q987" s="16"/>
      <c r="R987" s="16"/>
      <c r="S987" s="16">
        <v>-2.0</v>
      </c>
      <c r="T987" s="16"/>
      <c r="U987" s="16" t="s">
        <v>4364</v>
      </c>
      <c r="V987" s="16" t="s">
        <v>4365</v>
      </c>
      <c r="W987" s="16" t="s">
        <v>199</v>
      </c>
      <c r="X987" s="16" t="s">
        <v>181</v>
      </c>
      <c r="Y987" s="100"/>
      <c r="Z987" s="16" t="s">
        <v>181</v>
      </c>
    </row>
    <row r="988">
      <c r="A988" s="16">
        <v>13478.0</v>
      </c>
      <c r="B988" s="16" t="s">
        <v>4366</v>
      </c>
      <c r="C988" s="16">
        <v>0.26</v>
      </c>
      <c r="D988" s="174" t="s">
        <v>4367</v>
      </c>
      <c r="E988" s="16"/>
      <c r="F988" s="16">
        <v>547.0</v>
      </c>
      <c r="G988" s="16" t="s">
        <v>176</v>
      </c>
      <c r="H988" s="16" t="s">
        <v>14</v>
      </c>
      <c r="I988" s="16" t="s">
        <v>17</v>
      </c>
      <c r="J988" s="16" t="s">
        <v>15</v>
      </c>
      <c r="K988" s="16"/>
      <c r="L988" s="16"/>
      <c r="M988" s="16"/>
      <c r="N988" s="16"/>
      <c r="O988" s="16"/>
      <c r="P988" s="16"/>
      <c r="Q988" s="16"/>
      <c r="R988" s="16"/>
      <c r="S988" s="16">
        <v>-2.0</v>
      </c>
      <c r="T988" s="16"/>
      <c r="U988" s="16" t="s">
        <v>4368</v>
      </c>
      <c r="V988" s="16" t="s">
        <v>4369</v>
      </c>
      <c r="W988" s="16" t="s">
        <v>179</v>
      </c>
      <c r="X988" s="16" t="s">
        <v>181</v>
      </c>
      <c r="Y988" s="100"/>
      <c r="Z988" s="16" t="s">
        <v>181</v>
      </c>
    </row>
    <row r="989">
      <c r="A989" s="16">
        <v>13479.0</v>
      </c>
      <c r="B989" s="16" t="s">
        <v>4370</v>
      </c>
      <c r="C989" s="16">
        <v>0.0</v>
      </c>
      <c r="D989" s="174" t="s">
        <v>4371</v>
      </c>
      <c r="E989" s="16"/>
      <c r="F989" s="16">
        <v>547.0</v>
      </c>
      <c r="G989" s="16" t="s">
        <v>176</v>
      </c>
      <c r="H989" s="16" t="s">
        <v>17</v>
      </c>
      <c r="I989" s="16" t="s">
        <v>19</v>
      </c>
      <c r="J989" s="16" t="s">
        <v>18</v>
      </c>
      <c r="K989" s="16"/>
      <c r="L989" s="16"/>
      <c r="M989" s="16"/>
      <c r="N989" s="16"/>
      <c r="O989" s="16"/>
      <c r="P989" s="16"/>
      <c r="Q989" s="16"/>
      <c r="R989" s="16"/>
      <c r="S989" s="16">
        <v>-2.0</v>
      </c>
      <c r="T989" s="16"/>
      <c r="U989" s="16" t="s">
        <v>4372</v>
      </c>
      <c r="V989" s="16" t="s">
        <v>4373</v>
      </c>
      <c r="W989" s="16" t="s">
        <v>491</v>
      </c>
      <c r="X989" s="16" t="s">
        <v>181</v>
      </c>
      <c r="Y989" s="100"/>
      <c r="Z989" s="16" t="s">
        <v>181</v>
      </c>
    </row>
    <row r="990">
      <c r="A990" s="16">
        <v>13480.0</v>
      </c>
      <c r="B990" s="16" t="s">
        <v>4374</v>
      </c>
      <c r="C990" s="16">
        <v>0.0</v>
      </c>
      <c r="D990" s="174" t="s">
        <v>4375</v>
      </c>
      <c r="E990" s="16"/>
      <c r="F990" s="16">
        <v>547.0</v>
      </c>
      <c r="G990" s="16" t="s">
        <v>176</v>
      </c>
      <c r="H990" s="16" t="s">
        <v>19</v>
      </c>
      <c r="I990" s="16" t="s">
        <v>17</v>
      </c>
      <c r="J990" s="16" t="s">
        <v>18</v>
      </c>
      <c r="K990" s="16"/>
      <c r="L990" s="16"/>
      <c r="M990" s="16"/>
      <c r="N990" s="16"/>
      <c r="O990" s="16"/>
      <c r="P990" s="16"/>
      <c r="Q990" s="16"/>
      <c r="R990" s="16"/>
      <c r="S990" s="16">
        <v>-2.0</v>
      </c>
      <c r="T990" s="16"/>
      <c r="U990" s="16" t="s">
        <v>4376</v>
      </c>
      <c r="V990" s="16" t="s">
        <v>4377</v>
      </c>
      <c r="W990" s="16" t="s">
        <v>491</v>
      </c>
      <c r="X990" s="16" t="s">
        <v>181</v>
      </c>
      <c r="Y990" s="100"/>
      <c r="Z990" s="16" t="s">
        <v>181</v>
      </c>
    </row>
    <row r="991">
      <c r="A991" s="16">
        <v>13481.0</v>
      </c>
      <c r="B991" s="16" t="s">
        <v>4378</v>
      </c>
      <c r="C991" s="16">
        <v>1.87</v>
      </c>
      <c r="D991" s="174" t="s">
        <v>4379</v>
      </c>
      <c r="E991" s="16"/>
      <c r="F991" s="16">
        <v>560.0</v>
      </c>
      <c r="G991" s="16" t="s">
        <v>245</v>
      </c>
      <c r="H991" s="16" t="s">
        <v>12</v>
      </c>
      <c r="I991" s="16"/>
      <c r="J991" s="16"/>
      <c r="K991" s="16"/>
      <c r="L991" s="16"/>
      <c r="M991" s="16"/>
      <c r="N991" s="16"/>
      <c r="O991" s="16"/>
      <c r="P991" s="16"/>
      <c r="Q991" s="16"/>
      <c r="R991" s="16"/>
      <c r="S991" s="16">
        <v>-2.0</v>
      </c>
      <c r="T991" s="16"/>
      <c r="U991" s="16" t="s">
        <v>4380</v>
      </c>
      <c r="V991" s="16" t="s">
        <v>4381</v>
      </c>
      <c r="W991" s="16" t="s">
        <v>675</v>
      </c>
      <c r="X991" s="16" t="s">
        <v>181</v>
      </c>
      <c r="Y991" s="100"/>
      <c r="Z991" s="16" t="s">
        <v>181</v>
      </c>
    </row>
    <row r="992">
      <c r="A992" s="16">
        <v>13482.0</v>
      </c>
      <c r="B992" s="16" t="s">
        <v>4382</v>
      </c>
      <c r="C992" s="16">
        <v>0.0</v>
      </c>
      <c r="D992" s="174" t="s">
        <v>4383</v>
      </c>
      <c r="E992" s="16"/>
      <c r="F992" s="16">
        <v>547.0</v>
      </c>
      <c r="G992" s="16" t="s">
        <v>176</v>
      </c>
      <c r="H992" s="16" t="s">
        <v>25</v>
      </c>
      <c r="I992" s="16" t="s">
        <v>26</v>
      </c>
      <c r="J992" s="16"/>
      <c r="K992" s="16"/>
      <c r="L992" s="16"/>
      <c r="M992" s="16"/>
      <c r="N992" s="16"/>
      <c r="O992" s="16"/>
      <c r="P992" s="16"/>
      <c r="Q992" s="16"/>
      <c r="R992" s="16"/>
      <c r="S992" s="16">
        <v>-2.0</v>
      </c>
      <c r="T992" s="16"/>
      <c r="U992" s="16" t="s">
        <v>4384</v>
      </c>
      <c r="V992" s="16" t="s">
        <v>4385</v>
      </c>
      <c r="W992" s="16" t="s">
        <v>566</v>
      </c>
      <c r="X992" s="16" t="s">
        <v>181</v>
      </c>
      <c r="Y992" s="100"/>
      <c r="Z992" s="16" t="s">
        <v>181</v>
      </c>
    </row>
    <row r="993">
      <c r="A993" s="16">
        <v>13483.0</v>
      </c>
      <c r="B993" s="16" t="s">
        <v>4386</v>
      </c>
      <c r="C993" s="16">
        <v>1.02</v>
      </c>
      <c r="D993" s="174" t="s">
        <v>4387</v>
      </c>
      <c r="E993" s="16"/>
      <c r="F993" s="16">
        <v>548.0</v>
      </c>
      <c r="G993" s="16" t="s">
        <v>126</v>
      </c>
      <c r="H993" s="16" t="s">
        <v>25</v>
      </c>
      <c r="I993" s="16" t="s">
        <v>26</v>
      </c>
      <c r="J993" s="16"/>
      <c r="K993" s="16"/>
      <c r="L993" s="16"/>
      <c r="M993" s="16"/>
      <c r="N993" s="16"/>
      <c r="O993" s="16"/>
      <c r="P993" s="16"/>
      <c r="Q993" s="16"/>
      <c r="R993" s="16"/>
      <c r="S993" s="16">
        <v>-2.0</v>
      </c>
      <c r="T993" s="16"/>
      <c r="U993" s="16" t="s">
        <v>4388</v>
      </c>
      <c r="V993" s="16" t="s">
        <v>4389</v>
      </c>
      <c r="W993" s="16" t="s">
        <v>491</v>
      </c>
      <c r="X993" s="16" t="s">
        <v>181</v>
      </c>
      <c r="Y993" s="100"/>
      <c r="Z993" s="16" t="s">
        <v>181</v>
      </c>
    </row>
    <row r="994">
      <c r="A994" s="16">
        <v>13484.0</v>
      </c>
      <c r="B994" s="16" t="s">
        <v>4390</v>
      </c>
      <c r="C994" s="16">
        <v>2.36</v>
      </c>
      <c r="D994" s="174" t="s">
        <v>4391</v>
      </c>
      <c r="E994" s="16"/>
      <c r="F994" s="16">
        <v>589.0</v>
      </c>
      <c r="G994" s="16" t="s">
        <v>1729</v>
      </c>
      <c r="H994" s="16" t="s">
        <v>14</v>
      </c>
      <c r="I994" s="16" t="s">
        <v>13</v>
      </c>
      <c r="J994" s="16"/>
      <c r="K994" s="16"/>
      <c r="L994" s="16"/>
      <c r="M994" s="16"/>
      <c r="N994" s="16"/>
      <c r="O994" s="16"/>
      <c r="P994" s="16"/>
      <c r="Q994" s="16"/>
      <c r="R994" s="16"/>
      <c r="S994" s="16">
        <v>-2.0</v>
      </c>
      <c r="T994" s="16"/>
      <c r="U994" s="16" t="s">
        <v>4392</v>
      </c>
      <c r="V994" s="16" t="s">
        <v>4393</v>
      </c>
      <c r="W994" s="16" t="s">
        <v>399</v>
      </c>
      <c r="X994" s="16" t="s">
        <v>181</v>
      </c>
      <c r="Y994" s="100"/>
      <c r="Z994" s="16" t="s">
        <v>181</v>
      </c>
    </row>
    <row r="995">
      <c r="A995" s="16">
        <v>13485.0</v>
      </c>
      <c r="B995" s="16" t="s">
        <v>4394</v>
      </c>
      <c r="C995" s="16">
        <v>0.73</v>
      </c>
      <c r="D995" s="174" t="s">
        <v>4395</v>
      </c>
      <c r="E995" s="16"/>
      <c r="F995" s="16">
        <v>574.0</v>
      </c>
      <c r="G995" s="16" t="s">
        <v>672</v>
      </c>
      <c r="H995" s="16" t="s">
        <v>16</v>
      </c>
      <c r="I995" s="16" t="s">
        <v>14</v>
      </c>
      <c r="J995" s="16" t="s">
        <v>17</v>
      </c>
      <c r="K995" s="16" t="s">
        <v>18</v>
      </c>
      <c r="L995" s="16" t="s">
        <v>15</v>
      </c>
      <c r="M995" s="16"/>
      <c r="N995" s="16"/>
      <c r="O995" s="16"/>
      <c r="P995" s="16"/>
      <c r="Q995" s="16"/>
      <c r="R995" s="16"/>
      <c r="S995" s="16">
        <v>-2.0</v>
      </c>
      <c r="T995" s="16"/>
      <c r="U995" s="16" t="s">
        <v>4396</v>
      </c>
      <c r="V995" s="16" t="s">
        <v>4397</v>
      </c>
      <c r="W995" s="16" t="s">
        <v>188</v>
      </c>
      <c r="X995" s="16" t="s">
        <v>181</v>
      </c>
      <c r="Y995" s="100"/>
      <c r="Z995" s="16" t="s">
        <v>181</v>
      </c>
    </row>
    <row r="996">
      <c r="A996" s="16">
        <v>13486.0</v>
      </c>
      <c r="B996" s="16" t="s">
        <v>4398</v>
      </c>
      <c r="C996" s="16">
        <v>2.09</v>
      </c>
      <c r="D996" s="174" t="s">
        <v>4399</v>
      </c>
      <c r="E996" s="16"/>
      <c r="F996" s="16">
        <v>563.0</v>
      </c>
      <c r="G996" s="16" t="s">
        <v>260</v>
      </c>
      <c r="H996" s="16" t="s">
        <v>12</v>
      </c>
      <c r="I996" s="16"/>
      <c r="J996" s="16"/>
      <c r="K996" s="16"/>
      <c r="L996" s="16"/>
      <c r="M996" s="16"/>
      <c r="N996" s="16"/>
      <c r="O996" s="16"/>
      <c r="P996" s="16"/>
      <c r="Q996" s="16"/>
      <c r="R996" s="16"/>
      <c r="S996" s="16">
        <v>-2.0</v>
      </c>
      <c r="T996" s="16"/>
      <c r="U996" s="16" t="s">
        <v>4400</v>
      </c>
      <c r="V996" s="16" t="s">
        <v>4401</v>
      </c>
      <c r="W996" s="16" t="s">
        <v>188</v>
      </c>
      <c r="X996" s="16" t="s">
        <v>181</v>
      </c>
      <c r="Y996" s="100"/>
      <c r="Z996" s="16" t="s">
        <v>181</v>
      </c>
    </row>
    <row r="997">
      <c r="A997" s="16">
        <v>13487.0</v>
      </c>
      <c r="B997" s="16" t="s">
        <v>4402</v>
      </c>
      <c r="C997" s="16">
        <v>0.0</v>
      </c>
      <c r="D997" s="174" t="s">
        <v>4403</v>
      </c>
      <c r="E997" s="16"/>
      <c r="F997" s="16">
        <v>547.0</v>
      </c>
      <c r="G997" s="16" t="s">
        <v>176</v>
      </c>
      <c r="H997" s="16" t="s">
        <v>13</v>
      </c>
      <c r="I997" s="16" t="s">
        <v>17</v>
      </c>
      <c r="J997" s="16"/>
      <c r="K997" s="16"/>
      <c r="L997" s="16"/>
      <c r="M997" s="16"/>
      <c r="N997" s="16"/>
      <c r="O997" s="16"/>
      <c r="P997" s="16"/>
      <c r="Q997" s="16"/>
      <c r="R997" s="16"/>
      <c r="S997" s="16">
        <v>-2.0</v>
      </c>
      <c r="T997" s="16"/>
      <c r="U997" s="16" t="s">
        <v>4404</v>
      </c>
      <c r="V997" s="16" t="s">
        <v>4405</v>
      </c>
      <c r="W997" s="16" t="s">
        <v>332</v>
      </c>
      <c r="X997" s="16" t="s">
        <v>181</v>
      </c>
      <c r="Y997" s="100"/>
      <c r="Z997" s="16" t="s">
        <v>181</v>
      </c>
    </row>
    <row r="998">
      <c r="A998" s="16">
        <v>13488.0</v>
      </c>
      <c r="B998" s="16" t="s">
        <v>4406</v>
      </c>
      <c r="C998" s="16">
        <v>2.43</v>
      </c>
      <c r="D998" s="174" t="s">
        <v>4407</v>
      </c>
      <c r="E998" s="16"/>
      <c r="F998" s="16">
        <v>582.0</v>
      </c>
      <c r="G998" s="16" t="s">
        <v>1667</v>
      </c>
      <c r="H998" s="16" t="s">
        <v>12</v>
      </c>
      <c r="I998" s="16"/>
      <c r="J998" s="16"/>
      <c r="K998" s="16"/>
      <c r="L998" s="16"/>
      <c r="M998" s="16"/>
      <c r="N998" s="16"/>
      <c r="O998" s="16"/>
      <c r="P998" s="16"/>
      <c r="Q998" s="16"/>
      <c r="R998" s="16" t="s">
        <v>1435</v>
      </c>
      <c r="S998" s="16">
        <v>-2.0</v>
      </c>
      <c r="T998" s="16"/>
      <c r="U998" s="16" t="s">
        <v>4408</v>
      </c>
      <c r="V998" s="16" t="s">
        <v>4409</v>
      </c>
      <c r="W998" s="16" t="s">
        <v>942</v>
      </c>
      <c r="X998" s="16" t="s">
        <v>181</v>
      </c>
      <c r="Y998" s="100"/>
      <c r="Z998" s="16" t="s">
        <v>181</v>
      </c>
    </row>
    <row r="999">
      <c r="A999" s="16">
        <v>13489.0</v>
      </c>
      <c r="B999" s="16" t="s">
        <v>4410</v>
      </c>
      <c r="C999" s="16">
        <v>1.31</v>
      </c>
      <c r="D999" s="174" t="s">
        <v>4411</v>
      </c>
      <c r="E999" s="16"/>
      <c r="F999" s="16">
        <v>593.0</v>
      </c>
      <c r="G999" s="16" t="s">
        <v>272</v>
      </c>
      <c r="H999" s="16" t="s">
        <v>16</v>
      </c>
      <c r="I999" s="16"/>
      <c r="J999" s="16"/>
      <c r="K999" s="16"/>
      <c r="L999" s="16"/>
      <c r="M999" s="16"/>
      <c r="N999" s="16"/>
      <c r="O999" s="16"/>
      <c r="P999" s="16"/>
      <c r="Q999" s="16"/>
      <c r="R999" s="16"/>
      <c r="S999" s="16">
        <v>-2.0</v>
      </c>
      <c r="T999" s="174" t="s">
        <v>4412</v>
      </c>
      <c r="U999" s="16" t="s">
        <v>4413</v>
      </c>
      <c r="V999" s="16" t="s">
        <v>4414</v>
      </c>
      <c r="W999" s="16" t="s">
        <v>188</v>
      </c>
      <c r="X999" s="16" t="s">
        <v>181</v>
      </c>
      <c r="Y999" s="100"/>
      <c r="Z999" s="16" t="s">
        <v>181</v>
      </c>
    </row>
    <row r="1000">
      <c r="A1000" s="16">
        <v>13490.0</v>
      </c>
      <c r="B1000" s="16" t="s">
        <v>4415</v>
      </c>
      <c r="C1000" s="16">
        <v>0.0</v>
      </c>
      <c r="D1000" s="174" t="s">
        <v>4416</v>
      </c>
      <c r="E1000" s="16"/>
      <c r="F1000" s="16">
        <v>547.0</v>
      </c>
      <c r="G1000" s="16" t="s">
        <v>176</v>
      </c>
      <c r="H1000" s="16" t="s">
        <v>13</v>
      </c>
      <c r="I1000" s="16" t="s">
        <v>15</v>
      </c>
      <c r="J1000" s="16"/>
      <c r="K1000" s="16"/>
      <c r="L1000" s="16"/>
      <c r="M1000" s="16"/>
      <c r="N1000" s="16"/>
      <c r="O1000" s="16"/>
      <c r="P1000" s="16"/>
      <c r="Q1000" s="16"/>
      <c r="R1000" s="16"/>
      <c r="S1000" s="16">
        <v>-2.0</v>
      </c>
      <c r="T1000" s="16"/>
      <c r="U1000" s="16" t="s">
        <v>4417</v>
      </c>
      <c r="V1000" s="16" t="s">
        <v>4418</v>
      </c>
      <c r="W1000" s="16" t="s">
        <v>942</v>
      </c>
      <c r="X1000" s="16" t="s">
        <v>181</v>
      </c>
      <c r="Y1000" s="100"/>
      <c r="Z1000" s="16" t="s">
        <v>181</v>
      </c>
    </row>
    <row r="1001">
      <c r="A1001" s="16">
        <v>13491.0</v>
      </c>
      <c r="B1001" s="16" t="s">
        <v>4419</v>
      </c>
      <c r="C1001" s="16">
        <v>2.21</v>
      </c>
      <c r="D1001" s="174" t="s">
        <v>4420</v>
      </c>
      <c r="E1001" s="16"/>
      <c r="F1001" s="16">
        <v>590.0</v>
      </c>
      <c r="G1001" s="16" t="s">
        <v>387</v>
      </c>
      <c r="H1001" s="16" t="s">
        <v>19</v>
      </c>
      <c r="I1001" s="16" t="s">
        <v>17</v>
      </c>
      <c r="J1001" s="16"/>
      <c r="K1001" s="16"/>
      <c r="L1001" s="16"/>
      <c r="M1001" s="16"/>
      <c r="N1001" s="16"/>
      <c r="O1001" s="16"/>
      <c r="P1001" s="16"/>
      <c r="Q1001" s="16"/>
      <c r="R1001" s="16"/>
      <c r="S1001" s="16">
        <v>-2.0</v>
      </c>
      <c r="T1001" s="16"/>
      <c r="U1001" s="16" t="s">
        <v>4421</v>
      </c>
      <c r="V1001" s="16" t="s">
        <v>4422</v>
      </c>
      <c r="W1001" s="16" t="s">
        <v>675</v>
      </c>
      <c r="X1001" s="16" t="s">
        <v>181</v>
      </c>
      <c r="Y1001" s="100"/>
      <c r="Z1001" s="16" t="s">
        <v>181</v>
      </c>
    </row>
    <row r="1002">
      <c r="A1002" s="16">
        <v>13492.0</v>
      </c>
      <c r="B1002" s="16" t="s">
        <v>4423</v>
      </c>
      <c r="C1002" s="16">
        <v>2.03</v>
      </c>
      <c r="D1002" s="174" t="s">
        <v>4424</v>
      </c>
      <c r="E1002" s="16"/>
      <c r="F1002" s="16">
        <v>595.0</v>
      </c>
      <c r="G1002" s="16" t="s">
        <v>415</v>
      </c>
      <c r="H1002" s="16" t="s">
        <v>17</v>
      </c>
      <c r="I1002" s="16" t="s">
        <v>18</v>
      </c>
      <c r="J1002" s="16"/>
      <c r="K1002" s="16"/>
      <c r="L1002" s="16"/>
      <c r="M1002" s="16"/>
      <c r="N1002" s="16"/>
      <c r="O1002" s="16"/>
      <c r="P1002" s="16"/>
      <c r="Q1002" s="16"/>
      <c r="R1002" s="16"/>
      <c r="S1002" s="16">
        <v>-2.0</v>
      </c>
      <c r="T1002" s="16"/>
      <c r="U1002" s="16" t="s">
        <v>4425</v>
      </c>
      <c r="V1002" s="16" t="s">
        <v>4426</v>
      </c>
      <c r="W1002" s="16" t="s">
        <v>675</v>
      </c>
      <c r="X1002" s="16" t="s">
        <v>181</v>
      </c>
      <c r="Y1002" s="100"/>
      <c r="Z1002" s="16" t="s">
        <v>181</v>
      </c>
    </row>
    <row r="1003">
      <c r="A1003" s="16">
        <v>13493.0</v>
      </c>
      <c r="B1003" s="16" t="s">
        <v>4427</v>
      </c>
      <c r="C1003" s="16">
        <v>0.45</v>
      </c>
      <c r="D1003" s="174" t="s">
        <v>4428</v>
      </c>
      <c r="E1003" s="16"/>
      <c r="F1003" s="16">
        <v>547.0</v>
      </c>
      <c r="G1003" s="16" t="s">
        <v>176</v>
      </c>
      <c r="H1003" s="16" t="s">
        <v>14</v>
      </c>
      <c r="I1003" s="16" t="s">
        <v>16</v>
      </c>
      <c r="J1003" s="16"/>
      <c r="K1003" s="16"/>
      <c r="L1003" s="16"/>
      <c r="M1003" s="16"/>
      <c r="N1003" s="16"/>
      <c r="O1003" s="16"/>
      <c r="P1003" s="16"/>
      <c r="Q1003" s="16"/>
      <c r="R1003" s="16"/>
      <c r="S1003" s="16">
        <v>-2.0</v>
      </c>
      <c r="T1003" s="16"/>
      <c r="U1003" s="16" t="s">
        <v>4429</v>
      </c>
      <c r="V1003" s="16" t="s">
        <v>4430</v>
      </c>
      <c r="W1003" s="16" t="s">
        <v>661</v>
      </c>
      <c r="X1003" s="16" t="s">
        <v>181</v>
      </c>
      <c r="Y1003" s="100"/>
      <c r="Z1003" s="16" t="s">
        <v>181</v>
      </c>
    </row>
    <row r="1004">
      <c r="A1004" s="16">
        <v>13494.0</v>
      </c>
      <c r="B1004" s="16" t="s">
        <v>4431</v>
      </c>
      <c r="C1004" s="16">
        <v>1.91</v>
      </c>
      <c r="D1004" s="174" t="s">
        <v>4432</v>
      </c>
      <c r="E1004" s="16"/>
      <c r="F1004" s="16">
        <v>579.0</v>
      </c>
      <c r="G1004" s="16" t="s">
        <v>465</v>
      </c>
      <c r="H1004" s="16" t="s">
        <v>16</v>
      </c>
      <c r="I1004" s="16" t="s">
        <v>14</v>
      </c>
      <c r="J1004" s="16"/>
      <c r="K1004" s="16"/>
      <c r="L1004" s="16"/>
      <c r="M1004" s="16"/>
      <c r="N1004" s="16"/>
      <c r="O1004" s="16"/>
      <c r="P1004" s="16"/>
      <c r="Q1004" s="16"/>
      <c r="R1004" s="16" t="s">
        <v>466</v>
      </c>
      <c r="S1004" s="16">
        <v>-2.0</v>
      </c>
      <c r="T1004" s="16"/>
      <c r="U1004" s="16" t="s">
        <v>4433</v>
      </c>
      <c r="V1004" s="16" t="s">
        <v>4434</v>
      </c>
      <c r="W1004" s="16" t="s">
        <v>942</v>
      </c>
      <c r="X1004" s="16" t="s">
        <v>181</v>
      </c>
      <c r="Y1004" s="100"/>
      <c r="Z1004" s="16" t="s">
        <v>181</v>
      </c>
    </row>
    <row r="1005">
      <c r="A1005" s="16">
        <v>13495.0</v>
      </c>
      <c r="B1005" s="16" t="s">
        <v>4435</v>
      </c>
      <c r="C1005" s="16">
        <v>0.34</v>
      </c>
      <c r="D1005" s="174" t="s">
        <v>4436</v>
      </c>
      <c r="E1005" s="16"/>
      <c r="F1005" s="16">
        <v>557.0</v>
      </c>
      <c r="G1005" s="16" t="s">
        <v>232</v>
      </c>
      <c r="H1005" s="16" t="s">
        <v>24</v>
      </c>
      <c r="I1005" s="16" t="s">
        <v>25</v>
      </c>
      <c r="J1005" s="16"/>
      <c r="K1005" s="16"/>
      <c r="L1005" s="16"/>
      <c r="M1005" s="16"/>
      <c r="N1005" s="16"/>
      <c r="O1005" s="16"/>
      <c r="P1005" s="16"/>
      <c r="Q1005" s="16"/>
      <c r="R1005" s="16"/>
      <c r="S1005" s="16">
        <v>-2.0</v>
      </c>
      <c r="T1005" s="16"/>
      <c r="U1005" s="16" t="s">
        <v>4437</v>
      </c>
      <c r="V1005" s="16" t="s">
        <v>4438</v>
      </c>
      <c r="W1005" s="16" t="s">
        <v>478</v>
      </c>
      <c r="X1005" s="16" t="s">
        <v>181</v>
      </c>
      <c r="Y1005" s="100"/>
      <c r="Z1005" s="16" t="s">
        <v>181</v>
      </c>
    </row>
    <row r="1006">
      <c r="A1006" s="16">
        <v>13496.0</v>
      </c>
      <c r="B1006" s="16" t="s">
        <v>4439</v>
      </c>
      <c r="C1006" s="16">
        <v>1.5</v>
      </c>
      <c r="D1006" s="174" t="s">
        <v>4440</v>
      </c>
      <c r="E1006" s="16"/>
      <c r="F1006" s="16">
        <v>590.0</v>
      </c>
      <c r="G1006" s="16" t="s">
        <v>387</v>
      </c>
      <c r="H1006" s="16" t="s">
        <v>12</v>
      </c>
      <c r="I1006" s="16" t="s">
        <v>13</v>
      </c>
      <c r="J1006" s="16"/>
      <c r="K1006" s="16"/>
      <c r="L1006" s="16"/>
      <c r="M1006" s="16"/>
      <c r="N1006" s="16"/>
      <c r="O1006" s="16"/>
      <c r="P1006" s="16"/>
      <c r="Q1006" s="16"/>
      <c r="R1006" s="16"/>
      <c r="S1006" s="16">
        <v>-2.0</v>
      </c>
      <c r="T1006" s="16"/>
      <c r="U1006" s="16" t="s">
        <v>4441</v>
      </c>
      <c r="V1006" s="16" t="s">
        <v>4442</v>
      </c>
      <c r="W1006" s="16" t="s">
        <v>188</v>
      </c>
      <c r="X1006" s="16" t="s">
        <v>181</v>
      </c>
      <c r="Y1006" s="100"/>
      <c r="Z1006" s="16" t="s">
        <v>181</v>
      </c>
    </row>
    <row r="1007">
      <c r="A1007" s="16">
        <v>13497.0</v>
      </c>
      <c r="B1007" s="16" t="s">
        <v>4443</v>
      </c>
      <c r="C1007" s="16">
        <v>0.0</v>
      </c>
      <c r="D1007" s="174" t="s">
        <v>4444</v>
      </c>
      <c r="E1007" s="16"/>
      <c r="F1007" s="16">
        <v>547.0</v>
      </c>
      <c r="G1007" s="16" t="s">
        <v>176</v>
      </c>
      <c r="H1007" s="16" t="s">
        <v>12</v>
      </c>
      <c r="I1007" s="16"/>
      <c r="J1007" s="16"/>
      <c r="K1007" s="16"/>
      <c r="L1007" s="16"/>
      <c r="M1007" s="16"/>
      <c r="N1007" s="16"/>
      <c r="O1007" s="16"/>
      <c r="P1007" s="16"/>
      <c r="Q1007" s="16"/>
      <c r="R1007" s="16"/>
      <c r="S1007" s="16">
        <v>-2.0</v>
      </c>
      <c r="T1007" s="16"/>
      <c r="U1007" s="16" t="s">
        <v>4445</v>
      </c>
      <c r="V1007" s="16" t="s">
        <v>4446</v>
      </c>
      <c r="W1007" s="16" t="s">
        <v>399</v>
      </c>
      <c r="X1007" s="16" t="s">
        <v>181</v>
      </c>
      <c r="Y1007" s="100"/>
      <c r="Z1007" s="16" t="s">
        <v>181</v>
      </c>
    </row>
    <row r="1008">
      <c r="A1008" s="16">
        <v>13498.0</v>
      </c>
      <c r="B1008" s="16" t="s">
        <v>4447</v>
      </c>
      <c r="C1008" s="16">
        <v>0.75</v>
      </c>
      <c r="D1008" s="174" t="s">
        <v>4448</v>
      </c>
      <c r="E1008" s="16"/>
      <c r="F1008" s="16">
        <v>563.0</v>
      </c>
      <c r="G1008" s="16" t="s">
        <v>260</v>
      </c>
      <c r="H1008" s="16" t="s">
        <v>13</v>
      </c>
      <c r="I1008" s="16"/>
      <c r="J1008" s="16"/>
      <c r="K1008" s="16"/>
      <c r="L1008" s="16"/>
      <c r="M1008" s="16"/>
      <c r="N1008" s="16"/>
      <c r="O1008" s="16"/>
      <c r="P1008" s="16"/>
      <c r="Q1008" s="16"/>
      <c r="R1008" s="16"/>
      <c r="S1008" s="16">
        <v>-2.0</v>
      </c>
      <c r="T1008" s="16"/>
      <c r="U1008" s="16" t="s">
        <v>4449</v>
      </c>
      <c r="V1008" s="16" t="s">
        <v>4450</v>
      </c>
      <c r="W1008" s="16" t="s">
        <v>443</v>
      </c>
      <c r="X1008" s="16" t="s">
        <v>181</v>
      </c>
      <c r="Y1008" s="100"/>
      <c r="Z1008" s="16" t="s">
        <v>181</v>
      </c>
    </row>
    <row r="1009">
      <c r="A1009" s="16">
        <v>13499.0</v>
      </c>
      <c r="B1009" s="16" t="s">
        <v>4451</v>
      </c>
      <c r="C1009" s="16">
        <v>0.0</v>
      </c>
      <c r="D1009" s="174" t="s">
        <v>4452</v>
      </c>
      <c r="E1009" s="16"/>
      <c r="F1009" s="16">
        <v>574.0</v>
      </c>
      <c r="G1009" s="16" t="s">
        <v>672</v>
      </c>
      <c r="H1009" s="16" t="s">
        <v>24</v>
      </c>
      <c r="I1009" s="16"/>
      <c r="J1009" s="16"/>
      <c r="K1009" s="16"/>
      <c r="L1009" s="16"/>
      <c r="M1009" s="16"/>
      <c r="N1009" s="16"/>
      <c r="O1009" s="16"/>
      <c r="P1009" s="16"/>
      <c r="Q1009" s="16"/>
      <c r="R1009" s="16"/>
      <c r="S1009" s="16">
        <v>-2.0</v>
      </c>
      <c r="T1009" s="16"/>
      <c r="U1009" s="16" t="s">
        <v>4453</v>
      </c>
      <c r="V1009" s="16" t="s">
        <v>4454</v>
      </c>
      <c r="W1009" s="16" t="s">
        <v>259</v>
      </c>
      <c r="X1009" s="16" t="s">
        <v>181</v>
      </c>
      <c r="Y1009" s="100"/>
      <c r="Z1009" s="16" t="s">
        <v>181</v>
      </c>
    </row>
    <row r="1010">
      <c r="A1010" s="16">
        <v>13500.0</v>
      </c>
      <c r="B1010" s="16" t="s">
        <v>4455</v>
      </c>
      <c r="C1010" s="16">
        <v>0.43</v>
      </c>
      <c r="D1010" s="174" t="s">
        <v>4456</v>
      </c>
      <c r="E1010" s="16"/>
      <c r="F1010" s="16">
        <v>547.0</v>
      </c>
      <c r="G1010" s="16" t="s">
        <v>176</v>
      </c>
      <c r="H1010" s="16" t="s">
        <v>12</v>
      </c>
      <c r="I1010" s="16" t="s">
        <v>13</v>
      </c>
      <c r="J1010" s="16"/>
      <c r="K1010" s="16"/>
      <c r="L1010" s="16"/>
      <c r="M1010" s="16"/>
      <c r="N1010" s="16"/>
      <c r="O1010" s="16"/>
      <c r="P1010" s="16"/>
      <c r="Q1010" s="16"/>
      <c r="R1010" s="16"/>
      <c r="S1010" s="16">
        <v>-2.0</v>
      </c>
      <c r="T1010" s="16"/>
      <c r="U1010" s="16" t="s">
        <v>4457</v>
      </c>
      <c r="V1010" s="16" t="s">
        <v>4458</v>
      </c>
      <c r="W1010" s="16" t="s">
        <v>634</v>
      </c>
      <c r="X1010" s="16" t="s">
        <v>181</v>
      </c>
      <c r="Y1010" s="100"/>
      <c r="Z1010" s="16" t="s">
        <v>181</v>
      </c>
    </row>
    <row r="1011">
      <c r="A1011" s="16">
        <v>13501.0</v>
      </c>
      <c r="B1011" s="16" t="s">
        <v>4459</v>
      </c>
      <c r="C1011" s="16">
        <v>0.38</v>
      </c>
      <c r="D1011" s="174" t="s">
        <v>4460</v>
      </c>
      <c r="E1011" s="16"/>
      <c r="F1011" s="16">
        <v>547.0</v>
      </c>
      <c r="G1011" s="16" t="s">
        <v>176</v>
      </c>
      <c r="H1011" s="16" t="s">
        <v>25</v>
      </c>
      <c r="I1011" s="16" t="s">
        <v>26</v>
      </c>
      <c r="J1011" s="16"/>
      <c r="K1011" s="16"/>
      <c r="L1011" s="16"/>
      <c r="M1011" s="16"/>
      <c r="N1011" s="16"/>
      <c r="O1011" s="16"/>
      <c r="P1011" s="16"/>
      <c r="Q1011" s="16"/>
      <c r="R1011" s="16"/>
      <c r="S1011" s="16">
        <v>-2.0</v>
      </c>
      <c r="T1011" s="16"/>
      <c r="U1011" s="16" t="s">
        <v>4461</v>
      </c>
      <c r="V1011" s="16" t="s">
        <v>4462</v>
      </c>
      <c r="W1011" s="16" t="s">
        <v>231</v>
      </c>
      <c r="X1011" s="16" t="s">
        <v>181</v>
      </c>
      <c r="Y1011" s="100"/>
      <c r="Z1011" s="16" t="s">
        <v>181</v>
      </c>
    </row>
    <row r="1012">
      <c r="A1012" s="16">
        <v>13502.0</v>
      </c>
      <c r="B1012" s="16" t="s">
        <v>4463</v>
      </c>
      <c r="C1012" s="16">
        <v>0.0</v>
      </c>
      <c r="D1012" s="174" t="s">
        <v>4464</v>
      </c>
      <c r="E1012" s="16"/>
      <c r="F1012" s="16">
        <v>547.0</v>
      </c>
      <c r="G1012" s="16" t="s">
        <v>176</v>
      </c>
      <c r="H1012" s="16" t="s">
        <v>25</v>
      </c>
      <c r="I1012" s="16"/>
      <c r="J1012" s="16"/>
      <c r="K1012" s="16"/>
      <c r="L1012" s="16"/>
      <c r="M1012" s="16"/>
      <c r="N1012" s="16"/>
      <c r="O1012" s="16"/>
      <c r="P1012" s="16"/>
      <c r="Q1012" s="16"/>
      <c r="R1012" s="16"/>
      <c r="S1012" s="16">
        <v>-2.0</v>
      </c>
      <c r="T1012" s="16"/>
      <c r="U1012" s="16" t="s">
        <v>4465</v>
      </c>
      <c r="V1012" s="16" t="s">
        <v>4466</v>
      </c>
      <c r="W1012" s="16" t="s">
        <v>399</v>
      </c>
      <c r="X1012" s="16" t="s">
        <v>181</v>
      </c>
      <c r="Y1012" s="100"/>
      <c r="Z1012" s="16" t="s">
        <v>181</v>
      </c>
    </row>
    <row r="1013">
      <c r="A1013" s="16">
        <v>13503.0</v>
      </c>
      <c r="B1013" s="16" t="s">
        <v>4467</v>
      </c>
      <c r="C1013" s="16">
        <v>0.62</v>
      </c>
      <c r="D1013" s="174" t="s">
        <v>4468</v>
      </c>
      <c r="E1013" s="16"/>
      <c r="F1013" s="16">
        <v>590.0</v>
      </c>
      <c r="G1013" s="16" t="s">
        <v>387</v>
      </c>
      <c r="H1013" s="16" t="s">
        <v>25</v>
      </c>
      <c r="I1013" s="16" t="s">
        <v>26</v>
      </c>
      <c r="J1013" s="16"/>
      <c r="K1013" s="16"/>
      <c r="L1013" s="16"/>
      <c r="M1013" s="16"/>
      <c r="N1013" s="16"/>
      <c r="O1013" s="16"/>
      <c r="P1013" s="16"/>
      <c r="Q1013" s="16"/>
      <c r="R1013" s="16"/>
      <c r="S1013" s="16">
        <v>-2.0</v>
      </c>
      <c r="T1013" s="16"/>
      <c r="U1013" s="16" t="s">
        <v>4469</v>
      </c>
      <c r="V1013" s="16" t="s">
        <v>4470</v>
      </c>
      <c r="W1013" s="16" t="s">
        <v>942</v>
      </c>
      <c r="X1013" s="16" t="s">
        <v>181</v>
      </c>
      <c r="Y1013" s="100"/>
      <c r="Z1013" s="16" t="s">
        <v>181</v>
      </c>
    </row>
    <row r="1014">
      <c r="A1014" s="16">
        <v>13504.0</v>
      </c>
      <c r="B1014" s="16" t="s">
        <v>4471</v>
      </c>
      <c r="C1014" s="16">
        <v>0.0</v>
      </c>
      <c r="D1014" s="174" t="s">
        <v>4472</v>
      </c>
      <c r="E1014" s="16"/>
      <c r="F1014" s="16">
        <v>547.0</v>
      </c>
      <c r="G1014" s="16" t="s">
        <v>176</v>
      </c>
      <c r="H1014" s="16" t="s">
        <v>25</v>
      </c>
      <c r="I1014" s="16" t="s">
        <v>26</v>
      </c>
      <c r="J1014" s="16"/>
      <c r="K1014" s="16"/>
      <c r="L1014" s="16"/>
      <c r="M1014" s="16"/>
      <c r="N1014" s="16"/>
      <c r="O1014" s="16"/>
      <c r="P1014" s="16"/>
      <c r="Q1014" s="16"/>
      <c r="R1014" s="16"/>
      <c r="S1014" s="16">
        <v>-2.0</v>
      </c>
      <c r="T1014" s="16"/>
      <c r="U1014" s="16" t="s">
        <v>4473</v>
      </c>
      <c r="V1014" s="16" t="s">
        <v>4474</v>
      </c>
      <c r="W1014" s="16" t="s">
        <v>332</v>
      </c>
      <c r="X1014" s="16" t="s">
        <v>181</v>
      </c>
      <c r="Y1014" s="100"/>
      <c r="Z1014" s="16" t="s">
        <v>181</v>
      </c>
    </row>
    <row r="1015">
      <c r="A1015" s="16">
        <v>13505.0</v>
      </c>
      <c r="B1015" s="16" t="s">
        <v>4475</v>
      </c>
      <c r="C1015" s="16">
        <v>0.0</v>
      </c>
      <c r="D1015" s="174" t="s">
        <v>4476</v>
      </c>
      <c r="E1015" s="16"/>
      <c r="F1015" s="16">
        <v>547.0</v>
      </c>
      <c r="G1015" s="16" t="s">
        <v>176</v>
      </c>
      <c r="H1015" s="16" t="s">
        <v>24</v>
      </c>
      <c r="I1015" s="16"/>
      <c r="J1015" s="16"/>
      <c r="K1015" s="16"/>
      <c r="L1015" s="16"/>
      <c r="M1015" s="16"/>
      <c r="N1015" s="16"/>
      <c r="O1015" s="16"/>
      <c r="P1015" s="16"/>
      <c r="Q1015" s="16"/>
      <c r="R1015" s="16"/>
      <c r="S1015" s="16">
        <v>-2.0</v>
      </c>
      <c r="T1015" s="16"/>
      <c r="U1015" s="16" t="s">
        <v>4477</v>
      </c>
      <c r="V1015" s="16" t="s">
        <v>4478</v>
      </c>
      <c r="W1015" s="16" t="s">
        <v>199</v>
      </c>
      <c r="X1015" s="16" t="s">
        <v>181</v>
      </c>
      <c r="Y1015" s="100"/>
      <c r="Z1015" s="16" t="s">
        <v>181</v>
      </c>
    </row>
    <row r="1016">
      <c r="A1016" s="16">
        <v>13506.0</v>
      </c>
      <c r="B1016" s="16" t="s">
        <v>4479</v>
      </c>
      <c r="C1016" s="16">
        <v>2.47</v>
      </c>
      <c r="D1016" s="174" t="s">
        <v>4480</v>
      </c>
      <c r="E1016" s="16"/>
      <c r="F1016" s="16">
        <v>548.0</v>
      </c>
      <c r="G1016" s="16" t="s">
        <v>126</v>
      </c>
      <c r="H1016" s="16" t="s">
        <v>17</v>
      </c>
      <c r="I1016" s="16"/>
      <c r="J1016" s="16"/>
      <c r="K1016" s="16"/>
      <c r="L1016" s="16"/>
      <c r="M1016" s="16"/>
      <c r="N1016" s="16"/>
      <c r="O1016" s="16"/>
      <c r="P1016" s="16"/>
      <c r="Q1016" s="16"/>
      <c r="R1016" s="16"/>
      <c r="S1016" s="16">
        <v>-2.0</v>
      </c>
      <c r="T1016" s="16"/>
      <c r="U1016" s="16" t="s">
        <v>4481</v>
      </c>
      <c r="V1016" s="16" t="s">
        <v>4482</v>
      </c>
      <c r="W1016" s="16" t="s">
        <v>443</v>
      </c>
      <c r="X1016" s="16" t="s">
        <v>181</v>
      </c>
      <c r="Y1016" s="100"/>
      <c r="Z1016" s="16" t="s">
        <v>181</v>
      </c>
    </row>
    <row r="1017">
      <c r="A1017" s="16">
        <v>13507.0</v>
      </c>
      <c r="B1017" s="16" t="s">
        <v>68</v>
      </c>
      <c r="C1017" s="16">
        <v>1.42</v>
      </c>
      <c r="D1017" s="174" t="s">
        <v>4483</v>
      </c>
      <c r="E1017" s="16"/>
      <c r="F1017" s="16">
        <v>548.0</v>
      </c>
      <c r="G1017" s="16" t="s">
        <v>126</v>
      </c>
      <c r="H1017" s="16" t="s">
        <v>24</v>
      </c>
      <c r="I1017" s="16"/>
      <c r="J1017" s="16"/>
      <c r="K1017" s="16"/>
      <c r="L1017" s="16"/>
      <c r="M1017" s="16"/>
      <c r="N1017" s="16"/>
      <c r="O1017" s="16"/>
      <c r="P1017" s="16"/>
      <c r="Q1017" s="16"/>
      <c r="R1017" s="16"/>
      <c r="S1017" s="16">
        <v>-2.0</v>
      </c>
      <c r="T1017" s="16"/>
      <c r="U1017" s="16" t="s">
        <v>4484</v>
      </c>
      <c r="V1017" s="16" t="s">
        <v>4485</v>
      </c>
      <c r="W1017" s="16" t="s">
        <v>661</v>
      </c>
      <c r="X1017" s="16" t="s">
        <v>181</v>
      </c>
      <c r="Y1017" s="100"/>
      <c r="Z1017" s="16" t="s">
        <v>181</v>
      </c>
    </row>
    <row r="1018">
      <c r="A1018" s="16">
        <v>13508.0</v>
      </c>
      <c r="B1018" s="16" t="s">
        <v>4486</v>
      </c>
      <c r="C1018" s="16">
        <v>1.84</v>
      </c>
      <c r="D1018" s="174" t="s">
        <v>4487</v>
      </c>
      <c r="E1018" s="16"/>
      <c r="F1018" s="16">
        <v>586.0</v>
      </c>
      <c r="G1018" s="16" t="s">
        <v>623</v>
      </c>
      <c r="H1018" s="16" t="s">
        <v>24</v>
      </c>
      <c r="I1018" s="16"/>
      <c r="J1018" s="16"/>
      <c r="K1018" s="16"/>
      <c r="L1018" s="16"/>
      <c r="M1018" s="16"/>
      <c r="N1018" s="16"/>
      <c r="O1018" s="16"/>
      <c r="P1018" s="16"/>
      <c r="Q1018" s="16"/>
      <c r="R1018" s="16"/>
      <c r="S1018" s="16">
        <v>-2.0</v>
      </c>
      <c r="T1018" s="16"/>
      <c r="U1018" s="16" t="s">
        <v>4488</v>
      </c>
      <c r="V1018" s="16" t="s">
        <v>4489</v>
      </c>
      <c r="W1018" s="16" t="s">
        <v>473</v>
      </c>
      <c r="X1018" s="16" t="s">
        <v>181</v>
      </c>
      <c r="Y1018" s="100"/>
      <c r="Z1018" s="16" t="s">
        <v>181</v>
      </c>
    </row>
    <row r="1019">
      <c r="A1019" s="16">
        <v>13509.0</v>
      </c>
      <c r="B1019" s="16" t="s">
        <v>4490</v>
      </c>
      <c r="C1019" s="16">
        <v>0.61</v>
      </c>
      <c r="D1019" s="174" t="s">
        <v>4491</v>
      </c>
      <c r="E1019" s="16"/>
      <c r="F1019" s="16">
        <v>562.0</v>
      </c>
      <c r="G1019" s="16" t="s">
        <v>1381</v>
      </c>
      <c r="H1019" s="16" t="s">
        <v>25</v>
      </c>
      <c r="I1019" s="16"/>
      <c r="J1019" s="16"/>
      <c r="K1019" s="16"/>
      <c r="L1019" s="16"/>
      <c r="M1019" s="16"/>
      <c r="N1019" s="16"/>
      <c r="O1019" s="16"/>
      <c r="P1019" s="16"/>
      <c r="Q1019" s="16"/>
      <c r="R1019" s="16"/>
      <c r="S1019" s="16">
        <v>-2.0</v>
      </c>
      <c r="T1019" s="16"/>
      <c r="U1019" s="16" t="s">
        <v>4492</v>
      </c>
      <c r="V1019" s="16" t="s">
        <v>4493</v>
      </c>
      <c r="W1019" s="16" t="s">
        <v>179</v>
      </c>
      <c r="X1019" s="16" t="s">
        <v>181</v>
      </c>
      <c r="Y1019" s="100"/>
      <c r="Z1019" s="16" t="s">
        <v>181</v>
      </c>
    </row>
    <row r="1020">
      <c r="A1020" s="16">
        <v>13510.0</v>
      </c>
      <c r="B1020" s="16" t="s">
        <v>4494</v>
      </c>
      <c r="C1020" s="16">
        <v>0.27</v>
      </c>
      <c r="D1020" s="174" t="s">
        <v>4495</v>
      </c>
      <c r="E1020" s="16"/>
      <c r="F1020" s="16">
        <v>547.0</v>
      </c>
      <c r="G1020" s="16" t="s">
        <v>176</v>
      </c>
      <c r="H1020" s="16" t="s">
        <v>13</v>
      </c>
      <c r="I1020" s="16"/>
      <c r="J1020" s="16"/>
      <c r="K1020" s="16"/>
      <c r="L1020" s="16"/>
      <c r="M1020" s="16"/>
      <c r="N1020" s="16"/>
      <c r="O1020" s="16"/>
      <c r="P1020" s="16"/>
      <c r="Q1020" s="16"/>
      <c r="R1020" s="16"/>
      <c r="S1020" s="16">
        <v>-2.0</v>
      </c>
      <c r="T1020" s="16"/>
      <c r="U1020" s="16" t="s">
        <v>4496</v>
      </c>
      <c r="V1020" s="16" t="s">
        <v>4497</v>
      </c>
      <c r="W1020" s="16" t="s">
        <v>199</v>
      </c>
      <c r="X1020" s="16" t="s">
        <v>181</v>
      </c>
      <c r="Y1020" s="100"/>
      <c r="Z1020" s="16" t="s">
        <v>181</v>
      </c>
    </row>
    <row r="1021">
      <c r="A1021" s="16">
        <v>13511.0</v>
      </c>
      <c r="B1021" s="16" t="s">
        <v>4498</v>
      </c>
      <c r="C1021" s="16">
        <v>0.0</v>
      </c>
      <c r="D1021" s="174" t="s">
        <v>4499</v>
      </c>
      <c r="E1021" s="16"/>
      <c r="F1021" s="16">
        <v>547.0</v>
      </c>
      <c r="G1021" s="16" t="s">
        <v>176</v>
      </c>
      <c r="H1021" s="16" t="s">
        <v>25</v>
      </c>
      <c r="I1021" s="16"/>
      <c r="J1021" s="16"/>
      <c r="K1021" s="16"/>
      <c r="L1021" s="16"/>
      <c r="M1021" s="16"/>
      <c r="N1021" s="16"/>
      <c r="O1021" s="16"/>
      <c r="P1021" s="16"/>
      <c r="Q1021" s="16"/>
      <c r="R1021" s="16"/>
      <c r="S1021" s="16">
        <v>-2.0</v>
      </c>
      <c r="T1021" s="16"/>
      <c r="U1021" s="16" t="s">
        <v>4500</v>
      </c>
      <c r="V1021" s="16" t="s">
        <v>4501</v>
      </c>
      <c r="W1021" s="16" t="s">
        <v>422</v>
      </c>
      <c r="X1021" s="16" t="s">
        <v>181</v>
      </c>
      <c r="Y1021" s="100"/>
      <c r="Z1021" s="16" t="s">
        <v>181</v>
      </c>
    </row>
    <row r="1022">
      <c r="A1022" s="16">
        <v>13512.0</v>
      </c>
      <c r="B1022" s="16" t="s">
        <v>4502</v>
      </c>
      <c r="C1022" s="16">
        <v>0.72</v>
      </c>
      <c r="D1022" s="174" t="s">
        <v>4503</v>
      </c>
      <c r="E1022" s="16"/>
      <c r="F1022" s="16">
        <v>581.0</v>
      </c>
      <c r="G1022" s="16" t="s">
        <v>346</v>
      </c>
      <c r="H1022" s="16" t="s">
        <v>24</v>
      </c>
      <c r="I1022" s="16"/>
      <c r="J1022" s="16"/>
      <c r="K1022" s="16"/>
      <c r="L1022" s="16"/>
      <c r="M1022" s="16"/>
      <c r="N1022" s="16"/>
      <c r="O1022" s="16"/>
      <c r="P1022" s="16"/>
      <c r="Q1022" s="16"/>
      <c r="R1022" s="16"/>
      <c r="S1022" s="16">
        <v>-2.0</v>
      </c>
      <c r="T1022" s="16"/>
      <c r="U1022" s="16" t="s">
        <v>4504</v>
      </c>
      <c r="V1022" s="16" t="s">
        <v>4505</v>
      </c>
      <c r="W1022" s="16" t="s">
        <v>231</v>
      </c>
      <c r="X1022" s="16" t="s">
        <v>181</v>
      </c>
      <c r="Y1022" s="100"/>
      <c r="Z1022" s="16" t="s">
        <v>181</v>
      </c>
    </row>
    <row r="1023">
      <c r="A1023" s="16">
        <v>13513.0</v>
      </c>
      <c r="B1023" s="16" t="s">
        <v>4506</v>
      </c>
      <c r="C1023" s="16">
        <v>1.37</v>
      </c>
      <c r="D1023" s="174" t="s">
        <v>4507</v>
      </c>
      <c r="E1023" s="16"/>
      <c r="F1023" s="16">
        <v>548.0</v>
      </c>
      <c r="G1023" s="16" t="s">
        <v>126</v>
      </c>
      <c r="H1023" s="16" t="s">
        <v>24</v>
      </c>
      <c r="I1023" s="16"/>
      <c r="J1023" s="16"/>
      <c r="K1023" s="16"/>
      <c r="L1023" s="16"/>
      <c r="M1023" s="16"/>
      <c r="N1023" s="16"/>
      <c r="O1023" s="16"/>
      <c r="P1023" s="16"/>
      <c r="Q1023" s="16"/>
      <c r="R1023" s="16"/>
      <c r="S1023" s="16">
        <v>-2.0</v>
      </c>
      <c r="T1023" s="16"/>
      <c r="U1023" s="16" t="s">
        <v>4508</v>
      </c>
      <c r="V1023" s="16" t="s">
        <v>4509</v>
      </c>
      <c r="W1023" s="16" t="s">
        <v>188</v>
      </c>
      <c r="X1023" s="16" t="s">
        <v>181</v>
      </c>
      <c r="Y1023" s="100"/>
      <c r="Z1023" s="16" t="s">
        <v>181</v>
      </c>
    </row>
    <row r="1024">
      <c r="A1024" s="16">
        <v>13514.0</v>
      </c>
      <c r="B1024" s="16" t="s">
        <v>4510</v>
      </c>
      <c r="C1024" s="16">
        <v>0.0</v>
      </c>
      <c r="D1024" s="174" t="s">
        <v>4511</v>
      </c>
      <c r="E1024" s="16"/>
      <c r="F1024" s="16">
        <v>547.0</v>
      </c>
      <c r="G1024" s="16" t="s">
        <v>176</v>
      </c>
      <c r="H1024" s="16" t="s">
        <v>19</v>
      </c>
      <c r="I1024" s="16" t="s">
        <v>17</v>
      </c>
      <c r="J1024" s="16" t="s">
        <v>18</v>
      </c>
      <c r="K1024" s="16"/>
      <c r="L1024" s="16"/>
      <c r="M1024" s="16"/>
      <c r="N1024" s="16"/>
      <c r="O1024" s="16"/>
      <c r="P1024" s="16"/>
      <c r="Q1024" s="16"/>
      <c r="R1024" s="16"/>
      <c r="S1024" s="16">
        <v>-2.0</v>
      </c>
      <c r="T1024" s="16"/>
      <c r="U1024" s="16" t="s">
        <v>4512</v>
      </c>
      <c r="V1024" s="16" t="s">
        <v>4513</v>
      </c>
      <c r="W1024" s="16" t="s">
        <v>199</v>
      </c>
      <c r="X1024" s="16" t="s">
        <v>181</v>
      </c>
      <c r="Y1024" s="100"/>
      <c r="Z1024" s="16" t="s">
        <v>181</v>
      </c>
    </row>
    <row r="1025">
      <c r="A1025" s="16">
        <v>13515.0</v>
      </c>
      <c r="B1025" s="16" t="s">
        <v>4514</v>
      </c>
      <c r="C1025" s="16">
        <v>0.0</v>
      </c>
      <c r="D1025" s="174" t="s">
        <v>4515</v>
      </c>
      <c r="E1025" s="16"/>
      <c r="F1025" s="16">
        <v>547.0</v>
      </c>
      <c r="G1025" s="16" t="s">
        <v>176</v>
      </c>
      <c r="H1025" s="16" t="s">
        <v>13</v>
      </c>
      <c r="I1025" s="16" t="s">
        <v>15</v>
      </c>
      <c r="J1025" s="16"/>
      <c r="K1025" s="16"/>
      <c r="L1025" s="16"/>
      <c r="M1025" s="16"/>
      <c r="N1025" s="16"/>
      <c r="O1025" s="16"/>
      <c r="P1025" s="16"/>
      <c r="Q1025" s="16"/>
      <c r="R1025" s="16"/>
      <c r="S1025" s="16">
        <v>-2.0</v>
      </c>
      <c r="T1025" s="16"/>
      <c r="U1025" s="16" t="s">
        <v>4516</v>
      </c>
      <c r="V1025" s="16" t="s">
        <v>4517</v>
      </c>
      <c r="W1025" s="16" t="s">
        <v>199</v>
      </c>
      <c r="X1025" s="16" t="s">
        <v>181</v>
      </c>
      <c r="Y1025" s="100"/>
      <c r="Z1025" s="16" t="s">
        <v>181</v>
      </c>
    </row>
    <row r="1026">
      <c r="A1026" s="16">
        <v>13516.0</v>
      </c>
      <c r="B1026" s="16" t="s">
        <v>4518</v>
      </c>
      <c r="C1026" s="16">
        <v>1.42</v>
      </c>
      <c r="D1026" s="174" t="s">
        <v>4519</v>
      </c>
      <c r="E1026" s="16"/>
      <c r="F1026" s="16">
        <v>547.0</v>
      </c>
      <c r="G1026" s="16" t="s">
        <v>176</v>
      </c>
      <c r="H1026" s="16" t="s">
        <v>24</v>
      </c>
      <c r="I1026" s="16"/>
      <c r="J1026" s="16"/>
      <c r="K1026" s="16"/>
      <c r="L1026" s="16"/>
      <c r="M1026" s="16"/>
      <c r="N1026" s="16"/>
      <c r="O1026" s="16"/>
      <c r="P1026" s="16"/>
      <c r="Q1026" s="16"/>
      <c r="R1026" s="16"/>
      <c r="S1026" s="16">
        <v>-2.0</v>
      </c>
      <c r="T1026" s="16"/>
      <c r="U1026" s="16" t="s">
        <v>4520</v>
      </c>
      <c r="V1026" s="16" t="s">
        <v>4521</v>
      </c>
      <c r="W1026" s="16" t="s">
        <v>188</v>
      </c>
      <c r="X1026" s="16" t="s">
        <v>181</v>
      </c>
      <c r="Y1026" s="100"/>
      <c r="Z1026" s="16" t="s">
        <v>181</v>
      </c>
    </row>
    <row r="1027">
      <c r="A1027" s="16">
        <v>13517.0</v>
      </c>
      <c r="B1027" s="16" t="s">
        <v>4522</v>
      </c>
      <c r="C1027" s="16">
        <v>0.43</v>
      </c>
      <c r="D1027" s="174" t="s">
        <v>4523</v>
      </c>
      <c r="E1027" s="16"/>
      <c r="F1027" s="16">
        <v>547.0</v>
      </c>
      <c r="G1027" s="16" t="s">
        <v>176</v>
      </c>
      <c r="H1027" s="16" t="s">
        <v>16</v>
      </c>
      <c r="I1027" s="16" t="s">
        <v>15</v>
      </c>
      <c r="J1027" s="16" t="s">
        <v>14</v>
      </c>
      <c r="K1027" s="16" t="s">
        <v>17</v>
      </c>
      <c r="L1027" s="16" t="s">
        <v>19</v>
      </c>
      <c r="M1027" s="16"/>
      <c r="N1027" s="16"/>
      <c r="O1027" s="16"/>
      <c r="P1027" s="16"/>
      <c r="Q1027" s="16"/>
      <c r="R1027" s="16"/>
      <c r="S1027" s="16">
        <v>-2.0</v>
      </c>
      <c r="T1027" s="16"/>
      <c r="U1027" s="16" t="s">
        <v>4524</v>
      </c>
      <c r="V1027" s="16" t="s">
        <v>4525</v>
      </c>
      <c r="W1027" s="16" t="s">
        <v>491</v>
      </c>
      <c r="X1027" s="16" t="s">
        <v>181</v>
      </c>
      <c r="Y1027" s="100"/>
      <c r="Z1027" s="16" t="s">
        <v>181</v>
      </c>
    </row>
    <row r="1028">
      <c r="A1028" s="16">
        <v>13518.0</v>
      </c>
      <c r="B1028" s="16" t="s">
        <v>4526</v>
      </c>
      <c r="C1028" s="16">
        <v>2.46</v>
      </c>
      <c r="D1028" s="174" t="s">
        <v>4527</v>
      </c>
      <c r="E1028" s="16"/>
      <c r="F1028" s="16">
        <v>577.0</v>
      </c>
      <c r="G1028" s="16" t="s">
        <v>1755</v>
      </c>
      <c r="H1028" s="16" t="s">
        <v>16</v>
      </c>
      <c r="I1028" s="16"/>
      <c r="J1028" s="16"/>
      <c r="K1028" s="16"/>
      <c r="L1028" s="16"/>
      <c r="M1028" s="16"/>
      <c r="N1028" s="16"/>
      <c r="O1028" s="16"/>
      <c r="P1028" s="16"/>
      <c r="Q1028" s="16"/>
      <c r="R1028" s="16"/>
      <c r="S1028" s="16">
        <v>-2.0</v>
      </c>
      <c r="T1028" s="16"/>
      <c r="U1028" s="16" t="s">
        <v>4528</v>
      </c>
      <c r="V1028" s="16" t="s">
        <v>4529</v>
      </c>
      <c r="W1028" s="16" t="s">
        <v>188</v>
      </c>
      <c r="X1028" s="16" t="s">
        <v>181</v>
      </c>
      <c r="Y1028" s="100"/>
      <c r="Z1028" s="16" t="s">
        <v>181</v>
      </c>
    </row>
    <row r="1029">
      <c r="A1029" s="16">
        <v>13519.0</v>
      </c>
      <c r="B1029" s="16" t="s">
        <v>4530</v>
      </c>
      <c r="C1029" s="16">
        <v>0.0</v>
      </c>
      <c r="D1029" s="174" t="s">
        <v>4531</v>
      </c>
      <c r="E1029" s="16"/>
      <c r="F1029" s="16">
        <v>547.0</v>
      </c>
      <c r="G1029" s="16" t="s">
        <v>176</v>
      </c>
      <c r="H1029" s="16" t="s">
        <v>25</v>
      </c>
      <c r="I1029" s="16" t="s">
        <v>26</v>
      </c>
      <c r="J1029" s="16"/>
      <c r="K1029" s="16"/>
      <c r="L1029" s="16"/>
      <c r="M1029" s="16"/>
      <c r="N1029" s="16"/>
      <c r="O1029" s="16"/>
      <c r="P1029" s="16"/>
      <c r="Q1029" s="16"/>
      <c r="R1029" s="16"/>
      <c r="S1029" s="16">
        <v>-2.0</v>
      </c>
      <c r="T1029" s="16"/>
      <c r="U1029" s="16" t="s">
        <v>4532</v>
      </c>
      <c r="V1029" s="16" t="s">
        <v>4533</v>
      </c>
      <c r="W1029" s="16" t="s">
        <v>360</v>
      </c>
      <c r="X1029" s="16" t="s">
        <v>181</v>
      </c>
      <c r="Y1029" s="100"/>
      <c r="Z1029" s="16" t="s">
        <v>181</v>
      </c>
    </row>
    <row r="1030">
      <c r="A1030" s="16">
        <v>13520.0</v>
      </c>
      <c r="B1030" s="16" t="s">
        <v>4534</v>
      </c>
      <c r="C1030" s="16">
        <v>0.74</v>
      </c>
      <c r="D1030" s="174" t="s">
        <v>4535</v>
      </c>
      <c r="E1030" s="16"/>
      <c r="F1030" s="16">
        <v>547.0</v>
      </c>
      <c r="G1030" s="16" t="s">
        <v>176</v>
      </c>
      <c r="H1030" s="16" t="s">
        <v>14</v>
      </c>
      <c r="I1030" s="16"/>
      <c r="J1030" s="16"/>
      <c r="K1030" s="16"/>
      <c r="L1030" s="16"/>
      <c r="M1030" s="16"/>
      <c r="N1030" s="16"/>
      <c r="O1030" s="16"/>
      <c r="P1030" s="16"/>
      <c r="Q1030" s="16"/>
      <c r="R1030" s="16"/>
      <c r="S1030" s="16">
        <v>-2.0</v>
      </c>
      <c r="T1030" s="16"/>
      <c r="U1030" s="16" t="s">
        <v>4536</v>
      </c>
      <c r="V1030" s="16" t="s">
        <v>4537</v>
      </c>
      <c r="W1030" s="16" t="s">
        <v>1412</v>
      </c>
      <c r="X1030" s="16" t="s">
        <v>181</v>
      </c>
      <c r="Y1030" s="100"/>
      <c r="Z1030" s="16" t="s">
        <v>181</v>
      </c>
    </row>
    <row r="1031">
      <c r="A1031" s="16">
        <v>13521.0</v>
      </c>
      <c r="B1031" s="16" t="s">
        <v>4538</v>
      </c>
      <c r="C1031" s="16">
        <v>0.51</v>
      </c>
      <c r="D1031" s="174" t="s">
        <v>4539</v>
      </c>
      <c r="E1031" s="16"/>
      <c r="F1031" s="16">
        <v>547.0</v>
      </c>
      <c r="G1031" s="16" t="s">
        <v>176</v>
      </c>
      <c r="H1031" s="16" t="s">
        <v>24</v>
      </c>
      <c r="I1031" s="16" t="s">
        <v>25</v>
      </c>
      <c r="J1031" s="16"/>
      <c r="K1031" s="16"/>
      <c r="L1031" s="16"/>
      <c r="M1031" s="16"/>
      <c r="N1031" s="16"/>
      <c r="O1031" s="16"/>
      <c r="P1031" s="16"/>
      <c r="Q1031" s="16"/>
      <c r="R1031" s="16"/>
      <c r="S1031" s="16">
        <v>-2.0</v>
      </c>
      <c r="T1031" s="16"/>
      <c r="U1031" s="16" t="s">
        <v>4540</v>
      </c>
      <c r="V1031" s="16" t="s">
        <v>4541</v>
      </c>
      <c r="W1031" s="16" t="s">
        <v>179</v>
      </c>
      <c r="X1031" s="16" t="s">
        <v>181</v>
      </c>
      <c r="Y1031" s="100"/>
      <c r="Z1031" s="16" t="s">
        <v>181</v>
      </c>
    </row>
    <row r="1032">
      <c r="A1032" s="16">
        <v>13522.0</v>
      </c>
      <c r="B1032" s="16" t="s">
        <v>4542</v>
      </c>
      <c r="C1032" s="16">
        <v>0.8</v>
      </c>
      <c r="D1032" s="174" t="s">
        <v>4543</v>
      </c>
      <c r="E1032" s="16"/>
      <c r="F1032" s="16">
        <v>547.0</v>
      </c>
      <c r="G1032" s="16" t="s">
        <v>176</v>
      </c>
      <c r="H1032" s="16" t="s">
        <v>24</v>
      </c>
      <c r="I1032" s="16"/>
      <c r="J1032" s="16"/>
      <c r="K1032" s="16"/>
      <c r="L1032" s="16"/>
      <c r="M1032" s="16"/>
      <c r="N1032" s="16"/>
      <c r="O1032" s="16"/>
      <c r="P1032" s="16"/>
      <c r="Q1032" s="16"/>
      <c r="R1032" s="16"/>
      <c r="S1032" s="16">
        <v>-2.0</v>
      </c>
      <c r="T1032" s="16"/>
      <c r="U1032" s="16" t="s">
        <v>4544</v>
      </c>
      <c r="V1032" s="16" t="s">
        <v>4545</v>
      </c>
      <c r="W1032" s="16" t="s">
        <v>188</v>
      </c>
      <c r="X1032" s="16" t="s">
        <v>181</v>
      </c>
      <c r="Y1032" s="100"/>
      <c r="Z1032" s="16" t="s">
        <v>181</v>
      </c>
    </row>
    <row r="1033">
      <c r="A1033" s="16">
        <v>13523.0</v>
      </c>
      <c r="B1033" s="16" t="s">
        <v>4546</v>
      </c>
      <c r="C1033" s="16">
        <v>0.0</v>
      </c>
      <c r="D1033" s="174" t="s">
        <v>4547</v>
      </c>
      <c r="E1033" s="16"/>
      <c r="F1033" s="16">
        <v>547.0</v>
      </c>
      <c r="G1033" s="16" t="s">
        <v>176</v>
      </c>
      <c r="H1033" s="16" t="s">
        <v>15</v>
      </c>
      <c r="I1033" s="16" t="s">
        <v>16</v>
      </c>
      <c r="J1033" s="16" t="s">
        <v>14</v>
      </c>
      <c r="K1033" s="16"/>
      <c r="L1033" s="16"/>
      <c r="M1033" s="16"/>
      <c r="N1033" s="16"/>
      <c r="O1033" s="16"/>
      <c r="P1033" s="16"/>
      <c r="Q1033" s="16"/>
      <c r="R1033" s="16"/>
      <c r="S1033" s="16">
        <v>-2.0</v>
      </c>
      <c r="T1033" s="16"/>
      <c r="U1033" s="16" t="s">
        <v>4548</v>
      </c>
      <c r="V1033" s="16" t="s">
        <v>4549</v>
      </c>
      <c r="W1033" s="16" t="s">
        <v>199</v>
      </c>
      <c r="X1033" s="16" t="s">
        <v>181</v>
      </c>
      <c r="Y1033" s="100"/>
      <c r="Z1033" s="16" t="s">
        <v>181</v>
      </c>
    </row>
    <row r="1034">
      <c r="A1034" s="16">
        <v>13524.0</v>
      </c>
      <c r="B1034" s="16" t="s">
        <v>4550</v>
      </c>
      <c r="C1034" s="16">
        <v>2.75</v>
      </c>
      <c r="D1034" s="174" t="s">
        <v>4551</v>
      </c>
      <c r="E1034" s="16"/>
      <c r="F1034" s="16">
        <v>560.0</v>
      </c>
      <c r="G1034" s="16" t="s">
        <v>245</v>
      </c>
      <c r="H1034" s="16" t="s">
        <v>24</v>
      </c>
      <c r="I1034" s="16"/>
      <c r="J1034" s="16"/>
      <c r="K1034" s="16"/>
      <c r="L1034" s="16"/>
      <c r="M1034" s="16"/>
      <c r="N1034" s="16"/>
      <c r="O1034" s="16"/>
      <c r="P1034" s="16"/>
      <c r="Q1034" s="16"/>
      <c r="R1034" s="16"/>
      <c r="S1034" s="16">
        <v>-2.0</v>
      </c>
      <c r="T1034" s="16"/>
      <c r="U1034" s="16" t="s">
        <v>4552</v>
      </c>
      <c r="V1034" s="16" t="s">
        <v>4553</v>
      </c>
      <c r="W1034" s="16" t="s">
        <v>231</v>
      </c>
      <c r="X1034" s="16" t="s">
        <v>181</v>
      </c>
      <c r="Y1034" s="100"/>
      <c r="Z1034" s="16" t="s">
        <v>181</v>
      </c>
    </row>
    <row r="1035">
      <c r="A1035" s="16">
        <v>13525.0</v>
      </c>
      <c r="B1035" s="16" t="s">
        <v>4554</v>
      </c>
      <c r="C1035" s="16">
        <v>0.0</v>
      </c>
      <c r="D1035" s="174" t="s">
        <v>4555</v>
      </c>
      <c r="E1035" s="16"/>
      <c r="F1035" s="16">
        <v>547.0</v>
      </c>
      <c r="G1035" s="16" t="s">
        <v>176</v>
      </c>
      <c r="H1035" s="16" t="s">
        <v>24</v>
      </c>
      <c r="I1035" s="16"/>
      <c r="J1035" s="16"/>
      <c r="K1035" s="16"/>
      <c r="L1035" s="16"/>
      <c r="M1035" s="16"/>
      <c r="N1035" s="16"/>
      <c r="O1035" s="16"/>
      <c r="P1035" s="16"/>
      <c r="Q1035" s="16"/>
      <c r="R1035" s="16"/>
      <c r="S1035" s="16">
        <v>-2.0</v>
      </c>
      <c r="T1035" s="16"/>
      <c r="U1035" s="16" t="s">
        <v>4556</v>
      </c>
      <c r="V1035" s="16" t="s">
        <v>4557</v>
      </c>
      <c r="W1035" s="16" t="s">
        <v>199</v>
      </c>
      <c r="X1035" s="16" t="s">
        <v>181</v>
      </c>
      <c r="Y1035" s="100"/>
      <c r="Z1035" s="16" t="s">
        <v>181</v>
      </c>
    </row>
    <row r="1036">
      <c r="X1036" s="16"/>
      <c r="Y1036" s="100"/>
      <c r="Z1036" s="16"/>
    </row>
    <row r="1037">
      <c r="X1037" s="16"/>
      <c r="Y1037" s="100"/>
      <c r="Z1037" s="16"/>
    </row>
    <row r="1038">
      <c r="X1038" s="16"/>
      <c r="Y1038" s="100"/>
      <c r="Z1038" s="16"/>
    </row>
    <row r="1039">
      <c r="X1039" s="16"/>
      <c r="Y1039" s="100"/>
      <c r="Z1039" s="16"/>
    </row>
    <row r="1040">
      <c r="X1040" s="16"/>
      <c r="Y1040" s="100"/>
      <c r="Z1040" s="16"/>
    </row>
    <row r="1041">
      <c r="X1041" s="16"/>
      <c r="Y1041" s="100"/>
      <c r="Z1041" s="16"/>
    </row>
    <row r="1042">
      <c r="X1042" s="16"/>
      <c r="Y1042" s="100"/>
      <c r="Z1042" s="16"/>
    </row>
    <row r="1043">
      <c r="X1043" s="16"/>
      <c r="Y1043" s="100"/>
      <c r="Z1043" s="16"/>
    </row>
    <row r="1044">
      <c r="X1044" s="16"/>
      <c r="Y1044" s="100"/>
      <c r="Z1044" s="16"/>
    </row>
    <row r="1045">
      <c r="X1045" s="16"/>
      <c r="Y1045" s="100"/>
      <c r="Z1045" s="16"/>
    </row>
    <row r="1046">
      <c r="X1046" s="16"/>
      <c r="Y1046" s="100"/>
      <c r="Z1046" s="16"/>
    </row>
    <row r="1047">
      <c r="X1047" s="16"/>
      <c r="Y1047" s="100"/>
      <c r="Z1047" s="16"/>
    </row>
    <row r="1048">
      <c r="X1048" s="16"/>
      <c r="Y1048" s="100"/>
      <c r="Z1048" s="16"/>
    </row>
    <row r="1049">
      <c r="X1049" s="16"/>
      <c r="Y1049" s="100"/>
      <c r="Z1049" s="16"/>
    </row>
    <row r="1050">
      <c r="X1050" s="16"/>
      <c r="Y1050" s="100"/>
      <c r="Z1050" s="16"/>
    </row>
    <row r="1051">
      <c r="X1051" s="16"/>
      <c r="Y1051" s="100"/>
      <c r="Z1051" s="16"/>
    </row>
    <row r="1052">
      <c r="X1052" s="16"/>
      <c r="Y1052" s="100"/>
      <c r="Z1052" s="16"/>
    </row>
    <row r="1053">
      <c r="X1053" s="16"/>
      <c r="Y1053" s="100"/>
      <c r="Z1053" s="16"/>
    </row>
    <row r="1054">
      <c r="X1054" s="16"/>
      <c r="Y1054" s="100"/>
      <c r="Z1054" s="16"/>
    </row>
    <row r="1055">
      <c r="X1055" s="16"/>
      <c r="Y1055" s="100"/>
      <c r="Z1055" s="16"/>
    </row>
    <row r="1056">
      <c r="X1056" s="16"/>
      <c r="Y1056" s="100"/>
      <c r="Z1056" s="16"/>
    </row>
    <row r="1057">
      <c r="X1057" s="16"/>
      <c r="Y1057" s="100"/>
      <c r="Z1057" s="16"/>
    </row>
    <row r="1058">
      <c r="X1058" s="16"/>
      <c r="Y1058" s="100"/>
      <c r="Z1058" s="16"/>
    </row>
    <row r="1059">
      <c r="X1059" s="16"/>
      <c r="Y1059" s="100"/>
      <c r="Z1059" s="16"/>
    </row>
    <row r="1060">
      <c r="X1060" s="16"/>
      <c r="Y1060" s="100"/>
      <c r="Z1060" s="16"/>
    </row>
    <row r="1061">
      <c r="X1061" s="16"/>
      <c r="Y1061" s="100"/>
      <c r="Z1061" s="16"/>
    </row>
    <row r="1062">
      <c r="X1062" s="16"/>
      <c r="Y1062" s="100"/>
      <c r="Z1062" s="16"/>
    </row>
    <row r="1063">
      <c r="X1063" s="16"/>
      <c r="Y1063" s="100"/>
      <c r="Z1063" s="16"/>
    </row>
    <row r="1064">
      <c r="X1064" s="16"/>
      <c r="Y1064" s="100"/>
      <c r="Z1064" s="16"/>
    </row>
    <row r="1065">
      <c r="X1065" s="16"/>
      <c r="Y1065" s="100"/>
      <c r="Z1065" s="16"/>
    </row>
    <row r="1066">
      <c r="X1066" s="16"/>
      <c r="Y1066" s="100"/>
      <c r="Z1066" s="16"/>
    </row>
    <row r="1067">
      <c r="X1067" s="16"/>
      <c r="Y1067" s="100"/>
      <c r="Z1067" s="16"/>
    </row>
    <row r="1068">
      <c r="X1068" s="16"/>
      <c r="Y1068" s="100"/>
      <c r="Z1068" s="16"/>
    </row>
    <row r="1069">
      <c r="X1069" s="16"/>
      <c r="Y1069" s="100"/>
      <c r="Z1069" s="16"/>
    </row>
    <row r="1070">
      <c r="X1070" s="16"/>
      <c r="Y1070" s="100"/>
      <c r="Z1070" s="16"/>
    </row>
    <row r="1071">
      <c r="X1071" s="16"/>
      <c r="Y1071" s="100"/>
      <c r="Z1071" s="16"/>
    </row>
    <row r="1072">
      <c r="X1072" s="16"/>
      <c r="Y1072" s="100"/>
      <c r="Z1072" s="16"/>
    </row>
    <row r="1073">
      <c r="X1073" s="16"/>
      <c r="Y1073" s="100"/>
      <c r="Z1073" s="16"/>
    </row>
    <row r="1074">
      <c r="X1074" s="16"/>
      <c r="Y1074" s="100"/>
      <c r="Z1074" s="16"/>
    </row>
    <row r="1075">
      <c r="X1075" s="16"/>
      <c r="Y1075" s="100"/>
      <c r="Z1075" s="16"/>
    </row>
    <row r="1076">
      <c r="X1076" s="16"/>
      <c r="Y1076" s="100"/>
      <c r="Z1076" s="16"/>
    </row>
    <row r="1077">
      <c r="X1077" s="16"/>
      <c r="Y1077" s="100"/>
      <c r="Z1077" s="16"/>
    </row>
    <row r="1078">
      <c r="X1078" s="16"/>
      <c r="Y1078" s="100"/>
      <c r="Z1078" s="16"/>
    </row>
    <row r="1079">
      <c r="X1079" s="16"/>
      <c r="Y1079" s="100"/>
      <c r="Z1079" s="16"/>
    </row>
    <row r="1080">
      <c r="X1080" s="16"/>
      <c r="Y1080" s="100"/>
      <c r="Z1080" s="16"/>
    </row>
    <row r="1081">
      <c r="X1081" s="16"/>
      <c r="Y1081" s="100"/>
      <c r="Z1081" s="16"/>
    </row>
    <row r="1082">
      <c r="X1082" s="16"/>
      <c r="Y1082" s="100"/>
      <c r="Z1082" s="16"/>
    </row>
    <row r="1083">
      <c r="X1083" s="16"/>
      <c r="Y1083" s="100"/>
      <c r="Z1083" s="16"/>
    </row>
    <row r="1084">
      <c r="X1084" s="16"/>
      <c r="Y1084" s="100"/>
      <c r="Z1084" s="16"/>
    </row>
    <row r="1085">
      <c r="X1085" s="16"/>
      <c r="Y1085" s="100"/>
      <c r="Z1085" s="16"/>
    </row>
    <row r="1086">
      <c r="X1086" s="16"/>
      <c r="Y1086" s="100"/>
      <c r="Z1086" s="16"/>
    </row>
    <row r="1087">
      <c r="X1087" s="16"/>
      <c r="Y1087" s="100"/>
      <c r="Z1087" s="16"/>
    </row>
    <row r="1088">
      <c r="X1088" s="16"/>
      <c r="Y1088" s="100"/>
      <c r="Z1088" s="16"/>
    </row>
    <row r="1089">
      <c r="X1089" s="16"/>
      <c r="Y1089" s="100"/>
      <c r="Z1089" s="16"/>
    </row>
    <row r="1090">
      <c r="X1090" s="16"/>
      <c r="Y1090" s="100"/>
      <c r="Z1090" s="16"/>
    </row>
    <row r="1091">
      <c r="X1091" s="16"/>
      <c r="Y1091" s="100"/>
      <c r="Z1091" s="16"/>
    </row>
    <row r="1092">
      <c r="X1092" s="16"/>
      <c r="Y1092" s="100"/>
      <c r="Z1092" s="16"/>
    </row>
    <row r="1093">
      <c r="X1093" s="16"/>
      <c r="Y1093" s="100"/>
      <c r="Z1093" s="16"/>
    </row>
    <row r="1094">
      <c r="X1094" s="16"/>
      <c r="Y1094" s="100"/>
      <c r="Z1094" s="16"/>
    </row>
    <row r="1095">
      <c r="X1095" s="16"/>
      <c r="Y1095" s="100"/>
      <c r="Z1095" s="16"/>
    </row>
    <row r="1096">
      <c r="X1096" s="16"/>
      <c r="Y1096" s="100"/>
      <c r="Z1096" s="16"/>
    </row>
    <row r="1097">
      <c r="X1097" s="16"/>
      <c r="Y1097" s="100"/>
      <c r="Z1097" s="16"/>
    </row>
    <row r="1098">
      <c r="X1098" s="16"/>
      <c r="Y1098" s="100"/>
      <c r="Z1098" s="16"/>
    </row>
    <row r="1099">
      <c r="X1099" s="16"/>
      <c r="Y1099" s="100"/>
      <c r="Z1099" s="16"/>
    </row>
    <row r="1100">
      <c r="X1100" s="16"/>
      <c r="Y1100" s="100"/>
      <c r="Z1100" s="16"/>
    </row>
    <row r="1101">
      <c r="X1101" s="16"/>
      <c r="Y1101" s="100"/>
      <c r="Z1101" s="16"/>
    </row>
    <row r="1102">
      <c r="X1102" s="16"/>
      <c r="Y1102" s="100"/>
      <c r="Z1102" s="16"/>
    </row>
    <row r="1103">
      <c r="X1103" s="16"/>
      <c r="Y1103" s="100"/>
      <c r="Z1103" s="16"/>
    </row>
    <row r="1104">
      <c r="X1104" s="16"/>
      <c r="Y1104" s="100"/>
      <c r="Z1104" s="16"/>
    </row>
    <row r="1105">
      <c r="X1105" s="16"/>
      <c r="Y1105" s="100"/>
      <c r="Z1105" s="16"/>
    </row>
    <row r="1106">
      <c r="X1106" s="16"/>
      <c r="Y1106" s="100"/>
      <c r="Z1106" s="16"/>
    </row>
    <row r="1107">
      <c r="X1107" s="16"/>
      <c r="Y1107" s="100"/>
      <c r="Z1107" s="16"/>
    </row>
    <row r="1108">
      <c r="X1108" s="16"/>
      <c r="Y1108" s="100"/>
      <c r="Z1108" s="16"/>
    </row>
    <row r="1109">
      <c r="X1109" s="16"/>
      <c r="Y1109" s="100"/>
      <c r="Z1109" s="16"/>
    </row>
    <row r="1110">
      <c r="X1110" s="16"/>
      <c r="Y1110" s="100"/>
      <c r="Z1110" s="16"/>
    </row>
    <row r="1111">
      <c r="X1111" s="16"/>
      <c r="Y1111" s="100"/>
      <c r="Z1111" s="16"/>
    </row>
    <row r="1112">
      <c r="X1112" s="16"/>
      <c r="Y1112" s="100"/>
      <c r="Z1112" s="16"/>
    </row>
    <row r="1113">
      <c r="X1113" s="16"/>
      <c r="Y1113" s="100"/>
      <c r="Z1113" s="16"/>
    </row>
    <row r="1114">
      <c r="X1114" s="16"/>
      <c r="Y1114" s="100"/>
      <c r="Z1114" s="16"/>
    </row>
    <row r="1115">
      <c r="X1115" s="16"/>
      <c r="Y1115" s="100"/>
      <c r="Z1115" s="16"/>
    </row>
    <row r="1116">
      <c r="X1116" s="16"/>
      <c r="Y1116" s="100"/>
      <c r="Z1116" s="16"/>
    </row>
    <row r="1117">
      <c r="X1117" s="16"/>
      <c r="Y1117" s="100"/>
      <c r="Z1117" s="16"/>
    </row>
    <row r="1118">
      <c r="X1118" s="16"/>
      <c r="Y1118" s="100"/>
      <c r="Z1118" s="16"/>
    </row>
    <row r="1119">
      <c r="X1119" s="16"/>
      <c r="Y1119" s="100"/>
      <c r="Z1119" s="16"/>
    </row>
    <row r="1120">
      <c r="X1120" s="16"/>
      <c r="Y1120" s="100"/>
      <c r="Z1120" s="16"/>
    </row>
    <row r="1121">
      <c r="X1121" s="16"/>
      <c r="Y1121" s="100"/>
      <c r="Z1121" s="16"/>
    </row>
    <row r="1122">
      <c r="X1122" s="16"/>
      <c r="Y1122" s="100"/>
      <c r="Z1122" s="16"/>
    </row>
    <row r="1123">
      <c r="X1123" s="16"/>
      <c r="Y1123" s="100"/>
      <c r="Z1123" s="16"/>
    </row>
    <row r="1124">
      <c r="X1124" s="16"/>
      <c r="Y1124" s="100"/>
      <c r="Z1124" s="16"/>
    </row>
    <row r="1125">
      <c r="X1125" s="16"/>
      <c r="Y1125" s="100"/>
      <c r="Z1125" s="16"/>
    </row>
    <row r="1126">
      <c r="X1126" s="16"/>
      <c r="Y1126" s="100"/>
      <c r="Z1126" s="16"/>
    </row>
    <row r="1127">
      <c r="X1127" s="16"/>
      <c r="Y1127" s="100"/>
      <c r="Z1127" s="16"/>
    </row>
    <row r="1128">
      <c r="X1128" s="16"/>
      <c r="Y1128" s="100"/>
      <c r="Z1128" s="16"/>
    </row>
    <row r="1129">
      <c r="X1129" s="16"/>
      <c r="Y1129" s="100"/>
      <c r="Z1129" s="16"/>
    </row>
    <row r="1130">
      <c r="X1130" s="16"/>
      <c r="Y1130" s="100"/>
      <c r="Z1130" s="16"/>
    </row>
    <row r="1131">
      <c r="X1131" s="16"/>
      <c r="Y1131" s="100"/>
      <c r="Z1131" s="16"/>
    </row>
    <row r="1132">
      <c r="X1132" s="16"/>
      <c r="Y1132" s="100"/>
      <c r="Z1132" s="16"/>
    </row>
    <row r="1133">
      <c r="X1133" s="16"/>
      <c r="Y1133" s="100"/>
      <c r="Z1133" s="16"/>
    </row>
    <row r="1134">
      <c r="X1134" s="16"/>
      <c r="Y1134" s="100"/>
      <c r="Z1134" s="16"/>
    </row>
    <row r="1135">
      <c r="X1135" s="16"/>
      <c r="Y1135" s="100"/>
      <c r="Z1135" s="16"/>
    </row>
    <row r="1136">
      <c r="X1136" s="16"/>
      <c r="Y1136" s="100"/>
      <c r="Z1136" s="16"/>
    </row>
    <row r="1137">
      <c r="X1137" s="16"/>
      <c r="Y1137" s="100"/>
      <c r="Z1137" s="16"/>
    </row>
    <row r="1138">
      <c r="X1138" s="16"/>
      <c r="Y1138" s="100"/>
      <c r="Z1138" s="16"/>
    </row>
    <row r="1139">
      <c r="X1139" s="16"/>
      <c r="Y1139" s="100"/>
      <c r="Z1139" s="16"/>
    </row>
    <row r="1140">
      <c r="X1140" s="16"/>
      <c r="Y1140" s="100"/>
      <c r="Z1140" s="16"/>
    </row>
    <row r="1141">
      <c r="X1141" s="16"/>
      <c r="Y1141" s="100"/>
      <c r="Z1141" s="16"/>
    </row>
    <row r="1142">
      <c r="X1142" s="16"/>
      <c r="Y1142" s="100"/>
      <c r="Z1142" s="16"/>
    </row>
    <row r="1143">
      <c r="X1143" s="16"/>
      <c r="Y1143" s="100"/>
      <c r="Z1143" s="16"/>
    </row>
    <row r="1144">
      <c r="X1144" s="16"/>
      <c r="Y1144" s="100"/>
      <c r="Z1144" s="16"/>
    </row>
    <row r="1145">
      <c r="X1145" s="16"/>
      <c r="Y1145" s="100"/>
      <c r="Z1145" s="16"/>
    </row>
    <row r="1146">
      <c r="X1146" s="16"/>
      <c r="Y1146" s="100"/>
      <c r="Z1146" s="16"/>
    </row>
    <row r="1147">
      <c r="X1147" s="16"/>
      <c r="Y1147" s="100"/>
      <c r="Z1147" s="16"/>
    </row>
    <row r="1148">
      <c r="X1148" s="16"/>
      <c r="Y1148" s="100"/>
      <c r="Z1148" s="16"/>
    </row>
    <row r="1149">
      <c r="X1149" s="16"/>
      <c r="Y1149" s="100"/>
      <c r="Z1149" s="16"/>
    </row>
    <row r="1150">
      <c r="X1150" s="16"/>
      <c r="Y1150" s="100"/>
      <c r="Z1150" s="16"/>
    </row>
    <row r="1151">
      <c r="X1151" s="16"/>
      <c r="Y1151" s="100"/>
      <c r="Z1151" s="16"/>
    </row>
    <row r="1152">
      <c r="X1152" s="16"/>
      <c r="Y1152" s="100"/>
      <c r="Z1152" s="16"/>
    </row>
    <row r="1153">
      <c r="X1153" s="16"/>
      <c r="Y1153" s="100"/>
      <c r="Z1153" s="16"/>
    </row>
    <row r="1154">
      <c r="X1154" s="16"/>
      <c r="Y1154" s="100"/>
      <c r="Z1154" s="16"/>
    </row>
    <row r="1155">
      <c r="X1155" s="16"/>
      <c r="Y1155" s="100"/>
      <c r="Z1155" s="16"/>
    </row>
    <row r="1156">
      <c r="X1156" s="16"/>
      <c r="Y1156" s="100"/>
      <c r="Z1156" s="16"/>
    </row>
    <row r="1157">
      <c r="X1157" s="16"/>
      <c r="Y1157" s="100"/>
      <c r="Z1157" s="16"/>
    </row>
    <row r="1158">
      <c r="X1158" s="16"/>
      <c r="Y1158" s="100"/>
      <c r="Z1158" s="16"/>
    </row>
    <row r="1159">
      <c r="X1159" s="16"/>
      <c r="Y1159" s="100"/>
      <c r="Z1159" s="16"/>
    </row>
    <row r="1160">
      <c r="X1160" s="16"/>
      <c r="Y1160" s="100"/>
      <c r="Z1160" s="16"/>
    </row>
    <row r="1161">
      <c r="X1161" s="16"/>
      <c r="Y1161" s="100"/>
      <c r="Z1161" s="16"/>
    </row>
    <row r="1162">
      <c r="X1162" s="16"/>
      <c r="Y1162" s="100"/>
      <c r="Z1162" s="16"/>
    </row>
    <row r="1163">
      <c r="X1163" s="16"/>
      <c r="Y1163" s="100"/>
      <c r="Z1163" s="16"/>
    </row>
    <row r="1164">
      <c r="X1164" s="16"/>
      <c r="Y1164" s="100"/>
      <c r="Z1164" s="16"/>
    </row>
    <row r="1165">
      <c r="X1165" s="16"/>
      <c r="Y1165" s="100"/>
      <c r="Z1165" s="16"/>
    </row>
    <row r="1166">
      <c r="X1166" s="16"/>
      <c r="Y1166" s="100"/>
      <c r="Z1166" s="16"/>
    </row>
    <row r="1167">
      <c r="X1167" s="16"/>
      <c r="Y1167" s="100"/>
      <c r="Z1167" s="16"/>
    </row>
    <row r="1168">
      <c r="X1168" s="16"/>
      <c r="Y1168" s="100"/>
      <c r="Z1168" s="16"/>
    </row>
    <row r="1169">
      <c r="X1169" s="16"/>
      <c r="Y1169" s="100"/>
      <c r="Z1169" s="16"/>
    </row>
    <row r="1170">
      <c r="X1170" s="16"/>
      <c r="Y1170" s="100"/>
      <c r="Z1170" s="16"/>
    </row>
    <row r="1171">
      <c r="X1171" s="16"/>
      <c r="Y1171" s="100"/>
      <c r="Z1171" s="16"/>
    </row>
    <row r="1172">
      <c r="X1172" s="16"/>
      <c r="Y1172" s="100"/>
      <c r="Z1172" s="16"/>
    </row>
    <row r="1173">
      <c r="X1173" s="16"/>
      <c r="Y1173" s="100"/>
      <c r="Z1173" s="16"/>
    </row>
    <row r="1174">
      <c r="X1174" s="16"/>
      <c r="Y1174" s="100"/>
      <c r="Z1174" s="16"/>
    </row>
    <row r="1175">
      <c r="X1175" s="16"/>
      <c r="Y1175" s="100"/>
      <c r="Z1175" s="16"/>
    </row>
    <row r="1176">
      <c r="X1176" s="16"/>
      <c r="Y1176" s="100"/>
      <c r="Z1176" s="16"/>
    </row>
    <row r="1177">
      <c r="X1177" s="16"/>
      <c r="Y1177" s="100"/>
      <c r="Z1177" s="16"/>
    </row>
    <row r="1178">
      <c r="X1178" s="16"/>
      <c r="Y1178" s="100"/>
      <c r="Z1178" s="16"/>
    </row>
    <row r="1179">
      <c r="X1179" s="16"/>
      <c r="Y1179" s="100"/>
      <c r="Z1179" s="16"/>
    </row>
    <row r="1180">
      <c r="X1180" s="16"/>
      <c r="Y1180" s="100"/>
      <c r="Z1180" s="16"/>
    </row>
    <row r="1181">
      <c r="X1181" s="16"/>
      <c r="Y1181" s="100"/>
      <c r="Z1181" s="16"/>
    </row>
    <row r="1182">
      <c r="X1182" s="16"/>
      <c r="Y1182" s="100"/>
      <c r="Z1182" s="16"/>
    </row>
    <row r="1183">
      <c r="X1183" s="16"/>
      <c r="Y1183" s="100"/>
      <c r="Z1183" s="16"/>
    </row>
    <row r="1184">
      <c r="X1184" s="16"/>
      <c r="Y1184" s="100"/>
      <c r="Z1184" s="16"/>
    </row>
    <row r="1185">
      <c r="X1185" s="16"/>
      <c r="Y1185" s="100"/>
      <c r="Z1185" s="16"/>
    </row>
    <row r="1186">
      <c r="X1186" s="16"/>
      <c r="Y1186" s="100"/>
      <c r="Z1186" s="16"/>
    </row>
    <row r="1187">
      <c r="X1187" s="16"/>
      <c r="Y1187" s="100"/>
      <c r="Z1187" s="16"/>
    </row>
    <row r="1188">
      <c r="X1188" s="16"/>
      <c r="Y1188" s="100"/>
      <c r="Z1188" s="16"/>
    </row>
    <row r="1189">
      <c r="X1189" s="16"/>
      <c r="Y1189" s="100"/>
      <c r="Z1189" s="16"/>
    </row>
    <row r="1190">
      <c r="X1190" s="16"/>
      <c r="Y1190" s="100"/>
      <c r="Z1190" s="16"/>
    </row>
    <row r="1191">
      <c r="X1191" s="16"/>
      <c r="Y1191" s="100"/>
      <c r="Z1191" s="16"/>
    </row>
    <row r="1192">
      <c r="X1192" s="16"/>
      <c r="Y1192" s="100"/>
      <c r="Z1192" s="16"/>
    </row>
    <row r="1193">
      <c r="X1193" s="16"/>
      <c r="Y1193" s="100"/>
      <c r="Z1193" s="16"/>
    </row>
    <row r="1194">
      <c r="X1194" s="16"/>
      <c r="Y1194" s="100"/>
      <c r="Z1194" s="16"/>
    </row>
    <row r="1195">
      <c r="X1195" s="16"/>
      <c r="Y1195" s="100"/>
      <c r="Z1195" s="16"/>
    </row>
    <row r="1196">
      <c r="X1196" s="16"/>
      <c r="Y1196" s="100"/>
      <c r="Z1196" s="16"/>
    </row>
    <row r="1197">
      <c r="X1197" s="16"/>
      <c r="Y1197" s="100"/>
      <c r="Z1197" s="16"/>
    </row>
    <row r="1198">
      <c r="X1198" s="16"/>
      <c r="Y1198" s="100"/>
      <c r="Z1198" s="16"/>
    </row>
    <row r="1199">
      <c r="X1199" s="16"/>
      <c r="Y1199" s="100"/>
      <c r="Z1199" s="16"/>
    </row>
    <row r="1200">
      <c r="X1200" s="16"/>
      <c r="Y1200" s="100"/>
      <c r="Z1200" s="16"/>
    </row>
    <row r="1201">
      <c r="X1201" s="16"/>
      <c r="Y1201" s="100"/>
      <c r="Z1201" s="16"/>
    </row>
    <row r="1202">
      <c r="X1202" s="16"/>
      <c r="Y1202" s="100"/>
      <c r="Z1202" s="16"/>
    </row>
    <row r="1203">
      <c r="X1203" s="16"/>
      <c r="Y1203" s="100"/>
      <c r="Z1203" s="16"/>
    </row>
    <row r="1204">
      <c r="X1204" s="16"/>
      <c r="Y1204" s="100"/>
      <c r="Z1204" s="16"/>
    </row>
    <row r="1205">
      <c r="X1205" s="16"/>
      <c r="Y1205" s="100"/>
      <c r="Z1205" s="16"/>
    </row>
    <row r="1206">
      <c r="X1206" s="16"/>
      <c r="Y1206" s="100"/>
      <c r="Z1206" s="16"/>
    </row>
    <row r="1207">
      <c r="X1207" s="16"/>
      <c r="Y1207" s="100"/>
      <c r="Z1207" s="16"/>
    </row>
    <row r="1208">
      <c r="X1208" s="16"/>
      <c r="Y1208" s="100"/>
      <c r="Z1208" s="16"/>
    </row>
    <row r="1209">
      <c r="X1209" s="16"/>
      <c r="Y1209" s="100"/>
      <c r="Z1209" s="16"/>
    </row>
    <row r="1210">
      <c r="X1210" s="16"/>
      <c r="Y1210" s="100"/>
      <c r="Z1210" s="16"/>
    </row>
    <row r="1211">
      <c r="X1211" s="16"/>
      <c r="Y1211" s="100"/>
      <c r="Z1211" s="16"/>
    </row>
    <row r="1212">
      <c r="X1212" s="16"/>
      <c r="Y1212" s="100"/>
      <c r="Z1212" s="16"/>
    </row>
    <row r="1213">
      <c r="X1213" s="16"/>
      <c r="Y1213" s="100"/>
      <c r="Z1213" s="16"/>
    </row>
    <row r="1214">
      <c r="X1214" s="16"/>
      <c r="Y1214" s="100"/>
      <c r="Z1214" s="16"/>
    </row>
    <row r="1215">
      <c r="X1215" s="16"/>
      <c r="Y1215" s="100"/>
      <c r="Z1215" s="16"/>
    </row>
    <row r="1216">
      <c r="X1216" s="16"/>
      <c r="Y1216" s="100"/>
      <c r="Z1216" s="16"/>
    </row>
    <row r="1217">
      <c r="X1217" s="16"/>
      <c r="Y1217" s="100"/>
      <c r="Z1217" s="16"/>
    </row>
    <row r="1218">
      <c r="X1218" s="16"/>
      <c r="Y1218" s="100"/>
      <c r="Z1218" s="16"/>
    </row>
    <row r="1219">
      <c r="X1219" s="16"/>
      <c r="Y1219" s="100"/>
      <c r="Z1219" s="16"/>
    </row>
    <row r="1220">
      <c r="X1220" s="16"/>
      <c r="Y1220" s="100"/>
      <c r="Z1220" s="16"/>
    </row>
    <row r="1221">
      <c r="X1221" s="16"/>
      <c r="Y1221" s="100"/>
      <c r="Z1221" s="16"/>
    </row>
    <row r="1222">
      <c r="X1222" s="16"/>
      <c r="Y1222" s="100"/>
      <c r="Z1222" s="16"/>
    </row>
    <row r="1223">
      <c r="X1223" s="16"/>
      <c r="Y1223" s="100"/>
      <c r="Z1223" s="16"/>
    </row>
    <row r="1224">
      <c r="X1224" s="16"/>
      <c r="Y1224" s="100"/>
      <c r="Z1224" s="16"/>
    </row>
    <row r="1225">
      <c r="X1225" s="16"/>
      <c r="Y1225" s="100"/>
      <c r="Z1225" s="16"/>
    </row>
    <row r="1226">
      <c r="X1226" s="16"/>
      <c r="Y1226" s="100"/>
      <c r="Z1226" s="16"/>
    </row>
    <row r="1227">
      <c r="X1227" s="16"/>
      <c r="Y1227" s="100"/>
      <c r="Z1227" s="16"/>
    </row>
    <row r="1228">
      <c r="X1228" s="16"/>
      <c r="Y1228" s="100"/>
      <c r="Z1228" s="16"/>
    </row>
    <row r="1229">
      <c r="X1229" s="16"/>
      <c r="Y1229" s="100"/>
      <c r="Z1229" s="16"/>
    </row>
    <row r="1230">
      <c r="X1230" s="16"/>
      <c r="Y1230" s="100"/>
      <c r="Z1230" s="16"/>
    </row>
    <row r="1231">
      <c r="X1231" s="16"/>
      <c r="Y1231" s="100"/>
      <c r="Z1231" s="16"/>
    </row>
    <row r="1232">
      <c r="X1232" s="16"/>
      <c r="Y1232" s="100"/>
      <c r="Z1232" s="16"/>
    </row>
    <row r="1233">
      <c r="X1233" s="16"/>
      <c r="Y1233" s="100"/>
      <c r="Z1233" s="16"/>
    </row>
    <row r="1234">
      <c r="X1234" s="16"/>
      <c r="Y1234" s="100"/>
      <c r="Z1234" s="16"/>
    </row>
    <row r="1235">
      <c r="X1235" s="16"/>
      <c r="Y1235" s="100"/>
      <c r="Z1235" s="16"/>
    </row>
    <row r="1236">
      <c r="X1236" s="16"/>
      <c r="Y1236" s="100"/>
      <c r="Z1236" s="16"/>
    </row>
    <row r="1237">
      <c r="X1237" s="16"/>
      <c r="Y1237" s="100"/>
      <c r="Z1237" s="16"/>
    </row>
    <row r="1238">
      <c r="X1238" s="16"/>
      <c r="Y1238" s="100"/>
      <c r="Z1238" s="16"/>
    </row>
    <row r="1239">
      <c r="X1239" s="16"/>
      <c r="Y1239" s="100"/>
      <c r="Z1239" s="16"/>
    </row>
    <row r="1240">
      <c r="X1240" s="16"/>
      <c r="Y1240" s="100"/>
      <c r="Z1240" s="16"/>
    </row>
    <row r="1241">
      <c r="X1241" s="16"/>
      <c r="Y1241" s="100"/>
      <c r="Z1241" s="16"/>
    </row>
    <row r="1242">
      <c r="X1242" s="16"/>
      <c r="Y1242" s="100"/>
      <c r="Z1242" s="16"/>
    </row>
    <row r="1243">
      <c r="X1243" s="16"/>
      <c r="Y1243" s="100"/>
      <c r="Z1243" s="16"/>
    </row>
    <row r="1244">
      <c r="X1244" s="16"/>
      <c r="Y1244" s="100"/>
      <c r="Z1244" s="16"/>
    </row>
    <row r="1245">
      <c r="X1245" s="16"/>
      <c r="Y1245" s="100"/>
      <c r="Z1245" s="16"/>
    </row>
    <row r="1246">
      <c r="X1246" s="16"/>
      <c r="Y1246" s="100"/>
      <c r="Z1246" s="16"/>
    </row>
    <row r="1247">
      <c r="X1247" s="16"/>
      <c r="Y1247" s="100"/>
      <c r="Z1247" s="16"/>
    </row>
    <row r="1248">
      <c r="X1248" s="16"/>
      <c r="Y1248" s="100"/>
      <c r="Z1248" s="16"/>
    </row>
    <row r="1249">
      <c r="X1249" s="16"/>
      <c r="Y1249" s="100"/>
      <c r="Z1249" s="16"/>
    </row>
    <row r="1250">
      <c r="X1250" s="16"/>
      <c r="Y1250" s="100"/>
      <c r="Z1250" s="16"/>
    </row>
    <row r="1251">
      <c r="X1251" s="16"/>
      <c r="Y1251" s="100"/>
      <c r="Z1251" s="16"/>
    </row>
    <row r="1252">
      <c r="X1252" s="16"/>
      <c r="Y1252" s="100"/>
      <c r="Z1252" s="16"/>
    </row>
    <row r="1253">
      <c r="X1253" s="16"/>
      <c r="Y1253" s="100"/>
      <c r="Z1253" s="16"/>
    </row>
    <row r="1254">
      <c r="X1254" s="16"/>
      <c r="Y1254" s="100"/>
      <c r="Z1254" s="16"/>
    </row>
    <row r="1255">
      <c r="X1255" s="16"/>
      <c r="Y1255" s="100"/>
      <c r="Z1255" s="16"/>
    </row>
    <row r="1256">
      <c r="X1256" s="16"/>
      <c r="Y1256" s="100"/>
      <c r="Z1256" s="16"/>
    </row>
    <row r="1257">
      <c r="X1257" s="16"/>
      <c r="Y1257" s="100"/>
      <c r="Z1257" s="16"/>
    </row>
    <row r="1258">
      <c r="X1258" s="16"/>
      <c r="Y1258" s="100"/>
      <c r="Z1258" s="16"/>
    </row>
    <row r="1259">
      <c r="X1259" s="16"/>
      <c r="Y1259" s="100"/>
      <c r="Z1259" s="16"/>
    </row>
    <row r="1260">
      <c r="X1260" s="16"/>
      <c r="Y1260" s="100"/>
      <c r="Z1260" s="16"/>
    </row>
    <row r="1261">
      <c r="X1261" s="16"/>
      <c r="Y1261" s="100"/>
      <c r="Z1261" s="16"/>
    </row>
    <row r="1262">
      <c r="X1262" s="16"/>
      <c r="Y1262" s="100"/>
      <c r="Z1262" s="16"/>
    </row>
    <row r="1263">
      <c r="X1263" s="16"/>
      <c r="Y1263" s="100"/>
      <c r="Z1263" s="16"/>
    </row>
    <row r="1264">
      <c r="X1264" s="16"/>
      <c r="Y1264" s="100"/>
      <c r="Z1264" s="16"/>
    </row>
    <row r="1265">
      <c r="X1265" s="16"/>
      <c r="Y1265" s="100"/>
      <c r="Z1265" s="16"/>
    </row>
    <row r="1266">
      <c r="X1266" s="16"/>
      <c r="Y1266" s="100"/>
      <c r="Z1266" s="16"/>
    </row>
    <row r="1267">
      <c r="X1267" s="16"/>
      <c r="Y1267" s="100"/>
      <c r="Z1267" s="16"/>
    </row>
    <row r="1268">
      <c r="X1268" s="16"/>
      <c r="Y1268" s="100"/>
      <c r="Z1268" s="16"/>
    </row>
    <row r="1269">
      <c r="X1269" s="16"/>
      <c r="Y1269" s="100"/>
      <c r="Z1269" s="16"/>
    </row>
    <row r="1270">
      <c r="X1270" s="16"/>
      <c r="Y1270" s="100"/>
      <c r="Z1270" s="16"/>
    </row>
    <row r="1271">
      <c r="X1271" s="16"/>
      <c r="Y1271" s="100"/>
      <c r="Z1271" s="16"/>
    </row>
    <row r="1272">
      <c r="X1272" s="16"/>
      <c r="Y1272" s="100"/>
      <c r="Z1272" s="16"/>
    </row>
    <row r="1273">
      <c r="X1273" s="16"/>
      <c r="Y1273" s="100"/>
      <c r="Z1273" s="16"/>
    </row>
    <row r="1274">
      <c r="X1274" s="16"/>
      <c r="Y1274" s="100"/>
      <c r="Z1274" s="16"/>
    </row>
    <row r="1275">
      <c r="X1275" s="16"/>
      <c r="Y1275" s="100"/>
      <c r="Z1275" s="16"/>
    </row>
    <row r="1276">
      <c r="X1276" s="16"/>
      <c r="Y1276" s="100"/>
      <c r="Z1276" s="16"/>
    </row>
    <row r="1277">
      <c r="X1277" s="16"/>
      <c r="Y1277" s="100"/>
      <c r="Z1277" s="16"/>
    </row>
    <row r="1278">
      <c r="X1278" s="16"/>
      <c r="Y1278" s="100"/>
      <c r="Z1278" s="16"/>
    </row>
    <row r="1279">
      <c r="X1279" s="16"/>
      <c r="Y1279" s="100"/>
      <c r="Z1279" s="16"/>
    </row>
    <row r="1280">
      <c r="X1280" s="16"/>
      <c r="Y1280" s="100"/>
      <c r="Z1280" s="16"/>
    </row>
    <row r="1281">
      <c r="X1281" s="16"/>
      <c r="Y1281" s="100"/>
      <c r="Z1281" s="16"/>
    </row>
    <row r="1282">
      <c r="X1282" s="16"/>
      <c r="Y1282" s="100"/>
      <c r="Z1282" s="16"/>
    </row>
    <row r="1283">
      <c r="X1283" s="16"/>
      <c r="Y1283" s="100"/>
      <c r="Z1283" s="16"/>
    </row>
    <row r="1284">
      <c r="X1284" s="16"/>
      <c r="Y1284" s="100"/>
      <c r="Z1284" s="16"/>
    </row>
    <row r="1285">
      <c r="X1285" s="16"/>
      <c r="Y1285" s="100"/>
      <c r="Z1285" s="16"/>
    </row>
    <row r="1286">
      <c r="X1286" s="16"/>
      <c r="Y1286" s="100"/>
      <c r="Z1286" s="16"/>
    </row>
    <row r="1287">
      <c r="X1287" s="16"/>
      <c r="Y1287" s="100"/>
      <c r="Z1287" s="16"/>
    </row>
    <row r="1288">
      <c r="X1288" s="16"/>
      <c r="Y1288" s="100"/>
      <c r="Z1288" s="16"/>
    </row>
    <row r="1289">
      <c r="X1289" s="16"/>
      <c r="Y1289" s="100"/>
      <c r="Z1289" s="16"/>
    </row>
    <row r="1290">
      <c r="X1290" s="16"/>
      <c r="Y1290" s="100"/>
      <c r="Z1290" s="16"/>
    </row>
    <row r="1291">
      <c r="X1291" s="16"/>
      <c r="Y1291" s="100"/>
      <c r="Z1291" s="16"/>
    </row>
    <row r="1292">
      <c r="X1292" s="16"/>
      <c r="Y1292" s="100"/>
      <c r="Z1292" s="16"/>
    </row>
    <row r="1293">
      <c r="X1293" s="16"/>
      <c r="Y1293" s="100"/>
      <c r="Z1293" s="16"/>
    </row>
    <row r="1294">
      <c r="X1294" s="16"/>
      <c r="Y1294" s="100"/>
      <c r="Z1294" s="16"/>
    </row>
    <row r="1295">
      <c r="X1295" s="16"/>
      <c r="Y1295" s="100"/>
      <c r="Z1295" s="16"/>
    </row>
    <row r="1296">
      <c r="X1296" s="16"/>
      <c r="Y1296" s="100"/>
      <c r="Z1296" s="16"/>
    </row>
    <row r="1297">
      <c r="X1297" s="16"/>
      <c r="Y1297" s="100"/>
      <c r="Z1297" s="16"/>
    </row>
    <row r="1298">
      <c r="X1298" s="16"/>
      <c r="Y1298" s="100"/>
      <c r="Z1298" s="16"/>
    </row>
    <row r="1299">
      <c r="X1299" s="16"/>
      <c r="Y1299" s="100"/>
      <c r="Z1299" s="16"/>
    </row>
    <row r="1300">
      <c r="X1300" s="16"/>
      <c r="Y1300" s="100"/>
      <c r="Z1300" s="16"/>
    </row>
    <row r="1301">
      <c r="X1301" s="16"/>
      <c r="Y1301" s="100"/>
      <c r="Z1301" s="16"/>
    </row>
    <row r="1302">
      <c r="X1302" s="16"/>
      <c r="Y1302" s="100"/>
      <c r="Z1302" s="16"/>
    </row>
    <row r="1303">
      <c r="X1303" s="16"/>
      <c r="Y1303" s="100"/>
      <c r="Z1303" s="16"/>
    </row>
    <row r="1304">
      <c r="X1304" s="16"/>
      <c r="Y1304" s="100"/>
      <c r="Z1304" s="16"/>
    </row>
    <row r="1305">
      <c r="X1305" s="16"/>
      <c r="Y1305" s="100"/>
      <c r="Z1305" s="16"/>
    </row>
    <row r="1306">
      <c r="X1306" s="16"/>
      <c r="Y1306" s="100"/>
      <c r="Z1306" s="16"/>
    </row>
    <row r="1307">
      <c r="X1307" s="16"/>
      <c r="Y1307" s="100"/>
      <c r="Z1307" s="16"/>
    </row>
    <row r="1308">
      <c r="X1308" s="16"/>
      <c r="Y1308" s="100"/>
      <c r="Z1308" s="16"/>
    </row>
    <row r="1309">
      <c r="X1309" s="16"/>
      <c r="Y1309" s="100"/>
      <c r="Z1309" s="16"/>
    </row>
    <row r="1310">
      <c r="X1310" s="16"/>
      <c r="Y1310" s="100"/>
      <c r="Z1310" s="16"/>
    </row>
    <row r="1311">
      <c r="X1311" s="16"/>
      <c r="Y1311" s="100"/>
      <c r="Z1311" s="16"/>
    </row>
    <row r="1312">
      <c r="X1312" s="16"/>
      <c r="Y1312" s="100"/>
      <c r="Z1312" s="16"/>
    </row>
    <row r="1313">
      <c r="X1313" s="16"/>
      <c r="Y1313" s="100"/>
      <c r="Z1313" s="16"/>
    </row>
    <row r="1314">
      <c r="X1314" s="16"/>
      <c r="Y1314" s="100"/>
      <c r="Z1314" s="16"/>
    </row>
    <row r="1315">
      <c r="X1315" s="16"/>
      <c r="Y1315" s="100"/>
      <c r="Z1315" s="16"/>
    </row>
    <row r="1316">
      <c r="X1316" s="16"/>
      <c r="Y1316" s="100"/>
      <c r="Z1316" s="16"/>
    </row>
    <row r="1317">
      <c r="X1317" s="16"/>
      <c r="Y1317" s="100"/>
      <c r="Z1317" s="16"/>
    </row>
    <row r="1318">
      <c r="X1318" s="16"/>
      <c r="Y1318" s="100"/>
      <c r="Z1318" s="16"/>
    </row>
    <row r="1319">
      <c r="X1319" s="16"/>
      <c r="Y1319" s="100"/>
      <c r="Z1319" s="16"/>
    </row>
    <row r="1320">
      <c r="X1320" s="16"/>
      <c r="Y1320" s="100"/>
      <c r="Z1320" s="16"/>
    </row>
    <row r="1321">
      <c r="X1321" s="16"/>
      <c r="Y1321" s="100"/>
      <c r="Z1321" s="16"/>
    </row>
    <row r="1322">
      <c r="X1322" s="16"/>
      <c r="Y1322" s="100"/>
      <c r="Z1322" s="16"/>
    </row>
    <row r="1323">
      <c r="X1323" s="16"/>
      <c r="Y1323" s="100"/>
      <c r="Z1323" s="16"/>
    </row>
    <row r="1324">
      <c r="X1324" s="16"/>
      <c r="Y1324" s="100"/>
      <c r="Z1324" s="16"/>
    </row>
    <row r="1325">
      <c r="X1325" s="16"/>
      <c r="Y1325" s="100"/>
      <c r="Z1325" s="16"/>
    </row>
    <row r="1326">
      <c r="X1326" s="16"/>
      <c r="Y1326" s="100"/>
      <c r="Z1326" s="16"/>
    </row>
    <row r="1327">
      <c r="X1327" s="16"/>
      <c r="Y1327" s="100"/>
      <c r="Z1327" s="16"/>
    </row>
    <row r="1328">
      <c r="X1328" s="16"/>
      <c r="Y1328" s="100"/>
      <c r="Z1328" s="16"/>
    </row>
    <row r="1329">
      <c r="X1329" s="16"/>
      <c r="Y1329" s="100"/>
      <c r="Z1329" s="16"/>
    </row>
    <row r="1330">
      <c r="X1330" s="16"/>
      <c r="Y1330" s="100"/>
      <c r="Z1330" s="16"/>
    </row>
    <row r="1331">
      <c r="X1331" s="16"/>
      <c r="Y1331" s="100"/>
      <c r="Z1331" s="16"/>
    </row>
    <row r="1332">
      <c r="X1332" s="16"/>
      <c r="Y1332" s="100"/>
      <c r="Z1332" s="16"/>
    </row>
    <row r="1333">
      <c r="X1333" s="16"/>
      <c r="Y1333" s="100"/>
      <c r="Z1333" s="16"/>
    </row>
    <row r="1334">
      <c r="X1334" s="16"/>
      <c r="Y1334" s="100"/>
      <c r="Z1334" s="16"/>
    </row>
    <row r="1335">
      <c r="X1335" s="16"/>
      <c r="Y1335" s="100"/>
      <c r="Z1335" s="16"/>
    </row>
    <row r="1336">
      <c r="X1336" s="16"/>
      <c r="Y1336" s="100"/>
      <c r="Z1336" s="16"/>
    </row>
    <row r="1337">
      <c r="X1337" s="16"/>
      <c r="Y1337" s="100"/>
      <c r="Z1337" s="16"/>
    </row>
    <row r="1338">
      <c r="X1338" s="16"/>
      <c r="Y1338" s="100"/>
      <c r="Z1338" s="16"/>
    </row>
    <row r="1339">
      <c r="X1339" s="16"/>
      <c r="Y1339" s="100"/>
      <c r="Z1339" s="16"/>
    </row>
    <row r="1340">
      <c r="X1340" s="16"/>
      <c r="Y1340" s="100"/>
      <c r="Z1340" s="16"/>
    </row>
    <row r="1341">
      <c r="X1341" s="16"/>
      <c r="Y1341" s="100"/>
      <c r="Z1341" s="16"/>
    </row>
    <row r="1342">
      <c r="X1342" s="16"/>
      <c r="Y1342" s="100"/>
      <c r="Z1342" s="16"/>
    </row>
    <row r="1343">
      <c r="X1343" s="16"/>
      <c r="Y1343" s="100"/>
      <c r="Z1343" s="16"/>
    </row>
    <row r="1344">
      <c r="X1344" s="16"/>
      <c r="Y1344" s="100"/>
      <c r="Z1344" s="16"/>
    </row>
    <row r="1345">
      <c r="X1345" s="16"/>
      <c r="Y1345" s="100"/>
      <c r="Z1345" s="16"/>
    </row>
    <row r="1346">
      <c r="X1346" s="16"/>
      <c r="Y1346" s="100"/>
      <c r="Z1346" s="16"/>
    </row>
    <row r="1347">
      <c r="X1347" s="16"/>
      <c r="Y1347" s="100"/>
      <c r="Z1347" s="16"/>
    </row>
    <row r="1348">
      <c r="X1348" s="16"/>
      <c r="Y1348" s="100"/>
      <c r="Z1348" s="16"/>
    </row>
    <row r="1349">
      <c r="X1349" s="16"/>
      <c r="Y1349" s="100"/>
      <c r="Z1349" s="16"/>
    </row>
    <row r="1350">
      <c r="X1350" s="16"/>
      <c r="Y1350" s="100"/>
      <c r="Z1350" s="16"/>
    </row>
    <row r="1351">
      <c r="X1351" s="16"/>
      <c r="Y1351" s="100"/>
      <c r="Z1351" s="16"/>
    </row>
    <row r="1352">
      <c r="X1352" s="16"/>
      <c r="Y1352" s="100"/>
      <c r="Z1352" s="16"/>
    </row>
    <row r="1353">
      <c r="X1353" s="16"/>
      <c r="Y1353" s="100"/>
      <c r="Z1353" s="16"/>
    </row>
    <row r="1354">
      <c r="X1354" s="16"/>
      <c r="Y1354" s="100"/>
      <c r="Z1354" s="16"/>
    </row>
    <row r="1355">
      <c r="X1355" s="16"/>
      <c r="Y1355" s="100"/>
      <c r="Z1355" s="16"/>
    </row>
    <row r="1356">
      <c r="X1356" s="16"/>
      <c r="Y1356" s="100"/>
      <c r="Z1356" s="16"/>
    </row>
    <row r="1357">
      <c r="X1357" s="16"/>
      <c r="Y1357" s="100"/>
      <c r="Z1357" s="16"/>
    </row>
    <row r="1358">
      <c r="X1358" s="16"/>
      <c r="Y1358" s="100"/>
      <c r="Z1358" s="16"/>
    </row>
    <row r="1359">
      <c r="X1359" s="16"/>
      <c r="Y1359" s="100"/>
      <c r="Z1359" s="16"/>
    </row>
    <row r="1360">
      <c r="X1360" s="16"/>
      <c r="Y1360" s="100"/>
      <c r="Z1360" s="16"/>
    </row>
    <row r="1361">
      <c r="X1361" s="16"/>
      <c r="Y1361" s="100"/>
      <c r="Z1361" s="16"/>
    </row>
    <row r="1362">
      <c r="X1362" s="16"/>
      <c r="Y1362" s="100"/>
      <c r="Z1362" s="16"/>
    </row>
    <row r="1363">
      <c r="X1363" s="16"/>
      <c r="Y1363" s="100"/>
      <c r="Z1363" s="16"/>
    </row>
    <row r="1364">
      <c r="X1364" s="16"/>
      <c r="Y1364" s="100"/>
      <c r="Z1364" s="16"/>
    </row>
    <row r="1365">
      <c r="X1365" s="16"/>
      <c r="Y1365" s="100"/>
      <c r="Z1365" s="16"/>
    </row>
    <row r="1366">
      <c r="X1366" s="16"/>
      <c r="Y1366" s="100"/>
      <c r="Z1366" s="16"/>
    </row>
    <row r="1367">
      <c r="X1367" s="16"/>
      <c r="Y1367" s="100"/>
      <c r="Z1367" s="16"/>
    </row>
    <row r="1368">
      <c r="X1368" s="16"/>
      <c r="Y1368" s="100"/>
      <c r="Z1368" s="16"/>
    </row>
    <row r="1369">
      <c r="X1369" s="16"/>
      <c r="Y1369" s="100"/>
      <c r="Z1369" s="16"/>
    </row>
    <row r="1370">
      <c r="X1370" s="16"/>
      <c r="Y1370" s="100"/>
      <c r="Z1370" s="16"/>
    </row>
    <row r="1371">
      <c r="X1371" s="16"/>
      <c r="Y1371" s="100"/>
      <c r="Z1371" s="16"/>
    </row>
    <row r="1372">
      <c r="X1372" s="16"/>
      <c r="Y1372" s="100"/>
      <c r="Z1372" s="16"/>
    </row>
    <row r="1373">
      <c r="X1373" s="16"/>
      <c r="Y1373" s="100"/>
      <c r="Z1373" s="16"/>
    </row>
    <row r="1374">
      <c r="X1374" s="16"/>
      <c r="Y1374" s="100"/>
      <c r="Z1374" s="16"/>
    </row>
    <row r="1375">
      <c r="X1375" s="16"/>
      <c r="Y1375" s="100"/>
      <c r="Z1375" s="16"/>
    </row>
    <row r="1376">
      <c r="X1376" s="16"/>
      <c r="Y1376" s="100"/>
      <c r="Z1376" s="16"/>
    </row>
    <row r="1377">
      <c r="X1377" s="16"/>
      <c r="Y1377" s="100"/>
      <c r="Z1377" s="16"/>
    </row>
    <row r="1378">
      <c r="X1378" s="16"/>
      <c r="Y1378" s="100"/>
      <c r="Z1378" s="16"/>
    </row>
    <row r="1379">
      <c r="X1379" s="16"/>
      <c r="Y1379" s="100"/>
      <c r="Z1379" s="16"/>
    </row>
    <row r="1380">
      <c r="X1380" s="16"/>
      <c r="Y1380" s="100"/>
      <c r="Z1380" s="16"/>
    </row>
    <row r="1381">
      <c r="X1381" s="16"/>
      <c r="Y1381" s="100"/>
      <c r="Z1381" s="16"/>
    </row>
    <row r="1382">
      <c r="X1382" s="16"/>
      <c r="Y1382" s="100"/>
      <c r="Z1382" s="16"/>
    </row>
    <row r="1383">
      <c r="X1383" s="16"/>
      <c r="Y1383" s="100"/>
      <c r="Z1383" s="16"/>
    </row>
    <row r="1384">
      <c r="X1384" s="16"/>
      <c r="Y1384" s="100"/>
      <c r="Z1384" s="16"/>
    </row>
    <row r="1385">
      <c r="X1385" s="16"/>
      <c r="Y1385" s="100"/>
      <c r="Z1385" s="16"/>
    </row>
    <row r="1386">
      <c r="X1386" s="16"/>
      <c r="Y1386" s="100"/>
      <c r="Z1386" s="16"/>
    </row>
    <row r="1387">
      <c r="X1387" s="16"/>
      <c r="Y1387" s="100"/>
      <c r="Z1387" s="16"/>
    </row>
    <row r="1388">
      <c r="X1388" s="16"/>
      <c r="Y1388" s="100"/>
      <c r="Z1388" s="16"/>
    </row>
    <row r="1389">
      <c r="X1389" s="16"/>
      <c r="Y1389" s="100"/>
      <c r="Z1389" s="16"/>
    </row>
    <row r="1390">
      <c r="X1390" s="16"/>
      <c r="Y1390" s="100"/>
      <c r="Z1390" s="16"/>
    </row>
    <row r="1391">
      <c r="X1391" s="16"/>
      <c r="Y1391" s="100"/>
      <c r="Z1391" s="16"/>
    </row>
    <row r="1392">
      <c r="X1392" s="16"/>
      <c r="Y1392" s="100"/>
      <c r="Z1392" s="16"/>
    </row>
    <row r="1393">
      <c r="X1393" s="16"/>
      <c r="Y1393" s="100"/>
      <c r="Z1393" s="16"/>
    </row>
    <row r="1394">
      <c r="X1394" s="16"/>
      <c r="Y1394" s="100"/>
      <c r="Z1394" s="16"/>
    </row>
    <row r="1395">
      <c r="X1395" s="16"/>
      <c r="Y1395" s="100"/>
      <c r="Z1395" s="16"/>
    </row>
    <row r="1396">
      <c r="X1396" s="16"/>
      <c r="Y1396" s="100"/>
      <c r="Z1396" s="16"/>
    </row>
    <row r="1397">
      <c r="X1397" s="16"/>
      <c r="Y1397" s="100"/>
      <c r="Z1397" s="16"/>
    </row>
    <row r="1398">
      <c r="X1398" s="16"/>
      <c r="Y1398" s="100"/>
      <c r="Z1398" s="16"/>
    </row>
    <row r="1399">
      <c r="X1399" s="16"/>
      <c r="Y1399" s="100"/>
      <c r="Z1399" s="16"/>
    </row>
    <row r="1400">
      <c r="X1400" s="16"/>
      <c r="Y1400" s="100"/>
      <c r="Z1400" s="16"/>
    </row>
    <row r="1401">
      <c r="X1401" s="16"/>
      <c r="Y1401" s="100"/>
      <c r="Z1401" s="16"/>
    </row>
    <row r="1402">
      <c r="X1402" s="16"/>
      <c r="Y1402" s="100"/>
      <c r="Z1402" s="16"/>
    </row>
    <row r="1403">
      <c r="X1403" s="16"/>
      <c r="Y1403" s="100"/>
      <c r="Z1403" s="16"/>
    </row>
    <row r="1404">
      <c r="X1404" s="16"/>
      <c r="Y1404" s="100"/>
      <c r="Z1404" s="16"/>
    </row>
    <row r="1405">
      <c r="X1405" s="16"/>
      <c r="Y1405" s="100"/>
      <c r="Z1405" s="16"/>
    </row>
    <row r="1406">
      <c r="X1406" s="16"/>
      <c r="Y1406" s="100"/>
      <c r="Z1406" s="16"/>
    </row>
    <row r="1407">
      <c r="X1407" s="16"/>
      <c r="Y1407" s="100"/>
      <c r="Z1407" s="16"/>
    </row>
    <row r="1408">
      <c r="X1408" s="16"/>
      <c r="Y1408" s="100"/>
      <c r="Z1408" s="16"/>
    </row>
    <row r="1409">
      <c r="X1409" s="16"/>
      <c r="Y1409" s="100"/>
      <c r="Z1409" s="16"/>
    </row>
    <row r="1410">
      <c r="X1410" s="16"/>
      <c r="Y1410" s="100"/>
      <c r="Z1410" s="16"/>
    </row>
    <row r="1411">
      <c r="X1411" s="16"/>
      <c r="Y1411" s="100"/>
      <c r="Z1411" s="16"/>
    </row>
    <row r="1412">
      <c r="X1412" s="16"/>
      <c r="Y1412" s="100"/>
      <c r="Z1412" s="16"/>
    </row>
    <row r="1413">
      <c r="X1413" s="16"/>
      <c r="Y1413" s="100"/>
      <c r="Z1413" s="16"/>
    </row>
    <row r="1414">
      <c r="X1414" s="16"/>
      <c r="Y1414" s="100"/>
      <c r="Z1414" s="16"/>
    </row>
    <row r="1415">
      <c r="X1415" s="16"/>
      <c r="Y1415" s="100"/>
      <c r="Z1415" s="16"/>
    </row>
    <row r="1416">
      <c r="X1416" s="16"/>
      <c r="Y1416" s="100"/>
      <c r="Z1416" s="16"/>
    </row>
    <row r="1417">
      <c r="X1417" s="16"/>
      <c r="Y1417" s="100"/>
      <c r="Z1417" s="16"/>
    </row>
    <row r="1418">
      <c r="X1418" s="16"/>
      <c r="Y1418" s="100"/>
      <c r="Z1418" s="16"/>
    </row>
    <row r="1419">
      <c r="X1419" s="16"/>
      <c r="Y1419" s="100"/>
      <c r="Z1419" s="16"/>
    </row>
    <row r="1420">
      <c r="X1420" s="16"/>
      <c r="Y1420" s="100"/>
      <c r="Z1420" s="16"/>
    </row>
    <row r="1421">
      <c r="X1421" s="16"/>
      <c r="Y1421" s="100"/>
      <c r="Z1421" s="16"/>
    </row>
    <row r="1422">
      <c r="X1422" s="16"/>
      <c r="Y1422" s="100"/>
      <c r="Z1422" s="16"/>
    </row>
    <row r="1423">
      <c r="X1423" s="16"/>
      <c r="Y1423" s="100"/>
      <c r="Z1423" s="16"/>
    </row>
    <row r="1424">
      <c r="X1424" s="16"/>
      <c r="Y1424" s="100"/>
      <c r="Z1424" s="16"/>
    </row>
    <row r="1425">
      <c r="X1425" s="16"/>
      <c r="Y1425" s="100"/>
      <c r="Z1425" s="16"/>
    </row>
    <row r="1426">
      <c r="X1426" s="16"/>
      <c r="Y1426" s="100"/>
      <c r="Z1426" s="16"/>
    </row>
    <row r="1427">
      <c r="X1427" s="16"/>
      <c r="Y1427" s="100"/>
      <c r="Z1427" s="16"/>
    </row>
    <row r="1428">
      <c r="X1428" s="16"/>
      <c r="Y1428" s="100"/>
      <c r="Z1428" s="16"/>
    </row>
    <row r="1429">
      <c r="X1429" s="16"/>
      <c r="Y1429" s="100"/>
      <c r="Z1429" s="16"/>
    </row>
    <row r="1430">
      <c r="X1430" s="16"/>
      <c r="Y1430" s="100"/>
      <c r="Z1430" s="16"/>
    </row>
    <row r="1431">
      <c r="X1431" s="16"/>
      <c r="Y1431" s="100"/>
      <c r="Z1431" s="16"/>
    </row>
    <row r="1432">
      <c r="X1432" s="16"/>
      <c r="Y1432" s="100"/>
      <c r="Z1432" s="16"/>
    </row>
    <row r="1433">
      <c r="X1433" s="16"/>
      <c r="Y1433" s="100"/>
      <c r="Z1433" s="16"/>
    </row>
    <row r="1434">
      <c r="X1434" s="16"/>
      <c r="Y1434" s="100"/>
      <c r="Z1434" s="16"/>
    </row>
    <row r="1435">
      <c r="X1435" s="16"/>
      <c r="Y1435" s="100"/>
      <c r="Z1435" s="16"/>
    </row>
    <row r="1436">
      <c r="X1436" s="16"/>
      <c r="Y1436" s="100"/>
      <c r="Z1436" s="16"/>
    </row>
    <row r="1437">
      <c r="X1437" s="16"/>
      <c r="Y1437" s="100"/>
      <c r="Z1437" s="16"/>
    </row>
    <row r="1438">
      <c r="X1438" s="16"/>
      <c r="Y1438" s="100"/>
      <c r="Z1438" s="16"/>
    </row>
    <row r="1439">
      <c r="X1439" s="16"/>
      <c r="Y1439" s="100"/>
      <c r="Z1439" s="16"/>
    </row>
    <row r="1440">
      <c r="X1440" s="16"/>
      <c r="Y1440" s="100"/>
      <c r="Z1440" s="16"/>
    </row>
    <row r="1441">
      <c r="X1441" s="16"/>
      <c r="Y1441" s="100"/>
      <c r="Z1441" s="16"/>
    </row>
    <row r="1442">
      <c r="X1442" s="16"/>
      <c r="Y1442" s="100"/>
      <c r="Z1442" s="16"/>
    </row>
    <row r="1443">
      <c r="X1443" s="16"/>
      <c r="Y1443" s="100"/>
      <c r="Z1443" s="16"/>
    </row>
    <row r="1444">
      <c r="X1444" s="16"/>
      <c r="Y1444" s="100"/>
      <c r="Z1444" s="16"/>
    </row>
    <row r="1445">
      <c r="X1445" s="16"/>
      <c r="Y1445" s="100"/>
      <c r="Z1445" s="16"/>
    </row>
    <row r="1446">
      <c r="X1446" s="16"/>
      <c r="Y1446" s="100"/>
      <c r="Z1446" s="16"/>
    </row>
    <row r="1447">
      <c r="X1447" s="16"/>
      <c r="Y1447" s="100"/>
      <c r="Z1447" s="16"/>
    </row>
    <row r="1448">
      <c r="X1448" s="16"/>
      <c r="Y1448" s="100"/>
      <c r="Z1448" s="16"/>
    </row>
    <row r="1449">
      <c r="X1449" s="16"/>
      <c r="Y1449" s="100"/>
      <c r="Z1449" s="16"/>
    </row>
    <row r="1450">
      <c r="X1450" s="16"/>
      <c r="Y1450" s="100"/>
      <c r="Z1450" s="16"/>
    </row>
    <row r="1451">
      <c r="X1451" s="16"/>
      <c r="Y1451" s="100"/>
      <c r="Z1451" s="16"/>
    </row>
    <row r="1452">
      <c r="X1452" s="16"/>
      <c r="Y1452" s="100"/>
      <c r="Z1452" s="16"/>
    </row>
    <row r="1453">
      <c r="X1453" s="16"/>
      <c r="Y1453" s="100"/>
      <c r="Z1453" s="16"/>
    </row>
    <row r="1454">
      <c r="X1454" s="16"/>
      <c r="Y1454" s="100"/>
      <c r="Z1454" s="16"/>
    </row>
    <row r="1455">
      <c r="X1455" s="16"/>
      <c r="Y1455" s="100"/>
      <c r="Z1455" s="16"/>
    </row>
    <row r="1456">
      <c r="X1456" s="16"/>
      <c r="Y1456" s="100"/>
      <c r="Z1456" s="16"/>
    </row>
    <row r="1457">
      <c r="X1457" s="16"/>
      <c r="Y1457" s="100"/>
      <c r="Z1457" s="16"/>
    </row>
    <row r="1458">
      <c r="X1458" s="16"/>
      <c r="Y1458" s="100"/>
      <c r="Z1458" s="16"/>
    </row>
    <row r="1459">
      <c r="X1459" s="16"/>
      <c r="Y1459" s="100"/>
      <c r="Z1459" s="16"/>
    </row>
    <row r="1460">
      <c r="X1460" s="16"/>
      <c r="Y1460" s="100"/>
      <c r="Z1460" s="16"/>
    </row>
    <row r="1461">
      <c r="X1461" s="16"/>
      <c r="Y1461" s="100"/>
      <c r="Z1461" s="16"/>
    </row>
    <row r="1462">
      <c r="X1462" s="16"/>
      <c r="Y1462" s="100"/>
      <c r="Z1462" s="16"/>
    </row>
    <row r="1463">
      <c r="X1463" s="16"/>
      <c r="Y1463" s="100"/>
      <c r="Z1463" s="16"/>
    </row>
    <row r="1464">
      <c r="X1464" s="16"/>
      <c r="Y1464" s="100"/>
      <c r="Z1464" s="16"/>
    </row>
    <row r="1465">
      <c r="X1465" s="16"/>
      <c r="Y1465" s="100"/>
      <c r="Z1465" s="16"/>
    </row>
    <row r="1466">
      <c r="X1466" s="16"/>
      <c r="Y1466" s="100"/>
      <c r="Z1466" s="16"/>
    </row>
    <row r="1467">
      <c r="X1467" s="16"/>
      <c r="Y1467" s="100"/>
      <c r="Z1467" s="16"/>
    </row>
    <row r="1468">
      <c r="X1468" s="16"/>
      <c r="Y1468" s="100"/>
      <c r="Z1468" s="16"/>
    </row>
    <row r="1469">
      <c r="X1469" s="16"/>
      <c r="Y1469" s="100"/>
      <c r="Z1469" s="16"/>
    </row>
    <row r="1470">
      <c r="X1470" s="16"/>
      <c r="Y1470" s="100"/>
      <c r="Z1470" s="16"/>
    </row>
    <row r="1471">
      <c r="X1471" s="16"/>
      <c r="Y1471" s="100"/>
      <c r="Z1471" s="16"/>
    </row>
    <row r="1472">
      <c r="X1472" s="16"/>
      <c r="Y1472" s="100"/>
      <c r="Z1472" s="16"/>
    </row>
    <row r="1473">
      <c r="X1473" s="16"/>
      <c r="Y1473" s="100"/>
      <c r="Z1473" s="16"/>
    </row>
    <row r="1474">
      <c r="X1474" s="16"/>
      <c r="Y1474" s="100"/>
      <c r="Z1474" s="16"/>
    </row>
    <row r="1475">
      <c r="X1475" s="16"/>
      <c r="Y1475" s="100"/>
      <c r="Z1475" s="16"/>
    </row>
    <row r="1476">
      <c r="X1476" s="16"/>
      <c r="Y1476" s="100"/>
      <c r="Z1476" s="16"/>
    </row>
    <row r="1477">
      <c r="X1477" s="16"/>
      <c r="Y1477" s="100"/>
      <c r="Z1477" s="16"/>
    </row>
    <row r="1478">
      <c r="X1478" s="16"/>
      <c r="Y1478" s="100"/>
      <c r="Z1478" s="16"/>
    </row>
    <row r="1479">
      <c r="X1479" s="16"/>
      <c r="Y1479" s="100"/>
      <c r="Z1479" s="16"/>
    </row>
    <row r="1480">
      <c r="X1480" s="16"/>
      <c r="Y1480" s="100"/>
      <c r="Z1480" s="16"/>
    </row>
    <row r="1481">
      <c r="X1481" s="16"/>
      <c r="Y1481" s="100"/>
      <c r="Z1481" s="16"/>
    </row>
    <row r="1482">
      <c r="X1482" s="16"/>
      <c r="Y1482" s="100"/>
      <c r="Z1482" s="16"/>
    </row>
    <row r="1483">
      <c r="X1483" s="16"/>
      <c r="Y1483" s="100"/>
      <c r="Z1483" s="16"/>
    </row>
    <row r="1484">
      <c r="X1484" s="16"/>
      <c r="Y1484" s="100"/>
      <c r="Z1484" s="16"/>
    </row>
    <row r="1485">
      <c r="X1485" s="16"/>
      <c r="Y1485" s="100"/>
      <c r="Z1485" s="16"/>
    </row>
    <row r="1486">
      <c r="X1486" s="16"/>
      <c r="Y1486" s="100"/>
      <c r="Z1486" s="16"/>
    </row>
    <row r="1487">
      <c r="X1487" s="16"/>
      <c r="Y1487" s="100"/>
      <c r="Z1487" s="16"/>
    </row>
    <row r="1488">
      <c r="X1488" s="16"/>
      <c r="Y1488" s="100"/>
      <c r="Z1488" s="16"/>
    </row>
    <row r="1489">
      <c r="X1489" s="16"/>
      <c r="Y1489" s="100"/>
      <c r="Z1489" s="16"/>
    </row>
    <row r="1490">
      <c r="X1490" s="16"/>
      <c r="Y1490" s="100"/>
      <c r="Z1490" s="16"/>
    </row>
    <row r="1491">
      <c r="X1491" s="16"/>
      <c r="Y1491" s="100"/>
      <c r="Z1491" s="16"/>
    </row>
    <row r="1492">
      <c r="X1492" s="16"/>
      <c r="Y1492" s="100"/>
      <c r="Z1492" s="16"/>
    </row>
    <row r="1493">
      <c r="X1493" s="16"/>
      <c r="Y1493" s="100"/>
      <c r="Z1493" s="16"/>
    </row>
    <row r="1494">
      <c r="X1494" s="16"/>
      <c r="Y1494" s="100"/>
      <c r="Z1494" s="16"/>
    </row>
    <row r="1495">
      <c r="X1495" s="16"/>
      <c r="Y1495" s="100"/>
      <c r="Z1495" s="16"/>
    </row>
    <row r="1496">
      <c r="X1496" s="16"/>
      <c r="Y1496" s="100"/>
      <c r="Z1496" s="16"/>
    </row>
    <row r="1497">
      <c r="X1497" s="16"/>
      <c r="Y1497" s="100"/>
      <c r="Z1497" s="16"/>
    </row>
    <row r="1498">
      <c r="X1498" s="16"/>
      <c r="Y1498" s="100"/>
      <c r="Z1498" s="16"/>
    </row>
    <row r="1499">
      <c r="X1499" s="16"/>
      <c r="Y1499" s="100"/>
      <c r="Z1499" s="16"/>
    </row>
    <row r="1500">
      <c r="X1500" s="16"/>
      <c r="Y1500" s="100"/>
      <c r="Z1500" s="16"/>
    </row>
    <row r="1501">
      <c r="X1501" s="16"/>
      <c r="Y1501" s="100"/>
      <c r="Z1501" s="16"/>
    </row>
    <row r="1502">
      <c r="X1502" s="16"/>
      <c r="Y1502" s="100"/>
      <c r="Z1502" s="16"/>
    </row>
    <row r="1503">
      <c r="X1503" s="16"/>
      <c r="Y1503" s="100"/>
      <c r="Z1503" s="16"/>
    </row>
    <row r="1504">
      <c r="X1504" s="16"/>
      <c r="Y1504" s="100"/>
      <c r="Z1504" s="16"/>
    </row>
    <row r="1505">
      <c r="X1505" s="16"/>
      <c r="Y1505" s="100"/>
      <c r="Z1505" s="16"/>
    </row>
    <row r="1506">
      <c r="X1506" s="16"/>
      <c r="Y1506" s="100"/>
      <c r="Z1506" s="16"/>
    </row>
    <row r="1507">
      <c r="X1507" s="16"/>
      <c r="Y1507" s="100"/>
      <c r="Z1507" s="16"/>
    </row>
    <row r="1508">
      <c r="X1508" s="16"/>
      <c r="Y1508" s="100"/>
      <c r="Z1508" s="16"/>
    </row>
    <row r="1509">
      <c r="X1509" s="16"/>
      <c r="Y1509" s="100"/>
      <c r="Z1509" s="16"/>
    </row>
    <row r="1510">
      <c r="X1510" s="16"/>
      <c r="Y1510" s="100"/>
      <c r="Z1510" s="16"/>
    </row>
    <row r="1511">
      <c r="X1511" s="16"/>
      <c r="Y1511" s="100"/>
      <c r="Z1511" s="16"/>
    </row>
    <row r="1512">
      <c r="X1512" s="16"/>
      <c r="Y1512" s="100"/>
      <c r="Z1512" s="16"/>
    </row>
    <row r="1513">
      <c r="X1513" s="16"/>
      <c r="Y1513" s="100"/>
      <c r="Z1513" s="16"/>
    </row>
    <row r="1514">
      <c r="X1514" s="16"/>
      <c r="Y1514" s="100"/>
      <c r="Z1514" s="16"/>
    </row>
    <row r="1515">
      <c r="X1515" s="16"/>
      <c r="Y1515" s="100"/>
      <c r="Z1515" s="16"/>
    </row>
    <row r="1516">
      <c r="X1516" s="16"/>
      <c r="Y1516" s="100"/>
      <c r="Z1516" s="16"/>
    </row>
    <row r="1517">
      <c r="X1517" s="16"/>
      <c r="Y1517" s="100"/>
      <c r="Z1517" s="16"/>
    </row>
    <row r="1518">
      <c r="X1518" s="16"/>
      <c r="Y1518" s="100"/>
      <c r="Z1518" s="16"/>
    </row>
    <row r="1519">
      <c r="X1519" s="16"/>
      <c r="Y1519" s="100"/>
      <c r="Z1519" s="16"/>
    </row>
    <row r="1520">
      <c r="X1520" s="16"/>
      <c r="Y1520" s="100"/>
      <c r="Z1520" s="16"/>
    </row>
    <row r="1521">
      <c r="X1521" s="16"/>
      <c r="Y1521" s="100"/>
      <c r="Z1521" s="16"/>
    </row>
    <row r="1522">
      <c r="X1522" s="16"/>
      <c r="Y1522" s="100"/>
      <c r="Z1522" s="16"/>
    </row>
    <row r="1523">
      <c r="X1523" s="16"/>
      <c r="Y1523" s="100"/>
      <c r="Z1523" s="16"/>
    </row>
    <row r="1524">
      <c r="X1524" s="16"/>
      <c r="Y1524" s="100"/>
      <c r="Z1524" s="16"/>
    </row>
    <row r="1525">
      <c r="X1525" s="16"/>
      <c r="Y1525" s="100"/>
      <c r="Z1525" s="16"/>
    </row>
    <row r="1526">
      <c r="X1526" s="16"/>
      <c r="Y1526" s="100"/>
      <c r="Z1526" s="16"/>
    </row>
    <row r="1527">
      <c r="X1527" s="16"/>
      <c r="Y1527" s="100"/>
      <c r="Z1527" s="16"/>
    </row>
    <row r="1528">
      <c r="X1528" s="16"/>
      <c r="Y1528" s="100"/>
      <c r="Z1528" s="16"/>
    </row>
    <row r="1529">
      <c r="X1529" s="16"/>
      <c r="Y1529" s="100"/>
      <c r="Z1529" s="16"/>
    </row>
    <row r="1530">
      <c r="X1530" s="16"/>
      <c r="Y1530" s="100"/>
      <c r="Z1530" s="16"/>
    </row>
    <row r="1531">
      <c r="X1531" s="16"/>
      <c r="Y1531" s="100"/>
      <c r="Z1531" s="16"/>
    </row>
    <row r="1532">
      <c r="X1532" s="16"/>
      <c r="Y1532" s="100"/>
      <c r="Z1532" s="16"/>
    </row>
    <row r="1533">
      <c r="X1533" s="16"/>
      <c r="Y1533" s="100"/>
      <c r="Z1533" s="16"/>
    </row>
    <row r="1534">
      <c r="X1534" s="16"/>
      <c r="Y1534" s="100"/>
      <c r="Z1534" s="16"/>
    </row>
    <row r="1535">
      <c r="X1535" s="16"/>
      <c r="Y1535" s="100"/>
      <c r="Z1535" s="16"/>
    </row>
    <row r="1536">
      <c r="X1536" s="16"/>
      <c r="Y1536" s="100"/>
      <c r="Z1536" s="16"/>
    </row>
    <row r="1537">
      <c r="X1537" s="16"/>
      <c r="Y1537" s="100"/>
      <c r="Z1537" s="16"/>
    </row>
    <row r="1538">
      <c r="X1538" s="16"/>
      <c r="Y1538" s="100"/>
      <c r="Z1538" s="16"/>
    </row>
    <row r="1539">
      <c r="X1539" s="16"/>
      <c r="Y1539" s="100"/>
      <c r="Z1539" s="16"/>
    </row>
    <row r="1540">
      <c r="X1540" s="16"/>
      <c r="Y1540" s="100"/>
      <c r="Z1540" s="16"/>
    </row>
    <row r="1541">
      <c r="X1541" s="16"/>
      <c r="Y1541" s="100"/>
      <c r="Z1541" s="16"/>
    </row>
    <row r="1542">
      <c r="X1542" s="16"/>
      <c r="Y1542" s="100"/>
      <c r="Z1542" s="16"/>
    </row>
    <row r="1543">
      <c r="X1543" s="16"/>
      <c r="Y1543" s="100"/>
      <c r="Z1543" s="16"/>
    </row>
    <row r="1544">
      <c r="X1544" s="16"/>
      <c r="Y1544" s="100"/>
      <c r="Z1544" s="16"/>
    </row>
    <row r="1545">
      <c r="X1545" s="16"/>
      <c r="Y1545" s="100"/>
      <c r="Z1545" s="16"/>
    </row>
    <row r="1546">
      <c r="X1546" s="16"/>
      <c r="Y1546" s="100"/>
      <c r="Z1546" s="16"/>
    </row>
    <row r="1547">
      <c r="X1547" s="16"/>
      <c r="Y1547" s="100"/>
      <c r="Z1547" s="16"/>
    </row>
    <row r="1548">
      <c r="X1548" s="16"/>
      <c r="Y1548" s="100"/>
      <c r="Z1548" s="16"/>
    </row>
    <row r="1549">
      <c r="X1549" s="16"/>
      <c r="Y1549" s="100"/>
      <c r="Z1549" s="16"/>
    </row>
    <row r="1550">
      <c r="X1550" s="16"/>
      <c r="Y1550" s="100"/>
      <c r="Z1550" s="16"/>
    </row>
    <row r="1551">
      <c r="X1551" s="16"/>
      <c r="Y1551" s="100"/>
      <c r="Z1551" s="16"/>
    </row>
    <row r="1552">
      <c r="X1552" s="16"/>
      <c r="Y1552" s="100"/>
      <c r="Z1552" s="16"/>
    </row>
    <row r="1553">
      <c r="X1553" s="16"/>
      <c r="Y1553" s="100"/>
      <c r="Z1553" s="16"/>
    </row>
    <row r="1554">
      <c r="X1554" s="16"/>
      <c r="Y1554" s="100"/>
      <c r="Z1554" s="16"/>
    </row>
    <row r="1555">
      <c r="X1555" s="16"/>
      <c r="Y1555" s="100"/>
      <c r="Z1555" s="16"/>
    </row>
    <row r="1556">
      <c r="X1556" s="16"/>
      <c r="Y1556" s="100"/>
      <c r="Z1556" s="16"/>
    </row>
  </sheetData>
  <hyperlinks>
    <hyperlink r:id="rId1" ref="D2"/>
    <hyperlink r:id="rId2" ref="AP2"/>
    <hyperlink r:id="rId3" ref="D3"/>
    <hyperlink r:id="rId4" ref="AN3"/>
    <hyperlink r:id="rId5" ref="AP3"/>
    <hyperlink r:id="rId6" ref="D4"/>
    <hyperlink r:id="rId7" ref="AN4"/>
    <hyperlink r:id="rId8" ref="AP4"/>
    <hyperlink r:id="rId9" ref="D5"/>
    <hyperlink r:id="rId10" ref="AN5"/>
    <hyperlink r:id="rId11" ref="AP5"/>
    <hyperlink r:id="rId12" ref="D6"/>
    <hyperlink r:id="rId13" ref="AN6"/>
    <hyperlink r:id="rId14" ref="AP6"/>
    <hyperlink r:id="rId15" ref="D7"/>
    <hyperlink r:id="rId16" ref="AN7"/>
    <hyperlink r:id="rId17" ref="AP7"/>
    <hyperlink r:id="rId18" ref="D8"/>
    <hyperlink r:id="rId19" ref="AN8"/>
    <hyperlink r:id="rId20" ref="AP8"/>
    <hyperlink r:id="rId21" ref="D9"/>
    <hyperlink r:id="rId22" ref="T9"/>
    <hyperlink r:id="rId23" ref="AN9"/>
    <hyperlink r:id="rId24" ref="AP9"/>
    <hyperlink r:id="rId25" ref="D10"/>
    <hyperlink r:id="rId26" ref="AN10"/>
    <hyperlink r:id="rId27" ref="AP10"/>
    <hyperlink r:id="rId28" ref="D11"/>
    <hyperlink r:id="rId29" ref="AN11"/>
    <hyperlink r:id="rId30" ref="AP11"/>
    <hyperlink r:id="rId31" ref="D12"/>
    <hyperlink r:id="rId32" ref="AN12"/>
    <hyperlink r:id="rId33" ref="AP12"/>
    <hyperlink r:id="rId34" ref="D13"/>
    <hyperlink r:id="rId35" ref="AN13"/>
    <hyperlink r:id="rId36" ref="AP13"/>
    <hyperlink r:id="rId37" ref="D14"/>
    <hyperlink r:id="rId38" ref="AN14"/>
    <hyperlink r:id="rId39" ref="AP14"/>
    <hyperlink r:id="rId40" ref="D15"/>
    <hyperlink r:id="rId41" ref="AN15"/>
    <hyperlink r:id="rId42" ref="AP15"/>
    <hyperlink r:id="rId43" ref="D16"/>
    <hyperlink r:id="rId44" ref="AN16"/>
    <hyperlink r:id="rId45" ref="AP16"/>
    <hyperlink r:id="rId46" ref="D17"/>
    <hyperlink r:id="rId47" ref="AN17"/>
    <hyperlink r:id="rId48" ref="AP17"/>
    <hyperlink r:id="rId49" ref="D18"/>
    <hyperlink r:id="rId50" ref="AN18"/>
    <hyperlink r:id="rId51" ref="AP18"/>
    <hyperlink r:id="rId52" ref="D19"/>
    <hyperlink r:id="rId53" ref="D20"/>
    <hyperlink r:id="rId54" ref="D21"/>
    <hyperlink r:id="rId55" ref="D22"/>
    <hyperlink r:id="rId56" ref="D23"/>
    <hyperlink r:id="rId57" ref="D24"/>
    <hyperlink r:id="rId58" ref="D25"/>
    <hyperlink r:id="rId59" ref="D26"/>
    <hyperlink r:id="rId60" ref="D27"/>
    <hyperlink r:id="rId61" ref="D28"/>
    <hyperlink r:id="rId62" ref="D29"/>
    <hyperlink r:id="rId63" ref="D30"/>
    <hyperlink r:id="rId64" ref="D31"/>
    <hyperlink r:id="rId65" ref="D32"/>
    <hyperlink r:id="rId66" ref="D33"/>
    <hyperlink r:id="rId67" ref="D34"/>
    <hyperlink r:id="rId68" ref="D35"/>
    <hyperlink r:id="rId69" ref="D36"/>
    <hyperlink r:id="rId70" ref="D37"/>
    <hyperlink r:id="rId71" ref="D38"/>
    <hyperlink r:id="rId72" ref="D39"/>
    <hyperlink r:id="rId73" ref="D40"/>
    <hyperlink r:id="rId74" ref="D41"/>
    <hyperlink r:id="rId75" ref="D42"/>
    <hyperlink r:id="rId76" ref="D43"/>
    <hyperlink r:id="rId77" ref="D44"/>
    <hyperlink r:id="rId78" ref="D45"/>
    <hyperlink r:id="rId79" ref="D46"/>
    <hyperlink r:id="rId80" ref="D47"/>
    <hyperlink r:id="rId81" ref="D48"/>
    <hyperlink r:id="rId82" ref="D49"/>
    <hyperlink r:id="rId83" ref="D50"/>
    <hyperlink r:id="rId84" ref="D51"/>
    <hyperlink r:id="rId85" ref="D52"/>
    <hyperlink r:id="rId86" ref="D53"/>
    <hyperlink r:id="rId87" ref="D54"/>
    <hyperlink r:id="rId88" ref="D55"/>
    <hyperlink r:id="rId89" ref="D56"/>
    <hyperlink r:id="rId90" ref="D57"/>
    <hyperlink r:id="rId91" ref="D58"/>
    <hyperlink r:id="rId92" ref="D59"/>
    <hyperlink r:id="rId93" ref="D60"/>
    <hyperlink r:id="rId94" ref="D61"/>
    <hyperlink r:id="rId95" ref="D62"/>
    <hyperlink r:id="rId96" ref="D63"/>
    <hyperlink r:id="rId97" ref="D64"/>
    <hyperlink r:id="rId98" ref="D65"/>
    <hyperlink r:id="rId99" ref="D66"/>
    <hyperlink r:id="rId100" ref="D67"/>
    <hyperlink r:id="rId101" ref="D68"/>
    <hyperlink r:id="rId102" ref="D69"/>
    <hyperlink r:id="rId103" ref="D70"/>
    <hyperlink r:id="rId104" ref="D71"/>
    <hyperlink r:id="rId105" ref="T71"/>
    <hyperlink r:id="rId106" ref="D72"/>
    <hyperlink r:id="rId107" ref="D73"/>
    <hyperlink r:id="rId108" ref="D74"/>
    <hyperlink r:id="rId109" ref="D75"/>
    <hyperlink r:id="rId110" ref="D76"/>
    <hyperlink r:id="rId111" ref="D77"/>
    <hyperlink r:id="rId112" ref="D78"/>
    <hyperlink r:id="rId113" ref="D79"/>
    <hyperlink r:id="rId114" ref="D80"/>
    <hyperlink r:id="rId115" ref="D81"/>
    <hyperlink r:id="rId116" ref="D82"/>
    <hyperlink r:id="rId117" ref="D83"/>
    <hyperlink r:id="rId118" ref="D84"/>
    <hyperlink r:id="rId119" ref="D85"/>
    <hyperlink r:id="rId120" ref="T85"/>
    <hyperlink r:id="rId121" ref="D86"/>
    <hyperlink r:id="rId122" ref="D87"/>
    <hyperlink r:id="rId123" ref="D88"/>
    <hyperlink r:id="rId124" ref="D89"/>
    <hyperlink r:id="rId125" ref="D90"/>
    <hyperlink r:id="rId126" ref="D91"/>
    <hyperlink r:id="rId127" ref="D92"/>
    <hyperlink r:id="rId128" ref="D93"/>
    <hyperlink r:id="rId129" ref="D94"/>
    <hyperlink r:id="rId130" ref="D95"/>
    <hyperlink r:id="rId131" ref="D96"/>
    <hyperlink r:id="rId132" ref="D97"/>
    <hyperlink r:id="rId133" ref="D98"/>
    <hyperlink r:id="rId134" ref="D99"/>
    <hyperlink r:id="rId135" ref="D100"/>
    <hyperlink r:id="rId136" ref="D101"/>
    <hyperlink r:id="rId137" ref="D102"/>
    <hyperlink r:id="rId138" ref="D103"/>
    <hyperlink r:id="rId139" ref="D104"/>
    <hyperlink r:id="rId140" ref="D105"/>
    <hyperlink r:id="rId141" ref="D106"/>
    <hyperlink r:id="rId142" ref="D107"/>
    <hyperlink r:id="rId143" ref="D108"/>
    <hyperlink r:id="rId144" ref="D109"/>
    <hyperlink r:id="rId145" ref="D110"/>
    <hyperlink r:id="rId146" ref="D111"/>
    <hyperlink r:id="rId147" ref="D112"/>
    <hyperlink r:id="rId148" ref="D113"/>
    <hyperlink r:id="rId149" ref="D114"/>
    <hyperlink r:id="rId150" ref="D115"/>
    <hyperlink r:id="rId151" ref="D116"/>
    <hyperlink r:id="rId152" ref="T116"/>
    <hyperlink r:id="rId153" ref="D117"/>
    <hyperlink r:id="rId154" ref="D118"/>
    <hyperlink r:id="rId155" ref="D119"/>
    <hyperlink r:id="rId156" ref="D120"/>
    <hyperlink r:id="rId157" ref="D121"/>
    <hyperlink r:id="rId158" ref="D122"/>
    <hyperlink r:id="rId159" ref="D123"/>
    <hyperlink r:id="rId160" ref="D124"/>
    <hyperlink r:id="rId161" ref="D125"/>
    <hyperlink r:id="rId162" ref="D126"/>
    <hyperlink r:id="rId163" ref="D127"/>
    <hyperlink r:id="rId164" ref="D128"/>
    <hyperlink r:id="rId165" ref="D129"/>
    <hyperlink r:id="rId166" ref="D130"/>
    <hyperlink r:id="rId167" ref="D131"/>
    <hyperlink r:id="rId168" ref="D132"/>
    <hyperlink r:id="rId169" ref="D133"/>
    <hyperlink r:id="rId170" ref="D134"/>
    <hyperlink r:id="rId171" ref="D135"/>
    <hyperlink r:id="rId172" ref="D136"/>
    <hyperlink r:id="rId173" ref="D137"/>
    <hyperlink r:id="rId174" ref="D138"/>
    <hyperlink r:id="rId175" ref="D139"/>
    <hyperlink r:id="rId176" ref="D140"/>
    <hyperlink r:id="rId177" ref="D141"/>
    <hyperlink r:id="rId178" ref="D142"/>
    <hyperlink r:id="rId179" ref="D143"/>
    <hyperlink r:id="rId180" ref="D144"/>
    <hyperlink r:id="rId181" ref="D145"/>
    <hyperlink r:id="rId182" ref="D146"/>
    <hyperlink r:id="rId183" ref="D147"/>
    <hyperlink r:id="rId184" ref="D148"/>
    <hyperlink r:id="rId185" ref="D149"/>
    <hyperlink r:id="rId186" ref="D150"/>
    <hyperlink r:id="rId187" ref="D151"/>
    <hyperlink r:id="rId188" ref="T151"/>
    <hyperlink r:id="rId189" ref="D152"/>
    <hyperlink r:id="rId190" ref="D153"/>
    <hyperlink r:id="rId191" ref="D154"/>
    <hyperlink r:id="rId192" ref="D155"/>
    <hyperlink r:id="rId193" ref="T155"/>
    <hyperlink r:id="rId194" ref="D156"/>
    <hyperlink r:id="rId195" ref="D157"/>
    <hyperlink r:id="rId196" ref="D158"/>
    <hyperlink r:id="rId197" ref="D159"/>
    <hyperlink r:id="rId198" ref="D160"/>
    <hyperlink r:id="rId199" ref="D161"/>
    <hyperlink r:id="rId200" ref="D162"/>
    <hyperlink r:id="rId201" ref="D163"/>
    <hyperlink r:id="rId202" ref="D164"/>
    <hyperlink r:id="rId203" ref="D165"/>
    <hyperlink r:id="rId204" ref="D166"/>
    <hyperlink r:id="rId205" ref="D167"/>
    <hyperlink r:id="rId206" ref="D168"/>
    <hyperlink r:id="rId207" ref="D169"/>
    <hyperlink r:id="rId208" ref="T169"/>
    <hyperlink r:id="rId209" ref="D170"/>
    <hyperlink r:id="rId210" ref="D171"/>
    <hyperlink r:id="rId211" ref="D172"/>
    <hyperlink r:id="rId212" ref="D173"/>
    <hyperlink r:id="rId213" ref="D174"/>
    <hyperlink r:id="rId214" ref="D175"/>
    <hyperlink r:id="rId215" ref="D176"/>
    <hyperlink r:id="rId216" ref="D177"/>
    <hyperlink r:id="rId217" ref="D178"/>
    <hyperlink r:id="rId218" ref="D179"/>
    <hyperlink r:id="rId219" ref="D180"/>
    <hyperlink r:id="rId220" ref="D181"/>
    <hyperlink r:id="rId221" ref="D182"/>
    <hyperlink r:id="rId222" ref="D183"/>
    <hyperlink r:id="rId223" ref="D184"/>
    <hyperlink r:id="rId224" ref="D185"/>
    <hyperlink r:id="rId225" ref="D186"/>
    <hyperlink r:id="rId226" ref="D187"/>
    <hyperlink r:id="rId227" ref="D188"/>
    <hyperlink r:id="rId228" ref="D189"/>
    <hyperlink r:id="rId229" ref="D190"/>
    <hyperlink r:id="rId230" ref="D191"/>
    <hyperlink r:id="rId231" ref="D192"/>
    <hyperlink r:id="rId232" ref="D193"/>
    <hyperlink r:id="rId233" ref="D194"/>
    <hyperlink r:id="rId234" ref="D195"/>
    <hyperlink r:id="rId235" ref="D196"/>
    <hyperlink r:id="rId236" ref="D197"/>
    <hyperlink r:id="rId237" ref="D198"/>
    <hyperlink r:id="rId238" ref="D199"/>
    <hyperlink r:id="rId239" ref="D200"/>
    <hyperlink r:id="rId240" ref="D201"/>
    <hyperlink r:id="rId241" ref="D202"/>
    <hyperlink r:id="rId242" ref="D203"/>
    <hyperlink r:id="rId243" ref="D204"/>
    <hyperlink r:id="rId244" ref="D205"/>
    <hyperlink r:id="rId245" ref="D206"/>
    <hyperlink r:id="rId246" ref="D207"/>
    <hyperlink r:id="rId247" ref="D208"/>
    <hyperlink r:id="rId248" ref="D209"/>
    <hyperlink r:id="rId249" ref="D210"/>
    <hyperlink r:id="rId250" ref="D211"/>
    <hyperlink r:id="rId251" ref="D212"/>
    <hyperlink r:id="rId252" ref="D213"/>
    <hyperlink r:id="rId253" ref="D214"/>
    <hyperlink r:id="rId254" ref="D215"/>
    <hyperlink r:id="rId255" ref="D216"/>
    <hyperlink r:id="rId256" ref="D217"/>
    <hyperlink r:id="rId257" ref="D218"/>
    <hyperlink r:id="rId258" ref="D219"/>
    <hyperlink r:id="rId259" ref="D220"/>
    <hyperlink r:id="rId260" ref="D221"/>
    <hyperlink r:id="rId261" ref="T221"/>
    <hyperlink r:id="rId262" ref="D222"/>
    <hyperlink r:id="rId263" ref="D223"/>
    <hyperlink r:id="rId264" ref="D224"/>
    <hyperlink r:id="rId265" ref="D225"/>
    <hyperlink r:id="rId266" ref="D226"/>
    <hyperlink r:id="rId267" ref="D227"/>
    <hyperlink r:id="rId268" ref="D228"/>
    <hyperlink r:id="rId269" ref="D229"/>
    <hyperlink r:id="rId270" ref="D230"/>
    <hyperlink r:id="rId271" ref="D231"/>
    <hyperlink r:id="rId272" ref="D232"/>
    <hyperlink r:id="rId273" ref="D233"/>
    <hyperlink r:id="rId274" ref="D234"/>
    <hyperlink r:id="rId275" ref="D235"/>
    <hyperlink r:id="rId276" ref="D236"/>
    <hyperlink r:id="rId277" ref="D237"/>
    <hyperlink r:id="rId278" ref="D238"/>
    <hyperlink r:id="rId279" ref="D239"/>
    <hyperlink r:id="rId280" ref="D240"/>
    <hyperlink r:id="rId281" ref="D241"/>
    <hyperlink r:id="rId282" ref="D242"/>
    <hyperlink r:id="rId283" ref="D243"/>
    <hyperlink r:id="rId284" ref="D244"/>
    <hyperlink r:id="rId285" ref="D245"/>
    <hyperlink r:id="rId286" ref="D246"/>
    <hyperlink r:id="rId287" ref="D247"/>
    <hyperlink r:id="rId288" ref="D248"/>
    <hyperlink r:id="rId289" ref="D249"/>
    <hyperlink r:id="rId290" ref="D250"/>
    <hyperlink r:id="rId291" ref="D251"/>
    <hyperlink r:id="rId292" ref="D252"/>
    <hyperlink r:id="rId293" ref="D253"/>
    <hyperlink r:id="rId294" ref="D254"/>
    <hyperlink r:id="rId295" ref="D255"/>
    <hyperlink r:id="rId296" ref="D256"/>
    <hyperlink r:id="rId297" ref="D257"/>
    <hyperlink r:id="rId298" ref="D258"/>
    <hyperlink r:id="rId299" ref="D259"/>
    <hyperlink r:id="rId300" ref="D260"/>
    <hyperlink r:id="rId301" ref="D261"/>
    <hyperlink r:id="rId302" ref="D262"/>
    <hyperlink r:id="rId303" ref="D263"/>
    <hyperlink r:id="rId304" ref="D264"/>
    <hyperlink r:id="rId305" ref="D265"/>
    <hyperlink r:id="rId306" ref="D266"/>
    <hyperlink r:id="rId307" ref="D267"/>
    <hyperlink r:id="rId308" ref="D268"/>
    <hyperlink r:id="rId309" ref="D269"/>
    <hyperlink r:id="rId310" ref="D270"/>
    <hyperlink r:id="rId311" ref="D271"/>
    <hyperlink r:id="rId312" ref="D272"/>
    <hyperlink r:id="rId313" ref="D273"/>
    <hyperlink r:id="rId314" ref="D274"/>
    <hyperlink r:id="rId315" ref="D275"/>
    <hyperlink r:id="rId316" ref="D276"/>
    <hyperlink r:id="rId317" ref="D277"/>
    <hyperlink r:id="rId318" ref="D278"/>
    <hyperlink r:id="rId319" ref="D279"/>
    <hyperlink r:id="rId320" ref="D280"/>
    <hyperlink r:id="rId321" ref="D281"/>
    <hyperlink r:id="rId322" ref="D282"/>
    <hyperlink r:id="rId323" ref="D283"/>
    <hyperlink r:id="rId324" ref="D284"/>
    <hyperlink r:id="rId325" ref="D285"/>
    <hyperlink r:id="rId326" ref="D286"/>
    <hyperlink r:id="rId327" ref="D287"/>
    <hyperlink r:id="rId328" ref="T287"/>
    <hyperlink r:id="rId329" ref="D288"/>
    <hyperlink r:id="rId330" ref="D289"/>
    <hyperlink r:id="rId331" ref="D290"/>
    <hyperlink r:id="rId332" ref="D291"/>
    <hyperlink r:id="rId333" ref="D292"/>
    <hyperlink r:id="rId334" ref="D293"/>
    <hyperlink r:id="rId335" ref="D294"/>
    <hyperlink r:id="rId336" ref="D295"/>
    <hyperlink r:id="rId337" ref="D296"/>
    <hyperlink r:id="rId338" ref="D297"/>
    <hyperlink r:id="rId339" ref="D298"/>
    <hyperlink r:id="rId340" ref="D299"/>
    <hyperlink r:id="rId341" ref="D300"/>
    <hyperlink r:id="rId342" ref="D301"/>
    <hyperlink r:id="rId343" ref="D302"/>
    <hyperlink r:id="rId344" ref="D303"/>
    <hyperlink r:id="rId345" ref="D304"/>
    <hyperlink r:id="rId346" ref="D305"/>
    <hyperlink r:id="rId347" ref="D306"/>
    <hyperlink r:id="rId348" ref="D307"/>
    <hyperlink r:id="rId349" ref="D308"/>
    <hyperlink r:id="rId350" ref="D309"/>
    <hyperlink r:id="rId351" ref="D310"/>
    <hyperlink r:id="rId352" ref="D311"/>
    <hyperlink r:id="rId353" ref="D312"/>
    <hyperlink r:id="rId354" ref="D313"/>
    <hyperlink r:id="rId355" ref="D314"/>
    <hyperlink r:id="rId356" ref="T314"/>
    <hyperlink r:id="rId357" ref="D315"/>
    <hyperlink r:id="rId358" ref="D316"/>
    <hyperlink r:id="rId359" ref="D317"/>
    <hyperlink r:id="rId360" ref="D318"/>
    <hyperlink r:id="rId361" ref="D319"/>
    <hyperlink r:id="rId362" ref="D320"/>
    <hyperlink r:id="rId363" ref="D321"/>
    <hyperlink r:id="rId364" ref="D322"/>
    <hyperlink r:id="rId365" ref="D323"/>
    <hyperlink r:id="rId366" ref="D324"/>
    <hyperlink r:id="rId367" ref="D325"/>
    <hyperlink r:id="rId368" ref="D326"/>
    <hyperlink r:id="rId369" ref="D327"/>
    <hyperlink r:id="rId370" ref="D328"/>
    <hyperlink r:id="rId371" ref="D329"/>
    <hyperlink r:id="rId372" ref="D330"/>
    <hyperlink r:id="rId373" ref="D331"/>
    <hyperlink r:id="rId374" ref="D332"/>
    <hyperlink r:id="rId375" ref="D333"/>
    <hyperlink r:id="rId376" ref="D334"/>
    <hyperlink r:id="rId377" ref="D335"/>
    <hyperlink r:id="rId378" ref="D336"/>
    <hyperlink r:id="rId379" ref="D337"/>
    <hyperlink r:id="rId380" ref="D338"/>
    <hyperlink r:id="rId381" ref="D339"/>
    <hyperlink r:id="rId382" ref="D340"/>
    <hyperlink r:id="rId383" ref="D341"/>
    <hyperlink r:id="rId384" ref="D342"/>
    <hyperlink r:id="rId385" ref="D343"/>
    <hyperlink r:id="rId386" ref="D344"/>
    <hyperlink r:id="rId387" ref="D345"/>
    <hyperlink r:id="rId388" ref="D346"/>
    <hyperlink r:id="rId389" ref="D347"/>
    <hyperlink r:id="rId390" ref="D348"/>
    <hyperlink r:id="rId391" ref="D349"/>
    <hyperlink r:id="rId392" ref="D350"/>
    <hyperlink r:id="rId393" ref="D351"/>
    <hyperlink r:id="rId394" ref="D352"/>
    <hyperlink r:id="rId395" ref="D353"/>
    <hyperlink r:id="rId396" ref="D354"/>
    <hyperlink r:id="rId397" ref="D355"/>
    <hyperlink r:id="rId398" ref="D356"/>
    <hyperlink r:id="rId399" ref="D357"/>
    <hyperlink r:id="rId400" ref="D358"/>
    <hyperlink r:id="rId401" ref="D359"/>
    <hyperlink r:id="rId402" ref="D360"/>
    <hyperlink r:id="rId403" ref="D361"/>
    <hyperlink r:id="rId404" ref="D362"/>
    <hyperlink r:id="rId405" ref="D363"/>
    <hyperlink r:id="rId406" ref="D364"/>
    <hyperlink r:id="rId407" ref="D365"/>
    <hyperlink r:id="rId408" ref="D366"/>
    <hyperlink r:id="rId409" ref="D367"/>
    <hyperlink r:id="rId410" ref="D368"/>
    <hyperlink r:id="rId411" ref="D369"/>
    <hyperlink r:id="rId412" ref="D370"/>
    <hyperlink r:id="rId413" ref="D371"/>
    <hyperlink r:id="rId414" ref="D372"/>
    <hyperlink r:id="rId415" ref="D373"/>
    <hyperlink r:id="rId416" ref="D374"/>
    <hyperlink r:id="rId417" ref="D375"/>
    <hyperlink r:id="rId418" ref="D376"/>
    <hyperlink r:id="rId419" ref="D377"/>
    <hyperlink r:id="rId420" ref="D378"/>
    <hyperlink r:id="rId421" ref="D379"/>
    <hyperlink r:id="rId422" ref="D380"/>
    <hyperlink r:id="rId423" ref="D381"/>
    <hyperlink r:id="rId424" ref="D382"/>
    <hyperlink r:id="rId425" ref="D383"/>
    <hyperlink r:id="rId426" ref="D384"/>
    <hyperlink r:id="rId427" ref="D385"/>
    <hyperlink r:id="rId428" ref="D386"/>
    <hyperlink r:id="rId429" ref="D387"/>
    <hyperlink r:id="rId430" ref="D388"/>
    <hyperlink r:id="rId431" ref="T388"/>
    <hyperlink r:id="rId432" ref="D389"/>
    <hyperlink r:id="rId433" ref="D390"/>
    <hyperlink r:id="rId434" ref="D391"/>
    <hyperlink r:id="rId435" ref="D392"/>
    <hyperlink r:id="rId436" ref="D393"/>
    <hyperlink r:id="rId437" ref="D394"/>
    <hyperlink r:id="rId438" ref="D395"/>
    <hyperlink r:id="rId439" ref="D396"/>
    <hyperlink r:id="rId440" ref="T396"/>
    <hyperlink r:id="rId441" ref="D397"/>
    <hyperlink r:id="rId442" ref="D398"/>
    <hyperlink r:id="rId443" ref="D399"/>
    <hyperlink r:id="rId444" ref="D400"/>
    <hyperlink r:id="rId445" ref="D401"/>
    <hyperlink r:id="rId446" ref="D402"/>
    <hyperlink r:id="rId447" ref="D403"/>
    <hyperlink r:id="rId448" ref="D404"/>
    <hyperlink r:id="rId449" ref="D405"/>
    <hyperlink r:id="rId450" ref="T405"/>
    <hyperlink r:id="rId451" ref="D406"/>
    <hyperlink r:id="rId452" ref="D407"/>
    <hyperlink r:id="rId453" ref="T407"/>
    <hyperlink r:id="rId454" ref="D408"/>
    <hyperlink r:id="rId455" ref="D409"/>
    <hyperlink r:id="rId456" ref="D410"/>
    <hyperlink r:id="rId457" ref="D411"/>
    <hyperlink r:id="rId458" ref="D412"/>
    <hyperlink r:id="rId459" ref="D413"/>
    <hyperlink r:id="rId460" ref="D414"/>
    <hyperlink r:id="rId461" ref="D415"/>
    <hyperlink r:id="rId462" ref="D416"/>
    <hyperlink r:id="rId463" ref="D417"/>
    <hyperlink r:id="rId464" ref="D418"/>
    <hyperlink r:id="rId465" ref="D419"/>
    <hyperlink r:id="rId466" ref="D420"/>
    <hyperlink r:id="rId467" ref="D421"/>
    <hyperlink r:id="rId468" ref="D422"/>
    <hyperlink r:id="rId469" ref="D423"/>
    <hyperlink r:id="rId470" ref="D424"/>
    <hyperlink r:id="rId471" ref="D425"/>
    <hyperlink r:id="rId472" ref="T425"/>
    <hyperlink r:id="rId473" ref="D426"/>
    <hyperlink r:id="rId474" ref="D427"/>
    <hyperlink r:id="rId475" ref="D428"/>
    <hyperlink r:id="rId476" ref="D429"/>
    <hyperlink r:id="rId477" ref="D430"/>
    <hyperlink r:id="rId478" ref="D431"/>
    <hyperlink r:id="rId479" ref="D432"/>
    <hyperlink r:id="rId480" ref="D433"/>
    <hyperlink r:id="rId481" ref="D434"/>
    <hyperlink r:id="rId482" ref="D435"/>
    <hyperlink r:id="rId483" ref="D436"/>
    <hyperlink r:id="rId484" ref="D437"/>
    <hyperlink r:id="rId485" ref="D438"/>
    <hyperlink r:id="rId486" ref="D439"/>
    <hyperlink r:id="rId487" ref="D440"/>
    <hyperlink r:id="rId488" ref="D441"/>
    <hyperlink r:id="rId489" ref="D442"/>
    <hyperlink r:id="rId490" ref="D443"/>
    <hyperlink r:id="rId491" ref="D444"/>
    <hyperlink r:id="rId492" ref="D445"/>
    <hyperlink r:id="rId493" ref="D446"/>
    <hyperlink r:id="rId494" ref="D447"/>
    <hyperlink r:id="rId495" ref="D448"/>
    <hyperlink r:id="rId496" ref="D449"/>
    <hyperlink r:id="rId497" ref="D450"/>
    <hyperlink r:id="rId498" ref="D451"/>
    <hyperlink r:id="rId499" ref="D452"/>
    <hyperlink r:id="rId500" ref="D453"/>
    <hyperlink r:id="rId501" ref="D454"/>
    <hyperlink r:id="rId502" ref="D455"/>
    <hyperlink r:id="rId503" ref="D456"/>
    <hyperlink r:id="rId504" ref="D457"/>
    <hyperlink r:id="rId505" ref="D458"/>
    <hyperlink r:id="rId506" ref="D459"/>
    <hyperlink r:id="rId507" ref="D460"/>
    <hyperlink r:id="rId508" ref="D461"/>
    <hyperlink r:id="rId509" ref="D462"/>
    <hyperlink r:id="rId510" ref="D463"/>
    <hyperlink r:id="rId511" ref="T463"/>
    <hyperlink r:id="rId512" ref="D464"/>
    <hyperlink r:id="rId513" ref="D465"/>
    <hyperlink r:id="rId514" ref="D466"/>
    <hyperlink r:id="rId515" ref="T466"/>
    <hyperlink r:id="rId516" ref="D467"/>
    <hyperlink r:id="rId517" ref="D468"/>
    <hyperlink r:id="rId518" ref="D469"/>
    <hyperlink r:id="rId519" ref="D470"/>
    <hyperlink r:id="rId520" ref="D471"/>
    <hyperlink r:id="rId521" ref="D472"/>
    <hyperlink r:id="rId522" ref="D473"/>
    <hyperlink r:id="rId523" ref="D474"/>
    <hyperlink r:id="rId524" ref="D475"/>
    <hyperlink r:id="rId525" ref="D476"/>
    <hyperlink r:id="rId526" ref="D477"/>
    <hyperlink r:id="rId527" ref="D478"/>
    <hyperlink r:id="rId528" ref="D479"/>
    <hyperlink r:id="rId529" ref="D480"/>
    <hyperlink r:id="rId530" ref="D481"/>
    <hyperlink r:id="rId531" ref="D482"/>
    <hyperlink r:id="rId532" ref="D483"/>
    <hyperlink r:id="rId533" ref="D484"/>
    <hyperlink r:id="rId534" ref="D485"/>
    <hyperlink r:id="rId535" ref="D486"/>
    <hyperlink r:id="rId536" ref="D487"/>
    <hyperlink r:id="rId537" ref="D488"/>
    <hyperlink r:id="rId538" ref="D489"/>
    <hyperlink r:id="rId539" ref="T489"/>
    <hyperlink r:id="rId540" ref="D490"/>
    <hyperlink r:id="rId541" ref="D491"/>
    <hyperlink r:id="rId542" ref="D492"/>
    <hyperlink r:id="rId543" ref="D493"/>
    <hyperlink r:id="rId544" ref="D494"/>
    <hyperlink r:id="rId545" ref="D495"/>
    <hyperlink r:id="rId546" ref="D496"/>
    <hyperlink r:id="rId547" ref="D497"/>
    <hyperlink r:id="rId548" ref="D498"/>
    <hyperlink r:id="rId549" ref="T498"/>
    <hyperlink r:id="rId550" ref="D499"/>
    <hyperlink r:id="rId551" ref="D500"/>
    <hyperlink r:id="rId552" ref="D501"/>
    <hyperlink r:id="rId553" ref="D502"/>
    <hyperlink r:id="rId554" ref="D503"/>
    <hyperlink r:id="rId555" ref="D504"/>
    <hyperlink r:id="rId556" ref="D505"/>
    <hyperlink r:id="rId557" ref="D506"/>
    <hyperlink r:id="rId558" ref="D507"/>
    <hyperlink r:id="rId559" ref="D508"/>
    <hyperlink r:id="rId560" ref="D509"/>
    <hyperlink r:id="rId561" ref="D510"/>
    <hyperlink r:id="rId562" ref="D511"/>
    <hyperlink r:id="rId563" ref="D512"/>
    <hyperlink r:id="rId564" ref="D513"/>
    <hyperlink r:id="rId565" ref="D514"/>
    <hyperlink r:id="rId566" ref="D515"/>
    <hyperlink r:id="rId567" ref="D516"/>
    <hyperlink r:id="rId568" ref="D517"/>
    <hyperlink r:id="rId569" ref="D518"/>
    <hyperlink r:id="rId570" ref="D519"/>
    <hyperlink r:id="rId571" ref="D520"/>
    <hyperlink r:id="rId572" ref="D521"/>
    <hyperlink r:id="rId573" ref="D522"/>
    <hyperlink r:id="rId574" ref="D523"/>
    <hyperlink r:id="rId575" ref="D524"/>
    <hyperlink r:id="rId576" ref="D525"/>
    <hyperlink r:id="rId577" ref="D526"/>
    <hyperlink r:id="rId578" ref="D527"/>
    <hyperlink r:id="rId579" ref="D528"/>
    <hyperlink r:id="rId580" ref="D529"/>
    <hyperlink r:id="rId581" ref="D530"/>
    <hyperlink r:id="rId582" ref="D531"/>
    <hyperlink r:id="rId583" ref="D532"/>
    <hyperlink r:id="rId584" ref="D533"/>
    <hyperlink r:id="rId585" ref="D534"/>
    <hyperlink r:id="rId586" ref="D535"/>
    <hyperlink r:id="rId587" ref="D536"/>
    <hyperlink r:id="rId588" ref="D537"/>
    <hyperlink r:id="rId589" ref="D538"/>
    <hyperlink r:id="rId590" ref="D539"/>
    <hyperlink r:id="rId591" ref="D540"/>
    <hyperlink r:id="rId592" ref="D541"/>
    <hyperlink r:id="rId593" ref="D542"/>
    <hyperlink r:id="rId594" ref="D543"/>
    <hyperlink r:id="rId595" ref="D544"/>
    <hyperlink r:id="rId596" ref="D545"/>
    <hyperlink r:id="rId597" ref="D546"/>
    <hyperlink r:id="rId598" ref="D547"/>
    <hyperlink r:id="rId599" ref="D548"/>
    <hyperlink r:id="rId600" ref="D549"/>
    <hyperlink r:id="rId601" ref="D550"/>
    <hyperlink r:id="rId602" ref="D551"/>
    <hyperlink r:id="rId603" ref="D552"/>
    <hyperlink r:id="rId604" ref="D553"/>
    <hyperlink r:id="rId605" ref="D554"/>
    <hyperlink r:id="rId606" ref="D555"/>
    <hyperlink r:id="rId607" ref="D556"/>
    <hyperlink r:id="rId608" ref="D557"/>
    <hyperlink r:id="rId609" ref="D558"/>
    <hyperlink r:id="rId610" ref="D559"/>
    <hyperlink r:id="rId611" ref="D560"/>
    <hyperlink r:id="rId612" ref="D561"/>
    <hyperlink r:id="rId613" ref="D562"/>
    <hyperlink r:id="rId614" ref="D563"/>
    <hyperlink r:id="rId615" ref="D564"/>
    <hyperlink r:id="rId616" ref="D565"/>
    <hyperlink r:id="rId617" ref="D566"/>
    <hyperlink r:id="rId618" ref="T566"/>
    <hyperlink r:id="rId619" ref="D567"/>
    <hyperlink r:id="rId620" ref="D568"/>
    <hyperlink r:id="rId621" ref="D569"/>
    <hyperlink r:id="rId622" ref="D570"/>
    <hyperlink r:id="rId623" ref="D571"/>
    <hyperlink r:id="rId624" ref="D572"/>
    <hyperlink r:id="rId625" ref="D573"/>
    <hyperlink r:id="rId626" ref="D574"/>
    <hyperlink r:id="rId627" ref="D575"/>
    <hyperlink r:id="rId628" ref="D576"/>
    <hyperlink r:id="rId629" ref="D577"/>
    <hyperlink r:id="rId630" ref="D578"/>
    <hyperlink r:id="rId631" ref="D579"/>
    <hyperlink r:id="rId632" ref="D580"/>
    <hyperlink r:id="rId633" ref="D581"/>
    <hyperlink r:id="rId634" ref="D582"/>
    <hyperlink r:id="rId635" ref="D583"/>
    <hyperlink r:id="rId636" ref="D584"/>
    <hyperlink r:id="rId637" ref="T584"/>
    <hyperlink r:id="rId638" ref="D585"/>
    <hyperlink r:id="rId639" ref="D586"/>
    <hyperlink r:id="rId640" ref="D587"/>
    <hyperlink r:id="rId641" ref="D588"/>
    <hyperlink r:id="rId642" ref="D589"/>
    <hyperlink r:id="rId643" ref="D590"/>
    <hyperlink r:id="rId644" ref="T590"/>
    <hyperlink r:id="rId645" ref="D591"/>
    <hyperlink r:id="rId646" ref="D592"/>
    <hyperlink r:id="rId647" ref="D593"/>
    <hyperlink r:id="rId648" ref="D594"/>
    <hyperlink r:id="rId649" ref="D595"/>
    <hyperlink r:id="rId650" ref="D596"/>
    <hyperlink r:id="rId651" ref="D597"/>
    <hyperlink r:id="rId652" ref="D598"/>
    <hyperlink r:id="rId653" ref="D599"/>
    <hyperlink r:id="rId654" ref="D600"/>
    <hyperlink r:id="rId655" ref="D601"/>
    <hyperlink r:id="rId656" ref="D602"/>
    <hyperlink r:id="rId657" ref="D603"/>
    <hyperlink r:id="rId658" ref="D604"/>
    <hyperlink r:id="rId659" ref="D605"/>
    <hyperlink r:id="rId660" ref="D606"/>
    <hyperlink r:id="rId661" ref="D607"/>
    <hyperlink r:id="rId662" ref="D608"/>
    <hyperlink r:id="rId663" ref="D609"/>
    <hyperlink r:id="rId664" ref="D610"/>
    <hyperlink r:id="rId665" ref="D611"/>
    <hyperlink r:id="rId666" ref="D612"/>
    <hyperlink r:id="rId667" ref="D613"/>
    <hyperlink r:id="rId668" ref="D614"/>
    <hyperlink r:id="rId669" ref="T614"/>
    <hyperlink r:id="rId670" ref="D615"/>
    <hyperlink r:id="rId671" ref="D616"/>
    <hyperlink r:id="rId672" ref="D617"/>
    <hyperlink r:id="rId673" ref="D618"/>
    <hyperlink r:id="rId674" ref="D619"/>
    <hyperlink r:id="rId675" ref="D620"/>
    <hyperlink r:id="rId676" ref="D621"/>
    <hyperlink r:id="rId677" ref="D622"/>
    <hyperlink r:id="rId678" ref="D623"/>
    <hyperlink r:id="rId679" ref="D624"/>
    <hyperlink r:id="rId680" ref="D625"/>
    <hyperlink r:id="rId681" ref="D626"/>
    <hyperlink r:id="rId682" ref="D627"/>
    <hyperlink r:id="rId683" ref="D628"/>
    <hyperlink r:id="rId684" ref="D629"/>
    <hyperlink r:id="rId685" ref="D630"/>
    <hyperlink r:id="rId686" ref="D631"/>
    <hyperlink r:id="rId687" ref="D632"/>
    <hyperlink r:id="rId688" ref="D633"/>
    <hyperlink r:id="rId689" ref="D634"/>
    <hyperlink r:id="rId690" ref="D635"/>
    <hyperlink r:id="rId691" ref="D636"/>
    <hyperlink r:id="rId692" ref="D637"/>
    <hyperlink r:id="rId693" ref="D638"/>
    <hyperlink r:id="rId694" ref="D639"/>
    <hyperlink r:id="rId695" ref="D640"/>
    <hyperlink r:id="rId696" ref="D641"/>
    <hyperlink r:id="rId697" ref="D642"/>
    <hyperlink r:id="rId698" ref="D643"/>
    <hyperlink r:id="rId699" ref="D644"/>
    <hyperlink r:id="rId700" ref="D645"/>
    <hyperlink r:id="rId701" ref="D646"/>
    <hyperlink r:id="rId702" ref="D647"/>
    <hyperlink r:id="rId703" ref="D648"/>
    <hyperlink r:id="rId704" ref="D649"/>
    <hyperlink r:id="rId705" ref="D650"/>
    <hyperlink r:id="rId706" ref="D651"/>
    <hyperlink r:id="rId707" ref="D652"/>
    <hyperlink r:id="rId708" ref="D653"/>
    <hyperlink r:id="rId709" ref="D654"/>
    <hyperlink r:id="rId710" ref="D655"/>
    <hyperlink r:id="rId711" ref="T655"/>
    <hyperlink r:id="rId712" ref="D656"/>
    <hyperlink r:id="rId713" ref="D657"/>
    <hyperlink r:id="rId714" ref="D658"/>
    <hyperlink r:id="rId715" ref="D659"/>
    <hyperlink r:id="rId716" ref="D660"/>
    <hyperlink r:id="rId717" ref="D661"/>
    <hyperlink r:id="rId718" ref="D662"/>
    <hyperlink r:id="rId719" ref="D663"/>
    <hyperlink r:id="rId720" ref="D664"/>
    <hyperlink r:id="rId721" ref="D665"/>
    <hyperlink r:id="rId722" ref="D666"/>
    <hyperlink r:id="rId723" ref="D667"/>
    <hyperlink r:id="rId724" ref="D668"/>
    <hyperlink r:id="rId725" ref="D669"/>
    <hyperlink r:id="rId726" ref="D670"/>
    <hyperlink r:id="rId727" ref="D671"/>
    <hyperlink r:id="rId728" ref="D672"/>
    <hyperlink r:id="rId729" ref="D673"/>
    <hyperlink r:id="rId730" ref="D674"/>
    <hyperlink r:id="rId731" ref="D675"/>
    <hyperlink r:id="rId732" ref="D676"/>
    <hyperlink r:id="rId733" ref="D677"/>
    <hyperlink r:id="rId734" ref="D678"/>
    <hyperlink r:id="rId735" ref="D679"/>
    <hyperlink r:id="rId736" ref="D680"/>
    <hyperlink r:id="rId737" ref="D681"/>
    <hyperlink r:id="rId738" ref="D682"/>
    <hyperlink r:id="rId739" ref="D683"/>
    <hyperlink r:id="rId740" ref="D684"/>
    <hyperlink r:id="rId741" ref="D685"/>
    <hyperlink r:id="rId742" ref="D686"/>
    <hyperlink r:id="rId743" ref="D687"/>
    <hyperlink r:id="rId744" ref="D688"/>
    <hyperlink r:id="rId745" ref="D689"/>
    <hyperlink r:id="rId746" ref="D690"/>
    <hyperlink r:id="rId747" ref="D691"/>
    <hyperlink r:id="rId748" ref="D692"/>
    <hyperlink r:id="rId749" ref="D693"/>
    <hyperlink r:id="rId750" ref="D694"/>
    <hyperlink r:id="rId751" ref="D695"/>
    <hyperlink r:id="rId752" ref="D696"/>
    <hyperlink r:id="rId753" ref="D697"/>
    <hyperlink r:id="rId754" ref="D698"/>
    <hyperlink r:id="rId755" ref="D699"/>
    <hyperlink r:id="rId756" ref="D700"/>
    <hyperlink r:id="rId757" ref="D701"/>
    <hyperlink r:id="rId758" ref="D702"/>
    <hyperlink r:id="rId759" ref="D703"/>
    <hyperlink r:id="rId760" ref="D704"/>
    <hyperlink r:id="rId761" ref="D705"/>
    <hyperlink r:id="rId762" ref="D706"/>
    <hyperlink r:id="rId763" ref="D707"/>
    <hyperlink r:id="rId764" ref="D708"/>
    <hyperlink r:id="rId765" ref="D709"/>
    <hyperlink r:id="rId766" ref="D710"/>
    <hyperlink r:id="rId767" ref="D711"/>
    <hyperlink r:id="rId768" ref="D712"/>
    <hyperlink r:id="rId769" ref="D713"/>
    <hyperlink r:id="rId770" ref="D714"/>
    <hyperlink r:id="rId771" ref="D715"/>
    <hyperlink r:id="rId772" ref="D716"/>
    <hyperlink r:id="rId773" ref="D717"/>
    <hyperlink r:id="rId774" ref="D718"/>
    <hyperlink r:id="rId775" ref="D719"/>
    <hyperlink r:id="rId776" ref="D720"/>
    <hyperlink r:id="rId777" ref="D721"/>
    <hyperlink r:id="rId778" ref="D722"/>
    <hyperlink r:id="rId779" ref="D723"/>
    <hyperlink r:id="rId780" ref="D724"/>
    <hyperlink r:id="rId781" ref="D725"/>
    <hyperlink r:id="rId782" ref="D726"/>
    <hyperlink r:id="rId783" ref="D727"/>
    <hyperlink r:id="rId784" ref="D728"/>
    <hyperlink r:id="rId785" ref="D729"/>
    <hyperlink r:id="rId786" ref="D730"/>
    <hyperlink r:id="rId787" ref="D731"/>
    <hyperlink r:id="rId788" ref="D732"/>
    <hyperlink r:id="rId789" ref="D733"/>
    <hyperlink r:id="rId790" ref="D734"/>
    <hyperlink r:id="rId791" ref="D735"/>
    <hyperlink r:id="rId792" ref="D736"/>
    <hyperlink r:id="rId793" ref="D737"/>
    <hyperlink r:id="rId794" ref="D738"/>
    <hyperlink r:id="rId795" ref="D739"/>
    <hyperlink r:id="rId796" ref="D740"/>
    <hyperlink r:id="rId797" ref="D741"/>
    <hyperlink r:id="rId798" ref="D742"/>
    <hyperlink r:id="rId799" ref="D743"/>
    <hyperlink r:id="rId800" ref="T743"/>
    <hyperlink r:id="rId801" ref="D744"/>
    <hyperlink r:id="rId802" ref="D745"/>
    <hyperlink r:id="rId803" ref="D746"/>
    <hyperlink r:id="rId804" ref="D747"/>
    <hyperlink r:id="rId805" ref="D748"/>
    <hyperlink r:id="rId806" ref="D749"/>
    <hyperlink r:id="rId807" ref="D750"/>
    <hyperlink r:id="rId808" ref="D751"/>
    <hyperlink r:id="rId809" ref="D752"/>
    <hyperlink r:id="rId810" ref="D753"/>
    <hyperlink r:id="rId811" ref="D754"/>
    <hyperlink r:id="rId812" ref="D755"/>
    <hyperlink r:id="rId813" ref="D756"/>
    <hyperlink r:id="rId814" ref="D757"/>
    <hyperlink r:id="rId815" ref="D758"/>
    <hyperlink r:id="rId816" ref="D759"/>
    <hyperlink r:id="rId817" ref="D760"/>
    <hyperlink r:id="rId818" ref="D761"/>
    <hyperlink r:id="rId819" ref="D762"/>
    <hyperlink r:id="rId820" ref="D763"/>
    <hyperlink r:id="rId821" ref="D764"/>
    <hyperlink r:id="rId822" ref="D765"/>
    <hyperlink r:id="rId823" ref="D766"/>
    <hyperlink r:id="rId824" ref="T766"/>
    <hyperlink r:id="rId825" ref="D767"/>
    <hyperlink r:id="rId826" ref="D768"/>
    <hyperlink r:id="rId827" ref="D769"/>
    <hyperlink r:id="rId828" ref="D770"/>
    <hyperlink r:id="rId829" ref="D771"/>
    <hyperlink r:id="rId830" ref="D772"/>
    <hyperlink r:id="rId831" ref="D773"/>
    <hyperlink r:id="rId832" ref="D774"/>
    <hyperlink r:id="rId833" ref="D775"/>
    <hyperlink r:id="rId834" ref="D776"/>
    <hyperlink r:id="rId835" ref="D777"/>
    <hyperlink r:id="rId836" ref="D778"/>
    <hyperlink r:id="rId837" ref="D779"/>
    <hyperlink r:id="rId838" ref="D780"/>
    <hyperlink r:id="rId839" ref="D781"/>
    <hyperlink r:id="rId840" ref="D782"/>
    <hyperlink r:id="rId841" ref="D783"/>
    <hyperlink r:id="rId842" ref="D784"/>
    <hyperlink r:id="rId843" ref="D785"/>
    <hyperlink r:id="rId844" ref="D786"/>
    <hyperlink r:id="rId845" ref="D787"/>
    <hyperlink r:id="rId846" ref="D788"/>
    <hyperlink r:id="rId847" ref="D789"/>
    <hyperlink r:id="rId848" ref="D790"/>
    <hyperlink r:id="rId849" ref="D791"/>
    <hyperlink r:id="rId850" ref="D792"/>
    <hyperlink r:id="rId851" ref="D793"/>
    <hyperlink r:id="rId852" ref="D794"/>
    <hyperlink r:id="rId853" ref="T794"/>
    <hyperlink r:id="rId854" ref="D795"/>
    <hyperlink r:id="rId855" ref="D796"/>
    <hyperlink r:id="rId856" ref="D797"/>
    <hyperlink r:id="rId857" ref="D798"/>
    <hyperlink r:id="rId858" ref="D799"/>
    <hyperlink r:id="rId859" ref="D800"/>
    <hyperlink r:id="rId860" ref="D801"/>
    <hyperlink r:id="rId861" ref="D802"/>
    <hyperlink r:id="rId862" ref="D803"/>
    <hyperlink r:id="rId863" ref="D804"/>
    <hyperlink r:id="rId864" ref="D805"/>
    <hyperlink r:id="rId865" ref="D806"/>
    <hyperlink r:id="rId866" ref="D807"/>
    <hyperlink r:id="rId867" ref="D808"/>
    <hyperlink r:id="rId868" ref="T808"/>
    <hyperlink r:id="rId869" ref="D809"/>
    <hyperlink r:id="rId870" ref="D810"/>
    <hyperlink r:id="rId871" ref="D811"/>
    <hyperlink r:id="rId872" ref="D812"/>
    <hyperlink r:id="rId873" ref="D813"/>
    <hyperlink r:id="rId874" ref="D814"/>
    <hyperlink r:id="rId875" ref="D815"/>
    <hyperlink r:id="rId876" ref="D816"/>
    <hyperlink r:id="rId877" ref="D817"/>
    <hyperlink r:id="rId878" ref="D818"/>
    <hyperlink r:id="rId879" ref="D819"/>
    <hyperlink r:id="rId880" ref="D820"/>
    <hyperlink r:id="rId881" ref="D821"/>
    <hyperlink r:id="rId882" ref="D822"/>
    <hyperlink r:id="rId883" ref="D823"/>
    <hyperlink r:id="rId884" ref="D824"/>
    <hyperlink r:id="rId885" ref="D825"/>
    <hyperlink r:id="rId886" ref="D826"/>
    <hyperlink r:id="rId887" ref="D827"/>
    <hyperlink r:id="rId888" ref="D828"/>
    <hyperlink r:id="rId889" ref="D829"/>
    <hyperlink r:id="rId890" ref="D830"/>
    <hyperlink r:id="rId891" ref="D831"/>
    <hyperlink r:id="rId892" ref="D832"/>
    <hyperlink r:id="rId893" ref="D833"/>
    <hyperlink r:id="rId894" ref="D834"/>
    <hyperlink r:id="rId895" ref="D835"/>
    <hyperlink r:id="rId896" ref="D836"/>
    <hyperlink r:id="rId897" ref="D837"/>
    <hyperlink r:id="rId898" ref="D838"/>
    <hyperlink r:id="rId899" ref="D839"/>
    <hyperlink r:id="rId900" ref="D840"/>
    <hyperlink r:id="rId901" ref="D841"/>
    <hyperlink r:id="rId902" ref="D842"/>
    <hyperlink r:id="rId903" ref="D843"/>
    <hyperlink r:id="rId904" ref="D844"/>
    <hyperlink r:id="rId905" ref="D845"/>
    <hyperlink r:id="rId906" ref="D846"/>
    <hyperlink r:id="rId907" ref="D847"/>
    <hyperlink r:id="rId908" ref="D848"/>
    <hyperlink r:id="rId909" ref="D849"/>
    <hyperlink r:id="rId910" ref="D850"/>
    <hyperlink r:id="rId911" ref="D851"/>
    <hyperlink r:id="rId912" ref="D852"/>
    <hyperlink r:id="rId913" ref="T852"/>
    <hyperlink r:id="rId914" ref="D853"/>
    <hyperlink r:id="rId915" ref="D854"/>
    <hyperlink r:id="rId916" ref="D855"/>
    <hyperlink r:id="rId917" ref="D856"/>
    <hyperlink r:id="rId918" ref="D857"/>
    <hyperlink r:id="rId919" ref="D858"/>
    <hyperlink r:id="rId920" ref="D859"/>
    <hyperlink r:id="rId921" ref="D860"/>
    <hyperlink r:id="rId922" ref="D861"/>
    <hyperlink r:id="rId923" ref="D862"/>
    <hyperlink r:id="rId924" ref="D863"/>
    <hyperlink r:id="rId925" ref="D864"/>
    <hyperlink r:id="rId926" ref="D865"/>
    <hyperlink r:id="rId927" ref="D866"/>
    <hyperlink r:id="rId928" ref="D867"/>
    <hyperlink r:id="rId929" ref="D868"/>
    <hyperlink r:id="rId930" ref="D869"/>
    <hyperlink r:id="rId931" ref="D870"/>
    <hyperlink r:id="rId932" ref="D871"/>
    <hyperlink r:id="rId933" ref="D872"/>
    <hyperlink r:id="rId934" ref="D873"/>
    <hyperlink r:id="rId935" ref="D874"/>
    <hyperlink r:id="rId936" ref="D875"/>
    <hyperlink r:id="rId937" ref="D876"/>
    <hyperlink r:id="rId938" ref="D877"/>
    <hyperlink r:id="rId939" ref="D878"/>
    <hyperlink r:id="rId940" ref="D879"/>
    <hyperlink r:id="rId941" ref="D880"/>
    <hyperlink r:id="rId942" ref="D881"/>
    <hyperlink r:id="rId943" ref="D882"/>
    <hyperlink r:id="rId944" ref="D883"/>
    <hyperlink r:id="rId945" ref="D884"/>
    <hyperlink r:id="rId946" ref="D885"/>
    <hyperlink r:id="rId947" ref="T885"/>
    <hyperlink r:id="rId948" ref="D886"/>
    <hyperlink r:id="rId949" ref="D887"/>
    <hyperlink r:id="rId950" ref="T887"/>
    <hyperlink r:id="rId951" ref="D888"/>
    <hyperlink r:id="rId952" ref="D889"/>
    <hyperlink r:id="rId953" ref="D890"/>
    <hyperlink r:id="rId954" ref="D891"/>
    <hyperlink r:id="rId955" ref="D892"/>
    <hyperlink r:id="rId956" ref="D893"/>
    <hyperlink r:id="rId957" ref="D894"/>
    <hyperlink r:id="rId958" ref="D895"/>
    <hyperlink r:id="rId959" ref="D896"/>
    <hyperlink r:id="rId960" ref="D897"/>
    <hyperlink r:id="rId961" ref="T897"/>
    <hyperlink r:id="rId962" ref="D898"/>
    <hyperlink r:id="rId963" ref="D899"/>
    <hyperlink r:id="rId964" ref="D900"/>
    <hyperlink r:id="rId965" ref="D901"/>
    <hyperlink r:id="rId966" ref="D902"/>
    <hyperlink r:id="rId967" ref="D903"/>
    <hyperlink r:id="rId968" ref="D904"/>
    <hyperlink r:id="rId969" ref="D905"/>
    <hyperlink r:id="rId970" ref="D906"/>
    <hyperlink r:id="rId971" ref="D907"/>
    <hyperlink r:id="rId972" ref="D908"/>
    <hyperlink r:id="rId973" ref="D909"/>
    <hyperlink r:id="rId974" ref="D910"/>
    <hyperlink r:id="rId975" ref="T910"/>
    <hyperlink r:id="rId976" ref="D911"/>
    <hyperlink r:id="rId977" ref="D912"/>
    <hyperlink r:id="rId978" ref="T912"/>
    <hyperlink r:id="rId979" ref="D913"/>
    <hyperlink r:id="rId980" ref="D914"/>
    <hyperlink r:id="rId981" ref="T914"/>
    <hyperlink r:id="rId982" ref="D915"/>
    <hyperlink r:id="rId983" ref="D916"/>
    <hyperlink r:id="rId984" ref="D917"/>
    <hyperlink r:id="rId985" ref="D918"/>
    <hyperlink r:id="rId986" ref="D919"/>
    <hyperlink r:id="rId987" ref="D920"/>
    <hyperlink r:id="rId988" ref="D921"/>
    <hyperlink r:id="rId989" ref="D922"/>
    <hyperlink r:id="rId990" ref="D923"/>
    <hyperlink r:id="rId991" ref="D924"/>
    <hyperlink r:id="rId992" ref="D925"/>
    <hyperlink r:id="rId993" ref="D926"/>
    <hyperlink r:id="rId994" ref="D927"/>
    <hyperlink r:id="rId995" ref="D928"/>
    <hyperlink r:id="rId996" ref="D929"/>
    <hyperlink r:id="rId997" ref="D930"/>
    <hyperlink r:id="rId998" ref="D931"/>
    <hyperlink r:id="rId999" ref="D932"/>
    <hyperlink r:id="rId1000" ref="D933"/>
    <hyperlink r:id="rId1001" ref="D934"/>
    <hyperlink r:id="rId1002" ref="D935"/>
    <hyperlink r:id="rId1003" ref="D936"/>
    <hyperlink r:id="rId1004" ref="D937"/>
    <hyperlink r:id="rId1005" ref="D938"/>
    <hyperlink r:id="rId1006" ref="D939"/>
    <hyperlink r:id="rId1007" ref="D940"/>
    <hyperlink r:id="rId1008" ref="D941"/>
    <hyperlink r:id="rId1009" ref="D942"/>
    <hyperlink r:id="rId1010" ref="D943"/>
    <hyperlink r:id="rId1011" ref="T943"/>
    <hyperlink r:id="rId1012" ref="D944"/>
    <hyperlink r:id="rId1013" ref="D945"/>
    <hyperlink r:id="rId1014" ref="T945"/>
    <hyperlink r:id="rId1015" ref="D946"/>
    <hyperlink r:id="rId1016" ref="D947"/>
    <hyperlink r:id="rId1017" ref="D948"/>
    <hyperlink r:id="rId1018" ref="D949"/>
    <hyperlink r:id="rId1019" ref="D950"/>
    <hyperlink r:id="rId1020" ref="D951"/>
    <hyperlink r:id="rId1021" ref="D952"/>
    <hyperlink r:id="rId1022" ref="D953"/>
    <hyperlink r:id="rId1023" ref="D954"/>
    <hyperlink r:id="rId1024" ref="D955"/>
    <hyperlink r:id="rId1025" ref="D956"/>
    <hyperlink r:id="rId1026" ref="D957"/>
    <hyperlink r:id="rId1027" ref="D958"/>
    <hyperlink r:id="rId1028" ref="D959"/>
    <hyperlink r:id="rId1029" ref="D960"/>
    <hyperlink r:id="rId1030" ref="D961"/>
    <hyperlink r:id="rId1031" ref="D962"/>
    <hyperlink r:id="rId1032" ref="D963"/>
    <hyperlink r:id="rId1033" ref="D964"/>
    <hyperlink r:id="rId1034" ref="D965"/>
    <hyperlink r:id="rId1035" ref="D966"/>
    <hyperlink r:id="rId1036" ref="D967"/>
    <hyperlink r:id="rId1037" ref="D968"/>
    <hyperlink r:id="rId1038" ref="D969"/>
    <hyperlink r:id="rId1039" ref="D970"/>
    <hyperlink r:id="rId1040" ref="D971"/>
    <hyperlink r:id="rId1041" ref="D972"/>
    <hyperlink r:id="rId1042" ref="D973"/>
    <hyperlink r:id="rId1043" ref="D974"/>
    <hyperlink r:id="rId1044" ref="D975"/>
    <hyperlink r:id="rId1045" ref="D976"/>
    <hyperlink r:id="rId1046" ref="D977"/>
    <hyperlink r:id="rId1047" ref="D978"/>
    <hyperlink r:id="rId1048" ref="D979"/>
    <hyperlink r:id="rId1049" ref="D980"/>
    <hyperlink r:id="rId1050" ref="D981"/>
    <hyperlink r:id="rId1051" ref="D982"/>
    <hyperlink r:id="rId1052" ref="D983"/>
    <hyperlink r:id="rId1053" ref="D984"/>
    <hyperlink r:id="rId1054" ref="D985"/>
    <hyperlink r:id="rId1055" ref="D986"/>
    <hyperlink r:id="rId1056" ref="D987"/>
    <hyperlink r:id="rId1057" ref="D988"/>
    <hyperlink r:id="rId1058" ref="D989"/>
    <hyperlink r:id="rId1059" ref="D990"/>
    <hyperlink r:id="rId1060" ref="D991"/>
    <hyperlink r:id="rId1061" ref="D992"/>
    <hyperlink r:id="rId1062" ref="D993"/>
    <hyperlink r:id="rId1063" ref="D994"/>
    <hyperlink r:id="rId1064" ref="D995"/>
    <hyperlink r:id="rId1065" ref="D996"/>
    <hyperlink r:id="rId1066" ref="D997"/>
    <hyperlink r:id="rId1067" ref="D998"/>
    <hyperlink r:id="rId1068" ref="D999"/>
    <hyperlink r:id="rId1069" ref="T999"/>
    <hyperlink r:id="rId1070" ref="D1000"/>
    <hyperlink r:id="rId1071" ref="D1001"/>
    <hyperlink r:id="rId1072" ref="D1002"/>
    <hyperlink r:id="rId1073" ref="D1003"/>
    <hyperlink r:id="rId1074" ref="D1004"/>
    <hyperlink r:id="rId1075" ref="D1005"/>
    <hyperlink r:id="rId1076" ref="D1006"/>
    <hyperlink r:id="rId1077" ref="D1007"/>
    <hyperlink r:id="rId1078" ref="D1008"/>
    <hyperlink r:id="rId1079" ref="D1009"/>
    <hyperlink r:id="rId1080" ref="D1010"/>
    <hyperlink r:id="rId1081" ref="D1011"/>
    <hyperlink r:id="rId1082" ref="D1012"/>
    <hyperlink r:id="rId1083" ref="D1013"/>
    <hyperlink r:id="rId1084" ref="D1014"/>
    <hyperlink r:id="rId1085" ref="D1015"/>
    <hyperlink r:id="rId1086" ref="D1016"/>
    <hyperlink r:id="rId1087" ref="D1017"/>
    <hyperlink r:id="rId1088" ref="D1018"/>
    <hyperlink r:id="rId1089" ref="D1019"/>
    <hyperlink r:id="rId1090" ref="D1020"/>
    <hyperlink r:id="rId1091" ref="D1021"/>
    <hyperlink r:id="rId1092" ref="D1022"/>
    <hyperlink r:id="rId1093" ref="D1023"/>
    <hyperlink r:id="rId1094" ref="D1024"/>
    <hyperlink r:id="rId1095" ref="D1025"/>
    <hyperlink r:id="rId1096" ref="D1026"/>
    <hyperlink r:id="rId1097" ref="D1027"/>
    <hyperlink r:id="rId1098" ref="D1028"/>
    <hyperlink r:id="rId1099" ref="D1029"/>
    <hyperlink r:id="rId1100" ref="D1030"/>
    <hyperlink r:id="rId1101" ref="D1031"/>
    <hyperlink r:id="rId1102" ref="D1032"/>
    <hyperlink r:id="rId1103" ref="D1033"/>
    <hyperlink r:id="rId1104" ref="D1034"/>
    <hyperlink r:id="rId1105" ref="D1035"/>
  </hyperlinks>
  <drawing r:id="rId1106"/>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outlinePr summaryBelow="0" summaryRight="0"/>
  </sheetPr>
  <sheetViews>
    <sheetView workbookViewId="0"/>
  </sheetViews>
  <sheetFormatPr customHeight="1" defaultColWidth="12.63" defaultRowHeight="15.75"/>
  <cols>
    <col customWidth="1" min="1" max="1" width="3.63"/>
    <col customWidth="1" min="2" max="2" width="5.0"/>
    <col customWidth="1" min="3" max="3" width="6.25"/>
    <col customWidth="1" min="4" max="4" width="4.75"/>
    <col customWidth="1" min="5" max="5" width="9.0"/>
    <col customWidth="1" min="6" max="6" width="14.88"/>
    <col customWidth="1" min="7" max="7" width="3.38"/>
    <col customWidth="1" min="8" max="9" width="4.0"/>
    <col customWidth="1" min="10" max="10" width="6.38"/>
    <col customWidth="1" min="11" max="11" width="6.0"/>
    <col customWidth="1" min="12" max="12" width="6.75"/>
    <col customWidth="1" min="13" max="13" width="12.5"/>
    <col customWidth="1" min="14" max="14" width="5.88"/>
    <col customWidth="1" min="15" max="15" width="10.38"/>
    <col customWidth="1" min="16" max="16" width="6.38"/>
    <col customWidth="1" min="17" max="18" width="5.0"/>
    <col customWidth="1" min="20" max="20" width="14.88"/>
    <col customWidth="1" min="21" max="21" width="4.13"/>
    <col customWidth="1" min="22" max="25" width="1.88"/>
    <col customWidth="1" min="26" max="26" width="9.88"/>
    <col customWidth="1" min="27" max="35" width="1.88"/>
    <col customWidth="1" min="36" max="36" width="9.88"/>
    <col customWidth="1" min="38" max="38" width="9.88"/>
    <col customWidth="1" min="39" max="42" width="1.88"/>
    <col customWidth="1" min="43" max="43" width="11.63"/>
    <col customWidth="1" min="44" max="52" width="1.88"/>
    <col customWidth="1" min="53" max="53" width="6.13"/>
    <col customWidth="1" min="54" max="54" width="10.38"/>
  </cols>
  <sheetData>
    <row r="1">
      <c r="A1" s="16" t="str">
        <f> if(isnumber( Imports!AB2), SbaApiImport("decisions","team_id=548&amp;limit=40"),"Waiting for the team import on Imports tab to complete...")</f>
        <v>Loading...</v>
      </c>
      <c r="Q1" s="30"/>
      <c r="R1" s="30" t="s">
        <v>4558</v>
      </c>
      <c r="T1" s="30" t="s">
        <v>4559</v>
      </c>
      <c r="U1" s="93" t="s">
        <v>4560</v>
      </c>
      <c r="AK1" s="177" t="s">
        <v>4561</v>
      </c>
      <c r="AL1" s="30" t="s">
        <v>4562</v>
      </c>
      <c r="BB1" s="30" t="s">
        <v>4563</v>
      </c>
      <c r="BC1" s="30" t="s">
        <v>4564</v>
      </c>
    </row>
    <row r="2">
      <c r="R2" s="16" t="str">
        <f t="shared" ref="R2:R1000" si="1">if(A2&lt;&gt;"",F2&amp;"-"&amp;countif($F$2:F2,F2),)</f>
        <v/>
      </c>
      <c r="T2" s="16" t="str">
        <f t="array" ref="T2">sort(UNIQUE(F2:F1000),1,True)</f>
        <v/>
      </c>
      <c r="U2" s="78" t="str">
        <f t="shared" ref="U2:U21" si="2">if(T2&lt;&gt;"",index(A:P,match(T2,F:F,0)),)</f>
        <v/>
      </c>
      <c r="AK2" s="178" t="str">
        <f t="shared" ref="AK2:AK21" si="3">if(T2&lt;&gt;"","wk"&amp;X2&amp;"/g"&amp;Y2&amp;": "&amp;AJ2&amp;"gm",)</f>
        <v/>
      </c>
      <c r="AL2" s="16" t="str">
        <f t="shared" ref="AL2:AL21" si="4">if(T2&lt;&gt;"",iferror(INDEX(A:P,match(T2&amp;"-2",R:R,0)),),)</f>
        <v/>
      </c>
      <c r="BB2" s="178" t="str">
        <f t="shared" ref="BB2:BB21" si="5">if(AL2&lt;&gt;"","wk"&amp;AO2&amp;"/g"&amp;AP2&amp;": "&amp;AZ2&amp;"gm",)</f>
        <v/>
      </c>
      <c r="BC2" s="16" t="str">
        <f t="shared" ref="BC2:BC21" si="6">if(T2&lt;&gt;"",TEXTJOIN(" | ",True,AK2,BB2),)</f>
        <v/>
      </c>
    </row>
    <row r="3">
      <c r="R3" s="16" t="str">
        <f t="shared" si="1"/>
        <v/>
      </c>
      <c r="U3" s="78" t="str">
        <f t="shared" si="2"/>
        <v/>
      </c>
      <c r="AK3" s="178" t="str">
        <f t="shared" si="3"/>
        <v/>
      </c>
      <c r="AL3" s="16" t="str">
        <f t="shared" si="4"/>
        <v/>
      </c>
      <c r="BB3" s="178" t="str">
        <f t="shared" si="5"/>
        <v/>
      </c>
      <c r="BC3" s="16" t="str">
        <f t="shared" si="6"/>
        <v/>
      </c>
    </row>
    <row r="4">
      <c r="R4" s="16" t="str">
        <f t="shared" si="1"/>
        <v/>
      </c>
      <c r="U4" s="78" t="str">
        <f t="shared" si="2"/>
        <v/>
      </c>
      <c r="AK4" s="178" t="str">
        <f t="shared" si="3"/>
        <v/>
      </c>
      <c r="AL4" s="16" t="str">
        <f t="shared" si="4"/>
        <v/>
      </c>
      <c r="BB4" s="178" t="str">
        <f t="shared" si="5"/>
        <v/>
      </c>
      <c r="BC4" s="16" t="str">
        <f t="shared" si="6"/>
        <v/>
      </c>
    </row>
    <row r="5">
      <c r="R5" s="16" t="str">
        <f t="shared" si="1"/>
        <v/>
      </c>
      <c r="U5" s="78" t="str">
        <f t="shared" si="2"/>
        <v/>
      </c>
      <c r="AK5" s="178" t="str">
        <f t="shared" si="3"/>
        <v/>
      </c>
      <c r="AL5" s="16" t="str">
        <f t="shared" si="4"/>
        <v/>
      </c>
      <c r="BB5" s="178" t="str">
        <f t="shared" si="5"/>
        <v/>
      </c>
      <c r="BC5" s="16" t="str">
        <f t="shared" si="6"/>
        <v/>
      </c>
    </row>
    <row r="6">
      <c r="R6" s="16" t="str">
        <f t="shared" si="1"/>
        <v/>
      </c>
      <c r="U6" s="78" t="str">
        <f t="shared" si="2"/>
        <v/>
      </c>
      <c r="AK6" s="178" t="str">
        <f t="shared" si="3"/>
        <v/>
      </c>
      <c r="AL6" s="16" t="str">
        <f t="shared" si="4"/>
        <v/>
      </c>
      <c r="BB6" s="178" t="str">
        <f t="shared" si="5"/>
        <v/>
      </c>
      <c r="BC6" s="16" t="str">
        <f t="shared" si="6"/>
        <v/>
      </c>
    </row>
    <row r="7">
      <c r="R7" s="16" t="str">
        <f t="shared" si="1"/>
        <v/>
      </c>
      <c r="U7" s="78" t="str">
        <f t="shared" si="2"/>
        <v/>
      </c>
      <c r="AK7" s="178" t="str">
        <f t="shared" si="3"/>
        <v/>
      </c>
      <c r="AL7" s="16" t="str">
        <f t="shared" si="4"/>
        <v/>
      </c>
      <c r="BB7" s="178" t="str">
        <f t="shared" si="5"/>
        <v/>
      </c>
      <c r="BC7" s="16" t="str">
        <f t="shared" si="6"/>
        <v/>
      </c>
    </row>
    <row r="8">
      <c r="R8" s="16" t="str">
        <f t="shared" si="1"/>
        <v/>
      </c>
      <c r="U8" s="78" t="str">
        <f t="shared" si="2"/>
        <v/>
      </c>
      <c r="AK8" s="178" t="str">
        <f t="shared" si="3"/>
        <v/>
      </c>
      <c r="AL8" s="16" t="str">
        <f t="shared" si="4"/>
        <v/>
      </c>
      <c r="BB8" s="178" t="str">
        <f t="shared" si="5"/>
        <v/>
      </c>
      <c r="BC8" s="16" t="str">
        <f t="shared" si="6"/>
        <v/>
      </c>
    </row>
    <row r="9">
      <c r="R9" s="16" t="str">
        <f t="shared" si="1"/>
        <v/>
      </c>
      <c r="U9" s="78" t="str">
        <f t="shared" si="2"/>
        <v/>
      </c>
      <c r="AK9" s="178" t="str">
        <f t="shared" si="3"/>
        <v/>
      </c>
      <c r="AL9" s="16" t="str">
        <f t="shared" si="4"/>
        <v/>
      </c>
      <c r="BB9" s="178" t="str">
        <f t="shared" si="5"/>
        <v/>
      </c>
      <c r="BC9" s="16" t="str">
        <f t="shared" si="6"/>
        <v/>
      </c>
    </row>
    <row r="10">
      <c r="R10" s="16" t="str">
        <f t="shared" si="1"/>
        <v/>
      </c>
      <c r="U10" s="78" t="str">
        <f t="shared" si="2"/>
        <v/>
      </c>
      <c r="AK10" s="178" t="str">
        <f t="shared" si="3"/>
        <v/>
      </c>
      <c r="AL10" s="16" t="str">
        <f t="shared" si="4"/>
        <v/>
      </c>
      <c r="BB10" s="178" t="str">
        <f t="shared" si="5"/>
        <v/>
      </c>
      <c r="BC10" s="16" t="str">
        <f t="shared" si="6"/>
        <v/>
      </c>
    </row>
    <row r="11">
      <c r="R11" s="16" t="str">
        <f t="shared" si="1"/>
        <v/>
      </c>
      <c r="U11" s="78" t="str">
        <f t="shared" si="2"/>
        <v/>
      </c>
      <c r="AK11" s="178" t="str">
        <f t="shared" si="3"/>
        <v/>
      </c>
      <c r="AL11" s="16" t="str">
        <f t="shared" si="4"/>
        <v/>
      </c>
      <c r="BB11" s="178" t="str">
        <f t="shared" si="5"/>
        <v/>
      </c>
      <c r="BC11" s="16" t="str">
        <f t="shared" si="6"/>
        <v/>
      </c>
    </row>
    <row r="12">
      <c r="R12" s="16" t="str">
        <f t="shared" si="1"/>
        <v/>
      </c>
      <c r="U12" s="78" t="str">
        <f t="shared" si="2"/>
        <v/>
      </c>
      <c r="AK12" s="178" t="str">
        <f t="shared" si="3"/>
        <v/>
      </c>
      <c r="AL12" s="16" t="str">
        <f t="shared" si="4"/>
        <v/>
      </c>
      <c r="BB12" s="178" t="str">
        <f t="shared" si="5"/>
        <v/>
      </c>
      <c r="BC12" s="16" t="str">
        <f t="shared" si="6"/>
        <v/>
      </c>
    </row>
    <row r="13">
      <c r="R13" s="16" t="str">
        <f t="shared" si="1"/>
        <v/>
      </c>
      <c r="U13" s="78" t="str">
        <f t="shared" si="2"/>
        <v/>
      </c>
      <c r="AK13" s="178" t="str">
        <f t="shared" si="3"/>
        <v/>
      </c>
      <c r="AL13" s="16" t="str">
        <f t="shared" si="4"/>
        <v/>
      </c>
      <c r="BB13" s="178" t="str">
        <f t="shared" si="5"/>
        <v/>
      </c>
      <c r="BC13" s="16" t="str">
        <f t="shared" si="6"/>
        <v/>
      </c>
    </row>
    <row r="14">
      <c r="R14" s="16" t="str">
        <f t="shared" si="1"/>
        <v/>
      </c>
      <c r="U14" s="78" t="str">
        <f t="shared" si="2"/>
        <v/>
      </c>
      <c r="AK14" s="178" t="str">
        <f t="shared" si="3"/>
        <v/>
      </c>
      <c r="AL14" s="16" t="str">
        <f t="shared" si="4"/>
        <v/>
      </c>
      <c r="BB14" s="178" t="str">
        <f t="shared" si="5"/>
        <v/>
      </c>
      <c r="BC14" s="16" t="str">
        <f t="shared" si="6"/>
        <v/>
      </c>
    </row>
    <row r="15">
      <c r="R15" s="16" t="str">
        <f t="shared" si="1"/>
        <v/>
      </c>
      <c r="U15" s="78" t="str">
        <f t="shared" si="2"/>
        <v/>
      </c>
      <c r="AK15" s="178" t="str">
        <f t="shared" si="3"/>
        <v/>
      </c>
      <c r="AL15" s="16" t="str">
        <f t="shared" si="4"/>
        <v/>
      </c>
      <c r="BB15" s="178" t="str">
        <f t="shared" si="5"/>
        <v/>
      </c>
      <c r="BC15" s="16" t="str">
        <f t="shared" si="6"/>
        <v/>
      </c>
    </row>
    <row r="16">
      <c r="R16" s="16" t="str">
        <f t="shared" si="1"/>
        <v/>
      </c>
      <c r="U16" s="78" t="str">
        <f t="shared" si="2"/>
        <v/>
      </c>
      <c r="AK16" s="178" t="str">
        <f t="shared" si="3"/>
        <v/>
      </c>
      <c r="AL16" s="16" t="str">
        <f t="shared" si="4"/>
        <v/>
      </c>
      <c r="BB16" s="178" t="str">
        <f t="shared" si="5"/>
        <v/>
      </c>
      <c r="BC16" s="16" t="str">
        <f t="shared" si="6"/>
        <v/>
      </c>
    </row>
    <row r="17">
      <c r="R17" s="16" t="str">
        <f t="shared" si="1"/>
        <v/>
      </c>
      <c r="U17" s="78" t="str">
        <f t="shared" si="2"/>
        <v/>
      </c>
      <c r="AK17" s="178" t="str">
        <f t="shared" si="3"/>
        <v/>
      </c>
      <c r="AL17" s="16" t="str">
        <f t="shared" si="4"/>
        <v/>
      </c>
      <c r="BB17" s="178" t="str">
        <f t="shared" si="5"/>
        <v/>
      </c>
      <c r="BC17" s="16" t="str">
        <f t="shared" si="6"/>
        <v/>
      </c>
    </row>
    <row r="18">
      <c r="R18" s="16" t="str">
        <f t="shared" si="1"/>
        <v/>
      </c>
      <c r="U18" s="78" t="str">
        <f t="shared" si="2"/>
        <v/>
      </c>
      <c r="AK18" s="178" t="str">
        <f t="shared" si="3"/>
        <v/>
      </c>
      <c r="AL18" s="16" t="str">
        <f t="shared" si="4"/>
        <v/>
      </c>
      <c r="BB18" s="178" t="str">
        <f t="shared" si="5"/>
        <v/>
      </c>
      <c r="BC18" s="16" t="str">
        <f t="shared" si="6"/>
        <v/>
      </c>
    </row>
    <row r="19">
      <c r="R19" s="16" t="str">
        <f t="shared" si="1"/>
        <v/>
      </c>
      <c r="U19" s="78" t="str">
        <f t="shared" si="2"/>
        <v/>
      </c>
      <c r="AK19" s="178" t="str">
        <f t="shared" si="3"/>
        <v/>
      </c>
      <c r="AL19" s="16" t="str">
        <f t="shared" si="4"/>
        <v/>
      </c>
      <c r="BB19" s="178" t="str">
        <f t="shared" si="5"/>
        <v/>
      </c>
      <c r="BC19" s="16" t="str">
        <f t="shared" si="6"/>
        <v/>
      </c>
    </row>
    <row r="20">
      <c r="R20" s="16" t="str">
        <f t="shared" si="1"/>
        <v/>
      </c>
      <c r="U20" s="78" t="str">
        <f t="shared" si="2"/>
        <v/>
      </c>
      <c r="AK20" s="178" t="str">
        <f t="shared" si="3"/>
        <v/>
      </c>
      <c r="AL20" s="16" t="str">
        <f t="shared" si="4"/>
        <v/>
      </c>
      <c r="BB20" s="178" t="str">
        <f t="shared" si="5"/>
        <v/>
      </c>
      <c r="BC20" s="16" t="str">
        <f t="shared" si="6"/>
        <v/>
      </c>
    </row>
    <row r="21">
      <c r="R21" s="16" t="str">
        <f t="shared" si="1"/>
        <v/>
      </c>
      <c r="U21" s="78" t="str">
        <f t="shared" si="2"/>
        <v/>
      </c>
      <c r="AK21" s="178" t="str">
        <f t="shared" si="3"/>
        <v/>
      </c>
      <c r="AL21" s="16" t="str">
        <f t="shared" si="4"/>
        <v/>
      </c>
      <c r="BB21" s="178" t="str">
        <f t="shared" si="5"/>
        <v/>
      </c>
      <c r="BC21" s="16" t="str">
        <f t="shared" si="6"/>
        <v/>
      </c>
    </row>
    <row r="22">
      <c r="R22" s="16" t="str">
        <f t="shared" si="1"/>
        <v/>
      </c>
    </row>
    <row r="23">
      <c r="R23" s="16" t="str">
        <f t="shared" si="1"/>
        <v/>
      </c>
    </row>
    <row r="24">
      <c r="R24" s="16" t="str">
        <f t="shared" si="1"/>
        <v/>
      </c>
    </row>
    <row r="25">
      <c r="R25" s="16" t="str">
        <f t="shared" si="1"/>
        <v/>
      </c>
    </row>
    <row r="26">
      <c r="R26" s="16" t="str">
        <f t="shared" si="1"/>
        <v/>
      </c>
    </row>
    <row r="27">
      <c r="R27" s="16" t="str">
        <f t="shared" si="1"/>
        <v/>
      </c>
    </row>
    <row r="28">
      <c r="R28" s="16" t="str">
        <f t="shared" si="1"/>
        <v/>
      </c>
    </row>
    <row r="29">
      <c r="R29" s="16" t="str">
        <f t="shared" si="1"/>
        <v/>
      </c>
    </row>
    <row r="30">
      <c r="R30" s="16" t="str">
        <f t="shared" si="1"/>
        <v/>
      </c>
    </row>
    <row r="31">
      <c r="R31" s="16" t="str">
        <f t="shared" si="1"/>
        <v/>
      </c>
    </row>
    <row r="32">
      <c r="R32" s="16" t="str">
        <f t="shared" si="1"/>
        <v/>
      </c>
    </row>
    <row r="33">
      <c r="R33" s="16" t="str">
        <f t="shared" si="1"/>
        <v/>
      </c>
    </row>
    <row r="34">
      <c r="R34" s="16" t="str">
        <f t="shared" si="1"/>
        <v/>
      </c>
    </row>
    <row r="35">
      <c r="R35" s="16" t="str">
        <f t="shared" si="1"/>
        <v/>
      </c>
    </row>
    <row r="36">
      <c r="R36" s="16" t="str">
        <f t="shared" si="1"/>
        <v/>
      </c>
    </row>
    <row r="37">
      <c r="R37" s="16" t="str">
        <f t="shared" si="1"/>
        <v/>
      </c>
    </row>
    <row r="38">
      <c r="R38" s="16" t="str">
        <f t="shared" si="1"/>
        <v/>
      </c>
    </row>
    <row r="39">
      <c r="R39" s="16" t="str">
        <f t="shared" si="1"/>
        <v/>
      </c>
    </row>
    <row r="40">
      <c r="R40" s="16" t="str">
        <f t="shared" si="1"/>
        <v/>
      </c>
    </row>
    <row r="41">
      <c r="R41" s="16" t="str">
        <f t="shared" si="1"/>
        <v/>
      </c>
    </row>
    <row r="42">
      <c r="R42" s="16" t="str">
        <f t="shared" si="1"/>
        <v/>
      </c>
    </row>
    <row r="43">
      <c r="R43" s="16" t="str">
        <f t="shared" si="1"/>
        <v/>
      </c>
    </row>
    <row r="44">
      <c r="R44" s="16" t="str">
        <f t="shared" si="1"/>
        <v/>
      </c>
    </row>
    <row r="45">
      <c r="R45" s="16" t="str">
        <f t="shared" si="1"/>
        <v/>
      </c>
    </row>
    <row r="46">
      <c r="R46" s="16" t="str">
        <f t="shared" si="1"/>
        <v/>
      </c>
    </row>
    <row r="47">
      <c r="R47" s="16" t="str">
        <f t="shared" si="1"/>
        <v/>
      </c>
    </row>
    <row r="48">
      <c r="R48" s="16" t="str">
        <f t="shared" si="1"/>
        <v/>
      </c>
    </row>
    <row r="49">
      <c r="R49" s="16" t="str">
        <f t="shared" si="1"/>
        <v/>
      </c>
    </row>
    <row r="50">
      <c r="R50" s="16" t="str">
        <f t="shared" si="1"/>
        <v/>
      </c>
    </row>
    <row r="51">
      <c r="R51" s="16" t="str">
        <f t="shared" si="1"/>
        <v/>
      </c>
    </row>
    <row r="52">
      <c r="R52" s="16" t="str">
        <f t="shared" si="1"/>
        <v/>
      </c>
    </row>
    <row r="53">
      <c r="R53" s="16" t="str">
        <f t="shared" si="1"/>
        <v/>
      </c>
    </row>
    <row r="54">
      <c r="R54" s="16" t="str">
        <f t="shared" si="1"/>
        <v/>
      </c>
    </row>
    <row r="55">
      <c r="R55" s="16" t="str">
        <f t="shared" si="1"/>
        <v/>
      </c>
    </row>
    <row r="56">
      <c r="R56" s="16" t="str">
        <f t="shared" si="1"/>
        <v/>
      </c>
    </row>
    <row r="57">
      <c r="R57" s="16" t="str">
        <f t="shared" si="1"/>
        <v/>
      </c>
    </row>
    <row r="58">
      <c r="R58" s="16" t="str">
        <f t="shared" si="1"/>
        <v/>
      </c>
    </row>
    <row r="59">
      <c r="R59" s="16" t="str">
        <f t="shared" si="1"/>
        <v/>
      </c>
    </row>
    <row r="60">
      <c r="R60" s="16" t="str">
        <f t="shared" si="1"/>
        <v/>
      </c>
    </row>
    <row r="61">
      <c r="R61" s="16" t="str">
        <f t="shared" si="1"/>
        <v/>
      </c>
    </row>
    <row r="62">
      <c r="R62" s="16" t="str">
        <f t="shared" si="1"/>
        <v/>
      </c>
    </row>
    <row r="63">
      <c r="R63" s="16" t="str">
        <f t="shared" si="1"/>
        <v/>
      </c>
    </row>
    <row r="64">
      <c r="R64" s="16" t="str">
        <f t="shared" si="1"/>
        <v/>
      </c>
    </row>
    <row r="65">
      <c r="R65" s="16" t="str">
        <f t="shared" si="1"/>
        <v/>
      </c>
    </row>
    <row r="66">
      <c r="R66" s="16" t="str">
        <f t="shared" si="1"/>
        <v/>
      </c>
    </row>
    <row r="67">
      <c r="R67" s="16" t="str">
        <f t="shared" si="1"/>
        <v/>
      </c>
    </row>
    <row r="68">
      <c r="R68" s="16" t="str">
        <f t="shared" si="1"/>
        <v/>
      </c>
    </row>
    <row r="69">
      <c r="R69" s="16" t="str">
        <f t="shared" si="1"/>
        <v/>
      </c>
    </row>
    <row r="70">
      <c r="R70" s="16" t="str">
        <f t="shared" si="1"/>
        <v/>
      </c>
    </row>
    <row r="71">
      <c r="R71" s="16" t="str">
        <f t="shared" si="1"/>
        <v/>
      </c>
    </row>
    <row r="72">
      <c r="R72" s="16" t="str">
        <f t="shared" si="1"/>
        <v/>
      </c>
    </row>
    <row r="73">
      <c r="R73" s="16" t="str">
        <f t="shared" si="1"/>
        <v/>
      </c>
    </row>
    <row r="74">
      <c r="R74" s="16" t="str">
        <f t="shared" si="1"/>
        <v/>
      </c>
    </row>
    <row r="75">
      <c r="R75" s="16" t="str">
        <f t="shared" si="1"/>
        <v/>
      </c>
    </row>
    <row r="76">
      <c r="R76" s="16" t="str">
        <f t="shared" si="1"/>
        <v/>
      </c>
    </row>
    <row r="77">
      <c r="R77" s="16" t="str">
        <f t="shared" si="1"/>
        <v/>
      </c>
    </row>
    <row r="78">
      <c r="R78" s="16" t="str">
        <f t="shared" si="1"/>
        <v/>
      </c>
    </row>
    <row r="79">
      <c r="R79" s="16" t="str">
        <f t="shared" si="1"/>
        <v/>
      </c>
    </row>
    <row r="80">
      <c r="R80" s="16" t="str">
        <f t="shared" si="1"/>
        <v/>
      </c>
    </row>
    <row r="81">
      <c r="R81" s="16" t="str">
        <f t="shared" si="1"/>
        <v/>
      </c>
    </row>
    <row r="82">
      <c r="R82" s="16" t="str">
        <f t="shared" si="1"/>
        <v/>
      </c>
    </row>
    <row r="83">
      <c r="R83" s="16" t="str">
        <f t="shared" si="1"/>
        <v/>
      </c>
    </row>
    <row r="84">
      <c r="R84" s="16" t="str">
        <f t="shared" si="1"/>
        <v/>
      </c>
    </row>
    <row r="85">
      <c r="R85" s="16" t="str">
        <f t="shared" si="1"/>
        <v/>
      </c>
    </row>
    <row r="86">
      <c r="R86" s="16" t="str">
        <f t="shared" si="1"/>
        <v/>
      </c>
    </row>
    <row r="87">
      <c r="R87" s="16" t="str">
        <f t="shared" si="1"/>
        <v/>
      </c>
    </row>
    <row r="88">
      <c r="R88" s="16" t="str">
        <f t="shared" si="1"/>
        <v/>
      </c>
    </row>
    <row r="89">
      <c r="R89" s="16" t="str">
        <f t="shared" si="1"/>
        <v/>
      </c>
    </row>
    <row r="90">
      <c r="R90" s="16" t="str">
        <f t="shared" si="1"/>
        <v/>
      </c>
    </row>
    <row r="91">
      <c r="R91" s="16" t="str">
        <f t="shared" si="1"/>
        <v/>
      </c>
    </row>
    <row r="92">
      <c r="R92" s="16" t="str">
        <f t="shared" si="1"/>
        <v/>
      </c>
    </row>
    <row r="93">
      <c r="R93" s="16" t="str">
        <f t="shared" si="1"/>
        <v/>
      </c>
    </row>
    <row r="94">
      <c r="R94" s="16" t="str">
        <f t="shared" si="1"/>
        <v/>
      </c>
    </row>
    <row r="95">
      <c r="R95" s="16" t="str">
        <f t="shared" si="1"/>
        <v/>
      </c>
    </row>
    <row r="96">
      <c r="R96" s="16" t="str">
        <f t="shared" si="1"/>
        <v/>
      </c>
    </row>
    <row r="97">
      <c r="R97" s="16" t="str">
        <f t="shared" si="1"/>
        <v/>
      </c>
    </row>
    <row r="98">
      <c r="R98" s="16" t="str">
        <f t="shared" si="1"/>
        <v/>
      </c>
    </row>
    <row r="99">
      <c r="R99" s="16" t="str">
        <f t="shared" si="1"/>
        <v/>
      </c>
    </row>
    <row r="100">
      <c r="R100" s="16" t="str">
        <f t="shared" si="1"/>
        <v/>
      </c>
    </row>
    <row r="101">
      <c r="R101" s="16" t="str">
        <f t="shared" si="1"/>
        <v/>
      </c>
    </row>
    <row r="102">
      <c r="R102" s="16" t="str">
        <f t="shared" si="1"/>
        <v/>
      </c>
    </row>
    <row r="103">
      <c r="R103" s="16" t="str">
        <f t="shared" si="1"/>
        <v/>
      </c>
    </row>
    <row r="104">
      <c r="R104" s="16" t="str">
        <f t="shared" si="1"/>
        <v/>
      </c>
    </row>
    <row r="105">
      <c r="R105" s="16" t="str">
        <f t="shared" si="1"/>
        <v/>
      </c>
    </row>
    <row r="106">
      <c r="R106" s="16" t="str">
        <f t="shared" si="1"/>
        <v/>
      </c>
    </row>
    <row r="107">
      <c r="R107" s="16" t="str">
        <f t="shared" si="1"/>
        <v/>
      </c>
    </row>
    <row r="108">
      <c r="R108" s="16" t="str">
        <f t="shared" si="1"/>
        <v/>
      </c>
    </row>
    <row r="109">
      <c r="R109" s="16" t="str">
        <f t="shared" si="1"/>
        <v/>
      </c>
    </row>
    <row r="110">
      <c r="R110" s="16" t="str">
        <f t="shared" si="1"/>
        <v/>
      </c>
    </row>
    <row r="111">
      <c r="R111" s="16" t="str">
        <f t="shared" si="1"/>
        <v/>
      </c>
    </row>
    <row r="112">
      <c r="R112" s="16" t="str">
        <f t="shared" si="1"/>
        <v/>
      </c>
    </row>
    <row r="113">
      <c r="R113" s="16" t="str">
        <f t="shared" si="1"/>
        <v/>
      </c>
    </row>
    <row r="114">
      <c r="R114" s="16" t="str">
        <f t="shared" si="1"/>
        <v/>
      </c>
    </row>
    <row r="115">
      <c r="R115" s="16" t="str">
        <f t="shared" si="1"/>
        <v/>
      </c>
    </row>
    <row r="116">
      <c r="R116" s="16" t="str">
        <f t="shared" si="1"/>
        <v/>
      </c>
    </row>
    <row r="117">
      <c r="R117" s="16" t="str">
        <f t="shared" si="1"/>
        <v/>
      </c>
    </row>
    <row r="118">
      <c r="R118" s="16" t="str">
        <f t="shared" si="1"/>
        <v/>
      </c>
    </row>
    <row r="119">
      <c r="R119" s="16" t="str">
        <f t="shared" si="1"/>
        <v/>
      </c>
    </row>
    <row r="120">
      <c r="R120" s="16" t="str">
        <f t="shared" si="1"/>
        <v/>
      </c>
    </row>
    <row r="121">
      <c r="R121" s="16" t="str">
        <f t="shared" si="1"/>
        <v/>
      </c>
    </row>
    <row r="122">
      <c r="R122" s="16" t="str">
        <f t="shared" si="1"/>
        <v/>
      </c>
    </row>
    <row r="123">
      <c r="R123" s="16" t="str">
        <f t="shared" si="1"/>
        <v/>
      </c>
    </row>
    <row r="124">
      <c r="R124" s="16" t="str">
        <f t="shared" si="1"/>
        <v/>
      </c>
    </row>
    <row r="125">
      <c r="R125" s="16" t="str">
        <f t="shared" si="1"/>
        <v/>
      </c>
    </row>
    <row r="126">
      <c r="R126" s="16" t="str">
        <f t="shared" si="1"/>
        <v/>
      </c>
    </row>
    <row r="127">
      <c r="R127" s="16" t="str">
        <f t="shared" si="1"/>
        <v/>
      </c>
    </row>
    <row r="128">
      <c r="R128" s="16" t="str">
        <f t="shared" si="1"/>
        <v/>
      </c>
    </row>
    <row r="129">
      <c r="R129" s="16" t="str">
        <f t="shared" si="1"/>
        <v/>
      </c>
    </row>
    <row r="130">
      <c r="R130" s="16" t="str">
        <f t="shared" si="1"/>
        <v/>
      </c>
    </row>
    <row r="131">
      <c r="R131" s="16" t="str">
        <f t="shared" si="1"/>
        <v/>
      </c>
    </row>
    <row r="132">
      <c r="R132" s="16" t="str">
        <f t="shared" si="1"/>
        <v/>
      </c>
    </row>
    <row r="133">
      <c r="R133" s="16" t="str">
        <f t="shared" si="1"/>
        <v/>
      </c>
    </row>
    <row r="134">
      <c r="R134" s="16" t="str">
        <f t="shared" si="1"/>
        <v/>
      </c>
    </row>
    <row r="135">
      <c r="R135" s="16" t="str">
        <f t="shared" si="1"/>
        <v/>
      </c>
    </row>
    <row r="136">
      <c r="R136" s="16" t="str">
        <f t="shared" si="1"/>
        <v/>
      </c>
    </row>
    <row r="137">
      <c r="R137" s="16" t="str">
        <f t="shared" si="1"/>
        <v/>
      </c>
    </row>
    <row r="138">
      <c r="R138" s="16" t="str">
        <f t="shared" si="1"/>
        <v/>
      </c>
    </row>
    <row r="139">
      <c r="R139" s="16" t="str">
        <f t="shared" si="1"/>
        <v/>
      </c>
    </row>
    <row r="140">
      <c r="R140" s="16" t="str">
        <f t="shared" si="1"/>
        <v/>
      </c>
    </row>
    <row r="141">
      <c r="R141" s="16" t="str">
        <f t="shared" si="1"/>
        <v/>
      </c>
    </row>
    <row r="142">
      <c r="R142" s="16" t="str">
        <f t="shared" si="1"/>
        <v/>
      </c>
    </row>
    <row r="143">
      <c r="R143" s="16" t="str">
        <f t="shared" si="1"/>
        <v/>
      </c>
    </row>
    <row r="144">
      <c r="R144" s="16" t="str">
        <f t="shared" si="1"/>
        <v/>
      </c>
    </row>
    <row r="145">
      <c r="R145" s="16" t="str">
        <f t="shared" si="1"/>
        <v/>
      </c>
    </row>
    <row r="146">
      <c r="R146" s="16" t="str">
        <f t="shared" si="1"/>
        <v/>
      </c>
    </row>
    <row r="147">
      <c r="R147" s="16" t="str">
        <f t="shared" si="1"/>
        <v/>
      </c>
    </row>
    <row r="148">
      <c r="R148" s="16" t="str">
        <f t="shared" si="1"/>
        <v/>
      </c>
    </row>
    <row r="149">
      <c r="R149" s="16" t="str">
        <f t="shared" si="1"/>
        <v/>
      </c>
    </row>
    <row r="150">
      <c r="R150" s="16" t="str">
        <f t="shared" si="1"/>
        <v/>
      </c>
    </row>
    <row r="151">
      <c r="R151" s="16" t="str">
        <f t="shared" si="1"/>
        <v/>
      </c>
    </row>
    <row r="152">
      <c r="R152" s="16" t="str">
        <f t="shared" si="1"/>
        <v/>
      </c>
    </row>
    <row r="153">
      <c r="R153" s="16" t="str">
        <f t="shared" si="1"/>
        <v/>
      </c>
    </row>
    <row r="154">
      <c r="R154" s="16" t="str">
        <f t="shared" si="1"/>
        <v/>
      </c>
    </row>
    <row r="155">
      <c r="R155" s="16" t="str">
        <f t="shared" si="1"/>
        <v/>
      </c>
    </row>
    <row r="156">
      <c r="R156" s="16" t="str">
        <f t="shared" si="1"/>
        <v/>
      </c>
    </row>
    <row r="157">
      <c r="R157" s="16" t="str">
        <f t="shared" si="1"/>
        <v/>
      </c>
    </row>
    <row r="158">
      <c r="R158" s="16" t="str">
        <f t="shared" si="1"/>
        <v/>
      </c>
    </row>
    <row r="159">
      <c r="R159" s="16" t="str">
        <f t="shared" si="1"/>
        <v/>
      </c>
    </row>
    <row r="160">
      <c r="R160" s="16" t="str">
        <f t="shared" si="1"/>
        <v/>
      </c>
    </row>
    <row r="161">
      <c r="R161" s="16" t="str">
        <f t="shared" si="1"/>
        <v/>
      </c>
    </row>
    <row r="162">
      <c r="R162" s="16" t="str">
        <f t="shared" si="1"/>
        <v/>
      </c>
    </row>
    <row r="163">
      <c r="R163" s="16" t="str">
        <f t="shared" si="1"/>
        <v/>
      </c>
    </row>
    <row r="164">
      <c r="R164" s="16" t="str">
        <f t="shared" si="1"/>
        <v/>
      </c>
    </row>
    <row r="165">
      <c r="R165" s="16" t="str">
        <f t="shared" si="1"/>
        <v/>
      </c>
    </row>
    <row r="166">
      <c r="R166" s="16" t="str">
        <f t="shared" si="1"/>
        <v/>
      </c>
    </row>
    <row r="167">
      <c r="R167" s="16" t="str">
        <f t="shared" si="1"/>
        <v/>
      </c>
    </row>
    <row r="168">
      <c r="R168" s="16" t="str">
        <f t="shared" si="1"/>
        <v/>
      </c>
    </row>
    <row r="169">
      <c r="R169" s="16" t="str">
        <f t="shared" si="1"/>
        <v/>
      </c>
    </row>
    <row r="170">
      <c r="R170" s="16" t="str">
        <f t="shared" si="1"/>
        <v/>
      </c>
    </row>
    <row r="171">
      <c r="R171" s="16" t="str">
        <f t="shared" si="1"/>
        <v/>
      </c>
    </row>
    <row r="172">
      <c r="R172" s="16" t="str">
        <f t="shared" si="1"/>
        <v/>
      </c>
    </row>
    <row r="173">
      <c r="R173" s="16" t="str">
        <f t="shared" si="1"/>
        <v/>
      </c>
    </row>
    <row r="174">
      <c r="R174" s="16" t="str">
        <f t="shared" si="1"/>
        <v/>
      </c>
    </row>
    <row r="175">
      <c r="R175" s="16" t="str">
        <f t="shared" si="1"/>
        <v/>
      </c>
    </row>
    <row r="176">
      <c r="R176" s="16" t="str">
        <f t="shared" si="1"/>
        <v/>
      </c>
    </row>
    <row r="177">
      <c r="R177" s="16" t="str">
        <f t="shared" si="1"/>
        <v/>
      </c>
    </row>
    <row r="178">
      <c r="R178" s="16" t="str">
        <f t="shared" si="1"/>
        <v/>
      </c>
    </row>
    <row r="179">
      <c r="R179" s="16" t="str">
        <f t="shared" si="1"/>
        <v/>
      </c>
    </row>
    <row r="180">
      <c r="R180" s="16" t="str">
        <f t="shared" si="1"/>
        <v/>
      </c>
    </row>
    <row r="181">
      <c r="R181" s="16" t="str">
        <f t="shared" si="1"/>
        <v/>
      </c>
    </row>
    <row r="182">
      <c r="R182" s="16" t="str">
        <f t="shared" si="1"/>
        <v/>
      </c>
    </row>
    <row r="183">
      <c r="R183" s="16" t="str">
        <f t="shared" si="1"/>
        <v/>
      </c>
    </row>
    <row r="184">
      <c r="R184" s="16" t="str">
        <f t="shared" si="1"/>
        <v/>
      </c>
    </row>
    <row r="185">
      <c r="R185" s="16" t="str">
        <f t="shared" si="1"/>
        <v/>
      </c>
    </row>
    <row r="186">
      <c r="R186" s="16" t="str">
        <f t="shared" si="1"/>
        <v/>
      </c>
    </row>
    <row r="187">
      <c r="R187" s="16" t="str">
        <f t="shared" si="1"/>
        <v/>
      </c>
    </row>
    <row r="188">
      <c r="R188" s="16" t="str">
        <f t="shared" si="1"/>
        <v/>
      </c>
    </row>
    <row r="189">
      <c r="R189" s="16" t="str">
        <f t="shared" si="1"/>
        <v/>
      </c>
    </row>
    <row r="190">
      <c r="R190" s="16" t="str">
        <f t="shared" si="1"/>
        <v/>
      </c>
    </row>
    <row r="191">
      <c r="R191" s="16" t="str">
        <f t="shared" si="1"/>
        <v/>
      </c>
    </row>
    <row r="192">
      <c r="R192" s="16" t="str">
        <f t="shared" si="1"/>
        <v/>
      </c>
    </row>
    <row r="193">
      <c r="R193" s="16" t="str">
        <f t="shared" si="1"/>
        <v/>
      </c>
    </row>
    <row r="194">
      <c r="R194" s="16" t="str">
        <f t="shared" si="1"/>
        <v/>
      </c>
    </row>
    <row r="195">
      <c r="R195" s="16" t="str">
        <f t="shared" si="1"/>
        <v/>
      </c>
    </row>
    <row r="196">
      <c r="R196" s="16" t="str">
        <f t="shared" si="1"/>
        <v/>
      </c>
    </row>
    <row r="197">
      <c r="R197" s="16" t="str">
        <f t="shared" si="1"/>
        <v/>
      </c>
    </row>
    <row r="198">
      <c r="R198" s="16" t="str">
        <f t="shared" si="1"/>
        <v/>
      </c>
    </row>
    <row r="199">
      <c r="R199" s="16" t="str">
        <f t="shared" si="1"/>
        <v/>
      </c>
    </row>
    <row r="200">
      <c r="R200" s="16" t="str">
        <f t="shared" si="1"/>
        <v/>
      </c>
    </row>
    <row r="201">
      <c r="R201" s="16" t="str">
        <f t="shared" si="1"/>
        <v/>
      </c>
    </row>
    <row r="202">
      <c r="R202" s="16" t="str">
        <f t="shared" si="1"/>
        <v/>
      </c>
    </row>
    <row r="203">
      <c r="R203" s="16" t="str">
        <f t="shared" si="1"/>
        <v/>
      </c>
    </row>
    <row r="204">
      <c r="R204" s="16" t="str">
        <f t="shared" si="1"/>
        <v/>
      </c>
    </row>
    <row r="205">
      <c r="R205" s="16" t="str">
        <f t="shared" si="1"/>
        <v/>
      </c>
    </row>
    <row r="206">
      <c r="R206" s="16" t="str">
        <f t="shared" si="1"/>
        <v/>
      </c>
    </row>
    <row r="207">
      <c r="R207" s="16" t="str">
        <f t="shared" si="1"/>
        <v/>
      </c>
    </row>
    <row r="208">
      <c r="R208" s="16" t="str">
        <f t="shared" si="1"/>
        <v/>
      </c>
    </row>
    <row r="209">
      <c r="R209" s="16" t="str">
        <f t="shared" si="1"/>
        <v/>
      </c>
    </row>
    <row r="210">
      <c r="R210" s="16" t="str">
        <f t="shared" si="1"/>
        <v/>
      </c>
    </row>
    <row r="211">
      <c r="R211" s="16" t="str">
        <f t="shared" si="1"/>
        <v/>
      </c>
    </row>
    <row r="212">
      <c r="R212" s="16" t="str">
        <f t="shared" si="1"/>
        <v/>
      </c>
    </row>
    <row r="213">
      <c r="R213" s="16" t="str">
        <f t="shared" si="1"/>
        <v/>
      </c>
    </row>
    <row r="214">
      <c r="R214" s="16" t="str">
        <f t="shared" si="1"/>
        <v/>
      </c>
    </row>
    <row r="215">
      <c r="R215" s="16" t="str">
        <f t="shared" si="1"/>
        <v/>
      </c>
    </row>
    <row r="216">
      <c r="R216" s="16" t="str">
        <f t="shared" si="1"/>
        <v/>
      </c>
    </row>
    <row r="217">
      <c r="R217" s="16" t="str">
        <f t="shared" si="1"/>
        <v/>
      </c>
    </row>
    <row r="218">
      <c r="R218" s="16" t="str">
        <f t="shared" si="1"/>
        <v/>
      </c>
    </row>
    <row r="219">
      <c r="R219" s="16" t="str">
        <f t="shared" si="1"/>
        <v/>
      </c>
    </row>
    <row r="220">
      <c r="R220" s="16" t="str">
        <f t="shared" si="1"/>
        <v/>
      </c>
    </row>
    <row r="221">
      <c r="R221" s="16" t="str">
        <f t="shared" si="1"/>
        <v/>
      </c>
    </row>
    <row r="222">
      <c r="R222" s="16" t="str">
        <f t="shared" si="1"/>
        <v/>
      </c>
    </row>
    <row r="223">
      <c r="R223" s="16" t="str">
        <f t="shared" si="1"/>
        <v/>
      </c>
    </row>
    <row r="224">
      <c r="R224" s="16" t="str">
        <f t="shared" si="1"/>
        <v/>
      </c>
    </row>
    <row r="225">
      <c r="R225" s="16" t="str">
        <f t="shared" si="1"/>
        <v/>
      </c>
    </row>
    <row r="226">
      <c r="R226" s="16" t="str">
        <f t="shared" si="1"/>
        <v/>
      </c>
    </row>
    <row r="227">
      <c r="R227" s="16" t="str">
        <f t="shared" si="1"/>
        <v/>
      </c>
    </row>
    <row r="228">
      <c r="R228" s="16" t="str">
        <f t="shared" si="1"/>
        <v/>
      </c>
    </row>
    <row r="229">
      <c r="R229" s="16" t="str">
        <f t="shared" si="1"/>
        <v/>
      </c>
    </row>
    <row r="230">
      <c r="R230" s="16" t="str">
        <f t="shared" si="1"/>
        <v/>
      </c>
    </row>
    <row r="231">
      <c r="R231" s="16" t="str">
        <f t="shared" si="1"/>
        <v/>
      </c>
    </row>
    <row r="232">
      <c r="R232" s="16" t="str">
        <f t="shared" si="1"/>
        <v/>
      </c>
    </row>
    <row r="233">
      <c r="R233" s="16" t="str">
        <f t="shared" si="1"/>
        <v/>
      </c>
    </row>
    <row r="234">
      <c r="R234" s="16" t="str">
        <f t="shared" si="1"/>
        <v/>
      </c>
    </row>
    <row r="235">
      <c r="R235" s="16" t="str">
        <f t="shared" si="1"/>
        <v/>
      </c>
    </row>
    <row r="236">
      <c r="R236" s="16" t="str">
        <f t="shared" si="1"/>
        <v/>
      </c>
    </row>
    <row r="237">
      <c r="R237" s="16" t="str">
        <f t="shared" si="1"/>
        <v/>
      </c>
    </row>
    <row r="238">
      <c r="R238" s="16" t="str">
        <f t="shared" si="1"/>
        <v/>
      </c>
    </row>
    <row r="239">
      <c r="R239" s="16" t="str">
        <f t="shared" si="1"/>
        <v/>
      </c>
    </row>
    <row r="240">
      <c r="R240" s="16" t="str">
        <f t="shared" si="1"/>
        <v/>
      </c>
    </row>
    <row r="241">
      <c r="R241" s="16" t="str">
        <f t="shared" si="1"/>
        <v/>
      </c>
    </row>
    <row r="242">
      <c r="R242" s="16" t="str">
        <f t="shared" si="1"/>
        <v/>
      </c>
    </row>
    <row r="243">
      <c r="R243" s="16" t="str">
        <f t="shared" si="1"/>
        <v/>
      </c>
    </row>
    <row r="244">
      <c r="R244" s="16" t="str">
        <f t="shared" si="1"/>
        <v/>
      </c>
    </row>
    <row r="245">
      <c r="R245" s="16" t="str">
        <f t="shared" si="1"/>
        <v/>
      </c>
    </row>
    <row r="246">
      <c r="R246" s="16" t="str">
        <f t="shared" si="1"/>
        <v/>
      </c>
    </row>
    <row r="247">
      <c r="R247" s="16" t="str">
        <f t="shared" si="1"/>
        <v/>
      </c>
    </row>
    <row r="248">
      <c r="R248" s="16" t="str">
        <f t="shared" si="1"/>
        <v/>
      </c>
    </row>
    <row r="249">
      <c r="R249" s="16" t="str">
        <f t="shared" si="1"/>
        <v/>
      </c>
    </row>
    <row r="250">
      <c r="R250" s="16" t="str">
        <f t="shared" si="1"/>
        <v/>
      </c>
    </row>
    <row r="251">
      <c r="R251" s="16" t="str">
        <f t="shared" si="1"/>
        <v/>
      </c>
    </row>
    <row r="252">
      <c r="R252" s="16" t="str">
        <f t="shared" si="1"/>
        <v/>
      </c>
    </row>
    <row r="253">
      <c r="R253" s="16" t="str">
        <f t="shared" si="1"/>
        <v/>
      </c>
    </row>
    <row r="254">
      <c r="R254" s="16" t="str">
        <f t="shared" si="1"/>
        <v/>
      </c>
    </row>
    <row r="255">
      <c r="R255" s="16" t="str">
        <f t="shared" si="1"/>
        <v/>
      </c>
    </row>
    <row r="256">
      <c r="R256" s="16" t="str">
        <f t="shared" si="1"/>
        <v/>
      </c>
    </row>
    <row r="257">
      <c r="R257" s="16" t="str">
        <f t="shared" si="1"/>
        <v/>
      </c>
    </row>
    <row r="258">
      <c r="R258" s="16" t="str">
        <f t="shared" si="1"/>
        <v/>
      </c>
    </row>
    <row r="259">
      <c r="R259" s="16" t="str">
        <f t="shared" si="1"/>
        <v/>
      </c>
    </row>
    <row r="260">
      <c r="R260" s="16" t="str">
        <f t="shared" si="1"/>
        <v/>
      </c>
    </row>
    <row r="261">
      <c r="R261" s="16" t="str">
        <f t="shared" si="1"/>
        <v/>
      </c>
    </row>
    <row r="262">
      <c r="R262" s="16" t="str">
        <f t="shared" si="1"/>
        <v/>
      </c>
    </row>
    <row r="263">
      <c r="R263" s="16" t="str">
        <f t="shared" si="1"/>
        <v/>
      </c>
    </row>
    <row r="264">
      <c r="R264" s="16" t="str">
        <f t="shared" si="1"/>
        <v/>
      </c>
    </row>
    <row r="265">
      <c r="R265" s="16" t="str">
        <f t="shared" si="1"/>
        <v/>
      </c>
    </row>
    <row r="266">
      <c r="R266" s="16" t="str">
        <f t="shared" si="1"/>
        <v/>
      </c>
    </row>
    <row r="267">
      <c r="R267" s="16" t="str">
        <f t="shared" si="1"/>
        <v/>
      </c>
    </row>
    <row r="268">
      <c r="R268" s="16" t="str">
        <f t="shared" si="1"/>
        <v/>
      </c>
    </row>
    <row r="269">
      <c r="R269" s="16" t="str">
        <f t="shared" si="1"/>
        <v/>
      </c>
    </row>
    <row r="270">
      <c r="R270" s="16" t="str">
        <f t="shared" si="1"/>
        <v/>
      </c>
    </row>
    <row r="271">
      <c r="R271" s="16" t="str">
        <f t="shared" si="1"/>
        <v/>
      </c>
    </row>
    <row r="272">
      <c r="R272" s="16" t="str">
        <f t="shared" si="1"/>
        <v/>
      </c>
    </row>
    <row r="273">
      <c r="R273" s="16" t="str">
        <f t="shared" si="1"/>
        <v/>
      </c>
    </row>
    <row r="274">
      <c r="R274" s="16" t="str">
        <f t="shared" si="1"/>
        <v/>
      </c>
    </row>
    <row r="275">
      <c r="R275" s="16" t="str">
        <f t="shared" si="1"/>
        <v/>
      </c>
    </row>
    <row r="276">
      <c r="R276" s="16" t="str">
        <f t="shared" si="1"/>
        <v/>
      </c>
    </row>
    <row r="277">
      <c r="R277" s="16" t="str">
        <f t="shared" si="1"/>
        <v/>
      </c>
    </row>
    <row r="278">
      <c r="R278" s="16" t="str">
        <f t="shared" si="1"/>
        <v/>
      </c>
    </row>
    <row r="279">
      <c r="R279" s="16" t="str">
        <f t="shared" si="1"/>
        <v/>
      </c>
    </row>
    <row r="280">
      <c r="R280" s="16" t="str">
        <f t="shared" si="1"/>
        <v/>
      </c>
    </row>
    <row r="281">
      <c r="R281" s="16" t="str">
        <f t="shared" si="1"/>
        <v/>
      </c>
    </row>
    <row r="282">
      <c r="R282" s="16" t="str">
        <f t="shared" si="1"/>
        <v/>
      </c>
    </row>
    <row r="283">
      <c r="R283" s="16" t="str">
        <f t="shared" si="1"/>
        <v/>
      </c>
    </row>
    <row r="284">
      <c r="R284" s="16" t="str">
        <f t="shared" si="1"/>
        <v/>
      </c>
    </row>
    <row r="285">
      <c r="R285" s="16" t="str">
        <f t="shared" si="1"/>
        <v/>
      </c>
    </row>
    <row r="286">
      <c r="R286" s="16" t="str">
        <f t="shared" si="1"/>
        <v/>
      </c>
    </row>
    <row r="287">
      <c r="R287" s="16" t="str">
        <f t="shared" si="1"/>
        <v/>
      </c>
    </row>
    <row r="288">
      <c r="R288" s="16" t="str">
        <f t="shared" si="1"/>
        <v/>
      </c>
    </row>
    <row r="289">
      <c r="R289" s="16" t="str">
        <f t="shared" si="1"/>
        <v/>
      </c>
    </row>
    <row r="290">
      <c r="R290" s="16" t="str">
        <f t="shared" si="1"/>
        <v/>
      </c>
    </row>
    <row r="291">
      <c r="R291" s="16" t="str">
        <f t="shared" si="1"/>
        <v/>
      </c>
    </row>
    <row r="292">
      <c r="R292" s="16" t="str">
        <f t="shared" si="1"/>
        <v/>
      </c>
    </row>
    <row r="293">
      <c r="R293" s="16" t="str">
        <f t="shared" si="1"/>
        <v/>
      </c>
    </row>
    <row r="294">
      <c r="R294" s="16" t="str">
        <f t="shared" si="1"/>
        <v/>
      </c>
    </row>
    <row r="295">
      <c r="R295" s="16" t="str">
        <f t="shared" si="1"/>
        <v/>
      </c>
    </row>
    <row r="296">
      <c r="R296" s="16" t="str">
        <f t="shared" si="1"/>
        <v/>
      </c>
    </row>
    <row r="297">
      <c r="R297" s="16" t="str">
        <f t="shared" si="1"/>
        <v/>
      </c>
    </row>
    <row r="298">
      <c r="R298" s="16" t="str">
        <f t="shared" si="1"/>
        <v/>
      </c>
    </row>
    <row r="299">
      <c r="R299" s="16" t="str">
        <f t="shared" si="1"/>
        <v/>
      </c>
    </row>
    <row r="300">
      <c r="R300" s="16" t="str">
        <f t="shared" si="1"/>
        <v/>
      </c>
    </row>
    <row r="301">
      <c r="R301" s="16" t="str">
        <f t="shared" si="1"/>
        <v/>
      </c>
    </row>
    <row r="302">
      <c r="R302" s="16" t="str">
        <f t="shared" si="1"/>
        <v/>
      </c>
    </row>
    <row r="303">
      <c r="R303" s="16" t="str">
        <f t="shared" si="1"/>
        <v/>
      </c>
    </row>
    <row r="304">
      <c r="R304" s="16" t="str">
        <f t="shared" si="1"/>
        <v/>
      </c>
    </row>
    <row r="305">
      <c r="R305" s="16" t="str">
        <f t="shared" si="1"/>
        <v/>
      </c>
    </row>
    <row r="306">
      <c r="R306" s="16" t="str">
        <f t="shared" si="1"/>
        <v/>
      </c>
    </row>
    <row r="307">
      <c r="R307" s="16" t="str">
        <f t="shared" si="1"/>
        <v/>
      </c>
    </row>
    <row r="308">
      <c r="R308" s="16" t="str">
        <f t="shared" si="1"/>
        <v/>
      </c>
    </row>
    <row r="309">
      <c r="R309" s="16" t="str">
        <f t="shared" si="1"/>
        <v/>
      </c>
    </row>
    <row r="310">
      <c r="R310" s="16" t="str">
        <f t="shared" si="1"/>
        <v/>
      </c>
    </row>
    <row r="311">
      <c r="R311" s="16" t="str">
        <f t="shared" si="1"/>
        <v/>
      </c>
    </row>
    <row r="312">
      <c r="R312" s="16" t="str">
        <f t="shared" si="1"/>
        <v/>
      </c>
    </row>
    <row r="313">
      <c r="R313" s="16" t="str">
        <f t="shared" si="1"/>
        <v/>
      </c>
    </row>
    <row r="314">
      <c r="R314" s="16" t="str">
        <f t="shared" si="1"/>
        <v/>
      </c>
    </row>
    <row r="315">
      <c r="R315" s="16" t="str">
        <f t="shared" si="1"/>
        <v/>
      </c>
    </row>
    <row r="316">
      <c r="R316" s="16" t="str">
        <f t="shared" si="1"/>
        <v/>
      </c>
    </row>
    <row r="317">
      <c r="R317" s="16" t="str">
        <f t="shared" si="1"/>
        <v/>
      </c>
    </row>
    <row r="318">
      <c r="R318" s="16" t="str">
        <f t="shared" si="1"/>
        <v/>
      </c>
    </row>
    <row r="319">
      <c r="R319" s="16" t="str">
        <f t="shared" si="1"/>
        <v/>
      </c>
    </row>
    <row r="320">
      <c r="R320" s="16" t="str">
        <f t="shared" si="1"/>
        <v/>
      </c>
    </row>
    <row r="321">
      <c r="R321" s="16" t="str">
        <f t="shared" si="1"/>
        <v/>
      </c>
    </row>
    <row r="322">
      <c r="R322" s="16" t="str">
        <f t="shared" si="1"/>
        <v/>
      </c>
    </row>
    <row r="323">
      <c r="R323" s="16" t="str">
        <f t="shared" si="1"/>
        <v/>
      </c>
    </row>
    <row r="324">
      <c r="R324" s="16" t="str">
        <f t="shared" si="1"/>
        <v/>
      </c>
    </row>
    <row r="325">
      <c r="R325" s="16" t="str">
        <f t="shared" si="1"/>
        <v/>
      </c>
    </row>
    <row r="326">
      <c r="R326" s="16" t="str">
        <f t="shared" si="1"/>
        <v/>
      </c>
    </row>
    <row r="327">
      <c r="R327" s="16" t="str">
        <f t="shared" si="1"/>
        <v/>
      </c>
    </row>
    <row r="328">
      <c r="R328" s="16" t="str">
        <f t="shared" si="1"/>
        <v/>
      </c>
    </row>
    <row r="329">
      <c r="R329" s="16" t="str">
        <f t="shared" si="1"/>
        <v/>
      </c>
    </row>
    <row r="330">
      <c r="R330" s="16" t="str">
        <f t="shared" si="1"/>
        <v/>
      </c>
    </row>
    <row r="331">
      <c r="R331" s="16" t="str">
        <f t="shared" si="1"/>
        <v/>
      </c>
    </row>
    <row r="332">
      <c r="R332" s="16" t="str">
        <f t="shared" si="1"/>
        <v/>
      </c>
    </row>
    <row r="333">
      <c r="R333" s="16" t="str">
        <f t="shared" si="1"/>
        <v/>
      </c>
    </row>
    <row r="334">
      <c r="R334" s="16" t="str">
        <f t="shared" si="1"/>
        <v/>
      </c>
    </row>
    <row r="335">
      <c r="R335" s="16" t="str">
        <f t="shared" si="1"/>
        <v/>
      </c>
    </row>
    <row r="336">
      <c r="R336" s="16" t="str">
        <f t="shared" si="1"/>
        <v/>
      </c>
    </row>
    <row r="337">
      <c r="R337" s="16" t="str">
        <f t="shared" si="1"/>
        <v/>
      </c>
    </row>
    <row r="338">
      <c r="R338" s="16" t="str">
        <f t="shared" si="1"/>
        <v/>
      </c>
    </row>
    <row r="339">
      <c r="R339" s="16" t="str">
        <f t="shared" si="1"/>
        <v/>
      </c>
    </row>
    <row r="340">
      <c r="R340" s="16" t="str">
        <f t="shared" si="1"/>
        <v/>
      </c>
    </row>
    <row r="341">
      <c r="R341" s="16" t="str">
        <f t="shared" si="1"/>
        <v/>
      </c>
    </row>
    <row r="342">
      <c r="R342" s="16" t="str">
        <f t="shared" si="1"/>
        <v/>
      </c>
    </row>
    <row r="343">
      <c r="R343" s="16" t="str">
        <f t="shared" si="1"/>
        <v/>
      </c>
    </row>
    <row r="344">
      <c r="R344" s="16" t="str">
        <f t="shared" si="1"/>
        <v/>
      </c>
    </row>
    <row r="345">
      <c r="R345" s="16" t="str">
        <f t="shared" si="1"/>
        <v/>
      </c>
    </row>
    <row r="346">
      <c r="R346" s="16" t="str">
        <f t="shared" si="1"/>
        <v/>
      </c>
    </row>
    <row r="347">
      <c r="R347" s="16" t="str">
        <f t="shared" si="1"/>
        <v/>
      </c>
    </row>
    <row r="348">
      <c r="R348" s="16" t="str">
        <f t="shared" si="1"/>
        <v/>
      </c>
    </row>
    <row r="349">
      <c r="R349" s="16" t="str">
        <f t="shared" si="1"/>
        <v/>
      </c>
    </row>
    <row r="350">
      <c r="R350" s="16" t="str">
        <f t="shared" si="1"/>
        <v/>
      </c>
    </row>
    <row r="351">
      <c r="R351" s="16" t="str">
        <f t="shared" si="1"/>
        <v/>
      </c>
    </row>
    <row r="352">
      <c r="R352" s="16" t="str">
        <f t="shared" si="1"/>
        <v/>
      </c>
    </row>
    <row r="353">
      <c r="R353" s="16" t="str">
        <f t="shared" si="1"/>
        <v/>
      </c>
    </row>
    <row r="354">
      <c r="R354" s="16" t="str">
        <f t="shared" si="1"/>
        <v/>
      </c>
    </row>
    <row r="355">
      <c r="R355" s="16" t="str">
        <f t="shared" si="1"/>
        <v/>
      </c>
    </row>
    <row r="356">
      <c r="R356" s="16" t="str">
        <f t="shared" si="1"/>
        <v/>
      </c>
    </row>
    <row r="357">
      <c r="R357" s="16" t="str">
        <f t="shared" si="1"/>
        <v/>
      </c>
    </row>
    <row r="358">
      <c r="R358" s="16" t="str">
        <f t="shared" si="1"/>
        <v/>
      </c>
    </row>
    <row r="359">
      <c r="R359" s="16" t="str">
        <f t="shared" si="1"/>
        <v/>
      </c>
    </row>
    <row r="360">
      <c r="R360" s="16" t="str">
        <f t="shared" si="1"/>
        <v/>
      </c>
    </row>
    <row r="361">
      <c r="R361" s="16" t="str">
        <f t="shared" si="1"/>
        <v/>
      </c>
    </row>
    <row r="362">
      <c r="R362" s="16" t="str">
        <f t="shared" si="1"/>
        <v/>
      </c>
    </row>
    <row r="363">
      <c r="R363" s="16" t="str">
        <f t="shared" si="1"/>
        <v/>
      </c>
    </row>
    <row r="364">
      <c r="R364" s="16" t="str">
        <f t="shared" si="1"/>
        <v/>
      </c>
    </row>
    <row r="365">
      <c r="R365" s="16" t="str">
        <f t="shared" si="1"/>
        <v/>
      </c>
    </row>
    <row r="366">
      <c r="R366" s="16" t="str">
        <f t="shared" si="1"/>
        <v/>
      </c>
    </row>
    <row r="367">
      <c r="R367" s="16" t="str">
        <f t="shared" si="1"/>
        <v/>
      </c>
    </row>
    <row r="368">
      <c r="R368" s="16" t="str">
        <f t="shared" si="1"/>
        <v/>
      </c>
    </row>
    <row r="369">
      <c r="R369" s="16" t="str">
        <f t="shared" si="1"/>
        <v/>
      </c>
    </row>
    <row r="370">
      <c r="R370" s="16" t="str">
        <f t="shared" si="1"/>
        <v/>
      </c>
    </row>
    <row r="371">
      <c r="R371" s="16" t="str">
        <f t="shared" si="1"/>
        <v/>
      </c>
    </row>
    <row r="372">
      <c r="R372" s="16" t="str">
        <f t="shared" si="1"/>
        <v/>
      </c>
    </row>
    <row r="373">
      <c r="R373" s="16" t="str">
        <f t="shared" si="1"/>
        <v/>
      </c>
    </row>
    <row r="374">
      <c r="R374" s="16" t="str">
        <f t="shared" si="1"/>
        <v/>
      </c>
    </row>
    <row r="375">
      <c r="R375" s="16" t="str">
        <f t="shared" si="1"/>
        <v/>
      </c>
    </row>
    <row r="376">
      <c r="R376" s="16" t="str">
        <f t="shared" si="1"/>
        <v/>
      </c>
    </row>
    <row r="377">
      <c r="R377" s="16" t="str">
        <f t="shared" si="1"/>
        <v/>
      </c>
    </row>
    <row r="378">
      <c r="R378" s="16" t="str">
        <f t="shared" si="1"/>
        <v/>
      </c>
    </row>
    <row r="379">
      <c r="R379" s="16" t="str">
        <f t="shared" si="1"/>
        <v/>
      </c>
    </row>
    <row r="380">
      <c r="R380" s="16" t="str">
        <f t="shared" si="1"/>
        <v/>
      </c>
    </row>
    <row r="381">
      <c r="R381" s="16" t="str">
        <f t="shared" si="1"/>
        <v/>
      </c>
    </row>
    <row r="382">
      <c r="R382" s="16" t="str">
        <f t="shared" si="1"/>
        <v/>
      </c>
    </row>
    <row r="383">
      <c r="R383" s="16" t="str">
        <f t="shared" si="1"/>
        <v/>
      </c>
    </row>
    <row r="384">
      <c r="R384" s="16" t="str">
        <f t="shared" si="1"/>
        <v/>
      </c>
    </row>
    <row r="385">
      <c r="R385" s="16" t="str">
        <f t="shared" si="1"/>
        <v/>
      </c>
    </row>
    <row r="386">
      <c r="R386" s="16" t="str">
        <f t="shared" si="1"/>
        <v/>
      </c>
    </row>
    <row r="387">
      <c r="R387" s="16" t="str">
        <f t="shared" si="1"/>
        <v/>
      </c>
    </row>
    <row r="388">
      <c r="R388" s="16" t="str">
        <f t="shared" si="1"/>
        <v/>
      </c>
    </row>
    <row r="389">
      <c r="R389" s="16" t="str">
        <f t="shared" si="1"/>
        <v/>
      </c>
    </row>
    <row r="390">
      <c r="R390" s="16" t="str">
        <f t="shared" si="1"/>
        <v/>
      </c>
    </row>
    <row r="391">
      <c r="R391" s="16" t="str">
        <f t="shared" si="1"/>
        <v/>
      </c>
    </row>
    <row r="392">
      <c r="R392" s="16" t="str">
        <f t="shared" si="1"/>
        <v/>
      </c>
    </row>
    <row r="393">
      <c r="R393" s="16" t="str">
        <f t="shared" si="1"/>
        <v/>
      </c>
    </row>
    <row r="394">
      <c r="R394" s="16" t="str">
        <f t="shared" si="1"/>
        <v/>
      </c>
    </row>
    <row r="395">
      <c r="R395" s="16" t="str">
        <f t="shared" si="1"/>
        <v/>
      </c>
    </row>
    <row r="396">
      <c r="R396" s="16" t="str">
        <f t="shared" si="1"/>
        <v/>
      </c>
    </row>
    <row r="397">
      <c r="R397" s="16" t="str">
        <f t="shared" si="1"/>
        <v/>
      </c>
    </row>
    <row r="398">
      <c r="R398" s="16" t="str">
        <f t="shared" si="1"/>
        <v/>
      </c>
    </row>
    <row r="399">
      <c r="R399" s="16" t="str">
        <f t="shared" si="1"/>
        <v/>
      </c>
    </row>
    <row r="400">
      <c r="R400" s="16" t="str">
        <f t="shared" si="1"/>
        <v/>
      </c>
    </row>
    <row r="401">
      <c r="R401" s="16" t="str">
        <f t="shared" si="1"/>
        <v/>
      </c>
    </row>
    <row r="402">
      <c r="R402" s="16" t="str">
        <f t="shared" si="1"/>
        <v/>
      </c>
    </row>
    <row r="403">
      <c r="R403" s="16" t="str">
        <f t="shared" si="1"/>
        <v/>
      </c>
    </row>
    <row r="404">
      <c r="R404" s="16" t="str">
        <f t="shared" si="1"/>
        <v/>
      </c>
    </row>
    <row r="405">
      <c r="R405" s="16" t="str">
        <f t="shared" si="1"/>
        <v/>
      </c>
    </row>
    <row r="406">
      <c r="R406" s="16" t="str">
        <f t="shared" si="1"/>
        <v/>
      </c>
    </row>
    <row r="407">
      <c r="R407" s="16" t="str">
        <f t="shared" si="1"/>
        <v/>
      </c>
    </row>
    <row r="408">
      <c r="R408" s="16" t="str">
        <f t="shared" si="1"/>
        <v/>
      </c>
    </row>
    <row r="409">
      <c r="R409" s="16" t="str">
        <f t="shared" si="1"/>
        <v/>
      </c>
    </row>
    <row r="410">
      <c r="R410" s="16" t="str">
        <f t="shared" si="1"/>
        <v/>
      </c>
    </row>
    <row r="411">
      <c r="R411" s="16" t="str">
        <f t="shared" si="1"/>
        <v/>
      </c>
    </row>
    <row r="412">
      <c r="R412" s="16" t="str">
        <f t="shared" si="1"/>
        <v/>
      </c>
    </row>
    <row r="413">
      <c r="R413" s="16" t="str">
        <f t="shared" si="1"/>
        <v/>
      </c>
    </row>
    <row r="414">
      <c r="R414" s="16" t="str">
        <f t="shared" si="1"/>
        <v/>
      </c>
    </row>
    <row r="415">
      <c r="R415" s="16" t="str">
        <f t="shared" si="1"/>
        <v/>
      </c>
    </row>
    <row r="416">
      <c r="R416" s="16" t="str">
        <f t="shared" si="1"/>
        <v/>
      </c>
    </row>
    <row r="417">
      <c r="R417" s="16" t="str">
        <f t="shared" si="1"/>
        <v/>
      </c>
    </row>
    <row r="418">
      <c r="R418" s="16" t="str">
        <f t="shared" si="1"/>
        <v/>
      </c>
    </row>
    <row r="419">
      <c r="R419" s="16" t="str">
        <f t="shared" si="1"/>
        <v/>
      </c>
    </row>
    <row r="420">
      <c r="R420" s="16" t="str">
        <f t="shared" si="1"/>
        <v/>
      </c>
    </row>
    <row r="421">
      <c r="R421" s="16" t="str">
        <f t="shared" si="1"/>
        <v/>
      </c>
    </row>
    <row r="422">
      <c r="R422" s="16" t="str">
        <f t="shared" si="1"/>
        <v/>
      </c>
    </row>
    <row r="423">
      <c r="R423" s="16" t="str">
        <f t="shared" si="1"/>
        <v/>
      </c>
    </row>
    <row r="424">
      <c r="R424" s="16" t="str">
        <f t="shared" si="1"/>
        <v/>
      </c>
    </row>
    <row r="425">
      <c r="R425" s="16" t="str">
        <f t="shared" si="1"/>
        <v/>
      </c>
    </row>
    <row r="426">
      <c r="R426" s="16" t="str">
        <f t="shared" si="1"/>
        <v/>
      </c>
    </row>
    <row r="427">
      <c r="R427" s="16" t="str">
        <f t="shared" si="1"/>
        <v/>
      </c>
    </row>
    <row r="428">
      <c r="R428" s="16" t="str">
        <f t="shared" si="1"/>
        <v/>
      </c>
    </row>
    <row r="429">
      <c r="R429" s="16" t="str">
        <f t="shared" si="1"/>
        <v/>
      </c>
    </row>
    <row r="430">
      <c r="R430" s="16" t="str">
        <f t="shared" si="1"/>
        <v/>
      </c>
    </row>
    <row r="431">
      <c r="R431" s="16" t="str">
        <f t="shared" si="1"/>
        <v/>
      </c>
    </row>
    <row r="432">
      <c r="R432" s="16" t="str">
        <f t="shared" si="1"/>
        <v/>
      </c>
    </row>
    <row r="433">
      <c r="R433" s="16" t="str">
        <f t="shared" si="1"/>
        <v/>
      </c>
    </row>
    <row r="434">
      <c r="R434" s="16" t="str">
        <f t="shared" si="1"/>
        <v/>
      </c>
    </row>
    <row r="435">
      <c r="R435" s="16" t="str">
        <f t="shared" si="1"/>
        <v/>
      </c>
    </row>
    <row r="436">
      <c r="R436" s="16" t="str">
        <f t="shared" si="1"/>
        <v/>
      </c>
    </row>
    <row r="437">
      <c r="R437" s="16" t="str">
        <f t="shared" si="1"/>
        <v/>
      </c>
    </row>
    <row r="438">
      <c r="R438" s="16" t="str">
        <f t="shared" si="1"/>
        <v/>
      </c>
    </row>
    <row r="439">
      <c r="R439" s="16" t="str">
        <f t="shared" si="1"/>
        <v/>
      </c>
    </row>
    <row r="440">
      <c r="R440" s="16" t="str">
        <f t="shared" si="1"/>
        <v/>
      </c>
    </row>
    <row r="441">
      <c r="R441" s="16" t="str">
        <f t="shared" si="1"/>
        <v/>
      </c>
    </row>
    <row r="442">
      <c r="R442" s="16" t="str">
        <f t="shared" si="1"/>
        <v/>
      </c>
    </row>
    <row r="443">
      <c r="R443" s="16" t="str">
        <f t="shared" si="1"/>
        <v/>
      </c>
    </row>
    <row r="444">
      <c r="R444" s="16" t="str">
        <f t="shared" si="1"/>
        <v/>
      </c>
    </row>
    <row r="445">
      <c r="R445" s="16" t="str">
        <f t="shared" si="1"/>
        <v/>
      </c>
    </row>
    <row r="446">
      <c r="R446" s="16" t="str">
        <f t="shared" si="1"/>
        <v/>
      </c>
    </row>
    <row r="447">
      <c r="R447" s="16" t="str">
        <f t="shared" si="1"/>
        <v/>
      </c>
    </row>
    <row r="448">
      <c r="R448" s="16" t="str">
        <f t="shared" si="1"/>
        <v/>
      </c>
    </row>
    <row r="449">
      <c r="R449" s="16" t="str">
        <f t="shared" si="1"/>
        <v/>
      </c>
    </row>
    <row r="450">
      <c r="R450" s="16" t="str">
        <f t="shared" si="1"/>
        <v/>
      </c>
    </row>
    <row r="451">
      <c r="R451" s="16" t="str">
        <f t="shared" si="1"/>
        <v/>
      </c>
    </row>
    <row r="452">
      <c r="R452" s="16" t="str">
        <f t="shared" si="1"/>
        <v/>
      </c>
    </row>
    <row r="453">
      <c r="R453" s="16" t="str">
        <f t="shared" si="1"/>
        <v/>
      </c>
    </row>
    <row r="454">
      <c r="R454" s="16" t="str">
        <f t="shared" si="1"/>
        <v/>
      </c>
    </row>
    <row r="455">
      <c r="R455" s="16" t="str">
        <f t="shared" si="1"/>
        <v/>
      </c>
    </row>
    <row r="456">
      <c r="R456" s="16" t="str">
        <f t="shared" si="1"/>
        <v/>
      </c>
    </row>
    <row r="457">
      <c r="R457" s="16" t="str">
        <f t="shared" si="1"/>
        <v/>
      </c>
    </row>
    <row r="458">
      <c r="R458" s="16" t="str">
        <f t="shared" si="1"/>
        <v/>
      </c>
    </row>
    <row r="459">
      <c r="R459" s="16" t="str">
        <f t="shared" si="1"/>
        <v/>
      </c>
    </row>
    <row r="460">
      <c r="R460" s="16" t="str">
        <f t="shared" si="1"/>
        <v/>
      </c>
    </row>
    <row r="461">
      <c r="R461" s="16" t="str">
        <f t="shared" si="1"/>
        <v/>
      </c>
    </row>
    <row r="462">
      <c r="R462" s="16" t="str">
        <f t="shared" si="1"/>
        <v/>
      </c>
    </row>
    <row r="463">
      <c r="R463" s="16" t="str">
        <f t="shared" si="1"/>
        <v/>
      </c>
    </row>
    <row r="464">
      <c r="R464" s="16" t="str">
        <f t="shared" si="1"/>
        <v/>
      </c>
    </row>
    <row r="465">
      <c r="R465" s="16" t="str">
        <f t="shared" si="1"/>
        <v/>
      </c>
    </row>
    <row r="466">
      <c r="R466" s="16" t="str">
        <f t="shared" si="1"/>
        <v/>
      </c>
    </row>
    <row r="467">
      <c r="R467" s="16" t="str">
        <f t="shared" si="1"/>
        <v/>
      </c>
    </row>
    <row r="468">
      <c r="R468" s="16" t="str">
        <f t="shared" si="1"/>
        <v/>
      </c>
    </row>
    <row r="469">
      <c r="R469" s="16" t="str">
        <f t="shared" si="1"/>
        <v/>
      </c>
    </row>
    <row r="470">
      <c r="R470" s="16" t="str">
        <f t="shared" si="1"/>
        <v/>
      </c>
    </row>
    <row r="471">
      <c r="R471" s="16" t="str">
        <f t="shared" si="1"/>
        <v/>
      </c>
    </row>
    <row r="472">
      <c r="R472" s="16" t="str">
        <f t="shared" si="1"/>
        <v/>
      </c>
    </row>
    <row r="473">
      <c r="R473" s="16" t="str">
        <f t="shared" si="1"/>
        <v/>
      </c>
    </row>
    <row r="474">
      <c r="R474" s="16" t="str">
        <f t="shared" si="1"/>
        <v/>
      </c>
    </row>
    <row r="475">
      <c r="R475" s="16" t="str">
        <f t="shared" si="1"/>
        <v/>
      </c>
    </row>
    <row r="476">
      <c r="R476" s="16" t="str">
        <f t="shared" si="1"/>
        <v/>
      </c>
    </row>
    <row r="477">
      <c r="R477" s="16" t="str">
        <f t="shared" si="1"/>
        <v/>
      </c>
    </row>
    <row r="478">
      <c r="R478" s="16" t="str">
        <f t="shared" si="1"/>
        <v/>
      </c>
    </row>
    <row r="479">
      <c r="R479" s="16" t="str">
        <f t="shared" si="1"/>
        <v/>
      </c>
    </row>
    <row r="480">
      <c r="R480" s="16" t="str">
        <f t="shared" si="1"/>
        <v/>
      </c>
    </row>
    <row r="481">
      <c r="R481" s="16" t="str">
        <f t="shared" si="1"/>
        <v/>
      </c>
    </row>
    <row r="482">
      <c r="R482" s="16" t="str">
        <f t="shared" si="1"/>
        <v/>
      </c>
    </row>
    <row r="483">
      <c r="R483" s="16" t="str">
        <f t="shared" si="1"/>
        <v/>
      </c>
    </row>
    <row r="484">
      <c r="R484" s="16" t="str">
        <f t="shared" si="1"/>
        <v/>
      </c>
    </row>
    <row r="485">
      <c r="R485" s="16" t="str">
        <f t="shared" si="1"/>
        <v/>
      </c>
    </row>
    <row r="486">
      <c r="R486" s="16" t="str">
        <f t="shared" si="1"/>
        <v/>
      </c>
    </row>
    <row r="487">
      <c r="R487" s="16" t="str">
        <f t="shared" si="1"/>
        <v/>
      </c>
    </row>
    <row r="488">
      <c r="R488" s="16" t="str">
        <f t="shared" si="1"/>
        <v/>
      </c>
    </row>
    <row r="489">
      <c r="R489" s="16" t="str">
        <f t="shared" si="1"/>
        <v/>
      </c>
    </row>
    <row r="490">
      <c r="R490" s="16" t="str">
        <f t="shared" si="1"/>
        <v/>
      </c>
    </row>
    <row r="491">
      <c r="R491" s="16" t="str">
        <f t="shared" si="1"/>
        <v/>
      </c>
    </row>
    <row r="492">
      <c r="R492" s="16" t="str">
        <f t="shared" si="1"/>
        <v/>
      </c>
    </row>
    <row r="493">
      <c r="R493" s="16" t="str">
        <f t="shared" si="1"/>
        <v/>
      </c>
    </row>
    <row r="494">
      <c r="R494" s="16" t="str">
        <f t="shared" si="1"/>
        <v/>
      </c>
    </row>
    <row r="495">
      <c r="R495" s="16" t="str">
        <f t="shared" si="1"/>
        <v/>
      </c>
    </row>
    <row r="496">
      <c r="R496" s="16" t="str">
        <f t="shared" si="1"/>
        <v/>
      </c>
    </row>
    <row r="497">
      <c r="R497" s="16" t="str">
        <f t="shared" si="1"/>
        <v/>
      </c>
    </row>
    <row r="498">
      <c r="R498" s="16" t="str">
        <f t="shared" si="1"/>
        <v/>
      </c>
    </row>
    <row r="499">
      <c r="R499" s="16" t="str">
        <f t="shared" si="1"/>
        <v/>
      </c>
    </row>
    <row r="500">
      <c r="R500" s="16" t="str">
        <f t="shared" si="1"/>
        <v/>
      </c>
    </row>
    <row r="501">
      <c r="R501" s="16" t="str">
        <f t="shared" si="1"/>
        <v/>
      </c>
    </row>
    <row r="502">
      <c r="R502" s="16" t="str">
        <f t="shared" si="1"/>
        <v/>
      </c>
    </row>
    <row r="503">
      <c r="R503" s="16" t="str">
        <f t="shared" si="1"/>
        <v/>
      </c>
    </row>
    <row r="504">
      <c r="R504" s="16" t="str">
        <f t="shared" si="1"/>
        <v/>
      </c>
    </row>
    <row r="505">
      <c r="R505" s="16" t="str">
        <f t="shared" si="1"/>
        <v/>
      </c>
    </row>
    <row r="506">
      <c r="R506" s="16" t="str">
        <f t="shared" si="1"/>
        <v/>
      </c>
    </row>
    <row r="507">
      <c r="R507" s="16" t="str">
        <f t="shared" si="1"/>
        <v/>
      </c>
    </row>
    <row r="508">
      <c r="R508" s="16" t="str">
        <f t="shared" si="1"/>
        <v/>
      </c>
    </row>
    <row r="509">
      <c r="R509" s="16" t="str">
        <f t="shared" si="1"/>
        <v/>
      </c>
    </row>
    <row r="510">
      <c r="R510" s="16" t="str">
        <f t="shared" si="1"/>
        <v/>
      </c>
    </row>
    <row r="511">
      <c r="R511" s="16" t="str">
        <f t="shared" si="1"/>
        <v/>
      </c>
    </row>
    <row r="512">
      <c r="R512" s="16" t="str">
        <f t="shared" si="1"/>
        <v/>
      </c>
    </row>
    <row r="513">
      <c r="R513" s="16" t="str">
        <f t="shared" si="1"/>
        <v/>
      </c>
    </row>
    <row r="514">
      <c r="R514" s="16" t="str">
        <f t="shared" si="1"/>
        <v/>
      </c>
    </row>
    <row r="515">
      <c r="R515" s="16" t="str">
        <f t="shared" si="1"/>
        <v/>
      </c>
    </row>
    <row r="516">
      <c r="R516" s="16" t="str">
        <f t="shared" si="1"/>
        <v/>
      </c>
    </row>
    <row r="517">
      <c r="R517" s="16" t="str">
        <f t="shared" si="1"/>
        <v/>
      </c>
    </row>
    <row r="518">
      <c r="R518" s="16" t="str">
        <f t="shared" si="1"/>
        <v/>
      </c>
    </row>
    <row r="519">
      <c r="R519" s="16" t="str">
        <f t="shared" si="1"/>
        <v/>
      </c>
    </row>
    <row r="520">
      <c r="R520" s="16" t="str">
        <f t="shared" si="1"/>
        <v/>
      </c>
    </row>
    <row r="521">
      <c r="R521" s="16" t="str">
        <f t="shared" si="1"/>
        <v/>
      </c>
    </row>
    <row r="522">
      <c r="R522" s="16" t="str">
        <f t="shared" si="1"/>
        <v/>
      </c>
    </row>
    <row r="523">
      <c r="R523" s="16" t="str">
        <f t="shared" si="1"/>
        <v/>
      </c>
    </row>
    <row r="524">
      <c r="R524" s="16" t="str">
        <f t="shared" si="1"/>
        <v/>
      </c>
    </row>
    <row r="525">
      <c r="R525" s="16" t="str">
        <f t="shared" si="1"/>
        <v/>
      </c>
    </row>
    <row r="526">
      <c r="R526" s="16" t="str">
        <f t="shared" si="1"/>
        <v/>
      </c>
    </row>
    <row r="527">
      <c r="R527" s="16" t="str">
        <f t="shared" si="1"/>
        <v/>
      </c>
    </row>
    <row r="528">
      <c r="R528" s="16" t="str">
        <f t="shared" si="1"/>
        <v/>
      </c>
    </row>
    <row r="529">
      <c r="R529" s="16" t="str">
        <f t="shared" si="1"/>
        <v/>
      </c>
    </row>
    <row r="530">
      <c r="R530" s="16" t="str">
        <f t="shared" si="1"/>
        <v/>
      </c>
    </row>
    <row r="531">
      <c r="R531" s="16" t="str">
        <f t="shared" si="1"/>
        <v/>
      </c>
    </row>
    <row r="532">
      <c r="R532" s="16" t="str">
        <f t="shared" si="1"/>
        <v/>
      </c>
    </row>
    <row r="533">
      <c r="R533" s="16" t="str">
        <f t="shared" si="1"/>
        <v/>
      </c>
    </row>
    <row r="534">
      <c r="R534" s="16" t="str">
        <f t="shared" si="1"/>
        <v/>
      </c>
    </row>
    <row r="535">
      <c r="R535" s="16" t="str">
        <f t="shared" si="1"/>
        <v/>
      </c>
    </row>
    <row r="536">
      <c r="R536" s="16" t="str">
        <f t="shared" si="1"/>
        <v/>
      </c>
    </row>
    <row r="537">
      <c r="R537" s="16" t="str">
        <f t="shared" si="1"/>
        <v/>
      </c>
    </row>
    <row r="538">
      <c r="R538" s="16" t="str">
        <f t="shared" si="1"/>
        <v/>
      </c>
    </row>
    <row r="539">
      <c r="R539" s="16" t="str">
        <f t="shared" si="1"/>
        <v/>
      </c>
    </row>
    <row r="540">
      <c r="R540" s="16" t="str">
        <f t="shared" si="1"/>
        <v/>
      </c>
    </row>
    <row r="541">
      <c r="R541" s="16" t="str">
        <f t="shared" si="1"/>
        <v/>
      </c>
    </row>
    <row r="542">
      <c r="R542" s="16" t="str">
        <f t="shared" si="1"/>
        <v/>
      </c>
    </row>
    <row r="543">
      <c r="R543" s="16" t="str">
        <f t="shared" si="1"/>
        <v/>
      </c>
    </row>
    <row r="544">
      <c r="R544" s="16" t="str">
        <f t="shared" si="1"/>
        <v/>
      </c>
    </row>
    <row r="545">
      <c r="R545" s="16" t="str">
        <f t="shared" si="1"/>
        <v/>
      </c>
    </row>
    <row r="546">
      <c r="R546" s="16" t="str">
        <f t="shared" si="1"/>
        <v/>
      </c>
    </row>
    <row r="547">
      <c r="R547" s="16" t="str">
        <f t="shared" si="1"/>
        <v/>
      </c>
    </row>
    <row r="548">
      <c r="R548" s="16" t="str">
        <f t="shared" si="1"/>
        <v/>
      </c>
    </row>
    <row r="549">
      <c r="R549" s="16" t="str">
        <f t="shared" si="1"/>
        <v/>
      </c>
    </row>
    <row r="550">
      <c r="R550" s="16" t="str">
        <f t="shared" si="1"/>
        <v/>
      </c>
    </row>
    <row r="551">
      <c r="R551" s="16" t="str">
        <f t="shared" si="1"/>
        <v/>
      </c>
    </row>
    <row r="552">
      <c r="R552" s="16" t="str">
        <f t="shared" si="1"/>
        <v/>
      </c>
    </row>
    <row r="553">
      <c r="R553" s="16" t="str">
        <f t="shared" si="1"/>
        <v/>
      </c>
    </row>
    <row r="554">
      <c r="R554" s="16" t="str">
        <f t="shared" si="1"/>
        <v/>
      </c>
    </row>
    <row r="555">
      <c r="R555" s="16" t="str">
        <f t="shared" si="1"/>
        <v/>
      </c>
    </row>
    <row r="556">
      <c r="R556" s="16" t="str">
        <f t="shared" si="1"/>
        <v/>
      </c>
    </row>
    <row r="557">
      <c r="R557" s="16" t="str">
        <f t="shared" si="1"/>
        <v/>
      </c>
    </row>
    <row r="558">
      <c r="R558" s="16" t="str">
        <f t="shared" si="1"/>
        <v/>
      </c>
    </row>
    <row r="559">
      <c r="R559" s="16" t="str">
        <f t="shared" si="1"/>
        <v/>
      </c>
    </row>
    <row r="560">
      <c r="R560" s="16" t="str">
        <f t="shared" si="1"/>
        <v/>
      </c>
    </row>
    <row r="561">
      <c r="R561" s="16" t="str">
        <f t="shared" si="1"/>
        <v/>
      </c>
    </row>
    <row r="562">
      <c r="R562" s="16" t="str">
        <f t="shared" si="1"/>
        <v/>
      </c>
    </row>
    <row r="563">
      <c r="R563" s="16" t="str">
        <f t="shared" si="1"/>
        <v/>
      </c>
    </row>
    <row r="564">
      <c r="R564" s="16" t="str">
        <f t="shared" si="1"/>
        <v/>
      </c>
    </row>
    <row r="565">
      <c r="R565" s="16" t="str">
        <f t="shared" si="1"/>
        <v/>
      </c>
    </row>
    <row r="566">
      <c r="R566" s="16" t="str">
        <f t="shared" si="1"/>
        <v/>
      </c>
    </row>
    <row r="567">
      <c r="R567" s="16" t="str">
        <f t="shared" si="1"/>
        <v/>
      </c>
    </row>
    <row r="568">
      <c r="R568" s="16" t="str">
        <f t="shared" si="1"/>
        <v/>
      </c>
    </row>
    <row r="569">
      <c r="R569" s="16" t="str">
        <f t="shared" si="1"/>
        <v/>
      </c>
    </row>
    <row r="570">
      <c r="R570" s="16" t="str">
        <f t="shared" si="1"/>
        <v/>
      </c>
    </row>
    <row r="571">
      <c r="R571" s="16" t="str">
        <f t="shared" si="1"/>
        <v/>
      </c>
    </row>
    <row r="572">
      <c r="R572" s="16" t="str">
        <f t="shared" si="1"/>
        <v/>
      </c>
    </row>
    <row r="573">
      <c r="R573" s="16" t="str">
        <f t="shared" si="1"/>
        <v/>
      </c>
    </row>
    <row r="574">
      <c r="R574" s="16" t="str">
        <f t="shared" si="1"/>
        <v/>
      </c>
    </row>
    <row r="575">
      <c r="R575" s="16" t="str">
        <f t="shared" si="1"/>
        <v/>
      </c>
    </row>
    <row r="576">
      <c r="R576" s="16" t="str">
        <f t="shared" si="1"/>
        <v/>
      </c>
    </row>
    <row r="577">
      <c r="R577" s="16" t="str">
        <f t="shared" si="1"/>
        <v/>
      </c>
    </row>
    <row r="578">
      <c r="R578" s="16" t="str">
        <f t="shared" si="1"/>
        <v/>
      </c>
    </row>
    <row r="579">
      <c r="R579" s="16" t="str">
        <f t="shared" si="1"/>
        <v/>
      </c>
    </row>
    <row r="580">
      <c r="R580" s="16" t="str">
        <f t="shared" si="1"/>
        <v/>
      </c>
    </row>
    <row r="581">
      <c r="R581" s="16" t="str">
        <f t="shared" si="1"/>
        <v/>
      </c>
    </row>
    <row r="582">
      <c r="R582" s="16" t="str">
        <f t="shared" si="1"/>
        <v/>
      </c>
    </row>
    <row r="583">
      <c r="R583" s="16" t="str">
        <f t="shared" si="1"/>
        <v/>
      </c>
    </row>
    <row r="584">
      <c r="R584" s="16" t="str">
        <f t="shared" si="1"/>
        <v/>
      </c>
    </row>
    <row r="585">
      <c r="R585" s="16" t="str">
        <f t="shared" si="1"/>
        <v/>
      </c>
    </row>
    <row r="586">
      <c r="R586" s="16" t="str">
        <f t="shared" si="1"/>
        <v/>
      </c>
    </row>
    <row r="587">
      <c r="R587" s="16" t="str">
        <f t="shared" si="1"/>
        <v/>
      </c>
    </row>
    <row r="588">
      <c r="R588" s="16" t="str">
        <f t="shared" si="1"/>
        <v/>
      </c>
    </row>
    <row r="589">
      <c r="R589" s="16" t="str">
        <f t="shared" si="1"/>
        <v/>
      </c>
    </row>
    <row r="590">
      <c r="R590" s="16" t="str">
        <f t="shared" si="1"/>
        <v/>
      </c>
    </row>
    <row r="591">
      <c r="R591" s="16" t="str">
        <f t="shared" si="1"/>
        <v/>
      </c>
    </row>
    <row r="592">
      <c r="R592" s="16" t="str">
        <f t="shared" si="1"/>
        <v/>
      </c>
    </row>
    <row r="593">
      <c r="R593" s="16" t="str">
        <f t="shared" si="1"/>
        <v/>
      </c>
    </row>
    <row r="594">
      <c r="R594" s="16" t="str">
        <f t="shared" si="1"/>
        <v/>
      </c>
    </row>
    <row r="595">
      <c r="R595" s="16" t="str">
        <f t="shared" si="1"/>
        <v/>
      </c>
    </row>
    <row r="596">
      <c r="R596" s="16" t="str">
        <f t="shared" si="1"/>
        <v/>
      </c>
    </row>
    <row r="597">
      <c r="R597" s="16" t="str">
        <f t="shared" si="1"/>
        <v/>
      </c>
    </row>
    <row r="598">
      <c r="R598" s="16" t="str">
        <f t="shared" si="1"/>
        <v/>
      </c>
    </row>
    <row r="599">
      <c r="R599" s="16" t="str">
        <f t="shared" si="1"/>
        <v/>
      </c>
    </row>
    <row r="600">
      <c r="R600" s="16" t="str">
        <f t="shared" si="1"/>
        <v/>
      </c>
    </row>
    <row r="601">
      <c r="R601" s="16" t="str">
        <f t="shared" si="1"/>
        <v/>
      </c>
    </row>
    <row r="602">
      <c r="R602" s="16" t="str">
        <f t="shared" si="1"/>
        <v/>
      </c>
    </row>
    <row r="603">
      <c r="R603" s="16" t="str">
        <f t="shared" si="1"/>
        <v/>
      </c>
    </row>
    <row r="604">
      <c r="R604" s="16" t="str">
        <f t="shared" si="1"/>
        <v/>
      </c>
    </row>
    <row r="605">
      <c r="R605" s="16" t="str">
        <f t="shared" si="1"/>
        <v/>
      </c>
    </row>
    <row r="606">
      <c r="R606" s="16" t="str">
        <f t="shared" si="1"/>
        <v/>
      </c>
    </row>
    <row r="607">
      <c r="R607" s="16" t="str">
        <f t="shared" si="1"/>
        <v/>
      </c>
    </row>
    <row r="608">
      <c r="R608" s="16" t="str">
        <f t="shared" si="1"/>
        <v/>
      </c>
    </row>
    <row r="609">
      <c r="R609" s="16" t="str">
        <f t="shared" si="1"/>
        <v/>
      </c>
    </row>
    <row r="610">
      <c r="R610" s="16" t="str">
        <f t="shared" si="1"/>
        <v/>
      </c>
    </row>
    <row r="611">
      <c r="R611" s="16" t="str">
        <f t="shared" si="1"/>
        <v/>
      </c>
    </row>
    <row r="612">
      <c r="R612" s="16" t="str">
        <f t="shared" si="1"/>
        <v/>
      </c>
    </row>
    <row r="613">
      <c r="R613" s="16" t="str">
        <f t="shared" si="1"/>
        <v/>
      </c>
    </row>
    <row r="614">
      <c r="R614" s="16" t="str">
        <f t="shared" si="1"/>
        <v/>
      </c>
    </row>
    <row r="615">
      <c r="R615" s="16" t="str">
        <f t="shared" si="1"/>
        <v/>
      </c>
    </row>
    <row r="616">
      <c r="R616" s="16" t="str">
        <f t="shared" si="1"/>
        <v/>
      </c>
    </row>
    <row r="617">
      <c r="R617" s="16" t="str">
        <f t="shared" si="1"/>
        <v/>
      </c>
    </row>
    <row r="618">
      <c r="R618" s="16" t="str">
        <f t="shared" si="1"/>
        <v/>
      </c>
    </row>
    <row r="619">
      <c r="R619" s="16" t="str">
        <f t="shared" si="1"/>
        <v/>
      </c>
    </row>
    <row r="620">
      <c r="R620" s="16" t="str">
        <f t="shared" si="1"/>
        <v/>
      </c>
    </row>
    <row r="621">
      <c r="R621" s="16" t="str">
        <f t="shared" si="1"/>
        <v/>
      </c>
    </row>
    <row r="622">
      <c r="R622" s="16" t="str">
        <f t="shared" si="1"/>
        <v/>
      </c>
    </row>
    <row r="623">
      <c r="R623" s="16" t="str">
        <f t="shared" si="1"/>
        <v/>
      </c>
    </row>
    <row r="624">
      <c r="R624" s="16" t="str">
        <f t="shared" si="1"/>
        <v/>
      </c>
    </row>
    <row r="625">
      <c r="R625" s="16" t="str">
        <f t="shared" si="1"/>
        <v/>
      </c>
    </row>
    <row r="626">
      <c r="R626" s="16" t="str">
        <f t="shared" si="1"/>
        <v/>
      </c>
    </row>
    <row r="627">
      <c r="R627" s="16" t="str">
        <f t="shared" si="1"/>
        <v/>
      </c>
    </row>
    <row r="628">
      <c r="R628" s="16" t="str">
        <f t="shared" si="1"/>
        <v/>
      </c>
    </row>
    <row r="629">
      <c r="R629" s="16" t="str">
        <f t="shared" si="1"/>
        <v/>
      </c>
    </row>
    <row r="630">
      <c r="R630" s="16" t="str">
        <f t="shared" si="1"/>
        <v/>
      </c>
    </row>
    <row r="631">
      <c r="R631" s="16" t="str">
        <f t="shared" si="1"/>
        <v/>
      </c>
    </row>
    <row r="632">
      <c r="R632" s="16" t="str">
        <f t="shared" si="1"/>
        <v/>
      </c>
    </row>
    <row r="633">
      <c r="R633" s="16" t="str">
        <f t="shared" si="1"/>
        <v/>
      </c>
    </row>
    <row r="634">
      <c r="R634" s="16" t="str">
        <f t="shared" si="1"/>
        <v/>
      </c>
    </row>
    <row r="635">
      <c r="R635" s="16" t="str">
        <f t="shared" si="1"/>
        <v/>
      </c>
    </row>
    <row r="636">
      <c r="R636" s="16" t="str">
        <f t="shared" si="1"/>
        <v/>
      </c>
    </row>
    <row r="637">
      <c r="R637" s="16" t="str">
        <f t="shared" si="1"/>
        <v/>
      </c>
    </row>
    <row r="638">
      <c r="R638" s="16" t="str">
        <f t="shared" si="1"/>
        <v/>
      </c>
    </row>
    <row r="639">
      <c r="R639" s="16" t="str">
        <f t="shared" si="1"/>
        <v/>
      </c>
    </row>
    <row r="640">
      <c r="R640" s="16" t="str">
        <f t="shared" si="1"/>
        <v/>
      </c>
    </row>
    <row r="641">
      <c r="R641" s="16" t="str">
        <f t="shared" si="1"/>
        <v/>
      </c>
    </row>
    <row r="642">
      <c r="R642" s="16" t="str">
        <f t="shared" si="1"/>
        <v/>
      </c>
    </row>
    <row r="643">
      <c r="R643" s="16" t="str">
        <f t="shared" si="1"/>
        <v/>
      </c>
    </row>
    <row r="644">
      <c r="R644" s="16" t="str">
        <f t="shared" si="1"/>
        <v/>
      </c>
    </row>
    <row r="645">
      <c r="R645" s="16" t="str">
        <f t="shared" si="1"/>
        <v/>
      </c>
    </row>
    <row r="646">
      <c r="R646" s="16" t="str">
        <f t="shared" si="1"/>
        <v/>
      </c>
    </row>
    <row r="647">
      <c r="R647" s="16" t="str">
        <f t="shared" si="1"/>
        <v/>
      </c>
    </row>
    <row r="648">
      <c r="R648" s="16" t="str">
        <f t="shared" si="1"/>
        <v/>
      </c>
    </row>
    <row r="649">
      <c r="R649" s="16" t="str">
        <f t="shared" si="1"/>
        <v/>
      </c>
    </row>
    <row r="650">
      <c r="R650" s="16" t="str">
        <f t="shared" si="1"/>
        <v/>
      </c>
    </row>
    <row r="651">
      <c r="R651" s="16" t="str">
        <f t="shared" si="1"/>
        <v/>
      </c>
    </row>
    <row r="652">
      <c r="R652" s="16" t="str">
        <f t="shared" si="1"/>
        <v/>
      </c>
    </row>
    <row r="653">
      <c r="R653" s="16" t="str">
        <f t="shared" si="1"/>
        <v/>
      </c>
    </row>
    <row r="654">
      <c r="R654" s="16" t="str">
        <f t="shared" si="1"/>
        <v/>
      </c>
    </row>
    <row r="655">
      <c r="R655" s="16" t="str">
        <f t="shared" si="1"/>
        <v/>
      </c>
    </row>
    <row r="656">
      <c r="R656" s="16" t="str">
        <f t="shared" si="1"/>
        <v/>
      </c>
    </row>
    <row r="657">
      <c r="R657" s="16" t="str">
        <f t="shared" si="1"/>
        <v/>
      </c>
    </row>
    <row r="658">
      <c r="R658" s="16" t="str">
        <f t="shared" si="1"/>
        <v/>
      </c>
    </row>
    <row r="659">
      <c r="R659" s="16" t="str">
        <f t="shared" si="1"/>
        <v/>
      </c>
    </row>
    <row r="660">
      <c r="R660" s="16" t="str">
        <f t="shared" si="1"/>
        <v/>
      </c>
    </row>
    <row r="661">
      <c r="R661" s="16" t="str">
        <f t="shared" si="1"/>
        <v/>
      </c>
    </row>
    <row r="662">
      <c r="R662" s="16" t="str">
        <f t="shared" si="1"/>
        <v/>
      </c>
    </row>
    <row r="663">
      <c r="R663" s="16" t="str">
        <f t="shared" si="1"/>
        <v/>
      </c>
    </row>
    <row r="664">
      <c r="R664" s="16" t="str">
        <f t="shared" si="1"/>
        <v/>
      </c>
    </row>
    <row r="665">
      <c r="R665" s="16" t="str">
        <f t="shared" si="1"/>
        <v/>
      </c>
    </row>
    <row r="666">
      <c r="R666" s="16" t="str">
        <f t="shared" si="1"/>
        <v/>
      </c>
    </row>
    <row r="667">
      <c r="R667" s="16" t="str">
        <f t="shared" si="1"/>
        <v/>
      </c>
    </row>
    <row r="668">
      <c r="R668" s="16" t="str">
        <f t="shared" si="1"/>
        <v/>
      </c>
    </row>
    <row r="669">
      <c r="R669" s="16" t="str">
        <f t="shared" si="1"/>
        <v/>
      </c>
    </row>
    <row r="670">
      <c r="R670" s="16" t="str">
        <f t="shared" si="1"/>
        <v/>
      </c>
    </row>
    <row r="671">
      <c r="R671" s="16" t="str">
        <f t="shared" si="1"/>
        <v/>
      </c>
    </row>
    <row r="672">
      <c r="R672" s="16" t="str">
        <f t="shared" si="1"/>
        <v/>
      </c>
    </row>
    <row r="673">
      <c r="R673" s="16" t="str">
        <f t="shared" si="1"/>
        <v/>
      </c>
    </row>
    <row r="674">
      <c r="R674" s="16" t="str">
        <f t="shared" si="1"/>
        <v/>
      </c>
    </row>
    <row r="675">
      <c r="R675" s="16" t="str">
        <f t="shared" si="1"/>
        <v/>
      </c>
    </row>
    <row r="676">
      <c r="R676" s="16" t="str">
        <f t="shared" si="1"/>
        <v/>
      </c>
    </row>
    <row r="677">
      <c r="R677" s="16" t="str">
        <f t="shared" si="1"/>
        <v/>
      </c>
    </row>
    <row r="678">
      <c r="R678" s="16" t="str">
        <f t="shared" si="1"/>
        <v/>
      </c>
    </row>
    <row r="679">
      <c r="R679" s="16" t="str">
        <f t="shared" si="1"/>
        <v/>
      </c>
    </row>
    <row r="680">
      <c r="R680" s="16" t="str">
        <f t="shared" si="1"/>
        <v/>
      </c>
    </row>
    <row r="681">
      <c r="R681" s="16" t="str">
        <f t="shared" si="1"/>
        <v/>
      </c>
    </row>
    <row r="682">
      <c r="R682" s="16" t="str">
        <f t="shared" si="1"/>
        <v/>
      </c>
    </row>
    <row r="683">
      <c r="R683" s="16" t="str">
        <f t="shared" si="1"/>
        <v/>
      </c>
    </row>
    <row r="684">
      <c r="R684" s="16" t="str">
        <f t="shared" si="1"/>
        <v/>
      </c>
    </row>
    <row r="685">
      <c r="R685" s="16" t="str">
        <f t="shared" si="1"/>
        <v/>
      </c>
    </row>
    <row r="686">
      <c r="R686" s="16" t="str">
        <f t="shared" si="1"/>
        <v/>
      </c>
    </row>
    <row r="687">
      <c r="R687" s="16" t="str">
        <f t="shared" si="1"/>
        <v/>
      </c>
    </row>
    <row r="688">
      <c r="R688" s="16" t="str">
        <f t="shared" si="1"/>
        <v/>
      </c>
    </row>
    <row r="689">
      <c r="R689" s="16" t="str">
        <f t="shared" si="1"/>
        <v/>
      </c>
    </row>
    <row r="690">
      <c r="R690" s="16" t="str">
        <f t="shared" si="1"/>
        <v/>
      </c>
    </row>
    <row r="691">
      <c r="R691" s="16" t="str">
        <f t="shared" si="1"/>
        <v/>
      </c>
    </row>
    <row r="692">
      <c r="R692" s="16" t="str">
        <f t="shared" si="1"/>
        <v/>
      </c>
    </row>
    <row r="693">
      <c r="R693" s="16" t="str">
        <f t="shared" si="1"/>
        <v/>
      </c>
    </row>
    <row r="694">
      <c r="R694" s="16" t="str">
        <f t="shared" si="1"/>
        <v/>
      </c>
    </row>
    <row r="695">
      <c r="R695" s="16" t="str">
        <f t="shared" si="1"/>
        <v/>
      </c>
    </row>
    <row r="696">
      <c r="R696" s="16" t="str">
        <f t="shared" si="1"/>
        <v/>
      </c>
    </row>
    <row r="697">
      <c r="R697" s="16" t="str">
        <f t="shared" si="1"/>
        <v/>
      </c>
    </row>
    <row r="698">
      <c r="R698" s="16" t="str">
        <f t="shared" si="1"/>
        <v/>
      </c>
    </row>
    <row r="699">
      <c r="R699" s="16" t="str">
        <f t="shared" si="1"/>
        <v/>
      </c>
    </row>
    <row r="700">
      <c r="R700" s="16" t="str">
        <f t="shared" si="1"/>
        <v/>
      </c>
    </row>
    <row r="701">
      <c r="R701" s="16" t="str">
        <f t="shared" si="1"/>
        <v/>
      </c>
    </row>
    <row r="702">
      <c r="R702" s="16" t="str">
        <f t="shared" si="1"/>
        <v/>
      </c>
    </row>
    <row r="703">
      <c r="R703" s="16" t="str">
        <f t="shared" si="1"/>
        <v/>
      </c>
    </row>
    <row r="704">
      <c r="R704" s="16" t="str">
        <f t="shared" si="1"/>
        <v/>
      </c>
    </row>
    <row r="705">
      <c r="R705" s="16" t="str">
        <f t="shared" si="1"/>
        <v/>
      </c>
    </row>
    <row r="706">
      <c r="R706" s="16" t="str">
        <f t="shared" si="1"/>
        <v/>
      </c>
    </row>
    <row r="707">
      <c r="R707" s="16" t="str">
        <f t="shared" si="1"/>
        <v/>
      </c>
    </row>
    <row r="708">
      <c r="R708" s="16" t="str">
        <f t="shared" si="1"/>
        <v/>
      </c>
    </row>
    <row r="709">
      <c r="R709" s="16" t="str">
        <f t="shared" si="1"/>
        <v/>
      </c>
    </row>
    <row r="710">
      <c r="R710" s="16" t="str">
        <f t="shared" si="1"/>
        <v/>
      </c>
    </row>
    <row r="711">
      <c r="R711" s="16" t="str">
        <f t="shared" si="1"/>
        <v/>
      </c>
    </row>
    <row r="712">
      <c r="R712" s="16" t="str">
        <f t="shared" si="1"/>
        <v/>
      </c>
    </row>
    <row r="713">
      <c r="R713" s="16" t="str">
        <f t="shared" si="1"/>
        <v/>
      </c>
    </row>
    <row r="714">
      <c r="R714" s="16" t="str">
        <f t="shared" si="1"/>
        <v/>
      </c>
    </row>
    <row r="715">
      <c r="R715" s="16" t="str">
        <f t="shared" si="1"/>
        <v/>
      </c>
    </row>
    <row r="716">
      <c r="R716" s="16" t="str">
        <f t="shared" si="1"/>
        <v/>
      </c>
    </row>
    <row r="717">
      <c r="R717" s="16" t="str">
        <f t="shared" si="1"/>
        <v/>
      </c>
    </row>
    <row r="718">
      <c r="R718" s="16" t="str">
        <f t="shared" si="1"/>
        <v/>
      </c>
    </row>
    <row r="719">
      <c r="R719" s="16" t="str">
        <f t="shared" si="1"/>
        <v/>
      </c>
    </row>
    <row r="720">
      <c r="R720" s="16" t="str">
        <f t="shared" si="1"/>
        <v/>
      </c>
    </row>
    <row r="721">
      <c r="R721" s="16" t="str">
        <f t="shared" si="1"/>
        <v/>
      </c>
    </row>
    <row r="722">
      <c r="R722" s="16" t="str">
        <f t="shared" si="1"/>
        <v/>
      </c>
    </row>
    <row r="723">
      <c r="R723" s="16" t="str">
        <f t="shared" si="1"/>
        <v/>
      </c>
    </row>
    <row r="724">
      <c r="R724" s="16" t="str">
        <f t="shared" si="1"/>
        <v/>
      </c>
    </row>
    <row r="725">
      <c r="R725" s="16" t="str">
        <f t="shared" si="1"/>
        <v/>
      </c>
    </row>
    <row r="726">
      <c r="R726" s="16" t="str">
        <f t="shared" si="1"/>
        <v/>
      </c>
    </row>
    <row r="727">
      <c r="R727" s="16" t="str">
        <f t="shared" si="1"/>
        <v/>
      </c>
    </row>
    <row r="728">
      <c r="R728" s="16" t="str">
        <f t="shared" si="1"/>
        <v/>
      </c>
    </row>
    <row r="729">
      <c r="R729" s="16" t="str">
        <f t="shared" si="1"/>
        <v/>
      </c>
    </row>
    <row r="730">
      <c r="R730" s="16" t="str">
        <f t="shared" si="1"/>
        <v/>
      </c>
    </row>
    <row r="731">
      <c r="R731" s="16" t="str">
        <f t="shared" si="1"/>
        <v/>
      </c>
    </row>
    <row r="732">
      <c r="R732" s="16" t="str">
        <f t="shared" si="1"/>
        <v/>
      </c>
    </row>
    <row r="733">
      <c r="R733" s="16" t="str">
        <f t="shared" si="1"/>
        <v/>
      </c>
    </row>
    <row r="734">
      <c r="R734" s="16" t="str">
        <f t="shared" si="1"/>
        <v/>
      </c>
    </row>
    <row r="735">
      <c r="R735" s="16" t="str">
        <f t="shared" si="1"/>
        <v/>
      </c>
    </row>
    <row r="736">
      <c r="R736" s="16" t="str">
        <f t="shared" si="1"/>
        <v/>
      </c>
    </row>
    <row r="737">
      <c r="R737" s="16" t="str">
        <f t="shared" si="1"/>
        <v/>
      </c>
    </row>
    <row r="738">
      <c r="R738" s="16" t="str">
        <f t="shared" si="1"/>
        <v/>
      </c>
    </row>
    <row r="739">
      <c r="R739" s="16" t="str">
        <f t="shared" si="1"/>
        <v/>
      </c>
    </row>
    <row r="740">
      <c r="R740" s="16" t="str">
        <f t="shared" si="1"/>
        <v/>
      </c>
    </row>
    <row r="741">
      <c r="R741" s="16" t="str">
        <f t="shared" si="1"/>
        <v/>
      </c>
    </row>
    <row r="742">
      <c r="R742" s="16" t="str">
        <f t="shared" si="1"/>
        <v/>
      </c>
    </row>
    <row r="743">
      <c r="R743" s="16" t="str">
        <f t="shared" si="1"/>
        <v/>
      </c>
    </row>
    <row r="744">
      <c r="R744" s="16" t="str">
        <f t="shared" si="1"/>
        <v/>
      </c>
    </row>
    <row r="745">
      <c r="R745" s="16" t="str">
        <f t="shared" si="1"/>
        <v/>
      </c>
    </row>
    <row r="746">
      <c r="R746" s="16" t="str">
        <f t="shared" si="1"/>
        <v/>
      </c>
    </row>
    <row r="747">
      <c r="R747" s="16" t="str">
        <f t="shared" si="1"/>
        <v/>
      </c>
    </row>
    <row r="748">
      <c r="R748" s="16" t="str">
        <f t="shared" si="1"/>
        <v/>
      </c>
    </row>
    <row r="749">
      <c r="R749" s="16" t="str">
        <f t="shared" si="1"/>
        <v/>
      </c>
    </row>
    <row r="750">
      <c r="R750" s="16" t="str">
        <f t="shared" si="1"/>
        <v/>
      </c>
    </row>
    <row r="751">
      <c r="R751" s="16" t="str">
        <f t="shared" si="1"/>
        <v/>
      </c>
    </row>
    <row r="752">
      <c r="R752" s="16" t="str">
        <f t="shared" si="1"/>
        <v/>
      </c>
    </row>
    <row r="753">
      <c r="R753" s="16" t="str">
        <f t="shared" si="1"/>
        <v/>
      </c>
    </row>
    <row r="754">
      <c r="R754" s="16" t="str">
        <f t="shared" si="1"/>
        <v/>
      </c>
    </row>
    <row r="755">
      <c r="R755" s="16" t="str">
        <f t="shared" si="1"/>
        <v/>
      </c>
    </row>
    <row r="756">
      <c r="R756" s="16" t="str">
        <f t="shared" si="1"/>
        <v/>
      </c>
    </row>
    <row r="757">
      <c r="R757" s="16" t="str">
        <f t="shared" si="1"/>
        <v/>
      </c>
    </row>
    <row r="758">
      <c r="R758" s="16" t="str">
        <f t="shared" si="1"/>
        <v/>
      </c>
    </row>
    <row r="759">
      <c r="R759" s="16" t="str">
        <f t="shared" si="1"/>
        <v/>
      </c>
    </row>
    <row r="760">
      <c r="R760" s="16" t="str">
        <f t="shared" si="1"/>
        <v/>
      </c>
    </row>
    <row r="761">
      <c r="R761" s="16" t="str">
        <f t="shared" si="1"/>
        <v/>
      </c>
    </row>
    <row r="762">
      <c r="R762" s="16" t="str">
        <f t="shared" si="1"/>
        <v/>
      </c>
    </row>
    <row r="763">
      <c r="R763" s="16" t="str">
        <f t="shared" si="1"/>
        <v/>
      </c>
    </row>
    <row r="764">
      <c r="R764" s="16" t="str">
        <f t="shared" si="1"/>
        <v/>
      </c>
    </row>
    <row r="765">
      <c r="R765" s="16" t="str">
        <f t="shared" si="1"/>
        <v/>
      </c>
    </row>
    <row r="766">
      <c r="R766" s="16" t="str">
        <f t="shared" si="1"/>
        <v/>
      </c>
    </row>
    <row r="767">
      <c r="R767" s="16" t="str">
        <f t="shared" si="1"/>
        <v/>
      </c>
    </row>
    <row r="768">
      <c r="R768" s="16" t="str">
        <f t="shared" si="1"/>
        <v/>
      </c>
    </row>
    <row r="769">
      <c r="R769" s="16" t="str">
        <f t="shared" si="1"/>
        <v/>
      </c>
    </row>
    <row r="770">
      <c r="R770" s="16" t="str">
        <f t="shared" si="1"/>
        <v/>
      </c>
    </row>
    <row r="771">
      <c r="R771" s="16" t="str">
        <f t="shared" si="1"/>
        <v/>
      </c>
    </row>
    <row r="772">
      <c r="R772" s="16" t="str">
        <f t="shared" si="1"/>
        <v/>
      </c>
    </row>
    <row r="773">
      <c r="R773" s="16" t="str">
        <f t="shared" si="1"/>
        <v/>
      </c>
    </row>
    <row r="774">
      <c r="R774" s="16" t="str">
        <f t="shared" si="1"/>
        <v/>
      </c>
    </row>
    <row r="775">
      <c r="R775" s="16" t="str">
        <f t="shared" si="1"/>
        <v/>
      </c>
    </row>
    <row r="776">
      <c r="R776" s="16" t="str">
        <f t="shared" si="1"/>
        <v/>
      </c>
    </row>
    <row r="777">
      <c r="R777" s="16" t="str">
        <f t="shared" si="1"/>
        <v/>
      </c>
    </row>
    <row r="778">
      <c r="R778" s="16" t="str">
        <f t="shared" si="1"/>
        <v/>
      </c>
    </row>
    <row r="779">
      <c r="R779" s="16" t="str">
        <f t="shared" si="1"/>
        <v/>
      </c>
    </row>
    <row r="780">
      <c r="R780" s="16" t="str">
        <f t="shared" si="1"/>
        <v/>
      </c>
    </row>
    <row r="781">
      <c r="R781" s="16" t="str">
        <f t="shared" si="1"/>
        <v/>
      </c>
    </row>
    <row r="782">
      <c r="R782" s="16" t="str">
        <f t="shared" si="1"/>
        <v/>
      </c>
    </row>
    <row r="783">
      <c r="R783" s="16" t="str">
        <f t="shared" si="1"/>
        <v/>
      </c>
    </row>
    <row r="784">
      <c r="R784" s="16" t="str">
        <f t="shared" si="1"/>
        <v/>
      </c>
    </row>
    <row r="785">
      <c r="R785" s="16" t="str">
        <f t="shared" si="1"/>
        <v/>
      </c>
    </row>
    <row r="786">
      <c r="R786" s="16" t="str">
        <f t="shared" si="1"/>
        <v/>
      </c>
    </row>
    <row r="787">
      <c r="R787" s="16" t="str">
        <f t="shared" si="1"/>
        <v/>
      </c>
    </row>
    <row r="788">
      <c r="R788" s="16" t="str">
        <f t="shared" si="1"/>
        <v/>
      </c>
    </row>
    <row r="789">
      <c r="R789" s="16" t="str">
        <f t="shared" si="1"/>
        <v/>
      </c>
    </row>
    <row r="790">
      <c r="R790" s="16" t="str">
        <f t="shared" si="1"/>
        <v/>
      </c>
    </row>
    <row r="791">
      <c r="R791" s="16" t="str">
        <f t="shared" si="1"/>
        <v/>
      </c>
    </row>
    <row r="792">
      <c r="R792" s="16" t="str">
        <f t="shared" si="1"/>
        <v/>
      </c>
    </row>
    <row r="793">
      <c r="R793" s="16" t="str">
        <f t="shared" si="1"/>
        <v/>
      </c>
    </row>
    <row r="794">
      <c r="R794" s="16" t="str">
        <f t="shared" si="1"/>
        <v/>
      </c>
    </row>
    <row r="795">
      <c r="R795" s="16" t="str">
        <f t="shared" si="1"/>
        <v/>
      </c>
    </row>
    <row r="796">
      <c r="R796" s="16" t="str">
        <f t="shared" si="1"/>
        <v/>
      </c>
    </row>
    <row r="797">
      <c r="R797" s="16" t="str">
        <f t="shared" si="1"/>
        <v/>
      </c>
    </row>
    <row r="798">
      <c r="R798" s="16" t="str">
        <f t="shared" si="1"/>
        <v/>
      </c>
    </row>
    <row r="799">
      <c r="R799" s="16" t="str">
        <f t="shared" si="1"/>
        <v/>
      </c>
    </row>
    <row r="800">
      <c r="R800" s="16" t="str">
        <f t="shared" si="1"/>
        <v/>
      </c>
    </row>
    <row r="801">
      <c r="R801" s="16" t="str">
        <f t="shared" si="1"/>
        <v/>
      </c>
    </row>
    <row r="802">
      <c r="R802" s="16" t="str">
        <f t="shared" si="1"/>
        <v/>
      </c>
    </row>
    <row r="803">
      <c r="R803" s="16" t="str">
        <f t="shared" si="1"/>
        <v/>
      </c>
    </row>
    <row r="804">
      <c r="R804" s="16" t="str">
        <f t="shared" si="1"/>
        <v/>
      </c>
    </row>
    <row r="805">
      <c r="R805" s="16" t="str">
        <f t="shared" si="1"/>
        <v/>
      </c>
    </row>
    <row r="806">
      <c r="R806" s="16" t="str">
        <f t="shared" si="1"/>
        <v/>
      </c>
    </row>
    <row r="807">
      <c r="R807" s="16" t="str">
        <f t="shared" si="1"/>
        <v/>
      </c>
    </row>
    <row r="808">
      <c r="R808" s="16" t="str">
        <f t="shared" si="1"/>
        <v/>
      </c>
    </row>
    <row r="809">
      <c r="R809" s="16" t="str">
        <f t="shared" si="1"/>
        <v/>
      </c>
    </row>
    <row r="810">
      <c r="R810" s="16" t="str">
        <f t="shared" si="1"/>
        <v/>
      </c>
    </row>
    <row r="811">
      <c r="R811" s="16" t="str">
        <f t="shared" si="1"/>
        <v/>
      </c>
    </row>
    <row r="812">
      <c r="R812" s="16" t="str">
        <f t="shared" si="1"/>
        <v/>
      </c>
    </row>
    <row r="813">
      <c r="R813" s="16" t="str">
        <f t="shared" si="1"/>
        <v/>
      </c>
    </row>
    <row r="814">
      <c r="R814" s="16" t="str">
        <f t="shared" si="1"/>
        <v/>
      </c>
    </row>
    <row r="815">
      <c r="R815" s="16" t="str">
        <f t="shared" si="1"/>
        <v/>
      </c>
    </row>
    <row r="816">
      <c r="R816" s="16" t="str">
        <f t="shared" si="1"/>
        <v/>
      </c>
    </row>
    <row r="817">
      <c r="R817" s="16" t="str">
        <f t="shared" si="1"/>
        <v/>
      </c>
    </row>
    <row r="818">
      <c r="R818" s="16" t="str">
        <f t="shared" si="1"/>
        <v/>
      </c>
    </row>
    <row r="819">
      <c r="R819" s="16" t="str">
        <f t="shared" si="1"/>
        <v/>
      </c>
    </row>
    <row r="820">
      <c r="R820" s="16" t="str">
        <f t="shared" si="1"/>
        <v/>
      </c>
    </row>
    <row r="821">
      <c r="R821" s="16" t="str">
        <f t="shared" si="1"/>
        <v/>
      </c>
    </row>
    <row r="822">
      <c r="R822" s="16" t="str">
        <f t="shared" si="1"/>
        <v/>
      </c>
    </row>
    <row r="823">
      <c r="R823" s="16" t="str">
        <f t="shared" si="1"/>
        <v/>
      </c>
    </row>
    <row r="824">
      <c r="R824" s="16" t="str">
        <f t="shared" si="1"/>
        <v/>
      </c>
    </row>
    <row r="825">
      <c r="R825" s="16" t="str">
        <f t="shared" si="1"/>
        <v/>
      </c>
    </row>
    <row r="826">
      <c r="R826" s="16" t="str">
        <f t="shared" si="1"/>
        <v/>
      </c>
    </row>
    <row r="827">
      <c r="R827" s="16" t="str">
        <f t="shared" si="1"/>
        <v/>
      </c>
    </row>
    <row r="828">
      <c r="R828" s="16" t="str">
        <f t="shared" si="1"/>
        <v/>
      </c>
    </row>
    <row r="829">
      <c r="R829" s="16" t="str">
        <f t="shared" si="1"/>
        <v/>
      </c>
    </row>
    <row r="830">
      <c r="R830" s="16" t="str">
        <f t="shared" si="1"/>
        <v/>
      </c>
    </row>
    <row r="831">
      <c r="R831" s="16" t="str">
        <f t="shared" si="1"/>
        <v/>
      </c>
    </row>
    <row r="832">
      <c r="R832" s="16" t="str">
        <f t="shared" si="1"/>
        <v/>
      </c>
    </row>
    <row r="833">
      <c r="R833" s="16" t="str">
        <f t="shared" si="1"/>
        <v/>
      </c>
    </row>
    <row r="834">
      <c r="R834" s="16" t="str">
        <f t="shared" si="1"/>
        <v/>
      </c>
    </row>
    <row r="835">
      <c r="R835" s="16" t="str">
        <f t="shared" si="1"/>
        <v/>
      </c>
    </row>
    <row r="836">
      <c r="R836" s="16" t="str">
        <f t="shared" si="1"/>
        <v/>
      </c>
    </row>
    <row r="837">
      <c r="R837" s="16" t="str">
        <f t="shared" si="1"/>
        <v/>
      </c>
    </row>
    <row r="838">
      <c r="R838" s="16" t="str">
        <f t="shared" si="1"/>
        <v/>
      </c>
    </row>
    <row r="839">
      <c r="R839" s="16" t="str">
        <f t="shared" si="1"/>
        <v/>
      </c>
    </row>
    <row r="840">
      <c r="R840" s="16" t="str">
        <f t="shared" si="1"/>
        <v/>
      </c>
    </row>
    <row r="841">
      <c r="R841" s="16" t="str">
        <f t="shared" si="1"/>
        <v/>
      </c>
    </row>
    <row r="842">
      <c r="R842" s="16" t="str">
        <f t="shared" si="1"/>
        <v/>
      </c>
    </row>
    <row r="843">
      <c r="R843" s="16" t="str">
        <f t="shared" si="1"/>
        <v/>
      </c>
    </row>
    <row r="844">
      <c r="R844" s="16" t="str">
        <f t="shared" si="1"/>
        <v/>
      </c>
    </row>
    <row r="845">
      <c r="R845" s="16" t="str">
        <f t="shared" si="1"/>
        <v/>
      </c>
    </row>
    <row r="846">
      <c r="R846" s="16" t="str">
        <f t="shared" si="1"/>
        <v/>
      </c>
    </row>
    <row r="847">
      <c r="R847" s="16" t="str">
        <f t="shared" si="1"/>
        <v/>
      </c>
    </row>
    <row r="848">
      <c r="R848" s="16" t="str">
        <f t="shared" si="1"/>
        <v/>
      </c>
    </row>
    <row r="849">
      <c r="R849" s="16" t="str">
        <f t="shared" si="1"/>
        <v/>
      </c>
    </row>
    <row r="850">
      <c r="R850" s="16" t="str">
        <f t="shared" si="1"/>
        <v/>
      </c>
    </row>
    <row r="851">
      <c r="R851" s="16" t="str">
        <f t="shared" si="1"/>
        <v/>
      </c>
    </row>
    <row r="852">
      <c r="R852" s="16" t="str">
        <f t="shared" si="1"/>
        <v/>
      </c>
    </row>
    <row r="853">
      <c r="R853" s="16" t="str">
        <f t="shared" si="1"/>
        <v/>
      </c>
    </row>
    <row r="854">
      <c r="R854" s="16" t="str">
        <f t="shared" si="1"/>
        <v/>
      </c>
    </row>
    <row r="855">
      <c r="R855" s="16" t="str">
        <f t="shared" si="1"/>
        <v/>
      </c>
    </row>
    <row r="856">
      <c r="R856" s="16" t="str">
        <f t="shared" si="1"/>
        <v/>
      </c>
    </row>
    <row r="857">
      <c r="R857" s="16" t="str">
        <f t="shared" si="1"/>
        <v/>
      </c>
    </row>
    <row r="858">
      <c r="R858" s="16" t="str">
        <f t="shared" si="1"/>
        <v/>
      </c>
    </row>
    <row r="859">
      <c r="R859" s="16" t="str">
        <f t="shared" si="1"/>
        <v/>
      </c>
    </row>
    <row r="860">
      <c r="R860" s="16" t="str">
        <f t="shared" si="1"/>
        <v/>
      </c>
    </row>
    <row r="861">
      <c r="R861" s="16" t="str">
        <f t="shared" si="1"/>
        <v/>
      </c>
    </row>
    <row r="862">
      <c r="R862" s="16" t="str">
        <f t="shared" si="1"/>
        <v/>
      </c>
    </row>
    <row r="863">
      <c r="R863" s="16" t="str">
        <f t="shared" si="1"/>
        <v/>
      </c>
    </row>
    <row r="864">
      <c r="R864" s="16" t="str">
        <f t="shared" si="1"/>
        <v/>
      </c>
    </row>
    <row r="865">
      <c r="R865" s="16" t="str">
        <f t="shared" si="1"/>
        <v/>
      </c>
    </row>
    <row r="866">
      <c r="R866" s="16" t="str">
        <f t="shared" si="1"/>
        <v/>
      </c>
    </row>
    <row r="867">
      <c r="R867" s="16" t="str">
        <f t="shared" si="1"/>
        <v/>
      </c>
    </row>
    <row r="868">
      <c r="R868" s="16" t="str">
        <f t="shared" si="1"/>
        <v/>
      </c>
    </row>
    <row r="869">
      <c r="R869" s="16" t="str">
        <f t="shared" si="1"/>
        <v/>
      </c>
    </row>
    <row r="870">
      <c r="R870" s="16" t="str">
        <f t="shared" si="1"/>
        <v/>
      </c>
    </row>
    <row r="871">
      <c r="R871" s="16" t="str">
        <f t="shared" si="1"/>
        <v/>
      </c>
    </row>
    <row r="872">
      <c r="R872" s="16" t="str">
        <f t="shared" si="1"/>
        <v/>
      </c>
    </row>
    <row r="873">
      <c r="R873" s="16" t="str">
        <f t="shared" si="1"/>
        <v/>
      </c>
    </row>
    <row r="874">
      <c r="R874" s="16" t="str">
        <f t="shared" si="1"/>
        <v/>
      </c>
    </row>
    <row r="875">
      <c r="R875" s="16" t="str">
        <f t="shared" si="1"/>
        <v/>
      </c>
    </row>
    <row r="876">
      <c r="R876" s="16" t="str">
        <f t="shared" si="1"/>
        <v/>
      </c>
    </row>
    <row r="877">
      <c r="R877" s="16" t="str">
        <f t="shared" si="1"/>
        <v/>
      </c>
    </row>
    <row r="878">
      <c r="R878" s="16" t="str">
        <f t="shared" si="1"/>
        <v/>
      </c>
    </row>
    <row r="879">
      <c r="R879" s="16" t="str">
        <f t="shared" si="1"/>
        <v/>
      </c>
    </row>
    <row r="880">
      <c r="R880" s="16" t="str">
        <f t="shared" si="1"/>
        <v/>
      </c>
    </row>
    <row r="881">
      <c r="R881" s="16" t="str">
        <f t="shared" si="1"/>
        <v/>
      </c>
    </row>
    <row r="882">
      <c r="R882" s="16" t="str">
        <f t="shared" si="1"/>
        <v/>
      </c>
    </row>
    <row r="883">
      <c r="R883" s="16" t="str">
        <f t="shared" si="1"/>
        <v/>
      </c>
    </row>
    <row r="884">
      <c r="R884" s="16" t="str">
        <f t="shared" si="1"/>
        <v/>
      </c>
    </row>
    <row r="885">
      <c r="R885" s="16" t="str">
        <f t="shared" si="1"/>
        <v/>
      </c>
    </row>
    <row r="886">
      <c r="R886" s="16" t="str">
        <f t="shared" si="1"/>
        <v/>
      </c>
    </row>
    <row r="887">
      <c r="R887" s="16" t="str">
        <f t="shared" si="1"/>
        <v/>
      </c>
    </row>
    <row r="888">
      <c r="R888" s="16" t="str">
        <f t="shared" si="1"/>
        <v/>
      </c>
    </row>
    <row r="889">
      <c r="R889" s="16" t="str">
        <f t="shared" si="1"/>
        <v/>
      </c>
    </row>
    <row r="890">
      <c r="R890" s="16" t="str">
        <f t="shared" si="1"/>
        <v/>
      </c>
    </row>
    <row r="891">
      <c r="R891" s="16" t="str">
        <f t="shared" si="1"/>
        <v/>
      </c>
    </row>
    <row r="892">
      <c r="R892" s="16" t="str">
        <f t="shared" si="1"/>
        <v/>
      </c>
    </row>
    <row r="893">
      <c r="R893" s="16" t="str">
        <f t="shared" si="1"/>
        <v/>
      </c>
    </row>
    <row r="894">
      <c r="R894" s="16" t="str">
        <f t="shared" si="1"/>
        <v/>
      </c>
    </row>
    <row r="895">
      <c r="R895" s="16" t="str">
        <f t="shared" si="1"/>
        <v/>
      </c>
    </row>
    <row r="896">
      <c r="R896" s="16" t="str">
        <f t="shared" si="1"/>
        <v/>
      </c>
    </row>
    <row r="897">
      <c r="R897" s="16" t="str">
        <f t="shared" si="1"/>
        <v/>
      </c>
    </row>
    <row r="898">
      <c r="R898" s="16" t="str">
        <f t="shared" si="1"/>
        <v/>
      </c>
    </row>
    <row r="899">
      <c r="R899" s="16" t="str">
        <f t="shared" si="1"/>
        <v/>
      </c>
    </row>
    <row r="900">
      <c r="R900" s="16" t="str">
        <f t="shared" si="1"/>
        <v/>
      </c>
    </row>
    <row r="901">
      <c r="R901" s="16" t="str">
        <f t="shared" si="1"/>
        <v/>
      </c>
    </row>
    <row r="902">
      <c r="R902" s="16" t="str">
        <f t="shared" si="1"/>
        <v/>
      </c>
    </row>
    <row r="903">
      <c r="R903" s="16" t="str">
        <f t="shared" si="1"/>
        <v/>
      </c>
    </row>
    <row r="904">
      <c r="R904" s="16" t="str">
        <f t="shared" si="1"/>
        <v/>
      </c>
    </row>
    <row r="905">
      <c r="R905" s="16" t="str">
        <f t="shared" si="1"/>
        <v/>
      </c>
    </row>
    <row r="906">
      <c r="R906" s="16" t="str">
        <f t="shared" si="1"/>
        <v/>
      </c>
    </row>
    <row r="907">
      <c r="R907" s="16" t="str">
        <f t="shared" si="1"/>
        <v/>
      </c>
    </row>
    <row r="908">
      <c r="R908" s="16" t="str">
        <f t="shared" si="1"/>
        <v/>
      </c>
    </row>
    <row r="909">
      <c r="R909" s="16" t="str">
        <f t="shared" si="1"/>
        <v/>
      </c>
    </row>
    <row r="910">
      <c r="R910" s="16" t="str">
        <f t="shared" si="1"/>
        <v/>
      </c>
    </row>
    <row r="911">
      <c r="R911" s="16" t="str">
        <f t="shared" si="1"/>
        <v/>
      </c>
    </row>
    <row r="912">
      <c r="R912" s="16" t="str">
        <f t="shared" si="1"/>
        <v/>
      </c>
    </row>
    <row r="913">
      <c r="R913" s="16" t="str">
        <f t="shared" si="1"/>
        <v/>
      </c>
    </row>
    <row r="914">
      <c r="R914" s="16" t="str">
        <f t="shared" si="1"/>
        <v/>
      </c>
    </row>
    <row r="915">
      <c r="R915" s="16" t="str">
        <f t="shared" si="1"/>
        <v/>
      </c>
    </row>
    <row r="916">
      <c r="R916" s="16" t="str">
        <f t="shared" si="1"/>
        <v/>
      </c>
    </row>
    <row r="917">
      <c r="R917" s="16" t="str">
        <f t="shared" si="1"/>
        <v/>
      </c>
    </row>
    <row r="918">
      <c r="R918" s="16" t="str">
        <f t="shared" si="1"/>
        <v/>
      </c>
    </row>
    <row r="919">
      <c r="R919" s="16" t="str">
        <f t="shared" si="1"/>
        <v/>
      </c>
    </row>
    <row r="920">
      <c r="R920" s="16" t="str">
        <f t="shared" si="1"/>
        <v/>
      </c>
    </row>
    <row r="921">
      <c r="R921" s="16" t="str">
        <f t="shared" si="1"/>
        <v/>
      </c>
    </row>
    <row r="922">
      <c r="R922" s="16" t="str">
        <f t="shared" si="1"/>
        <v/>
      </c>
    </row>
    <row r="923">
      <c r="R923" s="16" t="str">
        <f t="shared" si="1"/>
        <v/>
      </c>
    </row>
    <row r="924">
      <c r="R924" s="16" t="str">
        <f t="shared" si="1"/>
        <v/>
      </c>
    </row>
    <row r="925">
      <c r="R925" s="16" t="str">
        <f t="shared" si="1"/>
        <v/>
      </c>
    </row>
    <row r="926">
      <c r="R926" s="16" t="str">
        <f t="shared" si="1"/>
        <v/>
      </c>
    </row>
    <row r="927">
      <c r="R927" s="16" t="str">
        <f t="shared" si="1"/>
        <v/>
      </c>
    </row>
    <row r="928">
      <c r="R928" s="16" t="str">
        <f t="shared" si="1"/>
        <v/>
      </c>
    </row>
    <row r="929">
      <c r="R929" s="16" t="str">
        <f t="shared" si="1"/>
        <v/>
      </c>
    </row>
    <row r="930">
      <c r="R930" s="16" t="str">
        <f t="shared" si="1"/>
        <v/>
      </c>
    </row>
    <row r="931">
      <c r="R931" s="16" t="str">
        <f t="shared" si="1"/>
        <v/>
      </c>
    </row>
    <row r="932">
      <c r="R932" s="16" t="str">
        <f t="shared" si="1"/>
        <v/>
      </c>
    </row>
    <row r="933">
      <c r="R933" s="16" t="str">
        <f t="shared" si="1"/>
        <v/>
      </c>
    </row>
    <row r="934">
      <c r="R934" s="16" t="str">
        <f t="shared" si="1"/>
        <v/>
      </c>
    </row>
    <row r="935">
      <c r="R935" s="16" t="str">
        <f t="shared" si="1"/>
        <v/>
      </c>
    </row>
    <row r="936">
      <c r="R936" s="16" t="str">
        <f t="shared" si="1"/>
        <v/>
      </c>
    </row>
    <row r="937">
      <c r="R937" s="16" t="str">
        <f t="shared" si="1"/>
        <v/>
      </c>
    </row>
    <row r="938">
      <c r="R938" s="16" t="str">
        <f t="shared" si="1"/>
        <v/>
      </c>
    </row>
    <row r="939">
      <c r="R939" s="16" t="str">
        <f t="shared" si="1"/>
        <v/>
      </c>
    </row>
    <row r="940">
      <c r="R940" s="16" t="str">
        <f t="shared" si="1"/>
        <v/>
      </c>
    </row>
    <row r="941">
      <c r="R941" s="16" t="str">
        <f t="shared" si="1"/>
        <v/>
      </c>
    </row>
    <row r="942">
      <c r="R942" s="16" t="str">
        <f t="shared" si="1"/>
        <v/>
      </c>
    </row>
    <row r="943">
      <c r="R943" s="16" t="str">
        <f t="shared" si="1"/>
        <v/>
      </c>
    </row>
    <row r="944">
      <c r="R944" s="16" t="str">
        <f t="shared" si="1"/>
        <v/>
      </c>
    </row>
    <row r="945">
      <c r="R945" s="16" t="str">
        <f t="shared" si="1"/>
        <v/>
      </c>
    </row>
    <row r="946">
      <c r="R946" s="16" t="str">
        <f t="shared" si="1"/>
        <v/>
      </c>
    </row>
    <row r="947">
      <c r="R947" s="16" t="str">
        <f t="shared" si="1"/>
        <v/>
      </c>
    </row>
    <row r="948">
      <c r="R948" s="16" t="str">
        <f t="shared" si="1"/>
        <v/>
      </c>
    </row>
    <row r="949">
      <c r="R949" s="16" t="str">
        <f t="shared" si="1"/>
        <v/>
      </c>
    </row>
    <row r="950">
      <c r="R950" s="16" t="str">
        <f t="shared" si="1"/>
        <v/>
      </c>
    </row>
    <row r="951">
      <c r="R951" s="16" t="str">
        <f t="shared" si="1"/>
        <v/>
      </c>
    </row>
    <row r="952">
      <c r="R952" s="16" t="str">
        <f t="shared" si="1"/>
        <v/>
      </c>
    </row>
    <row r="953">
      <c r="R953" s="16" t="str">
        <f t="shared" si="1"/>
        <v/>
      </c>
    </row>
    <row r="954">
      <c r="R954" s="16" t="str">
        <f t="shared" si="1"/>
        <v/>
      </c>
    </row>
    <row r="955">
      <c r="R955" s="16" t="str">
        <f t="shared" si="1"/>
        <v/>
      </c>
    </row>
    <row r="956">
      <c r="R956" s="16" t="str">
        <f t="shared" si="1"/>
        <v/>
      </c>
    </row>
    <row r="957">
      <c r="R957" s="16" t="str">
        <f t="shared" si="1"/>
        <v/>
      </c>
    </row>
    <row r="958">
      <c r="R958" s="16" t="str">
        <f t="shared" si="1"/>
        <v/>
      </c>
    </row>
    <row r="959">
      <c r="R959" s="16" t="str">
        <f t="shared" si="1"/>
        <v/>
      </c>
    </row>
    <row r="960">
      <c r="R960" s="16" t="str">
        <f t="shared" si="1"/>
        <v/>
      </c>
    </row>
    <row r="961">
      <c r="R961" s="16" t="str">
        <f t="shared" si="1"/>
        <v/>
      </c>
    </row>
    <row r="962">
      <c r="R962" s="16" t="str">
        <f t="shared" si="1"/>
        <v/>
      </c>
    </row>
    <row r="963">
      <c r="R963" s="16" t="str">
        <f t="shared" si="1"/>
        <v/>
      </c>
    </row>
    <row r="964">
      <c r="R964" s="16" t="str">
        <f t="shared" si="1"/>
        <v/>
      </c>
    </row>
    <row r="965">
      <c r="R965" s="16" t="str">
        <f t="shared" si="1"/>
        <v/>
      </c>
    </row>
    <row r="966">
      <c r="R966" s="16" t="str">
        <f t="shared" si="1"/>
        <v/>
      </c>
    </row>
    <row r="967">
      <c r="R967" s="16" t="str">
        <f t="shared" si="1"/>
        <v/>
      </c>
    </row>
    <row r="968">
      <c r="R968" s="16" t="str">
        <f t="shared" si="1"/>
        <v/>
      </c>
    </row>
    <row r="969">
      <c r="R969" s="16" t="str">
        <f t="shared" si="1"/>
        <v/>
      </c>
    </row>
    <row r="970">
      <c r="R970" s="16" t="str">
        <f t="shared" si="1"/>
        <v/>
      </c>
    </row>
    <row r="971">
      <c r="R971" s="16" t="str">
        <f t="shared" si="1"/>
        <v/>
      </c>
    </row>
    <row r="972">
      <c r="R972" s="16" t="str">
        <f t="shared" si="1"/>
        <v/>
      </c>
    </row>
    <row r="973">
      <c r="R973" s="16" t="str">
        <f t="shared" si="1"/>
        <v/>
      </c>
    </row>
    <row r="974">
      <c r="R974" s="16" t="str">
        <f t="shared" si="1"/>
        <v/>
      </c>
    </row>
    <row r="975">
      <c r="R975" s="16" t="str">
        <f t="shared" si="1"/>
        <v/>
      </c>
    </row>
    <row r="976">
      <c r="R976" s="16" t="str">
        <f t="shared" si="1"/>
        <v/>
      </c>
    </row>
    <row r="977">
      <c r="R977" s="16" t="str">
        <f t="shared" si="1"/>
        <v/>
      </c>
    </row>
    <row r="978">
      <c r="R978" s="16" t="str">
        <f t="shared" si="1"/>
        <v/>
      </c>
    </row>
    <row r="979">
      <c r="R979" s="16" t="str">
        <f t="shared" si="1"/>
        <v/>
      </c>
    </row>
    <row r="980">
      <c r="R980" s="16" t="str">
        <f t="shared" si="1"/>
        <v/>
      </c>
    </row>
    <row r="981">
      <c r="R981" s="16" t="str">
        <f t="shared" si="1"/>
        <v/>
      </c>
    </row>
    <row r="982">
      <c r="R982" s="16" t="str">
        <f t="shared" si="1"/>
        <v/>
      </c>
    </row>
    <row r="983">
      <c r="R983" s="16" t="str">
        <f t="shared" si="1"/>
        <v/>
      </c>
    </row>
    <row r="984">
      <c r="R984" s="16" t="str">
        <f t="shared" si="1"/>
        <v/>
      </c>
    </row>
    <row r="985">
      <c r="R985" s="16" t="str">
        <f t="shared" si="1"/>
        <v/>
      </c>
    </row>
    <row r="986">
      <c r="R986" s="16" t="str">
        <f t="shared" si="1"/>
        <v/>
      </c>
    </row>
    <row r="987">
      <c r="R987" s="16" t="str">
        <f t="shared" si="1"/>
        <v/>
      </c>
    </row>
    <row r="988">
      <c r="R988" s="16" t="str">
        <f t="shared" si="1"/>
        <v/>
      </c>
    </row>
    <row r="989">
      <c r="R989" s="16" t="str">
        <f t="shared" si="1"/>
        <v/>
      </c>
    </row>
    <row r="990">
      <c r="R990" s="16" t="str">
        <f t="shared" si="1"/>
        <v/>
      </c>
    </row>
    <row r="991">
      <c r="R991" s="16" t="str">
        <f t="shared" si="1"/>
        <v/>
      </c>
    </row>
    <row r="992">
      <c r="R992" s="16" t="str">
        <f t="shared" si="1"/>
        <v/>
      </c>
    </row>
    <row r="993">
      <c r="R993" s="16" t="str">
        <f t="shared" si="1"/>
        <v/>
      </c>
    </row>
    <row r="994">
      <c r="R994" s="16" t="str">
        <f t="shared" si="1"/>
        <v/>
      </c>
    </row>
    <row r="995">
      <c r="R995" s="16" t="str">
        <f t="shared" si="1"/>
        <v/>
      </c>
    </row>
    <row r="996">
      <c r="R996" s="16" t="str">
        <f t="shared" si="1"/>
        <v/>
      </c>
    </row>
    <row r="997">
      <c r="R997" s="16" t="str">
        <f t="shared" si="1"/>
        <v/>
      </c>
    </row>
    <row r="998">
      <c r="R998" s="16" t="str">
        <f t="shared" si="1"/>
        <v/>
      </c>
    </row>
    <row r="999">
      <c r="R999" s="16" t="str">
        <f t="shared" si="1"/>
        <v/>
      </c>
    </row>
    <row r="1000">
      <c r="R1000" s="16" t="str">
        <f t="shared" si="1"/>
        <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outlinePr summaryBelow="0" summaryRight="0"/>
  </sheetPr>
  <sheetViews>
    <sheetView workbookViewId="0">
      <pane xSplit="7.0" ySplit="1.0" topLeftCell="H2" activePane="bottomRight" state="frozen"/>
      <selection activeCell="H1" sqref="H1" pane="topRight"/>
      <selection activeCell="A2" sqref="A2" pane="bottomLeft"/>
      <selection activeCell="H2" sqref="H2" pane="bottomRight"/>
    </sheetView>
  </sheetViews>
  <sheetFormatPr customHeight="1" defaultColWidth="12.63" defaultRowHeight="15.75"/>
  <cols>
    <col customWidth="1" min="1" max="1" width="4.88"/>
    <col customWidth="1" min="2" max="2" width="7.13"/>
    <col customWidth="1" min="3" max="3" width="12.5"/>
    <col customWidth="1" min="4" max="4" width="13.88"/>
    <col customWidth="1" min="5" max="5" width="7.5"/>
    <col customWidth="1" min="6" max="6" width="22.13"/>
    <col customWidth="1" min="7" max="7" width="5.75"/>
    <col customWidth="1" min="8" max="8" width="4.5"/>
    <col customWidth="1" min="9" max="9" width="4.63"/>
    <col customWidth="1" min="10" max="10" width="4.5"/>
    <col customWidth="1" min="11" max="11" width="3.63"/>
    <col customWidth="1" min="12" max="12" width="5.63"/>
    <col customWidth="1" min="13" max="13" width="4.88"/>
    <col customWidth="1" min="14" max="14" width="6.63"/>
    <col customWidth="1" min="15" max="15" width="7.25"/>
    <col customWidth="1" min="16" max="16" width="6.38"/>
    <col customWidth="1" min="17" max="17" width="6.63"/>
    <col customWidth="1" min="18" max="19" width="3.5"/>
    <col customWidth="1" min="20" max="20" width="7.0"/>
    <col customWidth="1" min="21" max="21" width="7.13"/>
    <col customWidth="1" min="22" max="23" width="2.38"/>
    <col customWidth="1" min="24" max="25" width="3.5"/>
    <col customWidth="1" min="26" max="26" width="7.13"/>
    <col customWidth="1" min="27" max="27" width="7.25"/>
    <col customWidth="1" min="28" max="29" width="2.38"/>
    <col customWidth="1" min="30" max="31" width="3.5"/>
    <col customWidth="1" min="32" max="32" width="7.13"/>
    <col customWidth="1" min="33" max="33" width="7.25"/>
    <col customWidth="1" min="34" max="35" width="2.38"/>
    <col customWidth="1" min="36" max="37" width="3.5"/>
    <col customWidth="1" min="38" max="38" width="6.75"/>
    <col customWidth="1" min="39" max="39" width="6.88"/>
    <col customWidth="1" min="40" max="41" width="2.38"/>
    <col customWidth="1" min="42" max="43" width="3.5"/>
    <col customWidth="1" min="44" max="44" width="7.0"/>
    <col customWidth="1" min="45" max="45" width="7.13"/>
    <col customWidth="1" min="46" max="47" width="2.38"/>
    <col customWidth="1" min="48" max="49" width="3.5"/>
    <col customWidth="1" min="50" max="50" width="7.0"/>
    <col customWidth="1" min="51" max="51" width="7.13"/>
    <col customWidth="1" min="52" max="52" width="9.25"/>
    <col customWidth="1" min="53" max="53" width="9.38"/>
    <col customWidth="1" min="54" max="55" width="2.38"/>
    <col customWidth="1" min="56" max="57" width="3.5"/>
    <col customWidth="1" min="58" max="58" width="9.0"/>
    <col customWidth="1" min="59" max="59" width="9.13"/>
    <col customWidth="1" min="60" max="61" width="1.88"/>
    <col customWidth="1" min="62" max="63" width="3.5"/>
    <col customWidth="1" min="64" max="64" width="6.75"/>
    <col customWidth="1" min="65" max="65" width="6.88"/>
    <col customWidth="1" min="66" max="66" width="7.0"/>
    <col customWidth="1" min="67" max="67" width="7.13"/>
    <col customWidth="1" min="68" max="69" width="2.38"/>
    <col customWidth="1" min="70" max="71" width="3.5"/>
    <col customWidth="1" min="72" max="72" width="6.13"/>
    <col customWidth="1" min="73" max="73" width="6.38"/>
    <col customWidth="1" min="74" max="74" width="8.0"/>
    <col customWidth="1" min="75" max="75" width="16.5"/>
    <col customWidth="1" min="76" max="76" width="3.88"/>
    <col customWidth="1" min="77" max="77" width="4.38"/>
    <col customWidth="1" min="78" max="78" width="4.88"/>
    <col customWidth="1" min="79" max="79" width="5.38"/>
    <col customWidth="1" min="80" max="81" width="3.5"/>
    <col customWidth="1" min="82" max="83" width="2.13"/>
    <col customWidth="1" min="84" max="84" width="5.38"/>
    <col customWidth="1" min="85" max="85" width="5.13"/>
    <col customWidth="1" min="86" max="87" width="3.5"/>
    <col customWidth="1" min="88" max="90" width="3.25"/>
    <col customWidth="1" min="91" max="91" width="4.63"/>
    <col customWidth="1" min="92" max="99" width="3.63"/>
    <col customWidth="1" min="100" max="100" width="41.63"/>
    <col customWidth="1" min="101" max="101" width="5.5"/>
    <col customWidth="1" min="102" max="104" width="6.38"/>
    <col customWidth="1" min="105" max="105" width="6.63"/>
    <col customWidth="1" min="106" max="106" width="6.25"/>
    <col customWidth="1" min="107" max="108" width="6.5"/>
    <col customWidth="1" min="109" max="109" width="4.75"/>
    <col customWidth="1" min="110" max="112" width="5.63"/>
    <col customWidth="1" min="113" max="113" width="5.88"/>
    <col customWidth="1" min="114" max="114" width="5.5"/>
    <col customWidth="1" min="115" max="116" width="5.75"/>
    <col customWidth="1" min="117" max="117" width="4.25"/>
    <col customWidth="1" min="118" max="120" width="5.13"/>
    <col customWidth="1" min="121" max="121" width="5.38"/>
    <col customWidth="1" min="122" max="122" width="5.0"/>
    <col customWidth="1" min="123" max="124" width="5.25"/>
    <col customWidth="1" min="125" max="125" width="4.25"/>
    <col customWidth="1" min="126" max="128" width="5.13"/>
    <col customWidth="1" min="129" max="129" width="5.38"/>
    <col customWidth="1" min="130" max="130" width="5.0"/>
    <col customWidth="1" min="131" max="132" width="5.25"/>
    <col customWidth="1" min="133" max="133" width="3.13"/>
    <col customWidth="1" min="134" max="136" width="4.0"/>
    <col customWidth="1" min="137" max="137" width="4.25"/>
    <col customWidth="1" min="138" max="138" width="3.88"/>
    <col customWidth="1" min="139" max="140" width="4.13"/>
    <col customWidth="1" min="141" max="141" width="4.75"/>
    <col customWidth="1" min="142" max="144" width="5.63"/>
    <col customWidth="1" min="145" max="145" width="5.88"/>
    <col customWidth="1" min="146" max="146" width="5.5"/>
    <col customWidth="1" min="147" max="148" width="5.75"/>
    <col customWidth="1" min="149" max="150" width="4.88"/>
    <col customWidth="1" min="151" max="151" width="8.13"/>
    <col customWidth="1" min="152" max="152" width="10.25"/>
    <col customWidth="1" min="153" max="153" width="3.25"/>
    <col customWidth="1" min="154" max="154" width="12.75"/>
    <col customWidth="1" min="155" max="155" width="17.13"/>
    <col customWidth="1" min="156" max="156" width="15.63"/>
    <col customWidth="1" min="157" max="157" width="4.88"/>
    <col customWidth="1" min="158" max="158" width="5.25"/>
    <col customWidth="1" min="159" max="161" width="6.13"/>
    <col customWidth="1" min="162" max="162" width="6.38"/>
    <col customWidth="1" min="163" max="163" width="6.0"/>
    <col customWidth="1" min="164" max="165" width="6.25"/>
    <col customWidth="1" min="166" max="166" width="5.25"/>
    <col customWidth="1" min="167" max="169" width="6.13"/>
    <col customWidth="1" min="170" max="170" width="6.38"/>
    <col customWidth="1" min="171" max="171" width="6.0"/>
    <col customWidth="1" min="172" max="173" width="6.25"/>
    <col customWidth="1" min="174" max="174" width="7.38"/>
    <col customWidth="1" min="175" max="178" width="11.13"/>
    <col customWidth="1" min="179" max="179" width="8.13"/>
    <col customWidth="1" min="180" max="180" width="11.13"/>
    <col customWidth="1" min="181" max="181" width="8.38"/>
    <col customWidth="1" min="182" max="182" width="3.13"/>
    <col customWidth="1" min="183" max="185" width="4.0"/>
    <col customWidth="1" min="186" max="186" width="4.25"/>
    <col customWidth="1" min="187" max="187" width="3.88"/>
    <col customWidth="1" min="188" max="189" width="4.13"/>
  </cols>
  <sheetData>
    <row r="1">
      <c r="A1" s="16" t="str">
        <f>IFERROR(__xludf.DUMMYFUNCTION("if('Depth Chart'!AW2,query(IMPORTRANGE(""1Gj5gYTc-gVDuo3e5jMQw7jHyUYSGKDa60jr6ZnuZVHQ"",""Batter Scouting!A1:GC""),""select * where Col1 is not null order by Col87 desc""),)"),"player_id")</f>
        <v>player_id</v>
      </c>
      <c r="B1" s="16" t="str">
        <f>IFERROR(__xludf.DUMMYFUNCTION("""COMPUTED_VALUE"""),"Name")</f>
        <v>Name</v>
      </c>
      <c r="C1" s="16" t="str">
        <f>IFERROR(__xludf.DUMMYFUNCTION("""COMPUTED_VALUE"""),"sWAR")</f>
        <v>sWAR</v>
      </c>
      <c r="D1" s="16" t="str">
        <f>IFERROR(__xludf.DUMMYFUNCTION("""COMPUTED_VALUE"""),"hand")</f>
        <v>hand</v>
      </c>
      <c r="E1" s="16" t="str">
        <f>IFERROR(__xludf.DUMMYFUNCTION("""COMPUTED_VALUE"""),"team")</f>
        <v>team</v>
      </c>
      <c r="F1" s="16" t="str">
        <f>IFERROR(__xludf.DUMMYFUNCTION("""COMPUTED_VALUE"""),"hand")</f>
        <v>hand</v>
      </c>
      <c r="G1" s="16" t="str">
        <f>IFERROR(__xludf.DUMMYFUNCTION("""COMPUTED_VALUE"""),"AB")</f>
        <v>AB</v>
      </c>
      <c r="H1" s="16" t="str">
        <f>IFERROR(__xludf.DUMMYFUNCTION("""COMPUTED_VALUE"""),"WALKS")</f>
        <v>WALKS</v>
      </c>
      <c r="I1" s="16" t="str">
        <f>IFERROR(__xludf.DUMMYFUNCTION("""COMPUTED_VALUE"""),"Injury")</f>
        <v>Injury</v>
      </c>
      <c r="J1" s="16" t="str">
        <f>IFERROR(__xludf.DUMMYFUNCTION("""COMPUTED_VALUE"""),"SO vlhp")</f>
        <v>SO vlhp</v>
      </c>
      <c r="K1" s="16" t="str">
        <f>IFERROR(__xludf.DUMMYFUNCTION("""COMPUTED_VALUE"""),"SO v rhp")</f>
        <v>SO v rhp</v>
      </c>
      <c r="L1" s="16" t="str">
        <f>IFERROR(__xludf.DUMMYFUNCTION("""COMPUTED_VALUE"""),"SO vL+")</f>
        <v>SO vL+</v>
      </c>
      <c r="M1" s="16" t="str">
        <f>IFERROR(__xludf.DUMMYFUNCTION("""COMPUTED_VALUE"""),"SO vR+")</f>
        <v>SO vR+</v>
      </c>
      <c r="N1" s="16" t="str">
        <f>IFERROR(__xludf.DUMMYFUNCTION("""COMPUTED_VALUE"""),"Pts")</f>
        <v>Pts</v>
      </c>
      <c r="O1" s="16" t="str">
        <f>IFERROR(__xludf.DUMMYFUNCTION("""COMPUTED_VALUE"""),"Pts")</f>
        <v>Pts</v>
      </c>
      <c r="P1" s="16" t="str">
        <f>IFERROR(__xludf.DUMMYFUNCTION("""COMPUTED_VALUE"""),"BB v lhp")</f>
        <v>BB v lhp</v>
      </c>
      <c r="Q1" s="16" t="str">
        <f>IFERROR(__xludf.DUMMYFUNCTION("""COMPUTED_VALUE"""),"BB v rhp")</f>
        <v>BB v rhp</v>
      </c>
      <c r="R1" s="16" t="str">
        <f>IFERROR(__xludf.DUMMYFUNCTION("""COMPUTED_VALUE"""),"")</f>
        <v/>
      </c>
      <c r="S1" s="16" t="str">
        <f>IFERROR(__xludf.DUMMYFUNCTION("""COMPUTED_VALUE"""),"")</f>
        <v/>
      </c>
      <c r="T1" s="16" t="str">
        <f>IFERROR(__xludf.DUMMYFUNCTION("""COMPUTED_VALUE"""),"Pts")</f>
        <v>Pts</v>
      </c>
      <c r="U1" s="16" t="str">
        <f>IFERROR(__xludf.DUMMYFUNCTION("""COMPUTED_VALUE"""),"Pts")</f>
        <v>Pts</v>
      </c>
      <c r="V1" s="16" t="str">
        <f>IFERROR(__xludf.DUMMYFUNCTION("""COMPUTED_VALUE"""),"HIT v lhp")</f>
        <v>HIT v lhp</v>
      </c>
      <c r="W1" s="16" t="str">
        <f>IFERROR(__xludf.DUMMYFUNCTION("""COMPUTED_VALUE"""),"HIT v rhp")</f>
        <v>HIT v rhp</v>
      </c>
      <c r="X1" s="16" t="str">
        <f>IFERROR(__xludf.DUMMYFUNCTION("""COMPUTED_VALUE"""),"")</f>
        <v/>
      </c>
      <c r="Y1" s="16" t="str">
        <f>IFERROR(__xludf.DUMMYFUNCTION("""COMPUTED_VALUE"""),"")</f>
        <v/>
      </c>
      <c r="Z1" s="16" t="str">
        <f>IFERROR(__xludf.DUMMYFUNCTION("""COMPUTED_VALUE"""),"Pts")</f>
        <v>Pts</v>
      </c>
      <c r="AA1" s="16" t="str">
        <f>IFERROR(__xludf.DUMMYFUNCTION("""COMPUTED_VALUE"""),"Pts")</f>
        <v>Pts</v>
      </c>
      <c r="AB1" s="16" t="str">
        <f>IFERROR(__xludf.DUMMYFUNCTION("""COMPUTED_VALUE"""),"OB v lhp")</f>
        <v>OB v lhp</v>
      </c>
      <c r="AC1" s="16" t="str">
        <f>IFERROR(__xludf.DUMMYFUNCTION("""COMPUTED_VALUE"""),"OB v rhp")</f>
        <v>OB v rhp</v>
      </c>
      <c r="AD1" s="16" t="str">
        <f>IFERROR(__xludf.DUMMYFUNCTION("""COMPUTED_VALUE"""),"")</f>
        <v/>
      </c>
      <c r="AE1" s="16" t="str">
        <f>IFERROR(__xludf.DUMMYFUNCTION("""COMPUTED_VALUE"""),"")</f>
        <v/>
      </c>
      <c r="AF1" s="16" t="str">
        <f>IFERROR(__xludf.DUMMYFUNCTION("""COMPUTED_VALUE"""),"Pts")</f>
        <v>Pts</v>
      </c>
      <c r="AG1" s="16" t="str">
        <f>IFERROR(__xludf.DUMMYFUNCTION("""COMPUTED_VALUE"""),"Pts")</f>
        <v>Pts</v>
      </c>
      <c r="AH1" s="16" t="str">
        <f>IFERROR(__xludf.DUMMYFUNCTION("""COMPUTED_VALUE"""),"TB v lhp")</f>
        <v>TB v lhp</v>
      </c>
      <c r="AI1" s="16" t="str">
        <f>IFERROR(__xludf.DUMMYFUNCTION("""COMPUTED_VALUE"""),"TB v rhp")</f>
        <v>TB v rhp</v>
      </c>
      <c r="AJ1" s="16" t="str">
        <f>IFERROR(__xludf.DUMMYFUNCTION("""COMPUTED_VALUE"""),"")</f>
        <v/>
      </c>
      <c r="AK1" s="16" t="str">
        <f>IFERROR(__xludf.DUMMYFUNCTION("""COMPUTED_VALUE"""),"")</f>
        <v/>
      </c>
      <c r="AL1" s="16" t="str">
        <f>IFERROR(__xludf.DUMMYFUNCTION("""COMPUTED_VALUE"""),"Pts")</f>
        <v>Pts</v>
      </c>
      <c r="AM1" s="16" t="str">
        <f>IFERROR(__xludf.DUMMYFUNCTION("""COMPUTED_VALUE"""),"Pts")</f>
        <v>Pts</v>
      </c>
      <c r="AN1" s="16" t="str">
        <f>IFERROR(__xludf.DUMMYFUNCTION("""COMPUTED_VALUE"""),"HR v lhp")</f>
        <v>HR v lhp</v>
      </c>
      <c r="AO1" s="16" t="str">
        <f>IFERROR(__xludf.DUMMYFUNCTION("""COMPUTED_VALUE"""),"HR v rhp")</f>
        <v>HR v rhp</v>
      </c>
      <c r="AP1" s="16" t="str">
        <f>IFERROR(__xludf.DUMMYFUNCTION("""COMPUTED_VALUE"""),"")</f>
        <v/>
      </c>
      <c r="AQ1" s="16" t="str">
        <f>IFERROR(__xludf.DUMMYFUNCTION("""COMPUTED_VALUE"""),"")</f>
        <v/>
      </c>
      <c r="AR1" s="16" t="str">
        <f>IFERROR(__xludf.DUMMYFUNCTION("""COMPUTED_VALUE"""),"Pts")</f>
        <v>Pts</v>
      </c>
      <c r="AS1" s="16" t="str">
        <f>IFERROR(__xludf.DUMMYFUNCTION("""COMPUTED_VALUE"""),"Pts")</f>
        <v>Pts</v>
      </c>
      <c r="AT1" s="16" t="str">
        <f>IFERROR(__xludf.DUMMYFUNCTION("""COMPUTED_VALUE"""),"BP v lhp")</f>
        <v>BP v lhp</v>
      </c>
      <c r="AU1" s="16" t="str">
        <f>IFERROR(__xludf.DUMMYFUNCTION("""COMPUTED_VALUE"""),"BP v rhp")</f>
        <v>BP v rhp</v>
      </c>
      <c r="AV1" s="16" t="str">
        <f>IFERROR(__xludf.DUMMYFUNCTION("""COMPUTED_VALUE"""),"BPHR v lhp")</f>
        <v>BPHR v lhp</v>
      </c>
      <c r="AW1" s="16" t="str">
        <f>IFERROR(__xludf.DUMMYFUNCTION("""COMPUTED_VALUE"""),"BPHR v rhp")</f>
        <v>BPHR v rhp</v>
      </c>
      <c r="AX1" s="16" t="str">
        <f>IFERROR(__xludf.DUMMYFUNCTION("""COMPUTED_VALUE"""),"")</f>
        <v/>
      </c>
      <c r="AY1" s="16" t="str">
        <f>IFERROR(__xludf.DUMMYFUNCTION("""COMPUTED_VALUE"""),"")</f>
        <v/>
      </c>
      <c r="AZ1" s="16" t="str">
        <f>IFERROR(__xludf.DUMMYFUNCTION("""COMPUTED_VALUE"""),"Pts")</f>
        <v>Pts</v>
      </c>
      <c r="BA1" s="16" t="str">
        <f>IFERROR(__xludf.DUMMYFUNCTION("""COMPUTED_VALUE"""),"Pts")</f>
        <v>Pts</v>
      </c>
      <c r="BB1" s="16" t="str">
        <f>IFERROR(__xludf.DUMMYFUNCTION("""COMPUTED_VALUE"""),"BP1B v lhp")</f>
        <v>BP1B v lhp</v>
      </c>
      <c r="BC1" s="16" t="str">
        <f>IFERROR(__xludf.DUMMYFUNCTION("""COMPUTED_VALUE"""),"BP1B v rhp")</f>
        <v>BP1B v rhp</v>
      </c>
      <c r="BD1" s="16" t="str">
        <f>IFERROR(__xludf.DUMMYFUNCTION("""COMPUTED_VALUE"""),"")</f>
        <v/>
      </c>
      <c r="BE1" s="16" t="str">
        <f>IFERROR(__xludf.DUMMYFUNCTION("""COMPUTED_VALUE"""),"")</f>
        <v/>
      </c>
      <c r="BF1" s="16" t="str">
        <f>IFERROR(__xludf.DUMMYFUNCTION("""COMPUTED_VALUE"""),"Pts")</f>
        <v>Pts</v>
      </c>
      <c r="BG1" s="16" t="str">
        <f>IFERROR(__xludf.DUMMYFUNCTION("""COMPUTED_VALUE"""),"Pts")</f>
        <v>Pts</v>
      </c>
      <c r="BH1" s="16" t="str">
        <f>IFERROR(__xludf.DUMMYFUNCTION("""COMPUTED_VALUE"""),"CL v lhp")</f>
        <v>CL v lhp</v>
      </c>
      <c r="BI1" s="16" t="str">
        <f>IFERROR(__xludf.DUMMYFUNCTION("""COMPUTED_VALUE"""),"CL v rhp")</f>
        <v>CL v rhp</v>
      </c>
      <c r="BJ1" s="16" t="str">
        <f>IFERROR(__xludf.DUMMYFUNCTION("""COMPUTED_VALUE"""),"DP v lhp")</f>
        <v>DP v lhp</v>
      </c>
      <c r="BK1" s="16" t="str">
        <f>IFERROR(__xludf.DUMMYFUNCTION("""COMPUTED_VALUE"""),"DP v rhp")</f>
        <v>DP v rhp</v>
      </c>
      <c r="BL1" s="16" t="str">
        <f>IFERROR(__xludf.DUMMYFUNCTION("""COMPUTED_VALUE"""),"")</f>
        <v/>
      </c>
      <c r="BM1" s="16" t="str">
        <f>IFERROR(__xludf.DUMMYFUNCTION("""COMPUTED_VALUE"""),"")</f>
        <v/>
      </c>
      <c r="BN1" s="16" t="str">
        <f>IFERROR(__xludf.DUMMYFUNCTION("""COMPUTED_VALUE"""),"Pts")</f>
        <v>Pts</v>
      </c>
      <c r="BO1" s="16" t="str">
        <f>IFERROR(__xludf.DUMMYFUNCTION("""COMPUTED_VALUE"""),"Pts")</f>
        <v>Pts</v>
      </c>
      <c r="BP1" s="16" t="str">
        <f>IFERROR(__xludf.DUMMYFUNCTION("""COMPUTED_VALUE"""),"Raw vL")</f>
        <v>Raw vL</v>
      </c>
      <c r="BQ1" s="16" t="str">
        <f>IFERROR(__xludf.DUMMYFUNCTION("""COMPUTED_VALUE"""),"Raw vR")</f>
        <v>Raw vR</v>
      </c>
      <c r="BR1" s="16" t="str">
        <f>IFERROR(__xludf.DUMMYFUNCTION("""COMPUTED_VALUE"""),"Raw Total")</f>
        <v>Raw Total</v>
      </c>
      <c r="BS1" s="16" t="str">
        <f>IFERROR(__xludf.DUMMYFUNCTION("""COMPUTED_VALUE"""),"STEALING")</f>
        <v>STEALING</v>
      </c>
      <c r="BT1" s="16" t="str">
        <f>IFERROR(__xludf.DUMMYFUNCTION("""COMPUTED_VALUE"""),"STL")</f>
        <v>STL</v>
      </c>
      <c r="BU1" s="16" t="str">
        <f>IFERROR(__xludf.DUMMYFUNCTION("""COMPUTED_VALUE"""),"SPD")</f>
        <v>SPD</v>
      </c>
      <c r="BV1" s="16" t="str">
        <f>IFERROR(__xludf.DUMMYFUNCTION("""COMPUTED_VALUE"""),"STL+")</f>
        <v>STL+</v>
      </c>
      <c r="BW1" s="16" t="str">
        <f>IFERROR(__xludf.DUMMYFUNCTION("""COMPUTED_VALUE"""),"SPD+")</f>
        <v>SPD+</v>
      </c>
      <c r="BX1" s="16" t="str">
        <f>IFERROR(__xludf.DUMMYFUNCTION("""COMPUTED_VALUE"""),"Pts")</f>
        <v>Pts</v>
      </c>
      <c r="BY1" s="16" t="str">
        <f>IFERROR(__xludf.DUMMYFUNCTION("""COMPUTED_VALUE"""),"Pts")</f>
        <v>Pts</v>
      </c>
      <c r="BZ1" s="16" t="str">
        <f>IFERROR(__xludf.DUMMYFUNCTION("""COMPUTED_VALUE"""),"B")</f>
        <v>B</v>
      </c>
      <c r="CA1" s="16" t="str">
        <f>IFERROR(__xludf.DUMMYFUNCTION("""COMPUTED_VALUE"""),"H")</f>
        <v>H</v>
      </c>
      <c r="CB1" s="16" t="str">
        <f>IFERROR(__xludf.DUMMYFUNCTION("""COMPUTED_VALUE"""),"Bunt+")</f>
        <v>Bunt+</v>
      </c>
      <c r="CC1" s="16" t="str">
        <f>IFERROR(__xludf.DUMMYFUNCTION("""COMPUTED_VALUE"""),"HnR+")</f>
        <v>HnR+</v>
      </c>
      <c r="CD1" s="16" t="str">
        <f>IFERROR(__xludf.DUMMYFUNCTION("""COMPUTED_VALUE"""),"Pts")</f>
        <v>Pts</v>
      </c>
      <c r="CE1" s="16" t="str">
        <f>IFERROR(__xludf.DUMMYFUNCTION("""COMPUTED_VALUE"""),"Pts")</f>
        <v>Pts</v>
      </c>
      <c r="CF1" s="16" t="str">
        <f>IFERROR(__xludf.DUMMYFUNCTION("""COMPUTED_VALUE"""),"INJ")</f>
        <v>INJ</v>
      </c>
      <c r="CG1" s="16" t="str">
        <f>IFERROR(__xludf.DUMMYFUNCTION("""COMPUTED_VALUE"""),"vL")</f>
        <v>vL</v>
      </c>
      <c r="CH1" s="16" t="str">
        <f>IFERROR(__xludf.DUMMYFUNCTION("""COMPUTED_VALUE"""),"vR")</f>
        <v>vR</v>
      </c>
      <c r="CI1" s="16" t="str">
        <f>IFERROR(__xludf.DUMMYFUNCTION("""COMPUTED_VALUE"""),"Total")</f>
        <v>Total</v>
      </c>
      <c r="CJ1" s="16" t="str">
        <f>IFERROR(__xludf.DUMMYFUNCTION("""COMPUTED_VALUE"""),"CA")</f>
        <v>CA</v>
      </c>
      <c r="CK1" s="16" t="str">
        <f>IFERROR(__xludf.DUMMYFUNCTION("""COMPUTED_VALUE"""),"1B")</f>
        <v>1B</v>
      </c>
      <c r="CL1" s="16" t="str">
        <f>IFERROR(__xludf.DUMMYFUNCTION("""COMPUTED_VALUE"""),"2B")</f>
        <v>2B</v>
      </c>
      <c r="CM1" s="16" t="str">
        <f>IFERROR(__xludf.DUMMYFUNCTION("""COMPUTED_VALUE"""),"3B")</f>
        <v>3B</v>
      </c>
      <c r="CN1" s="16" t="str">
        <f>IFERROR(__xludf.DUMMYFUNCTION("""COMPUTED_VALUE"""),"SS")</f>
        <v>SS</v>
      </c>
      <c r="CO1" s="16" t="str">
        <f>IFERROR(__xludf.DUMMYFUNCTION("""COMPUTED_VALUE"""),"LF")</f>
        <v>LF</v>
      </c>
      <c r="CP1" s="16" t="str">
        <f>IFERROR(__xludf.DUMMYFUNCTION("""COMPUTED_VALUE"""),"CF")</f>
        <v>CF</v>
      </c>
      <c r="CQ1" s="16" t="str">
        <f>IFERROR(__xludf.DUMMYFUNCTION("""COMPUTED_VALUE"""),"RF")</f>
        <v>RF</v>
      </c>
      <c r="CR1" s="16" t="str">
        <f>IFERROR(__xludf.DUMMYFUNCTION("""COMPUTED_VALUE"""),"FIELDING")</f>
        <v>FIELDING</v>
      </c>
      <c r="CS1" s="16" t="str">
        <f>IFERROR(__xludf.DUMMYFUNCTION("""COMPUTED_VALUE"""),"C Rng")</f>
        <v>C Rng</v>
      </c>
      <c r="CT1" s="16" t="str">
        <f>IFERROR(__xludf.DUMMYFUNCTION("""COMPUTED_VALUE"""),"1B Rng")</f>
        <v>1B Rng</v>
      </c>
      <c r="CU1" s="16" t="str">
        <f>IFERROR(__xludf.DUMMYFUNCTION("""COMPUTED_VALUE"""),"2B Rng")</f>
        <v>2B Rng</v>
      </c>
      <c r="CV1" s="16" t="str">
        <f>IFERROR(__xludf.DUMMYFUNCTION("""COMPUTED_VALUE"""),"3B Rng")</f>
        <v>3B Rng</v>
      </c>
      <c r="CW1" s="16" t="str">
        <f>IFERROR(__xludf.DUMMYFUNCTION("""COMPUTED_VALUE"""),"SS Rng")</f>
        <v>SS Rng</v>
      </c>
      <c r="CX1" s="16" t="str">
        <f>IFERROR(__xludf.DUMMYFUNCTION("""COMPUTED_VALUE"""),"LF Rng")</f>
        <v>LF Rng</v>
      </c>
      <c r="CY1" s="16" t="str">
        <f>IFERROR(__xludf.DUMMYFUNCTION("""COMPUTED_VALUE"""),"CF Rng")</f>
        <v>CF Rng</v>
      </c>
      <c r="CZ1" s="16" t="str">
        <f>IFERROR(__xludf.DUMMYFUNCTION("""COMPUTED_VALUE"""),"RF Rng")</f>
        <v>RF Rng</v>
      </c>
      <c r="DA1" s="16" t="str">
        <f>IFERROR(__xludf.DUMMYFUNCTION("""COMPUTED_VALUE"""),"C Err")</f>
        <v>C Err</v>
      </c>
      <c r="DB1" s="16" t="str">
        <f>IFERROR(__xludf.DUMMYFUNCTION("""COMPUTED_VALUE"""),"1B Err")</f>
        <v>1B Err</v>
      </c>
      <c r="DC1" s="16" t="str">
        <f>IFERROR(__xludf.DUMMYFUNCTION("""COMPUTED_VALUE"""),"2B Err")</f>
        <v>2B Err</v>
      </c>
      <c r="DD1" s="16" t="str">
        <f>IFERROR(__xludf.DUMMYFUNCTION("""COMPUTED_VALUE"""),"3B Err")</f>
        <v>3B Err</v>
      </c>
      <c r="DE1" s="16" t="str">
        <f>IFERROR(__xludf.DUMMYFUNCTION("""COMPUTED_VALUE"""),"SS Err")</f>
        <v>SS Err</v>
      </c>
      <c r="DF1" s="16" t="str">
        <f>IFERROR(__xludf.DUMMYFUNCTION("""COMPUTED_VALUE"""),"LF Err")</f>
        <v>LF Err</v>
      </c>
      <c r="DG1" s="16" t="str">
        <f>IFERROR(__xludf.DUMMYFUNCTION("""COMPUTED_VALUE"""),"CF Err")</f>
        <v>CF Err</v>
      </c>
      <c r="DH1" s="16" t="str">
        <f>IFERROR(__xludf.DUMMYFUNCTION("""COMPUTED_VALUE"""),"RF Err")</f>
        <v>RF Err</v>
      </c>
      <c r="DI1" s="16" t="str">
        <f>IFERROR(__xludf.DUMMYFUNCTION("""COMPUTED_VALUE"""),"CR+")</f>
        <v>CR+</v>
      </c>
      <c r="DJ1" s="16" t="str">
        <f>IFERROR(__xludf.DUMMYFUNCTION("""COMPUTED_VALUE"""),"1BR+")</f>
        <v>1BR+</v>
      </c>
      <c r="DK1" s="16" t="str">
        <f>IFERROR(__xludf.DUMMYFUNCTION("""COMPUTED_VALUE"""),"2BR+")</f>
        <v>2BR+</v>
      </c>
      <c r="DL1" s="16" t="str">
        <f>IFERROR(__xludf.DUMMYFUNCTION("""COMPUTED_VALUE"""),"3BR+")</f>
        <v>3BR+</v>
      </c>
      <c r="DM1" s="16" t="str">
        <f>IFERROR(__xludf.DUMMYFUNCTION("""COMPUTED_VALUE"""),"SSR+")</f>
        <v>SSR+</v>
      </c>
      <c r="DN1" s="16" t="str">
        <f>IFERROR(__xludf.DUMMYFUNCTION("""COMPUTED_VALUE"""),"LFR+")</f>
        <v>LFR+</v>
      </c>
      <c r="DO1" s="16" t="str">
        <f>IFERROR(__xludf.DUMMYFUNCTION("""COMPUTED_VALUE"""),"CFR+")</f>
        <v>CFR+</v>
      </c>
      <c r="DP1" s="16" t="str">
        <f>IFERROR(__xludf.DUMMYFUNCTION("""COMPUTED_VALUE"""),"RFR+")</f>
        <v>RFR+</v>
      </c>
      <c r="DQ1" s="16" t="str">
        <f>IFERROR(__xludf.DUMMYFUNCTION("""COMPUTED_VALUE"""),"CE+")</f>
        <v>CE+</v>
      </c>
      <c r="DR1" s="16" t="str">
        <f>IFERROR(__xludf.DUMMYFUNCTION("""COMPUTED_VALUE"""),"1BE+")</f>
        <v>1BE+</v>
      </c>
      <c r="DS1" s="16" t="str">
        <f>IFERROR(__xludf.DUMMYFUNCTION("""COMPUTED_VALUE"""),"2BE+")</f>
        <v>2BE+</v>
      </c>
      <c r="DT1" s="16" t="str">
        <f>IFERROR(__xludf.DUMMYFUNCTION("""COMPUTED_VALUE"""),"3BE+")</f>
        <v>3BE+</v>
      </c>
      <c r="DU1" s="16" t="str">
        <f>IFERROR(__xludf.DUMMYFUNCTION("""COMPUTED_VALUE"""),"SSE+")</f>
        <v>SSE+</v>
      </c>
      <c r="DV1" s="16" t="str">
        <f>IFERROR(__xludf.DUMMYFUNCTION("""COMPUTED_VALUE"""),"LFE+")</f>
        <v>LFE+</v>
      </c>
      <c r="DW1" s="16" t="str">
        <f>IFERROR(__xludf.DUMMYFUNCTION("""COMPUTED_VALUE"""),"CFR+")</f>
        <v>CFR+</v>
      </c>
      <c r="DX1" s="16" t="str">
        <f>IFERROR(__xludf.DUMMYFUNCTION("""COMPUTED_VALUE"""),"RFR+")</f>
        <v>RFR+</v>
      </c>
      <c r="DY1" s="16" t="str">
        <f>IFERROR(__xludf.DUMMYFUNCTION("""COMPUTED_VALUE"""),"C+")</f>
        <v>C+</v>
      </c>
      <c r="DZ1" s="16" t="str">
        <f>IFERROR(__xludf.DUMMYFUNCTION("""COMPUTED_VALUE"""),"1B+")</f>
        <v>1B+</v>
      </c>
      <c r="EA1" s="16" t="str">
        <f>IFERROR(__xludf.DUMMYFUNCTION("""COMPUTED_VALUE"""),"2B+")</f>
        <v>2B+</v>
      </c>
      <c r="EB1" s="16" t="str">
        <f>IFERROR(__xludf.DUMMYFUNCTION("""COMPUTED_VALUE"""),"3B+")</f>
        <v>3B+</v>
      </c>
      <c r="EC1" s="16" t="str">
        <f>IFERROR(__xludf.DUMMYFUNCTION("""COMPUTED_VALUE"""),"SS+")</f>
        <v>SS+</v>
      </c>
      <c r="ED1" s="16" t="str">
        <f>IFERROR(__xludf.DUMMYFUNCTION("""COMPUTED_VALUE"""),"LF+")</f>
        <v>LF+</v>
      </c>
      <c r="EE1" s="16" t="str">
        <f>IFERROR(__xludf.DUMMYFUNCTION("""COMPUTED_VALUE"""),"CF+")</f>
        <v>CF+</v>
      </c>
      <c r="EF1" s="16" t="str">
        <f>IFERROR(__xludf.DUMMYFUNCTION("""COMPUTED_VALUE"""),"RF+")</f>
        <v>RF+</v>
      </c>
      <c r="EG1" s="16" t="str">
        <f>IFERROR(__xludf.DUMMYFUNCTION("""COMPUTED_VALUE"""),"C Tot")</f>
        <v>C Tot</v>
      </c>
      <c r="EH1" s="16" t="str">
        <f>IFERROR(__xludf.DUMMYFUNCTION("""COMPUTED_VALUE"""),"1B Tot")</f>
        <v>1B Tot</v>
      </c>
      <c r="EI1" s="16" t="str">
        <f>IFERROR(__xludf.DUMMYFUNCTION("""COMPUTED_VALUE"""),"2B Tot")</f>
        <v>2B Tot</v>
      </c>
      <c r="EJ1" s="16" t="str">
        <f>IFERROR(__xludf.DUMMYFUNCTION("""COMPUTED_VALUE"""),"3B Tot")</f>
        <v>3B Tot</v>
      </c>
      <c r="EK1" s="16" t="str">
        <f>IFERROR(__xludf.DUMMYFUNCTION("""COMPUTED_VALUE"""),"SS Tot")</f>
        <v>SS Tot</v>
      </c>
      <c r="EL1" s="16" t="str">
        <f>IFERROR(__xludf.DUMMYFUNCTION("""COMPUTED_VALUE"""),"LF Tot")</f>
        <v>LF Tot</v>
      </c>
      <c r="EM1" s="16" t="str">
        <f>IFERROR(__xludf.DUMMYFUNCTION("""COMPUTED_VALUE"""),"CF Tot")</f>
        <v>CF Tot</v>
      </c>
      <c r="EN1" s="16" t="str">
        <f>IFERROR(__xludf.DUMMYFUNCTION("""COMPUTED_VALUE"""),"RF Tot")</f>
        <v>RF Tot</v>
      </c>
      <c r="EO1" s="16" t="str">
        <f>IFERROR(__xludf.DUMMYFUNCTION("""COMPUTED_VALUE"""),"cArm")</f>
        <v>cArm</v>
      </c>
      <c r="EP1" s="16" t="str">
        <f>IFERROR(__xludf.DUMMYFUNCTION("""COMPUTED_VALUE"""),"oArm")</f>
        <v>oArm</v>
      </c>
      <c r="EQ1" s="16" t="str">
        <f>IFERROR(__xludf.DUMMYFUNCTION("""COMPUTED_VALUE"""),"Injury Roll")</f>
        <v>Injury Roll</v>
      </c>
      <c r="ER1" s="16" t="str">
        <f>IFERROR(__xludf.DUMMYFUNCTION("""COMPUTED_VALUE"""),"Injury Length")</f>
        <v>Injury Length</v>
      </c>
      <c r="ES1" s="16" t="str">
        <f>IFERROR(__xludf.DUMMYFUNCTION("""COMPUTED_VALUE"""),"")</f>
        <v/>
      </c>
      <c r="ET1" s="16" t="str">
        <f>IFERROR(__xludf.DUMMYFUNCTION("""COMPUTED_VALUE"""),"")</f>
        <v/>
      </c>
      <c r="EU1" s="16" t="str">
        <f>IFERROR(__xludf.DUMMYFUNCTION("""COMPUTED_VALUE"""),"")</f>
        <v/>
      </c>
      <c r="EV1" s="16" t="str">
        <f>IFERROR(__xludf.DUMMYFUNCTION("""COMPUTED_VALUE"""),"")</f>
        <v/>
      </c>
      <c r="EW1" s="16" t="str">
        <f>IFERROR(__xludf.DUMMYFUNCTION("""COMPUTED_VALUE"""),"cArm")</f>
        <v>cArm</v>
      </c>
      <c r="EX1" s="16" t="str">
        <f>IFERROR(__xludf.DUMMYFUNCTION("""COMPUTED_VALUE"""),"C R%")</f>
        <v>C R%</v>
      </c>
      <c r="EY1" s="16" t="str">
        <f>IFERROR(__xludf.DUMMYFUNCTION("""COMPUTED_VALUE"""),"1B R%")</f>
        <v>1B R%</v>
      </c>
      <c r="EZ1" s="16" t="str">
        <f>IFERROR(__xludf.DUMMYFUNCTION("""COMPUTED_VALUE"""),"2B R%")</f>
        <v>2B R%</v>
      </c>
      <c r="FA1" s="16" t="str">
        <f>IFERROR(__xludf.DUMMYFUNCTION("""COMPUTED_VALUE"""),"3B R%")</f>
        <v>3B R%</v>
      </c>
      <c r="FB1" s="16" t="str">
        <f>IFERROR(__xludf.DUMMYFUNCTION("""COMPUTED_VALUE"""),"SS R%")</f>
        <v>SS R%</v>
      </c>
      <c r="FC1" s="16" t="str">
        <f>IFERROR(__xludf.DUMMYFUNCTION("""COMPUTED_VALUE"""),"LF R%")</f>
        <v>LF R%</v>
      </c>
      <c r="FD1" s="16" t="str">
        <f>IFERROR(__xludf.DUMMYFUNCTION("""COMPUTED_VALUE"""),"CF R%")</f>
        <v>CF R%</v>
      </c>
      <c r="FE1" s="16" t="str">
        <f>IFERROR(__xludf.DUMMYFUNCTION("""COMPUTED_VALUE"""),"RF R%")</f>
        <v>RF R%</v>
      </c>
      <c r="FF1" s="16" t="str">
        <f>IFERROR(__xludf.DUMMYFUNCTION("""COMPUTED_VALUE"""),"C E%")</f>
        <v>C E%</v>
      </c>
      <c r="FG1" s="16" t="str">
        <f>IFERROR(__xludf.DUMMYFUNCTION("""COMPUTED_VALUE"""),"1B E%")</f>
        <v>1B E%</v>
      </c>
      <c r="FH1" s="16" t="str">
        <f>IFERROR(__xludf.DUMMYFUNCTION("""COMPUTED_VALUE"""),"2B E%")</f>
        <v>2B E%</v>
      </c>
      <c r="FI1" s="16" t="str">
        <f>IFERROR(__xludf.DUMMYFUNCTION("""COMPUTED_VALUE"""),"3B E%")</f>
        <v>3B E%</v>
      </c>
      <c r="FJ1" s="16" t="str">
        <f>IFERROR(__xludf.DUMMYFUNCTION("""COMPUTED_VALUE"""),"SS E%")</f>
        <v>SS E%</v>
      </c>
      <c r="FK1" s="16" t="str">
        <f>IFERROR(__xludf.DUMMYFUNCTION("""COMPUTED_VALUE"""),"LF E%")</f>
        <v>LF E%</v>
      </c>
      <c r="FL1" s="16" t="str">
        <f>IFERROR(__xludf.DUMMYFUNCTION("""COMPUTED_VALUE"""),"CF E%")</f>
        <v>CF E%</v>
      </c>
      <c r="FM1" s="16" t="str">
        <f>IFERROR(__xludf.DUMMYFUNCTION("""COMPUTED_VALUE"""),"RF E%")</f>
        <v>RF E%</v>
      </c>
      <c r="FN1" s="16" t="str">
        <f>IFERROR(__xludf.DUMMYFUNCTION("""COMPUTED_VALUE"""),"C Play%")</f>
        <v>C Play%</v>
      </c>
      <c r="FO1" s="16" t="str">
        <f>IFERROR(__xludf.DUMMYFUNCTION("""COMPUTED_VALUE"""),"1B Play%")</f>
        <v>1B Play%</v>
      </c>
      <c r="FP1" s="16" t="str">
        <f>IFERROR(__xludf.DUMMYFUNCTION("""COMPUTED_VALUE"""),"2B Play%")</f>
        <v>2B Play%</v>
      </c>
      <c r="FQ1" s="16" t="str">
        <f>IFERROR(__xludf.DUMMYFUNCTION("""COMPUTED_VALUE"""),"3B Play%")</f>
        <v>3B Play%</v>
      </c>
      <c r="FR1" s="16" t="str">
        <f>IFERROR(__xludf.DUMMYFUNCTION("""COMPUTED_VALUE"""),"SS Play%")</f>
        <v>SS Play%</v>
      </c>
      <c r="FS1" s="16" t="str">
        <f>IFERROR(__xludf.DUMMYFUNCTION("""COMPUTED_VALUE"""),"LF Play%")</f>
        <v>LF Play%</v>
      </c>
      <c r="FT1" s="16" t="str">
        <f>IFERROR(__xludf.DUMMYFUNCTION("""COMPUTED_VALUE"""),"CF Play%")</f>
        <v>CF Play%</v>
      </c>
      <c r="FU1" s="16" t="str">
        <f>IFERROR(__xludf.DUMMYFUNCTION("""COMPUTED_VALUE"""),"RF Play%")</f>
        <v>RF Play%</v>
      </c>
      <c r="FV1" s="16" t="str">
        <f>IFERROR(__xludf.DUMMYFUNCTION("""COMPUTED_VALUE"""),"C+")</f>
        <v>C+</v>
      </c>
      <c r="FW1" s="16" t="str">
        <f>IFERROR(__xludf.DUMMYFUNCTION("""COMPUTED_VALUE"""),"1B+")</f>
        <v>1B+</v>
      </c>
      <c r="FX1" s="16" t="str">
        <f>IFERROR(__xludf.DUMMYFUNCTION("""COMPUTED_VALUE"""),"2B+")</f>
        <v>2B+</v>
      </c>
      <c r="FY1" s="16" t="str">
        <f>IFERROR(__xludf.DUMMYFUNCTION("""COMPUTED_VALUE"""),"3B+")</f>
        <v>3B+</v>
      </c>
      <c r="FZ1" s="16" t="str">
        <f>IFERROR(__xludf.DUMMYFUNCTION("""COMPUTED_VALUE"""),"SS+")</f>
        <v>SS+</v>
      </c>
      <c r="GA1" s="16" t="str">
        <f>IFERROR(__xludf.DUMMYFUNCTION("""COMPUTED_VALUE"""),"LF+")</f>
        <v>LF+</v>
      </c>
      <c r="GB1" s="16" t="str">
        <f>IFERROR(__xludf.DUMMYFUNCTION("""COMPUTED_VALUE"""),"CF+")</f>
        <v>CF+</v>
      </c>
      <c r="GC1" s="16" t="str">
        <f>IFERROR(__xludf.DUMMYFUNCTION("""COMPUTED_VALUE"""),"RF+")</f>
        <v>RF+</v>
      </c>
      <c r="GD1" s="30" t="s">
        <v>4565</v>
      </c>
    </row>
    <row r="2">
      <c r="A2" s="16">
        <f>IFERROR(__xludf.DUMMYFUNCTION("""COMPUTED_VALUE"""),12495.0)</f>
        <v>12495</v>
      </c>
      <c r="B2" s="16" t="str">
        <f>IFERROR(__xludf.DUMMYFUNCTION("""COMPUTED_VALUE"""),"Aaron Judge")</f>
        <v>Aaron Judge</v>
      </c>
      <c r="C2" s="16">
        <f>IFERROR(__xludf.DUMMYFUNCTION("""COMPUTED_VALUE"""),4.45)</f>
        <v>4.45</v>
      </c>
      <c r="D2" s="16" t="str">
        <f>IFERROR(__xludf.DUMMYFUNCTION("""COMPUTED_VALUE"""),"R")</f>
        <v>R</v>
      </c>
      <c r="E2" s="16"/>
      <c r="F2" s="16"/>
      <c r="G2" s="16">
        <f>IFERROR(__xludf.DUMMYFUNCTION("""COMPUTED_VALUE"""),559.0)</f>
        <v>559</v>
      </c>
      <c r="H2" s="16">
        <f>IFERROR(__xludf.DUMMYFUNCTION("""COMPUTED_VALUE"""),133.0)</f>
        <v>133</v>
      </c>
      <c r="I2" s="16" t="str">
        <f>IFERROR(__xludf.DUMMYFUNCTION("""COMPUTED_VALUE"""),"1p70")</f>
        <v>1p70</v>
      </c>
      <c r="J2" s="16">
        <f>IFERROR(__xludf.DUMMYFUNCTION("""COMPUTED_VALUE"""),11.0)</f>
        <v>11</v>
      </c>
      <c r="K2" s="16">
        <f>IFERROR(__xludf.DUMMYFUNCTION("""COMPUTED_VALUE"""),26.0)</f>
        <v>26</v>
      </c>
      <c r="L2" s="16">
        <f>IFERROR(__xludf.DUMMYFUNCTION("""COMPUTED_VALUE"""),1.0)</f>
        <v>1</v>
      </c>
      <c r="M2" s="16">
        <f>IFERROR(__xludf.DUMMYFUNCTION("""COMPUTED_VALUE"""),0.0)</f>
        <v>0</v>
      </c>
      <c r="N2" s="16">
        <f>IFERROR(__xludf.DUMMYFUNCTION("""COMPUTED_VALUE"""),1.0)</f>
        <v>1</v>
      </c>
      <c r="O2" s="16">
        <f>IFERROR(__xludf.DUMMYFUNCTION("""COMPUTED_VALUE"""),0.0)</f>
        <v>0</v>
      </c>
      <c r="P2" s="16">
        <f>IFERROR(__xludf.DUMMYFUNCTION("""COMPUTED_VALUE"""),41.0)</f>
        <v>41</v>
      </c>
      <c r="Q2" s="16">
        <f>IFERROR(__xludf.DUMMYFUNCTION("""COMPUTED_VALUE"""),23.0)</f>
        <v>23</v>
      </c>
      <c r="R2" s="16">
        <f>IFERROR(__xludf.DUMMYFUNCTION("""COMPUTED_VALUE"""),3.0)</f>
        <v>3</v>
      </c>
      <c r="S2" s="16">
        <f>IFERROR(__xludf.DUMMYFUNCTION("""COMPUTED_VALUE"""),3.0)</f>
        <v>3</v>
      </c>
      <c r="T2" s="16">
        <f>IFERROR(__xludf.DUMMYFUNCTION("""COMPUTED_VALUE"""),3.0)</f>
        <v>3</v>
      </c>
      <c r="U2" s="16">
        <f>IFERROR(__xludf.DUMMYFUNCTION("""COMPUTED_VALUE"""),3.0)</f>
        <v>3</v>
      </c>
      <c r="V2" s="16">
        <f>IFERROR(__xludf.DUMMYFUNCTION("""COMPUTED_VALUE"""),19.8)</f>
        <v>19.8</v>
      </c>
      <c r="W2" s="16">
        <f>IFERROR(__xludf.DUMMYFUNCTION("""COMPUTED_VALUE"""),29.9)</f>
        <v>29.9</v>
      </c>
      <c r="X2" s="16">
        <f>IFERROR(__xludf.DUMMYFUNCTION("""COMPUTED_VALUE"""),0.0)</f>
        <v>0</v>
      </c>
      <c r="Y2" s="16">
        <f>IFERROR(__xludf.DUMMYFUNCTION("""COMPUTED_VALUE"""),2.0)</f>
        <v>2</v>
      </c>
      <c r="Z2" s="16">
        <f>IFERROR(__xludf.DUMMYFUNCTION("""COMPUTED_VALUE"""),0.0)</f>
        <v>0</v>
      </c>
      <c r="AA2" s="16">
        <f>IFERROR(__xludf.DUMMYFUNCTION("""COMPUTED_VALUE"""),4.0)</f>
        <v>4</v>
      </c>
      <c r="AB2" s="16">
        <f>IFERROR(__xludf.DUMMYFUNCTION("""COMPUTED_VALUE"""),63.8)</f>
        <v>63.8</v>
      </c>
      <c r="AC2" s="16">
        <f>IFERROR(__xludf.DUMMYFUNCTION("""COMPUTED_VALUE"""),55.9)</f>
        <v>55.9</v>
      </c>
      <c r="AD2" s="16">
        <f>IFERROR(__xludf.DUMMYFUNCTION("""COMPUTED_VALUE"""),3.0)</f>
        <v>3</v>
      </c>
      <c r="AE2" s="16">
        <f>IFERROR(__xludf.DUMMYFUNCTION("""COMPUTED_VALUE"""),3.0)</f>
        <v>3</v>
      </c>
      <c r="AF2" s="16">
        <f>IFERROR(__xludf.DUMMYFUNCTION("""COMPUTED_VALUE"""),15.0)</f>
        <v>15</v>
      </c>
      <c r="AG2" s="16">
        <f>IFERROR(__xludf.DUMMYFUNCTION("""COMPUTED_VALUE"""),15.0)</f>
        <v>15</v>
      </c>
      <c r="AH2" s="16">
        <f>IFERROR(__xludf.DUMMYFUNCTION("""COMPUTED_VALUE"""),59.5)</f>
        <v>59.5</v>
      </c>
      <c r="AI2" s="16">
        <f>IFERROR(__xludf.DUMMYFUNCTION("""COMPUTED_VALUE"""),67.5)</f>
        <v>67.5</v>
      </c>
      <c r="AJ2" s="16">
        <f>IFERROR(__xludf.DUMMYFUNCTION("""COMPUTED_VALUE"""),2.0)</f>
        <v>2</v>
      </c>
      <c r="AK2" s="16">
        <f>IFERROR(__xludf.DUMMYFUNCTION("""COMPUTED_VALUE"""),3.0)</f>
        <v>3</v>
      </c>
      <c r="AL2" s="16">
        <f>IFERROR(__xludf.DUMMYFUNCTION("""COMPUTED_VALUE"""),10.0)</f>
        <v>10</v>
      </c>
      <c r="AM2" s="16">
        <f>IFERROR(__xludf.DUMMYFUNCTION("""COMPUTED_VALUE"""),15.0)</f>
        <v>15</v>
      </c>
      <c r="AN2" s="16">
        <f>IFERROR(__xludf.DUMMYFUNCTION("""COMPUTED_VALUE"""),11.8)</f>
        <v>11.8</v>
      </c>
      <c r="AO2" s="16">
        <f>IFERROR(__xludf.DUMMYFUNCTION("""COMPUTED_VALUE"""),10.3)</f>
        <v>10.3</v>
      </c>
      <c r="AP2" s="16">
        <f>IFERROR(__xludf.DUMMYFUNCTION("""COMPUTED_VALUE"""),3.0)</f>
        <v>3</v>
      </c>
      <c r="AQ2" s="16">
        <f>IFERROR(__xludf.DUMMYFUNCTION("""COMPUTED_VALUE"""),3.0)</f>
        <v>3</v>
      </c>
      <c r="AR2" s="16">
        <f>IFERROR(__xludf.DUMMYFUNCTION("""COMPUTED_VALUE"""),6.0)</f>
        <v>6</v>
      </c>
      <c r="AS2" s="16">
        <f>IFERROR(__xludf.DUMMYFUNCTION("""COMPUTED_VALUE"""),6.0)</f>
        <v>6</v>
      </c>
      <c r="AT2" s="16">
        <f>IFERROR(__xludf.DUMMYFUNCTION("""COMPUTED_VALUE"""),8.0)</f>
        <v>8</v>
      </c>
      <c r="AU2" s="16">
        <f>IFERROR(__xludf.DUMMYFUNCTION("""COMPUTED_VALUE"""),8.0)</f>
        <v>8</v>
      </c>
      <c r="AV2" s="16">
        <f>IFERROR(__xludf.DUMMYFUNCTION("""COMPUTED_VALUE"""),8.0)</f>
        <v>8</v>
      </c>
      <c r="AW2" s="16">
        <f>IFERROR(__xludf.DUMMYFUNCTION("""COMPUTED_VALUE"""),8.0)</f>
        <v>8</v>
      </c>
      <c r="AX2" s="16">
        <f>IFERROR(__xludf.DUMMYFUNCTION("""COMPUTED_VALUE"""),3.0)</f>
        <v>3</v>
      </c>
      <c r="AY2" s="16">
        <f>IFERROR(__xludf.DUMMYFUNCTION("""COMPUTED_VALUE"""),3.0)</f>
        <v>3</v>
      </c>
      <c r="AZ2" s="16">
        <f>IFERROR(__xludf.DUMMYFUNCTION("""COMPUTED_VALUE"""),9.0)</f>
        <v>9</v>
      </c>
      <c r="BA2" s="16">
        <f>IFERROR(__xludf.DUMMYFUNCTION("""COMPUTED_VALUE"""),9.0)</f>
        <v>9</v>
      </c>
      <c r="BB2" s="16">
        <f>IFERROR(__xludf.DUMMYFUNCTION("""COMPUTED_VALUE"""),5.0)</f>
        <v>5</v>
      </c>
      <c r="BC2" s="16">
        <f>IFERROR(__xludf.DUMMYFUNCTION("""COMPUTED_VALUE"""),5.0)</f>
        <v>5</v>
      </c>
      <c r="BD2" s="16">
        <f>IFERROR(__xludf.DUMMYFUNCTION("""COMPUTED_VALUE"""),1.0)</f>
        <v>1</v>
      </c>
      <c r="BE2" s="16">
        <f>IFERROR(__xludf.DUMMYFUNCTION("""COMPUTED_VALUE"""),1.0)</f>
        <v>1</v>
      </c>
      <c r="BF2" s="16">
        <f>IFERROR(__xludf.DUMMYFUNCTION("""COMPUTED_VALUE"""),1.0)</f>
        <v>1</v>
      </c>
      <c r="BG2" s="16">
        <f>IFERROR(__xludf.DUMMYFUNCTION("""COMPUTED_VALUE"""),1.0)</f>
        <v>1</v>
      </c>
      <c r="BH2" s="16">
        <f>IFERROR(__xludf.DUMMYFUNCTION("""COMPUTED_VALUE"""),-1.0)</f>
        <v>-1</v>
      </c>
      <c r="BI2" s="16">
        <f>IFERROR(__xludf.DUMMYFUNCTION("""COMPUTED_VALUE"""),-10.0)</f>
        <v>-10</v>
      </c>
      <c r="BJ2" s="16">
        <f>IFERROR(__xludf.DUMMYFUNCTION("""COMPUTED_VALUE"""),9.0)</f>
        <v>9</v>
      </c>
      <c r="BK2" s="16">
        <f>IFERROR(__xludf.DUMMYFUNCTION("""COMPUTED_VALUE"""),10.0)</f>
        <v>10</v>
      </c>
      <c r="BL2" s="16">
        <f>IFERROR(__xludf.DUMMYFUNCTION("""COMPUTED_VALUE"""),0.0)</f>
        <v>0</v>
      </c>
      <c r="BM2" s="16">
        <f>IFERROR(__xludf.DUMMYFUNCTION("""COMPUTED_VALUE"""),0.0)</f>
        <v>0</v>
      </c>
      <c r="BN2" s="16">
        <f>IFERROR(__xludf.DUMMYFUNCTION("""COMPUTED_VALUE"""),0.0)</f>
        <v>0</v>
      </c>
      <c r="BO2" s="16">
        <f>IFERROR(__xludf.DUMMYFUNCTION("""COMPUTED_VALUE"""),0.0)</f>
        <v>0</v>
      </c>
      <c r="BP2" s="16">
        <f>IFERROR(__xludf.DUMMYFUNCTION("""COMPUTED_VALUE"""),16.0)</f>
        <v>16</v>
      </c>
      <c r="BQ2" s="16">
        <f>IFERROR(__xludf.DUMMYFUNCTION("""COMPUTED_VALUE"""),18.0)</f>
        <v>18</v>
      </c>
      <c r="BR2" s="16">
        <f>IFERROR(__xludf.DUMMYFUNCTION("""COMPUTED_VALUE"""),34.0)</f>
        <v>34</v>
      </c>
      <c r="BS2" s="16" t="str">
        <f>IFERROR(__xludf.DUMMYFUNCTION("""COMPUTED_VALUE"""),"*3/- (20-6)")</f>
        <v>*3/- (20-6)</v>
      </c>
      <c r="BT2" s="16" t="str">
        <f>IFERROR(__xludf.DUMMYFUNCTION("""COMPUTED_VALUE"""),"B")</f>
        <v>B</v>
      </c>
      <c r="BU2" s="16">
        <f>IFERROR(__xludf.DUMMYFUNCTION("""COMPUTED_VALUE"""),13.0)</f>
        <v>13</v>
      </c>
      <c r="BV2" s="16">
        <f>IFERROR(__xludf.DUMMYFUNCTION("""COMPUTED_VALUE"""),1.0)</f>
        <v>1</v>
      </c>
      <c r="BW2" s="16">
        <f>IFERROR(__xludf.DUMMYFUNCTION("""COMPUTED_VALUE"""),1.0)</f>
        <v>1</v>
      </c>
      <c r="BX2" s="16">
        <f>IFERROR(__xludf.DUMMYFUNCTION("""COMPUTED_VALUE"""),2.0)</f>
        <v>2</v>
      </c>
      <c r="BY2" s="16">
        <f>IFERROR(__xludf.DUMMYFUNCTION("""COMPUTED_VALUE"""),3.0)</f>
        <v>3</v>
      </c>
      <c r="BZ2" s="16" t="str">
        <f>IFERROR(__xludf.DUMMYFUNCTION("""COMPUTED_VALUE"""),"D")</f>
        <v>D</v>
      </c>
      <c r="CA2" s="16" t="str">
        <f>IFERROR(__xludf.DUMMYFUNCTION("""COMPUTED_VALUE"""),"D")</f>
        <v>D</v>
      </c>
      <c r="CB2" s="16">
        <f>IFERROR(__xludf.DUMMYFUNCTION("""COMPUTED_VALUE"""),0.0)</f>
        <v>0</v>
      </c>
      <c r="CC2" s="16">
        <f>IFERROR(__xludf.DUMMYFUNCTION("""COMPUTED_VALUE"""),0.0)</f>
        <v>0</v>
      </c>
      <c r="CD2" s="16">
        <f>IFERROR(__xludf.DUMMYFUNCTION("""COMPUTED_VALUE"""),0.0)</f>
        <v>0</v>
      </c>
      <c r="CE2" s="16">
        <f>IFERROR(__xludf.DUMMYFUNCTION("""COMPUTED_VALUE"""),0.0)</f>
        <v>0</v>
      </c>
      <c r="CF2" s="16">
        <f>IFERROR(__xludf.DUMMYFUNCTION("""COMPUTED_VALUE"""),1.0)</f>
        <v>1</v>
      </c>
      <c r="CG2" s="16">
        <f>IFERROR(__xludf.DUMMYFUNCTION("""COMPUTED_VALUE"""),45.0)</f>
        <v>45</v>
      </c>
      <c r="CH2" s="16">
        <f>IFERROR(__xludf.DUMMYFUNCTION("""COMPUTED_VALUE"""),53.0)</f>
        <v>53</v>
      </c>
      <c r="CI2" s="179">
        <f>IFERROR(__xludf.DUMMYFUNCTION("""COMPUTED_VALUE"""),59.0)</f>
        <v>59</v>
      </c>
      <c r="CJ2" s="16"/>
      <c r="CK2" s="16"/>
      <c r="CL2" s="16"/>
      <c r="CM2" s="16"/>
      <c r="CN2" s="16"/>
      <c r="CO2" s="16">
        <f>IFERROR(__xludf.DUMMYFUNCTION("""COMPUTED_VALUE"""),300.0)</f>
        <v>300</v>
      </c>
      <c r="CP2" s="16">
        <f>IFERROR(__xludf.DUMMYFUNCTION("""COMPUTED_VALUE"""),300.0)</f>
        <v>300</v>
      </c>
      <c r="CQ2" s="16">
        <f>IFERROR(__xludf.DUMMYFUNCTION("""COMPUTED_VALUE"""),200.0)</f>
        <v>200</v>
      </c>
      <c r="CR2" s="16" t="str">
        <f>IFERROR(__xludf.DUMMYFUNCTION("""COMPUTED_VALUE"""),"cf-3(-4)e0 rf-2e0 lf-3e0")</f>
        <v>cf-3(-4)e0 rf-2e0 lf-3e0</v>
      </c>
      <c r="CS2" s="16"/>
      <c r="CT2" s="16"/>
      <c r="CU2" s="16"/>
      <c r="CV2" s="16"/>
      <c r="CW2" s="16"/>
      <c r="CX2" s="16">
        <f>IFERROR(__xludf.DUMMYFUNCTION("""COMPUTED_VALUE"""),3.0)</f>
        <v>3</v>
      </c>
      <c r="CY2" s="16">
        <f>IFERROR(__xludf.DUMMYFUNCTION("""COMPUTED_VALUE"""),3.0)</f>
        <v>3</v>
      </c>
      <c r="CZ2" s="16">
        <f>IFERROR(__xludf.DUMMYFUNCTION("""COMPUTED_VALUE"""),2.0)</f>
        <v>2</v>
      </c>
      <c r="DA2" s="16"/>
      <c r="DB2" s="16"/>
      <c r="DC2" s="16"/>
      <c r="DD2" s="16"/>
      <c r="DE2" s="16"/>
      <c r="DF2" s="16">
        <f>IFERROR(__xludf.DUMMYFUNCTION("""COMPUTED_VALUE"""),0.0)</f>
        <v>0</v>
      </c>
      <c r="DG2" s="16">
        <f>IFERROR(__xludf.DUMMYFUNCTION("""COMPUTED_VALUE"""),0.0)</f>
        <v>0</v>
      </c>
      <c r="DH2" s="16">
        <f>IFERROR(__xludf.DUMMYFUNCTION("""COMPUTED_VALUE"""),0.0)</f>
        <v>0</v>
      </c>
      <c r="DI2" s="16"/>
      <c r="DJ2" s="16"/>
      <c r="DK2" s="16"/>
      <c r="DL2" s="16"/>
      <c r="DM2" s="16"/>
      <c r="DN2" s="16">
        <f>IFERROR(__xludf.DUMMYFUNCTION("""COMPUTED_VALUE"""),0.0)</f>
        <v>0</v>
      </c>
      <c r="DO2" s="16">
        <f>IFERROR(__xludf.DUMMYFUNCTION("""COMPUTED_VALUE"""),0.0)</f>
        <v>0</v>
      </c>
      <c r="DP2" s="16">
        <f>IFERROR(__xludf.DUMMYFUNCTION("""COMPUTED_VALUE"""),3.0)</f>
        <v>3</v>
      </c>
      <c r="DQ2" s="16"/>
      <c r="DR2" s="16"/>
      <c r="DS2" s="16"/>
      <c r="DT2" s="16"/>
      <c r="DU2" s="16"/>
      <c r="DV2" s="16">
        <f>IFERROR(__xludf.DUMMYFUNCTION("""COMPUTED_VALUE"""),4.0)</f>
        <v>4</v>
      </c>
      <c r="DW2" s="16">
        <f>IFERROR(__xludf.DUMMYFUNCTION("""COMPUTED_VALUE"""),4.0)</f>
        <v>4</v>
      </c>
      <c r="DX2" s="16">
        <f>IFERROR(__xludf.DUMMYFUNCTION("""COMPUTED_VALUE"""),4.0)</f>
        <v>4</v>
      </c>
      <c r="DY2" s="16"/>
      <c r="DZ2" s="16"/>
      <c r="EA2" s="16"/>
      <c r="EB2" s="16"/>
      <c r="EC2" s="16"/>
      <c r="ED2" s="16">
        <f>IFERROR(__xludf.DUMMYFUNCTION("""COMPUTED_VALUE"""),4.0)</f>
        <v>4</v>
      </c>
      <c r="EE2" s="16">
        <f>IFERROR(__xludf.DUMMYFUNCTION("""COMPUTED_VALUE"""),4.0)</f>
        <v>4</v>
      </c>
      <c r="EF2" s="16">
        <f>IFERROR(__xludf.DUMMYFUNCTION("""COMPUTED_VALUE"""),7.0)</f>
        <v>7</v>
      </c>
      <c r="EG2" s="179"/>
      <c r="EH2" s="179"/>
      <c r="EI2" s="179"/>
      <c r="EJ2" s="179"/>
      <c r="EK2" s="179"/>
      <c r="EL2" s="179">
        <f>IFERROR(__xludf.DUMMYFUNCTION("""COMPUTED_VALUE"""),63.0)</f>
        <v>63</v>
      </c>
      <c r="EM2" s="179">
        <f>IFERROR(__xludf.DUMMYFUNCTION("""COMPUTED_VALUE"""),63.0)</f>
        <v>63</v>
      </c>
      <c r="EN2" s="179">
        <f>IFERROR(__xludf.DUMMYFUNCTION("""COMPUTED_VALUE"""),66.0)</f>
        <v>66</v>
      </c>
      <c r="EO2" s="16"/>
      <c r="EP2" s="16">
        <f>IFERROR(__xludf.DUMMYFUNCTION("""COMPUTED_VALUE"""),0.0)</f>
        <v>0</v>
      </c>
      <c r="EQ2" s="16">
        <f>IFERROR(__xludf.DUMMYFUNCTION("""COMPUTED_VALUE"""),4.0)</f>
        <v>4</v>
      </c>
      <c r="ER2" s="16">
        <f>IFERROR(__xludf.DUMMYFUNCTION("""COMPUTED_VALUE"""),3.0)</f>
        <v>3</v>
      </c>
      <c r="ES2" s="16"/>
      <c r="ET2" s="16"/>
      <c r="EU2" s="16"/>
      <c r="EV2" s="16"/>
      <c r="EW2" s="16"/>
      <c r="EX2" s="180"/>
      <c r="EY2" s="180"/>
      <c r="EZ2" s="180"/>
      <c r="FA2" s="180"/>
      <c r="FB2" s="180"/>
      <c r="FC2" s="180">
        <f>IFERROR(__xludf.DUMMYFUNCTION("""COMPUTED_VALUE"""),0.3)</f>
        <v>0.3</v>
      </c>
      <c r="FD2" s="180">
        <f>IFERROR(__xludf.DUMMYFUNCTION("""COMPUTED_VALUE"""),0.3)</f>
        <v>0.3</v>
      </c>
      <c r="FE2" s="180">
        <f>IFERROR(__xludf.DUMMYFUNCTION("""COMPUTED_VALUE"""),0.15)</f>
        <v>0.15</v>
      </c>
      <c r="FF2" s="180"/>
      <c r="FG2" s="180"/>
      <c r="FH2" s="180"/>
      <c r="FI2" s="180"/>
      <c r="FJ2" s="180"/>
      <c r="FK2" s="180">
        <f>IFERROR(__xludf.DUMMYFUNCTION("""COMPUTED_VALUE"""),0.0)</f>
        <v>0</v>
      </c>
      <c r="FL2" s="180">
        <f>IFERROR(__xludf.DUMMYFUNCTION("""COMPUTED_VALUE"""),0.0)</f>
        <v>0</v>
      </c>
      <c r="FM2" s="180">
        <f>IFERROR(__xludf.DUMMYFUNCTION("""COMPUTED_VALUE"""),0.0)</f>
        <v>0</v>
      </c>
      <c r="FN2" s="16"/>
      <c r="FO2" s="16"/>
      <c r="FP2" s="16"/>
      <c r="FQ2" s="16"/>
      <c r="FR2" s="16"/>
      <c r="FS2" s="16">
        <f>IFERROR(__xludf.DUMMYFUNCTION("""COMPUTED_VALUE"""),0.7)</f>
        <v>0.7</v>
      </c>
      <c r="FT2" s="16">
        <f>IFERROR(__xludf.DUMMYFUNCTION("""COMPUTED_VALUE"""),0.7)</f>
        <v>0.7</v>
      </c>
      <c r="FU2" s="16">
        <f>IFERROR(__xludf.DUMMYFUNCTION("""COMPUTED_VALUE"""),0.85)</f>
        <v>0.85</v>
      </c>
      <c r="FV2" s="16"/>
      <c r="FW2" s="16"/>
      <c r="FX2" s="16"/>
      <c r="FY2" s="16"/>
      <c r="FZ2" s="16"/>
      <c r="GA2" s="16">
        <f>IFERROR(__xludf.DUMMYFUNCTION("""COMPUTED_VALUE"""),-4.0)</f>
        <v>-4</v>
      </c>
      <c r="GB2" s="16">
        <f>IFERROR(__xludf.DUMMYFUNCTION("""COMPUTED_VALUE"""),-4.0)</f>
        <v>-4</v>
      </c>
      <c r="GC2" s="16">
        <f>IFERROR(__xludf.DUMMYFUNCTION("""COMPUTED_VALUE"""),1.0)</f>
        <v>1</v>
      </c>
      <c r="GD2" s="16" t="str">
        <f t="array" ref="GD2:GD1000">if(A2:A1000&lt;&gt;"",VLOOKUP(A2:A1000,Imports!A:G,7,TRUE),)</f>
        <v>WAI</v>
      </c>
    </row>
    <row r="3">
      <c r="A3" s="16">
        <f>IFERROR(__xludf.DUMMYFUNCTION("""COMPUTED_VALUE"""),13375.0)</f>
        <v>13375</v>
      </c>
      <c r="B3" s="16" t="str">
        <f>IFERROR(__xludf.DUMMYFUNCTION("""COMPUTED_VALUE"""),"Shohei Ohtani")</f>
        <v>Shohei Ohtani</v>
      </c>
      <c r="C3" s="16">
        <f>IFERROR(__xludf.DUMMYFUNCTION("""COMPUTED_VALUE"""),3.65)</f>
        <v>3.65</v>
      </c>
      <c r="D3" s="16" t="str">
        <f>IFERROR(__xludf.DUMMYFUNCTION("""COMPUTED_VALUE"""),"L")</f>
        <v>L</v>
      </c>
      <c r="E3" s="16"/>
      <c r="F3" s="16"/>
      <c r="G3" s="16">
        <f>IFERROR(__xludf.DUMMYFUNCTION("""COMPUTED_VALUE"""),636.0)</f>
        <v>636</v>
      </c>
      <c r="H3" s="16">
        <f>IFERROR(__xludf.DUMMYFUNCTION("""COMPUTED_VALUE"""),81.0)</f>
        <v>81</v>
      </c>
      <c r="I3" s="16" t="str">
        <f>IFERROR(__xludf.DUMMYFUNCTION("""COMPUTED_VALUE"""),"1p70")</f>
        <v>1p70</v>
      </c>
      <c r="J3" s="16">
        <f>IFERROR(__xludf.DUMMYFUNCTION("""COMPUTED_VALUE"""),24.0)</f>
        <v>24</v>
      </c>
      <c r="K3" s="16">
        <f>IFERROR(__xludf.DUMMYFUNCTION("""COMPUTED_VALUE"""),24.0)</f>
        <v>24</v>
      </c>
      <c r="L3" s="16">
        <f>IFERROR(__xludf.DUMMYFUNCTION("""COMPUTED_VALUE"""),0.0)</f>
        <v>0</v>
      </c>
      <c r="M3" s="16">
        <f>IFERROR(__xludf.DUMMYFUNCTION("""COMPUTED_VALUE"""),0.0)</f>
        <v>0</v>
      </c>
      <c r="N3" s="16">
        <f>IFERROR(__xludf.DUMMYFUNCTION("""COMPUTED_VALUE"""),0.0)</f>
        <v>0</v>
      </c>
      <c r="O3" s="16">
        <f>IFERROR(__xludf.DUMMYFUNCTION("""COMPUTED_VALUE"""),0.0)</f>
        <v>0</v>
      </c>
      <c r="P3" s="16">
        <f>IFERROR(__xludf.DUMMYFUNCTION("""COMPUTED_VALUE"""),10.0)</f>
        <v>10</v>
      </c>
      <c r="Q3" s="16">
        <f>IFERROR(__xludf.DUMMYFUNCTION("""COMPUTED_VALUE"""),14.0)</f>
        <v>14</v>
      </c>
      <c r="R3" s="16">
        <f>IFERROR(__xludf.DUMMYFUNCTION("""COMPUTED_VALUE"""),1.0)</f>
        <v>1</v>
      </c>
      <c r="S3" s="16">
        <f>IFERROR(__xludf.DUMMYFUNCTION("""COMPUTED_VALUE"""),2.0)</f>
        <v>2</v>
      </c>
      <c r="T3" s="16">
        <f>IFERROR(__xludf.DUMMYFUNCTION("""COMPUTED_VALUE"""),1.0)</f>
        <v>1</v>
      </c>
      <c r="U3" s="16">
        <f>IFERROR(__xludf.DUMMYFUNCTION("""COMPUTED_VALUE"""),2.0)</f>
        <v>2</v>
      </c>
      <c r="V3" s="16">
        <f>IFERROR(__xludf.DUMMYFUNCTION("""COMPUTED_VALUE"""),27.8)</f>
        <v>27.8</v>
      </c>
      <c r="W3" s="16">
        <f>IFERROR(__xludf.DUMMYFUNCTION("""COMPUTED_VALUE"""),31.0)</f>
        <v>31</v>
      </c>
      <c r="X3" s="16">
        <f>IFERROR(__xludf.DUMMYFUNCTION("""COMPUTED_VALUE"""),1.0)</f>
        <v>1</v>
      </c>
      <c r="Y3" s="16">
        <f>IFERROR(__xludf.DUMMYFUNCTION("""COMPUTED_VALUE"""),2.0)</f>
        <v>2</v>
      </c>
      <c r="Z3" s="16">
        <f>IFERROR(__xludf.DUMMYFUNCTION("""COMPUTED_VALUE"""),2.0)</f>
        <v>2</v>
      </c>
      <c r="AA3" s="16">
        <f>IFERROR(__xludf.DUMMYFUNCTION("""COMPUTED_VALUE"""),4.0)</f>
        <v>4</v>
      </c>
      <c r="AB3" s="16">
        <f>IFERROR(__xludf.DUMMYFUNCTION("""COMPUTED_VALUE"""),39.8)</f>
        <v>39.8</v>
      </c>
      <c r="AC3" s="16">
        <f>IFERROR(__xludf.DUMMYFUNCTION("""COMPUTED_VALUE"""),47.0)</f>
        <v>47</v>
      </c>
      <c r="AD3" s="16">
        <f>IFERROR(__xludf.DUMMYFUNCTION("""COMPUTED_VALUE"""),1.0)</f>
        <v>1</v>
      </c>
      <c r="AE3" s="16">
        <f>IFERROR(__xludf.DUMMYFUNCTION("""COMPUTED_VALUE"""),2.0)</f>
        <v>2</v>
      </c>
      <c r="AF3" s="16">
        <f>IFERROR(__xludf.DUMMYFUNCTION("""COMPUTED_VALUE"""),5.0)</f>
        <v>5</v>
      </c>
      <c r="AG3" s="16">
        <f>IFERROR(__xludf.DUMMYFUNCTION("""COMPUTED_VALUE"""),10.0)</f>
        <v>10</v>
      </c>
      <c r="AH3" s="16">
        <f>IFERROR(__xludf.DUMMYFUNCTION("""COMPUTED_VALUE"""),48.0)</f>
        <v>48</v>
      </c>
      <c r="AI3" s="16">
        <f>IFERROR(__xludf.DUMMYFUNCTION("""COMPUTED_VALUE"""),75.8)</f>
        <v>75.8</v>
      </c>
      <c r="AJ3" s="16">
        <f>IFERROR(__xludf.DUMMYFUNCTION("""COMPUTED_VALUE"""),1.0)</f>
        <v>1</v>
      </c>
      <c r="AK3" s="16">
        <f>IFERROR(__xludf.DUMMYFUNCTION("""COMPUTED_VALUE"""),4.0)</f>
        <v>4</v>
      </c>
      <c r="AL3" s="16">
        <f>IFERROR(__xludf.DUMMYFUNCTION("""COMPUTED_VALUE"""),5.0)</f>
        <v>5</v>
      </c>
      <c r="AM3" s="16">
        <f>IFERROR(__xludf.DUMMYFUNCTION("""COMPUTED_VALUE"""),20.0)</f>
        <v>20</v>
      </c>
      <c r="AN3" s="16">
        <f>IFERROR(__xludf.DUMMYFUNCTION("""COMPUTED_VALUE"""),4.0)</f>
        <v>4</v>
      </c>
      <c r="AO3" s="16">
        <f>IFERROR(__xludf.DUMMYFUNCTION("""COMPUTED_VALUE"""),11.8)</f>
        <v>11.8</v>
      </c>
      <c r="AP3" s="16">
        <f>IFERROR(__xludf.DUMMYFUNCTION("""COMPUTED_VALUE"""),2.0)</f>
        <v>2</v>
      </c>
      <c r="AQ3" s="16">
        <f>IFERROR(__xludf.DUMMYFUNCTION("""COMPUTED_VALUE"""),3.0)</f>
        <v>3</v>
      </c>
      <c r="AR3" s="16">
        <f>IFERROR(__xludf.DUMMYFUNCTION("""COMPUTED_VALUE"""),4.0)</f>
        <v>4</v>
      </c>
      <c r="AS3" s="16">
        <f>IFERROR(__xludf.DUMMYFUNCTION("""COMPUTED_VALUE"""),6.0)</f>
        <v>6</v>
      </c>
      <c r="AT3" s="16">
        <f>IFERROR(__xludf.DUMMYFUNCTION("""COMPUTED_VALUE"""),7.0)</f>
        <v>7</v>
      </c>
      <c r="AU3" s="16">
        <f>IFERROR(__xludf.DUMMYFUNCTION("""COMPUTED_VALUE"""),8.0)</f>
        <v>8</v>
      </c>
      <c r="AV3" s="16">
        <f>IFERROR(__xludf.DUMMYFUNCTION("""COMPUTED_VALUE"""),7.0)</f>
        <v>7</v>
      </c>
      <c r="AW3" s="16">
        <f>IFERROR(__xludf.DUMMYFUNCTION("""COMPUTED_VALUE"""),8.0)</f>
        <v>8</v>
      </c>
      <c r="AX3" s="16">
        <f>IFERROR(__xludf.DUMMYFUNCTION("""COMPUTED_VALUE"""),3.0)</f>
        <v>3</v>
      </c>
      <c r="AY3" s="16">
        <f>IFERROR(__xludf.DUMMYFUNCTION("""COMPUTED_VALUE"""),3.0)</f>
        <v>3</v>
      </c>
      <c r="AZ3" s="16">
        <f>IFERROR(__xludf.DUMMYFUNCTION("""COMPUTED_VALUE"""),9.0)</f>
        <v>9</v>
      </c>
      <c r="BA3" s="16">
        <f>IFERROR(__xludf.DUMMYFUNCTION("""COMPUTED_VALUE"""),9.0)</f>
        <v>9</v>
      </c>
      <c r="BB3" s="16">
        <f>IFERROR(__xludf.DUMMYFUNCTION("""COMPUTED_VALUE"""),5.0)</f>
        <v>5</v>
      </c>
      <c r="BC3" s="16">
        <f>IFERROR(__xludf.DUMMYFUNCTION("""COMPUTED_VALUE"""),5.0)</f>
        <v>5</v>
      </c>
      <c r="BD3" s="16">
        <f>IFERROR(__xludf.DUMMYFUNCTION("""COMPUTED_VALUE"""),1.0)</f>
        <v>1</v>
      </c>
      <c r="BE3" s="16">
        <f>IFERROR(__xludf.DUMMYFUNCTION("""COMPUTED_VALUE"""),1.0)</f>
        <v>1</v>
      </c>
      <c r="BF3" s="16">
        <f>IFERROR(__xludf.DUMMYFUNCTION("""COMPUTED_VALUE"""),1.0)</f>
        <v>1</v>
      </c>
      <c r="BG3" s="16">
        <f>IFERROR(__xludf.DUMMYFUNCTION("""COMPUTED_VALUE"""),1.0)</f>
        <v>1</v>
      </c>
      <c r="BH3" s="16">
        <f>IFERROR(__xludf.DUMMYFUNCTION("""COMPUTED_VALUE"""),-11.0)</f>
        <v>-11</v>
      </c>
      <c r="BI3" s="16">
        <f>IFERROR(__xludf.DUMMYFUNCTION("""COMPUTED_VALUE"""),-8.0)</f>
        <v>-8</v>
      </c>
      <c r="BJ3" s="16">
        <f>IFERROR(__xludf.DUMMYFUNCTION("""COMPUTED_VALUE"""),6.0)</f>
        <v>6</v>
      </c>
      <c r="BK3" s="16">
        <f>IFERROR(__xludf.DUMMYFUNCTION("""COMPUTED_VALUE"""),5.0)</f>
        <v>5</v>
      </c>
      <c r="BL3" s="16">
        <f>IFERROR(__xludf.DUMMYFUNCTION("""COMPUTED_VALUE"""),1.0)</f>
        <v>1</v>
      </c>
      <c r="BM3" s="16">
        <f>IFERROR(__xludf.DUMMYFUNCTION("""COMPUTED_VALUE"""),1.0)</f>
        <v>1</v>
      </c>
      <c r="BN3" s="16">
        <f>IFERROR(__xludf.DUMMYFUNCTION("""COMPUTED_VALUE"""),1.0)</f>
        <v>1</v>
      </c>
      <c r="BO3" s="16">
        <f>IFERROR(__xludf.DUMMYFUNCTION("""COMPUTED_VALUE"""),1.0)</f>
        <v>1</v>
      </c>
      <c r="BP3" s="16">
        <f>IFERROR(__xludf.DUMMYFUNCTION("""COMPUTED_VALUE"""),11.0)</f>
        <v>11</v>
      </c>
      <c r="BQ3" s="16">
        <f>IFERROR(__xludf.DUMMYFUNCTION("""COMPUTED_VALUE"""),18.0)</f>
        <v>18</v>
      </c>
      <c r="BR3" s="16">
        <f>IFERROR(__xludf.DUMMYFUNCTION("""COMPUTED_VALUE"""),29.0)</f>
        <v>29</v>
      </c>
      <c r="BS3" s="16" t="str">
        <f>IFERROR(__xludf.DUMMYFUNCTION("""COMPUTED_VALUE"""),"*2-5,11,12/- (19-15)")</f>
        <v>*2-5,11,12/- (19-15)</v>
      </c>
      <c r="BT3" s="16" t="str">
        <f>IFERROR(__xludf.DUMMYFUNCTION("""COMPUTED_VALUE"""),"AA")</f>
        <v>AA</v>
      </c>
      <c r="BU3" s="16">
        <f>IFERROR(__xludf.DUMMYFUNCTION("""COMPUTED_VALUE"""),17.0)</f>
        <v>17</v>
      </c>
      <c r="BV3" s="16">
        <f>IFERROR(__xludf.DUMMYFUNCTION("""COMPUTED_VALUE"""),3.0)</f>
        <v>3</v>
      </c>
      <c r="BW3" s="16">
        <f>IFERROR(__xludf.DUMMYFUNCTION("""COMPUTED_VALUE"""),3.0)</f>
        <v>3</v>
      </c>
      <c r="BX3" s="16">
        <f>IFERROR(__xludf.DUMMYFUNCTION("""COMPUTED_VALUE"""),6.0)</f>
        <v>6</v>
      </c>
      <c r="BY3" s="16">
        <f>IFERROR(__xludf.DUMMYFUNCTION("""COMPUTED_VALUE"""),9.0)</f>
        <v>9</v>
      </c>
      <c r="BZ3" s="16" t="str">
        <f>IFERROR(__xludf.DUMMYFUNCTION("""COMPUTED_VALUE"""),"D")</f>
        <v>D</v>
      </c>
      <c r="CA3" s="16" t="str">
        <f>IFERROR(__xludf.DUMMYFUNCTION("""COMPUTED_VALUE"""),"D")</f>
        <v>D</v>
      </c>
      <c r="CB3" s="16">
        <f>IFERROR(__xludf.DUMMYFUNCTION("""COMPUTED_VALUE"""),0.0)</f>
        <v>0</v>
      </c>
      <c r="CC3" s="16">
        <f>IFERROR(__xludf.DUMMYFUNCTION("""COMPUTED_VALUE"""),0.0)</f>
        <v>0</v>
      </c>
      <c r="CD3" s="16">
        <f>IFERROR(__xludf.DUMMYFUNCTION("""COMPUTED_VALUE"""),0.0)</f>
        <v>0</v>
      </c>
      <c r="CE3" s="16">
        <f>IFERROR(__xludf.DUMMYFUNCTION("""COMPUTED_VALUE"""),0.0)</f>
        <v>0</v>
      </c>
      <c r="CF3" s="16">
        <f>IFERROR(__xludf.DUMMYFUNCTION("""COMPUTED_VALUE"""),1.0)</f>
        <v>1</v>
      </c>
      <c r="CG3" s="16">
        <f>IFERROR(__xludf.DUMMYFUNCTION("""COMPUTED_VALUE"""),28.0)</f>
        <v>28</v>
      </c>
      <c r="CH3" s="16">
        <f>IFERROR(__xludf.DUMMYFUNCTION("""COMPUTED_VALUE"""),53.0)</f>
        <v>53</v>
      </c>
      <c r="CI3" s="179">
        <f>IFERROR(__xludf.DUMMYFUNCTION("""COMPUTED_VALUE"""),58.0)</f>
        <v>58</v>
      </c>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79"/>
      <c r="EH3" s="179"/>
      <c r="EI3" s="179"/>
      <c r="EJ3" s="179"/>
      <c r="EK3" s="179"/>
      <c r="EL3" s="179"/>
      <c r="EM3" s="179"/>
      <c r="EN3" s="179"/>
      <c r="EO3" s="16"/>
      <c r="EP3" s="16">
        <f>IFERROR(__xludf.DUMMYFUNCTION("""COMPUTED_VALUE"""),0.0)</f>
        <v>0</v>
      </c>
      <c r="EQ3" s="16">
        <f>IFERROR(__xludf.DUMMYFUNCTION("""COMPUTED_VALUE"""),4.0)</f>
        <v>4</v>
      </c>
      <c r="ER3" s="16">
        <f>IFERROR(__xludf.DUMMYFUNCTION("""COMPUTED_VALUE"""),3.0)</f>
        <v>3</v>
      </c>
      <c r="ES3" s="16"/>
      <c r="ET3" s="16"/>
      <c r="EU3" s="16"/>
      <c r="EV3" s="16"/>
      <c r="EW3" s="16"/>
      <c r="EX3" s="180"/>
      <c r="EY3" s="180"/>
      <c r="EZ3" s="180"/>
      <c r="FA3" s="180"/>
      <c r="FB3" s="180"/>
      <c r="FC3" s="180"/>
      <c r="FD3" s="180"/>
      <c r="FE3" s="180"/>
      <c r="FF3" s="180"/>
      <c r="FG3" s="180"/>
      <c r="FH3" s="180"/>
      <c r="FI3" s="180"/>
      <c r="FJ3" s="180"/>
      <c r="FK3" s="180"/>
      <c r="FL3" s="180"/>
      <c r="FM3" s="180"/>
      <c r="FN3" s="16"/>
      <c r="FO3" s="16"/>
      <c r="FP3" s="16"/>
      <c r="FQ3" s="16"/>
      <c r="FR3" s="16"/>
      <c r="FS3" s="16"/>
      <c r="FT3" s="16"/>
      <c r="FU3" s="16"/>
      <c r="FV3" s="16"/>
      <c r="FW3" s="16"/>
      <c r="FX3" s="16"/>
      <c r="FY3" s="16"/>
      <c r="FZ3" s="16"/>
      <c r="GA3" s="16"/>
      <c r="GB3" s="16"/>
      <c r="GC3" s="16"/>
      <c r="GD3" s="16" t="s">
        <v>361</v>
      </c>
    </row>
    <row r="4">
      <c r="A4" s="16">
        <f>IFERROR(__xludf.DUMMYFUNCTION("""COMPUTED_VALUE"""),12588.0)</f>
        <v>12588</v>
      </c>
      <c r="B4" s="16" t="str">
        <f>IFERROR(__xludf.DUMMYFUNCTION("""COMPUTED_VALUE"""),"Bobby Witt Jr")</f>
        <v>Bobby Witt Jr</v>
      </c>
      <c r="C4" s="16">
        <f>IFERROR(__xludf.DUMMYFUNCTION("""COMPUTED_VALUE"""),3.84)</f>
        <v>3.84</v>
      </c>
      <c r="D4" s="16" t="str">
        <f>IFERROR(__xludf.DUMMYFUNCTION("""COMPUTED_VALUE"""),"R")</f>
        <v>R</v>
      </c>
      <c r="E4" s="16"/>
      <c r="F4" s="16"/>
      <c r="G4" s="16">
        <f>IFERROR(__xludf.DUMMYFUNCTION("""COMPUTED_VALUE"""),636.0)</f>
        <v>636</v>
      </c>
      <c r="H4" s="16">
        <f>IFERROR(__xludf.DUMMYFUNCTION("""COMPUTED_VALUE"""),57.0)</f>
        <v>57</v>
      </c>
      <c r="I4" s="16" t="str">
        <f>IFERROR(__xludf.DUMMYFUNCTION("""COMPUTED_VALUE"""),"1p70")</f>
        <v>1p70</v>
      </c>
      <c r="J4" s="16">
        <f>IFERROR(__xludf.DUMMYFUNCTION("""COMPUTED_VALUE"""),3.0)</f>
        <v>3</v>
      </c>
      <c r="K4" s="16">
        <f>IFERROR(__xludf.DUMMYFUNCTION("""COMPUTED_VALUE"""),9.0)</f>
        <v>9</v>
      </c>
      <c r="L4" s="16">
        <f>IFERROR(__xludf.DUMMYFUNCTION("""COMPUTED_VALUE"""),2.0)</f>
        <v>2</v>
      </c>
      <c r="M4" s="16">
        <f>IFERROR(__xludf.DUMMYFUNCTION("""COMPUTED_VALUE"""),2.0)</f>
        <v>2</v>
      </c>
      <c r="N4" s="16">
        <f>IFERROR(__xludf.DUMMYFUNCTION("""COMPUTED_VALUE"""),2.0)</f>
        <v>2</v>
      </c>
      <c r="O4" s="16">
        <f>IFERROR(__xludf.DUMMYFUNCTION("""COMPUTED_VALUE"""),2.0)</f>
        <v>2</v>
      </c>
      <c r="P4" s="16">
        <f>IFERROR(__xludf.DUMMYFUNCTION("""COMPUTED_VALUE"""),0.0)</f>
        <v>0</v>
      </c>
      <c r="Q4" s="16">
        <f>IFERROR(__xludf.DUMMYFUNCTION("""COMPUTED_VALUE"""),9.0)</f>
        <v>9</v>
      </c>
      <c r="R4" s="16">
        <f>IFERROR(__xludf.DUMMYFUNCTION("""COMPUTED_VALUE"""),-3.0)</f>
        <v>-3</v>
      </c>
      <c r="S4" s="16">
        <f>IFERROR(__xludf.DUMMYFUNCTION("""COMPUTED_VALUE"""),0.0)</f>
        <v>0</v>
      </c>
      <c r="T4" s="16">
        <f>IFERROR(__xludf.DUMMYFUNCTION("""COMPUTED_VALUE"""),-3.0)</f>
        <v>-3</v>
      </c>
      <c r="U4" s="16">
        <f>IFERROR(__xludf.DUMMYFUNCTION("""COMPUTED_VALUE"""),0.0)</f>
        <v>0</v>
      </c>
      <c r="V4" s="16">
        <f>IFERROR(__xludf.DUMMYFUNCTION("""COMPUTED_VALUE"""),34.3)</f>
        <v>34.3</v>
      </c>
      <c r="W4" s="16">
        <f>IFERROR(__xludf.DUMMYFUNCTION("""COMPUTED_VALUE"""),33.7)</f>
        <v>33.7</v>
      </c>
      <c r="X4" s="16">
        <f>IFERROR(__xludf.DUMMYFUNCTION("""COMPUTED_VALUE"""),2.0)</f>
        <v>2</v>
      </c>
      <c r="Y4" s="16">
        <f>IFERROR(__xludf.DUMMYFUNCTION("""COMPUTED_VALUE"""),2.0)</f>
        <v>2</v>
      </c>
      <c r="Z4" s="16">
        <f>IFERROR(__xludf.DUMMYFUNCTION("""COMPUTED_VALUE"""),4.0)</f>
        <v>4</v>
      </c>
      <c r="AA4" s="16">
        <f>IFERROR(__xludf.DUMMYFUNCTION("""COMPUTED_VALUE"""),4.0)</f>
        <v>4</v>
      </c>
      <c r="AB4" s="16">
        <f>IFERROR(__xludf.DUMMYFUNCTION("""COMPUTED_VALUE"""),37.3)</f>
        <v>37.3</v>
      </c>
      <c r="AC4" s="16">
        <f>IFERROR(__xludf.DUMMYFUNCTION("""COMPUTED_VALUE"""),45.7)</f>
        <v>45.7</v>
      </c>
      <c r="AD4" s="16">
        <f>IFERROR(__xludf.DUMMYFUNCTION("""COMPUTED_VALUE"""),1.0)</f>
        <v>1</v>
      </c>
      <c r="AE4" s="16">
        <f>IFERROR(__xludf.DUMMYFUNCTION("""COMPUTED_VALUE"""),2.0)</f>
        <v>2</v>
      </c>
      <c r="AF4" s="16">
        <f>IFERROR(__xludf.DUMMYFUNCTION("""COMPUTED_VALUE"""),5.0)</f>
        <v>5</v>
      </c>
      <c r="AG4" s="16">
        <f>IFERROR(__xludf.DUMMYFUNCTION("""COMPUTED_VALUE"""),10.0)</f>
        <v>10</v>
      </c>
      <c r="AH4" s="16">
        <f>IFERROR(__xludf.DUMMYFUNCTION("""COMPUTED_VALUE"""),52.0)</f>
        <v>52</v>
      </c>
      <c r="AI4" s="16">
        <f>IFERROR(__xludf.DUMMYFUNCTION("""COMPUTED_VALUE"""),62.1)</f>
        <v>62.1</v>
      </c>
      <c r="AJ4" s="16">
        <f>IFERROR(__xludf.DUMMYFUNCTION("""COMPUTED_VALUE"""),2.0)</f>
        <v>2</v>
      </c>
      <c r="AK4" s="16">
        <f>IFERROR(__xludf.DUMMYFUNCTION("""COMPUTED_VALUE"""),3.0)</f>
        <v>3</v>
      </c>
      <c r="AL4" s="16">
        <f>IFERROR(__xludf.DUMMYFUNCTION("""COMPUTED_VALUE"""),10.0)</f>
        <v>10</v>
      </c>
      <c r="AM4" s="16">
        <f>IFERROR(__xludf.DUMMYFUNCTION("""COMPUTED_VALUE"""),15.0)</f>
        <v>15</v>
      </c>
      <c r="AN4" s="16">
        <f>IFERROR(__xludf.DUMMYFUNCTION("""COMPUTED_VALUE"""),1.8)</f>
        <v>1.8</v>
      </c>
      <c r="AO4" s="16">
        <f>IFERROR(__xludf.DUMMYFUNCTION("""COMPUTED_VALUE"""),4.4)</f>
        <v>4.4</v>
      </c>
      <c r="AP4" s="16">
        <f>IFERROR(__xludf.DUMMYFUNCTION("""COMPUTED_VALUE"""),-1.0)</f>
        <v>-1</v>
      </c>
      <c r="AQ4" s="16">
        <f>IFERROR(__xludf.DUMMYFUNCTION("""COMPUTED_VALUE"""),2.0)</f>
        <v>2</v>
      </c>
      <c r="AR4" s="16">
        <f>IFERROR(__xludf.DUMMYFUNCTION("""COMPUTED_VALUE"""),-2.0)</f>
        <v>-2</v>
      </c>
      <c r="AS4" s="16">
        <f>IFERROR(__xludf.DUMMYFUNCTION("""COMPUTED_VALUE"""),4.0)</f>
        <v>4</v>
      </c>
      <c r="AT4" s="16">
        <f>IFERROR(__xludf.DUMMYFUNCTION("""COMPUTED_VALUE"""),2.0)</f>
        <v>2</v>
      </c>
      <c r="AU4" s="16">
        <f>IFERROR(__xludf.DUMMYFUNCTION("""COMPUTED_VALUE"""),8.0)</f>
        <v>8</v>
      </c>
      <c r="AV4" s="16">
        <f>IFERROR(__xludf.DUMMYFUNCTION("""COMPUTED_VALUE"""),2.0)</f>
        <v>2</v>
      </c>
      <c r="AW4" s="16">
        <f>IFERROR(__xludf.DUMMYFUNCTION("""COMPUTED_VALUE"""),8.0)</f>
        <v>8</v>
      </c>
      <c r="AX4" s="16">
        <f>IFERROR(__xludf.DUMMYFUNCTION("""COMPUTED_VALUE"""),0.0)</f>
        <v>0</v>
      </c>
      <c r="AY4" s="16">
        <f>IFERROR(__xludf.DUMMYFUNCTION("""COMPUTED_VALUE"""),3.0)</f>
        <v>3</v>
      </c>
      <c r="AZ4" s="16">
        <f>IFERROR(__xludf.DUMMYFUNCTION("""COMPUTED_VALUE"""),0.0)</f>
        <v>0</v>
      </c>
      <c r="BA4" s="16">
        <f>IFERROR(__xludf.DUMMYFUNCTION("""COMPUTED_VALUE"""),9.0)</f>
        <v>9</v>
      </c>
      <c r="BB4" s="16">
        <f>IFERROR(__xludf.DUMMYFUNCTION("""COMPUTED_VALUE"""),5.0)</f>
        <v>5</v>
      </c>
      <c r="BC4" s="16">
        <f>IFERROR(__xludf.DUMMYFUNCTION("""COMPUTED_VALUE"""),5.0)</f>
        <v>5</v>
      </c>
      <c r="BD4" s="16">
        <f>IFERROR(__xludf.DUMMYFUNCTION("""COMPUTED_VALUE"""),1.0)</f>
        <v>1</v>
      </c>
      <c r="BE4" s="16">
        <f>IFERROR(__xludf.DUMMYFUNCTION("""COMPUTED_VALUE"""),1.0)</f>
        <v>1</v>
      </c>
      <c r="BF4" s="16">
        <f>IFERROR(__xludf.DUMMYFUNCTION("""COMPUTED_VALUE"""),1.0)</f>
        <v>1</v>
      </c>
      <c r="BG4" s="16">
        <f>IFERROR(__xludf.DUMMYFUNCTION("""COMPUTED_VALUE"""),1.0)</f>
        <v>1</v>
      </c>
      <c r="BH4" s="16">
        <f>IFERROR(__xludf.DUMMYFUNCTION("""COMPUTED_VALUE"""),3.0)</f>
        <v>3</v>
      </c>
      <c r="BI4" s="16">
        <f>IFERROR(__xludf.DUMMYFUNCTION("""COMPUTED_VALUE"""),2.0)</f>
        <v>2</v>
      </c>
      <c r="BJ4" s="16">
        <f>IFERROR(__xludf.DUMMYFUNCTION("""COMPUTED_VALUE"""),1.0)</f>
        <v>1</v>
      </c>
      <c r="BK4" s="16">
        <f>IFERROR(__xludf.DUMMYFUNCTION("""COMPUTED_VALUE"""),1.0)</f>
        <v>1</v>
      </c>
      <c r="BL4" s="16">
        <f>IFERROR(__xludf.DUMMYFUNCTION("""COMPUTED_VALUE"""),2.0)</f>
        <v>2</v>
      </c>
      <c r="BM4" s="16">
        <f>IFERROR(__xludf.DUMMYFUNCTION("""COMPUTED_VALUE"""),2.0)</f>
        <v>2</v>
      </c>
      <c r="BN4" s="16">
        <f>IFERROR(__xludf.DUMMYFUNCTION("""COMPUTED_VALUE"""),2.0)</f>
        <v>2</v>
      </c>
      <c r="BO4" s="16">
        <f>IFERROR(__xludf.DUMMYFUNCTION("""COMPUTED_VALUE"""),2.0)</f>
        <v>2</v>
      </c>
      <c r="BP4" s="16">
        <f>IFERROR(__xludf.DUMMYFUNCTION("""COMPUTED_VALUE"""),6.0)</f>
        <v>6</v>
      </c>
      <c r="BQ4" s="16">
        <f>IFERROR(__xludf.DUMMYFUNCTION("""COMPUTED_VALUE"""),17.0)</f>
        <v>17</v>
      </c>
      <c r="BR4" s="16">
        <f>IFERROR(__xludf.DUMMYFUNCTION("""COMPUTED_VALUE"""),23.0)</f>
        <v>23</v>
      </c>
      <c r="BS4" s="16" t="str">
        <f>IFERROR(__xludf.DUMMYFUNCTION("""COMPUTED_VALUE"""),"*2-6/- (17-13)")</f>
        <v>*2-6/- (17-13)</v>
      </c>
      <c r="BT4" s="16" t="str">
        <f>IFERROR(__xludf.DUMMYFUNCTION("""COMPUTED_VALUE"""),"A")</f>
        <v>A</v>
      </c>
      <c r="BU4" s="16">
        <f>IFERROR(__xludf.DUMMYFUNCTION("""COMPUTED_VALUE"""),17.0)</f>
        <v>17</v>
      </c>
      <c r="BV4" s="16">
        <f>IFERROR(__xludf.DUMMYFUNCTION("""COMPUTED_VALUE"""),2.0)</f>
        <v>2</v>
      </c>
      <c r="BW4" s="16">
        <f>IFERROR(__xludf.DUMMYFUNCTION("""COMPUTED_VALUE"""),3.0)</f>
        <v>3</v>
      </c>
      <c r="BX4" s="16">
        <f>IFERROR(__xludf.DUMMYFUNCTION("""COMPUTED_VALUE"""),4.0)</f>
        <v>4</v>
      </c>
      <c r="BY4" s="16">
        <f>IFERROR(__xludf.DUMMYFUNCTION("""COMPUTED_VALUE"""),9.0)</f>
        <v>9</v>
      </c>
      <c r="BZ4" s="16" t="str">
        <f>IFERROR(__xludf.DUMMYFUNCTION("""COMPUTED_VALUE"""),"D")</f>
        <v>D</v>
      </c>
      <c r="CA4" s="16" t="str">
        <f>IFERROR(__xludf.DUMMYFUNCTION("""COMPUTED_VALUE"""),"C")</f>
        <v>C</v>
      </c>
      <c r="CB4" s="16">
        <f>IFERROR(__xludf.DUMMYFUNCTION("""COMPUTED_VALUE"""),0.0)</f>
        <v>0</v>
      </c>
      <c r="CC4" s="16">
        <f>IFERROR(__xludf.DUMMYFUNCTION("""COMPUTED_VALUE"""),0.0)</f>
        <v>0</v>
      </c>
      <c r="CD4" s="16">
        <f>IFERROR(__xludf.DUMMYFUNCTION("""COMPUTED_VALUE"""),0.0)</f>
        <v>0</v>
      </c>
      <c r="CE4" s="16">
        <f>IFERROR(__xludf.DUMMYFUNCTION("""COMPUTED_VALUE"""),0.0)</f>
        <v>0</v>
      </c>
      <c r="CF4" s="16">
        <f>IFERROR(__xludf.DUMMYFUNCTION("""COMPUTED_VALUE"""),1.0)</f>
        <v>1</v>
      </c>
      <c r="CG4" s="16">
        <f>IFERROR(__xludf.DUMMYFUNCTION("""COMPUTED_VALUE"""),19.0)</f>
        <v>19</v>
      </c>
      <c r="CH4" s="16">
        <f>IFERROR(__xludf.DUMMYFUNCTION("""COMPUTED_VALUE"""),47.0)</f>
        <v>47</v>
      </c>
      <c r="CI4" s="179">
        <f>IFERROR(__xludf.DUMMYFUNCTION("""COMPUTED_VALUE"""),50.0)</f>
        <v>50</v>
      </c>
      <c r="CJ4" s="16"/>
      <c r="CK4" s="16"/>
      <c r="CL4" s="16"/>
      <c r="CM4" s="16"/>
      <c r="CN4" s="16">
        <f>IFERROR(__xludf.DUMMYFUNCTION("""COMPUTED_VALUE"""),116.0)</f>
        <v>116</v>
      </c>
      <c r="CO4" s="16"/>
      <c r="CP4" s="16"/>
      <c r="CQ4" s="16"/>
      <c r="CR4" s="16" t="str">
        <f>IFERROR(__xludf.DUMMYFUNCTION("""COMPUTED_VALUE"""),"ss-1e16")</f>
        <v>ss-1e16</v>
      </c>
      <c r="CS4" s="16"/>
      <c r="CT4" s="16"/>
      <c r="CU4" s="16"/>
      <c r="CV4" s="16"/>
      <c r="CW4" s="16">
        <f>IFERROR(__xludf.DUMMYFUNCTION("""COMPUTED_VALUE"""),1.0)</f>
        <v>1</v>
      </c>
      <c r="CX4" s="16"/>
      <c r="CY4" s="16"/>
      <c r="CZ4" s="16"/>
      <c r="DA4" s="16"/>
      <c r="DB4" s="16"/>
      <c r="DC4" s="16"/>
      <c r="DD4" s="16"/>
      <c r="DE4" s="16">
        <f>IFERROR(__xludf.DUMMYFUNCTION("""COMPUTED_VALUE"""),16.0)</f>
        <v>16</v>
      </c>
      <c r="DF4" s="16"/>
      <c r="DG4" s="16"/>
      <c r="DH4" s="16"/>
      <c r="DI4" s="16"/>
      <c r="DJ4" s="16"/>
      <c r="DK4" s="16"/>
      <c r="DL4" s="16"/>
      <c r="DM4" s="16">
        <f>IFERROR(__xludf.DUMMYFUNCTION("""COMPUTED_VALUE"""),5.0)</f>
        <v>5</v>
      </c>
      <c r="DN4" s="16"/>
      <c r="DO4" s="16"/>
      <c r="DP4" s="16"/>
      <c r="DQ4" s="16"/>
      <c r="DR4" s="16"/>
      <c r="DS4" s="16"/>
      <c r="DT4" s="16"/>
      <c r="DU4" s="16">
        <f>IFERROR(__xludf.DUMMYFUNCTION("""COMPUTED_VALUE"""),2.0)</f>
        <v>2</v>
      </c>
      <c r="DV4" s="16"/>
      <c r="DW4" s="16"/>
      <c r="DX4" s="16"/>
      <c r="DY4" s="16"/>
      <c r="DZ4" s="16"/>
      <c r="EA4" s="16"/>
      <c r="EB4" s="16"/>
      <c r="EC4" s="16">
        <f>IFERROR(__xludf.DUMMYFUNCTION("""COMPUTED_VALUE"""),7.0)</f>
        <v>7</v>
      </c>
      <c r="ED4" s="16"/>
      <c r="EE4" s="16"/>
      <c r="EF4" s="16"/>
      <c r="EG4" s="179"/>
      <c r="EH4" s="179"/>
      <c r="EI4" s="179"/>
      <c r="EJ4" s="179"/>
      <c r="EK4" s="179">
        <f>IFERROR(__xludf.DUMMYFUNCTION("""COMPUTED_VALUE"""),57.0)</f>
        <v>57</v>
      </c>
      <c r="EL4" s="179"/>
      <c r="EM4" s="179"/>
      <c r="EN4" s="179"/>
      <c r="EO4" s="16"/>
      <c r="EP4" s="16"/>
      <c r="EQ4" s="16">
        <f>IFERROR(__xludf.DUMMYFUNCTION("""COMPUTED_VALUE"""),4.0)</f>
        <v>4</v>
      </c>
      <c r="ER4" s="16">
        <f>IFERROR(__xludf.DUMMYFUNCTION("""COMPUTED_VALUE"""),3.0)</f>
        <v>3</v>
      </c>
      <c r="ES4" s="16"/>
      <c r="ET4" s="16"/>
      <c r="EU4" s="16"/>
      <c r="EV4" s="16"/>
      <c r="EW4" s="16"/>
      <c r="EX4" s="180"/>
      <c r="EY4" s="180"/>
      <c r="EZ4" s="180"/>
      <c r="FA4" s="180"/>
      <c r="FB4" s="180">
        <f>IFERROR(__xludf.DUMMYFUNCTION("""COMPUTED_VALUE"""),0.0)</f>
        <v>0</v>
      </c>
      <c r="FC4" s="180"/>
      <c r="FD4" s="180"/>
      <c r="FE4" s="180"/>
      <c r="FF4" s="180"/>
      <c r="FG4" s="180"/>
      <c r="FH4" s="180"/>
      <c r="FI4" s="180"/>
      <c r="FJ4" s="180">
        <f>IFERROR(__xludf.DUMMYFUNCTION("""COMPUTED_VALUE"""),0.08333333333333333)</f>
        <v>0.08333333333</v>
      </c>
      <c r="FK4" s="180"/>
      <c r="FL4" s="180"/>
      <c r="FM4" s="180"/>
      <c r="FN4" s="16"/>
      <c r="FO4" s="16"/>
      <c r="FP4" s="16"/>
      <c r="FQ4" s="16"/>
      <c r="FR4" s="16">
        <f>IFERROR(__xludf.DUMMYFUNCTION("""COMPUTED_VALUE"""),0.9166666666666666)</f>
        <v>0.9166666667</v>
      </c>
      <c r="FS4" s="16"/>
      <c r="FT4" s="16"/>
      <c r="FU4" s="16"/>
      <c r="FV4" s="16"/>
      <c r="FW4" s="16"/>
      <c r="FX4" s="16"/>
      <c r="FY4" s="16"/>
      <c r="FZ4" s="16">
        <f>IFERROR(__xludf.DUMMYFUNCTION("""COMPUTED_VALUE"""),6.0)</f>
        <v>6</v>
      </c>
      <c r="GA4" s="16"/>
      <c r="GB4" s="16"/>
      <c r="GC4" s="16"/>
      <c r="GD4" s="16" t="s">
        <v>306</v>
      </c>
    </row>
    <row r="5">
      <c r="A5" s="16">
        <f>IFERROR(__xludf.DUMMYFUNCTION("""COMPUTED_VALUE"""),12611.0)</f>
        <v>12611</v>
      </c>
      <c r="B5" s="16" t="str">
        <f>IFERROR(__xludf.DUMMYFUNCTION("""COMPUTED_VALUE"""),"Brent Rooker")</f>
        <v>Brent Rooker</v>
      </c>
      <c r="C5" s="16">
        <f>IFERROR(__xludf.DUMMYFUNCTION("""COMPUTED_VALUE"""),2.64)</f>
        <v>2.64</v>
      </c>
      <c r="D5" s="16" t="str">
        <f>IFERROR(__xludf.DUMMYFUNCTION("""COMPUTED_VALUE"""),"R")</f>
        <v>R</v>
      </c>
      <c r="E5" s="16"/>
      <c r="F5" s="16"/>
      <c r="G5" s="16">
        <f>IFERROR(__xludf.DUMMYFUNCTION("""COMPUTED_VALUE"""),546.0)</f>
        <v>546</v>
      </c>
      <c r="H5" s="16">
        <f>IFERROR(__xludf.DUMMYFUNCTION("""COMPUTED_VALUE"""),59.0)</f>
        <v>59</v>
      </c>
      <c r="I5" s="16" t="str">
        <f>IFERROR(__xludf.DUMMYFUNCTION("""COMPUTED_VALUE"""),"1p65")</f>
        <v>1p65</v>
      </c>
      <c r="J5" s="16">
        <f>IFERROR(__xludf.DUMMYFUNCTION("""COMPUTED_VALUE"""),28.0)</f>
        <v>28</v>
      </c>
      <c r="K5" s="16">
        <f>IFERROR(__xludf.DUMMYFUNCTION("""COMPUTED_VALUE"""),39.0)</f>
        <v>39</v>
      </c>
      <c r="L5" s="16">
        <f>IFERROR(__xludf.DUMMYFUNCTION("""COMPUTED_VALUE"""),0.0)</f>
        <v>0</v>
      </c>
      <c r="M5" s="16">
        <f>IFERROR(__xludf.DUMMYFUNCTION("""COMPUTED_VALUE"""),-2.0)</f>
        <v>-2</v>
      </c>
      <c r="N5" s="16">
        <f>IFERROR(__xludf.DUMMYFUNCTION("""COMPUTED_VALUE"""),0.0)</f>
        <v>0</v>
      </c>
      <c r="O5" s="16">
        <f>IFERROR(__xludf.DUMMYFUNCTION("""COMPUTED_VALUE"""),-2.0)</f>
        <v>-2</v>
      </c>
      <c r="P5" s="16">
        <f>IFERROR(__xludf.DUMMYFUNCTION("""COMPUTED_VALUE"""),10.0)</f>
        <v>10</v>
      </c>
      <c r="Q5" s="16">
        <f>IFERROR(__xludf.DUMMYFUNCTION("""COMPUTED_VALUE"""),12.0)</f>
        <v>12</v>
      </c>
      <c r="R5" s="16">
        <f>IFERROR(__xludf.DUMMYFUNCTION("""COMPUTED_VALUE"""),1.0)</f>
        <v>1</v>
      </c>
      <c r="S5" s="16">
        <f>IFERROR(__xludf.DUMMYFUNCTION("""COMPUTED_VALUE"""),1.0)</f>
        <v>1</v>
      </c>
      <c r="T5" s="16">
        <f>IFERROR(__xludf.DUMMYFUNCTION("""COMPUTED_VALUE"""),1.0)</f>
        <v>1</v>
      </c>
      <c r="U5" s="16">
        <f>IFERROR(__xludf.DUMMYFUNCTION("""COMPUTED_VALUE"""),1.0)</f>
        <v>1</v>
      </c>
      <c r="V5" s="16">
        <f>IFERROR(__xludf.DUMMYFUNCTION("""COMPUTED_VALUE"""),27.4)</f>
        <v>27.4</v>
      </c>
      <c r="W5" s="16">
        <f>IFERROR(__xludf.DUMMYFUNCTION("""COMPUTED_VALUE"""),28.5)</f>
        <v>28.5</v>
      </c>
      <c r="X5" s="16">
        <f>IFERROR(__xludf.DUMMYFUNCTION("""COMPUTED_VALUE"""),1.0)</f>
        <v>1</v>
      </c>
      <c r="Y5" s="16">
        <f>IFERROR(__xludf.DUMMYFUNCTION("""COMPUTED_VALUE"""),2.0)</f>
        <v>2</v>
      </c>
      <c r="Z5" s="16">
        <f>IFERROR(__xludf.DUMMYFUNCTION("""COMPUTED_VALUE"""),2.0)</f>
        <v>2</v>
      </c>
      <c r="AA5" s="16">
        <f>IFERROR(__xludf.DUMMYFUNCTION("""COMPUTED_VALUE"""),4.0)</f>
        <v>4</v>
      </c>
      <c r="AB5" s="16">
        <f>IFERROR(__xludf.DUMMYFUNCTION("""COMPUTED_VALUE"""),39.3)</f>
        <v>39.3</v>
      </c>
      <c r="AC5" s="16">
        <f>IFERROR(__xludf.DUMMYFUNCTION("""COMPUTED_VALUE"""),42.5)</f>
        <v>42.5</v>
      </c>
      <c r="AD5" s="16">
        <f>IFERROR(__xludf.DUMMYFUNCTION("""COMPUTED_VALUE"""),1.0)</f>
        <v>1</v>
      </c>
      <c r="AE5" s="16">
        <f>IFERROR(__xludf.DUMMYFUNCTION("""COMPUTED_VALUE"""),2.0)</f>
        <v>2</v>
      </c>
      <c r="AF5" s="16">
        <f>IFERROR(__xludf.DUMMYFUNCTION("""COMPUTED_VALUE"""),5.0)</f>
        <v>5</v>
      </c>
      <c r="AG5" s="16">
        <f>IFERROR(__xludf.DUMMYFUNCTION("""COMPUTED_VALUE"""),10.0)</f>
        <v>10</v>
      </c>
      <c r="AH5" s="16">
        <f>IFERROR(__xludf.DUMMYFUNCTION("""COMPUTED_VALUE"""),63.0)</f>
        <v>63</v>
      </c>
      <c r="AI5" s="16">
        <f>IFERROR(__xludf.DUMMYFUNCTION("""COMPUTED_VALUE"""),57.3)</f>
        <v>57.3</v>
      </c>
      <c r="AJ5" s="16">
        <f>IFERROR(__xludf.DUMMYFUNCTION("""COMPUTED_VALUE"""),2.0)</f>
        <v>2</v>
      </c>
      <c r="AK5" s="16">
        <f>IFERROR(__xludf.DUMMYFUNCTION("""COMPUTED_VALUE"""),2.0)</f>
        <v>2</v>
      </c>
      <c r="AL5" s="16">
        <f>IFERROR(__xludf.DUMMYFUNCTION("""COMPUTED_VALUE"""),10.0)</f>
        <v>10</v>
      </c>
      <c r="AM5" s="16">
        <f>IFERROR(__xludf.DUMMYFUNCTION("""COMPUTED_VALUE"""),10.0)</f>
        <v>10</v>
      </c>
      <c r="AN5" s="16">
        <f>IFERROR(__xludf.DUMMYFUNCTION("""COMPUTED_VALUE"""),10.5)</f>
        <v>10.5</v>
      </c>
      <c r="AO5" s="16">
        <f>IFERROR(__xludf.DUMMYFUNCTION("""COMPUTED_VALUE"""),7.8)</f>
        <v>7.8</v>
      </c>
      <c r="AP5" s="16">
        <f>IFERROR(__xludf.DUMMYFUNCTION("""COMPUTED_VALUE"""),3.0)</f>
        <v>3</v>
      </c>
      <c r="AQ5" s="16">
        <f>IFERROR(__xludf.DUMMYFUNCTION("""COMPUTED_VALUE"""),3.0)</f>
        <v>3</v>
      </c>
      <c r="AR5" s="16">
        <f>IFERROR(__xludf.DUMMYFUNCTION("""COMPUTED_VALUE"""),6.0)</f>
        <v>6</v>
      </c>
      <c r="AS5" s="16">
        <f>IFERROR(__xludf.DUMMYFUNCTION("""COMPUTED_VALUE"""),6.0)</f>
        <v>6</v>
      </c>
      <c r="AT5" s="16">
        <f>IFERROR(__xludf.DUMMYFUNCTION("""COMPUTED_VALUE"""),8.0)</f>
        <v>8</v>
      </c>
      <c r="AU5" s="16">
        <f>IFERROR(__xludf.DUMMYFUNCTION("""COMPUTED_VALUE"""),8.0)</f>
        <v>8</v>
      </c>
      <c r="AV5" s="16">
        <f>IFERROR(__xludf.DUMMYFUNCTION("""COMPUTED_VALUE"""),8.0)</f>
        <v>8</v>
      </c>
      <c r="AW5" s="16">
        <f>IFERROR(__xludf.DUMMYFUNCTION("""COMPUTED_VALUE"""),8.0)</f>
        <v>8</v>
      </c>
      <c r="AX5" s="16">
        <f>IFERROR(__xludf.DUMMYFUNCTION("""COMPUTED_VALUE"""),3.0)</f>
        <v>3</v>
      </c>
      <c r="AY5" s="16">
        <f>IFERROR(__xludf.DUMMYFUNCTION("""COMPUTED_VALUE"""),3.0)</f>
        <v>3</v>
      </c>
      <c r="AZ5" s="16">
        <f>IFERROR(__xludf.DUMMYFUNCTION("""COMPUTED_VALUE"""),9.0)</f>
        <v>9</v>
      </c>
      <c r="BA5" s="16">
        <f>IFERROR(__xludf.DUMMYFUNCTION("""COMPUTED_VALUE"""),9.0)</f>
        <v>9</v>
      </c>
      <c r="BB5" s="16">
        <f>IFERROR(__xludf.DUMMYFUNCTION("""COMPUTED_VALUE"""),5.0)</f>
        <v>5</v>
      </c>
      <c r="BC5" s="16">
        <f>IFERROR(__xludf.DUMMYFUNCTION("""COMPUTED_VALUE"""),5.0)</f>
        <v>5</v>
      </c>
      <c r="BD5" s="16">
        <f>IFERROR(__xludf.DUMMYFUNCTION("""COMPUTED_VALUE"""),1.0)</f>
        <v>1</v>
      </c>
      <c r="BE5" s="16">
        <f>IFERROR(__xludf.DUMMYFUNCTION("""COMPUTED_VALUE"""),1.0)</f>
        <v>1</v>
      </c>
      <c r="BF5" s="16">
        <f>IFERROR(__xludf.DUMMYFUNCTION("""COMPUTED_VALUE"""),1.0)</f>
        <v>1</v>
      </c>
      <c r="BG5" s="16">
        <f>IFERROR(__xludf.DUMMYFUNCTION("""COMPUTED_VALUE"""),1.0)</f>
        <v>1</v>
      </c>
      <c r="BH5" s="16">
        <f>IFERROR(__xludf.DUMMYFUNCTION("""COMPUTED_VALUE"""),-5.0)</f>
        <v>-5</v>
      </c>
      <c r="BI5" s="16">
        <f>IFERROR(__xludf.DUMMYFUNCTION("""COMPUTED_VALUE"""),-5.0)</f>
        <v>-5</v>
      </c>
      <c r="BJ5" s="16">
        <f>IFERROR(__xludf.DUMMYFUNCTION("""COMPUTED_VALUE"""),5.0)</f>
        <v>5</v>
      </c>
      <c r="BK5" s="16">
        <f>IFERROR(__xludf.DUMMYFUNCTION("""COMPUTED_VALUE"""),3.0)</f>
        <v>3</v>
      </c>
      <c r="BL5" s="16">
        <f>IFERROR(__xludf.DUMMYFUNCTION("""COMPUTED_VALUE"""),1.0)</f>
        <v>1</v>
      </c>
      <c r="BM5" s="16">
        <f>IFERROR(__xludf.DUMMYFUNCTION("""COMPUTED_VALUE"""),2.0)</f>
        <v>2</v>
      </c>
      <c r="BN5" s="16">
        <f>IFERROR(__xludf.DUMMYFUNCTION("""COMPUTED_VALUE"""),1.0)</f>
        <v>1</v>
      </c>
      <c r="BO5" s="16">
        <f>IFERROR(__xludf.DUMMYFUNCTION("""COMPUTED_VALUE"""),2.0)</f>
        <v>2</v>
      </c>
      <c r="BP5" s="16">
        <f>IFERROR(__xludf.DUMMYFUNCTION("""COMPUTED_VALUE"""),13.0)</f>
        <v>13</v>
      </c>
      <c r="BQ5" s="16">
        <f>IFERROR(__xludf.DUMMYFUNCTION("""COMPUTED_VALUE"""),14.0)</f>
        <v>14</v>
      </c>
      <c r="BR5" s="16">
        <f>IFERROR(__xludf.DUMMYFUNCTION("""COMPUTED_VALUE"""),27.0)</f>
        <v>27</v>
      </c>
      <c r="BS5" s="16" t="str">
        <f>IFERROR(__xludf.DUMMYFUNCTION("""COMPUTED_VALUE"""),"*6/- (18-6)")</f>
        <v>*6/- (18-6)</v>
      </c>
      <c r="BT5" s="16" t="str">
        <f>IFERROR(__xludf.DUMMYFUNCTION("""COMPUTED_VALUE"""),"B")</f>
        <v>B</v>
      </c>
      <c r="BU5" s="16">
        <f>IFERROR(__xludf.DUMMYFUNCTION("""COMPUTED_VALUE"""),13.0)</f>
        <v>13</v>
      </c>
      <c r="BV5" s="16">
        <f>IFERROR(__xludf.DUMMYFUNCTION("""COMPUTED_VALUE"""),1.0)</f>
        <v>1</v>
      </c>
      <c r="BW5" s="16">
        <f>IFERROR(__xludf.DUMMYFUNCTION("""COMPUTED_VALUE"""),1.0)</f>
        <v>1</v>
      </c>
      <c r="BX5" s="16">
        <f>IFERROR(__xludf.DUMMYFUNCTION("""COMPUTED_VALUE"""),2.0)</f>
        <v>2</v>
      </c>
      <c r="BY5" s="16">
        <f>IFERROR(__xludf.DUMMYFUNCTION("""COMPUTED_VALUE"""),3.0)</f>
        <v>3</v>
      </c>
      <c r="BZ5" s="16" t="str">
        <f>IFERROR(__xludf.DUMMYFUNCTION("""COMPUTED_VALUE"""),"D")</f>
        <v>D</v>
      </c>
      <c r="CA5" s="16" t="str">
        <f>IFERROR(__xludf.DUMMYFUNCTION("""COMPUTED_VALUE"""),"D")</f>
        <v>D</v>
      </c>
      <c r="CB5" s="16">
        <f>IFERROR(__xludf.DUMMYFUNCTION("""COMPUTED_VALUE"""),0.0)</f>
        <v>0</v>
      </c>
      <c r="CC5" s="16">
        <f>IFERROR(__xludf.DUMMYFUNCTION("""COMPUTED_VALUE"""),0.0)</f>
        <v>0</v>
      </c>
      <c r="CD5" s="16">
        <f>IFERROR(__xludf.DUMMYFUNCTION("""COMPUTED_VALUE"""),0.0)</f>
        <v>0</v>
      </c>
      <c r="CE5" s="16">
        <f>IFERROR(__xludf.DUMMYFUNCTION("""COMPUTED_VALUE"""),0.0)</f>
        <v>0</v>
      </c>
      <c r="CF5" s="16">
        <f>IFERROR(__xludf.DUMMYFUNCTION("""COMPUTED_VALUE"""),1.0)</f>
        <v>1</v>
      </c>
      <c r="CG5" s="16">
        <f>IFERROR(__xludf.DUMMYFUNCTION("""COMPUTED_VALUE"""),35.0)</f>
        <v>35</v>
      </c>
      <c r="CH5" s="16">
        <f>IFERROR(__xludf.DUMMYFUNCTION("""COMPUTED_VALUE"""),41.0)</f>
        <v>41</v>
      </c>
      <c r="CI5" s="179">
        <f>IFERROR(__xludf.DUMMYFUNCTION("""COMPUTED_VALUE"""),47.0)</f>
        <v>47</v>
      </c>
      <c r="CJ5" s="16"/>
      <c r="CK5" s="16"/>
      <c r="CL5" s="16"/>
      <c r="CM5" s="16"/>
      <c r="CN5" s="16"/>
      <c r="CO5" s="16">
        <f>IFERROR(__xludf.DUMMYFUNCTION("""COMPUTED_VALUE"""),510.0)</f>
        <v>510</v>
      </c>
      <c r="CP5" s="16"/>
      <c r="CQ5" s="16">
        <f>IFERROR(__xludf.DUMMYFUNCTION("""COMPUTED_VALUE"""),510.0)</f>
        <v>510</v>
      </c>
      <c r="CR5" s="16" t="str">
        <f>IFERROR(__xludf.DUMMYFUNCTION("""COMPUTED_VALUE"""),"lf-5(0)e10 rf-5e10")</f>
        <v>lf-5(0)e10 rf-5e10</v>
      </c>
      <c r="CS5" s="16"/>
      <c r="CT5" s="16"/>
      <c r="CU5" s="16"/>
      <c r="CV5" s="16"/>
      <c r="CW5" s="16"/>
      <c r="CX5" s="16">
        <f>IFERROR(__xludf.DUMMYFUNCTION("""COMPUTED_VALUE"""),5.0)</f>
        <v>5</v>
      </c>
      <c r="CY5" s="16"/>
      <c r="CZ5" s="16">
        <f>IFERROR(__xludf.DUMMYFUNCTION("""COMPUTED_VALUE"""),5.0)</f>
        <v>5</v>
      </c>
      <c r="DA5" s="16"/>
      <c r="DB5" s="16"/>
      <c r="DC5" s="16"/>
      <c r="DD5" s="16"/>
      <c r="DE5" s="16"/>
      <c r="DF5" s="16">
        <f>IFERROR(__xludf.DUMMYFUNCTION("""COMPUTED_VALUE"""),10.0)</f>
        <v>10</v>
      </c>
      <c r="DG5" s="16"/>
      <c r="DH5" s="16">
        <f>IFERROR(__xludf.DUMMYFUNCTION("""COMPUTED_VALUE"""),10.0)</f>
        <v>10</v>
      </c>
      <c r="DI5" s="16"/>
      <c r="DJ5" s="16"/>
      <c r="DK5" s="16"/>
      <c r="DL5" s="16"/>
      <c r="DM5" s="16"/>
      <c r="DN5" s="16">
        <f>IFERROR(__xludf.DUMMYFUNCTION("""COMPUTED_VALUE"""),-3.0)</f>
        <v>-3</v>
      </c>
      <c r="DO5" s="16"/>
      <c r="DP5" s="16">
        <f>IFERROR(__xludf.DUMMYFUNCTION("""COMPUTED_VALUE"""),-3.0)</f>
        <v>-3</v>
      </c>
      <c r="DQ5" s="16"/>
      <c r="DR5" s="16"/>
      <c r="DS5" s="16"/>
      <c r="DT5" s="16"/>
      <c r="DU5" s="16"/>
      <c r="DV5" s="16">
        <f>IFERROR(__xludf.DUMMYFUNCTION("""COMPUTED_VALUE"""),0.0)</f>
        <v>0</v>
      </c>
      <c r="DW5" s="16"/>
      <c r="DX5" s="16">
        <f>IFERROR(__xludf.DUMMYFUNCTION("""COMPUTED_VALUE"""),0.0)</f>
        <v>0</v>
      </c>
      <c r="DY5" s="16"/>
      <c r="DZ5" s="16"/>
      <c r="EA5" s="16"/>
      <c r="EB5" s="16"/>
      <c r="EC5" s="16"/>
      <c r="ED5" s="16">
        <f>IFERROR(__xludf.DUMMYFUNCTION("""COMPUTED_VALUE"""),-3.0)</f>
        <v>-3</v>
      </c>
      <c r="EE5" s="16"/>
      <c r="EF5" s="16">
        <f>IFERROR(__xludf.DUMMYFUNCTION("""COMPUTED_VALUE"""),-3.0)</f>
        <v>-3</v>
      </c>
      <c r="EG5" s="179"/>
      <c r="EH5" s="179"/>
      <c r="EI5" s="179"/>
      <c r="EJ5" s="179"/>
      <c r="EK5" s="179"/>
      <c r="EL5" s="179">
        <f>IFERROR(__xludf.DUMMYFUNCTION("""COMPUTED_VALUE"""),44.0)</f>
        <v>44</v>
      </c>
      <c r="EM5" s="179"/>
      <c r="EN5" s="179">
        <f>IFERROR(__xludf.DUMMYFUNCTION("""COMPUTED_VALUE"""),44.0)</f>
        <v>44</v>
      </c>
      <c r="EO5" s="16"/>
      <c r="EP5" s="16"/>
      <c r="EQ5" s="16">
        <f>IFERROR(__xludf.DUMMYFUNCTION("""COMPUTED_VALUE"""),4.0)</f>
        <v>4</v>
      </c>
      <c r="ER5" s="16">
        <f>IFERROR(__xludf.DUMMYFUNCTION("""COMPUTED_VALUE"""),2.0)</f>
        <v>2</v>
      </c>
      <c r="ES5" s="16"/>
      <c r="ET5" s="16"/>
      <c r="EU5" s="16"/>
      <c r="EV5" s="16"/>
      <c r="EW5" s="16"/>
      <c r="EX5" s="180"/>
      <c r="EY5" s="180"/>
      <c r="EZ5" s="180"/>
      <c r="FA5" s="180"/>
      <c r="FB5" s="180"/>
      <c r="FC5" s="180">
        <f>IFERROR(__xludf.DUMMYFUNCTION("""COMPUTED_VALUE"""),0.75)</f>
        <v>0.75</v>
      </c>
      <c r="FD5" s="180"/>
      <c r="FE5" s="180">
        <f>IFERROR(__xludf.DUMMYFUNCTION("""COMPUTED_VALUE"""),0.75)</f>
        <v>0.75</v>
      </c>
      <c r="FF5" s="180"/>
      <c r="FG5" s="180"/>
      <c r="FH5" s="180"/>
      <c r="FI5" s="180"/>
      <c r="FJ5" s="180"/>
      <c r="FK5" s="180">
        <f>IFERROR(__xludf.DUMMYFUNCTION("""COMPUTED_VALUE"""),0.181)</f>
        <v>0.181</v>
      </c>
      <c r="FL5" s="180"/>
      <c r="FM5" s="180">
        <f>IFERROR(__xludf.DUMMYFUNCTION("""COMPUTED_VALUE"""),0.181)</f>
        <v>0.181</v>
      </c>
      <c r="FN5" s="16"/>
      <c r="FO5" s="16"/>
      <c r="FP5" s="16"/>
      <c r="FQ5" s="16"/>
      <c r="FR5" s="16"/>
      <c r="FS5" s="16">
        <f>IFERROR(__xludf.DUMMYFUNCTION("""COMPUTED_VALUE"""),0.20475)</f>
        <v>0.20475</v>
      </c>
      <c r="FT5" s="16"/>
      <c r="FU5" s="16">
        <f>IFERROR(__xludf.DUMMYFUNCTION("""COMPUTED_VALUE"""),0.20475)</f>
        <v>0.20475</v>
      </c>
      <c r="FV5" s="16"/>
      <c r="FW5" s="16"/>
      <c r="FX5" s="16"/>
      <c r="FY5" s="16"/>
      <c r="FZ5" s="16"/>
      <c r="GA5" s="16">
        <f>IFERROR(__xludf.DUMMYFUNCTION("""COMPUTED_VALUE"""),-8.0)</f>
        <v>-8</v>
      </c>
      <c r="GB5" s="16"/>
      <c r="GC5" s="16">
        <f>IFERROR(__xludf.DUMMYFUNCTION("""COMPUTED_VALUE"""),-8.0)</f>
        <v>-8</v>
      </c>
      <c r="GD5" s="16" t="s">
        <v>245</v>
      </c>
    </row>
    <row r="6">
      <c r="A6" s="16">
        <f>IFERROR(__xludf.DUMMYFUNCTION("""COMPUTED_VALUE"""),13151.0)</f>
        <v>13151</v>
      </c>
      <c r="B6" s="16" t="str">
        <f>IFERROR(__xludf.DUMMYFUNCTION("""COMPUTED_VALUE"""),"Marcell Ozuna")</f>
        <v>Marcell Ozuna</v>
      </c>
      <c r="C6" s="16">
        <f>IFERROR(__xludf.DUMMYFUNCTION("""COMPUTED_VALUE"""),1.81)</f>
        <v>1.81</v>
      </c>
      <c r="D6" s="16" t="str">
        <f>IFERROR(__xludf.DUMMYFUNCTION("""COMPUTED_VALUE"""),"R")</f>
        <v>R</v>
      </c>
      <c r="E6" s="16"/>
      <c r="F6" s="16"/>
      <c r="G6" s="16">
        <f>IFERROR(__xludf.DUMMYFUNCTION("""COMPUTED_VALUE"""),606.0)</f>
        <v>606</v>
      </c>
      <c r="H6" s="16">
        <f>IFERROR(__xludf.DUMMYFUNCTION("""COMPUTED_VALUE"""),74.0)</f>
        <v>74</v>
      </c>
      <c r="I6" s="16" t="str">
        <f>IFERROR(__xludf.DUMMYFUNCTION("""COMPUTED_VALUE"""),"0p72")</f>
        <v>0p72</v>
      </c>
      <c r="J6" s="16">
        <f>IFERROR(__xludf.DUMMYFUNCTION("""COMPUTED_VALUE"""),34.0)</f>
        <v>34</v>
      </c>
      <c r="K6" s="16">
        <f>IFERROR(__xludf.DUMMYFUNCTION("""COMPUTED_VALUE"""),24.0)</f>
        <v>24</v>
      </c>
      <c r="L6" s="16">
        <f>IFERROR(__xludf.DUMMYFUNCTION("""COMPUTED_VALUE"""),-1.0)</f>
        <v>-1</v>
      </c>
      <c r="M6" s="16">
        <f>IFERROR(__xludf.DUMMYFUNCTION("""COMPUTED_VALUE"""),0.0)</f>
        <v>0</v>
      </c>
      <c r="N6" s="16">
        <f>IFERROR(__xludf.DUMMYFUNCTION("""COMPUTED_VALUE"""),-1.0)</f>
        <v>-1</v>
      </c>
      <c r="O6" s="16">
        <f>IFERROR(__xludf.DUMMYFUNCTION("""COMPUTED_VALUE"""),0.0)</f>
        <v>0</v>
      </c>
      <c r="P6" s="16">
        <f>IFERROR(__xludf.DUMMYFUNCTION("""COMPUTED_VALUE"""),19.0)</f>
        <v>19</v>
      </c>
      <c r="Q6" s="16">
        <f>IFERROR(__xludf.DUMMYFUNCTION("""COMPUTED_VALUE"""),14.0)</f>
        <v>14</v>
      </c>
      <c r="R6" s="16">
        <f>IFERROR(__xludf.DUMMYFUNCTION("""COMPUTED_VALUE"""),3.0)</f>
        <v>3</v>
      </c>
      <c r="S6" s="16">
        <f>IFERROR(__xludf.DUMMYFUNCTION("""COMPUTED_VALUE"""),2.0)</f>
        <v>2</v>
      </c>
      <c r="T6" s="16">
        <f>IFERROR(__xludf.DUMMYFUNCTION("""COMPUTED_VALUE"""),3.0)</f>
        <v>3</v>
      </c>
      <c r="U6" s="16">
        <f>IFERROR(__xludf.DUMMYFUNCTION("""COMPUTED_VALUE"""),2.0)</f>
        <v>2</v>
      </c>
      <c r="V6" s="16">
        <f>IFERROR(__xludf.DUMMYFUNCTION("""COMPUTED_VALUE"""),31.9)</f>
        <v>31.9</v>
      </c>
      <c r="W6" s="16">
        <f>IFERROR(__xludf.DUMMYFUNCTION("""COMPUTED_VALUE"""),28.0)</f>
        <v>28</v>
      </c>
      <c r="X6" s="16">
        <f>IFERROR(__xludf.DUMMYFUNCTION("""COMPUTED_VALUE"""),2.0)</f>
        <v>2</v>
      </c>
      <c r="Y6" s="16">
        <f>IFERROR(__xludf.DUMMYFUNCTION("""COMPUTED_VALUE"""),2.0)</f>
        <v>2</v>
      </c>
      <c r="Z6" s="16">
        <f>IFERROR(__xludf.DUMMYFUNCTION("""COMPUTED_VALUE"""),4.0)</f>
        <v>4</v>
      </c>
      <c r="AA6" s="16">
        <f>IFERROR(__xludf.DUMMYFUNCTION("""COMPUTED_VALUE"""),4.0)</f>
        <v>4</v>
      </c>
      <c r="AB6" s="16">
        <f>IFERROR(__xludf.DUMMYFUNCTION("""COMPUTED_VALUE"""),51.9)</f>
        <v>51.9</v>
      </c>
      <c r="AC6" s="16">
        <f>IFERROR(__xludf.DUMMYFUNCTION("""COMPUTED_VALUE"""),43.0)</f>
        <v>43</v>
      </c>
      <c r="AD6" s="16">
        <f>IFERROR(__xludf.DUMMYFUNCTION("""COMPUTED_VALUE"""),2.0)</f>
        <v>2</v>
      </c>
      <c r="AE6" s="16">
        <f>IFERROR(__xludf.DUMMYFUNCTION("""COMPUTED_VALUE"""),2.0)</f>
        <v>2</v>
      </c>
      <c r="AF6" s="16">
        <f>IFERROR(__xludf.DUMMYFUNCTION("""COMPUTED_VALUE"""),10.0)</f>
        <v>10</v>
      </c>
      <c r="AG6" s="16">
        <f>IFERROR(__xludf.DUMMYFUNCTION("""COMPUTED_VALUE"""),10.0)</f>
        <v>10</v>
      </c>
      <c r="AH6" s="16">
        <f>IFERROR(__xludf.DUMMYFUNCTION("""COMPUTED_VALUE"""),45.3)</f>
        <v>45.3</v>
      </c>
      <c r="AI6" s="16">
        <f>IFERROR(__xludf.DUMMYFUNCTION("""COMPUTED_VALUE"""),54.0)</f>
        <v>54</v>
      </c>
      <c r="AJ6" s="16">
        <f>IFERROR(__xludf.DUMMYFUNCTION("""COMPUTED_VALUE"""),1.0)</f>
        <v>1</v>
      </c>
      <c r="AK6" s="16">
        <f>IFERROR(__xludf.DUMMYFUNCTION("""COMPUTED_VALUE"""),2.0)</f>
        <v>2</v>
      </c>
      <c r="AL6" s="16">
        <f>IFERROR(__xludf.DUMMYFUNCTION("""COMPUTED_VALUE"""),5.0)</f>
        <v>5</v>
      </c>
      <c r="AM6" s="16">
        <f>IFERROR(__xludf.DUMMYFUNCTION("""COMPUTED_VALUE"""),10.0)</f>
        <v>10</v>
      </c>
      <c r="AN6" s="16">
        <f>IFERROR(__xludf.DUMMYFUNCTION("""COMPUTED_VALUE"""),2.0)</f>
        <v>2</v>
      </c>
      <c r="AO6" s="16">
        <f>IFERROR(__xludf.DUMMYFUNCTION("""COMPUTED_VALUE"""),7.5)</f>
        <v>7.5</v>
      </c>
      <c r="AP6" s="16">
        <f>IFERROR(__xludf.DUMMYFUNCTION("""COMPUTED_VALUE"""),0.0)</f>
        <v>0</v>
      </c>
      <c r="AQ6" s="16">
        <f>IFERROR(__xludf.DUMMYFUNCTION("""COMPUTED_VALUE"""),3.0)</f>
        <v>3</v>
      </c>
      <c r="AR6" s="16">
        <f>IFERROR(__xludf.DUMMYFUNCTION("""COMPUTED_VALUE"""),0.0)</f>
        <v>0</v>
      </c>
      <c r="AS6" s="16">
        <f>IFERROR(__xludf.DUMMYFUNCTION("""COMPUTED_VALUE"""),6.0)</f>
        <v>6</v>
      </c>
      <c r="AT6" s="16">
        <f>IFERROR(__xludf.DUMMYFUNCTION("""COMPUTED_VALUE"""),3.0)</f>
        <v>3</v>
      </c>
      <c r="AU6" s="16">
        <f>IFERROR(__xludf.DUMMYFUNCTION("""COMPUTED_VALUE"""),8.0)</f>
        <v>8</v>
      </c>
      <c r="AV6" s="16">
        <f>IFERROR(__xludf.DUMMYFUNCTION("""COMPUTED_VALUE"""),3.0)</f>
        <v>3</v>
      </c>
      <c r="AW6" s="16">
        <f>IFERROR(__xludf.DUMMYFUNCTION("""COMPUTED_VALUE"""),8.0)</f>
        <v>8</v>
      </c>
      <c r="AX6" s="16">
        <f>IFERROR(__xludf.DUMMYFUNCTION("""COMPUTED_VALUE"""),1.0)</f>
        <v>1</v>
      </c>
      <c r="AY6" s="16">
        <f>IFERROR(__xludf.DUMMYFUNCTION("""COMPUTED_VALUE"""),3.0)</f>
        <v>3</v>
      </c>
      <c r="AZ6" s="16">
        <f>IFERROR(__xludf.DUMMYFUNCTION("""COMPUTED_VALUE"""),3.0)</f>
        <v>3</v>
      </c>
      <c r="BA6" s="16">
        <f>IFERROR(__xludf.DUMMYFUNCTION("""COMPUTED_VALUE"""),9.0)</f>
        <v>9</v>
      </c>
      <c r="BB6" s="16">
        <f>IFERROR(__xludf.DUMMYFUNCTION("""COMPUTED_VALUE"""),5.0)</f>
        <v>5</v>
      </c>
      <c r="BC6" s="16">
        <f>IFERROR(__xludf.DUMMYFUNCTION("""COMPUTED_VALUE"""),5.0)</f>
        <v>5</v>
      </c>
      <c r="BD6" s="16">
        <f>IFERROR(__xludf.DUMMYFUNCTION("""COMPUTED_VALUE"""),1.0)</f>
        <v>1</v>
      </c>
      <c r="BE6" s="16">
        <f>IFERROR(__xludf.DUMMYFUNCTION("""COMPUTED_VALUE"""),1.0)</f>
        <v>1</v>
      </c>
      <c r="BF6" s="16">
        <f>IFERROR(__xludf.DUMMYFUNCTION("""COMPUTED_VALUE"""),1.0)</f>
        <v>1</v>
      </c>
      <c r="BG6" s="16">
        <f>IFERROR(__xludf.DUMMYFUNCTION("""COMPUTED_VALUE"""),1.0)</f>
        <v>1</v>
      </c>
      <c r="BH6" s="16">
        <f>IFERROR(__xludf.DUMMYFUNCTION("""COMPUTED_VALUE"""),-13.0)</f>
        <v>-13</v>
      </c>
      <c r="BI6" s="16">
        <f>IFERROR(__xludf.DUMMYFUNCTION("""COMPUTED_VALUE"""),-14.0)</f>
        <v>-14</v>
      </c>
      <c r="BJ6" s="16">
        <f>IFERROR(__xludf.DUMMYFUNCTION("""COMPUTED_VALUE"""),12.0)</f>
        <v>12</v>
      </c>
      <c r="BK6" s="16">
        <f>IFERROR(__xludf.DUMMYFUNCTION("""COMPUTED_VALUE"""),16.0)</f>
        <v>16</v>
      </c>
      <c r="BL6" s="16">
        <f>IFERROR(__xludf.DUMMYFUNCTION("""COMPUTED_VALUE"""),0.0)</f>
        <v>0</v>
      </c>
      <c r="BM6" s="16">
        <f>IFERROR(__xludf.DUMMYFUNCTION("""COMPUTED_VALUE"""),-1.0)</f>
        <v>-1</v>
      </c>
      <c r="BN6" s="16">
        <f>IFERROR(__xludf.DUMMYFUNCTION("""COMPUTED_VALUE"""),0.0)</f>
        <v>0</v>
      </c>
      <c r="BO6" s="16">
        <f>IFERROR(__xludf.DUMMYFUNCTION("""COMPUTED_VALUE"""),-2.0)</f>
        <v>-2</v>
      </c>
      <c r="BP6" s="16">
        <f>IFERROR(__xludf.DUMMYFUNCTION("""COMPUTED_VALUE"""),9.0)</f>
        <v>9</v>
      </c>
      <c r="BQ6" s="16">
        <f>IFERROR(__xludf.DUMMYFUNCTION("""COMPUTED_VALUE"""),14.0)</f>
        <v>14</v>
      </c>
      <c r="BR6" s="16">
        <f>IFERROR(__xludf.DUMMYFUNCTION("""COMPUTED_VALUE"""),23.0)</f>
        <v>23</v>
      </c>
      <c r="BS6" s="16" t="str">
        <f>IFERROR(__xludf.DUMMYFUNCTION("""COMPUTED_VALUE"""),"2/- (20-6)")</f>
        <v>2/- (20-6)</v>
      </c>
      <c r="BT6" s="16" t="str">
        <f>IFERROR(__xludf.DUMMYFUNCTION("""COMPUTED_VALUE"""),"E")</f>
        <v>E</v>
      </c>
      <c r="BU6" s="16">
        <f>IFERROR(__xludf.DUMMYFUNCTION("""COMPUTED_VALUE"""),10.0)</f>
        <v>10</v>
      </c>
      <c r="BV6" s="16">
        <f>IFERROR(__xludf.DUMMYFUNCTION("""COMPUTED_VALUE"""),0.0)</f>
        <v>0</v>
      </c>
      <c r="BW6" s="16">
        <f>IFERROR(__xludf.DUMMYFUNCTION("""COMPUTED_VALUE"""),0.0)</f>
        <v>0</v>
      </c>
      <c r="BX6" s="16">
        <f>IFERROR(__xludf.DUMMYFUNCTION("""COMPUTED_VALUE"""),0.0)</f>
        <v>0</v>
      </c>
      <c r="BY6" s="16">
        <f>IFERROR(__xludf.DUMMYFUNCTION("""COMPUTED_VALUE"""),0.0)</f>
        <v>0</v>
      </c>
      <c r="BZ6" s="16" t="str">
        <f>IFERROR(__xludf.DUMMYFUNCTION("""COMPUTED_VALUE"""),"D")</f>
        <v>D</v>
      </c>
      <c r="CA6" s="16" t="str">
        <f>IFERROR(__xludf.DUMMYFUNCTION("""COMPUTED_VALUE"""),"D")</f>
        <v>D</v>
      </c>
      <c r="CB6" s="16">
        <f>IFERROR(__xludf.DUMMYFUNCTION("""COMPUTED_VALUE"""),0.0)</f>
        <v>0</v>
      </c>
      <c r="CC6" s="16">
        <f>IFERROR(__xludf.DUMMYFUNCTION("""COMPUTED_VALUE"""),0.0)</f>
        <v>0</v>
      </c>
      <c r="CD6" s="16">
        <f>IFERROR(__xludf.DUMMYFUNCTION("""COMPUTED_VALUE"""),0.0)</f>
        <v>0</v>
      </c>
      <c r="CE6" s="16">
        <f>IFERROR(__xludf.DUMMYFUNCTION("""COMPUTED_VALUE"""),0.0)</f>
        <v>0</v>
      </c>
      <c r="CF6" s="16">
        <f>IFERROR(__xludf.DUMMYFUNCTION("""COMPUTED_VALUE"""),0.0)</f>
        <v>0</v>
      </c>
      <c r="CG6" s="16">
        <f>IFERROR(__xludf.DUMMYFUNCTION("""COMPUTED_VALUE"""),25.0)</f>
        <v>25</v>
      </c>
      <c r="CH6" s="16">
        <f>IFERROR(__xludf.DUMMYFUNCTION("""COMPUTED_VALUE"""),40.0)</f>
        <v>40</v>
      </c>
      <c r="CI6" s="179">
        <f>IFERROR(__xludf.DUMMYFUNCTION("""COMPUTED_VALUE"""),45.0)</f>
        <v>45</v>
      </c>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79"/>
      <c r="EH6" s="179"/>
      <c r="EI6" s="179"/>
      <c r="EJ6" s="179"/>
      <c r="EK6" s="179"/>
      <c r="EL6" s="179"/>
      <c r="EM6" s="179"/>
      <c r="EN6" s="179"/>
      <c r="EO6" s="16"/>
      <c r="EP6" s="16"/>
      <c r="EQ6" s="16">
        <f>IFERROR(__xludf.DUMMYFUNCTION("""COMPUTED_VALUE"""),5.0)</f>
        <v>5</v>
      </c>
      <c r="ER6" s="16">
        <f>IFERROR(__xludf.DUMMYFUNCTION("""COMPUTED_VALUE"""),4.0)</f>
        <v>4</v>
      </c>
      <c r="ES6" s="16"/>
      <c r="ET6" s="16"/>
      <c r="EU6" s="16"/>
      <c r="EV6" s="16"/>
      <c r="EW6" s="16"/>
      <c r="EX6" s="180"/>
      <c r="EY6" s="180"/>
      <c r="EZ6" s="180"/>
      <c r="FA6" s="180"/>
      <c r="FB6" s="180"/>
      <c r="FC6" s="180"/>
      <c r="FD6" s="180"/>
      <c r="FE6" s="180"/>
      <c r="FF6" s="180"/>
      <c r="FG6" s="180"/>
      <c r="FH6" s="180"/>
      <c r="FI6" s="180"/>
      <c r="FJ6" s="180"/>
      <c r="FK6" s="180"/>
      <c r="FL6" s="180"/>
      <c r="FM6" s="180"/>
      <c r="FN6" s="16"/>
      <c r="FO6" s="16"/>
      <c r="FP6" s="16"/>
      <c r="FQ6" s="16"/>
      <c r="FR6" s="16"/>
      <c r="FS6" s="16"/>
      <c r="FT6" s="16"/>
      <c r="FU6" s="16"/>
      <c r="FV6" s="16"/>
      <c r="FW6" s="16"/>
      <c r="FX6" s="16"/>
      <c r="FY6" s="16"/>
      <c r="FZ6" s="16"/>
      <c r="GA6" s="16"/>
      <c r="GB6" s="16"/>
      <c r="GC6" s="16"/>
      <c r="GD6" s="16" t="s">
        <v>200</v>
      </c>
    </row>
    <row r="7">
      <c r="A7" s="16">
        <f>IFERROR(__xludf.DUMMYFUNCTION("""COMPUTED_VALUE"""),13104.0)</f>
        <v>13104</v>
      </c>
      <c r="B7" s="16" t="str">
        <f>IFERROR(__xludf.DUMMYFUNCTION("""COMPUTED_VALUE"""),"Kyle Tucker")</f>
        <v>Kyle Tucker</v>
      </c>
      <c r="C7" s="16">
        <f>IFERROR(__xludf.DUMMYFUNCTION("""COMPUTED_VALUE"""),4.02)</f>
        <v>4.02</v>
      </c>
      <c r="D7" s="16" t="str">
        <f>IFERROR(__xludf.DUMMYFUNCTION("""COMPUTED_VALUE"""),"L")</f>
        <v>L</v>
      </c>
      <c r="E7" s="16"/>
      <c r="F7" s="16"/>
      <c r="G7" s="16">
        <f>IFERROR(__xludf.DUMMYFUNCTION("""COMPUTED_VALUE"""),277.0)</f>
        <v>277</v>
      </c>
      <c r="H7" s="16">
        <f>IFERROR(__xludf.DUMMYFUNCTION("""COMPUTED_VALUE"""),56.0)</f>
        <v>56</v>
      </c>
      <c r="I7" s="16" t="str">
        <f>IFERROR(__xludf.DUMMYFUNCTION("""COMPUTED_VALUE"""),"5p40")</f>
        <v>5p40</v>
      </c>
      <c r="J7" s="16">
        <f>IFERROR(__xludf.DUMMYFUNCTION("""COMPUTED_VALUE"""),9.0)</f>
        <v>9</v>
      </c>
      <c r="K7" s="16">
        <f>IFERROR(__xludf.DUMMYFUNCTION("""COMPUTED_VALUE"""),11.0)</f>
        <v>11</v>
      </c>
      <c r="L7" s="16">
        <f>IFERROR(__xludf.DUMMYFUNCTION("""COMPUTED_VALUE"""),1.0)</f>
        <v>1</v>
      </c>
      <c r="M7" s="16">
        <f>IFERROR(__xludf.DUMMYFUNCTION("""COMPUTED_VALUE"""),1.0)</f>
        <v>1</v>
      </c>
      <c r="N7" s="16">
        <f>IFERROR(__xludf.DUMMYFUNCTION("""COMPUTED_VALUE"""),1.0)</f>
        <v>1</v>
      </c>
      <c r="O7" s="16">
        <f>IFERROR(__xludf.DUMMYFUNCTION("""COMPUTED_VALUE"""),1.0)</f>
        <v>1</v>
      </c>
      <c r="P7" s="16">
        <f>IFERROR(__xludf.DUMMYFUNCTION("""COMPUTED_VALUE"""),25.0)</f>
        <v>25</v>
      </c>
      <c r="Q7" s="16">
        <f>IFERROR(__xludf.DUMMYFUNCTION("""COMPUTED_VALUE"""),25.0)</f>
        <v>25</v>
      </c>
      <c r="R7" s="16">
        <f>IFERROR(__xludf.DUMMYFUNCTION("""COMPUTED_VALUE"""),3.0)</f>
        <v>3</v>
      </c>
      <c r="S7" s="16">
        <f>IFERROR(__xludf.DUMMYFUNCTION("""COMPUTED_VALUE"""),3.0)</f>
        <v>3</v>
      </c>
      <c r="T7" s="16">
        <f>IFERROR(__xludf.DUMMYFUNCTION("""COMPUTED_VALUE"""),3.0)</f>
        <v>3</v>
      </c>
      <c r="U7" s="16">
        <f>IFERROR(__xludf.DUMMYFUNCTION("""COMPUTED_VALUE"""),3.0)</f>
        <v>3</v>
      </c>
      <c r="V7" s="16">
        <f>IFERROR(__xludf.DUMMYFUNCTION("""COMPUTED_VALUE"""),19.1)</f>
        <v>19.1</v>
      </c>
      <c r="W7" s="16">
        <f>IFERROR(__xludf.DUMMYFUNCTION("""COMPUTED_VALUE"""),25.6)</f>
        <v>25.6</v>
      </c>
      <c r="X7" s="16">
        <f>IFERROR(__xludf.DUMMYFUNCTION("""COMPUTED_VALUE"""),0.0)</f>
        <v>0</v>
      </c>
      <c r="Y7" s="16">
        <f>IFERROR(__xludf.DUMMYFUNCTION("""COMPUTED_VALUE"""),1.0)</f>
        <v>1</v>
      </c>
      <c r="Z7" s="16">
        <f>IFERROR(__xludf.DUMMYFUNCTION("""COMPUTED_VALUE"""),0.0)</f>
        <v>0</v>
      </c>
      <c r="AA7" s="16">
        <f>IFERROR(__xludf.DUMMYFUNCTION("""COMPUTED_VALUE"""),2.0)</f>
        <v>2</v>
      </c>
      <c r="AB7" s="16">
        <f>IFERROR(__xludf.DUMMYFUNCTION("""COMPUTED_VALUE"""),45.1)</f>
        <v>45.1</v>
      </c>
      <c r="AC7" s="16">
        <f>IFERROR(__xludf.DUMMYFUNCTION("""COMPUTED_VALUE"""),51.6)</f>
        <v>51.6</v>
      </c>
      <c r="AD7" s="16">
        <f>IFERROR(__xludf.DUMMYFUNCTION("""COMPUTED_VALUE"""),2.0)</f>
        <v>2</v>
      </c>
      <c r="AE7" s="16">
        <f>IFERROR(__xludf.DUMMYFUNCTION("""COMPUTED_VALUE"""),3.0)</f>
        <v>3</v>
      </c>
      <c r="AF7" s="16">
        <f>IFERROR(__xludf.DUMMYFUNCTION("""COMPUTED_VALUE"""),10.0)</f>
        <v>10</v>
      </c>
      <c r="AG7" s="16">
        <f>IFERROR(__xludf.DUMMYFUNCTION("""COMPUTED_VALUE"""),15.0)</f>
        <v>15</v>
      </c>
      <c r="AH7" s="16">
        <f>IFERROR(__xludf.DUMMYFUNCTION("""COMPUTED_VALUE"""),35.6)</f>
        <v>35.6</v>
      </c>
      <c r="AI7" s="16">
        <f>IFERROR(__xludf.DUMMYFUNCTION("""COMPUTED_VALUE"""),61.6)</f>
        <v>61.6</v>
      </c>
      <c r="AJ7" s="16">
        <f>IFERROR(__xludf.DUMMYFUNCTION("""COMPUTED_VALUE"""),0.0)</f>
        <v>0</v>
      </c>
      <c r="AK7" s="16">
        <f>IFERROR(__xludf.DUMMYFUNCTION("""COMPUTED_VALUE"""),3.0)</f>
        <v>3</v>
      </c>
      <c r="AL7" s="16">
        <f>IFERROR(__xludf.DUMMYFUNCTION("""COMPUTED_VALUE"""),0.0)</f>
        <v>0</v>
      </c>
      <c r="AM7" s="16">
        <f>IFERROR(__xludf.DUMMYFUNCTION("""COMPUTED_VALUE"""),15.0)</f>
        <v>15</v>
      </c>
      <c r="AN7" s="16">
        <f>IFERROR(__xludf.DUMMYFUNCTION("""COMPUTED_VALUE"""),3.5)</f>
        <v>3.5</v>
      </c>
      <c r="AO7" s="16">
        <f>IFERROR(__xludf.DUMMYFUNCTION("""COMPUTED_VALUE"""),11.4)</f>
        <v>11.4</v>
      </c>
      <c r="AP7" s="16">
        <f>IFERROR(__xludf.DUMMYFUNCTION("""COMPUTED_VALUE"""),1.0)</f>
        <v>1</v>
      </c>
      <c r="AQ7" s="16">
        <f>IFERROR(__xludf.DUMMYFUNCTION("""COMPUTED_VALUE"""),3.0)</f>
        <v>3</v>
      </c>
      <c r="AR7" s="16">
        <f>IFERROR(__xludf.DUMMYFUNCTION("""COMPUTED_VALUE"""),2.0)</f>
        <v>2</v>
      </c>
      <c r="AS7" s="16">
        <f>IFERROR(__xludf.DUMMYFUNCTION("""COMPUTED_VALUE"""),6.0)</f>
        <v>6</v>
      </c>
      <c r="AT7" s="16">
        <f>IFERROR(__xludf.DUMMYFUNCTION("""COMPUTED_VALUE"""),6.0)</f>
        <v>6</v>
      </c>
      <c r="AU7" s="16">
        <f>IFERROR(__xludf.DUMMYFUNCTION("""COMPUTED_VALUE"""),8.0)</f>
        <v>8</v>
      </c>
      <c r="AV7" s="16">
        <f>IFERROR(__xludf.DUMMYFUNCTION("""COMPUTED_VALUE"""),6.0)</f>
        <v>6</v>
      </c>
      <c r="AW7" s="16">
        <f>IFERROR(__xludf.DUMMYFUNCTION("""COMPUTED_VALUE"""),8.0)</f>
        <v>8</v>
      </c>
      <c r="AX7" s="16">
        <f>IFERROR(__xludf.DUMMYFUNCTION("""COMPUTED_VALUE"""),3.0)</f>
        <v>3</v>
      </c>
      <c r="AY7" s="16">
        <f>IFERROR(__xludf.DUMMYFUNCTION("""COMPUTED_VALUE"""),3.0)</f>
        <v>3</v>
      </c>
      <c r="AZ7" s="16">
        <f>IFERROR(__xludf.DUMMYFUNCTION("""COMPUTED_VALUE"""),9.0)</f>
        <v>9</v>
      </c>
      <c r="BA7" s="16">
        <f>IFERROR(__xludf.DUMMYFUNCTION("""COMPUTED_VALUE"""),9.0)</f>
        <v>9</v>
      </c>
      <c r="BB7" s="16">
        <f>IFERROR(__xludf.DUMMYFUNCTION("""COMPUTED_VALUE"""),5.0)</f>
        <v>5</v>
      </c>
      <c r="BC7" s="16">
        <f>IFERROR(__xludf.DUMMYFUNCTION("""COMPUTED_VALUE"""),5.0)</f>
        <v>5</v>
      </c>
      <c r="BD7" s="16">
        <f>IFERROR(__xludf.DUMMYFUNCTION("""COMPUTED_VALUE"""),1.0)</f>
        <v>1</v>
      </c>
      <c r="BE7" s="16">
        <f>IFERROR(__xludf.DUMMYFUNCTION("""COMPUTED_VALUE"""),1.0)</f>
        <v>1</v>
      </c>
      <c r="BF7" s="16">
        <f>IFERROR(__xludf.DUMMYFUNCTION("""COMPUTED_VALUE"""),1.0)</f>
        <v>1</v>
      </c>
      <c r="BG7" s="16">
        <f>IFERROR(__xludf.DUMMYFUNCTION("""COMPUTED_VALUE"""),1.0)</f>
        <v>1</v>
      </c>
      <c r="BH7" s="16">
        <f>IFERROR(__xludf.DUMMYFUNCTION("""COMPUTED_VALUE"""),-7.0)</f>
        <v>-7</v>
      </c>
      <c r="BI7" s="16">
        <f>IFERROR(__xludf.DUMMYFUNCTION("""COMPUTED_VALUE"""),-9.0)</f>
        <v>-9</v>
      </c>
      <c r="BJ7" s="16">
        <f>IFERROR(__xludf.DUMMYFUNCTION("""COMPUTED_VALUE"""),9.0)</f>
        <v>9</v>
      </c>
      <c r="BK7" s="16">
        <f>IFERROR(__xludf.DUMMYFUNCTION("""COMPUTED_VALUE"""),9.0)</f>
        <v>9</v>
      </c>
      <c r="BL7" s="16">
        <f>IFERROR(__xludf.DUMMYFUNCTION("""COMPUTED_VALUE"""),0.0)</f>
        <v>0</v>
      </c>
      <c r="BM7" s="16">
        <f>IFERROR(__xludf.DUMMYFUNCTION("""COMPUTED_VALUE"""),1.0)</f>
        <v>1</v>
      </c>
      <c r="BN7" s="16">
        <f>IFERROR(__xludf.DUMMYFUNCTION("""COMPUTED_VALUE"""),0.0)</f>
        <v>0</v>
      </c>
      <c r="BO7" s="16">
        <f>IFERROR(__xludf.DUMMYFUNCTION("""COMPUTED_VALUE"""),1.0)</f>
        <v>1</v>
      </c>
      <c r="BP7" s="16">
        <f>IFERROR(__xludf.DUMMYFUNCTION("""COMPUTED_VALUE"""),11.0)</f>
        <v>11</v>
      </c>
      <c r="BQ7" s="16">
        <f>IFERROR(__xludf.DUMMYFUNCTION("""COMPUTED_VALUE"""),19.0)</f>
        <v>19</v>
      </c>
      <c r="BR7" s="16">
        <f>IFERROR(__xludf.DUMMYFUNCTION("""COMPUTED_VALUE"""),30.0)</f>
        <v>30</v>
      </c>
      <c r="BS7" s="16" t="str">
        <f>IFERROR(__xludf.DUMMYFUNCTION("""COMPUTED_VALUE"""),"*5/- (20-11)")</f>
        <v>*5/- (20-11)</v>
      </c>
      <c r="BT7" s="16" t="str">
        <f>IFERROR(__xludf.DUMMYFUNCTION("""COMPUTED_VALUE"""),"B")</f>
        <v>B</v>
      </c>
      <c r="BU7" s="16">
        <f>IFERROR(__xludf.DUMMYFUNCTION("""COMPUTED_VALUE"""),13.0)</f>
        <v>13</v>
      </c>
      <c r="BV7" s="16">
        <f>IFERROR(__xludf.DUMMYFUNCTION("""COMPUTED_VALUE"""),1.0)</f>
        <v>1</v>
      </c>
      <c r="BW7" s="16">
        <f>IFERROR(__xludf.DUMMYFUNCTION("""COMPUTED_VALUE"""),1.0)</f>
        <v>1</v>
      </c>
      <c r="BX7" s="16">
        <f>IFERROR(__xludf.DUMMYFUNCTION("""COMPUTED_VALUE"""),2.0)</f>
        <v>2</v>
      </c>
      <c r="BY7" s="16">
        <f>IFERROR(__xludf.DUMMYFUNCTION("""COMPUTED_VALUE"""),3.0)</f>
        <v>3</v>
      </c>
      <c r="BZ7" s="16" t="str">
        <f>IFERROR(__xludf.DUMMYFUNCTION("""COMPUTED_VALUE"""),"D")</f>
        <v>D</v>
      </c>
      <c r="CA7" s="16" t="str">
        <f>IFERROR(__xludf.DUMMYFUNCTION("""COMPUTED_VALUE"""),"C")</f>
        <v>C</v>
      </c>
      <c r="CB7" s="16">
        <f>IFERROR(__xludf.DUMMYFUNCTION("""COMPUTED_VALUE"""),0.0)</f>
        <v>0</v>
      </c>
      <c r="CC7" s="16">
        <f>IFERROR(__xludf.DUMMYFUNCTION("""COMPUTED_VALUE"""),0.0)</f>
        <v>0</v>
      </c>
      <c r="CD7" s="16">
        <f>IFERROR(__xludf.DUMMYFUNCTION("""COMPUTED_VALUE"""),0.0)</f>
        <v>0</v>
      </c>
      <c r="CE7" s="16">
        <f>IFERROR(__xludf.DUMMYFUNCTION("""COMPUTED_VALUE"""),0.0)</f>
        <v>0</v>
      </c>
      <c r="CF7" s="16">
        <f>IFERROR(__xludf.DUMMYFUNCTION("""COMPUTED_VALUE"""),5.0)</f>
        <v>5</v>
      </c>
      <c r="CG7" s="16">
        <f>IFERROR(__xludf.DUMMYFUNCTION("""COMPUTED_VALUE"""),26.0)</f>
        <v>26</v>
      </c>
      <c r="CH7" s="16">
        <f>IFERROR(__xludf.DUMMYFUNCTION("""COMPUTED_VALUE"""),53.0)</f>
        <v>53</v>
      </c>
      <c r="CI7" s="179">
        <f>IFERROR(__xludf.DUMMYFUNCTION("""COMPUTED_VALUE"""),45.0)</f>
        <v>45</v>
      </c>
      <c r="CJ7" s="16"/>
      <c r="CK7" s="16"/>
      <c r="CL7" s="16"/>
      <c r="CM7" s="16"/>
      <c r="CN7" s="16"/>
      <c r="CO7" s="16"/>
      <c r="CP7" s="16"/>
      <c r="CQ7" s="16">
        <f>IFERROR(__xludf.DUMMYFUNCTION("""COMPUTED_VALUE"""),202.0)</f>
        <v>202</v>
      </c>
      <c r="CR7" s="16" t="str">
        <f>IFERROR(__xludf.DUMMYFUNCTION("""COMPUTED_VALUE"""),"rf-2(-3)e2")</f>
        <v>rf-2(-3)e2</v>
      </c>
      <c r="CS7" s="16"/>
      <c r="CT7" s="16"/>
      <c r="CU7" s="16"/>
      <c r="CV7" s="16"/>
      <c r="CW7" s="16"/>
      <c r="CX7" s="16"/>
      <c r="CY7" s="16"/>
      <c r="CZ7" s="16">
        <f>IFERROR(__xludf.DUMMYFUNCTION("""COMPUTED_VALUE"""),2.0)</f>
        <v>2</v>
      </c>
      <c r="DA7" s="16"/>
      <c r="DB7" s="16"/>
      <c r="DC7" s="16"/>
      <c r="DD7" s="16"/>
      <c r="DE7" s="16"/>
      <c r="DF7" s="16"/>
      <c r="DG7" s="16"/>
      <c r="DH7" s="16">
        <f>IFERROR(__xludf.DUMMYFUNCTION("""COMPUTED_VALUE"""),2.0)</f>
        <v>2</v>
      </c>
      <c r="DI7" s="16"/>
      <c r="DJ7" s="16"/>
      <c r="DK7" s="16"/>
      <c r="DL7" s="16"/>
      <c r="DM7" s="16"/>
      <c r="DN7" s="16"/>
      <c r="DO7" s="16"/>
      <c r="DP7" s="16">
        <f>IFERROR(__xludf.DUMMYFUNCTION("""COMPUTED_VALUE"""),3.0)</f>
        <v>3</v>
      </c>
      <c r="DQ7" s="16"/>
      <c r="DR7" s="16"/>
      <c r="DS7" s="16"/>
      <c r="DT7" s="16"/>
      <c r="DU7" s="16"/>
      <c r="DV7" s="16"/>
      <c r="DW7" s="16"/>
      <c r="DX7" s="16">
        <f>IFERROR(__xludf.DUMMYFUNCTION("""COMPUTED_VALUE"""),4.0)</f>
        <v>4</v>
      </c>
      <c r="DY7" s="16"/>
      <c r="DZ7" s="16"/>
      <c r="EA7" s="16"/>
      <c r="EB7" s="16"/>
      <c r="EC7" s="16"/>
      <c r="ED7" s="16"/>
      <c r="EE7" s="16"/>
      <c r="EF7" s="16">
        <f>IFERROR(__xludf.DUMMYFUNCTION("""COMPUTED_VALUE"""),7.0)</f>
        <v>7</v>
      </c>
      <c r="EG7" s="179"/>
      <c r="EH7" s="179"/>
      <c r="EI7" s="179"/>
      <c r="EJ7" s="179"/>
      <c r="EK7" s="179"/>
      <c r="EL7" s="179"/>
      <c r="EM7" s="179"/>
      <c r="EN7" s="179">
        <f>IFERROR(__xludf.DUMMYFUNCTION("""COMPUTED_VALUE"""),52.0)</f>
        <v>52</v>
      </c>
      <c r="EO7" s="16"/>
      <c r="EP7" s="16"/>
      <c r="EQ7" s="16">
        <f>IFERROR(__xludf.DUMMYFUNCTION("""COMPUTED_VALUE"""),-2.0)</f>
        <v>-2</v>
      </c>
      <c r="ER7" s="16">
        <f>IFERROR(__xludf.DUMMYFUNCTION("""COMPUTED_VALUE"""),-1.0)</f>
        <v>-1</v>
      </c>
      <c r="ES7" s="16"/>
      <c r="ET7" s="16"/>
      <c r="EU7" s="16"/>
      <c r="EV7" s="16"/>
      <c r="EW7" s="16"/>
      <c r="EX7" s="180"/>
      <c r="EY7" s="180"/>
      <c r="EZ7" s="180"/>
      <c r="FA7" s="180"/>
      <c r="FB7" s="180"/>
      <c r="FC7" s="180"/>
      <c r="FD7" s="180"/>
      <c r="FE7" s="180">
        <f>IFERROR(__xludf.DUMMYFUNCTION("""COMPUTED_VALUE"""),0.15)</f>
        <v>0.15</v>
      </c>
      <c r="FF7" s="180"/>
      <c r="FG7" s="180"/>
      <c r="FH7" s="180"/>
      <c r="FI7" s="180"/>
      <c r="FJ7" s="180"/>
      <c r="FK7" s="180"/>
      <c r="FL7" s="180"/>
      <c r="FM7" s="180">
        <f>IFERROR(__xludf.DUMMYFUNCTION("""COMPUTED_VALUE"""),0.037)</f>
        <v>0.037</v>
      </c>
      <c r="FN7" s="16"/>
      <c r="FO7" s="16"/>
      <c r="FP7" s="16"/>
      <c r="FQ7" s="16"/>
      <c r="FR7" s="16"/>
      <c r="FS7" s="16"/>
      <c r="FT7" s="16"/>
      <c r="FU7" s="16">
        <f>IFERROR(__xludf.DUMMYFUNCTION("""COMPUTED_VALUE"""),0.81855)</f>
        <v>0.81855</v>
      </c>
      <c r="FV7" s="16"/>
      <c r="FW7" s="16"/>
      <c r="FX7" s="16"/>
      <c r="FY7" s="16"/>
      <c r="FZ7" s="16"/>
      <c r="GA7" s="16"/>
      <c r="GB7" s="16"/>
      <c r="GC7" s="16">
        <f>IFERROR(__xludf.DUMMYFUNCTION("""COMPUTED_VALUE"""),1.0)</f>
        <v>1</v>
      </c>
      <c r="GD7" s="16" t="s">
        <v>2860</v>
      </c>
    </row>
    <row r="8">
      <c r="A8" s="16">
        <f>IFERROR(__xludf.DUMMYFUNCTION("""COMPUTED_VALUE"""),13047.0)</f>
        <v>13047</v>
      </c>
      <c r="B8" s="16" t="str">
        <f>IFERROR(__xludf.DUMMYFUNCTION("""COMPUTED_VALUE"""),"Juan Soto")</f>
        <v>Juan Soto</v>
      </c>
      <c r="C8" s="16">
        <f>IFERROR(__xludf.DUMMYFUNCTION("""COMPUTED_VALUE"""),3.21)</f>
        <v>3.21</v>
      </c>
      <c r="D8" s="16" t="str">
        <f>IFERROR(__xludf.DUMMYFUNCTION("""COMPUTED_VALUE"""),"L")</f>
        <v>L</v>
      </c>
      <c r="E8" s="16"/>
      <c r="F8" s="16"/>
      <c r="G8" s="16">
        <f>IFERROR(__xludf.DUMMYFUNCTION("""COMPUTED_VALUE"""),576.0)</f>
        <v>576</v>
      </c>
      <c r="H8" s="16">
        <f>IFERROR(__xludf.DUMMYFUNCTION("""COMPUTED_VALUE"""),129.0)</f>
        <v>129</v>
      </c>
      <c r="I8" s="16" t="str">
        <f>IFERROR(__xludf.DUMMYFUNCTION("""COMPUTED_VALUE"""),"1p70")</f>
        <v>1p70</v>
      </c>
      <c r="J8" s="16">
        <f>IFERROR(__xludf.DUMMYFUNCTION("""COMPUTED_VALUE"""),0.0)</f>
        <v>0</v>
      </c>
      <c r="K8" s="16">
        <f>IFERROR(__xludf.DUMMYFUNCTION("""COMPUTED_VALUE"""),16.0)</f>
        <v>16</v>
      </c>
      <c r="L8" s="16">
        <f>IFERROR(__xludf.DUMMYFUNCTION("""COMPUTED_VALUE"""),3.0)</f>
        <v>3</v>
      </c>
      <c r="M8" s="16">
        <f>IFERROR(__xludf.DUMMYFUNCTION("""COMPUTED_VALUE"""),1.0)</f>
        <v>1</v>
      </c>
      <c r="N8" s="16">
        <f>IFERROR(__xludf.DUMMYFUNCTION("""COMPUTED_VALUE"""),3.0)</f>
        <v>3</v>
      </c>
      <c r="O8" s="16">
        <f>IFERROR(__xludf.DUMMYFUNCTION("""COMPUTED_VALUE"""),1.0)</f>
        <v>1</v>
      </c>
      <c r="P8" s="16">
        <f>IFERROR(__xludf.DUMMYFUNCTION("""COMPUTED_VALUE"""),32.0)</f>
        <v>32</v>
      </c>
      <c r="Q8" s="16">
        <f>IFERROR(__xludf.DUMMYFUNCTION("""COMPUTED_VALUE"""),28.0)</f>
        <v>28</v>
      </c>
      <c r="R8" s="16">
        <f>IFERROR(__xludf.DUMMYFUNCTION("""COMPUTED_VALUE"""),3.0)</f>
        <v>3</v>
      </c>
      <c r="S8" s="16">
        <f>IFERROR(__xludf.DUMMYFUNCTION("""COMPUTED_VALUE"""),3.0)</f>
        <v>3</v>
      </c>
      <c r="T8" s="16">
        <f>IFERROR(__xludf.DUMMYFUNCTION("""COMPUTED_VALUE"""),3.0)</f>
        <v>3</v>
      </c>
      <c r="U8" s="16">
        <f>IFERROR(__xludf.DUMMYFUNCTION("""COMPUTED_VALUE"""),3.0)</f>
        <v>3</v>
      </c>
      <c r="V8" s="16">
        <f>IFERROR(__xludf.DUMMYFUNCTION("""COMPUTED_VALUE"""),18.1)</f>
        <v>18.1</v>
      </c>
      <c r="W8" s="16">
        <f>IFERROR(__xludf.DUMMYFUNCTION("""COMPUTED_VALUE"""),21.9)</f>
        <v>21.9</v>
      </c>
      <c r="X8" s="16">
        <f>IFERROR(__xludf.DUMMYFUNCTION("""COMPUTED_VALUE"""),0.0)</f>
        <v>0</v>
      </c>
      <c r="Y8" s="16">
        <f>IFERROR(__xludf.DUMMYFUNCTION("""COMPUTED_VALUE"""),0.0)</f>
        <v>0</v>
      </c>
      <c r="Z8" s="16">
        <f>IFERROR(__xludf.DUMMYFUNCTION("""COMPUTED_VALUE"""),0.0)</f>
        <v>0</v>
      </c>
      <c r="AA8" s="16">
        <f>IFERROR(__xludf.DUMMYFUNCTION("""COMPUTED_VALUE"""),0.0)</f>
        <v>0</v>
      </c>
      <c r="AB8" s="16">
        <f>IFERROR(__xludf.DUMMYFUNCTION("""COMPUTED_VALUE"""),51.1)</f>
        <v>51.1</v>
      </c>
      <c r="AC8" s="16">
        <f>IFERROR(__xludf.DUMMYFUNCTION("""COMPUTED_VALUE"""),51.0)</f>
        <v>51</v>
      </c>
      <c r="AD8" s="16">
        <f>IFERROR(__xludf.DUMMYFUNCTION("""COMPUTED_VALUE"""),2.0)</f>
        <v>2</v>
      </c>
      <c r="AE8" s="16">
        <f>IFERROR(__xludf.DUMMYFUNCTION("""COMPUTED_VALUE"""),3.0)</f>
        <v>3</v>
      </c>
      <c r="AF8" s="16">
        <f>IFERROR(__xludf.DUMMYFUNCTION("""COMPUTED_VALUE"""),10.0)</f>
        <v>10</v>
      </c>
      <c r="AG8" s="16">
        <f>IFERROR(__xludf.DUMMYFUNCTION("""COMPUTED_VALUE"""),15.0)</f>
        <v>15</v>
      </c>
      <c r="AH8" s="16">
        <f>IFERROR(__xludf.DUMMYFUNCTION("""COMPUTED_VALUE"""),37.6)</f>
        <v>37.6</v>
      </c>
      <c r="AI8" s="16">
        <f>IFERROR(__xludf.DUMMYFUNCTION("""COMPUTED_VALUE"""),43.3)</f>
        <v>43.3</v>
      </c>
      <c r="AJ8" s="16">
        <f>IFERROR(__xludf.DUMMYFUNCTION("""COMPUTED_VALUE"""),0.0)</f>
        <v>0</v>
      </c>
      <c r="AK8" s="16">
        <f>IFERROR(__xludf.DUMMYFUNCTION("""COMPUTED_VALUE"""),1.0)</f>
        <v>1</v>
      </c>
      <c r="AL8" s="16">
        <f>IFERROR(__xludf.DUMMYFUNCTION("""COMPUTED_VALUE"""),0.0)</f>
        <v>0</v>
      </c>
      <c r="AM8" s="16">
        <f>IFERROR(__xludf.DUMMYFUNCTION("""COMPUTED_VALUE"""),5.0)</f>
        <v>5</v>
      </c>
      <c r="AN8" s="16">
        <f>IFERROR(__xludf.DUMMYFUNCTION("""COMPUTED_VALUE"""),5.2)</f>
        <v>5.2</v>
      </c>
      <c r="AO8" s="16">
        <f>IFERROR(__xludf.DUMMYFUNCTION("""COMPUTED_VALUE"""),4.8)</f>
        <v>4.8</v>
      </c>
      <c r="AP8" s="16">
        <f>IFERROR(__xludf.DUMMYFUNCTION("""COMPUTED_VALUE"""),3.0)</f>
        <v>3</v>
      </c>
      <c r="AQ8" s="16">
        <f>IFERROR(__xludf.DUMMYFUNCTION("""COMPUTED_VALUE"""),2.0)</f>
        <v>2</v>
      </c>
      <c r="AR8" s="16">
        <f>IFERROR(__xludf.DUMMYFUNCTION("""COMPUTED_VALUE"""),6.0)</f>
        <v>6</v>
      </c>
      <c r="AS8" s="16">
        <f>IFERROR(__xludf.DUMMYFUNCTION("""COMPUTED_VALUE"""),4.0)</f>
        <v>4</v>
      </c>
      <c r="AT8" s="16">
        <f>IFERROR(__xludf.DUMMYFUNCTION("""COMPUTED_VALUE"""),8.0)</f>
        <v>8</v>
      </c>
      <c r="AU8" s="16">
        <f>IFERROR(__xludf.DUMMYFUNCTION("""COMPUTED_VALUE"""),7.0)</f>
        <v>7</v>
      </c>
      <c r="AV8" s="16">
        <f>IFERROR(__xludf.DUMMYFUNCTION("""COMPUTED_VALUE"""),8.0)</f>
        <v>8</v>
      </c>
      <c r="AW8" s="16">
        <f>IFERROR(__xludf.DUMMYFUNCTION("""COMPUTED_VALUE"""),7.0)</f>
        <v>7</v>
      </c>
      <c r="AX8" s="16">
        <f>IFERROR(__xludf.DUMMYFUNCTION("""COMPUTED_VALUE"""),3.0)</f>
        <v>3</v>
      </c>
      <c r="AY8" s="16">
        <f>IFERROR(__xludf.DUMMYFUNCTION("""COMPUTED_VALUE"""),3.0)</f>
        <v>3</v>
      </c>
      <c r="AZ8" s="16">
        <f>IFERROR(__xludf.DUMMYFUNCTION("""COMPUTED_VALUE"""),9.0)</f>
        <v>9</v>
      </c>
      <c r="BA8" s="16">
        <f>IFERROR(__xludf.DUMMYFUNCTION("""COMPUTED_VALUE"""),9.0)</f>
        <v>9</v>
      </c>
      <c r="BB8" s="16">
        <f>IFERROR(__xludf.DUMMYFUNCTION("""COMPUTED_VALUE"""),5.0)</f>
        <v>5</v>
      </c>
      <c r="BC8" s="16">
        <f>IFERROR(__xludf.DUMMYFUNCTION("""COMPUTED_VALUE"""),5.0)</f>
        <v>5</v>
      </c>
      <c r="BD8" s="16">
        <f>IFERROR(__xludf.DUMMYFUNCTION("""COMPUTED_VALUE"""),1.0)</f>
        <v>1</v>
      </c>
      <c r="BE8" s="16">
        <f>IFERROR(__xludf.DUMMYFUNCTION("""COMPUTED_VALUE"""),1.0)</f>
        <v>1</v>
      </c>
      <c r="BF8" s="16">
        <f>IFERROR(__xludf.DUMMYFUNCTION("""COMPUTED_VALUE"""),1.0)</f>
        <v>1</v>
      </c>
      <c r="BG8" s="16">
        <f>IFERROR(__xludf.DUMMYFUNCTION("""COMPUTED_VALUE"""),1.0)</f>
        <v>1</v>
      </c>
      <c r="BH8" s="16">
        <f>IFERROR(__xludf.DUMMYFUNCTION("""COMPUTED_VALUE"""),-2.0)</f>
        <v>-2</v>
      </c>
      <c r="BI8" s="16">
        <f>IFERROR(__xludf.DUMMYFUNCTION("""COMPUTED_VALUE"""),-3.0)</f>
        <v>-3</v>
      </c>
      <c r="BJ8" s="16">
        <f>IFERROR(__xludf.DUMMYFUNCTION("""COMPUTED_VALUE"""),8.0)</f>
        <v>8</v>
      </c>
      <c r="BK8" s="16">
        <f>IFERROR(__xludf.DUMMYFUNCTION("""COMPUTED_VALUE"""),8.0)</f>
        <v>8</v>
      </c>
      <c r="BL8" s="16">
        <f>IFERROR(__xludf.DUMMYFUNCTION("""COMPUTED_VALUE"""),1.0)</f>
        <v>1</v>
      </c>
      <c r="BM8" s="16">
        <f>IFERROR(__xludf.DUMMYFUNCTION("""COMPUTED_VALUE"""),1.0)</f>
        <v>1</v>
      </c>
      <c r="BN8" s="16">
        <f>IFERROR(__xludf.DUMMYFUNCTION("""COMPUTED_VALUE"""),1.0)</f>
        <v>1</v>
      </c>
      <c r="BO8" s="16">
        <f>IFERROR(__xludf.DUMMYFUNCTION("""COMPUTED_VALUE"""),1.0)</f>
        <v>1</v>
      </c>
      <c r="BP8" s="16">
        <f>IFERROR(__xludf.DUMMYFUNCTION("""COMPUTED_VALUE"""),16.0)</f>
        <v>16</v>
      </c>
      <c r="BQ8" s="16">
        <f>IFERROR(__xludf.DUMMYFUNCTION("""COMPUTED_VALUE"""),15.0)</f>
        <v>15</v>
      </c>
      <c r="BR8" s="16">
        <f>IFERROR(__xludf.DUMMYFUNCTION("""COMPUTED_VALUE"""),31.0)</f>
        <v>31</v>
      </c>
      <c r="BS8" s="16" t="str">
        <f>IFERROR(__xludf.DUMMYFUNCTION("""COMPUTED_VALUE"""),"7/- (13-6)")</f>
        <v>7/- (13-6)</v>
      </c>
      <c r="BT8" s="16" t="str">
        <f>IFERROR(__xludf.DUMMYFUNCTION("""COMPUTED_VALUE"""),"C")</f>
        <v>C</v>
      </c>
      <c r="BU8" s="16">
        <f>IFERROR(__xludf.DUMMYFUNCTION("""COMPUTED_VALUE"""),12.0)</f>
        <v>12</v>
      </c>
      <c r="BV8" s="16">
        <f>IFERROR(__xludf.DUMMYFUNCTION("""COMPUTED_VALUE"""),0.0)</f>
        <v>0</v>
      </c>
      <c r="BW8" s="16">
        <f>IFERROR(__xludf.DUMMYFUNCTION("""COMPUTED_VALUE"""),0.0)</f>
        <v>0</v>
      </c>
      <c r="BX8" s="16">
        <f>IFERROR(__xludf.DUMMYFUNCTION("""COMPUTED_VALUE"""),0.0)</f>
        <v>0</v>
      </c>
      <c r="BY8" s="16">
        <f>IFERROR(__xludf.DUMMYFUNCTION("""COMPUTED_VALUE"""),0.0)</f>
        <v>0</v>
      </c>
      <c r="BZ8" s="16" t="str">
        <f>IFERROR(__xludf.DUMMYFUNCTION("""COMPUTED_VALUE"""),"B")</f>
        <v>B</v>
      </c>
      <c r="CA8" s="16" t="str">
        <f>IFERROR(__xludf.DUMMYFUNCTION("""COMPUTED_VALUE"""),"C")</f>
        <v>C</v>
      </c>
      <c r="CB8" s="16">
        <f>IFERROR(__xludf.DUMMYFUNCTION("""COMPUTED_VALUE"""),1.0)</f>
        <v>1</v>
      </c>
      <c r="CC8" s="16">
        <f>IFERROR(__xludf.DUMMYFUNCTION("""COMPUTED_VALUE"""),0.0)</f>
        <v>0</v>
      </c>
      <c r="CD8" s="16">
        <f>IFERROR(__xludf.DUMMYFUNCTION("""COMPUTED_VALUE"""),1.0)</f>
        <v>1</v>
      </c>
      <c r="CE8" s="16">
        <f>IFERROR(__xludf.DUMMYFUNCTION("""COMPUTED_VALUE"""),0.0)</f>
        <v>0</v>
      </c>
      <c r="CF8" s="16">
        <f>IFERROR(__xludf.DUMMYFUNCTION("""COMPUTED_VALUE"""),1.0)</f>
        <v>1</v>
      </c>
      <c r="CG8" s="16">
        <f>IFERROR(__xludf.DUMMYFUNCTION("""COMPUTED_VALUE"""),33.0)</f>
        <v>33</v>
      </c>
      <c r="CH8" s="16">
        <f>IFERROR(__xludf.DUMMYFUNCTION("""COMPUTED_VALUE"""),39.0)</f>
        <v>39</v>
      </c>
      <c r="CI8" s="179">
        <f>IFERROR(__xludf.DUMMYFUNCTION("""COMPUTED_VALUE"""),45.0)</f>
        <v>45</v>
      </c>
      <c r="CJ8" s="16"/>
      <c r="CK8" s="16"/>
      <c r="CL8" s="16"/>
      <c r="CM8" s="16"/>
      <c r="CN8" s="16"/>
      <c r="CO8" s="16">
        <f>IFERROR(__xludf.DUMMYFUNCTION("""COMPUTED_VALUE"""),302.0)</f>
        <v>302</v>
      </c>
      <c r="CP8" s="16"/>
      <c r="CQ8" s="16">
        <f>IFERROR(__xludf.DUMMYFUNCTION("""COMPUTED_VALUE"""),302.0)</f>
        <v>302</v>
      </c>
      <c r="CR8" s="16" t="str">
        <f>IFERROR(__xludf.DUMMYFUNCTION("""COMPUTED_VALUE"""),"rf-3(-3)e2 lf-3e2")</f>
        <v>rf-3(-3)e2 lf-3e2</v>
      </c>
      <c r="CS8" s="16"/>
      <c r="CT8" s="16"/>
      <c r="CU8" s="16"/>
      <c r="CV8" s="16"/>
      <c r="CW8" s="16"/>
      <c r="CX8" s="16">
        <f>IFERROR(__xludf.DUMMYFUNCTION("""COMPUTED_VALUE"""),3.0)</f>
        <v>3</v>
      </c>
      <c r="CY8" s="16"/>
      <c r="CZ8" s="16">
        <f>IFERROR(__xludf.DUMMYFUNCTION("""COMPUTED_VALUE"""),3.0)</f>
        <v>3</v>
      </c>
      <c r="DA8" s="16"/>
      <c r="DB8" s="16"/>
      <c r="DC8" s="16"/>
      <c r="DD8" s="16"/>
      <c r="DE8" s="16"/>
      <c r="DF8" s="16">
        <f>IFERROR(__xludf.DUMMYFUNCTION("""COMPUTED_VALUE"""),2.0)</f>
        <v>2</v>
      </c>
      <c r="DG8" s="16"/>
      <c r="DH8" s="16">
        <f>IFERROR(__xludf.DUMMYFUNCTION("""COMPUTED_VALUE"""),2.0)</f>
        <v>2</v>
      </c>
      <c r="DI8" s="16"/>
      <c r="DJ8" s="16"/>
      <c r="DK8" s="16"/>
      <c r="DL8" s="16"/>
      <c r="DM8" s="16"/>
      <c r="DN8" s="16">
        <f>IFERROR(__xludf.DUMMYFUNCTION("""COMPUTED_VALUE"""),0.0)</f>
        <v>0</v>
      </c>
      <c r="DO8" s="16"/>
      <c r="DP8" s="16">
        <f>IFERROR(__xludf.DUMMYFUNCTION("""COMPUTED_VALUE"""),0.0)</f>
        <v>0</v>
      </c>
      <c r="DQ8" s="16"/>
      <c r="DR8" s="16"/>
      <c r="DS8" s="16"/>
      <c r="DT8" s="16"/>
      <c r="DU8" s="16"/>
      <c r="DV8" s="16">
        <f>IFERROR(__xludf.DUMMYFUNCTION("""COMPUTED_VALUE"""),4.0)</f>
        <v>4</v>
      </c>
      <c r="DW8" s="16"/>
      <c r="DX8" s="16">
        <f>IFERROR(__xludf.DUMMYFUNCTION("""COMPUTED_VALUE"""),4.0)</f>
        <v>4</v>
      </c>
      <c r="DY8" s="16"/>
      <c r="DZ8" s="16"/>
      <c r="EA8" s="16"/>
      <c r="EB8" s="16"/>
      <c r="EC8" s="16"/>
      <c r="ED8" s="16">
        <f>IFERROR(__xludf.DUMMYFUNCTION("""COMPUTED_VALUE"""),4.0)</f>
        <v>4</v>
      </c>
      <c r="EE8" s="16"/>
      <c r="EF8" s="16">
        <f>IFERROR(__xludf.DUMMYFUNCTION("""COMPUTED_VALUE"""),4.0)</f>
        <v>4</v>
      </c>
      <c r="EG8" s="179"/>
      <c r="EH8" s="179"/>
      <c r="EI8" s="179"/>
      <c r="EJ8" s="179"/>
      <c r="EK8" s="179"/>
      <c r="EL8" s="179">
        <f>IFERROR(__xludf.DUMMYFUNCTION("""COMPUTED_VALUE"""),49.0)</f>
        <v>49</v>
      </c>
      <c r="EM8" s="179"/>
      <c r="EN8" s="179">
        <f>IFERROR(__xludf.DUMMYFUNCTION("""COMPUTED_VALUE"""),49.0)</f>
        <v>49</v>
      </c>
      <c r="EO8" s="16"/>
      <c r="EP8" s="16">
        <f>IFERROR(__xludf.DUMMYFUNCTION("""COMPUTED_VALUE"""),-2.0)</f>
        <v>-2</v>
      </c>
      <c r="EQ8" s="16">
        <f>IFERROR(__xludf.DUMMYFUNCTION("""COMPUTED_VALUE"""),4.0)</f>
        <v>4</v>
      </c>
      <c r="ER8" s="16">
        <f>IFERROR(__xludf.DUMMYFUNCTION("""COMPUTED_VALUE"""),3.0)</f>
        <v>3</v>
      </c>
      <c r="ES8" s="16"/>
      <c r="ET8" s="16"/>
      <c r="EU8" s="16"/>
      <c r="EV8" s="16"/>
      <c r="EW8" s="16"/>
      <c r="EX8" s="180"/>
      <c r="EY8" s="180"/>
      <c r="EZ8" s="180"/>
      <c r="FA8" s="180"/>
      <c r="FB8" s="180"/>
      <c r="FC8" s="180">
        <f>IFERROR(__xludf.DUMMYFUNCTION("""COMPUTED_VALUE"""),0.3)</f>
        <v>0.3</v>
      </c>
      <c r="FD8" s="180"/>
      <c r="FE8" s="180">
        <f>IFERROR(__xludf.DUMMYFUNCTION("""COMPUTED_VALUE"""),0.3)</f>
        <v>0.3</v>
      </c>
      <c r="FF8" s="180"/>
      <c r="FG8" s="180"/>
      <c r="FH8" s="180"/>
      <c r="FI8" s="180"/>
      <c r="FJ8" s="180"/>
      <c r="FK8" s="180">
        <f>IFERROR(__xludf.DUMMYFUNCTION("""COMPUTED_VALUE"""),0.037)</f>
        <v>0.037</v>
      </c>
      <c r="FL8" s="180"/>
      <c r="FM8" s="180">
        <f>IFERROR(__xludf.DUMMYFUNCTION("""COMPUTED_VALUE"""),0.037)</f>
        <v>0.037</v>
      </c>
      <c r="FN8" s="16"/>
      <c r="FO8" s="16"/>
      <c r="FP8" s="16"/>
      <c r="FQ8" s="16"/>
      <c r="FR8" s="16"/>
      <c r="FS8" s="16">
        <f>IFERROR(__xludf.DUMMYFUNCTION("""COMPUTED_VALUE"""),0.6740999999999999)</f>
        <v>0.6741</v>
      </c>
      <c r="FT8" s="16"/>
      <c r="FU8" s="16">
        <f>IFERROR(__xludf.DUMMYFUNCTION("""COMPUTED_VALUE"""),0.6740999999999999)</f>
        <v>0.6741</v>
      </c>
      <c r="FV8" s="16"/>
      <c r="FW8" s="16"/>
      <c r="FX8" s="16"/>
      <c r="FY8" s="16"/>
      <c r="FZ8" s="16"/>
      <c r="GA8" s="16">
        <f>IFERROR(__xludf.DUMMYFUNCTION("""COMPUTED_VALUE"""),-2.0)</f>
        <v>-2</v>
      </c>
      <c r="GB8" s="16"/>
      <c r="GC8" s="16">
        <f>IFERROR(__xludf.DUMMYFUNCTION("""COMPUTED_VALUE"""),-2.0)</f>
        <v>-2</v>
      </c>
      <c r="GD8" s="16" t="s">
        <v>215</v>
      </c>
    </row>
    <row r="9">
      <c r="A9" s="16">
        <f>IFERROR(__xludf.DUMMYFUNCTION("""COMPUTED_VALUE"""),12860.0)</f>
        <v>12860</v>
      </c>
      <c r="B9" s="16" t="str">
        <f>IFERROR(__xludf.DUMMYFUNCTION("""COMPUTED_VALUE"""),"Gunnar Henderson")</f>
        <v>Gunnar Henderson</v>
      </c>
      <c r="C9" s="16">
        <f>IFERROR(__xludf.DUMMYFUNCTION("""COMPUTED_VALUE"""),3.67)</f>
        <v>3.67</v>
      </c>
      <c r="D9" s="16" t="str">
        <f>IFERROR(__xludf.DUMMYFUNCTION("""COMPUTED_VALUE"""),"L")</f>
        <v>L</v>
      </c>
      <c r="E9" s="16"/>
      <c r="F9" s="16"/>
      <c r="G9" s="16">
        <f>IFERROR(__xludf.DUMMYFUNCTION("""COMPUTED_VALUE"""),630.0)</f>
        <v>630</v>
      </c>
      <c r="H9" s="16">
        <f>IFERROR(__xludf.DUMMYFUNCTION("""COMPUTED_VALUE"""),78.0)</f>
        <v>78</v>
      </c>
      <c r="I9" s="16" t="str">
        <f>IFERROR(__xludf.DUMMYFUNCTION("""COMPUTED_VALUE"""),"1p70")</f>
        <v>1p70</v>
      </c>
      <c r="J9" s="16">
        <f>IFERROR(__xludf.DUMMYFUNCTION("""COMPUTED_VALUE"""),28.0)</f>
        <v>28</v>
      </c>
      <c r="K9" s="16">
        <f>IFERROR(__xludf.DUMMYFUNCTION("""COMPUTED_VALUE"""),21.0)</f>
        <v>21</v>
      </c>
      <c r="L9" s="16">
        <f>IFERROR(__xludf.DUMMYFUNCTION("""COMPUTED_VALUE"""),0.0)</f>
        <v>0</v>
      </c>
      <c r="M9" s="16">
        <f>IFERROR(__xludf.DUMMYFUNCTION("""COMPUTED_VALUE"""),0.0)</f>
        <v>0</v>
      </c>
      <c r="N9" s="16">
        <f>IFERROR(__xludf.DUMMYFUNCTION("""COMPUTED_VALUE"""),0.0)</f>
        <v>0</v>
      </c>
      <c r="O9" s="16">
        <f>IFERROR(__xludf.DUMMYFUNCTION("""COMPUTED_VALUE"""),0.0)</f>
        <v>0</v>
      </c>
      <c r="P9" s="16">
        <f>IFERROR(__xludf.DUMMYFUNCTION("""COMPUTED_VALUE"""),20.0)</f>
        <v>20</v>
      </c>
      <c r="Q9" s="16">
        <f>IFERROR(__xludf.DUMMYFUNCTION("""COMPUTED_VALUE"""),11.0)</f>
        <v>11</v>
      </c>
      <c r="R9" s="16">
        <f>IFERROR(__xludf.DUMMYFUNCTION("""COMPUTED_VALUE"""),3.0)</f>
        <v>3</v>
      </c>
      <c r="S9" s="16">
        <f>IFERROR(__xludf.DUMMYFUNCTION("""COMPUTED_VALUE"""),1.0)</f>
        <v>1</v>
      </c>
      <c r="T9" s="16">
        <f>IFERROR(__xludf.DUMMYFUNCTION("""COMPUTED_VALUE"""),3.0)</f>
        <v>3</v>
      </c>
      <c r="U9" s="16">
        <f>IFERROR(__xludf.DUMMYFUNCTION("""COMPUTED_VALUE"""),1.0)</f>
        <v>1</v>
      </c>
      <c r="V9" s="16">
        <f>IFERROR(__xludf.DUMMYFUNCTION("""COMPUTED_VALUE"""),19.3)</f>
        <v>19.3</v>
      </c>
      <c r="W9" s="16">
        <f>IFERROR(__xludf.DUMMYFUNCTION("""COMPUTED_VALUE"""),26.4)</f>
        <v>26.4</v>
      </c>
      <c r="X9" s="16">
        <f>IFERROR(__xludf.DUMMYFUNCTION("""COMPUTED_VALUE"""),0.0)</f>
        <v>0</v>
      </c>
      <c r="Y9" s="16">
        <f>IFERROR(__xludf.DUMMYFUNCTION("""COMPUTED_VALUE"""),1.0)</f>
        <v>1</v>
      </c>
      <c r="Z9" s="16">
        <f>IFERROR(__xludf.DUMMYFUNCTION("""COMPUTED_VALUE"""),0.0)</f>
        <v>0</v>
      </c>
      <c r="AA9" s="16">
        <f>IFERROR(__xludf.DUMMYFUNCTION("""COMPUTED_VALUE"""),2.0)</f>
        <v>2</v>
      </c>
      <c r="AB9" s="16">
        <f>IFERROR(__xludf.DUMMYFUNCTION("""COMPUTED_VALUE"""),41.3)</f>
        <v>41.3</v>
      </c>
      <c r="AC9" s="16">
        <f>IFERROR(__xludf.DUMMYFUNCTION("""COMPUTED_VALUE"""),39.4)</f>
        <v>39.4</v>
      </c>
      <c r="AD9" s="16">
        <f>IFERROR(__xludf.DUMMYFUNCTION("""COMPUTED_VALUE"""),1.0)</f>
        <v>1</v>
      </c>
      <c r="AE9" s="16">
        <f>IFERROR(__xludf.DUMMYFUNCTION("""COMPUTED_VALUE"""),1.0)</f>
        <v>1</v>
      </c>
      <c r="AF9" s="16">
        <f>IFERROR(__xludf.DUMMYFUNCTION("""COMPUTED_VALUE"""),5.0)</f>
        <v>5</v>
      </c>
      <c r="AG9" s="16">
        <f>IFERROR(__xludf.DUMMYFUNCTION("""COMPUTED_VALUE"""),5.0)</f>
        <v>5</v>
      </c>
      <c r="AH9" s="16">
        <f>IFERROR(__xludf.DUMMYFUNCTION("""COMPUTED_VALUE"""),37.4)</f>
        <v>37.4</v>
      </c>
      <c r="AI9" s="16">
        <f>IFERROR(__xludf.DUMMYFUNCTION("""COMPUTED_VALUE"""),47.8)</f>
        <v>47.8</v>
      </c>
      <c r="AJ9" s="16">
        <f>IFERROR(__xludf.DUMMYFUNCTION("""COMPUTED_VALUE"""),0.0)</f>
        <v>0</v>
      </c>
      <c r="AK9" s="16">
        <f>IFERROR(__xludf.DUMMYFUNCTION("""COMPUTED_VALUE"""),2.0)</f>
        <v>2</v>
      </c>
      <c r="AL9" s="16">
        <f>IFERROR(__xludf.DUMMYFUNCTION("""COMPUTED_VALUE"""),0.0)</f>
        <v>0</v>
      </c>
      <c r="AM9" s="16">
        <f>IFERROR(__xludf.DUMMYFUNCTION("""COMPUTED_VALUE"""),10.0)</f>
        <v>10</v>
      </c>
      <c r="AN9" s="16">
        <f>IFERROR(__xludf.DUMMYFUNCTION("""COMPUTED_VALUE"""),2.8)</f>
        <v>2.8</v>
      </c>
      <c r="AO9" s="16">
        <f>IFERROR(__xludf.DUMMYFUNCTION("""COMPUTED_VALUE"""),4.8)</f>
        <v>4.8</v>
      </c>
      <c r="AP9" s="16">
        <f>IFERROR(__xludf.DUMMYFUNCTION("""COMPUTED_VALUE"""),1.0)</f>
        <v>1</v>
      </c>
      <c r="AQ9" s="16">
        <f>IFERROR(__xludf.DUMMYFUNCTION("""COMPUTED_VALUE"""),2.0)</f>
        <v>2</v>
      </c>
      <c r="AR9" s="16">
        <f>IFERROR(__xludf.DUMMYFUNCTION("""COMPUTED_VALUE"""),2.0)</f>
        <v>2</v>
      </c>
      <c r="AS9" s="16">
        <f>IFERROR(__xludf.DUMMYFUNCTION("""COMPUTED_VALUE"""),4.0)</f>
        <v>4</v>
      </c>
      <c r="AT9" s="16">
        <f>IFERROR(__xludf.DUMMYFUNCTION("""COMPUTED_VALUE"""),5.0)</f>
        <v>5</v>
      </c>
      <c r="AU9" s="16">
        <f>IFERROR(__xludf.DUMMYFUNCTION("""COMPUTED_VALUE"""),8.0)</f>
        <v>8</v>
      </c>
      <c r="AV9" s="16">
        <f>IFERROR(__xludf.DUMMYFUNCTION("""COMPUTED_VALUE"""),5.0)</f>
        <v>5</v>
      </c>
      <c r="AW9" s="16">
        <f>IFERROR(__xludf.DUMMYFUNCTION("""COMPUTED_VALUE"""),8.0)</f>
        <v>8</v>
      </c>
      <c r="AX9" s="16">
        <f>IFERROR(__xludf.DUMMYFUNCTION("""COMPUTED_VALUE"""),3.0)</f>
        <v>3</v>
      </c>
      <c r="AY9" s="16">
        <f>IFERROR(__xludf.DUMMYFUNCTION("""COMPUTED_VALUE"""),3.0)</f>
        <v>3</v>
      </c>
      <c r="AZ9" s="16">
        <f>IFERROR(__xludf.DUMMYFUNCTION("""COMPUTED_VALUE"""),9.0)</f>
        <v>9</v>
      </c>
      <c r="BA9" s="16">
        <f>IFERROR(__xludf.DUMMYFUNCTION("""COMPUTED_VALUE"""),9.0)</f>
        <v>9</v>
      </c>
      <c r="BB9" s="16">
        <f>IFERROR(__xludf.DUMMYFUNCTION("""COMPUTED_VALUE"""),5.0)</f>
        <v>5</v>
      </c>
      <c r="BC9" s="16">
        <f>IFERROR(__xludf.DUMMYFUNCTION("""COMPUTED_VALUE"""),5.0)</f>
        <v>5</v>
      </c>
      <c r="BD9" s="16">
        <f>IFERROR(__xludf.DUMMYFUNCTION("""COMPUTED_VALUE"""),1.0)</f>
        <v>1</v>
      </c>
      <c r="BE9" s="16">
        <f>IFERROR(__xludf.DUMMYFUNCTION("""COMPUTED_VALUE"""),1.0)</f>
        <v>1</v>
      </c>
      <c r="BF9" s="16">
        <f>IFERROR(__xludf.DUMMYFUNCTION("""COMPUTED_VALUE"""),1.0)</f>
        <v>1</v>
      </c>
      <c r="BG9" s="16">
        <f>IFERROR(__xludf.DUMMYFUNCTION("""COMPUTED_VALUE"""),1.0)</f>
        <v>1</v>
      </c>
      <c r="BH9" s="16">
        <f>IFERROR(__xludf.DUMMYFUNCTION("""COMPUTED_VALUE"""),-8.0)</f>
        <v>-8</v>
      </c>
      <c r="BI9" s="16">
        <f>IFERROR(__xludf.DUMMYFUNCTION("""COMPUTED_VALUE"""),-13.0)</f>
        <v>-13</v>
      </c>
      <c r="BJ9" s="16">
        <f>IFERROR(__xludf.DUMMYFUNCTION("""COMPUTED_VALUE"""),0.0)</f>
        <v>0</v>
      </c>
      <c r="BK9" s="16">
        <f>IFERROR(__xludf.DUMMYFUNCTION("""COMPUTED_VALUE"""),0.0)</f>
        <v>0</v>
      </c>
      <c r="BL9" s="16">
        <f>IFERROR(__xludf.DUMMYFUNCTION("""COMPUTED_VALUE"""),3.0)</f>
        <v>3</v>
      </c>
      <c r="BM9" s="16">
        <f>IFERROR(__xludf.DUMMYFUNCTION("""COMPUTED_VALUE"""),3.0)</f>
        <v>3</v>
      </c>
      <c r="BN9" s="16">
        <f>IFERROR(__xludf.DUMMYFUNCTION("""COMPUTED_VALUE"""),3.0)</f>
        <v>3</v>
      </c>
      <c r="BO9" s="16">
        <f>IFERROR(__xludf.DUMMYFUNCTION("""COMPUTED_VALUE"""),3.0)</f>
        <v>3</v>
      </c>
      <c r="BP9" s="16">
        <f>IFERROR(__xludf.DUMMYFUNCTION("""COMPUTED_VALUE"""),12.0)</f>
        <v>12</v>
      </c>
      <c r="BQ9" s="16">
        <f>IFERROR(__xludf.DUMMYFUNCTION("""COMPUTED_VALUE"""),14.0)</f>
        <v>14</v>
      </c>
      <c r="BR9" s="16">
        <f>IFERROR(__xludf.DUMMYFUNCTION("""COMPUTED_VALUE"""),26.0)</f>
        <v>26</v>
      </c>
      <c r="BS9" s="16" t="str">
        <f>IFERROR(__xludf.DUMMYFUNCTION("""COMPUTED_VALUE"""),"*7/- (19-11)")</f>
        <v>*7/- (19-11)</v>
      </c>
      <c r="BT9" s="16" t="str">
        <f>IFERROR(__xludf.DUMMYFUNCTION("""COMPUTED_VALUE"""),"A")</f>
        <v>A</v>
      </c>
      <c r="BU9" s="16">
        <f>IFERROR(__xludf.DUMMYFUNCTION("""COMPUTED_VALUE"""),15.0)</f>
        <v>15</v>
      </c>
      <c r="BV9" s="16">
        <f>IFERROR(__xludf.DUMMYFUNCTION("""COMPUTED_VALUE"""),2.0)</f>
        <v>2</v>
      </c>
      <c r="BW9" s="16">
        <f>IFERROR(__xludf.DUMMYFUNCTION("""COMPUTED_VALUE"""),2.0)</f>
        <v>2</v>
      </c>
      <c r="BX9" s="16">
        <f>IFERROR(__xludf.DUMMYFUNCTION("""COMPUTED_VALUE"""),4.0)</f>
        <v>4</v>
      </c>
      <c r="BY9" s="16">
        <f>IFERROR(__xludf.DUMMYFUNCTION("""COMPUTED_VALUE"""),6.0)</f>
        <v>6</v>
      </c>
      <c r="BZ9" s="16" t="str">
        <f>IFERROR(__xludf.DUMMYFUNCTION("""COMPUTED_VALUE"""),"D")</f>
        <v>D</v>
      </c>
      <c r="CA9" s="16" t="str">
        <f>IFERROR(__xludf.DUMMYFUNCTION("""COMPUTED_VALUE"""),"C")</f>
        <v>C</v>
      </c>
      <c r="CB9" s="16">
        <f>IFERROR(__xludf.DUMMYFUNCTION("""COMPUTED_VALUE"""),0.0)</f>
        <v>0</v>
      </c>
      <c r="CC9" s="16">
        <f>IFERROR(__xludf.DUMMYFUNCTION("""COMPUTED_VALUE"""),0.0)</f>
        <v>0</v>
      </c>
      <c r="CD9" s="16">
        <f>IFERROR(__xludf.DUMMYFUNCTION("""COMPUTED_VALUE"""),0.0)</f>
        <v>0</v>
      </c>
      <c r="CE9" s="16">
        <f>IFERROR(__xludf.DUMMYFUNCTION("""COMPUTED_VALUE"""),0.0)</f>
        <v>0</v>
      </c>
      <c r="CF9" s="16">
        <f>IFERROR(__xludf.DUMMYFUNCTION("""COMPUTED_VALUE"""),1.0)</f>
        <v>1</v>
      </c>
      <c r="CG9" s="16">
        <f>IFERROR(__xludf.DUMMYFUNCTION("""COMPUTED_VALUE"""),23.0)</f>
        <v>23</v>
      </c>
      <c r="CH9" s="16">
        <f>IFERROR(__xludf.DUMMYFUNCTION("""COMPUTED_VALUE"""),35.0)</f>
        <v>35</v>
      </c>
      <c r="CI9" s="179">
        <f>IFERROR(__xludf.DUMMYFUNCTION("""COMPUTED_VALUE"""),42.0)</f>
        <v>42</v>
      </c>
      <c r="CJ9" s="16"/>
      <c r="CK9" s="16"/>
      <c r="CL9" s="16"/>
      <c r="CM9" s="16"/>
      <c r="CN9" s="16">
        <f>IFERROR(__xludf.DUMMYFUNCTION("""COMPUTED_VALUE"""),226.0)</f>
        <v>226</v>
      </c>
      <c r="CO9" s="16"/>
      <c r="CP9" s="16"/>
      <c r="CQ9" s="16"/>
      <c r="CR9" s="16" t="str">
        <f>IFERROR(__xludf.DUMMYFUNCTION("""COMPUTED_VALUE"""),"ss-2e26")</f>
        <v>ss-2e26</v>
      </c>
      <c r="CS9" s="16"/>
      <c r="CT9" s="16"/>
      <c r="CU9" s="16"/>
      <c r="CV9" s="16"/>
      <c r="CW9" s="16">
        <f>IFERROR(__xludf.DUMMYFUNCTION("""COMPUTED_VALUE"""),2.0)</f>
        <v>2</v>
      </c>
      <c r="CX9" s="16"/>
      <c r="CY9" s="16"/>
      <c r="CZ9" s="16"/>
      <c r="DA9" s="16"/>
      <c r="DB9" s="16"/>
      <c r="DC9" s="16"/>
      <c r="DD9" s="16"/>
      <c r="DE9" s="16">
        <f>IFERROR(__xludf.DUMMYFUNCTION("""COMPUTED_VALUE"""),26.0)</f>
        <v>26</v>
      </c>
      <c r="DF9" s="16"/>
      <c r="DG9" s="16"/>
      <c r="DH9" s="16"/>
      <c r="DI9" s="16"/>
      <c r="DJ9" s="16"/>
      <c r="DK9" s="16"/>
      <c r="DL9" s="16"/>
      <c r="DM9" s="16">
        <f>IFERROR(__xludf.DUMMYFUNCTION("""COMPUTED_VALUE"""),3.0)</f>
        <v>3</v>
      </c>
      <c r="DN9" s="16"/>
      <c r="DO9" s="16"/>
      <c r="DP9" s="16"/>
      <c r="DQ9" s="16"/>
      <c r="DR9" s="16"/>
      <c r="DS9" s="16"/>
      <c r="DT9" s="16"/>
      <c r="DU9" s="16">
        <f>IFERROR(__xludf.DUMMYFUNCTION("""COMPUTED_VALUE"""),0.0)</f>
        <v>0</v>
      </c>
      <c r="DV9" s="16"/>
      <c r="DW9" s="16"/>
      <c r="DX9" s="16"/>
      <c r="DY9" s="16"/>
      <c r="DZ9" s="16"/>
      <c r="EA9" s="16"/>
      <c r="EB9" s="16"/>
      <c r="EC9" s="16">
        <f>IFERROR(__xludf.DUMMYFUNCTION("""COMPUTED_VALUE"""),3.0)</f>
        <v>3</v>
      </c>
      <c r="ED9" s="16"/>
      <c r="EE9" s="16"/>
      <c r="EF9" s="16"/>
      <c r="EG9" s="179"/>
      <c r="EH9" s="179"/>
      <c r="EI9" s="179"/>
      <c r="EJ9" s="179"/>
      <c r="EK9" s="179">
        <f>IFERROR(__xludf.DUMMYFUNCTION("""COMPUTED_VALUE"""),45.0)</f>
        <v>45</v>
      </c>
      <c r="EL9" s="179"/>
      <c r="EM9" s="179"/>
      <c r="EN9" s="179"/>
      <c r="EO9" s="16"/>
      <c r="EP9" s="16"/>
      <c r="EQ9" s="16">
        <f>IFERROR(__xludf.DUMMYFUNCTION("""COMPUTED_VALUE"""),4.0)</f>
        <v>4</v>
      </c>
      <c r="ER9" s="16">
        <f>IFERROR(__xludf.DUMMYFUNCTION("""COMPUTED_VALUE"""),3.0)</f>
        <v>3</v>
      </c>
      <c r="ES9" s="16"/>
      <c r="ET9" s="16"/>
      <c r="EU9" s="16"/>
      <c r="EV9" s="16"/>
      <c r="EW9" s="16"/>
      <c r="EX9" s="180"/>
      <c r="EY9" s="180"/>
      <c r="EZ9" s="180"/>
      <c r="FA9" s="180"/>
      <c r="FB9" s="180">
        <f>IFERROR(__xludf.DUMMYFUNCTION("""COMPUTED_VALUE"""),0.1)</f>
        <v>0.1</v>
      </c>
      <c r="FC9" s="180"/>
      <c r="FD9" s="180"/>
      <c r="FE9" s="180"/>
      <c r="FF9" s="180"/>
      <c r="FG9" s="180"/>
      <c r="FH9" s="180"/>
      <c r="FI9" s="180"/>
      <c r="FJ9" s="180">
        <f>IFERROR(__xludf.DUMMYFUNCTION("""COMPUTED_VALUE"""),0.13425925925925927)</f>
        <v>0.1342592593</v>
      </c>
      <c r="FK9" s="180"/>
      <c r="FL9" s="180"/>
      <c r="FM9" s="180"/>
      <c r="FN9" s="16"/>
      <c r="FO9" s="16"/>
      <c r="FP9" s="16"/>
      <c r="FQ9" s="16"/>
      <c r="FR9" s="16">
        <f>IFERROR(__xludf.DUMMYFUNCTION("""COMPUTED_VALUE"""),0.7791666666666667)</f>
        <v>0.7791666667</v>
      </c>
      <c r="FS9" s="16"/>
      <c r="FT9" s="16"/>
      <c r="FU9" s="16"/>
      <c r="FV9" s="16"/>
      <c r="FW9" s="16"/>
      <c r="FX9" s="16"/>
      <c r="FY9" s="16"/>
      <c r="FZ9" s="16">
        <f>IFERROR(__xludf.DUMMYFUNCTION("""COMPUTED_VALUE"""),-1.0)</f>
        <v>-1</v>
      </c>
      <c r="GA9" s="16"/>
      <c r="GB9" s="16"/>
      <c r="GC9" s="16"/>
      <c r="GD9" s="16" t="s">
        <v>215</v>
      </c>
    </row>
    <row r="10">
      <c r="A10" s="16">
        <f>IFERROR(__xludf.DUMMYFUNCTION("""COMPUTED_VALUE"""),13506.0)</f>
        <v>13506</v>
      </c>
      <c r="B10" s="16" t="str">
        <f>IFERROR(__xludf.DUMMYFUNCTION("""COMPUTED_VALUE"""),"Yordan Alvarez")</f>
        <v>Yordan Alvarez</v>
      </c>
      <c r="C10" s="16">
        <f>IFERROR(__xludf.DUMMYFUNCTION("""COMPUTED_VALUE"""),2.47)</f>
        <v>2.47</v>
      </c>
      <c r="D10" s="16" t="str">
        <f>IFERROR(__xludf.DUMMYFUNCTION("""COMPUTED_VALUE"""),"L")</f>
        <v>L</v>
      </c>
      <c r="E10" s="16"/>
      <c r="F10" s="16"/>
      <c r="G10" s="16">
        <f>IFERROR(__xludf.DUMMYFUNCTION("""COMPUTED_VALUE"""),552.0)</f>
        <v>552</v>
      </c>
      <c r="H10" s="16">
        <f>IFERROR(__xludf.DUMMYFUNCTION("""COMPUTED_VALUE"""),69.0)</f>
        <v>69</v>
      </c>
      <c r="I10" s="16" t="str">
        <f>IFERROR(__xludf.DUMMYFUNCTION("""COMPUTED_VALUE"""),"1p65")</f>
        <v>1p65</v>
      </c>
      <c r="J10" s="16">
        <f>IFERROR(__xludf.DUMMYFUNCTION("""COMPUTED_VALUE"""),15.0)</f>
        <v>15</v>
      </c>
      <c r="K10" s="16">
        <f>IFERROR(__xludf.DUMMYFUNCTION("""COMPUTED_VALUE"""),6.0)</f>
        <v>6</v>
      </c>
      <c r="L10" s="16">
        <f>IFERROR(__xludf.DUMMYFUNCTION("""COMPUTED_VALUE"""),1.0)</f>
        <v>1</v>
      </c>
      <c r="M10" s="16">
        <f>IFERROR(__xludf.DUMMYFUNCTION("""COMPUTED_VALUE"""),2.0)</f>
        <v>2</v>
      </c>
      <c r="N10" s="16">
        <f>IFERROR(__xludf.DUMMYFUNCTION("""COMPUTED_VALUE"""),1.0)</f>
        <v>1</v>
      </c>
      <c r="O10" s="16">
        <f>IFERROR(__xludf.DUMMYFUNCTION("""COMPUTED_VALUE"""),2.0)</f>
        <v>2</v>
      </c>
      <c r="P10" s="16">
        <f>IFERROR(__xludf.DUMMYFUNCTION("""COMPUTED_VALUE"""),5.0)</f>
        <v>5</v>
      </c>
      <c r="Q10" s="16">
        <f>IFERROR(__xludf.DUMMYFUNCTION("""COMPUTED_VALUE"""),11.0)</f>
        <v>11</v>
      </c>
      <c r="R10" s="16">
        <f>IFERROR(__xludf.DUMMYFUNCTION("""COMPUTED_VALUE"""),-1.0)</f>
        <v>-1</v>
      </c>
      <c r="S10" s="16">
        <f>IFERROR(__xludf.DUMMYFUNCTION("""COMPUTED_VALUE"""),1.0)</f>
        <v>1</v>
      </c>
      <c r="T10" s="16">
        <f>IFERROR(__xludf.DUMMYFUNCTION("""COMPUTED_VALUE"""),-1.0)</f>
        <v>-1</v>
      </c>
      <c r="U10" s="16">
        <f>IFERROR(__xludf.DUMMYFUNCTION("""COMPUTED_VALUE"""),1.0)</f>
        <v>1</v>
      </c>
      <c r="V10" s="16">
        <f>IFERROR(__xludf.DUMMYFUNCTION("""COMPUTED_VALUE"""),42.9)</f>
        <v>42.9</v>
      </c>
      <c r="W10" s="16">
        <f>IFERROR(__xludf.DUMMYFUNCTION("""COMPUTED_VALUE"""),24.0)</f>
        <v>24</v>
      </c>
      <c r="X10" s="16">
        <f>IFERROR(__xludf.DUMMYFUNCTION("""COMPUTED_VALUE"""),3.0)</f>
        <v>3</v>
      </c>
      <c r="Y10" s="16">
        <f>IFERROR(__xludf.DUMMYFUNCTION("""COMPUTED_VALUE"""),1.0)</f>
        <v>1</v>
      </c>
      <c r="Z10" s="16">
        <f>IFERROR(__xludf.DUMMYFUNCTION("""COMPUTED_VALUE"""),6.0)</f>
        <v>6</v>
      </c>
      <c r="AA10" s="16">
        <f>IFERROR(__xludf.DUMMYFUNCTION("""COMPUTED_VALUE"""),2.0)</f>
        <v>2</v>
      </c>
      <c r="AB10" s="16">
        <f>IFERROR(__xludf.DUMMYFUNCTION("""COMPUTED_VALUE"""),51.9)</f>
        <v>51.9</v>
      </c>
      <c r="AC10" s="16">
        <f>IFERROR(__xludf.DUMMYFUNCTION("""COMPUTED_VALUE"""),39.0)</f>
        <v>39</v>
      </c>
      <c r="AD10" s="16">
        <f>IFERROR(__xludf.DUMMYFUNCTION("""COMPUTED_VALUE"""),2.0)</f>
        <v>2</v>
      </c>
      <c r="AE10" s="16">
        <f>IFERROR(__xludf.DUMMYFUNCTION("""COMPUTED_VALUE"""),1.0)</f>
        <v>1</v>
      </c>
      <c r="AF10" s="16">
        <f>IFERROR(__xludf.DUMMYFUNCTION("""COMPUTED_VALUE"""),10.0)</f>
        <v>10</v>
      </c>
      <c r="AG10" s="16">
        <f>IFERROR(__xludf.DUMMYFUNCTION("""COMPUTED_VALUE"""),5.0)</f>
        <v>5</v>
      </c>
      <c r="AH10" s="16">
        <f>IFERROR(__xludf.DUMMYFUNCTION("""COMPUTED_VALUE"""),67.7)</f>
        <v>67.7</v>
      </c>
      <c r="AI10" s="16">
        <f>IFERROR(__xludf.DUMMYFUNCTION("""COMPUTED_VALUE"""),47.2)</f>
        <v>47.2</v>
      </c>
      <c r="AJ10" s="16">
        <f>IFERROR(__xludf.DUMMYFUNCTION("""COMPUTED_VALUE"""),3.0)</f>
        <v>3</v>
      </c>
      <c r="AK10" s="16">
        <f>IFERROR(__xludf.DUMMYFUNCTION("""COMPUTED_VALUE"""),2.0)</f>
        <v>2</v>
      </c>
      <c r="AL10" s="16">
        <f>IFERROR(__xludf.DUMMYFUNCTION("""COMPUTED_VALUE"""),15.0)</f>
        <v>15</v>
      </c>
      <c r="AM10" s="16">
        <f>IFERROR(__xludf.DUMMYFUNCTION("""COMPUTED_VALUE"""),10.0)</f>
        <v>10</v>
      </c>
      <c r="AN10" s="16">
        <f>IFERROR(__xludf.DUMMYFUNCTION("""COMPUTED_VALUE"""),4.0)</f>
        <v>4</v>
      </c>
      <c r="AO10" s="16">
        <f>IFERROR(__xludf.DUMMYFUNCTION("""COMPUTED_VALUE"""),6.0)</f>
        <v>6</v>
      </c>
      <c r="AP10" s="16">
        <f>IFERROR(__xludf.DUMMYFUNCTION("""COMPUTED_VALUE"""),2.0)</f>
        <v>2</v>
      </c>
      <c r="AQ10" s="16">
        <f>IFERROR(__xludf.DUMMYFUNCTION("""COMPUTED_VALUE"""),3.0)</f>
        <v>3</v>
      </c>
      <c r="AR10" s="16">
        <f>IFERROR(__xludf.DUMMYFUNCTION("""COMPUTED_VALUE"""),4.0)</f>
        <v>4</v>
      </c>
      <c r="AS10" s="16">
        <f>IFERROR(__xludf.DUMMYFUNCTION("""COMPUTED_VALUE"""),6.0)</f>
        <v>6</v>
      </c>
      <c r="AT10" s="16">
        <f>IFERROR(__xludf.DUMMYFUNCTION("""COMPUTED_VALUE"""),8.0)</f>
        <v>8</v>
      </c>
      <c r="AU10" s="16">
        <f>IFERROR(__xludf.DUMMYFUNCTION("""COMPUTED_VALUE"""),8.0)</f>
        <v>8</v>
      </c>
      <c r="AV10" s="16">
        <f>IFERROR(__xludf.DUMMYFUNCTION("""COMPUTED_VALUE"""),8.0)</f>
        <v>8</v>
      </c>
      <c r="AW10" s="16">
        <f>IFERROR(__xludf.DUMMYFUNCTION("""COMPUTED_VALUE"""),8.0)</f>
        <v>8</v>
      </c>
      <c r="AX10" s="16">
        <f>IFERROR(__xludf.DUMMYFUNCTION("""COMPUTED_VALUE"""),3.0)</f>
        <v>3</v>
      </c>
      <c r="AY10" s="16">
        <f>IFERROR(__xludf.DUMMYFUNCTION("""COMPUTED_VALUE"""),3.0)</f>
        <v>3</v>
      </c>
      <c r="AZ10" s="16">
        <f>IFERROR(__xludf.DUMMYFUNCTION("""COMPUTED_VALUE"""),9.0)</f>
        <v>9</v>
      </c>
      <c r="BA10" s="16">
        <f>IFERROR(__xludf.DUMMYFUNCTION("""COMPUTED_VALUE"""),9.0)</f>
        <v>9</v>
      </c>
      <c r="BB10" s="16">
        <f>IFERROR(__xludf.DUMMYFUNCTION("""COMPUTED_VALUE"""),5.0)</f>
        <v>5</v>
      </c>
      <c r="BC10" s="16">
        <f>IFERROR(__xludf.DUMMYFUNCTION("""COMPUTED_VALUE"""),5.0)</f>
        <v>5</v>
      </c>
      <c r="BD10" s="16">
        <f>IFERROR(__xludf.DUMMYFUNCTION("""COMPUTED_VALUE"""),1.0)</f>
        <v>1</v>
      </c>
      <c r="BE10" s="16">
        <f>IFERROR(__xludf.DUMMYFUNCTION("""COMPUTED_VALUE"""),1.0)</f>
        <v>1</v>
      </c>
      <c r="BF10" s="16">
        <f>IFERROR(__xludf.DUMMYFUNCTION("""COMPUTED_VALUE"""),1.0)</f>
        <v>1</v>
      </c>
      <c r="BG10" s="16">
        <f>IFERROR(__xludf.DUMMYFUNCTION("""COMPUTED_VALUE"""),1.0)</f>
        <v>1</v>
      </c>
      <c r="BH10" s="16">
        <f>IFERROR(__xludf.DUMMYFUNCTION("""COMPUTED_VALUE"""),-16.0)</f>
        <v>-16</v>
      </c>
      <c r="BI10" s="16">
        <f>IFERROR(__xludf.DUMMYFUNCTION("""COMPUTED_VALUE"""),-10.0)</f>
        <v>-10</v>
      </c>
      <c r="BJ10" s="16">
        <f>IFERROR(__xludf.DUMMYFUNCTION("""COMPUTED_VALUE"""),20.0)</f>
        <v>20</v>
      </c>
      <c r="BK10" s="16">
        <f>IFERROR(__xludf.DUMMYFUNCTION("""COMPUTED_VALUE"""),17.0)</f>
        <v>17</v>
      </c>
      <c r="BL10" s="16">
        <f>IFERROR(__xludf.DUMMYFUNCTION("""COMPUTED_VALUE"""),-2.0)</f>
        <v>-2</v>
      </c>
      <c r="BM10" s="16">
        <f>IFERROR(__xludf.DUMMYFUNCTION("""COMPUTED_VALUE"""),-1.0)</f>
        <v>-1</v>
      </c>
      <c r="BN10" s="16">
        <f>IFERROR(__xludf.DUMMYFUNCTION("""COMPUTED_VALUE"""),-4.0)</f>
        <v>-4</v>
      </c>
      <c r="BO10" s="16">
        <f>IFERROR(__xludf.DUMMYFUNCTION("""COMPUTED_VALUE"""),-2.0)</f>
        <v>-2</v>
      </c>
      <c r="BP10" s="16">
        <f>IFERROR(__xludf.DUMMYFUNCTION("""COMPUTED_VALUE"""),12.0)</f>
        <v>12</v>
      </c>
      <c r="BQ10" s="16">
        <f>IFERROR(__xludf.DUMMYFUNCTION("""COMPUTED_VALUE"""),13.0)</f>
        <v>13</v>
      </c>
      <c r="BR10" s="16">
        <f>IFERROR(__xludf.DUMMYFUNCTION("""COMPUTED_VALUE"""),25.0)</f>
        <v>25</v>
      </c>
      <c r="BS10" s="16" t="str">
        <f>IFERROR(__xludf.DUMMYFUNCTION("""COMPUTED_VALUE"""),"2/- (20-6)")</f>
        <v>2/- (20-6)</v>
      </c>
      <c r="BT10" s="16" t="str">
        <f>IFERROR(__xludf.DUMMYFUNCTION("""COMPUTED_VALUE"""),"C")</f>
        <v>C</v>
      </c>
      <c r="BU10" s="16">
        <f>IFERROR(__xludf.DUMMYFUNCTION("""COMPUTED_VALUE"""),10.0)</f>
        <v>10</v>
      </c>
      <c r="BV10" s="16">
        <f>IFERROR(__xludf.DUMMYFUNCTION("""COMPUTED_VALUE"""),0.0)</f>
        <v>0</v>
      </c>
      <c r="BW10" s="16">
        <f>IFERROR(__xludf.DUMMYFUNCTION("""COMPUTED_VALUE"""),0.0)</f>
        <v>0</v>
      </c>
      <c r="BX10" s="16">
        <f>IFERROR(__xludf.DUMMYFUNCTION("""COMPUTED_VALUE"""),0.0)</f>
        <v>0</v>
      </c>
      <c r="BY10" s="16">
        <f>IFERROR(__xludf.DUMMYFUNCTION("""COMPUTED_VALUE"""),0.0)</f>
        <v>0</v>
      </c>
      <c r="BZ10" s="16" t="str">
        <f>IFERROR(__xludf.DUMMYFUNCTION("""COMPUTED_VALUE"""),"C")</f>
        <v>C</v>
      </c>
      <c r="CA10" s="16" t="str">
        <f>IFERROR(__xludf.DUMMYFUNCTION("""COMPUTED_VALUE"""),"C")</f>
        <v>C</v>
      </c>
      <c r="CB10" s="16">
        <f>IFERROR(__xludf.DUMMYFUNCTION("""COMPUTED_VALUE"""),0.0)</f>
        <v>0</v>
      </c>
      <c r="CC10" s="16">
        <f>IFERROR(__xludf.DUMMYFUNCTION("""COMPUTED_VALUE"""),0.0)</f>
        <v>0</v>
      </c>
      <c r="CD10" s="16">
        <f>IFERROR(__xludf.DUMMYFUNCTION("""COMPUTED_VALUE"""),0.0)</f>
        <v>0</v>
      </c>
      <c r="CE10" s="16">
        <f>IFERROR(__xludf.DUMMYFUNCTION("""COMPUTED_VALUE"""),0.0)</f>
        <v>0</v>
      </c>
      <c r="CF10" s="16">
        <f>IFERROR(__xludf.DUMMYFUNCTION("""COMPUTED_VALUE"""),1.0)</f>
        <v>1</v>
      </c>
      <c r="CG10" s="16">
        <f>IFERROR(__xludf.DUMMYFUNCTION("""COMPUTED_VALUE"""),41.0)</f>
        <v>41</v>
      </c>
      <c r="CH10" s="16">
        <f>IFERROR(__xludf.DUMMYFUNCTION("""COMPUTED_VALUE"""),34.0)</f>
        <v>34</v>
      </c>
      <c r="CI10" s="179">
        <f>IFERROR(__xludf.DUMMYFUNCTION("""COMPUTED_VALUE"""),42.0)</f>
        <v>42</v>
      </c>
      <c r="CJ10" s="16"/>
      <c r="CK10" s="16"/>
      <c r="CL10" s="16"/>
      <c r="CM10" s="16"/>
      <c r="CN10" s="16"/>
      <c r="CO10" s="16">
        <f>IFERROR(__xludf.DUMMYFUNCTION("""COMPUTED_VALUE"""),503.0)</f>
        <v>503</v>
      </c>
      <c r="CP10" s="16"/>
      <c r="CQ10" s="16"/>
      <c r="CR10" s="16" t="str">
        <f>IFERROR(__xludf.DUMMYFUNCTION("""COMPUTED_VALUE"""),"lf-5(-3)e3")</f>
        <v>lf-5(-3)e3</v>
      </c>
      <c r="CS10" s="16"/>
      <c r="CT10" s="16"/>
      <c r="CU10" s="16"/>
      <c r="CV10" s="16"/>
      <c r="CW10" s="16"/>
      <c r="CX10" s="16">
        <f>IFERROR(__xludf.DUMMYFUNCTION("""COMPUTED_VALUE"""),5.0)</f>
        <v>5</v>
      </c>
      <c r="CY10" s="16"/>
      <c r="CZ10" s="16"/>
      <c r="DA10" s="16"/>
      <c r="DB10" s="16"/>
      <c r="DC10" s="16"/>
      <c r="DD10" s="16"/>
      <c r="DE10" s="16"/>
      <c r="DF10" s="16">
        <f>IFERROR(__xludf.DUMMYFUNCTION("""COMPUTED_VALUE"""),3.0)</f>
        <v>3</v>
      </c>
      <c r="DG10" s="16"/>
      <c r="DH10" s="16"/>
      <c r="DI10" s="16"/>
      <c r="DJ10" s="16"/>
      <c r="DK10" s="16"/>
      <c r="DL10" s="16"/>
      <c r="DM10" s="16"/>
      <c r="DN10" s="16">
        <f>IFERROR(__xludf.DUMMYFUNCTION("""COMPUTED_VALUE"""),-3.0)</f>
        <v>-3</v>
      </c>
      <c r="DO10" s="16"/>
      <c r="DP10" s="16"/>
      <c r="DQ10" s="16"/>
      <c r="DR10" s="16"/>
      <c r="DS10" s="16"/>
      <c r="DT10" s="16"/>
      <c r="DU10" s="16"/>
      <c r="DV10" s="16">
        <f>IFERROR(__xludf.DUMMYFUNCTION("""COMPUTED_VALUE"""),4.0)</f>
        <v>4</v>
      </c>
      <c r="DW10" s="16"/>
      <c r="DX10" s="16"/>
      <c r="DY10" s="16"/>
      <c r="DZ10" s="16"/>
      <c r="EA10" s="16"/>
      <c r="EB10" s="16"/>
      <c r="EC10" s="16"/>
      <c r="ED10" s="16">
        <f>IFERROR(__xludf.DUMMYFUNCTION("""COMPUTED_VALUE"""),1.0)</f>
        <v>1</v>
      </c>
      <c r="EE10" s="16"/>
      <c r="EF10" s="16"/>
      <c r="EG10" s="179"/>
      <c r="EH10" s="179"/>
      <c r="EI10" s="179"/>
      <c r="EJ10" s="179"/>
      <c r="EK10" s="179"/>
      <c r="EL10" s="179">
        <f>IFERROR(__xludf.DUMMYFUNCTION("""COMPUTED_VALUE"""),43.0)</f>
        <v>43</v>
      </c>
      <c r="EM10" s="179"/>
      <c r="EN10" s="179"/>
      <c r="EO10" s="16"/>
      <c r="EP10" s="16"/>
      <c r="EQ10" s="16">
        <f>IFERROR(__xludf.DUMMYFUNCTION("""COMPUTED_VALUE"""),4.0)</f>
        <v>4</v>
      </c>
      <c r="ER10" s="16">
        <f>IFERROR(__xludf.DUMMYFUNCTION("""COMPUTED_VALUE"""),2.0)</f>
        <v>2</v>
      </c>
      <c r="ES10" s="16"/>
      <c r="ET10" s="16"/>
      <c r="EU10" s="16"/>
      <c r="EV10" s="16"/>
      <c r="EW10" s="16"/>
      <c r="EX10" s="180"/>
      <c r="EY10" s="180"/>
      <c r="EZ10" s="180"/>
      <c r="FA10" s="180"/>
      <c r="FB10" s="180"/>
      <c r="FC10" s="180">
        <f>IFERROR(__xludf.DUMMYFUNCTION("""COMPUTED_VALUE"""),0.75)</f>
        <v>0.75</v>
      </c>
      <c r="FD10" s="180"/>
      <c r="FE10" s="180"/>
      <c r="FF10" s="180"/>
      <c r="FG10" s="180"/>
      <c r="FH10" s="180"/>
      <c r="FI10" s="180"/>
      <c r="FJ10" s="180"/>
      <c r="FK10" s="180">
        <f>IFERROR(__xludf.DUMMYFUNCTION("""COMPUTED_VALUE"""),0.056)</f>
        <v>0.056</v>
      </c>
      <c r="FL10" s="180"/>
      <c r="FM10" s="180"/>
      <c r="FN10" s="16"/>
      <c r="FO10" s="16"/>
      <c r="FP10" s="16"/>
      <c r="FQ10" s="16"/>
      <c r="FR10" s="16"/>
      <c r="FS10" s="16">
        <f>IFERROR(__xludf.DUMMYFUNCTION("""COMPUTED_VALUE"""),0.236)</f>
        <v>0.236</v>
      </c>
      <c r="FT10" s="16"/>
      <c r="FU10" s="16"/>
      <c r="FV10" s="16"/>
      <c r="FW10" s="16"/>
      <c r="FX10" s="16"/>
      <c r="FY10" s="16"/>
      <c r="FZ10" s="16"/>
      <c r="GA10" s="16">
        <f>IFERROR(__xludf.DUMMYFUNCTION("""COMPUTED_VALUE"""),-8.0)</f>
        <v>-8</v>
      </c>
      <c r="GB10" s="16"/>
      <c r="GC10" s="16"/>
      <c r="GD10" s="16" t="s">
        <v>126</v>
      </c>
    </row>
    <row r="11">
      <c r="A11" s="16">
        <f>IFERROR(__xludf.DUMMYFUNCTION("""COMPUTED_VALUE"""),13473.0)</f>
        <v>13473</v>
      </c>
      <c r="B11" s="16" t="str">
        <f>IFERROR(__xludf.DUMMYFUNCTION("""COMPUTED_VALUE"""),"Vladimir Guerrero Jr")</f>
        <v>Vladimir Guerrero Jr</v>
      </c>
      <c r="C11" s="16">
        <f>IFERROR(__xludf.DUMMYFUNCTION("""COMPUTED_VALUE"""),2.58)</f>
        <v>2.58</v>
      </c>
      <c r="D11" s="16" t="str">
        <f>IFERROR(__xludf.DUMMYFUNCTION("""COMPUTED_VALUE"""),"R")</f>
        <v>R</v>
      </c>
      <c r="E11" s="16"/>
      <c r="F11" s="16"/>
      <c r="G11" s="16">
        <f>IFERROR(__xludf.DUMMYFUNCTION("""COMPUTED_VALUE"""),616.0)</f>
        <v>616</v>
      </c>
      <c r="H11" s="16">
        <f>IFERROR(__xludf.DUMMYFUNCTION("""COMPUTED_VALUE"""),72.0)</f>
        <v>72</v>
      </c>
      <c r="I11" s="16" t="str">
        <f>IFERROR(__xludf.DUMMYFUNCTION("""COMPUTED_VALUE"""),"1p70")</f>
        <v>1p70</v>
      </c>
      <c r="J11" s="16">
        <f>IFERROR(__xludf.DUMMYFUNCTION("""COMPUTED_VALUE"""),0.0)</f>
        <v>0</v>
      </c>
      <c r="K11" s="16">
        <f>IFERROR(__xludf.DUMMYFUNCTION("""COMPUTED_VALUE"""),7.0)</f>
        <v>7</v>
      </c>
      <c r="L11" s="16">
        <f>IFERROR(__xludf.DUMMYFUNCTION("""COMPUTED_VALUE"""),3.0)</f>
        <v>3</v>
      </c>
      <c r="M11" s="16">
        <f>IFERROR(__xludf.DUMMYFUNCTION("""COMPUTED_VALUE"""),2.0)</f>
        <v>2</v>
      </c>
      <c r="N11" s="16">
        <f>IFERROR(__xludf.DUMMYFUNCTION("""COMPUTED_VALUE"""),3.0)</f>
        <v>3</v>
      </c>
      <c r="O11" s="16">
        <f>IFERROR(__xludf.DUMMYFUNCTION("""COMPUTED_VALUE"""),2.0)</f>
        <v>2</v>
      </c>
      <c r="P11" s="16">
        <f>IFERROR(__xludf.DUMMYFUNCTION("""COMPUTED_VALUE"""),18.0)</f>
        <v>18</v>
      </c>
      <c r="Q11" s="16">
        <f>IFERROR(__xludf.DUMMYFUNCTION("""COMPUTED_VALUE"""),9.0)</f>
        <v>9</v>
      </c>
      <c r="R11" s="16">
        <f>IFERROR(__xludf.DUMMYFUNCTION("""COMPUTED_VALUE"""),3.0)</f>
        <v>3</v>
      </c>
      <c r="S11" s="16">
        <f>IFERROR(__xludf.DUMMYFUNCTION("""COMPUTED_VALUE"""),0.0)</f>
        <v>0</v>
      </c>
      <c r="T11" s="16">
        <f>IFERROR(__xludf.DUMMYFUNCTION("""COMPUTED_VALUE"""),3.0)</f>
        <v>3</v>
      </c>
      <c r="U11" s="16">
        <f>IFERROR(__xludf.DUMMYFUNCTION("""COMPUTED_VALUE"""),0.0)</f>
        <v>0</v>
      </c>
      <c r="V11" s="16">
        <f>IFERROR(__xludf.DUMMYFUNCTION("""COMPUTED_VALUE"""),28.1)</f>
        <v>28.1</v>
      </c>
      <c r="W11" s="16">
        <f>IFERROR(__xludf.DUMMYFUNCTION("""COMPUTED_VALUE"""),35.3)</f>
        <v>35.3</v>
      </c>
      <c r="X11" s="16">
        <f>IFERROR(__xludf.DUMMYFUNCTION("""COMPUTED_VALUE"""),1.0)</f>
        <v>1</v>
      </c>
      <c r="Y11" s="16">
        <f>IFERROR(__xludf.DUMMYFUNCTION("""COMPUTED_VALUE"""),3.0)</f>
        <v>3</v>
      </c>
      <c r="Z11" s="16">
        <f>IFERROR(__xludf.DUMMYFUNCTION("""COMPUTED_VALUE"""),2.0)</f>
        <v>2</v>
      </c>
      <c r="AA11" s="16">
        <f>IFERROR(__xludf.DUMMYFUNCTION("""COMPUTED_VALUE"""),6.0)</f>
        <v>6</v>
      </c>
      <c r="AB11" s="16">
        <f>IFERROR(__xludf.DUMMYFUNCTION("""COMPUTED_VALUE"""),48.2)</f>
        <v>48.2</v>
      </c>
      <c r="AC11" s="16">
        <f>IFERROR(__xludf.DUMMYFUNCTION("""COMPUTED_VALUE"""),46.3)</f>
        <v>46.3</v>
      </c>
      <c r="AD11" s="16">
        <f>IFERROR(__xludf.DUMMYFUNCTION("""COMPUTED_VALUE"""),2.0)</f>
        <v>2</v>
      </c>
      <c r="AE11" s="16">
        <f>IFERROR(__xludf.DUMMYFUNCTION("""COMPUTED_VALUE"""),2.0)</f>
        <v>2</v>
      </c>
      <c r="AF11" s="16">
        <f>IFERROR(__xludf.DUMMYFUNCTION("""COMPUTED_VALUE"""),10.0)</f>
        <v>10</v>
      </c>
      <c r="AG11" s="16">
        <f>IFERROR(__xludf.DUMMYFUNCTION("""COMPUTED_VALUE"""),10.0)</f>
        <v>10</v>
      </c>
      <c r="AH11" s="16">
        <f>IFERROR(__xludf.DUMMYFUNCTION("""COMPUTED_VALUE"""),47.3)</f>
        <v>47.3</v>
      </c>
      <c r="AI11" s="16">
        <f>IFERROR(__xludf.DUMMYFUNCTION("""COMPUTED_VALUE"""),54.8)</f>
        <v>54.8</v>
      </c>
      <c r="AJ11" s="16">
        <f>IFERROR(__xludf.DUMMYFUNCTION("""COMPUTED_VALUE"""),1.0)</f>
        <v>1</v>
      </c>
      <c r="AK11" s="16">
        <f>IFERROR(__xludf.DUMMYFUNCTION("""COMPUTED_VALUE"""),2.0)</f>
        <v>2</v>
      </c>
      <c r="AL11" s="16">
        <f>IFERROR(__xludf.DUMMYFUNCTION("""COMPUTED_VALUE"""),5.0)</f>
        <v>5</v>
      </c>
      <c r="AM11" s="16">
        <f>IFERROR(__xludf.DUMMYFUNCTION("""COMPUTED_VALUE"""),10.0)</f>
        <v>10</v>
      </c>
      <c r="AN11" s="16">
        <f>IFERROR(__xludf.DUMMYFUNCTION("""COMPUTED_VALUE"""),3.4)</f>
        <v>3.4</v>
      </c>
      <c r="AO11" s="16">
        <f>IFERROR(__xludf.DUMMYFUNCTION("""COMPUTED_VALUE"""),3.6)</f>
        <v>3.6</v>
      </c>
      <c r="AP11" s="16">
        <f>IFERROR(__xludf.DUMMYFUNCTION("""COMPUTED_VALUE"""),1.0)</f>
        <v>1</v>
      </c>
      <c r="AQ11" s="16">
        <f>IFERROR(__xludf.DUMMYFUNCTION("""COMPUTED_VALUE"""),1.0)</f>
        <v>1</v>
      </c>
      <c r="AR11" s="16">
        <f>IFERROR(__xludf.DUMMYFUNCTION("""COMPUTED_VALUE"""),2.0)</f>
        <v>2</v>
      </c>
      <c r="AS11" s="16">
        <f>IFERROR(__xludf.DUMMYFUNCTION("""COMPUTED_VALUE"""),2.0)</f>
        <v>2</v>
      </c>
      <c r="AT11" s="16">
        <f>IFERROR(__xludf.DUMMYFUNCTION("""COMPUTED_VALUE"""),6.0)</f>
        <v>6</v>
      </c>
      <c r="AU11" s="16">
        <f>IFERROR(__xludf.DUMMYFUNCTION("""COMPUTED_VALUE"""),6.0)</f>
        <v>6</v>
      </c>
      <c r="AV11" s="16">
        <f>IFERROR(__xludf.DUMMYFUNCTION("""COMPUTED_VALUE"""),6.0)</f>
        <v>6</v>
      </c>
      <c r="AW11" s="16">
        <f>IFERROR(__xludf.DUMMYFUNCTION("""COMPUTED_VALUE"""),6.0)</f>
        <v>6</v>
      </c>
      <c r="AX11" s="16">
        <f>IFERROR(__xludf.DUMMYFUNCTION("""COMPUTED_VALUE"""),3.0)</f>
        <v>3</v>
      </c>
      <c r="AY11" s="16">
        <f>IFERROR(__xludf.DUMMYFUNCTION("""COMPUTED_VALUE"""),2.0)</f>
        <v>2</v>
      </c>
      <c r="AZ11" s="16">
        <f>IFERROR(__xludf.DUMMYFUNCTION("""COMPUTED_VALUE"""),9.0)</f>
        <v>9</v>
      </c>
      <c r="BA11" s="16">
        <f>IFERROR(__xludf.DUMMYFUNCTION("""COMPUTED_VALUE"""),6.0)</f>
        <v>6</v>
      </c>
      <c r="BB11" s="16">
        <f>IFERROR(__xludf.DUMMYFUNCTION("""COMPUTED_VALUE"""),5.0)</f>
        <v>5</v>
      </c>
      <c r="BC11" s="16">
        <f>IFERROR(__xludf.DUMMYFUNCTION("""COMPUTED_VALUE"""),5.0)</f>
        <v>5</v>
      </c>
      <c r="BD11" s="16">
        <f>IFERROR(__xludf.DUMMYFUNCTION("""COMPUTED_VALUE"""),1.0)</f>
        <v>1</v>
      </c>
      <c r="BE11" s="16">
        <f>IFERROR(__xludf.DUMMYFUNCTION("""COMPUTED_VALUE"""),1.0)</f>
        <v>1</v>
      </c>
      <c r="BF11" s="16">
        <f>IFERROR(__xludf.DUMMYFUNCTION("""COMPUTED_VALUE"""),1.0)</f>
        <v>1</v>
      </c>
      <c r="BG11" s="16">
        <f>IFERROR(__xludf.DUMMYFUNCTION("""COMPUTED_VALUE"""),1.0)</f>
        <v>1</v>
      </c>
      <c r="BH11" s="16">
        <f>IFERROR(__xludf.DUMMYFUNCTION("""COMPUTED_VALUE"""),-5.0)</f>
        <v>-5</v>
      </c>
      <c r="BI11" s="16">
        <f>IFERROR(__xludf.DUMMYFUNCTION("""COMPUTED_VALUE"""),-6.0)</f>
        <v>-6</v>
      </c>
      <c r="BJ11" s="16">
        <f>IFERROR(__xludf.DUMMYFUNCTION("""COMPUTED_VALUE"""),16.0)</f>
        <v>16</v>
      </c>
      <c r="BK11" s="16">
        <f>IFERROR(__xludf.DUMMYFUNCTION("""COMPUTED_VALUE"""),18.0)</f>
        <v>18</v>
      </c>
      <c r="BL11" s="16">
        <f>IFERROR(__xludf.DUMMYFUNCTION("""COMPUTED_VALUE"""),-1.0)</f>
        <v>-1</v>
      </c>
      <c r="BM11" s="16">
        <f>IFERROR(__xludf.DUMMYFUNCTION("""COMPUTED_VALUE"""),-1.0)</f>
        <v>-1</v>
      </c>
      <c r="BN11" s="16">
        <f>IFERROR(__xludf.DUMMYFUNCTION("""COMPUTED_VALUE"""),-2.0)</f>
        <v>-2</v>
      </c>
      <c r="BO11" s="16">
        <f>IFERROR(__xludf.DUMMYFUNCTION("""COMPUTED_VALUE"""),-2.0)</f>
        <v>-2</v>
      </c>
      <c r="BP11" s="16">
        <f>IFERROR(__xludf.DUMMYFUNCTION("""COMPUTED_VALUE"""),14.0)</f>
        <v>14</v>
      </c>
      <c r="BQ11" s="16">
        <f>IFERROR(__xludf.DUMMYFUNCTION("""COMPUTED_VALUE"""),12.0)</f>
        <v>12</v>
      </c>
      <c r="BR11" s="16">
        <f>IFERROR(__xludf.DUMMYFUNCTION("""COMPUTED_VALUE"""),26.0)</f>
        <v>26</v>
      </c>
      <c r="BS11" s="16" t="str">
        <f>IFERROR(__xludf.DUMMYFUNCTION("""COMPUTED_VALUE"""),"4/12 (13-5)")</f>
        <v>4/12 (13-5)</v>
      </c>
      <c r="BT11" s="16" t="str">
        <f>IFERROR(__xludf.DUMMYFUNCTION("""COMPUTED_VALUE"""),"E")</f>
        <v>E</v>
      </c>
      <c r="BU11" s="16">
        <f>IFERROR(__xludf.DUMMYFUNCTION("""COMPUTED_VALUE"""),10.0)</f>
        <v>10</v>
      </c>
      <c r="BV11" s="16">
        <f>IFERROR(__xludf.DUMMYFUNCTION("""COMPUTED_VALUE"""),0.0)</f>
        <v>0</v>
      </c>
      <c r="BW11" s="16">
        <f>IFERROR(__xludf.DUMMYFUNCTION("""COMPUTED_VALUE"""),0.0)</f>
        <v>0</v>
      </c>
      <c r="BX11" s="16">
        <f>IFERROR(__xludf.DUMMYFUNCTION("""COMPUTED_VALUE"""),0.0)</f>
        <v>0</v>
      </c>
      <c r="BY11" s="16">
        <f>IFERROR(__xludf.DUMMYFUNCTION("""COMPUTED_VALUE"""),0.0)</f>
        <v>0</v>
      </c>
      <c r="BZ11" s="16" t="str">
        <f>IFERROR(__xludf.DUMMYFUNCTION("""COMPUTED_VALUE"""),"D")</f>
        <v>D</v>
      </c>
      <c r="CA11" s="16" t="str">
        <f>IFERROR(__xludf.DUMMYFUNCTION("""COMPUTED_VALUE"""),"C")</f>
        <v>C</v>
      </c>
      <c r="CB11" s="16">
        <f>IFERROR(__xludf.DUMMYFUNCTION("""COMPUTED_VALUE"""),0.0)</f>
        <v>0</v>
      </c>
      <c r="CC11" s="16">
        <f>IFERROR(__xludf.DUMMYFUNCTION("""COMPUTED_VALUE"""),0.0)</f>
        <v>0</v>
      </c>
      <c r="CD11" s="16">
        <f>IFERROR(__xludf.DUMMYFUNCTION("""COMPUTED_VALUE"""),0.0)</f>
        <v>0</v>
      </c>
      <c r="CE11" s="16">
        <f>IFERROR(__xludf.DUMMYFUNCTION("""COMPUTED_VALUE"""),0.0)</f>
        <v>0</v>
      </c>
      <c r="CF11" s="16">
        <f>IFERROR(__xludf.DUMMYFUNCTION("""COMPUTED_VALUE"""),1.0)</f>
        <v>1</v>
      </c>
      <c r="CG11" s="16">
        <f>IFERROR(__xludf.DUMMYFUNCTION("""COMPUTED_VALUE"""),33.0)</f>
        <v>33</v>
      </c>
      <c r="CH11" s="16">
        <f>IFERROR(__xludf.DUMMYFUNCTION("""COMPUTED_VALUE"""),35.0)</f>
        <v>35</v>
      </c>
      <c r="CI11" s="179">
        <f>IFERROR(__xludf.DUMMYFUNCTION("""COMPUTED_VALUE"""),42.0)</f>
        <v>42</v>
      </c>
      <c r="CJ11" s="16"/>
      <c r="CK11" s="16">
        <f>IFERROR(__xludf.DUMMYFUNCTION("""COMPUTED_VALUE"""),314.0)</f>
        <v>314</v>
      </c>
      <c r="CL11" s="16"/>
      <c r="CM11" s="16">
        <f>IFERROR(__xludf.DUMMYFUNCTION("""COMPUTED_VALUE"""),429.0)</f>
        <v>429</v>
      </c>
      <c r="CN11" s="16"/>
      <c r="CO11" s="16"/>
      <c r="CP11" s="16"/>
      <c r="CQ11" s="16"/>
      <c r="CR11" s="16" t="str">
        <f>IFERROR(__xludf.DUMMYFUNCTION("""COMPUTED_VALUE"""),"1b-3e14 3b-4e29")</f>
        <v>1b-3e14 3b-4e29</v>
      </c>
      <c r="CS11" s="16"/>
      <c r="CT11" s="16">
        <f>IFERROR(__xludf.DUMMYFUNCTION("""COMPUTED_VALUE"""),3.0)</f>
        <v>3</v>
      </c>
      <c r="CU11" s="16"/>
      <c r="CV11" s="16">
        <f>IFERROR(__xludf.DUMMYFUNCTION("""COMPUTED_VALUE"""),4.0)</f>
        <v>4</v>
      </c>
      <c r="CW11" s="16"/>
      <c r="CX11" s="16"/>
      <c r="CY11" s="16"/>
      <c r="CZ11" s="16"/>
      <c r="DA11" s="16"/>
      <c r="DB11" s="16">
        <f>IFERROR(__xludf.DUMMYFUNCTION("""COMPUTED_VALUE"""),14.0)</f>
        <v>14</v>
      </c>
      <c r="DC11" s="16"/>
      <c r="DD11" s="16">
        <f>IFERROR(__xludf.DUMMYFUNCTION("""COMPUTED_VALUE"""),29.0)</f>
        <v>29</v>
      </c>
      <c r="DE11" s="16"/>
      <c r="DF11" s="16"/>
      <c r="DG11" s="16"/>
      <c r="DH11" s="16"/>
      <c r="DI11" s="16"/>
      <c r="DJ11" s="16">
        <f>IFERROR(__xludf.DUMMYFUNCTION("""COMPUTED_VALUE"""),1.0)</f>
        <v>1</v>
      </c>
      <c r="DK11" s="16"/>
      <c r="DL11" s="16">
        <f>IFERROR(__xludf.DUMMYFUNCTION("""COMPUTED_VALUE"""),0.0)</f>
        <v>0</v>
      </c>
      <c r="DM11" s="16"/>
      <c r="DN11" s="16"/>
      <c r="DO11" s="16"/>
      <c r="DP11" s="16"/>
      <c r="DQ11" s="16"/>
      <c r="DR11" s="16">
        <f>IFERROR(__xludf.DUMMYFUNCTION("""COMPUTED_VALUE"""),1.0)</f>
        <v>1</v>
      </c>
      <c r="DS11" s="16"/>
      <c r="DT11" s="16">
        <f>IFERROR(__xludf.DUMMYFUNCTION("""COMPUTED_VALUE"""),-2.0)</f>
        <v>-2</v>
      </c>
      <c r="DU11" s="16"/>
      <c r="DV11" s="16"/>
      <c r="DW11" s="16"/>
      <c r="DX11" s="16"/>
      <c r="DY11" s="16"/>
      <c r="DZ11" s="16">
        <f>IFERROR(__xludf.DUMMYFUNCTION("""COMPUTED_VALUE"""),2.0)</f>
        <v>2</v>
      </c>
      <c r="EA11" s="16"/>
      <c r="EB11" s="16">
        <f>IFERROR(__xludf.DUMMYFUNCTION("""COMPUTED_VALUE"""),-2.0)</f>
        <v>-2</v>
      </c>
      <c r="EC11" s="16"/>
      <c r="ED11" s="16"/>
      <c r="EE11" s="16"/>
      <c r="EF11" s="16"/>
      <c r="EG11" s="179"/>
      <c r="EH11" s="179">
        <f>IFERROR(__xludf.DUMMYFUNCTION("""COMPUTED_VALUE"""),44.0)</f>
        <v>44</v>
      </c>
      <c r="EI11" s="179"/>
      <c r="EJ11" s="179">
        <f>IFERROR(__xludf.DUMMYFUNCTION("""COMPUTED_VALUE"""),40.0)</f>
        <v>40</v>
      </c>
      <c r="EK11" s="179"/>
      <c r="EL11" s="179"/>
      <c r="EM11" s="179"/>
      <c r="EN11" s="179"/>
      <c r="EO11" s="16"/>
      <c r="EP11" s="16"/>
      <c r="EQ11" s="16">
        <f>IFERROR(__xludf.DUMMYFUNCTION("""COMPUTED_VALUE"""),4.0)</f>
        <v>4</v>
      </c>
      <c r="ER11" s="16">
        <f>IFERROR(__xludf.DUMMYFUNCTION("""COMPUTED_VALUE"""),3.0)</f>
        <v>3</v>
      </c>
      <c r="ES11" s="16"/>
      <c r="ET11" s="16"/>
      <c r="EU11" s="16"/>
      <c r="EV11" s="16"/>
      <c r="EW11" s="16"/>
      <c r="EX11" s="180"/>
      <c r="EY11" s="180">
        <f>IFERROR(__xludf.DUMMYFUNCTION("""COMPUTED_VALUE"""),0.2)</f>
        <v>0.2</v>
      </c>
      <c r="EZ11" s="180"/>
      <c r="FA11" s="180">
        <f>IFERROR(__xludf.DUMMYFUNCTION("""COMPUTED_VALUE"""),0.3)</f>
        <v>0.3</v>
      </c>
      <c r="FB11" s="180"/>
      <c r="FC11" s="180"/>
      <c r="FD11" s="180"/>
      <c r="FE11" s="180"/>
      <c r="FF11" s="180"/>
      <c r="FG11" s="180">
        <f>IFERROR(__xludf.DUMMYFUNCTION("""COMPUTED_VALUE"""),0.25)</f>
        <v>0.25</v>
      </c>
      <c r="FH11" s="180"/>
      <c r="FI11" s="180">
        <f>IFERROR(__xludf.DUMMYFUNCTION("""COMPUTED_VALUE"""),0.3472222222222222)</f>
        <v>0.3472222222</v>
      </c>
      <c r="FJ11" s="180"/>
      <c r="FK11" s="180"/>
      <c r="FL11" s="180"/>
      <c r="FM11" s="180"/>
      <c r="FN11" s="16"/>
      <c r="FO11" s="16">
        <f>IFERROR(__xludf.DUMMYFUNCTION("""COMPUTED_VALUE"""),0.6000000000000001)</f>
        <v>0.6</v>
      </c>
      <c r="FP11" s="16"/>
      <c r="FQ11" s="16">
        <f>IFERROR(__xludf.DUMMYFUNCTION("""COMPUTED_VALUE"""),0.45694444444444443)</f>
        <v>0.4569444444</v>
      </c>
      <c r="FR11" s="16"/>
      <c r="FS11" s="16"/>
      <c r="FT11" s="16"/>
      <c r="FU11" s="16"/>
      <c r="FV11" s="16"/>
      <c r="FW11" s="16">
        <f>IFERROR(__xludf.DUMMYFUNCTION("""COMPUTED_VALUE"""),-6.0)</f>
        <v>-6</v>
      </c>
      <c r="FX11" s="16"/>
      <c r="FY11" s="16">
        <f>IFERROR(__xludf.DUMMYFUNCTION("""COMPUTED_VALUE"""),-8.0)</f>
        <v>-8</v>
      </c>
      <c r="FZ11" s="16"/>
      <c r="GA11" s="16"/>
      <c r="GB11" s="16"/>
      <c r="GC11" s="16"/>
      <c r="GD11" s="16" t="s">
        <v>260</v>
      </c>
    </row>
    <row r="12">
      <c r="A12" s="16">
        <f>IFERROR(__xludf.DUMMYFUNCTION("""COMPUTED_VALUE"""),13365.0)</f>
        <v>13365</v>
      </c>
      <c r="B12" s="16" t="str">
        <f>IFERROR(__xludf.DUMMYFUNCTION("""COMPUTED_VALUE"""),"Seiya Suzuki")</f>
        <v>Seiya Suzuki</v>
      </c>
      <c r="C12" s="16">
        <f>IFERROR(__xludf.DUMMYFUNCTION("""COMPUTED_VALUE"""),1.74)</f>
        <v>1.74</v>
      </c>
      <c r="D12" s="16" t="str">
        <f>IFERROR(__xludf.DUMMYFUNCTION("""COMPUTED_VALUE"""),"R")</f>
        <v>R</v>
      </c>
      <c r="E12" s="16"/>
      <c r="F12" s="16"/>
      <c r="G12" s="16">
        <f>IFERROR(__xludf.DUMMYFUNCTION("""COMPUTED_VALUE"""),512.0)</f>
        <v>512</v>
      </c>
      <c r="H12" s="16">
        <f>IFERROR(__xludf.DUMMYFUNCTION("""COMPUTED_VALUE"""),63.0)</f>
        <v>63</v>
      </c>
      <c r="I12" s="16" t="str">
        <f>IFERROR(__xludf.DUMMYFUNCTION("""COMPUTED_VALUE"""),"1p60")</f>
        <v>1p60</v>
      </c>
      <c r="J12" s="16">
        <f>IFERROR(__xludf.DUMMYFUNCTION("""COMPUTED_VALUE"""),21.0)</f>
        <v>21</v>
      </c>
      <c r="K12" s="16">
        <f>IFERROR(__xludf.DUMMYFUNCTION("""COMPUTED_VALUE"""),39.0)</f>
        <v>39</v>
      </c>
      <c r="L12" s="16">
        <f>IFERROR(__xludf.DUMMYFUNCTION("""COMPUTED_VALUE"""),0.0)</f>
        <v>0</v>
      </c>
      <c r="M12" s="16">
        <f>IFERROR(__xludf.DUMMYFUNCTION("""COMPUTED_VALUE"""),-2.0)</f>
        <v>-2</v>
      </c>
      <c r="N12" s="16">
        <f>IFERROR(__xludf.DUMMYFUNCTION("""COMPUTED_VALUE"""),0.0)</f>
        <v>0</v>
      </c>
      <c r="O12" s="16">
        <f>IFERROR(__xludf.DUMMYFUNCTION("""COMPUTED_VALUE"""),-2.0)</f>
        <v>-2</v>
      </c>
      <c r="P12" s="16">
        <f>IFERROR(__xludf.DUMMYFUNCTION("""COMPUTED_VALUE"""),19.0)</f>
        <v>19</v>
      </c>
      <c r="Q12" s="16">
        <f>IFERROR(__xludf.DUMMYFUNCTION("""COMPUTED_VALUE"""),13.0)</f>
        <v>13</v>
      </c>
      <c r="R12" s="16">
        <f>IFERROR(__xludf.DUMMYFUNCTION("""COMPUTED_VALUE"""),3.0)</f>
        <v>3</v>
      </c>
      <c r="S12" s="16">
        <f>IFERROR(__xludf.DUMMYFUNCTION("""COMPUTED_VALUE"""),1.0)</f>
        <v>1</v>
      </c>
      <c r="T12" s="16">
        <f>IFERROR(__xludf.DUMMYFUNCTION("""COMPUTED_VALUE"""),3.0)</f>
        <v>3</v>
      </c>
      <c r="U12" s="16">
        <f>IFERROR(__xludf.DUMMYFUNCTION("""COMPUTED_VALUE"""),1.0)</f>
        <v>1</v>
      </c>
      <c r="V12" s="16">
        <f>IFERROR(__xludf.DUMMYFUNCTION("""COMPUTED_VALUE"""),23.6)</f>
        <v>23.6</v>
      </c>
      <c r="W12" s="16">
        <f>IFERROR(__xludf.DUMMYFUNCTION("""COMPUTED_VALUE"""),27.6)</f>
        <v>27.6</v>
      </c>
      <c r="X12" s="16">
        <f>IFERROR(__xludf.DUMMYFUNCTION("""COMPUTED_VALUE"""),1.0)</f>
        <v>1</v>
      </c>
      <c r="Y12" s="16">
        <f>IFERROR(__xludf.DUMMYFUNCTION("""COMPUTED_VALUE"""),2.0)</f>
        <v>2</v>
      </c>
      <c r="Z12" s="16">
        <f>IFERROR(__xludf.DUMMYFUNCTION("""COMPUTED_VALUE"""),2.0)</f>
        <v>2</v>
      </c>
      <c r="AA12" s="16">
        <f>IFERROR(__xludf.DUMMYFUNCTION("""COMPUTED_VALUE"""),4.0)</f>
        <v>4</v>
      </c>
      <c r="AB12" s="16">
        <f>IFERROR(__xludf.DUMMYFUNCTION("""COMPUTED_VALUE"""),44.6)</f>
        <v>44.6</v>
      </c>
      <c r="AC12" s="16">
        <f>IFERROR(__xludf.DUMMYFUNCTION("""COMPUTED_VALUE"""),42.5)</f>
        <v>42.5</v>
      </c>
      <c r="AD12" s="16">
        <f>IFERROR(__xludf.DUMMYFUNCTION("""COMPUTED_VALUE"""),2.0)</f>
        <v>2</v>
      </c>
      <c r="AE12" s="16">
        <f>IFERROR(__xludf.DUMMYFUNCTION("""COMPUTED_VALUE"""),2.0)</f>
        <v>2</v>
      </c>
      <c r="AF12" s="16">
        <f>IFERROR(__xludf.DUMMYFUNCTION("""COMPUTED_VALUE"""),10.0)</f>
        <v>10</v>
      </c>
      <c r="AG12" s="16">
        <f>IFERROR(__xludf.DUMMYFUNCTION("""COMPUTED_VALUE"""),10.0)</f>
        <v>10</v>
      </c>
      <c r="AH12" s="16">
        <f>IFERROR(__xludf.DUMMYFUNCTION("""COMPUTED_VALUE"""),35.7)</f>
        <v>35.7</v>
      </c>
      <c r="AI12" s="16">
        <f>IFERROR(__xludf.DUMMYFUNCTION("""COMPUTED_VALUE"""),46.6)</f>
        <v>46.6</v>
      </c>
      <c r="AJ12" s="16">
        <f>IFERROR(__xludf.DUMMYFUNCTION("""COMPUTED_VALUE"""),0.0)</f>
        <v>0</v>
      </c>
      <c r="AK12" s="16">
        <f>IFERROR(__xludf.DUMMYFUNCTION("""COMPUTED_VALUE"""),2.0)</f>
        <v>2</v>
      </c>
      <c r="AL12" s="16">
        <f>IFERROR(__xludf.DUMMYFUNCTION("""COMPUTED_VALUE"""),0.0)</f>
        <v>0</v>
      </c>
      <c r="AM12" s="16">
        <f>IFERROR(__xludf.DUMMYFUNCTION("""COMPUTED_VALUE"""),10.0)</f>
        <v>10</v>
      </c>
      <c r="AN12" s="16">
        <f>IFERROR(__xludf.DUMMYFUNCTION("""COMPUTED_VALUE"""),1.8)</f>
        <v>1.8</v>
      </c>
      <c r="AO12" s="16">
        <f>IFERROR(__xludf.DUMMYFUNCTION("""COMPUTED_VALUE"""),3.2)</f>
        <v>3.2</v>
      </c>
      <c r="AP12" s="16">
        <f>IFERROR(__xludf.DUMMYFUNCTION("""COMPUTED_VALUE"""),-1.0)</f>
        <v>-1</v>
      </c>
      <c r="AQ12" s="16">
        <f>IFERROR(__xludf.DUMMYFUNCTION("""COMPUTED_VALUE"""),1.0)</f>
        <v>1</v>
      </c>
      <c r="AR12" s="16">
        <f>IFERROR(__xludf.DUMMYFUNCTION("""COMPUTED_VALUE"""),-2.0)</f>
        <v>-2</v>
      </c>
      <c r="AS12" s="16">
        <f>IFERROR(__xludf.DUMMYFUNCTION("""COMPUTED_VALUE"""),2.0)</f>
        <v>2</v>
      </c>
      <c r="AT12" s="16">
        <f>IFERROR(__xludf.DUMMYFUNCTION("""COMPUTED_VALUE"""),3.0)</f>
        <v>3</v>
      </c>
      <c r="AU12" s="16">
        <f>IFERROR(__xludf.DUMMYFUNCTION("""COMPUTED_VALUE"""),5.0)</f>
        <v>5</v>
      </c>
      <c r="AV12" s="16">
        <f>IFERROR(__xludf.DUMMYFUNCTION("""COMPUTED_VALUE"""),3.0)</f>
        <v>3</v>
      </c>
      <c r="AW12" s="16">
        <f>IFERROR(__xludf.DUMMYFUNCTION("""COMPUTED_VALUE"""),5.0)</f>
        <v>5</v>
      </c>
      <c r="AX12" s="16">
        <f>IFERROR(__xludf.DUMMYFUNCTION("""COMPUTED_VALUE"""),1.0)</f>
        <v>1</v>
      </c>
      <c r="AY12" s="16">
        <f>IFERROR(__xludf.DUMMYFUNCTION("""COMPUTED_VALUE"""),2.0)</f>
        <v>2</v>
      </c>
      <c r="AZ12" s="16">
        <f>IFERROR(__xludf.DUMMYFUNCTION("""COMPUTED_VALUE"""),3.0)</f>
        <v>3</v>
      </c>
      <c r="BA12" s="16">
        <f>IFERROR(__xludf.DUMMYFUNCTION("""COMPUTED_VALUE"""),6.0)</f>
        <v>6</v>
      </c>
      <c r="BB12" s="16">
        <f>IFERROR(__xludf.DUMMYFUNCTION("""COMPUTED_VALUE"""),5.0)</f>
        <v>5</v>
      </c>
      <c r="BC12" s="16">
        <f>IFERROR(__xludf.DUMMYFUNCTION("""COMPUTED_VALUE"""),5.0)</f>
        <v>5</v>
      </c>
      <c r="BD12" s="16">
        <f>IFERROR(__xludf.DUMMYFUNCTION("""COMPUTED_VALUE"""),1.0)</f>
        <v>1</v>
      </c>
      <c r="BE12" s="16">
        <f>IFERROR(__xludf.DUMMYFUNCTION("""COMPUTED_VALUE"""),1.0)</f>
        <v>1</v>
      </c>
      <c r="BF12" s="16">
        <f>IFERROR(__xludf.DUMMYFUNCTION("""COMPUTED_VALUE"""),1.0)</f>
        <v>1</v>
      </c>
      <c r="BG12" s="16">
        <f>IFERROR(__xludf.DUMMYFUNCTION("""COMPUTED_VALUE"""),1.0)</f>
        <v>1</v>
      </c>
      <c r="BH12" s="16">
        <f>IFERROR(__xludf.DUMMYFUNCTION("""COMPUTED_VALUE"""),-11.0)</f>
        <v>-11</v>
      </c>
      <c r="BI12" s="16">
        <f>IFERROR(__xludf.DUMMYFUNCTION("""COMPUTED_VALUE"""),-11.0)</f>
        <v>-11</v>
      </c>
      <c r="BJ12" s="16">
        <f>IFERROR(__xludf.DUMMYFUNCTION("""COMPUTED_VALUE"""),5.0)</f>
        <v>5</v>
      </c>
      <c r="BK12" s="16">
        <f>IFERROR(__xludf.DUMMYFUNCTION("""COMPUTED_VALUE"""),4.0)</f>
        <v>4</v>
      </c>
      <c r="BL12" s="16">
        <f>IFERROR(__xludf.DUMMYFUNCTION("""COMPUTED_VALUE"""),1.0)</f>
        <v>1</v>
      </c>
      <c r="BM12" s="16">
        <f>IFERROR(__xludf.DUMMYFUNCTION("""COMPUTED_VALUE"""),1.0)</f>
        <v>1</v>
      </c>
      <c r="BN12" s="16">
        <f>IFERROR(__xludf.DUMMYFUNCTION("""COMPUTED_VALUE"""),1.0)</f>
        <v>1</v>
      </c>
      <c r="BO12" s="16">
        <f>IFERROR(__xludf.DUMMYFUNCTION("""COMPUTED_VALUE"""),1.0)</f>
        <v>1</v>
      </c>
      <c r="BP12" s="16">
        <f>IFERROR(__xludf.DUMMYFUNCTION("""COMPUTED_VALUE"""),8.0)</f>
        <v>8</v>
      </c>
      <c r="BQ12" s="16">
        <f>IFERROR(__xludf.DUMMYFUNCTION("""COMPUTED_VALUE"""),10.0)</f>
        <v>10</v>
      </c>
      <c r="BR12" s="16">
        <f>IFERROR(__xludf.DUMMYFUNCTION("""COMPUTED_VALUE"""),18.0)</f>
        <v>18</v>
      </c>
      <c r="BS12" s="16" t="str">
        <f>IFERROR(__xludf.DUMMYFUNCTION("""COMPUTED_VALUE"""),"*5,6/- (17-12)")</f>
        <v>*5,6/- (17-12)</v>
      </c>
      <c r="BT12" s="16" t="str">
        <f>IFERROR(__xludf.DUMMYFUNCTION("""COMPUTED_VALUE"""),"B")</f>
        <v>B</v>
      </c>
      <c r="BU12" s="16">
        <f>IFERROR(__xludf.DUMMYFUNCTION("""COMPUTED_VALUE"""),13.0)</f>
        <v>13</v>
      </c>
      <c r="BV12" s="16">
        <f>IFERROR(__xludf.DUMMYFUNCTION("""COMPUTED_VALUE"""),1.0)</f>
        <v>1</v>
      </c>
      <c r="BW12" s="16">
        <f>IFERROR(__xludf.DUMMYFUNCTION("""COMPUTED_VALUE"""),1.0)</f>
        <v>1</v>
      </c>
      <c r="BX12" s="16">
        <f>IFERROR(__xludf.DUMMYFUNCTION("""COMPUTED_VALUE"""),2.0)</f>
        <v>2</v>
      </c>
      <c r="BY12" s="16">
        <f>IFERROR(__xludf.DUMMYFUNCTION("""COMPUTED_VALUE"""),3.0)</f>
        <v>3</v>
      </c>
      <c r="BZ12" s="16" t="str">
        <f>IFERROR(__xludf.DUMMYFUNCTION("""COMPUTED_VALUE"""),"D")</f>
        <v>D</v>
      </c>
      <c r="CA12" s="16" t="str">
        <f>IFERROR(__xludf.DUMMYFUNCTION("""COMPUTED_VALUE"""),"C")</f>
        <v>C</v>
      </c>
      <c r="CB12" s="16">
        <f>IFERROR(__xludf.DUMMYFUNCTION("""COMPUTED_VALUE"""),0.0)</f>
        <v>0</v>
      </c>
      <c r="CC12" s="16">
        <f>IFERROR(__xludf.DUMMYFUNCTION("""COMPUTED_VALUE"""),0.0)</f>
        <v>0</v>
      </c>
      <c r="CD12" s="16">
        <f>IFERROR(__xludf.DUMMYFUNCTION("""COMPUTED_VALUE"""),0.0)</f>
        <v>0</v>
      </c>
      <c r="CE12" s="16">
        <f>IFERROR(__xludf.DUMMYFUNCTION("""COMPUTED_VALUE"""),0.0)</f>
        <v>0</v>
      </c>
      <c r="CF12" s="16">
        <f>IFERROR(__xludf.DUMMYFUNCTION("""COMPUTED_VALUE"""),1.0)</f>
        <v>1</v>
      </c>
      <c r="CG12" s="16">
        <f>IFERROR(__xludf.DUMMYFUNCTION("""COMPUTED_VALUE"""),18.0)</f>
        <v>18</v>
      </c>
      <c r="CH12" s="16">
        <f>IFERROR(__xludf.DUMMYFUNCTION("""COMPUTED_VALUE"""),33.0)</f>
        <v>33</v>
      </c>
      <c r="CI12" s="179">
        <f>IFERROR(__xludf.DUMMYFUNCTION("""COMPUTED_VALUE"""),36.0)</f>
        <v>36</v>
      </c>
      <c r="CJ12" s="16"/>
      <c r="CK12" s="16"/>
      <c r="CL12" s="16"/>
      <c r="CM12" s="16"/>
      <c r="CN12" s="16"/>
      <c r="CO12" s="16">
        <f>IFERROR(__xludf.DUMMYFUNCTION("""COMPUTED_VALUE"""),407.0)</f>
        <v>407</v>
      </c>
      <c r="CP12" s="16"/>
      <c r="CQ12" s="16">
        <f>IFERROR(__xludf.DUMMYFUNCTION("""COMPUTED_VALUE"""),407.0)</f>
        <v>407</v>
      </c>
      <c r="CR12" s="16" t="str">
        <f>IFERROR(__xludf.DUMMYFUNCTION("""COMPUTED_VALUE"""),"rf-4(-2)e7 lf-4e7")</f>
        <v>rf-4(-2)e7 lf-4e7</v>
      </c>
      <c r="CS12" s="16"/>
      <c r="CT12" s="16"/>
      <c r="CU12" s="16"/>
      <c r="CV12" s="16"/>
      <c r="CW12" s="16"/>
      <c r="CX12" s="16">
        <f>IFERROR(__xludf.DUMMYFUNCTION("""COMPUTED_VALUE"""),4.0)</f>
        <v>4</v>
      </c>
      <c r="CY12" s="16"/>
      <c r="CZ12" s="16">
        <f>IFERROR(__xludf.DUMMYFUNCTION("""COMPUTED_VALUE"""),4.0)</f>
        <v>4</v>
      </c>
      <c r="DA12" s="16"/>
      <c r="DB12" s="16"/>
      <c r="DC12" s="16"/>
      <c r="DD12" s="16"/>
      <c r="DE12" s="16"/>
      <c r="DF12" s="16">
        <f>IFERROR(__xludf.DUMMYFUNCTION("""COMPUTED_VALUE"""),7.0)</f>
        <v>7</v>
      </c>
      <c r="DG12" s="16"/>
      <c r="DH12" s="16">
        <f>IFERROR(__xludf.DUMMYFUNCTION("""COMPUTED_VALUE"""),7.0)</f>
        <v>7</v>
      </c>
      <c r="DI12" s="16"/>
      <c r="DJ12" s="16"/>
      <c r="DK12" s="16"/>
      <c r="DL12" s="16"/>
      <c r="DM12" s="16"/>
      <c r="DN12" s="16">
        <f>IFERROR(__xludf.DUMMYFUNCTION("""COMPUTED_VALUE"""),-1.0)</f>
        <v>-1</v>
      </c>
      <c r="DO12" s="16"/>
      <c r="DP12" s="16">
        <f>IFERROR(__xludf.DUMMYFUNCTION("""COMPUTED_VALUE"""),-1.0)</f>
        <v>-1</v>
      </c>
      <c r="DQ12" s="16"/>
      <c r="DR12" s="16"/>
      <c r="DS12" s="16"/>
      <c r="DT12" s="16"/>
      <c r="DU12" s="16"/>
      <c r="DV12" s="16">
        <f>IFERROR(__xludf.DUMMYFUNCTION("""COMPUTED_VALUE"""),2.0)</f>
        <v>2</v>
      </c>
      <c r="DW12" s="16"/>
      <c r="DX12" s="16">
        <f>IFERROR(__xludf.DUMMYFUNCTION("""COMPUTED_VALUE"""),2.0)</f>
        <v>2</v>
      </c>
      <c r="DY12" s="16"/>
      <c r="DZ12" s="16"/>
      <c r="EA12" s="16"/>
      <c r="EB12" s="16"/>
      <c r="EC12" s="16"/>
      <c r="ED12" s="16">
        <f>IFERROR(__xludf.DUMMYFUNCTION("""COMPUTED_VALUE"""),1.0)</f>
        <v>1</v>
      </c>
      <c r="EE12" s="16"/>
      <c r="EF12" s="16">
        <f>IFERROR(__xludf.DUMMYFUNCTION("""COMPUTED_VALUE"""),1.0)</f>
        <v>1</v>
      </c>
      <c r="EG12" s="179"/>
      <c r="EH12" s="179"/>
      <c r="EI12" s="179"/>
      <c r="EJ12" s="179"/>
      <c r="EK12" s="179"/>
      <c r="EL12" s="179">
        <f>IFERROR(__xludf.DUMMYFUNCTION("""COMPUTED_VALUE"""),37.0)</f>
        <v>37</v>
      </c>
      <c r="EM12" s="179"/>
      <c r="EN12" s="179">
        <f>IFERROR(__xludf.DUMMYFUNCTION("""COMPUTED_VALUE"""),37.0)</f>
        <v>37</v>
      </c>
      <c r="EO12" s="16"/>
      <c r="EP12" s="16"/>
      <c r="EQ12" s="16">
        <f>IFERROR(__xludf.DUMMYFUNCTION("""COMPUTED_VALUE"""),4.0)</f>
        <v>4</v>
      </c>
      <c r="ER12" s="16">
        <f>IFERROR(__xludf.DUMMYFUNCTION("""COMPUTED_VALUE"""),1.0)</f>
        <v>1</v>
      </c>
      <c r="ES12" s="16"/>
      <c r="ET12" s="16"/>
      <c r="EU12" s="16"/>
      <c r="EV12" s="16"/>
      <c r="EW12" s="16"/>
      <c r="EX12" s="180"/>
      <c r="EY12" s="180"/>
      <c r="EZ12" s="180"/>
      <c r="FA12" s="180"/>
      <c r="FB12" s="180"/>
      <c r="FC12" s="180">
        <f>IFERROR(__xludf.DUMMYFUNCTION("""COMPUTED_VALUE"""),0.55)</f>
        <v>0.55</v>
      </c>
      <c r="FD12" s="180"/>
      <c r="FE12" s="180">
        <f>IFERROR(__xludf.DUMMYFUNCTION("""COMPUTED_VALUE"""),0.55)</f>
        <v>0.55</v>
      </c>
      <c r="FF12" s="180"/>
      <c r="FG12" s="180"/>
      <c r="FH12" s="180"/>
      <c r="FI12" s="180"/>
      <c r="FJ12" s="180"/>
      <c r="FK12" s="180">
        <f>IFERROR(__xludf.DUMMYFUNCTION("""COMPUTED_VALUE"""),0.125)</f>
        <v>0.125</v>
      </c>
      <c r="FL12" s="180"/>
      <c r="FM12" s="180">
        <f>IFERROR(__xludf.DUMMYFUNCTION("""COMPUTED_VALUE"""),0.125)</f>
        <v>0.125</v>
      </c>
      <c r="FN12" s="16"/>
      <c r="FO12" s="16"/>
      <c r="FP12" s="16"/>
      <c r="FQ12" s="16"/>
      <c r="FR12" s="16"/>
      <c r="FS12" s="16">
        <f>IFERROR(__xludf.DUMMYFUNCTION("""COMPUTED_VALUE"""),0.39374999999999993)</f>
        <v>0.39375</v>
      </c>
      <c r="FT12" s="16"/>
      <c r="FU12" s="16">
        <f>IFERROR(__xludf.DUMMYFUNCTION("""COMPUTED_VALUE"""),0.39374999999999993)</f>
        <v>0.39375</v>
      </c>
      <c r="FV12" s="16"/>
      <c r="FW12" s="16"/>
      <c r="FX12" s="16"/>
      <c r="FY12" s="16"/>
      <c r="FZ12" s="16"/>
      <c r="GA12" s="16">
        <f>IFERROR(__xludf.DUMMYFUNCTION("""COMPUTED_VALUE"""),-8.0)</f>
        <v>-8</v>
      </c>
      <c r="GB12" s="16"/>
      <c r="GC12" s="16">
        <f>IFERROR(__xludf.DUMMYFUNCTION("""COMPUTED_VALUE"""),-8.0)</f>
        <v>-8</v>
      </c>
      <c r="GD12" s="16" t="s">
        <v>1922</v>
      </c>
    </row>
    <row r="13">
      <c r="A13" s="16">
        <f>IFERROR(__xludf.DUMMYFUNCTION("""COMPUTED_VALUE"""),13074.0)</f>
        <v>13074</v>
      </c>
      <c r="B13" s="16" t="str">
        <f>IFERROR(__xludf.DUMMYFUNCTION("""COMPUTED_VALUE"""),"Ketel Marte")</f>
        <v>Ketel Marte</v>
      </c>
      <c r="C13" s="16">
        <f>IFERROR(__xludf.DUMMYFUNCTION("""COMPUTED_VALUE"""),3.38)</f>
        <v>3.38</v>
      </c>
      <c r="D13" s="16" t="str">
        <f>IFERROR(__xludf.DUMMYFUNCTION("""COMPUTED_VALUE"""),"S")</f>
        <v>S</v>
      </c>
      <c r="E13" s="16"/>
      <c r="F13" s="16"/>
      <c r="G13" s="16">
        <f>IFERROR(__xludf.DUMMYFUNCTION("""COMPUTED_VALUE"""),504.0)</f>
        <v>504</v>
      </c>
      <c r="H13" s="16">
        <f>IFERROR(__xludf.DUMMYFUNCTION("""COMPUTED_VALUE"""),65.0)</f>
        <v>65</v>
      </c>
      <c r="I13" s="16" t="str">
        <f>IFERROR(__xludf.DUMMYFUNCTION("""COMPUTED_VALUE"""),"1p60")</f>
        <v>1p60</v>
      </c>
      <c r="J13" s="16">
        <f>IFERROR(__xludf.DUMMYFUNCTION("""COMPUTED_VALUE"""),10.0)</f>
        <v>10</v>
      </c>
      <c r="K13" s="16">
        <f>IFERROR(__xludf.DUMMYFUNCTION("""COMPUTED_VALUE"""),20.0)</f>
        <v>20</v>
      </c>
      <c r="L13" s="16">
        <f>IFERROR(__xludf.DUMMYFUNCTION("""COMPUTED_VALUE"""),1.0)</f>
        <v>1</v>
      </c>
      <c r="M13" s="16">
        <f>IFERROR(__xludf.DUMMYFUNCTION("""COMPUTED_VALUE"""),0.0)</f>
        <v>0</v>
      </c>
      <c r="N13" s="16">
        <f>IFERROR(__xludf.DUMMYFUNCTION("""COMPUTED_VALUE"""),1.0)</f>
        <v>1</v>
      </c>
      <c r="O13" s="16">
        <f>IFERROR(__xludf.DUMMYFUNCTION("""COMPUTED_VALUE"""),0.0)</f>
        <v>0</v>
      </c>
      <c r="P13" s="16">
        <f>IFERROR(__xludf.DUMMYFUNCTION("""COMPUTED_VALUE"""),2.0)</f>
        <v>2</v>
      </c>
      <c r="Q13" s="16">
        <f>IFERROR(__xludf.DUMMYFUNCTION("""COMPUTED_VALUE"""),18.0)</f>
        <v>18</v>
      </c>
      <c r="R13" s="16">
        <f>IFERROR(__xludf.DUMMYFUNCTION("""COMPUTED_VALUE"""),-2.0)</f>
        <v>-2</v>
      </c>
      <c r="S13" s="16">
        <f>IFERROR(__xludf.DUMMYFUNCTION("""COMPUTED_VALUE"""),3.0)</f>
        <v>3</v>
      </c>
      <c r="T13" s="16">
        <f>IFERROR(__xludf.DUMMYFUNCTION("""COMPUTED_VALUE"""),-2.0)</f>
        <v>-2</v>
      </c>
      <c r="U13" s="16">
        <f>IFERROR(__xludf.DUMMYFUNCTION("""COMPUTED_VALUE"""),3.0)</f>
        <v>3</v>
      </c>
      <c r="V13" s="16">
        <f>IFERROR(__xludf.DUMMYFUNCTION("""COMPUTED_VALUE"""),38.8)</f>
        <v>38.8</v>
      </c>
      <c r="W13" s="16">
        <f>IFERROR(__xludf.DUMMYFUNCTION("""COMPUTED_VALUE"""),19.2)</f>
        <v>19.2</v>
      </c>
      <c r="X13" s="16">
        <f>IFERROR(__xludf.DUMMYFUNCTION("""COMPUTED_VALUE"""),2.0)</f>
        <v>2</v>
      </c>
      <c r="Y13" s="16">
        <f>IFERROR(__xludf.DUMMYFUNCTION("""COMPUTED_VALUE"""),0.0)</f>
        <v>0</v>
      </c>
      <c r="Z13" s="16">
        <f>IFERROR(__xludf.DUMMYFUNCTION("""COMPUTED_VALUE"""),4.0)</f>
        <v>4</v>
      </c>
      <c r="AA13" s="16">
        <f>IFERROR(__xludf.DUMMYFUNCTION("""COMPUTED_VALUE"""),0.0)</f>
        <v>0</v>
      </c>
      <c r="AB13" s="16">
        <f>IFERROR(__xludf.DUMMYFUNCTION("""COMPUTED_VALUE"""),42.8)</f>
        <v>42.8</v>
      </c>
      <c r="AC13" s="16">
        <f>IFERROR(__xludf.DUMMYFUNCTION("""COMPUTED_VALUE"""),39.2)</f>
        <v>39.2</v>
      </c>
      <c r="AD13" s="16">
        <f>IFERROR(__xludf.DUMMYFUNCTION("""COMPUTED_VALUE"""),1.0)</f>
        <v>1</v>
      </c>
      <c r="AE13" s="16">
        <f>IFERROR(__xludf.DUMMYFUNCTION("""COMPUTED_VALUE"""),1.0)</f>
        <v>1</v>
      </c>
      <c r="AF13" s="16">
        <f>IFERROR(__xludf.DUMMYFUNCTION("""COMPUTED_VALUE"""),5.0)</f>
        <v>5</v>
      </c>
      <c r="AG13" s="16">
        <f>IFERROR(__xludf.DUMMYFUNCTION("""COMPUTED_VALUE"""),5.0)</f>
        <v>5</v>
      </c>
      <c r="AH13" s="16">
        <f>IFERROR(__xludf.DUMMYFUNCTION("""COMPUTED_VALUE"""),82.7)</f>
        <v>82.7</v>
      </c>
      <c r="AI13" s="16">
        <f>IFERROR(__xludf.DUMMYFUNCTION("""COMPUTED_VALUE"""),36.8)</f>
        <v>36.8</v>
      </c>
      <c r="AJ13" s="16">
        <f>IFERROR(__xludf.DUMMYFUNCTION("""COMPUTED_VALUE"""),3.0)</f>
        <v>3</v>
      </c>
      <c r="AK13" s="16">
        <f>IFERROR(__xludf.DUMMYFUNCTION("""COMPUTED_VALUE"""),0.0)</f>
        <v>0</v>
      </c>
      <c r="AL13" s="16">
        <f>IFERROR(__xludf.DUMMYFUNCTION("""COMPUTED_VALUE"""),15.0)</f>
        <v>15</v>
      </c>
      <c r="AM13" s="16">
        <f>IFERROR(__xludf.DUMMYFUNCTION("""COMPUTED_VALUE"""),0.0)</f>
        <v>0</v>
      </c>
      <c r="AN13" s="16">
        <f>IFERROR(__xludf.DUMMYFUNCTION("""COMPUTED_VALUE"""),12.6)</f>
        <v>12.6</v>
      </c>
      <c r="AO13" s="16">
        <f>IFERROR(__xludf.DUMMYFUNCTION("""COMPUTED_VALUE"""),5.0)</f>
        <v>5</v>
      </c>
      <c r="AP13" s="16">
        <f>IFERROR(__xludf.DUMMYFUNCTION("""COMPUTED_VALUE"""),3.0)</f>
        <v>3</v>
      </c>
      <c r="AQ13" s="16">
        <f>IFERROR(__xludf.DUMMYFUNCTION("""COMPUTED_VALUE"""),3.0)</f>
        <v>3</v>
      </c>
      <c r="AR13" s="16">
        <f>IFERROR(__xludf.DUMMYFUNCTION("""COMPUTED_VALUE"""),6.0)</f>
        <v>6</v>
      </c>
      <c r="AS13" s="16">
        <f>IFERROR(__xludf.DUMMYFUNCTION("""COMPUTED_VALUE"""),6.0)</f>
        <v>6</v>
      </c>
      <c r="AT13" s="16">
        <f>IFERROR(__xludf.DUMMYFUNCTION("""COMPUTED_VALUE"""),8.0)</f>
        <v>8</v>
      </c>
      <c r="AU13" s="16">
        <f>IFERROR(__xludf.DUMMYFUNCTION("""COMPUTED_VALUE"""),8.0)</f>
        <v>8</v>
      </c>
      <c r="AV13" s="16">
        <f>IFERROR(__xludf.DUMMYFUNCTION("""COMPUTED_VALUE"""),8.0)</f>
        <v>8</v>
      </c>
      <c r="AW13" s="16">
        <f>IFERROR(__xludf.DUMMYFUNCTION("""COMPUTED_VALUE"""),8.0)</f>
        <v>8</v>
      </c>
      <c r="AX13" s="16">
        <f>IFERROR(__xludf.DUMMYFUNCTION("""COMPUTED_VALUE"""),3.0)</f>
        <v>3</v>
      </c>
      <c r="AY13" s="16">
        <f>IFERROR(__xludf.DUMMYFUNCTION("""COMPUTED_VALUE"""),3.0)</f>
        <v>3</v>
      </c>
      <c r="AZ13" s="16">
        <f>IFERROR(__xludf.DUMMYFUNCTION("""COMPUTED_VALUE"""),9.0)</f>
        <v>9</v>
      </c>
      <c r="BA13" s="16">
        <f>IFERROR(__xludf.DUMMYFUNCTION("""COMPUTED_VALUE"""),9.0)</f>
        <v>9</v>
      </c>
      <c r="BB13" s="16">
        <f>IFERROR(__xludf.DUMMYFUNCTION("""COMPUTED_VALUE"""),5.0)</f>
        <v>5</v>
      </c>
      <c r="BC13" s="16">
        <f>IFERROR(__xludf.DUMMYFUNCTION("""COMPUTED_VALUE"""),5.0)</f>
        <v>5</v>
      </c>
      <c r="BD13" s="16">
        <f>IFERROR(__xludf.DUMMYFUNCTION("""COMPUTED_VALUE"""),1.0)</f>
        <v>1</v>
      </c>
      <c r="BE13" s="16">
        <f>IFERROR(__xludf.DUMMYFUNCTION("""COMPUTED_VALUE"""),1.0)</f>
        <v>1</v>
      </c>
      <c r="BF13" s="16">
        <f>IFERROR(__xludf.DUMMYFUNCTION("""COMPUTED_VALUE"""),1.0)</f>
        <v>1</v>
      </c>
      <c r="BG13" s="16">
        <f>IFERROR(__xludf.DUMMYFUNCTION("""COMPUTED_VALUE"""),1.0)</f>
        <v>1</v>
      </c>
      <c r="BH13" s="16">
        <f>IFERROR(__xludf.DUMMYFUNCTION("""COMPUTED_VALUE"""),-12.0)</f>
        <v>-12</v>
      </c>
      <c r="BI13" s="16">
        <f>IFERROR(__xludf.DUMMYFUNCTION("""COMPUTED_VALUE"""),-10.0)</f>
        <v>-10</v>
      </c>
      <c r="BJ13" s="16">
        <f>IFERROR(__xludf.DUMMYFUNCTION("""COMPUTED_VALUE"""),15.0)</f>
        <v>15</v>
      </c>
      <c r="BK13" s="16">
        <f>IFERROR(__xludf.DUMMYFUNCTION("""COMPUTED_VALUE"""),11.0)</f>
        <v>11</v>
      </c>
      <c r="BL13" s="16">
        <f>IFERROR(__xludf.DUMMYFUNCTION("""COMPUTED_VALUE"""),-1.0)</f>
        <v>-1</v>
      </c>
      <c r="BM13" s="16">
        <f>IFERROR(__xludf.DUMMYFUNCTION("""COMPUTED_VALUE"""),0.0)</f>
        <v>0</v>
      </c>
      <c r="BN13" s="16">
        <f>IFERROR(__xludf.DUMMYFUNCTION("""COMPUTED_VALUE"""),-2.0)</f>
        <v>-2</v>
      </c>
      <c r="BO13" s="16">
        <f>IFERROR(__xludf.DUMMYFUNCTION("""COMPUTED_VALUE"""),0.0)</f>
        <v>0</v>
      </c>
      <c r="BP13" s="16">
        <f>IFERROR(__xludf.DUMMYFUNCTION("""COMPUTED_VALUE"""),11.0)</f>
        <v>11</v>
      </c>
      <c r="BQ13" s="16">
        <f>IFERROR(__xludf.DUMMYFUNCTION("""COMPUTED_VALUE"""),11.0)</f>
        <v>11</v>
      </c>
      <c r="BR13" s="16">
        <f>IFERROR(__xludf.DUMMYFUNCTION("""COMPUTED_VALUE"""),22.0)</f>
        <v>22</v>
      </c>
      <c r="BS13" s="16" t="str">
        <f>IFERROR(__xludf.DUMMYFUNCTION("""COMPUTED_VALUE"""),"4/- (18-6)")</f>
        <v>4/- (18-6)</v>
      </c>
      <c r="BT13" s="16" t="str">
        <f>IFERROR(__xludf.DUMMYFUNCTION("""COMPUTED_VALUE"""),"C")</f>
        <v>C</v>
      </c>
      <c r="BU13" s="16">
        <f>IFERROR(__xludf.DUMMYFUNCTION("""COMPUTED_VALUE"""),14.0)</f>
        <v>14</v>
      </c>
      <c r="BV13" s="16">
        <f>IFERROR(__xludf.DUMMYFUNCTION("""COMPUTED_VALUE"""),0.0)</f>
        <v>0</v>
      </c>
      <c r="BW13" s="16">
        <f>IFERROR(__xludf.DUMMYFUNCTION("""COMPUTED_VALUE"""),1.0)</f>
        <v>1</v>
      </c>
      <c r="BX13" s="16">
        <f>IFERROR(__xludf.DUMMYFUNCTION("""COMPUTED_VALUE"""),0.0)</f>
        <v>0</v>
      </c>
      <c r="BY13" s="16">
        <f>IFERROR(__xludf.DUMMYFUNCTION("""COMPUTED_VALUE"""),3.0)</f>
        <v>3</v>
      </c>
      <c r="BZ13" s="16" t="str">
        <f>IFERROR(__xludf.DUMMYFUNCTION("""COMPUTED_VALUE"""),"C")</f>
        <v>C</v>
      </c>
      <c r="CA13" s="16" t="str">
        <f>IFERROR(__xludf.DUMMYFUNCTION("""COMPUTED_VALUE"""),"B")</f>
        <v>B</v>
      </c>
      <c r="CB13" s="16">
        <f>IFERROR(__xludf.DUMMYFUNCTION("""COMPUTED_VALUE"""),0.0)</f>
        <v>0</v>
      </c>
      <c r="CC13" s="16">
        <f>IFERROR(__xludf.DUMMYFUNCTION("""COMPUTED_VALUE"""),1.0)</f>
        <v>1</v>
      </c>
      <c r="CD13" s="16">
        <f>IFERROR(__xludf.DUMMYFUNCTION("""COMPUTED_VALUE"""),0.0)</f>
        <v>0</v>
      </c>
      <c r="CE13" s="16">
        <f>IFERROR(__xludf.DUMMYFUNCTION("""COMPUTED_VALUE"""),2.0)</f>
        <v>2</v>
      </c>
      <c r="CF13" s="16">
        <f>IFERROR(__xludf.DUMMYFUNCTION("""COMPUTED_VALUE"""),1.0)</f>
        <v>1</v>
      </c>
      <c r="CG13" s="16">
        <f>IFERROR(__xludf.DUMMYFUNCTION("""COMPUTED_VALUE"""),37.0)</f>
        <v>37</v>
      </c>
      <c r="CH13" s="16">
        <f>IFERROR(__xludf.DUMMYFUNCTION("""COMPUTED_VALUE"""),24.0)</f>
        <v>24</v>
      </c>
      <c r="CI13" s="179">
        <f>IFERROR(__xludf.DUMMYFUNCTION("""COMPUTED_VALUE"""),34.0)</f>
        <v>34</v>
      </c>
      <c r="CJ13" s="16"/>
      <c r="CK13" s="16"/>
      <c r="CL13" s="16">
        <f>IFERROR(__xludf.DUMMYFUNCTION("""COMPUTED_VALUE"""),108.0)</f>
        <v>108</v>
      </c>
      <c r="CM13" s="16"/>
      <c r="CN13" s="16">
        <f>IFERROR(__xludf.DUMMYFUNCTION("""COMPUTED_VALUE"""),448.0)</f>
        <v>448</v>
      </c>
      <c r="CO13" s="16"/>
      <c r="CP13" s="16"/>
      <c r="CQ13" s="16"/>
      <c r="CR13" s="16" t="str">
        <f>IFERROR(__xludf.DUMMYFUNCTION("""COMPUTED_VALUE"""),"2b-1e8 ss-4e48")</f>
        <v>2b-1e8 ss-4e48</v>
      </c>
      <c r="CS13" s="16"/>
      <c r="CT13" s="16"/>
      <c r="CU13" s="16">
        <f>IFERROR(__xludf.DUMMYFUNCTION("""COMPUTED_VALUE"""),1.0)</f>
        <v>1</v>
      </c>
      <c r="CV13" s="16"/>
      <c r="CW13" s="16">
        <f>IFERROR(__xludf.DUMMYFUNCTION("""COMPUTED_VALUE"""),4.0)</f>
        <v>4</v>
      </c>
      <c r="CX13" s="16"/>
      <c r="CY13" s="16"/>
      <c r="CZ13" s="16"/>
      <c r="DA13" s="16"/>
      <c r="DB13" s="16"/>
      <c r="DC13" s="16">
        <f>IFERROR(__xludf.DUMMYFUNCTION("""COMPUTED_VALUE"""),8.0)</f>
        <v>8</v>
      </c>
      <c r="DD13" s="16"/>
      <c r="DE13" s="16">
        <f>IFERROR(__xludf.DUMMYFUNCTION("""COMPUTED_VALUE"""),48.0)</f>
        <v>48</v>
      </c>
      <c r="DF13" s="16"/>
      <c r="DG13" s="16"/>
      <c r="DH13" s="16"/>
      <c r="DI13" s="16"/>
      <c r="DJ13" s="16"/>
      <c r="DK13" s="16">
        <f>IFERROR(__xludf.DUMMYFUNCTION("""COMPUTED_VALUE"""),4.0)</f>
        <v>4</v>
      </c>
      <c r="DL13" s="16"/>
      <c r="DM13" s="16">
        <f>IFERROR(__xludf.DUMMYFUNCTION("""COMPUTED_VALUE"""),-2.0)</f>
        <v>-2</v>
      </c>
      <c r="DN13" s="16"/>
      <c r="DO13" s="16"/>
      <c r="DP13" s="16"/>
      <c r="DQ13" s="16"/>
      <c r="DR13" s="16"/>
      <c r="DS13" s="16">
        <f>IFERROR(__xludf.DUMMYFUNCTION("""COMPUTED_VALUE"""),3.0)</f>
        <v>3</v>
      </c>
      <c r="DT13" s="16"/>
      <c r="DU13" s="16">
        <f>IFERROR(__xludf.DUMMYFUNCTION("""COMPUTED_VALUE"""),-2.0)</f>
        <v>-2</v>
      </c>
      <c r="DV13" s="16"/>
      <c r="DW13" s="16"/>
      <c r="DX13" s="16"/>
      <c r="DY13" s="16"/>
      <c r="DZ13" s="16"/>
      <c r="EA13" s="16">
        <f>IFERROR(__xludf.DUMMYFUNCTION("""COMPUTED_VALUE"""),7.0)</f>
        <v>7</v>
      </c>
      <c r="EB13" s="16"/>
      <c r="EC13" s="16">
        <f>IFERROR(__xludf.DUMMYFUNCTION("""COMPUTED_VALUE"""),-4.0)</f>
        <v>-4</v>
      </c>
      <c r="ED13" s="16"/>
      <c r="EE13" s="16"/>
      <c r="EF13" s="16"/>
      <c r="EG13" s="179"/>
      <c r="EH13" s="179"/>
      <c r="EI13" s="179">
        <f>IFERROR(__xludf.DUMMYFUNCTION("""COMPUTED_VALUE"""),41.0)</f>
        <v>41</v>
      </c>
      <c r="EJ13" s="179"/>
      <c r="EK13" s="179">
        <f>IFERROR(__xludf.DUMMYFUNCTION("""COMPUTED_VALUE"""),30.0)</f>
        <v>30</v>
      </c>
      <c r="EL13" s="179"/>
      <c r="EM13" s="179"/>
      <c r="EN13" s="179"/>
      <c r="EO13" s="16"/>
      <c r="EP13" s="16">
        <f>IFERROR(__xludf.DUMMYFUNCTION("""COMPUTED_VALUE"""),-3.0)</f>
        <v>-3</v>
      </c>
      <c r="EQ13" s="16">
        <f>IFERROR(__xludf.DUMMYFUNCTION("""COMPUTED_VALUE"""),4.0)</f>
        <v>4</v>
      </c>
      <c r="ER13" s="16">
        <f>IFERROR(__xludf.DUMMYFUNCTION("""COMPUTED_VALUE"""),1.0)</f>
        <v>1</v>
      </c>
      <c r="ES13" s="16"/>
      <c r="ET13" s="16"/>
      <c r="EU13" s="16"/>
      <c r="EV13" s="16"/>
      <c r="EW13" s="16"/>
      <c r="EX13" s="180"/>
      <c r="EY13" s="180"/>
      <c r="EZ13" s="180">
        <f>IFERROR(__xludf.DUMMYFUNCTION("""COMPUTED_VALUE"""),0.0)</f>
        <v>0</v>
      </c>
      <c r="FA13" s="180"/>
      <c r="FB13" s="180">
        <f>IFERROR(__xludf.DUMMYFUNCTION("""COMPUTED_VALUE"""),0.3)</f>
        <v>0.3</v>
      </c>
      <c r="FC13" s="180"/>
      <c r="FD13" s="180"/>
      <c r="FE13" s="180"/>
      <c r="FF13" s="180"/>
      <c r="FG13" s="180"/>
      <c r="FH13" s="180">
        <f>IFERROR(__xludf.DUMMYFUNCTION("""COMPUTED_VALUE"""),0.046296296296296294)</f>
        <v>0.0462962963</v>
      </c>
      <c r="FI13" s="180"/>
      <c r="FJ13" s="180">
        <f>IFERROR(__xludf.DUMMYFUNCTION("""COMPUTED_VALUE"""),0.24537037037037038)</f>
        <v>0.2453703704</v>
      </c>
      <c r="FK13" s="180"/>
      <c r="FL13" s="180"/>
      <c r="FM13" s="180"/>
      <c r="FN13" s="16"/>
      <c r="FO13" s="16"/>
      <c r="FP13" s="16">
        <f>IFERROR(__xludf.DUMMYFUNCTION("""COMPUTED_VALUE"""),0.9537037037037037)</f>
        <v>0.9537037037</v>
      </c>
      <c r="FQ13" s="16"/>
      <c r="FR13" s="16">
        <f>IFERROR(__xludf.DUMMYFUNCTION("""COMPUTED_VALUE"""),0.5282407407407407)</f>
        <v>0.5282407407</v>
      </c>
      <c r="FS13" s="16"/>
      <c r="FT13" s="16"/>
      <c r="FU13" s="16"/>
      <c r="FV13" s="16"/>
      <c r="FW13" s="16"/>
      <c r="FX13" s="16">
        <f>IFERROR(__xludf.DUMMYFUNCTION("""COMPUTED_VALUE"""),8.0)</f>
        <v>8</v>
      </c>
      <c r="FY13" s="16"/>
      <c r="FZ13" s="16">
        <f>IFERROR(__xludf.DUMMYFUNCTION("""COMPUTED_VALUE"""),-8.0)</f>
        <v>-8</v>
      </c>
      <c r="GA13" s="16"/>
      <c r="GB13" s="16"/>
      <c r="GC13" s="16"/>
      <c r="GD13" s="16" t="s">
        <v>200</v>
      </c>
    </row>
    <row r="14">
      <c r="A14" s="16">
        <f>IFERROR(__xludf.DUMMYFUNCTION("""COMPUTED_VALUE"""),13023.0)</f>
        <v>13023</v>
      </c>
      <c r="B14" s="16" t="str">
        <f>IFERROR(__xludf.DUMMYFUNCTION("""COMPUTED_VALUE"""),"Jose Ramirez")</f>
        <v>Jose Ramirez</v>
      </c>
      <c r="C14" s="16">
        <f>IFERROR(__xludf.DUMMYFUNCTION("""COMPUTED_VALUE"""),2.89)</f>
        <v>2.89</v>
      </c>
      <c r="D14" s="16" t="str">
        <f>IFERROR(__xludf.DUMMYFUNCTION("""COMPUTED_VALUE"""),"S")</f>
        <v>S</v>
      </c>
      <c r="E14" s="16"/>
      <c r="F14" s="16"/>
      <c r="G14" s="16">
        <f>IFERROR(__xludf.DUMMYFUNCTION("""COMPUTED_VALUE"""),620.0)</f>
        <v>620</v>
      </c>
      <c r="H14" s="16">
        <f>IFERROR(__xludf.DUMMYFUNCTION("""COMPUTED_VALUE"""),54.0)</f>
        <v>54</v>
      </c>
      <c r="I14" s="16" t="str">
        <f>IFERROR(__xludf.DUMMYFUNCTION("""COMPUTED_VALUE"""),"1p70")</f>
        <v>1p70</v>
      </c>
      <c r="J14" s="16">
        <f>IFERROR(__xludf.DUMMYFUNCTION("""COMPUTED_VALUE"""),0.0)</f>
        <v>0</v>
      </c>
      <c r="K14" s="16">
        <f>IFERROR(__xludf.DUMMYFUNCTION("""COMPUTED_VALUE"""),4.0)</f>
        <v>4</v>
      </c>
      <c r="L14" s="16">
        <f>IFERROR(__xludf.DUMMYFUNCTION("""COMPUTED_VALUE"""),3.0)</f>
        <v>3</v>
      </c>
      <c r="M14" s="16">
        <f>IFERROR(__xludf.DUMMYFUNCTION("""COMPUTED_VALUE"""),2.0)</f>
        <v>2</v>
      </c>
      <c r="N14" s="16">
        <f>IFERROR(__xludf.DUMMYFUNCTION("""COMPUTED_VALUE"""),3.0)</f>
        <v>3</v>
      </c>
      <c r="O14" s="16">
        <f>IFERROR(__xludf.DUMMYFUNCTION("""COMPUTED_VALUE"""),2.0)</f>
        <v>2</v>
      </c>
      <c r="P14" s="16">
        <f>IFERROR(__xludf.DUMMYFUNCTION("""COMPUTED_VALUE"""),0.0)</f>
        <v>0</v>
      </c>
      <c r="Q14" s="16">
        <f>IFERROR(__xludf.DUMMYFUNCTION("""COMPUTED_VALUE"""),6.0)</f>
        <v>6</v>
      </c>
      <c r="R14" s="16">
        <f>IFERROR(__xludf.DUMMYFUNCTION("""COMPUTED_VALUE"""),-3.0)</f>
        <v>-3</v>
      </c>
      <c r="S14" s="16">
        <f>IFERROR(__xludf.DUMMYFUNCTION("""COMPUTED_VALUE"""),-1.0)</f>
        <v>-1</v>
      </c>
      <c r="T14" s="16">
        <f>IFERROR(__xludf.DUMMYFUNCTION("""COMPUTED_VALUE"""),-3.0)</f>
        <v>-3</v>
      </c>
      <c r="U14" s="16">
        <f>IFERROR(__xludf.DUMMYFUNCTION("""COMPUTED_VALUE"""),-1.0)</f>
        <v>-1</v>
      </c>
      <c r="V14" s="16">
        <f>IFERROR(__xludf.DUMMYFUNCTION("""COMPUTED_VALUE"""),42.2)</f>
        <v>42.2</v>
      </c>
      <c r="W14" s="16">
        <f>IFERROR(__xludf.DUMMYFUNCTION("""COMPUTED_VALUE"""),20.5)</f>
        <v>20.5</v>
      </c>
      <c r="X14" s="16">
        <f>IFERROR(__xludf.DUMMYFUNCTION("""COMPUTED_VALUE"""),3.0)</f>
        <v>3</v>
      </c>
      <c r="Y14" s="16">
        <f>IFERROR(__xludf.DUMMYFUNCTION("""COMPUTED_VALUE"""),0.0)</f>
        <v>0</v>
      </c>
      <c r="Z14" s="16">
        <f>IFERROR(__xludf.DUMMYFUNCTION("""COMPUTED_VALUE"""),6.0)</f>
        <v>6</v>
      </c>
      <c r="AA14" s="16">
        <f>IFERROR(__xludf.DUMMYFUNCTION("""COMPUTED_VALUE"""),0.0)</f>
        <v>0</v>
      </c>
      <c r="AB14" s="16">
        <f>IFERROR(__xludf.DUMMYFUNCTION("""COMPUTED_VALUE"""),42.2)</f>
        <v>42.2</v>
      </c>
      <c r="AC14" s="16">
        <f>IFERROR(__xludf.DUMMYFUNCTION("""COMPUTED_VALUE"""),26.5)</f>
        <v>26.5</v>
      </c>
      <c r="AD14" s="16">
        <f>IFERROR(__xludf.DUMMYFUNCTION("""COMPUTED_VALUE"""),1.0)</f>
        <v>1</v>
      </c>
      <c r="AE14" s="16">
        <f>IFERROR(__xludf.DUMMYFUNCTION("""COMPUTED_VALUE"""),-1.0)</f>
        <v>-1</v>
      </c>
      <c r="AF14" s="16">
        <f>IFERROR(__xludf.DUMMYFUNCTION("""COMPUTED_VALUE"""),5.0)</f>
        <v>5</v>
      </c>
      <c r="AG14" s="16">
        <f>IFERROR(__xludf.DUMMYFUNCTION("""COMPUTED_VALUE"""),-5.0)</f>
        <v>-5</v>
      </c>
      <c r="AH14" s="16">
        <f>IFERROR(__xludf.DUMMYFUNCTION("""COMPUTED_VALUE"""),89.4)</f>
        <v>89.4</v>
      </c>
      <c r="AI14" s="16">
        <f>IFERROR(__xludf.DUMMYFUNCTION("""COMPUTED_VALUE"""),38.5)</f>
        <v>38.5</v>
      </c>
      <c r="AJ14" s="16">
        <f>IFERROR(__xludf.DUMMYFUNCTION("""COMPUTED_VALUE"""),4.0)</f>
        <v>4</v>
      </c>
      <c r="AK14" s="16">
        <f>IFERROR(__xludf.DUMMYFUNCTION("""COMPUTED_VALUE"""),1.0)</f>
        <v>1</v>
      </c>
      <c r="AL14" s="16">
        <f>IFERROR(__xludf.DUMMYFUNCTION("""COMPUTED_VALUE"""),20.0)</f>
        <v>20</v>
      </c>
      <c r="AM14" s="16">
        <f>IFERROR(__xludf.DUMMYFUNCTION("""COMPUTED_VALUE"""),5.0)</f>
        <v>5</v>
      </c>
      <c r="AN14" s="16">
        <f>IFERROR(__xludf.DUMMYFUNCTION("""COMPUTED_VALUE"""),11.3)</f>
        <v>11.3</v>
      </c>
      <c r="AO14" s="16">
        <f>IFERROR(__xludf.DUMMYFUNCTION("""COMPUTED_VALUE"""),4.0)</f>
        <v>4</v>
      </c>
      <c r="AP14" s="16">
        <f>IFERROR(__xludf.DUMMYFUNCTION("""COMPUTED_VALUE"""),3.0)</f>
        <v>3</v>
      </c>
      <c r="AQ14" s="16">
        <f>IFERROR(__xludf.DUMMYFUNCTION("""COMPUTED_VALUE"""),2.0)</f>
        <v>2</v>
      </c>
      <c r="AR14" s="16">
        <f>IFERROR(__xludf.DUMMYFUNCTION("""COMPUTED_VALUE"""),6.0)</f>
        <v>6</v>
      </c>
      <c r="AS14" s="16">
        <f>IFERROR(__xludf.DUMMYFUNCTION("""COMPUTED_VALUE"""),4.0)</f>
        <v>4</v>
      </c>
      <c r="AT14" s="16">
        <f>IFERROR(__xludf.DUMMYFUNCTION("""COMPUTED_VALUE"""),8.0)</f>
        <v>8</v>
      </c>
      <c r="AU14" s="16">
        <f>IFERROR(__xludf.DUMMYFUNCTION("""COMPUTED_VALUE"""),7.0)</f>
        <v>7</v>
      </c>
      <c r="AV14" s="16">
        <f>IFERROR(__xludf.DUMMYFUNCTION("""COMPUTED_VALUE"""),8.0)</f>
        <v>8</v>
      </c>
      <c r="AW14" s="16">
        <f>IFERROR(__xludf.DUMMYFUNCTION("""COMPUTED_VALUE"""),7.0)</f>
        <v>7</v>
      </c>
      <c r="AX14" s="16">
        <f>IFERROR(__xludf.DUMMYFUNCTION("""COMPUTED_VALUE"""),3.0)</f>
        <v>3</v>
      </c>
      <c r="AY14" s="16">
        <f>IFERROR(__xludf.DUMMYFUNCTION("""COMPUTED_VALUE"""),3.0)</f>
        <v>3</v>
      </c>
      <c r="AZ14" s="16">
        <f>IFERROR(__xludf.DUMMYFUNCTION("""COMPUTED_VALUE"""),9.0)</f>
        <v>9</v>
      </c>
      <c r="BA14" s="16">
        <f>IFERROR(__xludf.DUMMYFUNCTION("""COMPUTED_VALUE"""),9.0)</f>
        <v>9</v>
      </c>
      <c r="BB14" s="16">
        <f>IFERROR(__xludf.DUMMYFUNCTION("""COMPUTED_VALUE"""),5.0)</f>
        <v>5</v>
      </c>
      <c r="BC14" s="16">
        <f>IFERROR(__xludf.DUMMYFUNCTION("""COMPUTED_VALUE"""),5.0)</f>
        <v>5</v>
      </c>
      <c r="BD14" s="16">
        <f>IFERROR(__xludf.DUMMYFUNCTION("""COMPUTED_VALUE"""),1.0)</f>
        <v>1</v>
      </c>
      <c r="BE14" s="16">
        <f>IFERROR(__xludf.DUMMYFUNCTION("""COMPUTED_VALUE"""),1.0)</f>
        <v>1</v>
      </c>
      <c r="BF14" s="16">
        <f>IFERROR(__xludf.DUMMYFUNCTION("""COMPUTED_VALUE"""),1.0)</f>
        <v>1</v>
      </c>
      <c r="BG14" s="16">
        <f>IFERROR(__xludf.DUMMYFUNCTION("""COMPUTED_VALUE"""),1.0)</f>
        <v>1</v>
      </c>
      <c r="BH14" s="16">
        <f>IFERROR(__xludf.DUMMYFUNCTION("""COMPUTED_VALUE"""),-3.0)</f>
        <v>-3</v>
      </c>
      <c r="BI14" s="16">
        <f>IFERROR(__xludf.DUMMYFUNCTION("""COMPUTED_VALUE"""),-3.0)</f>
        <v>-3</v>
      </c>
      <c r="BJ14" s="16">
        <f>IFERROR(__xludf.DUMMYFUNCTION("""COMPUTED_VALUE"""),11.0)</f>
        <v>11</v>
      </c>
      <c r="BK14" s="16">
        <f>IFERROR(__xludf.DUMMYFUNCTION("""COMPUTED_VALUE"""),10.0)</f>
        <v>10</v>
      </c>
      <c r="BL14" s="16">
        <f>IFERROR(__xludf.DUMMYFUNCTION("""COMPUTED_VALUE"""),0.0)</f>
        <v>0</v>
      </c>
      <c r="BM14" s="16">
        <f>IFERROR(__xludf.DUMMYFUNCTION("""COMPUTED_VALUE"""),0.0)</f>
        <v>0</v>
      </c>
      <c r="BN14" s="16">
        <f>IFERROR(__xludf.DUMMYFUNCTION("""COMPUTED_VALUE"""),0.0)</f>
        <v>0</v>
      </c>
      <c r="BO14" s="16">
        <f>IFERROR(__xludf.DUMMYFUNCTION("""COMPUTED_VALUE"""),0.0)</f>
        <v>0</v>
      </c>
      <c r="BP14" s="16">
        <f>IFERROR(__xludf.DUMMYFUNCTION("""COMPUTED_VALUE"""),15.0)</f>
        <v>15</v>
      </c>
      <c r="BQ14" s="16">
        <f>IFERROR(__xludf.DUMMYFUNCTION("""COMPUTED_VALUE"""),7.0)</f>
        <v>7</v>
      </c>
      <c r="BR14" s="16">
        <f>IFERROR(__xludf.DUMMYFUNCTION("""COMPUTED_VALUE"""),22.0)</f>
        <v>22</v>
      </c>
      <c r="BS14" s="16" t="str">
        <f>IFERROR(__xludf.DUMMYFUNCTION("""COMPUTED_VALUE"""),"*4-6/- (19-14)")</f>
        <v>*4-6/- (19-14)</v>
      </c>
      <c r="BT14" s="16" t="str">
        <f>IFERROR(__xludf.DUMMYFUNCTION("""COMPUTED_VALUE"""),"AA")</f>
        <v>AA</v>
      </c>
      <c r="BU14" s="16">
        <f>IFERROR(__xludf.DUMMYFUNCTION("""COMPUTED_VALUE"""),16.0)</f>
        <v>16</v>
      </c>
      <c r="BV14" s="16">
        <f>IFERROR(__xludf.DUMMYFUNCTION("""COMPUTED_VALUE"""),3.0)</f>
        <v>3</v>
      </c>
      <c r="BW14" s="16">
        <f>IFERROR(__xludf.DUMMYFUNCTION("""COMPUTED_VALUE"""),2.0)</f>
        <v>2</v>
      </c>
      <c r="BX14" s="16">
        <f>IFERROR(__xludf.DUMMYFUNCTION("""COMPUTED_VALUE"""),6.0)</f>
        <v>6</v>
      </c>
      <c r="BY14" s="16">
        <f>IFERROR(__xludf.DUMMYFUNCTION("""COMPUTED_VALUE"""),6.0)</f>
        <v>6</v>
      </c>
      <c r="BZ14" s="16" t="str">
        <f>IFERROR(__xludf.DUMMYFUNCTION("""COMPUTED_VALUE"""),"D")</f>
        <v>D</v>
      </c>
      <c r="CA14" s="16" t="str">
        <f>IFERROR(__xludf.DUMMYFUNCTION("""COMPUTED_VALUE"""),"B")</f>
        <v>B</v>
      </c>
      <c r="CB14" s="16">
        <f>IFERROR(__xludf.DUMMYFUNCTION("""COMPUTED_VALUE"""),0.0)</f>
        <v>0</v>
      </c>
      <c r="CC14" s="16">
        <f>IFERROR(__xludf.DUMMYFUNCTION("""COMPUTED_VALUE"""),1.0)</f>
        <v>1</v>
      </c>
      <c r="CD14" s="16">
        <f>IFERROR(__xludf.DUMMYFUNCTION("""COMPUTED_VALUE"""),0.0)</f>
        <v>0</v>
      </c>
      <c r="CE14" s="16">
        <f>IFERROR(__xludf.DUMMYFUNCTION("""COMPUTED_VALUE"""),2.0)</f>
        <v>2</v>
      </c>
      <c r="CF14" s="16">
        <f>IFERROR(__xludf.DUMMYFUNCTION("""COMPUTED_VALUE"""),1.0)</f>
        <v>1</v>
      </c>
      <c r="CG14" s="16">
        <f>IFERROR(__xludf.DUMMYFUNCTION("""COMPUTED_VALUE"""),47.0)</f>
        <v>47</v>
      </c>
      <c r="CH14" s="16">
        <f>IFERROR(__xludf.DUMMYFUNCTION("""COMPUTED_VALUE"""),15.0)</f>
        <v>15</v>
      </c>
      <c r="CI14" s="179">
        <f>IFERROR(__xludf.DUMMYFUNCTION("""COMPUTED_VALUE"""),34.0)</f>
        <v>34</v>
      </c>
      <c r="CJ14" s="16"/>
      <c r="CK14" s="16"/>
      <c r="CL14" s="16"/>
      <c r="CM14" s="16">
        <f>IFERROR(__xludf.DUMMYFUNCTION("""COMPUTED_VALUE"""),112.0)</f>
        <v>112</v>
      </c>
      <c r="CN14" s="16"/>
      <c r="CO14" s="16"/>
      <c r="CP14" s="16"/>
      <c r="CQ14" s="16"/>
      <c r="CR14" s="16" t="str">
        <f>IFERROR(__xludf.DUMMYFUNCTION("""COMPUTED_VALUE"""),"3b-1e12")</f>
        <v>3b-1e12</v>
      </c>
      <c r="CS14" s="16"/>
      <c r="CT14" s="16"/>
      <c r="CU14" s="16"/>
      <c r="CV14" s="16">
        <f>IFERROR(__xludf.DUMMYFUNCTION("""COMPUTED_VALUE"""),1.0)</f>
        <v>1</v>
      </c>
      <c r="CW14" s="16"/>
      <c r="CX14" s="16"/>
      <c r="CY14" s="16"/>
      <c r="CZ14" s="16"/>
      <c r="DA14" s="16"/>
      <c r="DB14" s="16"/>
      <c r="DC14" s="16"/>
      <c r="DD14" s="16">
        <f>IFERROR(__xludf.DUMMYFUNCTION("""COMPUTED_VALUE"""),12.0)</f>
        <v>12</v>
      </c>
      <c r="DE14" s="16"/>
      <c r="DF14" s="16"/>
      <c r="DG14" s="16"/>
      <c r="DH14" s="16"/>
      <c r="DI14" s="16"/>
      <c r="DJ14" s="16"/>
      <c r="DK14" s="16"/>
      <c r="DL14" s="16">
        <f>IFERROR(__xludf.DUMMYFUNCTION("""COMPUTED_VALUE"""),4.0)</f>
        <v>4</v>
      </c>
      <c r="DM14" s="16"/>
      <c r="DN14" s="16"/>
      <c r="DO14" s="16"/>
      <c r="DP14" s="16"/>
      <c r="DQ14" s="16"/>
      <c r="DR14" s="16"/>
      <c r="DS14" s="16"/>
      <c r="DT14" s="16">
        <f>IFERROR(__xludf.DUMMYFUNCTION("""COMPUTED_VALUE"""),1.0)</f>
        <v>1</v>
      </c>
      <c r="DU14" s="16"/>
      <c r="DV14" s="16"/>
      <c r="DW14" s="16"/>
      <c r="DX14" s="16"/>
      <c r="DY14" s="16"/>
      <c r="DZ14" s="16"/>
      <c r="EA14" s="16"/>
      <c r="EB14" s="16">
        <f>IFERROR(__xludf.DUMMYFUNCTION("""COMPUTED_VALUE"""),5.0)</f>
        <v>5</v>
      </c>
      <c r="EC14" s="16"/>
      <c r="ED14" s="16"/>
      <c r="EE14" s="16"/>
      <c r="EF14" s="16"/>
      <c r="EG14" s="179"/>
      <c r="EH14" s="179"/>
      <c r="EI14" s="179"/>
      <c r="EJ14" s="179">
        <f>IFERROR(__xludf.DUMMYFUNCTION("""COMPUTED_VALUE"""),39.0)</f>
        <v>39</v>
      </c>
      <c r="EK14" s="179"/>
      <c r="EL14" s="179"/>
      <c r="EM14" s="179"/>
      <c r="EN14" s="179"/>
      <c r="EO14" s="16"/>
      <c r="EP14" s="16">
        <f>IFERROR(__xludf.DUMMYFUNCTION("""COMPUTED_VALUE"""),2.0)</f>
        <v>2</v>
      </c>
      <c r="EQ14" s="16">
        <f>IFERROR(__xludf.DUMMYFUNCTION("""COMPUTED_VALUE"""),4.0)</f>
        <v>4</v>
      </c>
      <c r="ER14" s="16">
        <f>IFERROR(__xludf.DUMMYFUNCTION("""COMPUTED_VALUE"""),3.0)</f>
        <v>3</v>
      </c>
      <c r="ES14" s="16"/>
      <c r="ET14" s="16"/>
      <c r="EU14" s="16"/>
      <c r="EV14" s="16"/>
      <c r="EW14" s="16"/>
      <c r="EX14" s="180"/>
      <c r="EY14" s="180"/>
      <c r="EZ14" s="180"/>
      <c r="FA14" s="180">
        <f>IFERROR(__xludf.DUMMYFUNCTION("""COMPUTED_VALUE"""),0.0)</f>
        <v>0</v>
      </c>
      <c r="FB14" s="180"/>
      <c r="FC14" s="180"/>
      <c r="FD14" s="180"/>
      <c r="FE14" s="180"/>
      <c r="FF14" s="180"/>
      <c r="FG14" s="180"/>
      <c r="FH14" s="180"/>
      <c r="FI14" s="180">
        <f>IFERROR(__xludf.DUMMYFUNCTION("""COMPUTED_VALUE"""),0.14351851851851852)</f>
        <v>0.1435185185</v>
      </c>
      <c r="FJ14" s="180"/>
      <c r="FK14" s="180"/>
      <c r="FL14" s="180"/>
      <c r="FM14" s="180"/>
      <c r="FN14" s="16"/>
      <c r="FO14" s="16"/>
      <c r="FP14" s="16"/>
      <c r="FQ14" s="16">
        <f>IFERROR(__xludf.DUMMYFUNCTION("""COMPUTED_VALUE"""),0.8564814814814815)</f>
        <v>0.8564814815</v>
      </c>
      <c r="FR14" s="16"/>
      <c r="FS14" s="16"/>
      <c r="FT14" s="16"/>
      <c r="FU14" s="16"/>
      <c r="FV14" s="16"/>
      <c r="FW14" s="16"/>
      <c r="FX14" s="16"/>
      <c r="FY14" s="16">
        <f>IFERROR(__xludf.DUMMYFUNCTION("""COMPUTED_VALUE"""),4.0)</f>
        <v>4</v>
      </c>
      <c r="FZ14" s="16"/>
      <c r="GA14" s="16"/>
      <c r="GB14" s="16"/>
      <c r="GC14" s="16"/>
      <c r="GD14" s="16" t="s">
        <v>277</v>
      </c>
    </row>
    <row r="15">
      <c r="A15" s="16">
        <f>IFERROR(__xludf.DUMMYFUNCTION("""COMPUTED_VALUE"""),13409.0)</f>
        <v>13409</v>
      </c>
      <c r="B15" s="16" t="str">
        <f>IFERROR(__xludf.DUMMYFUNCTION("""COMPUTED_VALUE"""),"Teoscar Hernandez")</f>
        <v>Teoscar Hernandez</v>
      </c>
      <c r="C15" s="16">
        <f>IFERROR(__xludf.DUMMYFUNCTION("""COMPUTED_VALUE"""),1.91)</f>
        <v>1.91</v>
      </c>
      <c r="D15" s="16" t="str">
        <f>IFERROR(__xludf.DUMMYFUNCTION("""COMPUTED_VALUE"""),"R")</f>
        <v>R</v>
      </c>
      <c r="E15" s="16"/>
      <c r="F15" s="16"/>
      <c r="G15" s="16">
        <f>IFERROR(__xludf.DUMMYFUNCTION("""COMPUTED_VALUE"""),589.0)</f>
        <v>589</v>
      </c>
      <c r="H15" s="16">
        <f>IFERROR(__xludf.DUMMYFUNCTION("""COMPUTED_VALUE"""),53.0)</f>
        <v>53</v>
      </c>
      <c r="I15" s="16" t="str">
        <f>IFERROR(__xludf.DUMMYFUNCTION("""COMPUTED_VALUE"""),"1p70")</f>
        <v>1p70</v>
      </c>
      <c r="J15" s="16">
        <f>IFERROR(__xludf.DUMMYFUNCTION("""COMPUTED_VALUE"""),35.0)</f>
        <v>35</v>
      </c>
      <c r="K15" s="16">
        <f>IFERROR(__xludf.DUMMYFUNCTION("""COMPUTED_VALUE"""),38.0)</f>
        <v>38</v>
      </c>
      <c r="L15" s="16">
        <f>IFERROR(__xludf.DUMMYFUNCTION("""COMPUTED_VALUE"""),-1.0)</f>
        <v>-1</v>
      </c>
      <c r="M15" s="16">
        <f>IFERROR(__xludf.DUMMYFUNCTION("""COMPUTED_VALUE"""),-1.0)</f>
        <v>-1</v>
      </c>
      <c r="N15" s="16">
        <f>IFERROR(__xludf.DUMMYFUNCTION("""COMPUTED_VALUE"""),-1.0)</f>
        <v>-1</v>
      </c>
      <c r="O15" s="16">
        <f>IFERROR(__xludf.DUMMYFUNCTION("""COMPUTED_VALUE"""),-1.0)</f>
        <v>-1</v>
      </c>
      <c r="P15" s="16">
        <f>IFERROR(__xludf.DUMMYFUNCTION("""COMPUTED_VALUE"""),5.0)</f>
        <v>5</v>
      </c>
      <c r="Q15" s="16">
        <f>IFERROR(__xludf.DUMMYFUNCTION("""COMPUTED_VALUE"""),10.0)</f>
        <v>10</v>
      </c>
      <c r="R15" s="16">
        <f>IFERROR(__xludf.DUMMYFUNCTION("""COMPUTED_VALUE"""),-1.0)</f>
        <v>-1</v>
      </c>
      <c r="S15" s="16">
        <f>IFERROR(__xludf.DUMMYFUNCTION("""COMPUTED_VALUE"""),0.0)</f>
        <v>0</v>
      </c>
      <c r="T15" s="16">
        <f>IFERROR(__xludf.DUMMYFUNCTION("""COMPUTED_VALUE"""),-1.0)</f>
        <v>-1</v>
      </c>
      <c r="U15" s="16">
        <f>IFERROR(__xludf.DUMMYFUNCTION("""COMPUTED_VALUE"""),0.0)</f>
        <v>0</v>
      </c>
      <c r="V15" s="16">
        <f>IFERROR(__xludf.DUMMYFUNCTION("""COMPUTED_VALUE"""),27.0)</f>
        <v>27</v>
      </c>
      <c r="W15" s="16">
        <f>IFERROR(__xludf.DUMMYFUNCTION("""COMPUTED_VALUE"""),23.3)</f>
        <v>23.3</v>
      </c>
      <c r="X15" s="16">
        <f>IFERROR(__xludf.DUMMYFUNCTION("""COMPUTED_VALUE"""),1.0)</f>
        <v>1</v>
      </c>
      <c r="Y15" s="16">
        <f>IFERROR(__xludf.DUMMYFUNCTION("""COMPUTED_VALUE"""),1.0)</f>
        <v>1</v>
      </c>
      <c r="Z15" s="16">
        <f>IFERROR(__xludf.DUMMYFUNCTION("""COMPUTED_VALUE"""),2.0)</f>
        <v>2</v>
      </c>
      <c r="AA15" s="16">
        <f>IFERROR(__xludf.DUMMYFUNCTION("""COMPUTED_VALUE"""),2.0)</f>
        <v>2</v>
      </c>
      <c r="AB15" s="16">
        <f>IFERROR(__xludf.DUMMYFUNCTION("""COMPUTED_VALUE"""),35.0)</f>
        <v>35</v>
      </c>
      <c r="AC15" s="16">
        <f>IFERROR(__xludf.DUMMYFUNCTION("""COMPUTED_VALUE"""),36.3)</f>
        <v>36.3</v>
      </c>
      <c r="AD15" s="16">
        <f>IFERROR(__xludf.DUMMYFUNCTION("""COMPUTED_VALUE"""),1.0)</f>
        <v>1</v>
      </c>
      <c r="AE15" s="16">
        <f>IFERROR(__xludf.DUMMYFUNCTION("""COMPUTED_VALUE"""),1.0)</f>
        <v>1</v>
      </c>
      <c r="AF15" s="16">
        <f>IFERROR(__xludf.DUMMYFUNCTION("""COMPUTED_VALUE"""),5.0)</f>
        <v>5</v>
      </c>
      <c r="AG15" s="16">
        <f>IFERROR(__xludf.DUMMYFUNCTION("""COMPUTED_VALUE"""),5.0)</f>
        <v>5</v>
      </c>
      <c r="AH15" s="16">
        <f>IFERROR(__xludf.DUMMYFUNCTION("""COMPUTED_VALUE"""),52.5)</f>
        <v>52.5</v>
      </c>
      <c r="AI15" s="16">
        <f>IFERROR(__xludf.DUMMYFUNCTION("""COMPUTED_VALUE"""),39.5)</f>
        <v>39.5</v>
      </c>
      <c r="AJ15" s="16">
        <f>IFERROR(__xludf.DUMMYFUNCTION("""COMPUTED_VALUE"""),2.0)</f>
        <v>2</v>
      </c>
      <c r="AK15" s="16">
        <f>IFERROR(__xludf.DUMMYFUNCTION("""COMPUTED_VALUE"""),1.0)</f>
        <v>1</v>
      </c>
      <c r="AL15" s="16">
        <f>IFERROR(__xludf.DUMMYFUNCTION("""COMPUTED_VALUE"""),10.0)</f>
        <v>10</v>
      </c>
      <c r="AM15" s="16">
        <f>IFERROR(__xludf.DUMMYFUNCTION("""COMPUTED_VALUE"""),5.0)</f>
        <v>5</v>
      </c>
      <c r="AN15" s="16">
        <f>IFERROR(__xludf.DUMMYFUNCTION("""COMPUTED_VALUE"""),6.0)</f>
        <v>6</v>
      </c>
      <c r="AO15" s="16">
        <f>IFERROR(__xludf.DUMMYFUNCTION("""COMPUTED_VALUE"""),3.8)</f>
        <v>3.8</v>
      </c>
      <c r="AP15" s="16">
        <f>IFERROR(__xludf.DUMMYFUNCTION("""COMPUTED_VALUE"""),3.0)</f>
        <v>3</v>
      </c>
      <c r="AQ15" s="16">
        <f>IFERROR(__xludf.DUMMYFUNCTION("""COMPUTED_VALUE"""),2.0)</f>
        <v>2</v>
      </c>
      <c r="AR15" s="16">
        <f>IFERROR(__xludf.DUMMYFUNCTION("""COMPUTED_VALUE"""),6.0)</f>
        <v>6</v>
      </c>
      <c r="AS15" s="16">
        <f>IFERROR(__xludf.DUMMYFUNCTION("""COMPUTED_VALUE"""),4.0)</f>
        <v>4</v>
      </c>
      <c r="AT15" s="16">
        <f>IFERROR(__xludf.DUMMYFUNCTION("""COMPUTED_VALUE"""),8.0)</f>
        <v>8</v>
      </c>
      <c r="AU15" s="16">
        <f>IFERROR(__xludf.DUMMYFUNCTION("""COMPUTED_VALUE"""),5.0)</f>
        <v>5</v>
      </c>
      <c r="AV15" s="16">
        <f>IFERROR(__xludf.DUMMYFUNCTION("""COMPUTED_VALUE"""),8.0)</f>
        <v>8</v>
      </c>
      <c r="AW15" s="16">
        <f>IFERROR(__xludf.DUMMYFUNCTION("""COMPUTED_VALUE"""),5.0)</f>
        <v>5</v>
      </c>
      <c r="AX15" s="16">
        <f>IFERROR(__xludf.DUMMYFUNCTION("""COMPUTED_VALUE"""),3.0)</f>
        <v>3</v>
      </c>
      <c r="AY15" s="16">
        <f>IFERROR(__xludf.DUMMYFUNCTION("""COMPUTED_VALUE"""),2.0)</f>
        <v>2</v>
      </c>
      <c r="AZ15" s="16">
        <f>IFERROR(__xludf.DUMMYFUNCTION("""COMPUTED_VALUE"""),9.0)</f>
        <v>9</v>
      </c>
      <c r="BA15" s="16">
        <f>IFERROR(__xludf.DUMMYFUNCTION("""COMPUTED_VALUE"""),6.0)</f>
        <v>6</v>
      </c>
      <c r="BB15" s="16">
        <f>IFERROR(__xludf.DUMMYFUNCTION("""COMPUTED_VALUE"""),5.0)</f>
        <v>5</v>
      </c>
      <c r="BC15" s="16">
        <f>IFERROR(__xludf.DUMMYFUNCTION("""COMPUTED_VALUE"""),5.0)</f>
        <v>5</v>
      </c>
      <c r="BD15" s="16">
        <f>IFERROR(__xludf.DUMMYFUNCTION("""COMPUTED_VALUE"""),1.0)</f>
        <v>1</v>
      </c>
      <c r="BE15" s="16">
        <f>IFERROR(__xludf.DUMMYFUNCTION("""COMPUTED_VALUE"""),1.0)</f>
        <v>1</v>
      </c>
      <c r="BF15" s="16">
        <f>IFERROR(__xludf.DUMMYFUNCTION("""COMPUTED_VALUE"""),1.0)</f>
        <v>1</v>
      </c>
      <c r="BG15" s="16">
        <f>IFERROR(__xludf.DUMMYFUNCTION("""COMPUTED_VALUE"""),1.0)</f>
        <v>1</v>
      </c>
      <c r="BH15" s="16">
        <f>IFERROR(__xludf.DUMMYFUNCTION("""COMPUTED_VALUE"""),-11.0)</f>
        <v>-11</v>
      </c>
      <c r="BI15" s="16">
        <f>IFERROR(__xludf.DUMMYFUNCTION("""COMPUTED_VALUE"""),-11.0)</f>
        <v>-11</v>
      </c>
      <c r="BJ15" s="16">
        <f>IFERROR(__xludf.DUMMYFUNCTION("""COMPUTED_VALUE"""),6.0)</f>
        <v>6</v>
      </c>
      <c r="BK15" s="16">
        <f>IFERROR(__xludf.DUMMYFUNCTION("""COMPUTED_VALUE"""),7.0)</f>
        <v>7</v>
      </c>
      <c r="BL15" s="16">
        <f>IFERROR(__xludf.DUMMYFUNCTION("""COMPUTED_VALUE"""),1.0)</f>
        <v>1</v>
      </c>
      <c r="BM15" s="16">
        <f>IFERROR(__xludf.DUMMYFUNCTION("""COMPUTED_VALUE"""),1.0)</f>
        <v>1</v>
      </c>
      <c r="BN15" s="16">
        <f>IFERROR(__xludf.DUMMYFUNCTION("""COMPUTED_VALUE"""),1.0)</f>
        <v>1</v>
      </c>
      <c r="BO15" s="16">
        <f>IFERROR(__xludf.DUMMYFUNCTION("""COMPUTED_VALUE"""),1.0)</f>
        <v>1</v>
      </c>
      <c r="BP15" s="16">
        <f>IFERROR(__xludf.DUMMYFUNCTION("""COMPUTED_VALUE"""),10.0)</f>
        <v>10</v>
      </c>
      <c r="BQ15" s="16">
        <f>IFERROR(__xludf.DUMMYFUNCTION("""COMPUTED_VALUE"""),8.0)</f>
        <v>8</v>
      </c>
      <c r="BR15" s="16">
        <f>IFERROR(__xludf.DUMMYFUNCTION("""COMPUTED_VALUE"""),18.0)</f>
        <v>18</v>
      </c>
      <c r="BS15" s="16" t="str">
        <f>IFERROR(__xludf.DUMMYFUNCTION("""COMPUTED_VALUE"""),"*6/- (18-6)")</f>
        <v>*6/- (18-6)</v>
      </c>
      <c r="BT15" s="16" t="str">
        <f>IFERROR(__xludf.DUMMYFUNCTION("""COMPUTED_VALUE"""),"B")</f>
        <v>B</v>
      </c>
      <c r="BU15" s="16">
        <f>IFERROR(__xludf.DUMMYFUNCTION("""COMPUTED_VALUE"""),13.0)</f>
        <v>13</v>
      </c>
      <c r="BV15" s="16">
        <f>IFERROR(__xludf.DUMMYFUNCTION("""COMPUTED_VALUE"""),1.0)</f>
        <v>1</v>
      </c>
      <c r="BW15" s="16">
        <f>IFERROR(__xludf.DUMMYFUNCTION("""COMPUTED_VALUE"""),1.0)</f>
        <v>1</v>
      </c>
      <c r="BX15" s="16">
        <f>IFERROR(__xludf.DUMMYFUNCTION("""COMPUTED_VALUE"""),2.0)</f>
        <v>2</v>
      </c>
      <c r="BY15" s="16">
        <f>IFERROR(__xludf.DUMMYFUNCTION("""COMPUTED_VALUE"""),3.0)</f>
        <v>3</v>
      </c>
      <c r="BZ15" s="16" t="str">
        <f>IFERROR(__xludf.DUMMYFUNCTION("""COMPUTED_VALUE"""),"D")</f>
        <v>D</v>
      </c>
      <c r="CA15" s="16" t="str">
        <f>IFERROR(__xludf.DUMMYFUNCTION("""COMPUTED_VALUE"""),"C")</f>
        <v>C</v>
      </c>
      <c r="CB15" s="16">
        <f>IFERROR(__xludf.DUMMYFUNCTION("""COMPUTED_VALUE"""),0.0)</f>
        <v>0</v>
      </c>
      <c r="CC15" s="16">
        <f>IFERROR(__xludf.DUMMYFUNCTION("""COMPUTED_VALUE"""),0.0)</f>
        <v>0</v>
      </c>
      <c r="CD15" s="16">
        <f>IFERROR(__xludf.DUMMYFUNCTION("""COMPUTED_VALUE"""),0.0)</f>
        <v>0</v>
      </c>
      <c r="CE15" s="16">
        <f>IFERROR(__xludf.DUMMYFUNCTION("""COMPUTED_VALUE"""),0.0)</f>
        <v>0</v>
      </c>
      <c r="CF15" s="16">
        <f>IFERROR(__xludf.DUMMYFUNCTION("""COMPUTED_VALUE"""),1.0)</f>
        <v>1</v>
      </c>
      <c r="CG15" s="16">
        <f>IFERROR(__xludf.DUMMYFUNCTION("""COMPUTED_VALUE"""),32.0)</f>
        <v>32</v>
      </c>
      <c r="CH15" s="16">
        <f>IFERROR(__xludf.DUMMYFUNCTION("""COMPUTED_VALUE"""),23.0)</f>
        <v>23</v>
      </c>
      <c r="CI15" s="179">
        <f>IFERROR(__xludf.DUMMYFUNCTION("""COMPUTED_VALUE"""),34.0)</f>
        <v>34</v>
      </c>
      <c r="CJ15" s="16"/>
      <c r="CK15" s="16"/>
      <c r="CL15" s="16"/>
      <c r="CM15" s="16"/>
      <c r="CN15" s="16"/>
      <c r="CO15" s="16">
        <f>IFERROR(__xludf.DUMMYFUNCTION("""COMPUTED_VALUE"""),403.0)</f>
        <v>403</v>
      </c>
      <c r="CP15" s="16"/>
      <c r="CQ15" s="16">
        <f>IFERROR(__xludf.DUMMYFUNCTION("""COMPUTED_VALUE"""),403.0)</f>
        <v>403</v>
      </c>
      <c r="CR15" s="16" t="str">
        <f>IFERROR(__xludf.DUMMYFUNCTION("""COMPUTED_VALUE"""),"lf-4(-1)e3 rf-4e3")</f>
        <v>lf-4(-1)e3 rf-4e3</v>
      </c>
      <c r="CS15" s="16"/>
      <c r="CT15" s="16"/>
      <c r="CU15" s="16"/>
      <c r="CV15" s="16"/>
      <c r="CW15" s="16"/>
      <c r="CX15" s="16">
        <f>IFERROR(__xludf.DUMMYFUNCTION("""COMPUTED_VALUE"""),4.0)</f>
        <v>4</v>
      </c>
      <c r="CY15" s="16"/>
      <c r="CZ15" s="16">
        <f>IFERROR(__xludf.DUMMYFUNCTION("""COMPUTED_VALUE"""),4.0)</f>
        <v>4</v>
      </c>
      <c r="DA15" s="16"/>
      <c r="DB15" s="16"/>
      <c r="DC15" s="16"/>
      <c r="DD15" s="16"/>
      <c r="DE15" s="16"/>
      <c r="DF15" s="16">
        <f>IFERROR(__xludf.DUMMYFUNCTION("""COMPUTED_VALUE"""),3.0)</f>
        <v>3</v>
      </c>
      <c r="DG15" s="16"/>
      <c r="DH15" s="16">
        <f>IFERROR(__xludf.DUMMYFUNCTION("""COMPUTED_VALUE"""),3.0)</f>
        <v>3</v>
      </c>
      <c r="DI15" s="16"/>
      <c r="DJ15" s="16"/>
      <c r="DK15" s="16"/>
      <c r="DL15" s="16"/>
      <c r="DM15" s="16"/>
      <c r="DN15" s="16">
        <f>IFERROR(__xludf.DUMMYFUNCTION("""COMPUTED_VALUE"""),-1.0)</f>
        <v>-1</v>
      </c>
      <c r="DO15" s="16"/>
      <c r="DP15" s="16">
        <f>IFERROR(__xludf.DUMMYFUNCTION("""COMPUTED_VALUE"""),-1.0)</f>
        <v>-1</v>
      </c>
      <c r="DQ15" s="16"/>
      <c r="DR15" s="16"/>
      <c r="DS15" s="16"/>
      <c r="DT15" s="16"/>
      <c r="DU15" s="16"/>
      <c r="DV15" s="16">
        <f>IFERROR(__xludf.DUMMYFUNCTION("""COMPUTED_VALUE"""),4.0)</f>
        <v>4</v>
      </c>
      <c r="DW15" s="16"/>
      <c r="DX15" s="16">
        <f>IFERROR(__xludf.DUMMYFUNCTION("""COMPUTED_VALUE"""),4.0)</f>
        <v>4</v>
      </c>
      <c r="DY15" s="16"/>
      <c r="DZ15" s="16"/>
      <c r="EA15" s="16"/>
      <c r="EB15" s="16"/>
      <c r="EC15" s="16"/>
      <c r="ED15" s="16">
        <f>IFERROR(__xludf.DUMMYFUNCTION("""COMPUTED_VALUE"""),3.0)</f>
        <v>3</v>
      </c>
      <c r="EE15" s="16"/>
      <c r="EF15" s="16">
        <f>IFERROR(__xludf.DUMMYFUNCTION("""COMPUTED_VALUE"""),3.0)</f>
        <v>3</v>
      </c>
      <c r="EG15" s="179"/>
      <c r="EH15" s="179"/>
      <c r="EI15" s="179"/>
      <c r="EJ15" s="179"/>
      <c r="EK15" s="179"/>
      <c r="EL15" s="179">
        <f>IFERROR(__xludf.DUMMYFUNCTION("""COMPUTED_VALUE"""),37.0)</f>
        <v>37</v>
      </c>
      <c r="EM15" s="179"/>
      <c r="EN15" s="179">
        <f>IFERROR(__xludf.DUMMYFUNCTION("""COMPUTED_VALUE"""),37.0)</f>
        <v>37</v>
      </c>
      <c r="EO15" s="16"/>
      <c r="EP15" s="16">
        <f>IFERROR(__xludf.DUMMYFUNCTION("""COMPUTED_VALUE"""),-1.0)</f>
        <v>-1</v>
      </c>
      <c r="EQ15" s="16">
        <f>IFERROR(__xludf.DUMMYFUNCTION("""COMPUTED_VALUE"""),4.0)</f>
        <v>4</v>
      </c>
      <c r="ER15" s="16">
        <f>IFERROR(__xludf.DUMMYFUNCTION("""COMPUTED_VALUE"""),3.0)</f>
        <v>3</v>
      </c>
      <c r="ES15" s="16"/>
      <c r="ET15" s="16"/>
      <c r="EU15" s="16"/>
      <c r="EV15" s="16"/>
      <c r="EW15" s="16"/>
      <c r="EX15" s="180"/>
      <c r="EY15" s="180"/>
      <c r="EZ15" s="180"/>
      <c r="FA15" s="180"/>
      <c r="FB15" s="180"/>
      <c r="FC15" s="180">
        <f>IFERROR(__xludf.DUMMYFUNCTION("""COMPUTED_VALUE"""),0.55)</f>
        <v>0.55</v>
      </c>
      <c r="FD15" s="180"/>
      <c r="FE15" s="180">
        <f>IFERROR(__xludf.DUMMYFUNCTION("""COMPUTED_VALUE"""),0.55)</f>
        <v>0.55</v>
      </c>
      <c r="FF15" s="180"/>
      <c r="FG15" s="180"/>
      <c r="FH15" s="180"/>
      <c r="FI15" s="180"/>
      <c r="FJ15" s="180"/>
      <c r="FK15" s="180">
        <f>IFERROR(__xludf.DUMMYFUNCTION("""COMPUTED_VALUE"""),0.056)</f>
        <v>0.056</v>
      </c>
      <c r="FL15" s="180"/>
      <c r="FM15" s="180">
        <f>IFERROR(__xludf.DUMMYFUNCTION("""COMPUTED_VALUE"""),0.056)</f>
        <v>0.056</v>
      </c>
      <c r="FN15" s="16"/>
      <c r="FO15" s="16"/>
      <c r="FP15" s="16"/>
      <c r="FQ15" s="16"/>
      <c r="FR15" s="16"/>
      <c r="FS15" s="16">
        <f>IFERROR(__xludf.DUMMYFUNCTION("""COMPUTED_VALUE"""),0.42479999999999996)</f>
        <v>0.4248</v>
      </c>
      <c r="FT15" s="16"/>
      <c r="FU15" s="16">
        <f>IFERROR(__xludf.DUMMYFUNCTION("""COMPUTED_VALUE"""),0.42479999999999996)</f>
        <v>0.4248</v>
      </c>
      <c r="FV15" s="16"/>
      <c r="FW15" s="16"/>
      <c r="FX15" s="16"/>
      <c r="FY15" s="16"/>
      <c r="FZ15" s="16"/>
      <c r="GA15" s="16">
        <f>IFERROR(__xludf.DUMMYFUNCTION("""COMPUTED_VALUE"""),-7.0)</f>
        <v>-7</v>
      </c>
      <c r="GB15" s="16"/>
      <c r="GC15" s="16">
        <f>IFERROR(__xludf.DUMMYFUNCTION("""COMPUTED_VALUE"""),-7.0)</f>
        <v>-7</v>
      </c>
      <c r="GD15" s="16" t="s">
        <v>126</v>
      </c>
    </row>
    <row r="16">
      <c r="A16" s="16">
        <f>IFERROR(__xludf.DUMMYFUNCTION("""COMPUTED_VALUE"""),12963.0)</f>
        <v>12963</v>
      </c>
      <c r="B16" s="16" t="str">
        <f>IFERROR(__xludf.DUMMYFUNCTION("""COMPUTED_VALUE"""),"Joc Pederson")</f>
        <v>Joc Pederson</v>
      </c>
      <c r="C16" s="16">
        <f>IFERROR(__xludf.DUMMYFUNCTION("""COMPUTED_VALUE"""),1.87)</f>
        <v>1.87</v>
      </c>
      <c r="D16" s="16" t="str">
        <f>IFERROR(__xludf.DUMMYFUNCTION("""COMPUTED_VALUE"""),"L")</f>
        <v>L</v>
      </c>
      <c r="E16" s="16"/>
      <c r="F16" s="16"/>
      <c r="G16" s="16">
        <f>IFERROR(__xludf.DUMMYFUNCTION("""COMPUTED_VALUE"""),367.0)</f>
        <v>367</v>
      </c>
      <c r="H16" s="16">
        <f>IFERROR(__xludf.DUMMYFUNCTION("""COMPUTED_VALUE"""),55.0)</f>
        <v>55</v>
      </c>
      <c r="I16" s="16" t="str">
        <f>IFERROR(__xludf.DUMMYFUNCTION("""COMPUTED_VALUE"""),"1p60")</f>
        <v>1p60</v>
      </c>
      <c r="J16" s="16">
        <f>IFERROR(__xludf.DUMMYFUNCTION("""COMPUTED_VALUE"""),45.0)</f>
        <v>45</v>
      </c>
      <c r="K16" s="16">
        <f>IFERROR(__xludf.DUMMYFUNCTION("""COMPUTED_VALUE"""),25.0)</f>
        <v>25</v>
      </c>
      <c r="L16" s="16">
        <f>IFERROR(__xludf.DUMMYFUNCTION("""COMPUTED_VALUE"""),-2.0)</f>
        <v>-2</v>
      </c>
      <c r="M16" s="16">
        <f>IFERROR(__xludf.DUMMYFUNCTION("""COMPUTED_VALUE"""),0.0)</f>
        <v>0</v>
      </c>
      <c r="N16" s="16">
        <f>IFERROR(__xludf.DUMMYFUNCTION("""COMPUTED_VALUE"""),-2.0)</f>
        <v>-2</v>
      </c>
      <c r="O16" s="16">
        <f>IFERROR(__xludf.DUMMYFUNCTION("""COMPUTED_VALUE"""),0.0)</f>
        <v>0</v>
      </c>
      <c r="P16" s="16">
        <f>IFERROR(__xludf.DUMMYFUNCTION("""COMPUTED_VALUE"""),15.0)</f>
        <v>15</v>
      </c>
      <c r="Q16" s="16">
        <f>IFERROR(__xludf.DUMMYFUNCTION("""COMPUTED_VALUE"""),16.0)</f>
        <v>16</v>
      </c>
      <c r="R16" s="16">
        <f>IFERROR(__xludf.DUMMYFUNCTION("""COMPUTED_VALUE"""),2.0)</f>
        <v>2</v>
      </c>
      <c r="S16" s="16">
        <f>IFERROR(__xludf.DUMMYFUNCTION("""COMPUTED_VALUE"""),2.0)</f>
        <v>2</v>
      </c>
      <c r="T16" s="16">
        <f>IFERROR(__xludf.DUMMYFUNCTION("""COMPUTED_VALUE"""),2.0)</f>
        <v>2</v>
      </c>
      <c r="U16" s="16">
        <f>IFERROR(__xludf.DUMMYFUNCTION("""COMPUTED_VALUE"""),2.0)</f>
        <v>2</v>
      </c>
      <c r="V16" s="16">
        <f>IFERROR(__xludf.DUMMYFUNCTION("""COMPUTED_VALUE"""),12.5)</f>
        <v>12.5</v>
      </c>
      <c r="W16" s="16">
        <f>IFERROR(__xludf.DUMMYFUNCTION("""COMPUTED_VALUE"""),20.6)</f>
        <v>20.6</v>
      </c>
      <c r="X16" s="16">
        <f>IFERROR(__xludf.DUMMYFUNCTION("""COMPUTED_VALUE"""),-1.0)</f>
        <v>-1</v>
      </c>
      <c r="Y16" s="16">
        <f>IFERROR(__xludf.DUMMYFUNCTION("""COMPUTED_VALUE"""),0.0)</f>
        <v>0</v>
      </c>
      <c r="Z16" s="16">
        <f>IFERROR(__xludf.DUMMYFUNCTION("""COMPUTED_VALUE"""),-2.0)</f>
        <v>-2</v>
      </c>
      <c r="AA16" s="16">
        <f>IFERROR(__xludf.DUMMYFUNCTION("""COMPUTED_VALUE"""),0.0)</f>
        <v>0</v>
      </c>
      <c r="AB16" s="16">
        <f>IFERROR(__xludf.DUMMYFUNCTION("""COMPUTED_VALUE"""),37.6)</f>
        <v>37.6</v>
      </c>
      <c r="AC16" s="16">
        <f>IFERROR(__xludf.DUMMYFUNCTION("""COMPUTED_VALUE"""),46.7)</f>
        <v>46.7</v>
      </c>
      <c r="AD16" s="16">
        <f>IFERROR(__xludf.DUMMYFUNCTION("""COMPUTED_VALUE"""),1.0)</f>
        <v>1</v>
      </c>
      <c r="AE16" s="16">
        <f>IFERROR(__xludf.DUMMYFUNCTION("""COMPUTED_VALUE"""),2.0)</f>
        <v>2</v>
      </c>
      <c r="AF16" s="16">
        <f>IFERROR(__xludf.DUMMYFUNCTION("""COMPUTED_VALUE"""),5.0)</f>
        <v>5</v>
      </c>
      <c r="AG16" s="16">
        <f>IFERROR(__xludf.DUMMYFUNCTION("""COMPUTED_VALUE"""),10.0)</f>
        <v>10</v>
      </c>
      <c r="AH16" s="16">
        <f>IFERROR(__xludf.DUMMYFUNCTION("""COMPUTED_VALUE"""),19.2)</f>
        <v>19.2</v>
      </c>
      <c r="AI16" s="16">
        <f>IFERROR(__xludf.DUMMYFUNCTION("""COMPUTED_VALUE"""),41.5)</f>
        <v>41.5</v>
      </c>
      <c r="AJ16" s="16">
        <f>IFERROR(__xludf.DUMMYFUNCTION("""COMPUTED_VALUE"""),-1.0)</f>
        <v>-1</v>
      </c>
      <c r="AK16" s="16">
        <f>IFERROR(__xludf.DUMMYFUNCTION("""COMPUTED_VALUE"""),1.0)</f>
        <v>1</v>
      </c>
      <c r="AL16" s="16">
        <f>IFERROR(__xludf.DUMMYFUNCTION("""COMPUTED_VALUE"""),-5.0)</f>
        <v>-5</v>
      </c>
      <c r="AM16" s="16">
        <f>IFERROR(__xludf.DUMMYFUNCTION("""COMPUTED_VALUE"""),5.0)</f>
        <v>5</v>
      </c>
      <c r="AN16" s="16">
        <f>IFERROR(__xludf.DUMMYFUNCTION("""COMPUTED_VALUE"""),1.8)</f>
        <v>1.8</v>
      </c>
      <c r="AO16" s="16">
        <f>IFERROR(__xludf.DUMMYFUNCTION("""COMPUTED_VALUE"""),5.8)</f>
        <v>5.8</v>
      </c>
      <c r="AP16" s="16">
        <f>IFERROR(__xludf.DUMMYFUNCTION("""COMPUTED_VALUE"""),-1.0)</f>
        <v>-1</v>
      </c>
      <c r="AQ16" s="16">
        <f>IFERROR(__xludf.DUMMYFUNCTION("""COMPUTED_VALUE"""),3.0)</f>
        <v>3</v>
      </c>
      <c r="AR16" s="16">
        <f>IFERROR(__xludf.DUMMYFUNCTION("""COMPUTED_VALUE"""),-2.0)</f>
        <v>-2</v>
      </c>
      <c r="AS16" s="16">
        <f>IFERROR(__xludf.DUMMYFUNCTION("""COMPUTED_VALUE"""),6.0)</f>
        <v>6</v>
      </c>
      <c r="AT16" s="16">
        <f>IFERROR(__xludf.DUMMYFUNCTION("""COMPUTED_VALUE"""),4.0)</f>
        <v>4</v>
      </c>
      <c r="AU16" s="16">
        <f>IFERROR(__xludf.DUMMYFUNCTION("""COMPUTED_VALUE"""),8.0)</f>
        <v>8</v>
      </c>
      <c r="AV16" s="16">
        <f>IFERROR(__xludf.DUMMYFUNCTION("""COMPUTED_VALUE"""),4.0)</f>
        <v>4</v>
      </c>
      <c r="AW16" s="16">
        <f>IFERROR(__xludf.DUMMYFUNCTION("""COMPUTED_VALUE"""),8.0)</f>
        <v>8</v>
      </c>
      <c r="AX16" s="16">
        <f>IFERROR(__xludf.DUMMYFUNCTION("""COMPUTED_VALUE"""),2.0)</f>
        <v>2</v>
      </c>
      <c r="AY16" s="16">
        <f>IFERROR(__xludf.DUMMYFUNCTION("""COMPUTED_VALUE"""),3.0)</f>
        <v>3</v>
      </c>
      <c r="AZ16" s="16">
        <f>IFERROR(__xludf.DUMMYFUNCTION("""COMPUTED_VALUE"""),6.0)</f>
        <v>6</v>
      </c>
      <c r="BA16" s="16">
        <f>IFERROR(__xludf.DUMMYFUNCTION("""COMPUTED_VALUE"""),9.0)</f>
        <v>9</v>
      </c>
      <c r="BB16" s="16">
        <f>IFERROR(__xludf.DUMMYFUNCTION("""COMPUTED_VALUE"""),5.0)</f>
        <v>5</v>
      </c>
      <c r="BC16" s="16">
        <f>IFERROR(__xludf.DUMMYFUNCTION("""COMPUTED_VALUE"""),5.0)</f>
        <v>5</v>
      </c>
      <c r="BD16" s="16">
        <f>IFERROR(__xludf.DUMMYFUNCTION("""COMPUTED_VALUE"""),1.0)</f>
        <v>1</v>
      </c>
      <c r="BE16" s="16">
        <f>IFERROR(__xludf.DUMMYFUNCTION("""COMPUTED_VALUE"""),1.0)</f>
        <v>1</v>
      </c>
      <c r="BF16" s="16">
        <f>IFERROR(__xludf.DUMMYFUNCTION("""COMPUTED_VALUE"""),1.0)</f>
        <v>1</v>
      </c>
      <c r="BG16" s="16">
        <f>IFERROR(__xludf.DUMMYFUNCTION("""COMPUTED_VALUE"""),1.0)</f>
        <v>1</v>
      </c>
      <c r="BH16" s="16">
        <f>IFERROR(__xludf.DUMMYFUNCTION("""COMPUTED_VALUE"""),-6.0)</f>
        <v>-6</v>
      </c>
      <c r="BI16" s="16">
        <f>IFERROR(__xludf.DUMMYFUNCTION("""COMPUTED_VALUE"""),-6.0)</f>
        <v>-6</v>
      </c>
      <c r="BJ16" s="16">
        <f>IFERROR(__xludf.DUMMYFUNCTION("""COMPUTED_VALUE"""),4.0)</f>
        <v>4</v>
      </c>
      <c r="BK16" s="16">
        <f>IFERROR(__xludf.DUMMYFUNCTION("""COMPUTED_VALUE"""),6.0)</f>
        <v>6</v>
      </c>
      <c r="BL16" s="16">
        <f>IFERROR(__xludf.DUMMYFUNCTION("""COMPUTED_VALUE"""),1.0)</f>
        <v>1</v>
      </c>
      <c r="BM16" s="16">
        <f>IFERROR(__xludf.DUMMYFUNCTION("""COMPUTED_VALUE"""),1.0)</f>
        <v>1</v>
      </c>
      <c r="BN16" s="16">
        <f>IFERROR(__xludf.DUMMYFUNCTION("""COMPUTED_VALUE"""),1.0)</f>
        <v>1</v>
      </c>
      <c r="BO16" s="16">
        <f>IFERROR(__xludf.DUMMYFUNCTION("""COMPUTED_VALUE"""),1.0)</f>
        <v>1</v>
      </c>
      <c r="BP16" s="16">
        <f>IFERROR(__xludf.DUMMYFUNCTION("""COMPUTED_VALUE"""),2.0)</f>
        <v>2</v>
      </c>
      <c r="BQ16" s="16">
        <f>IFERROR(__xludf.DUMMYFUNCTION("""COMPUTED_VALUE"""),13.0)</f>
        <v>13</v>
      </c>
      <c r="BR16" s="16">
        <f>IFERROR(__xludf.DUMMYFUNCTION("""COMPUTED_VALUE"""),15.0)</f>
        <v>15</v>
      </c>
      <c r="BS16" s="16" t="str">
        <f>IFERROR(__xludf.DUMMYFUNCTION("""COMPUTED_VALUE"""),"*4-6/- (15-11)")</f>
        <v>*4-6/- (15-11)</v>
      </c>
      <c r="BT16" s="16" t="str">
        <f>IFERROR(__xludf.DUMMYFUNCTION("""COMPUTED_VALUE"""),"C")</f>
        <v>C</v>
      </c>
      <c r="BU16" s="16">
        <f>IFERROR(__xludf.DUMMYFUNCTION("""COMPUTED_VALUE"""),11.0)</f>
        <v>11</v>
      </c>
      <c r="BV16" s="16">
        <f>IFERROR(__xludf.DUMMYFUNCTION("""COMPUTED_VALUE"""),0.0)</f>
        <v>0</v>
      </c>
      <c r="BW16" s="16">
        <f>IFERROR(__xludf.DUMMYFUNCTION("""COMPUTED_VALUE"""),0.0)</f>
        <v>0</v>
      </c>
      <c r="BX16" s="16">
        <f>IFERROR(__xludf.DUMMYFUNCTION("""COMPUTED_VALUE"""),0.0)</f>
        <v>0</v>
      </c>
      <c r="BY16" s="16">
        <f>IFERROR(__xludf.DUMMYFUNCTION("""COMPUTED_VALUE"""),0.0)</f>
        <v>0</v>
      </c>
      <c r="BZ16" s="16" t="str">
        <f>IFERROR(__xludf.DUMMYFUNCTION("""COMPUTED_VALUE"""),"C")</f>
        <v>C</v>
      </c>
      <c r="CA16" s="16" t="str">
        <f>IFERROR(__xludf.DUMMYFUNCTION("""COMPUTED_VALUE"""),"D")</f>
        <v>D</v>
      </c>
      <c r="CB16" s="16">
        <f>IFERROR(__xludf.DUMMYFUNCTION("""COMPUTED_VALUE"""),0.0)</f>
        <v>0</v>
      </c>
      <c r="CC16" s="16">
        <f>IFERROR(__xludf.DUMMYFUNCTION("""COMPUTED_VALUE"""),0.0)</f>
        <v>0</v>
      </c>
      <c r="CD16" s="16">
        <f>IFERROR(__xludf.DUMMYFUNCTION("""COMPUTED_VALUE"""),0.0)</f>
        <v>0</v>
      </c>
      <c r="CE16" s="16">
        <f>IFERROR(__xludf.DUMMYFUNCTION("""COMPUTED_VALUE"""),0.0)</f>
        <v>0</v>
      </c>
      <c r="CF16" s="16">
        <f>IFERROR(__xludf.DUMMYFUNCTION("""COMPUTED_VALUE"""),1.0)</f>
        <v>1</v>
      </c>
      <c r="CG16" s="16">
        <f>IFERROR(__xludf.DUMMYFUNCTION("""COMPUTED_VALUE"""),4.0)</f>
        <v>4</v>
      </c>
      <c r="CH16" s="16">
        <f>IFERROR(__xludf.DUMMYFUNCTION("""COMPUTED_VALUE"""),34.0)</f>
        <v>34</v>
      </c>
      <c r="CI16" s="179">
        <f>IFERROR(__xludf.DUMMYFUNCTION("""COMPUTED_VALUE"""),32.0)</f>
        <v>32</v>
      </c>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79"/>
      <c r="EH16" s="179"/>
      <c r="EI16" s="179"/>
      <c r="EJ16" s="179"/>
      <c r="EK16" s="179"/>
      <c r="EL16" s="179"/>
      <c r="EM16" s="179"/>
      <c r="EN16" s="179"/>
      <c r="EO16" s="16"/>
      <c r="EP16" s="16"/>
      <c r="EQ16" s="16">
        <f>IFERROR(__xludf.DUMMYFUNCTION("""COMPUTED_VALUE"""),4.0)</f>
        <v>4</v>
      </c>
      <c r="ER16" s="16">
        <f>IFERROR(__xludf.DUMMYFUNCTION("""COMPUTED_VALUE"""),1.0)</f>
        <v>1</v>
      </c>
      <c r="ES16" s="16"/>
      <c r="ET16" s="16"/>
      <c r="EU16" s="16"/>
      <c r="EV16" s="16"/>
      <c r="EW16" s="16"/>
      <c r="EX16" s="180"/>
      <c r="EY16" s="180"/>
      <c r="EZ16" s="180"/>
      <c r="FA16" s="180"/>
      <c r="FB16" s="180"/>
      <c r="FC16" s="180"/>
      <c r="FD16" s="180"/>
      <c r="FE16" s="180"/>
      <c r="FF16" s="180"/>
      <c r="FG16" s="180"/>
      <c r="FH16" s="180"/>
      <c r="FI16" s="180"/>
      <c r="FJ16" s="180"/>
      <c r="FK16" s="180"/>
      <c r="FL16" s="180"/>
      <c r="FM16" s="180"/>
      <c r="FN16" s="16"/>
      <c r="FO16" s="16"/>
      <c r="FP16" s="16"/>
      <c r="FQ16" s="16"/>
      <c r="FR16" s="16"/>
      <c r="FS16" s="16"/>
      <c r="FT16" s="16"/>
      <c r="FU16" s="16"/>
      <c r="FV16" s="16"/>
      <c r="FW16" s="16"/>
      <c r="FX16" s="16"/>
      <c r="FY16" s="16"/>
      <c r="FZ16" s="16"/>
      <c r="GA16" s="16"/>
      <c r="GB16" s="16"/>
      <c r="GC16" s="16"/>
      <c r="GD16" s="16" t="s">
        <v>346</v>
      </c>
    </row>
    <row r="17">
      <c r="A17" s="16">
        <f>IFERROR(__xludf.DUMMYFUNCTION("""COMPUTED_VALUE"""),13292.0)</f>
        <v>13292</v>
      </c>
      <c r="B17" s="16" t="str">
        <f>IFERROR(__xludf.DUMMYFUNCTION("""COMPUTED_VALUE"""),"Rafael Devers")</f>
        <v>Rafael Devers</v>
      </c>
      <c r="C17" s="16">
        <f>IFERROR(__xludf.DUMMYFUNCTION("""COMPUTED_VALUE"""),1.79)</f>
        <v>1.79</v>
      </c>
      <c r="D17" s="16" t="str">
        <f>IFERROR(__xludf.DUMMYFUNCTION("""COMPUTED_VALUE"""),"L")</f>
        <v>L</v>
      </c>
      <c r="E17" s="16"/>
      <c r="F17" s="16"/>
      <c r="G17" s="16">
        <f>IFERROR(__xludf.DUMMYFUNCTION("""COMPUTED_VALUE"""),525.0)</f>
        <v>525</v>
      </c>
      <c r="H17" s="16">
        <f>IFERROR(__xludf.DUMMYFUNCTION("""COMPUTED_VALUE"""),67.0)</f>
        <v>67</v>
      </c>
      <c r="I17" s="16" t="str">
        <f>IFERROR(__xludf.DUMMYFUNCTION("""COMPUTED_VALUE"""),"1p65")</f>
        <v>1p65</v>
      </c>
      <c r="J17" s="16">
        <f>IFERROR(__xludf.DUMMYFUNCTION("""COMPUTED_VALUE"""),42.0)</f>
        <v>42</v>
      </c>
      <c r="K17" s="16">
        <f>IFERROR(__xludf.DUMMYFUNCTION("""COMPUTED_VALUE"""),21.0)</f>
        <v>21</v>
      </c>
      <c r="L17" s="16">
        <f>IFERROR(__xludf.DUMMYFUNCTION("""COMPUTED_VALUE"""),-1.0)</f>
        <v>-1</v>
      </c>
      <c r="M17" s="16">
        <f>IFERROR(__xludf.DUMMYFUNCTION("""COMPUTED_VALUE"""),0.0)</f>
        <v>0</v>
      </c>
      <c r="N17" s="16">
        <f>IFERROR(__xludf.DUMMYFUNCTION("""COMPUTED_VALUE"""),-1.0)</f>
        <v>-1</v>
      </c>
      <c r="O17" s="16">
        <f>IFERROR(__xludf.DUMMYFUNCTION("""COMPUTED_VALUE"""),0.0)</f>
        <v>0</v>
      </c>
      <c r="P17" s="16">
        <f>IFERROR(__xludf.DUMMYFUNCTION("""COMPUTED_VALUE"""),7.0)</f>
        <v>7</v>
      </c>
      <c r="Q17" s="16">
        <f>IFERROR(__xludf.DUMMYFUNCTION("""COMPUTED_VALUE"""),12.0)</f>
        <v>12</v>
      </c>
      <c r="R17" s="16">
        <f>IFERROR(__xludf.DUMMYFUNCTION("""COMPUTED_VALUE"""),-1.0)</f>
        <v>-1</v>
      </c>
      <c r="S17" s="16">
        <f>IFERROR(__xludf.DUMMYFUNCTION("""COMPUTED_VALUE"""),1.0)</f>
        <v>1</v>
      </c>
      <c r="T17" s="16">
        <f>IFERROR(__xludf.DUMMYFUNCTION("""COMPUTED_VALUE"""),-1.0)</f>
        <v>-1</v>
      </c>
      <c r="U17" s="16">
        <f>IFERROR(__xludf.DUMMYFUNCTION("""COMPUTED_VALUE"""),1.0)</f>
        <v>1</v>
      </c>
      <c r="V17" s="16">
        <f>IFERROR(__xludf.DUMMYFUNCTION("""COMPUTED_VALUE"""),20.9)</f>
        <v>20.9</v>
      </c>
      <c r="W17" s="16">
        <f>IFERROR(__xludf.DUMMYFUNCTION("""COMPUTED_VALUE"""),26.6)</f>
        <v>26.6</v>
      </c>
      <c r="X17" s="16">
        <f>IFERROR(__xludf.DUMMYFUNCTION("""COMPUTED_VALUE"""),0.0)</f>
        <v>0</v>
      </c>
      <c r="Y17" s="16">
        <f>IFERROR(__xludf.DUMMYFUNCTION("""COMPUTED_VALUE"""),1.0)</f>
        <v>1</v>
      </c>
      <c r="Z17" s="16">
        <f>IFERROR(__xludf.DUMMYFUNCTION("""COMPUTED_VALUE"""),0.0)</f>
        <v>0</v>
      </c>
      <c r="AA17" s="16">
        <f>IFERROR(__xludf.DUMMYFUNCTION("""COMPUTED_VALUE"""),2.0)</f>
        <v>2</v>
      </c>
      <c r="AB17" s="16">
        <f>IFERROR(__xludf.DUMMYFUNCTION("""COMPUTED_VALUE"""),28.9)</f>
        <v>28.9</v>
      </c>
      <c r="AC17" s="16">
        <f>IFERROR(__xludf.DUMMYFUNCTION("""COMPUTED_VALUE"""),39.6)</f>
        <v>39.6</v>
      </c>
      <c r="AD17" s="16">
        <f>IFERROR(__xludf.DUMMYFUNCTION("""COMPUTED_VALUE"""),0.0)</f>
        <v>0</v>
      </c>
      <c r="AE17" s="16">
        <f>IFERROR(__xludf.DUMMYFUNCTION("""COMPUTED_VALUE"""),1.0)</f>
        <v>1</v>
      </c>
      <c r="AF17" s="16">
        <f>IFERROR(__xludf.DUMMYFUNCTION("""COMPUTED_VALUE"""),0.0)</f>
        <v>0</v>
      </c>
      <c r="AG17" s="16">
        <f>IFERROR(__xludf.DUMMYFUNCTION("""COMPUTED_VALUE"""),5.0)</f>
        <v>5</v>
      </c>
      <c r="AH17" s="16">
        <f>IFERROR(__xludf.DUMMYFUNCTION("""COMPUTED_VALUE"""),35.8)</f>
        <v>35.8</v>
      </c>
      <c r="AI17" s="16">
        <f>IFERROR(__xludf.DUMMYFUNCTION("""COMPUTED_VALUE"""),60.4)</f>
        <v>60.4</v>
      </c>
      <c r="AJ17" s="16">
        <f>IFERROR(__xludf.DUMMYFUNCTION("""COMPUTED_VALUE"""),0.0)</f>
        <v>0</v>
      </c>
      <c r="AK17" s="16">
        <f>IFERROR(__xludf.DUMMYFUNCTION("""COMPUTED_VALUE"""),3.0)</f>
        <v>3</v>
      </c>
      <c r="AL17" s="16">
        <f>IFERROR(__xludf.DUMMYFUNCTION("""COMPUTED_VALUE"""),0.0)</f>
        <v>0</v>
      </c>
      <c r="AM17" s="16">
        <f>IFERROR(__xludf.DUMMYFUNCTION("""COMPUTED_VALUE"""),15.0)</f>
        <v>15</v>
      </c>
      <c r="AN17" s="16">
        <f>IFERROR(__xludf.DUMMYFUNCTION("""COMPUTED_VALUE"""),1.3)</f>
        <v>1.3</v>
      </c>
      <c r="AO17" s="16">
        <f>IFERROR(__xludf.DUMMYFUNCTION("""COMPUTED_VALUE"""),8.0)</f>
        <v>8</v>
      </c>
      <c r="AP17" s="16">
        <f>IFERROR(__xludf.DUMMYFUNCTION("""COMPUTED_VALUE"""),-1.0)</f>
        <v>-1</v>
      </c>
      <c r="AQ17" s="16">
        <f>IFERROR(__xludf.DUMMYFUNCTION("""COMPUTED_VALUE"""),3.0)</f>
        <v>3</v>
      </c>
      <c r="AR17" s="16">
        <f>IFERROR(__xludf.DUMMYFUNCTION("""COMPUTED_VALUE"""),-2.0)</f>
        <v>-2</v>
      </c>
      <c r="AS17" s="16">
        <f>IFERROR(__xludf.DUMMYFUNCTION("""COMPUTED_VALUE"""),6.0)</f>
        <v>6</v>
      </c>
      <c r="AT17" s="16">
        <f>IFERROR(__xludf.DUMMYFUNCTION("""COMPUTED_VALUE"""),1.0)</f>
        <v>1</v>
      </c>
      <c r="AU17" s="16">
        <f>IFERROR(__xludf.DUMMYFUNCTION("""COMPUTED_VALUE"""),8.0)</f>
        <v>8</v>
      </c>
      <c r="AV17" s="16">
        <f>IFERROR(__xludf.DUMMYFUNCTION("""COMPUTED_VALUE"""),1.0)</f>
        <v>1</v>
      </c>
      <c r="AW17" s="16">
        <f>IFERROR(__xludf.DUMMYFUNCTION("""COMPUTED_VALUE"""),8.0)</f>
        <v>8</v>
      </c>
      <c r="AX17" s="16">
        <f>IFERROR(__xludf.DUMMYFUNCTION("""COMPUTED_VALUE"""),-1.0)</f>
        <v>-1</v>
      </c>
      <c r="AY17" s="16">
        <f>IFERROR(__xludf.DUMMYFUNCTION("""COMPUTED_VALUE"""),3.0)</f>
        <v>3</v>
      </c>
      <c r="AZ17" s="16">
        <f>IFERROR(__xludf.DUMMYFUNCTION("""COMPUTED_VALUE"""),-3.0)</f>
        <v>-3</v>
      </c>
      <c r="BA17" s="16">
        <f>IFERROR(__xludf.DUMMYFUNCTION("""COMPUTED_VALUE"""),9.0)</f>
        <v>9</v>
      </c>
      <c r="BB17" s="16">
        <f>IFERROR(__xludf.DUMMYFUNCTION("""COMPUTED_VALUE"""),5.0)</f>
        <v>5</v>
      </c>
      <c r="BC17" s="16">
        <f>IFERROR(__xludf.DUMMYFUNCTION("""COMPUTED_VALUE"""),5.0)</f>
        <v>5</v>
      </c>
      <c r="BD17" s="16">
        <f>IFERROR(__xludf.DUMMYFUNCTION("""COMPUTED_VALUE"""),1.0)</f>
        <v>1</v>
      </c>
      <c r="BE17" s="16">
        <f>IFERROR(__xludf.DUMMYFUNCTION("""COMPUTED_VALUE"""),1.0)</f>
        <v>1</v>
      </c>
      <c r="BF17" s="16">
        <f>IFERROR(__xludf.DUMMYFUNCTION("""COMPUTED_VALUE"""),1.0)</f>
        <v>1</v>
      </c>
      <c r="BG17" s="16">
        <f>IFERROR(__xludf.DUMMYFUNCTION("""COMPUTED_VALUE"""),1.0)</f>
        <v>1</v>
      </c>
      <c r="BH17" s="16">
        <f>IFERROR(__xludf.DUMMYFUNCTION("""COMPUTED_VALUE"""),-9.0)</f>
        <v>-9</v>
      </c>
      <c r="BI17" s="16">
        <f>IFERROR(__xludf.DUMMYFUNCTION("""COMPUTED_VALUE"""),-7.0)</f>
        <v>-7</v>
      </c>
      <c r="BJ17" s="16">
        <f>IFERROR(__xludf.DUMMYFUNCTION("""COMPUTED_VALUE"""),19.0)</f>
        <v>19</v>
      </c>
      <c r="BK17" s="16">
        <f>IFERROR(__xludf.DUMMYFUNCTION("""COMPUTED_VALUE"""),17.0)</f>
        <v>17</v>
      </c>
      <c r="BL17" s="16">
        <f>IFERROR(__xludf.DUMMYFUNCTION("""COMPUTED_VALUE"""),-1.0)</f>
        <v>-1</v>
      </c>
      <c r="BM17" s="16">
        <f>IFERROR(__xludf.DUMMYFUNCTION("""COMPUTED_VALUE"""),-1.0)</f>
        <v>-1</v>
      </c>
      <c r="BN17" s="16">
        <f>IFERROR(__xludf.DUMMYFUNCTION("""COMPUTED_VALUE"""),-2.0)</f>
        <v>-2</v>
      </c>
      <c r="BO17" s="16">
        <f>IFERROR(__xludf.DUMMYFUNCTION("""COMPUTED_VALUE"""),-2.0)</f>
        <v>-2</v>
      </c>
      <c r="BP17" s="16">
        <f>IFERROR(__xludf.DUMMYFUNCTION("""COMPUTED_VALUE"""),-4.0)</f>
        <v>-4</v>
      </c>
      <c r="BQ17" s="16">
        <f>IFERROR(__xludf.DUMMYFUNCTION("""COMPUTED_VALUE"""),12.0)</f>
        <v>12</v>
      </c>
      <c r="BR17" s="16">
        <f>IFERROR(__xludf.DUMMYFUNCTION("""COMPUTED_VALUE"""),8.0)</f>
        <v>8</v>
      </c>
      <c r="BS17" s="16" t="str">
        <f>IFERROR(__xludf.DUMMYFUNCTION("""COMPUTED_VALUE"""),"2/- (20-6)")</f>
        <v>2/- (20-6)</v>
      </c>
      <c r="BT17" s="16" t="str">
        <f>IFERROR(__xludf.DUMMYFUNCTION("""COMPUTED_VALUE"""),"D")</f>
        <v>D</v>
      </c>
      <c r="BU17" s="16">
        <f>IFERROR(__xludf.DUMMYFUNCTION("""COMPUTED_VALUE"""),12.0)</f>
        <v>12</v>
      </c>
      <c r="BV17" s="16">
        <f>IFERROR(__xludf.DUMMYFUNCTION("""COMPUTED_VALUE"""),0.0)</f>
        <v>0</v>
      </c>
      <c r="BW17" s="16">
        <f>IFERROR(__xludf.DUMMYFUNCTION("""COMPUTED_VALUE"""),0.0)</f>
        <v>0</v>
      </c>
      <c r="BX17" s="16">
        <f>IFERROR(__xludf.DUMMYFUNCTION("""COMPUTED_VALUE"""),0.0)</f>
        <v>0</v>
      </c>
      <c r="BY17" s="16">
        <f>IFERROR(__xludf.DUMMYFUNCTION("""COMPUTED_VALUE"""),0.0)</f>
        <v>0</v>
      </c>
      <c r="BZ17" s="16" t="str">
        <f>IFERROR(__xludf.DUMMYFUNCTION("""COMPUTED_VALUE"""),"D")</f>
        <v>D</v>
      </c>
      <c r="CA17" s="16" t="str">
        <f>IFERROR(__xludf.DUMMYFUNCTION("""COMPUTED_VALUE"""),"C")</f>
        <v>C</v>
      </c>
      <c r="CB17" s="16">
        <f>IFERROR(__xludf.DUMMYFUNCTION("""COMPUTED_VALUE"""),0.0)</f>
        <v>0</v>
      </c>
      <c r="CC17" s="16">
        <f>IFERROR(__xludf.DUMMYFUNCTION("""COMPUTED_VALUE"""),0.0)</f>
        <v>0</v>
      </c>
      <c r="CD17" s="16">
        <f>IFERROR(__xludf.DUMMYFUNCTION("""COMPUTED_VALUE"""),0.0)</f>
        <v>0</v>
      </c>
      <c r="CE17" s="16">
        <f>IFERROR(__xludf.DUMMYFUNCTION("""COMPUTED_VALUE"""),0.0)</f>
        <v>0</v>
      </c>
      <c r="CF17" s="16">
        <f>IFERROR(__xludf.DUMMYFUNCTION("""COMPUTED_VALUE"""),1.0)</f>
        <v>1</v>
      </c>
      <c r="CG17" s="16">
        <f>IFERROR(__xludf.DUMMYFUNCTION("""COMPUTED_VALUE"""),-8.0)</f>
        <v>-8</v>
      </c>
      <c r="CH17" s="16">
        <f>IFERROR(__xludf.DUMMYFUNCTION("""COMPUTED_VALUE"""),37.0)</f>
        <v>37</v>
      </c>
      <c r="CI17" s="179">
        <f>IFERROR(__xludf.DUMMYFUNCTION("""COMPUTED_VALUE"""),32.0)</f>
        <v>32</v>
      </c>
      <c r="CJ17" s="16"/>
      <c r="CK17" s="16"/>
      <c r="CL17" s="16"/>
      <c r="CM17" s="16">
        <f>IFERROR(__xludf.DUMMYFUNCTION("""COMPUTED_VALUE"""),415.0)</f>
        <v>415</v>
      </c>
      <c r="CN17" s="16"/>
      <c r="CO17" s="16"/>
      <c r="CP17" s="16"/>
      <c r="CQ17" s="16"/>
      <c r="CR17" s="16" t="str">
        <f>IFERROR(__xludf.DUMMYFUNCTION("""COMPUTED_VALUE"""),"3b-4e15")</f>
        <v>3b-4e15</v>
      </c>
      <c r="CS17" s="16"/>
      <c r="CT17" s="16"/>
      <c r="CU17" s="16"/>
      <c r="CV17" s="16">
        <f>IFERROR(__xludf.DUMMYFUNCTION("""COMPUTED_VALUE"""),4.0)</f>
        <v>4</v>
      </c>
      <c r="CW17" s="16"/>
      <c r="CX17" s="16"/>
      <c r="CY17" s="16"/>
      <c r="CZ17" s="16"/>
      <c r="DA17" s="16"/>
      <c r="DB17" s="16"/>
      <c r="DC17" s="16"/>
      <c r="DD17" s="16">
        <f>IFERROR(__xludf.DUMMYFUNCTION("""COMPUTED_VALUE"""),15.0)</f>
        <v>15</v>
      </c>
      <c r="DE17" s="16"/>
      <c r="DF17" s="16"/>
      <c r="DG17" s="16"/>
      <c r="DH17" s="16"/>
      <c r="DI17" s="16"/>
      <c r="DJ17" s="16"/>
      <c r="DK17" s="16"/>
      <c r="DL17" s="16">
        <f>IFERROR(__xludf.DUMMYFUNCTION("""COMPUTED_VALUE"""),0.0)</f>
        <v>0</v>
      </c>
      <c r="DM17" s="16"/>
      <c r="DN17" s="16"/>
      <c r="DO17" s="16"/>
      <c r="DP17" s="16"/>
      <c r="DQ17" s="16"/>
      <c r="DR17" s="16"/>
      <c r="DS17" s="16"/>
      <c r="DT17" s="16">
        <f>IFERROR(__xludf.DUMMYFUNCTION("""COMPUTED_VALUE"""),1.0)</f>
        <v>1</v>
      </c>
      <c r="DU17" s="16"/>
      <c r="DV17" s="16"/>
      <c r="DW17" s="16"/>
      <c r="DX17" s="16"/>
      <c r="DY17" s="16"/>
      <c r="DZ17" s="16"/>
      <c r="EA17" s="16"/>
      <c r="EB17" s="16">
        <f>IFERROR(__xludf.DUMMYFUNCTION("""COMPUTED_VALUE"""),1.0)</f>
        <v>1</v>
      </c>
      <c r="EC17" s="16"/>
      <c r="ED17" s="16"/>
      <c r="EE17" s="16"/>
      <c r="EF17" s="16"/>
      <c r="EG17" s="179"/>
      <c r="EH17" s="179"/>
      <c r="EI17" s="179"/>
      <c r="EJ17" s="179">
        <f>IFERROR(__xludf.DUMMYFUNCTION("""COMPUTED_VALUE"""),33.0)</f>
        <v>33</v>
      </c>
      <c r="EK17" s="179"/>
      <c r="EL17" s="179"/>
      <c r="EM17" s="179"/>
      <c r="EN17" s="179"/>
      <c r="EO17" s="16"/>
      <c r="EP17" s="16"/>
      <c r="EQ17" s="16">
        <f>IFERROR(__xludf.DUMMYFUNCTION("""COMPUTED_VALUE"""),4.0)</f>
        <v>4</v>
      </c>
      <c r="ER17" s="16">
        <f>IFERROR(__xludf.DUMMYFUNCTION("""COMPUTED_VALUE"""),2.0)</f>
        <v>2</v>
      </c>
      <c r="ES17" s="16"/>
      <c r="ET17" s="16"/>
      <c r="EU17" s="16"/>
      <c r="EV17" s="16"/>
      <c r="EW17" s="16"/>
      <c r="EX17" s="180"/>
      <c r="EY17" s="180"/>
      <c r="EZ17" s="180"/>
      <c r="FA17" s="180">
        <f>IFERROR(__xludf.DUMMYFUNCTION("""COMPUTED_VALUE"""),0.3)</f>
        <v>0.3</v>
      </c>
      <c r="FB17" s="180"/>
      <c r="FC17" s="180"/>
      <c r="FD17" s="180"/>
      <c r="FE17" s="180"/>
      <c r="FF17" s="180"/>
      <c r="FG17" s="180"/>
      <c r="FH17" s="180"/>
      <c r="FI17" s="180">
        <f>IFERROR(__xludf.DUMMYFUNCTION("""COMPUTED_VALUE"""),0.18055555555555555)</f>
        <v>0.1805555556</v>
      </c>
      <c r="FJ17" s="180"/>
      <c r="FK17" s="180"/>
      <c r="FL17" s="180"/>
      <c r="FM17" s="180"/>
      <c r="FN17" s="16"/>
      <c r="FO17" s="16"/>
      <c r="FP17" s="16"/>
      <c r="FQ17" s="16">
        <f>IFERROR(__xludf.DUMMYFUNCTION("""COMPUTED_VALUE"""),0.5736111111111111)</f>
        <v>0.5736111111</v>
      </c>
      <c r="FR17" s="16"/>
      <c r="FS17" s="16"/>
      <c r="FT17" s="16"/>
      <c r="FU17" s="16"/>
      <c r="FV17" s="16"/>
      <c r="FW17" s="16"/>
      <c r="FX17" s="16"/>
      <c r="FY17" s="16">
        <f>IFERROR(__xludf.DUMMYFUNCTION("""COMPUTED_VALUE"""),-6.0)</f>
        <v>-6</v>
      </c>
      <c r="FZ17" s="16"/>
      <c r="GA17" s="16"/>
      <c r="GB17" s="16"/>
      <c r="GC17" s="16"/>
      <c r="GD17" s="16" t="s">
        <v>260</v>
      </c>
    </row>
    <row r="18">
      <c r="A18" s="16">
        <f>IFERROR(__xludf.DUMMYFUNCTION("""COMPUTED_VALUE"""),12820.0)</f>
        <v>12820</v>
      </c>
      <c r="B18" s="16" t="str">
        <f>IFERROR(__xludf.DUMMYFUNCTION("""COMPUTED_VALUE"""),"Francisco Lindor")</f>
        <v>Francisco Lindor</v>
      </c>
      <c r="C18" s="16">
        <f>IFERROR(__xludf.DUMMYFUNCTION("""COMPUTED_VALUE"""),2.9)</f>
        <v>2.9</v>
      </c>
      <c r="D18" s="16" t="str">
        <f>IFERROR(__xludf.DUMMYFUNCTION("""COMPUTED_VALUE"""),"S")</f>
        <v>S</v>
      </c>
      <c r="E18" s="16"/>
      <c r="F18" s="16"/>
      <c r="G18" s="16">
        <f>IFERROR(__xludf.DUMMYFUNCTION("""COMPUTED_VALUE"""),618.0)</f>
        <v>618</v>
      </c>
      <c r="H18" s="16">
        <f>IFERROR(__xludf.DUMMYFUNCTION("""COMPUTED_VALUE"""),56.0)</f>
        <v>56</v>
      </c>
      <c r="I18" s="16" t="str">
        <f>IFERROR(__xludf.DUMMYFUNCTION("""COMPUTED_VALUE"""),"1p70")</f>
        <v>1p70</v>
      </c>
      <c r="J18" s="16">
        <f>IFERROR(__xludf.DUMMYFUNCTION("""COMPUTED_VALUE"""),9.0)</f>
        <v>9</v>
      </c>
      <c r="K18" s="16">
        <f>IFERROR(__xludf.DUMMYFUNCTION("""COMPUTED_VALUE"""),18.0)</f>
        <v>18</v>
      </c>
      <c r="L18" s="16">
        <f>IFERROR(__xludf.DUMMYFUNCTION("""COMPUTED_VALUE"""),1.0)</f>
        <v>1</v>
      </c>
      <c r="M18" s="16">
        <f>IFERROR(__xludf.DUMMYFUNCTION("""COMPUTED_VALUE"""),1.0)</f>
        <v>1</v>
      </c>
      <c r="N18" s="16">
        <f>IFERROR(__xludf.DUMMYFUNCTION("""COMPUTED_VALUE"""),1.0)</f>
        <v>1</v>
      </c>
      <c r="O18" s="16">
        <f>IFERROR(__xludf.DUMMYFUNCTION("""COMPUTED_VALUE"""),1.0)</f>
        <v>1</v>
      </c>
      <c r="P18" s="16">
        <f>IFERROR(__xludf.DUMMYFUNCTION("""COMPUTED_VALUE"""),5.0)</f>
        <v>5</v>
      </c>
      <c r="Q18" s="16">
        <f>IFERROR(__xludf.DUMMYFUNCTION("""COMPUTED_VALUE"""),9.0)</f>
        <v>9</v>
      </c>
      <c r="R18" s="16">
        <f>IFERROR(__xludf.DUMMYFUNCTION("""COMPUTED_VALUE"""),-1.0)</f>
        <v>-1</v>
      </c>
      <c r="S18" s="16">
        <f>IFERROR(__xludf.DUMMYFUNCTION("""COMPUTED_VALUE"""),0.0)</f>
        <v>0</v>
      </c>
      <c r="T18" s="16">
        <f>IFERROR(__xludf.DUMMYFUNCTION("""COMPUTED_VALUE"""),-1.0)</f>
        <v>-1</v>
      </c>
      <c r="U18" s="16">
        <f>IFERROR(__xludf.DUMMYFUNCTION("""COMPUTED_VALUE"""),0.0)</f>
        <v>0</v>
      </c>
      <c r="V18" s="16">
        <f>IFERROR(__xludf.DUMMYFUNCTION("""COMPUTED_VALUE"""),21.0)</f>
        <v>21</v>
      </c>
      <c r="W18" s="16">
        <f>IFERROR(__xludf.DUMMYFUNCTION("""COMPUTED_VALUE"""),25.0)</f>
        <v>25</v>
      </c>
      <c r="X18" s="16">
        <f>IFERROR(__xludf.DUMMYFUNCTION("""COMPUTED_VALUE"""),0.0)</f>
        <v>0</v>
      </c>
      <c r="Y18" s="16">
        <f>IFERROR(__xludf.DUMMYFUNCTION("""COMPUTED_VALUE"""),1.0)</f>
        <v>1</v>
      </c>
      <c r="Z18" s="16">
        <f>IFERROR(__xludf.DUMMYFUNCTION("""COMPUTED_VALUE"""),0.0)</f>
        <v>0</v>
      </c>
      <c r="AA18" s="16">
        <f>IFERROR(__xludf.DUMMYFUNCTION("""COMPUTED_VALUE"""),2.0)</f>
        <v>2</v>
      </c>
      <c r="AB18" s="16">
        <f>IFERROR(__xludf.DUMMYFUNCTION("""COMPUTED_VALUE"""),30.0)</f>
        <v>30</v>
      </c>
      <c r="AC18" s="16">
        <f>IFERROR(__xludf.DUMMYFUNCTION("""COMPUTED_VALUE"""),38.0)</f>
        <v>38</v>
      </c>
      <c r="AD18" s="16">
        <f>IFERROR(__xludf.DUMMYFUNCTION("""COMPUTED_VALUE"""),0.0)</f>
        <v>0</v>
      </c>
      <c r="AE18" s="16">
        <f>IFERROR(__xludf.DUMMYFUNCTION("""COMPUTED_VALUE"""),1.0)</f>
        <v>1</v>
      </c>
      <c r="AF18" s="16">
        <f>IFERROR(__xludf.DUMMYFUNCTION("""COMPUTED_VALUE"""),0.0)</f>
        <v>0</v>
      </c>
      <c r="AG18" s="16">
        <f>IFERROR(__xludf.DUMMYFUNCTION("""COMPUTED_VALUE"""),5.0)</f>
        <v>5</v>
      </c>
      <c r="AH18" s="16">
        <f>IFERROR(__xludf.DUMMYFUNCTION("""COMPUTED_VALUE"""),47.9)</f>
        <v>47.9</v>
      </c>
      <c r="AI18" s="16">
        <f>IFERROR(__xludf.DUMMYFUNCTION("""COMPUTED_VALUE"""),41.2)</f>
        <v>41.2</v>
      </c>
      <c r="AJ18" s="16">
        <f>IFERROR(__xludf.DUMMYFUNCTION("""COMPUTED_VALUE"""),1.0)</f>
        <v>1</v>
      </c>
      <c r="AK18" s="16">
        <f>IFERROR(__xludf.DUMMYFUNCTION("""COMPUTED_VALUE"""),1.0)</f>
        <v>1</v>
      </c>
      <c r="AL18" s="16">
        <f>IFERROR(__xludf.DUMMYFUNCTION("""COMPUTED_VALUE"""),5.0)</f>
        <v>5</v>
      </c>
      <c r="AM18" s="16">
        <f>IFERROR(__xludf.DUMMYFUNCTION("""COMPUTED_VALUE"""),5.0)</f>
        <v>5</v>
      </c>
      <c r="AN18" s="16">
        <f>IFERROR(__xludf.DUMMYFUNCTION("""COMPUTED_VALUE"""),6.2)</f>
        <v>6.2</v>
      </c>
      <c r="AO18" s="16">
        <f>IFERROR(__xludf.DUMMYFUNCTION("""COMPUTED_VALUE"""),3.2)</f>
        <v>3.2</v>
      </c>
      <c r="AP18" s="16">
        <f>IFERROR(__xludf.DUMMYFUNCTION("""COMPUTED_VALUE"""),3.0)</f>
        <v>3</v>
      </c>
      <c r="AQ18" s="16">
        <f>IFERROR(__xludf.DUMMYFUNCTION("""COMPUTED_VALUE"""),1.0)</f>
        <v>1</v>
      </c>
      <c r="AR18" s="16">
        <f>IFERROR(__xludf.DUMMYFUNCTION("""COMPUTED_VALUE"""),6.0)</f>
        <v>6</v>
      </c>
      <c r="AS18" s="16">
        <f>IFERROR(__xludf.DUMMYFUNCTION("""COMPUTED_VALUE"""),2.0)</f>
        <v>2</v>
      </c>
      <c r="AT18" s="16">
        <f>IFERROR(__xludf.DUMMYFUNCTION("""COMPUTED_VALUE"""),8.0)</f>
        <v>8</v>
      </c>
      <c r="AU18" s="16">
        <f>IFERROR(__xludf.DUMMYFUNCTION("""COMPUTED_VALUE"""),6.0)</f>
        <v>6</v>
      </c>
      <c r="AV18" s="16">
        <f>IFERROR(__xludf.DUMMYFUNCTION("""COMPUTED_VALUE"""),8.0)</f>
        <v>8</v>
      </c>
      <c r="AW18" s="16">
        <f>IFERROR(__xludf.DUMMYFUNCTION("""COMPUTED_VALUE"""),6.0)</f>
        <v>6</v>
      </c>
      <c r="AX18" s="16">
        <f>IFERROR(__xludf.DUMMYFUNCTION("""COMPUTED_VALUE"""),3.0)</f>
        <v>3</v>
      </c>
      <c r="AY18" s="16">
        <f>IFERROR(__xludf.DUMMYFUNCTION("""COMPUTED_VALUE"""),2.0)</f>
        <v>2</v>
      </c>
      <c r="AZ18" s="16">
        <f>IFERROR(__xludf.DUMMYFUNCTION("""COMPUTED_VALUE"""),9.0)</f>
        <v>9</v>
      </c>
      <c r="BA18" s="16">
        <f>IFERROR(__xludf.DUMMYFUNCTION("""COMPUTED_VALUE"""),6.0)</f>
        <v>6</v>
      </c>
      <c r="BB18" s="16">
        <f>IFERROR(__xludf.DUMMYFUNCTION("""COMPUTED_VALUE"""),5.0)</f>
        <v>5</v>
      </c>
      <c r="BC18" s="16">
        <f>IFERROR(__xludf.DUMMYFUNCTION("""COMPUTED_VALUE"""),5.0)</f>
        <v>5</v>
      </c>
      <c r="BD18" s="16">
        <f>IFERROR(__xludf.DUMMYFUNCTION("""COMPUTED_VALUE"""),1.0)</f>
        <v>1</v>
      </c>
      <c r="BE18" s="16">
        <f>IFERROR(__xludf.DUMMYFUNCTION("""COMPUTED_VALUE"""),1.0)</f>
        <v>1</v>
      </c>
      <c r="BF18" s="16">
        <f>IFERROR(__xludf.DUMMYFUNCTION("""COMPUTED_VALUE"""),1.0)</f>
        <v>1</v>
      </c>
      <c r="BG18" s="16">
        <f>IFERROR(__xludf.DUMMYFUNCTION("""COMPUTED_VALUE"""),1.0)</f>
        <v>1</v>
      </c>
      <c r="BH18" s="16">
        <f>IFERROR(__xludf.DUMMYFUNCTION("""COMPUTED_VALUE"""),-4.0)</f>
        <v>-4</v>
      </c>
      <c r="BI18" s="16">
        <f>IFERROR(__xludf.DUMMYFUNCTION("""COMPUTED_VALUE"""),-7.0)</f>
        <v>-7</v>
      </c>
      <c r="BJ18" s="16">
        <f>IFERROR(__xludf.DUMMYFUNCTION("""COMPUTED_VALUE"""),6.0)</f>
        <v>6</v>
      </c>
      <c r="BK18" s="16">
        <f>IFERROR(__xludf.DUMMYFUNCTION("""COMPUTED_VALUE"""),5.0)</f>
        <v>5</v>
      </c>
      <c r="BL18" s="16">
        <f>IFERROR(__xludf.DUMMYFUNCTION("""COMPUTED_VALUE"""),1.0)</f>
        <v>1</v>
      </c>
      <c r="BM18" s="16">
        <f>IFERROR(__xludf.DUMMYFUNCTION("""COMPUTED_VALUE"""),1.0)</f>
        <v>1</v>
      </c>
      <c r="BN18" s="16">
        <f>IFERROR(__xludf.DUMMYFUNCTION("""COMPUTED_VALUE"""),1.0)</f>
        <v>1</v>
      </c>
      <c r="BO18" s="16">
        <f>IFERROR(__xludf.DUMMYFUNCTION("""COMPUTED_VALUE"""),1.0)</f>
        <v>1</v>
      </c>
      <c r="BP18" s="16">
        <f>IFERROR(__xludf.DUMMYFUNCTION("""COMPUTED_VALUE"""),9.0)</f>
        <v>9</v>
      </c>
      <c r="BQ18" s="16">
        <f>IFERROR(__xludf.DUMMYFUNCTION("""COMPUTED_VALUE"""),9.0)</f>
        <v>9</v>
      </c>
      <c r="BR18" s="16">
        <f>IFERROR(__xludf.DUMMYFUNCTION("""COMPUTED_VALUE"""),18.0)</f>
        <v>18</v>
      </c>
      <c r="BS18" s="16" t="str">
        <f>IFERROR(__xludf.DUMMYFUNCTION("""COMPUTED_VALUE"""),"*4,5/- (19-13)")</f>
        <v>*4,5/- (19-13)</v>
      </c>
      <c r="BT18" s="16" t="str">
        <f>IFERROR(__xludf.DUMMYFUNCTION("""COMPUTED_VALUE"""),"A")</f>
        <v>A</v>
      </c>
      <c r="BU18" s="16">
        <f>IFERROR(__xludf.DUMMYFUNCTION("""COMPUTED_VALUE"""),15.0)</f>
        <v>15</v>
      </c>
      <c r="BV18" s="16">
        <f>IFERROR(__xludf.DUMMYFUNCTION("""COMPUTED_VALUE"""),2.0)</f>
        <v>2</v>
      </c>
      <c r="BW18" s="16">
        <f>IFERROR(__xludf.DUMMYFUNCTION("""COMPUTED_VALUE"""),2.0)</f>
        <v>2</v>
      </c>
      <c r="BX18" s="16">
        <f>IFERROR(__xludf.DUMMYFUNCTION("""COMPUTED_VALUE"""),4.0)</f>
        <v>4</v>
      </c>
      <c r="BY18" s="16">
        <f>IFERROR(__xludf.DUMMYFUNCTION("""COMPUTED_VALUE"""),6.0)</f>
        <v>6</v>
      </c>
      <c r="BZ18" s="16" t="str">
        <f>IFERROR(__xludf.DUMMYFUNCTION("""COMPUTED_VALUE"""),"D")</f>
        <v>D</v>
      </c>
      <c r="CA18" s="16" t="str">
        <f>IFERROR(__xludf.DUMMYFUNCTION("""COMPUTED_VALUE"""),"D")</f>
        <v>D</v>
      </c>
      <c r="CB18" s="16">
        <f>IFERROR(__xludf.DUMMYFUNCTION("""COMPUTED_VALUE"""),0.0)</f>
        <v>0</v>
      </c>
      <c r="CC18" s="16">
        <f>IFERROR(__xludf.DUMMYFUNCTION("""COMPUTED_VALUE"""),0.0)</f>
        <v>0</v>
      </c>
      <c r="CD18" s="16">
        <f>IFERROR(__xludf.DUMMYFUNCTION("""COMPUTED_VALUE"""),0.0)</f>
        <v>0</v>
      </c>
      <c r="CE18" s="16">
        <f>IFERROR(__xludf.DUMMYFUNCTION("""COMPUTED_VALUE"""),0.0)</f>
        <v>0</v>
      </c>
      <c r="CF18" s="16">
        <f>IFERROR(__xludf.DUMMYFUNCTION("""COMPUTED_VALUE"""),1.0)</f>
        <v>1</v>
      </c>
      <c r="CG18" s="16">
        <f>IFERROR(__xludf.DUMMYFUNCTION("""COMPUTED_VALUE"""),22.0)</f>
        <v>22</v>
      </c>
      <c r="CH18" s="16">
        <f>IFERROR(__xludf.DUMMYFUNCTION("""COMPUTED_VALUE"""),23.0)</f>
        <v>23</v>
      </c>
      <c r="CI18" s="179">
        <f>IFERROR(__xludf.DUMMYFUNCTION("""COMPUTED_VALUE"""),32.0)</f>
        <v>32</v>
      </c>
      <c r="CJ18" s="16"/>
      <c r="CK18" s="16"/>
      <c r="CL18" s="16"/>
      <c r="CM18" s="16"/>
      <c r="CN18" s="16">
        <f>IFERROR(__xludf.DUMMYFUNCTION("""COMPUTED_VALUE"""),114.0)</f>
        <v>114</v>
      </c>
      <c r="CO18" s="16"/>
      <c r="CP18" s="16"/>
      <c r="CQ18" s="16"/>
      <c r="CR18" s="16" t="str">
        <f>IFERROR(__xludf.DUMMYFUNCTION("""COMPUTED_VALUE"""),"ss-1e14")</f>
        <v>ss-1e14</v>
      </c>
      <c r="CS18" s="16"/>
      <c r="CT18" s="16"/>
      <c r="CU18" s="16"/>
      <c r="CV18" s="16"/>
      <c r="CW18" s="16">
        <f>IFERROR(__xludf.DUMMYFUNCTION("""COMPUTED_VALUE"""),1.0)</f>
        <v>1</v>
      </c>
      <c r="CX18" s="16"/>
      <c r="CY18" s="16"/>
      <c r="CZ18" s="16"/>
      <c r="DA18" s="16"/>
      <c r="DB18" s="16"/>
      <c r="DC18" s="16"/>
      <c r="DD18" s="16"/>
      <c r="DE18" s="16">
        <f>IFERROR(__xludf.DUMMYFUNCTION("""COMPUTED_VALUE"""),14.0)</f>
        <v>14</v>
      </c>
      <c r="DF18" s="16"/>
      <c r="DG18" s="16"/>
      <c r="DH18" s="16"/>
      <c r="DI18" s="16"/>
      <c r="DJ18" s="16"/>
      <c r="DK18" s="16"/>
      <c r="DL18" s="16"/>
      <c r="DM18" s="16">
        <f>IFERROR(__xludf.DUMMYFUNCTION("""COMPUTED_VALUE"""),5.0)</f>
        <v>5</v>
      </c>
      <c r="DN18" s="16"/>
      <c r="DO18" s="16"/>
      <c r="DP18" s="16"/>
      <c r="DQ18" s="16"/>
      <c r="DR18" s="16"/>
      <c r="DS18" s="16"/>
      <c r="DT18" s="16"/>
      <c r="DU18" s="16">
        <f>IFERROR(__xludf.DUMMYFUNCTION("""COMPUTED_VALUE"""),2.0)</f>
        <v>2</v>
      </c>
      <c r="DV18" s="16"/>
      <c r="DW18" s="16"/>
      <c r="DX18" s="16"/>
      <c r="DY18" s="16"/>
      <c r="DZ18" s="16"/>
      <c r="EA18" s="16"/>
      <c r="EB18" s="16"/>
      <c r="EC18" s="16">
        <f>IFERROR(__xludf.DUMMYFUNCTION("""COMPUTED_VALUE"""),7.0)</f>
        <v>7</v>
      </c>
      <c r="ED18" s="16"/>
      <c r="EE18" s="16"/>
      <c r="EF18" s="16"/>
      <c r="EG18" s="179"/>
      <c r="EH18" s="179"/>
      <c r="EI18" s="179"/>
      <c r="EJ18" s="179"/>
      <c r="EK18" s="179">
        <f>IFERROR(__xludf.DUMMYFUNCTION("""COMPUTED_VALUE"""),39.0)</f>
        <v>39</v>
      </c>
      <c r="EL18" s="179"/>
      <c r="EM18" s="179"/>
      <c r="EN18" s="179"/>
      <c r="EO18" s="16"/>
      <c r="EP18" s="16">
        <f>IFERROR(__xludf.DUMMYFUNCTION("""COMPUTED_VALUE"""),-1.0)</f>
        <v>-1</v>
      </c>
      <c r="EQ18" s="16">
        <f>IFERROR(__xludf.DUMMYFUNCTION("""COMPUTED_VALUE"""),4.0)</f>
        <v>4</v>
      </c>
      <c r="ER18" s="16">
        <f>IFERROR(__xludf.DUMMYFUNCTION("""COMPUTED_VALUE"""),3.0)</f>
        <v>3</v>
      </c>
      <c r="ES18" s="16"/>
      <c r="ET18" s="16"/>
      <c r="EU18" s="16"/>
      <c r="EV18" s="16"/>
      <c r="EW18" s="16"/>
      <c r="EX18" s="180"/>
      <c r="EY18" s="180"/>
      <c r="EZ18" s="180"/>
      <c r="FA18" s="180"/>
      <c r="FB18" s="180">
        <f>IFERROR(__xludf.DUMMYFUNCTION("""COMPUTED_VALUE"""),0.0)</f>
        <v>0</v>
      </c>
      <c r="FC18" s="180"/>
      <c r="FD18" s="180"/>
      <c r="FE18" s="180"/>
      <c r="FF18" s="180"/>
      <c r="FG18" s="180"/>
      <c r="FH18" s="180"/>
      <c r="FI18" s="180"/>
      <c r="FJ18" s="180">
        <f>IFERROR(__xludf.DUMMYFUNCTION("""COMPUTED_VALUE"""),0.07407407407407407)</f>
        <v>0.07407407407</v>
      </c>
      <c r="FK18" s="180"/>
      <c r="FL18" s="180"/>
      <c r="FM18" s="180"/>
      <c r="FN18" s="16"/>
      <c r="FO18" s="16"/>
      <c r="FP18" s="16"/>
      <c r="FQ18" s="16"/>
      <c r="FR18" s="16">
        <f>IFERROR(__xludf.DUMMYFUNCTION("""COMPUTED_VALUE"""),0.9259259259259259)</f>
        <v>0.9259259259</v>
      </c>
      <c r="FS18" s="16"/>
      <c r="FT18" s="16"/>
      <c r="FU18" s="16"/>
      <c r="FV18" s="16"/>
      <c r="FW18" s="16"/>
      <c r="FX18" s="16"/>
      <c r="FY18" s="16"/>
      <c r="FZ18" s="16">
        <f>IFERROR(__xludf.DUMMYFUNCTION("""COMPUTED_VALUE"""),6.0)</f>
        <v>6</v>
      </c>
      <c r="GA18" s="16"/>
      <c r="GB18" s="16"/>
      <c r="GC18" s="16"/>
      <c r="GD18" s="16" t="s">
        <v>277</v>
      </c>
    </row>
    <row r="19">
      <c r="A19" s="16">
        <f>IFERROR(__xludf.DUMMYFUNCTION("""COMPUTED_VALUE"""),12686.0)</f>
        <v>12686</v>
      </c>
      <c r="B19" s="16" t="str">
        <f>IFERROR(__xludf.DUMMYFUNCTION("""COMPUTED_VALUE"""),"Christian Yelich")</f>
        <v>Christian Yelich</v>
      </c>
      <c r="C19" s="16">
        <f>IFERROR(__xludf.DUMMYFUNCTION("""COMPUTED_VALUE"""),2.03)</f>
        <v>2.03</v>
      </c>
      <c r="D19" s="16" t="str">
        <f>IFERROR(__xludf.DUMMYFUNCTION("""COMPUTED_VALUE"""),"L")</f>
        <v>L</v>
      </c>
      <c r="E19" s="16"/>
      <c r="F19" s="16"/>
      <c r="G19" s="16">
        <f>IFERROR(__xludf.DUMMYFUNCTION("""COMPUTED_VALUE"""),270.0)</f>
        <v>270</v>
      </c>
      <c r="H19" s="16">
        <f>IFERROR(__xludf.DUMMYFUNCTION("""COMPUTED_VALUE"""),40.0)</f>
        <v>40</v>
      </c>
      <c r="I19" s="16" t="str">
        <f>IFERROR(__xludf.DUMMYFUNCTION("""COMPUTED_VALUE"""),"5p40")</f>
        <v>5p40</v>
      </c>
      <c r="J19" s="16">
        <f>IFERROR(__xludf.DUMMYFUNCTION("""COMPUTED_VALUE"""),10.0)</f>
        <v>10</v>
      </c>
      <c r="K19" s="16">
        <f>IFERROR(__xludf.DUMMYFUNCTION("""COMPUTED_VALUE"""),17.0)</f>
        <v>17</v>
      </c>
      <c r="L19" s="16">
        <f>IFERROR(__xludf.DUMMYFUNCTION("""COMPUTED_VALUE"""),1.0)</f>
        <v>1</v>
      </c>
      <c r="M19" s="16">
        <f>IFERROR(__xludf.DUMMYFUNCTION("""COMPUTED_VALUE"""),1.0)</f>
        <v>1</v>
      </c>
      <c r="N19" s="16">
        <f>IFERROR(__xludf.DUMMYFUNCTION("""COMPUTED_VALUE"""),1.0)</f>
        <v>1</v>
      </c>
      <c r="O19" s="16">
        <f>IFERROR(__xludf.DUMMYFUNCTION("""COMPUTED_VALUE"""),1.0)</f>
        <v>1</v>
      </c>
      <c r="P19" s="16">
        <f>IFERROR(__xludf.DUMMYFUNCTION("""COMPUTED_VALUE"""),14.0)</f>
        <v>14</v>
      </c>
      <c r="Q19" s="16">
        <f>IFERROR(__xludf.DUMMYFUNCTION("""COMPUTED_VALUE"""),18.0)</f>
        <v>18</v>
      </c>
      <c r="R19" s="16">
        <f>IFERROR(__xludf.DUMMYFUNCTION("""COMPUTED_VALUE"""),2.0)</f>
        <v>2</v>
      </c>
      <c r="S19" s="16">
        <f>IFERROR(__xludf.DUMMYFUNCTION("""COMPUTED_VALUE"""),3.0)</f>
        <v>3</v>
      </c>
      <c r="T19" s="16">
        <f>IFERROR(__xludf.DUMMYFUNCTION("""COMPUTED_VALUE"""),2.0)</f>
        <v>2</v>
      </c>
      <c r="U19" s="16">
        <f>IFERROR(__xludf.DUMMYFUNCTION("""COMPUTED_VALUE"""),3.0)</f>
        <v>3</v>
      </c>
      <c r="V19" s="16">
        <f>IFERROR(__xludf.DUMMYFUNCTION("""COMPUTED_VALUE"""),32.4)</f>
        <v>32.4</v>
      </c>
      <c r="W19" s="16">
        <f>IFERROR(__xludf.DUMMYFUNCTION("""COMPUTED_VALUE"""),30.2)</f>
        <v>30.2</v>
      </c>
      <c r="X19" s="16">
        <f>IFERROR(__xludf.DUMMYFUNCTION("""COMPUTED_VALUE"""),2.0)</f>
        <v>2</v>
      </c>
      <c r="Y19" s="16">
        <f>IFERROR(__xludf.DUMMYFUNCTION("""COMPUTED_VALUE"""),2.0)</f>
        <v>2</v>
      </c>
      <c r="Z19" s="16">
        <f>IFERROR(__xludf.DUMMYFUNCTION("""COMPUTED_VALUE"""),4.0)</f>
        <v>4</v>
      </c>
      <c r="AA19" s="16">
        <f>IFERROR(__xludf.DUMMYFUNCTION("""COMPUTED_VALUE"""),4.0)</f>
        <v>4</v>
      </c>
      <c r="AB19" s="16">
        <f>IFERROR(__xludf.DUMMYFUNCTION("""COMPUTED_VALUE"""),48.4)</f>
        <v>48.4</v>
      </c>
      <c r="AC19" s="16">
        <f>IFERROR(__xludf.DUMMYFUNCTION("""COMPUTED_VALUE"""),50.2)</f>
        <v>50.2</v>
      </c>
      <c r="AD19" s="16">
        <f>IFERROR(__xludf.DUMMYFUNCTION("""COMPUTED_VALUE"""),2.0)</f>
        <v>2</v>
      </c>
      <c r="AE19" s="16">
        <f>IFERROR(__xludf.DUMMYFUNCTION("""COMPUTED_VALUE"""),3.0)</f>
        <v>3</v>
      </c>
      <c r="AF19" s="16">
        <f>IFERROR(__xludf.DUMMYFUNCTION("""COMPUTED_VALUE"""),10.0)</f>
        <v>10</v>
      </c>
      <c r="AG19" s="16">
        <f>IFERROR(__xludf.DUMMYFUNCTION("""COMPUTED_VALUE"""),15.0)</f>
        <v>15</v>
      </c>
      <c r="AH19" s="16">
        <f>IFERROR(__xludf.DUMMYFUNCTION("""COMPUTED_VALUE"""),45.0)</f>
        <v>45</v>
      </c>
      <c r="AI19" s="16">
        <f>IFERROR(__xludf.DUMMYFUNCTION("""COMPUTED_VALUE"""),45.0)</f>
        <v>45</v>
      </c>
      <c r="AJ19" s="16">
        <f>IFERROR(__xludf.DUMMYFUNCTION("""COMPUTED_VALUE"""),1.0)</f>
        <v>1</v>
      </c>
      <c r="AK19" s="16">
        <f>IFERROR(__xludf.DUMMYFUNCTION("""COMPUTED_VALUE"""),1.0)</f>
        <v>1</v>
      </c>
      <c r="AL19" s="16">
        <f>IFERROR(__xludf.DUMMYFUNCTION("""COMPUTED_VALUE"""),5.0)</f>
        <v>5</v>
      </c>
      <c r="AM19" s="16">
        <f>IFERROR(__xludf.DUMMYFUNCTION("""COMPUTED_VALUE"""),5.0)</f>
        <v>5</v>
      </c>
      <c r="AN19" s="16">
        <f>IFERROR(__xludf.DUMMYFUNCTION("""COMPUTED_VALUE"""),3.1)</f>
        <v>3.1</v>
      </c>
      <c r="AO19" s="16">
        <f>IFERROR(__xludf.DUMMYFUNCTION("""COMPUTED_VALUE"""),2.3)</f>
        <v>2.3</v>
      </c>
      <c r="AP19" s="16">
        <f>IFERROR(__xludf.DUMMYFUNCTION("""COMPUTED_VALUE"""),1.0)</f>
        <v>1</v>
      </c>
      <c r="AQ19" s="16">
        <f>IFERROR(__xludf.DUMMYFUNCTION("""COMPUTED_VALUE"""),0.0)</f>
        <v>0</v>
      </c>
      <c r="AR19" s="16">
        <f>IFERROR(__xludf.DUMMYFUNCTION("""COMPUTED_VALUE"""),2.0)</f>
        <v>2</v>
      </c>
      <c r="AS19" s="16">
        <f>IFERROR(__xludf.DUMMYFUNCTION("""COMPUTED_VALUE"""),0.0)</f>
        <v>0</v>
      </c>
      <c r="AT19" s="16">
        <f>IFERROR(__xludf.DUMMYFUNCTION("""COMPUTED_VALUE"""),5.0)</f>
        <v>5</v>
      </c>
      <c r="AU19" s="16">
        <f>IFERROR(__xludf.DUMMYFUNCTION("""COMPUTED_VALUE"""),2.0)</f>
        <v>2</v>
      </c>
      <c r="AV19" s="16">
        <f>IFERROR(__xludf.DUMMYFUNCTION("""COMPUTED_VALUE"""),5.0)</f>
        <v>5</v>
      </c>
      <c r="AW19" s="16">
        <f>IFERROR(__xludf.DUMMYFUNCTION("""COMPUTED_VALUE"""),2.0)</f>
        <v>2</v>
      </c>
      <c r="AX19" s="16">
        <f>IFERROR(__xludf.DUMMYFUNCTION("""COMPUTED_VALUE"""),3.0)</f>
        <v>3</v>
      </c>
      <c r="AY19" s="16">
        <f>IFERROR(__xludf.DUMMYFUNCTION("""COMPUTED_VALUE"""),0.0)</f>
        <v>0</v>
      </c>
      <c r="AZ19" s="16">
        <f>IFERROR(__xludf.DUMMYFUNCTION("""COMPUTED_VALUE"""),9.0)</f>
        <v>9</v>
      </c>
      <c r="BA19" s="16">
        <f>IFERROR(__xludf.DUMMYFUNCTION("""COMPUTED_VALUE"""),0.0)</f>
        <v>0</v>
      </c>
      <c r="BB19" s="16">
        <f>IFERROR(__xludf.DUMMYFUNCTION("""COMPUTED_VALUE"""),5.0)</f>
        <v>5</v>
      </c>
      <c r="BC19" s="16">
        <f>IFERROR(__xludf.DUMMYFUNCTION("""COMPUTED_VALUE"""),5.0)</f>
        <v>5</v>
      </c>
      <c r="BD19" s="16">
        <f>IFERROR(__xludf.DUMMYFUNCTION("""COMPUTED_VALUE"""),1.0)</f>
        <v>1</v>
      </c>
      <c r="BE19" s="16">
        <f>IFERROR(__xludf.DUMMYFUNCTION("""COMPUTED_VALUE"""),1.0)</f>
        <v>1</v>
      </c>
      <c r="BF19" s="16">
        <f>IFERROR(__xludf.DUMMYFUNCTION("""COMPUTED_VALUE"""),1.0)</f>
        <v>1</v>
      </c>
      <c r="BG19" s="16">
        <f>IFERROR(__xludf.DUMMYFUNCTION("""COMPUTED_VALUE"""),1.0)</f>
        <v>1</v>
      </c>
      <c r="BH19" s="16">
        <f>IFERROR(__xludf.DUMMYFUNCTION("""COMPUTED_VALUE"""),0.0)</f>
        <v>0</v>
      </c>
      <c r="BI19" s="16">
        <f>IFERROR(__xludf.DUMMYFUNCTION("""COMPUTED_VALUE"""),0.0)</f>
        <v>0</v>
      </c>
      <c r="BJ19" s="16">
        <f>IFERROR(__xludf.DUMMYFUNCTION("""COMPUTED_VALUE"""),5.0)</f>
        <v>5</v>
      </c>
      <c r="BK19" s="16">
        <f>IFERROR(__xludf.DUMMYFUNCTION("""COMPUTED_VALUE"""),5.0)</f>
        <v>5</v>
      </c>
      <c r="BL19" s="16">
        <f>IFERROR(__xludf.DUMMYFUNCTION("""COMPUTED_VALUE"""),1.0)</f>
        <v>1</v>
      </c>
      <c r="BM19" s="16">
        <f>IFERROR(__xludf.DUMMYFUNCTION("""COMPUTED_VALUE"""),1.0)</f>
        <v>1</v>
      </c>
      <c r="BN19" s="16">
        <f>IFERROR(__xludf.DUMMYFUNCTION("""COMPUTED_VALUE"""),1.0)</f>
        <v>1</v>
      </c>
      <c r="BO19" s="16">
        <f>IFERROR(__xludf.DUMMYFUNCTION("""COMPUTED_VALUE"""),1.0)</f>
        <v>1</v>
      </c>
      <c r="BP19" s="16">
        <f>IFERROR(__xludf.DUMMYFUNCTION("""COMPUTED_VALUE"""),14.0)</f>
        <v>14</v>
      </c>
      <c r="BQ19" s="16">
        <f>IFERROR(__xludf.DUMMYFUNCTION("""COMPUTED_VALUE"""),12.0)</f>
        <v>12</v>
      </c>
      <c r="BR19" s="16">
        <f>IFERROR(__xludf.DUMMYFUNCTION("""COMPUTED_VALUE"""),26.0)</f>
        <v>26</v>
      </c>
      <c r="BS19" s="16" t="str">
        <f>IFERROR(__xludf.DUMMYFUNCTION("""COMPUTED_VALUE"""),"*5,6/- (19-13)")</f>
        <v>*5,6/- (19-13)</v>
      </c>
      <c r="BT19" s="16" t="str">
        <f>IFERROR(__xludf.DUMMYFUNCTION("""COMPUTED_VALUE"""),"A")</f>
        <v>A</v>
      </c>
      <c r="BU19" s="16">
        <f>IFERROR(__xludf.DUMMYFUNCTION("""COMPUTED_VALUE"""),16.0)</f>
        <v>16</v>
      </c>
      <c r="BV19" s="16">
        <f>IFERROR(__xludf.DUMMYFUNCTION("""COMPUTED_VALUE"""),2.0)</f>
        <v>2</v>
      </c>
      <c r="BW19" s="16">
        <f>IFERROR(__xludf.DUMMYFUNCTION("""COMPUTED_VALUE"""),2.0)</f>
        <v>2</v>
      </c>
      <c r="BX19" s="16">
        <f>IFERROR(__xludf.DUMMYFUNCTION("""COMPUTED_VALUE"""),4.0)</f>
        <v>4</v>
      </c>
      <c r="BY19" s="16">
        <f>IFERROR(__xludf.DUMMYFUNCTION("""COMPUTED_VALUE"""),6.0)</f>
        <v>6</v>
      </c>
      <c r="BZ19" s="16" t="str">
        <f>IFERROR(__xludf.DUMMYFUNCTION("""COMPUTED_VALUE"""),"B")</f>
        <v>B</v>
      </c>
      <c r="CA19" s="16" t="str">
        <f>IFERROR(__xludf.DUMMYFUNCTION("""COMPUTED_VALUE"""),"C")</f>
        <v>C</v>
      </c>
      <c r="CB19" s="16">
        <f>IFERROR(__xludf.DUMMYFUNCTION("""COMPUTED_VALUE"""),1.0)</f>
        <v>1</v>
      </c>
      <c r="CC19" s="16">
        <f>IFERROR(__xludf.DUMMYFUNCTION("""COMPUTED_VALUE"""),0.0)</f>
        <v>0</v>
      </c>
      <c r="CD19" s="16">
        <f>IFERROR(__xludf.DUMMYFUNCTION("""COMPUTED_VALUE"""),1.0)</f>
        <v>1</v>
      </c>
      <c r="CE19" s="16">
        <f>IFERROR(__xludf.DUMMYFUNCTION("""COMPUTED_VALUE"""),0.0)</f>
        <v>0</v>
      </c>
      <c r="CF19" s="16">
        <f>IFERROR(__xludf.DUMMYFUNCTION("""COMPUTED_VALUE"""),5.0)</f>
        <v>5</v>
      </c>
      <c r="CG19" s="16">
        <f>IFERROR(__xludf.DUMMYFUNCTION("""COMPUTED_VALUE"""),35.0)</f>
        <v>35</v>
      </c>
      <c r="CH19" s="16">
        <f>IFERROR(__xludf.DUMMYFUNCTION("""COMPUTED_VALUE"""),30.0)</f>
        <v>30</v>
      </c>
      <c r="CI19" s="179">
        <f>IFERROR(__xludf.DUMMYFUNCTION("""COMPUTED_VALUE"""),31.0)</f>
        <v>31</v>
      </c>
      <c r="CJ19" s="16"/>
      <c r="CK19" s="16"/>
      <c r="CL19" s="16"/>
      <c r="CM19" s="16"/>
      <c r="CN19" s="16"/>
      <c r="CO19" s="16">
        <f>IFERROR(__xludf.DUMMYFUNCTION("""COMPUTED_VALUE"""),304.0)</f>
        <v>304</v>
      </c>
      <c r="CP19" s="16"/>
      <c r="CQ19" s="16"/>
      <c r="CR19" s="16" t="str">
        <f>IFERROR(__xludf.DUMMYFUNCTION("""COMPUTED_VALUE"""),"lf-3(+3)e4")</f>
        <v>lf-3(+3)e4</v>
      </c>
      <c r="CS19" s="16"/>
      <c r="CT19" s="16"/>
      <c r="CU19" s="16"/>
      <c r="CV19" s="16"/>
      <c r="CW19" s="16"/>
      <c r="CX19" s="16">
        <f>IFERROR(__xludf.DUMMYFUNCTION("""COMPUTED_VALUE"""),3.0)</f>
        <v>3</v>
      </c>
      <c r="CY19" s="16"/>
      <c r="CZ19" s="16"/>
      <c r="DA19" s="16"/>
      <c r="DB19" s="16"/>
      <c r="DC19" s="16"/>
      <c r="DD19" s="16"/>
      <c r="DE19" s="16"/>
      <c r="DF19" s="16">
        <f>IFERROR(__xludf.DUMMYFUNCTION("""COMPUTED_VALUE"""),4.0)</f>
        <v>4</v>
      </c>
      <c r="DG19" s="16"/>
      <c r="DH19" s="16"/>
      <c r="DI19" s="16"/>
      <c r="DJ19" s="16"/>
      <c r="DK19" s="16"/>
      <c r="DL19" s="16"/>
      <c r="DM19" s="16"/>
      <c r="DN19" s="16">
        <f>IFERROR(__xludf.DUMMYFUNCTION("""COMPUTED_VALUE"""),0.0)</f>
        <v>0</v>
      </c>
      <c r="DO19" s="16"/>
      <c r="DP19" s="16"/>
      <c r="DQ19" s="16"/>
      <c r="DR19" s="16"/>
      <c r="DS19" s="16"/>
      <c r="DT19" s="16"/>
      <c r="DU19" s="16"/>
      <c r="DV19" s="16">
        <f>IFERROR(__xludf.DUMMYFUNCTION("""COMPUTED_VALUE"""),2.0)</f>
        <v>2</v>
      </c>
      <c r="DW19" s="16"/>
      <c r="DX19" s="16"/>
      <c r="DY19" s="16"/>
      <c r="DZ19" s="16"/>
      <c r="EA19" s="16"/>
      <c r="EB19" s="16"/>
      <c r="EC19" s="16"/>
      <c r="ED19" s="16">
        <f>IFERROR(__xludf.DUMMYFUNCTION("""COMPUTED_VALUE"""),2.0)</f>
        <v>2</v>
      </c>
      <c r="EE19" s="16"/>
      <c r="EF19" s="16"/>
      <c r="EG19" s="179"/>
      <c r="EH19" s="179"/>
      <c r="EI19" s="179"/>
      <c r="EJ19" s="179"/>
      <c r="EK19" s="179"/>
      <c r="EL19" s="179">
        <f>IFERROR(__xludf.DUMMYFUNCTION("""COMPUTED_VALUE"""),33.0)</f>
        <v>33</v>
      </c>
      <c r="EM19" s="179"/>
      <c r="EN19" s="179"/>
      <c r="EO19" s="16"/>
      <c r="EP19" s="16"/>
      <c r="EQ19" s="16">
        <f>IFERROR(__xludf.DUMMYFUNCTION("""COMPUTED_VALUE"""),-2.0)</f>
        <v>-2</v>
      </c>
      <c r="ER19" s="16">
        <f>IFERROR(__xludf.DUMMYFUNCTION("""COMPUTED_VALUE"""),-1.0)</f>
        <v>-1</v>
      </c>
      <c r="ES19" s="16"/>
      <c r="ET19" s="16"/>
      <c r="EU19" s="16"/>
      <c r="EV19" s="16"/>
      <c r="EW19" s="16"/>
      <c r="EX19" s="180"/>
      <c r="EY19" s="180"/>
      <c r="EZ19" s="180"/>
      <c r="FA19" s="180"/>
      <c r="FB19" s="180"/>
      <c r="FC19" s="180">
        <f>IFERROR(__xludf.DUMMYFUNCTION("""COMPUTED_VALUE"""),0.3)</f>
        <v>0.3</v>
      </c>
      <c r="FD19" s="180"/>
      <c r="FE19" s="180"/>
      <c r="FF19" s="180"/>
      <c r="FG19" s="180"/>
      <c r="FH19" s="180"/>
      <c r="FI19" s="180"/>
      <c r="FJ19" s="180"/>
      <c r="FK19" s="180">
        <f>IFERROR(__xludf.DUMMYFUNCTION("""COMPUTED_VALUE"""),0.069)</f>
        <v>0.069</v>
      </c>
      <c r="FL19" s="180"/>
      <c r="FM19" s="180"/>
      <c r="FN19" s="16"/>
      <c r="FO19" s="16"/>
      <c r="FP19" s="16"/>
      <c r="FQ19" s="16"/>
      <c r="FR19" s="16"/>
      <c r="FS19" s="16">
        <f>IFERROR(__xludf.DUMMYFUNCTION("""COMPUTED_VALUE"""),0.6517)</f>
        <v>0.6517</v>
      </c>
      <c r="FT19" s="16"/>
      <c r="FU19" s="16"/>
      <c r="FV19" s="16"/>
      <c r="FW19" s="16"/>
      <c r="FX19" s="16"/>
      <c r="FY19" s="16"/>
      <c r="FZ19" s="16"/>
      <c r="GA19" s="16">
        <f>IFERROR(__xludf.DUMMYFUNCTION("""COMPUTED_VALUE"""),-4.0)</f>
        <v>-4</v>
      </c>
      <c r="GB19" s="16"/>
      <c r="GC19" s="16"/>
      <c r="GD19" s="16" t="s">
        <v>277</v>
      </c>
    </row>
    <row r="20">
      <c r="A20" s="16">
        <f>IFERROR(__xludf.DUMMYFUNCTION("""COMPUTED_VALUE"""),12633.0)</f>
        <v>12633</v>
      </c>
      <c r="B20" s="16" t="str">
        <f>IFERROR(__xludf.DUMMYFUNCTION("""COMPUTED_VALUE"""),"Bryce Harper")</f>
        <v>Bryce Harper</v>
      </c>
      <c r="C20" s="16">
        <f>IFERROR(__xludf.DUMMYFUNCTION("""COMPUTED_VALUE"""),2.21)</f>
        <v>2.21</v>
      </c>
      <c r="D20" s="16" t="str">
        <f>IFERROR(__xludf.DUMMYFUNCTION("""COMPUTED_VALUE"""),"L")</f>
        <v>L</v>
      </c>
      <c r="E20" s="16"/>
      <c r="F20" s="16"/>
      <c r="G20" s="16">
        <f>IFERROR(__xludf.DUMMYFUNCTION("""COMPUTED_VALUE"""),550.0)</f>
        <v>550</v>
      </c>
      <c r="H20" s="16">
        <f>IFERROR(__xludf.DUMMYFUNCTION("""COMPUTED_VALUE"""),76.0)</f>
        <v>76</v>
      </c>
      <c r="I20" s="16" t="str">
        <f>IFERROR(__xludf.DUMMYFUNCTION("""COMPUTED_VALUE"""),"1p65")</f>
        <v>1p65</v>
      </c>
      <c r="J20" s="16">
        <f>IFERROR(__xludf.DUMMYFUNCTION("""COMPUTED_VALUE"""),24.0)</f>
        <v>24</v>
      </c>
      <c r="K20" s="16">
        <f>IFERROR(__xludf.DUMMYFUNCTION("""COMPUTED_VALUE"""),22.0)</f>
        <v>22</v>
      </c>
      <c r="L20" s="16">
        <f>IFERROR(__xludf.DUMMYFUNCTION("""COMPUTED_VALUE"""),0.0)</f>
        <v>0</v>
      </c>
      <c r="M20" s="16">
        <f>IFERROR(__xludf.DUMMYFUNCTION("""COMPUTED_VALUE"""),0.0)</f>
        <v>0</v>
      </c>
      <c r="N20" s="16">
        <f>IFERROR(__xludf.DUMMYFUNCTION("""COMPUTED_VALUE"""),0.0)</f>
        <v>0</v>
      </c>
      <c r="O20" s="16">
        <f>IFERROR(__xludf.DUMMYFUNCTION("""COMPUTED_VALUE"""),0.0)</f>
        <v>0</v>
      </c>
      <c r="P20" s="16">
        <f>IFERROR(__xludf.DUMMYFUNCTION("""COMPUTED_VALUE"""),18.0)</f>
        <v>18</v>
      </c>
      <c r="Q20" s="16">
        <f>IFERROR(__xludf.DUMMYFUNCTION("""COMPUTED_VALUE"""),11.0)</f>
        <v>11</v>
      </c>
      <c r="R20" s="16">
        <f>IFERROR(__xludf.DUMMYFUNCTION("""COMPUTED_VALUE"""),3.0)</f>
        <v>3</v>
      </c>
      <c r="S20" s="16">
        <f>IFERROR(__xludf.DUMMYFUNCTION("""COMPUTED_VALUE"""),1.0)</f>
        <v>1</v>
      </c>
      <c r="T20" s="16">
        <f>IFERROR(__xludf.DUMMYFUNCTION("""COMPUTED_VALUE"""),3.0)</f>
        <v>3</v>
      </c>
      <c r="U20" s="16">
        <f>IFERROR(__xludf.DUMMYFUNCTION("""COMPUTED_VALUE"""),1.0)</f>
        <v>1</v>
      </c>
      <c r="V20" s="16">
        <f>IFERROR(__xludf.DUMMYFUNCTION("""COMPUTED_VALUE"""),28.9)</f>
        <v>28.9</v>
      </c>
      <c r="W20" s="16">
        <f>IFERROR(__xludf.DUMMYFUNCTION("""COMPUTED_VALUE"""),24.0)</f>
        <v>24</v>
      </c>
      <c r="X20" s="16">
        <f>IFERROR(__xludf.DUMMYFUNCTION("""COMPUTED_VALUE"""),1.0)</f>
        <v>1</v>
      </c>
      <c r="Y20" s="16">
        <f>IFERROR(__xludf.DUMMYFUNCTION("""COMPUTED_VALUE"""),1.0)</f>
        <v>1</v>
      </c>
      <c r="Z20" s="16">
        <f>IFERROR(__xludf.DUMMYFUNCTION("""COMPUTED_VALUE"""),2.0)</f>
        <v>2</v>
      </c>
      <c r="AA20" s="16">
        <f>IFERROR(__xludf.DUMMYFUNCTION("""COMPUTED_VALUE"""),2.0)</f>
        <v>2</v>
      </c>
      <c r="AB20" s="16">
        <f>IFERROR(__xludf.DUMMYFUNCTION("""COMPUTED_VALUE"""),47.9)</f>
        <v>47.9</v>
      </c>
      <c r="AC20" s="16">
        <f>IFERROR(__xludf.DUMMYFUNCTION("""COMPUTED_VALUE"""),35.9)</f>
        <v>35.9</v>
      </c>
      <c r="AD20" s="16">
        <f>IFERROR(__xludf.DUMMYFUNCTION("""COMPUTED_VALUE"""),2.0)</f>
        <v>2</v>
      </c>
      <c r="AE20" s="16">
        <f>IFERROR(__xludf.DUMMYFUNCTION("""COMPUTED_VALUE"""),1.0)</f>
        <v>1</v>
      </c>
      <c r="AF20" s="16">
        <f>IFERROR(__xludf.DUMMYFUNCTION("""COMPUTED_VALUE"""),10.0)</f>
        <v>10</v>
      </c>
      <c r="AG20" s="16">
        <f>IFERROR(__xludf.DUMMYFUNCTION("""COMPUTED_VALUE"""),5.0)</f>
        <v>5</v>
      </c>
      <c r="AH20" s="16">
        <f>IFERROR(__xludf.DUMMYFUNCTION("""COMPUTED_VALUE"""),50.5)</f>
        <v>50.5</v>
      </c>
      <c r="AI20" s="16">
        <f>IFERROR(__xludf.DUMMYFUNCTION("""COMPUTED_VALUE"""),45.3)</f>
        <v>45.3</v>
      </c>
      <c r="AJ20" s="16">
        <f>IFERROR(__xludf.DUMMYFUNCTION("""COMPUTED_VALUE"""),2.0)</f>
        <v>2</v>
      </c>
      <c r="AK20" s="16">
        <f>IFERROR(__xludf.DUMMYFUNCTION("""COMPUTED_VALUE"""),1.0)</f>
        <v>1</v>
      </c>
      <c r="AL20" s="16">
        <f>IFERROR(__xludf.DUMMYFUNCTION("""COMPUTED_VALUE"""),10.0)</f>
        <v>10</v>
      </c>
      <c r="AM20" s="16">
        <f>IFERROR(__xludf.DUMMYFUNCTION("""COMPUTED_VALUE"""),5.0)</f>
        <v>5</v>
      </c>
      <c r="AN20" s="16">
        <f>IFERROR(__xludf.DUMMYFUNCTION("""COMPUTED_VALUE"""),3.6)</f>
        <v>3.6</v>
      </c>
      <c r="AO20" s="16">
        <f>IFERROR(__xludf.DUMMYFUNCTION("""COMPUTED_VALUE"""),4.2)</f>
        <v>4.2</v>
      </c>
      <c r="AP20" s="16">
        <f>IFERROR(__xludf.DUMMYFUNCTION("""COMPUTED_VALUE"""),2.0)</f>
        <v>2</v>
      </c>
      <c r="AQ20" s="16">
        <f>IFERROR(__xludf.DUMMYFUNCTION("""COMPUTED_VALUE"""),2.0)</f>
        <v>2</v>
      </c>
      <c r="AR20" s="16">
        <f>IFERROR(__xludf.DUMMYFUNCTION("""COMPUTED_VALUE"""),4.0)</f>
        <v>4</v>
      </c>
      <c r="AS20" s="16">
        <f>IFERROR(__xludf.DUMMYFUNCTION("""COMPUTED_VALUE"""),4.0)</f>
        <v>4</v>
      </c>
      <c r="AT20" s="16">
        <f>IFERROR(__xludf.DUMMYFUNCTION("""COMPUTED_VALUE"""),4.0)</f>
        <v>4</v>
      </c>
      <c r="AU20" s="16">
        <f>IFERROR(__xludf.DUMMYFUNCTION("""COMPUTED_VALUE"""),6.0)</f>
        <v>6</v>
      </c>
      <c r="AV20" s="16">
        <f>IFERROR(__xludf.DUMMYFUNCTION("""COMPUTED_VALUE"""),4.0)</f>
        <v>4</v>
      </c>
      <c r="AW20" s="16">
        <f>IFERROR(__xludf.DUMMYFUNCTION("""COMPUTED_VALUE"""),6.0)</f>
        <v>6</v>
      </c>
      <c r="AX20" s="16">
        <f>IFERROR(__xludf.DUMMYFUNCTION("""COMPUTED_VALUE"""),2.0)</f>
        <v>2</v>
      </c>
      <c r="AY20" s="16">
        <f>IFERROR(__xludf.DUMMYFUNCTION("""COMPUTED_VALUE"""),2.0)</f>
        <v>2</v>
      </c>
      <c r="AZ20" s="16">
        <f>IFERROR(__xludf.DUMMYFUNCTION("""COMPUTED_VALUE"""),6.0)</f>
        <v>6</v>
      </c>
      <c r="BA20" s="16">
        <f>IFERROR(__xludf.DUMMYFUNCTION("""COMPUTED_VALUE"""),6.0)</f>
        <v>6</v>
      </c>
      <c r="BB20" s="16">
        <f>IFERROR(__xludf.DUMMYFUNCTION("""COMPUTED_VALUE"""),5.0)</f>
        <v>5</v>
      </c>
      <c r="BC20" s="16">
        <f>IFERROR(__xludf.DUMMYFUNCTION("""COMPUTED_VALUE"""),5.0)</f>
        <v>5</v>
      </c>
      <c r="BD20" s="16">
        <f>IFERROR(__xludf.DUMMYFUNCTION("""COMPUTED_VALUE"""),1.0)</f>
        <v>1</v>
      </c>
      <c r="BE20" s="16">
        <f>IFERROR(__xludf.DUMMYFUNCTION("""COMPUTED_VALUE"""),1.0)</f>
        <v>1</v>
      </c>
      <c r="BF20" s="16">
        <f>IFERROR(__xludf.DUMMYFUNCTION("""COMPUTED_VALUE"""),1.0)</f>
        <v>1</v>
      </c>
      <c r="BG20" s="16">
        <f>IFERROR(__xludf.DUMMYFUNCTION("""COMPUTED_VALUE"""),1.0)</f>
        <v>1</v>
      </c>
      <c r="BH20" s="16">
        <f>IFERROR(__xludf.DUMMYFUNCTION("""COMPUTED_VALUE"""),-10.0)</f>
        <v>-10</v>
      </c>
      <c r="BI20" s="16">
        <f>IFERROR(__xludf.DUMMYFUNCTION("""COMPUTED_VALUE"""),-8.0)</f>
        <v>-8</v>
      </c>
      <c r="BJ20" s="16">
        <f>IFERROR(__xludf.DUMMYFUNCTION("""COMPUTED_VALUE"""),19.0)</f>
        <v>19</v>
      </c>
      <c r="BK20" s="16">
        <f>IFERROR(__xludf.DUMMYFUNCTION("""COMPUTED_VALUE"""),21.0)</f>
        <v>21</v>
      </c>
      <c r="BL20" s="16">
        <f>IFERROR(__xludf.DUMMYFUNCTION("""COMPUTED_VALUE"""),-1.0)</f>
        <v>-1</v>
      </c>
      <c r="BM20" s="16">
        <f>IFERROR(__xludf.DUMMYFUNCTION("""COMPUTED_VALUE"""),-2.0)</f>
        <v>-2</v>
      </c>
      <c r="BN20" s="16">
        <f>IFERROR(__xludf.DUMMYFUNCTION("""COMPUTED_VALUE"""),-2.0)</f>
        <v>-2</v>
      </c>
      <c r="BO20" s="16">
        <f>IFERROR(__xludf.DUMMYFUNCTION("""COMPUTED_VALUE"""),-4.0)</f>
        <v>-4</v>
      </c>
      <c r="BP20" s="16">
        <f>IFERROR(__xludf.DUMMYFUNCTION("""COMPUTED_VALUE"""),12.0)</f>
        <v>12</v>
      </c>
      <c r="BQ20" s="16">
        <f>IFERROR(__xludf.DUMMYFUNCTION("""COMPUTED_VALUE"""),7.0)</f>
        <v>7</v>
      </c>
      <c r="BR20" s="16">
        <f>IFERROR(__xludf.DUMMYFUNCTION("""COMPUTED_VALUE"""),19.0)</f>
        <v>19</v>
      </c>
      <c r="BS20" s="16" t="str">
        <f>IFERROR(__xludf.DUMMYFUNCTION("""COMPUTED_VALUE"""),"4,6/- (13-6)")</f>
        <v>4,6/- (13-6)</v>
      </c>
      <c r="BT20" s="16" t="str">
        <f>IFERROR(__xludf.DUMMYFUNCTION("""COMPUTED_VALUE"""),"C")</f>
        <v>C</v>
      </c>
      <c r="BU20" s="16">
        <f>IFERROR(__xludf.DUMMYFUNCTION("""COMPUTED_VALUE"""),13.0)</f>
        <v>13</v>
      </c>
      <c r="BV20" s="16">
        <f>IFERROR(__xludf.DUMMYFUNCTION("""COMPUTED_VALUE"""),0.0)</f>
        <v>0</v>
      </c>
      <c r="BW20" s="16">
        <f>IFERROR(__xludf.DUMMYFUNCTION("""COMPUTED_VALUE"""),1.0)</f>
        <v>1</v>
      </c>
      <c r="BX20" s="16">
        <f>IFERROR(__xludf.DUMMYFUNCTION("""COMPUTED_VALUE"""),0.0)</f>
        <v>0</v>
      </c>
      <c r="BY20" s="16">
        <f>IFERROR(__xludf.DUMMYFUNCTION("""COMPUTED_VALUE"""),3.0)</f>
        <v>3</v>
      </c>
      <c r="BZ20" s="16" t="str">
        <f>IFERROR(__xludf.DUMMYFUNCTION("""COMPUTED_VALUE"""),"C")</f>
        <v>C</v>
      </c>
      <c r="CA20" s="16" t="str">
        <f>IFERROR(__xludf.DUMMYFUNCTION("""COMPUTED_VALUE"""),"B")</f>
        <v>B</v>
      </c>
      <c r="CB20" s="16">
        <f>IFERROR(__xludf.DUMMYFUNCTION("""COMPUTED_VALUE"""),0.0)</f>
        <v>0</v>
      </c>
      <c r="CC20" s="16">
        <f>IFERROR(__xludf.DUMMYFUNCTION("""COMPUTED_VALUE"""),1.0)</f>
        <v>1</v>
      </c>
      <c r="CD20" s="16">
        <f>IFERROR(__xludf.DUMMYFUNCTION("""COMPUTED_VALUE"""),0.0)</f>
        <v>0</v>
      </c>
      <c r="CE20" s="16">
        <f>IFERROR(__xludf.DUMMYFUNCTION("""COMPUTED_VALUE"""),2.0)</f>
        <v>2</v>
      </c>
      <c r="CF20" s="16">
        <f>IFERROR(__xludf.DUMMYFUNCTION("""COMPUTED_VALUE"""),1.0)</f>
        <v>1</v>
      </c>
      <c r="CG20" s="16">
        <f>IFERROR(__xludf.DUMMYFUNCTION("""COMPUTED_VALUE"""),34.0)</f>
        <v>34</v>
      </c>
      <c r="CH20" s="16">
        <f>IFERROR(__xludf.DUMMYFUNCTION("""COMPUTED_VALUE"""),20.0)</f>
        <v>20</v>
      </c>
      <c r="CI20" s="179">
        <f>IFERROR(__xludf.DUMMYFUNCTION("""COMPUTED_VALUE"""),31.0)</f>
        <v>31</v>
      </c>
      <c r="CJ20" s="16"/>
      <c r="CK20" s="16">
        <f>IFERROR(__xludf.DUMMYFUNCTION("""COMPUTED_VALUE"""),206.0)</f>
        <v>206</v>
      </c>
      <c r="CL20" s="16"/>
      <c r="CM20" s="16"/>
      <c r="CN20" s="16"/>
      <c r="CO20" s="16"/>
      <c r="CP20" s="16"/>
      <c r="CQ20" s="16"/>
      <c r="CR20" s="16" t="str">
        <f>IFERROR(__xludf.DUMMYFUNCTION("""COMPUTED_VALUE"""),"1b-2e6")</f>
        <v>1b-2e6</v>
      </c>
      <c r="CS20" s="16"/>
      <c r="CT20" s="16">
        <f>IFERROR(__xludf.DUMMYFUNCTION("""COMPUTED_VALUE"""),2.0)</f>
        <v>2</v>
      </c>
      <c r="CU20" s="16"/>
      <c r="CV20" s="16"/>
      <c r="CW20" s="16"/>
      <c r="CX20" s="16"/>
      <c r="CY20" s="16"/>
      <c r="CZ20" s="16"/>
      <c r="DA20" s="16"/>
      <c r="DB20" s="16">
        <f>IFERROR(__xludf.DUMMYFUNCTION("""COMPUTED_VALUE"""),6.0)</f>
        <v>6</v>
      </c>
      <c r="DC20" s="16"/>
      <c r="DD20" s="16"/>
      <c r="DE20" s="16"/>
      <c r="DF20" s="16"/>
      <c r="DG20" s="16"/>
      <c r="DH20" s="16"/>
      <c r="DI20" s="16"/>
      <c r="DJ20" s="16">
        <f>IFERROR(__xludf.DUMMYFUNCTION("""COMPUTED_VALUE"""),3.0)</f>
        <v>3</v>
      </c>
      <c r="DK20" s="16"/>
      <c r="DL20" s="16"/>
      <c r="DM20" s="16"/>
      <c r="DN20" s="16"/>
      <c r="DO20" s="16"/>
      <c r="DP20" s="16"/>
      <c r="DQ20" s="16"/>
      <c r="DR20" s="16">
        <f>IFERROR(__xludf.DUMMYFUNCTION("""COMPUTED_VALUE"""),2.0)</f>
        <v>2</v>
      </c>
      <c r="DS20" s="16"/>
      <c r="DT20" s="16"/>
      <c r="DU20" s="16"/>
      <c r="DV20" s="16"/>
      <c r="DW20" s="16"/>
      <c r="DX20" s="16"/>
      <c r="DY20" s="16"/>
      <c r="DZ20" s="16">
        <f>IFERROR(__xludf.DUMMYFUNCTION("""COMPUTED_VALUE"""),5.0)</f>
        <v>5</v>
      </c>
      <c r="EA20" s="16"/>
      <c r="EB20" s="16"/>
      <c r="EC20" s="16"/>
      <c r="ED20" s="16"/>
      <c r="EE20" s="16"/>
      <c r="EF20" s="16"/>
      <c r="EG20" s="179"/>
      <c r="EH20" s="179">
        <f>IFERROR(__xludf.DUMMYFUNCTION("""COMPUTED_VALUE"""),36.0)</f>
        <v>36</v>
      </c>
      <c r="EI20" s="179"/>
      <c r="EJ20" s="179"/>
      <c r="EK20" s="179"/>
      <c r="EL20" s="179"/>
      <c r="EM20" s="179"/>
      <c r="EN20" s="179"/>
      <c r="EO20" s="16"/>
      <c r="EP20" s="16"/>
      <c r="EQ20" s="16">
        <f>IFERROR(__xludf.DUMMYFUNCTION("""COMPUTED_VALUE"""),4.0)</f>
        <v>4</v>
      </c>
      <c r="ER20" s="16">
        <f>IFERROR(__xludf.DUMMYFUNCTION("""COMPUTED_VALUE"""),2.0)</f>
        <v>2</v>
      </c>
      <c r="ES20" s="16"/>
      <c r="ET20" s="16"/>
      <c r="EU20" s="16"/>
      <c r="EV20" s="16"/>
      <c r="EW20" s="16"/>
      <c r="EX20" s="180"/>
      <c r="EY20" s="180">
        <f>IFERROR(__xludf.DUMMYFUNCTION("""COMPUTED_VALUE"""),0.1)</f>
        <v>0.1</v>
      </c>
      <c r="EZ20" s="180"/>
      <c r="FA20" s="180"/>
      <c r="FB20" s="180"/>
      <c r="FC20" s="180"/>
      <c r="FD20" s="180"/>
      <c r="FE20" s="180"/>
      <c r="FF20" s="180"/>
      <c r="FG20" s="180">
        <f>IFERROR(__xludf.DUMMYFUNCTION("""COMPUTED_VALUE"""),0.10648148148148148)</f>
        <v>0.1064814815</v>
      </c>
      <c r="FH20" s="180"/>
      <c r="FI20" s="180"/>
      <c r="FJ20" s="180"/>
      <c r="FK20" s="180"/>
      <c r="FL20" s="180"/>
      <c r="FM20" s="180"/>
      <c r="FN20" s="16"/>
      <c r="FO20" s="16">
        <f>IFERROR(__xludf.DUMMYFUNCTION("""COMPUTED_VALUE"""),0.8041666666666667)</f>
        <v>0.8041666667</v>
      </c>
      <c r="FP20" s="16"/>
      <c r="FQ20" s="16"/>
      <c r="FR20" s="16"/>
      <c r="FS20" s="16"/>
      <c r="FT20" s="16"/>
      <c r="FU20" s="16"/>
      <c r="FV20" s="16"/>
      <c r="FW20" s="16">
        <f>IFERROR(__xludf.DUMMYFUNCTION("""COMPUTED_VALUE"""),1.0)</f>
        <v>1</v>
      </c>
      <c r="FX20" s="16"/>
      <c r="FY20" s="16"/>
      <c r="FZ20" s="16"/>
      <c r="GA20" s="16"/>
      <c r="GB20" s="16"/>
      <c r="GC20" s="16"/>
      <c r="GD20" s="16" t="s">
        <v>289</v>
      </c>
    </row>
    <row r="21">
      <c r="A21" s="16">
        <f>IFERROR(__xludf.DUMMYFUNCTION("""COMPUTED_VALUE"""),13281.0)</f>
        <v>13281</v>
      </c>
      <c r="B21" s="16" t="str">
        <f>IFERROR(__xludf.DUMMYFUNCTION("""COMPUTED_VALUE"""),"Pavin Smith")</f>
        <v>Pavin Smith</v>
      </c>
      <c r="C21" s="16">
        <f>IFERROR(__xludf.DUMMYFUNCTION("""COMPUTED_VALUE"""),1.1)</f>
        <v>1.1</v>
      </c>
      <c r="D21" s="16" t="str">
        <f>IFERROR(__xludf.DUMMYFUNCTION("""COMPUTED_VALUE"""),"L")</f>
        <v>L</v>
      </c>
      <c r="E21" s="16"/>
      <c r="F21" s="16"/>
      <c r="G21" s="16">
        <f>IFERROR(__xludf.DUMMYFUNCTION("""COMPUTED_VALUE"""),137.0)</f>
        <v>137</v>
      </c>
      <c r="H21" s="16">
        <f>IFERROR(__xludf.DUMMYFUNCTION("""COMPUTED_VALUE"""),18.0)</f>
        <v>18</v>
      </c>
      <c r="I21" s="16" t="str">
        <f>IFERROR(__xludf.DUMMYFUNCTION("""COMPUTED_VALUE"""),"1p30")</f>
        <v>1p30</v>
      </c>
      <c r="J21" s="16">
        <f>IFERROR(__xludf.DUMMYFUNCTION("""COMPUTED_VALUE"""),11.0)</f>
        <v>11</v>
      </c>
      <c r="K21" s="16">
        <f>IFERROR(__xludf.DUMMYFUNCTION("""COMPUTED_VALUE"""),20.0)</f>
        <v>20</v>
      </c>
      <c r="L21" s="16">
        <f>IFERROR(__xludf.DUMMYFUNCTION("""COMPUTED_VALUE"""),1.0)</f>
        <v>1</v>
      </c>
      <c r="M21" s="16">
        <f>IFERROR(__xludf.DUMMYFUNCTION("""COMPUTED_VALUE"""),0.0)</f>
        <v>0</v>
      </c>
      <c r="N21" s="16">
        <f>IFERROR(__xludf.DUMMYFUNCTION("""COMPUTED_VALUE"""),1.0)</f>
        <v>1</v>
      </c>
      <c r="O21" s="16">
        <f>IFERROR(__xludf.DUMMYFUNCTION("""COMPUTED_VALUE"""),0.0)</f>
        <v>0</v>
      </c>
      <c r="P21" s="16">
        <f>IFERROR(__xludf.DUMMYFUNCTION("""COMPUTED_VALUE"""),20.0)</f>
        <v>20</v>
      </c>
      <c r="Q21" s="16">
        <f>IFERROR(__xludf.DUMMYFUNCTION("""COMPUTED_VALUE"""),15.0)</f>
        <v>15</v>
      </c>
      <c r="R21" s="16">
        <f>IFERROR(__xludf.DUMMYFUNCTION("""COMPUTED_VALUE"""),3.0)</f>
        <v>3</v>
      </c>
      <c r="S21" s="16">
        <f>IFERROR(__xludf.DUMMYFUNCTION("""COMPUTED_VALUE"""),2.0)</f>
        <v>2</v>
      </c>
      <c r="T21" s="16">
        <f>IFERROR(__xludf.DUMMYFUNCTION("""COMPUTED_VALUE"""),3.0)</f>
        <v>3</v>
      </c>
      <c r="U21" s="16">
        <f>IFERROR(__xludf.DUMMYFUNCTION("""COMPUTED_VALUE"""),2.0)</f>
        <v>2</v>
      </c>
      <c r="V21" s="16">
        <f>IFERROR(__xludf.DUMMYFUNCTION("""COMPUTED_VALUE"""),10.7)</f>
        <v>10.7</v>
      </c>
      <c r="W21" s="16">
        <f>IFERROR(__xludf.DUMMYFUNCTION("""COMPUTED_VALUE"""),23.9)</f>
        <v>23.9</v>
      </c>
      <c r="X21" s="16">
        <f>IFERROR(__xludf.DUMMYFUNCTION("""COMPUTED_VALUE"""),-1.0)</f>
        <v>-1</v>
      </c>
      <c r="Y21" s="16">
        <f>IFERROR(__xludf.DUMMYFUNCTION("""COMPUTED_VALUE"""),1.0)</f>
        <v>1</v>
      </c>
      <c r="Z21" s="16">
        <f>IFERROR(__xludf.DUMMYFUNCTION("""COMPUTED_VALUE"""),-2.0)</f>
        <v>-2</v>
      </c>
      <c r="AA21" s="16">
        <f>IFERROR(__xludf.DUMMYFUNCTION("""COMPUTED_VALUE"""),2.0)</f>
        <v>2</v>
      </c>
      <c r="AB21" s="16">
        <f>IFERROR(__xludf.DUMMYFUNCTION("""COMPUTED_VALUE"""),30.7)</f>
        <v>30.7</v>
      </c>
      <c r="AC21" s="16">
        <f>IFERROR(__xludf.DUMMYFUNCTION("""COMPUTED_VALUE"""),38.9)</f>
        <v>38.9</v>
      </c>
      <c r="AD21" s="16">
        <f>IFERROR(__xludf.DUMMYFUNCTION("""COMPUTED_VALUE"""),0.0)</f>
        <v>0</v>
      </c>
      <c r="AE21" s="16">
        <f>IFERROR(__xludf.DUMMYFUNCTION("""COMPUTED_VALUE"""),1.0)</f>
        <v>1</v>
      </c>
      <c r="AF21" s="16">
        <f>IFERROR(__xludf.DUMMYFUNCTION("""COMPUTED_VALUE"""),0.0)</f>
        <v>0</v>
      </c>
      <c r="AG21" s="16">
        <f>IFERROR(__xludf.DUMMYFUNCTION("""COMPUTED_VALUE"""),5.0)</f>
        <v>5</v>
      </c>
      <c r="AH21" s="16">
        <f>IFERROR(__xludf.DUMMYFUNCTION("""COMPUTED_VALUE"""),28.9)</f>
        <v>28.9</v>
      </c>
      <c r="AI21" s="16">
        <f>IFERROR(__xludf.DUMMYFUNCTION("""COMPUTED_VALUE"""),57.1)</f>
        <v>57.1</v>
      </c>
      <c r="AJ21" s="16">
        <f>IFERROR(__xludf.DUMMYFUNCTION("""COMPUTED_VALUE"""),0.0)</f>
        <v>0</v>
      </c>
      <c r="AK21" s="16">
        <f>IFERROR(__xludf.DUMMYFUNCTION("""COMPUTED_VALUE"""),2.0)</f>
        <v>2</v>
      </c>
      <c r="AL21" s="16">
        <f>IFERROR(__xludf.DUMMYFUNCTION("""COMPUTED_VALUE"""),0.0)</f>
        <v>0</v>
      </c>
      <c r="AM21" s="16">
        <f>IFERROR(__xludf.DUMMYFUNCTION("""COMPUTED_VALUE"""),10.0)</f>
        <v>10</v>
      </c>
      <c r="AN21" s="16">
        <f>IFERROR(__xludf.DUMMYFUNCTION("""COMPUTED_VALUE"""),4.4)</f>
        <v>4.4</v>
      </c>
      <c r="AO21" s="16">
        <f>IFERROR(__xludf.DUMMYFUNCTION("""COMPUTED_VALUE"""),7.4)</f>
        <v>7.4</v>
      </c>
      <c r="AP21" s="16">
        <f>IFERROR(__xludf.DUMMYFUNCTION("""COMPUTED_VALUE"""),2.0)</f>
        <v>2</v>
      </c>
      <c r="AQ21" s="16">
        <f>IFERROR(__xludf.DUMMYFUNCTION("""COMPUTED_VALUE"""),3.0)</f>
        <v>3</v>
      </c>
      <c r="AR21" s="16">
        <f>IFERROR(__xludf.DUMMYFUNCTION("""COMPUTED_VALUE"""),4.0)</f>
        <v>4</v>
      </c>
      <c r="AS21" s="16">
        <f>IFERROR(__xludf.DUMMYFUNCTION("""COMPUTED_VALUE"""),6.0)</f>
        <v>6</v>
      </c>
      <c r="AT21" s="16"/>
      <c r="AU21" s="16">
        <f>IFERROR(__xludf.DUMMYFUNCTION("""COMPUTED_VALUE"""),8.0)</f>
        <v>8</v>
      </c>
      <c r="AV21" s="16">
        <f>IFERROR(__xludf.DUMMYFUNCTION("""COMPUTED_VALUE"""),8.0)</f>
        <v>8</v>
      </c>
      <c r="AW21" s="16">
        <f>IFERROR(__xludf.DUMMYFUNCTION("""COMPUTED_VALUE"""),8.0)</f>
        <v>8</v>
      </c>
      <c r="AX21" s="16">
        <f>IFERROR(__xludf.DUMMYFUNCTION("""COMPUTED_VALUE"""),3.0)</f>
        <v>3</v>
      </c>
      <c r="AY21" s="16">
        <f>IFERROR(__xludf.DUMMYFUNCTION("""COMPUTED_VALUE"""),3.0)</f>
        <v>3</v>
      </c>
      <c r="AZ21" s="16">
        <f>IFERROR(__xludf.DUMMYFUNCTION("""COMPUTED_VALUE"""),9.0)</f>
        <v>9</v>
      </c>
      <c r="BA21" s="16">
        <f>IFERROR(__xludf.DUMMYFUNCTION("""COMPUTED_VALUE"""),9.0)</f>
        <v>9</v>
      </c>
      <c r="BB21" s="16">
        <f>IFERROR(__xludf.DUMMYFUNCTION("""COMPUTED_VALUE"""),0.0)</f>
        <v>0</v>
      </c>
      <c r="BC21" s="16">
        <f>IFERROR(__xludf.DUMMYFUNCTION("""COMPUTED_VALUE"""),5.0)</f>
        <v>5</v>
      </c>
      <c r="BD21" s="16">
        <f>IFERROR(__xludf.DUMMYFUNCTION("""COMPUTED_VALUE"""),0.0)</f>
        <v>0</v>
      </c>
      <c r="BE21" s="16">
        <f>IFERROR(__xludf.DUMMYFUNCTION("""COMPUTED_VALUE"""),1.0)</f>
        <v>1</v>
      </c>
      <c r="BF21" s="16">
        <f>IFERROR(__xludf.DUMMYFUNCTION("""COMPUTED_VALUE"""),0.0)</f>
        <v>0</v>
      </c>
      <c r="BG21" s="16">
        <f>IFERROR(__xludf.DUMMYFUNCTION("""COMPUTED_VALUE"""),1.0)</f>
        <v>1</v>
      </c>
      <c r="BH21" s="16">
        <f>IFERROR(__xludf.DUMMYFUNCTION("""COMPUTED_VALUE"""),0.0)</f>
        <v>0</v>
      </c>
      <c r="BI21" s="16">
        <f>IFERROR(__xludf.DUMMYFUNCTION("""COMPUTED_VALUE"""),-3.0)</f>
        <v>-3</v>
      </c>
      <c r="BJ21" s="16">
        <f>IFERROR(__xludf.DUMMYFUNCTION("""COMPUTED_VALUE"""),18.0)</f>
        <v>18</v>
      </c>
      <c r="BK21" s="16">
        <f>IFERROR(__xludf.DUMMYFUNCTION("""COMPUTED_VALUE"""),19.0)</f>
        <v>19</v>
      </c>
      <c r="BL21" s="16">
        <f>IFERROR(__xludf.DUMMYFUNCTION("""COMPUTED_VALUE"""),-1.0)</f>
        <v>-1</v>
      </c>
      <c r="BM21" s="16">
        <f>IFERROR(__xludf.DUMMYFUNCTION("""COMPUTED_VALUE"""),-1.0)</f>
        <v>-1</v>
      </c>
      <c r="BN21" s="16">
        <f>IFERROR(__xludf.DUMMYFUNCTION("""COMPUTED_VALUE"""),-2.0)</f>
        <v>-2</v>
      </c>
      <c r="BO21" s="16">
        <f>IFERROR(__xludf.DUMMYFUNCTION("""COMPUTED_VALUE"""),-2.0)</f>
        <v>-2</v>
      </c>
      <c r="BP21" s="16">
        <f>IFERROR(__xludf.DUMMYFUNCTION("""COMPUTED_VALUE"""),7.0)</f>
        <v>7</v>
      </c>
      <c r="BQ21" s="16">
        <f>IFERROR(__xludf.DUMMYFUNCTION("""COMPUTED_VALUE"""),12.0)</f>
        <v>12</v>
      </c>
      <c r="BR21" s="16">
        <f>IFERROR(__xludf.DUMMYFUNCTION("""COMPUTED_VALUE"""),19.0)</f>
        <v>19</v>
      </c>
      <c r="BS21" s="16" t="str">
        <f>IFERROR(__xludf.DUMMYFUNCTION("""COMPUTED_VALUE"""),"2/- (20-6)")</f>
        <v>2/- (20-6)</v>
      </c>
      <c r="BT21" s="16" t="str">
        <f>IFERROR(__xludf.DUMMYFUNCTION("""COMPUTED_VALUE"""),"E")</f>
        <v>E</v>
      </c>
      <c r="BU21" s="16">
        <f>IFERROR(__xludf.DUMMYFUNCTION("""COMPUTED_VALUE"""),10.0)</f>
        <v>10</v>
      </c>
      <c r="BV21" s="16">
        <f>IFERROR(__xludf.DUMMYFUNCTION("""COMPUTED_VALUE"""),0.0)</f>
        <v>0</v>
      </c>
      <c r="BW21" s="16">
        <f>IFERROR(__xludf.DUMMYFUNCTION("""COMPUTED_VALUE"""),0.0)</f>
        <v>0</v>
      </c>
      <c r="BX21" s="16">
        <f>IFERROR(__xludf.DUMMYFUNCTION("""COMPUTED_VALUE"""),0.0)</f>
        <v>0</v>
      </c>
      <c r="BY21" s="16">
        <f>IFERROR(__xludf.DUMMYFUNCTION("""COMPUTED_VALUE"""),0.0)</f>
        <v>0</v>
      </c>
      <c r="BZ21" s="16" t="str">
        <f>IFERROR(__xludf.DUMMYFUNCTION("""COMPUTED_VALUE"""),"D")</f>
        <v>D</v>
      </c>
      <c r="CA21" s="16" t="str">
        <f>IFERROR(__xludf.DUMMYFUNCTION("""COMPUTED_VALUE"""),"C")</f>
        <v>C</v>
      </c>
      <c r="CB21" s="16">
        <f>IFERROR(__xludf.DUMMYFUNCTION("""COMPUTED_VALUE"""),0.0)</f>
        <v>0</v>
      </c>
      <c r="CC21" s="16">
        <f>IFERROR(__xludf.DUMMYFUNCTION("""COMPUTED_VALUE"""),0.0)</f>
        <v>0</v>
      </c>
      <c r="CD21" s="16">
        <f>IFERROR(__xludf.DUMMYFUNCTION("""COMPUTED_VALUE"""),0.0)</f>
        <v>0</v>
      </c>
      <c r="CE21" s="16">
        <f>IFERROR(__xludf.DUMMYFUNCTION("""COMPUTED_VALUE"""),0.0)</f>
        <v>0</v>
      </c>
      <c r="CF21" s="16">
        <f>IFERROR(__xludf.DUMMYFUNCTION("""COMPUTED_VALUE"""),1.0)</f>
        <v>1</v>
      </c>
      <c r="CG21" s="16">
        <f>IFERROR(__xludf.DUMMYFUNCTION("""COMPUTED_VALUE"""),13.0)</f>
        <v>13</v>
      </c>
      <c r="CH21" s="16">
        <f>IFERROR(__xludf.DUMMYFUNCTION("""COMPUTED_VALUE"""),33.0)</f>
        <v>33</v>
      </c>
      <c r="CI21" s="179">
        <f>IFERROR(__xludf.DUMMYFUNCTION("""COMPUTED_VALUE"""),30.0)</f>
        <v>30</v>
      </c>
      <c r="CJ21" s="16"/>
      <c r="CK21" s="16">
        <f>IFERROR(__xludf.DUMMYFUNCTION("""COMPUTED_VALUE"""),418.0)</f>
        <v>418</v>
      </c>
      <c r="CL21" s="16"/>
      <c r="CM21" s="16"/>
      <c r="CN21" s="16"/>
      <c r="CO21" s="16">
        <f>IFERROR(__xludf.DUMMYFUNCTION("""COMPUTED_VALUE"""),408.0)</f>
        <v>408</v>
      </c>
      <c r="CP21" s="16"/>
      <c r="CQ21" s="16">
        <f>IFERROR(__xludf.DUMMYFUNCTION("""COMPUTED_VALUE"""),408.0)</f>
        <v>408</v>
      </c>
      <c r="CR21" s="16" t="str">
        <f>IFERROR(__xludf.DUMMYFUNCTION("""COMPUTED_VALUE"""),"lf-4(+2)e8 rf-4e8 1b-4e18")</f>
        <v>lf-4(+2)e8 rf-4e8 1b-4e18</v>
      </c>
      <c r="CS21" s="16"/>
      <c r="CT21" s="16">
        <f>IFERROR(__xludf.DUMMYFUNCTION("""COMPUTED_VALUE"""),4.0)</f>
        <v>4</v>
      </c>
      <c r="CU21" s="16"/>
      <c r="CV21" s="16"/>
      <c r="CW21" s="16"/>
      <c r="CX21" s="16">
        <f>IFERROR(__xludf.DUMMYFUNCTION("""COMPUTED_VALUE"""),4.0)</f>
        <v>4</v>
      </c>
      <c r="CY21" s="16"/>
      <c r="CZ21" s="16">
        <f>IFERROR(__xludf.DUMMYFUNCTION("""COMPUTED_VALUE"""),4.0)</f>
        <v>4</v>
      </c>
      <c r="DA21" s="16"/>
      <c r="DB21" s="16">
        <f>IFERROR(__xludf.DUMMYFUNCTION("""COMPUTED_VALUE"""),18.0)</f>
        <v>18</v>
      </c>
      <c r="DC21" s="16"/>
      <c r="DD21" s="16"/>
      <c r="DE21" s="16"/>
      <c r="DF21" s="16">
        <f>IFERROR(__xludf.DUMMYFUNCTION("""COMPUTED_VALUE"""),8.0)</f>
        <v>8</v>
      </c>
      <c r="DG21" s="16"/>
      <c r="DH21" s="16">
        <f>IFERROR(__xludf.DUMMYFUNCTION("""COMPUTED_VALUE"""),8.0)</f>
        <v>8</v>
      </c>
      <c r="DI21" s="16"/>
      <c r="DJ21" s="16">
        <f>IFERROR(__xludf.DUMMYFUNCTION("""COMPUTED_VALUE"""),0.0)</f>
        <v>0</v>
      </c>
      <c r="DK21" s="16"/>
      <c r="DL21" s="16"/>
      <c r="DM21" s="16"/>
      <c r="DN21" s="16">
        <f>IFERROR(__xludf.DUMMYFUNCTION("""COMPUTED_VALUE"""),-1.0)</f>
        <v>-1</v>
      </c>
      <c r="DO21" s="16"/>
      <c r="DP21" s="16">
        <f>IFERROR(__xludf.DUMMYFUNCTION("""COMPUTED_VALUE"""),-1.0)</f>
        <v>-1</v>
      </c>
      <c r="DQ21" s="16"/>
      <c r="DR21" s="16">
        <f>IFERROR(__xludf.DUMMYFUNCTION("""COMPUTED_VALUE"""),0.0)</f>
        <v>0</v>
      </c>
      <c r="DS21" s="16"/>
      <c r="DT21" s="16"/>
      <c r="DU21" s="16"/>
      <c r="DV21" s="16">
        <f>IFERROR(__xludf.DUMMYFUNCTION("""COMPUTED_VALUE"""),0.0)</f>
        <v>0</v>
      </c>
      <c r="DW21" s="16"/>
      <c r="DX21" s="16">
        <f>IFERROR(__xludf.DUMMYFUNCTION("""COMPUTED_VALUE"""),0.0)</f>
        <v>0</v>
      </c>
      <c r="DY21" s="16"/>
      <c r="DZ21" s="16">
        <f>IFERROR(__xludf.DUMMYFUNCTION("""COMPUTED_VALUE"""),0.0)</f>
        <v>0</v>
      </c>
      <c r="EA21" s="16"/>
      <c r="EB21" s="16"/>
      <c r="EC21" s="16"/>
      <c r="ED21" s="16">
        <f>IFERROR(__xludf.DUMMYFUNCTION("""COMPUTED_VALUE"""),-1.0)</f>
        <v>-1</v>
      </c>
      <c r="EE21" s="16"/>
      <c r="EF21" s="16">
        <f>IFERROR(__xludf.DUMMYFUNCTION("""COMPUTED_VALUE"""),-1.0)</f>
        <v>-1</v>
      </c>
      <c r="EG21" s="179"/>
      <c r="EH21" s="179">
        <f>IFERROR(__xludf.DUMMYFUNCTION("""COMPUTED_VALUE"""),30.0)</f>
        <v>30</v>
      </c>
      <c r="EI21" s="179"/>
      <c r="EJ21" s="179"/>
      <c r="EK21" s="179"/>
      <c r="EL21" s="179">
        <f>IFERROR(__xludf.DUMMYFUNCTION("""COMPUTED_VALUE"""),29.0)</f>
        <v>29</v>
      </c>
      <c r="EM21" s="179"/>
      <c r="EN21" s="179">
        <f>IFERROR(__xludf.DUMMYFUNCTION("""COMPUTED_VALUE"""),29.0)</f>
        <v>29</v>
      </c>
      <c r="EO21" s="16"/>
      <c r="EP21" s="16">
        <f>IFERROR(__xludf.DUMMYFUNCTION("""COMPUTED_VALUE"""),-1.0)</f>
        <v>-1</v>
      </c>
      <c r="EQ21" s="16">
        <f>IFERROR(__xludf.DUMMYFUNCTION("""COMPUTED_VALUE"""),4.0)</f>
        <v>4</v>
      </c>
      <c r="ER21" s="16">
        <f>IFERROR(__xludf.DUMMYFUNCTION("""COMPUTED_VALUE"""),-2.0)</f>
        <v>-2</v>
      </c>
      <c r="ES21" s="16"/>
      <c r="ET21" s="16"/>
      <c r="EU21" s="16"/>
      <c r="EV21" s="16"/>
      <c r="EW21" s="16"/>
      <c r="EX21" s="180"/>
      <c r="EY21" s="180">
        <f>IFERROR(__xludf.DUMMYFUNCTION("""COMPUTED_VALUE"""),0.3)</f>
        <v>0.3</v>
      </c>
      <c r="EZ21" s="180"/>
      <c r="FA21" s="180"/>
      <c r="FB21" s="180"/>
      <c r="FC21" s="180">
        <f>IFERROR(__xludf.DUMMYFUNCTION("""COMPUTED_VALUE"""),0.55)</f>
        <v>0.55</v>
      </c>
      <c r="FD21" s="180"/>
      <c r="FE21" s="180">
        <f>IFERROR(__xludf.DUMMYFUNCTION("""COMPUTED_VALUE"""),0.55)</f>
        <v>0.55</v>
      </c>
      <c r="FF21" s="180"/>
      <c r="FG21" s="180">
        <f>IFERROR(__xludf.DUMMYFUNCTION("""COMPUTED_VALUE"""),0.32407407407407407)</f>
        <v>0.3240740741</v>
      </c>
      <c r="FH21" s="180"/>
      <c r="FI21" s="180"/>
      <c r="FJ21" s="180"/>
      <c r="FK21" s="180">
        <f>IFERROR(__xludf.DUMMYFUNCTION("""COMPUTED_VALUE"""),0.144)</f>
        <v>0.144</v>
      </c>
      <c r="FL21" s="180"/>
      <c r="FM21" s="180">
        <f>IFERROR(__xludf.DUMMYFUNCTION("""COMPUTED_VALUE"""),0.144)</f>
        <v>0.144</v>
      </c>
      <c r="FN21" s="16"/>
      <c r="FO21" s="16">
        <f>IFERROR(__xludf.DUMMYFUNCTION("""COMPUTED_VALUE"""),0.4731481481481481)</f>
        <v>0.4731481481</v>
      </c>
      <c r="FP21" s="16"/>
      <c r="FQ21" s="16"/>
      <c r="FR21" s="16"/>
      <c r="FS21" s="16">
        <f>IFERROR(__xludf.DUMMYFUNCTION("""COMPUTED_VALUE"""),0.38519999999999993)</f>
        <v>0.3852</v>
      </c>
      <c r="FT21" s="16"/>
      <c r="FU21" s="16">
        <f>IFERROR(__xludf.DUMMYFUNCTION("""COMPUTED_VALUE"""),0.38519999999999993)</f>
        <v>0.3852</v>
      </c>
      <c r="FV21" s="16"/>
      <c r="FW21" s="16">
        <f>IFERROR(__xludf.DUMMYFUNCTION("""COMPUTED_VALUE"""),-8.0)</f>
        <v>-8</v>
      </c>
      <c r="FX21" s="16"/>
      <c r="FY21" s="16"/>
      <c r="FZ21" s="16"/>
      <c r="GA21" s="16">
        <f>IFERROR(__xludf.DUMMYFUNCTION("""COMPUTED_VALUE"""),-7.0)</f>
        <v>-7</v>
      </c>
      <c r="GB21" s="16"/>
      <c r="GC21" s="16">
        <f>IFERROR(__xludf.DUMMYFUNCTION("""COMPUTED_VALUE"""),-7.0)</f>
        <v>-7</v>
      </c>
      <c r="GD21" s="16" t="s">
        <v>212</v>
      </c>
    </row>
    <row r="22">
      <c r="A22" s="16">
        <f>IFERROR(__xludf.DUMMYFUNCTION("""COMPUTED_VALUE"""),13312.0)</f>
        <v>13312</v>
      </c>
      <c r="B22" s="16" t="str">
        <f>IFERROR(__xludf.DUMMYFUNCTION("""COMPUTED_VALUE"""),"Riley Greene")</f>
        <v>Riley Greene</v>
      </c>
      <c r="C22" s="16">
        <f>IFERROR(__xludf.DUMMYFUNCTION("""COMPUTED_VALUE"""),2.68)</f>
        <v>2.68</v>
      </c>
      <c r="D22" s="16" t="str">
        <f>IFERROR(__xludf.DUMMYFUNCTION("""COMPUTED_VALUE"""),"L")</f>
        <v>L</v>
      </c>
      <c r="E22" s="16"/>
      <c r="F22" s="16"/>
      <c r="G22" s="16">
        <f>IFERROR(__xludf.DUMMYFUNCTION("""COMPUTED_VALUE"""),512.0)</f>
        <v>512</v>
      </c>
      <c r="H22" s="16">
        <f>IFERROR(__xludf.DUMMYFUNCTION("""COMPUTED_VALUE"""),64.0)</f>
        <v>64</v>
      </c>
      <c r="I22" s="16" t="str">
        <f>IFERROR(__xludf.DUMMYFUNCTION("""COMPUTED_VALUE"""),"1p65")</f>
        <v>1p65</v>
      </c>
      <c r="J22" s="16">
        <f>IFERROR(__xludf.DUMMYFUNCTION("""COMPUTED_VALUE"""),38.0)</f>
        <v>38</v>
      </c>
      <c r="K22" s="16">
        <f>IFERROR(__xludf.DUMMYFUNCTION("""COMPUTED_VALUE"""),32.0)</f>
        <v>32</v>
      </c>
      <c r="L22" s="16">
        <f>IFERROR(__xludf.DUMMYFUNCTION("""COMPUTED_VALUE"""),-1.0)</f>
        <v>-1</v>
      </c>
      <c r="M22" s="16">
        <f>IFERROR(__xludf.DUMMYFUNCTION("""COMPUTED_VALUE"""),-1.0)</f>
        <v>-1</v>
      </c>
      <c r="N22" s="16">
        <f>IFERROR(__xludf.DUMMYFUNCTION("""COMPUTED_VALUE"""),-1.0)</f>
        <v>-1</v>
      </c>
      <c r="O22" s="16">
        <f>IFERROR(__xludf.DUMMYFUNCTION("""COMPUTED_VALUE"""),-1.0)</f>
        <v>-1</v>
      </c>
      <c r="P22" s="16">
        <f>IFERROR(__xludf.DUMMYFUNCTION("""COMPUTED_VALUE"""),4.0)</f>
        <v>4</v>
      </c>
      <c r="Q22" s="16">
        <f>IFERROR(__xludf.DUMMYFUNCTION("""COMPUTED_VALUE"""),17.0)</f>
        <v>17</v>
      </c>
      <c r="R22" s="16">
        <f>IFERROR(__xludf.DUMMYFUNCTION("""COMPUTED_VALUE"""),-2.0)</f>
        <v>-2</v>
      </c>
      <c r="S22" s="16">
        <f>IFERROR(__xludf.DUMMYFUNCTION("""COMPUTED_VALUE"""),2.0)</f>
        <v>2</v>
      </c>
      <c r="T22" s="16">
        <f>IFERROR(__xludf.DUMMYFUNCTION("""COMPUTED_VALUE"""),-2.0)</f>
        <v>-2</v>
      </c>
      <c r="U22" s="16">
        <f>IFERROR(__xludf.DUMMYFUNCTION("""COMPUTED_VALUE"""),2.0)</f>
        <v>2</v>
      </c>
      <c r="V22" s="16">
        <f>IFERROR(__xludf.DUMMYFUNCTION("""COMPUTED_VALUE"""),15.0)</f>
        <v>15</v>
      </c>
      <c r="W22" s="16">
        <f>IFERROR(__xludf.DUMMYFUNCTION("""COMPUTED_VALUE"""),23.0)</f>
        <v>23</v>
      </c>
      <c r="X22" s="16">
        <f>IFERROR(__xludf.DUMMYFUNCTION("""COMPUTED_VALUE"""),-1.0)</f>
        <v>-1</v>
      </c>
      <c r="Y22" s="16">
        <f>IFERROR(__xludf.DUMMYFUNCTION("""COMPUTED_VALUE"""),1.0)</f>
        <v>1</v>
      </c>
      <c r="Z22" s="16">
        <f>IFERROR(__xludf.DUMMYFUNCTION("""COMPUTED_VALUE"""),-2.0)</f>
        <v>-2</v>
      </c>
      <c r="AA22" s="16">
        <f>IFERROR(__xludf.DUMMYFUNCTION("""COMPUTED_VALUE"""),2.0)</f>
        <v>2</v>
      </c>
      <c r="AB22" s="16">
        <f>IFERROR(__xludf.DUMMYFUNCTION("""COMPUTED_VALUE"""),21.0)</f>
        <v>21</v>
      </c>
      <c r="AC22" s="16">
        <f>IFERROR(__xludf.DUMMYFUNCTION("""COMPUTED_VALUE"""),42.0)</f>
        <v>42</v>
      </c>
      <c r="AD22" s="16">
        <f>IFERROR(__xludf.DUMMYFUNCTION("""COMPUTED_VALUE"""),-1.0)</f>
        <v>-1</v>
      </c>
      <c r="AE22" s="16">
        <f>IFERROR(__xludf.DUMMYFUNCTION("""COMPUTED_VALUE"""),2.0)</f>
        <v>2</v>
      </c>
      <c r="AF22" s="16">
        <f>IFERROR(__xludf.DUMMYFUNCTION("""COMPUTED_VALUE"""),-5.0)</f>
        <v>-5</v>
      </c>
      <c r="AG22" s="16">
        <f>IFERROR(__xludf.DUMMYFUNCTION("""COMPUTED_VALUE"""),10.0)</f>
        <v>10</v>
      </c>
      <c r="AH22" s="16">
        <f>IFERROR(__xludf.DUMMYFUNCTION("""COMPUTED_VALUE"""),37.2)</f>
        <v>37.2</v>
      </c>
      <c r="AI22" s="16">
        <f>IFERROR(__xludf.DUMMYFUNCTION("""COMPUTED_VALUE"""),40.0)</f>
        <v>40</v>
      </c>
      <c r="AJ22" s="16">
        <f>IFERROR(__xludf.DUMMYFUNCTION("""COMPUTED_VALUE"""),0.0)</f>
        <v>0</v>
      </c>
      <c r="AK22" s="16">
        <f>IFERROR(__xludf.DUMMYFUNCTION("""COMPUTED_VALUE"""),1.0)</f>
        <v>1</v>
      </c>
      <c r="AL22" s="16">
        <f>IFERROR(__xludf.DUMMYFUNCTION("""COMPUTED_VALUE"""),0.0)</f>
        <v>0</v>
      </c>
      <c r="AM22" s="16">
        <f>IFERROR(__xludf.DUMMYFUNCTION("""COMPUTED_VALUE"""),5.0)</f>
        <v>5</v>
      </c>
      <c r="AN22" s="16">
        <f>IFERROR(__xludf.DUMMYFUNCTION("""COMPUTED_VALUE"""),3.2)</f>
        <v>3.2</v>
      </c>
      <c r="AO22" s="16">
        <f>IFERROR(__xludf.DUMMYFUNCTION("""COMPUTED_VALUE"""),3.4)</f>
        <v>3.4</v>
      </c>
      <c r="AP22" s="16">
        <f>IFERROR(__xludf.DUMMYFUNCTION("""COMPUTED_VALUE"""),1.0)</f>
        <v>1</v>
      </c>
      <c r="AQ22" s="16">
        <f>IFERROR(__xludf.DUMMYFUNCTION("""COMPUTED_VALUE"""),1.0)</f>
        <v>1</v>
      </c>
      <c r="AR22" s="16">
        <f>IFERROR(__xludf.DUMMYFUNCTION("""COMPUTED_VALUE"""),2.0)</f>
        <v>2</v>
      </c>
      <c r="AS22" s="16">
        <f>IFERROR(__xludf.DUMMYFUNCTION("""COMPUTED_VALUE"""),2.0)</f>
        <v>2</v>
      </c>
      <c r="AT22" s="16"/>
      <c r="AU22" s="16">
        <f>IFERROR(__xludf.DUMMYFUNCTION("""COMPUTED_VALUE"""),5.0)</f>
        <v>5</v>
      </c>
      <c r="AV22" s="16">
        <f>IFERROR(__xludf.DUMMYFUNCTION("""COMPUTED_VALUE"""),6.0)</f>
        <v>6</v>
      </c>
      <c r="AW22" s="16">
        <f>IFERROR(__xludf.DUMMYFUNCTION("""COMPUTED_VALUE"""),5.0)</f>
        <v>5</v>
      </c>
      <c r="AX22" s="16">
        <f>IFERROR(__xludf.DUMMYFUNCTION("""COMPUTED_VALUE"""),3.0)</f>
        <v>3</v>
      </c>
      <c r="AY22" s="16">
        <f>IFERROR(__xludf.DUMMYFUNCTION("""COMPUTED_VALUE"""),2.0)</f>
        <v>2</v>
      </c>
      <c r="AZ22" s="16">
        <f>IFERROR(__xludf.DUMMYFUNCTION("""COMPUTED_VALUE"""),9.0)</f>
        <v>9</v>
      </c>
      <c r="BA22" s="16">
        <f>IFERROR(__xludf.DUMMYFUNCTION("""COMPUTED_VALUE"""),6.0)</f>
        <v>6</v>
      </c>
      <c r="BB22" s="16">
        <f>IFERROR(__xludf.DUMMYFUNCTION("""COMPUTED_VALUE"""),0.0)</f>
        <v>0</v>
      </c>
      <c r="BC22" s="16">
        <f>IFERROR(__xludf.DUMMYFUNCTION("""COMPUTED_VALUE"""),5.0)</f>
        <v>5</v>
      </c>
      <c r="BD22" s="16">
        <f>IFERROR(__xludf.DUMMYFUNCTION("""COMPUTED_VALUE"""),0.0)</f>
        <v>0</v>
      </c>
      <c r="BE22" s="16">
        <f>IFERROR(__xludf.DUMMYFUNCTION("""COMPUTED_VALUE"""),1.0)</f>
        <v>1</v>
      </c>
      <c r="BF22" s="16">
        <f>IFERROR(__xludf.DUMMYFUNCTION("""COMPUTED_VALUE"""),0.0)</f>
        <v>0</v>
      </c>
      <c r="BG22" s="16">
        <f>IFERROR(__xludf.DUMMYFUNCTION("""COMPUTED_VALUE"""),1.0)</f>
        <v>1</v>
      </c>
      <c r="BH22" s="16">
        <f>IFERROR(__xludf.DUMMYFUNCTION("""COMPUTED_VALUE"""),0.0)</f>
        <v>0</v>
      </c>
      <c r="BI22" s="16">
        <f>IFERROR(__xludf.DUMMYFUNCTION("""COMPUTED_VALUE"""),2.0)</f>
        <v>2</v>
      </c>
      <c r="BJ22" s="16">
        <f>IFERROR(__xludf.DUMMYFUNCTION("""COMPUTED_VALUE"""),0.0)</f>
        <v>0</v>
      </c>
      <c r="BK22" s="16">
        <f>IFERROR(__xludf.DUMMYFUNCTION("""COMPUTED_VALUE"""),0.0)</f>
        <v>0</v>
      </c>
      <c r="BL22" s="16">
        <f>IFERROR(__xludf.DUMMYFUNCTION("""COMPUTED_VALUE"""),3.0)</f>
        <v>3</v>
      </c>
      <c r="BM22" s="16">
        <f>IFERROR(__xludf.DUMMYFUNCTION("""COMPUTED_VALUE"""),3.0)</f>
        <v>3</v>
      </c>
      <c r="BN22" s="16">
        <f>IFERROR(__xludf.DUMMYFUNCTION("""COMPUTED_VALUE"""),3.0)</f>
        <v>3</v>
      </c>
      <c r="BO22" s="16">
        <f>IFERROR(__xludf.DUMMYFUNCTION("""COMPUTED_VALUE"""),3.0)</f>
        <v>3</v>
      </c>
      <c r="BP22" s="16">
        <f>IFERROR(__xludf.DUMMYFUNCTION("""COMPUTED_VALUE"""),2.0)</f>
        <v>2</v>
      </c>
      <c r="BQ22" s="16">
        <f>IFERROR(__xludf.DUMMYFUNCTION("""COMPUTED_VALUE"""),12.0)</f>
        <v>12</v>
      </c>
      <c r="BR22" s="16">
        <f>IFERROR(__xludf.DUMMYFUNCTION("""COMPUTED_VALUE"""),14.0)</f>
        <v>14</v>
      </c>
      <c r="BS22" s="16" t="str">
        <f>IFERROR(__xludf.DUMMYFUNCTION("""COMPUTED_VALUE"""),"6/- (13-6)")</f>
        <v>6/- (13-6)</v>
      </c>
      <c r="BT22" s="16" t="str">
        <f>IFERROR(__xludf.DUMMYFUNCTION("""COMPUTED_VALUE"""),"D")</f>
        <v>D</v>
      </c>
      <c r="BU22" s="16">
        <f>IFERROR(__xludf.DUMMYFUNCTION("""COMPUTED_VALUE"""),13.0)</f>
        <v>13</v>
      </c>
      <c r="BV22" s="16">
        <f>IFERROR(__xludf.DUMMYFUNCTION("""COMPUTED_VALUE"""),0.0)</f>
        <v>0</v>
      </c>
      <c r="BW22" s="16">
        <f>IFERROR(__xludf.DUMMYFUNCTION("""COMPUTED_VALUE"""),1.0)</f>
        <v>1</v>
      </c>
      <c r="BX22" s="16">
        <f>IFERROR(__xludf.DUMMYFUNCTION("""COMPUTED_VALUE"""),0.0)</f>
        <v>0</v>
      </c>
      <c r="BY22" s="16">
        <f>IFERROR(__xludf.DUMMYFUNCTION("""COMPUTED_VALUE"""),3.0)</f>
        <v>3</v>
      </c>
      <c r="BZ22" s="16" t="str">
        <f>IFERROR(__xludf.DUMMYFUNCTION("""COMPUTED_VALUE"""),"D")</f>
        <v>D</v>
      </c>
      <c r="CA22" s="16" t="str">
        <f>IFERROR(__xludf.DUMMYFUNCTION("""COMPUTED_VALUE"""),"C")</f>
        <v>C</v>
      </c>
      <c r="CB22" s="16">
        <f>IFERROR(__xludf.DUMMYFUNCTION("""COMPUTED_VALUE"""),0.0)</f>
        <v>0</v>
      </c>
      <c r="CC22" s="16">
        <f>IFERROR(__xludf.DUMMYFUNCTION("""COMPUTED_VALUE"""),0.0)</f>
        <v>0</v>
      </c>
      <c r="CD22" s="16">
        <f>IFERROR(__xludf.DUMMYFUNCTION("""COMPUTED_VALUE"""),0.0)</f>
        <v>0</v>
      </c>
      <c r="CE22" s="16">
        <f>IFERROR(__xludf.DUMMYFUNCTION("""COMPUTED_VALUE"""),0.0)</f>
        <v>0</v>
      </c>
      <c r="CF22" s="16">
        <f>IFERROR(__xludf.DUMMYFUNCTION("""COMPUTED_VALUE"""),1.0)</f>
        <v>1</v>
      </c>
      <c r="CG22" s="16">
        <f>IFERROR(__xludf.DUMMYFUNCTION("""COMPUTED_VALUE"""),4.0)</f>
        <v>4</v>
      </c>
      <c r="CH22" s="16">
        <f>IFERROR(__xludf.DUMMYFUNCTION("""COMPUTED_VALUE"""),30.0)</f>
        <v>30</v>
      </c>
      <c r="CI22" s="179">
        <f>IFERROR(__xludf.DUMMYFUNCTION("""COMPUTED_VALUE"""),30.0)</f>
        <v>30</v>
      </c>
      <c r="CJ22" s="16"/>
      <c r="CK22" s="16"/>
      <c r="CL22" s="16"/>
      <c r="CM22" s="16"/>
      <c r="CN22" s="16"/>
      <c r="CO22" s="16">
        <f>IFERROR(__xludf.DUMMYFUNCTION("""COMPUTED_VALUE"""),105.0)</f>
        <v>105</v>
      </c>
      <c r="CP22" s="16">
        <f>IFERROR(__xludf.DUMMYFUNCTION("""COMPUTED_VALUE"""),305.0)</f>
        <v>305</v>
      </c>
      <c r="CQ22" s="16">
        <f>IFERROR(__xludf.DUMMYFUNCTION("""COMPUTED_VALUE"""),305.0)</f>
        <v>305</v>
      </c>
      <c r="CR22" s="16" t="str">
        <f>IFERROR(__xludf.DUMMYFUNCTION("""COMPUTED_VALUE"""),"lf-1(-1)e5 cf-3e5 rf-3e5")</f>
        <v>lf-1(-1)e5 cf-3e5 rf-3e5</v>
      </c>
      <c r="CS22" s="16"/>
      <c r="CT22" s="16"/>
      <c r="CU22" s="16"/>
      <c r="CV22" s="16"/>
      <c r="CW22" s="16"/>
      <c r="CX22" s="16">
        <f>IFERROR(__xludf.DUMMYFUNCTION("""COMPUTED_VALUE"""),1.0)</f>
        <v>1</v>
      </c>
      <c r="CY22" s="16">
        <f>IFERROR(__xludf.DUMMYFUNCTION("""COMPUTED_VALUE"""),3.0)</f>
        <v>3</v>
      </c>
      <c r="CZ22" s="16">
        <f>IFERROR(__xludf.DUMMYFUNCTION("""COMPUTED_VALUE"""),3.0)</f>
        <v>3</v>
      </c>
      <c r="DA22" s="16"/>
      <c r="DB22" s="16"/>
      <c r="DC22" s="16"/>
      <c r="DD22" s="16"/>
      <c r="DE22" s="16"/>
      <c r="DF22" s="16">
        <f>IFERROR(__xludf.DUMMYFUNCTION("""COMPUTED_VALUE"""),5.0)</f>
        <v>5</v>
      </c>
      <c r="DG22" s="16">
        <f>IFERROR(__xludf.DUMMYFUNCTION("""COMPUTED_VALUE"""),5.0)</f>
        <v>5</v>
      </c>
      <c r="DH22" s="16">
        <f>IFERROR(__xludf.DUMMYFUNCTION("""COMPUTED_VALUE"""),5.0)</f>
        <v>5</v>
      </c>
      <c r="DI22" s="16"/>
      <c r="DJ22" s="16"/>
      <c r="DK22" s="16"/>
      <c r="DL22" s="16"/>
      <c r="DM22" s="16"/>
      <c r="DN22" s="16">
        <f>IFERROR(__xludf.DUMMYFUNCTION("""COMPUTED_VALUE"""),4.0)</f>
        <v>4</v>
      </c>
      <c r="DO22" s="16">
        <f>IFERROR(__xludf.DUMMYFUNCTION("""COMPUTED_VALUE"""),0.0)</f>
        <v>0</v>
      </c>
      <c r="DP22" s="16">
        <f>IFERROR(__xludf.DUMMYFUNCTION("""COMPUTED_VALUE"""),0.0)</f>
        <v>0</v>
      </c>
      <c r="DQ22" s="16"/>
      <c r="DR22" s="16"/>
      <c r="DS22" s="16"/>
      <c r="DT22" s="16"/>
      <c r="DU22" s="16"/>
      <c r="DV22" s="16">
        <f>IFERROR(__xludf.DUMMYFUNCTION("""COMPUTED_VALUE"""),2.0)</f>
        <v>2</v>
      </c>
      <c r="DW22" s="16">
        <f>IFERROR(__xludf.DUMMYFUNCTION("""COMPUTED_VALUE"""),3.0)</f>
        <v>3</v>
      </c>
      <c r="DX22" s="16">
        <f>IFERROR(__xludf.DUMMYFUNCTION("""COMPUTED_VALUE"""),2.0)</f>
        <v>2</v>
      </c>
      <c r="DY22" s="16"/>
      <c r="DZ22" s="16"/>
      <c r="EA22" s="16"/>
      <c r="EB22" s="16"/>
      <c r="EC22" s="16"/>
      <c r="ED22" s="16">
        <f>IFERROR(__xludf.DUMMYFUNCTION("""COMPUTED_VALUE"""),6.0)</f>
        <v>6</v>
      </c>
      <c r="EE22" s="16">
        <f>IFERROR(__xludf.DUMMYFUNCTION("""COMPUTED_VALUE"""),3.0)</f>
        <v>3</v>
      </c>
      <c r="EF22" s="16">
        <f>IFERROR(__xludf.DUMMYFUNCTION("""COMPUTED_VALUE"""),2.0)</f>
        <v>2</v>
      </c>
      <c r="EG22" s="179"/>
      <c r="EH22" s="179"/>
      <c r="EI22" s="179"/>
      <c r="EJ22" s="179"/>
      <c r="EK22" s="179"/>
      <c r="EL22" s="179">
        <f>IFERROR(__xludf.DUMMYFUNCTION("""COMPUTED_VALUE"""),36.0)</f>
        <v>36</v>
      </c>
      <c r="EM22" s="179">
        <f>IFERROR(__xludf.DUMMYFUNCTION("""COMPUTED_VALUE"""),33.0)</f>
        <v>33</v>
      </c>
      <c r="EN22" s="179">
        <f>IFERROR(__xludf.DUMMYFUNCTION("""COMPUTED_VALUE"""),32.0)</f>
        <v>32</v>
      </c>
      <c r="EO22" s="16"/>
      <c r="EP22" s="16">
        <f>IFERROR(__xludf.DUMMYFUNCTION("""COMPUTED_VALUE"""),1.0)</f>
        <v>1</v>
      </c>
      <c r="EQ22" s="16">
        <f>IFERROR(__xludf.DUMMYFUNCTION("""COMPUTED_VALUE"""),4.0)</f>
        <v>4</v>
      </c>
      <c r="ER22" s="16">
        <f>IFERROR(__xludf.DUMMYFUNCTION("""COMPUTED_VALUE"""),2.0)</f>
        <v>2</v>
      </c>
      <c r="ES22" s="16"/>
      <c r="ET22" s="16"/>
      <c r="EU22" s="16"/>
      <c r="EV22" s="16"/>
      <c r="EW22" s="16"/>
      <c r="EX22" s="180"/>
      <c r="EY22" s="180"/>
      <c r="EZ22" s="180"/>
      <c r="FA22" s="180"/>
      <c r="FB22" s="180"/>
      <c r="FC22" s="180">
        <f>IFERROR(__xludf.DUMMYFUNCTION("""COMPUTED_VALUE"""),0.0)</f>
        <v>0</v>
      </c>
      <c r="FD22" s="180">
        <f>IFERROR(__xludf.DUMMYFUNCTION("""COMPUTED_VALUE"""),0.3)</f>
        <v>0.3</v>
      </c>
      <c r="FE22" s="180">
        <f>IFERROR(__xludf.DUMMYFUNCTION("""COMPUTED_VALUE"""),0.3)</f>
        <v>0.3</v>
      </c>
      <c r="FF22" s="180"/>
      <c r="FG22" s="180"/>
      <c r="FH22" s="180"/>
      <c r="FI22" s="180"/>
      <c r="FJ22" s="180"/>
      <c r="FK22" s="180">
        <f>IFERROR(__xludf.DUMMYFUNCTION("""COMPUTED_VALUE"""),0.088)</f>
        <v>0.088</v>
      </c>
      <c r="FL22" s="180">
        <f>IFERROR(__xludf.DUMMYFUNCTION("""COMPUTED_VALUE"""),0.06018518518518518)</f>
        <v>0.06018518519</v>
      </c>
      <c r="FM22" s="180">
        <f>IFERROR(__xludf.DUMMYFUNCTION("""COMPUTED_VALUE"""),0.088)</f>
        <v>0.088</v>
      </c>
      <c r="FN22" s="16"/>
      <c r="FO22" s="16"/>
      <c r="FP22" s="16"/>
      <c r="FQ22" s="16"/>
      <c r="FR22" s="16"/>
      <c r="FS22" s="16">
        <f>IFERROR(__xludf.DUMMYFUNCTION("""COMPUTED_VALUE"""),0.912)</f>
        <v>0.912</v>
      </c>
      <c r="FT22" s="16">
        <f>IFERROR(__xludf.DUMMYFUNCTION("""COMPUTED_VALUE"""),0.6578703703703703)</f>
        <v>0.6578703704</v>
      </c>
      <c r="FU22" s="16">
        <f>IFERROR(__xludf.DUMMYFUNCTION("""COMPUTED_VALUE"""),0.6384)</f>
        <v>0.6384</v>
      </c>
      <c r="FV22" s="16"/>
      <c r="FW22" s="16"/>
      <c r="FX22" s="16"/>
      <c r="FY22" s="16"/>
      <c r="FZ22" s="16"/>
      <c r="GA22" s="16">
        <f>IFERROR(__xludf.DUMMYFUNCTION("""COMPUTED_VALUE"""),5.0)</f>
        <v>5</v>
      </c>
      <c r="GB22" s="16">
        <f>IFERROR(__xludf.DUMMYFUNCTION("""COMPUTED_VALUE"""),-5.0)</f>
        <v>-5</v>
      </c>
      <c r="GC22" s="16">
        <f>IFERROR(__xludf.DUMMYFUNCTION("""COMPUTED_VALUE"""),-7.0)</f>
        <v>-7</v>
      </c>
      <c r="GD22" s="16" t="s">
        <v>306</v>
      </c>
    </row>
    <row r="23">
      <c r="A23" s="16">
        <f>IFERROR(__xludf.DUMMYFUNCTION("""COMPUTED_VALUE"""),12897.0)</f>
        <v>12897</v>
      </c>
      <c r="B23" s="16" t="str">
        <f>IFERROR(__xludf.DUMMYFUNCTION("""COMPUTED_VALUE"""),"Jackson Merrill")</f>
        <v>Jackson Merrill</v>
      </c>
      <c r="C23" s="16">
        <f>IFERROR(__xludf.DUMMYFUNCTION("""COMPUTED_VALUE"""),2.15)</f>
        <v>2.15</v>
      </c>
      <c r="D23" s="16" t="str">
        <f>IFERROR(__xludf.DUMMYFUNCTION("""COMPUTED_VALUE"""),"L")</f>
        <v>L</v>
      </c>
      <c r="E23" s="16"/>
      <c r="F23" s="16"/>
      <c r="G23" s="16">
        <f>IFERROR(__xludf.DUMMYFUNCTION("""COMPUTED_VALUE"""),554.0)</f>
        <v>554</v>
      </c>
      <c r="H23" s="16">
        <f>IFERROR(__xludf.DUMMYFUNCTION("""COMPUTED_VALUE"""),29.0)</f>
        <v>29</v>
      </c>
      <c r="I23" s="16" t="str">
        <f>IFERROR(__xludf.DUMMYFUNCTION("""COMPUTED_VALUE"""),"1p70")</f>
        <v>1p70</v>
      </c>
      <c r="J23" s="16">
        <f>IFERROR(__xludf.DUMMYFUNCTION("""COMPUTED_VALUE"""),6.0)</f>
        <v>6</v>
      </c>
      <c r="K23" s="16">
        <f>IFERROR(__xludf.DUMMYFUNCTION("""COMPUTED_VALUE"""),15.0)</f>
        <v>15</v>
      </c>
      <c r="L23" s="16">
        <f>IFERROR(__xludf.DUMMYFUNCTION("""COMPUTED_VALUE"""),2.0)</f>
        <v>2</v>
      </c>
      <c r="M23" s="16">
        <f>IFERROR(__xludf.DUMMYFUNCTION("""COMPUTED_VALUE"""),1.0)</f>
        <v>1</v>
      </c>
      <c r="N23" s="16">
        <f>IFERROR(__xludf.DUMMYFUNCTION("""COMPUTED_VALUE"""),2.0)</f>
        <v>2</v>
      </c>
      <c r="O23" s="16">
        <f>IFERROR(__xludf.DUMMYFUNCTION("""COMPUTED_VALUE"""),1.0)</f>
        <v>1</v>
      </c>
      <c r="P23" s="16">
        <f>IFERROR(__xludf.DUMMYFUNCTION("""COMPUTED_VALUE"""),3.0)</f>
        <v>3</v>
      </c>
      <c r="Q23" s="16">
        <f>IFERROR(__xludf.DUMMYFUNCTION("""COMPUTED_VALUE"""),0.0)</f>
        <v>0</v>
      </c>
      <c r="R23" s="16">
        <f>IFERROR(__xludf.DUMMYFUNCTION("""COMPUTED_VALUE"""),-2.0)</f>
        <v>-2</v>
      </c>
      <c r="S23" s="16">
        <f>IFERROR(__xludf.DUMMYFUNCTION("""COMPUTED_VALUE"""),-2.0)</f>
        <v>-2</v>
      </c>
      <c r="T23" s="16">
        <f>IFERROR(__xludf.DUMMYFUNCTION("""COMPUTED_VALUE"""),-2.0)</f>
        <v>-2</v>
      </c>
      <c r="U23" s="16">
        <f>IFERROR(__xludf.DUMMYFUNCTION("""COMPUTED_VALUE"""),-2.0)</f>
        <v>-2</v>
      </c>
      <c r="V23" s="16">
        <f>IFERROR(__xludf.DUMMYFUNCTION("""COMPUTED_VALUE"""),21.0)</f>
        <v>21</v>
      </c>
      <c r="W23" s="16">
        <f>IFERROR(__xludf.DUMMYFUNCTION("""COMPUTED_VALUE"""),34.1)</f>
        <v>34.1</v>
      </c>
      <c r="X23" s="16">
        <f>IFERROR(__xludf.DUMMYFUNCTION("""COMPUTED_VALUE"""),0.0)</f>
        <v>0</v>
      </c>
      <c r="Y23" s="16">
        <f>IFERROR(__xludf.DUMMYFUNCTION("""COMPUTED_VALUE"""),2.0)</f>
        <v>2</v>
      </c>
      <c r="Z23" s="16">
        <f>IFERROR(__xludf.DUMMYFUNCTION("""COMPUTED_VALUE"""),0.0)</f>
        <v>0</v>
      </c>
      <c r="AA23" s="16">
        <f>IFERROR(__xludf.DUMMYFUNCTION("""COMPUTED_VALUE"""),4.0)</f>
        <v>4</v>
      </c>
      <c r="AB23" s="16">
        <f>IFERROR(__xludf.DUMMYFUNCTION("""COMPUTED_VALUE"""),24.0)</f>
        <v>24</v>
      </c>
      <c r="AC23" s="16">
        <f>IFERROR(__xludf.DUMMYFUNCTION("""COMPUTED_VALUE"""),34.1)</f>
        <v>34.1</v>
      </c>
      <c r="AD23" s="16">
        <f>IFERROR(__xludf.DUMMYFUNCTION("""COMPUTED_VALUE"""),-1.0)</f>
        <v>-1</v>
      </c>
      <c r="AE23" s="16">
        <f>IFERROR(__xludf.DUMMYFUNCTION("""COMPUTED_VALUE"""),0.0)</f>
        <v>0</v>
      </c>
      <c r="AF23" s="16">
        <f>IFERROR(__xludf.DUMMYFUNCTION("""COMPUTED_VALUE"""),-5.0)</f>
        <v>-5</v>
      </c>
      <c r="AG23" s="16">
        <f>IFERROR(__xludf.DUMMYFUNCTION("""COMPUTED_VALUE"""),0.0)</f>
        <v>0</v>
      </c>
      <c r="AH23" s="16">
        <f>IFERROR(__xludf.DUMMYFUNCTION("""COMPUTED_VALUE"""),29.0)</f>
        <v>29</v>
      </c>
      <c r="AI23" s="16">
        <f>IFERROR(__xludf.DUMMYFUNCTION("""COMPUTED_VALUE"""),57.5)</f>
        <v>57.5</v>
      </c>
      <c r="AJ23" s="16">
        <f>IFERROR(__xludf.DUMMYFUNCTION("""COMPUTED_VALUE"""),0.0)</f>
        <v>0</v>
      </c>
      <c r="AK23" s="16">
        <f>IFERROR(__xludf.DUMMYFUNCTION("""COMPUTED_VALUE"""),2.0)</f>
        <v>2</v>
      </c>
      <c r="AL23" s="16">
        <f>IFERROR(__xludf.DUMMYFUNCTION("""COMPUTED_VALUE"""),0.0)</f>
        <v>0</v>
      </c>
      <c r="AM23" s="16">
        <f>IFERROR(__xludf.DUMMYFUNCTION("""COMPUTED_VALUE"""),10.0)</f>
        <v>10</v>
      </c>
      <c r="AN23" s="16">
        <f>IFERROR(__xludf.DUMMYFUNCTION("""COMPUTED_VALUE"""),2.4)</f>
        <v>2.4</v>
      </c>
      <c r="AO23" s="16">
        <f>IFERROR(__xludf.DUMMYFUNCTION("""COMPUTED_VALUE"""),3.4)</f>
        <v>3.4</v>
      </c>
      <c r="AP23" s="16">
        <f>IFERROR(__xludf.DUMMYFUNCTION("""COMPUTED_VALUE"""),0.0)</f>
        <v>0</v>
      </c>
      <c r="AQ23" s="16">
        <f>IFERROR(__xludf.DUMMYFUNCTION("""COMPUTED_VALUE"""),1.0)</f>
        <v>1</v>
      </c>
      <c r="AR23" s="16">
        <f>IFERROR(__xludf.DUMMYFUNCTION("""COMPUTED_VALUE"""),0.0)</f>
        <v>0</v>
      </c>
      <c r="AS23" s="16">
        <f>IFERROR(__xludf.DUMMYFUNCTION("""COMPUTED_VALUE"""),2.0)</f>
        <v>2</v>
      </c>
      <c r="AT23" s="16">
        <f>IFERROR(__xludf.DUMMYFUNCTION("""COMPUTED_VALUE"""),4.0)</f>
        <v>4</v>
      </c>
      <c r="AU23" s="16">
        <f>IFERROR(__xludf.DUMMYFUNCTION("""COMPUTED_VALUE"""),6.0)</f>
        <v>6</v>
      </c>
      <c r="AV23" s="16">
        <f>IFERROR(__xludf.DUMMYFUNCTION("""COMPUTED_VALUE"""),4.0)</f>
        <v>4</v>
      </c>
      <c r="AW23" s="16">
        <f>IFERROR(__xludf.DUMMYFUNCTION("""COMPUTED_VALUE"""),6.0)</f>
        <v>6</v>
      </c>
      <c r="AX23" s="16">
        <f>IFERROR(__xludf.DUMMYFUNCTION("""COMPUTED_VALUE"""),2.0)</f>
        <v>2</v>
      </c>
      <c r="AY23" s="16">
        <f>IFERROR(__xludf.DUMMYFUNCTION("""COMPUTED_VALUE"""),2.0)</f>
        <v>2</v>
      </c>
      <c r="AZ23" s="16">
        <f>IFERROR(__xludf.DUMMYFUNCTION("""COMPUTED_VALUE"""),6.0)</f>
        <v>6</v>
      </c>
      <c r="BA23" s="16">
        <f>IFERROR(__xludf.DUMMYFUNCTION("""COMPUTED_VALUE"""),6.0)</f>
        <v>6</v>
      </c>
      <c r="BB23" s="16">
        <f>IFERROR(__xludf.DUMMYFUNCTION("""COMPUTED_VALUE"""),5.0)</f>
        <v>5</v>
      </c>
      <c r="BC23" s="16">
        <f>IFERROR(__xludf.DUMMYFUNCTION("""COMPUTED_VALUE"""),5.0)</f>
        <v>5</v>
      </c>
      <c r="BD23" s="16">
        <f>IFERROR(__xludf.DUMMYFUNCTION("""COMPUTED_VALUE"""),1.0)</f>
        <v>1</v>
      </c>
      <c r="BE23" s="16">
        <f>IFERROR(__xludf.DUMMYFUNCTION("""COMPUTED_VALUE"""),1.0)</f>
        <v>1</v>
      </c>
      <c r="BF23" s="16">
        <f>IFERROR(__xludf.DUMMYFUNCTION("""COMPUTED_VALUE"""),1.0)</f>
        <v>1</v>
      </c>
      <c r="BG23" s="16">
        <f>IFERROR(__xludf.DUMMYFUNCTION("""COMPUTED_VALUE"""),1.0)</f>
        <v>1</v>
      </c>
      <c r="BH23" s="16">
        <f>IFERROR(__xludf.DUMMYFUNCTION("""COMPUTED_VALUE"""),0.0)</f>
        <v>0</v>
      </c>
      <c r="BI23" s="16">
        <f>IFERROR(__xludf.DUMMYFUNCTION("""COMPUTED_VALUE"""),0.0)</f>
        <v>0</v>
      </c>
      <c r="BJ23" s="16">
        <f>IFERROR(__xludf.DUMMYFUNCTION("""COMPUTED_VALUE"""),0.0)</f>
        <v>0</v>
      </c>
      <c r="BK23" s="16">
        <f>IFERROR(__xludf.DUMMYFUNCTION("""COMPUTED_VALUE"""),0.0)</f>
        <v>0</v>
      </c>
      <c r="BL23" s="16">
        <f>IFERROR(__xludf.DUMMYFUNCTION("""COMPUTED_VALUE"""),3.0)</f>
        <v>3</v>
      </c>
      <c r="BM23" s="16">
        <f>IFERROR(__xludf.DUMMYFUNCTION("""COMPUTED_VALUE"""),3.0)</f>
        <v>3</v>
      </c>
      <c r="BN23" s="16">
        <f>IFERROR(__xludf.DUMMYFUNCTION("""COMPUTED_VALUE"""),3.0)</f>
        <v>3</v>
      </c>
      <c r="BO23" s="16">
        <f>IFERROR(__xludf.DUMMYFUNCTION("""COMPUTED_VALUE"""),3.0)</f>
        <v>3</v>
      </c>
      <c r="BP23" s="16">
        <f>IFERROR(__xludf.DUMMYFUNCTION("""COMPUTED_VALUE"""),5.0)</f>
        <v>5</v>
      </c>
      <c r="BQ23" s="16">
        <f>IFERROR(__xludf.DUMMYFUNCTION("""COMPUTED_VALUE"""),10.0)</f>
        <v>10</v>
      </c>
      <c r="BR23" s="16">
        <f>IFERROR(__xludf.DUMMYFUNCTION("""COMPUTED_VALUE"""),15.0)</f>
        <v>15</v>
      </c>
      <c r="BS23" s="16" t="str">
        <f>IFERROR(__xludf.DUMMYFUNCTION("""COMPUTED_VALUE"""),"*7/- (19-11)")</f>
        <v>*7/- (19-11)</v>
      </c>
      <c r="BT23" s="16" t="str">
        <f>IFERROR(__xludf.DUMMYFUNCTION("""COMPUTED_VALUE"""),"A")</f>
        <v>A</v>
      </c>
      <c r="BU23" s="16">
        <f>IFERROR(__xludf.DUMMYFUNCTION("""COMPUTED_VALUE"""),15.0)</f>
        <v>15</v>
      </c>
      <c r="BV23" s="16">
        <f>IFERROR(__xludf.DUMMYFUNCTION("""COMPUTED_VALUE"""),2.0)</f>
        <v>2</v>
      </c>
      <c r="BW23" s="16">
        <f>IFERROR(__xludf.DUMMYFUNCTION("""COMPUTED_VALUE"""),2.0)</f>
        <v>2</v>
      </c>
      <c r="BX23" s="16">
        <f>IFERROR(__xludf.DUMMYFUNCTION("""COMPUTED_VALUE"""),4.0)</f>
        <v>4</v>
      </c>
      <c r="BY23" s="16">
        <f>IFERROR(__xludf.DUMMYFUNCTION("""COMPUTED_VALUE"""),6.0)</f>
        <v>6</v>
      </c>
      <c r="BZ23" s="16" t="str">
        <f>IFERROR(__xludf.DUMMYFUNCTION("""COMPUTED_VALUE"""),"B")</f>
        <v>B</v>
      </c>
      <c r="CA23" s="16" t="str">
        <f>IFERROR(__xludf.DUMMYFUNCTION("""COMPUTED_VALUE"""),"C")</f>
        <v>C</v>
      </c>
      <c r="CB23" s="16">
        <f>IFERROR(__xludf.DUMMYFUNCTION("""COMPUTED_VALUE"""),1.0)</f>
        <v>1</v>
      </c>
      <c r="CC23" s="16">
        <f>IFERROR(__xludf.DUMMYFUNCTION("""COMPUTED_VALUE"""),0.0)</f>
        <v>0</v>
      </c>
      <c r="CD23" s="16">
        <f>IFERROR(__xludf.DUMMYFUNCTION("""COMPUTED_VALUE"""),1.0)</f>
        <v>1</v>
      </c>
      <c r="CE23" s="16">
        <f>IFERROR(__xludf.DUMMYFUNCTION("""COMPUTED_VALUE"""),0.0)</f>
        <v>0</v>
      </c>
      <c r="CF23" s="16">
        <f>IFERROR(__xludf.DUMMYFUNCTION("""COMPUTED_VALUE"""),1.0)</f>
        <v>1</v>
      </c>
      <c r="CG23" s="16">
        <f>IFERROR(__xludf.DUMMYFUNCTION("""COMPUTED_VALUE"""),5.0)</f>
        <v>5</v>
      </c>
      <c r="CH23" s="16">
        <f>IFERROR(__xludf.DUMMYFUNCTION("""COMPUTED_VALUE"""),25.0)</f>
        <v>25</v>
      </c>
      <c r="CI23" s="179">
        <f>IFERROR(__xludf.DUMMYFUNCTION("""COMPUTED_VALUE"""),30.0)</f>
        <v>30</v>
      </c>
      <c r="CJ23" s="16"/>
      <c r="CK23" s="16"/>
      <c r="CL23" s="16"/>
      <c r="CM23" s="16"/>
      <c r="CN23" s="16"/>
      <c r="CO23" s="16"/>
      <c r="CP23" s="16">
        <f>IFERROR(__xludf.DUMMYFUNCTION("""COMPUTED_VALUE"""),203.0)</f>
        <v>203</v>
      </c>
      <c r="CQ23" s="16"/>
      <c r="CR23" s="16" t="str">
        <f>IFERROR(__xludf.DUMMYFUNCTION("""COMPUTED_VALUE"""),"cf-2(-1)e3")</f>
        <v>cf-2(-1)e3</v>
      </c>
      <c r="CS23" s="16"/>
      <c r="CT23" s="16"/>
      <c r="CU23" s="16"/>
      <c r="CV23" s="16"/>
      <c r="CW23" s="16"/>
      <c r="CX23" s="16"/>
      <c r="CY23" s="16">
        <f>IFERROR(__xludf.DUMMYFUNCTION("""COMPUTED_VALUE"""),2.0)</f>
        <v>2</v>
      </c>
      <c r="CZ23" s="16"/>
      <c r="DA23" s="16"/>
      <c r="DB23" s="16"/>
      <c r="DC23" s="16"/>
      <c r="DD23" s="16"/>
      <c r="DE23" s="16"/>
      <c r="DF23" s="16"/>
      <c r="DG23" s="16">
        <f>IFERROR(__xludf.DUMMYFUNCTION("""COMPUTED_VALUE"""),3.0)</f>
        <v>3</v>
      </c>
      <c r="DH23" s="16"/>
      <c r="DI23" s="16"/>
      <c r="DJ23" s="16"/>
      <c r="DK23" s="16"/>
      <c r="DL23" s="16"/>
      <c r="DM23" s="16"/>
      <c r="DN23" s="16"/>
      <c r="DO23" s="16">
        <f>IFERROR(__xludf.DUMMYFUNCTION("""COMPUTED_VALUE"""),2.0)</f>
        <v>2</v>
      </c>
      <c r="DP23" s="16"/>
      <c r="DQ23" s="16"/>
      <c r="DR23" s="16"/>
      <c r="DS23" s="16"/>
      <c r="DT23" s="16"/>
      <c r="DU23" s="16"/>
      <c r="DV23" s="16"/>
      <c r="DW23" s="16">
        <f>IFERROR(__xludf.DUMMYFUNCTION("""COMPUTED_VALUE"""),4.0)</f>
        <v>4</v>
      </c>
      <c r="DX23" s="16"/>
      <c r="DY23" s="16"/>
      <c r="DZ23" s="16"/>
      <c r="EA23" s="16"/>
      <c r="EB23" s="16"/>
      <c r="EC23" s="16"/>
      <c r="ED23" s="16"/>
      <c r="EE23" s="16">
        <f>IFERROR(__xludf.DUMMYFUNCTION("""COMPUTED_VALUE"""),6.0)</f>
        <v>6</v>
      </c>
      <c r="EF23" s="16"/>
      <c r="EG23" s="179"/>
      <c r="EH23" s="179"/>
      <c r="EI23" s="179"/>
      <c r="EJ23" s="179"/>
      <c r="EK23" s="179"/>
      <c r="EL23" s="179"/>
      <c r="EM23" s="179">
        <f>IFERROR(__xludf.DUMMYFUNCTION("""COMPUTED_VALUE"""),36.0)</f>
        <v>36</v>
      </c>
      <c r="EN23" s="179"/>
      <c r="EO23" s="16"/>
      <c r="EP23" s="16"/>
      <c r="EQ23" s="16">
        <f>IFERROR(__xludf.DUMMYFUNCTION("""COMPUTED_VALUE"""),4.0)</f>
        <v>4</v>
      </c>
      <c r="ER23" s="16">
        <f>IFERROR(__xludf.DUMMYFUNCTION("""COMPUTED_VALUE"""),3.0)</f>
        <v>3</v>
      </c>
      <c r="ES23" s="16"/>
      <c r="ET23" s="16"/>
      <c r="EU23" s="16"/>
      <c r="EV23" s="16"/>
      <c r="EW23" s="16"/>
      <c r="EX23" s="180"/>
      <c r="EY23" s="180"/>
      <c r="EZ23" s="180"/>
      <c r="FA23" s="180"/>
      <c r="FB23" s="180"/>
      <c r="FC23" s="180"/>
      <c r="FD23" s="180">
        <f>IFERROR(__xludf.DUMMYFUNCTION("""COMPUTED_VALUE"""),0.15)</f>
        <v>0.15</v>
      </c>
      <c r="FE23" s="180"/>
      <c r="FF23" s="180"/>
      <c r="FG23" s="180"/>
      <c r="FH23" s="180"/>
      <c r="FI23" s="180"/>
      <c r="FJ23" s="180"/>
      <c r="FK23" s="180"/>
      <c r="FL23" s="180">
        <f>IFERROR(__xludf.DUMMYFUNCTION("""COMPUTED_VALUE"""),0.037037037037037035)</f>
        <v>0.03703703704</v>
      </c>
      <c r="FM23" s="180"/>
      <c r="FN23" s="16"/>
      <c r="FO23" s="16"/>
      <c r="FP23" s="16"/>
      <c r="FQ23" s="16"/>
      <c r="FR23" s="16"/>
      <c r="FS23" s="16"/>
      <c r="FT23" s="16">
        <f>IFERROR(__xludf.DUMMYFUNCTION("""COMPUTED_VALUE"""),0.8185185185185185)</f>
        <v>0.8185185185</v>
      </c>
      <c r="FU23" s="16"/>
      <c r="FV23" s="16"/>
      <c r="FW23" s="16"/>
      <c r="FX23" s="16"/>
      <c r="FY23" s="16"/>
      <c r="FZ23" s="16"/>
      <c r="GA23" s="16"/>
      <c r="GB23" s="16">
        <f>IFERROR(__xludf.DUMMYFUNCTION("""COMPUTED_VALUE"""),1.0)</f>
        <v>1</v>
      </c>
      <c r="GC23" s="16"/>
      <c r="GD23" s="16" t="s">
        <v>272</v>
      </c>
    </row>
    <row r="24">
      <c r="A24" s="16">
        <f>IFERROR(__xludf.DUMMYFUNCTION("""COMPUTED_VALUE"""),13225.0)</f>
        <v>13225</v>
      </c>
      <c r="B24" s="16" t="str">
        <f>IFERROR(__xludf.DUMMYFUNCTION("""COMPUTED_VALUE"""),"Mookie Betts")</f>
        <v>Mookie Betts</v>
      </c>
      <c r="C24" s="16">
        <f>IFERROR(__xludf.DUMMYFUNCTION("""COMPUTED_VALUE"""),2.7)</f>
        <v>2.7</v>
      </c>
      <c r="D24" s="16" t="str">
        <f>IFERROR(__xludf.DUMMYFUNCTION("""COMPUTED_VALUE"""),"R")</f>
        <v>R</v>
      </c>
      <c r="E24" s="16"/>
      <c r="F24" s="16"/>
      <c r="G24" s="16">
        <f>IFERROR(__xludf.DUMMYFUNCTION("""COMPUTED_VALUE"""),450.0)</f>
        <v>450</v>
      </c>
      <c r="H24" s="16">
        <f>IFERROR(__xludf.DUMMYFUNCTION("""COMPUTED_VALUE"""),61.0)</f>
        <v>61</v>
      </c>
      <c r="I24" s="16" t="str">
        <f>IFERROR(__xludf.DUMMYFUNCTION("""COMPUTED_VALUE"""),"3p60")</f>
        <v>3p60</v>
      </c>
      <c r="J24" s="16">
        <f>IFERROR(__xludf.DUMMYFUNCTION("""COMPUTED_VALUE"""),0.0)</f>
        <v>0</v>
      </c>
      <c r="K24" s="16">
        <f>IFERROR(__xludf.DUMMYFUNCTION("""COMPUTED_VALUE"""),0.0)</f>
        <v>0</v>
      </c>
      <c r="L24" s="16">
        <f>IFERROR(__xludf.DUMMYFUNCTION("""COMPUTED_VALUE"""),3.0)</f>
        <v>3</v>
      </c>
      <c r="M24" s="16">
        <f>IFERROR(__xludf.DUMMYFUNCTION("""COMPUTED_VALUE"""),3.0)</f>
        <v>3</v>
      </c>
      <c r="N24" s="16">
        <f>IFERROR(__xludf.DUMMYFUNCTION("""COMPUTED_VALUE"""),3.0)</f>
        <v>3</v>
      </c>
      <c r="O24" s="16">
        <f>IFERROR(__xludf.DUMMYFUNCTION("""COMPUTED_VALUE"""),3.0)</f>
        <v>3</v>
      </c>
      <c r="P24" s="16">
        <f>IFERROR(__xludf.DUMMYFUNCTION("""COMPUTED_VALUE"""),12.0)</f>
        <v>12</v>
      </c>
      <c r="Q24" s="16">
        <f>IFERROR(__xludf.DUMMYFUNCTION("""COMPUTED_VALUE"""),19.0)</f>
        <v>19</v>
      </c>
      <c r="R24" s="16">
        <f>IFERROR(__xludf.DUMMYFUNCTION("""COMPUTED_VALUE"""),1.0)</f>
        <v>1</v>
      </c>
      <c r="S24" s="16">
        <f>IFERROR(__xludf.DUMMYFUNCTION("""COMPUTED_VALUE"""),3.0)</f>
        <v>3</v>
      </c>
      <c r="T24" s="16">
        <f>IFERROR(__xludf.DUMMYFUNCTION("""COMPUTED_VALUE"""),1.0)</f>
        <v>1</v>
      </c>
      <c r="U24" s="16">
        <f>IFERROR(__xludf.DUMMYFUNCTION("""COMPUTED_VALUE"""),3.0)</f>
        <v>3</v>
      </c>
      <c r="V24" s="16">
        <f>IFERROR(__xludf.DUMMYFUNCTION("""COMPUTED_VALUE"""),30.9)</f>
        <v>30.9</v>
      </c>
      <c r="W24" s="16">
        <f>IFERROR(__xludf.DUMMYFUNCTION("""COMPUTED_VALUE"""),22.0)</f>
        <v>22</v>
      </c>
      <c r="X24" s="16">
        <f>IFERROR(__xludf.DUMMYFUNCTION("""COMPUTED_VALUE"""),2.0)</f>
        <v>2</v>
      </c>
      <c r="Y24" s="16">
        <f>IFERROR(__xludf.DUMMYFUNCTION("""COMPUTED_VALUE"""),0.0)</f>
        <v>0</v>
      </c>
      <c r="Z24" s="16">
        <f>IFERROR(__xludf.DUMMYFUNCTION("""COMPUTED_VALUE"""),4.0)</f>
        <v>4</v>
      </c>
      <c r="AA24" s="16">
        <f>IFERROR(__xludf.DUMMYFUNCTION("""COMPUTED_VALUE"""),0.0)</f>
        <v>0</v>
      </c>
      <c r="AB24" s="16">
        <f>IFERROR(__xludf.DUMMYFUNCTION("""COMPUTED_VALUE"""),42.9)</f>
        <v>42.9</v>
      </c>
      <c r="AC24" s="16">
        <f>IFERROR(__xludf.DUMMYFUNCTION("""COMPUTED_VALUE"""),41.0)</f>
        <v>41</v>
      </c>
      <c r="AD24" s="16">
        <f>IFERROR(__xludf.DUMMYFUNCTION("""COMPUTED_VALUE"""),1.0)</f>
        <v>1</v>
      </c>
      <c r="AE24" s="16">
        <f>IFERROR(__xludf.DUMMYFUNCTION("""COMPUTED_VALUE"""),2.0)</f>
        <v>2</v>
      </c>
      <c r="AF24" s="16">
        <f>IFERROR(__xludf.DUMMYFUNCTION("""COMPUTED_VALUE"""),5.0)</f>
        <v>5</v>
      </c>
      <c r="AG24" s="16">
        <f>IFERROR(__xludf.DUMMYFUNCTION("""COMPUTED_VALUE"""),10.0)</f>
        <v>10</v>
      </c>
      <c r="AH24" s="16">
        <f>IFERROR(__xludf.DUMMYFUNCTION("""COMPUTED_VALUE"""),45.2)</f>
        <v>45.2</v>
      </c>
      <c r="AI24" s="16">
        <f>IFERROR(__xludf.DUMMYFUNCTION("""COMPUTED_VALUE"""),39.3)</f>
        <v>39.3</v>
      </c>
      <c r="AJ24" s="16">
        <f>IFERROR(__xludf.DUMMYFUNCTION("""COMPUTED_VALUE"""),1.0)</f>
        <v>1</v>
      </c>
      <c r="AK24" s="16">
        <f>IFERROR(__xludf.DUMMYFUNCTION("""COMPUTED_VALUE"""),1.0)</f>
        <v>1</v>
      </c>
      <c r="AL24" s="16">
        <f>IFERROR(__xludf.DUMMYFUNCTION("""COMPUTED_VALUE"""),5.0)</f>
        <v>5</v>
      </c>
      <c r="AM24" s="16">
        <f>IFERROR(__xludf.DUMMYFUNCTION("""COMPUTED_VALUE"""),5.0)</f>
        <v>5</v>
      </c>
      <c r="AN24" s="16">
        <f>IFERROR(__xludf.DUMMYFUNCTION("""COMPUTED_VALUE"""),1.5)</f>
        <v>1.5</v>
      </c>
      <c r="AO24" s="16">
        <f>IFERROR(__xludf.DUMMYFUNCTION("""COMPUTED_VALUE"""),3.2)</f>
        <v>3.2</v>
      </c>
      <c r="AP24" s="16">
        <f>IFERROR(__xludf.DUMMYFUNCTION("""COMPUTED_VALUE"""),-1.0)</f>
        <v>-1</v>
      </c>
      <c r="AQ24" s="16">
        <f>IFERROR(__xludf.DUMMYFUNCTION("""COMPUTED_VALUE"""),1.0)</f>
        <v>1</v>
      </c>
      <c r="AR24" s="16">
        <f>IFERROR(__xludf.DUMMYFUNCTION("""COMPUTED_VALUE"""),-2.0)</f>
        <v>-2</v>
      </c>
      <c r="AS24" s="16">
        <f>IFERROR(__xludf.DUMMYFUNCTION("""COMPUTED_VALUE"""),2.0)</f>
        <v>2</v>
      </c>
      <c r="AT24" s="16">
        <f>IFERROR(__xludf.DUMMYFUNCTION("""COMPUTED_VALUE"""),1.0)</f>
        <v>1</v>
      </c>
      <c r="AU24" s="16">
        <f>IFERROR(__xludf.DUMMYFUNCTION("""COMPUTED_VALUE"""),5.0)</f>
        <v>5</v>
      </c>
      <c r="AV24" s="16">
        <f>IFERROR(__xludf.DUMMYFUNCTION("""COMPUTED_VALUE"""),1.0)</f>
        <v>1</v>
      </c>
      <c r="AW24" s="16">
        <f>IFERROR(__xludf.DUMMYFUNCTION("""COMPUTED_VALUE"""),5.0)</f>
        <v>5</v>
      </c>
      <c r="AX24" s="16">
        <f>IFERROR(__xludf.DUMMYFUNCTION("""COMPUTED_VALUE"""),-1.0)</f>
        <v>-1</v>
      </c>
      <c r="AY24" s="16">
        <f>IFERROR(__xludf.DUMMYFUNCTION("""COMPUTED_VALUE"""),2.0)</f>
        <v>2</v>
      </c>
      <c r="AZ24" s="16">
        <f>IFERROR(__xludf.DUMMYFUNCTION("""COMPUTED_VALUE"""),-3.0)</f>
        <v>-3</v>
      </c>
      <c r="BA24" s="16">
        <f>IFERROR(__xludf.DUMMYFUNCTION("""COMPUTED_VALUE"""),6.0)</f>
        <v>6</v>
      </c>
      <c r="BB24" s="16">
        <f>IFERROR(__xludf.DUMMYFUNCTION("""COMPUTED_VALUE"""),5.0)</f>
        <v>5</v>
      </c>
      <c r="BC24" s="16">
        <f>IFERROR(__xludf.DUMMYFUNCTION("""COMPUTED_VALUE"""),5.0)</f>
        <v>5</v>
      </c>
      <c r="BD24" s="16">
        <f>IFERROR(__xludf.DUMMYFUNCTION("""COMPUTED_VALUE"""),1.0)</f>
        <v>1</v>
      </c>
      <c r="BE24" s="16">
        <f>IFERROR(__xludf.DUMMYFUNCTION("""COMPUTED_VALUE"""),1.0)</f>
        <v>1</v>
      </c>
      <c r="BF24" s="16">
        <f>IFERROR(__xludf.DUMMYFUNCTION("""COMPUTED_VALUE"""),1.0)</f>
        <v>1</v>
      </c>
      <c r="BG24" s="16">
        <f>IFERROR(__xludf.DUMMYFUNCTION("""COMPUTED_VALUE"""),1.0)</f>
        <v>1</v>
      </c>
      <c r="BH24" s="16">
        <f>IFERROR(__xludf.DUMMYFUNCTION("""COMPUTED_VALUE"""),11.0)</f>
        <v>11</v>
      </c>
      <c r="BI24" s="16">
        <f>IFERROR(__xludf.DUMMYFUNCTION("""COMPUTED_VALUE"""),10.0)</f>
        <v>10</v>
      </c>
      <c r="BJ24" s="16">
        <f>IFERROR(__xludf.DUMMYFUNCTION("""COMPUTED_VALUE"""),15.0)</f>
        <v>15</v>
      </c>
      <c r="BK24" s="16">
        <f>IFERROR(__xludf.DUMMYFUNCTION("""COMPUTED_VALUE"""),14.0)</f>
        <v>14</v>
      </c>
      <c r="BL24" s="16">
        <f>IFERROR(__xludf.DUMMYFUNCTION("""COMPUTED_VALUE"""),-1.0)</f>
        <v>-1</v>
      </c>
      <c r="BM24" s="16">
        <f>IFERROR(__xludf.DUMMYFUNCTION("""COMPUTED_VALUE"""),0.0)</f>
        <v>0</v>
      </c>
      <c r="BN24" s="16">
        <f>IFERROR(__xludf.DUMMYFUNCTION("""COMPUTED_VALUE"""),-2.0)</f>
        <v>-2</v>
      </c>
      <c r="BO24" s="16">
        <f>IFERROR(__xludf.DUMMYFUNCTION("""COMPUTED_VALUE"""),0.0)</f>
        <v>0</v>
      </c>
      <c r="BP24" s="16">
        <f>IFERROR(__xludf.DUMMYFUNCTION("""COMPUTED_VALUE"""),6.0)</f>
        <v>6</v>
      </c>
      <c r="BQ24" s="16">
        <f>IFERROR(__xludf.DUMMYFUNCTION("""COMPUTED_VALUE"""),13.0)</f>
        <v>13</v>
      </c>
      <c r="BR24" s="16">
        <f>IFERROR(__xludf.DUMMYFUNCTION("""COMPUTED_VALUE"""),19.0)</f>
        <v>19</v>
      </c>
      <c r="BS24" s="16" t="str">
        <f>IFERROR(__xludf.DUMMYFUNCTION("""COMPUTED_VALUE"""),"*6/- (19-11)")</f>
        <v>*6/- (19-11)</v>
      </c>
      <c r="BT24" s="16" t="str">
        <f>IFERROR(__xludf.DUMMYFUNCTION("""COMPUTED_VALUE"""),"A")</f>
        <v>A</v>
      </c>
      <c r="BU24" s="16">
        <f>IFERROR(__xludf.DUMMYFUNCTION("""COMPUTED_VALUE"""),14.0)</f>
        <v>14</v>
      </c>
      <c r="BV24" s="16">
        <f>IFERROR(__xludf.DUMMYFUNCTION("""COMPUTED_VALUE"""),2.0)</f>
        <v>2</v>
      </c>
      <c r="BW24" s="16">
        <f>IFERROR(__xludf.DUMMYFUNCTION("""COMPUTED_VALUE"""),1.0)</f>
        <v>1</v>
      </c>
      <c r="BX24" s="16">
        <f>IFERROR(__xludf.DUMMYFUNCTION("""COMPUTED_VALUE"""),4.0)</f>
        <v>4</v>
      </c>
      <c r="BY24" s="16">
        <f>IFERROR(__xludf.DUMMYFUNCTION("""COMPUTED_VALUE"""),3.0)</f>
        <v>3</v>
      </c>
      <c r="BZ24" s="16" t="str">
        <f>IFERROR(__xludf.DUMMYFUNCTION("""COMPUTED_VALUE"""),"D")</f>
        <v>D</v>
      </c>
      <c r="CA24" s="16" t="str">
        <f>IFERROR(__xludf.DUMMYFUNCTION("""COMPUTED_VALUE"""),"C")</f>
        <v>C</v>
      </c>
      <c r="CB24" s="16">
        <f>IFERROR(__xludf.DUMMYFUNCTION("""COMPUTED_VALUE"""),0.0)</f>
        <v>0</v>
      </c>
      <c r="CC24" s="16">
        <f>IFERROR(__xludf.DUMMYFUNCTION("""COMPUTED_VALUE"""),0.0)</f>
        <v>0</v>
      </c>
      <c r="CD24" s="16">
        <f>IFERROR(__xludf.DUMMYFUNCTION("""COMPUTED_VALUE"""),0.0)</f>
        <v>0</v>
      </c>
      <c r="CE24" s="16">
        <f>IFERROR(__xludf.DUMMYFUNCTION("""COMPUTED_VALUE"""),0.0)</f>
        <v>0</v>
      </c>
      <c r="CF24" s="16">
        <f>IFERROR(__xludf.DUMMYFUNCTION("""COMPUTED_VALUE"""),3.0)</f>
        <v>3</v>
      </c>
      <c r="CG24" s="16">
        <f>IFERROR(__xludf.DUMMYFUNCTION("""COMPUTED_VALUE"""),12.0)</f>
        <v>12</v>
      </c>
      <c r="CH24" s="16">
        <f>IFERROR(__xludf.DUMMYFUNCTION("""COMPUTED_VALUE"""),30.0)</f>
        <v>30</v>
      </c>
      <c r="CI24" s="179">
        <f>IFERROR(__xludf.DUMMYFUNCTION("""COMPUTED_VALUE"""),29.0)</f>
        <v>29</v>
      </c>
      <c r="CJ24" s="16"/>
      <c r="CK24" s="16"/>
      <c r="CL24" s="16">
        <f>IFERROR(__xludf.DUMMYFUNCTION("""COMPUTED_VALUE"""),305.0)</f>
        <v>305</v>
      </c>
      <c r="CM24" s="16"/>
      <c r="CN24" s="16">
        <f>IFERROR(__xludf.DUMMYFUNCTION("""COMPUTED_VALUE"""),324.0)</f>
        <v>324</v>
      </c>
      <c r="CO24" s="16"/>
      <c r="CP24" s="16"/>
      <c r="CQ24" s="16">
        <f>IFERROR(__xludf.DUMMYFUNCTION("""COMPUTED_VALUE"""),113.0)</f>
        <v>113</v>
      </c>
      <c r="CR24" s="16" t="str">
        <f>IFERROR(__xludf.DUMMYFUNCTION("""COMPUTED_VALUE"""),"ss-3e24 rf-1(-3)e13 2b-3e5")</f>
        <v>ss-3e24 rf-1(-3)e13 2b-3e5</v>
      </c>
      <c r="CS24" s="16"/>
      <c r="CT24" s="16"/>
      <c r="CU24" s="16">
        <f>IFERROR(__xludf.DUMMYFUNCTION("""COMPUTED_VALUE"""),3.0)</f>
        <v>3</v>
      </c>
      <c r="CV24" s="16"/>
      <c r="CW24" s="16">
        <f>IFERROR(__xludf.DUMMYFUNCTION("""COMPUTED_VALUE"""),3.0)</f>
        <v>3</v>
      </c>
      <c r="CX24" s="16"/>
      <c r="CY24" s="16"/>
      <c r="CZ24" s="16">
        <f>IFERROR(__xludf.DUMMYFUNCTION("""COMPUTED_VALUE"""),1.0)</f>
        <v>1</v>
      </c>
      <c r="DA24" s="16"/>
      <c r="DB24" s="16"/>
      <c r="DC24" s="16">
        <f>IFERROR(__xludf.DUMMYFUNCTION("""COMPUTED_VALUE"""),5.0)</f>
        <v>5</v>
      </c>
      <c r="DD24" s="16"/>
      <c r="DE24" s="16">
        <f>IFERROR(__xludf.DUMMYFUNCTION("""COMPUTED_VALUE"""),24.0)</f>
        <v>24</v>
      </c>
      <c r="DF24" s="16"/>
      <c r="DG24" s="16"/>
      <c r="DH24" s="16">
        <f>IFERROR(__xludf.DUMMYFUNCTION("""COMPUTED_VALUE"""),13.0)</f>
        <v>13</v>
      </c>
      <c r="DI24" s="16"/>
      <c r="DJ24" s="16"/>
      <c r="DK24" s="16">
        <f>IFERROR(__xludf.DUMMYFUNCTION("""COMPUTED_VALUE"""),0.0)</f>
        <v>0</v>
      </c>
      <c r="DL24" s="16"/>
      <c r="DM24" s="16">
        <f>IFERROR(__xludf.DUMMYFUNCTION("""COMPUTED_VALUE"""),0.0)</f>
        <v>0</v>
      </c>
      <c r="DN24" s="16"/>
      <c r="DO24" s="16"/>
      <c r="DP24" s="16">
        <f>IFERROR(__xludf.DUMMYFUNCTION("""COMPUTED_VALUE"""),4.0)</f>
        <v>4</v>
      </c>
      <c r="DQ24" s="16"/>
      <c r="DR24" s="16"/>
      <c r="DS24" s="16">
        <f>IFERROR(__xludf.DUMMYFUNCTION("""COMPUTED_VALUE"""),3.0)</f>
        <v>3</v>
      </c>
      <c r="DT24" s="16"/>
      <c r="DU24" s="16">
        <f>IFERROR(__xludf.DUMMYFUNCTION("""COMPUTED_VALUE"""),0.0)</f>
        <v>0</v>
      </c>
      <c r="DV24" s="16"/>
      <c r="DW24" s="16"/>
      <c r="DX24" s="16">
        <f>IFERROR(__xludf.DUMMYFUNCTION("""COMPUTED_VALUE"""),-2.0)</f>
        <v>-2</v>
      </c>
      <c r="DY24" s="16"/>
      <c r="DZ24" s="16"/>
      <c r="EA24" s="16">
        <f>IFERROR(__xludf.DUMMYFUNCTION("""COMPUTED_VALUE"""),3.0)</f>
        <v>3</v>
      </c>
      <c r="EB24" s="16"/>
      <c r="EC24" s="16">
        <f>IFERROR(__xludf.DUMMYFUNCTION("""COMPUTED_VALUE"""),0.0)</f>
        <v>0</v>
      </c>
      <c r="ED24" s="16"/>
      <c r="EE24" s="16"/>
      <c r="EF24" s="16">
        <f>IFERROR(__xludf.DUMMYFUNCTION("""COMPUTED_VALUE"""),2.0)</f>
        <v>2</v>
      </c>
      <c r="EG24" s="179"/>
      <c r="EH24" s="179"/>
      <c r="EI24" s="179">
        <f>IFERROR(__xludf.DUMMYFUNCTION("""COMPUTED_VALUE"""),32.0)</f>
        <v>32</v>
      </c>
      <c r="EJ24" s="179"/>
      <c r="EK24" s="179">
        <f>IFERROR(__xludf.DUMMYFUNCTION("""COMPUTED_VALUE"""),29.0)</f>
        <v>29</v>
      </c>
      <c r="EL24" s="179"/>
      <c r="EM24" s="179"/>
      <c r="EN24" s="179">
        <f>IFERROR(__xludf.DUMMYFUNCTION("""COMPUTED_VALUE"""),31.0)</f>
        <v>31</v>
      </c>
      <c r="EO24" s="16"/>
      <c r="EP24" s="16">
        <f>IFERROR(__xludf.DUMMYFUNCTION("""COMPUTED_VALUE"""),-3.0)</f>
        <v>-3</v>
      </c>
      <c r="EQ24" s="16">
        <f>IFERROR(__xludf.DUMMYFUNCTION("""COMPUTED_VALUE"""),1.0)</f>
        <v>1</v>
      </c>
      <c r="ER24" s="16">
        <f>IFERROR(__xludf.DUMMYFUNCTION("""COMPUTED_VALUE"""),1.0)</f>
        <v>1</v>
      </c>
      <c r="ES24" s="16"/>
      <c r="ET24" s="16"/>
      <c r="EU24" s="16"/>
      <c r="EV24" s="16"/>
      <c r="EW24" s="16"/>
      <c r="EX24" s="180"/>
      <c r="EY24" s="180"/>
      <c r="EZ24" s="180">
        <f>IFERROR(__xludf.DUMMYFUNCTION("""COMPUTED_VALUE"""),0.2)</f>
        <v>0.2</v>
      </c>
      <c r="FA24" s="180"/>
      <c r="FB24" s="180">
        <f>IFERROR(__xludf.DUMMYFUNCTION("""COMPUTED_VALUE"""),0.2)</f>
        <v>0.2</v>
      </c>
      <c r="FC24" s="180"/>
      <c r="FD24" s="180"/>
      <c r="FE24" s="180">
        <f>IFERROR(__xludf.DUMMYFUNCTION("""COMPUTED_VALUE"""),0.0)</f>
        <v>0</v>
      </c>
      <c r="FF24" s="180"/>
      <c r="FG24" s="180"/>
      <c r="FH24" s="180">
        <f>IFERROR(__xludf.DUMMYFUNCTION("""COMPUTED_VALUE"""),0.032407407407407406)</f>
        <v>0.03240740741</v>
      </c>
      <c r="FI24" s="180"/>
      <c r="FJ24" s="180">
        <f>IFERROR(__xludf.DUMMYFUNCTION("""COMPUTED_VALUE"""),0.125)</f>
        <v>0.125</v>
      </c>
      <c r="FK24" s="180"/>
      <c r="FL24" s="180"/>
      <c r="FM24" s="180">
        <f>IFERROR(__xludf.DUMMYFUNCTION("""COMPUTED_VALUE"""),0.236)</f>
        <v>0.236</v>
      </c>
      <c r="FN24" s="16"/>
      <c r="FO24" s="16"/>
      <c r="FP24" s="16">
        <f>IFERROR(__xludf.DUMMYFUNCTION("""COMPUTED_VALUE"""),0.7740740740740741)</f>
        <v>0.7740740741</v>
      </c>
      <c r="FQ24" s="16"/>
      <c r="FR24" s="16">
        <f>IFERROR(__xludf.DUMMYFUNCTION("""COMPUTED_VALUE"""),0.7000000000000001)</f>
        <v>0.7</v>
      </c>
      <c r="FS24" s="16"/>
      <c r="FT24" s="16"/>
      <c r="FU24" s="16">
        <f>IFERROR(__xludf.DUMMYFUNCTION("""COMPUTED_VALUE"""),0.764)</f>
        <v>0.764</v>
      </c>
      <c r="FV24" s="16"/>
      <c r="FW24" s="16"/>
      <c r="FX24" s="16">
        <f>IFERROR(__xludf.DUMMYFUNCTION("""COMPUTED_VALUE"""),-1.0)</f>
        <v>-1</v>
      </c>
      <c r="FY24" s="16"/>
      <c r="FZ24" s="16">
        <f>IFERROR(__xludf.DUMMYFUNCTION("""COMPUTED_VALUE"""),-4.0)</f>
        <v>-4</v>
      </c>
      <c r="GA24" s="16"/>
      <c r="GB24" s="16"/>
      <c r="GC24" s="16">
        <f>IFERROR(__xludf.DUMMYFUNCTION("""COMPUTED_VALUE"""),2.0)</f>
        <v>2</v>
      </c>
      <c r="GD24" s="16" t="s">
        <v>387</v>
      </c>
    </row>
    <row r="25">
      <c r="A25" s="16">
        <f>IFERROR(__xludf.DUMMYFUNCTION("""COMPUTED_VALUE"""),13102.0)</f>
        <v>13102</v>
      </c>
      <c r="B25" s="16" t="str">
        <f>IFERROR(__xludf.DUMMYFUNCTION("""COMPUTED_VALUE"""),"Kyle Schwarber")</f>
        <v>Kyle Schwarber</v>
      </c>
      <c r="C25" s="16">
        <f>IFERROR(__xludf.DUMMYFUNCTION("""COMPUTED_VALUE"""),1.47)</f>
        <v>1.47</v>
      </c>
      <c r="D25" s="16" t="str">
        <f>IFERROR(__xludf.DUMMYFUNCTION("""COMPUTED_VALUE"""),"L")</f>
        <v>L</v>
      </c>
      <c r="E25" s="16"/>
      <c r="F25" s="16"/>
      <c r="G25" s="16">
        <f>IFERROR(__xludf.DUMMYFUNCTION("""COMPUTED_VALUE"""),573.0)</f>
        <v>573</v>
      </c>
      <c r="H25" s="16">
        <f>IFERROR(__xludf.DUMMYFUNCTION("""COMPUTED_VALUE"""),106.0)</f>
        <v>106</v>
      </c>
      <c r="I25" s="16" t="str">
        <f>IFERROR(__xludf.DUMMYFUNCTION("""COMPUTED_VALUE"""),"1p70")</f>
        <v>1p70</v>
      </c>
      <c r="J25" s="16">
        <f>IFERROR(__xludf.DUMMYFUNCTION("""COMPUTED_VALUE"""),31.0)</f>
        <v>31</v>
      </c>
      <c r="K25" s="16">
        <f>IFERROR(__xludf.DUMMYFUNCTION("""COMPUTED_VALUE"""),40.0)</f>
        <v>40</v>
      </c>
      <c r="L25" s="16">
        <f>IFERROR(__xludf.DUMMYFUNCTION("""COMPUTED_VALUE"""),0.0)</f>
        <v>0</v>
      </c>
      <c r="M25" s="16">
        <f>IFERROR(__xludf.DUMMYFUNCTION("""COMPUTED_VALUE"""),-2.0)</f>
        <v>-2</v>
      </c>
      <c r="N25" s="16">
        <f>IFERROR(__xludf.DUMMYFUNCTION("""COMPUTED_VALUE"""),0.0)</f>
        <v>0</v>
      </c>
      <c r="O25" s="16">
        <f>IFERROR(__xludf.DUMMYFUNCTION("""COMPUTED_VALUE"""),-2.0)</f>
        <v>-2</v>
      </c>
      <c r="P25" s="16">
        <f>IFERROR(__xludf.DUMMYFUNCTION("""COMPUTED_VALUE"""),23.0)</f>
        <v>23</v>
      </c>
      <c r="Q25" s="16">
        <f>IFERROR(__xludf.DUMMYFUNCTION("""COMPUTED_VALUE"""),23.0)</f>
        <v>23</v>
      </c>
      <c r="R25" s="16">
        <f>IFERROR(__xludf.DUMMYFUNCTION("""COMPUTED_VALUE"""),3.0)</f>
        <v>3</v>
      </c>
      <c r="S25" s="16">
        <f>IFERROR(__xludf.DUMMYFUNCTION("""COMPUTED_VALUE"""),3.0)</f>
        <v>3</v>
      </c>
      <c r="T25" s="16">
        <f>IFERROR(__xludf.DUMMYFUNCTION("""COMPUTED_VALUE"""),3.0)</f>
        <v>3</v>
      </c>
      <c r="U25" s="16">
        <f>IFERROR(__xludf.DUMMYFUNCTION("""COMPUTED_VALUE"""),3.0)</f>
        <v>3</v>
      </c>
      <c r="V25" s="16">
        <f>IFERROR(__xludf.DUMMYFUNCTION("""COMPUTED_VALUE"""),24.5)</f>
        <v>24.5</v>
      </c>
      <c r="W25" s="16">
        <f>IFERROR(__xludf.DUMMYFUNCTION("""COMPUTED_VALUE"""),10.1)</f>
        <v>10.1</v>
      </c>
      <c r="X25" s="16">
        <f>IFERROR(__xludf.DUMMYFUNCTION("""COMPUTED_VALUE"""),1.0)</f>
        <v>1</v>
      </c>
      <c r="Y25" s="16">
        <f>IFERROR(__xludf.DUMMYFUNCTION("""COMPUTED_VALUE"""),-2.0)</f>
        <v>-2</v>
      </c>
      <c r="Z25" s="16">
        <f>IFERROR(__xludf.DUMMYFUNCTION("""COMPUTED_VALUE"""),2.0)</f>
        <v>2</v>
      </c>
      <c r="AA25" s="16">
        <f>IFERROR(__xludf.DUMMYFUNCTION("""COMPUTED_VALUE"""),-4.0)</f>
        <v>-4</v>
      </c>
      <c r="AB25" s="16">
        <f>IFERROR(__xludf.DUMMYFUNCTION("""COMPUTED_VALUE"""),49.5)</f>
        <v>49.5</v>
      </c>
      <c r="AC25" s="16">
        <f>IFERROR(__xludf.DUMMYFUNCTION("""COMPUTED_VALUE"""),35.1)</f>
        <v>35.1</v>
      </c>
      <c r="AD25" s="16">
        <f>IFERROR(__xludf.DUMMYFUNCTION("""COMPUTED_VALUE"""),2.0)</f>
        <v>2</v>
      </c>
      <c r="AE25" s="16">
        <f>IFERROR(__xludf.DUMMYFUNCTION("""COMPUTED_VALUE"""),1.0)</f>
        <v>1</v>
      </c>
      <c r="AF25" s="16">
        <f>IFERROR(__xludf.DUMMYFUNCTION("""COMPUTED_VALUE"""),10.0)</f>
        <v>10</v>
      </c>
      <c r="AG25" s="16">
        <f>IFERROR(__xludf.DUMMYFUNCTION("""COMPUTED_VALUE"""),5.0)</f>
        <v>5</v>
      </c>
      <c r="AH25" s="16">
        <f>IFERROR(__xludf.DUMMYFUNCTION("""COMPUTED_VALUE"""),36.5)</f>
        <v>36.5</v>
      </c>
      <c r="AI25" s="16">
        <f>IFERROR(__xludf.DUMMYFUNCTION("""COMPUTED_VALUE"""),29.3)</f>
        <v>29.3</v>
      </c>
      <c r="AJ25" s="16">
        <f>IFERROR(__xludf.DUMMYFUNCTION("""COMPUTED_VALUE"""),0.0)</f>
        <v>0</v>
      </c>
      <c r="AK25" s="16">
        <f>IFERROR(__xludf.DUMMYFUNCTION("""COMPUTED_VALUE"""),0.0)</f>
        <v>0</v>
      </c>
      <c r="AL25" s="16">
        <f>IFERROR(__xludf.DUMMYFUNCTION("""COMPUTED_VALUE"""),0.0)</f>
        <v>0</v>
      </c>
      <c r="AM25" s="16">
        <f>IFERROR(__xludf.DUMMYFUNCTION("""COMPUTED_VALUE"""),0.0)</f>
        <v>0</v>
      </c>
      <c r="AN25" s="16">
        <f>IFERROR(__xludf.DUMMYFUNCTION("""COMPUTED_VALUE"""),4.0)</f>
        <v>4</v>
      </c>
      <c r="AO25" s="16">
        <f>IFERROR(__xludf.DUMMYFUNCTION("""COMPUTED_VALUE"""),5.2)</f>
        <v>5.2</v>
      </c>
      <c r="AP25" s="16">
        <f>IFERROR(__xludf.DUMMYFUNCTION("""COMPUTED_VALUE"""),2.0)</f>
        <v>2</v>
      </c>
      <c r="AQ25" s="16">
        <f>IFERROR(__xludf.DUMMYFUNCTION("""COMPUTED_VALUE"""),3.0)</f>
        <v>3</v>
      </c>
      <c r="AR25" s="16">
        <f>IFERROR(__xludf.DUMMYFUNCTION("""COMPUTED_VALUE"""),4.0)</f>
        <v>4</v>
      </c>
      <c r="AS25" s="16">
        <f>IFERROR(__xludf.DUMMYFUNCTION("""COMPUTED_VALUE"""),6.0)</f>
        <v>6</v>
      </c>
      <c r="AT25" s="16">
        <f>IFERROR(__xludf.DUMMYFUNCTION("""COMPUTED_VALUE"""),6.0)</f>
        <v>6</v>
      </c>
      <c r="AU25" s="16"/>
      <c r="AV25" s="16">
        <f>IFERROR(__xludf.DUMMYFUNCTION("""COMPUTED_VALUE"""),6.0)</f>
        <v>6</v>
      </c>
      <c r="AW25" s="16">
        <f>IFERROR(__xludf.DUMMYFUNCTION("""COMPUTED_VALUE"""),7.0)</f>
        <v>7</v>
      </c>
      <c r="AX25" s="16">
        <f>IFERROR(__xludf.DUMMYFUNCTION("""COMPUTED_VALUE"""),3.0)</f>
        <v>3</v>
      </c>
      <c r="AY25" s="16">
        <f>IFERROR(__xludf.DUMMYFUNCTION("""COMPUTED_VALUE"""),3.0)</f>
        <v>3</v>
      </c>
      <c r="AZ25" s="16">
        <f>IFERROR(__xludf.DUMMYFUNCTION("""COMPUTED_VALUE"""),9.0)</f>
        <v>9</v>
      </c>
      <c r="BA25" s="16">
        <f>IFERROR(__xludf.DUMMYFUNCTION("""COMPUTED_VALUE"""),9.0)</f>
        <v>9</v>
      </c>
      <c r="BB25" s="16">
        <f>IFERROR(__xludf.DUMMYFUNCTION("""COMPUTED_VALUE"""),5.0)</f>
        <v>5</v>
      </c>
      <c r="BC25" s="16">
        <f>IFERROR(__xludf.DUMMYFUNCTION("""COMPUTED_VALUE"""),0.0)</f>
        <v>0</v>
      </c>
      <c r="BD25" s="16">
        <f>IFERROR(__xludf.DUMMYFUNCTION("""COMPUTED_VALUE"""),1.0)</f>
        <v>1</v>
      </c>
      <c r="BE25" s="16">
        <f>IFERROR(__xludf.DUMMYFUNCTION("""COMPUTED_VALUE"""),0.0)</f>
        <v>0</v>
      </c>
      <c r="BF25" s="16">
        <f>IFERROR(__xludf.DUMMYFUNCTION("""COMPUTED_VALUE"""),1.0)</f>
        <v>1</v>
      </c>
      <c r="BG25" s="16">
        <f>IFERROR(__xludf.DUMMYFUNCTION("""COMPUTED_VALUE"""),0.0)</f>
        <v>0</v>
      </c>
      <c r="BH25" s="16">
        <f>IFERROR(__xludf.DUMMYFUNCTION("""COMPUTED_VALUE"""),1.0)</f>
        <v>1</v>
      </c>
      <c r="BI25" s="16">
        <f>IFERROR(__xludf.DUMMYFUNCTION("""COMPUTED_VALUE"""),0.0)</f>
        <v>0</v>
      </c>
      <c r="BJ25" s="16">
        <f>IFERROR(__xludf.DUMMYFUNCTION("""COMPUTED_VALUE"""),2.0)</f>
        <v>2</v>
      </c>
      <c r="BK25" s="16">
        <f>IFERROR(__xludf.DUMMYFUNCTION("""COMPUTED_VALUE"""),3.0)</f>
        <v>3</v>
      </c>
      <c r="BL25" s="16">
        <f>IFERROR(__xludf.DUMMYFUNCTION("""COMPUTED_VALUE"""),2.0)</f>
        <v>2</v>
      </c>
      <c r="BM25" s="16">
        <f>IFERROR(__xludf.DUMMYFUNCTION("""COMPUTED_VALUE"""),2.0)</f>
        <v>2</v>
      </c>
      <c r="BN25" s="16">
        <f>IFERROR(__xludf.DUMMYFUNCTION("""COMPUTED_VALUE"""),2.0)</f>
        <v>2</v>
      </c>
      <c r="BO25" s="16">
        <f>IFERROR(__xludf.DUMMYFUNCTION("""COMPUTED_VALUE"""),2.0)</f>
        <v>2</v>
      </c>
      <c r="BP25" s="16">
        <f>IFERROR(__xludf.DUMMYFUNCTION("""COMPUTED_VALUE"""),14.0)</f>
        <v>14</v>
      </c>
      <c r="BQ25" s="16">
        <f>IFERROR(__xludf.DUMMYFUNCTION("""COMPUTED_VALUE"""),8.0)</f>
        <v>8</v>
      </c>
      <c r="BR25" s="16">
        <f>IFERROR(__xludf.DUMMYFUNCTION("""COMPUTED_VALUE"""),22.0)</f>
        <v>22</v>
      </c>
      <c r="BS25" s="16" t="str">
        <f>IFERROR(__xludf.DUMMYFUNCTION("""COMPUTED_VALUE"""),"6/- (13-6)")</f>
        <v>6/- (13-6)</v>
      </c>
      <c r="BT25" s="16" t="str">
        <f>IFERROR(__xludf.DUMMYFUNCTION("""COMPUTED_VALUE"""),"D")</f>
        <v>D</v>
      </c>
      <c r="BU25" s="16">
        <f>IFERROR(__xludf.DUMMYFUNCTION("""COMPUTED_VALUE"""),10.0)</f>
        <v>10</v>
      </c>
      <c r="BV25" s="16">
        <f>IFERROR(__xludf.DUMMYFUNCTION("""COMPUTED_VALUE"""),0.0)</f>
        <v>0</v>
      </c>
      <c r="BW25" s="16">
        <f>IFERROR(__xludf.DUMMYFUNCTION("""COMPUTED_VALUE"""),0.0)</f>
        <v>0</v>
      </c>
      <c r="BX25" s="16">
        <f>IFERROR(__xludf.DUMMYFUNCTION("""COMPUTED_VALUE"""),0.0)</f>
        <v>0</v>
      </c>
      <c r="BY25" s="16">
        <f>IFERROR(__xludf.DUMMYFUNCTION("""COMPUTED_VALUE"""),0.0)</f>
        <v>0</v>
      </c>
      <c r="BZ25" s="16" t="str">
        <f>IFERROR(__xludf.DUMMYFUNCTION("""COMPUTED_VALUE"""),"D")</f>
        <v>D</v>
      </c>
      <c r="CA25" s="16" t="str">
        <f>IFERROR(__xludf.DUMMYFUNCTION("""COMPUTED_VALUE"""),"C")</f>
        <v>C</v>
      </c>
      <c r="CB25" s="16">
        <f>IFERROR(__xludf.DUMMYFUNCTION("""COMPUTED_VALUE"""),0.0)</f>
        <v>0</v>
      </c>
      <c r="CC25" s="16">
        <f>IFERROR(__xludf.DUMMYFUNCTION("""COMPUTED_VALUE"""),0.0)</f>
        <v>0</v>
      </c>
      <c r="CD25" s="16">
        <f>IFERROR(__xludf.DUMMYFUNCTION("""COMPUTED_VALUE"""),0.0)</f>
        <v>0</v>
      </c>
      <c r="CE25" s="16">
        <f>IFERROR(__xludf.DUMMYFUNCTION("""COMPUTED_VALUE"""),0.0)</f>
        <v>0</v>
      </c>
      <c r="CF25" s="16">
        <f>IFERROR(__xludf.DUMMYFUNCTION("""COMPUTED_VALUE"""),1.0)</f>
        <v>1</v>
      </c>
      <c r="CG25" s="16">
        <f>IFERROR(__xludf.DUMMYFUNCTION("""COMPUTED_VALUE"""),31.0)</f>
        <v>31</v>
      </c>
      <c r="CH25" s="16">
        <f>IFERROR(__xludf.DUMMYFUNCTION("""COMPUTED_VALUE"""),19.0)</f>
        <v>19</v>
      </c>
      <c r="CI25" s="179">
        <f>IFERROR(__xludf.DUMMYFUNCTION("""COMPUTED_VALUE"""),29.0)</f>
        <v>29</v>
      </c>
      <c r="CJ25" s="16"/>
      <c r="CK25" s="16"/>
      <c r="CL25" s="16"/>
      <c r="CM25" s="16"/>
      <c r="CN25" s="16"/>
      <c r="CO25" s="16">
        <f>IFERROR(__xludf.DUMMYFUNCTION("""COMPUTED_VALUE"""),508.0)</f>
        <v>508</v>
      </c>
      <c r="CP25" s="16"/>
      <c r="CQ25" s="16"/>
      <c r="CR25" s="16" t="str">
        <f>IFERROR(__xludf.DUMMYFUNCTION("""COMPUTED_VALUE"""),"lf-5(+2)e8")</f>
        <v>lf-5(+2)e8</v>
      </c>
      <c r="CS25" s="16"/>
      <c r="CT25" s="16"/>
      <c r="CU25" s="16"/>
      <c r="CV25" s="16"/>
      <c r="CW25" s="16"/>
      <c r="CX25" s="16">
        <f>IFERROR(__xludf.DUMMYFUNCTION("""COMPUTED_VALUE"""),5.0)</f>
        <v>5</v>
      </c>
      <c r="CY25" s="16"/>
      <c r="CZ25" s="16"/>
      <c r="DA25" s="16"/>
      <c r="DB25" s="16"/>
      <c r="DC25" s="16"/>
      <c r="DD25" s="16"/>
      <c r="DE25" s="16"/>
      <c r="DF25" s="16">
        <f>IFERROR(__xludf.DUMMYFUNCTION("""COMPUTED_VALUE"""),8.0)</f>
        <v>8</v>
      </c>
      <c r="DG25" s="16"/>
      <c r="DH25" s="16"/>
      <c r="DI25" s="16"/>
      <c r="DJ25" s="16"/>
      <c r="DK25" s="16"/>
      <c r="DL25" s="16"/>
      <c r="DM25" s="16"/>
      <c r="DN25" s="16">
        <f>IFERROR(__xludf.DUMMYFUNCTION("""COMPUTED_VALUE"""),-3.0)</f>
        <v>-3</v>
      </c>
      <c r="DO25" s="16"/>
      <c r="DP25" s="16"/>
      <c r="DQ25" s="16"/>
      <c r="DR25" s="16"/>
      <c r="DS25" s="16"/>
      <c r="DT25" s="16"/>
      <c r="DU25" s="16"/>
      <c r="DV25" s="16">
        <f>IFERROR(__xludf.DUMMYFUNCTION("""COMPUTED_VALUE"""),0.0)</f>
        <v>0</v>
      </c>
      <c r="DW25" s="16"/>
      <c r="DX25" s="16"/>
      <c r="DY25" s="16"/>
      <c r="DZ25" s="16"/>
      <c r="EA25" s="16"/>
      <c r="EB25" s="16"/>
      <c r="EC25" s="16"/>
      <c r="ED25" s="16">
        <f>IFERROR(__xludf.DUMMYFUNCTION("""COMPUTED_VALUE"""),-3.0)</f>
        <v>-3</v>
      </c>
      <c r="EE25" s="16"/>
      <c r="EF25" s="16"/>
      <c r="EG25" s="179"/>
      <c r="EH25" s="179"/>
      <c r="EI25" s="179"/>
      <c r="EJ25" s="179"/>
      <c r="EK25" s="179"/>
      <c r="EL25" s="179">
        <f>IFERROR(__xludf.DUMMYFUNCTION("""COMPUTED_VALUE"""),26.0)</f>
        <v>26</v>
      </c>
      <c r="EM25" s="179"/>
      <c r="EN25" s="179"/>
      <c r="EO25" s="16"/>
      <c r="EP25" s="16"/>
      <c r="EQ25" s="16">
        <f>IFERROR(__xludf.DUMMYFUNCTION("""COMPUTED_VALUE"""),4.0)</f>
        <v>4</v>
      </c>
      <c r="ER25" s="16">
        <f>IFERROR(__xludf.DUMMYFUNCTION("""COMPUTED_VALUE"""),3.0)</f>
        <v>3</v>
      </c>
      <c r="ES25" s="16"/>
      <c r="ET25" s="16"/>
      <c r="EU25" s="16"/>
      <c r="EV25" s="16"/>
      <c r="EW25" s="16"/>
      <c r="EX25" s="180"/>
      <c r="EY25" s="180"/>
      <c r="EZ25" s="180"/>
      <c r="FA25" s="180"/>
      <c r="FB25" s="180"/>
      <c r="FC25" s="180">
        <f>IFERROR(__xludf.DUMMYFUNCTION("""COMPUTED_VALUE"""),0.75)</f>
        <v>0.75</v>
      </c>
      <c r="FD25" s="180"/>
      <c r="FE25" s="180"/>
      <c r="FF25" s="180"/>
      <c r="FG25" s="180"/>
      <c r="FH25" s="180"/>
      <c r="FI25" s="180"/>
      <c r="FJ25" s="180"/>
      <c r="FK25" s="180">
        <f>IFERROR(__xludf.DUMMYFUNCTION("""COMPUTED_VALUE"""),0.144)</f>
        <v>0.144</v>
      </c>
      <c r="FL25" s="180"/>
      <c r="FM25" s="180"/>
      <c r="FN25" s="16"/>
      <c r="FO25" s="16"/>
      <c r="FP25" s="16"/>
      <c r="FQ25" s="16"/>
      <c r="FR25" s="16"/>
      <c r="FS25" s="16">
        <f>IFERROR(__xludf.DUMMYFUNCTION("""COMPUTED_VALUE"""),0.214)</f>
        <v>0.214</v>
      </c>
      <c r="FT25" s="16"/>
      <c r="FU25" s="16"/>
      <c r="FV25" s="16"/>
      <c r="FW25" s="16"/>
      <c r="FX25" s="16"/>
      <c r="FY25" s="16"/>
      <c r="FZ25" s="16"/>
      <c r="GA25" s="16">
        <f>IFERROR(__xludf.DUMMYFUNCTION("""COMPUTED_VALUE"""),-8.0)</f>
        <v>-8</v>
      </c>
      <c r="GB25" s="16"/>
      <c r="GC25" s="16"/>
      <c r="GD25" s="16" t="s">
        <v>277</v>
      </c>
    </row>
    <row r="26">
      <c r="A26" s="16">
        <f>IFERROR(__xludf.DUMMYFUNCTION("""COMPUTED_VALUE"""),12713.0)</f>
        <v>12713</v>
      </c>
      <c r="B26" s="16" t="str">
        <f>IFERROR(__xludf.DUMMYFUNCTION("""COMPUTED_VALUE"""),"Corey Seager")</f>
        <v>Corey Seager</v>
      </c>
      <c r="C26" s="16">
        <f>IFERROR(__xludf.DUMMYFUNCTION("""COMPUTED_VALUE"""),2.72)</f>
        <v>2.72</v>
      </c>
      <c r="D26" s="16" t="str">
        <f>IFERROR(__xludf.DUMMYFUNCTION("""COMPUTED_VALUE"""),"L")</f>
        <v>L</v>
      </c>
      <c r="E26" s="16"/>
      <c r="F26" s="16"/>
      <c r="G26" s="16">
        <f>IFERROR(__xludf.DUMMYFUNCTION("""COMPUTED_VALUE"""),475.0)</f>
        <v>475</v>
      </c>
      <c r="H26" s="16">
        <f>IFERROR(__xludf.DUMMYFUNCTION("""COMPUTED_VALUE"""),53.0)</f>
        <v>53</v>
      </c>
      <c r="I26" s="16" t="str">
        <f>IFERROR(__xludf.DUMMYFUNCTION("""COMPUTED_VALUE"""),"3p60")</f>
        <v>3p60</v>
      </c>
      <c r="J26" s="16">
        <f>IFERROR(__xludf.DUMMYFUNCTION("""COMPUTED_VALUE"""),35.0)</f>
        <v>35</v>
      </c>
      <c r="K26" s="16">
        <f>IFERROR(__xludf.DUMMYFUNCTION("""COMPUTED_VALUE"""),7.0)</f>
        <v>7</v>
      </c>
      <c r="L26" s="16">
        <f>IFERROR(__xludf.DUMMYFUNCTION("""COMPUTED_VALUE"""),-1.0)</f>
        <v>-1</v>
      </c>
      <c r="M26" s="16">
        <f>IFERROR(__xludf.DUMMYFUNCTION("""COMPUTED_VALUE"""),2.0)</f>
        <v>2</v>
      </c>
      <c r="N26" s="16">
        <f>IFERROR(__xludf.DUMMYFUNCTION("""COMPUTED_VALUE"""),-1.0)</f>
        <v>-1</v>
      </c>
      <c r="O26" s="16">
        <f>IFERROR(__xludf.DUMMYFUNCTION("""COMPUTED_VALUE"""),2.0)</f>
        <v>2</v>
      </c>
      <c r="P26" s="16">
        <f>IFERROR(__xludf.DUMMYFUNCTION("""COMPUTED_VALUE"""),0.0)</f>
        <v>0</v>
      </c>
      <c r="Q26" s="16">
        <f>IFERROR(__xludf.DUMMYFUNCTION("""COMPUTED_VALUE"""),12.0)</f>
        <v>12</v>
      </c>
      <c r="R26" s="16">
        <f>IFERROR(__xludf.DUMMYFUNCTION("""COMPUTED_VALUE"""),-3.0)</f>
        <v>-3</v>
      </c>
      <c r="S26" s="16">
        <f>IFERROR(__xludf.DUMMYFUNCTION("""COMPUTED_VALUE"""),1.0)</f>
        <v>1</v>
      </c>
      <c r="T26" s="16">
        <f>IFERROR(__xludf.DUMMYFUNCTION("""COMPUTED_VALUE"""),-3.0)</f>
        <v>-3</v>
      </c>
      <c r="U26" s="16">
        <f>IFERROR(__xludf.DUMMYFUNCTION("""COMPUTED_VALUE"""),1.0)</f>
        <v>1</v>
      </c>
      <c r="V26" s="16">
        <f>IFERROR(__xludf.DUMMYFUNCTION("""COMPUTED_VALUE"""),23.5)</f>
        <v>23.5</v>
      </c>
      <c r="W26" s="16">
        <f>IFERROR(__xludf.DUMMYFUNCTION("""COMPUTED_VALUE"""),25.3)</f>
        <v>25.3</v>
      </c>
      <c r="X26" s="16">
        <f>IFERROR(__xludf.DUMMYFUNCTION("""COMPUTED_VALUE"""),1.0)</f>
        <v>1</v>
      </c>
      <c r="Y26" s="16">
        <f>IFERROR(__xludf.DUMMYFUNCTION("""COMPUTED_VALUE"""),1.0)</f>
        <v>1</v>
      </c>
      <c r="Z26" s="16">
        <f>IFERROR(__xludf.DUMMYFUNCTION("""COMPUTED_VALUE"""),2.0)</f>
        <v>2</v>
      </c>
      <c r="AA26" s="16">
        <f>IFERROR(__xludf.DUMMYFUNCTION("""COMPUTED_VALUE"""),2.0)</f>
        <v>2</v>
      </c>
      <c r="AB26" s="16">
        <f>IFERROR(__xludf.DUMMYFUNCTION("""COMPUTED_VALUE"""),24.5)</f>
        <v>24.5</v>
      </c>
      <c r="AC26" s="16">
        <f>IFERROR(__xludf.DUMMYFUNCTION("""COMPUTED_VALUE"""),38.3)</f>
        <v>38.3</v>
      </c>
      <c r="AD26" s="16">
        <f>IFERROR(__xludf.DUMMYFUNCTION("""COMPUTED_VALUE"""),-1.0)</f>
        <v>-1</v>
      </c>
      <c r="AE26" s="16">
        <f>IFERROR(__xludf.DUMMYFUNCTION("""COMPUTED_VALUE"""),1.0)</f>
        <v>1</v>
      </c>
      <c r="AF26" s="16">
        <f>IFERROR(__xludf.DUMMYFUNCTION("""COMPUTED_VALUE"""),-5.0)</f>
        <v>-5</v>
      </c>
      <c r="AG26" s="16">
        <f>IFERROR(__xludf.DUMMYFUNCTION("""COMPUTED_VALUE"""),5.0)</f>
        <v>5</v>
      </c>
      <c r="AH26" s="16">
        <f>IFERROR(__xludf.DUMMYFUNCTION("""COMPUTED_VALUE"""),34.9)</f>
        <v>34.9</v>
      </c>
      <c r="AI26" s="16">
        <f>IFERROR(__xludf.DUMMYFUNCTION("""COMPUTED_VALUE"""),46.8)</f>
        <v>46.8</v>
      </c>
      <c r="AJ26" s="16">
        <f>IFERROR(__xludf.DUMMYFUNCTION("""COMPUTED_VALUE"""),0.0)</f>
        <v>0</v>
      </c>
      <c r="AK26" s="16">
        <f>IFERROR(__xludf.DUMMYFUNCTION("""COMPUTED_VALUE"""),2.0)</f>
        <v>2</v>
      </c>
      <c r="AL26" s="16">
        <f>IFERROR(__xludf.DUMMYFUNCTION("""COMPUTED_VALUE"""),0.0)</f>
        <v>0</v>
      </c>
      <c r="AM26" s="16">
        <f>IFERROR(__xludf.DUMMYFUNCTION("""COMPUTED_VALUE"""),10.0)</f>
        <v>10</v>
      </c>
      <c r="AN26" s="16">
        <f>IFERROR(__xludf.DUMMYFUNCTION("""COMPUTED_VALUE"""),3.4)</f>
        <v>3.4</v>
      </c>
      <c r="AO26" s="16">
        <f>IFERROR(__xludf.DUMMYFUNCTION("""COMPUTED_VALUE"""),5.6)</f>
        <v>5.6</v>
      </c>
      <c r="AP26" s="16">
        <f>IFERROR(__xludf.DUMMYFUNCTION("""COMPUTED_VALUE"""),1.0)</f>
        <v>1</v>
      </c>
      <c r="AQ26" s="16">
        <f>IFERROR(__xludf.DUMMYFUNCTION("""COMPUTED_VALUE"""),3.0)</f>
        <v>3</v>
      </c>
      <c r="AR26" s="16">
        <f>IFERROR(__xludf.DUMMYFUNCTION("""COMPUTED_VALUE"""),2.0)</f>
        <v>2</v>
      </c>
      <c r="AS26" s="16">
        <f>IFERROR(__xludf.DUMMYFUNCTION("""COMPUTED_VALUE"""),6.0)</f>
        <v>6</v>
      </c>
      <c r="AT26" s="16">
        <f>IFERROR(__xludf.DUMMYFUNCTION("""COMPUTED_VALUE"""),4.0)</f>
        <v>4</v>
      </c>
      <c r="AU26" s="16">
        <f>IFERROR(__xludf.DUMMYFUNCTION("""COMPUTED_VALUE"""),8.0)</f>
        <v>8</v>
      </c>
      <c r="AV26" s="16">
        <f>IFERROR(__xludf.DUMMYFUNCTION("""COMPUTED_VALUE"""),4.0)</f>
        <v>4</v>
      </c>
      <c r="AW26" s="16">
        <f>IFERROR(__xludf.DUMMYFUNCTION("""COMPUTED_VALUE"""),8.0)</f>
        <v>8</v>
      </c>
      <c r="AX26" s="16">
        <f>IFERROR(__xludf.DUMMYFUNCTION("""COMPUTED_VALUE"""),2.0)</f>
        <v>2</v>
      </c>
      <c r="AY26" s="16">
        <f>IFERROR(__xludf.DUMMYFUNCTION("""COMPUTED_VALUE"""),3.0)</f>
        <v>3</v>
      </c>
      <c r="AZ26" s="16">
        <f>IFERROR(__xludf.DUMMYFUNCTION("""COMPUTED_VALUE"""),6.0)</f>
        <v>6</v>
      </c>
      <c r="BA26" s="16">
        <f>IFERROR(__xludf.DUMMYFUNCTION("""COMPUTED_VALUE"""),9.0)</f>
        <v>9</v>
      </c>
      <c r="BB26" s="16">
        <f>IFERROR(__xludf.DUMMYFUNCTION("""COMPUTED_VALUE"""),5.0)</f>
        <v>5</v>
      </c>
      <c r="BC26" s="16">
        <f>IFERROR(__xludf.DUMMYFUNCTION("""COMPUTED_VALUE"""),5.0)</f>
        <v>5</v>
      </c>
      <c r="BD26" s="16">
        <f>IFERROR(__xludf.DUMMYFUNCTION("""COMPUTED_VALUE"""),1.0)</f>
        <v>1</v>
      </c>
      <c r="BE26" s="16">
        <f>IFERROR(__xludf.DUMMYFUNCTION("""COMPUTED_VALUE"""),1.0)</f>
        <v>1</v>
      </c>
      <c r="BF26" s="16">
        <f>IFERROR(__xludf.DUMMYFUNCTION("""COMPUTED_VALUE"""),1.0)</f>
        <v>1</v>
      </c>
      <c r="BG26" s="16">
        <f>IFERROR(__xludf.DUMMYFUNCTION("""COMPUTED_VALUE"""),1.0)</f>
        <v>1</v>
      </c>
      <c r="BH26" s="16">
        <f>IFERROR(__xludf.DUMMYFUNCTION("""COMPUTED_VALUE"""),-8.0)</f>
        <v>-8</v>
      </c>
      <c r="BI26" s="16">
        <f>IFERROR(__xludf.DUMMYFUNCTION("""COMPUTED_VALUE"""),-7.0)</f>
        <v>-7</v>
      </c>
      <c r="BJ26" s="16">
        <f>IFERROR(__xludf.DUMMYFUNCTION("""COMPUTED_VALUE"""),13.0)</f>
        <v>13</v>
      </c>
      <c r="BK26" s="16">
        <f>IFERROR(__xludf.DUMMYFUNCTION("""COMPUTED_VALUE"""),11.0)</f>
        <v>11</v>
      </c>
      <c r="BL26" s="16">
        <f>IFERROR(__xludf.DUMMYFUNCTION("""COMPUTED_VALUE"""),0.0)</f>
        <v>0</v>
      </c>
      <c r="BM26" s="16">
        <f>IFERROR(__xludf.DUMMYFUNCTION("""COMPUTED_VALUE"""),0.0)</f>
        <v>0</v>
      </c>
      <c r="BN26" s="16">
        <f>IFERROR(__xludf.DUMMYFUNCTION("""COMPUTED_VALUE"""),0.0)</f>
        <v>0</v>
      </c>
      <c r="BO26" s="16">
        <f>IFERROR(__xludf.DUMMYFUNCTION("""COMPUTED_VALUE"""),0.0)</f>
        <v>0</v>
      </c>
      <c r="BP26" s="16">
        <f>IFERROR(__xludf.DUMMYFUNCTION("""COMPUTED_VALUE"""),0.0)</f>
        <v>0</v>
      </c>
      <c r="BQ26" s="16">
        <f>IFERROR(__xludf.DUMMYFUNCTION("""COMPUTED_VALUE"""),14.0)</f>
        <v>14</v>
      </c>
      <c r="BR26" s="16">
        <f>IFERROR(__xludf.DUMMYFUNCTION("""COMPUTED_VALUE"""),14.0)</f>
        <v>14</v>
      </c>
      <c r="BS26" s="16" t="str">
        <f>IFERROR(__xludf.DUMMYFUNCTION("""COMPUTED_VALUE"""),"3/12 (13-5)")</f>
        <v>3/12 (13-5)</v>
      </c>
      <c r="BT26" s="16" t="str">
        <f>IFERROR(__xludf.DUMMYFUNCTION("""COMPUTED_VALUE"""),"E")</f>
        <v>E</v>
      </c>
      <c r="BU26" s="16">
        <f>IFERROR(__xludf.DUMMYFUNCTION("""COMPUTED_VALUE"""),9.0)</f>
        <v>9</v>
      </c>
      <c r="BV26" s="16">
        <f>IFERROR(__xludf.DUMMYFUNCTION("""COMPUTED_VALUE"""),0.0)</f>
        <v>0</v>
      </c>
      <c r="BW26" s="16">
        <f>IFERROR(__xludf.DUMMYFUNCTION("""COMPUTED_VALUE"""),-1.0)</f>
        <v>-1</v>
      </c>
      <c r="BX26" s="16">
        <f>IFERROR(__xludf.DUMMYFUNCTION("""COMPUTED_VALUE"""),0.0)</f>
        <v>0</v>
      </c>
      <c r="BY26" s="16">
        <f>IFERROR(__xludf.DUMMYFUNCTION("""COMPUTED_VALUE"""),-3.0)</f>
        <v>-3</v>
      </c>
      <c r="BZ26" s="16" t="str">
        <f>IFERROR(__xludf.DUMMYFUNCTION("""COMPUTED_VALUE"""),"D")</f>
        <v>D</v>
      </c>
      <c r="CA26" s="16" t="str">
        <f>IFERROR(__xludf.DUMMYFUNCTION("""COMPUTED_VALUE"""),"C")</f>
        <v>C</v>
      </c>
      <c r="CB26" s="16">
        <f>IFERROR(__xludf.DUMMYFUNCTION("""COMPUTED_VALUE"""),0.0)</f>
        <v>0</v>
      </c>
      <c r="CC26" s="16">
        <f>IFERROR(__xludf.DUMMYFUNCTION("""COMPUTED_VALUE"""),0.0)</f>
        <v>0</v>
      </c>
      <c r="CD26" s="16">
        <f>IFERROR(__xludf.DUMMYFUNCTION("""COMPUTED_VALUE"""),0.0)</f>
        <v>0</v>
      </c>
      <c r="CE26" s="16">
        <f>IFERROR(__xludf.DUMMYFUNCTION("""COMPUTED_VALUE"""),0.0)</f>
        <v>0</v>
      </c>
      <c r="CF26" s="16">
        <f>IFERROR(__xludf.DUMMYFUNCTION("""COMPUTED_VALUE"""),3.0)</f>
        <v>3</v>
      </c>
      <c r="CG26" s="16">
        <f>IFERROR(__xludf.DUMMYFUNCTION("""COMPUTED_VALUE"""),2.0)</f>
        <v>2</v>
      </c>
      <c r="CH26" s="16">
        <f>IFERROR(__xludf.DUMMYFUNCTION("""COMPUTED_VALUE"""),36.0)</f>
        <v>36</v>
      </c>
      <c r="CI26" s="179">
        <f>IFERROR(__xludf.DUMMYFUNCTION("""COMPUTED_VALUE"""),29.0)</f>
        <v>29</v>
      </c>
      <c r="CJ26" s="16"/>
      <c r="CK26" s="16"/>
      <c r="CL26" s="16"/>
      <c r="CM26" s="16"/>
      <c r="CN26" s="16">
        <f>IFERROR(__xludf.DUMMYFUNCTION("""COMPUTED_VALUE"""),310.0)</f>
        <v>310</v>
      </c>
      <c r="CO26" s="16"/>
      <c r="CP26" s="16"/>
      <c r="CQ26" s="16"/>
      <c r="CR26" s="16" t="str">
        <f>IFERROR(__xludf.DUMMYFUNCTION("""COMPUTED_VALUE"""),"ss-3e10")</f>
        <v>ss-3e10</v>
      </c>
      <c r="CS26" s="16"/>
      <c r="CT26" s="16"/>
      <c r="CU26" s="16"/>
      <c r="CV26" s="16"/>
      <c r="CW26" s="16">
        <f>IFERROR(__xludf.DUMMYFUNCTION("""COMPUTED_VALUE"""),3.0)</f>
        <v>3</v>
      </c>
      <c r="CX26" s="16"/>
      <c r="CY26" s="16"/>
      <c r="CZ26" s="16"/>
      <c r="DA26" s="16"/>
      <c r="DB26" s="16"/>
      <c r="DC26" s="16"/>
      <c r="DD26" s="16"/>
      <c r="DE26" s="16">
        <f>IFERROR(__xludf.DUMMYFUNCTION("""COMPUTED_VALUE"""),10.0)</f>
        <v>10</v>
      </c>
      <c r="DF26" s="16"/>
      <c r="DG26" s="16"/>
      <c r="DH26" s="16"/>
      <c r="DI26" s="16"/>
      <c r="DJ26" s="16"/>
      <c r="DK26" s="16"/>
      <c r="DL26" s="16"/>
      <c r="DM26" s="16">
        <f>IFERROR(__xludf.DUMMYFUNCTION("""COMPUTED_VALUE"""),0.0)</f>
        <v>0</v>
      </c>
      <c r="DN26" s="16"/>
      <c r="DO26" s="16"/>
      <c r="DP26" s="16"/>
      <c r="DQ26" s="16"/>
      <c r="DR26" s="16"/>
      <c r="DS26" s="16"/>
      <c r="DT26" s="16"/>
      <c r="DU26" s="16">
        <f>IFERROR(__xludf.DUMMYFUNCTION("""COMPUTED_VALUE"""),3.0)</f>
        <v>3</v>
      </c>
      <c r="DV26" s="16"/>
      <c r="DW26" s="16"/>
      <c r="DX26" s="16"/>
      <c r="DY26" s="16"/>
      <c r="DZ26" s="16"/>
      <c r="EA26" s="16"/>
      <c r="EB26" s="16"/>
      <c r="EC26" s="16">
        <f>IFERROR(__xludf.DUMMYFUNCTION("""COMPUTED_VALUE"""),3.0)</f>
        <v>3</v>
      </c>
      <c r="ED26" s="16"/>
      <c r="EE26" s="16"/>
      <c r="EF26" s="16"/>
      <c r="EG26" s="179"/>
      <c r="EH26" s="179"/>
      <c r="EI26" s="179"/>
      <c r="EJ26" s="179"/>
      <c r="EK26" s="179">
        <f>IFERROR(__xludf.DUMMYFUNCTION("""COMPUTED_VALUE"""),32.0)</f>
        <v>32</v>
      </c>
      <c r="EL26" s="179"/>
      <c r="EM26" s="179"/>
      <c r="EN26" s="179"/>
      <c r="EO26" s="16"/>
      <c r="EP26" s="16">
        <f>IFERROR(__xludf.DUMMYFUNCTION("""COMPUTED_VALUE"""),-1.0)</f>
        <v>-1</v>
      </c>
      <c r="EQ26" s="16">
        <f>IFERROR(__xludf.DUMMYFUNCTION("""COMPUTED_VALUE"""),1.0)</f>
        <v>1</v>
      </c>
      <c r="ER26" s="16">
        <f>IFERROR(__xludf.DUMMYFUNCTION("""COMPUTED_VALUE"""),1.0)</f>
        <v>1</v>
      </c>
      <c r="ES26" s="16"/>
      <c r="ET26" s="16"/>
      <c r="EU26" s="16"/>
      <c r="EV26" s="16"/>
      <c r="EW26" s="16"/>
      <c r="EX26" s="180"/>
      <c r="EY26" s="180"/>
      <c r="EZ26" s="180"/>
      <c r="FA26" s="180"/>
      <c r="FB26" s="180">
        <f>IFERROR(__xludf.DUMMYFUNCTION("""COMPUTED_VALUE"""),0.2)</f>
        <v>0.2</v>
      </c>
      <c r="FC26" s="180"/>
      <c r="FD26" s="180"/>
      <c r="FE26" s="180"/>
      <c r="FF26" s="180"/>
      <c r="FG26" s="180"/>
      <c r="FH26" s="180"/>
      <c r="FI26" s="180"/>
      <c r="FJ26" s="180">
        <f>IFERROR(__xludf.DUMMYFUNCTION("""COMPUTED_VALUE"""),0.05092592592592592)</f>
        <v>0.05092592593</v>
      </c>
      <c r="FK26" s="180"/>
      <c r="FL26" s="180"/>
      <c r="FM26" s="180"/>
      <c r="FN26" s="16"/>
      <c r="FO26" s="16"/>
      <c r="FP26" s="16"/>
      <c r="FQ26" s="16"/>
      <c r="FR26" s="16">
        <f>IFERROR(__xludf.DUMMYFUNCTION("""COMPUTED_VALUE"""),0.7592592592592593)</f>
        <v>0.7592592593</v>
      </c>
      <c r="FS26" s="16"/>
      <c r="FT26" s="16"/>
      <c r="FU26" s="16"/>
      <c r="FV26" s="16"/>
      <c r="FW26" s="16"/>
      <c r="FX26" s="16"/>
      <c r="FY26" s="16"/>
      <c r="FZ26" s="16">
        <f>IFERROR(__xludf.DUMMYFUNCTION("""COMPUTED_VALUE"""),-1.0)</f>
        <v>-1</v>
      </c>
      <c r="GA26" s="16"/>
      <c r="GB26" s="16"/>
      <c r="GC26" s="16"/>
      <c r="GD26" s="16" t="s">
        <v>212</v>
      </c>
    </row>
    <row r="27">
      <c r="A27" s="16">
        <f>IFERROR(__xludf.DUMMYFUNCTION("""COMPUTED_VALUE"""),12522.0)</f>
        <v>12522</v>
      </c>
      <c r="B27" s="16" t="str">
        <f>IFERROR(__xludf.DUMMYFUNCTION("""COMPUTED_VALUE"""),"Alex Call")</f>
        <v>Alex Call</v>
      </c>
      <c r="C27" s="16">
        <f>IFERROR(__xludf.DUMMYFUNCTION("""COMPUTED_VALUE"""),3.85)</f>
        <v>3.85</v>
      </c>
      <c r="D27" s="16" t="str">
        <f>IFERROR(__xludf.DUMMYFUNCTION("""COMPUTED_VALUE"""),"R")</f>
        <v>R</v>
      </c>
      <c r="E27" s="16"/>
      <c r="F27" s="16"/>
      <c r="G27" s="16">
        <f>IFERROR(__xludf.DUMMYFUNCTION("""COMPUTED_VALUE"""),99.0)</f>
        <v>99</v>
      </c>
      <c r="H27" s="16">
        <f>IFERROR(__xludf.DUMMYFUNCTION("""COMPUTED_VALUE"""),12.0)</f>
        <v>12</v>
      </c>
      <c r="I27" s="16" t="str">
        <f>IFERROR(__xludf.DUMMYFUNCTION("""COMPUTED_VALUE"""),"3p20")</f>
        <v>3p20</v>
      </c>
      <c r="J27" s="16">
        <f>IFERROR(__xludf.DUMMYFUNCTION("""COMPUTED_VALUE"""),24.0)</f>
        <v>24</v>
      </c>
      <c r="K27" s="16">
        <f>IFERROR(__xludf.DUMMYFUNCTION("""COMPUTED_VALUE"""),5.0)</f>
        <v>5</v>
      </c>
      <c r="L27" s="16">
        <f>IFERROR(__xludf.DUMMYFUNCTION("""COMPUTED_VALUE"""),0.0)</f>
        <v>0</v>
      </c>
      <c r="M27" s="16">
        <f>IFERROR(__xludf.DUMMYFUNCTION("""COMPUTED_VALUE"""),2.0)</f>
        <v>2</v>
      </c>
      <c r="N27" s="16">
        <f>IFERROR(__xludf.DUMMYFUNCTION("""COMPUTED_VALUE"""),0.0)</f>
        <v>0</v>
      </c>
      <c r="O27" s="16">
        <f>IFERROR(__xludf.DUMMYFUNCTION("""COMPUTED_VALUE"""),2.0)</f>
        <v>2</v>
      </c>
      <c r="P27" s="16">
        <f>IFERROR(__xludf.DUMMYFUNCTION("""COMPUTED_VALUE"""),15.0)</f>
        <v>15</v>
      </c>
      <c r="Q27" s="16">
        <f>IFERROR(__xludf.DUMMYFUNCTION("""COMPUTED_VALUE"""),15.0)</f>
        <v>15</v>
      </c>
      <c r="R27" s="16">
        <f>IFERROR(__xludf.DUMMYFUNCTION("""COMPUTED_VALUE"""),2.0)</f>
        <v>2</v>
      </c>
      <c r="S27" s="16">
        <f>IFERROR(__xludf.DUMMYFUNCTION("""COMPUTED_VALUE"""),2.0)</f>
        <v>2</v>
      </c>
      <c r="T27" s="16">
        <f>IFERROR(__xludf.DUMMYFUNCTION("""COMPUTED_VALUE"""),2.0)</f>
        <v>2</v>
      </c>
      <c r="U27" s="16">
        <f>IFERROR(__xludf.DUMMYFUNCTION("""COMPUTED_VALUE"""),2.0)</f>
        <v>2</v>
      </c>
      <c r="V27" s="16">
        <f>IFERROR(__xludf.DUMMYFUNCTION("""COMPUTED_VALUE"""),26.0)</f>
        <v>26</v>
      </c>
      <c r="W27" s="16">
        <f>IFERROR(__xludf.DUMMYFUNCTION("""COMPUTED_VALUE"""),43.3)</f>
        <v>43.3</v>
      </c>
      <c r="X27" s="16">
        <f>IFERROR(__xludf.DUMMYFUNCTION("""COMPUTED_VALUE"""),1.0)</f>
        <v>1</v>
      </c>
      <c r="Y27" s="16">
        <f>IFERROR(__xludf.DUMMYFUNCTION("""COMPUTED_VALUE"""),3.0)</f>
        <v>3</v>
      </c>
      <c r="Z27" s="16">
        <f>IFERROR(__xludf.DUMMYFUNCTION("""COMPUTED_VALUE"""),2.0)</f>
        <v>2</v>
      </c>
      <c r="AA27" s="16">
        <f>IFERROR(__xludf.DUMMYFUNCTION("""COMPUTED_VALUE"""),6.0)</f>
        <v>6</v>
      </c>
      <c r="AB27" s="16">
        <f>IFERROR(__xludf.DUMMYFUNCTION("""COMPUTED_VALUE"""),45.0)</f>
        <v>45</v>
      </c>
      <c r="AC27" s="16">
        <f>IFERROR(__xludf.DUMMYFUNCTION("""COMPUTED_VALUE"""),62.3)</f>
        <v>62.3</v>
      </c>
      <c r="AD27" s="16">
        <f>IFERROR(__xludf.DUMMYFUNCTION("""COMPUTED_VALUE"""),2.0)</f>
        <v>2</v>
      </c>
      <c r="AE27" s="16">
        <f>IFERROR(__xludf.DUMMYFUNCTION("""COMPUTED_VALUE"""),3.0)</f>
        <v>3</v>
      </c>
      <c r="AF27" s="16">
        <f>IFERROR(__xludf.DUMMYFUNCTION("""COMPUTED_VALUE"""),10.0)</f>
        <v>10</v>
      </c>
      <c r="AG27" s="16">
        <f>IFERROR(__xludf.DUMMYFUNCTION("""COMPUTED_VALUE"""),15.0)</f>
        <v>15</v>
      </c>
      <c r="AH27" s="16">
        <f>IFERROR(__xludf.DUMMYFUNCTION("""COMPUTED_VALUE"""),36.3)</f>
        <v>36.3</v>
      </c>
      <c r="AI27" s="16">
        <f>IFERROR(__xludf.DUMMYFUNCTION("""COMPUTED_VALUE"""),63.5)</f>
        <v>63.5</v>
      </c>
      <c r="AJ27" s="16">
        <f>IFERROR(__xludf.DUMMYFUNCTION("""COMPUTED_VALUE"""),0.0)</f>
        <v>0</v>
      </c>
      <c r="AK27" s="16">
        <f>IFERROR(__xludf.DUMMYFUNCTION("""COMPUTED_VALUE"""),3.0)</f>
        <v>3</v>
      </c>
      <c r="AL27" s="16">
        <f>IFERROR(__xludf.DUMMYFUNCTION("""COMPUTED_VALUE"""),0.0)</f>
        <v>0</v>
      </c>
      <c r="AM27" s="16">
        <f>IFERROR(__xludf.DUMMYFUNCTION("""COMPUTED_VALUE"""),15.0)</f>
        <v>15</v>
      </c>
      <c r="AN27" s="16">
        <f>IFERROR(__xludf.DUMMYFUNCTION("""COMPUTED_VALUE"""),3.3)</f>
        <v>3.3</v>
      </c>
      <c r="AO27" s="16">
        <f>IFERROR(__xludf.DUMMYFUNCTION("""COMPUTED_VALUE"""),1.1)</f>
        <v>1.1</v>
      </c>
      <c r="AP27" s="16">
        <f>IFERROR(__xludf.DUMMYFUNCTION("""COMPUTED_VALUE"""),1.0)</f>
        <v>1</v>
      </c>
      <c r="AQ27" s="16">
        <f>IFERROR(__xludf.DUMMYFUNCTION("""COMPUTED_VALUE"""),-2.0)</f>
        <v>-2</v>
      </c>
      <c r="AR27" s="16">
        <f>IFERROR(__xludf.DUMMYFUNCTION("""COMPUTED_VALUE"""),2.0)</f>
        <v>2</v>
      </c>
      <c r="AS27" s="16">
        <f>IFERROR(__xludf.DUMMYFUNCTION("""COMPUTED_VALUE"""),-4.0)</f>
        <v>-4</v>
      </c>
      <c r="AT27" s="16">
        <f>IFERROR(__xludf.DUMMYFUNCTION("""COMPUTED_VALUE"""),5.0)</f>
        <v>5</v>
      </c>
      <c r="AU27" s="16">
        <f>IFERROR(__xludf.DUMMYFUNCTION("""COMPUTED_VALUE"""),0.0)</f>
        <v>0</v>
      </c>
      <c r="AV27" s="16">
        <f>IFERROR(__xludf.DUMMYFUNCTION("""COMPUTED_VALUE"""),5.0)</f>
        <v>5</v>
      </c>
      <c r="AW27" s="16">
        <f>IFERROR(__xludf.DUMMYFUNCTION("""COMPUTED_VALUE"""),0.0)</f>
        <v>0</v>
      </c>
      <c r="AX27" s="16">
        <f>IFERROR(__xludf.DUMMYFUNCTION("""COMPUTED_VALUE"""),3.0)</f>
        <v>3</v>
      </c>
      <c r="AY27" s="16">
        <f>IFERROR(__xludf.DUMMYFUNCTION("""COMPUTED_VALUE"""),-2.0)</f>
        <v>-2</v>
      </c>
      <c r="AZ27" s="16">
        <f>IFERROR(__xludf.DUMMYFUNCTION("""COMPUTED_VALUE"""),9.0)</f>
        <v>9</v>
      </c>
      <c r="BA27" s="16">
        <f>IFERROR(__xludf.DUMMYFUNCTION("""COMPUTED_VALUE"""),-6.0)</f>
        <v>-6</v>
      </c>
      <c r="BB27" s="16">
        <f>IFERROR(__xludf.DUMMYFUNCTION("""COMPUTED_VALUE"""),5.0)</f>
        <v>5</v>
      </c>
      <c r="BC27" s="16">
        <f>IFERROR(__xludf.DUMMYFUNCTION("""COMPUTED_VALUE"""),5.0)</f>
        <v>5</v>
      </c>
      <c r="BD27" s="16">
        <f>IFERROR(__xludf.DUMMYFUNCTION("""COMPUTED_VALUE"""),1.0)</f>
        <v>1</v>
      </c>
      <c r="BE27" s="16">
        <f>IFERROR(__xludf.DUMMYFUNCTION("""COMPUTED_VALUE"""),1.0)</f>
        <v>1</v>
      </c>
      <c r="BF27" s="16">
        <f>IFERROR(__xludf.DUMMYFUNCTION("""COMPUTED_VALUE"""),1.0)</f>
        <v>1</v>
      </c>
      <c r="BG27" s="16">
        <f>IFERROR(__xludf.DUMMYFUNCTION("""COMPUTED_VALUE"""),1.0)</f>
        <v>1</v>
      </c>
      <c r="BH27" s="16">
        <f>IFERROR(__xludf.DUMMYFUNCTION("""COMPUTED_VALUE"""),-6.0)</f>
        <v>-6</v>
      </c>
      <c r="BI27" s="16">
        <f>IFERROR(__xludf.DUMMYFUNCTION("""COMPUTED_VALUE"""),-6.0)</f>
        <v>-6</v>
      </c>
      <c r="BJ27" s="16">
        <f>IFERROR(__xludf.DUMMYFUNCTION("""COMPUTED_VALUE"""),13.0)</f>
        <v>13</v>
      </c>
      <c r="BK27" s="16">
        <f>IFERROR(__xludf.DUMMYFUNCTION("""COMPUTED_VALUE"""),13.0)</f>
        <v>13</v>
      </c>
      <c r="BL27" s="16">
        <f>IFERROR(__xludf.DUMMYFUNCTION("""COMPUTED_VALUE"""),0.0)</f>
        <v>0</v>
      </c>
      <c r="BM27" s="16">
        <f>IFERROR(__xludf.DUMMYFUNCTION("""COMPUTED_VALUE"""),0.0)</f>
        <v>0</v>
      </c>
      <c r="BN27" s="16">
        <f>IFERROR(__xludf.DUMMYFUNCTION("""COMPUTED_VALUE"""),0.0)</f>
        <v>0</v>
      </c>
      <c r="BO27" s="16">
        <f>IFERROR(__xludf.DUMMYFUNCTION("""COMPUTED_VALUE"""),0.0)</f>
        <v>0</v>
      </c>
      <c r="BP27" s="16">
        <f>IFERROR(__xludf.DUMMYFUNCTION("""COMPUTED_VALUE"""),10.0)</f>
        <v>10</v>
      </c>
      <c r="BQ27" s="16">
        <f>IFERROR(__xludf.DUMMYFUNCTION("""COMPUTED_VALUE"""),10.0)</f>
        <v>10</v>
      </c>
      <c r="BR27" s="16">
        <f>IFERROR(__xludf.DUMMYFUNCTION("""COMPUTED_VALUE"""),20.0)</f>
        <v>20</v>
      </c>
      <c r="BS27" s="16" t="str">
        <f>IFERROR(__xludf.DUMMYFUNCTION("""COMPUTED_VALUE"""),"*4,6/- (19-12)")</f>
        <v>*4,6/- (19-12)</v>
      </c>
      <c r="BT27" s="16" t="str">
        <f>IFERROR(__xludf.DUMMYFUNCTION("""COMPUTED_VALUE"""),"B")</f>
        <v>B</v>
      </c>
      <c r="BU27" s="16">
        <f>IFERROR(__xludf.DUMMYFUNCTION("""COMPUTED_VALUE"""),15.0)</f>
        <v>15</v>
      </c>
      <c r="BV27" s="16">
        <f>IFERROR(__xludf.DUMMYFUNCTION("""COMPUTED_VALUE"""),1.0)</f>
        <v>1</v>
      </c>
      <c r="BW27" s="16">
        <f>IFERROR(__xludf.DUMMYFUNCTION("""COMPUTED_VALUE"""),2.0)</f>
        <v>2</v>
      </c>
      <c r="BX27" s="16">
        <f>IFERROR(__xludf.DUMMYFUNCTION("""COMPUTED_VALUE"""),2.0)</f>
        <v>2</v>
      </c>
      <c r="BY27" s="16">
        <f>IFERROR(__xludf.DUMMYFUNCTION("""COMPUTED_VALUE"""),6.0)</f>
        <v>6</v>
      </c>
      <c r="BZ27" s="16" t="str">
        <f>IFERROR(__xludf.DUMMYFUNCTION("""COMPUTED_VALUE"""),"D")</f>
        <v>D</v>
      </c>
      <c r="CA27" s="16" t="str">
        <f>IFERROR(__xludf.DUMMYFUNCTION("""COMPUTED_VALUE"""),"C")</f>
        <v>C</v>
      </c>
      <c r="CB27" s="16">
        <f>IFERROR(__xludf.DUMMYFUNCTION("""COMPUTED_VALUE"""),0.0)</f>
        <v>0</v>
      </c>
      <c r="CC27" s="16">
        <f>IFERROR(__xludf.DUMMYFUNCTION("""COMPUTED_VALUE"""),0.0)</f>
        <v>0</v>
      </c>
      <c r="CD27" s="16">
        <f>IFERROR(__xludf.DUMMYFUNCTION("""COMPUTED_VALUE"""),0.0)</f>
        <v>0</v>
      </c>
      <c r="CE27" s="16">
        <f>IFERROR(__xludf.DUMMYFUNCTION("""COMPUTED_VALUE"""),0.0)</f>
        <v>0</v>
      </c>
      <c r="CF27" s="16">
        <f>IFERROR(__xludf.DUMMYFUNCTION("""COMPUTED_VALUE"""),3.0)</f>
        <v>3</v>
      </c>
      <c r="CG27" s="16">
        <f>IFERROR(__xludf.DUMMYFUNCTION("""COMPUTED_VALUE"""),26.0)</f>
        <v>26</v>
      </c>
      <c r="CH27" s="16">
        <f>IFERROR(__xludf.DUMMYFUNCTION("""COMPUTED_VALUE"""),31.0)</f>
        <v>31</v>
      </c>
      <c r="CI27" s="179">
        <f>IFERROR(__xludf.DUMMYFUNCTION("""COMPUTED_VALUE"""),29.0)</f>
        <v>29</v>
      </c>
      <c r="CJ27" s="16"/>
      <c r="CK27" s="16"/>
      <c r="CL27" s="16"/>
      <c r="CM27" s="16"/>
      <c r="CN27" s="16"/>
      <c r="CO27" s="16">
        <f>IFERROR(__xludf.DUMMYFUNCTION("""COMPUTED_VALUE"""),312.0)</f>
        <v>312</v>
      </c>
      <c r="CP27" s="16">
        <f>IFERROR(__xludf.DUMMYFUNCTION("""COMPUTED_VALUE"""),312.0)</f>
        <v>312</v>
      </c>
      <c r="CQ27" s="16">
        <f>IFERROR(__xludf.DUMMYFUNCTION("""COMPUTED_VALUE"""),312.0)</f>
        <v>312</v>
      </c>
      <c r="CR27" s="16" t="str">
        <f>IFERROR(__xludf.DUMMYFUNCTION("""COMPUTED_VALUE"""),"rf-3(0)e12 cf-3e12 lf-3e12")</f>
        <v>rf-3(0)e12 cf-3e12 lf-3e12</v>
      </c>
      <c r="CS27" s="16"/>
      <c r="CT27" s="16"/>
      <c r="CU27" s="16"/>
      <c r="CV27" s="16"/>
      <c r="CW27" s="16"/>
      <c r="CX27" s="16">
        <f>IFERROR(__xludf.DUMMYFUNCTION("""COMPUTED_VALUE"""),3.0)</f>
        <v>3</v>
      </c>
      <c r="CY27" s="16">
        <f>IFERROR(__xludf.DUMMYFUNCTION("""COMPUTED_VALUE"""),3.0)</f>
        <v>3</v>
      </c>
      <c r="CZ27" s="16">
        <f>IFERROR(__xludf.DUMMYFUNCTION("""COMPUTED_VALUE"""),3.0)</f>
        <v>3</v>
      </c>
      <c r="DA27" s="16"/>
      <c r="DB27" s="16"/>
      <c r="DC27" s="16"/>
      <c r="DD27" s="16"/>
      <c r="DE27" s="16"/>
      <c r="DF27" s="16">
        <f>IFERROR(__xludf.DUMMYFUNCTION("""COMPUTED_VALUE"""),12.0)</f>
        <v>12</v>
      </c>
      <c r="DG27" s="16">
        <f>IFERROR(__xludf.DUMMYFUNCTION("""COMPUTED_VALUE"""),12.0)</f>
        <v>12</v>
      </c>
      <c r="DH27" s="16">
        <f>IFERROR(__xludf.DUMMYFUNCTION("""COMPUTED_VALUE"""),12.0)</f>
        <v>12</v>
      </c>
      <c r="DI27" s="16"/>
      <c r="DJ27" s="16"/>
      <c r="DK27" s="16"/>
      <c r="DL27" s="16"/>
      <c r="DM27" s="16"/>
      <c r="DN27" s="16">
        <f>IFERROR(__xludf.DUMMYFUNCTION("""COMPUTED_VALUE"""),0.0)</f>
        <v>0</v>
      </c>
      <c r="DO27" s="16">
        <f>IFERROR(__xludf.DUMMYFUNCTION("""COMPUTED_VALUE"""),0.0)</f>
        <v>0</v>
      </c>
      <c r="DP27" s="16">
        <f>IFERROR(__xludf.DUMMYFUNCTION("""COMPUTED_VALUE"""),0.0)</f>
        <v>0</v>
      </c>
      <c r="DQ27" s="16"/>
      <c r="DR27" s="16"/>
      <c r="DS27" s="16"/>
      <c r="DT27" s="16"/>
      <c r="DU27" s="16"/>
      <c r="DV27" s="16">
        <f>IFERROR(__xludf.DUMMYFUNCTION("""COMPUTED_VALUE"""),-2.0)</f>
        <v>-2</v>
      </c>
      <c r="DW27" s="16">
        <f>IFERROR(__xludf.DUMMYFUNCTION("""COMPUTED_VALUE"""),0.0)</f>
        <v>0</v>
      </c>
      <c r="DX27" s="16">
        <f>IFERROR(__xludf.DUMMYFUNCTION("""COMPUTED_VALUE"""),-2.0)</f>
        <v>-2</v>
      </c>
      <c r="DY27" s="16"/>
      <c r="DZ27" s="16"/>
      <c r="EA27" s="16"/>
      <c r="EB27" s="16"/>
      <c r="EC27" s="16"/>
      <c r="ED27" s="16">
        <f>IFERROR(__xludf.DUMMYFUNCTION("""COMPUTED_VALUE"""),-2.0)</f>
        <v>-2</v>
      </c>
      <c r="EE27" s="16">
        <f>IFERROR(__xludf.DUMMYFUNCTION("""COMPUTED_VALUE"""),0.0)</f>
        <v>0</v>
      </c>
      <c r="EF27" s="16">
        <f>IFERROR(__xludf.DUMMYFUNCTION("""COMPUTED_VALUE"""),-2.0)</f>
        <v>-2</v>
      </c>
      <c r="EG27" s="179"/>
      <c r="EH27" s="179"/>
      <c r="EI27" s="179"/>
      <c r="EJ27" s="179"/>
      <c r="EK27" s="179"/>
      <c r="EL27" s="179">
        <f>IFERROR(__xludf.DUMMYFUNCTION("""COMPUTED_VALUE"""),27.0)</f>
        <v>27</v>
      </c>
      <c r="EM27" s="179">
        <f>IFERROR(__xludf.DUMMYFUNCTION("""COMPUTED_VALUE"""),29.0)</f>
        <v>29</v>
      </c>
      <c r="EN27" s="179">
        <f>IFERROR(__xludf.DUMMYFUNCTION("""COMPUTED_VALUE"""),27.0)</f>
        <v>27</v>
      </c>
      <c r="EO27" s="16"/>
      <c r="EP27" s="16"/>
      <c r="EQ27" s="16">
        <f>IFERROR(__xludf.DUMMYFUNCTION("""COMPUTED_VALUE"""),1.0)</f>
        <v>1</v>
      </c>
      <c r="ER27" s="16">
        <f>IFERROR(__xludf.DUMMYFUNCTION("""COMPUTED_VALUE"""),-4.0)</f>
        <v>-4</v>
      </c>
      <c r="ES27" s="16"/>
      <c r="ET27" s="16"/>
      <c r="EU27" s="16"/>
      <c r="EV27" s="16"/>
      <c r="EW27" s="16"/>
      <c r="EX27" s="180"/>
      <c r="EY27" s="180"/>
      <c r="EZ27" s="180"/>
      <c r="FA27" s="180"/>
      <c r="FB27" s="180"/>
      <c r="FC27" s="180">
        <f>IFERROR(__xludf.DUMMYFUNCTION("""COMPUTED_VALUE"""),0.3)</f>
        <v>0.3</v>
      </c>
      <c r="FD27" s="180">
        <f>IFERROR(__xludf.DUMMYFUNCTION("""COMPUTED_VALUE"""),0.3)</f>
        <v>0.3</v>
      </c>
      <c r="FE27" s="180">
        <f>IFERROR(__xludf.DUMMYFUNCTION("""COMPUTED_VALUE"""),0.3)</f>
        <v>0.3</v>
      </c>
      <c r="FF27" s="180"/>
      <c r="FG27" s="180"/>
      <c r="FH27" s="180"/>
      <c r="FI27" s="180"/>
      <c r="FJ27" s="180"/>
      <c r="FK27" s="180">
        <f>IFERROR(__xludf.DUMMYFUNCTION("""COMPUTED_VALUE"""),0.218)</f>
        <v>0.218</v>
      </c>
      <c r="FL27" s="180">
        <f>IFERROR(__xludf.DUMMYFUNCTION("""COMPUTED_VALUE"""),0.14351851851851852)</f>
        <v>0.1435185185</v>
      </c>
      <c r="FM27" s="180">
        <f>IFERROR(__xludf.DUMMYFUNCTION("""COMPUTED_VALUE"""),0.218)</f>
        <v>0.218</v>
      </c>
      <c r="FN27" s="16"/>
      <c r="FO27" s="16"/>
      <c r="FP27" s="16"/>
      <c r="FQ27" s="16"/>
      <c r="FR27" s="16"/>
      <c r="FS27" s="16">
        <f>IFERROR(__xludf.DUMMYFUNCTION("""COMPUTED_VALUE"""),0.5474)</f>
        <v>0.5474</v>
      </c>
      <c r="FT27" s="16">
        <f>IFERROR(__xludf.DUMMYFUNCTION("""COMPUTED_VALUE"""),0.599537037037037)</f>
        <v>0.599537037</v>
      </c>
      <c r="FU27" s="16">
        <f>IFERROR(__xludf.DUMMYFUNCTION("""COMPUTED_VALUE"""),0.5474)</f>
        <v>0.5474</v>
      </c>
      <c r="FV27" s="16"/>
      <c r="FW27" s="16"/>
      <c r="FX27" s="16"/>
      <c r="FY27" s="16"/>
      <c r="FZ27" s="16"/>
      <c r="GA27" s="16">
        <f>IFERROR(__xludf.DUMMYFUNCTION("""COMPUTED_VALUE"""),-8.0)</f>
        <v>-8</v>
      </c>
      <c r="GB27" s="16">
        <f>IFERROR(__xludf.DUMMYFUNCTION("""COMPUTED_VALUE"""),-6.0)</f>
        <v>-6</v>
      </c>
      <c r="GC27" s="16">
        <f>IFERROR(__xludf.DUMMYFUNCTION("""COMPUTED_VALUE"""),-8.0)</f>
        <v>-8</v>
      </c>
      <c r="GD27" s="16" t="s">
        <v>465</v>
      </c>
    </row>
    <row r="28">
      <c r="A28" s="16">
        <f>IFERROR(__xludf.DUMMYFUNCTION("""COMPUTED_VALUE"""),12988.0)</f>
        <v>12988</v>
      </c>
      <c r="B28" s="16" t="str">
        <f>IFERROR(__xludf.DUMMYFUNCTION("""COMPUTED_VALUE"""),"Jonah Bride")</f>
        <v>Jonah Bride</v>
      </c>
      <c r="C28" s="16">
        <f>IFERROR(__xludf.DUMMYFUNCTION("""COMPUTED_VALUE"""),0.85)</f>
        <v>0.85</v>
      </c>
      <c r="D28" s="16" t="str">
        <f>IFERROR(__xludf.DUMMYFUNCTION("""COMPUTED_VALUE"""),"R")</f>
        <v>R</v>
      </c>
      <c r="E28" s="16"/>
      <c r="F28" s="16"/>
      <c r="G28" s="16">
        <f>IFERROR(__xludf.DUMMYFUNCTION("""COMPUTED_VALUE"""),232.0)</f>
        <v>232</v>
      </c>
      <c r="H28" s="16">
        <f>IFERROR(__xludf.DUMMYFUNCTION("""COMPUTED_VALUE"""),30.0)</f>
        <v>30</v>
      </c>
      <c r="I28" s="16" t="str">
        <f>IFERROR(__xludf.DUMMYFUNCTION("""COMPUTED_VALUE"""),"1p40")</f>
        <v>1p40</v>
      </c>
      <c r="J28" s="16">
        <f>IFERROR(__xludf.DUMMYFUNCTION("""COMPUTED_VALUE"""),26.0)</f>
        <v>26</v>
      </c>
      <c r="K28" s="16">
        <f>IFERROR(__xludf.DUMMYFUNCTION("""COMPUTED_VALUE"""),16.0)</f>
        <v>16</v>
      </c>
      <c r="L28" s="16">
        <f>IFERROR(__xludf.DUMMYFUNCTION("""COMPUTED_VALUE"""),0.0)</f>
        <v>0</v>
      </c>
      <c r="M28" s="16">
        <f>IFERROR(__xludf.DUMMYFUNCTION("""COMPUTED_VALUE"""),1.0)</f>
        <v>1</v>
      </c>
      <c r="N28" s="16">
        <f>IFERROR(__xludf.DUMMYFUNCTION("""COMPUTED_VALUE"""),0.0)</f>
        <v>0</v>
      </c>
      <c r="O28" s="16">
        <f>IFERROR(__xludf.DUMMYFUNCTION("""COMPUTED_VALUE"""),1.0)</f>
        <v>1</v>
      </c>
      <c r="P28" s="16">
        <f>IFERROR(__xludf.DUMMYFUNCTION("""COMPUTED_VALUE"""),22.0)</f>
        <v>22</v>
      </c>
      <c r="Q28" s="16">
        <f>IFERROR(__xludf.DUMMYFUNCTION("""COMPUTED_VALUE"""),12.0)</f>
        <v>12</v>
      </c>
      <c r="R28" s="16">
        <f>IFERROR(__xludf.DUMMYFUNCTION("""COMPUTED_VALUE"""),3.0)</f>
        <v>3</v>
      </c>
      <c r="S28" s="16">
        <f>IFERROR(__xludf.DUMMYFUNCTION("""COMPUTED_VALUE"""),1.0)</f>
        <v>1</v>
      </c>
      <c r="T28" s="16">
        <f>IFERROR(__xludf.DUMMYFUNCTION("""COMPUTED_VALUE"""),3.0)</f>
        <v>3</v>
      </c>
      <c r="U28" s="16">
        <f>IFERROR(__xludf.DUMMYFUNCTION("""COMPUTED_VALUE"""),1.0)</f>
        <v>1</v>
      </c>
      <c r="V28" s="16">
        <f>IFERROR(__xludf.DUMMYFUNCTION("""COMPUTED_VALUE"""),16.5)</f>
        <v>16.5</v>
      </c>
      <c r="W28" s="16">
        <f>IFERROR(__xludf.DUMMYFUNCTION("""COMPUTED_VALUE"""),26.7)</f>
        <v>26.7</v>
      </c>
      <c r="X28" s="16">
        <f>IFERROR(__xludf.DUMMYFUNCTION("""COMPUTED_VALUE"""),0.0)</f>
        <v>0</v>
      </c>
      <c r="Y28" s="16">
        <f>IFERROR(__xludf.DUMMYFUNCTION("""COMPUTED_VALUE"""),1.0)</f>
        <v>1</v>
      </c>
      <c r="Z28" s="16">
        <f>IFERROR(__xludf.DUMMYFUNCTION("""COMPUTED_VALUE"""),0.0)</f>
        <v>0</v>
      </c>
      <c r="AA28" s="16">
        <f>IFERROR(__xludf.DUMMYFUNCTION("""COMPUTED_VALUE"""),2.0)</f>
        <v>2</v>
      </c>
      <c r="AB28" s="16">
        <f>IFERROR(__xludf.DUMMYFUNCTION("""COMPUTED_VALUE"""),41.5)</f>
        <v>41.5</v>
      </c>
      <c r="AC28" s="16">
        <f>IFERROR(__xludf.DUMMYFUNCTION("""COMPUTED_VALUE"""),41.7)</f>
        <v>41.7</v>
      </c>
      <c r="AD28" s="16">
        <f>IFERROR(__xludf.DUMMYFUNCTION("""COMPUTED_VALUE"""),1.0)</f>
        <v>1</v>
      </c>
      <c r="AE28" s="16">
        <f>IFERROR(__xludf.DUMMYFUNCTION("""COMPUTED_VALUE"""),2.0)</f>
        <v>2</v>
      </c>
      <c r="AF28" s="16">
        <f>IFERROR(__xludf.DUMMYFUNCTION("""COMPUTED_VALUE"""),5.0)</f>
        <v>5</v>
      </c>
      <c r="AG28" s="16">
        <f>IFERROR(__xludf.DUMMYFUNCTION("""COMPUTED_VALUE"""),10.0)</f>
        <v>10</v>
      </c>
      <c r="AH28" s="16">
        <f>IFERROR(__xludf.DUMMYFUNCTION("""COMPUTED_VALUE"""),23.6)</f>
        <v>23.6</v>
      </c>
      <c r="AI28" s="16">
        <f>IFERROR(__xludf.DUMMYFUNCTION("""COMPUTED_VALUE"""),50.0)</f>
        <v>50</v>
      </c>
      <c r="AJ28" s="16">
        <f>IFERROR(__xludf.DUMMYFUNCTION("""COMPUTED_VALUE"""),-1.0)</f>
        <v>-1</v>
      </c>
      <c r="AK28" s="16">
        <f>IFERROR(__xludf.DUMMYFUNCTION("""COMPUTED_VALUE"""),2.0)</f>
        <v>2</v>
      </c>
      <c r="AL28" s="16">
        <f>IFERROR(__xludf.DUMMYFUNCTION("""COMPUTED_VALUE"""),-5.0)</f>
        <v>-5</v>
      </c>
      <c r="AM28" s="16">
        <f>IFERROR(__xludf.DUMMYFUNCTION("""COMPUTED_VALUE"""),10.0)</f>
        <v>10</v>
      </c>
      <c r="AN28" s="16">
        <f>IFERROR(__xludf.DUMMYFUNCTION("""COMPUTED_VALUE"""),2.0)</f>
        <v>2</v>
      </c>
      <c r="AO28" s="16">
        <f>IFERROR(__xludf.DUMMYFUNCTION("""COMPUTED_VALUE"""),6.4)</f>
        <v>6.4</v>
      </c>
      <c r="AP28" s="16">
        <f>IFERROR(__xludf.DUMMYFUNCTION("""COMPUTED_VALUE"""),0.0)</f>
        <v>0</v>
      </c>
      <c r="AQ28" s="16">
        <f>IFERROR(__xludf.DUMMYFUNCTION("""COMPUTED_VALUE"""),3.0)</f>
        <v>3</v>
      </c>
      <c r="AR28" s="16">
        <f>IFERROR(__xludf.DUMMYFUNCTION("""COMPUTED_VALUE"""),0.0)</f>
        <v>0</v>
      </c>
      <c r="AS28" s="16">
        <f>IFERROR(__xludf.DUMMYFUNCTION("""COMPUTED_VALUE"""),6.0)</f>
        <v>6</v>
      </c>
      <c r="AT28" s="16"/>
      <c r="AU28" s="16">
        <f>IFERROR(__xludf.DUMMYFUNCTION("""COMPUTED_VALUE"""),8.0)</f>
        <v>8</v>
      </c>
      <c r="AV28" s="16">
        <f>IFERROR(__xludf.DUMMYFUNCTION("""COMPUTED_VALUE"""),-3.0)</f>
        <v>-3</v>
      </c>
      <c r="AW28" s="16">
        <f>IFERROR(__xludf.DUMMYFUNCTION("""COMPUTED_VALUE"""),8.0)</f>
        <v>8</v>
      </c>
      <c r="AX28" s="16">
        <f>IFERROR(__xludf.DUMMYFUNCTION("""COMPUTED_VALUE"""),-3.0)</f>
        <v>-3</v>
      </c>
      <c r="AY28" s="16">
        <f>IFERROR(__xludf.DUMMYFUNCTION("""COMPUTED_VALUE"""),3.0)</f>
        <v>3</v>
      </c>
      <c r="AZ28" s="16">
        <f>IFERROR(__xludf.DUMMYFUNCTION("""COMPUTED_VALUE"""),-9.0)</f>
        <v>-9</v>
      </c>
      <c r="BA28" s="16">
        <f>IFERROR(__xludf.DUMMYFUNCTION("""COMPUTED_VALUE"""),9.0)</f>
        <v>9</v>
      </c>
      <c r="BB28" s="16">
        <f>IFERROR(__xludf.DUMMYFUNCTION("""COMPUTED_VALUE"""),5.0)</f>
        <v>5</v>
      </c>
      <c r="BC28" s="16">
        <f>IFERROR(__xludf.DUMMYFUNCTION("""COMPUTED_VALUE"""),5.0)</f>
        <v>5</v>
      </c>
      <c r="BD28" s="16">
        <f>IFERROR(__xludf.DUMMYFUNCTION("""COMPUTED_VALUE"""),1.0)</f>
        <v>1</v>
      </c>
      <c r="BE28" s="16">
        <f>IFERROR(__xludf.DUMMYFUNCTION("""COMPUTED_VALUE"""),1.0)</f>
        <v>1</v>
      </c>
      <c r="BF28" s="16">
        <f>IFERROR(__xludf.DUMMYFUNCTION("""COMPUTED_VALUE"""),1.0)</f>
        <v>1</v>
      </c>
      <c r="BG28" s="16">
        <f>IFERROR(__xludf.DUMMYFUNCTION("""COMPUTED_VALUE"""),1.0)</f>
        <v>1</v>
      </c>
      <c r="BH28" s="16">
        <f>IFERROR(__xludf.DUMMYFUNCTION("""COMPUTED_VALUE"""),-7.0)</f>
        <v>-7</v>
      </c>
      <c r="BI28" s="16">
        <f>IFERROR(__xludf.DUMMYFUNCTION("""COMPUTED_VALUE"""),-8.0)</f>
        <v>-8</v>
      </c>
      <c r="BJ28" s="16">
        <f>IFERROR(__xludf.DUMMYFUNCTION("""COMPUTED_VALUE"""),19.0)</f>
        <v>19</v>
      </c>
      <c r="BK28" s="16">
        <f>IFERROR(__xludf.DUMMYFUNCTION("""COMPUTED_VALUE"""),25.0)</f>
        <v>25</v>
      </c>
      <c r="BL28" s="16">
        <f>IFERROR(__xludf.DUMMYFUNCTION("""COMPUTED_VALUE"""),-1.0)</f>
        <v>-1</v>
      </c>
      <c r="BM28" s="16">
        <f>IFERROR(__xludf.DUMMYFUNCTION("""COMPUTED_VALUE"""),-2.0)</f>
        <v>-2</v>
      </c>
      <c r="BN28" s="16">
        <f>IFERROR(__xludf.DUMMYFUNCTION("""COMPUTED_VALUE"""),-2.0)</f>
        <v>-2</v>
      </c>
      <c r="BO28" s="16">
        <f>IFERROR(__xludf.DUMMYFUNCTION("""COMPUTED_VALUE"""),-4.0)</f>
        <v>-4</v>
      </c>
      <c r="BP28" s="16">
        <f>IFERROR(__xludf.DUMMYFUNCTION("""COMPUTED_VALUE"""),0.0)</f>
        <v>0</v>
      </c>
      <c r="BQ28" s="16">
        <f>IFERROR(__xludf.DUMMYFUNCTION("""COMPUTED_VALUE"""),12.0)</f>
        <v>12</v>
      </c>
      <c r="BR28" s="16">
        <f>IFERROR(__xludf.DUMMYFUNCTION("""COMPUTED_VALUE"""),12.0)</f>
        <v>12</v>
      </c>
      <c r="BS28" s="16" t="str">
        <f>IFERROR(__xludf.DUMMYFUNCTION("""COMPUTED_VALUE"""),"5,6/- (3-1)")</f>
        <v>5,6/- (3-1)</v>
      </c>
      <c r="BT28" s="16" t="str">
        <f>IFERROR(__xludf.DUMMYFUNCTION("""COMPUTED_VALUE"""),"E")</f>
        <v>E</v>
      </c>
      <c r="BU28" s="16">
        <f>IFERROR(__xludf.DUMMYFUNCTION("""COMPUTED_VALUE"""),11.0)</f>
        <v>11</v>
      </c>
      <c r="BV28" s="16">
        <f>IFERROR(__xludf.DUMMYFUNCTION("""COMPUTED_VALUE"""),0.0)</f>
        <v>0</v>
      </c>
      <c r="BW28" s="16">
        <f>IFERROR(__xludf.DUMMYFUNCTION("""COMPUTED_VALUE"""),0.0)</f>
        <v>0</v>
      </c>
      <c r="BX28" s="16">
        <f>IFERROR(__xludf.DUMMYFUNCTION("""COMPUTED_VALUE"""),0.0)</f>
        <v>0</v>
      </c>
      <c r="BY28" s="16">
        <f>IFERROR(__xludf.DUMMYFUNCTION("""COMPUTED_VALUE"""),0.0)</f>
        <v>0</v>
      </c>
      <c r="BZ28" s="16" t="str">
        <f>IFERROR(__xludf.DUMMYFUNCTION("""COMPUTED_VALUE"""),"D")</f>
        <v>D</v>
      </c>
      <c r="CA28" s="16" t="str">
        <f>IFERROR(__xludf.DUMMYFUNCTION("""COMPUTED_VALUE"""),"C")</f>
        <v>C</v>
      </c>
      <c r="CB28" s="16">
        <f>IFERROR(__xludf.DUMMYFUNCTION("""COMPUTED_VALUE"""),0.0)</f>
        <v>0</v>
      </c>
      <c r="CC28" s="16">
        <f>IFERROR(__xludf.DUMMYFUNCTION("""COMPUTED_VALUE"""),0.0)</f>
        <v>0</v>
      </c>
      <c r="CD28" s="16">
        <f>IFERROR(__xludf.DUMMYFUNCTION("""COMPUTED_VALUE"""),0.0)</f>
        <v>0</v>
      </c>
      <c r="CE28" s="16">
        <f>IFERROR(__xludf.DUMMYFUNCTION("""COMPUTED_VALUE"""),0.0)</f>
        <v>0</v>
      </c>
      <c r="CF28" s="16">
        <f>IFERROR(__xludf.DUMMYFUNCTION("""COMPUTED_VALUE"""),1.0)</f>
        <v>1</v>
      </c>
      <c r="CG28" s="16">
        <f>IFERROR(__xludf.DUMMYFUNCTION("""COMPUTED_VALUE"""),-7.0)</f>
        <v>-7</v>
      </c>
      <c r="CH28" s="16">
        <f>IFERROR(__xludf.DUMMYFUNCTION("""COMPUTED_VALUE"""),36.0)</f>
        <v>36</v>
      </c>
      <c r="CI28" s="179">
        <f>IFERROR(__xludf.DUMMYFUNCTION("""COMPUTED_VALUE"""),28.0)</f>
        <v>28</v>
      </c>
      <c r="CJ28" s="16"/>
      <c r="CK28" s="16">
        <f>IFERROR(__xludf.DUMMYFUNCTION("""COMPUTED_VALUE"""),409.0)</f>
        <v>409</v>
      </c>
      <c r="CL28" s="16">
        <f>IFERROR(__xludf.DUMMYFUNCTION("""COMPUTED_VALUE"""),408.0)</f>
        <v>408</v>
      </c>
      <c r="CM28" s="16">
        <f>IFERROR(__xludf.DUMMYFUNCTION("""COMPUTED_VALUE"""),418.0)</f>
        <v>418</v>
      </c>
      <c r="CN28" s="16"/>
      <c r="CO28" s="16"/>
      <c r="CP28" s="16"/>
      <c r="CQ28" s="16"/>
      <c r="CR28" s="16" t="str">
        <f>IFERROR(__xludf.DUMMYFUNCTION("""COMPUTED_VALUE"""),"1b-4e9 3b-4e18 2b-4e8")</f>
        <v>1b-4e9 3b-4e18 2b-4e8</v>
      </c>
      <c r="CS28" s="16"/>
      <c r="CT28" s="16">
        <f>IFERROR(__xludf.DUMMYFUNCTION("""COMPUTED_VALUE"""),4.0)</f>
        <v>4</v>
      </c>
      <c r="CU28" s="16">
        <f>IFERROR(__xludf.DUMMYFUNCTION("""COMPUTED_VALUE"""),4.0)</f>
        <v>4</v>
      </c>
      <c r="CV28" s="16">
        <f>IFERROR(__xludf.DUMMYFUNCTION("""COMPUTED_VALUE"""),4.0)</f>
        <v>4</v>
      </c>
      <c r="CW28" s="16"/>
      <c r="CX28" s="16"/>
      <c r="CY28" s="16"/>
      <c r="CZ28" s="16"/>
      <c r="DA28" s="16"/>
      <c r="DB28" s="16">
        <f>IFERROR(__xludf.DUMMYFUNCTION("""COMPUTED_VALUE"""),9.0)</f>
        <v>9</v>
      </c>
      <c r="DC28" s="16">
        <f>IFERROR(__xludf.DUMMYFUNCTION("""COMPUTED_VALUE"""),8.0)</f>
        <v>8</v>
      </c>
      <c r="DD28" s="16">
        <f>IFERROR(__xludf.DUMMYFUNCTION("""COMPUTED_VALUE"""),18.0)</f>
        <v>18</v>
      </c>
      <c r="DE28" s="16"/>
      <c r="DF28" s="16"/>
      <c r="DG28" s="16"/>
      <c r="DH28" s="16"/>
      <c r="DI28" s="16"/>
      <c r="DJ28" s="16">
        <f>IFERROR(__xludf.DUMMYFUNCTION("""COMPUTED_VALUE"""),0.0)</f>
        <v>0</v>
      </c>
      <c r="DK28" s="16">
        <f>IFERROR(__xludf.DUMMYFUNCTION("""COMPUTED_VALUE"""),-2.0)</f>
        <v>-2</v>
      </c>
      <c r="DL28" s="16">
        <f>IFERROR(__xludf.DUMMYFUNCTION("""COMPUTED_VALUE"""),0.0)</f>
        <v>0</v>
      </c>
      <c r="DM28" s="16"/>
      <c r="DN28" s="16"/>
      <c r="DO28" s="16"/>
      <c r="DP28" s="16"/>
      <c r="DQ28" s="16"/>
      <c r="DR28" s="16">
        <f>IFERROR(__xludf.DUMMYFUNCTION("""COMPUTED_VALUE"""),2.0)</f>
        <v>2</v>
      </c>
      <c r="DS28" s="16">
        <f>IFERROR(__xludf.DUMMYFUNCTION("""COMPUTED_VALUE"""),3.0)</f>
        <v>3</v>
      </c>
      <c r="DT28" s="16">
        <f>IFERROR(__xludf.DUMMYFUNCTION("""COMPUTED_VALUE"""),0.0)</f>
        <v>0</v>
      </c>
      <c r="DU28" s="16"/>
      <c r="DV28" s="16"/>
      <c r="DW28" s="16"/>
      <c r="DX28" s="16"/>
      <c r="DY28" s="16"/>
      <c r="DZ28" s="16">
        <f>IFERROR(__xludf.DUMMYFUNCTION("""COMPUTED_VALUE"""),2.0)</f>
        <v>2</v>
      </c>
      <c r="EA28" s="16">
        <f>IFERROR(__xludf.DUMMYFUNCTION("""COMPUTED_VALUE"""),1.0)</f>
        <v>1</v>
      </c>
      <c r="EB28" s="16">
        <f>IFERROR(__xludf.DUMMYFUNCTION("""COMPUTED_VALUE"""),0.0)</f>
        <v>0</v>
      </c>
      <c r="EC28" s="16"/>
      <c r="ED28" s="16"/>
      <c r="EE28" s="16"/>
      <c r="EF28" s="16"/>
      <c r="EG28" s="179"/>
      <c r="EH28" s="179">
        <f>IFERROR(__xludf.DUMMYFUNCTION("""COMPUTED_VALUE"""),30.0)</f>
        <v>30</v>
      </c>
      <c r="EI28" s="179">
        <f>IFERROR(__xludf.DUMMYFUNCTION("""COMPUTED_VALUE"""),29.0)</f>
        <v>29</v>
      </c>
      <c r="EJ28" s="179">
        <f>IFERROR(__xludf.DUMMYFUNCTION("""COMPUTED_VALUE"""),28.0)</f>
        <v>28</v>
      </c>
      <c r="EK28" s="179"/>
      <c r="EL28" s="179"/>
      <c r="EM28" s="179"/>
      <c r="EN28" s="179"/>
      <c r="EO28" s="16"/>
      <c r="EP28" s="16">
        <f>IFERROR(__xludf.DUMMYFUNCTION("""COMPUTED_VALUE"""),0.0)</f>
        <v>0</v>
      </c>
      <c r="EQ28" s="16">
        <f>IFERROR(__xludf.DUMMYFUNCTION("""COMPUTED_VALUE"""),4.0)</f>
        <v>4</v>
      </c>
      <c r="ER28" s="16">
        <f>IFERROR(__xludf.DUMMYFUNCTION("""COMPUTED_VALUE"""),-1.0)</f>
        <v>-1</v>
      </c>
      <c r="ES28" s="16"/>
      <c r="ET28" s="16"/>
      <c r="EU28" s="16"/>
      <c r="EV28" s="16"/>
      <c r="EW28" s="16"/>
      <c r="EX28" s="180"/>
      <c r="EY28" s="180">
        <f>IFERROR(__xludf.DUMMYFUNCTION("""COMPUTED_VALUE"""),0.3)</f>
        <v>0.3</v>
      </c>
      <c r="EZ28" s="180">
        <f>IFERROR(__xludf.DUMMYFUNCTION("""COMPUTED_VALUE"""),0.3)</f>
        <v>0.3</v>
      </c>
      <c r="FA28" s="180">
        <f>IFERROR(__xludf.DUMMYFUNCTION("""COMPUTED_VALUE"""),0.3)</f>
        <v>0.3</v>
      </c>
      <c r="FB28" s="180"/>
      <c r="FC28" s="180"/>
      <c r="FD28" s="180"/>
      <c r="FE28" s="180"/>
      <c r="FF28" s="180"/>
      <c r="FG28" s="180">
        <f>IFERROR(__xludf.DUMMYFUNCTION("""COMPUTED_VALUE"""),0.16203703703703703)</f>
        <v>0.162037037</v>
      </c>
      <c r="FH28" s="180">
        <f>IFERROR(__xludf.DUMMYFUNCTION("""COMPUTED_VALUE"""),0.046296296296296294)</f>
        <v>0.0462962963</v>
      </c>
      <c r="FI28" s="180">
        <f>IFERROR(__xludf.DUMMYFUNCTION("""COMPUTED_VALUE"""),0.2175925925925926)</f>
        <v>0.2175925926</v>
      </c>
      <c r="FJ28" s="180"/>
      <c r="FK28" s="180"/>
      <c r="FL28" s="180"/>
      <c r="FM28" s="180"/>
      <c r="FN28" s="16"/>
      <c r="FO28" s="16">
        <f>IFERROR(__xludf.DUMMYFUNCTION("""COMPUTED_VALUE"""),0.586574074074074)</f>
        <v>0.5865740741</v>
      </c>
      <c r="FP28" s="16">
        <f>IFERROR(__xludf.DUMMYFUNCTION("""COMPUTED_VALUE"""),0.6675925925925925)</f>
        <v>0.6675925926</v>
      </c>
      <c r="FQ28" s="16">
        <f>IFERROR(__xludf.DUMMYFUNCTION("""COMPUTED_VALUE"""),0.5476851851851852)</f>
        <v>0.5476851852</v>
      </c>
      <c r="FR28" s="16"/>
      <c r="FS28" s="16"/>
      <c r="FT28" s="16"/>
      <c r="FU28" s="16"/>
      <c r="FV28" s="16"/>
      <c r="FW28" s="16">
        <f>IFERROR(__xludf.DUMMYFUNCTION("""COMPUTED_VALUE"""),-6.0)</f>
        <v>-6</v>
      </c>
      <c r="FX28" s="16">
        <f>IFERROR(__xludf.DUMMYFUNCTION("""COMPUTED_VALUE"""),-4.0)</f>
        <v>-4</v>
      </c>
      <c r="FY28" s="16">
        <f>IFERROR(__xludf.DUMMYFUNCTION("""COMPUTED_VALUE"""),-8.0)</f>
        <v>-8</v>
      </c>
      <c r="FZ28" s="16"/>
      <c r="GA28" s="16"/>
      <c r="GB28" s="16"/>
      <c r="GC28" s="16"/>
      <c r="GD28" s="16" t="s">
        <v>361</v>
      </c>
    </row>
    <row r="29">
      <c r="A29" s="16">
        <f>IFERROR(__xludf.DUMMYFUNCTION("""COMPUTED_VALUE"""),13429.0)</f>
        <v>13429</v>
      </c>
      <c r="B29" s="16" t="str">
        <f>IFERROR(__xludf.DUMMYFUNCTION("""COMPUTED_VALUE"""),"Trea Turner")</f>
        <v>Trea Turner</v>
      </c>
      <c r="C29" s="16">
        <f>IFERROR(__xludf.DUMMYFUNCTION("""COMPUTED_VALUE"""),1.61)</f>
        <v>1.61</v>
      </c>
      <c r="D29" s="16" t="str">
        <f>IFERROR(__xludf.DUMMYFUNCTION("""COMPUTED_VALUE"""),"R")</f>
        <v>R</v>
      </c>
      <c r="E29" s="16"/>
      <c r="F29" s="16"/>
      <c r="G29" s="16">
        <f>IFERROR(__xludf.DUMMYFUNCTION("""COMPUTED_VALUE"""),505.0)</f>
        <v>505</v>
      </c>
      <c r="H29" s="16">
        <f>IFERROR(__xludf.DUMMYFUNCTION("""COMPUTED_VALUE"""),27.0)</f>
        <v>27</v>
      </c>
      <c r="I29" s="16" t="str">
        <f>IFERROR(__xludf.DUMMYFUNCTION("""COMPUTED_VALUE"""),"1p60")</f>
        <v>1p60</v>
      </c>
      <c r="J29" s="16">
        <f>IFERROR(__xludf.DUMMYFUNCTION("""COMPUTED_VALUE"""),13.0)</f>
        <v>13</v>
      </c>
      <c r="K29" s="16">
        <f>IFERROR(__xludf.DUMMYFUNCTION("""COMPUTED_VALUE"""),15.0)</f>
        <v>15</v>
      </c>
      <c r="L29" s="16">
        <f>IFERROR(__xludf.DUMMYFUNCTION("""COMPUTED_VALUE"""),1.0)</f>
        <v>1</v>
      </c>
      <c r="M29" s="16">
        <f>IFERROR(__xludf.DUMMYFUNCTION("""COMPUTED_VALUE"""),1.0)</f>
        <v>1</v>
      </c>
      <c r="N29" s="16">
        <f>IFERROR(__xludf.DUMMYFUNCTION("""COMPUTED_VALUE"""),1.0)</f>
        <v>1</v>
      </c>
      <c r="O29" s="16">
        <f>IFERROR(__xludf.DUMMYFUNCTION("""COMPUTED_VALUE"""),1.0)</f>
        <v>1</v>
      </c>
      <c r="P29" s="16">
        <f>IFERROR(__xludf.DUMMYFUNCTION("""COMPUTED_VALUE"""),8.0)</f>
        <v>8</v>
      </c>
      <c r="Q29" s="16">
        <f>IFERROR(__xludf.DUMMYFUNCTION("""COMPUTED_VALUE"""),1.0)</f>
        <v>1</v>
      </c>
      <c r="R29" s="16">
        <f>IFERROR(__xludf.DUMMYFUNCTION("""COMPUTED_VALUE"""),0.0)</f>
        <v>0</v>
      </c>
      <c r="S29" s="16">
        <f>IFERROR(__xludf.DUMMYFUNCTION("""COMPUTED_VALUE"""),-2.0)</f>
        <v>-2</v>
      </c>
      <c r="T29" s="16">
        <f>IFERROR(__xludf.DUMMYFUNCTION("""COMPUTED_VALUE"""),0.0)</f>
        <v>0</v>
      </c>
      <c r="U29" s="16">
        <f>IFERROR(__xludf.DUMMYFUNCTION("""COMPUTED_VALUE"""),-2.0)</f>
        <v>-2</v>
      </c>
      <c r="V29" s="16">
        <f>IFERROR(__xludf.DUMMYFUNCTION("""COMPUTED_VALUE"""),30.5)</f>
        <v>30.5</v>
      </c>
      <c r="W29" s="16">
        <f>IFERROR(__xludf.DUMMYFUNCTION("""COMPUTED_VALUE"""),32.0)</f>
        <v>32</v>
      </c>
      <c r="X29" s="16">
        <f>IFERROR(__xludf.DUMMYFUNCTION("""COMPUTED_VALUE"""),2.0)</f>
        <v>2</v>
      </c>
      <c r="Y29" s="16">
        <f>IFERROR(__xludf.DUMMYFUNCTION("""COMPUTED_VALUE"""),2.0)</f>
        <v>2</v>
      </c>
      <c r="Z29" s="16">
        <f>IFERROR(__xludf.DUMMYFUNCTION("""COMPUTED_VALUE"""),4.0)</f>
        <v>4</v>
      </c>
      <c r="AA29" s="16">
        <f>IFERROR(__xludf.DUMMYFUNCTION("""COMPUTED_VALUE"""),4.0)</f>
        <v>4</v>
      </c>
      <c r="AB29" s="16">
        <f>IFERROR(__xludf.DUMMYFUNCTION("""COMPUTED_VALUE"""),40.5)</f>
        <v>40.5</v>
      </c>
      <c r="AC29" s="16">
        <f>IFERROR(__xludf.DUMMYFUNCTION("""COMPUTED_VALUE"""),35.0)</f>
        <v>35</v>
      </c>
      <c r="AD29" s="16">
        <f>IFERROR(__xludf.DUMMYFUNCTION("""COMPUTED_VALUE"""),1.0)</f>
        <v>1</v>
      </c>
      <c r="AE29" s="16">
        <f>IFERROR(__xludf.DUMMYFUNCTION("""COMPUTED_VALUE"""),1.0)</f>
        <v>1</v>
      </c>
      <c r="AF29" s="16">
        <f>IFERROR(__xludf.DUMMYFUNCTION("""COMPUTED_VALUE"""),5.0)</f>
        <v>5</v>
      </c>
      <c r="AG29" s="16">
        <f>IFERROR(__xludf.DUMMYFUNCTION("""COMPUTED_VALUE"""),5.0)</f>
        <v>5</v>
      </c>
      <c r="AH29" s="16">
        <f>IFERROR(__xludf.DUMMYFUNCTION("""COMPUTED_VALUE"""),50.0)</f>
        <v>50</v>
      </c>
      <c r="AI29" s="16">
        <f>IFERROR(__xludf.DUMMYFUNCTION("""COMPUTED_VALUE"""),42.6)</f>
        <v>42.6</v>
      </c>
      <c r="AJ29" s="16">
        <f>IFERROR(__xludf.DUMMYFUNCTION("""COMPUTED_VALUE"""),2.0)</f>
        <v>2</v>
      </c>
      <c r="AK29" s="16">
        <f>IFERROR(__xludf.DUMMYFUNCTION("""COMPUTED_VALUE"""),1.0)</f>
        <v>1</v>
      </c>
      <c r="AL29" s="16">
        <f>IFERROR(__xludf.DUMMYFUNCTION("""COMPUTED_VALUE"""),10.0)</f>
        <v>10</v>
      </c>
      <c r="AM29" s="16">
        <f>IFERROR(__xludf.DUMMYFUNCTION("""COMPUTED_VALUE"""),5.0)</f>
        <v>5</v>
      </c>
      <c r="AN29" s="16">
        <f>IFERROR(__xludf.DUMMYFUNCTION("""COMPUTED_VALUE"""),4.0)</f>
        <v>4</v>
      </c>
      <c r="AO29" s="16">
        <f>IFERROR(__xludf.DUMMYFUNCTION("""COMPUTED_VALUE"""),2.4)</f>
        <v>2.4</v>
      </c>
      <c r="AP29" s="16">
        <f>IFERROR(__xludf.DUMMYFUNCTION("""COMPUTED_VALUE"""),2.0)</f>
        <v>2</v>
      </c>
      <c r="AQ29" s="16">
        <f>IFERROR(__xludf.DUMMYFUNCTION("""COMPUTED_VALUE"""),0.0)</f>
        <v>0</v>
      </c>
      <c r="AR29" s="16">
        <f>IFERROR(__xludf.DUMMYFUNCTION("""COMPUTED_VALUE"""),4.0)</f>
        <v>4</v>
      </c>
      <c r="AS29" s="16">
        <f>IFERROR(__xludf.DUMMYFUNCTION("""COMPUTED_VALUE"""),0.0)</f>
        <v>0</v>
      </c>
      <c r="AT29" s="16">
        <f>IFERROR(__xludf.DUMMYFUNCTION("""COMPUTED_VALUE"""),6.0)</f>
        <v>6</v>
      </c>
      <c r="AU29" s="16">
        <f>IFERROR(__xludf.DUMMYFUNCTION("""COMPUTED_VALUE"""),4.0)</f>
        <v>4</v>
      </c>
      <c r="AV29" s="16">
        <f>IFERROR(__xludf.DUMMYFUNCTION("""COMPUTED_VALUE"""),6.0)</f>
        <v>6</v>
      </c>
      <c r="AW29" s="16">
        <f>IFERROR(__xludf.DUMMYFUNCTION("""COMPUTED_VALUE"""),4.0)</f>
        <v>4</v>
      </c>
      <c r="AX29" s="16">
        <f>IFERROR(__xludf.DUMMYFUNCTION("""COMPUTED_VALUE"""),3.0)</f>
        <v>3</v>
      </c>
      <c r="AY29" s="16">
        <f>IFERROR(__xludf.DUMMYFUNCTION("""COMPUTED_VALUE"""),1.0)</f>
        <v>1</v>
      </c>
      <c r="AZ29" s="16">
        <f>IFERROR(__xludf.DUMMYFUNCTION("""COMPUTED_VALUE"""),9.0)</f>
        <v>9</v>
      </c>
      <c r="BA29" s="16">
        <f>IFERROR(__xludf.DUMMYFUNCTION("""COMPUTED_VALUE"""),3.0)</f>
        <v>3</v>
      </c>
      <c r="BB29" s="16">
        <f>IFERROR(__xludf.DUMMYFUNCTION("""COMPUTED_VALUE"""),5.0)</f>
        <v>5</v>
      </c>
      <c r="BC29" s="16">
        <f>IFERROR(__xludf.DUMMYFUNCTION("""COMPUTED_VALUE"""),5.0)</f>
        <v>5</v>
      </c>
      <c r="BD29" s="16">
        <f>IFERROR(__xludf.DUMMYFUNCTION("""COMPUTED_VALUE"""),1.0)</f>
        <v>1</v>
      </c>
      <c r="BE29" s="16">
        <f>IFERROR(__xludf.DUMMYFUNCTION("""COMPUTED_VALUE"""),1.0)</f>
        <v>1</v>
      </c>
      <c r="BF29" s="16">
        <f>IFERROR(__xludf.DUMMYFUNCTION("""COMPUTED_VALUE"""),1.0)</f>
        <v>1</v>
      </c>
      <c r="BG29" s="16">
        <f>IFERROR(__xludf.DUMMYFUNCTION("""COMPUTED_VALUE"""),1.0)</f>
        <v>1</v>
      </c>
      <c r="BH29" s="16">
        <f>IFERROR(__xludf.DUMMYFUNCTION("""COMPUTED_VALUE"""),-11.0)</f>
        <v>-11</v>
      </c>
      <c r="BI29" s="16">
        <f>IFERROR(__xludf.DUMMYFUNCTION("""COMPUTED_VALUE"""),-11.0)</f>
        <v>-11</v>
      </c>
      <c r="BJ29" s="16">
        <f>IFERROR(__xludf.DUMMYFUNCTION("""COMPUTED_VALUE"""),15.0)</f>
        <v>15</v>
      </c>
      <c r="BK29" s="16">
        <f>IFERROR(__xludf.DUMMYFUNCTION("""COMPUTED_VALUE"""),16.0)</f>
        <v>16</v>
      </c>
      <c r="BL29" s="16">
        <f>IFERROR(__xludf.DUMMYFUNCTION("""COMPUTED_VALUE"""),-1.0)</f>
        <v>-1</v>
      </c>
      <c r="BM29" s="16">
        <f>IFERROR(__xludf.DUMMYFUNCTION("""COMPUTED_VALUE"""),-1.0)</f>
        <v>-1</v>
      </c>
      <c r="BN29" s="16">
        <f>IFERROR(__xludf.DUMMYFUNCTION("""COMPUTED_VALUE"""),-2.0)</f>
        <v>-2</v>
      </c>
      <c r="BO29" s="16">
        <f>IFERROR(__xludf.DUMMYFUNCTION("""COMPUTED_VALUE"""),-2.0)</f>
        <v>-2</v>
      </c>
      <c r="BP29" s="16">
        <f>IFERROR(__xludf.DUMMYFUNCTION("""COMPUTED_VALUE"""),11.0)</f>
        <v>11</v>
      </c>
      <c r="BQ29" s="16">
        <f>IFERROR(__xludf.DUMMYFUNCTION("""COMPUTED_VALUE"""),4.0)</f>
        <v>4</v>
      </c>
      <c r="BR29" s="16">
        <f>IFERROR(__xludf.DUMMYFUNCTION("""COMPUTED_VALUE"""),15.0)</f>
        <v>15</v>
      </c>
      <c r="BS29" s="16" t="str">
        <f>IFERROR(__xludf.DUMMYFUNCTION("""COMPUTED_VALUE"""),"*4,6/- (19-12)")</f>
        <v>*4,6/- (19-12)</v>
      </c>
      <c r="BT29" s="16" t="str">
        <f>IFERROR(__xludf.DUMMYFUNCTION("""COMPUTED_VALUE"""),"A")</f>
        <v>A</v>
      </c>
      <c r="BU29" s="16">
        <f>IFERROR(__xludf.DUMMYFUNCTION("""COMPUTED_VALUE"""),17.0)</f>
        <v>17</v>
      </c>
      <c r="BV29" s="16">
        <f>IFERROR(__xludf.DUMMYFUNCTION("""COMPUTED_VALUE"""),2.0)</f>
        <v>2</v>
      </c>
      <c r="BW29" s="16">
        <f>IFERROR(__xludf.DUMMYFUNCTION("""COMPUTED_VALUE"""),3.0)</f>
        <v>3</v>
      </c>
      <c r="BX29" s="16">
        <f>IFERROR(__xludf.DUMMYFUNCTION("""COMPUTED_VALUE"""),4.0)</f>
        <v>4</v>
      </c>
      <c r="BY29" s="16">
        <f>IFERROR(__xludf.DUMMYFUNCTION("""COMPUTED_VALUE"""),9.0)</f>
        <v>9</v>
      </c>
      <c r="BZ29" s="16" t="str">
        <f>IFERROR(__xludf.DUMMYFUNCTION("""COMPUTED_VALUE"""),"D")</f>
        <v>D</v>
      </c>
      <c r="CA29" s="16" t="str">
        <f>IFERROR(__xludf.DUMMYFUNCTION("""COMPUTED_VALUE"""),"C")</f>
        <v>C</v>
      </c>
      <c r="CB29" s="16">
        <f>IFERROR(__xludf.DUMMYFUNCTION("""COMPUTED_VALUE"""),0.0)</f>
        <v>0</v>
      </c>
      <c r="CC29" s="16">
        <f>IFERROR(__xludf.DUMMYFUNCTION("""COMPUTED_VALUE"""),0.0)</f>
        <v>0</v>
      </c>
      <c r="CD29" s="16">
        <f>IFERROR(__xludf.DUMMYFUNCTION("""COMPUTED_VALUE"""),0.0)</f>
        <v>0</v>
      </c>
      <c r="CE29" s="16">
        <f>IFERROR(__xludf.DUMMYFUNCTION("""COMPUTED_VALUE"""),0.0)</f>
        <v>0</v>
      </c>
      <c r="CF29" s="16">
        <f>IFERROR(__xludf.DUMMYFUNCTION("""COMPUTED_VALUE"""),1.0)</f>
        <v>1</v>
      </c>
      <c r="CG29" s="16">
        <f>IFERROR(__xludf.DUMMYFUNCTION("""COMPUTED_VALUE"""),32.0)</f>
        <v>32</v>
      </c>
      <c r="CH29" s="16">
        <f>IFERROR(__xludf.DUMMYFUNCTION("""COMPUTED_VALUE"""),15.0)</f>
        <v>15</v>
      </c>
      <c r="CI29" s="179">
        <f>IFERROR(__xludf.DUMMYFUNCTION("""COMPUTED_VALUE"""),28.0)</f>
        <v>28</v>
      </c>
      <c r="CJ29" s="16"/>
      <c r="CK29" s="16"/>
      <c r="CL29" s="16"/>
      <c r="CM29" s="16"/>
      <c r="CN29" s="16">
        <f>IFERROR(__xludf.DUMMYFUNCTION("""COMPUTED_VALUE"""),324.0)</f>
        <v>324</v>
      </c>
      <c r="CO29" s="16"/>
      <c r="CP29" s="16"/>
      <c r="CQ29" s="16"/>
      <c r="CR29" s="16" t="str">
        <f>IFERROR(__xludf.DUMMYFUNCTION("""COMPUTED_VALUE"""),"ss-3e24")</f>
        <v>ss-3e24</v>
      </c>
      <c r="CS29" s="16"/>
      <c r="CT29" s="16"/>
      <c r="CU29" s="16"/>
      <c r="CV29" s="16"/>
      <c r="CW29" s="16">
        <f>IFERROR(__xludf.DUMMYFUNCTION("""COMPUTED_VALUE"""),3.0)</f>
        <v>3</v>
      </c>
      <c r="CX29" s="16"/>
      <c r="CY29" s="16"/>
      <c r="CZ29" s="16"/>
      <c r="DA29" s="16"/>
      <c r="DB29" s="16"/>
      <c r="DC29" s="16"/>
      <c r="DD29" s="16"/>
      <c r="DE29" s="16">
        <f>IFERROR(__xludf.DUMMYFUNCTION("""COMPUTED_VALUE"""),24.0)</f>
        <v>24</v>
      </c>
      <c r="DF29" s="16"/>
      <c r="DG29" s="16"/>
      <c r="DH29" s="16"/>
      <c r="DI29" s="16"/>
      <c r="DJ29" s="16"/>
      <c r="DK29" s="16"/>
      <c r="DL29" s="16"/>
      <c r="DM29" s="16">
        <f>IFERROR(__xludf.DUMMYFUNCTION("""COMPUTED_VALUE"""),0.0)</f>
        <v>0</v>
      </c>
      <c r="DN29" s="16"/>
      <c r="DO29" s="16"/>
      <c r="DP29" s="16"/>
      <c r="DQ29" s="16"/>
      <c r="DR29" s="16"/>
      <c r="DS29" s="16"/>
      <c r="DT29" s="16"/>
      <c r="DU29" s="16">
        <f>IFERROR(__xludf.DUMMYFUNCTION("""COMPUTED_VALUE"""),0.0)</f>
        <v>0</v>
      </c>
      <c r="DV29" s="16"/>
      <c r="DW29" s="16"/>
      <c r="DX29" s="16"/>
      <c r="DY29" s="16"/>
      <c r="DZ29" s="16"/>
      <c r="EA29" s="16"/>
      <c r="EB29" s="16"/>
      <c r="EC29" s="16">
        <f>IFERROR(__xludf.DUMMYFUNCTION("""COMPUTED_VALUE"""),0.0)</f>
        <v>0</v>
      </c>
      <c r="ED29" s="16"/>
      <c r="EE29" s="16"/>
      <c r="EF29" s="16"/>
      <c r="EG29" s="179"/>
      <c r="EH29" s="179"/>
      <c r="EI29" s="179"/>
      <c r="EJ29" s="179"/>
      <c r="EK29" s="179">
        <f>IFERROR(__xludf.DUMMYFUNCTION("""COMPUTED_VALUE"""),28.0)</f>
        <v>28</v>
      </c>
      <c r="EL29" s="179"/>
      <c r="EM29" s="179"/>
      <c r="EN29" s="179"/>
      <c r="EO29" s="16"/>
      <c r="EP29" s="16"/>
      <c r="EQ29" s="16">
        <f>IFERROR(__xludf.DUMMYFUNCTION("""COMPUTED_VALUE"""),4.0)</f>
        <v>4</v>
      </c>
      <c r="ER29" s="16">
        <f>IFERROR(__xludf.DUMMYFUNCTION("""COMPUTED_VALUE"""),1.0)</f>
        <v>1</v>
      </c>
      <c r="ES29" s="16"/>
      <c r="ET29" s="16"/>
      <c r="EU29" s="16"/>
      <c r="EV29" s="16"/>
      <c r="EW29" s="16"/>
      <c r="EX29" s="180"/>
      <c r="EY29" s="180"/>
      <c r="EZ29" s="180"/>
      <c r="FA29" s="180"/>
      <c r="FB29" s="180">
        <f>IFERROR(__xludf.DUMMYFUNCTION("""COMPUTED_VALUE"""),0.2)</f>
        <v>0.2</v>
      </c>
      <c r="FC29" s="180"/>
      <c r="FD29" s="180"/>
      <c r="FE29" s="180"/>
      <c r="FF29" s="180"/>
      <c r="FG29" s="180"/>
      <c r="FH29" s="180"/>
      <c r="FI29" s="180"/>
      <c r="FJ29" s="180">
        <f>IFERROR(__xludf.DUMMYFUNCTION("""COMPUTED_VALUE"""),0.125)</f>
        <v>0.125</v>
      </c>
      <c r="FK29" s="180"/>
      <c r="FL29" s="180"/>
      <c r="FM29" s="180"/>
      <c r="FN29" s="16"/>
      <c r="FO29" s="16"/>
      <c r="FP29" s="16"/>
      <c r="FQ29" s="16"/>
      <c r="FR29" s="16">
        <f>IFERROR(__xludf.DUMMYFUNCTION("""COMPUTED_VALUE"""),0.7000000000000001)</f>
        <v>0.7</v>
      </c>
      <c r="FS29" s="16"/>
      <c r="FT29" s="16"/>
      <c r="FU29" s="16"/>
      <c r="FV29" s="16"/>
      <c r="FW29" s="16"/>
      <c r="FX29" s="16"/>
      <c r="FY29" s="16"/>
      <c r="FZ29" s="16">
        <f>IFERROR(__xludf.DUMMYFUNCTION("""COMPUTED_VALUE"""),-4.0)</f>
        <v>-4</v>
      </c>
      <c r="GA29" s="16"/>
      <c r="GB29" s="16"/>
      <c r="GC29" s="16"/>
      <c r="GD29" s="16" t="s">
        <v>126</v>
      </c>
    </row>
    <row r="30">
      <c r="A30" s="16">
        <f>IFERROR(__xludf.DUMMYFUNCTION("""COMPUTED_VALUE"""),12823.0)</f>
        <v>12823</v>
      </c>
      <c r="B30" s="16" t="str">
        <f>IFERROR(__xludf.DUMMYFUNCTION("""COMPUTED_VALUE"""),"Freddie Freeman")</f>
        <v>Freddie Freeman</v>
      </c>
      <c r="C30" s="16">
        <f>IFERROR(__xludf.DUMMYFUNCTION("""COMPUTED_VALUE"""),2.14)</f>
        <v>2.14</v>
      </c>
      <c r="D30" s="16" t="str">
        <f>IFERROR(__xludf.DUMMYFUNCTION("""COMPUTED_VALUE"""),"L")</f>
        <v>L</v>
      </c>
      <c r="E30" s="16"/>
      <c r="F30" s="16"/>
      <c r="G30" s="16">
        <f>IFERROR(__xludf.DUMMYFUNCTION("""COMPUTED_VALUE"""),542.0)</f>
        <v>542</v>
      </c>
      <c r="H30" s="16">
        <f>IFERROR(__xludf.DUMMYFUNCTION("""COMPUTED_VALUE"""),78.0)</f>
        <v>78</v>
      </c>
      <c r="I30" s="16" t="str">
        <f>IFERROR(__xludf.DUMMYFUNCTION("""COMPUTED_VALUE"""),"1p65")</f>
        <v>1p65</v>
      </c>
      <c r="J30" s="16">
        <f>IFERROR(__xludf.DUMMYFUNCTION("""COMPUTED_VALUE"""),8.0)</f>
        <v>8</v>
      </c>
      <c r="K30" s="16">
        <f>IFERROR(__xludf.DUMMYFUNCTION("""COMPUTED_VALUE"""),11.0)</f>
        <v>11</v>
      </c>
      <c r="L30" s="16">
        <f>IFERROR(__xludf.DUMMYFUNCTION("""COMPUTED_VALUE"""),2.0)</f>
        <v>2</v>
      </c>
      <c r="M30" s="16">
        <f>IFERROR(__xludf.DUMMYFUNCTION("""COMPUTED_VALUE"""),1.0)</f>
        <v>1</v>
      </c>
      <c r="N30" s="16">
        <f>IFERROR(__xludf.DUMMYFUNCTION("""COMPUTED_VALUE"""),2.0)</f>
        <v>2</v>
      </c>
      <c r="O30" s="16">
        <f>IFERROR(__xludf.DUMMYFUNCTION("""COMPUTED_VALUE"""),1.0)</f>
        <v>1</v>
      </c>
      <c r="P30" s="16">
        <f>IFERROR(__xludf.DUMMYFUNCTION("""COMPUTED_VALUE"""),11.0)</f>
        <v>11</v>
      </c>
      <c r="Q30" s="16">
        <f>IFERROR(__xludf.DUMMYFUNCTION("""COMPUTED_VALUE"""),17.0)</f>
        <v>17</v>
      </c>
      <c r="R30" s="16">
        <f>IFERROR(__xludf.DUMMYFUNCTION("""COMPUTED_VALUE"""),1.0)</f>
        <v>1</v>
      </c>
      <c r="S30" s="16">
        <f>IFERROR(__xludf.DUMMYFUNCTION("""COMPUTED_VALUE"""),2.0)</f>
        <v>2</v>
      </c>
      <c r="T30" s="16">
        <f>IFERROR(__xludf.DUMMYFUNCTION("""COMPUTED_VALUE"""),1.0)</f>
        <v>1</v>
      </c>
      <c r="U30" s="16">
        <f>IFERROR(__xludf.DUMMYFUNCTION("""COMPUTED_VALUE"""),2.0)</f>
        <v>2</v>
      </c>
      <c r="V30" s="16">
        <f>IFERROR(__xludf.DUMMYFUNCTION("""COMPUTED_VALUE"""),20.3)</f>
        <v>20.3</v>
      </c>
      <c r="W30" s="16">
        <f>IFERROR(__xludf.DUMMYFUNCTION("""COMPUTED_VALUE"""),27.0)</f>
        <v>27</v>
      </c>
      <c r="X30" s="16">
        <f>IFERROR(__xludf.DUMMYFUNCTION("""COMPUTED_VALUE"""),0.0)</f>
        <v>0</v>
      </c>
      <c r="Y30" s="16">
        <f>IFERROR(__xludf.DUMMYFUNCTION("""COMPUTED_VALUE"""),1.0)</f>
        <v>1</v>
      </c>
      <c r="Z30" s="16">
        <f>IFERROR(__xludf.DUMMYFUNCTION("""COMPUTED_VALUE"""),0.0)</f>
        <v>0</v>
      </c>
      <c r="AA30" s="16">
        <f>IFERROR(__xludf.DUMMYFUNCTION("""COMPUTED_VALUE"""),2.0)</f>
        <v>2</v>
      </c>
      <c r="AB30" s="16">
        <f>IFERROR(__xludf.DUMMYFUNCTION("""COMPUTED_VALUE"""),35.3)</f>
        <v>35.3</v>
      </c>
      <c r="AC30" s="16">
        <f>IFERROR(__xludf.DUMMYFUNCTION("""COMPUTED_VALUE"""),48.0)</f>
        <v>48</v>
      </c>
      <c r="AD30" s="16">
        <f>IFERROR(__xludf.DUMMYFUNCTION("""COMPUTED_VALUE"""),1.0)</f>
        <v>1</v>
      </c>
      <c r="AE30" s="16">
        <f>IFERROR(__xludf.DUMMYFUNCTION("""COMPUTED_VALUE"""),2.0)</f>
        <v>2</v>
      </c>
      <c r="AF30" s="16">
        <f>IFERROR(__xludf.DUMMYFUNCTION("""COMPUTED_VALUE"""),5.0)</f>
        <v>5</v>
      </c>
      <c r="AG30" s="16">
        <f>IFERROR(__xludf.DUMMYFUNCTION("""COMPUTED_VALUE"""),10.0)</f>
        <v>10</v>
      </c>
      <c r="AH30" s="16">
        <f>IFERROR(__xludf.DUMMYFUNCTION("""COMPUTED_VALUE"""),34.1)</f>
        <v>34.1</v>
      </c>
      <c r="AI30" s="16">
        <f>IFERROR(__xludf.DUMMYFUNCTION("""COMPUTED_VALUE"""),42.0)</f>
        <v>42</v>
      </c>
      <c r="AJ30" s="16">
        <f>IFERROR(__xludf.DUMMYFUNCTION("""COMPUTED_VALUE"""),0.0)</f>
        <v>0</v>
      </c>
      <c r="AK30" s="16">
        <f>IFERROR(__xludf.DUMMYFUNCTION("""COMPUTED_VALUE"""),1.0)</f>
        <v>1</v>
      </c>
      <c r="AL30" s="16">
        <f>IFERROR(__xludf.DUMMYFUNCTION("""COMPUTED_VALUE"""),0.0)</f>
        <v>0</v>
      </c>
      <c r="AM30" s="16">
        <f>IFERROR(__xludf.DUMMYFUNCTION("""COMPUTED_VALUE"""),5.0)</f>
        <v>5</v>
      </c>
      <c r="AN30" s="16">
        <f>IFERROR(__xludf.DUMMYFUNCTION("""COMPUTED_VALUE"""),2.3)</f>
        <v>2.3</v>
      </c>
      <c r="AO30" s="16">
        <f>IFERROR(__xludf.DUMMYFUNCTION("""COMPUTED_VALUE"""),2.5)</f>
        <v>2.5</v>
      </c>
      <c r="AP30" s="16">
        <f>IFERROR(__xludf.DUMMYFUNCTION("""COMPUTED_VALUE"""),0.0)</f>
        <v>0</v>
      </c>
      <c r="AQ30" s="16">
        <f>IFERROR(__xludf.DUMMYFUNCTION("""COMPUTED_VALUE"""),0.0)</f>
        <v>0</v>
      </c>
      <c r="AR30" s="16">
        <f>IFERROR(__xludf.DUMMYFUNCTION("""COMPUTED_VALUE"""),0.0)</f>
        <v>0</v>
      </c>
      <c r="AS30" s="16">
        <f>IFERROR(__xludf.DUMMYFUNCTION("""COMPUTED_VALUE"""),0.0)</f>
        <v>0</v>
      </c>
      <c r="AT30" s="16">
        <f>IFERROR(__xludf.DUMMYFUNCTION("""COMPUTED_VALUE"""),4.0)</f>
        <v>4</v>
      </c>
      <c r="AU30" s="16">
        <f>IFERROR(__xludf.DUMMYFUNCTION("""COMPUTED_VALUE"""),4.0)</f>
        <v>4</v>
      </c>
      <c r="AV30" s="16">
        <f>IFERROR(__xludf.DUMMYFUNCTION("""COMPUTED_VALUE"""),4.0)</f>
        <v>4</v>
      </c>
      <c r="AW30" s="16">
        <f>IFERROR(__xludf.DUMMYFUNCTION("""COMPUTED_VALUE"""),4.0)</f>
        <v>4</v>
      </c>
      <c r="AX30" s="16">
        <f>IFERROR(__xludf.DUMMYFUNCTION("""COMPUTED_VALUE"""),2.0)</f>
        <v>2</v>
      </c>
      <c r="AY30" s="16">
        <f>IFERROR(__xludf.DUMMYFUNCTION("""COMPUTED_VALUE"""),1.0)</f>
        <v>1</v>
      </c>
      <c r="AZ30" s="16">
        <f>IFERROR(__xludf.DUMMYFUNCTION("""COMPUTED_VALUE"""),6.0)</f>
        <v>6</v>
      </c>
      <c r="BA30" s="16">
        <f>IFERROR(__xludf.DUMMYFUNCTION("""COMPUTED_VALUE"""),3.0)</f>
        <v>3</v>
      </c>
      <c r="BB30" s="16">
        <f>IFERROR(__xludf.DUMMYFUNCTION("""COMPUTED_VALUE"""),5.0)</f>
        <v>5</v>
      </c>
      <c r="BC30" s="16">
        <f>IFERROR(__xludf.DUMMYFUNCTION("""COMPUTED_VALUE"""),5.0)</f>
        <v>5</v>
      </c>
      <c r="BD30" s="16">
        <f>IFERROR(__xludf.DUMMYFUNCTION("""COMPUTED_VALUE"""),1.0)</f>
        <v>1</v>
      </c>
      <c r="BE30" s="16">
        <f>IFERROR(__xludf.DUMMYFUNCTION("""COMPUTED_VALUE"""),1.0)</f>
        <v>1</v>
      </c>
      <c r="BF30" s="16">
        <f>IFERROR(__xludf.DUMMYFUNCTION("""COMPUTED_VALUE"""),1.0)</f>
        <v>1</v>
      </c>
      <c r="BG30" s="16">
        <f>IFERROR(__xludf.DUMMYFUNCTION("""COMPUTED_VALUE"""),1.0)</f>
        <v>1</v>
      </c>
      <c r="BH30" s="16">
        <f>IFERROR(__xludf.DUMMYFUNCTION("""COMPUTED_VALUE"""),-6.0)</f>
        <v>-6</v>
      </c>
      <c r="BI30" s="16">
        <f>IFERROR(__xludf.DUMMYFUNCTION("""COMPUTED_VALUE"""),-5.0)</f>
        <v>-5</v>
      </c>
      <c r="BJ30" s="16">
        <f>IFERROR(__xludf.DUMMYFUNCTION("""COMPUTED_VALUE"""),16.0)</f>
        <v>16</v>
      </c>
      <c r="BK30" s="16">
        <f>IFERROR(__xludf.DUMMYFUNCTION("""COMPUTED_VALUE"""),15.0)</f>
        <v>15</v>
      </c>
      <c r="BL30" s="16">
        <f>IFERROR(__xludf.DUMMYFUNCTION("""COMPUTED_VALUE"""),-1.0)</f>
        <v>-1</v>
      </c>
      <c r="BM30" s="16">
        <f>IFERROR(__xludf.DUMMYFUNCTION("""COMPUTED_VALUE"""),-1.0)</f>
        <v>-1</v>
      </c>
      <c r="BN30" s="16">
        <f>IFERROR(__xludf.DUMMYFUNCTION("""COMPUTED_VALUE"""),-2.0)</f>
        <v>-2</v>
      </c>
      <c r="BO30" s="16">
        <f>IFERROR(__xludf.DUMMYFUNCTION("""COMPUTED_VALUE"""),-2.0)</f>
        <v>-2</v>
      </c>
      <c r="BP30" s="16">
        <f>IFERROR(__xludf.DUMMYFUNCTION("""COMPUTED_VALUE"""),6.0)</f>
        <v>6</v>
      </c>
      <c r="BQ30" s="16">
        <f>IFERROR(__xludf.DUMMYFUNCTION("""COMPUTED_VALUE"""),8.0)</f>
        <v>8</v>
      </c>
      <c r="BR30" s="16">
        <f>IFERROR(__xludf.DUMMYFUNCTION("""COMPUTED_VALUE"""),14.0)</f>
        <v>14</v>
      </c>
      <c r="BS30" s="16" t="str">
        <f>IFERROR(__xludf.DUMMYFUNCTION("""COMPUTED_VALUE"""),"5/- (16-6)")</f>
        <v>5/- (16-6)</v>
      </c>
      <c r="BT30" s="16" t="str">
        <f>IFERROR(__xludf.DUMMYFUNCTION("""COMPUTED_VALUE"""),"C")</f>
        <v>C</v>
      </c>
      <c r="BU30" s="16">
        <f>IFERROR(__xludf.DUMMYFUNCTION("""COMPUTED_VALUE"""),13.0)</f>
        <v>13</v>
      </c>
      <c r="BV30" s="16">
        <f>IFERROR(__xludf.DUMMYFUNCTION("""COMPUTED_VALUE"""),0.0)</f>
        <v>0</v>
      </c>
      <c r="BW30" s="16">
        <f>IFERROR(__xludf.DUMMYFUNCTION("""COMPUTED_VALUE"""),1.0)</f>
        <v>1</v>
      </c>
      <c r="BX30" s="16">
        <f>IFERROR(__xludf.DUMMYFUNCTION("""COMPUTED_VALUE"""),0.0)</f>
        <v>0</v>
      </c>
      <c r="BY30" s="16">
        <f>IFERROR(__xludf.DUMMYFUNCTION("""COMPUTED_VALUE"""),3.0)</f>
        <v>3</v>
      </c>
      <c r="BZ30" s="16" t="str">
        <f>IFERROR(__xludf.DUMMYFUNCTION("""COMPUTED_VALUE"""),"D")</f>
        <v>D</v>
      </c>
      <c r="CA30" s="16" t="str">
        <f>IFERROR(__xludf.DUMMYFUNCTION("""COMPUTED_VALUE"""),"B")</f>
        <v>B</v>
      </c>
      <c r="CB30" s="16">
        <f>IFERROR(__xludf.DUMMYFUNCTION("""COMPUTED_VALUE"""),0.0)</f>
        <v>0</v>
      </c>
      <c r="CC30" s="16">
        <f>IFERROR(__xludf.DUMMYFUNCTION("""COMPUTED_VALUE"""),1.0)</f>
        <v>1</v>
      </c>
      <c r="CD30" s="16">
        <f>IFERROR(__xludf.DUMMYFUNCTION("""COMPUTED_VALUE"""),0.0)</f>
        <v>0</v>
      </c>
      <c r="CE30" s="16">
        <f>IFERROR(__xludf.DUMMYFUNCTION("""COMPUTED_VALUE"""),2.0)</f>
        <v>2</v>
      </c>
      <c r="CF30" s="16">
        <f>IFERROR(__xludf.DUMMYFUNCTION("""COMPUTED_VALUE"""),1.0)</f>
        <v>1</v>
      </c>
      <c r="CG30" s="16">
        <f>IFERROR(__xludf.DUMMYFUNCTION("""COMPUTED_VALUE"""),13.0)</f>
        <v>13</v>
      </c>
      <c r="CH30" s="16">
        <f>IFERROR(__xludf.DUMMYFUNCTION("""COMPUTED_VALUE"""),22.0)</f>
        <v>22</v>
      </c>
      <c r="CI30" s="179">
        <f>IFERROR(__xludf.DUMMYFUNCTION("""COMPUTED_VALUE"""),27.0)</f>
        <v>27</v>
      </c>
      <c r="CJ30" s="16"/>
      <c r="CK30" s="16">
        <f>IFERROR(__xludf.DUMMYFUNCTION("""COMPUTED_VALUE"""),205.0)</f>
        <v>205</v>
      </c>
      <c r="CL30" s="16"/>
      <c r="CM30" s="16"/>
      <c r="CN30" s="16"/>
      <c r="CO30" s="16"/>
      <c r="CP30" s="16"/>
      <c r="CQ30" s="16"/>
      <c r="CR30" s="16" t="str">
        <f>IFERROR(__xludf.DUMMYFUNCTION("""COMPUTED_VALUE"""),"1b-2e5")</f>
        <v>1b-2e5</v>
      </c>
      <c r="CS30" s="16"/>
      <c r="CT30" s="16">
        <f>IFERROR(__xludf.DUMMYFUNCTION("""COMPUTED_VALUE"""),2.0)</f>
        <v>2</v>
      </c>
      <c r="CU30" s="16"/>
      <c r="CV30" s="16"/>
      <c r="CW30" s="16"/>
      <c r="CX30" s="16"/>
      <c r="CY30" s="16"/>
      <c r="CZ30" s="16"/>
      <c r="DA30" s="16"/>
      <c r="DB30" s="16">
        <f>IFERROR(__xludf.DUMMYFUNCTION("""COMPUTED_VALUE"""),5.0)</f>
        <v>5</v>
      </c>
      <c r="DC30" s="16"/>
      <c r="DD30" s="16"/>
      <c r="DE30" s="16"/>
      <c r="DF30" s="16"/>
      <c r="DG30" s="16"/>
      <c r="DH30" s="16"/>
      <c r="DI30" s="16"/>
      <c r="DJ30" s="16">
        <f>IFERROR(__xludf.DUMMYFUNCTION("""COMPUTED_VALUE"""),3.0)</f>
        <v>3</v>
      </c>
      <c r="DK30" s="16"/>
      <c r="DL30" s="16"/>
      <c r="DM30" s="16"/>
      <c r="DN30" s="16"/>
      <c r="DO30" s="16"/>
      <c r="DP30" s="16"/>
      <c r="DQ30" s="16"/>
      <c r="DR30" s="16">
        <f>IFERROR(__xludf.DUMMYFUNCTION("""COMPUTED_VALUE"""),2.0)</f>
        <v>2</v>
      </c>
      <c r="DS30" s="16"/>
      <c r="DT30" s="16"/>
      <c r="DU30" s="16"/>
      <c r="DV30" s="16"/>
      <c r="DW30" s="16"/>
      <c r="DX30" s="16"/>
      <c r="DY30" s="16"/>
      <c r="DZ30" s="16">
        <f>IFERROR(__xludf.DUMMYFUNCTION("""COMPUTED_VALUE"""),5.0)</f>
        <v>5</v>
      </c>
      <c r="EA30" s="16"/>
      <c r="EB30" s="16"/>
      <c r="EC30" s="16"/>
      <c r="ED30" s="16"/>
      <c r="EE30" s="16"/>
      <c r="EF30" s="16"/>
      <c r="EG30" s="179"/>
      <c r="EH30" s="179">
        <f>IFERROR(__xludf.DUMMYFUNCTION("""COMPUTED_VALUE"""),32.0)</f>
        <v>32</v>
      </c>
      <c r="EI30" s="179"/>
      <c r="EJ30" s="179"/>
      <c r="EK30" s="179"/>
      <c r="EL30" s="179"/>
      <c r="EM30" s="179"/>
      <c r="EN30" s="179"/>
      <c r="EO30" s="16"/>
      <c r="EP30" s="16">
        <f>IFERROR(__xludf.DUMMYFUNCTION("""COMPUTED_VALUE"""),-1.0)</f>
        <v>-1</v>
      </c>
      <c r="EQ30" s="16">
        <f>IFERROR(__xludf.DUMMYFUNCTION("""COMPUTED_VALUE"""),4.0)</f>
        <v>4</v>
      </c>
      <c r="ER30" s="16">
        <f>IFERROR(__xludf.DUMMYFUNCTION("""COMPUTED_VALUE"""),2.0)</f>
        <v>2</v>
      </c>
      <c r="ES30" s="16"/>
      <c r="ET30" s="16"/>
      <c r="EU30" s="16"/>
      <c r="EV30" s="16"/>
      <c r="EW30" s="16"/>
      <c r="EX30" s="180"/>
      <c r="EY30" s="180">
        <f>IFERROR(__xludf.DUMMYFUNCTION("""COMPUTED_VALUE"""),0.1)</f>
        <v>0.1</v>
      </c>
      <c r="EZ30" s="180"/>
      <c r="FA30" s="180"/>
      <c r="FB30" s="180"/>
      <c r="FC30" s="180"/>
      <c r="FD30" s="180"/>
      <c r="FE30" s="180"/>
      <c r="FF30" s="180"/>
      <c r="FG30" s="180">
        <f>IFERROR(__xludf.DUMMYFUNCTION("""COMPUTED_VALUE"""),0.08796296296296297)</f>
        <v>0.08796296296</v>
      </c>
      <c r="FH30" s="180"/>
      <c r="FI30" s="180"/>
      <c r="FJ30" s="180"/>
      <c r="FK30" s="180"/>
      <c r="FL30" s="180"/>
      <c r="FM30" s="180"/>
      <c r="FN30" s="16"/>
      <c r="FO30" s="16">
        <f>IFERROR(__xludf.DUMMYFUNCTION("""COMPUTED_VALUE"""),0.8208333333333333)</f>
        <v>0.8208333333</v>
      </c>
      <c r="FP30" s="16"/>
      <c r="FQ30" s="16"/>
      <c r="FR30" s="16"/>
      <c r="FS30" s="16"/>
      <c r="FT30" s="16"/>
      <c r="FU30" s="16"/>
      <c r="FV30" s="16"/>
      <c r="FW30" s="16">
        <f>IFERROR(__xludf.DUMMYFUNCTION("""COMPUTED_VALUE"""),1.0)</f>
        <v>1</v>
      </c>
      <c r="FX30" s="16"/>
      <c r="FY30" s="16"/>
      <c r="FZ30" s="16"/>
      <c r="GA30" s="16"/>
      <c r="GB30" s="16"/>
      <c r="GC30" s="16"/>
      <c r="GD30" s="16" t="s">
        <v>292</v>
      </c>
    </row>
    <row r="31">
      <c r="A31" s="16">
        <f>IFERROR(__xludf.DUMMYFUNCTION("""COMPUTED_VALUE"""),12652.0)</f>
        <v>12652</v>
      </c>
      <c r="B31" s="16" t="str">
        <f>IFERROR(__xludf.DUMMYFUNCTION("""COMPUTED_VALUE"""),"Carlos Correa")</f>
        <v>Carlos Correa</v>
      </c>
      <c r="C31" s="16">
        <f>IFERROR(__xludf.DUMMYFUNCTION("""COMPUTED_VALUE"""),2.92)</f>
        <v>2.92</v>
      </c>
      <c r="D31" s="16" t="str">
        <f>IFERROR(__xludf.DUMMYFUNCTION("""COMPUTED_VALUE"""),"R")</f>
        <v>R</v>
      </c>
      <c r="E31" s="16"/>
      <c r="F31" s="16"/>
      <c r="G31" s="16">
        <f>IFERROR(__xludf.DUMMYFUNCTION("""COMPUTED_VALUE"""),319.0)</f>
        <v>319</v>
      </c>
      <c r="H31" s="16">
        <f>IFERROR(__xludf.DUMMYFUNCTION("""COMPUTED_VALUE"""),40.0)</f>
        <v>40</v>
      </c>
      <c r="I31" s="16" t="str">
        <f>IFERROR(__xludf.DUMMYFUNCTION("""COMPUTED_VALUE"""),"4p40")</f>
        <v>4p40</v>
      </c>
      <c r="J31" s="16">
        <f>IFERROR(__xludf.DUMMYFUNCTION("""COMPUTED_VALUE"""),13.0)</f>
        <v>13</v>
      </c>
      <c r="K31" s="16">
        <f>IFERROR(__xludf.DUMMYFUNCTION("""COMPUTED_VALUE"""),11.0)</f>
        <v>11</v>
      </c>
      <c r="L31" s="16">
        <f>IFERROR(__xludf.DUMMYFUNCTION("""COMPUTED_VALUE"""),1.0)</f>
        <v>1</v>
      </c>
      <c r="M31" s="16">
        <f>IFERROR(__xludf.DUMMYFUNCTION("""COMPUTED_VALUE"""),1.0)</f>
        <v>1</v>
      </c>
      <c r="N31" s="16">
        <f>IFERROR(__xludf.DUMMYFUNCTION("""COMPUTED_VALUE"""),1.0)</f>
        <v>1</v>
      </c>
      <c r="O31" s="16">
        <f>IFERROR(__xludf.DUMMYFUNCTION("""COMPUTED_VALUE"""),1.0)</f>
        <v>1</v>
      </c>
      <c r="P31" s="16">
        <f>IFERROR(__xludf.DUMMYFUNCTION("""COMPUTED_VALUE"""),9.0)</f>
        <v>9</v>
      </c>
      <c r="Q31" s="16">
        <f>IFERROR(__xludf.DUMMYFUNCTION("""COMPUTED_VALUE"""),15.0)</f>
        <v>15</v>
      </c>
      <c r="R31" s="16">
        <f>IFERROR(__xludf.DUMMYFUNCTION("""COMPUTED_VALUE"""),0.0)</f>
        <v>0</v>
      </c>
      <c r="S31" s="16">
        <f>IFERROR(__xludf.DUMMYFUNCTION("""COMPUTED_VALUE"""),2.0)</f>
        <v>2</v>
      </c>
      <c r="T31" s="16">
        <f>IFERROR(__xludf.DUMMYFUNCTION("""COMPUTED_VALUE"""),0.0)</f>
        <v>0</v>
      </c>
      <c r="U31" s="16">
        <f>IFERROR(__xludf.DUMMYFUNCTION("""COMPUTED_VALUE"""),2.0)</f>
        <v>2</v>
      </c>
      <c r="V31" s="16">
        <f>IFERROR(__xludf.DUMMYFUNCTION("""COMPUTED_VALUE"""),30.5)</f>
        <v>30.5</v>
      </c>
      <c r="W31" s="16">
        <f>IFERROR(__xludf.DUMMYFUNCTION("""COMPUTED_VALUE"""),30.3)</f>
        <v>30.3</v>
      </c>
      <c r="X31" s="16">
        <f>IFERROR(__xludf.DUMMYFUNCTION("""COMPUTED_VALUE"""),2.0)</f>
        <v>2</v>
      </c>
      <c r="Y31" s="16">
        <f>IFERROR(__xludf.DUMMYFUNCTION("""COMPUTED_VALUE"""),2.0)</f>
        <v>2</v>
      </c>
      <c r="Z31" s="16">
        <f>IFERROR(__xludf.DUMMYFUNCTION("""COMPUTED_VALUE"""),4.0)</f>
        <v>4</v>
      </c>
      <c r="AA31" s="16">
        <f>IFERROR(__xludf.DUMMYFUNCTION("""COMPUTED_VALUE"""),4.0)</f>
        <v>4</v>
      </c>
      <c r="AB31" s="16">
        <f>IFERROR(__xludf.DUMMYFUNCTION("""COMPUTED_VALUE"""),41.5)</f>
        <v>41.5</v>
      </c>
      <c r="AC31" s="16">
        <f>IFERROR(__xludf.DUMMYFUNCTION("""COMPUTED_VALUE"""),47.3)</f>
        <v>47.3</v>
      </c>
      <c r="AD31" s="16">
        <f>IFERROR(__xludf.DUMMYFUNCTION("""COMPUTED_VALUE"""),1.0)</f>
        <v>1</v>
      </c>
      <c r="AE31" s="16">
        <f>IFERROR(__xludf.DUMMYFUNCTION("""COMPUTED_VALUE"""),2.0)</f>
        <v>2</v>
      </c>
      <c r="AF31" s="16">
        <f>IFERROR(__xludf.DUMMYFUNCTION("""COMPUTED_VALUE"""),5.0)</f>
        <v>5</v>
      </c>
      <c r="AG31" s="16">
        <f>IFERROR(__xludf.DUMMYFUNCTION("""COMPUTED_VALUE"""),10.0)</f>
        <v>10</v>
      </c>
      <c r="AH31" s="16">
        <f>IFERROR(__xludf.DUMMYFUNCTION("""COMPUTED_VALUE"""),57.4)</f>
        <v>57.4</v>
      </c>
      <c r="AI31" s="16">
        <f>IFERROR(__xludf.DUMMYFUNCTION("""COMPUTED_VALUE"""),45.1)</f>
        <v>45.1</v>
      </c>
      <c r="AJ31" s="16">
        <f>IFERROR(__xludf.DUMMYFUNCTION("""COMPUTED_VALUE"""),2.0)</f>
        <v>2</v>
      </c>
      <c r="AK31" s="16">
        <f>IFERROR(__xludf.DUMMYFUNCTION("""COMPUTED_VALUE"""),1.0)</f>
        <v>1</v>
      </c>
      <c r="AL31" s="16">
        <f>IFERROR(__xludf.DUMMYFUNCTION("""COMPUTED_VALUE"""),10.0)</f>
        <v>10</v>
      </c>
      <c r="AM31" s="16">
        <f>IFERROR(__xludf.DUMMYFUNCTION("""COMPUTED_VALUE"""),5.0)</f>
        <v>5</v>
      </c>
      <c r="AN31" s="16">
        <f>IFERROR(__xludf.DUMMYFUNCTION("""COMPUTED_VALUE"""),6.0)</f>
        <v>6</v>
      </c>
      <c r="AO31" s="16">
        <f>IFERROR(__xludf.DUMMYFUNCTION("""COMPUTED_VALUE"""),2.1)</f>
        <v>2.1</v>
      </c>
      <c r="AP31" s="16">
        <f>IFERROR(__xludf.DUMMYFUNCTION("""COMPUTED_VALUE"""),3.0)</f>
        <v>3</v>
      </c>
      <c r="AQ31" s="16">
        <f>IFERROR(__xludf.DUMMYFUNCTION("""COMPUTED_VALUE"""),0.0)</f>
        <v>0</v>
      </c>
      <c r="AR31" s="16">
        <f>IFERROR(__xludf.DUMMYFUNCTION("""COMPUTED_VALUE"""),6.0)</f>
        <v>6</v>
      </c>
      <c r="AS31" s="16">
        <f>IFERROR(__xludf.DUMMYFUNCTION("""COMPUTED_VALUE"""),0.0)</f>
        <v>0</v>
      </c>
      <c r="AT31" s="16">
        <f>IFERROR(__xludf.DUMMYFUNCTION("""COMPUTED_VALUE"""),8.0)</f>
        <v>8</v>
      </c>
      <c r="AU31" s="16">
        <f>IFERROR(__xludf.DUMMYFUNCTION("""COMPUTED_VALUE"""),4.0)</f>
        <v>4</v>
      </c>
      <c r="AV31" s="16">
        <f>IFERROR(__xludf.DUMMYFUNCTION("""COMPUTED_VALUE"""),8.0)</f>
        <v>8</v>
      </c>
      <c r="AW31" s="16">
        <f>IFERROR(__xludf.DUMMYFUNCTION("""COMPUTED_VALUE"""),4.0)</f>
        <v>4</v>
      </c>
      <c r="AX31" s="16">
        <f>IFERROR(__xludf.DUMMYFUNCTION("""COMPUTED_VALUE"""),3.0)</f>
        <v>3</v>
      </c>
      <c r="AY31" s="16">
        <f>IFERROR(__xludf.DUMMYFUNCTION("""COMPUTED_VALUE"""),1.0)</f>
        <v>1</v>
      </c>
      <c r="AZ31" s="16">
        <f>IFERROR(__xludf.DUMMYFUNCTION("""COMPUTED_VALUE"""),9.0)</f>
        <v>9</v>
      </c>
      <c r="BA31" s="16">
        <f>IFERROR(__xludf.DUMMYFUNCTION("""COMPUTED_VALUE"""),3.0)</f>
        <v>3</v>
      </c>
      <c r="BB31" s="16">
        <f>IFERROR(__xludf.DUMMYFUNCTION("""COMPUTED_VALUE"""),5.0)</f>
        <v>5</v>
      </c>
      <c r="BC31" s="16">
        <f>IFERROR(__xludf.DUMMYFUNCTION("""COMPUTED_VALUE"""),5.0)</f>
        <v>5</v>
      </c>
      <c r="BD31" s="16">
        <f>IFERROR(__xludf.DUMMYFUNCTION("""COMPUTED_VALUE"""),1.0)</f>
        <v>1</v>
      </c>
      <c r="BE31" s="16">
        <f>IFERROR(__xludf.DUMMYFUNCTION("""COMPUTED_VALUE"""),1.0)</f>
        <v>1</v>
      </c>
      <c r="BF31" s="16">
        <f>IFERROR(__xludf.DUMMYFUNCTION("""COMPUTED_VALUE"""),1.0)</f>
        <v>1</v>
      </c>
      <c r="BG31" s="16">
        <f>IFERROR(__xludf.DUMMYFUNCTION("""COMPUTED_VALUE"""),1.0)</f>
        <v>1</v>
      </c>
      <c r="BH31" s="16">
        <f>IFERROR(__xludf.DUMMYFUNCTION("""COMPUTED_VALUE"""),-4.0)</f>
        <v>-4</v>
      </c>
      <c r="BI31" s="16">
        <f>IFERROR(__xludf.DUMMYFUNCTION("""COMPUTED_VALUE"""),-4.0)</f>
        <v>-4</v>
      </c>
      <c r="BJ31" s="16">
        <f>IFERROR(__xludf.DUMMYFUNCTION("""COMPUTED_VALUE"""),11.0)</f>
        <v>11</v>
      </c>
      <c r="BK31" s="16">
        <f>IFERROR(__xludf.DUMMYFUNCTION("""COMPUTED_VALUE"""),9.0)</f>
        <v>9</v>
      </c>
      <c r="BL31" s="16">
        <f>IFERROR(__xludf.DUMMYFUNCTION("""COMPUTED_VALUE"""),0.0)</f>
        <v>0</v>
      </c>
      <c r="BM31" s="16">
        <f>IFERROR(__xludf.DUMMYFUNCTION("""COMPUTED_VALUE"""),1.0)</f>
        <v>1</v>
      </c>
      <c r="BN31" s="16">
        <f>IFERROR(__xludf.DUMMYFUNCTION("""COMPUTED_VALUE"""),0.0)</f>
        <v>0</v>
      </c>
      <c r="BO31" s="16">
        <f>IFERROR(__xludf.DUMMYFUNCTION("""COMPUTED_VALUE"""),1.0)</f>
        <v>1</v>
      </c>
      <c r="BP31" s="16">
        <f>IFERROR(__xludf.DUMMYFUNCTION("""COMPUTED_VALUE"""),13.0)</f>
        <v>13</v>
      </c>
      <c r="BQ31" s="16">
        <f>IFERROR(__xludf.DUMMYFUNCTION("""COMPUTED_VALUE"""),11.0)</f>
        <v>11</v>
      </c>
      <c r="BR31" s="16">
        <f>IFERROR(__xludf.DUMMYFUNCTION("""COMPUTED_VALUE"""),24.0)</f>
        <v>24</v>
      </c>
      <c r="BS31" s="16" t="str">
        <f>IFERROR(__xludf.DUMMYFUNCTION("""COMPUTED_VALUE"""),"-/- (---)")</f>
        <v>-/- (---)</v>
      </c>
      <c r="BT31" s="16" t="str">
        <f>IFERROR(__xludf.DUMMYFUNCTION("""COMPUTED_VALUE"""),"E")</f>
        <v>E</v>
      </c>
      <c r="BU31" s="16">
        <f>IFERROR(__xludf.DUMMYFUNCTION("""COMPUTED_VALUE"""),12.0)</f>
        <v>12</v>
      </c>
      <c r="BV31" s="16">
        <f>IFERROR(__xludf.DUMMYFUNCTION("""COMPUTED_VALUE"""),0.0)</f>
        <v>0</v>
      </c>
      <c r="BW31" s="16">
        <f>IFERROR(__xludf.DUMMYFUNCTION("""COMPUTED_VALUE"""),0.0)</f>
        <v>0</v>
      </c>
      <c r="BX31" s="16">
        <f>IFERROR(__xludf.DUMMYFUNCTION("""COMPUTED_VALUE"""),0.0)</f>
        <v>0</v>
      </c>
      <c r="BY31" s="16">
        <f>IFERROR(__xludf.DUMMYFUNCTION("""COMPUTED_VALUE"""),0.0)</f>
        <v>0</v>
      </c>
      <c r="BZ31" s="16" t="str">
        <f>IFERROR(__xludf.DUMMYFUNCTION("""COMPUTED_VALUE"""),"D")</f>
        <v>D</v>
      </c>
      <c r="CA31" s="16" t="str">
        <f>IFERROR(__xludf.DUMMYFUNCTION("""COMPUTED_VALUE"""),"C")</f>
        <v>C</v>
      </c>
      <c r="CB31" s="16">
        <f>IFERROR(__xludf.DUMMYFUNCTION("""COMPUTED_VALUE"""),0.0)</f>
        <v>0</v>
      </c>
      <c r="CC31" s="16">
        <f>IFERROR(__xludf.DUMMYFUNCTION("""COMPUTED_VALUE"""),0.0)</f>
        <v>0</v>
      </c>
      <c r="CD31" s="16">
        <f>IFERROR(__xludf.DUMMYFUNCTION("""COMPUTED_VALUE"""),0.0)</f>
        <v>0</v>
      </c>
      <c r="CE31" s="16">
        <f>IFERROR(__xludf.DUMMYFUNCTION("""COMPUTED_VALUE"""),0.0)</f>
        <v>0</v>
      </c>
      <c r="CF31" s="16">
        <f>IFERROR(__xludf.DUMMYFUNCTION("""COMPUTED_VALUE"""),4.0)</f>
        <v>4</v>
      </c>
      <c r="CG31" s="16">
        <f>IFERROR(__xludf.DUMMYFUNCTION("""COMPUTED_VALUE"""),36.0)</f>
        <v>36</v>
      </c>
      <c r="CH31" s="16">
        <f>IFERROR(__xludf.DUMMYFUNCTION("""COMPUTED_VALUE"""),27.0)</f>
        <v>27</v>
      </c>
      <c r="CI31" s="179">
        <f>IFERROR(__xludf.DUMMYFUNCTION("""COMPUTED_VALUE"""),27.0)</f>
        <v>27</v>
      </c>
      <c r="CJ31" s="16"/>
      <c r="CK31" s="16"/>
      <c r="CL31" s="16"/>
      <c r="CM31" s="16"/>
      <c r="CN31" s="16">
        <f>IFERROR(__xludf.DUMMYFUNCTION("""COMPUTED_VALUE"""),110.0)</f>
        <v>110</v>
      </c>
      <c r="CO31" s="16"/>
      <c r="CP31" s="16"/>
      <c r="CQ31" s="16"/>
      <c r="CR31" s="16" t="str">
        <f>IFERROR(__xludf.DUMMYFUNCTION("""COMPUTED_VALUE"""),"ss-1e10")</f>
        <v>ss-1e10</v>
      </c>
      <c r="CS31" s="16"/>
      <c r="CT31" s="16"/>
      <c r="CU31" s="16"/>
      <c r="CV31" s="16"/>
      <c r="CW31" s="16">
        <f>IFERROR(__xludf.DUMMYFUNCTION("""COMPUTED_VALUE"""),1.0)</f>
        <v>1</v>
      </c>
      <c r="CX31" s="16"/>
      <c r="CY31" s="16"/>
      <c r="CZ31" s="16"/>
      <c r="DA31" s="16"/>
      <c r="DB31" s="16"/>
      <c r="DC31" s="16"/>
      <c r="DD31" s="16"/>
      <c r="DE31" s="16">
        <f>IFERROR(__xludf.DUMMYFUNCTION("""COMPUTED_VALUE"""),10.0)</f>
        <v>10</v>
      </c>
      <c r="DF31" s="16"/>
      <c r="DG31" s="16"/>
      <c r="DH31" s="16"/>
      <c r="DI31" s="16"/>
      <c r="DJ31" s="16"/>
      <c r="DK31" s="16"/>
      <c r="DL31" s="16"/>
      <c r="DM31" s="16">
        <f>IFERROR(__xludf.DUMMYFUNCTION("""COMPUTED_VALUE"""),5.0)</f>
        <v>5</v>
      </c>
      <c r="DN31" s="16"/>
      <c r="DO31" s="16"/>
      <c r="DP31" s="16"/>
      <c r="DQ31" s="16"/>
      <c r="DR31" s="16"/>
      <c r="DS31" s="16"/>
      <c r="DT31" s="16"/>
      <c r="DU31" s="16">
        <f>IFERROR(__xludf.DUMMYFUNCTION("""COMPUTED_VALUE"""),3.0)</f>
        <v>3</v>
      </c>
      <c r="DV31" s="16"/>
      <c r="DW31" s="16"/>
      <c r="DX31" s="16"/>
      <c r="DY31" s="16"/>
      <c r="DZ31" s="16"/>
      <c r="EA31" s="16"/>
      <c r="EB31" s="16"/>
      <c r="EC31" s="16">
        <f>IFERROR(__xludf.DUMMYFUNCTION("""COMPUTED_VALUE"""),8.0)</f>
        <v>8</v>
      </c>
      <c r="ED31" s="16"/>
      <c r="EE31" s="16"/>
      <c r="EF31" s="16"/>
      <c r="EG31" s="179"/>
      <c r="EH31" s="179"/>
      <c r="EI31" s="179"/>
      <c r="EJ31" s="179"/>
      <c r="EK31" s="179">
        <f>IFERROR(__xludf.DUMMYFUNCTION("""COMPUTED_VALUE"""),35.0)</f>
        <v>35</v>
      </c>
      <c r="EL31" s="179"/>
      <c r="EM31" s="179"/>
      <c r="EN31" s="179"/>
      <c r="EO31" s="16"/>
      <c r="EP31" s="16">
        <f>IFERROR(__xludf.DUMMYFUNCTION("""COMPUTED_VALUE"""),1.0)</f>
        <v>1</v>
      </c>
      <c r="EQ31" s="16">
        <f>IFERROR(__xludf.DUMMYFUNCTION("""COMPUTED_VALUE"""),-1.0)</f>
        <v>-1</v>
      </c>
      <c r="ER31" s="16">
        <f>IFERROR(__xludf.DUMMYFUNCTION("""COMPUTED_VALUE"""),-1.0)</f>
        <v>-1</v>
      </c>
      <c r="ES31" s="16"/>
      <c r="ET31" s="16"/>
      <c r="EU31" s="16"/>
      <c r="EV31" s="16"/>
      <c r="EW31" s="16"/>
      <c r="EX31" s="180"/>
      <c r="EY31" s="180"/>
      <c r="EZ31" s="180"/>
      <c r="FA31" s="180"/>
      <c r="FB31" s="180">
        <f>IFERROR(__xludf.DUMMYFUNCTION("""COMPUTED_VALUE"""),0.0)</f>
        <v>0</v>
      </c>
      <c r="FC31" s="180"/>
      <c r="FD31" s="180"/>
      <c r="FE31" s="180"/>
      <c r="FF31" s="180"/>
      <c r="FG31" s="180"/>
      <c r="FH31" s="180"/>
      <c r="FI31" s="180"/>
      <c r="FJ31" s="180">
        <f>IFERROR(__xludf.DUMMYFUNCTION("""COMPUTED_VALUE"""),0.05092592592592592)</f>
        <v>0.05092592593</v>
      </c>
      <c r="FK31" s="180"/>
      <c r="FL31" s="180"/>
      <c r="FM31" s="180"/>
      <c r="FN31" s="16"/>
      <c r="FO31" s="16"/>
      <c r="FP31" s="16"/>
      <c r="FQ31" s="16"/>
      <c r="FR31" s="16">
        <f>IFERROR(__xludf.DUMMYFUNCTION("""COMPUTED_VALUE"""),0.9490740740740741)</f>
        <v>0.9490740741</v>
      </c>
      <c r="FS31" s="16"/>
      <c r="FT31" s="16"/>
      <c r="FU31" s="16"/>
      <c r="FV31" s="16"/>
      <c r="FW31" s="16"/>
      <c r="FX31" s="16"/>
      <c r="FY31" s="16"/>
      <c r="FZ31" s="16">
        <f>IFERROR(__xludf.DUMMYFUNCTION("""COMPUTED_VALUE"""),6.0)</f>
        <v>6</v>
      </c>
      <c r="GA31" s="16"/>
      <c r="GB31" s="16"/>
      <c r="GC31" s="16"/>
      <c r="GD31" s="16" t="s">
        <v>361</v>
      </c>
    </row>
    <row r="32">
      <c r="A32" s="16">
        <f>IFERROR(__xludf.DUMMYFUNCTION("""COMPUTED_VALUE"""),13158.0)</f>
        <v>13158</v>
      </c>
      <c r="B32" s="16" t="str">
        <f>IFERROR(__xludf.DUMMYFUNCTION("""COMPUTED_VALUE"""),"Mark Vientos")</f>
        <v>Mark Vientos</v>
      </c>
      <c r="C32" s="16">
        <f>IFERROR(__xludf.DUMMYFUNCTION("""COMPUTED_VALUE"""),1.98)</f>
        <v>1.98</v>
      </c>
      <c r="D32" s="16" t="str">
        <f>IFERROR(__xludf.DUMMYFUNCTION("""COMPUTED_VALUE"""),"R")</f>
        <v>R</v>
      </c>
      <c r="E32" s="16"/>
      <c r="F32" s="16"/>
      <c r="G32" s="16">
        <f>IFERROR(__xludf.DUMMYFUNCTION("""COMPUTED_VALUE"""),413.0)</f>
        <v>413</v>
      </c>
      <c r="H32" s="16">
        <f>IFERROR(__xludf.DUMMYFUNCTION("""COMPUTED_VALUE"""),33.0)</f>
        <v>33</v>
      </c>
      <c r="I32" s="16" t="str">
        <f>IFERROR(__xludf.DUMMYFUNCTION("""COMPUTED_VALUE"""),"1p50")</f>
        <v>1p50</v>
      </c>
      <c r="J32" s="16">
        <f>IFERROR(__xludf.DUMMYFUNCTION("""COMPUTED_VALUE"""),42.0)</f>
        <v>42</v>
      </c>
      <c r="K32" s="16">
        <f>IFERROR(__xludf.DUMMYFUNCTION("""COMPUTED_VALUE"""),38.0)</f>
        <v>38</v>
      </c>
      <c r="L32" s="16">
        <f>IFERROR(__xludf.DUMMYFUNCTION("""COMPUTED_VALUE"""),-1.0)</f>
        <v>-1</v>
      </c>
      <c r="M32" s="16">
        <f>IFERROR(__xludf.DUMMYFUNCTION("""COMPUTED_VALUE"""),-1.0)</f>
        <v>-1</v>
      </c>
      <c r="N32" s="16">
        <f>IFERROR(__xludf.DUMMYFUNCTION("""COMPUTED_VALUE"""),-1.0)</f>
        <v>-1</v>
      </c>
      <c r="O32" s="16">
        <f>IFERROR(__xludf.DUMMYFUNCTION("""COMPUTED_VALUE"""),-1.0)</f>
        <v>-1</v>
      </c>
      <c r="P32" s="16">
        <f>IFERROR(__xludf.DUMMYFUNCTION("""COMPUTED_VALUE"""),4.0)</f>
        <v>4</v>
      </c>
      <c r="Q32" s="16">
        <f>IFERROR(__xludf.DUMMYFUNCTION("""COMPUTED_VALUE"""),10.0)</f>
        <v>10</v>
      </c>
      <c r="R32" s="16">
        <f>IFERROR(__xludf.DUMMYFUNCTION("""COMPUTED_VALUE"""),-2.0)</f>
        <v>-2</v>
      </c>
      <c r="S32" s="16">
        <f>IFERROR(__xludf.DUMMYFUNCTION("""COMPUTED_VALUE"""),0.0)</f>
        <v>0</v>
      </c>
      <c r="T32" s="16">
        <f>IFERROR(__xludf.DUMMYFUNCTION("""COMPUTED_VALUE"""),-2.0)</f>
        <v>-2</v>
      </c>
      <c r="U32" s="16">
        <f>IFERROR(__xludf.DUMMYFUNCTION("""COMPUTED_VALUE"""),0.0)</f>
        <v>0</v>
      </c>
      <c r="V32" s="16">
        <f>IFERROR(__xludf.DUMMYFUNCTION("""COMPUTED_VALUE"""),29.8)</f>
        <v>29.8</v>
      </c>
      <c r="W32" s="16">
        <f>IFERROR(__xludf.DUMMYFUNCTION("""COMPUTED_VALUE"""),18.5)</f>
        <v>18.5</v>
      </c>
      <c r="X32" s="16">
        <f>IFERROR(__xludf.DUMMYFUNCTION("""COMPUTED_VALUE"""),2.0)</f>
        <v>2</v>
      </c>
      <c r="Y32" s="16">
        <f>IFERROR(__xludf.DUMMYFUNCTION("""COMPUTED_VALUE"""),0.0)</f>
        <v>0</v>
      </c>
      <c r="Z32" s="16">
        <f>IFERROR(__xludf.DUMMYFUNCTION("""COMPUTED_VALUE"""),4.0)</f>
        <v>4</v>
      </c>
      <c r="AA32" s="16">
        <f>IFERROR(__xludf.DUMMYFUNCTION("""COMPUTED_VALUE"""),0.0)</f>
        <v>0</v>
      </c>
      <c r="AB32" s="16">
        <f>IFERROR(__xludf.DUMMYFUNCTION("""COMPUTED_VALUE"""),35.8)</f>
        <v>35.8</v>
      </c>
      <c r="AC32" s="16">
        <f>IFERROR(__xludf.DUMMYFUNCTION("""COMPUTED_VALUE"""),30.5)</f>
        <v>30.5</v>
      </c>
      <c r="AD32" s="16">
        <f>IFERROR(__xludf.DUMMYFUNCTION("""COMPUTED_VALUE"""),1.0)</f>
        <v>1</v>
      </c>
      <c r="AE32" s="16">
        <f>IFERROR(__xludf.DUMMYFUNCTION("""COMPUTED_VALUE"""),0.0)</f>
        <v>0</v>
      </c>
      <c r="AF32" s="16">
        <f>IFERROR(__xludf.DUMMYFUNCTION("""COMPUTED_VALUE"""),5.0)</f>
        <v>5</v>
      </c>
      <c r="AG32" s="16">
        <f>IFERROR(__xludf.DUMMYFUNCTION("""COMPUTED_VALUE"""),0.0)</f>
        <v>0</v>
      </c>
      <c r="AH32" s="16">
        <f>IFERROR(__xludf.DUMMYFUNCTION("""COMPUTED_VALUE"""),53.8)</f>
        <v>53.8</v>
      </c>
      <c r="AI32" s="16">
        <f>IFERROR(__xludf.DUMMYFUNCTION("""COMPUTED_VALUE"""),39.6)</f>
        <v>39.6</v>
      </c>
      <c r="AJ32" s="16">
        <f>IFERROR(__xludf.DUMMYFUNCTION("""COMPUTED_VALUE"""),2.0)</f>
        <v>2</v>
      </c>
      <c r="AK32" s="16">
        <f>IFERROR(__xludf.DUMMYFUNCTION("""COMPUTED_VALUE"""),1.0)</f>
        <v>1</v>
      </c>
      <c r="AL32" s="16">
        <f>IFERROR(__xludf.DUMMYFUNCTION("""COMPUTED_VALUE"""),10.0)</f>
        <v>10</v>
      </c>
      <c r="AM32" s="16">
        <f>IFERROR(__xludf.DUMMYFUNCTION("""COMPUTED_VALUE"""),5.0)</f>
        <v>5</v>
      </c>
      <c r="AN32" s="16">
        <f>IFERROR(__xludf.DUMMYFUNCTION("""COMPUTED_VALUE"""),4.3)</f>
        <v>4.3</v>
      </c>
      <c r="AO32" s="16">
        <f>IFERROR(__xludf.DUMMYFUNCTION("""COMPUTED_VALUE"""),6.2)</f>
        <v>6.2</v>
      </c>
      <c r="AP32" s="16">
        <f>IFERROR(__xludf.DUMMYFUNCTION("""COMPUTED_VALUE"""),2.0)</f>
        <v>2</v>
      </c>
      <c r="AQ32" s="16">
        <f>IFERROR(__xludf.DUMMYFUNCTION("""COMPUTED_VALUE"""),3.0)</f>
        <v>3</v>
      </c>
      <c r="AR32" s="16">
        <f>IFERROR(__xludf.DUMMYFUNCTION("""COMPUTED_VALUE"""),4.0)</f>
        <v>4</v>
      </c>
      <c r="AS32" s="16">
        <f>IFERROR(__xludf.DUMMYFUNCTION("""COMPUTED_VALUE"""),6.0)</f>
        <v>6</v>
      </c>
      <c r="AT32" s="16">
        <f>IFERROR(__xludf.DUMMYFUNCTION("""COMPUTED_VALUE"""),6.0)</f>
        <v>6</v>
      </c>
      <c r="AU32" s="16">
        <f>IFERROR(__xludf.DUMMYFUNCTION("""COMPUTED_VALUE"""),8.0)</f>
        <v>8</v>
      </c>
      <c r="AV32" s="16">
        <f>IFERROR(__xludf.DUMMYFUNCTION("""COMPUTED_VALUE"""),6.0)</f>
        <v>6</v>
      </c>
      <c r="AW32" s="16">
        <f>IFERROR(__xludf.DUMMYFUNCTION("""COMPUTED_VALUE"""),8.0)</f>
        <v>8</v>
      </c>
      <c r="AX32" s="16">
        <f>IFERROR(__xludf.DUMMYFUNCTION("""COMPUTED_VALUE"""),3.0)</f>
        <v>3</v>
      </c>
      <c r="AY32" s="16">
        <f>IFERROR(__xludf.DUMMYFUNCTION("""COMPUTED_VALUE"""),3.0)</f>
        <v>3</v>
      </c>
      <c r="AZ32" s="16">
        <f>IFERROR(__xludf.DUMMYFUNCTION("""COMPUTED_VALUE"""),9.0)</f>
        <v>9</v>
      </c>
      <c r="BA32" s="16">
        <f>IFERROR(__xludf.DUMMYFUNCTION("""COMPUTED_VALUE"""),9.0)</f>
        <v>9</v>
      </c>
      <c r="BB32" s="16">
        <f>IFERROR(__xludf.DUMMYFUNCTION("""COMPUTED_VALUE"""),5.0)</f>
        <v>5</v>
      </c>
      <c r="BC32" s="16">
        <f>IFERROR(__xludf.DUMMYFUNCTION("""COMPUTED_VALUE"""),5.0)</f>
        <v>5</v>
      </c>
      <c r="BD32" s="16">
        <f>IFERROR(__xludf.DUMMYFUNCTION("""COMPUTED_VALUE"""),1.0)</f>
        <v>1</v>
      </c>
      <c r="BE32" s="16">
        <f>IFERROR(__xludf.DUMMYFUNCTION("""COMPUTED_VALUE"""),1.0)</f>
        <v>1</v>
      </c>
      <c r="BF32" s="16">
        <f>IFERROR(__xludf.DUMMYFUNCTION("""COMPUTED_VALUE"""),1.0)</f>
        <v>1</v>
      </c>
      <c r="BG32" s="16">
        <f>IFERROR(__xludf.DUMMYFUNCTION("""COMPUTED_VALUE"""),1.0)</f>
        <v>1</v>
      </c>
      <c r="BH32" s="16">
        <f>IFERROR(__xludf.DUMMYFUNCTION("""COMPUTED_VALUE"""),-2.0)</f>
        <v>-2</v>
      </c>
      <c r="BI32" s="16">
        <f>IFERROR(__xludf.DUMMYFUNCTION("""COMPUTED_VALUE"""),-2.0)</f>
        <v>-2</v>
      </c>
      <c r="BJ32" s="16">
        <f>IFERROR(__xludf.DUMMYFUNCTION("""COMPUTED_VALUE"""),13.0)</f>
        <v>13</v>
      </c>
      <c r="BK32" s="16">
        <f>IFERROR(__xludf.DUMMYFUNCTION("""COMPUTED_VALUE"""),9.0)</f>
        <v>9</v>
      </c>
      <c r="BL32" s="16">
        <f>IFERROR(__xludf.DUMMYFUNCTION("""COMPUTED_VALUE"""),0.0)</f>
        <v>0</v>
      </c>
      <c r="BM32" s="16">
        <f>IFERROR(__xludf.DUMMYFUNCTION("""COMPUTED_VALUE"""),1.0)</f>
        <v>1</v>
      </c>
      <c r="BN32" s="16">
        <f>IFERROR(__xludf.DUMMYFUNCTION("""COMPUTED_VALUE"""),0.0)</f>
        <v>0</v>
      </c>
      <c r="BO32" s="16">
        <f>IFERROR(__xludf.DUMMYFUNCTION("""COMPUTED_VALUE"""),1.0)</f>
        <v>1</v>
      </c>
      <c r="BP32" s="16">
        <f>IFERROR(__xludf.DUMMYFUNCTION("""COMPUTED_VALUE"""),8.0)</f>
        <v>8</v>
      </c>
      <c r="BQ32" s="16">
        <f>IFERROR(__xludf.DUMMYFUNCTION("""COMPUTED_VALUE"""),8.0)</f>
        <v>8</v>
      </c>
      <c r="BR32" s="16">
        <f>IFERROR(__xludf.DUMMYFUNCTION("""COMPUTED_VALUE"""),16.0)</f>
        <v>16</v>
      </c>
      <c r="BS32" s="16" t="str">
        <f>IFERROR(__xludf.DUMMYFUNCTION("""COMPUTED_VALUE"""),"-/- (---)")</f>
        <v>-/- (---)</v>
      </c>
      <c r="BT32" s="16" t="str">
        <f>IFERROR(__xludf.DUMMYFUNCTION("""COMPUTED_VALUE"""),"E")</f>
        <v>E</v>
      </c>
      <c r="BU32" s="16">
        <f>IFERROR(__xludf.DUMMYFUNCTION("""COMPUTED_VALUE"""),10.0)</f>
        <v>10</v>
      </c>
      <c r="BV32" s="16">
        <f>IFERROR(__xludf.DUMMYFUNCTION("""COMPUTED_VALUE"""),0.0)</f>
        <v>0</v>
      </c>
      <c r="BW32" s="16">
        <f>IFERROR(__xludf.DUMMYFUNCTION("""COMPUTED_VALUE"""),0.0)</f>
        <v>0</v>
      </c>
      <c r="BX32" s="16">
        <f>IFERROR(__xludf.DUMMYFUNCTION("""COMPUTED_VALUE"""),0.0)</f>
        <v>0</v>
      </c>
      <c r="BY32" s="16">
        <f>IFERROR(__xludf.DUMMYFUNCTION("""COMPUTED_VALUE"""),0.0)</f>
        <v>0</v>
      </c>
      <c r="BZ32" s="16" t="str">
        <f>IFERROR(__xludf.DUMMYFUNCTION("""COMPUTED_VALUE"""),"D")</f>
        <v>D</v>
      </c>
      <c r="CA32" s="16" t="str">
        <f>IFERROR(__xludf.DUMMYFUNCTION("""COMPUTED_VALUE"""),"D")</f>
        <v>D</v>
      </c>
      <c r="CB32" s="16">
        <f>IFERROR(__xludf.DUMMYFUNCTION("""COMPUTED_VALUE"""),0.0)</f>
        <v>0</v>
      </c>
      <c r="CC32" s="16">
        <f>IFERROR(__xludf.DUMMYFUNCTION("""COMPUTED_VALUE"""),0.0)</f>
        <v>0</v>
      </c>
      <c r="CD32" s="16">
        <f>IFERROR(__xludf.DUMMYFUNCTION("""COMPUTED_VALUE"""),0.0)</f>
        <v>0</v>
      </c>
      <c r="CE32" s="16">
        <f>IFERROR(__xludf.DUMMYFUNCTION("""COMPUTED_VALUE"""),0.0)</f>
        <v>0</v>
      </c>
      <c r="CF32" s="16">
        <f>IFERROR(__xludf.DUMMYFUNCTION("""COMPUTED_VALUE"""),1.0)</f>
        <v>1</v>
      </c>
      <c r="CG32" s="16">
        <f>IFERROR(__xludf.DUMMYFUNCTION("""COMPUTED_VALUE"""),30.0)</f>
        <v>30</v>
      </c>
      <c r="CH32" s="16">
        <f>IFERROR(__xludf.DUMMYFUNCTION("""COMPUTED_VALUE"""),21.0)</f>
        <v>21</v>
      </c>
      <c r="CI32" s="179">
        <f>IFERROR(__xludf.DUMMYFUNCTION("""COMPUTED_VALUE"""),27.0)</f>
        <v>27</v>
      </c>
      <c r="CJ32" s="16"/>
      <c r="CK32" s="16">
        <f>IFERROR(__xludf.DUMMYFUNCTION("""COMPUTED_VALUE"""),412.0)</f>
        <v>412</v>
      </c>
      <c r="CL32" s="16"/>
      <c r="CM32" s="16">
        <f>IFERROR(__xludf.DUMMYFUNCTION("""COMPUTED_VALUE"""),408.0)</f>
        <v>408</v>
      </c>
      <c r="CN32" s="16"/>
      <c r="CO32" s="16"/>
      <c r="CP32" s="16"/>
      <c r="CQ32" s="16"/>
      <c r="CR32" s="16" t="str">
        <f>IFERROR(__xludf.DUMMYFUNCTION("""COMPUTED_VALUE"""),"3b-4e8 1b-4e12")</f>
        <v>3b-4e8 1b-4e12</v>
      </c>
      <c r="CS32" s="16"/>
      <c r="CT32" s="16">
        <f>IFERROR(__xludf.DUMMYFUNCTION("""COMPUTED_VALUE"""),4.0)</f>
        <v>4</v>
      </c>
      <c r="CU32" s="16"/>
      <c r="CV32" s="16">
        <f>IFERROR(__xludf.DUMMYFUNCTION("""COMPUTED_VALUE"""),4.0)</f>
        <v>4</v>
      </c>
      <c r="CW32" s="16"/>
      <c r="CX32" s="16"/>
      <c r="CY32" s="16"/>
      <c r="CZ32" s="16"/>
      <c r="DA32" s="16"/>
      <c r="DB32" s="16">
        <f>IFERROR(__xludf.DUMMYFUNCTION("""COMPUTED_VALUE"""),12.0)</f>
        <v>12</v>
      </c>
      <c r="DC32" s="16"/>
      <c r="DD32" s="16">
        <f>IFERROR(__xludf.DUMMYFUNCTION("""COMPUTED_VALUE"""),8.0)</f>
        <v>8</v>
      </c>
      <c r="DE32" s="16"/>
      <c r="DF32" s="16"/>
      <c r="DG32" s="16"/>
      <c r="DH32" s="16"/>
      <c r="DI32" s="16"/>
      <c r="DJ32" s="16">
        <f>IFERROR(__xludf.DUMMYFUNCTION("""COMPUTED_VALUE"""),0.0)</f>
        <v>0</v>
      </c>
      <c r="DK32" s="16"/>
      <c r="DL32" s="16">
        <f>IFERROR(__xludf.DUMMYFUNCTION("""COMPUTED_VALUE"""),0.0)</f>
        <v>0</v>
      </c>
      <c r="DM32" s="16"/>
      <c r="DN32" s="16"/>
      <c r="DO32" s="16"/>
      <c r="DP32" s="16"/>
      <c r="DQ32" s="16"/>
      <c r="DR32" s="16">
        <f>IFERROR(__xludf.DUMMYFUNCTION("""COMPUTED_VALUE"""),1.0)</f>
        <v>1</v>
      </c>
      <c r="DS32" s="16"/>
      <c r="DT32" s="16">
        <f>IFERROR(__xludf.DUMMYFUNCTION("""COMPUTED_VALUE"""),2.0)</f>
        <v>2</v>
      </c>
      <c r="DU32" s="16"/>
      <c r="DV32" s="16"/>
      <c r="DW32" s="16"/>
      <c r="DX32" s="16"/>
      <c r="DY32" s="16"/>
      <c r="DZ32" s="16">
        <f>IFERROR(__xludf.DUMMYFUNCTION("""COMPUTED_VALUE"""),1.0)</f>
        <v>1</v>
      </c>
      <c r="EA32" s="16"/>
      <c r="EB32" s="16">
        <f>IFERROR(__xludf.DUMMYFUNCTION("""COMPUTED_VALUE"""),2.0)</f>
        <v>2</v>
      </c>
      <c r="EC32" s="16"/>
      <c r="ED32" s="16"/>
      <c r="EE32" s="16"/>
      <c r="EF32" s="16"/>
      <c r="EG32" s="179"/>
      <c r="EH32" s="179">
        <f>IFERROR(__xludf.DUMMYFUNCTION("""COMPUTED_VALUE"""),28.0)</f>
        <v>28</v>
      </c>
      <c r="EI32" s="179"/>
      <c r="EJ32" s="179">
        <f>IFERROR(__xludf.DUMMYFUNCTION("""COMPUTED_VALUE"""),29.0)</f>
        <v>29</v>
      </c>
      <c r="EK32" s="179"/>
      <c r="EL32" s="179"/>
      <c r="EM32" s="179"/>
      <c r="EN32" s="179"/>
      <c r="EO32" s="16"/>
      <c r="EP32" s="16"/>
      <c r="EQ32" s="16">
        <f>IFERROR(__xludf.DUMMYFUNCTION("""COMPUTED_VALUE"""),4.0)</f>
        <v>4</v>
      </c>
      <c r="ER32" s="16">
        <f>IFERROR(__xludf.DUMMYFUNCTION("""COMPUTED_VALUE"""),0.0)</f>
        <v>0</v>
      </c>
      <c r="ES32" s="16"/>
      <c r="ET32" s="16"/>
      <c r="EU32" s="16"/>
      <c r="EV32" s="16"/>
      <c r="EW32" s="16"/>
      <c r="EX32" s="180"/>
      <c r="EY32" s="180">
        <f>IFERROR(__xludf.DUMMYFUNCTION("""COMPUTED_VALUE"""),0.3)</f>
        <v>0.3</v>
      </c>
      <c r="EZ32" s="180"/>
      <c r="FA32" s="180">
        <f>IFERROR(__xludf.DUMMYFUNCTION("""COMPUTED_VALUE"""),0.3)</f>
        <v>0.3</v>
      </c>
      <c r="FB32" s="180"/>
      <c r="FC32" s="180"/>
      <c r="FD32" s="180"/>
      <c r="FE32" s="180"/>
      <c r="FF32" s="180"/>
      <c r="FG32" s="180">
        <f>IFERROR(__xludf.DUMMYFUNCTION("""COMPUTED_VALUE"""),0.2175925925925926)</f>
        <v>0.2175925926</v>
      </c>
      <c r="FH32" s="180"/>
      <c r="FI32" s="180">
        <f>IFERROR(__xludf.DUMMYFUNCTION("""COMPUTED_VALUE"""),0.09722222222222222)</f>
        <v>0.09722222222</v>
      </c>
      <c r="FJ32" s="180"/>
      <c r="FK32" s="180"/>
      <c r="FL32" s="180"/>
      <c r="FM32" s="180"/>
      <c r="FN32" s="16"/>
      <c r="FO32" s="16">
        <f>IFERROR(__xludf.DUMMYFUNCTION("""COMPUTED_VALUE"""),0.5476851851851852)</f>
        <v>0.5476851852</v>
      </c>
      <c r="FP32" s="16"/>
      <c r="FQ32" s="16">
        <f>IFERROR(__xludf.DUMMYFUNCTION("""COMPUTED_VALUE"""),0.6319444444444444)</f>
        <v>0.6319444444</v>
      </c>
      <c r="FR32" s="16"/>
      <c r="FS32" s="16"/>
      <c r="FT32" s="16"/>
      <c r="FU32" s="16"/>
      <c r="FV32" s="16"/>
      <c r="FW32" s="16">
        <f>IFERROR(__xludf.DUMMYFUNCTION("""COMPUTED_VALUE"""),-8.0)</f>
        <v>-8</v>
      </c>
      <c r="FX32" s="16"/>
      <c r="FY32" s="16">
        <f>IFERROR(__xludf.DUMMYFUNCTION("""COMPUTED_VALUE"""),-6.0)</f>
        <v>-6</v>
      </c>
      <c r="FZ32" s="16"/>
      <c r="GA32" s="16"/>
      <c r="GB32" s="16"/>
      <c r="GC32" s="16"/>
      <c r="GD32" s="16" t="s">
        <v>126</v>
      </c>
    </row>
    <row r="33">
      <c r="A33" s="16">
        <f>IFERROR(__xludf.DUMMYFUNCTION("""COMPUTED_VALUE"""),13112.0)</f>
        <v>13112</v>
      </c>
      <c r="B33" s="16" t="str">
        <f>IFERROR(__xludf.DUMMYFUNCTION("""COMPUTED_VALUE"""),"Lawrence Butler")</f>
        <v>Lawrence Butler</v>
      </c>
      <c r="C33" s="16">
        <f>IFERROR(__xludf.DUMMYFUNCTION("""COMPUTED_VALUE"""),1.93)</f>
        <v>1.93</v>
      </c>
      <c r="D33" s="16" t="str">
        <f>IFERROR(__xludf.DUMMYFUNCTION("""COMPUTED_VALUE"""),"L")</f>
        <v>L</v>
      </c>
      <c r="E33" s="16"/>
      <c r="F33" s="16"/>
      <c r="G33" s="16">
        <f>IFERROR(__xludf.DUMMYFUNCTION("""COMPUTED_VALUE"""),412.0)</f>
        <v>412</v>
      </c>
      <c r="H33" s="16">
        <f>IFERROR(__xludf.DUMMYFUNCTION("""COMPUTED_VALUE"""),35.0)</f>
        <v>35</v>
      </c>
      <c r="I33" s="16" t="str">
        <f>IFERROR(__xludf.DUMMYFUNCTION("""COMPUTED_VALUE"""),"1p60")</f>
        <v>1p60</v>
      </c>
      <c r="J33" s="16">
        <f>IFERROR(__xludf.DUMMYFUNCTION("""COMPUTED_VALUE"""),28.0)</f>
        <v>28</v>
      </c>
      <c r="K33" s="16">
        <f>IFERROR(__xludf.DUMMYFUNCTION("""COMPUTED_VALUE"""),27.0)</f>
        <v>27</v>
      </c>
      <c r="L33" s="16">
        <f>IFERROR(__xludf.DUMMYFUNCTION("""COMPUTED_VALUE"""),0.0)</f>
        <v>0</v>
      </c>
      <c r="M33" s="16">
        <f>IFERROR(__xludf.DUMMYFUNCTION("""COMPUTED_VALUE"""),0.0)</f>
        <v>0</v>
      </c>
      <c r="N33" s="16">
        <f>IFERROR(__xludf.DUMMYFUNCTION("""COMPUTED_VALUE"""),0.0)</f>
        <v>0</v>
      </c>
      <c r="O33" s="16">
        <f>IFERROR(__xludf.DUMMYFUNCTION("""COMPUTED_VALUE"""),0.0)</f>
        <v>0</v>
      </c>
      <c r="P33" s="16">
        <f>IFERROR(__xludf.DUMMYFUNCTION("""COMPUTED_VALUE"""),0.0)</f>
        <v>0</v>
      </c>
      <c r="Q33" s="16">
        <f>IFERROR(__xludf.DUMMYFUNCTION("""COMPUTED_VALUE"""),9.0)</f>
        <v>9</v>
      </c>
      <c r="R33" s="16">
        <f>IFERROR(__xludf.DUMMYFUNCTION("""COMPUTED_VALUE"""),-3.0)</f>
        <v>-3</v>
      </c>
      <c r="S33" s="16">
        <f>IFERROR(__xludf.DUMMYFUNCTION("""COMPUTED_VALUE"""),0.0)</f>
        <v>0</v>
      </c>
      <c r="T33" s="16">
        <f>IFERROR(__xludf.DUMMYFUNCTION("""COMPUTED_VALUE"""),-3.0)</f>
        <v>-3</v>
      </c>
      <c r="U33" s="16">
        <f>IFERROR(__xludf.DUMMYFUNCTION("""COMPUTED_VALUE"""),0.0)</f>
        <v>0</v>
      </c>
      <c r="V33" s="16">
        <f>IFERROR(__xludf.DUMMYFUNCTION("""COMPUTED_VALUE"""),27.6)</f>
        <v>27.6</v>
      </c>
      <c r="W33" s="16">
        <f>IFERROR(__xludf.DUMMYFUNCTION("""COMPUTED_VALUE"""),21.9)</f>
        <v>21.9</v>
      </c>
      <c r="X33" s="16">
        <f>IFERROR(__xludf.DUMMYFUNCTION("""COMPUTED_VALUE"""),1.0)</f>
        <v>1</v>
      </c>
      <c r="Y33" s="16">
        <f>IFERROR(__xludf.DUMMYFUNCTION("""COMPUTED_VALUE"""),0.0)</f>
        <v>0</v>
      </c>
      <c r="Z33" s="16">
        <f>IFERROR(__xludf.DUMMYFUNCTION("""COMPUTED_VALUE"""),2.0)</f>
        <v>2</v>
      </c>
      <c r="AA33" s="16">
        <f>IFERROR(__xludf.DUMMYFUNCTION("""COMPUTED_VALUE"""),0.0)</f>
        <v>0</v>
      </c>
      <c r="AB33" s="16">
        <f>IFERROR(__xludf.DUMMYFUNCTION("""COMPUTED_VALUE"""),27.6)</f>
        <v>27.6</v>
      </c>
      <c r="AC33" s="16">
        <f>IFERROR(__xludf.DUMMYFUNCTION("""COMPUTED_VALUE"""),31.0)</f>
        <v>31</v>
      </c>
      <c r="AD33" s="16">
        <f>IFERROR(__xludf.DUMMYFUNCTION("""COMPUTED_VALUE"""),0.0)</f>
        <v>0</v>
      </c>
      <c r="AE33" s="16">
        <f>IFERROR(__xludf.DUMMYFUNCTION("""COMPUTED_VALUE"""),0.0)</f>
        <v>0</v>
      </c>
      <c r="AF33" s="16">
        <f>IFERROR(__xludf.DUMMYFUNCTION("""COMPUTED_VALUE"""),0.0)</f>
        <v>0</v>
      </c>
      <c r="AG33" s="16">
        <f>IFERROR(__xludf.DUMMYFUNCTION("""COMPUTED_VALUE"""),0.0)</f>
        <v>0</v>
      </c>
      <c r="AH33" s="16">
        <f>IFERROR(__xludf.DUMMYFUNCTION("""COMPUTED_VALUE"""),56.1)</f>
        <v>56.1</v>
      </c>
      <c r="AI33" s="16">
        <f>IFERROR(__xludf.DUMMYFUNCTION("""COMPUTED_VALUE"""),42.7)</f>
        <v>42.7</v>
      </c>
      <c r="AJ33" s="16">
        <f>IFERROR(__xludf.DUMMYFUNCTION("""COMPUTED_VALUE"""),2.0)</f>
        <v>2</v>
      </c>
      <c r="AK33" s="16">
        <f>IFERROR(__xludf.DUMMYFUNCTION("""COMPUTED_VALUE"""),1.0)</f>
        <v>1</v>
      </c>
      <c r="AL33" s="16">
        <f>IFERROR(__xludf.DUMMYFUNCTION("""COMPUTED_VALUE"""),10.0)</f>
        <v>10</v>
      </c>
      <c r="AM33" s="16">
        <f>IFERROR(__xludf.DUMMYFUNCTION("""COMPUTED_VALUE"""),5.0)</f>
        <v>5</v>
      </c>
      <c r="AN33" s="16">
        <f>IFERROR(__xludf.DUMMYFUNCTION("""COMPUTED_VALUE"""),7.0)</f>
        <v>7</v>
      </c>
      <c r="AO33" s="16">
        <f>IFERROR(__xludf.DUMMYFUNCTION("""COMPUTED_VALUE"""),4.4)</f>
        <v>4.4</v>
      </c>
      <c r="AP33" s="16">
        <f>IFERROR(__xludf.DUMMYFUNCTION("""COMPUTED_VALUE"""),3.0)</f>
        <v>3</v>
      </c>
      <c r="AQ33" s="16">
        <f>IFERROR(__xludf.DUMMYFUNCTION("""COMPUTED_VALUE"""),2.0)</f>
        <v>2</v>
      </c>
      <c r="AR33" s="16">
        <f>IFERROR(__xludf.DUMMYFUNCTION("""COMPUTED_VALUE"""),6.0)</f>
        <v>6</v>
      </c>
      <c r="AS33" s="16">
        <f>IFERROR(__xludf.DUMMYFUNCTION("""COMPUTED_VALUE"""),4.0)</f>
        <v>4</v>
      </c>
      <c r="AT33" s="16">
        <f>IFERROR(__xludf.DUMMYFUNCTION("""COMPUTED_VALUE"""),8.0)</f>
        <v>8</v>
      </c>
      <c r="AU33" s="16">
        <f>IFERROR(__xludf.DUMMYFUNCTION("""COMPUTED_VALUE"""),8.0)</f>
        <v>8</v>
      </c>
      <c r="AV33" s="16">
        <f>IFERROR(__xludf.DUMMYFUNCTION("""COMPUTED_VALUE"""),8.0)</f>
        <v>8</v>
      </c>
      <c r="AW33" s="16">
        <f>IFERROR(__xludf.DUMMYFUNCTION("""COMPUTED_VALUE"""),8.0)</f>
        <v>8</v>
      </c>
      <c r="AX33" s="16">
        <f>IFERROR(__xludf.DUMMYFUNCTION("""COMPUTED_VALUE"""),3.0)</f>
        <v>3</v>
      </c>
      <c r="AY33" s="16">
        <f>IFERROR(__xludf.DUMMYFUNCTION("""COMPUTED_VALUE"""),3.0)</f>
        <v>3</v>
      </c>
      <c r="AZ33" s="16">
        <f>IFERROR(__xludf.DUMMYFUNCTION("""COMPUTED_VALUE"""),9.0)</f>
        <v>9</v>
      </c>
      <c r="BA33" s="16">
        <f>IFERROR(__xludf.DUMMYFUNCTION("""COMPUTED_VALUE"""),9.0)</f>
        <v>9</v>
      </c>
      <c r="BB33" s="16">
        <f>IFERROR(__xludf.DUMMYFUNCTION("""COMPUTED_VALUE"""),5.0)</f>
        <v>5</v>
      </c>
      <c r="BC33" s="16">
        <f>IFERROR(__xludf.DUMMYFUNCTION("""COMPUTED_VALUE"""),5.0)</f>
        <v>5</v>
      </c>
      <c r="BD33" s="16">
        <f>IFERROR(__xludf.DUMMYFUNCTION("""COMPUTED_VALUE"""),1.0)</f>
        <v>1</v>
      </c>
      <c r="BE33" s="16">
        <f>IFERROR(__xludf.DUMMYFUNCTION("""COMPUTED_VALUE"""),1.0)</f>
        <v>1</v>
      </c>
      <c r="BF33" s="16">
        <f>IFERROR(__xludf.DUMMYFUNCTION("""COMPUTED_VALUE"""),1.0)</f>
        <v>1</v>
      </c>
      <c r="BG33" s="16">
        <f>IFERROR(__xludf.DUMMYFUNCTION("""COMPUTED_VALUE"""),1.0)</f>
        <v>1</v>
      </c>
      <c r="BH33" s="16">
        <f>IFERROR(__xludf.DUMMYFUNCTION("""COMPUTED_VALUE"""),3.0)</f>
        <v>3</v>
      </c>
      <c r="BI33" s="16">
        <f>IFERROR(__xludf.DUMMYFUNCTION("""COMPUTED_VALUE"""),2.0)</f>
        <v>2</v>
      </c>
      <c r="BJ33" s="16">
        <f>IFERROR(__xludf.DUMMYFUNCTION("""COMPUTED_VALUE"""),16.0)</f>
        <v>16</v>
      </c>
      <c r="BK33" s="16">
        <f>IFERROR(__xludf.DUMMYFUNCTION("""COMPUTED_VALUE"""),14.0)</f>
        <v>14</v>
      </c>
      <c r="BL33" s="16">
        <f>IFERROR(__xludf.DUMMYFUNCTION("""COMPUTED_VALUE"""),-1.0)</f>
        <v>-1</v>
      </c>
      <c r="BM33" s="16">
        <f>IFERROR(__xludf.DUMMYFUNCTION("""COMPUTED_VALUE"""),0.0)</f>
        <v>0</v>
      </c>
      <c r="BN33" s="16">
        <f>IFERROR(__xludf.DUMMYFUNCTION("""COMPUTED_VALUE"""),-2.0)</f>
        <v>-2</v>
      </c>
      <c r="BO33" s="16">
        <f>IFERROR(__xludf.DUMMYFUNCTION("""COMPUTED_VALUE"""),0.0)</f>
        <v>0</v>
      </c>
      <c r="BP33" s="16">
        <f>IFERROR(__xludf.DUMMYFUNCTION("""COMPUTED_VALUE"""),6.0)</f>
        <v>6</v>
      </c>
      <c r="BQ33" s="16">
        <f>IFERROR(__xludf.DUMMYFUNCTION("""COMPUTED_VALUE"""),7.0)</f>
        <v>7</v>
      </c>
      <c r="BR33" s="16">
        <f>IFERROR(__xludf.DUMMYFUNCTION("""COMPUTED_VALUE"""),13.0)</f>
        <v>13</v>
      </c>
      <c r="BS33" s="16" t="str">
        <f>IFERROR(__xludf.DUMMYFUNCTION("""COMPUTED_VALUE"""),"*7/- (20-12)")</f>
        <v>*7/- (20-12)</v>
      </c>
      <c r="BT33" s="16" t="str">
        <f>IFERROR(__xludf.DUMMYFUNCTION("""COMPUTED_VALUE"""),"A")</f>
        <v>A</v>
      </c>
      <c r="BU33" s="16">
        <f>IFERROR(__xludf.DUMMYFUNCTION("""COMPUTED_VALUE"""),14.0)</f>
        <v>14</v>
      </c>
      <c r="BV33" s="16">
        <f>IFERROR(__xludf.DUMMYFUNCTION("""COMPUTED_VALUE"""),2.0)</f>
        <v>2</v>
      </c>
      <c r="BW33" s="16">
        <f>IFERROR(__xludf.DUMMYFUNCTION("""COMPUTED_VALUE"""),1.0)</f>
        <v>1</v>
      </c>
      <c r="BX33" s="16">
        <f>IFERROR(__xludf.DUMMYFUNCTION("""COMPUTED_VALUE"""),4.0)</f>
        <v>4</v>
      </c>
      <c r="BY33" s="16">
        <f>IFERROR(__xludf.DUMMYFUNCTION("""COMPUTED_VALUE"""),3.0)</f>
        <v>3</v>
      </c>
      <c r="BZ33" s="16" t="str">
        <f>IFERROR(__xludf.DUMMYFUNCTION("""COMPUTED_VALUE"""),"D")</f>
        <v>D</v>
      </c>
      <c r="CA33" s="16" t="str">
        <f>IFERROR(__xludf.DUMMYFUNCTION("""COMPUTED_VALUE"""),"D")</f>
        <v>D</v>
      </c>
      <c r="CB33" s="16">
        <f>IFERROR(__xludf.DUMMYFUNCTION("""COMPUTED_VALUE"""),0.0)</f>
        <v>0</v>
      </c>
      <c r="CC33" s="16">
        <f>IFERROR(__xludf.DUMMYFUNCTION("""COMPUTED_VALUE"""),0.0)</f>
        <v>0</v>
      </c>
      <c r="CD33" s="16">
        <f>IFERROR(__xludf.DUMMYFUNCTION("""COMPUTED_VALUE"""),0.0)</f>
        <v>0</v>
      </c>
      <c r="CE33" s="16">
        <f>IFERROR(__xludf.DUMMYFUNCTION("""COMPUTED_VALUE"""),0.0)</f>
        <v>0</v>
      </c>
      <c r="CF33" s="16">
        <f>IFERROR(__xludf.DUMMYFUNCTION("""COMPUTED_VALUE"""),1.0)</f>
        <v>1</v>
      </c>
      <c r="CG33" s="16">
        <f>IFERROR(__xludf.DUMMYFUNCTION("""COMPUTED_VALUE"""),23.0)</f>
        <v>23</v>
      </c>
      <c r="CH33" s="16">
        <f>IFERROR(__xludf.DUMMYFUNCTION("""COMPUTED_VALUE"""),19.0)</f>
        <v>19</v>
      </c>
      <c r="CI33" s="179">
        <f>IFERROR(__xludf.DUMMYFUNCTION("""COMPUTED_VALUE"""),27.0)</f>
        <v>27</v>
      </c>
      <c r="CJ33" s="16"/>
      <c r="CK33" s="16"/>
      <c r="CL33" s="16"/>
      <c r="CM33" s="16"/>
      <c r="CN33" s="16"/>
      <c r="CO33" s="16"/>
      <c r="CP33" s="16">
        <f>IFERROR(__xludf.DUMMYFUNCTION("""COMPUTED_VALUE"""),406.0)</f>
        <v>406</v>
      </c>
      <c r="CQ33" s="16">
        <f>IFERROR(__xludf.DUMMYFUNCTION("""COMPUTED_VALUE"""),306.0)</f>
        <v>306</v>
      </c>
      <c r="CR33" s="16" t="str">
        <f>IFERROR(__xludf.DUMMYFUNCTION("""COMPUTED_VALUE"""),"rf-3(-1)e6 cf-4e6")</f>
        <v>rf-3(-1)e6 cf-4e6</v>
      </c>
      <c r="CS33" s="16"/>
      <c r="CT33" s="16"/>
      <c r="CU33" s="16"/>
      <c r="CV33" s="16"/>
      <c r="CW33" s="16"/>
      <c r="CX33" s="16"/>
      <c r="CY33" s="16">
        <f>IFERROR(__xludf.DUMMYFUNCTION("""COMPUTED_VALUE"""),4.0)</f>
        <v>4</v>
      </c>
      <c r="CZ33" s="16">
        <f>IFERROR(__xludf.DUMMYFUNCTION("""COMPUTED_VALUE"""),3.0)</f>
        <v>3</v>
      </c>
      <c r="DA33" s="16"/>
      <c r="DB33" s="16"/>
      <c r="DC33" s="16"/>
      <c r="DD33" s="16"/>
      <c r="DE33" s="16"/>
      <c r="DF33" s="16"/>
      <c r="DG33" s="16">
        <f>IFERROR(__xludf.DUMMYFUNCTION("""COMPUTED_VALUE"""),6.0)</f>
        <v>6</v>
      </c>
      <c r="DH33" s="16">
        <f>IFERROR(__xludf.DUMMYFUNCTION("""COMPUTED_VALUE"""),6.0)</f>
        <v>6</v>
      </c>
      <c r="DI33" s="16"/>
      <c r="DJ33" s="16"/>
      <c r="DK33" s="16"/>
      <c r="DL33" s="16"/>
      <c r="DM33" s="16"/>
      <c r="DN33" s="16"/>
      <c r="DO33" s="16">
        <f>IFERROR(__xludf.DUMMYFUNCTION("""COMPUTED_VALUE"""),-2.0)</f>
        <v>-2</v>
      </c>
      <c r="DP33" s="16">
        <f>IFERROR(__xludf.DUMMYFUNCTION("""COMPUTED_VALUE"""),0.0)</f>
        <v>0</v>
      </c>
      <c r="DQ33" s="16"/>
      <c r="DR33" s="16"/>
      <c r="DS33" s="16"/>
      <c r="DT33" s="16"/>
      <c r="DU33" s="16"/>
      <c r="DV33" s="16"/>
      <c r="DW33" s="16">
        <f>IFERROR(__xludf.DUMMYFUNCTION("""COMPUTED_VALUE"""),3.0)</f>
        <v>3</v>
      </c>
      <c r="DX33" s="16">
        <f>IFERROR(__xludf.DUMMYFUNCTION("""COMPUTED_VALUE"""),2.0)</f>
        <v>2</v>
      </c>
      <c r="DY33" s="16"/>
      <c r="DZ33" s="16"/>
      <c r="EA33" s="16"/>
      <c r="EB33" s="16"/>
      <c r="EC33" s="16"/>
      <c r="ED33" s="16"/>
      <c r="EE33" s="16">
        <f>IFERROR(__xludf.DUMMYFUNCTION("""COMPUTED_VALUE"""),1.0)</f>
        <v>1</v>
      </c>
      <c r="EF33" s="16">
        <f>IFERROR(__xludf.DUMMYFUNCTION("""COMPUTED_VALUE"""),2.0)</f>
        <v>2</v>
      </c>
      <c r="EG33" s="179"/>
      <c r="EH33" s="179"/>
      <c r="EI33" s="179"/>
      <c r="EJ33" s="179"/>
      <c r="EK33" s="179"/>
      <c r="EL33" s="179"/>
      <c r="EM33" s="179">
        <f>IFERROR(__xludf.DUMMYFUNCTION("""COMPUTED_VALUE"""),28.0)</f>
        <v>28</v>
      </c>
      <c r="EN33" s="179">
        <f>IFERROR(__xludf.DUMMYFUNCTION("""COMPUTED_VALUE"""),29.0)</f>
        <v>29</v>
      </c>
      <c r="EO33" s="16"/>
      <c r="EP33" s="16"/>
      <c r="EQ33" s="16">
        <f>IFERROR(__xludf.DUMMYFUNCTION("""COMPUTED_VALUE"""),4.0)</f>
        <v>4</v>
      </c>
      <c r="ER33" s="16">
        <f>IFERROR(__xludf.DUMMYFUNCTION("""COMPUTED_VALUE"""),1.0)</f>
        <v>1</v>
      </c>
      <c r="ES33" s="16"/>
      <c r="ET33" s="16"/>
      <c r="EU33" s="16"/>
      <c r="EV33" s="16"/>
      <c r="EW33" s="16"/>
      <c r="EX33" s="180"/>
      <c r="EY33" s="180"/>
      <c r="EZ33" s="180"/>
      <c r="FA33" s="180"/>
      <c r="FB33" s="180"/>
      <c r="FC33" s="180"/>
      <c r="FD33" s="180">
        <f>IFERROR(__xludf.DUMMYFUNCTION("""COMPUTED_VALUE"""),0.55)</f>
        <v>0.55</v>
      </c>
      <c r="FE33" s="180">
        <f>IFERROR(__xludf.DUMMYFUNCTION("""COMPUTED_VALUE"""),0.3)</f>
        <v>0.3</v>
      </c>
      <c r="FF33" s="180"/>
      <c r="FG33" s="180"/>
      <c r="FH33" s="180"/>
      <c r="FI33" s="180"/>
      <c r="FJ33" s="180"/>
      <c r="FK33" s="180"/>
      <c r="FL33" s="180">
        <f>IFERROR(__xludf.DUMMYFUNCTION("""COMPUTED_VALUE"""),0.06944444444444445)</f>
        <v>0.06944444444</v>
      </c>
      <c r="FM33" s="180">
        <f>IFERROR(__xludf.DUMMYFUNCTION("""COMPUTED_VALUE"""),0.106)</f>
        <v>0.106</v>
      </c>
      <c r="FN33" s="16"/>
      <c r="FO33" s="16"/>
      <c r="FP33" s="16"/>
      <c r="FQ33" s="16"/>
      <c r="FR33" s="16"/>
      <c r="FS33" s="16"/>
      <c r="FT33" s="16">
        <f>IFERROR(__xludf.DUMMYFUNCTION("""COMPUTED_VALUE"""),0.41874999999999996)</f>
        <v>0.41875</v>
      </c>
      <c r="FU33" s="16">
        <f>IFERROR(__xludf.DUMMYFUNCTION("""COMPUTED_VALUE"""),0.6258)</f>
        <v>0.6258</v>
      </c>
      <c r="FV33" s="16"/>
      <c r="FW33" s="16"/>
      <c r="FX33" s="16"/>
      <c r="FY33" s="16"/>
      <c r="FZ33" s="16"/>
      <c r="GA33" s="16"/>
      <c r="GB33" s="16">
        <f>IFERROR(__xludf.DUMMYFUNCTION("""COMPUTED_VALUE"""),-8.0)</f>
        <v>-8</v>
      </c>
      <c r="GC33" s="16">
        <f>IFERROR(__xludf.DUMMYFUNCTION("""COMPUTED_VALUE"""),-6.0)</f>
        <v>-6</v>
      </c>
      <c r="GD33" s="16" t="s">
        <v>260</v>
      </c>
    </row>
    <row r="34">
      <c r="A34" s="16">
        <f>IFERROR(__xludf.DUMMYFUNCTION("""COMPUTED_VALUE"""),13169.0)</f>
        <v>13169</v>
      </c>
      <c r="B34" s="16" t="str">
        <f>IFERROR(__xludf.DUMMYFUNCTION("""COMPUTED_VALUE"""),"Matt Chapman")</f>
        <v>Matt Chapman</v>
      </c>
      <c r="C34" s="16">
        <f>IFERROR(__xludf.DUMMYFUNCTION("""COMPUTED_VALUE"""),3.18)</f>
        <v>3.18</v>
      </c>
      <c r="D34" s="16" t="str">
        <f>IFERROR(__xludf.DUMMYFUNCTION("""COMPUTED_VALUE"""),"R")</f>
        <v>R</v>
      </c>
      <c r="E34" s="16"/>
      <c r="F34" s="16"/>
      <c r="G34" s="16">
        <f>IFERROR(__xludf.DUMMYFUNCTION("""COMPUTED_VALUE"""),575.0)</f>
        <v>575</v>
      </c>
      <c r="H34" s="16">
        <f>IFERROR(__xludf.DUMMYFUNCTION("""COMPUTED_VALUE"""),64.0)</f>
        <v>64</v>
      </c>
      <c r="I34" s="16" t="str">
        <f>IFERROR(__xludf.DUMMYFUNCTION("""COMPUTED_VALUE"""),"1p70")</f>
        <v>1p70</v>
      </c>
      <c r="J34" s="16">
        <f>IFERROR(__xludf.DUMMYFUNCTION("""COMPUTED_VALUE"""),27.0)</f>
        <v>27</v>
      </c>
      <c r="K34" s="16">
        <f>IFERROR(__xludf.DUMMYFUNCTION("""COMPUTED_VALUE"""),29.0)</f>
        <v>29</v>
      </c>
      <c r="L34" s="16">
        <f>IFERROR(__xludf.DUMMYFUNCTION("""COMPUTED_VALUE"""),0.0)</f>
        <v>0</v>
      </c>
      <c r="M34" s="16">
        <f>IFERROR(__xludf.DUMMYFUNCTION("""COMPUTED_VALUE"""),0.0)</f>
        <v>0</v>
      </c>
      <c r="N34" s="16">
        <f>IFERROR(__xludf.DUMMYFUNCTION("""COMPUTED_VALUE"""),0.0)</f>
        <v>0</v>
      </c>
      <c r="O34" s="16">
        <f>IFERROR(__xludf.DUMMYFUNCTION("""COMPUTED_VALUE"""),0.0)</f>
        <v>0</v>
      </c>
      <c r="P34" s="16">
        <f>IFERROR(__xludf.DUMMYFUNCTION("""COMPUTED_VALUE"""),16.0)</f>
        <v>16</v>
      </c>
      <c r="Q34" s="16">
        <f>IFERROR(__xludf.DUMMYFUNCTION("""COMPUTED_VALUE"""),11.0)</f>
        <v>11</v>
      </c>
      <c r="R34" s="16">
        <f>IFERROR(__xludf.DUMMYFUNCTION("""COMPUTED_VALUE"""),2.0)</f>
        <v>2</v>
      </c>
      <c r="S34" s="16">
        <f>IFERROR(__xludf.DUMMYFUNCTION("""COMPUTED_VALUE"""),1.0)</f>
        <v>1</v>
      </c>
      <c r="T34" s="16">
        <f>IFERROR(__xludf.DUMMYFUNCTION("""COMPUTED_VALUE"""),2.0)</f>
        <v>2</v>
      </c>
      <c r="U34" s="16">
        <f>IFERROR(__xludf.DUMMYFUNCTION("""COMPUTED_VALUE"""),1.0)</f>
        <v>1</v>
      </c>
      <c r="V34" s="16">
        <f>IFERROR(__xludf.DUMMYFUNCTION("""COMPUTED_VALUE"""),18.0)</f>
        <v>18</v>
      </c>
      <c r="W34" s="16">
        <f>IFERROR(__xludf.DUMMYFUNCTION("""COMPUTED_VALUE"""),18.5)</f>
        <v>18.5</v>
      </c>
      <c r="X34" s="16">
        <f>IFERROR(__xludf.DUMMYFUNCTION("""COMPUTED_VALUE"""),0.0)</f>
        <v>0</v>
      </c>
      <c r="Y34" s="16">
        <f>IFERROR(__xludf.DUMMYFUNCTION("""COMPUTED_VALUE"""),0.0)</f>
        <v>0</v>
      </c>
      <c r="Z34" s="16">
        <f>IFERROR(__xludf.DUMMYFUNCTION("""COMPUTED_VALUE"""),0.0)</f>
        <v>0</v>
      </c>
      <c r="AA34" s="16">
        <f>IFERROR(__xludf.DUMMYFUNCTION("""COMPUTED_VALUE"""),0.0)</f>
        <v>0</v>
      </c>
      <c r="AB34" s="16">
        <f>IFERROR(__xludf.DUMMYFUNCTION("""COMPUTED_VALUE"""),36.0)</f>
        <v>36</v>
      </c>
      <c r="AC34" s="16">
        <f>IFERROR(__xludf.DUMMYFUNCTION("""COMPUTED_VALUE"""),31.5)</f>
        <v>31.5</v>
      </c>
      <c r="AD34" s="16">
        <f>IFERROR(__xludf.DUMMYFUNCTION("""COMPUTED_VALUE"""),1.0)</f>
        <v>1</v>
      </c>
      <c r="AE34" s="16">
        <f>IFERROR(__xludf.DUMMYFUNCTION("""COMPUTED_VALUE"""),0.0)</f>
        <v>0</v>
      </c>
      <c r="AF34" s="16">
        <f>IFERROR(__xludf.DUMMYFUNCTION("""COMPUTED_VALUE"""),5.0)</f>
        <v>5</v>
      </c>
      <c r="AG34" s="16">
        <f>IFERROR(__xludf.DUMMYFUNCTION("""COMPUTED_VALUE"""),0.0)</f>
        <v>0</v>
      </c>
      <c r="AH34" s="16">
        <f>IFERROR(__xludf.DUMMYFUNCTION("""COMPUTED_VALUE"""),36.8)</f>
        <v>36.8</v>
      </c>
      <c r="AI34" s="16">
        <f>IFERROR(__xludf.DUMMYFUNCTION("""COMPUTED_VALUE"""),37.7)</f>
        <v>37.7</v>
      </c>
      <c r="AJ34" s="16">
        <f>IFERROR(__xludf.DUMMYFUNCTION("""COMPUTED_VALUE"""),0.0)</f>
        <v>0</v>
      </c>
      <c r="AK34" s="16">
        <f>IFERROR(__xludf.DUMMYFUNCTION("""COMPUTED_VALUE"""),1.0)</f>
        <v>1</v>
      </c>
      <c r="AL34" s="16">
        <f>IFERROR(__xludf.DUMMYFUNCTION("""COMPUTED_VALUE"""),0.0)</f>
        <v>0</v>
      </c>
      <c r="AM34" s="16">
        <f>IFERROR(__xludf.DUMMYFUNCTION("""COMPUTED_VALUE"""),5.0)</f>
        <v>5</v>
      </c>
      <c r="AN34" s="16">
        <f>IFERROR(__xludf.DUMMYFUNCTION("""COMPUTED_VALUE"""),2.8)</f>
        <v>2.8</v>
      </c>
      <c r="AO34" s="16">
        <f>IFERROR(__xludf.DUMMYFUNCTION("""COMPUTED_VALUE"""),3.8)</f>
        <v>3.8</v>
      </c>
      <c r="AP34" s="16">
        <f>IFERROR(__xludf.DUMMYFUNCTION("""COMPUTED_VALUE"""),1.0)</f>
        <v>1</v>
      </c>
      <c r="AQ34" s="16">
        <f>IFERROR(__xludf.DUMMYFUNCTION("""COMPUTED_VALUE"""),2.0)</f>
        <v>2</v>
      </c>
      <c r="AR34" s="16">
        <f>IFERROR(__xludf.DUMMYFUNCTION("""COMPUTED_VALUE"""),2.0)</f>
        <v>2</v>
      </c>
      <c r="AS34" s="16">
        <f>IFERROR(__xludf.DUMMYFUNCTION("""COMPUTED_VALUE"""),4.0)</f>
        <v>4</v>
      </c>
      <c r="AT34" s="16">
        <f>IFERROR(__xludf.DUMMYFUNCTION("""COMPUTED_VALUE"""),5.0)</f>
        <v>5</v>
      </c>
      <c r="AU34" s="16">
        <f>IFERROR(__xludf.DUMMYFUNCTION("""COMPUTED_VALUE"""),7.0)</f>
        <v>7</v>
      </c>
      <c r="AV34" s="16">
        <f>IFERROR(__xludf.DUMMYFUNCTION("""COMPUTED_VALUE"""),5.0)</f>
        <v>5</v>
      </c>
      <c r="AW34" s="16">
        <f>IFERROR(__xludf.DUMMYFUNCTION("""COMPUTED_VALUE"""),7.0)</f>
        <v>7</v>
      </c>
      <c r="AX34" s="16">
        <f>IFERROR(__xludf.DUMMYFUNCTION("""COMPUTED_VALUE"""),3.0)</f>
        <v>3</v>
      </c>
      <c r="AY34" s="16">
        <f>IFERROR(__xludf.DUMMYFUNCTION("""COMPUTED_VALUE"""),3.0)</f>
        <v>3</v>
      </c>
      <c r="AZ34" s="16">
        <f>IFERROR(__xludf.DUMMYFUNCTION("""COMPUTED_VALUE"""),9.0)</f>
        <v>9</v>
      </c>
      <c r="BA34" s="16">
        <f>IFERROR(__xludf.DUMMYFUNCTION("""COMPUTED_VALUE"""),9.0)</f>
        <v>9</v>
      </c>
      <c r="BB34" s="16">
        <f>IFERROR(__xludf.DUMMYFUNCTION("""COMPUTED_VALUE"""),5.0)</f>
        <v>5</v>
      </c>
      <c r="BC34" s="16">
        <f>IFERROR(__xludf.DUMMYFUNCTION("""COMPUTED_VALUE"""),5.0)</f>
        <v>5</v>
      </c>
      <c r="BD34" s="16">
        <f>IFERROR(__xludf.DUMMYFUNCTION("""COMPUTED_VALUE"""),1.0)</f>
        <v>1</v>
      </c>
      <c r="BE34" s="16">
        <f>IFERROR(__xludf.DUMMYFUNCTION("""COMPUTED_VALUE"""),1.0)</f>
        <v>1</v>
      </c>
      <c r="BF34" s="16">
        <f>IFERROR(__xludf.DUMMYFUNCTION("""COMPUTED_VALUE"""),1.0)</f>
        <v>1</v>
      </c>
      <c r="BG34" s="16">
        <f>IFERROR(__xludf.DUMMYFUNCTION("""COMPUTED_VALUE"""),1.0)</f>
        <v>1</v>
      </c>
      <c r="BH34" s="16">
        <f>IFERROR(__xludf.DUMMYFUNCTION("""COMPUTED_VALUE"""),-3.0)</f>
        <v>-3</v>
      </c>
      <c r="BI34" s="16">
        <f>IFERROR(__xludf.DUMMYFUNCTION("""COMPUTED_VALUE"""),-5.0)</f>
        <v>-5</v>
      </c>
      <c r="BJ34" s="16">
        <f>IFERROR(__xludf.DUMMYFUNCTION("""COMPUTED_VALUE"""),14.0)</f>
        <v>14</v>
      </c>
      <c r="BK34" s="16">
        <f>IFERROR(__xludf.DUMMYFUNCTION("""COMPUTED_VALUE"""),16.0)</f>
        <v>16</v>
      </c>
      <c r="BL34" s="16">
        <f>IFERROR(__xludf.DUMMYFUNCTION("""COMPUTED_VALUE"""),0.0)</f>
        <v>0</v>
      </c>
      <c r="BM34" s="16">
        <f>IFERROR(__xludf.DUMMYFUNCTION("""COMPUTED_VALUE"""),-1.0)</f>
        <v>-1</v>
      </c>
      <c r="BN34" s="16">
        <f>IFERROR(__xludf.DUMMYFUNCTION("""COMPUTED_VALUE"""),0.0)</f>
        <v>0</v>
      </c>
      <c r="BO34" s="16">
        <f>IFERROR(__xludf.DUMMYFUNCTION("""COMPUTED_VALUE"""),-2.0)</f>
        <v>-2</v>
      </c>
      <c r="BP34" s="16">
        <f>IFERROR(__xludf.DUMMYFUNCTION("""COMPUTED_VALUE"""),8.0)</f>
        <v>8</v>
      </c>
      <c r="BQ34" s="16">
        <f>IFERROR(__xludf.DUMMYFUNCTION("""COMPUTED_VALUE"""),7.0)</f>
        <v>7</v>
      </c>
      <c r="BR34" s="16">
        <f>IFERROR(__xludf.DUMMYFUNCTION("""COMPUTED_VALUE"""),15.0)</f>
        <v>15</v>
      </c>
      <c r="BS34" s="16" t="str">
        <f>IFERROR(__xludf.DUMMYFUNCTION("""COMPUTED_VALUE"""),"*6/- (19-11)")</f>
        <v>*6/- (19-11)</v>
      </c>
      <c r="BT34" s="16" t="str">
        <f>IFERROR(__xludf.DUMMYFUNCTION("""COMPUTED_VALUE"""),"B")</f>
        <v>B</v>
      </c>
      <c r="BU34" s="16">
        <f>IFERROR(__xludf.DUMMYFUNCTION("""COMPUTED_VALUE"""),15.0)</f>
        <v>15</v>
      </c>
      <c r="BV34" s="16">
        <f>IFERROR(__xludf.DUMMYFUNCTION("""COMPUTED_VALUE"""),1.0)</f>
        <v>1</v>
      </c>
      <c r="BW34" s="16">
        <f>IFERROR(__xludf.DUMMYFUNCTION("""COMPUTED_VALUE"""),2.0)</f>
        <v>2</v>
      </c>
      <c r="BX34" s="16">
        <f>IFERROR(__xludf.DUMMYFUNCTION("""COMPUTED_VALUE"""),2.0)</f>
        <v>2</v>
      </c>
      <c r="BY34" s="16">
        <f>IFERROR(__xludf.DUMMYFUNCTION("""COMPUTED_VALUE"""),6.0)</f>
        <v>6</v>
      </c>
      <c r="BZ34" s="16" t="str">
        <f>IFERROR(__xludf.DUMMYFUNCTION("""COMPUTED_VALUE"""),"D")</f>
        <v>D</v>
      </c>
      <c r="CA34" s="16" t="str">
        <f>IFERROR(__xludf.DUMMYFUNCTION("""COMPUTED_VALUE"""),"D")</f>
        <v>D</v>
      </c>
      <c r="CB34" s="16">
        <f>IFERROR(__xludf.DUMMYFUNCTION("""COMPUTED_VALUE"""),0.0)</f>
        <v>0</v>
      </c>
      <c r="CC34" s="16">
        <f>IFERROR(__xludf.DUMMYFUNCTION("""COMPUTED_VALUE"""),0.0)</f>
        <v>0</v>
      </c>
      <c r="CD34" s="16">
        <f>IFERROR(__xludf.DUMMYFUNCTION("""COMPUTED_VALUE"""),0.0)</f>
        <v>0</v>
      </c>
      <c r="CE34" s="16">
        <f>IFERROR(__xludf.DUMMYFUNCTION("""COMPUTED_VALUE"""),0.0)</f>
        <v>0</v>
      </c>
      <c r="CF34" s="16">
        <f>IFERROR(__xludf.DUMMYFUNCTION("""COMPUTED_VALUE"""),1.0)</f>
        <v>1</v>
      </c>
      <c r="CG34" s="16">
        <f>IFERROR(__xludf.DUMMYFUNCTION("""COMPUTED_VALUE"""),19.0)</f>
        <v>19</v>
      </c>
      <c r="CH34" s="16">
        <f>IFERROR(__xludf.DUMMYFUNCTION("""COMPUTED_VALUE"""),18.0)</f>
        <v>18</v>
      </c>
      <c r="CI34" s="179">
        <f>IFERROR(__xludf.DUMMYFUNCTION("""COMPUTED_VALUE"""),27.0)</f>
        <v>27</v>
      </c>
      <c r="CJ34" s="16"/>
      <c r="CK34" s="16"/>
      <c r="CL34" s="16"/>
      <c r="CM34" s="16">
        <f>IFERROR(__xludf.DUMMYFUNCTION("""COMPUTED_VALUE"""),116.0)</f>
        <v>116</v>
      </c>
      <c r="CN34" s="16"/>
      <c r="CO34" s="16"/>
      <c r="CP34" s="16"/>
      <c r="CQ34" s="16"/>
      <c r="CR34" s="16" t="str">
        <f>IFERROR(__xludf.DUMMYFUNCTION("""COMPUTED_VALUE"""),"3b-1e16")</f>
        <v>3b-1e16</v>
      </c>
      <c r="CS34" s="16"/>
      <c r="CT34" s="16"/>
      <c r="CU34" s="16"/>
      <c r="CV34" s="16">
        <f>IFERROR(__xludf.DUMMYFUNCTION("""COMPUTED_VALUE"""),1.0)</f>
        <v>1</v>
      </c>
      <c r="CW34" s="16"/>
      <c r="CX34" s="16"/>
      <c r="CY34" s="16"/>
      <c r="CZ34" s="16"/>
      <c r="DA34" s="16"/>
      <c r="DB34" s="16"/>
      <c r="DC34" s="16"/>
      <c r="DD34" s="16">
        <f>IFERROR(__xludf.DUMMYFUNCTION("""COMPUTED_VALUE"""),16.0)</f>
        <v>16</v>
      </c>
      <c r="DE34" s="16"/>
      <c r="DF34" s="16"/>
      <c r="DG34" s="16"/>
      <c r="DH34" s="16"/>
      <c r="DI34" s="16"/>
      <c r="DJ34" s="16"/>
      <c r="DK34" s="16"/>
      <c r="DL34" s="16">
        <f>IFERROR(__xludf.DUMMYFUNCTION("""COMPUTED_VALUE"""),4.0)</f>
        <v>4</v>
      </c>
      <c r="DM34" s="16"/>
      <c r="DN34" s="16"/>
      <c r="DO34" s="16"/>
      <c r="DP34" s="16"/>
      <c r="DQ34" s="16"/>
      <c r="DR34" s="16"/>
      <c r="DS34" s="16"/>
      <c r="DT34" s="16">
        <f>IFERROR(__xludf.DUMMYFUNCTION("""COMPUTED_VALUE"""),0.0)</f>
        <v>0</v>
      </c>
      <c r="DU34" s="16"/>
      <c r="DV34" s="16"/>
      <c r="DW34" s="16"/>
      <c r="DX34" s="16"/>
      <c r="DY34" s="16"/>
      <c r="DZ34" s="16"/>
      <c r="EA34" s="16"/>
      <c r="EB34" s="16">
        <f>IFERROR(__xludf.DUMMYFUNCTION("""COMPUTED_VALUE"""),4.0)</f>
        <v>4</v>
      </c>
      <c r="EC34" s="16"/>
      <c r="ED34" s="16"/>
      <c r="EE34" s="16"/>
      <c r="EF34" s="16"/>
      <c r="EG34" s="179"/>
      <c r="EH34" s="179"/>
      <c r="EI34" s="179"/>
      <c r="EJ34" s="179">
        <f>IFERROR(__xludf.DUMMYFUNCTION("""COMPUTED_VALUE"""),31.0)</f>
        <v>31</v>
      </c>
      <c r="EK34" s="179"/>
      <c r="EL34" s="179"/>
      <c r="EM34" s="179"/>
      <c r="EN34" s="179"/>
      <c r="EO34" s="16"/>
      <c r="EP34" s="16">
        <f>IFERROR(__xludf.DUMMYFUNCTION("""COMPUTED_VALUE"""),-2.0)</f>
        <v>-2</v>
      </c>
      <c r="EQ34" s="16">
        <f>IFERROR(__xludf.DUMMYFUNCTION("""COMPUTED_VALUE"""),4.0)</f>
        <v>4</v>
      </c>
      <c r="ER34" s="16">
        <f>IFERROR(__xludf.DUMMYFUNCTION("""COMPUTED_VALUE"""),3.0)</f>
        <v>3</v>
      </c>
      <c r="ES34" s="16"/>
      <c r="ET34" s="16"/>
      <c r="EU34" s="16"/>
      <c r="EV34" s="16"/>
      <c r="EW34" s="16"/>
      <c r="EX34" s="180"/>
      <c r="EY34" s="180"/>
      <c r="EZ34" s="180"/>
      <c r="FA34" s="180">
        <f>IFERROR(__xludf.DUMMYFUNCTION("""COMPUTED_VALUE"""),0.0)</f>
        <v>0</v>
      </c>
      <c r="FB34" s="180"/>
      <c r="FC34" s="180"/>
      <c r="FD34" s="180"/>
      <c r="FE34" s="180"/>
      <c r="FF34" s="180"/>
      <c r="FG34" s="180"/>
      <c r="FH34" s="180"/>
      <c r="FI34" s="180">
        <f>IFERROR(__xludf.DUMMYFUNCTION("""COMPUTED_VALUE"""),0.18981481481481483)</f>
        <v>0.1898148148</v>
      </c>
      <c r="FJ34" s="180"/>
      <c r="FK34" s="180"/>
      <c r="FL34" s="180"/>
      <c r="FM34" s="180"/>
      <c r="FN34" s="16"/>
      <c r="FO34" s="16"/>
      <c r="FP34" s="16"/>
      <c r="FQ34" s="16">
        <f>IFERROR(__xludf.DUMMYFUNCTION("""COMPUTED_VALUE"""),0.8101851851851851)</f>
        <v>0.8101851852</v>
      </c>
      <c r="FR34" s="16"/>
      <c r="FS34" s="16"/>
      <c r="FT34" s="16"/>
      <c r="FU34" s="16"/>
      <c r="FV34" s="16"/>
      <c r="FW34" s="16"/>
      <c r="FX34" s="16"/>
      <c r="FY34" s="16">
        <f>IFERROR(__xludf.DUMMYFUNCTION("""COMPUTED_VALUE"""),1.0)</f>
        <v>1</v>
      </c>
      <c r="FZ34" s="16"/>
      <c r="GA34" s="16"/>
      <c r="GB34" s="16"/>
      <c r="GC34" s="16"/>
      <c r="GD34" s="16" t="s">
        <v>215</v>
      </c>
    </row>
    <row r="35">
      <c r="A35" s="16">
        <f>IFERROR(__xludf.DUMMYFUNCTION("""COMPUTED_VALUE"""),13449.0)</f>
        <v>13449</v>
      </c>
      <c r="B35" s="16" t="str">
        <f>IFERROR(__xludf.DUMMYFUNCTION("""COMPUTED_VALUE"""),"Tyler Fitzgerald")</f>
        <v>Tyler Fitzgerald</v>
      </c>
      <c r="C35" s="16">
        <f>IFERROR(__xludf.DUMMYFUNCTION("""COMPUTED_VALUE"""),2.38)</f>
        <v>2.38</v>
      </c>
      <c r="D35" s="16" t="str">
        <f>IFERROR(__xludf.DUMMYFUNCTION("""COMPUTED_VALUE"""),"R")</f>
        <v>R</v>
      </c>
      <c r="E35" s="16"/>
      <c r="F35" s="16"/>
      <c r="G35" s="16">
        <f>IFERROR(__xludf.DUMMYFUNCTION("""COMPUTED_VALUE"""),314.0)</f>
        <v>314</v>
      </c>
      <c r="H35" s="16">
        <f>IFERROR(__xludf.DUMMYFUNCTION("""COMPUTED_VALUE"""),22.0)</f>
        <v>22</v>
      </c>
      <c r="I35" s="16" t="str">
        <f>IFERROR(__xludf.DUMMYFUNCTION("""COMPUTED_VALUE"""),"1p50")</f>
        <v>1p50</v>
      </c>
      <c r="J35" s="16">
        <f>IFERROR(__xludf.DUMMYFUNCTION("""COMPUTED_VALUE"""),40.0)</f>
        <v>40</v>
      </c>
      <c r="K35" s="16">
        <f>IFERROR(__xludf.DUMMYFUNCTION("""COMPUTED_VALUE"""),45.0)</f>
        <v>45</v>
      </c>
      <c r="L35" s="16">
        <f>IFERROR(__xludf.DUMMYFUNCTION("""COMPUTED_VALUE"""),-1.0)</f>
        <v>-1</v>
      </c>
      <c r="M35" s="16">
        <f>IFERROR(__xludf.DUMMYFUNCTION("""COMPUTED_VALUE"""),-2.0)</f>
        <v>-2</v>
      </c>
      <c r="N35" s="16">
        <f>IFERROR(__xludf.DUMMYFUNCTION("""COMPUTED_VALUE"""),-1.0)</f>
        <v>-1</v>
      </c>
      <c r="O35" s="16">
        <f>IFERROR(__xludf.DUMMYFUNCTION("""COMPUTED_VALUE"""),-2.0)</f>
        <v>-2</v>
      </c>
      <c r="P35" s="16">
        <f>IFERROR(__xludf.DUMMYFUNCTION("""COMPUTED_VALUE"""),4.0)</f>
        <v>4</v>
      </c>
      <c r="Q35" s="16">
        <f>IFERROR(__xludf.DUMMYFUNCTION("""COMPUTED_VALUE"""),7.0)</f>
        <v>7</v>
      </c>
      <c r="R35" s="16">
        <f>IFERROR(__xludf.DUMMYFUNCTION("""COMPUTED_VALUE"""),-2.0)</f>
        <v>-2</v>
      </c>
      <c r="S35" s="16">
        <f>IFERROR(__xludf.DUMMYFUNCTION("""COMPUTED_VALUE"""),-1.0)</f>
        <v>-1</v>
      </c>
      <c r="T35" s="16">
        <f>IFERROR(__xludf.DUMMYFUNCTION("""COMPUTED_VALUE"""),-2.0)</f>
        <v>-2</v>
      </c>
      <c r="U35" s="16">
        <f>IFERROR(__xludf.DUMMYFUNCTION("""COMPUTED_VALUE"""),-1.0)</f>
        <v>-1</v>
      </c>
      <c r="V35" s="16">
        <f>IFERROR(__xludf.DUMMYFUNCTION("""COMPUTED_VALUE"""),33.7)</f>
        <v>33.7</v>
      </c>
      <c r="W35" s="16">
        <f>IFERROR(__xludf.DUMMYFUNCTION("""COMPUTED_VALUE"""),23.0)</f>
        <v>23</v>
      </c>
      <c r="X35" s="16">
        <f>IFERROR(__xludf.DUMMYFUNCTION("""COMPUTED_VALUE"""),2.0)</f>
        <v>2</v>
      </c>
      <c r="Y35" s="16">
        <f>IFERROR(__xludf.DUMMYFUNCTION("""COMPUTED_VALUE"""),1.0)</f>
        <v>1</v>
      </c>
      <c r="Z35" s="16">
        <f>IFERROR(__xludf.DUMMYFUNCTION("""COMPUTED_VALUE"""),4.0)</f>
        <v>4</v>
      </c>
      <c r="AA35" s="16">
        <f>IFERROR(__xludf.DUMMYFUNCTION("""COMPUTED_VALUE"""),2.0)</f>
        <v>2</v>
      </c>
      <c r="AB35" s="16">
        <f>IFERROR(__xludf.DUMMYFUNCTION("""COMPUTED_VALUE"""),40.7)</f>
        <v>40.7</v>
      </c>
      <c r="AC35" s="16">
        <f>IFERROR(__xludf.DUMMYFUNCTION("""COMPUTED_VALUE"""),33.0)</f>
        <v>33</v>
      </c>
      <c r="AD35" s="16">
        <f>IFERROR(__xludf.DUMMYFUNCTION("""COMPUTED_VALUE"""),1.0)</f>
        <v>1</v>
      </c>
      <c r="AE35" s="16">
        <f>IFERROR(__xludf.DUMMYFUNCTION("""COMPUTED_VALUE"""),0.0)</f>
        <v>0</v>
      </c>
      <c r="AF35" s="16">
        <f>IFERROR(__xludf.DUMMYFUNCTION("""COMPUTED_VALUE"""),5.0)</f>
        <v>5</v>
      </c>
      <c r="AG35" s="16">
        <f>IFERROR(__xludf.DUMMYFUNCTION("""COMPUTED_VALUE"""),0.0)</f>
        <v>0</v>
      </c>
      <c r="AH35" s="16">
        <f>IFERROR(__xludf.DUMMYFUNCTION("""COMPUTED_VALUE"""),58.4)</f>
        <v>58.4</v>
      </c>
      <c r="AI35" s="16">
        <f>IFERROR(__xludf.DUMMYFUNCTION("""COMPUTED_VALUE"""),39.8)</f>
        <v>39.8</v>
      </c>
      <c r="AJ35" s="16">
        <f>IFERROR(__xludf.DUMMYFUNCTION("""COMPUTED_VALUE"""),2.0)</f>
        <v>2</v>
      </c>
      <c r="AK35" s="16">
        <f>IFERROR(__xludf.DUMMYFUNCTION("""COMPUTED_VALUE"""),1.0)</f>
        <v>1</v>
      </c>
      <c r="AL35" s="16">
        <f>IFERROR(__xludf.DUMMYFUNCTION("""COMPUTED_VALUE"""),10.0)</f>
        <v>10</v>
      </c>
      <c r="AM35" s="16">
        <f>IFERROR(__xludf.DUMMYFUNCTION("""COMPUTED_VALUE"""),5.0)</f>
        <v>5</v>
      </c>
      <c r="AN35" s="16">
        <f>IFERROR(__xludf.DUMMYFUNCTION("""COMPUTED_VALUE"""),5.0)</f>
        <v>5</v>
      </c>
      <c r="AO35" s="16">
        <f>IFERROR(__xludf.DUMMYFUNCTION("""COMPUTED_VALUE"""),3.2)</f>
        <v>3.2</v>
      </c>
      <c r="AP35" s="16">
        <f>IFERROR(__xludf.DUMMYFUNCTION("""COMPUTED_VALUE"""),3.0)</f>
        <v>3</v>
      </c>
      <c r="AQ35" s="16">
        <f>IFERROR(__xludf.DUMMYFUNCTION("""COMPUTED_VALUE"""),1.0)</f>
        <v>1</v>
      </c>
      <c r="AR35" s="16">
        <f>IFERROR(__xludf.DUMMYFUNCTION("""COMPUTED_VALUE"""),6.0)</f>
        <v>6</v>
      </c>
      <c r="AS35" s="16">
        <f>IFERROR(__xludf.DUMMYFUNCTION("""COMPUTED_VALUE"""),2.0)</f>
        <v>2</v>
      </c>
      <c r="AT35" s="16">
        <f>IFERROR(__xludf.DUMMYFUNCTION("""COMPUTED_VALUE"""),8.0)</f>
        <v>8</v>
      </c>
      <c r="AU35" s="16">
        <f>IFERROR(__xludf.DUMMYFUNCTION("""COMPUTED_VALUE"""),6.0)</f>
        <v>6</v>
      </c>
      <c r="AV35" s="16">
        <f>IFERROR(__xludf.DUMMYFUNCTION("""COMPUTED_VALUE"""),8.0)</f>
        <v>8</v>
      </c>
      <c r="AW35" s="16">
        <f>IFERROR(__xludf.DUMMYFUNCTION("""COMPUTED_VALUE"""),6.0)</f>
        <v>6</v>
      </c>
      <c r="AX35" s="16">
        <f>IFERROR(__xludf.DUMMYFUNCTION("""COMPUTED_VALUE"""),3.0)</f>
        <v>3</v>
      </c>
      <c r="AY35" s="16">
        <f>IFERROR(__xludf.DUMMYFUNCTION("""COMPUTED_VALUE"""),2.0)</f>
        <v>2</v>
      </c>
      <c r="AZ35" s="16">
        <f>IFERROR(__xludf.DUMMYFUNCTION("""COMPUTED_VALUE"""),9.0)</f>
        <v>9</v>
      </c>
      <c r="BA35" s="16">
        <f>IFERROR(__xludf.DUMMYFUNCTION("""COMPUTED_VALUE"""),6.0)</f>
        <v>6</v>
      </c>
      <c r="BB35" s="16">
        <f>IFERROR(__xludf.DUMMYFUNCTION("""COMPUTED_VALUE"""),5.0)</f>
        <v>5</v>
      </c>
      <c r="BC35" s="16">
        <f>IFERROR(__xludf.DUMMYFUNCTION("""COMPUTED_VALUE"""),5.0)</f>
        <v>5</v>
      </c>
      <c r="BD35" s="16">
        <f>IFERROR(__xludf.DUMMYFUNCTION("""COMPUTED_VALUE"""),1.0)</f>
        <v>1</v>
      </c>
      <c r="BE35" s="16">
        <f>IFERROR(__xludf.DUMMYFUNCTION("""COMPUTED_VALUE"""),1.0)</f>
        <v>1</v>
      </c>
      <c r="BF35" s="16">
        <f>IFERROR(__xludf.DUMMYFUNCTION("""COMPUTED_VALUE"""),1.0)</f>
        <v>1</v>
      </c>
      <c r="BG35" s="16">
        <f>IFERROR(__xludf.DUMMYFUNCTION("""COMPUTED_VALUE"""),1.0)</f>
        <v>1</v>
      </c>
      <c r="BH35" s="16">
        <f>IFERROR(__xludf.DUMMYFUNCTION("""COMPUTED_VALUE"""),-14.0)</f>
        <v>-14</v>
      </c>
      <c r="BI35" s="16">
        <f>IFERROR(__xludf.DUMMYFUNCTION("""COMPUTED_VALUE"""),-11.0)</f>
        <v>-11</v>
      </c>
      <c r="BJ35" s="16">
        <f>IFERROR(__xludf.DUMMYFUNCTION("""COMPUTED_VALUE"""),0.0)</f>
        <v>0</v>
      </c>
      <c r="BK35" s="16">
        <f>IFERROR(__xludf.DUMMYFUNCTION("""COMPUTED_VALUE"""),1.0)</f>
        <v>1</v>
      </c>
      <c r="BL35" s="16">
        <f>IFERROR(__xludf.DUMMYFUNCTION("""COMPUTED_VALUE"""),3.0)</f>
        <v>3</v>
      </c>
      <c r="BM35" s="16">
        <f>IFERROR(__xludf.DUMMYFUNCTION("""COMPUTED_VALUE"""),2.0)</f>
        <v>2</v>
      </c>
      <c r="BN35" s="16">
        <f>IFERROR(__xludf.DUMMYFUNCTION("""COMPUTED_VALUE"""),3.0)</f>
        <v>3</v>
      </c>
      <c r="BO35" s="16">
        <f>IFERROR(__xludf.DUMMYFUNCTION("""COMPUTED_VALUE"""),2.0)</f>
        <v>2</v>
      </c>
      <c r="BP35" s="16">
        <f>IFERROR(__xludf.DUMMYFUNCTION("""COMPUTED_VALUE"""),12.0)</f>
        <v>12</v>
      </c>
      <c r="BQ35" s="16">
        <f>IFERROR(__xludf.DUMMYFUNCTION("""COMPUTED_VALUE"""),5.0)</f>
        <v>5</v>
      </c>
      <c r="BR35" s="16">
        <f>IFERROR(__xludf.DUMMYFUNCTION("""COMPUTED_VALUE"""),17.0)</f>
        <v>17</v>
      </c>
      <c r="BS35" s="16" t="str">
        <f>IFERROR(__xludf.DUMMYFUNCTION("""COMPUTED_VALUE"""),"*4-6/- (19-13)")</f>
        <v>*4-6/- (19-13)</v>
      </c>
      <c r="BT35" s="16" t="str">
        <f>IFERROR(__xludf.DUMMYFUNCTION("""COMPUTED_VALUE"""),"A")</f>
        <v>A</v>
      </c>
      <c r="BU35" s="16">
        <f>IFERROR(__xludf.DUMMYFUNCTION("""COMPUTED_VALUE"""),17.0)</f>
        <v>17</v>
      </c>
      <c r="BV35" s="16">
        <f>IFERROR(__xludf.DUMMYFUNCTION("""COMPUTED_VALUE"""),2.0)</f>
        <v>2</v>
      </c>
      <c r="BW35" s="16">
        <f>IFERROR(__xludf.DUMMYFUNCTION("""COMPUTED_VALUE"""),3.0)</f>
        <v>3</v>
      </c>
      <c r="BX35" s="16">
        <f>IFERROR(__xludf.DUMMYFUNCTION("""COMPUTED_VALUE"""),4.0)</f>
        <v>4</v>
      </c>
      <c r="BY35" s="16">
        <f>IFERROR(__xludf.DUMMYFUNCTION("""COMPUTED_VALUE"""),9.0)</f>
        <v>9</v>
      </c>
      <c r="BZ35" s="16" t="str">
        <f>IFERROR(__xludf.DUMMYFUNCTION("""COMPUTED_VALUE"""),"C")</f>
        <v>C</v>
      </c>
      <c r="CA35" s="16" t="str">
        <f>IFERROR(__xludf.DUMMYFUNCTION("""COMPUTED_VALUE"""),"D")</f>
        <v>D</v>
      </c>
      <c r="CB35" s="16">
        <f>IFERROR(__xludf.DUMMYFUNCTION("""COMPUTED_VALUE"""),0.0)</f>
        <v>0</v>
      </c>
      <c r="CC35" s="16">
        <f>IFERROR(__xludf.DUMMYFUNCTION("""COMPUTED_VALUE"""),0.0)</f>
        <v>0</v>
      </c>
      <c r="CD35" s="16">
        <f>IFERROR(__xludf.DUMMYFUNCTION("""COMPUTED_VALUE"""),0.0)</f>
        <v>0</v>
      </c>
      <c r="CE35" s="16">
        <f>IFERROR(__xludf.DUMMYFUNCTION("""COMPUTED_VALUE"""),0.0)</f>
        <v>0</v>
      </c>
      <c r="CF35" s="16">
        <f>IFERROR(__xludf.DUMMYFUNCTION("""COMPUTED_VALUE"""),1.0)</f>
        <v>1</v>
      </c>
      <c r="CG35" s="16">
        <f>IFERROR(__xludf.DUMMYFUNCTION("""COMPUTED_VALUE"""),35.0)</f>
        <v>35</v>
      </c>
      <c r="CH35" s="16">
        <f>IFERROR(__xludf.DUMMYFUNCTION("""COMPUTED_VALUE"""),15.0)</f>
        <v>15</v>
      </c>
      <c r="CI35" s="179">
        <f>IFERROR(__xludf.DUMMYFUNCTION("""COMPUTED_VALUE"""),27.0)</f>
        <v>27</v>
      </c>
      <c r="CJ35" s="16"/>
      <c r="CK35" s="16">
        <f>IFERROR(__xludf.DUMMYFUNCTION("""COMPUTED_VALUE"""),425.0)</f>
        <v>425</v>
      </c>
      <c r="CL35" s="16">
        <f>IFERROR(__xludf.DUMMYFUNCTION("""COMPUTED_VALUE"""),437.0)</f>
        <v>437</v>
      </c>
      <c r="CM35" s="16"/>
      <c r="CN35" s="16">
        <f>IFERROR(__xludf.DUMMYFUNCTION("""COMPUTED_VALUE"""),327.0)</f>
        <v>327</v>
      </c>
      <c r="CO35" s="16">
        <f>IFERROR(__xludf.DUMMYFUNCTION("""COMPUTED_VALUE"""),425.0)</f>
        <v>425</v>
      </c>
      <c r="CP35" s="16">
        <f>IFERROR(__xludf.DUMMYFUNCTION("""COMPUTED_VALUE"""),425.0)</f>
        <v>425</v>
      </c>
      <c r="CQ35" s="16"/>
      <c r="CR35" s="16" t="str">
        <f>IFERROR(__xludf.DUMMYFUNCTION("""COMPUTED_VALUE"""),"ss-3e27 cf-4(0)e25 2b-4e37 lf-4e25 1b-4e25")</f>
        <v>ss-3e27 cf-4(0)e25 2b-4e37 lf-4e25 1b-4e25</v>
      </c>
      <c r="CS35" s="16"/>
      <c r="CT35" s="16">
        <f>IFERROR(__xludf.DUMMYFUNCTION("""COMPUTED_VALUE"""),4.0)</f>
        <v>4</v>
      </c>
      <c r="CU35" s="16">
        <f>IFERROR(__xludf.DUMMYFUNCTION("""COMPUTED_VALUE"""),4.0)</f>
        <v>4</v>
      </c>
      <c r="CV35" s="16"/>
      <c r="CW35" s="16">
        <f>IFERROR(__xludf.DUMMYFUNCTION("""COMPUTED_VALUE"""),3.0)</f>
        <v>3</v>
      </c>
      <c r="CX35" s="16">
        <f>IFERROR(__xludf.DUMMYFUNCTION("""COMPUTED_VALUE"""),4.0)</f>
        <v>4</v>
      </c>
      <c r="CY35" s="16">
        <f>IFERROR(__xludf.DUMMYFUNCTION("""COMPUTED_VALUE"""),4.0)</f>
        <v>4</v>
      </c>
      <c r="CZ35" s="16"/>
      <c r="DA35" s="16"/>
      <c r="DB35" s="16">
        <f>IFERROR(__xludf.DUMMYFUNCTION("""COMPUTED_VALUE"""),25.0)</f>
        <v>25</v>
      </c>
      <c r="DC35" s="16">
        <f>IFERROR(__xludf.DUMMYFUNCTION("""COMPUTED_VALUE"""),37.0)</f>
        <v>37</v>
      </c>
      <c r="DD35" s="16"/>
      <c r="DE35" s="16">
        <f>IFERROR(__xludf.DUMMYFUNCTION("""COMPUTED_VALUE"""),27.0)</f>
        <v>27</v>
      </c>
      <c r="DF35" s="16">
        <f>IFERROR(__xludf.DUMMYFUNCTION("""COMPUTED_VALUE"""),25.0)</f>
        <v>25</v>
      </c>
      <c r="DG35" s="16">
        <f>IFERROR(__xludf.DUMMYFUNCTION("""COMPUTED_VALUE"""),25.0)</f>
        <v>25</v>
      </c>
      <c r="DH35" s="16"/>
      <c r="DI35" s="16"/>
      <c r="DJ35" s="16">
        <f>IFERROR(__xludf.DUMMYFUNCTION("""COMPUTED_VALUE"""),0.0)</f>
        <v>0</v>
      </c>
      <c r="DK35" s="16">
        <f>IFERROR(__xludf.DUMMYFUNCTION("""COMPUTED_VALUE"""),-2.0)</f>
        <v>-2</v>
      </c>
      <c r="DL35" s="16"/>
      <c r="DM35" s="16">
        <f>IFERROR(__xludf.DUMMYFUNCTION("""COMPUTED_VALUE"""),0.0)</f>
        <v>0</v>
      </c>
      <c r="DN35" s="16">
        <f>IFERROR(__xludf.DUMMYFUNCTION("""COMPUTED_VALUE"""),-1.0)</f>
        <v>-1</v>
      </c>
      <c r="DO35" s="16">
        <f>IFERROR(__xludf.DUMMYFUNCTION("""COMPUTED_VALUE"""),-2.0)</f>
        <v>-2</v>
      </c>
      <c r="DP35" s="16"/>
      <c r="DQ35" s="16"/>
      <c r="DR35" s="16">
        <f>IFERROR(__xludf.DUMMYFUNCTION("""COMPUTED_VALUE"""),-2.0)</f>
        <v>-2</v>
      </c>
      <c r="DS35" s="16">
        <f>IFERROR(__xludf.DUMMYFUNCTION("""COMPUTED_VALUE"""),-2.0)</f>
        <v>-2</v>
      </c>
      <c r="DT35" s="16"/>
      <c r="DU35" s="16">
        <f>IFERROR(__xludf.DUMMYFUNCTION("""COMPUTED_VALUE"""),-2.0)</f>
        <v>-2</v>
      </c>
      <c r="DV35" s="16">
        <f>IFERROR(__xludf.DUMMYFUNCTION("""COMPUTED_VALUE"""),-4.0)</f>
        <v>-4</v>
      </c>
      <c r="DW35" s="16">
        <f>IFERROR(__xludf.DUMMYFUNCTION("""COMPUTED_VALUE"""),-2.0)</f>
        <v>-2</v>
      </c>
      <c r="DX35" s="16"/>
      <c r="DY35" s="16"/>
      <c r="DZ35" s="16">
        <f>IFERROR(__xludf.DUMMYFUNCTION("""COMPUTED_VALUE"""),-2.0)</f>
        <v>-2</v>
      </c>
      <c r="EA35" s="16">
        <f>IFERROR(__xludf.DUMMYFUNCTION("""COMPUTED_VALUE"""),-4.0)</f>
        <v>-4</v>
      </c>
      <c r="EB35" s="16"/>
      <c r="EC35" s="16">
        <f>IFERROR(__xludf.DUMMYFUNCTION("""COMPUTED_VALUE"""),-2.0)</f>
        <v>-2</v>
      </c>
      <c r="ED35" s="16">
        <f>IFERROR(__xludf.DUMMYFUNCTION("""COMPUTED_VALUE"""),-5.0)</f>
        <v>-5</v>
      </c>
      <c r="EE35" s="16">
        <f>IFERROR(__xludf.DUMMYFUNCTION("""COMPUTED_VALUE"""),-4.0)</f>
        <v>-4</v>
      </c>
      <c r="EF35" s="16"/>
      <c r="EG35" s="179"/>
      <c r="EH35" s="179">
        <f>IFERROR(__xludf.DUMMYFUNCTION("""COMPUTED_VALUE"""),25.0)</f>
        <v>25</v>
      </c>
      <c r="EI35" s="179">
        <f>IFERROR(__xludf.DUMMYFUNCTION("""COMPUTED_VALUE"""),23.0)</f>
        <v>23</v>
      </c>
      <c r="EJ35" s="179"/>
      <c r="EK35" s="179">
        <f>IFERROR(__xludf.DUMMYFUNCTION("""COMPUTED_VALUE"""),25.0)</f>
        <v>25</v>
      </c>
      <c r="EL35" s="179">
        <f>IFERROR(__xludf.DUMMYFUNCTION("""COMPUTED_VALUE"""),22.0)</f>
        <v>22</v>
      </c>
      <c r="EM35" s="179">
        <f>IFERROR(__xludf.DUMMYFUNCTION("""COMPUTED_VALUE"""),23.0)</f>
        <v>23</v>
      </c>
      <c r="EN35" s="179"/>
      <c r="EO35" s="16"/>
      <c r="EP35" s="16"/>
      <c r="EQ35" s="16">
        <f>IFERROR(__xludf.DUMMYFUNCTION("""COMPUTED_VALUE"""),4.0)</f>
        <v>4</v>
      </c>
      <c r="ER35" s="16">
        <f>IFERROR(__xludf.DUMMYFUNCTION("""COMPUTED_VALUE"""),0.0)</f>
        <v>0</v>
      </c>
      <c r="ES35" s="16"/>
      <c r="ET35" s="16"/>
      <c r="EU35" s="16"/>
      <c r="EV35" s="16"/>
      <c r="EW35" s="16"/>
      <c r="EX35" s="180"/>
      <c r="EY35" s="180">
        <f>IFERROR(__xludf.DUMMYFUNCTION("""COMPUTED_VALUE"""),0.3)</f>
        <v>0.3</v>
      </c>
      <c r="EZ35" s="180">
        <f>IFERROR(__xludf.DUMMYFUNCTION("""COMPUTED_VALUE"""),0.3)</f>
        <v>0.3</v>
      </c>
      <c r="FA35" s="180"/>
      <c r="FB35" s="180">
        <f>IFERROR(__xludf.DUMMYFUNCTION("""COMPUTED_VALUE"""),0.2)</f>
        <v>0.2</v>
      </c>
      <c r="FC35" s="180">
        <f>IFERROR(__xludf.DUMMYFUNCTION("""COMPUTED_VALUE"""),0.55)</f>
        <v>0.55</v>
      </c>
      <c r="FD35" s="180">
        <f>IFERROR(__xludf.DUMMYFUNCTION("""COMPUTED_VALUE"""),0.55)</f>
        <v>0.55</v>
      </c>
      <c r="FE35" s="180"/>
      <c r="FF35" s="180"/>
      <c r="FG35" s="180">
        <f>IFERROR(__xludf.DUMMYFUNCTION("""COMPUTED_VALUE"""),0.44907407407407407)</f>
        <v>0.4490740741</v>
      </c>
      <c r="FH35" s="180">
        <f>IFERROR(__xludf.DUMMYFUNCTION("""COMPUTED_VALUE"""),0.2222222222222222)</f>
        <v>0.2222222222</v>
      </c>
      <c r="FI35" s="180"/>
      <c r="FJ35" s="180">
        <f>IFERROR(__xludf.DUMMYFUNCTION("""COMPUTED_VALUE"""),0.1388888888888889)</f>
        <v>0.1388888889</v>
      </c>
      <c r="FK35" s="180">
        <f>IFERROR(__xludf.DUMMYFUNCTION("""COMPUTED_VALUE"""),0.449)</f>
        <v>0.449</v>
      </c>
      <c r="FL35" s="180">
        <f>IFERROR(__xludf.DUMMYFUNCTION("""COMPUTED_VALUE"""),0.30092592592592593)</f>
        <v>0.3009259259</v>
      </c>
      <c r="FM35" s="180"/>
      <c r="FN35" s="16"/>
      <c r="FO35" s="16">
        <f>IFERROR(__xludf.DUMMYFUNCTION("""COMPUTED_VALUE"""),0.38564814814814813)</f>
        <v>0.3856481481</v>
      </c>
      <c r="FP35" s="16">
        <f>IFERROR(__xludf.DUMMYFUNCTION("""COMPUTED_VALUE"""),0.5444444444444444)</f>
        <v>0.5444444444</v>
      </c>
      <c r="FQ35" s="16"/>
      <c r="FR35" s="16">
        <f>IFERROR(__xludf.DUMMYFUNCTION("""COMPUTED_VALUE"""),0.688888888888889)</f>
        <v>0.6888888889</v>
      </c>
      <c r="FS35" s="16">
        <f>IFERROR(__xludf.DUMMYFUNCTION("""COMPUTED_VALUE"""),0.24794999999999995)</f>
        <v>0.24795</v>
      </c>
      <c r="FT35" s="16">
        <f>IFERROR(__xludf.DUMMYFUNCTION("""COMPUTED_VALUE"""),0.3145833333333333)</f>
        <v>0.3145833333</v>
      </c>
      <c r="FU35" s="16"/>
      <c r="FV35" s="16"/>
      <c r="FW35" s="16">
        <f>IFERROR(__xludf.DUMMYFUNCTION("""COMPUTED_VALUE"""),-8.0)</f>
        <v>-8</v>
      </c>
      <c r="FX35" s="16">
        <f>IFERROR(__xludf.DUMMYFUNCTION("""COMPUTED_VALUE"""),-8.0)</f>
        <v>-8</v>
      </c>
      <c r="FY35" s="16"/>
      <c r="FZ35" s="16">
        <f>IFERROR(__xludf.DUMMYFUNCTION("""COMPUTED_VALUE"""),-4.0)</f>
        <v>-4</v>
      </c>
      <c r="GA35" s="16">
        <f>IFERROR(__xludf.DUMMYFUNCTION("""COMPUTED_VALUE"""),-8.0)</f>
        <v>-8</v>
      </c>
      <c r="GB35" s="16">
        <f>IFERROR(__xludf.DUMMYFUNCTION("""COMPUTED_VALUE"""),-8.0)</f>
        <v>-8</v>
      </c>
      <c r="GC35" s="16"/>
      <c r="GD35" s="16" t="s">
        <v>3115</v>
      </c>
    </row>
    <row r="36">
      <c r="A36" s="16">
        <f>IFERROR(__xludf.DUMMYFUNCTION("""COMPUTED_VALUE"""),12508.0)</f>
        <v>12508</v>
      </c>
      <c r="B36" s="16" t="str">
        <f>IFERROR(__xludf.DUMMYFUNCTION("""COMPUTED_VALUE"""),"Adrian Del Castillo")</f>
        <v>Adrian Del Castillo</v>
      </c>
      <c r="C36" s="16">
        <f>IFERROR(__xludf.DUMMYFUNCTION("""COMPUTED_VALUE"""),1.67)</f>
        <v>1.67</v>
      </c>
      <c r="D36" s="16" t="str">
        <f>IFERROR(__xludf.DUMMYFUNCTION("""COMPUTED_VALUE"""),"L")</f>
        <v>L</v>
      </c>
      <c r="E36" s="16"/>
      <c r="F36" s="16"/>
      <c r="G36" s="16">
        <f>IFERROR(__xludf.DUMMYFUNCTION("""COMPUTED_VALUE"""),80.0)</f>
        <v>80</v>
      </c>
      <c r="H36" s="16">
        <f>IFERROR(__xludf.DUMMYFUNCTION("""COMPUTED_VALUE"""),7.0)</f>
        <v>7</v>
      </c>
      <c r="I36" s="16" t="str">
        <f>IFERROR(__xludf.DUMMYFUNCTION("""COMPUTED_VALUE"""),"2p20")</f>
        <v>2p20</v>
      </c>
      <c r="J36" s="16">
        <f>IFERROR(__xludf.DUMMYFUNCTION("""COMPUTED_VALUE"""),42.0)</f>
        <v>42</v>
      </c>
      <c r="K36" s="16">
        <f>IFERROR(__xludf.DUMMYFUNCTION("""COMPUTED_VALUE"""),44.0)</f>
        <v>44</v>
      </c>
      <c r="L36" s="16">
        <f>IFERROR(__xludf.DUMMYFUNCTION("""COMPUTED_VALUE"""),-1.0)</f>
        <v>-1</v>
      </c>
      <c r="M36" s="16">
        <f>IFERROR(__xludf.DUMMYFUNCTION("""COMPUTED_VALUE"""),-2.0)</f>
        <v>-2</v>
      </c>
      <c r="N36" s="16">
        <f>IFERROR(__xludf.DUMMYFUNCTION("""COMPUTED_VALUE"""),-1.0)</f>
        <v>-1</v>
      </c>
      <c r="O36" s="16">
        <f>IFERROR(__xludf.DUMMYFUNCTION("""COMPUTED_VALUE"""),-2.0)</f>
        <v>-2</v>
      </c>
      <c r="P36" s="16">
        <f>IFERROR(__xludf.DUMMYFUNCTION("""COMPUTED_VALUE"""),0.0)</f>
        <v>0</v>
      </c>
      <c r="Q36" s="16">
        <f>IFERROR(__xludf.DUMMYFUNCTION("""COMPUTED_VALUE"""),12.0)</f>
        <v>12</v>
      </c>
      <c r="R36" s="16">
        <f>IFERROR(__xludf.DUMMYFUNCTION("""COMPUTED_VALUE"""),-3.0)</f>
        <v>-3</v>
      </c>
      <c r="S36" s="16">
        <f>IFERROR(__xludf.DUMMYFUNCTION("""COMPUTED_VALUE"""),1.0)</f>
        <v>1</v>
      </c>
      <c r="T36" s="16">
        <f>IFERROR(__xludf.DUMMYFUNCTION("""COMPUTED_VALUE"""),-3.0)</f>
        <v>-3</v>
      </c>
      <c r="U36" s="16">
        <f>IFERROR(__xludf.DUMMYFUNCTION("""COMPUTED_VALUE"""),1.0)</f>
        <v>1</v>
      </c>
      <c r="V36" s="16">
        <f>IFERROR(__xludf.DUMMYFUNCTION("""COMPUTED_VALUE"""),50.3)</f>
        <v>50.3</v>
      </c>
      <c r="W36" s="16">
        <f>IFERROR(__xludf.DUMMYFUNCTION("""COMPUTED_VALUE"""),27.3)</f>
        <v>27.3</v>
      </c>
      <c r="X36" s="16">
        <f>IFERROR(__xludf.DUMMYFUNCTION("""COMPUTED_VALUE"""),3.0)</f>
        <v>3</v>
      </c>
      <c r="Y36" s="16">
        <f>IFERROR(__xludf.DUMMYFUNCTION("""COMPUTED_VALUE"""),1.0)</f>
        <v>1</v>
      </c>
      <c r="Z36" s="16">
        <f>IFERROR(__xludf.DUMMYFUNCTION("""COMPUTED_VALUE"""),6.0)</f>
        <v>6</v>
      </c>
      <c r="AA36" s="16">
        <f>IFERROR(__xludf.DUMMYFUNCTION("""COMPUTED_VALUE"""),2.0)</f>
        <v>2</v>
      </c>
      <c r="AB36" s="16">
        <f>IFERROR(__xludf.DUMMYFUNCTION("""COMPUTED_VALUE"""),50.3)</f>
        <v>50.3</v>
      </c>
      <c r="AC36" s="16">
        <f>IFERROR(__xludf.DUMMYFUNCTION("""COMPUTED_VALUE"""),39.3)</f>
        <v>39.3</v>
      </c>
      <c r="AD36" s="16">
        <f>IFERROR(__xludf.DUMMYFUNCTION("""COMPUTED_VALUE"""),2.0)</f>
        <v>2</v>
      </c>
      <c r="AE36" s="16">
        <f>IFERROR(__xludf.DUMMYFUNCTION("""COMPUTED_VALUE"""),1.0)</f>
        <v>1</v>
      </c>
      <c r="AF36" s="16">
        <f>IFERROR(__xludf.DUMMYFUNCTION("""COMPUTED_VALUE"""),10.0)</f>
        <v>10</v>
      </c>
      <c r="AG36" s="16">
        <f>IFERROR(__xludf.DUMMYFUNCTION("""COMPUTED_VALUE"""),5.0)</f>
        <v>5</v>
      </c>
      <c r="AH36" s="16">
        <f>IFERROR(__xludf.DUMMYFUNCTION("""COMPUTED_VALUE"""),69.0)</f>
        <v>69</v>
      </c>
      <c r="AI36" s="16">
        <f>IFERROR(__xludf.DUMMYFUNCTION("""COMPUTED_VALUE"""),52.3)</f>
        <v>52.3</v>
      </c>
      <c r="AJ36" s="16">
        <f>IFERROR(__xludf.DUMMYFUNCTION("""COMPUTED_VALUE"""),3.0)</f>
        <v>3</v>
      </c>
      <c r="AK36" s="16">
        <f>IFERROR(__xludf.DUMMYFUNCTION("""COMPUTED_VALUE"""),2.0)</f>
        <v>2</v>
      </c>
      <c r="AL36" s="16">
        <f>IFERROR(__xludf.DUMMYFUNCTION("""COMPUTED_VALUE"""),15.0)</f>
        <v>15</v>
      </c>
      <c r="AM36" s="16">
        <f>IFERROR(__xludf.DUMMYFUNCTION("""COMPUTED_VALUE"""),10.0)</f>
        <v>10</v>
      </c>
      <c r="AN36" s="16">
        <f>IFERROR(__xludf.DUMMYFUNCTION("""COMPUTED_VALUE"""),0.0)</f>
        <v>0</v>
      </c>
      <c r="AO36" s="16">
        <f>IFERROR(__xludf.DUMMYFUNCTION("""COMPUTED_VALUE"""),7.0)</f>
        <v>7</v>
      </c>
      <c r="AP36" s="16">
        <f>IFERROR(__xludf.DUMMYFUNCTION("""COMPUTED_VALUE"""),-2.0)</f>
        <v>-2</v>
      </c>
      <c r="AQ36" s="16">
        <f>IFERROR(__xludf.DUMMYFUNCTION("""COMPUTED_VALUE"""),3.0)</f>
        <v>3</v>
      </c>
      <c r="AR36" s="16">
        <f>IFERROR(__xludf.DUMMYFUNCTION("""COMPUTED_VALUE"""),-4.0)</f>
        <v>-4</v>
      </c>
      <c r="AS36" s="16">
        <f>IFERROR(__xludf.DUMMYFUNCTION("""COMPUTED_VALUE"""),6.0)</f>
        <v>6</v>
      </c>
      <c r="AT36" s="16"/>
      <c r="AU36" s="16">
        <f>IFERROR(__xludf.DUMMYFUNCTION("""COMPUTED_VALUE"""),8.0)</f>
        <v>8</v>
      </c>
      <c r="AV36" s="16">
        <f>IFERROR(__xludf.DUMMYFUNCTION("""COMPUTED_VALUE"""),-3.0)</f>
        <v>-3</v>
      </c>
      <c r="AW36" s="16">
        <f>IFERROR(__xludf.DUMMYFUNCTION("""COMPUTED_VALUE"""),8.0)</f>
        <v>8</v>
      </c>
      <c r="AX36" s="16">
        <f>IFERROR(__xludf.DUMMYFUNCTION("""COMPUTED_VALUE"""),-3.0)</f>
        <v>-3</v>
      </c>
      <c r="AY36" s="16">
        <f>IFERROR(__xludf.DUMMYFUNCTION("""COMPUTED_VALUE"""),3.0)</f>
        <v>3</v>
      </c>
      <c r="AZ36" s="16">
        <f>IFERROR(__xludf.DUMMYFUNCTION("""COMPUTED_VALUE"""),-9.0)</f>
        <v>-9</v>
      </c>
      <c r="BA36" s="16">
        <f>IFERROR(__xludf.DUMMYFUNCTION("""COMPUTED_VALUE"""),9.0)</f>
        <v>9</v>
      </c>
      <c r="BB36" s="16">
        <f>IFERROR(__xludf.DUMMYFUNCTION("""COMPUTED_VALUE"""),5.0)</f>
        <v>5</v>
      </c>
      <c r="BC36" s="16">
        <f>IFERROR(__xludf.DUMMYFUNCTION("""COMPUTED_VALUE"""),5.0)</f>
        <v>5</v>
      </c>
      <c r="BD36" s="16">
        <f>IFERROR(__xludf.DUMMYFUNCTION("""COMPUTED_VALUE"""),1.0)</f>
        <v>1</v>
      </c>
      <c r="BE36" s="16">
        <f>IFERROR(__xludf.DUMMYFUNCTION("""COMPUTED_VALUE"""),1.0)</f>
        <v>1</v>
      </c>
      <c r="BF36" s="16">
        <f>IFERROR(__xludf.DUMMYFUNCTION("""COMPUTED_VALUE"""),1.0)</f>
        <v>1</v>
      </c>
      <c r="BG36" s="16">
        <f>IFERROR(__xludf.DUMMYFUNCTION("""COMPUTED_VALUE"""),1.0)</f>
        <v>1</v>
      </c>
      <c r="BH36" s="16">
        <f>IFERROR(__xludf.DUMMYFUNCTION("""COMPUTED_VALUE"""),-5.0)</f>
        <v>-5</v>
      </c>
      <c r="BI36" s="16">
        <f>IFERROR(__xludf.DUMMYFUNCTION("""COMPUTED_VALUE"""),-4.0)</f>
        <v>-4</v>
      </c>
      <c r="BJ36" s="16">
        <f>IFERROR(__xludf.DUMMYFUNCTION("""COMPUTED_VALUE"""),7.0)</f>
        <v>7</v>
      </c>
      <c r="BK36" s="16">
        <f>IFERROR(__xludf.DUMMYFUNCTION("""COMPUTED_VALUE"""),9.0)</f>
        <v>9</v>
      </c>
      <c r="BL36" s="16">
        <f>IFERROR(__xludf.DUMMYFUNCTION("""COMPUTED_VALUE"""),1.0)</f>
        <v>1</v>
      </c>
      <c r="BM36" s="16">
        <f>IFERROR(__xludf.DUMMYFUNCTION("""COMPUTED_VALUE"""),1.0)</f>
        <v>1</v>
      </c>
      <c r="BN36" s="16">
        <f>IFERROR(__xludf.DUMMYFUNCTION("""COMPUTED_VALUE"""),1.0)</f>
        <v>1</v>
      </c>
      <c r="BO36" s="16">
        <f>IFERROR(__xludf.DUMMYFUNCTION("""COMPUTED_VALUE"""),1.0)</f>
        <v>1</v>
      </c>
      <c r="BP36" s="16">
        <f>IFERROR(__xludf.DUMMYFUNCTION("""COMPUTED_VALUE"""),1.0)</f>
        <v>1</v>
      </c>
      <c r="BQ36" s="16">
        <f>IFERROR(__xludf.DUMMYFUNCTION("""COMPUTED_VALUE"""),11.0)</f>
        <v>11</v>
      </c>
      <c r="BR36" s="16">
        <f>IFERROR(__xludf.DUMMYFUNCTION("""COMPUTED_VALUE"""),12.0)</f>
        <v>12</v>
      </c>
      <c r="BS36" s="16" t="str">
        <f>IFERROR(__xludf.DUMMYFUNCTION("""COMPUTED_VALUE"""),"2-5,11,12/9 (13-6)")</f>
        <v>2-5,11,12/9 (13-6)</v>
      </c>
      <c r="BT36" s="16" t="str">
        <f>IFERROR(__xludf.DUMMYFUNCTION("""COMPUTED_VALUE"""),"D")</f>
        <v>D</v>
      </c>
      <c r="BU36" s="16">
        <f>IFERROR(__xludf.DUMMYFUNCTION("""COMPUTED_VALUE"""),9.0)</f>
        <v>9</v>
      </c>
      <c r="BV36" s="16">
        <f>IFERROR(__xludf.DUMMYFUNCTION("""COMPUTED_VALUE"""),0.0)</f>
        <v>0</v>
      </c>
      <c r="BW36" s="16">
        <f>IFERROR(__xludf.DUMMYFUNCTION("""COMPUTED_VALUE"""),-1.0)</f>
        <v>-1</v>
      </c>
      <c r="BX36" s="16">
        <f>IFERROR(__xludf.DUMMYFUNCTION("""COMPUTED_VALUE"""),0.0)</f>
        <v>0</v>
      </c>
      <c r="BY36" s="16">
        <f>IFERROR(__xludf.DUMMYFUNCTION("""COMPUTED_VALUE"""),-3.0)</f>
        <v>-3</v>
      </c>
      <c r="BZ36" s="16" t="str">
        <f>IFERROR(__xludf.DUMMYFUNCTION("""COMPUTED_VALUE"""),"D")</f>
        <v>D</v>
      </c>
      <c r="CA36" s="16" t="str">
        <f>IFERROR(__xludf.DUMMYFUNCTION("""COMPUTED_VALUE"""),"D")</f>
        <v>D</v>
      </c>
      <c r="CB36" s="16">
        <f>IFERROR(__xludf.DUMMYFUNCTION("""COMPUTED_VALUE"""),0.0)</f>
        <v>0</v>
      </c>
      <c r="CC36" s="16">
        <f>IFERROR(__xludf.DUMMYFUNCTION("""COMPUTED_VALUE"""),0.0)</f>
        <v>0</v>
      </c>
      <c r="CD36" s="16">
        <f>IFERROR(__xludf.DUMMYFUNCTION("""COMPUTED_VALUE"""),0.0)</f>
        <v>0</v>
      </c>
      <c r="CE36" s="16">
        <f>IFERROR(__xludf.DUMMYFUNCTION("""COMPUTED_VALUE"""),0.0)</f>
        <v>0</v>
      </c>
      <c r="CF36" s="16">
        <f>IFERROR(__xludf.DUMMYFUNCTION("""COMPUTED_VALUE"""),2.0)</f>
        <v>2</v>
      </c>
      <c r="CG36" s="16">
        <f>IFERROR(__xludf.DUMMYFUNCTION("""COMPUTED_VALUE"""),16.0)</f>
        <v>16</v>
      </c>
      <c r="CH36" s="16">
        <f>IFERROR(__xludf.DUMMYFUNCTION("""COMPUTED_VALUE"""),33.0)</f>
        <v>33</v>
      </c>
      <c r="CI36" s="179">
        <f>IFERROR(__xludf.DUMMYFUNCTION("""COMPUTED_VALUE"""),26.0)</f>
        <v>26</v>
      </c>
      <c r="CJ36" s="16">
        <f>IFERROR(__xludf.DUMMYFUNCTION("""COMPUTED_VALUE"""),408.0)</f>
        <v>408</v>
      </c>
      <c r="CK36" s="16"/>
      <c r="CL36" s="16"/>
      <c r="CM36" s="16"/>
      <c r="CN36" s="16"/>
      <c r="CO36" s="16"/>
      <c r="CP36" s="16"/>
      <c r="CQ36" s="16"/>
      <c r="CR36" s="16" t="str">
        <f>IFERROR(__xludf.DUMMYFUNCTION("""COMPUTED_VALUE"""),"c-4(+3)e8,T-9(pb-0)")</f>
        <v>c-4(+3)e8,T-9(pb-0)</v>
      </c>
      <c r="CS36" s="16">
        <f>IFERROR(__xludf.DUMMYFUNCTION("""COMPUTED_VALUE"""),4.0)</f>
        <v>4</v>
      </c>
      <c r="CT36" s="16"/>
      <c r="CU36" s="16"/>
      <c r="CV36" s="16"/>
      <c r="CW36" s="16"/>
      <c r="CX36" s="16"/>
      <c r="CY36" s="16"/>
      <c r="CZ36" s="16"/>
      <c r="DA36" s="16">
        <f>IFERROR(__xludf.DUMMYFUNCTION("""COMPUTED_VALUE"""),8.0)</f>
        <v>8</v>
      </c>
      <c r="DB36" s="16"/>
      <c r="DC36" s="16"/>
      <c r="DD36" s="16"/>
      <c r="DE36" s="16"/>
      <c r="DF36" s="16"/>
      <c r="DG36" s="16"/>
      <c r="DH36" s="16"/>
      <c r="DI36" s="16">
        <f>IFERROR(__xludf.DUMMYFUNCTION("""COMPUTED_VALUE"""),-2.0)</f>
        <v>-2</v>
      </c>
      <c r="DJ36" s="16"/>
      <c r="DK36" s="16"/>
      <c r="DL36" s="16"/>
      <c r="DM36" s="16"/>
      <c r="DN36" s="16"/>
      <c r="DO36" s="16"/>
      <c r="DP36" s="16"/>
      <c r="DQ36" s="16">
        <f>IFERROR(__xludf.DUMMYFUNCTION("""COMPUTED_VALUE"""),0.0)</f>
        <v>0</v>
      </c>
      <c r="DR36" s="16"/>
      <c r="DS36" s="16"/>
      <c r="DT36" s="16"/>
      <c r="DU36" s="16"/>
      <c r="DV36" s="16"/>
      <c r="DW36" s="16"/>
      <c r="DX36" s="16"/>
      <c r="DY36" s="16">
        <f>IFERROR(__xludf.DUMMYFUNCTION("""COMPUTED_VALUE"""),-2.0)</f>
        <v>-2</v>
      </c>
      <c r="DZ36" s="16"/>
      <c r="EA36" s="16"/>
      <c r="EB36" s="16"/>
      <c r="EC36" s="16"/>
      <c r="ED36" s="16"/>
      <c r="EE36" s="16"/>
      <c r="EF36" s="16"/>
      <c r="EG36" s="179">
        <f>IFERROR(__xludf.DUMMYFUNCTION("""COMPUTED_VALUE"""),24.0)</f>
        <v>24</v>
      </c>
      <c r="EH36" s="179"/>
      <c r="EI36" s="179"/>
      <c r="EJ36" s="179"/>
      <c r="EK36" s="179"/>
      <c r="EL36" s="179"/>
      <c r="EM36" s="179"/>
      <c r="EN36" s="179"/>
      <c r="EO36" s="16"/>
      <c r="EP36" s="16"/>
      <c r="EQ36" s="16">
        <f>IFERROR(__xludf.DUMMYFUNCTION("""COMPUTED_VALUE"""),2.0)</f>
        <v>2</v>
      </c>
      <c r="ER36" s="16">
        <f>IFERROR(__xludf.DUMMYFUNCTION("""COMPUTED_VALUE"""),-4.0)</f>
        <v>-4</v>
      </c>
      <c r="ES36" s="16"/>
      <c r="ET36" s="16"/>
      <c r="EU36" s="16"/>
      <c r="EV36" s="16"/>
      <c r="EW36" s="16"/>
      <c r="EX36" s="180">
        <f>IFERROR(__xludf.DUMMYFUNCTION("""COMPUTED_VALUE"""),0.3)</f>
        <v>0.3</v>
      </c>
      <c r="EY36" s="180"/>
      <c r="EZ36" s="180"/>
      <c r="FA36" s="180"/>
      <c r="FB36" s="180"/>
      <c r="FC36" s="180"/>
      <c r="FD36" s="180"/>
      <c r="FE36" s="180"/>
      <c r="FF36" s="180">
        <f>IFERROR(__xludf.DUMMYFUNCTION("""COMPUTED_VALUE"""),0.097)</f>
        <v>0.097</v>
      </c>
      <c r="FG36" s="180"/>
      <c r="FH36" s="180"/>
      <c r="FI36" s="180"/>
      <c r="FJ36" s="180"/>
      <c r="FK36" s="180"/>
      <c r="FL36" s="180"/>
      <c r="FM36" s="180"/>
      <c r="FN36" s="16">
        <f>IFERROR(__xludf.DUMMYFUNCTION("""COMPUTED_VALUE"""),0.6321)</f>
        <v>0.6321</v>
      </c>
      <c r="FO36" s="16"/>
      <c r="FP36" s="16"/>
      <c r="FQ36" s="16"/>
      <c r="FR36" s="16"/>
      <c r="FS36" s="16"/>
      <c r="FT36" s="16"/>
      <c r="FU36" s="16"/>
      <c r="FV36" s="16">
        <f>IFERROR(__xludf.DUMMYFUNCTION("""COMPUTED_VALUE"""),-6.0)</f>
        <v>-6</v>
      </c>
      <c r="FW36" s="16"/>
      <c r="FX36" s="16"/>
      <c r="FY36" s="16"/>
      <c r="FZ36" s="16"/>
      <c r="GA36" s="16"/>
      <c r="GB36" s="16"/>
      <c r="GC36" s="16"/>
      <c r="GD36" s="16" t="s">
        <v>333</v>
      </c>
    </row>
    <row r="37">
      <c r="A37" s="16">
        <f>IFERROR(__xludf.DUMMYFUNCTION("""COMPUTED_VALUE"""),12641.0)</f>
        <v>12641</v>
      </c>
      <c r="B37" s="16" t="str">
        <f>IFERROR(__xludf.DUMMYFUNCTION("""COMPUTED_VALUE"""),"Byron Buxton")</f>
        <v>Byron Buxton</v>
      </c>
      <c r="C37" s="16">
        <f>IFERROR(__xludf.DUMMYFUNCTION("""COMPUTED_VALUE"""),2.69)</f>
        <v>2.69</v>
      </c>
      <c r="D37" s="16" t="str">
        <f>IFERROR(__xludf.DUMMYFUNCTION("""COMPUTED_VALUE"""),"R")</f>
        <v>R</v>
      </c>
      <c r="E37" s="16"/>
      <c r="F37" s="16"/>
      <c r="G37" s="16">
        <f>IFERROR(__xludf.DUMMYFUNCTION("""COMPUTED_VALUE"""),355.0)</f>
        <v>355</v>
      </c>
      <c r="H37" s="16">
        <f>IFERROR(__xludf.DUMMYFUNCTION("""COMPUTED_VALUE"""),20.0)</f>
        <v>20</v>
      </c>
      <c r="I37" s="16" t="str">
        <f>IFERROR(__xludf.DUMMYFUNCTION("""COMPUTED_VALUE"""),"3p50")</f>
        <v>3p50</v>
      </c>
      <c r="J37" s="16">
        <f>IFERROR(__xludf.DUMMYFUNCTION("""COMPUTED_VALUE"""),29.0)</f>
        <v>29</v>
      </c>
      <c r="K37" s="16">
        <f>IFERROR(__xludf.DUMMYFUNCTION("""COMPUTED_VALUE"""),31.0)</f>
        <v>31</v>
      </c>
      <c r="L37" s="16">
        <f>IFERROR(__xludf.DUMMYFUNCTION("""COMPUTED_VALUE"""),0.0)</f>
        <v>0</v>
      </c>
      <c r="M37" s="16">
        <f>IFERROR(__xludf.DUMMYFUNCTION("""COMPUTED_VALUE"""),-1.0)</f>
        <v>-1</v>
      </c>
      <c r="N37" s="16">
        <f>IFERROR(__xludf.DUMMYFUNCTION("""COMPUTED_VALUE"""),0.0)</f>
        <v>0</v>
      </c>
      <c r="O37" s="16">
        <f>IFERROR(__xludf.DUMMYFUNCTION("""COMPUTED_VALUE"""),-1.0)</f>
        <v>-1</v>
      </c>
      <c r="P37" s="16">
        <f>IFERROR(__xludf.DUMMYFUNCTION("""COMPUTED_VALUE"""),6.0)</f>
        <v>6</v>
      </c>
      <c r="Q37" s="16">
        <f>IFERROR(__xludf.DUMMYFUNCTION("""COMPUTED_VALUE"""),1.0)</f>
        <v>1</v>
      </c>
      <c r="R37" s="16">
        <f>IFERROR(__xludf.DUMMYFUNCTION("""COMPUTED_VALUE"""),-1.0)</f>
        <v>-1</v>
      </c>
      <c r="S37" s="16">
        <f>IFERROR(__xludf.DUMMYFUNCTION("""COMPUTED_VALUE"""),-2.0)</f>
        <v>-2</v>
      </c>
      <c r="T37" s="16">
        <f>IFERROR(__xludf.DUMMYFUNCTION("""COMPUTED_VALUE"""),-1.0)</f>
        <v>-1</v>
      </c>
      <c r="U37" s="16">
        <f>IFERROR(__xludf.DUMMYFUNCTION("""COMPUTED_VALUE"""),-2.0)</f>
        <v>-2</v>
      </c>
      <c r="V37" s="16">
        <f>IFERROR(__xludf.DUMMYFUNCTION("""COMPUTED_VALUE"""),29.8)</f>
        <v>29.8</v>
      </c>
      <c r="W37" s="16">
        <f>IFERROR(__xludf.DUMMYFUNCTION("""COMPUTED_VALUE"""),24.3)</f>
        <v>24.3</v>
      </c>
      <c r="X37" s="16">
        <f>IFERROR(__xludf.DUMMYFUNCTION("""COMPUTED_VALUE"""),2.0)</f>
        <v>2</v>
      </c>
      <c r="Y37" s="16">
        <f>IFERROR(__xludf.DUMMYFUNCTION("""COMPUTED_VALUE"""),1.0)</f>
        <v>1</v>
      </c>
      <c r="Z37" s="16">
        <f>IFERROR(__xludf.DUMMYFUNCTION("""COMPUTED_VALUE"""),4.0)</f>
        <v>4</v>
      </c>
      <c r="AA37" s="16">
        <f>IFERROR(__xludf.DUMMYFUNCTION("""COMPUTED_VALUE"""),2.0)</f>
        <v>2</v>
      </c>
      <c r="AB37" s="16">
        <f>IFERROR(__xludf.DUMMYFUNCTION("""COMPUTED_VALUE"""),41.8)</f>
        <v>41.8</v>
      </c>
      <c r="AC37" s="16">
        <f>IFERROR(__xludf.DUMMYFUNCTION("""COMPUTED_VALUE"""),31.3)</f>
        <v>31.3</v>
      </c>
      <c r="AD37" s="16">
        <f>IFERROR(__xludf.DUMMYFUNCTION("""COMPUTED_VALUE"""),1.0)</f>
        <v>1</v>
      </c>
      <c r="AE37" s="16">
        <f>IFERROR(__xludf.DUMMYFUNCTION("""COMPUTED_VALUE"""),0.0)</f>
        <v>0</v>
      </c>
      <c r="AF37" s="16">
        <f>IFERROR(__xludf.DUMMYFUNCTION("""COMPUTED_VALUE"""),5.0)</f>
        <v>5</v>
      </c>
      <c r="AG37" s="16">
        <f>IFERROR(__xludf.DUMMYFUNCTION("""COMPUTED_VALUE"""),0.0)</f>
        <v>0</v>
      </c>
      <c r="AH37" s="16">
        <f>IFERROR(__xludf.DUMMYFUNCTION("""COMPUTED_VALUE"""),49.2)</f>
        <v>49.2</v>
      </c>
      <c r="AI37" s="16">
        <f>IFERROR(__xludf.DUMMYFUNCTION("""COMPUTED_VALUE"""),50.4)</f>
        <v>50.4</v>
      </c>
      <c r="AJ37" s="16">
        <f>IFERROR(__xludf.DUMMYFUNCTION("""COMPUTED_VALUE"""),1.0)</f>
        <v>1</v>
      </c>
      <c r="AK37" s="16">
        <f>IFERROR(__xludf.DUMMYFUNCTION("""COMPUTED_VALUE"""),2.0)</f>
        <v>2</v>
      </c>
      <c r="AL37" s="16">
        <f>IFERROR(__xludf.DUMMYFUNCTION("""COMPUTED_VALUE"""),5.0)</f>
        <v>5</v>
      </c>
      <c r="AM37" s="16">
        <f>IFERROR(__xludf.DUMMYFUNCTION("""COMPUTED_VALUE"""),10.0)</f>
        <v>10</v>
      </c>
      <c r="AN37" s="16">
        <f>IFERROR(__xludf.DUMMYFUNCTION("""COMPUTED_VALUE"""),1.6)</f>
        <v>1.6</v>
      </c>
      <c r="AO37" s="16">
        <f>IFERROR(__xludf.DUMMYFUNCTION("""COMPUTED_VALUE"""),4.8)</f>
        <v>4.8</v>
      </c>
      <c r="AP37" s="16">
        <f>IFERROR(__xludf.DUMMYFUNCTION("""COMPUTED_VALUE"""),-1.0)</f>
        <v>-1</v>
      </c>
      <c r="AQ37" s="16">
        <f>IFERROR(__xludf.DUMMYFUNCTION("""COMPUTED_VALUE"""),2.0)</f>
        <v>2</v>
      </c>
      <c r="AR37" s="16">
        <f>IFERROR(__xludf.DUMMYFUNCTION("""COMPUTED_VALUE"""),-2.0)</f>
        <v>-2</v>
      </c>
      <c r="AS37" s="16">
        <f>IFERROR(__xludf.DUMMYFUNCTION("""COMPUTED_VALUE"""),4.0)</f>
        <v>4</v>
      </c>
      <c r="AT37" s="16">
        <f>IFERROR(__xludf.DUMMYFUNCTION("""COMPUTED_VALUE"""),3.0)</f>
        <v>3</v>
      </c>
      <c r="AU37" s="16">
        <f>IFERROR(__xludf.DUMMYFUNCTION("""COMPUTED_VALUE"""),8.0)</f>
        <v>8</v>
      </c>
      <c r="AV37" s="16">
        <f>IFERROR(__xludf.DUMMYFUNCTION("""COMPUTED_VALUE"""),3.0)</f>
        <v>3</v>
      </c>
      <c r="AW37" s="16">
        <f>IFERROR(__xludf.DUMMYFUNCTION("""COMPUTED_VALUE"""),8.0)</f>
        <v>8</v>
      </c>
      <c r="AX37" s="16">
        <f>IFERROR(__xludf.DUMMYFUNCTION("""COMPUTED_VALUE"""),1.0)</f>
        <v>1</v>
      </c>
      <c r="AY37" s="16">
        <f>IFERROR(__xludf.DUMMYFUNCTION("""COMPUTED_VALUE"""),3.0)</f>
        <v>3</v>
      </c>
      <c r="AZ37" s="16">
        <f>IFERROR(__xludf.DUMMYFUNCTION("""COMPUTED_VALUE"""),3.0)</f>
        <v>3</v>
      </c>
      <c r="BA37" s="16">
        <f>IFERROR(__xludf.DUMMYFUNCTION("""COMPUTED_VALUE"""),9.0)</f>
        <v>9</v>
      </c>
      <c r="BB37" s="16">
        <f>IFERROR(__xludf.DUMMYFUNCTION("""COMPUTED_VALUE"""),5.0)</f>
        <v>5</v>
      </c>
      <c r="BC37" s="16">
        <f>IFERROR(__xludf.DUMMYFUNCTION("""COMPUTED_VALUE"""),5.0)</f>
        <v>5</v>
      </c>
      <c r="BD37" s="16">
        <f>IFERROR(__xludf.DUMMYFUNCTION("""COMPUTED_VALUE"""),1.0)</f>
        <v>1</v>
      </c>
      <c r="BE37" s="16">
        <f>IFERROR(__xludf.DUMMYFUNCTION("""COMPUTED_VALUE"""),1.0)</f>
        <v>1</v>
      </c>
      <c r="BF37" s="16">
        <f>IFERROR(__xludf.DUMMYFUNCTION("""COMPUTED_VALUE"""),1.0)</f>
        <v>1</v>
      </c>
      <c r="BG37" s="16">
        <f>IFERROR(__xludf.DUMMYFUNCTION("""COMPUTED_VALUE"""),1.0)</f>
        <v>1</v>
      </c>
      <c r="BH37" s="16">
        <f>IFERROR(__xludf.DUMMYFUNCTION("""COMPUTED_VALUE"""),-8.0)</f>
        <v>-8</v>
      </c>
      <c r="BI37" s="16">
        <f>IFERROR(__xludf.DUMMYFUNCTION("""COMPUTED_VALUE"""),-7.0)</f>
        <v>-7</v>
      </c>
      <c r="BJ37" s="16">
        <f>IFERROR(__xludf.DUMMYFUNCTION("""COMPUTED_VALUE"""),3.0)</f>
        <v>3</v>
      </c>
      <c r="BK37" s="16">
        <f>IFERROR(__xludf.DUMMYFUNCTION("""COMPUTED_VALUE"""),3.0)</f>
        <v>3</v>
      </c>
      <c r="BL37" s="16">
        <f>IFERROR(__xludf.DUMMYFUNCTION("""COMPUTED_VALUE"""),2.0)</f>
        <v>2</v>
      </c>
      <c r="BM37" s="16">
        <f>IFERROR(__xludf.DUMMYFUNCTION("""COMPUTED_VALUE"""),2.0)</f>
        <v>2</v>
      </c>
      <c r="BN37" s="16">
        <f>IFERROR(__xludf.DUMMYFUNCTION("""COMPUTED_VALUE"""),2.0)</f>
        <v>2</v>
      </c>
      <c r="BO37" s="16">
        <f>IFERROR(__xludf.DUMMYFUNCTION("""COMPUTED_VALUE"""),2.0)</f>
        <v>2</v>
      </c>
      <c r="BP37" s="16">
        <f>IFERROR(__xludf.DUMMYFUNCTION("""COMPUTED_VALUE"""),6.0)</f>
        <v>6</v>
      </c>
      <c r="BQ37" s="16">
        <f>IFERROR(__xludf.DUMMYFUNCTION("""COMPUTED_VALUE"""),8.0)</f>
        <v>8</v>
      </c>
      <c r="BR37" s="16">
        <f>IFERROR(__xludf.DUMMYFUNCTION("""COMPUTED_VALUE"""),14.0)</f>
        <v>14</v>
      </c>
      <c r="BS37" s="16" t="str">
        <f>IFERROR(__xludf.DUMMYFUNCTION("""COMPUTED_VALUE"""),"*7/- (18-11)")</f>
        <v>*7/- (18-11)</v>
      </c>
      <c r="BT37" s="16" t="str">
        <f>IFERROR(__xludf.DUMMYFUNCTION("""COMPUTED_VALUE"""),"C")</f>
        <v>C</v>
      </c>
      <c r="BU37" s="16">
        <f>IFERROR(__xludf.DUMMYFUNCTION("""COMPUTED_VALUE"""),17.0)</f>
        <v>17</v>
      </c>
      <c r="BV37" s="16">
        <f>IFERROR(__xludf.DUMMYFUNCTION("""COMPUTED_VALUE"""),0.0)</f>
        <v>0</v>
      </c>
      <c r="BW37" s="16">
        <f>IFERROR(__xludf.DUMMYFUNCTION("""COMPUTED_VALUE"""),3.0)</f>
        <v>3</v>
      </c>
      <c r="BX37" s="16">
        <f>IFERROR(__xludf.DUMMYFUNCTION("""COMPUTED_VALUE"""),0.0)</f>
        <v>0</v>
      </c>
      <c r="BY37" s="16">
        <f>IFERROR(__xludf.DUMMYFUNCTION("""COMPUTED_VALUE"""),9.0)</f>
        <v>9</v>
      </c>
      <c r="BZ37" s="16" t="str">
        <f>IFERROR(__xludf.DUMMYFUNCTION("""COMPUTED_VALUE"""),"D")</f>
        <v>D</v>
      </c>
      <c r="CA37" s="16" t="str">
        <f>IFERROR(__xludf.DUMMYFUNCTION("""COMPUTED_VALUE"""),"D")</f>
        <v>D</v>
      </c>
      <c r="CB37" s="16">
        <f>IFERROR(__xludf.DUMMYFUNCTION("""COMPUTED_VALUE"""),0.0)</f>
        <v>0</v>
      </c>
      <c r="CC37" s="16">
        <f>IFERROR(__xludf.DUMMYFUNCTION("""COMPUTED_VALUE"""),0.0)</f>
        <v>0</v>
      </c>
      <c r="CD37" s="16">
        <f>IFERROR(__xludf.DUMMYFUNCTION("""COMPUTED_VALUE"""),0.0)</f>
        <v>0</v>
      </c>
      <c r="CE37" s="16">
        <f>IFERROR(__xludf.DUMMYFUNCTION("""COMPUTED_VALUE"""),0.0)</f>
        <v>0</v>
      </c>
      <c r="CF37" s="16">
        <f>IFERROR(__xludf.DUMMYFUNCTION("""COMPUTED_VALUE"""),3.0)</f>
        <v>3</v>
      </c>
      <c r="CG37" s="16">
        <f>IFERROR(__xludf.DUMMYFUNCTION("""COMPUTED_VALUE"""),17.0)</f>
        <v>17</v>
      </c>
      <c r="CH37" s="16">
        <f>IFERROR(__xludf.DUMMYFUNCTION("""COMPUTED_VALUE"""),25.0)</f>
        <v>25</v>
      </c>
      <c r="CI37" s="179">
        <f>IFERROR(__xludf.DUMMYFUNCTION("""COMPUTED_VALUE"""),26.0)</f>
        <v>26</v>
      </c>
      <c r="CJ37" s="16"/>
      <c r="CK37" s="16"/>
      <c r="CL37" s="16"/>
      <c r="CM37" s="16"/>
      <c r="CN37" s="16"/>
      <c r="CO37" s="16"/>
      <c r="CP37" s="16">
        <f>IFERROR(__xludf.DUMMYFUNCTION("""COMPUTED_VALUE"""),201.0)</f>
        <v>201</v>
      </c>
      <c r="CQ37" s="16"/>
      <c r="CR37" s="16" t="str">
        <f>IFERROR(__xludf.DUMMYFUNCTION("""COMPUTED_VALUE"""),"cf-2(-2)e1")</f>
        <v>cf-2(-2)e1</v>
      </c>
      <c r="CS37" s="16"/>
      <c r="CT37" s="16"/>
      <c r="CU37" s="16"/>
      <c r="CV37" s="16"/>
      <c r="CW37" s="16"/>
      <c r="CX37" s="16"/>
      <c r="CY37" s="16">
        <f>IFERROR(__xludf.DUMMYFUNCTION("""COMPUTED_VALUE"""),2.0)</f>
        <v>2</v>
      </c>
      <c r="CZ37" s="16"/>
      <c r="DA37" s="16"/>
      <c r="DB37" s="16"/>
      <c r="DC37" s="16"/>
      <c r="DD37" s="16"/>
      <c r="DE37" s="16"/>
      <c r="DF37" s="16"/>
      <c r="DG37" s="16">
        <f>IFERROR(__xludf.DUMMYFUNCTION("""COMPUTED_VALUE"""),1.0)</f>
        <v>1</v>
      </c>
      <c r="DH37" s="16"/>
      <c r="DI37" s="16"/>
      <c r="DJ37" s="16"/>
      <c r="DK37" s="16"/>
      <c r="DL37" s="16"/>
      <c r="DM37" s="16"/>
      <c r="DN37" s="16"/>
      <c r="DO37" s="16">
        <f>IFERROR(__xludf.DUMMYFUNCTION("""COMPUTED_VALUE"""),2.0)</f>
        <v>2</v>
      </c>
      <c r="DP37" s="16"/>
      <c r="DQ37" s="16"/>
      <c r="DR37" s="16"/>
      <c r="DS37" s="16"/>
      <c r="DT37" s="16"/>
      <c r="DU37" s="16"/>
      <c r="DV37" s="16"/>
      <c r="DW37" s="16">
        <f>IFERROR(__xludf.DUMMYFUNCTION("""COMPUTED_VALUE"""),4.0)</f>
        <v>4</v>
      </c>
      <c r="DX37" s="16"/>
      <c r="DY37" s="16"/>
      <c r="DZ37" s="16"/>
      <c r="EA37" s="16"/>
      <c r="EB37" s="16"/>
      <c r="EC37" s="16"/>
      <c r="ED37" s="16"/>
      <c r="EE37" s="16">
        <f>IFERROR(__xludf.DUMMYFUNCTION("""COMPUTED_VALUE"""),6.0)</f>
        <v>6</v>
      </c>
      <c r="EF37" s="16"/>
      <c r="EG37" s="179"/>
      <c r="EH37" s="179"/>
      <c r="EI37" s="179"/>
      <c r="EJ37" s="179"/>
      <c r="EK37" s="179"/>
      <c r="EL37" s="179"/>
      <c r="EM37" s="179">
        <f>IFERROR(__xludf.DUMMYFUNCTION("""COMPUTED_VALUE"""),32.0)</f>
        <v>32</v>
      </c>
      <c r="EN37" s="179"/>
      <c r="EO37" s="16"/>
      <c r="EP37" s="16"/>
      <c r="EQ37" s="16">
        <f>IFERROR(__xludf.DUMMYFUNCTION("""COMPUTED_VALUE"""),1.0)</f>
        <v>1</v>
      </c>
      <c r="ER37" s="16">
        <f>IFERROR(__xludf.DUMMYFUNCTION("""COMPUTED_VALUE"""),0.0)</f>
        <v>0</v>
      </c>
      <c r="ES37" s="16"/>
      <c r="ET37" s="16"/>
      <c r="EU37" s="16"/>
      <c r="EV37" s="16"/>
      <c r="EW37" s="16"/>
      <c r="EX37" s="180"/>
      <c r="EY37" s="180"/>
      <c r="EZ37" s="180"/>
      <c r="FA37" s="180"/>
      <c r="FB37" s="180"/>
      <c r="FC37" s="180"/>
      <c r="FD37" s="180">
        <f>IFERROR(__xludf.DUMMYFUNCTION("""COMPUTED_VALUE"""),0.15)</f>
        <v>0.15</v>
      </c>
      <c r="FE37" s="180"/>
      <c r="FF37" s="180"/>
      <c r="FG37" s="180"/>
      <c r="FH37" s="180"/>
      <c r="FI37" s="180"/>
      <c r="FJ37" s="180"/>
      <c r="FK37" s="180"/>
      <c r="FL37" s="180">
        <f>IFERROR(__xludf.DUMMYFUNCTION("""COMPUTED_VALUE"""),0.013888888888888888)</f>
        <v>0.01388888889</v>
      </c>
      <c r="FM37" s="180"/>
      <c r="FN37" s="16"/>
      <c r="FO37" s="16"/>
      <c r="FP37" s="16"/>
      <c r="FQ37" s="16"/>
      <c r="FR37" s="16"/>
      <c r="FS37" s="16"/>
      <c r="FT37" s="16">
        <f>IFERROR(__xludf.DUMMYFUNCTION("""COMPUTED_VALUE"""),0.8381944444444445)</f>
        <v>0.8381944444</v>
      </c>
      <c r="FU37" s="16"/>
      <c r="FV37" s="16"/>
      <c r="FW37" s="16"/>
      <c r="FX37" s="16"/>
      <c r="FY37" s="16"/>
      <c r="FZ37" s="16"/>
      <c r="GA37" s="16"/>
      <c r="GB37" s="16">
        <f>IFERROR(__xludf.DUMMYFUNCTION("""COMPUTED_VALUE"""),1.0)</f>
        <v>1</v>
      </c>
      <c r="GC37" s="16"/>
      <c r="GD37" s="16" t="s">
        <v>969</v>
      </c>
    </row>
    <row r="38">
      <c r="A38" s="16">
        <f>IFERROR(__xludf.DUMMYFUNCTION("""COMPUTED_VALUE"""),13053.0)</f>
        <v>13053</v>
      </c>
      <c r="B38" s="16" t="str">
        <f>IFERROR(__xludf.DUMMYFUNCTION("""COMPUTED_VALUE"""),"Jurickson Profar")</f>
        <v>Jurickson Profar</v>
      </c>
      <c r="C38" s="16">
        <f>IFERROR(__xludf.DUMMYFUNCTION("""COMPUTED_VALUE"""),1.56)</f>
        <v>1.56</v>
      </c>
      <c r="D38" s="16" t="str">
        <f>IFERROR(__xludf.DUMMYFUNCTION("""COMPUTED_VALUE"""),"S")</f>
        <v>S</v>
      </c>
      <c r="E38" s="16"/>
      <c r="F38" s="16"/>
      <c r="G38" s="16">
        <f>IFERROR(__xludf.DUMMYFUNCTION("""COMPUTED_VALUE"""),564.0)</f>
        <v>564</v>
      </c>
      <c r="H38" s="16">
        <f>IFERROR(__xludf.DUMMYFUNCTION("""COMPUTED_VALUE"""),76.0)</f>
        <v>76</v>
      </c>
      <c r="I38" s="16" t="str">
        <f>IFERROR(__xludf.DUMMYFUNCTION("""COMPUTED_VALUE"""),"1p70")</f>
        <v>1p70</v>
      </c>
      <c r="J38" s="16">
        <f>IFERROR(__xludf.DUMMYFUNCTION("""COMPUTED_VALUE"""),0.0)</f>
        <v>0</v>
      </c>
      <c r="K38" s="16">
        <f>IFERROR(__xludf.DUMMYFUNCTION("""COMPUTED_VALUE"""),14.0)</f>
        <v>14</v>
      </c>
      <c r="L38" s="16">
        <f>IFERROR(__xludf.DUMMYFUNCTION("""COMPUTED_VALUE"""),3.0)</f>
        <v>3</v>
      </c>
      <c r="M38" s="16">
        <f>IFERROR(__xludf.DUMMYFUNCTION("""COMPUTED_VALUE"""),1.0)</f>
        <v>1</v>
      </c>
      <c r="N38" s="16">
        <f>IFERROR(__xludf.DUMMYFUNCTION("""COMPUTED_VALUE"""),3.0)</f>
        <v>3</v>
      </c>
      <c r="O38" s="16">
        <f>IFERROR(__xludf.DUMMYFUNCTION("""COMPUTED_VALUE"""),1.0)</f>
        <v>1</v>
      </c>
      <c r="P38" s="16">
        <f>IFERROR(__xludf.DUMMYFUNCTION("""COMPUTED_VALUE"""),12.0)</f>
        <v>12</v>
      </c>
      <c r="Q38" s="16">
        <f>IFERROR(__xludf.DUMMYFUNCTION("""COMPUTED_VALUE"""),15.0)</f>
        <v>15</v>
      </c>
      <c r="R38" s="16">
        <f>IFERROR(__xludf.DUMMYFUNCTION("""COMPUTED_VALUE"""),1.0)</f>
        <v>1</v>
      </c>
      <c r="S38" s="16">
        <f>IFERROR(__xludf.DUMMYFUNCTION("""COMPUTED_VALUE"""),2.0)</f>
        <v>2</v>
      </c>
      <c r="T38" s="16">
        <f>IFERROR(__xludf.DUMMYFUNCTION("""COMPUTED_VALUE"""),1.0)</f>
        <v>1</v>
      </c>
      <c r="U38" s="16">
        <f>IFERROR(__xludf.DUMMYFUNCTION("""COMPUTED_VALUE"""),2.0)</f>
        <v>2</v>
      </c>
      <c r="V38" s="16">
        <f>IFERROR(__xludf.DUMMYFUNCTION("""COMPUTED_VALUE"""),26.7)</f>
        <v>26.7</v>
      </c>
      <c r="W38" s="16">
        <f>IFERROR(__xludf.DUMMYFUNCTION("""COMPUTED_VALUE"""),22.5)</f>
        <v>22.5</v>
      </c>
      <c r="X38" s="16">
        <f>IFERROR(__xludf.DUMMYFUNCTION("""COMPUTED_VALUE"""),1.0)</f>
        <v>1</v>
      </c>
      <c r="Y38" s="16">
        <f>IFERROR(__xludf.DUMMYFUNCTION("""COMPUTED_VALUE"""),1.0)</f>
        <v>1</v>
      </c>
      <c r="Z38" s="16">
        <f>IFERROR(__xludf.DUMMYFUNCTION("""COMPUTED_VALUE"""),2.0)</f>
        <v>2</v>
      </c>
      <c r="AA38" s="16">
        <f>IFERROR(__xludf.DUMMYFUNCTION("""COMPUTED_VALUE"""),2.0)</f>
        <v>2</v>
      </c>
      <c r="AB38" s="16">
        <f>IFERROR(__xludf.DUMMYFUNCTION("""COMPUTED_VALUE"""),44.7)</f>
        <v>44.7</v>
      </c>
      <c r="AC38" s="16">
        <f>IFERROR(__xludf.DUMMYFUNCTION("""COMPUTED_VALUE"""),43.5)</f>
        <v>43.5</v>
      </c>
      <c r="AD38" s="16">
        <f>IFERROR(__xludf.DUMMYFUNCTION("""COMPUTED_VALUE"""),2.0)</f>
        <v>2</v>
      </c>
      <c r="AE38" s="16">
        <f>IFERROR(__xludf.DUMMYFUNCTION("""COMPUTED_VALUE"""),2.0)</f>
        <v>2</v>
      </c>
      <c r="AF38" s="16">
        <f>IFERROR(__xludf.DUMMYFUNCTION("""COMPUTED_VALUE"""),10.0)</f>
        <v>10</v>
      </c>
      <c r="AG38" s="16">
        <f>IFERROR(__xludf.DUMMYFUNCTION("""COMPUTED_VALUE"""),10.0)</f>
        <v>10</v>
      </c>
      <c r="AH38" s="16">
        <f>IFERROR(__xludf.DUMMYFUNCTION("""COMPUTED_VALUE"""),39.3)</f>
        <v>39.3</v>
      </c>
      <c r="AI38" s="16">
        <f>IFERROR(__xludf.DUMMYFUNCTION("""COMPUTED_VALUE"""),34.4)</f>
        <v>34.4</v>
      </c>
      <c r="AJ38" s="16">
        <f>IFERROR(__xludf.DUMMYFUNCTION("""COMPUTED_VALUE"""),1.0)</f>
        <v>1</v>
      </c>
      <c r="AK38" s="16">
        <f>IFERROR(__xludf.DUMMYFUNCTION("""COMPUTED_VALUE"""),0.0)</f>
        <v>0</v>
      </c>
      <c r="AL38" s="16">
        <f>IFERROR(__xludf.DUMMYFUNCTION("""COMPUTED_VALUE"""),5.0)</f>
        <v>5</v>
      </c>
      <c r="AM38" s="16">
        <f>IFERROR(__xludf.DUMMYFUNCTION("""COMPUTED_VALUE"""),0.0)</f>
        <v>0</v>
      </c>
      <c r="AN38" s="16">
        <f>IFERROR(__xludf.DUMMYFUNCTION("""COMPUTED_VALUE"""),3.5)</f>
        <v>3.5</v>
      </c>
      <c r="AO38" s="16">
        <f>IFERROR(__xludf.DUMMYFUNCTION("""COMPUTED_VALUE"""),2.3)</f>
        <v>2.3</v>
      </c>
      <c r="AP38" s="16">
        <f>IFERROR(__xludf.DUMMYFUNCTION("""COMPUTED_VALUE"""),1.0)</f>
        <v>1</v>
      </c>
      <c r="AQ38" s="16">
        <f>IFERROR(__xludf.DUMMYFUNCTION("""COMPUTED_VALUE"""),0.0)</f>
        <v>0</v>
      </c>
      <c r="AR38" s="16">
        <f>IFERROR(__xludf.DUMMYFUNCTION("""COMPUTED_VALUE"""),2.0)</f>
        <v>2</v>
      </c>
      <c r="AS38" s="16">
        <f>IFERROR(__xludf.DUMMYFUNCTION("""COMPUTED_VALUE"""),0.0)</f>
        <v>0</v>
      </c>
      <c r="AT38" s="16">
        <f>IFERROR(__xludf.DUMMYFUNCTION("""COMPUTED_VALUE"""),6.0)</f>
        <v>6</v>
      </c>
      <c r="AU38" s="16">
        <f>IFERROR(__xludf.DUMMYFUNCTION("""COMPUTED_VALUE"""),3.0)</f>
        <v>3</v>
      </c>
      <c r="AV38" s="16">
        <f>IFERROR(__xludf.DUMMYFUNCTION("""COMPUTED_VALUE"""),6.0)</f>
        <v>6</v>
      </c>
      <c r="AW38" s="16">
        <f>IFERROR(__xludf.DUMMYFUNCTION("""COMPUTED_VALUE"""),3.0)</f>
        <v>3</v>
      </c>
      <c r="AX38" s="16">
        <f>IFERROR(__xludf.DUMMYFUNCTION("""COMPUTED_VALUE"""),3.0)</f>
        <v>3</v>
      </c>
      <c r="AY38" s="16">
        <f>IFERROR(__xludf.DUMMYFUNCTION("""COMPUTED_VALUE"""),0.0)</f>
        <v>0</v>
      </c>
      <c r="AZ38" s="16">
        <f>IFERROR(__xludf.DUMMYFUNCTION("""COMPUTED_VALUE"""),9.0)</f>
        <v>9</v>
      </c>
      <c r="BA38" s="16">
        <f>IFERROR(__xludf.DUMMYFUNCTION("""COMPUTED_VALUE"""),0.0)</f>
        <v>0</v>
      </c>
      <c r="BB38" s="16">
        <f>IFERROR(__xludf.DUMMYFUNCTION("""COMPUTED_VALUE"""),5.0)</f>
        <v>5</v>
      </c>
      <c r="BC38" s="16">
        <f>IFERROR(__xludf.DUMMYFUNCTION("""COMPUTED_VALUE"""),5.0)</f>
        <v>5</v>
      </c>
      <c r="BD38" s="16">
        <f>IFERROR(__xludf.DUMMYFUNCTION("""COMPUTED_VALUE"""),1.0)</f>
        <v>1</v>
      </c>
      <c r="BE38" s="16">
        <f>IFERROR(__xludf.DUMMYFUNCTION("""COMPUTED_VALUE"""),1.0)</f>
        <v>1</v>
      </c>
      <c r="BF38" s="16">
        <f>IFERROR(__xludf.DUMMYFUNCTION("""COMPUTED_VALUE"""),1.0)</f>
        <v>1</v>
      </c>
      <c r="BG38" s="16">
        <f>IFERROR(__xludf.DUMMYFUNCTION("""COMPUTED_VALUE"""),1.0)</f>
        <v>1</v>
      </c>
      <c r="BH38" s="16">
        <f>IFERROR(__xludf.DUMMYFUNCTION("""COMPUTED_VALUE"""),-3.0)</f>
        <v>-3</v>
      </c>
      <c r="BI38" s="16">
        <f>IFERROR(__xludf.DUMMYFUNCTION("""COMPUTED_VALUE"""),-3.0)</f>
        <v>-3</v>
      </c>
      <c r="BJ38" s="16">
        <f>IFERROR(__xludf.DUMMYFUNCTION("""COMPUTED_VALUE"""),16.0)</f>
        <v>16</v>
      </c>
      <c r="BK38" s="16">
        <f>IFERROR(__xludf.DUMMYFUNCTION("""COMPUTED_VALUE"""),15.0)</f>
        <v>15</v>
      </c>
      <c r="BL38" s="16">
        <f>IFERROR(__xludf.DUMMYFUNCTION("""COMPUTED_VALUE"""),-1.0)</f>
        <v>-1</v>
      </c>
      <c r="BM38" s="16">
        <f>IFERROR(__xludf.DUMMYFUNCTION("""COMPUTED_VALUE"""),-1.0)</f>
        <v>-1</v>
      </c>
      <c r="BN38" s="16">
        <f>IFERROR(__xludf.DUMMYFUNCTION("""COMPUTED_VALUE"""),-2.0)</f>
        <v>-2</v>
      </c>
      <c r="BO38" s="16">
        <f>IFERROR(__xludf.DUMMYFUNCTION("""COMPUTED_VALUE"""),-2.0)</f>
        <v>-2</v>
      </c>
      <c r="BP38" s="16">
        <f>IFERROR(__xludf.DUMMYFUNCTION("""COMPUTED_VALUE"""),12.0)</f>
        <v>12</v>
      </c>
      <c r="BQ38" s="16">
        <f>IFERROR(__xludf.DUMMYFUNCTION("""COMPUTED_VALUE"""),6.0)</f>
        <v>6</v>
      </c>
      <c r="BR38" s="16">
        <f>IFERROR(__xludf.DUMMYFUNCTION("""COMPUTED_VALUE"""),18.0)</f>
        <v>18</v>
      </c>
      <c r="BS38" s="16" t="str">
        <f>IFERROR(__xludf.DUMMYFUNCTION("""COMPUTED_VALUE"""),"*6/- (17-6)")</f>
        <v>*6/- (17-6)</v>
      </c>
      <c r="BT38" s="16" t="str">
        <f>IFERROR(__xludf.DUMMYFUNCTION("""COMPUTED_VALUE"""),"B")</f>
        <v>B</v>
      </c>
      <c r="BU38" s="16">
        <f>IFERROR(__xludf.DUMMYFUNCTION("""COMPUTED_VALUE"""),12.0)</f>
        <v>12</v>
      </c>
      <c r="BV38" s="16">
        <f>IFERROR(__xludf.DUMMYFUNCTION("""COMPUTED_VALUE"""),1.0)</f>
        <v>1</v>
      </c>
      <c r="BW38" s="16">
        <f>IFERROR(__xludf.DUMMYFUNCTION("""COMPUTED_VALUE"""),0.0)</f>
        <v>0</v>
      </c>
      <c r="BX38" s="16">
        <f>IFERROR(__xludf.DUMMYFUNCTION("""COMPUTED_VALUE"""),2.0)</f>
        <v>2</v>
      </c>
      <c r="BY38" s="16">
        <f>IFERROR(__xludf.DUMMYFUNCTION("""COMPUTED_VALUE"""),0.0)</f>
        <v>0</v>
      </c>
      <c r="BZ38" s="16" t="str">
        <f>IFERROR(__xludf.DUMMYFUNCTION("""COMPUTED_VALUE"""),"A")</f>
        <v>A</v>
      </c>
      <c r="CA38" s="16" t="str">
        <f>IFERROR(__xludf.DUMMYFUNCTION("""COMPUTED_VALUE"""),"C")</f>
        <v>C</v>
      </c>
      <c r="CB38" s="16">
        <f>IFERROR(__xludf.DUMMYFUNCTION("""COMPUTED_VALUE"""),2.0)</f>
        <v>2</v>
      </c>
      <c r="CC38" s="16">
        <f>IFERROR(__xludf.DUMMYFUNCTION("""COMPUTED_VALUE"""),0.0)</f>
        <v>0</v>
      </c>
      <c r="CD38" s="16">
        <f>IFERROR(__xludf.DUMMYFUNCTION("""COMPUTED_VALUE"""),2.0)</f>
        <v>2</v>
      </c>
      <c r="CE38" s="16">
        <f>IFERROR(__xludf.DUMMYFUNCTION("""COMPUTED_VALUE"""),0.0)</f>
        <v>0</v>
      </c>
      <c r="CF38" s="16">
        <f>IFERROR(__xludf.DUMMYFUNCTION("""COMPUTED_VALUE"""),1.0)</f>
        <v>1</v>
      </c>
      <c r="CG38" s="16">
        <f>IFERROR(__xludf.DUMMYFUNCTION("""COMPUTED_VALUE"""),31.0)</f>
        <v>31</v>
      </c>
      <c r="CH38" s="16">
        <f>IFERROR(__xludf.DUMMYFUNCTION("""COMPUTED_VALUE"""),14.0)</f>
        <v>14</v>
      </c>
      <c r="CI38" s="179">
        <f>IFERROR(__xludf.DUMMYFUNCTION("""COMPUTED_VALUE"""),26.0)</f>
        <v>26</v>
      </c>
      <c r="CJ38" s="16"/>
      <c r="CK38" s="16">
        <f>IFERROR(__xludf.DUMMYFUNCTION("""COMPUTED_VALUE"""),414.0)</f>
        <v>414</v>
      </c>
      <c r="CL38" s="16"/>
      <c r="CM38" s="16"/>
      <c r="CN38" s="16"/>
      <c r="CO38" s="16">
        <f>IFERROR(__xludf.DUMMYFUNCTION("""COMPUTED_VALUE"""),401.0)</f>
        <v>401</v>
      </c>
      <c r="CP38" s="16"/>
      <c r="CQ38" s="16"/>
      <c r="CR38" s="16" t="str">
        <f>IFERROR(__xludf.DUMMYFUNCTION("""COMPUTED_VALUE"""),"lf-4(-1)e1 1b-4e14")</f>
        <v>lf-4(-1)e1 1b-4e14</v>
      </c>
      <c r="CS38" s="16"/>
      <c r="CT38" s="16">
        <f>IFERROR(__xludf.DUMMYFUNCTION("""COMPUTED_VALUE"""),4.0)</f>
        <v>4</v>
      </c>
      <c r="CU38" s="16"/>
      <c r="CV38" s="16"/>
      <c r="CW38" s="16"/>
      <c r="CX38" s="16">
        <f>IFERROR(__xludf.DUMMYFUNCTION("""COMPUTED_VALUE"""),4.0)</f>
        <v>4</v>
      </c>
      <c r="CY38" s="16"/>
      <c r="CZ38" s="16"/>
      <c r="DA38" s="16"/>
      <c r="DB38" s="16">
        <f>IFERROR(__xludf.DUMMYFUNCTION("""COMPUTED_VALUE"""),14.0)</f>
        <v>14</v>
      </c>
      <c r="DC38" s="16"/>
      <c r="DD38" s="16"/>
      <c r="DE38" s="16"/>
      <c r="DF38" s="16">
        <f>IFERROR(__xludf.DUMMYFUNCTION("""COMPUTED_VALUE"""),1.0)</f>
        <v>1</v>
      </c>
      <c r="DG38" s="16"/>
      <c r="DH38" s="16"/>
      <c r="DI38" s="16"/>
      <c r="DJ38" s="16">
        <f>IFERROR(__xludf.DUMMYFUNCTION("""COMPUTED_VALUE"""),0.0)</f>
        <v>0</v>
      </c>
      <c r="DK38" s="16"/>
      <c r="DL38" s="16"/>
      <c r="DM38" s="16"/>
      <c r="DN38" s="16">
        <f>IFERROR(__xludf.DUMMYFUNCTION("""COMPUTED_VALUE"""),-1.0)</f>
        <v>-1</v>
      </c>
      <c r="DO38" s="16"/>
      <c r="DP38" s="16"/>
      <c r="DQ38" s="16"/>
      <c r="DR38" s="16">
        <f>IFERROR(__xludf.DUMMYFUNCTION("""COMPUTED_VALUE"""),1.0)</f>
        <v>1</v>
      </c>
      <c r="DS38" s="16"/>
      <c r="DT38" s="16"/>
      <c r="DU38" s="16"/>
      <c r="DV38" s="16">
        <f>IFERROR(__xludf.DUMMYFUNCTION("""COMPUTED_VALUE"""),4.0)</f>
        <v>4</v>
      </c>
      <c r="DW38" s="16"/>
      <c r="DX38" s="16"/>
      <c r="DY38" s="16"/>
      <c r="DZ38" s="16">
        <f>IFERROR(__xludf.DUMMYFUNCTION("""COMPUTED_VALUE"""),1.0)</f>
        <v>1</v>
      </c>
      <c r="EA38" s="16"/>
      <c r="EB38" s="16"/>
      <c r="EC38" s="16"/>
      <c r="ED38" s="16">
        <f>IFERROR(__xludf.DUMMYFUNCTION("""COMPUTED_VALUE"""),3.0)</f>
        <v>3</v>
      </c>
      <c r="EE38" s="16"/>
      <c r="EF38" s="16"/>
      <c r="EG38" s="179"/>
      <c r="EH38" s="179">
        <f>IFERROR(__xludf.DUMMYFUNCTION("""COMPUTED_VALUE"""),27.0)</f>
        <v>27</v>
      </c>
      <c r="EI38" s="179"/>
      <c r="EJ38" s="179"/>
      <c r="EK38" s="179"/>
      <c r="EL38" s="179">
        <f>IFERROR(__xludf.DUMMYFUNCTION("""COMPUTED_VALUE"""),29.0)</f>
        <v>29</v>
      </c>
      <c r="EM38" s="179"/>
      <c r="EN38" s="179"/>
      <c r="EO38" s="16"/>
      <c r="EP38" s="16">
        <f>IFERROR(__xludf.DUMMYFUNCTION("""COMPUTED_VALUE"""),3.0)</f>
        <v>3</v>
      </c>
      <c r="EQ38" s="16">
        <f>IFERROR(__xludf.DUMMYFUNCTION("""COMPUTED_VALUE"""),4.0)</f>
        <v>4</v>
      </c>
      <c r="ER38" s="16">
        <f>IFERROR(__xludf.DUMMYFUNCTION("""COMPUTED_VALUE"""),3.0)</f>
        <v>3</v>
      </c>
      <c r="ES38" s="16"/>
      <c r="ET38" s="16"/>
      <c r="EU38" s="16"/>
      <c r="EV38" s="16"/>
      <c r="EW38" s="16"/>
      <c r="EX38" s="180"/>
      <c r="EY38" s="180">
        <f>IFERROR(__xludf.DUMMYFUNCTION("""COMPUTED_VALUE"""),0.3)</f>
        <v>0.3</v>
      </c>
      <c r="EZ38" s="180"/>
      <c r="FA38" s="180"/>
      <c r="FB38" s="180"/>
      <c r="FC38" s="180">
        <f>IFERROR(__xludf.DUMMYFUNCTION("""COMPUTED_VALUE"""),0.55)</f>
        <v>0.55</v>
      </c>
      <c r="FD38" s="180"/>
      <c r="FE38" s="180"/>
      <c r="FF38" s="180"/>
      <c r="FG38" s="180">
        <f>IFERROR(__xludf.DUMMYFUNCTION("""COMPUTED_VALUE"""),0.25)</f>
        <v>0.25</v>
      </c>
      <c r="FH38" s="180"/>
      <c r="FI38" s="180"/>
      <c r="FJ38" s="180"/>
      <c r="FK38" s="180">
        <f>IFERROR(__xludf.DUMMYFUNCTION("""COMPUTED_VALUE"""),0.019)</f>
        <v>0.019</v>
      </c>
      <c r="FL38" s="180"/>
      <c r="FM38" s="180"/>
      <c r="FN38" s="16"/>
      <c r="FO38" s="16">
        <f>IFERROR(__xludf.DUMMYFUNCTION("""COMPUTED_VALUE"""),0.5249999999999999)</f>
        <v>0.525</v>
      </c>
      <c r="FP38" s="16"/>
      <c r="FQ38" s="16"/>
      <c r="FR38" s="16"/>
      <c r="FS38" s="16">
        <f>IFERROR(__xludf.DUMMYFUNCTION("""COMPUTED_VALUE"""),0.44144999999999995)</f>
        <v>0.44145</v>
      </c>
      <c r="FT38" s="16"/>
      <c r="FU38" s="16"/>
      <c r="FV38" s="16"/>
      <c r="FW38" s="16">
        <f>IFERROR(__xludf.DUMMYFUNCTION("""COMPUTED_VALUE"""),-8.0)</f>
        <v>-8</v>
      </c>
      <c r="FX38" s="16"/>
      <c r="FY38" s="16"/>
      <c r="FZ38" s="16"/>
      <c r="GA38" s="16">
        <f>IFERROR(__xludf.DUMMYFUNCTION("""COMPUTED_VALUE"""),-11.0)</f>
        <v>-11</v>
      </c>
      <c r="GB38" s="16"/>
      <c r="GC38" s="16"/>
      <c r="GD38" s="16" t="s">
        <v>346</v>
      </c>
    </row>
    <row r="39">
      <c r="A39" s="16">
        <f>IFERROR(__xludf.DUMMYFUNCTION("""COMPUTED_VALUE"""),13297.0)</f>
        <v>13297</v>
      </c>
      <c r="B39" s="16" t="str">
        <f>IFERROR(__xludf.DUMMYFUNCTION("""COMPUTED_VALUE"""),"Randal Grichuk")</f>
        <v>Randal Grichuk</v>
      </c>
      <c r="C39" s="16">
        <f>IFERROR(__xludf.DUMMYFUNCTION("""COMPUTED_VALUE"""),2.29)</f>
        <v>2.29</v>
      </c>
      <c r="D39" s="16" t="str">
        <f>IFERROR(__xludf.DUMMYFUNCTION("""COMPUTED_VALUE"""),"R")</f>
        <v>R</v>
      </c>
      <c r="E39" s="16"/>
      <c r="F39" s="16"/>
      <c r="G39" s="16">
        <f>IFERROR(__xludf.DUMMYFUNCTION("""COMPUTED_VALUE"""),254.0)</f>
        <v>254</v>
      </c>
      <c r="H39" s="16">
        <f>IFERROR(__xludf.DUMMYFUNCTION("""COMPUTED_VALUE"""),20.0)</f>
        <v>20</v>
      </c>
      <c r="I39" s="16" t="str">
        <f>IFERROR(__xludf.DUMMYFUNCTION("""COMPUTED_VALUE"""),"1p50")</f>
        <v>1p50</v>
      </c>
      <c r="J39" s="16">
        <f>IFERROR(__xludf.DUMMYFUNCTION("""COMPUTED_VALUE"""),10.0)</f>
        <v>10</v>
      </c>
      <c r="K39" s="16">
        <f>IFERROR(__xludf.DUMMYFUNCTION("""COMPUTED_VALUE"""),15.0)</f>
        <v>15</v>
      </c>
      <c r="L39" s="16">
        <f>IFERROR(__xludf.DUMMYFUNCTION("""COMPUTED_VALUE"""),1.0)</f>
        <v>1</v>
      </c>
      <c r="M39" s="16">
        <f>IFERROR(__xludf.DUMMYFUNCTION("""COMPUTED_VALUE"""),1.0)</f>
        <v>1</v>
      </c>
      <c r="N39" s="16">
        <f>IFERROR(__xludf.DUMMYFUNCTION("""COMPUTED_VALUE"""),1.0)</f>
        <v>1</v>
      </c>
      <c r="O39" s="16">
        <f>IFERROR(__xludf.DUMMYFUNCTION("""COMPUTED_VALUE"""),1.0)</f>
        <v>1</v>
      </c>
      <c r="P39" s="16">
        <f>IFERROR(__xludf.DUMMYFUNCTION("""COMPUTED_VALUE"""),10.0)</f>
        <v>10</v>
      </c>
      <c r="Q39" s="16">
        <f>IFERROR(__xludf.DUMMYFUNCTION("""COMPUTED_VALUE"""),1.0)</f>
        <v>1</v>
      </c>
      <c r="R39" s="16">
        <f>IFERROR(__xludf.DUMMYFUNCTION("""COMPUTED_VALUE"""),1.0)</f>
        <v>1</v>
      </c>
      <c r="S39" s="16">
        <f>IFERROR(__xludf.DUMMYFUNCTION("""COMPUTED_VALUE"""),-2.0)</f>
        <v>-2</v>
      </c>
      <c r="T39" s="16">
        <f>IFERROR(__xludf.DUMMYFUNCTION("""COMPUTED_VALUE"""),1.0)</f>
        <v>1</v>
      </c>
      <c r="U39" s="16">
        <f>IFERROR(__xludf.DUMMYFUNCTION("""COMPUTED_VALUE"""),-2.0)</f>
        <v>-2</v>
      </c>
      <c r="V39" s="16">
        <f>IFERROR(__xludf.DUMMYFUNCTION("""COMPUTED_VALUE"""),32.7)</f>
        <v>32.7</v>
      </c>
      <c r="W39" s="16">
        <f>IFERROR(__xludf.DUMMYFUNCTION("""COMPUTED_VALUE"""),21.3)</f>
        <v>21.3</v>
      </c>
      <c r="X39" s="16">
        <f>IFERROR(__xludf.DUMMYFUNCTION("""COMPUTED_VALUE"""),2.0)</f>
        <v>2</v>
      </c>
      <c r="Y39" s="16">
        <f>IFERROR(__xludf.DUMMYFUNCTION("""COMPUTED_VALUE"""),0.0)</f>
        <v>0</v>
      </c>
      <c r="Z39" s="16">
        <f>IFERROR(__xludf.DUMMYFUNCTION("""COMPUTED_VALUE"""),4.0)</f>
        <v>4</v>
      </c>
      <c r="AA39" s="16">
        <f>IFERROR(__xludf.DUMMYFUNCTION("""COMPUTED_VALUE"""),0.0)</f>
        <v>0</v>
      </c>
      <c r="AB39" s="16">
        <f>IFERROR(__xludf.DUMMYFUNCTION("""COMPUTED_VALUE"""),44.7)</f>
        <v>44.7</v>
      </c>
      <c r="AC39" s="16">
        <f>IFERROR(__xludf.DUMMYFUNCTION("""COMPUTED_VALUE"""),24.3)</f>
        <v>24.3</v>
      </c>
      <c r="AD39" s="16">
        <f>IFERROR(__xludf.DUMMYFUNCTION("""COMPUTED_VALUE"""),2.0)</f>
        <v>2</v>
      </c>
      <c r="AE39" s="16">
        <f>IFERROR(__xludf.DUMMYFUNCTION("""COMPUTED_VALUE"""),-1.0)</f>
        <v>-1</v>
      </c>
      <c r="AF39" s="16">
        <f>IFERROR(__xludf.DUMMYFUNCTION("""COMPUTED_VALUE"""),10.0)</f>
        <v>10</v>
      </c>
      <c r="AG39" s="16">
        <f>IFERROR(__xludf.DUMMYFUNCTION("""COMPUTED_VALUE"""),-5.0)</f>
        <v>-5</v>
      </c>
      <c r="AH39" s="16">
        <f>IFERROR(__xludf.DUMMYFUNCTION("""COMPUTED_VALUE"""),52.6)</f>
        <v>52.6</v>
      </c>
      <c r="AI39" s="16">
        <f>IFERROR(__xludf.DUMMYFUNCTION("""COMPUTED_VALUE"""),55.9)</f>
        <v>55.9</v>
      </c>
      <c r="AJ39" s="16">
        <f>IFERROR(__xludf.DUMMYFUNCTION("""COMPUTED_VALUE"""),2.0)</f>
        <v>2</v>
      </c>
      <c r="AK39" s="16">
        <f>IFERROR(__xludf.DUMMYFUNCTION("""COMPUTED_VALUE"""),2.0)</f>
        <v>2</v>
      </c>
      <c r="AL39" s="16">
        <f>IFERROR(__xludf.DUMMYFUNCTION("""COMPUTED_VALUE"""),10.0)</f>
        <v>10</v>
      </c>
      <c r="AM39" s="16">
        <f>IFERROR(__xludf.DUMMYFUNCTION("""COMPUTED_VALUE"""),10.0)</f>
        <v>10</v>
      </c>
      <c r="AN39" s="16">
        <f>IFERROR(__xludf.DUMMYFUNCTION("""COMPUTED_VALUE"""),2.4)</f>
        <v>2.4</v>
      </c>
      <c r="AO39" s="16">
        <f>IFERROR(__xludf.DUMMYFUNCTION("""COMPUTED_VALUE"""),7.5)</f>
        <v>7.5</v>
      </c>
      <c r="AP39" s="16">
        <f>IFERROR(__xludf.DUMMYFUNCTION("""COMPUTED_VALUE"""),0.0)</f>
        <v>0</v>
      </c>
      <c r="AQ39" s="16">
        <f>IFERROR(__xludf.DUMMYFUNCTION("""COMPUTED_VALUE"""),3.0)</f>
        <v>3</v>
      </c>
      <c r="AR39" s="16">
        <f>IFERROR(__xludf.DUMMYFUNCTION("""COMPUTED_VALUE"""),0.0)</f>
        <v>0</v>
      </c>
      <c r="AS39" s="16">
        <f>IFERROR(__xludf.DUMMYFUNCTION("""COMPUTED_VALUE"""),6.0)</f>
        <v>6</v>
      </c>
      <c r="AT39" s="16">
        <f>IFERROR(__xludf.DUMMYFUNCTION("""COMPUTED_VALUE"""),4.0)</f>
        <v>4</v>
      </c>
      <c r="AU39" s="16"/>
      <c r="AV39" s="16">
        <f>IFERROR(__xludf.DUMMYFUNCTION("""COMPUTED_VALUE"""),4.0)</f>
        <v>4</v>
      </c>
      <c r="AW39" s="16">
        <f>IFERROR(__xludf.DUMMYFUNCTION("""COMPUTED_VALUE"""),8.0)</f>
        <v>8</v>
      </c>
      <c r="AX39" s="16">
        <f>IFERROR(__xludf.DUMMYFUNCTION("""COMPUTED_VALUE"""),2.0)</f>
        <v>2</v>
      </c>
      <c r="AY39" s="16">
        <f>IFERROR(__xludf.DUMMYFUNCTION("""COMPUTED_VALUE"""),3.0)</f>
        <v>3</v>
      </c>
      <c r="AZ39" s="16">
        <f>IFERROR(__xludf.DUMMYFUNCTION("""COMPUTED_VALUE"""),6.0)</f>
        <v>6</v>
      </c>
      <c r="BA39" s="16">
        <f>IFERROR(__xludf.DUMMYFUNCTION("""COMPUTED_VALUE"""),9.0)</f>
        <v>9</v>
      </c>
      <c r="BB39" s="16">
        <f>IFERROR(__xludf.DUMMYFUNCTION("""COMPUTED_VALUE"""),5.0)</f>
        <v>5</v>
      </c>
      <c r="BC39" s="16">
        <f>IFERROR(__xludf.DUMMYFUNCTION("""COMPUTED_VALUE"""),0.0)</f>
        <v>0</v>
      </c>
      <c r="BD39" s="16">
        <f>IFERROR(__xludf.DUMMYFUNCTION("""COMPUTED_VALUE"""),1.0)</f>
        <v>1</v>
      </c>
      <c r="BE39" s="16">
        <f>IFERROR(__xludf.DUMMYFUNCTION("""COMPUTED_VALUE"""),0.0)</f>
        <v>0</v>
      </c>
      <c r="BF39" s="16">
        <f>IFERROR(__xludf.DUMMYFUNCTION("""COMPUTED_VALUE"""),1.0)</f>
        <v>1</v>
      </c>
      <c r="BG39" s="16">
        <f>IFERROR(__xludf.DUMMYFUNCTION("""COMPUTED_VALUE"""),0.0)</f>
        <v>0</v>
      </c>
      <c r="BH39" s="16">
        <f>IFERROR(__xludf.DUMMYFUNCTION("""COMPUTED_VALUE"""),-6.0)</f>
        <v>-6</v>
      </c>
      <c r="BI39" s="16">
        <f>IFERROR(__xludf.DUMMYFUNCTION("""COMPUTED_VALUE"""),0.0)</f>
        <v>0</v>
      </c>
      <c r="BJ39" s="16">
        <f>IFERROR(__xludf.DUMMYFUNCTION("""COMPUTED_VALUE"""),14.0)</f>
        <v>14</v>
      </c>
      <c r="BK39" s="16">
        <f>IFERROR(__xludf.DUMMYFUNCTION("""COMPUTED_VALUE"""),16.0)</f>
        <v>16</v>
      </c>
      <c r="BL39" s="16">
        <f>IFERROR(__xludf.DUMMYFUNCTION("""COMPUTED_VALUE"""),0.0)</f>
        <v>0</v>
      </c>
      <c r="BM39" s="16">
        <f>IFERROR(__xludf.DUMMYFUNCTION("""COMPUTED_VALUE"""),-1.0)</f>
        <v>-1</v>
      </c>
      <c r="BN39" s="16">
        <f>IFERROR(__xludf.DUMMYFUNCTION("""COMPUTED_VALUE"""),0.0)</f>
        <v>0</v>
      </c>
      <c r="BO39" s="16">
        <f>IFERROR(__xludf.DUMMYFUNCTION("""COMPUTED_VALUE"""),-2.0)</f>
        <v>-2</v>
      </c>
      <c r="BP39" s="16">
        <f>IFERROR(__xludf.DUMMYFUNCTION("""COMPUTED_VALUE"""),11.0)</f>
        <v>11</v>
      </c>
      <c r="BQ39" s="16">
        <f>IFERROR(__xludf.DUMMYFUNCTION("""COMPUTED_VALUE"""),5.0)</f>
        <v>5</v>
      </c>
      <c r="BR39" s="16">
        <f>IFERROR(__xludf.DUMMYFUNCTION("""COMPUTED_VALUE"""),16.0)</f>
        <v>16</v>
      </c>
      <c r="BS39" s="16" t="str">
        <f>IFERROR(__xludf.DUMMYFUNCTION("""COMPUTED_VALUE"""),"-/- (---)")</f>
        <v>-/- (---)</v>
      </c>
      <c r="BT39" s="16" t="str">
        <f>IFERROR(__xludf.DUMMYFUNCTION("""COMPUTED_VALUE"""),"E")</f>
        <v>E</v>
      </c>
      <c r="BU39" s="16">
        <f>IFERROR(__xludf.DUMMYFUNCTION("""COMPUTED_VALUE"""),12.0)</f>
        <v>12</v>
      </c>
      <c r="BV39" s="16">
        <f>IFERROR(__xludf.DUMMYFUNCTION("""COMPUTED_VALUE"""),0.0)</f>
        <v>0</v>
      </c>
      <c r="BW39" s="16">
        <f>IFERROR(__xludf.DUMMYFUNCTION("""COMPUTED_VALUE"""),0.0)</f>
        <v>0</v>
      </c>
      <c r="BX39" s="16">
        <f>IFERROR(__xludf.DUMMYFUNCTION("""COMPUTED_VALUE"""),0.0)</f>
        <v>0</v>
      </c>
      <c r="BY39" s="16">
        <f>IFERROR(__xludf.DUMMYFUNCTION("""COMPUTED_VALUE"""),0.0)</f>
        <v>0</v>
      </c>
      <c r="BZ39" s="16" t="str">
        <f>IFERROR(__xludf.DUMMYFUNCTION("""COMPUTED_VALUE"""),"D")</f>
        <v>D</v>
      </c>
      <c r="CA39" s="16" t="str">
        <f>IFERROR(__xludf.DUMMYFUNCTION("""COMPUTED_VALUE"""),"D")</f>
        <v>D</v>
      </c>
      <c r="CB39" s="16">
        <f>IFERROR(__xludf.DUMMYFUNCTION("""COMPUTED_VALUE"""),0.0)</f>
        <v>0</v>
      </c>
      <c r="CC39" s="16">
        <f>IFERROR(__xludf.DUMMYFUNCTION("""COMPUTED_VALUE"""),0.0)</f>
        <v>0</v>
      </c>
      <c r="CD39" s="16">
        <f>IFERROR(__xludf.DUMMYFUNCTION("""COMPUTED_VALUE"""),0.0)</f>
        <v>0</v>
      </c>
      <c r="CE39" s="16">
        <f>IFERROR(__xludf.DUMMYFUNCTION("""COMPUTED_VALUE"""),0.0)</f>
        <v>0</v>
      </c>
      <c r="CF39" s="16">
        <f>IFERROR(__xludf.DUMMYFUNCTION("""COMPUTED_VALUE"""),1.0)</f>
        <v>1</v>
      </c>
      <c r="CG39" s="16">
        <f>IFERROR(__xludf.DUMMYFUNCTION("""COMPUTED_VALUE"""),33.0)</f>
        <v>33</v>
      </c>
      <c r="CH39" s="16">
        <f>IFERROR(__xludf.DUMMYFUNCTION("""COMPUTED_VALUE"""),17.0)</f>
        <v>17</v>
      </c>
      <c r="CI39" s="179">
        <f>IFERROR(__xludf.DUMMYFUNCTION("""COMPUTED_VALUE"""),25.0)</f>
        <v>25</v>
      </c>
      <c r="CJ39" s="16"/>
      <c r="CK39" s="16"/>
      <c r="CL39" s="16"/>
      <c r="CM39" s="16"/>
      <c r="CN39" s="16"/>
      <c r="CO39" s="16">
        <f>IFERROR(__xludf.DUMMYFUNCTION("""COMPUTED_VALUE"""),304.0)</f>
        <v>304</v>
      </c>
      <c r="CP39" s="16"/>
      <c r="CQ39" s="16">
        <f>IFERROR(__xludf.DUMMYFUNCTION("""COMPUTED_VALUE"""),304.0)</f>
        <v>304</v>
      </c>
      <c r="CR39" s="16" t="str">
        <f>IFERROR(__xludf.DUMMYFUNCTION("""COMPUTED_VALUE"""),"rf-3(0)e4 lf-3e4")</f>
        <v>rf-3(0)e4 lf-3e4</v>
      </c>
      <c r="CS39" s="16"/>
      <c r="CT39" s="16"/>
      <c r="CU39" s="16"/>
      <c r="CV39" s="16"/>
      <c r="CW39" s="16"/>
      <c r="CX39" s="16">
        <f>IFERROR(__xludf.DUMMYFUNCTION("""COMPUTED_VALUE"""),3.0)</f>
        <v>3</v>
      </c>
      <c r="CY39" s="16"/>
      <c r="CZ39" s="16">
        <f>IFERROR(__xludf.DUMMYFUNCTION("""COMPUTED_VALUE"""),3.0)</f>
        <v>3</v>
      </c>
      <c r="DA39" s="16"/>
      <c r="DB39" s="16"/>
      <c r="DC39" s="16"/>
      <c r="DD39" s="16"/>
      <c r="DE39" s="16"/>
      <c r="DF39" s="16">
        <f>IFERROR(__xludf.DUMMYFUNCTION("""COMPUTED_VALUE"""),4.0)</f>
        <v>4</v>
      </c>
      <c r="DG39" s="16"/>
      <c r="DH39" s="16">
        <f>IFERROR(__xludf.DUMMYFUNCTION("""COMPUTED_VALUE"""),4.0)</f>
        <v>4</v>
      </c>
      <c r="DI39" s="16"/>
      <c r="DJ39" s="16"/>
      <c r="DK39" s="16"/>
      <c r="DL39" s="16"/>
      <c r="DM39" s="16"/>
      <c r="DN39" s="16">
        <f>IFERROR(__xludf.DUMMYFUNCTION("""COMPUTED_VALUE"""),0.0)</f>
        <v>0</v>
      </c>
      <c r="DO39" s="16"/>
      <c r="DP39" s="16">
        <f>IFERROR(__xludf.DUMMYFUNCTION("""COMPUTED_VALUE"""),0.0)</f>
        <v>0</v>
      </c>
      <c r="DQ39" s="16"/>
      <c r="DR39" s="16"/>
      <c r="DS39" s="16"/>
      <c r="DT39" s="16"/>
      <c r="DU39" s="16"/>
      <c r="DV39" s="16">
        <f>IFERROR(__xludf.DUMMYFUNCTION("""COMPUTED_VALUE"""),2.0)</f>
        <v>2</v>
      </c>
      <c r="DW39" s="16"/>
      <c r="DX39" s="16">
        <f>IFERROR(__xludf.DUMMYFUNCTION("""COMPUTED_VALUE"""),2.0)</f>
        <v>2</v>
      </c>
      <c r="DY39" s="16"/>
      <c r="DZ39" s="16"/>
      <c r="EA39" s="16"/>
      <c r="EB39" s="16"/>
      <c r="EC39" s="16"/>
      <c r="ED39" s="16">
        <f>IFERROR(__xludf.DUMMYFUNCTION("""COMPUTED_VALUE"""),2.0)</f>
        <v>2</v>
      </c>
      <c r="EE39" s="16"/>
      <c r="EF39" s="16">
        <f>IFERROR(__xludf.DUMMYFUNCTION("""COMPUTED_VALUE"""),2.0)</f>
        <v>2</v>
      </c>
      <c r="EG39" s="179"/>
      <c r="EH39" s="179"/>
      <c r="EI39" s="179"/>
      <c r="EJ39" s="179"/>
      <c r="EK39" s="179"/>
      <c r="EL39" s="179">
        <f>IFERROR(__xludf.DUMMYFUNCTION("""COMPUTED_VALUE"""),27.0)</f>
        <v>27</v>
      </c>
      <c r="EM39" s="179"/>
      <c r="EN39" s="179">
        <f>IFERROR(__xludf.DUMMYFUNCTION("""COMPUTED_VALUE"""),27.0)</f>
        <v>27</v>
      </c>
      <c r="EO39" s="16"/>
      <c r="EP39" s="16">
        <f>IFERROR(__xludf.DUMMYFUNCTION("""COMPUTED_VALUE"""),-1.0)</f>
        <v>-1</v>
      </c>
      <c r="EQ39" s="16">
        <f>IFERROR(__xludf.DUMMYFUNCTION("""COMPUTED_VALUE"""),4.0)</f>
        <v>4</v>
      </c>
      <c r="ER39" s="16">
        <f>IFERROR(__xludf.DUMMYFUNCTION("""COMPUTED_VALUE"""),0.0)</f>
        <v>0</v>
      </c>
      <c r="ES39" s="16"/>
      <c r="ET39" s="16"/>
      <c r="EU39" s="16"/>
      <c r="EV39" s="16"/>
      <c r="EW39" s="16"/>
      <c r="EX39" s="180"/>
      <c r="EY39" s="180"/>
      <c r="EZ39" s="180"/>
      <c r="FA39" s="180"/>
      <c r="FB39" s="180"/>
      <c r="FC39" s="180">
        <f>IFERROR(__xludf.DUMMYFUNCTION("""COMPUTED_VALUE"""),0.3)</f>
        <v>0.3</v>
      </c>
      <c r="FD39" s="180"/>
      <c r="FE39" s="180">
        <f>IFERROR(__xludf.DUMMYFUNCTION("""COMPUTED_VALUE"""),0.3)</f>
        <v>0.3</v>
      </c>
      <c r="FF39" s="180"/>
      <c r="FG39" s="180"/>
      <c r="FH39" s="180"/>
      <c r="FI39" s="180"/>
      <c r="FJ39" s="180"/>
      <c r="FK39" s="180">
        <f>IFERROR(__xludf.DUMMYFUNCTION("""COMPUTED_VALUE"""),0.069)</f>
        <v>0.069</v>
      </c>
      <c r="FL39" s="180"/>
      <c r="FM39" s="180">
        <f>IFERROR(__xludf.DUMMYFUNCTION("""COMPUTED_VALUE"""),0.069)</f>
        <v>0.069</v>
      </c>
      <c r="FN39" s="16"/>
      <c r="FO39" s="16"/>
      <c r="FP39" s="16"/>
      <c r="FQ39" s="16"/>
      <c r="FR39" s="16"/>
      <c r="FS39" s="16">
        <f>IFERROR(__xludf.DUMMYFUNCTION("""COMPUTED_VALUE"""),0.6517)</f>
        <v>0.6517</v>
      </c>
      <c r="FT39" s="16"/>
      <c r="FU39" s="16">
        <f>IFERROR(__xludf.DUMMYFUNCTION("""COMPUTED_VALUE"""),0.6517)</f>
        <v>0.6517</v>
      </c>
      <c r="FV39" s="16"/>
      <c r="FW39" s="16"/>
      <c r="FX39" s="16"/>
      <c r="FY39" s="16"/>
      <c r="FZ39" s="16"/>
      <c r="GA39" s="16">
        <f>IFERROR(__xludf.DUMMYFUNCTION("""COMPUTED_VALUE"""),-3.0)</f>
        <v>-3</v>
      </c>
      <c r="GB39" s="16"/>
      <c r="GC39" s="16">
        <f>IFERROR(__xludf.DUMMYFUNCTION("""COMPUTED_VALUE"""),-3.0)</f>
        <v>-3</v>
      </c>
      <c r="GD39" s="16" t="s">
        <v>260</v>
      </c>
    </row>
    <row r="40">
      <c r="A40" s="16">
        <f>IFERROR(__xludf.DUMMYFUNCTION("""COMPUTED_VALUE"""),13489.0)</f>
        <v>13489</v>
      </c>
      <c r="B40" s="16" t="str">
        <f>IFERROR(__xludf.DUMMYFUNCTION("""COMPUTED_VALUE"""),"Willy Adames")</f>
        <v>Willy Adames</v>
      </c>
      <c r="C40" s="16">
        <f>IFERROR(__xludf.DUMMYFUNCTION("""COMPUTED_VALUE"""),1.31)</f>
        <v>1.31</v>
      </c>
      <c r="D40" s="16" t="str">
        <f>IFERROR(__xludf.DUMMYFUNCTION("""COMPUTED_VALUE"""),"R")</f>
        <v>R</v>
      </c>
      <c r="E40" s="16"/>
      <c r="F40" s="16"/>
      <c r="G40" s="16">
        <f>IFERROR(__xludf.DUMMYFUNCTION("""COMPUTED_VALUE"""),610.0)</f>
        <v>610</v>
      </c>
      <c r="H40" s="16">
        <f>IFERROR(__xludf.DUMMYFUNCTION("""COMPUTED_VALUE"""),74.0)</f>
        <v>74</v>
      </c>
      <c r="I40" s="16" t="str">
        <f>IFERROR(__xludf.DUMMYFUNCTION("""COMPUTED_VALUE"""),"1p70")</f>
        <v>1p70</v>
      </c>
      <c r="J40" s="16">
        <f>IFERROR(__xludf.DUMMYFUNCTION("""COMPUTED_VALUE"""),29.0)</f>
        <v>29</v>
      </c>
      <c r="K40" s="16">
        <f>IFERROR(__xludf.DUMMYFUNCTION("""COMPUTED_VALUE"""),30.0)</f>
        <v>30</v>
      </c>
      <c r="L40" s="16">
        <f>IFERROR(__xludf.DUMMYFUNCTION("""COMPUTED_VALUE"""),0.0)</f>
        <v>0</v>
      </c>
      <c r="M40" s="16">
        <f>IFERROR(__xludf.DUMMYFUNCTION("""COMPUTED_VALUE"""),-1.0)</f>
        <v>-1</v>
      </c>
      <c r="N40" s="16">
        <f>IFERROR(__xludf.DUMMYFUNCTION("""COMPUTED_VALUE"""),0.0)</f>
        <v>0</v>
      </c>
      <c r="O40" s="16">
        <f>IFERROR(__xludf.DUMMYFUNCTION("""COMPUTED_VALUE"""),-1.0)</f>
        <v>-1</v>
      </c>
      <c r="P40" s="16">
        <f>IFERROR(__xludf.DUMMYFUNCTION("""COMPUTED_VALUE"""),20.0)</f>
        <v>20</v>
      </c>
      <c r="Q40" s="16">
        <f>IFERROR(__xludf.DUMMYFUNCTION("""COMPUTED_VALUE"""),12.0)</f>
        <v>12</v>
      </c>
      <c r="R40" s="16">
        <f>IFERROR(__xludf.DUMMYFUNCTION("""COMPUTED_VALUE"""),3.0)</f>
        <v>3</v>
      </c>
      <c r="S40" s="16">
        <f>IFERROR(__xludf.DUMMYFUNCTION("""COMPUTED_VALUE"""),1.0)</f>
        <v>1</v>
      </c>
      <c r="T40" s="16">
        <f>IFERROR(__xludf.DUMMYFUNCTION("""COMPUTED_VALUE"""),3.0)</f>
        <v>3</v>
      </c>
      <c r="U40" s="16">
        <f>IFERROR(__xludf.DUMMYFUNCTION("""COMPUTED_VALUE"""),1.0)</f>
        <v>1</v>
      </c>
      <c r="V40" s="16">
        <f>IFERROR(__xludf.DUMMYFUNCTION("""COMPUTED_VALUE"""),8.3)</f>
        <v>8.3</v>
      </c>
      <c r="W40" s="16">
        <f>IFERROR(__xludf.DUMMYFUNCTION("""COMPUTED_VALUE"""),23.4)</f>
        <v>23.4</v>
      </c>
      <c r="X40" s="16">
        <f>IFERROR(__xludf.DUMMYFUNCTION("""COMPUTED_VALUE"""),-2.0)</f>
        <v>-2</v>
      </c>
      <c r="Y40" s="16">
        <f>IFERROR(__xludf.DUMMYFUNCTION("""COMPUTED_VALUE"""),1.0)</f>
        <v>1</v>
      </c>
      <c r="Z40" s="16">
        <f>IFERROR(__xludf.DUMMYFUNCTION("""COMPUTED_VALUE"""),-4.0)</f>
        <v>-4</v>
      </c>
      <c r="AA40" s="16">
        <f>IFERROR(__xludf.DUMMYFUNCTION("""COMPUTED_VALUE"""),2.0)</f>
        <v>2</v>
      </c>
      <c r="AB40" s="16">
        <f>IFERROR(__xludf.DUMMYFUNCTION("""COMPUTED_VALUE"""),28.3)</f>
        <v>28.3</v>
      </c>
      <c r="AC40" s="16">
        <f>IFERROR(__xludf.DUMMYFUNCTION("""COMPUTED_VALUE"""),35.4)</f>
        <v>35.4</v>
      </c>
      <c r="AD40" s="16">
        <f>IFERROR(__xludf.DUMMYFUNCTION("""COMPUTED_VALUE"""),0.0)</f>
        <v>0</v>
      </c>
      <c r="AE40" s="16">
        <f>IFERROR(__xludf.DUMMYFUNCTION("""COMPUTED_VALUE"""),1.0)</f>
        <v>1</v>
      </c>
      <c r="AF40" s="16">
        <f>IFERROR(__xludf.DUMMYFUNCTION("""COMPUTED_VALUE"""),0.0)</f>
        <v>0</v>
      </c>
      <c r="AG40" s="16">
        <f>IFERROR(__xludf.DUMMYFUNCTION("""COMPUTED_VALUE"""),5.0)</f>
        <v>5</v>
      </c>
      <c r="AH40" s="16">
        <f>IFERROR(__xludf.DUMMYFUNCTION("""COMPUTED_VALUE"""),13.4)</f>
        <v>13.4</v>
      </c>
      <c r="AI40" s="16">
        <f>IFERROR(__xludf.DUMMYFUNCTION("""COMPUTED_VALUE"""),43.1)</f>
        <v>43.1</v>
      </c>
      <c r="AJ40" s="16">
        <f>IFERROR(__xludf.DUMMYFUNCTION("""COMPUTED_VALUE"""),-2.0)</f>
        <v>-2</v>
      </c>
      <c r="AK40" s="16">
        <f>IFERROR(__xludf.DUMMYFUNCTION("""COMPUTED_VALUE"""),1.0)</f>
        <v>1</v>
      </c>
      <c r="AL40" s="16">
        <f>IFERROR(__xludf.DUMMYFUNCTION("""COMPUTED_VALUE"""),-10.0)</f>
        <v>-10</v>
      </c>
      <c r="AM40" s="16">
        <f>IFERROR(__xludf.DUMMYFUNCTION("""COMPUTED_VALUE"""),5.0)</f>
        <v>5</v>
      </c>
      <c r="AN40" s="16">
        <f>IFERROR(__xludf.DUMMYFUNCTION("""COMPUTED_VALUE"""),0.8)</f>
        <v>0.8</v>
      </c>
      <c r="AO40" s="16">
        <f>IFERROR(__xludf.DUMMYFUNCTION("""COMPUTED_VALUE"""),4.5)</f>
        <v>4.5</v>
      </c>
      <c r="AP40" s="16">
        <f>IFERROR(__xludf.DUMMYFUNCTION("""COMPUTED_VALUE"""),-2.0)</f>
        <v>-2</v>
      </c>
      <c r="AQ40" s="16">
        <f>IFERROR(__xludf.DUMMYFUNCTION("""COMPUTED_VALUE"""),2.0)</f>
        <v>2</v>
      </c>
      <c r="AR40" s="16">
        <f>IFERROR(__xludf.DUMMYFUNCTION("""COMPUTED_VALUE"""),-4.0)</f>
        <v>-4</v>
      </c>
      <c r="AS40" s="16">
        <f>IFERROR(__xludf.DUMMYFUNCTION("""COMPUTED_VALUE"""),4.0)</f>
        <v>4</v>
      </c>
      <c r="AT40" s="16">
        <f>IFERROR(__xludf.DUMMYFUNCTION("""COMPUTED_VALUE"""),1.0)</f>
        <v>1</v>
      </c>
      <c r="AU40" s="16">
        <f>IFERROR(__xludf.DUMMYFUNCTION("""COMPUTED_VALUE"""),8.0)</f>
        <v>8</v>
      </c>
      <c r="AV40" s="16">
        <f>IFERROR(__xludf.DUMMYFUNCTION("""COMPUTED_VALUE"""),1.0)</f>
        <v>1</v>
      </c>
      <c r="AW40" s="16">
        <f>IFERROR(__xludf.DUMMYFUNCTION("""COMPUTED_VALUE"""),8.0)</f>
        <v>8</v>
      </c>
      <c r="AX40" s="16">
        <f>IFERROR(__xludf.DUMMYFUNCTION("""COMPUTED_VALUE"""),-1.0)</f>
        <v>-1</v>
      </c>
      <c r="AY40" s="16">
        <f>IFERROR(__xludf.DUMMYFUNCTION("""COMPUTED_VALUE"""),3.0)</f>
        <v>3</v>
      </c>
      <c r="AZ40" s="16">
        <f>IFERROR(__xludf.DUMMYFUNCTION("""COMPUTED_VALUE"""),-3.0)</f>
        <v>-3</v>
      </c>
      <c r="BA40" s="16">
        <f>IFERROR(__xludf.DUMMYFUNCTION("""COMPUTED_VALUE"""),9.0)</f>
        <v>9</v>
      </c>
      <c r="BB40" s="16">
        <f>IFERROR(__xludf.DUMMYFUNCTION("""COMPUTED_VALUE"""),5.0)</f>
        <v>5</v>
      </c>
      <c r="BC40" s="16">
        <f>IFERROR(__xludf.DUMMYFUNCTION("""COMPUTED_VALUE"""),5.0)</f>
        <v>5</v>
      </c>
      <c r="BD40" s="16">
        <f>IFERROR(__xludf.DUMMYFUNCTION("""COMPUTED_VALUE"""),1.0)</f>
        <v>1</v>
      </c>
      <c r="BE40" s="16">
        <f>IFERROR(__xludf.DUMMYFUNCTION("""COMPUTED_VALUE"""),1.0)</f>
        <v>1</v>
      </c>
      <c r="BF40" s="16">
        <f>IFERROR(__xludf.DUMMYFUNCTION("""COMPUTED_VALUE"""),1.0)</f>
        <v>1</v>
      </c>
      <c r="BG40" s="16">
        <f>IFERROR(__xludf.DUMMYFUNCTION("""COMPUTED_VALUE"""),1.0)</f>
        <v>1</v>
      </c>
      <c r="BH40" s="16">
        <f>IFERROR(__xludf.DUMMYFUNCTION("""COMPUTED_VALUE"""),-2.0)</f>
        <v>-2</v>
      </c>
      <c r="BI40" s="16">
        <f>IFERROR(__xludf.DUMMYFUNCTION("""COMPUTED_VALUE"""),-9.0)</f>
        <v>-9</v>
      </c>
      <c r="BJ40" s="16">
        <f>IFERROR(__xludf.DUMMYFUNCTION("""COMPUTED_VALUE"""),12.0)</f>
        <v>12</v>
      </c>
      <c r="BK40" s="16">
        <f>IFERROR(__xludf.DUMMYFUNCTION("""COMPUTED_VALUE"""),12.0)</f>
        <v>12</v>
      </c>
      <c r="BL40" s="16">
        <f>IFERROR(__xludf.DUMMYFUNCTION("""COMPUTED_VALUE"""),0.0)</f>
        <v>0</v>
      </c>
      <c r="BM40" s="16">
        <f>IFERROR(__xludf.DUMMYFUNCTION("""COMPUTED_VALUE"""),0.0)</f>
        <v>0</v>
      </c>
      <c r="BN40" s="16">
        <f>IFERROR(__xludf.DUMMYFUNCTION("""COMPUTED_VALUE"""),0.0)</f>
        <v>0</v>
      </c>
      <c r="BO40" s="16">
        <f>IFERROR(__xludf.DUMMYFUNCTION("""COMPUTED_VALUE"""),0.0)</f>
        <v>0</v>
      </c>
      <c r="BP40" s="16">
        <f>IFERROR(__xludf.DUMMYFUNCTION("""COMPUTED_VALUE"""),-3.0)</f>
        <v>-3</v>
      </c>
      <c r="BQ40" s="16">
        <f>IFERROR(__xludf.DUMMYFUNCTION("""COMPUTED_VALUE"""),9.0)</f>
        <v>9</v>
      </c>
      <c r="BR40" s="16">
        <f>IFERROR(__xludf.DUMMYFUNCTION("""COMPUTED_VALUE"""),6.0)</f>
        <v>6</v>
      </c>
      <c r="BS40" s="16" t="str">
        <f>IFERROR(__xludf.DUMMYFUNCTION("""COMPUTED_VALUE"""),"*4,5/- (19-12)")</f>
        <v>*4,5/- (19-12)</v>
      </c>
      <c r="BT40" s="16" t="str">
        <f>IFERROR(__xludf.DUMMYFUNCTION("""COMPUTED_VALUE"""),"A")</f>
        <v>A</v>
      </c>
      <c r="BU40" s="16">
        <f>IFERROR(__xludf.DUMMYFUNCTION("""COMPUTED_VALUE"""),13.0)</f>
        <v>13</v>
      </c>
      <c r="BV40" s="16">
        <f>IFERROR(__xludf.DUMMYFUNCTION("""COMPUTED_VALUE"""),2.0)</f>
        <v>2</v>
      </c>
      <c r="BW40" s="16">
        <f>IFERROR(__xludf.DUMMYFUNCTION("""COMPUTED_VALUE"""),1.0)</f>
        <v>1</v>
      </c>
      <c r="BX40" s="16">
        <f>IFERROR(__xludf.DUMMYFUNCTION("""COMPUTED_VALUE"""),4.0)</f>
        <v>4</v>
      </c>
      <c r="BY40" s="16">
        <f>IFERROR(__xludf.DUMMYFUNCTION("""COMPUTED_VALUE"""),3.0)</f>
        <v>3</v>
      </c>
      <c r="BZ40" s="16" t="str">
        <f>IFERROR(__xludf.DUMMYFUNCTION("""COMPUTED_VALUE"""),"D")</f>
        <v>D</v>
      </c>
      <c r="CA40" s="16" t="str">
        <f>IFERROR(__xludf.DUMMYFUNCTION("""COMPUTED_VALUE"""),"D")</f>
        <v>D</v>
      </c>
      <c r="CB40" s="16">
        <f>IFERROR(__xludf.DUMMYFUNCTION("""COMPUTED_VALUE"""),0.0)</f>
        <v>0</v>
      </c>
      <c r="CC40" s="16">
        <f>IFERROR(__xludf.DUMMYFUNCTION("""COMPUTED_VALUE"""),0.0)</f>
        <v>0</v>
      </c>
      <c r="CD40" s="16">
        <f>IFERROR(__xludf.DUMMYFUNCTION("""COMPUTED_VALUE"""),0.0)</f>
        <v>0</v>
      </c>
      <c r="CE40" s="16">
        <f>IFERROR(__xludf.DUMMYFUNCTION("""COMPUTED_VALUE"""),0.0)</f>
        <v>0</v>
      </c>
      <c r="CF40" s="16">
        <f>IFERROR(__xludf.DUMMYFUNCTION("""COMPUTED_VALUE"""),1.0)</f>
        <v>1</v>
      </c>
      <c r="CG40" s="16">
        <f>IFERROR(__xludf.DUMMYFUNCTION("""COMPUTED_VALUE"""),-17.0)</f>
        <v>-17</v>
      </c>
      <c r="CH40" s="16">
        <f>IFERROR(__xludf.DUMMYFUNCTION("""COMPUTED_VALUE"""),26.0)</f>
        <v>26</v>
      </c>
      <c r="CI40" s="179">
        <f>IFERROR(__xludf.DUMMYFUNCTION("""COMPUTED_VALUE"""),24.0)</f>
        <v>24</v>
      </c>
      <c r="CJ40" s="16"/>
      <c r="CK40" s="16"/>
      <c r="CL40" s="16"/>
      <c r="CM40" s="16"/>
      <c r="CN40" s="16">
        <f>IFERROR(__xludf.DUMMYFUNCTION("""COMPUTED_VALUE"""),221.0)</f>
        <v>221</v>
      </c>
      <c r="CO40" s="16"/>
      <c r="CP40" s="16"/>
      <c r="CQ40" s="16"/>
      <c r="CR40" s="16" t="str">
        <f>IFERROR(__xludf.DUMMYFUNCTION("""COMPUTED_VALUE"""),"ss-2e21")</f>
        <v>ss-2e21</v>
      </c>
      <c r="CS40" s="16"/>
      <c r="CT40" s="16"/>
      <c r="CU40" s="16"/>
      <c r="CV40" s="16"/>
      <c r="CW40" s="16">
        <f>IFERROR(__xludf.DUMMYFUNCTION("""COMPUTED_VALUE"""),2.0)</f>
        <v>2</v>
      </c>
      <c r="CX40" s="16"/>
      <c r="CY40" s="16"/>
      <c r="CZ40" s="16"/>
      <c r="DA40" s="16"/>
      <c r="DB40" s="16"/>
      <c r="DC40" s="16"/>
      <c r="DD40" s="16"/>
      <c r="DE40" s="16">
        <f>IFERROR(__xludf.DUMMYFUNCTION("""COMPUTED_VALUE"""),21.0)</f>
        <v>21</v>
      </c>
      <c r="DF40" s="16"/>
      <c r="DG40" s="16"/>
      <c r="DH40" s="16"/>
      <c r="DI40" s="16"/>
      <c r="DJ40" s="16"/>
      <c r="DK40" s="16"/>
      <c r="DL40" s="16"/>
      <c r="DM40" s="16">
        <f>IFERROR(__xludf.DUMMYFUNCTION("""COMPUTED_VALUE"""),3.0)</f>
        <v>3</v>
      </c>
      <c r="DN40" s="16"/>
      <c r="DO40" s="16"/>
      <c r="DP40" s="16"/>
      <c r="DQ40" s="16"/>
      <c r="DR40" s="16"/>
      <c r="DS40" s="16"/>
      <c r="DT40" s="16"/>
      <c r="DU40" s="16">
        <f>IFERROR(__xludf.DUMMYFUNCTION("""COMPUTED_VALUE"""),0.0)</f>
        <v>0</v>
      </c>
      <c r="DV40" s="16"/>
      <c r="DW40" s="16"/>
      <c r="DX40" s="16"/>
      <c r="DY40" s="16"/>
      <c r="DZ40" s="16"/>
      <c r="EA40" s="16"/>
      <c r="EB40" s="16"/>
      <c r="EC40" s="16">
        <f>IFERROR(__xludf.DUMMYFUNCTION("""COMPUTED_VALUE"""),3.0)</f>
        <v>3</v>
      </c>
      <c r="ED40" s="16"/>
      <c r="EE40" s="16"/>
      <c r="EF40" s="16"/>
      <c r="EG40" s="179"/>
      <c r="EH40" s="179"/>
      <c r="EI40" s="179"/>
      <c r="EJ40" s="179"/>
      <c r="EK40" s="179">
        <f>IFERROR(__xludf.DUMMYFUNCTION("""COMPUTED_VALUE"""),27.0)</f>
        <v>27</v>
      </c>
      <c r="EL40" s="179"/>
      <c r="EM40" s="179"/>
      <c r="EN40" s="179"/>
      <c r="EO40" s="16"/>
      <c r="EP40" s="16"/>
      <c r="EQ40" s="16">
        <f>IFERROR(__xludf.DUMMYFUNCTION("""COMPUTED_VALUE"""),4.0)</f>
        <v>4</v>
      </c>
      <c r="ER40" s="16">
        <f>IFERROR(__xludf.DUMMYFUNCTION("""COMPUTED_VALUE"""),3.0)</f>
        <v>3</v>
      </c>
      <c r="ES40" s="16"/>
      <c r="ET40" s="16"/>
      <c r="EU40" s="16"/>
      <c r="EV40" s="16"/>
      <c r="EW40" s="16"/>
      <c r="EX40" s="180"/>
      <c r="EY40" s="180"/>
      <c r="EZ40" s="180"/>
      <c r="FA40" s="180"/>
      <c r="FB40" s="180">
        <f>IFERROR(__xludf.DUMMYFUNCTION("""COMPUTED_VALUE"""),0.1)</f>
        <v>0.1</v>
      </c>
      <c r="FC40" s="180"/>
      <c r="FD40" s="180"/>
      <c r="FE40" s="180"/>
      <c r="FF40" s="180"/>
      <c r="FG40" s="180"/>
      <c r="FH40" s="180"/>
      <c r="FI40" s="180"/>
      <c r="FJ40" s="180">
        <f>IFERROR(__xludf.DUMMYFUNCTION("""COMPUTED_VALUE"""),0.10648148148148148)</f>
        <v>0.1064814815</v>
      </c>
      <c r="FK40" s="180"/>
      <c r="FL40" s="180"/>
      <c r="FM40" s="180"/>
      <c r="FN40" s="16"/>
      <c r="FO40" s="16"/>
      <c r="FP40" s="16"/>
      <c r="FQ40" s="16"/>
      <c r="FR40" s="16">
        <f>IFERROR(__xludf.DUMMYFUNCTION("""COMPUTED_VALUE"""),0.8041666666666667)</f>
        <v>0.8041666667</v>
      </c>
      <c r="FS40" s="16"/>
      <c r="FT40" s="16"/>
      <c r="FU40" s="16"/>
      <c r="FV40" s="16"/>
      <c r="FW40" s="16"/>
      <c r="FX40" s="16"/>
      <c r="FY40" s="16"/>
      <c r="FZ40" s="16">
        <f>IFERROR(__xludf.DUMMYFUNCTION("""COMPUTED_VALUE"""),1.0)</f>
        <v>1</v>
      </c>
      <c r="GA40" s="16"/>
      <c r="GB40" s="16"/>
      <c r="GC40" s="16"/>
      <c r="GD40" s="16" t="s">
        <v>272</v>
      </c>
    </row>
    <row r="41">
      <c r="A41" s="16">
        <f>IFERROR(__xludf.DUMMYFUNCTION("""COMPUTED_VALUE"""),12895.0)</f>
        <v>12895</v>
      </c>
      <c r="B41" s="16" t="str">
        <f>IFERROR(__xludf.DUMMYFUNCTION("""COMPUTED_VALUE"""),"Jackson Chourio")</f>
        <v>Jackson Chourio</v>
      </c>
      <c r="C41" s="16">
        <f>IFERROR(__xludf.DUMMYFUNCTION("""COMPUTED_VALUE"""),1.92)</f>
        <v>1.92</v>
      </c>
      <c r="D41" s="16" t="str">
        <f>IFERROR(__xludf.DUMMYFUNCTION("""COMPUTED_VALUE"""),"R")</f>
        <v>R</v>
      </c>
      <c r="E41" s="16"/>
      <c r="F41" s="16"/>
      <c r="G41" s="16">
        <f>IFERROR(__xludf.DUMMYFUNCTION("""COMPUTED_VALUE"""),528.0)</f>
        <v>528</v>
      </c>
      <c r="H41" s="16">
        <f>IFERROR(__xludf.DUMMYFUNCTION("""COMPUTED_VALUE"""),39.0)</f>
        <v>39</v>
      </c>
      <c r="I41" s="16" t="str">
        <f>IFERROR(__xludf.DUMMYFUNCTION("""COMPUTED_VALUE"""),"1p70")</f>
        <v>1p70</v>
      </c>
      <c r="J41" s="16">
        <f>IFERROR(__xludf.DUMMYFUNCTION("""COMPUTED_VALUE"""),20.0)</f>
        <v>20</v>
      </c>
      <c r="K41" s="16">
        <f>IFERROR(__xludf.DUMMYFUNCTION("""COMPUTED_VALUE"""),22.0)</f>
        <v>22</v>
      </c>
      <c r="L41" s="16">
        <f>IFERROR(__xludf.DUMMYFUNCTION("""COMPUTED_VALUE"""),0.0)</f>
        <v>0</v>
      </c>
      <c r="M41" s="16">
        <f>IFERROR(__xludf.DUMMYFUNCTION("""COMPUTED_VALUE"""),0.0)</f>
        <v>0</v>
      </c>
      <c r="N41" s="16">
        <f>IFERROR(__xludf.DUMMYFUNCTION("""COMPUTED_VALUE"""),0.0)</f>
        <v>0</v>
      </c>
      <c r="O41" s="16">
        <f>IFERROR(__xludf.DUMMYFUNCTION("""COMPUTED_VALUE"""),0.0)</f>
        <v>0</v>
      </c>
      <c r="P41" s="16">
        <f>IFERROR(__xludf.DUMMYFUNCTION("""COMPUTED_VALUE"""),6.0)</f>
        <v>6</v>
      </c>
      <c r="Q41" s="16">
        <f>IFERROR(__xludf.DUMMYFUNCTION("""COMPUTED_VALUE"""),5.0)</f>
        <v>5</v>
      </c>
      <c r="R41" s="16">
        <f>IFERROR(__xludf.DUMMYFUNCTION("""COMPUTED_VALUE"""),-1.0)</f>
        <v>-1</v>
      </c>
      <c r="S41" s="16">
        <f>IFERROR(__xludf.DUMMYFUNCTION("""COMPUTED_VALUE"""),-1.0)</f>
        <v>-1</v>
      </c>
      <c r="T41" s="16">
        <f>IFERROR(__xludf.DUMMYFUNCTION("""COMPUTED_VALUE"""),-1.0)</f>
        <v>-1</v>
      </c>
      <c r="U41" s="16">
        <f>IFERROR(__xludf.DUMMYFUNCTION("""COMPUTED_VALUE"""),-1.0)</f>
        <v>-1</v>
      </c>
      <c r="V41" s="16">
        <f>IFERROR(__xludf.DUMMYFUNCTION("""COMPUTED_VALUE"""),26.7)</f>
        <v>26.7</v>
      </c>
      <c r="W41" s="16">
        <f>IFERROR(__xludf.DUMMYFUNCTION("""COMPUTED_VALUE"""),27.0)</f>
        <v>27</v>
      </c>
      <c r="X41" s="16">
        <f>IFERROR(__xludf.DUMMYFUNCTION("""COMPUTED_VALUE"""),1.0)</f>
        <v>1</v>
      </c>
      <c r="Y41" s="16">
        <f>IFERROR(__xludf.DUMMYFUNCTION("""COMPUTED_VALUE"""),1.0)</f>
        <v>1</v>
      </c>
      <c r="Z41" s="16">
        <f>IFERROR(__xludf.DUMMYFUNCTION("""COMPUTED_VALUE"""),2.0)</f>
        <v>2</v>
      </c>
      <c r="AA41" s="16">
        <f>IFERROR(__xludf.DUMMYFUNCTION("""COMPUTED_VALUE"""),2.0)</f>
        <v>2</v>
      </c>
      <c r="AB41" s="16">
        <f>IFERROR(__xludf.DUMMYFUNCTION("""COMPUTED_VALUE"""),33.7)</f>
        <v>33.7</v>
      </c>
      <c r="AC41" s="16">
        <f>IFERROR(__xludf.DUMMYFUNCTION("""COMPUTED_VALUE"""),33.0)</f>
        <v>33</v>
      </c>
      <c r="AD41" s="16">
        <f>IFERROR(__xludf.DUMMYFUNCTION("""COMPUTED_VALUE"""),0.0)</f>
        <v>0</v>
      </c>
      <c r="AE41" s="16">
        <f>IFERROR(__xludf.DUMMYFUNCTION("""COMPUTED_VALUE"""),0.0)</f>
        <v>0</v>
      </c>
      <c r="AF41" s="16">
        <f>IFERROR(__xludf.DUMMYFUNCTION("""COMPUTED_VALUE"""),0.0)</f>
        <v>0</v>
      </c>
      <c r="AG41" s="16">
        <f>IFERROR(__xludf.DUMMYFUNCTION("""COMPUTED_VALUE"""),0.0)</f>
        <v>0</v>
      </c>
      <c r="AH41" s="16">
        <f>IFERROR(__xludf.DUMMYFUNCTION("""COMPUTED_VALUE"""),30.5)</f>
        <v>30.5</v>
      </c>
      <c r="AI41" s="16">
        <f>IFERROR(__xludf.DUMMYFUNCTION("""COMPUTED_VALUE"""),48.2)</f>
        <v>48.2</v>
      </c>
      <c r="AJ41" s="16">
        <f>IFERROR(__xludf.DUMMYFUNCTION("""COMPUTED_VALUE"""),0.0)</f>
        <v>0</v>
      </c>
      <c r="AK41" s="16">
        <f>IFERROR(__xludf.DUMMYFUNCTION("""COMPUTED_VALUE"""),2.0)</f>
        <v>2</v>
      </c>
      <c r="AL41" s="16">
        <f>IFERROR(__xludf.DUMMYFUNCTION("""COMPUTED_VALUE"""),0.0)</f>
        <v>0</v>
      </c>
      <c r="AM41" s="16">
        <f>IFERROR(__xludf.DUMMYFUNCTION("""COMPUTED_VALUE"""),10.0)</f>
        <v>10</v>
      </c>
      <c r="AN41" s="16">
        <f>IFERROR(__xludf.DUMMYFUNCTION("""COMPUTED_VALUE"""),0.3)</f>
        <v>0.3</v>
      </c>
      <c r="AO41" s="16">
        <f>IFERROR(__xludf.DUMMYFUNCTION("""COMPUTED_VALUE"""),3.6)</f>
        <v>3.6</v>
      </c>
      <c r="AP41" s="16">
        <f>IFERROR(__xludf.DUMMYFUNCTION("""COMPUTED_VALUE"""),-2.0)</f>
        <v>-2</v>
      </c>
      <c r="AQ41" s="16">
        <f>IFERROR(__xludf.DUMMYFUNCTION("""COMPUTED_VALUE"""),1.0)</f>
        <v>1</v>
      </c>
      <c r="AR41" s="16">
        <f>IFERROR(__xludf.DUMMYFUNCTION("""COMPUTED_VALUE"""),-4.0)</f>
        <v>-4</v>
      </c>
      <c r="AS41" s="16">
        <f>IFERROR(__xludf.DUMMYFUNCTION("""COMPUTED_VALUE"""),2.0)</f>
        <v>2</v>
      </c>
      <c r="AT41" s="16">
        <f>IFERROR(__xludf.DUMMYFUNCTION("""COMPUTED_VALUE"""),0.0)</f>
        <v>0</v>
      </c>
      <c r="AU41" s="16">
        <f>IFERROR(__xludf.DUMMYFUNCTION("""COMPUTED_VALUE"""),6.0)</f>
        <v>6</v>
      </c>
      <c r="AV41" s="16">
        <f>IFERROR(__xludf.DUMMYFUNCTION("""COMPUTED_VALUE"""),0.0)</f>
        <v>0</v>
      </c>
      <c r="AW41" s="16">
        <f>IFERROR(__xludf.DUMMYFUNCTION("""COMPUTED_VALUE"""),6.0)</f>
        <v>6</v>
      </c>
      <c r="AX41" s="16">
        <f>IFERROR(__xludf.DUMMYFUNCTION("""COMPUTED_VALUE"""),-2.0)</f>
        <v>-2</v>
      </c>
      <c r="AY41" s="16">
        <f>IFERROR(__xludf.DUMMYFUNCTION("""COMPUTED_VALUE"""),2.0)</f>
        <v>2</v>
      </c>
      <c r="AZ41" s="16">
        <f>IFERROR(__xludf.DUMMYFUNCTION("""COMPUTED_VALUE"""),-6.0)</f>
        <v>-6</v>
      </c>
      <c r="BA41" s="16">
        <f>IFERROR(__xludf.DUMMYFUNCTION("""COMPUTED_VALUE"""),6.0)</f>
        <v>6</v>
      </c>
      <c r="BB41" s="16">
        <f>IFERROR(__xludf.DUMMYFUNCTION("""COMPUTED_VALUE"""),5.0)</f>
        <v>5</v>
      </c>
      <c r="BC41" s="16">
        <f>IFERROR(__xludf.DUMMYFUNCTION("""COMPUTED_VALUE"""),5.0)</f>
        <v>5</v>
      </c>
      <c r="BD41" s="16">
        <f>IFERROR(__xludf.DUMMYFUNCTION("""COMPUTED_VALUE"""),1.0)</f>
        <v>1</v>
      </c>
      <c r="BE41" s="16">
        <f>IFERROR(__xludf.DUMMYFUNCTION("""COMPUTED_VALUE"""),1.0)</f>
        <v>1</v>
      </c>
      <c r="BF41" s="16">
        <f>IFERROR(__xludf.DUMMYFUNCTION("""COMPUTED_VALUE"""),1.0)</f>
        <v>1</v>
      </c>
      <c r="BG41" s="16">
        <f>IFERROR(__xludf.DUMMYFUNCTION("""COMPUTED_VALUE"""),1.0)</f>
        <v>1</v>
      </c>
      <c r="BH41" s="16">
        <f>IFERROR(__xludf.DUMMYFUNCTION("""COMPUTED_VALUE"""),-3.0)</f>
        <v>-3</v>
      </c>
      <c r="BI41" s="16">
        <f>IFERROR(__xludf.DUMMYFUNCTION("""COMPUTED_VALUE"""),-3.0)</f>
        <v>-3</v>
      </c>
      <c r="BJ41" s="16">
        <f>IFERROR(__xludf.DUMMYFUNCTION("""COMPUTED_VALUE"""),8.0)</f>
        <v>8</v>
      </c>
      <c r="BK41" s="16">
        <f>IFERROR(__xludf.DUMMYFUNCTION("""COMPUTED_VALUE"""),8.0)</f>
        <v>8</v>
      </c>
      <c r="BL41" s="16">
        <f>IFERROR(__xludf.DUMMYFUNCTION("""COMPUTED_VALUE"""),1.0)</f>
        <v>1</v>
      </c>
      <c r="BM41" s="16">
        <f>IFERROR(__xludf.DUMMYFUNCTION("""COMPUTED_VALUE"""),1.0)</f>
        <v>1</v>
      </c>
      <c r="BN41" s="16">
        <f>IFERROR(__xludf.DUMMYFUNCTION("""COMPUTED_VALUE"""),1.0)</f>
        <v>1</v>
      </c>
      <c r="BO41" s="16">
        <f>IFERROR(__xludf.DUMMYFUNCTION("""COMPUTED_VALUE"""),1.0)</f>
        <v>1</v>
      </c>
      <c r="BP41" s="16">
        <f>IFERROR(__xludf.DUMMYFUNCTION("""COMPUTED_VALUE"""),-2.0)</f>
        <v>-2</v>
      </c>
      <c r="BQ41" s="16">
        <f>IFERROR(__xludf.DUMMYFUNCTION("""COMPUTED_VALUE"""),7.0)</f>
        <v>7</v>
      </c>
      <c r="BR41" s="16">
        <f>IFERROR(__xludf.DUMMYFUNCTION("""COMPUTED_VALUE"""),5.0)</f>
        <v>5</v>
      </c>
      <c r="BS41" s="16" t="str">
        <f>IFERROR(__xludf.DUMMYFUNCTION("""COMPUTED_VALUE"""),"*4-6/- (18-13)")</f>
        <v>*4-6/- (18-13)</v>
      </c>
      <c r="BT41" s="16" t="str">
        <f>IFERROR(__xludf.DUMMYFUNCTION("""COMPUTED_VALUE"""),"A")</f>
        <v>A</v>
      </c>
      <c r="BU41" s="16">
        <f>IFERROR(__xludf.DUMMYFUNCTION("""COMPUTED_VALUE"""),16.0)</f>
        <v>16</v>
      </c>
      <c r="BV41" s="16">
        <f>IFERROR(__xludf.DUMMYFUNCTION("""COMPUTED_VALUE"""),2.0)</f>
        <v>2</v>
      </c>
      <c r="BW41" s="16">
        <f>IFERROR(__xludf.DUMMYFUNCTION("""COMPUTED_VALUE"""),2.0)</f>
        <v>2</v>
      </c>
      <c r="BX41" s="16">
        <f>IFERROR(__xludf.DUMMYFUNCTION("""COMPUTED_VALUE"""),4.0)</f>
        <v>4</v>
      </c>
      <c r="BY41" s="16">
        <f>IFERROR(__xludf.DUMMYFUNCTION("""COMPUTED_VALUE"""),6.0)</f>
        <v>6</v>
      </c>
      <c r="BZ41" s="16" t="str">
        <f>IFERROR(__xludf.DUMMYFUNCTION("""COMPUTED_VALUE"""),"D")</f>
        <v>D</v>
      </c>
      <c r="CA41" s="16" t="str">
        <f>IFERROR(__xludf.DUMMYFUNCTION("""COMPUTED_VALUE"""),"C")</f>
        <v>C</v>
      </c>
      <c r="CB41" s="16">
        <f>IFERROR(__xludf.DUMMYFUNCTION("""COMPUTED_VALUE"""),0.0)</f>
        <v>0</v>
      </c>
      <c r="CC41" s="16">
        <f>IFERROR(__xludf.DUMMYFUNCTION("""COMPUTED_VALUE"""),0.0)</f>
        <v>0</v>
      </c>
      <c r="CD41" s="16">
        <f>IFERROR(__xludf.DUMMYFUNCTION("""COMPUTED_VALUE"""),0.0)</f>
        <v>0</v>
      </c>
      <c r="CE41" s="16">
        <f>IFERROR(__xludf.DUMMYFUNCTION("""COMPUTED_VALUE"""),0.0)</f>
        <v>0</v>
      </c>
      <c r="CF41" s="16">
        <f>IFERROR(__xludf.DUMMYFUNCTION("""COMPUTED_VALUE"""),1.0)</f>
        <v>1</v>
      </c>
      <c r="CG41" s="16">
        <f>IFERROR(__xludf.DUMMYFUNCTION("""COMPUTED_VALUE"""),-7.0)</f>
        <v>-7</v>
      </c>
      <c r="CH41" s="16">
        <f>IFERROR(__xludf.DUMMYFUNCTION("""COMPUTED_VALUE"""),21.0)</f>
        <v>21</v>
      </c>
      <c r="CI41" s="179">
        <f>IFERROR(__xludf.DUMMYFUNCTION("""COMPUTED_VALUE"""),24.0)</f>
        <v>24</v>
      </c>
      <c r="CJ41" s="16"/>
      <c r="CK41" s="16"/>
      <c r="CL41" s="16"/>
      <c r="CM41" s="16"/>
      <c r="CN41" s="16"/>
      <c r="CO41" s="16">
        <f>IFERROR(__xludf.DUMMYFUNCTION("""COMPUTED_VALUE"""),300.0)</f>
        <v>300</v>
      </c>
      <c r="CP41" s="16"/>
      <c r="CQ41" s="16">
        <f>IFERROR(__xludf.DUMMYFUNCTION("""COMPUTED_VALUE"""),200.0)</f>
        <v>200</v>
      </c>
      <c r="CR41" s="16" t="str">
        <f>IFERROR(__xludf.DUMMYFUNCTION("""COMPUTED_VALUE"""),"lf-3(-1)e0 rf-2e0")</f>
        <v>lf-3(-1)e0 rf-2e0</v>
      </c>
      <c r="CS41" s="16"/>
      <c r="CT41" s="16"/>
      <c r="CU41" s="16"/>
      <c r="CV41" s="16"/>
      <c r="CW41" s="16"/>
      <c r="CX41" s="16">
        <f>IFERROR(__xludf.DUMMYFUNCTION("""COMPUTED_VALUE"""),3.0)</f>
        <v>3</v>
      </c>
      <c r="CY41" s="16"/>
      <c r="CZ41" s="16">
        <f>IFERROR(__xludf.DUMMYFUNCTION("""COMPUTED_VALUE"""),2.0)</f>
        <v>2</v>
      </c>
      <c r="DA41" s="16"/>
      <c r="DB41" s="16"/>
      <c r="DC41" s="16"/>
      <c r="DD41" s="16"/>
      <c r="DE41" s="16"/>
      <c r="DF41" s="16">
        <f>IFERROR(__xludf.DUMMYFUNCTION("""COMPUTED_VALUE"""),0.0)</f>
        <v>0</v>
      </c>
      <c r="DG41" s="16"/>
      <c r="DH41" s="16">
        <f>IFERROR(__xludf.DUMMYFUNCTION("""COMPUTED_VALUE"""),0.0)</f>
        <v>0</v>
      </c>
      <c r="DI41" s="16"/>
      <c r="DJ41" s="16"/>
      <c r="DK41" s="16"/>
      <c r="DL41" s="16"/>
      <c r="DM41" s="16"/>
      <c r="DN41" s="16">
        <f>IFERROR(__xludf.DUMMYFUNCTION("""COMPUTED_VALUE"""),0.0)</f>
        <v>0</v>
      </c>
      <c r="DO41" s="16"/>
      <c r="DP41" s="16">
        <f>IFERROR(__xludf.DUMMYFUNCTION("""COMPUTED_VALUE"""),3.0)</f>
        <v>3</v>
      </c>
      <c r="DQ41" s="16"/>
      <c r="DR41" s="16"/>
      <c r="DS41" s="16"/>
      <c r="DT41" s="16"/>
      <c r="DU41" s="16"/>
      <c r="DV41" s="16">
        <f>IFERROR(__xludf.DUMMYFUNCTION("""COMPUTED_VALUE"""),4.0)</f>
        <v>4</v>
      </c>
      <c r="DW41" s="16"/>
      <c r="DX41" s="16">
        <f>IFERROR(__xludf.DUMMYFUNCTION("""COMPUTED_VALUE"""),4.0)</f>
        <v>4</v>
      </c>
      <c r="DY41" s="16"/>
      <c r="DZ41" s="16"/>
      <c r="EA41" s="16"/>
      <c r="EB41" s="16"/>
      <c r="EC41" s="16"/>
      <c r="ED41" s="16">
        <f>IFERROR(__xludf.DUMMYFUNCTION("""COMPUTED_VALUE"""),4.0)</f>
        <v>4</v>
      </c>
      <c r="EE41" s="16"/>
      <c r="EF41" s="16">
        <f>IFERROR(__xludf.DUMMYFUNCTION("""COMPUTED_VALUE"""),7.0)</f>
        <v>7</v>
      </c>
      <c r="EG41" s="179"/>
      <c r="EH41" s="179"/>
      <c r="EI41" s="179"/>
      <c r="EJ41" s="179"/>
      <c r="EK41" s="179"/>
      <c r="EL41" s="179">
        <f>IFERROR(__xludf.DUMMYFUNCTION("""COMPUTED_VALUE"""),28.0)</f>
        <v>28</v>
      </c>
      <c r="EM41" s="179"/>
      <c r="EN41" s="179">
        <f>IFERROR(__xludf.DUMMYFUNCTION("""COMPUTED_VALUE"""),31.0)</f>
        <v>31</v>
      </c>
      <c r="EO41" s="16"/>
      <c r="EP41" s="16"/>
      <c r="EQ41" s="16">
        <f>IFERROR(__xludf.DUMMYFUNCTION("""COMPUTED_VALUE"""),4.0)</f>
        <v>4</v>
      </c>
      <c r="ER41" s="16">
        <f>IFERROR(__xludf.DUMMYFUNCTION("""COMPUTED_VALUE"""),3.0)</f>
        <v>3</v>
      </c>
      <c r="ES41" s="16"/>
      <c r="ET41" s="16"/>
      <c r="EU41" s="16"/>
      <c r="EV41" s="16"/>
      <c r="EW41" s="16"/>
      <c r="EX41" s="180"/>
      <c r="EY41" s="180"/>
      <c r="EZ41" s="180"/>
      <c r="FA41" s="180"/>
      <c r="FB41" s="180"/>
      <c r="FC41" s="180">
        <f>IFERROR(__xludf.DUMMYFUNCTION("""COMPUTED_VALUE"""),0.3)</f>
        <v>0.3</v>
      </c>
      <c r="FD41" s="180"/>
      <c r="FE41" s="180">
        <f>IFERROR(__xludf.DUMMYFUNCTION("""COMPUTED_VALUE"""),0.15)</f>
        <v>0.15</v>
      </c>
      <c r="FF41" s="180"/>
      <c r="FG41" s="180"/>
      <c r="FH41" s="180"/>
      <c r="FI41" s="180"/>
      <c r="FJ41" s="180"/>
      <c r="FK41" s="180">
        <f>IFERROR(__xludf.DUMMYFUNCTION("""COMPUTED_VALUE"""),0.0)</f>
        <v>0</v>
      </c>
      <c r="FL41" s="180"/>
      <c r="FM41" s="180">
        <f>IFERROR(__xludf.DUMMYFUNCTION("""COMPUTED_VALUE"""),0.0)</f>
        <v>0</v>
      </c>
      <c r="FN41" s="16"/>
      <c r="FO41" s="16"/>
      <c r="FP41" s="16"/>
      <c r="FQ41" s="16"/>
      <c r="FR41" s="16"/>
      <c r="FS41" s="16">
        <f>IFERROR(__xludf.DUMMYFUNCTION("""COMPUTED_VALUE"""),0.7)</f>
        <v>0.7</v>
      </c>
      <c r="FT41" s="16"/>
      <c r="FU41" s="16">
        <f>IFERROR(__xludf.DUMMYFUNCTION("""COMPUTED_VALUE"""),0.85)</f>
        <v>0.85</v>
      </c>
      <c r="FV41" s="16"/>
      <c r="FW41" s="16"/>
      <c r="FX41" s="16"/>
      <c r="FY41" s="16"/>
      <c r="FZ41" s="16"/>
      <c r="GA41" s="16">
        <f>IFERROR(__xludf.DUMMYFUNCTION("""COMPUTED_VALUE"""),-4.0)</f>
        <v>-4</v>
      </c>
      <c r="GB41" s="16"/>
      <c r="GC41" s="16">
        <f>IFERROR(__xludf.DUMMYFUNCTION("""COMPUTED_VALUE"""),1.0)</f>
        <v>1</v>
      </c>
      <c r="GD41" s="16" t="s">
        <v>277</v>
      </c>
    </row>
    <row r="42">
      <c r="A42" s="16">
        <f>IFERROR(__xludf.DUMMYFUNCTION("""COMPUTED_VALUE"""),12789.0)</f>
        <v>12789</v>
      </c>
      <c r="B42" s="16" t="str">
        <f>IFERROR(__xludf.DUMMYFUNCTION("""COMPUTED_VALUE"""),"Elly De La Cruz")</f>
        <v>Elly De La Cruz</v>
      </c>
      <c r="C42" s="16">
        <f>IFERROR(__xludf.DUMMYFUNCTION("""COMPUTED_VALUE"""),2.17)</f>
        <v>2.17</v>
      </c>
      <c r="D42" s="16" t="str">
        <f>IFERROR(__xludf.DUMMYFUNCTION("""COMPUTED_VALUE"""),"S")</f>
        <v>S</v>
      </c>
      <c r="E42" s="16"/>
      <c r="F42" s="16"/>
      <c r="G42" s="16">
        <f>IFERROR(__xludf.DUMMYFUNCTION("""COMPUTED_VALUE"""),618.0)</f>
        <v>618</v>
      </c>
      <c r="H42" s="16">
        <f>IFERROR(__xludf.DUMMYFUNCTION("""COMPUTED_VALUE"""),69.0)</f>
        <v>69</v>
      </c>
      <c r="I42" s="16" t="str">
        <f>IFERROR(__xludf.DUMMYFUNCTION("""COMPUTED_VALUE"""),"1p70")</f>
        <v>1p70</v>
      </c>
      <c r="J42" s="16">
        <f>IFERROR(__xludf.DUMMYFUNCTION("""COMPUTED_VALUE"""),46.0)</f>
        <v>46</v>
      </c>
      <c r="K42" s="16">
        <f>IFERROR(__xludf.DUMMYFUNCTION("""COMPUTED_VALUE"""),42.0)</f>
        <v>42</v>
      </c>
      <c r="L42" s="16">
        <f>IFERROR(__xludf.DUMMYFUNCTION("""COMPUTED_VALUE"""),-2.0)</f>
        <v>-2</v>
      </c>
      <c r="M42" s="16">
        <f>IFERROR(__xludf.DUMMYFUNCTION("""COMPUTED_VALUE"""),-2.0)</f>
        <v>-2</v>
      </c>
      <c r="N42" s="16">
        <f>IFERROR(__xludf.DUMMYFUNCTION("""COMPUTED_VALUE"""),-2.0)</f>
        <v>-2</v>
      </c>
      <c r="O42" s="16">
        <f>IFERROR(__xludf.DUMMYFUNCTION("""COMPUTED_VALUE"""),-2.0)</f>
        <v>-2</v>
      </c>
      <c r="P42" s="16">
        <f>IFERROR(__xludf.DUMMYFUNCTION("""COMPUTED_VALUE"""),10.0)</f>
        <v>10</v>
      </c>
      <c r="Q42" s="16">
        <f>IFERROR(__xludf.DUMMYFUNCTION("""COMPUTED_VALUE"""),12.0)</f>
        <v>12</v>
      </c>
      <c r="R42" s="16">
        <f>IFERROR(__xludf.DUMMYFUNCTION("""COMPUTED_VALUE"""),1.0)</f>
        <v>1</v>
      </c>
      <c r="S42" s="16">
        <f>IFERROR(__xludf.DUMMYFUNCTION("""COMPUTED_VALUE"""),1.0)</f>
        <v>1</v>
      </c>
      <c r="T42" s="16">
        <f>IFERROR(__xludf.DUMMYFUNCTION("""COMPUTED_VALUE"""),1.0)</f>
        <v>1</v>
      </c>
      <c r="U42" s="16">
        <f>IFERROR(__xludf.DUMMYFUNCTION("""COMPUTED_VALUE"""),1.0)</f>
        <v>1</v>
      </c>
      <c r="V42" s="16">
        <f>IFERROR(__xludf.DUMMYFUNCTION("""COMPUTED_VALUE"""),16.2)</f>
        <v>16.2</v>
      </c>
      <c r="W42" s="16">
        <f>IFERROR(__xludf.DUMMYFUNCTION("""COMPUTED_VALUE"""),24.1)</f>
        <v>24.1</v>
      </c>
      <c r="X42" s="16">
        <f>IFERROR(__xludf.DUMMYFUNCTION("""COMPUTED_VALUE"""),0.0)</f>
        <v>0</v>
      </c>
      <c r="Y42" s="16">
        <f>IFERROR(__xludf.DUMMYFUNCTION("""COMPUTED_VALUE"""),1.0)</f>
        <v>1</v>
      </c>
      <c r="Z42" s="16">
        <f>IFERROR(__xludf.DUMMYFUNCTION("""COMPUTED_VALUE"""),0.0)</f>
        <v>0</v>
      </c>
      <c r="AA42" s="16">
        <f>IFERROR(__xludf.DUMMYFUNCTION("""COMPUTED_VALUE"""),2.0)</f>
        <v>2</v>
      </c>
      <c r="AB42" s="16">
        <f>IFERROR(__xludf.DUMMYFUNCTION("""COMPUTED_VALUE"""),28.2)</f>
        <v>28.2</v>
      </c>
      <c r="AC42" s="16">
        <f>IFERROR(__xludf.DUMMYFUNCTION("""COMPUTED_VALUE"""),38.1)</f>
        <v>38.1</v>
      </c>
      <c r="AD42" s="16">
        <f>IFERROR(__xludf.DUMMYFUNCTION("""COMPUTED_VALUE"""),0.0)</f>
        <v>0</v>
      </c>
      <c r="AE42" s="16">
        <f>IFERROR(__xludf.DUMMYFUNCTION("""COMPUTED_VALUE"""),1.0)</f>
        <v>1</v>
      </c>
      <c r="AF42" s="16">
        <f>IFERROR(__xludf.DUMMYFUNCTION("""COMPUTED_VALUE"""),0.0)</f>
        <v>0</v>
      </c>
      <c r="AG42" s="16">
        <f>IFERROR(__xludf.DUMMYFUNCTION("""COMPUTED_VALUE"""),5.0)</f>
        <v>5</v>
      </c>
      <c r="AH42" s="16">
        <f>IFERROR(__xludf.DUMMYFUNCTION("""COMPUTED_VALUE"""),23.5)</f>
        <v>23.5</v>
      </c>
      <c r="AI42" s="16">
        <f>IFERROR(__xludf.DUMMYFUNCTION("""COMPUTED_VALUE"""),48.1)</f>
        <v>48.1</v>
      </c>
      <c r="AJ42" s="16">
        <f>IFERROR(__xludf.DUMMYFUNCTION("""COMPUTED_VALUE"""),-1.0)</f>
        <v>-1</v>
      </c>
      <c r="AK42" s="16">
        <f>IFERROR(__xludf.DUMMYFUNCTION("""COMPUTED_VALUE"""),2.0)</f>
        <v>2</v>
      </c>
      <c r="AL42" s="16">
        <f>IFERROR(__xludf.DUMMYFUNCTION("""COMPUTED_VALUE"""),-5.0)</f>
        <v>-5</v>
      </c>
      <c r="AM42" s="16">
        <f>IFERROR(__xludf.DUMMYFUNCTION("""COMPUTED_VALUE"""),10.0)</f>
        <v>10</v>
      </c>
      <c r="AN42" s="16">
        <f>IFERROR(__xludf.DUMMYFUNCTION("""COMPUTED_VALUE"""),2.0)</f>
        <v>2</v>
      </c>
      <c r="AO42" s="16">
        <f>IFERROR(__xludf.DUMMYFUNCTION("""COMPUTED_VALUE"""),3.0)</f>
        <v>3</v>
      </c>
      <c r="AP42" s="16">
        <f>IFERROR(__xludf.DUMMYFUNCTION("""COMPUTED_VALUE"""),0.0)</f>
        <v>0</v>
      </c>
      <c r="AQ42" s="16">
        <f>IFERROR(__xludf.DUMMYFUNCTION("""COMPUTED_VALUE"""),1.0)</f>
        <v>1</v>
      </c>
      <c r="AR42" s="16">
        <f>IFERROR(__xludf.DUMMYFUNCTION("""COMPUTED_VALUE"""),0.0)</f>
        <v>0</v>
      </c>
      <c r="AS42" s="16">
        <f>IFERROR(__xludf.DUMMYFUNCTION("""COMPUTED_VALUE"""),2.0)</f>
        <v>2</v>
      </c>
      <c r="AT42" s="16">
        <f>IFERROR(__xludf.DUMMYFUNCTION("""COMPUTED_VALUE"""),1.0)</f>
        <v>1</v>
      </c>
      <c r="AU42" s="16">
        <f>IFERROR(__xludf.DUMMYFUNCTION("""COMPUTED_VALUE"""),3.0)</f>
        <v>3</v>
      </c>
      <c r="AV42" s="16">
        <f>IFERROR(__xludf.DUMMYFUNCTION("""COMPUTED_VALUE"""),1.0)</f>
        <v>1</v>
      </c>
      <c r="AW42" s="16">
        <f>IFERROR(__xludf.DUMMYFUNCTION("""COMPUTED_VALUE"""),3.0)</f>
        <v>3</v>
      </c>
      <c r="AX42" s="16">
        <f>IFERROR(__xludf.DUMMYFUNCTION("""COMPUTED_VALUE"""),-1.0)</f>
        <v>-1</v>
      </c>
      <c r="AY42" s="16">
        <f>IFERROR(__xludf.DUMMYFUNCTION("""COMPUTED_VALUE"""),0.0)</f>
        <v>0</v>
      </c>
      <c r="AZ42" s="16">
        <f>IFERROR(__xludf.DUMMYFUNCTION("""COMPUTED_VALUE"""),-3.0)</f>
        <v>-3</v>
      </c>
      <c r="BA42" s="16">
        <f>IFERROR(__xludf.DUMMYFUNCTION("""COMPUTED_VALUE"""),0.0)</f>
        <v>0</v>
      </c>
      <c r="BB42" s="16">
        <f>IFERROR(__xludf.DUMMYFUNCTION("""COMPUTED_VALUE"""),5.0)</f>
        <v>5</v>
      </c>
      <c r="BC42" s="16">
        <f>IFERROR(__xludf.DUMMYFUNCTION("""COMPUTED_VALUE"""),5.0)</f>
        <v>5</v>
      </c>
      <c r="BD42" s="16">
        <f>IFERROR(__xludf.DUMMYFUNCTION("""COMPUTED_VALUE"""),1.0)</f>
        <v>1</v>
      </c>
      <c r="BE42" s="16">
        <f>IFERROR(__xludf.DUMMYFUNCTION("""COMPUTED_VALUE"""),1.0)</f>
        <v>1</v>
      </c>
      <c r="BF42" s="16">
        <f>IFERROR(__xludf.DUMMYFUNCTION("""COMPUTED_VALUE"""),1.0)</f>
        <v>1</v>
      </c>
      <c r="BG42" s="16">
        <f>IFERROR(__xludf.DUMMYFUNCTION("""COMPUTED_VALUE"""),1.0)</f>
        <v>1</v>
      </c>
      <c r="BH42" s="16">
        <f>IFERROR(__xludf.DUMMYFUNCTION("""COMPUTED_VALUE"""),-10.0)</f>
        <v>-10</v>
      </c>
      <c r="BI42" s="16">
        <f>IFERROR(__xludf.DUMMYFUNCTION("""COMPUTED_VALUE"""),-8.0)</f>
        <v>-8</v>
      </c>
      <c r="BJ42" s="16">
        <f>IFERROR(__xludf.DUMMYFUNCTION("""COMPUTED_VALUE"""),10.0)</f>
        <v>10</v>
      </c>
      <c r="BK42" s="16">
        <f>IFERROR(__xludf.DUMMYFUNCTION("""COMPUTED_VALUE"""),13.0)</f>
        <v>13</v>
      </c>
      <c r="BL42" s="16">
        <f>IFERROR(__xludf.DUMMYFUNCTION("""COMPUTED_VALUE"""),0.0)</f>
        <v>0</v>
      </c>
      <c r="BM42" s="16">
        <f>IFERROR(__xludf.DUMMYFUNCTION("""COMPUTED_VALUE"""),0.0)</f>
        <v>0</v>
      </c>
      <c r="BN42" s="16">
        <f>IFERROR(__xludf.DUMMYFUNCTION("""COMPUTED_VALUE"""),0.0)</f>
        <v>0</v>
      </c>
      <c r="BO42" s="16">
        <f>IFERROR(__xludf.DUMMYFUNCTION("""COMPUTED_VALUE"""),0.0)</f>
        <v>0</v>
      </c>
      <c r="BP42" s="16">
        <f>IFERROR(__xludf.DUMMYFUNCTION("""COMPUTED_VALUE"""),-2.0)</f>
        <v>-2</v>
      </c>
      <c r="BQ42" s="16">
        <f>IFERROR(__xludf.DUMMYFUNCTION("""COMPUTED_VALUE"""),5.0)</f>
        <v>5</v>
      </c>
      <c r="BR42" s="16">
        <f>IFERROR(__xludf.DUMMYFUNCTION("""COMPUTED_VALUE"""),3.0)</f>
        <v>3</v>
      </c>
      <c r="BS42" s="16" t="str">
        <f>IFERROR(__xludf.DUMMYFUNCTION("""COMPUTED_VALUE"""),"*2-6,11,12/- (19-15)")</f>
        <v>*2-6,11,12/- (19-15)</v>
      </c>
      <c r="BT42" s="16" t="str">
        <f>IFERROR(__xludf.DUMMYFUNCTION("""COMPUTED_VALUE"""),"AA")</f>
        <v>AA</v>
      </c>
      <c r="BU42" s="16">
        <f>IFERROR(__xludf.DUMMYFUNCTION("""COMPUTED_VALUE"""),17.0)</f>
        <v>17</v>
      </c>
      <c r="BV42" s="16">
        <f>IFERROR(__xludf.DUMMYFUNCTION("""COMPUTED_VALUE"""),3.0)</f>
        <v>3</v>
      </c>
      <c r="BW42" s="16">
        <f>IFERROR(__xludf.DUMMYFUNCTION("""COMPUTED_VALUE"""),3.0)</f>
        <v>3</v>
      </c>
      <c r="BX42" s="16">
        <f>IFERROR(__xludf.DUMMYFUNCTION("""COMPUTED_VALUE"""),6.0)</f>
        <v>6</v>
      </c>
      <c r="BY42" s="16">
        <f>IFERROR(__xludf.DUMMYFUNCTION("""COMPUTED_VALUE"""),9.0)</f>
        <v>9</v>
      </c>
      <c r="BZ42" s="16" t="str">
        <f>IFERROR(__xludf.DUMMYFUNCTION("""COMPUTED_VALUE"""),"C")</f>
        <v>C</v>
      </c>
      <c r="CA42" s="16" t="str">
        <f>IFERROR(__xludf.DUMMYFUNCTION("""COMPUTED_VALUE"""),"D")</f>
        <v>D</v>
      </c>
      <c r="CB42" s="16">
        <f>IFERROR(__xludf.DUMMYFUNCTION("""COMPUTED_VALUE"""),0.0)</f>
        <v>0</v>
      </c>
      <c r="CC42" s="16">
        <f>IFERROR(__xludf.DUMMYFUNCTION("""COMPUTED_VALUE"""),0.0)</f>
        <v>0</v>
      </c>
      <c r="CD42" s="16">
        <f>IFERROR(__xludf.DUMMYFUNCTION("""COMPUTED_VALUE"""),0.0)</f>
        <v>0</v>
      </c>
      <c r="CE42" s="16">
        <f>IFERROR(__xludf.DUMMYFUNCTION("""COMPUTED_VALUE"""),0.0)</f>
        <v>0</v>
      </c>
      <c r="CF42" s="16">
        <f>IFERROR(__xludf.DUMMYFUNCTION("""COMPUTED_VALUE"""),1.0)</f>
        <v>1</v>
      </c>
      <c r="CG42" s="16">
        <f>IFERROR(__xludf.DUMMYFUNCTION("""COMPUTED_VALUE"""),-8.0)</f>
        <v>-8</v>
      </c>
      <c r="CH42" s="16">
        <f>IFERROR(__xludf.DUMMYFUNCTION("""COMPUTED_VALUE"""),19.0)</f>
        <v>19</v>
      </c>
      <c r="CI42" s="179">
        <f>IFERROR(__xludf.DUMMYFUNCTION("""COMPUTED_VALUE"""),23.0)</f>
        <v>23</v>
      </c>
      <c r="CJ42" s="16"/>
      <c r="CK42" s="16"/>
      <c r="CL42" s="16"/>
      <c r="CM42" s="16"/>
      <c r="CN42" s="16">
        <f>IFERROR(__xludf.DUMMYFUNCTION("""COMPUTED_VALUE"""),230.0)</f>
        <v>230</v>
      </c>
      <c r="CO42" s="16"/>
      <c r="CP42" s="16"/>
      <c r="CQ42" s="16"/>
      <c r="CR42" s="16" t="str">
        <f>IFERROR(__xludf.DUMMYFUNCTION("""COMPUTED_VALUE"""),"ss-2e30")</f>
        <v>ss-2e30</v>
      </c>
      <c r="CS42" s="16"/>
      <c r="CT42" s="16"/>
      <c r="CU42" s="16"/>
      <c r="CV42" s="16"/>
      <c r="CW42" s="16">
        <f>IFERROR(__xludf.DUMMYFUNCTION("""COMPUTED_VALUE"""),2.0)</f>
        <v>2</v>
      </c>
      <c r="CX42" s="16"/>
      <c r="CY42" s="16"/>
      <c r="CZ42" s="16"/>
      <c r="DA42" s="16"/>
      <c r="DB42" s="16"/>
      <c r="DC42" s="16"/>
      <c r="DD42" s="16"/>
      <c r="DE42" s="16">
        <f>IFERROR(__xludf.DUMMYFUNCTION("""COMPUTED_VALUE"""),30.0)</f>
        <v>30</v>
      </c>
      <c r="DF42" s="16"/>
      <c r="DG42" s="16"/>
      <c r="DH42" s="16"/>
      <c r="DI42" s="16"/>
      <c r="DJ42" s="16"/>
      <c r="DK42" s="16"/>
      <c r="DL42" s="16"/>
      <c r="DM42" s="16">
        <f>IFERROR(__xludf.DUMMYFUNCTION("""COMPUTED_VALUE"""),3.0)</f>
        <v>3</v>
      </c>
      <c r="DN42" s="16"/>
      <c r="DO42" s="16"/>
      <c r="DP42" s="16"/>
      <c r="DQ42" s="16"/>
      <c r="DR42" s="16"/>
      <c r="DS42" s="16"/>
      <c r="DT42" s="16"/>
      <c r="DU42" s="16">
        <f>IFERROR(__xludf.DUMMYFUNCTION("""COMPUTED_VALUE"""),-2.0)</f>
        <v>-2</v>
      </c>
      <c r="DV42" s="16"/>
      <c r="DW42" s="16"/>
      <c r="DX42" s="16"/>
      <c r="DY42" s="16"/>
      <c r="DZ42" s="16"/>
      <c r="EA42" s="16"/>
      <c r="EB42" s="16"/>
      <c r="EC42" s="16">
        <f>IFERROR(__xludf.DUMMYFUNCTION("""COMPUTED_VALUE"""),1.0)</f>
        <v>1</v>
      </c>
      <c r="ED42" s="16"/>
      <c r="EE42" s="16"/>
      <c r="EF42" s="16"/>
      <c r="EG42" s="179"/>
      <c r="EH42" s="179"/>
      <c r="EI42" s="179"/>
      <c r="EJ42" s="179"/>
      <c r="EK42" s="179">
        <f>IFERROR(__xludf.DUMMYFUNCTION("""COMPUTED_VALUE"""),24.0)</f>
        <v>24</v>
      </c>
      <c r="EL42" s="179"/>
      <c r="EM42" s="179"/>
      <c r="EN42" s="179"/>
      <c r="EO42" s="16"/>
      <c r="EP42" s="16">
        <f>IFERROR(__xludf.DUMMYFUNCTION("""COMPUTED_VALUE"""),-1.0)</f>
        <v>-1</v>
      </c>
      <c r="EQ42" s="16">
        <f>IFERROR(__xludf.DUMMYFUNCTION("""COMPUTED_VALUE"""),4.0)</f>
        <v>4</v>
      </c>
      <c r="ER42" s="16">
        <f>IFERROR(__xludf.DUMMYFUNCTION("""COMPUTED_VALUE"""),3.0)</f>
        <v>3</v>
      </c>
      <c r="ES42" s="16"/>
      <c r="ET42" s="16"/>
      <c r="EU42" s="16"/>
      <c r="EV42" s="16"/>
      <c r="EW42" s="16"/>
      <c r="EX42" s="180"/>
      <c r="EY42" s="180"/>
      <c r="EZ42" s="180"/>
      <c r="FA42" s="180"/>
      <c r="FB42" s="180">
        <f>IFERROR(__xludf.DUMMYFUNCTION("""COMPUTED_VALUE"""),0.1)</f>
        <v>0.1</v>
      </c>
      <c r="FC42" s="180"/>
      <c r="FD42" s="180"/>
      <c r="FE42" s="180"/>
      <c r="FF42" s="180"/>
      <c r="FG42" s="180"/>
      <c r="FH42" s="180"/>
      <c r="FI42" s="180"/>
      <c r="FJ42" s="180">
        <f>IFERROR(__xludf.DUMMYFUNCTION("""COMPUTED_VALUE"""),0.1527777777777778)</f>
        <v>0.1527777778</v>
      </c>
      <c r="FK42" s="180"/>
      <c r="FL42" s="180"/>
      <c r="FM42" s="180"/>
      <c r="FN42" s="16"/>
      <c r="FO42" s="16"/>
      <c r="FP42" s="16"/>
      <c r="FQ42" s="16"/>
      <c r="FR42" s="16">
        <f>IFERROR(__xludf.DUMMYFUNCTION("""COMPUTED_VALUE"""),0.7625)</f>
        <v>0.7625</v>
      </c>
      <c r="FS42" s="16"/>
      <c r="FT42" s="16"/>
      <c r="FU42" s="16"/>
      <c r="FV42" s="16"/>
      <c r="FW42" s="16"/>
      <c r="FX42" s="16"/>
      <c r="FY42" s="16"/>
      <c r="FZ42" s="16">
        <f>IFERROR(__xludf.DUMMYFUNCTION("""COMPUTED_VALUE"""),-1.0)</f>
        <v>-1</v>
      </c>
      <c r="GA42" s="16"/>
      <c r="GB42" s="16"/>
      <c r="GC42" s="16"/>
      <c r="GD42" s="16" t="s">
        <v>245</v>
      </c>
    </row>
    <row r="43">
      <c r="A43" s="16">
        <f>IFERROR(__xludf.DUMMYFUNCTION("""COMPUTED_VALUE"""),12521.0)</f>
        <v>12521</v>
      </c>
      <c r="B43" s="16" t="str">
        <f>IFERROR(__xludf.DUMMYFUNCTION("""COMPUTED_VALUE"""),"Alex Bregman")</f>
        <v>Alex Bregman</v>
      </c>
      <c r="C43" s="16">
        <f>IFERROR(__xludf.DUMMYFUNCTION("""COMPUTED_VALUE"""),1.88)</f>
        <v>1.88</v>
      </c>
      <c r="D43" s="16" t="str">
        <f>IFERROR(__xludf.DUMMYFUNCTION("""COMPUTED_VALUE"""),"R")</f>
        <v>R</v>
      </c>
      <c r="E43" s="16"/>
      <c r="F43" s="16"/>
      <c r="G43" s="16">
        <f>IFERROR(__xludf.DUMMYFUNCTION("""COMPUTED_VALUE"""),581.0)</f>
        <v>581</v>
      </c>
      <c r="H43" s="16">
        <f>IFERROR(__xludf.DUMMYFUNCTION("""COMPUTED_VALUE"""),44.0)</f>
        <v>44</v>
      </c>
      <c r="I43" s="16" t="str">
        <f>IFERROR(__xludf.DUMMYFUNCTION("""COMPUTED_VALUE"""),"1p65")</f>
        <v>1p65</v>
      </c>
      <c r="J43" s="16">
        <f>IFERROR(__xludf.DUMMYFUNCTION("""COMPUTED_VALUE"""),0.0)</f>
        <v>0</v>
      </c>
      <c r="K43" s="16">
        <f>IFERROR(__xludf.DUMMYFUNCTION("""COMPUTED_VALUE"""),8.0)</f>
        <v>8</v>
      </c>
      <c r="L43" s="16">
        <f>IFERROR(__xludf.DUMMYFUNCTION("""COMPUTED_VALUE"""),3.0)</f>
        <v>3</v>
      </c>
      <c r="M43" s="16">
        <f>IFERROR(__xludf.DUMMYFUNCTION("""COMPUTED_VALUE"""),2.0)</f>
        <v>2</v>
      </c>
      <c r="N43" s="16">
        <f>IFERROR(__xludf.DUMMYFUNCTION("""COMPUTED_VALUE"""),3.0)</f>
        <v>3</v>
      </c>
      <c r="O43" s="16">
        <f>IFERROR(__xludf.DUMMYFUNCTION("""COMPUTED_VALUE"""),2.0)</f>
        <v>2</v>
      </c>
      <c r="P43" s="16">
        <f>IFERROR(__xludf.DUMMYFUNCTION("""COMPUTED_VALUE"""),8.0)</f>
        <v>8</v>
      </c>
      <c r="Q43" s="16">
        <f>IFERROR(__xludf.DUMMYFUNCTION("""COMPUTED_VALUE"""),6.0)</f>
        <v>6</v>
      </c>
      <c r="R43" s="16">
        <f>IFERROR(__xludf.DUMMYFUNCTION("""COMPUTED_VALUE"""),0.0)</f>
        <v>0</v>
      </c>
      <c r="S43" s="16">
        <f>IFERROR(__xludf.DUMMYFUNCTION("""COMPUTED_VALUE"""),-1.0)</f>
        <v>-1</v>
      </c>
      <c r="T43" s="16">
        <f>IFERROR(__xludf.DUMMYFUNCTION("""COMPUTED_VALUE"""),0.0)</f>
        <v>0</v>
      </c>
      <c r="U43" s="16">
        <f>IFERROR(__xludf.DUMMYFUNCTION("""COMPUTED_VALUE"""),-1.0)</f>
        <v>-1</v>
      </c>
      <c r="V43" s="16">
        <f>IFERROR(__xludf.DUMMYFUNCTION("""COMPUTED_VALUE"""),14.0)</f>
        <v>14</v>
      </c>
      <c r="W43" s="16">
        <f>IFERROR(__xludf.DUMMYFUNCTION("""COMPUTED_VALUE"""),26.6)</f>
        <v>26.6</v>
      </c>
      <c r="X43" s="16">
        <f>IFERROR(__xludf.DUMMYFUNCTION("""COMPUTED_VALUE"""),-1.0)</f>
        <v>-1</v>
      </c>
      <c r="Y43" s="16">
        <f>IFERROR(__xludf.DUMMYFUNCTION("""COMPUTED_VALUE"""),1.0)</f>
        <v>1</v>
      </c>
      <c r="Z43" s="16">
        <f>IFERROR(__xludf.DUMMYFUNCTION("""COMPUTED_VALUE"""),-2.0)</f>
        <v>-2</v>
      </c>
      <c r="AA43" s="16">
        <f>IFERROR(__xludf.DUMMYFUNCTION("""COMPUTED_VALUE"""),2.0)</f>
        <v>2</v>
      </c>
      <c r="AB43" s="16">
        <f>IFERROR(__xludf.DUMMYFUNCTION("""COMPUTED_VALUE"""),24.0)</f>
        <v>24</v>
      </c>
      <c r="AC43" s="16">
        <f>IFERROR(__xludf.DUMMYFUNCTION("""COMPUTED_VALUE"""),34.6)</f>
        <v>34.6</v>
      </c>
      <c r="AD43" s="16">
        <f>IFERROR(__xludf.DUMMYFUNCTION("""COMPUTED_VALUE"""),-1.0)</f>
        <v>-1</v>
      </c>
      <c r="AE43" s="16">
        <f>IFERROR(__xludf.DUMMYFUNCTION("""COMPUTED_VALUE"""),1.0)</f>
        <v>1</v>
      </c>
      <c r="AF43" s="16">
        <f>IFERROR(__xludf.DUMMYFUNCTION("""COMPUTED_VALUE"""),-5.0)</f>
        <v>-5</v>
      </c>
      <c r="AG43" s="16">
        <f>IFERROR(__xludf.DUMMYFUNCTION("""COMPUTED_VALUE"""),5.0)</f>
        <v>5</v>
      </c>
      <c r="AH43" s="16">
        <f>IFERROR(__xludf.DUMMYFUNCTION("""COMPUTED_VALUE"""),28.3)</f>
        <v>28.3</v>
      </c>
      <c r="AI43" s="16">
        <f>IFERROR(__xludf.DUMMYFUNCTION("""COMPUTED_VALUE"""),40.7)</f>
        <v>40.7</v>
      </c>
      <c r="AJ43" s="16">
        <f>IFERROR(__xludf.DUMMYFUNCTION("""COMPUTED_VALUE"""),0.0)</f>
        <v>0</v>
      </c>
      <c r="AK43" s="16">
        <f>IFERROR(__xludf.DUMMYFUNCTION("""COMPUTED_VALUE"""),1.0)</f>
        <v>1</v>
      </c>
      <c r="AL43" s="16">
        <f>IFERROR(__xludf.DUMMYFUNCTION("""COMPUTED_VALUE"""),0.0)</f>
        <v>0</v>
      </c>
      <c r="AM43" s="16">
        <f>IFERROR(__xludf.DUMMYFUNCTION("""COMPUTED_VALUE"""),5.0)</f>
        <v>5</v>
      </c>
      <c r="AN43" s="16">
        <f>IFERROR(__xludf.DUMMYFUNCTION("""COMPUTED_VALUE"""),3.3)</f>
        <v>3.3</v>
      </c>
      <c r="AO43" s="16">
        <f>IFERROR(__xludf.DUMMYFUNCTION("""COMPUTED_VALUE"""),2.8)</f>
        <v>2.8</v>
      </c>
      <c r="AP43" s="16">
        <f>IFERROR(__xludf.DUMMYFUNCTION("""COMPUTED_VALUE"""),1.0)</f>
        <v>1</v>
      </c>
      <c r="AQ43" s="16">
        <f>IFERROR(__xludf.DUMMYFUNCTION("""COMPUTED_VALUE"""),0.0)</f>
        <v>0</v>
      </c>
      <c r="AR43" s="16">
        <f>IFERROR(__xludf.DUMMYFUNCTION("""COMPUTED_VALUE"""),2.0)</f>
        <v>2</v>
      </c>
      <c r="AS43" s="16">
        <f>IFERROR(__xludf.DUMMYFUNCTION("""COMPUTED_VALUE"""),0.0)</f>
        <v>0</v>
      </c>
      <c r="AT43" s="16">
        <f>IFERROR(__xludf.DUMMYFUNCTION("""COMPUTED_VALUE"""),5.0)</f>
        <v>5</v>
      </c>
      <c r="AU43" s="16">
        <f>IFERROR(__xludf.DUMMYFUNCTION("""COMPUTED_VALUE"""),5.0)</f>
        <v>5</v>
      </c>
      <c r="AV43" s="16">
        <f>IFERROR(__xludf.DUMMYFUNCTION("""COMPUTED_VALUE"""),5.0)</f>
        <v>5</v>
      </c>
      <c r="AW43" s="16">
        <f>IFERROR(__xludf.DUMMYFUNCTION("""COMPUTED_VALUE"""),5.0)</f>
        <v>5</v>
      </c>
      <c r="AX43" s="16">
        <f>IFERROR(__xludf.DUMMYFUNCTION("""COMPUTED_VALUE"""),3.0)</f>
        <v>3</v>
      </c>
      <c r="AY43" s="16">
        <f>IFERROR(__xludf.DUMMYFUNCTION("""COMPUTED_VALUE"""),2.0)</f>
        <v>2</v>
      </c>
      <c r="AZ43" s="16">
        <f>IFERROR(__xludf.DUMMYFUNCTION("""COMPUTED_VALUE"""),9.0)</f>
        <v>9</v>
      </c>
      <c r="BA43" s="16">
        <f>IFERROR(__xludf.DUMMYFUNCTION("""COMPUTED_VALUE"""),6.0)</f>
        <v>6</v>
      </c>
      <c r="BB43" s="16">
        <f>IFERROR(__xludf.DUMMYFUNCTION("""COMPUTED_VALUE"""),5.0)</f>
        <v>5</v>
      </c>
      <c r="BC43" s="16">
        <f>IFERROR(__xludf.DUMMYFUNCTION("""COMPUTED_VALUE"""),5.0)</f>
        <v>5</v>
      </c>
      <c r="BD43" s="16">
        <f>IFERROR(__xludf.DUMMYFUNCTION("""COMPUTED_VALUE"""),1.0)</f>
        <v>1</v>
      </c>
      <c r="BE43" s="16">
        <f>IFERROR(__xludf.DUMMYFUNCTION("""COMPUTED_VALUE"""),1.0)</f>
        <v>1</v>
      </c>
      <c r="BF43" s="16">
        <f>IFERROR(__xludf.DUMMYFUNCTION("""COMPUTED_VALUE"""),1.0)</f>
        <v>1</v>
      </c>
      <c r="BG43" s="16">
        <f>IFERROR(__xludf.DUMMYFUNCTION("""COMPUTED_VALUE"""),1.0)</f>
        <v>1</v>
      </c>
      <c r="BH43" s="16">
        <f>IFERROR(__xludf.DUMMYFUNCTION("""COMPUTED_VALUE"""),-5.0)</f>
        <v>-5</v>
      </c>
      <c r="BI43" s="16">
        <f>IFERROR(__xludf.DUMMYFUNCTION("""COMPUTED_VALUE"""),-11.0)</f>
        <v>-11</v>
      </c>
      <c r="BJ43" s="16">
        <f>IFERROR(__xludf.DUMMYFUNCTION("""COMPUTED_VALUE"""),16.0)</f>
        <v>16</v>
      </c>
      <c r="BK43" s="16">
        <f>IFERROR(__xludf.DUMMYFUNCTION("""COMPUTED_VALUE"""),13.0)</f>
        <v>13</v>
      </c>
      <c r="BL43" s="16">
        <f>IFERROR(__xludf.DUMMYFUNCTION("""COMPUTED_VALUE"""),-1.0)</f>
        <v>-1</v>
      </c>
      <c r="BM43" s="16">
        <f>IFERROR(__xludf.DUMMYFUNCTION("""COMPUTED_VALUE"""),0.0)</f>
        <v>0</v>
      </c>
      <c r="BN43" s="16">
        <f>IFERROR(__xludf.DUMMYFUNCTION("""COMPUTED_VALUE"""),-2.0)</f>
        <v>-2</v>
      </c>
      <c r="BO43" s="16">
        <f>IFERROR(__xludf.DUMMYFUNCTION("""COMPUTED_VALUE"""),0.0)</f>
        <v>0</v>
      </c>
      <c r="BP43" s="16">
        <f>IFERROR(__xludf.DUMMYFUNCTION("""COMPUTED_VALUE"""),5.0)</f>
        <v>5</v>
      </c>
      <c r="BQ43" s="16">
        <f>IFERROR(__xludf.DUMMYFUNCTION("""COMPUTED_VALUE"""),7.0)</f>
        <v>7</v>
      </c>
      <c r="BR43" s="16">
        <f>IFERROR(__xludf.DUMMYFUNCTION("""COMPUTED_VALUE"""),12.0)</f>
        <v>12</v>
      </c>
      <c r="BS43" s="16" t="str">
        <f>IFERROR(__xludf.DUMMYFUNCTION("""COMPUTED_VALUE"""),"3/- (15-6)")</f>
        <v>3/- (15-6)</v>
      </c>
      <c r="BT43" s="16" t="str">
        <f>IFERROR(__xludf.DUMMYFUNCTION("""COMPUTED_VALUE"""),"D")</f>
        <v>D</v>
      </c>
      <c r="BU43" s="16">
        <f>IFERROR(__xludf.DUMMYFUNCTION("""COMPUTED_VALUE"""),12.0)</f>
        <v>12</v>
      </c>
      <c r="BV43" s="16">
        <f>IFERROR(__xludf.DUMMYFUNCTION("""COMPUTED_VALUE"""),0.0)</f>
        <v>0</v>
      </c>
      <c r="BW43" s="16">
        <f>IFERROR(__xludf.DUMMYFUNCTION("""COMPUTED_VALUE"""),0.0)</f>
        <v>0</v>
      </c>
      <c r="BX43" s="16">
        <f>IFERROR(__xludf.DUMMYFUNCTION("""COMPUTED_VALUE"""),0.0)</f>
        <v>0</v>
      </c>
      <c r="BY43" s="16">
        <f>IFERROR(__xludf.DUMMYFUNCTION("""COMPUTED_VALUE"""),0.0)</f>
        <v>0</v>
      </c>
      <c r="BZ43" s="16" t="str">
        <f>IFERROR(__xludf.DUMMYFUNCTION("""COMPUTED_VALUE"""),"D")</f>
        <v>D</v>
      </c>
      <c r="CA43" s="16" t="str">
        <f>IFERROR(__xludf.DUMMYFUNCTION("""COMPUTED_VALUE"""),"C")</f>
        <v>C</v>
      </c>
      <c r="CB43" s="16">
        <f>IFERROR(__xludf.DUMMYFUNCTION("""COMPUTED_VALUE"""),0.0)</f>
        <v>0</v>
      </c>
      <c r="CC43" s="16">
        <f>IFERROR(__xludf.DUMMYFUNCTION("""COMPUTED_VALUE"""),0.0)</f>
        <v>0</v>
      </c>
      <c r="CD43" s="16">
        <f>IFERROR(__xludf.DUMMYFUNCTION("""COMPUTED_VALUE"""),0.0)</f>
        <v>0</v>
      </c>
      <c r="CE43" s="16">
        <f>IFERROR(__xludf.DUMMYFUNCTION("""COMPUTED_VALUE"""),0.0)</f>
        <v>0</v>
      </c>
      <c r="CF43" s="16">
        <f>IFERROR(__xludf.DUMMYFUNCTION("""COMPUTED_VALUE"""),1.0)</f>
        <v>1</v>
      </c>
      <c r="CG43" s="16">
        <f>IFERROR(__xludf.DUMMYFUNCTION("""COMPUTED_VALUE"""),6.0)</f>
        <v>6</v>
      </c>
      <c r="CH43" s="16">
        <f>IFERROR(__xludf.DUMMYFUNCTION("""COMPUTED_VALUE"""),20.0)</f>
        <v>20</v>
      </c>
      <c r="CI43" s="179">
        <f>IFERROR(__xludf.DUMMYFUNCTION("""COMPUTED_VALUE"""),23.0)</f>
        <v>23</v>
      </c>
      <c r="CJ43" s="16"/>
      <c r="CK43" s="16"/>
      <c r="CL43" s="16"/>
      <c r="CM43" s="16">
        <f>IFERROR(__xludf.DUMMYFUNCTION("""COMPUTED_VALUE"""),112.0)</f>
        <v>112</v>
      </c>
      <c r="CN43" s="16"/>
      <c r="CO43" s="16"/>
      <c r="CP43" s="16"/>
      <c r="CQ43" s="16"/>
      <c r="CR43" s="16" t="str">
        <f>IFERROR(__xludf.DUMMYFUNCTION("""COMPUTED_VALUE"""),"3b-1e12")</f>
        <v>3b-1e12</v>
      </c>
      <c r="CS43" s="16"/>
      <c r="CT43" s="16"/>
      <c r="CU43" s="16"/>
      <c r="CV43" s="16">
        <f>IFERROR(__xludf.DUMMYFUNCTION("""COMPUTED_VALUE"""),1.0)</f>
        <v>1</v>
      </c>
      <c r="CW43" s="16"/>
      <c r="CX43" s="16"/>
      <c r="CY43" s="16"/>
      <c r="CZ43" s="16"/>
      <c r="DA43" s="16"/>
      <c r="DB43" s="16"/>
      <c r="DC43" s="16"/>
      <c r="DD43" s="16">
        <f>IFERROR(__xludf.DUMMYFUNCTION("""COMPUTED_VALUE"""),12.0)</f>
        <v>12</v>
      </c>
      <c r="DE43" s="16"/>
      <c r="DF43" s="16"/>
      <c r="DG43" s="16"/>
      <c r="DH43" s="16"/>
      <c r="DI43" s="16"/>
      <c r="DJ43" s="16"/>
      <c r="DK43" s="16"/>
      <c r="DL43" s="16">
        <f>IFERROR(__xludf.DUMMYFUNCTION("""COMPUTED_VALUE"""),4.0)</f>
        <v>4</v>
      </c>
      <c r="DM43" s="16"/>
      <c r="DN43" s="16"/>
      <c r="DO43" s="16"/>
      <c r="DP43" s="16"/>
      <c r="DQ43" s="16"/>
      <c r="DR43" s="16"/>
      <c r="DS43" s="16"/>
      <c r="DT43" s="16">
        <f>IFERROR(__xludf.DUMMYFUNCTION("""COMPUTED_VALUE"""),1.0)</f>
        <v>1</v>
      </c>
      <c r="DU43" s="16"/>
      <c r="DV43" s="16"/>
      <c r="DW43" s="16"/>
      <c r="DX43" s="16"/>
      <c r="DY43" s="16"/>
      <c r="DZ43" s="16"/>
      <c r="EA43" s="16"/>
      <c r="EB43" s="16">
        <f>IFERROR(__xludf.DUMMYFUNCTION("""COMPUTED_VALUE"""),5.0)</f>
        <v>5</v>
      </c>
      <c r="EC43" s="16"/>
      <c r="ED43" s="16"/>
      <c r="EE43" s="16"/>
      <c r="EF43" s="16"/>
      <c r="EG43" s="179"/>
      <c r="EH43" s="179"/>
      <c r="EI43" s="179"/>
      <c r="EJ43" s="179">
        <f>IFERROR(__xludf.DUMMYFUNCTION("""COMPUTED_VALUE"""),28.0)</f>
        <v>28</v>
      </c>
      <c r="EK43" s="179"/>
      <c r="EL43" s="179"/>
      <c r="EM43" s="179"/>
      <c r="EN43" s="179"/>
      <c r="EO43" s="16"/>
      <c r="EP43" s="16">
        <f>IFERROR(__xludf.DUMMYFUNCTION("""COMPUTED_VALUE"""),-2.0)</f>
        <v>-2</v>
      </c>
      <c r="EQ43" s="16">
        <f>IFERROR(__xludf.DUMMYFUNCTION("""COMPUTED_VALUE"""),4.0)</f>
        <v>4</v>
      </c>
      <c r="ER43" s="16">
        <f>IFERROR(__xludf.DUMMYFUNCTION("""COMPUTED_VALUE"""),2.0)</f>
        <v>2</v>
      </c>
      <c r="ES43" s="16"/>
      <c r="ET43" s="16"/>
      <c r="EU43" s="16"/>
      <c r="EV43" s="16"/>
      <c r="EW43" s="16"/>
      <c r="EX43" s="180"/>
      <c r="EY43" s="180"/>
      <c r="EZ43" s="180"/>
      <c r="FA43" s="180">
        <f>IFERROR(__xludf.DUMMYFUNCTION("""COMPUTED_VALUE"""),0.0)</f>
        <v>0</v>
      </c>
      <c r="FB43" s="180"/>
      <c r="FC43" s="180"/>
      <c r="FD43" s="180"/>
      <c r="FE43" s="180"/>
      <c r="FF43" s="180"/>
      <c r="FG43" s="180"/>
      <c r="FH43" s="180"/>
      <c r="FI43" s="180">
        <f>IFERROR(__xludf.DUMMYFUNCTION("""COMPUTED_VALUE"""),0.14351851851851852)</f>
        <v>0.1435185185</v>
      </c>
      <c r="FJ43" s="180"/>
      <c r="FK43" s="180"/>
      <c r="FL43" s="180"/>
      <c r="FM43" s="180"/>
      <c r="FN43" s="16"/>
      <c r="FO43" s="16"/>
      <c r="FP43" s="16"/>
      <c r="FQ43" s="16">
        <f>IFERROR(__xludf.DUMMYFUNCTION("""COMPUTED_VALUE"""),0.8564814814814815)</f>
        <v>0.8564814815</v>
      </c>
      <c r="FR43" s="16"/>
      <c r="FS43" s="16"/>
      <c r="FT43" s="16"/>
      <c r="FU43" s="16"/>
      <c r="FV43" s="16"/>
      <c r="FW43" s="16"/>
      <c r="FX43" s="16"/>
      <c r="FY43" s="16">
        <f>IFERROR(__xludf.DUMMYFUNCTION("""COMPUTED_VALUE"""),4.0)</f>
        <v>4</v>
      </c>
      <c r="FZ43" s="16"/>
      <c r="GA43" s="16"/>
      <c r="GB43" s="16"/>
      <c r="GC43" s="16"/>
      <c r="GD43" s="16" t="s">
        <v>346</v>
      </c>
    </row>
    <row r="44">
      <c r="A44" s="16">
        <f>IFERROR(__xludf.DUMMYFUNCTION("""COMPUTED_VALUE"""),12711.0)</f>
        <v>12711</v>
      </c>
      <c r="B44" s="16" t="str">
        <f>IFERROR(__xludf.DUMMYFUNCTION("""COMPUTED_VALUE"""),"Corbin Carroll")</f>
        <v>Corbin Carroll</v>
      </c>
      <c r="C44" s="16">
        <f>IFERROR(__xludf.DUMMYFUNCTION("""COMPUTED_VALUE"""),1.44)</f>
        <v>1.44</v>
      </c>
      <c r="D44" s="16" t="str">
        <f>IFERROR(__xludf.DUMMYFUNCTION("""COMPUTED_VALUE"""),"L")</f>
        <v>L</v>
      </c>
      <c r="E44" s="16"/>
      <c r="F44" s="16"/>
      <c r="G44" s="16">
        <f>IFERROR(__xludf.DUMMYFUNCTION("""COMPUTED_VALUE"""),589.0)</f>
        <v>589</v>
      </c>
      <c r="H44" s="16">
        <f>IFERROR(__xludf.DUMMYFUNCTION("""COMPUTED_VALUE"""),73.0)</f>
        <v>73</v>
      </c>
      <c r="I44" s="16" t="str">
        <f>IFERROR(__xludf.DUMMYFUNCTION("""COMPUTED_VALUE"""),"1p70")</f>
        <v>1p70</v>
      </c>
      <c r="J44" s="16">
        <f>IFERROR(__xludf.DUMMYFUNCTION("""COMPUTED_VALUE"""),24.0)</f>
        <v>24</v>
      </c>
      <c r="K44" s="16">
        <f>IFERROR(__xludf.DUMMYFUNCTION("""COMPUTED_VALUE"""),14.0)</f>
        <v>14</v>
      </c>
      <c r="L44" s="16">
        <f>IFERROR(__xludf.DUMMYFUNCTION("""COMPUTED_VALUE"""),0.0)</f>
        <v>0</v>
      </c>
      <c r="M44" s="16">
        <f>IFERROR(__xludf.DUMMYFUNCTION("""COMPUTED_VALUE"""),1.0)</f>
        <v>1</v>
      </c>
      <c r="N44" s="16">
        <f>IFERROR(__xludf.DUMMYFUNCTION("""COMPUTED_VALUE"""),0.0)</f>
        <v>0</v>
      </c>
      <c r="O44" s="16">
        <f>IFERROR(__xludf.DUMMYFUNCTION("""COMPUTED_VALUE"""),1.0)</f>
        <v>1</v>
      </c>
      <c r="P44" s="16">
        <f>IFERROR(__xludf.DUMMYFUNCTION("""COMPUTED_VALUE"""),9.0)</f>
        <v>9</v>
      </c>
      <c r="Q44" s="16">
        <f>IFERROR(__xludf.DUMMYFUNCTION("""COMPUTED_VALUE"""),16.0)</f>
        <v>16</v>
      </c>
      <c r="R44" s="16">
        <f>IFERROR(__xludf.DUMMYFUNCTION("""COMPUTED_VALUE"""),0.0)</f>
        <v>0</v>
      </c>
      <c r="S44" s="16">
        <f>IFERROR(__xludf.DUMMYFUNCTION("""COMPUTED_VALUE"""),2.0)</f>
        <v>2</v>
      </c>
      <c r="T44" s="16">
        <f>IFERROR(__xludf.DUMMYFUNCTION("""COMPUTED_VALUE"""),0.0)</f>
        <v>0</v>
      </c>
      <c r="U44" s="16">
        <f>IFERROR(__xludf.DUMMYFUNCTION("""COMPUTED_VALUE"""),2.0)</f>
        <v>2</v>
      </c>
      <c r="V44" s="16">
        <f>IFERROR(__xludf.DUMMYFUNCTION("""COMPUTED_VALUE"""),13.9)</f>
        <v>13.9</v>
      </c>
      <c r="W44" s="16">
        <f>IFERROR(__xludf.DUMMYFUNCTION("""COMPUTED_VALUE"""),15.6)</f>
        <v>15.6</v>
      </c>
      <c r="X44" s="16">
        <f>IFERROR(__xludf.DUMMYFUNCTION("""COMPUTED_VALUE"""),-1.0)</f>
        <v>-1</v>
      </c>
      <c r="Y44" s="16">
        <f>IFERROR(__xludf.DUMMYFUNCTION("""COMPUTED_VALUE"""),-1.0)</f>
        <v>-1</v>
      </c>
      <c r="Z44" s="16">
        <f>IFERROR(__xludf.DUMMYFUNCTION("""COMPUTED_VALUE"""),-2.0)</f>
        <v>-2</v>
      </c>
      <c r="AA44" s="16">
        <f>IFERROR(__xludf.DUMMYFUNCTION("""COMPUTED_VALUE"""),-2.0)</f>
        <v>-2</v>
      </c>
      <c r="AB44" s="16">
        <f>IFERROR(__xludf.DUMMYFUNCTION("""COMPUTED_VALUE"""),25.9)</f>
        <v>25.9</v>
      </c>
      <c r="AC44" s="16">
        <f>IFERROR(__xludf.DUMMYFUNCTION("""COMPUTED_VALUE"""),34.6)</f>
        <v>34.6</v>
      </c>
      <c r="AD44" s="16">
        <f>IFERROR(__xludf.DUMMYFUNCTION("""COMPUTED_VALUE"""),-1.0)</f>
        <v>-1</v>
      </c>
      <c r="AE44" s="16">
        <f>IFERROR(__xludf.DUMMYFUNCTION("""COMPUTED_VALUE"""),1.0)</f>
        <v>1</v>
      </c>
      <c r="AF44" s="16">
        <f>IFERROR(__xludf.DUMMYFUNCTION("""COMPUTED_VALUE"""),-5.0)</f>
        <v>-5</v>
      </c>
      <c r="AG44" s="16">
        <f>IFERROR(__xludf.DUMMYFUNCTION("""COMPUTED_VALUE"""),5.0)</f>
        <v>5</v>
      </c>
      <c r="AH44" s="16">
        <f>IFERROR(__xludf.DUMMYFUNCTION("""COMPUTED_VALUE"""),30.4)</f>
        <v>30.4</v>
      </c>
      <c r="AI44" s="16">
        <f>IFERROR(__xludf.DUMMYFUNCTION("""COMPUTED_VALUE"""),32.0)</f>
        <v>32</v>
      </c>
      <c r="AJ44" s="16">
        <f>IFERROR(__xludf.DUMMYFUNCTION("""COMPUTED_VALUE"""),0.0)</f>
        <v>0</v>
      </c>
      <c r="AK44" s="16">
        <f>IFERROR(__xludf.DUMMYFUNCTION("""COMPUTED_VALUE"""),0.0)</f>
        <v>0</v>
      </c>
      <c r="AL44" s="16">
        <f>IFERROR(__xludf.DUMMYFUNCTION("""COMPUTED_VALUE"""),0.0)</f>
        <v>0</v>
      </c>
      <c r="AM44" s="16">
        <f>IFERROR(__xludf.DUMMYFUNCTION("""COMPUTED_VALUE"""),0.0)</f>
        <v>0</v>
      </c>
      <c r="AN44" s="16">
        <f>IFERROR(__xludf.DUMMYFUNCTION("""COMPUTED_VALUE"""),3.6)</f>
        <v>3.6</v>
      </c>
      <c r="AO44" s="16">
        <f>IFERROR(__xludf.DUMMYFUNCTION("""COMPUTED_VALUE"""),1.8)</f>
        <v>1.8</v>
      </c>
      <c r="AP44" s="16">
        <f>IFERROR(__xludf.DUMMYFUNCTION("""COMPUTED_VALUE"""),2.0)</f>
        <v>2</v>
      </c>
      <c r="AQ44" s="16">
        <f>IFERROR(__xludf.DUMMYFUNCTION("""COMPUTED_VALUE"""),-1.0)</f>
        <v>-1</v>
      </c>
      <c r="AR44" s="16">
        <f>IFERROR(__xludf.DUMMYFUNCTION("""COMPUTED_VALUE"""),4.0)</f>
        <v>4</v>
      </c>
      <c r="AS44" s="16">
        <f>IFERROR(__xludf.DUMMYFUNCTION("""COMPUTED_VALUE"""),-2.0)</f>
        <v>-2</v>
      </c>
      <c r="AT44" s="16">
        <f>IFERROR(__xludf.DUMMYFUNCTION("""COMPUTED_VALUE"""),8.0)</f>
        <v>8</v>
      </c>
      <c r="AU44" s="16">
        <f>IFERROR(__xludf.DUMMYFUNCTION("""COMPUTED_VALUE"""),4.0)</f>
        <v>4</v>
      </c>
      <c r="AV44" s="16">
        <f>IFERROR(__xludf.DUMMYFUNCTION("""COMPUTED_VALUE"""),8.0)</f>
        <v>8</v>
      </c>
      <c r="AW44" s="16">
        <f>IFERROR(__xludf.DUMMYFUNCTION("""COMPUTED_VALUE"""),4.0)</f>
        <v>4</v>
      </c>
      <c r="AX44" s="16">
        <f>IFERROR(__xludf.DUMMYFUNCTION("""COMPUTED_VALUE"""),3.0)</f>
        <v>3</v>
      </c>
      <c r="AY44" s="16">
        <f>IFERROR(__xludf.DUMMYFUNCTION("""COMPUTED_VALUE"""),1.0)</f>
        <v>1</v>
      </c>
      <c r="AZ44" s="16">
        <f>IFERROR(__xludf.DUMMYFUNCTION("""COMPUTED_VALUE"""),9.0)</f>
        <v>9</v>
      </c>
      <c r="BA44" s="16">
        <f>IFERROR(__xludf.DUMMYFUNCTION("""COMPUTED_VALUE"""),3.0)</f>
        <v>3</v>
      </c>
      <c r="BB44" s="16">
        <f>IFERROR(__xludf.DUMMYFUNCTION("""COMPUTED_VALUE"""),5.0)</f>
        <v>5</v>
      </c>
      <c r="BC44" s="16">
        <f>IFERROR(__xludf.DUMMYFUNCTION("""COMPUTED_VALUE"""),5.0)</f>
        <v>5</v>
      </c>
      <c r="BD44" s="16">
        <f>IFERROR(__xludf.DUMMYFUNCTION("""COMPUTED_VALUE"""),1.0)</f>
        <v>1</v>
      </c>
      <c r="BE44" s="16">
        <f>IFERROR(__xludf.DUMMYFUNCTION("""COMPUTED_VALUE"""),1.0)</f>
        <v>1</v>
      </c>
      <c r="BF44" s="16">
        <f>IFERROR(__xludf.DUMMYFUNCTION("""COMPUTED_VALUE"""),1.0)</f>
        <v>1</v>
      </c>
      <c r="BG44" s="16">
        <f>IFERROR(__xludf.DUMMYFUNCTION("""COMPUTED_VALUE"""),1.0)</f>
        <v>1</v>
      </c>
      <c r="BH44" s="16">
        <f>IFERROR(__xludf.DUMMYFUNCTION("""COMPUTED_VALUE"""),-5.0)</f>
        <v>-5</v>
      </c>
      <c r="BI44" s="16">
        <f>IFERROR(__xludf.DUMMYFUNCTION("""COMPUTED_VALUE"""),-5.0)</f>
        <v>-5</v>
      </c>
      <c r="BJ44" s="16">
        <f>IFERROR(__xludf.DUMMYFUNCTION("""COMPUTED_VALUE"""),0.0)</f>
        <v>0</v>
      </c>
      <c r="BK44" s="16">
        <f>IFERROR(__xludf.DUMMYFUNCTION("""COMPUTED_VALUE"""),0.0)</f>
        <v>0</v>
      </c>
      <c r="BL44" s="16">
        <f>IFERROR(__xludf.DUMMYFUNCTION("""COMPUTED_VALUE"""),3.0)</f>
        <v>3</v>
      </c>
      <c r="BM44" s="16">
        <f>IFERROR(__xludf.DUMMYFUNCTION("""COMPUTED_VALUE"""),3.0)</f>
        <v>3</v>
      </c>
      <c r="BN44" s="16">
        <f>IFERROR(__xludf.DUMMYFUNCTION("""COMPUTED_VALUE"""),3.0)</f>
        <v>3</v>
      </c>
      <c r="BO44" s="16">
        <f>IFERROR(__xludf.DUMMYFUNCTION("""COMPUTED_VALUE"""),3.0)</f>
        <v>3</v>
      </c>
      <c r="BP44" s="16">
        <f>IFERROR(__xludf.DUMMYFUNCTION("""COMPUTED_VALUE"""),7.0)</f>
        <v>7</v>
      </c>
      <c r="BQ44" s="16">
        <f>IFERROR(__xludf.DUMMYFUNCTION("""COMPUTED_VALUE"""),7.0)</f>
        <v>7</v>
      </c>
      <c r="BR44" s="16">
        <f>IFERROR(__xludf.DUMMYFUNCTION("""COMPUTED_VALUE"""),14.0)</f>
        <v>14</v>
      </c>
      <c r="BS44" s="16" t="str">
        <f>IFERROR(__xludf.DUMMYFUNCTION("""COMPUTED_VALUE"""),"*2-5,11,12/- (19-13)")</f>
        <v>*2-5,11,12/- (19-13)</v>
      </c>
      <c r="BT44" s="16" t="str">
        <f>IFERROR(__xludf.DUMMYFUNCTION("""COMPUTED_VALUE"""),"AA")</f>
        <v>AA</v>
      </c>
      <c r="BU44" s="16">
        <f>IFERROR(__xludf.DUMMYFUNCTION("""COMPUTED_VALUE"""),17.0)</f>
        <v>17</v>
      </c>
      <c r="BV44" s="16">
        <f>IFERROR(__xludf.DUMMYFUNCTION("""COMPUTED_VALUE"""),3.0)</f>
        <v>3</v>
      </c>
      <c r="BW44" s="16">
        <f>IFERROR(__xludf.DUMMYFUNCTION("""COMPUTED_VALUE"""),3.0)</f>
        <v>3</v>
      </c>
      <c r="BX44" s="16">
        <f>IFERROR(__xludf.DUMMYFUNCTION("""COMPUTED_VALUE"""),6.0)</f>
        <v>6</v>
      </c>
      <c r="BY44" s="16">
        <f>IFERROR(__xludf.DUMMYFUNCTION("""COMPUTED_VALUE"""),9.0)</f>
        <v>9</v>
      </c>
      <c r="BZ44" s="16" t="str">
        <f>IFERROR(__xludf.DUMMYFUNCTION("""COMPUTED_VALUE"""),"C")</f>
        <v>C</v>
      </c>
      <c r="CA44" s="16" t="str">
        <f>IFERROR(__xludf.DUMMYFUNCTION("""COMPUTED_VALUE"""),"C")</f>
        <v>C</v>
      </c>
      <c r="CB44" s="16">
        <f>IFERROR(__xludf.DUMMYFUNCTION("""COMPUTED_VALUE"""),0.0)</f>
        <v>0</v>
      </c>
      <c r="CC44" s="16">
        <f>IFERROR(__xludf.DUMMYFUNCTION("""COMPUTED_VALUE"""),0.0)</f>
        <v>0</v>
      </c>
      <c r="CD44" s="16">
        <f>IFERROR(__xludf.DUMMYFUNCTION("""COMPUTED_VALUE"""),0.0)</f>
        <v>0</v>
      </c>
      <c r="CE44" s="16">
        <f>IFERROR(__xludf.DUMMYFUNCTION("""COMPUTED_VALUE"""),0.0)</f>
        <v>0</v>
      </c>
      <c r="CF44" s="16">
        <f>IFERROR(__xludf.DUMMYFUNCTION("""COMPUTED_VALUE"""),1.0)</f>
        <v>1</v>
      </c>
      <c r="CG44" s="16">
        <f>IFERROR(__xludf.DUMMYFUNCTION("""COMPUTED_VALUE"""),10.0)</f>
        <v>10</v>
      </c>
      <c r="CH44" s="16">
        <f>IFERROR(__xludf.DUMMYFUNCTION("""COMPUTED_VALUE"""),11.0)</f>
        <v>11</v>
      </c>
      <c r="CI44" s="179">
        <f>IFERROR(__xludf.DUMMYFUNCTION("""COMPUTED_VALUE"""),22.0)</f>
        <v>22</v>
      </c>
      <c r="CJ44" s="16"/>
      <c r="CK44" s="16"/>
      <c r="CL44" s="16"/>
      <c r="CM44" s="16"/>
      <c r="CN44" s="16"/>
      <c r="CO44" s="16"/>
      <c r="CP44" s="16">
        <f>IFERROR(__xludf.DUMMYFUNCTION("""COMPUTED_VALUE"""),302.0)</f>
        <v>302</v>
      </c>
      <c r="CQ44" s="16">
        <f>IFERROR(__xludf.DUMMYFUNCTION("""COMPUTED_VALUE"""),202.0)</f>
        <v>202</v>
      </c>
      <c r="CR44" s="16" t="str">
        <f>IFERROR(__xludf.DUMMYFUNCTION("""COMPUTED_VALUE"""),"cf-3(+2)e2 rf-2e2")</f>
        <v>cf-3(+2)e2 rf-2e2</v>
      </c>
      <c r="CS44" s="16"/>
      <c r="CT44" s="16"/>
      <c r="CU44" s="16"/>
      <c r="CV44" s="16"/>
      <c r="CW44" s="16"/>
      <c r="CX44" s="16"/>
      <c r="CY44" s="16">
        <f>IFERROR(__xludf.DUMMYFUNCTION("""COMPUTED_VALUE"""),3.0)</f>
        <v>3</v>
      </c>
      <c r="CZ44" s="16">
        <f>IFERROR(__xludf.DUMMYFUNCTION("""COMPUTED_VALUE"""),2.0)</f>
        <v>2</v>
      </c>
      <c r="DA44" s="16"/>
      <c r="DB44" s="16"/>
      <c r="DC44" s="16"/>
      <c r="DD44" s="16"/>
      <c r="DE44" s="16"/>
      <c r="DF44" s="16"/>
      <c r="DG44" s="16">
        <f>IFERROR(__xludf.DUMMYFUNCTION("""COMPUTED_VALUE"""),2.0)</f>
        <v>2</v>
      </c>
      <c r="DH44" s="16">
        <f>IFERROR(__xludf.DUMMYFUNCTION("""COMPUTED_VALUE"""),2.0)</f>
        <v>2</v>
      </c>
      <c r="DI44" s="16"/>
      <c r="DJ44" s="16"/>
      <c r="DK44" s="16"/>
      <c r="DL44" s="16"/>
      <c r="DM44" s="16"/>
      <c r="DN44" s="16"/>
      <c r="DO44" s="16">
        <f>IFERROR(__xludf.DUMMYFUNCTION("""COMPUTED_VALUE"""),0.0)</f>
        <v>0</v>
      </c>
      <c r="DP44" s="16">
        <f>IFERROR(__xludf.DUMMYFUNCTION("""COMPUTED_VALUE"""),3.0)</f>
        <v>3</v>
      </c>
      <c r="DQ44" s="16"/>
      <c r="DR44" s="16"/>
      <c r="DS44" s="16"/>
      <c r="DT44" s="16"/>
      <c r="DU44" s="16"/>
      <c r="DV44" s="16"/>
      <c r="DW44" s="16">
        <f>IFERROR(__xludf.DUMMYFUNCTION("""COMPUTED_VALUE"""),4.0)</f>
        <v>4</v>
      </c>
      <c r="DX44" s="16">
        <f>IFERROR(__xludf.DUMMYFUNCTION("""COMPUTED_VALUE"""),4.0)</f>
        <v>4</v>
      </c>
      <c r="DY44" s="16"/>
      <c r="DZ44" s="16"/>
      <c r="EA44" s="16"/>
      <c r="EB44" s="16"/>
      <c r="EC44" s="16"/>
      <c r="ED44" s="16"/>
      <c r="EE44" s="16">
        <f>IFERROR(__xludf.DUMMYFUNCTION("""COMPUTED_VALUE"""),4.0)</f>
        <v>4</v>
      </c>
      <c r="EF44" s="16">
        <f>IFERROR(__xludf.DUMMYFUNCTION("""COMPUTED_VALUE"""),7.0)</f>
        <v>7</v>
      </c>
      <c r="EG44" s="179"/>
      <c r="EH44" s="179"/>
      <c r="EI44" s="179"/>
      <c r="EJ44" s="179"/>
      <c r="EK44" s="179"/>
      <c r="EL44" s="179"/>
      <c r="EM44" s="179">
        <f>IFERROR(__xludf.DUMMYFUNCTION("""COMPUTED_VALUE"""),26.0)</f>
        <v>26</v>
      </c>
      <c r="EN44" s="179">
        <f>IFERROR(__xludf.DUMMYFUNCTION("""COMPUTED_VALUE"""),29.0)</f>
        <v>29</v>
      </c>
      <c r="EO44" s="16"/>
      <c r="EP44" s="16"/>
      <c r="EQ44" s="16">
        <f>IFERROR(__xludf.DUMMYFUNCTION("""COMPUTED_VALUE"""),4.0)</f>
        <v>4</v>
      </c>
      <c r="ER44" s="16">
        <f>IFERROR(__xludf.DUMMYFUNCTION("""COMPUTED_VALUE"""),3.0)</f>
        <v>3</v>
      </c>
      <c r="ES44" s="16"/>
      <c r="ET44" s="16"/>
      <c r="EU44" s="16"/>
      <c r="EV44" s="16"/>
      <c r="EW44" s="16"/>
      <c r="EX44" s="180"/>
      <c r="EY44" s="180"/>
      <c r="EZ44" s="180"/>
      <c r="FA44" s="180"/>
      <c r="FB44" s="180"/>
      <c r="FC44" s="180"/>
      <c r="FD44" s="180">
        <f>IFERROR(__xludf.DUMMYFUNCTION("""COMPUTED_VALUE"""),0.3)</f>
        <v>0.3</v>
      </c>
      <c r="FE44" s="180">
        <f>IFERROR(__xludf.DUMMYFUNCTION("""COMPUTED_VALUE"""),0.15)</f>
        <v>0.15</v>
      </c>
      <c r="FF44" s="180"/>
      <c r="FG44" s="180"/>
      <c r="FH44" s="180"/>
      <c r="FI44" s="180"/>
      <c r="FJ44" s="180"/>
      <c r="FK44" s="180"/>
      <c r="FL44" s="180">
        <f>IFERROR(__xludf.DUMMYFUNCTION("""COMPUTED_VALUE"""),0.023148148148148147)</f>
        <v>0.02314814815</v>
      </c>
      <c r="FM44" s="180">
        <f>IFERROR(__xludf.DUMMYFUNCTION("""COMPUTED_VALUE"""),0.037)</f>
        <v>0.037</v>
      </c>
      <c r="FN44" s="16"/>
      <c r="FO44" s="16"/>
      <c r="FP44" s="16"/>
      <c r="FQ44" s="16"/>
      <c r="FR44" s="16"/>
      <c r="FS44" s="16"/>
      <c r="FT44" s="16">
        <f>IFERROR(__xludf.DUMMYFUNCTION("""COMPUTED_VALUE"""),0.6837962962962962)</f>
        <v>0.6837962963</v>
      </c>
      <c r="FU44" s="16">
        <f>IFERROR(__xludf.DUMMYFUNCTION("""COMPUTED_VALUE"""),0.81855)</f>
        <v>0.81855</v>
      </c>
      <c r="FV44" s="16"/>
      <c r="FW44" s="16"/>
      <c r="FX44" s="16"/>
      <c r="FY44" s="16"/>
      <c r="FZ44" s="16"/>
      <c r="GA44" s="16"/>
      <c r="GB44" s="16">
        <f>IFERROR(__xludf.DUMMYFUNCTION("""COMPUTED_VALUE"""),-4.0)</f>
        <v>-4</v>
      </c>
      <c r="GC44" s="16">
        <f>IFERROR(__xludf.DUMMYFUNCTION("""COMPUTED_VALUE"""),1.0)</f>
        <v>1</v>
      </c>
      <c r="GD44" s="16" t="s">
        <v>361</v>
      </c>
    </row>
    <row r="45">
      <c r="A45" s="16">
        <f>IFERROR(__xludf.DUMMYFUNCTION("""COMPUTED_VALUE"""),12557.0)</f>
        <v>12557</v>
      </c>
      <c r="B45" s="16" t="str">
        <f>IFERROR(__xludf.DUMMYFUNCTION("""COMPUTED_VALUE"""),"Anthony Santander")</f>
        <v>Anthony Santander</v>
      </c>
      <c r="C45" s="16">
        <f>IFERROR(__xludf.DUMMYFUNCTION("""COMPUTED_VALUE"""),1.26)</f>
        <v>1.26</v>
      </c>
      <c r="D45" s="16" t="str">
        <f>IFERROR(__xludf.DUMMYFUNCTION("""COMPUTED_VALUE"""),"S")</f>
        <v>S</v>
      </c>
      <c r="E45" s="16"/>
      <c r="F45" s="16"/>
      <c r="G45" s="16">
        <f>IFERROR(__xludf.DUMMYFUNCTION("""COMPUTED_VALUE"""),595.0)</f>
        <v>595</v>
      </c>
      <c r="H45" s="16">
        <f>IFERROR(__xludf.DUMMYFUNCTION("""COMPUTED_VALUE"""),58.0)</f>
        <v>58</v>
      </c>
      <c r="I45" s="16" t="str">
        <f>IFERROR(__xludf.DUMMYFUNCTION("""COMPUTED_VALUE"""),"1p70")</f>
        <v>1p70</v>
      </c>
      <c r="J45" s="16">
        <f>IFERROR(__xludf.DUMMYFUNCTION("""COMPUTED_VALUE"""),28.0)</f>
        <v>28</v>
      </c>
      <c r="K45" s="16">
        <f>IFERROR(__xludf.DUMMYFUNCTION("""COMPUTED_VALUE"""),13.0)</f>
        <v>13</v>
      </c>
      <c r="L45" s="16">
        <f>IFERROR(__xludf.DUMMYFUNCTION("""COMPUTED_VALUE"""),0.0)</f>
        <v>0</v>
      </c>
      <c r="M45" s="16">
        <f>IFERROR(__xludf.DUMMYFUNCTION("""COMPUTED_VALUE"""),1.0)</f>
        <v>1</v>
      </c>
      <c r="N45" s="16">
        <f>IFERROR(__xludf.DUMMYFUNCTION("""COMPUTED_VALUE"""),0.0)</f>
        <v>0</v>
      </c>
      <c r="O45" s="16">
        <f>IFERROR(__xludf.DUMMYFUNCTION("""COMPUTED_VALUE"""),1.0)</f>
        <v>1</v>
      </c>
      <c r="P45" s="16">
        <f>IFERROR(__xludf.DUMMYFUNCTION("""COMPUTED_VALUE"""),8.0)</f>
        <v>8</v>
      </c>
      <c r="Q45" s="16">
        <f>IFERROR(__xludf.DUMMYFUNCTION("""COMPUTED_VALUE"""),9.0)</f>
        <v>9</v>
      </c>
      <c r="R45" s="16">
        <f>IFERROR(__xludf.DUMMYFUNCTION("""COMPUTED_VALUE"""),0.0)</f>
        <v>0</v>
      </c>
      <c r="S45" s="16">
        <f>IFERROR(__xludf.DUMMYFUNCTION("""COMPUTED_VALUE"""),0.0)</f>
        <v>0</v>
      </c>
      <c r="T45" s="16">
        <f>IFERROR(__xludf.DUMMYFUNCTION("""COMPUTED_VALUE"""),0.0)</f>
        <v>0</v>
      </c>
      <c r="U45" s="16">
        <f>IFERROR(__xludf.DUMMYFUNCTION("""COMPUTED_VALUE"""),0.0)</f>
        <v>0</v>
      </c>
      <c r="V45" s="16">
        <f>IFERROR(__xludf.DUMMYFUNCTION("""COMPUTED_VALUE"""),13.7)</f>
        <v>13.7</v>
      </c>
      <c r="W45" s="16">
        <f>IFERROR(__xludf.DUMMYFUNCTION("""COMPUTED_VALUE"""),15.8)</f>
        <v>15.8</v>
      </c>
      <c r="X45" s="16">
        <f>IFERROR(__xludf.DUMMYFUNCTION("""COMPUTED_VALUE"""),-1.0)</f>
        <v>-1</v>
      </c>
      <c r="Y45" s="16">
        <f>IFERROR(__xludf.DUMMYFUNCTION("""COMPUTED_VALUE"""),-1.0)</f>
        <v>-1</v>
      </c>
      <c r="Z45" s="16">
        <f>IFERROR(__xludf.DUMMYFUNCTION("""COMPUTED_VALUE"""),-2.0)</f>
        <v>-2</v>
      </c>
      <c r="AA45" s="16">
        <f>IFERROR(__xludf.DUMMYFUNCTION("""COMPUTED_VALUE"""),-2.0)</f>
        <v>-2</v>
      </c>
      <c r="AB45" s="16">
        <f>IFERROR(__xludf.DUMMYFUNCTION("""COMPUTED_VALUE"""),23.6)</f>
        <v>23.6</v>
      </c>
      <c r="AC45" s="16">
        <f>IFERROR(__xludf.DUMMYFUNCTION("""COMPUTED_VALUE"""),26.8)</f>
        <v>26.8</v>
      </c>
      <c r="AD45" s="16">
        <f>IFERROR(__xludf.DUMMYFUNCTION("""COMPUTED_VALUE"""),-1.0)</f>
        <v>-1</v>
      </c>
      <c r="AE45" s="16">
        <f>IFERROR(__xludf.DUMMYFUNCTION("""COMPUTED_VALUE"""),-1.0)</f>
        <v>-1</v>
      </c>
      <c r="AF45" s="16">
        <f>IFERROR(__xludf.DUMMYFUNCTION("""COMPUTED_VALUE"""),-5.0)</f>
        <v>-5</v>
      </c>
      <c r="AG45" s="16">
        <f>IFERROR(__xludf.DUMMYFUNCTION("""COMPUTED_VALUE"""),-5.0)</f>
        <v>-5</v>
      </c>
      <c r="AH45" s="16">
        <f>IFERROR(__xludf.DUMMYFUNCTION("""COMPUTED_VALUE"""),41.4)</f>
        <v>41.4</v>
      </c>
      <c r="AI45" s="16">
        <f>IFERROR(__xludf.DUMMYFUNCTION("""COMPUTED_VALUE"""),39.7)</f>
        <v>39.7</v>
      </c>
      <c r="AJ45" s="16">
        <f>IFERROR(__xludf.DUMMYFUNCTION("""COMPUTED_VALUE"""),1.0)</f>
        <v>1</v>
      </c>
      <c r="AK45" s="16">
        <f>IFERROR(__xludf.DUMMYFUNCTION("""COMPUTED_VALUE"""),1.0)</f>
        <v>1</v>
      </c>
      <c r="AL45" s="16">
        <f>IFERROR(__xludf.DUMMYFUNCTION("""COMPUTED_VALUE"""),5.0)</f>
        <v>5</v>
      </c>
      <c r="AM45" s="16">
        <f>IFERROR(__xludf.DUMMYFUNCTION("""COMPUTED_VALUE"""),5.0)</f>
        <v>5</v>
      </c>
      <c r="AN45" s="16">
        <f>IFERROR(__xludf.DUMMYFUNCTION("""COMPUTED_VALUE"""),8.6)</f>
        <v>8.6</v>
      </c>
      <c r="AO45" s="16">
        <f>IFERROR(__xludf.DUMMYFUNCTION("""COMPUTED_VALUE"""),6.7)</f>
        <v>6.7</v>
      </c>
      <c r="AP45" s="16">
        <f>IFERROR(__xludf.DUMMYFUNCTION("""COMPUTED_VALUE"""),3.0)</f>
        <v>3</v>
      </c>
      <c r="AQ45" s="16">
        <f>IFERROR(__xludf.DUMMYFUNCTION("""COMPUTED_VALUE"""),3.0)</f>
        <v>3</v>
      </c>
      <c r="AR45" s="16">
        <f>IFERROR(__xludf.DUMMYFUNCTION("""COMPUTED_VALUE"""),6.0)</f>
        <v>6</v>
      </c>
      <c r="AS45" s="16">
        <f>IFERROR(__xludf.DUMMYFUNCTION("""COMPUTED_VALUE"""),6.0)</f>
        <v>6</v>
      </c>
      <c r="AT45" s="16">
        <f>IFERROR(__xludf.DUMMYFUNCTION("""COMPUTED_VALUE"""),8.0)</f>
        <v>8</v>
      </c>
      <c r="AU45" s="16">
        <f>IFERROR(__xludf.DUMMYFUNCTION("""COMPUTED_VALUE"""),8.0)</f>
        <v>8</v>
      </c>
      <c r="AV45" s="16">
        <f>IFERROR(__xludf.DUMMYFUNCTION("""COMPUTED_VALUE"""),8.0)</f>
        <v>8</v>
      </c>
      <c r="AW45" s="16">
        <f>IFERROR(__xludf.DUMMYFUNCTION("""COMPUTED_VALUE"""),8.0)</f>
        <v>8</v>
      </c>
      <c r="AX45" s="16">
        <f>IFERROR(__xludf.DUMMYFUNCTION("""COMPUTED_VALUE"""),3.0)</f>
        <v>3</v>
      </c>
      <c r="AY45" s="16">
        <f>IFERROR(__xludf.DUMMYFUNCTION("""COMPUTED_VALUE"""),3.0)</f>
        <v>3</v>
      </c>
      <c r="AZ45" s="16">
        <f>IFERROR(__xludf.DUMMYFUNCTION("""COMPUTED_VALUE"""),9.0)</f>
        <v>9</v>
      </c>
      <c r="BA45" s="16">
        <f>IFERROR(__xludf.DUMMYFUNCTION("""COMPUTED_VALUE"""),9.0)</f>
        <v>9</v>
      </c>
      <c r="BB45" s="16">
        <f>IFERROR(__xludf.DUMMYFUNCTION("""COMPUTED_VALUE"""),5.0)</f>
        <v>5</v>
      </c>
      <c r="BC45" s="16">
        <f>IFERROR(__xludf.DUMMYFUNCTION("""COMPUTED_VALUE"""),5.0)</f>
        <v>5</v>
      </c>
      <c r="BD45" s="16">
        <f>IFERROR(__xludf.DUMMYFUNCTION("""COMPUTED_VALUE"""),1.0)</f>
        <v>1</v>
      </c>
      <c r="BE45" s="16">
        <f>IFERROR(__xludf.DUMMYFUNCTION("""COMPUTED_VALUE"""),1.0)</f>
        <v>1</v>
      </c>
      <c r="BF45" s="16">
        <f>IFERROR(__xludf.DUMMYFUNCTION("""COMPUTED_VALUE"""),1.0)</f>
        <v>1</v>
      </c>
      <c r="BG45" s="16">
        <f>IFERROR(__xludf.DUMMYFUNCTION("""COMPUTED_VALUE"""),1.0)</f>
        <v>1</v>
      </c>
      <c r="BH45" s="16">
        <f>IFERROR(__xludf.DUMMYFUNCTION("""COMPUTED_VALUE"""),-1.0)</f>
        <v>-1</v>
      </c>
      <c r="BI45" s="16">
        <f>IFERROR(__xludf.DUMMYFUNCTION("""COMPUTED_VALUE"""),-4.0)</f>
        <v>-4</v>
      </c>
      <c r="BJ45" s="16">
        <f>IFERROR(__xludf.DUMMYFUNCTION("""COMPUTED_VALUE"""),9.0)</f>
        <v>9</v>
      </c>
      <c r="BK45" s="16">
        <f>IFERROR(__xludf.DUMMYFUNCTION("""COMPUTED_VALUE"""),11.0)</f>
        <v>11</v>
      </c>
      <c r="BL45" s="16">
        <f>IFERROR(__xludf.DUMMYFUNCTION("""COMPUTED_VALUE"""),0.0)</f>
        <v>0</v>
      </c>
      <c r="BM45" s="16">
        <f>IFERROR(__xludf.DUMMYFUNCTION("""COMPUTED_VALUE"""),0.0)</f>
        <v>0</v>
      </c>
      <c r="BN45" s="16">
        <f>IFERROR(__xludf.DUMMYFUNCTION("""COMPUTED_VALUE"""),0.0)</f>
        <v>0</v>
      </c>
      <c r="BO45" s="16">
        <f>IFERROR(__xludf.DUMMYFUNCTION("""COMPUTED_VALUE"""),0.0)</f>
        <v>0</v>
      </c>
      <c r="BP45" s="16">
        <f>IFERROR(__xludf.DUMMYFUNCTION("""COMPUTED_VALUE"""),6.0)</f>
        <v>6</v>
      </c>
      <c r="BQ45" s="16">
        <f>IFERROR(__xludf.DUMMYFUNCTION("""COMPUTED_VALUE"""),7.0)</f>
        <v>7</v>
      </c>
      <c r="BR45" s="16">
        <f>IFERROR(__xludf.DUMMYFUNCTION("""COMPUTED_VALUE"""),13.0)</f>
        <v>13</v>
      </c>
      <c r="BS45" s="16" t="str">
        <f>IFERROR(__xludf.DUMMYFUNCTION("""COMPUTED_VALUE"""),"2/- (20-6)")</f>
        <v>2/- (20-6)</v>
      </c>
      <c r="BT45" s="16" t="str">
        <f>IFERROR(__xludf.DUMMYFUNCTION("""COMPUTED_VALUE"""),"E")</f>
        <v>E</v>
      </c>
      <c r="BU45" s="16">
        <f>IFERROR(__xludf.DUMMYFUNCTION("""COMPUTED_VALUE"""),10.0)</f>
        <v>10</v>
      </c>
      <c r="BV45" s="16">
        <f>IFERROR(__xludf.DUMMYFUNCTION("""COMPUTED_VALUE"""),0.0)</f>
        <v>0</v>
      </c>
      <c r="BW45" s="16">
        <f>IFERROR(__xludf.DUMMYFUNCTION("""COMPUTED_VALUE"""),0.0)</f>
        <v>0</v>
      </c>
      <c r="BX45" s="16">
        <f>IFERROR(__xludf.DUMMYFUNCTION("""COMPUTED_VALUE"""),0.0)</f>
        <v>0</v>
      </c>
      <c r="BY45" s="16">
        <f>IFERROR(__xludf.DUMMYFUNCTION("""COMPUTED_VALUE"""),0.0)</f>
        <v>0</v>
      </c>
      <c r="BZ45" s="16" t="str">
        <f>IFERROR(__xludf.DUMMYFUNCTION("""COMPUTED_VALUE"""),"D")</f>
        <v>D</v>
      </c>
      <c r="CA45" s="16" t="str">
        <f>IFERROR(__xludf.DUMMYFUNCTION("""COMPUTED_VALUE"""),"D")</f>
        <v>D</v>
      </c>
      <c r="CB45" s="16">
        <f>IFERROR(__xludf.DUMMYFUNCTION("""COMPUTED_VALUE"""),0.0)</f>
        <v>0</v>
      </c>
      <c r="CC45" s="16">
        <f>IFERROR(__xludf.DUMMYFUNCTION("""COMPUTED_VALUE"""),0.0)</f>
        <v>0</v>
      </c>
      <c r="CD45" s="16">
        <f>IFERROR(__xludf.DUMMYFUNCTION("""COMPUTED_VALUE"""),0.0)</f>
        <v>0</v>
      </c>
      <c r="CE45" s="16">
        <f>IFERROR(__xludf.DUMMYFUNCTION("""COMPUTED_VALUE"""),0.0)</f>
        <v>0</v>
      </c>
      <c r="CF45" s="16">
        <f>IFERROR(__xludf.DUMMYFUNCTION("""COMPUTED_VALUE"""),1.0)</f>
        <v>1</v>
      </c>
      <c r="CG45" s="16">
        <f>IFERROR(__xludf.DUMMYFUNCTION("""COMPUTED_VALUE"""),14.0)</f>
        <v>14</v>
      </c>
      <c r="CH45" s="16">
        <f>IFERROR(__xludf.DUMMYFUNCTION("""COMPUTED_VALUE"""),15.0)</f>
        <v>15</v>
      </c>
      <c r="CI45" s="179">
        <f>IFERROR(__xludf.DUMMYFUNCTION("""COMPUTED_VALUE"""),22.0)</f>
        <v>22</v>
      </c>
      <c r="CJ45" s="16"/>
      <c r="CK45" s="16">
        <f>IFERROR(__xludf.DUMMYFUNCTION("""COMPUTED_VALUE"""),418.0)</f>
        <v>418</v>
      </c>
      <c r="CL45" s="16"/>
      <c r="CM45" s="16"/>
      <c r="CN45" s="16"/>
      <c r="CO45" s="16"/>
      <c r="CP45" s="16"/>
      <c r="CQ45" s="16">
        <f>IFERROR(__xludf.DUMMYFUNCTION("""COMPUTED_VALUE"""),303.0)</f>
        <v>303</v>
      </c>
      <c r="CR45" s="16" t="str">
        <f>IFERROR(__xludf.DUMMYFUNCTION("""COMPUTED_VALUE"""),"rf-3(-1)e3 1b-4e18")</f>
        <v>rf-3(-1)e3 1b-4e18</v>
      </c>
      <c r="CS45" s="16"/>
      <c r="CT45" s="16">
        <f>IFERROR(__xludf.DUMMYFUNCTION("""COMPUTED_VALUE"""),4.0)</f>
        <v>4</v>
      </c>
      <c r="CU45" s="16"/>
      <c r="CV45" s="16"/>
      <c r="CW45" s="16"/>
      <c r="CX45" s="16"/>
      <c r="CY45" s="16"/>
      <c r="CZ45" s="16">
        <f>IFERROR(__xludf.DUMMYFUNCTION("""COMPUTED_VALUE"""),3.0)</f>
        <v>3</v>
      </c>
      <c r="DA45" s="16"/>
      <c r="DB45" s="16">
        <f>IFERROR(__xludf.DUMMYFUNCTION("""COMPUTED_VALUE"""),18.0)</f>
        <v>18</v>
      </c>
      <c r="DC45" s="16"/>
      <c r="DD45" s="16"/>
      <c r="DE45" s="16"/>
      <c r="DF45" s="16"/>
      <c r="DG45" s="16"/>
      <c r="DH45" s="16">
        <f>IFERROR(__xludf.DUMMYFUNCTION("""COMPUTED_VALUE"""),3.0)</f>
        <v>3</v>
      </c>
      <c r="DI45" s="16"/>
      <c r="DJ45" s="16">
        <f>IFERROR(__xludf.DUMMYFUNCTION("""COMPUTED_VALUE"""),0.0)</f>
        <v>0</v>
      </c>
      <c r="DK45" s="16"/>
      <c r="DL45" s="16"/>
      <c r="DM45" s="16"/>
      <c r="DN45" s="16"/>
      <c r="DO45" s="16"/>
      <c r="DP45" s="16">
        <f>IFERROR(__xludf.DUMMYFUNCTION("""COMPUTED_VALUE"""),0.0)</f>
        <v>0</v>
      </c>
      <c r="DQ45" s="16"/>
      <c r="DR45" s="16">
        <f>IFERROR(__xludf.DUMMYFUNCTION("""COMPUTED_VALUE"""),0.0)</f>
        <v>0</v>
      </c>
      <c r="DS45" s="16"/>
      <c r="DT45" s="16"/>
      <c r="DU45" s="16"/>
      <c r="DV45" s="16"/>
      <c r="DW45" s="16"/>
      <c r="DX45" s="16">
        <f>IFERROR(__xludf.DUMMYFUNCTION("""COMPUTED_VALUE"""),4.0)</f>
        <v>4</v>
      </c>
      <c r="DY45" s="16"/>
      <c r="DZ45" s="16">
        <f>IFERROR(__xludf.DUMMYFUNCTION("""COMPUTED_VALUE"""),0.0)</f>
        <v>0</v>
      </c>
      <c r="EA45" s="16"/>
      <c r="EB45" s="16"/>
      <c r="EC45" s="16"/>
      <c r="ED45" s="16"/>
      <c r="EE45" s="16"/>
      <c r="EF45" s="16">
        <f>IFERROR(__xludf.DUMMYFUNCTION("""COMPUTED_VALUE"""),4.0)</f>
        <v>4</v>
      </c>
      <c r="EG45" s="179"/>
      <c r="EH45" s="179">
        <f>IFERROR(__xludf.DUMMYFUNCTION("""COMPUTED_VALUE"""),22.0)</f>
        <v>22</v>
      </c>
      <c r="EI45" s="179"/>
      <c r="EJ45" s="179"/>
      <c r="EK45" s="179"/>
      <c r="EL45" s="179"/>
      <c r="EM45" s="179"/>
      <c r="EN45" s="179">
        <f>IFERROR(__xludf.DUMMYFUNCTION("""COMPUTED_VALUE"""),26.0)</f>
        <v>26</v>
      </c>
      <c r="EO45" s="16"/>
      <c r="EP45" s="16">
        <f>IFERROR(__xludf.DUMMYFUNCTION("""COMPUTED_VALUE"""),1.0)</f>
        <v>1</v>
      </c>
      <c r="EQ45" s="16">
        <f>IFERROR(__xludf.DUMMYFUNCTION("""COMPUTED_VALUE"""),4.0)</f>
        <v>4</v>
      </c>
      <c r="ER45" s="16">
        <f>IFERROR(__xludf.DUMMYFUNCTION("""COMPUTED_VALUE"""),3.0)</f>
        <v>3</v>
      </c>
      <c r="ES45" s="16"/>
      <c r="ET45" s="16"/>
      <c r="EU45" s="16"/>
      <c r="EV45" s="16"/>
      <c r="EW45" s="16"/>
      <c r="EX45" s="180"/>
      <c r="EY45" s="180">
        <f>IFERROR(__xludf.DUMMYFUNCTION("""COMPUTED_VALUE"""),0.3)</f>
        <v>0.3</v>
      </c>
      <c r="EZ45" s="180"/>
      <c r="FA45" s="180"/>
      <c r="FB45" s="180"/>
      <c r="FC45" s="180"/>
      <c r="FD45" s="180"/>
      <c r="FE45" s="180">
        <f>IFERROR(__xludf.DUMMYFUNCTION("""COMPUTED_VALUE"""),0.3)</f>
        <v>0.3</v>
      </c>
      <c r="FF45" s="180"/>
      <c r="FG45" s="180">
        <f>IFERROR(__xludf.DUMMYFUNCTION("""COMPUTED_VALUE"""),0.32407407407407407)</f>
        <v>0.3240740741</v>
      </c>
      <c r="FH45" s="180"/>
      <c r="FI45" s="180"/>
      <c r="FJ45" s="180"/>
      <c r="FK45" s="180"/>
      <c r="FL45" s="180"/>
      <c r="FM45" s="180">
        <f>IFERROR(__xludf.DUMMYFUNCTION("""COMPUTED_VALUE"""),0.056)</f>
        <v>0.056</v>
      </c>
      <c r="FN45" s="16"/>
      <c r="FO45" s="16">
        <f>IFERROR(__xludf.DUMMYFUNCTION("""COMPUTED_VALUE"""),0.4731481481481481)</f>
        <v>0.4731481481</v>
      </c>
      <c r="FP45" s="16"/>
      <c r="FQ45" s="16"/>
      <c r="FR45" s="16"/>
      <c r="FS45" s="16"/>
      <c r="FT45" s="16"/>
      <c r="FU45" s="16">
        <f>IFERROR(__xludf.DUMMYFUNCTION("""COMPUTED_VALUE"""),0.6607999999999999)</f>
        <v>0.6608</v>
      </c>
      <c r="FV45" s="16"/>
      <c r="FW45" s="16">
        <f>IFERROR(__xludf.DUMMYFUNCTION("""COMPUTED_VALUE"""),-8.0)</f>
        <v>-8</v>
      </c>
      <c r="FX45" s="16"/>
      <c r="FY45" s="16"/>
      <c r="FZ45" s="16"/>
      <c r="GA45" s="16"/>
      <c r="GB45" s="16"/>
      <c r="GC45" s="16">
        <f>IFERROR(__xludf.DUMMYFUNCTION("""COMPUTED_VALUE"""),-5.0)</f>
        <v>-5</v>
      </c>
      <c r="GD45" s="16" t="s">
        <v>289</v>
      </c>
    </row>
    <row r="46">
      <c r="A46" s="16">
        <f>IFERROR(__xludf.DUMMYFUNCTION("""COMPUTED_VALUE"""),12884.0)</f>
        <v>12884</v>
      </c>
      <c r="B46" s="16" t="str">
        <f>IFERROR(__xludf.DUMMYFUNCTION("""COMPUTED_VALUE"""),"Ian Happ")</f>
        <v>Ian Happ</v>
      </c>
      <c r="C46" s="16">
        <f>IFERROR(__xludf.DUMMYFUNCTION("""COMPUTED_VALUE"""),1.72)</f>
        <v>1.72</v>
      </c>
      <c r="D46" s="16" t="str">
        <f>IFERROR(__xludf.DUMMYFUNCTION("""COMPUTED_VALUE"""),"S")</f>
        <v>S</v>
      </c>
      <c r="E46" s="16"/>
      <c r="F46" s="16"/>
      <c r="G46" s="16">
        <f>IFERROR(__xludf.DUMMYFUNCTION("""COMPUTED_VALUE"""),569.0)</f>
        <v>569</v>
      </c>
      <c r="H46" s="16">
        <f>IFERROR(__xludf.DUMMYFUNCTION("""COMPUTED_VALUE"""),80.0)</f>
        <v>80</v>
      </c>
      <c r="I46" s="16" t="str">
        <f>IFERROR(__xludf.DUMMYFUNCTION("""COMPUTED_VALUE"""),"1p70")</f>
        <v>1p70</v>
      </c>
      <c r="J46" s="16">
        <f>IFERROR(__xludf.DUMMYFUNCTION("""COMPUTED_VALUE"""),30.0)</f>
        <v>30</v>
      </c>
      <c r="K46" s="16">
        <f>IFERROR(__xludf.DUMMYFUNCTION("""COMPUTED_VALUE"""),32.0)</f>
        <v>32</v>
      </c>
      <c r="L46" s="16">
        <f>IFERROR(__xludf.DUMMYFUNCTION("""COMPUTED_VALUE"""),0.0)</f>
        <v>0</v>
      </c>
      <c r="M46" s="16">
        <f>IFERROR(__xludf.DUMMYFUNCTION("""COMPUTED_VALUE"""),-1.0)</f>
        <v>-1</v>
      </c>
      <c r="N46" s="16">
        <f>IFERROR(__xludf.DUMMYFUNCTION("""COMPUTED_VALUE"""),0.0)</f>
        <v>0</v>
      </c>
      <c r="O46" s="16">
        <f>IFERROR(__xludf.DUMMYFUNCTION("""COMPUTED_VALUE"""),-1.0)</f>
        <v>-1</v>
      </c>
      <c r="P46" s="16">
        <f>IFERROR(__xludf.DUMMYFUNCTION("""COMPUTED_VALUE"""),7.0)</f>
        <v>7</v>
      </c>
      <c r="Q46" s="16">
        <f>IFERROR(__xludf.DUMMYFUNCTION("""COMPUTED_VALUE"""),19.0)</f>
        <v>19</v>
      </c>
      <c r="R46" s="16">
        <f>IFERROR(__xludf.DUMMYFUNCTION("""COMPUTED_VALUE"""),-1.0)</f>
        <v>-1</v>
      </c>
      <c r="S46" s="16">
        <f>IFERROR(__xludf.DUMMYFUNCTION("""COMPUTED_VALUE"""),3.0)</f>
        <v>3</v>
      </c>
      <c r="T46" s="16">
        <f>IFERROR(__xludf.DUMMYFUNCTION("""COMPUTED_VALUE"""),-1.0)</f>
        <v>-1</v>
      </c>
      <c r="U46" s="16">
        <f>IFERROR(__xludf.DUMMYFUNCTION("""COMPUTED_VALUE"""),3.0)</f>
        <v>3</v>
      </c>
      <c r="V46" s="16">
        <f>IFERROR(__xludf.DUMMYFUNCTION("""COMPUTED_VALUE"""),17.8)</f>
        <v>17.8</v>
      </c>
      <c r="W46" s="16">
        <f>IFERROR(__xludf.DUMMYFUNCTION("""COMPUTED_VALUE"""),16.4)</f>
        <v>16.4</v>
      </c>
      <c r="X46" s="16">
        <f>IFERROR(__xludf.DUMMYFUNCTION("""COMPUTED_VALUE"""),0.0)</f>
        <v>0</v>
      </c>
      <c r="Y46" s="16">
        <f>IFERROR(__xludf.DUMMYFUNCTION("""COMPUTED_VALUE"""),-1.0)</f>
        <v>-1</v>
      </c>
      <c r="Z46" s="16">
        <f>IFERROR(__xludf.DUMMYFUNCTION("""COMPUTED_VALUE"""),0.0)</f>
        <v>0</v>
      </c>
      <c r="AA46" s="16">
        <f>IFERROR(__xludf.DUMMYFUNCTION("""COMPUTED_VALUE"""),-2.0)</f>
        <v>-2</v>
      </c>
      <c r="AB46" s="16">
        <f>IFERROR(__xludf.DUMMYFUNCTION("""COMPUTED_VALUE"""),26.8)</f>
        <v>26.8</v>
      </c>
      <c r="AC46" s="16">
        <f>IFERROR(__xludf.DUMMYFUNCTION("""COMPUTED_VALUE"""),37.3)</f>
        <v>37.3</v>
      </c>
      <c r="AD46" s="16">
        <f>IFERROR(__xludf.DUMMYFUNCTION("""COMPUTED_VALUE"""),0.0)</f>
        <v>0</v>
      </c>
      <c r="AE46" s="16">
        <f>IFERROR(__xludf.DUMMYFUNCTION("""COMPUTED_VALUE"""),1.0)</f>
        <v>1</v>
      </c>
      <c r="AF46" s="16">
        <f>IFERROR(__xludf.DUMMYFUNCTION("""COMPUTED_VALUE"""),0.0)</f>
        <v>0</v>
      </c>
      <c r="AG46" s="16">
        <f>IFERROR(__xludf.DUMMYFUNCTION("""COMPUTED_VALUE"""),5.0)</f>
        <v>5</v>
      </c>
      <c r="AH46" s="16">
        <f>IFERROR(__xludf.DUMMYFUNCTION("""COMPUTED_VALUE"""),30.0)</f>
        <v>30</v>
      </c>
      <c r="AI46" s="16">
        <f>IFERROR(__xludf.DUMMYFUNCTION("""COMPUTED_VALUE"""),31.8)</f>
        <v>31.8</v>
      </c>
      <c r="AJ46" s="16">
        <f>IFERROR(__xludf.DUMMYFUNCTION("""COMPUTED_VALUE"""),0.0)</f>
        <v>0</v>
      </c>
      <c r="AK46" s="16">
        <f>IFERROR(__xludf.DUMMYFUNCTION("""COMPUTED_VALUE"""),0.0)</f>
        <v>0</v>
      </c>
      <c r="AL46" s="16">
        <f>IFERROR(__xludf.DUMMYFUNCTION("""COMPUTED_VALUE"""),0.0)</f>
        <v>0</v>
      </c>
      <c r="AM46" s="16">
        <f>IFERROR(__xludf.DUMMYFUNCTION("""COMPUTED_VALUE"""),0.0)</f>
        <v>0</v>
      </c>
      <c r="AN46" s="16">
        <f>IFERROR(__xludf.DUMMYFUNCTION("""COMPUTED_VALUE"""),3.8)</f>
        <v>3.8</v>
      </c>
      <c r="AO46" s="16">
        <f>IFERROR(__xludf.DUMMYFUNCTION("""COMPUTED_VALUE"""),2.5)</f>
        <v>2.5</v>
      </c>
      <c r="AP46" s="16">
        <f>IFERROR(__xludf.DUMMYFUNCTION("""COMPUTED_VALUE"""),2.0)</f>
        <v>2</v>
      </c>
      <c r="AQ46" s="16">
        <f>IFERROR(__xludf.DUMMYFUNCTION("""COMPUTED_VALUE"""),0.0)</f>
        <v>0</v>
      </c>
      <c r="AR46" s="16">
        <f>IFERROR(__xludf.DUMMYFUNCTION("""COMPUTED_VALUE"""),4.0)</f>
        <v>4</v>
      </c>
      <c r="AS46" s="16">
        <f>IFERROR(__xludf.DUMMYFUNCTION("""COMPUTED_VALUE"""),0.0)</f>
        <v>0</v>
      </c>
      <c r="AT46" s="16">
        <f>IFERROR(__xludf.DUMMYFUNCTION("""COMPUTED_VALUE"""),6.0)</f>
        <v>6</v>
      </c>
      <c r="AU46" s="16">
        <f>IFERROR(__xludf.DUMMYFUNCTION("""COMPUTED_VALUE"""),5.0)</f>
        <v>5</v>
      </c>
      <c r="AV46" s="16">
        <f>IFERROR(__xludf.DUMMYFUNCTION("""COMPUTED_VALUE"""),6.0)</f>
        <v>6</v>
      </c>
      <c r="AW46" s="16">
        <f>IFERROR(__xludf.DUMMYFUNCTION("""COMPUTED_VALUE"""),5.0)</f>
        <v>5</v>
      </c>
      <c r="AX46" s="16">
        <f>IFERROR(__xludf.DUMMYFUNCTION("""COMPUTED_VALUE"""),3.0)</f>
        <v>3</v>
      </c>
      <c r="AY46" s="16">
        <f>IFERROR(__xludf.DUMMYFUNCTION("""COMPUTED_VALUE"""),2.0)</f>
        <v>2</v>
      </c>
      <c r="AZ46" s="16">
        <f>IFERROR(__xludf.DUMMYFUNCTION("""COMPUTED_VALUE"""),9.0)</f>
        <v>9</v>
      </c>
      <c r="BA46" s="16">
        <f>IFERROR(__xludf.DUMMYFUNCTION("""COMPUTED_VALUE"""),6.0)</f>
        <v>6</v>
      </c>
      <c r="BB46" s="16">
        <f>IFERROR(__xludf.DUMMYFUNCTION("""COMPUTED_VALUE"""),5.0)</f>
        <v>5</v>
      </c>
      <c r="BC46" s="16">
        <f>IFERROR(__xludf.DUMMYFUNCTION("""COMPUTED_VALUE"""),5.0)</f>
        <v>5</v>
      </c>
      <c r="BD46" s="16">
        <f>IFERROR(__xludf.DUMMYFUNCTION("""COMPUTED_VALUE"""),1.0)</f>
        <v>1</v>
      </c>
      <c r="BE46" s="16">
        <f>IFERROR(__xludf.DUMMYFUNCTION("""COMPUTED_VALUE"""),1.0)</f>
        <v>1</v>
      </c>
      <c r="BF46" s="16">
        <f>IFERROR(__xludf.DUMMYFUNCTION("""COMPUTED_VALUE"""),1.0)</f>
        <v>1</v>
      </c>
      <c r="BG46" s="16">
        <f>IFERROR(__xludf.DUMMYFUNCTION("""COMPUTED_VALUE"""),1.0)</f>
        <v>1</v>
      </c>
      <c r="BH46" s="16">
        <f>IFERROR(__xludf.DUMMYFUNCTION("""COMPUTED_VALUE"""),-6.0)</f>
        <v>-6</v>
      </c>
      <c r="BI46" s="16">
        <f>IFERROR(__xludf.DUMMYFUNCTION("""COMPUTED_VALUE"""),-4.0)</f>
        <v>-4</v>
      </c>
      <c r="BJ46" s="16">
        <f>IFERROR(__xludf.DUMMYFUNCTION("""COMPUTED_VALUE"""),8.0)</f>
        <v>8</v>
      </c>
      <c r="BK46" s="16">
        <f>IFERROR(__xludf.DUMMYFUNCTION("""COMPUTED_VALUE"""),5.0)</f>
        <v>5</v>
      </c>
      <c r="BL46" s="16">
        <f>IFERROR(__xludf.DUMMYFUNCTION("""COMPUTED_VALUE"""),1.0)</f>
        <v>1</v>
      </c>
      <c r="BM46" s="16">
        <f>IFERROR(__xludf.DUMMYFUNCTION("""COMPUTED_VALUE"""),1.0)</f>
        <v>1</v>
      </c>
      <c r="BN46" s="16">
        <f>IFERROR(__xludf.DUMMYFUNCTION("""COMPUTED_VALUE"""),1.0)</f>
        <v>1</v>
      </c>
      <c r="BO46" s="16">
        <f>IFERROR(__xludf.DUMMYFUNCTION("""COMPUTED_VALUE"""),1.0)</f>
        <v>1</v>
      </c>
      <c r="BP46" s="16">
        <f>IFERROR(__xludf.DUMMYFUNCTION("""COMPUTED_VALUE"""),6.0)</f>
        <v>6</v>
      </c>
      <c r="BQ46" s="16">
        <f>IFERROR(__xludf.DUMMYFUNCTION("""COMPUTED_VALUE"""),6.0)</f>
        <v>6</v>
      </c>
      <c r="BR46" s="16">
        <f>IFERROR(__xludf.DUMMYFUNCTION("""COMPUTED_VALUE"""),12.0)</f>
        <v>12</v>
      </c>
      <c r="BS46" s="16" t="str">
        <f>IFERROR(__xludf.DUMMYFUNCTION("""COMPUTED_VALUE"""),"*5/- (19-6)")</f>
        <v>*5/- (19-6)</v>
      </c>
      <c r="BT46" s="16" t="str">
        <f>IFERROR(__xludf.DUMMYFUNCTION("""COMPUTED_VALUE"""),"B")</f>
        <v>B</v>
      </c>
      <c r="BU46" s="16">
        <f>IFERROR(__xludf.DUMMYFUNCTION("""COMPUTED_VALUE"""),14.0)</f>
        <v>14</v>
      </c>
      <c r="BV46" s="16">
        <f>IFERROR(__xludf.DUMMYFUNCTION("""COMPUTED_VALUE"""),1.0)</f>
        <v>1</v>
      </c>
      <c r="BW46" s="16">
        <f>IFERROR(__xludf.DUMMYFUNCTION("""COMPUTED_VALUE"""),1.0)</f>
        <v>1</v>
      </c>
      <c r="BX46" s="16">
        <f>IFERROR(__xludf.DUMMYFUNCTION("""COMPUTED_VALUE"""),2.0)</f>
        <v>2</v>
      </c>
      <c r="BY46" s="16">
        <f>IFERROR(__xludf.DUMMYFUNCTION("""COMPUTED_VALUE"""),3.0)</f>
        <v>3</v>
      </c>
      <c r="BZ46" s="16" t="str">
        <f>IFERROR(__xludf.DUMMYFUNCTION("""COMPUTED_VALUE"""),"D")</f>
        <v>D</v>
      </c>
      <c r="CA46" s="16" t="str">
        <f>IFERROR(__xludf.DUMMYFUNCTION("""COMPUTED_VALUE"""),"C")</f>
        <v>C</v>
      </c>
      <c r="CB46" s="16">
        <f>IFERROR(__xludf.DUMMYFUNCTION("""COMPUTED_VALUE"""),0.0)</f>
        <v>0</v>
      </c>
      <c r="CC46" s="16">
        <f>IFERROR(__xludf.DUMMYFUNCTION("""COMPUTED_VALUE"""),0.0)</f>
        <v>0</v>
      </c>
      <c r="CD46" s="16">
        <f>IFERROR(__xludf.DUMMYFUNCTION("""COMPUTED_VALUE"""),0.0)</f>
        <v>0</v>
      </c>
      <c r="CE46" s="16">
        <f>IFERROR(__xludf.DUMMYFUNCTION("""COMPUTED_VALUE"""),0.0)</f>
        <v>0</v>
      </c>
      <c r="CF46" s="16">
        <f>IFERROR(__xludf.DUMMYFUNCTION("""COMPUTED_VALUE"""),1.0)</f>
        <v>1</v>
      </c>
      <c r="CG46" s="16">
        <f>IFERROR(__xludf.DUMMYFUNCTION("""COMPUTED_VALUE"""),14.0)</f>
        <v>14</v>
      </c>
      <c r="CH46" s="16">
        <f>IFERROR(__xludf.DUMMYFUNCTION("""COMPUTED_VALUE"""),13.0)</f>
        <v>13</v>
      </c>
      <c r="CI46" s="179">
        <f>IFERROR(__xludf.DUMMYFUNCTION("""COMPUTED_VALUE"""),22.0)</f>
        <v>22</v>
      </c>
      <c r="CJ46" s="16"/>
      <c r="CK46" s="16"/>
      <c r="CL46" s="16"/>
      <c r="CM46" s="16"/>
      <c r="CN46" s="16"/>
      <c r="CO46" s="16">
        <f>IFERROR(__xludf.DUMMYFUNCTION("""COMPUTED_VALUE"""),201.0)</f>
        <v>201</v>
      </c>
      <c r="CP46" s="16"/>
      <c r="CQ46" s="16"/>
      <c r="CR46" s="16" t="str">
        <f>IFERROR(__xludf.DUMMYFUNCTION("""COMPUTED_VALUE"""),"lf-2(-2)e1")</f>
        <v>lf-2(-2)e1</v>
      </c>
      <c r="CS46" s="16"/>
      <c r="CT46" s="16"/>
      <c r="CU46" s="16"/>
      <c r="CV46" s="16"/>
      <c r="CW46" s="16"/>
      <c r="CX46" s="16">
        <f>IFERROR(__xludf.DUMMYFUNCTION("""COMPUTED_VALUE"""),2.0)</f>
        <v>2</v>
      </c>
      <c r="CY46" s="16"/>
      <c r="CZ46" s="16"/>
      <c r="DA46" s="16"/>
      <c r="DB46" s="16"/>
      <c r="DC46" s="16"/>
      <c r="DD46" s="16"/>
      <c r="DE46" s="16"/>
      <c r="DF46" s="16">
        <f>IFERROR(__xludf.DUMMYFUNCTION("""COMPUTED_VALUE"""),1.0)</f>
        <v>1</v>
      </c>
      <c r="DG46" s="16"/>
      <c r="DH46" s="16"/>
      <c r="DI46" s="16"/>
      <c r="DJ46" s="16"/>
      <c r="DK46" s="16"/>
      <c r="DL46" s="16"/>
      <c r="DM46" s="16"/>
      <c r="DN46" s="16">
        <f>IFERROR(__xludf.DUMMYFUNCTION("""COMPUTED_VALUE"""),3.0)</f>
        <v>3</v>
      </c>
      <c r="DO46" s="16"/>
      <c r="DP46" s="16"/>
      <c r="DQ46" s="16"/>
      <c r="DR46" s="16"/>
      <c r="DS46" s="16"/>
      <c r="DT46" s="16"/>
      <c r="DU46" s="16"/>
      <c r="DV46" s="16">
        <f>IFERROR(__xludf.DUMMYFUNCTION("""COMPUTED_VALUE"""),4.0)</f>
        <v>4</v>
      </c>
      <c r="DW46" s="16"/>
      <c r="DX46" s="16"/>
      <c r="DY46" s="16"/>
      <c r="DZ46" s="16"/>
      <c r="EA46" s="16"/>
      <c r="EB46" s="16"/>
      <c r="EC46" s="16"/>
      <c r="ED46" s="16">
        <f>IFERROR(__xludf.DUMMYFUNCTION("""COMPUTED_VALUE"""),7.0)</f>
        <v>7</v>
      </c>
      <c r="EE46" s="16"/>
      <c r="EF46" s="16"/>
      <c r="EG46" s="179"/>
      <c r="EH46" s="179"/>
      <c r="EI46" s="179"/>
      <c r="EJ46" s="179"/>
      <c r="EK46" s="179"/>
      <c r="EL46" s="179">
        <f>IFERROR(__xludf.DUMMYFUNCTION("""COMPUTED_VALUE"""),29.0)</f>
        <v>29</v>
      </c>
      <c r="EM46" s="179"/>
      <c r="EN46" s="179"/>
      <c r="EO46" s="16"/>
      <c r="EP46" s="16">
        <f>IFERROR(__xludf.DUMMYFUNCTION("""COMPUTED_VALUE"""),1.0)</f>
        <v>1</v>
      </c>
      <c r="EQ46" s="16">
        <f>IFERROR(__xludf.DUMMYFUNCTION("""COMPUTED_VALUE"""),4.0)</f>
        <v>4</v>
      </c>
      <c r="ER46" s="16">
        <f>IFERROR(__xludf.DUMMYFUNCTION("""COMPUTED_VALUE"""),3.0)</f>
        <v>3</v>
      </c>
      <c r="ES46" s="16"/>
      <c r="ET46" s="16"/>
      <c r="EU46" s="16"/>
      <c r="EV46" s="16"/>
      <c r="EW46" s="16"/>
      <c r="EX46" s="180"/>
      <c r="EY46" s="180"/>
      <c r="EZ46" s="180"/>
      <c r="FA46" s="180"/>
      <c r="FB46" s="180"/>
      <c r="FC46" s="180">
        <f>IFERROR(__xludf.DUMMYFUNCTION("""COMPUTED_VALUE"""),0.15)</f>
        <v>0.15</v>
      </c>
      <c r="FD46" s="180"/>
      <c r="FE46" s="180"/>
      <c r="FF46" s="180"/>
      <c r="FG46" s="180"/>
      <c r="FH46" s="180"/>
      <c r="FI46" s="180"/>
      <c r="FJ46" s="180"/>
      <c r="FK46" s="180">
        <f>IFERROR(__xludf.DUMMYFUNCTION("""COMPUTED_VALUE"""),0.019)</f>
        <v>0.019</v>
      </c>
      <c r="FL46" s="180"/>
      <c r="FM46" s="180"/>
      <c r="FN46" s="16"/>
      <c r="FO46" s="16"/>
      <c r="FP46" s="16"/>
      <c r="FQ46" s="16"/>
      <c r="FR46" s="16"/>
      <c r="FS46" s="16">
        <f>IFERROR(__xludf.DUMMYFUNCTION("""COMPUTED_VALUE"""),0.83385)</f>
        <v>0.83385</v>
      </c>
      <c r="FT46" s="16"/>
      <c r="FU46" s="16"/>
      <c r="FV46" s="16"/>
      <c r="FW46" s="16"/>
      <c r="FX46" s="16"/>
      <c r="FY46" s="16"/>
      <c r="FZ46" s="16"/>
      <c r="GA46" s="16">
        <f>IFERROR(__xludf.DUMMYFUNCTION("""COMPUTED_VALUE"""),0.0)</f>
        <v>0</v>
      </c>
      <c r="GB46" s="16"/>
      <c r="GC46" s="16"/>
      <c r="GD46" s="16" t="s">
        <v>387</v>
      </c>
    </row>
    <row r="47">
      <c r="A47" s="16">
        <f>IFERROR(__xludf.DUMMYFUNCTION("""COMPUTED_VALUE"""),13073.0)</f>
        <v>13073</v>
      </c>
      <c r="B47" s="16" t="str">
        <f>IFERROR(__xludf.DUMMYFUNCTION("""COMPUTED_VALUE"""),"Kerry Carpenter")</f>
        <v>Kerry Carpenter</v>
      </c>
      <c r="C47" s="16">
        <f>IFERROR(__xludf.DUMMYFUNCTION("""COMPUTED_VALUE"""),2.16)</f>
        <v>2.16</v>
      </c>
      <c r="D47" s="16" t="str">
        <f>IFERROR(__xludf.DUMMYFUNCTION("""COMPUTED_VALUE"""),"L")</f>
        <v>L</v>
      </c>
      <c r="E47" s="16"/>
      <c r="F47" s="16"/>
      <c r="G47" s="16">
        <f>IFERROR(__xludf.DUMMYFUNCTION("""COMPUTED_VALUE"""),264.0)</f>
        <v>264</v>
      </c>
      <c r="H47" s="16">
        <f>IFERROR(__xludf.DUMMYFUNCTION("""COMPUTED_VALUE"""),22.0)</f>
        <v>22</v>
      </c>
      <c r="I47" s="16" t="str">
        <f>IFERROR(__xludf.DUMMYFUNCTION("""COMPUTED_VALUE"""),"5p40")</f>
        <v>5p40</v>
      </c>
      <c r="J47" s="16">
        <f>IFERROR(__xludf.DUMMYFUNCTION("""COMPUTED_VALUE"""),42.0)</f>
        <v>42</v>
      </c>
      <c r="K47" s="16">
        <f>IFERROR(__xludf.DUMMYFUNCTION("""COMPUTED_VALUE"""),29.0)</f>
        <v>29</v>
      </c>
      <c r="L47" s="16">
        <f>IFERROR(__xludf.DUMMYFUNCTION("""COMPUTED_VALUE"""),-1.0)</f>
        <v>-1</v>
      </c>
      <c r="M47" s="16">
        <f>IFERROR(__xludf.DUMMYFUNCTION("""COMPUTED_VALUE"""),0.0)</f>
        <v>0</v>
      </c>
      <c r="N47" s="16">
        <f>IFERROR(__xludf.DUMMYFUNCTION("""COMPUTED_VALUE"""),-1.0)</f>
        <v>-1</v>
      </c>
      <c r="O47" s="16">
        <f>IFERROR(__xludf.DUMMYFUNCTION("""COMPUTED_VALUE"""),0.0)</f>
        <v>0</v>
      </c>
      <c r="P47" s="16">
        <f>IFERROR(__xludf.DUMMYFUNCTION("""COMPUTED_VALUE"""),12.0)</f>
        <v>12</v>
      </c>
      <c r="Q47" s="16">
        <f>IFERROR(__xludf.DUMMYFUNCTION("""COMPUTED_VALUE"""),5.0)</f>
        <v>5</v>
      </c>
      <c r="R47" s="16">
        <f>IFERROR(__xludf.DUMMYFUNCTION("""COMPUTED_VALUE"""),1.0)</f>
        <v>1</v>
      </c>
      <c r="S47" s="16">
        <f>IFERROR(__xludf.DUMMYFUNCTION("""COMPUTED_VALUE"""),-1.0)</f>
        <v>-1</v>
      </c>
      <c r="T47" s="16">
        <f>IFERROR(__xludf.DUMMYFUNCTION("""COMPUTED_VALUE"""),1.0)</f>
        <v>1</v>
      </c>
      <c r="U47" s="16">
        <f>IFERROR(__xludf.DUMMYFUNCTION("""COMPUTED_VALUE"""),-1.0)</f>
        <v>-1</v>
      </c>
      <c r="V47" s="16">
        <f>IFERROR(__xludf.DUMMYFUNCTION("""COMPUTED_VALUE"""),4.2)</f>
        <v>4.2</v>
      </c>
      <c r="W47" s="16">
        <f>IFERROR(__xludf.DUMMYFUNCTION("""COMPUTED_VALUE"""),28.8)</f>
        <v>28.8</v>
      </c>
      <c r="X47" s="16">
        <f>IFERROR(__xludf.DUMMYFUNCTION("""COMPUTED_VALUE"""),-2.0)</f>
        <v>-2</v>
      </c>
      <c r="Y47" s="16">
        <f>IFERROR(__xludf.DUMMYFUNCTION("""COMPUTED_VALUE"""),2.0)</f>
        <v>2</v>
      </c>
      <c r="Z47" s="16">
        <f>IFERROR(__xludf.DUMMYFUNCTION("""COMPUTED_VALUE"""),-4.0)</f>
        <v>-4</v>
      </c>
      <c r="AA47" s="16">
        <f>IFERROR(__xludf.DUMMYFUNCTION("""COMPUTED_VALUE"""),4.0)</f>
        <v>4</v>
      </c>
      <c r="AB47" s="16">
        <f>IFERROR(__xludf.DUMMYFUNCTION("""COMPUTED_VALUE"""),19.1)</f>
        <v>19.1</v>
      </c>
      <c r="AC47" s="16">
        <f>IFERROR(__xludf.DUMMYFUNCTION("""COMPUTED_VALUE"""),36.8)</f>
        <v>36.8</v>
      </c>
      <c r="AD47" s="16">
        <f>IFERROR(__xludf.DUMMYFUNCTION("""COMPUTED_VALUE"""),-1.0)</f>
        <v>-1</v>
      </c>
      <c r="AE47" s="16">
        <f>IFERROR(__xludf.DUMMYFUNCTION("""COMPUTED_VALUE"""),1.0)</f>
        <v>1</v>
      </c>
      <c r="AF47" s="16">
        <f>IFERROR(__xludf.DUMMYFUNCTION("""COMPUTED_VALUE"""),-5.0)</f>
        <v>-5</v>
      </c>
      <c r="AG47" s="16">
        <f>IFERROR(__xludf.DUMMYFUNCTION("""COMPUTED_VALUE"""),5.0)</f>
        <v>5</v>
      </c>
      <c r="AH47" s="16">
        <f>IFERROR(__xludf.DUMMYFUNCTION("""COMPUTED_VALUE"""),11.4)</f>
        <v>11.4</v>
      </c>
      <c r="AI47" s="16">
        <f>IFERROR(__xludf.DUMMYFUNCTION("""COMPUTED_VALUE"""),64.8)</f>
        <v>64.8</v>
      </c>
      <c r="AJ47" s="16">
        <f>IFERROR(__xludf.DUMMYFUNCTION("""COMPUTED_VALUE"""),-2.0)</f>
        <v>-2</v>
      </c>
      <c r="AK47" s="16">
        <f>IFERROR(__xludf.DUMMYFUNCTION("""COMPUTED_VALUE"""),3.0)</f>
        <v>3</v>
      </c>
      <c r="AL47" s="16">
        <f>IFERROR(__xludf.DUMMYFUNCTION("""COMPUTED_VALUE"""),-10.0)</f>
        <v>-10</v>
      </c>
      <c r="AM47" s="16">
        <f>IFERROR(__xludf.DUMMYFUNCTION("""COMPUTED_VALUE"""),15.0)</f>
        <v>15</v>
      </c>
      <c r="AN47" s="16">
        <f>IFERROR(__xludf.DUMMYFUNCTION("""COMPUTED_VALUE"""),2.4)</f>
        <v>2.4</v>
      </c>
      <c r="AO47" s="16">
        <f>IFERROR(__xludf.DUMMYFUNCTION("""COMPUTED_VALUE"""),7.0)</f>
        <v>7</v>
      </c>
      <c r="AP47" s="16">
        <f>IFERROR(__xludf.DUMMYFUNCTION("""COMPUTED_VALUE"""),0.0)</f>
        <v>0</v>
      </c>
      <c r="AQ47" s="16">
        <f>IFERROR(__xludf.DUMMYFUNCTION("""COMPUTED_VALUE"""),3.0)</f>
        <v>3</v>
      </c>
      <c r="AR47" s="16">
        <f>IFERROR(__xludf.DUMMYFUNCTION("""COMPUTED_VALUE"""),0.0)</f>
        <v>0</v>
      </c>
      <c r="AS47" s="16">
        <f>IFERROR(__xludf.DUMMYFUNCTION("""COMPUTED_VALUE"""),6.0)</f>
        <v>6</v>
      </c>
      <c r="AT47" s="16">
        <f>IFERROR(__xludf.DUMMYFUNCTION("""COMPUTED_VALUE"""),4.0)</f>
        <v>4</v>
      </c>
      <c r="AU47" s="16">
        <f>IFERROR(__xludf.DUMMYFUNCTION("""COMPUTED_VALUE"""),8.0)</f>
        <v>8</v>
      </c>
      <c r="AV47" s="16">
        <f>IFERROR(__xludf.DUMMYFUNCTION("""COMPUTED_VALUE"""),4.0)</f>
        <v>4</v>
      </c>
      <c r="AW47" s="16">
        <f>IFERROR(__xludf.DUMMYFUNCTION("""COMPUTED_VALUE"""),8.0)</f>
        <v>8</v>
      </c>
      <c r="AX47" s="16">
        <f>IFERROR(__xludf.DUMMYFUNCTION("""COMPUTED_VALUE"""),2.0)</f>
        <v>2</v>
      </c>
      <c r="AY47" s="16">
        <f>IFERROR(__xludf.DUMMYFUNCTION("""COMPUTED_VALUE"""),3.0)</f>
        <v>3</v>
      </c>
      <c r="AZ47" s="16">
        <f>IFERROR(__xludf.DUMMYFUNCTION("""COMPUTED_VALUE"""),6.0)</f>
        <v>6</v>
      </c>
      <c r="BA47" s="16">
        <f>IFERROR(__xludf.DUMMYFUNCTION("""COMPUTED_VALUE"""),9.0)</f>
        <v>9</v>
      </c>
      <c r="BB47" s="16">
        <f>IFERROR(__xludf.DUMMYFUNCTION("""COMPUTED_VALUE"""),5.0)</f>
        <v>5</v>
      </c>
      <c r="BC47" s="16">
        <f>IFERROR(__xludf.DUMMYFUNCTION("""COMPUTED_VALUE"""),5.0)</f>
        <v>5</v>
      </c>
      <c r="BD47" s="16">
        <f>IFERROR(__xludf.DUMMYFUNCTION("""COMPUTED_VALUE"""),1.0)</f>
        <v>1</v>
      </c>
      <c r="BE47" s="16">
        <f>IFERROR(__xludf.DUMMYFUNCTION("""COMPUTED_VALUE"""),1.0)</f>
        <v>1</v>
      </c>
      <c r="BF47" s="16">
        <f>IFERROR(__xludf.DUMMYFUNCTION("""COMPUTED_VALUE"""),1.0)</f>
        <v>1</v>
      </c>
      <c r="BG47" s="16">
        <f>IFERROR(__xludf.DUMMYFUNCTION("""COMPUTED_VALUE"""),1.0)</f>
        <v>1</v>
      </c>
      <c r="BH47" s="16">
        <f>IFERROR(__xludf.DUMMYFUNCTION("""COMPUTED_VALUE"""),0.0)</f>
        <v>0</v>
      </c>
      <c r="BI47" s="16">
        <f>IFERROR(__xludf.DUMMYFUNCTION("""COMPUTED_VALUE"""),-7.0)</f>
        <v>-7</v>
      </c>
      <c r="BJ47" s="16">
        <f>IFERROR(__xludf.DUMMYFUNCTION("""COMPUTED_VALUE"""),13.0)</f>
        <v>13</v>
      </c>
      <c r="BK47" s="16">
        <f>IFERROR(__xludf.DUMMYFUNCTION("""COMPUTED_VALUE"""),16.0)</f>
        <v>16</v>
      </c>
      <c r="BL47" s="16">
        <f>IFERROR(__xludf.DUMMYFUNCTION("""COMPUTED_VALUE"""),0.0)</f>
        <v>0</v>
      </c>
      <c r="BM47" s="16">
        <f>IFERROR(__xludf.DUMMYFUNCTION("""COMPUTED_VALUE"""),-1.0)</f>
        <v>-1</v>
      </c>
      <c r="BN47" s="16">
        <f>IFERROR(__xludf.DUMMYFUNCTION("""COMPUTED_VALUE"""),0.0)</f>
        <v>0</v>
      </c>
      <c r="BO47" s="16">
        <f>IFERROR(__xludf.DUMMYFUNCTION("""COMPUTED_VALUE"""),-2.0)</f>
        <v>-2</v>
      </c>
      <c r="BP47" s="16">
        <f>IFERROR(__xludf.DUMMYFUNCTION("""COMPUTED_VALUE"""),-2.0)</f>
        <v>-2</v>
      </c>
      <c r="BQ47" s="16">
        <f>IFERROR(__xludf.DUMMYFUNCTION("""COMPUTED_VALUE"""),11.0)</f>
        <v>11</v>
      </c>
      <c r="BR47" s="16">
        <f>IFERROR(__xludf.DUMMYFUNCTION("""COMPUTED_VALUE"""),9.0)</f>
        <v>9</v>
      </c>
      <c r="BS47" s="16" t="str">
        <f>IFERROR(__xludf.DUMMYFUNCTION("""COMPUTED_VALUE"""),"3-7/- (3-1)")</f>
        <v>3-7/- (3-1)</v>
      </c>
      <c r="BT47" s="16" t="str">
        <f>IFERROR(__xludf.DUMMYFUNCTION("""COMPUTED_VALUE"""),"E")</f>
        <v>E</v>
      </c>
      <c r="BU47" s="16">
        <f>IFERROR(__xludf.DUMMYFUNCTION("""COMPUTED_VALUE"""),12.0)</f>
        <v>12</v>
      </c>
      <c r="BV47" s="16">
        <f>IFERROR(__xludf.DUMMYFUNCTION("""COMPUTED_VALUE"""),0.0)</f>
        <v>0</v>
      </c>
      <c r="BW47" s="16">
        <f>IFERROR(__xludf.DUMMYFUNCTION("""COMPUTED_VALUE"""),0.0)</f>
        <v>0</v>
      </c>
      <c r="BX47" s="16">
        <f>IFERROR(__xludf.DUMMYFUNCTION("""COMPUTED_VALUE"""),0.0)</f>
        <v>0</v>
      </c>
      <c r="BY47" s="16">
        <f>IFERROR(__xludf.DUMMYFUNCTION("""COMPUTED_VALUE"""),0.0)</f>
        <v>0</v>
      </c>
      <c r="BZ47" s="16" t="str">
        <f>IFERROR(__xludf.DUMMYFUNCTION("""COMPUTED_VALUE"""),"D")</f>
        <v>D</v>
      </c>
      <c r="CA47" s="16" t="str">
        <f>IFERROR(__xludf.DUMMYFUNCTION("""COMPUTED_VALUE"""),"D")</f>
        <v>D</v>
      </c>
      <c r="CB47" s="16">
        <f>IFERROR(__xludf.DUMMYFUNCTION("""COMPUTED_VALUE"""),0.0)</f>
        <v>0</v>
      </c>
      <c r="CC47" s="16">
        <f>IFERROR(__xludf.DUMMYFUNCTION("""COMPUTED_VALUE"""),0.0)</f>
        <v>0</v>
      </c>
      <c r="CD47" s="16">
        <f>IFERROR(__xludf.DUMMYFUNCTION("""COMPUTED_VALUE"""),0.0)</f>
        <v>0</v>
      </c>
      <c r="CE47" s="16">
        <f>IFERROR(__xludf.DUMMYFUNCTION("""COMPUTED_VALUE"""),0.0)</f>
        <v>0</v>
      </c>
      <c r="CF47" s="16">
        <f>IFERROR(__xludf.DUMMYFUNCTION("""COMPUTED_VALUE"""),5.0)</f>
        <v>5</v>
      </c>
      <c r="CG47" s="16">
        <f>IFERROR(__xludf.DUMMYFUNCTION("""COMPUTED_VALUE"""),-12.0)</f>
        <v>-12</v>
      </c>
      <c r="CH47" s="16">
        <f>IFERROR(__xludf.DUMMYFUNCTION("""COMPUTED_VALUE"""),37.0)</f>
        <v>37</v>
      </c>
      <c r="CI47" s="179">
        <f>IFERROR(__xludf.DUMMYFUNCTION("""COMPUTED_VALUE"""),22.0)</f>
        <v>22</v>
      </c>
      <c r="CJ47" s="16"/>
      <c r="CK47" s="16"/>
      <c r="CL47" s="16"/>
      <c r="CM47" s="16"/>
      <c r="CN47" s="16"/>
      <c r="CO47" s="16">
        <f>IFERROR(__xludf.DUMMYFUNCTION("""COMPUTED_VALUE"""),404.0)</f>
        <v>404</v>
      </c>
      <c r="CP47" s="16"/>
      <c r="CQ47" s="16">
        <f>IFERROR(__xludf.DUMMYFUNCTION("""COMPUTED_VALUE"""),404.0)</f>
        <v>404</v>
      </c>
      <c r="CR47" s="16" t="str">
        <f>IFERROR(__xludf.DUMMYFUNCTION("""COMPUTED_VALUE"""),"rf-4(0)e4 lf-4e4")</f>
        <v>rf-4(0)e4 lf-4e4</v>
      </c>
      <c r="CS47" s="16"/>
      <c r="CT47" s="16"/>
      <c r="CU47" s="16"/>
      <c r="CV47" s="16"/>
      <c r="CW47" s="16"/>
      <c r="CX47" s="16">
        <f>IFERROR(__xludf.DUMMYFUNCTION("""COMPUTED_VALUE"""),4.0)</f>
        <v>4</v>
      </c>
      <c r="CY47" s="16"/>
      <c r="CZ47" s="16">
        <f>IFERROR(__xludf.DUMMYFUNCTION("""COMPUTED_VALUE"""),4.0)</f>
        <v>4</v>
      </c>
      <c r="DA47" s="16"/>
      <c r="DB47" s="16"/>
      <c r="DC47" s="16"/>
      <c r="DD47" s="16"/>
      <c r="DE47" s="16"/>
      <c r="DF47" s="16">
        <f>IFERROR(__xludf.DUMMYFUNCTION("""COMPUTED_VALUE"""),4.0)</f>
        <v>4</v>
      </c>
      <c r="DG47" s="16"/>
      <c r="DH47" s="16">
        <f>IFERROR(__xludf.DUMMYFUNCTION("""COMPUTED_VALUE"""),4.0)</f>
        <v>4</v>
      </c>
      <c r="DI47" s="16"/>
      <c r="DJ47" s="16"/>
      <c r="DK47" s="16"/>
      <c r="DL47" s="16"/>
      <c r="DM47" s="16"/>
      <c r="DN47" s="16">
        <f>IFERROR(__xludf.DUMMYFUNCTION("""COMPUTED_VALUE"""),-1.0)</f>
        <v>-1</v>
      </c>
      <c r="DO47" s="16"/>
      <c r="DP47" s="16">
        <f>IFERROR(__xludf.DUMMYFUNCTION("""COMPUTED_VALUE"""),-1.0)</f>
        <v>-1</v>
      </c>
      <c r="DQ47" s="16"/>
      <c r="DR47" s="16"/>
      <c r="DS47" s="16"/>
      <c r="DT47" s="16"/>
      <c r="DU47" s="16"/>
      <c r="DV47" s="16">
        <f>IFERROR(__xludf.DUMMYFUNCTION("""COMPUTED_VALUE"""),2.0)</f>
        <v>2</v>
      </c>
      <c r="DW47" s="16"/>
      <c r="DX47" s="16">
        <f>IFERROR(__xludf.DUMMYFUNCTION("""COMPUTED_VALUE"""),2.0)</f>
        <v>2</v>
      </c>
      <c r="DY47" s="16"/>
      <c r="DZ47" s="16"/>
      <c r="EA47" s="16"/>
      <c r="EB47" s="16"/>
      <c r="EC47" s="16"/>
      <c r="ED47" s="16">
        <f>IFERROR(__xludf.DUMMYFUNCTION("""COMPUTED_VALUE"""),1.0)</f>
        <v>1</v>
      </c>
      <c r="EE47" s="16"/>
      <c r="EF47" s="16">
        <f>IFERROR(__xludf.DUMMYFUNCTION("""COMPUTED_VALUE"""),1.0)</f>
        <v>1</v>
      </c>
      <c r="EG47" s="179"/>
      <c r="EH47" s="179"/>
      <c r="EI47" s="179"/>
      <c r="EJ47" s="179"/>
      <c r="EK47" s="179"/>
      <c r="EL47" s="179">
        <f>IFERROR(__xludf.DUMMYFUNCTION("""COMPUTED_VALUE"""),23.0)</f>
        <v>23</v>
      </c>
      <c r="EM47" s="179"/>
      <c r="EN47" s="179">
        <f>IFERROR(__xludf.DUMMYFUNCTION("""COMPUTED_VALUE"""),23.0)</f>
        <v>23</v>
      </c>
      <c r="EO47" s="16"/>
      <c r="EP47" s="16">
        <f>IFERROR(__xludf.DUMMYFUNCTION("""COMPUTED_VALUE"""),1.0)</f>
        <v>1</v>
      </c>
      <c r="EQ47" s="16">
        <f>IFERROR(__xludf.DUMMYFUNCTION("""COMPUTED_VALUE"""),-2.0)</f>
        <v>-2</v>
      </c>
      <c r="ER47" s="16">
        <f>IFERROR(__xludf.DUMMYFUNCTION("""COMPUTED_VALUE"""),-1.0)</f>
        <v>-1</v>
      </c>
      <c r="ES47" s="16"/>
      <c r="ET47" s="16"/>
      <c r="EU47" s="16"/>
      <c r="EV47" s="16"/>
      <c r="EW47" s="16"/>
      <c r="EX47" s="180"/>
      <c r="EY47" s="180"/>
      <c r="EZ47" s="180"/>
      <c r="FA47" s="180"/>
      <c r="FB47" s="180"/>
      <c r="FC47" s="180">
        <f>IFERROR(__xludf.DUMMYFUNCTION("""COMPUTED_VALUE"""),0.55)</f>
        <v>0.55</v>
      </c>
      <c r="FD47" s="180"/>
      <c r="FE47" s="180">
        <f>IFERROR(__xludf.DUMMYFUNCTION("""COMPUTED_VALUE"""),0.55)</f>
        <v>0.55</v>
      </c>
      <c r="FF47" s="180"/>
      <c r="FG47" s="180"/>
      <c r="FH47" s="180"/>
      <c r="FI47" s="180"/>
      <c r="FJ47" s="180"/>
      <c r="FK47" s="180">
        <f>IFERROR(__xludf.DUMMYFUNCTION("""COMPUTED_VALUE"""),0.069)</f>
        <v>0.069</v>
      </c>
      <c r="FL47" s="180"/>
      <c r="FM47" s="180">
        <f>IFERROR(__xludf.DUMMYFUNCTION("""COMPUTED_VALUE"""),0.069)</f>
        <v>0.069</v>
      </c>
      <c r="FN47" s="16"/>
      <c r="FO47" s="16"/>
      <c r="FP47" s="16"/>
      <c r="FQ47" s="16"/>
      <c r="FR47" s="16"/>
      <c r="FS47" s="16">
        <f>IFERROR(__xludf.DUMMYFUNCTION("""COMPUTED_VALUE"""),0.41895)</f>
        <v>0.41895</v>
      </c>
      <c r="FT47" s="16"/>
      <c r="FU47" s="16">
        <f>IFERROR(__xludf.DUMMYFUNCTION("""COMPUTED_VALUE"""),0.41895)</f>
        <v>0.41895</v>
      </c>
      <c r="FV47" s="16"/>
      <c r="FW47" s="16"/>
      <c r="FX47" s="16"/>
      <c r="FY47" s="16"/>
      <c r="FZ47" s="16"/>
      <c r="GA47" s="16">
        <f>IFERROR(__xludf.DUMMYFUNCTION("""COMPUTED_VALUE"""),-9.0)</f>
        <v>-9</v>
      </c>
      <c r="GB47" s="16"/>
      <c r="GC47" s="16">
        <f>IFERROR(__xludf.DUMMYFUNCTION("""COMPUTED_VALUE"""),-9.0)</f>
        <v>-9</v>
      </c>
      <c r="GD47" s="16" t="s">
        <v>292</v>
      </c>
    </row>
    <row r="48">
      <c r="A48" s="16">
        <f>IFERROR(__xludf.DUMMYFUNCTION("""COMPUTED_VALUE"""),13183.0)</f>
        <v>13183</v>
      </c>
      <c r="B48" s="16" t="str">
        <f>IFERROR(__xludf.DUMMYFUNCTION("""COMPUTED_VALUE"""),"Max Muncy")</f>
        <v>Max Muncy</v>
      </c>
      <c r="C48" s="16">
        <f>IFERROR(__xludf.DUMMYFUNCTION("""COMPUTED_VALUE"""),2.97)</f>
        <v>2.97</v>
      </c>
      <c r="D48" s="16" t="str">
        <f>IFERROR(__xludf.DUMMYFUNCTION("""COMPUTED_VALUE"""),"L")</f>
        <v>L</v>
      </c>
      <c r="E48" s="16"/>
      <c r="F48" s="16"/>
      <c r="G48" s="16">
        <f>IFERROR(__xludf.DUMMYFUNCTION("""COMPUTED_VALUE"""),237.0)</f>
        <v>237</v>
      </c>
      <c r="H48" s="16">
        <f>IFERROR(__xludf.DUMMYFUNCTION("""COMPUTED_VALUE"""),45.0)</f>
        <v>45</v>
      </c>
      <c r="I48" s="16" t="str">
        <f>IFERROR(__xludf.DUMMYFUNCTION("""COMPUTED_VALUE"""),"5p40")</f>
        <v>5p40</v>
      </c>
      <c r="J48" s="16">
        <f>IFERROR(__xludf.DUMMYFUNCTION("""COMPUTED_VALUE"""),39.0)</f>
        <v>39</v>
      </c>
      <c r="K48" s="16">
        <f>IFERROR(__xludf.DUMMYFUNCTION("""COMPUTED_VALUE"""),32.0)</f>
        <v>32</v>
      </c>
      <c r="L48" s="16">
        <f>IFERROR(__xludf.DUMMYFUNCTION("""COMPUTED_VALUE"""),-1.0)</f>
        <v>-1</v>
      </c>
      <c r="M48" s="16">
        <f>IFERROR(__xludf.DUMMYFUNCTION("""COMPUTED_VALUE"""),-1.0)</f>
        <v>-1</v>
      </c>
      <c r="N48" s="16">
        <f>IFERROR(__xludf.DUMMYFUNCTION("""COMPUTED_VALUE"""),-1.0)</f>
        <v>-1</v>
      </c>
      <c r="O48" s="16">
        <f>IFERROR(__xludf.DUMMYFUNCTION("""COMPUTED_VALUE"""),-1.0)</f>
        <v>-1</v>
      </c>
      <c r="P48" s="16">
        <f>IFERROR(__xludf.DUMMYFUNCTION("""COMPUTED_VALUE"""),13.0)</f>
        <v>13</v>
      </c>
      <c r="Q48" s="16">
        <f>IFERROR(__xludf.DUMMYFUNCTION("""COMPUTED_VALUE"""),26.0)</f>
        <v>26</v>
      </c>
      <c r="R48" s="16">
        <f>IFERROR(__xludf.DUMMYFUNCTION("""COMPUTED_VALUE"""),2.0)</f>
        <v>2</v>
      </c>
      <c r="S48" s="16">
        <f>IFERROR(__xludf.DUMMYFUNCTION("""COMPUTED_VALUE"""),3.0)</f>
        <v>3</v>
      </c>
      <c r="T48" s="16">
        <f>IFERROR(__xludf.DUMMYFUNCTION("""COMPUTED_VALUE"""),2.0)</f>
        <v>2</v>
      </c>
      <c r="U48" s="16">
        <f>IFERROR(__xludf.DUMMYFUNCTION("""COMPUTED_VALUE"""),3.0)</f>
        <v>3</v>
      </c>
      <c r="V48" s="16">
        <f>IFERROR(__xludf.DUMMYFUNCTION("""COMPUTED_VALUE"""),7.2)</f>
        <v>7.2</v>
      </c>
      <c r="W48" s="16">
        <f>IFERROR(__xludf.DUMMYFUNCTION("""COMPUTED_VALUE"""),15.0)</f>
        <v>15</v>
      </c>
      <c r="X48" s="16">
        <f>IFERROR(__xludf.DUMMYFUNCTION("""COMPUTED_VALUE"""),-2.0)</f>
        <v>-2</v>
      </c>
      <c r="Y48" s="16">
        <f>IFERROR(__xludf.DUMMYFUNCTION("""COMPUTED_VALUE"""),-1.0)</f>
        <v>-1</v>
      </c>
      <c r="Z48" s="16">
        <f>IFERROR(__xludf.DUMMYFUNCTION("""COMPUTED_VALUE"""),-4.0)</f>
        <v>-4</v>
      </c>
      <c r="AA48" s="16">
        <f>IFERROR(__xludf.DUMMYFUNCTION("""COMPUTED_VALUE"""),-2.0)</f>
        <v>-2</v>
      </c>
      <c r="AB48" s="16">
        <f>IFERROR(__xludf.DUMMYFUNCTION("""COMPUTED_VALUE"""),24.1)</f>
        <v>24.1</v>
      </c>
      <c r="AC48" s="16">
        <f>IFERROR(__xludf.DUMMYFUNCTION("""COMPUTED_VALUE"""),45.0)</f>
        <v>45</v>
      </c>
      <c r="AD48" s="16">
        <f>IFERROR(__xludf.DUMMYFUNCTION("""COMPUTED_VALUE"""),-1.0)</f>
        <v>-1</v>
      </c>
      <c r="AE48" s="16">
        <f>IFERROR(__xludf.DUMMYFUNCTION("""COMPUTED_VALUE"""),2.0)</f>
        <v>2</v>
      </c>
      <c r="AF48" s="16">
        <f>IFERROR(__xludf.DUMMYFUNCTION("""COMPUTED_VALUE"""),-5.0)</f>
        <v>-5</v>
      </c>
      <c r="AG48" s="16">
        <f>IFERROR(__xludf.DUMMYFUNCTION("""COMPUTED_VALUE"""),10.0)</f>
        <v>10</v>
      </c>
      <c r="AH48" s="16">
        <f>IFERROR(__xludf.DUMMYFUNCTION("""COMPUTED_VALUE"""),23.4)</f>
        <v>23.4</v>
      </c>
      <c r="AI48" s="16">
        <f>IFERROR(__xludf.DUMMYFUNCTION("""COMPUTED_VALUE"""),37.2)</f>
        <v>37.2</v>
      </c>
      <c r="AJ48" s="16">
        <f>IFERROR(__xludf.DUMMYFUNCTION("""COMPUTED_VALUE"""),-1.0)</f>
        <v>-1</v>
      </c>
      <c r="AK48" s="16">
        <f>IFERROR(__xludf.DUMMYFUNCTION("""COMPUTED_VALUE"""),1.0)</f>
        <v>1</v>
      </c>
      <c r="AL48" s="16">
        <f>IFERROR(__xludf.DUMMYFUNCTION("""COMPUTED_VALUE"""),-5.0)</f>
        <v>-5</v>
      </c>
      <c r="AM48" s="16">
        <f>IFERROR(__xludf.DUMMYFUNCTION("""COMPUTED_VALUE"""),5.0)</f>
        <v>5</v>
      </c>
      <c r="AN48" s="16">
        <f>IFERROR(__xludf.DUMMYFUNCTION("""COMPUTED_VALUE"""),5.0)</f>
        <v>5</v>
      </c>
      <c r="AO48" s="16">
        <f>IFERROR(__xludf.DUMMYFUNCTION("""COMPUTED_VALUE"""),4.1)</f>
        <v>4.1</v>
      </c>
      <c r="AP48" s="16">
        <f>IFERROR(__xludf.DUMMYFUNCTION("""COMPUTED_VALUE"""),3.0)</f>
        <v>3</v>
      </c>
      <c r="AQ48" s="16">
        <f>IFERROR(__xludf.DUMMYFUNCTION("""COMPUTED_VALUE"""),2.0)</f>
        <v>2</v>
      </c>
      <c r="AR48" s="16">
        <f>IFERROR(__xludf.DUMMYFUNCTION("""COMPUTED_VALUE"""),6.0)</f>
        <v>6</v>
      </c>
      <c r="AS48" s="16">
        <f>IFERROR(__xludf.DUMMYFUNCTION("""COMPUTED_VALUE"""),4.0)</f>
        <v>4</v>
      </c>
      <c r="AT48" s="16"/>
      <c r="AU48" s="16"/>
      <c r="AV48" s="16">
        <f>IFERROR(__xludf.DUMMYFUNCTION("""COMPUTED_VALUE"""),8.0)</f>
        <v>8</v>
      </c>
      <c r="AW48" s="16">
        <f>IFERROR(__xludf.DUMMYFUNCTION("""COMPUTED_VALUE"""),7.0)</f>
        <v>7</v>
      </c>
      <c r="AX48" s="16">
        <f>IFERROR(__xludf.DUMMYFUNCTION("""COMPUTED_VALUE"""),3.0)</f>
        <v>3</v>
      </c>
      <c r="AY48" s="16">
        <f>IFERROR(__xludf.DUMMYFUNCTION("""COMPUTED_VALUE"""),3.0)</f>
        <v>3</v>
      </c>
      <c r="AZ48" s="16">
        <f>IFERROR(__xludf.DUMMYFUNCTION("""COMPUTED_VALUE"""),9.0)</f>
        <v>9</v>
      </c>
      <c r="BA48" s="16">
        <f>IFERROR(__xludf.DUMMYFUNCTION("""COMPUTED_VALUE"""),9.0)</f>
        <v>9</v>
      </c>
      <c r="BB48" s="16">
        <f>IFERROR(__xludf.DUMMYFUNCTION("""COMPUTED_VALUE"""),0.0)</f>
        <v>0</v>
      </c>
      <c r="BC48" s="16">
        <f>IFERROR(__xludf.DUMMYFUNCTION("""COMPUTED_VALUE"""),0.0)</f>
        <v>0</v>
      </c>
      <c r="BD48" s="16">
        <f>IFERROR(__xludf.DUMMYFUNCTION("""COMPUTED_VALUE"""),0.0)</f>
        <v>0</v>
      </c>
      <c r="BE48" s="16">
        <f>IFERROR(__xludf.DUMMYFUNCTION("""COMPUTED_VALUE"""),0.0)</f>
        <v>0</v>
      </c>
      <c r="BF48" s="16">
        <f>IFERROR(__xludf.DUMMYFUNCTION("""COMPUTED_VALUE"""),0.0)</f>
        <v>0</v>
      </c>
      <c r="BG48" s="16">
        <f>IFERROR(__xludf.DUMMYFUNCTION("""COMPUTED_VALUE"""),0.0)</f>
        <v>0</v>
      </c>
      <c r="BH48" s="16">
        <f>IFERROR(__xludf.DUMMYFUNCTION("""COMPUTED_VALUE"""),0.0)</f>
        <v>0</v>
      </c>
      <c r="BI48" s="16">
        <f>IFERROR(__xludf.DUMMYFUNCTION("""COMPUTED_VALUE"""),0.0)</f>
        <v>0</v>
      </c>
      <c r="BJ48" s="16">
        <f>IFERROR(__xludf.DUMMYFUNCTION("""COMPUTED_VALUE"""),0.0)</f>
        <v>0</v>
      </c>
      <c r="BK48" s="16">
        <f>IFERROR(__xludf.DUMMYFUNCTION("""COMPUTED_VALUE"""),0.0)</f>
        <v>0</v>
      </c>
      <c r="BL48" s="16">
        <f>IFERROR(__xludf.DUMMYFUNCTION("""COMPUTED_VALUE"""),3.0)</f>
        <v>3</v>
      </c>
      <c r="BM48" s="16">
        <f>IFERROR(__xludf.DUMMYFUNCTION("""COMPUTED_VALUE"""),3.0)</f>
        <v>3</v>
      </c>
      <c r="BN48" s="16">
        <f>IFERROR(__xludf.DUMMYFUNCTION("""COMPUTED_VALUE"""),3.0)</f>
        <v>3</v>
      </c>
      <c r="BO48" s="16">
        <f>IFERROR(__xludf.DUMMYFUNCTION("""COMPUTED_VALUE"""),3.0)</f>
        <v>3</v>
      </c>
      <c r="BP48" s="16">
        <f>IFERROR(__xludf.DUMMYFUNCTION("""COMPUTED_VALUE"""),6.0)</f>
        <v>6</v>
      </c>
      <c r="BQ48" s="16">
        <f>IFERROR(__xludf.DUMMYFUNCTION("""COMPUTED_VALUE"""),12.0)</f>
        <v>12</v>
      </c>
      <c r="BR48" s="16">
        <f>IFERROR(__xludf.DUMMYFUNCTION("""COMPUTED_VALUE"""),18.0)</f>
        <v>18</v>
      </c>
      <c r="BS48" s="16" t="str">
        <f>IFERROR(__xludf.DUMMYFUNCTION("""COMPUTED_VALUE"""),"2/- (20-6)")</f>
        <v>2/- (20-6)</v>
      </c>
      <c r="BT48" s="16" t="str">
        <f>IFERROR(__xludf.DUMMYFUNCTION("""COMPUTED_VALUE"""),"E")</f>
        <v>E</v>
      </c>
      <c r="BU48" s="16">
        <f>IFERROR(__xludf.DUMMYFUNCTION("""COMPUTED_VALUE"""),12.0)</f>
        <v>12</v>
      </c>
      <c r="BV48" s="16">
        <f>IFERROR(__xludf.DUMMYFUNCTION("""COMPUTED_VALUE"""),0.0)</f>
        <v>0</v>
      </c>
      <c r="BW48" s="16">
        <f>IFERROR(__xludf.DUMMYFUNCTION("""COMPUTED_VALUE"""),0.0)</f>
        <v>0</v>
      </c>
      <c r="BX48" s="16">
        <f>IFERROR(__xludf.DUMMYFUNCTION("""COMPUTED_VALUE"""),0.0)</f>
        <v>0</v>
      </c>
      <c r="BY48" s="16">
        <f>IFERROR(__xludf.DUMMYFUNCTION("""COMPUTED_VALUE"""),0.0)</f>
        <v>0</v>
      </c>
      <c r="BZ48" s="16" t="str">
        <f>IFERROR(__xludf.DUMMYFUNCTION("""COMPUTED_VALUE"""),"D")</f>
        <v>D</v>
      </c>
      <c r="CA48" s="16" t="str">
        <f>IFERROR(__xludf.DUMMYFUNCTION("""COMPUTED_VALUE"""),"D")</f>
        <v>D</v>
      </c>
      <c r="CB48" s="16">
        <f>IFERROR(__xludf.DUMMYFUNCTION("""COMPUTED_VALUE"""),0.0)</f>
        <v>0</v>
      </c>
      <c r="CC48" s="16">
        <f>IFERROR(__xludf.DUMMYFUNCTION("""COMPUTED_VALUE"""),0.0)</f>
        <v>0</v>
      </c>
      <c r="CD48" s="16">
        <f>IFERROR(__xludf.DUMMYFUNCTION("""COMPUTED_VALUE"""),0.0)</f>
        <v>0</v>
      </c>
      <c r="CE48" s="16">
        <f>IFERROR(__xludf.DUMMYFUNCTION("""COMPUTED_VALUE"""),0.0)</f>
        <v>0</v>
      </c>
      <c r="CF48" s="16">
        <f>IFERROR(__xludf.DUMMYFUNCTION("""COMPUTED_VALUE"""),5.0)</f>
        <v>5</v>
      </c>
      <c r="CG48" s="16">
        <f>IFERROR(__xludf.DUMMYFUNCTION("""COMPUTED_VALUE"""),5.0)</f>
        <v>5</v>
      </c>
      <c r="CH48" s="16">
        <f>IFERROR(__xludf.DUMMYFUNCTION("""COMPUTED_VALUE"""),31.0)</f>
        <v>31</v>
      </c>
      <c r="CI48" s="179">
        <f>IFERROR(__xludf.DUMMYFUNCTION("""COMPUTED_VALUE"""),22.0)</f>
        <v>22</v>
      </c>
      <c r="CJ48" s="16"/>
      <c r="CK48" s="16"/>
      <c r="CL48" s="16"/>
      <c r="CM48" s="16">
        <f>IFERROR(__xludf.DUMMYFUNCTION("""COMPUTED_VALUE"""),414.0)</f>
        <v>414</v>
      </c>
      <c r="CN48" s="16"/>
      <c r="CO48" s="16"/>
      <c r="CP48" s="16"/>
      <c r="CQ48" s="16"/>
      <c r="CR48" s="16" t="str">
        <f>IFERROR(__xludf.DUMMYFUNCTION("""COMPUTED_VALUE"""),"3b-4e14")</f>
        <v>3b-4e14</v>
      </c>
      <c r="CS48" s="16"/>
      <c r="CT48" s="16"/>
      <c r="CU48" s="16"/>
      <c r="CV48" s="16">
        <f>IFERROR(__xludf.DUMMYFUNCTION("""COMPUTED_VALUE"""),4.0)</f>
        <v>4</v>
      </c>
      <c r="CW48" s="16"/>
      <c r="CX48" s="16"/>
      <c r="CY48" s="16"/>
      <c r="CZ48" s="16"/>
      <c r="DA48" s="16"/>
      <c r="DB48" s="16"/>
      <c r="DC48" s="16"/>
      <c r="DD48" s="16">
        <f>IFERROR(__xludf.DUMMYFUNCTION("""COMPUTED_VALUE"""),14.0)</f>
        <v>14</v>
      </c>
      <c r="DE48" s="16"/>
      <c r="DF48" s="16"/>
      <c r="DG48" s="16"/>
      <c r="DH48" s="16"/>
      <c r="DI48" s="16"/>
      <c r="DJ48" s="16"/>
      <c r="DK48" s="16"/>
      <c r="DL48" s="16">
        <f>IFERROR(__xludf.DUMMYFUNCTION("""COMPUTED_VALUE"""),0.0)</f>
        <v>0</v>
      </c>
      <c r="DM48" s="16"/>
      <c r="DN48" s="16"/>
      <c r="DO48" s="16"/>
      <c r="DP48" s="16"/>
      <c r="DQ48" s="16"/>
      <c r="DR48" s="16"/>
      <c r="DS48" s="16"/>
      <c r="DT48" s="16">
        <f>IFERROR(__xludf.DUMMYFUNCTION("""COMPUTED_VALUE"""),1.0)</f>
        <v>1</v>
      </c>
      <c r="DU48" s="16"/>
      <c r="DV48" s="16"/>
      <c r="DW48" s="16"/>
      <c r="DX48" s="16"/>
      <c r="DY48" s="16"/>
      <c r="DZ48" s="16"/>
      <c r="EA48" s="16"/>
      <c r="EB48" s="16">
        <f>IFERROR(__xludf.DUMMYFUNCTION("""COMPUTED_VALUE"""),1.0)</f>
        <v>1</v>
      </c>
      <c r="EC48" s="16"/>
      <c r="ED48" s="16"/>
      <c r="EE48" s="16"/>
      <c r="EF48" s="16"/>
      <c r="EG48" s="179"/>
      <c r="EH48" s="179"/>
      <c r="EI48" s="179"/>
      <c r="EJ48" s="179">
        <f>IFERROR(__xludf.DUMMYFUNCTION("""COMPUTED_VALUE"""),23.0)</f>
        <v>23</v>
      </c>
      <c r="EK48" s="179"/>
      <c r="EL48" s="179"/>
      <c r="EM48" s="179"/>
      <c r="EN48" s="179"/>
      <c r="EO48" s="16"/>
      <c r="EP48" s="16">
        <f>IFERROR(__xludf.DUMMYFUNCTION("""COMPUTED_VALUE"""),2.0)</f>
        <v>2</v>
      </c>
      <c r="EQ48" s="16">
        <f>IFERROR(__xludf.DUMMYFUNCTION("""COMPUTED_VALUE"""),-2.0)</f>
        <v>-2</v>
      </c>
      <c r="ER48" s="16">
        <f>IFERROR(__xludf.DUMMYFUNCTION("""COMPUTED_VALUE"""),-1.0)</f>
        <v>-1</v>
      </c>
      <c r="ES48" s="16"/>
      <c r="ET48" s="16"/>
      <c r="EU48" s="16"/>
      <c r="EV48" s="16"/>
      <c r="EW48" s="16"/>
      <c r="EX48" s="180"/>
      <c r="EY48" s="180"/>
      <c r="EZ48" s="180"/>
      <c r="FA48" s="180">
        <f>IFERROR(__xludf.DUMMYFUNCTION("""COMPUTED_VALUE"""),0.3)</f>
        <v>0.3</v>
      </c>
      <c r="FB48" s="180"/>
      <c r="FC48" s="180"/>
      <c r="FD48" s="180"/>
      <c r="FE48" s="180"/>
      <c r="FF48" s="180"/>
      <c r="FG48" s="180"/>
      <c r="FH48" s="180"/>
      <c r="FI48" s="180">
        <f>IFERROR(__xludf.DUMMYFUNCTION("""COMPUTED_VALUE"""),0.16666666666666666)</f>
        <v>0.1666666667</v>
      </c>
      <c r="FJ48" s="180"/>
      <c r="FK48" s="180"/>
      <c r="FL48" s="180"/>
      <c r="FM48" s="180"/>
      <c r="FN48" s="16"/>
      <c r="FO48" s="16"/>
      <c r="FP48" s="16"/>
      <c r="FQ48" s="16">
        <f>IFERROR(__xludf.DUMMYFUNCTION("""COMPUTED_VALUE"""),0.5833333333333334)</f>
        <v>0.5833333333</v>
      </c>
      <c r="FR48" s="16"/>
      <c r="FS48" s="16"/>
      <c r="FT48" s="16"/>
      <c r="FU48" s="16"/>
      <c r="FV48" s="16"/>
      <c r="FW48" s="16"/>
      <c r="FX48" s="16"/>
      <c r="FY48" s="16">
        <f>IFERROR(__xludf.DUMMYFUNCTION("""COMPUTED_VALUE"""),-6.0)</f>
        <v>-6</v>
      </c>
      <c r="FZ48" s="16"/>
      <c r="GA48" s="16"/>
      <c r="GB48" s="16"/>
      <c r="GC48" s="16"/>
      <c r="GD48" s="16" t="s">
        <v>1317</v>
      </c>
    </row>
    <row r="49">
      <c r="A49" s="16">
        <f>IFERROR(__xludf.DUMMYFUNCTION("""COMPUTED_VALUE"""),13177.0)</f>
        <v>13177</v>
      </c>
      <c r="B49" s="16" t="str">
        <f>IFERROR(__xludf.DUMMYFUNCTION("""COMPUTED_VALUE"""),"Matt Wallner")</f>
        <v>Matt Wallner</v>
      </c>
      <c r="C49" s="16">
        <f>IFERROR(__xludf.DUMMYFUNCTION("""COMPUTED_VALUE"""),2.44)</f>
        <v>2.44</v>
      </c>
      <c r="D49" s="16" t="str">
        <f>IFERROR(__xludf.DUMMYFUNCTION("""COMPUTED_VALUE"""),"L")</f>
        <v>L</v>
      </c>
      <c r="E49" s="16"/>
      <c r="F49" s="16"/>
      <c r="G49" s="16">
        <f>IFERROR(__xludf.DUMMYFUNCTION("""COMPUTED_VALUE"""),220.0)</f>
        <v>220</v>
      </c>
      <c r="H49" s="16">
        <f>IFERROR(__xludf.DUMMYFUNCTION("""COMPUTED_VALUE"""),24.0)</f>
        <v>24</v>
      </c>
      <c r="I49" s="16" t="str">
        <f>IFERROR(__xludf.DUMMYFUNCTION("""COMPUTED_VALUE"""),"1p40")</f>
        <v>1p40</v>
      </c>
      <c r="J49" s="16">
        <f>IFERROR(__xludf.DUMMYFUNCTION("""COMPUTED_VALUE"""),62.0)</f>
        <v>62</v>
      </c>
      <c r="K49" s="16">
        <f>IFERROR(__xludf.DUMMYFUNCTION("""COMPUTED_VALUE"""),46.0)</f>
        <v>46</v>
      </c>
      <c r="L49" s="16">
        <f>IFERROR(__xludf.DUMMYFUNCTION("""COMPUTED_VALUE"""),-3.0)</f>
        <v>-3</v>
      </c>
      <c r="M49" s="16">
        <f>IFERROR(__xludf.DUMMYFUNCTION("""COMPUTED_VALUE"""),-2.0)</f>
        <v>-2</v>
      </c>
      <c r="N49" s="16">
        <f>IFERROR(__xludf.DUMMYFUNCTION("""COMPUTED_VALUE"""),-3.0)</f>
        <v>-3</v>
      </c>
      <c r="O49" s="16">
        <f>IFERROR(__xludf.DUMMYFUNCTION("""COMPUTED_VALUE"""),-2.0)</f>
        <v>-2</v>
      </c>
      <c r="P49" s="16">
        <f>IFERROR(__xludf.DUMMYFUNCTION("""COMPUTED_VALUE"""),7.0)</f>
        <v>7</v>
      </c>
      <c r="Q49" s="16">
        <f>IFERROR(__xludf.DUMMYFUNCTION("""COMPUTED_VALUE"""),11.0)</f>
        <v>11</v>
      </c>
      <c r="R49" s="16">
        <f>IFERROR(__xludf.DUMMYFUNCTION("""COMPUTED_VALUE"""),-1.0)</f>
        <v>-1</v>
      </c>
      <c r="S49" s="16">
        <f>IFERROR(__xludf.DUMMYFUNCTION("""COMPUTED_VALUE"""),1.0)</f>
        <v>1</v>
      </c>
      <c r="T49" s="16">
        <f>IFERROR(__xludf.DUMMYFUNCTION("""COMPUTED_VALUE"""),-1.0)</f>
        <v>-1</v>
      </c>
      <c r="U49" s="16">
        <f>IFERROR(__xludf.DUMMYFUNCTION("""COMPUTED_VALUE"""),1.0)</f>
        <v>1</v>
      </c>
      <c r="V49" s="16">
        <f>IFERROR(__xludf.DUMMYFUNCTION("""COMPUTED_VALUE"""),7.8)</f>
        <v>7.8</v>
      </c>
      <c r="W49" s="16">
        <f>IFERROR(__xludf.DUMMYFUNCTION("""COMPUTED_VALUE"""),17.9)</f>
        <v>17.9</v>
      </c>
      <c r="X49" s="16">
        <f>IFERROR(__xludf.DUMMYFUNCTION("""COMPUTED_VALUE"""),-2.0)</f>
        <v>-2</v>
      </c>
      <c r="Y49" s="16">
        <f>IFERROR(__xludf.DUMMYFUNCTION("""COMPUTED_VALUE"""),0.0)</f>
        <v>0</v>
      </c>
      <c r="Z49" s="16">
        <f>IFERROR(__xludf.DUMMYFUNCTION("""COMPUTED_VALUE"""),-4.0)</f>
        <v>-4</v>
      </c>
      <c r="AA49" s="16">
        <f>IFERROR(__xludf.DUMMYFUNCTION("""COMPUTED_VALUE"""),0.0)</f>
        <v>0</v>
      </c>
      <c r="AB49" s="16">
        <f>IFERROR(__xludf.DUMMYFUNCTION("""COMPUTED_VALUE"""),28.9)</f>
        <v>28.9</v>
      </c>
      <c r="AC49" s="16">
        <f>IFERROR(__xludf.DUMMYFUNCTION("""COMPUTED_VALUE"""),43.0)</f>
        <v>43</v>
      </c>
      <c r="AD49" s="16">
        <f>IFERROR(__xludf.DUMMYFUNCTION("""COMPUTED_VALUE"""),0.0)</f>
        <v>0</v>
      </c>
      <c r="AE49" s="16">
        <f>IFERROR(__xludf.DUMMYFUNCTION("""COMPUTED_VALUE"""),2.0)</f>
        <v>2</v>
      </c>
      <c r="AF49" s="16">
        <f>IFERROR(__xludf.DUMMYFUNCTION("""COMPUTED_VALUE"""),0.0)</f>
        <v>0</v>
      </c>
      <c r="AG49" s="16">
        <f>IFERROR(__xludf.DUMMYFUNCTION("""COMPUTED_VALUE"""),10.0)</f>
        <v>10</v>
      </c>
      <c r="AH49" s="16">
        <f>IFERROR(__xludf.DUMMYFUNCTION("""COMPUTED_VALUE"""),11.9)</f>
        <v>11.9</v>
      </c>
      <c r="AI49" s="16">
        <f>IFERROR(__xludf.DUMMYFUNCTION("""COMPUTED_VALUE"""),41.8)</f>
        <v>41.8</v>
      </c>
      <c r="AJ49" s="16">
        <f>IFERROR(__xludf.DUMMYFUNCTION("""COMPUTED_VALUE"""),-2.0)</f>
        <v>-2</v>
      </c>
      <c r="AK49" s="16">
        <f>IFERROR(__xludf.DUMMYFUNCTION("""COMPUTED_VALUE"""),1.0)</f>
        <v>1</v>
      </c>
      <c r="AL49" s="16">
        <f>IFERROR(__xludf.DUMMYFUNCTION("""COMPUTED_VALUE"""),-10.0)</f>
        <v>-10</v>
      </c>
      <c r="AM49" s="16">
        <f>IFERROR(__xludf.DUMMYFUNCTION("""COMPUTED_VALUE"""),5.0)</f>
        <v>5</v>
      </c>
      <c r="AN49" s="16">
        <f>IFERROR(__xludf.DUMMYFUNCTION("""COMPUTED_VALUE"""),1.4)</f>
        <v>1.4</v>
      </c>
      <c r="AO49" s="16">
        <f>IFERROR(__xludf.DUMMYFUNCTION("""COMPUTED_VALUE"""),4.4)</f>
        <v>4.4</v>
      </c>
      <c r="AP49" s="16">
        <f>IFERROR(__xludf.DUMMYFUNCTION("""COMPUTED_VALUE"""),-1.0)</f>
        <v>-1</v>
      </c>
      <c r="AQ49" s="16">
        <f>IFERROR(__xludf.DUMMYFUNCTION("""COMPUTED_VALUE"""),2.0)</f>
        <v>2</v>
      </c>
      <c r="AR49" s="16">
        <f>IFERROR(__xludf.DUMMYFUNCTION("""COMPUTED_VALUE"""),-2.0)</f>
        <v>-2</v>
      </c>
      <c r="AS49" s="16">
        <f>IFERROR(__xludf.DUMMYFUNCTION("""COMPUTED_VALUE"""),4.0)</f>
        <v>4</v>
      </c>
      <c r="AT49" s="16">
        <f>IFERROR(__xludf.DUMMYFUNCTION("""COMPUTED_VALUE"""),2.0)</f>
        <v>2</v>
      </c>
      <c r="AU49" s="16">
        <f>IFERROR(__xludf.DUMMYFUNCTION("""COMPUTED_VALUE"""),7.0)</f>
        <v>7</v>
      </c>
      <c r="AV49" s="16">
        <f>IFERROR(__xludf.DUMMYFUNCTION("""COMPUTED_VALUE"""),2.0)</f>
        <v>2</v>
      </c>
      <c r="AW49" s="16">
        <f>IFERROR(__xludf.DUMMYFUNCTION("""COMPUTED_VALUE"""),7.0)</f>
        <v>7</v>
      </c>
      <c r="AX49" s="16">
        <f>IFERROR(__xludf.DUMMYFUNCTION("""COMPUTED_VALUE"""),0.0)</f>
        <v>0</v>
      </c>
      <c r="AY49" s="16">
        <f>IFERROR(__xludf.DUMMYFUNCTION("""COMPUTED_VALUE"""),3.0)</f>
        <v>3</v>
      </c>
      <c r="AZ49" s="16">
        <f>IFERROR(__xludf.DUMMYFUNCTION("""COMPUTED_VALUE"""),0.0)</f>
        <v>0</v>
      </c>
      <c r="BA49" s="16">
        <f>IFERROR(__xludf.DUMMYFUNCTION("""COMPUTED_VALUE"""),9.0)</f>
        <v>9</v>
      </c>
      <c r="BB49" s="16">
        <f>IFERROR(__xludf.DUMMYFUNCTION("""COMPUTED_VALUE"""),5.0)</f>
        <v>5</v>
      </c>
      <c r="BC49" s="16">
        <f>IFERROR(__xludf.DUMMYFUNCTION("""COMPUTED_VALUE"""),5.0)</f>
        <v>5</v>
      </c>
      <c r="BD49" s="16">
        <f>IFERROR(__xludf.DUMMYFUNCTION("""COMPUTED_VALUE"""),1.0)</f>
        <v>1</v>
      </c>
      <c r="BE49" s="16">
        <f>IFERROR(__xludf.DUMMYFUNCTION("""COMPUTED_VALUE"""),1.0)</f>
        <v>1</v>
      </c>
      <c r="BF49" s="16">
        <f>IFERROR(__xludf.DUMMYFUNCTION("""COMPUTED_VALUE"""),1.0)</f>
        <v>1</v>
      </c>
      <c r="BG49" s="16">
        <f>IFERROR(__xludf.DUMMYFUNCTION("""COMPUTED_VALUE"""),1.0)</f>
        <v>1</v>
      </c>
      <c r="BH49" s="16">
        <f>IFERROR(__xludf.DUMMYFUNCTION("""COMPUTED_VALUE"""),-5.0)</f>
        <v>-5</v>
      </c>
      <c r="BI49" s="16">
        <f>IFERROR(__xludf.DUMMYFUNCTION("""COMPUTED_VALUE"""),-1.0)</f>
        <v>-1</v>
      </c>
      <c r="BJ49" s="16">
        <f>IFERROR(__xludf.DUMMYFUNCTION("""COMPUTED_VALUE"""),0.0)</f>
        <v>0</v>
      </c>
      <c r="BK49" s="16">
        <f>IFERROR(__xludf.DUMMYFUNCTION("""COMPUTED_VALUE"""),1.0)</f>
        <v>1</v>
      </c>
      <c r="BL49" s="16">
        <f>IFERROR(__xludf.DUMMYFUNCTION("""COMPUTED_VALUE"""),3.0)</f>
        <v>3</v>
      </c>
      <c r="BM49" s="16">
        <f>IFERROR(__xludf.DUMMYFUNCTION("""COMPUTED_VALUE"""),2.0)</f>
        <v>2</v>
      </c>
      <c r="BN49" s="16">
        <f>IFERROR(__xludf.DUMMYFUNCTION("""COMPUTED_VALUE"""),3.0)</f>
        <v>3</v>
      </c>
      <c r="BO49" s="16">
        <f>IFERROR(__xludf.DUMMYFUNCTION("""COMPUTED_VALUE"""),2.0)</f>
        <v>2</v>
      </c>
      <c r="BP49" s="16">
        <f>IFERROR(__xludf.DUMMYFUNCTION("""COMPUTED_VALUE"""),-5.0)</f>
        <v>-5</v>
      </c>
      <c r="BQ49" s="16">
        <f>IFERROR(__xludf.DUMMYFUNCTION("""COMPUTED_VALUE"""),10.0)</f>
        <v>10</v>
      </c>
      <c r="BR49" s="16">
        <f>IFERROR(__xludf.DUMMYFUNCTION("""COMPUTED_VALUE"""),5.0)</f>
        <v>5</v>
      </c>
      <c r="BS49" s="16" t="str">
        <f>IFERROR(__xludf.DUMMYFUNCTION("""COMPUTED_VALUE"""),"3/- (20-6)")</f>
        <v>3/- (20-6)</v>
      </c>
      <c r="BT49" s="16" t="str">
        <f>IFERROR(__xludf.DUMMYFUNCTION("""COMPUTED_VALUE"""),"C")</f>
        <v>C</v>
      </c>
      <c r="BU49" s="16">
        <f>IFERROR(__xludf.DUMMYFUNCTION("""COMPUTED_VALUE"""),13.0)</f>
        <v>13</v>
      </c>
      <c r="BV49" s="16">
        <f>IFERROR(__xludf.DUMMYFUNCTION("""COMPUTED_VALUE"""),0.0)</f>
        <v>0</v>
      </c>
      <c r="BW49" s="16">
        <f>IFERROR(__xludf.DUMMYFUNCTION("""COMPUTED_VALUE"""),1.0)</f>
        <v>1</v>
      </c>
      <c r="BX49" s="16">
        <f>IFERROR(__xludf.DUMMYFUNCTION("""COMPUTED_VALUE"""),0.0)</f>
        <v>0</v>
      </c>
      <c r="BY49" s="16">
        <f>IFERROR(__xludf.DUMMYFUNCTION("""COMPUTED_VALUE"""),3.0)</f>
        <v>3</v>
      </c>
      <c r="BZ49" s="16" t="str">
        <f>IFERROR(__xludf.DUMMYFUNCTION("""COMPUTED_VALUE"""),"D")</f>
        <v>D</v>
      </c>
      <c r="CA49" s="16" t="str">
        <f>IFERROR(__xludf.DUMMYFUNCTION("""COMPUTED_VALUE"""),"D")</f>
        <v>D</v>
      </c>
      <c r="CB49" s="16">
        <f>IFERROR(__xludf.DUMMYFUNCTION("""COMPUTED_VALUE"""),0.0)</f>
        <v>0</v>
      </c>
      <c r="CC49" s="16">
        <f>IFERROR(__xludf.DUMMYFUNCTION("""COMPUTED_VALUE"""),0.0)</f>
        <v>0</v>
      </c>
      <c r="CD49" s="16">
        <f>IFERROR(__xludf.DUMMYFUNCTION("""COMPUTED_VALUE"""),0.0)</f>
        <v>0</v>
      </c>
      <c r="CE49" s="16">
        <f>IFERROR(__xludf.DUMMYFUNCTION("""COMPUTED_VALUE"""),0.0)</f>
        <v>0</v>
      </c>
      <c r="CF49" s="16">
        <f>IFERROR(__xludf.DUMMYFUNCTION("""COMPUTED_VALUE"""),1.0)</f>
        <v>1</v>
      </c>
      <c r="CG49" s="16">
        <f>IFERROR(__xludf.DUMMYFUNCTION("""COMPUTED_VALUE"""),-16.0)</f>
        <v>-16</v>
      </c>
      <c r="CH49" s="16">
        <f>IFERROR(__xludf.DUMMYFUNCTION("""COMPUTED_VALUE"""),30.0)</f>
        <v>30</v>
      </c>
      <c r="CI49" s="179">
        <f>IFERROR(__xludf.DUMMYFUNCTION("""COMPUTED_VALUE"""),22.0)</f>
        <v>22</v>
      </c>
      <c r="CJ49" s="16"/>
      <c r="CK49" s="16"/>
      <c r="CL49" s="16"/>
      <c r="CM49" s="16"/>
      <c r="CN49" s="16"/>
      <c r="CO49" s="16">
        <f>IFERROR(__xludf.DUMMYFUNCTION("""COMPUTED_VALUE"""),404.0)</f>
        <v>404</v>
      </c>
      <c r="CP49" s="16"/>
      <c r="CQ49" s="16">
        <f>IFERROR(__xludf.DUMMYFUNCTION("""COMPUTED_VALUE"""),404.0)</f>
        <v>404</v>
      </c>
      <c r="CR49" s="16" t="str">
        <f>IFERROR(__xludf.DUMMYFUNCTION("""COMPUTED_VALUE"""),"rf-4(-2)e4 lf-4e4")</f>
        <v>rf-4(-2)e4 lf-4e4</v>
      </c>
      <c r="CS49" s="16"/>
      <c r="CT49" s="16"/>
      <c r="CU49" s="16"/>
      <c r="CV49" s="16"/>
      <c r="CW49" s="16"/>
      <c r="CX49" s="16">
        <f>IFERROR(__xludf.DUMMYFUNCTION("""COMPUTED_VALUE"""),4.0)</f>
        <v>4</v>
      </c>
      <c r="CY49" s="16"/>
      <c r="CZ49" s="16">
        <f>IFERROR(__xludf.DUMMYFUNCTION("""COMPUTED_VALUE"""),4.0)</f>
        <v>4</v>
      </c>
      <c r="DA49" s="16"/>
      <c r="DB49" s="16"/>
      <c r="DC49" s="16"/>
      <c r="DD49" s="16"/>
      <c r="DE49" s="16"/>
      <c r="DF49" s="16">
        <f>IFERROR(__xludf.DUMMYFUNCTION("""COMPUTED_VALUE"""),4.0)</f>
        <v>4</v>
      </c>
      <c r="DG49" s="16"/>
      <c r="DH49" s="16">
        <f>IFERROR(__xludf.DUMMYFUNCTION("""COMPUTED_VALUE"""),4.0)</f>
        <v>4</v>
      </c>
      <c r="DI49" s="16"/>
      <c r="DJ49" s="16"/>
      <c r="DK49" s="16"/>
      <c r="DL49" s="16"/>
      <c r="DM49" s="16"/>
      <c r="DN49" s="16">
        <f>IFERROR(__xludf.DUMMYFUNCTION("""COMPUTED_VALUE"""),-1.0)</f>
        <v>-1</v>
      </c>
      <c r="DO49" s="16"/>
      <c r="DP49" s="16">
        <f>IFERROR(__xludf.DUMMYFUNCTION("""COMPUTED_VALUE"""),-1.0)</f>
        <v>-1</v>
      </c>
      <c r="DQ49" s="16"/>
      <c r="DR49" s="16"/>
      <c r="DS49" s="16"/>
      <c r="DT49" s="16"/>
      <c r="DU49" s="16"/>
      <c r="DV49" s="16">
        <f>IFERROR(__xludf.DUMMYFUNCTION("""COMPUTED_VALUE"""),2.0)</f>
        <v>2</v>
      </c>
      <c r="DW49" s="16"/>
      <c r="DX49" s="16">
        <f>IFERROR(__xludf.DUMMYFUNCTION("""COMPUTED_VALUE"""),2.0)</f>
        <v>2</v>
      </c>
      <c r="DY49" s="16"/>
      <c r="DZ49" s="16"/>
      <c r="EA49" s="16"/>
      <c r="EB49" s="16"/>
      <c r="EC49" s="16"/>
      <c r="ED49" s="16">
        <f>IFERROR(__xludf.DUMMYFUNCTION("""COMPUTED_VALUE"""),1.0)</f>
        <v>1</v>
      </c>
      <c r="EE49" s="16"/>
      <c r="EF49" s="16">
        <f>IFERROR(__xludf.DUMMYFUNCTION("""COMPUTED_VALUE"""),1.0)</f>
        <v>1</v>
      </c>
      <c r="EG49" s="179"/>
      <c r="EH49" s="179"/>
      <c r="EI49" s="179"/>
      <c r="EJ49" s="179"/>
      <c r="EK49" s="179"/>
      <c r="EL49" s="179">
        <f>IFERROR(__xludf.DUMMYFUNCTION("""COMPUTED_VALUE"""),23.0)</f>
        <v>23</v>
      </c>
      <c r="EM49" s="179"/>
      <c r="EN49" s="179">
        <f>IFERROR(__xludf.DUMMYFUNCTION("""COMPUTED_VALUE"""),23.0)</f>
        <v>23</v>
      </c>
      <c r="EO49" s="16"/>
      <c r="EP49" s="16">
        <f>IFERROR(__xludf.DUMMYFUNCTION("""COMPUTED_VALUE"""),1.0)</f>
        <v>1</v>
      </c>
      <c r="EQ49" s="16">
        <f>IFERROR(__xludf.DUMMYFUNCTION("""COMPUTED_VALUE"""),4.0)</f>
        <v>4</v>
      </c>
      <c r="ER49" s="16">
        <f>IFERROR(__xludf.DUMMYFUNCTION("""COMPUTED_VALUE"""),-1.0)</f>
        <v>-1</v>
      </c>
      <c r="ES49" s="16"/>
      <c r="ET49" s="16"/>
      <c r="EU49" s="16"/>
      <c r="EV49" s="16"/>
      <c r="EW49" s="16"/>
      <c r="EX49" s="180"/>
      <c r="EY49" s="180"/>
      <c r="EZ49" s="180"/>
      <c r="FA49" s="180"/>
      <c r="FB49" s="180"/>
      <c r="FC49" s="180">
        <f>IFERROR(__xludf.DUMMYFUNCTION("""COMPUTED_VALUE"""),0.55)</f>
        <v>0.55</v>
      </c>
      <c r="FD49" s="180"/>
      <c r="FE49" s="180">
        <f>IFERROR(__xludf.DUMMYFUNCTION("""COMPUTED_VALUE"""),0.55)</f>
        <v>0.55</v>
      </c>
      <c r="FF49" s="180"/>
      <c r="FG49" s="180"/>
      <c r="FH49" s="180"/>
      <c r="FI49" s="180"/>
      <c r="FJ49" s="180"/>
      <c r="FK49" s="180">
        <f>IFERROR(__xludf.DUMMYFUNCTION("""COMPUTED_VALUE"""),0.069)</f>
        <v>0.069</v>
      </c>
      <c r="FL49" s="180"/>
      <c r="FM49" s="180">
        <f>IFERROR(__xludf.DUMMYFUNCTION("""COMPUTED_VALUE"""),0.069)</f>
        <v>0.069</v>
      </c>
      <c r="FN49" s="16"/>
      <c r="FO49" s="16"/>
      <c r="FP49" s="16"/>
      <c r="FQ49" s="16"/>
      <c r="FR49" s="16"/>
      <c r="FS49" s="16">
        <f>IFERROR(__xludf.DUMMYFUNCTION("""COMPUTED_VALUE"""),0.41895)</f>
        <v>0.41895</v>
      </c>
      <c r="FT49" s="16"/>
      <c r="FU49" s="16">
        <f>IFERROR(__xludf.DUMMYFUNCTION("""COMPUTED_VALUE"""),0.41895)</f>
        <v>0.41895</v>
      </c>
      <c r="FV49" s="16"/>
      <c r="FW49" s="16"/>
      <c r="FX49" s="16"/>
      <c r="FY49" s="16"/>
      <c r="FZ49" s="16"/>
      <c r="GA49" s="16">
        <f>IFERROR(__xludf.DUMMYFUNCTION("""COMPUTED_VALUE"""),-9.0)</f>
        <v>-9</v>
      </c>
      <c r="GB49" s="16"/>
      <c r="GC49" s="16">
        <f>IFERROR(__xludf.DUMMYFUNCTION("""COMPUTED_VALUE"""),-9.0)</f>
        <v>-9</v>
      </c>
      <c r="GD49" s="16" t="s">
        <v>306</v>
      </c>
    </row>
    <row r="50">
      <c r="A50" s="16">
        <f>IFERROR(__xludf.DUMMYFUNCTION("""COMPUTED_VALUE"""),12811.0)</f>
        <v>12811</v>
      </c>
      <c r="B50" s="16" t="str">
        <f>IFERROR(__xludf.DUMMYFUNCTION("""COMPUTED_VALUE"""),"Eugenio Suarez")</f>
        <v>Eugenio Suarez</v>
      </c>
      <c r="C50" s="16">
        <f>IFERROR(__xludf.DUMMYFUNCTION("""COMPUTED_VALUE"""),1.4)</f>
        <v>1.4</v>
      </c>
      <c r="D50" s="16" t="str">
        <f>IFERROR(__xludf.DUMMYFUNCTION("""COMPUTED_VALUE"""),"R")</f>
        <v>R</v>
      </c>
      <c r="E50" s="16"/>
      <c r="F50" s="16"/>
      <c r="G50" s="16">
        <f>IFERROR(__xludf.DUMMYFUNCTION("""COMPUTED_VALUE"""),571.0)</f>
        <v>571</v>
      </c>
      <c r="H50" s="16">
        <f>IFERROR(__xludf.DUMMYFUNCTION("""COMPUTED_VALUE"""),49.0)</f>
        <v>49</v>
      </c>
      <c r="I50" s="16" t="str">
        <f>IFERROR(__xludf.DUMMYFUNCTION("""COMPUTED_VALUE"""),"1p70")</f>
        <v>1p70</v>
      </c>
      <c r="J50" s="16">
        <f>IFERROR(__xludf.DUMMYFUNCTION("""COMPUTED_VALUE"""),44.0)</f>
        <v>44</v>
      </c>
      <c r="K50" s="16">
        <f>IFERROR(__xludf.DUMMYFUNCTION("""COMPUTED_VALUE"""),31.0)</f>
        <v>31</v>
      </c>
      <c r="L50" s="16">
        <f>IFERROR(__xludf.DUMMYFUNCTION("""COMPUTED_VALUE"""),-2.0)</f>
        <v>-2</v>
      </c>
      <c r="M50" s="16">
        <f>IFERROR(__xludf.DUMMYFUNCTION("""COMPUTED_VALUE"""),-1.0)</f>
        <v>-1</v>
      </c>
      <c r="N50" s="16">
        <f>IFERROR(__xludf.DUMMYFUNCTION("""COMPUTED_VALUE"""),-2.0)</f>
        <v>-2</v>
      </c>
      <c r="O50" s="16">
        <f>IFERROR(__xludf.DUMMYFUNCTION("""COMPUTED_VALUE"""),-1.0)</f>
        <v>-1</v>
      </c>
      <c r="P50" s="16">
        <f>IFERROR(__xludf.DUMMYFUNCTION("""COMPUTED_VALUE"""),16.0)</f>
        <v>16</v>
      </c>
      <c r="Q50" s="16">
        <f>IFERROR(__xludf.DUMMYFUNCTION("""COMPUTED_VALUE"""),6.0)</f>
        <v>6</v>
      </c>
      <c r="R50" s="16">
        <f>IFERROR(__xludf.DUMMYFUNCTION("""COMPUTED_VALUE"""),2.0)</f>
        <v>2</v>
      </c>
      <c r="S50" s="16">
        <f>IFERROR(__xludf.DUMMYFUNCTION("""COMPUTED_VALUE"""),-1.0)</f>
        <v>-1</v>
      </c>
      <c r="T50" s="16">
        <f>IFERROR(__xludf.DUMMYFUNCTION("""COMPUTED_VALUE"""),2.0)</f>
        <v>2</v>
      </c>
      <c r="U50" s="16">
        <f>IFERROR(__xludf.DUMMYFUNCTION("""COMPUTED_VALUE"""),-1.0)</f>
        <v>-1</v>
      </c>
      <c r="V50" s="16">
        <f>IFERROR(__xludf.DUMMYFUNCTION("""COMPUTED_VALUE"""),16.3)</f>
        <v>16.3</v>
      </c>
      <c r="W50" s="16">
        <f>IFERROR(__xludf.DUMMYFUNCTION("""COMPUTED_VALUE"""),19.3)</f>
        <v>19.3</v>
      </c>
      <c r="X50" s="16">
        <f>IFERROR(__xludf.DUMMYFUNCTION("""COMPUTED_VALUE"""),0.0)</f>
        <v>0</v>
      </c>
      <c r="Y50" s="16">
        <f>IFERROR(__xludf.DUMMYFUNCTION("""COMPUTED_VALUE"""),0.0)</f>
        <v>0</v>
      </c>
      <c r="Z50" s="16">
        <f>IFERROR(__xludf.DUMMYFUNCTION("""COMPUTED_VALUE"""),0.0)</f>
        <v>0</v>
      </c>
      <c r="AA50" s="16">
        <f>IFERROR(__xludf.DUMMYFUNCTION("""COMPUTED_VALUE"""),0.0)</f>
        <v>0</v>
      </c>
      <c r="AB50" s="16">
        <f>IFERROR(__xludf.DUMMYFUNCTION("""COMPUTED_VALUE"""),35.3)</f>
        <v>35.3</v>
      </c>
      <c r="AC50" s="16">
        <f>IFERROR(__xludf.DUMMYFUNCTION("""COMPUTED_VALUE"""),28.3)</f>
        <v>28.3</v>
      </c>
      <c r="AD50" s="16">
        <f>IFERROR(__xludf.DUMMYFUNCTION("""COMPUTED_VALUE"""),1.0)</f>
        <v>1</v>
      </c>
      <c r="AE50" s="16">
        <f>IFERROR(__xludf.DUMMYFUNCTION("""COMPUTED_VALUE"""),-1.0)</f>
        <v>-1</v>
      </c>
      <c r="AF50" s="16">
        <f>IFERROR(__xludf.DUMMYFUNCTION("""COMPUTED_VALUE"""),5.0)</f>
        <v>5</v>
      </c>
      <c r="AG50" s="16">
        <f>IFERROR(__xludf.DUMMYFUNCTION("""COMPUTED_VALUE"""),-5.0)</f>
        <v>-5</v>
      </c>
      <c r="AH50" s="16">
        <f>IFERROR(__xludf.DUMMYFUNCTION("""COMPUTED_VALUE"""),31.3)</f>
        <v>31.3</v>
      </c>
      <c r="AI50" s="16">
        <f>IFERROR(__xludf.DUMMYFUNCTION("""COMPUTED_VALUE"""),39.7)</f>
        <v>39.7</v>
      </c>
      <c r="AJ50" s="16">
        <f>IFERROR(__xludf.DUMMYFUNCTION("""COMPUTED_VALUE"""),0.0)</f>
        <v>0</v>
      </c>
      <c r="AK50" s="16">
        <f>IFERROR(__xludf.DUMMYFUNCTION("""COMPUTED_VALUE"""),1.0)</f>
        <v>1</v>
      </c>
      <c r="AL50" s="16">
        <f>IFERROR(__xludf.DUMMYFUNCTION("""COMPUTED_VALUE"""),0.0)</f>
        <v>0</v>
      </c>
      <c r="AM50" s="16">
        <f>IFERROR(__xludf.DUMMYFUNCTION("""COMPUTED_VALUE"""),5.0)</f>
        <v>5</v>
      </c>
      <c r="AN50" s="16">
        <f>IFERROR(__xludf.DUMMYFUNCTION("""COMPUTED_VALUE"""),5.0)</f>
        <v>5</v>
      </c>
      <c r="AO50" s="16">
        <f>IFERROR(__xludf.DUMMYFUNCTION("""COMPUTED_VALUE"""),4.0)</f>
        <v>4</v>
      </c>
      <c r="AP50" s="16">
        <f>IFERROR(__xludf.DUMMYFUNCTION("""COMPUTED_VALUE"""),3.0)</f>
        <v>3</v>
      </c>
      <c r="AQ50" s="16">
        <f>IFERROR(__xludf.DUMMYFUNCTION("""COMPUTED_VALUE"""),2.0)</f>
        <v>2</v>
      </c>
      <c r="AR50" s="16">
        <f>IFERROR(__xludf.DUMMYFUNCTION("""COMPUTED_VALUE"""),6.0)</f>
        <v>6</v>
      </c>
      <c r="AS50" s="16">
        <f>IFERROR(__xludf.DUMMYFUNCTION("""COMPUTED_VALUE"""),4.0)</f>
        <v>4</v>
      </c>
      <c r="AT50" s="16">
        <f>IFERROR(__xludf.DUMMYFUNCTION("""COMPUTED_VALUE"""),8.0)</f>
        <v>8</v>
      </c>
      <c r="AU50" s="16">
        <f>IFERROR(__xludf.DUMMYFUNCTION("""COMPUTED_VALUE"""),8.0)</f>
        <v>8</v>
      </c>
      <c r="AV50" s="16">
        <f>IFERROR(__xludf.DUMMYFUNCTION("""COMPUTED_VALUE"""),8.0)</f>
        <v>8</v>
      </c>
      <c r="AW50" s="16">
        <f>IFERROR(__xludf.DUMMYFUNCTION("""COMPUTED_VALUE"""),8.0)</f>
        <v>8</v>
      </c>
      <c r="AX50" s="16">
        <f>IFERROR(__xludf.DUMMYFUNCTION("""COMPUTED_VALUE"""),3.0)</f>
        <v>3</v>
      </c>
      <c r="AY50" s="16">
        <f>IFERROR(__xludf.DUMMYFUNCTION("""COMPUTED_VALUE"""),3.0)</f>
        <v>3</v>
      </c>
      <c r="AZ50" s="16">
        <f>IFERROR(__xludf.DUMMYFUNCTION("""COMPUTED_VALUE"""),9.0)</f>
        <v>9</v>
      </c>
      <c r="BA50" s="16">
        <f>IFERROR(__xludf.DUMMYFUNCTION("""COMPUTED_VALUE"""),9.0)</f>
        <v>9</v>
      </c>
      <c r="BB50" s="16">
        <f>IFERROR(__xludf.DUMMYFUNCTION("""COMPUTED_VALUE"""),5.0)</f>
        <v>5</v>
      </c>
      <c r="BC50" s="16">
        <f>IFERROR(__xludf.DUMMYFUNCTION("""COMPUTED_VALUE"""),5.0)</f>
        <v>5</v>
      </c>
      <c r="BD50" s="16">
        <f>IFERROR(__xludf.DUMMYFUNCTION("""COMPUTED_VALUE"""),1.0)</f>
        <v>1</v>
      </c>
      <c r="BE50" s="16">
        <f>IFERROR(__xludf.DUMMYFUNCTION("""COMPUTED_VALUE"""),1.0)</f>
        <v>1</v>
      </c>
      <c r="BF50" s="16">
        <f>IFERROR(__xludf.DUMMYFUNCTION("""COMPUTED_VALUE"""),1.0)</f>
        <v>1</v>
      </c>
      <c r="BG50" s="16">
        <f>IFERROR(__xludf.DUMMYFUNCTION("""COMPUTED_VALUE"""),1.0)</f>
        <v>1</v>
      </c>
      <c r="BH50" s="16">
        <f>IFERROR(__xludf.DUMMYFUNCTION("""COMPUTED_VALUE"""),1.0)</f>
        <v>1</v>
      </c>
      <c r="BI50" s="16">
        <f>IFERROR(__xludf.DUMMYFUNCTION("""COMPUTED_VALUE"""),2.0)</f>
        <v>2</v>
      </c>
      <c r="BJ50" s="16">
        <f>IFERROR(__xludf.DUMMYFUNCTION("""COMPUTED_VALUE"""),10.0)</f>
        <v>10</v>
      </c>
      <c r="BK50" s="16">
        <f>IFERROR(__xludf.DUMMYFUNCTION("""COMPUTED_VALUE"""),13.0)</f>
        <v>13</v>
      </c>
      <c r="BL50" s="16">
        <f>IFERROR(__xludf.DUMMYFUNCTION("""COMPUTED_VALUE"""),0.0)</f>
        <v>0</v>
      </c>
      <c r="BM50" s="16">
        <f>IFERROR(__xludf.DUMMYFUNCTION("""COMPUTED_VALUE"""),0.0)</f>
        <v>0</v>
      </c>
      <c r="BN50" s="16">
        <f>IFERROR(__xludf.DUMMYFUNCTION("""COMPUTED_VALUE"""),0.0)</f>
        <v>0</v>
      </c>
      <c r="BO50" s="16">
        <f>IFERROR(__xludf.DUMMYFUNCTION("""COMPUTED_VALUE"""),0.0)</f>
        <v>0</v>
      </c>
      <c r="BP50" s="16">
        <f>IFERROR(__xludf.DUMMYFUNCTION("""COMPUTED_VALUE"""),8.0)</f>
        <v>8</v>
      </c>
      <c r="BQ50" s="16">
        <f>IFERROR(__xludf.DUMMYFUNCTION("""COMPUTED_VALUE"""),4.0)</f>
        <v>4</v>
      </c>
      <c r="BR50" s="16">
        <f>IFERROR(__xludf.DUMMYFUNCTION("""COMPUTED_VALUE"""),12.0)</f>
        <v>12</v>
      </c>
      <c r="BS50" s="16" t="str">
        <f>IFERROR(__xludf.DUMMYFUNCTION("""COMPUTED_VALUE"""),"4/- (13-6)")</f>
        <v>4/- (13-6)</v>
      </c>
      <c r="BT50" s="16" t="str">
        <f>IFERROR(__xludf.DUMMYFUNCTION("""COMPUTED_VALUE"""),"E")</f>
        <v>E</v>
      </c>
      <c r="BU50" s="16">
        <f>IFERROR(__xludf.DUMMYFUNCTION("""COMPUTED_VALUE"""),11.0)</f>
        <v>11</v>
      </c>
      <c r="BV50" s="16">
        <f>IFERROR(__xludf.DUMMYFUNCTION("""COMPUTED_VALUE"""),0.0)</f>
        <v>0</v>
      </c>
      <c r="BW50" s="16">
        <f>IFERROR(__xludf.DUMMYFUNCTION("""COMPUTED_VALUE"""),0.0)</f>
        <v>0</v>
      </c>
      <c r="BX50" s="16">
        <f>IFERROR(__xludf.DUMMYFUNCTION("""COMPUTED_VALUE"""),0.0)</f>
        <v>0</v>
      </c>
      <c r="BY50" s="16">
        <f>IFERROR(__xludf.DUMMYFUNCTION("""COMPUTED_VALUE"""),0.0)</f>
        <v>0</v>
      </c>
      <c r="BZ50" s="16" t="str">
        <f>IFERROR(__xludf.DUMMYFUNCTION("""COMPUTED_VALUE"""),"D")</f>
        <v>D</v>
      </c>
      <c r="CA50" s="16" t="str">
        <f>IFERROR(__xludf.DUMMYFUNCTION("""COMPUTED_VALUE"""),"D")</f>
        <v>D</v>
      </c>
      <c r="CB50" s="16">
        <f>IFERROR(__xludf.DUMMYFUNCTION("""COMPUTED_VALUE"""),0.0)</f>
        <v>0</v>
      </c>
      <c r="CC50" s="16">
        <f>IFERROR(__xludf.DUMMYFUNCTION("""COMPUTED_VALUE"""),0.0)</f>
        <v>0</v>
      </c>
      <c r="CD50" s="16">
        <f>IFERROR(__xludf.DUMMYFUNCTION("""COMPUTED_VALUE"""),0.0)</f>
        <v>0</v>
      </c>
      <c r="CE50" s="16">
        <f>IFERROR(__xludf.DUMMYFUNCTION("""COMPUTED_VALUE"""),0.0)</f>
        <v>0</v>
      </c>
      <c r="CF50" s="16">
        <f>IFERROR(__xludf.DUMMYFUNCTION("""COMPUTED_VALUE"""),1.0)</f>
        <v>1</v>
      </c>
      <c r="CG50" s="16">
        <f>IFERROR(__xludf.DUMMYFUNCTION("""COMPUTED_VALUE"""),21.0)</f>
        <v>21</v>
      </c>
      <c r="CH50" s="16">
        <f>IFERROR(__xludf.DUMMYFUNCTION("""COMPUTED_VALUE"""),12.0)</f>
        <v>12</v>
      </c>
      <c r="CI50" s="179">
        <f>IFERROR(__xludf.DUMMYFUNCTION("""COMPUTED_VALUE"""),21.0)</f>
        <v>21</v>
      </c>
      <c r="CJ50" s="16"/>
      <c r="CK50" s="16"/>
      <c r="CL50" s="16"/>
      <c r="CM50" s="16">
        <f>IFERROR(__xludf.DUMMYFUNCTION("""COMPUTED_VALUE"""),211.0)</f>
        <v>211</v>
      </c>
      <c r="CN50" s="16"/>
      <c r="CO50" s="16"/>
      <c r="CP50" s="16"/>
      <c r="CQ50" s="16"/>
      <c r="CR50" s="16" t="str">
        <f>IFERROR(__xludf.DUMMYFUNCTION("""COMPUTED_VALUE"""),"3b-2e11")</f>
        <v>3b-2e11</v>
      </c>
      <c r="CS50" s="16"/>
      <c r="CT50" s="16"/>
      <c r="CU50" s="16"/>
      <c r="CV50" s="16">
        <f>IFERROR(__xludf.DUMMYFUNCTION("""COMPUTED_VALUE"""),2.0)</f>
        <v>2</v>
      </c>
      <c r="CW50" s="16"/>
      <c r="CX50" s="16"/>
      <c r="CY50" s="16"/>
      <c r="CZ50" s="16"/>
      <c r="DA50" s="16"/>
      <c r="DB50" s="16"/>
      <c r="DC50" s="16"/>
      <c r="DD50" s="16">
        <f>IFERROR(__xludf.DUMMYFUNCTION("""COMPUTED_VALUE"""),11.0)</f>
        <v>11</v>
      </c>
      <c r="DE50" s="16"/>
      <c r="DF50" s="16"/>
      <c r="DG50" s="16"/>
      <c r="DH50" s="16"/>
      <c r="DI50" s="16"/>
      <c r="DJ50" s="16"/>
      <c r="DK50" s="16"/>
      <c r="DL50" s="16">
        <f>IFERROR(__xludf.DUMMYFUNCTION("""COMPUTED_VALUE"""),3.0)</f>
        <v>3</v>
      </c>
      <c r="DM50" s="16"/>
      <c r="DN50" s="16"/>
      <c r="DO50" s="16"/>
      <c r="DP50" s="16"/>
      <c r="DQ50" s="16"/>
      <c r="DR50" s="16"/>
      <c r="DS50" s="16"/>
      <c r="DT50" s="16">
        <f>IFERROR(__xludf.DUMMYFUNCTION("""COMPUTED_VALUE"""),1.0)</f>
        <v>1</v>
      </c>
      <c r="DU50" s="16"/>
      <c r="DV50" s="16"/>
      <c r="DW50" s="16"/>
      <c r="DX50" s="16"/>
      <c r="DY50" s="16"/>
      <c r="DZ50" s="16"/>
      <c r="EA50" s="16"/>
      <c r="EB50" s="16">
        <f>IFERROR(__xludf.DUMMYFUNCTION("""COMPUTED_VALUE"""),4.0)</f>
        <v>4</v>
      </c>
      <c r="EC50" s="16"/>
      <c r="ED50" s="16"/>
      <c r="EE50" s="16"/>
      <c r="EF50" s="16"/>
      <c r="EG50" s="179"/>
      <c r="EH50" s="179"/>
      <c r="EI50" s="179"/>
      <c r="EJ50" s="179">
        <f>IFERROR(__xludf.DUMMYFUNCTION("""COMPUTED_VALUE"""),25.0)</f>
        <v>25</v>
      </c>
      <c r="EK50" s="179"/>
      <c r="EL50" s="179"/>
      <c r="EM50" s="179"/>
      <c r="EN50" s="179"/>
      <c r="EO50" s="16"/>
      <c r="EP50" s="16"/>
      <c r="EQ50" s="16">
        <f>IFERROR(__xludf.DUMMYFUNCTION("""COMPUTED_VALUE"""),4.0)</f>
        <v>4</v>
      </c>
      <c r="ER50" s="16">
        <f>IFERROR(__xludf.DUMMYFUNCTION("""COMPUTED_VALUE"""),3.0)</f>
        <v>3</v>
      </c>
      <c r="ES50" s="16"/>
      <c r="ET50" s="16"/>
      <c r="EU50" s="16"/>
      <c r="EV50" s="16"/>
      <c r="EW50" s="16"/>
      <c r="EX50" s="180"/>
      <c r="EY50" s="180"/>
      <c r="EZ50" s="180"/>
      <c r="FA50" s="180">
        <f>IFERROR(__xludf.DUMMYFUNCTION("""COMPUTED_VALUE"""),0.1)</f>
        <v>0.1</v>
      </c>
      <c r="FB50" s="180"/>
      <c r="FC50" s="180"/>
      <c r="FD50" s="180"/>
      <c r="FE50" s="180"/>
      <c r="FF50" s="180"/>
      <c r="FG50" s="180"/>
      <c r="FH50" s="180"/>
      <c r="FI50" s="180">
        <f>IFERROR(__xludf.DUMMYFUNCTION("""COMPUTED_VALUE"""),0.13425925925925927)</f>
        <v>0.1342592593</v>
      </c>
      <c r="FJ50" s="180"/>
      <c r="FK50" s="180"/>
      <c r="FL50" s="180"/>
      <c r="FM50" s="180"/>
      <c r="FN50" s="16"/>
      <c r="FO50" s="16"/>
      <c r="FP50" s="16"/>
      <c r="FQ50" s="16">
        <f>IFERROR(__xludf.DUMMYFUNCTION("""COMPUTED_VALUE"""),0.7791666666666667)</f>
        <v>0.7791666667</v>
      </c>
      <c r="FR50" s="16"/>
      <c r="FS50" s="16"/>
      <c r="FT50" s="16"/>
      <c r="FU50" s="16"/>
      <c r="FV50" s="16"/>
      <c r="FW50" s="16"/>
      <c r="FX50" s="16"/>
      <c r="FY50" s="16">
        <f>IFERROR(__xludf.DUMMYFUNCTION("""COMPUTED_VALUE"""),-1.0)</f>
        <v>-1</v>
      </c>
      <c r="FZ50" s="16"/>
      <c r="GA50" s="16"/>
      <c r="GB50" s="16"/>
      <c r="GC50" s="16"/>
      <c r="GD50" s="16" t="s">
        <v>289</v>
      </c>
    </row>
    <row r="51">
      <c r="A51" s="16">
        <f>IFERROR(__xludf.DUMMYFUNCTION("""COMPUTED_VALUE"""),12961.0)</f>
        <v>12961</v>
      </c>
      <c r="B51" s="16" t="str">
        <f>IFERROR(__xludf.DUMMYFUNCTION("""COMPUTED_VALUE"""),"JJ Bleday")</f>
        <v>JJ Bleday</v>
      </c>
      <c r="C51" s="16">
        <f>IFERROR(__xludf.DUMMYFUNCTION("""COMPUTED_VALUE"""),0.95)</f>
        <v>0.95</v>
      </c>
      <c r="D51" s="16" t="str">
        <f>IFERROR(__xludf.DUMMYFUNCTION("""COMPUTED_VALUE"""),"L")</f>
        <v>L</v>
      </c>
      <c r="E51" s="16"/>
      <c r="F51" s="16"/>
      <c r="G51" s="16">
        <f>IFERROR(__xludf.DUMMYFUNCTION("""COMPUTED_VALUE"""),572.0)</f>
        <v>572</v>
      </c>
      <c r="H51" s="16">
        <f>IFERROR(__xludf.DUMMYFUNCTION("""COMPUTED_VALUE"""),67.0)</f>
        <v>67</v>
      </c>
      <c r="I51" s="16" t="str">
        <f>IFERROR(__xludf.DUMMYFUNCTION("""COMPUTED_VALUE"""),"1p70")</f>
        <v>1p70</v>
      </c>
      <c r="J51" s="16">
        <f>IFERROR(__xludf.DUMMYFUNCTION("""COMPUTED_VALUE"""),29.0)</f>
        <v>29</v>
      </c>
      <c r="K51" s="16">
        <f>IFERROR(__xludf.DUMMYFUNCTION("""COMPUTED_VALUE"""),15.0)</f>
        <v>15</v>
      </c>
      <c r="L51" s="16">
        <f>IFERROR(__xludf.DUMMYFUNCTION("""COMPUTED_VALUE"""),0.0)</f>
        <v>0</v>
      </c>
      <c r="M51" s="16">
        <f>IFERROR(__xludf.DUMMYFUNCTION("""COMPUTED_VALUE"""),1.0)</f>
        <v>1</v>
      </c>
      <c r="N51" s="16">
        <f>IFERROR(__xludf.DUMMYFUNCTION("""COMPUTED_VALUE"""),0.0)</f>
        <v>0</v>
      </c>
      <c r="O51" s="16">
        <f>IFERROR(__xludf.DUMMYFUNCTION("""COMPUTED_VALUE"""),1.0)</f>
        <v>1</v>
      </c>
      <c r="P51" s="16">
        <f>IFERROR(__xludf.DUMMYFUNCTION("""COMPUTED_VALUE"""),5.0)</f>
        <v>5</v>
      </c>
      <c r="Q51" s="16">
        <f>IFERROR(__xludf.DUMMYFUNCTION("""COMPUTED_VALUE"""),14.0)</f>
        <v>14</v>
      </c>
      <c r="R51" s="16">
        <f>IFERROR(__xludf.DUMMYFUNCTION("""COMPUTED_VALUE"""),-1.0)</f>
        <v>-1</v>
      </c>
      <c r="S51" s="16">
        <f>IFERROR(__xludf.DUMMYFUNCTION("""COMPUTED_VALUE"""),2.0)</f>
        <v>2</v>
      </c>
      <c r="T51" s="16">
        <f>IFERROR(__xludf.DUMMYFUNCTION("""COMPUTED_VALUE"""),-1.0)</f>
        <v>-1</v>
      </c>
      <c r="U51" s="16">
        <f>IFERROR(__xludf.DUMMYFUNCTION("""COMPUTED_VALUE"""),2.0)</f>
        <v>2</v>
      </c>
      <c r="V51" s="16">
        <f>IFERROR(__xludf.DUMMYFUNCTION("""COMPUTED_VALUE"""),16.5)</f>
        <v>16.5</v>
      </c>
      <c r="W51" s="16">
        <f>IFERROR(__xludf.DUMMYFUNCTION("""COMPUTED_VALUE"""),21.2)</f>
        <v>21.2</v>
      </c>
      <c r="X51" s="16">
        <f>IFERROR(__xludf.DUMMYFUNCTION("""COMPUTED_VALUE"""),0.0)</f>
        <v>0</v>
      </c>
      <c r="Y51" s="16">
        <f>IFERROR(__xludf.DUMMYFUNCTION("""COMPUTED_VALUE"""),0.0)</f>
        <v>0</v>
      </c>
      <c r="Z51" s="16">
        <f>IFERROR(__xludf.DUMMYFUNCTION("""COMPUTED_VALUE"""),0.0)</f>
        <v>0</v>
      </c>
      <c r="AA51" s="16">
        <f>IFERROR(__xludf.DUMMYFUNCTION("""COMPUTED_VALUE"""),0.0)</f>
        <v>0</v>
      </c>
      <c r="AB51" s="16">
        <f>IFERROR(__xludf.DUMMYFUNCTION("""COMPUTED_VALUE"""),22.5)</f>
        <v>22.5</v>
      </c>
      <c r="AC51" s="16">
        <f>IFERROR(__xludf.DUMMYFUNCTION("""COMPUTED_VALUE"""),36.2)</f>
        <v>36.2</v>
      </c>
      <c r="AD51" s="16">
        <f>IFERROR(__xludf.DUMMYFUNCTION("""COMPUTED_VALUE"""),-1.0)</f>
        <v>-1</v>
      </c>
      <c r="AE51" s="16">
        <f>IFERROR(__xludf.DUMMYFUNCTION("""COMPUTED_VALUE"""),1.0)</f>
        <v>1</v>
      </c>
      <c r="AF51" s="16">
        <f>IFERROR(__xludf.DUMMYFUNCTION("""COMPUTED_VALUE"""),-5.0)</f>
        <v>-5</v>
      </c>
      <c r="AG51" s="16">
        <f>IFERROR(__xludf.DUMMYFUNCTION("""COMPUTED_VALUE"""),5.0)</f>
        <v>5</v>
      </c>
      <c r="AH51" s="16">
        <f>IFERROR(__xludf.DUMMYFUNCTION("""COMPUTED_VALUE"""),43.8)</f>
        <v>43.8</v>
      </c>
      <c r="AI51" s="16">
        <f>IFERROR(__xludf.DUMMYFUNCTION("""COMPUTED_VALUE"""),37.3)</f>
        <v>37.3</v>
      </c>
      <c r="AJ51" s="16">
        <f>IFERROR(__xludf.DUMMYFUNCTION("""COMPUTED_VALUE"""),1.0)</f>
        <v>1</v>
      </c>
      <c r="AK51" s="16">
        <f>IFERROR(__xludf.DUMMYFUNCTION("""COMPUTED_VALUE"""),1.0)</f>
        <v>1</v>
      </c>
      <c r="AL51" s="16">
        <f>IFERROR(__xludf.DUMMYFUNCTION("""COMPUTED_VALUE"""),5.0)</f>
        <v>5</v>
      </c>
      <c r="AM51" s="16">
        <f>IFERROR(__xludf.DUMMYFUNCTION("""COMPUTED_VALUE"""),5.0)</f>
        <v>5</v>
      </c>
      <c r="AN51" s="16">
        <f>IFERROR(__xludf.DUMMYFUNCTION("""COMPUTED_VALUE"""),5.4)</f>
        <v>5.4</v>
      </c>
      <c r="AO51" s="16">
        <f>IFERROR(__xludf.DUMMYFUNCTION("""COMPUTED_VALUE"""),1.5)</f>
        <v>1.5</v>
      </c>
      <c r="AP51" s="16">
        <f>IFERROR(__xludf.DUMMYFUNCTION("""COMPUTED_VALUE"""),3.0)</f>
        <v>3</v>
      </c>
      <c r="AQ51" s="16">
        <f>IFERROR(__xludf.DUMMYFUNCTION("""COMPUTED_VALUE"""),-1.0)</f>
        <v>-1</v>
      </c>
      <c r="AR51" s="16">
        <f>IFERROR(__xludf.DUMMYFUNCTION("""COMPUTED_VALUE"""),6.0)</f>
        <v>6</v>
      </c>
      <c r="AS51" s="16">
        <f>IFERROR(__xludf.DUMMYFUNCTION("""COMPUTED_VALUE"""),-2.0)</f>
        <v>-2</v>
      </c>
      <c r="AT51" s="16"/>
      <c r="AU51" s="16">
        <f>IFERROR(__xludf.DUMMYFUNCTION("""COMPUTED_VALUE"""),3.0)</f>
        <v>3</v>
      </c>
      <c r="AV51" s="16">
        <f>IFERROR(__xludf.DUMMYFUNCTION("""COMPUTED_VALUE"""),8.0)</f>
        <v>8</v>
      </c>
      <c r="AW51" s="16">
        <f>IFERROR(__xludf.DUMMYFUNCTION("""COMPUTED_VALUE"""),3.0)</f>
        <v>3</v>
      </c>
      <c r="AX51" s="16">
        <f>IFERROR(__xludf.DUMMYFUNCTION("""COMPUTED_VALUE"""),3.0)</f>
        <v>3</v>
      </c>
      <c r="AY51" s="16">
        <f>IFERROR(__xludf.DUMMYFUNCTION("""COMPUTED_VALUE"""),0.0)</f>
        <v>0</v>
      </c>
      <c r="AZ51" s="16">
        <f>IFERROR(__xludf.DUMMYFUNCTION("""COMPUTED_VALUE"""),9.0)</f>
        <v>9</v>
      </c>
      <c r="BA51" s="16">
        <f>IFERROR(__xludf.DUMMYFUNCTION("""COMPUTED_VALUE"""),0.0)</f>
        <v>0</v>
      </c>
      <c r="BB51" s="16">
        <f>IFERROR(__xludf.DUMMYFUNCTION("""COMPUTED_VALUE"""),0.0)</f>
        <v>0</v>
      </c>
      <c r="BC51" s="16">
        <f>IFERROR(__xludf.DUMMYFUNCTION("""COMPUTED_VALUE"""),5.0)</f>
        <v>5</v>
      </c>
      <c r="BD51" s="16">
        <f>IFERROR(__xludf.DUMMYFUNCTION("""COMPUTED_VALUE"""),0.0)</f>
        <v>0</v>
      </c>
      <c r="BE51" s="16">
        <f>IFERROR(__xludf.DUMMYFUNCTION("""COMPUTED_VALUE"""),1.0)</f>
        <v>1</v>
      </c>
      <c r="BF51" s="16">
        <f>IFERROR(__xludf.DUMMYFUNCTION("""COMPUTED_VALUE"""),0.0)</f>
        <v>0</v>
      </c>
      <c r="BG51" s="16">
        <f>IFERROR(__xludf.DUMMYFUNCTION("""COMPUTED_VALUE"""),1.0)</f>
        <v>1</v>
      </c>
      <c r="BH51" s="16">
        <f>IFERROR(__xludf.DUMMYFUNCTION("""COMPUTED_VALUE"""),0.0)</f>
        <v>0</v>
      </c>
      <c r="BI51" s="16">
        <f>IFERROR(__xludf.DUMMYFUNCTION("""COMPUTED_VALUE"""),-7.0)</f>
        <v>-7</v>
      </c>
      <c r="BJ51" s="16">
        <f>IFERROR(__xludf.DUMMYFUNCTION("""COMPUTED_VALUE"""),10.0)</f>
        <v>10</v>
      </c>
      <c r="BK51" s="16">
        <f>IFERROR(__xludf.DUMMYFUNCTION("""COMPUTED_VALUE"""),8.0)</f>
        <v>8</v>
      </c>
      <c r="BL51" s="16">
        <f>IFERROR(__xludf.DUMMYFUNCTION("""COMPUTED_VALUE"""),0.0)</f>
        <v>0</v>
      </c>
      <c r="BM51" s="16">
        <f>IFERROR(__xludf.DUMMYFUNCTION("""COMPUTED_VALUE"""),1.0)</f>
        <v>1</v>
      </c>
      <c r="BN51" s="16">
        <f>IFERROR(__xludf.DUMMYFUNCTION("""COMPUTED_VALUE"""),0.0)</f>
        <v>0</v>
      </c>
      <c r="BO51" s="16">
        <f>IFERROR(__xludf.DUMMYFUNCTION("""COMPUTED_VALUE"""),1.0)</f>
        <v>1</v>
      </c>
      <c r="BP51" s="16">
        <f>IFERROR(__xludf.DUMMYFUNCTION("""COMPUTED_VALUE"""),5.0)</f>
        <v>5</v>
      </c>
      <c r="BQ51" s="16">
        <f>IFERROR(__xludf.DUMMYFUNCTION("""COMPUTED_VALUE"""),6.0)</f>
        <v>6</v>
      </c>
      <c r="BR51" s="16">
        <f>IFERROR(__xludf.DUMMYFUNCTION("""COMPUTED_VALUE"""),11.0)</f>
        <v>11</v>
      </c>
      <c r="BS51" s="16" t="str">
        <f>IFERROR(__xludf.DUMMYFUNCTION("""COMPUTED_VALUE"""),"5/10 (13-4)")</f>
        <v>5/10 (13-4)</v>
      </c>
      <c r="BT51" s="16" t="str">
        <f>IFERROR(__xludf.DUMMYFUNCTION("""COMPUTED_VALUE"""),"E")</f>
        <v>E</v>
      </c>
      <c r="BU51" s="16">
        <f>IFERROR(__xludf.DUMMYFUNCTION("""COMPUTED_VALUE"""),12.0)</f>
        <v>12</v>
      </c>
      <c r="BV51" s="16">
        <f>IFERROR(__xludf.DUMMYFUNCTION("""COMPUTED_VALUE"""),0.0)</f>
        <v>0</v>
      </c>
      <c r="BW51" s="16">
        <f>IFERROR(__xludf.DUMMYFUNCTION("""COMPUTED_VALUE"""),0.0)</f>
        <v>0</v>
      </c>
      <c r="BX51" s="16">
        <f>IFERROR(__xludf.DUMMYFUNCTION("""COMPUTED_VALUE"""),0.0)</f>
        <v>0</v>
      </c>
      <c r="BY51" s="16">
        <f>IFERROR(__xludf.DUMMYFUNCTION("""COMPUTED_VALUE"""),0.0)</f>
        <v>0</v>
      </c>
      <c r="BZ51" s="16" t="str">
        <f>IFERROR(__xludf.DUMMYFUNCTION("""COMPUTED_VALUE"""),"D")</f>
        <v>D</v>
      </c>
      <c r="CA51" s="16" t="str">
        <f>IFERROR(__xludf.DUMMYFUNCTION("""COMPUTED_VALUE"""),"B")</f>
        <v>B</v>
      </c>
      <c r="CB51" s="16">
        <f>IFERROR(__xludf.DUMMYFUNCTION("""COMPUTED_VALUE"""),0.0)</f>
        <v>0</v>
      </c>
      <c r="CC51" s="16">
        <f>IFERROR(__xludf.DUMMYFUNCTION("""COMPUTED_VALUE"""),1.0)</f>
        <v>1</v>
      </c>
      <c r="CD51" s="16">
        <f>IFERROR(__xludf.DUMMYFUNCTION("""COMPUTED_VALUE"""),0.0)</f>
        <v>0</v>
      </c>
      <c r="CE51" s="16">
        <f>IFERROR(__xludf.DUMMYFUNCTION("""COMPUTED_VALUE"""),2.0)</f>
        <v>2</v>
      </c>
      <c r="CF51" s="16">
        <f>IFERROR(__xludf.DUMMYFUNCTION("""COMPUTED_VALUE"""),1.0)</f>
        <v>1</v>
      </c>
      <c r="CG51" s="16">
        <f>IFERROR(__xludf.DUMMYFUNCTION("""COMPUTED_VALUE"""),14.0)</f>
        <v>14</v>
      </c>
      <c r="CH51" s="16">
        <f>IFERROR(__xludf.DUMMYFUNCTION("""COMPUTED_VALUE"""),13.0)</f>
        <v>13</v>
      </c>
      <c r="CI51" s="179">
        <f>IFERROR(__xludf.DUMMYFUNCTION("""COMPUTED_VALUE"""),21.0)</f>
        <v>21</v>
      </c>
      <c r="CJ51" s="16"/>
      <c r="CK51" s="16"/>
      <c r="CL51" s="16"/>
      <c r="CM51" s="16"/>
      <c r="CN51" s="16"/>
      <c r="CO51" s="16"/>
      <c r="CP51" s="16">
        <f>IFERROR(__xludf.DUMMYFUNCTION("""COMPUTED_VALUE"""),406.0)</f>
        <v>406</v>
      </c>
      <c r="CQ51" s="16"/>
      <c r="CR51" s="16" t="str">
        <f>IFERROR(__xludf.DUMMYFUNCTION("""COMPUTED_VALUE"""),"cf-4(-2)e6")</f>
        <v>cf-4(-2)e6</v>
      </c>
      <c r="CS51" s="16"/>
      <c r="CT51" s="16"/>
      <c r="CU51" s="16"/>
      <c r="CV51" s="16"/>
      <c r="CW51" s="16"/>
      <c r="CX51" s="16"/>
      <c r="CY51" s="16">
        <f>IFERROR(__xludf.DUMMYFUNCTION("""COMPUTED_VALUE"""),4.0)</f>
        <v>4</v>
      </c>
      <c r="CZ51" s="16"/>
      <c r="DA51" s="16"/>
      <c r="DB51" s="16"/>
      <c r="DC51" s="16"/>
      <c r="DD51" s="16"/>
      <c r="DE51" s="16"/>
      <c r="DF51" s="16"/>
      <c r="DG51" s="16">
        <f>IFERROR(__xludf.DUMMYFUNCTION("""COMPUTED_VALUE"""),6.0)</f>
        <v>6</v>
      </c>
      <c r="DH51" s="16"/>
      <c r="DI51" s="16"/>
      <c r="DJ51" s="16"/>
      <c r="DK51" s="16"/>
      <c r="DL51" s="16"/>
      <c r="DM51" s="16"/>
      <c r="DN51" s="16"/>
      <c r="DO51" s="16">
        <f>IFERROR(__xludf.DUMMYFUNCTION("""COMPUTED_VALUE"""),-2.0)</f>
        <v>-2</v>
      </c>
      <c r="DP51" s="16"/>
      <c r="DQ51" s="16"/>
      <c r="DR51" s="16"/>
      <c r="DS51" s="16"/>
      <c r="DT51" s="16"/>
      <c r="DU51" s="16"/>
      <c r="DV51" s="16"/>
      <c r="DW51" s="16">
        <f>IFERROR(__xludf.DUMMYFUNCTION("""COMPUTED_VALUE"""),3.0)</f>
        <v>3</v>
      </c>
      <c r="DX51" s="16"/>
      <c r="DY51" s="16"/>
      <c r="DZ51" s="16"/>
      <c r="EA51" s="16"/>
      <c r="EB51" s="16"/>
      <c r="EC51" s="16"/>
      <c r="ED51" s="16"/>
      <c r="EE51" s="16">
        <f>IFERROR(__xludf.DUMMYFUNCTION("""COMPUTED_VALUE"""),1.0)</f>
        <v>1</v>
      </c>
      <c r="EF51" s="16"/>
      <c r="EG51" s="179"/>
      <c r="EH51" s="179"/>
      <c r="EI51" s="179"/>
      <c r="EJ51" s="179"/>
      <c r="EK51" s="179"/>
      <c r="EL51" s="179"/>
      <c r="EM51" s="179">
        <f>IFERROR(__xludf.DUMMYFUNCTION("""COMPUTED_VALUE"""),22.0)</f>
        <v>22</v>
      </c>
      <c r="EN51" s="179"/>
      <c r="EO51" s="16"/>
      <c r="EP51" s="16"/>
      <c r="EQ51" s="16">
        <f>IFERROR(__xludf.DUMMYFUNCTION("""COMPUTED_VALUE"""),4.0)</f>
        <v>4</v>
      </c>
      <c r="ER51" s="16">
        <f>IFERROR(__xludf.DUMMYFUNCTION("""COMPUTED_VALUE"""),3.0)</f>
        <v>3</v>
      </c>
      <c r="ES51" s="16"/>
      <c r="ET51" s="16"/>
      <c r="EU51" s="16"/>
      <c r="EV51" s="16"/>
      <c r="EW51" s="16"/>
      <c r="EX51" s="180"/>
      <c r="EY51" s="180"/>
      <c r="EZ51" s="180"/>
      <c r="FA51" s="180"/>
      <c r="FB51" s="180"/>
      <c r="FC51" s="180"/>
      <c r="FD51" s="180">
        <f>IFERROR(__xludf.DUMMYFUNCTION("""COMPUTED_VALUE"""),0.55)</f>
        <v>0.55</v>
      </c>
      <c r="FE51" s="180"/>
      <c r="FF51" s="180"/>
      <c r="FG51" s="180"/>
      <c r="FH51" s="180"/>
      <c r="FI51" s="180"/>
      <c r="FJ51" s="180"/>
      <c r="FK51" s="180"/>
      <c r="FL51" s="180">
        <f>IFERROR(__xludf.DUMMYFUNCTION("""COMPUTED_VALUE"""),0.06944444444444445)</f>
        <v>0.06944444444</v>
      </c>
      <c r="FM51" s="180"/>
      <c r="FN51" s="16"/>
      <c r="FO51" s="16"/>
      <c r="FP51" s="16"/>
      <c r="FQ51" s="16"/>
      <c r="FR51" s="16"/>
      <c r="FS51" s="16"/>
      <c r="FT51" s="16">
        <f>IFERROR(__xludf.DUMMYFUNCTION("""COMPUTED_VALUE"""),0.41874999999999996)</f>
        <v>0.41875</v>
      </c>
      <c r="FU51" s="16"/>
      <c r="FV51" s="16"/>
      <c r="FW51" s="16"/>
      <c r="FX51" s="16"/>
      <c r="FY51" s="16"/>
      <c r="FZ51" s="16"/>
      <c r="GA51" s="16"/>
      <c r="GB51" s="16">
        <f>IFERROR(__xludf.DUMMYFUNCTION("""COMPUTED_VALUE"""),-8.0)</f>
        <v>-8</v>
      </c>
      <c r="GC51" s="16"/>
      <c r="GD51" s="16" t="s">
        <v>126</v>
      </c>
    </row>
    <row r="52">
      <c r="A52" s="16">
        <f>IFERROR(__xludf.DUMMYFUNCTION("""COMPUTED_VALUE"""),13144.0)</f>
        <v>13144</v>
      </c>
      <c r="B52" s="16" t="str">
        <f>IFERROR(__xludf.DUMMYFUNCTION("""COMPUTED_VALUE"""),"Luke Raley")</f>
        <v>Luke Raley</v>
      </c>
      <c r="C52" s="16">
        <f>IFERROR(__xludf.DUMMYFUNCTION("""COMPUTED_VALUE"""),2.04)</f>
        <v>2.04</v>
      </c>
      <c r="D52" s="16" t="str">
        <f>IFERROR(__xludf.DUMMYFUNCTION("""COMPUTED_VALUE"""),"L")</f>
        <v>L</v>
      </c>
      <c r="E52" s="16"/>
      <c r="F52" s="16"/>
      <c r="G52" s="16">
        <f>IFERROR(__xludf.DUMMYFUNCTION("""COMPUTED_VALUE"""),404.0)</f>
        <v>404</v>
      </c>
      <c r="H52" s="16">
        <f>IFERROR(__xludf.DUMMYFUNCTION("""COMPUTED_VALUE"""),27.0)</f>
        <v>27</v>
      </c>
      <c r="I52" s="16" t="str">
        <f>IFERROR(__xludf.DUMMYFUNCTION("""COMPUTED_VALUE"""),"1p65")</f>
        <v>1p65</v>
      </c>
      <c r="J52" s="16">
        <f>IFERROR(__xludf.DUMMYFUNCTION("""COMPUTED_VALUE"""),37.0)</f>
        <v>37</v>
      </c>
      <c r="K52" s="16">
        <f>IFERROR(__xludf.DUMMYFUNCTION("""COMPUTED_VALUE"""),39.0)</f>
        <v>39</v>
      </c>
      <c r="L52" s="16">
        <f>IFERROR(__xludf.DUMMYFUNCTION("""COMPUTED_VALUE"""),-1.0)</f>
        <v>-1</v>
      </c>
      <c r="M52" s="16">
        <f>IFERROR(__xludf.DUMMYFUNCTION("""COMPUTED_VALUE"""),-2.0)</f>
        <v>-2</v>
      </c>
      <c r="N52" s="16">
        <f>IFERROR(__xludf.DUMMYFUNCTION("""COMPUTED_VALUE"""),-1.0)</f>
        <v>-1</v>
      </c>
      <c r="O52" s="16">
        <f>IFERROR(__xludf.DUMMYFUNCTION("""COMPUTED_VALUE"""),-2.0)</f>
        <v>-2</v>
      </c>
      <c r="P52" s="16">
        <f>IFERROR(__xludf.DUMMYFUNCTION("""COMPUTED_VALUE"""),7.0)</f>
        <v>7</v>
      </c>
      <c r="Q52" s="16">
        <f>IFERROR(__xludf.DUMMYFUNCTION("""COMPUTED_VALUE"""),2.0)</f>
        <v>2</v>
      </c>
      <c r="R52" s="16">
        <f>IFERROR(__xludf.DUMMYFUNCTION("""COMPUTED_VALUE"""),-1.0)</f>
        <v>-1</v>
      </c>
      <c r="S52" s="16">
        <f>IFERROR(__xludf.DUMMYFUNCTION("""COMPUTED_VALUE"""),-2.0)</f>
        <v>-2</v>
      </c>
      <c r="T52" s="16">
        <f>IFERROR(__xludf.DUMMYFUNCTION("""COMPUTED_VALUE"""),-1.0)</f>
        <v>-1</v>
      </c>
      <c r="U52" s="16">
        <f>IFERROR(__xludf.DUMMYFUNCTION("""COMPUTED_VALUE"""),-2.0)</f>
        <v>-2</v>
      </c>
      <c r="V52" s="16">
        <f>IFERROR(__xludf.DUMMYFUNCTION("""COMPUTED_VALUE"""),9.6)</f>
        <v>9.6</v>
      </c>
      <c r="W52" s="16">
        <f>IFERROR(__xludf.DUMMYFUNCTION("""COMPUTED_VALUE"""),20.4)</f>
        <v>20.4</v>
      </c>
      <c r="X52" s="16">
        <f>IFERROR(__xludf.DUMMYFUNCTION("""COMPUTED_VALUE"""),-1.0)</f>
        <v>-1</v>
      </c>
      <c r="Y52" s="16">
        <f>IFERROR(__xludf.DUMMYFUNCTION("""COMPUTED_VALUE"""),0.0)</f>
        <v>0</v>
      </c>
      <c r="Z52" s="16">
        <f>IFERROR(__xludf.DUMMYFUNCTION("""COMPUTED_VALUE"""),-2.0)</f>
        <v>-2</v>
      </c>
      <c r="AA52" s="16">
        <f>IFERROR(__xludf.DUMMYFUNCTION("""COMPUTED_VALUE"""),0.0)</f>
        <v>0</v>
      </c>
      <c r="AB52" s="16">
        <f>IFERROR(__xludf.DUMMYFUNCTION("""COMPUTED_VALUE"""),26.6)</f>
        <v>26.6</v>
      </c>
      <c r="AC52" s="16">
        <f>IFERROR(__xludf.DUMMYFUNCTION("""COMPUTED_VALUE"""),32.3)</f>
        <v>32.3</v>
      </c>
      <c r="AD52" s="16">
        <f>IFERROR(__xludf.DUMMYFUNCTION("""COMPUTED_VALUE"""),-1.0)</f>
        <v>-1</v>
      </c>
      <c r="AE52" s="16">
        <f>IFERROR(__xludf.DUMMYFUNCTION("""COMPUTED_VALUE"""),0.0)</f>
        <v>0</v>
      </c>
      <c r="AF52" s="16">
        <f>IFERROR(__xludf.DUMMYFUNCTION("""COMPUTED_VALUE"""),-5.0)</f>
        <v>-5</v>
      </c>
      <c r="AG52" s="16">
        <f>IFERROR(__xludf.DUMMYFUNCTION("""COMPUTED_VALUE"""),0.0)</f>
        <v>0</v>
      </c>
      <c r="AH52" s="16">
        <f>IFERROR(__xludf.DUMMYFUNCTION("""COMPUTED_VALUE"""),16.5)</f>
        <v>16.5</v>
      </c>
      <c r="AI52" s="16">
        <f>IFERROR(__xludf.DUMMYFUNCTION("""COMPUTED_VALUE"""),41.1)</f>
        <v>41.1</v>
      </c>
      <c r="AJ52" s="16">
        <f>IFERROR(__xludf.DUMMYFUNCTION("""COMPUTED_VALUE"""),-1.0)</f>
        <v>-1</v>
      </c>
      <c r="AK52" s="16">
        <f>IFERROR(__xludf.DUMMYFUNCTION("""COMPUTED_VALUE"""),1.0)</f>
        <v>1</v>
      </c>
      <c r="AL52" s="16">
        <f>IFERROR(__xludf.DUMMYFUNCTION("""COMPUTED_VALUE"""),-5.0)</f>
        <v>-5</v>
      </c>
      <c r="AM52" s="16">
        <f>IFERROR(__xludf.DUMMYFUNCTION("""COMPUTED_VALUE"""),5.0)</f>
        <v>5</v>
      </c>
      <c r="AN52" s="16">
        <f>IFERROR(__xludf.DUMMYFUNCTION("""COMPUTED_VALUE"""),1.3)</f>
        <v>1.3</v>
      </c>
      <c r="AO52" s="16">
        <f>IFERROR(__xludf.DUMMYFUNCTION("""COMPUTED_VALUE"""),5.2)</f>
        <v>5.2</v>
      </c>
      <c r="AP52" s="16">
        <f>IFERROR(__xludf.DUMMYFUNCTION("""COMPUTED_VALUE"""),-1.0)</f>
        <v>-1</v>
      </c>
      <c r="AQ52" s="16">
        <f>IFERROR(__xludf.DUMMYFUNCTION("""COMPUTED_VALUE"""),3.0)</f>
        <v>3</v>
      </c>
      <c r="AR52" s="16">
        <f>IFERROR(__xludf.DUMMYFUNCTION("""COMPUTED_VALUE"""),-2.0)</f>
        <v>-2</v>
      </c>
      <c r="AS52" s="16">
        <f>IFERROR(__xludf.DUMMYFUNCTION("""COMPUTED_VALUE"""),6.0)</f>
        <v>6</v>
      </c>
      <c r="AT52" s="16">
        <f>IFERROR(__xludf.DUMMYFUNCTION("""COMPUTED_VALUE"""),3.0)</f>
        <v>3</v>
      </c>
      <c r="AU52" s="16">
        <f>IFERROR(__xludf.DUMMYFUNCTION("""COMPUTED_VALUE"""),8.0)</f>
        <v>8</v>
      </c>
      <c r="AV52" s="16">
        <f>IFERROR(__xludf.DUMMYFUNCTION("""COMPUTED_VALUE"""),3.0)</f>
        <v>3</v>
      </c>
      <c r="AW52" s="16">
        <f>IFERROR(__xludf.DUMMYFUNCTION("""COMPUTED_VALUE"""),8.0)</f>
        <v>8</v>
      </c>
      <c r="AX52" s="16">
        <f>IFERROR(__xludf.DUMMYFUNCTION("""COMPUTED_VALUE"""),1.0)</f>
        <v>1</v>
      </c>
      <c r="AY52" s="16">
        <f>IFERROR(__xludf.DUMMYFUNCTION("""COMPUTED_VALUE"""),3.0)</f>
        <v>3</v>
      </c>
      <c r="AZ52" s="16">
        <f>IFERROR(__xludf.DUMMYFUNCTION("""COMPUTED_VALUE"""),3.0)</f>
        <v>3</v>
      </c>
      <c r="BA52" s="16">
        <f>IFERROR(__xludf.DUMMYFUNCTION("""COMPUTED_VALUE"""),9.0)</f>
        <v>9</v>
      </c>
      <c r="BB52" s="16">
        <f>IFERROR(__xludf.DUMMYFUNCTION("""COMPUTED_VALUE"""),5.0)</f>
        <v>5</v>
      </c>
      <c r="BC52" s="16">
        <f>IFERROR(__xludf.DUMMYFUNCTION("""COMPUTED_VALUE"""),5.0)</f>
        <v>5</v>
      </c>
      <c r="BD52" s="16">
        <f>IFERROR(__xludf.DUMMYFUNCTION("""COMPUTED_VALUE"""),1.0)</f>
        <v>1</v>
      </c>
      <c r="BE52" s="16">
        <f>IFERROR(__xludf.DUMMYFUNCTION("""COMPUTED_VALUE"""),1.0)</f>
        <v>1</v>
      </c>
      <c r="BF52" s="16">
        <f>IFERROR(__xludf.DUMMYFUNCTION("""COMPUTED_VALUE"""),1.0)</f>
        <v>1</v>
      </c>
      <c r="BG52" s="16">
        <f>IFERROR(__xludf.DUMMYFUNCTION("""COMPUTED_VALUE"""),1.0)</f>
        <v>1</v>
      </c>
      <c r="BH52" s="16">
        <f>IFERROR(__xludf.DUMMYFUNCTION("""COMPUTED_VALUE"""),0.0)</f>
        <v>0</v>
      </c>
      <c r="BI52" s="16">
        <f>IFERROR(__xludf.DUMMYFUNCTION("""COMPUTED_VALUE"""),0.0)</f>
        <v>0</v>
      </c>
      <c r="BJ52" s="16">
        <f>IFERROR(__xludf.DUMMYFUNCTION("""COMPUTED_VALUE"""),0.0)</f>
        <v>0</v>
      </c>
      <c r="BK52" s="16">
        <f>IFERROR(__xludf.DUMMYFUNCTION("""COMPUTED_VALUE"""),0.0)</f>
        <v>0</v>
      </c>
      <c r="BL52" s="16">
        <f>IFERROR(__xludf.DUMMYFUNCTION("""COMPUTED_VALUE"""),3.0)</f>
        <v>3</v>
      </c>
      <c r="BM52" s="16">
        <f>IFERROR(__xludf.DUMMYFUNCTION("""COMPUTED_VALUE"""),3.0)</f>
        <v>3</v>
      </c>
      <c r="BN52" s="16">
        <f>IFERROR(__xludf.DUMMYFUNCTION("""COMPUTED_VALUE"""),3.0)</f>
        <v>3</v>
      </c>
      <c r="BO52" s="16">
        <f>IFERROR(__xludf.DUMMYFUNCTION("""COMPUTED_VALUE"""),3.0)</f>
        <v>3</v>
      </c>
      <c r="BP52" s="16">
        <f>IFERROR(__xludf.DUMMYFUNCTION("""COMPUTED_VALUE"""),-1.0)</f>
        <v>-1</v>
      </c>
      <c r="BQ52" s="16">
        <f>IFERROR(__xludf.DUMMYFUNCTION("""COMPUTED_VALUE"""),7.0)</f>
        <v>7</v>
      </c>
      <c r="BR52" s="16">
        <f>IFERROR(__xludf.DUMMYFUNCTION("""COMPUTED_VALUE"""),6.0)</f>
        <v>6</v>
      </c>
      <c r="BS52" s="16" t="str">
        <f>IFERROR(__xludf.DUMMYFUNCTION("""COMPUTED_VALUE"""),"*4,5/- (19-12)")</f>
        <v>*4,5/- (19-12)</v>
      </c>
      <c r="BT52" s="16" t="str">
        <f>IFERROR(__xludf.DUMMYFUNCTION("""COMPUTED_VALUE"""),"B")</f>
        <v>B</v>
      </c>
      <c r="BU52" s="16">
        <f>IFERROR(__xludf.DUMMYFUNCTION("""COMPUTED_VALUE"""),15.0)</f>
        <v>15</v>
      </c>
      <c r="BV52" s="16">
        <f>IFERROR(__xludf.DUMMYFUNCTION("""COMPUTED_VALUE"""),1.0)</f>
        <v>1</v>
      </c>
      <c r="BW52" s="16">
        <f>IFERROR(__xludf.DUMMYFUNCTION("""COMPUTED_VALUE"""),2.0)</f>
        <v>2</v>
      </c>
      <c r="BX52" s="16">
        <f>IFERROR(__xludf.DUMMYFUNCTION("""COMPUTED_VALUE"""),2.0)</f>
        <v>2</v>
      </c>
      <c r="BY52" s="16">
        <f>IFERROR(__xludf.DUMMYFUNCTION("""COMPUTED_VALUE"""),6.0)</f>
        <v>6</v>
      </c>
      <c r="BZ52" s="16" t="str">
        <f>IFERROR(__xludf.DUMMYFUNCTION("""COMPUTED_VALUE"""),"B")</f>
        <v>B</v>
      </c>
      <c r="CA52" s="16" t="str">
        <f>IFERROR(__xludf.DUMMYFUNCTION("""COMPUTED_VALUE"""),"D")</f>
        <v>D</v>
      </c>
      <c r="CB52" s="16">
        <f>IFERROR(__xludf.DUMMYFUNCTION("""COMPUTED_VALUE"""),1.0)</f>
        <v>1</v>
      </c>
      <c r="CC52" s="16">
        <f>IFERROR(__xludf.DUMMYFUNCTION("""COMPUTED_VALUE"""),0.0)</f>
        <v>0</v>
      </c>
      <c r="CD52" s="16">
        <f>IFERROR(__xludf.DUMMYFUNCTION("""COMPUTED_VALUE"""),1.0)</f>
        <v>1</v>
      </c>
      <c r="CE52" s="16">
        <f>IFERROR(__xludf.DUMMYFUNCTION("""COMPUTED_VALUE"""),0.0)</f>
        <v>0</v>
      </c>
      <c r="CF52" s="16">
        <f>IFERROR(__xludf.DUMMYFUNCTION("""COMPUTED_VALUE"""),1.0)</f>
        <v>1</v>
      </c>
      <c r="CG52" s="16">
        <f>IFERROR(__xludf.DUMMYFUNCTION("""COMPUTED_VALUE"""),-9.0)</f>
        <v>-9</v>
      </c>
      <c r="CH52" s="16">
        <f>IFERROR(__xludf.DUMMYFUNCTION("""COMPUTED_VALUE"""),20.0)</f>
        <v>20</v>
      </c>
      <c r="CI52" s="179">
        <f>IFERROR(__xludf.DUMMYFUNCTION("""COMPUTED_VALUE"""),21.0)</f>
        <v>21</v>
      </c>
      <c r="CJ52" s="16"/>
      <c r="CK52" s="16">
        <f>IFERROR(__xludf.DUMMYFUNCTION("""COMPUTED_VALUE"""),405.0)</f>
        <v>405</v>
      </c>
      <c r="CL52" s="16"/>
      <c r="CM52" s="16"/>
      <c r="CN52" s="16"/>
      <c r="CO52" s="16">
        <f>IFERROR(__xludf.DUMMYFUNCTION("""COMPUTED_VALUE"""),306.0)</f>
        <v>306</v>
      </c>
      <c r="CP52" s="16">
        <f>IFERROR(__xludf.DUMMYFUNCTION("""COMPUTED_VALUE"""),406.0)</f>
        <v>406</v>
      </c>
      <c r="CQ52" s="16">
        <f>IFERROR(__xludf.DUMMYFUNCTION("""COMPUTED_VALUE"""),306.0)</f>
        <v>306</v>
      </c>
      <c r="CR52" s="16" t="str">
        <f>IFERROR(__xludf.DUMMYFUNCTION("""COMPUTED_VALUE"""),"lf-3(-2)e6 1b-4e5 rf-3e6 cf-4e6")</f>
        <v>lf-3(-2)e6 1b-4e5 rf-3e6 cf-4e6</v>
      </c>
      <c r="CS52" s="16"/>
      <c r="CT52" s="16">
        <f>IFERROR(__xludf.DUMMYFUNCTION("""COMPUTED_VALUE"""),4.0)</f>
        <v>4</v>
      </c>
      <c r="CU52" s="16"/>
      <c r="CV52" s="16"/>
      <c r="CW52" s="16"/>
      <c r="CX52" s="16">
        <f>IFERROR(__xludf.DUMMYFUNCTION("""COMPUTED_VALUE"""),3.0)</f>
        <v>3</v>
      </c>
      <c r="CY52" s="16">
        <f>IFERROR(__xludf.DUMMYFUNCTION("""COMPUTED_VALUE"""),4.0)</f>
        <v>4</v>
      </c>
      <c r="CZ52" s="16">
        <f>IFERROR(__xludf.DUMMYFUNCTION("""COMPUTED_VALUE"""),3.0)</f>
        <v>3</v>
      </c>
      <c r="DA52" s="16"/>
      <c r="DB52" s="16">
        <f>IFERROR(__xludf.DUMMYFUNCTION("""COMPUTED_VALUE"""),5.0)</f>
        <v>5</v>
      </c>
      <c r="DC52" s="16"/>
      <c r="DD52" s="16"/>
      <c r="DE52" s="16"/>
      <c r="DF52" s="16">
        <f>IFERROR(__xludf.DUMMYFUNCTION("""COMPUTED_VALUE"""),6.0)</f>
        <v>6</v>
      </c>
      <c r="DG52" s="16">
        <f>IFERROR(__xludf.DUMMYFUNCTION("""COMPUTED_VALUE"""),6.0)</f>
        <v>6</v>
      </c>
      <c r="DH52" s="16">
        <f>IFERROR(__xludf.DUMMYFUNCTION("""COMPUTED_VALUE"""),6.0)</f>
        <v>6</v>
      </c>
      <c r="DI52" s="16"/>
      <c r="DJ52" s="16">
        <f>IFERROR(__xludf.DUMMYFUNCTION("""COMPUTED_VALUE"""),0.0)</f>
        <v>0</v>
      </c>
      <c r="DK52" s="16"/>
      <c r="DL52" s="16"/>
      <c r="DM52" s="16"/>
      <c r="DN52" s="16">
        <f>IFERROR(__xludf.DUMMYFUNCTION("""COMPUTED_VALUE"""),0.0)</f>
        <v>0</v>
      </c>
      <c r="DO52" s="16">
        <f>IFERROR(__xludf.DUMMYFUNCTION("""COMPUTED_VALUE"""),-2.0)</f>
        <v>-2</v>
      </c>
      <c r="DP52" s="16">
        <f>IFERROR(__xludf.DUMMYFUNCTION("""COMPUTED_VALUE"""),0.0)</f>
        <v>0</v>
      </c>
      <c r="DQ52" s="16"/>
      <c r="DR52" s="16">
        <f>IFERROR(__xludf.DUMMYFUNCTION("""COMPUTED_VALUE"""),2.0)</f>
        <v>2</v>
      </c>
      <c r="DS52" s="16"/>
      <c r="DT52" s="16"/>
      <c r="DU52" s="16"/>
      <c r="DV52" s="16">
        <f>IFERROR(__xludf.DUMMYFUNCTION("""COMPUTED_VALUE"""),2.0)</f>
        <v>2</v>
      </c>
      <c r="DW52" s="16">
        <f>IFERROR(__xludf.DUMMYFUNCTION("""COMPUTED_VALUE"""),3.0)</f>
        <v>3</v>
      </c>
      <c r="DX52" s="16">
        <f>IFERROR(__xludf.DUMMYFUNCTION("""COMPUTED_VALUE"""),2.0)</f>
        <v>2</v>
      </c>
      <c r="DY52" s="16"/>
      <c r="DZ52" s="16">
        <f>IFERROR(__xludf.DUMMYFUNCTION("""COMPUTED_VALUE"""),2.0)</f>
        <v>2</v>
      </c>
      <c r="EA52" s="16"/>
      <c r="EB52" s="16"/>
      <c r="EC52" s="16"/>
      <c r="ED52" s="16">
        <f>IFERROR(__xludf.DUMMYFUNCTION("""COMPUTED_VALUE"""),2.0)</f>
        <v>2</v>
      </c>
      <c r="EE52" s="16">
        <f>IFERROR(__xludf.DUMMYFUNCTION("""COMPUTED_VALUE"""),1.0)</f>
        <v>1</v>
      </c>
      <c r="EF52" s="16">
        <f>IFERROR(__xludf.DUMMYFUNCTION("""COMPUTED_VALUE"""),2.0)</f>
        <v>2</v>
      </c>
      <c r="EG52" s="179"/>
      <c r="EH52" s="179">
        <f>IFERROR(__xludf.DUMMYFUNCTION("""COMPUTED_VALUE"""),23.0)</f>
        <v>23</v>
      </c>
      <c r="EI52" s="179"/>
      <c r="EJ52" s="179"/>
      <c r="EK52" s="179"/>
      <c r="EL52" s="179">
        <f>IFERROR(__xludf.DUMMYFUNCTION("""COMPUTED_VALUE"""),23.0)</f>
        <v>23</v>
      </c>
      <c r="EM52" s="179">
        <f>IFERROR(__xludf.DUMMYFUNCTION("""COMPUTED_VALUE"""),22.0)</f>
        <v>22</v>
      </c>
      <c r="EN52" s="179">
        <f>IFERROR(__xludf.DUMMYFUNCTION("""COMPUTED_VALUE"""),23.0)</f>
        <v>23</v>
      </c>
      <c r="EO52" s="16"/>
      <c r="EP52" s="16">
        <f>IFERROR(__xludf.DUMMYFUNCTION("""COMPUTED_VALUE"""),1.0)</f>
        <v>1</v>
      </c>
      <c r="EQ52" s="16">
        <f>IFERROR(__xludf.DUMMYFUNCTION("""COMPUTED_VALUE"""),4.0)</f>
        <v>4</v>
      </c>
      <c r="ER52" s="16">
        <f>IFERROR(__xludf.DUMMYFUNCTION("""COMPUTED_VALUE"""),2.0)</f>
        <v>2</v>
      </c>
      <c r="ES52" s="16"/>
      <c r="ET52" s="16"/>
      <c r="EU52" s="16"/>
      <c r="EV52" s="16"/>
      <c r="EW52" s="16"/>
      <c r="EX52" s="180"/>
      <c r="EY52" s="180">
        <f>IFERROR(__xludf.DUMMYFUNCTION("""COMPUTED_VALUE"""),0.3)</f>
        <v>0.3</v>
      </c>
      <c r="EZ52" s="180"/>
      <c r="FA52" s="180"/>
      <c r="FB52" s="180"/>
      <c r="FC52" s="180">
        <f>IFERROR(__xludf.DUMMYFUNCTION("""COMPUTED_VALUE"""),0.3)</f>
        <v>0.3</v>
      </c>
      <c r="FD52" s="180">
        <f>IFERROR(__xludf.DUMMYFUNCTION("""COMPUTED_VALUE"""),0.55)</f>
        <v>0.55</v>
      </c>
      <c r="FE52" s="180">
        <f>IFERROR(__xludf.DUMMYFUNCTION("""COMPUTED_VALUE"""),0.3)</f>
        <v>0.3</v>
      </c>
      <c r="FF52" s="180"/>
      <c r="FG52" s="180">
        <f>IFERROR(__xludf.DUMMYFUNCTION("""COMPUTED_VALUE"""),0.08796296296296297)</f>
        <v>0.08796296296</v>
      </c>
      <c r="FH52" s="180"/>
      <c r="FI52" s="180"/>
      <c r="FJ52" s="180"/>
      <c r="FK52" s="180">
        <f>IFERROR(__xludf.DUMMYFUNCTION("""COMPUTED_VALUE"""),0.106)</f>
        <v>0.106</v>
      </c>
      <c r="FL52" s="180">
        <f>IFERROR(__xludf.DUMMYFUNCTION("""COMPUTED_VALUE"""),0.06944444444444445)</f>
        <v>0.06944444444</v>
      </c>
      <c r="FM52" s="180">
        <f>IFERROR(__xludf.DUMMYFUNCTION("""COMPUTED_VALUE"""),0.106)</f>
        <v>0.106</v>
      </c>
      <c r="FN52" s="16"/>
      <c r="FO52" s="16">
        <f>IFERROR(__xludf.DUMMYFUNCTION("""COMPUTED_VALUE"""),0.6384259259259258)</f>
        <v>0.6384259259</v>
      </c>
      <c r="FP52" s="16"/>
      <c r="FQ52" s="16"/>
      <c r="FR52" s="16"/>
      <c r="FS52" s="16">
        <f>IFERROR(__xludf.DUMMYFUNCTION("""COMPUTED_VALUE"""),0.6258)</f>
        <v>0.6258</v>
      </c>
      <c r="FT52" s="16">
        <f>IFERROR(__xludf.DUMMYFUNCTION("""COMPUTED_VALUE"""),0.41874999999999996)</f>
        <v>0.41875</v>
      </c>
      <c r="FU52" s="16">
        <f>IFERROR(__xludf.DUMMYFUNCTION("""COMPUTED_VALUE"""),0.6258)</f>
        <v>0.6258</v>
      </c>
      <c r="FV52" s="16"/>
      <c r="FW52" s="16">
        <f>IFERROR(__xludf.DUMMYFUNCTION("""COMPUTED_VALUE"""),-6.0)</f>
        <v>-6</v>
      </c>
      <c r="FX52" s="16"/>
      <c r="FY52" s="16"/>
      <c r="FZ52" s="16"/>
      <c r="GA52" s="16">
        <f>IFERROR(__xludf.DUMMYFUNCTION("""COMPUTED_VALUE"""),-7.0)</f>
        <v>-7</v>
      </c>
      <c r="GB52" s="16">
        <f>IFERROR(__xludf.DUMMYFUNCTION("""COMPUTED_VALUE"""),-9.0)</f>
        <v>-9</v>
      </c>
      <c r="GC52" s="16">
        <f>IFERROR(__xludf.DUMMYFUNCTION("""COMPUTED_VALUE"""),-7.0)</f>
        <v>-7</v>
      </c>
      <c r="GD52" s="16" t="s">
        <v>200</v>
      </c>
    </row>
    <row r="53">
      <c r="A53" s="16">
        <f>IFERROR(__xludf.DUMMYFUNCTION("""COMPUTED_VALUE"""),13383.0)</f>
        <v>13383</v>
      </c>
      <c r="B53" s="16" t="str">
        <f>IFERROR(__xludf.DUMMYFUNCTION("""COMPUTED_VALUE"""),"Spencer Horwitz")</f>
        <v>Spencer Horwitz</v>
      </c>
      <c r="C53" s="16">
        <f>IFERROR(__xludf.DUMMYFUNCTION("""COMPUTED_VALUE"""),0.91)</f>
        <v>0.91</v>
      </c>
      <c r="D53" s="16" t="str">
        <f>IFERROR(__xludf.DUMMYFUNCTION("""COMPUTED_VALUE"""),"L")</f>
        <v>L</v>
      </c>
      <c r="E53" s="16"/>
      <c r="F53" s="16"/>
      <c r="G53" s="16">
        <f>IFERROR(__xludf.DUMMYFUNCTION("""COMPUTED_VALUE"""),328.0)</f>
        <v>328</v>
      </c>
      <c r="H53" s="16">
        <f>IFERROR(__xludf.DUMMYFUNCTION("""COMPUTED_VALUE"""),42.0)</f>
        <v>42</v>
      </c>
      <c r="I53" s="16" t="str">
        <f>IFERROR(__xludf.DUMMYFUNCTION("""COMPUTED_VALUE"""),"1p50")</f>
        <v>1p50</v>
      </c>
      <c r="J53" s="16">
        <f>IFERROR(__xludf.DUMMYFUNCTION("""COMPUTED_VALUE"""),11.0)</f>
        <v>11</v>
      </c>
      <c r="K53" s="16">
        <f>IFERROR(__xludf.DUMMYFUNCTION("""COMPUTED_VALUE"""),17.0)</f>
        <v>17</v>
      </c>
      <c r="L53" s="16">
        <f>IFERROR(__xludf.DUMMYFUNCTION("""COMPUTED_VALUE"""),1.0)</f>
        <v>1</v>
      </c>
      <c r="M53" s="16">
        <f>IFERROR(__xludf.DUMMYFUNCTION("""COMPUTED_VALUE"""),1.0)</f>
        <v>1</v>
      </c>
      <c r="N53" s="16">
        <f>IFERROR(__xludf.DUMMYFUNCTION("""COMPUTED_VALUE"""),1.0)</f>
        <v>1</v>
      </c>
      <c r="O53" s="16">
        <f>IFERROR(__xludf.DUMMYFUNCTION("""COMPUTED_VALUE"""),1.0)</f>
        <v>1</v>
      </c>
      <c r="P53" s="16">
        <f>IFERROR(__xludf.DUMMYFUNCTION("""COMPUTED_VALUE"""),11.0)</f>
        <v>11</v>
      </c>
      <c r="Q53" s="16">
        <f>IFERROR(__xludf.DUMMYFUNCTION("""COMPUTED_VALUE"""),14.0)</f>
        <v>14</v>
      </c>
      <c r="R53" s="16">
        <f>IFERROR(__xludf.DUMMYFUNCTION("""COMPUTED_VALUE"""),1.0)</f>
        <v>1</v>
      </c>
      <c r="S53" s="16">
        <f>IFERROR(__xludf.DUMMYFUNCTION("""COMPUTED_VALUE"""),2.0)</f>
        <v>2</v>
      </c>
      <c r="T53" s="16">
        <f>IFERROR(__xludf.DUMMYFUNCTION("""COMPUTED_VALUE"""),1.0)</f>
        <v>1</v>
      </c>
      <c r="U53" s="16">
        <f>IFERROR(__xludf.DUMMYFUNCTION("""COMPUTED_VALUE"""),2.0)</f>
        <v>2</v>
      </c>
      <c r="V53" s="16">
        <f>IFERROR(__xludf.DUMMYFUNCTION("""COMPUTED_VALUE"""),11.8)</f>
        <v>11.8</v>
      </c>
      <c r="W53" s="16">
        <f>IFERROR(__xludf.DUMMYFUNCTION("""COMPUTED_VALUE"""),25.3)</f>
        <v>25.3</v>
      </c>
      <c r="X53" s="16">
        <f>IFERROR(__xludf.DUMMYFUNCTION("""COMPUTED_VALUE"""),-1.0)</f>
        <v>-1</v>
      </c>
      <c r="Y53" s="16">
        <f>IFERROR(__xludf.DUMMYFUNCTION("""COMPUTED_VALUE"""),1.0)</f>
        <v>1</v>
      </c>
      <c r="Z53" s="16">
        <f>IFERROR(__xludf.DUMMYFUNCTION("""COMPUTED_VALUE"""),-2.0)</f>
        <v>-2</v>
      </c>
      <c r="AA53" s="16">
        <f>IFERROR(__xludf.DUMMYFUNCTION("""COMPUTED_VALUE"""),2.0)</f>
        <v>2</v>
      </c>
      <c r="AB53" s="16">
        <f>IFERROR(__xludf.DUMMYFUNCTION("""COMPUTED_VALUE"""),26.8)</f>
        <v>26.8</v>
      </c>
      <c r="AC53" s="16">
        <f>IFERROR(__xludf.DUMMYFUNCTION("""COMPUTED_VALUE"""),43.3)</f>
        <v>43.3</v>
      </c>
      <c r="AD53" s="16">
        <f>IFERROR(__xludf.DUMMYFUNCTION("""COMPUTED_VALUE"""),0.0)</f>
        <v>0</v>
      </c>
      <c r="AE53" s="16">
        <f>IFERROR(__xludf.DUMMYFUNCTION("""COMPUTED_VALUE"""),2.0)</f>
        <v>2</v>
      </c>
      <c r="AF53" s="16">
        <f>IFERROR(__xludf.DUMMYFUNCTION("""COMPUTED_VALUE"""),0.0)</f>
        <v>0</v>
      </c>
      <c r="AG53" s="16">
        <f>IFERROR(__xludf.DUMMYFUNCTION("""COMPUTED_VALUE"""),10.0)</f>
        <v>10</v>
      </c>
      <c r="AH53" s="16">
        <f>IFERROR(__xludf.DUMMYFUNCTION("""COMPUTED_VALUE"""),18.0)</f>
        <v>18</v>
      </c>
      <c r="AI53" s="16">
        <f>IFERROR(__xludf.DUMMYFUNCTION("""COMPUTED_VALUE"""),40.9)</f>
        <v>40.9</v>
      </c>
      <c r="AJ53" s="16">
        <f>IFERROR(__xludf.DUMMYFUNCTION("""COMPUTED_VALUE"""),-1.0)</f>
        <v>-1</v>
      </c>
      <c r="AK53" s="16">
        <f>IFERROR(__xludf.DUMMYFUNCTION("""COMPUTED_VALUE"""),1.0)</f>
        <v>1</v>
      </c>
      <c r="AL53" s="16">
        <f>IFERROR(__xludf.DUMMYFUNCTION("""COMPUTED_VALUE"""),-5.0)</f>
        <v>-5</v>
      </c>
      <c r="AM53" s="16">
        <f>IFERROR(__xludf.DUMMYFUNCTION("""COMPUTED_VALUE"""),5.0)</f>
        <v>5</v>
      </c>
      <c r="AN53" s="16">
        <f>IFERROR(__xludf.DUMMYFUNCTION("""COMPUTED_VALUE"""),0.0)</f>
        <v>0</v>
      </c>
      <c r="AO53" s="16">
        <f>IFERROR(__xludf.DUMMYFUNCTION("""COMPUTED_VALUE"""),3.2)</f>
        <v>3.2</v>
      </c>
      <c r="AP53" s="16">
        <f>IFERROR(__xludf.DUMMYFUNCTION("""COMPUTED_VALUE"""),-2.0)</f>
        <v>-2</v>
      </c>
      <c r="AQ53" s="16">
        <f>IFERROR(__xludf.DUMMYFUNCTION("""COMPUTED_VALUE"""),1.0)</f>
        <v>1</v>
      </c>
      <c r="AR53" s="16">
        <f>IFERROR(__xludf.DUMMYFUNCTION("""COMPUTED_VALUE"""),-4.0)</f>
        <v>-4</v>
      </c>
      <c r="AS53" s="16">
        <f>IFERROR(__xludf.DUMMYFUNCTION("""COMPUTED_VALUE"""),2.0)</f>
        <v>2</v>
      </c>
      <c r="AT53" s="16"/>
      <c r="AU53" s="16">
        <f>IFERROR(__xludf.DUMMYFUNCTION("""COMPUTED_VALUE"""),7.0)</f>
        <v>7</v>
      </c>
      <c r="AV53" s="16">
        <f>IFERROR(__xludf.DUMMYFUNCTION("""COMPUTED_VALUE"""),-3.0)</f>
        <v>-3</v>
      </c>
      <c r="AW53" s="16">
        <f>IFERROR(__xludf.DUMMYFUNCTION("""COMPUTED_VALUE"""),7.0)</f>
        <v>7</v>
      </c>
      <c r="AX53" s="16">
        <f>IFERROR(__xludf.DUMMYFUNCTION("""COMPUTED_VALUE"""),-3.0)</f>
        <v>-3</v>
      </c>
      <c r="AY53" s="16">
        <f>IFERROR(__xludf.DUMMYFUNCTION("""COMPUTED_VALUE"""),3.0)</f>
        <v>3</v>
      </c>
      <c r="AZ53" s="16">
        <f>IFERROR(__xludf.DUMMYFUNCTION("""COMPUTED_VALUE"""),-9.0)</f>
        <v>-9</v>
      </c>
      <c r="BA53" s="16">
        <f>IFERROR(__xludf.DUMMYFUNCTION("""COMPUTED_VALUE"""),9.0)</f>
        <v>9</v>
      </c>
      <c r="BB53" s="16">
        <f>IFERROR(__xludf.DUMMYFUNCTION("""COMPUTED_VALUE"""),5.0)</f>
        <v>5</v>
      </c>
      <c r="BC53" s="16">
        <f>IFERROR(__xludf.DUMMYFUNCTION("""COMPUTED_VALUE"""),5.0)</f>
        <v>5</v>
      </c>
      <c r="BD53" s="16">
        <f>IFERROR(__xludf.DUMMYFUNCTION("""COMPUTED_VALUE"""),1.0)</f>
        <v>1</v>
      </c>
      <c r="BE53" s="16">
        <f>IFERROR(__xludf.DUMMYFUNCTION("""COMPUTED_VALUE"""),1.0)</f>
        <v>1</v>
      </c>
      <c r="BF53" s="16">
        <f>IFERROR(__xludf.DUMMYFUNCTION("""COMPUTED_VALUE"""),1.0)</f>
        <v>1</v>
      </c>
      <c r="BG53" s="16">
        <f>IFERROR(__xludf.DUMMYFUNCTION("""COMPUTED_VALUE"""),1.0)</f>
        <v>1</v>
      </c>
      <c r="BH53" s="16">
        <f>IFERROR(__xludf.DUMMYFUNCTION("""COMPUTED_VALUE"""),-3.0)</f>
        <v>-3</v>
      </c>
      <c r="BI53" s="16">
        <f>IFERROR(__xludf.DUMMYFUNCTION("""COMPUTED_VALUE"""),-3.0)</f>
        <v>-3</v>
      </c>
      <c r="BJ53" s="16">
        <f>IFERROR(__xludf.DUMMYFUNCTION("""COMPUTED_VALUE"""),16.0)</f>
        <v>16</v>
      </c>
      <c r="BK53" s="16">
        <f>IFERROR(__xludf.DUMMYFUNCTION("""COMPUTED_VALUE"""),16.0)</f>
        <v>16</v>
      </c>
      <c r="BL53" s="16">
        <f>IFERROR(__xludf.DUMMYFUNCTION("""COMPUTED_VALUE"""),-1.0)</f>
        <v>-1</v>
      </c>
      <c r="BM53" s="16">
        <f>IFERROR(__xludf.DUMMYFUNCTION("""COMPUTED_VALUE"""),-1.0)</f>
        <v>-1</v>
      </c>
      <c r="BN53" s="16">
        <f>IFERROR(__xludf.DUMMYFUNCTION("""COMPUTED_VALUE"""),-2.0)</f>
        <v>-2</v>
      </c>
      <c r="BO53" s="16">
        <f>IFERROR(__xludf.DUMMYFUNCTION("""COMPUTED_VALUE"""),-2.0)</f>
        <v>-2</v>
      </c>
      <c r="BP53" s="16">
        <f>IFERROR(__xludf.DUMMYFUNCTION("""COMPUTED_VALUE"""),-5.0)</f>
        <v>-5</v>
      </c>
      <c r="BQ53" s="16">
        <f>IFERROR(__xludf.DUMMYFUNCTION("""COMPUTED_VALUE"""),11.0)</f>
        <v>11</v>
      </c>
      <c r="BR53" s="16">
        <f>IFERROR(__xludf.DUMMYFUNCTION("""COMPUTED_VALUE"""),6.0)</f>
        <v>6</v>
      </c>
      <c r="BS53" s="16" t="str">
        <f>IFERROR(__xludf.DUMMYFUNCTION("""COMPUTED_VALUE"""),"-/- (---)")</f>
        <v>-/- (---)</v>
      </c>
      <c r="BT53" s="16" t="str">
        <f>IFERROR(__xludf.DUMMYFUNCTION("""COMPUTED_VALUE"""),"E")</f>
        <v>E</v>
      </c>
      <c r="BU53" s="16">
        <f>IFERROR(__xludf.DUMMYFUNCTION("""COMPUTED_VALUE"""),9.0)</f>
        <v>9</v>
      </c>
      <c r="BV53" s="16">
        <f>IFERROR(__xludf.DUMMYFUNCTION("""COMPUTED_VALUE"""),0.0)</f>
        <v>0</v>
      </c>
      <c r="BW53" s="16">
        <f>IFERROR(__xludf.DUMMYFUNCTION("""COMPUTED_VALUE"""),-1.0)</f>
        <v>-1</v>
      </c>
      <c r="BX53" s="16">
        <f>IFERROR(__xludf.DUMMYFUNCTION("""COMPUTED_VALUE"""),0.0)</f>
        <v>0</v>
      </c>
      <c r="BY53" s="16">
        <f>IFERROR(__xludf.DUMMYFUNCTION("""COMPUTED_VALUE"""),-3.0)</f>
        <v>-3</v>
      </c>
      <c r="BZ53" s="16" t="str">
        <f>IFERROR(__xludf.DUMMYFUNCTION("""COMPUTED_VALUE"""),"D")</f>
        <v>D</v>
      </c>
      <c r="CA53" s="16" t="str">
        <f>IFERROR(__xludf.DUMMYFUNCTION("""COMPUTED_VALUE"""),"C")</f>
        <v>C</v>
      </c>
      <c r="CB53" s="16">
        <f>IFERROR(__xludf.DUMMYFUNCTION("""COMPUTED_VALUE"""),0.0)</f>
        <v>0</v>
      </c>
      <c r="CC53" s="16">
        <f>IFERROR(__xludf.DUMMYFUNCTION("""COMPUTED_VALUE"""),0.0)</f>
        <v>0</v>
      </c>
      <c r="CD53" s="16">
        <f>IFERROR(__xludf.DUMMYFUNCTION("""COMPUTED_VALUE"""),0.0)</f>
        <v>0</v>
      </c>
      <c r="CE53" s="16">
        <f>IFERROR(__xludf.DUMMYFUNCTION("""COMPUTED_VALUE"""),0.0)</f>
        <v>0</v>
      </c>
      <c r="CF53" s="16">
        <f>IFERROR(__xludf.DUMMYFUNCTION("""COMPUTED_VALUE"""),1.0)</f>
        <v>1</v>
      </c>
      <c r="CG53" s="16">
        <f>IFERROR(__xludf.DUMMYFUNCTION("""COMPUTED_VALUE"""),-19.0)</f>
        <v>-19</v>
      </c>
      <c r="CH53" s="16">
        <f>IFERROR(__xludf.DUMMYFUNCTION("""COMPUTED_VALUE"""),30.0)</f>
        <v>30</v>
      </c>
      <c r="CI53" s="179">
        <f>IFERROR(__xludf.DUMMYFUNCTION("""COMPUTED_VALUE"""),21.0)</f>
        <v>21</v>
      </c>
      <c r="CJ53" s="16"/>
      <c r="CK53" s="16">
        <f>IFERROR(__xludf.DUMMYFUNCTION("""COMPUTED_VALUE"""),405.0)</f>
        <v>405</v>
      </c>
      <c r="CL53" s="16">
        <f>IFERROR(__xludf.DUMMYFUNCTION("""COMPUTED_VALUE"""),410.0)</f>
        <v>410</v>
      </c>
      <c r="CM53" s="16"/>
      <c r="CN53" s="16"/>
      <c r="CO53" s="16"/>
      <c r="CP53" s="16"/>
      <c r="CQ53" s="16"/>
      <c r="CR53" s="16" t="str">
        <f>IFERROR(__xludf.DUMMYFUNCTION("""COMPUTED_VALUE"""),"2b-4e10 1b-4e5")</f>
        <v>2b-4e10 1b-4e5</v>
      </c>
      <c r="CS53" s="16"/>
      <c r="CT53" s="16">
        <f>IFERROR(__xludf.DUMMYFUNCTION("""COMPUTED_VALUE"""),4.0)</f>
        <v>4</v>
      </c>
      <c r="CU53" s="16">
        <f>IFERROR(__xludf.DUMMYFUNCTION("""COMPUTED_VALUE"""),4.0)</f>
        <v>4</v>
      </c>
      <c r="CV53" s="16"/>
      <c r="CW53" s="16"/>
      <c r="CX53" s="16"/>
      <c r="CY53" s="16"/>
      <c r="CZ53" s="16"/>
      <c r="DA53" s="16"/>
      <c r="DB53" s="16">
        <f>IFERROR(__xludf.DUMMYFUNCTION("""COMPUTED_VALUE"""),5.0)</f>
        <v>5</v>
      </c>
      <c r="DC53" s="16">
        <f>IFERROR(__xludf.DUMMYFUNCTION("""COMPUTED_VALUE"""),10.0)</f>
        <v>10</v>
      </c>
      <c r="DD53" s="16"/>
      <c r="DE53" s="16"/>
      <c r="DF53" s="16"/>
      <c r="DG53" s="16"/>
      <c r="DH53" s="16"/>
      <c r="DI53" s="16"/>
      <c r="DJ53" s="16">
        <f>IFERROR(__xludf.DUMMYFUNCTION("""COMPUTED_VALUE"""),0.0)</f>
        <v>0</v>
      </c>
      <c r="DK53" s="16">
        <f>IFERROR(__xludf.DUMMYFUNCTION("""COMPUTED_VALUE"""),-2.0)</f>
        <v>-2</v>
      </c>
      <c r="DL53" s="16"/>
      <c r="DM53" s="16"/>
      <c r="DN53" s="16"/>
      <c r="DO53" s="16"/>
      <c r="DP53" s="16"/>
      <c r="DQ53" s="16"/>
      <c r="DR53" s="16">
        <f>IFERROR(__xludf.DUMMYFUNCTION("""COMPUTED_VALUE"""),2.0)</f>
        <v>2</v>
      </c>
      <c r="DS53" s="16">
        <f>IFERROR(__xludf.DUMMYFUNCTION("""COMPUTED_VALUE"""),3.0)</f>
        <v>3</v>
      </c>
      <c r="DT53" s="16"/>
      <c r="DU53" s="16"/>
      <c r="DV53" s="16"/>
      <c r="DW53" s="16"/>
      <c r="DX53" s="16"/>
      <c r="DY53" s="16"/>
      <c r="DZ53" s="16">
        <f>IFERROR(__xludf.DUMMYFUNCTION("""COMPUTED_VALUE"""),2.0)</f>
        <v>2</v>
      </c>
      <c r="EA53" s="16">
        <f>IFERROR(__xludf.DUMMYFUNCTION("""COMPUTED_VALUE"""),1.0)</f>
        <v>1</v>
      </c>
      <c r="EB53" s="16"/>
      <c r="EC53" s="16"/>
      <c r="ED53" s="16"/>
      <c r="EE53" s="16"/>
      <c r="EF53" s="16"/>
      <c r="EG53" s="179"/>
      <c r="EH53" s="179">
        <f>IFERROR(__xludf.DUMMYFUNCTION("""COMPUTED_VALUE"""),23.0)</f>
        <v>23</v>
      </c>
      <c r="EI53" s="179">
        <f>IFERROR(__xludf.DUMMYFUNCTION("""COMPUTED_VALUE"""),22.0)</f>
        <v>22</v>
      </c>
      <c r="EJ53" s="179"/>
      <c r="EK53" s="179"/>
      <c r="EL53" s="179"/>
      <c r="EM53" s="179"/>
      <c r="EN53" s="179"/>
      <c r="EO53" s="16"/>
      <c r="EP53" s="16">
        <f>IFERROR(__xludf.DUMMYFUNCTION("""COMPUTED_VALUE"""),-2.0)</f>
        <v>-2</v>
      </c>
      <c r="EQ53" s="16">
        <f>IFERROR(__xludf.DUMMYFUNCTION("""COMPUTED_VALUE"""),4.0)</f>
        <v>4</v>
      </c>
      <c r="ER53" s="16">
        <f>IFERROR(__xludf.DUMMYFUNCTION("""COMPUTED_VALUE"""),0.0)</f>
        <v>0</v>
      </c>
      <c r="ES53" s="16"/>
      <c r="ET53" s="16"/>
      <c r="EU53" s="16"/>
      <c r="EV53" s="16"/>
      <c r="EW53" s="16"/>
      <c r="EX53" s="180"/>
      <c r="EY53" s="180">
        <f>IFERROR(__xludf.DUMMYFUNCTION("""COMPUTED_VALUE"""),0.3)</f>
        <v>0.3</v>
      </c>
      <c r="EZ53" s="180">
        <f>IFERROR(__xludf.DUMMYFUNCTION("""COMPUTED_VALUE"""),0.3)</f>
        <v>0.3</v>
      </c>
      <c r="FA53" s="180"/>
      <c r="FB53" s="180"/>
      <c r="FC53" s="180"/>
      <c r="FD53" s="180"/>
      <c r="FE53" s="180"/>
      <c r="FF53" s="180"/>
      <c r="FG53" s="180">
        <f>IFERROR(__xludf.DUMMYFUNCTION("""COMPUTED_VALUE"""),0.08796296296296297)</f>
        <v>0.08796296296</v>
      </c>
      <c r="FH53" s="180">
        <f>IFERROR(__xludf.DUMMYFUNCTION("""COMPUTED_VALUE"""),0.06018518518518518)</f>
        <v>0.06018518519</v>
      </c>
      <c r="FI53" s="180"/>
      <c r="FJ53" s="180"/>
      <c r="FK53" s="180"/>
      <c r="FL53" s="180"/>
      <c r="FM53" s="180"/>
      <c r="FN53" s="16"/>
      <c r="FO53" s="16">
        <f>IFERROR(__xludf.DUMMYFUNCTION("""COMPUTED_VALUE"""),0.6384259259259258)</f>
        <v>0.6384259259</v>
      </c>
      <c r="FP53" s="16">
        <f>IFERROR(__xludf.DUMMYFUNCTION("""COMPUTED_VALUE"""),0.6578703703703703)</f>
        <v>0.6578703704</v>
      </c>
      <c r="FQ53" s="16"/>
      <c r="FR53" s="16"/>
      <c r="FS53" s="16"/>
      <c r="FT53" s="16"/>
      <c r="FU53" s="16"/>
      <c r="FV53" s="16"/>
      <c r="FW53" s="16">
        <f>IFERROR(__xludf.DUMMYFUNCTION("""COMPUTED_VALUE"""),-6.0)</f>
        <v>-6</v>
      </c>
      <c r="FX53" s="16">
        <f>IFERROR(__xludf.DUMMYFUNCTION("""COMPUTED_VALUE"""),-4.0)</f>
        <v>-4</v>
      </c>
      <c r="FY53" s="16"/>
      <c r="FZ53" s="16"/>
      <c r="GA53" s="16"/>
      <c r="GB53" s="16"/>
      <c r="GC53" s="16"/>
      <c r="GD53" s="16" t="s">
        <v>289</v>
      </c>
    </row>
    <row r="54">
      <c r="A54" s="16">
        <f>IFERROR(__xludf.DUMMYFUNCTION("""COMPUTED_VALUE"""),13229.0)</f>
        <v>13229</v>
      </c>
      <c r="B54" s="16" t="str">
        <f>IFERROR(__xludf.DUMMYFUNCTION("""COMPUTED_VALUE"""),"Nathan Lukes")</f>
        <v>Nathan Lukes</v>
      </c>
      <c r="C54" s="16">
        <f>IFERROR(__xludf.DUMMYFUNCTION("""COMPUTED_VALUE"""),3.82)</f>
        <v>3.82</v>
      </c>
      <c r="D54" s="16" t="str">
        <f>IFERROR(__xludf.DUMMYFUNCTION("""COMPUTED_VALUE"""),"L")</f>
        <v>L</v>
      </c>
      <c r="E54" s="16"/>
      <c r="F54" s="16"/>
      <c r="G54" s="16">
        <f>IFERROR(__xludf.DUMMYFUNCTION("""COMPUTED_VALUE"""),76.0)</f>
        <v>76</v>
      </c>
      <c r="H54" s="16">
        <f>IFERROR(__xludf.DUMMYFUNCTION("""COMPUTED_VALUE"""),10.0)</f>
        <v>10</v>
      </c>
      <c r="I54" s="16" t="str">
        <f>IFERROR(__xludf.DUMMYFUNCTION("""COMPUTED_VALUE"""),"1p20")</f>
        <v>1p20</v>
      </c>
      <c r="J54" s="16">
        <f>IFERROR(__xludf.DUMMYFUNCTION("""COMPUTED_VALUE"""),0.0)</f>
        <v>0</v>
      </c>
      <c r="K54" s="16">
        <f>IFERROR(__xludf.DUMMYFUNCTION("""COMPUTED_VALUE"""),0.0)</f>
        <v>0</v>
      </c>
      <c r="L54" s="16">
        <f>IFERROR(__xludf.DUMMYFUNCTION("""COMPUTED_VALUE"""),3.0)</f>
        <v>3</v>
      </c>
      <c r="M54" s="16">
        <f>IFERROR(__xludf.DUMMYFUNCTION("""COMPUTED_VALUE"""),3.0)</f>
        <v>3</v>
      </c>
      <c r="N54" s="16">
        <f>IFERROR(__xludf.DUMMYFUNCTION("""COMPUTED_VALUE"""),3.0)</f>
        <v>3</v>
      </c>
      <c r="O54" s="16">
        <f>IFERROR(__xludf.DUMMYFUNCTION("""COMPUTED_VALUE"""),3.0)</f>
        <v>3</v>
      </c>
      <c r="P54" s="16">
        <f>IFERROR(__xludf.DUMMYFUNCTION("""COMPUTED_VALUE"""),16.0)</f>
        <v>16</v>
      </c>
      <c r="Q54" s="16">
        <f>IFERROR(__xludf.DUMMYFUNCTION("""COMPUTED_VALUE"""),16.0)</f>
        <v>16</v>
      </c>
      <c r="R54" s="16">
        <f>IFERROR(__xludf.DUMMYFUNCTION("""COMPUTED_VALUE"""),2.0)</f>
        <v>2</v>
      </c>
      <c r="S54" s="16">
        <f>IFERROR(__xludf.DUMMYFUNCTION("""COMPUTED_VALUE"""),2.0)</f>
        <v>2</v>
      </c>
      <c r="T54" s="16">
        <f>IFERROR(__xludf.DUMMYFUNCTION("""COMPUTED_VALUE"""),2.0)</f>
        <v>2</v>
      </c>
      <c r="U54" s="16">
        <f>IFERROR(__xludf.DUMMYFUNCTION("""COMPUTED_VALUE"""),2.0)</f>
        <v>2</v>
      </c>
      <c r="V54" s="16">
        <f>IFERROR(__xludf.DUMMYFUNCTION("""COMPUTED_VALUE"""),7.5)</f>
        <v>7.5</v>
      </c>
      <c r="W54" s="16">
        <f>IFERROR(__xludf.DUMMYFUNCTION("""COMPUTED_VALUE"""),36.0)</f>
        <v>36</v>
      </c>
      <c r="X54" s="16">
        <f>IFERROR(__xludf.DUMMYFUNCTION("""COMPUTED_VALUE"""),-2.0)</f>
        <v>-2</v>
      </c>
      <c r="Y54" s="16">
        <f>IFERROR(__xludf.DUMMYFUNCTION("""COMPUTED_VALUE"""),3.0)</f>
        <v>3</v>
      </c>
      <c r="Z54" s="16">
        <f>IFERROR(__xludf.DUMMYFUNCTION("""COMPUTED_VALUE"""),-4.0)</f>
        <v>-4</v>
      </c>
      <c r="AA54" s="16">
        <f>IFERROR(__xludf.DUMMYFUNCTION("""COMPUTED_VALUE"""),6.0)</f>
        <v>6</v>
      </c>
      <c r="AB54" s="16">
        <f>IFERROR(__xludf.DUMMYFUNCTION("""COMPUTED_VALUE"""),23.5)</f>
        <v>23.5</v>
      </c>
      <c r="AC54" s="16">
        <f>IFERROR(__xludf.DUMMYFUNCTION("""COMPUTED_VALUE"""),52.0)</f>
        <v>52</v>
      </c>
      <c r="AD54" s="16">
        <f>IFERROR(__xludf.DUMMYFUNCTION("""COMPUTED_VALUE"""),-1.0)</f>
        <v>-1</v>
      </c>
      <c r="AE54" s="16">
        <f>IFERROR(__xludf.DUMMYFUNCTION("""COMPUTED_VALUE"""),3.0)</f>
        <v>3</v>
      </c>
      <c r="AF54" s="16">
        <f>IFERROR(__xludf.DUMMYFUNCTION("""COMPUTED_VALUE"""),-5.0)</f>
        <v>-5</v>
      </c>
      <c r="AG54" s="16">
        <f>IFERROR(__xludf.DUMMYFUNCTION("""COMPUTED_VALUE"""),15.0)</f>
        <v>15</v>
      </c>
      <c r="AH54" s="16">
        <f>IFERROR(__xludf.DUMMYFUNCTION("""COMPUTED_VALUE"""),12.5)</f>
        <v>12.5</v>
      </c>
      <c r="AI54" s="16">
        <f>IFERROR(__xludf.DUMMYFUNCTION("""COMPUTED_VALUE"""),60.5)</f>
        <v>60.5</v>
      </c>
      <c r="AJ54" s="16">
        <f>IFERROR(__xludf.DUMMYFUNCTION("""COMPUTED_VALUE"""),-2.0)</f>
        <v>-2</v>
      </c>
      <c r="AK54" s="16">
        <f>IFERROR(__xludf.DUMMYFUNCTION("""COMPUTED_VALUE"""),3.0)</f>
        <v>3</v>
      </c>
      <c r="AL54" s="16">
        <f>IFERROR(__xludf.DUMMYFUNCTION("""COMPUTED_VALUE"""),-10.0)</f>
        <v>-10</v>
      </c>
      <c r="AM54" s="16">
        <f>IFERROR(__xludf.DUMMYFUNCTION("""COMPUTED_VALUE"""),15.0)</f>
        <v>15</v>
      </c>
      <c r="AN54" s="16">
        <f>IFERROR(__xludf.DUMMYFUNCTION("""COMPUTED_VALUE"""),0.0)</f>
        <v>0</v>
      </c>
      <c r="AO54" s="16">
        <f>IFERROR(__xludf.DUMMYFUNCTION("""COMPUTED_VALUE"""),3.0)</f>
        <v>3</v>
      </c>
      <c r="AP54" s="16">
        <f>IFERROR(__xludf.DUMMYFUNCTION("""COMPUTED_VALUE"""),-2.0)</f>
        <v>-2</v>
      </c>
      <c r="AQ54" s="16">
        <f>IFERROR(__xludf.DUMMYFUNCTION("""COMPUTED_VALUE"""),1.0)</f>
        <v>1</v>
      </c>
      <c r="AR54" s="16">
        <f>IFERROR(__xludf.DUMMYFUNCTION("""COMPUTED_VALUE"""),-4.0)</f>
        <v>-4</v>
      </c>
      <c r="AS54" s="16">
        <f>IFERROR(__xludf.DUMMYFUNCTION("""COMPUTED_VALUE"""),2.0)</f>
        <v>2</v>
      </c>
      <c r="AT54" s="16"/>
      <c r="AU54" s="16"/>
      <c r="AV54" s="16">
        <f>IFERROR(__xludf.DUMMYFUNCTION("""COMPUTED_VALUE"""),-3.0)</f>
        <v>-3</v>
      </c>
      <c r="AW54" s="16">
        <f>IFERROR(__xludf.DUMMYFUNCTION("""COMPUTED_VALUE"""),-3.0)</f>
        <v>-3</v>
      </c>
      <c r="AX54" s="16">
        <f>IFERROR(__xludf.DUMMYFUNCTION("""COMPUTED_VALUE"""),-3.0)</f>
        <v>-3</v>
      </c>
      <c r="AY54" s="16">
        <f>IFERROR(__xludf.DUMMYFUNCTION("""COMPUTED_VALUE"""),-3.0)</f>
        <v>-3</v>
      </c>
      <c r="AZ54" s="16">
        <f>IFERROR(__xludf.DUMMYFUNCTION("""COMPUTED_VALUE"""),-9.0)</f>
        <v>-9</v>
      </c>
      <c r="BA54" s="16">
        <f>IFERROR(__xludf.DUMMYFUNCTION("""COMPUTED_VALUE"""),-9.0)</f>
        <v>-9</v>
      </c>
      <c r="BB54" s="16">
        <f>IFERROR(__xludf.DUMMYFUNCTION("""COMPUTED_VALUE"""),0.0)</f>
        <v>0</v>
      </c>
      <c r="BC54" s="16">
        <f>IFERROR(__xludf.DUMMYFUNCTION("""COMPUTED_VALUE"""),5.0)</f>
        <v>5</v>
      </c>
      <c r="BD54" s="16">
        <f>IFERROR(__xludf.DUMMYFUNCTION("""COMPUTED_VALUE"""),0.0)</f>
        <v>0</v>
      </c>
      <c r="BE54" s="16">
        <f>IFERROR(__xludf.DUMMYFUNCTION("""COMPUTED_VALUE"""),1.0)</f>
        <v>1</v>
      </c>
      <c r="BF54" s="16">
        <f>IFERROR(__xludf.DUMMYFUNCTION("""COMPUTED_VALUE"""),0.0)</f>
        <v>0</v>
      </c>
      <c r="BG54" s="16">
        <f>IFERROR(__xludf.DUMMYFUNCTION("""COMPUTED_VALUE"""),1.0)</f>
        <v>1</v>
      </c>
      <c r="BH54" s="16">
        <f>IFERROR(__xludf.DUMMYFUNCTION("""COMPUTED_VALUE"""),0.0)</f>
        <v>0</v>
      </c>
      <c r="BI54" s="16">
        <f>IFERROR(__xludf.DUMMYFUNCTION("""COMPUTED_VALUE"""),-1.0)</f>
        <v>-1</v>
      </c>
      <c r="BJ54" s="16">
        <f>IFERROR(__xludf.DUMMYFUNCTION("""COMPUTED_VALUE"""),7.0)</f>
        <v>7</v>
      </c>
      <c r="BK54" s="16">
        <f>IFERROR(__xludf.DUMMYFUNCTION("""COMPUTED_VALUE"""),7.0)</f>
        <v>7</v>
      </c>
      <c r="BL54" s="16">
        <f>IFERROR(__xludf.DUMMYFUNCTION("""COMPUTED_VALUE"""),1.0)</f>
        <v>1</v>
      </c>
      <c r="BM54" s="16">
        <f>IFERROR(__xludf.DUMMYFUNCTION("""COMPUTED_VALUE"""),1.0)</f>
        <v>1</v>
      </c>
      <c r="BN54" s="16">
        <f>IFERROR(__xludf.DUMMYFUNCTION("""COMPUTED_VALUE"""),1.0)</f>
        <v>1</v>
      </c>
      <c r="BO54" s="16">
        <f>IFERROR(__xludf.DUMMYFUNCTION("""COMPUTED_VALUE"""),1.0)</f>
        <v>1</v>
      </c>
      <c r="BP54" s="16">
        <f>IFERROR(__xludf.DUMMYFUNCTION("""COMPUTED_VALUE"""),-4.0)</f>
        <v>-4</v>
      </c>
      <c r="BQ54" s="16">
        <f>IFERROR(__xludf.DUMMYFUNCTION("""COMPUTED_VALUE"""),14.0)</f>
        <v>14</v>
      </c>
      <c r="BR54" s="16">
        <f>IFERROR(__xludf.DUMMYFUNCTION("""COMPUTED_VALUE"""),10.0)</f>
        <v>10</v>
      </c>
      <c r="BS54" s="16" t="str">
        <f>IFERROR(__xludf.DUMMYFUNCTION("""COMPUTED_VALUE"""),"2/- (20-6)")</f>
        <v>2/- (20-6)</v>
      </c>
      <c r="BT54" s="16" t="str">
        <f>IFERROR(__xludf.DUMMYFUNCTION("""COMPUTED_VALUE"""),"D")</f>
        <v>D</v>
      </c>
      <c r="BU54" s="16">
        <f>IFERROR(__xludf.DUMMYFUNCTION("""COMPUTED_VALUE"""),12.0)</f>
        <v>12</v>
      </c>
      <c r="BV54" s="16">
        <f>IFERROR(__xludf.DUMMYFUNCTION("""COMPUTED_VALUE"""),0.0)</f>
        <v>0</v>
      </c>
      <c r="BW54" s="16">
        <f>IFERROR(__xludf.DUMMYFUNCTION("""COMPUTED_VALUE"""),0.0)</f>
        <v>0</v>
      </c>
      <c r="BX54" s="16">
        <f>IFERROR(__xludf.DUMMYFUNCTION("""COMPUTED_VALUE"""),0.0)</f>
        <v>0</v>
      </c>
      <c r="BY54" s="16">
        <f>IFERROR(__xludf.DUMMYFUNCTION("""COMPUTED_VALUE"""),0.0)</f>
        <v>0</v>
      </c>
      <c r="BZ54" s="16" t="str">
        <f>IFERROR(__xludf.DUMMYFUNCTION("""COMPUTED_VALUE"""),"C")</f>
        <v>C</v>
      </c>
      <c r="CA54" s="16" t="str">
        <f>IFERROR(__xludf.DUMMYFUNCTION("""COMPUTED_VALUE"""),"C")</f>
        <v>C</v>
      </c>
      <c r="CB54" s="16">
        <f>IFERROR(__xludf.DUMMYFUNCTION("""COMPUTED_VALUE"""),0.0)</f>
        <v>0</v>
      </c>
      <c r="CC54" s="16">
        <f>IFERROR(__xludf.DUMMYFUNCTION("""COMPUTED_VALUE"""),0.0)</f>
        <v>0</v>
      </c>
      <c r="CD54" s="16">
        <f>IFERROR(__xludf.DUMMYFUNCTION("""COMPUTED_VALUE"""),0.0)</f>
        <v>0</v>
      </c>
      <c r="CE54" s="16">
        <f>IFERROR(__xludf.DUMMYFUNCTION("""COMPUTED_VALUE"""),0.0)</f>
        <v>0</v>
      </c>
      <c r="CF54" s="16">
        <f>IFERROR(__xludf.DUMMYFUNCTION("""COMPUTED_VALUE"""),1.0)</f>
        <v>1</v>
      </c>
      <c r="CG54" s="16">
        <f>IFERROR(__xludf.DUMMYFUNCTION("""COMPUTED_VALUE"""),-26.0)</f>
        <v>-26</v>
      </c>
      <c r="CH54" s="16">
        <f>IFERROR(__xludf.DUMMYFUNCTION("""COMPUTED_VALUE"""),36.0)</f>
        <v>36</v>
      </c>
      <c r="CI54" s="179">
        <f>IFERROR(__xludf.DUMMYFUNCTION("""COMPUTED_VALUE"""),21.0)</f>
        <v>21</v>
      </c>
      <c r="CJ54" s="16"/>
      <c r="CK54" s="16"/>
      <c r="CL54" s="16"/>
      <c r="CM54" s="16"/>
      <c r="CN54" s="16"/>
      <c r="CO54" s="16">
        <f>IFERROR(__xludf.DUMMYFUNCTION("""COMPUTED_VALUE"""),308.0)</f>
        <v>308</v>
      </c>
      <c r="CP54" s="16">
        <f>IFERROR(__xludf.DUMMYFUNCTION("""COMPUTED_VALUE"""),408.0)</f>
        <v>408</v>
      </c>
      <c r="CQ54" s="16">
        <f>IFERROR(__xludf.DUMMYFUNCTION("""COMPUTED_VALUE"""),308.0)</f>
        <v>308</v>
      </c>
      <c r="CR54" s="16" t="str">
        <f>IFERROR(__xludf.DUMMYFUNCTION("""COMPUTED_VALUE"""),"lf-3(0)e8 rf-3e8 cf-4e8")</f>
        <v>lf-3(0)e8 rf-3e8 cf-4e8</v>
      </c>
      <c r="CS54" s="16"/>
      <c r="CT54" s="16"/>
      <c r="CU54" s="16"/>
      <c r="CV54" s="16"/>
      <c r="CW54" s="16"/>
      <c r="CX54" s="16">
        <f>IFERROR(__xludf.DUMMYFUNCTION("""COMPUTED_VALUE"""),3.0)</f>
        <v>3</v>
      </c>
      <c r="CY54" s="16">
        <f>IFERROR(__xludf.DUMMYFUNCTION("""COMPUTED_VALUE"""),4.0)</f>
        <v>4</v>
      </c>
      <c r="CZ54" s="16">
        <f>IFERROR(__xludf.DUMMYFUNCTION("""COMPUTED_VALUE"""),3.0)</f>
        <v>3</v>
      </c>
      <c r="DA54" s="16"/>
      <c r="DB54" s="16"/>
      <c r="DC54" s="16"/>
      <c r="DD54" s="16"/>
      <c r="DE54" s="16"/>
      <c r="DF54" s="16">
        <f>IFERROR(__xludf.DUMMYFUNCTION("""COMPUTED_VALUE"""),8.0)</f>
        <v>8</v>
      </c>
      <c r="DG54" s="16">
        <f>IFERROR(__xludf.DUMMYFUNCTION("""COMPUTED_VALUE"""),8.0)</f>
        <v>8</v>
      </c>
      <c r="DH54" s="16">
        <f>IFERROR(__xludf.DUMMYFUNCTION("""COMPUTED_VALUE"""),8.0)</f>
        <v>8</v>
      </c>
      <c r="DI54" s="16"/>
      <c r="DJ54" s="16"/>
      <c r="DK54" s="16"/>
      <c r="DL54" s="16"/>
      <c r="DM54" s="16"/>
      <c r="DN54" s="16">
        <f>IFERROR(__xludf.DUMMYFUNCTION("""COMPUTED_VALUE"""),0.0)</f>
        <v>0</v>
      </c>
      <c r="DO54" s="16">
        <f>IFERROR(__xludf.DUMMYFUNCTION("""COMPUTED_VALUE"""),-2.0)</f>
        <v>-2</v>
      </c>
      <c r="DP54" s="16">
        <f>IFERROR(__xludf.DUMMYFUNCTION("""COMPUTED_VALUE"""),0.0)</f>
        <v>0</v>
      </c>
      <c r="DQ54" s="16"/>
      <c r="DR54" s="16"/>
      <c r="DS54" s="16"/>
      <c r="DT54" s="16"/>
      <c r="DU54" s="16"/>
      <c r="DV54" s="16">
        <f>IFERROR(__xludf.DUMMYFUNCTION("""COMPUTED_VALUE"""),0.0)</f>
        <v>0</v>
      </c>
      <c r="DW54" s="16">
        <f>IFERROR(__xludf.DUMMYFUNCTION("""COMPUTED_VALUE"""),2.0)</f>
        <v>2</v>
      </c>
      <c r="DX54" s="16">
        <f>IFERROR(__xludf.DUMMYFUNCTION("""COMPUTED_VALUE"""),0.0)</f>
        <v>0</v>
      </c>
      <c r="DY54" s="16"/>
      <c r="DZ54" s="16"/>
      <c r="EA54" s="16"/>
      <c r="EB54" s="16"/>
      <c r="EC54" s="16"/>
      <c r="ED54" s="16">
        <f>IFERROR(__xludf.DUMMYFUNCTION("""COMPUTED_VALUE"""),0.0)</f>
        <v>0</v>
      </c>
      <c r="EE54" s="16">
        <f>IFERROR(__xludf.DUMMYFUNCTION("""COMPUTED_VALUE"""),0.0)</f>
        <v>0</v>
      </c>
      <c r="EF54" s="16">
        <f>IFERROR(__xludf.DUMMYFUNCTION("""COMPUTED_VALUE"""),0.0)</f>
        <v>0</v>
      </c>
      <c r="EG54" s="179"/>
      <c r="EH54" s="179"/>
      <c r="EI54" s="179"/>
      <c r="EJ54" s="179"/>
      <c r="EK54" s="179"/>
      <c r="EL54" s="179">
        <f>IFERROR(__xludf.DUMMYFUNCTION("""COMPUTED_VALUE"""),21.0)</f>
        <v>21</v>
      </c>
      <c r="EM54" s="179">
        <f>IFERROR(__xludf.DUMMYFUNCTION("""COMPUTED_VALUE"""),21.0)</f>
        <v>21</v>
      </c>
      <c r="EN54" s="179">
        <f>IFERROR(__xludf.DUMMYFUNCTION("""COMPUTED_VALUE"""),21.0)</f>
        <v>21</v>
      </c>
      <c r="EO54" s="16"/>
      <c r="EP54" s="16"/>
      <c r="EQ54" s="16">
        <f>IFERROR(__xludf.DUMMYFUNCTION("""COMPUTED_VALUE"""),4.0)</f>
        <v>4</v>
      </c>
      <c r="ER54" s="16">
        <f>IFERROR(__xludf.DUMMYFUNCTION("""COMPUTED_VALUE"""),-4.0)</f>
        <v>-4</v>
      </c>
      <c r="ES54" s="16"/>
      <c r="ET54" s="16"/>
      <c r="EU54" s="16"/>
      <c r="EV54" s="16"/>
      <c r="EW54" s="16"/>
      <c r="EX54" s="180"/>
      <c r="EY54" s="180"/>
      <c r="EZ54" s="180"/>
      <c r="FA54" s="180"/>
      <c r="FB54" s="180"/>
      <c r="FC54" s="180">
        <f>IFERROR(__xludf.DUMMYFUNCTION("""COMPUTED_VALUE"""),0.3)</f>
        <v>0.3</v>
      </c>
      <c r="FD54" s="180">
        <f>IFERROR(__xludf.DUMMYFUNCTION("""COMPUTED_VALUE"""),0.55)</f>
        <v>0.55</v>
      </c>
      <c r="FE54" s="180">
        <f>IFERROR(__xludf.DUMMYFUNCTION("""COMPUTED_VALUE"""),0.3)</f>
        <v>0.3</v>
      </c>
      <c r="FF54" s="180"/>
      <c r="FG54" s="180"/>
      <c r="FH54" s="180"/>
      <c r="FI54" s="180"/>
      <c r="FJ54" s="180"/>
      <c r="FK54" s="180">
        <f>IFERROR(__xludf.DUMMYFUNCTION("""COMPUTED_VALUE"""),0.144)</f>
        <v>0.144</v>
      </c>
      <c r="FL54" s="180">
        <f>IFERROR(__xludf.DUMMYFUNCTION("""COMPUTED_VALUE"""),0.09722222222222222)</f>
        <v>0.09722222222</v>
      </c>
      <c r="FM54" s="180">
        <f>IFERROR(__xludf.DUMMYFUNCTION("""COMPUTED_VALUE"""),0.144)</f>
        <v>0.144</v>
      </c>
      <c r="FN54" s="16"/>
      <c r="FO54" s="16"/>
      <c r="FP54" s="16"/>
      <c r="FQ54" s="16"/>
      <c r="FR54" s="16"/>
      <c r="FS54" s="16">
        <f>IFERROR(__xludf.DUMMYFUNCTION("""COMPUTED_VALUE"""),0.5992)</f>
        <v>0.5992</v>
      </c>
      <c r="FT54" s="16">
        <f>IFERROR(__xludf.DUMMYFUNCTION("""COMPUTED_VALUE"""),0.40624999999999994)</f>
        <v>0.40625</v>
      </c>
      <c r="FU54" s="16">
        <f>IFERROR(__xludf.DUMMYFUNCTION("""COMPUTED_VALUE"""),0.5992)</f>
        <v>0.5992</v>
      </c>
      <c r="FV54" s="16"/>
      <c r="FW54" s="16"/>
      <c r="FX54" s="16"/>
      <c r="FY54" s="16"/>
      <c r="FZ54" s="16"/>
      <c r="GA54" s="16">
        <f>IFERROR(__xludf.DUMMYFUNCTION("""COMPUTED_VALUE"""),-6.0)</f>
        <v>-6</v>
      </c>
      <c r="GB54" s="16">
        <f>IFERROR(__xludf.DUMMYFUNCTION("""COMPUTED_VALUE"""),-8.0)</f>
        <v>-8</v>
      </c>
      <c r="GC54" s="16">
        <f>IFERROR(__xludf.DUMMYFUNCTION("""COMPUTED_VALUE"""),-6.0)</f>
        <v>-6</v>
      </c>
      <c r="GD54" s="16" t="s">
        <v>333</v>
      </c>
    </row>
    <row r="55">
      <c r="A55" s="16">
        <f>IFERROR(__xludf.DUMMYFUNCTION("""COMPUTED_VALUE"""),13252.0)</f>
        <v>13252</v>
      </c>
      <c r="B55" s="16" t="str">
        <f>IFERROR(__xludf.DUMMYFUNCTION("""COMPUTED_VALUE"""),"Nico Hoerner")</f>
        <v>Nico Hoerner</v>
      </c>
      <c r="C55" s="16">
        <f>IFERROR(__xludf.DUMMYFUNCTION("""COMPUTED_VALUE"""),1.67)</f>
        <v>1.67</v>
      </c>
      <c r="D55" s="16" t="str">
        <f>IFERROR(__xludf.DUMMYFUNCTION("""COMPUTED_VALUE"""),"R")</f>
        <v>R</v>
      </c>
      <c r="E55" s="16"/>
      <c r="F55" s="16"/>
      <c r="G55" s="16">
        <f>IFERROR(__xludf.DUMMYFUNCTION("""COMPUTED_VALUE"""),582.0)</f>
        <v>582</v>
      </c>
      <c r="H55" s="16">
        <f>IFERROR(__xludf.DUMMYFUNCTION("""COMPUTED_VALUE"""),44.0)</f>
        <v>44</v>
      </c>
      <c r="I55" s="16" t="str">
        <f>IFERROR(__xludf.DUMMYFUNCTION("""COMPUTED_VALUE"""),"1p70")</f>
        <v>1p70</v>
      </c>
      <c r="J55" s="16">
        <f>IFERROR(__xludf.DUMMYFUNCTION("""COMPUTED_VALUE"""),0.0)</f>
        <v>0</v>
      </c>
      <c r="K55" s="16">
        <f>IFERROR(__xludf.DUMMYFUNCTION("""COMPUTED_VALUE"""),0.0)</f>
        <v>0</v>
      </c>
      <c r="L55" s="16">
        <f>IFERROR(__xludf.DUMMYFUNCTION("""COMPUTED_VALUE"""),3.0)</f>
        <v>3</v>
      </c>
      <c r="M55" s="16">
        <f>IFERROR(__xludf.DUMMYFUNCTION("""COMPUTED_VALUE"""),3.0)</f>
        <v>3</v>
      </c>
      <c r="N55" s="16">
        <f>IFERROR(__xludf.DUMMYFUNCTION("""COMPUTED_VALUE"""),3.0)</f>
        <v>3</v>
      </c>
      <c r="O55" s="16">
        <f>IFERROR(__xludf.DUMMYFUNCTION("""COMPUTED_VALUE"""),3.0)</f>
        <v>3</v>
      </c>
      <c r="P55" s="16">
        <f>IFERROR(__xludf.DUMMYFUNCTION("""COMPUTED_VALUE"""),2.0)</f>
        <v>2</v>
      </c>
      <c r="Q55" s="16">
        <f>IFERROR(__xludf.DUMMYFUNCTION("""COMPUTED_VALUE"""),8.0)</f>
        <v>8</v>
      </c>
      <c r="R55" s="16">
        <f>IFERROR(__xludf.DUMMYFUNCTION("""COMPUTED_VALUE"""),-2.0)</f>
        <v>-2</v>
      </c>
      <c r="S55" s="16">
        <f>IFERROR(__xludf.DUMMYFUNCTION("""COMPUTED_VALUE"""),0.0)</f>
        <v>0</v>
      </c>
      <c r="T55" s="16">
        <f>IFERROR(__xludf.DUMMYFUNCTION("""COMPUTED_VALUE"""),-2.0)</f>
        <v>-2</v>
      </c>
      <c r="U55" s="16">
        <f>IFERROR(__xludf.DUMMYFUNCTION("""COMPUTED_VALUE"""),0.0)</f>
        <v>0</v>
      </c>
      <c r="V55" s="16">
        <f>IFERROR(__xludf.DUMMYFUNCTION("""COMPUTED_VALUE"""),39.0)</f>
        <v>39</v>
      </c>
      <c r="W55" s="16">
        <f>IFERROR(__xludf.DUMMYFUNCTION("""COMPUTED_VALUE"""),24.5)</f>
        <v>24.5</v>
      </c>
      <c r="X55" s="16">
        <f>IFERROR(__xludf.DUMMYFUNCTION("""COMPUTED_VALUE"""),2.0)</f>
        <v>2</v>
      </c>
      <c r="Y55" s="16">
        <f>IFERROR(__xludf.DUMMYFUNCTION("""COMPUTED_VALUE"""),1.0)</f>
        <v>1</v>
      </c>
      <c r="Z55" s="16">
        <f>IFERROR(__xludf.DUMMYFUNCTION("""COMPUTED_VALUE"""),4.0)</f>
        <v>4</v>
      </c>
      <c r="AA55" s="16">
        <f>IFERROR(__xludf.DUMMYFUNCTION("""COMPUTED_VALUE"""),2.0)</f>
        <v>2</v>
      </c>
      <c r="AB55" s="16">
        <f>IFERROR(__xludf.DUMMYFUNCTION("""COMPUTED_VALUE"""),45.0)</f>
        <v>45</v>
      </c>
      <c r="AC55" s="16">
        <f>IFERROR(__xludf.DUMMYFUNCTION("""COMPUTED_VALUE"""),36.4)</f>
        <v>36.4</v>
      </c>
      <c r="AD55" s="16">
        <f>IFERROR(__xludf.DUMMYFUNCTION("""COMPUTED_VALUE"""),2.0)</f>
        <v>2</v>
      </c>
      <c r="AE55" s="16">
        <f>IFERROR(__xludf.DUMMYFUNCTION("""COMPUTED_VALUE"""),1.0)</f>
        <v>1</v>
      </c>
      <c r="AF55" s="16">
        <f>IFERROR(__xludf.DUMMYFUNCTION("""COMPUTED_VALUE"""),10.0)</f>
        <v>10</v>
      </c>
      <c r="AG55" s="16">
        <f>IFERROR(__xludf.DUMMYFUNCTION("""COMPUTED_VALUE"""),5.0)</f>
        <v>5</v>
      </c>
      <c r="AH55" s="16">
        <f>IFERROR(__xludf.DUMMYFUNCTION("""COMPUTED_VALUE"""),52.3)</f>
        <v>52.3</v>
      </c>
      <c r="AI55" s="16">
        <f>IFERROR(__xludf.DUMMYFUNCTION("""COMPUTED_VALUE"""),38.2)</f>
        <v>38.2</v>
      </c>
      <c r="AJ55" s="16">
        <f>IFERROR(__xludf.DUMMYFUNCTION("""COMPUTED_VALUE"""),2.0)</f>
        <v>2</v>
      </c>
      <c r="AK55" s="16">
        <f>IFERROR(__xludf.DUMMYFUNCTION("""COMPUTED_VALUE"""),1.0)</f>
        <v>1</v>
      </c>
      <c r="AL55" s="16">
        <f>IFERROR(__xludf.DUMMYFUNCTION("""COMPUTED_VALUE"""),10.0)</f>
        <v>10</v>
      </c>
      <c r="AM55" s="16">
        <f>IFERROR(__xludf.DUMMYFUNCTION("""COMPUTED_VALUE"""),5.0)</f>
        <v>5</v>
      </c>
      <c r="AN55" s="16">
        <f>IFERROR(__xludf.DUMMYFUNCTION("""COMPUTED_VALUE"""),3.2)</f>
        <v>3.2</v>
      </c>
      <c r="AO55" s="16">
        <f>IFERROR(__xludf.DUMMYFUNCTION("""COMPUTED_VALUE"""),2.1)</f>
        <v>2.1</v>
      </c>
      <c r="AP55" s="16">
        <f>IFERROR(__xludf.DUMMYFUNCTION("""COMPUTED_VALUE"""),1.0)</f>
        <v>1</v>
      </c>
      <c r="AQ55" s="16">
        <f>IFERROR(__xludf.DUMMYFUNCTION("""COMPUTED_VALUE"""),0.0)</f>
        <v>0</v>
      </c>
      <c r="AR55" s="16">
        <f>IFERROR(__xludf.DUMMYFUNCTION("""COMPUTED_VALUE"""),2.0)</f>
        <v>2</v>
      </c>
      <c r="AS55" s="16">
        <f>IFERROR(__xludf.DUMMYFUNCTION("""COMPUTED_VALUE"""),0.0)</f>
        <v>0</v>
      </c>
      <c r="AT55" s="16"/>
      <c r="AU55" s="16"/>
      <c r="AV55" s="16">
        <f>IFERROR(__xludf.DUMMYFUNCTION("""COMPUTED_VALUE"""),-3.0)</f>
        <v>-3</v>
      </c>
      <c r="AW55" s="16">
        <f>IFERROR(__xludf.DUMMYFUNCTION("""COMPUTED_VALUE"""),-3.0)</f>
        <v>-3</v>
      </c>
      <c r="AX55" s="16">
        <f>IFERROR(__xludf.DUMMYFUNCTION("""COMPUTED_VALUE"""),-3.0)</f>
        <v>-3</v>
      </c>
      <c r="AY55" s="16">
        <f>IFERROR(__xludf.DUMMYFUNCTION("""COMPUTED_VALUE"""),-3.0)</f>
        <v>-3</v>
      </c>
      <c r="AZ55" s="16">
        <f>IFERROR(__xludf.DUMMYFUNCTION("""COMPUTED_VALUE"""),-9.0)</f>
        <v>-9</v>
      </c>
      <c r="BA55" s="16">
        <f>IFERROR(__xludf.DUMMYFUNCTION("""COMPUTED_VALUE"""),-9.0)</f>
        <v>-9</v>
      </c>
      <c r="BB55" s="16">
        <f>IFERROR(__xludf.DUMMYFUNCTION("""COMPUTED_VALUE"""),5.0)</f>
        <v>5</v>
      </c>
      <c r="BC55" s="16">
        <f>IFERROR(__xludf.DUMMYFUNCTION("""COMPUTED_VALUE"""),5.0)</f>
        <v>5</v>
      </c>
      <c r="BD55" s="16">
        <f>IFERROR(__xludf.DUMMYFUNCTION("""COMPUTED_VALUE"""),1.0)</f>
        <v>1</v>
      </c>
      <c r="BE55" s="16">
        <f>IFERROR(__xludf.DUMMYFUNCTION("""COMPUTED_VALUE"""),1.0)</f>
        <v>1</v>
      </c>
      <c r="BF55" s="16">
        <f>IFERROR(__xludf.DUMMYFUNCTION("""COMPUTED_VALUE"""),1.0)</f>
        <v>1</v>
      </c>
      <c r="BG55" s="16">
        <f>IFERROR(__xludf.DUMMYFUNCTION("""COMPUTED_VALUE"""),1.0)</f>
        <v>1</v>
      </c>
      <c r="BH55" s="16">
        <f>IFERROR(__xludf.DUMMYFUNCTION("""COMPUTED_VALUE"""),-7.0)</f>
        <v>-7</v>
      </c>
      <c r="BI55" s="16">
        <f>IFERROR(__xludf.DUMMYFUNCTION("""COMPUTED_VALUE"""),-7.0)</f>
        <v>-7</v>
      </c>
      <c r="BJ55" s="16">
        <f>IFERROR(__xludf.DUMMYFUNCTION("""COMPUTED_VALUE"""),9.0)</f>
        <v>9</v>
      </c>
      <c r="BK55" s="16">
        <f>IFERROR(__xludf.DUMMYFUNCTION("""COMPUTED_VALUE"""),8.0)</f>
        <v>8</v>
      </c>
      <c r="BL55" s="16">
        <f>IFERROR(__xludf.DUMMYFUNCTION("""COMPUTED_VALUE"""),0.0)</f>
        <v>0</v>
      </c>
      <c r="BM55" s="16">
        <f>IFERROR(__xludf.DUMMYFUNCTION("""COMPUTED_VALUE"""),1.0)</f>
        <v>1</v>
      </c>
      <c r="BN55" s="16">
        <f>IFERROR(__xludf.DUMMYFUNCTION("""COMPUTED_VALUE"""),0.0)</f>
        <v>0</v>
      </c>
      <c r="BO55" s="16">
        <f>IFERROR(__xludf.DUMMYFUNCTION("""COMPUTED_VALUE"""),1.0)</f>
        <v>1</v>
      </c>
      <c r="BP55" s="16">
        <f>IFERROR(__xludf.DUMMYFUNCTION("""COMPUTED_VALUE"""),6.0)</f>
        <v>6</v>
      </c>
      <c r="BQ55" s="16">
        <f>IFERROR(__xludf.DUMMYFUNCTION("""COMPUTED_VALUE"""),5.0)</f>
        <v>5</v>
      </c>
      <c r="BR55" s="16">
        <f>IFERROR(__xludf.DUMMYFUNCTION("""COMPUTED_VALUE"""),11.0)</f>
        <v>11</v>
      </c>
      <c r="BS55" s="16" t="str">
        <f>IFERROR(__xludf.DUMMYFUNCTION("""COMPUTED_VALUE"""),"*5,6/- (19-13)")</f>
        <v>*5,6/- (19-13)</v>
      </c>
      <c r="BT55" s="16" t="str">
        <f>IFERROR(__xludf.DUMMYFUNCTION("""COMPUTED_VALUE"""),"A")</f>
        <v>A</v>
      </c>
      <c r="BU55" s="16">
        <f>IFERROR(__xludf.DUMMYFUNCTION("""COMPUTED_VALUE"""),16.0)</f>
        <v>16</v>
      </c>
      <c r="BV55" s="16">
        <f>IFERROR(__xludf.DUMMYFUNCTION("""COMPUTED_VALUE"""),2.0)</f>
        <v>2</v>
      </c>
      <c r="BW55" s="16">
        <f>IFERROR(__xludf.DUMMYFUNCTION("""COMPUTED_VALUE"""),2.0)</f>
        <v>2</v>
      </c>
      <c r="BX55" s="16">
        <f>IFERROR(__xludf.DUMMYFUNCTION("""COMPUTED_VALUE"""),4.0)</f>
        <v>4</v>
      </c>
      <c r="BY55" s="16">
        <f>IFERROR(__xludf.DUMMYFUNCTION("""COMPUTED_VALUE"""),6.0)</f>
        <v>6</v>
      </c>
      <c r="BZ55" s="16" t="str">
        <f>IFERROR(__xludf.DUMMYFUNCTION("""COMPUTED_VALUE"""),"D")</f>
        <v>D</v>
      </c>
      <c r="CA55" s="16" t="str">
        <f>IFERROR(__xludf.DUMMYFUNCTION("""COMPUTED_VALUE"""),"C")</f>
        <v>C</v>
      </c>
      <c r="CB55" s="16">
        <f>IFERROR(__xludf.DUMMYFUNCTION("""COMPUTED_VALUE"""),0.0)</f>
        <v>0</v>
      </c>
      <c r="CC55" s="16">
        <f>IFERROR(__xludf.DUMMYFUNCTION("""COMPUTED_VALUE"""),0.0)</f>
        <v>0</v>
      </c>
      <c r="CD55" s="16">
        <f>IFERROR(__xludf.DUMMYFUNCTION("""COMPUTED_VALUE"""),0.0)</f>
        <v>0</v>
      </c>
      <c r="CE55" s="16">
        <f>IFERROR(__xludf.DUMMYFUNCTION("""COMPUTED_VALUE"""),0.0)</f>
        <v>0</v>
      </c>
      <c r="CF55" s="16">
        <f>IFERROR(__xludf.DUMMYFUNCTION("""COMPUTED_VALUE"""),1.0)</f>
        <v>1</v>
      </c>
      <c r="CG55" s="16">
        <f>IFERROR(__xludf.DUMMYFUNCTION("""COMPUTED_VALUE"""),19.0)</f>
        <v>19</v>
      </c>
      <c r="CH55" s="16">
        <f>IFERROR(__xludf.DUMMYFUNCTION("""COMPUTED_VALUE"""),8.0)</f>
        <v>8</v>
      </c>
      <c r="CI55" s="179">
        <f>IFERROR(__xludf.DUMMYFUNCTION("""COMPUTED_VALUE"""),20.0)</f>
        <v>20</v>
      </c>
      <c r="CJ55" s="16"/>
      <c r="CK55" s="16"/>
      <c r="CL55" s="16">
        <f>IFERROR(__xludf.DUMMYFUNCTION("""COMPUTED_VALUE"""),110.0)</f>
        <v>110</v>
      </c>
      <c r="CM55" s="16"/>
      <c r="CN55" s="16">
        <f>IFERROR(__xludf.DUMMYFUNCTION("""COMPUTED_VALUE"""),220.0)</f>
        <v>220</v>
      </c>
      <c r="CO55" s="16"/>
      <c r="CP55" s="16"/>
      <c r="CQ55" s="16"/>
      <c r="CR55" s="16" t="str">
        <f>IFERROR(__xludf.DUMMYFUNCTION("""COMPUTED_VALUE"""),"2b-1e10 ss-2e20")</f>
        <v>2b-1e10 ss-2e20</v>
      </c>
      <c r="CS55" s="16"/>
      <c r="CT55" s="16"/>
      <c r="CU55" s="16">
        <f>IFERROR(__xludf.DUMMYFUNCTION("""COMPUTED_VALUE"""),1.0)</f>
        <v>1</v>
      </c>
      <c r="CV55" s="16"/>
      <c r="CW55" s="16">
        <f>IFERROR(__xludf.DUMMYFUNCTION("""COMPUTED_VALUE"""),2.0)</f>
        <v>2</v>
      </c>
      <c r="CX55" s="16"/>
      <c r="CY55" s="16"/>
      <c r="CZ55" s="16"/>
      <c r="DA55" s="16"/>
      <c r="DB55" s="16"/>
      <c r="DC55" s="16">
        <f>IFERROR(__xludf.DUMMYFUNCTION("""COMPUTED_VALUE"""),10.0)</f>
        <v>10</v>
      </c>
      <c r="DD55" s="16"/>
      <c r="DE55" s="16">
        <f>IFERROR(__xludf.DUMMYFUNCTION("""COMPUTED_VALUE"""),20.0)</f>
        <v>20</v>
      </c>
      <c r="DF55" s="16"/>
      <c r="DG55" s="16"/>
      <c r="DH55" s="16"/>
      <c r="DI55" s="16"/>
      <c r="DJ55" s="16"/>
      <c r="DK55" s="16">
        <f>IFERROR(__xludf.DUMMYFUNCTION("""COMPUTED_VALUE"""),4.0)</f>
        <v>4</v>
      </c>
      <c r="DL55" s="16"/>
      <c r="DM55" s="16">
        <f>IFERROR(__xludf.DUMMYFUNCTION("""COMPUTED_VALUE"""),3.0)</f>
        <v>3</v>
      </c>
      <c r="DN55" s="16"/>
      <c r="DO55" s="16"/>
      <c r="DP55" s="16"/>
      <c r="DQ55" s="16"/>
      <c r="DR55" s="16"/>
      <c r="DS55" s="16">
        <f>IFERROR(__xludf.DUMMYFUNCTION("""COMPUTED_VALUE"""),3.0)</f>
        <v>3</v>
      </c>
      <c r="DT55" s="16"/>
      <c r="DU55" s="16">
        <f>IFERROR(__xludf.DUMMYFUNCTION("""COMPUTED_VALUE"""),2.0)</f>
        <v>2</v>
      </c>
      <c r="DV55" s="16"/>
      <c r="DW55" s="16"/>
      <c r="DX55" s="16"/>
      <c r="DY55" s="16"/>
      <c r="DZ55" s="16"/>
      <c r="EA55" s="16">
        <f>IFERROR(__xludf.DUMMYFUNCTION("""COMPUTED_VALUE"""),7.0)</f>
        <v>7</v>
      </c>
      <c r="EB55" s="16"/>
      <c r="EC55" s="16">
        <f>IFERROR(__xludf.DUMMYFUNCTION("""COMPUTED_VALUE"""),5.0)</f>
        <v>5</v>
      </c>
      <c r="ED55" s="16"/>
      <c r="EE55" s="16"/>
      <c r="EF55" s="16"/>
      <c r="EG55" s="179"/>
      <c r="EH55" s="179"/>
      <c r="EI55" s="179">
        <f>IFERROR(__xludf.DUMMYFUNCTION("""COMPUTED_VALUE"""),27.0)</f>
        <v>27</v>
      </c>
      <c r="EJ55" s="179"/>
      <c r="EK55" s="179">
        <f>IFERROR(__xludf.DUMMYFUNCTION("""COMPUTED_VALUE"""),25.0)</f>
        <v>25</v>
      </c>
      <c r="EL55" s="179"/>
      <c r="EM55" s="179"/>
      <c r="EN55" s="179"/>
      <c r="EO55" s="16"/>
      <c r="EP55" s="16"/>
      <c r="EQ55" s="16">
        <f>IFERROR(__xludf.DUMMYFUNCTION("""COMPUTED_VALUE"""),4.0)</f>
        <v>4</v>
      </c>
      <c r="ER55" s="16">
        <f>IFERROR(__xludf.DUMMYFUNCTION("""COMPUTED_VALUE"""),3.0)</f>
        <v>3</v>
      </c>
      <c r="ES55" s="16"/>
      <c r="ET55" s="16"/>
      <c r="EU55" s="16"/>
      <c r="EV55" s="16"/>
      <c r="EW55" s="16"/>
      <c r="EX55" s="180"/>
      <c r="EY55" s="180"/>
      <c r="EZ55" s="180">
        <f>IFERROR(__xludf.DUMMYFUNCTION("""COMPUTED_VALUE"""),0.0)</f>
        <v>0</v>
      </c>
      <c r="FA55" s="180"/>
      <c r="FB55" s="180">
        <f>IFERROR(__xludf.DUMMYFUNCTION("""COMPUTED_VALUE"""),0.1)</f>
        <v>0.1</v>
      </c>
      <c r="FC55" s="180"/>
      <c r="FD55" s="180"/>
      <c r="FE55" s="180"/>
      <c r="FF55" s="180"/>
      <c r="FG55" s="180"/>
      <c r="FH55" s="180">
        <f>IFERROR(__xludf.DUMMYFUNCTION("""COMPUTED_VALUE"""),0.06018518518518518)</f>
        <v>0.06018518519</v>
      </c>
      <c r="FI55" s="180"/>
      <c r="FJ55" s="180">
        <f>IFERROR(__xludf.DUMMYFUNCTION("""COMPUTED_VALUE"""),0.10185185185185185)</f>
        <v>0.1018518519</v>
      </c>
      <c r="FK55" s="180"/>
      <c r="FL55" s="180"/>
      <c r="FM55" s="180"/>
      <c r="FN55" s="16"/>
      <c r="FO55" s="16"/>
      <c r="FP55" s="16">
        <f>IFERROR(__xludf.DUMMYFUNCTION("""COMPUTED_VALUE"""),0.9398148148148148)</f>
        <v>0.9398148148</v>
      </c>
      <c r="FQ55" s="16"/>
      <c r="FR55" s="16">
        <f>IFERROR(__xludf.DUMMYFUNCTION("""COMPUTED_VALUE"""),0.8083333333333333)</f>
        <v>0.8083333333</v>
      </c>
      <c r="FS55" s="16"/>
      <c r="FT55" s="16"/>
      <c r="FU55" s="16"/>
      <c r="FV55" s="16"/>
      <c r="FW55" s="16"/>
      <c r="FX55" s="16">
        <f>IFERROR(__xludf.DUMMYFUNCTION("""COMPUTED_VALUE"""),6.0)</f>
        <v>6</v>
      </c>
      <c r="FY55" s="16"/>
      <c r="FZ55" s="16">
        <f>IFERROR(__xludf.DUMMYFUNCTION("""COMPUTED_VALUE"""),1.0)</f>
        <v>1</v>
      </c>
      <c r="GA55" s="16"/>
      <c r="GB55" s="16"/>
      <c r="GC55" s="16"/>
      <c r="GD55" s="16" t="s">
        <v>306</v>
      </c>
    </row>
    <row r="56">
      <c r="A56" s="16">
        <f>IFERROR(__xludf.DUMMYFUNCTION("""COMPUTED_VALUE"""),12517.0)</f>
        <v>12517</v>
      </c>
      <c r="B56" s="16" t="str">
        <f>IFERROR(__xludf.DUMMYFUNCTION("""COMPUTED_VALUE"""),"Alec Burleson")</f>
        <v>Alec Burleson</v>
      </c>
      <c r="C56" s="16">
        <f>IFERROR(__xludf.DUMMYFUNCTION("""COMPUTED_VALUE"""),0.58)</f>
        <v>0.58</v>
      </c>
      <c r="D56" s="16" t="str">
        <f>IFERROR(__xludf.DUMMYFUNCTION("""COMPUTED_VALUE"""),"L")</f>
        <v>L</v>
      </c>
      <c r="E56" s="16"/>
      <c r="F56" s="16"/>
      <c r="G56" s="16">
        <f>IFERROR(__xludf.DUMMYFUNCTION("""COMPUTED_VALUE"""),547.0)</f>
        <v>547</v>
      </c>
      <c r="H56" s="16">
        <f>IFERROR(__xludf.DUMMYFUNCTION("""COMPUTED_VALUE"""),35.0)</f>
        <v>35</v>
      </c>
      <c r="I56" s="16" t="str">
        <f>IFERROR(__xludf.DUMMYFUNCTION("""COMPUTED_VALUE"""),"1p70")</f>
        <v>1p70</v>
      </c>
      <c r="J56" s="16">
        <f>IFERROR(__xludf.DUMMYFUNCTION("""COMPUTED_VALUE"""),0.0)</f>
        <v>0</v>
      </c>
      <c r="K56" s="16">
        <f>IFERROR(__xludf.DUMMYFUNCTION("""COMPUTED_VALUE"""),4.0)</f>
        <v>4</v>
      </c>
      <c r="L56" s="16">
        <f>IFERROR(__xludf.DUMMYFUNCTION("""COMPUTED_VALUE"""),3.0)</f>
        <v>3</v>
      </c>
      <c r="M56" s="16">
        <f>IFERROR(__xludf.DUMMYFUNCTION("""COMPUTED_VALUE"""),2.0)</f>
        <v>2</v>
      </c>
      <c r="N56" s="16">
        <f>IFERROR(__xludf.DUMMYFUNCTION("""COMPUTED_VALUE"""),3.0)</f>
        <v>3</v>
      </c>
      <c r="O56" s="16">
        <f>IFERROR(__xludf.DUMMYFUNCTION("""COMPUTED_VALUE"""),2.0)</f>
        <v>2</v>
      </c>
      <c r="P56" s="16">
        <f>IFERROR(__xludf.DUMMYFUNCTION("""COMPUTED_VALUE"""),1.0)</f>
        <v>1</v>
      </c>
      <c r="Q56" s="16">
        <f>IFERROR(__xludf.DUMMYFUNCTION("""COMPUTED_VALUE"""),4.0)</f>
        <v>4</v>
      </c>
      <c r="R56" s="16">
        <f>IFERROR(__xludf.DUMMYFUNCTION("""COMPUTED_VALUE"""),-2.0)</f>
        <v>-2</v>
      </c>
      <c r="S56" s="16">
        <f>IFERROR(__xludf.DUMMYFUNCTION("""COMPUTED_VALUE"""),-2.0)</f>
        <v>-2</v>
      </c>
      <c r="T56" s="16">
        <f>IFERROR(__xludf.DUMMYFUNCTION("""COMPUTED_VALUE"""),-2.0)</f>
        <v>-2</v>
      </c>
      <c r="U56" s="16">
        <f>IFERROR(__xludf.DUMMYFUNCTION("""COMPUTED_VALUE"""),-2.0)</f>
        <v>-2</v>
      </c>
      <c r="V56" s="16">
        <f>IFERROR(__xludf.DUMMYFUNCTION("""COMPUTED_VALUE"""),12.4)</f>
        <v>12.4</v>
      </c>
      <c r="W56" s="16">
        <f>IFERROR(__xludf.DUMMYFUNCTION("""COMPUTED_VALUE"""),29.2)</f>
        <v>29.2</v>
      </c>
      <c r="X56" s="16">
        <f>IFERROR(__xludf.DUMMYFUNCTION("""COMPUTED_VALUE"""),-1.0)</f>
        <v>-1</v>
      </c>
      <c r="Y56" s="16">
        <f>IFERROR(__xludf.DUMMYFUNCTION("""COMPUTED_VALUE"""),2.0)</f>
        <v>2</v>
      </c>
      <c r="Z56" s="16">
        <f>IFERROR(__xludf.DUMMYFUNCTION("""COMPUTED_VALUE"""),-2.0)</f>
        <v>-2</v>
      </c>
      <c r="AA56" s="16">
        <f>IFERROR(__xludf.DUMMYFUNCTION("""COMPUTED_VALUE"""),4.0)</f>
        <v>4</v>
      </c>
      <c r="AB56" s="16">
        <f>IFERROR(__xludf.DUMMYFUNCTION("""COMPUTED_VALUE"""),15.4)</f>
        <v>15.4</v>
      </c>
      <c r="AC56" s="16">
        <f>IFERROR(__xludf.DUMMYFUNCTION("""COMPUTED_VALUE"""),35.2)</f>
        <v>35.2</v>
      </c>
      <c r="AD56" s="16">
        <f>IFERROR(__xludf.DUMMYFUNCTION("""COMPUTED_VALUE"""),-2.0)</f>
        <v>-2</v>
      </c>
      <c r="AE56" s="16">
        <f>IFERROR(__xludf.DUMMYFUNCTION("""COMPUTED_VALUE"""),1.0)</f>
        <v>1</v>
      </c>
      <c r="AF56" s="16">
        <f>IFERROR(__xludf.DUMMYFUNCTION("""COMPUTED_VALUE"""),-10.0)</f>
        <v>-10</v>
      </c>
      <c r="AG56" s="16">
        <f>IFERROR(__xludf.DUMMYFUNCTION("""COMPUTED_VALUE"""),5.0)</f>
        <v>5</v>
      </c>
      <c r="AH56" s="16">
        <f>IFERROR(__xludf.DUMMYFUNCTION("""COMPUTED_VALUE"""),15.6)</f>
        <v>15.6</v>
      </c>
      <c r="AI56" s="16">
        <f>IFERROR(__xludf.DUMMYFUNCTION("""COMPUTED_VALUE"""),41.2)</f>
        <v>41.2</v>
      </c>
      <c r="AJ56" s="16">
        <f>IFERROR(__xludf.DUMMYFUNCTION("""COMPUTED_VALUE"""),-1.0)</f>
        <v>-1</v>
      </c>
      <c r="AK56" s="16">
        <f>IFERROR(__xludf.DUMMYFUNCTION("""COMPUTED_VALUE"""),1.0)</f>
        <v>1</v>
      </c>
      <c r="AL56" s="16">
        <f>IFERROR(__xludf.DUMMYFUNCTION("""COMPUTED_VALUE"""),-5.0)</f>
        <v>-5</v>
      </c>
      <c r="AM56" s="16">
        <f>IFERROR(__xludf.DUMMYFUNCTION("""COMPUTED_VALUE"""),5.0)</f>
        <v>5</v>
      </c>
      <c r="AN56" s="16">
        <f>IFERROR(__xludf.DUMMYFUNCTION("""COMPUTED_VALUE"""),1.0)</f>
        <v>1</v>
      </c>
      <c r="AO56" s="16">
        <f>IFERROR(__xludf.DUMMYFUNCTION("""COMPUTED_VALUE"""),3.0)</f>
        <v>3</v>
      </c>
      <c r="AP56" s="16">
        <f>IFERROR(__xludf.DUMMYFUNCTION("""COMPUTED_VALUE"""),-2.0)</f>
        <v>-2</v>
      </c>
      <c r="AQ56" s="16">
        <f>IFERROR(__xludf.DUMMYFUNCTION("""COMPUTED_VALUE"""),1.0)</f>
        <v>1</v>
      </c>
      <c r="AR56" s="16">
        <f>IFERROR(__xludf.DUMMYFUNCTION("""COMPUTED_VALUE"""),-4.0)</f>
        <v>-4</v>
      </c>
      <c r="AS56" s="16">
        <f>IFERROR(__xludf.DUMMYFUNCTION("""COMPUTED_VALUE"""),2.0)</f>
        <v>2</v>
      </c>
      <c r="AT56" s="16">
        <f>IFERROR(__xludf.DUMMYFUNCTION("""COMPUTED_VALUE"""),2.0)</f>
        <v>2</v>
      </c>
      <c r="AU56" s="16">
        <f>IFERROR(__xludf.DUMMYFUNCTION("""COMPUTED_VALUE"""),5.0)</f>
        <v>5</v>
      </c>
      <c r="AV56" s="16">
        <f>IFERROR(__xludf.DUMMYFUNCTION("""COMPUTED_VALUE"""),2.0)</f>
        <v>2</v>
      </c>
      <c r="AW56" s="16">
        <f>IFERROR(__xludf.DUMMYFUNCTION("""COMPUTED_VALUE"""),5.0)</f>
        <v>5</v>
      </c>
      <c r="AX56" s="16">
        <f>IFERROR(__xludf.DUMMYFUNCTION("""COMPUTED_VALUE"""),0.0)</f>
        <v>0</v>
      </c>
      <c r="AY56" s="16">
        <f>IFERROR(__xludf.DUMMYFUNCTION("""COMPUTED_VALUE"""),2.0)</f>
        <v>2</v>
      </c>
      <c r="AZ56" s="16">
        <f>IFERROR(__xludf.DUMMYFUNCTION("""COMPUTED_VALUE"""),0.0)</f>
        <v>0</v>
      </c>
      <c r="BA56" s="16">
        <f>IFERROR(__xludf.DUMMYFUNCTION("""COMPUTED_VALUE"""),6.0)</f>
        <v>6</v>
      </c>
      <c r="BB56" s="16">
        <f>IFERROR(__xludf.DUMMYFUNCTION("""COMPUTED_VALUE"""),5.0)</f>
        <v>5</v>
      </c>
      <c r="BC56" s="16">
        <f>IFERROR(__xludf.DUMMYFUNCTION("""COMPUTED_VALUE"""),5.0)</f>
        <v>5</v>
      </c>
      <c r="BD56" s="16">
        <f>IFERROR(__xludf.DUMMYFUNCTION("""COMPUTED_VALUE"""),1.0)</f>
        <v>1</v>
      </c>
      <c r="BE56" s="16">
        <f>IFERROR(__xludf.DUMMYFUNCTION("""COMPUTED_VALUE"""),1.0)</f>
        <v>1</v>
      </c>
      <c r="BF56" s="16">
        <f>IFERROR(__xludf.DUMMYFUNCTION("""COMPUTED_VALUE"""),1.0)</f>
        <v>1</v>
      </c>
      <c r="BG56" s="16">
        <f>IFERROR(__xludf.DUMMYFUNCTION("""COMPUTED_VALUE"""),1.0)</f>
        <v>1</v>
      </c>
      <c r="BH56" s="16">
        <f>IFERROR(__xludf.DUMMYFUNCTION("""COMPUTED_VALUE"""),-2.0)</f>
        <v>-2</v>
      </c>
      <c r="BI56" s="16">
        <f>IFERROR(__xludf.DUMMYFUNCTION("""COMPUTED_VALUE"""),-2.0)</f>
        <v>-2</v>
      </c>
      <c r="BJ56" s="16">
        <f>IFERROR(__xludf.DUMMYFUNCTION("""COMPUTED_VALUE"""),11.0)</f>
        <v>11</v>
      </c>
      <c r="BK56" s="16">
        <f>IFERROR(__xludf.DUMMYFUNCTION("""COMPUTED_VALUE"""),10.0)</f>
        <v>10</v>
      </c>
      <c r="BL56" s="16">
        <f>IFERROR(__xludf.DUMMYFUNCTION("""COMPUTED_VALUE"""),0.0)</f>
        <v>0</v>
      </c>
      <c r="BM56" s="16">
        <f>IFERROR(__xludf.DUMMYFUNCTION("""COMPUTED_VALUE"""),0.0)</f>
        <v>0</v>
      </c>
      <c r="BN56" s="16">
        <f>IFERROR(__xludf.DUMMYFUNCTION("""COMPUTED_VALUE"""),0.0)</f>
        <v>0</v>
      </c>
      <c r="BO56" s="16">
        <f>IFERROR(__xludf.DUMMYFUNCTION("""COMPUTED_VALUE"""),0.0)</f>
        <v>0</v>
      </c>
      <c r="BP56" s="16">
        <f>IFERROR(__xludf.DUMMYFUNCTION("""COMPUTED_VALUE"""),-4.0)</f>
        <v>-4</v>
      </c>
      <c r="BQ56" s="16">
        <f>IFERROR(__xludf.DUMMYFUNCTION("""COMPUTED_VALUE"""),8.0)</f>
        <v>8</v>
      </c>
      <c r="BR56" s="16">
        <f>IFERROR(__xludf.DUMMYFUNCTION("""COMPUTED_VALUE"""),4.0)</f>
        <v>4</v>
      </c>
      <c r="BS56" s="16" t="str">
        <f>IFERROR(__xludf.DUMMYFUNCTION("""COMPUTED_VALUE"""),"*4,5/- (16-6)")</f>
        <v>*4,5/- (16-6)</v>
      </c>
      <c r="BT56" s="16" t="str">
        <f>IFERROR(__xludf.DUMMYFUNCTION("""COMPUTED_VALUE"""),"C")</f>
        <v>C</v>
      </c>
      <c r="BU56" s="16">
        <f>IFERROR(__xludf.DUMMYFUNCTION("""COMPUTED_VALUE"""),11.0)</f>
        <v>11</v>
      </c>
      <c r="BV56" s="16">
        <f>IFERROR(__xludf.DUMMYFUNCTION("""COMPUTED_VALUE"""),0.0)</f>
        <v>0</v>
      </c>
      <c r="BW56" s="16">
        <f>IFERROR(__xludf.DUMMYFUNCTION("""COMPUTED_VALUE"""),0.0)</f>
        <v>0</v>
      </c>
      <c r="BX56" s="16">
        <f>IFERROR(__xludf.DUMMYFUNCTION("""COMPUTED_VALUE"""),0.0)</f>
        <v>0</v>
      </c>
      <c r="BY56" s="16">
        <f>IFERROR(__xludf.DUMMYFUNCTION("""COMPUTED_VALUE"""),0.0)</f>
        <v>0</v>
      </c>
      <c r="BZ56" s="16" t="str">
        <f>IFERROR(__xludf.DUMMYFUNCTION("""COMPUTED_VALUE"""),"D")</f>
        <v>D</v>
      </c>
      <c r="CA56" s="16" t="str">
        <f>IFERROR(__xludf.DUMMYFUNCTION("""COMPUTED_VALUE"""),"B")</f>
        <v>B</v>
      </c>
      <c r="CB56" s="16">
        <f>IFERROR(__xludf.DUMMYFUNCTION("""COMPUTED_VALUE"""),0.0)</f>
        <v>0</v>
      </c>
      <c r="CC56" s="16">
        <f>IFERROR(__xludf.DUMMYFUNCTION("""COMPUTED_VALUE"""),1.0)</f>
        <v>1</v>
      </c>
      <c r="CD56" s="16">
        <f>IFERROR(__xludf.DUMMYFUNCTION("""COMPUTED_VALUE"""),0.0)</f>
        <v>0</v>
      </c>
      <c r="CE56" s="16">
        <f>IFERROR(__xludf.DUMMYFUNCTION("""COMPUTED_VALUE"""),2.0)</f>
        <v>2</v>
      </c>
      <c r="CF56" s="16">
        <f>IFERROR(__xludf.DUMMYFUNCTION("""COMPUTED_VALUE"""),1.0)</f>
        <v>1</v>
      </c>
      <c r="CG56" s="16">
        <f>IFERROR(__xludf.DUMMYFUNCTION("""COMPUTED_VALUE"""),-19.0)</f>
        <v>-19</v>
      </c>
      <c r="CH56" s="16">
        <f>IFERROR(__xludf.DUMMYFUNCTION("""COMPUTED_VALUE"""),23.0)</f>
        <v>23</v>
      </c>
      <c r="CI56" s="179">
        <f>IFERROR(__xludf.DUMMYFUNCTION("""COMPUTED_VALUE"""),20.0)</f>
        <v>20</v>
      </c>
      <c r="CJ56" s="16"/>
      <c r="CK56" s="16">
        <f>IFERROR(__xludf.DUMMYFUNCTION("""COMPUTED_VALUE"""),405.0)</f>
        <v>405</v>
      </c>
      <c r="CL56" s="16"/>
      <c r="CM56" s="16"/>
      <c r="CN56" s="16"/>
      <c r="CO56" s="16">
        <f>IFERROR(__xludf.DUMMYFUNCTION("""COMPUTED_VALUE"""),403.0)</f>
        <v>403</v>
      </c>
      <c r="CP56" s="16"/>
      <c r="CQ56" s="16">
        <f>IFERROR(__xludf.DUMMYFUNCTION("""COMPUTED_VALUE"""),403.0)</f>
        <v>403</v>
      </c>
      <c r="CR56" s="16" t="str">
        <f>IFERROR(__xludf.DUMMYFUNCTION("""COMPUTED_VALUE"""),"rf-4(-1)e3 lf-4e3 1b-4e5")</f>
        <v>rf-4(-1)e3 lf-4e3 1b-4e5</v>
      </c>
      <c r="CS56" s="16"/>
      <c r="CT56" s="16">
        <f>IFERROR(__xludf.DUMMYFUNCTION("""COMPUTED_VALUE"""),4.0)</f>
        <v>4</v>
      </c>
      <c r="CU56" s="16"/>
      <c r="CV56" s="16"/>
      <c r="CW56" s="16"/>
      <c r="CX56" s="16">
        <f>IFERROR(__xludf.DUMMYFUNCTION("""COMPUTED_VALUE"""),4.0)</f>
        <v>4</v>
      </c>
      <c r="CY56" s="16"/>
      <c r="CZ56" s="16">
        <f>IFERROR(__xludf.DUMMYFUNCTION("""COMPUTED_VALUE"""),4.0)</f>
        <v>4</v>
      </c>
      <c r="DA56" s="16"/>
      <c r="DB56" s="16">
        <f>IFERROR(__xludf.DUMMYFUNCTION("""COMPUTED_VALUE"""),5.0)</f>
        <v>5</v>
      </c>
      <c r="DC56" s="16"/>
      <c r="DD56" s="16"/>
      <c r="DE56" s="16"/>
      <c r="DF56" s="16">
        <f>IFERROR(__xludf.DUMMYFUNCTION("""COMPUTED_VALUE"""),3.0)</f>
        <v>3</v>
      </c>
      <c r="DG56" s="16"/>
      <c r="DH56" s="16">
        <f>IFERROR(__xludf.DUMMYFUNCTION("""COMPUTED_VALUE"""),3.0)</f>
        <v>3</v>
      </c>
      <c r="DI56" s="16"/>
      <c r="DJ56" s="16">
        <f>IFERROR(__xludf.DUMMYFUNCTION("""COMPUTED_VALUE"""),0.0)</f>
        <v>0</v>
      </c>
      <c r="DK56" s="16"/>
      <c r="DL56" s="16"/>
      <c r="DM56" s="16"/>
      <c r="DN56" s="16">
        <f>IFERROR(__xludf.DUMMYFUNCTION("""COMPUTED_VALUE"""),-1.0)</f>
        <v>-1</v>
      </c>
      <c r="DO56" s="16"/>
      <c r="DP56" s="16">
        <f>IFERROR(__xludf.DUMMYFUNCTION("""COMPUTED_VALUE"""),-1.0)</f>
        <v>-1</v>
      </c>
      <c r="DQ56" s="16"/>
      <c r="DR56" s="16">
        <f>IFERROR(__xludf.DUMMYFUNCTION("""COMPUTED_VALUE"""),2.0)</f>
        <v>2</v>
      </c>
      <c r="DS56" s="16"/>
      <c r="DT56" s="16"/>
      <c r="DU56" s="16"/>
      <c r="DV56" s="16">
        <f>IFERROR(__xludf.DUMMYFUNCTION("""COMPUTED_VALUE"""),4.0)</f>
        <v>4</v>
      </c>
      <c r="DW56" s="16"/>
      <c r="DX56" s="16">
        <f>IFERROR(__xludf.DUMMYFUNCTION("""COMPUTED_VALUE"""),4.0)</f>
        <v>4</v>
      </c>
      <c r="DY56" s="16"/>
      <c r="DZ56" s="16">
        <f>IFERROR(__xludf.DUMMYFUNCTION("""COMPUTED_VALUE"""),2.0)</f>
        <v>2</v>
      </c>
      <c r="EA56" s="16"/>
      <c r="EB56" s="16"/>
      <c r="EC56" s="16"/>
      <c r="ED56" s="16">
        <f>IFERROR(__xludf.DUMMYFUNCTION("""COMPUTED_VALUE"""),3.0)</f>
        <v>3</v>
      </c>
      <c r="EE56" s="16"/>
      <c r="EF56" s="16">
        <f>IFERROR(__xludf.DUMMYFUNCTION("""COMPUTED_VALUE"""),3.0)</f>
        <v>3</v>
      </c>
      <c r="EG56" s="179"/>
      <c r="EH56" s="179">
        <f>IFERROR(__xludf.DUMMYFUNCTION("""COMPUTED_VALUE"""),22.0)</f>
        <v>22</v>
      </c>
      <c r="EI56" s="179"/>
      <c r="EJ56" s="179"/>
      <c r="EK56" s="179"/>
      <c r="EL56" s="179">
        <f>IFERROR(__xludf.DUMMYFUNCTION("""COMPUTED_VALUE"""),23.0)</f>
        <v>23</v>
      </c>
      <c r="EM56" s="179"/>
      <c r="EN56" s="179">
        <f>IFERROR(__xludf.DUMMYFUNCTION("""COMPUTED_VALUE"""),23.0)</f>
        <v>23</v>
      </c>
      <c r="EO56" s="16"/>
      <c r="EP56" s="16"/>
      <c r="EQ56" s="16">
        <f>IFERROR(__xludf.DUMMYFUNCTION("""COMPUTED_VALUE"""),4.0)</f>
        <v>4</v>
      </c>
      <c r="ER56" s="16">
        <f>IFERROR(__xludf.DUMMYFUNCTION("""COMPUTED_VALUE"""),3.0)</f>
        <v>3</v>
      </c>
      <c r="ES56" s="16"/>
      <c r="ET56" s="16"/>
      <c r="EU56" s="16"/>
      <c r="EV56" s="16"/>
      <c r="EW56" s="16"/>
      <c r="EX56" s="180"/>
      <c r="EY56" s="180">
        <f>IFERROR(__xludf.DUMMYFUNCTION("""COMPUTED_VALUE"""),0.3)</f>
        <v>0.3</v>
      </c>
      <c r="EZ56" s="180"/>
      <c r="FA56" s="180"/>
      <c r="FB56" s="180"/>
      <c r="FC56" s="180">
        <f>IFERROR(__xludf.DUMMYFUNCTION("""COMPUTED_VALUE"""),0.55)</f>
        <v>0.55</v>
      </c>
      <c r="FD56" s="180"/>
      <c r="FE56" s="180">
        <f>IFERROR(__xludf.DUMMYFUNCTION("""COMPUTED_VALUE"""),0.55)</f>
        <v>0.55</v>
      </c>
      <c r="FF56" s="180"/>
      <c r="FG56" s="180">
        <f>IFERROR(__xludf.DUMMYFUNCTION("""COMPUTED_VALUE"""),0.08796296296296297)</f>
        <v>0.08796296296</v>
      </c>
      <c r="FH56" s="180"/>
      <c r="FI56" s="180"/>
      <c r="FJ56" s="180"/>
      <c r="FK56" s="180">
        <f>IFERROR(__xludf.DUMMYFUNCTION("""COMPUTED_VALUE"""),0.056)</f>
        <v>0.056</v>
      </c>
      <c r="FL56" s="180"/>
      <c r="FM56" s="180">
        <f>IFERROR(__xludf.DUMMYFUNCTION("""COMPUTED_VALUE"""),0.056)</f>
        <v>0.056</v>
      </c>
      <c r="FN56" s="16"/>
      <c r="FO56" s="16">
        <f>IFERROR(__xludf.DUMMYFUNCTION("""COMPUTED_VALUE"""),0.6384259259259258)</f>
        <v>0.6384259259</v>
      </c>
      <c r="FP56" s="16"/>
      <c r="FQ56" s="16"/>
      <c r="FR56" s="16"/>
      <c r="FS56" s="16">
        <f>IFERROR(__xludf.DUMMYFUNCTION("""COMPUTED_VALUE"""),0.42479999999999996)</f>
        <v>0.4248</v>
      </c>
      <c r="FT56" s="16"/>
      <c r="FU56" s="16">
        <f>IFERROR(__xludf.DUMMYFUNCTION("""COMPUTED_VALUE"""),0.42479999999999996)</f>
        <v>0.4248</v>
      </c>
      <c r="FV56" s="16"/>
      <c r="FW56" s="16">
        <f>IFERROR(__xludf.DUMMYFUNCTION("""COMPUTED_VALUE"""),-6.0)</f>
        <v>-6</v>
      </c>
      <c r="FX56" s="16"/>
      <c r="FY56" s="16"/>
      <c r="FZ56" s="16"/>
      <c r="GA56" s="16">
        <f>IFERROR(__xludf.DUMMYFUNCTION("""COMPUTED_VALUE"""),-8.0)</f>
        <v>-8</v>
      </c>
      <c r="GB56" s="16"/>
      <c r="GC56" s="16">
        <f>IFERROR(__xludf.DUMMYFUNCTION("""COMPUTED_VALUE"""),-8.0)</f>
        <v>-8</v>
      </c>
      <c r="GD56" s="16" t="s">
        <v>260</v>
      </c>
    </row>
    <row r="57">
      <c r="A57" s="16">
        <f>IFERROR(__xludf.DUMMYFUNCTION("""COMPUTED_VALUE"""),13165.0)</f>
        <v>13165</v>
      </c>
      <c r="B57" s="16" t="str">
        <f>IFERROR(__xludf.DUMMYFUNCTION("""COMPUTED_VALUE"""),"Masyn Winn")</f>
        <v>Masyn Winn</v>
      </c>
      <c r="C57" s="16">
        <f>IFERROR(__xludf.DUMMYFUNCTION("""COMPUTED_VALUE"""),2.23)</f>
        <v>2.23</v>
      </c>
      <c r="D57" s="16" t="str">
        <f>IFERROR(__xludf.DUMMYFUNCTION("""COMPUTED_VALUE"""),"R")</f>
        <v>R</v>
      </c>
      <c r="E57" s="16"/>
      <c r="F57" s="16"/>
      <c r="G57" s="16">
        <f>IFERROR(__xludf.DUMMYFUNCTION("""COMPUTED_VALUE"""),587.0)</f>
        <v>587</v>
      </c>
      <c r="H57" s="16">
        <f>IFERROR(__xludf.DUMMYFUNCTION("""COMPUTED_VALUE"""),41.0)</f>
        <v>41</v>
      </c>
      <c r="I57" s="16" t="str">
        <f>IFERROR(__xludf.DUMMYFUNCTION("""COMPUTED_VALUE"""),"1p70")</f>
        <v>1p70</v>
      </c>
      <c r="J57" s="16">
        <f>IFERROR(__xludf.DUMMYFUNCTION("""COMPUTED_VALUE"""),20.0)</f>
        <v>20</v>
      </c>
      <c r="K57" s="16">
        <f>IFERROR(__xludf.DUMMYFUNCTION("""COMPUTED_VALUE"""),9.0)</f>
        <v>9</v>
      </c>
      <c r="L57" s="16">
        <f>IFERROR(__xludf.DUMMYFUNCTION("""COMPUTED_VALUE"""),0.0)</f>
        <v>0</v>
      </c>
      <c r="M57" s="16">
        <f>IFERROR(__xludf.DUMMYFUNCTION("""COMPUTED_VALUE"""),2.0)</f>
        <v>2</v>
      </c>
      <c r="N57" s="16">
        <f>IFERROR(__xludf.DUMMYFUNCTION("""COMPUTED_VALUE"""),0.0)</f>
        <v>0</v>
      </c>
      <c r="O57" s="16">
        <f>IFERROR(__xludf.DUMMYFUNCTION("""COMPUTED_VALUE"""),2.0)</f>
        <v>2</v>
      </c>
      <c r="P57" s="16">
        <f>IFERROR(__xludf.DUMMYFUNCTION("""COMPUTED_VALUE"""),8.0)</f>
        <v>8</v>
      </c>
      <c r="Q57" s="16">
        <f>IFERROR(__xludf.DUMMYFUNCTION("""COMPUTED_VALUE"""),5.0)</f>
        <v>5</v>
      </c>
      <c r="R57" s="16">
        <f>IFERROR(__xludf.DUMMYFUNCTION("""COMPUTED_VALUE"""),0.0)</f>
        <v>0</v>
      </c>
      <c r="S57" s="16">
        <f>IFERROR(__xludf.DUMMYFUNCTION("""COMPUTED_VALUE"""),-1.0)</f>
        <v>-1</v>
      </c>
      <c r="T57" s="16">
        <f>IFERROR(__xludf.DUMMYFUNCTION("""COMPUTED_VALUE"""),0.0)</f>
        <v>0</v>
      </c>
      <c r="U57" s="16">
        <f>IFERROR(__xludf.DUMMYFUNCTION("""COMPUTED_VALUE"""),-1.0)</f>
        <v>-1</v>
      </c>
      <c r="V57" s="16">
        <f>IFERROR(__xludf.DUMMYFUNCTION("""COMPUTED_VALUE"""),19.8)</f>
        <v>19.8</v>
      </c>
      <c r="W57" s="16">
        <f>IFERROR(__xludf.DUMMYFUNCTION("""COMPUTED_VALUE"""),29.4)</f>
        <v>29.4</v>
      </c>
      <c r="X57" s="16">
        <f>IFERROR(__xludf.DUMMYFUNCTION("""COMPUTED_VALUE"""),0.0)</f>
        <v>0</v>
      </c>
      <c r="Y57" s="16">
        <f>IFERROR(__xludf.DUMMYFUNCTION("""COMPUTED_VALUE"""),2.0)</f>
        <v>2</v>
      </c>
      <c r="Z57" s="16">
        <f>IFERROR(__xludf.DUMMYFUNCTION("""COMPUTED_VALUE"""),0.0)</f>
        <v>0</v>
      </c>
      <c r="AA57" s="16">
        <f>IFERROR(__xludf.DUMMYFUNCTION("""COMPUTED_VALUE"""),4.0)</f>
        <v>4</v>
      </c>
      <c r="AB57" s="16">
        <f>IFERROR(__xludf.DUMMYFUNCTION("""COMPUTED_VALUE"""),27.8)</f>
        <v>27.8</v>
      </c>
      <c r="AC57" s="16">
        <f>IFERROR(__xludf.DUMMYFUNCTION("""COMPUTED_VALUE"""),34.3)</f>
        <v>34.3</v>
      </c>
      <c r="AD57" s="16">
        <f>IFERROR(__xludf.DUMMYFUNCTION("""COMPUTED_VALUE"""),0.0)</f>
        <v>0</v>
      </c>
      <c r="AE57" s="16">
        <f>IFERROR(__xludf.DUMMYFUNCTION("""COMPUTED_VALUE"""),0.0)</f>
        <v>0</v>
      </c>
      <c r="AF57" s="16">
        <f>IFERROR(__xludf.DUMMYFUNCTION("""COMPUTED_VALUE"""),0.0)</f>
        <v>0</v>
      </c>
      <c r="AG57" s="16">
        <f>IFERROR(__xludf.DUMMYFUNCTION("""COMPUTED_VALUE"""),0.0)</f>
        <v>0</v>
      </c>
      <c r="AH57" s="16">
        <f>IFERROR(__xludf.DUMMYFUNCTION("""COMPUTED_VALUE"""),43.5)</f>
        <v>43.5</v>
      </c>
      <c r="AI57" s="16">
        <f>IFERROR(__xludf.DUMMYFUNCTION("""COMPUTED_VALUE"""),44.6)</f>
        <v>44.6</v>
      </c>
      <c r="AJ57" s="16">
        <f>IFERROR(__xludf.DUMMYFUNCTION("""COMPUTED_VALUE"""),1.0)</f>
        <v>1</v>
      </c>
      <c r="AK57" s="16">
        <f>IFERROR(__xludf.DUMMYFUNCTION("""COMPUTED_VALUE"""),1.0)</f>
        <v>1</v>
      </c>
      <c r="AL57" s="16">
        <f>IFERROR(__xludf.DUMMYFUNCTION("""COMPUTED_VALUE"""),5.0)</f>
        <v>5</v>
      </c>
      <c r="AM57" s="16">
        <f>IFERROR(__xludf.DUMMYFUNCTION("""COMPUTED_VALUE"""),5.0)</f>
        <v>5</v>
      </c>
      <c r="AN57" s="16">
        <f>IFERROR(__xludf.DUMMYFUNCTION("""COMPUTED_VALUE"""),3.8)</f>
        <v>3.8</v>
      </c>
      <c r="AO57" s="16">
        <f>IFERROR(__xludf.DUMMYFUNCTION("""COMPUTED_VALUE"""),3.0)</f>
        <v>3</v>
      </c>
      <c r="AP57" s="16">
        <f>IFERROR(__xludf.DUMMYFUNCTION("""COMPUTED_VALUE"""),2.0)</f>
        <v>2</v>
      </c>
      <c r="AQ57" s="16">
        <f>IFERROR(__xludf.DUMMYFUNCTION("""COMPUTED_VALUE"""),1.0)</f>
        <v>1</v>
      </c>
      <c r="AR57" s="16">
        <f>IFERROR(__xludf.DUMMYFUNCTION("""COMPUTED_VALUE"""),4.0)</f>
        <v>4</v>
      </c>
      <c r="AS57" s="16">
        <f>IFERROR(__xludf.DUMMYFUNCTION("""COMPUTED_VALUE"""),2.0)</f>
        <v>2</v>
      </c>
      <c r="AT57" s="16">
        <f>IFERROR(__xludf.DUMMYFUNCTION("""COMPUTED_VALUE"""),7.0)</f>
        <v>7</v>
      </c>
      <c r="AU57" s="16"/>
      <c r="AV57" s="16">
        <f>IFERROR(__xludf.DUMMYFUNCTION("""COMPUTED_VALUE"""),7.0)</f>
        <v>7</v>
      </c>
      <c r="AW57" s="16">
        <f>IFERROR(__xludf.DUMMYFUNCTION("""COMPUTED_VALUE"""),-3.0)</f>
        <v>-3</v>
      </c>
      <c r="AX57" s="16">
        <f>IFERROR(__xludf.DUMMYFUNCTION("""COMPUTED_VALUE"""),3.0)</f>
        <v>3</v>
      </c>
      <c r="AY57" s="16">
        <f>IFERROR(__xludf.DUMMYFUNCTION("""COMPUTED_VALUE"""),-3.0)</f>
        <v>-3</v>
      </c>
      <c r="AZ57" s="16">
        <f>IFERROR(__xludf.DUMMYFUNCTION("""COMPUTED_VALUE"""),9.0)</f>
        <v>9</v>
      </c>
      <c r="BA57" s="16">
        <f>IFERROR(__xludf.DUMMYFUNCTION("""COMPUTED_VALUE"""),-9.0)</f>
        <v>-9</v>
      </c>
      <c r="BB57" s="16">
        <f>IFERROR(__xludf.DUMMYFUNCTION("""COMPUTED_VALUE"""),5.0)</f>
        <v>5</v>
      </c>
      <c r="BC57" s="16">
        <f>IFERROR(__xludf.DUMMYFUNCTION("""COMPUTED_VALUE"""),5.0)</f>
        <v>5</v>
      </c>
      <c r="BD57" s="16">
        <f>IFERROR(__xludf.DUMMYFUNCTION("""COMPUTED_VALUE"""),1.0)</f>
        <v>1</v>
      </c>
      <c r="BE57" s="16">
        <f>IFERROR(__xludf.DUMMYFUNCTION("""COMPUTED_VALUE"""),1.0)</f>
        <v>1</v>
      </c>
      <c r="BF57" s="16">
        <f>IFERROR(__xludf.DUMMYFUNCTION("""COMPUTED_VALUE"""),1.0)</f>
        <v>1</v>
      </c>
      <c r="BG57" s="16">
        <f>IFERROR(__xludf.DUMMYFUNCTION("""COMPUTED_VALUE"""),1.0)</f>
        <v>1</v>
      </c>
      <c r="BH57" s="16">
        <f>IFERROR(__xludf.DUMMYFUNCTION("""COMPUTED_VALUE"""),-4.0)</f>
        <v>-4</v>
      </c>
      <c r="BI57" s="16">
        <f>IFERROR(__xludf.DUMMYFUNCTION("""COMPUTED_VALUE"""),-10.0)</f>
        <v>-10</v>
      </c>
      <c r="BJ57" s="16">
        <f>IFERROR(__xludf.DUMMYFUNCTION("""COMPUTED_VALUE"""),0.0)</f>
        <v>0</v>
      </c>
      <c r="BK57" s="16">
        <f>IFERROR(__xludf.DUMMYFUNCTION("""COMPUTED_VALUE"""),0.0)</f>
        <v>0</v>
      </c>
      <c r="BL57" s="16">
        <f>IFERROR(__xludf.DUMMYFUNCTION("""COMPUTED_VALUE"""),3.0)</f>
        <v>3</v>
      </c>
      <c r="BM57" s="16">
        <f>IFERROR(__xludf.DUMMYFUNCTION("""COMPUTED_VALUE"""),3.0)</f>
        <v>3</v>
      </c>
      <c r="BN57" s="16">
        <f>IFERROR(__xludf.DUMMYFUNCTION("""COMPUTED_VALUE"""),3.0)</f>
        <v>3</v>
      </c>
      <c r="BO57" s="16">
        <f>IFERROR(__xludf.DUMMYFUNCTION("""COMPUTED_VALUE"""),3.0)</f>
        <v>3</v>
      </c>
      <c r="BP57" s="16">
        <f>IFERROR(__xludf.DUMMYFUNCTION("""COMPUTED_VALUE"""),10.0)</f>
        <v>10</v>
      </c>
      <c r="BQ57" s="16">
        <f>IFERROR(__xludf.DUMMYFUNCTION("""COMPUTED_VALUE"""),6.0)</f>
        <v>6</v>
      </c>
      <c r="BR57" s="16">
        <f>IFERROR(__xludf.DUMMYFUNCTION("""COMPUTED_VALUE"""),16.0)</f>
        <v>16</v>
      </c>
      <c r="BS57" s="16" t="str">
        <f>IFERROR(__xludf.DUMMYFUNCTION("""COMPUTED_VALUE"""),"*4,6/- (16-11)")</f>
        <v>*4,6/- (16-11)</v>
      </c>
      <c r="BT57" s="16" t="str">
        <f>IFERROR(__xludf.DUMMYFUNCTION("""COMPUTED_VALUE"""),"C")</f>
        <v>C</v>
      </c>
      <c r="BU57" s="16">
        <f>IFERROR(__xludf.DUMMYFUNCTION("""COMPUTED_VALUE"""),15.0)</f>
        <v>15</v>
      </c>
      <c r="BV57" s="16">
        <f>IFERROR(__xludf.DUMMYFUNCTION("""COMPUTED_VALUE"""),0.0)</f>
        <v>0</v>
      </c>
      <c r="BW57" s="16">
        <f>IFERROR(__xludf.DUMMYFUNCTION("""COMPUTED_VALUE"""),2.0)</f>
        <v>2</v>
      </c>
      <c r="BX57" s="16">
        <f>IFERROR(__xludf.DUMMYFUNCTION("""COMPUTED_VALUE"""),0.0)</f>
        <v>0</v>
      </c>
      <c r="BY57" s="16">
        <f>IFERROR(__xludf.DUMMYFUNCTION("""COMPUTED_VALUE"""),6.0)</f>
        <v>6</v>
      </c>
      <c r="BZ57" s="16" t="str">
        <f>IFERROR(__xludf.DUMMYFUNCTION("""COMPUTED_VALUE"""),"B")</f>
        <v>B</v>
      </c>
      <c r="CA57" s="16" t="str">
        <f>IFERROR(__xludf.DUMMYFUNCTION("""COMPUTED_VALUE"""),"C")</f>
        <v>C</v>
      </c>
      <c r="CB57" s="16">
        <f>IFERROR(__xludf.DUMMYFUNCTION("""COMPUTED_VALUE"""),1.0)</f>
        <v>1</v>
      </c>
      <c r="CC57" s="16">
        <f>IFERROR(__xludf.DUMMYFUNCTION("""COMPUTED_VALUE"""),0.0)</f>
        <v>0</v>
      </c>
      <c r="CD57" s="16">
        <f>IFERROR(__xludf.DUMMYFUNCTION("""COMPUTED_VALUE"""),1.0)</f>
        <v>1</v>
      </c>
      <c r="CE57" s="16">
        <f>IFERROR(__xludf.DUMMYFUNCTION("""COMPUTED_VALUE"""),0.0)</f>
        <v>0</v>
      </c>
      <c r="CF57" s="16">
        <f>IFERROR(__xludf.DUMMYFUNCTION("""COMPUTED_VALUE"""),1.0)</f>
        <v>1</v>
      </c>
      <c r="CG57" s="16">
        <f>IFERROR(__xludf.DUMMYFUNCTION("""COMPUTED_VALUE"""),22.0)</f>
        <v>22</v>
      </c>
      <c r="CH57" s="16">
        <f>IFERROR(__xludf.DUMMYFUNCTION("""COMPUTED_VALUE"""),7.0)</f>
        <v>7</v>
      </c>
      <c r="CI57" s="179">
        <f>IFERROR(__xludf.DUMMYFUNCTION("""COMPUTED_VALUE"""),20.0)</f>
        <v>20</v>
      </c>
      <c r="CJ57" s="16"/>
      <c r="CK57" s="16"/>
      <c r="CL57" s="16"/>
      <c r="CM57" s="16"/>
      <c r="CN57" s="16">
        <f>IFERROR(__xludf.DUMMYFUNCTION("""COMPUTED_VALUE"""),120.0)</f>
        <v>120</v>
      </c>
      <c r="CO57" s="16"/>
      <c r="CP57" s="16"/>
      <c r="CQ57" s="16"/>
      <c r="CR57" s="16" t="str">
        <f>IFERROR(__xludf.DUMMYFUNCTION("""COMPUTED_VALUE"""),"ss-1e20")</f>
        <v>ss-1e20</v>
      </c>
      <c r="CS57" s="16"/>
      <c r="CT57" s="16"/>
      <c r="CU57" s="16"/>
      <c r="CV57" s="16"/>
      <c r="CW57" s="16">
        <f>IFERROR(__xludf.DUMMYFUNCTION("""COMPUTED_VALUE"""),1.0)</f>
        <v>1</v>
      </c>
      <c r="CX57" s="16"/>
      <c r="CY57" s="16"/>
      <c r="CZ57" s="16"/>
      <c r="DA57" s="16"/>
      <c r="DB57" s="16"/>
      <c r="DC57" s="16"/>
      <c r="DD57" s="16"/>
      <c r="DE57" s="16">
        <f>IFERROR(__xludf.DUMMYFUNCTION("""COMPUTED_VALUE"""),20.0)</f>
        <v>20</v>
      </c>
      <c r="DF57" s="16"/>
      <c r="DG57" s="16"/>
      <c r="DH57" s="16"/>
      <c r="DI57" s="16"/>
      <c r="DJ57" s="16"/>
      <c r="DK57" s="16"/>
      <c r="DL57" s="16"/>
      <c r="DM57" s="16">
        <f>IFERROR(__xludf.DUMMYFUNCTION("""COMPUTED_VALUE"""),5.0)</f>
        <v>5</v>
      </c>
      <c r="DN57" s="16"/>
      <c r="DO57" s="16"/>
      <c r="DP57" s="16"/>
      <c r="DQ57" s="16"/>
      <c r="DR57" s="16"/>
      <c r="DS57" s="16"/>
      <c r="DT57" s="16"/>
      <c r="DU57" s="16">
        <f>IFERROR(__xludf.DUMMYFUNCTION("""COMPUTED_VALUE"""),2.0)</f>
        <v>2</v>
      </c>
      <c r="DV57" s="16"/>
      <c r="DW57" s="16"/>
      <c r="DX57" s="16"/>
      <c r="DY57" s="16"/>
      <c r="DZ57" s="16"/>
      <c r="EA57" s="16"/>
      <c r="EB57" s="16"/>
      <c r="EC57" s="16">
        <f>IFERROR(__xludf.DUMMYFUNCTION("""COMPUTED_VALUE"""),7.0)</f>
        <v>7</v>
      </c>
      <c r="ED57" s="16"/>
      <c r="EE57" s="16"/>
      <c r="EF57" s="16"/>
      <c r="EG57" s="179"/>
      <c r="EH57" s="179"/>
      <c r="EI57" s="179"/>
      <c r="EJ57" s="179"/>
      <c r="EK57" s="179">
        <f>IFERROR(__xludf.DUMMYFUNCTION("""COMPUTED_VALUE"""),27.0)</f>
        <v>27</v>
      </c>
      <c r="EL57" s="179"/>
      <c r="EM57" s="179"/>
      <c r="EN57" s="179"/>
      <c r="EO57" s="16"/>
      <c r="EP57" s="16"/>
      <c r="EQ57" s="16">
        <f>IFERROR(__xludf.DUMMYFUNCTION("""COMPUTED_VALUE"""),4.0)</f>
        <v>4</v>
      </c>
      <c r="ER57" s="16">
        <f>IFERROR(__xludf.DUMMYFUNCTION("""COMPUTED_VALUE"""),3.0)</f>
        <v>3</v>
      </c>
      <c r="ES57" s="16"/>
      <c r="ET57" s="16"/>
      <c r="EU57" s="16"/>
      <c r="EV57" s="16"/>
      <c r="EW57" s="16"/>
      <c r="EX57" s="180"/>
      <c r="EY57" s="180"/>
      <c r="EZ57" s="180"/>
      <c r="FA57" s="180"/>
      <c r="FB57" s="180">
        <f>IFERROR(__xludf.DUMMYFUNCTION("""COMPUTED_VALUE"""),0.0)</f>
        <v>0</v>
      </c>
      <c r="FC57" s="180"/>
      <c r="FD57" s="180"/>
      <c r="FE57" s="180"/>
      <c r="FF57" s="180"/>
      <c r="FG57" s="180"/>
      <c r="FH57" s="180"/>
      <c r="FI57" s="180"/>
      <c r="FJ57" s="180">
        <f>IFERROR(__xludf.DUMMYFUNCTION("""COMPUTED_VALUE"""),0.10185185185185185)</f>
        <v>0.1018518519</v>
      </c>
      <c r="FK57" s="180"/>
      <c r="FL57" s="180"/>
      <c r="FM57" s="180"/>
      <c r="FN57" s="16"/>
      <c r="FO57" s="16"/>
      <c r="FP57" s="16"/>
      <c r="FQ57" s="16"/>
      <c r="FR57" s="16">
        <f>IFERROR(__xludf.DUMMYFUNCTION("""COMPUTED_VALUE"""),0.8981481481481481)</f>
        <v>0.8981481481</v>
      </c>
      <c r="FS57" s="16"/>
      <c r="FT57" s="16"/>
      <c r="FU57" s="16"/>
      <c r="FV57" s="16"/>
      <c r="FW57" s="16"/>
      <c r="FX57" s="16"/>
      <c r="FY57" s="16"/>
      <c r="FZ57" s="16">
        <f>IFERROR(__xludf.DUMMYFUNCTION("""COMPUTED_VALUE"""),4.0)</f>
        <v>4</v>
      </c>
      <c r="GA57" s="16"/>
      <c r="GB57" s="16"/>
      <c r="GC57" s="16"/>
      <c r="GD57" s="16" t="s">
        <v>289</v>
      </c>
    </row>
    <row r="58">
      <c r="A58" s="16">
        <f>IFERROR(__xludf.DUMMYFUNCTION("""COMPUTED_VALUE"""),13002.0)</f>
        <v>13002</v>
      </c>
      <c r="B58" s="16" t="str">
        <f>IFERROR(__xludf.DUMMYFUNCTION("""COMPUTED_VALUE"""),"Jordan Westburg")</f>
        <v>Jordan Westburg</v>
      </c>
      <c r="C58" s="16">
        <f>IFERROR(__xludf.DUMMYFUNCTION("""COMPUTED_VALUE"""),1.56)</f>
        <v>1.56</v>
      </c>
      <c r="D58" s="16" t="str">
        <f>IFERROR(__xludf.DUMMYFUNCTION("""COMPUTED_VALUE"""),"R")</f>
        <v>R</v>
      </c>
      <c r="E58" s="16"/>
      <c r="F58" s="16"/>
      <c r="G58" s="16">
        <f>IFERROR(__xludf.DUMMYFUNCTION("""COMPUTED_VALUE"""),416.0)</f>
        <v>416</v>
      </c>
      <c r="H58" s="16">
        <f>IFERROR(__xludf.DUMMYFUNCTION("""COMPUTED_VALUE"""),22.0)</f>
        <v>22</v>
      </c>
      <c r="I58" s="16" t="str">
        <f>IFERROR(__xludf.DUMMYFUNCTION("""COMPUTED_VALUE"""),"3p50")</f>
        <v>3p50</v>
      </c>
      <c r="J58" s="16">
        <f>IFERROR(__xludf.DUMMYFUNCTION("""COMPUTED_VALUE"""),38.0)</f>
        <v>38</v>
      </c>
      <c r="K58" s="16">
        <f>IFERROR(__xludf.DUMMYFUNCTION("""COMPUTED_VALUE"""),17.0)</f>
        <v>17</v>
      </c>
      <c r="L58" s="16">
        <f>IFERROR(__xludf.DUMMYFUNCTION("""COMPUTED_VALUE"""),-1.0)</f>
        <v>-1</v>
      </c>
      <c r="M58" s="16">
        <f>IFERROR(__xludf.DUMMYFUNCTION("""COMPUTED_VALUE"""),1.0)</f>
        <v>1</v>
      </c>
      <c r="N58" s="16">
        <f>IFERROR(__xludf.DUMMYFUNCTION("""COMPUTED_VALUE"""),-1.0)</f>
        <v>-1</v>
      </c>
      <c r="O58" s="16">
        <f>IFERROR(__xludf.DUMMYFUNCTION("""COMPUTED_VALUE"""),1.0)</f>
        <v>1</v>
      </c>
      <c r="P58" s="16">
        <f>IFERROR(__xludf.DUMMYFUNCTION("""COMPUTED_VALUE"""),9.0)</f>
        <v>9</v>
      </c>
      <c r="Q58" s="16">
        <f>IFERROR(__xludf.DUMMYFUNCTION("""COMPUTED_VALUE"""),1.0)</f>
        <v>1</v>
      </c>
      <c r="R58" s="16">
        <f>IFERROR(__xludf.DUMMYFUNCTION("""COMPUTED_VALUE"""),0.0)</f>
        <v>0</v>
      </c>
      <c r="S58" s="16">
        <f>IFERROR(__xludf.DUMMYFUNCTION("""COMPUTED_VALUE"""),-2.0)</f>
        <v>-2</v>
      </c>
      <c r="T58" s="16">
        <f>IFERROR(__xludf.DUMMYFUNCTION("""COMPUTED_VALUE"""),0.0)</f>
        <v>0</v>
      </c>
      <c r="U58" s="16">
        <f>IFERROR(__xludf.DUMMYFUNCTION("""COMPUTED_VALUE"""),-2.0)</f>
        <v>-2</v>
      </c>
      <c r="V58" s="16">
        <f>IFERROR(__xludf.DUMMYFUNCTION("""COMPUTED_VALUE"""),14.3)</f>
        <v>14.3</v>
      </c>
      <c r="W58" s="16">
        <f>IFERROR(__xludf.DUMMYFUNCTION("""COMPUTED_VALUE"""),26.4)</f>
        <v>26.4</v>
      </c>
      <c r="X58" s="16">
        <f>IFERROR(__xludf.DUMMYFUNCTION("""COMPUTED_VALUE"""),-1.0)</f>
        <v>-1</v>
      </c>
      <c r="Y58" s="16">
        <f>IFERROR(__xludf.DUMMYFUNCTION("""COMPUTED_VALUE"""),1.0)</f>
        <v>1</v>
      </c>
      <c r="Z58" s="16">
        <f>IFERROR(__xludf.DUMMYFUNCTION("""COMPUTED_VALUE"""),-2.0)</f>
        <v>-2</v>
      </c>
      <c r="AA58" s="16">
        <f>IFERROR(__xludf.DUMMYFUNCTION("""COMPUTED_VALUE"""),2.0)</f>
        <v>2</v>
      </c>
      <c r="AB58" s="16">
        <f>IFERROR(__xludf.DUMMYFUNCTION("""COMPUTED_VALUE"""),26.3)</f>
        <v>26.3</v>
      </c>
      <c r="AC58" s="16">
        <f>IFERROR(__xludf.DUMMYFUNCTION("""COMPUTED_VALUE"""),30.4)</f>
        <v>30.4</v>
      </c>
      <c r="AD58" s="16">
        <f>IFERROR(__xludf.DUMMYFUNCTION("""COMPUTED_VALUE"""),-1.0)</f>
        <v>-1</v>
      </c>
      <c r="AE58" s="16">
        <f>IFERROR(__xludf.DUMMYFUNCTION("""COMPUTED_VALUE"""),0.0)</f>
        <v>0</v>
      </c>
      <c r="AF58" s="16">
        <f>IFERROR(__xludf.DUMMYFUNCTION("""COMPUTED_VALUE"""),-5.0)</f>
        <v>-5</v>
      </c>
      <c r="AG58" s="16">
        <f>IFERROR(__xludf.DUMMYFUNCTION("""COMPUTED_VALUE"""),0.0)</f>
        <v>0</v>
      </c>
      <c r="AH58" s="16">
        <f>IFERROR(__xludf.DUMMYFUNCTION("""COMPUTED_VALUE"""),32.5)</f>
        <v>32.5</v>
      </c>
      <c r="AI58" s="16">
        <f>IFERROR(__xludf.DUMMYFUNCTION("""COMPUTED_VALUE"""),48.8)</f>
        <v>48.8</v>
      </c>
      <c r="AJ58" s="16">
        <f>IFERROR(__xludf.DUMMYFUNCTION("""COMPUTED_VALUE"""),0.0)</f>
        <v>0</v>
      </c>
      <c r="AK58" s="16">
        <f>IFERROR(__xludf.DUMMYFUNCTION("""COMPUTED_VALUE"""),2.0)</f>
        <v>2</v>
      </c>
      <c r="AL58" s="16">
        <f>IFERROR(__xludf.DUMMYFUNCTION("""COMPUTED_VALUE"""),0.0)</f>
        <v>0</v>
      </c>
      <c r="AM58" s="16">
        <f>IFERROR(__xludf.DUMMYFUNCTION("""COMPUTED_VALUE"""),10.0)</f>
        <v>10</v>
      </c>
      <c r="AN58" s="16">
        <f>IFERROR(__xludf.DUMMYFUNCTION("""COMPUTED_VALUE"""),3.6)</f>
        <v>3.6</v>
      </c>
      <c r="AO58" s="16">
        <f>IFERROR(__xludf.DUMMYFUNCTION("""COMPUTED_VALUE"""),3.2)</f>
        <v>3.2</v>
      </c>
      <c r="AP58" s="16">
        <f>IFERROR(__xludf.DUMMYFUNCTION("""COMPUTED_VALUE"""),2.0)</f>
        <v>2</v>
      </c>
      <c r="AQ58" s="16">
        <f>IFERROR(__xludf.DUMMYFUNCTION("""COMPUTED_VALUE"""),1.0)</f>
        <v>1</v>
      </c>
      <c r="AR58" s="16">
        <f>IFERROR(__xludf.DUMMYFUNCTION("""COMPUTED_VALUE"""),4.0)</f>
        <v>4</v>
      </c>
      <c r="AS58" s="16">
        <f>IFERROR(__xludf.DUMMYFUNCTION("""COMPUTED_VALUE"""),2.0)</f>
        <v>2</v>
      </c>
      <c r="AT58" s="16">
        <f>IFERROR(__xludf.DUMMYFUNCTION("""COMPUTED_VALUE"""),8.0)</f>
        <v>8</v>
      </c>
      <c r="AU58" s="16">
        <f>IFERROR(__xludf.DUMMYFUNCTION("""COMPUTED_VALUE"""),6.0)</f>
        <v>6</v>
      </c>
      <c r="AV58" s="16">
        <f>IFERROR(__xludf.DUMMYFUNCTION("""COMPUTED_VALUE"""),8.0)</f>
        <v>8</v>
      </c>
      <c r="AW58" s="16">
        <f>IFERROR(__xludf.DUMMYFUNCTION("""COMPUTED_VALUE"""),6.0)</f>
        <v>6</v>
      </c>
      <c r="AX58" s="16">
        <f>IFERROR(__xludf.DUMMYFUNCTION("""COMPUTED_VALUE"""),3.0)</f>
        <v>3</v>
      </c>
      <c r="AY58" s="16">
        <f>IFERROR(__xludf.DUMMYFUNCTION("""COMPUTED_VALUE"""),2.0)</f>
        <v>2</v>
      </c>
      <c r="AZ58" s="16">
        <f>IFERROR(__xludf.DUMMYFUNCTION("""COMPUTED_VALUE"""),9.0)</f>
        <v>9</v>
      </c>
      <c r="BA58" s="16">
        <f>IFERROR(__xludf.DUMMYFUNCTION("""COMPUTED_VALUE"""),6.0)</f>
        <v>6</v>
      </c>
      <c r="BB58" s="16">
        <f>IFERROR(__xludf.DUMMYFUNCTION("""COMPUTED_VALUE"""),5.0)</f>
        <v>5</v>
      </c>
      <c r="BC58" s="16">
        <f>IFERROR(__xludf.DUMMYFUNCTION("""COMPUTED_VALUE"""),5.0)</f>
        <v>5</v>
      </c>
      <c r="BD58" s="16">
        <f>IFERROR(__xludf.DUMMYFUNCTION("""COMPUTED_VALUE"""),1.0)</f>
        <v>1</v>
      </c>
      <c r="BE58" s="16">
        <f>IFERROR(__xludf.DUMMYFUNCTION("""COMPUTED_VALUE"""),1.0)</f>
        <v>1</v>
      </c>
      <c r="BF58" s="16">
        <f>IFERROR(__xludf.DUMMYFUNCTION("""COMPUTED_VALUE"""),1.0)</f>
        <v>1</v>
      </c>
      <c r="BG58" s="16">
        <f>IFERROR(__xludf.DUMMYFUNCTION("""COMPUTED_VALUE"""),1.0)</f>
        <v>1</v>
      </c>
      <c r="BH58" s="16">
        <f>IFERROR(__xludf.DUMMYFUNCTION("""COMPUTED_VALUE"""),0.0)</f>
        <v>0</v>
      </c>
      <c r="BI58" s="16">
        <f>IFERROR(__xludf.DUMMYFUNCTION("""COMPUTED_VALUE"""),0.0)</f>
        <v>0</v>
      </c>
      <c r="BJ58" s="16">
        <f>IFERROR(__xludf.DUMMYFUNCTION("""COMPUTED_VALUE"""),6.0)</f>
        <v>6</v>
      </c>
      <c r="BK58" s="16">
        <f>IFERROR(__xludf.DUMMYFUNCTION("""COMPUTED_VALUE"""),8.0)</f>
        <v>8</v>
      </c>
      <c r="BL58" s="16">
        <f>IFERROR(__xludf.DUMMYFUNCTION("""COMPUTED_VALUE"""),1.0)</f>
        <v>1</v>
      </c>
      <c r="BM58" s="16">
        <f>IFERROR(__xludf.DUMMYFUNCTION("""COMPUTED_VALUE"""),1.0)</f>
        <v>1</v>
      </c>
      <c r="BN58" s="16">
        <f>IFERROR(__xludf.DUMMYFUNCTION("""COMPUTED_VALUE"""),1.0)</f>
        <v>1</v>
      </c>
      <c r="BO58" s="16">
        <f>IFERROR(__xludf.DUMMYFUNCTION("""COMPUTED_VALUE"""),1.0)</f>
        <v>1</v>
      </c>
      <c r="BP58" s="16">
        <f>IFERROR(__xludf.DUMMYFUNCTION("""COMPUTED_VALUE"""),4.0)</f>
        <v>4</v>
      </c>
      <c r="BQ58" s="16">
        <f>IFERROR(__xludf.DUMMYFUNCTION("""COMPUTED_VALUE"""),7.0)</f>
        <v>7</v>
      </c>
      <c r="BR58" s="16">
        <f>IFERROR(__xludf.DUMMYFUNCTION("""COMPUTED_VALUE"""),11.0)</f>
        <v>11</v>
      </c>
      <c r="BS58" s="16" t="str">
        <f>IFERROR(__xludf.DUMMYFUNCTION("""COMPUTED_VALUE"""),"*4-6/- (15-11)")</f>
        <v>*4-6/- (15-11)</v>
      </c>
      <c r="BT58" s="16" t="str">
        <f>IFERROR(__xludf.DUMMYFUNCTION("""COMPUTED_VALUE"""),"C")</f>
        <v>C</v>
      </c>
      <c r="BU58" s="16">
        <f>IFERROR(__xludf.DUMMYFUNCTION("""COMPUTED_VALUE"""),14.0)</f>
        <v>14</v>
      </c>
      <c r="BV58" s="16">
        <f>IFERROR(__xludf.DUMMYFUNCTION("""COMPUTED_VALUE"""),0.0)</f>
        <v>0</v>
      </c>
      <c r="BW58" s="16">
        <f>IFERROR(__xludf.DUMMYFUNCTION("""COMPUTED_VALUE"""),1.0)</f>
        <v>1</v>
      </c>
      <c r="BX58" s="16">
        <f>IFERROR(__xludf.DUMMYFUNCTION("""COMPUTED_VALUE"""),0.0)</f>
        <v>0</v>
      </c>
      <c r="BY58" s="16">
        <f>IFERROR(__xludf.DUMMYFUNCTION("""COMPUTED_VALUE"""),3.0)</f>
        <v>3</v>
      </c>
      <c r="BZ58" s="16" t="str">
        <f>IFERROR(__xludf.DUMMYFUNCTION("""COMPUTED_VALUE"""),"D")</f>
        <v>D</v>
      </c>
      <c r="CA58" s="16" t="str">
        <f>IFERROR(__xludf.DUMMYFUNCTION("""COMPUTED_VALUE"""),"C")</f>
        <v>C</v>
      </c>
      <c r="CB58" s="16">
        <f>IFERROR(__xludf.DUMMYFUNCTION("""COMPUTED_VALUE"""),0.0)</f>
        <v>0</v>
      </c>
      <c r="CC58" s="16">
        <f>IFERROR(__xludf.DUMMYFUNCTION("""COMPUTED_VALUE"""),0.0)</f>
        <v>0</v>
      </c>
      <c r="CD58" s="16">
        <f>IFERROR(__xludf.DUMMYFUNCTION("""COMPUTED_VALUE"""),0.0)</f>
        <v>0</v>
      </c>
      <c r="CE58" s="16">
        <f>IFERROR(__xludf.DUMMYFUNCTION("""COMPUTED_VALUE"""),0.0)</f>
        <v>0</v>
      </c>
      <c r="CF58" s="16">
        <f>IFERROR(__xludf.DUMMYFUNCTION("""COMPUTED_VALUE"""),3.0)</f>
        <v>3</v>
      </c>
      <c r="CG58" s="16">
        <f>IFERROR(__xludf.DUMMYFUNCTION("""COMPUTED_VALUE"""),7.0)</f>
        <v>7</v>
      </c>
      <c r="CH58" s="16">
        <f>IFERROR(__xludf.DUMMYFUNCTION("""COMPUTED_VALUE"""),21.0)</f>
        <v>21</v>
      </c>
      <c r="CI58" s="179">
        <f>IFERROR(__xludf.DUMMYFUNCTION("""COMPUTED_VALUE"""),19.0)</f>
        <v>19</v>
      </c>
      <c r="CJ58" s="16"/>
      <c r="CK58" s="16"/>
      <c r="CL58" s="16">
        <f>IFERROR(__xludf.DUMMYFUNCTION("""COMPUTED_VALUE"""),211.0)</f>
        <v>211</v>
      </c>
      <c r="CM58" s="16">
        <f>IFERROR(__xludf.DUMMYFUNCTION("""COMPUTED_VALUE"""),205.0)</f>
        <v>205</v>
      </c>
      <c r="CN58" s="16">
        <f>IFERROR(__xludf.DUMMYFUNCTION("""COMPUTED_VALUE"""),488.0)</f>
        <v>488</v>
      </c>
      <c r="CO58" s="16"/>
      <c r="CP58" s="16"/>
      <c r="CQ58" s="16"/>
      <c r="CR58" s="16" t="str">
        <f>IFERROR(__xludf.DUMMYFUNCTION("""COMPUTED_VALUE"""),"3b-2e5 2b-2e11 ss-4e88")</f>
        <v>3b-2e5 2b-2e11 ss-4e88</v>
      </c>
      <c r="CS58" s="16"/>
      <c r="CT58" s="16"/>
      <c r="CU58" s="16">
        <f>IFERROR(__xludf.DUMMYFUNCTION("""COMPUTED_VALUE"""),2.0)</f>
        <v>2</v>
      </c>
      <c r="CV58" s="16">
        <f>IFERROR(__xludf.DUMMYFUNCTION("""COMPUTED_VALUE"""),2.0)</f>
        <v>2</v>
      </c>
      <c r="CW58" s="16">
        <f>IFERROR(__xludf.DUMMYFUNCTION("""COMPUTED_VALUE"""),4.0)</f>
        <v>4</v>
      </c>
      <c r="CX58" s="16"/>
      <c r="CY58" s="16"/>
      <c r="CZ58" s="16"/>
      <c r="DA58" s="16"/>
      <c r="DB58" s="16"/>
      <c r="DC58" s="16">
        <f>IFERROR(__xludf.DUMMYFUNCTION("""COMPUTED_VALUE"""),11.0)</f>
        <v>11</v>
      </c>
      <c r="DD58" s="16">
        <f>IFERROR(__xludf.DUMMYFUNCTION("""COMPUTED_VALUE"""),5.0)</f>
        <v>5</v>
      </c>
      <c r="DE58" s="16">
        <f>IFERROR(__xludf.DUMMYFUNCTION("""COMPUTED_VALUE"""),88.0)</f>
        <v>88</v>
      </c>
      <c r="DF58" s="16"/>
      <c r="DG58" s="16"/>
      <c r="DH58" s="16"/>
      <c r="DI58" s="16"/>
      <c r="DJ58" s="16"/>
      <c r="DK58" s="16">
        <f>IFERROR(__xludf.DUMMYFUNCTION("""COMPUTED_VALUE"""),2.0)</f>
        <v>2</v>
      </c>
      <c r="DL58" s="16">
        <f>IFERROR(__xludf.DUMMYFUNCTION("""COMPUTED_VALUE"""),3.0)</f>
        <v>3</v>
      </c>
      <c r="DM58" s="16">
        <f>IFERROR(__xludf.DUMMYFUNCTION("""COMPUTED_VALUE"""),-2.0)</f>
        <v>-2</v>
      </c>
      <c r="DN58" s="16"/>
      <c r="DO58" s="16"/>
      <c r="DP58" s="16"/>
      <c r="DQ58" s="16"/>
      <c r="DR58" s="16"/>
      <c r="DS58" s="16">
        <f>IFERROR(__xludf.DUMMYFUNCTION("""COMPUTED_VALUE"""),2.0)</f>
        <v>2</v>
      </c>
      <c r="DT58" s="16">
        <f>IFERROR(__xludf.DUMMYFUNCTION("""COMPUTED_VALUE"""),2.0)</f>
        <v>2</v>
      </c>
      <c r="DU58" s="16">
        <f>IFERROR(__xludf.DUMMYFUNCTION("""COMPUTED_VALUE"""),-2.0)</f>
        <v>-2</v>
      </c>
      <c r="DV58" s="16"/>
      <c r="DW58" s="16"/>
      <c r="DX58" s="16"/>
      <c r="DY58" s="16"/>
      <c r="DZ58" s="16"/>
      <c r="EA58" s="16">
        <f>IFERROR(__xludf.DUMMYFUNCTION("""COMPUTED_VALUE"""),4.0)</f>
        <v>4</v>
      </c>
      <c r="EB58" s="16">
        <f>IFERROR(__xludf.DUMMYFUNCTION("""COMPUTED_VALUE"""),5.0)</f>
        <v>5</v>
      </c>
      <c r="EC58" s="16">
        <f>IFERROR(__xludf.DUMMYFUNCTION("""COMPUTED_VALUE"""),-4.0)</f>
        <v>-4</v>
      </c>
      <c r="ED58" s="16"/>
      <c r="EE58" s="16"/>
      <c r="EF58" s="16"/>
      <c r="EG58" s="179"/>
      <c r="EH58" s="179"/>
      <c r="EI58" s="179">
        <f>IFERROR(__xludf.DUMMYFUNCTION("""COMPUTED_VALUE"""),23.0)</f>
        <v>23</v>
      </c>
      <c r="EJ58" s="179">
        <f>IFERROR(__xludf.DUMMYFUNCTION("""COMPUTED_VALUE"""),24.0)</f>
        <v>24</v>
      </c>
      <c r="EK58" s="179">
        <f>IFERROR(__xludf.DUMMYFUNCTION("""COMPUTED_VALUE"""),15.0)</f>
        <v>15</v>
      </c>
      <c r="EL58" s="179"/>
      <c r="EM58" s="179"/>
      <c r="EN58" s="179"/>
      <c r="EO58" s="16"/>
      <c r="EP58" s="16"/>
      <c r="EQ58" s="16">
        <f>IFERROR(__xludf.DUMMYFUNCTION("""COMPUTED_VALUE"""),1.0)</f>
        <v>1</v>
      </c>
      <c r="ER58" s="16">
        <f>IFERROR(__xludf.DUMMYFUNCTION("""COMPUTED_VALUE"""),0.0)</f>
        <v>0</v>
      </c>
      <c r="ES58" s="16"/>
      <c r="ET58" s="16"/>
      <c r="EU58" s="16"/>
      <c r="EV58" s="16"/>
      <c r="EW58" s="16"/>
      <c r="EX58" s="180"/>
      <c r="EY58" s="180"/>
      <c r="EZ58" s="180">
        <f>IFERROR(__xludf.DUMMYFUNCTION("""COMPUTED_VALUE"""),0.1)</f>
        <v>0.1</v>
      </c>
      <c r="FA58" s="180">
        <f>IFERROR(__xludf.DUMMYFUNCTION("""COMPUTED_VALUE"""),0.1)</f>
        <v>0.1</v>
      </c>
      <c r="FB58" s="180">
        <f>IFERROR(__xludf.DUMMYFUNCTION("""COMPUTED_VALUE"""),0.3)</f>
        <v>0.3</v>
      </c>
      <c r="FC58" s="180"/>
      <c r="FD58" s="180"/>
      <c r="FE58" s="180"/>
      <c r="FF58" s="180"/>
      <c r="FG58" s="180"/>
      <c r="FH58" s="180">
        <f>IFERROR(__xludf.DUMMYFUNCTION("""COMPUTED_VALUE"""),0.06481481481481481)</f>
        <v>0.06481481481</v>
      </c>
      <c r="FI58" s="180">
        <f>IFERROR(__xludf.DUMMYFUNCTION("""COMPUTED_VALUE"""),0.06018518518518518)</f>
        <v>0.06018518519</v>
      </c>
      <c r="FJ58" s="180">
        <f>IFERROR(__xludf.DUMMYFUNCTION("""COMPUTED_VALUE"""),0.4537037037037037)</f>
        <v>0.4537037037</v>
      </c>
      <c r="FK58" s="180"/>
      <c r="FL58" s="180"/>
      <c r="FM58" s="180"/>
      <c r="FN58" s="16"/>
      <c r="FO58" s="16"/>
      <c r="FP58" s="16">
        <f>IFERROR(__xludf.DUMMYFUNCTION("""COMPUTED_VALUE"""),0.8416666666666667)</f>
        <v>0.8416666667</v>
      </c>
      <c r="FQ58" s="16">
        <f>IFERROR(__xludf.DUMMYFUNCTION("""COMPUTED_VALUE"""),0.8458333333333333)</f>
        <v>0.8458333333</v>
      </c>
      <c r="FR58" s="16">
        <f>IFERROR(__xludf.DUMMYFUNCTION("""COMPUTED_VALUE"""),0.38240740740740736)</f>
        <v>0.3824074074</v>
      </c>
      <c r="FS58" s="16"/>
      <c r="FT58" s="16"/>
      <c r="FU58" s="16"/>
      <c r="FV58" s="16"/>
      <c r="FW58" s="16"/>
      <c r="FX58" s="16">
        <f>IFERROR(__xludf.DUMMYFUNCTION("""COMPUTED_VALUE"""),1.0)</f>
        <v>1</v>
      </c>
      <c r="FY58" s="16">
        <f>IFERROR(__xludf.DUMMYFUNCTION("""COMPUTED_VALUE"""),1.0)</f>
        <v>1</v>
      </c>
      <c r="FZ58" s="16">
        <f>IFERROR(__xludf.DUMMYFUNCTION("""COMPUTED_VALUE"""),-8.0)</f>
        <v>-8</v>
      </c>
      <c r="GA58" s="16"/>
      <c r="GB58" s="16"/>
      <c r="GC58" s="16"/>
      <c r="GD58" s="16" t="s">
        <v>306</v>
      </c>
    </row>
    <row r="59">
      <c r="A59" s="16">
        <f>IFERROR(__xludf.DUMMYFUNCTION("""COMPUTED_VALUE"""),12802.0)</f>
        <v>12802</v>
      </c>
      <c r="B59" s="16" t="str">
        <f>IFERROR(__xludf.DUMMYFUNCTION("""COMPUTED_VALUE"""),"Eric Haase")</f>
        <v>Eric Haase</v>
      </c>
      <c r="C59" s="16">
        <f>IFERROR(__xludf.DUMMYFUNCTION("""COMPUTED_VALUE"""),1.68)</f>
        <v>1.68</v>
      </c>
      <c r="D59" s="16" t="str">
        <f>IFERROR(__xludf.DUMMYFUNCTION("""COMPUTED_VALUE"""),"R")</f>
        <v>R</v>
      </c>
      <c r="E59" s="16"/>
      <c r="F59" s="16"/>
      <c r="G59" s="16">
        <f>IFERROR(__xludf.DUMMYFUNCTION("""COMPUTED_VALUE"""),66.0)</f>
        <v>66</v>
      </c>
      <c r="H59" s="16">
        <f>IFERROR(__xludf.DUMMYFUNCTION("""COMPUTED_VALUE"""),3.0)</f>
        <v>3</v>
      </c>
      <c r="I59" s="16" t="str">
        <f>IFERROR(__xludf.DUMMYFUNCTION("""COMPUTED_VALUE"""),"2p20")</f>
        <v>2p20</v>
      </c>
      <c r="J59" s="16">
        <f>IFERROR(__xludf.DUMMYFUNCTION("""COMPUTED_VALUE"""),50.0)</f>
        <v>50</v>
      </c>
      <c r="K59" s="16">
        <f>IFERROR(__xludf.DUMMYFUNCTION("""COMPUTED_VALUE"""),66.0)</f>
        <v>66</v>
      </c>
      <c r="L59" s="16">
        <f>IFERROR(__xludf.DUMMYFUNCTION("""COMPUTED_VALUE"""),-2.0)</f>
        <v>-2</v>
      </c>
      <c r="M59" s="16">
        <f>IFERROR(__xludf.DUMMYFUNCTION("""COMPUTED_VALUE"""),-3.0)</f>
        <v>-3</v>
      </c>
      <c r="N59" s="16">
        <f>IFERROR(__xludf.DUMMYFUNCTION("""COMPUTED_VALUE"""),-2.0)</f>
        <v>-2</v>
      </c>
      <c r="O59" s="16">
        <f>IFERROR(__xludf.DUMMYFUNCTION("""COMPUTED_VALUE"""),-3.0)</f>
        <v>-3</v>
      </c>
      <c r="P59" s="16">
        <f>IFERROR(__xludf.DUMMYFUNCTION("""COMPUTED_VALUE"""),11.0)</f>
        <v>11</v>
      </c>
      <c r="Q59" s="16">
        <f>IFERROR(__xludf.DUMMYFUNCTION("""COMPUTED_VALUE"""),0.0)</f>
        <v>0</v>
      </c>
      <c r="R59" s="16">
        <f>IFERROR(__xludf.DUMMYFUNCTION("""COMPUTED_VALUE"""),1.0)</f>
        <v>1</v>
      </c>
      <c r="S59" s="16">
        <f>IFERROR(__xludf.DUMMYFUNCTION("""COMPUTED_VALUE"""),-2.0)</f>
        <v>-2</v>
      </c>
      <c r="T59" s="16">
        <f>IFERROR(__xludf.DUMMYFUNCTION("""COMPUTED_VALUE"""),1.0)</f>
        <v>1</v>
      </c>
      <c r="U59" s="16">
        <f>IFERROR(__xludf.DUMMYFUNCTION("""COMPUTED_VALUE"""),-2.0)</f>
        <v>-2</v>
      </c>
      <c r="V59" s="16">
        <f>IFERROR(__xludf.DUMMYFUNCTION("""COMPUTED_VALUE"""),28.5)</f>
        <v>28.5</v>
      </c>
      <c r="W59" s="16">
        <f>IFERROR(__xludf.DUMMYFUNCTION("""COMPUTED_VALUE"""),24.7)</f>
        <v>24.7</v>
      </c>
      <c r="X59" s="16">
        <f>IFERROR(__xludf.DUMMYFUNCTION("""COMPUTED_VALUE"""),1.0)</f>
        <v>1</v>
      </c>
      <c r="Y59" s="16">
        <f>IFERROR(__xludf.DUMMYFUNCTION("""COMPUTED_VALUE"""),1.0)</f>
        <v>1</v>
      </c>
      <c r="Z59" s="16">
        <f>IFERROR(__xludf.DUMMYFUNCTION("""COMPUTED_VALUE"""),2.0)</f>
        <v>2</v>
      </c>
      <c r="AA59" s="16">
        <f>IFERROR(__xludf.DUMMYFUNCTION("""COMPUTED_VALUE"""),2.0)</f>
        <v>2</v>
      </c>
      <c r="AB59" s="16">
        <f>IFERROR(__xludf.DUMMYFUNCTION("""COMPUTED_VALUE"""),39.5)</f>
        <v>39.5</v>
      </c>
      <c r="AC59" s="16">
        <f>IFERROR(__xludf.DUMMYFUNCTION("""COMPUTED_VALUE"""),24.7)</f>
        <v>24.7</v>
      </c>
      <c r="AD59" s="16">
        <f>IFERROR(__xludf.DUMMYFUNCTION("""COMPUTED_VALUE"""),1.0)</f>
        <v>1</v>
      </c>
      <c r="AE59" s="16">
        <f>IFERROR(__xludf.DUMMYFUNCTION("""COMPUTED_VALUE"""),-1.0)</f>
        <v>-1</v>
      </c>
      <c r="AF59" s="16">
        <f>IFERROR(__xludf.DUMMYFUNCTION("""COMPUTED_VALUE"""),5.0)</f>
        <v>5</v>
      </c>
      <c r="AG59" s="16">
        <f>IFERROR(__xludf.DUMMYFUNCTION("""COMPUTED_VALUE"""),-5.0)</f>
        <v>-5</v>
      </c>
      <c r="AH59" s="16">
        <f>IFERROR(__xludf.DUMMYFUNCTION("""COMPUTED_VALUE"""),63.8)</f>
        <v>63.8</v>
      </c>
      <c r="AI59" s="16">
        <f>IFERROR(__xludf.DUMMYFUNCTION("""COMPUTED_VALUE"""),43.3)</f>
        <v>43.3</v>
      </c>
      <c r="AJ59" s="16">
        <f>IFERROR(__xludf.DUMMYFUNCTION("""COMPUTED_VALUE"""),2.0)</f>
        <v>2</v>
      </c>
      <c r="AK59" s="16">
        <f>IFERROR(__xludf.DUMMYFUNCTION("""COMPUTED_VALUE"""),1.0)</f>
        <v>1</v>
      </c>
      <c r="AL59" s="16">
        <f>IFERROR(__xludf.DUMMYFUNCTION("""COMPUTED_VALUE"""),10.0)</f>
        <v>10</v>
      </c>
      <c r="AM59" s="16">
        <f>IFERROR(__xludf.DUMMYFUNCTION("""COMPUTED_VALUE"""),5.0)</f>
        <v>5</v>
      </c>
      <c r="AN59" s="16">
        <f>IFERROR(__xludf.DUMMYFUNCTION("""COMPUTED_VALUE"""),11.8)</f>
        <v>11.8</v>
      </c>
      <c r="AO59" s="16">
        <f>IFERROR(__xludf.DUMMYFUNCTION("""COMPUTED_VALUE"""),6.2)</f>
        <v>6.2</v>
      </c>
      <c r="AP59" s="16">
        <f>IFERROR(__xludf.DUMMYFUNCTION("""COMPUTED_VALUE"""),3.0)</f>
        <v>3</v>
      </c>
      <c r="AQ59" s="16">
        <f>IFERROR(__xludf.DUMMYFUNCTION("""COMPUTED_VALUE"""),3.0)</f>
        <v>3</v>
      </c>
      <c r="AR59" s="16">
        <f>IFERROR(__xludf.DUMMYFUNCTION("""COMPUTED_VALUE"""),6.0)</f>
        <v>6</v>
      </c>
      <c r="AS59" s="16">
        <f>IFERROR(__xludf.DUMMYFUNCTION("""COMPUTED_VALUE"""),6.0)</f>
        <v>6</v>
      </c>
      <c r="AT59" s="16">
        <f>IFERROR(__xludf.DUMMYFUNCTION("""COMPUTED_VALUE"""),8.0)</f>
        <v>8</v>
      </c>
      <c r="AU59" s="16">
        <f>IFERROR(__xludf.DUMMYFUNCTION("""COMPUTED_VALUE"""),8.0)</f>
        <v>8</v>
      </c>
      <c r="AV59" s="16">
        <f>IFERROR(__xludf.DUMMYFUNCTION("""COMPUTED_VALUE"""),8.0)</f>
        <v>8</v>
      </c>
      <c r="AW59" s="16">
        <f>IFERROR(__xludf.DUMMYFUNCTION("""COMPUTED_VALUE"""),8.0)</f>
        <v>8</v>
      </c>
      <c r="AX59" s="16">
        <f>IFERROR(__xludf.DUMMYFUNCTION("""COMPUTED_VALUE"""),3.0)</f>
        <v>3</v>
      </c>
      <c r="AY59" s="16">
        <f>IFERROR(__xludf.DUMMYFUNCTION("""COMPUTED_VALUE"""),3.0)</f>
        <v>3</v>
      </c>
      <c r="AZ59" s="16">
        <f>IFERROR(__xludf.DUMMYFUNCTION("""COMPUTED_VALUE"""),9.0)</f>
        <v>9</v>
      </c>
      <c r="BA59" s="16">
        <f>IFERROR(__xludf.DUMMYFUNCTION("""COMPUTED_VALUE"""),9.0)</f>
        <v>9</v>
      </c>
      <c r="BB59" s="16">
        <f>IFERROR(__xludf.DUMMYFUNCTION("""COMPUTED_VALUE"""),5.0)</f>
        <v>5</v>
      </c>
      <c r="BC59" s="16">
        <f>IFERROR(__xludf.DUMMYFUNCTION("""COMPUTED_VALUE"""),5.0)</f>
        <v>5</v>
      </c>
      <c r="BD59" s="16">
        <f>IFERROR(__xludf.DUMMYFUNCTION("""COMPUTED_VALUE"""),1.0)</f>
        <v>1</v>
      </c>
      <c r="BE59" s="16">
        <f>IFERROR(__xludf.DUMMYFUNCTION("""COMPUTED_VALUE"""),1.0)</f>
        <v>1</v>
      </c>
      <c r="BF59" s="16">
        <f>IFERROR(__xludf.DUMMYFUNCTION("""COMPUTED_VALUE"""),1.0)</f>
        <v>1</v>
      </c>
      <c r="BG59" s="16">
        <f>IFERROR(__xludf.DUMMYFUNCTION("""COMPUTED_VALUE"""),1.0)</f>
        <v>1</v>
      </c>
      <c r="BH59" s="16">
        <f>IFERROR(__xludf.DUMMYFUNCTION("""COMPUTED_VALUE"""),-8.0)</f>
        <v>-8</v>
      </c>
      <c r="BI59" s="16">
        <f>IFERROR(__xludf.DUMMYFUNCTION("""COMPUTED_VALUE"""),-9.0)</f>
        <v>-9</v>
      </c>
      <c r="BJ59" s="16">
        <f>IFERROR(__xludf.DUMMYFUNCTION("""COMPUTED_VALUE"""),0.0)</f>
        <v>0</v>
      </c>
      <c r="BK59" s="16">
        <f>IFERROR(__xludf.DUMMYFUNCTION("""COMPUTED_VALUE"""),0.0)</f>
        <v>0</v>
      </c>
      <c r="BL59" s="16">
        <f>IFERROR(__xludf.DUMMYFUNCTION("""COMPUTED_VALUE"""),3.0)</f>
        <v>3</v>
      </c>
      <c r="BM59" s="16">
        <f>IFERROR(__xludf.DUMMYFUNCTION("""COMPUTED_VALUE"""),3.0)</f>
        <v>3</v>
      </c>
      <c r="BN59" s="16">
        <f>IFERROR(__xludf.DUMMYFUNCTION("""COMPUTED_VALUE"""),3.0)</f>
        <v>3</v>
      </c>
      <c r="BO59" s="16">
        <f>IFERROR(__xludf.DUMMYFUNCTION("""COMPUTED_VALUE"""),3.0)</f>
        <v>3</v>
      </c>
      <c r="BP59" s="16">
        <f>IFERROR(__xludf.DUMMYFUNCTION("""COMPUTED_VALUE"""),13.0)</f>
        <v>13</v>
      </c>
      <c r="BQ59" s="16">
        <f>IFERROR(__xludf.DUMMYFUNCTION("""COMPUTED_VALUE"""),6.0)</f>
        <v>6</v>
      </c>
      <c r="BR59" s="16">
        <f>IFERROR(__xludf.DUMMYFUNCTION("""COMPUTED_VALUE"""),19.0)</f>
        <v>19</v>
      </c>
      <c r="BS59" s="16" t="str">
        <f>IFERROR(__xludf.DUMMYFUNCTION("""COMPUTED_VALUE"""),"-/- (---)")</f>
        <v>-/- (---)</v>
      </c>
      <c r="BT59" s="16" t="str">
        <f>IFERROR(__xludf.DUMMYFUNCTION("""COMPUTED_VALUE"""),"E")</f>
        <v>E</v>
      </c>
      <c r="BU59" s="16">
        <f>IFERROR(__xludf.DUMMYFUNCTION("""COMPUTED_VALUE"""),12.0)</f>
        <v>12</v>
      </c>
      <c r="BV59" s="16">
        <f>IFERROR(__xludf.DUMMYFUNCTION("""COMPUTED_VALUE"""),0.0)</f>
        <v>0</v>
      </c>
      <c r="BW59" s="16">
        <f>IFERROR(__xludf.DUMMYFUNCTION("""COMPUTED_VALUE"""),0.0)</f>
        <v>0</v>
      </c>
      <c r="BX59" s="16">
        <f>IFERROR(__xludf.DUMMYFUNCTION("""COMPUTED_VALUE"""),0.0)</f>
        <v>0</v>
      </c>
      <c r="BY59" s="16">
        <f>IFERROR(__xludf.DUMMYFUNCTION("""COMPUTED_VALUE"""),0.0)</f>
        <v>0</v>
      </c>
      <c r="BZ59" s="16" t="str">
        <f>IFERROR(__xludf.DUMMYFUNCTION("""COMPUTED_VALUE"""),"D")</f>
        <v>D</v>
      </c>
      <c r="CA59" s="16" t="str">
        <f>IFERROR(__xludf.DUMMYFUNCTION("""COMPUTED_VALUE"""),"D")</f>
        <v>D</v>
      </c>
      <c r="CB59" s="16">
        <f>IFERROR(__xludf.DUMMYFUNCTION("""COMPUTED_VALUE"""),0.0)</f>
        <v>0</v>
      </c>
      <c r="CC59" s="16">
        <f>IFERROR(__xludf.DUMMYFUNCTION("""COMPUTED_VALUE"""),0.0)</f>
        <v>0</v>
      </c>
      <c r="CD59" s="16">
        <f>IFERROR(__xludf.DUMMYFUNCTION("""COMPUTED_VALUE"""),0.0)</f>
        <v>0</v>
      </c>
      <c r="CE59" s="16">
        <f>IFERROR(__xludf.DUMMYFUNCTION("""COMPUTED_VALUE"""),0.0)</f>
        <v>0</v>
      </c>
      <c r="CF59" s="16">
        <f>IFERROR(__xludf.DUMMYFUNCTION("""COMPUTED_VALUE"""),2.0)</f>
        <v>2</v>
      </c>
      <c r="CG59" s="16">
        <f>IFERROR(__xludf.DUMMYFUNCTION("""COMPUTED_VALUE"""),35.0)</f>
        <v>35</v>
      </c>
      <c r="CH59" s="16">
        <f>IFERROR(__xludf.DUMMYFUNCTION("""COMPUTED_VALUE"""),16.0)</f>
        <v>16</v>
      </c>
      <c r="CI59" s="179">
        <f>IFERROR(__xludf.DUMMYFUNCTION("""COMPUTED_VALUE"""),19.0)</f>
        <v>19</v>
      </c>
      <c r="CJ59" s="16">
        <f>IFERROR(__xludf.DUMMYFUNCTION("""COMPUTED_VALUE"""),410.0)</f>
        <v>410</v>
      </c>
      <c r="CK59" s="16"/>
      <c r="CL59" s="16"/>
      <c r="CM59" s="16"/>
      <c r="CN59" s="16"/>
      <c r="CO59" s="16"/>
      <c r="CP59" s="16"/>
      <c r="CQ59" s="16"/>
      <c r="CR59" s="16" t="str">
        <f>IFERROR(__xludf.DUMMYFUNCTION("""COMPUTED_VALUE"""),"c-4(+3)e10,T-7(pb-0)")</f>
        <v>c-4(+3)e10,T-7(pb-0)</v>
      </c>
      <c r="CS59" s="16">
        <f>IFERROR(__xludf.DUMMYFUNCTION("""COMPUTED_VALUE"""),4.0)</f>
        <v>4</v>
      </c>
      <c r="CT59" s="16"/>
      <c r="CU59" s="16"/>
      <c r="CV59" s="16"/>
      <c r="CW59" s="16"/>
      <c r="CX59" s="16"/>
      <c r="CY59" s="16"/>
      <c r="CZ59" s="16"/>
      <c r="DA59" s="16">
        <f>IFERROR(__xludf.DUMMYFUNCTION("""COMPUTED_VALUE"""),10.0)</f>
        <v>10</v>
      </c>
      <c r="DB59" s="16"/>
      <c r="DC59" s="16"/>
      <c r="DD59" s="16"/>
      <c r="DE59" s="16"/>
      <c r="DF59" s="16"/>
      <c r="DG59" s="16"/>
      <c r="DH59" s="16"/>
      <c r="DI59" s="16">
        <f>IFERROR(__xludf.DUMMYFUNCTION("""COMPUTED_VALUE"""),-2.0)</f>
        <v>-2</v>
      </c>
      <c r="DJ59" s="16"/>
      <c r="DK59" s="16"/>
      <c r="DL59" s="16"/>
      <c r="DM59" s="16"/>
      <c r="DN59" s="16"/>
      <c r="DO59" s="16"/>
      <c r="DP59" s="16"/>
      <c r="DQ59" s="16">
        <f>IFERROR(__xludf.DUMMYFUNCTION("""COMPUTED_VALUE"""),0.0)</f>
        <v>0</v>
      </c>
      <c r="DR59" s="16"/>
      <c r="DS59" s="16"/>
      <c r="DT59" s="16"/>
      <c r="DU59" s="16"/>
      <c r="DV59" s="16"/>
      <c r="DW59" s="16"/>
      <c r="DX59" s="16"/>
      <c r="DY59" s="16">
        <f>IFERROR(__xludf.DUMMYFUNCTION("""COMPUTED_VALUE"""),-2.0)</f>
        <v>-2</v>
      </c>
      <c r="DZ59" s="16"/>
      <c r="EA59" s="16"/>
      <c r="EB59" s="16"/>
      <c r="EC59" s="16"/>
      <c r="ED59" s="16"/>
      <c r="EE59" s="16"/>
      <c r="EF59" s="16"/>
      <c r="EG59" s="179">
        <f>IFERROR(__xludf.DUMMYFUNCTION("""COMPUTED_VALUE"""),20.0)</f>
        <v>20</v>
      </c>
      <c r="EH59" s="179"/>
      <c r="EI59" s="179"/>
      <c r="EJ59" s="179"/>
      <c r="EK59" s="179"/>
      <c r="EL59" s="179"/>
      <c r="EM59" s="179"/>
      <c r="EN59" s="179"/>
      <c r="EO59" s="16">
        <f>IFERROR(__xludf.DUMMYFUNCTION("""COMPUTED_VALUE"""),3.0)</f>
        <v>3</v>
      </c>
      <c r="EP59" s="16"/>
      <c r="EQ59" s="16">
        <f>IFERROR(__xludf.DUMMYFUNCTION("""COMPUTED_VALUE"""),2.0)</f>
        <v>2</v>
      </c>
      <c r="ER59" s="16">
        <f>IFERROR(__xludf.DUMMYFUNCTION("""COMPUTED_VALUE"""),-4.0)</f>
        <v>-4</v>
      </c>
      <c r="ES59" s="16" t="str">
        <f>IFERROR(__xludf.DUMMYFUNCTION("""COMPUTED_VALUE"""),"c-4")</f>
        <v>c-4</v>
      </c>
      <c r="ET59" s="16" t="str">
        <f>IFERROR(__xludf.DUMMYFUNCTION("""COMPUTED_VALUE"""),"+3)e10,T-7")</f>
        <v>+3)e10,T-7</v>
      </c>
      <c r="EU59" s="16" t="str">
        <f>IFERROR(__xludf.DUMMYFUNCTION("""COMPUTED_VALUE"""),"pb-0)")</f>
        <v>pb-0)</v>
      </c>
      <c r="EV59" s="16"/>
      <c r="EW59" s="16">
        <f>IFERROR(__xludf.DUMMYFUNCTION("""COMPUTED_VALUE"""),3.0)</f>
        <v>3</v>
      </c>
      <c r="EX59" s="180">
        <f>IFERROR(__xludf.DUMMYFUNCTION("""COMPUTED_VALUE"""),0.3)</f>
        <v>0.3</v>
      </c>
      <c r="EY59" s="180"/>
      <c r="EZ59" s="180"/>
      <c r="FA59" s="180"/>
      <c r="FB59" s="180"/>
      <c r="FC59" s="180"/>
      <c r="FD59" s="180"/>
      <c r="FE59" s="180"/>
      <c r="FF59" s="180">
        <f>IFERROR(__xludf.DUMMYFUNCTION("""COMPUTED_VALUE"""),0.121)</f>
        <v>0.121</v>
      </c>
      <c r="FG59" s="180"/>
      <c r="FH59" s="180"/>
      <c r="FI59" s="180"/>
      <c r="FJ59" s="180"/>
      <c r="FK59" s="180"/>
      <c r="FL59" s="180"/>
      <c r="FM59" s="180"/>
      <c r="FN59" s="16">
        <f>IFERROR(__xludf.DUMMYFUNCTION("""COMPUTED_VALUE"""),0.6153)</f>
        <v>0.6153</v>
      </c>
      <c r="FO59" s="16"/>
      <c r="FP59" s="16"/>
      <c r="FQ59" s="16"/>
      <c r="FR59" s="16"/>
      <c r="FS59" s="16"/>
      <c r="FT59" s="16"/>
      <c r="FU59" s="16"/>
      <c r="FV59" s="16">
        <f>IFERROR(__xludf.DUMMYFUNCTION("""COMPUTED_VALUE"""),-9.0)</f>
        <v>-9</v>
      </c>
      <c r="FW59" s="16"/>
      <c r="FX59" s="16"/>
      <c r="FY59" s="16"/>
      <c r="FZ59" s="16"/>
      <c r="GA59" s="16"/>
      <c r="GB59" s="16"/>
      <c r="GC59" s="16"/>
      <c r="GD59" s="16" t="s">
        <v>176</v>
      </c>
    </row>
    <row r="60">
      <c r="A60" s="16">
        <f>IFERROR(__xludf.DUMMYFUNCTION("""COMPUTED_VALUE"""),13019.0)</f>
        <v>13019</v>
      </c>
      <c r="B60" s="16" t="str">
        <f>IFERROR(__xludf.DUMMYFUNCTION("""COMPUTED_VALUE"""),"Jose Iglesias")</f>
        <v>Jose Iglesias</v>
      </c>
      <c r="C60" s="16">
        <f>IFERROR(__xludf.DUMMYFUNCTION("""COMPUTED_VALUE"""),3.09)</f>
        <v>3.09</v>
      </c>
      <c r="D60" s="16" t="str">
        <f>IFERROR(__xludf.DUMMYFUNCTION("""COMPUTED_VALUE"""),"R")</f>
        <v>R</v>
      </c>
      <c r="E60" s="16"/>
      <c r="F60" s="16"/>
      <c r="G60" s="16">
        <f>IFERROR(__xludf.DUMMYFUNCTION("""COMPUTED_VALUE"""),270.0)</f>
        <v>270</v>
      </c>
      <c r="H60" s="16">
        <f>IFERROR(__xludf.DUMMYFUNCTION("""COMPUTED_VALUE"""),12.0)</f>
        <v>12</v>
      </c>
      <c r="I60" s="16" t="str">
        <f>IFERROR(__xludf.DUMMYFUNCTION("""COMPUTED_VALUE"""),"1p40")</f>
        <v>1p40</v>
      </c>
      <c r="J60" s="16">
        <f>IFERROR(__xludf.DUMMYFUNCTION("""COMPUTED_VALUE"""),2.0)</f>
        <v>2</v>
      </c>
      <c r="K60" s="16">
        <f>IFERROR(__xludf.DUMMYFUNCTION("""COMPUTED_VALUE"""),6.0)</f>
        <v>6</v>
      </c>
      <c r="L60" s="16">
        <f>IFERROR(__xludf.DUMMYFUNCTION("""COMPUTED_VALUE"""),2.0)</f>
        <v>2</v>
      </c>
      <c r="M60" s="16">
        <f>IFERROR(__xludf.DUMMYFUNCTION("""COMPUTED_VALUE"""),2.0)</f>
        <v>2</v>
      </c>
      <c r="N60" s="16">
        <f>IFERROR(__xludf.DUMMYFUNCTION("""COMPUTED_VALUE"""),2.0)</f>
        <v>2</v>
      </c>
      <c r="O60" s="16">
        <f>IFERROR(__xludf.DUMMYFUNCTION("""COMPUTED_VALUE"""),2.0)</f>
        <v>2</v>
      </c>
      <c r="P60" s="16">
        <f>IFERROR(__xludf.DUMMYFUNCTION("""COMPUTED_VALUE"""),0.0)</f>
        <v>0</v>
      </c>
      <c r="Q60" s="16">
        <f>IFERROR(__xludf.DUMMYFUNCTION("""COMPUTED_VALUE"""),0.0)</f>
        <v>0</v>
      </c>
      <c r="R60" s="16">
        <f>IFERROR(__xludf.DUMMYFUNCTION("""COMPUTED_VALUE"""),-3.0)</f>
        <v>-3</v>
      </c>
      <c r="S60" s="16">
        <f>IFERROR(__xludf.DUMMYFUNCTION("""COMPUTED_VALUE"""),-2.0)</f>
        <v>-2</v>
      </c>
      <c r="T60" s="16">
        <f>IFERROR(__xludf.DUMMYFUNCTION("""COMPUTED_VALUE"""),-3.0)</f>
        <v>-3</v>
      </c>
      <c r="U60" s="16">
        <f>IFERROR(__xludf.DUMMYFUNCTION("""COMPUTED_VALUE"""),-2.0)</f>
        <v>-2</v>
      </c>
      <c r="V60" s="16">
        <f>IFERROR(__xludf.DUMMYFUNCTION("""COMPUTED_VALUE"""),48.3)</f>
        <v>48.3</v>
      </c>
      <c r="W60" s="16">
        <f>IFERROR(__xludf.DUMMYFUNCTION("""COMPUTED_VALUE"""),36.6)</f>
        <v>36.6</v>
      </c>
      <c r="X60" s="16">
        <f>IFERROR(__xludf.DUMMYFUNCTION("""COMPUTED_VALUE"""),3.0)</f>
        <v>3</v>
      </c>
      <c r="Y60" s="16">
        <f>IFERROR(__xludf.DUMMYFUNCTION("""COMPUTED_VALUE"""),3.0)</f>
        <v>3</v>
      </c>
      <c r="Z60" s="16">
        <f>IFERROR(__xludf.DUMMYFUNCTION("""COMPUTED_VALUE"""),6.0)</f>
        <v>6</v>
      </c>
      <c r="AA60" s="16">
        <f>IFERROR(__xludf.DUMMYFUNCTION("""COMPUTED_VALUE"""),6.0)</f>
        <v>6</v>
      </c>
      <c r="AB60" s="16">
        <f>IFERROR(__xludf.DUMMYFUNCTION("""COMPUTED_VALUE"""),54.3)</f>
        <v>54.3</v>
      </c>
      <c r="AC60" s="16">
        <f>IFERROR(__xludf.DUMMYFUNCTION("""COMPUTED_VALUE"""),42.6)</f>
        <v>42.6</v>
      </c>
      <c r="AD60" s="16">
        <f>IFERROR(__xludf.DUMMYFUNCTION("""COMPUTED_VALUE"""),2.0)</f>
        <v>2</v>
      </c>
      <c r="AE60" s="16">
        <f>IFERROR(__xludf.DUMMYFUNCTION("""COMPUTED_VALUE"""),2.0)</f>
        <v>2</v>
      </c>
      <c r="AF60" s="16">
        <f>IFERROR(__xludf.DUMMYFUNCTION("""COMPUTED_VALUE"""),10.0)</f>
        <v>10</v>
      </c>
      <c r="AG60" s="16">
        <f>IFERROR(__xludf.DUMMYFUNCTION("""COMPUTED_VALUE"""),10.0)</f>
        <v>10</v>
      </c>
      <c r="AH60" s="16">
        <f>IFERROR(__xludf.DUMMYFUNCTION("""COMPUTED_VALUE"""),71.0)</f>
        <v>71</v>
      </c>
      <c r="AI60" s="16">
        <f>IFERROR(__xludf.DUMMYFUNCTION("""COMPUTED_VALUE"""),40.9)</f>
        <v>40.9</v>
      </c>
      <c r="AJ60" s="16">
        <f>IFERROR(__xludf.DUMMYFUNCTION("""COMPUTED_VALUE"""),3.0)</f>
        <v>3</v>
      </c>
      <c r="AK60" s="16">
        <f>IFERROR(__xludf.DUMMYFUNCTION("""COMPUTED_VALUE"""),1.0)</f>
        <v>1</v>
      </c>
      <c r="AL60" s="16">
        <f>IFERROR(__xludf.DUMMYFUNCTION("""COMPUTED_VALUE"""),15.0)</f>
        <v>15</v>
      </c>
      <c r="AM60" s="16">
        <f>IFERROR(__xludf.DUMMYFUNCTION("""COMPUTED_VALUE"""),5.0)</f>
        <v>5</v>
      </c>
      <c r="AN60" s="16">
        <f>IFERROR(__xludf.DUMMYFUNCTION("""COMPUTED_VALUE"""),2.3)</f>
        <v>2.3</v>
      </c>
      <c r="AO60" s="16">
        <f>IFERROR(__xludf.DUMMYFUNCTION("""COMPUTED_VALUE"""),0.3)</f>
        <v>0.3</v>
      </c>
      <c r="AP60" s="16">
        <f>IFERROR(__xludf.DUMMYFUNCTION("""COMPUTED_VALUE"""),0.0)</f>
        <v>0</v>
      </c>
      <c r="AQ60" s="16">
        <f>IFERROR(__xludf.DUMMYFUNCTION("""COMPUTED_VALUE"""),-2.0)</f>
        <v>-2</v>
      </c>
      <c r="AR60" s="16">
        <f>IFERROR(__xludf.DUMMYFUNCTION("""COMPUTED_VALUE"""),0.0)</f>
        <v>0</v>
      </c>
      <c r="AS60" s="16">
        <f>IFERROR(__xludf.DUMMYFUNCTION("""COMPUTED_VALUE"""),-4.0)</f>
        <v>-4</v>
      </c>
      <c r="AT60" s="16"/>
      <c r="AU60" s="16">
        <f>IFERROR(__xludf.DUMMYFUNCTION("""COMPUTED_VALUE"""),0.0)</f>
        <v>0</v>
      </c>
      <c r="AV60" s="16">
        <f>IFERROR(__xludf.DUMMYFUNCTION("""COMPUTED_VALUE"""),-3.0)</f>
        <v>-3</v>
      </c>
      <c r="AW60" s="16">
        <f>IFERROR(__xludf.DUMMYFUNCTION("""COMPUTED_VALUE"""),0.0)</f>
        <v>0</v>
      </c>
      <c r="AX60" s="16">
        <f>IFERROR(__xludf.DUMMYFUNCTION("""COMPUTED_VALUE"""),-3.0)</f>
        <v>-3</v>
      </c>
      <c r="AY60" s="16">
        <f>IFERROR(__xludf.DUMMYFUNCTION("""COMPUTED_VALUE"""),-2.0)</f>
        <v>-2</v>
      </c>
      <c r="AZ60" s="16">
        <f>IFERROR(__xludf.DUMMYFUNCTION("""COMPUTED_VALUE"""),-9.0)</f>
        <v>-9</v>
      </c>
      <c r="BA60" s="16">
        <f>IFERROR(__xludf.DUMMYFUNCTION("""COMPUTED_VALUE"""),-6.0)</f>
        <v>-6</v>
      </c>
      <c r="BB60" s="16">
        <f>IFERROR(__xludf.DUMMYFUNCTION("""COMPUTED_VALUE"""),5.0)</f>
        <v>5</v>
      </c>
      <c r="BC60" s="16">
        <f>IFERROR(__xludf.DUMMYFUNCTION("""COMPUTED_VALUE"""),5.0)</f>
        <v>5</v>
      </c>
      <c r="BD60" s="16">
        <f>IFERROR(__xludf.DUMMYFUNCTION("""COMPUTED_VALUE"""),1.0)</f>
        <v>1</v>
      </c>
      <c r="BE60" s="16">
        <f>IFERROR(__xludf.DUMMYFUNCTION("""COMPUTED_VALUE"""),1.0)</f>
        <v>1</v>
      </c>
      <c r="BF60" s="16">
        <f>IFERROR(__xludf.DUMMYFUNCTION("""COMPUTED_VALUE"""),1.0)</f>
        <v>1</v>
      </c>
      <c r="BG60" s="16">
        <f>IFERROR(__xludf.DUMMYFUNCTION("""COMPUTED_VALUE"""),1.0)</f>
        <v>1</v>
      </c>
      <c r="BH60" s="16">
        <f>IFERROR(__xludf.DUMMYFUNCTION("""COMPUTED_VALUE"""),2.0)</f>
        <v>2</v>
      </c>
      <c r="BI60" s="16">
        <f>IFERROR(__xludf.DUMMYFUNCTION("""COMPUTED_VALUE"""),2.0)</f>
        <v>2</v>
      </c>
      <c r="BJ60" s="16">
        <f>IFERROR(__xludf.DUMMYFUNCTION("""COMPUTED_VALUE"""),10.0)</f>
        <v>10</v>
      </c>
      <c r="BK60" s="16">
        <f>IFERROR(__xludf.DUMMYFUNCTION("""COMPUTED_VALUE"""),10.0)</f>
        <v>10</v>
      </c>
      <c r="BL60" s="16">
        <f>IFERROR(__xludf.DUMMYFUNCTION("""COMPUTED_VALUE"""),0.0)</f>
        <v>0</v>
      </c>
      <c r="BM60" s="16">
        <f>IFERROR(__xludf.DUMMYFUNCTION("""COMPUTED_VALUE"""),0.0)</f>
        <v>0</v>
      </c>
      <c r="BN60" s="16">
        <f>IFERROR(__xludf.DUMMYFUNCTION("""COMPUTED_VALUE"""),0.0)</f>
        <v>0</v>
      </c>
      <c r="BO60" s="16">
        <f>IFERROR(__xludf.DUMMYFUNCTION("""COMPUTED_VALUE"""),0.0)</f>
        <v>0</v>
      </c>
      <c r="BP60" s="16">
        <f>IFERROR(__xludf.DUMMYFUNCTION("""COMPUTED_VALUE"""),5.0)</f>
        <v>5</v>
      </c>
      <c r="BQ60" s="16">
        <f>IFERROR(__xludf.DUMMYFUNCTION("""COMPUTED_VALUE"""),3.0)</f>
        <v>3</v>
      </c>
      <c r="BR60" s="16">
        <f>IFERROR(__xludf.DUMMYFUNCTION("""COMPUTED_VALUE"""),8.0)</f>
        <v>8</v>
      </c>
      <c r="BS60" s="16" t="str">
        <f>IFERROR(__xludf.DUMMYFUNCTION("""COMPUTED_VALUE"""),"*7/- (17-6)")</f>
        <v>*7/- (17-6)</v>
      </c>
      <c r="BT60" s="16" t="str">
        <f>IFERROR(__xludf.DUMMYFUNCTION("""COMPUTED_VALUE"""),"B")</f>
        <v>B</v>
      </c>
      <c r="BU60" s="16">
        <f>IFERROR(__xludf.DUMMYFUNCTION("""COMPUTED_VALUE"""),13.0)</f>
        <v>13</v>
      </c>
      <c r="BV60" s="16">
        <f>IFERROR(__xludf.DUMMYFUNCTION("""COMPUTED_VALUE"""),1.0)</f>
        <v>1</v>
      </c>
      <c r="BW60" s="16">
        <f>IFERROR(__xludf.DUMMYFUNCTION("""COMPUTED_VALUE"""),1.0)</f>
        <v>1</v>
      </c>
      <c r="BX60" s="16">
        <f>IFERROR(__xludf.DUMMYFUNCTION("""COMPUTED_VALUE"""),2.0)</f>
        <v>2</v>
      </c>
      <c r="BY60" s="16">
        <f>IFERROR(__xludf.DUMMYFUNCTION("""COMPUTED_VALUE"""),3.0)</f>
        <v>3</v>
      </c>
      <c r="BZ60" s="16" t="str">
        <f>IFERROR(__xludf.DUMMYFUNCTION("""COMPUTED_VALUE"""),"D")</f>
        <v>D</v>
      </c>
      <c r="CA60" s="16" t="str">
        <f>IFERROR(__xludf.DUMMYFUNCTION("""COMPUTED_VALUE"""),"C")</f>
        <v>C</v>
      </c>
      <c r="CB60" s="16">
        <f>IFERROR(__xludf.DUMMYFUNCTION("""COMPUTED_VALUE"""),0.0)</f>
        <v>0</v>
      </c>
      <c r="CC60" s="16">
        <f>IFERROR(__xludf.DUMMYFUNCTION("""COMPUTED_VALUE"""),0.0)</f>
        <v>0</v>
      </c>
      <c r="CD60" s="16">
        <f>IFERROR(__xludf.DUMMYFUNCTION("""COMPUTED_VALUE"""),0.0)</f>
        <v>0</v>
      </c>
      <c r="CE60" s="16">
        <f>IFERROR(__xludf.DUMMYFUNCTION("""COMPUTED_VALUE"""),0.0)</f>
        <v>0</v>
      </c>
      <c r="CF60" s="16">
        <f>IFERROR(__xludf.DUMMYFUNCTION("""COMPUTED_VALUE"""),1.0)</f>
        <v>1</v>
      </c>
      <c r="CG60" s="16">
        <f>IFERROR(__xludf.DUMMYFUNCTION("""COMPUTED_VALUE"""),22.0)</f>
        <v>22</v>
      </c>
      <c r="CH60" s="16">
        <f>IFERROR(__xludf.DUMMYFUNCTION("""COMPUTED_VALUE"""),12.0)</f>
        <v>12</v>
      </c>
      <c r="CI60" s="179">
        <f>IFERROR(__xludf.DUMMYFUNCTION("""COMPUTED_VALUE"""),19.0)</f>
        <v>19</v>
      </c>
      <c r="CJ60" s="16"/>
      <c r="CK60" s="16"/>
      <c r="CL60" s="16">
        <f>IFERROR(__xludf.DUMMYFUNCTION("""COMPUTED_VALUE"""),206.0)</f>
        <v>206</v>
      </c>
      <c r="CM60" s="16">
        <f>IFERROR(__xludf.DUMMYFUNCTION("""COMPUTED_VALUE"""),211.0)</f>
        <v>211</v>
      </c>
      <c r="CN60" s="16">
        <f>IFERROR(__xludf.DUMMYFUNCTION("""COMPUTED_VALUE"""),307.0)</f>
        <v>307</v>
      </c>
      <c r="CO60" s="16"/>
      <c r="CP60" s="16"/>
      <c r="CQ60" s="16"/>
      <c r="CR60" s="16" t="str">
        <f>IFERROR(__xludf.DUMMYFUNCTION("""COMPUTED_VALUE"""),"2b-2e6 3b-2e11 ss-3e7")</f>
        <v>2b-2e6 3b-2e11 ss-3e7</v>
      </c>
      <c r="CS60" s="16"/>
      <c r="CT60" s="16"/>
      <c r="CU60" s="16">
        <f>IFERROR(__xludf.DUMMYFUNCTION("""COMPUTED_VALUE"""),2.0)</f>
        <v>2</v>
      </c>
      <c r="CV60" s="16">
        <f>IFERROR(__xludf.DUMMYFUNCTION("""COMPUTED_VALUE"""),2.0)</f>
        <v>2</v>
      </c>
      <c r="CW60" s="16">
        <f>IFERROR(__xludf.DUMMYFUNCTION("""COMPUTED_VALUE"""),3.0)</f>
        <v>3</v>
      </c>
      <c r="CX60" s="16"/>
      <c r="CY60" s="16"/>
      <c r="CZ60" s="16"/>
      <c r="DA60" s="16"/>
      <c r="DB60" s="16"/>
      <c r="DC60" s="16">
        <f>IFERROR(__xludf.DUMMYFUNCTION("""COMPUTED_VALUE"""),6.0)</f>
        <v>6</v>
      </c>
      <c r="DD60" s="16">
        <f>IFERROR(__xludf.DUMMYFUNCTION("""COMPUTED_VALUE"""),11.0)</f>
        <v>11</v>
      </c>
      <c r="DE60" s="16">
        <f>IFERROR(__xludf.DUMMYFUNCTION("""COMPUTED_VALUE"""),7.0)</f>
        <v>7</v>
      </c>
      <c r="DF60" s="16"/>
      <c r="DG60" s="16"/>
      <c r="DH60" s="16"/>
      <c r="DI60" s="16"/>
      <c r="DJ60" s="16"/>
      <c r="DK60" s="16">
        <f>IFERROR(__xludf.DUMMYFUNCTION("""COMPUTED_VALUE"""),2.0)</f>
        <v>2</v>
      </c>
      <c r="DL60" s="16">
        <f>IFERROR(__xludf.DUMMYFUNCTION("""COMPUTED_VALUE"""),3.0)</f>
        <v>3</v>
      </c>
      <c r="DM60" s="16">
        <f>IFERROR(__xludf.DUMMYFUNCTION("""COMPUTED_VALUE"""),0.0)</f>
        <v>0</v>
      </c>
      <c r="DN60" s="16"/>
      <c r="DO60" s="16"/>
      <c r="DP60" s="16"/>
      <c r="DQ60" s="16"/>
      <c r="DR60" s="16"/>
      <c r="DS60" s="16">
        <f>IFERROR(__xludf.DUMMYFUNCTION("""COMPUTED_VALUE"""),3.0)</f>
        <v>3</v>
      </c>
      <c r="DT60" s="16">
        <f>IFERROR(__xludf.DUMMYFUNCTION("""COMPUTED_VALUE"""),1.0)</f>
        <v>1</v>
      </c>
      <c r="DU60" s="16">
        <f>IFERROR(__xludf.DUMMYFUNCTION("""COMPUTED_VALUE"""),3.0)</f>
        <v>3</v>
      </c>
      <c r="DV60" s="16"/>
      <c r="DW60" s="16"/>
      <c r="DX60" s="16"/>
      <c r="DY60" s="16"/>
      <c r="DZ60" s="16"/>
      <c r="EA60" s="16">
        <f>IFERROR(__xludf.DUMMYFUNCTION("""COMPUTED_VALUE"""),5.0)</f>
        <v>5</v>
      </c>
      <c r="EB60" s="16">
        <f>IFERROR(__xludf.DUMMYFUNCTION("""COMPUTED_VALUE"""),4.0)</f>
        <v>4</v>
      </c>
      <c r="EC60" s="16">
        <f>IFERROR(__xludf.DUMMYFUNCTION("""COMPUTED_VALUE"""),3.0)</f>
        <v>3</v>
      </c>
      <c r="ED60" s="16"/>
      <c r="EE60" s="16"/>
      <c r="EF60" s="16"/>
      <c r="EG60" s="179"/>
      <c r="EH60" s="179"/>
      <c r="EI60" s="179">
        <f>IFERROR(__xludf.DUMMYFUNCTION("""COMPUTED_VALUE"""),24.0)</f>
        <v>24</v>
      </c>
      <c r="EJ60" s="179">
        <f>IFERROR(__xludf.DUMMYFUNCTION("""COMPUTED_VALUE"""),23.0)</f>
        <v>23</v>
      </c>
      <c r="EK60" s="179">
        <f>IFERROR(__xludf.DUMMYFUNCTION("""COMPUTED_VALUE"""),22.0)</f>
        <v>22</v>
      </c>
      <c r="EL60" s="179"/>
      <c r="EM60" s="179"/>
      <c r="EN60" s="179"/>
      <c r="EO60" s="16"/>
      <c r="EP60" s="16">
        <f>IFERROR(__xludf.DUMMYFUNCTION("""COMPUTED_VALUE"""),-1.0)</f>
        <v>-1</v>
      </c>
      <c r="EQ60" s="16">
        <f>IFERROR(__xludf.DUMMYFUNCTION("""COMPUTED_VALUE"""),4.0)</f>
        <v>4</v>
      </c>
      <c r="ER60" s="16">
        <f>IFERROR(__xludf.DUMMYFUNCTION("""COMPUTED_VALUE"""),-1.0)</f>
        <v>-1</v>
      </c>
      <c r="ES60" s="16"/>
      <c r="ET60" s="16"/>
      <c r="EU60" s="16"/>
      <c r="EV60" s="16"/>
      <c r="EW60" s="16"/>
      <c r="EX60" s="180"/>
      <c r="EY60" s="180"/>
      <c r="EZ60" s="180">
        <f>IFERROR(__xludf.DUMMYFUNCTION("""COMPUTED_VALUE"""),0.1)</f>
        <v>0.1</v>
      </c>
      <c r="FA60" s="180">
        <f>IFERROR(__xludf.DUMMYFUNCTION("""COMPUTED_VALUE"""),0.1)</f>
        <v>0.1</v>
      </c>
      <c r="FB60" s="180">
        <f>IFERROR(__xludf.DUMMYFUNCTION("""COMPUTED_VALUE"""),0.2)</f>
        <v>0.2</v>
      </c>
      <c r="FC60" s="180"/>
      <c r="FD60" s="180"/>
      <c r="FE60" s="180"/>
      <c r="FF60" s="180"/>
      <c r="FG60" s="180"/>
      <c r="FH60" s="180">
        <f>IFERROR(__xludf.DUMMYFUNCTION("""COMPUTED_VALUE"""),0.037037037037037035)</f>
        <v>0.03703703704</v>
      </c>
      <c r="FI60" s="180">
        <f>IFERROR(__xludf.DUMMYFUNCTION("""COMPUTED_VALUE"""),0.13425925925925927)</f>
        <v>0.1342592593</v>
      </c>
      <c r="FJ60" s="180">
        <f>IFERROR(__xludf.DUMMYFUNCTION("""COMPUTED_VALUE"""),0.037037037037037035)</f>
        <v>0.03703703704</v>
      </c>
      <c r="FK60" s="180"/>
      <c r="FL60" s="180"/>
      <c r="FM60" s="180"/>
      <c r="FN60" s="16"/>
      <c r="FO60" s="16"/>
      <c r="FP60" s="16">
        <f>IFERROR(__xludf.DUMMYFUNCTION("""COMPUTED_VALUE"""),0.8666666666666667)</f>
        <v>0.8666666667</v>
      </c>
      <c r="FQ60" s="16">
        <f>IFERROR(__xludf.DUMMYFUNCTION("""COMPUTED_VALUE"""),0.7791666666666667)</f>
        <v>0.7791666667</v>
      </c>
      <c r="FR60" s="16">
        <f>IFERROR(__xludf.DUMMYFUNCTION("""COMPUTED_VALUE"""),0.7703703703703705)</f>
        <v>0.7703703704</v>
      </c>
      <c r="FS60" s="16"/>
      <c r="FT60" s="16"/>
      <c r="FU60" s="16"/>
      <c r="FV60" s="16"/>
      <c r="FW60" s="16"/>
      <c r="FX60" s="16">
        <f>IFERROR(__xludf.DUMMYFUNCTION("""COMPUTED_VALUE"""),4.0)</f>
        <v>4</v>
      </c>
      <c r="FY60" s="16">
        <f>IFERROR(__xludf.DUMMYFUNCTION("""COMPUTED_VALUE"""),-1.0)</f>
        <v>-1</v>
      </c>
      <c r="FZ60" s="16">
        <f>IFERROR(__xludf.DUMMYFUNCTION("""COMPUTED_VALUE"""),-1.0)</f>
        <v>-1</v>
      </c>
      <c r="GA60" s="16"/>
      <c r="GB60" s="16"/>
      <c r="GC60" s="16"/>
      <c r="GD60" s="16" t="s">
        <v>292</v>
      </c>
    </row>
    <row r="61">
      <c r="A61" s="16">
        <f>IFERROR(__xludf.DUMMYFUNCTION("""COMPUTED_VALUE"""),12543.0)</f>
        <v>12543</v>
      </c>
      <c r="B61" s="16" t="str">
        <f>IFERROR(__xludf.DUMMYFUNCTION("""COMPUTED_VALUE"""),"Andrew McCutchen")</f>
        <v>Andrew McCutchen</v>
      </c>
      <c r="C61" s="16">
        <f>IFERROR(__xludf.DUMMYFUNCTION("""COMPUTED_VALUE"""),0.45)</f>
        <v>0.45</v>
      </c>
      <c r="D61" s="16" t="str">
        <f>IFERROR(__xludf.DUMMYFUNCTION("""COMPUTED_VALUE"""),"R")</f>
        <v>R</v>
      </c>
      <c r="E61" s="16"/>
      <c r="F61" s="16"/>
      <c r="G61" s="16">
        <f>IFERROR(__xludf.DUMMYFUNCTION("""COMPUTED_VALUE"""),448.0)</f>
        <v>448</v>
      </c>
      <c r="H61" s="16">
        <f>IFERROR(__xludf.DUMMYFUNCTION("""COMPUTED_VALUE"""),58.0)</f>
        <v>58</v>
      </c>
      <c r="I61" s="16" t="str">
        <f>IFERROR(__xludf.DUMMYFUNCTION("""COMPUTED_VALUE"""),"1p60")</f>
        <v>1p60</v>
      </c>
      <c r="J61" s="16">
        <f>IFERROR(__xludf.DUMMYFUNCTION("""COMPUTED_VALUE"""),39.0)</f>
        <v>39</v>
      </c>
      <c r="K61" s="16">
        <f>IFERROR(__xludf.DUMMYFUNCTION("""COMPUTED_VALUE"""),28.0)</f>
        <v>28</v>
      </c>
      <c r="L61" s="16">
        <f>IFERROR(__xludf.DUMMYFUNCTION("""COMPUTED_VALUE"""),-1.0)</f>
        <v>-1</v>
      </c>
      <c r="M61" s="16">
        <f>IFERROR(__xludf.DUMMYFUNCTION("""COMPUTED_VALUE"""),0.0)</f>
        <v>0</v>
      </c>
      <c r="N61" s="16">
        <f>IFERROR(__xludf.DUMMYFUNCTION("""COMPUTED_VALUE"""),-1.0)</f>
        <v>-1</v>
      </c>
      <c r="O61" s="16">
        <f>IFERROR(__xludf.DUMMYFUNCTION("""COMPUTED_VALUE"""),0.0)</f>
        <v>0</v>
      </c>
      <c r="P61" s="16">
        <f>IFERROR(__xludf.DUMMYFUNCTION("""COMPUTED_VALUE"""),18.0)</f>
        <v>18</v>
      </c>
      <c r="Q61" s="16">
        <f>IFERROR(__xludf.DUMMYFUNCTION("""COMPUTED_VALUE"""),15.0)</f>
        <v>15</v>
      </c>
      <c r="R61" s="16">
        <f>IFERROR(__xludf.DUMMYFUNCTION("""COMPUTED_VALUE"""),3.0)</f>
        <v>3</v>
      </c>
      <c r="S61" s="16">
        <f>IFERROR(__xludf.DUMMYFUNCTION("""COMPUTED_VALUE"""),2.0)</f>
        <v>2</v>
      </c>
      <c r="T61" s="16">
        <f>IFERROR(__xludf.DUMMYFUNCTION("""COMPUTED_VALUE"""),3.0)</f>
        <v>3</v>
      </c>
      <c r="U61" s="16">
        <f>IFERROR(__xludf.DUMMYFUNCTION("""COMPUTED_VALUE"""),2.0)</f>
        <v>2</v>
      </c>
      <c r="V61" s="16">
        <f>IFERROR(__xludf.DUMMYFUNCTION("""COMPUTED_VALUE"""),7.1)</f>
        <v>7.1</v>
      </c>
      <c r="W61" s="16">
        <f>IFERROR(__xludf.DUMMYFUNCTION("""COMPUTED_VALUE"""),17.9)</f>
        <v>17.9</v>
      </c>
      <c r="X61" s="16">
        <f>IFERROR(__xludf.DUMMYFUNCTION("""COMPUTED_VALUE"""),-2.0)</f>
        <v>-2</v>
      </c>
      <c r="Y61" s="16">
        <f>IFERROR(__xludf.DUMMYFUNCTION("""COMPUTED_VALUE"""),0.0)</f>
        <v>0</v>
      </c>
      <c r="Z61" s="16">
        <f>IFERROR(__xludf.DUMMYFUNCTION("""COMPUTED_VALUE"""),-4.0)</f>
        <v>-4</v>
      </c>
      <c r="AA61" s="16">
        <f>IFERROR(__xludf.DUMMYFUNCTION("""COMPUTED_VALUE"""),0.0)</f>
        <v>0</v>
      </c>
      <c r="AB61" s="16">
        <f>IFERROR(__xludf.DUMMYFUNCTION("""COMPUTED_VALUE"""),28.1)</f>
        <v>28.1</v>
      </c>
      <c r="AC61" s="16">
        <f>IFERROR(__xludf.DUMMYFUNCTION("""COMPUTED_VALUE"""),35.8)</f>
        <v>35.8</v>
      </c>
      <c r="AD61" s="16">
        <f>IFERROR(__xludf.DUMMYFUNCTION("""COMPUTED_VALUE"""),0.0)</f>
        <v>0</v>
      </c>
      <c r="AE61" s="16">
        <f>IFERROR(__xludf.DUMMYFUNCTION("""COMPUTED_VALUE"""),1.0)</f>
        <v>1</v>
      </c>
      <c r="AF61" s="16">
        <f>IFERROR(__xludf.DUMMYFUNCTION("""COMPUTED_VALUE"""),0.0)</f>
        <v>0</v>
      </c>
      <c r="AG61" s="16">
        <f>IFERROR(__xludf.DUMMYFUNCTION("""COMPUTED_VALUE"""),5.0)</f>
        <v>5</v>
      </c>
      <c r="AH61" s="16">
        <f>IFERROR(__xludf.DUMMYFUNCTION("""COMPUTED_VALUE"""),18.3)</f>
        <v>18.3</v>
      </c>
      <c r="AI61" s="16">
        <f>IFERROR(__xludf.DUMMYFUNCTION("""COMPUTED_VALUE"""),31.1)</f>
        <v>31.1</v>
      </c>
      <c r="AJ61" s="16">
        <f>IFERROR(__xludf.DUMMYFUNCTION("""COMPUTED_VALUE"""),-1.0)</f>
        <v>-1</v>
      </c>
      <c r="AK61" s="16">
        <f>IFERROR(__xludf.DUMMYFUNCTION("""COMPUTED_VALUE"""),0.0)</f>
        <v>0</v>
      </c>
      <c r="AL61" s="16">
        <f>IFERROR(__xludf.DUMMYFUNCTION("""COMPUTED_VALUE"""),-5.0)</f>
        <v>-5</v>
      </c>
      <c r="AM61" s="16">
        <f>IFERROR(__xludf.DUMMYFUNCTION("""COMPUTED_VALUE"""),0.0)</f>
        <v>0</v>
      </c>
      <c r="AN61" s="16">
        <f>IFERROR(__xludf.DUMMYFUNCTION("""COMPUTED_VALUE"""),3.8)</f>
        <v>3.8</v>
      </c>
      <c r="AO61" s="16">
        <f>IFERROR(__xludf.DUMMYFUNCTION("""COMPUTED_VALUE"""),3.0)</f>
        <v>3</v>
      </c>
      <c r="AP61" s="16">
        <f>IFERROR(__xludf.DUMMYFUNCTION("""COMPUTED_VALUE"""),2.0)</f>
        <v>2</v>
      </c>
      <c r="AQ61" s="16">
        <f>IFERROR(__xludf.DUMMYFUNCTION("""COMPUTED_VALUE"""),1.0)</f>
        <v>1</v>
      </c>
      <c r="AR61" s="16">
        <f>IFERROR(__xludf.DUMMYFUNCTION("""COMPUTED_VALUE"""),4.0)</f>
        <v>4</v>
      </c>
      <c r="AS61" s="16">
        <f>IFERROR(__xludf.DUMMYFUNCTION("""COMPUTED_VALUE"""),2.0)</f>
        <v>2</v>
      </c>
      <c r="AT61" s="16">
        <f>IFERROR(__xludf.DUMMYFUNCTION("""COMPUTED_VALUE"""),6.0)</f>
        <v>6</v>
      </c>
      <c r="AU61" s="16">
        <f>IFERROR(__xludf.DUMMYFUNCTION("""COMPUTED_VALUE"""),5.0)</f>
        <v>5</v>
      </c>
      <c r="AV61" s="16">
        <f>IFERROR(__xludf.DUMMYFUNCTION("""COMPUTED_VALUE"""),6.0)</f>
        <v>6</v>
      </c>
      <c r="AW61" s="16">
        <f>IFERROR(__xludf.DUMMYFUNCTION("""COMPUTED_VALUE"""),5.0)</f>
        <v>5</v>
      </c>
      <c r="AX61" s="16">
        <f>IFERROR(__xludf.DUMMYFUNCTION("""COMPUTED_VALUE"""),3.0)</f>
        <v>3</v>
      </c>
      <c r="AY61" s="16">
        <f>IFERROR(__xludf.DUMMYFUNCTION("""COMPUTED_VALUE"""),2.0)</f>
        <v>2</v>
      </c>
      <c r="AZ61" s="16">
        <f>IFERROR(__xludf.DUMMYFUNCTION("""COMPUTED_VALUE"""),9.0)</f>
        <v>9</v>
      </c>
      <c r="BA61" s="16">
        <f>IFERROR(__xludf.DUMMYFUNCTION("""COMPUTED_VALUE"""),6.0)</f>
        <v>6</v>
      </c>
      <c r="BB61" s="16">
        <f>IFERROR(__xludf.DUMMYFUNCTION("""COMPUTED_VALUE"""),5.0)</f>
        <v>5</v>
      </c>
      <c r="BC61" s="16">
        <f>IFERROR(__xludf.DUMMYFUNCTION("""COMPUTED_VALUE"""),5.0)</f>
        <v>5</v>
      </c>
      <c r="BD61" s="16">
        <f>IFERROR(__xludf.DUMMYFUNCTION("""COMPUTED_VALUE"""),1.0)</f>
        <v>1</v>
      </c>
      <c r="BE61" s="16">
        <f>IFERROR(__xludf.DUMMYFUNCTION("""COMPUTED_VALUE"""),1.0)</f>
        <v>1</v>
      </c>
      <c r="BF61" s="16">
        <f>IFERROR(__xludf.DUMMYFUNCTION("""COMPUTED_VALUE"""),1.0)</f>
        <v>1</v>
      </c>
      <c r="BG61" s="16">
        <f>IFERROR(__xludf.DUMMYFUNCTION("""COMPUTED_VALUE"""),1.0)</f>
        <v>1</v>
      </c>
      <c r="BH61" s="16">
        <f>IFERROR(__xludf.DUMMYFUNCTION("""COMPUTED_VALUE"""),-1.0)</f>
        <v>-1</v>
      </c>
      <c r="BI61" s="16">
        <f>IFERROR(__xludf.DUMMYFUNCTION("""COMPUTED_VALUE"""),-9.0)</f>
        <v>-9</v>
      </c>
      <c r="BJ61" s="16">
        <f>IFERROR(__xludf.DUMMYFUNCTION("""COMPUTED_VALUE"""),11.0)</f>
        <v>11</v>
      </c>
      <c r="BK61" s="16">
        <f>IFERROR(__xludf.DUMMYFUNCTION("""COMPUTED_VALUE"""),13.0)</f>
        <v>13</v>
      </c>
      <c r="BL61" s="16">
        <f>IFERROR(__xludf.DUMMYFUNCTION("""COMPUTED_VALUE"""),0.0)</f>
        <v>0</v>
      </c>
      <c r="BM61" s="16">
        <f>IFERROR(__xludf.DUMMYFUNCTION("""COMPUTED_VALUE"""),0.0)</f>
        <v>0</v>
      </c>
      <c r="BN61" s="16">
        <f>IFERROR(__xludf.DUMMYFUNCTION("""COMPUTED_VALUE"""),0.0)</f>
        <v>0</v>
      </c>
      <c r="BO61" s="16">
        <f>IFERROR(__xludf.DUMMYFUNCTION("""COMPUTED_VALUE"""),0.0)</f>
        <v>0</v>
      </c>
      <c r="BP61" s="16">
        <f>IFERROR(__xludf.DUMMYFUNCTION("""COMPUTED_VALUE"""),5.0)</f>
        <v>5</v>
      </c>
      <c r="BQ61" s="16">
        <f>IFERROR(__xludf.DUMMYFUNCTION("""COMPUTED_VALUE"""),7.0)</f>
        <v>7</v>
      </c>
      <c r="BR61" s="16">
        <f>IFERROR(__xludf.DUMMYFUNCTION("""COMPUTED_VALUE"""),12.0)</f>
        <v>12</v>
      </c>
      <c r="BS61" s="16" t="str">
        <f>IFERROR(__xludf.DUMMYFUNCTION("""COMPUTED_VALUE"""),"6/- (13-6)")</f>
        <v>6/- (13-6)</v>
      </c>
      <c r="BT61" s="16" t="str">
        <f>IFERROR(__xludf.DUMMYFUNCTION("""COMPUTED_VALUE"""),"D")</f>
        <v>D</v>
      </c>
      <c r="BU61" s="16">
        <f>IFERROR(__xludf.DUMMYFUNCTION("""COMPUTED_VALUE"""),12.0)</f>
        <v>12</v>
      </c>
      <c r="BV61" s="16">
        <f>IFERROR(__xludf.DUMMYFUNCTION("""COMPUTED_VALUE"""),0.0)</f>
        <v>0</v>
      </c>
      <c r="BW61" s="16">
        <f>IFERROR(__xludf.DUMMYFUNCTION("""COMPUTED_VALUE"""),0.0)</f>
        <v>0</v>
      </c>
      <c r="BX61" s="16">
        <f>IFERROR(__xludf.DUMMYFUNCTION("""COMPUTED_VALUE"""),0.0)</f>
        <v>0</v>
      </c>
      <c r="BY61" s="16">
        <f>IFERROR(__xludf.DUMMYFUNCTION("""COMPUTED_VALUE"""),0.0)</f>
        <v>0</v>
      </c>
      <c r="BZ61" s="16" t="str">
        <f>IFERROR(__xludf.DUMMYFUNCTION("""COMPUTED_VALUE"""),"D")</f>
        <v>D</v>
      </c>
      <c r="CA61" s="16" t="str">
        <f>IFERROR(__xludf.DUMMYFUNCTION("""COMPUTED_VALUE"""),"D")</f>
        <v>D</v>
      </c>
      <c r="CB61" s="16">
        <f>IFERROR(__xludf.DUMMYFUNCTION("""COMPUTED_VALUE"""),0.0)</f>
        <v>0</v>
      </c>
      <c r="CC61" s="16">
        <f>IFERROR(__xludf.DUMMYFUNCTION("""COMPUTED_VALUE"""),0.0)</f>
        <v>0</v>
      </c>
      <c r="CD61" s="16">
        <f>IFERROR(__xludf.DUMMYFUNCTION("""COMPUTED_VALUE"""),0.0)</f>
        <v>0</v>
      </c>
      <c r="CE61" s="16">
        <f>IFERROR(__xludf.DUMMYFUNCTION("""COMPUTED_VALUE"""),0.0)</f>
        <v>0</v>
      </c>
      <c r="CF61" s="16">
        <f>IFERROR(__xludf.DUMMYFUNCTION("""COMPUTED_VALUE"""),1.0)</f>
        <v>1</v>
      </c>
      <c r="CG61" s="16">
        <f>IFERROR(__xludf.DUMMYFUNCTION("""COMPUTED_VALUE"""),7.0)</f>
        <v>7</v>
      </c>
      <c r="CH61" s="16">
        <f>IFERROR(__xludf.DUMMYFUNCTION("""COMPUTED_VALUE"""),16.0)</f>
        <v>16</v>
      </c>
      <c r="CI61" s="179">
        <f>IFERROR(__xludf.DUMMYFUNCTION("""COMPUTED_VALUE"""),19.0)</f>
        <v>19</v>
      </c>
      <c r="CJ61" s="16"/>
      <c r="CK61" s="16"/>
      <c r="CL61" s="16"/>
      <c r="CM61" s="16"/>
      <c r="CN61" s="16"/>
      <c r="CO61" s="16"/>
      <c r="CP61" s="16"/>
      <c r="CQ61" s="16">
        <f>IFERROR(__xludf.DUMMYFUNCTION("""COMPUTED_VALUE"""),503.0)</f>
        <v>503</v>
      </c>
      <c r="CR61" s="16" t="str">
        <f>IFERROR(__xludf.DUMMYFUNCTION("""COMPUTED_VALUE"""),"rf-5(+2)e3")</f>
        <v>rf-5(+2)e3</v>
      </c>
      <c r="CS61" s="16"/>
      <c r="CT61" s="16"/>
      <c r="CU61" s="16"/>
      <c r="CV61" s="16"/>
      <c r="CW61" s="16"/>
      <c r="CX61" s="16"/>
      <c r="CY61" s="16"/>
      <c r="CZ61" s="16">
        <f>IFERROR(__xludf.DUMMYFUNCTION("""COMPUTED_VALUE"""),5.0)</f>
        <v>5</v>
      </c>
      <c r="DA61" s="16"/>
      <c r="DB61" s="16"/>
      <c r="DC61" s="16"/>
      <c r="DD61" s="16"/>
      <c r="DE61" s="16"/>
      <c r="DF61" s="16"/>
      <c r="DG61" s="16"/>
      <c r="DH61" s="16">
        <f>IFERROR(__xludf.DUMMYFUNCTION("""COMPUTED_VALUE"""),3.0)</f>
        <v>3</v>
      </c>
      <c r="DI61" s="16"/>
      <c r="DJ61" s="16"/>
      <c r="DK61" s="16"/>
      <c r="DL61" s="16"/>
      <c r="DM61" s="16"/>
      <c r="DN61" s="16"/>
      <c r="DO61" s="16"/>
      <c r="DP61" s="16">
        <f>IFERROR(__xludf.DUMMYFUNCTION("""COMPUTED_VALUE"""),-3.0)</f>
        <v>-3</v>
      </c>
      <c r="DQ61" s="16"/>
      <c r="DR61" s="16"/>
      <c r="DS61" s="16"/>
      <c r="DT61" s="16"/>
      <c r="DU61" s="16"/>
      <c r="DV61" s="16"/>
      <c r="DW61" s="16"/>
      <c r="DX61" s="16">
        <f>IFERROR(__xludf.DUMMYFUNCTION("""COMPUTED_VALUE"""),4.0)</f>
        <v>4</v>
      </c>
      <c r="DY61" s="16"/>
      <c r="DZ61" s="16"/>
      <c r="EA61" s="16"/>
      <c r="EB61" s="16"/>
      <c r="EC61" s="16"/>
      <c r="ED61" s="16"/>
      <c r="EE61" s="16"/>
      <c r="EF61" s="16">
        <f>IFERROR(__xludf.DUMMYFUNCTION("""COMPUTED_VALUE"""),1.0)</f>
        <v>1</v>
      </c>
      <c r="EG61" s="179"/>
      <c r="EH61" s="179"/>
      <c r="EI61" s="179"/>
      <c r="EJ61" s="179"/>
      <c r="EK61" s="179"/>
      <c r="EL61" s="179"/>
      <c r="EM61" s="179"/>
      <c r="EN61" s="179">
        <f>IFERROR(__xludf.DUMMYFUNCTION("""COMPUTED_VALUE"""),20.0)</f>
        <v>20</v>
      </c>
      <c r="EO61" s="16"/>
      <c r="EP61" s="16"/>
      <c r="EQ61" s="16">
        <f>IFERROR(__xludf.DUMMYFUNCTION("""COMPUTED_VALUE"""),4.0)</f>
        <v>4</v>
      </c>
      <c r="ER61" s="16">
        <f>IFERROR(__xludf.DUMMYFUNCTION("""COMPUTED_VALUE"""),1.0)</f>
        <v>1</v>
      </c>
      <c r="ES61" s="16"/>
      <c r="ET61" s="16"/>
      <c r="EU61" s="16"/>
      <c r="EV61" s="16"/>
      <c r="EW61" s="16"/>
      <c r="EX61" s="180"/>
      <c r="EY61" s="180"/>
      <c r="EZ61" s="180"/>
      <c r="FA61" s="180"/>
      <c r="FB61" s="180"/>
      <c r="FC61" s="180"/>
      <c r="FD61" s="180"/>
      <c r="FE61" s="180">
        <f>IFERROR(__xludf.DUMMYFUNCTION("""COMPUTED_VALUE"""),0.75)</f>
        <v>0.75</v>
      </c>
      <c r="FF61" s="180"/>
      <c r="FG61" s="180"/>
      <c r="FH61" s="180"/>
      <c r="FI61" s="180"/>
      <c r="FJ61" s="180"/>
      <c r="FK61" s="180"/>
      <c r="FL61" s="180"/>
      <c r="FM61" s="180">
        <f>IFERROR(__xludf.DUMMYFUNCTION("""COMPUTED_VALUE"""),0.056)</f>
        <v>0.056</v>
      </c>
      <c r="FN61" s="16"/>
      <c r="FO61" s="16"/>
      <c r="FP61" s="16"/>
      <c r="FQ61" s="16"/>
      <c r="FR61" s="16"/>
      <c r="FS61" s="16"/>
      <c r="FT61" s="16"/>
      <c r="FU61" s="16">
        <f>IFERROR(__xludf.DUMMYFUNCTION("""COMPUTED_VALUE"""),0.236)</f>
        <v>0.236</v>
      </c>
      <c r="FV61" s="16"/>
      <c r="FW61" s="16"/>
      <c r="FX61" s="16"/>
      <c r="FY61" s="16"/>
      <c r="FZ61" s="16"/>
      <c r="GA61" s="16"/>
      <c r="GB61" s="16"/>
      <c r="GC61" s="16">
        <f>IFERROR(__xludf.DUMMYFUNCTION("""COMPUTED_VALUE"""),-8.0)</f>
        <v>-8</v>
      </c>
      <c r="GD61" s="16" t="s">
        <v>176</v>
      </c>
    </row>
    <row r="62">
      <c r="A62" s="16">
        <f>IFERROR(__xludf.DUMMYFUNCTION("""COMPUTED_VALUE"""),12629.0)</f>
        <v>12629</v>
      </c>
      <c r="B62" s="16" t="str">
        <f>IFERROR(__xludf.DUMMYFUNCTION("""COMPUTED_VALUE"""),"Bryan Reynolds")</f>
        <v>Bryan Reynolds</v>
      </c>
      <c r="C62" s="16">
        <f>IFERROR(__xludf.DUMMYFUNCTION("""COMPUTED_VALUE"""),1.51)</f>
        <v>1.51</v>
      </c>
      <c r="D62" s="16" t="str">
        <f>IFERROR(__xludf.DUMMYFUNCTION("""COMPUTED_VALUE"""),"S")</f>
        <v>S</v>
      </c>
      <c r="E62" s="16"/>
      <c r="F62" s="16"/>
      <c r="G62" s="16">
        <f>IFERROR(__xludf.DUMMYFUNCTION("""COMPUTED_VALUE"""),622.0)</f>
        <v>622</v>
      </c>
      <c r="H62" s="16">
        <f>IFERROR(__xludf.DUMMYFUNCTION("""COMPUTED_VALUE"""),57.0)</f>
        <v>57</v>
      </c>
      <c r="I62" s="16" t="str">
        <f>IFERROR(__xludf.DUMMYFUNCTION("""COMPUTED_VALUE"""),"1p70")</f>
        <v>1p70</v>
      </c>
      <c r="J62" s="16">
        <f>IFERROR(__xludf.DUMMYFUNCTION("""COMPUTED_VALUE"""),26.0)</f>
        <v>26</v>
      </c>
      <c r="K62" s="16">
        <f>IFERROR(__xludf.DUMMYFUNCTION("""COMPUTED_VALUE"""),24.0)</f>
        <v>24</v>
      </c>
      <c r="L62" s="16">
        <f>IFERROR(__xludf.DUMMYFUNCTION("""COMPUTED_VALUE"""),0.0)</f>
        <v>0</v>
      </c>
      <c r="M62" s="16">
        <f>IFERROR(__xludf.DUMMYFUNCTION("""COMPUTED_VALUE"""),0.0)</f>
        <v>0</v>
      </c>
      <c r="N62" s="16">
        <f>IFERROR(__xludf.DUMMYFUNCTION("""COMPUTED_VALUE"""),0.0)</f>
        <v>0</v>
      </c>
      <c r="O62" s="16">
        <f>IFERROR(__xludf.DUMMYFUNCTION("""COMPUTED_VALUE"""),0.0)</f>
        <v>0</v>
      </c>
      <c r="P62" s="16">
        <f>IFERROR(__xludf.DUMMYFUNCTION("""COMPUTED_VALUE"""),4.0)</f>
        <v>4</v>
      </c>
      <c r="Q62" s="16">
        <f>IFERROR(__xludf.DUMMYFUNCTION("""COMPUTED_VALUE"""),9.0)</f>
        <v>9</v>
      </c>
      <c r="R62" s="16">
        <f>IFERROR(__xludf.DUMMYFUNCTION("""COMPUTED_VALUE"""),-2.0)</f>
        <v>-2</v>
      </c>
      <c r="S62" s="16">
        <f>IFERROR(__xludf.DUMMYFUNCTION("""COMPUTED_VALUE"""),0.0)</f>
        <v>0</v>
      </c>
      <c r="T62" s="16">
        <f>IFERROR(__xludf.DUMMYFUNCTION("""COMPUTED_VALUE"""),-2.0)</f>
        <v>-2</v>
      </c>
      <c r="U62" s="16">
        <f>IFERROR(__xludf.DUMMYFUNCTION("""COMPUTED_VALUE"""),0.0)</f>
        <v>0</v>
      </c>
      <c r="V62" s="16">
        <f>IFERROR(__xludf.DUMMYFUNCTION("""COMPUTED_VALUE"""),23.3)</f>
        <v>23.3</v>
      </c>
      <c r="W62" s="16">
        <f>IFERROR(__xludf.DUMMYFUNCTION("""COMPUTED_VALUE"""),23.6)</f>
        <v>23.6</v>
      </c>
      <c r="X62" s="16">
        <f>IFERROR(__xludf.DUMMYFUNCTION("""COMPUTED_VALUE"""),1.0)</f>
        <v>1</v>
      </c>
      <c r="Y62" s="16">
        <f>IFERROR(__xludf.DUMMYFUNCTION("""COMPUTED_VALUE"""),1.0)</f>
        <v>1</v>
      </c>
      <c r="Z62" s="16">
        <f>IFERROR(__xludf.DUMMYFUNCTION("""COMPUTED_VALUE"""),2.0)</f>
        <v>2</v>
      </c>
      <c r="AA62" s="16">
        <f>IFERROR(__xludf.DUMMYFUNCTION("""COMPUTED_VALUE"""),2.0)</f>
        <v>2</v>
      </c>
      <c r="AB62" s="16">
        <f>IFERROR(__xludf.DUMMYFUNCTION("""COMPUTED_VALUE"""),30.3)</f>
        <v>30.3</v>
      </c>
      <c r="AC62" s="16">
        <f>IFERROR(__xludf.DUMMYFUNCTION("""COMPUTED_VALUE"""),35.5)</f>
        <v>35.5</v>
      </c>
      <c r="AD62" s="16">
        <f>IFERROR(__xludf.DUMMYFUNCTION("""COMPUTED_VALUE"""),0.0)</f>
        <v>0</v>
      </c>
      <c r="AE62" s="16">
        <f>IFERROR(__xludf.DUMMYFUNCTION("""COMPUTED_VALUE"""),1.0)</f>
        <v>1</v>
      </c>
      <c r="AF62" s="16">
        <f>IFERROR(__xludf.DUMMYFUNCTION("""COMPUTED_VALUE"""),0.0)</f>
        <v>0</v>
      </c>
      <c r="AG62" s="16">
        <f>IFERROR(__xludf.DUMMYFUNCTION("""COMPUTED_VALUE"""),5.0)</f>
        <v>5</v>
      </c>
      <c r="AH62" s="16">
        <f>IFERROR(__xludf.DUMMYFUNCTION("""COMPUTED_VALUE"""),32.3)</f>
        <v>32.3</v>
      </c>
      <c r="AI62" s="16">
        <f>IFERROR(__xludf.DUMMYFUNCTION("""COMPUTED_VALUE"""),37.1)</f>
        <v>37.1</v>
      </c>
      <c r="AJ62" s="16">
        <f>IFERROR(__xludf.DUMMYFUNCTION("""COMPUTED_VALUE"""),0.0)</f>
        <v>0</v>
      </c>
      <c r="AK62" s="16">
        <f>IFERROR(__xludf.DUMMYFUNCTION("""COMPUTED_VALUE"""),0.0)</f>
        <v>0</v>
      </c>
      <c r="AL62" s="16">
        <f>IFERROR(__xludf.DUMMYFUNCTION("""COMPUTED_VALUE"""),0.0)</f>
        <v>0</v>
      </c>
      <c r="AM62" s="16">
        <f>IFERROR(__xludf.DUMMYFUNCTION("""COMPUTED_VALUE"""),0.0)</f>
        <v>0</v>
      </c>
      <c r="AN62" s="16">
        <f>IFERROR(__xludf.DUMMYFUNCTION("""COMPUTED_VALUE"""),2.0)</f>
        <v>2</v>
      </c>
      <c r="AO62" s="16">
        <f>IFERROR(__xludf.DUMMYFUNCTION("""COMPUTED_VALUE"""),2.7)</f>
        <v>2.7</v>
      </c>
      <c r="AP62" s="16">
        <f>IFERROR(__xludf.DUMMYFUNCTION("""COMPUTED_VALUE"""),0.0)</f>
        <v>0</v>
      </c>
      <c r="AQ62" s="16">
        <f>IFERROR(__xludf.DUMMYFUNCTION("""COMPUTED_VALUE"""),0.0)</f>
        <v>0</v>
      </c>
      <c r="AR62" s="16">
        <f>IFERROR(__xludf.DUMMYFUNCTION("""COMPUTED_VALUE"""),0.0)</f>
        <v>0</v>
      </c>
      <c r="AS62" s="16">
        <f>IFERROR(__xludf.DUMMYFUNCTION("""COMPUTED_VALUE"""),0.0)</f>
        <v>0</v>
      </c>
      <c r="AT62" s="16">
        <f>IFERROR(__xludf.DUMMYFUNCTION("""COMPUTED_VALUE"""),3.0)</f>
        <v>3</v>
      </c>
      <c r="AU62" s="16">
        <f>IFERROR(__xludf.DUMMYFUNCTION("""COMPUTED_VALUE"""),4.0)</f>
        <v>4</v>
      </c>
      <c r="AV62" s="16">
        <f>IFERROR(__xludf.DUMMYFUNCTION("""COMPUTED_VALUE"""),3.0)</f>
        <v>3</v>
      </c>
      <c r="AW62" s="16">
        <f>IFERROR(__xludf.DUMMYFUNCTION("""COMPUTED_VALUE"""),4.0)</f>
        <v>4</v>
      </c>
      <c r="AX62" s="16">
        <f>IFERROR(__xludf.DUMMYFUNCTION("""COMPUTED_VALUE"""),1.0)</f>
        <v>1</v>
      </c>
      <c r="AY62" s="16">
        <f>IFERROR(__xludf.DUMMYFUNCTION("""COMPUTED_VALUE"""),1.0)</f>
        <v>1</v>
      </c>
      <c r="AZ62" s="16">
        <f>IFERROR(__xludf.DUMMYFUNCTION("""COMPUTED_VALUE"""),3.0)</f>
        <v>3</v>
      </c>
      <c r="BA62" s="16">
        <f>IFERROR(__xludf.DUMMYFUNCTION("""COMPUTED_VALUE"""),3.0)</f>
        <v>3</v>
      </c>
      <c r="BB62" s="16">
        <f>IFERROR(__xludf.DUMMYFUNCTION("""COMPUTED_VALUE"""),5.0)</f>
        <v>5</v>
      </c>
      <c r="BC62" s="16">
        <f>IFERROR(__xludf.DUMMYFUNCTION("""COMPUTED_VALUE"""),5.0)</f>
        <v>5</v>
      </c>
      <c r="BD62" s="16">
        <f>IFERROR(__xludf.DUMMYFUNCTION("""COMPUTED_VALUE"""),1.0)</f>
        <v>1</v>
      </c>
      <c r="BE62" s="16">
        <f>IFERROR(__xludf.DUMMYFUNCTION("""COMPUTED_VALUE"""),1.0)</f>
        <v>1</v>
      </c>
      <c r="BF62" s="16">
        <f>IFERROR(__xludf.DUMMYFUNCTION("""COMPUTED_VALUE"""),1.0)</f>
        <v>1</v>
      </c>
      <c r="BG62" s="16">
        <f>IFERROR(__xludf.DUMMYFUNCTION("""COMPUTED_VALUE"""),1.0)</f>
        <v>1</v>
      </c>
      <c r="BH62" s="16">
        <f>IFERROR(__xludf.DUMMYFUNCTION("""COMPUTED_VALUE"""),3.0)</f>
        <v>3</v>
      </c>
      <c r="BI62" s="16">
        <f>IFERROR(__xludf.DUMMYFUNCTION("""COMPUTED_VALUE"""),3.0)</f>
        <v>3</v>
      </c>
      <c r="BJ62" s="16">
        <f>IFERROR(__xludf.DUMMYFUNCTION("""COMPUTED_VALUE"""),6.0)</f>
        <v>6</v>
      </c>
      <c r="BK62" s="16">
        <f>IFERROR(__xludf.DUMMYFUNCTION("""COMPUTED_VALUE"""),6.0)</f>
        <v>6</v>
      </c>
      <c r="BL62" s="16">
        <f>IFERROR(__xludf.DUMMYFUNCTION("""COMPUTED_VALUE"""),1.0)</f>
        <v>1</v>
      </c>
      <c r="BM62" s="16">
        <f>IFERROR(__xludf.DUMMYFUNCTION("""COMPUTED_VALUE"""),1.0)</f>
        <v>1</v>
      </c>
      <c r="BN62" s="16">
        <f>IFERROR(__xludf.DUMMYFUNCTION("""COMPUTED_VALUE"""),1.0)</f>
        <v>1</v>
      </c>
      <c r="BO62" s="16">
        <f>IFERROR(__xludf.DUMMYFUNCTION("""COMPUTED_VALUE"""),1.0)</f>
        <v>1</v>
      </c>
      <c r="BP62" s="16">
        <f>IFERROR(__xludf.DUMMYFUNCTION("""COMPUTED_VALUE"""),2.0)</f>
        <v>2</v>
      </c>
      <c r="BQ62" s="16">
        <f>IFERROR(__xludf.DUMMYFUNCTION("""COMPUTED_VALUE"""),5.0)</f>
        <v>5</v>
      </c>
      <c r="BR62" s="16">
        <f>IFERROR(__xludf.DUMMYFUNCTION("""COMPUTED_VALUE"""),7.0)</f>
        <v>7</v>
      </c>
      <c r="BS62" s="16" t="str">
        <f>IFERROR(__xludf.DUMMYFUNCTION("""COMPUTED_VALUE"""),"*4/- (19-6)")</f>
        <v>*4/- (19-6)</v>
      </c>
      <c r="BT62" s="16" t="str">
        <f>IFERROR(__xludf.DUMMYFUNCTION("""COMPUTED_VALUE"""),"B")</f>
        <v>B</v>
      </c>
      <c r="BU62" s="16">
        <f>IFERROR(__xludf.DUMMYFUNCTION("""COMPUTED_VALUE"""),14.0)</f>
        <v>14</v>
      </c>
      <c r="BV62" s="16">
        <f>IFERROR(__xludf.DUMMYFUNCTION("""COMPUTED_VALUE"""),1.0)</f>
        <v>1</v>
      </c>
      <c r="BW62" s="16">
        <f>IFERROR(__xludf.DUMMYFUNCTION("""COMPUTED_VALUE"""),1.0)</f>
        <v>1</v>
      </c>
      <c r="BX62" s="16">
        <f>IFERROR(__xludf.DUMMYFUNCTION("""COMPUTED_VALUE"""),2.0)</f>
        <v>2</v>
      </c>
      <c r="BY62" s="16">
        <f>IFERROR(__xludf.DUMMYFUNCTION("""COMPUTED_VALUE"""),3.0)</f>
        <v>3</v>
      </c>
      <c r="BZ62" s="16" t="str">
        <f>IFERROR(__xludf.DUMMYFUNCTION("""COMPUTED_VALUE"""),"D")</f>
        <v>D</v>
      </c>
      <c r="CA62" s="16" t="str">
        <f>IFERROR(__xludf.DUMMYFUNCTION("""COMPUTED_VALUE"""),"C")</f>
        <v>C</v>
      </c>
      <c r="CB62" s="16">
        <f>IFERROR(__xludf.DUMMYFUNCTION("""COMPUTED_VALUE"""),0.0)</f>
        <v>0</v>
      </c>
      <c r="CC62" s="16">
        <f>IFERROR(__xludf.DUMMYFUNCTION("""COMPUTED_VALUE"""),0.0)</f>
        <v>0</v>
      </c>
      <c r="CD62" s="16">
        <f>IFERROR(__xludf.DUMMYFUNCTION("""COMPUTED_VALUE"""),0.0)</f>
        <v>0</v>
      </c>
      <c r="CE62" s="16">
        <f>IFERROR(__xludf.DUMMYFUNCTION("""COMPUTED_VALUE"""),0.0)</f>
        <v>0</v>
      </c>
      <c r="CF62" s="16">
        <f>IFERROR(__xludf.DUMMYFUNCTION("""COMPUTED_VALUE"""),1.0)</f>
        <v>1</v>
      </c>
      <c r="CG62" s="16">
        <f>IFERROR(__xludf.DUMMYFUNCTION("""COMPUTED_VALUE"""),5.0)</f>
        <v>5</v>
      </c>
      <c r="CH62" s="16">
        <f>IFERROR(__xludf.DUMMYFUNCTION("""COMPUTED_VALUE"""),12.0)</f>
        <v>12</v>
      </c>
      <c r="CI62" s="179">
        <f>IFERROR(__xludf.DUMMYFUNCTION("""COMPUTED_VALUE"""),19.0)</f>
        <v>19</v>
      </c>
      <c r="CJ62" s="16"/>
      <c r="CK62" s="16"/>
      <c r="CL62" s="16"/>
      <c r="CM62" s="16"/>
      <c r="CN62" s="16"/>
      <c r="CO62" s="16">
        <f>IFERROR(__xludf.DUMMYFUNCTION("""COMPUTED_VALUE"""),402.0)</f>
        <v>402</v>
      </c>
      <c r="CP62" s="16"/>
      <c r="CQ62" s="16">
        <f>IFERROR(__xludf.DUMMYFUNCTION("""COMPUTED_VALUE"""),402.0)</f>
        <v>402</v>
      </c>
      <c r="CR62" s="16" t="str">
        <f>IFERROR(__xludf.DUMMYFUNCTION("""COMPUTED_VALUE"""),"lf-4(-1)e2 rf-4e2")</f>
        <v>lf-4(-1)e2 rf-4e2</v>
      </c>
      <c r="CS62" s="16"/>
      <c r="CT62" s="16"/>
      <c r="CU62" s="16"/>
      <c r="CV62" s="16"/>
      <c r="CW62" s="16"/>
      <c r="CX62" s="16">
        <f>IFERROR(__xludf.DUMMYFUNCTION("""COMPUTED_VALUE"""),4.0)</f>
        <v>4</v>
      </c>
      <c r="CY62" s="16"/>
      <c r="CZ62" s="16">
        <f>IFERROR(__xludf.DUMMYFUNCTION("""COMPUTED_VALUE"""),4.0)</f>
        <v>4</v>
      </c>
      <c r="DA62" s="16"/>
      <c r="DB62" s="16"/>
      <c r="DC62" s="16"/>
      <c r="DD62" s="16"/>
      <c r="DE62" s="16"/>
      <c r="DF62" s="16">
        <f>IFERROR(__xludf.DUMMYFUNCTION("""COMPUTED_VALUE"""),2.0)</f>
        <v>2</v>
      </c>
      <c r="DG62" s="16"/>
      <c r="DH62" s="16">
        <f>IFERROR(__xludf.DUMMYFUNCTION("""COMPUTED_VALUE"""),2.0)</f>
        <v>2</v>
      </c>
      <c r="DI62" s="16"/>
      <c r="DJ62" s="16"/>
      <c r="DK62" s="16"/>
      <c r="DL62" s="16"/>
      <c r="DM62" s="16"/>
      <c r="DN62" s="16">
        <f>IFERROR(__xludf.DUMMYFUNCTION("""COMPUTED_VALUE"""),-1.0)</f>
        <v>-1</v>
      </c>
      <c r="DO62" s="16"/>
      <c r="DP62" s="16">
        <f>IFERROR(__xludf.DUMMYFUNCTION("""COMPUTED_VALUE"""),-1.0)</f>
        <v>-1</v>
      </c>
      <c r="DQ62" s="16"/>
      <c r="DR62" s="16"/>
      <c r="DS62" s="16"/>
      <c r="DT62" s="16"/>
      <c r="DU62" s="16"/>
      <c r="DV62" s="16">
        <f>IFERROR(__xludf.DUMMYFUNCTION("""COMPUTED_VALUE"""),4.0)</f>
        <v>4</v>
      </c>
      <c r="DW62" s="16"/>
      <c r="DX62" s="16">
        <f>IFERROR(__xludf.DUMMYFUNCTION("""COMPUTED_VALUE"""),4.0)</f>
        <v>4</v>
      </c>
      <c r="DY62" s="16"/>
      <c r="DZ62" s="16"/>
      <c r="EA62" s="16"/>
      <c r="EB62" s="16"/>
      <c r="EC62" s="16"/>
      <c r="ED62" s="16">
        <f>IFERROR(__xludf.DUMMYFUNCTION("""COMPUTED_VALUE"""),3.0)</f>
        <v>3</v>
      </c>
      <c r="EE62" s="16"/>
      <c r="EF62" s="16">
        <f>IFERROR(__xludf.DUMMYFUNCTION("""COMPUTED_VALUE"""),3.0)</f>
        <v>3</v>
      </c>
      <c r="EG62" s="179"/>
      <c r="EH62" s="179"/>
      <c r="EI62" s="179"/>
      <c r="EJ62" s="179"/>
      <c r="EK62" s="179"/>
      <c r="EL62" s="179">
        <f>IFERROR(__xludf.DUMMYFUNCTION("""COMPUTED_VALUE"""),22.0)</f>
        <v>22</v>
      </c>
      <c r="EM62" s="179"/>
      <c r="EN62" s="179">
        <f>IFERROR(__xludf.DUMMYFUNCTION("""COMPUTED_VALUE"""),22.0)</f>
        <v>22</v>
      </c>
      <c r="EO62" s="16"/>
      <c r="EP62" s="16">
        <f>IFERROR(__xludf.DUMMYFUNCTION("""COMPUTED_VALUE"""),-1.0)</f>
        <v>-1</v>
      </c>
      <c r="EQ62" s="16">
        <f>IFERROR(__xludf.DUMMYFUNCTION("""COMPUTED_VALUE"""),4.0)</f>
        <v>4</v>
      </c>
      <c r="ER62" s="16">
        <f>IFERROR(__xludf.DUMMYFUNCTION("""COMPUTED_VALUE"""),3.0)</f>
        <v>3</v>
      </c>
      <c r="ES62" s="16"/>
      <c r="ET62" s="16"/>
      <c r="EU62" s="16"/>
      <c r="EV62" s="16"/>
      <c r="EW62" s="16"/>
      <c r="EX62" s="180"/>
      <c r="EY62" s="180"/>
      <c r="EZ62" s="180"/>
      <c r="FA62" s="180"/>
      <c r="FB62" s="180"/>
      <c r="FC62" s="180">
        <f>IFERROR(__xludf.DUMMYFUNCTION("""COMPUTED_VALUE"""),0.55)</f>
        <v>0.55</v>
      </c>
      <c r="FD62" s="180"/>
      <c r="FE62" s="180">
        <f>IFERROR(__xludf.DUMMYFUNCTION("""COMPUTED_VALUE"""),0.55)</f>
        <v>0.55</v>
      </c>
      <c r="FF62" s="180"/>
      <c r="FG62" s="180"/>
      <c r="FH62" s="180"/>
      <c r="FI62" s="180"/>
      <c r="FJ62" s="180"/>
      <c r="FK62" s="180">
        <f>IFERROR(__xludf.DUMMYFUNCTION("""COMPUTED_VALUE"""),0.037)</f>
        <v>0.037</v>
      </c>
      <c r="FL62" s="180"/>
      <c r="FM62" s="180">
        <f>IFERROR(__xludf.DUMMYFUNCTION("""COMPUTED_VALUE"""),0.037)</f>
        <v>0.037</v>
      </c>
      <c r="FN62" s="16"/>
      <c r="FO62" s="16"/>
      <c r="FP62" s="16"/>
      <c r="FQ62" s="16"/>
      <c r="FR62" s="16"/>
      <c r="FS62" s="16">
        <f>IFERROR(__xludf.DUMMYFUNCTION("""COMPUTED_VALUE"""),0.43334999999999996)</f>
        <v>0.43335</v>
      </c>
      <c r="FT62" s="16"/>
      <c r="FU62" s="16">
        <f>IFERROR(__xludf.DUMMYFUNCTION("""COMPUTED_VALUE"""),0.43334999999999996)</f>
        <v>0.43335</v>
      </c>
      <c r="FV62" s="16"/>
      <c r="FW62" s="16"/>
      <c r="FX62" s="16"/>
      <c r="FY62" s="16"/>
      <c r="FZ62" s="16"/>
      <c r="GA62" s="16">
        <f>IFERROR(__xludf.DUMMYFUNCTION("""COMPUTED_VALUE"""),-7.0)</f>
        <v>-7</v>
      </c>
      <c r="GB62" s="16"/>
      <c r="GC62" s="16">
        <f>IFERROR(__xludf.DUMMYFUNCTION("""COMPUTED_VALUE"""),-7.0)</f>
        <v>-7</v>
      </c>
      <c r="GD62" s="16" t="s">
        <v>672</v>
      </c>
    </row>
    <row r="63">
      <c r="A63" s="16">
        <f>IFERROR(__xludf.DUMMYFUNCTION("""COMPUTED_VALUE"""),12888.0)</f>
        <v>12888</v>
      </c>
      <c r="B63" s="16" t="str">
        <f>IFERROR(__xludf.DUMMYFUNCTION("""COMPUTED_VALUE"""),"Ivan Herrera")</f>
        <v>Ivan Herrera</v>
      </c>
      <c r="C63" s="16">
        <f>IFERROR(__xludf.DUMMYFUNCTION("""COMPUTED_VALUE"""),1.9)</f>
        <v>1.9</v>
      </c>
      <c r="D63" s="16" t="str">
        <f>IFERROR(__xludf.DUMMYFUNCTION("""COMPUTED_VALUE"""),"R")</f>
        <v>R</v>
      </c>
      <c r="E63" s="16"/>
      <c r="F63" s="16"/>
      <c r="G63" s="16">
        <f>IFERROR(__xludf.DUMMYFUNCTION("""COMPUTED_VALUE"""),229.0)</f>
        <v>229</v>
      </c>
      <c r="H63" s="16">
        <f>IFERROR(__xludf.DUMMYFUNCTION("""COMPUTED_VALUE"""),25.0)</f>
        <v>25</v>
      </c>
      <c r="I63" s="16" t="str">
        <f>IFERROR(__xludf.DUMMYFUNCTION("""COMPUTED_VALUE"""),"3p40")</f>
        <v>3p40</v>
      </c>
      <c r="J63" s="16">
        <f>IFERROR(__xludf.DUMMYFUNCTION("""COMPUTED_VALUE"""),25.0)</f>
        <v>25</v>
      </c>
      <c r="K63" s="16">
        <f>IFERROR(__xludf.DUMMYFUNCTION("""COMPUTED_VALUE"""),17.0)</f>
        <v>17</v>
      </c>
      <c r="L63" s="16">
        <f>IFERROR(__xludf.DUMMYFUNCTION("""COMPUTED_VALUE"""),0.0)</f>
        <v>0</v>
      </c>
      <c r="M63" s="16">
        <f>IFERROR(__xludf.DUMMYFUNCTION("""COMPUTED_VALUE"""),1.0)</f>
        <v>1</v>
      </c>
      <c r="N63" s="16">
        <f>IFERROR(__xludf.DUMMYFUNCTION("""COMPUTED_VALUE"""),0.0)</f>
        <v>0</v>
      </c>
      <c r="O63" s="16">
        <f>IFERROR(__xludf.DUMMYFUNCTION("""COMPUTED_VALUE"""),1.0)</f>
        <v>1</v>
      </c>
      <c r="P63" s="16">
        <f>IFERROR(__xludf.DUMMYFUNCTION("""COMPUTED_VALUE"""),12.0)</f>
        <v>12</v>
      </c>
      <c r="Q63" s="16">
        <f>IFERROR(__xludf.DUMMYFUNCTION("""COMPUTED_VALUE"""),13.0)</f>
        <v>13</v>
      </c>
      <c r="R63" s="16">
        <f>IFERROR(__xludf.DUMMYFUNCTION("""COMPUTED_VALUE"""),1.0)</f>
        <v>1</v>
      </c>
      <c r="S63" s="16">
        <f>IFERROR(__xludf.DUMMYFUNCTION("""COMPUTED_VALUE"""),1.0)</f>
        <v>1</v>
      </c>
      <c r="T63" s="16">
        <f>IFERROR(__xludf.DUMMYFUNCTION("""COMPUTED_VALUE"""),1.0)</f>
        <v>1</v>
      </c>
      <c r="U63" s="16">
        <f>IFERROR(__xludf.DUMMYFUNCTION("""COMPUTED_VALUE"""),1.0)</f>
        <v>1</v>
      </c>
      <c r="V63" s="16">
        <f>IFERROR(__xludf.DUMMYFUNCTION("""COMPUTED_VALUE"""),21.9)</f>
        <v>21.9</v>
      </c>
      <c r="W63" s="16">
        <f>IFERROR(__xludf.DUMMYFUNCTION("""COMPUTED_VALUE"""),35.3)</f>
        <v>35.3</v>
      </c>
      <c r="X63" s="16">
        <f>IFERROR(__xludf.DUMMYFUNCTION("""COMPUTED_VALUE"""),0.0)</f>
        <v>0</v>
      </c>
      <c r="Y63" s="16">
        <f>IFERROR(__xludf.DUMMYFUNCTION("""COMPUTED_VALUE"""),3.0)</f>
        <v>3</v>
      </c>
      <c r="Z63" s="16">
        <f>IFERROR(__xludf.DUMMYFUNCTION("""COMPUTED_VALUE"""),0.0)</f>
        <v>0</v>
      </c>
      <c r="AA63" s="16">
        <f>IFERROR(__xludf.DUMMYFUNCTION("""COMPUTED_VALUE"""),6.0)</f>
        <v>6</v>
      </c>
      <c r="AB63" s="16">
        <f>IFERROR(__xludf.DUMMYFUNCTION("""COMPUTED_VALUE"""),35.9)</f>
        <v>35.9</v>
      </c>
      <c r="AC63" s="16">
        <f>IFERROR(__xludf.DUMMYFUNCTION("""COMPUTED_VALUE"""),50.3)</f>
        <v>50.3</v>
      </c>
      <c r="AD63" s="16">
        <f>IFERROR(__xludf.DUMMYFUNCTION("""COMPUTED_VALUE"""),1.0)</f>
        <v>1</v>
      </c>
      <c r="AE63" s="16">
        <f>IFERROR(__xludf.DUMMYFUNCTION("""COMPUTED_VALUE"""),3.0)</f>
        <v>3</v>
      </c>
      <c r="AF63" s="16">
        <f>IFERROR(__xludf.DUMMYFUNCTION("""COMPUTED_VALUE"""),5.0)</f>
        <v>5</v>
      </c>
      <c r="AG63" s="16">
        <f>IFERROR(__xludf.DUMMYFUNCTION("""COMPUTED_VALUE"""),15.0)</f>
        <v>15</v>
      </c>
      <c r="AH63" s="16">
        <f>IFERROR(__xludf.DUMMYFUNCTION("""COMPUTED_VALUE"""),25.1)</f>
        <v>25.1</v>
      </c>
      <c r="AI63" s="16">
        <f>IFERROR(__xludf.DUMMYFUNCTION("""COMPUTED_VALUE"""),46.8)</f>
        <v>46.8</v>
      </c>
      <c r="AJ63" s="16">
        <f>IFERROR(__xludf.DUMMYFUNCTION("""COMPUTED_VALUE"""),-1.0)</f>
        <v>-1</v>
      </c>
      <c r="AK63" s="16">
        <f>IFERROR(__xludf.DUMMYFUNCTION("""COMPUTED_VALUE"""),2.0)</f>
        <v>2</v>
      </c>
      <c r="AL63" s="16">
        <f>IFERROR(__xludf.DUMMYFUNCTION("""COMPUTED_VALUE"""),-5.0)</f>
        <v>-5</v>
      </c>
      <c r="AM63" s="16">
        <f>IFERROR(__xludf.DUMMYFUNCTION("""COMPUTED_VALUE"""),10.0)</f>
        <v>10</v>
      </c>
      <c r="AN63" s="16">
        <f>IFERROR(__xludf.DUMMYFUNCTION("""COMPUTED_VALUE"""),1.0)</f>
        <v>1</v>
      </c>
      <c r="AO63" s="16">
        <f>IFERROR(__xludf.DUMMYFUNCTION("""COMPUTED_VALUE"""),0.4)</f>
        <v>0.4</v>
      </c>
      <c r="AP63" s="16">
        <f>IFERROR(__xludf.DUMMYFUNCTION("""COMPUTED_VALUE"""),-2.0)</f>
        <v>-2</v>
      </c>
      <c r="AQ63" s="16">
        <f>IFERROR(__xludf.DUMMYFUNCTION("""COMPUTED_VALUE"""),-2.0)</f>
        <v>-2</v>
      </c>
      <c r="AR63" s="16">
        <f>IFERROR(__xludf.DUMMYFUNCTION("""COMPUTED_VALUE"""),-4.0)</f>
        <v>-4</v>
      </c>
      <c r="AS63" s="16">
        <f>IFERROR(__xludf.DUMMYFUNCTION("""COMPUTED_VALUE"""),-4.0)</f>
        <v>-4</v>
      </c>
      <c r="AT63" s="16">
        <f>IFERROR(__xludf.DUMMYFUNCTION("""COMPUTED_VALUE"""),2.0)</f>
        <v>2</v>
      </c>
      <c r="AU63" s="16">
        <f>IFERROR(__xludf.DUMMYFUNCTION("""COMPUTED_VALUE"""),0.0)</f>
        <v>0</v>
      </c>
      <c r="AV63" s="16">
        <f>IFERROR(__xludf.DUMMYFUNCTION("""COMPUTED_VALUE"""),2.0)</f>
        <v>2</v>
      </c>
      <c r="AW63" s="16">
        <f>IFERROR(__xludf.DUMMYFUNCTION("""COMPUTED_VALUE"""),0.0)</f>
        <v>0</v>
      </c>
      <c r="AX63" s="16">
        <f>IFERROR(__xludf.DUMMYFUNCTION("""COMPUTED_VALUE"""),0.0)</f>
        <v>0</v>
      </c>
      <c r="AY63" s="16">
        <f>IFERROR(__xludf.DUMMYFUNCTION("""COMPUTED_VALUE"""),-2.0)</f>
        <v>-2</v>
      </c>
      <c r="AZ63" s="16">
        <f>IFERROR(__xludf.DUMMYFUNCTION("""COMPUTED_VALUE"""),0.0)</f>
        <v>0</v>
      </c>
      <c r="BA63" s="16">
        <f>IFERROR(__xludf.DUMMYFUNCTION("""COMPUTED_VALUE"""),-6.0)</f>
        <v>-6</v>
      </c>
      <c r="BB63" s="16">
        <f>IFERROR(__xludf.DUMMYFUNCTION("""COMPUTED_VALUE"""),5.0)</f>
        <v>5</v>
      </c>
      <c r="BC63" s="16">
        <f>IFERROR(__xludf.DUMMYFUNCTION("""COMPUTED_VALUE"""),5.0)</f>
        <v>5</v>
      </c>
      <c r="BD63" s="16">
        <f>IFERROR(__xludf.DUMMYFUNCTION("""COMPUTED_VALUE"""),1.0)</f>
        <v>1</v>
      </c>
      <c r="BE63" s="16">
        <f>IFERROR(__xludf.DUMMYFUNCTION("""COMPUTED_VALUE"""),1.0)</f>
        <v>1</v>
      </c>
      <c r="BF63" s="16">
        <f>IFERROR(__xludf.DUMMYFUNCTION("""COMPUTED_VALUE"""),1.0)</f>
        <v>1</v>
      </c>
      <c r="BG63" s="16">
        <f>IFERROR(__xludf.DUMMYFUNCTION("""COMPUTED_VALUE"""),1.0)</f>
        <v>1</v>
      </c>
      <c r="BH63" s="16">
        <f>IFERROR(__xludf.DUMMYFUNCTION("""COMPUTED_VALUE"""),-7.0)</f>
        <v>-7</v>
      </c>
      <c r="BI63" s="16">
        <f>IFERROR(__xludf.DUMMYFUNCTION("""COMPUTED_VALUE"""),-7.0)</f>
        <v>-7</v>
      </c>
      <c r="BJ63" s="16">
        <f>IFERROR(__xludf.DUMMYFUNCTION("""COMPUTED_VALUE"""),7.0)</f>
        <v>7</v>
      </c>
      <c r="BK63" s="16">
        <f>IFERROR(__xludf.DUMMYFUNCTION("""COMPUTED_VALUE"""),7.0)</f>
        <v>7</v>
      </c>
      <c r="BL63" s="16">
        <f>IFERROR(__xludf.DUMMYFUNCTION("""COMPUTED_VALUE"""),1.0)</f>
        <v>1</v>
      </c>
      <c r="BM63" s="16">
        <f>IFERROR(__xludf.DUMMYFUNCTION("""COMPUTED_VALUE"""),1.0)</f>
        <v>1</v>
      </c>
      <c r="BN63" s="16">
        <f>IFERROR(__xludf.DUMMYFUNCTION("""COMPUTED_VALUE"""),1.0)</f>
        <v>1</v>
      </c>
      <c r="BO63" s="16">
        <f>IFERROR(__xludf.DUMMYFUNCTION("""COMPUTED_VALUE"""),1.0)</f>
        <v>1</v>
      </c>
      <c r="BP63" s="16">
        <f>IFERROR(__xludf.DUMMYFUNCTION("""COMPUTED_VALUE"""),1.0)</f>
        <v>1</v>
      </c>
      <c r="BQ63" s="16">
        <f>IFERROR(__xludf.DUMMYFUNCTION("""COMPUTED_VALUE"""),8.0)</f>
        <v>8</v>
      </c>
      <c r="BR63" s="16">
        <f>IFERROR(__xludf.DUMMYFUNCTION("""COMPUTED_VALUE"""),9.0)</f>
        <v>9</v>
      </c>
      <c r="BS63" s="16" t="str">
        <f>IFERROR(__xludf.DUMMYFUNCTION("""COMPUTED_VALUE"""),"*3/- (20-6)")</f>
        <v>*3/- (20-6)</v>
      </c>
      <c r="BT63" s="16" t="str">
        <f>IFERROR(__xludf.DUMMYFUNCTION("""COMPUTED_VALUE"""),"B")</f>
        <v>B</v>
      </c>
      <c r="BU63" s="16">
        <f>IFERROR(__xludf.DUMMYFUNCTION("""COMPUTED_VALUE"""),11.0)</f>
        <v>11</v>
      </c>
      <c r="BV63" s="16">
        <f>IFERROR(__xludf.DUMMYFUNCTION("""COMPUTED_VALUE"""),1.0)</f>
        <v>1</v>
      </c>
      <c r="BW63" s="16">
        <f>IFERROR(__xludf.DUMMYFUNCTION("""COMPUTED_VALUE"""),0.0)</f>
        <v>0</v>
      </c>
      <c r="BX63" s="16">
        <f>IFERROR(__xludf.DUMMYFUNCTION("""COMPUTED_VALUE"""),2.0)</f>
        <v>2</v>
      </c>
      <c r="BY63" s="16">
        <f>IFERROR(__xludf.DUMMYFUNCTION("""COMPUTED_VALUE"""),0.0)</f>
        <v>0</v>
      </c>
      <c r="BZ63" s="16" t="str">
        <f>IFERROR(__xludf.DUMMYFUNCTION("""COMPUTED_VALUE"""),"D")</f>
        <v>D</v>
      </c>
      <c r="CA63" s="16" t="str">
        <f>IFERROR(__xludf.DUMMYFUNCTION("""COMPUTED_VALUE"""),"D")</f>
        <v>D</v>
      </c>
      <c r="CB63" s="16">
        <f>IFERROR(__xludf.DUMMYFUNCTION("""COMPUTED_VALUE"""),0.0)</f>
        <v>0</v>
      </c>
      <c r="CC63" s="16">
        <f>IFERROR(__xludf.DUMMYFUNCTION("""COMPUTED_VALUE"""),0.0)</f>
        <v>0</v>
      </c>
      <c r="CD63" s="16">
        <f>IFERROR(__xludf.DUMMYFUNCTION("""COMPUTED_VALUE"""),0.0)</f>
        <v>0</v>
      </c>
      <c r="CE63" s="16">
        <f>IFERROR(__xludf.DUMMYFUNCTION("""COMPUTED_VALUE"""),0.0)</f>
        <v>0</v>
      </c>
      <c r="CF63" s="16">
        <f>IFERROR(__xludf.DUMMYFUNCTION("""COMPUTED_VALUE"""),3.0)</f>
        <v>3</v>
      </c>
      <c r="CG63" s="16">
        <f>IFERROR(__xludf.DUMMYFUNCTION("""COMPUTED_VALUE"""),-1.0)</f>
        <v>-1</v>
      </c>
      <c r="CH63" s="16">
        <f>IFERROR(__xludf.DUMMYFUNCTION("""COMPUTED_VALUE"""),25.0)</f>
        <v>25</v>
      </c>
      <c r="CI63" s="179">
        <f>IFERROR(__xludf.DUMMYFUNCTION("""COMPUTED_VALUE"""),19.0)</f>
        <v>19</v>
      </c>
      <c r="CJ63" s="16">
        <f>IFERROR(__xludf.DUMMYFUNCTION("""COMPUTED_VALUE"""),401.0)</f>
        <v>401</v>
      </c>
      <c r="CK63" s="16"/>
      <c r="CL63" s="16"/>
      <c r="CM63" s="16"/>
      <c r="CN63" s="16"/>
      <c r="CO63" s="16"/>
      <c r="CP63" s="16"/>
      <c r="CQ63" s="16"/>
      <c r="CR63" s="16" t="str">
        <f>IFERROR(__xludf.DUMMYFUNCTION("""COMPUTED_VALUE"""),"c-4(+2)e1,T-6(pb-0)")</f>
        <v>c-4(+2)e1,T-6(pb-0)</v>
      </c>
      <c r="CS63" s="16">
        <f>IFERROR(__xludf.DUMMYFUNCTION("""COMPUTED_VALUE"""),4.0)</f>
        <v>4</v>
      </c>
      <c r="CT63" s="16"/>
      <c r="CU63" s="16"/>
      <c r="CV63" s="16"/>
      <c r="CW63" s="16"/>
      <c r="CX63" s="16"/>
      <c r="CY63" s="16"/>
      <c r="CZ63" s="16"/>
      <c r="DA63" s="16">
        <f>IFERROR(__xludf.DUMMYFUNCTION("""COMPUTED_VALUE"""),1.0)</f>
        <v>1</v>
      </c>
      <c r="DB63" s="16"/>
      <c r="DC63" s="16"/>
      <c r="DD63" s="16"/>
      <c r="DE63" s="16"/>
      <c r="DF63" s="16"/>
      <c r="DG63" s="16"/>
      <c r="DH63" s="16"/>
      <c r="DI63" s="16">
        <f>IFERROR(__xludf.DUMMYFUNCTION("""COMPUTED_VALUE"""),-2.0)</f>
        <v>-2</v>
      </c>
      <c r="DJ63" s="16"/>
      <c r="DK63" s="16"/>
      <c r="DL63" s="16"/>
      <c r="DM63" s="16"/>
      <c r="DN63" s="16"/>
      <c r="DO63" s="16"/>
      <c r="DP63" s="16"/>
      <c r="DQ63" s="16">
        <f>IFERROR(__xludf.DUMMYFUNCTION("""COMPUTED_VALUE"""),4.0)</f>
        <v>4</v>
      </c>
      <c r="DR63" s="16"/>
      <c r="DS63" s="16"/>
      <c r="DT63" s="16"/>
      <c r="DU63" s="16"/>
      <c r="DV63" s="16"/>
      <c r="DW63" s="16"/>
      <c r="DX63" s="16"/>
      <c r="DY63" s="16">
        <f>IFERROR(__xludf.DUMMYFUNCTION("""COMPUTED_VALUE"""),2.0)</f>
        <v>2</v>
      </c>
      <c r="DZ63" s="16"/>
      <c r="EA63" s="16"/>
      <c r="EB63" s="16"/>
      <c r="EC63" s="16"/>
      <c r="ED63" s="16"/>
      <c r="EE63" s="16"/>
      <c r="EF63" s="16"/>
      <c r="EG63" s="179">
        <f>IFERROR(__xludf.DUMMYFUNCTION("""COMPUTED_VALUE"""),23.0)</f>
        <v>23</v>
      </c>
      <c r="EH63" s="179"/>
      <c r="EI63" s="179"/>
      <c r="EJ63" s="179"/>
      <c r="EK63" s="179"/>
      <c r="EL63" s="179"/>
      <c r="EM63" s="179"/>
      <c r="EN63" s="179"/>
      <c r="EO63" s="16">
        <f>IFERROR(__xludf.DUMMYFUNCTION("""COMPUTED_VALUE"""),2.0)</f>
        <v>2</v>
      </c>
      <c r="EP63" s="16"/>
      <c r="EQ63" s="16">
        <f>IFERROR(__xludf.DUMMYFUNCTION("""COMPUTED_VALUE"""),1.0)</f>
        <v>1</v>
      </c>
      <c r="ER63" s="16">
        <f>IFERROR(__xludf.DUMMYFUNCTION("""COMPUTED_VALUE"""),-1.0)</f>
        <v>-1</v>
      </c>
      <c r="ES63" s="16" t="str">
        <f>IFERROR(__xludf.DUMMYFUNCTION("""COMPUTED_VALUE"""),"c-4")</f>
        <v>c-4</v>
      </c>
      <c r="ET63" s="16" t="str">
        <f>IFERROR(__xludf.DUMMYFUNCTION("""COMPUTED_VALUE"""),"+2)e1,T-6")</f>
        <v>+2)e1,T-6</v>
      </c>
      <c r="EU63" s="16" t="str">
        <f>IFERROR(__xludf.DUMMYFUNCTION("""COMPUTED_VALUE"""),"pb-0)")</f>
        <v>pb-0)</v>
      </c>
      <c r="EV63" s="16"/>
      <c r="EW63" s="16">
        <f>IFERROR(__xludf.DUMMYFUNCTION("""COMPUTED_VALUE"""),2.0)</f>
        <v>2</v>
      </c>
      <c r="EX63" s="180">
        <f>IFERROR(__xludf.DUMMYFUNCTION("""COMPUTED_VALUE"""),0.3)</f>
        <v>0.3</v>
      </c>
      <c r="EY63" s="180"/>
      <c r="EZ63" s="180"/>
      <c r="FA63" s="180"/>
      <c r="FB63" s="180"/>
      <c r="FC63" s="180"/>
      <c r="FD63" s="180"/>
      <c r="FE63" s="180"/>
      <c r="FF63" s="180">
        <f>IFERROR(__xludf.DUMMYFUNCTION("""COMPUTED_VALUE"""),0.014)</f>
        <v>0.014</v>
      </c>
      <c r="FG63" s="180"/>
      <c r="FH63" s="180"/>
      <c r="FI63" s="180"/>
      <c r="FJ63" s="180"/>
      <c r="FK63" s="180"/>
      <c r="FL63" s="180"/>
      <c r="FM63" s="180"/>
      <c r="FN63" s="16">
        <f>IFERROR(__xludf.DUMMYFUNCTION("""COMPUTED_VALUE"""),0.6901999999999999)</f>
        <v>0.6902</v>
      </c>
      <c r="FO63" s="16"/>
      <c r="FP63" s="16"/>
      <c r="FQ63" s="16"/>
      <c r="FR63" s="16"/>
      <c r="FS63" s="16"/>
      <c r="FT63" s="16"/>
      <c r="FU63" s="16"/>
      <c r="FV63" s="16">
        <f>IFERROR(__xludf.DUMMYFUNCTION("""COMPUTED_VALUE"""),-6.0)</f>
        <v>-6</v>
      </c>
      <c r="FW63" s="16"/>
      <c r="FX63" s="16"/>
      <c r="FY63" s="16"/>
      <c r="FZ63" s="16"/>
      <c r="GA63" s="16"/>
      <c r="GB63" s="16"/>
      <c r="GC63" s="16"/>
      <c r="GD63" s="16" t="s">
        <v>292</v>
      </c>
    </row>
    <row r="64">
      <c r="A64" s="16">
        <f>IFERROR(__xludf.DUMMYFUNCTION("""COMPUTED_VALUE"""),12685.0)</f>
        <v>12685</v>
      </c>
      <c r="B64" s="16" t="str">
        <f>IFERROR(__xludf.DUMMYFUNCTION("""COMPUTED_VALUE"""),"Christian Walker")</f>
        <v>Christian Walker</v>
      </c>
      <c r="C64" s="16">
        <f>IFERROR(__xludf.DUMMYFUNCTION("""COMPUTED_VALUE"""),1.37)</f>
        <v>1.37</v>
      </c>
      <c r="D64" s="16" t="str">
        <f>IFERROR(__xludf.DUMMYFUNCTION("""COMPUTED_VALUE"""),"R")</f>
        <v>R</v>
      </c>
      <c r="E64" s="16"/>
      <c r="F64" s="16"/>
      <c r="G64" s="16">
        <f>IFERROR(__xludf.DUMMYFUNCTION("""COMPUTED_VALUE"""),479.0)</f>
        <v>479</v>
      </c>
      <c r="H64" s="16">
        <f>IFERROR(__xludf.DUMMYFUNCTION("""COMPUTED_VALUE"""),55.0)</f>
        <v>55</v>
      </c>
      <c r="I64" s="16" t="str">
        <f>IFERROR(__xludf.DUMMYFUNCTION("""COMPUTED_VALUE"""),"3p60")</f>
        <v>3p60</v>
      </c>
      <c r="J64" s="16">
        <f>IFERROR(__xludf.DUMMYFUNCTION("""COMPUTED_VALUE"""),30.0)</f>
        <v>30</v>
      </c>
      <c r="K64" s="16">
        <f>IFERROR(__xludf.DUMMYFUNCTION("""COMPUTED_VALUE"""),27.0)</f>
        <v>27</v>
      </c>
      <c r="L64" s="16">
        <f>IFERROR(__xludf.DUMMYFUNCTION("""COMPUTED_VALUE"""),0.0)</f>
        <v>0</v>
      </c>
      <c r="M64" s="16">
        <f>IFERROR(__xludf.DUMMYFUNCTION("""COMPUTED_VALUE"""),0.0)</f>
        <v>0</v>
      </c>
      <c r="N64" s="16">
        <f>IFERROR(__xludf.DUMMYFUNCTION("""COMPUTED_VALUE"""),0.0)</f>
        <v>0</v>
      </c>
      <c r="O64" s="16">
        <f>IFERROR(__xludf.DUMMYFUNCTION("""COMPUTED_VALUE"""),0.0)</f>
        <v>0</v>
      </c>
      <c r="P64" s="16">
        <f>IFERROR(__xludf.DUMMYFUNCTION("""COMPUTED_VALUE"""),10.0)</f>
        <v>10</v>
      </c>
      <c r="Q64" s="16">
        <f>IFERROR(__xludf.DUMMYFUNCTION("""COMPUTED_VALUE"""),13.0)</f>
        <v>13</v>
      </c>
      <c r="R64" s="16">
        <f>IFERROR(__xludf.DUMMYFUNCTION("""COMPUTED_VALUE"""),1.0)</f>
        <v>1</v>
      </c>
      <c r="S64" s="16">
        <f>IFERROR(__xludf.DUMMYFUNCTION("""COMPUTED_VALUE"""),1.0)</f>
        <v>1</v>
      </c>
      <c r="T64" s="16">
        <f>IFERROR(__xludf.DUMMYFUNCTION("""COMPUTED_VALUE"""),1.0)</f>
        <v>1</v>
      </c>
      <c r="U64" s="16">
        <f>IFERROR(__xludf.DUMMYFUNCTION("""COMPUTED_VALUE"""),1.0)</f>
        <v>1</v>
      </c>
      <c r="V64" s="16">
        <f>IFERROR(__xludf.DUMMYFUNCTION("""COMPUTED_VALUE"""),24.3)</f>
        <v>24.3</v>
      </c>
      <c r="W64" s="16">
        <f>IFERROR(__xludf.DUMMYFUNCTION("""COMPUTED_VALUE"""),14.8)</f>
        <v>14.8</v>
      </c>
      <c r="X64" s="16">
        <f>IFERROR(__xludf.DUMMYFUNCTION("""COMPUTED_VALUE"""),1.0)</f>
        <v>1</v>
      </c>
      <c r="Y64" s="16">
        <f>IFERROR(__xludf.DUMMYFUNCTION("""COMPUTED_VALUE"""),-1.0)</f>
        <v>-1</v>
      </c>
      <c r="Z64" s="16">
        <f>IFERROR(__xludf.DUMMYFUNCTION("""COMPUTED_VALUE"""),2.0)</f>
        <v>2</v>
      </c>
      <c r="AA64" s="16">
        <f>IFERROR(__xludf.DUMMYFUNCTION("""COMPUTED_VALUE"""),-2.0)</f>
        <v>-2</v>
      </c>
      <c r="AB64" s="16">
        <f>IFERROR(__xludf.DUMMYFUNCTION("""COMPUTED_VALUE"""),38.3)</f>
        <v>38.3</v>
      </c>
      <c r="AC64" s="16">
        <f>IFERROR(__xludf.DUMMYFUNCTION("""COMPUTED_VALUE"""),31.8)</f>
        <v>31.8</v>
      </c>
      <c r="AD64" s="16">
        <f>IFERROR(__xludf.DUMMYFUNCTION("""COMPUTED_VALUE"""),1.0)</f>
        <v>1</v>
      </c>
      <c r="AE64" s="16">
        <f>IFERROR(__xludf.DUMMYFUNCTION("""COMPUTED_VALUE"""),0.0)</f>
        <v>0</v>
      </c>
      <c r="AF64" s="16">
        <f>IFERROR(__xludf.DUMMYFUNCTION("""COMPUTED_VALUE"""),5.0)</f>
        <v>5</v>
      </c>
      <c r="AG64" s="16">
        <f>IFERROR(__xludf.DUMMYFUNCTION("""COMPUTED_VALUE"""),0.0)</f>
        <v>0</v>
      </c>
      <c r="AH64" s="16">
        <f>IFERROR(__xludf.DUMMYFUNCTION("""COMPUTED_VALUE"""),32.0)</f>
        <v>32</v>
      </c>
      <c r="AI64" s="16">
        <f>IFERROR(__xludf.DUMMYFUNCTION("""COMPUTED_VALUE"""),39.7)</f>
        <v>39.7</v>
      </c>
      <c r="AJ64" s="16">
        <f>IFERROR(__xludf.DUMMYFUNCTION("""COMPUTED_VALUE"""),0.0)</f>
        <v>0</v>
      </c>
      <c r="AK64" s="16">
        <f>IFERROR(__xludf.DUMMYFUNCTION("""COMPUTED_VALUE"""),1.0)</f>
        <v>1</v>
      </c>
      <c r="AL64" s="16">
        <f>IFERROR(__xludf.DUMMYFUNCTION("""COMPUTED_VALUE"""),0.0)</f>
        <v>0</v>
      </c>
      <c r="AM64" s="16">
        <f>IFERROR(__xludf.DUMMYFUNCTION("""COMPUTED_VALUE"""),5.0)</f>
        <v>5</v>
      </c>
      <c r="AN64" s="16">
        <f>IFERROR(__xludf.DUMMYFUNCTION("""COMPUTED_VALUE"""),1.6)</f>
        <v>1.6</v>
      </c>
      <c r="AO64" s="16">
        <f>IFERROR(__xludf.DUMMYFUNCTION("""COMPUTED_VALUE"""),6.2)</f>
        <v>6.2</v>
      </c>
      <c r="AP64" s="16">
        <f>IFERROR(__xludf.DUMMYFUNCTION("""COMPUTED_VALUE"""),-1.0)</f>
        <v>-1</v>
      </c>
      <c r="AQ64" s="16">
        <f>IFERROR(__xludf.DUMMYFUNCTION("""COMPUTED_VALUE"""),3.0)</f>
        <v>3</v>
      </c>
      <c r="AR64" s="16">
        <f>IFERROR(__xludf.DUMMYFUNCTION("""COMPUTED_VALUE"""),-2.0)</f>
        <v>-2</v>
      </c>
      <c r="AS64" s="16">
        <f>IFERROR(__xludf.DUMMYFUNCTION("""COMPUTED_VALUE"""),6.0)</f>
        <v>6</v>
      </c>
      <c r="AT64" s="16">
        <f>IFERROR(__xludf.DUMMYFUNCTION("""COMPUTED_VALUE"""),2.0)</f>
        <v>2</v>
      </c>
      <c r="AU64" s="16">
        <f>IFERROR(__xludf.DUMMYFUNCTION("""COMPUTED_VALUE"""),8.0)</f>
        <v>8</v>
      </c>
      <c r="AV64" s="16">
        <f>IFERROR(__xludf.DUMMYFUNCTION("""COMPUTED_VALUE"""),2.0)</f>
        <v>2</v>
      </c>
      <c r="AW64" s="16">
        <f>IFERROR(__xludf.DUMMYFUNCTION("""COMPUTED_VALUE"""),8.0)</f>
        <v>8</v>
      </c>
      <c r="AX64" s="16">
        <f>IFERROR(__xludf.DUMMYFUNCTION("""COMPUTED_VALUE"""),0.0)</f>
        <v>0</v>
      </c>
      <c r="AY64" s="16">
        <f>IFERROR(__xludf.DUMMYFUNCTION("""COMPUTED_VALUE"""),3.0)</f>
        <v>3</v>
      </c>
      <c r="AZ64" s="16">
        <f>IFERROR(__xludf.DUMMYFUNCTION("""COMPUTED_VALUE"""),0.0)</f>
        <v>0</v>
      </c>
      <c r="BA64" s="16">
        <f>IFERROR(__xludf.DUMMYFUNCTION("""COMPUTED_VALUE"""),9.0)</f>
        <v>9</v>
      </c>
      <c r="BB64" s="16">
        <f>IFERROR(__xludf.DUMMYFUNCTION("""COMPUTED_VALUE"""),5.0)</f>
        <v>5</v>
      </c>
      <c r="BC64" s="16">
        <f>IFERROR(__xludf.DUMMYFUNCTION("""COMPUTED_VALUE"""),5.0)</f>
        <v>5</v>
      </c>
      <c r="BD64" s="16">
        <f>IFERROR(__xludf.DUMMYFUNCTION("""COMPUTED_VALUE"""),1.0)</f>
        <v>1</v>
      </c>
      <c r="BE64" s="16">
        <f>IFERROR(__xludf.DUMMYFUNCTION("""COMPUTED_VALUE"""),1.0)</f>
        <v>1</v>
      </c>
      <c r="BF64" s="16">
        <f>IFERROR(__xludf.DUMMYFUNCTION("""COMPUTED_VALUE"""),1.0)</f>
        <v>1</v>
      </c>
      <c r="BG64" s="16">
        <f>IFERROR(__xludf.DUMMYFUNCTION("""COMPUTED_VALUE"""),1.0)</f>
        <v>1</v>
      </c>
      <c r="BH64" s="16">
        <f>IFERROR(__xludf.DUMMYFUNCTION("""COMPUTED_VALUE"""),-5.0)</f>
        <v>-5</v>
      </c>
      <c r="BI64" s="16">
        <f>IFERROR(__xludf.DUMMYFUNCTION("""COMPUTED_VALUE"""),-1.0)</f>
        <v>-1</v>
      </c>
      <c r="BJ64" s="16">
        <f>IFERROR(__xludf.DUMMYFUNCTION("""COMPUTED_VALUE"""),15.0)</f>
        <v>15</v>
      </c>
      <c r="BK64" s="16">
        <f>IFERROR(__xludf.DUMMYFUNCTION("""COMPUTED_VALUE"""),14.0)</f>
        <v>14</v>
      </c>
      <c r="BL64" s="16">
        <f>IFERROR(__xludf.DUMMYFUNCTION("""COMPUTED_VALUE"""),-1.0)</f>
        <v>-1</v>
      </c>
      <c r="BM64" s="16">
        <f>IFERROR(__xludf.DUMMYFUNCTION("""COMPUTED_VALUE"""),0.0)</f>
        <v>0</v>
      </c>
      <c r="BN64" s="16">
        <f>IFERROR(__xludf.DUMMYFUNCTION("""COMPUTED_VALUE"""),-2.0)</f>
        <v>-2</v>
      </c>
      <c r="BO64" s="16">
        <f>IFERROR(__xludf.DUMMYFUNCTION("""COMPUTED_VALUE"""),0.0)</f>
        <v>0</v>
      </c>
      <c r="BP64" s="16">
        <f>IFERROR(__xludf.DUMMYFUNCTION("""COMPUTED_VALUE"""),2.0)</f>
        <v>2</v>
      </c>
      <c r="BQ64" s="16">
        <f>IFERROR(__xludf.DUMMYFUNCTION("""COMPUTED_VALUE"""),8.0)</f>
        <v>8</v>
      </c>
      <c r="BR64" s="16">
        <f>IFERROR(__xludf.DUMMYFUNCTION("""COMPUTED_VALUE"""),10.0)</f>
        <v>10</v>
      </c>
      <c r="BS64" s="16" t="str">
        <f>IFERROR(__xludf.DUMMYFUNCTION("""COMPUTED_VALUE"""),"6/12 (13-5)")</f>
        <v>6/12 (13-5)</v>
      </c>
      <c r="BT64" s="16" t="str">
        <f>IFERROR(__xludf.DUMMYFUNCTION("""COMPUTED_VALUE"""),"E")</f>
        <v>E</v>
      </c>
      <c r="BU64" s="16">
        <f>IFERROR(__xludf.DUMMYFUNCTION("""COMPUTED_VALUE"""),10.0)</f>
        <v>10</v>
      </c>
      <c r="BV64" s="16">
        <f>IFERROR(__xludf.DUMMYFUNCTION("""COMPUTED_VALUE"""),0.0)</f>
        <v>0</v>
      </c>
      <c r="BW64" s="16">
        <f>IFERROR(__xludf.DUMMYFUNCTION("""COMPUTED_VALUE"""),0.0)</f>
        <v>0</v>
      </c>
      <c r="BX64" s="16">
        <f>IFERROR(__xludf.DUMMYFUNCTION("""COMPUTED_VALUE"""),0.0)</f>
        <v>0</v>
      </c>
      <c r="BY64" s="16">
        <f>IFERROR(__xludf.DUMMYFUNCTION("""COMPUTED_VALUE"""),0.0)</f>
        <v>0</v>
      </c>
      <c r="BZ64" s="16" t="str">
        <f>IFERROR(__xludf.DUMMYFUNCTION("""COMPUTED_VALUE"""),"D")</f>
        <v>D</v>
      </c>
      <c r="CA64" s="16" t="str">
        <f>IFERROR(__xludf.DUMMYFUNCTION("""COMPUTED_VALUE"""),"C")</f>
        <v>C</v>
      </c>
      <c r="CB64" s="16">
        <f>IFERROR(__xludf.DUMMYFUNCTION("""COMPUTED_VALUE"""),0.0)</f>
        <v>0</v>
      </c>
      <c r="CC64" s="16">
        <f>IFERROR(__xludf.DUMMYFUNCTION("""COMPUTED_VALUE"""),0.0)</f>
        <v>0</v>
      </c>
      <c r="CD64" s="16">
        <f>IFERROR(__xludf.DUMMYFUNCTION("""COMPUTED_VALUE"""),0.0)</f>
        <v>0</v>
      </c>
      <c r="CE64" s="16">
        <f>IFERROR(__xludf.DUMMYFUNCTION("""COMPUTED_VALUE"""),0.0)</f>
        <v>0</v>
      </c>
      <c r="CF64" s="16">
        <f>IFERROR(__xludf.DUMMYFUNCTION("""COMPUTED_VALUE"""),3.0)</f>
        <v>3</v>
      </c>
      <c r="CG64" s="16">
        <f>IFERROR(__xludf.DUMMYFUNCTION("""COMPUTED_VALUE"""),5.0)</f>
        <v>5</v>
      </c>
      <c r="CH64" s="16">
        <f>IFERROR(__xludf.DUMMYFUNCTION("""COMPUTED_VALUE"""),20.0)</f>
        <v>20</v>
      </c>
      <c r="CI64" s="179">
        <f>IFERROR(__xludf.DUMMYFUNCTION("""COMPUTED_VALUE"""),18.0)</f>
        <v>18</v>
      </c>
      <c r="CJ64" s="16"/>
      <c r="CK64" s="16">
        <f>IFERROR(__xludf.DUMMYFUNCTION("""COMPUTED_VALUE"""),103.0)</f>
        <v>103</v>
      </c>
      <c r="CL64" s="16"/>
      <c r="CM64" s="16"/>
      <c r="CN64" s="16"/>
      <c r="CO64" s="16"/>
      <c r="CP64" s="16"/>
      <c r="CQ64" s="16"/>
      <c r="CR64" s="16" t="str">
        <f>IFERROR(__xludf.DUMMYFUNCTION("""COMPUTED_VALUE"""),"1b-1e3")</f>
        <v>1b-1e3</v>
      </c>
      <c r="CS64" s="16"/>
      <c r="CT64" s="16">
        <f>IFERROR(__xludf.DUMMYFUNCTION("""COMPUTED_VALUE"""),1.0)</f>
        <v>1</v>
      </c>
      <c r="CU64" s="16"/>
      <c r="CV64" s="16"/>
      <c r="CW64" s="16"/>
      <c r="CX64" s="16"/>
      <c r="CY64" s="16"/>
      <c r="CZ64" s="16"/>
      <c r="DA64" s="16"/>
      <c r="DB64" s="16">
        <f>IFERROR(__xludf.DUMMYFUNCTION("""COMPUTED_VALUE"""),3.0)</f>
        <v>3</v>
      </c>
      <c r="DC64" s="16"/>
      <c r="DD64" s="16"/>
      <c r="DE64" s="16"/>
      <c r="DF64" s="16"/>
      <c r="DG64" s="16"/>
      <c r="DH64" s="16"/>
      <c r="DI64" s="16"/>
      <c r="DJ64" s="16">
        <f>IFERROR(__xludf.DUMMYFUNCTION("""COMPUTED_VALUE"""),4.0)</f>
        <v>4</v>
      </c>
      <c r="DK64" s="16"/>
      <c r="DL64" s="16"/>
      <c r="DM64" s="16"/>
      <c r="DN64" s="16"/>
      <c r="DO64" s="16"/>
      <c r="DP64" s="16"/>
      <c r="DQ64" s="16"/>
      <c r="DR64" s="16">
        <f>IFERROR(__xludf.DUMMYFUNCTION("""COMPUTED_VALUE"""),4.0)</f>
        <v>4</v>
      </c>
      <c r="DS64" s="16"/>
      <c r="DT64" s="16"/>
      <c r="DU64" s="16"/>
      <c r="DV64" s="16"/>
      <c r="DW64" s="16"/>
      <c r="DX64" s="16"/>
      <c r="DY64" s="16"/>
      <c r="DZ64" s="16">
        <f>IFERROR(__xludf.DUMMYFUNCTION("""COMPUTED_VALUE"""),8.0)</f>
        <v>8</v>
      </c>
      <c r="EA64" s="16"/>
      <c r="EB64" s="16"/>
      <c r="EC64" s="16"/>
      <c r="ED64" s="16"/>
      <c r="EE64" s="16"/>
      <c r="EF64" s="16"/>
      <c r="EG64" s="179"/>
      <c r="EH64" s="179">
        <f>IFERROR(__xludf.DUMMYFUNCTION("""COMPUTED_VALUE"""),26.0)</f>
        <v>26</v>
      </c>
      <c r="EI64" s="179"/>
      <c r="EJ64" s="179"/>
      <c r="EK64" s="179"/>
      <c r="EL64" s="179"/>
      <c r="EM64" s="179"/>
      <c r="EN64" s="179"/>
      <c r="EO64" s="16"/>
      <c r="EP64" s="16"/>
      <c r="EQ64" s="16">
        <f>IFERROR(__xludf.DUMMYFUNCTION("""COMPUTED_VALUE"""),1.0)</f>
        <v>1</v>
      </c>
      <c r="ER64" s="16">
        <f>IFERROR(__xludf.DUMMYFUNCTION("""COMPUTED_VALUE"""),1.0)</f>
        <v>1</v>
      </c>
      <c r="ES64" s="16"/>
      <c r="ET64" s="16"/>
      <c r="EU64" s="16"/>
      <c r="EV64" s="16"/>
      <c r="EW64" s="16"/>
      <c r="EX64" s="180"/>
      <c r="EY64" s="180">
        <f>IFERROR(__xludf.DUMMYFUNCTION("""COMPUTED_VALUE"""),0.0)</f>
        <v>0</v>
      </c>
      <c r="EZ64" s="180"/>
      <c r="FA64" s="180"/>
      <c r="FB64" s="180"/>
      <c r="FC64" s="180"/>
      <c r="FD64" s="180"/>
      <c r="FE64" s="180"/>
      <c r="FF64" s="180"/>
      <c r="FG64" s="180">
        <f>IFERROR(__xludf.DUMMYFUNCTION("""COMPUTED_VALUE"""),0.05555555555555555)</f>
        <v>0.05555555556</v>
      </c>
      <c r="FH64" s="180"/>
      <c r="FI64" s="180"/>
      <c r="FJ64" s="180"/>
      <c r="FK64" s="180"/>
      <c r="FL64" s="180"/>
      <c r="FM64" s="180"/>
      <c r="FN64" s="16"/>
      <c r="FO64" s="16">
        <f>IFERROR(__xludf.DUMMYFUNCTION("""COMPUTED_VALUE"""),0.9444444444444444)</f>
        <v>0.9444444444</v>
      </c>
      <c r="FP64" s="16"/>
      <c r="FQ64" s="16"/>
      <c r="FR64" s="16"/>
      <c r="FS64" s="16"/>
      <c r="FT64" s="16"/>
      <c r="FU64" s="16"/>
      <c r="FV64" s="16"/>
      <c r="FW64" s="16">
        <f>IFERROR(__xludf.DUMMYFUNCTION("""COMPUTED_VALUE"""),6.0)</f>
        <v>6</v>
      </c>
      <c r="FX64" s="16"/>
      <c r="FY64" s="16"/>
      <c r="FZ64" s="16"/>
      <c r="GA64" s="16"/>
      <c r="GB64" s="16"/>
      <c r="GC64" s="16"/>
      <c r="GD64" s="16" t="s">
        <v>215</v>
      </c>
    </row>
    <row r="65">
      <c r="A65" s="16">
        <f>IFERROR(__xludf.DUMMYFUNCTION("""COMPUTED_VALUE"""),13008.0)</f>
        <v>13008</v>
      </c>
      <c r="B65" s="16" t="str">
        <f>IFERROR(__xludf.DUMMYFUNCTION("""COMPUTED_VALUE"""),"Jorge Soler")</f>
        <v>Jorge Soler</v>
      </c>
      <c r="C65" s="16">
        <f>IFERROR(__xludf.DUMMYFUNCTION("""COMPUTED_VALUE"""),0.56)</f>
        <v>0.56</v>
      </c>
      <c r="D65" s="16" t="str">
        <f>IFERROR(__xludf.DUMMYFUNCTION("""COMPUTED_VALUE"""),"R")</f>
        <v>R</v>
      </c>
      <c r="E65" s="16"/>
      <c r="F65" s="16"/>
      <c r="G65" s="16">
        <f>IFERROR(__xludf.DUMMYFUNCTION("""COMPUTED_VALUE"""),493.0)</f>
        <v>493</v>
      </c>
      <c r="H65" s="16">
        <f>IFERROR(__xludf.DUMMYFUNCTION("""COMPUTED_VALUE"""),68.0)</f>
        <v>68</v>
      </c>
      <c r="I65" s="16" t="str">
        <f>IFERROR(__xludf.DUMMYFUNCTION("""COMPUTED_VALUE"""),"1p65")</f>
        <v>1p65</v>
      </c>
      <c r="J65" s="16">
        <f>IFERROR(__xludf.DUMMYFUNCTION("""COMPUTED_VALUE"""),26.0)</f>
        <v>26</v>
      </c>
      <c r="K65" s="16">
        <f>IFERROR(__xludf.DUMMYFUNCTION("""COMPUTED_VALUE"""),29.0)</f>
        <v>29</v>
      </c>
      <c r="L65" s="16">
        <f>IFERROR(__xludf.DUMMYFUNCTION("""COMPUTED_VALUE"""),0.0)</f>
        <v>0</v>
      </c>
      <c r="M65" s="16">
        <f>IFERROR(__xludf.DUMMYFUNCTION("""COMPUTED_VALUE"""),0.0)</f>
        <v>0</v>
      </c>
      <c r="N65" s="16">
        <f>IFERROR(__xludf.DUMMYFUNCTION("""COMPUTED_VALUE"""),0.0)</f>
        <v>0</v>
      </c>
      <c r="O65" s="16">
        <f>IFERROR(__xludf.DUMMYFUNCTION("""COMPUTED_VALUE"""),0.0)</f>
        <v>0</v>
      </c>
      <c r="P65" s="16">
        <f>IFERROR(__xludf.DUMMYFUNCTION("""COMPUTED_VALUE"""),23.0)</f>
        <v>23</v>
      </c>
      <c r="Q65" s="16">
        <f>IFERROR(__xludf.DUMMYFUNCTION("""COMPUTED_VALUE"""),16.0)</f>
        <v>16</v>
      </c>
      <c r="R65" s="16">
        <f>IFERROR(__xludf.DUMMYFUNCTION("""COMPUTED_VALUE"""),3.0)</f>
        <v>3</v>
      </c>
      <c r="S65" s="16">
        <f>IFERROR(__xludf.DUMMYFUNCTION("""COMPUTED_VALUE"""),2.0)</f>
        <v>2</v>
      </c>
      <c r="T65" s="16">
        <f>IFERROR(__xludf.DUMMYFUNCTION("""COMPUTED_VALUE"""),3.0)</f>
        <v>3</v>
      </c>
      <c r="U65" s="16">
        <f>IFERROR(__xludf.DUMMYFUNCTION("""COMPUTED_VALUE"""),2.0)</f>
        <v>2</v>
      </c>
      <c r="V65" s="16">
        <f>IFERROR(__xludf.DUMMYFUNCTION("""COMPUTED_VALUE"""),17.8)</f>
        <v>17.8</v>
      </c>
      <c r="W65" s="16">
        <f>IFERROR(__xludf.DUMMYFUNCTION("""COMPUTED_VALUE"""),15.9)</f>
        <v>15.9</v>
      </c>
      <c r="X65" s="16">
        <f>IFERROR(__xludf.DUMMYFUNCTION("""COMPUTED_VALUE"""),0.0)</f>
        <v>0</v>
      </c>
      <c r="Y65" s="16">
        <f>IFERROR(__xludf.DUMMYFUNCTION("""COMPUTED_VALUE"""),-1.0)</f>
        <v>-1</v>
      </c>
      <c r="Z65" s="16">
        <f>IFERROR(__xludf.DUMMYFUNCTION("""COMPUTED_VALUE"""),0.0)</f>
        <v>0</v>
      </c>
      <c r="AA65" s="16">
        <f>IFERROR(__xludf.DUMMYFUNCTION("""COMPUTED_VALUE"""),-2.0)</f>
        <v>-2</v>
      </c>
      <c r="AB65" s="16">
        <f>IFERROR(__xludf.DUMMYFUNCTION("""COMPUTED_VALUE"""),42.8)</f>
        <v>42.8</v>
      </c>
      <c r="AC65" s="16">
        <f>IFERROR(__xludf.DUMMYFUNCTION("""COMPUTED_VALUE"""),33.8)</f>
        <v>33.8</v>
      </c>
      <c r="AD65" s="16">
        <f>IFERROR(__xludf.DUMMYFUNCTION("""COMPUTED_VALUE"""),1.0)</f>
        <v>1</v>
      </c>
      <c r="AE65" s="16">
        <f>IFERROR(__xludf.DUMMYFUNCTION("""COMPUTED_VALUE"""),0.0)</f>
        <v>0</v>
      </c>
      <c r="AF65" s="16">
        <f>IFERROR(__xludf.DUMMYFUNCTION("""COMPUTED_VALUE"""),5.0)</f>
        <v>5</v>
      </c>
      <c r="AG65" s="16">
        <f>IFERROR(__xludf.DUMMYFUNCTION("""COMPUTED_VALUE"""),0.0)</f>
        <v>0</v>
      </c>
      <c r="AH65" s="16">
        <f>IFERROR(__xludf.DUMMYFUNCTION("""COMPUTED_VALUE"""),39.5)</f>
        <v>39.5</v>
      </c>
      <c r="AI65" s="16">
        <f>IFERROR(__xludf.DUMMYFUNCTION("""COMPUTED_VALUE"""),30.5)</f>
        <v>30.5</v>
      </c>
      <c r="AJ65" s="16">
        <f>IFERROR(__xludf.DUMMYFUNCTION("""COMPUTED_VALUE"""),1.0)</f>
        <v>1</v>
      </c>
      <c r="AK65" s="16">
        <f>IFERROR(__xludf.DUMMYFUNCTION("""COMPUTED_VALUE"""),0.0)</f>
        <v>0</v>
      </c>
      <c r="AL65" s="16">
        <f>IFERROR(__xludf.DUMMYFUNCTION("""COMPUTED_VALUE"""),5.0)</f>
        <v>5</v>
      </c>
      <c r="AM65" s="16">
        <f>IFERROR(__xludf.DUMMYFUNCTION("""COMPUTED_VALUE"""),0.0)</f>
        <v>0</v>
      </c>
      <c r="AN65" s="16">
        <f>IFERROR(__xludf.DUMMYFUNCTION("""COMPUTED_VALUE"""),3.0)</f>
        <v>3</v>
      </c>
      <c r="AO65" s="16">
        <f>IFERROR(__xludf.DUMMYFUNCTION("""COMPUTED_VALUE"""),2.8)</f>
        <v>2.8</v>
      </c>
      <c r="AP65" s="16">
        <f>IFERROR(__xludf.DUMMYFUNCTION("""COMPUTED_VALUE"""),1.0)</f>
        <v>1</v>
      </c>
      <c r="AQ65" s="16">
        <f>IFERROR(__xludf.DUMMYFUNCTION("""COMPUTED_VALUE"""),0.0)</f>
        <v>0</v>
      </c>
      <c r="AR65" s="16">
        <f>IFERROR(__xludf.DUMMYFUNCTION("""COMPUTED_VALUE"""),2.0)</f>
        <v>2</v>
      </c>
      <c r="AS65" s="16">
        <f>IFERROR(__xludf.DUMMYFUNCTION("""COMPUTED_VALUE"""),0.0)</f>
        <v>0</v>
      </c>
      <c r="AT65" s="16">
        <f>IFERROR(__xludf.DUMMYFUNCTION("""COMPUTED_VALUE"""),6.0)</f>
        <v>6</v>
      </c>
      <c r="AU65" s="16">
        <f>IFERROR(__xludf.DUMMYFUNCTION("""COMPUTED_VALUE"""),5.0)</f>
        <v>5</v>
      </c>
      <c r="AV65" s="16">
        <f>IFERROR(__xludf.DUMMYFUNCTION("""COMPUTED_VALUE"""),6.0)</f>
        <v>6</v>
      </c>
      <c r="AW65" s="16">
        <f>IFERROR(__xludf.DUMMYFUNCTION("""COMPUTED_VALUE"""),5.0)</f>
        <v>5</v>
      </c>
      <c r="AX65" s="16">
        <f>IFERROR(__xludf.DUMMYFUNCTION("""COMPUTED_VALUE"""),3.0)</f>
        <v>3</v>
      </c>
      <c r="AY65" s="16">
        <f>IFERROR(__xludf.DUMMYFUNCTION("""COMPUTED_VALUE"""),2.0)</f>
        <v>2</v>
      </c>
      <c r="AZ65" s="16">
        <f>IFERROR(__xludf.DUMMYFUNCTION("""COMPUTED_VALUE"""),9.0)</f>
        <v>9</v>
      </c>
      <c r="BA65" s="16">
        <f>IFERROR(__xludf.DUMMYFUNCTION("""COMPUTED_VALUE"""),6.0)</f>
        <v>6</v>
      </c>
      <c r="BB65" s="16">
        <f>IFERROR(__xludf.DUMMYFUNCTION("""COMPUTED_VALUE"""),5.0)</f>
        <v>5</v>
      </c>
      <c r="BC65" s="16">
        <f>IFERROR(__xludf.DUMMYFUNCTION("""COMPUTED_VALUE"""),5.0)</f>
        <v>5</v>
      </c>
      <c r="BD65" s="16">
        <f>IFERROR(__xludf.DUMMYFUNCTION("""COMPUTED_VALUE"""),1.0)</f>
        <v>1</v>
      </c>
      <c r="BE65" s="16">
        <f>IFERROR(__xludf.DUMMYFUNCTION("""COMPUTED_VALUE"""),1.0)</f>
        <v>1</v>
      </c>
      <c r="BF65" s="16">
        <f>IFERROR(__xludf.DUMMYFUNCTION("""COMPUTED_VALUE"""),1.0)</f>
        <v>1</v>
      </c>
      <c r="BG65" s="16">
        <f>IFERROR(__xludf.DUMMYFUNCTION("""COMPUTED_VALUE"""),1.0)</f>
        <v>1</v>
      </c>
      <c r="BH65" s="16">
        <f>IFERROR(__xludf.DUMMYFUNCTION("""COMPUTED_VALUE"""),0.0)</f>
        <v>0</v>
      </c>
      <c r="BI65" s="16">
        <f>IFERROR(__xludf.DUMMYFUNCTION("""COMPUTED_VALUE"""),-5.0)</f>
        <v>-5</v>
      </c>
      <c r="BJ65" s="16">
        <f>IFERROR(__xludf.DUMMYFUNCTION("""COMPUTED_VALUE"""),9.0)</f>
        <v>9</v>
      </c>
      <c r="BK65" s="16">
        <f>IFERROR(__xludf.DUMMYFUNCTION("""COMPUTED_VALUE"""),11.0)</f>
        <v>11</v>
      </c>
      <c r="BL65" s="16">
        <f>IFERROR(__xludf.DUMMYFUNCTION("""COMPUTED_VALUE"""),0.0)</f>
        <v>0</v>
      </c>
      <c r="BM65" s="16">
        <f>IFERROR(__xludf.DUMMYFUNCTION("""COMPUTED_VALUE"""),0.0)</f>
        <v>0</v>
      </c>
      <c r="BN65" s="16">
        <f>IFERROR(__xludf.DUMMYFUNCTION("""COMPUTED_VALUE"""),0.0)</f>
        <v>0</v>
      </c>
      <c r="BO65" s="16">
        <f>IFERROR(__xludf.DUMMYFUNCTION("""COMPUTED_VALUE"""),0.0)</f>
        <v>0</v>
      </c>
      <c r="BP65" s="16">
        <f>IFERROR(__xludf.DUMMYFUNCTION("""COMPUTED_VALUE"""),10.0)</f>
        <v>10</v>
      </c>
      <c r="BQ65" s="16">
        <f>IFERROR(__xludf.DUMMYFUNCTION("""COMPUTED_VALUE"""),4.0)</f>
        <v>4</v>
      </c>
      <c r="BR65" s="16">
        <f>IFERROR(__xludf.DUMMYFUNCTION("""COMPUTED_VALUE"""),14.0)</f>
        <v>14</v>
      </c>
      <c r="BS65" s="16" t="str">
        <f>IFERROR(__xludf.DUMMYFUNCTION("""COMPUTED_VALUE"""),"2/- (20-6)")</f>
        <v>2/- (20-6)</v>
      </c>
      <c r="BT65" s="16" t="str">
        <f>IFERROR(__xludf.DUMMYFUNCTION("""COMPUTED_VALUE"""),"E")</f>
        <v>E</v>
      </c>
      <c r="BU65" s="16">
        <f>IFERROR(__xludf.DUMMYFUNCTION("""COMPUTED_VALUE"""),10.0)</f>
        <v>10</v>
      </c>
      <c r="BV65" s="16">
        <f>IFERROR(__xludf.DUMMYFUNCTION("""COMPUTED_VALUE"""),0.0)</f>
        <v>0</v>
      </c>
      <c r="BW65" s="16">
        <f>IFERROR(__xludf.DUMMYFUNCTION("""COMPUTED_VALUE"""),0.0)</f>
        <v>0</v>
      </c>
      <c r="BX65" s="16">
        <f>IFERROR(__xludf.DUMMYFUNCTION("""COMPUTED_VALUE"""),0.0)</f>
        <v>0</v>
      </c>
      <c r="BY65" s="16">
        <f>IFERROR(__xludf.DUMMYFUNCTION("""COMPUTED_VALUE"""),0.0)</f>
        <v>0</v>
      </c>
      <c r="BZ65" s="16" t="str">
        <f>IFERROR(__xludf.DUMMYFUNCTION("""COMPUTED_VALUE"""),"D")</f>
        <v>D</v>
      </c>
      <c r="CA65" s="16" t="str">
        <f>IFERROR(__xludf.DUMMYFUNCTION("""COMPUTED_VALUE"""),"D")</f>
        <v>D</v>
      </c>
      <c r="CB65" s="16">
        <f>IFERROR(__xludf.DUMMYFUNCTION("""COMPUTED_VALUE"""),0.0)</f>
        <v>0</v>
      </c>
      <c r="CC65" s="16">
        <f>IFERROR(__xludf.DUMMYFUNCTION("""COMPUTED_VALUE"""),0.0)</f>
        <v>0</v>
      </c>
      <c r="CD65" s="16">
        <f>IFERROR(__xludf.DUMMYFUNCTION("""COMPUTED_VALUE"""),0.0)</f>
        <v>0</v>
      </c>
      <c r="CE65" s="16">
        <f>IFERROR(__xludf.DUMMYFUNCTION("""COMPUTED_VALUE"""),0.0)</f>
        <v>0</v>
      </c>
      <c r="CF65" s="16">
        <f>IFERROR(__xludf.DUMMYFUNCTION("""COMPUTED_VALUE"""),1.0)</f>
        <v>1</v>
      </c>
      <c r="CG65" s="16">
        <f>IFERROR(__xludf.DUMMYFUNCTION("""COMPUTED_VALUE"""),25.0)</f>
        <v>25</v>
      </c>
      <c r="CH65" s="16">
        <f>IFERROR(__xludf.DUMMYFUNCTION("""COMPUTED_VALUE"""),7.0)</f>
        <v>7</v>
      </c>
      <c r="CI65" s="179">
        <f>IFERROR(__xludf.DUMMYFUNCTION("""COMPUTED_VALUE"""),18.0)</f>
        <v>18</v>
      </c>
      <c r="CJ65" s="16"/>
      <c r="CK65" s="16"/>
      <c r="CL65" s="16"/>
      <c r="CM65" s="16"/>
      <c r="CN65" s="16"/>
      <c r="CO65" s="16">
        <f>IFERROR(__xludf.DUMMYFUNCTION("""COMPUTED_VALUE"""),504.0)</f>
        <v>504</v>
      </c>
      <c r="CP65" s="16"/>
      <c r="CQ65" s="16">
        <f>IFERROR(__xludf.DUMMYFUNCTION("""COMPUTED_VALUE"""),504.0)</f>
        <v>504</v>
      </c>
      <c r="CR65" s="16" t="str">
        <f>IFERROR(__xludf.DUMMYFUNCTION("""COMPUTED_VALUE"""),"rf-5(+1)e4 lf-5e4")</f>
        <v>rf-5(+1)e4 lf-5e4</v>
      </c>
      <c r="CS65" s="16"/>
      <c r="CT65" s="16"/>
      <c r="CU65" s="16"/>
      <c r="CV65" s="16"/>
      <c r="CW65" s="16"/>
      <c r="CX65" s="16">
        <f>IFERROR(__xludf.DUMMYFUNCTION("""COMPUTED_VALUE"""),5.0)</f>
        <v>5</v>
      </c>
      <c r="CY65" s="16"/>
      <c r="CZ65" s="16">
        <f>IFERROR(__xludf.DUMMYFUNCTION("""COMPUTED_VALUE"""),5.0)</f>
        <v>5</v>
      </c>
      <c r="DA65" s="16"/>
      <c r="DB65" s="16"/>
      <c r="DC65" s="16"/>
      <c r="DD65" s="16"/>
      <c r="DE65" s="16"/>
      <c r="DF65" s="16">
        <f>IFERROR(__xludf.DUMMYFUNCTION("""COMPUTED_VALUE"""),4.0)</f>
        <v>4</v>
      </c>
      <c r="DG65" s="16"/>
      <c r="DH65" s="16">
        <f>IFERROR(__xludf.DUMMYFUNCTION("""COMPUTED_VALUE"""),4.0)</f>
        <v>4</v>
      </c>
      <c r="DI65" s="16"/>
      <c r="DJ65" s="16"/>
      <c r="DK65" s="16"/>
      <c r="DL65" s="16"/>
      <c r="DM65" s="16"/>
      <c r="DN65" s="16">
        <f>IFERROR(__xludf.DUMMYFUNCTION("""COMPUTED_VALUE"""),-3.0)</f>
        <v>-3</v>
      </c>
      <c r="DO65" s="16"/>
      <c r="DP65" s="16">
        <f>IFERROR(__xludf.DUMMYFUNCTION("""COMPUTED_VALUE"""),-3.0)</f>
        <v>-3</v>
      </c>
      <c r="DQ65" s="16"/>
      <c r="DR65" s="16"/>
      <c r="DS65" s="16"/>
      <c r="DT65" s="16"/>
      <c r="DU65" s="16"/>
      <c r="DV65" s="16">
        <f>IFERROR(__xludf.DUMMYFUNCTION("""COMPUTED_VALUE"""),2.0)</f>
        <v>2</v>
      </c>
      <c r="DW65" s="16"/>
      <c r="DX65" s="16">
        <f>IFERROR(__xludf.DUMMYFUNCTION("""COMPUTED_VALUE"""),2.0)</f>
        <v>2</v>
      </c>
      <c r="DY65" s="16"/>
      <c r="DZ65" s="16"/>
      <c r="EA65" s="16"/>
      <c r="EB65" s="16"/>
      <c r="EC65" s="16"/>
      <c r="ED65" s="16">
        <f>IFERROR(__xludf.DUMMYFUNCTION("""COMPUTED_VALUE"""),-1.0)</f>
        <v>-1</v>
      </c>
      <c r="EE65" s="16"/>
      <c r="EF65" s="16">
        <f>IFERROR(__xludf.DUMMYFUNCTION("""COMPUTED_VALUE"""),-1.0)</f>
        <v>-1</v>
      </c>
      <c r="EG65" s="179"/>
      <c r="EH65" s="179"/>
      <c r="EI65" s="179"/>
      <c r="EJ65" s="179"/>
      <c r="EK65" s="179"/>
      <c r="EL65" s="179">
        <f>IFERROR(__xludf.DUMMYFUNCTION("""COMPUTED_VALUE"""),17.0)</f>
        <v>17</v>
      </c>
      <c r="EM65" s="179"/>
      <c r="EN65" s="179">
        <f>IFERROR(__xludf.DUMMYFUNCTION("""COMPUTED_VALUE"""),17.0)</f>
        <v>17</v>
      </c>
      <c r="EO65" s="16"/>
      <c r="EP65" s="16"/>
      <c r="EQ65" s="16">
        <f>IFERROR(__xludf.DUMMYFUNCTION("""COMPUTED_VALUE"""),4.0)</f>
        <v>4</v>
      </c>
      <c r="ER65" s="16">
        <f>IFERROR(__xludf.DUMMYFUNCTION("""COMPUTED_VALUE"""),2.0)</f>
        <v>2</v>
      </c>
      <c r="ES65" s="16"/>
      <c r="ET65" s="16"/>
      <c r="EU65" s="16"/>
      <c r="EV65" s="16"/>
      <c r="EW65" s="16"/>
      <c r="EX65" s="180"/>
      <c r="EY65" s="180"/>
      <c r="EZ65" s="180"/>
      <c r="FA65" s="180"/>
      <c r="FB65" s="180"/>
      <c r="FC65" s="180">
        <f>IFERROR(__xludf.DUMMYFUNCTION("""COMPUTED_VALUE"""),0.75)</f>
        <v>0.75</v>
      </c>
      <c r="FD65" s="180"/>
      <c r="FE65" s="180">
        <f>IFERROR(__xludf.DUMMYFUNCTION("""COMPUTED_VALUE"""),0.75)</f>
        <v>0.75</v>
      </c>
      <c r="FF65" s="180"/>
      <c r="FG65" s="180"/>
      <c r="FH65" s="180"/>
      <c r="FI65" s="180"/>
      <c r="FJ65" s="180"/>
      <c r="FK65" s="180">
        <f>IFERROR(__xludf.DUMMYFUNCTION("""COMPUTED_VALUE"""),0.069)</f>
        <v>0.069</v>
      </c>
      <c r="FL65" s="180"/>
      <c r="FM65" s="180">
        <f>IFERROR(__xludf.DUMMYFUNCTION("""COMPUTED_VALUE"""),0.069)</f>
        <v>0.069</v>
      </c>
      <c r="FN65" s="16"/>
      <c r="FO65" s="16"/>
      <c r="FP65" s="16"/>
      <c r="FQ65" s="16"/>
      <c r="FR65" s="16"/>
      <c r="FS65" s="16">
        <f>IFERROR(__xludf.DUMMYFUNCTION("""COMPUTED_VALUE"""),0.23275)</f>
        <v>0.23275</v>
      </c>
      <c r="FT65" s="16"/>
      <c r="FU65" s="16">
        <f>IFERROR(__xludf.DUMMYFUNCTION("""COMPUTED_VALUE"""),0.23275)</f>
        <v>0.23275</v>
      </c>
      <c r="FV65" s="16"/>
      <c r="FW65" s="16"/>
      <c r="FX65" s="16"/>
      <c r="FY65" s="16"/>
      <c r="FZ65" s="16"/>
      <c r="GA65" s="16">
        <f>IFERROR(__xludf.DUMMYFUNCTION("""COMPUTED_VALUE"""),-8.0)</f>
        <v>-8</v>
      </c>
      <c r="GB65" s="16"/>
      <c r="GC65" s="16">
        <f>IFERROR(__xludf.DUMMYFUNCTION("""COMPUTED_VALUE"""),-8.0)</f>
        <v>-8</v>
      </c>
      <c r="GD65" s="16" t="s">
        <v>292</v>
      </c>
    </row>
    <row r="66">
      <c r="A66" s="16">
        <f>IFERROR(__xludf.DUMMYFUNCTION("""COMPUTED_VALUE"""),13390.0)</f>
        <v>13390</v>
      </c>
      <c r="B66" s="16" t="str">
        <f>IFERROR(__xludf.DUMMYFUNCTION("""COMPUTED_VALUE"""),"Steven Kwan")</f>
        <v>Steven Kwan</v>
      </c>
      <c r="C66" s="16">
        <f>IFERROR(__xludf.DUMMYFUNCTION("""COMPUTED_VALUE"""),2.15)</f>
        <v>2.15</v>
      </c>
      <c r="D66" s="16" t="str">
        <f>IFERROR(__xludf.DUMMYFUNCTION("""COMPUTED_VALUE"""),"L")</f>
        <v>L</v>
      </c>
      <c r="E66" s="16"/>
      <c r="F66" s="16"/>
      <c r="G66" s="16">
        <f>IFERROR(__xludf.DUMMYFUNCTION("""COMPUTED_VALUE"""),480.0)</f>
        <v>480</v>
      </c>
      <c r="H66" s="16">
        <f>IFERROR(__xludf.DUMMYFUNCTION("""COMPUTED_VALUE"""),53.0)</f>
        <v>53</v>
      </c>
      <c r="I66" s="16" t="str">
        <f>IFERROR(__xludf.DUMMYFUNCTION("""COMPUTED_VALUE"""),"3p60")</f>
        <v>3p60</v>
      </c>
      <c r="J66" s="16">
        <f>IFERROR(__xludf.DUMMYFUNCTION("""COMPUTED_VALUE"""),0.0)</f>
        <v>0</v>
      </c>
      <c r="K66" s="16">
        <f>IFERROR(__xludf.DUMMYFUNCTION("""COMPUTED_VALUE"""),0.0)</f>
        <v>0</v>
      </c>
      <c r="L66" s="16">
        <f>IFERROR(__xludf.DUMMYFUNCTION("""COMPUTED_VALUE"""),3.0)</f>
        <v>3</v>
      </c>
      <c r="M66" s="16">
        <f>IFERROR(__xludf.DUMMYFUNCTION("""COMPUTED_VALUE"""),3.0)</f>
        <v>3</v>
      </c>
      <c r="N66" s="16">
        <f>IFERROR(__xludf.DUMMYFUNCTION("""COMPUTED_VALUE"""),3.0)</f>
        <v>3</v>
      </c>
      <c r="O66" s="16">
        <f>IFERROR(__xludf.DUMMYFUNCTION("""COMPUTED_VALUE"""),3.0)</f>
        <v>3</v>
      </c>
      <c r="P66" s="16">
        <f>IFERROR(__xludf.DUMMYFUNCTION("""COMPUTED_VALUE"""),14.0)</f>
        <v>14</v>
      </c>
      <c r="Q66" s="16">
        <f>IFERROR(__xludf.DUMMYFUNCTION("""COMPUTED_VALUE"""),11.0)</f>
        <v>11</v>
      </c>
      <c r="R66" s="16">
        <f>IFERROR(__xludf.DUMMYFUNCTION("""COMPUTED_VALUE"""),2.0)</f>
        <v>2</v>
      </c>
      <c r="S66" s="16">
        <f>IFERROR(__xludf.DUMMYFUNCTION("""COMPUTED_VALUE"""),1.0)</f>
        <v>1</v>
      </c>
      <c r="T66" s="16">
        <f>IFERROR(__xludf.DUMMYFUNCTION("""COMPUTED_VALUE"""),2.0)</f>
        <v>2</v>
      </c>
      <c r="U66" s="16">
        <f>IFERROR(__xludf.DUMMYFUNCTION("""COMPUTED_VALUE"""),1.0)</f>
        <v>1</v>
      </c>
      <c r="V66" s="16">
        <f>IFERROR(__xludf.DUMMYFUNCTION("""COMPUTED_VALUE"""),33.2)</f>
        <v>33.2</v>
      </c>
      <c r="W66" s="16">
        <f>IFERROR(__xludf.DUMMYFUNCTION("""COMPUTED_VALUE"""),27.5)</f>
        <v>27.5</v>
      </c>
      <c r="X66" s="16">
        <f>IFERROR(__xludf.DUMMYFUNCTION("""COMPUTED_VALUE"""),2.0)</f>
        <v>2</v>
      </c>
      <c r="Y66" s="16">
        <f>IFERROR(__xludf.DUMMYFUNCTION("""COMPUTED_VALUE"""),2.0)</f>
        <v>2</v>
      </c>
      <c r="Z66" s="16">
        <f>IFERROR(__xludf.DUMMYFUNCTION("""COMPUTED_VALUE"""),4.0)</f>
        <v>4</v>
      </c>
      <c r="AA66" s="16">
        <f>IFERROR(__xludf.DUMMYFUNCTION("""COMPUTED_VALUE"""),4.0)</f>
        <v>4</v>
      </c>
      <c r="AB66" s="16">
        <f>IFERROR(__xludf.DUMMYFUNCTION("""COMPUTED_VALUE"""),49.2)</f>
        <v>49.2</v>
      </c>
      <c r="AC66" s="16">
        <f>IFERROR(__xludf.DUMMYFUNCTION("""COMPUTED_VALUE"""),40.5)</f>
        <v>40.5</v>
      </c>
      <c r="AD66" s="16">
        <f>IFERROR(__xludf.DUMMYFUNCTION("""COMPUTED_VALUE"""),2.0)</f>
        <v>2</v>
      </c>
      <c r="AE66" s="16">
        <f>IFERROR(__xludf.DUMMYFUNCTION("""COMPUTED_VALUE"""),1.0)</f>
        <v>1</v>
      </c>
      <c r="AF66" s="16">
        <f>IFERROR(__xludf.DUMMYFUNCTION("""COMPUTED_VALUE"""),10.0)</f>
        <v>10</v>
      </c>
      <c r="AG66" s="16">
        <f>IFERROR(__xludf.DUMMYFUNCTION("""COMPUTED_VALUE"""),5.0)</f>
        <v>5</v>
      </c>
      <c r="AH66" s="16">
        <f>IFERROR(__xludf.DUMMYFUNCTION("""COMPUTED_VALUE"""),40.0)</f>
        <v>40</v>
      </c>
      <c r="AI66" s="16">
        <f>IFERROR(__xludf.DUMMYFUNCTION("""COMPUTED_VALUE"""),35.8)</f>
        <v>35.8</v>
      </c>
      <c r="AJ66" s="16">
        <f>IFERROR(__xludf.DUMMYFUNCTION("""COMPUTED_VALUE"""),1.0)</f>
        <v>1</v>
      </c>
      <c r="AK66" s="16">
        <f>IFERROR(__xludf.DUMMYFUNCTION("""COMPUTED_VALUE"""),0.0)</f>
        <v>0</v>
      </c>
      <c r="AL66" s="16">
        <f>IFERROR(__xludf.DUMMYFUNCTION("""COMPUTED_VALUE"""),5.0)</f>
        <v>5</v>
      </c>
      <c r="AM66" s="16">
        <f>IFERROR(__xludf.DUMMYFUNCTION("""COMPUTED_VALUE"""),0.0)</f>
        <v>0</v>
      </c>
      <c r="AN66" s="16">
        <f>IFERROR(__xludf.DUMMYFUNCTION("""COMPUTED_VALUE"""),2.3)</f>
        <v>2.3</v>
      </c>
      <c r="AO66" s="16">
        <f>IFERROR(__xludf.DUMMYFUNCTION("""COMPUTED_VALUE"""),1.2)</f>
        <v>1.2</v>
      </c>
      <c r="AP66" s="16">
        <f>IFERROR(__xludf.DUMMYFUNCTION("""COMPUTED_VALUE"""),0.0)</f>
        <v>0</v>
      </c>
      <c r="AQ66" s="16">
        <f>IFERROR(__xludf.DUMMYFUNCTION("""COMPUTED_VALUE"""),-2.0)</f>
        <v>-2</v>
      </c>
      <c r="AR66" s="16">
        <f>IFERROR(__xludf.DUMMYFUNCTION("""COMPUTED_VALUE"""),0.0)</f>
        <v>0</v>
      </c>
      <c r="AS66" s="16">
        <f>IFERROR(__xludf.DUMMYFUNCTION("""COMPUTED_VALUE"""),-4.0)</f>
        <v>-4</v>
      </c>
      <c r="AT66" s="16">
        <f>IFERROR(__xludf.DUMMYFUNCTION("""COMPUTED_VALUE"""),4.0)</f>
        <v>4</v>
      </c>
      <c r="AU66" s="16">
        <f>IFERROR(__xludf.DUMMYFUNCTION("""COMPUTED_VALUE"""),1.0)</f>
        <v>1</v>
      </c>
      <c r="AV66" s="16">
        <f>IFERROR(__xludf.DUMMYFUNCTION("""COMPUTED_VALUE"""),4.0)</f>
        <v>4</v>
      </c>
      <c r="AW66" s="16">
        <f>IFERROR(__xludf.DUMMYFUNCTION("""COMPUTED_VALUE"""),1.0)</f>
        <v>1</v>
      </c>
      <c r="AX66" s="16">
        <f>IFERROR(__xludf.DUMMYFUNCTION("""COMPUTED_VALUE"""),2.0)</f>
        <v>2</v>
      </c>
      <c r="AY66" s="16">
        <f>IFERROR(__xludf.DUMMYFUNCTION("""COMPUTED_VALUE"""),-1.0)</f>
        <v>-1</v>
      </c>
      <c r="AZ66" s="16">
        <f>IFERROR(__xludf.DUMMYFUNCTION("""COMPUTED_VALUE"""),6.0)</f>
        <v>6</v>
      </c>
      <c r="BA66" s="16">
        <f>IFERROR(__xludf.DUMMYFUNCTION("""COMPUTED_VALUE"""),-3.0)</f>
        <v>-3</v>
      </c>
      <c r="BB66" s="16">
        <f>IFERROR(__xludf.DUMMYFUNCTION("""COMPUTED_VALUE"""),5.0)</f>
        <v>5</v>
      </c>
      <c r="BC66" s="16">
        <f>IFERROR(__xludf.DUMMYFUNCTION("""COMPUTED_VALUE"""),5.0)</f>
        <v>5</v>
      </c>
      <c r="BD66" s="16">
        <f>IFERROR(__xludf.DUMMYFUNCTION("""COMPUTED_VALUE"""),1.0)</f>
        <v>1</v>
      </c>
      <c r="BE66" s="16">
        <f>IFERROR(__xludf.DUMMYFUNCTION("""COMPUTED_VALUE"""),1.0)</f>
        <v>1</v>
      </c>
      <c r="BF66" s="16">
        <f>IFERROR(__xludf.DUMMYFUNCTION("""COMPUTED_VALUE"""),1.0)</f>
        <v>1</v>
      </c>
      <c r="BG66" s="16">
        <f>IFERROR(__xludf.DUMMYFUNCTION("""COMPUTED_VALUE"""),1.0)</f>
        <v>1</v>
      </c>
      <c r="BH66" s="16">
        <f>IFERROR(__xludf.DUMMYFUNCTION("""COMPUTED_VALUE"""),-8.0)</f>
        <v>-8</v>
      </c>
      <c r="BI66" s="16">
        <f>IFERROR(__xludf.DUMMYFUNCTION("""COMPUTED_VALUE"""),-8.0)</f>
        <v>-8</v>
      </c>
      <c r="BJ66" s="16">
        <f>IFERROR(__xludf.DUMMYFUNCTION("""COMPUTED_VALUE"""),4.0)</f>
        <v>4</v>
      </c>
      <c r="BK66" s="16">
        <f>IFERROR(__xludf.DUMMYFUNCTION("""COMPUTED_VALUE"""),4.0)</f>
        <v>4</v>
      </c>
      <c r="BL66" s="16">
        <f>IFERROR(__xludf.DUMMYFUNCTION("""COMPUTED_VALUE"""),1.0)</f>
        <v>1</v>
      </c>
      <c r="BM66" s="16">
        <f>IFERROR(__xludf.DUMMYFUNCTION("""COMPUTED_VALUE"""),1.0)</f>
        <v>1</v>
      </c>
      <c r="BN66" s="16">
        <f>IFERROR(__xludf.DUMMYFUNCTION("""COMPUTED_VALUE"""),1.0)</f>
        <v>1</v>
      </c>
      <c r="BO66" s="16">
        <f>IFERROR(__xludf.DUMMYFUNCTION("""COMPUTED_VALUE"""),1.0)</f>
        <v>1</v>
      </c>
      <c r="BP66" s="16">
        <f>IFERROR(__xludf.DUMMYFUNCTION("""COMPUTED_VALUE"""),14.0)</f>
        <v>14</v>
      </c>
      <c r="BQ66" s="16">
        <f>IFERROR(__xludf.DUMMYFUNCTION("""COMPUTED_VALUE"""),6.0)</f>
        <v>6</v>
      </c>
      <c r="BR66" s="16">
        <f>IFERROR(__xludf.DUMMYFUNCTION("""COMPUTED_VALUE"""),20.0)</f>
        <v>20</v>
      </c>
      <c r="BS66" s="16" t="str">
        <f>IFERROR(__xludf.DUMMYFUNCTION("""COMPUTED_VALUE"""),"*4,6/- (16-11)")</f>
        <v>*4,6/- (16-11)</v>
      </c>
      <c r="BT66" s="16" t="str">
        <f>IFERROR(__xludf.DUMMYFUNCTION("""COMPUTED_VALUE"""),"B")</f>
        <v>B</v>
      </c>
      <c r="BU66" s="16">
        <f>IFERROR(__xludf.DUMMYFUNCTION("""COMPUTED_VALUE"""),14.0)</f>
        <v>14</v>
      </c>
      <c r="BV66" s="16">
        <f>IFERROR(__xludf.DUMMYFUNCTION("""COMPUTED_VALUE"""),1.0)</f>
        <v>1</v>
      </c>
      <c r="BW66" s="16">
        <f>IFERROR(__xludf.DUMMYFUNCTION("""COMPUTED_VALUE"""),1.0)</f>
        <v>1</v>
      </c>
      <c r="BX66" s="16">
        <f>IFERROR(__xludf.DUMMYFUNCTION("""COMPUTED_VALUE"""),2.0)</f>
        <v>2</v>
      </c>
      <c r="BY66" s="16">
        <f>IFERROR(__xludf.DUMMYFUNCTION("""COMPUTED_VALUE"""),3.0)</f>
        <v>3</v>
      </c>
      <c r="BZ66" s="16" t="str">
        <f>IFERROR(__xludf.DUMMYFUNCTION("""COMPUTED_VALUE"""),"B")</f>
        <v>B</v>
      </c>
      <c r="CA66" s="16" t="str">
        <f>IFERROR(__xludf.DUMMYFUNCTION("""COMPUTED_VALUE"""),"C")</f>
        <v>C</v>
      </c>
      <c r="CB66" s="16">
        <f>IFERROR(__xludf.DUMMYFUNCTION("""COMPUTED_VALUE"""),1.0)</f>
        <v>1</v>
      </c>
      <c r="CC66" s="16">
        <f>IFERROR(__xludf.DUMMYFUNCTION("""COMPUTED_VALUE"""),0.0)</f>
        <v>0</v>
      </c>
      <c r="CD66" s="16">
        <f>IFERROR(__xludf.DUMMYFUNCTION("""COMPUTED_VALUE"""),1.0)</f>
        <v>1</v>
      </c>
      <c r="CE66" s="16">
        <f>IFERROR(__xludf.DUMMYFUNCTION("""COMPUTED_VALUE"""),0.0)</f>
        <v>0</v>
      </c>
      <c r="CF66" s="16">
        <f>IFERROR(__xludf.DUMMYFUNCTION("""COMPUTED_VALUE"""),3.0)</f>
        <v>3</v>
      </c>
      <c r="CG66" s="16">
        <f>IFERROR(__xludf.DUMMYFUNCTION("""COMPUTED_VALUE"""),32.0)</f>
        <v>32</v>
      </c>
      <c r="CH66" s="16">
        <f>IFERROR(__xludf.DUMMYFUNCTION("""COMPUTED_VALUE"""),8.0)</f>
        <v>8</v>
      </c>
      <c r="CI66" s="179">
        <f>IFERROR(__xludf.DUMMYFUNCTION("""COMPUTED_VALUE"""),18.0)</f>
        <v>18</v>
      </c>
      <c r="CJ66" s="16"/>
      <c r="CK66" s="16"/>
      <c r="CL66" s="16"/>
      <c r="CM66" s="16"/>
      <c r="CN66" s="16"/>
      <c r="CO66" s="16">
        <f>IFERROR(__xludf.DUMMYFUNCTION("""COMPUTED_VALUE"""),101.0)</f>
        <v>101</v>
      </c>
      <c r="CP66" s="16"/>
      <c r="CQ66" s="16"/>
      <c r="CR66" s="16" t="str">
        <f>IFERROR(__xludf.DUMMYFUNCTION("""COMPUTED_VALUE"""),"lf-1(-3)e1")</f>
        <v>lf-1(-3)e1</v>
      </c>
      <c r="CS66" s="16"/>
      <c r="CT66" s="16"/>
      <c r="CU66" s="16"/>
      <c r="CV66" s="16"/>
      <c r="CW66" s="16"/>
      <c r="CX66" s="16">
        <f>IFERROR(__xludf.DUMMYFUNCTION("""COMPUTED_VALUE"""),1.0)</f>
        <v>1</v>
      </c>
      <c r="CY66" s="16"/>
      <c r="CZ66" s="16"/>
      <c r="DA66" s="16"/>
      <c r="DB66" s="16"/>
      <c r="DC66" s="16"/>
      <c r="DD66" s="16"/>
      <c r="DE66" s="16"/>
      <c r="DF66" s="16">
        <f>IFERROR(__xludf.DUMMYFUNCTION("""COMPUTED_VALUE"""),1.0)</f>
        <v>1</v>
      </c>
      <c r="DG66" s="16"/>
      <c r="DH66" s="16"/>
      <c r="DI66" s="16"/>
      <c r="DJ66" s="16"/>
      <c r="DK66" s="16"/>
      <c r="DL66" s="16"/>
      <c r="DM66" s="16"/>
      <c r="DN66" s="16">
        <f>IFERROR(__xludf.DUMMYFUNCTION("""COMPUTED_VALUE"""),4.0)</f>
        <v>4</v>
      </c>
      <c r="DO66" s="16"/>
      <c r="DP66" s="16"/>
      <c r="DQ66" s="16"/>
      <c r="DR66" s="16"/>
      <c r="DS66" s="16"/>
      <c r="DT66" s="16"/>
      <c r="DU66" s="16"/>
      <c r="DV66" s="16">
        <f>IFERROR(__xludf.DUMMYFUNCTION("""COMPUTED_VALUE"""),4.0)</f>
        <v>4</v>
      </c>
      <c r="DW66" s="16"/>
      <c r="DX66" s="16"/>
      <c r="DY66" s="16"/>
      <c r="DZ66" s="16"/>
      <c r="EA66" s="16"/>
      <c r="EB66" s="16"/>
      <c r="EC66" s="16"/>
      <c r="ED66" s="16">
        <f>IFERROR(__xludf.DUMMYFUNCTION("""COMPUTED_VALUE"""),8.0)</f>
        <v>8</v>
      </c>
      <c r="EE66" s="16"/>
      <c r="EF66" s="16"/>
      <c r="EG66" s="179"/>
      <c r="EH66" s="179"/>
      <c r="EI66" s="179"/>
      <c r="EJ66" s="179"/>
      <c r="EK66" s="179"/>
      <c r="EL66" s="179">
        <f>IFERROR(__xludf.DUMMYFUNCTION("""COMPUTED_VALUE"""),26.0)</f>
        <v>26</v>
      </c>
      <c r="EM66" s="179"/>
      <c r="EN66" s="179"/>
      <c r="EO66" s="16"/>
      <c r="EP66" s="16"/>
      <c r="EQ66" s="16">
        <f>IFERROR(__xludf.DUMMYFUNCTION("""COMPUTED_VALUE"""),1.0)</f>
        <v>1</v>
      </c>
      <c r="ER66" s="16">
        <f>IFERROR(__xludf.DUMMYFUNCTION("""COMPUTED_VALUE"""),1.0)</f>
        <v>1</v>
      </c>
      <c r="ES66" s="16"/>
      <c r="ET66" s="16"/>
      <c r="EU66" s="16"/>
      <c r="EV66" s="16"/>
      <c r="EW66" s="16"/>
      <c r="EX66" s="180"/>
      <c r="EY66" s="180"/>
      <c r="EZ66" s="180"/>
      <c r="FA66" s="180"/>
      <c r="FB66" s="180"/>
      <c r="FC66" s="180">
        <f>IFERROR(__xludf.DUMMYFUNCTION("""COMPUTED_VALUE"""),0.0)</f>
        <v>0</v>
      </c>
      <c r="FD66" s="180"/>
      <c r="FE66" s="180"/>
      <c r="FF66" s="180"/>
      <c r="FG66" s="180"/>
      <c r="FH66" s="180"/>
      <c r="FI66" s="180"/>
      <c r="FJ66" s="180"/>
      <c r="FK66" s="180">
        <f>IFERROR(__xludf.DUMMYFUNCTION("""COMPUTED_VALUE"""),0.019)</f>
        <v>0.019</v>
      </c>
      <c r="FL66" s="180"/>
      <c r="FM66" s="180"/>
      <c r="FN66" s="16"/>
      <c r="FO66" s="16"/>
      <c r="FP66" s="16"/>
      <c r="FQ66" s="16"/>
      <c r="FR66" s="16"/>
      <c r="FS66" s="16">
        <f>IFERROR(__xludf.DUMMYFUNCTION("""COMPUTED_VALUE"""),0.981)</f>
        <v>0.981</v>
      </c>
      <c r="FT66" s="16"/>
      <c r="FU66" s="16"/>
      <c r="FV66" s="16"/>
      <c r="FW66" s="16"/>
      <c r="FX66" s="16"/>
      <c r="FY66" s="16"/>
      <c r="FZ66" s="16"/>
      <c r="GA66" s="16">
        <f>IFERROR(__xludf.DUMMYFUNCTION("""COMPUTED_VALUE"""),8.0)</f>
        <v>8</v>
      </c>
      <c r="GB66" s="16"/>
      <c r="GC66" s="16"/>
      <c r="GD66" s="16" t="s">
        <v>232</v>
      </c>
    </row>
    <row r="67">
      <c r="A67" s="16">
        <f>IFERROR(__xludf.DUMMYFUNCTION("""COMPUTED_VALUE"""),13036.0)</f>
        <v>13036</v>
      </c>
      <c r="B67" s="16" t="str">
        <f>IFERROR(__xludf.DUMMYFUNCTION("""COMPUTED_VALUE"""),"Josh Naylor")</f>
        <v>Josh Naylor</v>
      </c>
      <c r="C67" s="16">
        <f>IFERROR(__xludf.DUMMYFUNCTION("""COMPUTED_VALUE"""),0.69)</f>
        <v>0.69</v>
      </c>
      <c r="D67" s="16" t="str">
        <f>IFERROR(__xludf.DUMMYFUNCTION("""COMPUTED_VALUE"""),"L")</f>
        <v>L</v>
      </c>
      <c r="E67" s="16"/>
      <c r="F67" s="16"/>
      <c r="G67" s="16">
        <f>IFERROR(__xludf.DUMMYFUNCTION("""COMPUTED_VALUE"""),563.0)</f>
        <v>563</v>
      </c>
      <c r="H67" s="16">
        <f>IFERROR(__xludf.DUMMYFUNCTION("""COMPUTED_VALUE"""),58.0)</f>
        <v>58</v>
      </c>
      <c r="I67" s="16" t="str">
        <f>IFERROR(__xludf.DUMMYFUNCTION("""COMPUTED_VALUE"""),"1p70")</f>
        <v>1p70</v>
      </c>
      <c r="J67" s="16">
        <f>IFERROR(__xludf.DUMMYFUNCTION("""COMPUTED_VALUE"""),16.0)</f>
        <v>16</v>
      </c>
      <c r="K67" s="16">
        <f>IFERROR(__xludf.DUMMYFUNCTION("""COMPUTED_VALUE"""),10.0)</f>
        <v>10</v>
      </c>
      <c r="L67" s="16">
        <f>IFERROR(__xludf.DUMMYFUNCTION("""COMPUTED_VALUE"""),1.0)</f>
        <v>1</v>
      </c>
      <c r="M67" s="16">
        <f>IFERROR(__xludf.DUMMYFUNCTION("""COMPUTED_VALUE"""),2.0)</f>
        <v>2</v>
      </c>
      <c r="N67" s="16">
        <f>IFERROR(__xludf.DUMMYFUNCTION("""COMPUTED_VALUE"""),1.0)</f>
        <v>1</v>
      </c>
      <c r="O67" s="16">
        <f>IFERROR(__xludf.DUMMYFUNCTION("""COMPUTED_VALUE"""),2.0)</f>
        <v>2</v>
      </c>
      <c r="P67" s="16">
        <f>IFERROR(__xludf.DUMMYFUNCTION("""COMPUTED_VALUE"""),10.0)</f>
        <v>10</v>
      </c>
      <c r="Q67" s="16">
        <f>IFERROR(__xludf.DUMMYFUNCTION("""COMPUTED_VALUE"""),8.0)</f>
        <v>8</v>
      </c>
      <c r="R67" s="16">
        <f>IFERROR(__xludf.DUMMYFUNCTION("""COMPUTED_VALUE"""),1.0)</f>
        <v>1</v>
      </c>
      <c r="S67" s="16">
        <f>IFERROR(__xludf.DUMMYFUNCTION("""COMPUTED_VALUE"""),0.0)</f>
        <v>0</v>
      </c>
      <c r="T67" s="16">
        <f>IFERROR(__xludf.DUMMYFUNCTION("""COMPUTED_VALUE"""),1.0)</f>
        <v>1</v>
      </c>
      <c r="U67" s="16">
        <f>IFERROR(__xludf.DUMMYFUNCTION("""COMPUTED_VALUE"""),0.0)</f>
        <v>0</v>
      </c>
      <c r="V67" s="16">
        <f>IFERROR(__xludf.DUMMYFUNCTION("""COMPUTED_VALUE"""),15.0)</f>
        <v>15</v>
      </c>
      <c r="W67" s="16">
        <f>IFERROR(__xludf.DUMMYFUNCTION("""COMPUTED_VALUE"""),17.8)</f>
        <v>17.8</v>
      </c>
      <c r="X67" s="16">
        <f>IFERROR(__xludf.DUMMYFUNCTION("""COMPUTED_VALUE"""),-1.0)</f>
        <v>-1</v>
      </c>
      <c r="Y67" s="16">
        <f>IFERROR(__xludf.DUMMYFUNCTION("""COMPUTED_VALUE"""),0.0)</f>
        <v>0</v>
      </c>
      <c r="Z67" s="16">
        <f>IFERROR(__xludf.DUMMYFUNCTION("""COMPUTED_VALUE"""),-2.0)</f>
        <v>-2</v>
      </c>
      <c r="AA67" s="16">
        <f>IFERROR(__xludf.DUMMYFUNCTION("""COMPUTED_VALUE"""),0.0)</f>
        <v>0</v>
      </c>
      <c r="AB67" s="16">
        <f>IFERROR(__xludf.DUMMYFUNCTION("""COMPUTED_VALUE"""),28.0)</f>
        <v>28</v>
      </c>
      <c r="AC67" s="16">
        <f>IFERROR(__xludf.DUMMYFUNCTION("""COMPUTED_VALUE"""),28.8)</f>
        <v>28.8</v>
      </c>
      <c r="AD67" s="16">
        <f>IFERROR(__xludf.DUMMYFUNCTION("""COMPUTED_VALUE"""),0.0)</f>
        <v>0</v>
      </c>
      <c r="AE67" s="16">
        <f>IFERROR(__xludf.DUMMYFUNCTION("""COMPUTED_VALUE"""),0.0)</f>
        <v>0</v>
      </c>
      <c r="AF67" s="16">
        <f>IFERROR(__xludf.DUMMYFUNCTION("""COMPUTED_VALUE"""),0.0)</f>
        <v>0</v>
      </c>
      <c r="AG67" s="16">
        <f>IFERROR(__xludf.DUMMYFUNCTION("""COMPUTED_VALUE"""),0.0)</f>
        <v>0</v>
      </c>
      <c r="AH67" s="16">
        <f>IFERROR(__xludf.DUMMYFUNCTION("""COMPUTED_VALUE"""),33.2)</f>
        <v>33.2</v>
      </c>
      <c r="AI67" s="16">
        <f>IFERROR(__xludf.DUMMYFUNCTION("""COMPUTED_VALUE"""),33.0)</f>
        <v>33</v>
      </c>
      <c r="AJ67" s="16">
        <f>IFERROR(__xludf.DUMMYFUNCTION("""COMPUTED_VALUE"""),0.0)</f>
        <v>0</v>
      </c>
      <c r="AK67" s="16">
        <f>IFERROR(__xludf.DUMMYFUNCTION("""COMPUTED_VALUE"""),0.0)</f>
        <v>0</v>
      </c>
      <c r="AL67" s="16">
        <f>IFERROR(__xludf.DUMMYFUNCTION("""COMPUTED_VALUE"""),0.0)</f>
        <v>0</v>
      </c>
      <c r="AM67" s="16">
        <f>IFERROR(__xludf.DUMMYFUNCTION("""COMPUTED_VALUE"""),0.0)</f>
        <v>0</v>
      </c>
      <c r="AN67" s="16">
        <f>IFERROR(__xludf.DUMMYFUNCTION("""COMPUTED_VALUE"""),3.0)</f>
        <v>3</v>
      </c>
      <c r="AO67" s="16">
        <f>IFERROR(__xludf.DUMMYFUNCTION("""COMPUTED_VALUE"""),4.3)</f>
        <v>4.3</v>
      </c>
      <c r="AP67" s="16">
        <f>IFERROR(__xludf.DUMMYFUNCTION("""COMPUTED_VALUE"""),1.0)</f>
        <v>1</v>
      </c>
      <c r="AQ67" s="16">
        <f>IFERROR(__xludf.DUMMYFUNCTION("""COMPUTED_VALUE"""),2.0)</f>
        <v>2</v>
      </c>
      <c r="AR67" s="16">
        <f>IFERROR(__xludf.DUMMYFUNCTION("""COMPUTED_VALUE"""),2.0)</f>
        <v>2</v>
      </c>
      <c r="AS67" s="16">
        <f>IFERROR(__xludf.DUMMYFUNCTION("""COMPUTED_VALUE"""),4.0)</f>
        <v>4</v>
      </c>
      <c r="AT67" s="16">
        <f>IFERROR(__xludf.DUMMYFUNCTION("""COMPUTED_VALUE"""),4.0)</f>
        <v>4</v>
      </c>
      <c r="AU67" s="16">
        <f>IFERROR(__xludf.DUMMYFUNCTION("""COMPUTED_VALUE"""),8.0)</f>
        <v>8</v>
      </c>
      <c r="AV67" s="16">
        <f>IFERROR(__xludf.DUMMYFUNCTION("""COMPUTED_VALUE"""),4.0)</f>
        <v>4</v>
      </c>
      <c r="AW67" s="16">
        <f>IFERROR(__xludf.DUMMYFUNCTION("""COMPUTED_VALUE"""),8.0)</f>
        <v>8</v>
      </c>
      <c r="AX67" s="16">
        <f>IFERROR(__xludf.DUMMYFUNCTION("""COMPUTED_VALUE"""),2.0)</f>
        <v>2</v>
      </c>
      <c r="AY67" s="16">
        <f>IFERROR(__xludf.DUMMYFUNCTION("""COMPUTED_VALUE"""),3.0)</f>
        <v>3</v>
      </c>
      <c r="AZ67" s="16">
        <f>IFERROR(__xludf.DUMMYFUNCTION("""COMPUTED_VALUE"""),6.0)</f>
        <v>6</v>
      </c>
      <c r="BA67" s="16">
        <f>IFERROR(__xludf.DUMMYFUNCTION("""COMPUTED_VALUE"""),9.0)</f>
        <v>9</v>
      </c>
      <c r="BB67" s="16">
        <f>IFERROR(__xludf.DUMMYFUNCTION("""COMPUTED_VALUE"""),5.0)</f>
        <v>5</v>
      </c>
      <c r="BC67" s="16">
        <f>IFERROR(__xludf.DUMMYFUNCTION("""COMPUTED_VALUE"""),5.0)</f>
        <v>5</v>
      </c>
      <c r="BD67" s="16">
        <f>IFERROR(__xludf.DUMMYFUNCTION("""COMPUTED_VALUE"""),1.0)</f>
        <v>1</v>
      </c>
      <c r="BE67" s="16">
        <f>IFERROR(__xludf.DUMMYFUNCTION("""COMPUTED_VALUE"""),1.0)</f>
        <v>1</v>
      </c>
      <c r="BF67" s="16">
        <f>IFERROR(__xludf.DUMMYFUNCTION("""COMPUTED_VALUE"""),1.0)</f>
        <v>1</v>
      </c>
      <c r="BG67" s="16">
        <f>IFERROR(__xludf.DUMMYFUNCTION("""COMPUTED_VALUE"""),1.0)</f>
        <v>1</v>
      </c>
      <c r="BH67" s="16">
        <f>IFERROR(__xludf.DUMMYFUNCTION("""COMPUTED_VALUE"""),0.0)</f>
        <v>0</v>
      </c>
      <c r="BI67" s="16">
        <f>IFERROR(__xludf.DUMMYFUNCTION("""COMPUTED_VALUE"""),0.0)</f>
        <v>0</v>
      </c>
      <c r="BJ67" s="16">
        <f>IFERROR(__xludf.DUMMYFUNCTION("""COMPUTED_VALUE"""),20.0)</f>
        <v>20</v>
      </c>
      <c r="BK67" s="16">
        <f>IFERROR(__xludf.DUMMYFUNCTION("""COMPUTED_VALUE"""),20.0)</f>
        <v>20</v>
      </c>
      <c r="BL67" s="16">
        <f>IFERROR(__xludf.DUMMYFUNCTION("""COMPUTED_VALUE"""),-2.0)</f>
        <v>-2</v>
      </c>
      <c r="BM67" s="16">
        <f>IFERROR(__xludf.DUMMYFUNCTION("""COMPUTED_VALUE"""),-2.0)</f>
        <v>-2</v>
      </c>
      <c r="BN67" s="16">
        <f>IFERROR(__xludf.DUMMYFUNCTION("""COMPUTED_VALUE"""),-4.0)</f>
        <v>-4</v>
      </c>
      <c r="BO67" s="16">
        <f>IFERROR(__xludf.DUMMYFUNCTION("""COMPUTED_VALUE"""),-4.0)</f>
        <v>-4</v>
      </c>
      <c r="BP67" s="16">
        <f>IFERROR(__xludf.DUMMYFUNCTION("""COMPUTED_VALUE"""),3.0)</f>
        <v>3</v>
      </c>
      <c r="BQ67" s="16">
        <f>IFERROR(__xludf.DUMMYFUNCTION("""COMPUTED_VALUE"""),6.0)</f>
        <v>6</v>
      </c>
      <c r="BR67" s="16">
        <f>IFERROR(__xludf.DUMMYFUNCTION("""COMPUTED_VALUE"""),9.0)</f>
        <v>9</v>
      </c>
      <c r="BS67" s="16" t="str">
        <f>IFERROR(__xludf.DUMMYFUNCTION("""COMPUTED_VALUE"""),"6/- (15-6)")</f>
        <v>6/- (15-6)</v>
      </c>
      <c r="BT67" s="16" t="str">
        <f>IFERROR(__xludf.DUMMYFUNCTION("""COMPUTED_VALUE"""),"C")</f>
        <v>C</v>
      </c>
      <c r="BU67" s="16">
        <f>IFERROR(__xludf.DUMMYFUNCTION("""COMPUTED_VALUE"""),11.0)</f>
        <v>11</v>
      </c>
      <c r="BV67" s="16">
        <f>IFERROR(__xludf.DUMMYFUNCTION("""COMPUTED_VALUE"""),0.0)</f>
        <v>0</v>
      </c>
      <c r="BW67" s="16">
        <f>IFERROR(__xludf.DUMMYFUNCTION("""COMPUTED_VALUE"""),0.0)</f>
        <v>0</v>
      </c>
      <c r="BX67" s="16">
        <f>IFERROR(__xludf.DUMMYFUNCTION("""COMPUTED_VALUE"""),0.0)</f>
        <v>0</v>
      </c>
      <c r="BY67" s="16">
        <f>IFERROR(__xludf.DUMMYFUNCTION("""COMPUTED_VALUE"""),0.0)</f>
        <v>0</v>
      </c>
      <c r="BZ67" s="16" t="str">
        <f>IFERROR(__xludf.DUMMYFUNCTION("""COMPUTED_VALUE"""),"D")</f>
        <v>D</v>
      </c>
      <c r="CA67" s="16" t="str">
        <f>IFERROR(__xludf.DUMMYFUNCTION("""COMPUTED_VALUE"""),"B")</f>
        <v>B</v>
      </c>
      <c r="CB67" s="16">
        <f>IFERROR(__xludf.DUMMYFUNCTION("""COMPUTED_VALUE"""),0.0)</f>
        <v>0</v>
      </c>
      <c r="CC67" s="16">
        <f>IFERROR(__xludf.DUMMYFUNCTION("""COMPUTED_VALUE"""),1.0)</f>
        <v>1</v>
      </c>
      <c r="CD67" s="16">
        <f>IFERROR(__xludf.DUMMYFUNCTION("""COMPUTED_VALUE"""),0.0)</f>
        <v>0</v>
      </c>
      <c r="CE67" s="16">
        <f>IFERROR(__xludf.DUMMYFUNCTION("""COMPUTED_VALUE"""),2.0)</f>
        <v>2</v>
      </c>
      <c r="CF67" s="16">
        <f>IFERROR(__xludf.DUMMYFUNCTION("""COMPUTED_VALUE"""),1.0)</f>
        <v>1</v>
      </c>
      <c r="CG67" s="16">
        <f>IFERROR(__xludf.DUMMYFUNCTION("""COMPUTED_VALUE"""),5.0)</f>
        <v>5</v>
      </c>
      <c r="CH67" s="16">
        <f>IFERROR(__xludf.DUMMYFUNCTION("""COMPUTED_VALUE"""),12.0)</f>
        <v>12</v>
      </c>
      <c r="CI67" s="179">
        <f>IFERROR(__xludf.DUMMYFUNCTION("""COMPUTED_VALUE"""),18.0)</f>
        <v>18</v>
      </c>
      <c r="CJ67" s="16"/>
      <c r="CK67" s="16">
        <f>IFERROR(__xludf.DUMMYFUNCTION("""COMPUTED_VALUE"""),311.0)</f>
        <v>311</v>
      </c>
      <c r="CL67" s="16"/>
      <c r="CM67" s="16"/>
      <c r="CN67" s="16"/>
      <c r="CO67" s="16"/>
      <c r="CP67" s="16"/>
      <c r="CQ67" s="16"/>
      <c r="CR67" s="16" t="str">
        <f>IFERROR(__xludf.DUMMYFUNCTION("""COMPUTED_VALUE"""),"1b-3e11")</f>
        <v>1b-3e11</v>
      </c>
      <c r="CS67" s="16"/>
      <c r="CT67" s="16">
        <f>IFERROR(__xludf.DUMMYFUNCTION("""COMPUTED_VALUE"""),3.0)</f>
        <v>3</v>
      </c>
      <c r="CU67" s="16"/>
      <c r="CV67" s="16"/>
      <c r="CW67" s="16"/>
      <c r="CX67" s="16"/>
      <c r="CY67" s="16"/>
      <c r="CZ67" s="16"/>
      <c r="DA67" s="16"/>
      <c r="DB67" s="16">
        <f>IFERROR(__xludf.DUMMYFUNCTION("""COMPUTED_VALUE"""),11.0)</f>
        <v>11</v>
      </c>
      <c r="DC67" s="16"/>
      <c r="DD67" s="16"/>
      <c r="DE67" s="16"/>
      <c r="DF67" s="16"/>
      <c r="DG67" s="16"/>
      <c r="DH67" s="16"/>
      <c r="DI67" s="16"/>
      <c r="DJ67" s="16">
        <f>IFERROR(__xludf.DUMMYFUNCTION("""COMPUTED_VALUE"""),1.0)</f>
        <v>1</v>
      </c>
      <c r="DK67" s="16"/>
      <c r="DL67" s="16"/>
      <c r="DM67" s="16"/>
      <c r="DN67" s="16"/>
      <c r="DO67" s="16"/>
      <c r="DP67" s="16"/>
      <c r="DQ67" s="16"/>
      <c r="DR67" s="16">
        <f>IFERROR(__xludf.DUMMYFUNCTION("""COMPUTED_VALUE"""),1.0)</f>
        <v>1</v>
      </c>
      <c r="DS67" s="16"/>
      <c r="DT67" s="16"/>
      <c r="DU67" s="16"/>
      <c r="DV67" s="16"/>
      <c r="DW67" s="16"/>
      <c r="DX67" s="16"/>
      <c r="DY67" s="16"/>
      <c r="DZ67" s="16">
        <f>IFERROR(__xludf.DUMMYFUNCTION("""COMPUTED_VALUE"""),2.0)</f>
        <v>2</v>
      </c>
      <c r="EA67" s="16"/>
      <c r="EB67" s="16"/>
      <c r="EC67" s="16"/>
      <c r="ED67" s="16"/>
      <c r="EE67" s="16"/>
      <c r="EF67" s="16"/>
      <c r="EG67" s="179"/>
      <c r="EH67" s="179">
        <f>IFERROR(__xludf.DUMMYFUNCTION("""COMPUTED_VALUE"""),20.0)</f>
        <v>20</v>
      </c>
      <c r="EI67" s="179"/>
      <c r="EJ67" s="179"/>
      <c r="EK67" s="179"/>
      <c r="EL67" s="179"/>
      <c r="EM67" s="179"/>
      <c r="EN67" s="179"/>
      <c r="EO67" s="16"/>
      <c r="EP67" s="16">
        <f>IFERROR(__xludf.DUMMYFUNCTION("""COMPUTED_VALUE"""),1.0)</f>
        <v>1</v>
      </c>
      <c r="EQ67" s="16">
        <f>IFERROR(__xludf.DUMMYFUNCTION("""COMPUTED_VALUE"""),4.0)</f>
        <v>4</v>
      </c>
      <c r="ER67" s="16">
        <f>IFERROR(__xludf.DUMMYFUNCTION("""COMPUTED_VALUE"""),3.0)</f>
        <v>3</v>
      </c>
      <c r="ES67" s="16"/>
      <c r="ET67" s="16"/>
      <c r="EU67" s="16"/>
      <c r="EV67" s="16"/>
      <c r="EW67" s="16"/>
      <c r="EX67" s="180"/>
      <c r="EY67" s="180">
        <f>IFERROR(__xludf.DUMMYFUNCTION("""COMPUTED_VALUE"""),0.2)</f>
        <v>0.2</v>
      </c>
      <c r="EZ67" s="180"/>
      <c r="FA67" s="180"/>
      <c r="FB67" s="180"/>
      <c r="FC67" s="180"/>
      <c r="FD67" s="180"/>
      <c r="FE67" s="180"/>
      <c r="FF67" s="180"/>
      <c r="FG67" s="180">
        <f>IFERROR(__xludf.DUMMYFUNCTION("""COMPUTED_VALUE"""),0.19907407407407407)</f>
        <v>0.1990740741</v>
      </c>
      <c r="FH67" s="180"/>
      <c r="FI67" s="180"/>
      <c r="FJ67" s="180"/>
      <c r="FK67" s="180"/>
      <c r="FL67" s="180"/>
      <c r="FM67" s="180"/>
      <c r="FN67" s="16"/>
      <c r="FO67" s="16">
        <f>IFERROR(__xludf.DUMMYFUNCTION("""COMPUTED_VALUE"""),0.6407407407407408)</f>
        <v>0.6407407407</v>
      </c>
      <c r="FP67" s="16"/>
      <c r="FQ67" s="16"/>
      <c r="FR67" s="16"/>
      <c r="FS67" s="16"/>
      <c r="FT67" s="16"/>
      <c r="FU67" s="16"/>
      <c r="FV67" s="16"/>
      <c r="FW67" s="16">
        <f>IFERROR(__xludf.DUMMYFUNCTION("""COMPUTED_VALUE"""),-6.0)</f>
        <v>-6</v>
      </c>
      <c r="FX67" s="16"/>
      <c r="FY67" s="16"/>
      <c r="FZ67" s="16"/>
      <c r="GA67" s="16"/>
      <c r="GB67" s="16"/>
      <c r="GC67" s="16"/>
      <c r="GD67" s="16" t="s">
        <v>126</v>
      </c>
    </row>
    <row r="68">
      <c r="A68" s="16">
        <f>IFERROR(__xludf.DUMMYFUNCTION("""COMPUTED_VALUE"""),13284.0)</f>
        <v>13284</v>
      </c>
      <c r="B68" s="16" t="str">
        <f>IFERROR(__xludf.DUMMYFUNCTION("""COMPUTED_VALUE"""),"Pete Alonso")</f>
        <v>Pete Alonso</v>
      </c>
      <c r="C68" s="16">
        <f>IFERROR(__xludf.DUMMYFUNCTION("""COMPUTED_VALUE"""),1.08)</f>
        <v>1.08</v>
      </c>
      <c r="D68" s="16" t="str">
        <f>IFERROR(__xludf.DUMMYFUNCTION("""COMPUTED_VALUE"""),"R")</f>
        <v>R</v>
      </c>
      <c r="E68" s="16"/>
      <c r="F68" s="16"/>
      <c r="G68" s="16">
        <f>IFERROR(__xludf.DUMMYFUNCTION("""COMPUTED_VALUE"""),608.0)</f>
        <v>608</v>
      </c>
      <c r="H68" s="16">
        <f>IFERROR(__xludf.DUMMYFUNCTION("""COMPUTED_VALUE"""),70.0)</f>
        <v>70</v>
      </c>
      <c r="I68" s="16" t="str">
        <f>IFERROR(__xludf.DUMMYFUNCTION("""COMPUTED_VALUE"""),"0p72")</f>
        <v>0p72</v>
      </c>
      <c r="J68" s="16">
        <f>IFERROR(__xludf.DUMMYFUNCTION("""COMPUTED_VALUE"""),24.0)</f>
        <v>24</v>
      </c>
      <c r="K68" s="16">
        <f>IFERROR(__xludf.DUMMYFUNCTION("""COMPUTED_VALUE"""),29.0)</f>
        <v>29</v>
      </c>
      <c r="L68" s="16">
        <f>IFERROR(__xludf.DUMMYFUNCTION("""COMPUTED_VALUE"""),0.0)</f>
        <v>0</v>
      </c>
      <c r="M68" s="16">
        <f>IFERROR(__xludf.DUMMYFUNCTION("""COMPUTED_VALUE"""),0.0)</f>
        <v>0</v>
      </c>
      <c r="N68" s="16">
        <f>IFERROR(__xludf.DUMMYFUNCTION("""COMPUTED_VALUE"""),0.0)</f>
        <v>0</v>
      </c>
      <c r="O68" s="16">
        <f>IFERROR(__xludf.DUMMYFUNCTION("""COMPUTED_VALUE"""),0.0)</f>
        <v>0</v>
      </c>
      <c r="P68" s="16">
        <f>IFERROR(__xludf.DUMMYFUNCTION("""COMPUTED_VALUE"""),13.0)</f>
        <v>13</v>
      </c>
      <c r="Q68" s="16">
        <f>IFERROR(__xludf.DUMMYFUNCTION("""COMPUTED_VALUE"""),13.0)</f>
        <v>13</v>
      </c>
      <c r="R68" s="16">
        <f>IFERROR(__xludf.DUMMYFUNCTION("""COMPUTED_VALUE"""),2.0)</f>
        <v>2</v>
      </c>
      <c r="S68" s="16">
        <f>IFERROR(__xludf.DUMMYFUNCTION("""COMPUTED_VALUE"""),1.0)</f>
        <v>1</v>
      </c>
      <c r="T68" s="16">
        <f>IFERROR(__xludf.DUMMYFUNCTION("""COMPUTED_VALUE"""),2.0)</f>
        <v>2</v>
      </c>
      <c r="U68" s="16">
        <f>IFERROR(__xludf.DUMMYFUNCTION("""COMPUTED_VALUE"""),1.0)</f>
        <v>1</v>
      </c>
      <c r="V68" s="16">
        <f>IFERROR(__xludf.DUMMYFUNCTION("""COMPUTED_VALUE"""),15.0)</f>
        <v>15</v>
      </c>
      <c r="W68" s="16">
        <f>IFERROR(__xludf.DUMMYFUNCTION("""COMPUTED_VALUE"""),16.9)</f>
        <v>16.9</v>
      </c>
      <c r="X68" s="16">
        <f>IFERROR(__xludf.DUMMYFUNCTION("""COMPUTED_VALUE"""),-1.0)</f>
        <v>-1</v>
      </c>
      <c r="Y68" s="16">
        <f>IFERROR(__xludf.DUMMYFUNCTION("""COMPUTED_VALUE"""),-1.0)</f>
        <v>-1</v>
      </c>
      <c r="Z68" s="16">
        <f>IFERROR(__xludf.DUMMYFUNCTION("""COMPUTED_VALUE"""),-2.0)</f>
        <v>-2</v>
      </c>
      <c r="AA68" s="16">
        <f>IFERROR(__xludf.DUMMYFUNCTION("""COMPUTED_VALUE"""),-2.0)</f>
        <v>-2</v>
      </c>
      <c r="AB68" s="16">
        <f>IFERROR(__xludf.DUMMYFUNCTION("""COMPUTED_VALUE"""),32.0)</f>
        <v>32</v>
      </c>
      <c r="AC68" s="16">
        <f>IFERROR(__xludf.DUMMYFUNCTION("""COMPUTED_VALUE"""),33.8)</f>
        <v>33.8</v>
      </c>
      <c r="AD68" s="16">
        <f>IFERROR(__xludf.DUMMYFUNCTION("""COMPUTED_VALUE"""),0.0)</f>
        <v>0</v>
      </c>
      <c r="AE68" s="16">
        <f>IFERROR(__xludf.DUMMYFUNCTION("""COMPUTED_VALUE"""),0.0)</f>
        <v>0</v>
      </c>
      <c r="AF68" s="16">
        <f>IFERROR(__xludf.DUMMYFUNCTION("""COMPUTED_VALUE"""),0.0)</f>
        <v>0</v>
      </c>
      <c r="AG68" s="16">
        <f>IFERROR(__xludf.DUMMYFUNCTION("""COMPUTED_VALUE"""),0.0)</f>
        <v>0</v>
      </c>
      <c r="AH68" s="16">
        <f>IFERROR(__xludf.DUMMYFUNCTION("""COMPUTED_VALUE"""),33.3)</f>
        <v>33.3</v>
      </c>
      <c r="AI68" s="16">
        <f>IFERROR(__xludf.DUMMYFUNCTION("""COMPUTED_VALUE"""),32.3)</f>
        <v>32.3</v>
      </c>
      <c r="AJ68" s="16">
        <f>IFERROR(__xludf.DUMMYFUNCTION("""COMPUTED_VALUE"""),0.0)</f>
        <v>0</v>
      </c>
      <c r="AK68" s="16">
        <f>IFERROR(__xludf.DUMMYFUNCTION("""COMPUTED_VALUE"""),0.0)</f>
        <v>0</v>
      </c>
      <c r="AL68" s="16">
        <f>IFERROR(__xludf.DUMMYFUNCTION("""COMPUTED_VALUE"""),0.0)</f>
        <v>0</v>
      </c>
      <c r="AM68" s="16">
        <f>IFERROR(__xludf.DUMMYFUNCTION("""COMPUTED_VALUE"""),0.0)</f>
        <v>0</v>
      </c>
      <c r="AN68" s="16">
        <f>IFERROR(__xludf.DUMMYFUNCTION("""COMPUTED_VALUE"""),4.3)</f>
        <v>4.3</v>
      </c>
      <c r="AO68" s="16">
        <f>IFERROR(__xludf.DUMMYFUNCTION("""COMPUTED_VALUE"""),3.8)</f>
        <v>3.8</v>
      </c>
      <c r="AP68" s="16">
        <f>IFERROR(__xludf.DUMMYFUNCTION("""COMPUTED_VALUE"""),2.0)</f>
        <v>2</v>
      </c>
      <c r="AQ68" s="16">
        <f>IFERROR(__xludf.DUMMYFUNCTION("""COMPUTED_VALUE"""),2.0)</f>
        <v>2</v>
      </c>
      <c r="AR68" s="16">
        <f>IFERROR(__xludf.DUMMYFUNCTION("""COMPUTED_VALUE"""),4.0)</f>
        <v>4</v>
      </c>
      <c r="AS68" s="16">
        <f>IFERROR(__xludf.DUMMYFUNCTION("""COMPUTED_VALUE"""),4.0)</f>
        <v>4</v>
      </c>
      <c r="AT68" s="16">
        <f>IFERROR(__xludf.DUMMYFUNCTION("""COMPUTED_VALUE"""),6.0)</f>
        <v>6</v>
      </c>
      <c r="AU68" s="16">
        <f>IFERROR(__xludf.DUMMYFUNCTION("""COMPUTED_VALUE"""),6.0)</f>
        <v>6</v>
      </c>
      <c r="AV68" s="16">
        <f>IFERROR(__xludf.DUMMYFUNCTION("""COMPUTED_VALUE"""),6.0)</f>
        <v>6</v>
      </c>
      <c r="AW68" s="16">
        <f>IFERROR(__xludf.DUMMYFUNCTION("""COMPUTED_VALUE"""),6.0)</f>
        <v>6</v>
      </c>
      <c r="AX68" s="16">
        <f>IFERROR(__xludf.DUMMYFUNCTION("""COMPUTED_VALUE"""),3.0)</f>
        <v>3</v>
      </c>
      <c r="AY68" s="16">
        <f>IFERROR(__xludf.DUMMYFUNCTION("""COMPUTED_VALUE"""),2.0)</f>
        <v>2</v>
      </c>
      <c r="AZ68" s="16">
        <f>IFERROR(__xludf.DUMMYFUNCTION("""COMPUTED_VALUE"""),9.0)</f>
        <v>9</v>
      </c>
      <c r="BA68" s="16">
        <f>IFERROR(__xludf.DUMMYFUNCTION("""COMPUTED_VALUE"""),6.0)</f>
        <v>6</v>
      </c>
      <c r="BB68" s="16">
        <f>IFERROR(__xludf.DUMMYFUNCTION("""COMPUTED_VALUE"""),5.0)</f>
        <v>5</v>
      </c>
      <c r="BC68" s="16">
        <f>IFERROR(__xludf.DUMMYFUNCTION("""COMPUTED_VALUE"""),5.0)</f>
        <v>5</v>
      </c>
      <c r="BD68" s="16">
        <f>IFERROR(__xludf.DUMMYFUNCTION("""COMPUTED_VALUE"""),1.0)</f>
        <v>1</v>
      </c>
      <c r="BE68" s="16">
        <f>IFERROR(__xludf.DUMMYFUNCTION("""COMPUTED_VALUE"""),1.0)</f>
        <v>1</v>
      </c>
      <c r="BF68" s="16">
        <f>IFERROR(__xludf.DUMMYFUNCTION("""COMPUTED_VALUE"""),1.0)</f>
        <v>1</v>
      </c>
      <c r="BG68" s="16">
        <f>IFERROR(__xludf.DUMMYFUNCTION("""COMPUTED_VALUE"""),1.0)</f>
        <v>1</v>
      </c>
      <c r="BH68" s="16">
        <f>IFERROR(__xludf.DUMMYFUNCTION("""COMPUTED_VALUE"""),-3.0)</f>
        <v>-3</v>
      </c>
      <c r="BI68" s="16">
        <f>IFERROR(__xludf.DUMMYFUNCTION("""COMPUTED_VALUE"""),-6.0)</f>
        <v>-6</v>
      </c>
      <c r="BJ68" s="16">
        <f>IFERROR(__xludf.DUMMYFUNCTION("""COMPUTED_VALUE"""),15.0)</f>
        <v>15</v>
      </c>
      <c r="BK68" s="16">
        <f>IFERROR(__xludf.DUMMYFUNCTION("""COMPUTED_VALUE"""),15.0)</f>
        <v>15</v>
      </c>
      <c r="BL68" s="16">
        <f>IFERROR(__xludf.DUMMYFUNCTION("""COMPUTED_VALUE"""),-1.0)</f>
        <v>-1</v>
      </c>
      <c r="BM68" s="16">
        <f>IFERROR(__xludf.DUMMYFUNCTION("""COMPUTED_VALUE"""),-1.0)</f>
        <v>-1</v>
      </c>
      <c r="BN68" s="16">
        <f>IFERROR(__xludf.DUMMYFUNCTION("""COMPUTED_VALUE"""),-2.0)</f>
        <v>-2</v>
      </c>
      <c r="BO68" s="16">
        <f>IFERROR(__xludf.DUMMYFUNCTION("""COMPUTED_VALUE"""),-2.0)</f>
        <v>-2</v>
      </c>
      <c r="BP68" s="16">
        <f>IFERROR(__xludf.DUMMYFUNCTION("""COMPUTED_VALUE"""),6.0)</f>
        <v>6</v>
      </c>
      <c r="BQ68" s="16">
        <f>IFERROR(__xludf.DUMMYFUNCTION("""COMPUTED_VALUE"""),4.0)</f>
        <v>4</v>
      </c>
      <c r="BR68" s="16">
        <f>IFERROR(__xludf.DUMMYFUNCTION("""COMPUTED_VALUE"""),10.0)</f>
        <v>10</v>
      </c>
      <c r="BS68" s="16" t="str">
        <f>IFERROR(__xludf.DUMMYFUNCTION("""COMPUTED_VALUE"""),"2/- (20-6)")</f>
        <v>2/- (20-6)</v>
      </c>
      <c r="BT68" s="16" t="str">
        <f>IFERROR(__xludf.DUMMYFUNCTION("""COMPUTED_VALUE"""),"D")</f>
        <v>D</v>
      </c>
      <c r="BU68" s="16">
        <f>IFERROR(__xludf.DUMMYFUNCTION("""COMPUTED_VALUE"""),11.0)</f>
        <v>11</v>
      </c>
      <c r="BV68" s="16">
        <f>IFERROR(__xludf.DUMMYFUNCTION("""COMPUTED_VALUE"""),0.0)</f>
        <v>0</v>
      </c>
      <c r="BW68" s="16">
        <f>IFERROR(__xludf.DUMMYFUNCTION("""COMPUTED_VALUE"""),0.0)</f>
        <v>0</v>
      </c>
      <c r="BX68" s="16">
        <f>IFERROR(__xludf.DUMMYFUNCTION("""COMPUTED_VALUE"""),0.0)</f>
        <v>0</v>
      </c>
      <c r="BY68" s="16">
        <f>IFERROR(__xludf.DUMMYFUNCTION("""COMPUTED_VALUE"""),0.0)</f>
        <v>0</v>
      </c>
      <c r="BZ68" s="16" t="str">
        <f>IFERROR(__xludf.DUMMYFUNCTION("""COMPUTED_VALUE"""),"D")</f>
        <v>D</v>
      </c>
      <c r="CA68" s="16" t="str">
        <f>IFERROR(__xludf.DUMMYFUNCTION("""COMPUTED_VALUE"""),"C")</f>
        <v>C</v>
      </c>
      <c r="CB68" s="16">
        <f>IFERROR(__xludf.DUMMYFUNCTION("""COMPUTED_VALUE"""),0.0)</f>
        <v>0</v>
      </c>
      <c r="CC68" s="16">
        <f>IFERROR(__xludf.DUMMYFUNCTION("""COMPUTED_VALUE"""),0.0)</f>
        <v>0</v>
      </c>
      <c r="CD68" s="16">
        <f>IFERROR(__xludf.DUMMYFUNCTION("""COMPUTED_VALUE"""),0.0)</f>
        <v>0</v>
      </c>
      <c r="CE68" s="16">
        <f>IFERROR(__xludf.DUMMYFUNCTION("""COMPUTED_VALUE"""),0.0)</f>
        <v>0</v>
      </c>
      <c r="CF68" s="16">
        <f>IFERROR(__xludf.DUMMYFUNCTION("""COMPUTED_VALUE"""),0.0)</f>
        <v>0</v>
      </c>
      <c r="CG68" s="16">
        <f>IFERROR(__xludf.DUMMYFUNCTION("""COMPUTED_VALUE"""),12.0)</f>
        <v>12</v>
      </c>
      <c r="CH68" s="16">
        <f>IFERROR(__xludf.DUMMYFUNCTION("""COMPUTED_VALUE"""),8.0)</f>
        <v>8</v>
      </c>
      <c r="CI68" s="179">
        <f>IFERROR(__xludf.DUMMYFUNCTION("""COMPUTED_VALUE"""),18.0)</f>
        <v>18</v>
      </c>
      <c r="CJ68" s="16"/>
      <c r="CK68" s="16">
        <f>IFERROR(__xludf.DUMMYFUNCTION("""COMPUTED_VALUE"""),407.0)</f>
        <v>407</v>
      </c>
      <c r="CL68" s="16"/>
      <c r="CM68" s="16"/>
      <c r="CN68" s="16"/>
      <c r="CO68" s="16"/>
      <c r="CP68" s="16"/>
      <c r="CQ68" s="16"/>
      <c r="CR68" s="16" t="str">
        <f>IFERROR(__xludf.DUMMYFUNCTION("""COMPUTED_VALUE"""),"1b-4e7")</f>
        <v>1b-4e7</v>
      </c>
      <c r="CS68" s="16"/>
      <c r="CT68" s="16">
        <f>IFERROR(__xludf.DUMMYFUNCTION("""COMPUTED_VALUE"""),4.0)</f>
        <v>4</v>
      </c>
      <c r="CU68" s="16"/>
      <c r="CV68" s="16"/>
      <c r="CW68" s="16"/>
      <c r="CX68" s="16"/>
      <c r="CY68" s="16"/>
      <c r="CZ68" s="16"/>
      <c r="DA68" s="16"/>
      <c r="DB68" s="16">
        <f>IFERROR(__xludf.DUMMYFUNCTION("""COMPUTED_VALUE"""),7.0)</f>
        <v>7</v>
      </c>
      <c r="DC68" s="16"/>
      <c r="DD68" s="16"/>
      <c r="DE68" s="16"/>
      <c r="DF68" s="16"/>
      <c r="DG68" s="16"/>
      <c r="DH68" s="16"/>
      <c r="DI68" s="16"/>
      <c r="DJ68" s="16">
        <f>IFERROR(__xludf.DUMMYFUNCTION("""COMPUTED_VALUE"""),0.0)</f>
        <v>0</v>
      </c>
      <c r="DK68" s="16"/>
      <c r="DL68" s="16"/>
      <c r="DM68" s="16"/>
      <c r="DN68" s="16"/>
      <c r="DO68" s="16"/>
      <c r="DP68" s="16"/>
      <c r="DQ68" s="16"/>
      <c r="DR68" s="16">
        <f>IFERROR(__xludf.DUMMYFUNCTION("""COMPUTED_VALUE"""),2.0)</f>
        <v>2</v>
      </c>
      <c r="DS68" s="16"/>
      <c r="DT68" s="16"/>
      <c r="DU68" s="16"/>
      <c r="DV68" s="16"/>
      <c r="DW68" s="16"/>
      <c r="DX68" s="16"/>
      <c r="DY68" s="16"/>
      <c r="DZ68" s="16">
        <f>IFERROR(__xludf.DUMMYFUNCTION("""COMPUTED_VALUE"""),2.0)</f>
        <v>2</v>
      </c>
      <c r="EA68" s="16"/>
      <c r="EB68" s="16"/>
      <c r="EC68" s="16"/>
      <c r="ED68" s="16"/>
      <c r="EE68" s="16"/>
      <c r="EF68" s="16"/>
      <c r="EG68" s="179"/>
      <c r="EH68" s="179">
        <f>IFERROR(__xludf.DUMMYFUNCTION("""COMPUTED_VALUE"""),20.0)</f>
        <v>20</v>
      </c>
      <c r="EI68" s="179"/>
      <c r="EJ68" s="179"/>
      <c r="EK68" s="179"/>
      <c r="EL68" s="179"/>
      <c r="EM68" s="179"/>
      <c r="EN68" s="179"/>
      <c r="EO68" s="16"/>
      <c r="EP68" s="16"/>
      <c r="EQ68" s="16">
        <f>IFERROR(__xludf.DUMMYFUNCTION("""COMPUTED_VALUE"""),5.0)</f>
        <v>5</v>
      </c>
      <c r="ER68" s="16">
        <f>IFERROR(__xludf.DUMMYFUNCTION("""COMPUTED_VALUE"""),4.0)</f>
        <v>4</v>
      </c>
      <c r="ES68" s="16"/>
      <c r="ET68" s="16"/>
      <c r="EU68" s="16"/>
      <c r="EV68" s="16"/>
      <c r="EW68" s="16"/>
      <c r="EX68" s="180"/>
      <c r="EY68" s="180">
        <f>IFERROR(__xludf.DUMMYFUNCTION("""COMPUTED_VALUE"""),0.3)</f>
        <v>0.3</v>
      </c>
      <c r="EZ68" s="180"/>
      <c r="FA68" s="180"/>
      <c r="FB68" s="180"/>
      <c r="FC68" s="180"/>
      <c r="FD68" s="180"/>
      <c r="FE68" s="180"/>
      <c r="FF68" s="180"/>
      <c r="FG68" s="180">
        <f>IFERROR(__xludf.DUMMYFUNCTION("""COMPUTED_VALUE"""),0.125)</f>
        <v>0.125</v>
      </c>
      <c r="FH68" s="180"/>
      <c r="FI68" s="180"/>
      <c r="FJ68" s="180"/>
      <c r="FK68" s="180"/>
      <c r="FL68" s="180"/>
      <c r="FM68" s="180"/>
      <c r="FN68" s="16"/>
      <c r="FO68" s="16">
        <f>IFERROR(__xludf.DUMMYFUNCTION("""COMPUTED_VALUE"""),0.6124999999999999)</f>
        <v>0.6125</v>
      </c>
      <c r="FP68" s="16"/>
      <c r="FQ68" s="16"/>
      <c r="FR68" s="16"/>
      <c r="FS68" s="16"/>
      <c r="FT68" s="16"/>
      <c r="FU68" s="16"/>
      <c r="FV68" s="16"/>
      <c r="FW68" s="16">
        <f>IFERROR(__xludf.DUMMYFUNCTION("""COMPUTED_VALUE"""),-6.0)</f>
        <v>-6</v>
      </c>
      <c r="FX68" s="16"/>
      <c r="FY68" s="16"/>
      <c r="FZ68" s="16"/>
      <c r="GA68" s="16"/>
      <c r="GB68" s="16"/>
      <c r="GC68" s="16"/>
      <c r="GD68" s="16" t="s">
        <v>272</v>
      </c>
    </row>
    <row r="69">
      <c r="A69" s="16">
        <f>IFERROR(__xludf.DUMMYFUNCTION("""COMPUTED_VALUE"""),12606.0)</f>
        <v>12606</v>
      </c>
      <c r="B69" s="16" t="str">
        <f>IFERROR(__xludf.DUMMYFUNCTION("""COMPUTED_VALUE"""),"Brendan Donovan")</f>
        <v>Brendan Donovan</v>
      </c>
      <c r="C69" s="16">
        <f>IFERROR(__xludf.DUMMYFUNCTION("""COMPUTED_VALUE"""),1.16)</f>
        <v>1.16</v>
      </c>
      <c r="D69" s="16" t="str">
        <f>IFERROR(__xludf.DUMMYFUNCTION("""COMPUTED_VALUE"""),"L")</f>
        <v>L</v>
      </c>
      <c r="E69" s="16"/>
      <c r="F69" s="16"/>
      <c r="G69" s="16">
        <f>IFERROR(__xludf.DUMMYFUNCTION("""COMPUTED_VALUE"""),587.0)</f>
        <v>587</v>
      </c>
      <c r="H69" s="16">
        <f>IFERROR(__xludf.DUMMYFUNCTION("""COMPUTED_VALUE"""),47.0)</f>
        <v>47</v>
      </c>
      <c r="I69" s="16" t="str">
        <f>IFERROR(__xludf.DUMMYFUNCTION("""COMPUTED_VALUE"""),"1p70")</f>
        <v>1p70</v>
      </c>
      <c r="J69" s="16">
        <f>IFERROR(__xludf.DUMMYFUNCTION("""COMPUTED_VALUE"""),0.0)</f>
        <v>0</v>
      </c>
      <c r="K69" s="16">
        <f>IFERROR(__xludf.DUMMYFUNCTION("""COMPUTED_VALUE"""),4.0)</f>
        <v>4</v>
      </c>
      <c r="L69" s="16">
        <f>IFERROR(__xludf.DUMMYFUNCTION("""COMPUTED_VALUE"""),3.0)</f>
        <v>3</v>
      </c>
      <c r="M69" s="16">
        <f>IFERROR(__xludf.DUMMYFUNCTION("""COMPUTED_VALUE"""),2.0)</f>
        <v>2</v>
      </c>
      <c r="N69" s="16">
        <f>IFERROR(__xludf.DUMMYFUNCTION("""COMPUTED_VALUE"""),3.0)</f>
        <v>3</v>
      </c>
      <c r="O69" s="16">
        <f>IFERROR(__xludf.DUMMYFUNCTION("""COMPUTED_VALUE"""),2.0)</f>
        <v>2</v>
      </c>
      <c r="P69" s="16">
        <f>IFERROR(__xludf.DUMMYFUNCTION("""COMPUTED_VALUE"""),6.0)</f>
        <v>6</v>
      </c>
      <c r="Q69" s="16">
        <f>IFERROR(__xludf.DUMMYFUNCTION("""COMPUTED_VALUE"""),6.0)</f>
        <v>6</v>
      </c>
      <c r="R69" s="16">
        <f>IFERROR(__xludf.DUMMYFUNCTION("""COMPUTED_VALUE"""),-1.0)</f>
        <v>-1</v>
      </c>
      <c r="S69" s="16">
        <f>IFERROR(__xludf.DUMMYFUNCTION("""COMPUTED_VALUE"""),-1.0)</f>
        <v>-1</v>
      </c>
      <c r="T69" s="16">
        <f>IFERROR(__xludf.DUMMYFUNCTION("""COMPUTED_VALUE"""),-1.0)</f>
        <v>-1</v>
      </c>
      <c r="U69" s="16">
        <f>IFERROR(__xludf.DUMMYFUNCTION("""COMPUTED_VALUE"""),-1.0)</f>
        <v>-1</v>
      </c>
      <c r="V69" s="16">
        <f>IFERROR(__xludf.DUMMYFUNCTION("""COMPUTED_VALUE"""),24.4)</f>
        <v>24.4</v>
      </c>
      <c r="W69" s="16">
        <f>IFERROR(__xludf.DUMMYFUNCTION("""COMPUTED_VALUE"""),27.5)</f>
        <v>27.5</v>
      </c>
      <c r="X69" s="16">
        <f>IFERROR(__xludf.DUMMYFUNCTION("""COMPUTED_VALUE"""),1.0)</f>
        <v>1</v>
      </c>
      <c r="Y69" s="16">
        <f>IFERROR(__xludf.DUMMYFUNCTION("""COMPUTED_VALUE"""),2.0)</f>
        <v>2</v>
      </c>
      <c r="Z69" s="16">
        <f>IFERROR(__xludf.DUMMYFUNCTION("""COMPUTED_VALUE"""),2.0)</f>
        <v>2</v>
      </c>
      <c r="AA69" s="16">
        <f>IFERROR(__xludf.DUMMYFUNCTION("""COMPUTED_VALUE"""),4.0)</f>
        <v>4</v>
      </c>
      <c r="AB69" s="16">
        <f>IFERROR(__xludf.DUMMYFUNCTION("""COMPUTED_VALUE"""),35.3)</f>
        <v>35.3</v>
      </c>
      <c r="AC69" s="16">
        <f>IFERROR(__xludf.DUMMYFUNCTION("""COMPUTED_VALUE"""),38.5)</f>
        <v>38.5</v>
      </c>
      <c r="AD69" s="16">
        <f>IFERROR(__xludf.DUMMYFUNCTION("""COMPUTED_VALUE"""),1.0)</f>
        <v>1</v>
      </c>
      <c r="AE69" s="16">
        <f>IFERROR(__xludf.DUMMYFUNCTION("""COMPUTED_VALUE"""),1.0)</f>
        <v>1</v>
      </c>
      <c r="AF69" s="16">
        <f>IFERROR(__xludf.DUMMYFUNCTION("""COMPUTED_VALUE"""),5.0)</f>
        <v>5</v>
      </c>
      <c r="AG69" s="16">
        <f>IFERROR(__xludf.DUMMYFUNCTION("""COMPUTED_VALUE"""),5.0)</f>
        <v>5</v>
      </c>
      <c r="AH69" s="16">
        <f>IFERROR(__xludf.DUMMYFUNCTION("""COMPUTED_VALUE"""),37.8)</f>
        <v>37.8</v>
      </c>
      <c r="AI69" s="16">
        <f>IFERROR(__xludf.DUMMYFUNCTION("""COMPUTED_VALUE"""),37.0)</f>
        <v>37</v>
      </c>
      <c r="AJ69" s="16">
        <f>IFERROR(__xludf.DUMMYFUNCTION("""COMPUTED_VALUE"""),1.0)</f>
        <v>1</v>
      </c>
      <c r="AK69" s="16">
        <f>IFERROR(__xludf.DUMMYFUNCTION("""COMPUTED_VALUE"""),0.0)</f>
        <v>0</v>
      </c>
      <c r="AL69" s="16">
        <f>IFERROR(__xludf.DUMMYFUNCTION("""COMPUTED_VALUE"""),5.0)</f>
        <v>5</v>
      </c>
      <c r="AM69" s="16">
        <f>IFERROR(__xludf.DUMMYFUNCTION("""COMPUTED_VALUE"""),0.0)</f>
        <v>0</v>
      </c>
      <c r="AN69" s="16">
        <f>IFERROR(__xludf.DUMMYFUNCTION("""COMPUTED_VALUE"""),0.0)</f>
        <v>0</v>
      </c>
      <c r="AO69" s="16">
        <f>IFERROR(__xludf.DUMMYFUNCTION("""COMPUTED_VALUE"""),1.8)</f>
        <v>1.8</v>
      </c>
      <c r="AP69" s="16">
        <f>IFERROR(__xludf.DUMMYFUNCTION("""COMPUTED_VALUE"""),-2.0)</f>
        <v>-2</v>
      </c>
      <c r="AQ69" s="16">
        <f>IFERROR(__xludf.DUMMYFUNCTION("""COMPUTED_VALUE"""),-1.0)</f>
        <v>-1</v>
      </c>
      <c r="AR69" s="16">
        <f>IFERROR(__xludf.DUMMYFUNCTION("""COMPUTED_VALUE"""),-4.0)</f>
        <v>-4</v>
      </c>
      <c r="AS69" s="16">
        <f>IFERROR(__xludf.DUMMYFUNCTION("""COMPUTED_VALUE"""),-2.0)</f>
        <v>-2</v>
      </c>
      <c r="AT69" s="16"/>
      <c r="AU69" s="16">
        <f>IFERROR(__xludf.DUMMYFUNCTION("""COMPUTED_VALUE"""),3.0)</f>
        <v>3</v>
      </c>
      <c r="AV69" s="16">
        <f>IFERROR(__xludf.DUMMYFUNCTION("""COMPUTED_VALUE"""),-3.0)</f>
        <v>-3</v>
      </c>
      <c r="AW69" s="16">
        <f>IFERROR(__xludf.DUMMYFUNCTION("""COMPUTED_VALUE"""),3.0)</f>
        <v>3</v>
      </c>
      <c r="AX69" s="16">
        <f>IFERROR(__xludf.DUMMYFUNCTION("""COMPUTED_VALUE"""),-3.0)</f>
        <v>-3</v>
      </c>
      <c r="AY69" s="16">
        <f>IFERROR(__xludf.DUMMYFUNCTION("""COMPUTED_VALUE"""),0.0)</f>
        <v>0</v>
      </c>
      <c r="AZ69" s="16">
        <f>IFERROR(__xludf.DUMMYFUNCTION("""COMPUTED_VALUE"""),-9.0)</f>
        <v>-9</v>
      </c>
      <c r="BA69" s="16">
        <f>IFERROR(__xludf.DUMMYFUNCTION("""COMPUTED_VALUE"""),0.0)</f>
        <v>0</v>
      </c>
      <c r="BB69" s="16">
        <f>IFERROR(__xludf.DUMMYFUNCTION("""COMPUTED_VALUE"""),5.0)</f>
        <v>5</v>
      </c>
      <c r="BC69" s="16">
        <f>IFERROR(__xludf.DUMMYFUNCTION("""COMPUTED_VALUE"""),5.0)</f>
        <v>5</v>
      </c>
      <c r="BD69" s="16">
        <f>IFERROR(__xludf.DUMMYFUNCTION("""COMPUTED_VALUE"""),1.0)</f>
        <v>1</v>
      </c>
      <c r="BE69" s="16">
        <f>IFERROR(__xludf.DUMMYFUNCTION("""COMPUTED_VALUE"""),1.0)</f>
        <v>1</v>
      </c>
      <c r="BF69" s="16">
        <f>IFERROR(__xludf.DUMMYFUNCTION("""COMPUTED_VALUE"""),1.0)</f>
        <v>1</v>
      </c>
      <c r="BG69" s="16">
        <f>IFERROR(__xludf.DUMMYFUNCTION("""COMPUTED_VALUE"""),1.0)</f>
        <v>1</v>
      </c>
      <c r="BH69" s="16">
        <f>IFERROR(__xludf.DUMMYFUNCTION("""COMPUTED_VALUE"""),-3.0)</f>
        <v>-3</v>
      </c>
      <c r="BI69" s="16">
        <f>IFERROR(__xludf.DUMMYFUNCTION("""COMPUTED_VALUE"""),-3.0)</f>
        <v>-3</v>
      </c>
      <c r="BJ69" s="16">
        <f>IFERROR(__xludf.DUMMYFUNCTION("""COMPUTED_VALUE"""),2.0)</f>
        <v>2</v>
      </c>
      <c r="BK69" s="16">
        <f>IFERROR(__xludf.DUMMYFUNCTION("""COMPUTED_VALUE"""),2.0)</f>
        <v>2</v>
      </c>
      <c r="BL69" s="16">
        <f>IFERROR(__xludf.DUMMYFUNCTION("""COMPUTED_VALUE"""),2.0)</f>
        <v>2</v>
      </c>
      <c r="BM69" s="16">
        <f>IFERROR(__xludf.DUMMYFUNCTION("""COMPUTED_VALUE"""),2.0)</f>
        <v>2</v>
      </c>
      <c r="BN69" s="16">
        <f>IFERROR(__xludf.DUMMYFUNCTION("""COMPUTED_VALUE"""),2.0)</f>
        <v>2</v>
      </c>
      <c r="BO69" s="16">
        <f>IFERROR(__xludf.DUMMYFUNCTION("""COMPUTED_VALUE"""),2.0)</f>
        <v>2</v>
      </c>
      <c r="BP69" s="16">
        <f>IFERROR(__xludf.DUMMYFUNCTION("""COMPUTED_VALUE"""),3.0)</f>
        <v>3</v>
      </c>
      <c r="BQ69" s="16">
        <f>IFERROR(__xludf.DUMMYFUNCTION("""COMPUTED_VALUE"""),6.0)</f>
        <v>6</v>
      </c>
      <c r="BR69" s="16">
        <f>IFERROR(__xludf.DUMMYFUNCTION("""COMPUTED_VALUE"""),9.0)</f>
        <v>9</v>
      </c>
      <c r="BS69" s="16" t="str">
        <f>IFERROR(__xludf.DUMMYFUNCTION("""COMPUTED_VALUE"""),"5,6/10 (13-6)")</f>
        <v>5,6/10 (13-6)</v>
      </c>
      <c r="BT69" s="16" t="str">
        <f>IFERROR(__xludf.DUMMYFUNCTION("""COMPUTED_VALUE"""),"D")</f>
        <v>D</v>
      </c>
      <c r="BU69" s="16">
        <f>IFERROR(__xludf.DUMMYFUNCTION("""COMPUTED_VALUE"""),13.0)</f>
        <v>13</v>
      </c>
      <c r="BV69" s="16">
        <f>IFERROR(__xludf.DUMMYFUNCTION("""COMPUTED_VALUE"""),0.0)</f>
        <v>0</v>
      </c>
      <c r="BW69" s="16">
        <f>IFERROR(__xludf.DUMMYFUNCTION("""COMPUTED_VALUE"""),1.0)</f>
        <v>1</v>
      </c>
      <c r="BX69" s="16">
        <f>IFERROR(__xludf.DUMMYFUNCTION("""COMPUTED_VALUE"""),0.0)</f>
        <v>0</v>
      </c>
      <c r="BY69" s="16">
        <f>IFERROR(__xludf.DUMMYFUNCTION("""COMPUTED_VALUE"""),3.0)</f>
        <v>3</v>
      </c>
      <c r="BZ69" s="16" t="str">
        <f>IFERROR(__xludf.DUMMYFUNCTION("""COMPUTED_VALUE"""),"C")</f>
        <v>C</v>
      </c>
      <c r="CA69" s="16" t="str">
        <f>IFERROR(__xludf.DUMMYFUNCTION("""COMPUTED_VALUE"""),"B")</f>
        <v>B</v>
      </c>
      <c r="CB69" s="16">
        <f>IFERROR(__xludf.DUMMYFUNCTION("""COMPUTED_VALUE"""),0.0)</f>
        <v>0</v>
      </c>
      <c r="CC69" s="16">
        <f>IFERROR(__xludf.DUMMYFUNCTION("""COMPUTED_VALUE"""),1.0)</f>
        <v>1</v>
      </c>
      <c r="CD69" s="16">
        <f>IFERROR(__xludf.DUMMYFUNCTION("""COMPUTED_VALUE"""),0.0)</f>
        <v>0</v>
      </c>
      <c r="CE69" s="16">
        <f>IFERROR(__xludf.DUMMYFUNCTION("""COMPUTED_VALUE"""),2.0)</f>
        <v>2</v>
      </c>
      <c r="CF69" s="16">
        <f>IFERROR(__xludf.DUMMYFUNCTION("""COMPUTED_VALUE"""),1.0)</f>
        <v>1</v>
      </c>
      <c r="CG69" s="16">
        <f>IFERROR(__xludf.DUMMYFUNCTION("""COMPUTED_VALUE"""),4.0)</f>
        <v>4</v>
      </c>
      <c r="CH69" s="16">
        <f>IFERROR(__xludf.DUMMYFUNCTION("""COMPUTED_VALUE"""),11.0)</f>
        <v>11</v>
      </c>
      <c r="CI69" s="179">
        <f>IFERROR(__xludf.DUMMYFUNCTION("""COMPUTED_VALUE"""),18.0)</f>
        <v>18</v>
      </c>
      <c r="CJ69" s="16"/>
      <c r="CK69" s="16"/>
      <c r="CL69" s="16">
        <f>IFERROR(__xludf.DUMMYFUNCTION("""COMPUTED_VALUE"""),303.0)</f>
        <v>303</v>
      </c>
      <c r="CM69" s="16">
        <f>IFERROR(__xludf.DUMMYFUNCTION("""COMPUTED_VALUE"""),427.0)</f>
        <v>427</v>
      </c>
      <c r="CN69" s="16"/>
      <c r="CO69" s="16">
        <f>IFERROR(__xludf.DUMMYFUNCTION("""COMPUTED_VALUE"""),300.0)</f>
        <v>300</v>
      </c>
      <c r="CP69" s="16"/>
      <c r="CQ69" s="16"/>
      <c r="CR69" s="16" t="str">
        <f>IFERROR(__xludf.DUMMYFUNCTION("""COMPUTED_VALUE"""),"lf-3(+2)e0 2b-3e3 3b-4e27")</f>
        <v>lf-3(+2)e0 2b-3e3 3b-4e27</v>
      </c>
      <c r="CS69" s="16"/>
      <c r="CT69" s="16"/>
      <c r="CU69" s="16">
        <f>IFERROR(__xludf.DUMMYFUNCTION("""COMPUTED_VALUE"""),3.0)</f>
        <v>3</v>
      </c>
      <c r="CV69" s="16">
        <f>IFERROR(__xludf.DUMMYFUNCTION("""COMPUTED_VALUE"""),4.0)</f>
        <v>4</v>
      </c>
      <c r="CW69" s="16"/>
      <c r="CX69" s="16">
        <f>IFERROR(__xludf.DUMMYFUNCTION("""COMPUTED_VALUE"""),3.0)</f>
        <v>3</v>
      </c>
      <c r="CY69" s="16"/>
      <c r="CZ69" s="16"/>
      <c r="DA69" s="16"/>
      <c r="DB69" s="16"/>
      <c r="DC69" s="16">
        <f>IFERROR(__xludf.DUMMYFUNCTION("""COMPUTED_VALUE"""),3.0)</f>
        <v>3</v>
      </c>
      <c r="DD69" s="16">
        <f>IFERROR(__xludf.DUMMYFUNCTION("""COMPUTED_VALUE"""),27.0)</f>
        <v>27</v>
      </c>
      <c r="DE69" s="16"/>
      <c r="DF69" s="16">
        <f>IFERROR(__xludf.DUMMYFUNCTION("""COMPUTED_VALUE"""),0.0)</f>
        <v>0</v>
      </c>
      <c r="DG69" s="16"/>
      <c r="DH69" s="16"/>
      <c r="DI69" s="16"/>
      <c r="DJ69" s="16"/>
      <c r="DK69" s="16">
        <f>IFERROR(__xludf.DUMMYFUNCTION("""COMPUTED_VALUE"""),0.0)</f>
        <v>0</v>
      </c>
      <c r="DL69" s="16">
        <f>IFERROR(__xludf.DUMMYFUNCTION("""COMPUTED_VALUE"""),0.0)</f>
        <v>0</v>
      </c>
      <c r="DM69" s="16"/>
      <c r="DN69" s="16">
        <f>IFERROR(__xludf.DUMMYFUNCTION("""COMPUTED_VALUE"""),0.0)</f>
        <v>0</v>
      </c>
      <c r="DO69" s="16"/>
      <c r="DP69" s="16"/>
      <c r="DQ69" s="16"/>
      <c r="DR69" s="16"/>
      <c r="DS69" s="16">
        <f>IFERROR(__xludf.DUMMYFUNCTION("""COMPUTED_VALUE"""),4.0)</f>
        <v>4</v>
      </c>
      <c r="DT69" s="16">
        <f>IFERROR(__xludf.DUMMYFUNCTION("""COMPUTED_VALUE"""),-2.0)</f>
        <v>-2</v>
      </c>
      <c r="DU69" s="16"/>
      <c r="DV69" s="16">
        <f>IFERROR(__xludf.DUMMYFUNCTION("""COMPUTED_VALUE"""),4.0)</f>
        <v>4</v>
      </c>
      <c r="DW69" s="16"/>
      <c r="DX69" s="16"/>
      <c r="DY69" s="16"/>
      <c r="DZ69" s="16"/>
      <c r="EA69" s="16">
        <f>IFERROR(__xludf.DUMMYFUNCTION("""COMPUTED_VALUE"""),4.0)</f>
        <v>4</v>
      </c>
      <c r="EB69" s="16">
        <f>IFERROR(__xludf.DUMMYFUNCTION("""COMPUTED_VALUE"""),-2.0)</f>
        <v>-2</v>
      </c>
      <c r="EC69" s="16"/>
      <c r="ED69" s="16">
        <f>IFERROR(__xludf.DUMMYFUNCTION("""COMPUTED_VALUE"""),4.0)</f>
        <v>4</v>
      </c>
      <c r="EE69" s="16"/>
      <c r="EF69" s="16"/>
      <c r="EG69" s="179"/>
      <c r="EH69" s="179"/>
      <c r="EI69" s="179">
        <f>IFERROR(__xludf.DUMMYFUNCTION("""COMPUTED_VALUE"""),22.0)</f>
        <v>22</v>
      </c>
      <c r="EJ69" s="179">
        <f>IFERROR(__xludf.DUMMYFUNCTION("""COMPUTED_VALUE"""),16.0)</f>
        <v>16</v>
      </c>
      <c r="EK69" s="179"/>
      <c r="EL69" s="179">
        <f>IFERROR(__xludf.DUMMYFUNCTION("""COMPUTED_VALUE"""),22.0)</f>
        <v>22</v>
      </c>
      <c r="EM69" s="179"/>
      <c r="EN69" s="179"/>
      <c r="EO69" s="16"/>
      <c r="EP69" s="16">
        <f>IFERROR(__xludf.DUMMYFUNCTION("""COMPUTED_VALUE"""),2.0)</f>
        <v>2</v>
      </c>
      <c r="EQ69" s="16">
        <f>IFERROR(__xludf.DUMMYFUNCTION("""COMPUTED_VALUE"""),4.0)</f>
        <v>4</v>
      </c>
      <c r="ER69" s="16">
        <f>IFERROR(__xludf.DUMMYFUNCTION("""COMPUTED_VALUE"""),3.0)</f>
        <v>3</v>
      </c>
      <c r="ES69" s="16"/>
      <c r="ET69" s="16"/>
      <c r="EU69" s="16"/>
      <c r="EV69" s="16"/>
      <c r="EW69" s="16"/>
      <c r="EX69" s="180"/>
      <c r="EY69" s="180"/>
      <c r="EZ69" s="180">
        <f>IFERROR(__xludf.DUMMYFUNCTION("""COMPUTED_VALUE"""),0.2)</f>
        <v>0.2</v>
      </c>
      <c r="FA69" s="180">
        <f>IFERROR(__xludf.DUMMYFUNCTION("""COMPUTED_VALUE"""),0.3)</f>
        <v>0.3</v>
      </c>
      <c r="FB69" s="180"/>
      <c r="FC69" s="180">
        <f>IFERROR(__xludf.DUMMYFUNCTION("""COMPUTED_VALUE"""),0.3)</f>
        <v>0.3</v>
      </c>
      <c r="FD69" s="180"/>
      <c r="FE69" s="180"/>
      <c r="FF69" s="180"/>
      <c r="FG69" s="180"/>
      <c r="FH69" s="180">
        <f>IFERROR(__xludf.DUMMYFUNCTION("""COMPUTED_VALUE"""),0.018518518518518517)</f>
        <v>0.01851851852</v>
      </c>
      <c r="FI69" s="180">
        <f>IFERROR(__xludf.DUMMYFUNCTION("""COMPUTED_VALUE"""),0.32407407407407407)</f>
        <v>0.3240740741</v>
      </c>
      <c r="FJ69" s="180"/>
      <c r="FK69" s="180">
        <f>IFERROR(__xludf.DUMMYFUNCTION("""COMPUTED_VALUE"""),0.0)</f>
        <v>0</v>
      </c>
      <c r="FL69" s="180"/>
      <c r="FM69" s="180"/>
      <c r="FN69" s="16"/>
      <c r="FO69" s="16"/>
      <c r="FP69" s="16">
        <f>IFERROR(__xludf.DUMMYFUNCTION("""COMPUTED_VALUE"""),0.7851851851851852)</f>
        <v>0.7851851852</v>
      </c>
      <c r="FQ69" s="16">
        <f>IFERROR(__xludf.DUMMYFUNCTION("""COMPUTED_VALUE"""),0.4731481481481481)</f>
        <v>0.4731481481</v>
      </c>
      <c r="FR69" s="16"/>
      <c r="FS69" s="16">
        <f>IFERROR(__xludf.DUMMYFUNCTION("""COMPUTED_VALUE"""),0.7)</f>
        <v>0.7</v>
      </c>
      <c r="FT69" s="16"/>
      <c r="FU69" s="16"/>
      <c r="FV69" s="16"/>
      <c r="FW69" s="16"/>
      <c r="FX69" s="16">
        <f>IFERROR(__xludf.DUMMYFUNCTION("""COMPUTED_VALUE"""),-1.0)</f>
        <v>-1</v>
      </c>
      <c r="FY69" s="16">
        <f>IFERROR(__xludf.DUMMYFUNCTION("""COMPUTED_VALUE"""),-8.0)</f>
        <v>-8</v>
      </c>
      <c r="FZ69" s="16"/>
      <c r="GA69" s="16">
        <f>IFERROR(__xludf.DUMMYFUNCTION("""COMPUTED_VALUE"""),-6.0)</f>
        <v>-6</v>
      </c>
      <c r="GB69" s="16"/>
      <c r="GC69" s="16"/>
      <c r="GD69" s="16" t="s">
        <v>272</v>
      </c>
    </row>
    <row r="70">
      <c r="A70" s="16">
        <f>IFERROR(__xludf.DUMMYFUNCTION("""COMPUTED_VALUE"""),13468.0)</f>
        <v>13468</v>
      </c>
      <c r="B70" s="16" t="str">
        <f>IFERROR(__xludf.DUMMYFUNCTION("""COMPUTED_VALUE"""),"Victor Robles")</f>
        <v>Victor Robles</v>
      </c>
      <c r="C70" s="16">
        <f>IFERROR(__xludf.DUMMYFUNCTION("""COMPUTED_VALUE"""),3.05)</f>
        <v>3.05</v>
      </c>
      <c r="D70" s="16" t="str">
        <f>IFERROR(__xludf.DUMMYFUNCTION("""COMPUTED_VALUE"""),"R")</f>
        <v>R</v>
      </c>
      <c r="E70" s="16"/>
      <c r="F70" s="16"/>
      <c r="G70" s="16">
        <f>IFERROR(__xludf.DUMMYFUNCTION("""COMPUTED_VALUE"""),254.0)</f>
        <v>254</v>
      </c>
      <c r="H70" s="16">
        <f>IFERROR(__xludf.DUMMYFUNCTION("""COMPUTED_VALUE"""),21.0)</f>
        <v>21</v>
      </c>
      <c r="I70" s="16" t="str">
        <f>IFERROR(__xludf.DUMMYFUNCTION("""COMPUTED_VALUE"""),"3p40")</f>
        <v>3p40</v>
      </c>
      <c r="J70" s="16">
        <f>IFERROR(__xludf.DUMMYFUNCTION("""COMPUTED_VALUE"""),12.0)</f>
        <v>12</v>
      </c>
      <c r="K70" s="16">
        <f>IFERROR(__xludf.DUMMYFUNCTION("""COMPUTED_VALUE"""),17.0)</f>
        <v>17</v>
      </c>
      <c r="L70" s="16">
        <f>IFERROR(__xludf.DUMMYFUNCTION("""COMPUTED_VALUE"""),1.0)</f>
        <v>1</v>
      </c>
      <c r="M70" s="16">
        <f>IFERROR(__xludf.DUMMYFUNCTION("""COMPUTED_VALUE"""),1.0)</f>
        <v>1</v>
      </c>
      <c r="N70" s="16">
        <f>IFERROR(__xludf.DUMMYFUNCTION("""COMPUTED_VALUE"""),1.0)</f>
        <v>1</v>
      </c>
      <c r="O70" s="16">
        <f>IFERROR(__xludf.DUMMYFUNCTION("""COMPUTED_VALUE"""),1.0)</f>
        <v>1</v>
      </c>
      <c r="P70" s="16">
        <f>IFERROR(__xludf.DUMMYFUNCTION("""COMPUTED_VALUE"""),12.0)</f>
        <v>12</v>
      </c>
      <c r="Q70" s="16">
        <f>IFERROR(__xludf.DUMMYFUNCTION("""COMPUTED_VALUE"""),5.0)</f>
        <v>5</v>
      </c>
      <c r="R70" s="16">
        <f>IFERROR(__xludf.DUMMYFUNCTION("""COMPUTED_VALUE"""),1.0)</f>
        <v>1</v>
      </c>
      <c r="S70" s="16">
        <f>IFERROR(__xludf.DUMMYFUNCTION("""COMPUTED_VALUE"""),-1.0)</f>
        <v>-1</v>
      </c>
      <c r="T70" s="16">
        <f>IFERROR(__xludf.DUMMYFUNCTION("""COMPUTED_VALUE"""),1.0)</f>
        <v>1</v>
      </c>
      <c r="U70" s="16">
        <f>IFERROR(__xludf.DUMMYFUNCTION("""COMPUTED_VALUE"""),-1.0)</f>
        <v>-1</v>
      </c>
      <c r="V70" s="16">
        <f>IFERROR(__xludf.DUMMYFUNCTION("""COMPUTED_VALUE"""),26.7)</f>
        <v>26.7</v>
      </c>
      <c r="W70" s="16">
        <f>IFERROR(__xludf.DUMMYFUNCTION("""COMPUTED_VALUE"""),33.0)</f>
        <v>33</v>
      </c>
      <c r="X70" s="16">
        <f>IFERROR(__xludf.DUMMYFUNCTION("""COMPUTED_VALUE"""),1.0)</f>
        <v>1</v>
      </c>
      <c r="Y70" s="16">
        <f>IFERROR(__xludf.DUMMYFUNCTION("""COMPUTED_VALUE"""),2.0)</f>
        <v>2</v>
      </c>
      <c r="Z70" s="16">
        <f>IFERROR(__xludf.DUMMYFUNCTION("""COMPUTED_VALUE"""),2.0)</f>
        <v>2</v>
      </c>
      <c r="AA70" s="16">
        <f>IFERROR(__xludf.DUMMYFUNCTION("""COMPUTED_VALUE"""),4.0)</f>
        <v>4</v>
      </c>
      <c r="AB70" s="16">
        <f>IFERROR(__xludf.DUMMYFUNCTION("""COMPUTED_VALUE"""),47.7)</f>
        <v>47.7</v>
      </c>
      <c r="AC70" s="16">
        <f>IFERROR(__xludf.DUMMYFUNCTION("""COMPUTED_VALUE"""),47.0)</f>
        <v>47</v>
      </c>
      <c r="AD70" s="16">
        <f>IFERROR(__xludf.DUMMYFUNCTION("""COMPUTED_VALUE"""),2.0)</f>
        <v>2</v>
      </c>
      <c r="AE70" s="16">
        <f>IFERROR(__xludf.DUMMYFUNCTION("""COMPUTED_VALUE"""),2.0)</f>
        <v>2</v>
      </c>
      <c r="AF70" s="16">
        <f>IFERROR(__xludf.DUMMYFUNCTION("""COMPUTED_VALUE"""),10.0)</f>
        <v>10</v>
      </c>
      <c r="AG70" s="16">
        <f>IFERROR(__xludf.DUMMYFUNCTION("""COMPUTED_VALUE"""),10.0)</f>
        <v>10</v>
      </c>
      <c r="AH70" s="16">
        <f>IFERROR(__xludf.DUMMYFUNCTION("""COMPUTED_VALUE"""),35.6)</f>
        <v>35.6</v>
      </c>
      <c r="AI70" s="16">
        <f>IFERROR(__xludf.DUMMYFUNCTION("""COMPUTED_VALUE"""),47.0)</f>
        <v>47</v>
      </c>
      <c r="AJ70" s="16">
        <f>IFERROR(__xludf.DUMMYFUNCTION("""COMPUTED_VALUE"""),0.0)</f>
        <v>0</v>
      </c>
      <c r="AK70" s="16">
        <f>IFERROR(__xludf.DUMMYFUNCTION("""COMPUTED_VALUE"""),2.0)</f>
        <v>2</v>
      </c>
      <c r="AL70" s="16">
        <f>IFERROR(__xludf.DUMMYFUNCTION("""COMPUTED_VALUE"""),0.0)</f>
        <v>0</v>
      </c>
      <c r="AM70" s="16">
        <f>IFERROR(__xludf.DUMMYFUNCTION("""COMPUTED_VALUE"""),10.0)</f>
        <v>10</v>
      </c>
      <c r="AN70" s="16">
        <f>IFERROR(__xludf.DUMMYFUNCTION("""COMPUTED_VALUE"""),2.0)</f>
        <v>2</v>
      </c>
      <c r="AO70" s="16">
        <f>IFERROR(__xludf.DUMMYFUNCTION("""COMPUTED_VALUE"""),0.3)</f>
        <v>0.3</v>
      </c>
      <c r="AP70" s="16">
        <f>IFERROR(__xludf.DUMMYFUNCTION("""COMPUTED_VALUE"""),0.0)</f>
        <v>0</v>
      </c>
      <c r="AQ70" s="16">
        <f>IFERROR(__xludf.DUMMYFUNCTION("""COMPUTED_VALUE"""),-2.0)</f>
        <v>-2</v>
      </c>
      <c r="AR70" s="16">
        <f>IFERROR(__xludf.DUMMYFUNCTION("""COMPUTED_VALUE"""),0.0)</f>
        <v>0</v>
      </c>
      <c r="AS70" s="16">
        <f>IFERROR(__xludf.DUMMYFUNCTION("""COMPUTED_VALUE"""),-4.0)</f>
        <v>-4</v>
      </c>
      <c r="AT70" s="16"/>
      <c r="AU70" s="16">
        <f>IFERROR(__xludf.DUMMYFUNCTION("""COMPUTED_VALUE"""),0.0)</f>
        <v>0</v>
      </c>
      <c r="AV70" s="16">
        <f>IFERROR(__xludf.DUMMYFUNCTION("""COMPUTED_VALUE"""),-3.0)</f>
        <v>-3</v>
      </c>
      <c r="AW70" s="16">
        <f>IFERROR(__xludf.DUMMYFUNCTION("""COMPUTED_VALUE"""),0.0)</f>
        <v>0</v>
      </c>
      <c r="AX70" s="16">
        <f>IFERROR(__xludf.DUMMYFUNCTION("""COMPUTED_VALUE"""),-3.0)</f>
        <v>-3</v>
      </c>
      <c r="AY70" s="16">
        <f>IFERROR(__xludf.DUMMYFUNCTION("""COMPUTED_VALUE"""),-2.0)</f>
        <v>-2</v>
      </c>
      <c r="AZ70" s="16">
        <f>IFERROR(__xludf.DUMMYFUNCTION("""COMPUTED_VALUE"""),-9.0)</f>
        <v>-9</v>
      </c>
      <c r="BA70" s="16">
        <f>IFERROR(__xludf.DUMMYFUNCTION("""COMPUTED_VALUE"""),-6.0)</f>
        <v>-6</v>
      </c>
      <c r="BB70" s="16">
        <f>IFERROR(__xludf.DUMMYFUNCTION("""COMPUTED_VALUE"""),5.0)</f>
        <v>5</v>
      </c>
      <c r="BC70" s="16">
        <f>IFERROR(__xludf.DUMMYFUNCTION("""COMPUTED_VALUE"""),5.0)</f>
        <v>5</v>
      </c>
      <c r="BD70" s="16">
        <f>IFERROR(__xludf.DUMMYFUNCTION("""COMPUTED_VALUE"""),1.0)</f>
        <v>1</v>
      </c>
      <c r="BE70" s="16">
        <f>IFERROR(__xludf.DUMMYFUNCTION("""COMPUTED_VALUE"""),1.0)</f>
        <v>1</v>
      </c>
      <c r="BF70" s="16">
        <f>IFERROR(__xludf.DUMMYFUNCTION("""COMPUTED_VALUE"""),1.0)</f>
        <v>1</v>
      </c>
      <c r="BG70" s="16">
        <f>IFERROR(__xludf.DUMMYFUNCTION("""COMPUTED_VALUE"""),1.0)</f>
        <v>1</v>
      </c>
      <c r="BH70" s="16">
        <f>IFERROR(__xludf.DUMMYFUNCTION("""COMPUTED_VALUE"""),7.0)</f>
        <v>7</v>
      </c>
      <c r="BI70" s="16">
        <f>IFERROR(__xludf.DUMMYFUNCTION("""COMPUTED_VALUE"""),7.0)</f>
        <v>7</v>
      </c>
      <c r="BJ70" s="16">
        <f>IFERROR(__xludf.DUMMYFUNCTION("""COMPUTED_VALUE"""),2.0)</f>
        <v>2</v>
      </c>
      <c r="BK70" s="16">
        <f>IFERROR(__xludf.DUMMYFUNCTION("""COMPUTED_VALUE"""),2.0)</f>
        <v>2</v>
      </c>
      <c r="BL70" s="16">
        <f>IFERROR(__xludf.DUMMYFUNCTION("""COMPUTED_VALUE"""),2.0)</f>
        <v>2</v>
      </c>
      <c r="BM70" s="16">
        <f>IFERROR(__xludf.DUMMYFUNCTION("""COMPUTED_VALUE"""),2.0)</f>
        <v>2</v>
      </c>
      <c r="BN70" s="16">
        <f>IFERROR(__xludf.DUMMYFUNCTION("""COMPUTED_VALUE"""),2.0)</f>
        <v>2</v>
      </c>
      <c r="BO70" s="16">
        <f>IFERROR(__xludf.DUMMYFUNCTION("""COMPUTED_VALUE"""),2.0)</f>
        <v>2</v>
      </c>
      <c r="BP70" s="16">
        <f>IFERROR(__xludf.DUMMYFUNCTION("""COMPUTED_VALUE"""),5.0)</f>
        <v>5</v>
      </c>
      <c r="BQ70" s="16">
        <f>IFERROR(__xludf.DUMMYFUNCTION("""COMPUTED_VALUE"""),5.0)</f>
        <v>5</v>
      </c>
      <c r="BR70" s="16">
        <f>IFERROR(__xludf.DUMMYFUNCTION("""COMPUTED_VALUE"""),10.0)</f>
        <v>10</v>
      </c>
      <c r="BS70" s="16" t="str">
        <f>IFERROR(__xludf.DUMMYFUNCTION("""COMPUTED_VALUE"""),"*2-6,11/- (19-15)")</f>
        <v>*2-6,11/- (19-15)</v>
      </c>
      <c r="BT70" s="16" t="str">
        <f>IFERROR(__xludf.DUMMYFUNCTION("""COMPUTED_VALUE"""),"AA")</f>
        <v>AA</v>
      </c>
      <c r="BU70" s="16">
        <f>IFERROR(__xludf.DUMMYFUNCTION("""COMPUTED_VALUE"""),16.0)</f>
        <v>16</v>
      </c>
      <c r="BV70" s="16">
        <f>IFERROR(__xludf.DUMMYFUNCTION("""COMPUTED_VALUE"""),3.0)</f>
        <v>3</v>
      </c>
      <c r="BW70" s="16">
        <f>IFERROR(__xludf.DUMMYFUNCTION("""COMPUTED_VALUE"""),2.0)</f>
        <v>2</v>
      </c>
      <c r="BX70" s="16">
        <f>IFERROR(__xludf.DUMMYFUNCTION("""COMPUTED_VALUE"""),6.0)</f>
        <v>6</v>
      </c>
      <c r="BY70" s="16">
        <f>IFERROR(__xludf.DUMMYFUNCTION("""COMPUTED_VALUE"""),6.0)</f>
        <v>6</v>
      </c>
      <c r="BZ70" s="16" t="str">
        <f>IFERROR(__xludf.DUMMYFUNCTION("""COMPUTED_VALUE"""),"A")</f>
        <v>A</v>
      </c>
      <c r="CA70" s="16" t="str">
        <f>IFERROR(__xludf.DUMMYFUNCTION("""COMPUTED_VALUE"""),"C")</f>
        <v>C</v>
      </c>
      <c r="CB70" s="16">
        <f>IFERROR(__xludf.DUMMYFUNCTION("""COMPUTED_VALUE"""),2.0)</f>
        <v>2</v>
      </c>
      <c r="CC70" s="16">
        <f>IFERROR(__xludf.DUMMYFUNCTION("""COMPUTED_VALUE"""),0.0)</f>
        <v>0</v>
      </c>
      <c r="CD70" s="16">
        <f>IFERROR(__xludf.DUMMYFUNCTION("""COMPUTED_VALUE"""),2.0)</f>
        <v>2</v>
      </c>
      <c r="CE70" s="16">
        <f>IFERROR(__xludf.DUMMYFUNCTION("""COMPUTED_VALUE"""),0.0)</f>
        <v>0</v>
      </c>
      <c r="CF70" s="16">
        <f>IFERROR(__xludf.DUMMYFUNCTION("""COMPUTED_VALUE"""),3.0)</f>
        <v>3</v>
      </c>
      <c r="CG70" s="16">
        <f>IFERROR(__xludf.DUMMYFUNCTION("""COMPUTED_VALUE"""),8.0)</f>
        <v>8</v>
      </c>
      <c r="CH70" s="16">
        <f>IFERROR(__xludf.DUMMYFUNCTION("""COMPUTED_VALUE"""),17.0)</f>
        <v>17</v>
      </c>
      <c r="CI70" s="179">
        <f>IFERROR(__xludf.DUMMYFUNCTION("""COMPUTED_VALUE"""),18.0)</f>
        <v>18</v>
      </c>
      <c r="CJ70" s="16"/>
      <c r="CK70" s="16"/>
      <c r="CL70" s="16"/>
      <c r="CM70" s="16"/>
      <c r="CN70" s="16"/>
      <c r="CO70" s="16">
        <f>IFERROR(__xludf.DUMMYFUNCTION("""COMPUTED_VALUE"""),207.0)</f>
        <v>207</v>
      </c>
      <c r="CP70" s="16">
        <f>IFERROR(__xludf.DUMMYFUNCTION("""COMPUTED_VALUE"""),207.0)</f>
        <v>207</v>
      </c>
      <c r="CQ70" s="16">
        <f>IFERROR(__xludf.DUMMYFUNCTION("""COMPUTED_VALUE"""),207.0)</f>
        <v>207</v>
      </c>
      <c r="CR70" s="16" t="str">
        <f>IFERROR(__xludf.DUMMYFUNCTION("""COMPUTED_VALUE"""),"cf-2(-1)e7 rf-2e7 lf-2e7")</f>
        <v>cf-2(-1)e7 rf-2e7 lf-2e7</v>
      </c>
      <c r="CS70" s="16"/>
      <c r="CT70" s="16"/>
      <c r="CU70" s="16"/>
      <c r="CV70" s="16"/>
      <c r="CW70" s="16"/>
      <c r="CX70" s="16">
        <f>IFERROR(__xludf.DUMMYFUNCTION("""COMPUTED_VALUE"""),2.0)</f>
        <v>2</v>
      </c>
      <c r="CY70" s="16">
        <f>IFERROR(__xludf.DUMMYFUNCTION("""COMPUTED_VALUE"""),2.0)</f>
        <v>2</v>
      </c>
      <c r="CZ70" s="16">
        <f>IFERROR(__xludf.DUMMYFUNCTION("""COMPUTED_VALUE"""),2.0)</f>
        <v>2</v>
      </c>
      <c r="DA70" s="16"/>
      <c r="DB70" s="16"/>
      <c r="DC70" s="16"/>
      <c r="DD70" s="16"/>
      <c r="DE70" s="16"/>
      <c r="DF70" s="16">
        <f>IFERROR(__xludf.DUMMYFUNCTION("""COMPUTED_VALUE"""),7.0)</f>
        <v>7</v>
      </c>
      <c r="DG70" s="16">
        <f>IFERROR(__xludf.DUMMYFUNCTION("""COMPUTED_VALUE"""),7.0)</f>
        <v>7</v>
      </c>
      <c r="DH70" s="16">
        <f>IFERROR(__xludf.DUMMYFUNCTION("""COMPUTED_VALUE"""),7.0)</f>
        <v>7</v>
      </c>
      <c r="DI70" s="16"/>
      <c r="DJ70" s="16"/>
      <c r="DK70" s="16"/>
      <c r="DL70" s="16"/>
      <c r="DM70" s="16"/>
      <c r="DN70" s="16">
        <f>IFERROR(__xludf.DUMMYFUNCTION("""COMPUTED_VALUE"""),3.0)</f>
        <v>3</v>
      </c>
      <c r="DO70" s="16">
        <f>IFERROR(__xludf.DUMMYFUNCTION("""COMPUTED_VALUE"""),2.0)</f>
        <v>2</v>
      </c>
      <c r="DP70" s="16">
        <f>IFERROR(__xludf.DUMMYFUNCTION("""COMPUTED_VALUE"""),3.0)</f>
        <v>3</v>
      </c>
      <c r="DQ70" s="16"/>
      <c r="DR70" s="16"/>
      <c r="DS70" s="16"/>
      <c r="DT70" s="16"/>
      <c r="DU70" s="16"/>
      <c r="DV70" s="16">
        <f>IFERROR(__xludf.DUMMYFUNCTION("""COMPUTED_VALUE"""),2.0)</f>
        <v>2</v>
      </c>
      <c r="DW70" s="16">
        <f>IFERROR(__xludf.DUMMYFUNCTION("""COMPUTED_VALUE"""),3.0)</f>
        <v>3</v>
      </c>
      <c r="DX70" s="16">
        <f>IFERROR(__xludf.DUMMYFUNCTION("""COMPUTED_VALUE"""),2.0)</f>
        <v>2</v>
      </c>
      <c r="DY70" s="16"/>
      <c r="DZ70" s="16"/>
      <c r="EA70" s="16"/>
      <c r="EB70" s="16"/>
      <c r="EC70" s="16"/>
      <c r="ED70" s="16">
        <f>IFERROR(__xludf.DUMMYFUNCTION("""COMPUTED_VALUE"""),5.0)</f>
        <v>5</v>
      </c>
      <c r="EE70" s="16">
        <f>IFERROR(__xludf.DUMMYFUNCTION("""COMPUTED_VALUE"""),5.0)</f>
        <v>5</v>
      </c>
      <c r="EF70" s="16">
        <f>IFERROR(__xludf.DUMMYFUNCTION("""COMPUTED_VALUE"""),5.0)</f>
        <v>5</v>
      </c>
      <c r="EG70" s="179"/>
      <c r="EH70" s="179"/>
      <c r="EI70" s="179"/>
      <c r="EJ70" s="179"/>
      <c r="EK70" s="179"/>
      <c r="EL70" s="179">
        <f>IFERROR(__xludf.DUMMYFUNCTION("""COMPUTED_VALUE"""),23.0)</f>
        <v>23</v>
      </c>
      <c r="EM70" s="179">
        <f>IFERROR(__xludf.DUMMYFUNCTION("""COMPUTED_VALUE"""),23.0)</f>
        <v>23</v>
      </c>
      <c r="EN70" s="179">
        <f>IFERROR(__xludf.DUMMYFUNCTION("""COMPUTED_VALUE"""),23.0)</f>
        <v>23</v>
      </c>
      <c r="EO70" s="16"/>
      <c r="EP70" s="16"/>
      <c r="EQ70" s="16">
        <f>IFERROR(__xludf.DUMMYFUNCTION("""COMPUTED_VALUE"""),1.0)</f>
        <v>1</v>
      </c>
      <c r="ER70" s="16">
        <f>IFERROR(__xludf.DUMMYFUNCTION("""COMPUTED_VALUE"""),-1.0)</f>
        <v>-1</v>
      </c>
      <c r="ES70" s="16"/>
      <c r="ET70" s="16"/>
      <c r="EU70" s="16"/>
      <c r="EV70" s="16"/>
      <c r="EW70" s="16"/>
      <c r="EX70" s="180"/>
      <c r="EY70" s="180"/>
      <c r="EZ70" s="180"/>
      <c r="FA70" s="180"/>
      <c r="FB70" s="180"/>
      <c r="FC70" s="180">
        <f>IFERROR(__xludf.DUMMYFUNCTION("""COMPUTED_VALUE"""),0.15)</f>
        <v>0.15</v>
      </c>
      <c r="FD70" s="180">
        <f>IFERROR(__xludf.DUMMYFUNCTION("""COMPUTED_VALUE"""),0.15)</f>
        <v>0.15</v>
      </c>
      <c r="FE70" s="180">
        <f>IFERROR(__xludf.DUMMYFUNCTION("""COMPUTED_VALUE"""),0.15)</f>
        <v>0.15</v>
      </c>
      <c r="FF70" s="180"/>
      <c r="FG70" s="180"/>
      <c r="FH70" s="180"/>
      <c r="FI70" s="180"/>
      <c r="FJ70" s="180"/>
      <c r="FK70" s="180">
        <f>IFERROR(__xludf.DUMMYFUNCTION("""COMPUTED_VALUE"""),0.125)</f>
        <v>0.125</v>
      </c>
      <c r="FL70" s="180">
        <f>IFERROR(__xludf.DUMMYFUNCTION("""COMPUTED_VALUE"""),0.08333333333333333)</f>
        <v>0.08333333333</v>
      </c>
      <c r="FM70" s="180">
        <f>IFERROR(__xludf.DUMMYFUNCTION("""COMPUTED_VALUE"""),0.125)</f>
        <v>0.125</v>
      </c>
      <c r="FN70" s="16"/>
      <c r="FO70" s="16"/>
      <c r="FP70" s="16"/>
      <c r="FQ70" s="16"/>
      <c r="FR70" s="16"/>
      <c r="FS70" s="16">
        <f>IFERROR(__xludf.DUMMYFUNCTION("""COMPUTED_VALUE"""),0.74375)</f>
        <v>0.74375</v>
      </c>
      <c r="FT70" s="16">
        <f>IFERROR(__xludf.DUMMYFUNCTION("""COMPUTED_VALUE"""),0.7791666666666666)</f>
        <v>0.7791666667</v>
      </c>
      <c r="FU70" s="16">
        <f>IFERROR(__xludf.DUMMYFUNCTION("""COMPUTED_VALUE"""),0.74375)</f>
        <v>0.74375</v>
      </c>
      <c r="FV70" s="16"/>
      <c r="FW70" s="16"/>
      <c r="FX70" s="16"/>
      <c r="FY70" s="16"/>
      <c r="FZ70" s="16"/>
      <c r="GA70" s="16">
        <f>IFERROR(__xludf.DUMMYFUNCTION("""COMPUTED_VALUE"""),-4.0)</f>
        <v>-4</v>
      </c>
      <c r="GB70" s="16">
        <f>IFERROR(__xludf.DUMMYFUNCTION("""COMPUTED_VALUE"""),-1.0)</f>
        <v>-1</v>
      </c>
      <c r="GC70" s="16">
        <f>IFERROR(__xludf.DUMMYFUNCTION("""COMPUTED_VALUE"""),-4.0)</f>
        <v>-4</v>
      </c>
      <c r="GD70" s="16" t="s">
        <v>346</v>
      </c>
    </row>
    <row r="71">
      <c r="A71" s="16">
        <f>IFERROR(__xludf.DUMMYFUNCTION("""COMPUTED_VALUE"""),13172.0)</f>
        <v>13172</v>
      </c>
      <c r="B71" s="16" t="str">
        <f>IFERROR(__xludf.DUMMYFUNCTION("""COMPUTED_VALUE"""),"Matt Olson")</f>
        <v>Matt Olson</v>
      </c>
      <c r="C71" s="16">
        <f>IFERROR(__xludf.DUMMYFUNCTION("""COMPUTED_VALUE"""),1.61)</f>
        <v>1.61</v>
      </c>
      <c r="D71" s="16" t="str">
        <f>IFERROR(__xludf.DUMMYFUNCTION("""COMPUTED_VALUE"""),"L")</f>
        <v>L</v>
      </c>
      <c r="E71" s="16"/>
      <c r="F71" s="16"/>
      <c r="G71" s="16">
        <f>IFERROR(__xludf.DUMMYFUNCTION("""COMPUTED_VALUE"""),600.0)</f>
        <v>600</v>
      </c>
      <c r="H71" s="16">
        <f>IFERROR(__xludf.DUMMYFUNCTION("""COMPUTED_VALUE"""),71.0)</f>
        <v>71</v>
      </c>
      <c r="I71" s="16" t="str">
        <f>IFERROR(__xludf.DUMMYFUNCTION("""COMPUTED_VALUE"""),"0p72")</f>
        <v>0p72</v>
      </c>
      <c r="J71" s="16">
        <f>IFERROR(__xludf.DUMMYFUNCTION("""COMPUTED_VALUE"""),27.0)</f>
        <v>27</v>
      </c>
      <c r="K71" s="16">
        <f>IFERROR(__xludf.DUMMYFUNCTION("""COMPUTED_VALUE"""),30.0)</f>
        <v>30</v>
      </c>
      <c r="L71" s="16">
        <f>IFERROR(__xludf.DUMMYFUNCTION("""COMPUTED_VALUE"""),0.0)</f>
        <v>0</v>
      </c>
      <c r="M71" s="16">
        <f>IFERROR(__xludf.DUMMYFUNCTION("""COMPUTED_VALUE"""),-1.0)</f>
        <v>-1</v>
      </c>
      <c r="N71" s="16">
        <f>IFERROR(__xludf.DUMMYFUNCTION("""COMPUTED_VALUE"""),0.0)</f>
        <v>0</v>
      </c>
      <c r="O71" s="16">
        <f>IFERROR(__xludf.DUMMYFUNCTION("""COMPUTED_VALUE"""),-1.0)</f>
        <v>-1</v>
      </c>
      <c r="P71" s="16">
        <f>IFERROR(__xludf.DUMMYFUNCTION("""COMPUTED_VALUE"""),5.0)</f>
        <v>5</v>
      </c>
      <c r="Q71" s="16">
        <f>IFERROR(__xludf.DUMMYFUNCTION("""COMPUTED_VALUE"""),14.0)</f>
        <v>14</v>
      </c>
      <c r="R71" s="16">
        <f>IFERROR(__xludf.DUMMYFUNCTION("""COMPUTED_VALUE"""),-1.0)</f>
        <v>-1</v>
      </c>
      <c r="S71" s="16">
        <f>IFERROR(__xludf.DUMMYFUNCTION("""COMPUTED_VALUE"""),2.0)</f>
        <v>2</v>
      </c>
      <c r="T71" s="16">
        <f>IFERROR(__xludf.DUMMYFUNCTION("""COMPUTED_VALUE"""),-1.0)</f>
        <v>-1</v>
      </c>
      <c r="U71" s="16">
        <f>IFERROR(__xludf.DUMMYFUNCTION("""COMPUTED_VALUE"""),2.0)</f>
        <v>2</v>
      </c>
      <c r="V71" s="16">
        <f>IFERROR(__xludf.DUMMYFUNCTION("""COMPUTED_VALUE"""),21.9)</f>
        <v>21.9</v>
      </c>
      <c r="W71" s="16">
        <f>IFERROR(__xludf.DUMMYFUNCTION("""COMPUTED_VALUE"""),15.4)</f>
        <v>15.4</v>
      </c>
      <c r="X71" s="16">
        <f>IFERROR(__xludf.DUMMYFUNCTION("""COMPUTED_VALUE"""),0.0)</f>
        <v>0</v>
      </c>
      <c r="Y71" s="16">
        <f>IFERROR(__xludf.DUMMYFUNCTION("""COMPUTED_VALUE"""),-1.0)</f>
        <v>-1</v>
      </c>
      <c r="Z71" s="16">
        <f>IFERROR(__xludf.DUMMYFUNCTION("""COMPUTED_VALUE"""),0.0)</f>
        <v>0</v>
      </c>
      <c r="AA71" s="16">
        <f>IFERROR(__xludf.DUMMYFUNCTION("""COMPUTED_VALUE"""),-2.0)</f>
        <v>-2</v>
      </c>
      <c r="AB71" s="16">
        <f>IFERROR(__xludf.DUMMYFUNCTION("""COMPUTED_VALUE"""),29.9)</f>
        <v>29.9</v>
      </c>
      <c r="AC71" s="16">
        <f>IFERROR(__xludf.DUMMYFUNCTION("""COMPUTED_VALUE"""),32.3)</f>
        <v>32.3</v>
      </c>
      <c r="AD71" s="16">
        <f>IFERROR(__xludf.DUMMYFUNCTION("""COMPUTED_VALUE"""),0.0)</f>
        <v>0</v>
      </c>
      <c r="AE71" s="16">
        <f>IFERROR(__xludf.DUMMYFUNCTION("""COMPUTED_VALUE"""),0.0)</f>
        <v>0</v>
      </c>
      <c r="AF71" s="16">
        <f>IFERROR(__xludf.DUMMYFUNCTION("""COMPUTED_VALUE"""),0.0)</f>
        <v>0</v>
      </c>
      <c r="AG71" s="16">
        <f>IFERROR(__xludf.DUMMYFUNCTION("""COMPUTED_VALUE"""),0.0)</f>
        <v>0</v>
      </c>
      <c r="AH71" s="16">
        <f>IFERROR(__xludf.DUMMYFUNCTION("""COMPUTED_VALUE"""),48.0)</f>
        <v>48</v>
      </c>
      <c r="AI71" s="16">
        <f>IFERROR(__xludf.DUMMYFUNCTION("""COMPUTED_VALUE"""),29.3)</f>
        <v>29.3</v>
      </c>
      <c r="AJ71" s="16">
        <f>IFERROR(__xludf.DUMMYFUNCTION("""COMPUTED_VALUE"""),1.0)</f>
        <v>1</v>
      </c>
      <c r="AK71" s="16">
        <f>IFERROR(__xludf.DUMMYFUNCTION("""COMPUTED_VALUE"""),0.0)</f>
        <v>0</v>
      </c>
      <c r="AL71" s="16">
        <f>IFERROR(__xludf.DUMMYFUNCTION("""COMPUTED_VALUE"""),5.0)</f>
        <v>5</v>
      </c>
      <c r="AM71" s="16">
        <f>IFERROR(__xludf.DUMMYFUNCTION("""COMPUTED_VALUE"""),0.0)</f>
        <v>0</v>
      </c>
      <c r="AN71" s="16">
        <f>IFERROR(__xludf.DUMMYFUNCTION("""COMPUTED_VALUE"""),5.6)</f>
        <v>5.6</v>
      </c>
      <c r="AO71" s="16">
        <f>IFERROR(__xludf.DUMMYFUNCTION("""COMPUTED_VALUE"""),2.5)</f>
        <v>2.5</v>
      </c>
      <c r="AP71" s="16">
        <f>IFERROR(__xludf.DUMMYFUNCTION("""COMPUTED_VALUE"""),3.0)</f>
        <v>3</v>
      </c>
      <c r="AQ71" s="16">
        <f>IFERROR(__xludf.DUMMYFUNCTION("""COMPUTED_VALUE"""),0.0)</f>
        <v>0</v>
      </c>
      <c r="AR71" s="16">
        <f>IFERROR(__xludf.DUMMYFUNCTION("""COMPUTED_VALUE"""),6.0)</f>
        <v>6</v>
      </c>
      <c r="AS71" s="16">
        <f>IFERROR(__xludf.DUMMYFUNCTION("""COMPUTED_VALUE"""),0.0)</f>
        <v>0</v>
      </c>
      <c r="AT71" s="16">
        <f>IFERROR(__xludf.DUMMYFUNCTION("""COMPUTED_VALUE"""),8.0)</f>
        <v>8</v>
      </c>
      <c r="AU71" s="16">
        <f>IFERROR(__xludf.DUMMYFUNCTION("""COMPUTED_VALUE"""),5.0)</f>
        <v>5</v>
      </c>
      <c r="AV71" s="16">
        <f>IFERROR(__xludf.DUMMYFUNCTION("""COMPUTED_VALUE"""),8.0)</f>
        <v>8</v>
      </c>
      <c r="AW71" s="16">
        <f>IFERROR(__xludf.DUMMYFUNCTION("""COMPUTED_VALUE"""),5.0)</f>
        <v>5</v>
      </c>
      <c r="AX71" s="16">
        <f>IFERROR(__xludf.DUMMYFUNCTION("""COMPUTED_VALUE"""),3.0)</f>
        <v>3</v>
      </c>
      <c r="AY71" s="16">
        <f>IFERROR(__xludf.DUMMYFUNCTION("""COMPUTED_VALUE"""),2.0)</f>
        <v>2</v>
      </c>
      <c r="AZ71" s="16">
        <f>IFERROR(__xludf.DUMMYFUNCTION("""COMPUTED_VALUE"""),9.0)</f>
        <v>9</v>
      </c>
      <c r="BA71" s="16">
        <f>IFERROR(__xludf.DUMMYFUNCTION("""COMPUTED_VALUE"""),6.0)</f>
        <v>6</v>
      </c>
      <c r="BB71" s="16">
        <f>IFERROR(__xludf.DUMMYFUNCTION("""COMPUTED_VALUE"""),5.0)</f>
        <v>5</v>
      </c>
      <c r="BC71" s="16">
        <f>IFERROR(__xludf.DUMMYFUNCTION("""COMPUTED_VALUE"""),5.0)</f>
        <v>5</v>
      </c>
      <c r="BD71" s="16">
        <f>IFERROR(__xludf.DUMMYFUNCTION("""COMPUTED_VALUE"""),1.0)</f>
        <v>1</v>
      </c>
      <c r="BE71" s="16">
        <f>IFERROR(__xludf.DUMMYFUNCTION("""COMPUTED_VALUE"""),1.0)</f>
        <v>1</v>
      </c>
      <c r="BF71" s="16">
        <f>IFERROR(__xludf.DUMMYFUNCTION("""COMPUTED_VALUE"""),1.0)</f>
        <v>1</v>
      </c>
      <c r="BG71" s="16">
        <f>IFERROR(__xludf.DUMMYFUNCTION("""COMPUTED_VALUE"""),1.0)</f>
        <v>1</v>
      </c>
      <c r="BH71" s="16">
        <f>IFERROR(__xludf.DUMMYFUNCTION("""COMPUTED_VALUE"""),2.0)</f>
        <v>2</v>
      </c>
      <c r="BI71" s="16">
        <f>IFERROR(__xludf.DUMMYFUNCTION("""COMPUTED_VALUE"""),2.0)</f>
        <v>2</v>
      </c>
      <c r="BJ71" s="16">
        <f>IFERROR(__xludf.DUMMYFUNCTION("""COMPUTED_VALUE"""),18.0)</f>
        <v>18</v>
      </c>
      <c r="BK71" s="16">
        <f>IFERROR(__xludf.DUMMYFUNCTION("""COMPUTED_VALUE"""),15.0)</f>
        <v>15</v>
      </c>
      <c r="BL71" s="16">
        <f>IFERROR(__xludf.DUMMYFUNCTION("""COMPUTED_VALUE"""),-1.0)</f>
        <v>-1</v>
      </c>
      <c r="BM71" s="16">
        <f>IFERROR(__xludf.DUMMYFUNCTION("""COMPUTED_VALUE"""),-1.0)</f>
        <v>-1</v>
      </c>
      <c r="BN71" s="16">
        <f>IFERROR(__xludf.DUMMYFUNCTION("""COMPUTED_VALUE"""),-2.0)</f>
        <v>-2</v>
      </c>
      <c r="BO71" s="16">
        <f>IFERROR(__xludf.DUMMYFUNCTION("""COMPUTED_VALUE"""),-2.0)</f>
        <v>-2</v>
      </c>
      <c r="BP71" s="16">
        <f>IFERROR(__xludf.DUMMYFUNCTION("""COMPUTED_VALUE"""),6.0)</f>
        <v>6</v>
      </c>
      <c r="BQ71" s="16">
        <f>IFERROR(__xludf.DUMMYFUNCTION("""COMPUTED_VALUE"""),2.0)</f>
        <v>2</v>
      </c>
      <c r="BR71" s="16">
        <f>IFERROR(__xludf.DUMMYFUNCTION("""COMPUTED_VALUE"""),8.0)</f>
        <v>8</v>
      </c>
      <c r="BS71" s="16" t="str">
        <f>IFERROR(__xludf.DUMMYFUNCTION("""COMPUTED_VALUE"""),"-/- (---)")</f>
        <v>-/- (---)</v>
      </c>
      <c r="BT71" s="16" t="str">
        <f>IFERROR(__xludf.DUMMYFUNCTION("""COMPUTED_VALUE"""),"E")</f>
        <v>E</v>
      </c>
      <c r="BU71" s="16">
        <f>IFERROR(__xludf.DUMMYFUNCTION("""COMPUTED_VALUE"""),10.0)</f>
        <v>10</v>
      </c>
      <c r="BV71" s="16">
        <f>IFERROR(__xludf.DUMMYFUNCTION("""COMPUTED_VALUE"""),0.0)</f>
        <v>0</v>
      </c>
      <c r="BW71" s="16">
        <f>IFERROR(__xludf.DUMMYFUNCTION("""COMPUTED_VALUE"""),0.0)</f>
        <v>0</v>
      </c>
      <c r="BX71" s="16">
        <f>IFERROR(__xludf.DUMMYFUNCTION("""COMPUTED_VALUE"""),0.0)</f>
        <v>0</v>
      </c>
      <c r="BY71" s="16">
        <f>IFERROR(__xludf.DUMMYFUNCTION("""COMPUTED_VALUE"""),0.0)</f>
        <v>0</v>
      </c>
      <c r="BZ71" s="16" t="str">
        <f>IFERROR(__xludf.DUMMYFUNCTION("""COMPUTED_VALUE"""),"D")</f>
        <v>D</v>
      </c>
      <c r="CA71" s="16" t="str">
        <f>IFERROR(__xludf.DUMMYFUNCTION("""COMPUTED_VALUE"""),"D")</f>
        <v>D</v>
      </c>
      <c r="CB71" s="16">
        <f>IFERROR(__xludf.DUMMYFUNCTION("""COMPUTED_VALUE"""),0.0)</f>
        <v>0</v>
      </c>
      <c r="CC71" s="16">
        <f>IFERROR(__xludf.DUMMYFUNCTION("""COMPUTED_VALUE"""),0.0)</f>
        <v>0</v>
      </c>
      <c r="CD71" s="16">
        <f>IFERROR(__xludf.DUMMYFUNCTION("""COMPUTED_VALUE"""),0.0)</f>
        <v>0</v>
      </c>
      <c r="CE71" s="16">
        <f>IFERROR(__xludf.DUMMYFUNCTION("""COMPUTED_VALUE"""),0.0)</f>
        <v>0</v>
      </c>
      <c r="CF71" s="16">
        <f>IFERROR(__xludf.DUMMYFUNCTION("""COMPUTED_VALUE"""),0.0)</f>
        <v>0</v>
      </c>
      <c r="CG71" s="16">
        <f>IFERROR(__xludf.DUMMYFUNCTION("""COMPUTED_VALUE"""),18.0)</f>
        <v>18</v>
      </c>
      <c r="CH71" s="16">
        <f>IFERROR(__xludf.DUMMYFUNCTION("""COMPUTED_VALUE"""),4.0)</f>
        <v>4</v>
      </c>
      <c r="CI71" s="179">
        <f>IFERROR(__xludf.DUMMYFUNCTION("""COMPUTED_VALUE"""),17.0)</f>
        <v>17</v>
      </c>
      <c r="CJ71" s="16"/>
      <c r="CK71" s="16">
        <f>IFERROR(__xludf.DUMMYFUNCTION("""COMPUTED_VALUE"""),106.0)</f>
        <v>106</v>
      </c>
      <c r="CL71" s="16"/>
      <c r="CM71" s="16"/>
      <c r="CN71" s="16"/>
      <c r="CO71" s="16"/>
      <c r="CP71" s="16"/>
      <c r="CQ71" s="16"/>
      <c r="CR71" s="16" t="str">
        <f>IFERROR(__xludf.DUMMYFUNCTION("""COMPUTED_VALUE"""),"1b-1e6")</f>
        <v>1b-1e6</v>
      </c>
      <c r="CS71" s="16"/>
      <c r="CT71" s="16">
        <f>IFERROR(__xludf.DUMMYFUNCTION("""COMPUTED_VALUE"""),1.0)</f>
        <v>1</v>
      </c>
      <c r="CU71" s="16"/>
      <c r="CV71" s="16"/>
      <c r="CW71" s="16"/>
      <c r="CX71" s="16"/>
      <c r="CY71" s="16"/>
      <c r="CZ71" s="16"/>
      <c r="DA71" s="16"/>
      <c r="DB71" s="16">
        <f>IFERROR(__xludf.DUMMYFUNCTION("""COMPUTED_VALUE"""),6.0)</f>
        <v>6</v>
      </c>
      <c r="DC71" s="16"/>
      <c r="DD71" s="16"/>
      <c r="DE71" s="16"/>
      <c r="DF71" s="16"/>
      <c r="DG71" s="16"/>
      <c r="DH71" s="16"/>
      <c r="DI71" s="16"/>
      <c r="DJ71" s="16">
        <f>IFERROR(__xludf.DUMMYFUNCTION("""COMPUTED_VALUE"""),4.0)</f>
        <v>4</v>
      </c>
      <c r="DK71" s="16"/>
      <c r="DL71" s="16"/>
      <c r="DM71" s="16"/>
      <c r="DN71" s="16"/>
      <c r="DO71" s="16"/>
      <c r="DP71" s="16"/>
      <c r="DQ71" s="16"/>
      <c r="DR71" s="16">
        <f>IFERROR(__xludf.DUMMYFUNCTION("""COMPUTED_VALUE"""),2.0)</f>
        <v>2</v>
      </c>
      <c r="DS71" s="16"/>
      <c r="DT71" s="16"/>
      <c r="DU71" s="16"/>
      <c r="DV71" s="16"/>
      <c r="DW71" s="16"/>
      <c r="DX71" s="16"/>
      <c r="DY71" s="16"/>
      <c r="DZ71" s="16">
        <f>IFERROR(__xludf.DUMMYFUNCTION("""COMPUTED_VALUE"""),6.0)</f>
        <v>6</v>
      </c>
      <c r="EA71" s="16"/>
      <c r="EB71" s="16"/>
      <c r="EC71" s="16"/>
      <c r="ED71" s="16"/>
      <c r="EE71" s="16"/>
      <c r="EF71" s="16"/>
      <c r="EG71" s="179"/>
      <c r="EH71" s="179">
        <f>IFERROR(__xludf.DUMMYFUNCTION("""COMPUTED_VALUE"""),23.0)</f>
        <v>23</v>
      </c>
      <c r="EI71" s="179"/>
      <c r="EJ71" s="179"/>
      <c r="EK71" s="179"/>
      <c r="EL71" s="179"/>
      <c r="EM71" s="179"/>
      <c r="EN71" s="179"/>
      <c r="EO71" s="16"/>
      <c r="EP71" s="16">
        <f>IFERROR(__xludf.DUMMYFUNCTION("""COMPUTED_VALUE"""),-2.0)</f>
        <v>-2</v>
      </c>
      <c r="EQ71" s="16">
        <f>IFERROR(__xludf.DUMMYFUNCTION("""COMPUTED_VALUE"""),5.0)</f>
        <v>5</v>
      </c>
      <c r="ER71" s="16">
        <f>IFERROR(__xludf.DUMMYFUNCTION("""COMPUTED_VALUE"""),4.0)</f>
        <v>4</v>
      </c>
      <c r="ES71" s="16"/>
      <c r="ET71" s="16"/>
      <c r="EU71" s="16"/>
      <c r="EV71" s="16"/>
      <c r="EW71" s="16"/>
      <c r="EX71" s="180"/>
      <c r="EY71" s="180">
        <f>IFERROR(__xludf.DUMMYFUNCTION("""COMPUTED_VALUE"""),0.0)</f>
        <v>0</v>
      </c>
      <c r="EZ71" s="180"/>
      <c r="FA71" s="180"/>
      <c r="FB71" s="180"/>
      <c r="FC71" s="180"/>
      <c r="FD71" s="180"/>
      <c r="FE71" s="180"/>
      <c r="FF71" s="180"/>
      <c r="FG71" s="180">
        <f>IFERROR(__xludf.DUMMYFUNCTION("""COMPUTED_VALUE"""),0.10648148148148148)</f>
        <v>0.1064814815</v>
      </c>
      <c r="FH71" s="180"/>
      <c r="FI71" s="180"/>
      <c r="FJ71" s="180"/>
      <c r="FK71" s="180"/>
      <c r="FL71" s="180"/>
      <c r="FM71" s="180"/>
      <c r="FN71" s="16"/>
      <c r="FO71" s="16">
        <f>IFERROR(__xludf.DUMMYFUNCTION("""COMPUTED_VALUE"""),0.8935185185185185)</f>
        <v>0.8935185185</v>
      </c>
      <c r="FP71" s="16"/>
      <c r="FQ71" s="16"/>
      <c r="FR71" s="16"/>
      <c r="FS71" s="16"/>
      <c r="FT71" s="16"/>
      <c r="FU71" s="16"/>
      <c r="FV71" s="16"/>
      <c r="FW71" s="16">
        <f>IFERROR(__xludf.DUMMYFUNCTION("""COMPUTED_VALUE"""),4.0)</f>
        <v>4</v>
      </c>
      <c r="FX71" s="16"/>
      <c r="FY71" s="16"/>
      <c r="FZ71" s="16"/>
      <c r="GA71" s="16"/>
      <c r="GB71" s="16"/>
      <c r="GC71" s="16"/>
      <c r="GD71" s="16" t="s">
        <v>245</v>
      </c>
    </row>
    <row r="72">
      <c r="A72" s="16">
        <f>IFERROR(__xludf.DUMMYFUNCTION("""COMPUTED_VALUE"""),13296.0)</f>
        <v>13296</v>
      </c>
      <c r="B72" s="16" t="str">
        <f>IFERROR(__xludf.DUMMYFUNCTION("""COMPUTED_VALUE"""),"Ramon Urias")</f>
        <v>Ramon Urias</v>
      </c>
      <c r="C72" s="16">
        <f>IFERROR(__xludf.DUMMYFUNCTION("""COMPUTED_VALUE"""),1.45)</f>
        <v>1.45</v>
      </c>
      <c r="D72" s="16" t="str">
        <f>IFERROR(__xludf.DUMMYFUNCTION("""COMPUTED_VALUE"""),"R")</f>
        <v>R</v>
      </c>
      <c r="E72" s="16"/>
      <c r="F72" s="16"/>
      <c r="G72" s="16">
        <f>IFERROR(__xludf.DUMMYFUNCTION("""COMPUTED_VALUE"""),272.0)</f>
        <v>272</v>
      </c>
      <c r="H72" s="16">
        <f>IFERROR(__xludf.DUMMYFUNCTION("""COMPUTED_VALUE"""),23.0)</f>
        <v>23</v>
      </c>
      <c r="I72" s="16" t="str">
        <f>IFERROR(__xludf.DUMMYFUNCTION("""COMPUTED_VALUE"""),"2p50")</f>
        <v>2p50</v>
      </c>
      <c r="J72" s="16">
        <f>IFERROR(__xludf.DUMMYFUNCTION("""COMPUTED_VALUE"""),15.0)</f>
        <v>15</v>
      </c>
      <c r="K72" s="16">
        <f>IFERROR(__xludf.DUMMYFUNCTION("""COMPUTED_VALUE"""),14.0)</f>
        <v>14</v>
      </c>
      <c r="L72" s="16">
        <f>IFERROR(__xludf.DUMMYFUNCTION("""COMPUTED_VALUE"""),1.0)</f>
        <v>1</v>
      </c>
      <c r="M72" s="16">
        <f>IFERROR(__xludf.DUMMYFUNCTION("""COMPUTED_VALUE"""),1.0)</f>
        <v>1</v>
      </c>
      <c r="N72" s="16">
        <f>IFERROR(__xludf.DUMMYFUNCTION("""COMPUTED_VALUE"""),1.0)</f>
        <v>1</v>
      </c>
      <c r="O72" s="16">
        <f>IFERROR(__xludf.DUMMYFUNCTION("""COMPUTED_VALUE"""),1.0)</f>
        <v>1</v>
      </c>
      <c r="P72" s="16">
        <f>IFERROR(__xludf.DUMMYFUNCTION("""COMPUTED_VALUE"""),0.0)</f>
        <v>0</v>
      </c>
      <c r="Q72" s="16">
        <f>IFERROR(__xludf.DUMMYFUNCTION("""COMPUTED_VALUE"""),12.0)</f>
        <v>12</v>
      </c>
      <c r="R72" s="16">
        <f>IFERROR(__xludf.DUMMYFUNCTION("""COMPUTED_VALUE"""),-3.0)</f>
        <v>-3</v>
      </c>
      <c r="S72" s="16">
        <f>IFERROR(__xludf.DUMMYFUNCTION("""COMPUTED_VALUE"""),1.0)</f>
        <v>1</v>
      </c>
      <c r="T72" s="16">
        <f>IFERROR(__xludf.DUMMYFUNCTION("""COMPUTED_VALUE"""),-3.0)</f>
        <v>-3</v>
      </c>
      <c r="U72" s="16">
        <f>IFERROR(__xludf.DUMMYFUNCTION("""COMPUTED_VALUE"""),1.0)</f>
        <v>1</v>
      </c>
      <c r="V72" s="16">
        <f>IFERROR(__xludf.DUMMYFUNCTION("""COMPUTED_VALUE"""),24.1)</f>
        <v>24.1</v>
      </c>
      <c r="W72" s="16">
        <f>IFERROR(__xludf.DUMMYFUNCTION("""COMPUTED_VALUE"""),18.6)</f>
        <v>18.6</v>
      </c>
      <c r="X72" s="16">
        <f>IFERROR(__xludf.DUMMYFUNCTION("""COMPUTED_VALUE"""),1.0)</f>
        <v>1</v>
      </c>
      <c r="Y72" s="16">
        <f>IFERROR(__xludf.DUMMYFUNCTION("""COMPUTED_VALUE"""),0.0)</f>
        <v>0</v>
      </c>
      <c r="Z72" s="16">
        <f>IFERROR(__xludf.DUMMYFUNCTION("""COMPUTED_VALUE"""),2.0)</f>
        <v>2</v>
      </c>
      <c r="AA72" s="16">
        <f>IFERROR(__xludf.DUMMYFUNCTION("""COMPUTED_VALUE"""),0.0)</f>
        <v>0</v>
      </c>
      <c r="AB72" s="16">
        <f>IFERROR(__xludf.DUMMYFUNCTION("""COMPUTED_VALUE"""),28.1)</f>
        <v>28.1</v>
      </c>
      <c r="AC72" s="16">
        <f>IFERROR(__xludf.DUMMYFUNCTION("""COMPUTED_VALUE"""),34.6)</f>
        <v>34.6</v>
      </c>
      <c r="AD72" s="16">
        <f>IFERROR(__xludf.DUMMYFUNCTION("""COMPUTED_VALUE"""),0.0)</f>
        <v>0</v>
      </c>
      <c r="AE72" s="16">
        <f>IFERROR(__xludf.DUMMYFUNCTION("""COMPUTED_VALUE"""),1.0)</f>
        <v>1</v>
      </c>
      <c r="AF72" s="16">
        <f>IFERROR(__xludf.DUMMYFUNCTION("""COMPUTED_VALUE"""),0.0)</f>
        <v>0</v>
      </c>
      <c r="AG72" s="16">
        <f>IFERROR(__xludf.DUMMYFUNCTION("""COMPUTED_VALUE"""),5.0)</f>
        <v>5</v>
      </c>
      <c r="AH72" s="16">
        <f>IFERROR(__xludf.DUMMYFUNCTION("""COMPUTED_VALUE"""),41.9)</f>
        <v>41.9</v>
      </c>
      <c r="AI72" s="16">
        <f>IFERROR(__xludf.DUMMYFUNCTION("""COMPUTED_VALUE"""),28.2)</f>
        <v>28.2</v>
      </c>
      <c r="AJ72" s="16">
        <f>IFERROR(__xludf.DUMMYFUNCTION("""COMPUTED_VALUE"""),1.0)</f>
        <v>1</v>
      </c>
      <c r="AK72" s="16">
        <f>IFERROR(__xludf.DUMMYFUNCTION("""COMPUTED_VALUE"""),-1.0)</f>
        <v>-1</v>
      </c>
      <c r="AL72" s="16">
        <f>IFERROR(__xludf.DUMMYFUNCTION("""COMPUTED_VALUE"""),5.0)</f>
        <v>5</v>
      </c>
      <c r="AM72" s="16">
        <f>IFERROR(__xludf.DUMMYFUNCTION("""COMPUTED_VALUE"""),-5.0)</f>
        <v>-5</v>
      </c>
      <c r="AN72" s="16">
        <f>IFERROR(__xludf.DUMMYFUNCTION("""COMPUTED_VALUE"""),4.3)</f>
        <v>4.3</v>
      </c>
      <c r="AO72" s="16">
        <f>IFERROR(__xludf.DUMMYFUNCTION("""COMPUTED_VALUE"""),2.3)</f>
        <v>2.3</v>
      </c>
      <c r="AP72" s="16">
        <f>IFERROR(__xludf.DUMMYFUNCTION("""COMPUTED_VALUE"""),2.0)</f>
        <v>2</v>
      </c>
      <c r="AQ72" s="16">
        <f>IFERROR(__xludf.DUMMYFUNCTION("""COMPUTED_VALUE"""),0.0)</f>
        <v>0</v>
      </c>
      <c r="AR72" s="16">
        <f>IFERROR(__xludf.DUMMYFUNCTION("""COMPUTED_VALUE"""),4.0)</f>
        <v>4</v>
      </c>
      <c r="AS72" s="16">
        <f>IFERROR(__xludf.DUMMYFUNCTION("""COMPUTED_VALUE"""),0.0)</f>
        <v>0</v>
      </c>
      <c r="AT72" s="16">
        <f>IFERROR(__xludf.DUMMYFUNCTION("""COMPUTED_VALUE"""),8.0)</f>
        <v>8</v>
      </c>
      <c r="AU72" s="16">
        <f>IFERROR(__xludf.DUMMYFUNCTION("""COMPUTED_VALUE"""),5.0)</f>
        <v>5</v>
      </c>
      <c r="AV72" s="16">
        <f>IFERROR(__xludf.DUMMYFUNCTION("""COMPUTED_VALUE"""),8.0)</f>
        <v>8</v>
      </c>
      <c r="AW72" s="16">
        <f>IFERROR(__xludf.DUMMYFUNCTION("""COMPUTED_VALUE"""),5.0)</f>
        <v>5</v>
      </c>
      <c r="AX72" s="16">
        <f>IFERROR(__xludf.DUMMYFUNCTION("""COMPUTED_VALUE"""),3.0)</f>
        <v>3</v>
      </c>
      <c r="AY72" s="16">
        <f>IFERROR(__xludf.DUMMYFUNCTION("""COMPUTED_VALUE"""),2.0)</f>
        <v>2</v>
      </c>
      <c r="AZ72" s="16">
        <f>IFERROR(__xludf.DUMMYFUNCTION("""COMPUTED_VALUE"""),9.0)</f>
        <v>9</v>
      </c>
      <c r="BA72" s="16">
        <f>IFERROR(__xludf.DUMMYFUNCTION("""COMPUTED_VALUE"""),6.0)</f>
        <v>6</v>
      </c>
      <c r="BB72" s="16">
        <f>IFERROR(__xludf.DUMMYFUNCTION("""COMPUTED_VALUE"""),5.0)</f>
        <v>5</v>
      </c>
      <c r="BC72" s="16">
        <f>IFERROR(__xludf.DUMMYFUNCTION("""COMPUTED_VALUE"""),5.0)</f>
        <v>5</v>
      </c>
      <c r="BD72" s="16">
        <f>IFERROR(__xludf.DUMMYFUNCTION("""COMPUTED_VALUE"""),1.0)</f>
        <v>1</v>
      </c>
      <c r="BE72" s="16">
        <f>IFERROR(__xludf.DUMMYFUNCTION("""COMPUTED_VALUE"""),1.0)</f>
        <v>1</v>
      </c>
      <c r="BF72" s="16">
        <f>IFERROR(__xludf.DUMMYFUNCTION("""COMPUTED_VALUE"""),1.0)</f>
        <v>1</v>
      </c>
      <c r="BG72" s="16">
        <f>IFERROR(__xludf.DUMMYFUNCTION("""COMPUTED_VALUE"""),1.0)</f>
        <v>1</v>
      </c>
      <c r="BH72" s="16">
        <f>IFERROR(__xludf.DUMMYFUNCTION("""COMPUTED_VALUE"""),-3.0)</f>
        <v>-3</v>
      </c>
      <c r="BI72" s="16">
        <f>IFERROR(__xludf.DUMMYFUNCTION("""COMPUTED_VALUE"""),-3.0)</f>
        <v>-3</v>
      </c>
      <c r="BJ72" s="16">
        <f>IFERROR(__xludf.DUMMYFUNCTION("""COMPUTED_VALUE"""),0.0)</f>
        <v>0</v>
      </c>
      <c r="BK72" s="16">
        <f>IFERROR(__xludf.DUMMYFUNCTION("""COMPUTED_VALUE"""),0.0)</f>
        <v>0</v>
      </c>
      <c r="BL72" s="16">
        <f>IFERROR(__xludf.DUMMYFUNCTION("""COMPUTED_VALUE"""),3.0)</f>
        <v>3</v>
      </c>
      <c r="BM72" s="16">
        <f>IFERROR(__xludf.DUMMYFUNCTION("""COMPUTED_VALUE"""),3.0)</f>
        <v>3</v>
      </c>
      <c r="BN72" s="16">
        <f>IFERROR(__xludf.DUMMYFUNCTION("""COMPUTED_VALUE"""),3.0)</f>
        <v>3</v>
      </c>
      <c r="BO72" s="16">
        <f>IFERROR(__xludf.DUMMYFUNCTION("""COMPUTED_VALUE"""),3.0)</f>
        <v>3</v>
      </c>
      <c r="BP72" s="16">
        <f>IFERROR(__xludf.DUMMYFUNCTION("""COMPUTED_VALUE"""),9.0)</f>
        <v>9</v>
      </c>
      <c r="BQ72" s="16">
        <f>IFERROR(__xludf.DUMMYFUNCTION("""COMPUTED_VALUE"""),8.0)</f>
        <v>8</v>
      </c>
      <c r="BR72" s="16">
        <f>IFERROR(__xludf.DUMMYFUNCTION("""COMPUTED_VALUE"""),17.0)</f>
        <v>17</v>
      </c>
      <c r="BS72" s="16" t="str">
        <f>IFERROR(__xludf.DUMMYFUNCTION("""COMPUTED_VALUE"""),"6/12 (13-5)")</f>
        <v>6/12 (13-5)</v>
      </c>
      <c r="BT72" s="16" t="str">
        <f>IFERROR(__xludf.DUMMYFUNCTION("""COMPUTED_VALUE"""),"E")</f>
        <v>E</v>
      </c>
      <c r="BU72" s="16">
        <f>IFERROR(__xludf.DUMMYFUNCTION("""COMPUTED_VALUE"""),12.0)</f>
        <v>12</v>
      </c>
      <c r="BV72" s="16">
        <f>IFERROR(__xludf.DUMMYFUNCTION("""COMPUTED_VALUE"""),0.0)</f>
        <v>0</v>
      </c>
      <c r="BW72" s="16">
        <f>IFERROR(__xludf.DUMMYFUNCTION("""COMPUTED_VALUE"""),0.0)</f>
        <v>0</v>
      </c>
      <c r="BX72" s="16">
        <f>IFERROR(__xludf.DUMMYFUNCTION("""COMPUTED_VALUE"""),0.0)</f>
        <v>0</v>
      </c>
      <c r="BY72" s="16">
        <f>IFERROR(__xludf.DUMMYFUNCTION("""COMPUTED_VALUE"""),0.0)</f>
        <v>0</v>
      </c>
      <c r="BZ72" s="16" t="str">
        <f>IFERROR(__xludf.DUMMYFUNCTION("""COMPUTED_VALUE"""),"D")</f>
        <v>D</v>
      </c>
      <c r="CA72" s="16" t="str">
        <f>IFERROR(__xludf.DUMMYFUNCTION("""COMPUTED_VALUE"""),"C")</f>
        <v>C</v>
      </c>
      <c r="CB72" s="16">
        <f>IFERROR(__xludf.DUMMYFUNCTION("""COMPUTED_VALUE"""),0.0)</f>
        <v>0</v>
      </c>
      <c r="CC72" s="16">
        <f>IFERROR(__xludf.DUMMYFUNCTION("""COMPUTED_VALUE"""),0.0)</f>
        <v>0</v>
      </c>
      <c r="CD72" s="16">
        <f>IFERROR(__xludf.DUMMYFUNCTION("""COMPUTED_VALUE"""),0.0)</f>
        <v>0</v>
      </c>
      <c r="CE72" s="16">
        <f>IFERROR(__xludf.DUMMYFUNCTION("""COMPUTED_VALUE"""),0.0)</f>
        <v>0</v>
      </c>
      <c r="CF72" s="16">
        <f>IFERROR(__xludf.DUMMYFUNCTION("""COMPUTED_VALUE"""),2.0)</f>
        <v>2</v>
      </c>
      <c r="CG72" s="16">
        <f>IFERROR(__xludf.DUMMYFUNCTION("""COMPUTED_VALUE"""),22.0)</f>
        <v>22</v>
      </c>
      <c r="CH72" s="16">
        <f>IFERROR(__xludf.DUMMYFUNCTION("""COMPUTED_VALUE"""),12.0)</f>
        <v>12</v>
      </c>
      <c r="CI72" s="179">
        <f>IFERROR(__xludf.DUMMYFUNCTION("""COMPUTED_VALUE"""),17.0)</f>
        <v>17</v>
      </c>
      <c r="CJ72" s="16"/>
      <c r="CK72" s="16">
        <f>IFERROR(__xludf.DUMMYFUNCTION("""COMPUTED_VALUE"""),418.0)</f>
        <v>418</v>
      </c>
      <c r="CL72" s="16">
        <f>IFERROR(__xludf.DUMMYFUNCTION("""COMPUTED_VALUE"""),304.0)</f>
        <v>304</v>
      </c>
      <c r="CM72" s="16">
        <f>IFERROR(__xludf.DUMMYFUNCTION("""COMPUTED_VALUE"""),313.0)</f>
        <v>313</v>
      </c>
      <c r="CN72" s="16"/>
      <c r="CO72" s="16"/>
      <c r="CP72" s="16"/>
      <c r="CQ72" s="16"/>
      <c r="CR72" s="16" t="str">
        <f>IFERROR(__xludf.DUMMYFUNCTION("""COMPUTED_VALUE"""),"3b-3e13 1b-4e18 2b-3e4")</f>
        <v>3b-3e13 1b-4e18 2b-3e4</v>
      </c>
      <c r="CS72" s="16"/>
      <c r="CT72" s="16">
        <f>IFERROR(__xludf.DUMMYFUNCTION("""COMPUTED_VALUE"""),4.0)</f>
        <v>4</v>
      </c>
      <c r="CU72" s="16">
        <f>IFERROR(__xludf.DUMMYFUNCTION("""COMPUTED_VALUE"""),3.0)</f>
        <v>3</v>
      </c>
      <c r="CV72" s="16">
        <f>IFERROR(__xludf.DUMMYFUNCTION("""COMPUTED_VALUE"""),3.0)</f>
        <v>3</v>
      </c>
      <c r="CW72" s="16"/>
      <c r="CX72" s="16"/>
      <c r="CY72" s="16"/>
      <c r="CZ72" s="16"/>
      <c r="DA72" s="16"/>
      <c r="DB72" s="16">
        <f>IFERROR(__xludf.DUMMYFUNCTION("""COMPUTED_VALUE"""),18.0)</f>
        <v>18</v>
      </c>
      <c r="DC72" s="16">
        <f>IFERROR(__xludf.DUMMYFUNCTION("""COMPUTED_VALUE"""),4.0)</f>
        <v>4</v>
      </c>
      <c r="DD72" s="16">
        <f>IFERROR(__xludf.DUMMYFUNCTION("""COMPUTED_VALUE"""),13.0)</f>
        <v>13</v>
      </c>
      <c r="DE72" s="16"/>
      <c r="DF72" s="16"/>
      <c r="DG72" s="16"/>
      <c r="DH72" s="16"/>
      <c r="DI72" s="16"/>
      <c r="DJ72" s="16">
        <f>IFERROR(__xludf.DUMMYFUNCTION("""COMPUTED_VALUE"""),0.0)</f>
        <v>0</v>
      </c>
      <c r="DK72" s="16">
        <f>IFERROR(__xludf.DUMMYFUNCTION("""COMPUTED_VALUE"""),0.0)</f>
        <v>0</v>
      </c>
      <c r="DL72" s="16">
        <f>IFERROR(__xludf.DUMMYFUNCTION("""COMPUTED_VALUE"""),1.0)</f>
        <v>1</v>
      </c>
      <c r="DM72" s="16"/>
      <c r="DN72" s="16"/>
      <c r="DO72" s="16"/>
      <c r="DP72" s="16"/>
      <c r="DQ72" s="16"/>
      <c r="DR72" s="16">
        <f>IFERROR(__xludf.DUMMYFUNCTION("""COMPUTED_VALUE"""),0.0)</f>
        <v>0</v>
      </c>
      <c r="DS72" s="16">
        <f>IFERROR(__xludf.DUMMYFUNCTION("""COMPUTED_VALUE"""),4.0)</f>
        <v>4</v>
      </c>
      <c r="DT72" s="16">
        <f>IFERROR(__xludf.DUMMYFUNCTION("""COMPUTED_VALUE"""),1.0)</f>
        <v>1</v>
      </c>
      <c r="DU72" s="16"/>
      <c r="DV72" s="16"/>
      <c r="DW72" s="16"/>
      <c r="DX72" s="16"/>
      <c r="DY72" s="16"/>
      <c r="DZ72" s="16">
        <f>IFERROR(__xludf.DUMMYFUNCTION("""COMPUTED_VALUE"""),0.0)</f>
        <v>0</v>
      </c>
      <c r="EA72" s="16">
        <f>IFERROR(__xludf.DUMMYFUNCTION("""COMPUTED_VALUE"""),4.0)</f>
        <v>4</v>
      </c>
      <c r="EB72" s="16">
        <f>IFERROR(__xludf.DUMMYFUNCTION("""COMPUTED_VALUE"""),2.0)</f>
        <v>2</v>
      </c>
      <c r="EC72" s="16"/>
      <c r="ED72" s="16"/>
      <c r="EE72" s="16"/>
      <c r="EF72" s="16"/>
      <c r="EG72" s="179"/>
      <c r="EH72" s="179">
        <f>IFERROR(__xludf.DUMMYFUNCTION("""COMPUTED_VALUE"""),17.0)</f>
        <v>17</v>
      </c>
      <c r="EI72" s="179">
        <f>IFERROR(__xludf.DUMMYFUNCTION("""COMPUTED_VALUE"""),21.0)</f>
        <v>21</v>
      </c>
      <c r="EJ72" s="179">
        <f>IFERROR(__xludf.DUMMYFUNCTION("""COMPUTED_VALUE"""),19.0)</f>
        <v>19</v>
      </c>
      <c r="EK72" s="179"/>
      <c r="EL72" s="179"/>
      <c r="EM72" s="179"/>
      <c r="EN72" s="179"/>
      <c r="EO72" s="16"/>
      <c r="EP72" s="16"/>
      <c r="EQ72" s="16">
        <f>IFERROR(__xludf.DUMMYFUNCTION("""COMPUTED_VALUE"""),2.0)</f>
        <v>2</v>
      </c>
      <c r="ER72" s="16">
        <f>IFERROR(__xludf.DUMMYFUNCTION("""COMPUTED_VALUE"""),0.0)</f>
        <v>0</v>
      </c>
      <c r="ES72" s="16"/>
      <c r="ET72" s="16"/>
      <c r="EU72" s="16"/>
      <c r="EV72" s="16"/>
      <c r="EW72" s="16"/>
      <c r="EX72" s="180"/>
      <c r="EY72" s="180">
        <f>IFERROR(__xludf.DUMMYFUNCTION("""COMPUTED_VALUE"""),0.3)</f>
        <v>0.3</v>
      </c>
      <c r="EZ72" s="180">
        <f>IFERROR(__xludf.DUMMYFUNCTION("""COMPUTED_VALUE"""),0.2)</f>
        <v>0.2</v>
      </c>
      <c r="FA72" s="180">
        <f>IFERROR(__xludf.DUMMYFUNCTION("""COMPUTED_VALUE"""),0.2)</f>
        <v>0.2</v>
      </c>
      <c r="FB72" s="180"/>
      <c r="FC72" s="180"/>
      <c r="FD72" s="180"/>
      <c r="FE72" s="180"/>
      <c r="FF72" s="180"/>
      <c r="FG72" s="180">
        <f>IFERROR(__xludf.DUMMYFUNCTION("""COMPUTED_VALUE"""),0.32407407407407407)</f>
        <v>0.3240740741</v>
      </c>
      <c r="FH72" s="180">
        <f>IFERROR(__xludf.DUMMYFUNCTION("""COMPUTED_VALUE"""),0.023148148148148147)</f>
        <v>0.02314814815</v>
      </c>
      <c r="FI72" s="180">
        <f>IFERROR(__xludf.DUMMYFUNCTION("""COMPUTED_VALUE"""),0.1574074074074074)</f>
        <v>0.1574074074</v>
      </c>
      <c r="FJ72" s="180"/>
      <c r="FK72" s="180"/>
      <c r="FL72" s="180"/>
      <c r="FM72" s="180"/>
      <c r="FN72" s="16"/>
      <c r="FO72" s="16">
        <f>IFERROR(__xludf.DUMMYFUNCTION("""COMPUTED_VALUE"""),0.4731481481481481)</f>
        <v>0.4731481481</v>
      </c>
      <c r="FP72" s="16">
        <f>IFERROR(__xludf.DUMMYFUNCTION("""COMPUTED_VALUE"""),0.7814814814814816)</f>
        <v>0.7814814815</v>
      </c>
      <c r="FQ72" s="16">
        <f>IFERROR(__xludf.DUMMYFUNCTION("""COMPUTED_VALUE"""),0.674074074074074)</f>
        <v>0.6740740741</v>
      </c>
      <c r="FR72" s="16"/>
      <c r="FS72" s="16"/>
      <c r="FT72" s="16"/>
      <c r="FU72" s="16"/>
      <c r="FV72" s="16"/>
      <c r="FW72" s="16">
        <f>IFERROR(__xludf.DUMMYFUNCTION("""COMPUTED_VALUE"""),-8.0)</f>
        <v>-8</v>
      </c>
      <c r="FX72" s="16">
        <f>IFERROR(__xludf.DUMMYFUNCTION("""COMPUTED_VALUE"""),-1.0)</f>
        <v>-1</v>
      </c>
      <c r="FY72" s="16">
        <f>IFERROR(__xludf.DUMMYFUNCTION("""COMPUTED_VALUE"""),-4.0)</f>
        <v>-4</v>
      </c>
      <c r="FZ72" s="16"/>
      <c r="GA72" s="16"/>
      <c r="GB72" s="16"/>
      <c r="GC72" s="16"/>
      <c r="GD72" s="16" t="s">
        <v>333</v>
      </c>
    </row>
    <row r="73">
      <c r="A73" s="16">
        <f>IFERROR(__xludf.DUMMYFUNCTION("""COMPUTED_VALUE"""),13494.0)</f>
        <v>13494</v>
      </c>
      <c r="B73" s="16" t="str">
        <f>IFERROR(__xludf.DUMMYFUNCTION("""COMPUTED_VALUE"""),"Xavier Edwards")</f>
        <v>Xavier Edwards</v>
      </c>
      <c r="C73" s="16">
        <f>IFERROR(__xludf.DUMMYFUNCTION("""COMPUTED_VALUE"""),1.91)</f>
        <v>1.91</v>
      </c>
      <c r="D73" s="16" t="str">
        <f>IFERROR(__xludf.DUMMYFUNCTION("""COMPUTED_VALUE"""),"S")</f>
        <v>S</v>
      </c>
      <c r="E73" s="16"/>
      <c r="F73" s="16"/>
      <c r="G73" s="16">
        <f>IFERROR(__xludf.DUMMYFUNCTION("""COMPUTED_VALUE"""),265.0)</f>
        <v>265</v>
      </c>
      <c r="H73" s="16">
        <f>IFERROR(__xludf.DUMMYFUNCTION("""COMPUTED_VALUE"""),33.0)</f>
        <v>33</v>
      </c>
      <c r="I73" s="16" t="str">
        <f>IFERROR(__xludf.DUMMYFUNCTION("""COMPUTED_VALUE"""),"5p40")</f>
        <v>5p40</v>
      </c>
      <c r="J73" s="16">
        <f>IFERROR(__xludf.DUMMYFUNCTION("""COMPUTED_VALUE"""),16.0)</f>
        <v>16</v>
      </c>
      <c r="K73" s="16">
        <f>IFERROR(__xludf.DUMMYFUNCTION("""COMPUTED_VALUE"""),12.0)</f>
        <v>12</v>
      </c>
      <c r="L73" s="16">
        <f>IFERROR(__xludf.DUMMYFUNCTION("""COMPUTED_VALUE"""),1.0)</f>
        <v>1</v>
      </c>
      <c r="M73" s="16">
        <f>IFERROR(__xludf.DUMMYFUNCTION("""COMPUTED_VALUE"""),1.0)</f>
        <v>1</v>
      </c>
      <c r="N73" s="16">
        <f>IFERROR(__xludf.DUMMYFUNCTION("""COMPUTED_VALUE"""),1.0)</f>
        <v>1</v>
      </c>
      <c r="O73" s="16">
        <f>IFERROR(__xludf.DUMMYFUNCTION("""COMPUTED_VALUE"""),1.0)</f>
        <v>1</v>
      </c>
      <c r="P73" s="16">
        <f>IFERROR(__xludf.DUMMYFUNCTION("""COMPUTED_VALUE"""),19.0)</f>
        <v>19</v>
      </c>
      <c r="Q73" s="16">
        <f>IFERROR(__xludf.DUMMYFUNCTION("""COMPUTED_VALUE"""),11.0)</f>
        <v>11</v>
      </c>
      <c r="R73" s="16">
        <f>IFERROR(__xludf.DUMMYFUNCTION("""COMPUTED_VALUE"""),3.0)</f>
        <v>3</v>
      </c>
      <c r="S73" s="16">
        <f>IFERROR(__xludf.DUMMYFUNCTION("""COMPUTED_VALUE"""),1.0)</f>
        <v>1</v>
      </c>
      <c r="T73" s="16">
        <f>IFERROR(__xludf.DUMMYFUNCTION("""COMPUTED_VALUE"""),3.0)</f>
        <v>3</v>
      </c>
      <c r="U73" s="16">
        <f>IFERROR(__xludf.DUMMYFUNCTION("""COMPUTED_VALUE"""),1.0)</f>
        <v>1</v>
      </c>
      <c r="V73" s="16">
        <f>IFERROR(__xludf.DUMMYFUNCTION("""COMPUTED_VALUE"""),28.4)</f>
        <v>28.4</v>
      </c>
      <c r="W73" s="16">
        <f>IFERROR(__xludf.DUMMYFUNCTION("""COMPUTED_VALUE"""),38.4)</f>
        <v>38.4</v>
      </c>
      <c r="X73" s="16">
        <f>IFERROR(__xludf.DUMMYFUNCTION("""COMPUTED_VALUE"""),1.0)</f>
        <v>1</v>
      </c>
      <c r="Y73" s="16">
        <f>IFERROR(__xludf.DUMMYFUNCTION("""COMPUTED_VALUE"""),3.0)</f>
        <v>3</v>
      </c>
      <c r="Z73" s="16">
        <f>IFERROR(__xludf.DUMMYFUNCTION("""COMPUTED_VALUE"""),2.0)</f>
        <v>2</v>
      </c>
      <c r="AA73" s="16">
        <f>IFERROR(__xludf.DUMMYFUNCTION("""COMPUTED_VALUE"""),6.0)</f>
        <v>6</v>
      </c>
      <c r="AB73" s="16">
        <f>IFERROR(__xludf.DUMMYFUNCTION("""COMPUTED_VALUE"""),47.4)</f>
        <v>47.4</v>
      </c>
      <c r="AC73" s="16">
        <f>IFERROR(__xludf.DUMMYFUNCTION("""COMPUTED_VALUE"""),49.4)</f>
        <v>49.4</v>
      </c>
      <c r="AD73" s="16">
        <f>IFERROR(__xludf.DUMMYFUNCTION("""COMPUTED_VALUE"""),2.0)</f>
        <v>2</v>
      </c>
      <c r="AE73" s="16">
        <f>IFERROR(__xludf.DUMMYFUNCTION("""COMPUTED_VALUE"""),2.0)</f>
        <v>2</v>
      </c>
      <c r="AF73" s="16">
        <f>IFERROR(__xludf.DUMMYFUNCTION("""COMPUTED_VALUE"""),10.0)</f>
        <v>10</v>
      </c>
      <c r="AG73" s="16">
        <f>IFERROR(__xludf.DUMMYFUNCTION("""COMPUTED_VALUE"""),10.0)</f>
        <v>10</v>
      </c>
      <c r="AH73" s="16">
        <f>IFERROR(__xludf.DUMMYFUNCTION("""COMPUTED_VALUE"""),37.2)</f>
        <v>37.2</v>
      </c>
      <c r="AI73" s="16">
        <f>IFERROR(__xludf.DUMMYFUNCTION("""COMPUTED_VALUE"""),51.5)</f>
        <v>51.5</v>
      </c>
      <c r="AJ73" s="16">
        <f>IFERROR(__xludf.DUMMYFUNCTION("""COMPUTED_VALUE"""),0.0)</f>
        <v>0</v>
      </c>
      <c r="AK73" s="16">
        <f>IFERROR(__xludf.DUMMYFUNCTION("""COMPUTED_VALUE"""),2.0)</f>
        <v>2</v>
      </c>
      <c r="AL73" s="16">
        <f>IFERROR(__xludf.DUMMYFUNCTION("""COMPUTED_VALUE"""),0.0)</f>
        <v>0</v>
      </c>
      <c r="AM73" s="16">
        <f>IFERROR(__xludf.DUMMYFUNCTION("""COMPUTED_VALUE"""),10.0)</f>
        <v>10</v>
      </c>
      <c r="AN73" s="16">
        <f>IFERROR(__xludf.DUMMYFUNCTION("""COMPUTED_VALUE"""),0.0)</f>
        <v>0</v>
      </c>
      <c r="AO73" s="16">
        <f>IFERROR(__xludf.DUMMYFUNCTION("""COMPUTED_VALUE"""),0.9)</f>
        <v>0.9</v>
      </c>
      <c r="AP73" s="16">
        <f>IFERROR(__xludf.DUMMYFUNCTION("""COMPUTED_VALUE"""),-2.0)</f>
        <v>-2</v>
      </c>
      <c r="AQ73" s="16">
        <f>IFERROR(__xludf.DUMMYFUNCTION("""COMPUTED_VALUE"""),-2.0)</f>
        <v>-2</v>
      </c>
      <c r="AR73" s="16">
        <f>IFERROR(__xludf.DUMMYFUNCTION("""COMPUTED_VALUE"""),-4.0)</f>
        <v>-4</v>
      </c>
      <c r="AS73" s="16">
        <f>IFERROR(__xludf.DUMMYFUNCTION("""COMPUTED_VALUE"""),-4.0)</f>
        <v>-4</v>
      </c>
      <c r="AT73" s="16"/>
      <c r="AU73" s="16"/>
      <c r="AV73" s="16">
        <f>IFERROR(__xludf.DUMMYFUNCTION("""COMPUTED_VALUE"""),-3.0)</f>
        <v>-3</v>
      </c>
      <c r="AW73" s="16">
        <f>IFERROR(__xludf.DUMMYFUNCTION("""COMPUTED_VALUE"""),-3.0)</f>
        <v>-3</v>
      </c>
      <c r="AX73" s="16">
        <f>IFERROR(__xludf.DUMMYFUNCTION("""COMPUTED_VALUE"""),-3.0)</f>
        <v>-3</v>
      </c>
      <c r="AY73" s="16">
        <f>IFERROR(__xludf.DUMMYFUNCTION("""COMPUTED_VALUE"""),-3.0)</f>
        <v>-3</v>
      </c>
      <c r="AZ73" s="16">
        <f>IFERROR(__xludf.DUMMYFUNCTION("""COMPUTED_VALUE"""),-9.0)</f>
        <v>-9</v>
      </c>
      <c r="BA73" s="16">
        <f>IFERROR(__xludf.DUMMYFUNCTION("""COMPUTED_VALUE"""),-9.0)</f>
        <v>-9</v>
      </c>
      <c r="BB73" s="16">
        <f>IFERROR(__xludf.DUMMYFUNCTION("""COMPUTED_VALUE"""),5.0)</f>
        <v>5</v>
      </c>
      <c r="BC73" s="16">
        <f>IFERROR(__xludf.DUMMYFUNCTION("""COMPUTED_VALUE"""),5.0)</f>
        <v>5</v>
      </c>
      <c r="BD73" s="16">
        <f>IFERROR(__xludf.DUMMYFUNCTION("""COMPUTED_VALUE"""),1.0)</f>
        <v>1</v>
      </c>
      <c r="BE73" s="16">
        <f>IFERROR(__xludf.DUMMYFUNCTION("""COMPUTED_VALUE"""),1.0)</f>
        <v>1</v>
      </c>
      <c r="BF73" s="16">
        <f>IFERROR(__xludf.DUMMYFUNCTION("""COMPUTED_VALUE"""),1.0)</f>
        <v>1</v>
      </c>
      <c r="BG73" s="16">
        <f>IFERROR(__xludf.DUMMYFUNCTION("""COMPUTED_VALUE"""),1.0)</f>
        <v>1</v>
      </c>
      <c r="BH73" s="16">
        <f>IFERROR(__xludf.DUMMYFUNCTION("""COMPUTED_VALUE"""),-2.0)</f>
        <v>-2</v>
      </c>
      <c r="BI73" s="16">
        <f>IFERROR(__xludf.DUMMYFUNCTION("""COMPUTED_VALUE"""),-2.0)</f>
        <v>-2</v>
      </c>
      <c r="BJ73" s="16">
        <f>IFERROR(__xludf.DUMMYFUNCTION("""COMPUTED_VALUE"""),0.0)</f>
        <v>0</v>
      </c>
      <c r="BK73" s="16">
        <f>IFERROR(__xludf.DUMMYFUNCTION("""COMPUTED_VALUE"""),0.0)</f>
        <v>0</v>
      </c>
      <c r="BL73" s="16">
        <f>IFERROR(__xludf.DUMMYFUNCTION("""COMPUTED_VALUE"""),3.0)</f>
        <v>3</v>
      </c>
      <c r="BM73" s="16">
        <f>IFERROR(__xludf.DUMMYFUNCTION("""COMPUTED_VALUE"""),3.0)</f>
        <v>3</v>
      </c>
      <c r="BN73" s="16">
        <f>IFERROR(__xludf.DUMMYFUNCTION("""COMPUTED_VALUE"""),3.0)</f>
        <v>3</v>
      </c>
      <c r="BO73" s="16">
        <f>IFERROR(__xludf.DUMMYFUNCTION("""COMPUTED_VALUE"""),3.0)</f>
        <v>3</v>
      </c>
      <c r="BP73" s="16">
        <f>IFERROR(__xludf.DUMMYFUNCTION("""COMPUTED_VALUE"""),6.0)</f>
        <v>6</v>
      </c>
      <c r="BQ73" s="16">
        <f>IFERROR(__xludf.DUMMYFUNCTION("""COMPUTED_VALUE"""),8.0)</f>
        <v>8</v>
      </c>
      <c r="BR73" s="16">
        <f>IFERROR(__xludf.DUMMYFUNCTION("""COMPUTED_VALUE"""),14.0)</f>
        <v>14</v>
      </c>
      <c r="BS73" s="16" t="str">
        <f>IFERROR(__xludf.DUMMYFUNCTION("""COMPUTED_VALUE"""),"*2-5,11,12/- (19-15)")</f>
        <v>*2-5,11,12/- (19-15)</v>
      </c>
      <c r="BT73" s="16" t="str">
        <f>IFERROR(__xludf.DUMMYFUNCTION("""COMPUTED_VALUE"""),"AA")</f>
        <v>AA</v>
      </c>
      <c r="BU73" s="16">
        <f>IFERROR(__xludf.DUMMYFUNCTION("""COMPUTED_VALUE"""),17.0)</f>
        <v>17</v>
      </c>
      <c r="BV73" s="16">
        <f>IFERROR(__xludf.DUMMYFUNCTION("""COMPUTED_VALUE"""),3.0)</f>
        <v>3</v>
      </c>
      <c r="BW73" s="16">
        <f>IFERROR(__xludf.DUMMYFUNCTION("""COMPUTED_VALUE"""),3.0)</f>
        <v>3</v>
      </c>
      <c r="BX73" s="16">
        <f>IFERROR(__xludf.DUMMYFUNCTION("""COMPUTED_VALUE"""),6.0)</f>
        <v>6</v>
      </c>
      <c r="BY73" s="16">
        <f>IFERROR(__xludf.DUMMYFUNCTION("""COMPUTED_VALUE"""),9.0)</f>
        <v>9</v>
      </c>
      <c r="BZ73" s="16" t="str">
        <f>IFERROR(__xludf.DUMMYFUNCTION("""COMPUTED_VALUE"""),"C")</f>
        <v>C</v>
      </c>
      <c r="CA73" s="16" t="str">
        <f>IFERROR(__xludf.DUMMYFUNCTION("""COMPUTED_VALUE"""),"C")</f>
        <v>C</v>
      </c>
      <c r="CB73" s="16">
        <f>IFERROR(__xludf.DUMMYFUNCTION("""COMPUTED_VALUE"""),0.0)</f>
        <v>0</v>
      </c>
      <c r="CC73" s="16">
        <f>IFERROR(__xludf.DUMMYFUNCTION("""COMPUTED_VALUE"""),0.0)</f>
        <v>0</v>
      </c>
      <c r="CD73" s="16">
        <f>IFERROR(__xludf.DUMMYFUNCTION("""COMPUTED_VALUE"""),0.0)</f>
        <v>0</v>
      </c>
      <c r="CE73" s="16">
        <f>IFERROR(__xludf.DUMMYFUNCTION("""COMPUTED_VALUE"""),0.0)</f>
        <v>0</v>
      </c>
      <c r="CF73" s="16">
        <f>IFERROR(__xludf.DUMMYFUNCTION("""COMPUTED_VALUE"""),5.0)</f>
        <v>5</v>
      </c>
      <c r="CG73" s="16">
        <f>IFERROR(__xludf.DUMMYFUNCTION("""COMPUTED_VALUE"""),7.0)</f>
        <v>7</v>
      </c>
      <c r="CH73" s="16">
        <f>IFERROR(__xludf.DUMMYFUNCTION("""COMPUTED_VALUE"""),19.0)</f>
        <v>19</v>
      </c>
      <c r="CI73" s="179">
        <f>IFERROR(__xludf.DUMMYFUNCTION("""COMPUTED_VALUE"""),17.0)</f>
        <v>17</v>
      </c>
      <c r="CJ73" s="16"/>
      <c r="CK73" s="16"/>
      <c r="CL73" s="16">
        <f>IFERROR(__xludf.DUMMYFUNCTION("""COMPUTED_VALUE"""),411.0)</f>
        <v>411</v>
      </c>
      <c r="CM73" s="16"/>
      <c r="CN73" s="16">
        <f>IFERROR(__xludf.DUMMYFUNCTION("""COMPUTED_VALUE"""),417.0)</f>
        <v>417</v>
      </c>
      <c r="CO73" s="16"/>
      <c r="CP73" s="16"/>
      <c r="CQ73" s="16"/>
      <c r="CR73" s="16" t="str">
        <f>IFERROR(__xludf.DUMMYFUNCTION("""COMPUTED_VALUE"""),"ss-4e17 2b-4e11")</f>
        <v>ss-4e17 2b-4e11</v>
      </c>
      <c r="CS73" s="16"/>
      <c r="CT73" s="16"/>
      <c r="CU73" s="16">
        <f>IFERROR(__xludf.DUMMYFUNCTION("""COMPUTED_VALUE"""),4.0)</f>
        <v>4</v>
      </c>
      <c r="CV73" s="16"/>
      <c r="CW73" s="16">
        <f>IFERROR(__xludf.DUMMYFUNCTION("""COMPUTED_VALUE"""),4.0)</f>
        <v>4</v>
      </c>
      <c r="CX73" s="16"/>
      <c r="CY73" s="16"/>
      <c r="CZ73" s="16"/>
      <c r="DA73" s="16"/>
      <c r="DB73" s="16"/>
      <c r="DC73" s="16">
        <f>IFERROR(__xludf.DUMMYFUNCTION("""COMPUTED_VALUE"""),11.0)</f>
        <v>11</v>
      </c>
      <c r="DD73" s="16"/>
      <c r="DE73" s="16">
        <f>IFERROR(__xludf.DUMMYFUNCTION("""COMPUTED_VALUE"""),17.0)</f>
        <v>17</v>
      </c>
      <c r="DF73" s="16"/>
      <c r="DG73" s="16"/>
      <c r="DH73" s="16"/>
      <c r="DI73" s="16"/>
      <c r="DJ73" s="16"/>
      <c r="DK73" s="16">
        <f>IFERROR(__xludf.DUMMYFUNCTION("""COMPUTED_VALUE"""),-2.0)</f>
        <v>-2</v>
      </c>
      <c r="DL73" s="16"/>
      <c r="DM73" s="16">
        <f>IFERROR(__xludf.DUMMYFUNCTION("""COMPUTED_VALUE"""),-2.0)</f>
        <v>-2</v>
      </c>
      <c r="DN73" s="16"/>
      <c r="DO73" s="16"/>
      <c r="DP73" s="16"/>
      <c r="DQ73" s="16"/>
      <c r="DR73" s="16"/>
      <c r="DS73" s="16">
        <f>IFERROR(__xludf.DUMMYFUNCTION("""COMPUTED_VALUE"""),2.0)</f>
        <v>2</v>
      </c>
      <c r="DT73" s="16"/>
      <c r="DU73" s="16">
        <f>IFERROR(__xludf.DUMMYFUNCTION("""COMPUTED_VALUE"""),2.0)</f>
        <v>2</v>
      </c>
      <c r="DV73" s="16"/>
      <c r="DW73" s="16"/>
      <c r="DX73" s="16"/>
      <c r="DY73" s="16"/>
      <c r="DZ73" s="16"/>
      <c r="EA73" s="16">
        <f>IFERROR(__xludf.DUMMYFUNCTION("""COMPUTED_VALUE"""),0.0)</f>
        <v>0</v>
      </c>
      <c r="EB73" s="16"/>
      <c r="EC73" s="16">
        <f>IFERROR(__xludf.DUMMYFUNCTION("""COMPUTED_VALUE"""),0.0)</f>
        <v>0</v>
      </c>
      <c r="ED73" s="16"/>
      <c r="EE73" s="16"/>
      <c r="EF73" s="16"/>
      <c r="EG73" s="179"/>
      <c r="EH73" s="179"/>
      <c r="EI73" s="179">
        <f>IFERROR(__xludf.DUMMYFUNCTION("""COMPUTED_VALUE"""),17.0)</f>
        <v>17</v>
      </c>
      <c r="EJ73" s="179"/>
      <c r="EK73" s="179">
        <f>IFERROR(__xludf.DUMMYFUNCTION("""COMPUTED_VALUE"""),17.0)</f>
        <v>17</v>
      </c>
      <c r="EL73" s="179"/>
      <c r="EM73" s="179"/>
      <c r="EN73" s="179"/>
      <c r="EO73" s="16"/>
      <c r="EP73" s="16">
        <f>IFERROR(__xludf.DUMMYFUNCTION("""COMPUTED_VALUE"""),-3.0)</f>
        <v>-3</v>
      </c>
      <c r="EQ73" s="16">
        <f>IFERROR(__xludf.DUMMYFUNCTION("""COMPUTED_VALUE"""),-2.0)</f>
        <v>-2</v>
      </c>
      <c r="ER73" s="16">
        <f>IFERROR(__xludf.DUMMYFUNCTION("""COMPUTED_VALUE"""),-1.0)</f>
        <v>-1</v>
      </c>
      <c r="ES73" s="16"/>
      <c r="ET73" s="16"/>
      <c r="EU73" s="16"/>
      <c r="EV73" s="16"/>
      <c r="EW73" s="16"/>
      <c r="EX73" s="180"/>
      <c r="EY73" s="180"/>
      <c r="EZ73" s="180">
        <f>IFERROR(__xludf.DUMMYFUNCTION("""COMPUTED_VALUE"""),0.3)</f>
        <v>0.3</v>
      </c>
      <c r="FA73" s="180"/>
      <c r="FB73" s="180">
        <f>IFERROR(__xludf.DUMMYFUNCTION("""COMPUTED_VALUE"""),0.3)</f>
        <v>0.3</v>
      </c>
      <c r="FC73" s="180"/>
      <c r="FD73" s="180"/>
      <c r="FE73" s="180"/>
      <c r="FF73" s="180"/>
      <c r="FG73" s="180"/>
      <c r="FH73" s="180">
        <f>IFERROR(__xludf.DUMMYFUNCTION("""COMPUTED_VALUE"""),0.06481481481481481)</f>
        <v>0.06481481481</v>
      </c>
      <c r="FI73" s="180"/>
      <c r="FJ73" s="180">
        <f>IFERROR(__xludf.DUMMYFUNCTION("""COMPUTED_VALUE"""),0.08796296296296297)</f>
        <v>0.08796296296</v>
      </c>
      <c r="FK73" s="180"/>
      <c r="FL73" s="180"/>
      <c r="FM73" s="180"/>
      <c r="FN73" s="16"/>
      <c r="FO73" s="16"/>
      <c r="FP73" s="16">
        <f>IFERROR(__xludf.DUMMYFUNCTION("""COMPUTED_VALUE"""),0.6546296296296297)</f>
        <v>0.6546296296</v>
      </c>
      <c r="FQ73" s="16"/>
      <c r="FR73" s="16">
        <f>IFERROR(__xludf.DUMMYFUNCTION("""COMPUTED_VALUE"""),0.6384259259259258)</f>
        <v>0.6384259259</v>
      </c>
      <c r="FS73" s="16"/>
      <c r="FT73" s="16"/>
      <c r="FU73" s="16"/>
      <c r="FV73" s="16"/>
      <c r="FW73" s="16"/>
      <c r="FX73" s="16">
        <f>IFERROR(__xludf.DUMMYFUNCTION("""COMPUTED_VALUE"""),-4.0)</f>
        <v>-4</v>
      </c>
      <c r="FY73" s="16"/>
      <c r="FZ73" s="16">
        <f>IFERROR(__xludf.DUMMYFUNCTION("""COMPUTED_VALUE"""),-6.0)</f>
        <v>-6</v>
      </c>
      <c r="GA73" s="16"/>
      <c r="GB73" s="16"/>
      <c r="GC73" s="16"/>
      <c r="GD73" s="16" t="s">
        <v>465</v>
      </c>
    </row>
    <row r="74">
      <c r="A74" s="16">
        <f>IFERROR(__xludf.DUMMYFUNCTION("""COMPUTED_VALUE"""),12941.0)</f>
        <v>12941</v>
      </c>
      <c r="B74" s="16" t="str">
        <f>IFERROR(__xludf.DUMMYFUNCTION("""COMPUTED_VALUE"""),"Jazz Chisholm")</f>
        <v>Jazz Chisholm</v>
      </c>
      <c r="C74" s="16">
        <f>IFERROR(__xludf.DUMMYFUNCTION("""COMPUTED_VALUE"""),1.26)</f>
        <v>1.26</v>
      </c>
      <c r="D74" s="16" t="str">
        <f>IFERROR(__xludf.DUMMYFUNCTION("""COMPUTED_VALUE"""),"L")</f>
        <v>L</v>
      </c>
      <c r="E74" s="16"/>
      <c r="F74" s="16"/>
      <c r="G74" s="16">
        <f>IFERROR(__xludf.DUMMYFUNCTION("""COMPUTED_VALUE"""),562.0)</f>
        <v>562</v>
      </c>
      <c r="H74" s="16">
        <f>IFERROR(__xludf.DUMMYFUNCTION("""COMPUTED_VALUE"""),53.0)</f>
        <v>53</v>
      </c>
      <c r="I74" s="16" t="str">
        <f>IFERROR(__xludf.DUMMYFUNCTION("""COMPUTED_VALUE"""),"1p65")</f>
        <v>1p65</v>
      </c>
      <c r="J74" s="16">
        <f>IFERROR(__xludf.DUMMYFUNCTION("""COMPUTED_VALUE"""),26.0)</f>
        <v>26</v>
      </c>
      <c r="K74" s="16">
        <f>IFERROR(__xludf.DUMMYFUNCTION("""COMPUTED_VALUE"""),28.0)</f>
        <v>28</v>
      </c>
      <c r="L74" s="16">
        <f>IFERROR(__xludf.DUMMYFUNCTION("""COMPUTED_VALUE"""),0.0)</f>
        <v>0</v>
      </c>
      <c r="M74" s="16">
        <f>IFERROR(__xludf.DUMMYFUNCTION("""COMPUTED_VALUE"""),0.0)</f>
        <v>0</v>
      </c>
      <c r="N74" s="16">
        <f>IFERROR(__xludf.DUMMYFUNCTION("""COMPUTED_VALUE"""),0.0)</f>
        <v>0</v>
      </c>
      <c r="O74" s="16">
        <f>IFERROR(__xludf.DUMMYFUNCTION("""COMPUTED_VALUE"""),0.0)</f>
        <v>0</v>
      </c>
      <c r="P74" s="16">
        <f>IFERROR(__xludf.DUMMYFUNCTION("""COMPUTED_VALUE"""),10.0)</f>
        <v>10</v>
      </c>
      <c r="Q74" s="16">
        <f>IFERROR(__xludf.DUMMYFUNCTION("""COMPUTED_VALUE"""),7.0)</f>
        <v>7</v>
      </c>
      <c r="R74" s="16">
        <f>IFERROR(__xludf.DUMMYFUNCTION("""COMPUTED_VALUE"""),1.0)</f>
        <v>1</v>
      </c>
      <c r="S74" s="16">
        <f>IFERROR(__xludf.DUMMYFUNCTION("""COMPUTED_VALUE"""),-1.0)</f>
        <v>-1</v>
      </c>
      <c r="T74" s="16">
        <f>IFERROR(__xludf.DUMMYFUNCTION("""COMPUTED_VALUE"""),1.0)</f>
        <v>1</v>
      </c>
      <c r="U74" s="16">
        <f>IFERROR(__xludf.DUMMYFUNCTION("""COMPUTED_VALUE"""),-1.0)</f>
        <v>-1</v>
      </c>
      <c r="V74" s="16">
        <f>IFERROR(__xludf.DUMMYFUNCTION("""COMPUTED_VALUE"""),20.4)</f>
        <v>20.4</v>
      </c>
      <c r="W74" s="16">
        <f>IFERROR(__xludf.DUMMYFUNCTION("""COMPUTED_VALUE"""),21.9)</f>
        <v>21.9</v>
      </c>
      <c r="X74" s="16">
        <f>IFERROR(__xludf.DUMMYFUNCTION("""COMPUTED_VALUE"""),0.0)</f>
        <v>0</v>
      </c>
      <c r="Y74" s="16">
        <f>IFERROR(__xludf.DUMMYFUNCTION("""COMPUTED_VALUE"""),0.0)</f>
        <v>0</v>
      </c>
      <c r="Z74" s="16">
        <f>IFERROR(__xludf.DUMMYFUNCTION("""COMPUTED_VALUE"""),0.0)</f>
        <v>0</v>
      </c>
      <c r="AA74" s="16">
        <f>IFERROR(__xludf.DUMMYFUNCTION("""COMPUTED_VALUE"""),0.0)</f>
        <v>0</v>
      </c>
      <c r="AB74" s="16">
        <f>IFERROR(__xludf.DUMMYFUNCTION("""COMPUTED_VALUE"""),32.4)</f>
        <v>32.4</v>
      </c>
      <c r="AC74" s="16">
        <f>IFERROR(__xludf.DUMMYFUNCTION("""COMPUTED_VALUE"""),30.9)</f>
        <v>30.9</v>
      </c>
      <c r="AD74" s="16">
        <f>IFERROR(__xludf.DUMMYFUNCTION("""COMPUTED_VALUE"""),0.0)</f>
        <v>0</v>
      </c>
      <c r="AE74" s="16">
        <f>IFERROR(__xludf.DUMMYFUNCTION("""COMPUTED_VALUE"""),0.0)</f>
        <v>0</v>
      </c>
      <c r="AF74" s="16">
        <f>IFERROR(__xludf.DUMMYFUNCTION("""COMPUTED_VALUE"""),0.0)</f>
        <v>0</v>
      </c>
      <c r="AG74" s="16">
        <f>IFERROR(__xludf.DUMMYFUNCTION("""COMPUTED_VALUE"""),0.0)</f>
        <v>0</v>
      </c>
      <c r="AH74" s="16">
        <f>IFERROR(__xludf.DUMMYFUNCTION("""COMPUTED_VALUE"""),28.9)</f>
        <v>28.9</v>
      </c>
      <c r="AI74" s="16">
        <f>IFERROR(__xludf.DUMMYFUNCTION("""COMPUTED_VALUE"""),36.3)</f>
        <v>36.3</v>
      </c>
      <c r="AJ74" s="16">
        <f>IFERROR(__xludf.DUMMYFUNCTION("""COMPUTED_VALUE"""),0.0)</f>
        <v>0</v>
      </c>
      <c r="AK74" s="16">
        <f>IFERROR(__xludf.DUMMYFUNCTION("""COMPUTED_VALUE"""),0.0)</f>
        <v>0</v>
      </c>
      <c r="AL74" s="16">
        <f>IFERROR(__xludf.DUMMYFUNCTION("""COMPUTED_VALUE"""),0.0)</f>
        <v>0</v>
      </c>
      <c r="AM74" s="16">
        <f>IFERROR(__xludf.DUMMYFUNCTION("""COMPUTED_VALUE"""),0.0)</f>
        <v>0</v>
      </c>
      <c r="AN74" s="16">
        <f>IFERROR(__xludf.DUMMYFUNCTION("""COMPUTED_VALUE"""),2.0)</f>
        <v>2</v>
      </c>
      <c r="AO74" s="16">
        <f>IFERROR(__xludf.DUMMYFUNCTION("""COMPUTED_VALUE"""),3.2)</f>
        <v>3.2</v>
      </c>
      <c r="AP74" s="16">
        <f>IFERROR(__xludf.DUMMYFUNCTION("""COMPUTED_VALUE"""),0.0)</f>
        <v>0</v>
      </c>
      <c r="AQ74" s="16">
        <f>IFERROR(__xludf.DUMMYFUNCTION("""COMPUTED_VALUE"""),1.0)</f>
        <v>1</v>
      </c>
      <c r="AR74" s="16">
        <f>IFERROR(__xludf.DUMMYFUNCTION("""COMPUTED_VALUE"""),0.0)</f>
        <v>0</v>
      </c>
      <c r="AS74" s="16">
        <f>IFERROR(__xludf.DUMMYFUNCTION("""COMPUTED_VALUE"""),2.0)</f>
        <v>2</v>
      </c>
      <c r="AT74" s="16">
        <f>IFERROR(__xludf.DUMMYFUNCTION("""COMPUTED_VALUE"""),3.0)</f>
        <v>3</v>
      </c>
      <c r="AU74" s="16">
        <f>IFERROR(__xludf.DUMMYFUNCTION("""COMPUTED_VALUE"""),5.0)</f>
        <v>5</v>
      </c>
      <c r="AV74" s="16">
        <f>IFERROR(__xludf.DUMMYFUNCTION("""COMPUTED_VALUE"""),3.0)</f>
        <v>3</v>
      </c>
      <c r="AW74" s="16">
        <f>IFERROR(__xludf.DUMMYFUNCTION("""COMPUTED_VALUE"""),5.0)</f>
        <v>5</v>
      </c>
      <c r="AX74" s="16">
        <f>IFERROR(__xludf.DUMMYFUNCTION("""COMPUTED_VALUE"""),1.0)</f>
        <v>1</v>
      </c>
      <c r="AY74" s="16">
        <f>IFERROR(__xludf.DUMMYFUNCTION("""COMPUTED_VALUE"""),2.0)</f>
        <v>2</v>
      </c>
      <c r="AZ74" s="16">
        <f>IFERROR(__xludf.DUMMYFUNCTION("""COMPUTED_VALUE"""),3.0)</f>
        <v>3</v>
      </c>
      <c r="BA74" s="16">
        <f>IFERROR(__xludf.DUMMYFUNCTION("""COMPUTED_VALUE"""),6.0)</f>
        <v>6</v>
      </c>
      <c r="BB74" s="16">
        <f>IFERROR(__xludf.DUMMYFUNCTION("""COMPUTED_VALUE"""),5.0)</f>
        <v>5</v>
      </c>
      <c r="BC74" s="16">
        <f>IFERROR(__xludf.DUMMYFUNCTION("""COMPUTED_VALUE"""),5.0)</f>
        <v>5</v>
      </c>
      <c r="BD74" s="16">
        <f>IFERROR(__xludf.DUMMYFUNCTION("""COMPUTED_VALUE"""),1.0)</f>
        <v>1</v>
      </c>
      <c r="BE74" s="16">
        <f>IFERROR(__xludf.DUMMYFUNCTION("""COMPUTED_VALUE"""),1.0)</f>
        <v>1</v>
      </c>
      <c r="BF74" s="16">
        <f>IFERROR(__xludf.DUMMYFUNCTION("""COMPUTED_VALUE"""),1.0)</f>
        <v>1</v>
      </c>
      <c r="BG74" s="16">
        <f>IFERROR(__xludf.DUMMYFUNCTION("""COMPUTED_VALUE"""),1.0)</f>
        <v>1</v>
      </c>
      <c r="BH74" s="16">
        <f>IFERROR(__xludf.DUMMYFUNCTION("""COMPUTED_VALUE"""),-9.0)</f>
        <v>-9</v>
      </c>
      <c r="BI74" s="16">
        <f>IFERROR(__xludf.DUMMYFUNCTION("""COMPUTED_VALUE"""),-10.0)</f>
        <v>-10</v>
      </c>
      <c r="BJ74" s="16">
        <f>IFERROR(__xludf.DUMMYFUNCTION("""COMPUTED_VALUE"""),6.0)</f>
        <v>6</v>
      </c>
      <c r="BK74" s="16">
        <f>IFERROR(__xludf.DUMMYFUNCTION("""COMPUTED_VALUE"""),6.0)</f>
        <v>6</v>
      </c>
      <c r="BL74" s="16">
        <f>IFERROR(__xludf.DUMMYFUNCTION("""COMPUTED_VALUE"""),1.0)</f>
        <v>1</v>
      </c>
      <c r="BM74" s="16">
        <f>IFERROR(__xludf.DUMMYFUNCTION("""COMPUTED_VALUE"""),1.0)</f>
        <v>1</v>
      </c>
      <c r="BN74" s="16">
        <f>IFERROR(__xludf.DUMMYFUNCTION("""COMPUTED_VALUE"""),1.0)</f>
        <v>1</v>
      </c>
      <c r="BO74" s="16">
        <f>IFERROR(__xludf.DUMMYFUNCTION("""COMPUTED_VALUE"""),1.0)</f>
        <v>1</v>
      </c>
      <c r="BP74" s="16">
        <f>IFERROR(__xludf.DUMMYFUNCTION("""COMPUTED_VALUE"""),4.0)</f>
        <v>4</v>
      </c>
      <c r="BQ74" s="16">
        <f>IFERROR(__xludf.DUMMYFUNCTION("""COMPUTED_VALUE"""),4.0)</f>
        <v>4</v>
      </c>
      <c r="BR74" s="16">
        <f>IFERROR(__xludf.DUMMYFUNCTION("""COMPUTED_VALUE"""),8.0)</f>
        <v>8</v>
      </c>
      <c r="BS74" s="16" t="str">
        <f>IFERROR(__xludf.DUMMYFUNCTION("""COMPUTED_VALUE"""),"*2-5,11,12/- (19-15)")</f>
        <v>*2-5,11,12/- (19-15)</v>
      </c>
      <c r="BT74" s="16" t="str">
        <f>IFERROR(__xludf.DUMMYFUNCTION("""COMPUTED_VALUE"""),"AA")</f>
        <v>AA</v>
      </c>
      <c r="BU74" s="16">
        <f>IFERROR(__xludf.DUMMYFUNCTION("""COMPUTED_VALUE"""),16.0)</f>
        <v>16</v>
      </c>
      <c r="BV74" s="16">
        <f>IFERROR(__xludf.DUMMYFUNCTION("""COMPUTED_VALUE"""),3.0)</f>
        <v>3</v>
      </c>
      <c r="BW74" s="16">
        <f>IFERROR(__xludf.DUMMYFUNCTION("""COMPUTED_VALUE"""),2.0)</f>
        <v>2</v>
      </c>
      <c r="BX74" s="16">
        <f>IFERROR(__xludf.DUMMYFUNCTION("""COMPUTED_VALUE"""),6.0)</f>
        <v>6</v>
      </c>
      <c r="BY74" s="16">
        <f>IFERROR(__xludf.DUMMYFUNCTION("""COMPUTED_VALUE"""),6.0)</f>
        <v>6</v>
      </c>
      <c r="BZ74" s="16" t="str">
        <f>IFERROR(__xludf.DUMMYFUNCTION("""COMPUTED_VALUE"""),"D")</f>
        <v>D</v>
      </c>
      <c r="CA74" s="16" t="str">
        <f>IFERROR(__xludf.DUMMYFUNCTION("""COMPUTED_VALUE"""),"D")</f>
        <v>D</v>
      </c>
      <c r="CB74" s="16">
        <f>IFERROR(__xludf.DUMMYFUNCTION("""COMPUTED_VALUE"""),0.0)</f>
        <v>0</v>
      </c>
      <c r="CC74" s="16">
        <f>IFERROR(__xludf.DUMMYFUNCTION("""COMPUTED_VALUE"""),0.0)</f>
        <v>0</v>
      </c>
      <c r="CD74" s="16">
        <f>IFERROR(__xludf.DUMMYFUNCTION("""COMPUTED_VALUE"""),0.0)</f>
        <v>0</v>
      </c>
      <c r="CE74" s="16">
        <f>IFERROR(__xludf.DUMMYFUNCTION("""COMPUTED_VALUE"""),0.0)</f>
        <v>0</v>
      </c>
      <c r="CF74" s="16">
        <f>IFERROR(__xludf.DUMMYFUNCTION("""COMPUTED_VALUE"""),1.0)</f>
        <v>1</v>
      </c>
      <c r="CG74" s="16">
        <f>IFERROR(__xludf.DUMMYFUNCTION("""COMPUTED_VALUE"""),6.0)</f>
        <v>6</v>
      </c>
      <c r="CH74" s="16">
        <f>IFERROR(__xludf.DUMMYFUNCTION("""COMPUTED_VALUE"""),9.0)</f>
        <v>9</v>
      </c>
      <c r="CI74" s="179">
        <f>IFERROR(__xludf.DUMMYFUNCTION("""COMPUTED_VALUE"""),17.0)</f>
        <v>17</v>
      </c>
      <c r="CJ74" s="16"/>
      <c r="CK74" s="16"/>
      <c r="CL74" s="16">
        <f>IFERROR(__xludf.DUMMYFUNCTION("""COMPUTED_VALUE"""),312.0)</f>
        <v>312</v>
      </c>
      <c r="CM74" s="16">
        <f>IFERROR(__xludf.DUMMYFUNCTION("""COMPUTED_VALUE"""),425.0)</f>
        <v>425</v>
      </c>
      <c r="CN74" s="16"/>
      <c r="CO74" s="16"/>
      <c r="CP74" s="16">
        <f>IFERROR(__xludf.DUMMYFUNCTION("""COMPUTED_VALUE"""),304.0)</f>
        <v>304</v>
      </c>
      <c r="CQ74" s="16"/>
      <c r="CR74" s="16" t="str">
        <f>IFERROR(__xludf.DUMMYFUNCTION("""COMPUTED_VALUE"""),"cf-3(0)e4 3b-4e25 2b-3e12")</f>
        <v>cf-3(0)e4 3b-4e25 2b-3e12</v>
      </c>
      <c r="CS74" s="16"/>
      <c r="CT74" s="16"/>
      <c r="CU74" s="16">
        <f>IFERROR(__xludf.DUMMYFUNCTION("""COMPUTED_VALUE"""),3.0)</f>
        <v>3</v>
      </c>
      <c r="CV74" s="16">
        <f>IFERROR(__xludf.DUMMYFUNCTION("""COMPUTED_VALUE"""),4.0)</f>
        <v>4</v>
      </c>
      <c r="CW74" s="16"/>
      <c r="CX74" s="16"/>
      <c r="CY74" s="16">
        <f>IFERROR(__xludf.DUMMYFUNCTION("""COMPUTED_VALUE"""),3.0)</f>
        <v>3</v>
      </c>
      <c r="CZ74" s="16"/>
      <c r="DA74" s="16"/>
      <c r="DB74" s="16"/>
      <c r="DC74" s="16">
        <f>IFERROR(__xludf.DUMMYFUNCTION("""COMPUTED_VALUE"""),12.0)</f>
        <v>12</v>
      </c>
      <c r="DD74" s="16">
        <f>IFERROR(__xludf.DUMMYFUNCTION("""COMPUTED_VALUE"""),25.0)</f>
        <v>25</v>
      </c>
      <c r="DE74" s="16"/>
      <c r="DF74" s="16"/>
      <c r="DG74" s="16">
        <f>IFERROR(__xludf.DUMMYFUNCTION("""COMPUTED_VALUE"""),4.0)</f>
        <v>4</v>
      </c>
      <c r="DH74" s="16"/>
      <c r="DI74" s="16"/>
      <c r="DJ74" s="16"/>
      <c r="DK74" s="16">
        <f>IFERROR(__xludf.DUMMYFUNCTION("""COMPUTED_VALUE"""),0.0)</f>
        <v>0</v>
      </c>
      <c r="DL74" s="16">
        <f>IFERROR(__xludf.DUMMYFUNCTION("""COMPUTED_VALUE"""),0.0)</f>
        <v>0</v>
      </c>
      <c r="DM74" s="16"/>
      <c r="DN74" s="16"/>
      <c r="DO74" s="16">
        <f>IFERROR(__xludf.DUMMYFUNCTION("""COMPUTED_VALUE"""),0.0)</f>
        <v>0</v>
      </c>
      <c r="DP74" s="16"/>
      <c r="DQ74" s="16"/>
      <c r="DR74" s="16"/>
      <c r="DS74" s="16">
        <f>IFERROR(__xludf.DUMMYFUNCTION("""COMPUTED_VALUE"""),2.0)</f>
        <v>2</v>
      </c>
      <c r="DT74" s="16">
        <f>IFERROR(__xludf.DUMMYFUNCTION("""COMPUTED_VALUE"""),-2.0)</f>
        <v>-2</v>
      </c>
      <c r="DU74" s="16"/>
      <c r="DV74" s="16"/>
      <c r="DW74" s="16">
        <f>IFERROR(__xludf.DUMMYFUNCTION("""COMPUTED_VALUE"""),3.0)</f>
        <v>3</v>
      </c>
      <c r="DX74" s="16"/>
      <c r="DY74" s="16"/>
      <c r="DZ74" s="16"/>
      <c r="EA74" s="16">
        <f>IFERROR(__xludf.DUMMYFUNCTION("""COMPUTED_VALUE"""),2.0)</f>
        <v>2</v>
      </c>
      <c r="EB74" s="16">
        <f>IFERROR(__xludf.DUMMYFUNCTION("""COMPUTED_VALUE"""),-2.0)</f>
        <v>-2</v>
      </c>
      <c r="EC74" s="16"/>
      <c r="ED74" s="16"/>
      <c r="EE74" s="16">
        <f>IFERROR(__xludf.DUMMYFUNCTION("""COMPUTED_VALUE"""),3.0)</f>
        <v>3</v>
      </c>
      <c r="EF74" s="16"/>
      <c r="EG74" s="179"/>
      <c r="EH74" s="179"/>
      <c r="EI74" s="179">
        <f>IFERROR(__xludf.DUMMYFUNCTION("""COMPUTED_VALUE"""),19.0)</f>
        <v>19</v>
      </c>
      <c r="EJ74" s="179">
        <f>IFERROR(__xludf.DUMMYFUNCTION("""COMPUTED_VALUE"""),15.0)</f>
        <v>15</v>
      </c>
      <c r="EK74" s="179"/>
      <c r="EL74" s="179"/>
      <c r="EM74" s="179">
        <f>IFERROR(__xludf.DUMMYFUNCTION("""COMPUTED_VALUE"""),20.0)</f>
        <v>20</v>
      </c>
      <c r="EN74" s="179"/>
      <c r="EO74" s="16"/>
      <c r="EP74" s="16">
        <f>IFERROR(__xludf.DUMMYFUNCTION("""COMPUTED_VALUE"""),2.0)</f>
        <v>2</v>
      </c>
      <c r="EQ74" s="16">
        <f>IFERROR(__xludf.DUMMYFUNCTION("""COMPUTED_VALUE"""),4.0)</f>
        <v>4</v>
      </c>
      <c r="ER74" s="16">
        <f>IFERROR(__xludf.DUMMYFUNCTION("""COMPUTED_VALUE"""),2.0)</f>
        <v>2</v>
      </c>
      <c r="ES74" s="16"/>
      <c r="ET74" s="16"/>
      <c r="EU74" s="16"/>
      <c r="EV74" s="16"/>
      <c r="EW74" s="16"/>
      <c r="EX74" s="180"/>
      <c r="EY74" s="180"/>
      <c r="EZ74" s="180">
        <f>IFERROR(__xludf.DUMMYFUNCTION("""COMPUTED_VALUE"""),0.2)</f>
        <v>0.2</v>
      </c>
      <c r="FA74" s="180">
        <f>IFERROR(__xludf.DUMMYFUNCTION("""COMPUTED_VALUE"""),0.3)</f>
        <v>0.3</v>
      </c>
      <c r="FB74" s="180"/>
      <c r="FC74" s="180"/>
      <c r="FD74" s="180">
        <f>IFERROR(__xludf.DUMMYFUNCTION("""COMPUTED_VALUE"""),0.3)</f>
        <v>0.3</v>
      </c>
      <c r="FE74" s="180"/>
      <c r="FF74" s="180"/>
      <c r="FG74" s="180"/>
      <c r="FH74" s="180">
        <f>IFERROR(__xludf.DUMMYFUNCTION("""COMPUTED_VALUE"""),0.06944444444444445)</f>
        <v>0.06944444444</v>
      </c>
      <c r="FI74" s="180">
        <f>IFERROR(__xludf.DUMMYFUNCTION("""COMPUTED_VALUE"""),0.30092592592592593)</f>
        <v>0.3009259259</v>
      </c>
      <c r="FJ74" s="180"/>
      <c r="FK74" s="180"/>
      <c r="FL74" s="180">
        <f>IFERROR(__xludf.DUMMYFUNCTION("""COMPUTED_VALUE"""),0.046296296296296294)</f>
        <v>0.0462962963</v>
      </c>
      <c r="FM74" s="180"/>
      <c r="FN74" s="16"/>
      <c r="FO74" s="16"/>
      <c r="FP74" s="16">
        <f>IFERROR(__xludf.DUMMYFUNCTION("""COMPUTED_VALUE"""),0.7444444444444445)</f>
        <v>0.7444444444</v>
      </c>
      <c r="FQ74" s="16">
        <f>IFERROR(__xludf.DUMMYFUNCTION("""COMPUTED_VALUE"""),0.4893518518518518)</f>
        <v>0.4893518519</v>
      </c>
      <c r="FR74" s="16"/>
      <c r="FS74" s="16"/>
      <c r="FT74" s="16">
        <f>IFERROR(__xludf.DUMMYFUNCTION("""COMPUTED_VALUE"""),0.6675925925925925)</f>
        <v>0.6675925926</v>
      </c>
      <c r="FU74" s="16"/>
      <c r="FV74" s="16"/>
      <c r="FW74" s="16"/>
      <c r="FX74" s="16">
        <f>IFERROR(__xludf.DUMMYFUNCTION("""COMPUTED_VALUE"""),-4.0)</f>
        <v>-4</v>
      </c>
      <c r="FY74" s="16">
        <f>IFERROR(__xludf.DUMMYFUNCTION("""COMPUTED_VALUE"""),-8.0)</f>
        <v>-8</v>
      </c>
      <c r="FZ74" s="16"/>
      <c r="GA74" s="16"/>
      <c r="GB74" s="16">
        <f>IFERROR(__xludf.DUMMYFUNCTION("""COMPUTED_VALUE"""),-6.0)</f>
        <v>-6</v>
      </c>
      <c r="GC74" s="16"/>
      <c r="GD74" s="16" t="s">
        <v>245</v>
      </c>
    </row>
    <row r="75">
      <c r="A75" s="16">
        <f>IFERROR(__xludf.DUMMYFUNCTION("""COMPUTED_VALUE"""),13148.0)</f>
        <v>13148</v>
      </c>
      <c r="B75" s="16" t="str">
        <f>IFERROR(__xludf.DUMMYFUNCTION("""COMPUTED_VALUE"""),"Manny Machado")</f>
        <v>Manny Machado</v>
      </c>
      <c r="C75" s="16">
        <f>IFERROR(__xludf.DUMMYFUNCTION("""COMPUTED_VALUE"""),1.4)</f>
        <v>1.4</v>
      </c>
      <c r="D75" s="16" t="str">
        <f>IFERROR(__xludf.DUMMYFUNCTION("""COMPUTED_VALUE"""),"R")</f>
        <v>R</v>
      </c>
      <c r="E75" s="16"/>
      <c r="F75" s="16"/>
      <c r="G75" s="16">
        <f>IFERROR(__xludf.DUMMYFUNCTION("""COMPUTED_VALUE"""),593.0)</f>
        <v>593</v>
      </c>
      <c r="H75" s="16">
        <f>IFERROR(__xludf.DUMMYFUNCTION("""COMPUTED_VALUE"""),45.0)</f>
        <v>45</v>
      </c>
      <c r="I75" s="16" t="str">
        <f>IFERROR(__xludf.DUMMYFUNCTION("""COMPUTED_VALUE"""),"1p70")</f>
        <v>1p70</v>
      </c>
      <c r="J75" s="16">
        <f>IFERROR(__xludf.DUMMYFUNCTION("""COMPUTED_VALUE"""),23.0)</f>
        <v>23</v>
      </c>
      <c r="K75" s="16">
        <f>IFERROR(__xludf.DUMMYFUNCTION("""COMPUTED_VALUE"""),16.0)</f>
        <v>16</v>
      </c>
      <c r="L75" s="16">
        <f>IFERROR(__xludf.DUMMYFUNCTION("""COMPUTED_VALUE"""),0.0)</f>
        <v>0</v>
      </c>
      <c r="M75" s="16">
        <f>IFERROR(__xludf.DUMMYFUNCTION("""COMPUTED_VALUE"""),1.0)</f>
        <v>1</v>
      </c>
      <c r="N75" s="16">
        <f>IFERROR(__xludf.DUMMYFUNCTION("""COMPUTED_VALUE"""),0.0)</f>
        <v>0</v>
      </c>
      <c r="O75" s="16">
        <f>IFERROR(__xludf.DUMMYFUNCTION("""COMPUTED_VALUE"""),1.0)</f>
        <v>1</v>
      </c>
      <c r="P75" s="16">
        <f>IFERROR(__xludf.DUMMYFUNCTION("""COMPUTED_VALUE"""),11.0)</f>
        <v>11</v>
      </c>
      <c r="Q75" s="16">
        <f>IFERROR(__xludf.DUMMYFUNCTION("""COMPUTED_VALUE"""),4.0)</f>
        <v>4</v>
      </c>
      <c r="R75" s="16">
        <f>IFERROR(__xludf.DUMMYFUNCTION("""COMPUTED_VALUE"""),1.0)</f>
        <v>1</v>
      </c>
      <c r="S75" s="16">
        <f>IFERROR(__xludf.DUMMYFUNCTION("""COMPUTED_VALUE"""),-2.0)</f>
        <v>-2</v>
      </c>
      <c r="T75" s="16">
        <f>IFERROR(__xludf.DUMMYFUNCTION("""COMPUTED_VALUE"""),1.0)</f>
        <v>1</v>
      </c>
      <c r="U75" s="16">
        <f>IFERROR(__xludf.DUMMYFUNCTION("""COMPUTED_VALUE"""),-2.0)</f>
        <v>-2</v>
      </c>
      <c r="V75" s="16">
        <f>IFERROR(__xludf.DUMMYFUNCTION("""COMPUTED_VALUE"""),19.5)</f>
        <v>19.5</v>
      </c>
      <c r="W75" s="16">
        <f>IFERROR(__xludf.DUMMYFUNCTION("""COMPUTED_VALUE"""),27.3)</f>
        <v>27.3</v>
      </c>
      <c r="X75" s="16">
        <f>IFERROR(__xludf.DUMMYFUNCTION("""COMPUTED_VALUE"""),0.0)</f>
        <v>0</v>
      </c>
      <c r="Y75" s="16">
        <f>IFERROR(__xludf.DUMMYFUNCTION("""COMPUTED_VALUE"""),1.0)</f>
        <v>1</v>
      </c>
      <c r="Z75" s="16">
        <f>IFERROR(__xludf.DUMMYFUNCTION("""COMPUTED_VALUE"""),0.0)</f>
        <v>0</v>
      </c>
      <c r="AA75" s="16">
        <f>IFERROR(__xludf.DUMMYFUNCTION("""COMPUTED_VALUE"""),2.0)</f>
        <v>2</v>
      </c>
      <c r="AB75" s="16">
        <f>IFERROR(__xludf.DUMMYFUNCTION("""COMPUTED_VALUE"""),30.5)</f>
        <v>30.5</v>
      </c>
      <c r="AC75" s="16">
        <f>IFERROR(__xludf.DUMMYFUNCTION("""COMPUTED_VALUE"""),31.3)</f>
        <v>31.3</v>
      </c>
      <c r="AD75" s="16">
        <f>IFERROR(__xludf.DUMMYFUNCTION("""COMPUTED_VALUE"""),0.0)</f>
        <v>0</v>
      </c>
      <c r="AE75" s="16">
        <f>IFERROR(__xludf.DUMMYFUNCTION("""COMPUTED_VALUE"""),0.0)</f>
        <v>0</v>
      </c>
      <c r="AF75" s="16">
        <f>IFERROR(__xludf.DUMMYFUNCTION("""COMPUTED_VALUE"""),0.0)</f>
        <v>0</v>
      </c>
      <c r="AG75" s="16">
        <f>IFERROR(__xludf.DUMMYFUNCTION("""COMPUTED_VALUE"""),0.0)</f>
        <v>0</v>
      </c>
      <c r="AH75" s="16">
        <f>IFERROR(__xludf.DUMMYFUNCTION("""COMPUTED_VALUE"""),33.5)</f>
        <v>33.5</v>
      </c>
      <c r="AI75" s="16">
        <f>IFERROR(__xludf.DUMMYFUNCTION("""COMPUTED_VALUE"""),42.4)</f>
        <v>42.4</v>
      </c>
      <c r="AJ75" s="16">
        <f>IFERROR(__xludf.DUMMYFUNCTION("""COMPUTED_VALUE"""),0.0)</f>
        <v>0</v>
      </c>
      <c r="AK75" s="16">
        <f>IFERROR(__xludf.DUMMYFUNCTION("""COMPUTED_VALUE"""),1.0)</f>
        <v>1</v>
      </c>
      <c r="AL75" s="16">
        <f>IFERROR(__xludf.DUMMYFUNCTION("""COMPUTED_VALUE"""),0.0)</f>
        <v>0</v>
      </c>
      <c r="AM75" s="16">
        <f>IFERROR(__xludf.DUMMYFUNCTION("""COMPUTED_VALUE"""),5.0)</f>
        <v>5</v>
      </c>
      <c r="AN75" s="16">
        <f>IFERROR(__xludf.DUMMYFUNCTION("""COMPUTED_VALUE"""),3.5)</f>
        <v>3.5</v>
      </c>
      <c r="AO75" s="16">
        <f>IFERROR(__xludf.DUMMYFUNCTION("""COMPUTED_VALUE"""),3.3)</f>
        <v>3.3</v>
      </c>
      <c r="AP75" s="16">
        <f>IFERROR(__xludf.DUMMYFUNCTION("""COMPUTED_VALUE"""),1.0)</f>
        <v>1</v>
      </c>
      <c r="AQ75" s="16">
        <f>IFERROR(__xludf.DUMMYFUNCTION("""COMPUTED_VALUE"""),1.0)</f>
        <v>1</v>
      </c>
      <c r="AR75" s="16">
        <f>IFERROR(__xludf.DUMMYFUNCTION("""COMPUTED_VALUE"""),2.0)</f>
        <v>2</v>
      </c>
      <c r="AS75" s="16">
        <f>IFERROR(__xludf.DUMMYFUNCTION("""COMPUTED_VALUE"""),2.0)</f>
        <v>2</v>
      </c>
      <c r="AT75" s="16">
        <f>IFERROR(__xludf.DUMMYFUNCTION("""COMPUTED_VALUE"""),7.0)</f>
        <v>7</v>
      </c>
      <c r="AU75" s="16">
        <f>IFERROR(__xludf.DUMMYFUNCTION("""COMPUTED_VALUE"""),6.0)</f>
        <v>6</v>
      </c>
      <c r="AV75" s="16">
        <f>IFERROR(__xludf.DUMMYFUNCTION("""COMPUTED_VALUE"""),7.0)</f>
        <v>7</v>
      </c>
      <c r="AW75" s="16">
        <f>IFERROR(__xludf.DUMMYFUNCTION("""COMPUTED_VALUE"""),6.0)</f>
        <v>6</v>
      </c>
      <c r="AX75" s="16">
        <f>IFERROR(__xludf.DUMMYFUNCTION("""COMPUTED_VALUE"""),3.0)</f>
        <v>3</v>
      </c>
      <c r="AY75" s="16">
        <f>IFERROR(__xludf.DUMMYFUNCTION("""COMPUTED_VALUE"""),2.0)</f>
        <v>2</v>
      </c>
      <c r="AZ75" s="16">
        <f>IFERROR(__xludf.DUMMYFUNCTION("""COMPUTED_VALUE"""),9.0)</f>
        <v>9</v>
      </c>
      <c r="BA75" s="16">
        <f>IFERROR(__xludf.DUMMYFUNCTION("""COMPUTED_VALUE"""),6.0)</f>
        <v>6</v>
      </c>
      <c r="BB75" s="16">
        <f>IFERROR(__xludf.DUMMYFUNCTION("""COMPUTED_VALUE"""),5.0)</f>
        <v>5</v>
      </c>
      <c r="BC75" s="16">
        <f>IFERROR(__xludf.DUMMYFUNCTION("""COMPUTED_VALUE"""),5.0)</f>
        <v>5</v>
      </c>
      <c r="BD75" s="16">
        <f>IFERROR(__xludf.DUMMYFUNCTION("""COMPUTED_VALUE"""),1.0)</f>
        <v>1</v>
      </c>
      <c r="BE75" s="16">
        <f>IFERROR(__xludf.DUMMYFUNCTION("""COMPUTED_VALUE"""),1.0)</f>
        <v>1</v>
      </c>
      <c r="BF75" s="16">
        <f>IFERROR(__xludf.DUMMYFUNCTION("""COMPUTED_VALUE"""),1.0)</f>
        <v>1</v>
      </c>
      <c r="BG75" s="16">
        <f>IFERROR(__xludf.DUMMYFUNCTION("""COMPUTED_VALUE"""),1.0)</f>
        <v>1</v>
      </c>
      <c r="BH75" s="16">
        <f>IFERROR(__xludf.DUMMYFUNCTION("""COMPUTED_VALUE"""),1.0)</f>
        <v>1</v>
      </c>
      <c r="BI75" s="16">
        <f>IFERROR(__xludf.DUMMYFUNCTION("""COMPUTED_VALUE"""),1.0)</f>
        <v>1</v>
      </c>
      <c r="BJ75" s="16">
        <f>IFERROR(__xludf.DUMMYFUNCTION("""COMPUTED_VALUE"""),27.0)</f>
        <v>27</v>
      </c>
      <c r="BK75" s="16">
        <f>IFERROR(__xludf.DUMMYFUNCTION("""COMPUTED_VALUE"""),29.0)</f>
        <v>29</v>
      </c>
      <c r="BL75" s="16">
        <f>IFERROR(__xludf.DUMMYFUNCTION("""COMPUTED_VALUE"""),-2.0)</f>
        <v>-2</v>
      </c>
      <c r="BM75" s="16">
        <f>IFERROR(__xludf.DUMMYFUNCTION("""COMPUTED_VALUE"""),-3.0)</f>
        <v>-3</v>
      </c>
      <c r="BN75" s="16">
        <f>IFERROR(__xludf.DUMMYFUNCTION("""COMPUTED_VALUE"""),-4.0)</f>
        <v>-4</v>
      </c>
      <c r="BO75" s="16">
        <f>IFERROR(__xludf.DUMMYFUNCTION("""COMPUTED_VALUE"""),-6.0)</f>
        <v>-6</v>
      </c>
      <c r="BP75" s="16">
        <f>IFERROR(__xludf.DUMMYFUNCTION("""COMPUTED_VALUE"""),4.0)</f>
        <v>4</v>
      </c>
      <c r="BQ75" s="16">
        <f>IFERROR(__xludf.DUMMYFUNCTION("""COMPUTED_VALUE"""),2.0)</f>
        <v>2</v>
      </c>
      <c r="BR75" s="16">
        <f>IFERROR(__xludf.DUMMYFUNCTION("""COMPUTED_VALUE"""),6.0)</f>
        <v>6</v>
      </c>
      <c r="BS75" s="16" t="str">
        <f>IFERROR(__xludf.DUMMYFUNCTION("""COMPUTED_VALUE"""),"*5/- (19-6)")</f>
        <v>*5/- (19-6)</v>
      </c>
      <c r="BT75" s="16" t="str">
        <f>IFERROR(__xludf.DUMMYFUNCTION("""COMPUTED_VALUE"""),"B")</f>
        <v>B</v>
      </c>
      <c r="BU75" s="16">
        <f>IFERROR(__xludf.DUMMYFUNCTION("""COMPUTED_VALUE"""),12.0)</f>
        <v>12</v>
      </c>
      <c r="BV75" s="16">
        <f>IFERROR(__xludf.DUMMYFUNCTION("""COMPUTED_VALUE"""),1.0)</f>
        <v>1</v>
      </c>
      <c r="BW75" s="16">
        <f>IFERROR(__xludf.DUMMYFUNCTION("""COMPUTED_VALUE"""),0.0)</f>
        <v>0</v>
      </c>
      <c r="BX75" s="16">
        <f>IFERROR(__xludf.DUMMYFUNCTION("""COMPUTED_VALUE"""),2.0)</f>
        <v>2</v>
      </c>
      <c r="BY75" s="16">
        <f>IFERROR(__xludf.DUMMYFUNCTION("""COMPUTED_VALUE"""),0.0)</f>
        <v>0</v>
      </c>
      <c r="BZ75" s="16" t="str">
        <f>IFERROR(__xludf.DUMMYFUNCTION("""COMPUTED_VALUE"""),"D")</f>
        <v>D</v>
      </c>
      <c r="CA75" s="16" t="str">
        <f>IFERROR(__xludf.DUMMYFUNCTION("""COMPUTED_VALUE"""),"C")</f>
        <v>C</v>
      </c>
      <c r="CB75" s="16">
        <f>IFERROR(__xludf.DUMMYFUNCTION("""COMPUTED_VALUE"""),0.0)</f>
        <v>0</v>
      </c>
      <c r="CC75" s="16">
        <f>IFERROR(__xludf.DUMMYFUNCTION("""COMPUTED_VALUE"""),0.0)</f>
        <v>0</v>
      </c>
      <c r="CD75" s="16">
        <f>IFERROR(__xludf.DUMMYFUNCTION("""COMPUTED_VALUE"""),0.0)</f>
        <v>0</v>
      </c>
      <c r="CE75" s="16">
        <f>IFERROR(__xludf.DUMMYFUNCTION("""COMPUTED_VALUE"""),0.0)</f>
        <v>0</v>
      </c>
      <c r="CF75" s="16">
        <f>IFERROR(__xludf.DUMMYFUNCTION("""COMPUTED_VALUE"""),1.0)</f>
        <v>1</v>
      </c>
      <c r="CG75" s="16">
        <f>IFERROR(__xludf.DUMMYFUNCTION("""COMPUTED_VALUE"""),9.0)</f>
        <v>9</v>
      </c>
      <c r="CH75" s="16">
        <f>IFERROR(__xludf.DUMMYFUNCTION("""COMPUTED_VALUE"""),9.0)</f>
        <v>9</v>
      </c>
      <c r="CI75" s="179">
        <f>IFERROR(__xludf.DUMMYFUNCTION("""COMPUTED_VALUE"""),17.0)</f>
        <v>17</v>
      </c>
      <c r="CJ75" s="16"/>
      <c r="CK75" s="16"/>
      <c r="CL75" s="16"/>
      <c r="CM75" s="16">
        <f>IFERROR(__xludf.DUMMYFUNCTION("""COMPUTED_VALUE"""),212.0)</f>
        <v>212</v>
      </c>
      <c r="CN75" s="16"/>
      <c r="CO75" s="16"/>
      <c r="CP75" s="16"/>
      <c r="CQ75" s="16"/>
      <c r="CR75" s="16" t="str">
        <f>IFERROR(__xludf.DUMMYFUNCTION("""COMPUTED_VALUE"""),"3b-2e12")</f>
        <v>3b-2e12</v>
      </c>
      <c r="CS75" s="16"/>
      <c r="CT75" s="16"/>
      <c r="CU75" s="16"/>
      <c r="CV75" s="16">
        <f>IFERROR(__xludf.DUMMYFUNCTION("""COMPUTED_VALUE"""),2.0)</f>
        <v>2</v>
      </c>
      <c r="CW75" s="16"/>
      <c r="CX75" s="16"/>
      <c r="CY75" s="16"/>
      <c r="CZ75" s="16"/>
      <c r="DA75" s="16"/>
      <c r="DB75" s="16"/>
      <c r="DC75" s="16"/>
      <c r="DD75" s="16">
        <f>IFERROR(__xludf.DUMMYFUNCTION("""COMPUTED_VALUE"""),12.0)</f>
        <v>12</v>
      </c>
      <c r="DE75" s="16"/>
      <c r="DF75" s="16"/>
      <c r="DG75" s="16"/>
      <c r="DH75" s="16"/>
      <c r="DI75" s="16"/>
      <c r="DJ75" s="16"/>
      <c r="DK75" s="16"/>
      <c r="DL75" s="16">
        <f>IFERROR(__xludf.DUMMYFUNCTION("""COMPUTED_VALUE"""),3.0)</f>
        <v>3</v>
      </c>
      <c r="DM75" s="16"/>
      <c r="DN75" s="16"/>
      <c r="DO75" s="16"/>
      <c r="DP75" s="16"/>
      <c r="DQ75" s="16"/>
      <c r="DR75" s="16"/>
      <c r="DS75" s="16"/>
      <c r="DT75" s="16">
        <f>IFERROR(__xludf.DUMMYFUNCTION("""COMPUTED_VALUE"""),1.0)</f>
        <v>1</v>
      </c>
      <c r="DU75" s="16"/>
      <c r="DV75" s="16"/>
      <c r="DW75" s="16"/>
      <c r="DX75" s="16"/>
      <c r="DY75" s="16"/>
      <c r="DZ75" s="16"/>
      <c r="EA75" s="16"/>
      <c r="EB75" s="16">
        <f>IFERROR(__xludf.DUMMYFUNCTION("""COMPUTED_VALUE"""),4.0)</f>
        <v>4</v>
      </c>
      <c r="EC75" s="16"/>
      <c r="ED75" s="16"/>
      <c r="EE75" s="16"/>
      <c r="EF75" s="16"/>
      <c r="EG75" s="179"/>
      <c r="EH75" s="179"/>
      <c r="EI75" s="179"/>
      <c r="EJ75" s="179">
        <f>IFERROR(__xludf.DUMMYFUNCTION("""COMPUTED_VALUE"""),21.0)</f>
        <v>21</v>
      </c>
      <c r="EK75" s="179"/>
      <c r="EL75" s="179"/>
      <c r="EM75" s="179"/>
      <c r="EN75" s="179"/>
      <c r="EO75" s="16"/>
      <c r="EP75" s="16"/>
      <c r="EQ75" s="16">
        <f>IFERROR(__xludf.DUMMYFUNCTION("""COMPUTED_VALUE"""),4.0)</f>
        <v>4</v>
      </c>
      <c r="ER75" s="16">
        <f>IFERROR(__xludf.DUMMYFUNCTION("""COMPUTED_VALUE"""),3.0)</f>
        <v>3</v>
      </c>
      <c r="ES75" s="16"/>
      <c r="ET75" s="16"/>
      <c r="EU75" s="16"/>
      <c r="EV75" s="16"/>
      <c r="EW75" s="16"/>
      <c r="EX75" s="180"/>
      <c r="EY75" s="180"/>
      <c r="EZ75" s="180"/>
      <c r="FA75" s="180">
        <f>IFERROR(__xludf.DUMMYFUNCTION("""COMPUTED_VALUE"""),0.1)</f>
        <v>0.1</v>
      </c>
      <c r="FB75" s="180"/>
      <c r="FC75" s="180"/>
      <c r="FD75" s="180"/>
      <c r="FE75" s="180"/>
      <c r="FF75" s="180"/>
      <c r="FG75" s="180"/>
      <c r="FH75" s="180"/>
      <c r="FI75" s="180">
        <f>IFERROR(__xludf.DUMMYFUNCTION("""COMPUTED_VALUE"""),0.14351851851851852)</f>
        <v>0.1435185185</v>
      </c>
      <c r="FJ75" s="180"/>
      <c r="FK75" s="180"/>
      <c r="FL75" s="180"/>
      <c r="FM75" s="180"/>
      <c r="FN75" s="16"/>
      <c r="FO75" s="16"/>
      <c r="FP75" s="16"/>
      <c r="FQ75" s="16">
        <f>IFERROR(__xludf.DUMMYFUNCTION("""COMPUTED_VALUE"""),0.7708333333333334)</f>
        <v>0.7708333333</v>
      </c>
      <c r="FR75" s="16"/>
      <c r="FS75" s="16"/>
      <c r="FT75" s="16"/>
      <c r="FU75" s="16"/>
      <c r="FV75" s="16"/>
      <c r="FW75" s="16"/>
      <c r="FX75" s="16"/>
      <c r="FY75" s="16">
        <f>IFERROR(__xludf.DUMMYFUNCTION("""COMPUTED_VALUE"""),-1.0)</f>
        <v>-1</v>
      </c>
      <c r="FZ75" s="16"/>
      <c r="GA75" s="16"/>
      <c r="GB75" s="16"/>
      <c r="GC75" s="16"/>
      <c r="GD75" s="16" t="s">
        <v>245</v>
      </c>
    </row>
    <row r="76">
      <c r="A76" s="16">
        <f>IFERROR(__xludf.DUMMYFUNCTION("""COMPUTED_VALUE"""),12645.0)</f>
        <v>12645</v>
      </c>
      <c r="B76" s="16" t="str">
        <f>IFERROR(__xludf.DUMMYFUNCTION("""COMPUTED_VALUE"""),"Cal Raleigh")</f>
        <v>Cal Raleigh</v>
      </c>
      <c r="C76" s="16">
        <f>IFERROR(__xludf.DUMMYFUNCTION("""COMPUTED_VALUE"""),2.17)</f>
        <v>2.17</v>
      </c>
      <c r="D76" s="16" t="str">
        <f>IFERROR(__xludf.DUMMYFUNCTION("""COMPUTED_VALUE"""),"S")</f>
        <v>S</v>
      </c>
      <c r="E76" s="16"/>
      <c r="F76" s="16"/>
      <c r="G76" s="16">
        <f>IFERROR(__xludf.DUMMYFUNCTION("""COMPUTED_VALUE"""),546.0)</f>
        <v>546</v>
      </c>
      <c r="H76" s="16">
        <f>IFERROR(__xludf.DUMMYFUNCTION("""COMPUTED_VALUE"""),70.0)</f>
        <v>70</v>
      </c>
      <c r="I76" s="16" t="str">
        <f>IFERROR(__xludf.DUMMYFUNCTION("""COMPUTED_VALUE"""),"1p70")</f>
        <v>1p70</v>
      </c>
      <c r="J76" s="16">
        <f>IFERROR(__xludf.DUMMYFUNCTION("""COMPUTED_VALUE"""),29.0)</f>
        <v>29</v>
      </c>
      <c r="K76" s="16">
        <f>IFERROR(__xludf.DUMMYFUNCTION("""COMPUTED_VALUE"""),39.0)</f>
        <v>39</v>
      </c>
      <c r="L76" s="16">
        <f>IFERROR(__xludf.DUMMYFUNCTION("""COMPUTED_VALUE"""),0.0)</f>
        <v>0</v>
      </c>
      <c r="M76" s="16">
        <f>IFERROR(__xludf.DUMMYFUNCTION("""COMPUTED_VALUE"""),-2.0)</f>
        <v>-2</v>
      </c>
      <c r="N76" s="16">
        <f>IFERROR(__xludf.DUMMYFUNCTION("""COMPUTED_VALUE"""),0.0)</f>
        <v>0</v>
      </c>
      <c r="O76" s="16">
        <f>IFERROR(__xludf.DUMMYFUNCTION("""COMPUTED_VALUE"""),-2.0)</f>
        <v>-2</v>
      </c>
      <c r="P76" s="16">
        <f>IFERROR(__xludf.DUMMYFUNCTION("""COMPUTED_VALUE"""),5.0)</f>
        <v>5</v>
      </c>
      <c r="Q76" s="16">
        <f>IFERROR(__xludf.DUMMYFUNCTION("""COMPUTED_VALUE"""),16.0)</f>
        <v>16</v>
      </c>
      <c r="R76" s="16">
        <f>IFERROR(__xludf.DUMMYFUNCTION("""COMPUTED_VALUE"""),-1.0)</f>
        <v>-1</v>
      </c>
      <c r="S76" s="16">
        <f>IFERROR(__xludf.DUMMYFUNCTION("""COMPUTED_VALUE"""),2.0)</f>
        <v>2</v>
      </c>
      <c r="T76" s="16">
        <f>IFERROR(__xludf.DUMMYFUNCTION("""COMPUTED_VALUE"""),-1.0)</f>
        <v>-1</v>
      </c>
      <c r="U76" s="16">
        <f>IFERROR(__xludf.DUMMYFUNCTION("""COMPUTED_VALUE"""),2.0)</f>
        <v>2</v>
      </c>
      <c r="V76" s="16">
        <f>IFERROR(__xludf.DUMMYFUNCTION("""COMPUTED_VALUE"""),7.8)</f>
        <v>7.8</v>
      </c>
      <c r="W76" s="16">
        <f>IFERROR(__xludf.DUMMYFUNCTION("""COMPUTED_VALUE"""),15.1)</f>
        <v>15.1</v>
      </c>
      <c r="X76" s="16">
        <f>IFERROR(__xludf.DUMMYFUNCTION("""COMPUTED_VALUE"""),-2.0)</f>
        <v>-2</v>
      </c>
      <c r="Y76" s="16">
        <f>IFERROR(__xludf.DUMMYFUNCTION("""COMPUTED_VALUE"""),-1.0)</f>
        <v>-1</v>
      </c>
      <c r="Z76" s="16">
        <f>IFERROR(__xludf.DUMMYFUNCTION("""COMPUTED_VALUE"""),-4.0)</f>
        <v>-4</v>
      </c>
      <c r="AA76" s="16">
        <f>IFERROR(__xludf.DUMMYFUNCTION("""COMPUTED_VALUE"""),-2.0)</f>
        <v>-2</v>
      </c>
      <c r="AB76" s="16">
        <f>IFERROR(__xludf.DUMMYFUNCTION("""COMPUTED_VALUE"""),14.8)</f>
        <v>14.8</v>
      </c>
      <c r="AC76" s="16">
        <f>IFERROR(__xludf.DUMMYFUNCTION("""COMPUTED_VALUE"""),33.2)</f>
        <v>33.2</v>
      </c>
      <c r="AD76" s="16">
        <f>IFERROR(__xludf.DUMMYFUNCTION("""COMPUTED_VALUE"""),-2.0)</f>
        <v>-2</v>
      </c>
      <c r="AE76" s="16">
        <f>IFERROR(__xludf.DUMMYFUNCTION("""COMPUTED_VALUE"""),0.0)</f>
        <v>0</v>
      </c>
      <c r="AF76" s="16">
        <f>IFERROR(__xludf.DUMMYFUNCTION("""COMPUTED_VALUE"""),-10.0)</f>
        <v>-10</v>
      </c>
      <c r="AG76" s="16">
        <f>IFERROR(__xludf.DUMMYFUNCTION("""COMPUTED_VALUE"""),0.0)</f>
        <v>0</v>
      </c>
      <c r="AH76" s="16">
        <f>IFERROR(__xludf.DUMMYFUNCTION("""COMPUTED_VALUE"""),28.8)</f>
        <v>28.8</v>
      </c>
      <c r="AI76" s="16">
        <f>IFERROR(__xludf.DUMMYFUNCTION("""COMPUTED_VALUE"""),31.4)</f>
        <v>31.4</v>
      </c>
      <c r="AJ76" s="16">
        <f>IFERROR(__xludf.DUMMYFUNCTION("""COMPUTED_VALUE"""),0.0)</f>
        <v>0</v>
      </c>
      <c r="AK76" s="16">
        <f>IFERROR(__xludf.DUMMYFUNCTION("""COMPUTED_VALUE"""),0.0)</f>
        <v>0</v>
      </c>
      <c r="AL76" s="16">
        <f>IFERROR(__xludf.DUMMYFUNCTION("""COMPUTED_VALUE"""),0.0)</f>
        <v>0</v>
      </c>
      <c r="AM76" s="16">
        <f>IFERROR(__xludf.DUMMYFUNCTION("""COMPUTED_VALUE"""),0.0)</f>
        <v>0</v>
      </c>
      <c r="AN76" s="16">
        <f>IFERROR(__xludf.DUMMYFUNCTION("""COMPUTED_VALUE"""),7.0)</f>
        <v>7</v>
      </c>
      <c r="AO76" s="16">
        <f>IFERROR(__xludf.DUMMYFUNCTION("""COMPUTED_VALUE"""),4.8)</f>
        <v>4.8</v>
      </c>
      <c r="AP76" s="16">
        <f>IFERROR(__xludf.DUMMYFUNCTION("""COMPUTED_VALUE"""),3.0)</f>
        <v>3</v>
      </c>
      <c r="AQ76" s="16">
        <f>IFERROR(__xludf.DUMMYFUNCTION("""COMPUTED_VALUE"""),2.0)</f>
        <v>2</v>
      </c>
      <c r="AR76" s="16">
        <f>IFERROR(__xludf.DUMMYFUNCTION("""COMPUTED_VALUE"""),6.0)</f>
        <v>6</v>
      </c>
      <c r="AS76" s="16">
        <f>IFERROR(__xludf.DUMMYFUNCTION("""COMPUTED_VALUE"""),4.0)</f>
        <v>4</v>
      </c>
      <c r="AT76" s="16"/>
      <c r="AU76" s="16">
        <f>IFERROR(__xludf.DUMMYFUNCTION("""COMPUTED_VALUE"""),8.0)</f>
        <v>8</v>
      </c>
      <c r="AV76" s="16">
        <f>IFERROR(__xludf.DUMMYFUNCTION("""COMPUTED_VALUE"""),8.0)</f>
        <v>8</v>
      </c>
      <c r="AW76" s="16">
        <f>IFERROR(__xludf.DUMMYFUNCTION("""COMPUTED_VALUE"""),8.0)</f>
        <v>8</v>
      </c>
      <c r="AX76" s="16">
        <f>IFERROR(__xludf.DUMMYFUNCTION("""COMPUTED_VALUE"""),3.0)</f>
        <v>3</v>
      </c>
      <c r="AY76" s="16">
        <f>IFERROR(__xludf.DUMMYFUNCTION("""COMPUTED_VALUE"""),3.0)</f>
        <v>3</v>
      </c>
      <c r="AZ76" s="16">
        <f>IFERROR(__xludf.DUMMYFUNCTION("""COMPUTED_VALUE"""),9.0)</f>
        <v>9</v>
      </c>
      <c r="BA76" s="16">
        <f>IFERROR(__xludf.DUMMYFUNCTION("""COMPUTED_VALUE"""),9.0)</f>
        <v>9</v>
      </c>
      <c r="BB76" s="16">
        <f>IFERROR(__xludf.DUMMYFUNCTION("""COMPUTED_VALUE"""),0.0)</f>
        <v>0</v>
      </c>
      <c r="BC76" s="16">
        <f>IFERROR(__xludf.DUMMYFUNCTION("""COMPUTED_VALUE"""),5.0)</f>
        <v>5</v>
      </c>
      <c r="BD76" s="16">
        <f>IFERROR(__xludf.DUMMYFUNCTION("""COMPUTED_VALUE"""),0.0)</f>
        <v>0</v>
      </c>
      <c r="BE76" s="16">
        <f>IFERROR(__xludf.DUMMYFUNCTION("""COMPUTED_VALUE"""),1.0)</f>
        <v>1</v>
      </c>
      <c r="BF76" s="16">
        <f>IFERROR(__xludf.DUMMYFUNCTION("""COMPUTED_VALUE"""),0.0)</f>
        <v>0</v>
      </c>
      <c r="BG76" s="16">
        <f>IFERROR(__xludf.DUMMYFUNCTION("""COMPUTED_VALUE"""),1.0)</f>
        <v>1</v>
      </c>
      <c r="BH76" s="16">
        <f>IFERROR(__xludf.DUMMYFUNCTION("""COMPUTED_VALUE"""),0.0)</f>
        <v>0</v>
      </c>
      <c r="BI76" s="16">
        <f>IFERROR(__xludf.DUMMYFUNCTION("""COMPUTED_VALUE"""),-1.0)</f>
        <v>-1</v>
      </c>
      <c r="BJ76" s="16">
        <f>IFERROR(__xludf.DUMMYFUNCTION("""COMPUTED_VALUE"""),9.0)</f>
        <v>9</v>
      </c>
      <c r="BK76" s="16">
        <f>IFERROR(__xludf.DUMMYFUNCTION("""COMPUTED_VALUE"""),8.0)</f>
        <v>8</v>
      </c>
      <c r="BL76" s="16">
        <f>IFERROR(__xludf.DUMMYFUNCTION("""COMPUTED_VALUE"""),0.0)</f>
        <v>0</v>
      </c>
      <c r="BM76" s="16">
        <f>IFERROR(__xludf.DUMMYFUNCTION("""COMPUTED_VALUE"""),1.0)</f>
        <v>1</v>
      </c>
      <c r="BN76" s="16">
        <f>IFERROR(__xludf.DUMMYFUNCTION("""COMPUTED_VALUE"""),0.0)</f>
        <v>0</v>
      </c>
      <c r="BO76" s="16">
        <f>IFERROR(__xludf.DUMMYFUNCTION("""COMPUTED_VALUE"""),1.0)</f>
        <v>1</v>
      </c>
      <c r="BP76" s="16">
        <f>IFERROR(__xludf.DUMMYFUNCTION("""COMPUTED_VALUE"""),1.0)</f>
        <v>1</v>
      </c>
      <c r="BQ76" s="16">
        <f>IFERROR(__xludf.DUMMYFUNCTION("""COMPUTED_VALUE"""),6.0)</f>
        <v>6</v>
      </c>
      <c r="BR76" s="16">
        <f>IFERROR(__xludf.DUMMYFUNCTION("""COMPUTED_VALUE"""),7.0)</f>
        <v>7</v>
      </c>
      <c r="BS76" s="16" t="str">
        <f>IFERROR(__xludf.DUMMYFUNCTION("""COMPUTED_VALUE"""),"4/- (17-6)")</f>
        <v>4/- (17-6)</v>
      </c>
      <c r="BT76" s="16" t="str">
        <f>IFERROR(__xludf.DUMMYFUNCTION("""COMPUTED_VALUE"""),"C")</f>
        <v>C</v>
      </c>
      <c r="BU76" s="16">
        <f>IFERROR(__xludf.DUMMYFUNCTION("""COMPUTED_VALUE"""),11.0)</f>
        <v>11</v>
      </c>
      <c r="BV76" s="16">
        <f>IFERROR(__xludf.DUMMYFUNCTION("""COMPUTED_VALUE"""),0.0)</f>
        <v>0</v>
      </c>
      <c r="BW76" s="16">
        <f>IFERROR(__xludf.DUMMYFUNCTION("""COMPUTED_VALUE"""),0.0)</f>
        <v>0</v>
      </c>
      <c r="BX76" s="16">
        <f>IFERROR(__xludf.DUMMYFUNCTION("""COMPUTED_VALUE"""),0.0)</f>
        <v>0</v>
      </c>
      <c r="BY76" s="16">
        <f>IFERROR(__xludf.DUMMYFUNCTION("""COMPUTED_VALUE"""),0.0)</f>
        <v>0</v>
      </c>
      <c r="BZ76" s="16" t="str">
        <f>IFERROR(__xludf.DUMMYFUNCTION("""COMPUTED_VALUE"""),"D")</f>
        <v>D</v>
      </c>
      <c r="CA76" s="16" t="str">
        <f>IFERROR(__xludf.DUMMYFUNCTION("""COMPUTED_VALUE"""),"D")</f>
        <v>D</v>
      </c>
      <c r="CB76" s="16">
        <f>IFERROR(__xludf.DUMMYFUNCTION("""COMPUTED_VALUE"""),0.0)</f>
        <v>0</v>
      </c>
      <c r="CC76" s="16">
        <f>IFERROR(__xludf.DUMMYFUNCTION("""COMPUTED_VALUE"""),0.0)</f>
        <v>0</v>
      </c>
      <c r="CD76" s="16">
        <f>IFERROR(__xludf.DUMMYFUNCTION("""COMPUTED_VALUE"""),0.0)</f>
        <v>0</v>
      </c>
      <c r="CE76" s="16">
        <f>IFERROR(__xludf.DUMMYFUNCTION("""COMPUTED_VALUE"""),0.0)</f>
        <v>0</v>
      </c>
      <c r="CF76" s="16">
        <f>IFERROR(__xludf.DUMMYFUNCTION("""COMPUTED_VALUE"""),1.0)</f>
        <v>1</v>
      </c>
      <c r="CG76" s="16">
        <f>IFERROR(__xludf.DUMMYFUNCTION("""COMPUTED_VALUE"""),0.0)</f>
        <v>0</v>
      </c>
      <c r="CH76" s="16">
        <f>IFERROR(__xludf.DUMMYFUNCTION("""COMPUTED_VALUE"""),13.0)</f>
        <v>13</v>
      </c>
      <c r="CI76" s="179">
        <f>IFERROR(__xludf.DUMMYFUNCTION("""COMPUTED_VALUE"""),17.0)</f>
        <v>17</v>
      </c>
      <c r="CJ76" s="16">
        <f>IFERROR(__xludf.DUMMYFUNCTION("""COMPUTED_VALUE"""),102.0)</f>
        <v>102</v>
      </c>
      <c r="CK76" s="16"/>
      <c r="CL76" s="16"/>
      <c r="CM76" s="16"/>
      <c r="CN76" s="16"/>
      <c r="CO76" s="16"/>
      <c r="CP76" s="16"/>
      <c r="CQ76" s="16"/>
      <c r="CR76" s="16" t="str">
        <f>IFERROR(__xludf.DUMMYFUNCTION("""COMPUTED_VALUE"""),"c-1(-2)e2,T-6(pb-2)")</f>
        <v>c-1(-2)e2,T-6(pb-2)</v>
      </c>
      <c r="CS76" s="16">
        <f>IFERROR(__xludf.DUMMYFUNCTION("""COMPUTED_VALUE"""),1.0)</f>
        <v>1</v>
      </c>
      <c r="CT76" s="16"/>
      <c r="CU76" s="16"/>
      <c r="CV76" s="16"/>
      <c r="CW76" s="16"/>
      <c r="CX76" s="16"/>
      <c r="CY76" s="16"/>
      <c r="CZ76" s="16"/>
      <c r="DA76" s="16">
        <f>IFERROR(__xludf.DUMMYFUNCTION("""COMPUTED_VALUE"""),2.0)</f>
        <v>2</v>
      </c>
      <c r="DB76" s="16"/>
      <c r="DC76" s="16"/>
      <c r="DD76" s="16"/>
      <c r="DE76" s="16"/>
      <c r="DF76" s="16"/>
      <c r="DG76" s="16"/>
      <c r="DH76" s="16"/>
      <c r="DI76" s="16">
        <f>IFERROR(__xludf.DUMMYFUNCTION("""COMPUTED_VALUE"""),4.0)</f>
        <v>4</v>
      </c>
      <c r="DJ76" s="16"/>
      <c r="DK76" s="16"/>
      <c r="DL76" s="16"/>
      <c r="DM76" s="16"/>
      <c r="DN76" s="16"/>
      <c r="DO76" s="16"/>
      <c r="DP76" s="16"/>
      <c r="DQ76" s="16">
        <f>IFERROR(__xludf.DUMMYFUNCTION("""COMPUTED_VALUE"""),4.0)</f>
        <v>4</v>
      </c>
      <c r="DR76" s="16"/>
      <c r="DS76" s="16"/>
      <c r="DT76" s="16"/>
      <c r="DU76" s="16"/>
      <c r="DV76" s="16"/>
      <c r="DW76" s="16"/>
      <c r="DX76" s="16"/>
      <c r="DY76" s="16">
        <f>IFERROR(__xludf.DUMMYFUNCTION("""COMPUTED_VALUE"""),8.0)</f>
        <v>8</v>
      </c>
      <c r="DZ76" s="16"/>
      <c r="EA76" s="16"/>
      <c r="EB76" s="16"/>
      <c r="EC76" s="16"/>
      <c r="ED76" s="16"/>
      <c r="EE76" s="16"/>
      <c r="EF76" s="16"/>
      <c r="EG76" s="179">
        <f>IFERROR(__xludf.DUMMYFUNCTION("""COMPUTED_VALUE"""),23.0)</f>
        <v>23</v>
      </c>
      <c r="EH76" s="179"/>
      <c r="EI76" s="179"/>
      <c r="EJ76" s="179"/>
      <c r="EK76" s="179"/>
      <c r="EL76" s="179"/>
      <c r="EM76" s="179"/>
      <c r="EN76" s="179"/>
      <c r="EO76" s="16">
        <f>IFERROR(__xludf.DUMMYFUNCTION("""COMPUTED_VALUE"""),-2.0)</f>
        <v>-2</v>
      </c>
      <c r="EP76" s="16">
        <f>IFERROR(__xludf.DUMMYFUNCTION("""COMPUTED_VALUE"""),1.0)</f>
        <v>1</v>
      </c>
      <c r="EQ76" s="16">
        <f>IFERROR(__xludf.DUMMYFUNCTION("""COMPUTED_VALUE"""),4.0)</f>
        <v>4</v>
      </c>
      <c r="ER76" s="16">
        <f>IFERROR(__xludf.DUMMYFUNCTION("""COMPUTED_VALUE"""),3.0)</f>
        <v>3</v>
      </c>
      <c r="ES76" s="16" t="str">
        <f>IFERROR(__xludf.DUMMYFUNCTION("""COMPUTED_VALUE"""),"c-1")</f>
        <v>c-1</v>
      </c>
      <c r="ET76" s="16" t="str">
        <f>IFERROR(__xludf.DUMMYFUNCTION("""COMPUTED_VALUE"""),"-2)e2,T-6")</f>
        <v>-2)e2,T-6</v>
      </c>
      <c r="EU76" s="16" t="str">
        <f>IFERROR(__xludf.DUMMYFUNCTION("""COMPUTED_VALUE"""),"pb-2)")</f>
        <v>pb-2)</v>
      </c>
      <c r="EV76" s="16"/>
      <c r="EW76" s="16">
        <f>IFERROR(__xludf.DUMMYFUNCTION("""COMPUTED_VALUE"""),-2.0)</f>
        <v>-2</v>
      </c>
      <c r="EX76" s="180">
        <f>IFERROR(__xludf.DUMMYFUNCTION("""COMPUTED_VALUE"""),0.0)</f>
        <v>0</v>
      </c>
      <c r="EY76" s="180"/>
      <c r="EZ76" s="180"/>
      <c r="FA76" s="180"/>
      <c r="FB76" s="180"/>
      <c r="FC76" s="180"/>
      <c r="FD76" s="180"/>
      <c r="FE76" s="180"/>
      <c r="FF76" s="180">
        <f>IFERROR(__xludf.DUMMYFUNCTION("""COMPUTED_VALUE"""),0.024)</f>
        <v>0.024</v>
      </c>
      <c r="FG76" s="180"/>
      <c r="FH76" s="180"/>
      <c r="FI76" s="180"/>
      <c r="FJ76" s="180"/>
      <c r="FK76" s="180"/>
      <c r="FL76" s="180"/>
      <c r="FM76" s="180"/>
      <c r="FN76" s="16">
        <f>IFERROR(__xludf.DUMMYFUNCTION("""COMPUTED_VALUE"""),0.976)</f>
        <v>0.976</v>
      </c>
      <c r="FO76" s="16"/>
      <c r="FP76" s="16"/>
      <c r="FQ76" s="16"/>
      <c r="FR76" s="16"/>
      <c r="FS76" s="16"/>
      <c r="FT76" s="16"/>
      <c r="FU76" s="16"/>
      <c r="FV76" s="16">
        <f>IFERROR(__xludf.DUMMYFUNCTION("""COMPUTED_VALUE"""),10.0)</f>
        <v>10</v>
      </c>
      <c r="FW76" s="16"/>
      <c r="FX76" s="16"/>
      <c r="FY76" s="16"/>
      <c r="FZ76" s="16"/>
      <c r="GA76" s="16"/>
      <c r="GB76" s="16"/>
      <c r="GC76" s="16"/>
      <c r="GD76" s="16" t="s">
        <v>272</v>
      </c>
    </row>
    <row r="77">
      <c r="A77" s="16">
        <f>IFERROR(__xludf.DUMMYFUNCTION("""COMPUTED_VALUE"""),12597.0)</f>
        <v>12597</v>
      </c>
      <c r="B77" s="16" t="str">
        <f>IFERROR(__xludf.DUMMYFUNCTION("""COMPUTED_VALUE"""),"Brandon Lowe")</f>
        <v>Brandon Lowe</v>
      </c>
      <c r="C77" s="16">
        <f>IFERROR(__xludf.DUMMYFUNCTION("""COMPUTED_VALUE"""),1.64)</f>
        <v>1.64</v>
      </c>
      <c r="D77" s="16" t="str">
        <f>IFERROR(__xludf.DUMMYFUNCTION("""COMPUTED_VALUE"""),"L")</f>
        <v>L</v>
      </c>
      <c r="E77" s="16"/>
      <c r="F77" s="16"/>
      <c r="G77" s="16">
        <f>IFERROR(__xludf.DUMMYFUNCTION("""COMPUTED_VALUE"""),385.0)</f>
        <v>385</v>
      </c>
      <c r="H77" s="16">
        <f>IFERROR(__xludf.DUMMYFUNCTION("""COMPUTED_VALUE"""),33.0)</f>
        <v>33</v>
      </c>
      <c r="I77" s="16" t="str">
        <f>IFERROR(__xludf.DUMMYFUNCTION("""COMPUTED_VALUE"""),"3p50")</f>
        <v>3p50</v>
      </c>
      <c r="J77" s="16">
        <f>IFERROR(__xludf.DUMMYFUNCTION("""COMPUTED_VALUE"""),37.0)</f>
        <v>37</v>
      </c>
      <c r="K77" s="16">
        <f>IFERROR(__xludf.DUMMYFUNCTION("""COMPUTED_VALUE"""),32.0)</f>
        <v>32</v>
      </c>
      <c r="L77" s="16">
        <f>IFERROR(__xludf.DUMMYFUNCTION("""COMPUTED_VALUE"""),-1.0)</f>
        <v>-1</v>
      </c>
      <c r="M77" s="16">
        <f>IFERROR(__xludf.DUMMYFUNCTION("""COMPUTED_VALUE"""),-1.0)</f>
        <v>-1</v>
      </c>
      <c r="N77" s="16">
        <f>IFERROR(__xludf.DUMMYFUNCTION("""COMPUTED_VALUE"""),-1.0)</f>
        <v>-1</v>
      </c>
      <c r="O77" s="16">
        <f>IFERROR(__xludf.DUMMYFUNCTION("""COMPUTED_VALUE"""),-1.0)</f>
        <v>-1</v>
      </c>
      <c r="P77" s="16">
        <f>IFERROR(__xludf.DUMMYFUNCTION("""COMPUTED_VALUE"""),1.0)</f>
        <v>1</v>
      </c>
      <c r="Q77" s="16">
        <f>IFERROR(__xludf.DUMMYFUNCTION("""COMPUTED_VALUE"""),7.0)</f>
        <v>7</v>
      </c>
      <c r="R77" s="16">
        <f>IFERROR(__xludf.DUMMYFUNCTION("""COMPUTED_VALUE"""),-2.0)</f>
        <v>-2</v>
      </c>
      <c r="S77" s="16">
        <f>IFERROR(__xludf.DUMMYFUNCTION("""COMPUTED_VALUE"""),-1.0)</f>
        <v>-1</v>
      </c>
      <c r="T77" s="16">
        <f>IFERROR(__xludf.DUMMYFUNCTION("""COMPUTED_VALUE"""),-2.0)</f>
        <v>-2</v>
      </c>
      <c r="U77" s="16">
        <f>IFERROR(__xludf.DUMMYFUNCTION("""COMPUTED_VALUE"""),-1.0)</f>
        <v>-1</v>
      </c>
      <c r="V77" s="16">
        <f>IFERROR(__xludf.DUMMYFUNCTION("""COMPUTED_VALUE"""),19.0)</f>
        <v>19</v>
      </c>
      <c r="W77" s="16">
        <f>IFERROR(__xludf.DUMMYFUNCTION("""COMPUTED_VALUE"""),19.3)</f>
        <v>19.3</v>
      </c>
      <c r="X77" s="16">
        <f>IFERROR(__xludf.DUMMYFUNCTION("""COMPUTED_VALUE"""),0.0)</f>
        <v>0</v>
      </c>
      <c r="Y77" s="16">
        <f>IFERROR(__xludf.DUMMYFUNCTION("""COMPUTED_VALUE"""),0.0)</f>
        <v>0</v>
      </c>
      <c r="Z77" s="16">
        <f>IFERROR(__xludf.DUMMYFUNCTION("""COMPUTED_VALUE"""),0.0)</f>
        <v>0</v>
      </c>
      <c r="AA77" s="16">
        <f>IFERROR(__xludf.DUMMYFUNCTION("""COMPUTED_VALUE"""),0.0)</f>
        <v>0</v>
      </c>
      <c r="AB77" s="16">
        <f>IFERROR(__xludf.DUMMYFUNCTION("""COMPUTED_VALUE"""),23.0)</f>
        <v>23</v>
      </c>
      <c r="AC77" s="16">
        <f>IFERROR(__xludf.DUMMYFUNCTION("""COMPUTED_VALUE"""),29.3)</f>
        <v>29.3</v>
      </c>
      <c r="AD77" s="16">
        <f>IFERROR(__xludf.DUMMYFUNCTION("""COMPUTED_VALUE"""),-1.0)</f>
        <v>-1</v>
      </c>
      <c r="AE77" s="16">
        <f>IFERROR(__xludf.DUMMYFUNCTION("""COMPUTED_VALUE"""),0.0)</f>
        <v>0</v>
      </c>
      <c r="AF77" s="16">
        <f>IFERROR(__xludf.DUMMYFUNCTION("""COMPUTED_VALUE"""),-5.0)</f>
        <v>-5</v>
      </c>
      <c r="AG77" s="16">
        <f>IFERROR(__xludf.DUMMYFUNCTION("""COMPUTED_VALUE"""),0.0)</f>
        <v>0</v>
      </c>
      <c r="AH77" s="16">
        <f>IFERROR(__xludf.DUMMYFUNCTION("""COMPUTED_VALUE"""),41.8)</f>
        <v>41.8</v>
      </c>
      <c r="AI77" s="16">
        <f>IFERROR(__xludf.DUMMYFUNCTION("""COMPUTED_VALUE"""),38.9)</f>
        <v>38.9</v>
      </c>
      <c r="AJ77" s="16">
        <f>IFERROR(__xludf.DUMMYFUNCTION("""COMPUTED_VALUE"""),1.0)</f>
        <v>1</v>
      </c>
      <c r="AK77" s="16">
        <f>IFERROR(__xludf.DUMMYFUNCTION("""COMPUTED_VALUE"""),1.0)</f>
        <v>1</v>
      </c>
      <c r="AL77" s="16">
        <f>IFERROR(__xludf.DUMMYFUNCTION("""COMPUTED_VALUE"""),5.0)</f>
        <v>5</v>
      </c>
      <c r="AM77" s="16">
        <f>IFERROR(__xludf.DUMMYFUNCTION("""COMPUTED_VALUE"""),5.0)</f>
        <v>5</v>
      </c>
      <c r="AN77" s="16">
        <f>IFERROR(__xludf.DUMMYFUNCTION("""COMPUTED_VALUE"""),6.2)</f>
        <v>6.2</v>
      </c>
      <c r="AO77" s="16">
        <f>IFERROR(__xludf.DUMMYFUNCTION("""COMPUTED_VALUE"""),4.2)</f>
        <v>4.2</v>
      </c>
      <c r="AP77" s="16">
        <f>IFERROR(__xludf.DUMMYFUNCTION("""COMPUTED_VALUE"""),3.0)</f>
        <v>3</v>
      </c>
      <c r="AQ77" s="16">
        <f>IFERROR(__xludf.DUMMYFUNCTION("""COMPUTED_VALUE"""),2.0)</f>
        <v>2</v>
      </c>
      <c r="AR77" s="16">
        <f>IFERROR(__xludf.DUMMYFUNCTION("""COMPUTED_VALUE"""),6.0)</f>
        <v>6</v>
      </c>
      <c r="AS77" s="16">
        <f>IFERROR(__xludf.DUMMYFUNCTION("""COMPUTED_VALUE"""),4.0)</f>
        <v>4</v>
      </c>
      <c r="AT77" s="16">
        <f>IFERROR(__xludf.DUMMYFUNCTION("""COMPUTED_VALUE"""),8.0)</f>
        <v>8</v>
      </c>
      <c r="AU77" s="16">
        <f>IFERROR(__xludf.DUMMYFUNCTION("""COMPUTED_VALUE"""),7.0)</f>
        <v>7</v>
      </c>
      <c r="AV77" s="16">
        <f>IFERROR(__xludf.DUMMYFUNCTION("""COMPUTED_VALUE"""),8.0)</f>
        <v>8</v>
      </c>
      <c r="AW77" s="16">
        <f>IFERROR(__xludf.DUMMYFUNCTION("""COMPUTED_VALUE"""),7.0)</f>
        <v>7</v>
      </c>
      <c r="AX77" s="16">
        <f>IFERROR(__xludf.DUMMYFUNCTION("""COMPUTED_VALUE"""),3.0)</f>
        <v>3</v>
      </c>
      <c r="AY77" s="16">
        <f>IFERROR(__xludf.DUMMYFUNCTION("""COMPUTED_VALUE"""),3.0)</f>
        <v>3</v>
      </c>
      <c r="AZ77" s="16">
        <f>IFERROR(__xludf.DUMMYFUNCTION("""COMPUTED_VALUE"""),9.0)</f>
        <v>9</v>
      </c>
      <c r="BA77" s="16">
        <f>IFERROR(__xludf.DUMMYFUNCTION("""COMPUTED_VALUE"""),9.0)</f>
        <v>9</v>
      </c>
      <c r="BB77" s="16">
        <f>IFERROR(__xludf.DUMMYFUNCTION("""COMPUTED_VALUE"""),5.0)</f>
        <v>5</v>
      </c>
      <c r="BC77" s="16">
        <f>IFERROR(__xludf.DUMMYFUNCTION("""COMPUTED_VALUE"""),5.0)</f>
        <v>5</v>
      </c>
      <c r="BD77" s="16">
        <f>IFERROR(__xludf.DUMMYFUNCTION("""COMPUTED_VALUE"""),1.0)</f>
        <v>1</v>
      </c>
      <c r="BE77" s="16">
        <f>IFERROR(__xludf.DUMMYFUNCTION("""COMPUTED_VALUE"""),1.0)</f>
        <v>1</v>
      </c>
      <c r="BF77" s="16">
        <f>IFERROR(__xludf.DUMMYFUNCTION("""COMPUTED_VALUE"""),1.0)</f>
        <v>1</v>
      </c>
      <c r="BG77" s="16">
        <f>IFERROR(__xludf.DUMMYFUNCTION("""COMPUTED_VALUE"""),1.0)</f>
        <v>1</v>
      </c>
      <c r="BH77" s="16">
        <f>IFERROR(__xludf.DUMMYFUNCTION("""COMPUTED_VALUE"""),-1.0)</f>
        <v>-1</v>
      </c>
      <c r="BI77" s="16">
        <f>IFERROR(__xludf.DUMMYFUNCTION("""COMPUTED_VALUE"""),-1.0)</f>
        <v>-1</v>
      </c>
      <c r="BJ77" s="16">
        <f>IFERROR(__xludf.DUMMYFUNCTION("""COMPUTED_VALUE"""),15.0)</f>
        <v>15</v>
      </c>
      <c r="BK77" s="16">
        <f>IFERROR(__xludf.DUMMYFUNCTION("""COMPUTED_VALUE"""),13.0)</f>
        <v>13</v>
      </c>
      <c r="BL77" s="16">
        <f>IFERROR(__xludf.DUMMYFUNCTION("""COMPUTED_VALUE"""),-1.0)</f>
        <v>-1</v>
      </c>
      <c r="BM77" s="16">
        <f>IFERROR(__xludf.DUMMYFUNCTION("""COMPUTED_VALUE"""),0.0)</f>
        <v>0</v>
      </c>
      <c r="BN77" s="16">
        <f>IFERROR(__xludf.DUMMYFUNCTION("""COMPUTED_VALUE"""),-2.0)</f>
        <v>-2</v>
      </c>
      <c r="BO77" s="16">
        <f>IFERROR(__xludf.DUMMYFUNCTION("""COMPUTED_VALUE"""),0.0)</f>
        <v>0</v>
      </c>
      <c r="BP77" s="16">
        <f>IFERROR(__xludf.DUMMYFUNCTION("""COMPUTED_VALUE"""),3.0)</f>
        <v>3</v>
      </c>
      <c r="BQ77" s="16">
        <f>IFERROR(__xludf.DUMMYFUNCTION("""COMPUTED_VALUE"""),5.0)</f>
        <v>5</v>
      </c>
      <c r="BR77" s="16">
        <f>IFERROR(__xludf.DUMMYFUNCTION("""COMPUTED_VALUE"""),8.0)</f>
        <v>8</v>
      </c>
      <c r="BS77" s="16" t="str">
        <f>IFERROR(__xludf.DUMMYFUNCTION("""COMPUTED_VALUE"""),"5/- (17-6)")</f>
        <v>5/- (17-6)</v>
      </c>
      <c r="BT77" s="16" t="str">
        <f>IFERROR(__xludf.DUMMYFUNCTION("""COMPUTED_VALUE"""),"C")</f>
        <v>C</v>
      </c>
      <c r="BU77" s="16">
        <f>IFERROR(__xludf.DUMMYFUNCTION("""COMPUTED_VALUE"""),13.0)</f>
        <v>13</v>
      </c>
      <c r="BV77" s="16">
        <f>IFERROR(__xludf.DUMMYFUNCTION("""COMPUTED_VALUE"""),0.0)</f>
        <v>0</v>
      </c>
      <c r="BW77" s="16">
        <f>IFERROR(__xludf.DUMMYFUNCTION("""COMPUTED_VALUE"""),1.0)</f>
        <v>1</v>
      </c>
      <c r="BX77" s="16">
        <f>IFERROR(__xludf.DUMMYFUNCTION("""COMPUTED_VALUE"""),0.0)</f>
        <v>0</v>
      </c>
      <c r="BY77" s="16">
        <f>IFERROR(__xludf.DUMMYFUNCTION("""COMPUTED_VALUE"""),3.0)</f>
        <v>3</v>
      </c>
      <c r="BZ77" s="16" t="str">
        <f>IFERROR(__xludf.DUMMYFUNCTION("""COMPUTED_VALUE"""),"D")</f>
        <v>D</v>
      </c>
      <c r="CA77" s="16" t="str">
        <f>IFERROR(__xludf.DUMMYFUNCTION("""COMPUTED_VALUE"""),"D")</f>
        <v>D</v>
      </c>
      <c r="CB77" s="16">
        <f>IFERROR(__xludf.DUMMYFUNCTION("""COMPUTED_VALUE"""),0.0)</f>
        <v>0</v>
      </c>
      <c r="CC77" s="16">
        <f>IFERROR(__xludf.DUMMYFUNCTION("""COMPUTED_VALUE"""),0.0)</f>
        <v>0</v>
      </c>
      <c r="CD77" s="16">
        <f>IFERROR(__xludf.DUMMYFUNCTION("""COMPUTED_VALUE"""),0.0)</f>
        <v>0</v>
      </c>
      <c r="CE77" s="16">
        <f>IFERROR(__xludf.DUMMYFUNCTION("""COMPUTED_VALUE"""),0.0)</f>
        <v>0</v>
      </c>
      <c r="CF77" s="16">
        <f>IFERROR(__xludf.DUMMYFUNCTION("""COMPUTED_VALUE"""),3.0)</f>
        <v>3</v>
      </c>
      <c r="CG77" s="16">
        <f>IFERROR(__xludf.DUMMYFUNCTION("""COMPUTED_VALUE"""),11.0)</f>
        <v>11</v>
      </c>
      <c r="CH77" s="16">
        <f>IFERROR(__xludf.DUMMYFUNCTION("""COMPUTED_VALUE"""),17.0)</f>
        <v>17</v>
      </c>
      <c r="CI77" s="179">
        <f>IFERROR(__xludf.DUMMYFUNCTION("""COMPUTED_VALUE"""),17.0)</f>
        <v>17</v>
      </c>
      <c r="CJ77" s="16"/>
      <c r="CK77" s="16">
        <f>IFERROR(__xludf.DUMMYFUNCTION("""COMPUTED_VALUE"""),417.0)</f>
        <v>417</v>
      </c>
      <c r="CL77" s="16">
        <f>IFERROR(__xludf.DUMMYFUNCTION("""COMPUTED_VALUE"""),308.0)</f>
        <v>308</v>
      </c>
      <c r="CM77" s="16"/>
      <c r="CN77" s="16"/>
      <c r="CO77" s="16"/>
      <c r="CP77" s="16"/>
      <c r="CQ77" s="16"/>
      <c r="CR77" s="16" t="str">
        <f>IFERROR(__xludf.DUMMYFUNCTION("""COMPUTED_VALUE"""),"2b-3e8 1b-4e17")</f>
        <v>2b-3e8 1b-4e17</v>
      </c>
      <c r="CS77" s="16"/>
      <c r="CT77" s="16">
        <f>IFERROR(__xludf.DUMMYFUNCTION("""COMPUTED_VALUE"""),4.0)</f>
        <v>4</v>
      </c>
      <c r="CU77" s="16">
        <f>IFERROR(__xludf.DUMMYFUNCTION("""COMPUTED_VALUE"""),3.0)</f>
        <v>3</v>
      </c>
      <c r="CV77" s="16"/>
      <c r="CW77" s="16"/>
      <c r="CX77" s="16"/>
      <c r="CY77" s="16"/>
      <c r="CZ77" s="16"/>
      <c r="DA77" s="16"/>
      <c r="DB77" s="16">
        <f>IFERROR(__xludf.DUMMYFUNCTION("""COMPUTED_VALUE"""),17.0)</f>
        <v>17</v>
      </c>
      <c r="DC77" s="16">
        <f>IFERROR(__xludf.DUMMYFUNCTION("""COMPUTED_VALUE"""),8.0)</f>
        <v>8</v>
      </c>
      <c r="DD77" s="16"/>
      <c r="DE77" s="16"/>
      <c r="DF77" s="16"/>
      <c r="DG77" s="16"/>
      <c r="DH77" s="16"/>
      <c r="DI77" s="16"/>
      <c r="DJ77" s="16">
        <f>IFERROR(__xludf.DUMMYFUNCTION("""COMPUTED_VALUE"""),0.0)</f>
        <v>0</v>
      </c>
      <c r="DK77" s="16">
        <f>IFERROR(__xludf.DUMMYFUNCTION("""COMPUTED_VALUE"""),0.0)</f>
        <v>0</v>
      </c>
      <c r="DL77" s="16"/>
      <c r="DM77" s="16"/>
      <c r="DN77" s="16"/>
      <c r="DO77" s="16"/>
      <c r="DP77" s="16"/>
      <c r="DQ77" s="16"/>
      <c r="DR77" s="16">
        <f>IFERROR(__xludf.DUMMYFUNCTION("""COMPUTED_VALUE"""),0.0)</f>
        <v>0</v>
      </c>
      <c r="DS77" s="16">
        <f>IFERROR(__xludf.DUMMYFUNCTION("""COMPUTED_VALUE"""),3.0)</f>
        <v>3</v>
      </c>
      <c r="DT77" s="16"/>
      <c r="DU77" s="16"/>
      <c r="DV77" s="16"/>
      <c r="DW77" s="16"/>
      <c r="DX77" s="16"/>
      <c r="DY77" s="16"/>
      <c r="DZ77" s="16">
        <f>IFERROR(__xludf.DUMMYFUNCTION("""COMPUTED_VALUE"""),0.0)</f>
        <v>0</v>
      </c>
      <c r="EA77" s="16">
        <f>IFERROR(__xludf.DUMMYFUNCTION("""COMPUTED_VALUE"""),3.0)</f>
        <v>3</v>
      </c>
      <c r="EB77" s="16"/>
      <c r="EC77" s="16"/>
      <c r="ED77" s="16"/>
      <c r="EE77" s="16"/>
      <c r="EF77" s="16"/>
      <c r="EG77" s="179"/>
      <c r="EH77" s="179">
        <f>IFERROR(__xludf.DUMMYFUNCTION("""COMPUTED_VALUE"""),17.0)</f>
        <v>17</v>
      </c>
      <c r="EI77" s="179">
        <f>IFERROR(__xludf.DUMMYFUNCTION("""COMPUTED_VALUE"""),20.0)</f>
        <v>20</v>
      </c>
      <c r="EJ77" s="179"/>
      <c r="EK77" s="179"/>
      <c r="EL77" s="179"/>
      <c r="EM77" s="179"/>
      <c r="EN77" s="179"/>
      <c r="EO77" s="16"/>
      <c r="EP77" s="16">
        <f>IFERROR(__xludf.DUMMYFUNCTION("""COMPUTED_VALUE"""),-1.0)</f>
        <v>-1</v>
      </c>
      <c r="EQ77" s="16">
        <f>IFERROR(__xludf.DUMMYFUNCTION("""COMPUTED_VALUE"""),1.0)</f>
        <v>1</v>
      </c>
      <c r="ER77" s="16">
        <f>IFERROR(__xludf.DUMMYFUNCTION("""COMPUTED_VALUE"""),0.0)</f>
        <v>0</v>
      </c>
      <c r="ES77" s="16"/>
      <c r="ET77" s="16"/>
      <c r="EU77" s="16"/>
      <c r="EV77" s="16"/>
      <c r="EW77" s="16"/>
      <c r="EX77" s="180"/>
      <c r="EY77" s="180">
        <f>IFERROR(__xludf.DUMMYFUNCTION("""COMPUTED_VALUE"""),0.3)</f>
        <v>0.3</v>
      </c>
      <c r="EZ77" s="180">
        <f>IFERROR(__xludf.DUMMYFUNCTION("""COMPUTED_VALUE"""),0.2)</f>
        <v>0.2</v>
      </c>
      <c r="FA77" s="180"/>
      <c r="FB77" s="180"/>
      <c r="FC77" s="180"/>
      <c r="FD77" s="180"/>
      <c r="FE77" s="180"/>
      <c r="FF77" s="180"/>
      <c r="FG77" s="180">
        <f>IFERROR(__xludf.DUMMYFUNCTION("""COMPUTED_VALUE"""),0.3055555555555556)</f>
        <v>0.3055555556</v>
      </c>
      <c r="FH77" s="180">
        <f>IFERROR(__xludf.DUMMYFUNCTION("""COMPUTED_VALUE"""),0.046296296296296294)</f>
        <v>0.0462962963</v>
      </c>
      <c r="FI77" s="180"/>
      <c r="FJ77" s="180"/>
      <c r="FK77" s="180"/>
      <c r="FL77" s="180"/>
      <c r="FM77" s="180"/>
      <c r="FN77" s="16"/>
      <c r="FO77" s="16">
        <f>IFERROR(__xludf.DUMMYFUNCTION("""COMPUTED_VALUE"""),0.48611111111111105)</f>
        <v>0.4861111111</v>
      </c>
      <c r="FP77" s="16">
        <f>IFERROR(__xludf.DUMMYFUNCTION("""COMPUTED_VALUE"""),0.7629629629629631)</f>
        <v>0.762962963</v>
      </c>
      <c r="FQ77" s="16"/>
      <c r="FR77" s="16"/>
      <c r="FS77" s="16"/>
      <c r="FT77" s="16"/>
      <c r="FU77" s="16"/>
      <c r="FV77" s="16"/>
      <c r="FW77" s="16">
        <f>IFERROR(__xludf.DUMMYFUNCTION("""COMPUTED_VALUE"""),-8.0)</f>
        <v>-8</v>
      </c>
      <c r="FX77" s="16">
        <f>IFERROR(__xludf.DUMMYFUNCTION("""COMPUTED_VALUE"""),-1.0)</f>
        <v>-1</v>
      </c>
      <c r="FY77" s="16"/>
      <c r="FZ77" s="16"/>
      <c r="GA77" s="16"/>
      <c r="GB77" s="16"/>
      <c r="GC77" s="16"/>
      <c r="GD77" s="16" t="s">
        <v>215</v>
      </c>
    </row>
    <row r="78">
      <c r="A78" s="16">
        <f>IFERROR(__xludf.DUMMYFUNCTION("""COMPUTED_VALUE"""),12925.0)</f>
        <v>12925</v>
      </c>
      <c r="B78" s="16" t="str">
        <f>IFERROR(__xludf.DUMMYFUNCTION("""COMPUTED_VALUE"""),"James Wood")</f>
        <v>James Wood</v>
      </c>
      <c r="C78" s="16">
        <f>IFERROR(__xludf.DUMMYFUNCTION("""COMPUTED_VALUE"""),0.95)</f>
        <v>0.95</v>
      </c>
      <c r="D78" s="16" t="str">
        <f>IFERROR(__xludf.DUMMYFUNCTION("""COMPUTED_VALUE"""),"L")</f>
        <v>L</v>
      </c>
      <c r="E78" s="16"/>
      <c r="F78" s="16"/>
      <c r="G78" s="16">
        <f>IFERROR(__xludf.DUMMYFUNCTION("""COMPUTED_VALUE"""),295.0)</f>
        <v>295</v>
      </c>
      <c r="H78" s="16">
        <f>IFERROR(__xludf.DUMMYFUNCTION("""COMPUTED_VALUE"""),39.0)</f>
        <v>39</v>
      </c>
      <c r="I78" s="16" t="str">
        <f>IFERROR(__xludf.DUMMYFUNCTION("""COMPUTED_VALUE"""),"1p40")</f>
        <v>1p40</v>
      </c>
      <c r="J78" s="16">
        <f>IFERROR(__xludf.DUMMYFUNCTION("""COMPUTED_VALUE"""),28.0)</f>
        <v>28</v>
      </c>
      <c r="K78" s="16">
        <f>IFERROR(__xludf.DUMMYFUNCTION("""COMPUTED_VALUE"""),42.0)</f>
        <v>42</v>
      </c>
      <c r="L78" s="16">
        <f>IFERROR(__xludf.DUMMYFUNCTION("""COMPUTED_VALUE"""),0.0)</f>
        <v>0</v>
      </c>
      <c r="M78" s="16">
        <f>IFERROR(__xludf.DUMMYFUNCTION("""COMPUTED_VALUE"""),-2.0)</f>
        <v>-2</v>
      </c>
      <c r="N78" s="16">
        <f>IFERROR(__xludf.DUMMYFUNCTION("""COMPUTED_VALUE"""),0.0)</f>
        <v>0</v>
      </c>
      <c r="O78" s="16">
        <f>IFERROR(__xludf.DUMMYFUNCTION("""COMPUTED_VALUE"""),-2.0)</f>
        <v>-2</v>
      </c>
      <c r="P78" s="16">
        <f>IFERROR(__xludf.DUMMYFUNCTION("""COMPUTED_VALUE"""),8.0)</f>
        <v>8</v>
      </c>
      <c r="Q78" s="16">
        <f>IFERROR(__xludf.DUMMYFUNCTION("""COMPUTED_VALUE"""),20.0)</f>
        <v>20</v>
      </c>
      <c r="R78" s="16">
        <f>IFERROR(__xludf.DUMMYFUNCTION("""COMPUTED_VALUE"""),0.0)</f>
        <v>0</v>
      </c>
      <c r="S78" s="16">
        <f>IFERROR(__xludf.DUMMYFUNCTION("""COMPUTED_VALUE"""),3.0)</f>
        <v>3</v>
      </c>
      <c r="T78" s="16">
        <f>IFERROR(__xludf.DUMMYFUNCTION("""COMPUTED_VALUE"""),0.0)</f>
        <v>0</v>
      </c>
      <c r="U78" s="16">
        <f>IFERROR(__xludf.DUMMYFUNCTION("""COMPUTED_VALUE"""),3.0)</f>
        <v>3</v>
      </c>
      <c r="V78" s="16">
        <f>IFERROR(__xludf.DUMMYFUNCTION("""COMPUTED_VALUE"""),24.5)</f>
        <v>24.5</v>
      </c>
      <c r="W78" s="16">
        <f>IFERROR(__xludf.DUMMYFUNCTION("""COMPUTED_VALUE"""),19.8)</f>
        <v>19.8</v>
      </c>
      <c r="X78" s="16">
        <f>IFERROR(__xludf.DUMMYFUNCTION("""COMPUTED_VALUE"""),1.0)</f>
        <v>1</v>
      </c>
      <c r="Y78" s="16">
        <f>IFERROR(__xludf.DUMMYFUNCTION("""COMPUTED_VALUE"""),0.0)</f>
        <v>0</v>
      </c>
      <c r="Z78" s="16">
        <f>IFERROR(__xludf.DUMMYFUNCTION("""COMPUTED_VALUE"""),2.0)</f>
        <v>2</v>
      </c>
      <c r="AA78" s="16">
        <f>IFERROR(__xludf.DUMMYFUNCTION("""COMPUTED_VALUE"""),0.0)</f>
        <v>0</v>
      </c>
      <c r="AB78" s="16">
        <f>IFERROR(__xludf.DUMMYFUNCTION("""COMPUTED_VALUE"""),34.5)</f>
        <v>34.5</v>
      </c>
      <c r="AC78" s="16">
        <f>IFERROR(__xludf.DUMMYFUNCTION("""COMPUTED_VALUE"""),41.8)</f>
        <v>41.8</v>
      </c>
      <c r="AD78" s="16">
        <f>IFERROR(__xludf.DUMMYFUNCTION("""COMPUTED_VALUE"""),0.0)</f>
        <v>0</v>
      </c>
      <c r="AE78" s="16">
        <f>IFERROR(__xludf.DUMMYFUNCTION("""COMPUTED_VALUE"""),2.0)</f>
        <v>2</v>
      </c>
      <c r="AF78" s="16">
        <f>IFERROR(__xludf.DUMMYFUNCTION("""COMPUTED_VALUE"""),0.0)</f>
        <v>0</v>
      </c>
      <c r="AG78" s="16">
        <f>IFERROR(__xludf.DUMMYFUNCTION("""COMPUTED_VALUE"""),10.0)</f>
        <v>10</v>
      </c>
      <c r="AH78" s="16">
        <f>IFERROR(__xludf.DUMMYFUNCTION("""COMPUTED_VALUE"""),34.8)</f>
        <v>34.8</v>
      </c>
      <c r="AI78" s="16">
        <f>IFERROR(__xludf.DUMMYFUNCTION("""COMPUTED_VALUE"""),36.3)</f>
        <v>36.3</v>
      </c>
      <c r="AJ78" s="16">
        <f>IFERROR(__xludf.DUMMYFUNCTION("""COMPUTED_VALUE"""),0.0)</f>
        <v>0</v>
      </c>
      <c r="AK78" s="16">
        <f>IFERROR(__xludf.DUMMYFUNCTION("""COMPUTED_VALUE"""),0.0)</f>
        <v>0</v>
      </c>
      <c r="AL78" s="16">
        <f>IFERROR(__xludf.DUMMYFUNCTION("""COMPUTED_VALUE"""),0.0)</f>
        <v>0</v>
      </c>
      <c r="AM78" s="16">
        <f>IFERROR(__xludf.DUMMYFUNCTION("""COMPUTED_VALUE"""),0.0)</f>
        <v>0</v>
      </c>
      <c r="AN78" s="16">
        <f>IFERROR(__xludf.DUMMYFUNCTION("""COMPUTED_VALUE"""),1.8)</f>
        <v>1.8</v>
      </c>
      <c r="AO78" s="16">
        <f>IFERROR(__xludf.DUMMYFUNCTION("""COMPUTED_VALUE"""),2.5)</f>
        <v>2.5</v>
      </c>
      <c r="AP78" s="16">
        <f>IFERROR(__xludf.DUMMYFUNCTION("""COMPUTED_VALUE"""),-1.0)</f>
        <v>-1</v>
      </c>
      <c r="AQ78" s="16">
        <f>IFERROR(__xludf.DUMMYFUNCTION("""COMPUTED_VALUE"""),0.0)</f>
        <v>0</v>
      </c>
      <c r="AR78" s="16">
        <f>IFERROR(__xludf.DUMMYFUNCTION("""COMPUTED_VALUE"""),-2.0)</f>
        <v>-2</v>
      </c>
      <c r="AS78" s="16">
        <f>IFERROR(__xludf.DUMMYFUNCTION("""COMPUTED_VALUE"""),0.0)</f>
        <v>0</v>
      </c>
      <c r="AT78" s="16"/>
      <c r="AU78" s="16">
        <f>IFERROR(__xludf.DUMMYFUNCTION("""COMPUTED_VALUE"""),4.0)</f>
        <v>4</v>
      </c>
      <c r="AV78" s="16">
        <f>IFERROR(__xludf.DUMMYFUNCTION("""COMPUTED_VALUE"""),-3.0)</f>
        <v>-3</v>
      </c>
      <c r="AW78" s="16">
        <f>IFERROR(__xludf.DUMMYFUNCTION("""COMPUTED_VALUE"""),4.0)</f>
        <v>4</v>
      </c>
      <c r="AX78" s="16">
        <f>IFERROR(__xludf.DUMMYFUNCTION("""COMPUTED_VALUE"""),-3.0)</f>
        <v>-3</v>
      </c>
      <c r="AY78" s="16">
        <f>IFERROR(__xludf.DUMMYFUNCTION("""COMPUTED_VALUE"""),1.0)</f>
        <v>1</v>
      </c>
      <c r="AZ78" s="16">
        <f>IFERROR(__xludf.DUMMYFUNCTION("""COMPUTED_VALUE"""),-9.0)</f>
        <v>-9</v>
      </c>
      <c r="BA78" s="16">
        <f>IFERROR(__xludf.DUMMYFUNCTION("""COMPUTED_VALUE"""),3.0)</f>
        <v>3</v>
      </c>
      <c r="BB78" s="16">
        <f>IFERROR(__xludf.DUMMYFUNCTION("""COMPUTED_VALUE"""),5.0)</f>
        <v>5</v>
      </c>
      <c r="BC78" s="16">
        <f>IFERROR(__xludf.DUMMYFUNCTION("""COMPUTED_VALUE"""),5.0)</f>
        <v>5</v>
      </c>
      <c r="BD78" s="16">
        <f>IFERROR(__xludf.DUMMYFUNCTION("""COMPUTED_VALUE"""),1.0)</f>
        <v>1</v>
      </c>
      <c r="BE78" s="16">
        <f>IFERROR(__xludf.DUMMYFUNCTION("""COMPUTED_VALUE"""),1.0)</f>
        <v>1</v>
      </c>
      <c r="BF78" s="16">
        <f>IFERROR(__xludf.DUMMYFUNCTION("""COMPUTED_VALUE"""),1.0)</f>
        <v>1</v>
      </c>
      <c r="BG78" s="16">
        <f>IFERROR(__xludf.DUMMYFUNCTION("""COMPUTED_VALUE"""),1.0)</f>
        <v>1</v>
      </c>
      <c r="BH78" s="16">
        <f>IFERROR(__xludf.DUMMYFUNCTION("""COMPUTED_VALUE"""),-3.0)</f>
        <v>-3</v>
      </c>
      <c r="BI78" s="16">
        <f>IFERROR(__xludf.DUMMYFUNCTION("""COMPUTED_VALUE"""),-3.0)</f>
        <v>-3</v>
      </c>
      <c r="BJ78" s="16">
        <f>IFERROR(__xludf.DUMMYFUNCTION("""COMPUTED_VALUE"""),0.0)</f>
        <v>0</v>
      </c>
      <c r="BK78" s="16">
        <f>IFERROR(__xludf.DUMMYFUNCTION("""COMPUTED_VALUE"""),0.0)</f>
        <v>0</v>
      </c>
      <c r="BL78" s="16">
        <f>IFERROR(__xludf.DUMMYFUNCTION("""COMPUTED_VALUE"""),3.0)</f>
        <v>3</v>
      </c>
      <c r="BM78" s="16">
        <f>IFERROR(__xludf.DUMMYFUNCTION("""COMPUTED_VALUE"""),3.0)</f>
        <v>3</v>
      </c>
      <c r="BN78" s="16">
        <f>IFERROR(__xludf.DUMMYFUNCTION("""COMPUTED_VALUE"""),3.0)</f>
        <v>3</v>
      </c>
      <c r="BO78" s="16">
        <f>IFERROR(__xludf.DUMMYFUNCTION("""COMPUTED_VALUE"""),3.0)</f>
        <v>3</v>
      </c>
      <c r="BP78" s="16">
        <f>IFERROR(__xludf.DUMMYFUNCTION("""COMPUTED_VALUE"""),1.0)</f>
        <v>1</v>
      </c>
      <c r="BQ78" s="16">
        <f>IFERROR(__xludf.DUMMYFUNCTION("""COMPUTED_VALUE"""),8.0)</f>
        <v>8</v>
      </c>
      <c r="BR78" s="16">
        <f>IFERROR(__xludf.DUMMYFUNCTION("""COMPUTED_VALUE"""),9.0)</f>
        <v>9</v>
      </c>
      <c r="BS78" s="16" t="str">
        <f>IFERROR(__xludf.DUMMYFUNCTION("""COMPUTED_VALUE"""),"*2-8,11,12/- (15-13)")</f>
        <v>*2-8,11,12/- (15-13)</v>
      </c>
      <c r="BT78" s="16" t="str">
        <f>IFERROR(__xludf.DUMMYFUNCTION("""COMPUTED_VALUE"""),"B")</f>
        <v>B</v>
      </c>
      <c r="BU78" s="16">
        <f>IFERROR(__xludf.DUMMYFUNCTION("""COMPUTED_VALUE"""),15.0)</f>
        <v>15</v>
      </c>
      <c r="BV78" s="16">
        <f>IFERROR(__xludf.DUMMYFUNCTION("""COMPUTED_VALUE"""),1.0)</f>
        <v>1</v>
      </c>
      <c r="BW78" s="16">
        <f>IFERROR(__xludf.DUMMYFUNCTION("""COMPUTED_VALUE"""),2.0)</f>
        <v>2</v>
      </c>
      <c r="BX78" s="16">
        <f>IFERROR(__xludf.DUMMYFUNCTION("""COMPUTED_VALUE"""),2.0)</f>
        <v>2</v>
      </c>
      <c r="BY78" s="16">
        <f>IFERROR(__xludf.DUMMYFUNCTION("""COMPUTED_VALUE"""),6.0)</f>
        <v>6</v>
      </c>
      <c r="BZ78" s="16" t="str">
        <f>IFERROR(__xludf.DUMMYFUNCTION("""COMPUTED_VALUE"""),"D")</f>
        <v>D</v>
      </c>
      <c r="CA78" s="16" t="str">
        <f>IFERROR(__xludf.DUMMYFUNCTION("""COMPUTED_VALUE"""),"C")</f>
        <v>C</v>
      </c>
      <c r="CB78" s="16">
        <f>IFERROR(__xludf.DUMMYFUNCTION("""COMPUTED_VALUE"""),0.0)</f>
        <v>0</v>
      </c>
      <c r="CC78" s="16">
        <f>IFERROR(__xludf.DUMMYFUNCTION("""COMPUTED_VALUE"""),0.0)</f>
        <v>0</v>
      </c>
      <c r="CD78" s="16">
        <f>IFERROR(__xludf.DUMMYFUNCTION("""COMPUTED_VALUE"""),0.0)</f>
        <v>0</v>
      </c>
      <c r="CE78" s="16">
        <f>IFERROR(__xludf.DUMMYFUNCTION("""COMPUTED_VALUE"""),0.0)</f>
        <v>0</v>
      </c>
      <c r="CF78" s="16">
        <f>IFERROR(__xludf.DUMMYFUNCTION("""COMPUTED_VALUE"""),1.0)</f>
        <v>1</v>
      </c>
      <c r="CG78" s="16">
        <f>IFERROR(__xludf.DUMMYFUNCTION("""COMPUTED_VALUE"""),-5.0)</f>
        <v>-5</v>
      </c>
      <c r="CH78" s="16">
        <f>IFERROR(__xludf.DUMMYFUNCTION("""COMPUTED_VALUE"""),18.0)</f>
        <v>18</v>
      </c>
      <c r="CI78" s="179">
        <f>IFERROR(__xludf.DUMMYFUNCTION("""COMPUTED_VALUE"""),17.0)</f>
        <v>17</v>
      </c>
      <c r="CJ78" s="16"/>
      <c r="CK78" s="16"/>
      <c r="CL78" s="16"/>
      <c r="CM78" s="16"/>
      <c r="CN78" s="16"/>
      <c r="CO78" s="16">
        <f>IFERROR(__xludf.DUMMYFUNCTION("""COMPUTED_VALUE"""),408.0)</f>
        <v>408</v>
      </c>
      <c r="CP78" s="16"/>
      <c r="CQ78" s="16"/>
      <c r="CR78" s="16" t="str">
        <f>IFERROR(__xludf.DUMMYFUNCTION("""COMPUTED_VALUE"""),"lf-4(-1)e8")</f>
        <v>lf-4(-1)e8</v>
      </c>
      <c r="CS78" s="16"/>
      <c r="CT78" s="16"/>
      <c r="CU78" s="16"/>
      <c r="CV78" s="16"/>
      <c r="CW78" s="16"/>
      <c r="CX78" s="16">
        <f>IFERROR(__xludf.DUMMYFUNCTION("""COMPUTED_VALUE"""),4.0)</f>
        <v>4</v>
      </c>
      <c r="CY78" s="16"/>
      <c r="CZ78" s="16"/>
      <c r="DA78" s="16"/>
      <c r="DB78" s="16"/>
      <c r="DC78" s="16"/>
      <c r="DD78" s="16"/>
      <c r="DE78" s="16"/>
      <c r="DF78" s="16">
        <f>IFERROR(__xludf.DUMMYFUNCTION("""COMPUTED_VALUE"""),8.0)</f>
        <v>8</v>
      </c>
      <c r="DG78" s="16"/>
      <c r="DH78" s="16"/>
      <c r="DI78" s="16"/>
      <c r="DJ78" s="16"/>
      <c r="DK78" s="16"/>
      <c r="DL78" s="16"/>
      <c r="DM78" s="16"/>
      <c r="DN78" s="16">
        <f>IFERROR(__xludf.DUMMYFUNCTION("""COMPUTED_VALUE"""),-1.0)</f>
        <v>-1</v>
      </c>
      <c r="DO78" s="16"/>
      <c r="DP78" s="16"/>
      <c r="DQ78" s="16"/>
      <c r="DR78" s="16"/>
      <c r="DS78" s="16"/>
      <c r="DT78" s="16"/>
      <c r="DU78" s="16"/>
      <c r="DV78" s="16">
        <f>IFERROR(__xludf.DUMMYFUNCTION("""COMPUTED_VALUE"""),0.0)</f>
        <v>0</v>
      </c>
      <c r="DW78" s="16"/>
      <c r="DX78" s="16"/>
      <c r="DY78" s="16"/>
      <c r="DZ78" s="16"/>
      <c r="EA78" s="16"/>
      <c r="EB78" s="16"/>
      <c r="EC78" s="16"/>
      <c r="ED78" s="16">
        <f>IFERROR(__xludf.DUMMYFUNCTION("""COMPUTED_VALUE"""),-1.0)</f>
        <v>-1</v>
      </c>
      <c r="EE78" s="16"/>
      <c r="EF78" s="16"/>
      <c r="EG78" s="179"/>
      <c r="EH78" s="179"/>
      <c r="EI78" s="179"/>
      <c r="EJ78" s="179"/>
      <c r="EK78" s="179"/>
      <c r="EL78" s="179">
        <f>IFERROR(__xludf.DUMMYFUNCTION("""COMPUTED_VALUE"""),16.0)</f>
        <v>16</v>
      </c>
      <c r="EM78" s="179"/>
      <c r="EN78" s="179"/>
      <c r="EO78" s="16"/>
      <c r="EP78" s="16">
        <f>IFERROR(__xludf.DUMMYFUNCTION("""COMPUTED_VALUE"""),-2.0)</f>
        <v>-2</v>
      </c>
      <c r="EQ78" s="16">
        <f>IFERROR(__xludf.DUMMYFUNCTION("""COMPUTED_VALUE"""),4.0)</f>
        <v>4</v>
      </c>
      <c r="ER78" s="16">
        <f>IFERROR(__xludf.DUMMYFUNCTION("""COMPUTED_VALUE"""),-1.0)</f>
        <v>-1</v>
      </c>
      <c r="ES78" s="16"/>
      <c r="ET78" s="16"/>
      <c r="EU78" s="16"/>
      <c r="EV78" s="16"/>
      <c r="EW78" s="16"/>
      <c r="EX78" s="180"/>
      <c r="EY78" s="180"/>
      <c r="EZ78" s="180"/>
      <c r="FA78" s="180"/>
      <c r="FB78" s="180"/>
      <c r="FC78" s="180">
        <f>IFERROR(__xludf.DUMMYFUNCTION("""COMPUTED_VALUE"""),0.55)</f>
        <v>0.55</v>
      </c>
      <c r="FD78" s="180"/>
      <c r="FE78" s="180"/>
      <c r="FF78" s="180"/>
      <c r="FG78" s="180"/>
      <c r="FH78" s="180"/>
      <c r="FI78" s="180"/>
      <c r="FJ78" s="180"/>
      <c r="FK78" s="180">
        <f>IFERROR(__xludf.DUMMYFUNCTION("""COMPUTED_VALUE"""),0.144)</f>
        <v>0.144</v>
      </c>
      <c r="FL78" s="180"/>
      <c r="FM78" s="180"/>
      <c r="FN78" s="16"/>
      <c r="FO78" s="16"/>
      <c r="FP78" s="16"/>
      <c r="FQ78" s="16"/>
      <c r="FR78" s="16"/>
      <c r="FS78" s="16">
        <f>IFERROR(__xludf.DUMMYFUNCTION("""COMPUTED_VALUE"""),0.38519999999999993)</f>
        <v>0.3852</v>
      </c>
      <c r="FT78" s="16"/>
      <c r="FU78" s="16"/>
      <c r="FV78" s="16"/>
      <c r="FW78" s="16"/>
      <c r="FX78" s="16"/>
      <c r="FY78" s="16"/>
      <c r="FZ78" s="16"/>
      <c r="GA78" s="16">
        <f>IFERROR(__xludf.DUMMYFUNCTION("""COMPUTED_VALUE"""),-6.0)</f>
        <v>-6</v>
      </c>
      <c r="GB78" s="16"/>
      <c r="GC78" s="16"/>
      <c r="GD78" s="16" t="s">
        <v>289</v>
      </c>
    </row>
    <row r="79">
      <c r="A79" s="16">
        <f>IFERROR(__xludf.DUMMYFUNCTION("""COMPUTED_VALUE"""),12566.0)</f>
        <v>12566</v>
      </c>
      <c r="B79" s="16" t="str">
        <f>IFERROR(__xludf.DUMMYFUNCTION("""COMPUTED_VALUE"""),"Austin Riley")</f>
        <v>Austin Riley</v>
      </c>
      <c r="C79" s="16">
        <f>IFERROR(__xludf.DUMMYFUNCTION("""COMPUTED_VALUE"""),1.79)</f>
        <v>1.79</v>
      </c>
      <c r="D79" s="16" t="str">
        <f>IFERROR(__xludf.DUMMYFUNCTION("""COMPUTED_VALUE"""),"R")</f>
        <v>R</v>
      </c>
      <c r="E79" s="16"/>
      <c r="F79" s="16"/>
      <c r="G79" s="16">
        <f>IFERROR(__xludf.DUMMYFUNCTION("""COMPUTED_VALUE"""),425.0)</f>
        <v>425</v>
      </c>
      <c r="H79" s="16">
        <f>IFERROR(__xludf.DUMMYFUNCTION("""COMPUTED_VALUE"""),37.0)</f>
        <v>37</v>
      </c>
      <c r="I79" s="16" t="str">
        <f>IFERROR(__xludf.DUMMYFUNCTION("""COMPUTED_VALUE"""),"3p50")</f>
        <v>3p50</v>
      </c>
      <c r="J79" s="16">
        <f>IFERROR(__xludf.DUMMYFUNCTION("""COMPUTED_VALUE"""),23.0)</f>
        <v>23</v>
      </c>
      <c r="K79" s="16">
        <f>IFERROR(__xludf.DUMMYFUNCTION("""COMPUTED_VALUE"""),32.0)</f>
        <v>32</v>
      </c>
      <c r="L79" s="16">
        <f>IFERROR(__xludf.DUMMYFUNCTION("""COMPUTED_VALUE"""),0.0)</f>
        <v>0</v>
      </c>
      <c r="M79" s="16">
        <f>IFERROR(__xludf.DUMMYFUNCTION("""COMPUTED_VALUE"""),-1.0)</f>
        <v>-1</v>
      </c>
      <c r="N79" s="16">
        <f>IFERROR(__xludf.DUMMYFUNCTION("""COMPUTED_VALUE"""),0.0)</f>
        <v>0</v>
      </c>
      <c r="O79" s="16">
        <f>IFERROR(__xludf.DUMMYFUNCTION("""COMPUTED_VALUE"""),-1.0)</f>
        <v>-1</v>
      </c>
      <c r="P79" s="16">
        <f>IFERROR(__xludf.DUMMYFUNCTION("""COMPUTED_VALUE"""),15.0)</f>
        <v>15</v>
      </c>
      <c r="Q79" s="16">
        <f>IFERROR(__xludf.DUMMYFUNCTION("""COMPUTED_VALUE"""),7.0)</f>
        <v>7</v>
      </c>
      <c r="R79" s="16">
        <f>IFERROR(__xludf.DUMMYFUNCTION("""COMPUTED_VALUE"""),2.0)</f>
        <v>2</v>
      </c>
      <c r="S79" s="16">
        <f>IFERROR(__xludf.DUMMYFUNCTION("""COMPUTED_VALUE"""),-1.0)</f>
        <v>-1</v>
      </c>
      <c r="T79" s="16">
        <f>IFERROR(__xludf.DUMMYFUNCTION("""COMPUTED_VALUE"""),2.0)</f>
        <v>2</v>
      </c>
      <c r="U79" s="16">
        <f>IFERROR(__xludf.DUMMYFUNCTION("""COMPUTED_VALUE"""),-1.0)</f>
        <v>-1</v>
      </c>
      <c r="V79" s="16">
        <f>IFERROR(__xludf.DUMMYFUNCTION("""COMPUTED_VALUE"""),14.4)</f>
        <v>14.4</v>
      </c>
      <c r="W79" s="16">
        <f>IFERROR(__xludf.DUMMYFUNCTION("""COMPUTED_VALUE"""),24.0)</f>
        <v>24</v>
      </c>
      <c r="X79" s="16">
        <f>IFERROR(__xludf.DUMMYFUNCTION("""COMPUTED_VALUE"""),-1.0)</f>
        <v>-1</v>
      </c>
      <c r="Y79" s="16">
        <f>IFERROR(__xludf.DUMMYFUNCTION("""COMPUTED_VALUE"""),1.0)</f>
        <v>1</v>
      </c>
      <c r="Z79" s="16">
        <f>IFERROR(__xludf.DUMMYFUNCTION("""COMPUTED_VALUE"""),-2.0)</f>
        <v>-2</v>
      </c>
      <c r="AA79" s="16">
        <f>IFERROR(__xludf.DUMMYFUNCTION("""COMPUTED_VALUE"""),2.0)</f>
        <v>2</v>
      </c>
      <c r="AB79" s="16">
        <f>IFERROR(__xludf.DUMMYFUNCTION("""COMPUTED_VALUE"""),31.4)</f>
        <v>31.4</v>
      </c>
      <c r="AC79" s="16">
        <f>IFERROR(__xludf.DUMMYFUNCTION("""COMPUTED_VALUE"""),33.0)</f>
        <v>33</v>
      </c>
      <c r="AD79" s="16">
        <f>IFERROR(__xludf.DUMMYFUNCTION("""COMPUTED_VALUE"""),0.0)</f>
        <v>0</v>
      </c>
      <c r="AE79" s="16">
        <f>IFERROR(__xludf.DUMMYFUNCTION("""COMPUTED_VALUE"""),0.0)</f>
        <v>0</v>
      </c>
      <c r="AF79" s="16">
        <f>IFERROR(__xludf.DUMMYFUNCTION("""COMPUTED_VALUE"""),0.0)</f>
        <v>0</v>
      </c>
      <c r="AG79" s="16">
        <f>IFERROR(__xludf.DUMMYFUNCTION("""COMPUTED_VALUE"""),0.0)</f>
        <v>0</v>
      </c>
      <c r="AH79" s="16">
        <f>IFERROR(__xludf.DUMMYFUNCTION("""COMPUTED_VALUE"""),32.4)</f>
        <v>32.4</v>
      </c>
      <c r="AI79" s="16">
        <f>IFERROR(__xludf.DUMMYFUNCTION("""COMPUTED_VALUE"""),42.0)</f>
        <v>42</v>
      </c>
      <c r="AJ79" s="16">
        <f>IFERROR(__xludf.DUMMYFUNCTION("""COMPUTED_VALUE"""),0.0)</f>
        <v>0</v>
      </c>
      <c r="AK79" s="16">
        <f>IFERROR(__xludf.DUMMYFUNCTION("""COMPUTED_VALUE"""),1.0)</f>
        <v>1</v>
      </c>
      <c r="AL79" s="16">
        <f>IFERROR(__xludf.DUMMYFUNCTION("""COMPUTED_VALUE"""),0.0)</f>
        <v>0</v>
      </c>
      <c r="AM79" s="16">
        <f>IFERROR(__xludf.DUMMYFUNCTION("""COMPUTED_VALUE"""),5.0)</f>
        <v>5</v>
      </c>
      <c r="AN79" s="16">
        <f>IFERROR(__xludf.DUMMYFUNCTION("""COMPUTED_VALUE"""),3.5)</f>
        <v>3.5</v>
      </c>
      <c r="AO79" s="16">
        <f>IFERROR(__xludf.DUMMYFUNCTION("""COMPUTED_VALUE"""),3.3)</f>
        <v>3.3</v>
      </c>
      <c r="AP79" s="16">
        <f>IFERROR(__xludf.DUMMYFUNCTION("""COMPUTED_VALUE"""),1.0)</f>
        <v>1</v>
      </c>
      <c r="AQ79" s="16">
        <f>IFERROR(__xludf.DUMMYFUNCTION("""COMPUTED_VALUE"""),1.0)</f>
        <v>1</v>
      </c>
      <c r="AR79" s="16">
        <f>IFERROR(__xludf.DUMMYFUNCTION("""COMPUTED_VALUE"""),2.0)</f>
        <v>2</v>
      </c>
      <c r="AS79" s="16">
        <f>IFERROR(__xludf.DUMMYFUNCTION("""COMPUTED_VALUE"""),2.0)</f>
        <v>2</v>
      </c>
      <c r="AT79" s="16">
        <f>IFERROR(__xludf.DUMMYFUNCTION("""COMPUTED_VALUE"""),6.0)</f>
        <v>6</v>
      </c>
      <c r="AU79" s="16">
        <f>IFERROR(__xludf.DUMMYFUNCTION("""COMPUTED_VALUE"""),5.0)</f>
        <v>5</v>
      </c>
      <c r="AV79" s="16">
        <f>IFERROR(__xludf.DUMMYFUNCTION("""COMPUTED_VALUE"""),6.0)</f>
        <v>6</v>
      </c>
      <c r="AW79" s="16">
        <f>IFERROR(__xludf.DUMMYFUNCTION("""COMPUTED_VALUE"""),5.0)</f>
        <v>5</v>
      </c>
      <c r="AX79" s="16">
        <f>IFERROR(__xludf.DUMMYFUNCTION("""COMPUTED_VALUE"""),3.0)</f>
        <v>3</v>
      </c>
      <c r="AY79" s="16">
        <f>IFERROR(__xludf.DUMMYFUNCTION("""COMPUTED_VALUE"""),2.0)</f>
        <v>2</v>
      </c>
      <c r="AZ79" s="16">
        <f>IFERROR(__xludf.DUMMYFUNCTION("""COMPUTED_VALUE"""),9.0)</f>
        <v>9</v>
      </c>
      <c r="BA79" s="16">
        <f>IFERROR(__xludf.DUMMYFUNCTION("""COMPUTED_VALUE"""),6.0)</f>
        <v>6</v>
      </c>
      <c r="BB79" s="16">
        <f>IFERROR(__xludf.DUMMYFUNCTION("""COMPUTED_VALUE"""),5.0)</f>
        <v>5</v>
      </c>
      <c r="BC79" s="16">
        <f>IFERROR(__xludf.DUMMYFUNCTION("""COMPUTED_VALUE"""),5.0)</f>
        <v>5</v>
      </c>
      <c r="BD79" s="16">
        <f>IFERROR(__xludf.DUMMYFUNCTION("""COMPUTED_VALUE"""),1.0)</f>
        <v>1</v>
      </c>
      <c r="BE79" s="16">
        <f>IFERROR(__xludf.DUMMYFUNCTION("""COMPUTED_VALUE"""),1.0)</f>
        <v>1</v>
      </c>
      <c r="BF79" s="16">
        <f>IFERROR(__xludf.DUMMYFUNCTION("""COMPUTED_VALUE"""),1.0)</f>
        <v>1</v>
      </c>
      <c r="BG79" s="16">
        <f>IFERROR(__xludf.DUMMYFUNCTION("""COMPUTED_VALUE"""),1.0)</f>
        <v>1</v>
      </c>
      <c r="BH79" s="16">
        <f>IFERROR(__xludf.DUMMYFUNCTION("""COMPUTED_VALUE"""),-2.0)</f>
        <v>-2</v>
      </c>
      <c r="BI79" s="16">
        <f>IFERROR(__xludf.DUMMYFUNCTION("""COMPUTED_VALUE"""),-11.0)</f>
        <v>-11</v>
      </c>
      <c r="BJ79" s="16">
        <f>IFERROR(__xludf.DUMMYFUNCTION("""COMPUTED_VALUE"""),8.0)</f>
        <v>8</v>
      </c>
      <c r="BK79" s="16">
        <f>IFERROR(__xludf.DUMMYFUNCTION("""COMPUTED_VALUE"""),9.0)</f>
        <v>9</v>
      </c>
      <c r="BL79" s="16">
        <f>IFERROR(__xludf.DUMMYFUNCTION("""COMPUTED_VALUE"""),1.0)</f>
        <v>1</v>
      </c>
      <c r="BM79" s="16">
        <f>IFERROR(__xludf.DUMMYFUNCTION("""COMPUTED_VALUE"""),1.0)</f>
        <v>1</v>
      </c>
      <c r="BN79" s="16">
        <f>IFERROR(__xludf.DUMMYFUNCTION("""COMPUTED_VALUE"""),1.0)</f>
        <v>1</v>
      </c>
      <c r="BO79" s="16">
        <f>IFERROR(__xludf.DUMMYFUNCTION("""COMPUTED_VALUE"""),1.0)</f>
        <v>1</v>
      </c>
      <c r="BP79" s="16">
        <f>IFERROR(__xludf.DUMMYFUNCTION("""COMPUTED_VALUE"""),7.0)</f>
        <v>7</v>
      </c>
      <c r="BQ79" s="16">
        <f>IFERROR(__xludf.DUMMYFUNCTION("""COMPUTED_VALUE"""),5.0)</f>
        <v>5</v>
      </c>
      <c r="BR79" s="16">
        <f>IFERROR(__xludf.DUMMYFUNCTION("""COMPUTED_VALUE"""),12.0)</f>
        <v>12</v>
      </c>
      <c r="BS79" s="16" t="str">
        <f>IFERROR(__xludf.DUMMYFUNCTION("""COMPUTED_VALUE"""),"-/- (---)")</f>
        <v>-/- (---)</v>
      </c>
      <c r="BT79" s="16" t="str">
        <f>IFERROR(__xludf.DUMMYFUNCTION("""COMPUTED_VALUE"""),"E")</f>
        <v>E</v>
      </c>
      <c r="BU79" s="16">
        <f>IFERROR(__xludf.DUMMYFUNCTION("""COMPUTED_VALUE"""),13.0)</f>
        <v>13</v>
      </c>
      <c r="BV79" s="16">
        <f>IFERROR(__xludf.DUMMYFUNCTION("""COMPUTED_VALUE"""),0.0)</f>
        <v>0</v>
      </c>
      <c r="BW79" s="16">
        <f>IFERROR(__xludf.DUMMYFUNCTION("""COMPUTED_VALUE"""),1.0)</f>
        <v>1</v>
      </c>
      <c r="BX79" s="16">
        <f>IFERROR(__xludf.DUMMYFUNCTION("""COMPUTED_VALUE"""),0.0)</f>
        <v>0</v>
      </c>
      <c r="BY79" s="16">
        <f>IFERROR(__xludf.DUMMYFUNCTION("""COMPUTED_VALUE"""),3.0)</f>
        <v>3</v>
      </c>
      <c r="BZ79" s="16" t="str">
        <f>IFERROR(__xludf.DUMMYFUNCTION("""COMPUTED_VALUE"""),"D")</f>
        <v>D</v>
      </c>
      <c r="CA79" s="16" t="str">
        <f>IFERROR(__xludf.DUMMYFUNCTION("""COMPUTED_VALUE"""),"D")</f>
        <v>D</v>
      </c>
      <c r="CB79" s="16">
        <f>IFERROR(__xludf.DUMMYFUNCTION("""COMPUTED_VALUE"""),0.0)</f>
        <v>0</v>
      </c>
      <c r="CC79" s="16">
        <f>IFERROR(__xludf.DUMMYFUNCTION("""COMPUTED_VALUE"""),0.0)</f>
        <v>0</v>
      </c>
      <c r="CD79" s="16">
        <f>IFERROR(__xludf.DUMMYFUNCTION("""COMPUTED_VALUE"""),0.0)</f>
        <v>0</v>
      </c>
      <c r="CE79" s="16">
        <f>IFERROR(__xludf.DUMMYFUNCTION("""COMPUTED_VALUE"""),0.0)</f>
        <v>0</v>
      </c>
      <c r="CF79" s="16">
        <f>IFERROR(__xludf.DUMMYFUNCTION("""COMPUTED_VALUE"""),3.0)</f>
        <v>3</v>
      </c>
      <c r="CG79" s="16">
        <f>IFERROR(__xludf.DUMMYFUNCTION("""COMPUTED_VALUE"""),13.0)</f>
        <v>13</v>
      </c>
      <c r="CH79" s="16">
        <f>IFERROR(__xludf.DUMMYFUNCTION("""COMPUTED_VALUE"""),15.0)</f>
        <v>15</v>
      </c>
      <c r="CI79" s="179">
        <f>IFERROR(__xludf.DUMMYFUNCTION("""COMPUTED_VALUE"""),16.0)</f>
        <v>16</v>
      </c>
      <c r="CJ79" s="16"/>
      <c r="CK79" s="16"/>
      <c r="CL79" s="16"/>
      <c r="CM79" s="16">
        <f>IFERROR(__xludf.DUMMYFUNCTION("""COMPUTED_VALUE"""),215.0)</f>
        <v>215</v>
      </c>
      <c r="CN79" s="16"/>
      <c r="CO79" s="16"/>
      <c r="CP79" s="16"/>
      <c r="CQ79" s="16"/>
      <c r="CR79" s="16" t="str">
        <f>IFERROR(__xludf.DUMMYFUNCTION("""COMPUTED_VALUE"""),"3b-2e15")</f>
        <v>3b-2e15</v>
      </c>
      <c r="CS79" s="16"/>
      <c r="CT79" s="16"/>
      <c r="CU79" s="16"/>
      <c r="CV79" s="16">
        <f>IFERROR(__xludf.DUMMYFUNCTION("""COMPUTED_VALUE"""),2.0)</f>
        <v>2</v>
      </c>
      <c r="CW79" s="16"/>
      <c r="CX79" s="16"/>
      <c r="CY79" s="16"/>
      <c r="CZ79" s="16"/>
      <c r="DA79" s="16"/>
      <c r="DB79" s="16"/>
      <c r="DC79" s="16"/>
      <c r="DD79" s="16">
        <f>IFERROR(__xludf.DUMMYFUNCTION("""COMPUTED_VALUE"""),15.0)</f>
        <v>15</v>
      </c>
      <c r="DE79" s="16"/>
      <c r="DF79" s="16"/>
      <c r="DG79" s="16"/>
      <c r="DH79" s="16"/>
      <c r="DI79" s="16"/>
      <c r="DJ79" s="16"/>
      <c r="DK79" s="16"/>
      <c r="DL79" s="16">
        <f>IFERROR(__xludf.DUMMYFUNCTION("""COMPUTED_VALUE"""),3.0)</f>
        <v>3</v>
      </c>
      <c r="DM79" s="16"/>
      <c r="DN79" s="16"/>
      <c r="DO79" s="16"/>
      <c r="DP79" s="16"/>
      <c r="DQ79" s="16"/>
      <c r="DR79" s="16"/>
      <c r="DS79" s="16"/>
      <c r="DT79" s="16">
        <f>IFERROR(__xludf.DUMMYFUNCTION("""COMPUTED_VALUE"""),1.0)</f>
        <v>1</v>
      </c>
      <c r="DU79" s="16"/>
      <c r="DV79" s="16"/>
      <c r="DW79" s="16"/>
      <c r="DX79" s="16"/>
      <c r="DY79" s="16"/>
      <c r="DZ79" s="16"/>
      <c r="EA79" s="16"/>
      <c r="EB79" s="16">
        <f>IFERROR(__xludf.DUMMYFUNCTION("""COMPUTED_VALUE"""),4.0)</f>
        <v>4</v>
      </c>
      <c r="EC79" s="16"/>
      <c r="ED79" s="16"/>
      <c r="EE79" s="16"/>
      <c r="EF79" s="16"/>
      <c r="EG79" s="179"/>
      <c r="EH79" s="179"/>
      <c r="EI79" s="179"/>
      <c r="EJ79" s="179">
        <f>IFERROR(__xludf.DUMMYFUNCTION("""COMPUTED_VALUE"""),20.0)</f>
        <v>20</v>
      </c>
      <c r="EK79" s="179"/>
      <c r="EL79" s="179"/>
      <c r="EM79" s="179"/>
      <c r="EN79" s="179"/>
      <c r="EO79" s="16"/>
      <c r="EP79" s="16">
        <f>IFERROR(__xludf.DUMMYFUNCTION("""COMPUTED_VALUE"""),0.0)</f>
        <v>0</v>
      </c>
      <c r="EQ79" s="16">
        <f>IFERROR(__xludf.DUMMYFUNCTION("""COMPUTED_VALUE"""),1.0)</f>
        <v>1</v>
      </c>
      <c r="ER79" s="16">
        <f>IFERROR(__xludf.DUMMYFUNCTION("""COMPUTED_VALUE"""),0.0)</f>
        <v>0</v>
      </c>
      <c r="ES79" s="16"/>
      <c r="ET79" s="16"/>
      <c r="EU79" s="16"/>
      <c r="EV79" s="16"/>
      <c r="EW79" s="16"/>
      <c r="EX79" s="180"/>
      <c r="EY79" s="180"/>
      <c r="EZ79" s="180"/>
      <c r="FA79" s="180">
        <f>IFERROR(__xludf.DUMMYFUNCTION("""COMPUTED_VALUE"""),0.1)</f>
        <v>0.1</v>
      </c>
      <c r="FB79" s="180"/>
      <c r="FC79" s="180"/>
      <c r="FD79" s="180"/>
      <c r="FE79" s="180"/>
      <c r="FF79" s="180"/>
      <c r="FG79" s="180"/>
      <c r="FH79" s="180"/>
      <c r="FI79" s="180">
        <f>IFERROR(__xludf.DUMMYFUNCTION("""COMPUTED_VALUE"""),0.18055555555555555)</f>
        <v>0.1805555556</v>
      </c>
      <c r="FJ79" s="180"/>
      <c r="FK79" s="180"/>
      <c r="FL79" s="180"/>
      <c r="FM79" s="180"/>
      <c r="FN79" s="16"/>
      <c r="FO79" s="16"/>
      <c r="FP79" s="16"/>
      <c r="FQ79" s="16">
        <f>IFERROR(__xludf.DUMMYFUNCTION("""COMPUTED_VALUE"""),0.7375)</f>
        <v>0.7375</v>
      </c>
      <c r="FR79" s="16"/>
      <c r="FS79" s="16"/>
      <c r="FT79" s="16"/>
      <c r="FU79" s="16"/>
      <c r="FV79" s="16"/>
      <c r="FW79" s="16"/>
      <c r="FX79" s="16"/>
      <c r="FY79" s="16">
        <f>IFERROR(__xludf.DUMMYFUNCTION("""COMPUTED_VALUE"""),-4.0)</f>
        <v>-4</v>
      </c>
      <c r="FZ79" s="16"/>
      <c r="GA79" s="16"/>
      <c r="GB79" s="16"/>
      <c r="GC79" s="16"/>
      <c r="GD79" s="16" t="s">
        <v>212</v>
      </c>
    </row>
    <row r="80">
      <c r="A80" s="16">
        <f>IFERROR(__xludf.DUMMYFUNCTION("""COMPUTED_VALUE"""),13214.0)</f>
        <v>13214</v>
      </c>
      <c r="B80" s="16" t="str">
        <f>IFERROR(__xludf.DUMMYFUNCTION("""COMPUTED_VALUE"""),"Mike Trout")</f>
        <v>Mike Trout</v>
      </c>
      <c r="C80" s="16">
        <f>IFERROR(__xludf.DUMMYFUNCTION("""COMPUTED_VALUE"""),2.53)</f>
        <v>2.53</v>
      </c>
      <c r="D80" s="16" t="str">
        <f>IFERROR(__xludf.DUMMYFUNCTION("""COMPUTED_VALUE"""),"R")</f>
        <v>R</v>
      </c>
      <c r="E80" s="16"/>
      <c r="F80" s="16"/>
      <c r="G80" s="16">
        <f>IFERROR(__xludf.DUMMYFUNCTION("""COMPUTED_VALUE"""),109.0)</f>
        <v>109</v>
      </c>
      <c r="H80" s="16">
        <f>IFERROR(__xludf.DUMMYFUNCTION("""COMPUTED_VALUE"""),16.0)</f>
        <v>16</v>
      </c>
      <c r="I80" s="16" t="str">
        <f>IFERROR(__xludf.DUMMYFUNCTION("""COMPUTED_VALUE"""),"5p20")</f>
        <v>5p20</v>
      </c>
      <c r="J80" s="16">
        <f>IFERROR(__xludf.DUMMYFUNCTION("""COMPUTED_VALUE"""),2.0)</f>
        <v>2</v>
      </c>
      <c r="K80" s="16">
        <f>IFERROR(__xludf.DUMMYFUNCTION("""COMPUTED_VALUE"""),24.0)</f>
        <v>24</v>
      </c>
      <c r="L80" s="16">
        <f>IFERROR(__xludf.DUMMYFUNCTION("""COMPUTED_VALUE"""),2.0)</f>
        <v>2</v>
      </c>
      <c r="M80" s="16">
        <f>IFERROR(__xludf.DUMMYFUNCTION("""COMPUTED_VALUE"""),0.0)</f>
        <v>0</v>
      </c>
      <c r="N80" s="16">
        <f>IFERROR(__xludf.DUMMYFUNCTION("""COMPUTED_VALUE"""),2.0)</f>
        <v>2</v>
      </c>
      <c r="O80" s="16">
        <f>IFERROR(__xludf.DUMMYFUNCTION("""COMPUTED_VALUE"""),0.0)</f>
        <v>0</v>
      </c>
      <c r="P80" s="16">
        <f>IFERROR(__xludf.DUMMYFUNCTION("""COMPUTED_VALUE"""),31.0)</f>
        <v>31</v>
      </c>
      <c r="Q80" s="16">
        <f>IFERROR(__xludf.DUMMYFUNCTION("""COMPUTED_VALUE"""),16.0)</f>
        <v>16</v>
      </c>
      <c r="R80" s="16">
        <f>IFERROR(__xludf.DUMMYFUNCTION("""COMPUTED_VALUE"""),3.0)</f>
        <v>3</v>
      </c>
      <c r="S80" s="16">
        <f>IFERROR(__xludf.DUMMYFUNCTION("""COMPUTED_VALUE"""),2.0)</f>
        <v>2</v>
      </c>
      <c r="T80" s="16">
        <f>IFERROR(__xludf.DUMMYFUNCTION("""COMPUTED_VALUE"""),3.0)</f>
        <v>3</v>
      </c>
      <c r="U80" s="16">
        <f>IFERROR(__xludf.DUMMYFUNCTION("""COMPUTED_VALUE"""),2.0)</f>
        <v>2</v>
      </c>
      <c r="V80" s="16">
        <f>IFERROR(__xludf.DUMMYFUNCTION("""COMPUTED_VALUE"""),1.7)</f>
        <v>1.7</v>
      </c>
      <c r="W80" s="16">
        <f>IFERROR(__xludf.DUMMYFUNCTION("""COMPUTED_VALUE"""),14.4)</f>
        <v>14.4</v>
      </c>
      <c r="X80" s="16">
        <f>IFERROR(__xludf.DUMMYFUNCTION("""COMPUTED_VALUE"""),-2.0)</f>
        <v>-2</v>
      </c>
      <c r="Y80" s="16">
        <f>IFERROR(__xludf.DUMMYFUNCTION("""COMPUTED_VALUE"""),-1.0)</f>
        <v>-1</v>
      </c>
      <c r="Z80" s="16">
        <f>IFERROR(__xludf.DUMMYFUNCTION("""COMPUTED_VALUE"""),-4.0)</f>
        <v>-4</v>
      </c>
      <c r="AA80" s="16">
        <f>IFERROR(__xludf.DUMMYFUNCTION("""COMPUTED_VALUE"""),-2.0)</f>
        <v>-2</v>
      </c>
      <c r="AB80" s="16">
        <f>IFERROR(__xludf.DUMMYFUNCTION("""COMPUTED_VALUE"""),34.7)</f>
        <v>34.7</v>
      </c>
      <c r="AC80" s="16">
        <f>IFERROR(__xludf.DUMMYFUNCTION("""COMPUTED_VALUE"""),32.4)</f>
        <v>32.4</v>
      </c>
      <c r="AD80" s="16">
        <f>IFERROR(__xludf.DUMMYFUNCTION("""COMPUTED_VALUE"""),0.0)</f>
        <v>0</v>
      </c>
      <c r="AE80" s="16">
        <f>IFERROR(__xludf.DUMMYFUNCTION("""COMPUTED_VALUE"""),0.0)</f>
        <v>0</v>
      </c>
      <c r="AF80" s="16">
        <f>IFERROR(__xludf.DUMMYFUNCTION("""COMPUTED_VALUE"""),0.0)</f>
        <v>0</v>
      </c>
      <c r="AG80" s="16">
        <f>IFERROR(__xludf.DUMMYFUNCTION("""COMPUTED_VALUE"""),0.0)</f>
        <v>0</v>
      </c>
      <c r="AH80" s="16">
        <f>IFERROR(__xludf.DUMMYFUNCTION("""COMPUTED_VALUE"""),6.5)</f>
        <v>6.5</v>
      </c>
      <c r="AI80" s="16">
        <f>IFERROR(__xludf.DUMMYFUNCTION("""COMPUTED_VALUE"""),54.7)</f>
        <v>54.7</v>
      </c>
      <c r="AJ80" s="16">
        <f>IFERROR(__xludf.DUMMYFUNCTION("""COMPUTED_VALUE"""),-2.0)</f>
        <v>-2</v>
      </c>
      <c r="AK80" s="16">
        <f>IFERROR(__xludf.DUMMYFUNCTION("""COMPUTED_VALUE"""),2.0)</f>
        <v>2</v>
      </c>
      <c r="AL80" s="16">
        <f>IFERROR(__xludf.DUMMYFUNCTION("""COMPUTED_VALUE"""),-10.0)</f>
        <v>-10</v>
      </c>
      <c r="AM80" s="16">
        <f>IFERROR(__xludf.DUMMYFUNCTION("""COMPUTED_VALUE"""),10.0)</f>
        <v>10</v>
      </c>
      <c r="AN80" s="16">
        <f>IFERROR(__xludf.DUMMYFUNCTION("""COMPUTED_VALUE"""),1.6)</f>
        <v>1.6</v>
      </c>
      <c r="AO80" s="16">
        <f>IFERROR(__xludf.DUMMYFUNCTION("""COMPUTED_VALUE"""),11.5)</f>
        <v>11.5</v>
      </c>
      <c r="AP80" s="16">
        <f>IFERROR(__xludf.DUMMYFUNCTION("""COMPUTED_VALUE"""),-1.0)</f>
        <v>-1</v>
      </c>
      <c r="AQ80" s="16">
        <f>IFERROR(__xludf.DUMMYFUNCTION("""COMPUTED_VALUE"""),3.0)</f>
        <v>3</v>
      </c>
      <c r="AR80" s="16">
        <f>IFERROR(__xludf.DUMMYFUNCTION("""COMPUTED_VALUE"""),-2.0)</f>
        <v>-2</v>
      </c>
      <c r="AS80" s="16">
        <f>IFERROR(__xludf.DUMMYFUNCTION("""COMPUTED_VALUE"""),6.0)</f>
        <v>6</v>
      </c>
      <c r="AT80" s="16"/>
      <c r="AU80" s="16"/>
      <c r="AV80" s="16">
        <f>IFERROR(__xludf.DUMMYFUNCTION("""COMPUTED_VALUE"""),3.0)</f>
        <v>3</v>
      </c>
      <c r="AW80" s="16">
        <f>IFERROR(__xludf.DUMMYFUNCTION("""COMPUTED_VALUE"""),8.0)</f>
        <v>8</v>
      </c>
      <c r="AX80" s="16">
        <f>IFERROR(__xludf.DUMMYFUNCTION("""COMPUTED_VALUE"""),1.0)</f>
        <v>1</v>
      </c>
      <c r="AY80" s="16">
        <f>IFERROR(__xludf.DUMMYFUNCTION("""COMPUTED_VALUE"""),3.0)</f>
        <v>3</v>
      </c>
      <c r="AZ80" s="16">
        <f>IFERROR(__xludf.DUMMYFUNCTION("""COMPUTED_VALUE"""),3.0)</f>
        <v>3</v>
      </c>
      <c r="BA80" s="16">
        <f>IFERROR(__xludf.DUMMYFUNCTION("""COMPUTED_VALUE"""),9.0)</f>
        <v>9</v>
      </c>
      <c r="BB80" s="16">
        <f>IFERROR(__xludf.DUMMYFUNCTION("""COMPUTED_VALUE"""),0.0)</f>
        <v>0</v>
      </c>
      <c r="BC80" s="16">
        <f>IFERROR(__xludf.DUMMYFUNCTION("""COMPUTED_VALUE"""),0.0)</f>
        <v>0</v>
      </c>
      <c r="BD80" s="16">
        <f>IFERROR(__xludf.DUMMYFUNCTION("""COMPUTED_VALUE"""),0.0)</f>
        <v>0</v>
      </c>
      <c r="BE80" s="16">
        <f>IFERROR(__xludf.DUMMYFUNCTION("""COMPUTED_VALUE"""),0.0)</f>
        <v>0</v>
      </c>
      <c r="BF80" s="16">
        <f>IFERROR(__xludf.DUMMYFUNCTION("""COMPUTED_VALUE"""),0.0)</f>
        <v>0</v>
      </c>
      <c r="BG80" s="16">
        <f>IFERROR(__xludf.DUMMYFUNCTION("""COMPUTED_VALUE"""),0.0)</f>
        <v>0</v>
      </c>
      <c r="BH80" s="16">
        <f>IFERROR(__xludf.DUMMYFUNCTION("""COMPUTED_VALUE"""),0.0)</f>
        <v>0</v>
      </c>
      <c r="BI80" s="16">
        <f>IFERROR(__xludf.DUMMYFUNCTION("""COMPUTED_VALUE"""),0.0)</f>
        <v>0</v>
      </c>
      <c r="BJ80" s="16">
        <f>IFERROR(__xludf.DUMMYFUNCTION("""COMPUTED_VALUE"""),0.0)</f>
        <v>0</v>
      </c>
      <c r="BK80" s="16">
        <f>IFERROR(__xludf.DUMMYFUNCTION("""COMPUTED_VALUE"""),0.0)</f>
        <v>0</v>
      </c>
      <c r="BL80" s="16">
        <f>IFERROR(__xludf.DUMMYFUNCTION("""COMPUTED_VALUE"""),3.0)</f>
        <v>3</v>
      </c>
      <c r="BM80" s="16">
        <f>IFERROR(__xludf.DUMMYFUNCTION("""COMPUTED_VALUE"""),3.0)</f>
        <v>3</v>
      </c>
      <c r="BN80" s="16">
        <f>IFERROR(__xludf.DUMMYFUNCTION("""COMPUTED_VALUE"""),3.0)</f>
        <v>3</v>
      </c>
      <c r="BO80" s="16">
        <f>IFERROR(__xludf.DUMMYFUNCTION("""COMPUTED_VALUE"""),3.0)</f>
        <v>3</v>
      </c>
      <c r="BP80" s="16">
        <f>IFERROR(__xludf.DUMMYFUNCTION("""COMPUTED_VALUE"""),4.0)</f>
        <v>4</v>
      </c>
      <c r="BQ80" s="16">
        <f>IFERROR(__xludf.DUMMYFUNCTION("""COMPUTED_VALUE"""),12.0)</f>
        <v>12</v>
      </c>
      <c r="BR80" s="16">
        <f>IFERROR(__xludf.DUMMYFUNCTION("""COMPUTED_VALUE"""),16.0)</f>
        <v>16</v>
      </c>
      <c r="BS80" s="16" t="str">
        <f>IFERROR(__xludf.DUMMYFUNCTION("""COMPUTED_VALUE"""),"*2-5,12/- (19-13)")</f>
        <v>*2-5,12/- (19-13)</v>
      </c>
      <c r="BT80" s="16" t="str">
        <f>IFERROR(__xludf.DUMMYFUNCTION("""COMPUTED_VALUE"""),"B")</f>
        <v>B</v>
      </c>
      <c r="BU80" s="16">
        <f>IFERROR(__xludf.DUMMYFUNCTION("""COMPUTED_VALUE"""),15.0)</f>
        <v>15</v>
      </c>
      <c r="BV80" s="16">
        <f>IFERROR(__xludf.DUMMYFUNCTION("""COMPUTED_VALUE"""),1.0)</f>
        <v>1</v>
      </c>
      <c r="BW80" s="16">
        <f>IFERROR(__xludf.DUMMYFUNCTION("""COMPUTED_VALUE"""),2.0)</f>
        <v>2</v>
      </c>
      <c r="BX80" s="16">
        <f>IFERROR(__xludf.DUMMYFUNCTION("""COMPUTED_VALUE"""),2.0)</f>
        <v>2</v>
      </c>
      <c r="BY80" s="16">
        <f>IFERROR(__xludf.DUMMYFUNCTION("""COMPUTED_VALUE"""),6.0)</f>
        <v>6</v>
      </c>
      <c r="BZ80" s="16" t="str">
        <f>IFERROR(__xludf.DUMMYFUNCTION("""COMPUTED_VALUE"""),"D")</f>
        <v>D</v>
      </c>
      <c r="CA80" s="16" t="str">
        <f>IFERROR(__xludf.DUMMYFUNCTION("""COMPUTED_VALUE"""),"D")</f>
        <v>D</v>
      </c>
      <c r="CB80" s="16">
        <f>IFERROR(__xludf.DUMMYFUNCTION("""COMPUTED_VALUE"""),0.0)</f>
        <v>0</v>
      </c>
      <c r="CC80" s="16">
        <f>IFERROR(__xludf.DUMMYFUNCTION("""COMPUTED_VALUE"""),0.0)</f>
        <v>0</v>
      </c>
      <c r="CD80" s="16">
        <f>IFERROR(__xludf.DUMMYFUNCTION("""COMPUTED_VALUE"""),0.0)</f>
        <v>0</v>
      </c>
      <c r="CE80" s="16">
        <f>IFERROR(__xludf.DUMMYFUNCTION("""COMPUTED_VALUE"""),0.0)</f>
        <v>0</v>
      </c>
      <c r="CF80" s="16">
        <f>IFERROR(__xludf.DUMMYFUNCTION("""COMPUTED_VALUE"""),5.0)</f>
        <v>5</v>
      </c>
      <c r="CG80" s="16">
        <f>IFERROR(__xludf.DUMMYFUNCTION("""COMPUTED_VALUE"""),-5.0)</f>
        <v>-5</v>
      </c>
      <c r="CH80" s="16">
        <f>IFERROR(__xludf.DUMMYFUNCTION("""COMPUTED_VALUE"""),28.0)</f>
        <v>28</v>
      </c>
      <c r="CI80" s="179">
        <f>IFERROR(__xludf.DUMMYFUNCTION("""COMPUTED_VALUE"""),16.0)</f>
        <v>16</v>
      </c>
      <c r="CJ80" s="16"/>
      <c r="CK80" s="16"/>
      <c r="CL80" s="16"/>
      <c r="CM80" s="16"/>
      <c r="CN80" s="16"/>
      <c r="CO80" s="16"/>
      <c r="CP80" s="16">
        <f>IFERROR(__xludf.DUMMYFUNCTION("""COMPUTED_VALUE"""),301.0)</f>
        <v>301</v>
      </c>
      <c r="CQ80" s="16"/>
      <c r="CR80" s="16" t="str">
        <f>IFERROR(__xludf.DUMMYFUNCTION("""COMPUTED_VALUE"""),"cf-3(-1)e1")</f>
        <v>cf-3(-1)e1</v>
      </c>
      <c r="CS80" s="16"/>
      <c r="CT80" s="16"/>
      <c r="CU80" s="16"/>
      <c r="CV80" s="16"/>
      <c r="CW80" s="16"/>
      <c r="CX80" s="16"/>
      <c r="CY80" s="16">
        <f>IFERROR(__xludf.DUMMYFUNCTION("""COMPUTED_VALUE"""),3.0)</f>
        <v>3</v>
      </c>
      <c r="CZ80" s="16"/>
      <c r="DA80" s="16"/>
      <c r="DB80" s="16"/>
      <c r="DC80" s="16"/>
      <c r="DD80" s="16"/>
      <c r="DE80" s="16"/>
      <c r="DF80" s="16"/>
      <c r="DG80" s="16">
        <f>IFERROR(__xludf.DUMMYFUNCTION("""COMPUTED_VALUE"""),1.0)</f>
        <v>1</v>
      </c>
      <c r="DH80" s="16"/>
      <c r="DI80" s="16"/>
      <c r="DJ80" s="16"/>
      <c r="DK80" s="16"/>
      <c r="DL80" s="16"/>
      <c r="DM80" s="16"/>
      <c r="DN80" s="16"/>
      <c r="DO80" s="16">
        <f>IFERROR(__xludf.DUMMYFUNCTION("""COMPUTED_VALUE"""),0.0)</f>
        <v>0</v>
      </c>
      <c r="DP80" s="16"/>
      <c r="DQ80" s="16"/>
      <c r="DR80" s="16"/>
      <c r="DS80" s="16"/>
      <c r="DT80" s="16"/>
      <c r="DU80" s="16"/>
      <c r="DV80" s="16"/>
      <c r="DW80" s="16">
        <f>IFERROR(__xludf.DUMMYFUNCTION("""COMPUTED_VALUE"""),4.0)</f>
        <v>4</v>
      </c>
      <c r="DX80" s="16"/>
      <c r="DY80" s="16"/>
      <c r="DZ80" s="16"/>
      <c r="EA80" s="16"/>
      <c r="EB80" s="16"/>
      <c r="EC80" s="16"/>
      <c r="ED80" s="16"/>
      <c r="EE80" s="16">
        <f>IFERROR(__xludf.DUMMYFUNCTION("""COMPUTED_VALUE"""),4.0)</f>
        <v>4</v>
      </c>
      <c r="EF80" s="16"/>
      <c r="EG80" s="179"/>
      <c r="EH80" s="179"/>
      <c r="EI80" s="179"/>
      <c r="EJ80" s="179"/>
      <c r="EK80" s="179"/>
      <c r="EL80" s="179"/>
      <c r="EM80" s="179">
        <f>IFERROR(__xludf.DUMMYFUNCTION("""COMPUTED_VALUE"""),20.0)</f>
        <v>20</v>
      </c>
      <c r="EN80" s="179"/>
      <c r="EO80" s="16"/>
      <c r="EP80" s="16">
        <f>IFERROR(__xludf.DUMMYFUNCTION("""COMPUTED_VALUE"""),-1.0)</f>
        <v>-1</v>
      </c>
      <c r="EQ80" s="16">
        <f>IFERROR(__xludf.DUMMYFUNCTION("""COMPUTED_VALUE"""),-2.0)</f>
        <v>-2</v>
      </c>
      <c r="ER80" s="16">
        <f>IFERROR(__xludf.DUMMYFUNCTION("""COMPUTED_VALUE"""),-4.0)</f>
        <v>-4</v>
      </c>
      <c r="ES80" s="16"/>
      <c r="ET80" s="16"/>
      <c r="EU80" s="16"/>
      <c r="EV80" s="16"/>
      <c r="EW80" s="16"/>
      <c r="EX80" s="180"/>
      <c r="EY80" s="180"/>
      <c r="EZ80" s="180"/>
      <c r="FA80" s="180"/>
      <c r="FB80" s="180"/>
      <c r="FC80" s="180"/>
      <c r="FD80" s="180">
        <f>IFERROR(__xludf.DUMMYFUNCTION("""COMPUTED_VALUE"""),0.3)</f>
        <v>0.3</v>
      </c>
      <c r="FE80" s="180"/>
      <c r="FF80" s="180"/>
      <c r="FG80" s="180"/>
      <c r="FH80" s="180"/>
      <c r="FI80" s="180"/>
      <c r="FJ80" s="180"/>
      <c r="FK80" s="180"/>
      <c r="FL80" s="180">
        <f>IFERROR(__xludf.DUMMYFUNCTION("""COMPUTED_VALUE"""),0.013888888888888888)</f>
        <v>0.01388888889</v>
      </c>
      <c r="FM80" s="180"/>
      <c r="FN80" s="16"/>
      <c r="FO80" s="16"/>
      <c r="FP80" s="16"/>
      <c r="FQ80" s="16"/>
      <c r="FR80" s="16"/>
      <c r="FS80" s="16"/>
      <c r="FT80" s="16">
        <f>IFERROR(__xludf.DUMMYFUNCTION("""COMPUTED_VALUE"""),0.6902777777777778)</f>
        <v>0.6902777778</v>
      </c>
      <c r="FU80" s="16"/>
      <c r="FV80" s="16"/>
      <c r="FW80" s="16"/>
      <c r="FX80" s="16"/>
      <c r="FY80" s="16"/>
      <c r="FZ80" s="16"/>
      <c r="GA80" s="16"/>
      <c r="GB80" s="16">
        <f>IFERROR(__xludf.DUMMYFUNCTION("""COMPUTED_VALUE"""),-3.0)</f>
        <v>-3</v>
      </c>
      <c r="GC80" s="16"/>
      <c r="GD80" s="16" t="s">
        <v>346</v>
      </c>
    </row>
    <row r="81">
      <c r="A81" s="16">
        <f>IFERROR(__xludf.DUMMYFUNCTION("""COMPUTED_VALUE"""),12908.0)</f>
        <v>12908</v>
      </c>
      <c r="B81" s="16" t="str">
        <f>IFERROR(__xludf.DUMMYFUNCTION("""COMPUTED_VALUE"""),"Jake Burger")</f>
        <v>Jake Burger</v>
      </c>
      <c r="C81" s="16">
        <f>IFERROR(__xludf.DUMMYFUNCTION("""COMPUTED_VALUE"""),0.25)</f>
        <v>0.25</v>
      </c>
      <c r="D81" s="16" t="str">
        <f>IFERROR(__xludf.DUMMYFUNCTION("""COMPUTED_VALUE"""),"R")</f>
        <v>R</v>
      </c>
      <c r="E81" s="16"/>
      <c r="F81" s="16"/>
      <c r="G81" s="16">
        <f>IFERROR(__xludf.DUMMYFUNCTION("""COMPUTED_VALUE"""),535.0)</f>
        <v>535</v>
      </c>
      <c r="H81" s="16">
        <f>IFERROR(__xludf.DUMMYFUNCTION("""COMPUTED_VALUE"""),31.0)</f>
        <v>31</v>
      </c>
      <c r="I81" s="16" t="str">
        <f>IFERROR(__xludf.DUMMYFUNCTION("""COMPUTED_VALUE"""),"1p65")</f>
        <v>1p65</v>
      </c>
      <c r="J81" s="16">
        <f>IFERROR(__xludf.DUMMYFUNCTION("""COMPUTED_VALUE"""),30.0)</f>
        <v>30</v>
      </c>
      <c r="K81" s="16">
        <f>IFERROR(__xludf.DUMMYFUNCTION("""COMPUTED_VALUE"""),32.0)</f>
        <v>32</v>
      </c>
      <c r="L81" s="16">
        <f>IFERROR(__xludf.DUMMYFUNCTION("""COMPUTED_VALUE"""),0.0)</f>
        <v>0</v>
      </c>
      <c r="M81" s="16">
        <f>IFERROR(__xludf.DUMMYFUNCTION("""COMPUTED_VALUE"""),-1.0)</f>
        <v>-1</v>
      </c>
      <c r="N81" s="16">
        <f>IFERROR(__xludf.DUMMYFUNCTION("""COMPUTED_VALUE"""),0.0)</f>
        <v>0</v>
      </c>
      <c r="O81" s="16">
        <f>IFERROR(__xludf.DUMMYFUNCTION("""COMPUTED_VALUE"""),-1.0)</f>
        <v>-1</v>
      </c>
      <c r="P81" s="16">
        <f>IFERROR(__xludf.DUMMYFUNCTION("""COMPUTED_VALUE"""),1.0)</f>
        <v>1</v>
      </c>
      <c r="Q81" s="16">
        <f>IFERROR(__xludf.DUMMYFUNCTION("""COMPUTED_VALUE"""),4.0)</f>
        <v>4</v>
      </c>
      <c r="R81" s="16">
        <f>IFERROR(__xludf.DUMMYFUNCTION("""COMPUTED_VALUE"""),-2.0)</f>
        <v>-2</v>
      </c>
      <c r="S81" s="16">
        <f>IFERROR(__xludf.DUMMYFUNCTION("""COMPUTED_VALUE"""),-2.0)</f>
        <v>-2</v>
      </c>
      <c r="T81" s="16">
        <f>IFERROR(__xludf.DUMMYFUNCTION("""COMPUTED_VALUE"""),-2.0)</f>
        <v>-2</v>
      </c>
      <c r="U81" s="16">
        <f>IFERROR(__xludf.DUMMYFUNCTION("""COMPUTED_VALUE"""),-2.0)</f>
        <v>-2</v>
      </c>
      <c r="V81" s="16">
        <f>IFERROR(__xludf.DUMMYFUNCTION("""COMPUTED_VALUE"""),13.4)</f>
        <v>13.4</v>
      </c>
      <c r="W81" s="16">
        <f>IFERROR(__xludf.DUMMYFUNCTION("""COMPUTED_VALUE"""),22.0)</f>
        <v>22</v>
      </c>
      <c r="X81" s="16">
        <f>IFERROR(__xludf.DUMMYFUNCTION("""COMPUTED_VALUE"""),-1.0)</f>
        <v>-1</v>
      </c>
      <c r="Y81" s="16">
        <f>IFERROR(__xludf.DUMMYFUNCTION("""COMPUTED_VALUE"""),0.0)</f>
        <v>0</v>
      </c>
      <c r="Z81" s="16">
        <f>IFERROR(__xludf.DUMMYFUNCTION("""COMPUTED_VALUE"""),-2.0)</f>
        <v>-2</v>
      </c>
      <c r="AA81" s="16">
        <f>IFERROR(__xludf.DUMMYFUNCTION("""COMPUTED_VALUE"""),0.0)</f>
        <v>0</v>
      </c>
      <c r="AB81" s="16">
        <f>IFERROR(__xludf.DUMMYFUNCTION("""COMPUTED_VALUE"""),17.5)</f>
        <v>17.5</v>
      </c>
      <c r="AC81" s="16">
        <f>IFERROR(__xludf.DUMMYFUNCTION("""COMPUTED_VALUE"""),29.1)</f>
        <v>29.1</v>
      </c>
      <c r="AD81" s="16">
        <f>IFERROR(__xludf.DUMMYFUNCTION("""COMPUTED_VALUE"""),-2.0)</f>
        <v>-2</v>
      </c>
      <c r="AE81" s="16">
        <f>IFERROR(__xludf.DUMMYFUNCTION("""COMPUTED_VALUE"""),0.0)</f>
        <v>0</v>
      </c>
      <c r="AF81" s="16">
        <f>IFERROR(__xludf.DUMMYFUNCTION("""COMPUTED_VALUE"""),-10.0)</f>
        <v>-10</v>
      </c>
      <c r="AG81" s="16">
        <f>IFERROR(__xludf.DUMMYFUNCTION("""COMPUTED_VALUE"""),0.0)</f>
        <v>0</v>
      </c>
      <c r="AH81" s="16">
        <f>IFERROR(__xludf.DUMMYFUNCTION("""COMPUTED_VALUE"""),28.5)</f>
        <v>28.5</v>
      </c>
      <c r="AI81" s="16">
        <f>IFERROR(__xludf.DUMMYFUNCTION("""COMPUTED_VALUE"""),39.9)</f>
        <v>39.9</v>
      </c>
      <c r="AJ81" s="16">
        <f>IFERROR(__xludf.DUMMYFUNCTION("""COMPUTED_VALUE"""),0.0)</f>
        <v>0</v>
      </c>
      <c r="AK81" s="16">
        <f>IFERROR(__xludf.DUMMYFUNCTION("""COMPUTED_VALUE"""),1.0)</f>
        <v>1</v>
      </c>
      <c r="AL81" s="16">
        <f>IFERROR(__xludf.DUMMYFUNCTION("""COMPUTED_VALUE"""),0.0)</f>
        <v>0</v>
      </c>
      <c r="AM81" s="16">
        <f>IFERROR(__xludf.DUMMYFUNCTION("""COMPUTED_VALUE"""),5.0)</f>
        <v>5</v>
      </c>
      <c r="AN81" s="16">
        <f>IFERROR(__xludf.DUMMYFUNCTION("""COMPUTED_VALUE"""),4.0)</f>
        <v>4</v>
      </c>
      <c r="AO81" s="16">
        <f>IFERROR(__xludf.DUMMYFUNCTION("""COMPUTED_VALUE"""),4.5)</f>
        <v>4.5</v>
      </c>
      <c r="AP81" s="16">
        <f>IFERROR(__xludf.DUMMYFUNCTION("""COMPUTED_VALUE"""),2.0)</f>
        <v>2</v>
      </c>
      <c r="AQ81" s="16">
        <f>IFERROR(__xludf.DUMMYFUNCTION("""COMPUTED_VALUE"""),2.0)</f>
        <v>2</v>
      </c>
      <c r="AR81" s="16">
        <f>IFERROR(__xludf.DUMMYFUNCTION("""COMPUTED_VALUE"""),4.0)</f>
        <v>4</v>
      </c>
      <c r="AS81" s="16">
        <f>IFERROR(__xludf.DUMMYFUNCTION("""COMPUTED_VALUE"""),4.0)</f>
        <v>4</v>
      </c>
      <c r="AT81" s="16">
        <f>IFERROR(__xludf.DUMMYFUNCTION("""COMPUTED_VALUE"""),8.0)</f>
        <v>8</v>
      </c>
      <c r="AU81" s="16">
        <f>IFERROR(__xludf.DUMMYFUNCTION("""COMPUTED_VALUE"""),8.0)</f>
        <v>8</v>
      </c>
      <c r="AV81" s="16">
        <f>IFERROR(__xludf.DUMMYFUNCTION("""COMPUTED_VALUE"""),8.0)</f>
        <v>8</v>
      </c>
      <c r="AW81" s="16">
        <f>IFERROR(__xludf.DUMMYFUNCTION("""COMPUTED_VALUE"""),8.0)</f>
        <v>8</v>
      </c>
      <c r="AX81" s="16">
        <f>IFERROR(__xludf.DUMMYFUNCTION("""COMPUTED_VALUE"""),3.0)</f>
        <v>3</v>
      </c>
      <c r="AY81" s="16">
        <f>IFERROR(__xludf.DUMMYFUNCTION("""COMPUTED_VALUE"""),3.0)</f>
        <v>3</v>
      </c>
      <c r="AZ81" s="16">
        <f>IFERROR(__xludf.DUMMYFUNCTION("""COMPUTED_VALUE"""),9.0)</f>
        <v>9</v>
      </c>
      <c r="BA81" s="16">
        <f>IFERROR(__xludf.DUMMYFUNCTION("""COMPUTED_VALUE"""),9.0)</f>
        <v>9</v>
      </c>
      <c r="BB81" s="16">
        <f>IFERROR(__xludf.DUMMYFUNCTION("""COMPUTED_VALUE"""),5.0)</f>
        <v>5</v>
      </c>
      <c r="BC81" s="16">
        <f>IFERROR(__xludf.DUMMYFUNCTION("""COMPUTED_VALUE"""),5.0)</f>
        <v>5</v>
      </c>
      <c r="BD81" s="16">
        <f>IFERROR(__xludf.DUMMYFUNCTION("""COMPUTED_VALUE"""),1.0)</f>
        <v>1</v>
      </c>
      <c r="BE81" s="16">
        <f>IFERROR(__xludf.DUMMYFUNCTION("""COMPUTED_VALUE"""),1.0)</f>
        <v>1</v>
      </c>
      <c r="BF81" s="16">
        <f>IFERROR(__xludf.DUMMYFUNCTION("""COMPUTED_VALUE"""),1.0)</f>
        <v>1</v>
      </c>
      <c r="BG81" s="16">
        <f>IFERROR(__xludf.DUMMYFUNCTION("""COMPUTED_VALUE"""),1.0)</f>
        <v>1</v>
      </c>
      <c r="BH81" s="16">
        <f>IFERROR(__xludf.DUMMYFUNCTION("""COMPUTED_VALUE"""),-1.0)</f>
        <v>-1</v>
      </c>
      <c r="BI81" s="16">
        <f>IFERROR(__xludf.DUMMYFUNCTION("""COMPUTED_VALUE"""),-1.0)</f>
        <v>-1</v>
      </c>
      <c r="BJ81" s="16">
        <f>IFERROR(__xludf.DUMMYFUNCTION("""COMPUTED_VALUE"""),17.0)</f>
        <v>17</v>
      </c>
      <c r="BK81" s="16">
        <f>IFERROR(__xludf.DUMMYFUNCTION("""COMPUTED_VALUE"""),17.0)</f>
        <v>17</v>
      </c>
      <c r="BL81" s="16">
        <f>IFERROR(__xludf.DUMMYFUNCTION("""COMPUTED_VALUE"""),-1.0)</f>
        <v>-1</v>
      </c>
      <c r="BM81" s="16">
        <f>IFERROR(__xludf.DUMMYFUNCTION("""COMPUTED_VALUE"""),-1.0)</f>
        <v>-1</v>
      </c>
      <c r="BN81" s="16">
        <f>IFERROR(__xludf.DUMMYFUNCTION("""COMPUTED_VALUE"""),-2.0)</f>
        <v>-2</v>
      </c>
      <c r="BO81" s="16">
        <f>IFERROR(__xludf.DUMMYFUNCTION("""COMPUTED_VALUE"""),-2.0)</f>
        <v>-2</v>
      </c>
      <c r="BP81" s="16">
        <f>IFERROR(__xludf.DUMMYFUNCTION("""COMPUTED_VALUE"""),0.0)</f>
        <v>0</v>
      </c>
      <c r="BQ81" s="16">
        <f>IFERROR(__xludf.DUMMYFUNCTION("""COMPUTED_VALUE"""),3.0)</f>
        <v>3</v>
      </c>
      <c r="BR81" s="16">
        <f>IFERROR(__xludf.DUMMYFUNCTION("""COMPUTED_VALUE"""),3.0)</f>
        <v>3</v>
      </c>
      <c r="BS81" s="16" t="str">
        <f>IFERROR(__xludf.DUMMYFUNCTION("""COMPUTED_VALUE"""),"3/12 (13-5)")</f>
        <v>3/12 (13-5)</v>
      </c>
      <c r="BT81" s="16" t="str">
        <f>IFERROR(__xludf.DUMMYFUNCTION("""COMPUTED_VALUE"""),"E")</f>
        <v>E</v>
      </c>
      <c r="BU81" s="16">
        <f>IFERROR(__xludf.DUMMYFUNCTION("""COMPUTED_VALUE"""),11.0)</f>
        <v>11</v>
      </c>
      <c r="BV81" s="16">
        <f>IFERROR(__xludf.DUMMYFUNCTION("""COMPUTED_VALUE"""),0.0)</f>
        <v>0</v>
      </c>
      <c r="BW81" s="16">
        <f>IFERROR(__xludf.DUMMYFUNCTION("""COMPUTED_VALUE"""),0.0)</f>
        <v>0</v>
      </c>
      <c r="BX81" s="16">
        <f>IFERROR(__xludf.DUMMYFUNCTION("""COMPUTED_VALUE"""),0.0)</f>
        <v>0</v>
      </c>
      <c r="BY81" s="16">
        <f>IFERROR(__xludf.DUMMYFUNCTION("""COMPUTED_VALUE"""),0.0)</f>
        <v>0</v>
      </c>
      <c r="BZ81" s="16" t="str">
        <f>IFERROR(__xludf.DUMMYFUNCTION("""COMPUTED_VALUE"""),"D")</f>
        <v>D</v>
      </c>
      <c r="CA81" s="16" t="str">
        <f>IFERROR(__xludf.DUMMYFUNCTION("""COMPUTED_VALUE"""),"D")</f>
        <v>D</v>
      </c>
      <c r="CB81" s="16">
        <f>IFERROR(__xludf.DUMMYFUNCTION("""COMPUTED_VALUE"""),0.0)</f>
        <v>0</v>
      </c>
      <c r="CC81" s="16">
        <f>IFERROR(__xludf.DUMMYFUNCTION("""COMPUTED_VALUE"""),0.0)</f>
        <v>0</v>
      </c>
      <c r="CD81" s="16">
        <f>IFERROR(__xludf.DUMMYFUNCTION("""COMPUTED_VALUE"""),0.0)</f>
        <v>0</v>
      </c>
      <c r="CE81" s="16">
        <f>IFERROR(__xludf.DUMMYFUNCTION("""COMPUTED_VALUE"""),0.0)</f>
        <v>0</v>
      </c>
      <c r="CF81" s="16">
        <f>IFERROR(__xludf.DUMMYFUNCTION("""COMPUTED_VALUE"""),1.0)</f>
        <v>1</v>
      </c>
      <c r="CG81" s="16">
        <f>IFERROR(__xludf.DUMMYFUNCTION("""COMPUTED_VALUE"""),-2.0)</f>
        <v>-2</v>
      </c>
      <c r="CH81" s="16">
        <f>IFERROR(__xludf.DUMMYFUNCTION("""COMPUTED_VALUE"""),14.0)</f>
        <v>14</v>
      </c>
      <c r="CI81" s="179">
        <f>IFERROR(__xludf.DUMMYFUNCTION("""COMPUTED_VALUE"""),16.0)</f>
        <v>16</v>
      </c>
      <c r="CJ81" s="16"/>
      <c r="CK81" s="16">
        <f>IFERROR(__xludf.DUMMYFUNCTION("""COMPUTED_VALUE"""),406.0)</f>
        <v>406</v>
      </c>
      <c r="CL81" s="16"/>
      <c r="CM81" s="16">
        <f>IFERROR(__xludf.DUMMYFUNCTION("""COMPUTED_VALUE"""),432.0)</f>
        <v>432</v>
      </c>
      <c r="CN81" s="16"/>
      <c r="CO81" s="16"/>
      <c r="CP81" s="16"/>
      <c r="CQ81" s="16"/>
      <c r="CR81" s="16" t="str">
        <f>IFERROR(__xludf.DUMMYFUNCTION("""COMPUTED_VALUE"""),"1b-4e6 3b-4e32")</f>
        <v>1b-4e6 3b-4e32</v>
      </c>
      <c r="CS81" s="16"/>
      <c r="CT81" s="16">
        <f>IFERROR(__xludf.DUMMYFUNCTION("""COMPUTED_VALUE"""),4.0)</f>
        <v>4</v>
      </c>
      <c r="CU81" s="16"/>
      <c r="CV81" s="16">
        <f>IFERROR(__xludf.DUMMYFUNCTION("""COMPUTED_VALUE"""),4.0)</f>
        <v>4</v>
      </c>
      <c r="CW81" s="16"/>
      <c r="CX81" s="16"/>
      <c r="CY81" s="16"/>
      <c r="CZ81" s="16"/>
      <c r="DA81" s="16"/>
      <c r="DB81" s="16">
        <f>IFERROR(__xludf.DUMMYFUNCTION("""COMPUTED_VALUE"""),6.0)</f>
        <v>6</v>
      </c>
      <c r="DC81" s="16"/>
      <c r="DD81" s="16">
        <f>IFERROR(__xludf.DUMMYFUNCTION("""COMPUTED_VALUE"""),32.0)</f>
        <v>32</v>
      </c>
      <c r="DE81" s="16"/>
      <c r="DF81" s="16"/>
      <c r="DG81" s="16"/>
      <c r="DH81" s="16"/>
      <c r="DI81" s="16"/>
      <c r="DJ81" s="16">
        <f>IFERROR(__xludf.DUMMYFUNCTION("""COMPUTED_VALUE"""),0.0)</f>
        <v>0</v>
      </c>
      <c r="DK81" s="16"/>
      <c r="DL81" s="16">
        <f>IFERROR(__xludf.DUMMYFUNCTION("""COMPUTED_VALUE"""),0.0)</f>
        <v>0</v>
      </c>
      <c r="DM81" s="16"/>
      <c r="DN81" s="16"/>
      <c r="DO81" s="16"/>
      <c r="DP81" s="16"/>
      <c r="DQ81" s="16"/>
      <c r="DR81" s="16">
        <f>IFERROR(__xludf.DUMMYFUNCTION("""COMPUTED_VALUE"""),2.0)</f>
        <v>2</v>
      </c>
      <c r="DS81" s="16"/>
      <c r="DT81" s="16">
        <f>IFERROR(__xludf.DUMMYFUNCTION("""COMPUTED_VALUE"""),-2.0)</f>
        <v>-2</v>
      </c>
      <c r="DU81" s="16"/>
      <c r="DV81" s="16"/>
      <c r="DW81" s="16"/>
      <c r="DX81" s="16"/>
      <c r="DY81" s="16"/>
      <c r="DZ81" s="16">
        <f>IFERROR(__xludf.DUMMYFUNCTION("""COMPUTED_VALUE"""),2.0)</f>
        <v>2</v>
      </c>
      <c r="EA81" s="16"/>
      <c r="EB81" s="16">
        <f>IFERROR(__xludf.DUMMYFUNCTION("""COMPUTED_VALUE"""),-2.0)</f>
        <v>-2</v>
      </c>
      <c r="EC81" s="16"/>
      <c r="ED81" s="16"/>
      <c r="EE81" s="16"/>
      <c r="EF81" s="16"/>
      <c r="EG81" s="179"/>
      <c r="EH81" s="179">
        <f>IFERROR(__xludf.DUMMYFUNCTION("""COMPUTED_VALUE"""),18.0)</f>
        <v>18</v>
      </c>
      <c r="EI81" s="179"/>
      <c r="EJ81" s="179">
        <f>IFERROR(__xludf.DUMMYFUNCTION("""COMPUTED_VALUE"""),14.0)</f>
        <v>14</v>
      </c>
      <c r="EK81" s="179"/>
      <c r="EL81" s="179"/>
      <c r="EM81" s="179"/>
      <c r="EN81" s="179"/>
      <c r="EO81" s="16"/>
      <c r="EP81" s="16"/>
      <c r="EQ81" s="16">
        <f>IFERROR(__xludf.DUMMYFUNCTION("""COMPUTED_VALUE"""),4.0)</f>
        <v>4</v>
      </c>
      <c r="ER81" s="16">
        <f>IFERROR(__xludf.DUMMYFUNCTION("""COMPUTED_VALUE"""),2.0)</f>
        <v>2</v>
      </c>
      <c r="ES81" s="16"/>
      <c r="ET81" s="16"/>
      <c r="EU81" s="16"/>
      <c r="EV81" s="16"/>
      <c r="EW81" s="16"/>
      <c r="EX81" s="180"/>
      <c r="EY81" s="180">
        <f>IFERROR(__xludf.DUMMYFUNCTION("""COMPUTED_VALUE"""),0.3)</f>
        <v>0.3</v>
      </c>
      <c r="EZ81" s="180"/>
      <c r="FA81" s="180">
        <f>IFERROR(__xludf.DUMMYFUNCTION("""COMPUTED_VALUE"""),0.3)</f>
        <v>0.3</v>
      </c>
      <c r="FB81" s="180"/>
      <c r="FC81" s="180"/>
      <c r="FD81" s="180"/>
      <c r="FE81" s="180"/>
      <c r="FF81" s="180"/>
      <c r="FG81" s="180">
        <f>IFERROR(__xludf.DUMMYFUNCTION("""COMPUTED_VALUE"""),0.10648148148148148)</f>
        <v>0.1064814815</v>
      </c>
      <c r="FH81" s="180"/>
      <c r="FI81" s="180">
        <f>IFERROR(__xludf.DUMMYFUNCTION("""COMPUTED_VALUE"""),0.38425925925925924)</f>
        <v>0.3842592593</v>
      </c>
      <c r="FJ81" s="180"/>
      <c r="FK81" s="180"/>
      <c r="FL81" s="180"/>
      <c r="FM81" s="180"/>
      <c r="FN81" s="16"/>
      <c r="FO81" s="16">
        <f>IFERROR(__xludf.DUMMYFUNCTION("""COMPUTED_VALUE"""),0.6254629629629629)</f>
        <v>0.625462963</v>
      </c>
      <c r="FP81" s="16"/>
      <c r="FQ81" s="16">
        <f>IFERROR(__xludf.DUMMYFUNCTION("""COMPUTED_VALUE"""),0.43101851851851847)</f>
        <v>0.4310185185</v>
      </c>
      <c r="FR81" s="16"/>
      <c r="FS81" s="16"/>
      <c r="FT81" s="16"/>
      <c r="FU81" s="16"/>
      <c r="FV81" s="16"/>
      <c r="FW81" s="16">
        <f>IFERROR(__xludf.DUMMYFUNCTION("""COMPUTED_VALUE"""),-6.0)</f>
        <v>-6</v>
      </c>
      <c r="FX81" s="16"/>
      <c r="FY81" s="16">
        <f>IFERROR(__xludf.DUMMYFUNCTION("""COMPUTED_VALUE"""),-8.0)</f>
        <v>-8</v>
      </c>
      <c r="FZ81" s="16"/>
      <c r="GA81" s="16"/>
      <c r="GB81" s="16"/>
      <c r="GC81" s="16"/>
      <c r="GD81" s="16" t="s">
        <v>277</v>
      </c>
    </row>
    <row r="82">
      <c r="A82" s="16">
        <f>IFERROR(__xludf.DUMMYFUNCTION("""COMPUTED_VALUE"""),13262.0)</f>
        <v>13262</v>
      </c>
      <c r="B82" s="16" t="str">
        <f>IFERROR(__xludf.DUMMYFUNCTION("""COMPUTED_VALUE"""),"Oneil Cruz")</f>
        <v>Oneil Cruz</v>
      </c>
      <c r="C82" s="16">
        <f>IFERROR(__xludf.DUMMYFUNCTION("""COMPUTED_VALUE"""),1.21)</f>
        <v>1.21</v>
      </c>
      <c r="D82" s="16" t="str">
        <f>IFERROR(__xludf.DUMMYFUNCTION("""COMPUTED_VALUE"""),"L")</f>
        <v>L</v>
      </c>
      <c r="E82" s="16"/>
      <c r="F82" s="16"/>
      <c r="G82" s="16">
        <f>IFERROR(__xludf.DUMMYFUNCTION("""COMPUTED_VALUE"""),541.0)</f>
        <v>541</v>
      </c>
      <c r="H82" s="16">
        <f>IFERROR(__xludf.DUMMYFUNCTION("""COMPUTED_VALUE"""),51.0)</f>
        <v>51</v>
      </c>
      <c r="I82" s="16" t="str">
        <f>IFERROR(__xludf.DUMMYFUNCTION("""COMPUTED_VALUE"""),"1p65")</f>
        <v>1p65</v>
      </c>
      <c r="J82" s="16">
        <f>IFERROR(__xludf.DUMMYFUNCTION("""COMPUTED_VALUE"""),40.0)</f>
        <v>40</v>
      </c>
      <c r="K82" s="16">
        <f>IFERROR(__xludf.DUMMYFUNCTION("""COMPUTED_VALUE"""),42.0)</f>
        <v>42</v>
      </c>
      <c r="L82" s="16">
        <f>IFERROR(__xludf.DUMMYFUNCTION("""COMPUTED_VALUE"""),-1.0)</f>
        <v>-1</v>
      </c>
      <c r="M82" s="16">
        <f>IFERROR(__xludf.DUMMYFUNCTION("""COMPUTED_VALUE"""),-2.0)</f>
        <v>-2</v>
      </c>
      <c r="N82" s="16">
        <f>IFERROR(__xludf.DUMMYFUNCTION("""COMPUTED_VALUE"""),-1.0)</f>
        <v>-1</v>
      </c>
      <c r="O82" s="16">
        <f>IFERROR(__xludf.DUMMYFUNCTION("""COMPUTED_VALUE"""),-2.0)</f>
        <v>-2</v>
      </c>
      <c r="P82" s="16">
        <f>IFERROR(__xludf.DUMMYFUNCTION("""COMPUTED_VALUE"""),4.0)</f>
        <v>4</v>
      </c>
      <c r="Q82" s="16">
        <f>IFERROR(__xludf.DUMMYFUNCTION("""COMPUTED_VALUE"""),9.0)</f>
        <v>9</v>
      </c>
      <c r="R82" s="16">
        <f>IFERROR(__xludf.DUMMYFUNCTION("""COMPUTED_VALUE"""),-2.0)</f>
        <v>-2</v>
      </c>
      <c r="S82" s="16">
        <f>IFERROR(__xludf.DUMMYFUNCTION("""COMPUTED_VALUE"""),0.0)</f>
        <v>0</v>
      </c>
      <c r="T82" s="16">
        <f>IFERROR(__xludf.DUMMYFUNCTION("""COMPUTED_VALUE"""),-2.0)</f>
        <v>-2</v>
      </c>
      <c r="U82" s="16">
        <f>IFERROR(__xludf.DUMMYFUNCTION("""COMPUTED_VALUE"""),0.0)</f>
        <v>0</v>
      </c>
      <c r="V82" s="16">
        <f>IFERROR(__xludf.DUMMYFUNCTION("""COMPUTED_VALUE"""),15.3)</f>
        <v>15.3</v>
      </c>
      <c r="W82" s="16">
        <f>IFERROR(__xludf.DUMMYFUNCTION("""COMPUTED_VALUE"""),23.6)</f>
        <v>23.6</v>
      </c>
      <c r="X82" s="16">
        <f>IFERROR(__xludf.DUMMYFUNCTION("""COMPUTED_VALUE"""),-1.0)</f>
        <v>-1</v>
      </c>
      <c r="Y82" s="16">
        <f>IFERROR(__xludf.DUMMYFUNCTION("""COMPUTED_VALUE"""),1.0)</f>
        <v>1</v>
      </c>
      <c r="Z82" s="16">
        <f>IFERROR(__xludf.DUMMYFUNCTION("""COMPUTED_VALUE"""),-2.0)</f>
        <v>-2</v>
      </c>
      <c r="AA82" s="16">
        <f>IFERROR(__xludf.DUMMYFUNCTION("""COMPUTED_VALUE"""),2.0)</f>
        <v>2</v>
      </c>
      <c r="AB82" s="16">
        <f>IFERROR(__xludf.DUMMYFUNCTION("""COMPUTED_VALUE"""),20.3)</f>
        <v>20.3</v>
      </c>
      <c r="AC82" s="16">
        <f>IFERROR(__xludf.DUMMYFUNCTION("""COMPUTED_VALUE"""),33.7)</f>
        <v>33.7</v>
      </c>
      <c r="AD82" s="16">
        <f>IFERROR(__xludf.DUMMYFUNCTION("""COMPUTED_VALUE"""),-1.0)</f>
        <v>-1</v>
      </c>
      <c r="AE82" s="16">
        <f>IFERROR(__xludf.DUMMYFUNCTION("""COMPUTED_VALUE"""),0.0)</f>
        <v>0</v>
      </c>
      <c r="AF82" s="16">
        <f>IFERROR(__xludf.DUMMYFUNCTION("""COMPUTED_VALUE"""),-5.0)</f>
        <v>-5</v>
      </c>
      <c r="AG82" s="16">
        <f>IFERROR(__xludf.DUMMYFUNCTION("""COMPUTED_VALUE"""),0.0)</f>
        <v>0</v>
      </c>
      <c r="AH82" s="16">
        <f>IFERROR(__xludf.DUMMYFUNCTION("""COMPUTED_VALUE"""),32.8)</f>
        <v>32.8</v>
      </c>
      <c r="AI82" s="16">
        <f>IFERROR(__xludf.DUMMYFUNCTION("""COMPUTED_VALUE"""),38.4)</f>
        <v>38.4</v>
      </c>
      <c r="AJ82" s="16">
        <f>IFERROR(__xludf.DUMMYFUNCTION("""COMPUTED_VALUE"""),0.0)</f>
        <v>0</v>
      </c>
      <c r="AK82" s="16">
        <f>IFERROR(__xludf.DUMMYFUNCTION("""COMPUTED_VALUE"""),1.0)</f>
        <v>1</v>
      </c>
      <c r="AL82" s="16">
        <f>IFERROR(__xludf.DUMMYFUNCTION("""COMPUTED_VALUE"""),0.0)</f>
        <v>0</v>
      </c>
      <c r="AM82" s="16">
        <f>IFERROR(__xludf.DUMMYFUNCTION("""COMPUTED_VALUE"""),5.0)</f>
        <v>5</v>
      </c>
      <c r="AN82" s="16">
        <f>IFERROR(__xludf.DUMMYFUNCTION("""COMPUTED_VALUE"""),3.0)</f>
        <v>3</v>
      </c>
      <c r="AO82" s="16">
        <f>IFERROR(__xludf.DUMMYFUNCTION("""COMPUTED_VALUE"""),2.3)</f>
        <v>2.3</v>
      </c>
      <c r="AP82" s="16">
        <f>IFERROR(__xludf.DUMMYFUNCTION("""COMPUTED_VALUE"""),1.0)</f>
        <v>1</v>
      </c>
      <c r="AQ82" s="16">
        <f>IFERROR(__xludf.DUMMYFUNCTION("""COMPUTED_VALUE"""),0.0)</f>
        <v>0</v>
      </c>
      <c r="AR82" s="16">
        <f>IFERROR(__xludf.DUMMYFUNCTION("""COMPUTED_VALUE"""),2.0)</f>
        <v>2</v>
      </c>
      <c r="AS82" s="16">
        <f>IFERROR(__xludf.DUMMYFUNCTION("""COMPUTED_VALUE"""),0.0)</f>
        <v>0</v>
      </c>
      <c r="AT82" s="16">
        <f>IFERROR(__xludf.DUMMYFUNCTION("""COMPUTED_VALUE"""),6.0)</f>
        <v>6</v>
      </c>
      <c r="AU82" s="16">
        <f>IFERROR(__xludf.DUMMYFUNCTION("""COMPUTED_VALUE"""),4.0)</f>
        <v>4</v>
      </c>
      <c r="AV82" s="16">
        <f>IFERROR(__xludf.DUMMYFUNCTION("""COMPUTED_VALUE"""),6.0)</f>
        <v>6</v>
      </c>
      <c r="AW82" s="16">
        <f>IFERROR(__xludf.DUMMYFUNCTION("""COMPUTED_VALUE"""),4.0)</f>
        <v>4</v>
      </c>
      <c r="AX82" s="16">
        <f>IFERROR(__xludf.DUMMYFUNCTION("""COMPUTED_VALUE"""),3.0)</f>
        <v>3</v>
      </c>
      <c r="AY82" s="16">
        <f>IFERROR(__xludf.DUMMYFUNCTION("""COMPUTED_VALUE"""),1.0)</f>
        <v>1</v>
      </c>
      <c r="AZ82" s="16">
        <f>IFERROR(__xludf.DUMMYFUNCTION("""COMPUTED_VALUE"""),9.0)</f>
        <v>9</v>
      </c>
      <c r="BA82" s="16">
        <f>IFERROR(__xludf.DUMMYFUNCTION("""COMPUTED_VALUE"""),3.0)</f>
        <v>3</v>
      </c>
      <c r="BB82" s="16">
        <f>IFERROR(__xludf.DUMMYFUNCTION("""COMPUTED_VALUE"""),5.0)</f>
        <v>5</v>
      </c>
      <c r="BC82" s="16">
        <f>IFERROR(__xludf.DUMMYFUNCTION("""COMPUTED_VALUE"""),5.0)</f>
        <v>5</v>
      </c>
      <c r="BD82" s="16">
        <f>IFERROR(__xludf.DUMMYFUNCTION("""COMPUTED_VALUE"""),1.0)</f>
        <v>1</v>
      </c>
      <c r="BE82" s="16">
        <f>IFERROR(__xludf.DUMMYFUNCTION("""COMPUTED_VALUE"""),1.0)</f>
        <v>1</v>
      </c>
      <c r="BF82" s="16">
        <f>IFERROR(__xludf.DUMMYFUNCTION("""COMPUTED_VALUE"""),1.0)</f>
        <v>1</v>
      </c>
      <c r="BG82" s="16">
        <f>IFERROR(__xludf.DUMMYFUNCTION("""COMPUTED_VALUE"""),1.0)</f>
        <v>1</v>
      </c>
      <c r="BH82" s="16">
        <f>IFERROR(__xludf.DUMMYFUNCTION("""COMPUTED_VALUE"""),-3.0)</f>
        <v>-3</v>
      </c>
      <c r="BI82" s="16">
        <f>IFERROR(__xludf.DUMMYFUNCTION("""COMPUTED_VALUE"""),-6.0)</f>
        <v>-6</v>
      </c>
      <c r="BJ82" s="16">
        <f>IFERROR(__xludf.DUMMYFUNCTION("""COMPUTED_VALUE"""),11.0)</f>
        <v>11</v>
      </c>
      <c r="BK82" s="16">
        <f>IFERROR(__xludf.DUMMYFUNCTION("""COMPUTED_VALUE"""),10.0)</f>
        <v>10</v>
      </c>
      <c r="BL82" s="16">
        <f>IFERROR(__xludf.DUMMYFUNCTION("""COMPUTED_VALUE"""),0.0)</f>
        <v>0</v>
      </c>
      <c r="BM82" s="16">
        <f>IFERROR(__xludf.DUMMYFUNCTION("""COMPUTED_VALUE"""),0.0)</f>
        <v>0</v>
      </c>
      <c r="BN82" s="16">
        <f>IFERROR(__xludf.DUMMYFUNCTION("""COMPUTED_VALUE"""),0.0)</f>
        <v>0</v>
      </c>
      <c r="BO82" s="16">
        <f>IFERROR(__xludf.DUMMYFUNCTION("""COMPUTED_VALUE"""),0.0)</f>
        <v>0</v>
      </c>
      <c r="BP82" s="16">
        <f>IFERROR(__xludf.DUMMYFUNCTION("""COMPUTED_VALUE"""),0.0)</f>
        <v>0</v>
      </c>
      <c r="BQ82" s="16">
        <f>IFERROR(__xludf.DUMMYFUNCTION("""COMPUTED_VALUE"""),2.0)</f>
        <v>2</v>
      </c>
      <c r="BR82" s="16">
        <f>IFERROR(__xludf.DUMMYFUNCTION("""COMPUTED_VALUE"""),2.0)</f>
        <v>2</v>
      </c>
      <c r="BS82" s="16" t="str">
        <f>IFERROR(__xludf.DUMMYFUNCTION("""COMPUTED_VALUE"""),"*7/- (19-12)")</f>
        <v>*7/- (19-12)</v>
      </c>
      <c r="BT82" s="16" t="str">
        <f>IFERROR(__xludf.DUMMYFUNCTION("""COMPUTED_VALUE"""),"A")</f>
        <v>A</v>
      </c>
      <c r="BU82" s="16">
        <f>IFERROR(__xludf.DUMMYFUNCTION("""COMPUTED_VALUE"""),15.0)</f>
        <v>15</v>
      </c>
      <c r="BV82" s="16">
        <f>IFERROR(__xludf.DUMMYFUNCTION("""COMPUTED_VALUE"""),2.0)</f>
        <v>2</v>
      </c>
      <c r="BW82" s="16">
        <f>IFERROR(__xludf.DUMMYFUNCTION("""COMPUTED_VALUE"""),2.0)</f>
        <v>2</v>
      </c>
      <c r="BX82" s="16">
        <f>IFERROR(__xludf.DUMMYFUNCTION("""COMPUTED_VALUE"""),4.0)</f>
        <v>4</v>
      </c>
      <c r="BY82" s="16">
        <f>IFERROR(__xludf.DUMMYFUNCTION("""COMPUTED_VALUE"""),6.0)</f>
        <v>6</v>
      </c>
      <c r="BZ82" s="16" t="str">
        <f>IFERROR(__xludf.DUMMYFUNCTION("""COMPUTED_VALUE"""),"D")</f>
        <v>D</v>
      </c>
      <c r="CA82" s="16" t="str">
        <f>IFERROR(__xludf.DUMMYFUNCTION("""COMPUTED_VALUE"""),"C")</f>
        <v>C</v>
      </c>
      <c r="CB82" s="16">
        <f>IFERROR(__xludf.DUMMYFUNCTION("""COMPUTED_VALUE"""),0.0)</f>
        <v>0</v>
      </c>
      <c r="CC82" s="16">
        <f>IFERROR(__xludf.DUMMYFUNCTION("""COMPUTED_VALUE"""),0.0)</f>
        <v>0</v>
      </c>
      <c r="CD82" s="16">
        <f>IFERROR(__xludf.DUMMYFUNCTION("""COMPUTED_VALUE"""),0.0)</f>
        <v>0</v>
      </c>
      <c r="CE82" s="16">
        <f>IFERROR(__xludf.DUMMYFUNCTION("""COMPUTED_VALUE"""),0.0)</f>
        <v>0</v>
      </c>
      <c r="CF82" s="16">
        <f>IFERROR(__xludf.DUMMYFUNCTION("""COMPUTED_VALUE"""),1.0)</f>
        <v>1</v>
      </c>
      <c r="CG82" s="16">
        <f>IFERROR(__xludf.DUMMYFUNCTION("""COMPUTED_VALUE"""),2.0)</f>
        <v>2</v>
      </c>
      <c r="CH82" s="16">
        <f>IFERROR(__xludf.DUMMYFUNCTION("""COMPUTED_VALUE"""),9.0)</f>
        <v>9</v>
      </c>
      <c r="CI82" s="179">
        <f>IFERROR(__xludf.DUMMYFUNCTION("""COMPUTED_VALUE"""),16.0)</f>
        <v>16</v>
      </c>
      <c r="CJ82" s="16"/>
      <c r="CK82" s="16"/>
      <c r="CL82" s="16"/>
      <c r="CM82" s="16"/>
      <c r="CN82" s="16">
        <f>IFERROR(__xludf.DUMMYFUNCTION("""COMPUTED_VALUE"""),436.0)</f>
        <v>436</v>
      </c>
      <c r="CO82" s="16"/>
      <c r="CP82" s="16">
        <f>IFERROR(__xludf.DUMMYFUNCTION("""COMPUTED_VALUE"""),415.0)</f>
        <v>415</v>
      </c>
      <c r="CQ82" s="16"/>
      <c r="CR82" s="16" t="str">
        <f>IFERROR(__xludf.DUMMYFUNCTION("""COMPUTED_VALUE"""),"ss-4e36 cf-4(-1)e15")</f>
        <v>ss-4e36 cf-4(-1)e15</v>
      </c>
      <c r="CS82" s="16"/>
      <c r="CT82" s="16"/>
      <c r="CU82" s="16"/>
      <c r="CV82" s="16"/>
      <c r="CW82" s="16">
        <f>IFERROR(__xludf.DUMMYFUNCTION("""COMPUTED_VALUE"""),4.0)</f>
        <v>4</v>
      </c>
      <c r="CX82" s="16"/>
      <c r="CY82" s="16">
        <f>IFERROR(__xludf.DUMMYFUNCTION("""COMPUTED_VALUE"""),4.0)</f>
        <v>4</v>
      </c>
      <c r="CZ82" s="16"/>
      <c r="DA82" s="16"/>
      <c r="DB82" s="16"/>
      <c r="DC82" s="16"/>
      <c r="DD82" s="16"/>
      <c r="DE82" s="16">
        <f>IFERROR(__xludf.DUMMYFUNCTION("""COMPUTED_VALUE"""),36.0)</f>
        <v>36</v>
      </c>
      <c r="DF82" s="16"/>
      <c r="DG82" s="16">
        <f>IFERROR(__xludf.DUMMYFUNCTION("""COMPUTED_VALUE"""),15.0)</f>
        <v>15</v>
      </c>
      <c r="DH82" s="16"/>
      <c r="DI82" s="16"/>
      <c r="DJ82" s="16"/>
      <c r="DK82" s="16"/>
      <c r="DL82" s="16"/>
      <c r="DM82" s="16">
        <f>IFERROR(__xludf.DUMMYFUNCTION("""COMPUTED_VALUE"""),-2.0)</f>
        <v>-2</v>
      </c>
      <c r="DN82" s="16"/>
      <c r="DO82" s="16">
        <f>IFERROR(__xludf.DUMMYFUNCTION("""COMPUTED_VALUE"""),-2.0)</f>
        <v>-2</v>
      </c>
      <c r="DP82" s="16"/>
      <c r="DQ82" s="16"/>
      <c r="DR82" s="16"/>
      <c r="DS82" s="16"/>
      <c r="DT82" s="16"/>
      <c r="DU82" s="16">
        <f>IFERROR(__xludf.DUMMYFUNCTION("""COMPUTED_VALUE"""),-2.0)</f>
        <v>-2</v>
      </c>
      <c r="DV82" s="16"/>
      <c r="DW82" s="16">
        <f>IFERROR(__xludf.DUMMYFUNCTION("""COMPUTED_VALUE"""),0.0)</f>
        <v>0</v>
      </c>
      <c r="DX82" s="16"/>
      <c r="DY82" s="16"/>
      <c r="DZ82" s="16"/>
      <c r="EA82" s="16"/>
      <c r="EB82" s="16"/>
      <c r="EC82" s="16">
        <f>IFERROR(__xludf.DUMMYFUNCTION("""COMPUTED_VALUE"""),-4.0)</f>
        <v>-4</v>
      </c>
      <c r="ED82" s="16"/>
      <c r="EE82" s="16">
        <f>IFERROR(__xludf.DUMMYFUNCTION("""COMPUTED_VALUE"""),-2.0)</f>
        <v>-2</v>
      </c>
      <c r="EF82" s="16"/>
      <c r="EG82" s="179"/>
      <c r="EH82" s="179"/>
      <c r="EI82" s="179"/>
      <c r="EJ82" s="179"/>
      <c r="EK82" s="179">
        <f>IFERROR(__xludf.DUMMYFUNCTION("""COMPUTED_VALUE"""),12.0)</f>
        <v>12</v>
      </c>
      <c r="EL82" s="179"/>
      <c r="EM82" s="179">
        <f>IFERROR(__xludf.DUMMYFUNCTION("""COMPUTED_VALUE"""),14.0)</f>
        <v>14</v>
      </c>
      <c r="EN82" s="179"/>
      <c r="EO82" s="16"/>
      <c r="EP82" s="16">
        <f>IFERROR(__xludf.DUMMYFUNCTION("""COMPUTED_VALUE"""),1.0)</f>
        <v>1</v>
      </c>
      <c r="EQ82" s="16">
        <f>IFERROR(__xludf.DUMMYFUNCTION("""COMPUTED_VALUE"""),4.0)</f>
        <v>4</v>
      </c>
      <c r="ER82" s="16">
        <f>IFERROR(__xludf.DUMMYFUNCTION("""COMPUTED_VALUE"""),2.0)</f>
        <v>2</v>
      </c>
      <c r="ES82" s="16"/>
      <c r="ET82" s="16"/>
      <c r="EU82" s="16"/>
      <c r="EV82" s="16"/>
      <c r="EW82" s="16"/>
      <c r="EX82" s="180"/>
      <c r="EY82" s="180"/>
      <c r="EZ82" s="180"/>
      <c r="FA82" s="180"/>
      <c r="FB82" s="180">
        <f>IFERROR(__xludf.DUMMYFUNCTION("""COMPUTED_VALUE"""),0.3)</f>
        <v>0.3</v>
      </c>
      <c r="FC82" s="180"/>
      <c r="FD82" s="180">
        <f>IFERROR(__xludf.DUMMYFUNCTION("""COMPUTED_VALUE"""),0.55)</f>
        <v>0.55</v>
      </c>
      <c r="FE82" s="180"/>
      <c r="FF82" s="180"/>
      <c r="FG82" s="180"/>
      <c r="FH82" s="180"/>
      <c r="FI82" s="180"/>
      <c r="FJ82" s="180">
        <f>IFERROR(__xludf.DUMMYFUNCTION("""COMPUTED_VALUE"""),0.18518518518518517)</f>
        <v>0.1851851852</v>
      </c>
      <c r="FK82" s="180"/>
      <c r="FL82" s="180">
        <f>IFERROR(__xludf.DUMMYFUNCTION("""COMPUTED_VALUE"""),0.18055555555555555)</f>
        <v>0.1805555556</v>
      </c>
      <c r="FM82" s="180"/>
      <c r="FN82" s="16"/>
      <c r="FO82" s="16"/>
      <c r="FP82" s="16"/>
      <c r="FQ82" s="16"/>
      <c r="FR82" s="16">
        <f>IFERROR(__xludf.DUMMYFUNCTION("""COMPUTED_VALUE"""),0.5703703703703704)</f>
        <v>0.5703703704</v>
      </c>
      <c r="FS82" s="16"/>
      <c r="FT82" s="16">
        <f>IFERROR(__xludf.DUMMYFUNCTION("""COMPUTED_VALUE"""),0.36874999999999997)</f>
        <v>0.36875</v>
      </c>
      <c r="FU82" s="16"/>
      <c r="FV82" s="16"/>
      <c r="FW82" s="16"/>
      <c r="FX82" s="16"/>
      <c r="FY82" s="16"/>
      <c r="FZ82" s="16">
        <f>IFERROR(__xludf.DUMMYFUNCTION("""COMPUTED_VALUE"""),-6.0)</f>
        <v>-6</v>
      </c>
      <c r="GA82" s="16"/>
      <c r="GB82" s="16">
        <f>IFERROR(__xludf.DUMMYFUNCTION("""COMPUTED_VALUE"""),-9.0)</f>
        <v>-9</v>
      </c>
      <c r="GC82" s="16"/>
      <c r="GD82" s="16" t="s">
        <v>176</v>
      </c>
    </row>
    <row r="83">
      <c r="A83" s="16">
        <f>IFERROR(__xludf.DUMMYFUNCTION("""COMPUTED_VALUE"""),13373.0)</f>
        <v>13373</v>
      </c>
      <c r="B83" s="16" t="str">
        <f>IFERROR(__xludf.DUMMYFUNCTION("""COMPUTED_VALUE"""),"Shea Langeliers")</f>
        <v>Shea Langeliers</v>
      </c>
      <c r="C83" s="16">
        <f>IFERROR(__xludf.DUMMYFUNCTION("""COMPUTED_VALUE"""),1.57)</f>
        <v>1.57</v>
      </c>
      <c r="D83" s="16" t="str">
        <f>IFERROR(__xludf.DUMMYFUNCTION("""COMPUTED_VALUE"""),"R")</f>
        <v>R</v>
      </c>
      <c r="E83" s="16"/>
      <c r="F83" s="16"/>
      <c r="G83" s="16">
        <f>IFERROR(__xludf.DUMMYFUNCTION("""COMPUTED_VALUE"""),482.0)</f>
        <v>482</v>
      </c>
      <c r="H83" s="16">
        <f>IFERROR(__xludf.DUMMYFUNCTION("""COMPUTED_VALUE"""),41.0)</f>
        <v>41</v>
      </c>
      <c r="I83" s="16" t="str">
        <f>IFERROR(__xludf.DUMMYFUNCTION("""COMPUTED_VALUE"""),"1p65")</f>
        <v>1p65</v>
      </c>
      <c r="J83" s="16">
        <f>IFERROR(__xludf.DUMMYFUNCTION("""COMPUTED_VALUE"""),31.0)</f>
        <v>31</v>
      </c>
      <c r="K83" s="16">
        <f>IFERROR(__xludf.DUMMYFUNCTION("""COMPUTED_VALUE"""),35.0)</f>
        <v>35</v>
      </c>
      <c r="L83" s="16">
        <f>IFERROR(__xludf.DUMMYFUNCTION("""COMPUTED_VALUE"""),0.0)</f>
        <v>0</v>
      </c>
      <c r="M83" s="16">
        <f>IFERROR(__xludf.DUMMYFUNCTION("""COMPUTED_VALUE"""),-1.0)</f>
        <v>-1</v>
      </c>
      <c r="N83" s="16">
        <f>IFERROR(__xludf.DUMMYFUNCTION("""COMPUTED_VALUE"""),0.0)</f>
        <v>0</v>
      </c>
      <c r="O83" s="16">
        <f>IFERROR(__xludf.DUMMYFUNCTION("""COMPUTED_VALUE"""),-1.0)</f>
        <v>-1</v>
      </c>
      <c r="P83" s="16">
        <f>IFERROR(__xludf.DUMMYFUNCTION("""COMPUTED_VALUE"""),9.0)</f>
        <v>9</v>
      </c>
      <c r="Q83" s="16">
        <f>IFERROR(__xludf.DUMMYFUNCTION("""COMPUTED_VALUE"""),7.0)</f>
        <v>7</v>
      </c>
      <c r="R83" s="16">
        <f>IFERROR(__xludf.DUMMYFUNCTION("""COMPUTED_VALUE"""),0.0)</f>
        <v>0</v>
      </c>
      <c r="S83" s="16">
        <f>IFERROR(__xludf.DUMMYFUNCTION("""COMPUTED_VALUE"""),-1.0)</f>
        <v>-1</v>
      </c>
      <c r="T83" s="16">
        <f>IFERROR(__xludf.DUMMYFUNCTION("""COMPUTED_VALUE"""),0.0)</f>
        <v>0</v>
      </c>
      <c r="U83" s="16">
        <f>IFERROR(__xludf.DUMMYFUNCTION("""COMPUTED_VALUE"""),-1.0)</f>
        <v>-1</v>
      </c>
      <c r="V83" s="16">
        <f>IFERROR(__xludf.DUMMYFUNCTION("""COMPUTED_VALUE"""),13.6)</f>
        <v>13.6</v>
      </c>
      <c r="W83" s="16">
        <f>IFERROR(__xludf.DUMMYFUNCTION("""COMPUTED_VALUE"""),16.6)</f>
        <v>16.6</v>
      </c>
      <c r="X83" s="16">
        <f>IFERROR(__xludf.DUMMYFUNCTION("""COMPUTED_VALUE"""),-1.0)</f>
        <v>-1</v>
      </c>
      <c r="Y83" s="16">
        <f>IFERROR(__xludf.DUMMYFUNCTION("""COMPUTED_VALUE"""),-1.0)</f>
        <v>-1</v>
      </c>
      <c r="Z83" s="16">
        <f>IFERROR(__xludf.DUMMYFUNCTION("""COMPUTED_VALUE"""),-2.0)</f>
        <v>-2</v>
      </c>
      <c r="AA83" s="16">
        <f>IFERROR(__xludf.DUMMYFUNCTION("""COMPUTED_VALUE"""),-2.0)</f>
        <v>-2</v>
      </c>
      <c r="AB83" s="16">
        <f>IFERROR(__xludf.DUMMYFUNCTION("""COMPUTED_VALUE"""),24.6)</f>
        <v>24.6</v>
      </c>
      <c r="AC83" s="16">
        <f>IFERROR(__xludf.DUMMYFUNCTION("""COMPUTED_VALUE"""),25.6)</f>
        <v>25.6</v>
      </c>
      <c r="AD83" s="16">
        <f>IFERROR(__xludf.DUMMYFUNCTION("""COMPUTED_VALUE"""),-1.0)</f>
        <v>-1</v>
      </c>
      <c r="AE83" s="16">
        <f>IFERROR(__xludf.DUMMYFUNCTION("""COMPUTED_VALUE"""),-1.0)</f>
        <v>-1</v>
      </c>
      <c r="AF83" s="16">
        <f>IFERROR(__xludf.DUMMYFUNCTION("""COMPUTED_VALUE"""),-5.0)</f>
        <v>-5</v>
      </c>
      <c r="AG83" s="16">
        <f>IFERROR(__xludf.DUMMYFUNCTION("""COMPUTED_VALUE"""),-5.0)</f>
        <v>-5</v>
      </c>
      <c r="AH83" s="16">
        <f>IFERROR(__xludf.DUMMYFUNCTION("""COMPUTED_VALUE"""),36.3)</f>
        <v>36.3</v>
      </c>
      <c r="AI83" s="16">
        <f>IFERROR(__xludf.DUMMYFUNCTION("""COMPUTED_VALUE"""),38.8)</f>
        <v>38.8</v>
      </c>
      <c r="AJ83" s="16">
        <f>IFERROR(__xludf.DUMMYFUNCTION("""COMPUTED_VALUE"""),0.0)</f>
        <v>0</v>
      </c>
      <c r="AK83" s="16">
        <f>IFERROR(__xludf.DUMMYFUNCTION("""COMPUTED_VALUE"""),1.0)</f>
        <v>1</v>
      </c>
      <c r="AL83" s="16">
        <f>IFERROR(__xludf.DUMMYFUNCTION("""COMPUTED_VALUE"""),0.0)</f>
        <v>0</v>
      </c>
      <c r="AM83" s="16">
        <f>IFERROR(__xludf.DUMMYFUNCTION("""COMPUTED_VALUE"""),5.0)</f>
        <v>5</v>
      </c>
      <c r="AN83" s="16">
        <f>IFERROR(__xludf.DUMMYFUNCTION("""COMPUTED_VALUE"""),6.5)</f>
        <v>6.5</v>
      </c>
      <c r="AO83" s="16">
        <f>IFERROR(__xludf.DUMMYFUNCTION("""COMPUTED_VALUE"""),6.2)</f>
        <v>6.2</v>
      </c>
      <c r="AP83" s="16">
        <f>IFERROR(__xludf.DUMMYFUNCTION("""COMPUTED_VALUE"""),3.0)</f>
        <v>3</v>
      </c>
      <c r="AQ83" s="16">
        <f>IFERROR(__xludf.DUMMYFUNCTION("""COMPUTED_VALUE"""),3.0)</f>
        <v>3</v>
      </c>
      <c r="AR83" s="16">
        <f>IFERROR(__xludf.DUMMYFUNCTION("""COMPUTED_VALUE"""),6.0)</f>
        <v>6</v>
      </c>
      <c r="AS83" s="16">
        <f>IFERROR(__xludf.DUMMYFUNCTION("""COMPUTED_VALUE"""),6.0)</f>
        <v>6</v>
      </c>
      <c r="AT83" s="16">
        <f>IFERROR(__xludf.DUMMYFUNCTION("""COMPUTED_VALUE"""),8.0)</f>
        <v>8</v>
      </c>
      <c r="AU83" s="16">
        <f>IFERROR(__xludf.DUMMYFUNCTION("""COMPUTED_VALUE"""),8.0)</f>
        <v>8</v>
      </c>
      <c r="AV83" s="16">
        <f>IFERROR(__xludf.DUMMYFUNCTION("""COMPUTED_VALUE"""),8.0)</f>
        <v>8</v>
      </c>
      <c r="AW83" s="16">
        <f>IFERROR(__xludf.DUMMYFUNCTION("""COMPUTED_VALUE"""),8.0)</f>
        <v>8</v>
      </c>
      <c r="AX83" s="16">
        <f>IFERROR(__xludf.DUMMYFUNCTION("""COMPUTED_VALUE"""),3.0)</f>
        <v>3</v>
      </c>
      <c r="AY83" s="16">
        <f>IFERROR(__xludf.DUMMYFUNCTION("""COMPUTED_VALUE"""),3.0)</f>
        <v>3</v>
      </c>
      <c r="AZ83" s="16">
        <f>IFERROR(__xludf.DUMMYFUNCTION("""COMPUTED_VALUE"""),9.0)</f>
        <v>9</v>
      </c>
      <c r="BA83" s="16">
        <f>IFERROR(__xludf.DUMMYFUNCTION("""COMPUTED_VALUE"""),9.0)</f>
        <v>9</v>
      </c>
      <c r="BB83" s="16">
        <f>IFERROR(__xludf.DUMMYFUNCTION("""COMPUTED_VALUE"""),5.0)</f>
        <v>5</v>
      </c>
      <c r="BC83" s="16">
        <f>IFERROR(__xludf.DUMMYFUNCTION("""COMPUTED_VALUE"""),5.0)</f>
        <v>5</v>
      </c>
      <c r="BD83" s="16">
        <f>IFERROR(__xludf.DUMMYFUNCTION("""COMPUTED_VALUE"""),1.0)</f>
        <v>1</v>
      </c>
      <c r="BE83" s="16">
        <f>IFERROR(__xludf.DUMMYFUNCTION("""COMPUTED_VALUE"""),1.0)</f>
        <v>1</v>
      </c>
      <c r="BF83" s="16">
        <f>IFERROR(__xludf.DUMMYFUNCTION("""COMPUTED_VALUE"""),1.0)</f>
        <v>1</v>
      </c>
      <c r="BG83" s="16">
        <f>IFERROR(__xludf.DUMMYFUNCTION("""COMPUTED_VALUE"""),1.0)</f>
        <v>1</v>
      </c>
      <c r="BH83" s="16">
        <f>IFERROR(__xludf.DUMMYFUNCTION("""COMPUTED_VALUE"""),-4.0)</f>
        <v>-4</v>
      </c>
      <c r="BI83" s="16">
        <f>IFERROR(__xludf.DUMMYFUNCTION("""COMPUTED_VALUE"""),-5.0)</f>
        <v>-5</v>
      </c>
      <c r="BJ83" s="16">
        <f>IFERROR(__xludf.DUMMYFUNCTION("""COMPUTED_VALUE"""),17.0)</f>
        <v>17</v>
      </c>
      <c r="BK83" s="16">
        <f>IFERROR(__xludf.DUMMYFUNCTION("""COMPUTED_VALUE"""),17.0)</f>
        <v>17</v>
      </c>
      <c r="BL83" s="16">
        <f>IFERROR(__xludf.DUMMYFUNCTION("""COMPUTED_VALUE"""),-1.0)</f>
        <v>-1</v>
      </c>
      <c r="BM83" s="16">
        <f>IFERROR(__xludf.DUMMYFUNCTION("""COMPUTED_VALUE"""),-1.0)</f>
        <v>-1</v>
      </c>
      <c r="BN83" s="16">
        <f>IFERROR(__xludf.DUMMYFUNCTION("""COMPUTED_VALUE"""),-2.0)</f>
        <v>-2</v>
      </c>
      <c r="BO83" s="16">
        <f>IFERROR(__xludf.DUMMYFUNCTION("""COMPUTED_VALUE"""),-2.0)</f>
        <v>-2</v>
      </c>
      <c r="BP83" s="16">
        <f>IFERROR(__xludf.DUMMYFUNCTION("""COMPUTED_VALUE"""),4.0)</f>
        <v>4</v>
      </c>
      <c r="BQ83" s="16">
        <f>IFERROR(__xludf.DUMMYFUNCTION("""COMPUTED_VALUE"""),3.0)</f>
        <v>3</v>
      </c>
      <c r="BR83" s="16">
        <f>IFERROR(__xludf.DUMMYFUNCTION("""COMPUTED_VALUE"""),7.0)</f>
        <v>7</v>
      </c>
      <c r="BS83" s="16" t="str">
        <f>IFERROR(__xludf.DUMMYFUNCTION("""COMPUTED_VALUE"""),"4,5/- (13-6)")</f>
        <v>4,5/- (13-6)</v>
      </c>
      <c r="BT83" s="16" t="str">
        <f>IFERROR(__xludf.DUMMYFUNCTION("""COMPUTED_VALUE"""),"D")</f>
        <v>D</v>
      </c>
      <c r="BU83" s="16">
        <f>IFERROR(__xludf.DUMMYFUNCTION("""COMPUTED_VALUE"""),11.0)</f>
        <v>11</v>
      </c>
      <c r="BV83" s="16">
        <f>IFERROR(__xludf.DUMMYFUNCTION("""COMPUTED_VALUE"""),0.0)</f>
        <v>0</v>
      </c>
      <c r="BW83" s="16">
        <f>IFERROR(__xludf.DUMMYFUNCTION("""COMPUTED_VALUE"""),0.0)</f>
        <v>0</v>
      </c>
      <c r="BX83" s="16">
        <f>IFERROR(__xludf.DUMMYFUNCTION("""COMPUTED_VALUE"""),0.0)</f>
        <v>0</v>
      </c>
      <c r="BY83" s="16">
        <f>IFERROR(__xludf.DUMMYFUNCTION("""COMPUTED_VALUE"""),0.0)</f>
        <v>0</v>
      </c>
      <c r="BZ83" s="16" t="str">
        <f>IFERROR(__xludf.DUMMYFUNCTION("""COMPUTED_VALUE"""),"D")</f>
        <v>D</v>
      </c>
      <c r="CA83" s="16" t="str">
        <f>IFERROR(__xludf.DUMMYFUNCTION("""COMPUTED_VALUE"""),"D")</f>
        <v>D</v>
      </c>
      <c r="CB83" s="16">
        <f>IFERROR(__xludf.DUMMYFUNCTION("""COMPUTED_VALUE"""),0.0)</f>
        <v>0</v>
      </c>
      <c r="CC83" s="16">
        <f>IFERROR(__xludf.DUMMYFUNCTION("""COMPUTED_VALUE"""),0.0)</f>
        <v>0</v>
      </c>
      <c r="CD83" s="16">
        <f>IFERROR(__xludf.DUMMYFUNCTION("""COMPUTED_VALUE"""),0.0)</f>
        <v>0</v>
      </c>
      <c r="CE83" s="16">
        <f>IFERROR(__xludf.DUMMYFUNCTION("""COMPUTED_VALUE"""),0.0)</f>
        <v>0</v>
      </c>
      <c r="CF83" s="16">
        <f>IFERROR(__xludf.DUMMYFUNCTION("""COMPUTED_VALUE"""),1.0)</f>
        <v>1</v>
      </c>
      <c r="CG83" s="16">
        <f>IFERROR(__xludf.DUMMYFUNCTION("""COMPUTED_VALUE"""),7.0)</f>
        <v>7</v>
      </c>
      <c r="CH83" s="16">
        <f>IFERROR(__xludf.DUMMYFUNCTION("""COMPUTED_VALUE"""),10.0)</f>
        <v>10</v>
      </c>
      <c r="CI83" s="179">
        <f>IFERROR(__xludf.DUMMYFUNCTION("""COMPUTED_VALUE"""),15.0)</f>
        <v>15</v>
      </c>
      <c r="CJ83" s="16">
        <f>IFERROR(__xludf.DUMMYFUNCTION("""COMPUTED_VALUE"""),401.0)</f>
        <v>401</v>
      </c>
      <c r="CK83" s="16"/>
      <c r="CL83" s="16"/>
      <c r="CM83" s="16"/>
      <c r="CN83" s="16"/>
      <c r="CO83" s="16"/>
      <c r="CP83" s="16"/>
      <c r="CQ83" s="16"/>
      <c r="CR83" s="16" t="str">
        <f>IFERROR(__xludf.DUMMYFUNCTION("""COMPUTED_VALUE"""),"c-4(-2)e1,T-6(pb-1)")</f>
        <v>c-4(-2)e1,T-6(pb-1)</v>
      </c>
      <c r="CS83" s="16">
        <f>IFERROR(__xludf.DUMMYFUNCTION("""COMPUTED_VALUE"""),4.0)</f>
        <v>4</v>
      </c>
      <c r="CT83" s="16"/>
      <c r="CU83" s="16"/>
      <c r="CV83" s="16"/>
      <c r="CW83" s="16"/>
      <c r="CX83" s="16"/>
      <c r="CY83" s="16"/>
      <c r="CZ83" s="16"/>
      <c r="DA83" s="16">
        <f>IFERROR(__xludf.DUMMYFUNCTION("""COMPUTED_VALUE"""),1.0)</f>
        <v>1</v>
      </c>
      <c r="DB83" s="16"/>
      <c r="DC83" s="16"/>
      <c r="DD83" s="16"/>
      <c r="DE83" s="16"/>
      <c r="DF83" s="16"/>
      <c r="DG83" s="16"/>
      <c r="DH83" s="16"/>
      <c r="DI83" s="16">
        <f>IFERROR(__xludf.DUMMYFUNCTION("""COMPUTED_VALUE"""),-2.0)</f>
        <v>-2</v>
      </c>
      <c r="DJ83" s="16"/>
      <c r="DK83" s="16"/>
      <c r="DL83" s="16"/>
      <c r="DM83" s="16"/>
      <c r="DN83" s="16"/>
      <c r="DO83" s="16"/>
      <c r="DP83" s="16"/>
      <c r="DQ83" s="16">
        <f>IFERROR(__xludf.DUMMYFUNCTION("""COMPUTED_VALUE"""),4.0)</f>
        <v>4</v>
      </c>
      <c r="DR83" s="16"/>
      <c r="DS83" s="16"/>
      <c r="DT83" s="16"/>
      <c r="DU83" s="16"/>
      <c r="DV83" s="16"/>
      <c r="DW83" s="16"/>
      <c r="DX83" s="16"/>
      <c r="DY83" s="16">
        <f>IFERROR(__xludf.DUMMYFUNCTION("""COMPUTED_VALUE"""),2.0)</f>
        <v>2</v>
      </c>
      <c r="DZ83" s="16"/>
      <c r="EA83" s="16"/>
      <c r="EB83" s="16"/>
      <c r="EC83" s="16"/>
      <c r="ED83" s="16"/>
      <c r="EE83" s="16"/>
      <c r="EF83" s="16"/>
      <c r="EG83" s="179">
        <f>IFERROR(__xludf.DUMMYFUNCTION("""COMPUTED_VALUE"""),15.0)</f>
        <v>15</v>
      </c>
      <c r="EH83" s="179"/>
      <c r="EI83" s="179"/>
      <c r="EJ83" s="179"/>
      <c r="EK83" s="179"/>
      <c r="EL83" s="179"/>
      <c r="EM83" s="179"/>
      <c r="EN83" s="179"/>
      <c r="EO83" s="16">
        <f>IFERROR(__xludf.DUMMYFUNCTION("""COMPUTED_VALUE"""),-2.0)</f>
        <v>-2</v>
      </c>
      <c r="EP83" s="16">
        <f>IFERROR(__xludf.DUMMYFUNCTION("""COMPUTED_VALUE"""),1.0)</f>
        <v>1</v>
      </c>
      <c r="EQ83" s="16">
        <f>IFERROR(__xludf.DUMMYFUNCTION("""COMPUTED_VALUE"""),4.0)</f>
        <v>4</v>
      </c>
      <c r="ER83" s="16">
        <f>IFERROR(__xludf.DUMMYFUNCTION("""COMPUTED_VALUE"""),2.0)</f>
        <v>2</v>
      </c>
      <c r="ES83" s="16" t="str">
        <f>IFERROR(__xludf.DUMMYFUNCTION("""COMPUTED_VALUE"""),"c-4")</f>
        <v>c-4</v>
      </c>
      <c r="ET83" s="16" t="str">
        <f>IFERROR(__xludf.DUMMYFUNCTION("""COMPUTED_VALUE"""),"-2)e1,T-6")</f>
        <v>-2)e1,T-6</v>
      </c>
      <c r="EU83" s="16" t="str">
        <f>IFERROR(__xludf.DUMMYFUNCTION("""COMPUTED_VALUE"""),"pb-1)")</f>
        <v>pb-1)</v>
      </c>
      <c r="EV83" s="16"/>
      <c r="EW83" s="16">
        <f>IFERROR(__xludf.DUMMYFUNCTION("""COMPUTED_VALUE"""),-2.0)</f>
        <v>-2</v>
      </c>
      <c r="EX83" s="180">
        <f>IFERROR(__xludf.DUMMYFUNCTION("""COMPUTED_VALUE"""),0.3)</f>
        <v>0.3</v>
      </c>
      <c r="EY83" s="180"/>
      <c r="EZ83" s="180"/>
      <c r="FA83" s="180"/>
      <c r="FB83" s="180"/>
      <c r="FC83" s="180"/>
      <c r="FD83" s="180"/>
      <c r="FE83" s="180"/>
      <c r="FF83" s="180">
        <f>IFERROR(__xludf.DUMMYFUNCTION("""COMPUTED_VALUE"""),0.014)</f>
        <v>0.014</v>
      </c>
      <c r="FG83" s="180"/>
      <c r="FH83" s="180"/>
      <c r="FI83" s="180"/>
      <c r="FJ83" s="180"/>
      <c r="FK83" s="180"/>
      <c r="FL83" s="180"/>
      <c r="FM83" s="180"/>
      <c r="FN83" s="16">
        <f>IFERROR(__xludf.DUMMYFUNCTION("""COMPUTED_VALUE"""),0.6901999999999999)</f>
        <v>0.6902</v>
      </c>
      <c r="FO83" s="16"/>
      <c r="FP83" s="16"/>
      <c r="FQ83" s="16"/>
      <c r="FR83" s="16"/>
      <c r="FS83" s="16"/>
      <c r="FT83" s="16"/>
      <c r="FU83" s="16"/>
      <c r="FV83" s="16">
        <f>IFERROR(__xludf.DUMMYFUNCTION("""COMPUTED_VALUE"""),-2.0)</f>
        <v>-2</v>
      </c>
      <c r="FW83" s="16"/>
      <c r="FX83" s="16"/>
      <c r="FY83" s="16"/>
      <c r="FZ83" s="16"/>
      <c r="GA83" s="16"/>
      <c r="GB83" s="16"/>
      <c r="GC83" s="16"/>
      <c r="GD83" s="16" t="s">
        <v>212</v>
      </c>
    </row>
    <row r="84">
      <c r="A84" s="16">
        <f>IFERROR(__xludf.DUMMYFUNCTION("""COMPUTED_VALUE"""),12705.0)</f>
        <v>12705</v>
      </c>
      <c r="B84" s="16" t="str">
        <f>IFERROR(__xludf.DUMMYFUNCTION("""COMPUTED_VALUE"""),"Colton Cowser")</f>
        <v>Colton Cowser</v>
      </c>
      <c r="C84" s="16">
        <f>IFERROR(__xludf.DUMMYFUNCTION("""COMPUTED_VALUE"""),1.6)</f>
        <v>1.6</v>
      </c>
      <c r="D84" s="16" t="str">
        <f>IFERROR(__xludf.DUMMYFUNCTION("""COMPUTED_VALUE"""),"L")</f>
        <v>L</v>
      </c>
      <c r="E84" s="16"/>
      <c r="F84" s="16"/>
      <c r="G84" s="16">
        <f>IFERROR(__xludf.DUMMYFUNCTION("""COMPUTED_VALUE"""),499.0)</f>
        <v>499</v>
      </c>
      <c r="H84" s="16">
        <f>IFERROR(__xludf.DUMMYFUNCTION("""COMPUTED_VALUE"""),52.0)</f>
        <v>52</v>
      </c>
      <c r="I84" s="16" t="str">
        <f>IFERROR(__xludf.DUMMYFUNCTION("""COMPUTED_VALUE"""),"1p70")</f>
        <v>1p70</v>
      </c>
      <c r="J84" s="16">
        <f>IFERROR(__xludf.DUMMYFUNCTION("""COMPUTED_VALUE"""),48.0)</f>
        <v>48</v>
      </c>
      <c r="K84" s="16">
        <f>IFERROR(__xludf.DUMMYFUNCTION("""COMPUTED_VALUE"""),39.0)</f>
        <v>39</v>
      </c>
      <c r="L84" s="16">
        <f>IFERROR(__xludf.DUMMYFUNCTION("""COMPUTED_VALUE"""),-2.0)</f>
        <v>-2</v>
      </c>
      <c r="M84" s="16">
        <f>IFERROR(__xludf.DUMMYFUNCTION("""COMPUTED_VALUE"""),-2.0)</f>
        <v>-2</v>
      </c>
      <c r="N84" s="16">
        <f>IFERROR(__xludf.DUMMYFUNCTION("""COMPUTED_VALUE"""),-2.0)</f>
        <v>-2</v>
      </c>
      <c r="O84" s="16">
        <f>IFERROR(__xludf.DUMMYFUNCTION("""COMPUTED_VALUE"""),-2.0)</f>
        <v>-2</v>
      </c>
      <c r="P84" s="16">
        <f>IFERROR(__xludf.DUMMYFUNCTION("""COMPUTED_VALUE"""),5.0)</f>
        <v>5</v>
      </c>
      <c r="Q84" s="16">
        <f>IFERROR(__xludf.DUMMYFUNCTION("""COMPUTED_VALUE"""),12.0)</f>
        <v>12</v>
      </c>
      <c r="R84" s="16">
        <f>IFERROR(__xludf.DUMMYFUNCTION("""COMPUTED_VALUE"""),-1.0)</f>
        <v>-1</v>
      </c>
      <c r="S84" s="16">
        <f>IFERROR(__xludf.DUMMYFUNCTION("""COMPUTED_VALUE"""),1.0)</f>
        <v>1</v>
      </c>
      <c r="T84" s="16">
        <f>IFERROR(__xludf.DUMMYFUNCTION("""COMPUTED_VALUE"""),-1.0)</f>
        <v>-1</v>
      </c>
      <c r="U84" s="16">
        <f>IFERROR(__xludf.DUMMYFUNCTION("""COMPUTED_VALUE"""),1.0)</f>
        <v>1</v>
      </c>
      <c r="V84" s="16">
        <f>IFERROR(__xludf.DUMMYFUNCTION("""COMPUTED_VALUE"""),16.9)</f>
        <v>16.9</v>
      </c>
      <c r="W84" s="16">
        <f>IFERROR(__xludf.DUMMYFUNCTION("""COMPUTED_VALUE"""),18.1)</f>
        <v>18.1</v>
      </c>
      <c r="X84" s="16">
        <f>IFERROR(__xludf.DUMMYFUNCTION("""COMPUTED_VALUE"""),0.0)</f>
        <v>0</v>
      </c>
      <c r="Y84" s="16">
        <f>IFERROR(__xludf.DUMMYFUNCTION("""COMPUTED_VALUE"""),0.0)</f>
        <v>0</v>
      </c>
      <c r="Z84" s="16">
        <f>IFERROR(__xludf.DUMMYFUNCTION("""COMPUTED_VALUE"""),0.0)</f>
        <v>0</v>
      </c>
      <c r="AA84" s="16">
        <f>IFERROR(__xludf.DUMMYFUNCTION("""COMPUTED_VALUE"""),0.0)</f>
        <v>0</v>
      </c>
      <c r="AB84" s="16">
        <f>IFERROR(__xludf.DUMMYFUNCTION("""COMPUTED_VALUE"""),24.8)</f>
        <v>24.8</v>
      </c>
      <c r="AC84" s="16">
        <f>IFERROR(__xludf.DUMMYFUNCTION("""COMPUTED_VALUE"""),33.1)</f>
        <v>33.1</v>
      </c>
      <c r="AD84" s="16">
        <f>IFERROR(__xludf.DUMMYFUNCTION("""COMPUTED_VALUE"""),-1.0)</f>
        <v>-1</v>
      </c>
      <c r="AE84" s="16">
        <f>IFERROR(__xludf.DUMMYFUNCTION("""COMPUTED_VALUE"""),0.0)</f>
        <v>0</v>
      </c>
      <c r="AF84" s="16">
        <f>IFERROR(__xludf.DUMMYFUNCTION("""COMPUTED_VALUE"""),-5.0)</f>
        <v>-5</v>
      </c>
      <c r="AG84" s="16">
        <f>IFERROR(__xludf.DUMMYFUNCTION("""COMPUTED_VALUE"""),0.0)</f>
        <v>0</v>
      </c>
      <c r="AH84" s="16">
        <f>IFERROR(__xludf.DUMMYFUNCTION("""COMPUTED_VALUE"""),27.9)</f>
        <v>27.9</v>
      </c>
      <c r="AI84" s="16">
        <f>IFERROR(__xludf.DUMMYFUNCTION("""COMPUTED_VALUE"""),33.8)</f>
        <v>33.8</v>
      </c>
      <c r="AJ84" s="16">
        <f>IFERROR(__xludf.DUMMYFUNCTION("""COMPUTED_VALUE"""),0.0)</f>
        <v>0</v>
      </c>
      <c r="AK84" s="16">
        <f>IFERROR(__xludf.DUMMYFUNCTION("""COMPUTED_VALUE"""),0.0)</f>
        <v>0</v>
      </c>
      <c r="AL84" s="16">
        <f>IFERROR(__xludf.DUMMYFUNCTION("""COMPUTED_VALUE"""),0.0)</f>
        <v>0</v>
      </c>
      <c r="AM84" s="16">
        <f>IFERROR(__xludf.DUMMYFUNCTION("""COMPUTED_VALUE"""),0.0)</f>
        <v>0</v>
      </c>
      <c r="AN84" s="16">
        <f>IFERROR(__xludf.DUMMYFUNCTION("""COMPUTED_VALUE"""),2.5)</f>
        <v>2.5</v>
      </c>
      <c r="AO84" s="16">
        <f>IFERROR(__xludf.DUMMYFUNCTION("""COMPUTED_VALUE"""),3.3)</f>
        <v>3.3</v>
      </c>
      <c r="AP84" s="16">
        <f>IFERROR(__xludf.DUMMYFUNCTION("""COMPUTED_VALUE"""),0.0)</f>
        <v>0</v>
      </c>
      <c r="AQ84" s="16">
        <f>IFERROR(__xludf.DUMMYFUNCTION("""COMPUTED_VALUE"""),1.0)</f>
        <v>1</v>
      </c>
      <c r="AR84" s="16">
        <f>IFERROR(__xludf.DUMMYFUNCTION("""COMPUTED_VALUE"""),0.0)</f>
        <v>0</v>
      </c>
      <c r="AS84" s="16">
        <f>IFERROR(__xludf.DUMMYFUNCTION("""COMPUTED_VALUE"""),2.0)</f>
        <v>2</v>
      </c>
      <c r="AT84" s="16">
        <f>IFERROR(__xludf.DUMMYFUNCTION("""COMPUTED_VALUE"""),4.0)</f>
        <v>4</v>
      </c>
      <c r="AU84" s="16">
        <f>IFERROR(__xludf.DUMMYFUNCTION("""COMPUTED_VALUE"""),6.0)</f>
        <v>6</v>
      </c>
      <c r="AV84" s="16">
        <f>IFERROR(__xludf.DUMMYFUNCTION("""COMPUTED_VALUE"""),4.0)</f>
        <v>4</v>
      </c>
      <c r="AW84" s="16">
        <f>IFERROR(__xludf.DUMMYFUNCTION("""COMPUTED_VALUE"""),6.0)</f>
        <v>6</v>
      </c>
      <c r="AX84" s="16">
        <f>IFERROR(__xludf.DUMMYFUNCTION("""COMPUTED_VALUE"""),2.0)</f>
        <v>2</v>
      </c>
      <c r="AY84" s="16">
        <f>IFERROR(__xludf.DUMMYFUNCTION("""COMPUTED_VALUE"""),2.0)</f>
        <v>2</v>
      </c>
      <c r="AZ84" s="16">
        <f>IFERROR(__xludf.DUMMYFUNCTION("""COMPUTED_VALUE"""),6.0)</f>
        <v>6</v>
      </c>
      <c r="BA84" s="16">
        <f>IFERROR(__xludf.DUMMYFUNCTION("""COMPUTED_VALUE"""),6.0)</f>
        <v>6</v>
      </c>
      <c r="BB84" s="16">
        <f>IFERROR(__xludf.DUMMYFUNCTION("""COMPUTED_VALUE"""),5.0)</f>
        <v>5</v>
      </c>
      <c r="BC84" s="16">
        <f>IFERROR(__xludf.DUMMYFUNCTION("""COMPUTED_VALUE"""),5.0)</f>
        <v>5</v>
      </c>
      <c r="BD84" s="16">
        <f>IFERROR(__xludf.DUMMYFUNCTION("""COMPUTED_VALUE"""),1.0)</f>
        <v>1</v>
      </c>
      <c r="BE84" s="16">
        <f>IFERROR(__xludf.DUMMYFUNCTION("""COMPUTED_VALUE"""),1.0)</f>
        <v>1</v>
      </c>
      <c r="BF84" s="16">
        <f>IFERROR(__xludf.DUMMYFUNCTION("""COMPUTED_VALUE"""),1.0)</f>
        <v>1</v>
      </c>
      <c r="BG84" s="16">
        <f>IFERROR(__xludf.DUMMYFUNCTION("""COMPUTED_VALUE"""),1.0)</f>
        <v>1</v>
      </c>
      <c r="BH84" s="16">
        <f>IFERROR(__xludf.DUMMYFUNCTION("""COMPUTED_VALUE"""),-9.0)</f>
        <v>-9</v>
      </c>
      <c r="BI84" s="16">
        <f>IFERROR(__xludf.DUMMYFUNCTION("""COMPUTED_VALUE"""),-7.0)</f>
        <v>-7</v>
      </c>
      <c r="BJ84" s="16">
        <f>IFERROR(__xludf.DUMMYFUNCTION("""COMPUTED_VALUE"""),11.0)</f>
        <v>11</v>
      </c>
      <c r="BK84" s="16">
        <f>IFERROR(__xludf.DUMMYFUNCTION("""COMPUTED_VALUE"""),10.0)</f>
        <v>10</v>
      </c>
      <c r="BL84" s="16">
        <f>IFERROR(__xludf.DUMMYFUNCTION("""COMPUTED_VALUE"""),0.0)</f>
        <v>0</v>
      </c>
      <c r="BM84" s="16">
        <f>IFERROR(__xludf.DUMMYFUNCTION("""COMPUTED_VALUE"""),0.0)</f>
        <v>0</v>
      </c>
      <c r="BN84" s="16">
        <f>IFERROR(__xludf.DUMMYFUNCTION("""COMPUTED_VALUE"""),0.0)</f>
        <v>0</v>
      </c>
      <c r="BO84" s="16">
        <f>IFERROR(__xludf.DUMMYFUNCTION("""COMPUTED_VALUE"""),0.0)</f>
        <v>0</v>
      </c>
      <c r="BP84" s="16">
        <f>IFERROR(__xludf.DUMMYFUNCTION("""COMPUTED_VALUE"""),-1.0)</f>
        <v>-1</v>
      </c>
      <c r="BQ84" s="16">
        <f>IFERROR(__xludf.DUMMYFUNCTION("""COMPUTED_VALUE"""),3.0)</f>
        <v>3</v>
      </c>
      <c r="BR84" s="16">
        <f>IFERROR(__xludf.DUMMYFUNCTION("""COMPUTED_VALUE"""),2.0)</f>
        <v>2</v>
      </c>
      <c r="BS84" s="16" t="str">
        <f>IFERROR(__xludf.DUMMYFUNCTION("""COMPUTED_VALUE"""),"*4,6/- (16-6)")</f>
        <v>*4,6/- (16-6)</v>
      </c>
      <c r="BT84" s="16" t="str">
        <f>IFERROR(__xludf.DUMMYFUNCTION("""COMPUTED_VALUE"""),"C")</f>
        <v>C</v>
      </c>
      <c r="BU84" s="16">
        <f>IFERROR(__xludf.DUMMYFUNCTION("""COMPUTED_VALUE"""),14.0)</f>
        <v>14</v>
      </c>
      <c r="BV84" s="16">
        <f>IFERROR(__xludf.DUMMYFUNCTION("""COMPUTED_VALUE"""),0.0)</f>
        <v>0</v>
      </c>
      <c r="BW84" s="16">
        <f>IFERROR(__xludf.DUMMYFUNCTION("""COMPUTED_VALUE"""),1.0)</f>
        <v>1</v>
      </c>
      <c r="BX84" s="16">
        <f>IFERROR(__xludf.DUMMYFUNCTION("""COMPUTED_VALUE"""),0.0)</f>
        <v>0</v>
      </c>
      <c r="BY84" s="16">
        <f>IFERROR(__xludf.DUMMYFUNCTION("""COMPUTED_VALUE"""),3.0)</f>
        <v>3</v>
      </c>
      <c r="BZ84" s="16" t="str">
        <f>IFERROR(__xludf.DUMMYFUNCTION("""COMPUTED_VALUE"""),"D")</f>
        <v>D</v>
      </c>
      <c r="CA84" s="16" t="str">
        <f>IFERROR(__xludf.DUMMYFUNCTION("""COMPUTED_VALUE"""),"D")</f>
        <v>D</v>
      </c>
      <c r="CB84" s="16">
        <f>IFERROR(__xludf.DUMMYFUNCTION("""COMPUTED_VALUE"""),0.0)</f>
        <v>0</v>
      </c>
      <c r="CC84" s="16">
        <f>IFERROR(__xludf.DUMMYFUNCTION("""COMPUTED_VALUE"""),0.0)</f>
        <v>0</v>
      </c>
      <c r="CD84" s="16">
        <f>IFERROR(__xludf.DUMMYFUNCTION("""COMPUTED_VALUE"""),0.0)</f>
        <v>0</v>
      </c>
      <c r="CE84" s="16">
        <f>IFERROR(__xludf.DUMMYFUNCTION("""COMPUTED_VALUE"""),0.0)</f>
        <v>0</v>
      </c>
      <c r="CF84" s="16">
        <f>IFERROR(__xludf.DUMMYFUNCTION("""COMPUTED_VALUE"""),1.0)</f>
        <v>1</v>
      </c>
      <c r="CG84" s="16">
        <f>IFERROR(__xludf.DUMMYFUNCTION("""COMPUTED_VALUE"""),-1.0)</f>
        <v>-1</v>
      </c>
      <c r="CH84" s="16">
        <f>IFERROR(__xludf.DUMMYFUNCTION("""COMPUTED_VALUE"""),8.0)</f>
        <v>8</v>
      </c>
      <c r="CI84" s="179">
        <f>IFERROR(__xludf.DUMMYFUNCTION("""COMPUTED_VALUE"""),14.0)</f>
        <v>14</v>
      </c>
      <c r="CJ84" s="16"/>
      <c r="CK84" s="16"/>
      <c r="CL84" s="16"/>
      <c r="CM84" s="16"/>
      <c r="CN84" s="16"/>
      <c r="CO84" s="16">
        <f>IFERROR(__xludf.DUMMYFUNCTION("""COMPUTED_VALUE"""),201.0)</f>
        <v>201</v>
      </c>
      <c r="CP84" s="16">
        <f>IFERROR(__xludf.DUMMYFUNCTION("""COMPUTED_VALUE"""),301.0)</f>
        <v>301</v>
      </c>
      <c r="CQ84" s="16">
        <f>IFERROR(__xludf.DUMMYFUNCTION("""COMPUTED_VALUE"""),201.0)</f>
        <v>201</v>
      </c>
      <c r="CR84" s="16" t="str">
        <f>IFERROR(__xludf.DUMMYFUNCTION("""COMPUTED_VALUE"""),"lf-2(-2)e1 cf-3e1 rf-2e1")</f>
        <v>lf-2(-2)e1 cf-3e1 rf-2e1</v>
      </c>
      <c r="CS84" s="16"/>
      <c r="CT84" s="16"/>
      <c r="CU84" s="16"/>
      <c r="CV84" s="16"/>
      <c r="CW84" s="16"/>
      <c r="CX84" s="16">
        <f>IFERROR(__xludf.DUMMYFUNCTION("""COMPUTED_VALUE"""),2.0)</f>
        <v>2</v>
      </c>
      <c r="CY84" s="16">
        <f>IFERROR(__xludf.DUMMYFUNCTION("""COMPUTED_VALUE"""),3.0)</f>
        <v>3</v>
      </c>
      <c r="CZ84" s="16">
        <f>IFERROR(__xludf.DUMMYFUNCTION("""COMPUTED_VALUE"""),2.0)</f>
        <v>2</v>
      </c>
      <c r="DA84" s="16"/>
      <c r="DB84" s="16"/>
      <c r="DC84" s="16"/>
      <c r="DD84" s="16"/>
      <c r="DE84" s="16"/>
      <c r="DF84" s="16">
        <f>IFERROR(__xludf.DUMMYFUNCTION("""COMPUTED_VALUE"""),1.0)</f>
        <v>1</v>
      </c>
      <c r="DG84" s="16">
        <f>IFERROR(__xludf.DUMMYFUNCTION("""COMPUTED_VALUE"""),1.0)</f>
        <v>1</v>
      </c>
      <c r="DH84" s="16">
        <f>IFERROR(__xludf.DUMMYFUNCTION("""COMPUTED_VALUE"""),1.0)</f>
        <v>1</v>
      </c>
      <c r="DI84" s="16"/>
      <c r="DJ84" s="16"/>
      <c r="DK84" s="16"/>
      <c r="DL84" s="16"/>
      <c r="DM84" s="16"/>
      <c r="DN84" s="16">
        <f>IFERROR(__xludf.DUMMYFUNCTION("""COMPUTED_VALUE"""),3.0)</f>
        <v>3</v>
      </c>
      <c r="DO84" s="16">
        <f>IFERROR(__xludf.DUMMYFUNCTION("""COMPUTED_VALUE"""),0.0)</f>
        <v>0</v>
      </c>
      <c r="DP84" s="16">
        <f>IFERROR(__xludf.DUMMYFUNCTION("""COMPUTED_VALUE"""),3.0)</f>
        <v>3</v>
      </c>
      <c r="DQ84" s="16"/>
      <c r="DR84" s="16"/>
      <c r="DS84" s="16"/>
      <c r="DT84" s="16"/>
      <c r="DU84" s="16"/>
      <c r="DV84" s="16">
        <f>IFERROR(__xludf.DUMMYFUNCTION("""COMPUTED_VALUE"""),4.0)</f>
        <v>4</v>
      </c>
      <c r="DW84" s="16">
        <f>IFERROR(__xludf.DUMMYFUNCTION("""COMPUTED_VALUE"""),4.0)</f>
        <v>4</v>
      </c>
      <c r="DX84" s="16">
        <f>IFERROR(__xludf.DUMMYFUNCTION("""COMPUTED_VALUE"""),4.0)</f>
        <v>4</v>
      </c>
      <c r="DY84" s="16"/>
      <c r="DZ84" s="16"/>
      <c r="EA84" s="16"/>
      <c r="EB84" s="16"/>
      <c r="EC84" s="16"/>
      <c r="ED84" s="16">
        <f>IFERROR(__xludf.DUMMYFUNCTION("""COMPUTED_VALUE"""),7.0)</f>
        <v>7</v>
      </c>
      <c r="EE84" s="16">
        <f>IFERROR(__xludf.DUMMYFUNCTION("""COMPUTED_VALUE"""),4.0)</f>
        <v>4</v>
      </c>
      <c r="EF84" s="16">
        <f>IFERROR(__xludf.DUMMYFUNCTION("""COMPUTED_VALUE"""),7.0)</f>
        <v>7</v>
      </c>
      <c r="EG84" s="179"/>
      <c r="EH84" s="179"/>
      <c r="EI84" s="179"/>
      <c r="EJ84" s="179"/>
      <c r="EK84" s="179"/>
      <c r="EL84" s="179">
        <f>IFERROR(__xludf.DUMMYFUNCTION("""COMPUTED_VALUE"""),21.0)</f>
        <v>21</v>
      </c>
      <c r="EM84" s="179">
        <f>IFERROR(__xludf.DUMMYFUNCTION("""COMPUTED_VALUE"""),18.0)</f>
        <v>18</v>
      </c>
      <c r="EN84" s="179">
        <f>IFERROR(__xludf.DUMMYFUNCTION("""COMPUTED_VALUE"""),21.0)</f>
        <v>21</v>
      </c>
      <c r="EO84" s="16"/>
      <c r="EP84" s="16">
        <f>IFERROR(__xludf.DUMMYFUNCTION("""COMPUTED_VALUE"""),-1.0)</f>
        <v>-1</v>
      </c>
      <c r="EQ84" s="16">
        <f>IFERROR(__xludf.DUMMYFUNCTION("""COMPUTED_VALUE"""),4.0)</f>
        <v>4</v>
      </c>
      <c r="ER84" s="16">
        <f>IFERROR(__xludf.DUMMYFUNCTION("""COMPUTED_VALUE"""),3.0)</f>
        <v>3</v>
      </c>
      <c r="ES84" s="16"/>
      <c r="ET84" s="16"/>
      <c r="EU84" s="16"/>
      <c r="EV84" s="16"/>
      <c r="EW84" s="16"/>
      <c r="EX84" s="180"/>
      <c r="EY84" s="180"/>
      <c r="EZ84" s="180"/>
      <c r="FA84" s="180"/>
      <c r="FB84" s="180"/>
      <c r="FC84" s="180">
        <f>IFERROR(__xludf.DUMMYFUNCTION("""COMPUTED_VALUE"""),0.15)</f>
        <v>0.15</v>
      </c>
      <c r="FD84" s="180">
        <f>IFERROR(__xludf.DUMMYFUNCTION("""COMPUTED_VALUE"""),0.3)</f>
        <v>0.3</v>
      </c>
      <c r="FE84" s="180">
        <f>IFERROR(__xludf.DUMMYFUNCTION("""COMPUTED_VALUE"""),0.15)</f>
        <v>0.15</v>
      </c>
      <c r="FF84" s="180"/>
      <c r="FG84" s="180"/>
      <c r="FH84" s="180"/>
      <c r="FI84" s="180"/>
      <c r="FJ84" s="180"/>
      <c r="FK84" s="180">
        <f>IFERROR(__xludf.DUMMYFUNCTION("""COMPUTED_VALUE"""),0.019)</f>
        <v>0.019</v>
      </c>
      <c r="FL84" s="180">
        <f>IFERROR(__xludf.DUMMYFUNCTION("""COMPUTED_VALUE"""),0.013888888888888888)</f>
        <v>0.01388888889</v>
      </c>
      <c r="FM84" s="180">
        <f>IFERROR(__xludf.DUMMYFUNCTION("""COMPUTED_VALUE"""),0.019)</f>
        <v>0.019</v>
      </c>
      <c r="FN84" s="16"/>
      <c r="FO84" s="16"/>
      <c r="FP84" s="16"/>
      <c r="FQ84" s="16"/>
      <c r="FR84" s="16"/>
      <c r="FS84" s="16">
        <f>IFERROR(__xludf.DUMMYFUNCTION("""COMPUTED_VALUE"""),0.83385)</f>
        <v>0.83385</v>
      </c>
      <c r="FT84" s="16">
        <f>IFERROR(__xludf.DUMMYFUNCTION("""COMPUTED_VALUE"""),0.6902777777777778)</f>
        <v>0.6902777778</v>
      </c>
      <c r="FU84" s="16">
        <f>IFERROR(__xludf.DUMMYFUNCTION("""COMPUTED_VALUE"""),0.83385)</f>
        <v>0.83385</v>
      </c>
      <c r="FV84" s="16"/>
      <c r="FW84" s="16"/>
      <c r="FX84" s="16"/>
      <c r="FY84" s="16"/>
      <c r="FZ84" s="16"/>
      <c r="GA84" s="16">
        <f>IFERROR(__xludf.DUMMYFUNCTION("""COMPUTED_VALUE"""),2.0)</f>
        <v>2</v>
      </c>
      <c r="GB84" s="16">
        <f>IFERROR(__xludf.DUMMYFUNCTION("""COMPUTED_VALUE"""),-3.0)</f>
        <v>-3</v>
      </c>
      <c r="GC84" s="16">
        <f>IFERROR(__xludf.DUMMYFUNCTION("""COMPUTED_VALUE"""),2.0)</f>
        <v>2</v>
      </c>
      <c r="GD84" s="16" t="s">
        <v>306</v>
      </c>
    </row>
    <row r="85">
      <c r="A85" s="16">
        <f>IFERROR(__xludf.DUMMYFUNCTION("""COMPUTED_VALUE"""),12665.0)</f>
        <v>12665</v>
      </c>
      <c r="B85" s="16" t="str">
        <f>IFERROR(__xludf.DUMMYFUNCTION("""COMPUTED_VALUE"""),"Cedric Mullins")</f>
        <v>Cedric Mullins</v>
      </c>
      <c r="C85" s="16">
        <f>IFERROR(__xludf.DUMMYFUNCTION("""COMPUTED_VALUE"""),1.51)</f>
        <v>1.51</v>
      </c>
      <c r="D85" s="16" t="str">
        <f>IFERROR(__xludf.DUMMYFUNCTION("""COMPUTED_VALUE"""),"L")</f>
        <v>L</v>
      </c>
      <c r="E85" s="16"/>
      <c r="F85" s="16"/>
      <c r="G85" s="16">
        <f>IFERROR(__xludf.DUMMYFUNCTION("""COMPUTED_VALUE"""),444.0)</f>
        <v>444</v>
      </c>
      <c r="H85" s="16">
        <f>IFERROR(__xludf.DUMMYFUNCTION("""COMPUTED_VALUE"""),41.0)</f>
        <v>41</v>
      </c>
      <c r="I85" s="16" t="str">
        <f>IFERROR(__xludf.DUMMYFUNCTION("""COMPUTED_VALUE"""),"1p65")</f>
        <v>1p65</v>
      </c>
      <c r="J85" s="16">
        <f>IFERROR(__xludf.DUMMYFUNCTION("""COMPUTED_VALUE"""),16.0)</f>
        <v>16</v>
      </c>
      <c r="K85" s="16">
        <f>IFERROR(__xludf.DUMMYFUNCTION("""COMPUTED_VALUE"""),19.0)</f>
        <v>19</v>
      </c>
      <c r="L85" s="16">
        <f>IFERROR(__xludf.DUMMYFUNCTION("""COMPUTED_VALUE"""),1.0)</f>
        <v>1</v>
      </c>
      <c r="M85" s="16">
        <f>IFERROR(__xludf.DUMMYFUNCTION("""COMPUTED_VALUE"""),1.0)</f>
        <v>1</v>
      </c>
      <c r="N85" s="16">
        <f>IFERROR(__xludf.DUMMYFUNCTION("""COMPUTED_VALUE"""),1.0)</f>
        <v>1</v>
      </c>
      <c r="O85" s="16">
        <f>IFERROR(__xludf.DUMMYFUNCTION("""COMPUTED_VALUE"""),1.0)</f>
        <v>1</v>
      </c>
      <c r="P85" s="16">
        <f>IFERROR(__xludf.DUMMYFUNCTION("""COMPUTED_VALUE"""),0.0)</f>
        <v>0</v>
      </c>
      <c r="Q85" s="16">
        <f>IFERROR(__xludf.DUMMYFUNCTION("""COMPUTED_VALUE"""),11.0)</f>
        <v>11</v>
      </c>
      <c r="R85" s="16">
        <f>IFERROR(__xludf.DUMMYFUNCTION("""COMPUTED_VALUE"""),-3.0)</f>
        <v>-3</v>
      </c>
      <c r="S85" s="16">
        <f>IFERROR(__xludf.DUMMYFUNCTION("""COMPUTED_VALUE"""),1.0)</f>
        <v>1</v>
      </c>
      <c r="T85" s="16">
        <f>IFERROR(__xludf.DUMMYFUNCTION("""COMPUTED_VALUE"""),-3.0)</f>
        <v>-3</v>
      </c>
      <c r="U85" s="16">
        <f>IFERROR(__xludf.DUMMYFUNCTION("""COMPUTED_VALUE"""),1.0)</f>
        <v>1</v>
      </c>
      <c r="V85" s="16">
        <f>IFERROR(__xludf.DUMMYFUNCTION("""COMPUTED_VALUE"""),14.0)</f>
        <v>14</v>
      </c>
      <c r="W85" s="16">
        <f>IFERROR(__xludf.DUMMYFUNCTION("""COMPUTED_VALUE"""),18.2)</f>
        <v>18.2</v>
      </c>
      <c r="X85" s="16">
        <f>IFERROR(__xludf.DUMMYFUNCTION("""COMPUTED_VALUE"""),-1.0)</f>
        <v>-1</v>
      </c>
      <c r="Y85" s="16">
        <f>IFERROR(__xludf.DUMMYFUNCTION("""COMPUTED_VALUE"""),0.0)</f>
        <v>0</v>
      </c>
      <c r="Z85" s="16">
        <f>IFERROR(__xludf.DUMMYFUNCTION("""COMPUTED_VALUE"""),-2.0)</f>
        <v>-2</v>
      </c>
      <c r="AA85" s="16">
        <f>IFERROR(__xludf.DUMMYFUNCTION("""COMPUTED_VALUE"""),0.0)</f>
        <v>0</v>
      </c>
      <c r="AB85" s="16">
        <f>IFERROR(__xludf.DUMMYFUNCTION("""COMPUTED_VALUE"""),16.0)</f>
        <v>16</v>
      </c>
      <c r="AC85" s="16">
        <f>IFERROR(__xludf.DUMMYFUNCTION("""COMPUTED_VALUE"""),31.2)</f>
        <v>31.2</v>
      </c>
      <c r="AD85" s="16">
        <f>IFERROR(__xludf.DUMMYFUNCTION("""COMPUTED_VALUE"""),-2.0)</f>
        <v>-2</v>
      </c>
      <c r="AE85" s="16">
        <f>IFERROR(__xludf.DUMMYFUNCTION("""COMPUTED_VALUE"""),0.0)</f>
        <v>0</v>
      </c>
      <c r="AF85" s="16">
        <f>IFERROR(__xludf.DUMMYFUNCTION("""COMPUTED_VALUE"""),-10.0)</f>
        <v>-10</v>
      </c>
      <c r="AG85" s="16">
        <f>IFERROR(__xludf.DUMMYFUNCTION("""COMPUTED_VALUE"""),0.0)</f>
        <v>0</v>
      </c>
      <c r="AH85" s="16">
        <f>IFERROR(__xludf.DUMMYFUNCTION("""COMPUTED_VALUE"""),25.5)</f>
        <v>25.5</v>
      </c>
      <c r="AI85" s="16">
        <f>IFERROR(__xludf.DUMMYFUNCTION("""COMPUTED_VALUE"""),31.0)</f>
        <v>31</v>
      </c>
      <c r="AJ85" s="16">
        <f>IFERROR(__xludf.DUMMYFUNCTION("""COMPUTED_VALUE"""),-1.0)</f>
        <v>-1</v>
      </c>
      <c r="AK85" s="16">
        <f>IFERROR(__xludf.DUMMYFUNCTION("""COMPUTED_VALUE"""),0.0)</f>
        <v>0</v>
      </c>
      <c r="AL85" s="16">
        <f>IFERROR(__xludf.DUMMYFUNCTION("""COMPUTED_VALUE"""),-5.0)</f>
        <v>-5</v>
      </c>
      <c r="AM85" s="16">
        <f>IFERROR(__xludf.DUMMYFUNCTION("""COMPUTED_VALUE"""),0.0)</f>
        <v>0</v>
      </c>
      <c r="AN85" s="16">
        <f>IFERROR(__xludf.DUMMYFUNCTION("""COMPUTED_VALUE"""),2.2)</f>
        <v>2.2</v>
      </c>
      <c r="AO85" s="16">
        <f>IFERROR(__xludf.DUMMYFUNCTION("""COMPUTED_VALUE"""),3.2)</f>
        <v>3.2</v>
      </c>
      <c r="AP85" s="16">
        <f>IFERROR(__xludf.DUMMYFUNCTION("""COMPUTED_VALUE"""),0.0)</f>
        <v>0</v>
      </c>
      <c r="AQ85" s="16">
        <f>IFERROR(__xludf.DUMMYFUNCTION("""COMPUTED_VALUE"""),1.0)</f>
        <v>1</v>
      </c>
      <c r="AR85" s="16">
        <f>IFERROR(__xludf.DUMMYFUNCTION("""COMPUTED_VALUE"""),0.0)</f>
        <v>0</v>
      </c>
      <c r="AS85" s="16">
        <f>IFERROR(__xludf.DUMMYFUNCTION("""COMPUTED_VALUE"""),2.0)</f>
        <v>2</v>
      </c>
      <c r="AT85" s="16"/>
      <c r="AU85" s="16">
        <f>IFERROR(__xludf.DUMMYFUNCTION("""COMPUTED_VALUE"""),5.0)</f>
        <v>5</v>
      </c>
      <c r="AV85" s="16">
        <f>IFERROR(__xludf.DUMMYFUNCTION("""COMPUTED_VALUE"""),-3.0)</f>
        <v>-3</v>
      </c>
      <c r="AW85" s="16">
        <f>IFERROR(__xludf.DUMMYFUNCTION("""COMPUTED_VALUE"""),5.0)</f>
        <v>5</v>
      </c>
      <c r="AX85" s="16">
        <f>IFERROR(__xludf.DUMMYFUNCTION("""COMPUTED_VALUE"""),-3.0)</f>
        <v>-3</v>
      </c>
      <c r="AY85" s="16">
        <f>IFERROR(__xludf.DUMMYFUNCTION("""COMPUTED_VALUE"""),2.0)</f>
        <v>2</v>
      </c>
      <c r="AZ85" s="16">
        <f>IFERROR(__xludf.DUMMYFUNCTION("""COMPUTED_VALUE"""),-9.0)</f>
        <v>-9</v>
      </c>
      <c r="BA85" s="16">
        <f>IFERROR(__xludf.DUMMYFUNCTION("""COMPUTED_VALUE"""),6.0)</f>
        <v>6</v>
      </c>
      <c r="BB85" s="16">
        <f>IFERROR(__xludf.DUMMYFUNCTION("""COMPUTED_VALUE"""),5.0)</f>
        <v>5</v>
      </c>
      <c r="BC85" s="16">
        <f>IFERROR(__xludf.DUMMYFUNCTION("""COMPUTED_VALUE"""),5.0)</f>
        <v>5</v>
      </c>
      <c r="BD85" s="16">
        <f>IFERROR(__xludf.DUMMYFUNCTION("""COMPUTED_VALUE"""),1.0)</f>
        <v>1</v>
      </c>
      <c r="BE85" s="16">
        <f>IFERROR(__xludf.DUMMYFUNCTION("""COMPUTED_VALUE"""),1.0)</f>
        <v>1</v>
      </c>
      <c r="BF85" s="16">
        <f>IFERROR(__xludf.DUMMYFUNCTION("""COMPUTED_VALUE"""),1.0)</f>
        <v>1</v>
      </c>
      <c r="BG85" s="16">
        <f>IFERROR(__xludf.DUMMYFUNCTION("""COMPUTED_VALUE"""),1.0)</f>
        <v>1</v>
      </c>
      <c r="BH85" s="16">
        <f>IFERROR(__xludf.DUMMYFUNCTION("""COMPUTED_VALUE"""),-5.0)</f>
        <v>-5</v>
      </c>
      <c r="BI85" s="16">
        <f>IFERROR(__xludf.DUMMYFUNCTION("""COMPUTED_VALUE"""),-4.0)</f>
        <v>-4</v>
      </c>
      <c r="BJ85" s="16">
        <f>IFERROR(__xludf.DUMMYFUNCTION("""COMPUTED_VALUE"""),0.0)</f>
        <v>0</v>
      </c>
      <c r="BK85" s="16">
        <f>IFERROR(__xludf.DUMMYFUNCTION("""COMPUTED_VALUE"""),0.0)</f>
        <v>0</v>
      </c>
      <c r="BL85" s="16">
        <f>IFERROR(__xludf.DUMMYFUNCTION("""COMPUTED_VALUE"""),3.0)</f>
        <v>3</v>
      </c>
      <c r="BM85" s="16">
        <f>IFERROR(__xludf.DUMMYFUNCTION("""COMPUTED_VALUE"""),3.0)</f>
        <v>3</v>
      </c>
      <c r="BN85" s="16">
        <f>IFERROR(__xludf.DUMMYFUNCTION("""COMPUTED_VALUE"""),3.0)</f>
        <v>3</v>
      </c>
      <c r="BO85" s="16">
        <f>IFERROR(__xludf.DUMMYFUNCTION("""COMPUTED_VALUE"""),3.0)</f>
        <v>3</v>
      </c>
      <c r="BP85" s="16">
        <f>IFERROR(__xludf.DUMMYFUNCTION("""COMPUTED_VALUE"""),-5.0)</f>
        <v>-5</v>
      </c>
      <c r="BQ85" s="16">
        <f>IFERROR(__xludf.DUMMYFUNCTION("""COMPUTED_VALUE"""),9.0)</f>
        <v>9</v>
      </c>
      <c r="BR85" s="16">
        <f>IFERROR(__xludf.DUMMYFUNCTION("""COMPUTED_VALUE"""),4.0)</f>
        <v>4</v>
      </c>
      <c r="BS85" s="16" t="str">
        <f>IFERROR(__xludf.DUMMYFUNCTION("""COMPUTED_VALUE"""),"*2-5,11,12/- (19-15)")</f>
        <v>*2-5,11,12/- (19-15)</v>
      </c>
      <c r="BT85" s="16" t="str">
        <f>IFERROR(__xludf.DUMMYFUNCTION("""COMPUTED_VALUE"""),"AA")</f>
        <v>AA</v>
      </c>
      <c r="BU85" s="16">
        <f>IFERROR(__xludf.DUMMYFUNCTION("""COMPUTED_VALUE"""),16.0)</f>
        <v>16</v>
      </c>
      <c r="BV85" s="16">
        <f>IFERROR(__xludf.DUMMYFUNCTION("""COMPUTED_VALUE"""),3.0)</f>
        <v>3</v>
      </c>
      <c r="BW85" s="16">
        <f>IFERROR(__xludf.DUMMYFUNCTION("""COMPUTED_VALUE"""),2.0)</f>
        <v>2</v>
      </c>
      <c r="BX85" s="16">
        <f>IFERROR(__xludf.DUMMYFUNCTION("""COMPUTED_VALUE"""),6.0)</f>
        <v>6</v>
      </c>
      <c r="BY85" s="16">
        <f>IFERROR(__xludf.DUMMYFUNCTION("""COMPUTED_VALUE"""),6.0)</f>
        <v>6</v>
      </c>
      <c r="BZ85" s="16" t="str">
        <f>IFERROR(__xludf.DUMMYFUNCTION("""COMPUTED_VALUE"""),"B")</f>
        <v>B</v>
      </c>
      <c r="CA85" s="16" t="str">
        <f>IFERROR(__xludf.DUMMYFUNCTION("""COMPUTED_VALUE"""),"B")</f>
        <v>B</v>
      </c>
      <c r="CB85" s="16">
        <f>IFERROR(__xludf.DUMMYFUNCTION("""COMPUTED_VALUE"""),1.0)</f>
        <v>1</v>
      </c>
      <c r="CC85" s="16">
        <f>IFERROR(__xludf.DUMMYFUNCTION("""COMPUTED_VALUE"""),1.0)</f>
        <v>1</v>
      </c>
      <c r="CD85" s="16">
        <f>IFERROR(__xludf.DUMMYFUNCTION("""COMPUTED_VALUE"""),1.0)</f>
        <v>1</v>
      </c>
      <c r="CE85" s="16">
        <f>IFERROR(__xludf.DUMMYFUNCTION("""COMPUTED_VALUE"""),2.0)</f>
        <v>2</v>
      </c>
      <c r="CF85" s="16">
        <f>IFERROR(__xludf.DUMMYFUNCTION("""COMPUTED_VALUE"""),1.0)</f>
        <v>1</v>
      </c>
      <c r="CG85" s="16">
        <f>IFERROR(__xludf.DUMMYFUNCTION("""COMPUTED_VALUE"""),-24.0)</f>
        <v>-24</v>
      </c>
      <c r="CH85" s="16">
        <f>IFERROR(__xludf.DUMMYFUNCTION("""COMPUTED_VALUE"""),14.0)</f>
        <v>14</v>
      </c>
      <c r="CI85" s="179">
        <f>IFERROR(__xludf.DUMMYFUNCTION("""COMPUTED_VALUE"""),14.0)</f>
        <v>14</v>
      </c>
      <c r="CJ85" s="16"/>
      <c r="CK85" s="16"/>
      <c r="CL85" s="16"/>
      <c r="CM85" s="16"/>
      <c r="CN85" s="16"/>
      <c r="CO85" s="16"/>
      <c r="CP85" s="16">
        <f>IFERROR(__xludf.DUMMYFUNCTION("""COMPUTED_VALUE"""),101.0)</f>
        <v>101</v>
      </c>
      <c r="CQ85" s="16"/>
      <c r="CR85" s="16" t="str">
        <f>IFERROR(__xludf.DUMMYFUNCTION("""COMPUTED_VALUE"""),"cf-1(0)e1")</f>
        <v>cf-1(0)e1</v>
      </c>
      <c r="CS85" s="16"/>
      <c r="CT85" s="16"/>
      <c r="CU85" s="16"/>
      <c r="CV85" s="16"/>
      <c r="CW85" s="16"/>
      <c r="CX85" s="16"/>
      <c r="CY85" s="16">
        <f>IFERROR(__xludf.DUMMYFUNCTION("""COMPUTED_VALUE"""),1.0)</f>
        <v>1</v>
      </c>
      <c r="CZ85" s="16"/>
      <c r="DA85" s="16"/>
      <c r="DB85" s="16"/>
      <c r="DC85" s="16"/>
      <c r="DD85" s="16"/>
      <c r="DE85" s="16"/>
      <c r="DF85" s="16"/>
      <c r="DG85" s="16">
        <f>IFERROR(__xludf.DUMMYFUNCTION("""COMPUTED_VALUE"""),1.0)</f>
        <v>1</v>
      </c>
      <c r="DH85" s="16"/>
      <c r="DI85" s="16"/>
      <c r="DJ85" s="16"/>
      <c r="DK85" s="16"/>
      <c r="DL85" s="16"/>
      <c r="DM85" s="16"/>
      <c r="DN85" s="16"/>
      <c r="DO85" s="16">
        <f>IFERROR(__xludf.DUMMYFUNCTION("""COMPUTED_VALUE"""),4.0)</f>
        <v>4</v>
      </c>
      <c r="DP85" s="16"/>
      <c r="DQ85" s="16"/>
      <c r="DR85" s="16"/>
      <c r="DS85" s="16"/>
      <c r="DT85" s="16"/>
      <c r="DU85" s="16"/>
      <c r="DV85" s="16"/>
      <c r="DW85" s="16">
        <f>IFERROR(__xludf.DUMMYFUNCTION("""COMPUTED_VALUE"""),4.0)</f>
        <v>4</v>
      </c>
      <c r="DX85" s="16"/>
      <c r="DY85" s="16"/>
      <c r="DZ85" s="16"/>
      <c r="EA85" s="16"/>
      <c r="EB85" s="16"/>
      <c r="EC85" s="16"/>
      <c r="ED85" s="16"/>
      <c r="EE85" s="16">
        <f>IFERROR(__xludf.DUMMYFUNCTION("""COMPUTED_VALUE"""),8.0)</f>
        <v>8</v>
      </c>
      <c r="EF85" s="16"/>
      <c r="EG85" s="179"/>
      <c r="EH85" s="179"/>
      <c r="EI85" s="179"/>
      <c r="EJ85" s="179"/>
      <c r="EK85" s="179"/>
      <c r="EL85" s="179"/>
      <c r="EM85" s="179">
        <f>IFERROR(__xludf.DUMMYFUNCTION("""COMPUTED_VALUE"""),22.0)</f>
        <v>22</v>
      </c>
      <c r="EN85" s="179"/>
      <c r="EO85" s="16"/>
      <c r="EP85" s="16"/>
      <c r="EQ85" s="16">
        <f>IFERROR(__xludf.DUMMYFUNCTION("""COMPUTED_VALUE"""),4.0)</f>
        <v>4</v>
      </c>
      <c r="ER85" s="16">
        <f>IFERROR(__xludf.DUMMYFUNCTION("""COMPUTED_VALUE"""),2.0)</f>
        <v>2</v>
      </c>
      <c r="ES85" s="16"/>
      <c r="ET85" s="16"/>
      <c r="EU85" s="16"/>
      <c r="EV85" s="16"/>
      <c r="EW85" s="16"/>
      <c r="EX85" s="180"/>
      <c r="EY85" s="180"/>
      <c r="EZ85" s="180"/>
      <c r="FA85" s="180"/>
      <c r="FB85" s="180"/>
      <c r="FC85" s="180"/>
      <c r="FD85" s="180">
        <f>IFERROR(__xludf.DUMMYFUNCTION("""COMPUTED_VALUE"""),0.0)</f>
        <v>0</v>
      </c>
      <c r="FE85" s="180"/>
      <c r="FF85" s="180"/>
      <c r="FG85" s="180"/>
      <c r="FH85" s="180"/>
      <c r="FI85" s="180"/>
      <c r="FJ85" s="180"/>
      <c r="FK85" s="180"/>
      <c r="FL85" s="180">
        <f>IFERROR(__xludf.DUMMYFUNCTION("""COMPUTED_VALUE"""),0.013888888888888888)</f>
        <v>0.01388888889</v>
      </c>
      <c r="FM85" s="180"/>
      <c r="FN85" s="16"/>
      <c r="FO85" s="16"/>
      <c r="FP85" s="16"/>
      <c r="FQ85" s="16"/>
      <c r="FR85" s="16"/>
      <c r="FS85" s="16"/>
      <c r="FT85" s="16">
        <f>IFERROR(__xludf.DUMMYFUNCTION("""COMPUTED_VALUE"""),0.9861111111111112)</f>
        <v>0.9861111111</v>
      </c>
      <c r="FU85" s="16"/>
      <c r="FV85" s="16"/>
      <c r="FW85" s="16"/>
      <c r="FX85" s="16"/>
      <c r="FY85" s="16"/>
      <c r="FZ85" s="16"/>
      <c r="GA85" s="16"/>
      <c r="GB85" s="16">
        <f>IFERROR(__xludf.DUMMYFUNCTION("""COMPUTED_VALUE"""),8.0)</f>
        <v>8</v>
      </c>
      <c r="GC85" s="16"/>
      <c r="GD85" s="16" t="s">
        <v>126</v>
      </c>
    </row>
    <row r="86">
      <c r="A86" s="16">
        <f>IFERROR(__xludf.DUMMYFUNCTION("""COMPUTED_VALUE"""),13188.0)</f>
        <v>13188</v>
      </c>
      <c r="B86" s="16" t="str">
        <f>IFERROR(__xludf.DUMMYFUNCTION("""COMPUTED_VALUE"""),"Michael Busch")</f>
        <v>Michael Busch</v>
      </c>
      <c r="C86" s="16">
        <f>IFERROR(__xludf.DUMMYFUNCTION("""COMPUTED_VALUE"""),1.43)</f>
        <v>1.43</v>
      </c>
      <c r="D86" s="16" t="str">
        <f>IFERROR(__xludf.DUMMYFUNCTION("""COMPUTED_VALUE"""),"L")</f>
        <v>L</v>
      </c>
      <c r="E86" s="16"/>
      <c r="F86" s="16"/>
      <c r="G86" s="16">
        <f>IFERROR(__xludf.DUMMYFUNCTION("""COMPUTED_VALUE"""),496.0)</f>
        <v>496</v>
      </c>
      <c r="H86" s="16">
        <f>IFERROR(__xludf.DUMMYFUNCTION("""COMPUTED_VALUE"""),63.0)</f>
        <v>63</v>
      </c>
      <c r="I86" s="16" t="str">
        <f>IFERROR(__xludf.DUMMYFUNCTION("""COMPUTED_VALUE"""),"1p70")</f>
        <v>1p70</v>
      </c>
      <c r="J86" s="16">
        <f>IFERROR(__xludf.DUMMYFUNCTION("""COMPUTED_VALUE"""),29.0)</f>
        <v>29</v>
      </c>
      <c r="K86" s="16">
        <f>IFERROR(__xludf.DUMMYFUNCTION("""COMPUTED_VALUE"""),38.0)</f>
        <v>38</v>
      </c>
      <c r="L86" s="16">
        <f>IFERROR(__xludf.DUMMYFUNCTION("""COMPUTED_VALUE"""),0.0)</f>
        <v>0</v>
      </c>
      <c r="M86" s="16">
        <f>IFERROR(__xludf.DUMMYFUNCTION("""COMPUTED_VALUE"""),-1.0)</f>
        <v>-1</v>
      </c>
      <c r="N86" s="16">
        <f>IFERROR(__xludf.DUMMYFUNCTION("""COMPUTED_VALUE"""),0.0)</f>
        <v>0</v>
      </c>
      <c r="O86" s="16">
        <f>IFERROR(__xludf.DUMMYFUNCTION("""COMPUTED_VALUE"""),-1.0)</f>
        <v>-1</v>
      </c>
      <c r="P86" s="16">
        <f>IFERROR(__xludf.DUMMYFUNCTION("""COMPUTED_VALUE"""),10.0)</f>
        <v>10</v>
      </c>
      <c r="Q86" s="16">
        <f>IFERROR(__xludf.DUMMYFUNCTION("""COMPUTED_VALUE"""),15.0)</f>
        <v>15</v>
      </c>
      <c r="R86" s="16">
        <f>IFERROR(__xludf.DUMMYFUNCTION("""COMPUTED_VALUE"""),1.0)</f>
        <v>1</v>
      </c>
      <c r="S86" s="16">
        <f>IFERROR(__xludf.DUMMYFUNCTION("""COMPUTED_VALUE"""),2.0)</f>
        <v>2</v>
      </c>
      <c r="T86" s="16">
        <f>IFERROR(__xludf.DUMMYFUNCTION("""COMPUTED_VALUE"""),1.0)</f>
        <v>1</v>
      </c>
      <c r="U86" s="16">
        <f>IFERROR(__xludf.DUMMYFUNCTION("""COMPUTED_VALUE"""),2.0)</f>
        <v>2</v>
      </c>
      <c r="V86" s="16">
        <f>IFERROR(__xludf.DUMMYFUNCTION("""COMPUTED_VALUE"""),24.1)</f>
        <v>24.1</v>
      </c>
      <c r="W86" s="16">
        <f>IFERROR(__xludf.DUMMYFUNCTION("""COMPUTED_VALUE"""),17.4)</f>
        <v>17.4</v>
      </c>
      <c r="X86" s="16">
        <f>IFERROR(__xludf.DUMMYFUNCTION("""COMPUTED_VALUE"""),1.0)</f>
        <v>1</v>
      </c>
      <c r="Y86" s="16">
        <f>IFERROR(__xludf.DUMMYFUNCTION("""COMPUTED_VALUE"""),-1.0)</f>
        <v>-1</v>
      </c>
      <c r="Z86" s="16">
        <f>IFERROR(__xludf.DUMMYFUNCTION("""COMPUTED_VALUE"""),2.0)</f>
        <v>2</v>
      </c>
      <c r="AA86" s="16">
        <f>IFERROR(__xludf.DUMMYFUNCTION("""COMPUTED_VALUE"""),-2.0)</f>
        <v>-2</v>
      </c>
      <c r="AB86" s="16">
        <f>IFERROR(__xludf.DUMMYFUNCTION("""COMPUTED_VALUE"""),36.1)</f>
        <v>36.1</v>
      </c>
      <c r="AC86" s="16">
        <f>IFERROR(__xludf.DUMMYFUNCTION("""COMPUTED_VALUE"""),34.4)</f>
        <v>34.4</v>
      </c>
      <c r="AD86" s="16">
        <f>IFERROR(__xludf.DUMMYFUNCTION("""COMPUTED_VALUE"""),1.0)</f>
        <v>1</v>
      </c>
      <c r="AE86" s="16">
        <f>IFERROR(__xludf.DUMMYFUNCTION("""COMPUTED_VALUE"""),0.0)</f>
        <v>0</v>
      </c>
      <c r="AF86" s="16">
        <f>IFERROR(__xludf.DUMMYFUNCTION("""COMPUTED_VALUE"""),5.0)</f>
        <v>5</v>
      </c>
      <c r="AG86" s="16">
        <f>IFERROR(__xludf.DUMMYFUNCTION("""COMPUTED_VALUE"""),0.0)</f>
        <v>0</v>
      </c>
      <c r="AH86" s="16">
        <f>IFERROR(__xludf.DUMMYFUNCTION("""COMPUTED_VALUE"""),41.9)</f>
        <v>41.9</v>
      </c>
      <c r="AI86" s="16">
        <f>IFERROR(__xludf.DUMMYFUNCTION("""COMPUTED_VALUE"""),32.1)</f>
        <v>32.1</v>
      </c>
      <c r="AJ86" s="16">
        <f>IFERROR(__xludf.DUMMYFUNCTION("""COMPUTED_VALUE"""),1.0)</f>
        <v>1</v>
      </c>
      <c r="AK86" s="16">
        <f>IFERROR(__xludf.DUMMYFUNCTION("""COMPUTED_VALUE"""),0.0)</f>
        <v>0</v>
      </c>
      <c r="AL86" s="16">
        <f>IFERROR(__xludf.DUMMYFUNCTION("""COMPUTED_VALUE"""),5.0)</f>
        <v>5</v>
      </c>
      <c r="AM86" s="16">
        <f>IFERROR(__xludf.DUMMYFUNCTION("""COMPUTED_VALUE"""),0.0)</f>
        <v>0</v>
      </c>
      <c r="AN86" s="16">
        <f>IFERROR(__xludf.DUMMYFUNCTION("""COMPUTED_VALUE"""),2.0)</f>
        <v>2</v>
      </c>
      <c r="AO86" s="16">
        <f>IFERROR(__xludf.DUMMYFUNCTION("""COMPUTED_VALUE"""),3.3)</f>
        <v>3.3</v>
      </c>
      <c r="AP86" s="16">
        <f>IFERROR(__xludf.DUMMYFUNCTION("""COMPUTED_VALUE"""),0.0)</f>
        <v>0</v>
      </c>
      <c r="AQ86" s="16">
        <f>IFERROR(__xludf.DUMMYFUNCTION("""COMPUTED_VALUE"""),1.0)</f>
        <v>1</v>
      </c>
      <c r="AR86" s="16">
        <f>IFERROR(__xludf.DUMMYFUNCTION("""COMPUTED_VALUE"""),0.0)</f>
        <v>0</v>
      </c>
      <c r="AS86" s="16">
        <f>IFERROR(__xludf.DUMMYFUNCTION("""COMPUTED_VALUE"""),2.0)</f>
        <v>2</v>
      </c>
      <c r="AT86" s="16"/>
      <c r="AU86" s="16">
        <f>IFERROR(__xludf.DUMMYFUNCTION("""COMPUTED_VALUE"""),6.0)</f>
        <v>6</v>
      </c>
      <c r="AV86" s="16">
        <f>IFERROR(__xludf.DUMMYFUNCTION("""COMPUTED_VALUE"""),-3.0)</f>
        <v>-3</v>
      </c>
      <c r="AW86" s="16">
        <f>IFERROR(__xludf.DUMMYFUNCTION("""COMPUTED_VALUE"""),6.0)</f>
        <v>6</v>
      </c>
      <c r="AX86" s="16">
        <f>IFERROR(__xludf.DUMMYFUNCTION("""COMPUTED_VALUE"""),-3.0)</f>
        <v>-3</v>
      </c>
      <c r="AY86" s="16">
        <f>IFERROR(__xludf.DUMMYFUNCTION("""COMPUTED_VALUE"""),2.0)</f>
        <v>2</v>
      </c>
      <c r="AZ86" s="16">
        <f>IFERROR(__xludf.DUMMYFUNCTION("""COMPUTED_VALUE"""),-9.0)</f>
        <v>-9</v>
      </c>
      <c r="BA86" s="16">
        <f>IFERROR(__xludf.DUMMYFUNCTION("""COMPUTED_VALUE"""),6.0)</f>
        <v>6</v>
      </c>
      <c r="BB86" s="16">
        <f>IFERROR(__xludf.DUMMYFUNCTION("""COMPUTED_VALUE"""),5.0)</f>
        <v>5</v>
      </c>
      <c r="BC86" s="16">
        <f>IFERROR(__xludf.DUMMYFUNCTION("""COMPUTED_VALUE"""),5.0)</f>
        <v>5</v>
      </c>
      <c r="BD86" s="16">
        <f>IFERROR(__xludf.DUMMYFUNCTION("""COMPUTED_VALUE"""),1.0)</f>
        <v>1</v>
      </c>
      <c r="BE86" s="16">
        <f>IFERROR(__xludf.DUMMYFUNCTION("""COMPUTED_VALUE"""),1.0)</f>
        <v>1</v>
      </c>
      <c r="BF86" s="16">
        <f>IFERROR(__xludf.DUMMYFUNCTION("""COMPUTED_VALUE"""),1.0)</f>
        <v>1</v>
      </c>
      <c r="BG86" s="16">
        <f>IFERROR(__xludf.DUMMYFUNCTION("""COMPUTED_VALUE"""),1.0)</f>
        <v>1</v>
      </c>
      <c r="BH86" s="16">
        <f>IFERROR(__xludf.DUMMYFUNCTION("""COMPUTED_VALUE"""),-6.0)</f>
        <v>-6</v>
      </c>
      <c r="BI86" s="16">
        <f>IFERROR(__xludf.DUMMYFUNCTION("""COMPUTED_VALUE"""),-6.0)</f>
        <v>-6</v>
      </c>
      <c r="BJ86" s="16">
        <f>IFERROR(__xludf.DUMMYFUNCTION("""COMPUTED_VALUE"""),12.0)</f>
        <v>12</v>
      </c>
      <c r="BK86" s="16">
        <f>IFERROR(__xludf.DUMMYFUNCTION("""COMPUTED_VALUE"""),11.0)</f>
        <v>11</v>
      </c>
      <c r="BL86" s="16">
        <f>IFERROR(__xludf.DUMMYFUNCTION("""COMPUTED_VALUE"""),0.0)</f>
        <v>0</v>
      </c>
      <c r="BM86" s="16">
        <f>IFERROR(__xludf.DUMMYFUNCTION("""COMPUTED_VALUE"""),0.0)</f>
        <v>0</v>
      </c>
      <c r="BN86" s="16">
        <f>IFERROR(__xludf.DUMMYFUNCTION("""COMPUTED_VALUE"""),0.0)</f>
        <v>0</v>
      </c>
      <c r="BO86" s="16">
        <f>IFERROR(__xludf.DUMMYFUNCTION("""COMPUTED_VALUE"""),0.0)</f>
        <v>0</v>
      </c>
      <c r="BP86" s="16">
        <f>IFERROR(__xludf.DUMMYFUNCTION("""COMPUTED_VALUE"""),2.0)</f>
        <v>2</v>
      </c>
      <c r="BQ86" s="16">
        <f>IFERROR(__xludf.DUMMYFUNCTION("""COMPUTED_VALUE"""),4.0)</f>
        <v>4</v>
      </c>
      <c r="BR86" s="16">
        <f>IFERROR(__xludf.DUMMYFUNCTION("""COMPUTED_VALUE"""),6.0)</f>
        <v>6</v>
      </c>
      <c r="BS86" s="16" t="str">
        <f>IFERROR(__xludf.DUMMYFUNCTION("""COMPUTED_VALUE"""),"4/- (13-6)")</f>
        <v>4/- (13-6)</v>
      </c>
      <c r="BT86" s="16" t="str">
        <f>IFERROR(__xludf.DUMMYFUNCTION("""COMPUTED_VALUE"""),"E")</f>
        <v>E</v>
      </c>
      <c r="BU86" s="16">
        <f>IFERROR(__xludf.DUMMYFUNCTION("""COMPUTED_VALUE"""),12.0)</f>
        <v>12</v>
      </c>
      <c r="BV86" s="16">
        <f>IFERROR(__xludf.DUMMYFUNCTION("""COMPUTED_VALUE"""),0.0)</f>
        <v>0</v>
      </c>
      <c r="BW86" s="16">
        <f>IFERROR(__xludf.DUMMYFUNCTION("""COMPUTED_VALUE"""),0.0)</f>
        <v>0</v>
      </c>
      <c r="BX86" s="16">
        <f>IFERROR(__xludf.DUMMYFUNCTION("""COMPUTED_VALUE"""),0.0)</f>
        <v>0</v>
      </c>
      <c r="BY86" s="16">
        <f>IFERROR(__xludf.DUMMYFUNCTION("""COMPUTED_VALUE"""),0.0)</f>
        <v>0</v>
      </c>
      <c r="BZ86" s="16" t="str">
        <f>IFERROR(__xludf.DUMMYFUNCTION("""COMPUTED_VALUE"""),"D")</f>
        <v>D</v>
      </c>
      <c r="CA86" s="16" t="str">
        <f>IFERROR(__xludf.DUMMYFUNCTION("""COMPUTED_VALUE"""),"C")</f>
        <v>C</v>
      </c>
      <c r="CB86" s="16">
        <f>IFERROR(__xludf.DUMMYFUNCTION("""COMPUTED_VALUE"""),0.0)</f>
        <v>0</v>
      </c>
      <c r="CC86" s="16">
        <f>IFERROR(__xludf.DUMMYFUNCTION("""COMPUTED_VALUE"""),0.0)</f>
        <v>0</v>
      </c>
      <c r="CD86" s="16">
        <f>IFERROR(__xludf.DUMMYFUNCTION("""COMPUTED_VALUE"""),0.0)</f>
        <v>0</v>
      </c>
      <c r="CE86" s="16">
        <f>IFERROR(__xludf.DUMMYFUNCTION("""COMPUTED_VALUE"""),0.0)</f>
        <v>0</v>
      </c>
      <c r="CF86" s="16">
        <f>IFERROR(__xludf.DUMMYFUNCTION("""COMPUTED_VALUE"""),1.0)</f>
        <v>1</v>
      </c>
      <c r="CG86" s="16">
        <f>IFERROR(__xludf.DUMMYFUNCTION("""COMPUTED_VALUE"""),5.0)</f>
        <v>5</v>
      </c>
      <c r="CH86" s="16">
        <f>IFERROR(__xludf.DUMMYFUNCTION("""COMPUTED_VALUE"""),8.0)</f>
        <v>8</v>
      </c>
      <c r="CI86" s="179">
        <f>IFERROR(__xludf.DUMMYFUNCTION("""COMPUTED_VALUE"""),14.0)</f>
        <v>14</v>
      </c>
      <c r="CJ86" s="16"/>
      <c r="CK86" s="16">
        <f>IFERROR(__xludf.DUMMYFUNCTION("""COMPUTED_VALUE"""),305.0)</f>
        <v>305</v>
      </c>
      <c r="CL86" s="16">
        <f>IFERROR(__xludf.DUMMYFUNCTION("""COMPUTED_VALUE"""),406.0)</f>
        <v>406</v>
      </c>
      <c r="CM86" s="16">
        <f>IFERROR(__xludf.DUMMYFUNCTION("""COMPUTED_VALUE"""),559.0)</f>
        <v>559</v>
      </c>
      <c r="CN86" s="16"/>
      <c r="CO86" s="16"/>
      <c r="CP86" s="16"/>
      <c r="CQ86" s="16"/>
      <c r="CR86" s="16" t="str">
        <f>IFERROR(__xludf.DUMMYFUNCTION("""COMPUTED_VALUE"""),"1b-3e5 2b-4e6 3b-5e59")</f>
        <v>1b-3e5 2b-4e6 3b-5e59</v>
      </c>
      <c r="CS86" s="16"/>
      <c r="CT86" s="16">
        <f>IFERROR(__xludf.DUMMYFUNCTION("""COMPUTED_VALUE"""),3.0)</f>
        <v>3</v>
      </c>
      <c r="CU86" s="16">
        <f>IFERROR(__xludf.DUMMYFUNCTION("""COMPUTED_VALUE"""),4.0)</f>
        <v>4</v>
      </c>
      <c r="CV86" s="16">
        <f>IFERROR(__xludf.DUMMYFUNCTION("""COMPUTED_VALUE"""),5.0)</f>
        <v>5</v>
      </c>
      <c r="CW86" s="16"/>
      <c r="CX86" s="16"/>
      <c r="CY86" s="16"/>
      <c r="CZ86" s="16"/>
      <c r="DA86" s="16"/>
      <c r="DB86" s="16">
        <f>IFERROR(__xludf.DUMMYFUNCTION("""COMPUTED_VALUE"""),5.0)</f>
        <v>5</v>
      </c>
      <c r="DC86" s="16">
        <f>IFERROR(__xludf.DUMMYFUNCTION("""COMPUTED_VALUE"""),6.0)</f>
        <v>6</v>
      </c>
      <c r="DD86" s="16">
        <f>IFERROR(__xludf.DUMMYFUNCTION("""COMPUTED_VALUE"""),59.0)</f>
        <v>59</v>
      </c>
      <c r="DE86" s="16"/>
      <c r="DF86" s="16"/>
      <c r="DG86" s="16"/>
      <c r="DH86" s="16"/>
      <c r="DI86" s="16"/>
      <c r="DJ86" s="16">
        <f>IFERROR(__xludf.DUMMYFUNCTION("""COMPUTED_VALUE"""),1.0)</f>
        <v>1</v>
      </c>
      <c r="DK86" s="16">
        <f>IFERROR(__xludf.DUMMYFUNCTION("""COMPUTED_VALUE"""),-2.0)</f>
        <v>-2</v>
      </c>
      <c r="DL86" s="16">
        <f>IFERROR(__xludf.DUMMYFUNCTION("""COMPUTED_VALUE"""),-2.0)</f>
        <v>-2</v>
      </c>
      <c r="DM86" s="16"/>
      <c r="DN86" s="16"/>
      <c r="DO86" s="16"/>
      <c r="DP86" s="16"/>
      <c r="DQ86" s="16"/>
      <c r="DR86" s="16">
        <f>IFERROR(__xludf.DUMMYFUNCTION("""COMPUTED_VALUE"""),2.0)</f>
        <v>2</v>
      </c>
      <c r="DS86" s="16">
        <f>IFERROR(__xludf.DUMMYFUNCTION("""COMPUTED_VALUE"""),3.0)</f>
        <v>3</v>
      </c>
      <c r="DT86" s="16">
        <f>IFERROR(__xludf.DUMMYFUNCTION("""COMPUTED_VALUE"""),-2.0)</f>
        <v>-2</v>
      </c>
      <c r="DU86" s="16"/>
      <c r="DV86" s="16"/>
      <c r="DW86" s="16"/>
      <c r="DX86" s="16"/>
      <c r="DY86" s="16"/>
      <c r="DZ86" s="16">
        <f>IFERROR(__xludf.DUMMYFUNCTION("""COMPUTED_VALUE"""),3.0)</f>
        <v>3</v>
      </c>
      <c r="EA86" s="16">
        <f>IFERROR(__xludf.DUMMYFUNCTION("""COMPUTED_VALUE"""),1.0)</f>
        <v>1</v>
      </c>
      <c r="EB86" s="16">
        <f>IFERROR(__xludf.DUMMYFUNCTION("""COMPUTED_VALUE"""),-4.0)</f>
        <v>-4</v>
      </c>
      <c r="EC86" s="16"/>
      <c r="ED86" s="16"/>
      <c r="EE86" s="16"/>
      <c r="EF86" s="16"/>
      <c r="EG86" s="179"/>
      <c r="EH86" s="179">
        <f>IFERROR(__xludf.DUMMYFUNCTION("""COMPUTED_VALUE"""),17.0)</f>
        <v>17</v>
      </c>
      <c r="EI86" s="179">
        <f>IFERROR(__xludf.DUMMYFUNCTION("""COMPUTED_VALUE"""),15.0)</f>
        <v>15</v>
      </c>
      <c r="EJ86" s="179">
        <f>IFERROR(__xludf.DUMMYFUNCTION("""COMPUTED_VALUE"""),10.0)</f>
        <v>10</v>
      </c>
      <c r="EK86" s="179"/>
      <c r="EL86" s="179"/>
      <c r="EM86" s="179"/>
      <c r="EN86" s="179"/>
      <c r="EO86" s="16"/>
      <c r="EP86" s="16">
        <f>IFERROR(__xludf.DUMMYFUNCTION("""COMPUTED_VALUE"""),-3.0)</f>
        <v>-3</v>
      </c>
      <c r="EQ86" s="16">
        <f>IFERROR(__xludf.DUMMYFUNCTION("""COMPUTED_VALUE"""),4.0)</f>
        <v>4</v>
      </c>
      <c r="ER86" s="16">
        <f>IFERROR(__xludf.DUMMYFUNCTION("""COMPUTED_VALUE"""),3.0)</f>
        <v>3</v>
      </c>
      <c r="ES86" s="16"/>
      <c r="ET86" s="16"/>
      <c r="EU86" s="16"/>
      <c r="EV86" s="16"/>
      <c r="EW86" s="16"/>
      <c r="EX86" s="180"/>
      <c r="EY86" s="180">
        <f>IFERROR(__xludf.DUMMYFUNCTION("""COMPUTED_VALUE"""),0.2)</f>
        <v>0.2</v>
      </c>
      <c r="EZ86" s="180">
        <f>IFERROR(__xludf.DUMMYFUNCTION("""COMPUTED_VALUE"""),0.3)</f>
        <v>0.3</v>
      </c>
      <c r="FA86" s="180">
        <f>IFERROR(__xludf.DUMMYFUNCTION("""COMPUTED_VALUE"""),0.4)</f>
        <v>0.4</v>
      </c>
      <c r="FB86" s="180"/>
      <c r="FC86" s="180"/>
      <c r="FD86" s="180"/>
      <c r="FE86" s="180"/>
      <c r="FF86" s="180"/>
      <c r="FG86" s="180">
        <f>IFERROR(__xludf.DUMMYFUNCTION("""COMPUTED_VALUE"""),0.08796296296296297)</f>
        <v>0.08796296296</v>
      </c>
      <c r="FH86" s="180">
        <f>IFERROR(__xludf.DUMMYFUNCTION("""COMPUTED_VALUE"""),0.037037037037037035)</f>
        <v>0.03703703704</v>
      </c>
      <c r="FI86" s="180">
        <f>IFERROR(__xludf.DUMMYFUNCTION("""COMPUTED_VALUE"""),0.7083333333333334)</f>
        <v>0.7083333333</v>
      </c>
      <c r="FJ86" s="180"/>
      <c r="FK86" s="180"/>
      <c r="FL86" s="180"/>
      <c r="FM86" s="180"/>
      <c r="FN86" s="16"/>
      <c r="FO86" s="16">
        <f>IFERROR(__xludf.DUMMYFUNCTION("""COMPUTED_VALUE"""),0.7296296296296296)</f>
        <v>0.7296296296</v>
      </c>
      <c r="FP86" s="16">
        <f>IFERROR(__xludf.DUMMYFUNCTION("""COMPUTED_VALUE"""),0.674074074074074)</f>
        <v>0.6740740741</v>
      </c>
      <c r="FQ86" s="16">
        <f>IFERROR(__xludf.DUMMYFUNCTION("""COMPUTED_VALUE"""),0.17499999999999996)</f>
        <v>0.175</v>
      </c>
      <c r="FR86" s="16"/>
      <c r="FS86" s="16"/>
      <c r="FT86" s="16"/>
      <c r="FU86" s="16"/>
      <c r="FV86" s="16"/>
      <c r="FW86" s="16">
        <f>IFERROR(__xludf.DUMMYFUNCTION("""COMPUTED_VALUE"""),-4.0)</f>
        <v>-4</v>
      </c>
      <c r="FX86" s="16">
        <f>IFERROR(__xludf.DUMMYFUNCTION("""COMPUTED_VALUE"""),-4.0)</f>
        <v>-4</v>
      </c>
      <c r="FY86" s="16">
        <f>IFERROR(__xludf.DUMMYFUNCTION("""COMPUTED_VALUE"""),-8.0)</f>
        <v>-8</v>
      </c>
      <c r="FZ86" s="16"/>
      <c r="GA86" s="16"/>
      <c r="GB86" s="16"/>
      <c r="GC86" s="16"/>
      <c r="GD86" s="16" t="s">
        <v>306</v>
      </c>
    </row>
    <row r="87">
      <c r="A87" s="16">
        <f>IFERROR(__xludf.DUMMYFUNCTION("""COMPUTED_VALUE"""),13459.0)</f>
        <v>13459</v>
      </c>
      <c r="B87" s="16" t="str">
        <f>IFERROR(__xludf.DUMMYFUNCTION("""COMPUTED_VALUE"""),"Tyler Stephenson")</f>
        <v>Tyler Stephenson</v>
      </c>
      <c r="C87" s="16">
        <f>IFERROR(__xludf.DUMMYFUNCTION("""COMPUTED_VALUE"""),1.35)</f>
        <v>1.35</v>
      </c>
      <c r="D87" s="16" t="str">
        <f>IFERROR(__xludf.DUMMYFUNCTION("""COMPUTED_VALUE"""),"R")</f>
        <v>R</v>
      </c>
      <c r="E87" s="16"/>
      <c r="F87" s="16"/>
      <c r="G87" s="16">
        <f>IFERROR(__xludf.DUMMYFUNCTION("""COMPUTED_VALUE"""),457.0)</f>
        <v>457</v>
      </c>
      <c r="H87" s="16">
        <f>IFERROR(__xludf.DUMMYFUNCTION("""COMPUTED_VALUE"""),48.0)</f>
        <v>48</v>
      </c>
      <c r="I87" s="16" t="str">
        <f>IFERROR(__xludf.DUMMYFUNCTION("""COMPUTED_VALUE"""),"1p65")</f>
        <v>1p65</v>
      </c>
      <c r="J87" s="16">
        <f>IFERROR(__xludf.DUMMYFUNCTION("""COMPUTED_VALUE"""),11.0)</f>
        <v>11</v>
      </c>
      <c r="K87" s="16">
        <f>IFERROR(__xludf.DUMMYFUNCTION("""COMPUTED_VALUE"""),29.0)</f>
        <v>29</v>
      </c>
      <c r="L87" s="16">
        <f>IFERROR(__xludf.DUMMYFUNCTION("""COMPUTED_VALUE"""),1.0)</f>
        <v>1</v>
      </c>
      <c r="M87" s="16">
        <f>IFERROR(__xludf.DUMMYFUNCTION("""COMPUTED_VALUE"""),0.0)</f>
        <v>0</v>
      </c>
      <c r="N87" s="16">
        <f>IFERROR(__xludf.DUMMYFUNCTION("""COMPUTED_VALUE"""),1.0)</f>
        <v>1</v>
      </c>
      <c r="O87" s="16">
        <f>IFERROR(__xludf.DUMMYFUNCTION("""COMPUTED_VALUE"""),0.0)</f>
        <v>0</v>
      </c>
      <c r="P87" s="16">
        <f>IFERROR(__xludf.DUMMYFUNCTION("""COMPUTED_VALUE"""),10.0)</f>
        <v>10</v>
      </c>
      <c r="Q87" s="16">
        <f>IFERROR(__xludf.DUMMYFUNCTION("""COMPUTED_VALUE"""),12.0)</f>
        <v>12</v>
      </c>
      <c r="R87" s="16">
        <f>IFERROR(__xludf.DUMMYFUNCTION("""COMPUTED_VALUE"""),1.0)</f>
        <v>1</v>
      </c>
      <c r="S87" s="16">
        <f>IFERROR(__xludf.DUMMYFUNCTION("""COMPUTED_VALUE"""),1.0)</f>
        <v>1</v>
      </c>
      <c r="T87" s="16">
        <f>IFERROR(__xludf.DUMMYFUNCTION("""COMPUTED_VALUE"""),1.0)</f>
        <v>1</v>
      </c>
      <c r="U87" s="16">
        <f>IFERROR(__xludf.DUMMYFUNCTION("""COMPUTED_VALUE"""),1.0)</f>
        <v>1</v>
      </c>
      <c r="V87" s="16">
        <f>IFERROR(__xludf.DUMMYFUNCTION("""COMPUTED_VALUE"""),15.1)</f>
        <v>15.1</v>
      </c>
      <c r="W87" s="16">
        <f>IFERROR(__xludf.DUMMYFUNCTION("""COMPUTED_VALUE"""),22.1)</f>
        <v>22.1</v>
      </c>
      <c r="X87" s="16">
        <f>IFERROR(__xludf.DUMMYFUNCTION("""COMPUTED_VALUE"""),-1.0)</f>
        <v>-1</v>
      </c>
      <c r="Y87" s="16">
        <f>IFERROR(__xludf.DUMMYFUNCTION("""COMPUTED_VALUE"""),0.0)</f>
        <v>0</v>
      </c>
      <c r="Z87" s="16">
        <f>IFERROR(__xludf.DUMMYFUNCTION("""COMPUTED_VALUE"""),-2.0)</f>
        <v>-2</v>
      </c>
      <c r="AA87" s="16">
        <f>IFERROR(__xludf.DUMMYFUNCTION("""COMPUTED_VALUE"""),0.0)</f>
        <v>0</v>
      </c>
      <c r="AB87" s="16">
        <f>IFERROR(__xludf.DUMMYFUNCTION("""COMPUTED_VALUE"""),29.1)</f>
        <v>29.1</v>
      </c>
      <c r="AC87" s="16">
        <f>IFERROR(__xludf.DUMMYFUNCTION("""COMPUTED_VALUE"""),38.1)</f>
        <v>38.1</v>
      </c>
      <c r="AD87" s="16">
        <f>IFERROR(__xludf.DUMMYFUNCTION("""COMPUTED_VALUE"""),0.0)</f>
        <v>0</v>
      </c>
      <c r="AE87" s="16">
        <f>IFERROR(__xludf.DUMMYFUNCTION("""COMPUTED_VALUE"""),1.0)</f>
        <v>1</v>
      </c>
      <c r="AF87" s="16">
        <f>IFERROR(__xludf.DUMMYFUNCTION("""COMPUTED_VALUE"""),0.0)</f>
        <v>0</v>
      </c>
      <c r="AG87" s="16">
        <f>IFERROR(__xludf.DUMMYFUNCTION("""COMPUTED_VALUE"""),5.0)</f>
        <v>5</v>
      </c>
      <c r="AH87" s="16">
        <f>IFERROR(__xludf.DUMMYFUNCTION("""COMPUTED_VALUE"""),33.5)</f>
        <v>33.5</v>
      </c>
      <c r="AI87" s="16">
        <f>IFERROR(__xludf.DUMMYFUNCTION("""COMPUTED_VALUE"""),34.4)</f>
        <v>34.4</v>
      </c>
      <c r="AJ87" s="16">
        <f>IFERROR(__xludf.DUMMYFUNCTION("""COMPUTED_VALUE"""),0.0)</f>
        <v>0</v>
      </c>
      <c r="AK87" s="16">
        <f>IFERROR(__xludf.DUMMYFUNCTION("""COMPUTED_VALUE"""),0.0)</f>
        <v>0</v>
      </c>
      <c r="AL87" s="16">
        <f>IFERROR(__xludf.DUMMYFUNCTION("""COMPUTED_VALUE"""),0.0)</f>
        <v>0</v>
      </c>
      <c r="AM87" s="16">
        <f>IFERROR(__xludf.DUMMYFUNCTION("""COMPUTED_VALUE"""),0.0)</f>
        <v>0</v>
      </c>
      <c r="AN87" s="16">
        <f>IFERROR(__xludf.DUMMYFUNCTION("""COMPUTED_VALUE"""),4.8)</f>
        <v>4.8</v>
      </c>
      <c r="AO87" s="16">
        <f>IFERROR(__xludf.DUMMYFUNCTION("""COMPUTED_VALUE"""),1.8)</f>
        <v>1.8</v>
      </c>
      <c r="AP87" s="16">
        <f>IFERROR(__xludf.DUMMYFUNCTION("""COMPUTED_VALUE"""),3.0)</f>
        <v>3</v>
      </c>
      <c r="AQ87" s="16">
        <f>IFERROR(__xludf.DUMMYFUNCTION("""COMPUTED_VALUE"""),-1.0)</f>
        <v>-1</v>
      </c>
      <c r="AR87" s="16">
        <f>IFERROR(__xludf.DUMMYFUNCTION("""COMPUTED_VALUE"""),6.0)</f>
        <v>6</v>
      </c>
      <c r="AS87" s="16">
        <f>IFERROR(__xludf.DUMMYFUNCTION("""COMPUTED_VALUE"""),-2.0)</f>
        <v>-2</v>
      </c>
      <c r="AT87" s="16">
        <f>IFERROR(__xludf.DUMMYFUNCTION("""COMPUTED_VALUE"""),6.0)</f>
        <v>6</v>
      </c>
      <c r="AU87" s="16">
        <f>IFERROR(__xludf.DUMMYFUNCTION("""COMPUTED_VALUE"""),2.0)</f>
        <v>2</v>
      </c>
      <c r="AV87" s="16">
        <f>IFERROR(__xludf.DUMMYFUNCTION("""COMPUTED_VALUE"""),6.0)</f>
        <v>6</v>
      </c>
      <c r="AW87" s="16">
        <f>IFERROR(__xludf.DUMMYFUNCTION("""COMPUTED_VALUE"""),2.0)</f>
        <v>2</v>
      </c>
      <c r="AX87" s="16">
        <f>IFERROR(__xludf.DUMMYFUNCTION("""COMPUTED_VALUE"""),3.0)</f>
        <v>3</v>
      </c>
      <c r="AY87" s="16">
        <f>IFERROR(__xludf.DUMMYFUNCTION("""COMPUTED_VALUE"""),0.0)</f>
        <v>0</v>
      </c>
      <c r="AZ87" s="16">
        <f>IFERROR(__xludf.DUMMYFUNCTION("""COMPUTED_VALUE"""),9.0)</f>
        <v>9</v>
      </c>
      <c r="BA87" s="16">
        <f>IFERROR(__xludf.DUMMYFUNCTION("""COMPUTED_VALUE"""),0.0)</f>
        <v>0</v>
      </c>
      <c r="BB87" s="16">
        <f>IFERROR(__xludf.DUMMYFUNCTION("""COMPUTED_VALUE"""),5.0)</f>
        <v>5</v>
      </c>
      <c r="BC87" s="16">
        <f>IFERROR(__xludf.DUMMYFUNCTION("""COMPUTED_VALUE"""),5.0)</f>
        <v>5</v>
      </c>
      <c r="BD87" s="16">
        <f>IFERROR(__xludf.DUMMYFUNCTION("""COMPUTED_VALUE"""),1.0)</f>
        <v>1</v>
      </c>
      <c r="BE87" s="16">
        <f>IFERROR(__xludf.DUMMYFUNCTION("""COMPUTED_VALUE"""),1.0)</f>
        <v>1</v>
      </c>
      <c r="BF87" s="16">
        <f>IFERROR(__xludf.DUMMYFUNCTION("""COMPUTED_VALUE"""),1.0)</f>
        <v>1</v>
      </c>
      <c r="BG87" s="16">
        <f>IFERROR(__xludf.DUMMYFUNCTION("""COMPUTED_VALUE"""),1.0)</f>
        <v>1</v>
      </c>
      <c r="BH87" s="16">
        <f>IFERROR(__xludf.DUMMYFUNCTION("""COMPUTED_VALUE"""),-2.0)</f>
        <v>-2</v>
      </c>
      <c r="BI87" s="16">
        <f>IFERROR(__xludf.DUMMYFUNCTION("""COMPUTED_VALUE"""),-2.0)</f>
        <v>-2</v>
      </c>
      <c r="BJ87" s="16">
        <f>IFERROR(__xludf.DUMMYFUNCTION("""COMPUTED_VALUE"""),14.0)</f>
        <v>14</v>
      </c>
      <c r="BK87" s="16">
        <f>IFERROR(__xludf.DUMMYFUNCTION("""COMPUTED_VALUE"""),14.0)</f>
        <v>14</v>
      </c>
      <c r="BL87" s="16">
        <f>IFERROR(__xludf.DUMMYFUNCTION("""COMPUTED_VALUE"""),0.0)</f>
        <v>0</v>
      </c>
      <c r="BM87" s="16">
        <f>IFERROR(__xludf.DUMMYFUNCTION("""COMPUTED_VALUE"""),0.0)</f>
        <v>0</v>
      </c>
      <c r="BN87" s="16">
        <f>IFERROR(__xludf.DUMMYFUNCTION("""COMPUTED_VALUE"""),0.0)</f>
        <v>0</v>
      </c>
      <c r="BO87" s="16">
        <f>IFERROR(__xludf.DUMMYFUNCTION("""COMPUTED_VALUE"""),0.0)</f>
        <v>0</v>
      </c>
      <c r="BP87" s="16">
        <f>IFERROR(__xludf.DUMMYFUNCTION("""COMPUTED_VALUE"""),8.0)</f>
        <v>8</v>
      </c>
      <c r="BQ87" s="16">
        <f>IFERROR(__xludf.DUMMYFUNCTION("""COMPUTED_VALUE"""),2.0)</f>
        <v>2</v>
      </c>
      <c r="BR87" s="16">
        <f>IFERROR(__xludf.DUMMYFUNCTION("""COMPUTED_VALUE"""),10.0)</f>
        <v>10</v>
      </c>
      <c r="BS87" s="16" t="str">
        <f>IFERROR(__xludf.DUMMYFUNCTION("""COMPUTED_VALUE"""),"2/- (20-6)")</f>
        <v>2/- (20-6)</v>
      </c>
      <c r="BT87" s="16" t="str">
        <f>IFERROR(__xludf.DUMMYFUNCTION("""COMPUTED_VALUE"""),"E")</f>
        <v>E</v>
      </c>
      <c r="BU87" s="16">
        <f>IFERROR(__xludf.DUMMYFUNCTION("""COMPUTED_VALUE"""),11.0)</f>
        <v>11</v>
      </c>
      <c r="BV87" s="16">
        <f>IFERROR(__xludf.DUMMYFUNCTION("""COMPUTED_VALUE"""),0.0)</f>
        <v>0</v>
      </c>
      <c r="BW87" s="16">
        <f>IFERROR(__xludf.DUMMYFUNCTION("""COMPUTED_VALUE"""),0.0)</f>
        <v>0</v>
      </c>
      <c r="BX87" s="16">
        <f>IFERROR(__xludf.DUMMYFUNCTION("""COMPUTED_VALUE"""),0.0)</f>
        <v>0</v>
      </c>
      <c r="BY87" s="16">
        <f>IFERROR(__xludf.DUMMYFUNCTION("""COMPUTED_VALUE"""),0.0)</f>
        <v>0</v>
      </c>
      <c r="BZ87" s="16" t="str">
        <f>IFERROR(__xludf.DUMMYFUNCTION("""COMPUTED_VALUE"""),"D")</f>
        <v>D</v>
      </c>
      <c r="CA87" s="16" t="str">
        <f>IFERROR(__xludf.DUMMYFUNCTION("""COMPUTED_VALUE"""),"C")</f>
        <v>C</v>
      </c>
      <c r="CB87" s="16">
        <f>IFERROR(__xludf.DUMMYFUNCTION("""COMPUTED_VALUE"""),0.0)</f>
        <v>0</v>
      </c>
      <c r="CC87" s="16">
        <f>IFERROR(__xludf.DUMMYFUNCTION("""COMPUTED_VALUE"""),0.0)</f>
        <v>0</v>
      </c>
      <c r="CD87" s="16">
        <f>IFERROR(__xludf.DUMMYFUNCTION("""COMPUTED_VALUE"""),0.0)</f>
        <v>0</v>
      </c>
      <c r="CE87" s="16">
        <f>IFERROR(__xludf.DUMMYFUNCTION("""COMPUTED_VALUE"""),0.0)</f>
        <v>0</v>
      </c>
      <c r="CF87" s="16">
        <f>IFERROR(__xludf.DUMMYFUNCTION("""COMPUTED_VALUE"""),1.0)</f>
        <v>1</v>
      </c>
      <c r="CG87" s="16">
        <f>IFERROR(__xludf.DUMMYFUNCTION("""COMPUTED_VALUE"""),16.0)</f>
        <v>16</v>
      </c>
      <c r="CH87" s="16">
        <f>IFERROR(__xludf.DUMMYFUNCTION("""COMPUTED_VALUE"""),5.0)</f>
        <v>5</v>
      </c>
      <c r="CI87" s="179">
        <f>IFERROR(__xludf.DUMMYFUNCTION("""COMPUTED_VALUE"""),14.0)</f>
        <v>14</v>
      </c>
      <c r="CJ87" s="16">
        <f>IFERROR(__xludf.DUMMYFUNCTION("""COMPUTED_VALUE"""),201.0)</f>
        <v>201</v>
      </c>
      <c r="CK87" s="16"/>
      <c r="CL87" s="16"/>
      <c r="CM87" s="16"/>
      <c r="CN87" s="16"/>
      <c r="CO87" s="16"/>
      <c r="CP87" s="16"/>
      <c r="CQ87" s="16"/>
      <c r="CR87" s="16" t="str">
        <f>IFERROR(__xludf.DUMMYFUNCTION("""COMPUTED_VALUE"""),"c-2(-1)e1,T-5(pb-1)")</f>
        <v>c-2(-1)e1,T-5(pb-1)</v>
      </c>
      <c r="CS87" s="16">
        <f>IFERROR(__xludf.DUMMYFUNCTION("""COMPUTED_VALUE"""),2.0)</f>
        <v>2</v>
      </c>
      <c r="CT87" s="16"/>
      <c r="CU87" s="16"/>
      <c r="CV87" s="16"/>
      <c r="CW87" s="16"/>
      <c r="CX87" s="16"/>
      <c r="CY87" s="16"/>
      <c r="CZ87" s="16"/>
      <c r="DA87" s="16">
        <f>IFERROR(__xludf.DUMMYFUNCTION("""COMPUTED_VALUE"""),1.0)</f>
        <v>1</v>
      </c>
      <c r="DB87" s="16"/>
      <c r="DC87" s="16"/>
      <c r="DD87" s="16"/>
      <c r="DE87" s="16"/>
      <c r="DF87" s="16"/>
      <c r="DG87" s="16"/>
      <c r="DH87" s="16"/>
      <c r="DI87" s="16">
        <f>IFERROR(__xludf.DUMMYFUNCTION("""COMPUTED_VALUE"""),2.0)</f>
        <v>2</v>
      </c>
      <c r="DJ87" s="16"/>
      <c r="DK87" s="16"/>
      <c r="DL87" s="16"/>
      <c r="DM87" s="16"/>
      <c r="DN87" s="16"/>
      <c r="DO87" s="16"/>
      <c r="DP87" s="16"/>
      <c r="DQ87" s="16">
        <f>IFERROR(__xludf.DUMMYFUNCTION("""COMPUTED_VALUE"""),4.0)</f>
        <v>4</v>
      </c>
      <c r="DR87" s="16"/>
      <c r="DS87" s="16"/>
      <c r="DT87" s="16"/>
      <c r="DU87" s="16"/>
      <c r="DV87" s="16"/>
      <c r="DW87" s="16"/>
      <c r="DX87" s="16"/>
      <c r="DY87" s="16">
        <f>IFERROR(__xludf.DUMMYFUNCTION("""COMPUTED_VALUE"""),6.0)</f>
        <v>6</v>
      </c>
      <c r="DZ87" s="16"/>
      <c r="EA87" s="16"/>
      <c r="EB87" s="16"/>
      <c r="EC87" s="16"/>
      <c r="ED87" s="16"/>
      <c r="EE87" s="16"/>
      <c r="EF87" s="16"/>
      <c r="EG87" s="179">
        <f>IFERROR(__xludf.DUMMYFUNCTION("""COMPUTED_VALUE"""),19.0)</f>
        <v>19</v>
      </c>
      <c r="EH87" s="179"/>
      <c r="EI87" s="179"/>
      <c r="EJ87" s="179"/>
      <c r="EK87" s="179"/>
      <c r="EL87" s="179"/>
      <c r="EM87" s="179"/>
      <c r="EN87" s="179"/>
      <c r="EO87" s="16">
        <f>IFERROR(__xludf.DUMMYFUNCTION("""COMPUTED_VALUE"""),-1.0)</f>
        <v>-1</v>
      </c>
      <c r="EP87" s="16"/>
      <c r="EQ87" s="16">
        <f>IFERROR(__xludf.DUMMYFUNCTION("""COMPUTED_VALUE"""),4.0)</f>
        <v>4</v>
      </c>
      <c r="ER87" s="16">
        <f>IFERROR(__xludf.DUMMYFUNCTION("""COMPUTED_VALUE"""),2.0)</f>
        <v>2</v>
      </c>
      <c r="ES87" s="16" t="str">
        <f>IFERROR(__xludf.DUMMYFUNCTION("""COMPUTED_VALUE"""),"c-2")</f>
        <v>c-2</v>
      </c>
      <c r="ET87" s="16" t="str">
        <f>IFERROR(__xludf.DUMMYFUNCTION("""COMPUTED_VALUE"""),"-1)e1,T-5")</f>
        <v>-1)e1,T-5</v>
      </c>
      <c r="EU87" s="16" t="str">
        <f>IFERROR(__xludf.DUMMYFUNCTION("""COMPUTED_VALUE"""),"pb-1)")</f>
        <v>pb-1)</v>
      </c>
      <c r="EV87" s="16"/>
      <c r="EW87" s="16">
        <f>IFERROR(__xludf.DUMMYFUNCTION("""COMPUTED_VALUE"""),-1.0)</f>
        <v>-1</v>
      </c>
      <c r="EX87" s="180">
        <f>IFERROR(__xludf.DUMMYFUNCTION("""COMPUTED_VALUE"""),0.1)</f>
        <v>0.1</v>
      </c>
      <c r="EY87" s="180"/>
      <c r="EZ87" s="180"/>
      <c r="FA87" s="180"/>
      <c r="FB87" s="180"/>
      <c r="FC87" s="180"/>
      <c r="FD87" s="180"/>
      <c r="FE87" s="180"/>
      <c r="FF87" s="180">
        <f>IFERROR(__xludf.DUMMYFUNCTION("""COMPUTED_VALUE"""),0.014)</f>
        <v>0.014</v>
      </c>
      <c r="FG87" s="180"/>
      <c r="FH87" s="180"/>
      <c r="FI87" s="180"/>
      <c r="FJ87" s="180"/>
      <c r="FK87" s="180"/>
      <c r="FL87" s="180"/>
      <c r="FM87" s="180"/>
      <c r="FN87" s="16">
        <f>IFERROR(__xludf.DUMMYFUNCTION("""COMPUTED_VALUE"""),0.8874)</f>
        <v>0.8874</v>
      </c>
      <c r="FO87" s="16"/>
      <c r="FP87" s="16"/>
      <c r="FQ87" s="16"/>
      <c r="FR87" s="16"/>
      <c r="FS87" s="16"/>
      <c r="FT87" s="16"/>
      <c r="FU87" s="16"/>
      <c r="FV87" s="16">
        <f>IFERROR(__xludf.DUMMYFUNCTION("""COMPUTED_VALUE"""),5.0)</f>
        <v>5</v>
      </c>
      <c r="FW87" s="16"/>
      <c r="FX87" s="16"/>
      <c r="FY87" s="16"/>
      <c r="FZ87" s="16"/>
      <c r="GA87" s="16"/>
      <c r="GB87" s="16"/>
      <c r="GC87" s="16"/>
      <c r="GD87" s="16" t="s">
        <v>361</v>
      </c>
    </row>
    <row r="88">
      <c r="A88" s="16">
        <f>IFERROR(__xludf.DUMMYFUNCTION("""COMPUTED_VALUE"""),12958.0)</f>
        <v>12958</v>
      </c>
      <c r="B88" s="16" t="str">
        <f>IFERROR(__xludf.DUMMYFUNCTION("""COMPUTED_VALUE"""),"Jhonkensy Noel")</f>
        <v>Jhonkensy Noel</v>
      </c>
      <c r="C88" s="16">
        <f>IFERROR(__xludf.DUMMYFUNCTION("""COMPUTED_VALUE"""),1.46)</f>
        <v>1.46</v>
      </c>
      <c r="D88" s="16" t="str">
        <f>IFERROR(__xludf.DUMMYFUNCTION("""COMPUTED_VALUE"""),"R")</f>
        <v>R</v>
      </c>
      <c r="E88" s="16"/>
      <c r="F88" s="16"/>
      <c r="G88" s="16">
        <f>IFERROR(__xludf.DUMMYFUNCTION("""COMPUTED_VALUE"""),179.0)</f>
        <v>179</v>
      </c>
      <c r="H88" s="16">
        <f>IFERROR(__xludf.DUMMYFUNCTION("""COMPUTED_VALUE"""),13.0)</f>
        <v>13</v>
      </c>
      <c r="I88" s="16" t="str">
        <f>IFERROR(__xludf.DUMMYFUNCTION("""COMPUTED_VALUE"""),"1p30")</f>
        <v>1p30</v>
      </c>
      <c r="J88" s="16">
        <f>IFERROR(__xludf.DUMMYFUNCTION("""COMPUTED_VALUE"""),33.0)</f>
        <v>33</v>
      </c>
      <c r="K88" s="16">
        <f>IFERROR(__xludf.DUMMYFUNCTION("""COMPUTED_VALUE"""),45.0)</f>
        <v>45</v>
      </c>
      <c r="L88" s="16">
        <f>IFERROR(__xludf.DUMMYFUNCTION("""COMPUTED_VALUE"""),-1.0)</f>
        <v>-1</v>
      </c>
      <c r="M88" s="16">
        <f>IFERROR(__xludf.DUMMYFUNCTION("""COMPUTED_VALUE"""),-2.0)</f>
        <v>-2</v>
      </c>
      <c r="N88" s="16">
        <f>IFERROR(__xludf.DUMMYFUNCTION("""COMPUTED_VALUE"""),-1.0)</f>
        <v>-1</v>
      </c>
      <c r="O88" s="16">
        <f>IFERROR(__xludf.DUMMYFUNCTION("""COMPUTED_VALUE"""),-2.0)</f>
        <v>-2</v>
      </c>
      <c r="P88" s="16">
        <f>IFERROR(__xludf.DUMMYFUNCTION("""COMPUTED_VALUE"""),5.0)</f>
        <v>5</v>
      </c>
      <c r="Q88" s="16">
        <f>IFERROR(__xludf.DUMMYFUNCTION("""COMPUTED_VALUE"""),7.0)</f>
        <v>7</v>
      </c>
      <c r="R88" s="16">
        <f>IFERROR(__xludf.DUMMYFUNCTION("""COMPUTED_VALUE"""),-1.0)</f>
        <v>-1</v>
      </c>
      <c r="S88" s="16">
        <f>IFERROR(__xludf.DUMMYFUNCTION("""COMPUTED_VALUE"""),-1.0)</f>
        <v>-1</v>
      </c>
      <c r="T88" s="16">
        <f>IFERROR(__xludf.DUMMYFUNCTION("""COMPUTED_VALUE"""),-1.0)</f>
        <v>-1</v>
      </c>
      <c r="U88" s="16">
        <f>IFERROR(__xludf.DUMMYFUNCTION("""COMPUTED_VALUE"""),-1.0)</f>
        <v>-1</v>
      </c>
      <c r="V88" s="16">
        <f>IFERROR(__xludf.DUMMYFUNCTION("""COMPUTED_VALUE"""),20.6)</f>
        <v>20.6</v>
      </c>
      <c r="W88" s="16">
        <f>IFERROR(__xludf.DUMMYFUNCTION("""COMPUTED_VALUE"""),9.9)</f>
        <v>9.9</v>
      </c>
      <c r="X88" s="16">
        <f>IFERROR(__xludf.DUMMYFUNCTION("""COMPUTED_VALUE"""),0.0)</f>
        <v>0</v>
      </c>
      <c r="Y88" s="16">
        <f>IFERROR(__xludf.DUMMYFUNCTION("""COMPUTED_VALUE"""),-2.0)</f>
        <v>-2</v>
      </c>
      <c r="Z88" s="16">
        <f>IFERROR(__xludf.DUMMYFUNCTION("""COMPUTED_VALUE"""),0.0)</f>
        <v>0</v>
      </c>
      <c r="AA88" s="16">
        <f>IFERROR(__xludf.DUMMYFUNCTION("""COMPUTED_VALUE"""),-4.0)</f>
        <v>-4</v>
      </c>
      <c r="AB88" s="16">
        <f>IFERROR(__xludf.DUMMYFUNCTION("""COMPUTED_VALUE"""),31.6)</f>
        <v>31.6</v>
      </c>
      <c r="AC88" s="16">
        <f>IFERROR(__xludf.DUMMYFUNCTION("""COMPUTED_VALUE"""),22.9)</f>
        <v>22.9</v>
      </c>
      <c r="AD88" s="16">
        <f>IFERROR(__xludf.DUMMYFUNCTION("""COMPUTED_VALUE"""),0.0)</f>
        <v>0</v>
      </c>
      <c r="AE88" s="16">
        <f>IFERROR(__xludf.DUMMYFUNCTION("""COMPUTED_VALUE"""),-1.0)</f>
        <v>-1</v>
      </c>
      <c r="AF88" s="16">
        <f>IFERROR(__xludf.DUMMYFUNCTION("""COMPUTED_VALUE"""),0.0)</f>
        <v>0</v>
      </c>
      <c r="AG88" s="16">
        <f>IFERROR(__xludf.DUMMYFUNCTION("""COMPUTED_VALUE"""),-5.0)</f>
        <v>-5</v>
      </c>
      <c r="AH88" s="16">
        <f>IFERROR(__xludf.DUMMYFUNCTION("""COMPUTED_VALUE"""),67.6)</f>
        <v>67.6</v>
      </c>
      <c r="AI88" s="16">
        <f>IFERROR(__xludf.DUMMYFUNCTION("""COMPUTED_VALUE"""),28.7)</f>
        <v>28.7</v>
      </c>
      <c r="AJ88" s="16">
        <f>IFERROR(__xludf.DUMMYFUNCTION("""COMPUTED_VALUE"""),3.0)</f>
        <v>3</v>
      </c>
      <c r="AK88" s="16">
        <f>IFERROR(__xludf.DUMMYFUNCTION("""COMPUTED_VALUE"""),0.0)</f>
        <v>0</v>
      </c>
      <c r="AL88" s="16">
        <f>IFERROR(__xludf.DUMMYFUNCTION("""COMPUTED_VALUE"""),15.0)</f>
        <v>15</v>
      </c>
      <c r="AM88" s="16">
        <f>IFERROR(__xludf.DUMMYFUNCTION("""COMPUTED_VALUE"""),0.0)</f>
        <v>0</v>
      </c>
      <c r="AN88" s="16">
        <f>IFERROR(__xludf.DUMMYFUNCTION("""COMPUTED_VALUE"""),14.0)</f>
        <v>14</v>
      </c>
      <c r="AO88" s="16">
        <f>IFERROR(__xludf.DUMMYFUNCTION("""COMPUTED_VALUE"""),5.0)</f>
        <v>5</v>
      </c>
      <c r="AP88" s="16">
        <f>IFERROR(__xludf.DUMMYFUNCTION("""COMPUTED_VALUE"""),3.0)</f>
        <v>3</v>
      </c>
      <c r="AQ88" s="16">
        <f>IFERROR(__xludf.DUMMYFUNCTION("""COMPUTED_VALUE"""),3.0)</f>
        <v>3</v>
      </c>
      <c r="AR88" s="16">
        <f>IFERROR(__xludf.DUMMYFUNCTION("""COMPUTED_VALUE"""),6.0)</f>
        <v>6</v>
      </c>
      <c r="AS88" s="16">
        <f>IFERROR(__xludf.DUMMYFUNCTION("""COMPUTED_VALUE"""),6.0)</f>
        <v>6</v>
      </c>
      <c r="AT88" s="16"/>
      <c r="AU88" s="16">
        <f>IFERROR(__xludf.DUMMYFUNCTION("""COMPUTED_VALUE"""),8.0)</f>
        <v>8</v>
      </c>
      <c r="AV88" s="16">
        <f>IFERROR(__xludf.DUMMYFUNCTION("""COMPUTED_VALUE"""),8.0)</f>
        <v>8</v>
      </c>
      <c r="AW88" s="16">
        <f>IFERROR(__xludf.DUMMYFUNCTION("""COMPUTED_VALUE"""),8.0)</f>
        <v>8</v>
      </c>
      <c r="AX88" s="16">
        <f>IFERROR(__xludf.DUMMYFUNCTION("""COMPUTED_VALUE"""),3.0)</f>
        <v>3</v>
      </c>
      <c r="AY88" s="16">
        <f>IFERROR(__xludf.DUMMYFUNCTION("""COMPUTED_VALUE"""),3.0)</f>
        <v>3</v>
      </c>
      <c r="AZ88" s="16">
        <f>IFERROR(__xludf.DUMMYFUNCTION("""COMPUTED_VALUE"""),9.0)</f>
        <v>9</v>
      </c>
      <c r="BA88" s="16">
        <f>IFERROR(__xludf.DUMMYFUNCTION("""COMPUTED_VALUE"""),9.0)</f>
        <v>9</v>
      </c>
      <c r="BB88" s="16">
        <f>IFERROR(__xludf.DUMMYFUNCTION("""COMPUTED_VALUE"""),0.0)</f>
        <v>0</v>
      </c>
      <c r="BC88" s="16">
        <f>IFERROR(__xludf.DUMMYFUNCTION("""COMPUTED_VALUE"""),5.0)</f>
        <v>5</v>
      </c>
      <c r="BD88" s="16">
        <f>IFERROR(__xludf.DUMMYFUNCTION("""COMPUTED_VALUE"""),0.0)</f>
        <v>0</v>
      </c>
      <c r="BE88" s="16">
        <f>IFERROR(__xludf.DUMMYFUNCTION("""COMPUTED_VALUE"""),1.0)</f>
        <v>1</v>
      </c>
      <c r="BF88" s="16">
        <f>IFERROR(__xludf.DUMMYFUNCTION("""COMPUTED_VALUE"""),0.0)</f>
        <v>0</v>
      </c>
      <c r="BG88" s="16">
        <f>IFERROR(__xludf.DUMMYFUNCTION("""COMPUTED_VALUE"""),1.0)</f>
        <v>1</v>
      </c>
      <c r="BH88" s="16">
        <f>IFERROR(__xludf.DUMMYFUNCTION("""COMPUTED_VALUE"""),0.0)</f>
        <v>0</v>
      </c>
      <c r="BI88" s="16">
        <f>IFERROR(__xludf.DUMMYFUNCTION("""COMPUTED_VALUE"""),-1.0)</f>
        <v>-1</v>
      </c>
      <c r="BJ88" s="16">
        <f>IFERROR(__xludf.DUMMYFUNCTION("""COMPUTED_VALUE"""),1.0)</f>
        <v>1</v>
      </c>
      <c r="BK88" s="16">
        <f>IFERROR(__xludf.DUMMYFUNCTION("""COMPUTED_VALUE"""),1.0)</f>
        <v>1</v>
      </c>
      <c r="BL88" s="16">
        <f>IFERROR(__xludf.DUMMYFUNCTION("""COMPUTED_VALUE"""),2.0)</f>
        <v>2</v>
      </c>
      <c r="BM88" s="16">
        <f>IFERROR(__xludf.DUMMYFUNCTION("""COMPUTED_VALUE"""),2.0)</f>
        <v>2</v>
      </c>
      <c r="BN88" s="16">
        <f>IFERROR(__xludf.DUMMYFUNCTION("""COMPUTED_VALUE"""),2.0)</f>
        <v>2</v>
      </c>
      <c r="BO88" s="16">
        <f>IFERROR(__xludf.DUMMYFUNCTION("""COMPUTED_VALUE"""),2.0)</f>
        <v>2</v>
      </c>
      <c r="BP88" s="16">
        <f>IFERROR(__xludf.DUMMYFUNCTION("""COMPUTED_VALUE"""),9.0)</f>
        <v>9</v>
      </c>
      <c r="BQ88" s="16">
        <f>IFERROR(__xludf.DUMMYFUNCTION("""COMPUTED_VALUE"""),3.0)</f>
        <v>3</v>
      </c>
      <c r="BR88" s="16">
        <f>IFERROR(__xludf.DUMMYFUNCTION("""COMPUTED_VALUE"""),12.0)</f>
        <v>12</v>
      </c>
      <c r="BS88" s="16" t="str">
        <f>IFERROR(__xludf.DUMMYFUNCTION("""COMPUTED_VALUE"""),"-/- (---)")</f>
        <v>-/- (---)</v>
      </c>
      <c r="BT88" s="16" t="str">
        <f>IFERROR(__xludf.DUMMYFUNCTION("""COMPUTED_VALUE"""),"E")</f>
        <v>E</v>
      </c>
      <c r="BU88" s="16">
        <f>IFERROR(__xludf.DUMMYFUNCTION("""COMPUTED_VALUE"""),10.0)</f>
        <v>10</v>
      </c>
      <c r="BV88" s="16">
        <f>IFERROR(__xludf.DUMMYFUNCTION("""COMPUTED_VALUE"""),0.0)</f>
        <v>0</v>
      </c>
      <c r="BW88" s="16">
        <f>IFERROR(__xludf.DUMMYFUNCTION("""COMPUTED_VALUE"""),0.0)</f>
        <v>0</v>
      </c>
      <c r="BX88" s="16">
        <f>IFERROR(__xludf.DUMMYFUNCTION("""COMPUTED_VALUE"""),0.0)</f>
        <v>0</v>
      </c>
      <c r="BY88" s="16">
        <f>IFERROR(__xludf.DUMMYFUNCTION("""COMPUTED_VALUE"""),0.0)</f>
        <v>0</v>
      </c>
      <c r="BZ88" s="16" t="str">
        <f>IFERROR(__xludf.DUMMYFUNCTION("""COMPUTED_VALUE"""),"D")</f>
        <v>D</v>
      </c>
      <c r="CA88" s="16" t="str">
        <f>IFERROR(__xludf.DUMMYFUNCTION("""COMPUTED_VALUE"""),"D")</f>
        <v>D</v>
      </c>
      <c r="CB88" s="16">
        <f>IFERROR(__xludf.DUMMYFUNCTION("""COMPUTED_VALUE"""),0.0)</f>
        <v>0</v>
      </c>
      <c r="CC88" s="16">
        <f>IFERROR(__xludf.DUMMYFUNCTION("""COMPUTED_VALUE"""),0.0)</f>
        <v>0</v>
      </c>
      <c r="CD88" s="16">
        <f>IFERROR(__xludf.DUMMYFUNCTION("""COMPUTED_VALUE"""),0.0)</f>
        <v>0</v>
      </c>
      <c r="CE88" s="16">
        <f>IFERROR(__xludf.DUMMYFUNCTION("""COMPUTED_VALUE"""),0.0)</f>
        <v>0</v>
      </c>
      <c r="CF88" s="16">
        <f>IFERROR(__xludf.DUMMYFUNCTION("""COMPUTED_VALUE"""),1.0)</f>
        <v>1</v>
      </c>
      <c r="CG88" s="16">
        <f>IFERROR(__xludf.DUMMYFUNCTION("""COMPUTED_VALUE"""),30.0)</f>
        <v>30</v>
      </c>
      <c r="CH88" s="16">
        <f>IFERROR(__xludf.DUMMYFUNCTION("""COMPUTED_VALUE"""),6.0)</f>
        <v>6</v>
      </c>
      <c r="CI88" s="179">
        <f>IFERROR(__xludf.DUMMYFUNCTION("""COMPUTED_VALUE"""),14.0)</f>
        <v>14</v>
      </c>
      <c r="CJ88" s="16"/>
      <c r="CK88" s="16">
        <f>IFERROR(__xludf.DUMMYFUNCTION("""COMPUTED_VALUE"""),413.0)</f>
        <v>413</v>
      </c>
      <c r="CL88" s="16"/>
      <c r="CM88" s="16"/>
      <c r="CN88" s="16"/>
      <c r="CO88" s="16"/>
      <c r="CP88" s="16"/>
      <c r="CQ88" s="16">
        <f>IFERROR(__xludf.DUMMYFUNCTION("""COMPUTED_VALUE"""),402.0)</f>
        <v>402</v>
      </c>
      <c r="CR88" s="16" t="str">
        <f>IFERROR(__xludf.DUMMYFUNCTION("""COMPUTED_VALUE"""),"rf-4(-1)e2 1b-4e13")</f>
        <v>rf-4(-1)e2 1b-4e13</v>
      </c>
      <c r="CS88" s="16"/>
      <c r="CT88" s="16">
        <f>IFERROR(__xludf.DUMMYFUNCTION("""COMPUTED_VALUE"""),4.0)</f>
        <v>4</v>
      </c>
      <c r="CU88" s="16"/>
      <c r="CV88" s="16"/>
      <c r="CW88" s="16"/>
      <c r="CX88" s="16"/>
      <c r="CY88" s="16"/>
      <c r="CZ88" s="16">
        <f>IFERROR(__xludf.DUMMYFUNCTION("""COMPUTED_VALUE"""),4.0)</f>
        <v>4</v>
      </c>
      <c r="DA88" s="16"/>
      <c r="DB88" s="16">
        <f>IFERROR(__xludf.DUMMYFUNCTION("""COMPUTED_VALUE"""),13.0)</f>
        <v>13</v>
      </c>
      <c r="DC88" s="16"/>
      <c r="DD88" s="16"/>
      <c r="DE88" s="16"/>
      <c r="DF88" s="16"/>
      <c r="DG88" s="16"/>
      <c r="DH88" s="16">
        <f>IFERROR(__xludf.DUMMYFUNCTION("""COMPUTED_VALUE"""),2.0)</f>
        <v>2</v>
      </c>
      <c r="DI88" s="16"/>
      <c r="DJ88" s="16">
        <f>IFERROR(__xludf.DUMMYFUNCTION("""COMPUTED_VALUE"""),0.0)</f>
        <v>0</v>
      </c>
      <c r="DK88" s="16"/>
      <c r="DL88" s="16"/>
      <c r="DM88" s="16"/>
      <c r="DN88" s="16"/>
      <c r="DO88" s="16"/>
      <c r="DP88" s="16">
        <f>IFERROR(__xludf.DUMMYFUNCTION("""COMPUTED_VALUE"""),-1.0)</f>
        <v>-1</v>
      </c>
      <c r="DQ88" s="16"/>
      <c r="DR88" s="16">
        <f>IFERROR(__xludf.DUMMYFUNCTION("""COMPUTED_VALUE"""),1.0)</f>
        <v>1</v>
      </c>
      <c r="DS88" s="16"/>
      <c r="DT88" s="16"/>
      <c r="DU88" s="16"/>
      <c r="DV88" s="16"/>
      <c r="DW88" s="16"/>
      <c r="DX88" s="16">
        <f>IFERROR(__xludf.DUMMYFUNCTION("""COMPUTED_VALUE"""),4.0)</f>
        <v>4</v>
      </c>
      <c r="DY88" s="16"/>
      <c r="DZ88" s="16">
        <f>IFERROR(__xludf.DUMMYFUNCTION("""COMPUTED_VALUE"""),1.0)</f>
        <v>1</v>
      </c>
      <c r="EA88" s="16"/>
      <c r="EB88" s="16"/>
      <c r="EC88" s="16"/>
      <c r="ED88" s="16"/>
      <c r="EE88" s="16"/>
      <c r="EF88" s="16">
        <f>IFERROR(__xludf.DUMMYFUNCTION("""COMPUTED_VALUE"""),3.0)</f>
        <v>3</v>
      </c>
      <c r="EG88" s="179"/>
      <c r="EH88" s="179">
        <f>IFERROR(__xludf.DUMMYFUNCTION("""COMPUTED_VALUE"""),15.0)</f>
        <v>15</v>
      </c>
      <c r="EI88" s="179"/>
      <c r="EJ88" s="179"/>
      <c r="EK88" s="179"/>
      <c r="EL88" s="179"/>
      <c r="EM88" s="179"/>
      <c r="EN88" s="179">
        <f>IFERROR(__xludf.DUMMYFUNCTION("""COMPUTED_VALUE"""),17.0)</f>
        <v>17</v>
      </c>
      <c r="EO88" s="16"/>
      <c r="EP88" s="16">
        <f>IFERROR(__xludf.DUMMYFUNCTION("""COMPUTED_VALUE"""),-2.0)</f>
        <v>-2</v>
      </c>
      <c r="EQ88" s="16">
        <f>IFERROR(__xludf.DUMMYFUNCTION("""COMPUTED_VALUE"""),4.0)</f>
        <v>4</v>
      </c>
      <c r="ER88" s="16">
        <f>IFERROR(__xludf.DUMMYFUNCTION("""COMPUTED_VALUE"""),-2.0)</f>
        <v>-2</v>
      </c>
      <c r="ES88" s="16"/>
      <c r="ET88" s="16"/>
      <c r="EU88" s="16"/>
      <c r="EV88" s="16"/>
      <c r="EW88" s="16"/>
      <c r="EX88" s="180"/>
      <c r="EY88" s="180">
        <f>IFERROR(__xludf.DUMMYFUNCTION("""COMPUTED_VALUE"""),0.3)</f>
        <v>0.3</v>
      </c>
      <c r="EZ88" s="180"/>
      <c r="FA88" s="180"/>
      <c r="FB88" s="180"/>
      <c r="FC88" s="180"/>
      <c r="FD88" s="180"/>
      <c r="FE88" s="180">
        <f>IFERROR(__xludf.DUMMYFUNCTION("""COMPUTED_VALUE"""),0.55)</f>
        <v>0.55</v>
      </c>
      <c r="FF88" s="180"/>
      <c r="FG88" s="180">
        <f>IFERROR(__xludf.DUMMYFUNCTION("""COMPUTED_VALUE"""),0.2361111111111111)</f>
        <v>0.2361111111</v>
      </c>
      <c r="FH88" s="180"/>
      <c r="FI88" s="180"/>
      <c r="FJ88" s="180"/>
      <c r="FK88" s="180"/>
      <c r="FL88" s="180"/>
      <c r="FM88" s="180">
        <f>IFERROR(__xludf.DUMMYFUNCTION("""COMPUTED_VALUE"""),0.037)</f>
        <v>0.037</v>
      </c>
      <c r="FN88" s="16"/>
      <c r="FO88" s="16">
        <f>IFERROR(__xludf.DUMMYFUNCTION("""COMPUTED_VALUE"""),0.5347222222222221)</f>
        <v>0.5347222222</v>
      </c>
      <c r="FP88" s="16"/>
      <c r="FQ88" s="16"/>
      <c r="FR88" s="16"/>
      <c r="FS88" s="16"/>
      <c r="FT88" s="16"/>
      <c r="FU88" s="16">
        <f>IFERROR(__xludf.DUMMYFUNCTION("""COMPUTED_VALUE"""),0.43334999999999996)</f>
        <v>0.43335</v>
      </c>
      <c r="FV88" s="16"/>
      <c r="FW88" s="16">
        <f>IFERROR(__xludf.DUMMYFUNCTION("""COMPUTED_VALUE"""),-8.0)</f>
        <v>-8</v>
      </c>
      <c r="FX88" s="16"/>
      <c r="FY88" s="16"/>
      <c r="FZ88" s="16"/>
      <c r="GA88" s="16"/>
      <c r="GB88" s="16"/>
      <c r="GC88" s="16">
        <f>IFERROR(__xludf.DUMMYFUNCTION("""COMPUTED_VALUE"""),-6.0)</f>
        <v>-6</v>
      </c>
      <c r="GD88" s="16" t="s">
        <v>215</v>
      </c>
    </row>
    <row r="89">
      <c r="A89" s="16">
        <f>IFERROR(__xludf.DUMMYFUNCTION("""COMPUTED_VALUE"""),13351.0)</f>
        <v>13351</v>
      </c>
      <c r="B89" s="16" t="str">
        <f>IFERROR(__xludf.DUMMYFUNCTION("""COMPUTED_VALUE"""),"Sam Hilliard")</f>
        <v>Sam Hilliard</v>
      </c>
      <c r="C89" s="16">
        <f>IFERROR(__xludf.DUMMYFUNCTION("""COMPUTED_VALUE"""),0.92)</f>
        <v>0.92</v>
      </c>
      <c r="D89" s="16" t="str">
        <f>IFERROR(__xludf.DUMMYFUNCTION("""COMPUTED_VALUE"""),"L")</f>
        <v>L</v>
      </c>
      <c r="E89" s="16"/>
      <c r="F89" s="16"/>
      <c r="G89" s="16">
        <f>IFERROR(__xludf.DUMMYFUNCTION("""COMPUTED_VALUE"""),138.0)</f>
        <v>138</v>
      </c>
      <c r="H89" s="16">
        <f>IFERROR(__xludf.DUMMYFUNCTION("""COMPUTED_VALUE"""),14.0)</f>
        <v>14</v>
      </c>
      <c r="I89" s="16" t="str">
        <f>IFERROR(__xludf.DUMMYFUNCTION("""COMPUTED_VALUE"""),"1p30")</f>
        <v>1p30</v>
      </c>
      <c r="J89" s="16">
        <f>IFERROR(__xludf.DUMMYFUNCTION("""COMPUTED_VALUE"""),60.0)</f>
        <v>60</v>
      </c>
      <c r="K89" s="16">
        <f>IFERROR(__xludf.DUMMYFUNCTION("""COMPUTED_VALUE"""),52.0)</f>
        <v>52</v>
      </c>
      <c r="L89" s="16">
        <f>IFERROR(__xludf.DUMMYFUNCTION("""COMPUTED_VALUE"""),-2.0)</f>
        <v>-2</v>
      </c>
      <c r="M89" s="16">
        <f>IFERROR(__xludf.DUMMYFUNCTION("""COMPUTED_VALUE"""),-2.0)</f>
        <v>-2</v>
      </c>
      <c r="N89" s="16">
        <f>IFERROR(__xludf.DUMMYFUNCTION("""COMPUTED_VALUE"""),-2.0)</f>
        <v>-2</v>
      </c>
      <c r="O89" s="16">
        <f>IFERROR(__xludf.DUMMYFUNCTION("""COMPUTED_VALUE"""),-2.0)</f>
        <v>-2</v>
      </c>
      <c r="P89" s="16">
        <f>IFERROR(__xludf.DUMMYFUNCTION("""COMPUTED_VALUE"""),0.0)</f>
        <v>0</v>
      </c>
      <c r="Q89" s="16">
        <f>IFERROR(__xludf.DUMMYFUNCTION("""COMPUTED_VALUE"""),15.0)</f>
        <v>15</v>
      </c>
      <c r="R89" s="16">
        <f>IFERROR(__xludf.DUMMYFUNCTION("""COMPUTED_VALUE"""),-3.0)</f>
        <v>-3</v>
      </c>
      <c r="S89" s="16">
        <f>IFERROR(__xludf.DUMMYFUNCTION("""COMPUTED_VALUE"""),2.0)</f>
        <v>2</v>
      </c>
      <c r="T89" s="16">
        <f>IFERROR(__xludf.DUMMYFUNCTION("""COMPUTED_VALUE"""),-3.0)</f>
        <v>-3</v>
      </c>
      <c r="U89" s="16">
        <f>IFERROR(__xludf.DUMMYFUNCTION("""COMPUTED_VALUE"""),2.0)</f>
        <v>2</v>
      </c>
      <c r="V89" s="16">
        <f>IFERROR(__xludf.DUMMYFUNCTION("""COMPUTED_VALUE"""),25.3)</f>
        <v>25.3</v>
      </c>
      <c r="W89" s="16">
        <f>IFERROR(__xludf.DUMMYFUNCTION("""COMPUTED_VALUE"""),11.4)</f>
        <v>11.4</v>
      </c>
      <c r="X89" s="16">
        <f>IFERROR(__xludf.DUMMYFUNCTION("""COMPUTED_VALUE"""),1.0)</f>
        <v>1</v>
      </c>
      <c r="Y89" s="16">
        <f>IFERROR(__xludf.DUMMYFUNCTION("""COMPUTED_VALUE"""),-2.0)</f>
        <v>-2</v>
      </c>
      <c r="Z89" s="16">
        <f>IFERROR(__xludf.DUMMYFUNCTION("""COMPUTED_VALUE"""),2.0)</f>
        <v>2</v>
      </c>
      <c r="AA89" s="16">
        <f>IFERROR(__xludf.DUMMYFUNCTION("""COMPUTED_VALUE"""),-4.0)</f>
        <v>-4</v>
      </c>
      <c r="AB89" s="16">
        <f>IFERROR(__xludf.DUMMYFUNCTION("""COMPUTED_VALUE"""),25.3)</f>
        <v>25.3</v>
      </c>
      <c r="AC89" s="16">
        <f>IFERROR(__xludf.DUMMYFUNCTION("""COMPUTED_VALUE"""),26.5)</f>
        <v>26.5</v>
      </c>
      <c r="AD89" s="16">
        <f>IFERROR(__xludf.DUMMYFUNCTION("""COMPUTED_VALUE"""),-1.0)</f>
        <v>-1</v>
      </c>
      <c r="AE89" s="16">
        <f>IFERROR(__xludf.DUMMYFUNCTION("""COMPUTED_VALUE"""),-1.0)</f>
        <v>-1</v>
      </c>
      <c r="AF89" s="16">
        <f>IFERROR(__xludf.DUMMYFUNCTION("""COMPUTED_VALUE"""),-5.0)</f>
        <v>-5</v>
      </c>
      <c r="AG89" s="16">
        <f>IFERROR(__xludf.DUMMYFUNCTION("""COMPUTED_VALUE"""),-5.0)</f>
        <v>-5</v>
      </c>
      <c r="AH89" s="16">
        <f>IFERROR(__xludf.DUMMYFUNCTION("""COMPUTED_VALUE"""),59.5)</f>
        <v>59.5</v>
      </c>
      <c r="AI89" s="16">
        <f>IFERROR(__xludf.DUMMYFUNCTION("""COMPUTED_VALUE"""),34.5)</f>
        <v>34.5</v>
      </c>
      <c r="AJ89" s="16">
        <f>IFERROR(__xludf.DUMMYFUNCTION("""COMPUTED_VALUE"""),2.0)</f>
        <v>2</v>
      </c>
      <c r="AK89" s="16">
        <f>IFERROR(__xludf.DUMMYFUNCTION("""COMPUTED_VALUE"""),0.0)</f>
        <v>0</v>
      </c>
      <c r="AL89" s="16">
        <f>IFERROR(__xludf.DUMMYFUNCTION("""COMPUTED_VALUE"""),10.0)</f>
        <v>10</v>
      </c>
      <c r="AM89" s="16">
        <f>IFERROR(__xludf.DUMMYFUNCTION("""COMPUTED_VALUE"""),0.0)</f>
        <v>0</v>
      </c>
      <c r="AN89" s="16">
        <f>IFERROR(__xludf.DUMMYFUNCTION("""COMPUTED_VALUE"""),9.5)</f>
        <v>9.5</v>
      </c>
      <c r="AO89" s="16">
        <f>IFERROR(__xludf.DUMMYFUNCTION("""COMPUTED_VALUE"""),6.7)</f>
        <v>6.7</v>
      </c>
      <c r="AP89" s="16">
        <f>IFERROR(__xludf.DUMMYFUNCTION("""COMPUTED_VALUE"""),3.0)</f>
        <v>3</v>
      </c>
      <c r="AQ89" s="16">
        <f>IFERROR(__xludf.DUMMYFUNCTION("""COMPUTED_VALUE"""),3.0)</f>
        <v>3</v>
      </c>
      <c r="AR89" s="16">
        <f>IFERROR(__xludf.DUMMYFUNCTION("""COMPUTED_VALUE"""),6.0)</f>
        <v>6</v>
      </c>
      <c r="AS89" s="16">
        <f>IFERROR(__xludf.DUMMYFUNCTION("""COMPUTED_VALUE"""),6.0)</f>
        <v>6</v>
      </c>
      <c r="AT89" s="16">
        <f>IFERROR(__xludf.DUMMYFUNCTION("""COMPUTED_VALUE"""),8.0)</f>
        <v>8</v>
      </c>
      <c r="AU89" s="16">
        <f>IFERROR(__xludf.DUMMYFUNCTION("""COMPUTED_VALUE"""),8.0)</f>
        <v>8</v>
      </c>
      <c r="AV89" s="16">
        <f>IFERROR(__xludf.DUMMYFUNCTION("""COMPUTED_VALUE"""),8.0)</f>
        <v>8</v>
      </c>
      <c r="AW89" s="16">
        <f>IFERROR(__xludf.DUMMYFUNCTION("""COMPUTED_VALUE"""),8.0)</f>
        <v>8</v>
      </c>
      <c r="AX89" s="16">
        <f>IFERROR(__xludf.DUMMYFUNCTION("""COMPUTED_VALUE"""),3.0)</f>
        <v>3</v>
      </c>
      <c r="AY89" s="16">
        <f>IFERROR(__xludf.DUMMYFUNCTION("""COMPUTED_VALUE"""),3.0)</f>
        <v>3</v>
      </c>
      <c r="AZ89" s="16">
        <f>IFERROR(__xludf.DUMMYFUNCTION("""COMPUTED_VALUE"""),9.0)</f>
        <v>9</v>
      </c>
      <c r="BA89" s="16">
        <f>IFERROR(__xludf.DUMMYFUNCTION("""COMPUTED_VALUE"""),9.0)</f>
        <v>9</v>
      </c>
      <c r="BB89" s="16">
        <f>IFERROR(__xludf.DUMMYFUNCTION("""COMPUTED_VALUE"""),5.0)</f>
        <v>5</v>
      </c>
      <c r="BC89" s="16">
        <f>IFERROR(__xludf.DUMMYFUNCTION("""COMPUTED_VALUE"""),5.0)</f>
        <v>5</v>
      </c>
      <c r="BD89" s="16">
        <f>IFERROR(__xludf.DUMMYFUNCTION("""COMPUTED_VALUE"""),1.0)</f>
        <v>1</v>
      </c>
      <c r="BE89" s="16">
        <f>IFERROR(__xludf.DUMMYFUNCTION("""COMPUTED_VALUE"""),1.0)</f>
        <v>1</v>
      </c>
      <c r="BF89" s="16">
        <f>IFERROR(__xludf.DUMMYFUNCTION("""COMPUTED_VALUE"""),1.0)</f>
        <v>1</v>
      </c>
      <c r="BG89" s="16">
        <f>IFERROR(__xludf.DUMMYFUNCTION("""COMPUTED_VALUE"""),1.0)</f>
        <v>1</v>
      </c>
      <c r="BH89" s="16">
        <f>IFERROR(__xludf.DUMMYFUNCTION("""COMPUTED_VALUE"""),-8.0)</f>
        <v>-8</v>
      </c>
      <c r="BI89" s="16">
        <f>IFERROR(__xludf.DUMMYFUNCTION("""COMPUTED_VALUE"""),-1.0)</f>
        <v>-1</v>
      </c>
      <c r="BJ89" s="16">
        <f>IFERROR(__xludf.DUMMYFUNCTION("""COMPUTED_VALUE"""),8.0)</f>
        <v>8</v>
      </c>
      <c r="BK89" s="16">
        <f>IFERROR(__xludf.DUMMYFUNCTION("""COMPUTED_VALUE"""),11.0)</f>
        <v>11</v>
      </c>
      <c r="BL89" s="16">
        <f>IFERROR(__xludf.DUMMYFUNCTION("""COMPUTED_VALUE"""),1.0)</f>
        <v>1</v>
      </c>
      <c r="BM89" s="16">
        <f>IFERROR(__xludf.DUMMYFUNCTION("""COMPUTED_VALUE"""),0.0)</f>
        <v>0</v>
      </c>
      <c r="BN89" s="16">
        <f>IFERROR(__xludf.DUMMYFUNCTION("""COMPUTED_VALUE"""),1.0)</f>
        <v>1</v>
      </c>
      <c r="BO89" s="16">
        <f>IFERROR(__xludf.DUMMYFUNCTION("""COMPUTED_VALUE"""),0.0)</f>
        <v>0</v>
      </c>
      <c r="BP89" s="16">
        <f>IFERROR(__xludf.DUMMYFUNCTION("""COMPUTED_VALUE"""),5.0)</f>
        <v>5</v>
      </c>
      <c r="BQ89" s="16">
        <f>IFERROR(__xludf.DUMMYFUNCTION("""COMPUTED_VALUE"""),4.0)</f>
        <v>4</v>
      </c>
      <c r="BR89" s="16">
        <f>IFERROR(__xludf.DUMMYFUNCTION("""COMPUTED_VALUE"""),9.0)</f>
        <v>9</v>
      </c>
      <c r="BS89" s="16" t="str">
        <f>IFERROR(__xludf.DUMMYFUNCTION("""COMPUTED_VALUE"""),"*3-6/- (17-13)")</f>
        <v>*3-6/- (17-13)</v>
      </c>
      <c r="BT89" s="16" t="str">
        <f>IFERROR(__xludf.DUMMYFUNCTION("""COMPUTED_VALUE"""),"B")</f>
        <v>B</v>
      </c>
      <c r="BU89" s="16">
        <f>IFERROR(__xludf.DUMMYFUNCTION("""COMPUTED_VALUE"""),15.0)</f>
        <v>15</v>
      </c>
      <c r="BV89" s="16">
        <f>IFERROR(__xludf.DUMMYFUNCTION("""COMPUTED_VALUE"""),1.0)</f>
        <v>1</v>
      </c>
      <c r="BW89" s="16">
        <f>IFERROR(__xludf.DUMMYFUNCTION("""COMPUTED_VALUE"""),2.0)</f>
        <v>2</v>
      </c>
      <c r="BX89" s="16">
        <f>IFERROR(__xludf.DUMMYFUNCTION("""COMPUTED_VALUE"""),2.0)</f>
        <v>2</v>
      </c>
      <c r="BY89" s="16">
        <f>IFERROR(__xludf.DUMMYFUNCTION("""COMPUTED_VALUE"""),6.0)</f>
        <v>6</v>
      </c>
      <c r="BZ89" s="16" t="str">
        <f>IFERROR(__xludf.DUMMYFUNCTION("""COMPUTED_VALUE"""),"B")</f>
        <v>B</v>
      </c>
      <c r="CA89" s="16" t="str">
        <f>IFERROR(__xludf.DUMMYFUNCTION("""COMPUTED_VALUE"""),"D")</f>
        <v>D</v>
      </c>
      <c r="CB89" s="16">
        <f>IFERROR(__xludf.DUMMYFUNCTION("""COMPUTED_VALUE"""),1.0)</f>
        <v>1</v>
      </c>
      <c r="CC89" s="16">
        <f>IFERROR(__xludf.DUMMYFUNCTION("""COMPUTED_VALUE"""),0.0)</f>
        <v>0</v>
      </c>
      <c r="CD89" s="16">
        <f>IFERROR(__xludf.DUMMYFUNCTION("""COMPUTED_VALUE"""),1.0)</f>
        <v>1</v>
      </c>
      <c r="CE89" s="16">
        <f>IFERROR(__xludf.DUMMYFUNCTION("""COMPUTED_VALUE"""),0.0)</f>
        <v>0</v>
      </c>
      <c r="CF89" s="16">
        <f>IFERROR(__xludf.DUMMYFUNCTION("""COMPUTED_VALUE"""),1.0)</f>
        <v>1</v>
      </c>
      <c r="CG89" s="16">
        <f>IFERROR(__xludf.DUMMYFUNCTION("""COMPUTED_VALUE"""),19.0)</f>
        <v>19</v>
      </c>
      <c r="CH89" s="16">
        <f>IFERROR(__xludf.DUMMYFUNCTION("""COMPUTED_VALUE"""),7.0)</f>
        <v>7</v>
      </c>
      <c r="CI89" s="179">
        <f>IFERROR(__xludf.DUMMYFUNCTION("""COMPUTED_VALUE"""),14.0)</f>
        <v>14</v>
      </c>
      <c r="CJ89" s="16"/>
      <c r="CK89" s="16"/>
      <c r="CL89" s="16"/>
      <c r="CM89" s="16"/>
      <c r="CN89" s="16"/>
      <c r="CO89" s="16">
        <f>IFERROR(__xludf.DUMMYFUNCTION("""COMPUTED_VALUE"""),212.0)</f>
        <v>212</v>
      </c>
      <c r="CP89" s="16">
        <f>IFERROR(__xludf.DUMMYFUNCTION("""COMPUTED_VALUE"""),312.0)</f>
        <v>312</v>
      </c>
      <c r="CQ89" s="16">
        <f>IFERROR(__xludf.DUMMYFUNCTION("""COMPUTED_VALUE"""),312.0)</f>
        <v>312</v>
      </c>
      <c r="CR89" s="16" t="str">
        <f>IFERROR(__xludf.DUMMYFUNCTION("""COMPUTED_VALUE"""),"lf-2(-1)e12 cf-3e12 rf-3e12")</f>
        <v>lf-2(-1)e12 cf-3e12 rf-3e12</v>
      </c>
      <c r="CS89" s="16"/>
      <c r="CT89" s="16"/>
      <c r="CU89" s="16"/>
      <c r="CV89" s="16"/>
      <c r="CW89" s="16"/>
      <c r="CX89" s="16">
        <f>IFERROR(__xludf.DUMMYFUNCTION("""COMPUTED_VALUE"""),2.0)</f>
        <v>2</v>
      </c>
      <c r="CY89" s="16">
        <f>IFERROR(__xludf.DUMMYFUNCTION("""COMPUTED_VALUE"""),3.0)</f>
        <v>3</v>
      </c>
      <c r="CZ89" s="16">
        <f>IFERROR(__xludf.DUMMYFUNCTION("""COMPUTED_VALUE"""),3.0)</f>
        <v>3</v>
      </c>
      <c r="DA89" s="16"/>
      <c r="DB89" s="16"/>
      <c r="DC89" s="16"/>
      <c r="DD89" s="16"/>
      <c r="DE89" s="16"/>
      <c r="DF89" s="16">
        <f>IFERROR(__xludf.DUMMYFUNCTION("""COMPUTED_VALUE"""),12.0)</f>
        <v>12</v>
      </c>
      <c r="DG89" s="16">
        <f>IFERROR(__xludf.DUMMYFUNCTION("""COMPUTED_VALUE"""),12.0)</f>
        <v>12</v>
      </c>
      <c r="DH89" s="16">
        <f>IFERROR(__xludf.DUMMYFUNCTION("""COMPUTED_VALUE"""),12.0)</f>
        <v>12</v>
      </c>
      <c r="DI89" s="16"/>
      <c r="DJ89" s="16"/>
      <c r="DK89" s="16"/>
      <c r="DL89" s="16"/>
      <c r="DM89" s="16"/>
      <c r="DN89" s="16">
        <f>IFERROR(__xludf.DUMMYFUNCTION("""COMPUTED_VALUE"""),3.0)</f>
        <v>3</v>
      </c>
      <c r="DO89" s="16">
        <f>IFERROR(__xludf.DUMMYFUNCTION("""COMPUTED_VALUE"""),0.0)</f>
        <v>0</v>
      </c>
      <c r="DP89" s="16">
        <f>IFERROR(__xludf.DUMMYFUNCTION("""COMPUTED_VALUE"""),0.0)</f>
        <v>0</v>
      </c>
      <c r="DQ89" s="16"/>
      <c r="DR89" s="16"/>
      <c r="DS89" s="16"/>
      <c r="DT89" s="16"/>
      <c r="DU89" s="16"/>
      <c r="DV89" s="16">
        <f>IFERROR(__xludf.DUMMYFUNCTION("""COMPUTED_VALUE"""),-2.0)</f>
        <v>-2</v>
      </c>
      <c r="DW89" s="16">
        <f>IFERROR(__xludf.DUMMYFUNCTION("""COMPUTED_VALUE"""),0.0)</f>
        <v>0</v>
      </c>
      <c r="DX89" s="16">
        <f>IFERROR(__xludf.DUMMYFUNCTION("""COMPUTED_VALUE"""),-2.0)</f>
        <v>-2</v>
      </c>
      <c r="DY89" s="16"/>
      <c r="DZ89" s="16"/>
      <c r="EA89" s="16"/>
      <c r="EB89" s="16"/>
      <c r="EC89" s="16"/>
      <c r="ED89" s="16">
        <f>IFERROR(__xludf.DUMMYFUNCTION("""COMPUTED_VALUE"""),1.0)</f>
        <v>1</v>
      </c>
      <c r="EE89" s="16">
        <f>IFERROR(__xludf.DUMMYFUNCTION("""COMPUTED_VALUE"""),0.0)</f>
        <v>0</v>
      </c>
      <c r="EF89" s="16">
        <f>IFERROR(__xludf.DUMMYFUNCTION("""COMPUTED_VALUE"""),-2.0)</f>
        <v>-2</v>
      </c>
      <c r="EG89" s="179"/>
      <c r="EH89" s="179"/>
      <c r="EI89" s="179"/>
      <c r="EJ89" s="179"/>
      <c r="EK89" s="179"/>
      <c r="EL89" s="179">
        <f>IFERROR(__xludf.DUMMYFUNCTION("""COMPUTED_VALUE"""),15.0)</f>
        <v>15</v>
      </c>
      <c r="EM89" s="179">
        <f>IFERROR(__xludf.DUMMYFUNCTION("""COMPUTED_VALUE"""),14.0)</f>
        <v>14</v>
      </c>
      <c r="EN89" s="179">
        <f>IFERROR(__xludf.DUMMYFUNCTION("""COMPUTED_VALUE"""),12.0)</f>
        <v>12</v>
      </c>
      <c r="EO89" s="16"/>
      <c r="EP89" s="16">
        <f>IFERROR(__xludf.DUMMYFUNCTION("""COMPUTED_VALUE"""),-1.0)</f>
        <v>-1</v>
      </c>
      <c r="EQ89" s="16">
        <f>IFERROR(__xludf.DUMMYFUNCTION("""COMPUTED_VALUE"""),4.0)</f>
        <v>4</v>
      </c>
      <c r="ER89" s="16">
        <f>IFERROR(__xludf.DUMMYFUNCTION("""COMPUTED_VALUE"""),-2.0)</f>
        <v>-2</v>
      </c>
      <c r="ES89" s="16"/>
      <c r="ET89" s="16"/>
      <c r="EU89" s="16"/>
      <c r="EV89" s="16"/>
      <c r="EW89" s="16"/>
      <c r="EX89" s="180"/>
      <c r="EY89" s="180"/>
      <c r="EZ89" s="180"/>
      <c r="FA89" s="180"/>
      <c r="FB89" s="180"/>
      <c r="FC89" s="180">
        <f>IFERROR(__xludf.DUMMYFUNCTION("""COMPUTED_VALUE"""),0.15)</f>
        <v>0.15</v>
      </c>
      <c r="FD89" s="180">
        <f>IFERROR(__xludf.DUMMYFUNCTION("""COMPUTED_VALUE"""),0.3)</f>
        <v>0.3</v>
      </c>
      <c r="FE89" s="180">
        <f>IFERROR(__xludf.DUMMYFUNCTION("""COMPUTED_VALUE"""),0.3)</f>
        <v>0.3</v>
      </c>
      <c r="FF89" s="180"/>
      <c r="FG89" s="180"/>
      <c r="FH89" s="180"/>
      <c r="FI89" s="180"/>
      <c r="FJ89" s="180"/>
      <c r="FK89" s="180">
        <f>IFERROR(__xludf.DUMMYFUNCTION("""COMPUTED_VALUE"""),0.218)</f>
        <v>0.218</v>
      </c>
      <c r="FL89" s="180">
        <f>IFERROR(__xludf.DUMMYFUNCTION("""COMPUTED_VALUE"""),0.14351851851851852)</f>
        <v>0.1435185185</v>
      </c>
      <c r="FM89" s="180">
        <f>IFERROR(__xludf.DUMMYFUNCTION("""COMPUTED_VALUE"""),0.218)</f>
        <v>0.218</v>
      </c>
      <c r="FN89" s="16"/>
      <c r="FO89" s="16"/>
      <c r="FP89" s="16"/>
      <c r="FQ89" s="16"/>
      <c r="FR89" s="16"/>
      <c r="FS89" s="16">
        <f>IFERROR(__xludf.DUMMYFUNCTION("""COMPUTED_VALUE"""),0.6647)</f>
        <v>0.6647</v>
      </c>
      <c r="FT89" s="16">
        <f>IFERROR(__xludf.DUMMYFUNCTION("""COMPUTED_VALUE"""),0.599537037037037)</f>
        <v>0.599537037</v>
      </c>
      <c r="FU89" s="16">
        <f>IFERROR(__xludf.DUMMYFUNCTION("""COMPUTED_VALUE"""),0.5474)</f>
        <v>0.5474</v>
      </c>
      <c r="FV89" s="16"/>
      <c r="FW89" s="16"/>
      <c r="FX89" s="16"/>
      <c r="FY89" s="16"/>
      <c r="FZ89" s="16"/>
      <c r="GA89" s="16">
        <f>IFERROR(__xludf.DUMMYFUNCTION("""COMPUTED_VALUE"""),-3.0)</f>
        <v>-3</v>
      </c>
      <c r="GB89" s="16">
        <f>IFERROR(__xludf.DUMMYFUNCTION("""COMPUTED_VALUE"""),-5.0)</f>
        <v>-5</v>
      </c>
      <c r="GC89" s="16">
        <f>IFERROR(__xludf.DUMMYFUNCTION("""COMPUTED_VALUE"""),-7.0)</f>
        <v>-7</v>
      </c>
      <c r="GD89" s="16" t="s">
        <v>289</v>
      </c>
    </row>
    <row r="90">
      <c r="A90" s="16">
        <f>IFERROR(__xludf.DUMMYFUNCTION("""COMPUTED_VALUE"""),13126.0)</f>
        <v>13126</v>
      </c>
      <c r="B90" s="16" t="str">
        <f>IFERROR(__xludf.DUMMYFUNCTION("""COMPUTED_VALUE"""),"Luis Arraez")</f>
        <v>Luis Arraez</v>
      </c>
      <c r="C90" s="16">
        <f>IFERROR(__xludf.DUMMYFUNCTION("""COMPUTED_VALUE"""),0.43)</f>
        <v>0.43</v>
      </c>
      <c r="D90" s="16" t="str">
        <f>IFERROR(__xludf.DUMMYFUNCTION("""COMPUTED_VALUE"""),"L")</f>
        <v>L</v>
      </c>
      <c r="E90" s="16"/>
      <c r="F90" s="16"/>
      <c r="G90" s="16">
        <f>IFERROR(__xludf.DUMMYFUNCTION("""COMPUTED_VALUE"""),637.0)</f>
        <v>637</v>
      </c>
      <c r="H90" s="16">
        <f>IFERROR(__xludf.DUMMYFUNCTION("""COMPUTED_VALUE"""),24.0)</f>
        <v>24</v>
      </c>
      <c r="I90" s="16" t="str">
        <f>IFERROR(__xludf.DUMMYFUNCTION("""COMPUTED_VALUE"""),"1p70")</f>
        <v>1p70</v>
      </c>
      <c r="J90" s="16">
        <f>IFERROR(__xludf.DUMMYFUNCTION("""COMPUTED_VALUE"""),0.0)</f>
        <v>0</v>
      </c>
      <c r="K90" s="16">
        <f>IFERROR(__xludf.DUMMYFUNCTION("""COMPUTED_VALUE"""),0.0)</f>
        <v>0</v>
      </c>
      <c r="L90" s="16">
        <f>IFERROR(__xludf.DUMMYFUNCTION("""COMPUTED_VALUE"""),3.0)</f>
        <v>3</v>
      </c>
      <c r="M90" s="16">
        <f>IFERROR(__xludf.DUMMYFUNCTION("""COMPUTED_VALUE"""),3.0)</f>
        <v>3</v>
      </c>
      <c r="N90" s="16">
        <f>IFERROR(__xludf.DUMMYFUNCTION("""COMPUTED_VALUE"""),3.0)</f>
        <v>3</v>
      </c>
      <c r="O90" s="16">
        <f>IFERROR(__xludf.DUMMYFUNCTION("""COMPUTED_VALUE"""),3.0)</f>
        <v>3</v>
      </c>
      <c r="P90" s="16">
        <f>IFERROR(__xludf.DUMMYFUNCTION("""COMPUTED_VALUE"""),0.0)</f>
        <v>0</v>
      </c>
      <c r="Q90" s="16">
        <f>IFERROR(__xludf.DUMMYFUNCTION("""COMPUTED_VALUE"""),0.0)</f>
        <v>0</v>
      </c>
      <c r="R90" s="16">
        <f>IFERROR(__xludf.DUMMYFUNCTION("""COMPUTED_VALUE"""),-3.0)</f>
        <v>-3</v>
      </c>
      <c r="S90" s="16">
        <f>IFERROR(__xludf.DUMMYFUNCTION("""COMPUTED_VALUE"""),-2.0)</f>
        <v>-2</v>
      </c>
      <c r="T90" s="16">
        <f>IFERROR(__xludf.DUMMYFUNCTION("""COMPUTED_VALUE"""),-3.0)</f>
        <v>-3</v>
      </c>
      <c r="U90" s="16">
        <f>IFERROR(__xludf.DUMMYFUNCTION("""COMPUTED_VALUE"""),-2.0)</f>
        <v>-2</v>
      </c>
      <c r="V90" s="16">
        <f>IFERROR(__xludf.DUMMYFUNCTION("""COMPUTED_VALUE"""),28.9)</f>
        <v>28.9</v>
      </c>
      <c r="W90" s="16">
        <f>IFERROR(__xludf.DUMMYFUNCTION("""COMPUTED_VALUE"""),40.0)</f>
        <v>40</v>
      </c>
      <c r="X90" s="16">
        <f>IFERROR(__xludf.DUMMYFUNCTION("""COMPUTED_VALUE"""),1.0)</f>
        <v>1</v>
      </c>
      <c r="Y90" s="16">
        <f>IFERROR(__xludf.DUMMYFUNCTION("""COMPUTED_VALUE"""),3.0)</f>
        <v>3</v>
      </c>
      <c r="Z90" s="16">
        <f>IFERROR(__xludf.DUMMYFUNCTION("""COMPUTED_VALUE"""),2.0)</f>
        <v>2</v>
      </c>
      <c r="AA90" s="16">
        <f>IFERROR(__xludf.DUMMYFUNCTION("""COMPUTED_VALUE"""),6.0)</f>
        <v>6</v>
      </c>
      <c r="AB90" s="16">
        <f>IFERROR(__xludf.DUMMYFUNCTION("""COMPUTED_VALUE"""),31.9)</f>
        <v>31.9</v>
      </c>
      <c r="AC90" s="16">
        <f>IFERROR(__xludf.DUMMYFUNCTION("""COMPUTED_VALUE"""),43.0)</f>
        <v>43</v>
      </c>
      <c r="AD90" s="16">
        <f>IFERROR(__xludf.DUMMYFUNCTION("""COMPUTED_VALUE"""),0.0)</f>
        <v>0</v>
      </c>
      <c r="AE90" s="16">
        <f>IFERROR(__xludf.DUMMYFUNCTION("""COMPUTED_VALUE"""),2.0)</f>
        <v>2</v>
      </c>
      <c r="AF90" s="16">
        <f>IFERROR(__xludf.DUMMYFUNCTION("""COMPUTED_VALUE"""),0.0)</f>
        <v>0</v>
      </c>
      <c r="AG90" s="16">
        <f>IFERROR(__xludf.DUMMYFUNCTION("""COMPUTED_VALUE"""),10.0)</f>
        <v>10</v>
      </c>
      <c r="AH90" s="16">
        <f>IFERROR(__xludf.DUMMYFUNCTION("""COMPUTED_VALUE"""),35.5)</f>
        <v>35.5</v>
      </c>
      <c r="AI90" s="16">
        <f>IFERROR(__xludf.DUMMYFUNCTION("""COMPUTED_VALUE"""),51.0)</f>
        <v>51</v>
      </c>
      <c r="AJ90" s="16">
        <f>IFERROR(__xludf.DUMMYFUNCTION("""COMPUTED_VALUE"""),0.0)</f>
        <v>0</v>
      </c>
      <c r="AK90" s="16">
        <f>IFERROR(__xludf.DUMMYFUNCTION("""COMPUTED_VALUE"""),2.0)</f>
        <v>2</v>
      </c>
      <c r="AL90" s="16">
        <f>IFERROR(__xludf.DUMMYFUNCTION("""COMPUTED_VALUE"""),0.0)</f>
        <v>0</v>
      </c>
      <c r="AM90" s="16">
        <f>IFERROR(__xludf.DUMMYFUNCTION("""COMPUTED_VALUE"""),10.0)</f>
        <v>10</v>
      </c>
      <c r="AN90" s="16">
        <f>IFERROR(__xludf.DUMMYFUNCTION("""COMPUTED_VALUE"""),1.0)</f>
        <v>1</v>
      </c>
      <c r="AO90" s="16">
        <f>IFERROR(__xludf.DUMMYFUNCTION("""COMPUTED_VALUE"""),1.5)</f>
        <v>1.5</v>
      </c>
      <c r="AP90" s="16">
        <f>IFERROR(__xludf.DUMMYFUNCTION("""COMPUTED_VALUE"""),-2.0)</f>
        <v>-2</v>
      </c>
      <c r="AQ90" s="16">
        <f>IFERROR(__xludf.DUMMYFUNCTION("""COMPUTED_VALUE"""),-1.0)</f>
        <v>-1</v>
      </c>
      <c r="AR90" s="16">
        <f>IFERROR(__xludf.DUMMYFUNCTION("""COMPUTED_VALUE"""),-4.0)</f>
        <v>-4</v>
      </c>
      <c r="AS90" s="16">
        <f>IFERROR(__xludf.DUMMYFUNCTION("""COMPUTED_VALUE"""),-2.0)</f>
        <v>-2</v>
      </c>
      <c r="AT90" s="16"/>
      <c r="AU90" s="16"/>
      <c r="AV90" s="16">
        <f>IFERROR(__xludf.DUMMYFUNCTION("""COMPUTED_VALUE"""),-3.0)</f>
        <v>-3</v>
      </c>
      <c r="AW90" s="16">
        <f>IFERROR(__xludf.DUMMYFUNCTION("""COMPUTED_VALUE"""),-3.0)</f>
        <v>-3</v>
      </c>
      <c r="AX90" s="16">
        <f>IFERROR(__xludf.DUMMYFUNCTION("""COMPUTED_VALUE"""),-3.0)</f>
        <v>-3</v>
      </c>
      <c r="AY90" s="16">
        <f>IFERROR(__xludf.DUMMYFUNCTION("""COMPUTED_VALUE"""),-3.0)</f>
        <v>-3</v>
      </c>
      <c r="AZ90" s="16">
        <f>IFERROR(__xludf.DUMMYFUNCTION("""COMPUTED_VALUE"""),-9.0)</f>
        <v>-9</v>
      </c>
      <c r="BA90" s="16">
        <f>IFERROR(__xludf.DUMMYFUNCTION("""COMPUTED_VALUE"""),-9.0)</f>
        <v>-9</v>
      </c>
      <c r="BB90" s="16">
        <f>IFERROR(__xludf.DUMMYFUNCTION("""COMPUTED_VALUE"""),5.0)</f>
        <v>5</v>
      </c>
      <c r="BC90" s="16">
        <f>IFERROR(__xludf.DUMMYFUNCTION("""COMPUTED_VALUE"""),5.0)</f>
        <v>5</v>
      </c>
      <c r="BD90" s="16">
        <f>IFERROR(__xludf.DUMMYFUNCTION("""COMPUTED_VALUE"""),1.0)</f>
        <v>1</v>
      </c>
      <c r="BE90" s="16">
        <f>IFERROR(__xludf.DUMMYFUNCTION("""COMPUTED_VALUE"""),1.0)</f>
        <v>1</v>
      </c>
      <c r="BF90" s="16">
        <f>IFERROR(__xludf.DUMMYFUNCTION("""COMPUTED_VALUE"""),1.0)</f>
        <v>1</v>
      </c>
      <c r="BG90" s="16">
        <f>IFERROR(__xludf.DUMMYFUNCTION("""COMPUTED_VALUE"""),1.0)</f>
        <v>1</v>
      </c>
      <c r="BH90" s="16">
        <f>IFERROR(__xludf.DUMMYFUNCTION("""COMPUTED_VALUE"""),4.0)</f>
        <v>4</v>
      </c>
      <c r="BI90" s="16">
        <f>IFERROR(__xludf.DUMMYFUNCTION("""COMPUTED_VALUE"""),4.0)</f>
        <v>4</v>
      </c>
      <c r="BJ90" s="16">
        <f>IFERROR(__xludf.DUMMYFUNCTION("""COMPUTED_VALUE"""),21.0)</f>
        <v>21</v>
      </c>
      <c r="BK90" s="16">
        <f>IFERROR(__xludf.DUMMYFUNCTION("""COMPUTED_VALUE"""),21.0)</f>
        <v>21</v>
      </c>
      <c r="BL90" s="16">
        <f>IFERROR(__xludf.DUMMYFUNCTION("""COMPUTED_VALUE"""),-2.0)</f>
        <v>-2</v>
      </c>
      <c r="BM90" s="16">
        <f>IFERROR(__xludf.DUMMYFUNCTION("""COMPUTED_VALUE"""),-2.0)</f>
        <v>-2</v>
      </c>
      <c r="BN90" s="16">
        <f>IFERROR(__xludf.DUMMYFUNCTION("""COMPUTED_VALUE"""),-4.0)</f>
        <v>-4</v>
      </c>
      <c r="BO90" s="16">
        <f>IFERROR(__xludf.DUMMYFUNCTION("""COMPUTED_VALUE"""),-4.0)</f>
        <v>-4</v>
      </c>
      <c r="BP90" s="16">
        <f>IFERROR(__xludf.DUMMYFUNCTION("""COMPUTED_VALUE"""),-5.0)</f>
        <v>-5</v>
      </c>
      <c r="BQ90" s="16">
        <f>IFERROR(__xludf.DUMMYFUNCTION("""COMPUTED_VALUE"""),3.0)</f>
        <v>3</v>
      </c>
      <c r="BR90" s="16">
        <f>IFERROR(__xludf.DUMMYFUNCTION("""COMPUTED_VALUE"""),-2.0)</f>
        <v>-2</v>
      </c>
      <c r="BS90" s="16" t="str">
        <f>IFERROR(__xludf.DUMMYFUNCTION("""COMPUTED_VALUE"""),"6/- (15-6)")</f>
        <v>6/- (15-6)</v>
      </c>
      <c r="BT90" s="16" t="str">
        <f>IFERROR(__xludf.DUMMYFUNCTION("""COMPUTED_VALUE"""),"C")</f>
        <v>C</v>
      </c>
      <c r="BU90" s="16">
        <f>IFERROR(__xludf.DUMMYFUNCTION("""COMPUTED_VALUE"""),11.0)</f>
        <v>11</v>
      </c>
      <c r="BV90" s="16">
        <f>IFERROR(__xludf.DUMMYFUNCTION("""COMPUTED_VALUE"""),0.0)</f>
        <v>0</v>
      </c>
      <c r="BW90" s="16">
        <f>IFERROR(__xludf.DUMMYFUNCTION("""COMPUTED_VALUE"""),0.0)</f>
        <v>0</v>
      </c>
      <c r="BX90" s="16">
        <f>IFERROR(__xludf.DUMMYFUNCTION("""COMPUTED_VALUE"""),0.0)</f>
        <v>0</v>
      </c>
      <c r="BY90" s="16">
        <f>IFERROR(__xludf.DUMMYFUNCTION("""COMPUTED_VALUE"""),0.0)</f>
        <v>0</v>
      </c>
      <c r="BZ90" s="16" t="str">
        <f>IFERROR(__xludf.DUMMYFUNCTION("""COMPUTED_VALUE"""),"B")</f>
        <v>B</v>
      </c>
      <c r="CA90" s="16" t="str">
        <f>IFERROR(__xludf.DUMMYFUNCTION("""COMPUTED_VALUE"""),"B")</f>
        <v>B</v>
      </c>
      <c r="CB90" s="16">
        <f>IFERROR(__xludf.DUMMYFUNCTION("""COMPUTED_VALUE"""),1.0)</f>
        <v>1</v>
      </c>
      <c r="CC90" s="16">
        <f>IFERROR(__xludf.DUMMYFUNCTION("""COMPUTED_VALUE"""),1.0)</f>
        <v>1</v>
      </c>
      <c r="CD90" s="16">
        <f>IFERROR(__xludf.DUMMYFUNCTION("""COMPUTED_VALUE"""),1.0)</f>
        <v>1</v>
      </c>
      <c r="CE90" s="16">
        <f>IFERROR(__xludf.DUMMYFUNCTION("""COMPUTED_VALUE"""),2.0)</f>
        <v>2</v>
      </c>
      <c r="CF90" s="16">
        <f>IFERROR(__xludf.DUMMYFUNCTION("""COMPUTED_VALUE"""),1.0)</f>
        <v>1</v>
      </c>
      <c r="CG90" s="16">
        <f>IFERROR(__xludf.DUMMYFUNCTION("""COMPUTED_VALUE"""),-14.0)</f>
        <v>-14</v>
      </c>
      <c r="CH90" s="16">
        <f>IFERROR(__xludf.DUMMYFUNCTION("""COMPUTED_VALUE"""),13.0)</f>
        <v>13</v>
      </c>
      <c r="CI90" s="179">
        <f>IFERROR(__xludf.DUMMYFUNCTION("""COMPUTED_VALUE"""),14.0)</f>
        <v>14</v>
      </c>
      <c r="CJ90" s="16"/>
      <c r="CK90" s="16">
        <f>IFERROR(__xludf.DUMMYFUNCTION("""COMPUTED_VALUE"""),414.0)</f>
        <v>414</v>
      </c>
      <c r="CL90" s="16">
        <f>IFERROR(__xludf.DUMMYFUNCTION("""COMPUTED_VALUE"""),417.0)</f>
        <v>417</v>
      </c>
      <c r="CM90" s="16"/>
      <c r="CN90" s="16"/>
      <c r="CO90" s="16"/>
      <c r="CP90" s="16"/>
      <c r="CQ90" s="16"/>
      <c r="CR90" s="16" t="str">
        <f>IFERROR(__xludf.DUMMYFUNCTION("""COMPUTED_VALUE"""),"1b-4e14 2b-4e17")</f>
        <v>1b-4e14 2b-4e17</v>
      </c>
      <c r="CS90" s="16"/>
      <c r="CT90" s="16">
        <f>IFERROR(__xludf.DUMMYFUNCTION("""COMPUTED_VALUE"""),4.0)</f>
        <v>4</v>
      </c>
      <c r="CU90" s="16">
        <f>IFERROR(__xludf.DUMMYFUNCTION("""COMPUTED_VALUE"""),4.0)</f>
        <v>4</v>
      </c>
      <c r="CV90" s="16"/>
      <c r="CW90" s="16"/>
      <c r="CX90" s="16"/>
      <c r="CY90" s="16"/>
      <c r="CZ90" s="16"/>
      <c r="DA90" s="16"/>
      <c r="DB90" s="16">
        <f>IFERROR(__xludf.DUMMYFUNCTION("""COMPUTED_VALUE"""),14.0)</f>
        <v>14</v>
      </c>
      <c r="DC90" s="16">
        <f>IFERROR(__xludf.DUMMYFUNCTION("""COMPUTED_VALUE"""),17.0)</f>
        <v>17</v>
      </c>
      <c r="DD90" s="16"/>
      <c r="DE90" s="16"/>
      <c r="DF90" s="16"/>
      <c r="DG90" s="16"/>
      <c r="DH90" s="16"/>
      <c r="DI90" s="16"/>
      <c r="DJ90" s="16">
        <f>IFERROR(__xludf.DUMMYFUNCTION("""COMPUTED_VALUE"""),0.0)</f>
        <v>0</v>
      </c>
      <c r="DK90" s="16">
        <f>IFERROR(__xludf.DUMMYFUNCTION("""COMPUTED_VALUE"""),-2.0)</f>
        <v>-2</v>
      </c>
      <c r="DL90" s="16"/>
      <c r="DM90" s="16"/>
      <c r="DN90" s="16"/>
      <c r="DO90" s="16"/>
      <c r="DP90" s="16"/>
      <c r="DQ90" s="16"/>
      <c r="DR90" s="16">
        <f>IFERROR(__xludf.DUMMYFUNCTION("""COMPUTED_VALUE"""),1.0)</f>
        <v>1</v>
      </c>
      <c r="DS90" s="16">
        <f>IFERROR(__xludf.DUMMYFUNCTION("""COMPUTED_VALUE"""),2.0)</f>
        <v>2</v>
      </c>
      <c r="DT90" s="16"/>
      <c r="DU90" s="16"/>
      <c r="DV90" s="16"/>
      <c r="DW90" s="16"/>
      <c r="DX90" s="16"/>
      <c r="DY90" s="16"/>
      <c r="DZ90" s="16">
        <f>IFERROR(__xludf.DUMMYFUNCTION("""COMPUTED_VALUE"""),1.0)</f>
        <v>1</v>
      </c>
      <c r="EA90" s="16">
        <f>IFERROR(__xludf.DUMMYFUNCTION("""COMPUTED_VALUE"""),0.0)</f>
        <v>0</v>
      </c>
      <c r="EB90" s="16"/>
      <c r="EC90" s="16"/>
      <c r="ED90" s="16"/>
      <c r="EE90" s="16"/>
      <c r="EF90" s="16"/>
      <c r="EG90" s="179"/>
      <c r="EH90" s="179">
        <f>IFERROR(__xludf.DUMMYFUNCTION("""COMPUTED_VALUE"""),15.0)</f>
        <v>15</v>
      </c>
      <c r="EI90" s="179">
        <f>IFERROR(__xludf.DUMMYFUNCTION("""COMPUTED_VALUE"""),14.0)</f>
        <v>14</v>
      </c>
      <c r="EJ90" s="179"/>
      <c r="EK90" s="179"/>
      <c r="EL90" s="179"/>
      <c r="EM90" s="179"/>
      <c r="EN90" s="179"/>
      <c r="EO90" s="16"/>
      <c r="EP90" s="16"/>
      <c r="EQ90" s="16">
        <f>IFERROR(__xludf.DUMMYFUNCTION("""COMPUTED_VALUE"""),4.0)</f>
        <v>4</v>
      </c>
      <c r="ER90" s="16">
        <f>IFERROR(__xludf.DUMMYFUNCTION("""COMPUTED_VALUE"""),3.0)</f>
        <v>3</v>
      </c>
      <c r="ES90" s="16"/>
      <c r="ET90" s="16"/>
      <c r="EU90" s="16"/>
      <c r="EV90" s="16"/>
      <c r="EW90" s="16"/>
      <c r="EX90" s="180"/>
      <c r="EY90" s="180">
        <f>IFERROR(__xludf.DUMMYFUNCTION("""COMPUTED_VALUE"""),0.3)</f>
        <v>0.3</v>
      </c>
      <c r="EZ90" s="180">
        <f>IFERROR(__xludf.DUMMYFUNCTION("""COMPUTED_VALUE"""),0.3)</f>
        <v>0.3</v>
      </c>
      <c r="FA90" s="180"/>
      <c r="FB90" s="180"/>
      <c r="FC90" s="180"/>
      <c r="FD90" s="180"/>
      <c r="FE90" s="180"/>
      <c r="FF90" s="180"/>
      <c r="FG90" s="180">
        <f>IFERROR(__xludf.DUMMYFUNCTION("""COMPUTED_VALUE"""),0.25)</f>
        <v>0.25</v>
      </c>
      <c r="FH90" s="180">
        <f>IFERROR(__xludf.DUMMYFUNCTION("""COMPUTED_VALUE"""),0.10185185185185185)</f>
        <v>0.1018518519</v>
      </c>
      <c r="FI90" s="180"/>
      <c r="FJ90" s="180"/>
      <c r="FK90" s="180"/>
      <c r="FL90" s="180"/>
      <c r="FM90" s="180"/>
      <c r="FN90" s="16"/>
      <c r="FO90" s="16">
        <f>IFERROR(__xludf.DUMMYFUNCTION("""COMPUTED_VALUE"""),0.5249999999999999)</f>
        <v>0.525</v>
      </c>
      <c r="FP90" s="16">
        <f>IFERROR(__xludf.DUMMYFUNCTION("""COMPUTED_VALUE"""),0.6287037037037037)</f>
        <v>0.6287037037</v>
      </c>
      <c r="FQ90" s="16"/>
      <c r="FR90" s="16"/>
      <c r="FS90" s="16"/>
      <c r="FT90" s="16"/>
      <c r="FU90" s="16"/>
      <c r="FV90" s="16"/>
      <c r="FW90" s="16">
        <f>IFERROR(__xludf.DUMMYFUNCTION("""COMPUTED_VALUE"""),-8.0)</f>
        <v>-8</v>
      </c>
      <c r="FX90" s="16">
        <f>IFERROR(__xludf.DUMMYFUNCTION("""COMPUTED_VALUE"""),-6.0)</f>
        <v>-6</v>
      </c>
      <c r="FY90" s="16"/>
      <c r="FZ90" s="16"/>
      <c r="GA90" s="16"/>
      <c r="GB90" s="16"/>
      <c r="GC90" s="16"/>
      <c r="GD90" s="16" t="s">
        <v>232</v>
      </c>
    </row>
    <row r="91">
      <c r="A91" s="16">
        <f>IFERROR(__xludf.DUMMYFUNCTION("""COMPUTED_VALUE"""),12913.0)</f>
        <v>12913</v>
      </c>
      <c r="B91" s="16" t="str">
        <f>IFERROR(__xludf.DUMMYFUNCTION("""COMPUTED_VALUE"""),"Jake Fraley")</f>
        <v>Jake Fraley</v>
      </c>
      <c r="C91" s="16">
        <f>IFERROR(__xludf.DUMMYFUNCTION("""COMPUTED_VALUE"""),0.23)</f>
        <v>0.23</v>
      </c>
      <c r="D91" s="16" t="str">
        <f>IFERROR(__xludf.DUMMYFUNCTION("""COMPUTED_VALUE"""),"L")</f>
        <v>L</v>
      </c>
      <c r="E91" s="16"/>
      <c r="F91" s="16"/>
      <c r="G91" s="16">
        <f>IFERROR(__xludf.DUMMYFUNCTION("""COMPUTED_VALUE"""),350.0)</f>
        <v>350</v>
      </c>
      <c r="H91" s="16">
        <f>IFERROR(__xludf.DUMMYFUNCTION("""COMPUTED_VALUE"""),26.0)</f>
        <v>26</v>
      </c>
      <c r="I91" s="16" t="str">
        <f>IFERROR(__xludf.DUMMYFUNCTION("""COMPUTED_VALUE"""),"1p60")</f>
        <v>1p60</v>
      </c>
      <c r="J91" s="16">
        <f>IFERROR(__xludf.DUMMYFUNCTION("""COMPUTED_VALUE"""),1.0)</f>
        <v>1</v>
      </c>
      <c r="K91" s="16">
        <f>IFERROR(__xludf.DUMMYFUNCTION("""COMPUTED_VALUE"""),18.0)</f>
        <v>18</v>
      </c>
      <c r="L91" s="16">
        <f>IFERROR(__xludf.DUMMYFUNCTION("""COMPUTED_VALUE"""),2.0)</f>
        <v>2</v>
      </c>
      <c r="M91" s="16">
        <f>IFERROR(__xludf.DUMMYFUNCTION("""COMPUTED_VALUE"""),1.0)</f>
        <v>1</v>
      </c>
      <c r="N91" s="16">
        <f>IFERROR(__xludf.DUMMYFUNCTION("""COMPUTED_VALUE"""),2.0)</f>
        <v>2</v>
      </c>
      <c r="O91" s="16">
        <f>IFERROR(__xludf.DUMMYFUNCTION("""COMPUTED_VALUE"""),1.0)</f>
        <v>1</v>
      </c>
      <c r="P91" s="16">
        <f>IFERROR(__xludf.DUMMYFUNCTION("""COMPUTED_VALUE"""),0.0)</f>
        <v>0</v>
      </c>
      <c r="Q91" s="16">
        <f>IFERROR(__xludf.DUMMYFUNCTION("""COMPUTED_VALUE"""),7.0)</f>
        <v>7</v>
      </c>
      <c r="R91" s="16">
        <f>IFERROR(__xludf.DUMMYFUNCTION("""COMPUTED_VALUE"""),-3.0)</f>
        <v>-3</v>
      </c>
      <c r="S91" s="16">
        <f>IFERROR(__xludf.DUMMYFUNCTION("""COMPUTED_VALUE"""),-1.0)</f>
        <v>-1</v>
      </c>
      <c r="T91" s="16">
        <f>IFERROR(__xludf.DUMMYFUNCTION("""COMPUTED_VALUE"""),-3.0)</f>
        <v>-3</v>
      </c>
      <c r="U91" s="16">
        <f>IFERROR(__xludf.DUMMYFUNCTION("""COMPUTED_VALUE"""),-1.0)</f>
        <v>-1</v>
      </c>
      <c r="V91" s="16">
        <f>IFERROR(__xludf.DUMMYFUNCTION("""COMPUTED_VALUE"""),24.4)</f>
        <v>24.4</v>
      </c>
      <c r="W91" s="16">
        <f>IFERROR(__xludf.DUMMYFUNCTION("""COMPUTED_VALUE"""),30.0)</f>
        <v>30</v>
      </c>
      <c r="X91" s="16">
        <f>IFERROR(__xludf.DUMMYFUNCTION("""COMPUTED_VALUE"""),1.0)</f>
        <v>1</v>
      </c>
      <c r="Y91" s="16">
        <f>IFERROR(__xludf.DUMMYFUNCTION("""COMPUTED_VALUE"""),2.0)</f>
        <v>2</v>
      </c>
      <c r="Z91" s="16">
        <f>IFERROR(__xludf.DUMMYFUNCTION("""COMPUTED_VALUE"""),2.0)</f>
        <v>2</v>
      </c>
      <c r="AA91" s="16">
        <f>IFERROR(__xludf.DUMMYFUNCTION("""COMPUTED_VALUE"""),4.0)</f>
        <v>4</v>
      </c>
      <c r="AB91" s="16">
        <f>IFERROR(__xludf.DUMMYFUNCTION("""COMPUTED_VALUE"""),26.4)</f>
        <v>26.4</v>
      </c>
      <c r="AC91" s="16">
        <f>IFERROR(__xludf.DUMMYFUNCTION("""COMPUTED_VALUE"""),39.0)</f>
        <v>39</v>
      </c>
      <c r="AD91" s="16">
        <f>IFERROR(__xludf.DUMMYFUNCTION("""COMPUTED_VALUE"""),-1.0)</f>
        <v>-1</v>
      </c>
      <c r="AE91" s="16">
        <f>IFERROR(__xludf.DUMMYFUNCTION("""COMPUTED_VALUE"""),1.0)</f>
        <v>1</v>
      </c>
      <c r="AF91" s="16">
        <f>IFERROR(__xludf.DUMMYFUNCTION("""COMPUTED_VALUE"""),-5.0)</f>
        <v>-5</v>
      </c>
      <c r="AG91" s="16">
        <f>IFERROR(__xludf.DUMMYFUNCTION("""COMPUTED_VALUE"""),5.0)</f>
        <v>5</v>
      </c>
      <c r="AH91" s="16">
        <f>IFERROR(__xludf.DUMMYFUNCTION("""COMPUTED_VALUE"""),28.4)</f>
        <v>28.4</v>
      </c>
      <c r="AI91" s="16">
        <f>IFERROR(__xludf.DUMMYFUNCTION("""COMPUTED_VALUE"""),46.8)</f>
        <v>46.8</v>
      </c>
      <c r="AJ91" s="16">
        <f>IFERROR(__xludf.DUMMYFUNCTION("""COMPUTED_VALUE"""),0.0)</f>
        <v>0</v>
      </c>
      <c r="AK91" s="16">
        <f>IFERROR(__xludf.DUMMYFUNCTION("""COMPUTED_VALUE"""),2.0)</f>
        <v>2</v>
      </c>
      <c r="AL91" s="16">
        <f>IFERROR(__xludf.DUMMYFUNCTION("""COMPUTED_VALUE"""),0.0)</f>
        <v>0</v>
      </c>
      <c r="AM91" s="16">
        <f>IFERROR(__xludf.DUMMYFUNCTION("""COMPUTED_VALUE"""),10.0)</f>
        <v>10</v>
      </c>
      <c r="AN91" s="16">
        <f>IFERROR(__xludf.DUMMYFUNCTION("""COMPUTED_VALUE"""),1.4)</f>
        <v>1.4</v>
      </c>
      <c r="AO91" s="16">
        <f>IFERROR(__xludf.DUMMYFUNCTION("""COMPUTED_VALUE"""),2.7)</f>
        <v>2.7</v>
      </c>
      <c r="AP91" s="16">
        <f>IFERROR(__xludf.DUMMYFUNCTION("""COMPUTED_VALUE"""),-1.0)</f>
        <v>-1</v>
      </c>
      <c r="AQ91" s="16">
        <f>IFERROR(__xludf.DUMMYFUNCTION("""COMPUTED_VALUE"""),0.0)</f>
        <v>0</v>
      </c>
      <c r="AR91" s="16">
        <f>IFERROR(__xludf.DUMMYFUNCTION("""COMPUTED_VALUE"""),-2.0)</f>
        <v>-2</v>
      </c>
      <c r="AS91" s="16">
        <f>IFERROR(__xludf.DUMMYFUNCTION("""COMPUTED_VALUE"""),0.0)</f>
        <v>0</v>
      </c>
      <c r="AT91" s="16">
        <f>IFERROR(__xludf.DUMMYFUNCTION("""COMPUTED_VALUE"""),0.0)</f>
        <v>0</v>
      </c>
      <c r="AU91" s="16"/>
      <c r="AV91" s="16">
        <f>IFERROR(__xludf.DUMMYFUNCTION("""COMPUTED_VALUE"""),0.0)</f>
        <v>0</v>
      </c>
      <c r="AW91" s="16">
        <f>IFERROR(__xludf.DUMMYFUNCTION("""COMPUTED_VALUE"""),-3.0)</f>
        <v>-3</v>
      </c>
      <c r="AX91" s="16">
        <f>IFERROR(__xludf.DUMMYFUNCTION("""COMPUTED_VALUE"""),-2.0)</f>
        <v>-2</v>
      </c>
      <c r="AY91" s="16">
        <f>IFERROR(__xludf.DUMMYFUNCTION("""COMPUTED_VALUE"""),-3.0)</f>
        <v>-3</v>
      </c>
      <c r="AZ91" s="16">
        <f>IFERROR(__xludf.DUMMYFUNCTION("""COMPUTED_VALUE"""),-6.0)</f>
        <v>-6</v>
      </c>
      <c r="BA91" s="16">
        <f>IFERROR(__xludf.DUMMYFUNCTION("""COMPUTED_VALUE"""),-9.0)</f>
        <v>-9</v>
      </c>
      <c r="BB91" s="16">
        <f>IFERROR(__xludf.DUMMYFUNCTION("""COMPUTED_VALUE"""),5.0)</f>
        <v>5</v>
      </c>
      <c r="BC91" s="16">
        <f>IFERROR(__xludf.DUMMYFUNCTION("""COMPUTED_VALUE"""),5.0)</f>
        <v>5</v>
      </c>
      <c r="BD91" s="16">
        <f>IFERROR(__xludf.DUMMYFUNCTION("""COMPUTED_VALUE"""),1.0)</f>
        <v>1</v>
      </c>
      <c r="BE91" s="16">
        <f>IFERROR(__xludf.DUMMYFUNCTION("""COMPUTED_VALUE"""),1.0)</f>
        <v>1</v>
      </c>
      <c r="BF91" s="16">
        <f>IFERROR(__xludf.DUMMYFUNCTION("""COMPUTED_VALUE"""),1.0)</f>
        <v>1</v>
      </c>
      <c r="BG91" s="16">
        <f>IFERROR(__xludf.DUMMYFUNCTION("""COMPUTED_VALUE"""),1.0)</f>
        <v>1</v>
      </c>
      <c r="BH91" s="16">
        <f>IFERROR(__xludf.DUMMYFUNCTION("""COMPUTED_VALUE"""),-15.0)</f>
        <v>-15</v>
      </c>
      <c r="BI91" s="16">
        <f>IFERROR(__xludf.DUMMYFUNCTION("""COMPUTED_VALUE"""),-14.0)</f>
        <v>-14</v>
      </c>
      <c r="BJ91" s="16">
        <f>IFERROR(__xludf.DUMMYFUNCTION("""COMPUTED_VALUE"""),13.0)</f>
        <v>13</v>
      </c>
      <c r="BK91" s="16">
        <f>IFERROR(__xludf.DUMMYFUNCTION("""COMPUTED_VALUE"""),12.0)</f>
        <v>12</v>
      </c>
      <c r="BL91" s="16">
        <f>IFERROR(__xludf.DUMMYFUNCTION("""COMPUTED_VALUE"""),0.0)</f>
        <v>0</v>
      </c>
      <c r="BM91" s="16">
        <f>IFERROR(__xludf.DUMMYFUNCTION("""COMPUTED_VALUE"""),0.0)</f>
        <v>0</v>
      </c>
      <c r="BN91" s="16">
        <f>IFERROR(__xludf.DUMMYFUNCTION("""COMPUTED_VALUE"""),0.0)</f>
        <v>0</v>
      </c>
      <c r="BO91" s="16">
        <f>IFERROR(__xludf.DUMMYFUNCTION("""COMPUTED_VALUE"""),0.0)</f>
        <v>0</v>
      </c>
      <c r="BP91" s="16">
        <f>IFERROR(__xludf.DUMMYFUNCTION("""COMPUTED_VALUE"""),-3.0)</f>
        <v>-3</v>
      </c>
      <c r="BQ91" s="16">
        <f>IFERROR(__xludf.DUMMYFUNCTION("""COMPUTED_VALUE"""),3.0)</f>
        <v>3</v>
      </c>
      <c r="BR91" s="16">
        <f>IFERROR(__xludf.DUMMYFUNCTION("""COMPUTED_VALUE"""),0.0)</f>
        <v>0</v>
      </c>
      <c r="BS91" s="16" t="str">
        <f>IFERROR(__xludf.DUMMYFUNCTION("""COMPUTED_VALUE"""),"*4-6/- (19-13)")</f>
        <v>*4-6/- (19-13)</v>
      </c>
      <c r="BT91" s="16" t="str">
        <f>IFERROR(__xludf.DUMMYFUNCTION("""COMPUTED_VALUE"""),"A")</f>
        <v>A</v>
      </c>
      <c r="BU91" s="16">
        <f>IFERROR(__xludf.DUMMYFUNCTION("""COMPUTED_VALUE"""),14.0)</f>
        <v>14</v>
      </c>
      <c r="BV91" s="16">
        <f>IFERROR(__xludf.DUMMYFUNCTION("""COMPUTED_VALUE"""),2.0)</f>
        <v>2</v>
      </c>
      <c r="BW91" s="16">
        <f>IFERROR(__xludf.DUMMYFUNCTION("""COMPUTED_VALUE"""),1.0)</f>
        <v>1</v>
      </c>
      <c r="BX91" s="16">
        <f>IFERROR(__xludf.DUMMYFUNCTION("""COMPUTED_VALUE"""),4.0)</f>
        <v>4</v>
      </c>
      <c r="BY91" s="16">
        <f>IFERROR(__xludf.DUMMYFUNCTION("""COMPUTED_VALUE"""),3.0)</f>
        <v>3</v>
      </c>
      <c r="BZ91" s="16" t="str">
        <f>IFERROR(__xludf.DUMMYFUNCTION("""COMPUTED_VALUE"""),"D")</f>
        <v>D</v>
      </c>
      <c r="CA91" s="16" t="str">
        <f>IFERROR(__xludf.DUMMYFUNCTION("""COMPUTED_VALUE"""),"B")</f>
        <v>B</v>
      </c>
      <c r="CB91" s="16">
        <f>IFERROR(__xludf.DUMMYFUNCTION("""COMPUTED_VALUE"""),0.0)</f>
        <v>0</v>
      </c>
      <c r="CC91" s="16">
        <f>IFERROR(__xludf.DUMMYFUNCTION("""COMPUTED_VALUE"""),1.0)</f>
        <v>1</v>
      </c>
      <c r="CD91" s="16">
        <f>IFERROR(__xludf.DUMMYFUNCTION("""COMPUTED_VALUE"""),0.0)</f>
        <v>0</v>
      </c>
      <c r="CE91" s="16">
        <f>IFERROR(__xludf.DUMMYFUNCTION("""COMPUTED_VALUE"""),2.0)</f>
        <v>2</v>
      </c>
      <c r="CF91" s="16">
        <f>IFERROR(__xludf.DUMMYFUNCTION("""COMPUTED_VALUE"""),1.0)</f>
        <v>1</v>
      </c>
      <c r="CG91" s="16">
        <f>IFERROR(__xludf.DUMMYFUNCTION("""COMPUTED_VALUE"""),-11.0)</f>
        <v>-11</v>
      </c>
      <c r="CH91" s="16">
        <f>IFERROR(__xludf.DUMMYFUNCTION("""COMPUTED_VALUE"""),11.0)</f>
        <v>11</v>
      </c>
      <c r="CI91" s="179">
        <f>IFERROR(__xludf.DUMMYFUNCTION("""COMPUTED_VALUE"""),13.0)</f>
        <v>13</v>
      </c>
      <c r="CJ91" s="16"/>
      <c r="CK91" s="16"/>
      <c r="CL91" s="16"/>
      <c r="CM91" s="16"/>
      <c r="CN91" s="16"/>
      <c r="CO91" s="16">
        <f>IFERROR(__xludf.DUMMYFUNCTION("""COMPUTED_VALUE"""),304.0)</f>
        <v>304</v>
      </c>
      <c r="CP91" s="16">
        <f>IFERROR(__xludf.DUMMYFUNCTION("""COMPUTED_VALUE"""),404.0)</f>
        <v>404</v>
      </c>
      <c r="CQ91" s="16">
        <f>IFERROR(__xludf.DUMMYFUNCTION("""COMPUTED_VALUE"""),304.0)</f>
        <v>304</v>
      </c>
      <c r="CR91" s="16" t="str">
        <f>IFERROR(__xludf.DUMMYFUNCTION("""COMPUTED_VALUE"""),"rf-3(0)e4 lf-3e4 cf-4e4")</f>
        <v>rf-3(0)e4 lf-3e4 cf-4e4</v>
      </c>
      <c r="CS91" s="16"/>
      <c r="CT91" s="16"/>
      <c r="CU91" s="16"/>
      <c r="CV91" s="16"/>
      <c r="CW91" s="16"/>
      <c r="CX91" s="16">
        <f>IFERROR(__xludf.DUMMYFUNCTION("""COMPUTED_VALUE"""),3.0)</f>
        <v>3</v>
      </c>
      <c r="CY91" s="16">
        <f>IFERROR(__xludf.DUMMYFUNCTION("""COMPUTED_VALUE"""),4.0)</f>
        <v>4</v>
      </c>
      <c r="CZ91" s="16">
        <f>IFERROR(__xludf.DUMMYFUNCTION("""COMPUTED_VALUE"""),3.0)</f>
        <v>3</v>
      </c>
      <c r="DA91" s="16"/>
      <c r="DB91" s="16"/>
      <c r="DC91" s="16"/>
      <c r="DD91" s="16"/>
      <c r="DE91" s="16"/>
      <c r="DF91" s="16">
        <f>IFERROR(__xludf.DUMMYFUNCTION("""COMPUTED_VALUE"""),4.0)</f>
        <v>4</v>
      </c>
      <c r="DG91" s="16">
        <f>IFERROR(__xludf.DUMMYFUNCTION("""COMPUTED_VALUE"""),4.0)</f>
        <v>4</v>
      </c>
      <c r="DH91" s="16">
        <f>IFERROR(__xludf.DUMMYFUNCTION("""COMPUTED_VALUE"""),4.0)</f>
        <v>4</v>
      </c>
      <c r="DI91" s="16"/>
      <c r="DJ91" s="16"/>
      <c r="DK91" s="16"/>
      <c r="DL91" s="16"/>
      <c r="DM91" s="16"/>
      <c r="DN91" s="16">
        <f>IFERROR(__xludf.DUMMYFUNCTION("""COMPUTED_VALUE"""),0.0)</f>
        <v>0</v>
      </c>
      <c r="DO91" s="16">
        <f>IFERROR(__xludf.DUMMYFUNCTION("""COMPUTED_VALUE"""),-2.0)</f>
        <v>-2</v>
      </c>
      <c r="DP91" s="16">
        <f>IFERROR(__xludf.DUMMYFUNCTION("""COMPUTED_VALUE"""),0.0)</f>
        <v>0</v>
      </c>
      <c r="DQ91" s="16"/>
      <c r="DR91" s="16"/>
      <c r="DS91" s="16"/>
      <c r="DT91" s="16"/>
      <c r="DU91" s="16"/>
      <c r="DV91" s="16">
        <f>IFERROR(__xludf.DUMMYFUNCTION("""COMPUTED_VALUE"""),2.0)</f>
        <v>2</v>
      </c>
      <c r="DW91" s="16">
        <f>IFERROR(__xludf.DUMMYFUNCTION("""COMPUTED_VALUE"""),3.0)</f>
        <v>3</v>
      </c>
      <c r="DX91" s="16">
        <f>IFERROR(__xludf.DUMMYFUNCTION("""COMPUTED_VALUE"""),2.0)</f>
        <v>2</v>
      </c>
      <c r="DY91" s="16"/>
      <c r="DZ91" s="16"/>
      <c r="EA91" s="16"/>
      <c r="EB91" s="16"/>
      <c r="EC91" s="16"/>
      <c r="ED91" s="16">
        <f>IFERROR(__xludf.DUMMYFUNCTION("""COMPUTED_VALUE"""),2.0)</f>
        <v>2</v>
      </c>
      <c r="EE91" s="16">
        <f>IFERROR(__xludf.DUMMYFUNCTION("""COMPUTED_VALUE"""),1.0)</f>
        <v>1</v>
      </c>
      <c r="EF91" s="16">
        <f>IFERROR(__xludf.DUMMYFUNCTION("""COMPUTED_VALUE"""),2.0)</f>
        <v>2</v>
      </c>
      <c r="EG91" s="179"/>
      <c r="EH91" s="179"/>
      <c r="EI91" s="179"/>
      <c r="EJ91" s="179"/>
      <c r="EK91" s="179"/>
      <c r="EL91" s="179">
        <f>IFERROR(__xludf.DUMMYFUNCTION("""COMPUTED_VALUE"""),15.0)</f>
        <v>15</v>
      </c>
      <c r="EM91" s="179">
        <f>IFERROR(__xludf.DUMMYFUNCTION("""COMPUTED_VALUE"""),14.0)</f>
        <v>14</v>
      </c>
      <c r="EN91" s="179">
        <f>IFERROR(__xludf.DUMMYFUNCTION("""COMPUTED_VALUE"""),15.0)</f>
        <v>15</v>
      </c>
      <c r="EO91" s="16"/>
      <c r="EP91" s="16"/>
      <c r="EQ91" s="16">
        <f>IFERROR(__xludf.DUMMYFUNCTION("""COMPUTED_VALUE"""),4.0)</f>
        <v>4</v>
      </c>
      <c r="ER91" s="16">
        <f>IFERROR(__xludf.DUMMYFUNCTION("""COMPUTED_VALUE"""),1.0)</f>
        <v>1</v>
      </c>
      <c r="ES91" s="16"/>
      <c r="ET91" s="16"/>
      <c r="EU91" s="16"/>
      <c r="EV91" s="16"/>
      <c r="EW91" s="16"/>
      <c r="EX91" s="180"/>
      <c r="EY91" s="180"/>
      <c r="EZ91" s="180"/>
      <c r="FA91" s="180"/>
      <c r="FB91" s="180"/>
      <c r="FC91" s="180">
        <f>IFERROR(__xludf.DUMMYFUNCTION("""COMPUTED_VALUE"""),0.3)</f>
        <v>0.3</v>
      </c>
      <c r="FD91" s="180">
        <f>IFERROR(__xludf.DUMMYFUNCTION("""COMPUTED_VALUE"""),0.55)</f>
        <v>0.55</v>
      </c>
      <c r="FE91" s="180">
        <f>IFERROR(__xludf.DUMMYFUNCTION("""COMPUTED_VALUE"""),0.3)</f>
        <v>0.3</v>
      </c>
      <c r="FF91" s="180"/>
      <c r="FG91" s="180"/>
      <c r="FH91" s="180"/>
      <c r="FI91" s="180"/>
      <c r="FJ91" s="180"/>
      <c r="FK91" s="180">
        <f>IFERROR(__xludf.DUMMYFUNCTION("""COMPUTED_VALUE"""),0.069)</f>
        <v>0.069</v>
      </c>
      <c r="FL91" s="180">
        <f>IFERROR(__xludf.DUMMYFUNCTION("""COMPUTED_VALUE"""),0.046296296296296294)</f>
        <v>0.0462962963</v>
      </c>
      <c r="FM91" s="180">
        <f>IFERROR(__xludf.DUMMYFUNCTION("""COMPUTED_VALUE"""),0.069)</f>
        <v>0.069</v>
      </c>
      <c r="FN91" s="16"/>
      <c r="FO91" s="16"/>
      <c r="FP91" s="16"/>
      <c r="FQ91" s="16"/>
      <c r="FR91" s="16"/>
      <c r="FS91" s="16">
        <f>IFERROR(__xludf.DUMMYFUNCTION("""COMPUTED_VALUE"""),0.6517)</f>
        <v>0.6517</v>
      </c>
      <c r="FT91" s="16">
        <f>IFERROR(__xludf.DUMMYFUNCTION("""COMPUTED_VALUE"""),0.42916666666666664)</f>
        <v>0.4291666667</v>
      </c>
      <c r="FU91" s="16">
        <f>IFERROR(__xludf.DUMMYFUNCTION("""COMPUTED_VALUE"""),0.6517)</f>
        <v>0.6517</v>
      </c>
      <c r="FV91" s="16"/>
      <c r="FW91" s="16"/>
      <c r="FX91" s="16"/>
      <c r="FY91" s="16"/>
      <c r="FZ91" s="16"/>
      <c r="GA91" s="16">
        <f>IFERROR(__xludf.DUMMYFUNCTION("""COMPUTED_VALUE"""),-4.0)</f>
        <v>-4</v>
      </c>
      <c r="GB91" s="16">
        <f>IFERROR(__xludf.DUMMYFUNCTION("""COMPUTED_VALUE"""),-8.0)</f>
        <v>-8</v>
      </c>
      <c r="GC91" s="16">
        <f>IFERROR(__xludf.DUMMYFUNCTION("""COMPUTED_VALUE"""),-4.0)</f>
        <v>-4</v>
      </c>
      <c r="GD91" s="16" t="s">
        <v>292</v>
      </c>
    </row>
    <row r="92">
      <c r="A92" s="16">
        <f>IFERROR(__xludf.DUMMYFUNCTION("""COMPUTED_VALUE"""),12613.0)</f>
        <v>12613</v>
      </c>
      <c r="B92" s="16" t="str">
        <f>IFERROR(__xludf.DUMMYFUNCTION("""COMPUTED_VALUE"""),"Brenton Doyle")</f>
        <v>Brenton Doyle</v>
      </c>
      <c r="C92" s="16">
        <f>IFERROR(__xludf.DUMMYFUNCTION("""COMPUTED_VALUE"""),1.92)</f>
        <v>1.92</v>
      </c>
      <c r="D92" s="16" t="str">
        <f>IFERROR(__xludf.DUMMYFUNCTION("""COMPUTED_VALUE"""),"R")</f>
        <v>R</v>
      </c>
      <c r="E92" s="16"/>
      <c r="F92" s="16"/>
      <c r="G92" s="16">
        <f>IFERROR(__xludf.DUMMYFUNCTION("""COMPUTED_VALUE"""),542.0)</f>
        <v>542</v>
      </c>
      <c r="H92" s="16">
        <f>IFERROR(__xludf.DUMMYFUNCTION("""COMPUTED_VALUE"""),46.0)</f>
        <v>46</v>
      </c>
      <c r="I92" s="16" t="str">
        <f>IFERROR(__xludf.DUMMYFUNCTION("""COMPUTED_VALUE"""),"1p70")</f>
        <v>1p70</v>
      </c>
      <c r="J92" s="16">
        <f>IFERROR(__xludf.DUMMYFUNCTION("""COMPUTED_VALUE"""),21.0)</f>
        <v>21</v>
      </c>
      <c r="K92" s="16">
        <f>IFERROR(__xludf.DUMMYFUNCTION("""COMPUTED_VALUE"""),34.0)</f>
        <v>34</v>
      </c>
      <c r="L92" s="16">
        <f>IFERROR(__xludf.DUMMYFUNCTION("""COMPUTED_VALUE"""),0.0)</f>
        <v>0</v>
      </c>
      <c r="M92" s="16">
        <f>IFERROR(__xludf.DUMMYFUNCTION("""COMPUTED_VALUE"""),-1.0)</f>
        <v>-1</v>
      </c>
      <c r="N92" s="16">
        <f>IFERROR(__xludf.DUMMYFUNCTION("""COMPUTED_VALUE"""),0.0)</f>
        <v>0</v>
      </c>
      <c r="O92" s="16">
        <f>IFERROR(__xludf.DUMMYFUNCTION("""COMPUTED_VALUE"""),-1.0)</f>
        <v>-1</v>
      </c>
      <c r="P92" s="16">
        <f>IFERROR(__xludf.DUMMYFUNCTION("""COMPUTED_VALUE"""),4.0)</f>
        <v>4</v>
      </c>
      <c r="Q92" s="16">
        <f>IFERROR(__xludf.DUMMYFUNCTION("""COMPUTED_VALUE"""),10.0)</f>
        <v>10</v>
      </c>
      <c r="R92" s="16">
        <f>IFERROR(__xludf.DUMMYFUNCTION("""COMPUTED_VALUE"""),-2.0)</f>
        <v>-2</v>
      </c>
      <c r="S92" s="16">
        <f>IFERROR(__xludf.DUMMYFUNCTION("""COMPUTED_VALUE"""),0.0)</f>
        <v>0</v>
      </c>
      <c r="T92" s="16">
        <f>IFERROR(__xludf.DUMMYFUNCTION("""COMPUTED_VALUE"""),-2.0)</f>
        <v>-2</v>
      </c>
      <c r="U92" s="16">
        <f>IFERROR(__xludf.DUMMYFUNCTION("""COMPUTED_VALUE"""),0.0)</f>
        <v>0</v>
      </c>
      <c r="V92" s="16">
        <f>IFERROR(__xludf.DUMMYFUNCTION("""COMPUTED_VALUE"""),21.0)</f>
        <v>21</v>
      </c>
      <c r="W92" s="16">
        <f>IFERROR(__xludf.DUMMYFUNCTION("""COMPUTED_VALUE"""),19.5)</f>
        <v>19.5</v>
      </c>
      <c r="X92" s="16">
        <f>IFERROR(__xludf.DUMMYFUNCTION("""COMPUTED_VALUE"""),0.0)</f>
        <v>0</v>
      </c>
      <c r="Y92" s="16">
        <f>IFERROR(__xludf.DUMMYFUNCTION("""COMPUTED_VALUE"""),0.0)</f>
        <v>0</v>
      </c>
      <c r="Z92" s="16">
        <f>IFERROR(__xludf.DUMMYFUNCTION("""COMPUTED_VALUE"""),0.0)</f>
        <v>0</v>
      </c>
      <c r="AA92" s="16">
        <f>IFERROR(__xludf.DUMMYFUNCTION("""COMPUTED_VALUE"""),0.0)</f>
        <v>0</v>
      </c>
      <c r="AB92" s="16">
        <f>IFERROR(__xludf.DUMMYFUNCTION("""COMPUTED_VALUE"""),26.0)</f>
        <v>26</v>
      </c>
      <c r="AC92" s="16">
        <f>IFERROR(__xludf.DUMMYFUNCTION("""COMPUTED_VALUE"""),30.5)</f>
        <v>30.5</v>
      </c>
      <c r="AD92" s="16">
        <f>IFERROR(__xludf.DUMMYFUNCTION("""COMPUTED_VALUE"""),-1.0)</f>
        <v>-1</v>
      </c>
      <c r="AE92" s="16">
        <f>IFERROR(__xludf.DUMMYFUNCTION("""COMPUTED_VALUE"""),0.0)</f>
        <v>0</v>
      </c>
      <c r="AF92" s="16">
        <f>IFERROR(__xludf.DUMMYFUNCTION("""COMPUTED_VALUE"""),-5.0)</f>
        <v>-5</v>
      </c>
      <c r="AG92" s="16">
        <f>IFERROR(__xludf.DUMMYFUNCTION("""COMPUTED_VALUE"""),0.0)</f>
        <v>0</v>
      </c>
      <c r="AH92" s="16">
        <f>IFERROR(__xludf.DUMMYFUNCTION("""COMPUTED_VALUE"""),35.6)</f>
        <v>35.6</v>
      </c>
      <c r="AI92" s="16">
        <f>IFERROR(__xludf.DUMMYFUNCTION("""COMPUTED_VALUE"""),33.7)</f>
        <v>33.7</v>
      </c>
      <c r="AJ92" s="16">
        <f>IFERROR(__xludf.DUMMYFUNCTION("""COMPUTED_VALUE"""),0.0)</f>
        <v>0</v>
      </c>
      <c r="AK92" s="16">
        <f>IFERROR(__xludf.DUMMYFUNCTION("""COMPUTED_VALUE"""),0.0)</f>
        <v>0</v>
      </c>
      <c r="AL92" s="16">
        <f>IFERROR(__xludf.DUMMYFUNCTION("""COMPUTED_VALUE"""),0.0)</f>
        <v>0</v>
      </c>
      <c r="AM92" s="16">
        <f>IFERROR(__xludf.DUMMYFUNCTION("""COMPUTED_VALUE"""),0.0)</f>
        <v>0</v>
      </c>
      <c r="AN92" s="16">
        <f>IFERROR(__xludf.DUMMYFUNCTION("""COMPUTED_VALUE"""),2.3)</f>
        <v>2.3</v>
      </c>
      <c r="AO92" s="16">
        <f>IFERROR(__xludf.DUMMYFUNCTION("""COMPUTED_VALUE"""),3.0)</f>
        <v>3</v>
      </c>
      <c r="AP92" s="16">
        <f>IFERROR(__xludf.DUMMYFUNCTION("""COMPUTED_VALUE"""),0.0)</f>
        <v>0</v>
      </c>
      <c r="AQ92" s="16">
        <f>IFERROR(__xludf.DUMMYFUNCTION("""COMPUTED_VALUE"""),1.0)</f>
        <v>1</v>
      </c>
      <c r="AR92" s="16">
        <f>IFERROR(__xludf.DUMMYFUNCTION("""COMPUTED_VALUE"""),0.0)</f>
        <v>0</v>
      </c>
      <c r="AS92" s="16">
        <f>IFERROR(__xludf.DUMMYFUNCTION("""COMPUTED_VALUE"""),2.0)</f>
        <v>2</v>
      </c>
      <c r="AT92" s="16">
        <f>IFERROR(__xludf.DUMMYFUNCTION("""COMPUTED_VALUE"""),2.0)</f>
        <v>2</v>
      </c>
      <c r="AU92" s="16">
        <f>IFERROR(__xludf.DUMMYFUNCTION("""COMPUTED_VALUE"""),5.0)</f>
        <v>5</v>
      </c>
      <c r="AV92" s="16">
        <f>IFERROR(__xludf.DUMMYFUNCTION("""COMPUTED_VALUE"""),2.0)</f>
        <v>2</v>
      </c>
      <c r="AW92" s="16">
        <f>IFERROR(__xludf.DUMMYFUNCTION("""COMPUTED_VALUE"""),5.0)</f>
        <v>5</v>
      </c>
      <c r="AX92" s="16">
        <f>IFERROR(__xludf.DUMMYFUNCTION("""COMPUTED_VALUE"""),0.0)</f>
        <v>0</v>
      </c>
      <c r="AY92" s="16">
        <f>IFERROR(__xludf.DUMMYFUNCTION("""COMPUTED_VALUE"""),2.0)</f>
        <v>2</v>
      </c>
      <c r="AZ92" s="16">
        <f>IFERROR(__xludf.DUMMYFUNCTION("""COMPUTED_VALUE"""),0.0)</f>
        <v>0</v>
      </c>
      <c r="BA92" s="16">
        <f>IFERROR(__xludf.DUMMYFUNCTION("""COMPUTED_VALUE"""),6.0)</f>
        <v>6</v>
      </c>
      <c r="BB92" s="16">
        <f>IFERROR(__xludf.DUMMYFUNCTION("""COMPUTED_VALUE"""),5.0)</f>
        <v>5</v>
      </c>
      <c r="BC92" s="16">
        <f>IFERROR(__xludf.DUMMYFUNCTION("""COMPUTED_VALUE"""),5.0)</f>
        <v>5</v>
      </c>
      <c r="BD92" s="16">
        <f>IFERROR(__xludf.DUMMYFUNCTION("""COMPUTED_VALUE"""),1.0)</f>
        <v>1</v>
      </c>
      <c r="BE92" s="16">
        <f>IFERROR(__xludf.DUMMYFUNCTION("""COMPUTED_VALUE"""),1.0)</f>
        <v>1</v>
      </c>
      <c r="BF92" s="16">
        <f>IFERROR(__xludf.DUMMYFUNCTION("""COMPUTED_VALUE"""),1.0)</f>
        <v>1</v>
      </c>
      <c r="BG92" s="16">
        <f>IFERROR(__xludf.DUMMYFUNCTION("""COMPUTED_VALUE"""),1.0)</f>
        <v>1</v>
      </c>
      <c r="BH92" s="16">
        <f>IFERROR(__xludf.DUMMYFUNCTION("""COMPUTED_VALUE"""),6.0)</f>
        <v>6</v>
      </c>
      <c r="BI92" s="16">
        <f>IFERROR(__xludf.DUMMYFUNCTION("""COMPUTED_VALUE"""),6.0)</f>
        <v>6</v>
      </c>
      <c r="BJ92" s="16">
        <f>IFERROR(__xludf.DUMMYFUNCTION("""COMPUTED_VALUE"""),19.0)</f>
        <v>19</v>
      </c>
      <c r="BK92" s="16">
        <f>IFERROR(__xludf.DUMMYFUNCTION("""COMPUTED_VALUE"""),15.0)</f>
        <v>15</v>
      </c>
      <c r="BL92" s="16">
        <f>IFERROR(__xludf.DUMMYFUNCTION("""COMPUTED_VALUE"""),-1.0)</f>
        <v>-1</v>
      </c>
      <c r="BM92" s="16">
        <f>IFERROR(__xludf.DUMMYFUNCTION("""COMPUTED_VALUE"""),-1.0)</f>
        <v>-1</v>
      </c>
      <c r="BN92" s="16">
        <f>IFERROR(__xludf.DUMMYFUNCTION("""COMPUTED_VALUE"""),-2.0)</f>
        <v>-2</v>
      </c>
      <c r="BO92" s="16">
        <f>IFERROR(__xludf.DUMMYFUNCTION("""COMPUTED_VALUE"""),-2.0)</f>
        <v>-2</v>
      </c>
      <c r="BP92" s="16">
        <f>IFERROR(__xludf.DUMMYFUNCTION("""COMPUTED_VALUE"""),-3.0)</f>
        <v>-3</v>
      </c>
      <c r="BQ92" s="16">
        <f>IFERROR(__xludf.DUMMYFUNCTION("""COMPUTED_VALUE"""),2.0)</f>
        <v>2</v>
      </c>
      <c r="BR92" s="16">
        <f>IFERROR(__xludf.DUMMYFUNCTION("""COMPUTED_VALUE"""),-1.0)</f>
        <v>-1</v>
      </c>
      <c r="BS92" s="16" t="str">
        <f>IFERROR(__xludf.DUMMYFUNCTION("""COMPUTED_VALUE"""),"*2-5/- (19-13)")</f>
        <v>*2-5/- (19-13)</v>
      </c>
      <c r="BT92" s="16" t="str">
        <f>IFERROR(__xludf.DUMMYFUNCTION("""COMPUTED_VALUE"""),"AA")</f>
        <v>AA</v>
      </c>
      <c r="BU92" s="16">
        <f>IFERROR(__xludf.DUMMYFUNCTION("""COMPUTED_VALUE"""),17.0)</f>
        <v>17</v>
      </c>
      <c r="BV92" s="16">
        <f>IFERROR(__xludf.DUMMYFUNCTION("""COMPUTED_VALUE"""),3.0)</f>
        <v>3</v>
      </c>
      <c r="BW92" s="16">
        <f>IFERROR(__xludf.DUMMYFUNCTION("""COMPUTED_VALUE"""),3.0)</f>
        <v>3</v>
      </c>
      <c r="BX92" s="16">
        <f>IFERROR(__xludf.DUMMYFUNCTION("""COMPUTED_VALUE"""),6.0)</f>
        <v>6</v>
      </c>
      <c r="BY92" s="16">
        <f>IFERROR(__xludf.DUMMYFUNCTION("""COMPUTED_VALUE"""),9.0)</f>
        <v>9</v>
      </c>
      <c r="BZ92" s="16" t="str">
        <f>IFERROR(__xludf.DUMMYFUNCTION("""COMPUTED_VALUE"""),"C")</f>
        <v>C</v>
      </c>
      <c r="CA92" s="16" t="str">
        <f>IFERROR(__xludf.DUMMYFUNCTION("""COMPUTED_VALUE"""),"D")</f>
        <v>D</v>
      </c>
      <c r="CB92" s="16">
        <f>IFERROR(__xludf.DUMMYFUNCTION("""COMPUTED_VALUE"""),0.0)</f>
        <v>0</v>
      </c>
      <c r="CC92" s="16">
        <f>IFERROR(__xludf.DUMMYFUNCTION("""COMPUTED_VALUE"""),0.0)</f>
        <v>0</v>
      </c>
      <c r="CD92" s="16">
        <f>IFERROR(__xludf.DUMMYFUNCTION("""COMPUTED_VALUE"""),0.0)</f>
        <v>0</v>
      </c>
      <c r="CE92" s="16">
        <f>IFERROR(__xludf.DUMMYFUNCTION("""COMPUTED_VALUE"""),0.0)</f>
        <v>0</v>
      </c>
      <c r="CF92" s="16">
        <f>IFERROR(__xludf.DUMMYFUNCTION("""COMPUTED_VALUE"""),1.0)</f>
        <v>1</v>
      </c>
      <c r="CG92" s="16">
        <f>IFERROR(__xludf.DUMMYFUNCTION("""COMPUTED_VALUE"""),-8.0)</f>
        <v>-8</v>
      </c>
      <c r="CH92" s="16">
        <f>IFERROR(__xludf.DUMMYFUNCTION("""COMPUTED_VALUE"""),6.0)</f>
        <v>6</v>
      </c>
      <c r="CI92" s="179">
        <f>IFERROR(__xludf.DUMMYFUNCTION("""COMPUTED_VALUE"""),13.0)</f>
        <v>13</v>
      </c>
      <c r="CJ92" s="16"/>
      <c r="CK92" s="16"/>
      <c r="CL92" s="16"/>
      <c r="CM92" s="16"/>
      <c r="CN92" s="16"/>
      <c r="CO92" s="16"/>
      <c r="CP92" s="16">
        <f>IFERROR(__xludf.DUMMYFUNCTION("""COMPUTED_VALUE"""),105.0)</f>
        <v>105</v>
      </c>
      <c r="CQ92" s="16"/>
      <c r="CR92" s="16" t="str">
        <f>IFERROR(__xludf.DUMMYFUNCTION("""COMPUTED_VALUE"""),"cf-1(-3)e5")</f>
        <v>cf-1(-3)e5</v>
      </c>
      <c r="CS92" s="16"/>
      <c r="CT92" s="16"/>
      <c r="CU92" s="16"/>
      <c r="CV92" s="16"/>
      <c r="CW92" s="16"/>
      <c r="CX92" s="16"/>
      <c r="CY92" s="16">
        <f>IFERROR(__xludf.DUMMYFUNCTION("""COMPUTED_VALUE"""),1.0)</f>
        <v>1</v>
      </c>
      <c r="CZ92" s="16"/>
      <c r="DA92" s="16"/>
      <c r="DB92" s="16"/>
      <c r="DC92" s="16"/>
      <c r="DD92" s="16"/>
      <c r="DE92" s="16"/>
      <c r="DF92" s="16"/>
      <c r="DG92" s="16">
        <f>IFERROR(__xludf.DUMMYFUNCTION("""COMPUTED_VALUE"""),5.0)</f>
        <v>5</v>
      </c>
      <c r="DH92" s="16"/>
      <c r="DI92" s="16"/>
      <c r="DJ92" s="16"/>
      <c r="DK92" s="16"/>
      <c r="DL92" s="16"/>
      <c r="DM92" s="16"/>
      <c r="DN92" s="16"/>
      <c r="DO92" s="16">
        <f>IFERROR(__xludf.DUMMYFUNCTION("""COMPUTED_VALUE"""),4.0)</f>
        <v>4</v>
      </c>
      <c r="DP92" s="16"/>
      <c r="DQ92" s="16"/>
      <c r="DR92" s="16"/>
      <c r="DS92" s="16"/>
      <c r="DT92" s="16"/>
      <c r="DU92" s="16"/>
      <c r="DV92" s="16"/>
      <c r="DW92" s="16">
        <f>IFERROR(__xludf.DUMMYFUNCTION("""COMPUTED_VALUE"""),3.0)</f>
        <v>3</v>
      </c>
      <c r="DX92" s="16"/>
      <c r="DY92" s="16"/>
      <c r="DZ92" s="16"/>
      <c r="EA92" s="16"/>
      <c r="EB92" s="16"/>
      <c r="EC92" s="16"/>
      <c r="ED92" s="16"/>
      <c r="EE92" s="16">
        <f>IFERROR(__xludf.DUMMYFUNCTION("""COMPUTED_VALUE"""),7.0)</f>
        <v>7</v>
      </c>
      <c r="EF92" s="16"/>
      <c r="EG92" s="179"/>
      <c r="EH92" s="179"/>
      <c r="EI92" s="179"/>
      <c r="EJ92" s="179"/>
      <c r="EK92" s="179"/>
      <c r="EL92" s="179"/>
      <c r="EM92" s="179">
        <f>IFERROR(__xludf.DUMMYFUNCTION("""COMPUTED_VALUE"""),20.0)</f>
        <v>20</v>
      </c>
      <c r="EN92" s="179"/>
      <c r="EO92" s="16"/>
      <c r="EP92" s="16">
        <f>IFERROR(__xludf.DUMMYFUNCTION("""COMPUTED_VALUE"""),-1.0)</f>
        <v>-1</v>
      </c>
      <c r="EQ92" s="16">
        <f>IFERROR(__xludf.DUMMYFUNCTION("""COMPUTED_VALUE"""),4.0)</f>
        <v>4</v>
      </c>
      <c r="ER92" s="16">
        <f>IFERROR(__xludf.DUMMYFUNCTION("""COMPUTED_VALUE"""),3.0)</f>
        <v>3</v>
      </c>
      <c r="ES92" s="16"/>
      <c r="ET92" s="16"/>
      <c r="EU92" s="16"/>
      <c r="EV92" s="16"/>
      <c r="EW92" s="16"/>
      <c r="EX92" s="180"/>
      <c r="EY92" s="180"/>
      <c r="EZ92" s="180"/>
      <c r="FA92" s="180"/>
      <c r="FB92" s="180"/>
      <c r="FC92" s="180"/>
      <c r="FD92" s="180">
        <f>IFERROR(__xludf.DUMMYFUNCTION("""COMPUTED_VALUE"""),0.0)</f>
        <v>0</v>
      </c>
      <c r="FE92" s="180"/>
      <c r="FF92" s="180"/>
      <c r="FG92" s="180"/>
      <c r="FH92" s="180"/>
      <c r="FI92" s="180"/>
      <c r="FJ92" s="180"/>
      <c r="FK92" s="180"/>
      <c r="FL92" s="180">
        <f>IFERROR(__xludf.DUMMYFUNCTION("""COMPUTED_VALUE"""),0.06018518518518518)</f>
        <v>0.06018518519</v>
      </c>
      <c r="FM92" s="180"/>
      <c r="FN92" s="16"/>
      <c r="FO92" s="16"/>
      <c r="FP92" s="16"/>
      <c r="FQ92" s="16"/>
      <c r="FR92" s="16"/>
      <c r="FS92" s="16"/>
      <c r="FT92" s="16">
        <f>IFERROR(__xludf.DUMMYFUNCTION("""COMPUTED_VALUE"""),0.9398148148148148)</f>
        <v>0.9398148148</v>
      </c>
      <c r="FU92" s="16"/>
      <c r="FV92" s="16"/>
      <c r="FW92" s="16"/>
      <c r="FX92" s="16"/>
      <c r="FY92" s="16"/>
      <c r="FZ92" s="16"/>
      <c r="GA92" s="16"/>
      <c r="GB92" s="16">
        <f>IFERROR(__xludf.DUMMYFUNCTION("""COMPUTED_VALUE"""),7.0)</f>
        <v>7</v>
      </c>
      <c r="GC92" s="16"/>
      <c r="GD92" s="16" t="s">
        <v>277</v>
      </c>
    </row>
    <row r="93">
      <c r="A93" s="16">
        <f>IFERROR(__xludf.DUMMYFUNCTION("""COMPUTED_VALUE"""),13011.0)</f>
        <v>13011</v>
      </c>
      <c r="B93" s="16" t="str">
        <f>IFERROR(__xludf.DUMMYFUNCTION("""COMPUTED_VALUE"""),"Jose Altuve")</f>
        <v>Jose Altuve</v>
      </c>
      <c r="C93" s="16">
        <f>IFERROR(__xludf.DUMMYFUNCTION("""COMPUTED_VALUE"""),1.45)</f>
        <v>1.45</v>
      </c>
      <c r="D93" s="16" t="str">
        <f>IFERROR(__xludf.DUMMYFUNCTION("""COMPUTED_VALUE"""),"R")</f>
        <v>R</v>
      </c>
      <c r="E93" s="16"/>
      <c r="F93" s="16"/>
      <c r="G93" s="16">
        <f>IFERROR(__xludf.DUMMYFUNCTION("""COMPUTED_VALUE"""),628.0)</f>
        <v>628</v>
      </c>
      <c r="H93" s="16">
        <f>IFERROR(__xludf.DUMMYFUNCTION("""COMPUTED_VALUE"""),47.0)</f>
        <v>47</v>
      </c>
      <c r="I93" s="16" t="str">
        <f>IFERROR(__xludf.DUMMYFUNCTION("""COMPUTED_VALUE"""),"1p70")</f>
        <v>1p70</v>
      </c>
      <c r="J93" s="16">
        <f>IFERROR(__xludf.DUMMYFUNCTION("""COMPUTED_VALUE"""),12.0)</f>
        <v>12</v>
      </c>
      <c r="K93" s="16">
        <f>IFERROR(__xludf.DUMMYFUNCTION("""COMPUTED_VALUE"""),13.0)</f>
        <v>13</v>
      </c>
      <c r="L93" s="16">
        <f>IFERROR(__xludf.DUMMYFUNCTION("""COMPUTED_VALUE"""),1.0)</f>
        <v>1</v>
      </c>
      <c r="M93" s="16">
        <f>IFERROR(__xludf.DUMMYFUNCTION("""COMPUTED_VALUE"""),1.0)</f>
        <v>1</v>
      </c>
      <c r="N93" s="16">
        <f>IFERROR(__xludf.DUMMYFUNCTION("""COMPUTED_VALUE"""),1.0)</f>
        <v>1</v>
      </c>
      <c r="O93" s="16">
        <f>IFERROR(__xludf.DUMMYFUNCTION("""COMPUTED_VALUE"""),1.0)</f>
        <v>1</v>
      </c>
      <c r="P93" s="16">
        <f>IFERROR(__xludf.DUMMYFUNCTION("""COMPUTED_VALUE"""),5.0)</f>
        <v>5</v>
      </c>
      <c r="Q93" s="16">
        <f>IFERROR(__xludf.DUMMYFUNCTION("""COMPUTED_VALUE"""),7.0)</f>
        <v>7</v>
      </c>
      <c r="R93" s="16">
        <f>IFERROR(__xludf.DUMMYFUNCTION("""COMPUTED_VALUE"""),-1.0)</f>
        <v>-1</v>
      </c>
      <c r="S93" s="16">
        <f>IFERROR(__xludf.DUMMYFUNCTION("""COMPUTED_VALUE"""),-1.0)</f>
        <v>-1</v>
      </c>
      <c r="T93" s="16">
        <f>IFERROR(__xludf.DUMMYFUNCTION("""COMPUTED_VALUE"""),-1.0)</f>
        <v>-1</v>
      </c>
      <c r="U93" s="16">
        <f>IFERROR(__xludf.DUMMYFUNCTION("""COMPUTED_VALUE"""),-1.0)</f>
        <v>-1</v>
      </c>
      <c r="V93" s="16">
        <f>IFERROR(__xludf.DUMMYFUNCTION("""COMPUTED_VALUE"""),45.5)</f>
        <v>45.5</v>
      </c>
      <c r="W93" s="16">
        <f>IFERROR(__xludf.DUMMYFUNCTION("""COMPUTED_VALUE"""),25.4)</f>
        <v>25.4</v>
      </c>
      <c r="X93" s="16">
        <f>IFERROR(__xludf.DUMMYFUNCTION("""COMPUTED_VALUE"""),3.0)</f>
        <v>3</v>
      </c>
      <c r="Y93" s="16">
        <f>IFERROR(__xludf.DUMMYFUNCTION("""COMPUTED_VALUE"""),1.0)</f>
        <v>1</v>
      </c>
      <c r="Z93" s="16">
        <f>IFERROR(__xludf.DUMMYFUNCTION("""COMPUTED_VALUE"""),6.0)</f>
        <v>6</v>
      </c>
      <c r="AA93" s="16">
        <f>IFERROR(__xludf.DUMMYFUNCTION("""COMPUTED_VALUE"""),2.0)</f>
        <v>2</v>
      </c>
      <c r="AB93" s="16">
        <f>IFERROR(__xludf.DUMMYFUNCTION("""COMPUTED_VALUE"""),52.5)</f>
        <v>52.5</v>
      </c>
      <c r="AC93" s="16">
        <f>IFERROR(__xludf.DUMMYFUNCTION("""COMPUTED_VALUE"""),34.3)</f>
        <v>34.3</v>
      </c>
      <c r="AD93" s="16">
        <f>IFERROR(__xludf.DUMMYFUNCTION("""COMPUTED_VALUE"""),2.0)</f>
        <v>2</v>
      </c>
      <c r="AE93" s="16">
        <f>IFERROR(__xludf.DUMMYFUNCTION("""COMPUTED_VALUE"""),0.0)</f>
        <v>0</v>
      </c>
      <c r="AF93" s="16">
        <f>IFERROR(__xludf.DUMMYFUNCTION("""COMPUTED_VALUE"""),10.0)</f>
        <v>10</v>
      </c>
      <c r="AG93" s="16">
        <f>IFERROR(__xludf.DUMMYFUNCTION("""COMPUTED_VALUE"""),0.0)</f>
        <v>0</v>
      </c>
      <c r="AH93" s="16">
        <f>IFERROR(__xludf.DUMMYFUNCTION("""COMPUTED_VALUE"""),61.1)</f>
        <v>61.1</v>
      </c>
      <c r="AI93" s="16">
        <f>IFERROR(__xludf.DUMMYFUNCTION("""COMPUTED_VALUE"""),33.3)</f>
        <v>33.3</v>
      </c>
      <c r="AJ93" s="16">
        <f>IFERROR(__xludf.DUMMYFUNCTION("""COMPUTED_VALUE"""),2.0)</f>
        <v>2</v>
      </c>
      <c r="AK93" s="16">
        <f>IFERROR(__xludf.DUMMYFUNCTION("""COMPUTED_VALUE"""),0.0)</f>
        <v>0</v>
      </c>
      <c r="AL93" s="16">
        <f>IFERROR(__xludf.DUMMYFUNCTION("""COMPUTED_VALUE"""),10.0)</f>
        <v>10</v>
      </c>
      <c r="AM93" s="16">
        <f>IFERROR(__xludf.DUMMYFUNCTION("""COMPUTED_VALUE"""),0.0)</f>
        <v>0</v>
      </c>
      <c r="AN93" s="16">
        <f>IFERROR(__xludf.DUMMYFUNCTION("""COMPUTED_VALUE"""),1.0)</f>
        <v>1</v>
      </c>
      <c r="AO93" s="16">
        <f>IFERROR(__xludf.DUMMYFUNCTION("""COMPUTED_VALUE"""),2.0)</f>
        <v>2</v>
      </c>
      <c r="AP93" s="16">
        <f>IFERROR(__xludf.DUMMYFUNCTION("""COMPUTED_VALUE"""),-2.0)</f>
        <v>-2</v>
      </c>
      <c r="AQ93" s="16">
        <f>IFERROR(__xludf.DUMMYFUNCTION("""COMPUTED_VALUE"""),-1.0)</f>
        <v>-1</v>
      </c>
      <c r="AR93" s="16">
        <f>IFERROR(__xludf.DUMMYFUNCTION("""COMPUTED_VALUE"""),-4.0)</f>
        <v>-4</v>
      </c>
      <c r="AS93" s="16">
        <f>IFERROR(__xludf.DUMMYFUNCTION("""COMPUTED_VALUE"""),-2.0)</f>
        <v>-2</v>
      </c>
      <c r="AT93" s="16">
        <f>IFERROR(__xludf.DUMMYFUNCTION("""COMPUTED_VALUE"""),1.0)</f>
        <v>1</v>
      </c>
      <c r="AU93" s="16">
        <f>IFERROR(__xludf.DUMMYFUNCTION("""COMPUTED_VALUE"""),3.0)</f>
        <v>3</v>
      </c>
      <c r="AV93" s="16">
        <f>IFERROR(__xludf.DUMMYFUNCTION("""COMPUTED_VALUE"""),1.0)</f>
        <v>1</v>
      </c>
      <c r="AW93" s="16">
        <f>IFERROR(__xludf.DUMMYFUNCTION("""COMPUTED_VALUE"""),3.0)</f>
        <v>3</v>
      </c>
      <c r="AX93" s="16">
        <f>IFERROR(__xludf.DUMMYFUNCTION("""COMPUTED_VALUE"""),-1.0)</f>
        <v>-1</v>
      </c>
      <c r="AY93" s="16">
        <f>IFERROR(__xludf.DUMMYFUNCTION("""COMPUTED_VALUE"""),0.0)</f>
        <v>0</v>
      </c>
      <c r="AZ93" s="16">
        <f>IFERROR(__xludf.DUMMYFUNCTION("""COMPUTED_VALUE"""),-3.0)</f>
        <v>-3</v>
      </c>
      <c r="BA93" s="16">
        <f>IFERROR(__xludf.DUMMYFUNCTION("""COMPUTED_VALUE"""),0.0)</f>
        <v>0</v>
      </c>
      <c r="BB93" s="16">
        <f>IFERROR(__xludf.DUMMYFUNCTION("""COMPUTED_VALUE"""),5.0)</f>
        <v>5</v>
      </c>
      <c r="BC93" s="16">
        <f>IFERROR(__xludf.DUMMYFUNCTION("""COMPUTED_VALUE"""),5.0)</f>
        <v>5</v>
      </c>
      <c r="BD93" s="16">
        <f>IFERROR(__xludf.DUMMYFUNCTION("""COMPUTED_VALUE"""),1.0)</f>
        <v>1</v>
      </c>
      <c r="BE93" s="16">
        <f>IFERROR(__xludf.DUMMYFUNCTION("""COMPUTED_VALUE"""),1.0)</f>
        <v>1</v>
      </c>
      <c r="BF93" s="16">
        <f>IFERROR(__xludf.DUMMYFUNCTION("""COMPUTED_VALUE"""),1.0)</f>
        <v>1</v>
      </c>
      <c r="BG93" s="16">
        <f>IFERROR(__xludf.DUMMYFUNCTION("""COMPUTED_VALUE"""),1.0)</f>
        <v>1</v>
      </c>
      <c r="BH93" s="16">
        <f>IFERROR(__xludf.DUMMYFUNCTION("""COMPUTED_VALUE"""),-3.0)</f>
        <v>-3</v>
      </c>
      <c r="BI93" s="16">
        <f>IFERROR(__xludf.DUMMYFUNCTION("""COMPUTED_VALUE"""),-3.0)</f>
        <v>-3</v>
      </c>
      <c r="BJ93" s="16">
        <f>IFERROR(__xludf.DUMMYFUNCTION("""COMPUTED_VALUE"""),18.0)</f>
        <v>18</v>
      </c>
      <c r="BK93" s="16">
        <f>IFERROR(__xludf.DUMMYFUNCTION("""COMPUTED_VALUE"""),17.0)</f>
        <v>17</v>
      </c>
      <c r="BL93" s="16">
        <f>IFERROR(__xludf.DUMMYFUNCTION("""COMPUTED_VALUE"""),-1.0)</f>
        <v>-1</v>
      </c>
      <c r="BM93" s="16">
        <f>IFERROR(__xludf.DUMMYFUNCTION("""COMPUTED_VALUE"""),-1.0)</f>
        <v>-1</v>
      </c>
      <c r="BN93" s="16">
        <f>IFERROR(__xludf.DUMMYFUNCTION("""COMPUTED_VALUE"""),-2.0)</f>
        <v>-2</v>
      </c>
      <c r="BO93" s="16">
        <f>IFERROR(__xludf.DUMMYFUNCTION("""COMPUTED_VALUE"""),-2.0)</f>
        <v>-2</v>
      </c>
      <c r="BP93" s="16">
        <f>IFERROR(__xludf.DUMMYFUNCTION("""COMPUTED_VALUE"""),4.0)</f>
        <v>4</v>
      </c>
      <c r="BQ93" s="16">
        <f>IFERROR(__xludf.DUMMYFUNCTION("""COMPUTED_VALUE"""),0.0)</f>
        <v>0</v>
      </c>
      <c r="BR93" s="16">
        <f>IFERROR(__xludf.DUMMYFUNCTION("""COMPUTED_VALUE"""),4.0)</f>
        <v>4</v>
      </c>
      <c r="BS93" s="16" t="str">
        <f>IFERROR(__xludf.DUMMYFUNCTION("""COMPUTED_VALUE"""),"*2-5/- (17-12)")</f>
        <v>*2-5/- (17-12)</v>
      </c>
      <c r="BT93" s="16" t="str">
        <f>IFERROR(__xludf.DUMMYFUNCTION("""COMPUTED_VALUE"""),"A")</f>
        <v>A</v>
      </c>
      <c r="BU93" s="16">
        <f>IFERROR(__xludf.DUMMYFUNCTION("""COMPUTED_VALUE"""),14.0)</f>
        <v>14</v>
      </c>
      <c r="BV93" s="16">
        <f>IFERROR(__xludf.DUMMYFUNCTION("""COMPUTED_VALUE"""),2.0)</f>
        <v>2</v>
      </c>
      <c r="BW93" s="16">
        <f>IFERROR(__xludf.DUMMYFUNCTION("""COMPUTED_VALUE"""),1.0)</f>
        <v>1</v>
      </c>
      <c r="BX93" s="16">
        <f>IFERROR(__xludf.DUMMYFUNCTION("""COMPUTED_VALUE"""),4.0)</f>
        <v>4</v>
      </c>
      <c r="BY93" s="16">
        <f>IFERROR(__xludf.DUMMYFUNCTION("""COMPUTED_VALUE"""),3.0)</f>
        <v>3</v>
      </c>
      <c r="BZ93" s="16" t="str">
        <f>IFERROR(__xludf.DUMMYFUNCTION("""COMPUTED_VALUE"""),"B")</f>
        <v>B</v>
      </c>
      <c r="CA93" s="16" t="str">
        <f>IFERROR(__xludf.DUMMYFUNCTION("""COMPUTED_VALUE"""),"D")</f>
        <v>D</v>
      </c>
      <c r="CB93" s="16">
        <f>IFERROR(__xludf.DUMMYFUNCTION("""COMPUTED_VALUE"""),1.0)</f>
        <v>1</v>
      </c>
      <c r="CC93" s="16">
        <f>IFERROR(__xludf.DUMMYFUNCTION("""COMPUTED_VALUE"""),0.0)</f>
        <v>0</v>
      </c>
      <c r="CD93" s="16">
        <f>IFERROR(__xludf.DUMMYFUNCTION("""COMPUTED_VALUE"""),1.0)</f>
        <v>1</v>
      </c>
      <c r="CE93" s="16">
        <f>IFERROR(__xludf.DUMMYFUNCTION("""COMPUTED_VALUE"""),0.0)</f>
        <v>0</v>
      </c>
      <c r="CF93" s="16">
        <f>IFERROR(__xludf.DUMMYFUNCTION("""COMPUTED_VALUE"""),1.0)</f>
        <v>1</v>
      </c>
      <c r="CG93" s="16">
        <f>IFERROR(__xludf.DUMMYFUNCTION("""COMPUTED_VALUE"""),18.0)</f>
        <v>18</v>
      </c>
      <c r="CH93" s="16">
        <f>IFERROR(__xludf.DUMMYFUNCTION("""COMPUTED_VALUE"""),-1.0)</f>
        <v>-1</v>
      </c>
      <c r="CI93" s="179">
        <f>IFERROR(__xludf.DUMMYFUNCTION("""COMPUTED_VALUE"""),13.0)</f>
        <v>13</v>
      </c>
      <c r="CJ93" s="16"/>
      <c r="CK93" s="16"/>
      <c r="CL93" s="16">
        <f>IFERROR(__xludf.DUMMYFUNCTION("""COMPUTED_VALUE"""),406.0)</f>
        <v>406</v>
      </c>
      <c r="CM93" s="16"/>
      <c r="CN93" s="16"/>
      <c r="CO93" s="16"/>
      <c r="CP93" s="16"/>
      <c r="CQ93" s="16"/>
      <c r="CR93" s="16" t="str">
        <f>IFERROR(__xludf.DUMMYFUNCTION("""COMPUTED_VALUE"""),"2b-4e6")</f>
        <v>2b-4e6</v>
      </c>
      <c r="CS93" s="16"/>
      <c r="CT93" s="16"/>
      <c r="CU93" s="16">
        <f>IFERROR(__xludf.DUMMYFUNCTION("""COMPUTED_VALUE"""),4.0)</f>
        <v>4</v>
      </c>
      <c r="CV93" s="16"/>
      <c r="CW93" s="16"/>
      <c r="CX93" s="16"/>
      <c r="CY93" s="16"/>
      <c r="CZ93" s="16"/>
      <c r="DA93" s="16"/>
      <c r="DB93" s="16"/>
      <c r="DC93" s="16">
        <f>IFERROR(__xludf.DUMMYFUNCTION("""COMPUTED_VALUE"""),6.0)</f>
        <v>6</v>
      </c>
      <c r="DD93" s="16"/>
      <c r="DE93" s="16"/>
      <c r="DF93" s="16"/>
      <c r="DG93" s="16"/>
      <c r="DH93" s="16"/>
      <c r="DI93" s="16"/>
      <c r="DJ93" s="16"/>
      <c r="DK93" s="16">
        <f>IFERROR(__xludf.DUMMYFUNCTION("""COMPUTED_VALUE"""),-2.0)</f>
        <v>-2</v>
      </c>
      <c r="DL93" s="16"/>
      <c r="DM93" s="16"/>
      <c r="DN93" s="16"/>
      <c r="DO93" s="16"/>
      <c r="DP93" s="16"/>
      <c r="DQ93" s="16"/>
      <c r="DR93" s="16"/>
      <c r="DS93" s="16">
        <f>IFERROR(__xludf.DUMMYFUNCTION("""COMPUTED_VALUE"""),3.0)</f>
        <v>3</v>
      </c>
      <c r="DT93" s="16"/>
      <c r="DU93" s="16"/>
      <c r="DV93" s="16"/>
      <c r="DW93" s="16"/>
      <c r="DX93" s="16"/>
      <c r="DY93" s="16"/>
      <c r="DZ93" s="16"/>
      <c r="EA93" s="16">
        <f>IFERROR(__xludf.DUMMYFUNCTION("""COMPUTED_VALUE"""),1.0)</f>
        <v>1</v>
      </c>
      <c r="EB93" s="16"/>
      <c r="EC93" s="16"/>
      <c r="ED93" s="16"/>
      <c r="EE93" s="16"/>
      <c r="EF93" s="16"/>
      <c r="EG93" s="179"/>
      <c r="EH93" s="179"/>
      <c r="EI93" s="179">
        <f>IFERROR(__xludf.DUMMYFUNCTION("""COMPUTED_VALUE"""),14.0)</f>
        <v>14</v>
      </c>
      <c r="EJ93" s="179"/>
      <c r="EK93" s="179"/>
      <c r="EL93" s="179"/>
      <c r="EM93" s="179"/>
      <c r="EN93" s="179"/>
      <c r="EO93" s="16"/>
      <c r="EP93" s="16"/>
      <c r="EQ93" s="16">
        <f>IFERROR(__xludf.DUMMYFUNCTION("""COMPUTED_VALUE"""),4.0)</f>
        <v>4</v>
      </c>
      <c r="ER93" s="16">
        <f>IFERROR(__xludf.DUMMYFUNCTION("""COMPUTED_VALUE"""),3.0)</f>
        <v>3</v>
      </c>
      <c r="ES93" s="16"/>
      <c r="ET93" s="16"/>
      <c r="EU93" s="16"/>
      <c r="EV93" s="16"/>
      <c r="EW93" s="16"/>
      <c r="EX93" s="180"/>
      <c r="EY93" s="180"/>
      <c r="EZ93" s="180">
        <f>IFERROR(__xludf.DUMMYFUNCTION("""COMPUTED_VALUE"""),0.3)</f>
        <v>0.3</v>
      </c>
      <c r="FA93" s="180"/>
      <c r="FB93" s="180"/>
      <c r="FC93" s="180"/>
      <c r="FD93" s="180"/>
      <c r="FE93" s="180"/>
      <c r="FF93" s="180"/>
      <c r="FG93" s="180"/>
      <c r="FH93" s="180">
        <f>IFERROR(__xludf.DUMMYFUNCTION("""COMPUTED_VALUE"""),0.037037037037037035)</f>
        <v>0.03703703704</v>
      </c>
      <c r="FI93" s="180"/>
      <c r="FJ93" s="180"/>
      <c r="FK93" s="180"/>
      <c r="FL93" s="180"/>
      <c r="FM93" s="180"/>
      <c r="FN93" s="16"/>
      <c r="FO93" s="16"/>
      <c r="FP93" s="16">
        <f>IFERROR(__xludf.DUMMYFUNCTION("""COMPUTED_VALUE"""),0.674074074074074)</f>
        <v>0.6740740741</v>
      </c>
      <c r="FQ93" s="16"/>
      <c r="FR93" s="16"/>
      <c r="FS93" s="16"/>
      <c r="FT93" s="16"/>
      <c r="FU93" s="16"/>
      <c r="FV93" s="16"/>
      <c r="FW93" s="16"/>
      <c r="FX93" s="16">
        <f>IFERROR(__xludf.DUMMYFUNCTION("""COMPUTED_VALUE"""),-4.0)</f>
        <v>-4</v>
      </c>
      <c r="FY93" s="16"/>
      <c r="FZ93" s="16"/>
      <c r="GA93" s="16"/>
      <c r="GB93" s="16"/>
      <c r="GC93" s="16"/>
      <c r="GD93" s="16" t="s">
        <v>387</v>
      </c>
    </row>
    <row r="94">
      <c r="A94" s="16">
        <f>IFERROR(__xludf.DUMMYFUNCTION("""COMPUTED_VALUE"""),13349.0)</f>
        <v>13349</v>
      </c>
      <c r="B94" s="16" t="str">
        <f>IFERROR(__xludf.DUMMYFUNCTION("""COMPUTED_VALUE"""),"Salvador Perez")</f>
        <v>Salvador Perez</v>
      </c>
      <c r="C94" s="16">
        <f>IFERROR(__xludf.DUMMYFUNCTION("""COMPUTED_VALUE"""),1.11)</f>
        <v>1.11</v>
      </c>
      <c r="D94" s="16" t="str">
        <f>IFERROR(__xludf.DUMMYFUNCTION("""COMPUTED_VALUE"""),"R")</f>
        <v>R</v>
      </c>
      <c r="E94" s="16"/>
      <c r="F94" s="16"/>
      <c r="G94" s="16">
        <f>IFERROR(__xludf.DUMMYFUNCTION("""COMPUTED_VALUE"""),590.0)</f>
        <v>590</v>
      </c>
      <c r="H94" s="16">
        <f>IFERROR(__xludf.DUMMYFUNCTION("""COMPUTED_VALUE"""),44.0)</f>
        <v>44</v>
      </c>
      <c r="I94" s="16" t="str">
        <f>IFERROR(__xludf.DUMMYFUNCTION("""COMPUTED_VALUE"""),"1p70")</f>
        <v>1p70</v>
      </c>
      <c r="J94" s="16">
        <f>IFERROR(__xludf.DUMMYFUNCTION("""COMPUTED_VALUE"""),16.0)</f>
        <v>16</v>
      </c>
      <c r="K94" s="16">
        <f>IFERROR(__xludf.DUMMYFUNCTION("""COMPUTED_VALUE"""),19.0)</f>
        <v>19</v>
      </c>
      <c r="L94" s="16">
        <f>IFERROR(__xludf.DUMMYFUNCTION("""COMPUTED_VALUE"""),1.0)</f>
        <v>1</v>
      </c>
      <c r="M94" s="16">
        <f>IFERROR(__xludf.DUMMYFUNCTION("""COMPUTED_VALUE"""),1.0)</f>
        <v>1</v>
      </c>
      <c r="N94" s="16">
        <f>IFERROR(__xludf.DUMMYFUNCTION("""COMPUTED_VALUE"""),1.0)</f>
        <v>1</v>
      </c>
      <c r="O94" s="16">
        <f>IFERROR(__xludf.DUMMYFUNCTION("""COMPUTED_VALUE"""),1.0)</f>
        <v>1</v>
      </c>
      <c r="P94" s="16">
        <f>IFERROR(__xludf.DUMMYFUNCTION("""COMPUTED_VALUE"""),0.0)</f>
        <v>0</v>
      </c>
      <c r="Q94" s="16">
        <f>IFERROR(__xludf.DUMMYFUNCTION("""COMPUTED_VALUE"""),6.0)</f>
        <v>6</v>
      </c>
      <c r="R94" s="16">
        <f>IFERROR(__xludf.DUMMYFUNCTION("""COMPUTED_VALUE"""),-3.0)</f>
        <v>-3</v>
      </c>
      <c r="S94" s="16">
        <f>IFERROR(__xludf.DUMMYFUNCTION("""COMPUTED_VALUE"""),-1.0)</f>
        <v>-1</v>
      </c>
      <c r="T94" s="16">
        <f>IFERROR(__xludf.DUMMYFUNCTION("""COMPUTED_VALUE"""),-3.0)</f>
        <v>-3</v>
      </c>
      <c r="U94" s="16">
        <f>IFERROR(__xludf.DUMMYFUNCTION("""COMPUTED_VALUE"""),-1.0)</f>
        <v>-1</v>
      </c>
      <c r="V94" s="16">
        <f>IFERROR(__xludf.DUMMYFUNCTION("""COMPUTED_VALUE"""),28.0)</f>
        <v>28</v>
      </c>
      <c r="W94" s="16">
        <f>IFERROR(__xludf.DUMMYFUNCTION("""COMPUTED_VALUE"""),21.5)</f>
        <v>21.5</v>
      </c>
      <c r="X94" s="16">
        <f>IFERROR(__xludf.DUMMYFUNCTION("""COMPUTED_VALUE"""),1.0)</f>
        <v>1</v>
      </c>
      <c r="Y94" s="16">
        <f>IFERROR(__xludf.DUMMYFUNCTION("""COMPUTED_VALUE"""),0.0)</f>
        <v>0</v>
      </c>
      <c r="Z94" s="16">
        <f>IFERROR(__xludf.DUMMYFUNCTION("""COMPUTED_VALUE"""),2.0)</f>
        <v>2</v>
      </c>
      <c r="AA94" s="16">
        <f>IFERROR(__xludf.DUMMYFUNCTION("""COMPUTED_VALUE"""),0.0)</f>
        <v>0</v>
      </c>
      <c r="AB94" s="16">
        <f>IFERROR(__xludf.DUMMYFUNCTION("""COMPUTED_VALUE"""),32.0)</f>
        <v>32</v>
      </c>
      <c r="AC94" s="16">
        <f>IFERROR(__xludf.DUMMYFUNCTION("""COMPUTED_VALUE"""),31.5)</f>
        <v>31.5</v>
      </c>
      <c r="AD94" s="16">
        <f>IFERROR(__xludf.DUMMYFUNCTION("""COMPUTED_VALUE"""),0.0)</f>
        <v>0</v>
      </c>
      <c r="AE94" s="16">
        <f>IFERROR(__xludf.DUMMYFUNCTION("""COMPUTED_VALUE"""),0.0)</f>
        <v>0</v>
      </c>
      <c r="AF94" s="16">
        <f>IFERROR(__xludf.DUMMYFUNCTION("""COMPUTED_VALUE"""),0.0)</f>
        <v>0</v>
      </c>
      <c r="AG94" s="16">
        <f>IFERROR(__xludf.DUMMYFUNCTION("""COMPUTED_VALUE"""),0.0)</f>
        <v>0</v>
      </c>
      <c r="AH94" s="16">
        <f>IFERROR(__xludf.DUMMYFUNCTION("""COMPUTED_VALUE"""),45.7)</f>
        <v>45.7</v>
      </c>
      <c r="AI94" s="16">
        <f>IFERROR(__xludf.DUMMYFUNCTION("""COMPUTED_VALUE"""),35.1)</f>
        <v>35.1</v>
      </c>
      <c r="AJ94" s="16">
        <f>IFERROR(__xludf.DUMMYFUNCTION("""COMPUTED_VALUE"""),1.0)</f>
        <v>1</v>
      </c>
      <c r="AK94" s="16">
        <f>IFERROR(__xludf.DUMMYFUNCTION("""COMPUTED_VALUE"""),0.0)</f>
        <v>0</v>
      </c>
      <c r="AL94" s="16">
        <f>IFERROR(__xludf.DUMMYFUNCTION("""COMPUTED_VALUE"""),5.0)</f>
        <v>5</v>
      </c>
      <c r="AM94" s="16">
        <f>IFERROR(__xludf.DUMMYFUNCTION("""COMPUTED_VALUE"""),0.0)</f>
        <v>0</v>
      </c>
      <c r="AN94" s="16">
        <f>IFERROR(__xludf.DUMMYFUNCTION("""COMPUTED_VALUE"""),5.8)</f>
        <v>5.8</v>
      </c>
      <c r="AO94" s="16">
        <f>IFERROR(__xludf.DUMMYFUNCTION("""COMPUTED_VALUE"""),2.7)</f>
        <v>2.7</v>
      </c>
      <c r="AP94" s="16">
        <f>IFERROR(__xludf.DUMMYFUNCTION("""COMPUTED_VALUE"""),3.0)</f>
        <v>3</v>
      </c>
      <c r="AQ94" s="16">
        <f>IFERROR(__xludf.DUMMYFUNCTION("""COMPUTED_VALUE"""),0.0)</f>
        <v>0</v>
      </c>
      <c r="AR94" s="16">
        <f>IFERROR(__xludf.DUMMYFUNCTION("""COMPUTED_VALUE"""),6.0)</f>
        <v>6</v>
      </c>
      <c r="AS94" s="16">
        <f>IFERROR(__xludf.DUMMYFUNCTION("""COMPUTED_VALUE"""),0.0)</f>
        <v>0</v>
      </c>
      <c r="AT94" s="16">
        <f>IFERROR(__xludf.DUMMYFUNCTION("""COMPUTED_VALUE"""),8.0)</f>
        <v>8</v>
      </c>
      <c r="AU94" s="16">
        <f>IFERROR(__xludf.DUMMYFUNCTION("""COMPUTED_VALUE"""),5.0)</f>
        <v>5</v>
      </c>
      <c r="AV94" s="16">
        <f>IFERROR(__xludf.DUMMYFUNCTION("""COMPUTED_VALUE"""),8.0)</f>
        <v>8</v>
      </c>
      <c r="AW94" s="16">
        <f>IFERROR(__xludf.DUMMYFUNCTION("""COMPUTED_VALUE"""),5.0)</f>
        <v>5</v>
      </c>
      <c r="AX94" s="16">
        <f>IFERROR(__xludf.DUMMYFUNCTION("""COMPUTED_VALUE"""),3.0)</f>
        <v>3</v>
      </c>
      <c r="AY94" s="16">
        <f>IFERROR(__xludf.DUMMYFUNCTION("""COMPUTED_VALUE"""),2.0)</f>
        <v>2</v>
      </c>
      <c r="AZ94" s="16">
        <f>IFERROR(__xludf.DUMMYFUNCTION("""COMPUTED_VALUE"""),9.0)</f>
        <v>9</v>
      </c>
      <c r="BA94" s="16">
        <f>IFERROR(__xludf.DUMMYFUNCTION("""COMPUTED_VALUE"""),6.0)</f>
        <v>6</v>
      </c>
      <c r="BB94" s="16">
        <f>IFERROR(__xludf.DUMMYFUNCTION("""COMPUTED_VALUE"""),5.0)</f>
        <v>5</v>
      </c>
      <c r="BC94" s="16">
        <f>IFERROR(__xludf.DUMMYFUNCTION("""COMPUTED_VALUE"""),5.0)</f>
        <v>5</v>
      </c>
      <c r="BD94" s="16">
        <f>IFERROR(__xludf.DUMMYFUNCTION("""COMPUTED_VALUE"""),1.0)</f>
        <v>1</v>
      </c>
      <c r="BE94" s="16">
        <f>IFERROR(__xludf.DUMMYFUNCTION("""COMPUTED_VALUE"""),1.0)</f>
        <v>1</v>
      </c>
      <c r="BF94" s="16">
        <f>IFERROR(__xludf.DUMMYFUNCTION("""COMPUTED_VALUE"""),1.0)</f>
        <v>1</v>
      </c>
      <c r="BG94" s="16">
        <f>IFERROR(__xludf.DUMMYFUNCTION("""COMPUTED_VALUE"""),1.0)</f>
        <v>1</v>
      </c>
      <c r="BH94" s="16">
        <f>IFERROR(__xludf.DUMMYFUNCTION("""COMPUTED_VALUE"""),0.0)</f>
        <v>0</v>
      </c>
      <c r="BI94" s="16">
        <f>IFERROR(__xludf.DUMMYFUNCTION("""COMPUTED_VALUE"""),0.0)</f>
        <v>0</v>
      </c>
      <c r="BJ94" s="16">
        <f>IFERROR(__xludf.DUMMYFUNCTION("""COMPUTED_VALUE"""),20.0)</f>
        <v>20</v>
      </c>
      <c r="BK94" s="16">
        <f>IFERROR(__xludf.DUMMYFUNCTION("""COMPUTED_VALUE"""),20.0)</f>
        <v>20</v>
      </c>
      <c r="BL94" s="16">
        <f>IFERROR(__xludf.DUMMYFUNCTION("""COMPUTED_VALUE"""),-2.0)</f>
        <v>-2</v>
      </c>
      <c r="BM94" s="16">
        <f>IFERROR(__xludf.DUMMYFUNCTION("""COMPUTED_VALUE"""),-2.0)</f>
        <v>-2</v>
      </c>
      <c r="BN94" s="16">
        <f>IFERROR(__xludf.DUMMYFUNCTION("""COMPUTED_VALUE"""),-4.0)</f>
        <v>-4</v>
      </c>
      <c r="BO94" s="16">
        <f>IFERROR(__xludf.DUMMYFUNCTION("""COMPUTED_VALUE"""),-4.0)</f>
        <v>-4</v>
      </c>
      <c r="BP94" s="16">
        <f>IFERROR(__xludf.DUMMYFUNCTION("""COMPUTED_VALUE"""),5.0)</f>
        <v>5</v>
      </c>
      <c r="BQ94" s="16">
        <f>IFERROR(__xludf.DUMMYFUNCTION("""COMPUTED_VALUE"""),1.0)</f>
        <v>1</v>
      </c>
      <c r="BR94" s="16">
        <f>IFERROR(__xludf.DUMMYFUNCTION("""COMPUTED_VALUE"""),6.0)</f>
        <v>6</v>
      </c>
      <c r="BS94" s="16" t="str">
        <f>IFERROR(__xludf.DUMMYFUNCTION("""COMPUTED_VALUE"""),"-/- (---)")</f>
        <v>-/- (---)</v>
      </c>
      <c r="BT94" s="16" t="str">
        <f>IFERROR(__xludf.DUMMYFUNCTION("""COMPUTED_VALUE"""),"E")</f>
        <v>E</v>
      </c>
      <c r="BU94" s="16">
        <f>IFERROR(__xludf.DUMMYFUNCTION("""COMPUTED_VALUE"""),8.0)</f>
        <v>8</v>
      </c>
      <c r="BV94" s="16">
        <f>IFERROR(__xludf.DUMMYFUNCTION("""COMPUTED_VALUE"""),0.0)</f>
        <v>0</v>
      </c>
      <c r="BW94" s="16">
        <f>IFERROR(__xludf.DUMMYFUNCTION("""COMPUTED_VALUE"""),-1.0)</f>
        <v>-1</v>
      </c>
      <c r="BX94" s="16">
        <f>IFERROR(__xludf.DUMMYFUNCTION("""COMPUTED_VALUE"""),0.0)</f>
        <v>0</v>
      </c>
      <c r="BY94" s="16">
        <f>IFERROR(__xludf.DUMMYFUNCTION("""COMPUTED_VALUE"""),-3.0)</f>
        <v>-3</v>
      </c>
      <c r="BZ94" s="16" t="str">
        <f>IFERROR(__xludf.DUMMYFUNCTION("""COMPUTED_VALUE"""),"D")</f>
        <v>D</v>
      </c>
      <c r="CA94" s="16" t="str">
        <f>IFERROR(__xludf.DUMMYFUNCTION("""COMPUTED_VALUE"""),"D")</f>
        <v>D</v>
      </c>
      <c r="CB94" s="16">
        <f>IFERROR(__xludf.DUMMYFUNCTION("""COMPUTED_VALUE"""),0.0)</f>
        <v>0</v>
      </c>
      <c r="CC94" s="16">
        <f>IFERROR(__xludf.DUMMYFUNCTION("""COMPUTED_VALUE"""),0.0)</f>
        <v>0</v>
      </c>
      <c r="CD94" s="16">
        <f>IFERROR(__xludf.DUMMYFUNCTION("""COMPUTED_VALUE"""),0.0)</f>
        <v>0</v>
      </c>
      <c r="CE94" s="16">
        <f>IFERROR(__xludf.DUMMYFUNCTION("""COMPUTED_VALUE"""),0.0)</f>
        <v>0</v>
      </c>
      <c r="CF94" s="16">
        <f>IFERROR(__xludf.DUMMYFUNCTION("""COMPUTED_VALUE"""),1.0)</f>
        <v>1</v>
      </c>
      <c r="CG94" s="16">
        <f>IFERROR(__xludf.DUMMYFUNCTION("""COMPUTED_VALUE"""),17.0)</f>
        <v>17</v>
      </c>
      <c r="CH94" s="16">
        <f>IFERROR(__xludf.DUMMYFUNCTION("""COMPUTED_VALUE"""),3.0)</f>
        <v>3</v>
      </c>
      <c r="CI94" s="179">
        <f>IFERROR(__xludf.DUMMYFUNCTION("""COMPUTED_VALUE"""),13.0)</f>
        <v>13</v>
      </c>
      <c r="CJ94" s="16">
        <f>IFERROR(__xludf.DUMMYFUNCTION("""COMPUTED_VALUE"""),301.0)</f>
        <v>301</v>
      </c>
      <c r="CK94" s="16">
        <f>IFERROR(__xludf.DUMMYFUNCTION("""COMPUTED_VALUE"""),303.0)</f>
        <v>303</v>
      </c>
      <c r="CL94" s="16"/>
      <c r="CM94" s="16"/>
      <c r="CN94" s="16"/>
      <c r="CO94" s="16"/>
      <c r="CP94" s="16"/>
      <c r="CQ94" s="16"/>
      <c r="CR94" s="16" t="str">
        <f>IFERROR(__xludf.DUMMYFUNCTION("""COMPUTED_VALUE"""),"c-3(-2)e1,T-13(pb-0) 1b-3e3")</f>
        <v>c-3(-2)e1,T-13(pb-0) 1b-3e3</v>
      </c>
      <c r="CS94" s="16">
        <f>IFERROR(__xludf.DUMMYFUNCTION("""COMPUTED_VALUE"""),3.0)</f>
        <v>3</v>
      </c>
      <c r="CT94" s="16">
        <f>IFERROR(__xludf.DUMMYFUNCTION("""COMPUTED_VALUE"""),3.0)</f>
        <v>3</v>
      </c>
      <c r="CU94" s="16"/>
      <c r="CV94" s="16"/>
      <c r="CW94" s="16"/>
      <c r="CX94" s="16"/>
      <c r="CY94" s="16"/>
      <c r="CZ94" s="16"/>
      <c r="DA94" s="16">
        <f>IFERROR(__xludf.DUMMYFUNCTION("""COMPUTED_VALUE"""),1.0)</f>
        <v>1</v>
      </c>
      <c r="DB94" s="16">
        <f>IFERROR(__xludf.DUMMYFUNCTION("""COMPUTED_VALUE"""),3.0)</f>
        <v>3</v>
      </c>
      <c r="DC94" s="16"/>
      <c r="DD94" s="16"/>
      <c r="DE94" s="16"/>
      <c r="DF94" s="16"/>
      <c r="DG94" s="16"/>
      <c r="DH94" s="16"/>
      <c r="DI94" s="16">
        <f>IFERROR(__xludf.DUMMYFUNCTION("""COMPUTED_VALUE"""),0.0)</f>
        <v>0</v>
      </c>
      <c r="DJ94" s="16">
        <f>IFERROR(__xludf.DUMMYFUNCTION("""COMPUTED_VALUE"""),1.0)</f>
        <v>1</v>
      </c>
      <c r="DK94" s="16"/>
      <c r="DL94" s="16"/>
      <c r="DM94" s="16"/>
      <c r="DN94" s="16"/>
      <c r="DO94" s="16"/>
      <c r="DP94" s="16"/>
      <c r="DQ94" s="16">
        <f>IFERROR(__xludf.DUMMYFUNCTION("""COMPUTED_VALUE"""),4.0)</f>
        <v>4</v>
      </c>
      <c r="DR94" s="16">
        <f>IFERROR(__xludf.DUMMYFUNCTION("""COMPUTED_VALUE"""),4.0)</f>
        <v>4</v>
      </c>
      <c r="DS94" s="16"/>
      <c r="DT94" s="16"/>
      <c r="DU94" s="16"/>
      <c r="DV94" s="16"/>
      <c r="DW94" s="16"/>
      <c r="DX94" s="16"/>
      <c r="DY94" s="16">
        <f>IFERROR(__xludf.DUMMYFUNCTION("""COMPUTED_VALUE"""),4.0)</f>
        <v>4</v>
      </c>
      <c r="DZ94" s="16">
        <f>IFERROR(__xludf.DUMMYFUNCTION("""COMPUTED_VALUE"""),5.0)</f>
        <v>5</v>
      </c>
      <c r="EA94" s="16"/>
      <c r="EB94" s="16"/>
      <c r="EC94" s="16"/>
      <c r="ED94" s="16"/>
      <c r="EE94" s="16"/>
      <c r="EF94" s="16"/>
      <c r="EG94" s="179">
        <f>IFERROR(__xludf.DUMMYFUNCTION("""COMPUTED_VALUE"""),17.0)</f>
        <v>17</v>
      </c>
      <c r="EH94" s="179">
        <f>IFERROR(__xludf.DUMMYFUNCTION("""COMPUTED_VALUE"""),18.0)</f>
        <v>18</v>
      </c>
      <c r="EI94" s="179"/>
      <c r="EJ94" s="179"/>
      <c r="EK94" s="179"/>
      <c r="EL94" s="179"/>
      <c r="EM94" s="179"/>
      <c r="EN94" s="179"/>
      <c r="EO94" s="16"/>
      <c r="EP94" s="16">
        <f>IFERROR(__xludf.DUMMYFUNCTION("""COMPUTED_VALUE"""),0.0)</f>
        <v>0</v>
      </c>
      <c r="EQ94" s="16">
        <f>IFERROR(__xludf.DUMMYFUNCTION("""COMPUTED_VALUE"""),4.0)</f>
        <v>4</v>
      </c>
      <c r="ER94" s="16">
        <f>IFERROR(__xludf.DUMMYFUNCTION("""COMPUTED_VALUE"""),3.0)</f>
        <v>3</v>
      </c>
      <c r="ES94" s="16"/>
      <c r="ET94" s="16"/>
      <c r="EU94" s="16"/>
      <c r="EV94" s="16"/>
      <c r="EW94" s="16"/>
      <c r="EX94" s="180">
        <f>IFERROR(__xludf.DUMMYFUNCTION("""COMPUTED_VALUE"""),0.2)</f>
        <v>0.2</v>
      </c>
      <c r="EY94" s="180">
        <f>IFERROR(__xludf.DUMMYFUNCTION("""COMPUTED_VALUE"""),0.2)</f>
        <v>0.2</v>
      </c>
      <c r="EZ94" s="180"/>
      <c r="FA94" s="180"/>
      <c r="FB94" s="180"/>
      <c r="FC94" s="180"/>
      <c r="FD94" s="180"/>
      <c r="FE94" s="180"/>
      <c r="FF94" s="180">
        <f>IFERROR(__xludf.DUMMYFUNCTION("""COMPUTED_VALUE"""),0.014)</f>
        <v>0.014</v>
      </c>
      <c r="FG94" s="180">
        <f>IFERROR(__xludf.DUMMYFUNCTION("""COMPUTED_VALUE"""),0.05555555555555555)</f>
        <v>0.05555555556</v>
      </c>
      <c r="FH94" s="180"/>
      <c r="FI94" s="180"/>
      <c r="FJ94" s="180"/>
      <c r="FK94" s="180"/>
      <c r="FL94" s="180"/>
      <c r="FM94" s="180"/>
      <c r="FN94" s="16">
        <f>IFERROR(__xludf.DUMMYFUNCTION("""COMPUTED_VALUE"""),0.7888000000000001)</f>
        <v>0.7888</v>
      </c>
      <c r="FO94" s="16">
        <f>IFERROR(__xludf.DUMMYFUNCTION("""COMPUTED_VALUE"""),0.7555555555555555)</f>
        <v>0.7555555556</v>
      </c>
      <c r="FP94" s="16"/>
      <c r="FQ94" s="16"/>
      <c r="FR94" s="16"/>
      <c r="FS94" s="16"/>
      <c r="FT94" s="16"/>
      <c r="FU94" s="16"/>
      <c r="FV94" s="16">
        <f>IFERROR(__xludf.DUMMYFUNCTION("""COMPUTED_VALUE"""),-1.0)</f>
        <v>-1</v>
      </c>
      <c r="FW94" s="16">
        <f>IFERROR(__xludf.DUMMYFUNCTION("""COMPUTED_VALUE"""),-1.0)</f>
        <v>-1</v>
      </c>
      <c r="FX94" s="16"/>
      <c r="FY94" s="16"/>
      <c r="FZ94" s="16"/>
      <c r="GA94" s="16"/>
      <c r="GB94" s="16"/>
      <c r="GC94" s="16"/>
      <c r="GD94" s="16" t="s">
        <v>387</v>
      </c>
    </row>
    <row r="95">
      <c r="A95" s="16">
        <f>IFERROR(__xludf.DUMMYFUNCTION("""COMPUTED_VALUE"""),13518.0)</f>
        <v>13518</v>
      </c>
      <c r="B95" s="16" t="str">
        <f>IFERROR(__xludf.DUMMYFUNCTION("""COMPUTED_VALUE"""),"Zach Neto")</f>
        <v>Zach Neto</v>
      </c>
      <c r="C95" s="16">
        <f>IFERROR(__xludf.DUMMYFUNCTION("""COMPUTED_VALUE"""),2.46)</f>
        <v>2.46</v>
      </c>
      <c r="D95" s="16" t="str">
        <f>IFERROR(__xludf.DUMMYFUNCTION("""COMPUTED_VALUE"""),"R")</f>
        <v>R</v>
      </c>
      <c r="E95" s="16"/>
      <c r="F95" s="16"/>
      <c r="G95" s="16">
        <f>IFERROR(__xludf.DUMMYFUNCTION("""COMPUTED_VALUE"""),542.0)</f>
        <v>542</v>
      </c>
      <c r="H95" s="16">
        <f>IFERROR(__xludf.DUMMYFUNCTION("""COMPUTED_VALUE"""),39.0)</f>
        <v>39</v>
      </c>
      <c r="I95" s="16" t="str">
        <f>IFERROR(__xludf.DUMMYFUNCTION("""COMPUTED_VALUE"""),"1p70")</f>
        <v>1p70</v>
      </c>
      <c r="J95" s="16">
        <f>IFERROR(__xludf.DUMMYFUNCTION("""COMPUTED_VALUE"""),16.0)</f>
        <v>16</v>
      </c>
      <c r="K95" s="16">
        <f>IFERROR(__xludf.DUMMYFUNCTION("""COMPUTED_VALUE"""),26.0)</f>
        <v>26</v>
      </c>
      <c r="L95" s="16">
        <f>IFERROR(__xludf.DUMMYFUNCTION("""COMPUTED_VALUE"""),1.0)</f>
        <v>1</v>
      </c>
      <c r="M95" s="16">
        <f>IFERROR(__xludf.DUMMYFUNCTION("""COMPUTED_VALUE"""),0.0)</f>
        <v>0</v>
      </c>
      <c r="N95" s="16">
        <f>IFERROR(__xludf.DUMMYFUNCTION("""COMPUTED_VALUE"""),1.0)</f>
        <v>1</v>
      </c>
      <c r="O95" s="16">
        <f>IFERROR(__xludf.DUMMYFUNCTION("""COMPUTED_VALUE"""),0.0)</f>
        <v>0</v>
      </c>
      <c r="P95" s="16">
        <f>IFERROR(__xludf.DUMMYFUNCTION("""COMPUTED_VALUE"""),4.0)</f>
        <v>4</v>
      </c>
      <c r="Q95" s="16">
        <f>IFERROR(__xludf.DUMMYFUNCTION("""COMPUTED_VALUE"""),6.0)</f>
        <v>6</v>
      </c>
      <c r="R95" s="16">
        <f>IFERROR(__xludf.DUMMYFUNCTION("""COMPUTED_VALUE"""),-2.0)</f>
        <v>-2</v>
      </c>
      <c r="S95" s="16">
        <f>IFERROR(__xludf.DUMMYFUNCTION("""COMPUTED_VALUE"""),-1.0)</f>
        <v>-1</v>
      </c>
      <c r="T95" s="16">
        <f>IFERROR(__xludf.DUMMYFUNCTION("""COMPUTED_VALUE"""),-2.0)</f>
        <v>-2</v>
      </c>
      <c r="U95" s="16">
        <f>IFERROR(__xludf.DUMMYFUNCTION("""COMPUTED_VALUE"""),-1.0)</f>
        <v>-1</v>
      </c>
      <c r="V95" s="16">
        <f>IFERROR(__xludf.DUMMYFUNCTION("""COMPUTED_VALUE"""),37.3)</f>
        <v>37.3</v>
      </c>
      <c r="W95" s="16">
        <f>IFERROR(__xludf.DUMMYFUNCTION("""COMPUTED_VALUE"""),15.6)</f>
        <v>15.6</v>
      </c>
      <c r="X95" s="16">
        <f>IFERROR(__xludf.DUMMYFUNCTION("""COMPUTED_VALUE"""),2.0)</f>
        <v>2</v>
      </c>
      <c r="Y95" s="16">
        <f>IFERROR(__xludf.DUMMYFUNCTION("""COMPUTED_VALUE"""),-1.0)</f>
        <v>-1</v>
      </c>
      <c r="Z95" s="16">
        <f>IFERROR(__xludf.DUMMYFUNCTION("""COMPUTED_VALUE"""),4.0)</f>
        <v>4</v>
      </c>
      <c r="AA95" s="16">
        <f>IFERROR(__xludf.DUMMYFUNCTION("""COMPUTED_VALUE"""),-2.0)</f>
        <v>-2</v>
      </c>
      <c r="AB95" s="16">
        <f>IFERROR(__xludf.DUMMYFUNCTION("""COMPUTED_VALUE"""),47.3)</f>
        <v>47.3</v>
      </c>
      <c r="AC95" s="16">
        <f>IFERROR(__xludf.DUMMYFUNCTION("""COMPUTED_VALUE"""),27.6)</f>
        <v>27.6</v>
      </c>
      <c r="AD95" s="16">
        <f>IFERROR(__xludf.DUMMYFUNCTION("""COMPUTED_VALUE"""),2.0)</f>
        <v>2</v>
      </c>
      <c r="AE95" s="16">
        <f>IFERROR(__xludf.DUMMYFUNCTION("""COMPUTED_VALUE"""),-1.0)</f>
        <v>-1</v>
      </c>
      <c r="AF95" s="16">
        <f>IFERROR(__xludf.DUMMYFUNCTION("""COMPUTED_VALUE"""),10.0)</f>
        <v>10</v>
      </c>
      <c r="AG95" s="16">
        <f>IFERROR(__xludf.DUMMYFUNCTION("""COMPUTED_VALUE"""),-5.0)</f>
        <v>-5</v>
      </c>
      <c r="AH95" s="16">
        <f>IFERROR(__xludf.DUMMYFUNCTION("""COMPUTED_VALUE"""),56.8)</f>
        <v>56.8</v>
      </c>
      <c r="AI95" s="16">
        <f>IFERROR(__xludf.DUMMYFUNCTION("""COMPUTED_VALUE"""),30.7)</f>
        <v>30.7</v>
      </c>
      <c r="AJ95" s="16">
        <f>IFERROR(__xludf.DUMMYFUNCTION("""COMPUTED_VALUE"""),2.0)</f>
        <v>2</v>
      </c>
      <c r="AK95" s="16">
        <f>IFERROR(__xludf.DUMMYFUNCTION("""COMPUTED_VALUE"""),0.0)</f>
        <v>0</v>
      </c>
      <c r="AL95" s="16">
        <f>IFERROR(__xludf.DUMMYFUNCTION("""COMPUTED_VALUE"""),10.0)</f>
        <v>10</v>
      </c>
      <c r="AM95" s="16">
        <f>IFERROR(__xludf.DUMMYFUNCTION("""COMPUTED_VALUE"""),0.0)</f>
        <v>0</v>
      </c>
      <c r="AN95" s="16">
        <f>IFERROR(__xludf.DUMMYFUNCTION("""COMPUTED_VALUE"""),3.2)</f>
        <v>3.2</v>
      </c>
      <c r="AO95" s="16">
        <f>IFERROR(__xludf.DUMMYFUNCTION("""COMPUTED_VALUE"""),2.7)</f>
        <v>2.7</v>
      </c>
      <c r="AP95" s="16">
        <f>IFERROR(__xludf.DUMMYFUNCTION("""COMPUTED_VALUE"""),1.0)</f>
        <v>1</v>
      </c>
      <c r="AQ95" s="16">
        <f>IFERROR(__xludf.DUMMYFUNCTION("""COMPUTED_VALUE"""),0.0)</f>
        <v>0</v>
      </c>
      <c r="AR95" s="16">
        <f>IFERROR(__xludf.DUMMYFUNCTION("""COMPUTED_VALUE"""),2.0)</f>
        <v>2</v>
      </c>
      <c r="AS95" s="16">
        <f>IFERROR(__xludf.DUMMYFUNCTION("""COMPUTED_VALUE"""),0.0)</f>
        <v>0</v>
      </c>
      <c r="AT95" s="16">
        <f>IFERROR(__xludf.DUMMYFUNCTION("""COMPUTED_VALUE"""),5.0)</f>
        <v>5</v>
      </c>
      <c r="AU95" s="16">
        <f>IFERROR(__xludf.DUMMYFUNCTION("""COMPUTED_VALUE"""),4.0)</f>
        <v>4</v>
      </c>
      <c r="AV95" s="16">
        <f>IFERROR(__xludf.DUMMYFUNCTION("""COMPUTED_VALUE"""),5.0)</f>
        <v>5</v>
      </c>
      <c r="AW95" s="16">
        <f>IFERROR(__xludf.DUMMYFUNCTION("""COMPUTED_VALUE"""),4.0)</f>
        <v>4</v>
      </c>
      <c r="AX95" s="16">
        <f>IFERROR(__xludf.DUMMYFUNCTION("""COMPUTED_VALUE"""),3.0)</f>
        <v>3</v>
      </c>
      <c r="AY95" s="16">
        <f>IFERROR(__xludf.DUMMYFUNCTION("""COMPUTED_VALUE"""),1.0)</f>
        <v>1</v>
      </c>
      <c r="AZ95" s="16">
        <f>IFERROR(__xludf.DUMMYFUNCTION("""COMPUTED_VALUE"""),9.0)</f>
        <v>9</v>
      </c>
      <c r="BA95" s="16">
        <f>IFERROR(__xludf.DUMMYFUNCTION("""COMPUTED_VALUE"""),3.0)</f>
        <v>3</v>
      </c>
      <c r="BB95" s="16">
        <f>IFERROR(__xludf.DUMMYFUNCTION("""COMPUTED_VALUE"""),5.0)</f>
        <v>5</v>
      </c>
      <c r="BC95" s="16">
        <f>IFERROR(__xludf.DUMMYFUNCTION("""COMPUTED_VALUE"""),5.0)</f>
        <v>5</v>
      </c>
      <c r="BD95" s="16">
        <f>IFERROR(__xludf.DUMMYFUNCTION("""COMPUTED_VALUE"""),1.0)</f>
        <v>1</v>
      </c>
      <c r="BE95" s="16">
        <f>IFERROR(__xludf.DUMMYFUNCTION("""COMPUTED_VALUE"""),1.0)</f>
        <v>1</v>
      </c>
      <c r="BF95" s="16">
        <f>IFERROR(__xludf.DUMMYFUNCTION("""COMPUTED_VALUE"""),1.0)</f>
        <v>1</v>
      </c>
      <c r="BG95" s="16">
        <f>IFERROR(__xludf.DUMMYFUNCTION("""COMPUTED_VALUE"""),1.0)</f>
        <v>1</v>
      </c>
      <c r="BH95" s="16">
        <f>IFERROR(__xludf.DUMMYFUNCTION("""COMPUTED_VALUE"""),-2.0)</f>
        <v>-2</v>
      </c>
      <c r="BI95" s="16">
        <f>IFERROR(__xludf.DUMMYFUNCTION("""COMPUTED_VALUE"""),-2.0)</f>
        <v>-2</v>
      </c>
      <c r="BJ95" s="16">
        <f>IFERROR(__xludf.DUMMYFUNCTION("""COMPUTED_VALUE"""),16.0)</f>
        <v>16</v>
      </c>
      <c r="BK95" s="16">
        <f>IFERROR(__xludf.DUMMYFUNCTION("""COMPUTED_VALUE"""),18.0)</f>
        <v>18</v>
      </c>
      <c r="BL95" s="16">
        <f>IFERROR(__xludf.DUMMYFUNCTION("""COMPUTED_VALUE"""),-1.0)</f>
        <v>-1</v>
      </c>
      <c r="BM95" s="16">
        <f>IFERROR(__xludf.DUMMYFUNCTION("""COMPUTED_VALUE"""),-1.0)</f>
        <v>-1</v>
      </c>
      <c r="BN95" s="16">
        <f>IFERROR(__xludf.DUMMYFUNCTION("""COMPUTED_VALUE"""),-2.0)</f>
        <v>-2</v>
      </c>
      <c r="BO95" s="16">
        <f>IFERROR(__xludf.DUMMYFUNCTION("""COMPUTED_VALUE"""),-2.0)</f>
        <v>-2</v>
      </c>
      <c r="BP95" s="16">
        <f>IFERROR(__xludf.DUMMYFUNCTION("""COMPUTED_VALUE"""),9.0)</f>
        <v>9</v>
      </c>
      <c r="BQ95" s="16">
        <f>IFERROR(__xludf.DUMMYFUNCTION("""COMPUTED_VALUE"""),-2.0)</f>
        <v>-2</v>
      </c>
      <c r="BR95" s="16">
        <f>IFERROR(__xludf.DUMMYFUNCTION("""COMPUTED_VALUE"""),7.0)</f>
        <v>7</v>
      </c>
      <c r="BS95" s="16" t="str">
        <f>IFERROR(__xludf.DUMMYFUNCTION("""COMPUTED_VALUE"""),"*2-6/- (18-14)")</f>
        <v>*2-6/- (18-14)</v>
      </c>
      <c r="BT95" s="16" t="str">
        <f>IFERROR(__xludf.DUMMYFUNCTION("""COMPUTED_VALUE"""),"A")</f>
        <v>A</v>
      </c>
      <c r="BU95" s="16">
        <f>IFERROR(__xludf.DUMMYFUNCTION("""COMPUTED_VALUE"""),14.0)</f>
        <v>14</v>
      </c>
      <c r="BV95" s="16">
        <f>IFERROR(__xludf.DUMMYFUNCTION("""COMPUTED_VALUE"""),2.0)</f>
        <v>2</v>
      </c>
      <c r="BW95" s="16">
        <f>IFERROR(__xludf.DUMMYFUNCTION("""COMPUTED_VALUE"""),1.0)</f>
        <v>1</v>
      </c>
      <c r="BX95" s="16">
        <f>IFERROR(__xludf.DUMMYFUNCTION("""COMPUTED_VALUE"""),4.0)</f>
        <v>4</v>
      </c>
      <c r="BY95" s="16">
        <f>IFERROR(__xludf.DUMMYFUNCTION("""COMPUTED_VALUE"""),3.0)</f>
        <v>3</v>
      </c>
      <c r="BZ95" s="16" t="str">
        <f>IFERROR(__xludf.DUMMYFUNCTION("""COMPUTED_VALUE"""),"B")</f>
        <v>B</v>
      </c>
      <c r="CA95" s="16" t="str">
        <f>IFERROR(__xludf.DUMMYFUNCTION("""COMPUTED_VALUE"""),"C")</f>
        <v>C</v>
      </c>
      <c r="CB95" s="16">
        <f>IFERROR(__xludf.DUMMYFUNCTION("""COMPUTED_VALUE"""),1.0)</f>
        <v>1</v>
      </c>
      <c r="CC95" s="16">
        <f>IFERROR(__xludf.DUMMYFUNCTION("""COMPUTED_VALUE"""),0.0)</f>
        <v>0</v>
      </c>
      <c r="CD95" s="16">
        <f>IFERROR(__xludf.DUMMYFUNCTION("""COMPUTED_VALUE"""),1.0)</f>
        <v>1</v>
      </c>
      <c r="CE95" s="16">
        <f>IFERROR(__xludf.DUMMYFUNCTION("""COMPUTED_VALUE"""),0.0)</f>
        <v>0</v>
      </c>
      <c r="CF95" s="16">
        <f>IFERROR(__xludf.DUMMYFUNCTION("""COMPUTED_VALUE"""),1.0)</f>
        <v>1</v>
      </c>
      <c r="CG95" s="16">
        <f>IFERROR(__xludf.DUMMYFUNCTION("""COMPUTED_VALUE"""),33.0)</f>
        <v>33</v>
      </c>
      <c r="CH95" s="16">
        <f>IFERROR(__xludf.DUMMYFUNCTION("""COMPUTED_VALUE"""),-6.0)</f>
        <v>-6</v>
      </c>
      <c r="CI95" s="179">
        <f>IFERROR(__xludf.DUMMYFUNCTION("""COMPUTED_VALUE"""),13.0)</f>
        <v>13</v>
      </c>
      <c r="CJ95" s="16"/>
      <c r="CK95" s="16"/>
      <c r="CL95" s="16"/>
      <c r="CM95" s="16"/>
      <c r="CN95" s="16">
        <f>IFERROR(__xludf.DUMMYFUNCTION("""COMPUTED_VALUE"""),219.0)</f>
        <v>219</v>
      </c>
      <c r="CO95" s="16"/>
      <c r="CP95" s="16"/>
      <c r="CQ95" s="16"/>
      <c r="CR95" s="16" t="str">
        <f>IFERROR(__xludf.DUMMYFUNCTION("""COMPUTED_VALUE"""),"ss-2e19")</f>
        <v>ss-2e19</v>
      </c>
      <c r="CS95" s="16"/>
      <c r="CT95" s="16"/>
      <c r="CU95" s="16"/>
      <c r="CV95" s="16"/>
      <c r="CW95" s="16">
        <f>IFERROR(__xludf.DUMMYFUNCTION("""COMPUTED_VALUE"""),2.0)</f>
        <v>2</v>
      </c>
      <c r="CX95" s="16"/>
      <c r="CY95" s="16"/>
      <c r="CZ95" s="16"/>
      <c r="DA95" s="16"/>
      <c r="DB95" s="16"/>
      <c r="DC95" s="16"/>
      <c r="DD95" s="16"/>
      <c r="DE95" s="16">
        <f>IFERROR(__xludf.DUMMYFUNCTION("""COMPUTED_VALUE"""),19.0)</f>
        <v>19</v>
      </c>
      <c r="DF95" s="16"/>
      <c r="DG95" s="16"/>
      <c r="DH95" s="16"/>
      <c r="DI95" s="16"/>
      <c r="DJ95" s="16"/>
      <c r="DK95" s="16"/>
      <c r="DL95" s="16"/>
      <c r="DM95" s="16">
        <f>IFERROR(__xludf.DUMMYFUNCTION("""COMPUTED_VALUE"""),3.0)</f>
        <v>3</v>
      </c>
      <c r="DN95" s="16"/>
      <c r="DO95" s="16"/>
      <c r="DP95" s="16"/>
      <c r="DQ95" s="16"/>
      <c r="DR95" s="16"/>
      <c r="DS95" s="16"/>
      <c r="DT95" s="16"/>
      <c r="DU95" s="16">
        <f>IFERROR(__xludf.DUMMYFUNCTION("""COMPUTED_VALUE"""),2.0)</f>
        <v>2</v>
      </c>
      <c r="DV95" s="16"/>
      <c r="DW95" s="16"/>
      <c r="DX95" s="16"/>
      <c r="DY95" s="16"/>
      <c r="DZ95" s="16"/>
      <c r="EA95" s="16"/>
      <c r="EB95" s="16"/>
      <c r="EC95" s="16">
        <f>IFERROR(__xludf.DUMMYFUNCTION("""COMPUTED_VALUE"""),5.0)</f>
        <v>5</v>
      </c>
      <c r="ED95" s="16"/>
      <c r="EE95" s="16"/>
      <c r="EF95" s="16"/>
      <c r="EG95" s="179"/>
      <c r="EH95" s="179"/>
      <c r="EI95" s="179"/>
      <c r="EJ95" s="179"/>
      <c r="EK95" s="179">
        <f>IFERROR(__xludf.DUMMYFUNCTION("""COMPUTED_VALUE"""),18.0)</f>
        <v>18</v>
      </c>
      <c r="EL95" s="179"/>
      <c r="EM95" s="179"/>
      <c r="EN95" s="179"/>
      <c r="EO95" s="16"/>
      <c r="EP95" s="16">
        <f>IFERROR(__xludf.DUMMYFUNCTION("""COMPUTED_VALUE"""),-1.0)</f>
        <v>-1</v>
      </c>
      <c r="EQ95" s="16">
        <f>IFERROR(__xludf.DUMMYFUNCTION("""COMPUTED_VALUE"""),4.0)</f>
        <v>4</v>
      </c>
      <c r="ER95" s="16">
        <f>IFERROR(__xludf.DUMMYFUNCTION("""COMPUTED_VALUE"""),3.0)</f>
        <v>3</v>
      </c>
      <c r="ES95" s="16"/>
      <c r="ET95" s="16"/>
      <c r="EU95" s="16"/>
      <c r="EV95" s="16"/>
      <c r="EW95" s="16"/>
      <c r="EX95" s="180"/>
      <c r="EY95" s="180"/>
      <c r="EZ95" s="180"/>
      <c r="FA95" s="180"/>
      <c r="FB95" s="180">
        <f>IFERROR(__xludf.DUMMYFUNCTION("""COMPUTED_VALUE"""),0.1)</f>
        <v>0.1</v>
      </c>
      <c r="FC95" s="180"/>
      <c r="FD95" s="180"/>
      <c r="FE95" s="180"/>
      <c r="FF95" s="180"/>
      <c r="FG95" s="180"/>
      <c r="FH95" s="180"/>
      <c r="FI95" s="180"/>
      <c r="FJ95" s="180">
        <f>IFERROR(__xludf.DUMMYFUNCTION("""COMPUTED_VALUE"""),0.09722222222222222)</f>
        <v>0.09722222222</v>
      </c>
      <c r="FK95" s="180"/>
      <c r="FL95" s="180"/>
      <c r="FM95" s="180"/>
      <c r="FN95" s="16"/>
      <c r="FO95" s="16"/>
      <c r="FP95" s="16"/>
      <c r="FQ95" s="16"/>
      <c r="FR95" s="16">
        <f>IFERROR(__xludf.DUMMYFUNCTION("""COMPUTED_VALUE"""),0.8125)</f>
        <v>0.8125</v>
      </c>
      <c r="FS95" s="16"/>
      <c r="FT95" s="16"/>
      <c r="FU95" s="16"/>
      <c r="FV95" s="16"/>
      <c r="FW95" s="16"/>
      <c r="FX95" s="16"/>
      <c r="FY95" s="16"/>
      <c r="FZ95" s="16">
        <f>IFERROR(__xludf.DUMMYFUNCTION("""COMPUTED_VALUE"""),1.0)</f>
        <v>1</v>
      </c>
      <c r="GA95" s="16"/>
      <c r="GB95" s="16"/>
      <c r="GC95" s="16"/>
      <c r="GD95" s="16" t="s">
        <v>1755</v>
      </c>
    </row>
    <row r="96">
      <c r="A96" s="16">
        <f>IFERROR(__xludf.DUMMYFUNCTION("""COMPUTED_VALUE"""),13408.0)</f>
        <v>13408</v>
      </c>
      <c r="B96" s="16" t="str">
        <f>IFERROR(__xludf.DUMMYFUNCTION("""COMPUTED_VALUE"""),"Taylor Ward")</f>
        <v>Taylor Ward</v>
      </c>
      <c r="C96" s="16">
        <f>IFERROR(__xludf.DUMMYFUNCTION("""COMPUTED_VALUE"""),1.01)</f>
        <v>1.01</v>
      </c>
      <c r="D96" s="16" t="str">
        <f>IFERROR(__xludf.DUMMYFUNCTION("""COMPUTED_VALUE"""),"R")</f>
        <v>R</v>
      </c>
      <c r="E96" s="16"/>
      <c r="F96" s="16"/>
      <c r="G96" s="16">
        <f>IFERROR(__xludf.DUMMYFUNCTION("""COMPUTED_VALUE"""),585.0)</f>
        <v>585</v>
      </c>
      <c r="H96" s="16">
        <f>IFERROR(__xludf.DUMMYFUNCTION("""COMPUTED_VALUE"""),63.0)</f>
        <v>63</v>
      </c>
      <c r="I96" s="16" t="str">
        <f>IFERROR(__xludf.DUMMYFUNCTION("""COMPUTED_VALUE"""),"1p70")</f>
        <v>1p70</v>
      </c>
      <c r="J96" s="16">
        <f>IFERROR(__xludf.DUMMYFUNCTION("""COMPUTED_VALUE"""),19.0)</f>
        <v>19</v>
      </c>
      <c r="K96" s="16">
        <f>IFERROR(__xludf.DUMMYFUNCTION("""COMPUTED_VALUE"""),30.0)</f>
        <v>30</v>
      </c>
      <c r="L96" s="16">
        <f>IFERROR(__xludf.DUMMYFUNCTION("""COMPUTED_VALUE"""),1.0)</f>
        <v>1</v>
      </c>
      <c r="M96" s="16">
        <f>IFERROR(__xludf.DUMMYFUNCTION("""COMPUTED_VALUE"""),-1.0)</f>
        <v>-1</v>
      </c>
      <c r="N96" s="16">
        <f>IFERROR(__xludf.DUMMYFUNCTION("""COMPUTED_VALUE"""),1.0)</f>
        <v>1</v>
      </c>
      <c r="O96" s="16">
        <f>IFERROR(__xludf.DUMMYFUNCTION("""COMPUTED_VALUE"""),-1.0)</f>
        <v>-1</v>
      </c>
      <c r="P96" s="16">
        <f>IFERROR(__xludf.DUMMYFUNCTION("""COMPUTED_VALUE"""),7.0)</f>
        <v>7</v>
      </c>
      <c r="Q96" s="16">
        <f>IFERROR(__xludf.DUMMYFUNCTION("""COMPUTED_VALUE"""),14.0)</f>
        <v>14</v>
      </c>
      <c r="R96" s="16">
        <f>IFERROR(__xludf.DUMMYFUNCTION("""COMPUTED_VALUE"""),-1.0)</f>
        <v>-1</v>
      </c>
      <c r="S96" s="16">
        <f>IFERROR(__xludf.DUMMYFUNCTION("""COMPUTED_VALUE"""),2.0)</f>
        <v>2</v>
      </c>
      <c r="T96" s="16">
        <f>IFERROR(__xludf.DUMMYFUNCTION("""COMPUTED_VALUE"""),-1.0)</f>
        <v>-1</v>
      </c>
      <c r="U96" s="16">
        <f>IFERROR(__xludf.DUMMYFUNCTION("""COMPUTED_VALUE"""),2.0)</f>
        <v>2</v>
      </c>
      <c r="V96" s="16">
        <f>IFERROR(__xludf.DUMMYFUNCTION("""COMPUTED_VALUE"""),33.8)</f>
        <v>33.8</v>
      </c>
      <c r="W96" s="16">
        <f>IFERROR(__xludf.DUMMYFUNCTION("""COMPUTED_VALUE"""),14.0)</f>
        <v>14</v>
      </c>
      <c r="X96" s="16">
        <f>IFERROR(__xludf.DUMMYFUNCTION("""COMPUTED_VALUE"""),2.0)</f>
        <v>2</v>
      </c>
      <c r="Y96" s="16">
        <f>IFERROR(__xludf.DUMMYFUNCTION("""COMPUTED_VALUE"""),-1.0)</f>
        <v>-1</v>
      </c>
      <c r="Z96" s="16">
        <f>IFERROR(__xludf.DUMMYFUNCTION("""COMPUTED_VALUE"""),4.0)</f>
        <v>4</v>
      </c>
      <c r="AA96" s="16">
        <f>IFERROR(__xludf.DUMMYFUNCTION("""COMPUTED_VALUE"""),-2.0)</f>
        <v>-2</v>
      </c>
      <c r="AB96" s="16">
        <f>IFERROR(__xludf.DUMMYFUNCTION("""COMPUTED_VALUE"""),43.8)</f>
        <v>43.8</v>
      </c>
      <c r="AC96" s="16">
        <f>IFERROR(__xludf.DUMMYFUNCTION("""COMPUTED_VALUE"""),31.0)</f>
        <v>31</v>
      </c>
      <c r="AD96" s="16">
        <f>IFERROR(__xludf.DUMMYFUNCTION("""COMPUTED_VALUE"""),2.0)</f>
        <v>2</v>
      </c>
      <c r="AE96" s="16">
        <f>IFERROR(__xludf.DUMMYFUNCTION("""COMPUTED_VALUE"""),0.0)</f>
        <v>0</v>
      </c>
      <c r="AF96" s="16">
        <f>IFERROR(__xludf.DUMMYFUNCTION("""COMPUTED_VALUE"""),10.0)</f>
        <v>10</v>
      </c>
      <c r="AG96" s="16">
        <f>IFERROR(__xludf.DUMMYFUNCTION("""COMPUTED_VALUE"""),0.0)</f>
        <v>0</v>
      </c>
      <c r="AH96" s="16">
        <f>IFERROR(__xludf.DUMMYFUNCTION("""COMPUTED_VALUE"""),46.6)</f>
        <v>46.6</v>
      </c>
      <c r="AI96" s="16">
        <f>IFERROR(__xludf.DUMMYFUNCTION("""COMPUTED_VALUE"""),25.5)</f>
        <v>25.5</v>
      </c>
      <c r="AJ96" s="16">
        <f>IFERROR(__xludf.DUMMYFUNCTION("""COMPUTED_VALUE"""),1.0)</f>
        <v>1</v>
      </c>
      <c r="AK96" s="16">
        <f>IFERROR(__xludf.DUMMYFUNCTION("""COMPUTED_VALUE"""),-1.0)</f>
        <v>-1</v>
      </c>
      <c r="AL96" s="16">
        <f>IFERROR(__xludf.DUMMYFUNCTION("""COMPUTED_VALUE"""),5.0)</f>
        <v>5</v>
      </c>
      <c r="AM96" s="16">
        <f>IFERROR(__xludf.DUMMYFUNCTION("""COMPUTED_VALUE"""),-5.0)</f>
        <v>-5</v>
      </c>
      <c r="AN96" s="16">
        <f>IFERROR(__xludf.DUMMYFUNCTION("""COMPUTED_VALUE"""),1.8)</f>
        <v>1.8</v>
      </c>
      <c r="AO96" s="16">
        <f>IFERROR(__xludf.DUMMYFUNCTION("""COMPUTED_VALUE"""),2.8)</f>
        <v>2.8</v>
      </c>
      <c r="AP96" s="16">
        <f>IFERROR(__xludf.DUMMYFUNCTION("""COMPUTED_VALUE"""),-1.0)</f>
        <v>-1</v>
      </c>
      <c r="AQ96" s="16">
        <f>IFERROR(__xludf.DUMMYFUNCTION("""COMPUTED_VALUE"""),0.0)</f>
        <v>0</v>
      </c>
      <c r="AR96" s="16">
        <f>IFERROR(__xludf.DUMMYFUNCTION("""COMPUTED_VALUE"""),-2.0)</f>
        <v>-2</v>
      </c>
      <c r="AS96" s="16">
        <f>IFERROR(__xludf.DUMMYFUNCTION("""COMPUTED_VALUE"""),0.0)</f>
        <v>0</v>
      </c>
      <c r="AT96" s="16">
        <f>IFERROR(__xludf.DUMMYFUNCTION("""COMPUTED_VALUE"""),3.0)</f>
        <v>3</v>
      </c>
      <c r="AU96" s="16">
        <f>IFERROR(__xludf.DUMMYFUNCTION("""COMPUTED_VALUE"""),5.0)</f>
        <v>5</v>
      </c>
      <c r="AV96" s="16">
        <f>IFERROR(__xludf.DUMMYFUNCTION("""COMPUTED_VALUE"""),3.0)</f>
        <v>3</v>
      </c>
      <c r="AW96" s="16">
        <f>IFERROR(__xludf.DUMMYFUNCTION("""COMPUTED_VALUE"""),5.0)</f>
        <v>5</v>
      </c>
      <c r="AX96" s="16">
        <f>IFERROR(__xludf.DUMMYFUNCTION("""COMPUTED_VALUE"""),1.0)</f>
        <v>1</v>
      </c>
      <c r="AY96" s="16">
        <f>IFERROR(__xludf.DUMMYFUNCTION("""COMPUTED_VALUE"""),2.0)</f>
        <v>2</v>
      </c>
      <c r="AZ96" s="16">
        <f>IFERROR(__xludf.DUMMYFUNCTION("""COMPUTED_VALUE"""),3.0)</f>
        <v>3</v>
      </c>
      <c r="BA96" s="16">
        <f>IFERROR(__xludf.DUMMYFUNCTION("""COMPUTED_VALUE"""),6.0)</f>
        <v>6</v>
      </c>
      <c r="BB96" s="16">
        <f>IFERROR(__xludf.DUMMYFUNCTION("""COMPUTED_VALUE"""),5.0)</f>
        <v>5</v>
      </c>
      <c r="BC96" s="16">
        <f>IFERROR(__xludf.DUMMYFUNCTION("""COMPUTED_VALUE"""),5.0)</f>
        <v>5</v>
      </c>
      <c r="BD96" s="16">
        <f>IFERROR(__xludf.DUMMYFUNCTION("""COMPUTED_VALUE"""),1.0)</f>
        <v>1</v>
      </c>
      <c r="BE96" s="16">
        <f>IFERROR(__xludf.DUMMYFUNCTION("""COMPUTED_VALUE"""),1.0)</f>
        <v>1</v>
      </c>
      <c r="BF96" s="16">
        <f>IFERROR(__xludf.DUMMYFUNCTION("""COMPUTED_VALUE"""),1.0)</f>
        <v>1</v>
      </c>
      <c r="BG96" s="16">
        <f>IFERROR(__xludf.DUMMYFUNCTION("""COMPUTED_VALUE"""),1.0)</f>
        <v>1</v>
      </c>
      <c r="BH96" s="16">
        <f>IFERROR(__xludf.DUMMYFUNCTION("""COMPUTED_VALUE"""),1.0)</f>
        <v>1</v>
      </c>
      <c r="BI96" s="16">
        <f>IFERROR(__xludf.DUMMYFUNCTION("""COMPUTED_VALUE"""),1.0)</f>
        <v>1</v>
      </c>
      <c r="BJ96" s="16">
        <f>IFERROR(__xludf.DUMMYFUNCTION("""COMPUTED_VALUE"""),13.0)</f>
        <v>13</v>
      </c>
      <c r="BK96" s="16">
        <f>IFERROR(__xludf.DUMMYFUNCTION("""COMPUTED_VALUE"""),13.0)</f>
        <v>13</v>
      </c>
      <c r="BL96" s="16">
        <f>IFERROR(__xludf.DUMMYFUNCTION("""COMPUTED_VALUE"""),0.0)</f>
        <v>0</v>
      </c>
      <c r="BM96" s="16">
        <f>IFERROR(__xludf.DUMMYFUNCTION("""COMPUTED_VALUE"""),0.0)</f>
        <v>0</v>
      </c>
      <c r="BN96" s="16">
        <f>IFERROR(__xludf.DUMMYFUNCTION("""COMPUTED_VALUE"""),0.0)</f>
        <v>0</v>
      </c>
      <c r="BO96" s="16">
        <f>IFERROR(__xludf.DUMMYFUNCTION("""COMPUTED_VALUE"""),0.0)</f>
        <v>0</v>
      </c>
      <c r="BP96" s="16">
        <f>IFERROR(__xludf.DUMMYFUNCTION("""COMPUTED_VALUE"""),6.0)</f>
        <v>6</v>
      </c>
      <c r="BQ96" s="16">
        <f>IFERROR(__xludf.DUMMYFUNCTION("""COMPUTED_VALUE"""),2.0)</f>
        <v>2</v>
      </c>
      <c r="BR96" s="16">
        <f>IFERROR(__xludf.DUMMYFUNCTION("""COMPUTED_VALUE"""),8.0)</f>
        <v>8</v>
      </c>
      <c r="BS96" s="16" t="str">
        <f>IFERROR(__xludf.DUMMYFUNCTION("""COMPUTED_VALUE"""),"4,5/12 (13-6)")</f>
        <v>4,5/12 (13-6)</v>
      </c>
      <c r="BT96" s="16" t="str">
        <f>IFERROR(__xludf.DUMMYFUNCTION("""COMPUTED_VALUE"""),"C")</f>
        <v>C</v>
      </c>
      <c r="BU96" s="16">
        <f>IFERROR(__xludf.DUMMYFUNCTION("""COMPUTED_VALUE"""),12.0)</f>
        <v>12</v>
      </c>
      <c r="BV96" s="16">
        <f>IFERROR(__xludf.DUMMYFUNCTION("""COMPUTED_VALUE"""),0.0)</f>
        <v>0</v>
      </c>
      <c r="BW96" s="16">
        <f>IFERROR(__xludf.DUMMYFUNCTION("""COMPUTED_VALUE"""),0.0)</f>
        <v>0</v>
      </c>
      <c r="BX96" s="16">
        <f>IFERROR(__xludf.DUMMYFUNCTION("""COMPUTED_VALUE"""),0.0)</f>
        <v>0</v>
      </c>
      <c r="BY96" s="16">
        <f>IFERROR(__xludf.DUMMYFUNCTION("""COMPUTED_VALUE"""),0.0)</f>
        <v>0</v>
      </c>
      <c r="BZ96" s="16" t="str">
        <f>IFERROR(__xludf.DUMMYFUNCTION("""COMPUTED_VALUE"""),"D")</f>
        <v>D</v>
      </c>
      <c r="CA96" s="16" t="str">
        <f>IFERROR(__xludf.DUMMYFUNCTION("""COMPUTED_VALUE"""),"C")</f>
        <v>C</v>
      </c>
      <c r="CB96" s="16">
        <f>IFERROR(__xludf.DUMMYFUNCTION("""COMPUTED_VALUE"""),0.0)</f>
        <v>0</v>
      </c>
      <c r="CC96" s="16">
        <f>IFERROR(__xludf.DUMMYFUNCTION("""COMPUTED_VALUE"""),0.0)</f>
        <v>0</v>
      </c>
      <c r="CD96" s="16">
        <f>IFERROR(__xludf.DUMMYFUNCTION("""COMPUTED_VALUE"""),0.0)</f>
        <v>0</v>
      </c>
      <c r="CE96" s="16">
        <f>IFERROR(__xludf.DUMMYFUNCTION("""COMPUTED_VALUE"""),0.0)</f>
        <v>0</v>
      </c>
      <c r="CF96" s="16">
        <f>IFERROR(__xludf.DUMMYFUNCTION("""COMPUTED_VALUE"""),1.0)</f>
        <v>1</v>
      </c>
      <c r="CG96" s="16">
        <f>IFERROR(__xludf.DUMMYFUNCTION("""COMPUTED_VALUE"""),21.0)</f>
        <v>21</v>
      </c>
      <c r="CH96" s="16">
        <f>IFERROR(__xludf.DUMMYFUNCTION("""COMPUTED_VALUE"""),1.0)</f>
        <v>1</v>
      </c>
      <c r="CI96" s="179">
        <f>IFERROR(__xludf.DUMMYFUNCTION("""COMPUTED_VALUE"""),13.0)</f>
        <v>13</v>
      </c>
      <c r="CJ96" s="16"/>
      <c r="CK96" s="16"/>
      <c r="CL96" s="16"/>
      <c r="CM96" s="16"/>
      <c r="CN96" s="16"/>
      <c r="CO96" s="16">
        <f>IFERROR(__xludf.DUMMYFUNCTION("""COMPUTED_VALUE"""),306.0)</f>
        <v>306</v>
      </c>
      <c r="CP96" s="16"/>
      <c r="CQ96" s="16"/>
      <c r="CR96" s="16" t="str">
        <f>IFERROR(__xludf.DUMMYFUNCTION("""COMPUTED_VALUE"""),"lf-3(+1)e6")</f>
        <v>lf-3(+1)e6</v>
      </c>
      <c r="CS96" s="16"/>
      <c r="CT96" s="16"/>
      <c r="CU96" s="16"/>
      <c r="CV96" s="16"/>
      <c r="CW96" s="16"/>
      <c r="CX96" s="16">
        <f>IFERROR(__xludf.DUMMYFUNCTION("""COMPUTED_VALUE"""),3.0)</f>
        <v>3</v>
      </c>
      <c r="CY96" s="16"/>
      <c r="CZ96" s="16"/>
      <c r="DA96" s="16"/>
      <c r="DB96" s="16"/>
      <c r="DC96" s="16"/>
      <c r="DD96" s="16"/>
      <c r="DE96" s="16"/>
      <c r="DF96" s="16">
        <f>IFERROR(__xludf.DUMMYFUNCTION("""COMPUTED_VALUE"""),6.0)</f>
        <v>6</v>
      </c>
      <c r="DG96" s="16"/>
      <c r="DH96" s="16"/>
      <c r="DI96" s="16"/>
      <c r="DJ96" s="16"/>
      <c r="DK96" s="16"/>
      <c r="DL96" s="16"/>
      <c r="DM96" s="16"/>
      <c r="DN96" s="16">
        <f>IFERROR(__xludf.DUMMYFUNCTION("""COMPUTED_VALUE"""),0.0)</f>
        <v>0</v>
      </c>
      <c r="DO96" s="16"/>
      <c r="DP96" s="16"/>
      <c r="DQ96" s="16"/>
      <c r="DR96" s="16"/>
      <c r="DS96" s="16"/>
      <c r="DT96" s="16"/>
      <c r="DU96" s="16"/>
      <c r="DV96" s="16">
        <f>IFERROR(__xludf.DUMMYFUNCTION("""COMPUTED_VALUE"""),2.0)</f>
        <v>2</v>
      </c>
      <c r="DW96" s="16"/>
      <c r="DX96" s="16"/>
      <c r="DY96" s="16"/>
      <c r="DZ96" s="16"/>
      <c r="EA96" s="16"/>
      <c r="EB96" s="16"/>
      <c r="EC96" s="16"/>
      <c r="ED96" s="16">
        <f>IFERROR(__xludf.DUMMYFUNCTION("""COMPUTED_VALUE"""),2.0)</f>
        <v>2</v>
      </c>
      <c r="EE96" s="16"/>
      <c r="EF96" s="16"/>
      <c r="EG96" s="179"/>
      <c r="EH96" s="179"/>
      <c r="EI96" s="179"/>
      <c r="EJ96" s="179"/>
      <c r="EK96" s="179"/>
      <c r="EL96" s="179">
        <f>IFERROR(__xludf.DUMMYFUNCTION("""COMPUTED_VALUE"""),15.0)</f>
        <v>15</v>
      </c>
      <c r="EM96" s="179"/>
      <c r="EN96" s="179"/>
      <c r="EO96" s="16"/>
      <c r="EP96" s="16">
        <f>IFERROR(__xludf.DUMMYFUNCTION("""COMPUTED_VALUE"""),1.0)</f>
        <v>1</v>
      </c>
      <c r="EQ96" s="16">
        <f>IFERROR(__xludf.DUMMYFUNCTION("""COMPUTED_VALUE"""),4.0)</f>
        <v>4</v>
      </c>
      <c r="ER96" s="16">
        <f>IFERROR(__xludf.DUMMYFUNCTION("""COMPUTED_VALUE"""),3.0)</f>
        <v>3</v>
      </c>
      <c r="ES96" s="16"/>
      <c r="ET96" s="16"/>
      <c r="EU96" s="16"/>
      <c r="EV96" s="16"/>
      <c r="EW96" s="16"/>
      <c r="EX96" s="180"/>
      <c r="EY96" s="180"/>
      <c r="EZ96" s="180"/>
      <c r="FA96" s="180"/>
      <c r="FB96" s="180"/>
      <c r="FC96" s="180">
        <f>IFERROR(__xludf.DUMMYFUNCTION("""COMPUTED_VALUE"""),0.3)</f>
        <v>0.3</v>
      </c>
      <c r="FD96" s="180"/>
      <c r="FE96" s="180"/>
      <c r="FF96" s="180"/>
      <c r="FG96" s="180"/>
      <c r="FH96" s="180"/>
      <c r="FI96" s="180"/>
      <c r="FJ96" s="180"/>
      <c r="FK96" s="180">
        <f>IFERROR(__xludf.DUMMYFUNCTION("""COMPUTED_VALUE"""),0.106)</f>
        <v>0.106</v>
      </c>
      <c r="FL96" s="180"/>
      <c r="FM96" s="180"/>
      <c r="FN96" s="16"/>
      <c r="FO96" s="16"/>
      <c r="FP96" s="16"/>
      <c r="FQ96" s="16"/>
      <c r="FR96" s="16"/>
      <c r="FS96" s="16">
        <f>IFERROR(__xludf.DUMMYFUNCTION("""COMPUTED_VALUE"""),0.6258)</f>
        <v>0.6258</v>
      </c>
      <c r="FT96" s="16"/>
      <c r="FU96" s="16"/>
      <c r="FV96" s="16"/>
      <c r="FW96" s="16"/>
      <c r="FX96" s="16"/>
      <c r="FY96" s="16"/>
      <c r="FZ96" s="16"/>
      <c r="GA96" s="16">
        <f>IFERROR(__xludf.DUMMYFUNCTION("""COMPUTED_VALUE"""),-7.0)</f>
        <v>-7</v>
      </c>
      <c r="GB96" s="16"/>
      <c r="GC96" s="16"/>
      <c r="GD96" s="16" t="s">
        <v>1452</v>
      </c>
    </row>
    <row r="97">
      <c r="A97" s="16">
        <f>IFERROR(__xludf.DUMMYFUNCTION("""COMPUTED_VALUE"""),12953.0)</f>
        <v>12953</v>
      </c>
      <c r="B97" s="16" t="str">
        <f>IFERROR(__xludf.DUMMYFUNCTION("""COMPUTED_VALUE"""),"Jesse Winker")</f>
        <v>Jesse Winker</v>
      </c>
      <c r="C97" s="16">
        <f>IFERROR(__xludf.DUMMYFUNCTION("""COMPUTED_VALUE"""),1.14)</f>
        <v>1.14</v>
      </c>
      <c r="D97" s="16" t="str">
        <f>IFERROR(__xludf.DUMMYFUNCTION("""COMPUTED_VALUE"""),"L")</f>
        <v>L</v>
      </c>
      <c r="E97" s="16"/>
      <c r="F97" s="16"/>
      <c r="G97" s="16">
        <f>IFERROR(__xludf.DUMMYFUNCTION("""COMPUTED_VALUE"""),430.0)</f>
        <v>430</v>
      </c>
      <c r="H97" s="16">
        <f>IFERROR(__xludf.DUMMYFUNCTION("""COMPUTED_VALUE"""),63.0)</f>
        <v>63</v>
      </c>
      <c r="I97" s="16" t="str">
        <f>IFERROR(__xludf.DUMMYFUNCTION("""COMPUTED_VALUE"""),"1p65")</f>
        <v>1p65</v>
      </c>
      <c r="J97" s="16">
        <f>IFERROR(__xludf.DUMMYFUNCTION("""COMPUTED_VALUE"""),32.0)</f>
        <v>32</v>
      </c>
      <c r="K97" s="16">
        <f>IFERROR(__xludf.DUMMYFUNCTION("""COMPUTED_VALUE"""),18.0)</f>
        <v>18</v>
      </c>
      <c r="L97" s="16">
        <f>IFERROR(__xludf.DUMMYFUNCTION("""COMPUTED_VALUE"""),-1.0)</f>
        <v>-1</v>
      </c>
      <c r="M97" s="16">
        <f>IFERROR(__xludf.DUMMYFUNCTION("""COMPUTED_VALUE"""),1.0)</f>
        <v>1</v>
      </c>
      <c r="N97" s="16">
        <f>IFERROR(__xludf.DUMMYFUNCTION("""COMPUTED_VALUE"""),-1.0)</f>
        <v>-1</v>
      </c>
      <c r="O97" s="16">
        <f>IFERROR(__xludf.DUMMYFUNCTION("""COMPUTED_VALUE"""),1.0)</f>
        <v>1</v>
      </c>
      <c r="P97" s="16">
        <f>IFERROR(__xludf.DUMMYFUNCTION("""COMPUTED_VALUE"""),16.0)</f>
        <v>16</v>
      </c>
      <c r="Q97" s="16">
        <f>IFERROR(__xludf.DUMMYFUNCTION("""COMPUTED_VALUE"""),17.0)</f>
        <v>17</v>
      </c>
      <c r="R97" s="16">
        <f>IFERROR(__xludf.DUMMYFUNCTION("""COMPUTED_VALUE"""),2.0)</f>
        <v>2</v>
      </c>
      <c r="S97" s="16">
        <f>IFERROR(__xludf.DUMMYFUNCTION("""COMPUTED_VALUE"""),2.0)</f>
        <v>2</v>
      </c>
      <c r="T97" s="16">
        <f>IFERROR(__xludf.DUMMYFUNCTION("""COMPUTED_VALUE"""),2.0)</f>
        <v>2</v>
      </c>
      <c r="U97" s="16">
        <f>IFERROR(__xludf.DUMMYFUNCTION("""COMPUTED_VALUE"""),2.0)</f>
        <v>2</v>
      </c>
      <c r="V97" s="16">
        <f>IFERROR(__xludf.DUMMYFUNCTION("""COMPUTED_VALUE"""),17.5)</f>
        <v>17.5</v>
      </c>
      <c r="W97" s="16">
        <f>IFERROR(__xludf.DUMMYFUNCTION("""COMPUTED_VALUE"""),19.0)</f>
        <v>19</v>
      </c>
      <c r="X97" s="16">
        <f>IFERROR(__xludf.DUMMYFUNCTION("""COMPUTED_VALUE"""),0.0)</f>
        <v>0</v>
      </c>
      <c r="Y97" s="16">
        <f>IFERROR(__xludf.DUMMYFUNCTION("""COMPUTED_VALUE"""),0.0)</f>
        <v>0</v>
      </c>
      <c r="Z97" s="16">
        <f>IFERROR(__xludf.DUMMYFUNCTION("""COMPUTED_VALUE"""),0.0)</f>
        <v>0</v>
      </c>
      <c r="AA97" s="16">
        <f>IFERROR(__xludf.DUMMYFUNCTION("""COMPUTED_VALUE"""),0.0)</f>
        <v>0</v>
      </c>
      <c r="AB97" s="16">
        <f>IFERROR(__xludf.DUMMYFUNCTION("""COMPUTED_VALUE"""),38.5)</f>
        <v>38.5</v>
      </c>
      <c r="AC97" s="16">
        <f>IFERROR(__xludf.DUMMYFUNCTION("""COMPUTED_VALUE"""),41.0)</f>
        <v>41</v>
      </c>
      <c r="AD97" s="16">
        <f>IFERROR(__xludf.DUMMYFUNCTION("""COMPUTED_VALUE"""),1.0)</f>
        <v>1</v>
      </c>
      <c r="AE97" s="16">
        <f>IFERROR(__xludf.DUMMYFUNCTION("""COMPUTED_VALUE"""),2.0)</f>
        <v>2</v>
      </c>
      <c r="AF97" s="16">
        <f>IFERROR(__xludf.DUMMYFUNCTION("""COMPUTED_VALUE"""),5.0)</f>
        <v>5</v>
      </c>
      <c r="AG97" s="16">
        <f>IFERROR(__xludf.DUMMYFUNCTION("""COMPUTED_VALUE"""),10.0)</f>
        <v>10</v>
      </c>
      <c r="AH97" s="16">
        <f>IFERROR(__xludf.DUMMYFUNCTION("""COMPUTED_VALUE"""),31.3)</f>
        <v>31.3</v>
      </c>
      <c r="AI97" s="16">
        <f>IFERROR(__xludf.DUMMYFUNCTION("""COMPUTED_VALUE"""),29.0)</f>
        <v>29</v>
      </c>
      <c r="AJ97" s="16">
        <f>IFERROR(__xludf.DUMMYFUNCTION("""COMPUTED_VALUE"""),0.0)</f>
        <v>0</v>
      </c>
      <c r="AK97" s="16">
        <f>IFERROR(__xludf.DUMMYFUNCTION("""COMPUTED_VALUE"""),0.0)</f>
        <v>0</v>
      </c>
      <c r="AL97" s="16">
        <f>IFERROR(__xludf.DUMMYFUNCTION("""COMPUTED_VALUE"""),0.0)</f>
        <v>0</v>
      </c>
      <c r="AM97" s="16">
        <f>IFERROR(__xludf.DUMMYFUNCTION("""COMPUTED_VALUE"""),0.0)</f>
        <v>0</v>
      </c>
      <c r="AN97" s="16">
        <f>IFERROR(__xludf.DUMMYFUNCTION("""COMPUTED_VALUE"""),2.0)</f>
        <v>2</v>
      </c>
      <c r="AO97" s="16">
        <f>IFERROR(__xludf.DUMMYFUNCTION("""COMPUTED_VALUE"""),2.0)</f>
        <v>2</v>
      </c>
      <c r="AP97" s="16">
        <f>IFERROR(__xludf.DUMMYFUNCTION("""COMPUTED_VALUE"""),0.0)</f>
        <v>0</v>
      </c>
      <c r="AQ97" s="16">
        <f>IFERROR(__xludf.DUMMYFUNCTION("""COMPUTED_VALUE"""),-1.0)</f>
        <v>-1</v>
      </c>
      <c r="AR97" s="16">
        <f>IFERROR(__xludf.DUMMYFUNCTION("""COMPUTED_VALUE"""),0.0)</f>
        <v>0</v>
      </c>
      <c r="AS97" s="16">
        <f>IFERROR(__xludf.DUMMYFUNCTION("""COMPUTED_VALUE"""),-2.0)</f>
        <v>-2</v>
      </c>
      <c r="AT97" s="16"/>
      <c r="AU97" s="16">
        <f>IFERROR(__xludf.DUMMYFUNCTION("""COMPUTED_VALUE"""),3.0)</f>
        <v>3</v>
      </c>
      <c r="AV97" s="16">
        <f>IFERROR(__xludf.DUMMYFUNCTION("""COMPUTED_VALUE"""),-3.0)</f>
        <v>-3</v>
      </c>
      <c r="AW97" s="16">
        <f>IFERROR(__xludf.DUMMYFUNCTION("""COMPUTED_VALUE"""),3.0)</f>
        <v>3</v>
      </c>
      <c r="AX97" s="16">
        <f>IFERROR(__xludf.DUMMYFUNCTION("""COMPUTED_VALUE"""),-3.0)</f>
        <v>-3</v>
      </c>
      <c r="AY97" s="16">
        <f>IFERROR(__xludf.DUMMYFUNCTION("""COMPUTED_VALUE"""),0.0)</f>
        <v>0</v>
      </c>
      <c r="AZ97" s="16">
        <f>IFERROR(__xludf.DUMMYFUNCTION("""COMPUTED_VALUE"""),-9.0)</f>
        <v>-9</v>
      </c>
      <c r="BA97" s="16">
        <f>IFERROR(__xludf.DUMMYFUNCTION("""COMPUTED_VALUE"""),0.0)</f>
        <v>0</v>
      </c>
      <c r="BB97" s="16">
        <f>IFERROR(__xludf.DUMMYFUNCTION("""COMPUTED_VALUE"""),5.0)</f>
        <v>5</v>
      </c>
      <c r="BC97" s="16">
        <f>IFERROR(__xludf.DUMMYFUNCTION("""COMPUTED_VALUE"""),5.0)</f>
        <v>5</v>
      </c>
      <c r="BD97" s="16">
        <f>IFERROR(__xludf.DUMMYFUNCTION("""COMPUTED_VALUE"""),1.0)</f>
        <v>1</v>
      </c>
      <c r="BE97" s="16">
        <f>IFERROR(__xludf.DUMMYFUNCTION("""COMPUTED_VALUE"""),1.0)</f>
        <v>1</v>
      </c>
      <c r="BF97" s="16">
        <f>IFERROR(__xludf.DUMMYFUNCTION("""COMPUTED_VALUE"""),1.0)</f>
        <v>1</v>
      </c>
      <c r="BG97" s="16">
        <f>IFERROR(__xludf.DUMMYFUNCTION("""COMPUTED_VALUE"""),1.0)</f>
        <v>1</v>
      </c>
      <c r="BH97" s="16">
        <f>IFERROR(__xludf.DUMMYFUNCTION("""COMPUTED_VALUE"""),-2.0)</f>
        <v>-2</v>
      </c>
      <c r="BI97" s="16">
        <f>IFERROR(__xludf.DUMMYFUNCTION("""COMPUTED_VALUE"""),-2.0)</f>
        <v>-2</v>
      </c>
      <c r="BJ97" s="16">
        <f>IFERROR(__xludf.DUMMYFUNCTION("""COMPUTED_VALUE"""),18.0)</f>
        <v>18</v>
      </c>
      <c r="BK97" s="16">
        <f>IFERROR(__xludf.DUMMYFUNCTION("""COMPUTED_VALUE"""),16.0)</f>
        <v>16</v>
      </c>
      <c r="BL97" s="16">
        <f>IFERROR(__xludf.DUMMYFUNCTION("""COMPUTED_VALUE"""),-1.0)</f>
        <v>-1</v>
      </c>
      <c r="BM97" s="16">
        <f>IFERROR(__xludf.DUMMYFUNCTION("""COMPUTED_VALUE"""),-1.0)</f>
        <v>-1</v>
      </c>
      <c r="BN97" s="16">
        <f>IFERROR(__xludf.DUMMYFUNCTION("""COMPUTED_VALUE"""),-2.0)</f>
        <v>-2</v>
      </c>
      <c r="BO97" s="16">
        <f>IFERROR(__xludf.DUMMYFUNCTION("""COMPUTED_VALUE"""),-2.0)</f>
        <v>-2</v>
      </c>
      <c r="BP97" s="16">
        <f>IFERROR(__xludf.DUMMYFUNCTION("""COMPUTED_VALUE"""),-1.0)</f>
        <v>-1</v>
      </c>
      <c r="BQ97" s="16">
        <f>IFERROR(__xludf.DUMMYFUNCTION("""COMPUTED_VALUE"""),4.0)</f>
        <v>4</v>
      </c>
      <c r="BR97" s="16">
        <f>IFERROR(__xludf.DUMMYFUNCTION("""COMPUTED_VALUE"""),3.0)</f>
        <v>3</v>
      </c>
      <c r="BS97" s="16" t="str">
        <f>IFERROR(__xludf.DUMMYFUNCTION("""COMPUTED_VALUE"""),"*4,5/- (18-11)")</f>
        <v>*4,5/- (18-11)</v>
      </c>
      <c r="BT97" s="16" t="str">
        <f>IFERROR(__xludf.DUMMYFUNCTION("""COMPUTED_VALUE"""),"B")</f>
        <v>B</v>
      </c>
      <c r="BU97" s="16">
        <f>IFERROR(__xludf.DUMMYFUNCTION("""COMPUTED_VALUE"""),11.0)</f>
        <v>11</v>
      </c>
      <c r="BV97" s="16">
        <f>IFERROR(__xludf.DUMMYFUNCTION("""COMPUTED_VALUE"""),1.0)</f>
        <v>1</v>
      </c>
      <c r="BW97" s="16">
        <f>IFERROR(__xludf.DUMMYFUNCTION("""COMPUTED_VALUE"""),0.0)</f>
        <v>0</v>
      </c>
      <c r="BX97" s="16">
        <f>IFERROR(__xludf.DUMMYFUNCTION("""COMPUTED_VALUE"""),2.0)</f>
        <v>2</v>
      </c>
      <c r="BY97" s="16">
        <f>IFERROR(__xludf.DUMMYFUNCTION("""COMPUTED_VALUE"""),0.0)</f>
        <v>0</v>
      </c>
      <c r="BZ97" s="16" t="str">
        <f>IFERROR(__xludf.DUMMYFUNCTION("""COMPUTED_VALUE"""),"D")</f>
        <v>D</v>
      </c>
      <c r="CA97" s="16" t="str">
        <f>IFERROR(__xludf.DUMMYFUNCTION("""COMPUTED_VALUE"""),"C")</f>
        <v>C</v>
      </c>
      <c r="CB97" s="16">
        <f>IFERROR(__xludf.DUMMYFUNCTION("""COMPUTED_VALUE"""),0.0)</f>
        <v>0</v>
      </c>
      <c r="CC97" s="16">
        <f>IFERROR(__xludf.DUMMYFUNCTION("""COMPUTED_VALUE"""),0.0)</f>
        <v>0</v>
      </c>
      <c r="CD97" s="16">
        <f>IFERROR(__xludf.DUMMYFUNCTION("""COMPUTED_VALUE"""),0.0)</f>
        <v>0</v>
      </c>
      <c r="CE97" s="16">
        <f>IFERROR(__xludf.DUMMYFUNCTION("""COMPUTED_VALUE"""),0.0)</f>
        <v>0</v>
      </c>
      <c r="CF97" s="16">
        <f>IFERROR(__xludf.DUMMYFUNCTION("""COMPUTED_VALUE"""),1.0)</f>
        <v>1</v>
      </c>
      <c r="CG97" s="16">
        <f>IFERROR(__xludf.DUMMYFUNCTION("""COMPUTED_VALUE"""),-4.0)</f>
        <v>-4</v>
      </c>
      <c r="CH97" s="16">
        <f>IFERROR(__xludf.DUMMYFUNCTION("""COMPUTED_VALUE"""),10.0)</f>
        <v>10</v>
      </c>
      <c r="CI97" s="179">
        <f>IFERROR(__xludf.DUMMYFUNCTION("""COMPUTED_VALUE"""),13.0)</f>
        <v>13</v>
      </c>
      <c r="CJ97" s="16"/>
      <c r="CK97" s="16"/>
      <c r="CL97" s="16"/>
      <c r="CM97" s="16"/>
      <c r="CN97" s="16"/>
      <c r="CO97" s="16">
        <f>IFERROR(__xludf.DUMMYFUNCTION("""COMPUTED_VALUE"""),404.0)</f>
        <v>404</v>
      </c>
      <c r="CP97" s="16"/>
      <c r="CQ97" s="16">
        <f>IFERROR(__xludf.DUMMYFUNCTION("""COMPUTED_VALUE"""),404.0)</f>
        <v>404</v>
      </c>
      <c r="CR97" s="16" t="str">
        <f>IFERROR(__xludf.DUMMYFUNCTION("""COMPUTED_VALUE"""),"lf-4(0)e4 rf-4e4")</f>
        <v>lf-4(0)e4 rf-4e4</v>
      </c>
      <c r="CS97" s="16"/>
      <c r="CT97" s="16"/>
      <c r="CU97" s="16"/>
      <c r="CV97" s="16"/>
      <c r="CW97" s="16"/>
      <c r="CX97" s="16">
        <f>IFERROR(__xludf.DUMMYFUNCTION("""COMPUTED_VALUE"""),4.0)</f>
        <v>4</v>
      </c>
      <c r="CY97" s="16"/>
      <c r="CZ97" s="16">
        <f>IFERROR(__xludf.DUMMYFUNCTION("""COMPUTED_VALUE"""),4.0)</f>
        <v>4</v>
      </c>
      <c r="DA97" s="16"/>
      <c r="DB97" s="16"/>
      <c r="DC97" s="16"/>
      <c r="DD97" s="16"/>
      <c r="DE97" s="16"/>
      <c r="DF97" s="16">
        <f>IFERROR(__xludf.DUMMYFUNCTION("""COMPUTED_VALUE"""),4.0)</f>
        <v>4</v>
      </c>
      <c r="DG97" s="16"/>
      <c r="DH97" s="16">
        <f>IFERROR(__xludf.DUMMYFUNCTION("""COMPUTED_VALUE"""),4.0)</f>
        <v>4</v>
      </c>
      <c r="DI97" s="16"/>
      <c r="DJ97" s="16"/>
      <c r="DK97" s="16"/>
      <c r="DL97" s="16"/>
      <c r="DM97" s="16"/>
      <c r="DN97" s="16">
        <f>IFERROR(__xludf.DUMMYFUNCTION("""COMPUTED_VALUE"""),-1.0)</f>
        <v>-1</v>
      </c>
      <c r="DO97" s="16"/>
      <c r="DP97" s="16">
        <f>IFERROR(__xludf.DUMMYFUNCTION("""COMPUTED_VALUE"""),-1.0)</f>
        <v>-1</v>
      </c>
      <c r="DQ97" s="16"/>
      <c r="DR97" s="16"/>
      <c r="DS97" s="16"/>
      <c r="DT97" s="16"/>
      <c r="DU97" s="16"/>
      <c r="DV97" s="16">
        <f>IFERROR(__xludf.DUMMYFUNCTION("""COMPUTED_VALUE"""),2.0)</f>
        <v>2</v>
      </c>
      <c r="DW97" s="16"/>
      <c r="DX97" s="16">
        <f>IFERROR(__xludf.DUMMYFUNCTION("""COMPUTED_VALUE"""),2.0)</f>
        <v>2</v>
      </c>
      <c r="DY97" s="16"/>
      <c r="DZ97" s="16"/>
      <c r="EA97" s="16"/>
      <c r="EB97" s="16"/>
      <c r="EC97" s="16"/>
      <c r="ED97" s="16">
        <f>IFERROR(__xludf.DUMMYFUNCTION("""COMPUTED_VALUE"""),1.0)</f>
        <v>1</v>
      </c>
      <c r="EE97" s="16"/>
      <c r="EF97" s="16">
        <f>IFERROR(__xludf.DUMMYFUNCTION("""COMPUTED_VALUE"""),1.0)</f>
        <v>1</v>
      </c>
      <c r="EG97" s="179"/>
      <c r="EH97" s="179"/>
      <c r="EI97" s="179"/>
      <c r="EJ97" s="179"/>
      <c r="EK97" s="179"/>
      <c r="EL97" s="179">
        <f>IFERROR(__xludf.DUMMYFUNCTION("""COMPUTED_VALUE"""),14.0)</f>
        <v>14</v>
      </c>
      <c r="EM97" s="179"/>
      <c r="EN97" s="179">
        <f>IFERROR(__xludf.DUMMYFUNCTION("""COMPUTED_VALUE"""),14.0)</f>
        <v>14</v>
      </c>
      <c r="EO97" s="16"/>
      <c r="EP97" s="16"/>
      <c r="EQ97" s="16">
        <f>IFERROR(__xludf.DUMMYFUNCTION("""COMPUTED_VALUE"""),4.0)</f>
        <v>4</v>
      </c>
      <c r="ER97" s="16">
        <f>IFERROR(__xludf.DUMMYFUNCTION("""COMPUTED_VALUE"""),2.0)</f>
        <v>2</v>
      </c>
      <c r="ES97" s="16"/>
      <c r="ET97" s="16"/>
      <c r="EU97" s="16"/>
      <c r="EV97" s="16"/>
      <c r="EW97" s="16"/>
      <c r="EX97" s="180"/>
      <c r="EY97" s="180"/>
      <c r="EZ97" s="180"/>
      <c r="FA97" s="180"/>
      <c r="FB97" s="180"/>
      <c r="FC97" s="180">
        <f>IFERROR(__xludf.DUMMYFUNCTION("""COMPUTED_VALUE"""),0.55)</f>
        <v>0.55</v>
      </c>
      <c r="FD97" s="180"/>
      <c r="FE97" s="180">
        <f>IFERROR(__xludf.DUMMYFUNCTION("""COMPUTED_VALUE"""),0.55)</f>
        <v>0.55</v>
      </c>
      <c r="FF97" s="180"/>
      <c r="FG97" s="180"/>
      <c r="FH97" s="180"/>
      <c r="FI97" s="180"/>
      <c r="FJ97" s="180"/>
      <c r="FK97" s="180">
        <f>IFERROR(__xludf.DUMMYFUNCTION("""COMPUTED_VALUE"""),0.069)</f>
        <v>0.069</v>
      </c>
      <c r="FL97" s="180"/>
      <c r="FM97" s="180">
        <f>IFERROR(__xludf.DUMMYFUNCTION("""COMPUTED_VALUE"""),0.069)</f>
        <v>0.069</v>
      </c>
      <c r="FN97" s="16"/>
      <c r="FO97" s="16"/>
      <c r="FP97" s="16"/>
      <c r="FQ97" s="16"/>
      <c r="FR97" s="16"/>
      <c r="FS97" s="16">
        <f>IFERROR(__xludf.DUMMYFUNCTION("""COMPUTED_VALUE"""),0.41895)</f>
        <v>0.41895</v>
      </c>
      <c r="FT97" s="16"/>
      <c r="FU97" s="16">
        <f>IFERROR(__xludf.DUMMYFUNCTION("""COMPUTED_VALUE"""),0.41895)</f>
        <v>0.41895</v>
      </c>
      <c r="FV97" s="16"/>
      <c r="FW97" s="16"/>
      <c r="FX97" s="16"/>
      <c r="FY97" s="16"/>
      <c r="FZ97" s="16"/>
      <c r="GA97" s="16">
        <f>IFERROR(__xludf.DUMMYFUNCTION("""COMPUTED_VALUE"""),-8.0)</f>
        <v>-8</v>
      </c>
      <c r="GB97" s="16"/>
      <c r="GC97" s="16">
        <f>IFERROR(__xludf.DUMMYFUNCTION("""COMPUTED_VALUE"""),-8.0)</f>
        <v>-8</v>
      </c>
      <c r="GD97" s="16" t="s">
        <v>272</v>
      </c>
    </row>
    <row r="98">
      <c r="A98" s="16">
        <f>IFERROR(__xludf.DUMMYFUNCTION("""COMPUTED_VALUE"""),12972.0)</f>
        <v>12972</v>
      </c>
      <c r="B98" s="16" t="str">
        <f>IFERROR(__xludf.DUMMYFUNCTION("""COMPUTED_VALUE"""),"Joey Bart")</f>
        <v>Joey Bart</v>
      </c>
      <c r="C98" s="16">
        <f>IFERROR(__xludf.DUMMYFUNCTION("""COMPUTED_VALUE"""),2.26)</f>
        <v>2.26</v>
      </c>
      <c r="D98" s="16" t="str">
        <f>IFERROR(__xludf.DUMMYFUNCTION("""COMPUTED_VALUE"""),"R")</f>
        <v>R</v>
      </c>
      <c r="E98" s="16"/>
      <c r="F98" s="16"/>
      <c r="G98" s="16">
        <f>IFERROR(__xludf.DUMMYFUNCTION("""COMPUTED_VALUE"""),253.0)</f>
        <v>253</v>
      </c>
      <c r="H98" s="16">
        <f>IFERROR(__xludf.DUMMYFUNCTION("""COMPUTED_VALUE"""),22.0)</f>
        <v>22</v>
      </c>
      <c r="I98" s="16" t="str">
        <f>IFERROR(__xludf.DUMMYFUNCTION("""COMPUTED_VALUE"""),"4p40")</f>
        <v>4p40</v>
      </c>
      <c r="J98" s="16">
        <f>IFERROR(__xludf.DUMMYFUNCTION("""COMPUTED_VALUE"""),39.0)</f>
        <v>39</v>
      </c>
      <c r="K98" s="16">
        <f>IFERROR(__xludf.DUMMYFUNCTION("""COMPUTED_VALUE"""),26.0)</f>
        <v>26</v>
      </c>
      <c r="L98" s="16">
        <f>IFERROR(__xludf.DUMMYFUNCTION("""COMPUTED_VALUE"""),-1.0)</f>
        <v>-1</v>
      </c>
      <c r="M98" s="16">
        <f>IFERROR(__xludf.DUMMYFUNCTION("""COMPUTED_VALUE"""),0.0)</f>
        <v>0</v>
      </c>
      <c r="N98" s="16">
        <f>IFERROR(__xludf.DUMMYFUNCTION("""COMPUTED_VALUE"""),-1.0)</f>
        <v>-1</v>
      </c>
      <c r="O98" s="16">
        <f>IFERROR(__xludf.DUMMYFUNCTION("""COMPUTED_VALUE"""),0.0)</f>
        <v>0</v>
      </c>
      <c r="P98" s="16">
        <f>IFERROR(__xludf.DUMMYFUNCTION("""COMPUTED_VALUE"""),6.0)</f>
        <v>6</v>
      </c>
      <c r="Q98" s="16">
        <f>IFERROR(__xludf.DUMMYFUNCTION("""COMPUTED_VALUE"""),10.0)</f>
        <v>10</v>
      </c>
      <c r="R98" s="16">
        <f>IFERROR(__xludf.DUMMYFUNCTION("""COMPUTED_VALUE"""),-1.0)</f>
        <v>-1</v>
      </c>
      <c r="S98" s="16">
        <f>IFERROR(__xludf.DUMMYFUNCTION("""COMPUTED_VALUE"""),0.0)</f>
        <v>0</v>
      </c>
      <c r="T98" s="16">
        <f>IFERROR(__xludf.DUMMYFUNCTION("""COMPUTED_VALUE"""),-1.0)</f>
        <v>-1</v>
      </c>
      <c r="U98" s="16">
        <f>IFERROR(__xludf.DUMMYFUNCTION("""COMPUTED_VALUE"""),0.0)</f>
        <v>0</v>
      </c>
      <c r="V98" s="16">
        <f>IFERROR(__xludf.DUMMYFUNCTION("""COMPUTED_VALUE"""),26.5)</f>
        <v>26.5</v>
      </c>
      <c r="W98" s="16">
        <f>IFERROR(__xludf.DUMMYFUNCTION("""COMPUTED_VALUE"""),21.2)</f>
        <v>21.2</v>
      </c>
      <c r="X98" s="16">
        <f>IFERROR(__xludf.DUMMYFUNCTION("""COMPUTED_VALUE"""),1.0)</f>
        <v>1</v>
      </c>
      <c r="Y98" s="16">
        <f>IFERROR(__xludf.DUMMYFUNCTION("""COMPUTED_VALUE"""),0.0)</f>
        <v>0</v>
      </c>
      <c r="Z98" s="16">
        <f>IFERROR(__xludf.DUMMYFUNCTION("""COMPUTED_VALUE"""),2.0)</f>
        <v>2</v>
      </c>
      <c r="AA98" s="16">
        <f>IFERROR(__xludf.DUMMYFUNCTION("""COMPUTED_VALUE"""),0.0)</f>
        <v>0</v>
      </c>
      <c r="AB98" s="16">
        <f>IFERROR(__xludf.DUMMYFUNCTION("""COMPUTED_VALUE"""),37.4)</f>
        <v>37.4</v>
      </c>
      <c r="AC98" s="16">
        <f>IFERROR(__xludf.DUMMYFUNCTION("""COMPUTED_VALUE"""),36.2)</f>
        <v>36.2</v>
      </c>
      <c r="AD98" s="16">
        <f>IFERROR(__xludf.DUMMYFUNCTION("""COMPUTED_VALUE"""),1.0)</f>
        <v>1</v>
      </c>
      <c r="AE98" s="16">
        <f>IFERROR(__xludf.DUMMYFUNCTION("""COMPUTED_VALUE"""),1.0)</f>
        <v>1</v>
      </c>
      <c r="AF98" s="16">
        <f>IFERROR(__xludf.DUMMYFUNCTION("""COMPUTED_VALUE"""),5.0)</f>
        <v>5</v>
      </c>
      <c r="AG98" s="16">
        <f>IFERROR(__xludf.DUMMYFUNCTION("""COMPUTED_VALUE"""),5.0)</f>
        <v>5</v>
      </c>
      <c r="AH98" s="16">
        <f>IFERROR(__xludf.DUMMYFUNCTION("""COMPUTED_VALUE"""),51.8)</f>
        <v>51.8</v>
      </c>
      <c r="AI98" s="16">
        <f>IFERROR(__xludf.DUMMYFUNCTION("""COMPUTED_VALUE"""),35.1)</f>
        <v>35.1</v>
      </c>
      <c r="AJ98" s="16">
        <f>IFERROR(__xludf.DUMMYFUNCTION("""COMPUTED_VALUE"""),2.0)</f>
        <v>2</v>
      </c>
      <c r="AK98" s="16">
        <f>IFERROR(__xludf.DUMMYFUNCTION("""COMPUTED_VALUE"""),0.0)</f>
        <v>0</v>
      </c>
      <c r="AL98" s="16">
        <f>IFERROR(__xludf.DUMMYFUNCTION("""COMPUTED_VALUE"""),10.0)</f>
        <v>10</v>
      </c>
      <c r="AM98" s="16">
        <f>IFERROR(__xludf.DUMMYFUNCTION("""COMPUTED_VALUE"""),0.0)</f>
        <v>0</v>
      </c>
      <c r="AN98" s="16">
        <f>IFERROR(__xludf.DUMMYFUNCTION("""COMPUTED_VALUE"""),8.3)</f>
        <v>8.3</v>
      </c>
      <c r="AO98" s="16">
        <f>IFERROR(__xludf.DUMMYFUNCTION("""COMPUTED_VALUE"""),3.2)</f>
        <v>3.2</v>
      </c>
      <c r="AP98" s="16">
        <f>IFERROR(__xludf.DUMMYFUNCTION("""COMPUTED_VALUE"""),3.0)</f>
        <v>3</v>
      </c>
      <c r="AQ98" s="16">
        <f>IFERROR(__xludf.DUMMYFUNCTION("""COMPUTED_VALUE"""),1.0)</f>
        <v>1</v>
      </c>
      <c r="AR98" s="16">
        <f>IFERROR(__xludf.DUMMYFUNCTION("""COMPUTED_VALUE"""),6.0)</f>
        <v>6</v>
      </c>
      <c r="AS98" s="16">
        <f>IFERROR(__xludf.DUMMYFUNCTION("""COMPUTED_VALUE"""),2.0)</f>
        <v>2</v>
      </c>
      <c r="AT98" s="16">
        <f>IFERROR(__xludf.DUMMYFUNCTION("""COMPUTED_VALUE"""),8.0)</f>
        <v>8</v>
      </c>
      <c r="AU98" s="16">
        <f>IFERROR(__xludf.DUMMYFUNCTION("""COMPUTED_VALUE"""),5.0)</f>
        <v>5</v>
      </c>
      <c r="AV98" s="16">
        <f>IFERROR(__xludf.DUMMYFUNCTION("""COMPUTED_VALUE"""),8.0)</f>
        <v>8</v>
      </c>
      <c r="AW98" s="16">
        <f>IFERROR(__xludf.DUMMYFUNCTION("""COMPUTED_VALUE"""),5.0)</f>
        <v>5</v>
      </c>
      <c r="AX98" s="16">
        <f>IFERROR(__xludf.DUMMYFUNCTION("""COMPUTED_VALUE"""),3.0)</f>
        <v>3</v>
      </c>
      <c r="AY98" s="16">
        <f>IFERROR(__xludf.DUMMYFUNCTION("""COMPUTED_VALUE"""),2.0)</f>
        <v>2</v>
      </c>
      <c r="AZ98" s="16">
        <f>IFERROR(__xludf.DUMMYFUNCTION("""COMPUTED_VALUE"""),9.0)</f>
        <v>9</v>
      </c>
      <c r="BA98" s="16">
        <f>IFERROR(__xludf.DUMMYFUNCTION("""COMPUTED_VALUE"""),6.0)</f>
        <v>6</v>
      </c>
      <c r="BB98" s="16">
        <f>IFERROR(__xludf.DUMMYFUNCTION("""COMPUTED_VALUE"""),5.0)</f>
        <v>5</v>
      </c>
      <c r="BC98" s="16">
        <f>IFERROR(__xludf.DUMMYFUNCTION("""COMPUTED_VALUE"""),5.0)</f>
        <v>5</v>
      </c>
      <c r="BD98" s="16">
        <f>IFERROR(__xludf.DUMMYFUNCTION("""COMPUTED_VALUE"""),1.0)</f>
        <v>1</v>
      </c>
      <c r="BE98" s="16">
        <f>IFERROR(__xludf.DUMMYFUNCTION("""COMPUTED_VALUE"""),1.0)</f>
        <v>1</v>
      </c>
      <c r="BF98" s="16">
        <f>IFERROR(__xludf.DUMMYFUNCTION("""COMPUTED_VALUE"""),1.0)</f>
        <v>1</v>
      </c>
      <c r="BG98" s="16">
        <f>IFERROR(__xludf.DUMMYFUNCTION("""COMPUTED_VALUE"""),1.0)</f>
        <v>1</v>
      </c>
      <c r="BH98" s="16">
        <f>IFERROR(__xludf.DUMMYFUNCTION("""COMPUTED_VALUE"""),-12.0)</f>
        <v>-12</v>
      </c>
      <c r="BI98" s="16">
        <f>IFERROR(__xludf.DUMMYFUNCTION("""COMPUTED_VALUE"""),-11.0)</f>
        <v>-11</v>
      </c>
      <c r="BJ98" s="16">
        <f>IFERROR(__xludf.DUMMYFUNCTION("""COMPUTED_VALUE"""),15.0)</f>
        <v>15</v>
      </c>
      <c r="BK98" s="16">
        <f>IFERROR(__xludf.DUMMYFUNCTION("""COMPUTED_VALUE"""),21.0)</f>
        <v>21</v>
      </c>
      <c r="BL98" s="16">
        <f>IFERROR(__xludf.DUMMYFUNCTION("""COMPUTED_VALUE"""),-1.0)</f>
        <v>-1</v>
      </c>
      <c r="BM98" s="16">
        <f>IFERROR(__xludf.DUMMYFUNCTION("""COMPUTED_VALUE"""),-2.0)</f>
        <v>-2</v>
      </c>
      <c r="BN98" s="16">
        <f>IFERROR(__xludf.DUMMYFUNCTION("""COMPUTED_VALUE"""),-2.0)</f>
        <v>-2</v>
      </c>
      <c r="BO98" s="16">
        <f>IFERROR(__xludf.DUMMYFUNCTION("""COMPUTED_VALUE"""),-4.0)</f>
        <v>-4</v>
      </c>
      <c r="BP98" s="16">
        <f>IFERROR(__xludf.DUMMYFUNCTION("""COMPUTED_VALUE"""),8.0)</f>
        <v>8</v>
      </c>
      <c r="BQ98" s="16">
        <f>IFERROR(__xludf.DUMMYFUNCTION("""COMPUTED_VALUE"""),3.0)</f>
        <v>3</v>
      </c>
      <c r="BR98" s="16">
        <f>IFERROR(__xludf.DUMMYFUNCTION("""COMPUTED_VALUE"""),11.0)</f>
        <v>11</v>
      </c>
      <c r="BS98" s="16" t="str">
        <f>IFERROR(__xludf.DUMMYFUNCTION("""COMPUTED_VALUE"""),"-/- (---)")</f>
        <v>-/- (---)</v>
      </c>
      <c r="BT98" s="16" t="str">
        <f>IFERROR(__xludf.DUMMYFUNCTION("""COMPUTED_VALUE"""),"E")</f>
        <v>E</v>
      </c>
      <c r="BU98" s="16">
        <f>IFERROR(__xludf.DUMMYFUNCTION("""COMPUTED_VALUE"""),10.0)</f>
        <v>10</v>
      </c>
      <c r="BV98" s="16">
        <f>IFERROR(__xludf.DUMMYFUNCTION("""COMPUTED_VALUE"""),0.0)</f>
        <v>0</v>
      </c>
      <c r="BW98" s="16">
        <f>IFERROR(__xludf.DUMMYFUNCTION("""COMPUTED_VALUE"""),0.0)</f>
        <v>0</v>
      </c>
      <c r="BX98" s="16">
        <f>IFERROR(__xludf.DUMMYFUNCTION("""COMPUTED_VALUE"""),0.0)</f>
        <v>0</v>
      </c>
      <c r="BY98" s="16">
        <f>IFERROR(__xludf.DUMMYFUNCTION("""COMPUTED_VALUE"""),0.0)</f>
        <v>0</v>
      </c>
      <c r="BZ98" s="16" t="str">
        <f>IFERROR(__xludf.DUMMYFUNCTION("""COMPUTED_VALUE"""),"D")</f>
        <v>D</v>
      </c>
      <c r="CA98" s="16" t="str">
        <f>IFERROR(__xludf.DUMMYFUNCTION("""COMPUTED_VALUE"""),"D")</f>
        <v>D</v>
      </c>
      <c r="CB98" s="16">
        <f>IFERROR(__xludf.DUMMYFUNCTION("""COMPUTED_VALUE"""),0.0)</f>
        <v>0</v>
      </c>
      <c r="CC98" s="16">
        <f>IFERROR(__xludf.DUMMYFUNCTION("""COMPUTED_VALUE"""),0.0)</f>
        <v>0</v>
      </c>
      <c r="CD98" s="16">
        <f>IFERROR(__xludf.DUMMYFUNCTION("""COMPUTED_VALUE"""),0.0)</f>
        <v>0</v>
      </c>
      <c r="CE98" s="16">
        <f>IFERROR(__xludf.DUMMYFUNCTION("""COMPUTED_VALUE"""),0.0)</f>
        <v>0</v>
      </c>
      <c r="CF98" s="16">
        <f>IFERROR(__xludf.DUMMYFUNCTION("""COMPUTED_VALUE"""),4.0)</f>
        <v>4</v>
      </c>
      <c r="CG98" s="16">
        <f>IFERROR(__xludf.DUMMYFUNCTION("""COMPUTED_VALUE"""),29.0)</f>
        <v>29</v>
      </c>
      <c r="CH98" s="16">
        <f>IFERROR(__xludf.DUMMYFUNCTION("""COMPUTED_VALUE"""),10.0)</f>
        <v>10</v>
      </c>
      <c r="CI98" s="179">
        <f>IFERROR(__xludf.DUMMYFUNCTION("""COMPUTED_VALUE"""),13.0)</f>
        <v>13</v>
      </c>
      <c r="CJ98" s="16">
        <f>IFERROR(__xludf.DUMMYFUNCTION("""COMPUTED_VALUE"""),307.0)</f>
        <v>307</v>
      </c>
      <c r="CK98" s="16"/>
      <c r="CL98" s="16"/>
      <c r="CM98" s="16"/>
      <c r="CN98" s="16"/>
      <c r="CO98" s="16"/>
      <c r="CP98" s="16"/>
      <c r="CQ98" s="16"/>
      <c r="CR98" s="16" t="str">
        <f>IFERROR(__xludf.DUMMYFUNCTION("""COMPUTED_VALUE"""),"c-3(+1)e7,T-2(pb-2)")</f>
        <v>c-3(+1)e7,T-2(pb-2)</v>
      </c>
      <c r="CS98" s="16">
        <f>IFERROR(__xludf.DUMMYFUNCTION("""COMPUTED_VALUE"""),3.0)</f>
        <v>3</v>
      </c>
      <c r="CT98" s="16"/>
      <c r="CU98" s="16"/>
      <c r="CV98" s="16"/>
      <c r="CW98" s="16"/>
      <c r="CX98" s="16"/>
      <c r="CY98" s="16"/>
      <c r="CZ98" s="16"/>
      <c r="DA98" s="16">
        <f>IFERROR(__xludf.DUMMYFUNCTION("""COMPUTED_VALUE"""),7.0)</f>
        <v>7</v>
      </c>
      <c r="DB98" s="16"/>
      <c r="DC98" s="16"/>
      <c r="DD98" s="16"/>
      <c r="DE98" s="16"/>
      <c r="DF98" s="16"/>
      <c r="DG98" s="16"/>
      <c r="DH98" s="16"/>
      <c r="DI98" s="16">
        <f>IFERROR(__xludf.DUMMYFUNCTION("""COMPUTED_VALUE"""),0.0)</f>
        <v>0</v>
      </c>
      <c r="DJ98" s="16"/>
      <c r="DK98" s="16"/>
      <c r="DL98" s="16"/>
      <c r="DM98" s="16"/>
      <c r="DN98" s="16"/>
      <c r="DO98" s="16"/>
      <c r="DP98" s="16"/>
      <c r="DQ98" s="16">
        <f>IFERROR(__xludf.DUMMYFUNCTION("""COMPUTED_VALUE"""),2.0)</f>
        <v>2</v>
      </c>
      <c r="DR98" s="16"/>
      <c r="DS98" s="16"/>
      <c r="DT98" s="16"/>
      <c r="DU98" s="16"/>
      <c r="DV98" s="16"/>
      <c r="DW98" s="16"/>
      <c r="DX98" s="16"/>
      <c r="DY98" s="16">
        <f>IFERROR(__xludf.DUMMYFUNCTION("""COMPUTED_VALUE"""),2.0)</f>
        <v>2</v>
      </c>
      <c r="DZ98" s="16"/>
      <c r="EA98" s="16"/>
      <c r="EB98" s="16"/>
      <c r="EC98" s="16"/>
      <c r="ED98" s="16"/>
      <c r="EE98" s="16"/>
      <c r="EF98" s="16"/>
      <c r="EG98" s="179">
        <f>IFERROR(__xludf.DUMMYFUNCTION("""COMPUTED_VALUE"""),16.0)</f>
        <v>16</v>
      </c>
      <c r="EH98" s="179"/>
      <c r="EI98" s="179"/>
      <c r="EJ98" s="179"/>
      <c r="EK98" s="179"/>
      <c r="EL98" s="179"/>
      <c r="EM98" s="179"/>
      <c r="EN98" s="179"/>
      <c r="EO98" s="16">
        <f>IFERROR(__xludf.DUMMYFUNCTION("""COMPUTED_VALUE"""),1.0)</f>
        <v>1</v>
      </c>
      <c r="EP98" s="16">
        <f>IFERROR(__xludf.DUMMYFUNCTION("""COMPUTED_VALUE"""),0.0)</f>
        <v>0</v>
      </c>
      <c r="EQ98" s="16">
        <f>IFERROR(__xludf.DUMMYFUNCTION("""COMPUTED_VALUE"""),-1.0)</f>
        <v>-1</v>
      </c>
      <c r="ER98" s="16">
        <f>IFERROR(__xludf.DUMMYFUNCTION("""COMPUTED_VALUE"""),-1.0)</f>
        <v>-1</v>
      </c>
      <c r="ES98" s="16" t="str">
        <f>IFERROR(__xludf.DUMMYFUNCTION("""COMPUTED_VALUE"""),"c-3")</f>
        <v>c-3</v>
      </c>
      <c r="ET98" s="16" t="str">
        <f>IFERROR(__xludf.DUMMYFUNCTION("""COMPUTED_VALUE"""),"+1)e7,T-2")</f>
        <v>+1)e7,T-2</v>
      </c>
      <c r="EU98" s="16" t="str">
        <f>IFERROR(__xludf.DUMMYFUNCTION("""COMPUTED_VALUE"""),"pb-2)")</f>
        <v>pb-2)</v>
      </c>
      <c r="EV98" s="16"/>
      <c r="EW98" s="16">
        <f>IFERROR(__xludf.DUMMYFUNCTION("""COMPUTED_VALUE"""),1.0)</f>
        <v>1</v>
      </c>
      <c r="EX98" s="180">
        <f>IFERROR(__xludf.DUMMYFUNCTION("""COMPUTED_VALUE"""),0.2)</f>
        <v>0.2</v>
      </c>
      <c r="EY98" s="180"/>
      <c r="EZ98" s="180"/>
      <c r="FA98" s="180"/>
      <c r="FB98" s="180"/>
      <c r="FC98" s="180"/>
      <c r="FD98" s="180"/>
      <c r="FE98" s="180"/>
      <c r="FF98" s="180">
        <f>IFERROR(__xludf.DUMMYFUNCTION("""COMPUTED_VALUE"""),0.084)</f>
        <v>0.084</v>
      </c>
      <c r="FG98" s="180"/>
      <c r="FH98" s="180"/>
      <c r="FI98" s="180"/>
      <c r="FJ98" s="180"/>
      <c r="FK98" s="180"/>
      <c r="FL98" s="180"/>
      <c r="FM98" s="180"/>
      <c r="FN98" s="16">
        <f>IFERROR(__xludf.DUMMYFUNCTION("""COMPUTED_VALUE"""),0.7328000000000001)</f>
        <v>0.7328</v>
      </c>
      <c r="FO98" s="16"/>
      <c r="FP98" s="16"/>
      <c r="FQ98" s="16"/>
      <c r="FR98" s="16"/>
      <c r="FS98" s="16"/>
      <c r="FT98" s="16"/>
      <c r="FU98" s="16"/>
      <c r="FV98" s="16">
        <f>IFERROR(__xludf.DUMMYFUNCTION("""COMPUTED_VALUE"""),-5.0)</f>
        <v>-5</v>
      </c>
      <c r="FW98" s="16"/>
      <c r="FX98" s="16"/>
      <c r="FY98" s="16"/>
      <c r="FZ98" s="16"/>
      <c r="GA98" s="16"/>
      <c r="GB98" s="16"/>
      <c r="GC98" s="16"/>
      <c r="GD98" s="16" t="s">
        <v>289</v>
      </c>
    </row>
    <row r="99">
      <c r="A99" s="16">
        <f>IFERROR(__xludf.DUMMYFUNCTION("""COMPUTED_VALUE"""),12736.0)</f>
        <v>12736</v>
      </c>
      <c r="B99" s="16" t="str">
        <f>IFERROR(__xludf.DUMMYFUNCTION("""COMPUTED_VALUE"""),"Daulton Varsho")</f>
        <v>Daulton Varsho</v>
      </c>
      <c r="C99" s="16">
        <f>IFERROR(__xludf.DUMMYFUNCTION("""COMPUTED_VALUE"""),2.83)</f>
        <v>2.83</v>
      </c>
      <c r="D99" s="16" t="str">
        <f>IFERROR(__xludf.DUMMYFUNCTION("""COMPUTED_VALUE"""),"L")</f>
        <v>L</v>
      </c>
      <c r="E99" s="16"/>
      <c r="F99" s="16"/>
      <c r="G99" s="16">
        <f>IFERROR(__xludf.DUMMYFUNCTION("""COMPUTED_VALUE"""),459.0)</f>
        <v>459</v>
      </c>
      <c r="H99" s="16">
        <f>IFERROR(__xludf.DUMMYFUNCTION("""COMPUTED_VALUE"""),48.0)</f>
        <v>48</v>
      </c>
      <c r="I99" s="16" t="str">
        <f>IFERROR(__xludf.DUMMYFUNCTION("""COMPUTED_VALUE"""),"2p60")</f>
        <v>2p60</v>
      </c>
      <c r="J99" s="16">
        <f>IFERROR(__xludf.DUMMYFUNCTION("""COMPUTED_VALUE"""),7.0)</f>
        <v>7</v>
      </c>
      <c r="K99" s="16">
        <f>IFERROR(__xludf.DUMMYFUNCTION("""COMPUTED_VALUE"""),40.0)</f>
        <v>40</v>
      </c>
      <c r="L99" s="16">
        <f>IFERROR(__xludf.DUMMYFUNCTION("""COMPUTED_VALUE"""),2.0)</f>
        <v>2</v>
      </c>
      <c r="M99" s="16">
        <f>IFERROR(__xludf.DUMMYFUNCTION("""COMPUTED_VALUE"""),-2.0)</f>
        <v>-2</v>
      </c>
      <c r="N99" s="16">
        <f>IFERROR(__xludf.DUMMYFUNCTION("""COMPUTED_VALUE"""),2.0)</f>
        <v>2</v>
      </c>
      <c r="O99" s="16">
        <f>IFERROR(__xludf.DUMMYFUNCTION("""COMPUTED_VALUE"""),-2.0)</f>
        <v>-2</v>
      </c>
      <c r="P99" s="16">
        <f>IFERROR(__xludf.DUMMYFUNCTION("""COMPUTED_VALUE"""),12.0)</f>
        <v>12</v>
      </c>
      <c r="Q99" s="16">
        <f>IFERROR(__xludf.DUMMYFUNCTION("""COMPUTED_VALUE"""),10.0)</f>
        <v>10</v>
      </c>
      <c r="R99" s="16">
        <f>IFERROR(__xludf.DUMMYFUNCTION("""COMPUTED_VALUE"""),1.0)</f>
        <v>1</v>
      </c>
      <c r="S99" s="16">
        <f>IFERROR(__xludf.DUMMYFUNCTION("""COMPUTED_VALUE"""),0.0)</f>
        <v>0</v>
      </c>
      <c r="T99" s="16">
        <f>IFERROR(__xludf.DUMMYFUNCTION("""COMPUTED_VALUE"""),1.0)</f>
        <v>1</v>
      </c>
      <c r="U99" s="16">
        <f>IFERROR(__xludf.DUMMYFUNCTION("""COMPUTED_VALUE"""),0.0)</f>
        <v>0</v>
      </c>
      <c r="V99" s="16">
        <f>IFERROR(__xludf.DUMMYFUNCTION("""COMPUTED_VALUE"""),29.7)</f>
        <v>29.7</v>
      </c>
      <c r="W99" s="16">
        <f>IFERROR(__xludf.DUMMYFUNCTION("""COMPUTED_VALUE"""),11.7)</f>
        <v>11.7</v>
      </c>
      <c r="X99" s="16">
        <f>IFERROR(__xludf.DUMMYFUNCTION("""COMPUTED_VALUE"""),2.0)</f>
        <v>2</v>
      </c>
      <c r="Y99" s="16">
        <f>IFERROR(__xludf.DUMMYFUNCTION("""COMPUTED_VALUE"""),-2.0)</f>
        <v>-2</v>
      </c>
      <c r="Z99" s="16">
        <f>IFERROR(__xludf.DUMMYFUNCTION("""COMPUTED_VALUE"""),4.0)</f>
        <v>4</v>
      </c>
      <c r="AA99" s="16">
        <f>IFERROR(__xludf.DUMMYFUNCTION("""COMPUTED_VALUE"""),-4.0)</f>
        <v>-4</v>
      </c>
      <c r="AB99" s="16">
        <f>IFERROR(__xludf.DUMMYFUNCTION("""COMPUTED_VALUE"""),43.7)</f>
        <v>43.7</v>
      </c>
      <c r="AC99" s="16">
        <f>IFERROR(__xludf.DUMMYFUNCTION("""COMPUTED_VALUE"""),23.7)</f>
        <v>23.7</v>
      </c>
      <c r="AD99" s="16">
        <f>IFERROR(__xludf.DUMMYFUNCTION("""COMPUTED_VALUE"""),2.0)</f>
        <v>2</v>
      </c>
      <c r="AE99" s="16">
        <f>IFERROR(__xludf.DUMMYFUNCTION("""COMPUTED_VALUE"""),-1.0)</f>
        <v>-1</v>
      </c>
      <c r="AF99" s="16">
        <f>IFERROR(__xludf.DUMMYFUNCTION("""COMPUTED_VALUE"""),10.0)</f>
        <v>10</v>
      </c>
      <c r="AG99" s="16">
        <f>IFERROR(__xludf.DUMMYFUNCTION("""COMPUTED_VALUE"""),-5.0)</f>
        <v>-5</v>
      </c>
      <c r="AH99" s="16">
        <f>IFERROR(__xludf.DUMMYFUNCTION("""COMPUTED_VALUE"""),46.8)</f>
        <v>46.8</v>
      </c>
      <c r="AI99" s="16">
        <f>IFERROR(__xludf.DUMMYFUNCTION("""COMPUTED_VALUE"""),29.5)</f>
        <v>29.5</v>
      </c>
      <c r="AJ99" s="16">
        <f>IFERROR(__xludf.DUMMYFUNCTION("""COMPUTED_VALUE"""),1.0)</f>
        <v>1</v>
      </c>
      <c r="AK99" s="16">
        <f>IFERROR(__xludf.DUMMYFUNCTION("""COMPUTED_VALUE"""),0.0)</f>
        <v>0</v>
      </c>
      <c r="AL99" s="16">
        <f>IFERROR(__xludf.DUMMYFUNCTION("""COMPUTED_VALUE"""),5.0)</f>
        <v>5</v>
      </c>
      <c r="AM99" s="16">
        <f>IFERROR(__xludf.DUMMYFUNCTION("""COMPUTED_VALUE"""),0.0)</f>
        <v>0</v>
      </c>
      <c r="AN99" s="16">
        <f>IFERROR(__xludf.DUMMYFUNCTION("""COMPUTED_VALUE"""),2.5)</f>
        <v>2.5</v>
      </c>
      <c r="AO99" s="16">
        <f>IFERROR(__xludf.DUMMYFUNCTION("""COMPUTED_VALUE"""),3.0)</f>
        <v>3</v>
      </c>
      <c r="AP99" s="16">
        <f>IFERROR(__xludf.DUMMYFUNCTION("""COMPUTED_VALUE"""),0.0)</f>
        <v>0</v>
      </c>
      <c r="AQ99" s="16">
        <f>IFERROR(__xludf.DUMMYFUNCTION("""COMPUTED_VALUE"""),1.0)</f>
        <v>1</v>
      </c>
      <c r="AR99" s="16">
        <f>IFERROR(__xludf.DUMMYFUNCTION("""COMPUTED_VALUE"""),0.0)</f>
        <v>0</v>
      </c>
      <c r="AS99" s="16">
        <f>IFERROR(__xludf.DUMMYFUNCTION("""COMPUTED_VALUE"""),2.0)</f>
        <v>2</v>
      </c>
      <c r="AT99" s="16">
        <f>IFERROR(__xludf.DUMMYFUNCTION("""COMPUTED_VALUE"""),4.0)</f>
        <v>4</v>
      </c>
      <c r="AU99" s="16"/>
      <c r="AV99" s="16">
        <f>IFERROR(__xludf.DUMMYFUNCTION("""COMPUTED_VALUE"""),4.0)</f>
        <v>4</v>
      </c>
      <c r="AW99" s="16">
        <f>IFERROR(__xludf.DUMMYFUNCTION("""COMPUTED_VALUE"""),5.0)</f>
        <v>5</v>
      </c>
      <c r="AX99" s="16">
        <f>IFERROR(__xludf.DUMMYFUNCTION("""COMPUTED_VALUE"""),2.0)</f>
        <v>2</v>
      </c>
      <c r="AY99" s="16">
        <f>IFERROR(__xludf.DUMMYFUNCTION("""COMPUTED_VALUE"""),2.0)</f>
        <v>2</v>
      </c>
      <c r="AZ99" s="16">
        <f>IFERROR(__xludf.DUMMYFUNCTION("""COMPUTED_VALUE"""),6.0)</f>
        <v>6</v>
      </c>
      <c r="BA99" s="16">
        <f>IFERROR(__xludf.DUMMYFUNCTION("""COMPUTED_VALUE"""),6.0)</f>
        <v>6</v>
      </c>
      <c r="BB99" s="16">
        <f>IFERROR(__xludf.DUMMYFUNCTION("""COMPUTED_VALUE"""),5.0)</f>
        <v>5</v>
      </c>
      <c r="BC99" s="16">
        <f>IFERROR(__xludf.DUMMYFUNCTION("""COMPUTED_VALUE"""),0.0)</f>
        <v>0</v>
      </c>
      <c r="BD99" s="16">
        <f>IFERROR(__xludf.DUMMYFUNCTION("""COMPUTED_VALUE"""),1.0)</f>
        <v>1</v>
      </c>
      <c r="BE99" s="16">
        <f>IFERROR(__xludf.DUMMYFUNCTION("""COMPUTED_VALUE"""),0.0)</f>
        <v>0</v>
      </c>
      <c r="BF99" s="16">
        <f>IFERROR(__xludf.DUMMYFUNCTION("""COMPUTED_VALUE"""),1.0)</f>
        <v>1</v>
      </c>
      <c r="BG99" s="16">
        <f>IFERROR(__xludf.DUMMYFUNCTION("""COMPUTED_VALUE"""),0.0)</f>
        <v>0</v>
      </c>
      <c r="BH99" s="16">
        <f>IFERROR(__xludf.DUMMYFUNCTION("""COMPUTED_VALUE"""),-14.0)</f>
        <v>-14</v>
      </c>
      <c r="BI99" s="16">
        <f>IFERROR(__xludf.DUMMYFUNCTION("""COMPUTED_VALUE"""),0.0)</f>
        <v>0</v>
      </c>
      <c r="BJ99" s="16">
        <f>IFERROR(__xludf.DUMMYFUNCTION("""COMPUTED_VALUE"""),0.0)</f>
        <v>0</v>
      </c>
      <c r="BK99" s="16">
        <f>IFERROR(__xludf.DUMMYFUNCTION("""COMPUTED_VALUE"""),0.0)</f>
        <v>0</v>
      </c>
      <c r="BL99" s="16">
        <f>IFERROR(__xludf.DUMMYFUNCTION("""COMPUTED_VALUE"""),3.0)</f>
        <v>3</v>
      </c>
      <c r="BM99" s="16">
        <f>IFERROR(__xludf.DUMMYFUNCTION("""COMPUTED_VALUE"""),3.0)</f>
        <v>3</v>
      </c>
      <c r="BN99" s="16">
        <f>IFERROR(__xludf.DUMMYFUNCTION("""COMPUTED_VALUE"""),3.0)</f>
        <v>3</v>
      </c>
      <c r="BO99" s="16">
        <f>IFERROR(__xludf.DUMMYFUNCTION("""COMPUTED_VALUE"""),3.0)</f>
        <v>3</v>
      </c>
      <c r="BP99" s="16">
        <f>IFERROR(__xludf.DUMMYFUNCTION("""COMPUTED_VALUE"""),14.0)</f>
        <v>14</v>
      </c>
      <c r="BQ99" s="16">
        <f>IFERROR(__xludf.DUMMYFUNCTION("""COMPUTED_VALUE"""),1.0)</f>
        <v>1</v>
      </c>
      <c r="BR99" s="16">
        <f>IFERROR(__xludf.DUMMYFUNCTION("""COMPUTED_VALUE"""),15.0)</f>
        <v>15</v>
      </c>
      <c r="BS99" s="16" t="str">
        <f>IFERROR(__xludf.DUMMYFUNCTION("""COMPUTED_VALUE"""),"*6/- (19-11)")</f>
        <v>*6/- (19-11)</v>
      </c>
      <c r="BT99" s="16" t="str">
        <f>IFERROR(__xludf.DUMMYFUNCTION("""COMPUTED_VALUE"""),"B")</f>
        <v>B</v>
      </c>
      <c r="BU99" s="16">
        <f>IFERROR(__xludf.DUMMYFUNCTION("""COMPUTED_VALUE"""),15.0)</f>
        <v>15</v>
      </c>
      <c r="BV99" s="16">
        <f>IFERROR(__xludf.DUMMYFUNCTION("""COMPUTED_VALUE"""),1.0)</f>
        <v>1</v>
      </c>
      <c r="BW99" s="16">
        <f>IFERROR(__xludf.DUMMYFUNCTION("""COMPUTED_VALUE"""),2.0)</f>
        <v>2</v>
      </c>
      <c r="BX99" s="16">
        <f>IFERROR(__xludf.DUMMYFUNCTION("""COMPUTED_VALUE"""),2.0)</f>
        <v>2</v>
      </c>
      <c r="BY99" s="16">
        <f>IFERROR(__xludf.DUMMYFUNCTION("""COMPUTED_VALUE"""),6.0)</f>
        <v>6</v>
      </c>
      <c r="BZ99" s="16" t="str">
        <f>IFERROR(__xludf.DUMMYFUNCTION("""COMPUTED_VALUE"""),"C")</f>
        <v>C</v>
      </c>
      <c r="CA99" s="16" t="str">
        <f>IFERROR(__xludf.DUMMYFUNCTION("""COMPUTED_VALUE"""),"D")</f>
        <v>D</v>
      </c>
      <c r="CB99" s="16">
        <f>IFERROR(__xludf.DUMMYFUNCTION("""COMPUTED_VALUE"""),0.0)</f>
        <v>0</v>
      </c>
      <c r="CC99" s="16">
        <f>IFERROR(__xludf.DUMMYFUNCTION("""COMPUTED_VALUE"""),0.0)</f>
        <v>0</v>
      </c>
      <c r="CD99" s="16">
        <f>IFERROR(__xludf.DUMMYFUNCTION("""COMPUTED_VALUE"""),0.0)</f>
        <v>0</v>
      </c>
      <c r="CE99" s="16">
        <f>IFERROR(__xludf.DUMMYFUNCTION("""COMPUTED_VALUE"""),0.0)</f>
        <v>0</v>
      </c>
      <c r="CF99" s="16">
        <f>IFERROR(__xludf.DUMMYFUNCTION("""COMPUTED_VALUE"""),2.0)</f>
        <v>2</v>
      </c>
      <c r="CG99" s="16">
        <f>IFERROR(__xludf.DUMMYFUNCTION("""COMPUTED_VALUE"""),32.0)</f>
        <v>32</v>
      </c>
      <c r="CH99" s="16">
        <f>IFERROR(__xludf.DUMMYFUNCTION("""COMPUTED_VALUE"""),0.0)</f>
        <v>0</v>
      </c>
      <c r="CI99" s="179">
        <f>IFERROR(__xludf.DUMMYFUNCTION("""COMPUTED_VALUE"""),13.0)</f>
        <v>13</v>
      </c>
      <c r="CJ99" s="16"/>
      <c r="CK99" s="16"/>
      <c r="CL99" s="16"/>
      <c r="CM99" s="16"/>
      <c r="CN99" s="16"/>
      <c r="CO99" s="16">
        <f>IFERROR(__xludf.DUMMYFUNCTION("""COMPUTED_VALUE"""),103.0)</f>
        <v>103</v>
      </c>
      <c r="CP99" s="16">
        <f>IFERROR(__xludf.DUMMYFUNCTION("""COMPUTED_VALUE"""),103.0)</f>
        <v>103</v>
      </c>
      <c r="CQ99" s="16">
        <f>IFERROR(__xludf.DUMMYFUNCTION("""COMPUTED_VALUE"""),203.0)</f>
        <v>203</v>
      </c>
      <c r="CR99" s="16" t="str">
        <f>IFERROR(__xludf.DUMMYFUNCTION("""COMPUTED_VALUE"""),"cf-1(-3)e3 lf-1e3 rf-2e3")</f>
        <v>cf-1(-3)e3 lf-1e3 rf-2e3</v>
      </c>
      <c r="CS99" s="16"/>
      <c r="CT99" s="16"/>
      <c r="CU99" s="16"/>
      <c r="CV99" s="16"/>
      <c r="CW99" s="16"/>
      <c r="CX99" s="16">
        <f>IFERROR(__xludf.DUMMYFUNCTION("""COMPUTED_VALUE"""),1.0)</f>
        <v>1</v>
      </c>
      <c r="CY99" s="16">
        <f>IFERROR(__xludf.DUMMYFUNCTION("""COMPUTED_VALUE"""),1.0)</f>
        <v>1</v>
      </c>
      <c r="CZ99" s="16">
        <f>IFERROR(__xludf.DUMMYFUNCTION("""COMPUTED_VALUE"""),2.0)</f>
        <v>2</v>
      </c>
      <c r="DA99" s="16"/>
      <c r="DB99" s="16"/>
      <c r="DC99" s="16"/>
      <c r="DD99" s="16"/>
      <c r="DE99" s="16"/>
      <c r="DF99" s="16">
        <f>IFERROR(__xludf.DUMMYFUNCTION("""COMPUTED_VALUE"""),3.0)</f>
        <v>3</v>
      </c>
      <c r="DG99" s="16">
        <f>IFERROR(__xludf.DUMMYFUNCTION("""COMPUTED_VALUE"""),3.0)</f>
        <v>3</v>
      </c>
      <c r="DH99" s="16">
        <f>IFERROR(__xludf.DUMMYFUNCTION("""COMPUTED_VALUE"""),3.0)</f>
        <v>3</v>
      </c>
      <c r="DI99" s="16"/>
      <c r="DJ99" s="16"/>
      <c r="DK99" s="16"/>
      <c r="DL99" s="16"/>
      <c r="DM99" s="16"/>
      <c r="DN99" s="16">
        <f>IFERROR(__xludf.DUMMYFUNCTION("""COMPUTED_VALUE"""),4.0)</f>
        <v>4</v>
      </c>
      <c r="DO99" s="16">
        <f>IFERROR(__xludf.DUMMYFUNCTION("""COMPUTED_VALUE"""),4.0)</f>
        <v>4</v>
      </c>
      <c r="DP99" s="16">
        <f>IFERROR(__xludf.DUMMYFUNCTION("""COMPUTED_VALUE"""),3.0)</f>
        <v>3</v>
      </c>
      <c r="DQ99" s="16"/>
      <c r="DR99" s="16"/>
      <c r="DS99" s="16"/>
      <c r="DT99" s="16"/>
      <c r="DU99" s="16"/>
      <c r="DV99" s="16">
        <f>IFERROR(__xludf.DUMMYFUNCTION("""COMPUTED_VALUE"""),4.0)</f>
        <v>4</v>
      </c>
      <c r="DW99" s="16">
        <f>IFERROR(__xludf.DUMMYFUNCTION("""COMPUTED_VALUE"""),4.0)</f>
        <v>4</v>
      </c>
      <c r="DX99" s="16">
        <f>IFERROR(__xludf.DUMMYFUNCTION("""COMPUTED_VALUE"""),4.0)</f>
        <v>4</v>
      </c>
      <c r="DY99" s="16"/>
      <c r="DZ99" s="16"/>
      <c r="EA99" s="16"/>
      <c r="EB99" s="16"/>
      <c r="EC99" s="16"/>
      <c r="ED99" s="16">
        <f>IFERROR(__xludf.DUMMYFUNCTION("""COMPUTED_VALUE"""),8.0)</f>
        <v>8</v>
      </c>
      <c r="EE99" s="16">
        <f>IFERROR(__xludf.DUMMYFUNCTION("""COMPUTED_VALUE"""),8.0)</f>
        <v>8</v>
      </c>
      <c r="EF99" s="16">
        <f>IFERROR(__xludf.DUMMYFUNCTION("""COMPUTED_VALUE"""),7.0)</f>
        <v>7</v>
      </c>
      <c r="EG99" s="179"/>
      <c r="EH99" s="179"/>
      <c r="EI99" s="179"/>
      <c r="EJ99" s="179"/>
      <c r="EK99" s="179"/>
      <c r="EL99" s="179">
        <f>IFERROR(__xludf.DUMMYFUNCTION("""COMPUTED_VALUE"""),21.0)</f>
        <v>21</v>
      </c>
      <c r="EM99" s="179">
        <f>IFERROR(__xludf.DUMMYFUNCTION("""COMPUTED_VALUE"""),21.0)</f>
        <v>21</v>
      </c>
      <c r="EN99" s="179">
        <f>IFERROR(__xludf.DUMMYFUNCTION("""COMPUTED_VALUE"""),20.0)</f>
        <v>20</v>
      </c>
      <c r="EO99" s="16"/>
      <c r="EP99" s="16">
        <f>IFERROR(__xludf.DUMMYFUNCTION("""COMPUTED_VALUE"""),-1.0)</f>
        <v>-1</v>
      </c>
      <c r="EQ99" s="16">
        <f>IFERROR(__xludf.DUMMYFUNCTION("""COMPUTED_VALUE"""),2.0)</f>
        <v>2</v>
      </c>
      <c r="ER99" s="16">
        <f>IFERROR(__xludf.DUMMYFUNCTION("""COMPUTED_VALUE"""),1.0)</f>
        <v>1</v>
      </c>
      <c r="ES99" s="16"/>
      <c r="ET99" s="16"/>
      <c r="EU99" s="16"/>
      <c r="EV99" s="16"/>
      <c r="EW99" s="16"/>
      <c r="EX99" s="180"/>
      <c r="EY99" s="180"/>
      <c r="EZ99" s="180"/>
      <c r="FA99" s="180"/>
      <c r="FB99" s="180"/>
      <c r="FC99" s="180">
        <f>IFERROR(__xludf.DUMMYFUNCTION("""COMPUTED_VALUE"""),0.0)</f>
        <v>0</v>
      </c>
      <c r="FD99" s="180">
        <f>IFERROR(__xludf.DUMMYFUNCTION("""COMPUTED_VALUE"""),0.0)</f>
        <v>0</v>
      </c>
      <c r="FE99" s="180">
        <f>IFERROR(__xludf.DUMMYFUNCTION("""COMPUTED_VALUE"""),0.15)</f>
        <v>0.15</v>
      </c>
      <c r="FF99" s="180"/>
      <c r="FG99" s="180"/>
      <c r="FH99" s="180"/>
      <c r="FI99" s="180"/>
      <c r="FJ99" s="180"/>
      <c r="FK99" s="180">
        <f>IFERROR(__xludf.DUMMYFUNCTION("""COMPUTED_VALUE"""),0.056)</f>
        <v>0.056</v>
      </c>
      <c r="FL99" s="180">
        <f>IFERROR(__xludf.DUMMYFUNCTION("""COMPUTED_VALUE"""),0.037037037037037035)</f>
        <v>0.03703703704</v>
      </c>
      <c r="FM99" s="180">
        <f>IFERROR(__xludf.DUMMYFUNCTION("""COMPUTED_VALUE"""),0.056)</f>
        <v>0.056</v>
      </c>
      <c r="FN99" s="16"/>
      <c r="FO99" s="16"/>
      <c r="FP99" s="16"/>
      <c r="FQ99" s="16"/>
      <c r="FR99" s="16"/>
      <c r="FS99" s="16">
        <f>IFERROR(__xludf.DUMMYFUNCTION("""COMPUTED_VALUE"""),0.944)</f>
        <v>0.944</v>
      </c>
      <c r="FT99" s="16">
        <f>IFERROR(__xludf.DUMMYFUNCTION("""COMPUTED_VALUE"""),0.962962962962963)</f>
        <v>0.962962963</v>
      </c>
      <c r="FU99" s="16">
        <f>IFERROR(__xludf.DUMMYFUNCTION("""COMPUTED_VALUE"""),0.8023999999999999)</f>
        <v>0.8024</v>
      </c>
      <c r="FV99" s="16"/>
      <c r="FW99" s="16"/>
      <c r="FX99" s="16"/>
      <c r="FY99" s="16"/>
      <c r="FZ99" s="16"/>
      <c r="GA99" s="16">
        <f>IFERROR(__xludf.DUMMYFUNCTION("""COMPUTED_VALUE"""),7.0)</f>
        <v>7</v>
      </c>
      <c r="GB99" s="16">
        <f>IFERROR(__xludf.DUMMYFUNCTION("""COMPUTED_VALUE"""),9.0)</f>
        <v>9</v>
      </c>
      <c r="GC99" s="16">
        <f>IFERROR(__xludf.DUMMYFUNCTION("""COMPUTED_VALUE"""),2.0)</f>
        <v>2</v>
      </c>
      <c r="GD99" s="16" t="s">
        <v>245</v>
      </c>
    </row>
    <row r="100">
      <c r="A100" s="16">
        <f>IFERROR(__xludf.DUMMYFUNCTION("""COMPUTED_VALUE"""),12916.0)</f>
        <v>12916</v>
      </c>
      <c r="B100" s="16" t="str">
        <f>IFERROR(__xludf.DUMMYFUNCTION("""COMPUTED_VALUE"""),"Jake McCarthy")</f>
        <v>Jake McCarthy</v>
      </c>
      <c r="C100" s="16">
        <f>IFERROR(__xludf.DUMMYFUNCTION("""COMPUTED_VALUE"""),1.0)</f>
        <v>1</v>
      </c>
      <c r="D100" s="16" t="str">
        <f>IFERROR(__xludf.DUMMYFUNCTION("""COMPUTED_VALUE"""),"L")</f>
        <v>L</v>
      </c>
      <c r="E100" s="16"/>
      <c r="F100" s="16"/>
      <c r="G100" s="16">
        <f>IFERROR(__xludf.DUMMYFUNCTION("""COMPUTED_VALUE"""),442.0)</f>
        <v>442</v>
      </c>
      <c r="H100" s="16">
        <f>IFERROR(__xludf.DUMMYFUNCTION("""COMPUTED_VALUE"""),31.0)</f>
        <v>31</v>
      </c>
      <c r="I100" s="16" t="str">
        <f>IFERROR(__xludf.DUMMYFUNCTION("""COMPUTED_VALUE"""),"1p65")</f>
        <v>1p65</v>
      </c>
      <c r="J100" s="16">
        <f>IFERROR(__xludf.DUMMYFUNCTION("""COMPUTED_VALUE"""),15.0)</f>
        <v>15</v>
      </c>
      <c r="K100" s="16">
        <f>IFERROR(__xludf.DUMMYFUNCTION("""COMPUTED_VALUE"""),8.0)</f>
        <v>8</v>
      </c>
      <c r="L100" s="16">
        <f>IFERROR(__xludf.DUMMYFUNCTION("""COMPUTED_VALUE"""),1.0)</f>
        <v>1</v>
      </c>
      <c r="M100" s="16">
        <f>IFERROR(__xludf.DUMMYFUNCTION("""COMPUTED_VALUE"""),2.0)</f>
        <v>2</v>
      </c>
      <c r="N100" s="16">
        <f>IFERROR(__xludf.DUMMYFUNCTION("""COMPUTED_VALUE"""),1.0)</f>
        <v>1</v>
      </c>
      <c r="O100" s="16">
        <f>IFERROR(__xludf.DUMMYFUNCTION("""COMPUTED_VALUE"""),2.0)</f>
        <v>2</v>
      </c>
      <c r="P100" s="16">
        <f>IFERROR(__xludf.DUMMYFUNCTION("""COMPUTED_VALUE"""),4.0)</f>
        <v>4</v>
      </c>
      <c r="Q100" s="16">
        <f>IFERROR(__xludf.DUMMYFUNCTION("""COMPUTED_VALUE"""),4.0)</f>
        <v>4</v>
      </c>
      <c r="R100" s="16">
        <f>IFERROR(__xludf.DUMMYFUNCTION("""COMPUTED_VALUE"""),-2.0)</f>
        <v>-2</v>
      </c>
      <c r="S100" s="16">
        <f>IFERROR(__xludf.DUMMYFUNCTION("""COMPUTED_VALUE"""),-2.0)</f>
        <v>-2</v>
      </c>
      <c r="T100" s="16">
        <f>IFERROR(__xludf.DUMMYFUNCTION("""COMPUTED_VALUE"""),-2.0)</f>
        <v>-2</v>
      </c>
      <c r="U100" s="16">
        <f>IFERROR(__xludf.DUMMYFUNCTION("""COMPUTED_VALUE"""),-2.0)</f>
        <v>-2</v>
      </c>
      <c r="V100" s="16">
        <f>IFERROR(__xludf.DUMMYFUNCTION("""COMPUTED_VALUE"""),25.8)</f>
        <v>25.8</v>
      </c>
      <c r="W100" s="16">
        <f>IFERROR(__xludf.DUMMYFUNCTION("""COMPUTED_VALUE"""),26.9)</f>
        <v>26.9</v>
      </c>
      <c r="X100" s="16">
        <f>IFERROR(__xludf.DUMMYFUNCTION("""COMPUTED_VALUE"""),1.0)</f>
        <v>1</v>
      </c>
      <c r="Y100" s="16">
        <f>IFERROR(__xludf.DUMMYFUNCTION("""COMPUTED_VALUE"""),1.0)</f>
        <v>1</v>
      </c>
      <c r="Z100" s="16">
        <f>IFERROR(__xludf.DUMMYFUNCTION("""COMPUTED_VALUE"""),2.0)</f>
        <v>2</v>
      </c>
      <c r="AA100" s="16">
        <f>IFERROR(__xludf.DUMMYFUNCTION("""COMPUTED_VALUE"""),2.0)</f>
        <v>2</v>
      </c>
      <c r="AB100" s="16">
        <f>IFERROR(__xludf.DUMMYFUNCTION("""COMPUTED_VALUE"""),35.8)</f>
        <v>35.8</v>
      </c>
      <c r="AC100" s="16">
        <f>IFERROR(__xludf.DUMMYFUNCTION("""COMPUTED_VALUE"""),36.8)</f>
        <v>36.8</v>
      </c>
      <c r="AD100" s="16">
        <f>IFERROR(__xludf.DUMMYFUNCTION("""COMPUTED_VALUE"""),1.0)</f>
        <v>1</v>
      </c>
      <c r="AE100" s="16">
        <f>IFERROR(__xludf.DUMMYFUNCTION("""COMPUTED_VALUE"""),1.0)</f>
        <v>1</v>
      </c>
      <c r="AF100" s="16">
        <f>IFERROR(__xludf.DUMMYFUNCTION("""COMPUTED_VALUE"""),5.0)</f>
        <v>5</v>
      </c>
      <c r="AG100" s="16">
        <f>IFERROR(__xludf.DUMMYFUNCTION("""COMPUTED_VALUE"""),5.0)</f>
        <v>5</v>
      </c>
      <c r="AH100" s="16">
        <f>IFERROR(__xludf.DUMMYFUNCTION("""COMPUTED_VALUE"""),36.3)</f>
        <v>36.3</v>
      </c>
      <c r="AI100" s="16">
        <f>IFERROR(__xludf.DUMMYFUNCTION("""COMPUTED_VALUE"""),34.8)</f>
        <v>34.8</v>
      </c>
      <c r="AJ100" s="16">
        <f>IFERROR(__xludf.DUMMYFUNCTION("""COMPUTED_VALUE"""),0.0)</f>
        <v>0</v>
      </c>
      <c r="AK100" s="16">
        <f>IFERROR(__xludf.DUMMYFUNCTION("""COMPUTED_VALUE"""),0.0)</f>
        <v>0</v>
      </c>
      <c r="AL100" s="16">
        <f>IFERROR(__xludf.DUMMYFUNCTION("""COMPUTED_VALUE"""),0.0)</f>
        <v>0</v>
      </c>
      <c r="AM100" s="16">
        <f>IFERROR(__xludf.DUMMYFUNCTION("""COMPUTED_VALUE"""),0.0)</f>
        <v>0</v>
      </c>
      <c r="AN100" s="16">
        <f>IFERROR(__xludf.DUMMYFUNCTION("""COMPUTED_VALUE"""),0.0)</f>
        <v>0</v>
      </c>
      <c r="AO100" s="16">
        <f>IFERROR(__xludf.DUMMYFUNCTION("""COMPUTED_VALUE"""),1.2)</f>
        <v>1.2</v>
      </c>
      <c r="AP100" s="16">
        <f>IFERROR(__xludf.DUMMYFUNCTION("""COMPUTED_VALUE"""),-2.0)</f>
        <v>-2</v>
      </c>
      <c r="AQ100" s="16">
        <f>IFERROR(__xludf.DUMMYFUNCTION("""COMPUTED_VALUE"""),-2.0)</f>
        <v>-2</v>
      </c>
      <c r="AR100" s="16">
        <f>IFERROR(__xludf.DUMMYFUNCTION("""COMPUTED_VALUE"""),-4.0)</f>
        <v>-4</v>
      </c>
      <c r="AS100" s="16">
        <f>IFERROR(__xludf.DUMMYFUNCTION("""COMPUTED_VALUE"""),-4.0)</f>
        <v>-4</v>
      </c>
      <c r="AT100" s="16"/>
      <c r="AU100" s="16">
        <f>IFERROR(__xludf.DUMMYFUNCTION("""COMPUTED_VALUE"""),2.0)</f>
        <v>2</v>
      </c>
      <c r="AV100" s="16">
        <f>IFERROR(__xludf.DUMMYFUNCTION("""COMPUTED_VALUE"""),-3.0)</f>
        <v>-3</v>
      </c>
      <c r="AW100" s="16">
        <f>IFERROR(__xludf.DUMMYFUNCTION("""COMPUTED_VALUE"""),2.0)</f>
        <v>2</v>
      </c>
      <c r="AX100" s="16">
        <f>IFERROR(__xludf.DUMMYFUNCTION("""COMPUTED_VALUE"""),-3.0)</f>
        <v>-3</v>
      </c>
      <c r="AY100" s="16">
        <f>IFERROR(__xludf.DUMMYFUNCTION("""COMPUTED_VALUE"""),0.0)</f>
        <v>0</v>
      </c>
      <c r="AZ100" s="16">
        <f>IFERROR(__xludf.DUMMYFUNCTION("""COMPUTED_VALUE"""),-9.0)</f>
        <v>-9</v>
      </c>
      <c r="BA100" s="16">
        <f>IFERROR(__xludf.DUMMYFUNCTION("""COMPUTED_VALUE"""),0.0)</f>
        <v>0</v>
      </c>
      <c r="BB100" s="16">
        <f>IFERROR(__xludf.DUMMYFUNCTION("""COMPUTED_VALUE"""),5.0)</f>
        <v>5</v>
      </c>
      <c r="BC100" s="16">
        <f>IFERROR(__xludf.DUMMYFUNCTION("""COMPUTED_VALUE"""),5.0)</f>
        <v>5</v>
      </c>
      <c r="BD100" s="16">
        <f>IFERROR(__xludf.DUMMYFUNCTION("""COMPUTED_VALUE"""),1.0)</f>
        <v>1</v>
      </c>
      <c r="BE100" s="16">
        <f>IFERROR(__xludf.DUMMYFUNCTION("""COMPUTED_VALUE"""),1.0)</f>
        <v>1</v>
      </c>
      <c r="BF100" s="16">
        <f>IFERROR(__xludf.DUMMYFUNCTION("""COMPUTED_VALUE"""),1.0)</f>
        <v>1</v>
      </c>
      <c r="BG100" s="16">
        <f>IFERROR(__xludf.DUMMYFUNCTION("""COMPUTED_VALUE"""),1.0)</f>
        <v>1</v>
      </c>
      <c r="BH100" s="16">
        <f>IFERROR(__xludf.DUMMYFUNCTION("""COMPUTED_VALUE"""),8.0)</f>
        <v>8</v>
      </c>
      <c r="BI100" s="16">
        <f>IFERROR(__xludf.DUMMYFUNCTION("""COMPUTED_VALUE"""),8.0)</f>
        <v>8</v>
      </c>
      <c r="BJ100" s="16">
        <f>IFERROR(__xludf.DUMMYFUNCTION("""COMPUTED_VALUE"""),4.0)</f>
        <v>4</v>
      </c>
      <c r="BK100" s="16">
        <f>IFERROR(__xludf.DUMMYFUNCTION("""COMPUTED_VALUE"""),4.0)</f>
        <v>4</v>
      </c>
      <c r="BL100" s="16">
        <f>IFERROR(__xludf.DUMMYFUNCTION("""COMPUTED_VALUE"""),1.0)</f>
        <v>1</v>
      </c>
      <c r="BM100" s="16">
        <f>IFERROR(__xludf.DUMMYFUNCTION("""COMPUTED_VALUE"""),1.0)</f>
        <v>1</v>
      </c>
      <c r="BN100" s="16">
        <f>IFERROR(__xludf.DUMMYFUNCTION("""COMPUTED_VALUE"""),1.0)</f>
        <v>1</v>
      </c>
      <c r="BO100" s="16">
        <f>IFERROR(__xludf.DUMMYFUNCTION("""COMPUTED_VALUE"""),1.0)</f>
        <v>1</v>
      </c>
      <c r="BP100" s="16">
        <f>IFERROR(__xludf.DUMMYFUNCTION("""COMPUTED_VALUE"""),-2.0)</f>
        <v>-2</v>
      </c>
      <c r="BQ100" s="16">
        <f>IFERROR(__xludf.DUMMYFUNCTION("""COMPUTED_VALUE"""),2.0)</f>
        <v>2</v>
      </c>
      <c r="BR100" s="16">
        <f>IFERROR(__xludf.DUMMYFUNCTION("""COMPUTED_VALUE"""),0.0)</f>
        <v>0</v>
      </c>
      <c r="BS100" s="16" t="str">
        <f>IFERROR(__xludf.DUMMYFUNCTION("""COMPUTED_VALUE"""),"*2-5,12/- (19-13)")</f>
        <v>*2-5,12/- (19-13)</v>
      </c>
      <c r="BT100" s="16" t="str">
        <f>IFERROR(__xludf.DUMMYFUNCTION("""COMPUTED_VALUE"""),"A")</f>
        <v>A</v>
      </c>
      <c r="BU100" s="16">
        <f>IFERROR(__xludf.DUMMYFUNCTION("""COMPUTED_VALUE"""),17.0)</f>
        <v>17</v>
      </c>
      <c r="BV100" s="16">
        <f>IFERROR(__xludf.DUMMYFUNCTION("""COMPUTED_VALUE"""),2.0)</f>
        <v>2</v>
      </c>
      <c r="BW100" s="16">
        <f>IFERROR(__xludf.DUMMYFUNCTION("""COMPUTED_VALUE"""),3.0)</f>
        <v>3</v>
      </c>
      <c r="BX100" s="16">
        <f>IFERROR(__xludf.DUMMYFUNCTION("""COMPUTED_VALUE"""),4.0)</f>
        <v>4</v>
      </c>
      <c r="BY100" s="16">
        <f>IFERROR(__xludf.DUMMYFUNCTION("""COMPUTED_VALUE"""),9.0)</f>
        <v>9</v>
      </c>
      <c r="BZ100" s="16" t="str">
        <f>IFERROR(__xludf.DUMMYFUNCTION("""COMPUTED_VALUE"""),"A")</f>
        <v>A</v>
      </c>
      <c r="CA100" s="16" t="str">
        <f>IFERROR(__xludf.DUMMYFUNCTION("""COMPUTED_VALUE"""),"C")</f>
        <v>C</v>
      </c>
      <c r="CB100" s="16">
        <f>IFERROR(__xludf.DUMMYFUNCTION("""COMPUTED_VALUE"""),2.0)</f>
        <v>2</v>
      </c>
      <c r="CC100" s="16">
        <f>IFERROR(__xludf.DUMMYFUNCTION("""COMPUTED_VALUE"""),0.0)</f>
        <v>0</v>
      </c>
      <c r="CD100" s="16">
        <f>IFERROR(__xludf.DUMMYFUNCTION("""COMPUTED_VALUE"""),2.0)</f>
        <v>2</v>
      </c>
      <c r="CE100" s="16">
        <f>IFERROR(__xludf.DUMMYFUNCTION("""COMPUTED_VALUE"""),0.0)</f>
        <v>0</v>
      </c>
      <c r="CF100" s="16">
        <f>IFERROR(__xludf.DUMMYFUNCTION("""COMPUTED_VALUE"""),1.0)</f>
        <v>1</v>
      </c>
      <c r="CG100" s="16">
        <f>IFERROR(__xludf.DUMMYFUNCTION("""COMPUTED_VALUE"""),-5.0)</f>
        <v>-5</v>
      </c>
      <c r="CH100" s="16">
        <f>IFERROR(__xludf.DUMMYFUNCTION("""COMPUTED_VALUE"""),5.0)</f>
        <v>5</v>
      </c>
      <c r="CI100" s="179">
        <f>IFERROR(__xludf.DUMMYFUNCTION("""COMPUTED_VALUE"""),12.0)</f>
        <v>12</v>
      </c>
      <c r="CJ100" s="16"/>
      <c r="CK100" s="16"/>
      <c r="CL100" s="16"/>
      <c r="CM100" s="16"/>
      <c r="CN100" s="16"/>
      <c r="CO100" s="16">
        <f>IFERROR(__xludf.DUMMYFUNCTION("""COMPUTED_VALUE"""),203.0)</f>
        <v>203</v>
      </c>
      <c r="CP100" s="16">
        <f>IFERROR(__xludf.DUMMYFUNCTION("""COMPUTED_VALUE"""),303.0)</f>
        <v>303</v>
      </c>
      <c r="CQ100" s="16">
        <f>IFERROR(__xludf.DUMMYFUNCTION("""COMPUTED_VALUE"""),203.0)</f>
        <v>203</v>
      </c>
      <c r="CR100" s="16" t="str">
        <f>IFERROR(__xludf.DUMMYFUNCTION("""COMPUTED_VALUE"""),"cf-3(-1)e3 rf-2e3 lf-2e3")</f>
        <v>cf-3(-1)e3 rf-2e3 lf-2e3</v>
      </c>
      <c r="CS100" s="16"/>
      <c r="CT100" s="16"/>
      <c r="CU100" s="16"/>
      <c r="CV100" s="16"/>
      <c r="CW100" s="16"/>
      <c r="CX100" s="16">
        <f>IFERROR(__xludf.DUMMYFUNCTION("""COMPUTED_VALUE"""),2.0)</f>
        <v>2</v>
      </c>
      <c r="CY100" s="16">
        <f>IFERROR(__xludf.DUMMYFUNCTION("""COMPUTED_VALUE"""),3.0)</f>
        <v>3</v>
      </c>
      <c r="CZ100" s="16">
        <f>IFERROR(__xludf.DUMMYFUNCTION("""COMPUTED_VALUE"""),2.0)</f>
        <v>2</v>
      </c>
      <c r="DA100" s="16"/>
      <c r="DB100" s="16"/>
      <c r="DC100" s="16"/>
      <c r="DD100" s="16"/>
      <c r="DE100" s="16"/>
      <c r="DF100" s="16">
        <f>IFERROR(__xludf.DUMMYFUNCTION("""COMPUTED_VALUE"""),3.0)</f>
        <v>3</v>
      </c>
      <c r="DG100" s="16">
        <f>IFERROR(__xludf.DUMMYFUNCTION("""COMPUTED_VALUE"""),3.0)</f>
        <v>3</v>
      </c>
      <c r="DH100" s="16">
        <f>IFERROR(__xludf.DUMMYFUNCTION("""COMPUTED_VALUE"""),3.0)</f>
        <v>3</v>
      </c>
      <c r="DI100" s="16"/>
      <c r="DJ100" s="16"/>
      <c r="DK100" s="16"/>
      <c r="DL100" s="16"/>
      <c r="DM100" s="16"/>
      <c r="DN100" s="16">
        <f>IFERROR(__xludf.DUMMYFUNCTION("""COMPUTED_VALUE"""),3.0)</f>
        <v>3</v>
      </c>
      <c r="DO100" s="16">
        <f>IFERROR(__xludf.DUMMYFUNCTION("""COMPUTED_VALUE"""),0.0)</f>
        <v>0</v>
      </c>
      <c r="DP100" s="16">
        <f>IFERROR(__xludf.DUMMYFUNCTION("""COMPUTED_VALUE"""),3.0)</f>
        <v>3</v>
      </c>
      <c r="DQ100" s="16"/>
      <c r="DR100" s="16"/>
      <c r="DS100" s="16"/>
      <c r="DT100" s="16"/>
      <c r="DU100" s="16"/>
      <c r="DV100" s="16">
        <f>IFERROR(__xludf.DUMMYFUNCTION("""COMPUTED_VALUE"""),4.0)</f>
        <v>4</v>
      </c>
      <c r="DW100" s="16">
        <f>IFERROR(__xludf.DUMMYFUNCTION("""COMPUTED_VALUE"""),4.0)</f>
        <v>4</v>
      </c>
      <c r="DX100" s="16">
        <f>IFERROR(__xludf.DUMMYFUNCTION("""COMPUTED_VALUE"""),4.0)</f>
        <v>4</v>
      </c>
      <c r="DY100" s="16"/>
      <c r="DZ100" s="16"/>
      <c r="EA100" s="16"/>
      <c r="EB100" s="16"/>
      <c r="EC100" s="16"/>
      <c r="ED100" s="16">
        <f>IFERROR(__xludf.DUMMYFUNCTION("""COMPUTED_VALUE"""),7.0)</f>
        <v>7</v>
      </c>
      <c r="EE100" s="16">
        <f>IFERROR(__xludf.DUMMYFUNCTION("""COMPUTED_VALUE"""),4.0)</f>
        <v>4</v>
      </c>
      <c r="EF100" s="16">
        <f>IFERROR(__xludf.DUMMYFUNCTION("""COMPUTED_VALUE"""),7.0)</f>
        <v>7</v>
      </c>
      <c r="EG100" s="179"/>
      <c r="EH100" s="179"/>
      <c r="EI100" s="179"/>
      <c r="EJ100" s="179"/>
      <c r="EK100" s="179"/>
      <c r="EL100" s="179">
        <f>IFERROR(__xludf.DUMMYFUNCTION("""COMPUTED_VALUE"""),19.0)</f>
        <v>19</v>
      </c>
      <c r="EM100" s="179">
        <f>IFERROR(__xludf.DUMMYFUNCTION("""COMPUTED_VALUE"""),16.0)</f>
        <v>16</v>
      </c>
      <c r="EN100" s="179">
        <f>IFERROR(__xludf.DUMMYFUNCTION("""COMPUTED_VALUE"""),19.0)</f>
        <v>19</v>
      </c>
      <c r="EO100" s="16"/>
      <c r="EP100" s="16">
        <f>IFERROR(__xludf.DUMMYFUNCTION("""COMPUTED_VALUE"""),0.0)</f>
        <v>0</v>
      </c>
      <c r="EQ100" s="16">
        <f>IFERROR(__xludf.DUMMYFUNCTION("""COMPUTED_VALUE"""),4.0)</f>
        <v>4</v>
      </c>
      <c r="ER100" s="16">
        <f>IFERROR(__xludf.DUMMYFUNCTION("""COMPUTED_VALUE"""),2.0)</f>
        <v>2</v>
      </c>
      <c r="ES100" s="16"/>
      <c r="ET100" s="16"/>
      <c r="EU100" s="16"/>
      <c r="EV100" s="16"/>
      <c r="EW100" s="16"/>
      <c r="EX100" s="180"/>
      <c r="EY100" s="180"/>
      <c r="EZ100" s="180"/>
      <c r="FA100" s="180"/>
      <c r="FB100" s="180"/>
      <c r="FC100" s="180">
        <f>IFERROR(__xludf.DUMMYFUNCTION("""COMPUTED_VALUE"""),0.15)</f>
        <v>0.15</v>
      </c>
      <c r="FD100" s="180">
        <f>IFERROR(__xludf.DUMMYFUNCTION("""COMPUTED_VALUE"""),0.3)</f>
        <v>0.3</v>
      </c>
      <c r="FE100" s="180">
        <f>IFERROR(__xludf.DUMMYFUNCTION("""COMPUTED_VALUE"""),0.15)</f>
        <v>0.15</v>
      </c>
      <c r="FF100" s="180"/>
      <c r="FG100" s="180"/>
      <c r="FH100" s="180"/>
      <c r="FI100" s="180"/>
      <c r="FJ100" s="180"/>
      <c r="FK100" s="180">
        <f>IFERROR(__xludf.DUMMYFUNCTION("""COMPUTED_VALUE"""),0.056)</f>
        <v>0.056</v>
      </c>
      <c r="FL100" s="180">
        <f>IFERROR(__xludf.DUMMYFUNCTION("""COMPUTED_VALUE"""),0.037037037037037035)</f>
        <v>0.03703703704</v>
      </c>
      <c r="FM100" s="180">
        <f>IFERROR(__xludf.DUMMYFUNCTION("""COMPUTED_VALUE"""),0.056)</f>
        <v>0.056</v>
      </c>
      <c r="FN100" s="16"/>
      <c r="FO100" s="16"/>
      <c r="FP100" s="16"/>
      <c r="FQ100" s="16"/>
      <c r="FR100" s="16"/>
      <c r="FS100" s="16">
        <f>IFERROR(__xludf.DUMMYFUNCTION("""COMPUTED_VALUE"""),0.8023999999999999)</f>
        <v>0.8024</v>
      </c>
      <c r="FT100" s="16">
        <f>IFERROR(__xludf.DUMMYFUNCTION("""COMPUTED_VALUE"""),0.674074074074074)</f>
        <v>0.6740740741</v>
      </c>
      <c r="FU100" s="16">
        <f>IFERROR(__xludf.DUMMYFUNCTION("""COMPUTED_VALUE"""),0.8023999999999999)</f>
        <v>0.8024</v>
      </c>
      <c r="FV100" s="16"/>
      <c r="FW100" s="16"/>
      <c r="FX100" s="16"/>
      <c r="FY100" s="16"/>
      <c r="FZ100" s="16"/>
      <c r="GA100" s="16">
        <f>IFERROR(__xludf.DUMMYFUNCTION("""COMPUTED_VALUE"""),1.0)</f>
        <v>1</v>
      </c>
      <c r="GB100" s="16">
        <f>IFERROR(__xludf.DUMMYFUNCTION("""COMPUTED_VALUE"""),-4.0)</f>
        <v>-4</v>
      </c>
      <c r="GC100" s="16">
        <f>IFERROR(__xludf.DUMMYFUNCTION("""COMPUTED_VALUE"""),1.0)</f>
        <v>1</v>
      </c>
      <c r="GD100" s="16" t="s">
        <v>232</v>
      </c>
    </row>
    <row r="101">
      <c r="A101" s="16">
        <f>IFERROR(__xludf.DUMMYFUNCTION("""COMPUTED_VALUE"""),12694.0)</f>
        <v>12694</v>
      </c>
      <c r="B101" s="16" t="str">
        <f>IFERROR(__xludf.DUMMYFUNCTION("""COMPUTED_VALUE"""),"Cody Bellinger")</f>
        <v>Cody Bellinger</v>
      </c>
      <c r="C101" s="16">
        <f>IFERROR(__xludf.DUMMYFUNCTION("""COMPUTED_VALUE"""),1.12)</f>
        <v>1.12</v>
      </c>
      <c r="D101" s="16" t="str">
        <f>IFERROR(__xludf.DUMMYFUNCTION("""COMPUTED_VALUE"""),"L")</f>
        <v>L</v>
      </c>
      <c r="E101" s="16"/>
      <c r="F101" s="16"/>
      <c r="G101" s="16">
        <f>IFERROR(__xludf.DUMMYFUNCTION("""COMPUTED_VALUE"""),516.0)</f>
        <v>516</v>
      </c>
      <c r="H101" s="16">
        <f>IFERROR(__xludf.DUMMYFUNCTION("""COMPUTED_VALUE"""),45.0)</f>
        <v>45</v>
      </c>
      <c r="I101" s="16" t="str">
        <f>IFERROR(__xludf.DUMMYFUNCTION("""COMPUTED_VALUE"""),"1p60")</f>
        <v>1p60</v>
      </c>
      <c r="J101" s="16">
        <f>IFERROR(__xludf.DUMMYFUNCTION("""COMPUTED_VALUE"""),7.0)</f>
        <v>7</v>
      </c>
      <c r="K101" s="16">
        <f>IFERROR(__xludf.DUMMYFUNCTION("""COMPUTED_VALUE"""),10.0)</f>
        <v>10</v>
      </c>
      <c r="L101" s="16">
        <f>IFERROR(__xludf.DUMMYFUNCTION("""COMPUTED_VALUE"""),2.0)</f>
        <v>2</v>
      </c>
      <c r="M101" s="16">
        <f>IFERROR(__xludf.DUMMYFUNCTION("""COMPUTED_VALUE"""),2.0)</f>
        <v>2</v>
      </c>
      <c r="N101" s="16">
        <f>IFERROR(__xludf.DUMMYFUNCTION("""COMPUTED_VALUE"""),2.0)</f>
        <v>2</v>
      </c>
      <c r="O101" s="16">
        <f>IFERROR(__xludf.DUMMYFUNCTION("""COMPUTED_VALUE"""),2.0)</f>
        <v>2</v>
      </c>
      <c r="P101" s="16">
        <f>IFERROR(__xludf.DUMMYFUNCTION("""COMPUTED_VALUE"""),0.0)</f>
        <v>0</v>
      </c>
      <c r="Q101" s="16">
        <f>IFERROR(__xludf.DUMMYFUNCTION("""COMPUTED_VALUE"""),10.0)</f>
        <v>10</v>
      </c>
      <c r="R101" s="16">
        <f>IFERROR(__xludf.DUMMYFUNCTION("""COMPUTED_VALUE"""),-3.0)</f>
        <v>-3</v>
      </c>
      <c r="S101" s="16">
        <f>IFERROR(__xludf.DUMMYFUNCTION("""COMPUTED_VALUE"""),0.0)</f>
        <v>0</v>
      </c>
      <c r="T101" s="16">
        <f>IFERROR(__xludf.DUMMYFUNCTION("""COMPUTED_VALUE"""),-3.0)</f>
        <v>-3</v>
      </c>
      <c r="U101" s="16">
        <f>IFERROR(__xludf.DUMMYFUNCTION("""COMPUTED_VALUE"""),0.0)</f>
        <v>0</v>
      </c>
      <c r="V101" s="16">
        <f>IFERROR(__xludf.DUMMYFUNCTION("""COMPUTED_VALUE"""),33.3)</f>
        <v>33.3</v>
      </c>
      <c r="W101" s="16">
        <f>IFERROR(__xludf.DUMMYFUNCTION("""COMPUTED_VALUE"""),19.6)</f>
        <v>19.6</v>
      </c>
      <c r="X101" s="16">
        <f>IFERROR(__xludf.DUMMYFUNCTION("""COMPUTED_VALUE"""),2.0)</f>
        <v>2</v>
      </c>
      <c r="Y101" s="16">
        <f>IFERROR(__xludf.DUMMYFUNCTION("""COMPUTED_VALUE"""),0.0)</f>
        <v>0</v>
      </c>
      <c r="Z101" s="16">
        <f>IFERROR(__xludf.DUMMYFUNCTION("""COMPUTED_VALUE"""),4.0)</f>
        <v>4</v>
      </c>
      <c r="AA101" s="16">
        <f>IFERROR(__xludf.DUMMYFUNCTION("""COMPUTED_VALUE"""),0.0)</f>
        <v>0</v>
      </c>
      <c r="AB101" s="16">
        <f>IFERROR(__xludf.DUMMYFUNCTION("""COMPUTED_VALUE"""),34.3)</f>
        <v>34.3</v>
      </c>
      <c r="AC101" s="16">
        <f>IFERROR(__xludf.DUMMYFUNCTION("""COMPUTED_VALUE"""),30.6)</f>
        <v>30.6</v>
      </c>
      <c r="AD101" s="16">
        <f>IFERROR(__xludf.DUMMYFUNCTION("""COMPUTED_VALUE"""),0.0)</f>
        <v>0</v>
      </c>
      <c r="AE101" s="16">
        <f>IFERROR(__xludf.DUMMYFUNCTION("""COMPUTED_VALUE"""),0.0)</f>
        <v>0</v>
      </c>
      <c r="AF101" s="16">
        <f>IFERROR(__xludf.DUMMYFUNCTION("""COMPUTED_VALUE"""),0.0)</f>
        <v>0</v>
      </c>
      <c r="AG101" s="16">
        <f>IFERROR(__xludf.DUMMYFUNCTION("""COMPUTED_VALUE"""),0.0)</f>
        <v>0</v>
      </c>
      <c r="AH101" s="16">
        <f>IFERROR(__xludf.DUMMYFUNCTION("""COMPUTED_VALUE"""),46.8)</f>
        <v>46.8</v>
      </c>
      <c r="AI101" s="16">
        <f>IFERROR(__xludf.DUMMYFUNCTION("""COMPUTED_VALUE"""),32.0)</f>
        <v>32</v>
      </c>
      <c r="AJ101" s="16">
        <f>IFERROR(__xludf.DUMMYFUNCTION("""COMPUTED_VALUE"""),1.0)</f>
        <v>1</v>
      </c>
      <c r="AK101" s="16">
        <f>IFERROR(__xludf.DUMMYFUNCTION("""COMPUTED_VALUE"""),0.0)</f>
        <v>0</v>
      </c>
      <c r="AL101" s="16">
        <f>IFERROR(__xludf.DUMMYFUNCTION("""COMPUTED_VALUE"""),5.0)</f>
        <v>5</v>
      </c>
      <c r="AM101" s="16">
        <f>IFERROR(__xludf.DUMMYFUNCTION("""COMPUTED_VALUE"""),0.0)</f>
        <v>0</v>
      </c>
      <c r="AN101" s="16">
        <f>IFERROR(__xludf.DUMMYFUNCTION("""COMPUTED_VALUE"""),1.6)</f>
        <v>1.6</v>
      </c>
      <c r="AO101" s="16">
        <f>IFERROR(__xludf.DUMMYFUNCTION("""COMPUTED_VALUE"""),2.5)</f>
        <v>2.5</v>
      </c>
      <c r="AP101" s="16">
        <f>IFERROR(__xludf.DUMMYFUNCTION("""COMPUTED_VALUE"""),-1.0)</f>
        <v>-1</v>
      </c>
      <c r="AQ101" s="16">
        <f>IFERROR(__xludf.DUMMYFUNCTION("""COMPUTED_VALUE"""),0.0)</f>
        <v>0</v>
      </c>
      <c r="AR101" s="16">
        <f>IFERROR(__xludf.DUMMYFUNCTION("""COMPUTED_VALUE"""),-2.0)</f>
        <v>-2</v>
      </c>
      <c r="AS101" s="16">
        <f>IFERROR(__xludf.DUMMYFUNCTION("""COMPUTED_VALUE"""),0.0)</f>
        <v>0</v>
      </c>
      <c r="AT101" s="16">
        <f>IFERROR(__xludf.DUMMYFUNCTION("""COMPUTED_VALUE"""),2.0)</f>
        <v>2</v>
      </c>
      <c r="AU101" s="16">
        <f>IFERROR(__xludf.DUMMYFUNCTION("""COMPUTED_VALUE"""),4.0)</f>
        <v>4</v>
      </c>
      <c r="AV101" s="16">
        <f>IFERROR(__xludf.DUMMYFUNCTION("""COMPUTED_VALUE"""),2.0)</f>
        <v>2</v>
      </c>
      <c r="AW101" s="16">
        <f>IFERROR(__xludf.DUMMYFUNCTION("""COMPUTED_VALUE"""),4.0)</f>
        <v>4</v>
      </c>
      <c r="AX101" s="16">
        <f>IFERROR(__xludf.DUMMYFUNCTION("""COMPUTED_VALUE"""),0.0)</f>
        <v>0</v>
      </c>
      <c r="AY101" s="16">
        <f>IFERROR(__xludf.DUMMYFUNCTION("""COMPUTED_VALUE"""),1.0)</f>
        <v>1</v>
      </c>
      <c r="AZ101" s="16">
        <f>IFERROR(__xludf.DUMMYFUNCTION("""COMPUTED_VALUE"""),0.0)</f>
        <v>0</v>
      </c>
      <c r="BA101" s="16">
        <f>IFERROR(__xludf.DUMMYFUNCTION("""COMPUTED_VALUE"""),3.0)</f>
        <v>3</v>
      </c>
      <c r="BB101" s="16">
        <f>IFERROR(__xludf.DUMMYFUNCTION("""COMPUTED_VALUE"""),5.0)</f>
        <v>5</v>
      </c>
      <c r="BC101" s="16">
        <f>IFERROR(__xludf.DUMMYFUNCTION("""COMPUTED_VALUE"""),5.0)</f>
        <v>5</v>
      </c>
      <c r="BD101" s="16">
        <f>IFERROR(__xludf.DUMMYFUNCTION("""COMPUTED_VALUE"""),1.0)</f>
        <v>1</v>
      </c>
      <c r="BE101" s="16">
        <f>IFERROR(__xludf.DUMMYFUNCTION("""COMPUTED_VALUE"""),1.0)</f>
        <v>1</v>
      </c>
      <c r="BF101" s="16">
        <f>IFERROR(__xludf.DUMMYFUNCTION("""COMPUTED_VALUE"""),1.0)</f>
        <v>1</v>
      </c>
      <c r="BG101" s="16">
        <f>IFERROR(__xludf.DUMMYFUNCTION("""COMPUTED_VALUE"""),1.0)</f>
        <v>1</v>
      </c>
      <c r="BH101" s="16">
        <f>IFERROR(__xludf.DUMMYFUNCTION("""COMPUTED_VALUE"""),2.0)</f>
        <v>2</v>
      </c>
      <c r="BI101" s="16">
        <f>IFERROR(__xludf.DUMMYFUNCTION("""COMPUTED_VALUE"""),2.0)</f>
        <v>2</v>
      </c>
      <c r="BJ101" s="16">
        <f>IFERROR(__xludf.DUMMYFUNCTION("""COMPUTED_VALUE"""),17.0)</f>
        <v>17</v>
      </c>
      <c r="BK101" s="16">
        <f>IFERROR(__xludf.DUMMYFUNCTION("""COMPUTED_VALUE"""),13.0)</f>
        <v>13</v>
      </c>
      <c r="BL101" s="16">
        <f>IFERROR(__xludf.DUMMYFUNCTION("""COMPUTED_VALUE"""),-1.0)</f>
        <v>-1</v>
      </c>
      <c r="BM101" s="16">
        <f>IFERROR(__xludf.DUMMYFUNCTION("""COMPUTED_VALUE"""),0.0)</f>
        <v>0</v>
      </c>
      <c r="BN101" s="16">
        <f>IFERROR(__xludf.DUMMYFUNCTION("""COMPUTED_VALUE"""),-2.0)</f>
        <v>-2</v>
      </c>
      <c r="BO101" s="16">
        <f>IFERROR(__xludf.DUMMYFUNCTION("""COMPUTED_VALUE"""),0.0)</f>
        <v>0</v>
      </c>
      <c r="BP101" s="16">
        <f>IFERROR(__xludf.DUMMYFUNCTION("""COMPUTED_VALUE"""),1.0)</f>
        <v>1</v>
      </c>
      <c r="BQ101" s="16">
        <f>IFERROR(__xludf.DUMMYFUNCTION("""COMPUTED_VALUE"""),4.0)</f>
        <v>4</v>
      </c>
      <c r="BR101" s="16">
        <f>IFERROR(__xludf.DUMMYFUNCTION("""COMPUTED_VALUE"""),5.0)</f>
        <v>5</v>
      </c>
      <c r="BS101" s="16" t="str">
        <f>IFERROR(__xludf.DUMMYFUNCTION("""COMPUTED_VALUE"""),"*5/- (18-6)")</f>
        <v>*5/- (18-6)</v>
      </c>
      <c r="BT101" s="16" t="str">
        <f>IFERROR(__xludf.DUMMYFUNCTION("""COMPUTED_VALUE"""),"C")</f>
        <v>C</v>
      </c>
      <c r="BU101" s="16">
        <f>IFERROR(__xludf.DUMMYFUNCTION("""COMPUTED_VALUE"""),15.0)</f>
        <v>15</v>
      </c>
      <c r="BV101" s="16">
        <f>IFERROR(__xludf.DUMMYFUNCTION("""COMPUTED_VALUE"""),0.0)</f>
        <v>0</v>
      </c>
      <c r="BW101" s="16">
        <f>IFERROR(__xludf.DUMMYFUNCTION("""COMPUTED_VALUE"""),2.0)</f>
        <v>2</v>
      </c>
      <c r="BX101" s="16">
        <f>IFERROR(__xludf.DUMMYFUNCTION("""COMPUTED_VALUE"""),0.0)</f>
        <v>0</v>
      </c>
      <c r="BY101" s="16">
        <f>IFERROR(__xludf.DUMMYFUNCTION("""COMPUTED_VALUE"""),6.0)</f>
        <v>6</v>
      </c>
      <c r="BZ101" s="16" t="str">
        <f>IFERROR(__xludf.DUMMYFUNCTION("""COMPUTED_VALUE"""),"D")</f>
        <v>D</v>
      </c>
      <c r="CA101" s="16" t="str">
        <f>IFERROR(__xludf.DUMMYFUNCTION("""COMPUTED_VALUE"""),"C")</f>
        <v>C</v>
      </c>
      <c r="CB101" s="16">
        <f>IFERROR(__xludf.DUMMYFUNCTION("""COMPUTED_VALUE"""),0.0)</f>
        <v>0</v>
      </c>
      <c r="CC101" s="16">
        <f>IFERROR(__xludf.DUMMYFUNCTION("""COMPUTED_VALUE"""),0.0)</f>
        <v>0</v>
      </c>
      <c r="CD101" s="16">
        <f>IFERROR(__xludf.DUMMYFUNCTION("""COMPUTED_VALUE"""),0.0)</f>
        <v>0</v>
      </c>
      <c r="CE101" s="16">
        <f>IFERROR(__xludf.DUMMYFUNCTION("""COMPUTED_VALUE"""),0.0)</f>
        <v>0</v>
      </c>
      <c r="CF101" s="16">
        <f>IFERROR(__xludf.DUMMYFUNCTION("""COMPUTED_VALUE"""),1.0)</f>
        <v>1</v>
      </c>
      <c r="CG101" s="16">
        <f>IFERROR(__xludf.DUMMYFUNCTION("""COMPUTED_VALUE"""),5.0)</f>
        <v>5</v>
      </c>
      <c r="CH101" s="16">
        <f>IFERROR(__xludf.DUMMYFUNCTION("""COMPUTED_VALUE"""),6.0)</f>
        <v>6</v>
      </c>
      <c r="CI101" s="179">
        <f>IFERROR(__xludf.DUMMYFUNCTION("""COMPUTED_VALUE"""),12.0)</f>
        <v>12</v>
      </c>
      <c r="CJ101" s="16"/>
      <c r="CK101" s="16">
        <f>IFERROR(__xludf.DUMMYFUNCTION("""COMPUTED_VALUE"""),207.0)</f>
        <v>207</v>
      </c>
      <c r="CL101" s="16"/>
      <c r="CM101" s="16"/>
      <c r="CN101" s="16"/>
      <c r="CO101" s="16"/>
      <c r="CP101" s="16">
        <f>IFERROR(__xludf.DUMMYFUNCTION("""COMPUTED_VALUE"""),204.0)</f>
        <v>204</v>
      </c>
      <c r="CQ101" s="16">
        <f>IFERROR(__xludf.DUMMYFUNCTION("""COMPUTED_VALUE"""),204.0)</f>
        <v>204</v>
      </c>
      <c r="CR101" s="16" t="str">
        <f>IFERROR(__xludf.DUMMYFUNCTION("""COMPUTED_VALUE"""),"cf-2(-2)e4 rf-2e4 1b-2e7")</f>
        <v>cf-2(-2)e4 rf-2e4 1b-2e7</v>
      </c>
      <c r="CS101" s="16"/>
      <c r="CT101" s="16">
        <f>IFERROR(__xludf.DUMMYFUNCTION("""COMPUTED_VALUE"""),2.0)</f>
        <v>2</v>
      </c>
      <c r="CU101" s="16"/>
      <c r="CV101" s="16"/>
      <c r="CW101" s="16"/>
      <c r="CX101" s="16"/>
      <c r="CY101" s="16">
        <f>IFERROR(__xludf.DUMMYFUNCTION("""COMPUTED_VALUE"""),2.0)</f>
        <v>2</v>
      </c>
      <c r="CZ101" s="16">
        <f>IFERROR(__xludf.DUMMYFUNCTION("""COMPUTED_VALUE"""),2.0)</f>
        <v>2</v>
      </c>
      <c r="DA101" s="16"/>
      <c r="DB101" s="16">
        <f>IFERROR(__xludf.DUMMYFUNCTION("""COMPUTED_VALUE"""),7.0)</f>
        <v>7</v>
      </c>
      <c r="DC101" s="16"/>
      <c r="DD101" s="16"/>
      <c r="DE101" s="16"/>
      <c r="DF101" s="16"/>
      <c r="DG101" s="16">
        <f>IFERROR(__xludf.DUMMYFUNCTION("""COMPUTED_VALUE"""),4.0)</f>
        <v>4</v>
      </c>
      <c r="DH101" s="16">
        <f>IFERROR(__xludf.DUMMYFUNCTION("""COMPUTED_VALUE"""),4.0)</f>
        <v>4</v>
      </c>
      <c r="DI101" s="16"/>
      <c r="DJ101" s="16">
        <f>IFERROR(__xludf.DUMMYFUNCTION("""COMPUTED_VALUE"""),3.0)</f>
        <v>3</v>
      </c>
      <c r="DK101" s="16"/>
      <c r="DL101" s="16"/>
      <c r="DM101" s="16"/>
      <c r="DN101" s="16"/>
      <c r="DO101" s="16">
        <f>IFERROR(__xludf.DUMMYFUNCTION("""COMPUTED_VALUE"""),2.0)</f>
        <v>2</v>
      </c>
      <c r="DP101" s="16">
        <f>IFERROR(__xludf.DUMMYFUNCTION("""COMPUTED_VALUE"""),3.0)</f>
        <v>3</v>
      </c>
      <c r="DQ101" s="16"/>
      <c r="DR101" s="16">
        <f>IFERROR(__xludf.DUMMYFUNCTION("""COMPUTED_VALUE"""),2.0)</f>
        <v>2</v>
      </c>
      <c r="DS101" s="16"/>
      <c r="DT101" s="16"/>
      <c r="DU101" s="16"/>
      <c r="DV101" s="16"/>
      <c r="DW101" s="16">
        <f>IFERROR(__xludf.DUMMYFUNCTION("""COMPUTED_VALUE"""),3.0)</f>
        <v>3</v>
      </c>
      <c r="DX101" s="16">
        <f>IFERROR(__xludf.DUMMYFUNCTION("""COMPUTED_VALUE"""),2.0)</f>
        <v>2</v>
      </c>
      <c r="DY101" s="16"/>
      <c r="DZ101" s="16">
        <f>IFERROR(__xludf.DUMMYFUNCTION("""COMPUTED_VALUE"""),5.0)</f>
        <v>5</v>
      </c>
      <c r="EA101" s="16"/>
      <c r="EB101" s="16"/>
      <c r="EC101" s="16"/>
      <c r="ED101" s="16"/>
      <c r="EE101" s="16">
        <f>IFERROR(__xludf.DUMMYFUNCTION("""COMPUTED_VALUE"""),5.0)</f>
        <v>5</v>
      </c>
      <c r="EF101" s="16">
        <f>IFERROR(__xludf.DUMMYFUNCTION("""COMPUTED_VALUE"""),5.0)</f>
        <v>5</v>
      </c>
      <c r="EG101" s="179"/>
      <c r="EH101" s="179">
        <f>IFERROR(__xludf.DUMMYFUNCTION("""COMPUTED_VALUE"""),17.0)</f>
        <v>17</v>
      </c>
      <c r="EI101" s="179"/>
      <c r="EJ101" s="179"/>
      <c r="EK101" s="179"/>
      <c r="EL101" s="179"/>
      <c r="EM101" s="179">
        <f>IFERROR(__xludf.DUMMYFUNCTION("""COMPUTED_VALUE"""),17.0)</f>
        <v>17</v>
      </c>
      <c r="EN101" s="179">
        <f>IFERROR(__xludf.DUMMYFUNCTION("""COMPUTED_VALUE"""),17.0)</f>
        <v>17</v>
      </c>
      <c r="EO101" s="16"/>
      <c r="EP101" s="16">
        <f>IFERROR(__xludf.DUMMYFUNCTION("""COMPUTED_VALUE"""),1.0)</f>
        <v>1</v>
      </c>
      <c r="EQ101" s="16">
        <f>IFERROR(__xludf.DUMMYFUNCTION("""COMPUTED_VALUE"""),4.0)</f>
        <v>4</v>
      </c>
      <c r="ER101" s="16">
        <f>IFERROR(__xludf.DUMMYFUNCTION("""COMPUTED_VALUE"""),1.0)</f>
        <v>1</v>
      </c>
      <c r="ES101" s="16"/>
      <c r="ET101" s="16"/>
      <c r="EU101" s="16"/>
      <c r="EV101" s="16"/>
      <c r="EW101" s="16"/>
      <c r="EX101" s="180"/>
      <c r="EY101" s="180">
        <f>IFERROR(__xludf.DUMMYFUNCTION("""COMPUTED_VALUE"""),0.1)</f>
        <v>0.1</v>
      </c>
      <c r="EZ101" s="180"/>
      <c r="FA101" s="180"/>
      <c r="FB101" s="180"/>
      <c r="FC101" s="180"/>
      <c r="FD101" s="180">
        <f>IFERROR(__xludf.DUMMYFUNCTION("""COMPUTED_VALUE"""),0.15)</f>
        <v>0.15</v>
      </c>
      <c r="FE101" s="180">
        <f>IFERROR(__xludf.DUMMYFUNCTION("""COMPUTED_VALUE"""),0.15)</f>
        <v>0.15</v>
      </c>
      <c r="FF101" s="180"/>
      <c r="FG101" s="180">
        <f>IFERROR(__xludf.DUMMYFUNCTION("""COMPUTED_VALUE"""),0.125)</f>
        <v>0.125</v>
      </c>
      <c r="FH101" s="180"/>
      <c r="FI101" s="180"/>
      <c r="FJ101" s="180"/>
      <c r="FK101" s="180"/>
      <c r="FL101" s="180">
        <f>IFERROR(__xludf.DUMMYFUNCTION("""COMPUTED_VALUE"""),0.046296296296296294)</f>
        <v>0.0462962963</v>
      </c>
      <c r="FM101" s="180">
        <f>IFERROR(__xludf.DUMMYFUNCTION("""COMPUTED_VALUE"""),0.069)</f>
        <v>0.069</v>
      </c>
      <c r="FN101" s="16"/>
      <c r="FO101" s="16">
        <f>IFERROR(__xludf.DUMMYFUNCTION("""COMPUTED_VALUE"""),0.7875)</f>
        <v>0.7875</v>
      </c>
      <c r="FP101" s="16"/>
      <c r="FQ101" s="16"/>
      <c r="FR101" s="16"/>
      <c r="FS101" s="16"/>
      <c r="FT101" s="16">
        <f>IFERROR(__xludf.DUMMYFUNCTION("""COMPUTED_VALUE"""),0.8106481481481481)</f>
        <v>0.8106481481</v>
      </c>
      <c r="FU101" s="16">
        <f>IFERROR(__xludf.DUMMYFUNCTION("""COMPUTED_VALUE"""),0.79135)</f>
        <v>0.79135</v>
      </c>
      <c r="FV101" s="16"/>
      <c r="FW101" s="16">
        <f>IFERROR(__xludf.DUMMYFUNCTION("""COMPUTED_VALUE"""),-1.0)</f>
        <v>-1</v>
      </c>
      <c r="FX101" s="16"/>
      <c r="FY101" s="16"/>
      <c r="FZ101" s="16"/>
      <c r="GA101" s="16"/>
      <c r="GB101" s="16">
        <f>IFERROR(__xludf.DUMMYFUNCTION("""COMPUTED_VALUE"""),0.0)</f>
        <v>0</v>
      </c>
      <c r="GC101" s="16">
        <f>IFERROR(__xludf.DUMMYFUNCTION("""COMPUTED_VALUE"""),-2.0)</f>
        <v>-2</v>
      </c>
      <c r="GD101" s="16" t="s">
        <v>212</v>
      </c>
    </row>
    <row r="102">
      <c r="A102" s="16">
        <f>IFERROR(__xludf.DUMMYFUNCTION("""COMPUTED_VALUE"""),12707.0)</f>
        <v>12707</v>
      </c>
      <c r="B102" s="16" t="str">
        <f>IFERROR(__xludf.DUMMYFUNCTION("""COMPUTED_VALUE"""),"Connor Norby")</f>
        <v>Connor Norby</v>
      </c>
      <c r="C102" s="16">
        <f>IFERROR(__xludf.DUMMYFUNCTION("""COMPUTED_VALUE"""),0.3)</f>
        <v>0.3</v>
      </c>
      <c r="D102" s="16" t="str">
        <f>IFERROR(__xludf.DUMMYFUNCTION("""COMPUTED_VALUE"""),"R")</f>
        <v>R</v>
      </c>
      <c r="E102" s="16"/>
      <c r="F102" s="16"/>
      <c r="G102" s="16">
        <f>IFERROR(__xludf.DUMMYFUNCTION("""COMPUTED_VALUE"""),178.0)</f>
        <v>178</v>
      </c>
      <c r="H102" s="16">
        <f>IFERROR(__xludf.DUMMYFUNCTION("""COMPUTED_VALUE"""),15.0)</f>
        <v>15</v>
      </c>
      <c r="I102" s="16" t="str">
        <f>IFERROR(__xludf.DUMMYFUNCTION("""COMPUTED_VALUE"""),"1p20")</f>
        <v>1p20</v>
      </c>
      <c r="J102" s="16">
        <f>IFERROR(__xludf.DUMMYFUNCTION("""COMPUTED_VALUE"""),57.0)</f>
        <v>57</v>
      </c>
      <c r="K102" s="16">
        <f>IFERROR(__xludf.DUMMYFUNCTION("""COMPUTED_VALUE"""),40.0)</f>
        <v>40</v>
      </c>
      <c r="L102" s="16">
        <f>IFERROR(__xludf.DUMMYFUNCTION("""COMPUTED_VALUE"""),-2.0)</f>
        <v>-2</v>
      </c>
      <c r="M102" s="16">
        <f>IFERROR(__xludf.DUMMYFUNCTION("""COMPUTED_VALUE"""),-2.0)</f>
        <v>-2</v>
      </c>
      <c r="N102" s="16">
        <f>IFERROR(__xludf.DUMMYFUNCTION("""COMPUTED_VALUE"""),-2.0)</f>
        <v>-2</v>
      </c>
      <c r="O102" s="16">
        <f>IFERROR(__xludf.DUMMYFUNCTION("""COMPUTED_VALUE"""),-2.0)</f>
        <v>-2</v>
      </c>
      <c r="P102" s="16">
        <f>IFERROR(__xludf.DUMMYFUNCTION("""COMPUTED_VALUE"""),0.0)</f>
        <v>0</v>
      </c>
      <c r="Q102" s="16">
        <f>IFERROR(__xludf.DUMMYFUNCTION("""COMPUTED_VALUE"""),17.0)</f>
        <v>17</v>
      </c>
      <c r="R102" s="16">
        <f>IFERROR(__xludf.DUMMYFUNCTION("""COMPUTED_VALUE"""),-3.0)</f>
        <v>-3</v>
      </c>
      <c r="S102" s="16">
        <f>IFERROR(__xludf.DUMMYFUNCTION("""COMPUTED_VALUE"""),2.0)</f>
        <v>2</v>
      </c>
      <c r="T102" s="16">
        <f>IFERROR(__xludf.DUMMYFUNCTION("""COMPUTED_VALUE"""),-3.0)</f>
        <v>-3</v>
      </c>
      <c r="U102" s="16">
        <f>IFERROR(__xludf.DUMMYFUNCTION("""COMPUTED_VALUE"""),2.0)</f>
        <v>2</v>
      </c>
      <c r="V102" s="16">
        <f>IFERROR(__xludf.DUMMYFUNCTION("""COMPUTED_VALUE"""),18.6)</f>
        <v>18.6</v>
      </c>
      <c r="W102" s="16">
        <f>IFERROR(__xludf.DUMMYFUNCTION("""COMPUTED_VALUE"""),15.3)</f>
        <v>15.3</v>
      </c>
      <c r="X102" s="16">
        <f>IFERROR(__xludf.DUMMYFUNCTION("""COMPUTED_VALUE"""),0.0)</f>
        <v>0</v>
      </c>
      <c r="Y102" s="16">
        <f>IFERROR(__xludf.DUMMYFUNCTION("""COMPUTED_VALUE"""),-1.0)</f>
        <v>-1</v>
      </c>
      <c r="Z102" s="16">
        <f>IFERROR(__xludf.DUMMYFUNCTION("""COMPUTED_VALUE"""),0.0)</f>
        <v>0</v>
      </c>
      <c r="AA102" s="16">
        <f>IFERROR(__xludf.DUMMYFUNCTION("""COMPUTED_VALUE"""),-2.0)</f>
        <v>-2</v>
      </c>
      <c r="AB102" s="16">
        <f>IFERROR(__xludf.DUMMYFUNCTION("""COMPUTED_VALUE"""),18.6)</f>
        <v>18.6</v>
      </c>
      <c r="AC102" s="16">
        <f>IFERROR(__xludf.DUMMYFUNCTION("""COMPUTED_VALUE"""),32.3)</f>
        <v>32.3</v>
      </c>
      <c r="AD102" s="16">
        <f>IFERROR(__xludf.DUMMYFUNCTION("""COMPUTED_VALUE"""),-1.0)</f>
        <v>-1</v>
      </c>
      <c r="AE102" s="16">
        <f>IFERROR(__xludf.DUMMYFUNCTION("""COMPUTED_VALUE"""),0.0)</f>
        <v>0</v>
      </c>
      <c r="AF102" s="16">
        <f>IFERROR(__xludf.DUMMYFUNCTION("""COMPUTED_VALUE"""),-5.0)</f>
        <v>-5</v>
      </c>
      <c r="AG102" s="16">
        <f>IFERROR(__xludf.DUMMYFUNCTION("""COMPUTED_VALUE"""),0.0)</f>
        <v>0</v>
      </c>
      <c r="AH102" s="16">
        <f>IFERROR(__xludf.DUMMYFUNCTION("""COMPUTED_VALUE"""),38.9)</f>
        <v>38.9</v>
      </c>
      <c r="AI102" s="16">
        <f>IFERROR(__xludf.DUMMYFUNCTION("""COMPUTED_VALUE"""),30.4)</f>
        <v>30.4</v>
      </c>
      <c r="AJ102" s="16">
        <f>IFERROR(__xludf.DUMMYFUNCTION("""COMPUTED_VALUE"""),1.0)</f>
        <v>1</v>
      </c>
      <c r="AK102" s="16">
        <f>IFERROR(__xludf.DUMMYFUNCTION("""COMPUTED_VALUE"""),0.0)</f>
        <v>0</v>
      </c>
      <c r="AL102" s="16">
        <f>IFERROR(__xludf.DUMMYFUNCTION("""COMPUTED_VALUE"""),5.0)</f>
        <v>5</v>
      </c>
      <c r="AM102" s="16">
        <f>IFERROR(__xludf.DUMMYFUNCTION("""COMPUTED_VALUE"""),0.0)</f>
        <v>0</v>
      </c>
      <c r="AN102" s="16">
        <f>IFERROR(__xludf.DUMMYFUNCTION("""COMPUTED_VALUE"""),4.0)</f>
        <v>4</v>
      </c>
      <c r="AO102" s="16">
        <f>IFERROR(__xludf.DUMMYFUNCTION("""COMPUTED_VALUE"""),4.0)</f>
        <v>4</v>
      </c>
      <c r="AP102" s="16">
        <f>IFERROR(__xludf.DUMMYFUNCTION("""COMPUTED_VALUE"""),2.0)</f>
        <v>2</v>
      </c>
      <c r="AQ102" s="16">
        <f>IFERROR(__xludf.DUMMYFUNCTION("""COMPUTED_VALUE"""),2.0)</f>
        <v>2</v>
      </c>
      <c r="AR102" s="16">
        <f>IFERROR(__xludf.DUMMYFUNCTION("""COMPUTED_VALUE"""),4.0)</f>
        <v>4</v>
      </c>
      <c r="AS102" s="16">
        <f>IFERROR(__xludf.DUMMYFUNCTION("""COMPUTED_VALUE"""),4.0)</f>
        <v>4</v>
      </c>
      <c r="AT102" s="16">
        <f>IFERROR(__xludf.DUMMYFUNCTION("""COMPUTED_VALUE"""),7.0)</f>
        <v>7</v>
      </c>
      <c r="AU102" s="16">
        <f>IFERROR(__xludf.DUMMYFUNCTION("""COMPUTED_VALUE"""),7.0)</f>
        <v>7</v>
      </c>
      <c r="AV102" s="16">
        <f>IFERROR(__xludf.DUMMYFUNCTION("""COMPUTED_VALUE"""),7.0)</f>
        <v>7</v>
      </c>
      <c r="AW102" s="16">
        <f>IFERROR(__xludf.DUMMYFUNCTION("""COMPUTED_VALUE"""),7.0)</f>
        <v>7</v>
      </c>
      <c r="AX102" s="16">
        <f>IFERROR(__xludf.DUMMYFUNCTION("""COMPUTED_VALUE"""),3.0)</f>
        <v>3</v>
      </c>
      <c r="AY102" s="16">
        <f>IFERROR(__xludf.DUMMYFUNCTION("""COMPUTED_VALUE"""),3.0)</f>
        <v>3</v>
      </c>
      <c r="AZ102" s="16">
        <f>IFERROR(__xludf.DUMMYFUNCTION("""COMPUTED_VALUE"""),9.0)</f>
        <v>9</v>
      </c>
      <c r="BA102" s="16">
        <f>IFERROR(__xludf.DUMMYFUNCTION("""COMPUTED_VALUE"""),9.0)</f>
        <v>9</v>
      </c>
      <c r="BB102" s="16">
        <f>IFERROR(__xludf.DUMMYFUNCTION("""COMPUTED_VALUE"""),5.0)</f>
        <v>5</v>
      </c>
      <c r="BC102" s="16">
        <f>IFERROR(__xludf.DUMMYFUNCTION("""COMPUTED_VALUE"""),5.0)</f>
        <v>5</v>
      </c>
      <c r="BD102" s="16">
        <f>IFERROR(__xludf.DUMMYFUNCTION("""COMPUTED_VALUE"""),1.0)</f>
        <v>1</v>
      </c>
      <c r="BE102" s="16">
        <f>IFERROR(__xludf.DUMMYFUNCTION("""COMPUTED_VALUE"""),1.0)</f>
        <v>1</v>
      </c>
      <c r="BF102" s="16">
        <f>IFERROR(__xludf.DUMMYFUNCTION("""COMPUTED_VALUE"""),1.0)</f>
        <v>1</v>
      </c>
      <c r="BG102" s="16">
        <f>IFERROR(__xludf.DUMMYFUNCTION("""COMPUTED_VALUE"""),1.0)</f>
        <v>1</v>
      </c>
      <c r="BH102" s="16">
        <f>IFERROR(__xludf.DUMMYFUNCTION("""COMPUTED_VALUE"""),-4.0)</f>
        <v>-4</v>
      </c>
      <c r="BI102" s="16">
        <f>IFERROR(__xludf.DUMMYFUNCTION("""COMPUTED_VALUE"""),-6.0)</f>
        <v>-6</v>
      </c>
      <c r="BJ102" s="16">
        <f>IFERROR(__xludf.DUMMYFUNCTION("""COMPUTED_VALUE"""),8.0)</f>
        <v>8</v>
      </c>
      <c r="BK102" s="16">
        <f>IFERROR(__xludf.DUMMYFUNCTION("""COMPUTED_VALUE"""),6.0)</f>
        <v>6</v>
      </c>
      <c r="BL102" s="16">
        <f>IFERROR(__xludf.DUMMYFUNCTION("""COMPUTED_VALUE"""),1.0)</f>
        <v>1</v>
      </c>
      <c r="BM102" s="16">
        <f>IFERROR(__xludf.DUMMYFUNCTION("""COMPUTED_VALUE"""),1.0)</f>
        <v>1</v>
      </c>
      <c r="BN102" s="16">
        <f>IFERROR(__xludf.DUMMYFUNCTION("""COMPUTED_VALUE"""),1.0)</f>
        <v>1</v>
      </c>
      <c r="BO102" s="16">
        <f>IFERROR(__xludf.DUMMYFUNCTION("""COMPUTED_VALUE"""),1.0)</f>
        <v>1</v>
      </c>
      <c r="BP102" s="16">
        <f>IFERROR(__xludf.DUMMYFUNCTION("""COMPUTED_VALUE"""),2.0)</f>
        <v>2</v>
      </c>
      <c r="BQ102" s="16">
        <f>IFERROR(__xludf.DUMMYFUNCTION("""COMPUTED_VALUE"""),6.0)</f>
        <v>6</v>
      </c>
      <c r="BR102" s="16">
        <f>IFERROR(__xludf.DUMMYFUNCTION("""COMPUTED_VALUE"""),8.0)</f>
        <v>8</v>
      </c>
      <c r="BS102" s="16" t="str">
        <f>IFERROR(__xludf.DUMMYFUNCTION("""COMPUTED_VALUE"""),"*2-7,12/9,10 (15-7)")</f>
        <v>*2-7,12/9,10 (15-7)</v>
      </c>
      <c r="BT102" s="16" t="str">
        <f>IFERROR(__xludf.DUMMYFUNCTION("""COMPUTED_VALUE"""),"C")</f>
        <v>C</v>
      </c>
      <c r="BU102" s="16">
        <f>IFERROR(__xludf.DUMMYFUNCTION("""COMPUTED_VALUE"""),12.0)</f>
        <v>12</v>
      </c>
      <c r="BV102" s="16">
        <f>IFERROR(__xludf.DUMMYFUNCTION("""COMPUTED_VALUE"""),0.0)</f>
        <v>0</v>
      </c>
      <c r="BW102" s="16">
        <f>IFERROR(__xludf.DUMMYFUNCTION("""COMPUTED_VALUE"""),0.0)</f>
        <v>0</v>
      </c>
      <c r="BX102" s="16">
        <f>IFERROR(__xludf.DUMMYFUNCTION("""COMPUTED_VALUE"""),0.0)</f>
        <v>0</v>
      </c>
      <c r="BY102" s="16">
        <f>IFERROR(__xludf.DUMMYFUNCTION("""COMPUTED_VALUE"""),0.0)</f>
        <v>0</v>
      </c>
      <c r="BZ102" s="16" t="str">
        <f>IFERROR(__xludf.DUMMYFUNCTION("""COMPUTED_VALUE"""),"D")</f>
        <v>D</v>
      </c>
      <c r="CA102" s="16" t="str">
        <f>IFERROR(__xludf.DUMMYFUNCTION("""COMPUTED_VALUE"""),"D")</f>
        <v>D</v>
      </c>
      <c r="CB102" s="16">
        <f>IFERROR(__xludf.DUMMYFUNCTION("""COMPUTED_VALUE"""),0.0)</f>
        <v>0</v>
      </c>
      <c r="CC102" s="16">
        <f>IFERROR(__xludf.DUMMYFUNCTION("""COMPUTED_VALUE"""),0.0)</f>
        <v>0</v>
      </c>
      <c r="CD102" s="16">
        <f>IFERROR(__xludf.DUMMYFUNCTION("""COMPUTED_VALUE"""),0.0)</f>
        <v>0</v>
      </c>
      <c r="CE102" s="16">
        <f>IFERROR(__xludf.DUMMYFUNCTION("""COMPUTED_VALUE"""),0.0)</f>
        <v>0</v>
      </c>
      <c r="CF102" s="16">
        <f>IFERROR(__xludf.DUMMYFUNCTION("""COMPUTED_VALUE"""),1.0)</f>
        <v>1</v>
      </c>
      <c r="CG102" s="16">
        <f>IFERROR(__xludf.DUMMYFUNCTION("""COMPUTED_VALUE"""),10.0)</f>
        <v>10</v>
      </c>
      <c r="CH102" s="16">
        <f>IFERROR(__xludf.DUMMYFUNCTION("""COMPUTED_VALUE"""),13.0)</f>
        <v>13</v>
      </c>
      <c r="CI102" s="179">
        <f>IFERROR(__xludf.DUMMYFUNCTION("""COMPUTED_VALUE"""),12.0)</f>
        <v>12</v>
      </c>
      <c r="CJ102" s="16"/>
      <c r="CK102" s="16"/>
      <c r="CL102" s="16">
        <f>IFERROR(__xludf.DUMMYFUNCTION("""COMPUTED_VALUE"""),416.0)</f>
        <v>416</v>
      </c>
      <c r="CM102" s="16">
        <f>IFERROR(__xludf.DUMMYFUNCTION("""COMPUTED_VALUE"""),437.0)</f>
        <v>437</v>
      </c>
      <c r="CN102" s="16"/>
      <c r="CO102" s="16"/>
      <c r="CP102" s="16"/>
      <c r="CQ102" s="16"/>
      <c r="CR102" s="16" t="str">
        <f>IFERROR(__xludf.DUMMYFUNCTION("""COMPUTED_VALUE"""),"3b-4e37 2b-4e16")</f>
        <v>3b-4e37 2b-4e16</v>
      </c>
      <c r="CS102" s="16"/>
      <c r="CT102" s="16"/>
      <c r="CU102" s="16">
        <f>IFERROR(__xludf.DUMMYFUNCTION("""COMPUTED_VALUE"""),4.0)</f>
        <v>4</v>
      </c>
      <c r="CV102" s="16">
        <f>IFERROR(__xludf.DUMMYFUNCTION("""COMPUTED_VALUE"""),4.0)</f>
        <v>4</v>
      </c>
      <c r="CW102" s="16"/>
      <c r="CX102" s="16"/>
      <c r="CY102" s="16"/>
      <c r="CZ102" s="16"/>
      <c r="DA102" s="16"/>
      <c r="DB102" s="16"/>
      <c r="DC102" s="16">
        <f>IFERROR(__xludf.DUMMYFUNCTION("""COMPUTED_VALUE"""),16.0)</f>
        <v>16</v>
      </c>
      <c r="DD102" s="16">
        <f>IFERROR(__xludf.DUMMYFUNCTION("""COMPUTED_VALUE"""),37.0)</f>
        <v>37</v>
      </c>
      <c r="DE102" s="16"/>
      <c r="DF102" s="16"/>
      <c r="DG102" s="16"/>
      <c r="DH102" s="16"/>
      <c r="DI102" s="16"/>
      <c r="DJ102" s="16"/>
      <c r="DK102" s="16">
        <f>IFERROR(__xludf.DUMMYFUNCTION("""COMPUTED_VALUE"""),-2.0)</f>
        <v>-2</v>
      </c>
      <c r="DL102" s="16">
        <f>IFERROR(__xludf.DUMMYFUNCTION("""COMPUTED_VALUE"""),0.0)</f>
        <v>0</v>
      </c>
      <c r="DM102" s="16"/>
      <c r="DN102" s="16"/>
      <c r="DO102" s="16"/>
      <c r="DP102" s="16"/>
      <c r="DQ102" s="16"/>
      <c r="DR102" s="16"/>
      <c r="DS102" s="16">
        <f>IFERROR(__xludf.DUMMYFUNCTION("""COMPUTED_VALUE"""),2.0)</f>
        <v>2</v>
      </c>
      <c r="DT102" s="16">
        <f>IFERROR(__xludf.DUMMYFUNCTION("""COMPUTED_VALUE"""),-2.0)</f>
        <v>-2</v>
      </c>
      <c r="DU102" s="16"/>
      <c r="DV102" s="16"/>
      <c r="DW102" s="16"/>
      <c r="DX102" s="16"/>
      <c r="DY102" s="16"/>
      <c r="DZ102" s="16"/>
      <c r="EA102" s="16">
        <f>IFERROR(__xludf.DUMMYFUNCTION("""COMPUTED_VALUE"""),0.0)</f>
        <v>0</v>
      </c>
      <c r="EB102" s="16">
        <f>IFERROR(__xludf.DUMMYFUNCTION("""COMPUTED_VALUE"""),-2.0)</f>
        <v>-2</v>
      </c>
      <c r="EC102" s="16"/>
      <c r="ED102" s="16"/>
      <c r="EE102" s="16"/>
      <c r="EF102" s="16"/>
      <c r="EG102" s="179"/>
      <c r="EH102" s="179"/>
      <c r="EI102" s="179">
        <f>IFERROR(__xludf.DUMMYFUNCTION("""COMPUTED_VALUE"""),12.0)</f>
        <v>12</v>
      </c>
      <c r="EJ102" s="179">
        <f>IFERROR(__xludf.DUMMYFUNCTION("""COMPUTED_VALUE"""),10.0)</f>
        <v>10</v>
      </c>
      <c r="EK102" s="179"/>
      <c r="EL102" s="179"/>
      <c r="EM102" s="179"/>
      <c r="EN102" s="179"/>
      <c r="EO102" s="16"/>
      <c r="EP102" s="16"/>
      <c r="EQ102" s="16">
        <f>IFERROR(__xludf.DUMMYFUNCTION("""COMPUTED_VALUE"""),4.0)</f>
        <v>4</v>
      </c>
      <c r="ER102" s="16">
        <f>IFERROR(__xludf.DUMMYFUNCTION("""COMPUTED_VALUE"""),-4.0)</f>
        <v>-4</v>
      </c>
      <c r="ES102" s="16"/>
      <c r="ET102" s="16"/>
      <c r="EU102" s="16"/>
      <c r="EV102" s="16"/>
      <c r="EW102" s="16"/>
      <c r="EX102" s="180"/>
      <c r="EY102" s="180"/>
      <c r="EZ102" s="180">
        <f>IFERROR(__xludf.DUMMYFUNCTION("""COMPUTED_VALUE"""),0.3)</f>
        <v>0.3</v>
      </c>
      <c r="FA102" s="180">
        <f>IFERROR(__xludf.DUMMYFUNCTION("""COMPUTED_VALUE"""),0.3)</f>
        <v>0.3</v>
      </c>
      <c r="FB102" s="180"/>
      <c r="FC102" s="180"/>
      <c r="FD102" s="180"/>
      <c r="FE102" s="180"/>
      <c r="FF102" s="180"/>
      <c r="FG102" s="180"/>
      <c r="FH102" s="180">
        <f>IFERROR(__xludf.DUMMYFUNCTION("""COMPUTED_VALUE"""),0.09722222222222222)</f>
        <v>0.09722222222</v>
      </c>
      <c r="FI102" s="180">
        <f>IFERROR(__xludf.DUMMYFUNCTION("""COMPUTED_VALUE"""),0.4444444444444444)</f>
        <v>0.4444444444</v>
      </c>
      <c r="FJ102" s="180"/>
      <c r="FK102" s="180"/>
      <c r="FL102" s="180"/>
      <c r="FM102" s="180"/>
      <c r="FN102" s="16"/>
      <c r="FO102" s="16"/>
      <c r="FP102" s="16">
        <f>IFERROR(__xludf.DUMMYFUNCTION("""COMPUTED_VALUE"""),0.6319444444444444)</f>
        <v>0.6319444444</v>
      </c>
      <c r="FQ102" s="16">
        <f>IFERROR(__xludf.DUMMYFUNCTION("""COMPUTED_VALUE"""),0.3888888888888889)</f>
        <v>0.3888888889</v>
      </c>
      <c r="FR102" s="16"/>
      <c r="FS102" s="16"/>
      <c r="FT102" s="16"/>
      <c r="FU102" s="16"/>
      <c r="FV102" s="16"/>
      <c r="FW102" s="16"/>
      <c r="FX102" s="16">
        <f>IFERROR(__xludf.DUMMYFUNCTION("""COMPUTED_VALUE"""),-6.0)</f>
        <v>-6</v>
      </c>
      <c r="FY102" s="16">
        <f>IFERROR(__xludf.DUMMYFUNCTION("""COMPUTED_VALUE"""),-8.0)</f>
        <v>-8</v>
      </c>
      <c r="FZ102" s="16"/>
      <c r="GA102" s="16"/>
      <c r="GB102" s="16"/>
      <c r="GC102" s="16"/>
      <c r="GD102" s="16" t="s">
        <v>215</v>
      </c>
    </row>
    <row r="103">
      <c r="A103" s="16">
        <f>IFERROR(__xludf.DUMMYFUNCTION("""COMPUTED_VALUE"""),12833.0)</f>
        <v>12833</v>
      </c>
      <c r="B103" s="16" t="str">
        <f>IFERROR(__xludf.DUMMYFUNCTION("""COMPUTED_VALUE"""),"Garrett Mitchell")</f>
        <v>Garrett Mitchell</v>
      </c>
      <c r="C103" s="16">
        <f>IFERROR(__xludf.DUMMYFUNCTION("""COMPUTED_VALUE"""),2.59)</f>
        <v>2.59</v>
      </c>
      <c r="D103" s="16" t="str">
        <f>IFERROR(__xludf.DUMMYFUNCTION("""COMPUTED_VALUE"""),"L")</f>
        <v>L</v>
      </c>
      <c r="E103" s="16"/>
      <c r="F103" s="16"/>
      <c r="G103" s="16">
        <f>IFERROR(__xludf.DUMMYFUNCTION("""COMPUTED_VALUE"""),196.0)</f>
        <v>196</v>
      </c>
      <c r="H103" s="16">
        <f>IFERROR(__xludf.DUMMYFUNCTION("""COMPUTED_VALUE"""),25.0)</f>
        <v>25</v>
      </c>
      <c r="I103" s="16" t="str">
        <f>IFERROR(__xludf.DUMMYFUNCTION("""COMPUTED_VALUE"""),"5p40")</f>
        <v>5p40</v>
      </c>
      <c r="J103" s="16">
        <f>IFERROR(__xludf.DUMMYFUNCTION("""COMPUTED_VALUE"""),54.0)</f>
        <v>54</v>
      </c>
      <c r="K103" s="16">
        <f>IFERROR(__xludf.DUMMYFUNCTION("""COMPUTED_VALUE"""),42.0)</f>
        <v>42</v>
      </c>
      <c r="L103" s="16">
        <f>IFERROR(__xludf.DUMMYFUNCTION("""COMPUTED_VALUE"""),-2.0)</f>
        <v>-2</v>
      </c>
      <c r="M103" s="16">
        <f>IFERROR(__xludf.DUMMYFUNCTION("""COMPUTED_VALUE"""),-2.0)</f>
        <v>-2</v>
      </c>
      <c r="N103" s="16">
        <f>IFERROR(__xludf.DUMMYFUNCTION("""COMPUTED_VALUE"""),-2.0)</f>
        <v>-2</v>
      </c>
      <c r="O103" s="16">
        <f>IFERROR(__xludf.DUMMYFUNCTION("""COMPUTED_VALUE"""),-2.0)</f>
        <v>-2</v>
      </c>
      <c r="P103" s="16">
        <f>IFERROR(__xludf.DUMMYFUNCTION("""COMPUTED_VALUE"""),5.0)</f>
        <v>5</v>
      </c>
      <c r="Q103" s="16">
        <f>IFERROR(__xludf.DUMMYFUNCTION("""COMPUTED_VALUE"""),17.0)</f>
        <v>17</v>
      </c>
      <c r="R103" s="16">
        <f>IFERROR(__xludf.DUMMYFUNCTION("""COMPUTED_VALUE"""),-1.0)</f>
        <v>-1</v>
      </c>
      <c r="S103" s="16">
        <f>IFERROR(__xludf.DUMMYFUNCTION("""COMPUTED_VALUE"""),2.0)</f>
        <v>2</v>
      </c>
      <c r="T103" s="16">
        <f>IFERROR(__xludf.DUMMYFUNCTION("""COMPUTED_VALUE"""),-1.0)</f>
        <v>-1</v>
      </c>
      <c r="U103" s="16">
        <f>IFERROR(__xludf.DUMMYFUNCTION("""COMPUTED_VALUE"""),2.0)</f>
        <v>2</v>
      </c>
      <c r="V103" s="16">
        <f>IFERROR(__xludf.DUMMYFUNCTION("""COMPUTED_VALUE"""),27.4)</f>
        <v>27.4</v>
      </c>
      <c r="W103" s="16">
        <f>IFERROR(__xludf.DUMMYFUNCTION("""COMPUTED_VALUE"""),19.5)</f>
        <v>19.5</v>
      </c>
      <c r="X103" s="16">
        <f>IFERROR(__xludf.DUMMYFUNCTION("""COMPUTED_VALUE"""),1.0)</f>
        <v>1</v>
      </c>
      <c r="Y103" s="16">
        <f>IFERROR(__xludf.DUMMYFUNCTION("""COMPUTED_VALUE"""),0.0)</f>
        <v>0</v>
      </c>
      <c r="Z103" s="16">
        <f>IFERROR(__xludf.DUMMYFUNCTION("""COMPUTED_VALUE"""),2.0)</f>
        <v>2</v>
      </c>
      <c r="AA103" s="16">
        <f>IFERROR(__xludf.DUMMYFUNCTION("""COMPUTED_VALUE"""),0.0)</f>
        <v>0</v>
      </c>
      <c r="AB103" s="16">
        <f>IFERROR(__xludf.DUMMYFUNCTION("""COMPUTED_VALUE"""),33.4)</f>
        <v>33.4</v>
      </c>
      <c r="AC103" s="16">
        <f>IFERROR(__xludf.DUMMYFUNCTION("""COMPUTED_VALUE"""),37.5)</f>
        <v>37.5</v>
      </c>
      <c r="AD103" s="16">
        <f>IFERROR(__xludf.DUMMYFUNCTION("""COMPUTED_VALUE"""),0.0)</f>
        <v>0</v>
      </c>
      <c r="AE103" s="16">
        <f>IFERROR(__xludf.DUMMYFUNCTION("""COMPUTED_VALUE"""),1.0)</f>
        <v>1</v>
      </c>
      <c r="AF103" s="16">
        <f>IFERROR(__xludf.DUMMYFUNCTION("""COMPUTED_VALUE"""),0.0)</f>
        <v>0</v>
      </c>
      <c r="AG103" s="16">
        <f>IFERROR(__xludf.DUMMYFUNCTION("""COMPUTED_VALUE"""),5.0)</f>
        <v>5</v>
      </c>
      <c r="AH103" s="16">
        <f>IFERROR(__xludf.DUMMYFUNCTION("""COMPUTED_VALUE"""),31.9)</f>
        <v>31.9</v>
      </c>
      <c r="AI103" s="16">
        <f>IFERROR(__xludf.DUMMYFUNCTION("""COMPUTED_VALUE"""),41.5)</f>
        <v>41.5</v>
      </c>
      <c r="AJ103" s="16">
        <f>IFERROR(__xludf.DUMMYFUNCTION("""COMPUTED_VALUE"""),0.0)</f>
        <v>0</v>
      </c>
      <c r="AK103" s="16">
        <f>IFERROR(__xludf.DUMMYFUNCTION("""COMPUTED_VALUE"""),1.0)</f>
        <v>1</v>
      </c>
      <c r="AL103" s="16">
        <f>IFERROR(__xludf.DUMMYFUNCTION("""COMPUTED_VALUE"""),0.0)</f>
        <v>0</v>
      </c>
      <c r="AM103" s="16">
        <f>IFERROR(__xludf.DUMMYFUNCTION("""COMPUTED_VALUE"""),5.0)</f>
        <v>5</v>
      </c>
      <c r="AN103" s="16">
        <f>IFERROR(__xludf.DUMMYFUNCTION("""COMPUTED_VALUE"""),0.0)</f>
        <v>0</v>
      </c>
      <c r="AO103" s="16">
        <f>IFERROR(__xludf.DUMMYFUNCTION("""COMPUTED_VALUE"""),3.3)</f>
        <v>3.3</v>
      </c>
      <c r="AP103" s="16">
        <f>IFERROR(__xludf.DUMMYFUNCTION("""COMPUTED_VALUE"""),-2.0)</f>
        <v>-2</v>
      </c>
      <c r="AQ103" s="16">
        <f>IFERROR(__xludf.DUMMYFUNCTION("""COMPUTED_VALUE"""),1.0)</f>
        <v>1</v>
      </c>
      <c r="AR103" s="16">
        <f>IFERROR(__xludf.DUMMYFUNCTION("""COMPUTED_VALUE"""),-4.0)</f>
        <v>-4</v>
      </c>
      <c r="AS103" s="16">
        <f>IFERROR(__xludf.DUMMYFUNCTION("""COMPUTED_VALUE"""),2.0)</f>
        <v>2</v>
      </c>
      <c r="AT103" s="16"/>
      <c r="AU103" s="16">
        <f>IFERROR(__xludf.DUMMYFUNCTION("""COMPUTED_VALUE"""),4.0)</f>
        <v>4</v>
      </c>
      <c r="AV103" s="16">
        <f>IFERROR(__xludf.DUMMYFUNCTION("""COMPUTED_VALUE"""),-3.0)</f>
        <v>-3</v>
      </c>
      <c r="AW103" s="16">
        <f>IFERROR(__xludf.DUMMYFUNCTION("""COMPUTED_VALUE"""),4.0)</f>
        <v>4</v>
      </c>
      <c r="AX103" s="16">
        <f>IFERROR(__xludf.DUMMYFUNCTION("""COMPUTED_VALUE"""),-3.0)</f>
        <v>-3</v>
      </c>
      <c r="AY103" s="16">
        <f>IFERROR(__xludf.DUMMYFUNCTION("""COMPUTED_VALUE"""),1.0)</f>
        <v>1</v>
      </c>
      <c r="AZ103" s="16">
        <f>IFERROR(__xludf.DUMMYFUNCTION("""COMPUTED_VALUE"""),-9.0)</f>
        <v>-9</v>
      </c>
      <c r="BA103" s="16">
        <f>IFERROR(__xludf.DUMMYFUNCTION("""COMPUTED_VALUE"""),3.0)</f>
        <v>3</v>
      </c>
      <c r="BB103" s="16">
        <f>IFERROR(__xludf.DUMMYFUNCTION("""COMPUTED_VALUE"""),5.0)</f>
        <v>5</v>
      </c>
      <c r="BC103" s="16">
        <f>IFERROR(__xludf.DUMMYFUNCTION("""COMPUTED_VALUE"""),5.0)</f>
        <v>5</v>
      </c>
      <c r="BD103" s="16">
        <f>IFERROR(__xludf.DUMMYFUNCTION("""COMPUTED_VALUE"""),1.0)</f>
        <v>1</v>
      </c>
      <c r="BE103" s="16">
        <f>IFERROR(__xludf.DUMMYFUNCTION("""COMPUTED_VALUE"""),1.0)</f>
        <v>1</v>
      </c>
      <c r="BF103" s="16">
        <f>IFERROR(__xludf.DUMMYFUNCTION("""COMPUTED_VALUE"""),1.0)</f>
        <v>1</v>
      </c>
      <c r="BG103" s="16">
        <f>IFERROR(__xludf.DUMMYFUNCTION("""COMPUTED_VALUE"""),1.0)</f>
        <v>1</v>
      </c>
      <c r="BH103" s="16">
        <f>IFERROR(__xludf.DUMMYFUNCTION("""COMPUTED_VALUE"""),-10.0)</f>
        <v>-10</v>
      </c>
      <c r="BI103" s="16">
        <f>IFERROR(__xludf.DUMMYFUNCTION("""COMPUTED_VALUE"""),-4.0)</f>
        <v>-4</v>
      </c>
      <c r="BJ103" s="16">
        <f>IFERROR(__xludf.DUMMYFUNCTION("""COMPUTED_VALUE"""),0.0)</f>
        <v>0</v>
      </c>
      <c r="BK103" s="16">
        <f>IFERROR(__xludf.DUMMYFUNCTION("""COMPUTED_VALUE"""),0.0)</f>
        <v>0</v>
      </c>
      <c r="BL103" s="16">
        <f>IFERROR(__xludf.DUMMYFUNCTION("""COMPUTED_VALUE"""),3.0)</f>
        <v>3</v>
      </c>
      <c r="BM103" s="16">
        <f>IFERROR(__xludf.DUMMYFUNCTION("""COMPUTED_VALUE"""),3.0)</f>
        <v>3</v>
      </c>
      <c r="BN103" s="16">
        <f>IFERROR(__xludf.DUMMYFUNCTION("""COMPUTED_VALUE"""),3.0)</f>
        <v>3</v>
      </c>
      <c r="BO103" s="16">
        <f>IFERROR(__xludf.DUMMYFUNCTION("""COMPUTED_VALUE"""),3.0)</f>
        <v>3</v>
      </c>
      <c r="BP103" s="16">
        <f>IFERROR(__xludf.DUMMYFUNCTION("""COMPUTED_VALUE"""),-3.0)</f>
        <v>-3</v>
      </c>
      <c r="BQ103" s="16">
        <f>IFERROR(__xludf.DUMMYFUNCTION("""COMPUTED_VALUE"""),8.0)</f>
        <v>8</v>
      </c>
      <c r="BR103" s="16">
        <f>IFERROR(__xludf.DUMMYFUNCTION("""COMPUTED_VALUE"""),5.0)</f>
        <v>5</v>
      </c>
      <c r="BS103" s="16" t="str">
        <f>IFERROR(__xludf.DUMMYFUNCTION("""COMPUTED_VALUE"""),"*2-6/- (18-13)")</f>
        <v>*2-6/- (18-13)</v>
      </c>
      <c r="BT103" s="16" t="str">
        <f>IFERROR(__xludf.DUMMYFUNCTION("""COMPUTED_VALUE"""),"A")</f>
        <v>A</v>
      </c>
      <c r="BU103" s="16">
        <f>IFERROR(__xludf.DUMMYFUNCTION("""COMPUTED_VALUE"""),17.0)</f>
        <v>17</v>
      </c>
      <c r="BV103" s="16">
        <f>IFERROR(__xludf.DUMMYFUNCTION("""COMPUTED_VALUE"""),2.0)</f>
        <v>2</v>
      </c>
      <c r="BW103" s="16">
        <f>IFERROR(__xludf.DUMMYFUNCTION("""COMPUTED_VALUE"""),3.0)</f>
        <v>3</v>
      </c>
      <c r="BX103" s="16">
        <f>IFERROR(__xludf.DUMMYFUNCTION("""COMPUTED_VALUE"""),4.0)</f>
        <v>4</v>
      </c>
      <c r="BY103" s="16">
        <f>IFERROR(__xludf.DUMMYFUNCTION("""COMPUTED_VALUE"""),9.0)</f>
        <v>9</v>
      </c>
      <c r="BZ103" s="16" t="str">
        <f>IFERROR(__xludf.DUMMYFUNCTION("""COMPUTED_VALUE"""),"B")</f>
        <v>B</v>
      </c>
      <c r="CA103" s="16" t="str">
        <f>IFERROR(__xludf.DUMMYFUNCTION("""COMPUTED_VALUE"""),"D")</f>
        <v>D</v>
      </c>
      <c r="CB103" s="16">
        <f>IFERROR(__xludf.DUMMYFUNCTION("""COMPUTED_VALUE"""),1.0)</f>
        <v>1</v>
      </c>
      <c r="CC103" s="16">
        <f>IFERROR(__xludf.DUMMYFUNCTION("""COMPUTED_VALUE"""),0.0)</f>
        <v>0</v>
      </c>
      <c r="CD103" s="16">
        <f>IFERROR(__xludf.DUMMYFUNCTION("""COMPUTED_VALUE"""),1.0)</f>
        <v>1</v>
      </c>
      <c r="CE103" s="16">
        <f>IFERROR(__xludf.DUMMYFUNCTION("""COMPUTED_VALUE"""),0.0)</f>
        <v>0</v>
      </c>
      <c r="CF103" s="16">
        <f>IFERROR(__xludf.DUMMYFUNCTION("""COMPUTED_VALUE"""),5.0)</f>
        <v>5</v>
      </c>
      <c r="CG103" s="16">
        <f>IFERROR(__xludf.DUMMYFUNCTION("""COMPUTED_VALUE"""),-10.0)</f>
        <v>-10</v>
      </c>
      <c r="CH103" s="16">
        <f>IFERROR(__xludf.DUMMYFUNCTION("""COMPUTED_VALUE"""),19.0)</f>
        <v>19</v>
      </c>
      <c r="CI103" s="179">
        <f>IFERROR(__xludf.DUMMYFUNCTION("""COMPUTED_VALUE"""),12.0)</f>
        <v>12</v>
      </c>
      <c r="CJ103" s="16"/>
      <c r="CK103" s="16"/>
      <c r="CL103" s="16"/>
      <c r="CM103" s="16"/>
      <c r="CN103" s="16"/>
      <c r="CO103" s="16"/>
      <c r="CP103" s="16">
        <f>IFERROR(__xludf.DUMMYFUNCTION("""COMPUTED_VALUE"""),302.0)</f>
        <v>302</v>
      </c>
      <c r="CQ103" s="16">
        <f>IFERROR(__xludf.DUMMYFUNCTION("""COMPUTED_VALUE"""),202.0)</f>
        <v>202</v>
      </c>
      <c r="CR103" s="16" t="str">
        <f>IFERROR(__xludf.DUMMYFUNCTION("""COMPUTED_VALUE"""),"cf-3(-2)e2 rf-2e2")</f>
        <v>cf-3(-2)e2 rf-2e2</v>
      </c>
      <c r="CS103" s="16"/>
      <c r="CT103" s="16"/>
      <c r="CU103" s="16"/>
      <c r="CV103" s="16"/>
      <c r="CW103" s="16"/>
      <c r="CX103" s="16"/>
      <c r="CY103" s="16">
        <f>IFERROR(__xludf.DUMMYFUNCTION("""COMPUTED_VALUE"""),3.0)</f>
        <v>3</v>
      </c>
      <c r="CZ103" s="16">
        <f>IFERROR(__xludf.DUMMYFUNCTION("""COMPUTED_VALUE"""),2.0)</f>
        <v>2</v>
      </c>
      <c r="DA103" s="16"/>
      <c r="DB103" s="16"/>
      <c r="DC103" s="16"/>
      <c r="DD103" s="16"/>
      <c r="DE103" s="16"/>
      <c r="DF103" s="16"/>
      <c r="DG103" s="16">
        <f>IFERROR(__xludf.DUMMYFUNCTION("""COMPUTED_VALUE"""),2.0)</f>
        <v>2</v>
      </c>
      <c r="DH103" s="16">
        <f>IFERROR(__xludf.DUMMYFUNCTION("""COMPUTED_VALUE"""),2.0)</f>
        <v>2</v>
      </c>
      <c r="DI103" s="16"/>
      <c r="DJ103" s="16"/>
      <c r="DK103" s="16"/>
      <c r="DL103" s="16"/>
      <c r="DM103" s="16"/>
      <c r="DN103" s="16"/>
      <c r="DO103" s="16">
        <f>IFERROR(__xludf.DUMMYFUNCTION("""COMPUTED_VALUE"""),0.0)</f>
        <v>0</v>
      </c>
      <c r="DP103" s="16">
        <f>IFERROR(__xludf.DUMMYFUNCTION("""COMPUTED_VALUE"""),3.0)</f>
        <v>3</v>
      </c>
      <c r="DQ103" s="16"/>
      <c r="DR103" s="16"/>
      <c r="DS103" s="16"/>
      <c r="DT103" s="16"/>
      <c r="DU103" s="16"/>
      <c r="DV103" s="16"/>
      <c r="DW103" s="16">
        <f>IFERROR(__xludf.DUMMYFUNCTION("""COMPUTED_VALUE"""),4.0)</f>
        <v>4</v>
      </c>
      <c r="DX103" s="16">
        <f>IFERROR(__xludf.DUMMYFUNCTION("""COMPUTED_VALUE"""),4.0)</f>
        <v>4</v>
      </c>
      <c r="DY103" s="16"/>
      <c r="DZ103" s="16"/>
      <c r="EA103" s="16"/>
      <c r="EB103" s="16"/>
      <c r="EC103" s="16"/>
      <c r="ED103" s="16"/>
      <c r="EE103" s="16">
        <f>IFERROR(__xludf.DUMMYFUNCTION("""COMPUTED_VALUE"""),4.0)</f>
        <v>4</v>
      </c>
      <c r="EF103" s="16">
        <f>IFERROR(__xludf.DUMMYFUNCTION("""COMPUTED_VALUE"""),7.0)</f>
        <v>7</v>
      </c>
      <c r="EG103" s="179"/>
      <c r="EH103" s="179"/>
      <c r="EI103" s="179"/>
      <c r="EJ103" s="179"/>
      <c r="EK103" s="179"/>
      <c r="EL103" s="179"/>
      <c r="EM103" s="179">
        <f>IFERROR(__xludf.DUMMYFUNCTION("""COMPUTED_VALUE"""),16.0)</f>
        <v>16</v>
      </c>
      <c r="EN103" s="179">
        <f>IFERROR(__xludf.DUMMYFUNCTION("""COMPUTED_VALUE"""),19.0)</f>
        <v>19</v>
      </c>
      <c r="EO103" s="16"/>
      <c r="EP103" s="16">
        <f>IFERROR(__xludf.DUMMYFUNCTION("""COMPUTED_VALUE"""),-1.0)</f>
        <v>-1</v>
      </c>
      <c r="EQ103" s="16">
        <f>IFERROR(__xludf.DUMMYFUNCTION("""COMPUTED_VALUE"""),-2.0)</f>
        <v>-2</v>
      </c>
      <c r="ER103" s="16">
        <f>IFERROR(__xludf.DUMMYFUNCTION("""COMPUTED_VALUE"""),-1.0)</f>
        <v>-1</v>
      </c>
      <c r="ES103" s="16"/>
      <c r="ET103" s="16"/>
      <c r="EU103" s="16"/>
      <c r="EV103" s="16"/>
      <c r="EW103" s="16"/>
      <c r="EX103" s="180"/>
      <c r="EY103" s="180"/>
      <c r="EZ103" s="180"/>
      <c r="FA103" s="180"/>
      <c r="FB103" s="180"/>
      <c r="FC103" s="180"/>
      <c r="FD103" s="180">
        <f>IFERROR(__xludf.DUMMYFUNCTION("""COMPUTED_VALUE"""),0.3)</f>
        <v>0.3</v>
      </c>
      <c r="FE103" s="180">
        <f>IFERROR(__xludf.DUMMYFUNCTION("""COMPUTED_VALUE"""),0.15)</f>
        <v>0.15</v>
      </c>
      <c r="FF103" s="180"/>
      <c r="FG103" s="180"/>
      <c r="FH103" s="180"/>
      <c r="FI103" s="180"/>
      <c r="FJ103" s="180"/>
      <c r="FK103" s="180"/>
      <c r="FL103" s="180">
        <f>IFERROR(__xludf.DUMMYFUNCTION("""COMPUTED_VALUE"""),0.023148148148148147)</f>
        <v>0.02314814815</v>
      </c>
      <c r="FM103" s="180">
        <f>IFERROR(__xludf.DUMMYFUNCTION("""COMPUTED_VALUE"""),0.037)</f>
        <v>0.037</v>
      </c>
      <c r="FN103" s="16"/>
      <c r="FO103" s="16"/>
      <c r="FP103" s="16"/>
      <c r="FQ103" s="16"/>
      <c r="FR103" s="16"/>
      <c r="FS103" s="16"/>
      <c r="FT103" s="16">
        <f>IFERROR(__xludf.DUMMYFUNCTION("""COMPUTED_VALUE"""),0.6837962962962962)</f>
        <v>0.6837962963</v>
      </c>
      <c r="FU103" s="16">
        <f>IFERROR(__xludf.DUMMYFUNCTION("""COMPUTED_VALUE"""),0.81855)</f>
        <v>0.81855</v>
      </c>
      <c r="FV103" s="16"/>
      <c r="FW103" s="16"/>
      <c r="FX103" s="16"/>
      <c r="FY103" s="16"/>
      <c r="FZ103" s="16"/>
      <c r="GA103" s="16"/>
      <c r="GB103" s="16">
        <f>IFERROR(__xludf.DUMMYFUNCTION("""COMPUTED_VALUE"""),-3.0)</f>
        <v>-3</v>
      </c>
      <c r="GC103" s="16">
        <f>IFERROR(__xludf.DUMMYFUNCTION("""COMPUTED_VALUE"""),2.0)</f>
        <v>2</v>
      </c>
      <c r="GD103" s="16" t="s">
        <v>1755</v>
      </c>
    </row>
    <row r="104">
      <c r="A104" s="16">
        <f>IFERROR(__xludf.DUMMYFUNCTION("""COMPUTED_VALUE"""),12765.0)</f>
        <v>12765</v>
      </c>
      <c r="B104" s="16" t="str">
        <f>IFERROR(__xludf.DUMMYFUNCTION("""COMPUTED_VALUE"""),"Donovan Solano")</f>
        <v>Donovan Solano</v>
      </c>
      <c r="C104" s="16">
        <f>IFERROR(__xludf.DUMMYFUNCTION("""COMPUTED_VALUE"""),0.94)</f>
        <v>0.94</v>
      </c>
      <c r="D104" s="16" t="str">
        <f>IFERROR(__xludf.DUMMYFUNCTION("""COMPUTED_VALUE"""),"R")</f>
        <v>R</v>
      </c>
      <c r="E104" s="16"/>
      <c r="F104" s="16"/>
      <c r="G104" s="16">
        <f>IFERROR(__xludf.DUMMYFUNCTION("""COMPUTED_VALUE"""),283.0)</f>
        <v>283</v>
      </c>
      <c r="H104" s="16">
        <f>IFERROR(__xludf.DUMMYFUNCTION("""COMPUTED_VALUE"""),22.0)</f>
        <v>22</v>
      </c>
      <c r="I104" s="16" t="str">
        <f>IFERROR(__xludf.DUMMYFUNCTION("""COMPUTED_VALUE"""),"1p50")</f>
        <v>1p50</v>
      </c>
      <c r="J104" s="16">
        <f>IFERROR(__xludf.DUMMYFUNCTION("""COMPUTED_VALUE"""),13.0)</f>
        <v>13</v>
      </c>
      <c r="K104" s="16">
        <f>IFERROR(__xludf.DUMMYFUNCTION("""COMPUTED_VALUE"""),26.0)</f>
        <v>26</v>
      </c>
      <c r="L104" s="16">
        <f>IFERROR(__xludf.DUMMYFUNCTION("""COMPUTED_VALUE"""),1.0)</f>
        <v>1</v>
      </c>
      <c r="M104" s="16">
        <f>IFERROR(__xludf.DUMMYFUNCTION("""COMPUTED_VALUE"""),0.0)</f>
        <v>0</v>
      </c>
      <c r="N104" s="16">
        <f>IFERROR(__xludf.DUMMYFUNCTION("""COMPUTED_VALUE"""),1.0)</f>
        <v>1</v>
      </c>
      <c r="O104" s="16">
        <f>IFERROR(__xludf.DUMMYFUNCTION("""COMPUTED_VALUE"""),0.0)</f>
        <v>0</v>
      </c>
      <c r="P104" s="16">
        <f>IFERROR(__xludf.DUMMYFUNCTION("""COMPUTED_VALUE"""),13.0)</f>
        <v>13</v>
      </c>
      <c r="Q104" s="16">
        <f>IFERROR(__xludf.DUMMYFUNCTION("""COMPUTED_VALUE"""),4.0)</f>
        <v>4</v>
      </c>
      <c r="R104" s="16">
        <f>IFERROR(__xludf.DUMMYFUNCTION("""COMPUTED_VALUE"""),2.0)</f>
        <v>2</v>
      </c>
      <c r="S104" s="16">
        <f>IFERROR(__xludf.DUMMYFUNCTION("""COMPUTED_VALUE"""),-2.0)</f>
        <v>-2</v>
      </c>
      <c r="T104" s="16">
        <f>IFERROR(__xludf.DUMMYFUNCTION("""COMPUTED_VALUE"""),2.0)</f>
        <v>2</v>
      </c>
      <c r="U104" s="16">
        <f>IFERROR(__xludf.DUMMYFUNCTION("""COMPUTED_VALUE"""),-2.0)</f>
        <v>-2</v>
      </c>
      <c r="V104" s="16">
        <f>IFERROR(__xludf.DUMMYFUNCTION("""COMPUTED_VALUE"""),29.8)</f>
        <v>29.8</v>
      </c>
      <c r="W104" s="16">
        <f>IFERROR(__xludf.DUMMYFUNCTION("""COMPUTED_VALUE"""),29.3)</f>
        <v>29.3</v>
      </c>
      <c r="X104" s="16">
        <f>IFERROR(__xludf.DUMMYFUNCTION("""COMPUTED_VALUE"""),2.0)</f>
        <v>2</v>
      </c>
      <c r="Y104" s="16">
        <f>IFERROR(__xludf.DUMMYFUNCTION("""COMPUTED_VALUE"""),2.0)</f>
        <v>2</v>
      </c>
      <c r="Z104" s="16">
        <f>IFERROR(__xludf.DUMMYFUNCTION("""COMPUTED_VALUE"""),4.0)</f>
        <v>4</v>
      </c>
      <c r="AA104" s="16">
        <f>IFERROR(__xludf.DUMMYFUNCTION("""COMPUTED_VALUE"""),4.0)</f>
        <v>4</v>
      </c>
      <c r="AB104" s="16">
        <f>IFERROR(__xludf.DUMMYFUNCTION("""COMPUTED_VALUE"""),44.8)</f>
        <v>44.8</v>
      </c>
      <c r="AC104" s="16">
        <f>IFERROR(__xludf.DUMMYFUNCTION("""COMPUTED_VALUE"""),35.3)</f>
        <v>35.3</v>
      </c>
      <c r="AD104" s="16">
        <f>IFERROR(__xludf.DUMMYFUNCTION("""COMPUTED_VALUE"""),2.0)</f>
        <v>2</v>
      </c>
      <c r="AE104" s="16">
        <f>IFERROR(__xludf.DUMMYFUNCTION("""COMPUTED_VALUE"""),1.0)</f>
        <v>1</v>
      </c>
      <c r="AF104" s="16">
        <f>IFERROR(__xludf.DUMMYFUNCTION("""COMPUTED_VALUE"""),10.0)</f>
        <v>10</v>
      </c>
      <c r="AG104" s="16">
        <f>IFERROR(__xludf.DUMMYFUNCTION("""COMPUTED_VALUE"""),5.0)</f>
        <v>5</v>
      </c>
      <c r="AH104" s="16">
        <f>IFERROR(__xludf.DUMMYFUNCTION("""COMPUTED_VALUE"""),36.5)</f>
        <v>36.5</v>
      </c>
      <c r="AI104" s="16">
        <f>IFERROR(__xludf.DUMMYFUNCTION("""COMPUTED_VALUE"""),38.1)</f>
        <v>38.1</v>
      </c>
      <c r="AJ104" s="16">
        <f>IFERROR(__xludf.DUMMYFUNCTION("""COMPUTED_VALUE"""),0.0)</f>
        <v>0</v>
      </c>
      <c r="AK104" s="16">
        <f>IFERROR(__xludf.DUMMYFUNCTION("""COMPUTED_VALUE"""),1.0)</f>
        <v>1</v>
      </c>
      <c r="AL104" s="16">
        <f>IFERROR(__xludf.DUMMYFUNCTION("""COMPUTED_VALUE"""),0.0)</f>
        <v>0</v>
      </c>
      <c r="AM104" s="16">
        <f>IFERROR(__xludf.DUMMYFUNCTION("""COMPUTED_VALUE"""),5.0)</f>
        <v>5</v>
      </c>
      <c r="AN104" s="16">
        <f>IFERROR(__xludf.DUMMYFUNCTION("""COMPUTED_VALUE"""),2.3)</f>
        <v>2.3</v>
      </c>
      <c r="AO104" s="16">
        <f>IFERROR(__xludf.DUMMYFUNCTION("""COMPUTED_VALUE"""),0.9)</f>
        <v>0.9</v>
      </c>
      <c r="AP104" s="16">
        <f>IFERROR(__xludf.DUMMYFUNCTION("""COMPUTED_VALUE"""),0.0)</f>
        <v>0</v>
      </c>
      <c r="AQ104" s="16">
        <f>IFERROR(__xludf.DUMMYFUNCTION("""COMPUTED_VALUE"""),-2.0)</f>
        <v>-2</v>
      </c>
      <c r="AR104" s="16">
        <f>IFERROR(__xludf.DUMMYFUNCTION("""COMPUTED_VALUE"""),0.0)</f>
        <v>0</v>
      </c>
      <c r="AS104" s="16">
        <f>IFERROR(__xludf.DUMMYFUNCTION("""COMPUTED_VALUE"""),-4.0)</f>
        <v>-4</v>
      </c>
      <c r="AT104" s="16">
        <f>IFERROR(__xludf.DUMMYFUNCTION("""COMPUTED_VALUE"""),3.0)</f>
        <v>3</v>
      </c>
      <c r="AU104" s="16">
        <f>IFERROR(__xludf.DUMMYFUNCTION("""COMPUTED_VALUE"""),1.0)</f>
        <v>1</v>
      </c>
      <c r="AV104" s="16">
        <f>IFERROR(__xludf.DUMMYFUNCTION("""COMPUTED_VALUE"""),3.0)</f>
        <v>3</v>
      </c>
      <c r="AW104" s="16">
        <f>IFERROR(__xludf.DUMMYFUNCTION("""COMPUTED_VALUE"""),1.0)</f>
        <v>1</v>
      </c>
      <c r="AX104" s="16">
        <f>IFERROR(__xludf.DUMMYFUNCTION("""COMPUTED_VALUE"""),1.0)</f>
        <v>1</v>
      </c>
      <c r="AY104" s="16">
        <f>IFERROR(__xludf.DUMMYFUNCTION("""COMPUTED_VALUE"""),-1.0)</f>
        <v>-1</v>
      </c>
      <c r="AZ104" s="16">
        <f>IFERROR(__xludf.DUMMYFUNCTION("""COMPUTED_VALUE"""),3.0)</f>
        <v>3</v>
      </c>
      <c r="BA104" s="16">
        <f>IFERROR(__xludf.DUMMYFUNCTION("""COMPUTED_VALUE"""),-3.0)</f>
        <v>-3</v>
      </c>
      <c r="BB104" s="16">
        <f>IFERROR(__xludf.DUMMYFUNCTION("""COMPUTED_VALUE"""),5.0)</f>
        <v>5</v>
      </c>
      <c r="BC104" s="16">
        <f>IFERROR(__xludf.DUMMYFUNCTION("""COMPUTED_VALUE"""),5.0)</f>
        <v>5</v>
      </c>
      <c r="BD104" s="16">
        <f>IFERROR(__xludf.DUMMYFUNCTION("""COMPUTED_VALUE"""),1.0)</f>
        <v>1</v>
      </c>
      <c r="BE104" s="16">
        <f>IFERROR(__xludf.DUMMYFUNCTION("""COMPUTED_VALUE"""),1.0)</f>
        <v>1</v>
      </c>
      <c r="BF104" s="16">
        <f>IFERROR(__xludf.DUMMYFUNCTION("""COMPUTED_VALUE"""),1.0)</f>
        <v>1</v>
      </c>
      <c r="BG104" s="16">
        <f>IFERROR(__xludf.DUMMYFUNCTION("""COMPUTED_VALUE"""),1.0)</f>
        <v>1</v>
      </c>
      <c r="BH104" s="16">
        <f>IFERROR(__xludf.DUMMYFUNCTION("""COMPUTED_VALUE"""),-4.0)</f>
        <v>-4</v>
      </c>
      <c r="BI104" s="16">
        <f>IFERROR(__xludf.DUMMYFUNCTION("""COMPUTED_VALUE"""),-4.0)</f>
        <v>-4</v>
      </c>
      <c r="BJ104" s="16">
        <f>IFERROR(__xludf.DUMMYFUNCTION("""COMPUTED_VALUE"""),13.0)</f>
        <v>13</v>
      </c>
      <c r="BK104" s="16">
        <f>IFERROR(__xludf.DUMMYFUNCTION("""COMPUTED_VALUE"""),18.0)</f>
        <v>18</v>
      </c>
      <c r="BL104" s="16">
        <f>IFERROR(__xludf.DUMMYFUNCTION("""COMPUTED_VALUE"""),0.0)</f>
        <v>0</v>
      </c>
      <c r="BM104" s="16">
        <f>IFERROR(__xludf.DUMMYFUNCTION("""COMPUTED_VALUE"""),-1.0)</f>
        <v>-1</v>
      </c>
      <c r="BN104" s="16">
        <f>IFERROR(__xludf.DUMMYFUNCTION("""COMPUTED_VALUE"""),0.0)</f>
        <v>0</v>
      </c>
      <c r="BO104" s="16">
        <f>IFERROR(__xludf.DUMMYFUNCTION("""COMPUTED_VALUE"""),-2.0)</f>
        <v>-2</v>
      </c>
      <c r="BP104" s="16">
        <f>IFERROR(__xludf.DUMMYFUNCTION("""COMPUTED_VALUE"""),9.0)</f>
        <v>9</v>
      </c>
      <c r="BQ104" s="16">
        <f>IFERROR(__xludf.DUMMYFUNCTION("""COMPUTED_VALUE"""),-1.0)</f>
        <v>-1</v>
      </c>
      <c r="BR104" s="16">
        <f>IFERROR(__xludf.DUMMYFUNCTION("""COMPUTED_VALUE"""),8.0)</f>
        <v>8</v>
      </c>
      <c r="BS104" s="16" t="str">
        <f>IFERROR(__xludf.DUMMYFUNCTION("""COMPUTED_VALUE"""),"5/- (13-6)")</f>
        <v>5/- (13-6)</v>
      </c>
      <c r="BT104" s="16" t="str">
        <f>IFERROR(__xludf.DUMMYFUNCTION("""COMPUTED_VALUE"""),"D")</f>
        <v>D</v>
      </c>
      <c r="BU104" s="16">
        <f>IFERROR(__xludf.DUMMYFUNCTION("""COMPUTED_VALUE"""),10.0)</f>
        <v>10</v>
      </c>
      <c r="BV104" s="16">
        <f>IFERROR(__xludf.DUMMYFUNCTION("""COMPUTED_VALUE"""),0.0)</f>
        <v>0</v>
      </c>
      <c r="BW104" s="16">
        <f>IFERROR(__xludf.DUMMYFUNCTION("""COMPUTED_VALUE"""),0.0)</f>
        <v>0</v>
      </c>
      <c r="BX104" s="16">
        <f>IFERROR(__xludf.DUMMYFUNCTION("""COMPUTED_VALUE"""),0.0)</f>
        <v>0</v>
      </c>
      <c r="BY104" s="16">
        <f>IFERROR(__xludf.DUMMYFUNCTION("""COMPUTED_VALUE"""),0.0)</f>
        <v>0</v>
      </c>
      <c r="BZ104" s="16" t="str">
        <f>IFERROR(__xludf.DUMMYFUNCTION("""COMPUTED_VALUE"""),"D")</f>
        <v>D</v>
      </c>
      <c r="CA104" s="16" t="str">
        <f>IFERROR(__xludf.DUMMYFUNCTION("""COMPUTED_VALUE"""),"D")</f>
        <v>D</v>
      </c>
      <c r="CB104" s="16">
        <f>IFERROR(__xludf.DUMMYFUNCTION("""COMPUTED_VALUE"""),0.0)</f>
        <v>0</v>
      </c>
      <c r="CC104" s="16">
        <f>IFERROR(__xludf.DUMMYFUNCTION("""COMPUTED_VALUE"""),0.0)</f>
        <v>0</v>
      </c>
      <c r="CD104" s="16">
        <f>IFERROR(__xludf.DUMMYFUNCTION("""COMPUTED_VALUE"""),0.0)</f>
        <v>0</v>
      </c>
      <c r="CE104" s="16">
        <f>IFERROR(__xludf.DUMMYFUNCTION("""COMPUTED_VALUE"""),0.0)</f>
        <v>0</v>
      </c>
      <c r="CF104" s="16">
        <f>IFERROR(__xludf.DUMMYFUNCTION("""COMPUTED_VALUE"""),1.0)</f>
        <v>1</v>
      </c>
      <c r="CG104" s="16">
        <f>IFERROR(__xludf.DUMMYFUNCTION("""COMPUTED_VALUE"""),21.0)</f>
        <v>21</v>
      </c>
      <c r="CH104" s="16">
        <f>IFERROR(__xludf.DUMMYFUNCTION("""COMPUTED_VALUE"""),4.0)</f>
        <v>4</v>
      </c>
      <c r="CI104" s="179">
        <f>IFERROR(__xludf.DUMMYFUNCTION("""COMPUTED_VALUE"""),12.0)</f>
        <v>12</v>
      </c>
      <c r="CJ104" s="16"/>
      <c r="CK104" s="16">
        <f>IFERROR(__xludf.DUMMYFUNCTION("""COMPUTED_VALUE"""),409.0)</f>
        <v>409</v>
      </c>
      <c r="CL104" s="16">
        <f>IFERROR(__xludf.DUMMYFUNCTION("""COMPUTED_VALUE"""),408.0)</f>
        <v>408</v>
      </c>
      <c r="CM104" s="16">
        <f>IFERROR(__xludf.DUMMYFUNCTION("""COMPUTED_VALUE"""),408.0)</f>
        <v>408</v>
      </c>
      <c r="CN104" s="16"/>
      <c r="CO104" s="16"/>
      <c r="CP104" s="16"/>
      <c r="CQ104" s="16"/>
      <c r="CR104" s="16" t="str">
        <f>IFERROR(__xludf.DUMMYFUNCTION("""COMPUTED_VALUE"""),"3b-4e8 1b-4e9 2b-4e8")</f>
        <v>3b-4e8 1b-4e9 2b-4e8</v>
      </c>
      <c r="CS104" s="16"/>
      <c r="CT104" s="16">
        <f>IFERROR(__xludf.DUMMYFUNCTION("""COMPUTED_VALUE"""),4.0)</f>
        <v>4</v>
      </c>
      <c r="CU104" s="16">
        <f>IFERROR(__xludf.DUMMYFUNCTION("""COMPUTED_VALUE"""),4.0)</f>
        <v>4</v>
      </c>
      <c r="CV104" s="16">
        <f>IFERROR(__xludf.DUMMYFUNCTION("""COMPUTED_VALUE"""),4.0)</f>
        <v>4</v>
      </c>
      <c r="CW104" s="16"/>
      <c r="CX104" s="16"/>
      <c r="CY104" s="16"/>
      <c r="CZ104" s="16"/>
      <c r="DA104" s="16"/>
      <c r="DB104" s="16">
        <f>IFERROR(__xludf.DUMMYFUNCTION("""COMPUTED_VALUE"""),9.0)</f>
        <v>9</v>
      </c>
      <c r="DC104" s="16">
        <f>IFERROR(__xludf.DUMMYFUNCTION("""COMPUTED_VALUE"""),8.0)</f>
        <v>8</v>
      </c>
      <c r="DD104" s="16">
        <f>IFERROR(__xludf.DUMMYFUNCTION("""COMPUTED_VALUE"""),8.0)</f>
        <v>8</v>
      </c>
      <c r="DE104" s="16"/>
      <c r="DF104" s="16"/>
      <c r="DG104" s="16"/>
      <c r="DH104" s="16"/>
      <c r="DI104" s="16"/>
      <c r="DJ104" s="16">
        <f>IFERROR(__xludf.DUMMYFUNCTION("""COMPUTED_VALUE"""),0.0)</f>
        <v>0</v>
      </c>
      <c r="DK104" s="16">
        <f>IFERROR(__xludf.DUMMYFUNCTION("""COMPUTED_VALUE"""),-2.0)</f>
        <v>-2</v>
      </c>
      <c r="DL104" s="16">
        <f>IFERROR(__xludf.DUMMYFUNCTION("""COMPUTED_VALUE"""),0.0)</f>
        <v>0</v>
      </c>
      <c r="DM104" s="16"/>
      <c r="DN104" s="16"/>
      <c r="DO104" s="16"/>
      <c r="DP104" s="16"/>
      <c r="DQ104" s="16"/>
      <c r="DR104" s="16">
        <f>IFERROR(__xludf.DUMMYFUNCTION("""COMPUTED_VALUE"""),2.0)</f>
        <v>2</v>
      </c>
      <c r="DS104" s="16">
        <f>IFERROR(__xludf.DUMMYFUNCTION("""COMPUTED_VALUE"""),3.0)</f>
        <v>3</v>
      </c>
      <c r="DT104" s="16">
        <f>IFERROR(__xludf.DUMMYFUNCTION("""COMPUTED_VALUE"""),2.0)</f>
        <v>2</v>
      </c>
      <c r="DU104" s="16"/>
      <c r="DV104" s="16"/>
      <c r="DW104" s="16"/>
      <c r="DX104" s="16"/>
      <c r="DY104" s="16"/>
      <c r="DZ104" s="16">
        <f>IFERROR(__xludf.DUMMYFUNCTION("""COMPUTED_VALUE"""),2.0)</f>
        <v>2</v>
      </c>
      <c r="EA104" s="16">
        <f>IFERROR(__xludf.DUMMYFUNCTION("""COMPUTED_VALUE"""),1.0)</f>
        <v>1</v>
      </c>
      <c r="EB104" s="16">
        <f>IFERROR(__xludf.DUMMYFUNCTION("""COMPUTED_VALUE"""),2.0)</f>
        <v>2</v>
      </c>
      <c r="EC104" s="16"/>
      <c r="ED104" s="16"/>
      <c r="EE104" s="16"/>
      <c r="EF104" s="16"/>
      <c r="EG104" s="179"/>
      <c r="EH104" s="179">
        <f>IFERROR(__xludf.DUMMYFUNCTION("""COMPUTED_VALUE"""),14.0)</f>
        <v>14</v>
      </c>
      <c r="EI104" s="179">
        <f>IFERROR(__xludf.DUMMYFUNCTION("""COMPUTED_VALUE"""),13.0)</f>
        <v>13</v>
      </c>
      <c r="EJ104" s="179">
        <f>IFERROR(__xludf.DUMMYFUNCTION("""COMPUTED_VALUE"""),14.0)</f>
        <v>14</v>
      </c>
      <c r="EK104" s="179"/>
      <c r="EL104" s="179"/>
      <c r="EM104" s="179"/>
      <c r="EN104" s="179"/>
      <c r="EO104" s="16"/>
      <c r="EP104" s="16"/>
      <c r="EQ104" s="16">
        <f>IFERROR(__xludf.DUMMYFUNCTION("""COMPUTED_VALUE"""),4.0)</f>
        <v>4</v>
      </c>
      <c r="ER104" s="16">
        <f>IFERROR(__xludf.DUMMYFUNCTION("""COMPUTED_VALUE"""),0.0)</f>
        <v>0</v>
      </c>
      <c r="ES104" s="16"/>
      <c r="ET104" s="16"/>
      <c r="EU104" s="16"/>
      <c r="EV104" s="16"/>
      <c r="EW104" s="16"/>
      <c r="EX104" s="180"/>
      <c r="EY104" s="180">
        <f>IFERROR(__xludf.DUMMYFUNCTION("""COMPUTED_VALUE"""),0.3)</f>
        <v>0.3</v>
      </c>
      <c r="EZ104" s="180">
        <f>IFERROR(__xludf.DUMMYFUNCTION("""COMPUTED_VALUE"""),0.3)</f>
        <v>0.3</v>
      </c>
      <c r="FA104" s="180">
        <f>IFERROR(__xludf.DUMMYFUNCTION("""COMPUTED_VALUE"""),0.3)</f>
        <v>0.3</v>
      </c>
      <c r="FB104" s="180"/>
      <c r="FC104" s="180"/>
      <c r="FD104" s="180"/>
      <c r="FE104" s="180"/>
      <c r="FF104" s="180"/>
      <c r="FG104" s="180">
        <f>IFERROR(__xludf.DUMMYFUNCTION("""COMPUTED_VALUE"""),0.16203703703703703)</f>
        <v>0.162037037</v>
      </c>
      <c r="FH104" s="180">
        <f>IFERROR(__xludf.DUMMYFUNCTION("""COMPUTED_VALUE"""),0.046296296296296294)</f>
        <v>0.0462962963</v>
      </c>
      <c r="FI104" s="180">
        <f>IFERROR(__xludf.DUMMYFUNCTION("""COMPUTED_VALUE"""),0.09722222222222222)</f>
        <v>0.09722222222</v>
      </c>
      <c r="FJ104" s="180"/>
      <c r="FK104" s="180"/>
      <c r="FL104" s="180"/>
      <c r="FM104" s="180"/>
      <c r="FN104" s="16"/>
      <c r="FO104" s="16">
        <f>IFERROR(__xludf.DUMMYFUNCTION("""COMPUTED_VALUE"""),0.586574074074074)</f>
        <v>0.5865740741</v>
      </c>
      <c r="FP104" s="16">
        <f>IFERROR(__xludf.DUMMYFUNCTION("""COMPUTED_VALUE"""),0.6675925925925925)</f>
        <v>0.6675925926</v>
      </c>
      <c r="FQ104" s="16">
        <f>IFERROR(__xludf.DUMMYFUNCTION("""COMPUTED_VALUE"""),0.6319444444444444)</f>
        <v>0.6319444444</v>
      </c>
      <c r="FR104" s="16"/>
      <c r="FS104" s="16"/>
      <c r="FT104" s="16"/>
      <c r="FU104" s="16"/>
      <c r="FV104" s="16"/>
      <c r="FW104" s="16">
        <f>IFERROR(__xludf.DUMMYFUNCTION("""COMPUTED_VALUE"""),-6.0)</f>
        <v>-6</v>
      </c>
      <c r="FX104" s="16">
        <f>IFERROR(__xludf.DUMMYFUNCTION("""COMPUTED_VALUE"""),-4.0)</f>
        <v>-4</v>
      </c>
      <c r="FY104" s="16">
        <f>IFERROR(__xludf.DUMMYFUNCTION("""COMPUTED_VALUE"""),-6.0)</f>
        <v>-6</v>
      </c>
      <c r="FZ104" s="16"/>
      <c r="GA104" s="16"/>
      <c r="GB104" s="16"/>
      <c r="GC104" s="16"/>
      <c r="GD104" s="16" t="s">
        <v>120</v>
      </c>
    </row>
    <row r="105">
      <c r="A105" s="16">
        <f>IFERROR(__xludf.DUMMYFUNCTION("""COMPUTED_VALUE"""),13298.0)</f>
        <v>13298</v>
      </c>
      <c r="B105" s="16" t="str">
        <f>IFERROR(__xludf.DUMMYFUNCTION("""COMPUTED_VALUE"""),"Randy Arozarena")</f>
        <v>Randy Arozarena</v>
      </c>
      <c r="C105" s="16">
        <f>IFERROR(__xludf.DUMMYFUNCTION("""COMPUTED_VALUE"""),0.76)</f>
        <v>0.76</v>
      </c>
      <c r="D105" s="16" t="str">
        <f>IFERROR(__xludf.DUMMYFUNCTION("""COMPUTED_VALUE"""),"R")</f>
        <v>R</v>
      </c>
      <c r="E105" s="16"/>
      <c r="F105" s="16"/>
      <c r="G105" s="16">
        <f>IFERROR(__xludf.DUMMYFUNCTION("""COMPUTED_VALUE"""),549.0)</f>
        <v>549</v>
      </c>
      <c r="H105" s="16">
        <f>IFERROR(__xludf.DUMMYFUNCTION("""COMPUTED_VALUE"""),73.0)</f>
        <v>73</v>
      </c>
      <c r="I105" s="16" t="str">
        <f>IFERROR(__xludf.DUMMYFUNCTION("""COMPUTED_VALUE"""),"1p70")</f>
        <v>1p70</v>
      </c>
      <c r="J105" s="16">
        <f>IFERROR(__xludf.DUMMYFUNCTION("""COMPUTED_VALUE"""),25.0)</f>
        <v>25</v>
      </c>
      <c r="K105" s="16">
        <f>IFERROR(__xludf.DUMMYFUNCTION("""COMPUTED_VALUE"""),33.0)</f>
        <v>33</v>
      </c>
      <c r="L105" s="16">
        <f>IFERROR(__xludf.DUMMYFUNCTION("""COMPUTED_VALUE"""),0.0)</f>
        <v>0</v>
      </c>
      <c r="M105" s="16">
        <f>IFERROR(__xludf.DUMMYFUNCTION("""COMPUTED_VALUE"""),-1.0)</f>
        <v>-1</v>
      </c>
      <c r="N105" s="16">
        <f>IFERROR(__xludf.DUMMYFUNCTION("""COMPUTED_VALUE"""),0.0)</f>
        <v>0</v>
      </c>
      <c r="O105" s="16">
        <f>IFERROR(__xludf.DUMMYFUNCTION("""COMPUTED_VALUE"""),-1.0)</f>
        <v>-1</v>
      </c>
      <c r="P105" s="16">
        <f>IFERROR(__xludf.DUMMYFUNCTION("""COMPUTED_VALUE"""),22.0)</f>
        <v>22</v>
      </c>
      <c r="Q105" s="16">
        <f>IFERROR(__xludf.DUMMYFUNCTION("""COMPUTED_VALUE"""),14.0)</f>
        <v>14</v>
      </c>
      <c r="R105" s="16">
        <f>IFERROR(__xludf.DUMMYFUNCTION("""COMPUTED_VALUE"""),3.0)</f>
        <v>3</v>
      </c>
      <c r="S105" s="16">
        <f>IFERROR(__xludf.DUMMYFUNCTION("""COMPUTED_VALUE"""),2.0)</f>
        <v>2</v>
      </c>
      <c r="T105" s="16">
        <f>IFERROR(__xludf.DUMMYFUNCTION("""COMPUTED_VALUE"""),3.0)</f>
        <v>3</v>
      </c>
      <c r="U105" s="16">
        <f>IFERROR(__xludf.DUMMYFUNCTION("""COMPUTED_VALUE"""),2.0)</f>
        <v>2</v>
      </c>
      <c r="V105" s="16">
        <f>IFERROR(__xludf.DUMMYFUNCTION("""COMPUTED_VALUE"""),12.4)</f>
        <v>12.4</v>
      </c>
      <c r="W105" s="16">
        <f>IFERROR(__xludf.DUMMYFUNCTION("""COMPUTED_VALUE"""),13.1)</f>
        <v>13.1</v>
      </c>
      <c r="X105" s="16">
        <f>IFERROR(__xludf.DUMMYFUNCTION("""COMPUTED_VALUE"""),-1.0)</f>
        <v>-1</v>
      </c>
      <c r="Y105" s="16">
        <f>IFERROR(__xludf.DUMMYFUNCTION("""COMPUTED_VALUE"""),-1.0)</f>
        <v>-1</v>
      </c>
      <c r="Z105" s="16">
        <f>IFERROR(__xludf.DUMMYFUNCTION("""COMPUTED_VALUE"""),-2.0)</f>
        <v>-2</v>
      </c>
      <c r="AA105" s="16">
        <f>IFERROR(__xludf.DUMMYFUNCTION("""COMPUTED_VALUE"""),-2.0)</f>
        <v>-2</v>
      </c>
      <c r="AB105" s="16">
        <f>IFERROR(__xludf.DUMMYFUNCTION("""COMPUTED_VALUE"""),42.3)</f>
        <v>42.3</v>
      </c>
      <c r="AC105" s="16">
        <f>IFERROR(__xludf.DUMMYFUNCTION("""COMPUTED_VALUE"""),35.1)</f>
        <v>35.1</v>
      </c>
      <c r="AD105" s="16">
        <f>IFERROR(__xludf.DUMMYFUNCTION("""COMPUTED_VALUE"""),1.0)</f>
        <v>1</v>
      </c>
      <c r="AE105" s="16">
        <f>IFERROR(__xludf.DUMMYFUNCTION("""COMPUTED_VALUE"""),1.0)</f>
        <v>1</v>
      </c>
      <c r="AF105" s="16">
        <f>IFERROR(__xludf.DUMMYFUNCTION("""COMPUTED_VALUE"""),5.0)</f>
        <v>5</v>
      </c>
      <c r="AG105" s="16">
        <f>IFERROR(__xludf.DUMMYFUNCTION("""COMPUTED_VALUE"""),5.0)</f>
        <v>5</v>
      </c>
      <c r="AH105" s="16">
        <f>IFERROR(__xludf.DUMMYFUNCTION("""COMPUTED_VALUE"""),27.6)</f>
        <v>27.6</v>
      </c>
      <c r="AI105" s="16">
        <f>IFERROR(__xludf.DUMMYFUNCTION("""COMPUTED_VALUE"""),24.2)</f>
        <v>24.2</v>
      </c>
      <c r="AJ105" s="16">
        <f>IFERROR(__xludf.DUMMYFUNCTION("""COMPUTED_VALUE"""),0.0)</f>
        <v>0</v>
      </c>
      <c r="AK105" s="16">
        <f>IFERROR(__xludf.DUMMYFUNCTION("""COMPUTED_VALUE"""),-1.0)</f>
        <v>-1</v>
      </c>
      <c r="AL105" s="16">
        <f>IFERROR(__xludf.DUMMYFUNCTION("""COMPUTED_VALUE"""),0.0)</f>
        <v>0</v>
      </c>
      <c r="AM105" s="16">
        <f>IFERROR(__xludf.DUMMYFUNCTION("""COMPUTED_VALUE"""),-5.0)</f>
        <v>-5</v>
      </c>
      <c r="AN105" s="16">
        <f>IFERROR(__xludf.DUMMYFUNCTION("""COMPUTED_VALUE"""),2.8)</f>
        <v>2.8</v>
      </c>
      <c r="AO105" s="16">
        <f>IFERROR(__xludf.DUMMYFUNCTION("""COMPUTED_VALUE"""),2.0)</f>
        <v>2</v>
      </c>
      <c r="AP105" s="16">
        <f>IFERROR(__xludf.DUMMYFUNCTION("""COMPUTED_VALUE"""),1.0)</f>
        <v>1</v>
      </c>
      <c r="AQ105" s="16">
        <f>IFERROR(__xludf.DUMMYFUNCTION("""COMPUTED_VALUE"""),-1.0)</f>
        <v>-1</v>
      </c>
      <c r="AR105" s="16">
        <f>IFERROR(__xludf.DUMMYFUNCTION("""COMPUTED_VALUE"""),2.0)</f>
        <v>2</v>
      </c>
      <c r="AS105" s="16">
        <f>IFERROR(__xludf.DUMMYFUNCTION("""COMPUTED_VALUE"""),-2.0)</f>
        <v>-2</v>
      </c>
      <c r="AT105" s="16">
        <f>IFERROR(__xludf.DUMMYFUNCTION("""COMPUTED_VALUE"""),4.0)</f>
        <v>4</v>
      </c>
      <c r="AU105" s="16">
        <f>IFERROR(__xludf.DUMMYFUNCTION("""COMPUTED_VALUE"""),2.0)</f>
        <v>2</v>
      </c>
      <c r="AV105" s="16">
        <f>IFERROR(__xludf.DUMMYFUNCTION("""COMPUTED_VALUE"""),4.0)</f>
        <v>4</v>
      </c>
      <c r="AW105" s="16">
        <f>IFERROR(__xludf.DUMMYFUNCTION("""COMPUTED_VALUE"""),2.0)</f>
        <v>2</v>
      </c>
      <c r="AX105" s="16">
        <f>IFERROR(__xludf.DUMMYFUNCTION("""COMPUTED_VALUE"""),2.0)</f>
        <v>2</v>
      </c>
      <c r="AY105" s="16">
        <f>IFERROR(__xludf.DUMMYFUNCTION("""COMPUTED_VALUE"""),0.0)</f>
        <v>0</v>
      </c>
      <c r="AZ105" s="16">
        <f>IFERROR(__xludf.DUMMYFUNCTION("""COMPUTED_VALUE"""),6.0)</f>
        <v>6</v>
      </c>
      <c r="BA105" s="16">
        <f>IFERROR(__xludf.DUMMYFUNCTION("""COMPUTED_VALUE"""),0.0)</f>
        <v>0</v>
      </c>
      <c r="BB105" s="16">
        <f>IFERROR(__xludf.DUMMYFUNCTION("""COMPUTED_VALUE"""),5.0)</f>
        <v>5</v>
      </c>
      <c r="BC105" s="16">
        <f>IFERROR(__xludf.DUMMYFUNCTION("""COMPUTED_VALUE"""),5.0)</f>
        <v>5</v>
      </c>
      <c r="BD105" s="16">
        <f>IFERROR(__xludf.DUMMYFUNCTION("""COMPUTED_VALUE"""),1.0)</f>
        <v>1</v>
      </c>
      <c r="BE105" s="16">
        <f>IFERROR(__xludf.DUMMYFUNCTION("""COMPUTED_VALUE"""),1.0)</f>
        <v>1</v>
      </c>
      <c r="BF105" s="16">
        <f>IFERROR(__xludf.DUMMYFUNCTION("""COMPUTED_VALUE"""),1.0)</f>
        <v>1</v>
      </c>
      <c r="BG105" s="16">
        <f>IFERROR(__xludf.DUMMYFUNCTION("""COMPUTED_VALUE"""),1.0)</f>
        <v>1</v>
      </c>
      <c r="BH105" s="16">
        <f>IFERROR(__xludf.DUMMYFUNCTION("""COMPUTED_VALUE"""),0.0)</f>
        <v>0</v>
      </c>
      <c r="BI105" s="16">
        <f>IFERROR(__xludf.DUMMYFUNCTION("""COMPUTED_VALUE"""),-3.0)</f>
        <v>-3</v>
      </c>
      <c r="BJ105" s="16">
        <f>IFERROR(__xludf.DUMMYFUNCTION("""COMPUTED_VALUE"""),5.0)</f>
        <v>5</v>
      </c>
      <c r="BK105" s="16">
        <f>IFERROR(__xludf.DUMMYFUNCTION("""COMPUTED_VALUE"""),6.0)</f>
        <v>6</v>
      </c>
      <c r="BL105" s="16">
        <f>IFERROR(__xludf.DUMMYFUNCTION("""COMPUTED_VALUE"""),1.0)</f>
        <v>1</v>
      </c>
      <c r="BM105" s="16">
        <f>IFERROR(__xludf.DUMMYFUNCTION("""COMPUTED_VALUE"""),1.0)</f>
        <v>1</v>
      </c>
      <c r="BN105" s="16">
        <f>IFERROR(__xludf.DUMMYFUNCTION("""COMPUTED_VALUE"""),1.0)</f>
        <v>1</v>
      </c>
      <c r="BO105" s="16">
        <f>IFERROR(__xludf.DUMMYFUNCTION("""COMPUTED_VALUE"""),1.0)</f>
        <v>1</v>
      </c>
      <c r="BP105" s="16">
        <f>IFERROR(__xludf.DUMMYFUNCTION("""COMPUTED_VALUE"""),8.0)</f>
        <v>8</v>
      </c>
      <c r="BQ105" s="16">
        <f>IFERROR(__xludf.DUMMYFUNCTION("""COMPUTED_VALUE"""),1.0)</f>
        <v>1</v>
      </c>
      <c r="BR105" s="16">
        <f>IFERROR(__xludf.DUMMYFUNCTION("""COMPUTED_VALUE"""),9.0)</f>
        <v>9</v>
      </c>
      <c r="BS105" s="16" t="str">
        <f>IFERROR(__xludf.DUMMYFUNCTION("""COMPUTED_VALUE"""),"*2-7,11,12/- (15-13)")</f>
        <v>*2-7,11,12/- (15-13)</v>
      </c>
      <c r="BT105" s="16" t="str">
        <f>IFERROR(__xludf.DUMMYFUNCTION("""COMPUTED_VALUE"""),"A")</f>
        <v>A</v>
      </c>
      <c r="BU105" s="16">
        <f>IFERROR(__xludf.DUMMYFUNCTION("""COMPUTED_VALUE"""),14.0)</f>
        <v>14</v>
      </c>
      <c r="BV105" s="16">
        <f>IFERROR(__xludf.DUMMYFUNCTION("""COMPUTED_VALUE"""),2.0)</f>
        <v>2</v>
      </c>
      <c r="BW105" s="16">
        <f>IFERROR(__xludf.DUMMYFUNCTION("""COMPUTED_VALUE"""),1.0)</f>
        <v>1</v>
      </c>
      <c r="BX105" s="16">
        <f>IFERROR(__xludf.DUMMYFUNCTION("""COMPUTED_VALUE"""),4.0)</f>
        <v>4</v>
      </c>
      <c r="BY105" s="16">
        <f>IFERROR(__xludf.DUMMYFUNCTION("""COMPUTED_VALUE"""),3.0)</f>
        <v>3</v>
      </c>
      <c r="BZ105" s="16" t="str">
        <f>IFERROR(__xludf.DUMMYFUNCTION("""COMPUTED_VALUE"""),"D")</f>
        <v>D</v>
      </c>
      <c r="CA105" s="16" t="str">
        <f>IFERROR(__xludf.DUMMYFUNCTION("""COMPUTED_VALUE"""),"C")</f>
        <v>C</v>
      </c>
      <c r="CB105" s="16">
        <f>IFERROR(__xludf.DUMMYFUNCTION("""COMPUTED_VALUE"""),0.0)</f>
        <v>0</v>
      </c>
      <c r="CC105" s="16">
        <f>IFERROR(__xludf.DUMMYFUNCTION("""COMPUTED_VALUE"""),0.0)</f>
        <v>0</v>
      </c>
      <c r="CD105" s="16">
        <f>IFERROR(__xludf.DUMMYFUNCTION("""COMPUTED_VALUE"""),0.0)</f>
        <v>0</v>
      </c>
      <c r="CE105" s="16">
        <f>IFERROR(__xludf.DUMMYFUNCTION("""COMPUTED_VALUE"""),0.0)</f>
        <v>0</v>
      </c>
      <c r="CF105" s="16">
        <f>IFERROR(__xludf.DUMMYFUNCTION("""COMPUTED_VALUE"""),1.0)</f>
        <v>1</v>
      </c>
      <c r="CG105" s="16">
        <f>IFERROR(__xludf.DUMMYFUNCTION("""COMPUTED_VALUE"""),16.0)</f>
        <v>16</v>
      </c>
      <c r="CH105" s="16">
        <f>IFERROR(__xludf.DUMMYFUNCTION("""COMPUTED_VALUE"""),-1.0)</f>
        <v>-1</v>
      </c>
      <c r="CI105" s="179">
        <f>IFERROR(__xludf.DUMMYFUNCTION("""COMPUTED_VALUE"""),12.0)</f>
        <v>12</v>
      </c>
      <c r="CJ105" s="16"/>
      <c r="CK105" s="16"/>
      <c r="CL105" s="16"/>
      <c r="CM105" s="16"/>
      <c r="CN105" s="16"/>
      <c r="CO105" s="16">
        <f>IFERROR(__xludf.DUMMYFUNCTION("""COMPUTED_VALUE"""),202.0)</f>
        <v>202</v>
      </c>
      <c r="CP105" s="16">
        <f>IFERROR(__xludf.DUMMYFUNCTION("""COMPUTED_VALUE"""),402.0)</f>
        <v>402</v>
      </c>
      <c r="CQ105" s="16"/>
      <c r="CR105" s="16" t="str">
        <f>IFERROR(__xludf.DUMMYFUNCTION("""COMPUTED_VALUE"""),"lf-2(-1)e2 cf-4e2")</f>
        <v>lf-2(-1)e2 cf-4e2</v>
      </c>
      <c r="CS105" s="16"/>
      <c r="CT105" s="16"/>
      <c r="CU105" s="16"/>
      <c r="CV105" s="16"/>
      <c r="CW105" s="16"/>
      <c r="CX105" s="16">
        <f>IFERROR(__xludf.DUMMYFUNCTION("""COMPUTED_VALUE"""),2.0)</f>
        <v>2</v>
      </c>
      <c r="CY105" s="16">
        <f>IFERROR(__xludf.DUMMYFUNCTION("""COMPUTED_VALUE"""),4.0)</f>
        <v>4</v>
      </c>
      <c r="CZ105" s="16"/>
      <c r="DA105" s="16"/>
      <c r="DB105" s="16"/>
      <c r="DC105" s="16"/>
      <c r="DD105" s="16"/>
      <c r="DE105" s="16"/>
      <c r="DF105" s="16">
        <f>IFERROR(__xludf.DUMMYFUNCTION("""COMPUTED_VALUE"""),2.0)</f>
        <v>2</v>
      </c>
      <c r="DG105" s="16">
        <f>IFERROR(__xludf.DUMMYFUNCTION("""COMPUTED_VALUE"""),2.0)</f>
        <v>2</v>
      </c>
      <c r="DH105" s="16"/>
      <c r="DI105" s="16"/>
      <c r="DJ105" s="16"/>
      <c r="DK105" s="16"/>
      <c r="DL105" s="16"/>
      <c r="DM105" s="16"/>
      <c r="DN105" s="16">
        <f>IFERROR(__xludf.DUMMYFUNCTION("""COMPUTED_VALUE"""),3.0)</f>
        <v>3</v>
      </c>
      <c r="DO105" s="16">
        <f>IFERROR(__xludf.DUMMYFUNCTION("""COMPUTED_VALUE"""),-2.0)</f>
        <v>-2</v>
      </c>
      <c r="DP105" s="16"/>
      <c r="DQ105" s="16"/>
      <c r="DR105" s="16"/>
      <c r="DS105" s="16"/>
      <c r="DT105" s="16"/>
      <c r="DU105" s="16"/>
      <c r="DV105" s="16">
        <f>IFERROR(__xludf.DUMMYFUNCTION("""COMPUTED_VALUE"""),4.0)</f>
        <v>4</v>
      </c>
      <c r="DW105" s="16">
        <f>IFERROR(__xludf.DUMMYFUNCTION("""COMPUTED_VALUE"""),4.0)</f>
        <v>4</v>
      </c>
      <c r="DX105" s="16"/>
      <c r="DY105" s="16"/>
      <c r="DZ105" s="16"/>
      <c r="EA105" s="16"/>
      <c r="EB105" s="16"/>
      <c r="EC105" s="16"/>
      <c r="ED105" s="16">
        <f>IFERROR(__xludf.DUMMYFUNCTION("""COMPUTED_VALUE"""),7.0)</f>
        <v>7</v>
      </c>
      <c r="EE105" s="16">
        <f>IFERROR(__xludf.DUMMYFUNCTION("""COMPUTED_VALUE"""),2.0)</f>
        <v>2</v>
      </c>
      <c r="EF105" s="16"/>
      <c r="EG105" s="179"/>
      <c r="EH105" s="179"/>
      <c r="EI105" s="179"/>
      <c r="EJ105" s="179"/>
      <c r="EK105" s="179"/>
      <c r="EL105" s="179">
        <f>IFERROR(__xludf.DUMMYFUNCTION("""COMPUTED_VALUE"""),19.0)</f>
        <v>19</v>
      </c>
      <c r="EM105" s="179">
        <f>IFERROR(__xludf.DUMMYFUNCTION("""COMPUTED_VALUE"""),14.0)</f>
        <v>14</v>
      </c>
      <c r="EN105" s="179"/>
      <c r="EO105" s="16"/>
      <c r="EP105" s="16"/>
      <c r="EQ105" s="16">
        <f>IFERROR(__xludf.DUMMYFUNCTION("""COMPUTED_VALUE"""),4.0)</f>
        <v>4</v>
      </c>
      <c r="ER105" s="16">
        <f>IFERROR(__xludf.DUMMYFUNCTION("""COMPUTED_VALUE"""),3.0)</f>
        <v>3</v>
      </c>
      <c r="ES105" s="16"/>
      <c r="ET105" s="16"/>
      <c r="EU105" s="16"/>
      <c r="EV105" s="16"/>
      <c r="EW105" s="16"/>
      <c r="EX105" s="180"/>
      <c r="EY105" s="180"/>
      <c r="EZ105" s="180"/>
      <c r="FA105" s="180"/>
      <c r="FB105" s="180"/>
      <c r="FC105" s="180">
        <f>IFERROR(__xludf.DUMMYFUNCTION("""COMPUTED_VALUE"""),0.15)</f>
        <v>0.15</v>
      </c>
      <c r="FD105" s="180">
        <f>IFERROR(__xludf.DUMMYFUNCTION("""COMPUTED_VALUE"""),0.55)</f>
        <v>0.55</v>
      </c>
      <c r="FE105" s="180"/>
      <c r="FF105" s="180"/>
      <c r="FG105" s="180"/>
      <c r="FH105" s="180"/>
      <c r="FI105" s="180"/>
      <c r="FJ105" s="180"/>
      <c r="FK105" s="180">
        <f>IFERROR(__xludf.DUMMYFUNCTION("""COMPUTED_VALUE"""),0.037)</f>
        <v>0.037</v>
      </c>
      <c r="FL105" s="180">
        <f>IFERROR(__xludf.DUMMYFUNCTION("""COMPUTED_VALUE"""),0.023148148148148147)</f>
        <v>0.02314814815</v>
      </c>
      <c r="FM105" s="180"/>
      <c r="FN105" s="16"/>
      <c r="FO105" s="16"/>
      <c r="FP105" s="16"/>
      <c r="FQ105" s="16"/>
      <c r="FR105" s="16"/>
      <c r="FS105" s="16">
        <f>IFERROR(__xludf.DUMMYFUNCTION("""COMPUTED_VALUE"""),0.81855)</f>
        <v>0.81855</v>
      </c>
      <c r="FT105" s="16">
        <f>IFERROR(__xludf.DUMMYFUNCTION("""COMPUTED_VALUE"""),0.43958333333333327)</f>
        <v>0.4395833333</v>
      </c>
      <c r="FU105" s="16"/>
      <c r="FV105" s="16"/>
      <c r="FW105" s="16"/>
      <c r="FX105" s="16"/>
      <c r="FY105" s="16"/>
      <c r="FZ105" s="16"/>
      <c r="GA105" s="16">
        <f>IFERROR(__xludf.DUMMYFUNCTION("""COMPUTED_VALUE"""),1.0)</f>
        <v>1</v>
      </c>
      <c r="GB105" s="16">
        <f>IFERROR(__xludf.DUMMYFUNCTION("""COMPUTED_VALUE"""),-8.0)</f>
        <v>-8</v>
      </c>
      <c r="GC105" s="16"/>
      <c r="GD105" s="16" t="s">
        <v>272</v>
      </c>
    </row>
    <row r="106">
      <c r="A106" s="16">
        <f>IFERROR(__xludf.DUMMYFUNCTION("""COMPUTED_VALUE"""),13492.0)</f>
        <v>13492</v>
      </c>
      <c r="B106" s="16" t="str">
        <f>IFERROR(__xludf.DUMMYFUNCTION("""COMPUTED_VALUE"""),"Wyatt Langford")</f>
        <v>Wyatt Langford</v>
      </c>
      <c r="C106" s="16">
        <f>IFERROR(__xludf.DUMMYFUNCTION("""COMPUTED_VALUE"""),2.03)</f>
        <v>2.03</v>
      </c>
      <c r="D106" s="16" t="str">
        <f>IFERROR(__xludf.DUMMYFUNCTION("""COMPUTED_VALUE"""),"R")</f>
        <v>R</v>
      </c>
      <c r="E106" s="16"/>
      <c r="F106" s="16"/>
      <c r="G106" s="16">
        <f>IFERROR(__xludf.DUMMYFUNCTION("""COMPUTED_VALUE"""),499.0)</f>
        <v>499</v>
      </c>
      <c r="H106" s="16">
        <f>IFERROR(__xludf.DUMMYFUNCTION("""COMPUTED_VALUE"""),51.0)</f>
        <v>51</v>
      </c>
      <c r="I106" s="16" t="str">
        <f>IFERROR(__xludf.DUMMYFUNCTION("""COMPUTED_VALUE"""),"2p60")</f>
        <v>2p60</v>
      </c>
      <c r="J106" s="16">
        <f>IFERROR(__xludf.DUMMYFUNCTION("""COMPUTED_VALUE"""),26.0)</f>
        <v>26</v>
      </c>
      <c r="K106" s="16">
        <f>IFERROR(__xludf.DUMMYFUNCTION("""COMPUTED_VALUE"""),18.0)</f>
        <v>18</v>
      </c>
      <c r="L106" s="16">
        <f>IFERROR(__xludf.DUMMYFUNCTION("""COMPUTED_VALUE"""),0.0)</f>
        <v>0</v>
      </c>
      <c r="M106" s="16">
        <f>IFERROR(__xludf.DUMMYFUNCTION("""COMPUTED_VALUE"""),1.0)</f>
        <v>1</v>
      </c>
      <c r="N106" s="16">
        <f>IFERROR(__xludf.DUMMYFUNCTION("""COMPUTED_VALUE"""),0.0)</f>
        <v>0</v>
      </c>
      <c r="O106" s="16">
        <f>IFERROR(__xludf.DUMMYFUNCTION("""COMPUTED_VALUE"""),1.0)</f>
        <v>1</v>
      </c>
      <c r="P106" s="16">
        <f>IFERROR(__xludf.DUMMYFUNCTION("""COMPUTED_VALUE"""),20.0)</f>
        <v>20</v>
      </c>
      <c r="Q106" s="16">
        <f>IFERROR(__xludf.DUMMYFUNCTION("""COMPUTED_VALUE"""),8.0)</f>
        <v>8</v>
      </c>
      <c r="R106" s="16">
        <f>IFERROR(__xludf.DUMMYFUNCTION("""COMPUTED_VALUE"""),3.0)</f>
        <v>3</v>
      </c>
      <c r="S106" s="16">
        <f>IFERROR(__xludf.DUMMYFUNCTION("""COMPUTED_VALUE"""),0.0)</f>
        <v>0</v>
      </c>
      <c r="T106" s="16">
        <f>IFERROR(__xludf.DUMMYFUNCTION("""COMPUTED_VALUE"""),3.0)</f>
        <v>3</v>
      </c>
      <c r="U106" s="16">
        <f>IFERROR(__xludf.DUMMYFUNCTION("""COMPUTED_VALUE"""),0.0)</f>
        <v>0</v>
      </c>
      <c r="V106" s="16">
        <f>IFERROR(__xludf.DUMMYFUNCTION("""COMPUTED_VALUE"""),13.3)</f>
        <v>13.3</v>
      </c>
      <c r="W106" s="16">
        <f>IFERROR(__xludf.DUMMYFUNCTION("""COMPUTED_VALUE"""),23.7)</f>
        <v>23.7</v>
      </c>
      <c r="X106" s="16">
        <f>IFERROR(__xludf.DUMMYFUNCTION("""COMPUTED_VALUE"""),-1.0)</f>
        <v>-1</v>
      </c>
      <c r="Y106" s="16">
        <f>IFERROR(__xludf.DUMMYFUNCTION("""COMPUTED_VALUE"""),1.0)</f>
        <v>1</v>
      </c>
      <c r="Z106" s="16">
        <f>IFERROR(__xludf.DUMMYFUNCTION("""COMPUTED_VALUE"""),-2.0)</f>
        <v>-2</v>
      </c>
      <c r="AA106" s="16">
        <f>IFERROR(__xludf.DUMMYFUNCTION("""COMPUTED_VALUE"""),2.0)</f>
        <v>2</v>
      </c>
      <c r="AB106" s="16">
        <f>IFERROR(__xludf.DUMMYFUNCTION("""COMPUTED_VALUE"""),35.3)</f>
        <v>35.3</v>
      </c>
      <c r="AC106" s="16">
        <f>IFERROR(__xludf.DUMMYFUNCTION("""COMPUTED_VALUE"""),33.7)</f>
        <v>33.7</v>
      </c>
      <c r="AD106" s="16">
        <f>IFERROR(__xludf.DUMMYFUNCTION("""COMPUTED_VALUE"""),1.0)</f>
        <v>1</v>
      </c>
      <c r="AE106" s="16">
        <f>IFERROR(__xludf.DUMMYFUNCTION("""COMPUTED_VALUE"""),0.0)</f>
        <v>0</v>
      </c>
      <c r="AF106" s="16">
        <f>IFERROR(__xludf.DUMMYFUNCTION("""COMPUTED_VALUE"""),5.0)</f>
        <v>5</v>
      </c>
      <c r="AG106" s="16">
        <f>IFERROR(__xludf.DUMMYFUNCTION("""COMPUTED_VALUE"""),0.0)</f>
        <v>0</v>
      </c>
      <c r="AH106" s="16">
        <f>IFERROR(__xludf.DUMMYFUNCTION("""COMPUTED_VALUE"""),41.6)</f>
        <v>41.6</v>
      </c>
      <c r="AI106" s="16">
        <f>IFERROR(__xludf.DUMMYFUNCTION("""COMPUTED_VALUE"""),32.6)</f>
        <v>32.6</v>
      </c>
      <c r="AJ106" s="16">
        <f>IFERROR(__xludf.DUMMYFUNCTION("""COMPUTED_VALUE"""),1.0)</f>
        <v>1</v>
      </c>
      <c r="AK106" s="16">
        <f>IFERROR(__xludf.DUMMYFUNCTION("""COMPUTED_VALUE"""),0.0)</f>
        <v>0</v>
      </c>
      <c r="AL106" s="16">
        <f>IFERROR(__xludf.DUMMYFUNCTION("""COMPUTED_VALUE"""),5.0)</f>
        <v>5</v>
      </c>
      <c r="AM106" s="16">
        <f>IFERROR(__xludf.DUMMYFUNCTION("""COMPUTED_VALUE"""),0.0)</f>
        <v>0</v>
      </c>
      <c r="AN106" s="16">
        <f>IFERROR(__xludf.DUMMYFUNCTION("""COMPUTED_VALUE"""),5.8)</f>
        <v>5.8</v>
      </c>
      <c r="AO106" s="16">
        <f>IFERROR(__xludf.DUMMYFUNCTION("""COMPUTED_VALUE"""),0.8)</f>
        <v>0.8</v>
      </c>
      <c r="AP106" s="16">
        <f>IFERROR(__xludf.DUMMYFUNCTION("""COMPUTED_VALUE"""),3.0)</f>
        <v>3</v>
      </c>
      <c r="AQ106" s="16">
        <f>IFERROR(__xludf.DUMMYFUNCTION("""COMPUTED_VALUE"""),-2.0)</f>
        <v>-2</v>
      </c>
      <c r="AR106" s="16">
        <f>IFERROR(__xludf.DUMMYFUNCTION("""COMPUTED_VALUE"""),6.0)</f>
        <v>6</v>
      </c>
      <c r="AS106" s="16">
        <f>IFERROR(__xludf.DUMMYFUNCTION("""COMPUTED_VALUE"""),-4.0)</f>
        <v>-4</v>
      </c>
      <c r="AT106" s="16">
        <f>IFERROR(__xludf.DUMMYFUNCTION("""COMPUTED_VALUE"""),8.0)</f>
        <v>8</v>
      </c>
      <c r="AU106" s="16">
        <f>IFERROR(__xludf.DUMMYFUNCTION("""COMPUTED_VALUE"""),1.0)</f>
        <v>1</v>
      </c>
      <c r="AV106" s="16">
        <f>IFERROR(__xludf.DUMMYFUNCTION("""COMPUTED_VALUE"""),8.0)</f>
        <v>8</v>
      </c>
      <c r="AW106" s="16">
        <f>IFERROR(__xludf.DUMMYFUNCTION("""COMPUTED_VALUE"""),1.0)</f>
        <v>1</v>
      </c>
      <c r="AX106" s="16">
        <f>IFERROR(__xludf.DUMMYFUNCTION("""COMPUTED_VALUE"""),3.0)</f>
        <v>3</v>
      </c>
      <c r="AY106" s="16">
        <f>IFERROR(__xludf.DUMMYFUNCTION("""COMPUTED_VALUE"""),-1.0)</f>
        <v>-1</v>
      </c>
      <c r="AZ106" s="16">
        <f>IFERROR(__xludf.DUMMYFUNCTION("""COMPUTED_VALUE"""),9.0)</f>
        <v>9</v>
      </c>
      <c r="BA106" s="16">
        <f>IFERROR(__xludf.DUMMYFUNCTION("""COMPUTED_VALUE"""),-3.0)</f>
        <v>-3</v>
      </c>
      <c r="BB106" s="16">
        <f>IFERROR(__xludf.DUMMYFUNCTION("""COMPUTED_VALUE"""),5.0)</f>
        <v>5</v>
      </c>
      <c r="BC106" s="16">
        <f>IFERROR(__xludf.DUMMYFUNCTION("""COMPUTED_VALUE"""),5.0)</f>
        <v>5</v>
      </c>
      <c r="BD106" s="16">
        <f>IFERROR(__xludf.DUMMYFUNCTION("""COMPUTED_VALUE"""),1.0)</f>
        <v>1</v>
      </c>
      <c r="BE106" s="16">
        <f>IFERROR(__xludf.DUMMYFUNCTION("""COMPUTED_VALUE"""),1.0)</f>
        <v>1</v>
      </c>
      <c r="BF106" s="16">
        <f>IFERROR(__xludf.DUMMYFUNCTION("""COMPUTED_VALUE"""),1.0)</f>
        <v>1</v>
      </c>
      <c r="BG106" s="16">
        <f>IFERROR(__xludf.DUMMYFUNCTION("""COMPUTED_VALUE"""),1.0)</f>
        <v>1</v>
      </c>
      <c r="BH106" s="16">
        <f>IFERROR(__xludf.DUMMYFUNCTION("""COMPUTED_VALUE"""),0.0)</f>
        <v>0</v>
      </c>
      <c r="BI106" s="16">
        <f>IFERROR(__xludf.DUMMYFUNCTION("""COMPUTED_VALUE"""),-2.0)</f>
        <v>-2</v>
      </c>
      <c r="BJ106" s="16">
        <f>IFERROR(__xludf.DUMMYFUNCTION("""COMPUTED_VALUE"""),5.0)</f>
        <v>5</v>
      </c>
      <c r="BK106" s="16">
        <f>IFERROR(__xludf.DUMMYFUNCTION("""COMPUTED_VALUE"""),7.0)</f>
        <v>7</v>
      </c>
      <c r="BL106" s="16">
        <f>IFERROR(__xludf.DUMMYFUNCTION("""COMPUTED_VALUE"""),1.0)</f>
        <v>1</v>
      </c>
      <c r="BM106" s="16">
        <f>IFERROR(__xludf.DUMMYFUNCTION("""COMPUTED_VALUE"""),1.0)</f>
        <v>1</v>
      </c>
      <c r="BN106" s="16">
        <f>IFERROR(__xludf.DUMMYFUNCTION("""COMPUTED_VALUE"""),1.0)</f>
        <v>1</v>
      </c>
      <c r="BO106" s="16">
        <f>IFERROR(__xludf.DUMMYFUNCTION("""COMPUTED_VALUE"""),1.0)</f>
        <v>1</v>
      </c>
      <c r="BP106" s="16">
        <f>IFERROR(__xludf.DUMMYFUNCTION("""COMPUTED_VALUE"""),12.0)</f>
        <v>12</v>
      </c>
      <c r="BQ106" s="16">
        <f>IFERROR(__xludf.DUMMYFUNCTION("""COMPUTED_VALUE"""),1.0)</f>
        <v>1</v>
      </c>
      <c r="BR106" s="16">
        <f>IFERROR(__xludf.DUMMYFUNCTION("""COMPUTED_VALUE"""),13.0)</f>
        <v>13</v>
      </c>
      <c r="BS106" s="16" t="str">
        <f>IFERROR(__xludf.DUMMYFUNCTION("""COMPUTED_VALUE"""),"*4,6/- (19-12)")</f>
        <v>*4,6/- (19-12)</v>
      </c>
      <c r="BT106" s="16" t="str">
        <f>IFERROR(__xludf.DUMMYFUNCTION("""COMPUTED_VALUE"""),"A")</f>
        <v>A</v>
      </c>
      <c r="BU106" s="16">
        <f>IFERROR(__xludf.DUMMYFUNCTION("""COMPUTED_VALUE"""),17.0)</f>
        <v>17</v>
      </c>
      <c r="BV106" s="16">
        <f>IFERROR(__xludf.DUMMYFUNCTION("""COMPUTED_VALUE"""),2.0)</f>
        <v>2</v>
      </c>
      <c r="BW106" s="16">
        <f>IFERROR(__xludf.DUMMYFUNCTION("""COMPUTED_VALUE"""),3.0)</f>
        <v>3</v>
      </c>
      <c r="BX106" s="16">
        <f>IFERROR(__xludf.DUMMYFUNCTION("""COMPUTED_VALUE"""),4.0)</f>
        <v>4</v>
      </c>
      <c r="BY106" s="16">
        <f>IFERROR(__xludf.DUMMYFUNCTION("""COMPUTED_VALUE"""),9.0)</f>
        <v>9</v>
      </c>
      <c r="BZ106" s="16" t="str">
        <f>IFERROR(__xludf.DUMMYFUNCTION("""COMPUTED_VALUE"""),"D")</f>
        <v>D</v>
      </c>
      <c r="CA106" s="16" t="str">
        <f>IFERROR(__xludf.DUMMYFUNCTION("""COMPUTED_VALUE"""),"D")</f>
        <v>D</v>
      </c>
      <c r="CB106" s="16">
        <f>IFERROR(__xludf.DUMMYFUNCTION("""COMPUTED_VALUE"""),0.0)</f>
        <v>0</v>
      </c>
      <c r="CC106" s="16">
        <f>IFERROR(__xludf.DUMMYFUNCTION("""COMPUTED_VALUE"""),0.0)</f>
        <v>0</v>
      </c>
      <c r="CD106" s="16">
        <f>IFERROR(__xludf.DUMMYFUNCTION("""COMPUTED_VALUE"""),0.0)</f>
        <v>0</v>
      </c>
      <c r="CE106" s="16">
        <f>IFERROR(__xludf.DUMMYFUNCTION("""COMPUTED_VALUE"""),0.0)</f>
        <v>0</v>
      </c>
      <c r="CF106" s="16">
        <f>IFERROR(__xludf.DUMMYFUNCTION("""COMPUTED_VALUE"""),2.0)</f>
        <v>2</v>
      </c>
      <c r="CG106" s="16">
        <f>IFERROR(__xludf.DUMMYFUNCTION("""COMPUTED_VALUE"""),28.0)</f>
        <v>28</v>
      </c>
      <c r="CH106" s="16">
        <f>IFERROR(__xludf.DUMMYFUNCTION("""COMPUTED_VALUE"""),-2.0)</f>
        <v>-2</v>
      </c>
      <c r="CI106" s="179">
        <f>IFERROR(__xludf.DUMMYFUNCTION("""COMPUTED_VALUE"""),12.0)</f>
        <v>12</v>
      </c>
      <c r="CJ106" s="16"/>
      <c r="CK106" s="16"/>
      <c r="CL106" s="16"/>
      <c r="CM106" s="16"/>
      <c r="CN106" s="16"/>
      <c r="CO106" s="16">
        <f>IFERROR(__xludf.DUMMYFUNCTION("""COMPUTED_VALUE"""),203.0)</f>
        <v>203</v>
      </c>
      <c r="CP106" s="16">
        <f>IFERROR(__xludf.DUMMYFUNCTION("""COMPUTED_VALUE"""),303.0)</f>
        <v>303</v>
      </c>
      <c r="CQ106" s="16"/>
      <c r="CR106" s="16" t="str">
        <f>IFERROR(__xludf.DUMMYFUNCTION("""COMPUTED_VALUE"""),"lf-2(-3)e3 cf-3e3")</f>
        <v>lf-2(-3)e3 cf-3e3</v>
      </c>
      <c r="CS106" s="16"/>
      <c r="CT106" s="16"/>
      <c r="CU106" s="16"/>
      <c r="CV106" s="16"/>
      <c r="CW106" s="16"/>
      <c r="CX106" s="16">
        <f>IFERROR(__xludf.DUMMYFUNCTION("""COMPUTED_VALUE"""),2.0)</f>
        <v>2</v>
      </c>
      <c r="CY106" s="16">
        <f>IFERROR(__xludf.DUMMYFUNCTION("""COMPUTED_VALUE"""),3.0)</f>
        <v>3</v>
      </c>
      <c r="CZ106" s="16"/>
      <c r="DA106" s="16"/>
      <c r="DB106" s="16"/>
      <c r="DC106" s="16"/>
      <c r="DD106" s="16"/>
      <c r="DE106" s="16"/>
      <c r="DF106" s="16">
        <f>IFERROR(__xludf.DUMMYFUNCTION("""COMPUTED_VALUE"""),3.0)</f>
        <v>3</v>
      </c>
      <c r="DG106" s="16">
        <f>IFERROR(__xludf.DUMMYFUNCTION("""COMPUTED_VALUE"""),3.0)</f>
        <v>3</v>
      </c>
      <c r="DH106" s="16"/>
      <c r="DI106" s="16"/>
      <c r="DJ106" s="16"/>
      <c r="DK106" s="16"/>
      <c r="DL106" s="16"/>
      <c r="DM106" s="16"/>
      <c r="DN106" s="16">
        <f>IFERROR(__xludf.DUMMYFUNCTION("""COMPUTED_VALUE"""),3.0)</f>
        <v>3</v>
      </c>
      <c r="DO106" s="16">
        <f>IFERROR(__xludf.DUMMYFUNCTION("""COMPUTED_VALUE"""),0.0)</f>
        <v>0</v>
      </c>
      <c r="DP106" s="16"/>
      <c r="DQ106" s="16"/>
      <c r="DR106" s="16"/>
      <c r="DS106" s="16"/>
      <c r="DT106" s="16"/>
      <c r="DU106" s="16"/>
      <c r="DV106" s="16">
        <f>IFERROR(__xludf.DUMMYFUNCTION("""COMPUTED_VALUE"""),4.0)</f>
        <v>4</v>
      </c>
      <c r="DW106" s="16">
        <f>IFERROR(__xludf.DUMMYFUNCTION("""COMPUTED_VALUE"""),4.0)</f>
        <v>4</v>
      </c>
      <c r="DX106" s="16"/>
      <c r="DY106" s="16"/>
      <c r="DZ106" s="16"/>
      <c r="EA106" s="16"/>
      <c r="EB106" s="16"/>
      <c r="EC106" s="16"/>
      <c r="ED106" s="16">
        <f>IFERROR(__xludf.DUMMYFUNCTION("""COMPUTED_VALUE"""),7.0)</f>
        <v>7</v>
      </c>
      <c r="EE106" s="16">
        <f>IFERROR(__xludf.DUMMYFUNCTION("""COMPUTED_VALUE"""),4.0)</f>
        <v>4</v>
      </c>
      <c r="EF106" s="16"/>
      <c r="EG106" s="179"/>
      <c r="EH106" s="179"/>
      <c r="EI106" s="179"/>
      <c r="EJ106" s="179"/>
      <c r="EK106" s="179"/>
      <c r="EL106" s="179">
        <f>IFERROR(__xludf.DUMMYFUNCTION("""COMPUTED_VALUE"""),19.0)</f>
        <v>19</v>
      </c>
      <c r="EM106" s="179">
        <f>IFERROR(__xludf.DUMMYFUNCTION("""COMPUTED_VALUE"""),16.0)</f>
        <v>16</v>
      </c>
      <c r="EN106" s="179"/>
      <c r="EO106" s="16"/>
      <c r="EP106" s="16">
        <f>IFERROR(__xludf.DUMMYFUNCTION("""COMPUTED_VALUE"""),-1.0)</f>
        <v>-1</v>
      </c>
      <c r="EQ106" s="16">
        <f>IFERROR(__xludf.DUMMYFUNCTION("""COMPUTED_VALUE"""),2.0)</f>
        <v>2</v>
      </c>
      <c r="ER106" s="16">
        <f>IFERROR(__xludf.DUMMYFUNCTION("""COMPUTED_VALUE"""),1.0)</f>
        <v>1</v>
      </c>
      <c r="ES106" s="16"/>
      <c r="ET106" s="16"/>
      <c r="EU106" s="16"/>
      <c r="EV106" s="16"/>
      <c r="EW106" s="16"/>
      <c r="EX106" s="180"/>
      <c r="EY106" s="180"/>
      <c r="EZ106" s="180"/>
      <c r="FA106" s="180"/>
      <c r="FB106" s="180"/>
      <c r="FC106" s="180">
        <f>IFERROR(__xludf.DUMMYFUNCTION("""COMPUTED_VALUE"""),0.15)</f>
        <v>0.15</v>
      </c>
      <c r="FD106" s="180">
        <f>IFERROR(__xludf.DUMMYFUNCTION("""COMPUTED_VALUE"""),0.3)</f>
        <v>0.3</v>
      </c>
      <c r="FE106" s="180"/>
      <c r="FF106" s="180"/>
      <c r="FG106" s="180"/>
      <c r="FH106" s="180"/>
      <c r="FI106" s="180"/>
      <c r="FJ106" s="180"/>
      <c r="FK106" s="180">
        <f>IFERROR(__xludf.DUMMYFUNCTION("""COMPUTED_VALUE"""),0.056)</f>
        <v>0.056</v>
      </c>
      <c r="FL106" s="180">
        <f>IFERROR(__xludf.DUMMYFUNCTION("""COMPUTED_VALUE"""),0.037037037037037035)</f>
        <v>0.03703703704</v>
      </c>
      <c r="FM106" s="180"/>
      <c r="FN106" s="16"/>
      <c r="FO106" s="16"/>
      <c r="FP106" s="16"/>
      <c r="FQ106" s="16"/>
      <c r="FR106" s="16"/>
      <c r="FS106" s="16">
        <f>IFERROR(__xludf.DUMMYFUNCTION("""COMPUTED_VALUE"""),0.8023999999999999)</f>
        <v>0.8024</v>
      </c>
      <c r="FT106" s="16">
        <f>IFERROR(__xludf.DUMMYFUNCTION("""COMPUTED_VALUE"""),0.674074074074074)</f>
        <v>0.6740740741</v>
      </c>
      <c r="FU106" s="16"/>
      <c r="FV106" s="16"/>
      <c r="FW106" s="16"/>
      <c r="FX106" s="16"/>
      <c r="FY106" s="16"/>
      <c r="FZ106" s="16"/>
      <c r="GA106" s="16">
        <f>IFERROR(__xludf.DUMMYFUNCTION("""COMPUTED_VALUE"""),2.0)</f>
        <v>2</v>
      </c>
      <c r="GB106" s="16">
        <f>IFERROR(__xludf.DUMMYFUNCTION("""COMPUTED_VALUE"""),-3.0)</f>
        <v>-3</v>
      </c>
      <c r="GC106" s="16"/>
      <c r="GD106" s="16" t="s">
        <v>415</v>
      </c>
    </row>
    <row r="107">
      <c r="A107" s="16">
        <f>IFERROR(__xludf.DUMMYFUNCTION("""COMPUTED_VALUE"""),13385.0)</f>
        <v>13385</v>
      </c>
      <c r="B107" s="16" t="str">
        <f>IFERROR(__xludf.DUMMYFUNCTION("""COMPUTED_VALUE"""),"Spencer Steer")</f>
        <v>Spencer Steer</v>
      </c>
      <c r="C107" s="16">
        <f>IFERROR(__xludf.DUMMYFUNCTION("""COMPUTED_VALUE"""),0.66)</f>
        <v>0.66</v>
      </c>
      <c r="D107" s="16" t="str">
        <f>IFERROR(__xludf.DUMMYFUNCTION("""COMPUTED_VALUE"""),"R")</f>
        <v>R</v>
      </c>
      <c r="E107" s="16"/>
      <c r="F107" s="16"/>
      <c r="G107" s="16">
        <f>IFERROR(__xludf.DUMMYFUNCTION("""COMPUTED_VALUE"""),574.0)</f>
        <v>574</v>
      </c>
      <c r="H107" s="16">
        <f>IFERROR(__xludf.DUMMYFUNCTION("""COMPUTED_VALUE"""),72.0)</f>
        <v>72</v>
      </c>
      <c r="I107" s="16" t="str">
        <f>IFERROR(__xludf.DUMMYFUNCTION("""COMPUTED_VALUE"""),"1p70")</f>
        <v>1p70</v>
      </c>
      <c r="J107" s="16">
        <f>IFERROR(__xludf.DUMMYFUNCTION("""COMPUTED_VALUE"""),18.0)</f>
        <v>18</v>
      </c>
      <c r="K107" s="16">
        <f>IFERROR(__xludf.DUMMYFUNCTION("""COMPUTED_VALUE"""),21.0)</f>
        <v>21</v>
      </c>
      <c r="L107" s="16">
        <f>IFERROR(__xludf.DUMMYFUNCTION("""COMPUTED_VALUE"""),1.0)</f>
        <v>1</v>
      </c>
      <c r="M107" s="16">
        <f>IFERROR(__xludf.DUMMYFUNCTION("""COMPUTED_VALUE"""),0.0)</f>
        <v>0</v>
      </c>
      <c r="N107" s="16">
        <f>IFERROR(__xludf.DUMMYFUNCTION("""COMPUTED_VALUE"""),1.0)</f>
        <v>1</v>
      </c>
      <c r="O107" s="16">
        <f>IFERROR(__xludf.DUMMYFUNCTION("""COMPUTED_VALUE"""),0.0)</f>
        <v>0</v>
      </c>
      <c r="P107" s="16">
        <f>IFERROR(__xludf.DUMMYFUNCTION("""COMPUTED_VALUE"""),19.0)</f>
        <v>19</v>
      </c>
      <c r="Q107" s="16">
        <f>IFERROR(__xludf.DUMMYFUNCTION("""COMPUTED_VALUE"""),14.0)</f>
        <v>14</v>
      </c>
      <c r="R107" s="16">
        <f>IFERROR(__xludf.DUMMYFUNCTION("""COMPUTED_VALUE"""),3.0)</f>
        <v>3</v>
      </c>
      <c r="S107" s="16">
        <f>IFERROR(__xludf.DUMMYFUNCTION("""COMPUTED_VALUE"""),2.0)</f>
        <v>2</v>
      </c>
      <c r="T107" s="16">
        <f>IFERROR(__xludf.DUMMYFUNCTION("""COMPUTED_VALUE"""),3.0)</f>
        <v>3</v>
      </c>
      <c r="U107" s="16">
        <f>IFERROR(__xludf.DUMMYFUNCTION("""COMPUTED_VALUE"""),2.0)</f>
        <v>2</v>
      </c>
      <c r="V107" s="16">
        <f>IFERROR(__xludf.DUMMYFUNCTION("""COMPUTED_VALUE"""),11.6)</f>
        <v>11.6</v>
      </c>
      <c r="W107" s="16">
        <f>IFERROR(__xludf.DUMMYFUNCTION("""COMPUTED_VALUE"""),14.1)</f>
        <v>14.1</v>
      </c>
      <c r="X107" s="16">
        <f>IFERROR(__xludf.DUMMYFUNCTION("""COMPUTED_VALUE"""),-1.0)</f>
        <v>-1</v>
      </c>
      <c r="Y107" s="16">
        <f>IFERROR(__xludf.DUMMYFUNCTION("""COMPUTED_VALUE"""),-1.0)</f>
        <v>-1</v>
      </c>
      <c r="Z107" s="16">
        <f>IFERROR(__xludf.DUMMYFUNCTION("""COMPUTED_VALUE"""),-2.0)</f>
        <v>-2</v>
      </c>
      <c r="AA107" s="16">
        <f>IFERROR(__xludf.DUMMYFUNCTION("""COMPUTED_VALUE"""),-2.0)</f>
        <v>-2</v>
      </c>
      <c r="AB107" s="16">
        <f>IFERROR(__xludf.DUMMYFUNCTION("""COMPUTED_VALUE"""),33.6)</f>
        <v>33.6</v>
      </c>
      <c r="AC107" s="16">
        <f>IFERROR(__xludf.DUMMYFUNCTION("""COMPUTED_VALUE"""),31.1)</f>
        <v>31.1</v>
      </c>
      <c r="AD107" s="16">
        <f>IFERROR(__xludf.DUMMYFUNCTION("""COMPUTED_VALUE"""),0.0)</f>
        <v>0</v>
      </c>
      <c r="AE107" s="16">
        <f>IFERROR(__xludf.DUMMYFUNCTION("""COMPUTED_VALUE"""),0.0)</f>
        <v>0</v>
      </c>
      <c r="AF107" s="16">
        <f>IFERROR(__xludf.DUMMYFUNCTION("""COMPUTED_VALUE"""),0.0)</f>
        <v>0</v>
      </c>
      <c r="AG107" s="16">
        <f>IFERROR(__xludf.DUMMYFUNCTION("""COMPUTED_VALUE"""),0.0)</f>
        <v>0</v>
      </c>
      <c r="AH107" s="16">
        <f>IFERROR(__xludf.DUMMYFUNCTION("""COMPUTED_VALUE"""),22.7)</f>
        <v>22.7</v>
      </c>
      <c r="AI107" s="16">
        <f>IFERROR(__xludf.DUMMYFUNCTION("""COMPUTED_VALUE"""),30.2)</f>
        <v>30.2</v>
      </c>
      <c r="AJ107" s="16">
        <f>IFERROR(__xludf.DUMMYFUNCTION("""COMPUTED_VALUE"""),-1.0)</f>
        <v>-1</v>
      </c>
      <c r="AK107" s="16">
        <f>IFERROR(__xludf.DUMMYFUNCTION("""COMPUTED_VALUE"""),0.0)</f>
        <v>0</v>
      </c>
      <c r="AL107" s="16">
        <f>IFERROR(__xludf.DUMMYFUNCTION("""COMPUTED_VALUE"""),-5.0)</f>
        <v>-5</v>
      </c>
      <c r="AM107" s="16">
        <f>IFERROR(__xludf.DUMMYFUNCTION("""COMPUTED_VALUE"""),0.0)</f>
        <v>0</v>
      </c>
      <c r="AN107" s="16">
        <f>IFERROR(__xludf.DUMMYFUNCTION("""COMPUTED_VALUE"""),0.5)</f>
        <v>0.5</v>
      </c>
      <c r="AO107" s="16">
        <f>IFERROR(__xludf.DUMMYFUNCTION("""COMPUTED_VALUE"""),3.0)</f>
        <v>3</v>
      </c>
      <c r="AP107" s="16">
        <f>IFERROR(__xludf.DUMMYFUNCTION("""COMPUTED_VALUE"""),-2.0)</f>
        <v>-2</v>
      </c>
      <c r="AQ107" s="16">
        <f>IFERROR(__xludf.DUMMYFUNCTION("""COMPUTED_VALUE"""),1.0)</f>
        <v>1</v>
      </c>
      <c r="AR107" s="16">
        <f>IFERROR(__xludf.DUMMYFUNCTION("""COMPUTED_VALUE"""),-4.0)</f>
        <v>-4</v>
      </c>
      <c r="AS107" s="16">
        <f>IFERROR(__xludf.DUMMYFUNCTION("""COMPUTED_VALUE"""),2.0)</f>
        <v>2</v>
      </c>
      <c r="AT107" s="16">
        <f>IFERROR(__xludf.DUMMYFUNCTION("""COMPUTED_VALUE"""),0.0)</f>
        <v>0</v>
      </c>
      <c r="AU107" s="16">
        <f>IFERROR(__xludf.DUMMYFUNCTION("""COMPUTED_VALUE"""),2.0)</f>
        <v>2</v>
      </c>
      <c r="AV107" s="16">
        <f>IFERROR(__xludf.DUMMYFUNCTION("""COMPUTED_VALUE"""),0.0)</f>
        <v>0</v>
      </c>
      <c r="AW107" s="16">
        <f>IFERROR(__xludf.DUMMYFUNCTION("""COMPUTED_VALUE"""),2.0)</f>
        <v>2</v>
      </c>
      <c r="AX107" s="16">
        <f>IFERROR(__xludf.DUMMYFUNCTION("""COMPUTED_VALUE"""),-2.0)</f>
        <v>-2</v>
      </c>
      <c r="AY107" s="16">
        <f>IFERROR(__xludf.DUMMYFUNCTION("""COMPUTED_VALUE"""),0.0)</f>
        <v>0</v>
      </c>
      <c r="AZ107" s="16">
        <f>IFERROR(__xludf.DUMMYFUNCTION("""COMPUTED_VALUE"""),-6.0)</f>
        <v>-6</v>
      </c>
      <c r="BA107" s="16">
        <f>IFERROR(__xludf.DUMMYFUNCTION("""COMPUTED_VALUE"""),0.0)</f>
        <v>0</v>
      </c>
      <c r="BB107" s="16">
        <f>IFERROR(__xludf.DUMMYFUNCTION("""COMPUTED_VALUE"""),5.0)</f>
        <v>5</v>
      </c>
      <c r="BC107" s="16">
        <f>IFERROR(__xludf.DUMMYFUNCTION("""COMPUTED_VALUE"""),5.0)</f>
        <v>5</v>
      </c>
      <c r="BD107" s="16">
        <f>IFERROR(__xludf.DUMMYFUNCTION("""COMPUTED_VALUE"""),1.0)</f>
        <v>1</v>
      </c>
      <c r="BE107" s="16">
        <f>IFERROR(__xludf.DUMMYFUNCTION("""COMPUTED_VALUE"""),1.0)</f>
        <v>1</v>
      </c>
      <c r="BF107" s="16">
        <f>IFERROR(__xludf.DUMMYFUNCTION("""COMPUTED_VALUE"""),1.0)</f>
        <v>1</v>
      </c>
      <c r="BG107" s="16">
        <f>IFERROR(__xludf.DUMMYFUNCTION("""COMPUTED_VALUE"""),1.0)</f>
        <v>1</v>
      </c>
      <c r="BH107" s="16">
        <f>IFERROR(__xludf.DUMMYFUNCTION("""COMPUTED_VALUE"""),0.0)</f>
        <v>0</v>
      </c>
      <c r="BI107" s="16">
        <f>IFERROR(__xludf.DUMMYFUNCTION("""COMPUTED_VALUE"""),10.0)</f>
        <v>10</v>
      </c>
      <c r="BJ107" s="16">
        <f>IFERROR(__xludf.DUMMYFUNCTION("""COMPUTED_VALUE"""),3.0)</f>
        <v>3</v>
      </c>
      <c r="BK107" s="16">
        <f>IFERROR(__xludf.DUMMYFUNCTION("""COMPUTED_VALUE"""),3.0)</f>
        <v>3</v>
      </c>
      <c r="BL107" s="16">
        <f>IFERROR(__xludf.DUMMYFUNCTION("""COMPUTED_VALUE"""),2.0)</f>
        <v>2</v>
      </c>
      <c r="BM107" s="16">
        <f>IFERROR(__xludf.DUMMYFUNCTION("""COMPUTED_VALUE"""),2.0)</f>
        <v>2</v>
      </c>
      <c r="BN107" s="16">
        <f>IFERROR(__xludf.DUMMYFUNCTION("""COMPUTED_VALUE"""),2.0)</f>
        <v>2</v>
      </c>
      <c r="BO107" s="16">
        <f>IFERROR(__xludf.DUMMYFUNCTION("""COMPUTED_VALUE"""),2.0)</f>
        <v>2</v>
      </c>
      <c r="BP107" s="16">
        <f>IFERROR(__xludf.DUMMYFUNCTION("""COMPUTED_VALUE"""),1.0)</f>
        <v>1</v>
      </c>
      <c r="BQ107" s="16">
        <f>IFERROR(__xludf.DUMMYFUNCTION("""COMPUTED_VALUE"""),5.0)</f>
        <v>5</v>
      </c>
      <c r="BR107" s="16">
        <f>IFERROR(__xludf.DUMMYFUNCTION("""COMPUTED_VALUE"""),6.0)</f>
        <v>6</v>
      </c>
      <c r="BS107" s="16" t="str">
        <f>IFERROR(__xludf.DUMMYFUNCTION("""COMPUTED_VALUE"""),"*4,5/- (19-13)")</f>
        <v>*4,5/- (19-13)</v>
      </c>
      <c r="BT107" s="16" t="str">
        <f>IFERROR(__xludf.DUMMYFUNCTION("""COMPUTED_VALUE"""),"A")</f>
        <v>A</v>
      </c>
      <c r="BU107" s="16">
        <f>IFERROR(__xludf.DUMMYFUNCTION("""COMPUTED_VALUE"""),15.0)</f>
        <v>15</v>
      </c>
      <c r="BV107" s="16">
        <f>IFERROR(__xludf.DUMMYFUNCTION("""COMPUTED_VALUE"""),2.0)</f>
        <v>2</v>
      </c>
      <c r="BW107" s="16">
        <f>IFERROR(__xludf.DUMMYFUNCTION("""COMPUTED_VALUE"""),2.0)</f>
        <v>2</v>
      </c>
      <c r="BX107" s="16">
        <f>IFERROR(__xludf.DUMMYFUNCTION("""COMPUTED_VALUE"""),4.0)</f>
        <v>4</v>
      </c>
      <c r="BY107" s="16">
        <f>IFERROR(__xludf.DUMMYFUNCTION("""COMPUTED_VALUE"""),6.0)</f>
        <v>6</v>
      </c>
      <c r="BZ107" s="16" t="str">
        <f>IFERROR(__xludf.DUMMYFUNCTION("""COMPUTED_VALUE"""),"D")</f>
        <v>D</v>
      </c>
      <c r="CA107" s="16" t="str">
        <f>IFERROR(__xludf.DUMMYFUNCTION("""COMPUTED_VALUE"""),"B")</f>
        <v>B</v>
      </c>
      <c r="CB107" s="16">
        <f>IFERROR(__xludf.DUMMYFUNCTION("""COMPUTED_VALUE"""),0.0)</f>
        <v>0</v>
      </c>
      <c r="CC107" s="16">
        <f>IFERROR(__xludf.DUMMYFUNCTION("""COMPUTED_VALUE"""),1.0)</f>
        <v>1</v>
      </c>
      <c r="CD107" s="16">
        <f>IFERROR(__xludf.DUMMYFUNCTION("""COMPUTED_VALUE"""),0.0)</f>
        <v>0</v>
      </c>
      <c r="CE107" s="16">
        <f>IFERROR(__xludf.DUMMYFUNCTION("""COMPUTED_VALUE"""),2.0)</f>
        <v>2</v>
      </c>
      <c r="CF107" s="16">
        <f>IFERROR(__xludf.DUMMYFUNCTION("""COMPUTED_VALUE"""),1.0)</f>
        <v>1</v>
      </c>
      <c r="CG107" s="16">
        <f>IFERROR(__xludf.DUMMYFUNCTION("""COMPUTED_VALUE"""),-10.0)</f>
        <v>-10</v>
      </c>
      <c r="CH107" s="16">
        <f>IFERROR(__xludf.DUMMYFUNCTION("""COMPUTED_VALUE"""),5.0)</f>
        <v>5</v>
      </c>
      <c r="CI107" s="179">
        <f>IFERROR(__xludf.DUMMYFUNCTION("""COMPUTED_VALUE"""),11.0)</f>
        <v>11</v>
      </c>
      <c r="CJ107" s="16"/>
      <c r="CK107" s="16">
        <f>IFERROR(__xludf.DUMMYFUNCTION("""COMPUTED_VALUE"""),303.0)</f>
        <v>303</v>
      </c>
      <c r="CL107" s="16">
        <f>IFERROR(__xludf.DUMMYFUNCTION("""COMPUTED_VALUE"""),414.0)</f>
        <v>414</v>
      </c>
      <c r="CM107" s="16"/>
      <c r="CN107" s="16">
        <f>IFERROR(__xludf.DUMMYFUNCTION("""COMPUTED_VALUE"""),420.0)</f>
        <v>420</v>
      </c>
      <c r="CO107" s="16">
        <f>IFERROR(__xludf.DUMMYFUNCTION("""COMPUTED_VALUE"""),309.0)</f>
        <v>309</v>
      </c>
      <c r="CP107" s="16"/>
      <c r="CQ107" s="16">
        <f>IFERROR(__xludf.DUMMYFUNCTION("""COMPUTED_VALUE"""),409.0)</f>
        <v>409</v>
      </c>
      <c r="CR107" s="16" t="str">
        <f>IFERROR(__xludf.DUMMYFUNCTION("""COMPUTED_VALUE"""),"lf-3(-1)e9 1b-3e3 2b-4e14 rf-4e9 ss-4e20")</f>
        <v>lf-3(-1)e9 1b-3e3 2b-4e14 rf-4e9 ss-4e20</v>
      </c>
      <c r="CS107" s="16"/>
      <c r="CT107" s="16">
        <f>IFERROR(__xludf.DUMMYFUNCTION("""COMPUTED_VALUE"""),3.0)</f>
        <v>3</v>
      </c>
      <c r="CU107" s="16">
        <f>IFERROR(__xludf.DUMMYFUNCTION("""COMPUTED_VALUE"""),4.0)</f>
        <v>4</v>
      </c>
      <c r="CV107" s="16"/>
      <c r="CW107" s="16">
        <f>IFERROR(__xludf.DUMMYFUNCTION("""COMPUTED_VALUE"""),4.0)</f>
        <v>4</v>
      </c>
      <c r="CX107" s="16">
        <f>IFERROR(__xludf.DUMMYFUNCTION("""COMPUTED_VALUE"""),3.0)</f>
        <v>3</v>
      </c>
      <c r="CY107" s="16"/>
      <c r="CZ107" s="16">
        <f>IFERROR(__xludf.DUMMYFUNCTION("""COMPUTED_VALUE"""),4.0)</f>
        <v>4</v>
      </c>
      <c r="DA107" s="16"/>
      <c r="DB107" s="16">
        <f>IFERROR(__xludf.DUMMYFUNCTION("""COMPUTED_VALUE"""),3.0)</f>
        <v>3</v>
      </c>
      <c r="DC107" s="16">
        <f>IFERROR(__xludf.DUMMYFUNCTION("""COMPUTED_VALUE"""),14.0)</f>
        <v>14</v>
      </c>
      <c r="DD107" s="16"/>
      <c r="DE107" s="16">
        <f>IFERROR(__xludf.DUMMYFUNCTION("""COMPUTED_VALUE"""),20.0)</f>
        <v>20</v>
      </c>
      <c r="DF107" s="16">
        <f>IFERROR(__xludf.DUMMYFUNCTION("""COMPUTED_VALUE"""),9.0)</f>
        <v>9</v>
      </c>
      <c r="DG107" s="16"/>
      <c r="DH107" s="16">
        <f>IFERROR(__xludf.DUMMYFUNCTION("""COMPUTED_VALUE"""),9.0)</f>
        <v>9</v>
      </c>
      <c r="DI107" s="16"/>
      <c r="DJ107" s="16">
        <f>IFERROR(__xludf.DUMMYFUNCTION("""COMPUTED_VALUE"""),1.0)</f>
        <v>1</v>
      </c>
      <c r="DK107" s="16">
        <f>IFERROR(__xludf.DUMMYFUNCTION("""COMPUTED_VALUE"""),-2.0)</f>
        <v>-2</v>
      </c>
      <c r="DL107" s="16"/>
      <c r="DM107" s="16">
        <f>IFERROR(__xludf.DUMMYFUNCTION("""COMPUTED_VALUE"""),-2.0)</f>
        <v>-2</v>
      </c>
      <c r="DN107" s="16">
        <f>IFERROR(__xludf.DUMMYFUNCTION("""COMPUTED_VALUE"""),0.0)</f>
        <v>0</v>
      </c>
      <c r="DO107" s="16"/>
      <c r="DP107" s="16">
        <f>IFERROR(__xludf.DUMMYFUNCTION("""COMPUTED_VALUE"""),-1.0)</f>
        <v>-1</v>
      </c>
      <c r="DQ107" s="16"/>
      <c r="DR107" s="16">
        <f>IFERROR(__xludf.DUMMYFUNCTION("""COMPUTED_VALUE"""),4.0)</f>
        <v>4</v>
      </c>
      <c r="DS107" s="16">
        <f>IFERROR(__xludf.DUMMYFUNCTION("""COMPUTED_VALUE"""),2.0)</f>
        <v>2</v>
      </c>
      <c r="DT107" s="16"/>
      <c r="DU107" s="16">
        <f>IFERROR(__xludf.DUMMYFUNCTION("""COMPUTED_VALUE"""),2.0)</f>
        <v>2</v>
      </c>
      <c r="DV107" s="16">
        <f>IFERROR(__xludf.DUMMYFUNCTION("""COMPUTED_VALUE"""),0.0)</f>
        <v>0</v>
      </c>
      <c r="DW107" s="16"/>
      <c r="DX107" s="16">
        <f>IFERROR(__xludf.DUMMYFUNCTION("""COMPUTED_VALUE"""),0.0)</f>
        <v>0</v>
      </c>
      <c r="DY107" s="16"/>
      <c r="DZ107" s="16">
        <f>IFERROR(__xludf.DUMMYFUNCTION("""COMPUTED_VALUE"""),5.0)</f>
        <v>5</v>
      </c>
      <c r="EA107" s="16">
        <f>IFERROR(__xludf.DUMMYFUNCTION("""COMPUTED_VALUE"""),0.0)</f>
        <v>0</v>
      </c>
      <c r="EB107" s="16"/>
      <c r="EC107" s="16">
        <f>IFERROR(__xludf.DUMMYFUNCTION("""COMPUTED_VALUE"""),0.0)</f>
        <v>0</v>
      </c>
      <c r="ED107" s="16">
        <f>IFERROR(__xludf.DUMMYFUNCTION("""COMPUTED_VALUE"""),0.0)</f>
        <v>0</v>
      </c>
      <c r="EE107" s="16"/>
      <c r="EF107" s="16">
        <f>IFERROR(__xludf.DUMMYFUNCTION("""COMPUTED_VALUE"""),-1.0)</f>
        <v>-1</v>
      </c>
      <c r="EG107" s="179"/>
      <c r="EH107" s="179">
        <f>IFERROR(__xludf.DUMMYFUNCTION("""COMPUTED_VALUE"""),16.0)</f>
        <v>16</v>
      </c>
      <c r="EI107" s="179">
        <f>IFERROR(__xludf.DUMMYFUNCTION("""COMPUTED_VALUE"""),11.0)</f>
        <v>11</v>
      </c>
      <c r="EJ107" s="179"/>
      <c r="EK107" s="179">
        <f>IFERROR(__xludf.DUMMYFUNCTION("""COMPUTED_VALUE"""),11.0)</f>
        <v>11</v>
      </c>
      <c r="EL107" s="179">
        <f>IFERROR(__xludf.DUMMYFUNCTION("""COMPUTED_VALUE"""),11.0)</f>
        <v>11</v>
      </c>
      <c r="EM107" s="179"/>
      <c r="EN107" s="179">
        <f>IFERROR(__xludf.DUMMYFUNCTION("""COMPUTED_VALUE"""),10.0)</f>
        <v>10</v>
      </c>
      <c r="EO107" s="16"/>
      <c r="EP107" s="16">
        <f>IFERROR(__xludf.DUMMYFUNCTION("""COMPUTED_VALUE"""),-1.0)</f>
        <v>-1</v>
      </c>
      <c r="EQ107" s="16">
        <f>IFERROR(__xludf.DUMMYFUNCTION("""COMPUTED_VALUE"""),4.0)</f>
        <v>4</v>
      </c>
      <c r="ER107" s="16">
        <f>IFERROR(__xludf.DUMMYFUNCTION("""COMPUTED_VALUE"""),3.0)</f>
        <v>3</v>
      </c>
      <c r="ES107" s="16"/>
      <c r="ET107" s="16"/>
      <c r="EU107" s="16"/>
      <c r="EV107" s="16"/>
      <c r="EW107" s="16"/>
      <c r="EX107" s="180"/>
      <c r="EY107" s="180">
        <f>IFERROR(__xludf.DUMMYFUNCTION("""COMPUTED_VALUE"""),0.2)</f>
        <v>0.2</v>
      </c>
      <c r="EZ107" s="180">
        <f>IFERROR(__xludf.DUMMYFUNCTION("""COMPUTED_VALUE"""),0.3)</f>
        <v>0.3</v>
      </c>
      <c r="FA107" s="180"/>
      <c r="FB107" s="180">
        <f>IFERROR(__xludf.DUMMYFUNCTION("""COMPUTED_VALUE"""),0.3)</f>
        <v>0.3</v>
      </c>
      <c r="FC107" s="180">
        <f>IFERROR(__xludf.DUMMYFUNCTION("""COMPUTED_VALUE"""),0.3)</f>
        <v>0.3</v>
      </c>
      <c r="FD107" s="180"/>
      <c r="FE107" s="180">
        <f>IFERROR(__xludf.DUMMYFUNCTION("""COMPUTED_VALUE"""),0.55)</f>
        <v>0.55</v>
      </c>
      <c r="FF107" s="180"/>
      <c r="FG107" s="180">
        <f>IFERROR(__xludf.DUMMYFUNCTION("""COMPUTED_VALUE"""),0.05555555555555555)</f>
        <v>0.05555555556</v>
      </c>
      <c r="FH107" s="180">
        <f>IFERROR(__xludf.DUMMYFUNCTION("""COMPUTED_VALUE"""),0.08333333333333333)</f>
        <v>0.08333333333</v>
      </c>
      <c r="FI107" s="180"/>
      <c r="FJ107" s="180">
        <f>IFERROR(__xludf.DUMMYFUNCTION("""COMPUTED_VALUE"""),0.10185185185185185)</f>
        <v>0.1018518519</v>
      </c>
      <c r="FK107" s="180">
        <f>IFERROR(__xludf.DUMMYFUNCTION("""COMPUTED_VALUE"""),0.162)</f>
        <v>0.162</v>
      </c>
      <c r="FL107" s="180"/>
      <c r="FM107" s="180">
        <f>IFERROR(__xludf.DUMMYFUNCTION("""COMPUTED_VALUE"""),0.162)</f>
        <v>0.162</v>
      </c>
      <c r="FN107" s="16"/>
      <c r="FO107" s="16">
        <f>IFERROR(__xludf.DUMMYFUNCTION("""COMPUTED_VALUE"""),0.7555555555555555)</f>
        <v>0.7555555556</v>
      </c>
      <c r="FP107" s="16">
        <f>IFERROR(__xludf.DUMMYFUNCTION("""COMPUTED_VALUE"""),0.6416666666666666)</f>
        <v>0.6416666667</v>
      </c>
      <c r="FQ107" s="16"/>
      <c r="FR107" s="16">
        <f>IFERROR(__xludf.DUMMYFUNCTION("""COMPUTED_VALUE"""),0.6287037037037037)</f>
        <v>0.6287037037</v>
      </c>
      <c r="FS107" s="16">
        <f>IFERROR(__xludf.DUMMYFUNCTION("""COMPUTED_VALUE"""),0.5865999999999999)</f>
        <v>0.5866</v>
      </c>
      <c r="FT107" s="16"/>
      <c r="FU107" s="16">
        <f>IFERROR(__xludf.DUMMYFUNCTION("""COMPUTED_VALUE"""),0.37709999999999994)</f>
        <v>0.3771</v>
      </c>
      <c r="FV107" s="16"/>
      <c r="FW107" s="16">
        <f>IFERROR(__xludf.DUMMYFUNCTION("""COMPUTED_VALUE"""),-1.0)</f>
        <v>-1</v>
      </c>
      <c r="FX107" s="16">
        <f>IFERROR(__xludf.DUMMYFUNCTION("""COMPUTED_VALUE"""),-6.0)</f>
        <v>-6</v>
      </c>
      <c r="FY107" s="16"/>
      <c r="FZ107" s="16">
        <f>IFERROR(__xludf.DUMMYFUNCTION("""COMPUTED_VALUE"""),-6.0)</f>
        <v>-6</v>
      </c>
      <c r="GA107" s="16">
        <f>IFERROR(__xludf.DUMMYFUNCTION("""COMPUTED_VALUE"""),-5.0)</f>
        <v>-5</v>
      </c>
      <c r="GB107" s="16"/>
      <c r="GC107" s="16">
        <f>IFERROR(__xludf.DUMMYFUNCTION("""COMPUTED_VALUE"""),-7.0)</f>
        <v>-7</v>
      </c>
      <c r="GD107" s="16" t="s">
        <v>1452</v>
      </c>
    </row>
    <row r="108">
      <c r="A108" s="16">
        <f>IFERROR(__xludf.DUMMYFUNCTION("""COMPUTED_VALUE"""),13175.0)</f>
        <v>13175</v>
      </c>
      <c r="B108" s="16" t="str">
        <f>IFERROR(__xludf.DUMMYFUNCTION("""COMPUTED_VALUE"""),"Matt Vierling")</f>
        <v>Matt Vierling</v>
      </c>
      <c r="C108" s="16">
        <f>IFERROR(__xludf.DUMMYFUNCTION("""COMPUTED_VALUE"""),1.53)</f>
        <v>1.53</v>
      </c>
      <c r="D108" s="16" t="str">
        <f>IFERROR(__xludf.DUMMYFUNCTION("""COMPUTED_VALUE"""),"R")</f>
        <v>R</v>
      </c>
      <c r="E108" s="16"/>
      <c r="F108" s="16"/>
      <c r="G108" s="16">
        <f>IFERROR(__xludf.DUMMYFUNCTION("""COMPUTED_VALUE"""),518.0)</f>
        <v>518</v>
      </c>
      <c r="H108" s="16">
        <f>IFERROR(__xludf.DUMMYFUNCTION("""COMPUTED_VALUE"""),41.0)</f>
        <v>41</v>
      </c>
      <c r="I108" s="16" t="str">
        <f>IFERROR(__xludf.DUMMYFUNCTION("""COMPUTED_VALUE"""),"1p65")</f>
        <v>1p65</v>
      </c>
      <c r="J108" s="16">
        <f>IFERROR(__xludf.DUMMYFUNCTION("""COMPUTED_VALUE"""),26.0)</f>
        <v>26</v>
      </c>
      <c r="K108" s="16">
        <f>IFERROR(__xludf.DUMMYFUNCTION("""COMPUTED_VALUE"""),20.0)</f>
        <v>20</v>
      </c>
      <c r="L108" s="16">
        <f>IFERROR(__xludf.DUMMYFUNCTION("""COMPUTED_VALUE"""),0.0)</f>
        <v>0</v>
      </c>
      <c r="M108" s="16">
        <f>IFERROR(__xludf.DUMMYFUNCTION("""COMPUTED_VALUE"""),0.0)</f>
        <v>0</v>
      </c>
      <c r="N108" s="16">
        <f>IFERROR(__xludf.DUMMYFUNCTION("""COMPUTED_VALUE"""),0.0)</f>
        <v>0</v>
      </c>
      <c r="O108" s="16">
        <f>IFERROR(__xludf.DUMMYFUNCTION("""COMPUTED_VALUE"""),0.0)</f>
        <v>0</v>
      </c>
      <c r="P108" s="16">
        <f>IFERROR(__xludf.DUMMYFUNCTION("""COMPUTED_VALUE"""),7.0)</f>
        <v>7</v>
      </c>
      <c r="Q108" s="16">
        <f>IFERROR(__xludf.DUMMYFUNCTION("""COMPUTED_VALUE"""),7.0)</f>
        <v>7</v>
      </c>
      <c r="R108" s="16">
        <f>IFERROR(__xludf.DUMMYFUNCTION("""COMPUTED_VALUE"""),-1.0)</f>
        <v>-1</v>
      </c>
      <c r="S108" s="16">
        <f>IFERROR(__xludf.DUMMYFUNCTION("""COMPUTED_VALUE"""),-1.0)</f>
        <v>-1</v>
      </c>
      <c r="T108" s="16">
        <f>IFERROR(__xludf.DUMMYFUNCTION("""COMPUTED_VALUE"""),-1.0)</f>
        <v>-1</v>
      </c>
      <c r="U108" s="16">
        <f>IFERROR(__xludf.DUMMYFUNCTION("""COMPUTED_VALUE"""),-1.0)</f>
        <v>-1</v>
      </c>
      <c r="V108" s="16">
        <f>IFERROR(__xludf.DUMMYFUNCTION("""COMPUTED_VALUE"""),27.5)</f>
        <v>27.5</v>
      </c>
      <c r="W108" s="16">
        <f>IFERROR(__xludf.DUMMYFUNCTION("""COMPUTED_VALUE"""),22.2)</f>
        <v>22.2</v>
      </c>
      <c r="X108" s="16">
        <f>IFERROR(__xludf.DUMMYFUNCTION("""COMPUTED_VALUE"""),1.0)</f>
        <v>1</v>
      </c>
      <c r="Y108" s="16">
        <f>IFERROR(__xludf.DUMMYFUNCTION("""COMPUTED_VALUE"""),0.0)</f>
        <v>0</v>
      </c>
      <c r="Z108" s="16">
        <f>IFERROR(__xludf.DUMMYFUNCTION("""COMPUTED_VALUE"""),2.0)</f>
        <v>2</v>
      </c>
      <c r="AA108" s="16">
        <f>IFERROR(__xludf.DUMMYFUNCTION("""COMPUTED_VALUE"""),0.0)</f>
        <v>0</v>
      </c>
      <c r="AB108" s="16">
        <f>IFERROR(__xludf.DUMMYFUNCTION("""COMPUTED_VALUE"""),35.5)</f>
        <v>35.5</v>
      </c>
      <c r="AC108" s="16">
        <f>IFERROR(__xludf.DUMMYFUNCTION("""COMPUTED_VALUE"""),30.2)</f>
        <v>30.2</v>
      </c>
      <c r="AD108" s="16">
        <f>IFERROR(__xludf.DUMMYFUNCTION("""COMPUTED_VALUE"""),1.0)</f>
        <v>1</v>
      </c>
      <c r="AE108" s="16">
        <f>IFERROR(__xludf.DUMMYFUNCTION("""COMPUTED_VALUE"""),0.0)</f>
        <v>0</v>
      </c>
      <c r="AF108" s="16">
        <f>IFERROR(__xludf.DUMMYFUNCTION("""COMPUTED_VALUE"""),5.0)</f>
        <v>5</v>
      </c>
      <c r="AG108" s="16">
        <f>IFERROR(__xludf.DUMMYFUNCTION("""COMPUTED_VALUE"""),0.0)</f>
        <v>0</v>
      </c>
      <c r="AH108" s="16">
        <f>IFERROR(__xludf.DUMMYFUNCTION("""COMPUTED_VALUE"""),35.1)</f>
        <v>35.1</v>
      </c>
      <c r="AI108" s="16">
        <f>IFERROR(__xludf.DUMMYFUNCTION("""COMPUTED_VALUE"""),39.1)</f>
        <v>39.1</v>
      </c>
      <c r="AJ108" s="16">
        <f>IFERROR(__xludf.DUMMYFUNCTION("""COMPUTED_VALUE"""),0.0)</f>
        <v>0</v>
      </c>
      <c r="AK108" s="16">
        <f>IFERROR(__xludf.DUMMYFUNCTION("""COMPUTED_VALUE"""),1.0)</f>
        <v>1</v>
      </c>
      <c r="AL108" s="16">
        <f>IFERROR(__xludf.DUMMYFUNCTION("""COMPUTED_VALUE"""),0.0)</f>
        <v>0</v>
      </c>
      <c r="AM108" s="16">
        <f>IFERROR(__xludf.DUMMYFUNCTION("""COMPUTED_VALUE"""),5.0)</f>
        <v>5</v>
      </c>
      <c r="AN108" s="16">
        <f>IFERROR(__xludf.DUMMYFUNCTION("""COMPUTED_VALUE"""),1.0)</f>
        <v>1</v>
      </c>
      <c r="AO108" s="16">
        <f>IFERROR(__xludf.DUMMYFUNCTION("""COMPUTED_VALUE"""),2.3)</f>
        <v>2.3</v>
      </c>
      <c r="AP108" s="16">
        <f>IFERROR(__xludf.DUMMYFUNCTION("""COMPUTED_VALUE"""),-2.0)</f>
        <v>-2</v>
      </c>
      <c r="AQ108" s="16">
        <f>IFERROR(__xludf.DUMMYFUNCTION("""COMPUTED_VALUE"""),0.0)</f>
        <v>0</v>
      </c>
      <c r="AR108" s="16">
        <f>IFERROR(__xludf.DUMMYFUNCTION("""COMPUTED_VALUE"""),-4.0)</f>
        <v>-4</v>
      </c>
      <c r="AS108" s="16">
        <f>IFERROR(__xludf.DUMMYFUNCTION("""COMPUTED_VALUE"""),0.0)</f>
        <v>0</v>
      </c>
      <c r="AT108" s="16">
        <f>IFERROR(__xludf.DUMMYFUNCTION("""COMPUTED_VALUE"""),0.0)</f>
        <v>0</v>
      </c>
      <c r="AU108" s="16">
        <f>IFERROR(__xludf.DUMMYFUNCTION("""COMPUTED_VALUE"""),3.0)</f>
        <v>3</v>
      </c>
      <c r="AV108" s="16">
        <f>IFERROR(__xludf.DUMMYFUNCTION("""COMPUTED_VALUE"""),0.0)</f>
        <v>0</v>
      </c>
      <c r="AW108" s="16">
        <f>IFERROR(__xludf.DUMMYFUNCTION("""COMPUTED_VALUE"""),3.0)</f>
        <v>3</v>
      </c>
      <c r="AX108" s="16">
        <f>IFERROR(__xludf.DUMMYFUNCTION("""COMPUTED_VALUE"""),-2.0)</f>
        <v>-2</v>
      </c>
      <c r="AY108" s="16">
        <f>IFERROR(__xludf.DUMMYFUNCTION("""COMPUTED_VALUE"""),0.0)</f>
        <v>0</v>
      </c>
      <c r="AZ108" s="16">
        <f>IFERROR(__xludf.DUMMYFUNCTION("""COMPUTED_VALUE"""),-6.0)</f>
        <v>-6</v>
      </c>
      <c r="BA108" s="16">
        <f>IFERROR(__xludf.DUMMYFUNCTION("""COMPUTED_VALUE"""),0.0)</f>
        <v>0</v>
      </c>
      <c r="BB108" s="16">
        <f>IFERROR(__xludf.DUMMYFUNCTION("""COMPUTED_VALUE"""),5.0)</f>
        <v>5</v>
      </c>
      <c r="BC108" s="16">
        <f>IFERROR(__xludf.DUMMYFUNCTION("""COMPUTED_VALUE"""),5.0)</f>
        <v>5</v>
      </c>
      <c r="BD108" s="16">
        <f>IFERROR(__xludf.DUMMYFUNCTION("""COMPUTED_VALUE"""),1.0)</f>
        <v>1</v>
      </c>
      <c r="BE108" s="16">
        <f>IFERROR(__xludf.DUMMYFUNCTION("""COMPUTED_VALUE"""),1.0)</f>
        <v>1</v>
      </c>
      <c r="BF108" s="16">
        <f>IFERROR(__xludf.DUMMYFUNCTION("""COMPUTED_VALUE"""),1.0)</f>
        <v>1</v>
      </c>
      <c r="BG108" s="16">
        <f>IFERROR(__xludf.DUMMYFUNCTION("""COMPUTED_VALUE"""),1.0)</f>
        <v>1</v>
      </c>
      <c r="BH108" s="16">
        <f>IFERROR(__xludf.DUMMYFUNCTION("""COMPUTED_VALUE"""),-7.0)</f>
        <v>-7</v>
      </c>
      <c r="BI108" s="16">
        <f>IFERROR(__xludf.DUMMYFUNCTION("""COMPUTED_VALUE"""),-7.0)</f>
        <v>-7</v>
      </c>
      <c r="BJ108" s="16">
        <f>IFERROR(__xludf.DUMMYFUNCTION("""COMPUTED_VALUE"""),12.0)</f>
        <v>12</v>
      </c>
      <c r="BK108" s="16">
        <f>IFERROR(__xludf.DUMMYFUNCTION("""COMPUTED_VALUE"""),12.0)</f>
        <v>12</v>
      </c>
      <c r="BL108" s="16">
        <f>IFERROR(__xludf.DUMMYFUNCTION("""COMPUTED_VALUE"""),0.0)</f>
        <v>0</v>
      </c>
      <c r="BM108" s="16">
        <f>IFERROR(__xludf.DUMMYFUNCTION("""COMPUTED_VALUE"""),0.0)</f>
        <v>0</v>
      </c>
      <c r="BN108" s="16">
        <f>IFERROR(__xludf.DUMMYFUNCTION("""COMPUTED_VALUE"""),0.0)</f>
        <v>0</v>
      </c>
      <c r="BO108" s="16">
        <f>IFERROR(__xludf.DUMMYFUNCTION("""COMPUTED_VALUE"""),0.0)</f>
        <v>0</v>
      </c>
      <c r="BP108" s="16">
        <f>IFERROR(__xludf.DUMMYFUNCTION("""COMPUTED_VALUE"""),-2.0)</f>
        <v>-2</v>
      </c>
      <c r="BQ108" s="16">
        <f>IFERROR(__xludf.DUMMYFUNCTION("""COMPUTED_VALUE"""),1.0)</f>
        <v>1</v>
      </c>
      <c r="BR108" s="16">
        <f>IFERROR(__xludf.DUMMYFUNCTION("""COMPUTED_VALUE"""),-1.0)</f>
        <v>-1</v>
      </c>
      <c r="BS108" s="16" t="str">
        <f>IFERROR(__xludf.DUMMYFUNCTION("""COMPUTED_VALUE"""),"4/- (17-6)")</f>
        <v>4/- (17-6)</v>
      </c>
      <c r="BT108" s="16" t="str">
        <f>IFERROR(__xludf.DUMMYFUNCTION("""COMPUTED_VALUE"""),"C")</f>
        <v>C</v>
      </c>
      <c r="BU108" s="16">
        <f>IFERROR(__xludf.DUMMYFUNCTION("""COMPUTED_VALUE"""),15.0)</f>
        <v>15</v>
      </c>
      <c r="BV108" s="16">
        <f>IFERROR(__xludf.DUMMYFUNCTION("""COMPUTED_VALUE"""),0.0)</f>
        <v>0</v>
      </c>
      <c r="BW108" s="16">
        <f>IFERROR(__xludf.DUMMYFUNCTION("""COMPUTED_VALUE"""),2.0)</f>
        <v>2</v>
      </c>
      <c r="BX108" s="16">
        <f>IFERROR(__xludf.DUMMYFUNCTION("""COMPUTED_VALUE"""),0.0)</f>
        <v>0</v>
      </c>
      <c r="BY108" s="16">
        <f>IFERROR(__xludf.DUMMYFUNCTION("""COMPUTED_VALUE"""),6.0)</f>
        <v>6</v>
      </c>
      <c r="BZ108" s="16" t="str">
        <f>IFERROR(__xludf.DUMMYFUNCTION("""COMPUTED_VALUE"""),"D")</f>
        <v>D</v>
      </c>
      <c r="CA108" s="16" t="str">
        <f>IFERROR(__xludf.DUMMYFUNCTION("""COMPUTED_VALUE"""),"C")</f>
        <v>C</v>
      </c>
      <c r="CB108" s="16">
        <f>IFERROR(__xludf.DUMMYFUNCTION("""COMPUTED_VALUE"""),0.0)</f>
        <v>0</v>
      </c>
      <c r="CC108" s="16">
        <f>IFERROR(__xludf.DUMMYFUNCTION("""COMPUTED_VALUE"""),0.0)</f>
        <v>0</v>
      </c>
      <c r="CD108" s="16">
        <f>IFERROR(__xludf.DUMMYFUNCTION("""COMPUTED_VALUE"""),0.0)</f>
        <v>0</v>
      </c>
      <c r="CE108" s="16">
        <f>IFERROR(__xludf.DUMMYFUNCTION("""COMPUTED_VALUE"""),0.0)</f>
        <v>0</v>
      </c>
      <c r="CF108" s="16">
        <f>IFERROR(__xludf.DUMMYFUNCTION("""COMPUTED_VALUE"""),1.0)</f>
        <v>1</v>
      </c>
      <c r="CG108" s="16">
        <f>IFERROR(__xludf.DUMMYFUNCTION("""COMPUTED_VALUE"""),-3.0)</f>
        <v>-3</v>
      </c>
      <c r="CH108" s="16">
        <f>IFERROR(__xludf.DUMMYFUNCTION("""COMPUTED_VALUE"""),5.0)</f>
        <v>5</v>
      </c>
      <c r="CI108" s="179">
        <f>IFERROR(__xludf.DUMMYFUNCTION("""COMPUTED_VALUE"""),11.0)</f>
        <v>11</v>
      </c>
      <c r="CJ108" s="16"/>
      <c r="CK108" s="16">
        <f>IFERROR(__xludf.DUMMYFUNCTION("""COMPUTED_VALUE"""),425.0)</f>
        <v>425</v>
      </c>
      <c r="CL108" s="16"/>
      <c r="CM108" s="16">
        <f>IFERROR(__xludf.DUMMYFUNCTION("""COMPUTED_VALUE"""),408.0)</f>
        <v>408</v>
      </c>
      <c r="CN108" s="16"/>
      <c r="CO108" s="16">
        <f>IFERROR(__xludf.DUMMYFUNCTION("""COMPUTED_VALUE"""),304.0)</f>
        <v>304</v>
      </c>
      <c r="CP108" s="16">
        <f>IFERROR(__xludf.DUMMYFUNCTION("""COMPUTED_VALUE"""),304.0)</f>
        <v>304</v>
      </c>
      <c r="CQ108" s="16">
        <f>IFERROR(__xludf.DUMMYFUNCTION("""COMPUTED_VALUE"""),204.0)</f>
        <v>204</v>
      </c>
      <c r="CR108" s="16" t="str">
        <f>IFERROR(__xludf.DUMMYFUNCTION("""COMPUTED_VALUE"""),"cf-3(-1)e4 3b-4e8 rf-2e4 lf-3e4 1b-4e25")</f>
        <v>cf-3(-1)e4 3b-4e8 rf-2e4 lf-3e4 1b-4e25</v>
      </c>
      <c r="CS108" s="16"/>
      <c r="CT108" s="16">
        <f>IFERROR(__xludf.DUMMYFUNCTION("""COMPUTED_VALUE"""),4.0)</f>
        <v>4</v>
      </c>
      <c r="CU108" s="16"/>
      <c r="CV108" s="16">
        <f>IFERROR(__xludf.DUMMYFUNCTION("""COMPUTED_VALUE"""),4.0)</f>
        <v>4</v>
      </c>
      <c r="CW108" s="16"/>
      <c r="CX108" s="16">
        <f>IFERROR(__xludf.DUMMYFUNCTION("""COMPUTED_VALUE"""),3.0)</f>
        <v>3</v>
      </c>
      <c r="CY108" s="16">
        <f>IFERROR(__xludf.DUMMYFUNCTION("""COMPUTED_VALUE"""),3.0)</f>
        <v>3</v>
      </c>
      <c r="CZ108" s="16">
        <f>IFERROR(__xludf.DUMMYFUNCTION("""COMPUTED_VALUE"""),2.0)</f>
        <v>2</v>
      </c>
      <c r="DA108" s="16"/>
      <c r="DB108" s="16">
        <f>IFERROR(__xludf.DUMMYFUNCTION("""COMPUTED_VALUE"""),25.0)</f>
        <v>25</v>
      </c>
      <c r="DC108" s="16"/>
      <c r="DD108" s="16">
        <f>IFERROR(__xludf.DUMMYFUNCTION("""COMPUTED_VALUE"""),8.0)</f>
        <v>8</v>
      </c>
      <c r="DE108" s="16"/>
      <c r="DF108" s="16">
        <f>IFERROR(__xludf.DUMMYFUNCTION("""COMPUTED_VALUE"""),4.0)</f>
        <v>4</v>
      </c>
      <c r="DG108" s="16">
        <f>IFERROR(__xludf.DUMMYFUNCTION("""COMPUTED_VALUE"""),4.0)</f>
        <v>4</v>
      </c>
      <c r="DH108" s="16">
        <f>IFERROR(__xludf.DUMMYFUNCTION("""COMPUTED_VALUE"""),4.0)</f>
        <v>4</v>
      </c>
      <c r="DI108" s="16"/>
      <c r="DJ108" s="16">
        <f>IFERROR(__xludf.DUMMYFUNCTION("""COMPUTED_VALUE"""),0.0)</f>
        <v>0</v>
      </c>
      <c r="DK108" s="16"/>
      <c r="DL108" s="16">
        <f>IFERROR(__xludf.DUMMYFUNCTION("""COMPUTED_VALUE"""),0.0)</f>
        <v>0</v>
      </c>
      <c r="DM108" s="16"/>
      <c r="DN108" s="16">
        <f>IFERROR(__xludf.DUMMYFUNCTION("""COMPUTED_VALUE"""),0.0)</f>
        <v>0</v>
      </c>
      <c r="DO108" s="16">
        <f>IFERROR(__xludf.DUMMYFUNCTION("""COMPUTED_VALUE"""),0.0)</f>
        <v>0</v>
      </c>
      <c r="DP108" s="16">
        <f>IFERROR(__xludf.DUMMYFUNCTION("""COMPUTED_VALUE"""),3.0)</f>
        <v>3</v>
      </c>
      <c r="DQ108" s="16"/>
      <c r="DR108" s="16">
        <f>IFERROR(__xludf.DUMMYFUNCTION("""COMPUTED_VALUE"""),-2.0)</f>
        <v>-2</v>
      </c>
      <c r="DS108" s="16"/>
      <c r="DT108" s="16">
        <f>IFERROR(__xludf.DUMMYFUNCTION("""COMPUTED_VALUE"""),2.0)</f>
        <v>2</v>
      </c>
      <c r="DU108" s="16"/>
      <c r="DV108" s="16">
        <f>IFERROR(__xludf.DUMMYFUNCTION("""COMPUTED_VALUE"""),2.0)</f>
        <v>2</v>
      </c>
      <c r="DW108" s="16">
        <f>IFERROR(__xludf.DUMMYFUNCTION("""COMPUTED_VALUE"""),3.0)</f>
        <v>3</v>
      </c>
      <c r="DX108" s="16">
        <f>IFERROR(__xludf.DUMMYFUNCTION("""COMPUTED_VALUE"""),2.0)</f>
        <v>2</v>
      </c>
      <c r="DY108" s="16"/>
      <c r="DZ108" s="16">
        <f>IFERROR(__xludf.DUMMYFUNCTION("""COMPUTED_VALUE"""),-2.0)</f>
        <v>-2</v>
      </c>
      <c r="EA108" s="16"/>
      <c r="EB108" s="16">
        <f>IFERROR(__xludf.DUMMYFUNCTION("""COMPUTED_VALUE"""),2.0)</f>
        <v>2</v>
      </c>
      <c r="EC108" s="16"/>
      <c r="ED108" s="16">
        <f>IFERROR(__xludf.DUMMYFUNCTION("""COMPUTED_VALUE"""),2.0)</f>
        <v>2</v>
      </c>
      <c r="EE108" s="16">
        <f>IFERROR(__xludf.DUMMYFUNCTION("""COMPUTED_VALUE"""),3.0)</f>
        <v>3</v>
      </c>
      <c r="EF108" s="16">
        <f>IFERROR(__xludf.DUMMYFUNCTION("""COMPUTED_VALUE"""),5.0)</f>
        <v>5</v>
      </c>
      <c r="EG108" s="179"/>
      <c r="EH108" s="179">
        <f>IFERROR(__xludf.DUMMYFUNCTION("""COMPUTED_VALUE"""),9.0)</f>
        <v>9</v>
      </c>
      <c r="EI108" s="179"/>
      <c r="EJ108" s="179">
        <f>IFERROR(__xludf.DUMMYFUNCTION("""COMPUTED_VALUE"""),13.0)</f>
        <v>13</v>
      </c>
      <c r="EK108" s="179"/>
      <c r="EL108" s="179">
        <f>IFERROR(__xludf.DUMMYFUNCTION("""COMPUTED_VALUE"""),13.0)</f>
        <v>13</v>
      </c>
      <c r="EM108" s="179">
        <f>IFERROR(__xludf.DUMMYFUNCTION("""COMPUTED_VALUE"""),14.0)</f>
        <v>14</v>
      </c>
      <c r="EN108" s="179">
        <f>IFERROR(__xludf.DUMMYFUNCTION("""COMPUTED_VALUE"""),16.0)</f>
        <v>16</v>
      </c>
      <c r="EO108" s="16"/>
      <c r="EP108" s="16">
        <f>IFERROR(__xludf.DUMMYFUNCTION("""COMPUTED_VALUE"""),-1.0)</f>
        <v>-1</v>
      </c>
      <c r="EQ108" s="16">
        <f>IFERROR(__xludf.DUMMYFUNCTION("""COMPUTED_VALUE"""),4.0)</f>
        <v>4</v>
      </c>
      <c r="ER108" s="16">
        <f>IFERROR(__xludf.DUMMYFUNCTION("""COMPUTED_VALUE"""),2.0)</f>
        <v>2</v>
      </c>
      <c r="ES108" s="16"/>
      <c r="ET108" s="16"/>
      <c r="EU108" s="16"/>
      <c r="EV108" s="16"/>
      <c r="EW108" s="16"/>
      <c r="EX108" s="180"/>
      <c r="EY108" s="180">
        <f>IFERROR(__xludf.DUMMYFUNCTION("""COMPUTED_VALUE"""),0.3)</f>
        <v>0.3</v>
      </c>
      <c r="EZ108" s="180"/>
      <c r="FA108" s="180">
        <f>IFERROR(__xludf.DUMMYFUNCTION("""COMPUTED_VALUE"""),0.3)</f>
        <v>0.3</v>
      </c>
      <c r="FB108" s="180"/>
      <c r="FC108" s="180">
        <f>IFERROR(__xludf.DUMMYFUNCTION("""COMPUTED_VALUE"""),0.3)</f>
        <v>0.3</v>
      </c>
      <c r="FD108" s="180">
        <f>IFERROR(__xludf.DUMMYFUNCTION("""COMPUTED_VALUE"""),0.3)</f>
        <v>0.3</v>
      </c>
      <c r="FE108" s="180">
        <f>IFERROR(__xludf.DUMMYFUNCTION("""COMPUTED_VALUE"""),0.15)</f>
        <v>0.15</v>
      </c>
      <c r="FF108" s="180"/>
      <c r="FG108" s="180">
        <f>IFERROR(__xludf.DUMMYFUNCTION("""COMPUTED_VALUE"""),0.44907407407407407)</f>
        <v>0.4490740741</v>
      </c>
      <c r="FH108" s="180"/>
      <c r="FI108" s="180">
        <f>IFERROR(__xludf.DUMMYFUNCTION("""COMPUTED_VALUE"""),0.09722222222222222)</f>
        <v>0.09722222222</v>
      </c>
      <c r="FJ108" s="180"/>
      <c r="FK108" s="180">
        <f>IFERROR(__xludf.DUMMYFUNCTION("""COMPUTED_VALUE"""),0.069)</f>
        <v>0.069</v>
      </c>
      <c r="FL108" s="180">
        <f>IFERROR(__xludf.DUMMYFUNCTION("""COMPUTED_VALUE"""),0.046296296296296294)</f>
        <v>0.0462962963</v>
      </c>
      <c r="FM108" s="180">
        <f>IFERROR(__xludf.DUMMYFUNCTION("""COMPUTED_VALUE"""),0.069)</f>
        <v>0.069</v>
      </c>
      <c r="FN108" s="16"/>
      <c r="FO108" s="16">
        <f>IFERROR(__xludf.DUMMYFUNCTION("""COMPUTED_VALUE"""),0.38564814814814813)</f>
        <v>0.3856481481</v>
      </c>
      <c r="FP108" s="16"/>
      <c r="FQ108" s="16">
        <f>IFERROR(__xludf.DUMMYFUNCTION("""COMPUTED_VALUE"""),0.6319444444444444)</f>
        <v>0.6319444444</v>
      </c>
      <c r="FR108" s="16"/>
      <c r="FS108" s="16">
        <f>IFERROR(__xludf.DUMMYFUNCTION("""COMPUTED_VALUE"""),0.6517)</f>
        <v>0.6517</v>
      </c>
      <c r="FT108" s="16">
        <f>IFERROR(__xludf.DUMMYFUNCTION("""COMPUTED_VALUE"""),0.6675925925925925)</f>
        <v>0.6675925926</v>
      </c>
      <c r="FU108" s="16">
        <f>IFERROR(__xludf.DUMMYFUNCTION("""COMPUTED_VALUE"""),0.79135)</f>
        <v>0.79135</v>
      </c>
      <c r="FV108" s="16"/>
      <c r="FW108" s="16">
        <f>IFERROR(__xludf.DUMMYFUNCTION("""COMPUTED_VALUE"""),-8.0)</f>
        <v>-8</v>
      </c>
      <c r="FX108" s="16"/>
      <c r="FY108" s="16">
        <f>IFERROR(__xludf.DUMMYFUNCTION("""COMPUTED_VALUE"""),-6.0)</f>
        <v>-6</v>
      </c>
      <c r="FZ108" s="16"/>
      <c r="GA108" s="16">
        <f>IFERROR(__xludf.DUMMYFUNCTION("""COMPUTED_VALUE"""),-3.0)</f>
        <v>-3</v>
      </c>
      <c r="GB108" s="16">
        <f>IFERROR(__xludf.DUMMYFUNCTION("""COMPUTED_VALUE"""),-3.0)</f>
        <v>-3</v>
      </c>
      <c r="GC108" s="16">
        <f>IFERROR(__xludf.DUMMYFUNCTION("""COMPUTED_VALUE"""),0.0)</f>
        <v>0</v>
      </c>
      <c r="GD108" s="16" t="s">
        <v>1170</v>
      </c>
    </row>
    <row r="109">
      <c r="A109" s="16">
        <f>IFERROR(__xludf.DUMMYFUNCTION("""COMPUTED_VALUE"""),13208.0)</f>
        <v>13208</v>
      </c>
      <c r="B109" s="16" t="str">
        <f>IFERROR(__xludf.DUMMYFUNCTION("""COMPUTED_VALUE"""),"Miguel Rojas")</f>
        <v>Miguel Rojas</v>
      </c>
      <c r="C109" s="16">
        <f>IFERROR(__xludf.DUMMYFUNCTION("""COMPUTED_VALUE"""),2.93)</f>
        <v>2.93</v>
      </c>
      <c r="D109" s="16" t="str">
        <f>IFERROR(__xludf.DUMMYFUNCTION("""COMPUTED_VALUE"""),"R")</f>
        <v>R</v>
      </c>
      <c r="E109" s="16"/>
      <c r="F109" s="16"/>
      <c r="G109" s="16">
        <f>IFERROR(__xludf.DUMMYFUNCTION("""COMPUTED_VALUE"""),307.0)</f>
        <v>307</v>
      </c>
      <c r="H109" s="16">
        <f>IFERROR(__xludf.DUMMYFUNCTION("""COMPUTED_VALUE"""),23.0)</f>
        <v>23</v>
      </c>
      <c r="I109" s="16" t="str">
        <f>IFERROR(__xludf.DUMMYFUNCTION("""COMPUTED_VALUE"""),"1p50")</f>
        <v>1p50</v>
      </c>
      <c r="J109" s="16">
        <f>IFERROR(__xludf.DUMMYFUNCTION("""COMPUTED_VALUE"""),0.0)</f>
        <v>0</v>
      </c>
      <c r="K109" s="16">
        <f>IFERROR(__xludf.DUMMYFUNCTION("""COMPUTED_VALUE"""),0.0)</f>
        <v>0</v>
      </c>
      <c r="L109" s="16">
        <f>IFERROR(__xludf.DUMMYFUNCTION("""COMPUTED_VALUE"""),3.0)</f>
        <v>3</v>
      </c>
      <c r="M109" s="16">
        <f>IFERROR(__xludf.DUMMYFUNCTION("""COMPUTED_VALUE"""),3.0)</f>
        <v>3</v>
      </c>
      <c r="N109" s="16">
        <f>IFERROR(__xludf.DUMMYFUNCTION("""COMPUTED_VALUE"""),3.0)</f>
        <v>3</v>
      </c>
      <c r="O109" s="16">
        <f>IFERROR(__xludf.DUMMYFUNCTION("""COMPUTED_VALUE"""),3.0)</f>
        <v>3</v>
      </c>
      <c r="P109" s="16">
        <f>IFERROR(__xludf.DUMMYFUNCTION("""COMPUTED_VALUE"""),6.0)</f>
        <v>6</v>
      </c>
      <c r="Q109" s="16">
        <f>IFERROR(__xludf.DUMMYFUNCTION("""COMPUTED_VALUE"""),7.0)</f>
        <v>7</v>
      </c>
      <c r="R109" s="16">
        <f>IFERROR(__xludf.DUMMYFUNCTION("""COMPUTED_VALUE"""),-1.0)</f>
        <v>-1</v>
      </c>
      <c r="S109" s="16">
        <f>IFERROR(__xludf.DUMMYFUNCTION("""COMPUTED_VALUE"""),-1.0)</f>
        <v>-1</v>
      </c>
      <c r="T109" s="16">
        <f>IFERROR(__xludf.DUMMYFUNCTION("""COMPUTED_VALUE"""),-1.0)</f>
        <v>-1</v>
      </c>
      <c r="U109" s="16">
        <f>IFERROR(__xludf.DUMMYFUNCTION("""COMPUTED_VALUE"""),-1.0)</f>
        <v>-1</v>
      </c>
      <c r="V109" s="16">
        <f>IFERROR(__xludf.DUMMYFUNCTION("""COMPUTED_VALUE"""),24.3)</f>
        <v>24.3</v>
      </c>
      <c r="W109" s="16">
        <f>IFERROR(__xludf.DUMMYFUNCTION("""COMPUTED_VALUE"""),31.9)</f>
        <v>31.9</v>
      </c>
      <c r="X109" s="16">
        <f>IFERROR(__xludf.DUMMYFUNCTION("""COMPUTED_VALUE"""),1.0)</f>
        <v>1</v>
      </c>
      <c r="Y109" s="16">
        <f>IFERROR(__xludf.DUMMYFUNCTION("""COMPUTED_VALUE"""),2.0)</f>
        <v>2</v>
      </c>
      <c r="Z109" s="16">
        <f>IFERROR(__xludf.DUMMYFUNCTION("""COMPUTED_VALUE"""),2.0)</f>
        <v>2</v>
      </c>
      <c r="AA109" s="16">
        <f>IFERROR(__xludf.DUMMYFUNCTION("""COMPUTED_VALUE"""),4.0)</f>
        <v>4</v>
      </c>
      <c r="AB109" s="16">
        <f>IFERROR(__xludf.DUMMYFUNCTION("""COMPUTED_VALUE"""),32.3)</f>
        <v>32.3</v>
      </c>
      <c r="AC109" s="16">
        <f>IFERROR(__xludf.DUMMYFUNCTION("""COMPUTED_VALUE"""),40.8)</f>
        <v>40.8</v>
      </c>
      <c r="AD109" s="16">
        <f>IFERROR(__xludf.DUMMYFUNCTION("""COMPUTED_VALUE"""),0.0)</f>
        <v>0</v>
      </c>
      <c r="AE109" s="16">
        <f>IFERROR(__xludf.DUMMYFUNCTION("""COMPUTED_VALUE"""),2.0)</f>
        <v>2</v>
      </c>
      <c r="AF109" s="16">
        <f>IFERROR(__xludf.DUMMYFUNCTION("""COMPUTED_VALUE"""),0.0)</f>
        <v>0</v>
      </c>
      <c r="AG109" s="16">
        <f>IFERROR(__xludf.DUMMYFUNCTION("""COMPUTED_VALUE"""),10.0)</f>
        <v>10</v>
      </c>
      <c r="AH109" s="16">
        <f>IFERROR(__xludf.DUMMYFUNCTION("""COMPUTED_VALUE"""),31.6)</f>
        <v>31.6</v>
      </c>
      <c r="AI109" s="16">
        <f>IFERROR(__xludf.DUMMYFUNCTION("""COMPUTED_VALUE"""),44.2)</f>
        <v>44.2</v>
      </c>
      <c r="AJ109" s="16">
        <f>IFERROR(__xludf.DUMMYFUNCTION("""COMPUTED_VALUE"""),0.0)</f>
        <v>0</v>
      </c>
      <c r="AK109" s="16">
        <f>IFERROR(__xludf.DUMMYFUNCTION("""COMPUTED_VALUE"""),1.0)</f>
        <v>1</v>
      </c>
      <c r="AL109" s="16">
        <f>IFERROR(__xludf.DUMMYFUNCTION("""COMPUTED_VALUE"""),0.0)</f>
        <v>0</v>
      </c>
      <c r="AM109" s="16">
        <f>IFERROR(__xludf.DUMMYFUNCTION("""COMPUTED_VALUE"""),5.0)</f>
        <v>5</v>
      </c>
      <c r="AN109" s="16">
        <f>IFERROR(__xludf.DUMMYFUNCTION("""COMPUTED_VALUE"""),0.4)</f>
        <v>0.4</v>
      </c>
      <c r="AO109" s="16">
        <f>IFERROR(__xludf.DUMMYFUNCTION("""COMPUTED_VALUE"""),0.9)</f>
        <v>0.9</v>
      </c>
      <c r="AP109" s="16">
        <f>IFERROR(__xludf.DUMMYFUNCTION("""COMPUTED_VALUE"""),-2.0)</f>
        <v>-2</v>
      </c>
      <c r="AQ109" s="16">
        <f>IFERROR(__xludf.DUMMYFUNCTION("""COMPUTED_VALUE"""),-2.0)</f>
        <v>-2</v>
      </c>
      <c r="AR109" s="16">
        <f>IFERROR(__xludf.DUMMYFUNCTION("""COMPUTED_VALUE"""),-4.0)</f>
        <v>-4</v>
      </c>
      <c r="AS109" s="16">
        <f>IFERROR(__xludf.DUMMYFUNCTION("""COMPUTED_VALUE"""),-4.0)</f>
        <v>-4</v>
      </c>
      <c r="AT109" s="16">
        <f>IFERROR(__xludf.DUMMYFUNCTION("""COMPUTED_VALUE"""),0.0)</f>
        <v>0</v>
      </c>
      <c r="AU109" s="16">
        <f>IFERROR(__xludf.DUMMYFUNCTION("""COMPUTED_VALUE"""),0.0)</f>
        <v>0</v>
      </c>
      <c r="AV109" s="16">
        <f>IFERROR(__xludf.DUMMYFUNCTION("""COMPUTED_VALUE"""),0.0)</f>
        <v>0</v>
      </c>
      <c r="AW109" s="16">
        <f>IFERROR(__xludf.DUMMYFUNCTION("""COMPUTED_VALUE"""),0.0)</f>
        <v>0</v>
      </c>
      <c r="AX109" s="16">
        <f>IFERROR(__xludf.DUMMYFUNCTION("""COMPUTED_VALUE"""),-2.0)</f>
        <v>-2</v>
      </c>
      <c r="AY109" s="16">
        <f>IFERROR(__xludf.DUMMYFUNCTION("""COMPUTED_VALUE"""),-2.0)</f>
        <v>-2</v>
      </c>
      <c r="AZ109" s="16">
        <f>IFERROR(__xludf.DUMMYFUNCTION("""COMPUTED_VALUE"""),-6.0)</f>
        <v>-6</v>
      </c>
      <c r="BA109" s="16">
        <f>IFERROR(__xludf.DUMMYFUNCTION("""COMPUTED_VALUE"""),-6.0)</f>
        <v>-6</v>
      </c>
      <c r="BB109" s="16">
        <f>IFERROR(__xludf.DUMMYFUNCTION("""COMPUTED_VALUE"""),5.0)</f>
        <v>5</v>
      </c>
      <c r="BC109" s="16">
        <f>IFERROR(__xludf.DUMMYFUNCTION("""COMPUTED_VALUE"""),5.0)</f>
        <v>5</v>
      </c>
      <c r="BD109" s="16">
        <f>IFERROR(__xludf.DUMMYFUNCTION("""COMPUTED_VALUE"""),1.0)</f>
        <v>1</v>
      </c>
      <c r="BE109" s="16">
        <f>IFERROR(__xludf.DUMMYFUNCTION("""COMPUTED_VALUE"""),1.0)</f>
        <v>1</v>
      </c>
      <c r="BF109" s="16">
        <f>IFERROR(__xludf.DUMMYFUNCTION("""COMPUTED_VALUE"""),1.0)</f>
        <v>1</v>
      </c>
      <c r="BG109" s="16">
        <f>IFERROR(__xludf.DUMMYFUNCTION("""COMPUTED_VALUE"""),1.0)</f>
        <v>1</v>
      </c>
      <c r="BH109" s="16">
        <f>IFERROR(__xludf.DUMMYFUNCTION("""COMPUTED_VALUE"""),1.0)</f>
        <v>1</v>
      </c>
      <c r="BI109" s="16">
        <f>IFERROR(__xludf.DUMMYFUNCTION("""COMPUTED_VALUE"""),1.0)</f>
        <v>1</v>
      </c>
      <c r="BJ109" s="16">
        <f>IFERROR(__xludf.DUMMYFUNCTION("""COMPUTED_VALUE"""),19.0)</f>
        <v>19</v>
      </c>
      <c r="BK109" s="16">
        <f>IFERROR(__xludf.DUMMYFUNCTION("""COMPUTED_VALUE"""),19.0)</f>
        <v>19</v>
      </c>
      <c r="BL109" s="16">
        <f>IFERROR(__xludf.DUMMYFUNCTION("""COMPUTED_VALUE"""),-1.0)</f>
        <v>-1</v>
      </c>
      <c r="BM109" s="16">
        <f>IFERROR(__xludf.DUMMYFUNCTION("""COMPUTED_VALUE"""),-1.0)</f>
        <v>-1</v>
      </c>
      <c r="BN109" s="16">
        <f>IFERROR(__xludf.DUMMYFUNCTION("""COMPUTED_VALUE"""),-2.0)</f>
        <v>-2</v>
      </c>
      <c r="BO109" s="16">
        <f>IFERROR(__xludf.DUMMYFUNCTION("""COMPUTED_VALUE"""),-2.0)</f>
        <v>-2</v>
      </c>
      <c r="BP109" s="16">
        <f>IFERROR(__xludf.DUMMYFUNCTION("""COMPUTED_VALUE"""),-1.0)</f>
        <v>-1</v>
      </c>
      <c r="BQ109" s="16">
        <f>IFERROR(__xludf.DUMMYFUNCTION("""COMPUTED_VALUE"""),3.0)</f>
        <v>3</v>
      </c>
      <c r="BR109" s="16">
        <f>IFERROR(__xludf.DUMMYFUNCTION("""COMPUTED_VALUE"""),2.0)</f>
        <v>2</v>
      </c>
      <c r="BS109" s="16" t="str">
        <f>IFERROR(__xludf.DUMMYFUNCTION("""COMPUTED_VALUE"""),"*7/- (18-11)")</f>
        <v>*7/- (18-11)</v>
      </c>
      <c r="BT109" s="16" t="str">
        <f>IFERROR(__xludf.DUMMYFUNCTION("""COMPUTED_VALUE"""),"B")</f>
        <v>B</v>
      </c>
      <c r="BU109" s="16">
        <f>IFERROR(__xludf.DUMMYFUNCTION("""COMPUTED_VALUE"""),12.0)</f>
        <v>12</v>
      </c>
      <c r="BV109" s="16">
        <f>IFERROR(__xludf.DUMMYFUNCTION("""COMPUTED_VALUE"""),1.0)</f>
        <v>1</v>
      </c>
      <c r="BW109" s="16">
        <f>IFERROR(__xludf.DUMMYFUNCTION("""COMPUTED_VALUE"""),0.0)</f>
        <v>0</v>
      </c>
      <c r="BX109" s="16">
        <f>IFERROR(__xludf.DUMMYFUNCTION("""COMPUTED_VALUE"""),2.0)</f>
        <v>2</v>
      </c>
      <c r="BY109" s="16">
        <f>IFERROR(__xludf.DUMMYFUNCTION("""COMPUTED_VALUE"""),0.0)</f>
        <v>0</v>
      </c>
      <c r="BZ109" s="16" t="str">
        <f>IFERROR(__xludf.DUMMYFUNCTION("""COMPUTED_VALUE"""),"C")</f>
        <v>C</v>
      </c>
      <c r="CA109" s="16" t="str">
        <f>IFERROR(__xludf.DUMMYFUNCTION("""COMPUTED_VALUE"""),"B")</f>
        <v>B</v>
      </c>
      <c r="CB109" s="16">
        <f>IFERROR(__xludf.DUMMYFUNCTION("""COMPUTED_VALUE"""),0.0)</f>
        <v>0</v>
      </c>
      <c r="CC109" s="16">
        <f>IFERROR(__xludf.DUMMYFUNCTION("""COMPUTED_VALUE"""),1.0)</f>
        <v>1</v>
      </c>
      <c r="CD109" s="16">
        <f>IFERROR(__xludf.DUMMYFUNCTION("""COMPUTED_VALUE"""),0.0)</f>
        <v>0</v>
      </c>
      <c r="CE109" s="16">
        <f>IFERROR(__xludf.DUMMYFUNCTION("""COMPUTED_VALUE"""),2.0)</f>
        <v>2</v>
      </c>
      <c r="CF109" s="16">
        <f>IFERROR(__xludf.DUMMYFUNCTION("""COMPUTED_VALUE"""),1.0)</f>
        <v>1</v>
      </c>
      <c r="CG109" s="16">
        <f>IFERROR(__xludf.DUMMYFUNCTION("""COMPUTED_VALUE"""),-7.0)</f>
        <v>-7</v>
      </c>
      <c r="CH109" s="16">
        <f>IFERROR(__xludf.DUMMYFUNCTION("""COMPUTED_VALUE"""),10.0)</f>
        <v>10</v>
      </c>
      <c r="CI109" s="179">
        <f>IFERROR(__xludf.DUMMYFUNCTION("""COMPUTED_VALUE"""),11.0)</f>
        <v>11</v>
      </c>
      <c r="CJ109" s="16"/>
      <c r="CK109" s="16">
        <f>IFERROR(__xludf.DUMMYFUNCTION("""COMPUTED_VALUE"""),425.0)</f>
        <v>425</v>
      </c>
      <c r="CL109" s="16">
        <f>IFERROR(__xludf.DUMMYFUNCTION("""COMPUTED_VALUE"""),314.0)</f>
        <v>314</v>
      </c>
      <c r="CM109" s="16">
        <f>IFERROR(__xludf.DUMMYFUNCTION("""COMPUTED_VALUE"""),323.0)</f>
        <v>323</v>
      </c>
      <c r="CN109" s="16">
        <f>IFERROR(__xludf.DUMMYFUNCTION("""COMPUTED_VALUE"""),105.0)</f>
        <v>105</v>
      </c>
      <c r="CO109" s="16"/>
      <c r="CP109" s="16"/>
      <c r="CQ109" s="16"/>
      <c r="CR109" s="16" t="str">
        <f>IFERROR(__xludf.DUMMYFUNCTION("""COMPUTED_VALUE"""),"ss-1e5 2b-3e14 3b-3e23 1b-4e25")</f>
        <v>ss-1e5 2b-3e14 3b-3e23 1b-4e25</v>
      </c>
      <c r="CS109" s="16"/>
      <c r="CT109" s="16">
        <f>IFERROR(__xludf.DUMMYFUNCTION("""COMPUTED_VALUE"""),4.0)</f>
        <v>4</v>
      </c>
      <c r="CU109" s="16">
        <f>IFERROR(__xludf.DUMMYFUNCTION("""COMPUTED_VALUE"""),3.0)</f>
        <v>3</v>
      </c>
      <c r="CV109" s="16">
        <f>IFERROR(__xludf.DUMMYFUNCTION("""COMPUTED_VALUE"""),3.0)</f>
        <v>3</v>
      </c>
      <c r="CW109" s="16">
        <f>IFERROR(__xludf.DUMMYFUNCTION("""COMPUTED_VALUE"""),1.0)</f>
        <v>1</v>
      </c>
      <c r="CX109" s="16"/>
      <c r="CY109" s="16"/>
      <c r="CZ109" s="16"/>
      <c r="DA109" s="16"/>
      <c r="DB109" s="16">
        <f>IFERROR(__xludf.DUMMYFUNCTION("""COMPUTED_VALUE"""),25.0)</f>
        <v>25</v>
      </c>
      <c r="DC109" s="16">
        <f>IFERROR(__xludf.DUMMYFUNCTION("""COMPUTED_VALUE"""),14.0)</f>
        <v>14</v>
      </c>
      <c r="DD109" s="16">
        <f>IFERROR(__xludf.DUMMYFUNCTION("""COMPUTED_VALUE"""),23.0)</f>
        <v>23</v>
      </c>
      <c r="DE109" s="16">
        <f>IFERROR(__xludf.DUMMYFUNCTION("""COMPUTED_VALUE"""),5.0)</f>
        <v>5</v>
      </c>
      <c r="DF109" s="16"/>
      <c r="DG109" s="16"/>
      <c r="DH109" s="16"/>
      <c r="DI109" s="16"/>
      <c r="DJ109" s="16">
        <f>IFERROR(__xludf.DUMMYFUNCTION("""COMPUTED_VALUE"""),0.0)</f>
        <v>0</v>
      </c>
      <c r="DK109" s="16">
        <f>IFERROR(__xludf.DUMMYFUNCTION("""COMPUTED_VALUE"""),0.0)</f>
        <v>0</v>
      </c>
      <c r="DL109" s="16">
        <f>IFERROR(__xludf.DUMMYFUNCTION("""COMPUTED_VALUE"""),1.0)</f>
        <v>1</v>
      </c>
      <c r="DM109" s="16">
        <f>IFERROR(__xludf.DUMMYFUNCTION("""COMPUTED_VALUE"""),5.0)</f>
        <v>5</v>
      </c>
      <c r="DN109" s="16"/>
      <c r="DO109" s="16"/>
      <c r="DP109" s="16"/>
      <c r="DQ109" s="16"/>
      <c r="DR109" s="16">
        <f>IFERROR(__xludf.DUMMYFUNCTION("""COMPUTED_VALUE"""),-2.0)</f>
        <v>-2</v>
      </c>
      <c r="DS109" s="16">
        <f>IFERROR(__xludf.DUMMYFUNCTION("""COMPUTED_VALUE"""),2.0)</f>
        <v>2</v>
      </c>
      <c r="DT109" s="16">
        <f>IFERROR(__xludf.DUMMYFUNCTION("""COMPUTED_VALUE"""),-2.0)</f>
        <v>-2</v>
      </c>
      <c r="DU109" s="16">
        <f>IFERROR(__xludf.DUMMYFUNCTION("""COMPUTED_VALUE"""),3.0)</f>
        <v>3</v>
      </c>
      <c r="DV109" s="16"/>
      <c r="DW109" s="16"/>
      <c r="DX109" s="16"/>
      <c r="DY109" s="16"/>
      <c r="DZ109" s="16">
        <f>IFERROR(__xludf.DUMMYFUNCTION("""COMPUTED_VALUE"""),-2.0)</f>
        <v>-2</v>
      </c>
      <c r="EA109" s="16">
        <f>IFERROR(__xludf.DUMMYFUNCTION("""COMPUTED_VALUE"""),2.0)</f>
        <v>2</v>
      </c>
      <c r="EB109" s="16">
        <f>IFERROR(__xludf.DUMMYFUNCTION("""COMPUTED_VALUE"""),-1.0)</f>
        <v>-1</v>
      </c>
      <c r="EC109" s="16">
        <f>IFERROR(__xludf.DUMMYFUNCTION("""COMPUTED_VALUE"""),8.0)</f>
        <v>8</v>
      </c>
      <c r="ED109" s="16"/>
      <c r="EE109" s="16"/>
      <c r="EF109" s="16"/>
      <c r="EG109" s="179"/>
      <c r="EH109" s="179">
        <f>IFERROR(__xludf.DUMMYFUNCTION("""COMPUTED_VALUE"""),9.0)</f>
        <v>9</v>
      </c>
      <c r="EI109" s="179">
        <f>IFERROR(__xludf.DUMMYFUNCTION("""COMPUTED_VALUE"""),13.0)</f>
        <v>13</v>
      </c>
      <c r="EJ109" s="179">
        <f>IFERROR(__xludf.DUMMYFUNCTION("""COMPUTED_VALUE"""),10.0)</f>
        <v>10</v>
      </c>
      <c r="EK109" s="179">
        <f>IFERROR(__xludf.DUMMYFUNCTION("""COMPUTED_VALUE"""),19.0)</f>
        <v>19</v>
      </c>
      <c r="EL109" s="179"/>
      <c r="EM109" s="179"/>
      <c r="EN109" s="179"/>
      <c r="EO109" s="16"/>
      <c r="EP109" s="16"/>
      <c r="EQ109" s="16">
        <f>IFERROR(__xludf.DUMMYFUNCTION("""COMPUTED_VALUE"""),4.0)</f>
        <v>4</v>
      </c>
      <c r="ER109" s="16">
        <f>IFERROR(__xludf.DUMMYFUNCTION("""COMPUTED_VALUE"""),0.0)</f>
        <v>0</v>
      </c>
      <c r="ES109" s="16"/>
      <c r="ET109" s="16"/>
      <c r="EU109" s="16"/>
      <c r="EV109" s="16"/>
      <c r="EW109" s="16"/>
      <c r="EX109" s="180"/>
      <c r="EY109" s="180">
        <f>IFERROR(__xludf.DUMMYFUNCTION("""COMPUTED_VALUE"""),0.3)</f>
        <v>0.3</v>
      </c>
      <c r="EZ109" s="180">
        <f>IFERROR(__xludf.DUMMYFUNCTION("""COMPUTED_VALUE"""),0.2)</f>
        <v>0.2</v>
      </c>
      <c r="FA109" s="180">
        <f>IFERROR(__xludf.DUMMYFUNCTION("""COMPUTED_VALUE"""),0.2)</f>
        <v>0.2</v>
      </c>
      <c r="FB109" s="180">
        <f>IFERROR(__xludf.DUMMYFUNCTION("""COMPUTED_VALUE"""),0.0)</f>
        <v>0</v>
      </c>
      <c r="FC109" s="180"/>
      <c r="FD109" s="180"/>
      <c r="FE109" s="180"/>
      <c r="FF109" s="180"/>
      <c r="FG109" s="180">
        <f>IFERROR(__xludf.DUMMYFUNCTION("""COMPUTED_VALUE"""),0.44907407407407407)</f>
        <v>0.4490740741</v>
      </c>
      <c r="FH109" s="180">
        <f>IFERROR(__xludf.DUMMYFUNCTION("""COMPUTED_VALUE"""),0.08333333333333333)</f>
        <v>0.08333333333</v>
      </c>
      <c r="FI109" s="180">
        <f>IFERROR(__xludf.DUMMYFUNCTION("""COMPUTED_VALUE"""),0.2777777777777778)</f>
        <v>0.2777777778</v>
      </c>
      <c r="FJ109" s="180">
        <f>IFERROR(__xludf.DUMMYFUNCTION("""COMPUTED_VALUE"""),0.023148148148148147)</f>
        <v>0.02314814815</v>
      </c>
      <c r="FK109" s="180"/>
      <c r="FL109" s="180"/>
      <c r="FM109" s="180"/>
      <c r="FN109" s="16"/>
      <c r="FO109" s="16">
        <f>IFERROR(__xludf.DUMMYFUNCTION("""COMPUTED_VALUE"""),0.38564814814814813)</f>
        <v>0.3856481481</v>
      </c>
      <c r="FP109" s="16">
        <f>IFERROR(__xludf.DUMMYFUNCTION("""COMPUTED_VALUE"""),0.7333333333333334)</f>
        <v>0.7333333333</v>
      </c>
      <c r="FQ109" s="16">
        <f>IFERROR(__xludf.DUMMYFUNCTION("""COMPUTED_VALUE"""),0.5777777777777778)</f>
        <v>0.5777777778</v>
      </c>
      <c r="FR109" s="16">
        <f>IFERROR(__xludf.DUMMYFUNCTION("""COMPUTED_VALUE"""),0.9768518518518519)</f>
        <v>0.9768518519</v>
      </c>
      <c r="FS109" s="16"/>
      <c r="FT109" s="16"/>
      <c r="FU109" s="16"/>
      <c r="FV109" s="16"/>
      <c r="FW109" s="16">
        <f>IFERROR(__xludf.DUMMYFUNCTION("""COMPUTED_VALUE"""),-8.0)</f>
        <v>-8</v>
      </c>
      <c r="FX109" s="16">
        <f>IFERROR(__xludf.DUMMYFUNCTION("""COMPUTED_VALUE"""),-4.0)</f>
        <v>-4</v>
      </c>
      <c r="FY109" s="16">
        <f>IFERROR(__xludf.DUMMYFUNCTION("""COMPUTED_VALUE"""),-6.0)</f>
        <v>-6</v>
      </c>
      <c r="FZ109" s="16">
        <f>IFERROR(__xludf.DUMMYFUNCTION("""COMPUTED_VALUE"""),8.0)</f>
        <v>8</v>
      </c>
      <c r="GA109" s="16"/>
      <c r="GB109" s="16"/>
      <c r="GC109" s="16"/>
      <c r="GD109" s="16" t="s">
        <v>387</v>
      </c>
    </row>
    <row r="110">
      <c r="A110" s="16">
        <f>IFERROR(__xludf.DUMMYFUNCTION("""COMPUTED_VALUE"""),12618.0)</f>
        <v>12618</v>
      </c>
      <c r="B110" s="16" t="str">
        <f>IFERROR(__xludf.DUMMYFUNCTION("""COMPUTED_VALUE"""),"Brice Turang")</f>
        <v>Brice Turang</v>
      </c>
      <c r="C110" s="16">
        <f>IFERROR(__xludf.DUMMYFUNCTION("""COMPUTED_VALUE"""),2.2)</f>
        <v>2.2</v>
      </c>
      <c r="D110" s="16" t="str">
        <f>IFERROR(__xludf.DUMMYFUNCTION("""COMPUTED_VALUE"""),"L")</f>
        <v>L</v>
      </c>
      <c r="E110" s="16"/>
      <c r="F110" s="16"/>
      <c r="G110" s="16">
        <f>IFERROR(__xludf.DUMMYFUNCTION("""COMPUTED_VALUE"""),559.0)</f>
        <v>559</v>
      </c>
      <c r="H110" s="16">
        <f>IFERROR(__xludf.DUMMYFUNCTION("""COMPUTED_VALUE"""),50.0)</f>
        <v>50</v>
      </c>
      <c r="I110" s="16" t="str">
        <f>IFERROR(__xludf.DUMMYFUNCTION("""COMPUTED_VALUE"""),"1p70")</f>
        <v>1p70</v>
      </c>
      <c r="J110" s="16">
        <f>IFERROR(__xludf.DUMMYFUNCTION("""COMPUTED_VALUE"""),18.0)</f>
        <v>18</v>
      </c>
      <c r="K110" s="16">
        <f>IFERROR(__xludf.DUMMYFUNCTION("""COMPUTED_VALUE"""),11.0)</f>
        <v>11</v>
      </c>
      <c r="L110" s="16">
        <f>IFERROR(__xludf.DUMMYFUNCTION("""COMPUTED_VALUE"""),1.0)</f>
        <v>1</v>
      </c>
      <c r="M110" s="16">
        <f>IFERROR(__xludf.DUMMYFUNCTION("""COMPUTED_VALUE"""),1.0)</f>
        <v>1</v>
      </c>
      <c r="N110" s="16">
        <f>IFERROR(__xludf.DUMMYFUNCTION("""COMPUTED_VALUE"""),1.0)</f>
        <v>1</v>
      </c>
      <c r="O110" s="16">
        <f>IFERROR(__xludf.DUMMYFUNCTION("""COMPUTED_VALUE"""),1.0)</f>
        <v>1</v>
      </c>
      <c r="P110" s="16">
        <f>IFERROR(__xludf.DUMMYFUNCTION("""COMPUTED_VALUE"""),6.0)</f>
        <v>6</v>
      </c>
      <c r="Q110" s="16">
        <f>IFERROR(__xludf.DUMMYFUNCTION("""COMPUTED_VALUE"""),8.0)</f>
        <v>8</v>
      </c>
      <c r="R110" s="16">
        <f>IFERROR(__xludf.DUMMYFUNCTION("""COMPUTED_VALUE"""),-1.0)</f>
        <v>-1</v>
      </c>
      <c r="S110" s="16">
        <f>IFERROR(__xludf.DUMMYFUNCTION("""COMPUTED_VALUE"""),0.0)</f>
        <v>0</v>
      </c>
      <c r="T110" s="16">
        <f>IFERROR(__xludf.DUMMYFUNCTION("""COMPUTED_VALUE"""),-1.0)</f>
        <v>-1</v>
      </c>
      <c r="U110" s="16">
        <f>IFERROR(__xludf.DUMMYFUNCTION("""COMPUTED_VALUE"""),0.0)</f>
        <v>0</v>
      </c>
      <c r="V110" s="16">
        <f>IFERROR(__xludf.DUMMYFUNCTION("""COMPUTED_VALUE"""),21.4)</f>
        <v>21.4</v>
      </c>
      <c r="W110" s="16">
        <f>IFERROR(__xludf.DUMMYFUNCTION("""COMPUTED_VALUE"""),24.7)</f>
        <v>24.7</v>
      </c>
      <c r="X110" s="16">
        <f>IFERROR(__xludf.DUMMYFUNCTION("""COMPUTED_VALUE"""),0.0)</f>
        <v>0</v>
      </c>
      <c r="Y110" s="16">
        <f>IFERROR(__xludf.DUMMYFUNCTION("""COMPUTED_VALUE"""),1.0)</f>
        <v>1</v>
      </c>
      <c r="Z110" s="16">
        <f>IFERROR(__xludf.DUMMYFUNCTION("""COMPUTED_VALUE"""),0.0)</f>
        <v>0</v>
      </c>
      <c r="AA110" s="16">
        <f>IFERROR(__xludf.DUMMYFUNCTION("""COMPUTED_VALUE"""),2.0)</f>
        <v>2</v>
      </c>
      <c r="AB110" s="16">
        <f>IFERROR(__xludf.DUMMYFUNCTION("""COMPUTED_VALUE"""),28.3)</f>
        <v>28.3</v>
      </c>
      <c r="AC110" s="16">
        <f>IFERROR(__xludf.DUMMYFUNCTION("""COMPUTED_VALUE"""),33.7)</f>
        <v>33.7</v>
      </c>
      <c r="AD110" s="16">
        <f>IFERROR(__xludf.DUMMYFUNCTION("""COMPUTED_VALUE"""),0.0)</f>
        <v>0</v>
      </c>
      <c r="AE110" s="16">
        <f>IFERROR(__xludf.DUMMYFUNCTION("""COMPUTED_VALUE"""),0.0)</f>
        <v>0</v>
      </c>
      <c r="AF110" s="16">
        <f>IFERROR(__xludf.DUMMYFUNCTION("""COMPUTED_VALUE"""),0.0)</f>
        <v>0</v>
      </c>
      <c r="AG110" s="16">
        <f>IFERROR(__xludf.DUMMYFUNCTION("""COMPUTED_VALUE"""),0.0)</f>
        <v>0</v>
      </c>
      <c r="AH110" s="16">
        <f>IFERROR(__xludf.DUMMYFUNCTION("""COMPUTED_VALUE"""),27.2)</f>
        <v>27.2</v>
      </c>
      <c r="AI110" s="16">
        <f>IFERROR(__xludf.DUMMYFUNCTION("""COMPUTED_VALUE"""),38.8)</f>
        <v>38.8</v>
      </c>
      <c r="AJ110" s="16">
        <f>IFERROR(__xludf.DUMMYFUNCTION("""COMPUTED_VALUE"""),0.0)</f>
        <v>0</v>
      </c>
      <c r="AK110" s="16">
        <f>IFERROR(__xludf.DUMMYFUNCTION("""COMPUTED_VALUE"""),1.0)</f>
        <v>1</v>
      </c>
      <c r="AL110" s="16">
        <f>IFERROR(__xludf.DUMMYFUNCTION("""COMPUTED_VALUE"""),0.0)</f>
        <v>0</v>
      </c>
      <c r="AM110" s="16">
        <f>IFERROR(__xludf.DUMMYFUNCTION("""COMPUTED_VALUE"""),5.0)</f>
        <v>5</v>
      </c>
      <c r="AN110" s="16">
        <f>IFERROR(__xludf.DUMMYFUNCTION("""COMPUTED_VALUE"""),0.0)</f>
        <v>0</v>
      </c>
      <c r="AO110" s="16">
        <f>IFERROR(__xludf.DUMMYFUNCTION("""COMPUTED_VALUE"""),3.3)</f>
        <v>3.3</v>
      </c>
      <c r="AP110" s="16">
        <f>IFERROR(__xludf.DUMMYFUNCTION("""COMPUTED_VALUE"""),-2.0)</f>
        <v>-2</v>
      </c>
      <c r="AQ110" s="16">
        <f>IFERROR(__xludf.DUMMYFUNCTION("""COMPUTED_VALUE"""),1.0)</f>
        <v>1</v>
      </c>
      <c r="AR110" s="16">
        <f>IFERROR(__xludf.DUMMYFUNCTION("""COMPUTED_VALUE"""),-4.0)</f>
        <v>-4</v>
      </c>
      <c r="AS110" s="16">
        <f>IFERROR(__xludf.DUMMYFUNCTION("""COMPUTED_VALUE"""),2.0)</f>
        <v>2</v>
      </c>
      <c r="AT110" s="16"/>
      <c r="AU110" s="16"/>
      <c r="AV110" s="16">
        <f>IFERROR(__xludf.DUMMYFUNCTION("""COMPUTED_VALUE"""),-3.0)</f>
        <v>-3</v>
      </c>
      <c r="AW110" s="16">
        <f>IFERROR(__xludf.DUMMYFUNCTION("""COMPUTED_VALUE"""),-3.0)</f>
        <v>-3</v>
      </c>
      <c r="AX110" s="16">
        <f>IFERROR(__xludf.DUMMYFUNCTION("""COMPUTED_VALUE"""),-3.0)</f>
        <v>-3</v>
      </c>
      <c r="AY110" s="16">
        <f>IFERROR(__xludf.DUMMYFUNCTION("""COMPUTED_VALUE"""),-3.0)</f>
        <v>-3</v>
      </c>
      <c r="AZ110" s="16">
        <f>IFERROR(__xludf.DUMMYFUNCTION("""COMPUTED_VALUE"""),-9.0)</f>
        <v>-9</v>
      </c>
      <c r="BA110" s="16">
        <f>IFERROR(__xludf.DUMMYFUNCTION("""COMPUTED_VALUE"""),-9.0)</f>
        <v>-9</v>
      </c>
      <c r="BB110" s="16">
        <f>IFERROR(__xludf.DUMMYFUNCTION("""COMPUTED_VALUE"""),5.0)</f>
        <v>5</v>
      </c>
      <c r="BC110" s="16">
        <f>IFERROR(__xludf.DUMMYFUNCTION("""COMPUTED_VALUE"""),5.0)</f>
        <v>5</v>
      </c>
      <c r="BD110" s="16">
        <f>IFERROR(__xludf.DUMMYFUNCTION("""COMPUTED_VALUE"""),1.0)</f>
        <v>1</v>
      </c>
      <c r="BE110" s="16">
        <f>IFERROR(__xludf.DUMMYFUNCTION("""COMPUTED_VALUE"""),1.0)</f>
        <v>1</v>
      </c>
      <c r="BF110" s="16">
        <f>IFERROR(__xludf.DUMMYFUNCTION("""COMPUTED_VALUE"""),1.0)</f>
        <v>1</v>
      </c>
      <c r="BG110" s="16">
        <f>IFERROR(__xludf.DUMMYFUNCTION("""COMPUTED_VALUE"""),1.0)</f>
        <v>1</v>
      </c>
      <c r="BH110" s="16">
        <f>IFERROR(__xludf.DUMMYFUNCTION("""COMPUTED_VALUE"""),-2.0)</f>
        <v>-2</v>
      </c>
      <c r="BI110" s="16">
        <f>IFERROR(__xludf.DUMMYFUNCTION("""COMPUTED_VALUE"""),-2.0)</f>
        <v>-2</v>
      </c>
      <c r="BJ110" s="16">
        <f>IFERROR(__xludf.DUMMYFUNCTION("""COMPUTED_VALUE"""),9.0)</f>
        <v>9</v>
      </c>
      <c r="BK110" s="16">
        <f>IFERROR(__xludf.DUMMYFUNCTION("""COMPUTED_VALUE"""),9.0)</f>
        <v>9</v>
      </c>
      <c r="BL110" s="16">
        <f>IFERROR(__xludf.DUMMYFUNCTION("""COMPUTED_VALUE"""),0.0)</f>
        <v>0</v>
      </c>
      <c r="BM110" s="16">
        <f>IFERROR(__xludf.DUMMYFUNCTION("""COMPUTED_VALUE"""),1.0)</f>
        <v>1</v>
      </c>
      <c r="BN110" s="16">
        <f>IFERROR(__xludf.DUMMYFUNCTION("""COMPUTED_VALUE"""),0.0)</f>
        <v>0</v>
      </c>
      <c r="BO110" s="16">
        <f>IFERROR(__xludf.DUMMYFUNCTION("""COMPUTED_VALUE"""),1.0)</f>
        <v>1</v>
      </c>
      <c r="BP110" s="16">
        <f>IFERROR(__xludf.DUMMYFUNCTION("""COMPUTED_VALUE"""),-4.0)</f>
        <v>-4</v>
      </c>
      <c r="BQ110" s="16">
        <f>IFERROR(__xludf.DUMMYFUNCTION("""COMPUTED_VALUE"""),3.0)</f>
        <v>3</v>
      </c>
      <c r="BR110" s="16">
        <f>IFERROR(__xludf.DUMMYFUNCTION("""COMPUTED_VALUE"""),-1.0)</f>
        <v>-1</v>
      </c>
      <c r="BS110" s="16" t="str">
        <f>IFERROR(__xludf.DUMMYFUNCTION("""COMPUTED_VALUE"""),"*2-5,11,12/- (19-15)")</f>
        <v>*2-5,11,12/- (19-15)</v>
      </c>
      <c r="BT110" s="16" t="str">
        <f>IFERROR(__xludf.DUMMYFUNCTION("""COMPUTED_VALUE"""),"AA")</f>
        <v>AA</v>
      </c>
      <c r="BU110" s="16">
        <f>IFERROR(__xludf.DUMMYFUNCTION("""COMPUTED_VALUE"""),17.0)</f>
        <v>17</v>
      </c>
      <c r="BV110" s="16">
        <f>IFERROR(__xludf.DUMMYFUNCTION("""COMPUTED_VALUE"""),3.0)</f>
        <v>3</v>
      </c>
      <c r="BW110" s="16">
        <f>IFERROR(__xludf.DUMMYFUNCTION("""COMPUTED_VALUE"""),3.0)</f>
        <v>3</v>
      </c>
      <c r="BX110" s="16">
        <f>IFERROR(__xludf.DUMMYFUNCTION("""COMPUTED_VALUE"""),6.0)</f>
        <v>6</v>
      </c>
      <c r="BY110" s="16">
        <f>IFERROR(__xludf.DUMMYFUNCTION("""COMPUTED_VALUE"""),9.0)</f>
        <v>9</v>
      </c>
      <c r="BZ110" s="16" t="str">
        <f>IFERROR(__xludf.DUMMYFUNCTION("""COMPUTED_VALUE"""),"A")</f>
        <v>A</v>
      </c>
      <c r="CA110" s="16" t="str">
        <f>IFERROR(__xludf.DUMMYFUNCTION("""COMPUTED_VALUE"""),"C")</f>
        <v>C</v>
      </c>
      <c r="CB110" s="16">
        <f>IFERROR(__xludf.DUMMYFUNCTION("""COMPUTED_VALUE"""),2.0)</f>
        <v>2</v>
      </c>
      <c r="CC110" s="16">
        <f>IFERROR(__xludf.DUMMYFUNCTION("""COMPUTED_VALUE"""),0.0)</f>
        <v>0</v>
      </c>
      <c r="CD110" s="16">
        <f>IFERROR(__xludf.DUMMYFUNCTION("""COMPUTED_VALUE"""),2.0)</f>
        <v>2</v>
      </c>
      <c r="CE110" s="16">
        <f>IFERROR(__xludf.DUMMYFUNCTION("""COMPUTED_VALUE"""),0.0)</f>
        <v>0</v>
      </c>
      <c r="CF110" s="16">
        <f>IFERROR(__xludf.DUMMYFUNCTION("""COMPUTED_VALUE"""),1.0)</f>
        <v>1</v>
      </c>
      <c r="CG110" s="16">
        <f>IFERROR(__xludf.DUMMYFUNCTION("""COMPUTED_VALUE"""),-12.0)</f>
        <v>-12</v>
      </c>
      <c r="CH110" s="16">
        <f>IFERROR(__xludf.DUMMYFUNCTION("""COMPUTED_VALUE"""),3.0)</f>
        <v>3</v>
      </c>
      <c r="CI110" s="179">
        <f>IFERROR(__xludf.DUMMYFUNCTION("""COMPUTED_VALUE"""),11.0)</f>
        <v>11</v>
      </c>
      <c r="CJ110" s="16"/>
      <c r="CK110" s="16"/>
      <c r="CL110" s="16">
        <f>IFERROR(__xludf.DUMMYFUNCTION("""COMPUTED_VALUE"""),108.0)</f>
        <v>108</v>
      </c>
      <c r="CM110" s="16"/>
      <c r="CN110" s="16"/>
      <c r="CO110" s="16"/>
      <c r="CP110" s="16"/>
      <c r="CQ110" s="16"/>
      <c r="CR110" s="16" t="str">
        <f>IFERROR(__xludf.DUMMYFUNCTION("""COMPUTED_VALUE"""),"2b-1e8")</f>
        <v>2b-1e8</v>
      </c>
      <c r="CS110" s="16"/>
      <c r="CT110" s="16"/>
      <c r="CU110" s="16">
        <f>IFERROR(__xludf.DUMMYFUNCTION("""COMPUTED_VALUE"""),1.0)</f>
        <v>1</v>
      </c>
      <c r="CV110" s="16"/>
      <c r="CW110" s="16"/>
      <c r="CX110" s="16"/>
      <c r="CY110" s="16"/>
      <c r="CZ110" s="16"/>
      <c r="DA110" s="16"/>
      <c r="DB110" s="16"/>
      <c r="DC110" s="16">
        <f>IFERROR(__xludf.DUMMYFUNCTION("""COMPUTED_VALUE"""),8.0)</f>
        <v>8</v>
      </c>
      <c r="DD110" s="16"/>
      <c r="DE110" s="16"/>
      <c r="DF110" s="16"/>
      <c r="DG110" s="16"/>
      <c r="DH110" s="16"/>
      <c r="DI110" s="16"/>
      <c r="DJ110" s="16"/>
      <c r="DK110" s="16">
        <f>IFERROR(__xludf.DUMMYFUNCTION("""COMPUTED_VALUE"""),4.0)</f>
        <v>4</v>
      </c>
      <c r="DL110" s="16"/>
      <c r="DM110" s="16"/>
      <c r="DN110" s="16"/>
      <c r="DO110" s="16"/>
      <c r="DP110" s="16"/>
      <c r="DQ110" s="16"/>
      <c r="DR110" s="16"/>
      <c r="DS110" s="16">
        <f>IFERROR(__xludf.DUMMYFUNCTION("""COMPUTED_VALUE"""),3.0)</f>
        <v>3</v>
      </c>
      <c r="DT110" s="16"/>
      <c r="DU110" s="16"/>
      <c r="DV110" s="16"/>
      <c r="DW110" s="16"/>
      <c r="DX110" s="16"/>
      <c r="DY110" s="16"/>
      <c r="DZ110" s="16"/>
      <c r="EA110" s="16">
        <f>IFERROR(__xludf.DUMMYFUNCTION("""COMPUTED_VALUE"""),7.0)</f>
        <v>7</v>
      </c>
      <c r="EB110" s="16"/>
      <c r="EC110" s="16"/>
      <c r="ED110" s="16"/>
      <c r="EE110" s="16"/>
      <c r="EF110" s="16"/>
      <c r="EG110" s="179"/>
      <c r="EH110" s="179"/>
      <c r="EI110" s="179">
        <f>IFERROR(__xludf.DUMMYFUNCTION("""COMPUTED_VALUE"""),18.0)</f>
        <v>18</v>
      </c>
      <c r="EJ110" s="179"/>
      <c r="EK110" s="179"/>
      <c r="EL110" s="179"/>
      <c r="EM110" s="179"/>
      <c r="EN110" s="179"/>
      <c r="EO110" s="16"/>
      <c r="EP110" s="16">
        <f>IFERROR(__xludf.DUMMYFUNCTION("""COMPUTED_VALUE"""),1.0)</f>
        <v>1</v>
      </c>
      <c r="EQ110" s="16">
        <f>IFERROR(__xludf.DUMMYFUNCTION("""COMPUTED_VALUE"""),4.0)</f>
        <v>4</v>
      </c>
      <c r="ER110" s="16">
        <f>IFERROR(__xludf.DUMMYFUNCTION("""COMPUTED_VALUE"""),3.0)</f>
        <v>3</v>
      </c>
      <c r="ES110" s="16"/>
      <c r="ET110" s="16"/>
      <c r="EU110" s="16"/>
      <c r="EV110" s="16"/>
      <c r="EW110" s="16"/>
      <c r="EX110" s="180"/>
      <c r="EY110" s="180"/>
      <c r="EZ110" s="180">
        <f>IFERROR(__xludf.DUMMYFUNCTION("""COMPUTED_VALUE"""),0.0)</f>
        <v>0</v>
      </c>
      <c r="FA110" s="180"/>
      <c r="FB110" s="180"/>
      <c r="FC110" s="180"/>
      <c r="FD110" s="180"/>
      <c r="FE110" s="180"/>
      <c r="FF110" s="180"/>
      <c r="FG110" s="180"/>
      <c r="FH110" s="180">
        <f>IFERROR(__xludf.DUMMYFUNCTION("""COMPUTED_VALUE"""),0.046296296296296294)</f>
        <v>0.0462962963</v>
      </c>
      <c r="FI110" s="180"/>
      <c r="FJ110" s="180"/>
      <c r="FK110" s="180"/>
      <c r="FL110" s="180"/>
      <c r="FM110" s="180"/>
      <c r="FN110" s="16"/>
      <c r="FO110" s="16"/>
      <c r="FP110" s="16">
        <f>IFERROR(__xludf.DUMMYFUNCTION("""COMPUTED_VALUE"""),0.9537037037037037)</f>
        <v>0.9537037037</v>
      </c>
      <c r="FQ110" s="16"/>
      <c r="FR110" s="16"/>
      <c r="FS110" s="16"/>
      <c r="FT110" s="16"/>
      <c r="FU110" s="16"/>
      <c r="FV110" s="16"/>
      <c r="FW110" s="16"/>
      <c r="FX110" s="16">
        <f>IFERROR(__xludf.DUMMYFUNCTION("""COMPUTED_VALUE"""),8.0)</f>
        <v>8</v>
      </c>
      <c r="FY110" s="16"/>
      <c r="FZ110" s="16"/>
      <c r="GA110" s="16"/>
      <c r="GB110" s="16"/>
      <c r="GC110" s="16"/>
      <c r="GD110" s="16" t="s">
        <v>232</v>
      </c>
    </row>
    <row r="111">
      <c r="A111" s="16">
        <f>IFERROR(__xludf.DUMMYFUNCTION("""COMPUTED_VALUE"""),13233.0)</f>
        <v>13233</v>
      </c>
      <c r="B111" s="16" t="str">
        <f>IFERROR(__xludf.DUMMYFUNCTION("""COMPUTED_VALUE"""),"Nicholas Castellanos")</f>
        <v>Nicholas Castellanos</v>
      </c>
      <c r="C111" s="16">
        <f>IFERROR(__xludf.DUMMYFUNCTION("""COMPUTED_VALUE"""),0.35)</f>
        <v>0.35</v>
      </c>
      <c r="D111" s="16" t="str">
        <f>IFERROR(__xludf.DUMMYFUNCTION("""COMPUTED_VALUE"""),"R")</f>
        <v>R</v>
      </c>
      <c r="E111" s="16"/>
      <c r="F111" s="16"/>
      <c r="G111" s="16">
        <f>IFERROR(__xludf.DUMMYFUNCTION("""COMPUTED_VALUE"""),606.0)</f>
        <v>606</v>
      </c>
      <c r="H111" s="16">
        <f>IFERROR(__xludf.DUMMYFUNCTION("""COMPUTED_VALUE"""),41.0)</f>
        <v>41</v>
      </c>
      <c r="I111" s="16" t="str">
        <f>IFERROR(__xludf.DUMMYFUNCTION("""COMPUTED_VALUE"""),"0p72")</f>
        <v>0p72</v>
      </c>
      <c r="J111" s="16">
        <f>IFERROR(__xludf.DUMMYFUNCTION("""COMPUTED_VALUE"""),26.0)</f>
        <v>26</v>
      </c>
      <c r="K111" s="16">
        <f>IFERROR(__xludf.DUMMYFUNCTION("""COMPUTED_VALUE"""),19.0)</f>
        <v>19</v>
      </c>
      <c r="L111" s="16">
        <f>IFERROR(__xludf.DUMMYFUNCTION("""COMPUTED_VALUE"""),0.0)</f>
        <v>0</v>
      </c>
      <c r="M111" s="16">
        <f>IFERROR(__xludf.DUMMYFUNCTION("""COMPUTED_VALUE"""),1.0)</f>
        <v>1</v>
      </c>
      <c r="N111" s="16">
        <f>IFERROR(__xludf.DUMMYFUNCTION("""COMPUTED_VALUE"""),0.0)</f>
        <v>0</v>
      </c>
      <c r="O111" s="16">
        <f>IFERROR(__xludf.DUMMYFUNCTION("""COMPUTED_VALUE"""),1.0)</f>
        <v>1</v>
      </c>
      <c r="P111" s="16">
        <f>IFERROR(__xludf.DUMMYFUNCTION("""COMPUTED_VALUE"""),4.0)</f>
        <v>4</v>
      </c>
      <c r="Q111" s="16">
        <f>IFERROR(__xludf.DUMMYFUNCTION("""COMPUTED_VALUE"""),5.0)</f>
        <v>5</v>
      </c>
      <c r="R111" s="16">
        <f>IFERROR(__xludf.DUMMYFUNCTION("""COMPUTED_VALUE"""),-2.0)</f>
        <v>-2</v>
      </c>
      <c r="S111" s="16">
        <f>IFERROR(__xludf.DUMMYFUNCTION("""COMPUTED_VALUE"""),-1.0)</f>
        <v>-1</v>
      </c>
      <c r="T111" s="16">
        <f>IFERROR(__xludf.DUMMYFUNCTION("""COMPUTED_VALUE"""),-2.0)</f>
        <v>-2</v>
      </c>
      <c r="U111" s="16">
        <f>IFERROR(__xludf.DUMMYFUNCTION("""COMPUTED_VALUE"""),-1.0)</f>
        <v>-1</v>
      </c>
      <c r="V111" s="16">
        <f>IFERROR(__xludf.DUMMYFUNCTION("""COMPUTED_VALUE"""),22.3)</f>
        <v>22.3</v>
      </c>
      <c r="W111" s="16">
        <f>IFERROR(__xludf.DUMMYFUNCTION("""COMPUTED_VALUE"""),21.9)</f>
        <v>21.9</v>
      </c>
      <c r="X111" s="16">
        <f>IFERROR(__xludf.DUMMYFUNCTION("""COMPUTED_VALUE"""),0.0)</f>
        <v>0</v>
      </c>
      <c r="Y111" s="16">
        <f>IFERROR(__xludf.DUMMYFUNCTION("""COMPUTED_VALUE"""),0.0)</f>
        <v>0</v>
      </c>
      <c r="Z111" s="16">
        <f>IFERROR(__xludf.DUMMYFUNCTION("""COMPUTED_VALUE"""),0.0)</f>
        <v>0</v>
      </c>
      <c r="AA111" s="16">
        <f>IFERROR(__xludf.DUMMYFUNCTION("""COMPUTED_VALUE"""),0.0)</f>
        <v>0</v>
      </c>
      <c r="AB111" s="16">
        <f>IFERROR(__xludf.DUMMYFUNCTION("""COMPUTED_VALUE"""),29.3)</f>
        <v>29.3</v>
      </c>
      <c r="AC111" s="16">
        <f>IFERROR(__xludf.DUMMYFUNCTION("""COMPUTED_VALUE"""),29.9)</f>
        <v>29.9</v>
      </c>
      <c r="AD111" s="16">
        <f>IFERROR(__xludf.DUMMYFUNCTION("""COMPUTED_VALUE"""),0.0)</f>
        <v>0</v>
      </c>
      <c r="AE111" s="16">
        <f>IFERROR(__xludf.DUMMYFUNCTION("""COMPUTED_VALUE"""),0.0)</f>
        <v>0</v>
      </c>
      <c r="AF111" s="16">
        <f>IFERROR(__xludf.DUMMYFUNCTION("""COMPUTED_VALUE"""),0.0)</f>
        <v>0</v>
      </c>
      <c r="AG111" s="16">
        <f>IFERROR(__xludf.DUMMYFUNCTION("""COMPUTED_VALUE"""),0.0)</f>
        <v>0</v>
      </c>
      <c r="AH111" s="16">
        <f>IFERROR(__xludf.DUMMYFUNCTION("""COMPUTED_VALUE"""),41.0)</f>
        <v>41</v>
      </c>
      <c r="AI111" s="16">
        <f>IFERROR(__xludf.DUMMYFUNCTION("""COMPUTED_VALUE"""),34.0)</f>
        <v>34</v>
      </c>
      <c r="AJ111" s="16">
        <f>IFERROR(__xludf.DUMMYFUNCTION("""COMPUTED_VALUE"""),1.0)</f>
        <v>1</v>
      </c>
      <c r="AK111" s="16">
        <f>IFERROR(__xludf.DUMMYFUNCTION("""COMPUTED_VALUE"""),0.0)</f>
        <v>0</v>
      </c>
      <c r="AL111" s="16">
        <f>IFERROR(__xludf.DUMMYFUNCTION("""COMPUTED_VALUE"""),5.0)</f>
        <v>5</v>
      </c>
      <c r="AM111" s="16">
        <f>IFERROR(__xludf.DUMMYFUNCTION("""COMPUTED_VALUE"""),0.0)</f>
        <v>0</v>
      </c>
      <c r="AN111" s="16">
        <f>IFERROR(__xludf.DUMMYFUNCTION("""COMPUTED_VALUE"""),5.1)</f>
        <v>5.1</v>
      </c>
      <c r="AO111" s="16">
        <f>IFERROR(__xludf.DUMMYFUNCTION("""COMPUTED_VALUE"""),1.5)</f>
        <v>1.5</v>
      </c>
      <c r="AP111" s="16">
        <f>IFERROR(__xludf.DUMMYFUNCTION("""COMPUTED_VALUE"""),3.0)</f>
        <v>3</v>
      </c>
      <c r="AQ111" s="16">
        <f>IFERROR(__xludf.DUMMYFUNCTION("""COMPUTED_VALUE"""),-1.0)</f>
        <v>-1</v>
      </c>
      <c r="AR111" s="16">
        <f>IFERROR(__xludf.DUMMYFUNCTION("""COMPUTED_VALUE"""),6.0)</f>
        <v>6</v>
      </c>
      <c r="AS111" s="16">
        <f>IFERROR(__xludf.DUMMYFUNCTION("""COMPUTED_VALUE"""),-2.0)</f>
        <v>-2</v>
      </c>
      <c r="AT111" s="16">
        <f>IFERROR(__xludf.DUMMYFUNCTION("""COMPUTED_VALUE"""),8.0)</f>
        <v>8</v>
      </c>
      <c r="AU111" s="16">
        <f>IFERROR(__xludf.DUMMYFUNCTION("""COMPUTED_VALUE"""),2.0)</f>
        <v>2</v>
      </c>
      <c r="AV111" s="16">
        <f>IFERROR(__xludf.DUMMYFUNCTION("""COMPUTED_VALUE"""),8.0)</f>
        <v>8</v>
      </c>
      <c r="AW111" s="16">
        <f>IFERROR(__xludf.DUMMYFUNCTION("""COMPUTED_VALUE"""),2.0)</f>
        <v>2</v>
      </c>
      <c r="AX111" s="16">
        <f>IFERROR(__xludf.DUMMYFUNCTION("""COMPUTED_VALUE"""),3.0)</f>
        <v>3</v>
      </c>
      <c r="AY111" s="16">
        <f>IFERROR(__xludf.DUMMYFUNCTION("""COMPUTED_VALUE"""),0.0)</f>
        <v>0</v>
      </c>
      <c r="AZ111" s="16">
        <f>IFERROR(__xludf.DUMMYFUNCTION("""COMPUTED_VALUE"""),9.0)</f>
        <v>9</v>
      </c>
      <c r="BA111" s="16">
        <f>IFERROR(__xludf.DUMMYFUNCTION("""COMPUTED_VALUE"""),0.0)</f>
        <v>0</v>
      </c>
      <c r="BB111" s="16">
        <f>IFERROR(__xludf.DUMMYFUNCTION("""COMPUTED_VALUE"""),5.0)</f>
        <v>5</v>
      </c>
      <c r="BC111" s="16">
        <f>IFERROR(__xludf.DUMMYFUNCTION("""COMPUTED_VALUE"""),5.0)</f>
        <v>5</v>
      </c>
      <c r="BD111" s="16">
        <f>IFERROR(__xludf.DUMMYFUNCTION("""COMPUTED_VALUE"""),1.0)</f>
        <v>1</v>
      </c>
      <c r="BE111" s="16">
        <f>IFERROR(__xludf.DUMMYFUNCTION("""COMPUTED_VALUE"""),1.0)</f>
        <v>1</v>
      </c>
      <c r="BF111" s="16">
        <f>IFERROR(__xludf.DUMMYFUNCTION("""COMPUTED_VALUE"""),1.0)</f>
        <v>1</v>
      </c>
      <c r="BG111" s="16">
        <f>IFERROR(__xludf.DUMMYFUNCTION("""COMPUTED_VALUE"""),1.0)</f>
        <v>1</v>
      </c>
      <c r="BH111" s="16">
        <f>IFERROR(__xludf.DUMMYFUNCTION("""COMPUTED_VALUE"""),1.0)</f>
        <v>1</v>
      </c>
      <c r="BI111" s="16">
        <f>IFERROR(__xludf.DUMMYFUNCTION("""COMPUTED_VALUE"""),1.0)</f>
        <v>1</v>
      </c>
      <c r="BJ111" s="16">
        <f>IFERROR(__xludf.DUMMYFUNCTION("""COMPUTED_VALUE"""),17.0)</f>
        <v>17</v>
      </c>
      <c r="BK111" s="16">
        <f>IFERROR(__xludf.DUMMYFUNCTION("""COMPUTED_VALUE"""),16.0)</f>
        <v>16</v>
      </c>
      <c r="BL111" s="16">
        <f>IFERROR(__xludf.DUMMYFUNCTION("""COMPUTED_VALUE"""),-1.0)</f>
        <v>-1</v>
      </c>
      <c r="BM111" s="16">
        <f>IFERROR(__xludf.DUMMYFUNCTION("""COMPUTED_VALUE"""),-1.0)</f>
        <v>-1</v>
      </c>
      <c r="BN111" s="16">
        <f>IFERROR(__xludf.DUMMYFUNCTION("""COMPUTED_VALUE"""),-2.0)</f>
        <v>-2</v>
      </c>
      <c r="BO111" s="16">
        <f>IFERROR(__xludf.DUMMYFUNCTION("""COMPUTED_VALUE"""),-2.0)</f>
        <v>-2</v>
      </c>
      <c r="BP111" s="16">
        <f>IFERROR(__xludf.DUMMYFUNCTION("""COMPUTED_VALUE"""),5.0)</f>
        <v>5</v>
      </c>
      <c r="BQ111" s="16">
        <f>IFERROR(__xludf.DUMMYFUNCTION("""COMPUTED_VALUE"""),-1.0)</f>
        <v>-1</v>
      </c>
      <c r="BR111" s="16">
        <f>IFERROR(__xludf.DUMMYFUNCTION("""COMPUTED_VALUE"""),4.0)</f>
        <v>4</v>
      </c>
      <c r="BS111" s="16" t="str">
        <f>IFERROR(__xludf.DUMMYFUNCTION("""COMPUTED_VALUE"""),"5/- (15-6)")</f>
        <v>5/- (15-6)</v>
      </c>
      <c r="BT111" s="16" t="str">
        <f>IFERROR(__xludf.DUMMYFUNCTION("""COMPUTED_VALUE"""),"D")</f>
        <v>D</v>
      </c>
      <c r="BU111" s="16">
        <f>IFERROR(__xludf.DUMMYFUNCTION("""COMPUTED_VALUE"""),12.0)</f>
        <v>12</v>
      </c>
      <c r="BV111" s="16">
        <f>IFERROR(__xludf.DUMMYFUNCTION("""COMPUTED_VALUE"""),0.0)</f>
        <v>0</v>
      </c>
      <c r="BW111" s="16">
        <f>IFERROR(__xludf.DUMMYFUNCTION("""COMPUTED_VALUE"""),0.0)</f>
        <v>0</v>
      </c>
      <c r="BX111" s="16">
        <f>IFERROR(__xludf.DUMMYFUNCTION("""COMPUTED_VALUE"""),0.0)</f>
        <v>0</v>
      </c>
      <c r="BY111" s="16">
        <f>IFERROR(__xludf.DUMMYFUNCTION("""COMPUTED_VALUE"""),0.0)</f>
        <v>0</v>
      </c>
      <c r="BZ111" s="16" t="str">
        <f>IFERROR(__xludf.DUMMYFUNCTION("""COMPUTED_VALUE"""),"D")</f>
        <v>D</v>
      </c>
      <c r="CA111" s="16" t="str">
        <f>IFERROR(__xludf.DUMMYFUNCTION("""COMPUTED_VALUE"""),"C")</f>
        <v>C</v>
      </c>
      <c r="CB111" s="16">
        <f>IFERROR(__xludf.DUMMYFUNCTION("""COMPUTED_VALUE"""),0.0)</f>
        <v>0</v>
      </c>
      <c r="CC111" s="16">
        <f>IFERROR(__xludf.DUMMYFUNCTION("""COMPUTED_VALUE"""),0.0)</f>
        <v>0</v>
      </c>
      <c r="CD111" s="16">
        <f>IFERROR(__xludf.DUMMYFUNCTION("""COMPUTED_VALUE"""),0.0)</f>
        <v>0</v>
      </c>
      <c r="CE111" s="16">
        <f>IFERROR(__xludf.DUMMYFUNCTION("""COMPUTED_VALUE"""),0.0)</f>
        <v>0</v>
      </c>
      <c r="CF111" s="16">
        <f>IFERROR(__xludf.DUMMYFUNCTION("""COMPUTED_VALUE"""),0.0)</f>
        <v>0</v>
      </c>
      <c r="CG111" s="16">
        <f>IFERROR(__xludf.DUMMYFUNCTION("""COMPUTED_VALUE"""),17.0)</f>
        <v>17</v>
      </c>
      <c r="CH111" s="16">
        <f>IFERROR(__xludf.DUMMYFUNCTION("""COMPUTED_VALUE"""),-3.0)</f>
        <v>-3</v>
      </c>
      <c r="CI111" s="179">
        <f>IFERROR(__xludf.DUMMYFUNCTION("""COMPUTED_VALUE"""),11.0)</f>
        <v>11</v>
      </c>
      <c r="CJ111" s="16"/>
      <c r="CK111" s="16"/>
      <c r="CL111" s="16"/>
      <c r="CM111" s="16"/>
      <c r="CN111" s="16"/>
      <c r="CO111" s="16"/>
      <c r="CP111" s="16"/>
      <c r="CQ111" s="16">
        <f>IFERROR(__xludf.DUMMYFUNCTION("""COMPUTED_VALUE"""),403.0)</f>
        <v>403</v>
      </c>
      <c r="CR111" s="16" t="str">
        <f>IFERROR(__xludf.DUMMYFUNCTION("""COMPUTED_VALUE"""),"rf-4(0)e3")</f>
        <v>rf-4(0)e3</v>
      </c>
      <c r="CS111" s="16"/>
      <c r="CT111" s="16"/>
      <c r="CU111" s="16"/>
      <c r="CV111" s="16"/>
      <c r="CW111" s="16"/>
      <c r="CX111" s="16"/>
      <c r="CY111" s="16"/>
      <c r="CZ111" s="16">
        <f>IFERROR(__xludf.DUMMYFUNCTION("""COMPUTED_VALUE"""),4.0)</f>
        <v>4</v>
      </c>
      <c r="DA111" s="16"/>
      <c r="DB111" s="16"/>
      <c r="DC111" s="16"/>
      <c r="DD111" s="16"/>
      <c r="DE111" s="16"/>
      <c r="DF111" s="16"/>
      <c r="DG111" s="16"/>
      <c r="DH111" s="16">
        <f>IFERROR(__xludf.DUMMYFUNCTION("""COMPUTED_VALUE"""),3.0)</f>
        <v>3</v>
      </c>
      <c r="DI111" s="16"/>
      <c r="DJ111" s="16"/>
      <c r="DK111" s="16"/>
      <c r="DL111" s="16"/>
      <c r="DM111" s="16"/>
      <c r="DN111" s="16"/>
      <c r="DO111" s="16"/>
      <c r="DP111" s="16">
        <f>IFERROR(__xludf.DUMMYFUNCTION("""COMPUTED_VALUE"""),-1.0)</f>
        <v>-1</v>
      </c>
      <c r="DQ111" s="16"/>
      <c r="DR111" s="16"/>
      <c r="DS111" s="16"/>
      <c r="DT111" s="16"/>
      <c r="DU111" s="16"/>
      <c r="DV111" s="16"/>
      <c r="DW111" s="16"/>
      <c r="DX111" s="16">
        <f>IFERROR(__xludf.DUMMYFUNCTION("""COMPUTED_VALUE"""),4.0)</f>
        <v>4</v>
      </c>
      <c r="DY111" s="16"/>
      <c r="DZ111" s="16"/>
      <c r="EA111" s="16"/>
      <c r="EB111" s="16"/>
      <c r="EC111" s="16"/>
      <c r="ED111" s="16"/>
      <c r="EE111" s="16"/>
      <c r="EF111" s="16">
        <f>IFERROR(__xludf.DUMMYFUNCTION("""COMPUTED_VALUE"""),3.0)</f>
        <v>3</v>
      </c>
      <c r="EG111" s="179"/>
      <c r="EH111" s="179"/>
      <c r="EI111" s="179"/>
      <c r="EJ111" s="179"/>
      <c r="EK111" s="179"/>
      <c r="EL111" s="179"/>
      <c r="EM111" s="179"/>
      <c r="EN111" s="179">
        <f>IFERROR(__xludf.DUMMYFUNCTION("""COMPUTED_VALUE"""),14.0)</f>
        <v>14</v>
      </c>
      <c r="EO111" s="16"/>
      <c r="EP111" s="16"/>
      <c r="EQ111" s="16">
        <f>IFERROR(__xludf.DUMMYFUNCTION("""COMPUTED_VALUE"""),5.0)</f>
        <v>5</v>
      </c>
      <c r="ER111" s="16">
        <f>IFERROR(__xludf.DUMMYFUNCTION("""COMPUTED_VALUE"""),4.0)</f>
        <v>4</v>
      </c>
      <c r="ES111" s="16"/>
      <c r="ET111" s="16"/>
      <c r="EU111" s="16"/>
      <c r="EV111" s="16"/>
      <c r="EW111" s="16"/>
      <c r="EX111" s="180"/>
      <c r="EY111" s="180"/>
      <c r="EZ111" s="180"/>
      <c r="FA111" s="180"/>
      <c r="FB111" s="180"/>
      <c r="FC111" s="180"/>
      <c r="FD111" s="180"/>
      <c r="FE111" s="180">
        <f>IFERROR(__xludf.DUMMYFUNCTION("""COMPUTED_VALUE"""),0.55)</f>
        <v>0.55</v>
      </c>
      <c r="FF111" s="180"/>
      <c r="FG111" s="180"/>
      <c r="FH111" s="180"/>
      <c r="FI111" s="180"/>
      <c r="FJ111" s="180"/>
      <c r="FK111" s="180"/>
      <c r="FL111" s="180"/>
      <c r="FM111" s="180">
        <f>IFERROR(__xludf.DUMMYFUNCTION("""COMPUTED_VALUE"""),0.056)</f>
        <v>0.056</v>
      </c>
      <c r="FN111" s="16"/>
      <c r="FO111" s="16"/>
      <c r="FP111" s="16"/>
      <c r="FQ111" s="16"/>
      <c r="FR111" s="16"/>
      <c r="FS111" s="16"/>
      <c r="FT111" s="16"/>
      <c r="FU111" s="16">
        <f>IFERROR(__xludf.DUMMYFUNCTION("""COMPUTED_VALUE"""),0.42479999999999996)</f>
        <v>0.4248</v>
      </c>
      <c r="FV111" s="16"/>
      <c r="FW111" s="16"/>
      <c r="FX111" s="16"/>
      <c r="FY111" s="16"/>
      <c r="FZ111" s="16"/>
      <c r="GA111" s="16"/>
      <c r="GB111" s="16"/>
      <c r="GC111" s="16">
        <f>IFERROR(__xludf.DUMMYFUNCTION("""COMPUTED_VALUE"""),-8.0)</f>
        <v>-8</v>
      </c>
      <c r="GD111" s="16" t="s">
        <v>272</v>
      </c>
    </row>
    <row r="112">
      <c r="A112" s="16">
        <f>IFERROR(__xludf.DUMMYFUNCTION("""COMPUTED_VALUE"""),12598.0)</f>
        <v>12598</v>
      </c>
      <c r="B112" s="16" t="str">
        <f>IFERROR(__xludf.DUMMYFUNCTION("""COMPUTED_VALUE"""),"Brandon Marsh")</f>
        <v>Brandon Marsh</v>
      </c>
      <c r="C112" s="16">
        <f>IFERROR(__xludf.DUMMYFUNCTION("""COMPUTED_VALUE"""),1.89)</f>
        <v>1.89</v>
      </c>
      <c r="D112" s="16" t="str">
        <f>IFERROR(__xludf.DUMMYFUNCTION("""COMPUTED_VALUE"""),"L")</f>
        <v>L</v>
      </c>
      <c r="E112" s="16"/>
      <c r="F112" s="16"/>
      <c r="G112" s="16">
        <f>IFERROR(__xludf.DUMMYFUNCTION("""COMPUTED_VALUE"""),418.0)</f>
        <v>418</v>
      </c>
      <c r="H112" s="16">
        <f>IFERROR(__xludf.DUMMYFUNCTION("""COMPUTED_VALUE"""),50.0)</f>
        <v>50</v>
      </c>
      <c r="I112" s="16" t="str">
        <f>IFERROR(__xludf.DUMMYFUNCTION("""COMPUTED_VALUE"""),"1p60")</f>
        <v>1p60</v>
      </c>
      <c r="J112" s="16">
        <f>IFERROR(__xludf.DUMMYFUNCTION("""COMPUTED_VALUE"""),51.0)</f>
        <v>51</v>
      </c>
      <c r="K112" s="16">
        <f>IFERROR(__xludf.DUMMYFUNCTION("""COMPUTED_VALUE"""),45.0)</f>
        <v>45</v>
      </c>
      <c r="L112" s="16">
        <f>IFERROR(__xludf.DUMMYFUNCTION("""COMPUTED_VALUE"""),-2.0)</f>
        <v>-2</v>
      </c>
      <c r="M112" s="16">
        <f>IFERROR(__xludf.DUMMYFUNCTION("""COMPUTED_VALUE"""),-2.0)</f>
        <v>-2</v>
      </c>
      <c r="N112" s="16">
        <f>IFERROR(__xludf.DUMMYFUNCTION("""COMPUTED_VALUE"""),-2.0)</f>
        <v>-2</v>
      </c>
      <c r="O112" s="16">
        <f>IFERROR(__xludf.DUMMYFUNCTION("""COMPUTED_VALUE"""),-2.0)</f>
        <v>-2</v>
      </c>
      <c r="P112" s="16">
        <f>IFERROR(__xludf.DUMMYFUNCTION("""COMPUTED_VALUE"""),10.0)</f>
        <v>10</v>
      </c>
      <c r="Q112" s="16">
        <f>IFERROR(__xludf.DUMMYFUNCTION("""COMPUTED_VALUE"""),14.0)</f>
        <v>14</v>
      </c>
      <c r="R112" s="16">
        <f>IFERROR(__xludf.DUMMYFUNCTION("""COMPUTED_VALUE"""),1.0)</f>
        <v>1</v>
      </c>
      <c r="S112" s="16">
        <f>IFERROR(__xludf.DUMMYFUNCTION("""COMPUTED_VALUE"""),2.0)</f>
        <v>2</v>
      </c>
      <c r="T112" s="16">
        <f>IFERROR(__xludf.DUMMYFUNCTION("""COMPUTED_VALUE"""),1.0)</f>
        <v>1</v>
      </c>
      <c r="U112" s="16">
        <f>IFERROR(__xludf.DUMMYFUNCTION("""COMPUTED_VALUE"""),2.0)</f>
        <v>2</v>
      </c>
      <c r="V112" s="16">
        <f>IFERROR(__xludf.DUMMYFUNCTION("""COMPUTED_VALUE"""),11.7)</f>
        <v>11.7</v>
      </c>
      <c r="W112" s="16">
        <f>IFERROR(__xludf.DUMMYFUNCTION("""COMPUTED_VALUE"""),22.2)</f>
        <v>22.2</v>
      </c>
      <c r="X112" s="16">
        <f>IFERROR(__xludf.DUMMYFUNCTION("""COMPUTED_VALUE"""),-1.0)</f>
        <v>-1</v>
      </c>
      <c r="Y112" s="16">
        <f>IFERROR(__xludf.DUMMYFUNCTION("""COMPUTED_VALUE"""),0.0)</f>
        <v>0</v>
      </c>
      <c r="Z112" s="16">
        <f>IFERROR(__xludf.DUMMYFUNCTION("""COMPUTED_VALUE"""),-2.0)</f>
        <v>-2</v>
      </c>
      <c r="AA112" s="16">
        <f>IFERROR(__xludf.DUMMYFUNCTION("""COMPUTED_VALUE"""),0.0)</f>
        <v>0</v>
      </c>
      <c r="AB112" s="16">
        <f>IFERROR(__xludf.DUMMYFUNCTION("""COMPUTED_VALUE"""),22.7)</f>
        <v>22.7</v>
      </c>
      <c r="AC112" s="16">
        <f>IFERROR(__xludf.DUMMYFUNCTION("""COMPUTED_VALUE"""),37.2)</f>
        <v>37.2</v>
      </c>
      <c r="AD112" s="16">
        <f>IFERROR(__xludf.DUMMYFUNCTION("""COMPUTED_VALUE"""),-1.0)</f>
        <v>-1</v>
      </c>
      <c r="AE112" s="16">
        <f>IFERROR(__xludf.DUMMYFUNCTION("""COMPUTED_VALUE"""),1.0)</f>
        <v>1</v>
      </c>
      <c r="AF112" s="16">
        <f>IFERROR(__xludf.DUMMYFUNCTION("""COMPUTED_VALUE"""),-5.0)</f>
        <v>-5</v>
      </c>
      <c r="AG112" s="16">
        <f>IFERROR(__xludf.DUMMYFUNCTION("""COMPUTED_VALUE"""),5.0)</f>
        <v>5</v>
      </c>
      <c r="AH112" s="16">
        <f>IFERROR(__xludf.DUMMYFUNCTION("""COMPUTED_VALUE"""),23.7)</f>
        <v>23.7</v>
      </c>
      <c r="AI112" s="16">
        <f>IFERROR(__xludf.DUMMYFUNCTION("""COMPUTED_VALUE"""),35.3)</f>
        <v>35.3</v>
      </c>
      <c r="AJ112" s="16">
        <f>IFERROR(__xludf.DUMMYFUNCTION("""COMPUTED_VALUE"""),-1.0)</f>
        <v>-1</v>
      </c>
      <c r="AK112" s="16">
        <f>IFERROR(__xludf.DUMMYFUNCTION("""COMPUTED_VALUE"""),0.0)</f>
        <v>0</v>
      </c>
      <c r="AL112" s="16">
        <f>IFERROR(__xludf.DUMMYFUNCTION("""COMPUTED_VALUE"""),-5.0)</f>
        <v>-5</v>
      </c>
      <c r="AM112" s="16">
        <f>IFERROR(__xludf.DUMMYFUNCTION("""COMPUTED_VALUE"""),0.0)</f>
        <v>0</v>
      </c>
      <c r="AN112" s="16">
        <f>IFERROR(__xludf.DUMMYFUNCTION("""COMPUTED_VALUE"""),2.5)</f>
        <v>2.5</v>
      </c>
      <c r="AO112" s="16">
        <f>IFERROR(__xludf.DUMMYFUNCTION("""COMPUTED_VALUE"""),3.0)</f>
        <v>3</v>
      </c>
      <c r="AP112" s="16">
        <f>IFERROR(__xludf.DUMMYFUNCTION("""COMPUTED_VALUE"""),0.0)</f>
        <v>0</v>
      </c>
      <c r="AQ112" s="16">
        <f>IFERROR(__xludf.DUMMYFUNCTION("""COMPUTED_VALUE"""),1.0)</f>
        <v>1</v>
      </c>
      <c r="AR112" s="16">
        <f>IFERROR(__xludf.DUMMYFUNCTION("""COMPUTED_VALUE"""),0.0)</f>
        <v>0</v>
      </c>
      <c r="AS112" s="16">
        <f>IFERROR(__xludf.DUMMYFUNCTION("""COMPUTED_VALUE"""),2.0)</f>
        <v>2</v>
      </c>
      <c r="AT112" s="16"/>
      <c r="AU112" s="16">
        <f>IFERROR(__xludf.DUMMYFUNCTION("""COMPUTED_VALUE"""),3.0)</f>
        <v>3</v>
      </c>
      <c r="AV112" s="16">
        <f>IFERROR(__xludf.DUMMYFUNCTION("""COMPUTED_VALUE"""),-3.0)</f>
        <v>-3</v>
      </c>
      <c r="AW112" s="16">
        <f>IFERROR(__xludf.DUMMYFUNCTION("""COMPUTED_VALUE"""),3.0)</f>
        <v>3</v>
      </c>
      <c r="AX112" s="16">
        <f>IFERROR(__xludf.DUMMYFUNCTION("""COMPUTED_VALUE"""),-3.0)</f>
        <v>-3</v>
      </c>
      <c r="AY112" s="16">
        <f>IFERROR(__xludf.DUMMYFUNCTION("""COMPUTED_VALUE"""),0.0)</f>
        <v>0</v>
      </c>
      <c r="AZ112" s="16">
        <f>IFERROR(__xludf.DUMMYFUNCTION("""COMPUTED_VALUE"""),-9.0)</f>
        <v>-9</v>
      </c>
      <c r="BA112" s="16">
        <f>IFERROR(__xludf.DUMMYFUNCTION("""COMPUTED_VALUE"""),0.0)</f>
        <v>0</v>
      </c>
      <c r="BB112" s="16">
        <f>IFERROR(__xludf.DUMMYFUNCTION("""COMPUTED_VALUE"""),5.0)</f>
        <v>5</v>
      </c>
      <c r="BC112" s="16">
        <f>IFERROR(__xludf.DUMMYFUNCTION("""COMPUTED_VALUE"""),5.0)</f>
        <v>5</v>
      </c>
      <c r="BD112" s="16">
        <f>IFERROR(__xludf.DUMMYFUNCTION("""COMPUTED_VALUE"""),1.0)</f>
        <v>1</v>
      </c>
      <c r="BE112" s="16">
        <f>IFERROR(__xludf.DUMMYFUNCTION("""COMPUTED_VALUE"""),1.0)</f>
        <v>1</v>
      </c>
      <c r="BF112" s="16">
        <f>IFERROR(__xludf.DUMMYFUNCTION("""COMPUTED_VALUE"""),1.0)</f>
        <v>1</v>
      </c>
      <c r="BG112" s="16">
        <f>IFERROR(__xludf.DUMMYFUNCTION("""COMPUTED_VALUE"""),1.0)</f>
        <v>1</v>
      </c>
      <c r="BH112" s="16">
        <f>IFERROR(__xludf.DUMMYFUNCTION("""COMPUTED_VALUE"""),-4.0)</f>
        <v>-4</v>
      </c>
      <c r="BI112" s="16">
        <f>IFERROR(__xludf.DUMMYFUNCTION("""COMPUTED_VALUE"""),-7.0)</f>
        <v>-7</v>
      </c>
      <c r="BJ112" s="16">
        <f>IFERROR(__xludf.DUMMYFUNCTION("""COMPUTED_VALUE"""),0.0)</f>
        <v>0</v>
      </c>
      <c r="BK112" s="16">
        <f>IFERROR(__xludf.DUMMYFUNCTION("""COMPUTED_VALUE"""),0.0)</f>
        <v>0</v>
      </c>
      <c r="BL112" s="16">
        <f>IFERROR(__xludf.DUMMYFUNCTION("""COMPUTED_VALUE"""),3.0)</f>
        <v>3</v>
      </c>
      <c r="BM112" s="16">
        <f>IFERROR(__xludf.DUMMYFUNCTION("""COMPUTED_VALUE"""),3.0)</f>
        <v>3</v>
      </c>
      <c r="BN112" s="16">
        <f>IFERROR(__xludf.DUMMYFUNCTION("""COMPUTED_VALUE"""),3.0)</f>
        <v>3</v>
      </c>
      <c r="BO112" s="16">
        <f>IFERROR(__xludf.DUMMYFUNCTION("""COMPUTED_VALUE"""),3.0)</f>
        <v>3</v>
      </c>
      <c r="BP112" s="16">
        <f>IFERROR(__xludf.DUMMYFUNCTION("""COMPUTED_VALUE"""),-3.0)</f>
        <v>-3</v>
      </c>
      <c r="BQ112" s="16">
        <f>IFERROR(__xludf.DUMMYFUNCTION("""COMPUTED_VALUE"""),6.0)</f>
        <v>6</v>
      </c>
      <c r="BR112" s="16">
        <f>IFERROR(__xludf.DUMMYFUNCTION("""COMPUTED_VALUE"""),3.0)</f>
        <v>3</v>
      </c>
      <c r="BS112" s="16" t="str">
        <f>IFERROR(__xludf.DUMMYFUNCTION("""COMPUTED_VALUE"""),"*4,6/- (19-13)")</f>
        <v>*4,6/- (19-13)</v>
      </c>
      <c r="BT112" s="16" t="str">
        <f>IFERROR(__xludf.DUMMYFUNCTION("""COMPUTED_VALUE"""),"A")</f>
        <v>A</v>
      </c>
      <c r="BU112" s="16">
        <f>IFERROR(__xludf.DUMMYFUNCTION("""COMPUTED_VALUE"""),15.0)</f>
        <v>15</v>
      </c>
      <c r="BV112" s="16">
        <f>IFERROR(__xludf.DUMMYFUNCTION("""COMPUTED_VALUE"""),2.0)</f>
        <v>2</v>
      </c>
      <c r="BW112" s="16">
        <f>IFERROR(__xludf.DUMMYFUNCTION("""COMPUTED_VALUE"""),2.0)</f>
        <v>2</v>
      </c>
      <c r="BX112" s="16">
        <f>IFERROR(__xludf.DUMMYFUNCTION("""COMPUTED_VALUE"""),4.0)</f>
        <v>4</v>
      </c>
      <c r="BY112" s="16">
        <f>IFERROR(__xludf.DUMMYFUNCTION("""COMPUTED_VALUE"""),6.0)</f>
        <v>6</v>
      </c>
      <c r="BZ112" s="16" t="str">
        <f>IFERROR(__xludf.DUMMYFUNCTION("""COMPUTED_VALUE"""),"D")</f>
        <v>D</v>
      </c>
      <c r="CA112" s="16" t="str">
        <f>IFERROR(__xludf.DUMMYFUNCTION("""COMPUTED_VALUE"""),"C")</f>
        <v>C</v>
      </c>
      <c r="CB112" s="16">
        <f>IFERROR(__xludf.DUMMYFUNCTION("""COMPUTED_VALUE"""),0.0)</f>
        <v>0</v>
      </c>
      <c r="CC112" s="16">
        <f>IFERROR(__xludf.DUMMYFUNCTION("""COMPUTED_VALUE"""),0.0)</f>
        <v>0</v>
      </c>
      <c r="CD112" s="16">
        <f>IFERROR(__xludf.DUMMYFUNCTION("""COMPUTED_VALUE"""),0.0)</f>
        <v>0</v>
      </c>
      <c r="CE112" s="16">
        <f>IFERROR(__xludf.DUMMYFUNCTION("""COMPUTED_VALUE"""),0.0)</f>
        <v>0</v>
      </c>
      <c r="CF112" s="16">
        <f>IFERROR(__xludf.DUMMYFUNCTION("""COMPUTED_VALUE"""),1.0)</f>
        <v>1</v>
      </c>
      <c r="CG112" s="16">
        <f>IFERROR(__xludf.DUMMYFUNCTION("""COMPUTED_VALUE"""),-18.0)</f>
        <v>-18</v>
      </c>
      <c r="CH112" s="16">
        <f>IFERROR(__xludf.DUMMYFUNCTION("""COMPUTED_VALUE"""),11.0)</f>
        <v>11</v>
      </c>
      <c r="CI112" s="179">
        <f>IFERROR(__xludf.DUMMYFUNCTION("""COMPUTED_VALUE"""),11.0)</f>
        <v>11</v>
      </c>
      <c r="CJ112" s="16"/>
      <c r="CK112" s="16"/>
      <c r="CL112" s="16"/>
      <c r="CM112" s="16"/>
      <c r="CN112" s="16"/>
      <c r="CO112" s="16">
        <f>IFERROR(__xludf.DUMMYFUNCTION("""COMPUTED_VALUE"""),107.0)</f>
        <v>107</v>
      </c>
      <c r="CP112" s="16">
        <f>IFERROR(__xludf.DUMMYFUNCTION("""COMPUTED_VALUE"""),307.0)</f>
        <v>307</v>
      </c>
      <c r="CQ112" s="16">
        <f>IFERROR(__xludf.DUMMYFUNCTION("""COMPUTED_VALUE"""),307.0)</f>
        <v>307</v>
      </c>
      <c r="CR112" s="16" t="str">
        <f>IFERROR(__xludf.DUMMYFUNCTION("""COMPUTED_VALUE"""),"lf-1(-2)e7 cf-3e7 rf-3e7")</f>
        <v>lf-1(-2)e7 cf-3e7 rf-3e7</v>
      </c>
      <c r="CS112" s="16"/>
      <c r="CT112" s="16"/>
      <c r="CU112" s="16"/>
      <c r="CV112" s="16"/>
      <c r="CW112" s="16"/>
      <c r="CX112" s="16">
        <f>IFERROR(__xludf.DUMMYFUNCTION("""COMPUTED_VALUE"""),1.0)</f>
        <v>1</v>
      </c>
      <c r="CY112" s="16">
        <f>IFERROR(__xludf.DUMMYFUNCTION("""COMPUTED_VALUE"""),3.0)</f>
        <v>3</v>
      </c>
      <c r="CZ112" s="16">
        <f>IFERROR(__xludf.DUMMYFUNCTION("""COMPUTED_VALUE"""),3.0)</f>
        <v>3</v>
      </c>
      <c r="DA112" s="16"/>
      <c r="DB112" s="16"/>
      <c r="DC112" s="16"/>
      <c r="DD112" s="16"/>
      <c r="DE112" s="16"/>
      <c r="DF112" s="16">
        <f>IFERROR(__xludf.DUMMYFUNCTION("""COMPUTED_VALUE"""),7.0)</f>
        <v>7</v>
      </c>
      <c r="DG112" s="16">
        <f>IFERROR(__xludf.DUMMYFUNCTION("""COMPUTED_VALUE"""),7.0)</f>
        <v>7</v>
      </c>
      <c r="DH112" s="16">
        <f>IFERROR(__xludf.DUMMYFUNCTION("""COMPUTED_VALUE"""),7.0)</f>
        <v>7</v>
      </c>
      <c r="DI112" s="16"/>
      <c r="DJ112" s="16"/>
      <c r="DK112" s="16"/>
      <c r="DL112" s="16"/>
      <c r="DM112" s="16"/>
      <c r="DN112" s="16">
        <f>IFERROR(__xludf.DUMMYFUNCTION("""COMPUTED_VALUE"""),4.0)</f>
        <v>4</v>
      </c>
      <c r="DO112" s="16">
        <f>IFERROR(__xludf.DUMMYFUNCTION("""COMPUTED_VALUE"""),0.0)</f>
        <v>0</v>
      </c>
      <c r="DP112" s="16">
        <f>IFERROR(__xludf.DUMMYFUNCTION("""COMPUTED_VALUE"""),0.0)</f>
        <v>0</v>
      </c>
      <c r="DQ112" s="16"/>
      <c r="DR112" s="16"/>
      <c r="DS112" s="16"/>
      <c r="DT112" s="16"/>
      <c r="DU112" s="16"/>
      <c r="DV112" s="16">
        <f>IFERROR(__xludf.DUMMYFUNCTION("""COMPUTED_VALUE"""),2.0)</f>
        <v>2</v>
      </c>
      <c r="DW112" s="16">
        <f>IFERROR(__xludf.DUMMYFUNCTION("""COMPUTED_VALUE"""),3.0)</f>
        <v>3</v>
      </c>
      <c r="DX112" s="16">
        <f>IFERROR(__xludf.DUMMYFUNCTION("""COMPUTED_VALUE"""),2.0)</f>
        <v>2</v>
      </c>
      <c r="DY112" s="16"/>
      <c r="DZ112" s="16"/>
      <c r="EA112" s="16"/>
      <c r="EB112" s="16"/>
      <c r="EC112" s="16"/>
      <c r="ED112" s="16">
        <f>IFERROR(__xludf.DUMMYFUNCTION("""COMPUTED_VALUE"""),6.0)</f>
        <v>6</v>
      </c>
      <c r="EE112" s="16">
        <f>IFERROR(__xludf.DUMMYFUNCTION("""COMPUTED_VALUE"""),3.0)</f>
        <v>3</v>
      </c>
      <c r="EF112" s="16">
        <f>IFERROR(__xludf.DUMMYFUNCTION("""COMPUTED_VALUE"""),2.0)</f>
        <v>2</v>
      </c>
      <c r="EG112" s="179"/>
      <c r="EH112" s="179"/>
      <c r="EI112" s="179"/>
      <c r="EJ112" s="179"/>
      <c r="EK112" s="179"/>
      <c r="EL112" s="179">
        <f>IFERROR(__xludf.DUMMYFUNCTION("""COMPUTED_VALUE"""),17.0)</f>
        <v>17</v>
      </c>
      <c r="EM112" s="179">
        <f>IFERROR(__xludf.DUMMYFUNCTION("""COMPUTED_VALUE"""),14.0)</f>
        <v>14</v>
      </c>
      <c r="EN112" s="179">
        <f>IFERROR(__xludf.DUMMYFUNCTION("""COMPUTED_VALUE"""),13.0)</f>
        <v>13</v>
      </c>
      <c r="EO112" s="16"/>
      <c r="EP112" s="16"/>
      <c r="EQ112" s="16">
        <f>IFERROR(__xludf.DUMMYFUNCTION("""COMPUTED_VALUE"""),4.0)</f>
        <v>4</v>
      </c>
      <c r="ER112" s="16">
        <f>IFERROR(__xludf.DUMMYFUNCTION("""COMPUTED_VALUE"""),1.0)</f>
        <v>1</v>
      </c>
      <c r="ES112" s="16"/>
      <c r="ET112" s="16"/>
      <c r="EU112" s="16"/>
      <c r="EV112" s="16"/>
      <c r="EW112" s="16"/>
      <c r="EX112" s="180"/>
      <c r="EY112" s="180"/>
      <c r="EZ112" s="180"/>
      <c r="FA112" s="180"/>
      <c r="FB112" s="180"/>
      <c r="FC112" s="180">
        <f>IFERROR(__xludf.DUMMYFUNCTION("""COMPUTED_VALUE"""),0.0)</f>
        <v>0</v>
      </c>
      <c r="FD112" s="180">
        <f>IFERROR(__xludf.DUMMYFUNCTION("""COMPUTED_VALUE"""),0.3)</f>
        <v>0.3</v>
      </c>
      <c r="FE112" s="180">
        <f>IFERROR(__xludf.DUMMYFUNCTION("""COMPUTED_VALUE"""),0.3)</f>
        <v>0.3</v>
      </c>
      <c r="FF112" s="180"/>
      <c r="FG112" s="180"/>
      <c r="FH112" s="180"/>
      <c r="FI112" s="180"/>
      <c r="FJ112" s="180"/>
      <c r="FK112" s="180">
        <f>IFERROR(__xludf.DUMMYFUNCTION("""COMPUTED_VALUE"""),0.125)</f>
        <v>0.125</v>
      </c>
      <c r="FL112" s="180">
        <f>IFERROR(__xludf.DUMMYFUNCTION("""COMPUTED_VALUE"""),0.08333333333333333)</f>
        <v>0.08333333333</v>
      </c>
      <c r="FM112" s="180">
        <f>IFERROR(__xludf.DUMMYFUNCTION("""COMPUTED_VALUE"""),0.125)</f>
        <v>0.125</v>
      </c>
      <c r="FN112" s="16"/>
      <c r="FO112" s="16"/>
      <c r="FP112" s="16"/>
      <c r="FQ112" s="16"/>
      <c r="FR112" s="16"/>
      <c r="FS112" s="16">
        <f>IFERROR(__xludf.DUMMYFUNCTION("""COMPUTED_VALUE"""),0.875)</f>
        <v>0.875</v>
      </c>
      <c r="FT112" s="16">
        <f>IFERROR(__xludf.DUMMYFUNCTION("""COMPUTED_VALUE"""),0.6416666666666666)</f>
        <v>0.6416666667</v>
      </c>
      <c r="FU112" s="16">
        <f>IFERROR(__xludf.DUMMYFUNCTION("""COMPUTED_VALUE"""),0.6124999999999999)</f>
        <v>0.6125</v>
      </c>
      <c r="FV112" s="16"/>
      <c r="FW112" s="16"/>
      <c r="FX112" s="16"/>
      <c r="FY112" s="16"/>
      <c r="FZ112" s="16"/>
      <c r="GA112" s="16">
        <f>IFERROR(__xludf.DUMMYFUNCTION("""COMPUTED_VALUE"""),4.0)</f>
        <v>4</v>
      </c>
      <c r="GB112" s="16">
        <f>IFERROR(__xludf.DUMMYFUNCTION("""COMPUTED_VALUE"""),-6.0)</f>
        <v>-6</v>
      </c>
      <c r="GC112" s="16">
        <f>IFERROR(__xludf.DUMMYFUNCTION("""COMPUTED_VALUE"""),-6.0)</f>
        <v>-6</v>
      </c>
      <c r="GD112" s="16" t="s">
        <v>228</v>
      </c>
    </row>
    <row r="113">
      <c r="A113" s="16">
        <f>IFERROR(__xludf.DUMMYFUNCTION("""COMPUTED_VALUE"""),12817.0)</f>
        <v>12817</v>
      </c>
      <c r="B113" s="16" t="str">
        <f>IFERROR(__xludf.DUMMYFUNCTION("""COMPUTED_VALUE"""),"Fernando Tatis Jr")</f>
        <v>Fernando Tatis Jr</v>
      </c>
      <c r="C113" s="16">
        <f>IFERROR(__xludf.DUMMYFUNCTION("""COMPUTED_VALUE"""),1.72)</f>
        <v>1.72</v>
      </c>
      <c r="D113" s="16" t="str">
        <f>IFERROR(__xludf.DUMMYFUNCTION("""COMPUTED_VALUE"""),"R")</f>
        <v>R</v>
      </c>
      <c r="E113" s="16"/>
      <c r="F113" s="16"/>
      <c r="G113" s="16">
        <f>IFERROR(__xludf.DUMMYFUNCTION("""COMPUTED_VALUE"""),398.0)</f>
        <v>398</v>
      </c>
      <c r="H113" s="16">
        <f>IFERROR(__xludf.DUMMYFUNCTION("""COMPUTED_VALUE"""),32.0)</f>
        <v>32</v>
      </c>
      <c r="I113" s="16" t="str">
        <f>IFERROR(__xludf.DUMMYFUNCTION("""COMPUTED_VALUE"""),"4p50")</f>
        <v>4p50</v>
      </c>
      <c r="J113" s="16">
        <f>IFERROR(__xludf.DUMMYFUNCTION("""COMPUTED_VALUE"""),32.0)</f>
        <v>32</v>
      </c>
      <c r="K113" s="16">
        <f>IFERROR(__xludf.DUMMYFUNCTION("""COMPUTED_VALUE"""),18.0)</f>
        <v>18</v>
      </c>
      <c r="L113" s="16">
        <f>IFERROR(__xludf.DUMMYFUNCTION("""COMPUTED_VALUE"""),-1.0)</f>
        <v>-1</v>
      </c>
      <c r="M113" s="16">
        <f>IFERROR(__xludf.DUMMYFUNCTION("""COMPUTED_VALUE"""),1.0)</f>
        <v>1</v>
      </c>
      <c r="N113" s="16">
        <f>IFERROR(__xludf.DUMMYFUNCTION("""COMPUTED_VALUE"""),-1.0)</f>
        <v>-1</v>
      </c>
      <c r="O113" s="16">
        <f>IFERROR(__xludf.DUMMYFUNCTION("""COMPUTED_VALUE"""),1.0)</f>
        <v>1</v>
      </c>
      <c r="P113" s="16">
        <f>IFERROR(__xludf.DUMMYFUNCTION("""COMPUTED_VALUE"""),24.0)</f>
        <v>24</v>
      </c>
      <c r="Q113" s="16">
        <f>IFERROR(__xludf.DUMMYFUNCTION("""COMPUTED_VALUE"""),2.0)</f>
        <v>2</v>
      </c>
      <c r="R113" s="16">
        <f>IFERROR(__xludf.DUMMYFUNCTION("""COMPUTED_VALUE"""),3.0)</f>
        <v>3</v>
      </c>
      <c r="S113" s="16">
        <f>IFERROR(__xludf.DUMMYFUNCTION("""COMPUTED_VALUE"""),-2.0)</f>
        <v>-2</v>
      </c>
      <c r="T113" s="16">
        <f>IFERROR(__xludf.DUMMYFUNCTION("""COMPUTED_VALUE"""),3.0)</f>
        <v>3</v>
      </c>
      <c r="U113" s="16">
        <f>IFERROR(__xludf.DUMMYFUNCTION("""COMPUTED_VALUE"""),-2.0)</f>
        <v>-2</v>
      </c>
      <c r="V113" s="16">
        <f>IFERROR(__xludf.DUMMYFUNCTION("""COMPUTED_VALUE"""),18.5)</f>
        <v>18.5</v>
      </c>
      <c r="W113" s="16">
        <f>IFERROR(__xludf.DUMMYFUNCTION("""COMPUTED_VALUE"""),28.0)</f>
        <v>28</v>
      </c>
      <c r="X113" s="16">
        <f>IFERROR(__xludf.DUMMYFUNCTION("""COMPUTED_VALUE"""),0.0)</f>
        <v>0</v>
      </c>
      <c r="Y113" s="16">
        <f>IFERROR(__xludf.DUMMYFUNCTION("""COMPUTED_VALUE"""),2.0)</f>
        <v>2</v>
      </c>
      <c r="Z113" s="16">
        <f>IFERROR(__xludf.DUMMYFUNCTION("""COMPUTED_VALUE"""),0.0)</f>
        <v>0</v>
      </c>
      <c r="AA113" s="16">
        <f>IFERROR(__xludf.DUMMYFUNCTION("""COMPUTED_VALUE"""),4.0)</f>
        <v>4</v>
      </c>
      <c r="AB113" s="16">
        <f>IFERROR(__xludf.DUMMYFUNCTION("""COMPUTED_VALUE"""),46.5)</f>
        <v>46.5</v>
      </c>
      <c r="AC113" s="16">
        <f>IFERROR(__xludf.DUMMYFUNCTION("""COMPUTED_VALUE"""),34.0)</f>
        <v>34</v>
      </c>
      <c r="AD113" s="16">
        <f>IFERROR(__xludf.DUMMYFUNCTION("""COMPUTED_VALUE"""),2.0)</f>
        <v>2</v>
      </c>
      <c r="AE113" s="16">
        <f>IFERROR(__xludf.DUMMYFUNCTION("""COMPUTED_VALUE"""),0.0)</f>
        <v>0</v>
      </c>
      <c r="AF113" s="16">
        <f>IFERROR(__xludf.DUMMYFUNCTION("""COMPUTED_VALUE"""),10.0)</f>
        <v>10</v>
      </c>
      <c r="AG113" s="16">
        <f>IFERROR(__xludf.DUMMYFUNCTION("""COMPUTED_VALUE"""),0.0)</f>
        <v>0</v>
      </c>
      <c r="AH113" s="16">
        <f>IFERROR(__xludf.DUMMYFUNCTION("""COMPUTED_VALUE"""),21.1)</f>
        <v>21.1</v>
      </c>
      <c r="AI113" s="16">
        <f>IFERROR(__xludf.DUMMYFUNCTION("""COMPUTED_VALUE"""),50.6)</f>
        <v>50.6</v>
      </c>
      <c r="AJ113" s="16">
        <f>IFERROR(__xludf.DUMMYFUNCTION("""COMPUTED_VALUE"""),-1.0)</f>
        <v>-1</v>
      </c>
      <c r="AK113" s="16">
        <f>IFERROR(__xludf.DUMMYFUNCTION("""COMPUTED_VALUE"""),2.0)</f>
        <v>2</v>
      </c>
      <c r="AL113" s="16">
        <f>IFERROR(__xludf.DUMMYFUNCTION("""COMPUTED_VALUE"""),-5.0)</f>
        <v>-5</v>
      </c>
      <c r="AM113" s="16">
        <f>IFERROR(__xludf.DUMMYFUNCTION("""COMPUTED_VALUE"""),10.0)</f>
        <v>10</v>
      </c>
      <c r="AN113" s="16">
        <f>IFERROR(__xludf.DUMMYFUNCTION("""COMPUTED_VALUE"""),0.3)</f>
        <v>0.3</v>
      </c>
      <c r="AO113" s="16">
        <f>IFERROR(__xludf.DUMMYFUNCTION("""COMPUTED_VALUE"""),5.4)</f>
        <v>5.4</v>
      </c>
      <c r="AP113" s="16">
        <f>IFERROR(__xludf.DUMMYFUNCTION("""COMPUTED_VALUE"""),-2.0)</f>
        <v>-2</v>
      </c>
      <c r="AQ113" s="16">
        <f>IFERROR(__xludf.DUMMYFUNCTION("""COMPUTED_VALUE"""),3.0)</f>
        <v>3</v>
      </c>
      <c r="AR113" s="16">
        <f>IFERROR(__xludf.DUMMYFUNCTION("""COMPUTED_VALUE"""),-4.0)</f>
        <v>-4</v>
      </c>
      <c r="AS113" s="16">
        <f>IFERROR(__xludf.DUMMYFUNCTION("""COMPUTED_VALUE"""),6.0)</f>
        <v>6</v>
      </c>
      <c r="AT113" s="16">
        <f>IFERROR(__xludf.DUMMYFUNCTION("""COMPUTED_VALUE"""),0.0)</f>
        <v>0</v>
      </c>
      <c r="AU113" s="16">
        <f>IFERROR(__xludf.DUMMYFUNCTION("""COMPUTED_VALUE"""),8.0)</f>
        <v>8</v>
      </c>
      <c r="AV113" s="16">
        <f>IFERROR(__xludf.DUMMYFUNCTION("""COMPUTED_VALUE"""),8.0)</f>
        <v>8</v>
      </c>
      <c r="AW113" s="16">
        <f>IFERROR(__xludf.DUMMYFUNCTION("""COMPUTED_VALUE"""),-3.0)</f>
        <v>-3</v>
      </c>
      <c r="AX113" s="16">
        <f>IFERROR(__xludf.DUMMYFUNCTION("""COMPUTED_VALUE"""),3.0)</f>
        <v>3</v>
      </c>
      <c r="AY113" s="16">
        <f>IFERROR(__xludf.DUMMYFUNCTION("""COMPUTED_VALUE"""),-3.0)</f>
        <v>-3</v>
      </c>
      <c r="AZ113" s="16">
        <f>IFERROR(__xludf.DUMMYFUNCTION("""COMPUTED_VALUE"""),9.0)</f>
        <v>9</v>
      </c>
      <c r="BA113" s="16">
        <f>IFERROR(__xludf.DUMMYFUNCTION("""COMPUTED_VALUE"""),-9.0)</f>
        <v>-9</v>
      </c>
      <c r="BB113" s="16">
        <f>IFERROR(__xludf.DUMMYFUNCTION("""COMPUTED_VALUE"""),0.0)</f>
        <v>0</v>
      </c>
      <c r="BC113" s="16">
        <f>IFERROR(__xludf.DUMMYFUNCTION("""COMPUTED_VALUE"""),0.0)</f>
        <v>0</v>
      </c>
      <c r="BD113" s="16">
        <f>IFERROR(__xludf.DUMMYFUNCTION("""COMPUTED_VALUE"""),0.0)</f>
        <v>0</v>
      </c>
      <c r="BE113" s="16">
        <f>IFERROR(__xludf.DUMMYFUNCTION("""COMPUTED_VALUE"""),0.0)</f>
        <v>0</v>
      </c>
      <c r="BF113" s="16">
        <f>IFERROR(__xludf.DUMMYFUNCTION("""COMPUTED_VALUE"""),0.0)</f>
        <v>0</v>
      </c>
      <c r="BG113" s="16">
        <f>IFERROR(__xludf.DUMMYFUNCTION("""COMPUTED_VALUE"""),0.0)</f>
        <v>0</v>
      </c>
      <c r="BH113" s="16">
        <f>IFERROR(__xludf.DUMMYFUNCTION("""COMPUTED_VALUE"""),-8.0)</f>
        <v>-8</v>
      </c>
      <c r="BI113" s="16">
        <f>IFERROR(__xludf.DUMMYFUNCTION("""COMPUTED_VALUE"""),-10.0)</f>
        <v>-10</v>
      </c>
      <c r="BJ113" s="16">
        <f>IFERROR(__xludf.DUMMYFUNCTION("""COMPUTED_VALUE"""),11.0)</f>
        <v>11</v>
      </c>
      <c r="BK113" s="16">
        <f>IFERROR(__xludf.DUMMYFUNCTION("""COMPUTED_VALUE"""),15.0)</f>
        <v>15</v>
      </c>
      <c r="BL113" s="16">
        <f>IFERROR(__xludf.DUMMYFUNCTION("""COMPUTED_VALUE"""),0.0)</f>
        <v>0</v>
      </c>
      <c r="BM113" s="16">
        <f>IFERROR(__xludf.DUMMYFUNCTION("""COMPUTED_VALUE"""),-1.0)</f>
        <v>-1</v>
      </c>
      <c r="BN113" s="16">
        <f>IFERROR(__xludf.DUMMYFUNCTION("""COMPUTED_VALUE"""),0.0)</f>
        <v>0</v>
      </c>
      <c r="BO113" s="16">
        <f>IFERROR(__xludf.DUMMYFUNCTION("""COMPUTED_VALUE"""),-2.0)</f>
        <v>-2</v>
      </c>
      <c r="BP113" s="16">
        <f>IFERROR(__xludf.DUMMYFUNCTION("""COMPUTED_VALUE"""),4.0)</f>
        <v>4</v>
      </c>
      <c r="BQ113" s="16">
        <f>IFERROR(__xludf.DUMMYFUNCTION("""COMPUTED_VALUE"""),2.0)</f>
        <v>2</v>
      </c>
      <c r="BR113" s="16">
        <f>IFERROR(__xludf.DUMMYFUNCTION("""COMPUTED_VALUE"""),6.0)</f>
        <v>6</v>
      </c>
      <c r="BS113" s="16" t="str">
        <f>IFERROR(__xludf.DUMMYFUNCTION("""COMPUTED_VALUE"""),"*4,5/- (18-11)")</f>
        <v>*4,5/- (18-11)</v>
      </c>
      <c r="BT113" s="16" t="str">
        <f>IFERROR(__xludf.DUMMYFUNCTION("""COMPUTED_VALUE"""),"B")</f>
        <v>B</v>
      </c>
      <c r="BU113" s="16">
        <f>IFERROR(__xludf.DUMMYFUNCTION("""COMPUTED_VALUE"""),15.0)</f>
        <v>15</v>
      </c>
      <c r="BV113" s="16">
        <f>IFERROR(__xludf.DUMMYFUNCTION("""COMPUTED_VALUE"""),1.0)</f>
        <v>1</v>
      </c>
      <c r="BW113" s="16">
        <f>IFERROR(__xludf.DUMMYFUNCTION("""COMPUTED_VALUE"""),2.0)</f>
        <v>2</v>
      </c>
      <c r="BX113" s="16">
        <f>IFERROR(__xludf.DUMMYFUNCTION("""COMPUTED_VALUE"""),2.0)</f>
        <v>2</v>
      </c>
      <c r="BY113" s="16">
        <f>IFERROR(__xludf.DUMMYFUNCTION("""COMPUTED_VALUE"""),6.0)</f>
        <v>6</v>
      </c>
      <c r="BZ113" s="16" t="str">
        <f>IFERROR(__xludf.DUMMYFUNCTION("""COMPUTED_VALUE"""),"D")</f>
        <v>D</v>
      </c>
      <c r="CA113" s="16" t="str">
        <f>IFERROR(__xludf.DUMMYFUNCTION("""COMPUTED_VALUE"""),"B")</f>
        <v>B</v>
      </c>
      <c r="CB113" s="16">
        <f>IFERROR(__xludf.DUMMYFUNCTION("""COMPUTED_VALUE"""),0.0)</f>
        <v>0</v>
      </c>
      <c r="CC113" s="16">
        <f>IFERROR(__xludf.DUMMYFUNCTION("""COMPUTED_VALUE"""),1.0)</f>
        <v>1</v>
      </c>
      <c r="CD113" s="16">
        <f>IFERROR(__xludf.DUMMYFUNCTION("""COMPUTED_VALUE"""),0.0)</f>
        <v>0</v>
      </c>
      <c r="CE113" s="16">
        <f>IFERROR(__xludf.DUMMYFUNCTION("""COMPUTED_VALUE"""),2.0)</f>
        <v>2</v>
      </c>
      <c r="CF113" s="16">
        <f>IFERROR(__xludf.DUMMYFUNCTION("""COMPUTED_VALUE"""),4.0)</f>
        <v>4</v>
      </c>
      <c r="CG113" s="16">
        <f>IFERROR(__xludf.DUMMYFUNCTION("""COMPUTED_VALUE"""),12.0)</f>
        <v>12</v>
      </c>
      <c r="CH113" s="16">
        <f>IFERROR(__xludf.DUMMYFUNCTION("""COMPUTED_VALUE"""),8.0)</f>
        <v>8</v>
      </c>
      <c r="CI113" s="179">
        <f>IFERROR(__xludf.DUMMYFUNCTION("""COMPUTED_VALUE"""),11.0)</f>
        <v>11</v>
      </c>
      <c r="CJ113" s="16"/>
      <c r="CK113" s="16"/>
      <c r="CL113" s="16"/>
      <c r="CM113" s="16"/>
      <c r="CN113" s="16"/>
      <c r="CO113" s="16"/>
      <c r="CP113" s="16"/>
      <c r="CQ113" s="16">
        <f>IFERROR(__xludf.DUMMYFUNCTION("""COMPUTED_VALUE"""),209.0)</f>
        <v>209</v>
      </c>
      <c r="CR113" s="16" t="str">
        <f>IFERROR(__xludf.DUMMYFUNCTION("""COMPUTED_VALUE"""),"rf-2(-3)e9")</f>
        <v>rf-2(-3)e9</v>
      </c>
      <c r="CS113" s="16"/>
      <c r="CT113" s="16"/>
      <c r="CU113" s="16"/>
      <c r="CV113" s="16"/>
      <c r="CW113" s="16"/>
      <c r="CX113" s="16"/>
      <c r="CY113" s="16"/>
      <c r="CZ113" s="16">
        <f>IFERROR(__xludf.DUMMYFUNCTION("""COMPUTED_VALUE"""),2.0)</f>
        <v>2</v>
      </c>
      <c r="DA113" s="16"/>
      <c r="DB113" s="16"/>
      <c r="DC113" s="16"/>
      <c r="DD113" s="16"/>
      <c r="DE113" s="16"/>
      <c r="DF113" s="16"/>
      <c r="DG113" s="16"/>
      <c r="DH113" s="16">
        <f>IFERROR(__xludf.DUMMYFUNCTION("""COMPUTED_VALUE"""),9.0)</f>
        <v>9</v>
      </c>
      <c r="DI113" s="16"/>
      <c r="DJ113" s="16"/>
      <c r="DK113" s="16"/>
      <c r="DL113" s="16"/>
      <c r="DM113" s="16"/>
      <c r="DN113" s="16"/>
      <c r="DO113" s="16"/>
      <c r="DP113" s="16">
        <f>IFERROR(__xludf.DUMMYFUNCTION("""COMPUTED_VALUE"""),3.0)</f>
        <v>3</v>
      </c>
      <c r="DQ113" s="16"/>
      <c r="DR113" s="16"/>
      <c r="DS113" s="16"/>
      <c r="DT113" s="16"/>
      <c r="DU113" s="16"/>
      <c r="DV113" s="16"/>
      <c r="DW113" s="16"/>
      <c r="DX113" s="16">
        <f>IFERROR(__xludf.DUMMYFUNCTION("""COMPUTED_VALUE"""),0.0)</f>
        <v>0</v>
      </c>
      <c r="DY113" s="16"/>
      <c r="DZ113" s="16"/>
      <c r="EA113" s="16"/>
      <c r="EB113" s="16"/>
      <c r="EC113" s="16"/>
      <c r="ED113" s="16"/>
      <c r="EE113" s="16"/>
      <c r="EF113" s="16">
        <f>IFERROR(__xludf.DUMMYFUNCTION("""COMPUTED_VALUE"""),3.0)</f>
        <v>3</v>
      </c>
      <c r="EG113" s="179"/>
      <c r="EH113" s="179"/>
      <c r="EI113" s="179"/>
      <c r="EJ113" s="179"/>
      <c r="EK113" s="179"/>
      <c r="EL113" s="179"/>
      <c r="EM113" s="179"/>
      <c r="EN113" s="179">
        <f>IFERROR(__xludf.DUMMYFUNCTION("""COMPUTED_VALUE"""),14.0)</f>
        <v>14</v>
      </c>
      <c r="EO113" s="16"/>
      <c r="EP113" s="16"/>
      <c r="EQ113" s="16">
        <f>IFERROR(__xludf.DUMMYFUNCTION("""COMPUTED_VALUE"""),-1.0)</f>
        <v>-1</v>
      </c>
      <c r="ER113" s="16">
        <f>IFERROR(__xludf.DUMMYFUNCTION("""COMPUTED_VALUE"""),0.0)</f>
        <v>0</v>
      </c>
      <c r="ES113" s="16"/>
      <c r="ET113" s="16"/>
      <c r="EU113" s="16"/>
      <c r="EV113" s="16"/>
      <c r="EW113" s="16"/>
      <c r="EX113" s="180"/>
      <c r="EY113" s="180"/>
      <c r="EZ113" s="180"/>
      <c r="FA113" s="180"/>
      <c r="FB113" s="180"/>
      <c r="FC113" s="180"/>
      <c r="FD113" s="180"/>
      <c r="FE113" s="180">
        <f>IFERROR(__xludf.DUMMYFUNCTION("""COMPUTED_VALUE"""),0.15)</f>
        <v>0.15</v>
      </c>
      <c r="FF113" s="180"/>
      <c r="FG113" s="180"/>
      <c r="FH113" s="180"/>
      <c r="FI113" s="180"/>
      <c r="FJ113" s="180"/>
      <c r="FK113" s="180"/>
      <c r="FL113" s="180"/>
      <c r="FM113" s="180">
        <f>IFERROR(__xludf.DUMMYFUNCTION("""COMPUTED_VALUE"""),0.162)</f>
        <v>0.162</v>
      </c>
      <c r="FN113" s="16"/>
      <c r="FO113" s="16"/>
      <c r="FP113" s="16"/>
      <c r="FQ113" s="16"/>
      <c r="FR113" s="16"/>
      <c r="FS113" s="16"/>
      <c r="FT113" s="16"/>
      <c r="FU113" s="16">
        <f>IFERROR(__xludf.DUMMYFUNCTION("""COMPUTED_VALUE"""),0.7122999999999999)</f>
        <v>0.7123</v>
      </c>
      <c r="FV113" s="16"/>
      <c r="FW113" s="16"/>
      <c r="FX113" s="16"/>
      <c r="FY113" s="16"/>
      <c r="FZ113" s="16"/>
      <c r="GA113" s="16"/>
      <c r="GB113" s="16"/>
      <c r="GC113" s="16">
        <f>IFERROR(__xludf.DUMMYFUNCTION("""COMPUTED_VALUE"""),-4.0)</f>
        <v>-4</v>
      </c>
      <c r="GD113" s="16" t="s">
        <v>333</v>
      </c>
    </row>
    <row r="114">
      <c r="A114" s="16">
        <f>IFERROR(__xludf.DUMMYFUNCTION("""COMPUTED_VALUE"""),13129.0)</f>
        <v>13129</v>
      </c>
      <c r="B114" s="16" t="str">
        <f>IFERROR(__xludf.DUMMYFUNCTION("""COMPUTED_VALUE"""),"Luis Garcia")</f>
        <v>Luis Garcia</v>
      </c>
      <c r="C114" s="16">
        <f>IFERROR(__xludf.DUMMYFUNCTION("""COMPUTED_VALUE"""),0.0)</f>
        <v>0</v>
      </c>
      <c r="D114" s="16" t="str">
        <f>IFERROR(__xludf.DUMMYFUNCTION("""COMPUTED_VALUE"""),"L")</f>
        <v>L</v>
      </c>
      <c r="E114" s="16"/>
      <c r="F114" s="16"/>
      <c r="G114" s="16">
        <f>IFERROR(__xludf.DUMMYFUNCTION("""COMPUTED_VALUE"""),500.0)</f>
        <v>500</v>
      </c>
      <c r="H114" s="16">
        <f>IFERROR(__xludf.DUMMYFUNCTION("""COMPUTED_VALUE"""),27.0)</f>
        <v>27</v>
      </c>
      <c r="I114" s="16" t="str">
        <f>IFERROR(__xludf.DUMMYFUNCTION("""COMPUTED_VALUE"""),"2p50")</f>
        <v>2p50</v>
      </c>
      <c r="J114" s="16">
        <f>IFERROR(__xludf.DUMMYFUNCTION("""COMPUTED_VALUE"""),13.0)</f>
        <v>13</v>
      </c>
      <c r="K114" s="16">
        <f>IFERROR(__xludf.DUMMYFUNCTION("""COMPUTED_VALUE"""),10.0)</f>
        <v>10</v>
      </c>
      <c r="L114" s="16">
        <f>IFERROR(__xludf.DUMMYFUNCTION("""COMPUTED_VALUE"""),1.0)</f>
        <v>1</v>
      </c>
      <c r="M114" s="16">
        <f>IFERROR(__xludf.DUMMYFUNCTION("""COMPUTED_VALUE"""),2.0)</f>
        <v>2</v>
      </c>
      <c r="N114" s="16">
        <f>IFERROR(__xludf.DUMMYFUNCTION("""COMPUTED_VALUE"""),1.0)</f>
        <v>1</v>
      </c>
      <c r="O114" s="16">
        <f>IFERROR(__xludf.DUMMYFUNCTION("""COMPUTED_VALUE"""),2.0)</f>
        <v>2</v>
      </c>
      <c r="P114" s="16">
        <f>IFERROR(__xludf.DUMMYFUNCTION("""COMPUTED_VALUE"""),2.0)</f>
        <v>2</v>
      </c>
      <c r="Q114" s="16">
        <f>IFERROR(__xludf.DUMMYFUNCTION("""COMPUTED_VALUE"""),1.0)</f>
        <v>1</v>
      </c>
      <c r="R114" s="16">
        <f>IFERROR(__xludf.DUMMYFUNCTION("""COMPUTED_VALUE"""),-2.0)</f>
        <v>-2</v>
      </c>
      <c r="S114" s="16">
        <f>IFERROR(__xludf.DUMMYFUNCTION("""COMPUTED_VALUE"""),-2.0)</f>
        <v>-2</v>
      </c>
      <c r="T114" s="16">
        <f>IFERROR(__xludf.DUMMYFUNCTION("""COMPUTED_VALUE"""),-2.0)</f>
        <v>-2</v>
      </c>
      <c r="U114" s="16">
        <f>IFERROR(__xludf.DUMMYFUNCTION("""COMPUTED_VALUE"""),-2.0)</f>
        <v>-2</v>
      </c>
      <c r="V114" s="16">
        <f>IFERROR(__xludf.DUMMYFUNCTION("""COMPUTED_VALUE"""),26.9)</f>
        <v>26.9</v>
      </c>
      <c r="W114" s="16">
        <f>IFERROR(__xludf.DUMMYFUNCTION("""COMPUTED_VALUE"""),29.6)</f>
        <v>29.6</v>
      </c>
      <c r="X114" s="16">
        <f>IFERROR(__xludf.DUMMYFUNCTION("""COMPUTED_VALUE"""),1.0)</f>
        <v>1</v>
      </c>
      <c r="Y114" s="16">
        <f>IFERROR(__xludf.DUMMYFUNCTION("""COMPUTED_VALUE"""),2.0)</f>
        <v>2</v>
      </c>
      <c r="Z114" s="16">
        <f>IFERROR(__xludf.DUMMYFUNCTION("""COMPUTED_VALUE"""),2.0)</f>
        <v>2</v>
      </c>
      <c r="AA114" s="16">
        <f>IFERROR(__xludf.DUMMYFUNCTION("""COMPUTED_VALUE"""),4.0)</f>
        <v>4</v>
      </c>
      <c r="AB114" s="16">
        <f>IFERROR(__xludf.DUMMYFUNCTION("""COMPUTED_VALUE"""),28.9)</f>
        <v>28.9</v>
      </c>
      <c r="AC114" s="16">
        <f>IFERROR(__xludf.DUMMYFUNCTION("""COMPUTED_VALUE"""),30.6)</f>
        <v>30.6</v>
      </c>
      <c r="AD114" s="16">
        <f>IFERROR(__xludf.DUMMYFUNCTION("""COMPUTED_VALUE"""),0.0)</f>
        <v>0</v>
      </c>
      <c r="AE114" s="16">
        <f>IFERROR(__xludf.DUMMYFUNCTION("""COMPUTED_VALUE"""),0.0)</f>
        <v>0</v>
      </c>
      <c r="AF114" s="16">
        <f>IFERROR(__xludf.DUMMYFUNCTION("""COMPUTED_VALUE"""),0.0)</f>
        <v>0</v>
      </c>
      <c r="AG114" s="16">
        <f>IFERROR(__xludf.DUMMYFUNCTION("""COMPUTED_VALUE"""),0.0)</f>
        <v>0</v>
      </c>
      <c r="AH114" s="16">
        <f>IFERROR(__xludf.DUMMYFUNCTION("""COMPUTED_VALUE"""),40.0)</f>
        <v>40</v>
      </c>
      <c r="AI114" s="16">
        <f>IFERROR(__xludf.DUMMYFUNCTION("""COMPUTED_VALUE"""),42.8)</f>
        <v>42.8</v>
      </c>
      <c r="AJ114" s="16">
        <f>IFERROR(__xludf.DUMMYFUNCTION("""COMPUTED_VALUE"""),1.0)</f>
        <v>1</v>
      </c>
      <c r="AK114" s="16">
        <f>IFERROR(__xludf.DUMMYFUNCTION("""COMPUTED_VALUE"""),1.0)</f>
        <v>1</v>
      </c>
      <c r="AL114" s="16">
        <f>IFERROR(__xludf.DUMMYFUNCTION("""COMPUTED_VALUE"""),5.0)</f>
        <v>5</v>
      </c>
      <c r="AM114" s="16">
        <f>IFERROR(__xludf.DUMMYFUNCTION("""COMPUTED_VALUE"""),5.0)</f>
        <v>5</v>
      </c>
      <c r="AN114" s="16">
        <f>IFERROR(__xludf.DUMMYFUNCTION("""COMPUTED_VALUE"""),2.0)</f>
        <v>2</v>
      </c>
      <c r="AO114" s="16">
        <f>IFERROR(__xludf.DUMMYFUNCTION("""COMPUTED_VALUE"""),2.7)</f>
        <v>2.7</v>
      </c>
      <c r="AP114" s="16">
        <f>IFERROR(__xludf.DUMMYFUNCTION("""COMPUTED_VALUE"""),0.0)</f>
        <v>0</v>
      </c>
      <c r="AQ114" s="16">
        <f>IFERROR(__xludf.DUMMYFUNCTION("""COMPUTED_VALUE"""),0.0)</f>
        <v>0</v>
      </c>
      <c r="AR114" s="16">
        <f>IFERROR(__xludf.DUMMYFUNCTION("""COMPUTED_VALUE"""),0.0)</f>
        <v>0</v>
      </c>
      <c r="AS114" s="16">
        <f>IFERROR(__xludf.DUMMYFUNCTION("""COMPUTED_VALUE"""),0.0)</f>
        <v>0</v>
      </c>
      <c r="AT114" s="16"/>
      <c r="AU114" s="16">
        <f>IFERROR(__xludf.DUMMYFUNCTION("""COMPUTED_VALUE"""),5.0)</f>
        <v>5</v>
      </c>
      <c r="AV114" s="16">
        <f>IFERROR(__xludf.DUMMYFUNCTION("""COMPUTED_VALUE"""),-3.0)</f>
        <v>-3</v>
      </c>
      <c r="AW114" s="16">
        <f>IFERROR(__xludf.DUMMYFUNCTION("""COMPUTED_VALUE"""),5.0)</f>
        <v>5</v>
      </c>
      <c r="AX114" s="16">
        <f>IFERROR(__xludf.DUMMYFUNCTION("""COMPUTED_VALUE"""),-3.0)</f>
        <v>-3</v>
      </c>
      <c r="AY114" s="16">
        <f>IFERROR(__xludf.DUMMYFUNCTION("""COMPUTED_VALUE"""),2.0)</f>
        <v>2</v>
      </c>
      <c r="AZ114" s="16">
        <f>IFERROR(__xludf.DUMMYFUNCTION("""COMPUTED_VALUE"""),-9.0)</f>
        <v>-9</v>
      </c>
      <c r="BA114" s="16">
        <f>IFERROR(__xludf.DUMMYFUNCTION("""COMPUTED_VALUE"""),6.0)</f>
        <v>6</v>
      </c>
      <c r="BB114" s="16">
        <f>IFERROR(__xludf.DUMMYFUNCTION("""COMPUTED_VALUE"""),5.0)</f>
        <v>5</v>
      </c>
      <c r="BC114" s="16">
        <f>IFERROR(__xludf.DUMMYFUNCTION("""COMPUTED_VALUE"""),5.0)</f>
        <v>5</v>
      </c>
      <c r="BD114" s="16">
        <f>IFERROR(__xludf.DUMMYFUNCTION("""COMPUTED_VALUE"""),1.0)</f>
        <v>1</v>
      </c>
      <c r="BE114" s="16">
        <f>IFERROR(__xludf.DUMMYFUNCTION("""COMPUTED_VALUE"""),1.0)</f>
        <v>1</v>
      </c>
      <c r="BF114" s="16">
        <f>IFERROR(__xludf.DUMMYFUNCTION("""COMPUTED_VALUE"""),1.0)</f>
        <v>1</v>
      </c>
      <c r="BG114" s="16">
        <f>IFERROR(__xludf.DUMMYFUNCTION("""COMPUTED_VALUE"""),1.0)</f>
        <v>1</v>
      </c>
      <c r="BH114" s="16">
        <f>IFERROR(__xludf.DUMMYFUNCTION("""COMPUTED_VALUE"""),-8.0)</f>
        <v>-8</v>
      </c>
      <c r="BI114" s="16">
        <f>IFERROR(__xludf.DUMMYFUNCTION("""COMPUTED_VALUE"""),-8.0)</f>
        <v>-8</v>
      </c>
      <c r="BJ114" s="16">
        <f>IFERROR(__xludf.DUMMYFUNCTION("""COMPUTED_VALUE"""),20.0)</f>
        <v>20</v>
      </c>
      <c r="BK114" s="16">
        <f>IFERROR(__xludf.DUMMYFUNCTION("""COMPUTED_VALUE"""),20.0)</f>
        <v>20</v>
      </c>
      <c r="BL114" s="16">
        <f>IFERROR(__xludf.DUMMYFUNCTION("""COMPUTED_VALUE"""),-2.0)</f>
        <v>-2</v>
      </c>
      <c r="BM114" s="16">
        <f>IFERROR(__xludf.DUMMYFUNCTION("""COMPUTED_VALUE"""),-2.0)</f>
        <v>-2</v>
      </c>
      <c r="BN114" s="16">
        <f>IFERROR(__xludf.DUMMYFUNCTION("""COMPUTED_VALUE"""),-4.0)</f>
        <v>-4</v>
      </c>
      <c r="BO114" s="16">
        <f>IFERROR(__xludf.DUMMYFUNCTION("""COMPUTED_VALUE"""),-4.0)</f>
        <v>-4</v>
      </c>
      <c r="BP114" s="16">
        <f>IFERROR(__xludf.DUMMYFUNCTION("""COMPUTED_VALUE"""),-3.0)</f>
        <v>-3</v>
      </c>
      <c r="BQ114" s="16">
        <f>IFERROR(__xludf.DUMMYFUNCTION("""COMPUTED_VALUE"""),4.0)</f>
        <v>4</v>
      </c>
      <c r="BR114" s="16">
        <f>IFERROR(__xludf.DUMMYFUNCTION("""COMPUTED_VALUE"""),1.0)</f>
        <v>1</v>
      </c>
      <c r="BS114" s="16" t="str">
        <f>IFERROR(__xludf.DUMMYFUNCTION("""COMPUTED_VALUE"""),"*2-5/- (19-13)")</f>
        <v>*2-5/- (19-13)</v>
      </c>
      <c r="BT114" s="16" t="str">
        <f>IFERROR(__xludf.DUMMYFUNCTION("""COMPUTED_VALUE"""),"A")</f>
        <v>A</v>
      </c>
      <c r="BU114" s="16">
        <f>IFERROR(__xludf.DUMMYFUNCTION("""COMPUTED_VALUE"""),14.0)</f>
        <v>14</v>
      </c>
      <c r="BV114" s="16">
        <f>IFERROR(__xludf.DUMMYFUNCTION("""COMPUTED_VALUE"""),2.0)</f>
        <v>2</v>
      </c>
      <c r="BW114" s="16">
        <f>IFERROR(__xludf.DUMMYFUNCTION("""COMPUTED_VALUE"""),1.0)</f>
        <v>1</v>
      </c>
      <c r="BX114" s="16">
        <f>IFERROR(__xludf.DUMMYFUNCTION("""COMPUTED_VALUE"""),4.0)</f>
        <v>4</v>
      </c>
      <c r="BY114" s="16">
        <f>IFERROR(__xludf.DUMMYFUNCTION("""COMPUTED_VALUE"""),3.0)</f>
        <v>3</v>
      </c>
      <c r="BZ114" s="16" t="str">
        <f>IFERROR(__xludf.DUMMYFUNCTION("""COMPUTED_VALUE"""),"D")</f>
        <v>D</v>
      </c>
      <c r="CA114" s="16" t="str">
        <f>IFERROR(__xludf.DUMMYFUNCTION("""COMPUTED_VALUE"""),"C")</f>
        <v>C</v>
      </c>
      <c r="CB114" s="16">
        <f>IFERROR(__xludf.DUMMYFUNCTION("""COMPUTED_VALUE"""),0.0)</f>
        <v>0</v>
      </c>
      <c r="CC114" s="16">
        <f>IFERROR(__xludf.DUMMYFUNCTION("""COMPUTED_VALUE"""),0.0)</f>
        <v>0</v>
      </c>
      <c r="CD114" s="16">
        <f>IFERROR(__xludf.DUMMYFUNCTION("""COMPUTED_VALUE"""),0.0)</f>
        <v>0</v>
      </c>
      <c r="CE114" s="16">
        <f>IFERROR(__xludf.DUMMYFUNCTION("""COMPUTED_VALUE"""),0.0)</f>
        <v>0</v>
      </c>
      <c r="CF114" s="16">
        <f>IFERROR(__xludf.DUMMYFUNCTION("""COMPUTED_VALUE"""),1.0)</f>
        <v>1</v>
      </c>
      <c r="CG114" s="16">
        <f>IFERROR(__xludf.DUMMYFUNCTION("""COMPUTED_VALUE"""),-6.0)</f>
        <v>-6</v>
      </c>
      <c r="CH114" s="16">
        <f>IFERROR(__xludf.DUMMYFUNCTION("""COMPUTED_VALUE"""),12.0)</f>
        <v>12</v>
      </c>
      <c r="CI114" s="179">
        <f>IFERROR(__xludf.DUMMYFUNCTION("""COMPUTED_VALUE"""),11.0)</f>
        <v>11</v>
      </c>
      <c r="CJ114" s="16"/>
      <c r="CK114" s="16"/>
      <c r="CL114" s="16">
        <f>IFERROR(__xludf.DUMMYFUNCTION("""COMPUTED_VALUE"""),313.0)</f>
        <v>313</v>
      </c>
      <c r="CM114" s="16"/>
      <c r="CN114" s="16"/>
      <c r="CO114" s="16"/>
      <c r="CP114" s="16"/>
      <c r="CQ114" s="16"/>
      <c r="CR114" s="16" t="str">
        <f>IFERROR(__xludf.DUMMYFUNCTION("""COMPUTED_VALUE"""),"2b-3e13")</f>
        <v>2b-3e13</v>
      </c>
      <c r="CS114" s="16"/>
      <c r="CT114" s="16"/>
      <c r="CU114" s="16">
        <f>IFERROR(__xludf.DUMMYFUNCTION("""COMPUTED_VALUE"""),3.0)</f>
        <v>3</v>
      </c>
      <c r="CV114" s="16"/>
      <c r="CW114" s="16"/>
      <c r="CX114" s="16"/>
      <c r="CY114" s="16"/>
      <c r="CZ114" s="16"/>
      <c r="DA114" s="16"/>
      <c r="DB114" s="16"/>
      <c r="DC114" s="16">
        <f>IFERROR(__xludf.DUMMYFUNCTION("""COMPUTED_VALUE"""),13.0)</f>
        <v>13</v>
      </c>
      <c r="DD114" s="16"/>
      <c r="DE114" s="16"/>
      <c r="DF114" s="16"/>
      <c r="DG114" s="16"/>
      <c r="DH114" s="16"/>
      <c r="DI114" s="16"/>
      <c r="DJ114" s="16"/>
      <c r="DK114" s="16">
        <f>IFERROR(__xludf.DUMMYFUNCTION("""COMPUTED_VALUE"""),0.0)</f>
        <v>0</v>
      </c>
      <c r="DL114" s="16"/>
      <c r="DM114" s="16"/>
      <c r="DN114" s="16"/>
      <c r="DO114" s="16"/>
      <c r="DP114" s="16"/>
      <c r="DQ114" s="16"/>
      <c r="DR114" s="16"/>
      <c r="DS114" s="16">
        <f>IFERROR(__xludf.DUMMYFUNCTION("""COMPUTED_VALUE"""),2.0)</f>
        <v>2</v>
      </c>
      <c r="DT114" s="16"/>
      <c r="DU114" s="16"/>
      <c r="DV114" s="16"/>
      <c r="DW114" s="16"/>
      <c r="DX114" s="16"/>
      <c r="DY114" s="16"/>
      <c r="DZ114" s="16"/>
      <c r="EA114" s="16">
        <f>IFERROR(__xludf.DUMMYFUNCTION("""COMPUTED_VALUE"""),2.0)</f>
        <v>2</v>
      </c>
      <c r="EB114" s="16"/>
      <c r="EC114" s="16"/>
      <c r="ED114" s="16"/>
      <c r="EE114" s="16"/>
      <c r="EF114" s="16"/>
      <c r="EG114" s="179"/>
      <c r="EH114" s="179"/>
      <c r="EI114" s="179">
        <f>IFERROR(__xludf.DUMMYFUNCTION("""COMPUTED_VALUE"""),13.0)</f>
        <v>13</v>
      </c>
      <c r="EJ114" s="179"/>
      <c r="EK114" s="179"/>
      <c r="EL114" s="179"/>
      <c r="EM114" s="179"/>
      <c r="EN114" s="179"/>
      <c r="EO114" s="16"/>
      <c r="EP114" s="16">
        <f>IFERROR(__xludf.DUMMYFUNCTION("""COMPUTED_VALUE"""),2.2)</f>
        <v>2.2</v>
      </c>
      <c r="EQ114" s="16">
        <f>IFERROR(__xludf.DUMMYFUNCTION("""COMPUTED_VALUE"""),2.0)</f>
        <v>2</v>
      </c>
      <c r="ER114" s="16">
        <f>IFERROR(__xludf.DUMMYFUNCTION("""COMPUTED_VALUE"""),0.0)</f>
        <v>0</v>
      </c>
      <c r="ES114" s="16"/>
      <c r="ET114" s="16"/>
      <c r="EU114" s="16"/>
      <c r="EV114" s="16"/>
      <c r="EW114" s="16"/>
      <c r="EX114" s="180"/>
      <c r="EY114" s="180"/>
      <c r="EZ114" s="180">
        <f>IFERROR(__xludf.DUMMYFUNCTION("""COMPUTED_VALUE"""),0.2)</f>
        <v>0.2</v>
      </c>
      <c r="FA114" s="180"/>
      <c r="FB114" s="180"/>
      <c r="FC114" s="180"/>
      <c r="FD114" s="180"/>
      <c r="FE114" s="180"/>
      <c r="FF114" s="180"/>
      <c r="FG114" s="180"/>
      <c r="FH114" s="180">
        <f>IFERROR(__xludf.DUMMYFUNCTION("""COMPUTED_VALUE"""),0.0787037037037037)</f>
        <v>0.0787037037</v>
      </c>
      <c r="FI114" s="180"/>
      <c r="FJ114" s="180"/>
      <c r="FK114" s="180"/>
      <c r="FL114" s="180"/>
      <c r="FM114" s="180"/>
      <c r="FN114" s="16"/>
      <c r="FO114" s="16"/>
      <c r="FP114" s="16">
        <f>IFERROR(__xludf.DUMMYFUNCTION("""COMPUTED_VALUE"""),0.737037037037037)</f>
        <v>0.737037037</v>
      </c>
      <c r="FQ114" s="16"/>
      <c r="FR114" s="16"/>
      <c r="FS114" s="16"/>
      <c r="FT114" s="16"/>
      <c r="FU114" s="16"/>
      <c r="FV114" s="16"/>
      <c r="FW114" s="16"/>
      <c r="FX114" s="16">
        <f>IFERROR(__xludf.DUMMYFUNCTION("""COMPUTED_VALUE"""),-4.0)</f>
        <v>-4</v>
      </c>
      <c r="FY114" s="16"/>
      <c r="FZ114" s="16"/>
      <c r="GA114" s="16"/>
      <c r="GB114" s="16"/>
      <c r="GC114" s="16"/>
      <c r="GD114" s="16" t="s">
        <v>176</v>
      </c>
    </row>
    <row r="115">
      <c r="A115" s="16">
        <f>IFERROR(__xludf.DUMMYFUNCTION("""COMPUTED_VALUE"""),13048.0)</f>
        <v>13048</v>
      </c>
      <c r="B115" s="16" t="str">
        <f>IFERROR(__xludf.DUMMYFUNCTION("""COMPUTED_VALUE"""),"Juan Yepez")</f>
        <v>Juan Yepez</v>
      </c>
      <c r="C115" s="16">
        <f>IFERROR(__xludf.DUMMYFUNCTION("""COMPUTED_VALUE"""),0.7)</f>
        <v>0.7</v>
      </c>
      <c r="D115" s="16" t="str">
        <f>IFERROR(__xludf.DUMMYFUNCTION("""COMPUTED_VALUE"""),"R")</f>
        <v>R</v>
      </c>
      <c r="E115" s="16"/>
      <c r="F115" s="16"/>
      <c r="G115" s="16">
        <f>IFERROR(__xludf.DUMMYFUNCTION("""COMPUTED_VALUE"""),226.0)</f>
        <v>226</v>
      </c>
      <c r="H115" s="16">
        <f>IFERROR(__xludf.DUMMYFUNCTION("""COMPUTED_VALUE"""),18.0)</f>
        <v>18</v>
      </c>
      <c r="I115" s="16" t="str">
        <f>IFERROR(__xludf.DUMMYFUNCTION("""COMPUTED_VALUE"""),"1p30")</f>
        <v>1p30</v>
      </c>
      <c r="J115" s="16">
        <f>IFERROR(__xludf.DUMMYFUNCTION("""COMPUTED_VALUE"""),16.0)</f>
        <v>16</v>
      </c>
      <c r="K115" s="16">
        <f>IFERROR(__xludf.DUMMYFUNCTION("""COMPUTED_VALUE"""),10.0)</f>
        <v>10</v>
      </c>
      <c r="L115" s="16">
        <f>IFERROR(__xludf.DUMMYFUNCTION("""COMPUTED_VALUE"""),1.0)</f>
        <v>1</v>
      </c>
      <c r="M115" s="16">
        <f>IFERROR(__xludf.DUMMYFUNCTION("""COMPUTED_VALUE"""),2.0)</f>
        <v>2</v>
      </c>
      <c r="N115" s="16">
        <f>IFERROR(__xludf.DUMMYFUNCTION("""COMPUTED_VALUE"""),1.0)</f>
        <v>1</v>
      </c>
      <c r="O115" s="16">
        <f>IFERROR(__xludf.DUMMYFUNCTION("""COMPUTED_VALUE"""),2.0)</f>
        <v>2</v>
      </c>
      <c r="P115" s="16">
        <f>IFERROR(__xludf.DUMMYFUNCTION("""COMPUTED_VALUE"""),8.0)</f>
        <v>8</v>
      </c>
      <c r="Q115" s="16">
        <f>IFERROR(__xludf.DUMMYFUNCTION("""COMPUTED_VALUE"""),7.0)</f>
        <v>7</v>
      </c>
      <c r="R115" s="16">
        <f>IFERROR(__xludf.DUMMYFUNCTION("""COMPUTED_VALUE"""),0.0)</f>
        <v>0</v>
      </c>
      <c r="S115" s="16">
        <f>IFERROR(__xludf.DUMMYFUNCTION("""COMPUTED_VALUE"""),-1.0)</f>
        <v>-1</v>
      </c>
      <c r="T115" s="16">
        <f>IFERROR(__xludf.DUMMYFUNCTION("""COMPUTED_VALUE"""),0.0)</f>
        <v>0</v>
      </c>
      <c r="U115" s="16">
        <f>IFERROR(__xludf.DUMMYFUNCTION("""COMPUTED_VALUE"""),-1.0)</f>
        <v>-1</v>
      </c>
      <c r="V115" s="16">
        <f>IFERROR(__xludf.DUMMYFUNCTION("""COMPUTED_VALUE"""),34.3)</f>
        <v>34.3</v>
      </c>
      <c r="W115" s="16">
        <f>IFERROR(__xludf.DUMMYFUNCTION("""COMPUTED_VALUE"""),28.3)</f>
        <v>28.3</v>
      </c>
      <c r="X115" s="16">
        <f>IFERROR(__xludf.DUMMYFUNCTION("""COMPUTED_VALUE"""),2.0)</f>
        <v>2</v>
      </c>
      <c r="Y115" s="16">
        <f>IFERROR(__xludf.DUMMYFUNCTION("""COMPUTED_VALUE"""),2.0)</f>
        <v>2</v>
      </c>
      <c r="Z115" s="16">
        <f>IFERROR(__xludf.DUMMYFUNCTION("""COMPUTED_VALUE"""),4.0)</f>
        <v>4</v>
      </c>
      <c r="AA115" s="16">
        <f>IFERROR(__xludf.DUMMYFUNCTION("""COMPUTED_VALUE"""),4.0)</f>
        <v>4</v>
      </c>
      <c r="AB115" s="16">
        <f>IFERROR(__xludf.DUMMYFUNCTION("""COMPUTED_VALUE"""),43.3)</f>
        <v>43.3</v>
      </c>
      <c r="AC115" s="16">
        <f>IFERROR(__xludf.DUMMYFUNCTION("""COMPUTED_VALUE"""),36.3)</f>
        <v>36.3</v>
      </c>
      <c r="AD115" s="16">
        <f>IFERROR(__xludf.DUMMYFUNCTION("""COMPUTED_VALUE"""),2.0)</f>
        <v>2</v>
      </c>
      <c r="AE115" s="16">
        <f>IFERROR(__xludf.DUMMYFUNCTION("""COMPUTED_VALUE"""),1.0)</f>
        <v>1</v>
      </c>
      <c r="AF115" s="16">
        <f>IFERROR(__xludf.DUMMYFUNCTION("""COMPUTED_VALUE"""),10.0)</f>
        <v>10</v>
      </c>
      <c r="AG115" s="16">
        <f>IFERROR(__xludf.DUMMYFUNCTION("""COMPUTED_VALUE"""),5.0)</f>
        <v>5</v>
      </c>
      <c r="AH115" s="16">
        <f>IFERROR(__xludf.DUMMYFUNCTION("""COMPUTED_VALUE"""),47.7)</f>
        <v>47.7</v>
      </c>
      <c r="AI115" s="16">
        <f>IFERROR(__xludf.DUMMYFUNCTION("""COMPUTED_VALUE"""),39.5)</f>
        <v>39.5</v>
      </c>
      <c r="AJ115" s="16">
        <f>IFERROR(__xludf.DUMMYFUNCTION("""COMPUTED_VALUE"""),1.0)</f>
        <v>1</v>
      </c>
      <c r="AK115" s="16">
        <f>IFERROR(__xludf.DUMMYFUNCTION("""COMPUTED_VALUE"""),1.0)</f>
        <v>1</v>
      </c>
      <c r="AL115" s="16">
        <f>IFERROR(__xludf.DUMMYFUNCTION("""COMPUTED_VALUE"""),5.0)</f>
        <v>5</v>
      </c>
      <c r="AM115" s="16">
        <f>IFERROR(__xludf.DUMMYFUNCTION("""COMPUTED_VALUE"""),5.0)</f>
        <v>5</v>
      </c>
      <c r="AN115" s="16">
        <f>IFERROR(__xludf.DUMMYFUNCTION("""COMPUTED_VALUE"""),1.4)</f>
        <v>1.4</v>
      </c>
      <c r="AO115" s="16">
        <f>IFERROR(__xludf.DUMMYFUNCTION("""COMPUTED_VALUE"""),1.4)</f>
        <v>1.4</v>
      </c>
      <c r="AP115" s="16">
        <f>IFERROR(__xludf.DUMMYFUNCTION("""COMPUTED_VALUE"""),-1.0)</f>
        <v>-1</v>
      </c>
      <c r="AQ115" s="16">
        <f>IFERROR(__xludf.DUMMYFUNCTION("""COMPUTED_VALUE"""),-1.0)</f>
        <v>-1</v>
      </c>
      <c r="AR115" s="16">
        <f>IFERROR(__xludf.DUMMYFUNCTION("""COMPUTED_VALUE"""),-2.0)</f>
        <v>-2</v>
      </c>
      <c r="AS115" s="16">
        <f>IFERROR(__xludf.DUMMYFUNCTION("""COMPUTED_VALUE"""),-2.0)</f>
        <v>-2</v>
      </c>
      <c r="AT115" s="16">
        <f>IFERROR(__xludf.DUMMYFUNCTION("""COMPUTED_VALUE"""),1.0)</f>
        <v>1</v>
      </c>
      <c r="AU115" s="16">
        <f>IFERROR(__xludf.DUMMYFUNCTION("""COMPUTED_VALUE"""),2.0)</f>
        <v>2</v>
      </c>
      <c r="AV115" s="16">
        <f>IFERROR(__xludf.DUMMYFUNCTION("""COMPUTED_VALUE"""),1.0)</f>
        <v>1</v>
      </c>
      <c r="AW115" s="16">
        <f>IFERROR(__xludf.DUMMYFUNCTION("""COMPUTED_VALUE"""),2.0)</f>
        <v>2</v>
      </c>
      <c r="AX115" s="16">
        <f>IFERROR(__xludf.DUMMYFUNCTION("""COMPUTED_VALUE"""),-1.0)</f>
        <v>-1</v>
      </c>
      <c r="AY115" s="16">
        <f>IFERROR(__xludf.DUMMYFUNCTION("""COMPUTED_VALUE"""),0.0)</f>
        <v>0</v>
      </c>
      <c r="AZ115" s="16">
        <f>IFERROR(__xludf.DUMMYFUNCTION("""COMPUTED_VALUE"""),-3.0)</f>
        <v>-3</v>
      </c>
      <c r="BA115" s="16">
        <f>IFERROR(__xludf.DUMMYFUNCTION("""COMPUTED_VALUE"""),0.0)</f>
        <v>0</v>
      </c>
      <c r="BB115" s="16">
        <f>IFERROR(__xludf.DUMMYFUNCTION("""COMPUTED_VALUE"""),5.0)</f>
        <v>5</v>
      </c>
      <c r="BC115" s="16">
        <f>IFERROR(__xludf.DUMMYFUNCTION("""COMPUTED_VALUE"""),5.0)</f>
        <v>5</v>
      </c>
      <c r="BD115" s="16">
        <f>IFERROR(__xludf.DUMMYFUNCTION("""COMPUTED_VALUE"""),1.0)</f>
        <v>1</v>
      </c>
      <c r="BE115" s="16">
        <f>IFERROR(__xludf.DUMMYFUNCTION("""COMPUTED_VALUE"""),1.0)</f>
        <v>1</v>
      </c>
      <c r="BF115" s="16">
        <f>IFERROR(__xludf.DUMMYFUNCTION("""COMPUTED_VALUE"""),1.0)</f>
        <v>1</v>
      </c>
      <c r="BG115" s="16">
        <f>IFERROR(__xludf.DUMMYFUNCTION("""COMPUTED_VALUE"""),1.0)</f>
        <v>1</v>
      </c>
      <c r="BH115" s="16">
        <f>IFERROR(__xludf.DUMMYFUNCTION("""COMPUTED_VALUE"""),-12.0)</f>
        <v>-12</v>
      </c>
      <c r="BI115" s="16">
        <f>IFERROR(__xludf.DUMMYFUNCTION("""COMPUTED_VALUE"""),-12.0)</f>
        <v>-12</v>
      </c>
      <c r="BJ115" s="16">
        <f>IFERROR(__xludf.DUMMYFUNCTION("""COMPUTED_VALUE"""),24.0)</f>
        <v>24</v>
      </c>
      <c r="BK115" s="16">
        <f>IFERROR(__xludf.DUMMYFUNCTION("""COMPUTED_VALUE"""),28.0)</f>
        <v>28</v>
      </c>
      <c r="BL115" s="16">
        <f>IFERROR(__xludf.DUMMYFUNCTION("""COMPUTED_VALUE"""),-2.0)</f>
        <v>-2</v>
      </c>
      <c r="BM115" s="16">
        <f>IFERROR(__xludf.DUMMYFUNCTION("""COMPUTED_VALUE"""),-3.0)</f>
        <v>-3</v>
      </c>
      <c r="BN115" s="16">
        <f>IFERROR(__xludf.DUMMYFUNCTION("""COMPUTED_VALUE"""),-4.0)</f>
        <v>-4</v>
      </c>
      <c r="BO115" s="16">
        <f>IFERROR(__xludf.DUMMYFUNCTION("""COMPUTED_VALUE"""),-6.0)</f>
        <v>-6</v>
      </c>
      <c r="BP115" s="16">
        <f>IFERROR(__xludf.DUMMYFUNCTION("""COMPUTED_VALUE"""),3.0)</f>
        <v>3</v>
      </c>
      <c r="BQ115" s="16">
        <f>IFERROR(__xludf.DUMMYFUNCTION("""COMPUTED_VALUE"""),2.0)</f>
        <v>2</v>
      </c>
      <c r="BR115" s="16">
        <f>IFERROR(__xludf.DUMMYFUNCTION("""COMPUTED_VALUE"""),5.0)</f>
        <v>5</v>
      </c>
      <c r="BS115" s="16" t="str">
        <f>IFERROR(__xludf.DUMMYFUNCTION("""COMPUTED_VALUE"""),"7/- (13-6)")</f>
        <v>7/- (13-6)</v>
      </c>
      <c r="BT115" s="16" t="str">
        <f>IFERROR(__xludf.DUMMYFUNCTION("""COMPUTED_VALUE"""),"D")</f>
        <v>D</v>
      </c>
      <c r="BU115" s="16">
        <f>IFERROR(__xludf.DUMMYFUNCTION("""COMPUTED_VALUE"""),10.0)</f>
        <v>10</v>
      </c>
      <c r="BV115" s="16">
        <f>IFERROR(__xludf.DUMMYFUNCTION("""COMPUTED_VALUE"""),0.0)</f>
        <v>0</v>
      </c>
      <c r="BW115" s="16">
        <f>IFERROR(__xludf.DUMMYFUNCTION("""COMPUTED_VALUE"""),0.0)</f>
        <v>0</v>
      </c>
      <c r="BX115" s="16">
        <f>IFERROR(__xludf.DUMMYFUNCTION("""COMPUTED_VALUE"""),0.0)</f>
        <v>0</v>
      </c>
      <c r="BY115" s="16">
        <f>IFERROR(__xludf.DUMMYFUNCTION("""COMPUTED_VALUE"""),0.0)</f>
        <v>0</v>
      </c>
      <c r="BZ115" s="16" t="str">
        <f>IFERROR(__xludf.DUMMYFUNCTION("""COMPUTED_VALUE"""),"D")</f>
        <v>D</v>
      </c>
      <c r="CA115" s="16" t="str">
        <f>IFERROR(__xludf.DUMMYFUNCTION("""COMPUTED_VALUE"""),"C")</f>
        <v>C</v>
      </c>
      <c r="CB115" s="16">
        <f>IFERROR(__xludf.DUMMYFUNCTION("""COMPUTED_VALUE"""),0.0)</f>
        <v>0</v>
      </c>
      <c r="CC115" s="16">
        <f>IFERROR(__xludf.DUMMYFUNCTION("""COMPUTED_VALUE"""),0.0)</f>
        <v>0</v>
      </c>
      <c r="CD115" s="16">
        <f>IFERROR(__xludf.DUMMYFUNCTION("""COMPUTED_VALUE"""),0.0)</f>
        <v>0</v>
      </c>
      <c r="CE115" s="16">
        <f>IFERROR(__xludf.DUMMYFUNCTION("""COMPUTED_VALUE"""),0.0)</f>
        <v>0</v>
      </c>
      <c r="CF115" s="16">
        <f>IFERROR(__xludf.DUMMYFUNCTION("""COMPUTED_VALUE"""),1.0)</f>
        <v>1</v>
      </c>
      <c r="CG115" s="16">
        <f>IFERROR(__xludf.DUMMYFUNCTION("""COMPUTED_VALUE"""),12.0)</f>
        <v>12</v>
      </c>
      <c r="CH115" s="16">
        <f>IFERROR(__xludf.DUMMYFUNCTION("""COMPUTED_VALUE"""),8.0)</f>
        <v>8</v>
      </c>
      <c r="CI115" s="179">
        <f>IFERROR(__xludf.DUMMYFUNCTION("""COMPUTED_VALUE"""),11.0)</f>
        <v>11</v>
      </c>
      <c r="CJ115" s="16"/>
      <c r="CK115" s="16">
        <f>IFERROR(__xludf.DUMMYFUNCTION("""COMPUTED_VALUE"""),407.0)</f>
        <v>407</v>
      </c>
      <c r="CL115" s="16"/>
      <c r="CM115" s="16"/>
      <c r="CN115" s="16"/>
      <c r="CO115" s="16"/>
      <c r="CP115" s="16"/>
      <c r="CQ115" s="16"/>
      <c r="CR115" s="16" t="str">
        <f>IFERROR(__xludf.DUMMYFUNCTION("""COMPUTED_VALUE"""),"1b-4e7")</f>
        <v>1b-4e7</v>
      </c>
      <c r="CS115" s="16"/>
      <c r="CT115" s="16">
        <f>IFERROR(__xludf.DUMMYFUNCTION("""COMPUTED_VALUE"""),4.0)</f>
        <v>4</v>
      </c>
      <c r="CU115" s="16"/>
      <c r="CV115" s="16"/>
      <c r="CW115" s="16"/>
      <c r="CX115" s="16"/>
      <c r="CY115" s="16"/>
      <c r="CZ115" s="16"/>
      <c r="DA115" s="16"/>
      <c r="DB115" s="16">
        <f>IFERROR(__xludf.DUMMYFUNCTION("""COMPUTED_VALUE"""),7.0)</f>
        <v>7</v>
      </c>
      <c r="DC115" s="16"/>
      <c r="DD115" s="16"/>
      <c r="DE115" s="16"/>
      <c r="DF115" s="16"/>
      <c r="DG115" s="16"/>
      <c r="DH115" s="16"/>
      <c r="DI115" s="16"/>
      <c r="DJ115" s="16">
        <f>IFERROR(__xludf.DUMMYFUNCTION("""COMPUTED_VALUE"""),0.0)</f>
        <v>0</v>
      </c>
      <c r="DK115" s="16"/>
      <c r="DL115" s="16"/>
      <c r="DM115" s="16"/>
      <c r="DN115" s="16"/>
      <c r="DO115" s="16"/>
      <c r="DP115" s="16"/>
      <c r="DQ115" s="16"/>
      <c r="DR115" s="16">
        <f>IFERROR(__xludf.DUMMYFUNCTION("""COMPUTED_VALUE"""),2.0)</f>
        <v>2</v>
      </c>
      <c r="DS115" s="16"/>
      <c r="DT115" s="16"/>
      <c r="DU115" s="16"/>
      <c r="DV115" s="16"/>
      <c r="DW115" s="16"/>
      <c r="DX115" s="16"/>
      <c r="DY115" s="16"/>
      <c r="DZ115" s="16">
        <f>IFERROR(__xludf.DUMMYFUNCTION("""COMPUTED_VALUE"""),2.0)</f>
        <v>2</v>
      </c>
      <c r="EA115" s="16"/>
      <c r="EB115" s="16"/>
      <c r="EC115" s="16"/>
      <c r="ED115" s="16"/>
      <c r="EE115" s="16"/>
      <c r="EF115" s="16"/>
      <c r="EG115" s="179"/>
      <c r="EH115" s="179">
        <f>IFERROR(__xludf.DUMMYFUNCTION("""COMPUTED_VALUE"""),13.0)</f>
        <v>13</v>
      </c>
      <c r="EI115" s="179"/>
      <c r="EJ115" s="179"/>
      <c r="EK115" s="179"/>
      <c r="EL115" s="179"/>
      <c r="EM115" s="179"/>
      <c r="EN115" s="179"/>
      <c r="EO115" s="16"/>
      <c r="EP115" s="16">
        <f>IFERROR(__xludf.DUMMYFUNCTION("""COMPUTED_VALUE"""),3.4)</f>
        <v>3.4</v>
      </c>
      <c r="EQ115" s="16">
        <f>IFERROR(__xludf.DUMMYFUNCTION("""COMPUTED_VALUE"""),4.0)</f>
        <v>4</v>
      </c>
      <c r="ER115" s="16">
        <f>IFERROR(__xludf.DUMMYFUNCTION("""COMPUTED_VALUE"""),-2.0)</f>
        <v>-2</v>
      </c>
      <c r="ES115" s="16"/>
      <c r="ET115" s="16"/>
      <c r="EU115" s="16"/>
      <c r="EV115" s="16"/>
      <c r="EW115" s="16"/>
      <c r="EX115" s="180"/>
      <c r="EY115" s="180">
        <f>IFERROR(__xludf.DUMMYFUNCTION("""COMPUTED_VALUE"""),0.3)</f>
        <v>0.3</v>
      </c>
      <c r="EZ115" s="180"/>
      <c r="FA115" s="180"/>
      <c r="FB115" s="180"/>
      <c r="FC115" s="180"/>
      <c r="FD115" s="180"/>
      <c r="FE115" s="180"/>
      <c r="FF115" s="180"/>
      <c r="FG115" s="180">
        <f>IFERROR(__xludf.DUMMYFUNCTION("""COMPUTED_VALUE"""),0.125)</f>
        <v>0.125</v>
      </c>
      <c r="FH115" s="180"/>
      <c r="FI115" s="180"/>
      <c r="FJ115" s="180"/>
      <c r="FK115" s="180"/>
      <c r="FL115" s="180"/>
      <c r="FM115" s="180"/>
      <c r="FN115" s="16"/>
      <c r="FO115" s="16">
        <f>IFERROR(__xludf.DUMMYFUNCTION("""COMPUTED_VALUE"""),0.6124999999999999)</f>
        <v>0.6125</v>
      </c>
      <c r="FP115" s="16"/>
      <c r="FQ115" s="16"/>
      <c r="FR115" s="16"/>
      <c r="FS115" s="16"/>
      <c r="FT115" s="16"/>
      <c r="FU115" s="16"/>
      <c r="FV115" s="16"/>
      <c r="FW115" s="16">
        <f>IFERROR(__xludf.DUMMYFUNCTION("""COMPUTED_VALUE"""),-6.0)</f>
        <v>-6</v>
      </c>
      <c r="FX115" s="16"/>
      <c r="FY115" s="16"/>
      <c r="FZ115" s="16"/>
      <c r="GA115" s="16"/>
      <c r="GB115" s="16"/>
      <c r="GC115" s="16"/>
      <c r="GD115" s="16" t="s">
        <v>228</v>
      </c>
    </row>
    <row r="116">
      <c r="A116" s="16">
        <f>IFERROR(__xludf.DUMMYFUNCTION("""COMPUTED_VALUE"""),13161.0)</f>
        <v>13161</v>
      </c>
      <c r="B116" s="16" t="str">
        <f>IFERROR(__xludf.DUMMYFUNCTION("""COMPUTED_VALUE"""),"Masataka Yoshida")</f>
        <v>Masataka Yoshida</v>
      </c>
      <c r="C116" s="16">
        <f>IFERROR(__xludf.DUMMYFUNCTION("""COMPUTED_VALUE"""),0.96)</f>
        <v>0.96</v>
      </c>
      <c r="D116" s="16" t="str">
        <f>IFERROR(__xludf.DUMMYFUNCTION("""COMPUTED_VALUE"""),"L")</f>
        <v>L</v>
      </c>
      <c r="E116" s="16"/>
      <c r="F116" s="16"/>
      <c r="G116" s="16">
        <f>IFERROR(__xludf.DUMMYFUNCTION("""COMPUTED_VALUE"""),378.0)</f>
        <v>378</v>
      </c>
      <c r="H116" s="16">
        <f>IFERROR(__xludf.DUMMYFUNCTION("""COMPUTED_VALUE"""),27.0)</f>
        <v>27</v>
      </c>
      <c r="I116" s="16" t="str">
        <f>IFERROR(__xludf.DUMMYFUNCTION("""COMPUTED_VALUE"""),"3p50")</f>
        <v>3p50</v>
      </c>
      <c r="J116" s="16">
        <f>IFERROR(__xludf.DUMMYFUNCTION("""COMPUTED_VALUE"""),0.0)</f>
        <v>0</v>
      </c>
      <c r="K116" s="16">
        <f>IFERROR(__xludf.DUMMYFUNCTION("""COMPUTED_VALUE"""),5.0)</f>
        <v>5</v>
      </c>
      <c r="L116" s="16">
        <f>IFERROR(__xludf.DUMMYFUNCTION("""COMPUTED_VALUE"""),3.0)</f>
        <v>3</v>
      </c>
      <c r="M116" s="16">
        <f>IFERROR(__xludf.DUMMYFUNCTION("""COMPUTED_VALUE"""),2.0)</f>
        <v>2</v>
      </c>
      <c r="N116" s="16">
        <f>IFERROR(__xludf.DUMMYFUNCTION("""COMPUTED_VALUE"""),3.0)</f>
        <v>3</v>
      </c>
      <c r="O116" s="16">
        <f>IFERROR(__xludf.DUMMYFUNCTION("""COMPUTED_VALUE"""),2.0)</f>
        <v>2</v>
      </c>
      <c r="P116" s="16">
        <f>IFERROR(__xludf.DUMMYFUNCTION("""COMPUTED_VALUE"""),10.0)</f>
        <v>10</v>
      </c>
      <c r="Q116" s="16">
        <f>IFERROR(__xludf.DUMMYFUNCTION("""COMPUTED_VALUE"""),3.0)</f>
        <v>3</v>
      </c>
      <c r="R116" s="16">
        <f>IFERROR(__xludf.DUMMYFUNCTION("""COMPUTED_VALUE"""),1.0)</f>
        <v>1</v>
      </c>
      <c r="S116" s="16">
        <f>IFERROR(__xludf.DUMMYFUNCTION("""COMPUTED_VALUE"""),-2.0)</f>
        <v>-2</v>
      </c>
      <c r="T116" s="16">
        <f>IFERROR(__xludf.DUMMYFUNCTION("""COMPUTED_VALUE"""),1.0)</f>
        <v>1</v>
      </c>
      <c r="U116" s="16">
        <f>IFERROR(__xludf.DUMMYFUNCTION("""COMPUTED_VALUE"""),-2.0)</f>
        <v>-2</v>
      </c>
      <c r="V116" s="16">
        <f>IFERROR(__xludf.DUMMYFUNCTION("""COMPUTED_VALUE"""),8.2)</f>
        <v>8.2</v>
      </c>
      <c r="W116" s="16">
        <f>IFERROR(__xludf.DUMMYFUNCTION("""COMPUTED_VALUE"""),30.7)</f>
        <v>30.7</v>
      </c>
      <c r="X116" s="16">
        <f>IFERROR(__xludf.DUMMYFUNCTION("""COMPUTED_VALUE"""),-2.0)</f>
        <v>-2</v>
      </c>
      <c r="Y116" s="16">
        <f>IFERROR(__xludf.DUMMYFUNCTION("""COMPUTED_VALUE"""),2.0)</f>
        <v>2</v>
      </c>
      <c r="Z116" s="16">
        <f>IFERROR(__xludf.DUMMYFUNCTION("""COMPUTED_VALUE"""),-4.0)</f>
        <v>-4</v>
      </c>
      <c r="AA116" s="16">
        <f>IFERROR(__xludf.DUMMYFUNCTION("""COMPUTED_VALUE"""),4.0)</f>
        <v>4</v>
      </c>
      <c r="AB116" s="16">
        <f>IFERROR(__xludf.DUMMYFUNCTION("""COMPUTED_VALUE"""),26.2)</f>
        <v>26.2</v>
      </c>
      <c r="AC116" s="16">
        <f>IFERROR(__xludf.DUMMYFUNCTION("""COMPUTED_VALUE"""),41.7)</f>
        <v>41.7</v>
      </c>
      <c r="AD116" s="16">
        <f>IFERROR(__xludf.DUMMYFUNCTION("""COMPUTED_VALUE"""),-1.0)</f>
        <v>-1</v>
      </c>
      <c r="AE116" s="16">
        <f>IFERROR(__xludf.DUMMYFUNCTION("""COMPUTED_VALUE"""),2.0)</f>
        <v>2</v>
      </c>
      <c r="AF116" s="16">
        <f>IFERROR(__xludf.DUMMYFUNCTION("""COMPUTED_VALUE"""),-5.0)</f>
        <v>-5</v>
      </c>
      <c r="AG116" s="16">
        <f>IFERROR(__xludf.DUMMYFUNCTION("""COMPUTED_VALUE"""),10.0)</f>
        <v>10</v>
      </c>
      <c r="AH116" s="16">
        <f>IFERROR(__xludf.DUMMYFUNCTION("""COMPUTED_VALUE"""),13.7)</f>
        <v>13.7</v>
      </c>
      <c r="AI116" s="16">
        <f>IFERROR(__xludf.DUMMYFUNCTION("""COMPUTED_VALUE"""),41.4)</f>
        <v>41.4</v>
      </c>
      <c r="AJ116" s="16">
        <f>IFERROR(__xludf.DUMMYFUNCTION("""COMPUTED_VALUE"""),-2.0)</f>
        <v>-2</v>
      </c>
      <c r="AK116" s="16">
        <f>IFERROR(__xludf.DUMMYFUNCTION("""COMPUTED_VALUE"""),1.0)</f>
        <v>1</v>
      </c>
      <c r="AL116" s="16">
        <f>IFERROR(__xludf.DUMMYFUNCTION("""COMPUTED_VALUE"""),-10.0)</f>
        <v>-10</v>
      </c>
      <c r="AM116" s="16">
        <f>IFERROR(__xludf.DUMMYFUNCTION("""COMPUTED_VALUE"""),5.0)</f>
        <v>5</v>
      </c>
      <c r="AN116" s="16">
        <f>IFERROR(__xludf.DUMMYFUNCTION("""COMPUTED_VALUE"""),1.3)</f>
        <v>1.3</v>
      </c>
      <c r="AO116" s="16">
        <f>IFERROR(__xludf.DUMMYFUNCTION("""COMPUTED_VALUE"""),1.3)</f>
        <v>1.3</v>
      </c>
      <c r="AP116" s="16">
        <f>IFERROR(__xludf.DUMMYFUNCTION("""COMPUTED_VALUE"""),-1.0)</f>
        <v>-1</v>
      </c>
      <c r="AQ116" s="16">
        <f>IFERROR(__xludf.DUMMYFUNCTION("""COMPUTED_VALUE"""),-1.0)</f>
        <v>-1</v>
      </c>
      <c r="AR116" s="16">
        <f>IFERROR(__xludf.DUMMYFUNCTION("""COMPUTED_VALUE"""),-2.0)</f>
        <v>-2</v>
      </c>
      <c r="AS116" s="16">
        <f>IFERROR(__xludf.DUMMYFUNCTION("""COMPUTED_VALUE"""),-2.0)</f>
        <v>-2</v>
      </c>
      <c r="AT116" s="16">
        <f>IFERROR(__xludf.DUMMYFUNCTION("""COMPUTED_VALUE"""),1.0)</f>
        <v>1</v>
      </c>
      <c r="AU116" s="16">
        <f>IFERROR(__xludf.DUMMYFUNCTION("""COMPUTED_VALUE"""),2.0)</f>
        <v>2</v>
      </c>
      <c r="AV116" s="16">
        <f>IFERROR(__xludf.DUMMYFUNCTION("""COMPUTED_VALUE"""),1.0)</f>
        <v>1</v>
      </c>
      <c r="AW116" s="16">
        <f>IFERROR(__xludf.DUMMYFUNCTION("""COMPUTED_VALUE"""),2.0)</f>
        <v>2</v>
      </c>
      <c r="AX116" s="16">
        <f>IFERROR(__xludf.DUMMYFUNCTION("""COMPUTED_VALUE"""),-1.0)</f>
        <v>-1</v>
      </c>
      <c r="AY116" s="16">
        <f>IFERROR(__xludf.DUMMYFUNCTION("""COMPUTED_VALUE"""),0.0)</f>
        <v>0</v>
      </c>
      <c r="AZ116" s="16">
        <f>IFERROR(__xludf.DUMMYFUNCTION("""COMPUTED_VALUE"""),-3.0)</f>
        <v>-3</v>
      </c>
      <c r="BA116" s="16">
        <f>IFERROR(__xludf.DUMMYFUNCTION("""COMPUTED_VALUE"""),0.0)</f>
        <v>0</v>
      </c>
      <c r="BB116" s="16">
        <f>IFERROR(__xludf.DUMMYFUNCTION("""COMPUTED_VALUE"""),5.0)</f>
        <v>5</v>
      </c>
      <c r="BC116" s="16">
        <f>IFERROR(__xludf.DUMMYFUNCTION("""COMPUTED_VALUE"""),5.0)</f>
        <v>5</v>
      </c>
      <c r="BD116" s="16">
        <f>IFERROR(__xludf.DUMMYFUNCTION("""COMPUTED_VALUE"""),1.0)</f>
        <v>1</v>
      </c>
      <c r="BE116" s="16">
        <f>IFERROR(__xludf.DUMMYFUNCTION("""COMPUTED_VALUE"""),1.0)</f>
        <v>1</v>
      </c>
      <c r="BF116" s="16">
        <f>IFERROR(__xludf.DUMMYFUNCTION("""COMPUTED_VALUE"""),1.0)</f>
        <v>1</v>
      </c>
      <c r="BG116" s="16">
        <f>IFERROR(__xludf.DUMMYFUNCTION("""COMPUTED_VALUE"""),1.0)</f>
        <v>1</v>
      </c>
      <c r="BH116" s="16">
        <f>IFERROR(__xludf.DUMMYFUNCTION("""COMPUTED_VALUE"""),5.0)</f>
        <v>5</v>
      </c>
      <c r="BI116" s="16">
        <f>IFERROR(__xludf.DUMMYFUNCTION("""COMPUTED_VALUE"""),5.0)</f>
        <v>5</v>
      </c>
      <c r="BJ116" s="16">
        <f>IFERROR(__xludf.DUMMYFUNCTION("""COMPUTED_VALUE"""),9.0)</f>
        <v>9</v>
      </c>
      <c r="BK116" s="16">
        <f>IFERROR(__xludf.DUMMYFUNCTION("""COMPUTED_VALUE"""),11.0)</f>
        <v>11</v>
      </c>
      <c r="BL116" s="16">
        <f>IFERROR(__xludf.DUMMYFUNCTION("""COMPUTED_VALUE"""),0.0)</f>
        <v>0</v>
      </c>
      <c r="BM116" s="16">
        <f>IFERROR(__xludf.DUMMYFUNCTION("""COMPUTED_VALUE"""),0.0)</f>
        <v>0</v>
      </c>
      <c r="BN116" s="16">
        <f>IFERROR(__xludf.DUMMYFUNCTION("""COMPUTED_VALUE"""),0.0)</f>
        <v>0</v>
      </c>
      <c r="BO116" s="16">
        <f>IFERROR(__xludf.DUMMYFUNCTION("""COMPUTED_VALUE"""),0.0)</f>
        <v>0</v>
      </c>
      <c r="BP116" s="16">
        <f>IFERROR(__xludf.DUMMYFUNCTION("""COMPUTED_VALUE"""),-2.0)</f>
        <v>-2</v>
      </c>
      <c r="BQ116" s="16">
        <f>IFERROR(__xludf.DUMMYFUNCTION("""COMPUTED_VALUE"""),5.0)</f>
        <v>5</v>
      </c>
      <c r="BR116" s="16">
        <f>IFERROR(__xludf.DUMMYFUNCTION("""COMPUTED_VALUE"""),3.0)</f>
        <v>3</v>
      </c>
      <c r="BS116" s="16" t="str">
        <f>IFERROR(__xludf.DUMMYFUNCTION("""COMPUTED_VALUE"""),"2/- (20-6)")</f>
        <v>2/- (20-6)</v>
      </c>
      <c r="BT116" s="16" t="str">
        <f>IFERROR(__xludf.DUMMYFUNCTION("""COMPUTED_VALUE"""),"E")</f>
        <v>E</v>
      </c>
      <c r="BU116" s="16">
        <f>IFERROR(__xludf.DUMMYFUNCTION("""COMPUTED_VALUE"""),10.0)</f>
        <v>10</v>
      </c>
      <c r="BV116" s="16">
        <f>IFERROR(__xludf.DUMMYFUNCTION("""COMPUTED_VALUE"""),0.0)</f>
        <v>0</v>
      </c>
      <c r="BW116" s="16">
        <f>IFERROR(__xludf.DUMMYFUNCTION("""COMPUTED_VALUE"""),0.0)</f>
        <v>0</v>
      </c>
      <c r="BX116" s="16">
        <f>IFERROR(__xludf.DUMMYFUNCTION("""COMPUTED_VALUE"""),0.0)</f>
        <v>0</v>
      </c>
      <c r="BY116" s="16">
        <f>IFERROR(__xludf.DUMMYFUNCTION("""COMPUTED_VALUE"""),0.0)</f>
        <v>0</v>
      </c>
      <c r="BZ116" s="16" t="str">
        <f>IFERROR(__xludf.DUMMYFUNCTION("""COMPUTED_VALUE"""),"D")</f>
        <v>D</v>
      </c>
      <c r="CA116" s="16" t="str">
        <f>IFERROR(__xludf.DUMMYFUNCTION("""COMPUTED_VALUE"""),"B")</f>
        <v>B</v>
      </c>
      <c r="CB116" s="16">
        <f>IFERROR(__xludf.DUMMYFUNCTION("""COMPUTED_VALUE"""),0.0)</f>
        <v>0</v>
      </c>
      <c r="CC116" s="16">
        <f>IFERROR(__xludf.DUMMYFUNCTION("""COMPUTED_VALUE"""),1.0)</f>
        <v>1</v>
      </c>
      <c r="CD116" s="16">
        <f>IFERROR(__xludf.DUMMYFUNCTION("""COMPUTED_VALUE"""),0.0)</f>
        <v>0</v>
      </c>
      <c r="CE116" s="16">
        <f>IFERROR(__xludf.DUMMYFUNCTION("""COMPUTED_VALUE"""),2.0)</f>
        <v>2</v>
      </c>
      <c r="CF116" s="16">
        <f>IFERROR(__xludf.DUMMYFUNCTION("""COMPUTED_VALUE"""),3.0)</f>
        <v>3</v>
      </c>
      <c r="CG116" s="16">
        <f>IFERROR(__xludf.DUMMYFUNCTION("""COMPUTED_VALUE"""),-19.0)</f>
        <v>-19</v>
      </c>
      <c r="CH116" s="16">
        <f>IFERROR(__xludf.DUMMYFUNCTION("""COMPUTED_VALUE"""),18.0)</f>
        <v>18</v>
      </c>
      <c r="CI116" s="179">
        <f>IFERROR(__xludf.DUMMYFUNCTION("""COMPUTED_VALUE"""),10.0)</f>
        <v>10</v>
      </c>
      <c r="CJ116" s="16"/>
      <c r="CK116" s="16"/>
      <c r="CL116" s="16"/>
      <c r="CM116" s="16"/>
      <c r="CN116" s="16"/>
      <c r="CO116" s="16">
        <f>IFERROR(__xludf.DUMMYFUNCTION("""COMPUTED_VALUE"""),506.0)</f>
        <v>506</v>
      </c>
      <c r="CP116" s="16"/>
      <c r="CQ116" s="16"/>
      <c r="CR116" s="16" t="str">
        <f>IFERROR(__xludf.DUMMYFUNCTION("""COMPUTED_VALUE"""),"lf-5(+1)e6")</f>
        <v>lf-5(+1)e6</v>
      </c>
      <c r="CS116" s="16"/>
      <c r="CT116" s="16"/>
      <c r="CU116" s="16"/>
      <c r="CV116" s="16"/>
      <c r="CW116" s="16"/>
      <c r="CX116" s="16">
        <f>IFERROR(__xludf.DUMMYFUNCTION("""COMPUTED_VALUE"""),5.0)</f>
        <v>5</v>
      </c>
      <c r="CY116" s="16"/>
      <c r="CZ116" s="16"/>
      <c r="DA116" s="16"/>
      <c r="DB116" s="16"/>
      <c r="DC116" s="16"/>
      <c r="DD116" s="16"/>
      <c r="DE116" s="16"/>
      <c r="DF116" s="16">
        <f>IFERROR(__xludf.DUMMYFUNCTION("""COMPUTED_VALUE"""),6.0)</f>
        <v>6</v>
      </c>
      <c r="DG116" s="16"/>
      <c r="DH116" s="16"/>
      <c r="DI116" s="16"/>
      <c r="DJ116" s="16"/>
      <c r="DK116" s="16"/>
      <c r="DL116" s="16"/>
      <c r="DM116" s="16"/>
      <c r="DN116" s="16">
        <f>IFERROR(__xludf.DUMMYFUNCTION("""COMPUTED_VALUE"""),-3.0)</f>
        <v>-3</v>
      </c>
      <c r="DO116" s="16"/>
      <c r="DP116" s="16"/>
      <c r="DQ116" s="16"/>
      <c r="DR116" s="16"/>
      <c r="DS116" s="16"/>
      <c r="DT116" s="16"/>
      <c r="DU116" s="16"/>
      <c r="DV116" s="16">
        <f>IFERROR(__xludf.DUMMYFUNCTION("""COMPUTED_VALUE"""),2.0)</f>
        <v>2</v>
      </c>
      <c r="DW116" s="16"/>
      <c r="DX116" s="16"/>
      <c r="DY116" s="16"/>
      <c r="DZ116" s="16"/>
      <c r="EA116" s="16"/>
      <c r="EB116" s="16"/>
      <c r="EC116" s="16"/>
      <c r="ED116" s="16">
        <f>IFERROR(__xludf.DUMMYFUNCTION("""COMPUTED_VALUE"""),-1.0)</f>
        <v>-1</v>
      </c>
      <c r="EE116" s="16"/>
      <c r="EF116" s="16"/>
      <c r="EG116" s="179"/>
      <c r="EH116" s="179"/>
      <c r="EI116" s="179"/>
      <c r="EJ116" s="179"/>
      <c r="EK116" s="179"/>
      <c r="EL116" s="179">
        <f>IFERROR(__xludf.DUMMYFUNCTION("""COMPUTED_VALUE"""),9.0)</f>
        <v>9</v>
      </c>
      <c r="EM116" s="179"/>
      <c r="EN116" s="179"/>
      <c r="EO116" s="16"/>
      <c r="EP116" s="16"/>
      <c r="EQ116" s="16">
        <f>IFERROR(__xludf.DUMMYFUNCTION("""COMPUTED_VALUE"""),1.0)</f>
        <v>1</v>
      </c>
      <c r="ER116" s="16">
        <f>IFERROR(__xludf.DUMMYFUNCTION("""COMPUTED_VALUE"""),0.0)</f>
        <v>0</v>
      </c>
      <c r="ES116" s="16"/>
      <c r="ET116" s="16"/>
      <c r="EU116" s="16"/>
      <c r="EV116" s="16"/>
      <c r="EW116" s="16"/>
      <c r="EX116" s="180"/>
      <c r="EY116" s="180"/>
      <c r="EZ116" s="180"/>
      <c r="FA116" s="180"/>
      <c r="FB116" s="180"/>
      <c r="FC116" s="180">
        <f>IFERROR(__xludf.DUMMYFUNCTION("""COMPUTED_VALUE"""),0.75)</f>
        <v>0.75</v>
      </c>
      <c r="FD116" s="180"/>
      <c r="FE116" s="180"/>
      <c r="FF116" s="180"/>
      <c r="FG116" s="180"/>
      <c r="FH116" s="180"/>
      <c r="FI116" s="180"/>
      <c r="FJ116" s="180"/>
      <c r="FK116" s="180">
        <f>IFERROR(__xludf.DUMMYFUNCTION("""COMPUTED_VALUE"""),0.106)</f>
        <v>0.106</v>
      </c>
      <c r="FL116" s="180"/>
      <c r="FM116" s="180"/>
      <c r="FN116" s="16"/>
      <c r="FO116" s="16"/>
      <c r="FP116" s="16"/>
      <c r="FQ116" s="16"/>
      <c r="FR116" s="16"/>
      <c r="FS116" s="16">
        <f>IFERROR(__xludf.DUMMYFUNCTION("""COMPUTED_VALUE"""),0.2235)</f>
        <v>0.2235</v>
      </c>
      <c r="FT116" s="16"/>
      <c r="FU116" s="16"/>
      <c r="FV116" s="16"/>
      <c r="FW116" s="16"/>
      <c r="FX116" s="16"/>
      <c r="FY116" s="16"/>
      <c r="FZ116" s="16"/>
      <c r="GA116" s="16">
        <f>IFERROR(__xludf.DUMMYFUNCTION("""COMPUTED_VALUE"""),-8.0)</f>
        <v>-8</v>
      </c>
      <c r="GB116" s="16"/>
      <c r="GC116" s="16"/>
      <c r="GD116" s="16" t="s">
        <v>176</v>
      </c>
    </row>
    <row r="117">
      <c r="A117" s="16">
        <f>IFERROR(__xludf.DUMMYFUNCTION("""COMPUTED_VALUE"""),13201.0)</f>
        <v>13201</v>
      </c>
      <c r="B117" s="16" t="str">
        <f>IFERROR(__xludf.DUMMYFUNCTION("""COMPUTED_VALUE"""),"Michael Toglia")</f>
        <v>Michael Toglia</v>
      </c>
      <c r="C117" s="16">
        <f>IFERROR(__xludf.DUMMYFUNCTION("""COMPUTED_VALUE"""),0.83)</f>
        <v>0.83</v>
      </c>
      <c r="D117" s="16" t="str">
        <f>IFERROR(__xludf.DUMMYFUNCTION("""COMPUTED_VALUE"""),"S")</f>
        <v>S</v>
      </c>
      <c r="E117" s="16"/>
      <c r="F117" s="16"/>
      <c r="G117" s="16">
        <f>IFERROR(__xludf.DUMMYFUNCTION("""COMPUTED_VALUE"""),399.0)</f>
        <v>399</v>
      </c>
      <c r="H117" s="16">
        <f>IFERROR(__xludf.DUMMYFUNCTION("""COMPUTED_VALUE"""),54.0)</f>
        <v>54</v>
      </c>
      <c r="I117" s="16" t="str">
        <f>IFERROR(__xludf.DUMMYFUNCTION("""COMPUTED_VALUE"""),"1p60")</f>
        <v>1p60</v>
      </c>
      <c r="J117" s="16">
        <f>IFERROR(__xludf.DUMMYFUNCTION("""COMPUTED_VALUE"""),37.0)</f>
        <v>37</v>
      </c>
      <c r="K117" s="16">
        <f>IFERROR(__xludf.DUMMYFUNCTION("""COMPUTED_VALUE"""),50.0)</f>
        <v>50</v>
      </c>
      <c r="L117" s="16">
        <f>IFERROR(__xludf.DUMMYFUNCTION("""COMPUTED_VALUE"""),-1.0)</f>
        <v>-1</v>
      </c>
      <c r="M117" s="16">
        <f>IFERROR(__xludf.DUMMYFUNCTION("""COMPUTED_VALUE"""),-2.0)</f>
        <v>-2</v>
      </c>
      <c r="N117" s="16">
        <f>IFERROR(__xludf.DUMMYFUNCTION("""COMPUTED_VALUE"""),-1.0)</f>
        <v>-1</v>
      </c>
      <c r="O117" s="16">
        <f>IFERROR(__xludf.DUMMYFUNCTION("""COMPUTED_VALUE"""),-2.0)</f>
        <v>-2</v>
      </c>
      <c r="P117" s="16">
        <f>IFERROR(__xludf.DUMMYFUNCTION("""COMPUTED_VALUE"""),18.0)</f>
        <v>18</v>
      </c>
      <c r="Q117" s="16">
        <f>IFERROR(__xludf.DUMMYFUNCTION("""COMPUTED_VALUE"""),14.0)</f>
        <v>14</v>
      </c>
      <c r="R117" s="16">
        <f>IFERROR(__xludf.DUMMYFUNCTION("""COMPUTED_VALUE"""),3.0)</f>
        <v>3</v>
      </c>
      <c r="S117" s="16">
        <f>IFERROR(__xludf.DUMMYFUNCTION("""COMPUTED_VALUE"""),2.0)</f>
        <v>2</v>
      </c>
      <c r="T117" s="16">
        <f>IFERROR(__xludf.DUMMYFUNCTION("""COMPUTED_VALUE"""),3.0)</f>
        <v>3</v>
      </c>
      <c r="U117" s="16">
        <f>IFERROR(__xludf.DUMMYFUNCTION("""COMPUTED_VALUE"""),2.0)</f>
        <v>2</v>
      </c>
      <c r="V117" s="16">
        <f>IFERROR(__xludf.DUMMYFUNCTION("""COMPUTED_VALUE"""),11.3)</f>
        <v>11.3</v>
      </c>
      <c r="W117" s="16">
        <f>IFERROR(__xludf.DUMMYFUNCTION("""COMPUTED_VALUE"""),8.3)</f>
        <v>8.3</v>
      </c>
      <c r="X117" s="16">
        <f>IFERROR(__xludf.DUMMYFUNCTION("""COMPUTED_VALUE"""),-1.0)</f>
        <v>-1</v>
      </c>
      <c r="Y117" s="16">
        <f>IFERROR(__xludf.DUMMYFUNCTION("""COMPUTED_VALUE"""),-2.0)</f>
        <v>-2</v>
      </c>
      <c r="Z117" s="16">
        <f>IFERROR(__xludf.DUMMYFUNCTION("""COMPUTED_VALUE"""),-2.0)</f>
        <v>-2</v>
      </c>
      <c r="AA117" s="16">
        <f>IFERROR(__xludf.DUMMYFUNCTION("""COMPUTED_VALUE"""),-4.0)</f>
        <v>-4</v>
      </c>
      <c r="AB117" s="16">
        <f>IFERROR(__xludf.DUMMYFUNCTION("""COMPUTED_VALUE"""),29.3)</f>
        <v>29.3</v>
      </c>
      <c r="AC117" s="16">
        <f>IFERROR(__xludf.DUMMYFUNCTION("""COMPUTED_VALUE"""),22.3)</f>
        <v>22.3</v>
      </c>
      <c r="AD117" s="16">
        <f>IFERROR(__xludf.DUMMYFUNCTION("""COMPUTED_VALUE"""),0.0)</f>
        <v>0</v>
      </c>
      <c r="AE117" s="16">
        <f>IFERROR(__xludf.DUMMYFUNCTION("""COMPUTED_VALUE"""),-1.0)</f>
        <v>-1</v>
      </c>
      <c r="AF117" s="16">
        <f>IFERROR(__xludf.DUMMYFUNCTION("""COMPUTED_VALUE"""),0.0)</f>
        <v>0</v>
      </c>
      <c r="AG117" s="16">
        <f>IFERROR(__xludf.DUMMYFUNCTION("""COMPUTED_VALUE"""),-5.0)</f>
        <v>-5</v>
      </c>
      <c r="AH117" s="16">
        <f>IFERROR(__xludf.DUMMYFUNCTION("""COMPUTED_VALUE"""),31.7)</f>
        <v>31.7</v>
      </c>
      <c r="AI117" s="16">
        <f>IFERROR(__xludf.DUMMYFUNCTION("""COMPUTED_VALUE"""),24.5)</f>
        <v>24.5</v>
      </c>
      <c r="AJ117" s="16">
        <f>IFERROR(__xludf.DUMMYFUNCTION("""COMPUTED_VALUE"""),0.0)</f>
        <v>0</v>
      </c>
      <c r="AK117" s="16">
        <f>IFERROR(__xludf.DUMMYFUNCTION("""COMPUTED_VALUE"""),-1.0)</f>
        <v>-1</v>
      </c>
      <c r="AL117" s="16">
        <f>IFERROR(__xludf.DUMMYFUNCTION("""COMPUTED_VALUE"""),0.0)</f>
        <v>0</v>
      </c>
      <c r="AM117" s="16">
        <f>IFERROR(__xludf.DUMMYFUNCTION("""COMPUTED_VALUE"""),-5.0)</f>
        <v>-5</v>
      </c>
      <c r="AN117" s="16">
        <f>IFERROR(__xludf.DUMMYFUNCTION("""COMPUTED_VALUE"""),5.2)</f>
        <v>5.2</v>
      </c>
      <c r="AO117" s="16">
        <f>IFERROR(__xludf.DUMMYFUNCTION("""COMPUTED_VALUE"""),4.4)</f>
        <v>4.4</v>
      </c>
      <c r="AP117" s="16">
        <f>IFERROR(__xludf.DUMMYFUNCTION("""COMPUTED_VALUE"""),3.0)</f>
        <v>3</v>
      </c>
      <c r="AQ117" s="16">
        <f>IFERROR(__xludf.DUMMYFUNCTION("""COMPUTED_VALUE"""),2.0)</f>
        <v>2</v>
      </c>
      <c r="AR117" s="16">
        <f>IFERROR(__xludf.DUMMYFUNCTION("""COMPUTED_VALUE"""),6.0)</f>
        <v>6</v>
      </c>
      <c r="AS117" s="16">
        <f>IFERROR(__xludf.DUMMYFUNCTION("""COMPUTED_VALUE"""),4.0)</f>
        <v>4</v>
      </c>
      <c r="AT117" s="16">
        <f>IFERROR(__xludf.DUMMYFUNCTION("""COMPUTED_VALUE"""),8.0)</f>
        <v>8</v>
      </c>
      <c r="AU117" s="16">
        <f>IFERROR(__xludf.DUMMYFUNCTION("""COMPUTED_VALUE"""),8.0)</f>
        <v>8</v>
      </c>
      <c r="AV117" s="16">
        <f>IFERROR(__xludf.DUMMYFUNCTION("""COMPUTED_VALUE"""),8.0)</f>
        <v>8</v>
      </c>
      <c r="AW117" s="16">
        <f>IFERROR(__xludf.DUMMYFUNCTION("""COMPUTED_VALUE"""),8.0)</f>
        <v>8</v>
      </c>
      <c r="AX117" s="16">
        <f>IFERROR(__xludf.DUMMYFUNCTION("""COMPUTED_VALUE"""),3.0)</f>
        <v>3</v>
      </c>
      <c r="AY117" s="16">
        <f>IFERROR(__xludf.DUMMYFUNCTION("""COMPUTED_VALUE"""),3.0)</f>
        <v>3</v>
      </c>
      <c r="AZ117" s="16">
        <f>IFERROR(__xludf.DUMMYFUNCTION("""COMPUTED_VALUE"""),9.0)</f>
        <v>9</v>
      </c>
      <c r="BA117" s="16">
        <f>IFERROR(__xludf.DUMMYFUNCTION("""COMPUTED_VALUE"""),9.0)</f>
        <v>9</v>
      </c>
      <c r="BB117" s="16">
        <f>IFERROR(__xludf.DUMMYFUNCTION("""COMPUTED_VALUE"""),5.0)</f>
        <v>5</v>
      </c>
      <c r="BC117" s="16">
        <f>IFERROR(__xludf.DUMMYFUNCTION("""COMPUTED_VALUE"""),5.0)</f>
        <v>5</v>
      </c>
      <c r="BD117" s="16">
        <f>IFERROR(__xludf.DUMMYFUNCTION("""COMPUTED_VALUE"""),1.0)</f>
        <v>1</v>
      </c>
      <c r="BE117" s="16">
        <f>IFERROR(__xludf.DUMMYFUNCTION("""COMPUTED_VALUE"""),1.0)</f>
        <v>1</v>
      </c>
      <c r="BF117" s="16">
        <f>IFERROR(__xludf.DUMMYFUNCTION("""COMPUTED_VALUE"""),1.0)</f>
        <v>1</v>
      </c>
      <c r="BG117" s="16">
        <f>IFERROR(__xludf.DUMMYFUNCTION("""COMPUTED_VALUE"""),1.0)</f>
        <v>1</v>
      </c>
      <c r="BH117" s="16">
        <f>IFERROR(__xludf.DUMMYFUNCTION("""COMPUTED_VALUE"""),0.0)</f>
        <v>0</v>
      </c>
      <c r="BI117" s="16">
        <f>IFERROR(__xludf.DUMMYFUNCTION("""COMPUTED_VALUE"""),0.0)</f>
        <v>0</v>
      </c>
      <c r="BJ117" s="16">
        <f>IFERROR(__xludf.DUMMYFUNCTION("""COMPUTED_VALUE"""),11.0)</f>
        <v>11</v>
      </c>
      <c r="BK117" s="16">
        <f>IFERROR(__xludf.DUMMYFUNCTION("""COMPUTED_VALUE"""),12.0)</f>
        <v>12</v>
      </c>
      <c r="BL117" s="16">
        <f>IFERROR(__xludf.DUMMYFUNCTION("""COMPUTED_VALUE"""),0.0)</f>
        <v>0</v>
      </c>
      <c r="BM117" s="16">
        <f>IFERROR(__xludf.DUMMYFUNCTION("""COMPUTED_VALUE"""),0.0)</f>
        <v>0</v>
      </c>
      <c r="BN117" s="16">
        <f>IFERROR(__xludf.DUMMYFUNCTION("""COMPUTED_VALUE"""),0.0)</f>
        <v>0</v>
      </c>
      <c r="BO117" s="16">
        <f>IFERROR(__xludf.DUMMYFUNCTION("""COMPUTED_VALUE"""),0.0)</f>
        <v>0</v>
      </c>
      <c r="BP117" s="16">
        <f>IFERROR(__xludf.DUMMYFUNCTION("""COMPUTED_VALUE"""),8.0)</f>
        <v>8</v>
      </c>
      <c r="BQ117" s="16">
        <f>IFERROR(__xludf.DUMMYFUNCTION("""COMPUTED_VALUE"""),2.0)</f>
        <v>2</v>
      </c>
      <c r="BR117" s="16">
        <f>IFERROR(__xludf.DUMMYFUNCTION("""COMPUTED_VALUE"""),10.0)</f>
        <v>10</v>
      </c>
      <c r="BS117" s="16" t="str">
        <f>IFERROR(__xludf.DUMMYFUNCTION("""COMPUTED_VALUE"""),"*6/- (19-11)")</f>
        <v>*6/- (19-11)</v>
      </c>
      <c r="BT117" s="16" t="str">
        <f>IFERROR(__xludf.DUMMYFUNCTION("""COMPUTED_VALUE"""),"B")</f>
        <v>B</v>
      </c>
      <c r="BU117" s="16">
        <f>IFERROR(__xludf.DUMMYFUNCTION("""COMPUTED_VALUE"""),13.0)</f>
        <v>13</v>
      </c>
      <c r="BV117" s="16">
        <f>IFERROR(__xludf.DUMMYFUNCTION("""COMPUTED_VALUE"""),1.0)</f>
        <v>1</v>
      </c>
      <c r="BW117" s="16">
        <f>IFERROR(__xludf.DUMMYFUNCTION("""COMPUTED_VALUE"""),1.0)</f>
        <v>1</v>
      </c>
      <c r="BX117" s="16">
        <f>IFERROR(__xludf.DUMMYFUNCTION("""COMPUTED_VALUE"""),2.0)</f>
        <v>2</v>
      </c>
      <c r="BY117" s="16">
        <f>IFERROR(__xludf.DUMMYFUNCTION("""COMPUTED_VALUE"""),3.0)</f>
        <v>3</v>
      </c>
      <c r="BZ117" s="16" t="str">
        <f>IFERROR(__xludf.DUMMYFUNCTION("""COMPUTED_VALUE"""),"D")</f>
        <v>D</v>
      </c>
      <c r="CA117" s="16" t="str">
        <f>IFERROR(__xludf.DUMMYFUNCTION("""COMPUTED_VALUE"""),"D")</f>
        <v>D</v>
      </c>
      <c r="CB117" s="16">
        <f>IFERROR(__xludf.DUMMYFUNCTION("""COMPUTED_VALUE"""),0.0)</f>
        <v>0</v>
      </c>
      <c r="CC117" s="16">
        <f>IFERROR(__xludf.DUMMYFUNCTION("""COMPUTED_VALUE"""),0.0)</f>
        <v>0</v>
      </c>
      <c r="CD117" s="16">
        <f>IFERROR(__xludf.DUMMYFUNCTION("""COMPUTED_VALUE"""),0.0)</f>
        <v>0</v>
      </c>
      <c r="CE117" s="16">
        <f>IFERROR(__xludf.DUMMYFUNCTION("""COMPUTED_VALUE"""),0.0)</f>
        <v>0</v>
      </c>
      <c r="CF117" s="16">
        <f>IFERROR(__xludf.DUMMYFUNCTION("""COMPUTED_VALUE"""),1.0)</f>
        <v>1</v>
      </c>
      <c r="CG117" s="16">
        <f>IFERROR(__xludf.DUMMYFUNCTION("""COMPUTED_VALUE"""),16.0)</f>
        <v>16</v>
      </c>
      <c r="CH117" s="16">
        <f>IFERROR(__xludf.DUMMYFUNCTION("""COMPUTED_VALUE"""),0.0)</f>
        <v>0</v>
      </c>
      <c r="CI117" s="179">
        <f>IFERROR(__xludf.DUMMYFUNCTION("""COMPUTED_VALUE"""),10.0)</f>
        <v>10</v>
      </c>
      <c r="CJ117" s="16"/>
      <c r="CK117" s="16">
        <f>IFERROR(__xludf.DUMMYFUNCTION("""COMPUTED_VALUE"""),313.0)</f>
        <v>313</v>
      </c>
      <c r="CL117" s="16"/>
      <c r="CM117" s="16"/>
      <c r="CN117" s="16"/>
      <c r="CO117" s="16"/>
      <c r="CP117" s="16"/>
      <c r="CQ117" s="16">
        <f>IFERROR(__xludf.DUMMYFUNCTION("""COMPUTED_VALUE"""),405.0)</f>
        <v>405</v>
      </c>
      <c r="CR117" s="16" t="str">
        <f>IFERROR(__xludf.DUMMYFUNCTION("""COMPUTED_VALUE"""),"1b-3e13 rf-4(0)e5")</f>
        <v>1b-3e13 rf-4(0)e5</v>
      </c>
      <c r="CS117" s="16"/>
      <c r="CT117" s="16">
        <f>IFERROR(__xludf.DUMMYFUNCTION("""COMPUTED_VALUE"""),3.0)</f>
        <v>3</v>
      </c>
      <c r="CU117" s="16"/>
      <c r="CV117" s="16"/>
      <c r="CW117" s="16"/>
      <c r="CX117" s="16"/>
      <c r="CY117" s="16"/>
      <c r="CZ117" s="16">
        <f>IFERROR(__xludf.DUMMYFUNCTION("""COMPUTED_VALUE"""),4.0)</f>
        <v>4</v>
      </c>
      <c r="DA117" s="16"/>
      <c r="DB117" s="16">
        <f>IFERROR(__xludf.DUMMYFUNCTION("""COMPUTED_VALUE"""),13.0)</f>
        <v>13</v>
      </c>
      <c r="DC117" s="16"/>
      <c r="DD117" s="16"/>
      <c r="DE117" s="16"/>
      <c r="DF117" s="16"/>
      <c r="DG117" s="16"/>
      <c r="DH117" s="16">
        <f>IFERROR(__xludf.DUMMYFUNCTION("""COMPUTED_VALUE"""),5.0)</f>
        <v>5</v>
      </c>
      <c r="DI117" s="16"/>
      <c r="DJ117" s="16">
        <f>IFERROR(__xludf.DUMMYFUNCTION("""COMPUTED_VALUE"""),1.0)</f>
        <v>1</v>
      </c>
      <c r="DK117" s="16"/>
      <c r="DL117" s="16"/>
      <c r="DM117" s="16"/>
      <c r="DN117" s="16"/>
      <c r="DO117" s="16"/>
      <c r="DP117" s="16">
        <f>IFERROR(__xludf.DUMMYFUNCTION("""COMPUTED_VALUE"""),-1.0)</f>
        <v>-1</v>
      </c>
      <c r="DQ117" s="16"/>
      <c r="DR117" s="16">
        <f>IFERROR(__xludf.DUMMYFUNCTION("""COMPUTED_VALUE"""),1.0)</f>
        <v>1</v>
      </c>
      <c r="DS117" s="16"/>
      <c r="DT117" s="16"/>
      <c r="DU117" s="16"/>
      <c r="DV117" s="16"/>
      <c r="DW117" s="16"/>
      <c r="DX117" s="16">
        <f>IFERROR(__xludf.DUMMYFUNCTION("""COMPUTED_VALUE"""),2.0)</f>
        <v>2</v>
      </c>
      <c r="DY117" s="16"/>
      <c r="DZ117" s="16">
        <f>IFERROR(__xludf.DUMMYFUNCTION("""COMPUTED_VALUE"""),2.0)</f>
        <v>2</v>
      </c>
      <c r="EA117" s="16"/>
      <c r="EB117" s="16"/>
      <c r="EC117" s="16"/>
      <c r="ED117" s="16"/>
      <c r="EE117" s="16"/>
      <c r="EF117" s="16">
        <f>IFERROR(__xludf.DUMMYFUNCTION("""COMPUTED_VALUE"""),1.0)</f>
        <v>1</v>
      </c>
      <c r="EG117" s="179"/>
      <c r="EH117" s="179">
        <f>IFERROR(__xludf.DUMMYFUNCTION("""COMPUTED_VALUE"""),12.0)</f>
        <v>12</v>
      </c>
      <c r="EI117" s="179"/>
      <c r="EJ117" s="179"/>
      <c r="EK117" s="179"/>
      <c r="EL117" s="179"/>
      <c r="EM117" s="179"/>
      <c r="EN117" s="179">
        <f>IFERROR(__xludf.DUMMYFUNCTION("""COMPUTED_VALUE"""),11.0)</f>
        <v>11</v>
      </c>
      <c r="EO117" s="16"/>
      <c r="EP117" s="16">
        <f>IFERROR(__xludf.DUMMYFUNCTION("""COMPUTED_VALUE"""),0.0)</f>
        <v>0</v>
      </c>
      <c r="EQ117" s="16">
        <f>IFERROR(__xludf.DUMMYFUNCTION("""COMPUTED_VALUE"""),4.0)</f>
        <v>4</v>
      </c>
      <c r="ER117" s="16">
        <f>IFERROR(__xludf.DUMMYFUNCTION("""COMPUTED_VALUE"""),1.0)</f>
        <v>1</v>
      </c>
      <c r="ES117" s="16"/>
      <c r="ET117" s="16"/>
      <c r="EU117" s="16"/>
      <c r="EV117" s="16"/>
      <c r="EW117" s="16"/>
      <c r="EX117" s="180"/>
      <c r="EY117" s="180">
        <f>IFERROR(__xludf.DUMMYFUNCTION("""COMPUTED_VALUE"""),0.2)</f>
        <v>0.2</v>
      </c>
      <c r="EZ117" s="180"/>
      <c r="FA117" s="180"/>
      <c r="FB117" s="180"/>
      <c r="FC117" s="180"/>
      <c r="FD117" s="180"/>
      <c r="FE117" s="180">
        <f>IFERROR(__xludf.DUMMYFUNCTION("""COMPUTED_VALUE"""),0.55)</f>
        <v>0.55</v>
      </c>
      <c r="FF117" s="180"/>
      <c r="FG117" s="180">
        <f>IFERROR(__xludf.DUMMYFUNCTION("""COMPUTED_VALUE"""),0.2361111111111111)</f>
        <v>0.2361111111</v>
      </c>
      <c r="FH117" s="180"/>
      <c r="FI117" s="180"/>
      <c r="FJ117" s="180"/>
      <c r="FK117" s="180"/>
      <c r="FL117" s="180"/>
      <c r="FM117" s="180">
        <f>IFERROR(__xludf.DUMMYFUNCTION("""COMPUTED_VALUE"""),0.088)</f>
        <v>0.088</v>
      </c>
      <c r="FN117" s="16"/>
      <c r="FO117" s="16">
        <f>IFERROR(__xludf.DUMMYFUNCTION("""COMPUTED_VALUE"""),0.6111111111111112)</f>
        <v>0.6111111111</v>
      </c>
      <c r="FP117" s="16"/>
      <c r="FQ117" s="16"/>
      <c r="FR117" s="16"/>
      <c r="FS117" s="16"/>
      <c r="FT117" s="16"/>
      <c r="FU117" s="16">
        <f>IFERROR(__xludf.DUMMYFUNCTION("""COMPUTED_VALUE"""),0.4104)</f>
        <v>0.4104</v>
      </c>
      <c r="FV117" s="16"/>
      <c r="FW117" s="16">
        <f>IFERROR(__xludf.DUMMYFUNCTION("""COMPUTED_VALUE"""),-6.0)</f>
        <v>-6</v>
      </c>
      <c r="FX117" s="16"/>
      <c r="FY117" s="16"/>
      <c r="FZ117" s="16"/>
      <c r="GA117" s="16"/>
      <c r="GB117" s="16"/>
      <c r="GC117" s="16">
        <f>IFERROR(__xludf.DUMMYFUNCTION("""COMPUTED_VALUE"""),-8.0)</f>
        <v>-8</v>
      </c>
      <c r="GD117" s="16" t="s">
        <v>176</v>
      </c>
    </row>
    <row r="118">
      <c r="A118" s="16">
        <f>IFERROR(__xludf.DUMMYFUNCTION("""COMPUTED_VALUE"""),12815.0)</f>
        <v>12815</v>
      </c>
      <c r="B118" s="16" t="str">
        <f>IFERROR(__xludf.DUMMYFUNCTION("""COMPUTED_VALUE"""),"Ezequiel Tovar")</f>
        <v>Ezequiel Tovar</v>
      </c>
      <c r="C118" s="16">
        <f>IFERROR(__xludf.DUMMYFUNCTION("""COMPUTED_VALUE"""),1.59)</f>
        <v>1.59</v>
      </c>
      <c r="D118" s="16" t="str">
        <f>IFERROR(__xludf.DUMMYFUNCTION("""COMPUTED_VALUE"""),"R")</f>
        <v>R</v>
      </c>
      <c r="E118" s="16"/>
      <c r="F118" s="16"/>
      <c r="G118" s="16">
        <f>IFERROR(__xludf.DUMMYFUNCTION("""COMPUTED_VALUE"""),655.0)</f>
        <v>655</v>
      </c>
      <c r="H118" s="16">
        <f>IFERROR(__xludf.DUMMYFUNCTION("""COMPUTED_VALUE"""),23.0)</f>
        <v>23</v>
      </c>
      <c r="I118" s="16" t="str">
        <f>IFERROR(__xludf.DUMMYFUNCTION("""COMPUTED_VALUE"""),"1p70")</f>
        <v>1p70</v>
      </c>
      <c r="J118" s="16">
        <f>IFERROR(__xludf.DUMMYFUNCTION("""COMPUTED_VALUE"""),42.0)</f>
        <v>42</v>
      </c>
      <c r="K118" s="16">
        <f>IFERROR(__xludf.DUMMYFUNCTION("""COMPUTED_VALUE"""),36.0)</f>
        <v>36</v>
      </c>
      <c r="L118" s="16">
        <f>IFERROR(__xludf.DUMMYFUNCTION("""COMPUTED_VALUE"""),-1.0)</f>
        <v>-1</v>
      </c>
      <c r="M118" s="16">
        <f>IFERROR(__xludf.DUMMYFUNCTION("""COMPUTED_VALUE"""),-1.0)</f>
        <v>-1</v>
      </c>
      <c r="N118" s="16">
        <f>IFERROR(__xludf.DUMMYFUNCTION("""COMPUTED_VALUE"""),-1.0)</f>
        <v>-1</v>
      </c>
      <c r="O118" s="16">
        <f>IFERROR(__xludf.DUMMYFUNCTION("""COMPUTED_VALUE"""),-1.0)</f>
        <v>-1</v>
      </c>
      <c r="P118" s="16">
        <f>IFERROR(__xludf.DUMMYFUNCTION("""COMPUTED_VALUE"""),0.0)</f>
        <v>0</v>
      </c>
      <c r="Q118" s="16">
        <f>IFERROR(__xludf.DUMMYFUNCTION("""COMPUTED_VALUE"""),0.0)</f>
        <v>0</v>
      </c>
      <c r="R118" s="16">
        <f>IFERROR(__xludf.DUMMYFUNCTION("""COMPUTED_VALUE"""),-3.0)</f>
        <v>-3</v>
      </c>
      <c r="S118" s="16">
        <f>IFERROR(__xludf.DUMMYFUNCTION("""COMPUTED_VALUE"""),-2.0)</f>
        <v>-2</v>
      </c>
      <c r="T118" s="16">
        <f>IFERROR(__xludf.DUMMYFUNCTION("""COMPUTED_VALUE"""),-3.0)</f>
        <v>-3</v>
      </c>
      <c r="U118" s="16">
        <f>IFERROR(__xludf.DUMMYFUNCTION("""COMPUTED_VALUE"""),-2.0)</f>
        <v>-2</v>
      </c>
      <c r="V118" s="16">
        <f>IFERROR(__xludf.DUMMYFUNCTION("""COMPUTED_VALUE"""),22.0)</f>
        <v>22</v>
      </c>
      <c r="W118" s="16">
        <f>IFERROR(__xludf.DUMMYFUNCTION("""COMPUTED_VALUE"""),25.5)</f>
        <v>25.5</v>
      </c>
      <c r="X118" s="16">
        <f>IFERROR(__xludf.DUMMYFUNCTION("""COMPUTED_VALUE"""),0.0)</f>
        <v>0</v>
      </c>
      <c r="Y118" s="16">
        <f>IFERROR(__xludf.DUMMYFUNCTION("""COMPUTED_VALUE"""),1.0)</f>
        <v>1</v>
      </c>
      <c r="Z118" s="16">
        <f>IFERROR(__xludf.DUMMYFUNCTION("""COMPUTED_VALUE"""),0.0)</f>
        <v>0</v>
      </c>
      <c r="AA118" s="16">
        <f>IFERROR(__xludf.DUMMYFUNCTION("""COMPUTED_VALUE"""),2.0)</f>
        <v>2</v>
      </c>
      <c r="AB118" s="16">
        <f>IFERROR(__xludf.DUMMYFUNCTION("""COMPUTED_VALUE"""),23.0)</f>
        <v>23</v>
      </c>
      <c r="AC118" s="16">
        <f>IFERROR(__xludf.DUMMYFUNCTION("""COMPUTED_VALUE"""),26.5)</f>
        <v>26.5</v>
      </c>
      <c r="AD118" s="16">
        <f>IFERROR(__xludf.DUMMYFUNCTION("""COMPUTED_VALUE"""),-1.0)</f>
        <v>-1</v>
      </c>
      <c r="AE118" s="16">
        <f>IFERROR(__xludf.DUMMYFUNCTION("""COMPUTED_VALUE"""),-1.0)</f>
        <v>-1</v>
      </c>
      <c r="AF118" s="16">
        <f>IFERROR(__xludf.DUMMYFUNCTION("""COMPUTED_VALUE"""),-5.0)</f>
        <v>-5</v>
      </c>
      <c r="AG118" s="16">
        <f>IFERROR(__xludf.DUMMYFUNCTION("""COMPUTED_VALUE"""),-5.0)</f>
        <v>-5</v>
      </c>
      <c r="AH118" s="16">
        <f>IFERROR(__xludf.DUMMYFUNCTION("""COMPUTED_VALUE"""),38.8)</f>
        <v>38.8</v>
      </c>
      <c r="AI118" s="16">
        <f>IFERROR(__xludf.DUMMYFUNCTION("""COMPUTED_VALUE"""),44.4)</f>
        <v>44.4</v>
      </c>
      <c r="AJ118" s="16">
        <f>IFERROR(__xludf.DUMMYFUNCTION("""COMPUTED_VALUE"""),1.0)</f>
        <v>1</v>
      </c>
      <c r="AK118" s="16">
        <f>IFERROR(__xludf.DUMMYFUNCTION("""COMPUTED_VALUE"""),1.0)</f>
        <v>1</v>
      </c>
      <c r="AL118" s="16">
        <f>IFERROR(__xludf.DUMMYFUNCTION("""COMPUTED_VALUE"""),5.0)</f>
        <v>5</v>
      </c>
      <c r="AM118" s="16">
        <f>IFERROR(__xludf.DUMMYFUNCTION("""COMPUTED_VALUE"""),5.0)</f>
        <v>5</v>
      </c>
      <c r="AN118" s="16">
        <f>IFERROR(__xludf.DUMMYFUNCTION("""COMPUTED_VALUE"""),2.8)</f>
        <v>2.8</v>
      </c>
      <c r="AO118" s="16">
        <f>IFERROR(__xludf.DUMMYFUNCTION("""COMPUTED_VALUE"""),2.5)</f>
        <v>2.5</v>
      </c>
      <c r="AP118" s="16">
        <f>IFERROR(__xludf.DUMMYFUNCTION("""COMPUTED_VALUE"""),1.0)</f>
        <v>1</v>
      </c>
      <c r="AQ118" s="16">
        <f>IFERROR(__xludf.DUMMYFUNCTION("""COMPUTED_VALUE"""),0.0)</f>
        <v>0</v>
      </c>
      <c r="AR118" s="16">
        <f>IFERROR(__xludf.DUMMYFUNCTION("""COMPUTED_VALUE"""),2.0)</f>
        <v>2</v>
      </c>
      <c r="AS118" s="16">
        <f>IFERROR(__xludf.DUMMYFUNCTION("""COMPUTED_VALUE"""),0.0)</f>
        <v>0</v>
      </c>
      <c r="AT118" s="16">
        <f>IFERROR(__xludf.DUMMYFUNCTION("""COMPUTED_VALUE"""),4.0)</f>
        <v>4</v>
      </c>
      <c r="AU118" s="16">
        <f>IFERROR(__xludf.DUMMYFUNCTION("""COMPUTED_VALUE"""),4.0)</f>
        <v>4</v>
      </c>
      <c r="AV118" s="16">
        <f>IFERROR(__xludf.DUMMYFUNCTION("""COMPUTED_VALUE"""),4.0)</f>
        <v>4</v>
      </c>
      <c r="AW118" s="16">
        <f>IFERROR(__xludf.DUMMYFUNCTION("""COMPUTED_VALUE"""),4.0)</f>
        <v>4</v>
      </c>
      <c r="AX118" s="16">
        <f>IFERROR(__xludf.DUMMYFUNCTION("""COMPUTED_VALUE"""),2.0)</f>
        <v>2</v>
      </c>
      <c r="AY118" s="16">
        <f>IFERROR(__xludf.DUMMYFUNCTION("""COMPUTED_VALUE"""),1.0)</f>
        <v>1</v>
      </c>
      <c r="AZ118" s="16">
        <f>IFERROR(__xludf.DUMMYFUNCTION("""COMPUTED_VALUE"""),6.0)</f>
        <v>6</v>
      </c>
      <c r="BA118" s="16">
        <f>IFERROR(__xludf.DUMMYFUNCTION("""COMPUTED_VALUE"""),3.0)</f>
        <v>3</v>
      </c>
      <c r="BB118" s="16">
        <f>IFERROR(__xludf.DUMMYFUNCTION("""COMPUTED_VALUE"""),5.0)</f>
        <v>5</v>
      </c>
      <c r="BC118" s="16">
        <f>IFERROR(__xludf.DUMMYFUNCTION("""COMPUTED_VALUE"""),5.0)</f>
        <v>5</v>
      </c>
      <c r="BD118" s="16">
        <f>IFERROR(__xludf.DUMMYFUNCTION("""COMPUTED_VALUE"""),1.0)</f>
        <v>1</v>
      </c>
      <c r="BE118" s="16">
        <f>IFERROR(__xludf.DUMMYFUNCTION("""COMPUTED_VALUE"""),1.0)</f>
        <v>1</v>
      </c>
      <c r="BF118" s="16">
        <f>IFERROR(__xludf.DUMMYFUNCTION("""COMPUTED_VALUE"""),1.0)</f>
        <v>1</v>
      </c>
      <c r="BG118" s="16">
        <f>IFERROR(__xludf.DUMMYFUNCTION("""COMPUTED_VALUE"""),1.0)</f>
        <v>1</v>
      </c>
      <c r="BH118" s="16">
        <f>IFERROR(__xludf.DUMMYFUNCTION("""COMPUTED_VALUE"""),-1.0)</f>
        <v>-1</v>
      </c>
      <c r="BI118" s="16">
        <f>IFERROR(__xludf.DUMMYFUNCTION("""COMPUTED_VALUE"""),-1.0)</f>
        <v>-1</v>
      </c>
      <c r="BJ118" s="16">
        <f>IFERROR(__xludf.DUMMYFUNCTION("""COMPUTED_VALUE"""),19.0)</f>
        <v>19</v>
      </c>
      <c r="BK118" s="16">
        <f>IFERROR(__xludf.DUMMYFUNCTION("""COMPUTED_VALUE"""),18.0)</f>
        <v>18</v>
      </c>
      <c r="BL118" s="16">
        <f>IFERROR(__xludf.DUMMYFUNCTION("""COMPUTED_VALUE"""),-1.0)</f>
        <v>-1</v>
      </c>
      <c r="BM118" s="16">
        <f>IFERROR(__xludf.DUMMYFUNCTION("""COMPUTED_VALUE"""),-1.0)</f>
        <v>-1</v>
      </c>
      <c r="BN118" s="16">
        <f>IFERROR(__xludf.DUMMYFUNCTION("""COMPUTED_VALUE"""),-2.0)</f>
        <v>-2</v>
      </c>
      <c r="BO118" s="16">
        <f>IFERROR(__xludf.DUMMYFUNCTION("""COMPUTED_VALUE"""),-2.0)</f>
        <v>-2</v>
      </c>
      <c r="BP118" s="16">
        <f>IFERROR(__xludf.DUMMYFUNCTION("""COMPUTED_VALUE"""),-1.0)</f>
        <v>-1</v>
      </c>
      <c r="BQ118" s="16">
        <f>IFERROR(__xludf.DUMMYFUNCTION("""COMPUTED_VALUE"""),-1.0)</f>
        <v>-1</v>
      </c>
      <c r="BR118" s="16">
        <f>IFERROR(__xludf.DUMMYFUNCTION("""COMPUTED_VALUE"""),-2.0)</f>
        <v>-2</v>
      </c>
      <c r="BS118" s="16" t="str">
        <f>IFERROR(__xludf.DUMMYFUNCTION("""COMPUTED_VALUE"""),"2-5,10/11 (13-7)")</f>
        <v>2-5,10/11 (13-7)</v>
      </c>
      <c r="BT118" s="16" t="str">
        <f>IFERROR(__xludf.DUMMYFUNCTION("""COMPUTED_VALUE"""),"D")</f>
        <v>D</v>
      </c>
      <c r="BU118" s="16">
        <f>IFERROR(__xludf.DUMMYFUNCTION("""COMPUTED_VALUE"""),14.0)</f>
        <v>14</v>
      </c>
      <c r="BV118" s="16">
        <f>IFERROR(__xludf.DUMMYFUNCTION("""COMPUTED_VALUE"""),0.0)</f>
        <v>0</v>
      </c>
      <c r="BW118" s="16">
        <f>IFERROR(__xludf.DUMMYFUNCTION("""COMPUTED_VALUE"""),1.0)</f>
        <v>1</v>
      </c>
      <c r="BX118" s="16">
        <f>IFERROR(__xludf.DUMMYFUNCTION("""COMPUTED_VALUE"""),0.0)</f>
        <v>0</v>
      </c>
      <c r="BY118" s="16">
        <f>IFERROR(__xludf.DUMMYFUNCTION("""COMPUTED_VALUE"""),3.0)</f>
        <v>3</v>
      </c>
      <c r="BZ118" s="16" t="str">
        <f>IFERROR(__xludf.DUMMYFUNCTION("""COMPUTED_VALUE"""),"B")</f>
        <v>B</v>
      </c>
      <c r="CA118" s="16" t="str">
        <f>IFERROR(__xludf.DUMMYFUNCTION("""COMPUTED_VALUE"""),"B")</f>
        <v>B</v>
      </c>
      <c r="CB118" s="16">
        <f>IFERROR(__xludf.DUMMYFUNCTION("""COMPUTED_VALUE"""),1.0)</f>
        <v>1</v>
      </c>
      <c r="CC118" s="16">
        <f>IFERROR(__xludf.DUMMYFUNCTION("""COMPUTED_VALUE"""),1.0)</f>
        <v>1</v>
      </c>
      <c r="CD118" s="16">
        <f>IFERROR(__xludf.DUMMYFUNCTION("""COMPUTED_VALUE"""),1.0)</f>
        <v>1</v>
      </c>
      <c r="CE118" s="16">
        <f>IFERROR(__xludf.DUMMYFUNCTION("""COMPUTED_VALUE"""),2.0)</f>
        <v>2</v>
      </c>
      <c r="CF118" s="16">
        <f>IFERROR(__xludf.DUMMYFUNCTION("""COMPUTED_VALUE"""),1.0)</f>
        <v>1</v>
      </c>
      <c r="CG118" s="16">
        <f>IFERROR(__xludf.DUMMYFUNCTION("""COMPUTED_VALUE"""),3.0)</f>
        <v>3</v>
      </c>
      <c r="CH118" s="16">
        <f>IFERROR(__xludf.DUMMYFUNCTION("""COMPUTED_VALUE"""),1.0)</f>
        <v>1</v>
      </c>
      <c r="CI118" s="179">
        <f>IFERROR(__xludf.DUMMYFUNCTION("""COMPUTED_VALUE"""),10.0)</f>
        <v>10</v>
      </c>
      <c r="CJ118" s="16"/>
      <c r="CK118" s="16"/>
      <c r="CL118" s="16"/>
      <c r="CM118" s="16"/>
      <c r="CN118" s="16">
        <f>IFERROR(__xludf.DUMMYFUNCTION("""COMPUTED_VALUE"""),108.0)</f>
        <v>108</v>
      </c>
      <c r="CO118" s="16"/>
      <c r="CP118" s="16"/>
      <c r="CQ118" s="16"/>
      <c r="CR118" s="16" t="str">
        <f>IFERROR(__xludf.DUMMYFUNCTION("""COMPUTED_VALUE"""),"ss-1e8")</f>
        <v>ss-1e8</v>
      </c>
      <c r="CS118" s="16"/>
      <c r="CT118" s="16"/>
      <c r="CU118" s="16"/>
      <c r="CV118" s="16"/>
      <c r="CW118" s="16">
        <f>IFERROR(__xludf.DUMMYFUNCTION("""COMPUTED_VALUE"""),1.0)</f>
        <v>1</v>
      </c>
      <c r="CX118" s="16"/>
      <c r="CY118" s="16"/>
      <c r="CZ118" s="16"/>
      <c r="DA118" s="16"/>
      <c r="DB118" s="16"/>
      <c r="DC118" s="16"/>
      <c r="DD118" s="16"/>
      <c r="DE118" s="16">
        <f>IFERROR(__xludf.DUMMYFUNCTION("""COMPUTED_VALUE"""),8.0)</f>
        <v>8</v>
      </c>
      <c r="DF118" s="16"/>
      <c r="DG118" s="16"/>
      <c r="DH118" s="16"/>
      <c r="DI118" s="16"/>
      <c r="DJ118" s="16"/>
      <c r="DK118" s="16"/>
      <c r="DL118" s="16"/>
      <c r="DM118" s="16">
        <f>IFERROR(__xludf.DUMMYFUNCTION("""COMPUTED_VALUE"""),5.0)</f>
        <v>5</v>
      </c>
      <c r="DN118" s="16"/>
      <c r="DO118" s="16"/>
      <c r="DP118" s="16"/>
      <c r="DQ118" s="16"/>
      <c r="DR118" s="16"/>
      <c r="DS118" s="16"/>
      <c r="DT118" s="16"/>
      <c r="DU118" s="16">
        <f>IFERROR(__xludf.DUMMYFUNCTION("""COMPUTED_VALUE"""),3.0)</f>
        <v>3</v>
      </c>
      <c r="DV118" s="16"/>
      <c r="DW118" s="16"/>
      <c r="DX118" s="16"/>
      <c r="DY118" s="16"/>
      <c r="DZ118" s="16"/>
      <c r="EA118" s="16"/>
      <c r="EB118" s="16"/>
      <c r="EC118" s="16">
        <f>IFERROR(__xludf.DUMMYFUNCTION("""COMPUTED_VALUE"""),8.0)</f>
        <v>8</v>
      </c>
      <c r="ED118" s="16"/>
      <c r="EE118" s="16"/>
      <c r="EF118" s="16"/>
      <c r="EG118" s="179"/>
      <c r="EH118" s="179"/>
      <c r="EI118" s="179"/>
      <c r="EJ118" s="179"/>
      <c r="EK118" s="179">
        <f>IFERROR(__xludf.DUMMYFUNCTION("""COMPUTED_VALUE"""),18.0)</f>
        <v>18</v>
      </c>
      <c r="EL118" s="179"/>
      <c r="EM118" s="179"/>
      <c r="EN118" s="179"/>
      <c r="EO118" s="16"/>
      <c r="EP118" s="16"/>
      <c r="EQ118" s="16">
        <f>IFERROR(__xludf.DUMMYFUNCTION("""COMPUTED_VALUE"""),4.0)</f>
        <v>4</v>
      </c>
      <c r="ER118" s="16">
        <f>IFERROR(__xludf.DUMMYFUNCTION("""COMPUTED_VALUE"""),3.0)</f>
        <v>3</v>
      </c>
      <c r="ES118" s="16"/>
      <c r="ET118" s="16"/>
      <c r="EU118" s="16"/>
      <c r="EV118" s="16"/>
      <c r="EW118" s="16"/>
      <c r="EX118" s="180"/>
      <c r="EY118" s="180"/>
      <c r="EZ118" s="180"/>
      <c r="FA118" s="180"/>
      <c r="FB118" s="180">
        <f>IFERROR(__xludf.DUMMYFUNCTION("""COMPUTED_VALUE"""),0.0)</f>
        <v>0</v>
      </c>
      <c r="FC118" s="180"/>
      <c r="FD118" s="180"/>
      <c r="FE118" s="180"/>
      <c r="FF118" s="180"/>
      <c r="FG118" s="180"/>
      <c r="FH118" s="180"/>
      <c r="FI118" s="180"/>
      <c r="FJ118" s="180">
        <f>IFERROR(__xludf.DUMMYFUNCTION("""COMPUTED_VALUE"""),0.046296296296296294)</f>
        <v>0.0462962963</v>
      </c>
      <c r="FK118" s="180"/>
      <c r="FL118" s="180"/>
      <c r="FM118" s="180"/>
      <c r="FN118" s="16"/>
      <c r="FO118" s="16"/>
      <c r="FP118" s="16"/>
      <c r="FQ118" s="16"/>
      <c r="FR118" s="16">
        <f>IFERROR(__xludf.DUMMYFUNCTION("""COMPUTED_VALUE"""),0.9537037037037037)</f>
        <v>0.9537037037</v>
      </c>
      <c r="FS118" s="16"/>
      <c r="FT118" s="16"/>
      <c r="FU118" s="16"/>
      <c r="FV118" s="16"/>
      <c r="FW118" s="16"/>
      <c r="FX118" s="16"/>
      <c r="FY118" s="16"/>
      <c r="FZ118" s="16">
        <f>IFERROR(__xludf.DUMMYFUNCTION("""COMPUTED_VALUE"""),8.0)</f>
        <v>8</v>
      </c>
      <c r="GA118" s="16"/>
      <c r="GB118" s="16"/>
      <c r="GC118" s="16"/>
      <c r="GD118" s="16" t="s">
        <v>200</v>
      </c>
    </row>
    <row r="119">
      <c r="A119" s="16">
        <f>IFERROR(__xludf.DUMMYFUNCTION("""COMPUTED_VALUE"""),12599.0)</f>
        <v>12599</v>
      </c>
      <c r="B119" s="16" t="str">
        <f>IFERROR(__xludf.DUMMYFUNCTION("""COMPUTED_VALUE"""),"Brandon Nimmo")</f>
        <v>Brandon Nimmo</v>
      </c>
      <c r="C119" s="16">
        <f>IFERROR(__xludf.DUMMYFUNCTION("""COMPUTED_VALUE"""),0.96)</f>
        <v>0.96</v>
      </c>
      <c r="D119" s="16" t="str">
        <f>IFERROR(__xludf.DUMMYFUNCTION("""COMPUTED_VALUE"""),"L")</f>
        <v>L</v>
      </c>
      <c r="E119" s="16"/>
      <c r="F119" s="16"/>
      <c r="G119" s="16">
        <f>IFERROR(__xludf.DUMMYFUNCTION("""COMPUTED_VALUE"""),571.0)</f>
        <v>571</v>
      </c>
      <c r="H119" s="16">
        <f>IFERROR(__xludf.DUMMYFUNCTION("""COMPUTED_VALUE"""),77.0)</f>
        <v>77</v>
      </c>
      <c r="I119" s="16" t="str">
        <f>IFERROR(__xludf.DUMMYFUNCTION("""COMPUTED_VALUE"""),"1p70")</f>
        <v>1p70</v>
      </c>
      <c r="J119" s="16">
        <f>IFERROR(__xludf.DUMMYFUNCTION("""COMPUTED_VALUE"""),26.0)</f>
        <v>26</v>
      </c>
      <c r="K119" s="16">
        <f>IFERROR(__xludf.DUMMYFUNCTION("""COMPUTED_VALUE"""),26.0)</f>
        <v>26</v>
      </c>
      <c r="L119" s="16">
        <f>IFERROR(__xludf.DUMMYFUNCTION("""COMPUTED_VALUE"""),0.0)</f>
        <v>0</v>
      </c>
      <c r="M119" s="16">
        <f>IFERROR(__xludf.DUMMYFUNCTION("""COMPUTED_VALUE"""),0.0)</f>
        <v>0</v>
      </c>
      <c r="N119" s="16">
        <f>IFERROR(__xludf.DUMMYFUNCTION("""COMPUTED_VALUE"""),0.0)</f>
        <v>0</v>
      </c>
      <c r="O119" s="16">
        <f>IFERROR(__xludf.DUMMYFUNCTION("""COMPUTED_VALUE"""),0.0)</f>
        <v>0</v>
      </c>
      <c r="P119" s="16">
        <f>IFERROR(__xludf.DUMMYFUNCTION("""COMPUTED_VALUE"""),5.0)</f>
        <v>5</v>
      </c>
      <c r="Q119" s="16">
        <f>IFERROR(__xludf.DUMMYFUNCTION("""COMPUTED_VALUE"""),19.0)</f>
        <v>19</v>
      </c>
      <c r="R119" s="16">
        <f>IFERROR(__xludf.DUMMYFUNCTION("""COMPUTED_VALUE"""),-1.0)</f>
        <v>-1</v>
      </c>
      <c r="S119" s="16">
        <f>IFERROR(__xludf.DUMMYFUNCTION("""COMPUTED_VALUE"""),3.0)</f>
        <v>3</v>
      </c>
      <c r="T119" s="16">
        <f>IFERROR(__xludf.DUMMYFUNCTION("""COMPUTED_VALUE"""),-1.0)</f>
        <v>-1</v>
      </c>
      <c r="U119" s="16">
        <f>IFERROR(__xludf.DUMMYFUNCTION("""COMPUTED_VALUE"""),3.0)</f>
        <v>3</v>
      </c>
      <c r="V119" s="16">
        <f>IFERROR(__xludf.DUMMYFUNCTION("""COMPUTED_VALUE"""),21.5)</f>
        <v>21.5</v>
      </c>
      <c r="W119" s="16">
        <f>IFERROR(__xludf.DUMMYFUNCTION("""COMPUTED_VALUE"""),10.3)</f>
        <v>10.3</v>
      </c>
      <c r="X119" s="16">
        <f>IFERROR(__xludf.DUMMYFUNCTION("""COMPUTED_VALUE"""),0.0)</f>
        <v>0</v>
      </c>
      <c r="Y119" s="16">
        <f>IFERROR(__xludf.DUMMYFUNCTION("""COMPUTED_VALUE"""),-2.0)</f>
        <v>-2</v>
      </c>
      <c r="Z119" s="16">
        <f>IFERROR(__xludf.DUMMYFUNCTION("""COMPUTED_VALUE"""),0.0)</f>
        <v>0</v>
      </c>
      <c r="AA119" s="16">
        <f>IFERROR(__xludf.DUMMYFUNCTION("""COMPUTED_VALUE"""),-4.0)</f>
        <v>-4</v>
      </c>
      <c r="AB119" s="16">
        <f>IFERROR(__xludf.DUMMYFUNCTION("""COMPUTED_VALUE"""),30.5)</f>
        <v>30.5</v>
      </c>
      <c r="AC119" s="16">
        <f>IFERROR(__xludf.DUMMYFUNCTION("""COMPUTED_VALUE"""),33.3)</f>
        <v>33.3</v>
      </c>
      <c r="AD119" s="16">
        <f>IFERROR(__xludf.DUMMYFUNCTION("""COMPUTED_VALUE"""),0.0)</f>
        <v>0</v>
      </c>
      <c r="AE119" s="16">
        <f>IFERROR(__xludf.DUMMYFUNCTION("""COMPUTED_VALUE"""),0.0)</f>
        <v>0</v>
      </c>
      <c r="AF119" s="16">
        <f>IFERROR(__xludf.DUMMYFUNCTION("""COMPUTED_VALUE"""),0.0)</f>
        <v>0</v>
      </c>
      <c r="AG119" s="16">
        <f>IFERROR(__xludf.DUMMYFUNCTION("""COMPUTED_VALUE"""),0.0)</f>
        <v>0</v>
      </c>
      <c r="AH119" s="16">
        <f>IFERROR(__xludf.DUMMYFUNCTION("""COMPUTED_VALUE"""),35.8)</f>
        <v>35.8</v>
      </c>
      <c r="AI119" s="16">
        <f>IFERROR(__xludf.DUMMYFUNCTION("""COMPUTED_VALUE"""),20.5)</f>
        <v>20.5</v>
      </c>
      <c r="AJ119" s="16">
        <f>IFERROR(__xludf.DUMMYFUNCTION("""COMPUTED_VALUE"""),0.0)</f>
        <v>0</v>
      </c>
      <c r="AK119" s="16">
        <f>IFERROR(__xludf.DUMMYFUNCTION("""COMPUTED_VALUE"""),-1.0)</f>
        <v>-1</v>
      </c>
      <c r="AL119" s="16">
        <f>IFERROR(__xludf.DUMMYFUNCTION("""COMPUTED_VALUE"""),0.0)</f>
        <v>0</v>
      </c>
      <c r="AM119" s="16">
        <f>IFERROR(__xludf.DUMMYFUNCTION("""COMPUTED_VALUE"""),-5.0)</f>
        <v>-5</v>
      </c>
      <c r="AN119" s="16">
        <f>IFERROR(__xludf.DUMMYFUNCTION("""COMPUTED_VALUE"""),1.9)</f>
        <v>1.9</v>
      </c>
      <c r="AO119" s="16">
        <f>IFERROR(__xludf.DUMMYFUNCTION("""COMPUTED_VALUE"""),2.7)</f>
        <v>2.7</v>
      </c>
      <c r="AP119" s="16">
        <f>IFERROR(__xludf.DUMMYFUNCTION("""COMPUTED_VALUE"""),-1.0)</f>
        <v>-1</v>
      </c>
      <c r="AQ119" s="16">
        <f>IFERROR(__xludf.DUMMYFUNCTION("""COMPUTED_VALUE"""),0.0)</f>
        <v>0</v>
      </c>
      <c r="AR119" s="16">
        <f>IFERROR(__xludf.DUMMYFUNCTION("""COMPUTED_VALUE"""),-2.0)</f>
        <v>-2</v>
      </c>
      <c r="AS119" s="16">
        <f>IFERROR(__xludf.DUMMYFUNCTION("""COMPUTED_VALUE"""),0.0)</f>
        <v>0</v>
      </c>
      <c r="AT119" s="16">
        <f>IFERROR(__xludf.DUMMYFUNCTION("""COMPUTED_VALUE"""),2.0)</f>
        <v>2</v>
      </c>
      <c r="AU119" s="16">
        <f>IFERROR(__xludf.DUMMYFUNCTION("""COMPUTED_VALUE"""),5.0)</f>
        <v>5</v>
      </c>
      <c r="AV119" s="16">
        <f>IFERROR(__xludf.DUMMYFUNCTION("""COMPUTED_VALUE"""),2.0)</f>
        <v>2</v>
      </c>
      <c r="AW119" s="16">
        <f>IFERROR(__xludf.DUMMYFUNCTION("""COMPUTED_VALUE"""),5.0)</f>
        <v>5</v>
      </c>
      <c r="AX119" s="16">
        <f>IFERROR(__xludf.DUMMYFUNCTION("""COMPUTED_VALUE"""),0.0)</f>
        <v>0</v>
      </c>
      <c r="AY119" s="16">
        <f>IFERROR(__xludf.DUMMYFUNCTION("""COMPUTED_VALUE"""),2.0)</f>
        <v>2</v>
      </c>
      <c r="AZ119" s="16">
        <f>IFERROR(__xludf.DUMMYFUNCTION("""COMPUTED_VALUE"""),0.0)</f>
        <v>0</v>
      </c>
      <c r="BA119" s="16">
        <f>IFERROR(__xludf.DUMMYFUNCTION("""COMPUTED_VALUE"""),6.0)</f>
        <v>6</v>
      </c>
      <c r="BB119" s="16">
        <f>IFERROR(__xludf.DUMMYFUNCTION("""COMPUTED_VALUE"""),5.0)</f>
        <v>5</v>
      </c>
      <c r="BC119" s="16">
        <f>IFERROR(__xludf.DUMMYFUNCTION("""COMPUTED_VALUE"""),5.0)</f>
        <v>5</v>
      </c>
      <c r="BD119" s="16">
        <f>IFERROR(__xludf.DUMMYFUNCTION("""COMPUTED_VALUE"""),1.0)</f>
        <v>1</v>
      </c>
      <c r="BE119" s="16">
        <f>IFERROR(__xludf.DUMMYFUNCTION("""COMPUTED_VALUE"""),1.0)</f>
        <v>1</v>
      </c>
      <c r="BF119" s="16">
        <f>IFERROR(__xludf.DUMMYFUNCTION("""COMPUTED_VALUE"""),1.0)</f>
        <v>1</v>
      </c>
      <c r="BG119" s="16">
        <f>IFERROR(__xludf.DUMMYFUNCTION("""COMPUTED_VALUE"""),1.0)</f>
        <v>1</v>
      </c>
      <c r="BH119" s="16">
        <f>IFERROR(__xludf.DUMMYFUNCTION("""COMPUTED_VALUE"""),6.0)</f>
        <v>6</v>
      </c>
      <c r="BI119" s="16">
        <f>IFERROR(__xludf.DUMMYFUNCTION("""COMPUTED_VALUE"""),5.0)</f>
        <v>5</v>
      </c>
      <c r="BJ119" s="16">
        <f>IFERROR(__xludf.DUMMYFUNCTION("""COMPUTED_VALUE"""),8.0)</f>
        <v>8</v>
      </c>
      <c r="BK119" s="16">
        <f>IFERROR(__xludf.DUMMYFUNCTION("""COMPUTED_VALUE"""),5.0)</f>
        <v>5</v>
      </c>
      <c r="BL119" s="16">
        <f>IFERROR(__xludf.DUMMYFUNCTION("""COMPUTED_VALUE"""),1.0)</f>
        <v>1</v>
      </c>
      <c r="BM119" s="16">
        <f>IFERROR(__xludf.DUMMYFUNCTION("""COMPUTED_VALUE"""),1.0)</f>
        <v>1</v>
      </c>
      <c r="BN119" s="16">
        <f>IFERROR(__xludf.DUMMYFUNCTION("""COMPUTED_VALUE"""),1.0)</f>
        <v>1</v>
      </c>
      <c r="BO119" s="16">
        <f>IFERROR(__xludf.DUMMYFUNCTION("""COMPUTED_VALUE"""),1.0)</f>
        <v>1</v>
      </c>
      <c r="BP119" s="16">
        <f>IFERROR(__xludf.DUMMYFUNCTION("""COMPUTED_VALUE"""),0.0)</f>
        <v>0</v>
      </c>
      <c r="BQ119" s="16">
        <f>IFERROR(__xludf.DUMMYFUNCTION("""COMPUTED_VALUE"""),4.0)</f>
        <v>4</v>
      </c>
      <c r="BR119" s="16">
        <f>IFERROR(__xludf.DUMMYFUNCTION("""COMPUTED_VALUE"""),4.0)</f>
        <v>4</v>
      </c>
      <c r="BS119" s="16" t="str">
        <f>IFERROR(__xludf.DUMMYFUNCTION("""COMPUTED_VALUE"""),"*5/- (20-6)")</f>
        <v>*5/- (20-6)</v>
      </c>
      <c r="BT119" s="16" t="str">
        <f>IFERROR(__xludf.DUMMYFUNCTION("""COMPUTED_VALUE"""),"B")</f>
        <v>B</v>
      </c>
      <c r="BU119" s="16">
        <f>IFERROR(__xludf.DUMMYFUNCTION("""COMPUTED_VALUE"""),15.0)</f>
        <v>15</v>
      </c>
      <c r="BV119" s="16">
        <f>IFERROR(__xludf.DUMMYFUNCTION("""COMPUTED_VALUE"""),1.0)</f>
        <v>1</v>
      </c>
      <c r="BW119" s="16">
        <f>IFERROR(__xludf.DUMMYFUNCTION("""COMPUTED_VALUE"""),2.0)</f>
        <v>2</v>
      </c>
      <c r="BX119" s="16">
        <f>IFERROR(__xludf.DUMMYFUNCTION("""COMPUTED_VALUE"""),2.0)</f>
        <v>2</v>
      </c>
      <c r="BY119" s="16">
        <f>IFERROR(__xludf.DUMMYFUNCTION("""COMPUTED_VALUE"""),6.0)</f>
        <v>6</v>
      </c>
      <c r="BZ119" s="16" t="str">
        <f>IFERROR(__xludf.DUMMYFUNCTION("""COMPUTED_VALUE"""),"D")</f>
        <v>D</v>
      </c>
      <c r="CA119" s="16" t="str">
        <f>IFERROR(__xludf.DUMMYFUNCTION("""COMPUTED_VALUE"""),"C")</f>
        <v>C</v>
      </c>
      <c r="CB119" s="16">
        <f>IFERROR(__xludf.DUMMYFUNCTION("""COMPUTED_VALUE"""),0.0)</f>
        <v>0</v>
      </c>
      <c r="CC119" s="16">
        <f>IFERROR(__xludf.DUMMYFUNCTION("""COMPUTED_VALUE"""),0.0)</f>
        <v>0</v>
      </c>
      <c r="CD119" s="16">
        <f>IFERROR(__xludf.DUMMYFUNCTION("""COMPUTED_VALUE"""),0.0)</f>
        <v>0</v>
      </c>
      <c r="CE119" s="16">
        <f>IFERROR(__xludf.DUMMYFUNCTION("""COMPUTED_VALUE"""),0.0)</f>
        <v>0</v>
      </c>
      <c r="CF119" s="16">
        <f>IFERROR(__xludf.DUMMYFUNCTION("""COMPUTED_VALUE"""),1.0)</f>
        <v>1</v>
      </c>
      <c r="CG119" s="16">
        <f>IFERROR(__xludf.DUMMYFUNCTION("""COMPUTED_VALUE"""),-1.0)</f>
        <v>-1</v>
      </c>
      <c r="CH119" s="16">
        <f>IFERROR(__xludf.DUMMYFUNCTION("""COMPUTED_VALUE"""),2.0)</f>
        <v>2</v>
      </c>
      <c r="CI119" s="179">
        <f>IFERROR(__xludf.DUMMYFUNCTION("""COMPUTED_VALUE"""),10.0)</f>
        <v>10</v>
      </c>
      <c r="CJ119" s="16"/>
      <c r="CK119" s="16"/>
      <c r="CL119" s="16"/>
      <c r="CM119" s="16"/>
      <c r="CN119" s="16"/>
      <c r="CO119" s="16">
        <f>IFERROR(__xludf.DUMMYFUNCTION("""COMPUTED_VALUE"""),202.0)</f>
        <v>202</v>
      </c>
      <c r="CP119" s="16">
        <f>IFERROR(__xludf.DUMMYFUNCTION("""COMPUTED_VALUE"""),302.0)</f>
        <v>302</v>
      </c>
      <c r="CQ119" s="16"/>
      <c r="CR119" s="16" t="str">
        <f>IFERROR(__xludf.DUMMYFUNCTION("""COMPUTED_VALUE"""),"lf-2(+1)e2 cf-3e2")</f>
        <v>lf-2(+1)e2 cf-3e2</v>
      </c>
      <c r="CS119" s="16"/>
      <c r="CT119" s="16"/>
      <c r="CU119" s="16"/>
      <c r="CV119" s="16"/>
      <c r="CW119" s="16"/>
      <c r="CX119" s="16">
        <f>IFERROR(__xludf.DUMMYFUNCTION("""COMPUTED_VALUE"""),2.0)</f>
        <v>2</v>
      </c>
      <c r="CY119" s="16">
        <f>IFERROR(__xludf.DUMMYFUNCTION("""COMPUTED_VALUE"""),3.0)</f>
        <v>3</v>
      </c>
      <c r="CZ119" s="16"/>
      <c r="DA119" s="16"/>
      <c r="DB119" s="16"/>
      <c r="DC119" s="16"/>
      <c r="DD119" s="16"/>
      <c r="DE119" s="16"/>
      <c r="DF119" s="16">
        <f>IFERROR(__xludf.DUMMYFUNCTION("""COMPUTED_VALUE"""),2.0)</f>
        <v>2</v>
      </c>
      <c r="DG119" s="16">
        <f>IFERROR(__xludf.DUMMYFUNCTION("""COMPUTED_VALUE"""),2.0)</f>
        <v>2</v>
      </c>
      <c r="DH119" s="16"/>
      <c r="DI119" s="16"/>
      <c r="DJ119" s="16"/>
      <c r="DK119" s="16"/>
      <c r="DL119" s="16"/>
      <c r="DM119" s="16"/>
      <c r="DN119" s="16">
        <f>IFERROR(__xludf.DUMMYFUNCTION("""COMPUTED_VALUE"""),3.0)</f>
        <v>3</v>
      </c>
      <c r="DO119" s="16">
        <f>IFERROR(__xludf.DUMMYFUNCTION("""COMPUTED_VALUE"""),0.0)</f>
        <v>0</v>
      </c>
      <c r="DP119" s="16"/>
      <c r="DQ119" s="16"/>
      <c r="DR119" s="16"/>
      <c r="DS119" s="16"/>
      <c r="DT119" s="16"/>
      <c r="DU119" s="16"/>
      <c r="DV119" s="16">
        <f>IFERROR(__xludf.DUMMYFUNCTION("""COMPUTED_VALUE"""),4.0)</f>
        <v>4</v>
      </c>
      <c r="DW119" s="16">
        <f>IFERROR(__xludf.DUMMYFUNCTION("""COMPUTED_VALUE"""),4.0)</f>
        <v>4</v>
      </c>
      <c r="DX119" s="16"/>
      <c r="DY119" s="16"/>
      <c r="DZ119" s="16"/>
      <c r="EA119" s="16"/>
      <c r="EB119" s="16"/>
      <c r="EC119" s="16"/>
      <c r="ED119" s="16">
        <f>IFERROR(__xludf.DUMMYFUNCTION("""COMPUTED_VALUE"""),7.0)</f>
        <v>7</v>
      </c>
      <c r="EE119" s="16">
        <f>IFERROR(__xludf.DUMMYFUNCTION("""COMPUTED_VALUE"""),4.0)</f>
        <v>4</v>
      </c>
      <c r="EF119" s="16"/>
      <c r="EG119" s="179"/>
      <c r="EH119" s="179"/>
      <c r="EI119" s="179"/>
      <c r="EJ119" s="179"/>
      <c r="EK119" s="179"/>
      <c r="EL119" s="179">
        <f>IFERROR(__xludf.DUMMYFUNCTION("""COMPUTED_VALUE"""),17.0)</f>
        <v>17</v>
      </c>
      <c r="EM119" s="179">
        <f>IFERROR(__xludf.DUMMYFUNCTION("""COMPUTED_VALUE"""),14.0)</f>
        <v>14</v>
      </c>
      <c r="EN119" s="179"/>
      <c r="EO119" s="16"/>
      <c r="EP119" s="16"/>
      <c r="EQ119" s="16">
        <f>IFERROR(__xludf.DUMMYFUNCTION("""COMPUTED_VALUE"""),4.0)</f>
        <v>4</v>
      </c>
      <c r="ER119" s="16">
        <f>IFERROR(__xludf.DUMMYFUNCTION("""COMPUTED_VALUE"""),3.0)</f>
        <v>3</v>
      </c>
      <c r="ES119" s="16"/>
      <c r="ET119" s="16"/>
      <c r="EU119" s="16"/>
      <c r="EV119" s="16"/>
      <c r="EW119" s="16"/>
      <c r="EX119" s="180"/>
      <c r="EY119" s="180"/>
      <c r="EZ119" s="180"/>
      <c r="FA119" s="180"/>
      <c r="FB119" s="180"/>
      <c r="FC119" s="180">
        <f>IFERROR(__xludf.DUMMYFUNCTION("""COMPUTED_VALUE"""),0.15)</f>
        <v>0.15</v>
      </c>
      <c r="FD119" s="180">
        <f>IFERROR(__xludf.DUMMYFUNCTION("""COMPUTED_VALUE"""),0.3)</f>
        <v>0.3</v>
      </c>
      <c r="FE119" s="180"/>
      <c r="FF119" s="180"/>
      <c r="FG119" s="180"/>
      <c r="FH119" s="180"/>
      <c r="FI119" s="180"/>
      <c r="FJ119" s="180"/>
      <c r="FK119" s="180">
        <f>IFERROR(__xludf.DUMMYFUNCTION("""COMPUTED_VALUE"""),0.037)</f>
        <v>0.037</v>
      </c>
      <c r="FL119" s="180">
        <f>IFERROR(__xludf.DUMMYFUNCTION("""COMPUTED_VALUE"""),0.023148148148148147)</f>
        <v>0.02314814815</v>
      </c>
      <c r="FM119" s="180"/>
      <c r="FN119" s="16"/>
      <c r="FO119" s="16"/>
      <c r="FP119" s="16"/>
      <c r="FQ119" s="16"/>
      <c r="FR119" s="16"/>
      <c r="FS119" s="16">
        <f>IFERROR(__xludf.DUMMYFUNCTION("""COMPUTED_VALUE"""),0.81855)</f>
        <v>0.81855</v>
      </c>
      <c r="FT119" s="16">
        <f>IFERROR(__xludf.DUMMYFUNCTION("""COMPUTED_VALUE"""),0.6837962962962962)</f>
        <v>0.6837962963</v>
      </c>
      <c r="FU119" s="16"/>
      <c r="FV119" s="16"/>
      <c r="FW119" s="16"/>
      <c r="FX119" s="16"/>
      <c r="FY119" s="16"/>
      <c r="FZ119" s="16"/>
      <c r="GA119" s="16">
        <f>IFERROR(__xludf.DUMMYFUNCTION("""COMPUTED_VALUE"""),1.0)</f>
        <v>1</v>
      </c>
      <c r="GB119" s="16">
        <f>IFERROR(__xludf.DUMMYFUNCTION("""COMPUTED_VALUE"""),-4.0)</f>
        <v>-4</v>
      </c>
      <c r="GC119" s="16"/>
      <c r="GD119" s="16" t="s">
        <v>200</v>
      </c>
    </row>
    <row r="120">
      <c r="A120" s="16">
        <f>IFERROR(__xludf.DUMMYFUNCTION("""COMPUTED_VALUE"""),12516.0)</f>
        <v>12516</v>
      </c>
      <c r="B120" s="16" t="str">
        <f>IFERROR(__xludf.DUMMYFUNCTION("""COMPUTED_VALUE"""),"Alec Bohm")</f>
        <v>Alec Bohm</v>
      </c>
      <c r="C120" s="16">
        <f>IFERROR(__xludf.DUMMYFUNCTION("""COMPUTED_VALUE"""),1.44)</f>
        <v>1.44</v>
      </c>
      <c r="D120" s="16" t="str">
        <f>IFERROR(__xludf.DUMMYFUNCTION("""COMPUTED_VALUE"""),"R")</f>
        <v>R</v>
      </c>
      <c r="E120" s="16"/>
      <c r="F120" s="16"/>
      <c r="G120" s="16">
        <f>IFERROR(__xludf.DUMMYFUNCTION("""COMPUTED_VALUE"""),554.0)</f>
        <v>554</v>
      </c>
      <c r="H120" s="16">
        <f>IFERROR(__xludf.DUMMYFUNCTION("""COMPUTED_VALUE"""),40.0)</f>
        <v>40</v>
      </c>
      <c r="I120" s="16" t="str">
        <f>IFERROR(__xludf.DUMMYFUNCTION("""COMPUTED_VALUE"""),"1p65")</f>
        <v>1p65</v>
      </c>
      <c r="J120" s="16">
        <f>IFERROR(__xludf.DUMMYFUNCTION("""COMPUTED_VALUE"""),0.0)</f>
        <v>0</v>
      </c>
      <c r="K120" s="16">
        <f>IFERROR(__xludf.DUMMYFUNCTION("""COMPUTED_VALUE"""),11.0)</f>
        <v>11</v>
      </c>
      <c r="L120" s="16">
        <f>IFERROR(__xludf.DUMMYFUNCTION("""COMPUTED_VALUE"""),3.0)</f>
        <v>3</v>
      </c>
      <c r="M120" s="16">
        <f>IFERROR(__xludf.DUMMYFUNCTION("""COMPUTED_VALUE"""),1.0)</f>
        <v>1</v>
      </c>
      <c r="N120" s="16">
        <f>IFERROR(__xludf.DUMMYFUNCTION("""COMPUTED_VALUE"""),3.0)</f>
        <v>3</v>
      </c>
      <c r="O120" s="16">
        <f>IFERROR(__xludf.DUMMYFUNCTION("""COMPUTED_VALUE"""),1.0)</f>
        <v>1</v>
      </c>
      <c r="P120" s="16">
        <f>IFERROR(__xludf.DUMMYFUNCTION("""COMPUTED_VALUE"""),4.0)</f>
        <v>4</v>
      </c>
      <c r="Q120" s="16">
        <f>IFERROR(__xludf.DUMMYFUNCTION("""COMPUTED_VALUE"""),6.0)</f>
        <v>6</v>
      </c>
      <c r="R120" s="16">
        <f>IFERROR(__xludf.DUMMYFUNCTION("""COMPUTED_VALUE"""),-2.0)</f>
        <v>-2</v>
      </c>
      <c r="S120" s="16">
        <f>IFERROR(__xludf.DUMMYFUNCTION("""COMPUTED_VALUE"""),-1.0)</f>
        <v>-1</v>
      </c>
      <c r="T120" s="16">
        <f>IFERROR(__xludf.DUMMYFUNCTION("""COMPUTED_VALUE"""),-2.0)</f>
        <v>-2</v>
      </c>
      <c r="U120" s="16">
        <f>IFERROR(__xludf.DUMMYFUNCTION("""COMPUTED_VALUE"""),-1.0)</f>
        <v>-1</v>
      </c>
      <c r="V120" s="16">
        <f>IFERROR(__xludf.DUMMYFUNCTION("""COMPUTED_VALUE"""),28.3)</f>
        <v>28.3</v>
      </c>
      <c r="W120" s="16">
        <f>IFERROR(__xludf.DUMMYFUNCTION("""COMPUTED_VALUE"""),27.1)</f>
        <v>27.1</v>
      </c>
      <c r="X120" s="16">
        <f>IFERROR(__xludf.DUMMYFUNCTION("""COMPUTED_VALUE"""),1.0)</f>
        <v>1</v>
      </c>
      <c r="Y120" s="16">
        <f>IFERROR(__xludf.DUMMYFUNCTION("""COMPUTED_VALUE"""),1.0)</f>
        <v>1</v>
      </c>
      <c r="Z120" s="16">
        <f>IFERROR(__xludf.DUMMYFUNCTION("""COMPUTED_VALUE"""),2.0)</f>
        <v>2</v>
      </c>
      <c r="AA120" s="16">
        <f>IFERROR(__xludf.DUMMYFUNCTION("""COMPUTED_VALUE"""),2.0)</f>
        <v>2</v>
      </c>
      <c r="AB120" s="16">
        <f>IFERROR(__xludf.DUMMYFUNCTION("""COMPUTED_VALUE"""),34.3)</f>
        <v>34.3</v>
      </c>
      <c r="AC120" s="16">
        <f>IFERROR(__xludf.DUMMYFUNCTION("""COMPUTED_VALUE"""),35.2)</f>
        <v>35.2</v>
      </c>
      <c r="AD120" s="16">
        <f>IFERROR(__xludf.DUMMYFUNCTION("""COMPUTED_VALUE"""),0.0)</f>
        <v>0</v>
      </c>
      <c r="AE120" s="16">
        <f>IFERROR(__xludf.DUMMYFUNCTION("""COMPUTED_VALUE"""),1.0)</f>
        <v>1</v>
      </c>
      <c r="AF120" s="16">
        <f>IFERROR(__xludf.DUMMYFUNCTION("""COMPUTED_VALUE"""),0.0)</f>
        <v>0</v>
      </c>
      <c r="AG120" s="16">
        <f>IFERROR(__xludf.DUMMYFUNCTION("""COMPUTED_VALUE"""),5.0)</f>
        <v>5</v>
      </c>
      <c r="AH120" s="16">
        <f>IFERROR(__xludf.DUMMYFUNCTION("""COMPUTED_VALUE"""),45.1)</f>
        <v>45.1</v>
      </c>
      <c r="AI120" s="16">
        <f>IFERROR(__xludf.DUMMYFUNCTION("""COMPUTED_VALUE"""),42.3)</f>
        <v>42.3</v>
      </c>
      <c r="AJ120" s="16">
        <f>IFERROR(__xludf.DUMMYFUNCTION("""COMPUTED_VALUE"""),1.0)</f>
        <v>1</v>
      </c>
      <c r="AK120" s="16">
        <f>IFERROR(__xludf.DUMMYFUNCTION("""COMPUTED_VALUE"""),1.0)</f>
        <v>1</v>
      </c>
      <c r="AL120" s="16">
        <f>IFERROR(__xludf.DUMMYFUNCTION("""COMPUTED_VALUE"""),5.0)</f>
        <v>5</v>
      </c>
      <c r="AM120" s="16">
        <f>IFERROR(__xludf.DUMMYFUNCTION("""COMPUTED_VALUE"""),5.0)</f>
        <v>5</v>
      </c>
      <c r="AN120" s="16">
        <f>IFERROR(__xludf.DUMMYFUNCTION("""COMPUTED_VALUE"""),2.3)</f>
        <v>2.3</v>
      </c>
      <c r="AO120" s="16">
        <f>IFERROR(__xludf.DUMMYFUNCTION("""COMPUTED_VALUE"""),1.0)</f>
        <v>1</v>
      </c>
      <c r="AP120" s="16">
        <f>IFERROR(__xludf.DUMMYFUNCTION("""COMPUTED_VALUE"""),0.0)</f>
        <v>0</v>
      </c>
      <c r="AQ120" s="16">
        <f>IFERROR(__xludf.DUMMYFUNCTION("""COMPUTED_VALUE"""),-2.0)</f>
        <v>-2</v>
      </c>
      <c r="AR120" s="16">
        <f>IFERROR(__xludf.DUMMYFUNCTION("""COMPUTED_VALUE"""),0.0)</f>
        <v>0</v>
      </c>
      <c r="AS120" s="16">
        <f>IFERROR(__xludf.DUMMYFUNCTION("""COMPUTED_VALUE"""),-4.0)</f>
        <v>-4</v>
      </c>
      <c r="AT120" s="16">
        <f>IFERROR(__xludf.DUMMYFUNCTION("""COMPUTED_VALUE"""),3.0)</f>
        <v>3</v>
      </c>
      <c r="AU120" s="16">
        <f>IFERROR(__xludf.DUMMYFUNCTION("""COMPUTED_VALUE"""),1.0)</f>
        <v>1</v>
      </c>
      <c r="AV120" s="16">
        <f>IFERROR(__xludf.DUMMYFUNCTION("""COMPUTED_VALUE"""),3.0)</f>
        <v>3</v>
      </c>
      <c r="AW120" s="16">
        <f>IFERROR(__xludf.DUMMYFUNCTION("""COMPUTED_VALUE"""),1.0)</f>
        <v>1</v>
      </c>
      <c r="AX120" s="16">
        <f>IFERROR(__xludf.DUMMYFUNCTION("""COMPUTED_VALUE"""),1.0)</f>
        <v>1</v>
      </c>
      <c r="AY120" s="16">
        <f>IFERROR(__xludf.DUMMYFUNCTION("""COMPUTED_VALUE"""),-1.0)</f>
        <v>-1</v>
      </c>
      <c r="AZ120" s="16">
        <f>IFERROR(__xludf.DUMMYFUNCTION("""COMPUTED_VALUE"""),3.0)</f>
        <v>3</v>
      </c>
      <c r="BA120" s="16">
        <f>IFERROR(__xludf.DUMMYFUNCTION("""COMPUTED_VALUE"""),-3.0)</f>
        <v>-3</v>
      </c>
      <c r="BB120" s="16">
        <f>IFERROR(__xludf.DUMMYFUNCTION("""COMPUTED_VALUE"""),5.0)</f>
        <v>5</v>
      </c>
      <c r="BC120" s="16">
        <f>IFERROR(__xludf.DUMMYFUNCTION("""COMPUTED_VALUE"""),5.0)</f>
        <v>5</v>
      </c>
      <c r="BD120" s="16">
        <f>IFERROR(__xludf.DUMMYFUNCTION("""COMPUTED_VALUE"""),1.0)</f>
        <v>1</v>
      </c>
      <c r="BE120" s="16">
        <f>IFERROR(__xludf.DUMMYFUNCTION("""COMPUTED_VALUE"""),1.0)</f>
        <v>1</v>
      </c>
      <c r="BF120" s="16">
        <f>IFERROR(__xludf.DUMMYFUNCTION("""COMPUTED_VALUE"""),1.0)</f>
        <v>1</v>
      </c>
      <c r="BG120" s="16">
        <f>IFERROR(__xludf.DUMMYFUNCTION("""COMPUTED_VALUE"""),1.0)</f>
        <v>1</v>
      </c>
      <c r="BH120" s="16">
        <f>IFERROR(__xludf.DUMMYFUNCTION("""COMPUTED_VALUE"""),5.0)</f>
        <v>5</v>
      </c>
      <c r="BI120" s="16">
        <f>IFERROR(__xludf.DUMMYFUNCTION("""COMPUTED_VALUE"""),5.0)</f>
        <v>5</v>
      </c>
      <c r="BJ120" s="16">
        <f>IFERROR(__xludf.DUMMYFUNCTION("""COMPUTED_VALUE"""),23.0)</f>
        <v>23</v>
      </c>
      <c r="BK120" s="16">
        <f>IFERROR(__xludf.DUMMYFUNCTION("""COMPUTED_VALUE"""),22.0)</f>
        <v>22</v>
      </c>
      <c r="BL120" s="16">
        <f>IFERROR(__xludf.DUMMYFUNCTION("""COMPUTED_VALUE"""),-2.0)</f>
        <v>-2</v>
      </c>
      <c r="BM120" s="16">
        <f>IFERROR(__xludf.DUMMYFUNCTION("""COMPUTED_VALUE"""),-2.0)</f>
        <v>-2</v>
      </c>
      <c r="BN120" s="16">
        <f>IFERROR(__xludf.DUMMYFUNCTION("""COMPUTED_VALUE"""),-4.0)</f>
        <v>-4</v>
      </c>
      <c r="BO120" s="16">
        <f>IFERROR(__xludf.DUMMYFUNCTION("""COMPUTED_VALUE"""),-4.0)</f>
        <v>-4</v>
      </c>
      <c r="BP120" s="16">
        <f>IFERROR(__xludf.DUMMYFUNCTION("""COMPUTED_VALUE"""),3.0)</f>
        <v>3</v>
      </c>
      <c r="BQ120" s="16">
        <f>IFERROR(__xludf.DUMMYFUNCTION("""COMPUTED_VALUE"""),-1.0)</f>
        <v>-1</v>
      </c>
      <c r="BR120" s="16">
        <f>IFERROR(__xludf.DUMMYFUNCTION("""COMPUTED_VALUE"""),2.0)</f>
        <v>2</v>
      </c>
      <c r="BS120" s="16" t="str">
        <f>IFERROR(__xludf.DUMMYFUNCTION("""COMPUTED_VALUE"""),"6/- (14-6)")</f>
        <v>6/- (14-6)</v>
      </c>
      <c r="BT120" s="16" t="str">
        <f>IFERROR(__xludf.DUMMYFUNCTION("""COMPUTED_VALUE"""),"D")</f>
        <v>D</v>
      </c>
      <c r="BU120" s="16">
        <f>IFERROR(__xludf.DUMMYFUNCTION("""COMPUTED_VALUE"""),11.0)</f>
        <v>11</v>
      </c>
      <c r="BV120" s="16">
        <f>IFERROR(__xludf.DUMMYFUNCTION("""COMPUTED_VALUE"""),0.0)</f>
        <v>0</v>
      </c>
      <c r="BW120" s="16">
        <f>IFERROR(__xludf.DUMMYFUNCTION("""COMPUTED_VALUE"""),0.0)</f>
        <v>0</v>
      </c>
      <c r="BX120" s="16">
        <f>IFERROR(__xludf.DUMMYFUNCTION("""COMPUTED_VALUE"""),0.0)</f>
        <v>0</v>
      </c>
      <c r="BY120" s="16">
        <f>IFERROR(__xludf.DUMMYFUNCTION("""COMPUTED_VALUE"""),0.0)</f>
        <v>0</v>
      </c>
      <c r="BZ120" s="16" t="str">
        <f>IFERROR(__xludf.DUMMYFUNCTION("""COMPUTED_VALUE"""),"D")</f>
        <v>D</v>
      </c>
      <c r="CA120" s="16" t="str">
        <f>IFERROR(__xludf.DUMMYFUNCTION("""COMPUTED_VALUE"""),"C")</f>
        <v>C</v>
      </c>
      <c r="CB120" s="16">
        <f>IFERROR(__xludf.DUMMYFUNCTION("""COMPUTED_VALUE"""),0.0)</f>
        <v>0</v>
      </c>
      <c r="CC120" s="16">
        <f>IFERROR(__xludf.DUMMYFUNCTION("""COMPUTED_VALUE"""),0.0)</f>
        <v>0</v>
      </c>
      <c r="CD120" s="16">
        <f>IFERROR(__xludf.DUMMYFUNCTION("""COMPUTED_VALUE"""),0.0)</f>
        <v>0</v>
      </c>
      <c r="CE120" s="16">
        <f>IFERROR(__xludf.DUMMYFUNCTION("""COMPUTED_VALUE"""),0.0)</f>
        <v>0</v>
      </c>
      <c r="CF120" s="16">
        <f>IFERROR(__xludf.DUMMYFUNCTION("""COMPUTED_VALUE"""),1.0)</f>
        <v>1</v>
      </c>
      <c r="CG120" s="16">
        <f>IFERROR(__xludf.DUMMYFUNCTION("""COMPUTED_VALUE"""),8.0)</f>
        <v>8</v>
      </c>
      <c r="CH120" s="16">
        <f>IFERROR(__xludf.DUMMYFUNCTION("""COMPUTED_VALUE"""),2.0)</f>
        <v>2</v>
      </c>
      <c r="CI120" s="179">
        <f>IFERROR(__xludf.DUMMYFUNCTION("""COMPUTED_VALUE"""),10.0)</f>
        <v>10</v>
      </c>
      <c r="CJ120" s="16"/>
      <c r="CK120" s="16">
        <f>IFERROR(__xludf.DUMMYFUNCTION("""COMPUTED_VALUE"""),413.0)</f>
        <v>413</v>
      </c>
      <c r="CL120" s="16"/>
      <c r="CM120" s="16">
        <f>IFERROR(__xludf.DUMMYFUNCTION("""COMPUTED_VALUE"""),318.0)</f>
        <v>318</v>
      </c>
      <c r="CN120" s="16"/>
      <c r="CO120" s="16"/>
      <c r="CP120" s="16"/>
      <c r="CQ120" s="16"/>
      <c r="CR120" s="16" t="str">
        <f>IFERROR(__xludf.DUMMYFUNCTION("""COMPUTED_VALUE"""),"3b-3e18 1b-4e13")</f>
        <v>3b-3e18 1b-4e13</v>
      </c>
      <c r="CS120" s="16"/>
      <c r="CT120" s="16">
        <f>IFERROR(__xludf.DUMMYFUNCTION("""COMPUTED_VALUE"""),4.0)</f>
        <v>4</v>
      </c>
      <c r="CU120" s="16"/>
      <c r="CV120" s="16">
        <f>IFERROR(__xludf.DUMMYFUNCTION("""COMPUTED_VALUE"""),3.0)</f>
        <v>3</v>
      </c>
      <c r="CW120" s="16"/>
      <c r="CX120" s="16"/>
      <c r="CY120" s="16"/>
      <c r="CZ120" s="16"/>
      <c r="DA120" s="16"/>
      <c r="DB120" s="16">
        <f>IFERROR(__xludf.DUMMYFUNCTION("""COMPUTED_VALUE"""),13.0)</f>
        <v>13</v>
      </c>
      <c r="DC120" s="16"/>
      <c r="DD120" s="16">
        <f>IFERROR(__xludf.DUMMYFUNCTION("""COMPUTED_VALUE"""),18.0)</f>
        <v>18</v>
      </c>
      <c r="DE120" s="16"/>
      <c r="DF120" s="16"/>
      <c r="DG120" s="16"/>
      <c r="DH120" s="16"/>
      <c r="DI120" s="16"/>
      <c r="DJ120" s="16">
        <f>IFERROR(__xludf.DUMMYFUNCTION("""COMPUTED_VALUE"""),0.0)</f>
        <v>0</v>
      </c>
      <c r="DK120" s="16"/>
      <c r="DL120" s="16">
        <f>IFERROR(__xludf.DUMMYFUNCTION("""COMPUTED_VALUE"""),1.0)</f>
        <v>1</v>
      </c>
      <c r="DM120" s="16"/>
      <c r="DN120" s="16"/>
      <c r="DO120" s="16"/>
      <c r="DP120" s="16"/>
      <c r="DQ120" s="16"/>
      <c r="DR120" s="16">
        <f>IFERROR(__xludf.DUMMYFUNCTION("""COMPUTED_VALUE"""),1.0)</f>
        <v>1</v>
      </c>
      <c r="DS120" s="16"/>
      <c r="DT120" s="16">
        <f>IFERROR(__xludf.DUMMYFUNCTION("""COMPUTED_VALUE"""),0.0)</f>
        <v>0</v>
      </c>
      <c r="DU120" s="16"/>
      <c r="DV120" s="16"/>
      <c r="DW120" s="16"/>
      <c r="DX120" s="16"/>
      <c r="DY120" s="16"/>
      <c r="DZ120" s="16">
        <f>IFERROR(__xludf.DUMMYFUNCTION("""COMPUTED_VALUE"""),1.0)</f>
        <v>1</v>
      </c>
      <c r="EA120" s="16"/>
      <c r="EB120" s="16">
        <f>IFERROR(__xludf.DUMMYFUNCTION("""COMPUTED_VALUE"""),1.0)</f>
        <v>1</v>
      </c>
      <c r="EC120" s="16"/>
      <c r="ED120" s="16"/>
      <c r="EE120" s="16"/>
      <c r="EF120" s="16"/>
      <c r="EG120" s="179"/>
      <c r="EH120" s="179">
        <f>IFERROR(__xludf.DUMMYFUNCTION("""COMPUTED_VALUE"""),11.0)</f>
        <v>11</v>
      </c>
      <c r="EI120" s="179"/>
      <c r="EJ120" s="179">
        <f>IFERROR(__xludf.DUMMYFUNCTION("""COMPUTED_VALUE"""),11.0)</f>
        <v>11</v>
      </c>
      <c r="EK120" s="179"/>
      <c r="EL120" s="179"/>
      <c r="EM120" s="179"/>
      <c r="EN120" s="179"/>
      <c r="EO120" s="16"/>
      <c r="EP120" s="16"/>
      <c r="EQ120" s="16">
        <f>IFERROR(__xludf.DUMMYFUNCTION("""COMPUTED_VALUE"""),4.0)</f>
        <v>4</v>
      </c>
      <c r="ER120" s="16">
        <f>IFERROR(__xludf.DUMMYFUNCTION("""COMPUTED_VALUE"""),2.0)</f>
        <v>2</v>
      </c>
      <c r="ES120" s="16"/>
      <c r="ET120" s="16"/>
      <c r="EU120" s="16"/>
      <c r="EV120" s="16"/>
      <c r="EW120" s="16"/>
      <c r="EX120" s="180"/>
      <c r="EY120" s="180">
        <f>IFERROR(__xludf.DUMMYFUNCTION("""COMPUTED_VALUE"""),0.3)</f>
        <v>0.3</v>
      </c>
      <c r="EZ120" s="180"/>
      <c r="FA120" s="180">
        <f>IFERROR(__xludf.DUMMYFUNCTION("""COMPUTED_VALUE"""),0.2)</f>
        <v>0.2</v>
      </c>
      <c r="FB120" s="180"/>
      <c r="FC120" s="180"/>
      <c r="FD120" s="180"/>
      <c r="FE120" s="180"/>
      <c r="FF120" s="180"/>
      <c r="FG120" s="180">
        <f>IFERROR(__xludf.DUMMYFUNCTION("""COMPUTED_VALUE"""),0.2361111111111111)</f>
        <v>0.2361111111</v>
      </c>
      <c r="FH120" s="180"/>
      <c r="FI120" s="180">
        <f>IFERROR(__xludf.DUMMYFUNCTION("""COMPUTED_VALUE"""),0.2175925925925926)</f>
        <v>0.2175925926</v>
      </c>
      <c r="FJ120" s="180"/>
      <c r="FK120" s="180"/>
      <c r="FL120" s="180"/>
      <c r="FM120" s="180"/>
      <c r="FN120" s="16"/>
      <c r="FO120" s="16">
        <f>IFERROR(__xludf.DUMMYFUNCTION("""COMPUTED_VALUE"""),0.5347222222222221)</f>
        <v>0.5347222222</v>
      </c>
      <c r="FP120" s="16"/>
      <c r="FQ120" s="16">
        <f>IFERROR(__xludf.DUMMYFUNCTION("""COMPUTED_VALUE"""),0.625925925925926)</f>
        <v>0.6259259259</v>
      </c>
      <c r="FR120" s="16"/>
      <c r="FS120" s="16"/>
      <c r="FT120" s="16"/>
      <c r="FU120" s="16"/>
      <c r="FV120" s="16"/>
      <c r="FW120" s="16">
        <f>IFERROR(__xludf.DUMMYFUNCTION("""COMPUTED_VALUE"""),-8.0)</f>
        <v>-8</v>
      </c>
      <c r="FX120" s="16"/>
      <c r="FY120" s="16">
        <f>IFERROR(__xludf.DUMMYFUNCTION("""COMPUTED_VALUE"""),-6.0)</f>
        <v>-6</v>
      </c>
      <c r="FZ120" s="16"/>
      <c r="GA120" s="16"/>
      <c r="GB120" s="16"/>
      <c r="GC120" s="16"/>
      <c r="GD120" s="16" t="s">
        <v>333</v>
      </c>
    </row>
    <row r="121">
      <c r="A121" s="16">
        <f>IFERROR(__xludf.DUMMYFUNCTION("""COMPUTED_VALUE"""),13256.0)</f>
        <v>13256</v>
      </c>
      <c r="B121" s="16" t="str">
        <f>IFERROR(__xludf.DUMMYFUNCTION("""COMPUTED_VALUE"""),"Nolan Arenado")</f>
        <v>Nolan Arenado</v>
      </c>
      <c r="C121" s="16">
        <f>IFERROR(__xludf.DUMMYFUNCTION("""COMPUTED_VALUE"""),1.14)</f>
        <v>1.14</v>
      </c>
      <c r="D121" s="16" t="str">
        <f>IFERROR(__xludf.DUMMYFUNCTION("""COMPUTED_VALUE"""),"R")</f>
        <v>R</v>
      </c>
      <c r="E121" s="16"/>
      <c r="F121" s="16"/>
      <c r="G121" s="16">
        <f>IFERROR(__xludf.DUMMYFUNCTION("""COMPUTED_VALUE"""),578.0)</f>
        <v>578</v>
      </c>
      <c r="H121" s="16">
        <f>IFERROR(__xludf.DUMMYFUNCTION("""COMPUTED_VALUE"""),44.0)</f>
        <v>44</v>
      </c>
      <c r="I121" s="16" t="str">
        <f>IFERROR(__xludf.DUMMYFUNCTION("""COMPUTED_VALUE"""),"1p70")</f>
        <v>1p70</v>
      </c>
      <c r="J121" s="16">
        <f>IFERROR(__xludf.DUMMYFUNCTION("""COMPUTED_VALUE"""),0.0)</f>
        <v>0</v>
      </c>
      <c r="K121" s="16">
        <f>IFERROR(__xludf.DUMMYFUNCTION("""COMPUTED_VALUE"""),9.0)</f>
        <v>9</v>
      </c>
      <c r="L121" s="16">
        <f>IFERROR(__xludf.DUMMYFUNCTION("""COMPUTED_VALUE"""),3.0)</f>
        <v>3</v>
      </c>
      <c r="M121" s="16">
        <f>IFERROR(__xludf.DUMMYFUNCTION("""COMPUTED_VALUE"""),2.0)</f>
        <v>2</v>
      </c>
      <c r="N121" s="16">
        <f>IFERROR(__xludf.DUMMYFUNCTION("""COMPUTED_VALUE"""),3.0)</f>
        <v>3</v>
      </c>
      <c r="O121" s="16">
        <f>IFERROR(__xludf.DUMMYFUNCTION("""COMPUTED_VALUE"""),2.0)</f>
        <v>2</v>
      </c>
      <c r="P121" s="16">
        <f>IFERROR(__xludf.DUMMYFUNCTION("""COMPUTED_VALUE"""),0.0)</f>
        <v>0</v>
      </c>
      <c r="Q121" s="16">
        <f>IFERROR(__xludf.DUMMYFUNCTION("""COMPUTED_VALUE"""),9.0)</f>
        <v>9</v>
      </c>
      <c r="R121" s="16">
        <f>IFERROR(__xludf.DUMMYFUNCTION("""COMPUTED_VALUE"""),-3.0)</f>
        <v>-3</v>
      </c>
      <c r="S121" s="16">
        <f>IFERROR(__xludf.DUMMYFUNCTION("""COMPUTED_VALUE"""),0.0)</f>
        <v>0</v>
      </c>
      <c r="T121" s="16">
        <f>IFERROR(__xludf.DUMMYFUNCTION("""COMPUTED_VALUE"""),-3.0)</f>
        <v>-3</v>
      </c>
      <c r="U121" s="16">
        <f>IFERROR(__xludf.DUMMYFUNCTION("""COMPUTED_VALUE"""),0.0)</f>
        <v>0</v>
      </c>
      <c r="V121" s="16">
        <f>IFERROR(__xludf.DUMMYFUNCTION("""COMPUTED_VALUE"""),19.2)</f>
        <v>19.2</v>
      </c>
      <c r="W121" s="16">
        <f>IFERROR(__xludf.DUMMYFUNCTION("""COMPUTED_VALUE"""),28.5)</f>
        <v>28.5</v>
      </c>
      <c r="X121" s="16">
        <f>IFERROR(__xludf.DUMMYFUNCTION("""COMPUTED_VALUE"""),0.0)</f>
        <v>0</v>
      </c>
      <c r="Y121" s="16">
        <f>IFERROR(__xludf.DUMMYFUNCTION("""COMPUTED_VALUE"""),2.0)</f>
        <v>2</v>
      </c>
      <c r="Z121" s="16">
        <f>IFERROR(__xludf.DUMMYFUNCTION("""COMPUTED_VALUE"""),0.0)</f>
        <v>0</v>
      </c>
      <c r="AA121" s="16">
        <f>IFERROR(__xludf.DUMMYFUNCTION("""COMPUTED_VALUE"""),4.0)</f>
        <v>4</v>
      </c>
      <c r="AB121" s="16">
        <f>IFERROR(__xludf.DUMMYFUNCTION("""COMPUTED_VALUE"""),21.2)</f>
        <v>21.2</v>
      </c>
      <c r="AC121" s="16">
        <f>IFERROR(__xludf.DUMMYFUNCTION("""COMPUTED_VALUE"""),39.5)</f>
        <v>39.5</v>
      </c>
      <c r="AD121" s="16">
        <f>IFERROR(__xludf.DUMMYFUNCTION("""COMPUTED_VALUE"""),-1.0)</f>
        <v>-1</v>
      </c>
      <c r="AE121" s="16">
        <f>IFERROR(__xludf.DUMMYFUNCTION("""COMPUTED_VALUE"""),1.0)</f>
        <v>1</v>
      </c>
      <c r="AF121" s="16">
        <f>IFERROR(__xludf.DUMMYFUNCTION("""COMPUTED_VALUE"""),-5.0)</f>
        <v>-5</v>
      </c>
      <c r="AG121" s="16">
        <f>IFERROR(__xludf.DUMMYFUNCTION("""COMPUTED_VALUE"""),5.0)</f>
        <v>5</v>
      </c>
      <c r="AH121" s="16">
        <f>IFERROR(__xludf.DUMMYFUNCTION("""COMPUTED_VALUE"""),28.9)</f>
        <v>28.9</v>
      </c>
      <c r="AI121" s="16">
        <f>IFERROR(__xludf.DUMMYFUNCTION("""COMPUTED_VALUE"""),35.2)</f>
        <v>35.2</v>
      </c>
      <c r="AJ121" s="16">
        <f>IFERROR(__xludf.DUMMYFUNCTION("""COMPUTED_VALUE"""),0.0)</f>
        <v>0</v>
      </c>
      <c r="AK121" s="16">
        <f>IFERROR(__xludf.DUMMYFUNCTION("""COMPUTED_VALUE"""),0.0)</f>
        <v>0</v>
      </c>
      <c r="AL121" s="16">
        <f>IFERROR(__xludf.DUMMYFUNCTION("""COMPUTED_VALUE"""),0.0)</f>
        <v>0</v>
      </c>
      <c r="AM121" s="16">
        <f>IFERROR(__xludf.DUMMYFUNCTION("""COMPUTED_VALUE"""),0.0)</f>
        <v>0</v>
      </c>
      <c r="AN121" s="16">
        <f>IFERROR(__xludf.DUMMYFUNCTION("""COMPUTED_VALUE"""),2.3)</f>
        <v>2.3</v>
      </c>
      <c r="AO121" s="16">
        <f>IFERROR(__xludf.DUMMYFUNCTION("""COMPUTED_VALUE"""),1.4)</f>
        <v>1.4</v>
      </c>
      <c r="AP121" s="16">
        <f>IFERROR(__xludf.DUMMYFUNCTION("""COMPUTED_VALUE"""),0.0)</f>
        <v>0</v>
      </c>
      <c r="AQ121" s="16">
        <f>IFERROR(__xludf.DUMMYFUNCTION("""COMPUTED_VALUE"""),-1.0)</f>
        <v>-1</v>
      </c>
      <c r="AR121" s="16">
        <f>IFERROR(__xludf.DUMMYFUNCTION("""COMPUTED_VALUE"""),0.0)</f>
        <v>0</v>
      </c>
      <c r="AS121" s="16">
        <f>IFERROR(__xludf.DUMMYFUNCTION("""COMPUTED_VALUE"""),-2.0)</f>
        <v>-2</v>
      </c>
      <c r="AT121" s="16">
        <f>IFERROR(__xludf.DUMMYFUNCTION("""COMPUTED_VALUE"""),3.0)</f>
        <v>3</v>
      </c>
      <c r="AU121" s="16">
        <f>IFERROR(__xludf.DUMMYFUNCTION("""COMPUTED_VALUE"""),1.0)</f>
        <v>1</v>
      </c>
      <c r="AV121" s="16">
        <f>IFERROR(__xludf.DUMMYFUNCTION("""COMPUTED_VALUE"""),3.0)</f>
        <v>3</v>
      </c>
      <c r="AW121" s="16">
        <f>IFERROR(__xludf.DUMMYFUNCTION("""COMPUTED_VALUE"""),1.0)</f>
        <v>1</v>
      </c>
      <c r="AX121" s="16">
        <f>IFERROR(__xludf.DUMMYFUNCTION("""COMPUTED_VALUE"""),1.0)</f>
        <v>1</v>
      </c>
      <c r="AY121" s="16">
        <f>IFERROR(__xludf.DUMMYFUNCTION("""COMPUTED_VALUE"""),-1.0)</f>
        <v>-1</v>
      </c>
      <c r="AZ121" s="16">
        <f>IFERROR(__xludf.DUMMYFUNCTION("""COMPUTED_VALUE"""),3.0)</f>
        <v>3</v>
      </c>
      <c r="BA121" s="16">
        <f>IFERROR(__xludf.DUMMYFUNCTION("""COMPUTED_VALUE"""),-3.0)</f>
        <v>-3</v>
      </c>
      <c r="BB121" s="16">
        <f>IFERROR(__xludf.DUMMYFUNCTION("""COMPUTED_VALUE"""),5.0)</f>
        <v>5</v>
      </c>
      <c r="BC121" s="16">
        <f>IFERROR(__xludf.DUMMYFUNCTION("""COMPUTED_VALUE"""),5.0)</f>
        <v>5</v>
      </c>
      <c r="BD121" s="16">
        <f>IFERROR(__xludf.DUMMYFUNCTION("""COMPUTED_VALUE"""),1.0)</f>
        <v>1</v>
      </c>
      <c r="BE121" s="16">
        <f>IFERROR(__xludf.DUMMYFUNCTION("""COMPUTED_VALUE"""),1.0)</f>
        <v>1</v>
      </c>
      <c r="BF121" s="16">
        <f>IFERROR(__xludf.DUMMYFUNCTION("""COMPUTED_VALUE"""),1.0)</f>
        <v>1</v>
      </c>
      <c r="BG121" s="16">
        <f>IFERROR(__xludf.DUMMYFUNCTION("""COMPUTED_VALUE"""),1.0)</f>
        <v>1</v>
      </c>
      <c r="BH121" s="16">
        <f>IFERROR(__xludf.DUMMYFUNCTION("""COMPUTED_VALUE"""),-4.0)</f>
        <v>-4</v>
      </c>
      <c r="BI121" s="16">
        <f>IFERROR(__xludf.DUMMYFUNCTION("""COMPUTED_VALUE"""),-3.0)</f>
        <v>-3</v>
      </c>
      <c r="BJ121" s="16">
        <f>IFERROR(__xludf.DUMMYFUNCTION("""COMPUTED_VALUE"""),21.0)</f>
        <v>21</v>
      </c>
      <c r="BK121" s="16">
        <f>IFERROR(__xludf.DUMMYFUNCTION("""COMPUTED_VALUE"""),19.0)</f>
        <v>19</v>
      </c>
      <c r="BL121" s="16">
        <f>IFERROR(__xludf.DUMMYFUNCTION("""COMPUTED_VALUE"""),-2.0)</f>
        <v>-2</v>
      </c>
      <c r="BM121" s="16">
        <f>IFERROR(__xludf.DUMMYFUNCTION("""COMPUTED_VALUE"""),-1.0)</f>
        <v>-1</v>
      </c>
      <c r="BN121" s="16">
        <f>IFERROR(__xludf.DUMMYFUNCTION("""COMPUTED_VALUE"""),-4.0)</f>
        <v>-4</v>
      </c>
      <c r="BO121" s="16">
        <f>IFERROR(__xludf.DUMMYFUNCTION("""COMPUTED_VALUE"""),-2.0)</f>
        <v>-2</v>
      </c>
      <c r="BP121" s="16">
        <f>IFERROR(__xludf.DUMMYFUNCTION("""COMPUTED_VALUE"""),-1.0)</f>
        <v>-1</v>
      </c>
      <c r="BQ121" s="16">
        <f>IFERROR(__xludf.DUMMYFUNCTION("""COMPUTED_VALUE"""),3.0)</f>
        <v>3</v>
      </c>
      <c r="BR121" s="16">
        <f>IFERROR(__xludf.DUMMYFUNCTION("""COMPUTED_VALUE"""),2.0)</f>
        <v>2</v>
      </c>
      <c r="BS121" s="16" t="str">
        <f>IFERROR(__xludf.DUMMYFUNCTION("""COMPUTED_VALUE"""),"5/12 (13-5)")</f>
        <v>5/12 (13-5)</v>
      </c>
      <c r="BT121" s="16" t="str">
        <f>IFERROR(__xludf.DUMMYFUNCTION("""COMPUTED_VALUE"""),"E")</f>
        <v>E</v>
      </c>
      <c r="BU121" s="16">
        <f>IFERROR(__xludf.DUMMYFUNCTION("""COMPUTED_VALUE"""),10.0)</f>
        <v>10</v>
      </c>
      <c r="BV121" s="16">
        <f>IFERROR(__xludf.DUMMYFUNCTION("""COMPUTED_VALUE"""),0.0)</f>
        <v>0</v>
      </c>
      <c r="BW121" s="16">
        <f>IFERROR(__xludf.DUMMYFUNCTION("""COMPUTED_VALUE"""),0.0)</f>
        <v>0</v>
      </c>
      <c r="BX121" s="16">
        <f>IFERROR(__xludf.DUMMYFUNCTION("""COMPUTED_VALUE"""),0.0)</f>
        <v>0</v>
      </c>
      <c r="BY121" s="16">
        <f>IFERROR(__xludf.DUMMYFUNCTION("""COMPUTED_VALUE"""),0.0)</f>
        <v>0</v>
      </c>
      <c r="BZ121" s="16" t="str">
        <f>IFERROR(__xludf.DUMMYFUNCTION("""COMPUTED_VALUE"""),"D")</f>
        <v>D</v>
      </c>
      <c r="CA121" s="16" t="str">
        <f>IFERROR(__xludf.DUMMYFUNCTION("""COMPUTED_VALUE"""),"C")</f>
        <v>C</v>
      </c>
      <c r="CB121" s="16">
        <f>IFERROR(__xludf.DUMMYFUNCTION("""COMPUTED_VALUE"""),0.0)</f>
        <v>0</v>
      </c>
      <c r="CC121" s="16">
        <f>IFERROR(__xludf.DUMMYFUNCTION("""COMPUTED_VALUE"""),0.0)</f>
        <v>0</v>
      </c>
      <c r="CD121" s="16">
        <f>IFERROR(__xludf.DUMMYFUNCTION("""COMPUTED_VALUE"""),0.0)</f>
        <v>0</v>
      </c>
      <c r="CE121" s="16">
        <f>IFERROR(__xludf.DUMMYFUNCTION("""COMPUTED_VALUE"""),0.0)</f>
        <v>0</v>
      </c>
      <c r="CF121" s="16">
        <f>IFERROR(__xludf.DUMMYFUNCTION("""COMPUTED_VALUE"""),1.0)</f>
        <v>1</v>
      </c>
      <c r="CG121" s="16">
        <f>IFERROR(__xludf.DUMMYFUNCTION("""COMPUTED_VALUE"""),-5.0)</f>
        <v>-5</v>
      </c>
      <c r="CH121" s="16">
        <f>IFERROR(__xludf.DUMMYFUNCTION("""COMPUTED_VALUE"""),5.0)</f>
        <v>5</v>
      </c>
      <c r="CI121" s="179">
        <f>IFERROR(__xludf.DUMMYFUNCTION("""COMPUTED_VALUE"""),10.0)</f>
        <v>10</v>
      </c>
      <c r="CJ121" s="16"/>
      <c r="CK121" s="16"/>
      <c r="CL121" s="16"/>
      <c r="CM121" s="16">
        <f>IFERROR(__xludf.DUMMYFUNCTION("""COMPUTED_VALUE"""),110.0)</f>
        <v>110</v>
      </c>
      <c r="CN121" s="16"/>
      <c r="CO121" s="16"/>
      <c r="CP121" s="16"/>
      <c r="CQ121" s="16"/>
      <c r="CR121" s="16" t="str">
        <f>IFERROR(__xludf.DUMMYFUNCTION("""COMPUTED_VALUE"""),"3b-1e10")</f>
        <v>3b-1e10</v>
      </c>
      <c r="CS121" s="16"/>
      <c r="CT121" s="16"/>
      <c r="CU121" s="16"/>
      <c r="CV121" s="16">
        <f>IFERROR(__xludf.DUMMYFUNCTION("""COMPUTED_VALUE"""),1.0)</f>
        <v>1</v>
      </c>
      <c r="CW121" s="16"/>
      <c r="CX121" s="16"/>
      <c r="CY121" s="16"/>
      <c r="CZ121" s="16"/>
      <c r="DA121" s="16"/>
      <c r="DB121" s="16"/>
      <c r="DC121" s="16"/>
      <c r="DD121" s="16">
        <f>IFERROR(__xludf.DUMMYFUNCTION("""COMPUTED_VALUE"""),10.0)</f>
        <v>10</v>
      </c>
      <c r="DE121" s="16"/>
      <c r="DF121" s="16"/>
      <c r="DG121" s="16"/>
      <c r="DH121" s="16"/>
      <c r="DI121" s="16"/>
      <c r="DJ121" s="16"/>
      <c r="DK121" s="16"/>
      <c r="DL121" s="16">
        <f>IFERROR(__xludf.DUMMYFUNCTION("""COMPUTED_VALUE"""),4.0)</f>
        <v>4</v>
      </c>
      <c r="DM121" s="16"/>
      <c r="DN121" s="16"/>
      <c r="DO121" s="16"/>
      <c r="DP121" s="16"/>
      <c r="DQ121" s="16"/>
      <c r="DR121" s="16"/>
      <c r="DS121" s="16"/>
      <c r="DT121" s="16">
        <f>IFERROR(__xludf.DUMMYFUNCTION("""COMPUTED_VALUE"""),2.0)</f>
        <v>2</v>
      </c>
      <c r="DU121" s="16"/>
      <c r="DV121" s="16"/>
      <c r="DW121" s="16"/>
      <c r="DX121" s="16"/>
      <c r="DY121" s="16"/>
      <c r="DZ121" s="16"/>
      <c r="EA121" s="16"/>
      <c r="EB121" s="16">
        <f>IFERROR(__xludf.DUMMYFUNCTION("""COMPUTED_VALUE"""),6.0)</f>
        <v>6</v>
      </c>
      <c r="EC121" s="16"/>
      <c r="ED121" s="16"/>
      <c r="EE121" s="16"/>
      <c r="EF121" s="16"/>
      <c r="EG121" s="179"/>
      <c r="EH121" s="179"/>
      <c r="EI121" s="179"/>
      <c r="EJ121" s="179">
        <f>IFERROR(__xludf.DUMMYFUNCTION("""COMPUTED_VALUE"""),16.0)</f>
        <v>16</v>
      </c>
      <c r="EK121" s="179"/>
      <c r="EL121" s="179"/>
      <c r="EM121" s="179"/>
      <c r="EN121" s="179"/>
      <c r="EO121" s="16"/>
      <c r="EP121" s="16"/>
      <c r="EQ121" s="16">
        <f>IFERROR(__xludf.DUMMYFUNCTION("""COMPUTED_VALUE"""),4.0)</f>
        <v>4</v>
      </c>
      <c r="ER121" s="16">
        <f>IFERROR(__xludf.DUMMYFUNCTION("""COMPUTED_VALUE"""),3.0)</f>
        <v>3</v>
      </c>
      <c r="ES121" s="16"/>
      <c r="ET121" s="16"/>
      <c r="EU121" s="16"/>
      <c r="EV121" s="16"/>
      <c r="EW121" s="16"/>
      <c r="EX121" s="180"/>
      <c r="EY121" s="180"/>
      <c r="EZ121" s="180"/>
      <c r="FA121" s="180">
        <f>IFERROR(__xludf.DUMMYFUNCTION("""COMPUTED_VALUE"""),0.0)</f>
        <v>0</v>
      </c>
      <c r="FB121" s="180"/>
      <c r="FC121" s="180"/>
      <c r="FD121" s="180"/>
      <c r="FE121" s="180"/>
      <c r="FF121" s="180"/>
      <c r="FG121" s="180"/>
      <c r="FH121" s="180"/>
      <c r="FI121" s="180">
        <f>IFERROR(__xludf.DUMMYFUNCTION("""COMPUTED_VALUE"""),0.12037037037037036)</f>
        <v>0.1203703704</v>
      </c>
      <c r="FJ121" s="180"/>
      <c r="FK121" s="180"/>
      <c r="FL121" s="180"/>
      <c r="FM121" s="180"/>
      <c r="FN121" s="16"/>
      <c r="FO121" s="16"/>
      <c r="FP121" s="16"/>
      <c r="FQ121" s="16">
        <f>IFERROR(__xludf.DUMMYFUNCTION("""COMPUTED_VALUE"""),0.8796296296296297)</f>
        <v>0.8796296296</v>
      </c>
      <c r="FR121" s="16"/>
      <c r="FS121" s="16"/>
      <c r="FT121" s="16"/>
      <c r="FU121" s="16"/>
      <c r="FV121" s="16"/>
      <c r="FW121" s="16"/>
      <c r="FX121" s="16"/>
      <c r="FY121" s="16">
        <f>IFERROR(__xludf.DUMMYFUNCTION("""COMPUTED_VALUE"""),4.0)</f>
        <v>4</v>
      </c>
      <c r="FZ121" s="16"/>
      <c r="GA121" s="16"/>
      <c r="GB121" s="16"/>
      <c r="GC121" s="16"/>
      <c r="GD121" s="16" t="s">
        <v>200</v>
      </c>
    </row>
    <row r="122">
      <c r="A122" s="16">
        <f>IFERROR(__xludf.DUMMYFUNCTION("""COMPUTED_VALUE"""),12869.0)</f>
        <v>12869</v>
      </c>
      <c r="B122" s="16" t="str">
        <f>IFERROR(__xludf.DUMMYFUNCTION("""COMPUTED_VALUE"""),"Heliot Ramos")</f>
        <v>Heliot Ramos</v>
      </c>
      <c r="C122" s="16">
        <f>IFERROR(__xludf.DUMMYFUNCTION("""COMPUTED_VALUE"""),1.29)</f>
        <v>1.29</v>
      </c>
      <c r="D122" s="16" t="str">
        <f>IFERROR(__xludf.DUMMYFUNCTION("""COMPUTED_VALUE"""),"R")</f>
        <v>R</v>
      </c>
      <c r="E122" s="16"/>
      <c r="F122" s="16"/>
      <c r="G122" s="16">
        <f>IFERROR(__xludf.DUMMYFUNCTION("""COMPUTED_VALUE"""),475.0)</f>
        <v>475</v>
      </c>
      <c r="H122" s="16">
        <f>IFERROR(__xludf.DUMMYFUNCTION("""COMPUTED_VALUE"""),37.0)</f>
        <v>37</v>
      </c>
      <c r="I122" s="16" t="str">
        <f>IFERROR(__xludf.DUMMYFUNCTION("""COMPUTED_VALUE"""),"1p60")</f>
        <v>1p60</v>
      </c>
      <c r="J122" s="16">
        <f>IFERROR(__xludf.DUMMYFUNCTION("""COMPUTED_VALUE"""),29.0)</f>
        <v>29</v>
      </c>
      <c r="K122" s="16">
        <f>IFERROR(__xludf.DUMMYFUNCTION("""COMPUTED_VALUE"""),33.0)</f>
        <v>33</v>
      </c>
      <c r="L122" s="16">
        <f>IFERROR(__xludf.DUMMYFUNCTION("""COMPUTED_VALUE"""),0.0)</f>
        <v>0</v>
      </c>
      <c r="M122" s="16">
        <f>IFERROR(__xludf.DUMMYFUNCTION("""COMPUTED_VALUE"""),-1.0)</f>
        <v>-1</v>
      </c>
      <c r="N122" s="16">
        <f>IFERROR(__xludf.DUMMYFUNCTION("""COMPUTED_VALUE"""),0.0)</f>
        <v>0</v>
      </c>
      <c r="O122" s="16">
        <f>IFERROR(__xludf.DUMMYFUNCTION("""COMPUTED_VALUE"""),-1.0)</f>
        <v>-1</v>
      </c>
      <c r="P122" s="16">
        <f>IFERROR(__xludf.DUMMYFUNCTION("""COMPUTED_VALUE"""),11.0)</f>
        <v>11</v>
      </c>
      <c r="Q122" s="16">
        <f>IFERROR(__xludf.DUMMYFUNCTION("""COMPUTED_VALUE"""),6.0)</f>
        <v>6</v>
      </c>
      <c r="R122" s="16">
        <f>IFERROR(__xludf.DUMMYFUNCTION("""COMPUTED_VALUE"""),1.0)</f>
        <v>1</v>
      </c>
      <c r="S122" s="16">
        <f>IFERROR(__xludf.DUMMYFUNCTION("""COMPUTED_VALUE"""),-1.0)</f>
        <v>-1</v>
      </c>
      <c r="T122" s="16">
        <f>IFERROR(__xludf.DUMMYFUNCTION("""COMPUTED_VALUE"""),1.0)</f>
        <v>1</v>
      </c>
      <c r="U122" s="16">
        <f>IFERROR(__xludf.DUMMYFUNCTION("""COMPUTED_VALUE"""),-1.0)</f>
        <v>-1</v>
      </c>
      <c r="V122" s="16">
        <f>IFERROR(__xludf.DUMMYFUNCTION("""COMPUTED_VALUE"""),40.6)</f>
        <v>40.6</v>
      </c>
      <c r="W122" s="16">
        <f>IFERROR(__xludf.DUMMYFUNCTION("""COMPUTED_VALUE"""),19.0)</f>
        <v>19</v>
      </c>
      <c r="X122" s="16">
        <f>IFERROR(__xludf.DUMMYFUNCTION("""COMPUTED_VALUE"""),3.0)</f>
        <v>3</v>
      </c>
      <c r="Y122" s="16">
        <f>IFERROR(__xludf.DUMMYFUNCTION("""COMPUTED_VALUE"""),0.0)</f>
        <v>0</v>
      </c>
      <c r="Z122" s="16">
        <f>IFERROR(__xludf.DUMMYFUNCTION("""COMPUTED_VALUE"""),6.0)</f>
        <v>6</v>
      </c>
      <c r="AA122" s="16">
        <f>IFERROR(__xludf.DUMMYFUNCTION("""COMPUTED_VALUE"""),0.0)</f>
        <v>0</v>
      </c>
      <c r="AB122" s="16">
        <f>IFERROR(__xludf.DUMMYFUNCTION("""COMPUTED_VALUE"""),52.6)</f>
        <v>52.6</v>
      </c>
      <c r="AC122" s="16">
        <f>IFERROR(__xludf.DUMMYFUNCTION("""COMPUTED_VALUE"""),26.0)</f>
        <v>26</v>
      </c>
      <c r="AD122" s="16">
        <f>IFERROR(__xludf.DUMMYFUNCTION("""COMPUTED_VALUE"""),2.0)</f>
        <v>2</v>
      </c>
      <c r="AE122" s="16">
        <f>IFERROR(__xludf.DUMMYFUNCTION("""COMPUTED_VALUE"""),-1.0)</f>
        <v>-1</v>
      </c>
      <c r="AF122" s="16">
        <f>IFERROR(__xludf.DUMMYFUNCTION("""COMPUTED_VALUE"""),10.0)</f>
        <v>10</v>
      </c>
      <c r="AG122" s="16">
        <f>IFERROR(__xludf.DUMMYFUNCTION("""COMPUTED_VALUE"""),-5.0)</f>
        <v>-5</v>
      </c>
      <c r="AH122" s="16">
        <f>IFERROR(__xludf.DUMMYFUNCTION("""COMPUTED_VALUE"""),89.6)</f>
        <v>89.6</v>
      </c>
      <c r="AI122" s="16">
        <f>IFERROR(__xludf.DUMMYFUNCTION("""COMPUTED_VALUE"""),28.4)</f>
        <v>28.4</v>
      </c>
      <c r="AJ122" s="16">
        <f>IFERROR(__xludf.DUMMYFUNCTION("""COMPUTED_VALUE"""),4.0)</f>
        <v>4</v>
      </c>
      <c r="AK122" s="16">
        <f>IFERROR(__xludf.DUMMYFUNCTION("""COMPUTED_VALUE"""),-1.0)</f>
        <v>-1</v>
      </c>
      <c r="AL122" s="16">
        <f>IFERROR(__xludf.DUMMYFUNCTION("""COMPUTED_VALUE"""),20.0)</f>
        <v>20</v>
      </c>
      <c r="AM122" s="16">
        <f>IFERROR(__xludf.DUMMYFUNCTION("""COMPUTED_VALUE"""),-5.0)</f>
        <v>-5</v>
      </c>
      <c r="AN122" s="16">
        <f>IFERROR(__xludf.DUMMYFUNCTION("""COMPUTED_VALUE"""),12.0)</f>
        <v>12</v>
      </c>
      <c r="AO122" s="16">
        <f>IFERROR(__xludf.DUMMYFUNCTION("""COMPUTED_VALUE"""),2.0)</f>
        <v>2</v>
      </c>
      <c r="AP122" s="16">
        <f>IFERROR(__xludf.DUMMYFUNCTION("""COMPUTED_VALUE"""),3.0)</f>
        <v>3</v>
      </c>
      <c r="AQ122" s="16">
        <f>IFERROR(__xludf.DUMMYFUNCTION("""COMPUTED_VALUE"""),-1.0)</f>
        <v>-1</v>
      </c>
      <c r="AR122" s="16">
        <f>IFERROR(__xludf.DUMMYFUNCTION("""COMPUTED_VALUE"""),6.0)</f>
        <v>6</v>
      </c>
      <c r="AS122" s="16">
        <f>IFERROR(__xludf.DUMMYFUNCTION("""COMPUTED_VALUE"""),-2.0)</f>
        <v>-2</v>
      </c>
      <c r="AT122" s="16">
        <f>IFERROR(__xludf.DUMMYFUNCTION("""COMPUTED_VALUE"""),8.0)</f>
        <v>8</v>
      </c>
      <c r="AU122" s="16">
        <f>IFERROR(__xludf.DUMMYFUNCTION("""COMPUTED_VALUE"""),4.0)</f>
        <v>4</v>
      </c>
      <c r="AV122" s="16">
        <f>IFERROR(__xludf.DUMMYFUNCTION("""COMPUTED_VALUE"""),8.0)</f>
        <v>8</v>
      </c>
      <c r="AW122" s="16">
        <f>IFERROR(__xludf.DUMMYFUNCTION("""COMPUTED_VALUE"""),4.0)</f>
        <v>4</v>
      </c>
      <c r="AX122" s="16">
        <f>IFERROR(__xludf.DUMMYFUNCTION("""COMPUTED_VALUE"""),3.0)</f>
        <v>3</v>
      </c>
      <c r="AY122" s="16">
        <f>IFERROR(__xludf.DUMMYFUNCTION("""COMPUTED_VALUE"""),1.0)</f>
        <v>1</v>
      </c>
      <c r="AZ122" s="16">
        <f>IFERROR(__xludf.DUMMYFUNCTION("""COMPUTED_VALUE"""),9.0)</f>
        <v>9</v>
      </c>
      <c r="BA122" s="16">
        <f>IFERROR(__xludf.DUMMYFUNCTION("""COMPUTED_VALUE"""),3.0)</f>
        <v>3</v>
      </c>
      <c r="BB122" s="16">
        <f>IFERROR(__xludf.DUMMYFUNCTION("""COMPUTED_VALUE"""),5.0)</f>
        <v>5</v>
      </c>
      <c r="BC122" s="16">
        <f>IFERROR(__xludf.DUMMYFUNCTION("""COMPUTED_VALUE"""),5.0)</f>
        <v>5</v>
      </c>
      <c r="BD122" s="16">
        <f>IFERROR(__xludf.DUMMYFUNCTION("""COMPUTED_VALUE"""),1.0)</f>
        <v>1</v>
      </c>
      <c r="BE122" s="16">
        <f>IFERROR(__xludf.DUMMYFUNCTION("""COMPUTED_VALUE"""),1.0)</f>
        <v>1</v>
      </c>
      <c r="BF122" s="16">
        <f>IFERROR(__xludf.DUMMYFUNCTION("""COMPUTED_VALUE"""),1.0)</f>
        <v>1</v>
      </c>
      <c r="BG122" s="16">
        <f>IFERROR(__xludf.DUMMYFUNCTION("""COMPUTED_VALUE"""),1.0)</f>
        <v>1</v>
      </c>
      <c r="BH122" s="16">
        <f>IFERROR(__xludf.DUMMYFUNCTION("""COMPUTED_VALUE"""),1.0)</f>
        <v>1</v>
      </c>
      <c r="BI122" s="16">
        <f>IFERROR(__xludf.DUMMYFUNCTION("""COMPUTED_VALUE"""),1.0)</f>
        <v>1</v>
      </c>
      <c r="BJ122" s="16">
        <f>IFERROR(__xludf.DUMMYFUNCTION("""COMPUTED_VALUE"""),10.0)</f>
        <v>10</v>
      </c>
      <c r="BK122" s="16">
        <f>IFERROR(__xludf.DUMMYFUNCTION("""COMPUTED_VALUE"""),18.0)</f>
        <v>18</v>
      </c>
      <c r="BL122" s="16">
        <f>IFERROR(__xludf.DUMMYFUNCTION("""COMPUTED_VALUE"""),0.0)</f>
        <v>0</v>
      </c>
      <c r="BM122" s="16">
        <f>IFERROR(__xludf.DUMMYFUNCTION("""COMPUTED_VALUE"""),-1.0)</f>
        <v>-1</v>
      </c>
      <c r="BN122" s="16">
        <f>IFERROR(__xludf.DUMMYFUNCTION("""COMPUTED_VALUE"""),0.0)</f>
        <v>0</v>
      </c>
      <c r="BO122" s="16">
        <f>IFERROR(__xludf.DUMMYFUNCTION("""COMPUTED_VALUE"""),-2.0)</f>
        <v>-2</v>
      </c>
      <c r="BP122" s="16">
        <f>IFERROR(__xludf.DUMMYFUNCTION("""COMPUTED_VALUE"""),17.0)</f>
        <v>17</v>
      </c>
      <c r="BQ122" s="16">
        <f>IFERROR(__xludf.DUMMYFUNCTION("""COMPUTED_VALUE"""),-4.0)</f>
        <v>-4</v>
      </c>
      <c r="BR122" s="16">
        <f>IFERROR(__xludf.DUMMYFUNCTION("""COMPUTED_VALUE"""),13.0)</f>
        <v>13</v>
      </c>
      <c r="BS122" s="16" t="str">
        <f>IFERROR(__xludf.DUMMYFUNCTION("""COMPUTED_VALUE"""),"4/- (17-6)")</f>
        <v>4/- (17-6)</v>
      </c>
      <c r="BT122" s="16" t="str">
        <f>IFERROR(__xludf.DUMMYFUNCTION("""COMPUTED_VALUE"""),"C")</f>
        <v>C</v>
      </c>
      <c r="BU122" s="16">
        <f>IFERROR(__xludf.DUMMYFUNCTION("""COMPUTED_VALUE"""),14.0)</f>
        <v>14</v>
      </c>
      <c r="BV122" s="16">
        <f>IFERROR(__xludf.DUMMYFUNCTION("""COMPUTED_VALUE"""),0.0)</f>
        <v>0</v>
      </c>
      <c r="BW122" s="16">
        <f>IFERROR(__xludf.DUMMYFUNCTION("""COMPUTED_VALUE"""),1.0)</f>
        <v>1</v>
      </c>
      <c r="BX122" s="16">
        <f>IFERROR(__xludf.DUMMYFUNCTION("""COMPUTED_VALUE"""),0.0)</f>
        <v>0</v>
      </c>
      <c r="BY122" s="16">
        <f>IFERROR(__xludf.DUMMYFUNCTION("""COMPUTED_VALUE"""),3.0)</f>
        <v>3</v>
      </c>
      <c r="BZ122" s="16" t="str">
        <f>IFERROR(__xludf.DUMMYFUNCTION("""COMPUTED_VALUE"""),"D")</f>
        <v>D</v>
      </c>
      <c r="CA122" s="16" t="str">
        <f>IFERROR(__xludf.DUMMYFUNCTION("""COMPUTED_VALUE"""),"D")</f>
        <v>D</v>
      </c>
      <c r="CB122" s="16">
        <f>IFERROR(__xludf.DUMMYFUNCTION("""COMPUTED_VALUE"""),0.0)</f>
        <v>0</v>
      </c>
      <c r="CC122" s="16">
        <f>IFERROR(__xludf.DUMMYFUNCTION("""COMPUTED_VALUE"""),0.0)</f>
        <v>0</v>
      </c>
      <c r="CD122" s="16">
        <f>IFERROR(__xludf.DUMMYFUNCTION("""COMPUTED_VALUE"""),0.0)</f>
        <v>0</v>
      </c>
      <c r="CE122" s="16">
        <f>IFERROR(__xludf.DUMMYFUNCTION("""COMPUTED_VALUE"""),0.0)</f>
        <v>0</v>
      </c>
      <c r="CF122" s="16">
        <f>IFERROR(__xludf.DUMMYFUNCTION("""COMPUTED_VALUE"""),1.0)</f>
        <v>1</v>
      </c>
      <c r="CG122" s="16">
        <f>IFERROR(__xludf.DUMMYFUNCTION("""COMPUTED_VALUE"""),53.0)</f>
        <v>53</v>
      </c>
      <c r="CH122" s="16">
        <f>IFERROR(__xludf.DUMMYFUNCTION("""COMPUTED_VALUE"""),-12.0)</f>
        <v>-12</v>
      </c>
      <c r="CI122" s="179">
        <f>IFERROR(__xludf.DUMMYFUNCTION("""COMPUTED_VALUE"""),10.0)</f>
        <v>10</v>
      </c>
      <c r="CJ122" s="16"/>
      <c r="CK122" s="16"/>
      <c r="CL122" s="16"/>
      <c r="CM122" s="16"/>
      <c r="CN122" s="16"/>
      <c r="CO122" s="16">
        <f>IFERROR(__xludf.DUMMYFUNCTION("""COMPUTED_VALUE"""),201.0)</f>
        <v>201</v>
      </c>
      <c r="CP122" s="16">
        <f>IFERROR(__xludf.DUMMYFUNCTION("""COMPUTED_VALUE"""),401.0)</f>
        <v>401</v>
      </c>
      <c r="CQ122" s="16">
        <f>IFERROR(__xludf.DUMMYFUNCTION("""COMPUTED_VALUE"""),301.0)</f>
        <v>301</v>
      </c>
      <c r="CR122" s="16" t="str">
        <f>IFERROR(__xludf.DUMMYFUNCTION("""COMPUTED_VALUE"""),"cf-4(-1)e1 lf-2e1 rf-3e1")</f>
        <v>cf-4(-1)e1 lf-2e1 rf-3e1</v>
      </c>
      <c r="CS122" s="16"/>
      <c r="CT122" s="16"/>
      <c r="CU122" s="16"/>
      <c r="CV122" s="16"/>
      <c r="CW122" s="16"/>
      <c r="CX122" s="16">
        <f>IFERROR(__xludf.DUMMYFUNCTION("""COMPUTED_VALUE"""),2.0)</f>
        <v>2</v>
      </c>
      <c r="CY122" s="16">
        <f>IFERROR(__xludf.DUMMYFUNCTION("""COMPUTED_VALUE"""),4.0)</f>
        <v>4</v>
      </c>
      <c r="CZ122" s="16">
        <f>IFERROR(__xludf.DUMMYFUNCTION("""COMPUTED_VALUE"""),3.0)</f>
        <v>3</v>
      </c>
      <c r="DA122" s="16"/>
      <c r="DB122" s="16"/>
      <c r="DC122" s="16"/>
      <c r="DD122" s="16"/>
      <c r="DE122" s="16"/>
      <c r="DF122" s="16">
        <f>IFERROR(__xludf.DUMMYFUNCTION("""COMPUTED_VALUE"""),1.0)</f>
        <v>1</v>
      </c>
      <c r="DG122" s="16">
        <f>IFERROR(__xludf.DUMMYFUNCTION("""COMPUTED_VALUE"""),1.0)</f>
        <v>1</v>
      </c>
      <c r="DH122" s="16">
        <f>IFERROR(__xludf.DUMMYFUNCTION("""COMPUTED_VALUE"""),1.0)</f>
        <v>1</v>
      </c>
      <c r="DI122" s="16"/>
      <c r="DJ122" s="16"/>
      <c r="DK122" s="16"/>
      <c r="DL122" s="16"/>
      <c r="DM122" s="16"/>
      <c r="DN122" s="16">
        <f>IFERROR(__xludf.DUMMYFUNCTION("""COMPUTED_VALUE"""),3.0)</f>
        <v>3</v>
      </c>
      <c r="DO122" s="16">
        <f>IFERROR(__xludf.DUMMYFUNCTION("""COMPUTED_VALUE"""),-2.0)</f>
        <v>-2</v>
      </c>
      <c r="DP122" s="16">
        <f>IFERROR(__xludf.DUMMYFUNCTION("""COMPUTED_VALUE"""),0.0)</f>
        <v>0</v>
      </c>
      <c r="DQ122" s="16"/>
      <c r="DR122" s="16"/>
      <c r="DS122" s="16"/>
      <c r="DT122" s="16"/>
      <c r="DU122" s="16"/>
      <c r="DV122" s="16">
        <f>IFERROR(__xludf.DUMMYFUNCTION("""COMPUTED_VALUE"""),4.0)</f>
        <v>4</v>
      </c>
      <c r="DW122" s="16">
        <f>IFERROR(__xludf.DUMMYFUNCTION("""COMPUTED_VALUE"""),4.0)</f>
        <v>4</v>
      </c>
      <c r="DX122" s="16">
        <f>IFERROR(__xludf.DUMMYFUNCTION("""COMPUTED_VALUE"""),4.0)</f>
        <v>4</v>
      </c>
      <c r="DY122" s="16"/>
      <c r="DZ122" s="16"/>
      <c r="EA122" s="16"/>
      <c r="EB122" s="16"/>
      <c r="EC122" s="16"/>
      <c r="ED122" s="16">
        <f>IFERROR(__xludf.DUMMYFUNCTION("""COMPUTED_VALUE"""),7.0)</f>
        <v>7</v>
      </c>
      <c r="EE122" s="16">
        <f>IFERROR(__xludf.DUMMYFUNCTION("""COMPUTED_VALUE"""),2.0)</f>
        <v>2</v>
      </c>
      <c r="EF122" s="16">
        <f>IFERROR(__xludf.DUMMYFUNCTION("""COMPUTED_VALUE"""),4.0)</f>
        <v>4</v>
      </c>
      <c r="EG122" s="179"/>
      <c r="EH122" s="179"/>
      <c r="EI122" s="179"/>
      <c r="EJ122" s="179"/>
      <c r="EK122" s="179"/>
      <c r="EL122" s="179">
        <f>IFERROR(__xludf.DUMMYFUNCTION("""COMPUTED_VALUE"""),17.0)</f>
        <v>17</v>
      </c>
      <c r="EM122" s="179">
        <f>IFERROR(__xludf.DUMMYFUNCTION("""COMPUTED_VALUE"""),12.0)</f>
        <v>12</v>
      </c>
      <c r="EN122" s="179">
        <f>IFERROR(__xludf.DUMMYFUNCTION("""COMPUTED_VALUE"""),14.0)</f>
        <v>14</v>
      </c>
      <c r="EO122" s="16"/>
      <c r="EP122" s="16"/>
      <c r="EQ122" s="16">
        <f>IFERROR(__xludf.DUMMYFUNCTION("""COMPUTED_VALUE"""),4.0)</f>
        <v>4</v>
      </c>
      <c r="ER122" s="16">
        <f>IFERROR(__xludf.DUMMYFUNCTION("""COMPUTED_VALUE"""),1.0)</f>
        <v>1</v>
      </c>
      <c r="ES122" s="16"/>
      <c r="ET122" s="16"/>
      <c r="EU122" s="16"/>
      <c r="EV122" s="16"/>
      <c r="EW122" s="16"/>
      <c r="EX122" s="180"/>
      <c r="EY122" s="180"/>
      <c r="EZ122" s="180"/>
      <c r="FA122" s="180"/>
      <c r="FB122" s="180"/>
      <c r="FC122" s="180">
        <f>IFERROR(__xludf.DUMMYFUNCTION("""COMPUTED_VALUE"""),0.15)</f>
        <v>0.15</v>
      </c>
      <c r="FD122" s="180">
        <f>IFERROR(__xludf.DUMMYFUNCTION("""COMPUTED_VALUE"""),0.55)</f>
        <v>0.55</v>
      </c>
      <c r="FE122" s="180">
        <f>IFERROR(__xludf.DUMMYFUNCTION("""COMPUTED_VALUE"""),0.3)</f>
        <v>0.3</v>
      </c>
      <c r="FF122" s="180"/>
      <c r="FG122" s="180"/>
      <c r="FH122" s="180"/>
      <c r="FI122" s="180"/>
      <c r="FJ122" s="180"/>
      <c r="FK122" s="180">
        <f>IFERROR(__xludf.DUMMYFUNCTION("""COMPUTED_VALUE"""),0.019)</f>
        <v>0.019</v>
      </c>
      <c r="FL122" s="180">
        <f>IFERROR(__xludf.DUMMYFUNCTION("""COMPUTED_VALUE"""),0.013888888888888888)</f>
        <v>0.01388888889</v>
      </c>
      <c r="FM122" s="180">
        <f>IFERROR(__xludf.DUMMYFUNCTION("""COMPUTED_VALUE"""),0.019)</f>
        <v>0.019</v>
      </c>
      <c r="FN122" s="16"/>
      <c r="FO122" s="16"/>
      <c r="FP122" s="16"/>
      <c r="FQ122" s="16"/>
      <c r="FR122" s="16"/>
      <c r="FS122" s="16">
        <f>IFERROR(__xludf.DUMMYFUNCTION("""COMPUTED_VALUE"""),0.83385)</f>
        <v>0.83385</v>
      </c>
      <c r="FT122" s="16">
        <f>IFERROR(__xludf.DUMMYFUNCTION("""COMPUTED_VALUE"""),0.44375)</f>
        <v>0.44375</v>
      </c>
      <c r="FU122" s="16">
        <f>IFERROR(__xludf.DUMMYFUNCTION("""COMPUTED_VALUE"""),0.6867)</f>
        <v>0.6867</v>
      </c>
      <c r="FV122" s="16"/>
      <c r="FW122" s="16"/>
      <c r="FX122" s="16"/>
      <c r="FY122" s="16"/>
      <c r="FZ122" s="16"/>
      <c r="GA122" s="16">
        <f>IFERROR(__xludf.DUMMYFUNCTION("""COMPUTED_VALUE"""),1.0)</f>
        <v>1</v>
      </c>
      <c r="GB122" s="16">
        <f>IFERROR(__xludf.DUMMYFUNCTION("""COMPUTED_VALUE"""),-8.0)</f>
        <v>-8</v>
      </c>
      <c r="GC122" s="16">
        <f>IFERROR(__xludf.DUMMYFUNCTION("""COMPUTED_VALUE"""),-4.0)</f>
        <v>-4</v>
      </c>
      <c r="GD122" s="16" t="s">
        <v>361</v>
      </c>
    </row>
    <row r="123">
      <c r="A123" s="16">
        <f>IFERROR(__xludf.DUMMYFUNCTION("""COMPUTED_VALUE"""),13039.0)</f>
        <v>13039</v>
      </c>
      <c r="B123" s="16" t="str">
        <f>IFERROR(__xludf.DUMMYFUNCTION("""COMPUTED_VALUE"""),"Josh Smith")</f>
        <v>Josh Smith</v>
      </c>
      <c r="C123" s="16">
        <f>IFERROR(__xludf.DUMMYFUNCTION("""COMPUTED_VALUE"""),1.57)</f>
        <v>1.57</v>
      </c>
      <c r="D123" s="16" t="str">
        <f>IFERROR(__xludf.DUMMYFUNCTION("""COMPUTED_VALUE"""),"L")</f>
        <v>L</v>
      </c>
      <c r="E123" s="16"/>
      <c r="F123" s="16"/>
      <c r="G123" s="16">
        <f>IFERROR(__xludf.DUMMYFUNCTION("""COMPUTED_VALUE"""),523.0)</f>
        <v>523</v>
      </c>
      <c r="H123" s="16">
        <f>IFERROR(__xludf.DUMMYFUNCTION("""COMPUTED_VALUE"""),46.0)</f>
        <v>46</v>
      </c>
      <c r="I123" s="16" t="str">
        <f>IFERROR(__xludf.DUMMYFUNCTION("""COMPUTED_VALUE"""),"1p70")</f>
        <v>1p70</v>
      </c>
      <c r="J123" s="16">
        <f>IFERROR(__xludf.DUMMYFUNCTION("""COMPUTED_VALUE"""),34.0)</f>
        <v>34</v>
      </c>
      <c r="K123" s="16">
        <f>IFERROR(__xludf.DUMMYFUNCTION("""COMPUTED_VALUE"""),16.0)</f>
        <v>16</v>
      </c>
      <c r="L123" s="16">
        <f>IFERROR(__xludf.DUMMYFUNCTION("""COMPUTED_VALUE"""),-1.0)</f>
        <v>-1</v>
      </c>
      <c r="M123" s="16">
        <f>IFERROR(__xludf.DUMMYFUNCTION("""COMPUTED_VALUE"""),1.0)</f>
        <v>1</v>
      </c>
      <c r="N123" s="16">
        <f>IFERROR(__xludf.DUMMYFUNCTION("""COMPUTED_VALUE"""),-1.0)</f>
        <v>-1</v>
      </c>
      <c r="O123" s="16">
        <f>IFERROR(__xludf.DUMMYFUNCTION("""COMPUTED_VALUE"""),1.0)</f>
        <v>1</v>
      </c>
      <c r="P123" s="16">
        <f>IFERROR(__xludf.DUMMYFUNCTION("""COMPUTED_VALUE"""),3.0)</f>
        <v>3</v>
      </c>
      <c r="Q123" s="16">
        <f>IFERROR(__xludf.DUMMYFUNCTION("""COMPUTED_VALUE"""),8.0)</f>
        <v>8</v>
      </c>
      <c r="R123" s="16">
        <f>IFERROR(__xludf.DUMMYFUNCTION("""COMPUTED_VALUE"""),-2.0)</f>
        <v>-2</v>
      </c>
      <c r="S123" s="16">
        <f>IFERROR(__xludf.DUMMYFUNCTION("""COMPUTED_VALUE"""),0.0)</f>
        <v>0</v>
      </c>
      <c r="T123" s="16">
        <f>IFERROR(__xludf.DUMMYFUNCTION("""COMPUTED_VALUE"""),-2.0)</f>
        <v>-2</v>
      </c>
      <c r="U123" s="16">
        <f>IFERROR(__xludf.DUMMYFUNCTION("""COMPUTED_VALUE"""),0.0)</f>
        <v>0</v>
      </c>
      <c r="V123" s="16">
        <f>IFERROR(__xludf.DUMMYFUNCTION("""COMPUTED_VALUE"""),27.8)</f>
        <v>27.8</v>
      </c>
      <c r="W123" s="16">
        <f>IFERROR(__xludf.DUMMYFUNCTION("""COMPUTED_VALUE"""),20.6)</f>
        <v>20.6</v>
      </c>
      <c r="X123" s="16">
        <f>IFERROR(__xludf.DUMMYFUNCTION("""COMPUTED_VALUE"""),1.0)</f>
        <v>1</v>
      </c>
      <c r="Y123" s="16">
        <f>IFERROR(__xludf.DUMMYFUNCTION("""COMPUTED_VALUE"""),0.0)</f>
        <v>0</v>
      </c>
      <c r="Z123" s="16">
        <f>IFERROR(__xludf.DUMMYFUNCTION("""COMPUTED_VALUE"""),2.0)</f>
        <v>2</v>
      </c>
      <c r="AA123" s="16">
        <f>IFERROR(__xludf.DUMMYFUNCTION("""COMPUTED_VALUE"""),0.0)</f>
        <v>0</v>
      </c>
      <c r="AB123" s="16">
        <f>IFERROR(__xludf.DUMMYFUNCTION("""COMPUTED_VALUE"""),37.8)</f>
        <v>37.8</v>
      </c>
      <c r="AC123" s="16">
        <f>IFERROR(__xludf.DUMMYFUNCTION("""COMPUTED_VALUE"""),35.6)</f>
        <v>35.6</v>
      </c>
      <c r="AD123" s="16">
        <f>IFERROR(__xludf.DUMMYFUNCTION("""COMPUTED_VALUE"""),1.0)</f>
        <v>1</v>
      </c>
      <c r="AE123" s="16">
        <f>IFERROR(__xludf.DUMMYFUNCTION("""COMPUTED_VALUE"""),1.0)</f>
        <v>1</v>
      </c>
      <c r="AF123" s="16">
        <f>IFERROR(__xludf.DUMMYFUNCTION("""COMPUTED_VALUE"""),5.0)</f>
        <v>5</v>
      </c>
      <c r="AG123" s="16">
        <f>IFERROR(__xludf.DUMMYFUNCTION("""COMPUTED_VALUE"""),5.0)</f>
        <v>5</v>
      </c>
      <c r="AH123" s="16">
        <f>IFERROR(__xludf.DUMMYFUNCTION("""COMPUTED_VALUE"""),37.9)</f>
        <v>37.9</v>
      </c>
      <c r="AI123" s="16">
        <f>IFERROR(__xludf.DUMMYFUNCTION("""COMPUTED_VALUE"""),29.8)</f>
        <v>29.8</v>
      </c>
      <c r="AJ123" s="16">
        <f>IFERROR(__xludf.DUMMYFUNCTION("""COMPUTED_VALUE"""),1.0)</f>
        <v>1</v>
      </c>
      <c r="AK123" s="16">
        <f>IFERROR(__xludf.DUMMYFUNCTION("""COMPUTED_VALUE"""),0.0)</f>
        <v>0</v>
      </c>
      <c r="AL123" s="16">
        <f>IFERROR(__xludf.DUMMYFUNCTION("""COMPUTED_VALUE"""),5.0)</f>
        <v>5</v>
      </c>
      <c r="AM123" s="16">
        <f>IFERROR(__xludf.DUMMYFUNCTION("""COMPUTED_VALUE"""),0.0)</f>
        <v>0</v>
      </c>
      <c r="AN123" s="16">
        <f>IFERROR(__xludf.DUMMYFUNCTION("""COMPUTED_VALUE"""),1.8)</f>
        <v>1.8</v>
      </c>
      <c r="AO123" s="16">
        <f>IFERROR(__xludf.DUMMYFUNCTION("""COMPUTED_VALUE"""),1.0)</f>
        <v>1</v>
      </c>
      <c r="AP123" s="16">
        <f>IFERROR(__xludf.DUMMYFUNCTION("""COMPUTED_VALUE"""),-1.0)</f>
        <v>-1</v>
      </c>
      <c r="AQ123" s="16">
        <f>IFERROR(__xludf.DUMMYFUNCTION("""COMPUTED_VALUE"""),-2.0)</f>
        <v>-2</v>
      </c>
      <c r="AR123" s="16">
        <f>IFERROR(__xludf.DUMMYFUNCTION("""COMPUTED_VALUE"""),-2.0)</f>
        <v>-2</v>
      </c>
      <c r="AS123" s="16">
        <f>IFERROR(__xludf.DUMMYFUNCTION("""COMPUTED_VALUE"""),-4.0)</f>
        <v>-4</v>
      </c>
      <c r="AT123" s="16">
        <f>IFERROR(__xludf.DUMMYFUNCTION("""COMPUTED_VALUE"""),3.0)</f>
        <v>3</v>
      </c>
      <c r="AU123" s="16">
        <f>IFERROR(__xludf.DUMMYFUNCTION("""COMPUTED_VALUE"""),0.0)</f>
        <v>0</v>
      </c>
      <c r="AV123" s="16">
        <f>IFERROR(__xludf.DUMMYFUNCTION("""COMPUTED_VALUE"""),3.0)</f>
        <v>3</v>
      </c>
      <c r="AW123" s="16">
        <f>IFERROR(__xludf.DUMMYFUNCTION("""COMPUTED_VALUE"""),0.0)</f>
        <v>0</v>
      </c>
      <c r="AX123" s="16">
        <f>IFERROR(__xludf.DUMMYFUNCTION("""COMPUTED_VALUE"""),1.0)</f>
        <v>1</v>
      </c>
      <c r="AY123" s="16">
        <f>IFERROR(__xludf.DUMMYFUNCTION("""COMPUTED_VALUE"""),-2.0)</f>
        <v>-2</v>
      </c>
      <c r="AZ123" s="16">
        <f>IFERROR(__xludf.DUMMYFUNCTION("""COMPUTED_VALUE"""),3.0)</f>
        <v>3</v>
      </c>
      <c r="BA123" s="16">
        <f>IFERROR(__xludf.DUMMYFUNCTION("""COMPUTED_VALUE"""),-6.0)</f>
        <v>-6</v>
      </c>
      <c r="BB123" s="16">
        <f>IFERROR(__xludf.DUMMYFUNCTION("""COMPUTED_VALUE"""),5.0)</f>
        <v>5</v>
      </c>
      <c r="BC123" s="16">
        <f>IFERROR(__xludf.DUMMYFUNCTION("""COMPUTED_VALUE"""),5.0)</f>
        <v>5</v>
      </c>
      <c r="BD123" s="16">
        <f>IFERROR(__xludf.DUMMYFUNCTION("""COMPUTED_VALUE"""),1.0)</f>
        <v>1</v>
      </c>
      <c r="BE123" s="16">
        <f>IFERROR(__xludf.DUMMYFUNCTION("""COMPUTED_VALUE"""),1.0)</f>
        <v>1</v>
      </c>
      <c r="BF123" s="16">
        <f>IFERROR(__xludf.DUMMYFUNCTION("""COMPUTED_VALUE"""),1.0)</f>
        <v>1</v>
      </c>
      <c r="BG123" s="16">
        <f>IFERROR(__xludf.DUMMYFUNCTION("""COMPUTED_VALUE"""),1.0)</f>
        <v>1</v>
      </c>
      <c r="BH123" s="16">
        <f>IFERROR(__xludf.DUMMYFUNCTION("""COMPUTED_VALUE"""),1.0)</f>
        <v>1</v>
      </c>
      <c r="BI123" s="16">
        <f>IFERROR(__xludf.DUMMYFUNCTION("""COMPUTED_VALUE"""),1.0)</f>
        <v>1</v>
      </c>
      <c r="BJ123" s="16">
        <f>IFERROR(__xludf.DUMMYFUNCTION("""COMPUTED_VALUE"""),6.0)</f>
        <v>6</v>
      </c>
      <c r="BK123" s="16">
        <f>IFERROR(__xludf.DUMMYFUNCTION("""COMPUTED_VALUE"""),5.0)</f>
        <v>5</v>
      </c>
      <c r="BL123" s="16">
        <f>IFERROR(__xludf.DUMMYFUNCTION("""COMPUTED_VALUE"""),1.0)</f>
        <v>1</v>
      </c>
      <c r="BM123" s="16">
        <f>IFERROR(__xludf.DUMMYFUNCTION("""COMPUTED_VALUE"""),1.0)</f>
        <v>1</v>
      </c>
      <c r="BN123" s="16">
        <f>IFERROR(__xludf.DUMMYFUNCTION("""COMPUTED_VALUE"""),1.0)</f>
        <v>1</v>
      </c>
      <c r="BO123" s="16">
        <f>IFERROR(__xludf.DUMMYFUNCTION("""COMPUTED_VALUE"""),1.0)</f>
        <v>1</v>
      </c>
      <c r="BP123" s="16">
        <f>IFERROR(__xludf.DUMMYFUNCTION("""COMPUTED_VALUE"""),2.0)</f>
        <v>2</v>
      </c>
      <c r="BQ123" s="16">
        <f>IFERROR(__xludf.DUMMYFUNCTION("""COMPUTED_VALUE"""),0.0)</f>
        <v>0</v>
      </c>
      <c r="BR123" s="16">
        <f>IFERROR(__xludf.DUMMYFUNCTION("""COMPUTED_VALUE"""),2.0)</f>
        <v>2</v>
      </c>
      <c r="BS123" s="16" t="str">
        <f>IFERROR(__xludf.DUMMYFUNCTION("""COMPUTED_VALUE"""),"*5/- (19-6)")</f>
        <v>*5/- (19-6)</v>
      </c>
      <c r="BT123" s="16" t="str">
        <f>IFERROR(__xludf.DUMMYFUNCTION("""COMPUTED_VALUE"""),"B")</f>
        <v>B</v>
      </c>
      <c r="BU123" s="16">
        <f>IFERROR(__xludf.DUMMYFUNCTION("""COMPUTED_VALUE"""),13.0)</f>
        <v>13</v>
      </c>
      <c r="BV123" s="16">
        <f>IFERROR(__xludf.DUMMYFUNCTION("""COMPUTED_VALUE"""),1.0)</f>
        <v>1</v>
      </c>
      <c r="BW123" s="16">
        <f>IFERROR(__xludf.DUMMYFUNCTION("""COMPUTED_VALUE"""),1.0)</f>
        <v>1</v>
      </c>
      <c r="BX123" s="16">
        <f>IFERROR(__xludf.DUMMYFUNCTION("""COMPUTED_VALUE"""),2.0)</f>
        <v>2</v>
      </c>
      <c r="BY123" s="16">
        <f>IFERROR(__xludf.DUMMYFUNCTION("""COMPUTED_VALUE"""),3.0)</f>
        <v>3</v>
      </c>
      <c r="BZ123" s="16" t="str">
        <f>IFERROR(__xludf.DUMMYFUNCTION("""COMPUTED_VALUE"""),"B")</f>
        <v>B</v>
      </c>
      <c r="CA123" s="16" t="str">
        <f>IFERROR(__xludf.DUMMYFUNCTION("""COMPUTED_VALUE"""),"C")</f>
        <v>C</v>
      </c>
      <c r="CB123" s="16">
        <f>IFERROR(__xludf.DUMMYFUNCTION("""COMPUTED_VALUE"""),1.0)</f>
        <v>1</v>
      </c>
      <c r="CC123" s="16">
        <f>IFERROR(__xludf.DUMMYFUNCTION("""COMPUTED_VALUE"""),0.0)</f>
        <v>0</v>
      </c>
      <c r="CD123" s="16">
        <f>IFERROR(__xludf.DUMMYFUNCTION("""COMPUTED_VALUE"""),1.0)</f>
        <v>1</v>
      </c>
      <c r="CE123" s="16">
        <f>IFERROR(__xludf.DUMMYFUNCTION("""COMPUTED_VALUE"""),0.0)</f>
        <v>0</v>
      </c>
      <c r="CF123" s="16">
        <f>IFERROR(__xludf.DUMMYFUNCTION("""COMPUTED_VALUE"""),1.0)</f>
        <v>1</v>
      </c>
      <c r="CG123" s="16">
        <f>IFERROR(__xludf.DUMMYFUNCTION("""COMPUTED_VALUE"""),12.0)</f>
        <v>12</v>
      </c>
      <c r="CH123" s="16">
        <f>IFERROR(__xludf.DUMMYFUNCTION("""COMPUTED_VALUE"""),-2.0)</f>
        <v>-2</v>
      </c>
      <c r="CI123" s="179">
        <f>IFERROR(__xludf.DUMMYFUNCTION("""COMPUTED_VALUE"""),10.0)</f>
        <v>10</v>
      </c>
      <c r="CJ123" s="16"/>
      <c r="CK123" s="16"/>
      <c r="CL123" s="16">
        <f>IFERROR(__xludf.DUMMYFUNCTION("""COMPUTED_VALUE"""),432.0)</f>
        <v>432</v>
      </c>
      <c r="CM123" s="16">
        <f>IFERROR(__xludf.DUMMYFUNCTION("""COMPUTED_VALUE"""),208.0)</f>
        <v>208</v>
      </c>
      <c r="CN123" s="16">
        <f>IFERROR(__xludf.DUMMYFUNCTION("""COMPUTED_VALUE"""),326.0)</f>
        <v>326</v>
      </c>
      <c r="CO123" s="16">
        <f>IFERROR(__xludf.DUMMYFUNCTION("""COMPUTED_VALUE"""),410.0)</f>
        <v>410</v>
      </c>
      <c r="CP123" s="16"/>
      <c r="CQ123" s="16">
        <f>IFERROR(__xludf.DUMMYFUNCTION("""COMPUTED_VALUE"""),410.0)</f>
        <v>410</v>
      </c>
      <c r="CR123" s="16" t="str">
        <f>IFERROR(__xludf.DUMMYFUNCTION("""COMPUTED_VALUE"""),"3b-2e8 ss-3e26 lf-4(+1)e10 rf-4e10 2b-4e32")</f>
        <v>3b-2e8 ss-3e26 lf-4(+1)e10 rf-4e10 2b-4e32</v>
      </c>
      <c r="CS123" s="16"/>
      <c r="CT123" s="16"/>
      <c r="CU123" s="16">
        <f>IFERROR(__xludf.DUMMYFUNCTION("""COMPUTED_VALUE"""),4.0)</f>
        <v>4</v>
      </c>
      <c r="CV123" s="16">
        <f>IFERROR(__xludf.DUMMYFUNCTION("""COMPUTED_VALUE"""),2.0)</f>
        <v>2</v>
      </c>
      <c r="CW123" s="16">
        <f>IFERROR(__xludf.DUMMYFUNCTION("""COMPUTED_VALUE"""),3.0)</f>
        <v>3</v>
      </c>
      <c r="CX123" s="16">
        <f>IFERROR(__xludf.DUMMYFUNCTION("""COMPUTED_VALUE"""),4.0)</f>
        <v>4</v>
      </c>
      <c r="CY123" s="16"/>
      <c r="CZ123" s="16">
        <f>IFERROR(__xludf.DUMMYFUNCTION("""COMPUTED_VALUE"""),4.0)</f>
        <v>4</v>
      </c>
      <c r="DA123" s="16"/>
      <c r="DB123" s="16"/>
      <c r="DC123" s="16">
        <f>IFERROR(__xludf.DUMMYFUNCTION("""COMPUTED_VALUE"""),32.0)</f>
        <v>32</v>
      </c>
      <c r="DD123" s="16">
        <f>IFERROR(__xludf.DUMMYFUNCTION("""COMPUTED_VALUE"""),8.0)</f>
        <v>8</v>
      </c>
      <c r="DE123" s="16">
        <f>IFERROR(__xludf.DUMMYFUNCTION("""COMPUTED_VALUE"""),26.0)</f>
        <v>26</v>
      </c>
      <c r="DF123" s="16">
        <f>IFERROR(__xludf.DUMMYFUNCTION("""COMPUTED_VALUE"""),10.0)</f>
        <v>10</v>
      </c>
      <c r="DG123" s="16"/>
      <c r="DH123" s="16">
        <f>IFERROR(__xludf.DUMMYFUNCTION("""COMPUTED_VALUE"""),10.0)</f>
        <v>10</v>
      </c>
      <c r="DI123" s="16"/>
      <c r="DJ123" s="16"/>
      <c r="DK123" s="16">
        <f>IFERROR(__xludf.DUMMYFUNCTION("""COMPUTED_VALUE"""),-2.0)</f>
        <v>-2</v>
      </c>
      <c r="DL123" s="16">
        <f>IFERROR(__xludf.DUMMYFUNCTION("""COMPUTED_VALUE"""),3.0)</f>
        <v>3</v>
      </c>
      <c r="DM123" s="16">
        <f>IFERROR(__xludf.DUMMYFUNCTION("""COMPUTED_VALUE"""),0.0)</f>
        <v>0</v>
      </c>
      <c r="DN123" s="16">
        <f>IFERROR(__xludf.DUMMYFUNCTION("""COMPUTED_VALUE"""),-1.0)</f>
        <v>-1</v>
      </c>
      <c r="DO123" s="16"/>
      <c r="DP123" s="16">
        <f>IFERROR(__xludf.DUMMYFUNCTION("""COMPUTED_VALUE"""),-1.0)</f>
        <v>-1</v>
      </c>
      <c r="DQ123" s="16"/>
      <c r="DR123" s="16"/>
      <c r="DS123" s="16">
        <f>IFERROR(__xludf.DUMMYFUNCTION("""COMPUTED_VALUE"""),-2.0)</f>
        <v>-2</v>
      </c>
      <c r="DT123" s="16">
        <f>IFERROR(__xludf.DUMMYFUNCTION("""COMPUTED_VALUE"""),2.0)</f>
        <v>2</v>
      </c>
      <c r="DU123" s="16">
        <f>IFERROR(__xludf.DUMMYFUNCTION("""COMPUTED_VALUE"""),0.0)</f>
        <v>0</v>
      </c>
      <c r="DV123" s="16">
        <f>IFERROR(__xludf.DUMMYFUNCTION("""COMPUTED_VALUE"""),0.0)</f>
        <v>0</v>
      </c>
      <c r="DW123" s="16"/>
      <c r="DX123" s="16">
        <f>IFERROR(__xludf.DUMMYFUNCTION("""COMPUTED_VALUE"""),0.0)</f>
        <v>0</v>
      </c>
      <c r="DY123" s="16"/>
      <c r="DZ123" s="16"/>
      <c r="EA123" s="16">
        <f>IFERROR(__xludf.DUMMYFUNCTION("""COMPUTED_VALUE"""),-4.0)</f>
        <v>-4</v>
      </c>
      <c r="EB123" s="16">
        <f>IFERROR(__xludf.DUMMYFUNCTION("""COMPUTED_VALUE"""),5.0)</f>
        <v>5</v>
      </c>
      <c r="EC123" s="16">
        <f>IFERROR(__xludf.DUMMYFUNCTION("""COMPUTED_VALUE"""),0.0)</f>
        <v>0</v>
      </c>
      <c r="ED123" s="16">
        <f>IFERROR(__xludf.DUMMYFUNCTION("""COMPUTED_VALUE"""),-1.0)</f>
        <v>-1</v>
      </c>
      <c r="EE123" s="16"/>
      <c r="EF123" s="16">
        <f>IFERROR(__xludf.DUMMYFUNCTION("""COMPUTED_VALUE"""),-1.0)</f>
        <v>-1</v>
      </c>
      <c r="EG123" s="179"/>
      <c r="EH123" s="179"/>
      <c r="EI123" s="179">
        <f>IFERROR(__xludf.DUMMYFUNCTION("""COMPUTED_VALUE"""),6.0)</f>
        <v>6</v>
      </c>
      <c r="EJ123" s="179">
        <f>IFERROR(__xludf.DUMMYFUNCTION("""COMPUTED_VALUE"""),15.0)</f>
        <v>15</v>
      </c>
      <c r="EK123" s="179">
        <f>IFERROR(__xludf.DUMMYFUNCTION("""COMPUTED_VALUE"""),10.0)</f>
        <v>10</v>
      </c>
      <c r="EL123" s="179">
        <f>IFERROR(__xludf.DUMMYFUNCTION("""COMPUTED_VALUE"""),9.0)</f>
        <v>9</v>
      </c>
      <c r="EM123" s="179"/>
      <c r="EN123" s="179">
        <f>IFERROR(__xludf.DUMMYFUNCTION("""COMPUTED_VALUE"""),9.0)</f>
        <v>9</v>
      </c>
      <c r="EO123" s="16"/>
      <c r="EP123" s="16">
        <f>IFERROR(__xludf.DUMMYFUNCTION("""COMPUTED_VALUE"""),2.0)</f>
        <v>2</v>
      </c>
      <c r="EQ123" s="16">
        <f>IFERROR(__xludf.DUMMYFUNCTION("""COMPUTED_VALUE"""),4.0)</f>
        <v>4</v>
      </c>
      <c r="ER123" s="16">
        <f>IFERROR(__xludf.DUMMYFUNCTION("""COMPUTED_VALUE"""),3.0)</f>
        <v>3</v>
      </c>
      <c r="ES123" s="16"/>
      <c r="ET123" s="16"/>
      <c r="EU123" s="16"/>
      <c r="EV123" s="16"/>
      <c r="EW123" s="16"/>
      <c r="EX123" s="180"/>
      <c r="EY123" s="180"/>
      <c r="EZ123" s="180">
        <f>IFERROR(__xludf.DUMMYFUNCTION("""COMPUTED_VALUE"""),0.3)</f>
        <v>0.3</v>
      </c>
      <c r="FA123" s="180">
        <f>IFERROR(__xludf.DUMMYFUNCTION("""COMPUTED_VALUE"""),0.1)</f>
        <v>0.1</v>
      </c>
      <c r="FB123" s="180">
        <f>IFERROR(__xludf.DUMMYFUNCTION("""COMPUTED_VALUE"""),0.2)</f>
        <v>0.2</v>
      </c>
      <c r="FC123" s="180">
        <f>IFERROR(__xludf.DUMMYFUNCTION("""COMPUTED_VALUE"""),0.55)</f>
        <v>0.55</v>
      </c>
      <c r="FD123" s="180"/>
      <c r="FE123" s="180">
        <f>IFERROR(__xludf.DUMMYFUNCTION("""COMPUTED_VALUE"""),0.55)</f>
        <v>0.55</v>
      </c>
      <c r="FF123" s="180"/>
      <c r="FG123" s="180"/>
      <c r="FH123" s="180">
        <f>IFERROR(__xludf.DUMMYFUNCTION("""COMPUTED_VALUE"""),0.18981481481481483)</f>
        <v>0.1898148148</v>
      </c>
      <c r="FI123" s="180">
        <f>IFERROR(__xludf.DUMMYFUNCTION("""COMPUTED_VALUE"""),0.09722222222222222)</f>
        <v>0.09722222222</v>
      </c>
      <c r="FJ123" s="180">
        <f>IFERROR(__xludf.DUMMYFUNCTION("""COMPUTED_VALUE"""),0.13425925925925927)</f>
        <v>0.1342592593</v>
      </c>
      <c r="FK123" s="180">
        <f>IFERROR(__xludf.DUMMYFUNCTION("""COMPUTED_VALUE"""),0.181)</f>
        <v>0.181</v>
      </c>
      <c r="FL123" s="180"/>
      <c r="FM123" s="180">
        <f>IFERROR(__xludf.DUMMYFUNCTION("""COMPUTED_VALUE"""),0.181)</f>
        <v>0.181</v>
      </c>
      <c r="FN123" s="16"/>
      <c r="FO123" s="16"/>
      <c r="FP123" s="16">
        <f>IFERROR(__xludf.DUMMYFUNCTION("""COMPUTED_VALUE"""),0.5671296296296295)</f>
        <v>0.5671296296</v>
      </c>
      <c r="FQ123" s="16">
        <f>IFERROR(__xludf.DUMMYFUNCTION("""COMPUTED_VALUE"""),0.8125)</f>
        <v>0.8125</v>
      </c>
      <c r="FR123" s="16">
        <f>IFERROR(__xludf.DUMMYFUNCTION("""COMPUTED_VALUE"""),0.6925925925925926)</f>
        <v>0.6925925926</v>
      </c>
      <c r="FS123" s="16">
        <f>IFERROR(__xludf.DUMMYFUNCTION("""COMPUTED_VALUE"""),0.36854999999999993)</f>
        <v>0.36855</v>
      </c>
      <c r="FT123" s="16"/>
      <c r="FU123" s="16">
        <f>IFERROR(__xludf.DUMMYFUNCTION("""COMPUTED_VALUE"""),0.36854999999999993)</f>
        <v>0.36855</v>
      </c>
      <c r="FV123" s="16"/>
      <c r="FW123" s="16"/>
      <c r="FX123" s="16">
        <f>IFERROR(__xludf.DUMMYFUNCTION("""COMPUTED_VALUE"""),-6.0)</f>
        <v>-6</v>
      </c>
      <c r="FY123" s="16">
        <f>IFERROR(__xludf.DUMMYFUNCTION("""COMPUTED_VALUE"""),1.0)</f>
        <v>1</v>
      </c>
      <c r="FZ123" s="16">
        <f>IFERROR(__xludf.DUMMYFUNCTION("""COMPUTED_VALUE"""),-4.0)</f>
        <v>-4</v>
      </c>
      <c r="GA123" s="16">
        <f>IFERROR(__xludf.DUMMYFUNCTION("""COMPUTED_VALUE"""),-10.0)</f>
        <v>-10</v>
      </c>
      <c r="GB123" s="16"/>
      <c r="GC123" s="16">
        <f>IFERROR(__xludf.DUMMYFUNCTION("""COMPUTED_VALUE"""),-10.0)</f>
        <v>-10</v>
      </c>
      <c r="GD123" s="16" t="s">
        <v>387</v>
      </c>
    </row>
    <row r="124">
      <c r="A124" s="16">
        <f>IFERROR(__xludf.DUMMYFUNCTION("""COMPUTED_VALUE"""),13441.0)</f>
        <v>13441</v>
      </c>
      <c r="B124" s="16" t="str">
        <f>IFERROR(__xludf.DUMMYFUNCTION("""COMPUTED_VALUE"""),"Triston Casas")</f>
        <v>Triston Casas</v>
      </c>
      <c r="C124" s="16">
        <f>IFERROR(__xludf.DUMMYFUNCTION("""COMPUTED_VALUE"""),0.72)</f>
        <v>0.72</v>
      </c>
      <c r="D124" s="16" t="str">
        <f>IFERROR(__xludf.DUMMYFUNCTION("""COMPUTED_VALUE"""),"L")</f>
        <v>L</v>
      </c>
      <c r="E124" s="16"/>
      <c r="F124" s="16"/>
      <c r="G124" s="16">
        <f>IFERROR(__xludf.DUMMYFUNCTION("""COMPUTED_VALUE"""),212.0)</f>
        <v>212</v>
      </c>
      <c r="H124" s="16">
        <f>IFERROR(__xludf.DUMMYFUNCTION("""COMPUTED_VALUE"""),30.0)</f>
        <v>30</v>
      </c>
      <c r="I124" s="16" t="str">
        <f>IFERROR(__xludf.DUMMYFUNCTION("""COMPUTED_VALUE"""),"5p30")</f>
        <v>5p30</v>
      </c>
      <c r="J124" s="16">
        <f>IFERROR(__xludf.DUMMYFUNCTION("""COMPUTED_VALUE"""),47.0)</f>
        <v>47</v>
      </c>
      <c r="K124" s="16">
        <f>IFERROR(__xludf.DUMMYFUNCTION("""COMPUTED_VALUE"""),43.0)</f>
        <v>43</v>
      </c>
      <c r="L124" s="16">
        <f>IFERROR(__xludf.DUMMYFUNCTION("""COMPUTED_VALUE"""),-2.0)</f>
        <v>-2</v>
      </c>
      <c r="M124" s="16">
        <f>IFERROR(__xludf.DUMMYFUNCTION("""COMPUTED_VALUE"""),-2.0)</f>
        <v>-2</v>
      </c>
      <c r="N124" s="16">
        <f>IFERROR(__xludf.DUMMYFUNCTION("""COMPUTED_VALUE"""),-2.0)</f>
        <v>-2</v>
      </c>
      <c r="O124" s="16">
        <f>IFERROR(__xludf.DUMMYFUNCTION("""COMPUTED_VALUE"""),-2.0)</f>
        <v>-2</v>
      </c>
      <c r="P124" s="16">
        <f>IFERROR(__xludf.DUMMYFUNCTION("""COMPUTED_VALUE"""),10.0)</f>
        <v>10</v>
      </c>
      <c r="Q124" s="16">
        <f>IFERROR(__xludf.DUMMYFUNCTION("""COMPUTED_VALUE"""),16.0)</f>
        <v>16</v>
      </c>
      <c r="R124" s="16">
        <f>IFERROR(__xludf.DUMMYFUNCTION("""COMPUTED_VALUE"""),1.0)</f>
        <v>1</v>
      </c>
      <c r="S124" s="16">
        <f>IFERROR(__xludf.DUMMYFUNCTION("""COMPUTED_VALUE"""),2.0)</f>
        <v>2</v>
      </c>
      <c r="T124" s="16">
        <f>IFERROR(__xludf.DUMMYFUNCTION("""COMPUTED_VALUE"""),1.0)</f>
        <v>1</v>
      </c>
      <c r="U124" s="16">
        <f>IFERROR(__xludf.DUMMYFUNCTION("""COMPUTED_VALUE"""),2.0)</f>
        <v>2</v>
      </c>
      <c r="V124" s="16">
        <f>IFERROR(__xludf.DUMMYFUNCTION("""COMPUTED_VALUE"""),15.9)</f>
        <v>15.9</v>
      </c>
      <c r="W124" s="16">
        <f>IFERROR(__xludf.DUMMYFUNCTION("""COMPUTED_VALUE"""),16.0)</f>
        <v>16</v>
      </c>
      <c r="X124" s="16">
        <f>IFERROR(__xludf.DUMMYFUNCTION("""COMPUTED_VALUE"""),-1.0)</f>
        <v>-1</v>
      </c>
      <c r="Y124" s="16">
        <f>IFERROR(__xludf.DUMMYFUNCTION("""COMPUTED_VALUE"""),-1.0)</f>
        <v>-1</v>
      </c>
      <c r="Z124" s="16">
        <f>IFERROR(__xludf.DUMMYFUNCTION("""COMPUTED_VALUE"""),-2.0)</f>
        <v>-2</v>
      </c>
      <c r="AA124" s="16">
        <f>IFERROR(__xludf.DUMMYFUNCTION("""COMPUTED_VALUE"""),-2.0)</f>
        <v>-2</v>
      </c>
      <c r="AB124" s="16">
        <f>IFERROR(__xludf.DUMMYFUNCTION("""COMPUTED_VALUE"""),26.9)</f>
        <v>26.9</v>
      </c>
      <c r="AC124" s="16">
        <f>IFERROR(__xludf.DUMMYFUNCTION("""COMPUTED_VALUE"""),33.0)</f>
        <v>33</v>
      </c>
      <c r="AD124" s="16">
        <f>IFERROR(__xludf.DUMMYFUNCTION("""COMPUTED_VALUE"""),0.0)</f>
        <v>0</v>
      </c>
      <c r="AE124" s="16">
        <f>IFERROR(__xludf.DUMMYFUNCTION("""COMPUTED_VALUE"""),0.0)</f>
        <v>0</v>
      </c>
      <c r="AF124" s="16">
        <f>IFERROR(__xludf.DUMMYFUNCTION("""COMPUTED_VALUE"""),0.0)</f>
        <v>0</v>
      </c>
      <c r="AG124" s="16">
        <f>IFERROR(__xludf.DUMMYFUNCTION("""COMPUTED_VALUE"""),0.0)</f>
        <v>0</v>
      </c>
      <c r="AH124" s="16">
        <f>IFERROR(__xludf.DUMMYFUNCTION("""COMPUTED_VALUE"""),34.2)</f>
        <v>34.2</v>
      </c>
      <c r="AI124" s="16">
        <f>IFERROR(__xludf.DUMMYFUNCTION("""COMPUTED_VALUE"""),34.9)</f>
        <v>34.9</v>
      </c>
      <c r="AJ124" s="16">
        <f>IFERROR(__xludf.DUMMYFUNCTION("""COMPUTED_VALUE"""),0.0)</f>
        <v>0</v>
      </c>
      <c r="AK124" s="16">
        <f>IFERROR(__xludf.DUMMYFUNCTION("""COMPUTED_VALUE"""),0.0)</f>
        <v>0</v>
      </c>
      <c r="AL124" s="16">
        <f>IFERROR(__xludf.DUMMYFUNCTION("""COMPUTED_VALUE"""),0.0)</f>
        <v>0</v>
      </c>
      <c r="AM124" s="16">
        <f>IFERROR(__xludf.DUMMYFUNCTION("""COMPUTED_VALUE"""),0.0)</f>
        <v>0</v>
      </c>
      <c r="AN124" s="16">
        <f>IFERROR(__xludf.DUMMYFUNCTION("""COMPUTED_VALUE"""),5.2)</f>
        <v>5.2</v>
      </c>
      <c r="AO124" s="16">
        <f>IFERROR(__xludf.DUMMYFUNCTION("""COMPUTED_VALUE"""),5.6)</f>
        <v>5.6</v>
      </c>
      <c r="AP124" s="16">
        <f>IFERROR(__xludf.DUMMYFUNCTION("""COMPUTED_VALUE"""),3.0)</f>
        <v>3</v>
      </c>
      <c r="AQ124" s="16">
        <f>IFERROR(__xludf.DUMMYFUNCTION("""COMPUTED_VALUE"""),3.0)</f>
        <v>3</v>
      </c>
      <c r="AR124" s="16">
        <f>IFERROR(__xludf.DUMMYFUNCTION("""COMPUTED_VALUE"""),6.0)</f>
        <v>6</v>
      </c>
      <c r="AS124" s="16">
        <f>IFERROR(__xludf.DUMMYFUNCTION("""COMPUTED_VALUE"""),6.0)</f>
        <v>6</v>
      </c>
      <c r="AT124" s="16">
        <f>IFERROR(__xludf.DUMMYFUNCTION("""COMPUTED_VALUE"""),8.0)</f>
        <v>8</v>
      </c>
      <c r="AU124" s="16">
        <f>IFERROR(__xludf.DUMMYFUNCTION("""COMPUTED_VALUE"""),8.0)</f>
        <v>8</v>
      </c>
      <c r="AV124" s="16">
        <f>IFERROR(__xludf.DUMMYFUNCTION("""COMPUTED_VALUE"""),8.0)</f>
        <v>8</v>
      </c>
      <c r="AW124" s="16">
        <f>IFERROR(__xludf.DUMMYFUNCTION("""COMPUTED_VALUE"""),8.0)</f>
        <v>8</v>
      </c>
      <c r="AX124" s="16">
        <f>IFERROR(__xludf.DUMMYFUNCTION("""COMPUTED_VALUE"""),3.0)</f>
        <v>3</v>
      </c>
      <c r="AY124" s="16">
        <f>IFERROR(__xludf.DUMMYFUNCTION("""COMPUTED_VALUE"""),3.0)</f>
        <v>3</v>
      </c>
      <c r="AZ124" s="16">
        <f>IFERROR(__xludf.DUMMYFUNCTION("""COMPUTED_VALUE"""),9.0)</f>
        <v>9</v>
      </c>
      <c r="BA124" s="16">
        <f>IFERROR(__xludf.DUMMYFUNCTION("""COMPUTED_VALUE"""),9.0)</f>
        <v>9</v>
      </c>
      <c r="BB124" s="16">
        <f>IFERROR(__xludf.DUMMYFUNCTION("""COMPUTED_VALUE"""),5.0)</f>
        <v>5</v>
      </c>
      <c r="BC124" s="16">
        <f>IFERROR(__xludf.DUMMYFUNCTION("""COMPUTED_VALUE"""),5.0)</f>
        <v>5</v>
      </c>
      <c r="BD124" s="16">
        <f>IFERROR(__xludf.DUMMYFUNCTION("""COMPUTED_VALUE"""),1.0)</f>
        <v>1</v>
      </c>
      <c r="BE124" s="16">
        <f>IFERROR(__xludf.DUMMYFUNCTION("""COMPUTED_VALUE"""),1.0)</f>
        <v>1</v>
      </c>
      <c r="BF124" s="16">
        <f>IFERROR(__xludf.DUMMYFUNCTION("""COMPUTED_VALUE"""),1.0)</f>
        <v>1</v>
      </c>
      <c r="BG124" s="16">
        <f>IFERROR(__xludf.DUMMYFUNCTION("""COMPUTED_VALUE"""),1.0)</f>
        <v>1</v>
      </c>
      <c r="BH124" s="16">
        <f>IFERROR(__xludf.DUMMYFUNCTION("""COMPUTED_VALUE"""),-6.0)</f>
        <v>-6</v>
      </c>
      <c r="BI124" s="16">
        <f>IFERROR(__xludf.DUMMYFUNCTION("""COMPUTED_VALUE"""),-6.0)</f>
        <v>-6</v>
      </c>
      <c r="BJ124" s="16">
        <f>IFERROR(__xludf.DUMMYFUNCTION("""COMPUTED_VALUE"""),18.0)</f>
        <v>18</v>
      </c>
      <c r="BK124" s="16">
        <f>IFERROR(__xludf.DUMMYFUNCTION("""COMPUTED_VALUE"""),14.0)</f>
        <v>14</v>
      </c>
      <c r="BL124" s="16">
        <f>IFERROR(__xludf.DUMMYFUNCTION("""COMPUTED_VALUE"""),-1.0)</f>
        <v>-1</v>
      </c>
      <c r="BM124" s="16">
        <f>IFERROR(__xludf.DUMMYFUNCTION("""COMPUTED_VALUE"""),0.0)</f>
        <v>0</v>
      </c>
      <c r="BN124" s="16">
        <f>IFERROR(__xludf.DUMMYFUNCTION("""COMPUTED_VALUE"""),-2.0)</f>
        <v>-2</v>
      </c>
      <c r="BO124" s="16">
        <f>IFERROR(__xludf.DUMMYFUNCTION("""COMPUTED_VALUE"""),0.0)</f>
        <v>0</v>
      </c>
      <c r="BP124" s="16">
        <f>IFERROR(__xludf.DUMMYFUNCTION("""COMPUTED_VALUE"""),4.0)</f>
        <v>4</v>
      </c>
      <c r="BQ124" s="16">
        <f>IFERROR(__xludf.DUMMYFUNCTION("""COMPUTED_VALUE"""),6.0)</f>
        <v>6</v>
      </c>
      <c r="BR124" s="16">
        <f>IFERROR(__xludf.DUMMYFUNCTION("""COMPUTED_VALUE"""),10.0)</f>
        <v>10</v>
      </c>
      <c r="BS124" s="16" t="str">
        <f>IFERROR(__xludf.DUMMYFUNCTION("""COMPUTED_VALUE"""),"2-5,12/- (3-1)")</f>
        <v>2-5,12/- (3-1)</v>
      </c>
      <c r="BT124" s="16" t="str">
        <f>IFERROR(__xludf.DUMMYFUNCTION("""COMPUTED_VALUE"""),"E")</f>
        <v>E</v>
      </c>
      <c r="BU124" s="16">
        <f>IFERROR(__xludf.DUMMYFUNCTION("""COMPUTED_VALUE"""),8.0)</f>
        <v>8</v>
      </c>
      <c r="BV124" s="16">
        <f>IFERROR(__xludf.DUMMYFUNCTION("""COMPUTED_VALUE"""),0.0)</f>
        <v>0</v>
      </c>
      <c r="BW124" s="16">
        <f>IFERROR(__xludf.DUMMYFUNCTION("""COMPUTED_VALUE"""),-1.0)</f>
        <v>-1</v>
      </c>
      <c r="BX124" s="16">
        <f>IFERROR(__xludf.DUMMYFUNCTION("""COMPUTED_VALUE"""),0.0)</f>
        <v>0</v>
      </c>
      <c r="BY124" s="16">
        <f>IFERROR(__xludf.DUMMYFUNCTION("""COMPUTED_VALUE"""),-3.0)</f>
        <v>-3</v>
      </c>
      <c r="BZ124" s="16" t="str">
        <f>IFERROR(__xludf.DUMMYFUNCTION("""COMPUTED_VALUE"""),"D")</f>
        <v>D</v>
      </c>
      <c r="CA124" s="16" t="str">
        <f>IFERROR(__xludf.DUMMYFUNCTION("""COMPUTED_VALUE"""),"D")</f>
        <v>D</v>
      </c>
      <c r="CB124" s="16">
        <f>IFERROR(__xludf.DUMMYFUNCTION("""COMPUTED_VALUE"""),0.0)</f>
        <v>0</v>
      </c>
      <c r="CC124" s="16">
        <f>IFERROR(__xludf.DUMMYFUNCTION("""COMPUTED_VALUE"""),0.0)</f>
        <v>0</v>
      </c>
      <c r="CD124" s="16">
        <f>IFERROR(__xludf.DUMMYFUNCTION("""COMPUTED_VALUE"""),0.0)</f>
        <v>0</v>
      </c>
      <c r="CE124" s="16">
        <f>IFERROR(__xludf.DUMMYFUNCTION("""COMPUTED_VALUE"""),0.0)</f>
        <v>0</v>
      </c>
      <c r="CF124" s="16">
        <f>IFERROR(__xludf.DUMMYFUNCTION("""COMPUTED_VALUE"""),5.0)</f>
        <v>5</v>
      </c>
      <c r="CG124" s="16">
        <f>IFERROR(__xludf.DUMMYFUNCTION("""COMPUTED_VALUE"""),11.0)</f>
        <v>11</v>
      </c>
      <c r="CH124" s="16">
        <f>IFERROR(__xludf.DUMMYFUNCTION("""COMPUTED_VALUE"""),14.0)</f>
        <v>14</v>
      </c>
      <c r="CI124" s="179">
        <f>IFERROR(__xludf.DUMMYFUNCTION("""COMPUTED_VALUE"""),9.0)</f>
        <v>9</v>
      </c>
      <c r="CJ124" s="16"/>
      <c r="CK124" s="16">
        <f>IFERROR(__xludf.DUMMYFUNCTION("""COMPUTED_VALUE"""),414.0)</f>
        <v>414</v>
      </c>
      <c r="CL124" s="16"/>
      <c r="CM124" s="16"/>
      <c r="CN124" s="16"/>
      <c r="CO124" s="16"/>
      <c r="CP124" s="16"/>
      <c r="CQ124" s="16"/>
      <c r="CR124" s="16" t="str">
        <f>IFERROR(__xludf.DUMMYFUNCTION("""COMPUTED_VALUE"""),"1b-4e14")</f>
        <v>1b-4e14</v>
      </c>
      <c r="CS124" s="16"/>
      <c r="CT124" s="16">
        <f>IFERROR(__xludf.DUMMYFUNCTION("""COMPUTED_VALUE"""),4.0)</f>
        <v>4</v>
      </c>
      <c r="CU124" s="16"/>
      <c r="CV124" s="16"/>
      <c r="CW124" s="16"/>
      <c r="CX124" s="16"/>
      <c r="CY124" s="16"/>
      <c r="CZ124" s="16"/>
      <c r="DA124" s="16"/>
      <c r="DB124" s="16">
        <f>IFERROR(__xludf.DUMMYFUNCTION("""COMPUTED_VALUE"""),14.0)</f>
        <v>14</v>
      </c>
      <c r="DC124" s="16"/>
      <c r="DD124" s="16"/>
      <c r="DE124" s="16"/>
      <c r="DF124" s="16"/>
      <c r="DG124" s="16"/>
      <c r="DH124" s="16"/>
      <c r="DI124" s="16"/>
      <c r="DJ124" s="16">
        <f>IFERROR(__xludf.DUMMYFUNCTION("""COMPUTED_VALUE"""),0.0)</f>
        <v>0</v>
      </c>
      <c r="DK124" s="16"/>
      <c r="DL124" s="16"/>
      <c r="DM124" s="16"/>
      <c r="DN124" s="16"/>
      <c r="DO124" s="16"/>
      <c r="DP124" s="16"/>
      <c r="DQ124" s="16"/>
      <c r="DR124" s="16">
        <f>IFERROR(__xludf.DUMMYFUNCTION("""COMPUTED_VALUE"""),1.0)</f>
        <v>1</v>
      </c>
      <c r="DS124" s="16"/>
      <c r="DT124" s="16"/>
      <c r="DU124" s="16"/>
      <c r="DV124" s="16"/>
      <c r="DW124" s="16"/>
      <c r="DX124" s="16"/>
      <c r="DY124" s="16"/>
      <c r="DZ124" s="16">
        <f>IFERROR(__xludf.DUMMYFUNCTION("""COMPUTED_VALUE"""),1.0)</f>
        <v>1</v>
      </c>
      <c r="EA124" s="16"/>
      <c r="EB124" s="16"/>
      <c r="EC124" s="16"/>
      <c r="ED124" s="16"/>
      <c r="EE124" s="16"/>
      <c r="EF124" s="16"/>
      <c r="EG124" s="179"/>
      <c r="EH124" s="179">
        <f>IFERROR(__xludf.DUMMYFUNCTION("""COMPUTED_VALUE"""),10.0)</f>
        <v>10</v>
      </c>
      <c r="EI124" s="179"/>
      <c r="EJ124" s="179"/>
      <c r="EK124" s="179"/>
      <c r="EL124" s="179"/>
      <c r="EM124" s="179"/>
      <c r="EN124" s="179"/>
      <c r="EO124" s="16"/>
      <c r="EP124" s="16"/>
      <c r="EQ124" s="16">
        <f>IFERROR(__xludf.DUMMYFUNCTION("""COMPUTED_VALUE"""),-2.0)</f>
        <v>-2</v>
      </c>
      <c r="ER124" s="16">
        <f>IFERROR(__xludf.DUMMYFUNCTION("""COMPUTED_VALUE"""),-2.0)</f>
        <v>-2</v>
      </c>
      <c r="ES124" s="16"/>
      <c r="ET124" s="16"/>
      <c r="EU124" s="16"/>
      <c r="EV124" s="16"/>
      <c r="EW124" s="16"/>
      <c r="EX124" s="180"/>
      <c r="EY124" s="180">
        <f>IFERROR(__xludf.DUMMYFUNCTION("""COMPUTED_VALUE"""),0.3)</f>
        <v>0.3</v>
      </c>
      <c r="EZ124" s="180"/>
      <c r="FA124" s="180"/>
      <c r="FB124" s="180"/>
      <c r="FC124" s="180"/>
      <c r="FD124" s="180"/>
      <c r="FE124" s="180"/>
      <c r="FF124" s="180"/>
      <c r="FG124" s="180">
        <f>IFERROR(__xludf.DUMMYFUNCTION("""COMPUTED_VALUE"""),0.25)</f>
        <v>0.25</v>
      </c>
      <c r="FH124" s="180"/>
      <c r="FI124" s="180"/>
      <c r="FJ124" s="180"/>
      <c r="FK124" s="180"/>
      <c r="FL124" s="180"/>
      <c r="FM124" s="180"/>
      <c r="FN124" s="16"/>
      <c r="FO124" s="16">
        <f>IFERROR(__xludf.DUMMYFUNCTION("""COMPUTED_VALUE"""),0.5249999999999999)</f>
        <v>0.525</v>
      </c>
      <c r="FP124" s="16"/>
      <c r="FQ124" s="16"/>
      <c r="FR124" s="16"/>
      <c r="FS124" s="16"/>
      <c r="FT124" s="16"/>
      <c r="FU124" s="16"/>
      <c r="FV124" s="16"/>
      <c r="FW124" s="16">
        <f>IFERROR(__xludf.DUMMYFUNCTION("""COMPUTED_VALUE"""),-8.0)</f>
        <v>-8</v>
      </c>
      <c r="FX124" s="16"/>
      <c r="FY124" s="16"/>
      <c r="FZ124" s="16"/>
      <c r="GA124" s="16"/>
      <c r="GB124" s="16"/>
      <c r="GC124" s="16"/>
      <c r="GD124" s="16" t="s">
        <v>623</v>
      </c>
    </row>
    <row r="125">
      <c r="A125" s="16">
        <f>IFERROR(__xludf.DUMMYFUNCTION("""COMPUTED_VALUE"""),12732.0)</f>
        <v>12732</v>
      </c>
      <c r="B125" s="16" t="str">
        <f>IFERROR(__xludf.DUMMYFUNCTION("""COMPUTED_VALUE"""),"Dansby Swanson")</f>
        <v>Dansby Swanson</v>
      </c>
      <c r="C125" s="16">
        <f>IFERROR(__xludf.DUMMYFUNCTION("""COMPUTED_VALUE"""),1.96)</f>
        <v>1.96</v>
      </c>
      <c r="D125" s="16" t="str">
        <f>IFERROR(__xludf.DUMMYFUNCTION("""COMPUTED_VALUE"""),"R")</f>
        <v>R</v>
      </c>
      <c r="E125" s="16"/>
      <c r="F125" s="16"/>
      <c r="G125" s="16">
        <f>IFERROR(__xludf.DUMMYFUNCTION("""COMPUTED_VALUE"""),534.0)</f>
        <v>534</v>
      </c>
      <c r="H125" s="16">
        <f>IFERROR(__xludf.DUMMYFUNCTION("""COMPUTED_VALUE"""),54.0)</f>
        <v>54</v>
      </c>
      <c r="I125" s="16" t="str">
        <f>IFERROR(__xludf.DUMMYFUNCTION("""COMPUTED_VALUE"""),"1p70")</f>
        <v>1p70</v>
      </c>
      <c r="J125" s="16">
        <f>IFERROR(__xludf.DUMMYFUNCTION("""COMPUTED_VALUE"""),20.0)</f>
        <v>20</v>
      </c>
      <c r="K125" s="16">
        <f>IFERROR(__xludf.DUMMYFUNCTION("""COMPUTED_VALUE"""),29.0)</f>
        <v>29</v>
      </c>
      <c r="L125" s="16">
        <f>IFERROR(__xludf.DUMMYFUNCTION("""COMPUTED_VALUE"""),0.0)</f>
        <v>0</v>
      </c>
      <c r="M125" s="16">
        <f>IFERROR(__xludf.DUMMYFUNCTION("""COMPUTED_VALUE"""),0.0)</f>
        <v>0</v>
      </c>
      <c r="N125" s="16">
        <f>IFERROR(__xludf.DUMMYFUNCTION("""COMPUTED_VALUE"""),0.0)</f>
        <v>0</v>
      </c>
      <c r="O125" s="16">
        <f>IFERROR(__xludf.DUMMYFUNCTION("""COMPUTED_VALUE"""),0.0)</f>
        <v>0</v>
      </c>
      <c r="P125" s="16">
        <f>IFERROR(__xludf.DUMMYFUNCTION("""COMPUTED_VALUE"""),11.0)</f>
        <v>11</v>
      </c>
      <c r="Q125" s="16">
        <f>IFERROR(__xludf.DUMMYFUNCTION("""COMPUTED_VALUE"""),11.0)</f>
        <v>11</v>
      </c>
      <c r="R125" s="16">
        <f>IFERROR(__xludf.DUMMYFUNCTION("""COMPUTED_VALUE"""),1.0)</f>
        <v>1</v>
      </c>
      <c r="S125" s="16">
        <f>IFERROR(__xludf.DUMMYFUNCTION("""COMPUTED_VALUE"""),1.0)</f>
        <v>1</v>
      </c>
      <c r="T125" s="16">
        <f>IFERROR(__xludf.DUMMYFUNCTION("""COMPUTED_VALUE"""),1.0)</f>
        <v>1</v>
      </c>
      <c r="U125" s="16">
        <f>IFERROR(__xludf.DUMMYFUNCTION("""COMPUTED_VALUE"""),1.0)</f>
        <v>1</v>
      </c>
      <c r="V125" s="16">
        <f>IFERROR(__xludf.DUMMYFUNCTION("""COMPUTED_VALUE"""),33.2)</f>
        <v>33.2</v>
      </c>
      <c r="W125" s="16">
        <f>IFERROR(__xludf.DUMMYFUNCTION("""COMPUTED_VALUE"""),16.2)</f>
        <v>16.2</v>
      </c>
      <c r="X125" s="16">
        <f>IFERROR(__xludf.DUMMYFUNCTION("""COMPUTED_VALUE"""),2.0)</f>
        <v>2</v>
      </c>
      <c r="Y125" s="16">
        <f>IFERROR(__xludf.DUMMYFUNCTION("""COMPUTED_VALUE"""),-1.0)</f>
        <v>-1</v>
      </c>
      <c r="Z125" s="16">
        <f>IFERROR(__xludf.DUMMYFUNCTION("""COMPUTED_VALUE"""),4.0)</f>
        <v>4</v>
      </c>
      <c r="AA125" s="16">
        <f>IFERROR(__xludf.DUMMYFUNCTION("""COMPUTED_VALUE"""),-2.0)</f>
        <v>-2</v>
      </c>
      <c r="AB125" s="16">
        <f>IFERROR(__xludf.DUMMYFUNCTION("""COMPUTED_VALUE"""),45.2)</f>
        <v>45.2</v>
      </c>
      <c r="AC125" s="16">
        <f>IFERROR(__xludf.DUMMYFUNCTION("""COMPUTED_VALUE"""),28.2)</f>
        <v>28.2</v>
      </c>
      <c r="AD125" s="16">
        <f>IFERROR(__xludf.DUMMYFUNCTION("""COMPUTED_VALUE"""),2.0)</f>
        <v>2</v>
      </c>
      <c r="AE125" s="16">
        <f>IFERROR(__xludf.DUMMYFUNCTION("""COMPUTED_VALUE"""),-1.0)</f>
        <v>-1</v>
      </c>
      <c r="AF125" s="16">
        <f>IFERROR(__xludf.DUMMYFUNCTION("""COMPUTED_VALUE"""),10.0)</f>
        <v>10</v>
      </c>
      <c r="AG125" s="16">
        <f>IFERROR(__xludf.DUMMYFUNCTION("""COMPUTED_VALUE"""),-5.0)</f>
        <v>-5</v>
      </c>
      <c r="AH125" s="16">
        <f>IFERROR(__xludf.DUMMYFUNCTION("""COMPUTED_VALUE"""),47.6)</f>
        <v>47.6</v>
      </c>
      <c r="AI125" s="16">
        <f>IFERROR(__xludf.DUMMYFUNCTION("""COMPUTED_VALUE"""),25.7)</f>
        <v>25.7</v>
      </c>
      <c r="AJ125" s="16">
        <f>IFERROR(__xludf.DUMMYFUNCTION("""COMPUTED_VALUE"""),1.0)</f>
        <v>1</v>
      </c>
      <c r="AK125" s="16">
        <f>IFERROR(__xludf.DUMMYFUNCTION("""COMPUTED_VALUE"""),-1.0)</f>
        <v>-1</v>
      </c>
      <c r="AL125" s="16">
        <f>IFERROR(__xludf.DUMMYFUNCTION("""COMPUTED_VALUE"""),5.0)</f>
        <v>5</v>
      </c>
      <c r="AM125" s="16">
        <f>IFERROR(__xludf.DUMMYFUNCTION("""COMPUTED_VALUE"""),-5.0)</f>
        <v>-5</v>
      </c>
      <c r="AN125" s="16">
        <f>IFERROR(__xludf.DUMMYFUNCTION("""COMPUTED_VALUE"""),2.0)</f>
        <v>2</v>
      </c>
      <c r="AO125" s="16">
        <f>IFERROR(__xludf.DUMMYFUNCTION("""COMPUTED_VALUE"""),1.5)</f>
        <v>1.5</v>
      </c>
      <c r="AP125" s="16">
        <f>IFERROR(__xludf.DUMMYFUNCTION("""COMPUTED_VALUE"""),0.0)</f>
        <v>0</v>
      </c>
      <c r="AQ125" s="16">
        <f>IFERROR(__xludf.DUMMYFUNCTION("""COMPUTED_VALUE"""),-1.0)</f>
        <v>-1</v>
      </c>
      <c r="AR125" s="16">
        <f>IFERROR(__xludf.DUMMYFUNCTION("""COMPUTED_VALUE"""),0.0)</f>
        <v>0</v>
      </c>
      <c r="AS125" s="16">
        <f>IFERROR(__xludf.DUMMYFUNCTION("""COMPUTED_VALUE"""),-2.0)</f>
        <v>-2</v>
      </c>
      <c r="AT125" s="16">
        <f>IFERROR(__xludf.DUMMYFUNCTION("""COMPUTED_VALUE"""),4.0)</f>
        <v>4</v>
      </c>
      <c r="AU125" s="16">
        <f>IFERROR(__xludf.DUMMYFUNCTION("""COMPUTED_VALUE"""),2.0)</f>
        <v>2</v>
      </c>
      <c r="AV125" s="16">
        <f>IFERROR(__xludf.DUMMYFUNCTION("""COMPUTED_VALUE"""),4.0)</f>
        <v>4</v>
      </c>
      <c r="AW125" s="16">
        <f>IFERROR(__xludf.DUMMYFUNCTION("""COMPUTED_VALUE"""),2.0)</f>
        <v>2</v>
      </c>
      <c r="AX125" s="16">
        <f>IFERROR(__xludf.DUMMYFUNCTION("""COMPUTED_VALUE"""),2.0)</f>
        <v>2</v>
      </c>
      <c r="AY125" s="16">
        <f>IFERROR(__xludf.DUMMYFUNCTION("""COMPUTED_VALUE"""),0.0)</f>
        <v>0</v>
      </c>
      <c r="AZ125" s="16">
        <f>IFERROR(__xludf.DUMMYFUNCTION("""COMPUTED_VALUE"""),6.0)</f>
        <v>6</v>
      </c>
      <c r="BA125" s="16">
        <f>IFERROR(__xludf.DUMMYFUNCTION("""COMPUTED_VALUE"""),0.0)</f>
        <v>0</v>
      </c>
      <c r="BB125" s="16">
        <f>IFERROR(__xludf.DUMMYFUNCTION("""COMPUTED_VALUE"""),5.0)</f>
        <v>5</v>
      </c>
      <c r="BC125" s="16">
        <f>IFERROR(__xludf.DUMMYFUNCTION("""COMPUTED_VALUE"""),5.0)</f>
        <v>5</v>
      </c>
      <c r="BD125" s="16">
        <f>IFERROR(__xludf.DUMMYFUNCTION("""COMPUTED_VALUE"""),1.0)</f>
        <v>1</v>
      </c>
      <c r="BE125" s="16">
        <f>IFERROR(__xludf.DUMMYFUNCTION("""COMPUTED_VALUE"""),1.0)</f>
        <v>1</v>
      </c>
      <c r="BF125" s="16">
        <f>IFERROR(__xludf.DUMMYFUNCTION("""COMPUTED_VALUE"""),1.0)</f>
        <v>1</v>
      </c>
      <c r="BG125" s="16">
        <f>IFERROR(__xludf.DUMMYFUNCTION("""COMPUTED_VALUE"""),1.0)</f>
        <v>1</v>
      </c>
      <c r="BH125" s="16">
        <f>IFERROR(__xludf.DUMMYFUNCTION("""COMPUTED_VALUE"""),-3.0)</f>
        <v>-3</v>
      </c>
      <c r="BI125" s="16">
        <f>IFERROR(__xludf.DUMMYFUNCTION("""COMPUTED_VALUE"""),-3.0)</f>
        <v>-3</v>
      </c>
      <c r="BJ125" s="16">
        <f>IFERROR(__xludf.DUMMYFUNCTION("""COMPUTED_VALUE"""),8.0)</f>
        <v>8</v>
      </c>
      <c r="BK125" s="16">
        <f>IFERROR(__xludf.DUMMYFUNCTION("""COMPUTED_VALUE"""),8.0)</f>
        <v>8</v>
      </c>
      <c r="BL125" s="16">
        <f>IFERROR(__xludf.DUMMYFUNCTION("""COMPUTED_VALUE"""),1.0)</f>
        <v>1</v>
      </c>
      <c r="BM125" s="16">
        <f>IFERROR(__xludf.DUMMYFUNCTION("""COMPUTED_VALUE"""),1.0)</f>
        <v>1</v>
      </c>
      <c r="BN125" s="16">
        <f>IFERROR(__xludf.DUMMYFUNCTION("""COMPUTED_VALUE"""),1.0)</f>
        <v>1</v>
      </c>
      <c r="BO125" s="16">
        <f>IFERROR(__xludf.DUMMYFUNCTION("""COMPUTED_VALUE"""),1.0)</f>
        <v>1</v>
      </c>
      <c r="BP125" s="16">
        <f>IFERROR(__xludf.DUMMYFUNCTION("""COMPUTED_VALUE"""),10.0)</f>
        <v>10</v>
      </c>
      <c r="BQ125" s="16">
        <f>IFERROR(__xludf.DUMMYFUNCTION("""COMPUTED_VALUE"""),-1.0)</f>
        <v>-1</v>
      </c>
      <c r="BR125" s="16">
        <f>IFERROR(__xludf.DUMMYFUNCTION("""COMPUTED_VALUE"""),9.0)</f>
        <v>9</v>
      </c>
      <c r="BS125" s="16" t="str">
        <f>IFERROR(__xludf.DUMMYFUNCTION("""COMPUTED_VALUE"""),"*4,5/- (19-12)")</f>
        <v>*4,5/- (19-12)</v>
      </c>
      <c r="BT125" s="16" t="str">
        <f>IFERROR(__xludf.DUMMYFUNCTION("""COMPUTED_VALUE"""),"A")</f>
        <v>A</v>
      </c>
      <c r="BU125" s="16">
        <f>IFERROR(__xludf.DUMMYFUNCTION("""COMPUTED_VALUE"""),15.0)</f>
        <v>15</v>
      </c>
      <c r="BV125" s="16">
        <f>IFERROR(__xludf.DUMMYFUNCTION("""COMPUTED_VALUE"""),2.0)</f>
        <v>2</v>
      </c>
      <c r="BW125" s="16">
        <f>IFERROR(__xludf.DUMMYFUNCTION("""COMPUTED_VALUE"""),2.0)</f>
        <v>2</v>
      </c>
      <c r="BX125" s="16">
        <f>IFERROR(__xludf.DUMMYFUNCTION("""COMPUTED_VALUE"""),4.0)</f>
        <v>4</v>
      </c>
      <c r="BY125" s="16">
        <f>IFERROR(__xludf.DUMMYFUNCTION("""COMPUTED_VALUE"""),6.0)</f>
        <v>6</v>
      </c>
      <c r="BZ125" s="16" t="str">
        <f>IFERROR(__xludf.DUMMYFUNCTION("""COMPUTED_VALUE"""),"D")</f>
        <v>D</v>
      </c>
      <c r="CA125" s="16" t="str">
        <f>IFERROR(__xludf.DUMMYFUNCTION("""COMPUTED_VALUE"""),"B")</f>
        <v>B</v>
      </c>
      <c r="CB125" s="16">
        <f>IFERROR(__xludf.DUMMYFUNCTION("""COMPUTED_VALUE"""),0.0)</f>
        <v>0</v>
      </c>
      <c r="CC125" s="16">
        <f>IFERROR(__xludf.DUMMYFUNCTION("""COMPUTED_VALUE"""),1.0)</f>
        <v>1</v>
      </c>
      <c r="CD125" s="16">
        <f>IFERROR(__xludf.DUMMYFUNCTION("""COMPUTED_VALUE"""),0.0)</f>
        <v>0</v>
      </c>
      <c r="CE125" s="16">
        <f>IFERROR(__xludf.DUMMYFUNCTION("""COMPUTED_VALUE"""),2.0)</f>
        <v>2</v>
      </c>
      <c r="CF125" s="16">
        <f>IFERROR(__xludf.DUMMYFUNCTION("""COMPUTED_VALUE"""),1.0)</f>
        <v>1</v>
      </c>
      <c r="CG125" s="16">
        <f>IFERROR(__xludf.DUMMYFUNCTION("""COMPUTED_VALUE"""),28.0)</f>
        <v>28</v>
      </c>
      <c r="CH125" s="16">
        <f>IFERROR(__xludf.DUMMYFUNCTION("""COMPUTED_VALUE"""),-11.0)</f>
        <v>-11</v>
      </c>
      <c r="CI125" s="179">
        <f>IFERROR(__xludf.DUMMYFUNCTION("""COMPUTED_VALUE"""),9.0)</f>
        <v>9</v>
      </c>
      <c r="CJ125" s="16"/>
      <c r="CK125" s="16"/>
      <c r="CL125" s="16"/>
      <c r="CM125" s="16"/>
      <c r="CN125" s="16">
        <f>IFERROR(__xludf.DUMMYFUNCTION("""COMPUTED_VALUE"""),106.0)</f>
        <v>106</v>
      </c>
      <c r="CO125" s="16"/>
      <c r="CP125" s="16"/>
      <c r="CQ125" s="16"/>
      <c r="CR125" s="16" t="str">
        <f>IFERROR(__xludf.DUMMYFUNCTION("""COMPUTED_VALUE"""),"ss-1e6")</f>
        <v>ss-1e6</v>
      </c>
      <c r="CS125" s="16"/>
      <c r="CT125" s="16"/>
      <c r="CU125" s="16"/>
      <c r="CV125" s="16"/>
      <c r="CW125" s="16">
        <f>IFERROR(__xludf.DUMMYFUNCTION("""COMPUTED_VALUE"""),1.0)</f>
        <v>1</v>
      </c>
      <c r="CX125" s="16"/>
      <c r="CY125" s="16"/>
      <c r="CZ125" s="16"/>
      <c r="DA125" s="16"/>
      <c r="DB125" s="16"/>
      <c r="DC125" s="16"/>
      <c r="DD125" s="16"/>
      <c r="DE125" s="16">
        <f>IFERROR(__xludf.DUMMYFUNCTION("""COMPUTED_VALUE"""),6.0)</f>
        <v>6</v>
      </c>
      <c r="DF125" s="16"/>
      <c r="DG125" s="16"/>
      <c r="DH125" s="16"/>
      <c r="DI125" s="16"/>
      <c r="DJ125" s="16"/>
      <c r="DK125" s="16"/>
      <c r="DL125" s="16"/>
      <c r="DM125" s="16">
        <f>IFERROR(__xludf.DUMMYFUNCTION("""COMPUTED_VALUE"""),5.0)</f>
        <v>5</v>
      </c>
      <c r="DN125" s="16"/>
      <c r="DO125" s="16"/>
      <c r="DP125" s="16"/>
      <c r="DQ125" s="16"/>
      <c r="DR125" s="16"/>
      <c r="DS125" s="16"/>
      <c r="DT125" s="16"/>
      <c r="DU125" s="16">
        <f>IFERROR(__xludf.DUMMYFUNCTION("""COMPUTED_VALUE"""),3.0)</f>
        <v>3</v>
      </c>
      <c r="DV125" s="16"/>
      <c r="DW125" s="16"/>
      <c r="DX125" s="16"/>
      <c r="DY125" s="16"/>
      <c r="DZ125" s="16"/>
      <c r="EA125" s="16"/>
      <c r="EB125" s="16"/>
      <c r="EC125" s="16">
        <f>IFERROR(__xludf.DUMMYFUNCTION("""COMPUTED_VALUE"""),8.0)</f>
        <v>8</v>
      </c>
      <c r="ED125" s="16"/>
      <c r="EE125" s="16"/>
      <c r="EF125" s="16"/>
      <c r="EG125" s="179"/>
      <c r="EH125" s="179"/>
      <c r="EI125" s="179"/>
      <c r="EJ125" s="179"/>
      <c r="EK125" s="179">
        <f>IFERROR(__xludf.DUMMYFUNCTION("""COMPUTED_VALUE"""),17.0)</f>
        <v>17</v>
      </c>
      <c r="EL125" s="179"/>
      <c r="EM125" s="179"/>
      <c r="EN125" s="179"/>
      <c r="EO125" s="16"/>
      <c r="EP125" s="16"/>
      <c r="EQ125" s="16">
        <f>IFERROR(__xludf.DUMMYFUNCTION("""COMPUTED_VALUE"""),4.0)</f>
        <v>4</v>
      </c>
      <c r="ER125" s="16">
        <f>IFERROR(__xludf.DUMMYFUNCTION("""COMPUTED_VALUE"""),3.0)</f>
        <v>3</v>
      </c>
      <c r="ES125" s="16"/>
      <c r="ET125" s="16"/>
      <c r="EU125" s="16"/>
      <c r="EV125" s="16"/>
      <c r="EW125" s="16"/>
      <c r="EX125" s="180"/>
      <c r="EY125" s="180"/>
      <c r="EZ125" s="180"/>
      <c r="FA125" s="180"/>
      <c r="FB125" s="180">
        <f>IFERROR(__xludf.DUMMYFUNCTION("""COMPUTED_VALUE"""),0.0)</f>
        <v>0</v>
      </c>
      <c r="FC125" s="180"/>
      <c r="FD125" s="180"/>
      <c r="FE125" s="180"/>
      <c r="FF125" s="180"/>
      <c r="FG125" s="180"/>
      <c r="FH125" s="180"/>
      <c r="FI125" s="180"/>
      <c r="FJ125" s="180">
        <f>IFERROR(__xludf.DUMMYFUNCTION("""COMPUTED_VALUE"""),0.032407407407407406)</f>
        <v>0.03240740741</v>
      </c>
      <c r="FK125" s="180"/>
      <c r="FL125" s="180"/>
      <c r="FM125" s="180"/>
      <c r="FN125" s="16"/>
      <c r="FO125" s="16"/>
      <c r="FP125" s="16"/>
      <c r="FQ125" s="16"/>
      <c r="FR125" s="16">
        <f>IFERROR(__xludf.DUMMYFUNCTION("""COMPUTED_VALUE"""),0.9675925925925926)</f>
        <v>0.9675925926</v>
      </c>
      <c r="FS125" s="16"/>
      <c r="FT125" s="16"/>
      <c r="FU125" s="16"/>
      <c r="FV125" s="16"/>
      <c r="FW125" s="16"/>
      <c r="FX125" s="16"/>
      <c r="FY125" s="16"/>
      <c r="FZ125" s="16">
        <f>IFERROR(__xludf.DUMMYFUNCTION("""COMPUTED_VALUE"""),8.0)</f>
        <v>8</v>
      </c>
      <c r="GA125" s="16"/>
      <c r="GB125" s="16"/>
      <c r="GC125" s="16"/>
      <c r="GD125" s="16" t="s">
        <v>333</v>
      </c>
    </row>
    <row r="126">
      <c r="A126" s="16">
        <f>IFERROR(__xludf.DUMMYFUNCTION("""COMPUTED_VALUE"""),12886.0)</f>
        <v>12886</v>
      </c>
      <c r="B126" s="16" t="str">
        <f>IFERROR(__xludf.DUMMYFUNCTION("""COMPUTED_VALUE"""),"Isaac Paredes")</f>
        <v>Isaac Paredes</v>
      </c>
      <c r="C126" s="16">
        <f>IFERROR(__xludf.DUMMYFUNCTION("""COMPUTED_VALUE"""),1.22)</f>
        <v>1.22</v>
      </c>
      <c r="D126" s="16" t="str">
        <f>IFERROR(__xludf.DUMMYFUNCTION("""COMPUTED_VALUE"""),"R")</f>
        <v>R</v>
      </c>
      <c r="E126" s="16"/>
      <c r="F126" s="16"/>
      <c r="G126" s="16">
        <f>IFERROR(__xludf.DUMMYFUNCTION("""COMPUTED_VALUE"""),542.0)</f>
        <v>542</v>
      </c>
      <c r="H126" s="16">
        <f>IFERROR(__xludf.DUMMYFUNCTION("""COMPUTED_VALUE"""),76.0)</f>
        <v>76</v>
      </c>
      <c r="I126" s="16" t="str">
        <f>IFERROR(__xludf.DUMMYFUNCTION("""COMPUTED_VALUE"""),"1p70")</f>
        <v>1p70</v>
      </c>
      <c r="J126" s="16">
        <f>IFERROR(__xludf.DUMMYFUNCTION("""COMPUTED_VALUE"""),10.0)</f>
        <v>10</v>
      </c>
      <c r="K126" s="16">
        <f>IFERROR(__xludf.DUMMYFUNCTION("""COMPUTED_VALUE"""),11.0)</f>
        <v>11</v>
      </c>
      <c r="L126" s="16">
        <f>IFERROR(__xludf.DUMMYFUNCTION("""COMPUTED_VALUE"""),1.0)</f>
        <v>1</v>
      </c>
      <c r="M126" s="16">
        <f>IFERROR(__xludf.DUMMYFUNCTION("""COMPUTED_VALUE"""),1.0)</f>
        <v>1</v>
      </c>
      <c r="N126" s="16">
        <f>IFERROR(__xludf.DUMMYFUNCTION("""COMPUTED_VALUE"""),1.0)</f>
        <v>1</v>
      </c>
      <c r="O126" s="16">
        <f>IFERROR(__xludf.DUMMYFUNCTION("""COMPUTED_VALUE"""),1.0)</f>
        <v>1</v>
      </c>
      <c r="P126" s="16">
        <f>IFERROR(__xludf.DUMMYFUNCTION("""COMPUTED_VALUE"""),11.0)</f>
        <v>11</v>
      </c>
      <c r="Q126" s="16">
        <f>IFERROR(__xludf.DUMMYFUNCTION("""COMPUTED_VALUE"""),19.0)</f>
        <v>19</v>
      </c>
      <c r="R126" s="16">
        <f>IFERROR(__xludf.DUMMYFUNCTION("""COMPUTED_VALUE"""),1.0)</f>
        <v>1</v>
      </c>
      <c r="S126" s="16">
        <f>IFERROR(__xludf.DUMMYFUNCTION("""COMPUTED_VALUE"""),3.0)</f>
        <v>3</v>
      </c>
      <c r="T126" s="16">
        <f>IFERROR(__xludf.DUMMYFUNCTION("""COMPUTED_VALUE"""),1.0)</f>
        <v>1</v>
      </c>
      <c r="U126" s="16">
        <f>IFERROR(__xludf.DUMMYFUNCTION("""COMPUTED_VALUE"""),3.0)</f>
        <v>3</v>
      </c>
      <c r="V126" s="16">
        <f>IFERROR(__xludf.DUMMYFUNCTION("""COMPUTED_VALUE"""),24.1)</f>
        <v>24.1</v>
      </c>
      <c r="W126" s="16">
        <f>IFERROR(__xludf.DUMMYFUNCTION("""COMPUTED_VALUE"""),13.2)</f>
        <v>13.2</v>
      </c>
      <c r="X126" s="16">
        <f>IFERROR(__xludf.DUMMYFUNCTION("""COMPUTED_VALUE"""),1.0)</f>
        <v>1</v>
      </c>
      <c r="Y126" s="16">
        <f>IFERROR(__xludf.DUMMYFUNCTION("""COMPUTED_VALUE"""),-1.0)</f>
        <v>-1</v>
      </c>
      <c r="Z126" s="16">
        <f>IFERROR(__xludf.DUMMYFUNCTION("""COMPUTED_VALUE"""),2.0)</f>
        <v>2</v>
      </c>
      <c r="AA126" s="16">
        <f>IFERROR(__xludf.DUMMYFUNCTION("""COMPUTED_VALUE"""),-2.0)</f>
        <v>-2</v>
      </c>
      <c r="AB126" s="16">
        <f>IFERROR(__xludf.DUMMYFUNCTION("""COMPUTED_VALUE"""),41.0)</f>
        <v>41</v>
      </c>
      <c r="AC126" s="16">
        <f>IFERROR(__xludf.DUMMYFUNCTION("""COMPUTED_VALUE"""),38.2)</f>
        <v>38.2</v>
      </c>
      <c r="AD126" s="16">
        <f>IFERROR(__xludf.DUMMYFUNCTION("""COMPUTED_VALUE"""),1.0)</f>
        <v>1</v>
      </c>
      <c r="AE126" s="16">
        <f>IFERROR(__xludf.DUMMYFUNCTION("""COMPUTED_VALUE"""),1.0)</f>
        <v>1</v>
      </c>
      <c r="AF126" s="16">
        <f>IFERROR(__xludf.DUMMYFUNCTION("""COMPUTED_VALUE"""),5.0)</f>
        <v>5</v>
      </c>
      <c r="AG126" s="16">
        <f>IFERROR(__xludf.DUMMYFUNCTION("""COMPUTED_VALUE"""),5.0)</f>
        <v>5</v>
      </c>
      <c r="AH126" s="16">
        <f>IFERROR(__xludf.DUMMYFUNCTION("""COMPUTED_VALUE"""),35.0)</f>
        <v>35</v>
      </c>
      <c r="AI126" s="16">
        <f>IFERROR(__xludf.DUMMYFUNCTION("""COMPUTED_VALUE"""),21.8)</f>
        <v>21.8</v>
      </c>
      <c r="AJ126" s="16">
        <f>IFERROR(__xludf.DUMMYFUNCTION("""COMPUTED_VALUE"""),0.0)</f>
        <v>0</v>
      </c>
      <c r="AK126" s="16">
        <f>IFERROR(__xludf.DUMMYFUNCTION("""COMPUTED_VALUE"""),-1.0)</f>
        <v>-1</v>
      </c>
      <c r="AL126" s="16">
        <f>IFERROR(__xludf.DUMMYFUNCTION("""COMPUTED_VALUE"""),0.0)</f>
        <v>0</v>
      </c>
      <c r="AM126" s="16">
        <f>IFERROR(__xludf.DUMMYFUNCTION("""COMPUTED_VALUE"""),-5.0)</f>
        <v>-5</v>
      </c>
      <c r="AN126" s="16">
        <f>IFERROR(__xludf.DUMMYFUNCTION("""COMPUTED_VALUE"""),1.8)</f>
        <v>1.8</v>
      </c>
      <c r="AO126" s="16">
        <f>IFERROR(__xludf.DUMMYFUNCTION("""COMPUTED_VALUE"""),1.8)</f>
        <v>1.8</v>
      </c>
      <c r="AP126" s="16">
        <f>IFERROR(__xludf.DUMMYFUNCTION("""COMPUTED_VALUE"""),-1.0)</f>
        <v>-1</v>
      </c>
      <c r="AQ126" s="16">
        <f>IFERROR(__xludf.DUMMYFUNCTION("""COMPUTED_VALUE"""),-1.0)</f>
        <v>-1</v>
      </c>
      <c r="AR126" s="16">
        <f>IFERROR(__xludf.DUMMYFUNCTION("""COMPUTED_VALUE"""),-2.0)</f>
        <v>-2</v>
      </c>
      <c r="AS126" s="16">
        <f>IFERROR(__xludf.DUMMYFUNCTION("""COMPUTED_VALUE"""),-2.0)</f>
        <v>-2</v>
      </c>
      <c r="AT126" s="16">
        <f>IFERROR(__xludf.DUMMYFUNCTION("""COMPUTED_VALUE"""),3.0)</f>
        <v>3</v>
      </c>
      <c r="AU126" s="16">
        <f>IFERROR(__xludf.DUMMYFUNCTION("""COMPUTED_VALUE"""),3.0)</f>
        <v>3</v>
      </c>
      <c r="AV126" s="16">
        <f>IFERROR(__xludf.DUMMYFUNCTION("""COMPUTED_VALUE"""),3.0)</f>
        <v>3</v>
      </c>
      <c r="AW126" s="16">
        <f>IFERROR(__xludf.DUMMYFUNCTION("""COMPUTED_VALUE"""),3.0)</f>
        <v>3</v>
      </c>
      <c r="AX126" s="16">
        <f>IFERROR(__xludf.DUMMYFUNCTION("""COMPUTED_VALUE"""),1.0)</f>
        <v>1</v>
      </c>
      <c r="AY126" s="16">
        <f>IFERROR(__xludf.DUMMYFUNCTION("""COMPUTED_VALUE"""),0.0)</f>
        <v>0</v>
      </c>
      <c r="AZ126" s="16">
        <f>IFERROR(__xludf.DUMMYFUNCTION("""COMPUTED_VALUE"""),3.0)</f>
        <v>3</v>
      </c>
      <c r="BA126" s="16">
        <f>IFERROR(__xludf.DUMMYFUNCTION("""COMPUTED_VALUE"""),0.0)</f>
        <v>0</v>
      </c>
      <c r="BB126" s="16">
        <f>IFERROR(__xludf.DUMMYFUNCTION("""COMPUTED_VALUE"""),5.0)</f>
        <v>5</v>
      </c>
      <c r="BC126" s="16">
        <f>IFERROR(__xludf.DUMMYFUNCTION("""COMPUTED_VALUE"""),5.0)</f>
        <v>5</v>
      </c>
      <c r="BD126" s="16">
        <f>IFERROR(__xludf.DUMMYFUNCTION("""COMPUTED_VALUE"""),1.0)</f>
        <v>1</v>
      </c>
      <c r="BE126" s="16">
        <f>IFERROR(__xludf.DUMMYFUNCTION("""COMPUTED_VALUE"""),1.0)</f>
        <v>1</v>
      </c>
      <c r="BF126" s="16">
        <f>IFERROR(__xludf.DUMMYFUNCTION("""COMPUTED_VALUE"""),1.0)</f>
        <v>1</v>
      </c>
      <c r="BG126" s="16">
        <f>IFERROR(__xludf.DUMMYFUNCTION("""COMPUTED_VALUE"""),1.0)</f>
        <v>1</v>
      </c>
      <c r="BH126" s="16">
        <f>IFERROR(__xludf.DUMMYFUNCTION("""COMPUTED_VALUE"""),2.0)</f>
        <v>2</v>
      </c>
      <c r="BI126" s="16">
        <f>IFERROR(__xludf.DUMMYFUNCTION("""COMPUTED_VALUE"""),2.0)</f>
        <v>2</v>
      </c>
      <c r="BJ126" s="16">
        <f>IFERROR(__xludf.DUMMYFUNCTION("""COMPUTED_VALUE"""),18.0)</f>
        <v>18</v>
      </c>
      <c r="BK126" s="16">
        <f>IFERROR(__xludf.DUMMYFUNCTION("""COMPUTED_VALUE"""),17.0)</f>
        <v>17</v>
      </c>
      <c r="BL126" s="16">
        <f>IFERROR(__xludf.DUMMYFUNCTION("""COMPUTED_VALUE"""),-1.0)</f>
        <v>-1</v>
      </c>
      <c r="BM126" s="16">
        <f>IFERROR(__xludf.DUMMYFUNCTION("""COMPUTED_VALUE"""),-1.0)</f>
        <v>-1</v>
      </c>
      <c r="BN126" s="16">
        <f>IFERROR(__xludf.DUMMYFUNCTION("""COMPUTED_VALUE"""),-2.0)</f>
        <v>-2</v>
      </c>
      <c r="BO126" s="16">
        <f>IFERROR(__xludf.DUMMYFUNCTION("""COMPUTED_VALUE"""),-2.0)</f>
        <v>-2</v>
      </c>
      <c r="BP126" s="16">
        <f>IFERROR(__xludf.DUMMYFUNCTION("""COMPUTED_VALUE"""),4.0)</f>
        <v>4</v>
      </c>
      <c r="BQ126" s="16">
        <f>IFERROR(__xludf.DUMMYFUNCTION("""COMPUTED_VALUE"""),2.0)</f>
        <v>2</v>
      </c>
      <c r="BR126" s="16">
        <f>IFERROR(__xludf.DUMMYFUNCTION("""COMPUTED_VALUE"""),6.0)</f>
        <v>6</v>
      </c>
      <c r="BS126" s="16" t="str">
        <f>IFERROR(__xludf.DUMMYFUNCTION("""COMPUTED_VALUE"""),"3/- (13-5)")</f>
        <v>3/- (13-5)</v>
      </c>
      <c r="BT126" s="16" t="str">
        <f>IFERROR(__xludf.DUMMYFUNCTION("""COMPUTED_VALUE"""),"E")</f>
        <v>E</v>
      </c>
      <c r="BU126" s="16">
        <f>IFERROR(__xludf.DUMMYFUNCTION("""COMPUTED_VALUE"""),11.0)</f>
        <v>11</v>
      </c>
      <c r="BV126" s="16">
        <f>IFERROR(__xludf.DUMMYFUNCTION("""COMPUTED_VALUE"""),0.0)</f>
        <v>0</v>
      </c>
      <c r="BW126" s="16">
        <f>IFERROR(__xludf.DUMMYFUNCTION("""COMPUTED_VALUE"""),0.0)</f>
        <v>0</v>
      </c>
      <c r="BX126" s="16">
        <f>IFERROR(__xludf.DUMMYFUNCTION("""COMPUTED_VALUE"""),0.0)</f>
        <v>0</v>
      </c>
      <c r="BY126" s="16">
        <f>IFERROR(__xludf.DUMMYFUNCTION("""COMPUTED_VALUE"""),0.0)</f>
        <v>0</v>
      </c>
      <c r="BZ126" s="16" t="str">
        <f>IFERROR(__xludf.DUMMYFUNCTION("""COMPUTED_VALUE"""),"D")</f>
        <v>D</v>
      </c>
      <c r="CA126" s="16" t="str">
        <f>IFERROR(__xludf.DUMMYFUNCTION("""COMPUTED_VALUE"""),"B")</f>
        <v>B</v>
      </c>
      <c r="CB126" s="16">
        <f>IFERROR(__xludf.DUMMYFUNCTION("""COMPUTED_VALUE"""),0.0)</f>
        <v>0</v>
      </c>
      <c r="CC126" s="16">
        <f>IFERROR(__xludf.DUMMYFUNCTION("""COMPUTED_VALUE"""),1.0)</f>
        <v>1</v>
      </c>
      <c r="CD126" s="16">
        <f>IFERROR(__xludf.DUMMYFUNCTION("""COMPUTED_VALUE"""),0.0)</f>
        <v>0</v>
      </c>
      <c r="CE126" s="16">
        <f>IFERROR(__xludf.DUMMYFUNCTION("""COMPUTED_VALUE"""),2.0)</f>
        <v>2</v>
      </c>
      <c r="CF126" s="16">
        <f>IFERROR(__xludf.DUMMYFUNCTION("""COMPUTED_VALUE"""),1.0)</f>
        <v>1</v>
      </c>
      <c r="CG126" s="16">
        <f>IFERROR(__xludf.DUMMYFUNCTION("""COMPUTED_VALUE"""),9.0)</f>
        <v>9</v>
      </c>
      <c r="CH126" s="16">
        <f>IFERROR(__xludf.DUMMYFUNCTION("""COMPUTED_VALUE"""),-1.0)</f>
        <v>-1</v>
      </c>
      <c r="CI126" s="179">
        <f>IFERROR(__xludf.DUMMYFUNCTION("""COMPUTED_VALUE"""),9.0)</f>
        <v>9</v>
      </c>
      <c r="CJ126" s="16"/>
      <c r="CK126" s="16">
        <f>IFERROR(__xludf.DUMMYFUNCTION("""COMPUTED_VALUE"""),312.0)</f>
        <v>312</v>
      </c>
      <c r="CL126" s="16"/>
      <c r="CM126" s="16">
        <f>IFERROR(__xludf.DUMMYFUNCTION("""COMPUTED_VALUE"""),319.0)</f>
        <v>319</v>
      </c>
      <c r="CN126" s="16"/>
      <c r="CO126" s="16"/>
      <c r="CP126" s="16"/>
      <c r="CQ126" s="16"/>
      <c r="CR126" s="16" t="str">
        <f>IFERROR(__xludf.DUMMYFUNCTION("""COMPUTED_VALUE"""),"3b-3e19 1b-3e12")</f>
        <v>3b-3e19 1b-3e12</v>
      </c>
      <c r="CS126" s="16"/>
      <c r="CT126" s="16">
        <f>IFERROR(__xludf.DUMMYFUNCTION("""COMPUTED_VALUE"""),3.0)</f>
        <v>3</v>
      </c>
      <c r="CU126" s="16"/>
      <c r="CV126" s="16">
        <f>IFERROR(__xludf.DUMMYFUNCTION("""COMPUTED_VALUE"""),3.0)</f>
        <v>3</v>
      </c>
      <c r="CW126" s="16"/>
      <c r="CX126" s="16"/>
      <c r="CY126" s="16"/>
      <c r="CZ126" s="16"/>
      <c r="DA126" s="16"/>
      <c r="DB126" s="16">
        <f>IFERROR(__xludf.DUMMYFUNCTION("""COMPUTED_VALUE"""),12.0)</f>
        <v>12</v>
      </c>
      <c r="DC126" s="16"/>
      <c r="DD126" s="16">
        <f>IFERROR(__xludf.DUMMYFUNCTION("""COMPUTED_VALUE"""),19.0)</f>
        <v>19</v>
      </c>
      <c r="DE126" s="16"/>
      <c r="DF126" s="16"/>
      <c r="DG126" s="16"/>
      <c r="DH126" s="16"/>
      <c r="DI126" s="16"/>
      <c r="DJ126" s="16">
        <f>IFERROR(__xludf.DUMMYFUNCTION("""COMPUTED_VALUE"""),1.0)</f>
        <v>1</v>
      </c>
      <c r="DK126" s="16"/>
      <c r="DL126" s="16">
        <f>IFERROR(__xludf.DUMMYFUNCTION("""COMPUTED_VALUE"""),1.0)</f>
        <v>1</v>
      </c>
      <c r="DM126" s="16"/>
      <c r="DN126" s="16"/>
      <c r="DO126" s="16"/>
      <c r="DP126" s="16"/>
      <c r="DQ126" s="16"/>
      <c r="DR126" s="16">
        <f>IFERROR(__xludf.DUMMYFUNCTION("""COMPUTED_VALUE"""),1.0)</f>
        <v>1</v>
      </c>
      <c r="DS126" s="16"/>
      <c r="DT126" s="16">
        <f>IFERROR(__xludf.DUMMYFUNCTION("""COMPUTED_VALUE"""),0.0)</f>
        <v>0</v>
      </c>
      <c r="DU126" s="16"/>
      <c r="DV126" s="16"/>
      <c r="DW126" s="16"/>
      <c r="DX126" s="16"/>
      <c r="DY126" s="16"/>
      <c r="DZ126" s="16">
        <f>IFERROR(__xludf.DUMMYFUNCTION("""COMPUTED_VALUE"""),2.0)</f>
        <v>2</v>
      </c>
      <c r="EA126" s="16"/>
      <c r="EB126" s="16">
        <f>IFERROR(__xludf.DUMMYFUNCTION("""COMPUTED_VALUE"""),1.0)</f>
        <v>1</v>
      </c>
      <c r="EC126" s="16"/>
      <c r="ED126" s="16"/>
      <c r="EE126" s="16"/>
      <c r="EF126" s="16"/>
      <c r="EG126" s="179"/>
      <c r="EH126" s="179">
        <f>IFERROR(__xludf.DUMMYFUNCTION("""COMPUTED_VALUE"""),11.0)</f>
        <v>11</v>
      </c>
      <c r="EI126" s="179"/>
      <c r="EJ126" s="179">
        <f>IFERROR(__xludf.DUMMYFUNCTION("""COMPUTED_VALUE"""),10.0)</f>
        <v>10</v>
      </c>
      <c r="EK126" s="179"/>
      <c r="EL126" s="179"/>
      <c r="EM126" s="179"/>
      <c r="EN126" s="179"/>
      <c r="EO126" s="16"/>
      <c r="EP126" s="16"/>
      <c r="EQ126" s="16">
        <f>IFERROR(__xludf.DUMMYFUNCTION("""COMPUTED_VALUE"""),4.0)</f>
        <v>4</v>
      </c>
      <c r="ER126" s="16">
        <f>IFERROR(__xludf.DUMMYFUNCTION("""COMPUTED_VALUE"""),3.0)</f>
        <v>3</v>
      </c>
      <c r="ES126" s="16"/>
      <c r="ET126" s="16"/>
      <c r="EU126" s="16"/>
      <c r="EV126" s="16"/>
      <c r="EW126" s="16"/>
      <c r="EX126" s="180"/>
      <c r="EY126" s="180">
        <f>IFERROR(__xludf.DUMMYFUNCTION("""COMPUTED_VALUE"""),0.2)</f>
        <v>0.2</v>
      </c>
      <c r="EZ126" s="180"/>
      <c r="FA126" s="180">
        <f>IFERROR(__xludf.DUMMYFUNCTION("""COMPUTED_VALUE"""),0.2)</f>
        <v>0.2</v>
      </c>
      <c r="FB126" s="180"/>
      <c r="FC126" s="180"/>
      <c r="FD126" s="180"/>
      <c r="FE126" s="180"/>
      <c r="FF126" s="180"/>
      <c r="FG126" s="180">
        <f>IFERROR(__xludf.DUMMYFUNCTION("""COMPUTED_VALUE"""),0.2175925925925926)</f>
        <v>0.2175925926</v>
      </c>
      <c r="FH126" s="180"/>
      <c r="FI126" s="180">
        <f>IFERROR(__xludf.DUMMYFUNCTION("""COMPUTED_VALUE"""),0.22685185185185186)</f>
        <v>0.2268518519</v>
      </c>
      <c r="FJ126" s="180"/>
      <c r="FK126" s="180"/>
      <c r="FL126" s="180"/>
      <c r="FM126" s="180"/>
      <c r="FN126" s="16"/>
      <c r="FO126" s="16">
        <f>IFERROR(__xludf.DUMMYFUNCTION("""COMPUTED_VALUE"""),0.625925925925926)</f>
        <v>0.6259259259</v>
      </c>
      <c r="FP126" s="16"/>
      <c r="FQ126" s="16">
        <f>IFERROR(__xludf.DUMMYFUNCTION("""COMPUTED_VALUE"""),0.6185185185185186)</f>
        <v>0.6185185185</v>
      </c>
      <c r="FR126" s="16"/>
      <c r="FS126" s="16"/>
      <c r="FT126" s="16"/>
      <c r="FU126" s="16"/>
      <c r="FV126" s="16"/>
      <c r="FW126" s="16">
        <f>IFERROR(__xludf.DUMMYFUNCTION("""COMPUTED_VALUE"""),-6.0)</f>
        <v>-6</v>
      </c>
      <c r="FX126" s="16"/>
      <c r="FY126" s="16">
        <f>IFERROR(__xludf.DUMMYFUNCTION("""COMPUTED_VALUE"""),-6.0)</f>
        <v>-6</v>
      </c>
      <c r="FZ126" s="16"/>
      <c r="GA126" s="16"/>
      <c r="GB126" s="16"/>
      <c r="GC126" s="16"/>
      <c r="GD126" s="16" t="s">
        <v>272</v>
      </c>
    </row>
    <row r="127">
      <c r="A127" s="16">
        <f>IFERROR(__xludf.DUMMYFUNCTION("""COMPUTED_VALUE"""),13021.0)</f>
        <v>13021</v>
      </c>
      <c r="B127" s="16" t="str">
        <f>IFERROR(__xludf.DUMMYFUNCTION("""COMPUTED_VALUE"""),"Jose Miranda")</f>
        <v>Jose Miranda</v>
      </c>
      <c r="C127" s="16">
        <f>IFERROR(__xludf.DUMMYFUNCTION("""COMPUTED_VALUE"""),1.15)</f>
        <v>1.15</v>
      </c>
      <c r="D127" s="16" t="str">
        <f>IFERROR(__xludf.DUMMYFUNCTION("""COMPUTED_VALUE"""),"R")</f>
        <v>R</v>
      </c>
      <c r="E127" s="16"/>
      <c r="F127" s="16"/>
      <c r="G127" s="16">
        <f>IFERROR(__xludf.DUMMYFUNCTION("""COMPUTED_VALUE"""),401.0)</f>
        <v>401</v>
      </c>
      <c r="H127" s="16">
        <f>IFERROR(__xludf.DUMMYFUNCTION("""COMPUTED_VALUE"""),18.0)</f>
        <v>18</v>
      </c>
      <c r="I127" s="16" t="str">
        <f>IFERROR(__xludf.DUMMYFUNCTION("""COMPUTED_VALUE"""),"2p60")</f>
        <v>2p60</v>
      </c>
      <c r="J127" s="16">
        <f>IFERROR(__xludf.DUMMYFUNCTION("""COMPUTED_VALUE"""),16.0)</f>
        <v>16</v>
      </c>
      <c r="K127" s="16">
        <f>IFERROR(__xludf.DUMMYFUNCTION("""COMPUTED_VALUE"""),5.0)</f>
        <v>5</v>
      </c>
      <c r="L127" s="16">
        <f>IFERROR(__xludf.DUMMYFUNCTION("""COMPUTED_VALUE"""),1.0)</f>
        <v>1</v>
      </c>
      <c r="M127" s="16">
        <f>IFERROR(__xludf.DUMMYFUNCTION("""COMPUTED_VALUE"""),2.0)</f>
        <v>2</v>
      </c>
      <c r="N127" s="16">
        <f>IFERROR(__xludf.DUMMYFUNCTION("""COMPUTED_VALUE"""),1.0)</f>
        <v>1</v>
      </c>
      <c r="O127" s="16">
        <f>IFERROR(__xludf.DUMMYFUNCTION("""COMPUTED_VALUE"""),2.0)</f>
        <v>2</v>
      </c>
      <c r="P127" s="16">
        <f>IFERROR(__xludf.DUMMYFUNCTION("""COMPUTED_VALUE"""),0.0)</f>
        <v>0</v>
      </c>
      <c r="Q127" s="16">
        <f>IFERROR(__xludf.DUMMYFUNCTION("""COMPUTED_VALUE"""),0.0)</f>
        <v>0</v>
      </c>
      <c r="R127" s="16">
        <f>IFERROR(__xludf.DUMMYFUNCTION("""COMPUTED_VALUE"""),-3.0)</f>
        <v>-3</v>
      </c>
      <c r="S127" s="16">
        <f>IFERROR(__xludf.DUMMYFUNCTION("""COMPUTED_VALUE"""),-2.0)</f>
        <v>-2</v>
      </c>
      <c r="T127" s="16">
        <f>IFERROR(__xludf.DUMMYFUNCTION("""COMPUTED_VALUE"""),-3.0)</f>
        <v>-3</v>
      </c>
      <c r="U127" s="16">
        <f>IFERROR(__xludf.DUMMYFUNCTION("""COMPUTED_VALUE"""),-2.0)</f>
        <v>-2</v>
      </c>
      <c r="V127" s="16">
        <f>IFERROR(__xludf.DUMMYFUNCTION("""COMPUTED_VALUE"""),18.3)</f>
        <v>18.3</v>
      </c>
      <c r="W127" s="16">
        <f>IFERROR(__xludf.DUMMYFUNCTION("""COMPUTED_VALUE"""),35.5)</f>
        <v>35.5</v>
      </c>
      <c r="X127" s="16">
        <f>IFERROR(__xludf.DUMMYFUNCTION("""COMPUTED_VALUE"""),0.0)</f>
        <v>0</v>
      </c>
      <c r="Y127" s="16">
        <f>IFERROR(__xludf.DUMMYFUNCTION("""COMPUTED_VALUE"""),3.0)</f>
        <v>3</v>
      </c>
      <c r="Z127" s="16">
        <f>IFERROR(__xludf.DUMMYFUNCTION("""COMPUTED_VALUE"""),0.0)</f>
        <v>0</v>
      </c>
      <c r="AA127" s="16">
        <f>IFERROR(__xludf.DUMMYFUNCTION("""COMPUTED_VALUE"""),6.0)</f>
        <v>6</v>
      </c>
      <c r="AB127" s="16">
        <f>IFERROR(__xludf.DUMMYFUNCTION("""COMPUTED_VALUE"""),21.3)</f>
        <v>21.3</v>
      </c>
      <c r="AC127" s="16">
        <f>IFERROR(__xludf.DUMMYFUNCTION("""COMPUTED_VALUE"""),38.5)</f>
        <v>38.5</v>
      </c>
      <c r="AD127" s="16">
        <f>IFERROR(__xludf.DUMMYFUNCTION("""COMPUTED_VALUE"""),-1.0)</f>
        <v>-1</v>
      </c>
      <c r="AE127" s="16">
        <f>IFERROR(__xludf.DUMMYFUNCTION("""COMPUTED_VALUE"""),1.0)</f>
        <v>1</v>
      </c>
      <c r="AF127" s="16">
        <f>IFERROR(__xludf.DUMMYFUNCTION("""COMPUTED_VALUE"""),-5.0)</f>
        <v>-5</v>
      </c>
      <c r="AG127" s="16">
        <f>IFERROR(__xludf.DUMMYFUNCTION("""COMPUTED_VALUE"""),5.0)</f>
        <v>5</v>
      </c>
      <c r="AH127" s="16">
        <f>IFERROR(__xludf.DUMMYFUNCTION("""COMPUTED_VALUE"""),33.2)</f>
        <v>33.2</v>
      </c>
      <c r="AI127" s="16">
        <f>IFERROR(__xludf.DUMMYFUNCTION("""COMPUTED_VALUE"""),54.9)</f>
        <v>54.9</v>
      </c>
      <c r="AJ127" s="16">
        <f>IFERROR(__xludf.DUMMYFUNCTION("""COMPUTED_VALUE"""),0.0)</f>
        <v>0</v>
      </c>
      <c r="AK127" s="16">
        <f>IFERROR(__xludf.DUMMYFUNCTION("""COMPUTED_VALUE"""),2.0)</f>
        <v>2</v>
      </c>
      <c r="AL127" s="16">
        <f>IFERROR(__xludf.DUMMYFUNCTION("""COMPUTED_VALUE"""),0.0)</f>
        <v>0</v>
      </c>
      <c r="AM127" s="16">
        <f>IFERROR(__xludf.DUMMYFUNCTION("""COMPUTED_VALUE"""),10.0)</f>
        <v>10</v>
      </c>
      <c r="AN127" s="16">
        <f>IFERROR(__xludf.DUMMYFUNCTION("""COMPUTED_VALUE"""),3.2)</f>
        <v>3.2</v>
      </c>
      <c r="AO127" s="16">
        <f>IFERROR(__xludf.DUMMYFUNCTION("""COMPUTED_VALUE"""),1.2)</f>
        <v>1.2</v>
      </c>
      <c r="AP127" s="16">
        <f>IFERROR(__xludf.DUMMYFUNCTION("""COMPUTED_VALUE"""),1.0)</f>
        <v>1</v>
      </c>
      <c r="AQ127" s="16">
        <f>IFERROR(__xludf.DUMMYFUNCTION("""COMPUTED_VALUE"""),-2.0)</f>
        <v>-2</v>
      </c>
      <c r="AR127" s="16">
        <f>IFERROR(__xludf.DUMMYFUNCTION("""COMPUTED_VALUE"""),2.0)</f>
        <v>2</v>
      </c>
      <c r="AS127" s="16">
        <f>IFERROR(__xludf.DUMMYFUNCTION("""COMPUTED_VALUE"""),-4.0)</f>
        <v>-4</v>
      </c>
      <c r="AT127" s="16"/>
      <c r="AU127" s="16">
        <f>IFERROR(__xludf.DUMMYFUNCTION("""COMPUTED_VALUE"""),2.0)</f>
        <v>2</v>
      </c>
      <c r="AV127" s="16">
        <f>IFERROR(__xludf.DUMMYFUNCTION("""COMPUTED_VALUE"""),-3.0)</f>
        <v>-3</v>
      </c>
      <c r="AW127" s="16">
        <f>IFERROR(__xludf.DUMMYFUNCTION("""COMPUTED_VALUE"""),2.0)</f>
        <v>2</v>
      </c>
      <c r="AX127" s="16">
        <f>IFERROR(__xludf.DUMMYFUNCTION("""COMPUTED_VALUE"""),-3.0)</f>
        <v>-3</v>
      </c>
      <c r="AY127" s="16">
        <f>IFERROR(__xludf.DUMMYFUNCTION("""COMPUTED_VALUE"""),0.0)</f>
        <v>0</v>
      </c>
      <c r="AZ127" s="16">
        <f>IFERROR(__xludf.DUMMYFUNCTION("""COMPUTED_VALUE"""),-9.0)</f>
        <v>-9</v>
      </c>
      <c r="BA127" s="16">
        <f>IFERROR(__xludf.DUMMYFUNCTION("""COMPUTED_VALUE"""),0.0)</f>
        <v>0</v>
      </c>
      <c r="BB127" s="16">
        <f>IFERROR(__xludf.DUMMYFUNCTION("""COMPUTED_VALUE"""),5.0)</f>
        <v>5</v>
      </c>
      <c r="BC127" s="16">
        <f>IFERROR(__xludf.DUMMYFUNCTION("""COMPUTED_VALUE"""),5.0)</f>
        <v>5</v>
      </c>
      <c r="BD127" s="16">
        <f>IFERROR(__xludf.DUMMYFUNCTION("""COMPUTED_VALUE"""),1.0)</f>
        <v>1</v>
      </c>
      <c r="BE127" s="16">
        <f>IFERROR(__xludf.DUMMYFUNCTION("""COMPUTED_VALUE"""),1.0)</f>
        <v>1</v>
      </c>
      <c r="BF127" s="16">
        <f>IFERROR(__xludf.DUMMYFUNCTION("""COMPUTED_VALUE"""),1.0)</f>
        <v>1</v>
      </c>
      <c r="BG127" s="16">
        <f>IFERROR(__xludf.DUMMYFUNCTION("""COMPUTED_VALUE"""),1.0)</f>
        <v>1</v>
      </c>
      <c r="BH127" s="16">
        <f>IFERROR(__xludf.DUMMYFUNCTION("""COMPUTED_VALUE"""),1.0)</f>
        <v>1</v>
      </c>
      <c r="BI127" s="16">
        <f>IFERROR(__xludf.DUMMYFUNCTION("""COMPUTED_VALUE"""),1.0)</f>
        <v>1</v>
      </c>
      <c r="BJ127" s="16">
        <f>IFERROR(__xludf.DUMMYFUNCTION("""COMPUTED_VALUE"""),24.0)</f>
        <v>24</v>
      </c>
      <c r="BK127" s="16">
        <f>IFERROR(__xludf.DUMMYFUNCTION("""COMPUTED_VALUE"""),24.0)</f>
        <v>24</v>
      </c>
      <c r="BL127" s="16">
        <f>IFERROR(__xludf.DUMMYFUNCTION("""COMPUTED_VALUE"""),-2.0)</f>
        <v>-2</v>
      </c>
      <c r="BM127" s="16">
        <f>IFERROR(__xludf.DUMMYFUNCTION("""COMPUTED_VALUE"""),-2.0)</f>
        <v>-2</v>
      </c>
      <c r="BN127" s="16">
        <f>IFERROR(__xludf.DUMMYFUNCTION("""COMPUTED_VALUE"""),-4.0)</f>
        <v>-4</v>
      </c>
      <c r="BO127" s="16">
        <f>IFERROR(__xludf.DUMMYFUNCTION("""COMPUTED_VALUE"""),-4.0)</f>
        <v>-4</v>
      </c>
      <c r="BP127" s="16">
        <f>IFERROR(__xludf.DUMMYFUNCTION("""COMPUTED_VALUE"""),-6.0)</f>
        <v>-6</v>
      </c>
      <c r="BQ127" s="16">
        <f>IFERROR(__xludf.DUMMYFUNCTION("""COMPUTED_VALUE"""),3.0)</f>
        <v>3</v>
      </c>
      <c r="BR127" s="16">
        <f>IFERROR(__xludf.DUMMYFUNCTION("""COMPUTED_VALUE"""),-3.0)</f>
        <v>-3</v>
      </c>
      <c r="BS127" s="16" t="str">
        <f>IFERROR(__xludf.DUMMYFUNCTION("""COMPUTED_VALUE"""),"7/11 (13-5)")</f>
        <v>7/11 (13-5)</v>
      </c>
      <c r="BT127" s="16" t="str">
        <f>IFERROR(__xludf.DUMMYFUNCTION("""COMPUTED_VALUE"""),"E")</f>
        <v>E</v>
      </c>
      <c r="BU127" s="16">
        <f>IFERROR(__xludf.DUMMYFUNCTION("""COMPUTED_VALUE"""),10.0)</f>
        <v>10</v>
      </c>
      <c r="BV127" s="16">
        <f>IFERROR(__xludf.DUMMYFUNCTION("""COMPUTED_VALUE"""),0.0)</f>
        <v>0</v>
      </c>
      <c r="BW127" s="16">
        <f>IFERROR(__xludf.DUMMYFUNCTION("""COMPUTED_VALUE"""),0.0)</f>
        <v>0</v>
      </c>
      <c r="BX127" s="16">
        <f>IFERROR(__xludf.DUMMYFUNCTION("""COMPUTED_VALUE"""),0.0)</f>
        <v>0</v>
      </c>
      <c r="BY127" s="16">
        <f>IFERROR(__xludf.DUMMYFUNCTION("""COMPUTED_VALUE"""),0.0)</f>
        <v>0</v>
      </c>
      <c r="BZ127" s="16" t="str">
        <f>IFERROR(__xludf.DUMMYFUNCTION("""COMPUTED_VALUE"""),"D")</f>
        <v>D</v>
      </c>
      <c r="CA127" s="16" t="str">
        <f>IFERROR(__xludf.DUMMYFUNCTION("""COMPUTED_VALUE"""),"C")</f>
        <v>C</v>
      </c>
      <c r="CB127" s="16">
        <f>IFERROR(__xludf.DUMMYFUNCTION("""COMPUTED_VALUE"""),0.0)</f>
        <v>0</v>
      </c>
      <c r="CC127" s="16">
        <f>IFERROR(__xludf.DUMMYFUNCTION("""COMPUTED_VALUE"""),0.0)</f>
        <v>0</v>
      </c>
      <c r="CD127" s="16">
        <f>IFERROR(__xludf.DUMMYFUNCTION("""COMPUTED_VALUE"""),0.0)</f>
        <v>0</v>
      </c>
      <c r="CE127" s="16">
        <f>IFERROR(__xludf.DUMMYFUNCTION("""COMPUTED_VALUE"""),0.0)</f>
        <v>0</v>
      </c>
      <c r="CF127" s="16">
        <f>IFERROR(__xludf.DUMMYFUNCTION("""COMPUTED_VALUE"""),2.0)</f>
        <v>2</v>
      </c>
      <c r="CG127" s="16">
        <f>IFERROR(__xludf.DUMMYFUNCTION("""COMPUTED_VALUE"""),-17.0)</f>
        <v>-17</v>
      </c>
      <c r="CH127" s="16">
        <f>IFERROR(__xludf.DUMMYFUNCTION("""COMPUTED_VALUE"""),14.0)</f>
        <v>14</v>
      </c>
      <c r="CI127" s="179">
        <f>IFERROR(__xludf.DUMMYFUNCTION("""COMPUTED_VALUE"""),9.0)</f>
        <v>9</v>
      </c>
      <c r="CJ127" s="16"/>
      <c r="CK127" s="16">
        <f>IFERROR(__xludf.DUMMYFUNCTION("""COMPUTED_VALUE"""),409.0)</f>
        <v>409</v>
      </c>
      <c r="CL127" s="16"/>
      <c r="CM127" s="16">
        <f>IFERROR(__xludf.DUMMYFUNCTION("""COMPUTED_VALUE"""),414.0)</f>
        <v>414</v>
      </c>
      <c r="CN127" s="16">
        <f>IFERROR(__xludf.DUMMYFUNCTION("""COMPUTED_VALUE"""),548.0)</f>
        <v>548</v>
      </c>
      <c r="CO127" s="16"/>
      <c r="CP127" s="16"/>
      <c r="CQ127" s="16"/>
      <c r="CR127" s="16" t="str">
        <f>IFERROR(__xludf.DUMMYFUNCTION("""COMPUTED_VALUE"""),"3b-4e14 1b-4e9 ss-5e48")</f>
        <v>3b-4e14 1b-4e9 ss-5e48</v>
      </c>
      <c r="CS127" s="16"/>
      <c r="CT127" s="16">
        <f>IFERROR(__xludf.DUMMYFUNCTION("""COMPUTED_VALUE"""),4.0)</f>
        <v>4</v>
      </c>
      <c r="CU127" s="16"/>
      <c r="CV127" s="16">
        <f>IFERROR(__xludf.DUMMYFUNCTION("""COMPUTED_VALUE"""),4.0)</f>
        <v>4</v>
      </c>
      <c r="CW127" s="16">
        <f>IFERROR(__xludf.DUMMYFUNCTION("""COMPUTED_VALUE"""),5.0)</f>
        <v>5</v>
      </c>
      <c r="CX127" s="16"/>
      <c r="CY127" s="16"/>
      <c r="CZ127" s="16"/>
      <c r="DA127" s="16"/>
      <c r="DB127" s="16">
        <f>IFERROR(__xludf.DUMMYFUNCTION("""COMPUTED_VALUE"""),9.0)</f>
        <v>9</v>
      </c>
      <c r="DC127" s="16"/>
      <c r="DD127" s="16">
        <f>IFERROR(__xludf.DUMMYFUNCTION("""COMPUTED_VALUE"""),14.0)</f>
        <v>14</v>
      </c>
      <c r="DE127" s="16">
        <f>IFERROR(__xludf.DUMMYFUNCTION("""COMPUTED_VALUE"""),48.0)</f>
        <v>48</v>
      </c>
      <c r="DF127" s="16"/>
      <c r="DG127" s="16"/>
      <c r="DH127" s="16"/>
      <c r="DI127" s="16"/>
      <c r="DJ127" s="16">
        <f>IFERROR(__xludf.DUMMYFUNCTION("""COMPUTED_VALUE"""),0.0)</f>
        <v>0</v>
      </c>
      <c r="DK127" s="16"/>
      <c r="DL127" s="16">
        <f>IFERROR(__xludf.DUMMYFUNCTION("""COMPUTED_VALUE"""),0.0)</f>
        <v>0</v>
      </c>
      <c r="DM127" s="16">
        <f>IFERROR(__xludf.DUMMYFUNCTION("""COMPUTED_VALUE"""),-4.0)</f>
        <v>-4</v>
      </c>
      <c r="DN127" s="16"/>
      <c r="DO127" s="16"/>
      <c r="DP127" s="16"/>
      <c r="DQ127" s="16"/>
      <c r="DR127" s="16">
        <f>IFERROR(__xludf.DUMMYFUNCTION("""COMPUTED_VALUE"""),2.0)</f>
        <v>2</v>
      </c>
      <c r="DS127" s="16"/>
      <c r="DT127" s="16">
        <f>IFERROR(__xludf.DUMMYFUNCTION("""COMPUTED_VALUE"""),1.0)</f>
        <v>1</v>
      </c>
      <c r="DU127" s="16">
        <f>IFERROR(__xludf.DUMMYFUNCTION("""COMPUTED_VALUE"""),-2.0)</f>
        <v>-2</v>
      </c>
      <c r="DV127" s="16"/>
      <c r="DW127" s="16"/>
      <c r="DX127" s="16"/>
      <c r="DY127" s="16"/>
      <c r="DZ127" s="16">
        <f>IFERROR(__xludf.DUMMYFUNCTION("""COMPUTED_VALUE"""),2.0)</f>
        <v>2</v>
      </c>
      <c r="EA127" s="16"/>
      <c r="EB127" s="16">
        <f>IFERROR(__xludf.DUMMYFUNCTION("""COMPUTED_VALUE"""),1.0)</f>
        <v>1</v>
      </c>
      <c r="EC127" s="16">
        <f>IFERROR(__xludf.DUMMYFUNCTION("""COMPUTED_VALUE"""),-6.0)</f>
        <v>-6</v>
      </c>
      <c r="ED127" s="16"/>
      <c r="EE127" s="16"/>
      <c r="EF127" s="16"/>
      <c r="EG127" s="179"/>
      <c r="EH127" s="179">
        <f>IFERROR(__xludf.DUMMYFUNCTION("""COMPUTED_VALUE"""),11.0)</f>
        <v>11</v>
      </c>
      <c r="EI127" s="179"/>
      <c r="EJ127" s="179">
        <f>IFERROR(__xludf.DUMMYFUNCTION("""COMPUTED_VALUE"""),10.0)</f>
        <v>10</v>
      </c>
      <c r="EK127" s="179">
        <f>IFERROR(__xludf.DUMMYFUNCTION("""COMPUTED_VALUE"""),3.0)</f>
        <v>3</v>
      </c>
      <c r="EL127" s="179"/>
      <c r="EM127" s="179"/>
      <c r="EN127" s="179"/>
      <c r="EO127" s="16"/>
      <c r="EP127" s="16"/>
      <c r="EQ127" s="16">
        <f>IFERROR(__xludf.DUMMYFUNCTION("""COMPUTED_VALUE"""),2.0)</f>
        <v>2</v>
      </c>
      <c r="ER127" s="16">
        <f>IFERROR(__xludf.DUMMYFUNCTION("""COMPUTED_VALUE"""),1.0)</f>
        <v>1</v>
      </c>
      <c r="ES127" s="16"/>
      <c r="ET127" s="16"/>
      <c r="EU127" s="16"/>
      <c r="EV127" s="16"/>
      <c r="EW127" s="16"/>
      <c r="EX127" s="180"/>
      <c r="EY127" s="180">
        <f>IFERROR(__xludf.DUMMYFUNCTION("""COMPUTED_VALUE"""),0.3)</f>
        <v>0.3</v>
      </c>
      <c r="EZ127" s="180"/>
      <c r="FA127" s="180">
        <f>IFERROR(__xludf.DUMMYFUNCTION("""COMPUTED_VALUE"""),0.3)</f>
        <v>0.3</v>
      </c>
      <c r="FB127" s="180">
        <f>IFERROR(__xludf.DUMMYFUNCTION("""COMPUTED_VALUE"""),0.4)</f>
        <v>0.4</v>
      </c>
      <c r="FC127" s="180"/>
      <c r="FD127" s="180"/>
      <c r="FE127" s="180"/>
      <c r="FF127" s="180"/>
      <c r="FG127" s="180">
        <f>IFERROR(__xludf.DUMMYFUNCTION("""COMPUTED_VALUE"""),0.16203703703703703)</f>
        <v>0.162037037</v>
      </c>
      <c r="FH127" s="180"/>
      <c r="FI127" s="180">
        <f>IFERROR(__xludf.DUMMYFUNCTION("""COMPUTED_VALUE"""),0.16666666666666666)</f>
        <v>0.1666666667</v>
      </c>
      <c r="FJ127" s="180">
        <f>IFERROR(__xludf.DUMMYFUNCTION("""COMPUTED_VALUE"""),0.24537037037037038)</f>
        <v>0.2453703704</v>
      </c>
      <c r="FK127" s="180"/>
      <c r="FL127" s="180"/>
      <c r="FM127" s="180"/>
      <c r="FN127" s="16"/>
      <c r="FO127" s="16">
        <f>IFERROR(__xludf.DUMMYFUNCTION("""COMPUTED_VALUE"""),0.586574074074074)</f>
        <v>0.5865740741</v>
      </c>
      <c r="FP127" s="16"/>
      <c r="FQ127" s="16">
        <f>IFERROR(__xludf.DUMMYFUNCTION("""COMPUTED_VALUE"""),0.5833333333333334)</f>
        <v>0.5833333333</v>
      </c>
      <c r="FR127" s="16">
        <f>IFERROR(__xludf.DUMMYFUNCTION("""COMPUTED_VALUE"""),0.4527777777777778)</f>
        <v>0.4527777778</v>
      </c>
      <c r="FS127" s="16"/>
      <c r="FT127" s="16"/>
      <c r="FU127" s="16"/>
      <c r="FV127" s="16"/>
      <c r="FW127" s="16">
        <f>IFERROR(__xludf.DUMMYFUNCTION("""COMPUTED_VALUE"""),-6.0)</f>
        <v>-6</v>
      </c>
      <c r="FX127" s="16"/>
      <c r="FY127" s="16">
        <f>IFERROR(__xludf.DUMMYFUNCTION("""COMPUTED_VALUE"""),-6.0)</f>
        <v>-6</v>
      </c>
      <c r="FZ127" s="16">
        <f>IFERROR(__xludf.DUMMYFUNCTION("""COMPUTED_VALUE"""),-8.0)</f>
        <v>-8</v>
      </c>
      <c r="GA127" s="16"/>
      <c r="GB127" s="16"/>
      <c r="GC127" s="16"/>
      <c r="GD127" s="16" t="s">
        <v>346</v>
      </c>
    </row>
    <row r="128">
      <c r="A128" s="16">
        <f>IFERROR(__xludf.DUMMYFUNCTION("""COMPUTED_VALUE"""),12656.0)</f>
        <v>12656</v>
      </c>
      <c r="B128" s="16" t="str">
        <f>IFERROR(__xludf.DUMMYFUNCTION("""COMPUTED_VALUE"""),"Carlos Santana")</f>
        <v>Carlos Santana</v>
      </c>
      <c r="C128" s="16">
        <f>IFERROR(__xludf.DUMMYFUNCTION("""COMPUTED_VALUE"""),1.22)</f>
        <v>1.22</v>
      </c>
      <c r="D128" s="16" t="str">
        <f>IFERROR(__xludf.DUMMYFUNCTION("""COMPUTED_VALUE"""),"S")</f>
        <v>S</v>
      </c>
      <c r="E128" s="16"/>
      <c r="F128" s="16"/>
      <c r="G128" s="16">
        <f>IFERROR(__xludf.DUMMYFUNCTION("""COMPUTED_VALUE"""),521.0)</f>
        <v>521</v>
      </c>
      <c r="H128" s="16">
        <f>IFERROR(__xludf.DUMMYFUNCTION("""COMPUTED_VALUE"""),65.0)</f>
        <v>65</v>
      </c>
      <c r="I128" s="16" t="str">
        <f>IFERROR(__xludf.DUMMYFUNCTION("""COMPUTED_VALUE"""),"1p70")</f>
        <v>1p70</v>
      </c>
      <c r="J128" s="16">
        <f>IFERROR(__xludf.DUMMYFUNCTION("""COMPUTED_VALUE"""),12.0)</f>
        <v>12</v>
      </c>
      <c r="K128" s="16">
        <f>IFERROR(__xludf.DUMMYFUNCTION("""COMPUTED_VALUE"""),12.0)</f>
        <v>12</v>
      </c>
      <c r="L128" s="16">
        <f>IFERROR(__xludf.DUMMYFUNCTION("""COMPUTED_VALUE"""),1.0)</f>
        <v>1</v>
      </c>
      <c r="M128" s="16">
        <f>IFERROR(__xludf.DUMMYFUNCTION("""COMPUTED_VALUE"""),1.0)</f>
        <v>1</v>
      </c>
      <c r="N128" s="16">
        <f>IFERROR(__xludf.DUMMYFUNCTION("""COMPUTED_VALUE"""),1.0)</f>
        <v>1</v>
      </c>
      <c r="O128" s="16">
        <f>IFERROR(__xludf.DUMMYFUNCTION("""COMPUTED_VALUE"""),1.0)</f>
        <v>1</v>
      </c>
      <c r="P128" s="16">
        <f>IFERROR(__xludf.DUMMYFUNCTION("""COMPUTED_VALUE"""),8.0)</f>
        <v>8</v>
      </c>
      <c r="Q128" s="16">
        <f>IFERROR(__xludf.DUMMYFUNCTION("""COMPUTED_VALUE"""),15.0)</f>
        <v>15</v>
      </c>
      <c r="R128" s="16">
        <f>IFERROR(__xludf.DUMMYFUNCTION("""COMPUTED_VALUE"""),0.0)</f>
        <v>0</v>
      </c>
      <c r="S128" s="16">
        <f>IFERROR(__xludf.DUMMYFUNCTION("""COMPUTED_VALUE"""),2.0)</f>
        <v>2</v>
      </c>
      <c r="T128" s="16">
        <f>IFERROR(__xludf.DUMMYFUNCTION("""COMPUTED_VALUE"""),0.0)</f>
        <v>0</v>
      </c>
      <c r="U128" s="16">
        <f>IFERROR(__xludf.DUMMYFUNCTION("""COMPUTED_VALUE"""),2.0)</f>
        <v>2</v>
      </c>
      <c r="V128" s="16">
        <f>IFERROR(__xludf.DUMMYFUNCTION("""COMPUTED_VALUE"""),26.4)</f>
        <v>26.4</v>
      </c>
      <c r="W128" s="16">
        <f>IFERROR(__xludf.DUMMYFUNCTION("""COMPUTED_VALUE"""),14.6)</f>
        <v>14.6</v>
      </c>
      <c r="X128" s="16">
        <f>IFERROR(__xludf.DUMMYFUNCTION("""COMPUTED_VALUE"""),1.0)</f>
        <v>1</v>
      </c>
      <c r="Y128" s="16">
        <f>IFERROR(__xludf.DUMMYFUNCTION("""COMPUTED_VALUE"""),-1.0)</f>
        <v>-1</v>
      </c>
      <c r="Z128" s="16">
        <f>IFERROR(__xludf.DUMMYFUNCTION("""COMPUTED_VALUE"""),2.0)</f>
        <v>2</v>
      </c>
      <c r="AA128" s="16">
        <f>IFERROR(__xludf.DUMMYFUNCTION("""COMPUTED_VALUE"""),-2.0)</f>
        <v>-2</v>
      </c>
      <c r="AB128" s="16">
        <f>IFERROR(__xludf.DUMMYFUNCTION("""COMPUTED_VALUE"""),36.4)</f>
        <v>36.4</v>
      </c>
      <c r="AC128" s="16">
        <f>IFERROR(__xludf.DUMMYFUNCTION("""COMPUTED_VALUE"""),31.6)</f>
        <v>31.6</v>
      </c>
      <c r="AD128" s="16">
        <f>IFERROR(__xludf.DUMMYFUNCTION("""COMPUTED_VALUE"""),1.0)</f>
        <v>1</v>
      </c>
      <c r="AE128" s="16">
        <f>IFERROR(__xludf.DUMMYFUNCTION("""COMPUTED_VALUE"""),0.0)</f>
        <v>0</v>
      </c>
      <c r="AF128" s="16">
        <f>IFERROR(__xludf.DUMMYFUNCTION("""COMPUTED_VALUE"""),5.0)</f>
        <v>5</v>
      </c>
      <c r="AG128" s="16">
        <f>IFERROR(__xludf.DUMMYFUNCTION("""COMPUTED_VALUE"""),0.0)</f>
        <v>0</v>
      </c>
      <c r="AH128" s="16">
        <f>IFERROR(__xludf.DUMMYFUNCTION("""COMPUTED_VALUE"""),59.0)</f>
        <v>59</v>
      </c>
      <c r="AI128" s="16">
        <f>IFERROR(__xludf.DUMMYFUNCTION("""COMPUTED_VALUE"""),23.5)</f>
        <v>23.5</v>
      </c>
      <c r="AJ128" s="16">
        <f>IFERROR(__xludf.DUMMYFUNCTION("""COMPUTED_VALUE"""),2.0)</f>
        <v>2</v>
      </c>
      <c r="AK128" s="16">
        <f>IFERROR(__xludf.DUMMYFUNCTION("""COMPUTED_VALUE"""),-1.0)</f>
        <v>-1</v>
      </c>
      <c r="AL128" s="16">
        <f>IFERROR(__xludf.DUMMYFUNCTION("""COMPUTED_VALUE"""),10.0)</f>
        <v>10</v>
      </c>
      <c r="AM128" s="16">
        <f>IFERROR(__xludf.DUMMYFUNCTION("""COMPUTED_VALUE"""),-5.0)</f>
        <v>-5</v>
      </c>
      <c r="AN128" s="16">
        <f>IFERROR(__xludf.DUMMYFUNCTION("""COMPUTED_VALUE"""),9.5)</f>
        <v>9.5</v>
      </c>
      <c r="AO128" s="16">
        <f>IFERROR(__xludf.DUMMYFUNCTION("""COMPUTED_VALUE"""),1.5)</f>
        <v>1.5</v>
      </c>
      <c r="AP128" s="16">
        <f>IFERROR(__xludf.DUMMYFUNCTION("""COMPUTED_VALUE"""),3.0)</f>
        <v>3</v>
      </c>
      <c r="AQ128" s="16">
        <f>IFERROR(__xludf.DUMMYFUNCTION("""COMPUTED_VALUE"""),-1.0)</f>
        <v>-1</v>
      </c>
      <c r="AR128" s="16">
        <f>IFERROR(__xludf.DUMMYFUNCTION("""COMPUTED_VALUE"""),6.0)</f>
        <v>6</v>
      </c>
      <c r="AS128" s="16">
        <f>IFERROR(__xludf.DUMMYFUNCTION("""COMPUTED_VALUE"""),-2.0)</f>
        <v>-2</v>
      </c>
      <c r="AT128" s="16">
        <f>IFERROR(__xludf.DUMMYFUNCTION("""COMPUTED_VALUE"""),8.0)</f>
        <v>8</v>
      </c>
      <c r="AU128" s="16">
        <f>IFERROR(__xludf.DUMMYFUNCTION("""COMPUTED_VALUE"""),1.0)</f>
        <v>1</v>
      </c>
      <c r="AV128" s="16">
        <f>IFERROR(__xludf.DUMMYFUNCTION("""COMPUTED_VALUE"""),8.0)</f>
        <v>8</v>
      </c>
      <c r="AW128" s="16">
        <f>IFERROR(__xludf.DUMMYFUNCTION("""COMPUTED_VALUE"""),1.0)</f>
        <v>1</v>
      </c>
      <c r="AX128" s="16">
        <f>IFERROR(__xludf.DUMMYFUNCTION("""COMPUTED_VALUE"""),3.0)</f>
        <v>3</v>
      </c>
      <c r="AY128" s="16">
        <f>IFERROR(__xludf.DUMMYFUNCTION("""COMPUTED_VALUE"""),-1.0)</f>
        <v>-1</v>
      </c>
      <c r="AZ128" s="16">
        <f>IFERROR(__xludf.DUMMYFUNCTION("""COMPUTED_VALUE"""),9.0)</f>
        <v>9</v>
      </c>
      <c r="BA128" s="16">
        <f>IFERROR(__xludf.DUMMYFUNCTION("""COMPUTED_VALUE"""),-3.0)</f>
        <v>-3</v>
      </c>
      <c r="BB128" s="16">
        <f>IFERROR(__xludf.DUMMYFUNCTION("""COMPUTED_VALUE"""),5.0)</f>
        <v>5</v>
      </c>
      <c r="BC128" s="16">
        <f>IFERROR(__xludf.DUMMYFUNCTION("""COMPUTED_VALUE"""),5.0)</f>
        <v>5</v>
      </c>
      <c r="BD128" s="16">
        <f>IFERROR(__xludf.DUMMYFUNCTION("""COMPUTED_VALUE"""),1.0)</f>
        <v>1</v>
      </c>
      <c r="BE128" s="16">
        <f>IFERROR(__xludf.DUMMYFUNCTION("""COMPUTED_VALUE"""),1.0)</f>
        <v>1</v>
      </c>
      <c r="BF128" s="16">
        <f>IFERROR(__xludf.DUMMYFUNCTION("""COMPUTED_VALUE"""),1.0)</f>
        <v>1</v>
      </c>
      <c r="BG128" s="16">
        <f>IFERROR(__xludf.DUMMYFUNCTION("""COMPUTED_VALUE"""),1.0)</f>
        <v>1</v>
      </c>
      <c r="BH128" s="16">
        <f>IFERROR(__xludf.DUMMYFUNCTION("""COMPUTED_VALUE"""),-10.0)</f>
        <v>-10</v>
      </c>
      <c r="BI128" s="16">
        <f>IFERROR(__xludf.DUMMYFUNCTION("""COMPUTED_VALUE"""),-7.0)</f>
        <v>-7</v>
      </c>
      <c r="BJ128" s="16">
        <f>IFERROR(__xludf.DUMMYFUNCTION("""COMPUTED_VALUE"""),16.0)</f>
        <v>16</v>
      </c>
      <c r="BK128" s="16">
        <f>IFERROR(__xludf.DUMMYFUNCTION("""COMPUTED_VALUE"""),14.0)</f>
        <v>14</v>
      </c>
      <c r="BL128" s="16">
        <f>IFERROR(__xludf.DUMMYFUNCTION("""COMPUTED_VALUE"""),-1.0)</f>
        <v>-1</v>
      </c>
      <c r="BM128" s="16">
        <f>IFERROR(__xludf.DUMMYFUNCTION("""COMPUTED_VALUE"""),0.0)</f>
        <v>0</v>
      </c>
      <c r="BN128" s="16">
        <f>IFERROR(__xludf.DUMMYFUNCTION("""COMPUTED_VALUE"""),-2.0)</f>
        <v>-2</v>
      </c>
      <c r="BO128" s="16">
        <f>IFERROR(__xludf.DUMMYFUNCTION("""COMPUTED_VALUE"""),0.0)</f>
        <v>0</v>
      </c>
      <c r="BP128" s="16">
        <f>IFERROR(__xludf.DUMMYFUNCTION("""COMPUTED_VALUE"""),11.0)</f>
        <v>11</v>
      </c>
      <c r="BQ128" s="16">
        <f>IFERROR(__xludf.DUMMYFUNCTION("""COMPUTED_VALUE"""),0.0)</f>
        <v>0</v>
      </c>
      <c r="BR128" s="16">
        <f>IFERROR(__xludf.DUMMYFUNCTION("""COMPUTED_VALUE"""),11.0)</f>
        <v>11</v>
      </c>
      <c r="BS128" s="16" t="str">
        <f>IFERROR(__xludf.DUMMYFUNCTION("""COMPUTED_VALUE"""),"2/- (20-6)")</f>
        <v>2/- (20-6)</v>
      </c>
      <c r="BT128" s="16" t="str">
        <f>IFERROR(__xludf.DUMMYFUNCTION("""COMPUTED_VALUE"""),"D")</f>
        <v>D</v>
      </c>
      <c r="BU128" s="16">
        <f>IFERROR(__xludf.DUMMYFUNCTION("""COMPUTED_VALUE"""),11.0)</f>
        <v>11</v>
      </c>
      <c r="BV128" s="16">
        <f>IFERROR(__xludf.DUMMYFUNCTION("""COMPUTED_VALUE"""),0.0)</f>
        <v>0</v>
      </c>
      <c r="BW128" s="16">
        <f>IFERROR(__xludf.DUMMYFUNCTION("""COMPUTED_VALUE"""),0.0)</f>
        <v>0</v>
      </c>
      <c r="BX128" s="16">
        <f>IFERROR(__xludf.DUMMYFUNCTION("""COMPUTED_VALUE"""),0.0)</f>
        <v>0</v>
      </c>
      <c r="BY128" s="16">
        <f>IFERROR(__xludf.DUMMYFUNCTION("""COMPUTED_VALUE"""),0.0)</f>
        <v>0</v>
      </c>
      <c r="BZ128" s="16" t="str">
        <f>IFERROR(__xludf.DUMMYFUNCTION("""COMPUTED_VALUE"""),"D")</f>
        <v>D</v>
      </c>
      <c r="CA128" s="16" t="str">
        <f>IFERROR(__xludf.DUMMYFUNCTION("""COMPUTED_VALUE"""),"C")</f>
        <v>C</v>
      </c>
      <c r="CB128" s="16">
        <f>IFERROR(__xludf.DUMMYFUNCTION("""COMPUTED_VALUE"""),0.0)</f>
        <v>0</v>
      </c>
      <c r="CC128" s="16">
        <f>IFERROR(__xludf.DUMMYFUNCTION("""COMPUTED_VALUE"""),0.0)</f>
        <v>0</v>
      </c>
      <c r="CD128" s="16">
        <f>IFERROR(__xludf.DUMMYFUNCTION("""COMPUTED_VALUE"""),0.0)</f>
        <v>0</v>
      </c>
      <c r="CE128" s="16">
        <f>IFERROR(__xludf.DUMMYFUNCTION("""COMPUTED_VALUE"""),0.0)</f>
        <v>0</v>
      </c>
      <c r="CF128" s="16">
        <f>IFERROR(__xludf.DUMMYFUNCTION("""COMPUTED_VALUE"""),1.0)</f>
        <v>1</v>
      </c>
      <c r="CG128" s="16">
        <f>IFERROR(__xludf.DUMMYFUNCTION("""COMPUTED_VALUE"""),32.0)</f>
        <v>32</v>
      </c>
      <c r="CH128" s="16">
        <f>IFERROR(__xludf.DUMMYFUNCTION("""COMPUTED_VALUE"""),-8.0)</f>
        <v>-8</v>
      </c>
      <c r="CI128" s="179">
        <f>IFERROR(__xludf.DUMMYFUNCTION("""COMPUTED_VALUE"""),9.0)</f>
        <v>9</v>
      </c>
      <c r="CJ128" s="16"/>
      <c r="CK128" s="16">
        <f>IFERROR(__xludf.DUMMYFUNCTION("""COMPUTED_VALUE"""),105.0)</f>
        <v>105</v>
      </c>
      <c r="CL128" s="16"/>
      <c r="CM128" s="16"/>
      <c r="CN128" s="16"/>
      <c r="CO128" s="16"/>
      <c r="CP128" s="16"/>
      <c r="CQ128" s="16"/>
      <c r="CR128" s="16" t="str">
        <f>IFERROR(__xludf.DUMMYFUNCTION("""COMPUTED_VALUE"""),"1b-1e5")</f>
        <v>1b-1e5</v>
      </c>
      <c r="CS128" s="16"/>
      <c r="CT128" s="16">
        <f>IFERROR(__xludf.DUMMYFUNCTION("""COMPUTED_VALUE"""),1.0)</f>
        <v>1</v>
      </c>
      <c r="CU128" s="16"/>
      <c r="CV128" s="16"/>
      <c r="CW128" s="16"/>
      <c r="CX128" s="16"/>
      <c r="CY128" s="16"/>
      <c r="CZ128" s="16"/>
      <c r="DA128" s="16"/>
      <c r="DB128" s="16">
        <f>IFERROR(__xludf.DUMMYFUNCTION("""COMPUTED_VALUE"""),5.0)</f>
        <v>5</v>
      </c>
      <c r="DC128" s="16"/>
      <c r="DD128" s="16"/>
      <c r="DE128" s="16"/>
      <c r="DF128" s="16"/>
      <c r="DG128" s="16"/>
      <c r="DH128" s="16"/>
      <c r="DI128" s="16"/>
      <c r="DJ128" s="16">
        <f>IFERROR(__xludf.DUMMYFUNCTION("""COMPUTED_VALUE"""),4.0)</f>
        <v>4</v>
      </c>
      <c r="DK128" s="16"/>
      <c r="DL128" s="16"/>
      <c r="DM128" s="16"/>
      <c r="DN128" s="16"/>
      <c r="DO128" s="16"/>
      <c r="DP128" s="16"/>
      <c r="DQ128" s="16"/>
      <c r="DR128" s="16">
        <f>IFERROR(__xludf.DUMMYFUNCTION("""COMPUTED_VALUE"""),2.0)</f>
        <v>2</v>
      </c>
      <c r="DS128" s="16"/>
      <c r="DT128" s="16"/>
      <c r="DU128" s="16"/>
      <c r="DV128" s="16"/>
      <c r="DW128" s="16"/>
      <c r="DX128" s="16"/>
      <c r="DY128" s="16"/>
      <c r="DZ128" s="16">
        <f>IFERROR(__xludf.DUMMYFUNCTION("""COMPUTED_VALUE"""),6.0)</f>
        <v>6</v>
      </c>
      <c r="EA128" s="16"/>
      <c r="EB128" s="16"/>
      <c r="EC128" s="16"/>
      <c r="ED128" s="16"/>
      <c r="EE128" s="16"/>
      <c r="EF128" s="16"/>
      <c r="EG128" s="179"/>
      <c r="EH128" s="179">
        <f>IFERROR(__xludf.DUMMYFUNCTION("""COMPUTED_VALUE"""),15.0)</f>
        <v>15</v>
      </c>
      <c r="EI128" s="179"/>
      <c r="EJ128" s="179"/>
      <c r="EK128" s="179"/>
      <c r="EL128" s="179"/>
      <c r="EM128" s="179"/>
      <c r="EN128" s="179"/>
      <c r="EO128" s="16"/>
      <c r="EP128" s="16">
        <f>IFERROR(__xludf.DUMMYFUNCTION("""COMPUTED_VALUE"""),0.0)</f>
        <v>0</v>
      </c>
      <c r="EQ128" s="16">
        <f>IFERROR(__xludf.DUMMYFUNCTION("""COMPUTED_VALUE"""),4.0)</f>
        <v>4</v>
      </c>
      <c r="ER128" s="16">
        <f>IFERROR(__xludf.DUMMYFUNCTION("""COMPUTED_VALUE"""),3.0)</f>
        <v>3</v>
      </c>
      <c r="ES128" s="16"/>
      <c r="ET128" s="16"/>
      <c r="EU128" s="16"/>
      <c r="EV128" s="16"/>
      <c r="EW128" s="16"/>
      <c r="EX128" s="180"/>
      <c r="EY128" s="180">
        <f>IFERROR(__xludf.DUMMYFUNCTION("""COMPUTED_VALUE"""),0.0)</f>
        <v>0</v>
      </c>
      <c r="EZ128" s="180"/>
      <c r="FA128" s="180"/>
      <c r="FB128" s="180"/>
      <c r="FC128" s="180"/>
      <c r="FD128" s="180"/>
      <c r="FE128" s="180"/>
      <c r="FF128" s="180"/>
      <c r="FG128" s="180">
        <f>IFERROR(__xludf.DUMMYFUNCTION("""COMPUTED_VALUE"""),0.08796296296296297)</f>
        <v>0.08796296296</v>
      </c>
      <c r="FH128" s="180"/>
      <c r="FI128" s="180"/>
      <c r="FJ128" s="180"/>
      <c r="FK128" s="180"/>
      <c r="FL128" s="180"/>
      <c r="FM128" s="180"/>
      <c r="FN128" s="16"/>
      <c r="FO128" s="16">
        <f>IFERROR(__xludf.DUMMYFUNCTION("""COMPUTED_VALUE"""),0.912037037037037)</f>
        <v>0.912037037</v>
      </c>
      <c r="FP128" s="16"/>
      <c r="FQ128" s="16"/>
      <c r="FR128" s="16"/>
      <c r="FS128" s="16"/>
      <c r="FT128" s="16"/>
      <c r="FU128" s="16"/>
      <c r="FV128" s="16"/>
      <c r="FW128" s="16">
        <f>IFERROR(__xludf.DUMMYFUNCTION("""COMPUTED_VALUE"""),6.0)</f>
        <v>6</v>
      </c>
      <c r="FX128" s="16"/>
      <c r="FY128" s="16"/>
      <c r="FZ128" s="16"/>
      <c r="GA128" s="16"/>
      <c r="GB128" s="16"/>
      <c r="GC128" s="16"/>
      <c r="GD128" s="16" t="s">
        <v>176</v>
      </c>
    </row>
    <row r="129">
      <c r="A129" s="16">
        <f>IFERROR(__xludf.DUMMYFUNCTION("""COMPUTED_VALUE"""),12849.0)</f>
        <v>12849</v>
      </c>
      <c r="B129" s="16" t="str">
        <f>IFERROR(__xludf.DUMMYFUNCTION("""COMPUTED_VALUE"""),"Gleyber Torres")</f>
        <v>Gleyber Torres</v>
      </c>
      <c r="C129" s="16">
        <f>IFERROR(__xludf.DUMMYFUNCTION("""COMPUTED_VALUE"""),0.47)</f>
        <v>0.47</v>
      </c>
      <c r="D129" s="16" t="str">
        <f>IFERROR(__xludf.DUMMYFUNCTION("""COMPUTED_VALUE"""),"R")</f>
        <v>R</v>
      </c>
      <c r="E129" s="16"/>
      <c r="F129" s="16"/>
      <c r="G129" s="16">
        <f>IFERROR(__xludf.DUMMYFUNCTION("""COMPUTED_VALUE"""),587.0)</f>
        <v>587</v>
      </c>
      <c r="H129" s="16">
        <f>IFERROR(__xludf.DUMMYFUNCTION("""COMPUTED_VALUE"""),65.0)</f>
        <v>65</v>
      </c>
      <c r="I129" s="16" t="str">
        <f>IFERROR(__xludf.DUMMYFUNCTION("""COMPUTED_VALUE"""),"1p70")</f>
        <v>1p70</v>
      </c>
      <c r="J129" s="16">
        <f>IFERROR(__xludf.DUMMYFUNCTION("""COMPUTED_VALUE"""),22.0)</f>
        <v>22</v>
      </c>
      <c r="K129" s="16">
        <f>IFERROR(__xludf.DUMMYFUNCTION("""COMPUTED_VALUE"""),19.0)</f>
        <v>19</v>
      </c>
      <c r="L129" s="16">
        <f>IFERROR(__xludf.DUMMYFUNCTION("""COMPUTED_VALUE"""),0.0)</f>
        <v>0</v>
      </c>
      <c r="M129" s="16">
        <f>IFERROR(__xludf.DUMMYFUNCTION("""COMPUTED_VALUE"""),1.0)</f>
        <v>1</v>
      </c>
      <c r="N129" s="16">
        <f>IFERROR(__xludf.DUMMYFUNCTION("""COMPUTED_VALUE"""),0.0)</f>
        <v>0</v>
      </c>
      <c r="O129" s="16">
        <f>IFERROR(__xludf.DUMMYFUNCTION("""COMPUTED_VALUE"""),1.0)</f>
        <v>1</v>
      </c>
      <c r="P129" s="16">
        <f>IFERROR(__xludf.DUMMYFUNCTION("""COMPUTED_VALUE"""),17.0)</f>
        <v>17</v>
      </c>
      <c r="Q129" s="16">
        <f>IFERROR(__xludf.DUMMYFUNCTION("""COMPUTED_VALUE"""),12.0)</f>
        <v>12</v>
      </c>
      <c r="R129" s="16">
        <f>IFERROR(__xludf.DUMMYFUNCTION("""COMPUTED_VALUE"""),3.0)</f>
        <v>3</v>
      </c>
      <c r="S129" s="16">
        <f>IFERROR(__xludf.DUMMYFUNCTION("""COMPUTED_VALUE"""),1.0)</f>
        <v>1</v>
      </c>
      <c r="T129" s="16">
        <f>IFERROR(__xludf.DUMMYFUNCTION("""COMPUTED_VALUE"""),3.0)</f>
        <v>3</v>
      </c>
      <c r="U129" s="16">
        <f>IFERROR(__xludf.DUMMYFUNCTION("""COMPUTED_VALUE"""),1.0)</f>
        <v>1</v>
      </c>
      <c r="V129" s="16">
        <f>IFERROR(__xludf.DUMMYFUNCTION("""COMPUTED_VALUE"""),20.8)</f>
        <v>20.8</v>
      </c>
      <c r="W129" s="16">
        <f>IFERROR(__xludf.DUMMYFUNCTION("""COMPUTED_VALUE"""),23.6)</f>
        <v>23.6</v>
      </c>
      <c r="X129" s="16">
        <f>IFERROR(__xludf.DUMMYFUNCTION("""COMPUTED_VALUE"""),0.0)</f>
        <v>0</v>
      </c>
      <c r="Y129" s="16">
        <f>IFERROR(__xludf.DUMMYFUNCTION("""COMPUTED_VALUE"""),1.0)</f>
        <v>1</v>
      </c>
      <c r="Z129" s="16">
        <f>IFERROR(__xludf.DUMMYFUNCTION("""COMPUTED_VALUE"""),0.0)</f>
        <v>0</v>
      </c>
      <c r="AA129" s="16">
        <f>IFERROR(__xludf.DUMMYFUNCTION("""COMPUTED_VALUE"""),2.0)</f>
        <v>2</v>
      </c>
      <c r="AB129" s="16">
        <f>IFERROR(__xludf.DUMMYFUNCTION("""COMPUTED_VALUE"""),38.8)</f>
        <v>38.8</v>
      </c>
      <c r="AC129" s="16">
        <f>IFERROR(__xludf.DUMMYFUNCTION("""COMPUTED_VALUE"""),36.7)</f>
        <v>36.7</v>
      </c>
      <c r="AD129" s="16">
        <f>IFERROR(__xludf.DUMMYFUNCTION("""COMPUTED_VALUE"""),1.0)</f>
        <v>1</v>
      </c>
      <c r="AE129" s="16">
        <f>IFERROR(__xludf.DUMMYFUNCTION("""COMPUTED_VALUE"""),1.0)</f>
        <v>1</v>
      </c>
      <c r="AF129" s="16">
        <f>IFERROR(__xludf.DUMMYFUNCTION("""COMPUTED_VALUE"""),5.0)</f>
        <v>5</v>
      </c>
      <c r="AG129" s="16">
        <f>IFERROR(__xludf.DUMMYFUNCTION("""COMPUTED_VALUE"""),5.0)</f>
        <v>5</v>
      </c>
      <c r="AH129" s="16">
        <f>IFERROR(__xludf.DUMMYFUNCTION("""COMPUTED_VALUE"""),33.3)</f>
        <v>33.3</v>
      </c>
      <c r="AI129" s="16">
        <f>IFERROR(__xludf.DUMMYFUNCTION("""COMPUTED_VALUE"""),27.8)</f>
        <v>27.8</v>
      </c>
      <c r="AJ129" s="16">
        <f>IFERROR(__xludf.DUMMYFUNCTION("""COMPUTED_VALUE"""),0.0)</f>
        <v>0</v>
      </c>
      <c r="AK129" s="16">
        <f>IFERROR(__xludf.DUMMYFUNCTION("""COMPUTED_VALUE"""),-1.0)</f>
        <v>-1</v>
      </c>
      <c r="AL129" s="16">
        <f>IFERROR(__xludf.DUMMYFUNCTION("""COMPUTED_VALUE"""),0.0)</f>
        <v>0</v>
      </c>
      <c r="AM129" s="16">
        <f>IFERROR(__xludf.DUMMYFUNCTION("""COMPUTED_VALUE"""),-5.0)</f>
        <v>-5</v>
      </c>
      <c r="AN129" s="16">
        <f>IFERROR(__xludf.DUMMYFUNCTION("""COMPUTED_VALUE"""),3.0)</f>
        <v>3</v>
      </c>
      <c r="AO129" s="16">
        <f>IFERROR(__xludf.DUMMYFUNCTION("""COMPUTED_VALUE"""),0.3)</f>
        <v>0.3</v>
      </c>
      <c r="AP129" s="16">
        <f>IFERROR(__xludf.DUMMYFUNCTION("""COMPUTED_VALUE"""),1.0)</f>
        <v>1</v>
      </c>
      <c r="AQ129" s="16">
        <f>IFERROR(__xludf.DUMMYFUNCTION("""COMPUTED_VALUE"""),-2.0)</f>
        <v>-2</v>
      </c>
      <c r="AR129" s="16">
        <f>IFERROR(__xludf.DUMMYFUNCTION("""COMPUTED_VALUE"""),2.0)</f>
        <v>2</v>
      </c>
      <c r="AS129" s="16">
        <f>IFERROR(__xludf.DUMMYFUNCTION("""COMPUTED_VALUE"""),-4.0)</f>
        <v>-4</v>
      </c>
      <c r="AT129" s="16">
        <f>IFERROR(__xludf.DUMMYFUNCTION("""COMPUTED_VALUE"""),5.0)</f>
        <v>5</v>
      </c>
      <c r="AU129" s="16">
        <f>IFERROR(__xludf.DUMMYFUNCTION("""COMPUTED_VALUE"""),0.0)</f>
        <v>0</v>
      </c>
      <c r="AV129" s="16">
        <f>IFERROR(__xludf.DUMMYFUNCTION("""COMPUTED_VALUE"""),5.0)</f>
        <v>5</v>
      </c>
      <c r="AW129" s="16">
        <f>IFERROR(__xludf.DUMMYFUNCTION("""COMPUTED_VALUE"""),0.0)</f>
        <v>0</v>
      </c>
      <c r="AX129" s="16">
        <f>IFERROR(__xludf.DUMMYFUNCTION("""COMPUTED_VALUE"""),3.0)</f>
        <v>3</v>
      </c>
      <c r="AY129" s="16">
        <f>IFERROR(__xludf.DUMMYFUNCTION("""COMPUTED_VALUE"""),-2.0)</f>
        <v>-2</v>
      </c>
      <c r="AZ129" s="16">
        <f>IFERROR(__xludf.DUMMYFUNCTION("""COMPUTED_VALUE"""),9.0)</f>
        <v>9</v>
      </c>
      <c r="BA129" s="16">
        <f>IFERROR(__xludf.DUMMYFUNCTION("""COMPUTED_VALUE"""),-6.0)</f>
        <v>-6</v>
      </c>
      <c r="BB129" s="16">
        <f>IFERROR(__xludf.DUMMYFUNCTION("""COMPUTED_VALUE"""),5.0)</f>
        <v>5</v>
      </c>
      <c r="BC129" s="16">
        <f>IFERROR(__xludf.DUMMYFUNCTION("""COMPUTED_VALUE"""),5.0)</f>
        <v>5</v>
      </c>
      <c r="BD129" s="16">
        <f>IFERROR(__xludf.DUMMYFUNCTION("""COMPUTED_VALUE"""),1.0)</f>
        <v>1</v>
      </c>
      <c r="BE129" s="16">
        <f>IFERROR(__xludf.DUMMYFUNCTION("""COMPUTED_VALUE"""),1.0)</f>
        <v>1</v>
      </c>
      <c r="BF129" s="16">
        <f>IFERROR(__xludf.DUMMYFUNCTION("""COMPUTED_VALUE"""),1.0)</f>
        <v>1</v>
      </c>
      <c r="BG129" s="16">
        <f>IFERROR(__xludf.DUMMYFUNCTION("""COMPUTED_VALUE"""),1.0)</f>
        <v>1</v>
      </c>
      <c r="BH129" s="16">
        <f>IFERROR(__xludf.DUMMYFUNCTION("""COMPUTED_VALUE"""),-4.0)</f>
        <v>-4</v>
      </c>
      <c r="BI129" s="16">
        <f>IFERROR(__xludf.DUMMYFUNCTION("""COMPUTED_VALUE"""),-4.0)</f>
        <v>-4</v>
      </c>
      <c r="BJ129" s="16">
        <f>IFERROR(__xludf.DUMMYFUNCTION("""COMPUTED_VALUE"""),4.0)</f>
        <v>4</v>
      </c>
      <c r="BK129" s="16">
        <f>IFERROR(__xludf.DUMMYFUNCTION("""COMPUTED_VALUE"""),4.0)</f>
        <v>4</v>
      </c>
      <c r="BL129" s="16">
        <f>IFERROR(__xludf.DUMMYFUNCTION("""COMPUTED_VALUE"""),1.0)</f>
        <v>1</v>
      </c>
      <c r="BM129" s="16">
        <f>IFERROR(__xludf.DUMMYFUNCTION("""COMPUTED_VALUE"""),1.0)</f>
        <v>1</v>
      </c>
      <c r="BN129" s="16">
        <f>IFERROR(__xludf.DUMMYFUNCTION("""COMPUTED_VALUE"""),1.0)</f>
        <v>1</v>
      </c>
      <c r="BO129" s="16">
        <f>IFERROR(__xludf.DUMMYFUNCTION("""COMPUTED_VALUE"""),1.0)</f>
        <v>1</v>
      </c>
      <c r="BP129" s="16">
        <f>IFERROR(__xludf.DUMMYFUNCTION("""COMPUTED_VALUE"""),10.0)</f>
        <v>10</v>
      </c>
      <c r="BQ129" s="16">
        <f>IFERROR(__xludf.DUMMYFUNCTION("""COMPUTED_VALUE"""),1.0)</f>
        <v>1</v>
      </c>
      <c r="BR129" s="16">
        <f>IFERROR(__xludf.DUMMYFUNCTION("""COMPUTED_VALUE"""),11.0)</f>
        <v>11</v>
      </c>
      <c r="BS129" s="16" t="str">
        <f>IFERROR(__xludf.DUMMYFUNCTION("""COMPUTED_VALUE"""),"4,5/12 (13-6)")</f>
        <v>4,5/12 (13-6)</v>
      </c>
      <c r="BT129" s="16" t="str">
        <f>IFERROR(__xludf.DUMMYFUNCTION("""COMPUTED_VALUE"""),"D")</f>
        <v>D</v>
      </c>
      <c r="BU129" s="16">
        <f>IFERROR(__xludf.DUMMYFUNCTION("""COMPUTED_VALUE"""),11.0)</f>
        <v>11</v>
      </c>
      <c r="BV129" s="16">
        <f>IFERROR(__xludf.DUMMYFUNCTION("""COMPUTED_VALUE"""),0.0)</f>
        <v>0</v>
      </c>
      <c r="BW129" s="16">
        <f>IFERROR(__xludf.DUMMYFUNCTION("""COMPUTED_VALUE"""),0.0)</f>
        <v>0</v>
      </c>
      <c r="BX129" s="16">
        <f>IFERROR(__xludf.DUMMYFUNCTION("""COMPUTED_VALUE"""),0.0)</f>
        <v>0</v>
      </c>
      <c r="BY129" s="16">
        <f>IFERROR(__xludf.DUMMYFUNCTION("""COMPUTED_VALUE"""),0.0)</f>
        <v>0</v>
      </c>
      <c r="BZ129" s="16" t="str">
        <f>IFERROR(__xludf.DUMMYFUNCTION("""COMPUTED_VALUE"""),"D")</f>
        <v>D</v>
      </c>
      <c r="CA129" s="16" t="str">
        <f>IFERROR(__xludf.DUMMYFUNCTION("""COMPUTED_VALUE"""),"C")</f>
        <v>C</v>
      </c>
      <c r="CB129" s="16">
        <f>IFERROR(__xludf.DUMMYFUNCTION("""COMPUTED_VALUE"""),0.0)</f>
        <v>0</v>
      </c>
      <c r="CC129" s="16">
        <f>IFERROR(__xludf.DUMMYFUNCTION("""COMPUTED_VALUE"""),0.0)</f>
        <v>0</v>
      </c>
      <c r="CD129" s="16">
        <f>IFERROR(__xludf.DUMMYFUNCTION("""COMPUTED_VALUE"""),0.0)</f>
        <v>0</v>
      </c>
      <c r="CE129" s="16">
        <f>IFERROR(__xludf.DUMMYFUNCTION("""COMPUTED_VALUE"""),0.0)</f>
        <v>0</v>
      </c>
      <c r="CF129" s="16">
        <f>IFERROR(__xludf.DUMMYFUNCTION("""COMPUTED_VALUE"""),1.0)</f>
        <v>1</v>
      </c>
      <c r="CG129" s="16">
        <f>IFERROR(__xludf.DUMMYFUNCTION("""COMPUTED_VALUE"""),21.0)</f>
        <v>21</v>
      </c>
      <c r="CH129" s="16">
        <f>IFERROR(__xludf.DUMMYFUNCTION("""COMPUTED_VALUE"""),-4.0)</f>
        <v>-4</v>
      </c>
      <c r="CI129" s="179">
        <f>IFERROR(__xludf.DUMMYFUNCTION("""COMPUTED_VALUE"""),9.0)</f>
        <v>9</v>
      </c>
      <c r="CJ129" s="16"/>
      <c r="CK129" s="16"/>
      <c r="CL129" s="16">
        <f>IFERROR(__xludf.DUMMYFUNCTION("""COMPUTED_VALUE"""),419.0)</f>
        <v>419</v>
      </c>
      <c r="CM129" s="16"/>
      <c r="CN129" s="16"/>
      <c r="CO129" s="16"/>
      <c r="CP129" s="16"/>
      <c r="CQ129" s="16"/>
      <c r="CR129" s="16" t="str">
        <f>IFERROR(__xludf.DUMMYFUNCTION("""COMPUTED_VALUE"""),"2b-4e19")</f>
        <v>2b-4e19</v>
      </c>
      <c r="CS129" s="16"/>
      <c r="CT129" s="16"/>
      <c r="CU129" s="16">
        <f>IFERROR(__xludf.DUMMYFUNCTION("""COMPUTED_VALUE"""),4.0)</f>
        <v>4</v>
      </c>
      <c r="CV129" s="16"/>
      <c r="CW129" s="16"/>
      <c r="CX129" s="16"/>
      <c r="CY129" s="16"/>
      <c r="CZ129" s="16"/>
      <c r="DA129" s="16"/>
      <c r="DB129" s="16"/>
      <c r="DC129" s="16">
        <f>IFERROR(__xludf.DUMMYFUNCTION("""COMPUTED_VALUE"""),19.0)</f>
        <v>19</v>
      </c>
      <c r="DD129" s="16"/>
      <c r="DE129" s="16"/>
      <c r="DF129" s="16"/>
      <c r="DG129" s="16"/>
      <c r="DH129" s="16"/>
      <c r="DI129" s="16"/>
      <c r="DJ129" s="16"/>
      <c r="DK129" s="16">
        <f>IFERROR(__xludf.DUMMYFUNCTION("""COMPUTED_VALUE"""),-2.0)</f>
        <v>-2</v>
      </c>
      <c r="DL129" s="16"/>
      <c r="DM129" s="16"/>
      <c r="DN129" s="16"/>
      <c r="DO129" s="16"/>
      <c r="DP129" s="16"/>
      <c r="DQ129" s="16"/>
      <c r="DR129" s="16"/>
      <c r="DS129" s="16">
        <f>IFERROR(__xludf.DUMMYFUNCTION("""COMPUTED_VALUE"""),2.0)</f>
        <v>2</v>
      </c>
      <c r="DT129" s="16"/>
      <c r="DU129" s="16"/>
      <c r="DV129" s="16"/>
      <c r="DW129" s="16"/>
      <c r="DX129" s="16"/>
      <c r="DY129" s="16"/>
      <c r="DZ129" s="16"/>
      <c r="EA129" s="16">
        <f>IFERROR(__xludf.DUMMYFUNCTION("""COMPUTED_VALUE"""),0.0)</f>
        <v>0</v>
      </c>
      <c r="EB129" s="16"/>
      <c r="EC129" s="16"/>
      <c r="ED129" s="16"/>
      <c r="EE129" s="16"/>
      <c r="EF129" s="16"/>
      <c r="EG129" s="179"/>
      <c r="EH129" s="179"/>
      <c r="EI129" s="179">
        <f>IFERROR(__xludf.DUMMYFUNCTION("""COMPUTED_VALUE"""),9.0)</f>
        <v>9</v>
      </c>
      <c r="EJ129" s="179"/>
      <c r="EK129" s="179"/>
      <c r="EL129" s="179"/>
      <c r="EM129" s="179"/>
      <c r="EN129" s="179"/>
      <c r="EO129" s="16"/>
      <c r="EP129" s="16"/>
      <c r="EQ129" s="16">
        <f>IFERROR(__xludf.DUMMYFUNCTION("""COMPUTED_VALUE"""),4.0)</f>
        <v>4</v>
      </c>
      <c r="ER129" s="16">
        <f>IFERROR(__xludf.DUMMYFUNCTION("""COMPUTED_VALUE"""),3.0)</f>
        <v>3</v>
      </c>
      <c r="ES129" s="16"/>
      <c r="ET129" s="16"/>
      <c r="EU129" s="16"/>
      <c r="EV129" s="16"/>
      <c r="EW129" s="16"/>
      <c r="EX129" s="180"/>
      <c r="EY129" s="180"/>
      <c r="EZ129" s="180">
        <f>IFERROR(__xludf.DUMMYFUNCTION("""COMPUTED_VALUE"""),0.3)</f>
        <v>0.3</v>
      </c>
      <c r="FA129" s="180"/>
      <c r="FB129" s="180"/>
      <c r="FC129" s="180"/>
      <c r="FD129" s="180"/>
      <c r="FE129" s="180"/>
      <c r="FF129" s="180"/>
      <c r="FG129" s="180"/>
      <c r="FH129" s="180">
        <f>IFERROR(__xludf.DUMMYFUNCTION("""COMPUTED_VALUE"""),0.1111111111111111)</f>
        <v>0.1111111111</v>
      </c>
      <c r="FI129" s="180"/>
      <c r="FJ129" s="180"/>
      <c r="FK129" s="180"/>
      <c r="FL129" s="180"/>
      <c r="FM129" s="180"/>
      <c r="FN129" s="16"/>
      <c r="FO129" s="16"/>
      <c r="FP129" s="16">
        <f>IFERROR(__xludf.DUMMYFUNCTION("""COMPUTED_VALUE"""),0.6222222222222221)</f>
        <v>0.6222222222</v>
      </c>
      <c r="FQ129" s="16"/>
      <c r="FR129" s="16"/>
      <c r="FS129" s="16"/>
      <c r="FT129" s="16"/>
      <c r="FU129" s="16"/>
      <c r="FV129" s="16"/>
      <c r="FW129" s="16"/>
      <c r="FX129" s="16">
        <f>IFERROR(__xludf.DUMMYFUNCTION("""COMPUTED_VALUE"""),-6.0)</f>
        <v>-6</v>
      </c>
      <c r="FY129" s="16"/>
      <c r="FZ129" s="16"/>
      <c r="GA129" s="16"/>
      <c r="GB129" s="16"/>
      <c r="GC129" s="16"/>
      <c r="GD129" s="16" t="s">
        <v>260</v>
      </c>
    </row>
    <row r="130">
      <c r="A130" s="16">
        <f>IFERROR(__xludf.DUMMYFUNCTION("""COMPUTED_VALUE"""),13215.0)</f>
        <v>13215</v>
      </c>
      <c r="B130" s="16" t="str">
        <f>IFERROR(__xludf.DUMMYFUNCTION("""COMPUTED_VALUE"""),"Mike Yastrzemski")</f>
        <v>Mike Yastrzemski</v>
      </c>
      <c r="C130" s="16">
        <f>IFERROR(__xludf.DUMMYFUNCTION("""COMPUTED_VALUE"""),1.28)</f>
        <v>1.28</v>
      </c>
      <c r="D130" s="16" t="str">
        <f>IFERROR(__xludf.DUMMYFUNCTION("""COMPUTED_VALUE"""),"L")</f>
        <v>L</v>
      </c>
      <c r="E130" s="16"/>
      <c r="F130" s="16"/>
      <c r="G130" s="16">
        <f>IFERROR(__xludf.DUMMYFUNCTION("""COMPUTED_VALUE"""),428.0)</f>
        <v>428</v>
      </c>
      <c r="H130" s="16">
        <f>IFERROR(__xludf.DUMMYFUNCTION("""COMPUTED_VALUE"""),38.0)</f>
        <v>38</v>
      </c>
      <c r="I130" s="16" t="str">
        <f>IFERROR(__xludf.DUMMYFUNCTION("""COMPUTED_VALUE"""),"1p65")</f>
        <v>1p65</v>
      </c>
      <c r="J130" s="16">
        <f>IFERROR(__xludf.DUMMYFUNCTION("""COMPUTED_VALUE"""),44.0)</f>
        <v>44</v>
      </c>
      <c r="K130" s="16">
        <f>IFERROR(__xludf.DUMMYFUNCTION("""COMPUTED_VALUE"""),29.0)</f>
        <v>29</v>
      </c>
      <c r="L130" s="16">
        <f>IFERROR(__xludf.DUMMYFUNCTION("""COMPUTED_VALUE"""),-2.0)</f>
        <v>-2</v>
      </c>
      <c r="M130" s="16">
        <f>IFERROR(__xludf.DUMMYFUNCTION("""COMPUTED_VALUE"""),0.0)</f>
        <v>0</v>
      </c>
      <c r="N130" s="16">
        <f>IFERROR(__xludf.DUMMYFUNCTION("""COMPUTED_VALUE"""),-2.0)</f>
        <v>-2</v>
      </c>
      <c r="O130" s="16">
        <f>IFERROR(__xludf.DUMMYFUNCTION("""COMPUTED_VALUE"""),0.0)</f>
        <v>0</v>
      </c>
      <c r="P130" s="16">
        <f>IFERROR(__xludf.DUMMYFUNCTION("""COMPUTED_VALUE"""),9.0)</f>
        <v>9</v>
      </c>
      <c r="Q130" s="16">
        <f>IFERROR(__xludf.DUMMYFUNCTION("""COMPUTED_VALUE"""),7.0)</f>
        <v>7</v>
      </c>
      <c r="R130" s="16">
        <f>IFERROR(__xludf.DUMMYFUNCTION("""COMPUTED_VALUE"""),0.0)</f>
        <v>0</v>
      </c>
      <c r="S130" s="16">
        <f>IFERROR(__xludf.DUMMYFUNCTION("""COMPUTED_VALUE"""),-1.0)</f>
        <v>-1</v>
      </c>
      <c r="T130" s="16">
        <f>IFERROR(__xludf.DUMMYFUNCTION("""COMPUTED_VALUE"""),0.0)</f>
        <v>0</v>
      </c>
      <c r="U130" s="16">
        <f>IFERROR(__xludf.DUMMYFUNCTION("""COMPUTED_VALUE"""),-1.0)</f>
        <v>-1</v>
      </c>
      <c r="V130" s="16">
        <f>IFERROR(__xludf.DUMMYFUNCTION("""COMPUTED_VALUE"""),18.5)</f>
        <v>18.5</v>
      </c>
      <c r="W130" s="16">
        <f>IFERROR(__xludf.DUMMYFUNCTION("""COMPUTED_VALUE"""),15.6)</f>
        <v>15.6</v>
      </c>
      <c r="X130" s="16">
        <f>IFERROR(__xludf.DUMMYFUNCTION("""COMPUTED_VALUE"""),0.0)</f>
        <v>0</v>
      </c>
      <c r="Y130" s="16">
        <f>IFERROR(__xludf.DUMMYFUNCTION("""COMPUTED_VALUE"""),-1.0)</f>
        <v>-1</v>
      </c>
      <c r="Z130" s="16">
        <f>IFERROR(__xludf.DUMMYFUNCTION("""COMPUTED_VALUE"""),0.0)</f>
        <v>0</v>
      </c>
      <c r="AA130" s="16">
        <f>IFERROR(__xludf.DUMMYFUNCTION("""COMPUTED_VALUE"""),-2.0)</f>
        <v>-2</v>
      </c>
      <c r="AB130" s="16">
        <f>IFERROR(__xludf.DUMMYFUNCTION("""COMPUTED_VALUE"""),30.5)</f>
        <v>30.5</v>
      </c>
      <c r="AC130" s="16">
        <f>IFERROR(__xludf.DUMMYFUNCTION("""COMPUTED_VALUE"""),25.6)</f>
        <v>25.6</v>
      </c>
      <c r="AD130" s="16">
        <f>IFERROR(__xludf.DUMMYFUNCTION("""COMPUTED_VALUE"""),0.0)</f>
        <v>0</v>
      </c>
      <c r="AE130" s="16">
        <f>IFERROR(__xludf.DUMMYFUNCTION("""COMPUTED_VALUE"""),-1.0)</f>
        <v>-1</v>
      </c>
      <c r="AF130" s="16">
        <f>IFERROR(__xludf.DUMMYFUNCTION("""COMPUTED_VALUE"""),0.0)</f>
        <v>0</v>
      </c>
      <c r="AG130" s="16">
        <f>IFERROR(__xludf.DUMMYFUNCTION("""COMPUTED_VALUE"""),-5.0)</f>
        <v>-5</v>
      </c>
      <c r="AH130" s="16">
        <f>IFERROR(__xludf.DUMMYFUNCTION("""COMPUTED_VALUE"""),33.8)</f>
        <v>33.8</v>
      </c>
      <c r="AI130" s="16">
        <f>IFERROR(__xludf.DUMMYFUNCTION("""COMPUTED_VALUE"""),35.4)</f>
        <v>35.4</v>
      </c>
      <c r="AJ130" s="16">
        <f>IFERROR(__xludf.DUMMYFUNCTION("""COMPUTED_VALUE"""),0.0)</f>
        <v>0</v>
      </c>
      <c r="AK130" s="16">
        <f>IFERROR(__xludf.DUMMYFUNCTION("""COMPUTED_VALUE"""),0.0)</f>
        <v>0</v>
      </c>
      <c r="AL130" s="16">
        <f>IFERROR(__xludf.DUMMYFUNCTION("""COMPUTED_VALUE"""),0.0)</f>
        <v>0</v>
      </c>
      <c r="AM130" s="16">
        <f>IFERROR(__xludf.DUMMYFUNCTION("""COMPUTED_VALUE"""),0.0)</f>
        <v>0</v>
      </c>
      <c r="AN130" s="16">
        <f>IFERROR(__xludf.DUMMYFUNCTION("""COMPUTED_VALUE"""),0.0)</f>
        <v>0</v>
      </c>
      <c r="AO130" s="16">
        <f>IFERROR(__xludf.DUMMYFUNCTION("""COMPUTED_VALUE"""),4.0)</f>
        <v>4</v>
      </c>
      <c r="AP130" s="16">
        <f>IFERROR(__xludf.DUMMYFUNCTION("""COMPUTED_VALUE"""),-2.0)</f>
        <v>-2</v>
      </c>
      <c r="AQ130" s="16">
        <f>IFERROR(__xludf.DUMMYFUNCTION("""COMPUTED_VALUE"""),2.0)</f>
        <v>2</v>
      </c>
      <c r="AR130" s="16">
        <f>IFERROR(__xludf.DUMMYFUNCTION("""COMPUTED_VALUE"""),-4.0)</f>
        <v>-4</v>
      </c>
      <c r="AS130" s="16">
        <f>IFERROR(__xludf.DUMMYFUNCTION("""COMPUTED_VALUE"""),4.0)</f>
        <v>4</v>
      </c>
      <c r="AT130" s="16"/>
      <c r="AU130" s="16">
        <f>IFERROR(__xludf.DUMMYFUNCTION("""COMPUTED_VALUE"""),8.0)</f>
        <v>8</v>
      </c>
      <c r="AV130" s="16">
        <f>IFERROR(__xludf.DUMMYFUNCTION("""COMPUTED_VALUE"""),-3.0)</f>
        <v>-3</v>
      </c>
      <c r="AW130" s="16">
        <f>IFERROR(__xludf.DUMMYFUNCTION("""COMPUTED_VALUE"""),8.0)</f>
        <v>8</v>
      </c>
      <c r="AX130" s="16">
        <f>IFERROR(__xludf.DUMMYFUNCTION("""COMPUTED_VALUE"""),-3.0)</f>
        <v>-3</v>
      </c>
      <c r="AY130" s="16">
        <f>IFERROR(__xludf.DUMMYFUNCTION("""COMPUTED_VALUE"""),3.0)</f>
        <v>3</v>
      </c>
      <c r="AZ130" s="16">
        <f>IFERROR(__xludf.DUMMYFUNCTION("""COMPUTED_VALUE"""),-9.0)</f>
        <v>-9</v>
      </c>
      <c r="BA130" s="16">
        <f>IFERROR(__xludf.DUMMYFUNCTION("""COMPUTED_VALUE"""),9.0)</f>
        <v>9</v>
      </c>
      <c r="BB130" s="16">
        <f>IFERROR(__xludf.DUMMYFUNCTION("""COMPUTED_VALUE"""),5.0)</f>
        <v>5</v>
      </c>
      <c r="BC130" s="16">
        <f>IFERROR(__xludf.DUMMYFUNCTION("""COMPUTED_VALUE"""),5.0)</f>
        <v>5</v>
      </c>
      <c r="BD130" s="16">
        <f>IFERROR(__xludf.DUMMYFUNCTION("""COMPUTED_VALUE"""),1.0)</f>
        <v>1</v>
      </c>
      <c r="BE130" s="16">
        <f>IFERROR(__xludf.DUMMYFUNCTION("""COMPUTED_VALUE"""),1.0)</f>
        <v>1</v>
      </c>
      <c r="BF130" s="16">
        <f>IFERROR(__xludf.DUMMYFUNCTION("""COMPUTED_VALUE"""),1.0)</f>
        <v>1</v>
      </c>
      <c r="BG130" s="16">
        <f>IFERROR(__xludf.DUMMYFUNCTION("""COMPUTED_VALUE"""),1.0)</f>
        <v>1</v>
      </c>
      <c r="BH130" s="16">
        <f>IFERROR(__xludf.DUMMYFUNCTION("""COMPUTED_VALUE"""),-8.0)</f>
        <v>-8</v>
      </c>
      <c r="BI130" s="16">
        <f>IFERROR(__xludf.DUMMYFUNCTION("""COMPUTED_VALUE"""),-5.0)</f>
        <v>-5</v>
      </c>
      <c r="BJ130" s="16">
        <f>IFERROR(__xludf.DUMMYFUNCTION("""COMPUTED_VALUE"""),6.0)</f>
        <v>6</v>
      </c>
      <c r="BK130" s="16">
        <f>IFERROR(__xludf.DUMMYFUNCTION("""COMPUTED_VALUE"""),7.0)</f>
        <v>7</v>
      </c>
      <c r="BL130" s="16">
        <f>IFERROR(__xludf.DUMMYFUNCTION("""COMPUTED_VALUE"""),1.0)</f>
        <v>1</v>
      </c>
      <c r="BM130" s="16">
        <f>IFERROR(__xludf.DUMMYFUNCTION("""COMPUTED_VALUE"""),1.0)</f>
        <v>1</v>
      </c>
      <c r="BN130" s="16">
        <f>IFERROR(__xludf.DUMMYFUNCTION("""COMPUTED_VALUE"""),1.0)</f>
        <v>1</v>
      </c>
      <c r="BO130" s="16">
        <f>IFERROR(__xludf.DUMMYFUNCTION("""COMPUTED_VALUE"""),1.0)</f>
        <v>1</v>
      </c>
      <c r="BP130" s="16">
        <f>IFERROR(__xludf.DUMMYFUNCTION("""COMPUTED_VALUE"""),-5.0)</f>
        <v>-5</v>
      </c>
      <c r="BQ130" s="16">
        <f>IFERROR(__xludf.DUMMYFUNCTION("""COMPUTED_VALUE"""),4.0)</f>
        <v>4</v>
      </c>
      <c r="BR130" s="16">
        <f>IFERROR(__xludf.DUMMYFUNCTION("""COMPUTED_VALUE"""),-1.0)</f>
        <v>-1</v>
      </c>
      <c r="BS130" s="16" t="str">
        <f>IFERROR(__xludf.DUMMYFUNCTION("""COMPUTED_VALUE"""),"7/- (13-6)")</f>
        <v>7/- (13-6)</v>
      </c>
      <c r="BT130" s="16" t="str">
        <f>IFERROR(__xludf.DUMMYFUNCTION("""COMPUTED_VALUE"""),"D")</f>
        <v>D</v>
      </c>
      <c r="BU130" s="16">
        <f>IFERROR(__xludf.DUMMYFUNCTION("""COMPUTED_VALUE"""),14.0)</f>
        <v>14</v>
      </c>
      <c r="BV130" s="16">
        <f>IFERROR(__xludf.DUMMYFUNCTION("""COMPUTED_VALUE"""),0.0)</f>
        <v>0</v>
      </c>
      <c r="BW130" s="16">
        <f>IFERROR(__xludf.DUMMYFUNCTION("""COMPUTED_VALUE"""),1.0)</f>
        <v>1</v>
      </c>
      <c r="BX130" s="16">
        <f>IFERROR(__xludf.DUMMYFUNCTION("""COMPUTED_VALUE"""),0.0)</f>
        <v>0</v>
      </c>
      <c r="BY130" s="16">
        <f>IFERROR(__xludf.DUMMYFUNCTION("""COMPUTED_VALUE"""),3.0)</f>
        <v>3</v>
      </c>
      <c r="BZ130" s="16" t="str">
        <f>IFERROR(__xludf.DUMMYFUNCTION("""COMPUTED_VALUE"""),"C")</f>
        <v>C</v>
      </c>
      <c r="CA130" s="16" t="str">
        <f>IFERROR(__xludf.DUMMYFUNCTION("""COMPUTED_VALUE"""),"D")</f>
        <v>D</v>
      </c>
      <c r="CB130" s="16">
        <f>IFERROR(__xludf.DUMMYFUNCTION("""COMPUTED_VALUE"""),0.0)</f>
        <v>0</v>
      </c>
      <c r="CC130" s="16">
        <f>IFERROR(__xludf.DUMMYFUNCTION("""COMPUTED_VALUE"""),0.0)</f>
        <v>0</v>
      </c>
      <c r="CD130" s="16">
        <f>IFERROR(__xludf.DUMMYFUNCTION("""COMPUTED_VALUE"""),0.0)</f>
        <v>0</v>
      </c>
      <c r="CE130" s="16">
        <f>IFERROR(__xludf.DUMMYFUNCTION("""COMPUTED_VALUE"""),0.0)</f>
        <v>0</v>
      </c>
      <c r="CF130" s="16">
        <f>IFERROR(__xludf.DUMMYFUNCTION("""COMPUTED_VALUE"""),1.0)</f>
        <v>1</v>
      </c>
      <c r="CG130" s="16">
        <f>IFERROR(__xludf.DUMMYFUNCTION("""COMPUTED_VALUE"""),-13.0)</f>
        <v>-13</v>
      </c>
      <c r="CH130" s="16">
        <f>IFERROR(__xludf.DUMMYFUNCTION("""COMPUTED_VALUE"""),7.0)</f>
        <v>7</v>
      </c>
      <c r="CI130" s="179">
        <f>IFERROR(__xludf.DUMMYFUNCTION("""COMPUTED_VALUE"""),9.0)</f>
        <v>9</v>
      </c>
      <c r="CJ130" s="16"/>
      <c r="CK130" s="16"/>
      <c r="CL130" s="16"/>
      <c r="CM130" s="16"/>
      <c r="CN130" s="16"/>
      <c r="CO130" s="16"/>
      <c r="CP130" s="16">
        <f>IFERROR(__xludf.DUMMYFUNCTION("""COMPUTED_VALUE"""),306.0)</f>
        <v>306</v>
      </c>
      <c r="CQ130" s="16">
        <f>IFERROR(__xludf.DUMMYFUNCTION("""COMPUTED_VALUE"""),106.0)</f>
        <v>106</v>
      </c>
      <c r="CR130" s="16" t="str">
        <f>IFERROR(__xludf.DUMMYFUNCTION("""COMPUTED_VALUE"""),"rf-1(-1)e6 cf-3e6")</f>
        <v>rf-1(-1)e6 cf-3e6</v>
      </c>
      <c r="CS130" s="16"/>
      <c r="CT130" s="16"/>
      <c r="CU130" s="16"/>
      <c r="CV130" s="16"/>
      <c r="CW130" s="16"/>
      <c r="CX130" s="16"/>
      <c r="CY130" s="16">
        <f>IFERROR(__xludf.DUMMYFUNCTION("""COMPUTED_VALUE"""),3.0)</f>
        <v>3</v>
      </c>
      <c r="CZ130" s="16">
        <f>IFERROR(__xludf.DUMMYFUNCTION("""COMPUTED_VALUE"""),1.0)</f>
        <v>1</v>
      </c>
      <c r="DA130" s="16"/>
      <c r="DB130" s="16"/>
      <c r="DC130" s="16"/>
      <c r="DD130" s="16"/>
      <c r="DE130" s="16"/>
      <c r="DF130" s="16"/>
      <c r="DG130" s="16">
        <f>IFERROR(__xludf.DUMMYFUNCTION("""COMPUTED_VALUE"""),6.0)</f>
        <v>6</v>
      </c>
      <c r="DH130" s="16">
        <f>IFERROR(__xludf.DUMMYFUNCTION("""COMPUTED_VALUE"""),6.0)</f>
        <v>6</v>
      </c>
      <c r="DI130" s="16"/>
      <c r="DJ130" s="16"/>
      <c r="DK130" s="16"/>
      <c r="DL130" s="16"/>
      <c r="DM130" s="16"/>
      <c r="DN130" s="16"/>
      <c r="DO130" s="16">
        <f>IFERROR(__xludf.DUMMYFUNCTION("""COMPUTED_VALUE"""),0.0)</f>
        <v>0</v>
      </c>
      <c r="DP130" s="16">
        <f>IFERROR(__xludf.DUMMYFUNCTION("""COMPUTED_VALUE"""),4.0)</f>
        <v>4</v>
      </c>
      <c r="DQ130" s="16"/>
      <c r="DR130" s="16"/>
      <c r="DS130" s="16"/>
      <c r="DT130" s="16"/>
      <c r="DU130" s="16"/>
      <c r="DV130" s="16"/>
      <c r="DW130" s="16">
        <f>IFERROR(__xludf.DUMMYFUNCTION("""COMPUTED_VALUE"""),3.0)</f>
        <v>3</v>
      </c>
      <c r="DX130" s="16">
        <f>IFERROR(__xludf.DUMMYFUNCTION("""COMPUTED_VALUE"""),2.0)</f>
        <v>2</v>
      </c>
      <c r="DY130" s="16"/>
      <c r="DZ130" s="16"/>
      <c r="EA130" s="16"/>
      <c r="EB130" s="16"/>
      <c r="EC130" s="16"/>
      <c r="ED130" s="16"/>
      <c r="EE130" s="16">
        <f>IFERROR(__xludf.DUMMYFUNCTION("""COMPUTED_VALUE"""),3.0)</f>
        <v>3</v>
      </c>
      <c r="EF130" s="16">
        <f>IFERROR(__xludf.DUMMYFUNCTION("""COMPUTED_VALUE"""),6.0)</f>
        <v>6</v>
      </c>
      <c r="EG130" s="179"/>
      <c r="EH130" s="179"/>
      <c r="EI130" s="179"/>
      <c r="EJ130" s="179"/>
      <c r="EK130" s="179"/>
      <c r="EL130" s="179"/>
      <c r="EM130" s="179">
        <f>IFERROR(__xludf.DUMMYFUNCTION("""COMPUTED_VALUE"""),12.0)</f>
        <v>12</v>
      </c>
      <c r="EN130" s="179">
        <f>IFERROR(__xludf.DUMMYFUNCTION("""COMPUTED_VALUE"""),15.0)</f>
        <v>15</v>
      </c>
      <c r="EO130" s="16"/>
      <c r="EP130" s="16"/>
      <c r="EQ130" s="16">
        <f>IFERROR(__xludf.DUMMYFUNCTION("""COMPUTED_VALUE"""),4.0)</f>
        <v>4</v>
      </c>
      <c r="ER130" s="16">
        <f>IFERROR(__xludf.DUMMYFUNCTION("""COMPUTED_VALUE"""),2.0)</f>
        <v>2</v>
      </c>
      <c r="ES130" s="16"/>
      <c r="ET130" s="16"/>
      <c r="EU130" s="16"/>
      <c r="EV130" s="16"/>
      <c r="EW130" s="16"/>
      <c r="EX130" s="180"/>
      <c r="EY130" s="180"/>
      <c r="EZ130" s="180"/>
      <c r="FA130" s="180"/>
      <c r="FB130" s="180"/>
      <c r="FC130" s="180"/>
      <c r="FD130" s="180">
        <f>IFERROR(__xludf.DUMMYFUNCTION("""COMPUTED_VALUE"""),0.3)</f>
        <v>0.3</v>
      </c>
      <c r="FE130" s="180">
        <f>IFERROR(__xludf.DUMMYFUNCTION("""COMPUTED_VALUE"""),0.0)</f>
        <v>0</v>
      </c>
      <c r="FF130" s="180"/>
      <c r="FG130" s="180"/>
      <c r="FH130" s="180"/>
      <c r="FI130" s="180"/>
      <c r="FJ130" s="180"/>
      <c r="FK130" s="180"/>
      <c r="FL130" s="180">
        <f>IFERROR(__xludf.DUMMYFUNCTION("""COMPUTED_VALUE"""),0.06944444444444445)</f>
        <v>0.06944444444</v>
      </c>
      <c r="FM130" s="180">
        <f>IFERROR(__xludf.DUMMYFUNCTION("""COMPUTED_VALUE"""),0.106)</f>
        <v>0.106</v>
      </c>
      <c r="FN130" s="16"/>
      <c r="FO130" s="16"/>
      <c r="FP130" s="16"/>
      <c r="FQ130" s="16"/>
      <c r="FR130" s="16"/>
      <c r="FS130" s="16"/>
      <c r="FT130" s="16">
        <f>IFERROR(__xludf.DUMMYFUNCTION("""COMPUTED_VALUE"""),0.6513888888888889)</f>
        <v>0.6513888889</v>
      </c>
      <c r="FU130" s="16">
        <f>IFERROR(__xludf.DUMMYFUNCTION("""COMPUTED_VALUE"""),0.894)</f>
        <v>0.894</v>
      </c>
      <c r="FV130" s="16"/>
      <c r="FW130" s="16"/>
      <c r="FX130" s="16"/>
      <c r="FY130" s="16"/>
      <c r="FZ130" s="16"/>
      <c r="GA130" s="16"/>
      <c r="GB130" s="16">
        <f>IFERROR(__xludf.DUMMYFUNCTION("""COMPUTED_VALUE"""),-4.0)</f>
        <v>-4</v>
      </c>
      <c r="GC130" s="16">
        <f>IFERROR(__xludf.DUMMYFUNCTION("""COMPUTED_VALUE"""),4.0)</f>
        <v>4</v>
      </c>
      <c r="GD130" s="16" t="s">
        <v>215</v>
      </c>
    </row>
    <row r="131">
      <c r="A131" s="16">
        <f>IFERROR(__xludf.DUMMYFUNCTION("""COMPUTED_VALUE"""),13230.0)</f>
        <v>13230</v>
      </c>
      <c r="B131" s="16" t="str">
        <f>IFERROR(__xludf.DUMMYFUNCTION("""COMPUTED_VALUE"""),"Nathaniel Lowe")</f>
        <v>Nathaniel Lowe</v>
      </c>
      <c r="C131" s="16">
        <f>IFERROR(__xludf.DUMMYFUNCTION("""COMPUTED_VALUE"""),1.39)</f>
        <v>1.39</v>
      </c>
      <c r="D131" s="16" t="str">
        <f>IFERROR(__xludf.DUMMYFUNCTION("""COMPUTED_VALUE"""),"L")</f>
        <v>L</v>
      </c>
      <c r="E131" s="16"/>
      <c r="F131" s="16"/>
      <c r="G131" s="16">
        <f>IFERROR(__xludf.DUMMYFUNCTION("""COMPUTED_VALUE"""),486.0)</f>
        <v>486</v>
      </c>
      <c r="H131" s="16">
        <f>IFERROR(__xludf.DUMMYFUNCTION("""COMPUTED_VALUE"""),71.0)</f>
        <v>71</v>
      </c>
      <c r="I131" s="16" t="str">
        <f>IFERROR(__xludf.DUMMYFUNCTION("""COMPUTED_VALUE"""),"2p65")</f>
        <v>2p65</v>
      </c>
      <c r="J131" s="16">
        <f>IFERROR(__xludf.DUMMYFUNCTION("""COMPUTED_VALUE"""),30.0)</f>
        <v>30</v>
      </c>
      <c r="K131" s="16">
        <f>IFERROR(__xludf.DUMMYFUNCTION("""COMPUTED_VALUE"""),21.0)</f>
        <v>21</v>
      </c>
      <c r="L131" s="16">
        <f>IFERROR(__xludf.DUMMYFUNCTION("""COMPUTED_VALUE"""),0.0)</f>
        <v>0</v>
      </c>
      <c r="M131" s="16">
        <f>IFERROR(__xludf.DUMMYFUNCTION("""COMPUTED_VALUE"""),0.0)</f>
        <v>0</v>
      </c>
      <c r="N131" s="16">
        <f>IFERROR(__xludf.DUMMYFUNCTION("""COMPUTED_VALUE"""),0.0)</f>
        <v>0</v>
      </c>
      <c r="O131" s="16">
        <f>IFERROR(__xludf.DUMMYFUNCTION("""COMPUTED_VALUE"""),0.0)</f>
        <v>0</v>
      </c>
      <c r="P131" s="16">
        <f>IFERROR(__xludf.DUMMYFUNCTION("""COMPUTED_VALUE"""),25.0)</f>
        <v>25</v>
      </c>
      <c r="Q131" s="16">
        <f>IFERROR(__xludf.DUMMYFUNCTION("""COMPUTED_VALUE"""),15.0)</f>
        <v>15</v>
      </c>
      <c r="R131" s="16">
        <f>IFERROR(__xludf.DUMMYFUNCTION("""COMPUTED_VALUE"""),3.0)</f>
        <v>3</v>
      </c>
      <c r="S131" s="16">
        <f>IFERROR(__xludf.DUMMYFUNCTION("""COMPUTED_VALUE"""),2.0)</f>
        <v>2</v>
      </c>
      <c r="T131" s="16">
        <f>IFERROR(__xludf.DUMMYFUNCTION("""COMPUTED_VALUE"""),3.0)</f>
        <v>3</v>
      </c>
      <c r="U131" s="16">
        <f>IFERROR(__xludf.DUMMYFUNCTION("""COMPUTED_VALUE"""),2.0)</f>
        <v>2</v>
      </c>
      <c r="V131" s="16">
        <f>IFERROR(__xludf.DUMMYFUNCTION("""COMPUTED_VALUE"""),25.6)</f>
        <v>25.6</v>
      </c>
      <c r="W131" s="16">
        <f>IFERROR(__xludf.DUMMYFUNCTION("""COMPUTED_VALUE"""),19.9)</f>
        <v>19.9</v>
      </c>
      <c r="X131" s="16">
        <f>IFERROR(__xludf.DUMMYFUNCTION("""COMPUTED_VALUE"""),1.0)</f>
        <v>1</v>
      </c>
      <c r="Y131" s="16">
        <f>IFERROR(__xludf.DUMMYFUNCTION("""COMPUTED_VALUE"""),0.0)</f>
        <v>0</v>
      </c>
      <c r="Z131" s="16">
        <f>IFERROR(__xludf.DUMMYFUNCTION("""COMPUTED_VALUE"""),2.0)</f>
        <v>2</v>
      </c>
      <c r="AA131" s="16">
        <f>IFERROR(__xludf.DUMMYFUNCTION("""COMPUTED_VALUE"""),0.0)</f>
        <v>0</v>
      </c>
      <c r="AB131" s="16">
        <f>IFERROR(__xludf.DUMMYFUNCTION("""COMPUTED_VALUE"""),52.5)</f>
        <v>52.5</v>
      </c>
      <c r="AC131" s="16">
        <f>IFERROR(__xludf.DUMMYFUNCTION("""COMPUTED_VALUE"""),37.0)</f>
        <v>37</v>
      </c>
      <c r="AD131" s="16">
        <f>IFERROR(__xludf.DUMMYFUNCTION("""COMPUTED_VALUE"""),2.0)</f>
        <v>2</v>
      </c>
      <c r="AE131" s="16">
        <f>IFERROR(__xludf.DUMMYFUNCTION("""COMPUTED_VALUE"""),1.0)</f>
        <v>1</v>
      </c>
      <c r="AF131" s="16">
        <f>IFERROR(__xludf.DUMMYFUNCTION("""COMPUTED_VALUE"""),10.0)</f>
        <v>10</v>
      </c>
      <c r="AG131" s="16">
        <f>IFERROR(__xludf.DUMMYFUNCTION("""COMPUTED_VALUE"""),5.0)</f>
        <v>5</v>
      </c>
      <c r="AH131" s="16">
        <f>IFERROR(__xludf.DUMMYFUNCTION("""COMPUTED_VALUE"""),31.0)</f>
        <v>31</v>
      </c>
      <c r="AI131" s="16">
        <f>IFERROR(__xludf.DUMMYFUNCTION("""COMPUTED_VALUE"""),27.3)</f>
        <v>27.3</v>
      </c>
      <c r="AJ131" s="16">
        <f>IFERROR(__xludf.DUMMYFUNCTION("""COMPUTED_VALUE"""),0.0)</f>
        <v>0</v>
      </c>
      <c r="AK131" s="16">
        <f>IFERROR(__xludf.DUMMYFUNCTION("""COMPUTED_VALUE"""),-1.0)</f>
        <v>-1</v>
      </c>
      <c r="AL131" s="16">
        <f>IFERROR(__xludf.DUMMYFUNCTION("""COMPUTED_VALUE"""),0.0)</f>
        <v>0</v>
      </c>
      <c r="AM131" s="16">
        <f>IFERROR(__xludf.DUMMYFUNCTION("""COMPUTED_VALUE"""),-5.0)</f>
        <v>-5</v>
      </c>
      <c r="AN131" s="16">
        <f>IFERROR(__xludf.DUMMYFUNCTION("""COMPUTED_VALUE"""),1.4)</f>
        <v>1.4</v>
      </c>
      <c r="AO131" s="16">
        <f>IFERROR(__xludf.DUMMYFUNCTION("""COMPUTED_VALUE"""),2.1)</f>
        <v>2.1</v>
      </c>
      <c r="AP131" s="16">
        <f>IFERROR(__xludf.DUMMYFUNCTION("""COMPUTED_VALUE"""),-1.0)</f>
        <v>-1</v>
      </c>
      <c r="AQ131" s="16">
        <f>IFERROR(__xludf.DUMMYFUNCTION("""COMPUTED_VALUE"""),0.0)</f>
        <v>0</v>
      </c>
      <c r="AR131" s="16">
        <f>IFERROR(__xludf.DUMMYFUNCTION("""COMPUTED_VALUE"""),-2.0)</f>
        <v>-2</v>
      </c>
      <c r="AS131" s="16">
        <f>IFERROR(__xludf.DUMMYFUNCTION("""COMPUTED_VALUE"""),0.0)</f>
        <v>0</v>
      </c>
      <c r="AT131" s="16">
        <f>IFERROR(__xludf.DUMMYFUNCTION("""COMPUTED_VALUE"""),1.0)</f>
        <v>1</v>
      </c>
      <c r="AU131" s="16">
        <f>IFERROR(__xludf.DUMMYFUNCTION("""COMPUTED_VALUE"""),2.0)</f>
        <v>2</v>
      </c>
      <c r="AV131" s="16">
        <f>IFERROR(__xludf.DUMMYFUNCTION("""COMPUTED_VALUE"""),1.0)</f>
        <v>1</v>
      </c>
      <c r="AW131" s="16">
        <f>IFERROR(__xludf.DUMMYFUNCTION("""COMPUTED_VALUE"""),2.0)</f>
        <v>2</v>
      </c>
      <c r="AX131" s="16">
        <f>IFERROR(__xludf.DUMMYFUNCTION("""COMPUTED_VALUE"""),-1.0)</f>
        <v>-1</v>
      </c>
      <c r="AY131" s="16">
        <f>IFERROR(__xludf.DUMMYFUNCTION("""COMPUTED_VALUE"""),0.0)</f>
        <v>0</v>
      </c>
      <c r="AZ131" s="16">
        <f>IFERROR(__xludf.DUMMYFUNCTION("""COMPUTED_VALUE"""),-3.0)</f>
        <v>-3</v>
      </c>
      <c r="BA131" s="16">
        <f>IFERROR(__xludf.DUMMYFUNCTION("""COMPUTED_VALUE"""),0.0)</f>
        <v>0</v>
      </c>
      <c r="BB131" s="16">
        <f>IFERROR(__xludf.DUMMYFUNCTION("""COMPUTED_VALUE"""),5.0)</f>
        <v>5</v>
      </c>
      <c r="BC131" s="16">
        <f>IFERROR(__xludf.DUMMYFUNCTION("""COMPUTED_VALUE"""),5.0)</f>
        <v>5</v>
      </c>
      <c r="BD131" s="16">
        <f>IFERROR(__xludf.DUMMYFUNCTION("""COMPUTED_VALUE"""),1.0)</f>
        <v>1</v>
      </c>
      <c r="BE131" s="16">
        <f>IFERROR(__xludf.DUMMYFUNCTION("""COMPUTED_VALUE"""),1.0)</f>
        <v>1</v>
      </c>
      <c r="BF131" s="16">
        <f>IFERROR(__xludf.DUMMYFUNCTION("""COMPUTED_VALUE"""),1.0)</f>
        <v>1</v>
      </c>
      <c r="BG131" s="16">
        <f>IFERROR(__xludf.DUMMYFUNCTION("""COMPUTED_VALUE"""),1.0)</f>
        <v>1</v>
      </c>
      <c r="BH131" s="16">
        <f>IFERROR(__xludf.DUMMYFUNCTION("""COMPUTED_VALUE"""),4.0)</f>
        <v>4</v>
      </c>
      <c r="BI131" s="16">
        <f>IFERROR(__xludf.DUMMYFUNCTION("""COMPUTED_VALUE"""),5.0)</f>
        <v>5</v>
      </c>
      <c r="BJ131" s="16">
        <f>IFERROR(__xludf.DUMMYFUNCTION("""COMPUTED_VALUE"""),14.0)</f>
        <v>14</v>
      </c>
      <c r="BK131" s="16">
        <f>IFERROR(__xludf.DUMMYFUNCTION("""COMPUTED_VALUE"""),12.0)</f>
        <v>12</v>
      </c>
      <c r="BL131" s="16">
        <f>IFERROR(__xludf.DUMMYFUNCTION("""COMPUTED_VALUE"""),0.0)</f>
        <v>0</v>
      </c>
      <c r="BM131" s="16">
        <f>IFERROR(__xludf.DUMMYFUNCTION("""COMPUTED_VALUE"""),0.0)</f>
        <v>0</v>
      </c>
      <c r="BN131" s="16">
        <f>IFERROR(__xludf.DUMMYFUNCTION("""COMPUTED_VALUE"""),0.0)</f>
        <v>0</v>
      </c>
      <c r="BO131" s="16">
        <f>IFERROR(__xludf.DUMMYFUNCTION("""COMPUTED_VALUE"""),0.0)</f>
        <v>0</v>
      </c>
      <c r="BP131" s="16">
        <f>IFERROR(__xludf.DUMMYFUNCTION("""COMPUTED_VALUE"""),5.0)</f>
        <v>5</v>
      </c>
      <c r="BQ131" s="16">
        <f>IFERROR(__xludf.DUMMYFUNCTION("""COMPUTED_VALUE"""),3.0)</f>
        <v>3</v>
      </c>
      <c r="BR131" s="16">
        <f>IFERROR(__xludf.DUMMYFUNCTION("""COMPUTED_VALUE"""),8.0)</f>
        <v>8</v>
      </c>
      <c r="BS131" s="16" t="str">
        <f>IFERROR(__xludf.DUMMYFUNCTION("""COMPUTED_VALUE"""),"2/- (20-6)")</f>
        <v>2/- (20-6)</v>
      </c>
      <c r="BT131" s="16" t="str">
        <f>IFERROR(__xludf.DUMMYFUNCTION("""COMPUTED_VALUE"""),"E")</f>
        <v>E</v>
      </c>
      <c r="BU131" s="16">
        <f>IFERROR(__xludf.DUMMYFUNCTION("""COMPUTED_VALUE"""),11.0)</f>
        <v>11</v>
      </c>
      <c r="BV131" s="16">
        <f>IFERROR(__xludf.DUMMYFUNCTION("""COMPUTED_VALUE"""),0.0)</f>
        <v>0</v>
      </c>
      <c r="BW131" s="16">
        <f>IFERROR(__xludf.DUMMYFUNCTION("""COMPUTED_VALUE"""),0.0)</f>
        <v>0</v>
      </c>
      <c r="BX131" s="16">
        <f>IFERROR(__xludf.DUMMYFUNCTION("""COMPUTED_VALUE"""),0.0)</f>
        <v>0</v>
      </c>
      <c r="BY131" s="16">
        <f>IFERROR(__xludf.DUMMYFUNCTION("""COMPUTED_VALUE"""),0.0)</f>
        <v>0</v>
      </c>
      <c r="BZ131" s="16" t="str">
        <f>IFERROR(__xludf.DUMMYFUNCTION("""COMPUTED_VALUE"""),"D")</f>
        <v>D</v>
      </c>
      <c r="CA131" s="16" t="str">
        <f>IFERROR(__xludf.DUMMYFUNCTION("""COMPUTED_VALUE"""),"D")</f>
        <v>D</v>
      </c>
      <c r="CB131" s="16">
        <f>IFERROR(__xludf.DUMMYFUNCTION("""COMPUTED_VALUE"""),0.0)</f>
        <v>0</v>
      </c>
      <c r="CC131" s="16">
        <f>IFERROR(__xludf.DUMMYFUNCTION("""COMPUTED_VALUE"""),0.0)</f>
        <v>0</v>
      </c>
      <c r="CD131" s="16">
        <f>IFERROR(__xludf.DUMMYFUNCTION("""COMPUTED_VALUE"""),0.0)</f>
        <v>0</v>
      </c>
      <c r="CE131" s="16">
        <f>IFERROR(__xludf.DUMMYFUNCTION("""COMPUTED_VALUE"""),0.0)</f>
        <v>0</v>
      </c>
      <c r="CF131" s="16">
        <f>IFERROR(__xludf.DUMMYFUNCTION("""COMPUTED_VALUE"""),2.0)</f>
        <v>2</v>
      </c>
      <c r="CG131" s="16">
        <f>IFERROR(__xludf.DUMMYFUNCTION("""COMPUTED_VALUE"""),11.0)</f>
        <v>11</v>
      </c>
      <c r="CH131" s="16">
        <f>IFERROR(__xludf.DUMMYFUNCTION("""COMPUTED_VALUE"""),3.0)</f>
        <v>3</v>
      </c>
      <c r="CI131" s="179">
        <f>IFERROR(__xludf.DUMMYFUNCTION("""COMPUTED_VALUE"""),9.0)</f>
        <v>9</v>
      </c>
      <c r="CJ131" s="16"/>
      <c r="CK131" s="16">
        <f>IFERROR(__xludf.DUMMYFUNCTION("""COMPUTED_VALUE"""),106.0)</f>
        <v>106</v>
      </c>
      <c r="CL131" s="16"/>
      <c r="CM131" s="16"/>
      <c r="CN131" s="16"/>
      <c r="CO131" s="16"/>
      <c r="CP131" s="16"/>
      <c r="CQ131" s="16"/>
      <c r="CR131" s="16" t="str">
        <f>IFERROR(__xludf.DUMMYFUNCTION("""COMPUTED_VALUE"""),"1b-1e6")</f>
        <v>1b-1e6</v>
      </c>
      <c r="CS131" s="16"/>
      <c r="CT131" s="16">
        <f>IFERROR(__xludf.DUMMYFUNCTION("""COMPUTED_VALUE"""),1.0)</f>
        <v>1</v>
      </c>
      <c r="CU131" s="16"/>
      <c r="CV131" s="16"/>
      <c r="CW131" s="16"/>
      <c r="CX131" s="16"/>
      <c r="CY131" s="16"/>
      <c r="CZ131" s="16"/>
      <c r="DA131" s="16"/>
      <c r="DB131" s="16">
        <f>IFERROR(__xludf.DUMMYFUNCTION("""COMPUTED_VALUE"""),6.0)</f>
        <v>6</v>
      </c>
      <c r="DC131" s="16"/>
      <c r="DD131" s="16"/>
      <c r="DE131" s="16"/>
      <c r="DF131" s="16"/>
      <c r="DG131" s="16"/>
      <c r="DH131" s="16"/>
      <c r="DI131" s="16"/>
      <c r="DJ131" s="16">
        <f>IFERROR(__xludf.DUMMYFUNCTION("""COMPUTED_VALUE"""),4.0)</f>
        <v>4</v>
      </c>
      <c r="DK131" s="16"/>
      <c r="DL131" s="16"/>
      <c r="DM131" s="16"/>
      <c r="DN131" s="16"/>
      <c r="DO131" s="16"/>
      <c r="DP131" s="16"/>
      <c r="DQ131" s="16"/>
      <c r="DR131" s="16">
        <f>IFERROR(__xludf.DUMMYFUNCTION("""COMPUTED_VALUE"""),2.0)</f>
        <v>2</v>
      </c>
      <c r="DS131" s="16"/>
      <c r="DT131" s="16"/>
      <c r="DU131" s="16"/>
      <c r="DV131" s="16"/>
      <c r="DW131" s="16"/>
      <c r="DX131" s="16"/>
      <c r="DY131" s="16"/>
      <c r="DZ131" s="16">
        <f>IFERROR(__xludf.DUMMYFUNCTION("""COMPUTED_VALUE"""),6.0)</f>
        <v>6</v>
      </c>
      <c r="EA131" s="16"/>
      <c r="EB131" s="16"/>
      <c r="EC131" s="16"/>
      <c r="ED131" s="16"/>
      <c r="EE131" s="16"/>
      <c r="EF131" s="16"/>
      <c r="EG131" s="179"/>
      <c r="EH131" s="179">
        <f>IFERROR(__xludf.DUMMYFUNCTION("""COMPUTED_VALUE"""),15.0)</f>
        <v>15</v>
      </c>
      <c r="EI131" s="179"/>
      <c r="EJ131" s="179"/>
      <c r="EK131" s="179"/>
      <c r="EL131" s="179"/>
      <c r="EM131" s="179"/>
      <c r="EN131" s="179"/>
      <c r="EO131" s="16"/>
      <c r="EP131" s="16"/>
      <c r="EQ131" s="16">
        <f>IFERROR(__xludf.DUMMYFUNCTION("""COMPUTED_VALUE"""),2.0)</f>
        <v>2</v>
      </c>
      <c r="ER131" s="16">
        <f>IFERROR(__xludf.DUMMYFUNCTION("""COMPUTED_VALUE"""),2.0)</f>
        <v>2</v>
      </c>
      <c r="ES131" s="16"/>
      <c r="ET131" s="16"/>
      <c r="EU131" s="16"/>
      <c r="EV131" s="16"/>
      <c r="EW131" s="16"/>
      <c r="EX131" s="180"/>
      <c r="EY131" s="180">
        <f>IFERROR(__xludf.DUMMYFUNCTION("""COMPUTED_VALUE"""),0.0)</f>
        <v>0</v>
      </c>
      <c r="EZ131" s="180"/>
      <c r="FA131" s="180"/>
      <c r="FB131" s="180"/>
      <c r="FC131" s="180"/>
      <c r="FD131" s="180"/>
      <c r="FE131" s="180"/>
      <c r="FF131" s="180"/>
      <c r="FG131" s="180">
        <f>IFERROR(__xludf.DUMMYFUNCTION("""COMPUTED_VALUE"""),0.10648148148148148)</f>
        <v>0.1064814815</v>
      </c>
      <c r="FH131" s="180"/>
      <c r="FI131" s="180"/>
      <c r="FJ131" s="180"/>
      <c r="FK131" s="180"/>
      <c r="FL131" s="180"/>
      <c r="FM131" s="180"/>
      <c r="FN131" s="16"/>
      <c r="FO131" s="16">
        <f>IFERROR(__xludf.DUMMYFUNCTION("""COMPUTED_VALUE"""),0.8935185185185185)</f>
        <v>0.8935185185</v>
      </c>
      <c r="FP131" s="16"/>
      <c r="FQ131" s="16"/>
      <c r="FR131" s="16"/>
      <c r="FS131" s="16"/>
      <c r="FT131" s="16"/>
      <c r="FU131" s="16"/>
      <c r="FV131" s="16"/>
      <c r="FW131" s="16">
        <f>IFERROR(__xludf.DUMMYFUNCTION("""COMPUTED_VALUE"""),4.0)</f>
        <v>4</v>
      </c>
      <c r="FX131" s="16"/>
      <c r="FY131" s="16"/>
      <c r="FZ131" s="16"/>
      <c r="GA131" s="16"/>
      <c r="GB131" s="16"/>
      <c r="GC131" s="16"/>
      <c r="GD131" s="16" t="s">
        <v>2860</v>
      </c>
    </row>
    <row r="132">
      <c r="A132" s="16">
        <f>IFERROR(__xludf.DUMMYFUNCTION("""COMPUTED_VALUE"""),13196.0)</f>
        <v>13196</v>
      </c>
      <c r="B132" s="16" t="str">
        <f>IFERROR(__xludf.DUMMYFUNCTION("""COMPUTED_VALUE"""),"Michael Massey")</f>
        <v>Michael Massey</v>
      </c>
      <c r="C132" s="16">
        <f>IFERROR(__xludf.DUMMYFUNCTION("""COMPUTED_VALUE"""),1.3)</f>
        <v>1.3</v>
      </c>
      <c r="D132" s="16" t="str">
        <f>IFERROR(__xludf.DUMMYFUNCTION("""COMPUTED_VALUE"""),"L")</f>
        <v>L</v>
      </c>
      <c r="E132" s="16"/>
      <c r="F132" s="16"/>
      <c r="G132" s="16">
        <f>IFERROR(__xludf.DUMMYFUNCTION("""COMPUTED_VALUE"""),332.0)</f>
        <v>332</v>
      </c>
      <c r="H132" s="16">
        <f>IFERROR(__xludf.DUMMYFUNCTION("""COMPUTED_VALUE"""),15.0)</f>
        <v>15</v>
      </c>
      <c r="I132" s="16" t="str">
        <f>IFERROR(__xludf.DUMMYFUNCTION("""COMPUTED_VALUE"""),"4p50")</f>
        <v>4p50</v>
      </c>
      <c r="J132" s="16">
        <f>IFERROR(__xludf.DUMMYFUNCTION("""COMPUTED_VALUE"""),34.0)</f>
        <v>34</v>
      </c>
      <c r="K132" s="16">
        <f>IFERROR(__xludf.DUMMYFUNCTION("""COMPUTED_VALUE"""),4.0)</f>
        <v>4</v>
      </c>
      <c r="L132" s="16">
        <f>IFERROR(__xludf.DUMMYFUNCTION("""COMPUTED_VALUE"""),-1.0)</f>
        <v>-1</v>
      </c>
      <c r="M132" s="16">
        <f>IFERROR(__xludf.DUMMYFUNCTION("""COMPUTED_VALUE"""),2.0)</f>
        <v>2</v>
      </c>
      <c r="N132" s="16">
        <f>IFERROR(__xludf.DUMMYFUNCTION("""COMPUTED_VALUE"""),-1.0)</f>
        <v>-1</v>
      </c>
      <c r="O132" s="16">
        <f>IFERROR(__xludf.DUMMYFUNCTION("""COMPUTED_VALUE"""),2.0)</f>
        <v>2</v>
      </c>
      <c r="P132" s="16">
        <f>IFERROR(__xludf.DUMMYFUNCTION("""COMPUTED_VALUE"""),0.0)</f>
        <v>0</v>
      </c>
      <c r="Q132" s="16">
        <f>IFERROR(__xludf.DUMMYFUNCTION("""COMPUTED_VALUE"""),0.0)</f>
        <v>0</v>
      </c>
      <c r="R132" s="16">
        <f>IFERROR(__xludf.DUMMYFUNCTION("""COMPUTED_VALUE"""),-3.0)</f>
        <v>-3</v>
      </c>
      <c r="S132" s="16">
        <f>IFERROR(__xludf.DUMMYFUNCTION("""COMPUTED_VALUE"""),-2.0)</f>
        <v>-2</v>
      </c>
      <c r="T132" s="16">
        <f>IFERROR(__xludf.DUMMYFUNCTION("""COMPUTED_VALUE"""),-3.0)</f>
        <v>-3</v>
      </c>
      <c r="U132" s="16">
        <f>IFERROR(__xludf.DUMMYFUNCTION("""COMPUTED_VALUE"""),-2.0)</f>
        <v>-2</v>
      </c>
      <c r="V132" s="16">
        <f>IFERROR(__xludf.DUMMYFUNCTION("""COMPUTED_VALUE"""),25.0)</f>
        <v>25</v>
      </c>
      <c r="W132" s="16">
        <f>IFERROR(__xludf.DUMMYFUNCTION("""COMPUTED_VALUE"""),23.3)</f>
        <v>23.3</v>
      </c>
      <c r="X132" s="16">
        <f>IFERROR(__xludf.DUMMYFUNCTION("""COMPUTED_VALUE"""),1.0)</f>
        <v>1</v>
      </c>
      <c r="Y132" s="16">
        <f>IFERROR(__xludf.DUMMYFUNCTION("""COMPUTED_VALUE"""),1.0)</f>
        <v>1</v>
      </c>
      <c r="Z132" s="16">
        <f>IFERROR(__xludf.DUMMYFUNCTION("""COMPUTED_VALUE"""),2.0)</f>
        <v>2</v>
      </c>
      <c r="AA132" s="16">
        <f>IFERROR(__xludf.DUMMYFUNCTION("""COMPUTED_VALUE"""),2.0)</f>
        <v>2</v>
      </c>
      <c r="AB132" s="16">
        <f>IFERROR(__xludf.DUMMYFUNCTION("""COMPUTED_VALUE"""),27.0)</f>
        <v>27</v>
      </c>
      <c r="AC132" s="16">
        <f>IFERROR(__xludf.DUMMYFUNCTION("""COMPUTED_VALUE"""),25.3)</f>
        <v>25.3</v>
      </c>
      <c r="AD132" s="16">
        <f>IFERROR(__xludf.DUMMYFUNCTION("""COMPUTED_VALUE"""),0.0)</f>
        <v>0</v>
      </c>
      <c r="AE132" s="16">
        <f>IFERROR(__xludf.DUMMYFUNCTION("""COMPUTED_VALUE"""),-1.0)</f>
        <v>-1</v>
      </c>
      <c r="AF132" s="16">
        <f>IFERROR(__xludf.DUMMYFUNCTION("""COMPUTED_VALUE"""),0.0)</f>
        <v>0</v>
      </c>
      <c r="AG132" s="16">
        <f>IFERROR(__xludf.DUMMYFUNCTION("""COMPUTED_VALUE"""),-5.0)</f>
        <v>-5</v>
      </c>
      <c r="AH132" s="16">
        <f>IFERROR(__xludf.DUMMYFUNCTION("""COMPUTED_VALUE"""),46.8)</f>
        <v>46.8</v>
      </c>
      <c r="AI132" s="16">
        <f>IFERROR(__xludf.DUMMYFUNCTION("""COMPUTED_VALUE"""),38.1)</f>
        <v>38.1</v>
      </c>
      <c r="AJ132" s="16">
        <f>IFERROR(__xludf.DUMMYFUNCTION("""COMPUTED_VALUE"""),1.0)</f>
        <v>1</v>
      </c>
      <c r="AK132" s="16">
        <f>IFERROR(__xludf.DUMMYFUNCTION("""COMPUTED_VALUE"""),1.0)</f>
        <v>1</v>
      </c>
      <c r="AL132" s="16">
        <f>IFERROR(__xludf.DUMMYFUNCTION("""COMPUTED_VALUE"""),5.0)</f>
        <v>5</v>
      </c>
      <c r="AM132" s="16">
        <f>IFERROR(__xludf.DUMMYFUNCTION("""COMPUTED_VALUE"""),5.0)</f>
        <v>5</v>
      </c>
      <c r="AN132" s="16">
        <f>IFERROR(__xludf.DUMMYFUNCTION("""COMPUTED_VALUE"""),2.5)</f>
        <v>2.5</v>
      </c>
      <c r="AO132" s="16">
        <f>IFERROR(__xludf.DUMMYFUNCTION("""COMPUTED_VALUE"""),3.3)</f>
        <v>3.3</v>
      </c>
      <c r="AP132" s="16">
        <f>IFERROR(__xludf.DUMMYFUNCTION("""COMPUTED_VALUE"""),0.0)</f>
        <v>0</v>
      </c>
      <c r="AQ132" s="16">
        <f>IFERROR(__xludf.DUMMYFUNCTION("""COMPUTED_VALUE"""),1.0)</f>
        <v>1</v>
      </c>
      <c r="AR132" s="16">
        <f>IFERROR(__xludf.DUMMYFUNCTION("""COMPUTED_VALUE"""),0.0)</f>
        <v>0</v>
      </c>
      <c r="AS132" s="16">
        <f>IFERROR(__xludf.DUMMYFUNCTION("""COMPUTED_VALUE"""),2.0)</f>
        <v>2</v>
      </c>
      <c r="AT132" s="16">
        <f>IFERROR(__xludf.DUMMYFUNCTION("""COMPUTED_VALUE"""),5.0)</f>
        <v>5</v>
      </c>
      <c r="AU132" s="16">
        <f>IFERROR(__xludf.DUMMYFUNCTION("""COMPUTED_VALUE"""),6.0)</f>
        <v>6</v>
      </c>
      <c r="AV132" s="16">
        <f>IFERROR(__xludf.DUMMYFUNCTION("""COMPUTED_VALUE"""),5.0)</f>
        <v>5</v>
      </c>
      <c r="AW132" s="16">
        <f>IFERROR(__xludf.DUMMYFUNCTION("""COMPUTED_VALUE"""),6.0)</f>
        <v>6</v>
      </c>
      <c r="AX132" s="16">
        <f>IFERROR(__xludf.DUMMYFUNCTION("""COMPUTED_VALUE"""),3.0)</f>
        <v>3</v>
      </c>
      <c r="AY132" s="16">
        <f>IFERROR(__xludf.DUMMYFUNCTION("""COMPUTED_VALUE"""),2.0)</f>
        <v>2</v>
      </c>
      <c r="AZ132" s="16">
        <f>IFERROR(__xludf.DUMMYFUNCTION("""COMPUTED_VALUE"""),9.0)</f>
        <v>9</v>
      </c>
      <c r="BA132" s="16">
        <f>IFERROR(__xludf.DUMMYFUNCTION("""COMPUTED_VALUE"""),6.0)</f>
        <v>6</v>
      </c>
      <c r="BB132" s="16">
        <f>IFERROR(__xludf.DUMMYFUNCTION("""COMPUTED_VALUE"""),5.0)</f>
        <v>5</v>
      </c>
      <c r="BC132" s="16">
        <f>IFERROR(__xludf.DUMMYFUNCTION("""COMPUTED_VALUE"""),5.0)</f>
        <v>5</v>
      </c>
      <c r="BD132" s="16">
        <f>IFERROR(__xludf.DUMMYFUNCTION("""COMPUTED_VALUE"""),1.0)</f>
        <v>1</v>
      </c>
      <c r="BE132" s="16">
        <f>IFERROR(__xludf.DUMMYFUNCTION("""COMPUTED_VALUE"""),1.0)</f>
        <v>1</v>
      </c>
      <c r="BF132" s="16">
        <f>IFERROR(__xludf.DUMMYFUNCTION("""COMPUTED_VALUE"""),1.0)</f>
        <v>1</v>
      </c>
      <c r="BG132" s="16">
        <f>IFERROR(__xludf.DUMMYFUNCTION("""COMPUTED_VALUE"""),1.0)</f>
        <v>1</v>
      </c>
      <c r="BH132" s="16">
        <f>IFERROR(__xludf.DUMMYFUNCTION("""COMPUTED_VALUE"""),-3.0)</f>
        <v>-3</v>
      </c>
      <c r="BI132" s="16">
        <f>IFERROR(__xludf.DUMMYFUNCTION("""COMPUTED_VALUE"""),-3.0)</f>
        <v>-3</v>
      </c>
      <c r="BJ132" s="16">
        <f>IFERROR(__xludf.DUMMYFUNCTION("""COMPUTED_VALUE"""),19.0)</f>
        <v>19</v>
      </c>
      <c r="BK132" s="16">
        <f>IFERROR(__xludf.DUMMYFUNCTION("""COMPUTED_VALUE"""),21.0)</f>
        <v>21</v>
      </c>
      <c r="BL132" s="16">
        <f>IFERROR(__xludf.DUMMYFUNCTION("""COMPUTED_VALUE"""),-1.0)</f>
        <v>-1</v>
      </c>
      <c r="BM132" s="16">
        <f>IFERROR(__xludf.DUMMYFUNCTION("""COMPUTED_VALUE"""),-2.0)</f>
        <v>-2</v>
      </c>
      <c r="BN132" s="16">
        <f>IFERROR(__xludf.DUMMYFUNCTION("""COMPUTED_VALUE"""),-2.0)</f>
        <v>-2</v>
      </c>
      <c r="BO132" s="16">
        <f>IFERROR(__xludf.DUMMYFUNCTION("""COMPUTED_VALUE"""),-4.0)</f>
        <v>-4</v>
      </c>
      <c r="BP132" s="16">
        <f>IFERROR(__xludf.DUMMYFUNCTION("""COMPUTED_VALUE"""),1.0)</f>
        <v>1</v>
      </c>
      <c r="BQ132" s="16">
        <f>IFERROR(__xludf.DUMMYFUNCTION("""COMPUTED_VALUE"""),3.0)</f>
        <v>3</v>
      </c>
      <c r="BR132" s="16">
        <f>IFERROR(__xludf.DUMMYFUNCTION("""COMPUTED_VALUE"""),4.0)</f>
        <v>4</v>
      </c>
      <c r="BS132" s="16" t="str">
        <f>IFERROR(__xludf.DUMMYFUNCTION("""COMPUTED_VALUE"""),"2/- (20-6)")</f>
        <v>2/- (20-6)</v>
      </c>
      <c r="BT132" s="16" t="str">
        <f>IFERROR(__xludf.DUMMYFUNCTION("""COMPUTED_VALUE"""),"E")</f>
        <v>E</v>
      </c>
      <c r="BU132" s="16">
        <f>IFERROR(__xludf.DUMMYFUNCTION("""COMPUTED_VALUE"""),13.0)</f>
        <v>13</v>
      </c>
      <c r="BV132" s="16">
        <f>IFERROR(__xludf.DUMMYFUNCTION("""COMPUTED_VALUE"""),0.0)</f>
        <v>0</v>
      </c>
      <c r="BW132" s="16">
        <f>IFERROR(__xludf.DUMMYFUNCTION("""COMPUTED_VALUE"""),1.0)</f>
        <v>1</v>
      </c>
      <c r="BX132" s="16">
        <f>IFERROR(__xludf.DUMMYFUNCTION("""COMPUTED_VALUE"""),0.0)</f>
        <v>0</v>
      </c>
      <c r="BY132" s="16">
        <f>IFERROR(__xludf.DUMMYFUNCTION("""COMPUTED_VALUE"""),3.0)</f>
        <v>3</v>
      </c>
      <c r="BZ132" s="16" t="str">
        <f>IFERROR(__xludf.DUMMYFUNCTION("""COMPUTED_VALUE"""),"C")</f>
        <v>C</v>
      </c>
      <c r="CA132" s="16" t="str">
        <f>IFERROR(__xludf.DUMMYFUNCTION("""COMPUTED_VALUE"""),"B")</f>
        <v>B</v>
      </c>
      <c r="CB132" s="16">
        <f>IFERROR(__xludf.DUMMYFUNCTION("""COMPUTED_VALUE"""),0.0)</f>
        <v>0</v>
      </c>
      <c r="CC132" s="16">
        <f>IFERROR(__xludf.DUMMYFUNCTION("""COMPUTED_VALUE"""),1.0)</f>
        <v>1</v>
      </c>
      <c r="CD132" s="16">
        <f>IFERROR(__xludf.DUMMYFUNCTION("""COMPUTED_VALUE"""),0.0)</f>
        <v>0</v>
      </c>
      <c r="CE132" s="16">
        <f>IFERROR(__xludf.DUMMYFUNCTION("""COMPUTED_VALUE"""),2.0)</f>
        <v>2</v>
      </c>
      <c r="CF132" s="16">
        <f>IFERROR(__xludf.DUMMYFUNCTION("""COMPUTED_VALUE"""),4.0)</f>
        <v>4</v>
      </c>
      <c r="CG132" s="16">
        <f>IFERROR(__xludf.DUMMYFUNCTION("""COMPUTED_VALUE"""),11.0)</f>
        <v>11</v>
      </c>
      <c r="CH132" s="16">
        <f>IFERROR(__xludf.DUMMYFUNCTION("""COMPUTED_VALUE"""),7.0)</f>
        <v>7</v>
      </c>
      <c r="CI132" s="179">
        <f>IFERROR(__xludf.DUMMYFUNCTION("""COMPUTED_VALUE"""),8.0)</f>
        <v>8</v>
      </c>
      <c r="CJ132" s="16"/>
      <c r="CK132" s="16"/>
      <c r="CL132" s="16">
        <f>IFERROR(__xludf.DUMMYFUNCTION("""COMPUTED_VALUE"""),306.0)</f>
        <v>306</v>
      </c>
      <c r="CM132" s="16"/>
      <c r="CN132" s="16"/>
      <c r="CO132" s="16"/>
      <c r="CP132" s="16"/>
      <c r="CQ132" s="16"/>
      <c r="CR132" s="16" t="str">
        <f>IFERROR(__xludf.DUMMYFUNCTION("""COMPUTED_VALUE"""),"2b-3e6")</f>
        <v>2b-3e6</v>
      </c>
      <c r="CS132" s="16"/>
      <c r="CT132" s="16"/>
      <c r="CU132" s="16">
        <f>IFERROR(__xludf.DUMMYFUNCTION("""COMPUTED_VALUE"""),3.0)</f>
        <v>3</v>
      </c>
      <c r="CV132" s="16"/>
      <c r="CW132" s="16"/>
      <c r="CX132" s="16"/>
      <c r="CY132" s="16"/>
      <c r="CZ132" s="16"/>
      <c r="DA132" s="16"/>
      <c r="DB132" s="16"/>
      <c r="DC132" s="16">
        <f>IFERROR(__xludf.DUMMYFUNCTION("""COMPUTED_VALUE"""),6.0)</f>
        <v>6</v>
      </c>
      <c r="DD132" s="16"/>
      <c r="DE132" s="16"/>
      <c r="DF132" s="16"/>
      <c r="DG132" s="16"/>
      <c r="DH132" s="16"/>
      <c r="DI132" s="16"/>
      <c r="DJ132" s="16"/>
      <c r="DK132" s="16">
        <f>IFERROR(__xludf.DUMMYFUNCTION("""COMPUTED_VALUE"""),0.0)</f>
        <v>0</v>
      </c>
      <c r="DL132" s="16"/>
      <c r="DM132" s="16"/>
      <c r="DN132" s="16"/>
      <c r="DO132" s="16"/>
      <c r="DP132" s="16"/>
      <c r="DQ132" s="16"/>
      <c r="DR132" s="16"/>
      <c r="DS132" s="16">
        <f>IFERROR(__xludf.DUMMYFUNCTION("""COMPUTED_VALUE"""),3.0)</f>
        <v>3</v>
      </c>
      <c r="DT132" s="16"/>
      <c r="DU132" s="16"/>
      <c r="DV132" s="16"/>
      <c r="DW132" s="16"/>
      <c r="DX132" s="16"/>
      <c r="DY132" s="16"/>
      <c r="DZ132" s="16"/>
      <c r="EA132" s="16">
        <f>IFERROR(__xludf.DUMMYFUNCTION("""COMPUTED_VALUE"""),3.0)</f>
        <v>3</v>
      </c>
      <c r="EB132" s="16"/>
      <c r="EC132" s="16"/>
      <c r="ED132" s="16"/>
      <c r="EE132" s="16"/>
      <c r="EF132" s="16"/>
      <c r="EG132" s="179"/>
      <c r="EH132" s="179"/>
      <c r="EI132" s="179">
        <f>IFERROR(__xludf.DUMMYFUNCTION("""COMPUTED_VALUE"""),11.0)</f>
        <v>11</v>
      </c>
      <c r="EJ132" s="179"/>
      <c r="EK132" s="179"/>
      <c r="EL132" s="179"/>
      <c r="EM132" s="179"/>
      <c r="EN132" s="179"/>
      <c r="EO132" s="16"/>
      <c r="EP132" s="16">
        <f>IFERROR(__xludf.DUMMYFUNCTION("""COMPUTED_VALUE"""),-1.0)</f>
        <v>-1</v>
      </c>
      <c r="EQ132" s="16">
        <f>IFERROR(__xludf.DUMMYFUNCTION("""COMPUTED_VALUE"""),-1.0)</f>
        <v>-1</v>
      </c>
      <c r="ER132" s="16">
        <f>IFERROR(__xludf.DUMMYFUNCTION("""COMPUTED_VALUE"""),0.0)</f>
        <v>0</v>
      </c>
      <c r="ES132" s="16"/>
      <c r="ET132" s="16"/>
      <c r="EU132" s="16"/>
      <c r="EV132" s="16"/>
      <c r="EW132" s="16"/>
      <c r="EX132" s="180"/>
      <c r="EY132" s="180"/>
      <c r="EZ132" s="180">
        <f>IFERROR(__xludf.DUMMYFUNCTION("""COMPUTED_VALUE"""),0.2)</f>
        <v>0.2</v>
      </c>
      <c r="FA132" s="180"/>
      <c r="FB132" s="180"/>
      <c r="FC132" s="180"/>
      <c r="FD132" s="180"/>
      <c r="FE132" s="180"/>
      <c r="FF132" s="180"/>
      <c r="FG132" s="180"/>
      <c r="FH132" s="180">
        <f>IFERROR(__xludf.DUMMYFUNCTION("""COMPUTED_VALUE"""),0.037037037037037035)</f>
        <v>0.03703703704</v>
      </c>
      <c r="FI132" s="180"/>
      <c r="FJ132" s="180"/>
      <c r="FK132" s="180"/>
      <c r="FL132" s="180"/>
      <c r="FM132" s="180"/>
      <c r="FN132" s="16"/>
      <c r="FO132" s="16"/>
      <c r="FP132" s="16">
        <f>IFERROR(__xludf.DUMMYFUNCTION("""COMPUTED_VALUE"""),0.7703703703703705)</f>
        <v>0.7703703704</v>
      </c>
      <c r="FQ132" s="16"/>
      <c r="FR132" s="16"/>
      <c r="FS132" s="16"/>
      <c r="FT132" s="16"/>
      <c r="FU132" s="16"/>
      <c r="FV132" s="16"/>
      <c r="FW132" s="16"/>
      <c r="FX132" s="16">
        <f>IFERROR(__xludf.DUMMYFUNCTION("""COMPUTED_VALUE"""),-1.0)</f>
        <v>-1</v>
      </c>
      <c r="FY132" s="16"/>
      <c r="FZ132" s="16"/>
      <c r="GA132" s="16"/>
      <c r="GB132" s="16"/>
      <c r="GC132" s="16"/>
      <c r="GD132" s="16" t="s">
        <v>3232</v>
      </c>
    </row>
    <row r="133">
      <c r="A133" s="16">
        <f>IFERROR(__xludf.DUMMYFUNCTION("""COMPUTED_VALUE"""),13472.0)</f>
        <v>13472</v>
      </c>
      <c r="B133" s="16" t="str">
        <f>IFERROR(__xludf.DUMMYFUNCTION("""COMPUTED_VALUE"""),"Vinnie Pasquantino")</f>
        <v>Vinnie Pasquantino</v>
      </c>
      <c r="C133" s="16">
        <f>IFERROR(__xludf.DUMMYFUNCTION("""COMPUTED_VALUE"""),0.58)</f>
        <v>0.58</v>
      </c>
      <c r="D133" s="16" t="str">
        <f>IFERROR(__xludf.DUMMYFUNCTION("""COMPUTED_VALUE"""),"L")</f>
        <v>L</v>
      </c>
      <c r="E133" s="16"/>
      <c r="F133" s="16"/>
      <c r="G133" s="16">
        <f>IFERROR(__xludf.DUMMYFUNCTION("""COMPUTED_VALUE"""),496.0)</f>
        <v>496</v>
      </c>
      <c r="H133" s="16">
        <f>IFERROR(__xludf.DUMMYFUNCTION("""COMPUTED_VALUE"""),40.0)</f>
        <v>40</v>
      </c>
      <c r="I133" s="16" t="str">
        <f>IFERROR(__xludf.DUMMYFUNCTION("""COMPUTED_VALUE"""),"3p60")</f>
        <v>3p60</v>
      </c>
      <c r="J133" s="16">
        <f>IFERROR(__xludf.DUMMYFUNCTION("""COMPUTED_VALUE"""),15.0)</f>
        <v>15</v>
      </c>
      <c r="K133" s="16">
        <f>IFERROR(__xludf.DUMMYFUNCTION("""COMPUTED_VALUE"""),0.0)</f>
        <v>0</v>
      </c>
      <c r="L133" s="16">
        <f>IFERROR(__xludf.DUMMYFUNCTION("""COMPUTED_VALUE"""),1.0)</f>
        <v>1</v>
      </c>
      <c r="M133" s="16">
        <f>IFERROR(__xludf.DUMMYFUNCTION("""COMPUTED_VALUE"""),3.0)</f>
        <v>3</v>
      </c>
      <c r="N133" s="16">
        <f>IFERROR(__xludf.DUMMYFUNCTION("""COMPUTED_VALUE"""),1.0)</f>
        <v>1</v>
      </c>
      <c r="O133" s="16">
        <f>IFERROR(__xludf.DUMMYFUNCTION("""COMPUTED_VALUE"""),3.0)</f>
        <v>3</v>
      </c>
      <c r="P133" s="16">
        <f>IFERROR(__xludf.DUMMYFUNCTION("""COMPUTED_VALUE"""),0.0)</f>
        <v>0</v>
      </c>
      <c r="Q133" s="16">
        <f>IFERROR(__xludf.DUMMYFUNCTION("""COMPUTED_VALUE"""),9.0)</f>
        <v>9</v>
      </c>
      <c r="R133" s="16">
        <f>IFERROR(__xludf.DUMMYFUNCTION("""COMPUTED_VALUE"""),-3.0)</f>
        <v>-3</v>
      </c>
      <c r="S133" s="16">
        <f>IFERROR(__xludf.DUMMYFUNCTION("""COMPUTED_VALUE"""),0.0)</f>
        <v>0</v>
      </c>
      <c r="T133" s="16">
        <f>IFERROR(__xludf.DUMMYFUNCTION("""COMPUTED_VALUE"""),-3.0)</f>
        <v>-3</v>
      </c>
      <c r="U133" s="16">
        <f>IFERROR(__xludf.DUMMYFUNCTION("""COMPUTED_VALUE"""),0.0)</f>
        <v>0</v>
      </c>
      <c r="V133" s="16">
        <f>IFERROR(__xludf.DUMMYFUNCTION("""COMPUTED_VALUE"""),19.8)</f>
        <v>19.8</v>
      </c>
      <c r="W133" s="16">
        <f>IFERROR(__xludf.DUMMYFUNCTION("""COMPUTED_VALUE"""),21.1)</f>
        <v>21.1</v>
      </c>
      <c r="X133" s="16">
        <f>IFERROR(__xludf.DUMMYFUNCTION("""COMPUTED_VALUE"""),0.0)</f>
        <v>0</v>
      </c>
      <c r="Y133" s="16">
        <f>IFERROR(__xludf.DUMMYFUNCTION("""COMPUTED_VALUE"""),0.0)</f>
        <v>0</v>
      </c>
      <c r="Z133" s="16">
        <f>IFERROR(__xludf.DUMMYFUNCTION("""COMPUTED_VALUE"""),0.0)</f>
        <v>0</v>
      </c>
      <c r="AA133" s="16">
        <f>IFERROR(__xludf.DUMMYFUNCTION("""COMPUTED_VALUE"""),0.0)</f>
        <v>0</v>
      </c>
      <c r="AB133" s="16">
        <f>IFERROR(__xludf.DUMMYFUNCTION("""COMPUTED_VALUE"""),21.8)</f>
        <v>21.8</v>
      </c>
      <c r="AC133" s="16">
        <f>IFERROR(__xludf.DUMMYFUNCTION("""COMPUTED_VALUE"""),32.2)</f>
        <v>32.2</v>
      </c>
      <c r="AD133" s="16">
        <f>IFERROR(__xludf.DUMMYFUNCTION("""COMPUTED_VALUE"""),-1.0)</f>
        <v>-1</v>
      </c>
      <c r="AE133" s="16">
        <f>IFERROR(__xludf.DUMMYFUNCTION("""COMPUTED_VALUE"""),0.0)</f>
        <v>0</v>
      </c>
      <c r="AF133" s="16">
        <f>IFERROR(__xludf.DUMMYFUNCTION("""COMPUTED_VALUE"""),-5.0)</f>
        <v>-5</v>
      </c>
      <c r="AG133" s="16">
        <f>IFERROR(__xludf.DUMMYFUNCTION("""COMPUTED_VALUE"""),0.0)</f>
        <v>0</v>
      </c>
      <c r="AH133" s="16">
        <f>IFERROR(__xludf.DUMMYFUNCTION("""COMPUTED_VALUE"""),36.8)</f>
        <v>36.8</v>
      </c>
      <c r="AI133" s="16">
        <f>IFERROR(__xludf.DUMMYFUNCTION("""COMPUTED_VALUE"""),35.3)</f>
        <v>35.3</v>
      </c>
      <c r="AJ133" s="16">
        <f>IFERROR(__xludf.DUMMYFUNCTION("""COMPUTED_VALUE"""),0.0)</f>
        <v>0</v>
      </c>
      <c r="AK133" s="16">
        <f>IFERROR(__xludf.DUMMYFUNCTION("""COMPUTED_VALUE"""),0.0)</f>
        <v>0</v>
      </c>
      <c r="AL133" s="16">
        <f>IFERROR(__xludf.DUMMYFUNCTION("""COMPUTED_VALUE"""),0.0)</f>
        <v>0</v>
      </c>
      <c r="AM133" s="16">
        <f>IFERROR(__xludf.DUMMYFUNCTION("""COMPUTED_VALUE"""),0.0)</f>
        <v>0</v>
      </c>
      <c r="AN133" s="16">
        <f>IFERROR(__xludf.DUMMYFUNCTION("""COMPUTED_VALUE"""),3.0)</f>
        <v>3</v>
      </c>
      <c r="AO133" s="16">
        <f>IFERROR(__xludf.DUMMYFUNCTION("""COMPUTED_VALUE"""),2.3)</f>
        <v>2.3</v>
      </c>
      <c r="AP133" s="16">
        <f>IFERROR(__xludf.DUMMYFUNCTION("""COMPUTED_VALUE"""),1.0)</f>
        <v>1</v>
      </c>
      <c r="AQ133" s="16">
        <f>IFERROR(__xludf.DUMMYFUNCTION("""COMPUTED_VALUE"""),0.0)</f>
        <v>0</v>
      </c>
      <c r="AR133" s="16">
        <f>IFERROR(__xludf.DUMMYFUNCTION("""COMPUTED_VALUE"""),2.0)</f>
        <v>2</v>
      </c>
      <c r="AS133" s="16">
        <f>IFERROR(__xludf.DUMMYFUNCTION("""COMPUTED_VALUE"""),0.0)</f>
        <v>0</v>
      </c>
      <c r="AT133" s="16">
        <f>IFERROR(__xludf.DUMMYFUNCTION("""COMPUTED_VALUE"""),5.0)</f>
        <v>5</v>
      </c>
      <c r="AU133" s="16">
        <f>IFERROR(__xludf.DUMMYFUNCTION("""COMPUTED_VALUE"""),5.0)</f>
        <v>5</v>
      </c>
      <c r="AV133" s="16">
        <f>IFERROR(__xludf.DUMMYFUNCTION("""COMPUTED_VALUE"""),5.0)</f>
        <v>5</v>
      </c>
      <c r="AW133" s="16">
        <f>IFERROR(__xludf.DUMMYFUNCTION("""COMPUTED_VALUE"""),5.0)</f>
        <v>5</v>
      </c>
      <c r="AX133" s="16">
        <f>IFERROR(__xludf.DUMMYFUNCTION("""COMPUTED_VALUE"""),3.0)</f>
        <v>3</v>
      </c>
      <c r="AY133" s="16">
        <f>IFERROR(__xludf.DUMMYFUNCTION("""COMPUTED_VALUE"""),2.0)</f>
        <v>2</v>
      </c>
      <c r="AZ133" s="16">
        <f>IFERROR(__xludf.DUMMYFUNCTION("""COMPUTED_VALUE"""),9.0)</f>
        <v>9</v>
      </c>
      <c r="BA133" s="16">
        <f>IFERROR(__xludf.DUMMYFUNCTION("""COMPUTED_VALUE"""),6.0)</f>
        <v>6</v>
      </c>
      <c r="BB133" s="16">
        <f>IFERROR(__xludf.DUMMYFUNCTION("""COMPUTED_VALUE"""),5.0)</f>
        <v>5</v>
      </c>
      <c r="BC133" s="16">
        <f>IFERROR(__xludf.DUMMYFUNCTION("""COMPUTED_VALUE"""),5.0)</f>
        <v>5</v>
      </c>
      <c r="BD133" s="16">
        <f>IFERROR(__xludf.DUMMYFUNCTION("""COMPUTED_VALUE"""),1.0)</f>
        <v>1</v>
      </c>
      <c r="BE133" s="16">
        <f>IFERROR(__xludf.DUMMYFUNCTION("""COMPUTED_VALUE"""),1.0)</f>
        <v>1</v>
      </c>
      <c r="BF133" s="16">
        <f>IFERROR(__xludf.DUMMYFUNCTION("""COMPUTED_VALUE"""),1.0)</f>
        <v>1</v>
      </c>
      <c r="BG133" s="16">
        <f>IFERROR(__xludf.DUMMYFUNCTION("""COMPUTED_VALUE"""),1.0)</f>
        <v>1</v>
      </c>
      <c r="BH133" s="16">
        <f>IFERROR(__xludf.DUMMYFUNCTION("""COMPUTED_VALUE"""),13.0)</f>
        <v>13</v>
      </c>
      <c r="BI133" s="16">
        <f>IFERROR(__xludf.DUMMYFUNCTION("""COMPUTED_VALUE"""),12.0)</f>
        <v>12</v>
      </c>
      <c r="BJ133" s="16">
        <f>IFERROR(__xludf.DUMMYFUNCTION("""COMPUTED_VALUE"""),20.0)</f>
        <v>20</v>
      </c>
      <c r="BK133" s="16">
        <f>IFERROR(__xludf.DUMMYFUNCTION("""COMPUTED_VALUE"""),17.0)</f>
        <v>17</v>
      </c>
      <c r="BL133" s="16">
        <f>IFERROR(__xludf.DUMMYFUNCTION("""COMPUTED_VALUE"""),-2.0)</f>
        <v>-2</v>
      </c>
      <c r="BM133" s="16">
        <f>IFERROR(__xludf.DUMMYFUNCTION("""COMPUTED_VALUE"""),-1.0)</f>
        <v>-1</v>
      </c>
      <c r="BN133" s="16">
        <f>IFERROR(__xludf.DUMMYFUNCTION("""COMPUTED_VALUE"""),-4.0)</f>
        <v>-4</v>
      </c>
      <c r="BO133" s="16">
        <f>IFERROR(__xludf.DUMMYFUNCTION("""COMPUTED_VALUE"""),-2.0)</f>
        <v>-2</v>
      </c>
      <c r="BP133" s="16">
        <f>IFERROR(__xludf.DUMMYFUNCTION("""COMPUTED_VALUE"""),0.0)</f>
        <v>0</v>
      </c>
      <c r="BQ133" s="16">
        <f>IFERROR(__xludf.DUMMYFUNCTION("""COMPUTED_VALUE"""),5.0)</f>
        <v>5</v>
      </c>
      <c r="BR133" s="16">
        <f>IFERROR(__xludf.DUMMYFUNCTION("""COMPUTED_VALUE"""),5.0)</f>
        <v>5</v>
      </c>
      <c r="BS133" s="16" t="str">
        <f>IFERROR(__xludf.DUMMYFUNCTION("""COMPUTED_VALUE"""),"2/- (20-6)")</f>
        <v>2/- (20-6)</v>
      </c>
      <c r="BT133" s="16" t="str">
        <f>IFERROR(__xludf.DUMMYFUNCTION("""COMPUTED_VALUE"""),"E")</f>
        <v>E</v>
      </c>
      <c r="BU133" s="16">
        <f>IFERROR(__xludf.DUMMYFUNCTION("""COMPUTED_VALUE"""),9.0)</f>
        <v>9</v>
      </c>
      <c r="BV133" s="16">
        <f>IFERROR(__xludf.DUMMYFUNCTION("""COMPUTED_VALUE"""),0.0)</f>
        <v>0</v>
      </c>
      <c r="BW133" s="16">
        <f>IFERROR(__xludf.DUMMYFUNCTION("""COMPUTED_VALUE"""),-1.0)</f>
        <v>-1</v>
      </c>
      <c r="BX133" s="16">
        <f>IFERROR(__xludf.DUMMYFUNCTION("""COMPUTED_VALUE"""),0.0)</f>
        <v>0</v>
      </c>
      <c r="BY133" s="16">
        <f>IFERROR(__xludf.DUMMYFUNCTION("""COMPUTED_VALUE"""),-3.0)</f>
        <v>-3</v>
      </c>
      <c r="BZ133" s="16" t="str">
        <f>IFERROR(__xludf.DUMMYFUNCTION("""COMPUTED_VALUE"""),"D")</f>
        <v>D</v>
      </c>
      <c r="CA133" s="16" t="str">
        <f>IFERROR(__xludf.DUMMYFUNCTION("""COMPUTED_VALUE"""),"B")</f>
        <v>B</v>
      </c>
      <c r="CB133" s="16">
        <f>IFERROR(__xludf.DUMMYFUNCTION("""COMPUTED_VALUE"""),0.0)</f>
        <v>0</v>
      </c>
      <c r="CC133" s="16">
        <f>IFERROR(__xludf.DUMMYFUNCTION("""COMPUTED_VALUE"""),1.0)</f>
        <v>1</v>
      </c>
      <c r="CD133" s="16">
        <f>IFERROR(__xludf.DUMMYFUNCTION("""COMPUTED_VALUE"""),0.0)</f>
        <v>0</v>
      </c>
      <c r="CE133" s="16">
        <f>IFERROR(__xludf.DUMMYFUNCTION("""COMPUTED_VALUE"""),2.0)</f>
        <v>2</v>
      </c>
      <c r="CF133" s="16">
        <f>IFERROR(__xludf.DUMMYFUNCTION("""COMPUTED_VALUE"""),3.0)</f>
        <v>3</v>
      </c>
      <c r="CG133" s="16">
        <f>IFERROR(__xludf.DUMMYFUNCTION("""COMPUTED_VALUE"""),1.0)</f>
        <v>1</v>
      </c>
      <c r="CH133" s="16">
        <f>IFERROR(__xludf.DUMMYFUNCTION("""COMPUTED_VALUE"""),8.0)</f>
        <v>8</v>
      </c>
      <c r="CI133" s="179">
        <f>IFERROR(__xludf.DUMMYFUNCTION("""COMPUTED_VALUE"""),8.0)</f>
        <v>8</v>
      </c>
      <c r="CJ133" s="16"/>
      <c r="CK133" s="16">
        <f>IFERROR(__xludf.DUMMYFUNCTION("""COMPUTED_VALUE"""),403.0)</f>
        <v>403</v>
      </c>
      <c r="CL133" s="16"/>
      <c r="CM133" s="16"/>
      <c r="CN133" s="16"/>
      <c r="CO133" s="16"/>
      <c r="CP133" s="16"/>
      <c r="CQ133" s="16"/>
      <c r="CR133" s="16" t="str">
        <f>IFERROR(__xludf.DUMMYFUNCTION("""COMPUTED_VALUE"""),"1b-4e3")</f>
        <v>1b-4e3</v>
      </c>
      <c r="CS133" s="16"/>
      <c r="CT133" s="16">
        <f>IFERROR(__xludf.DUMMYFUNCTION("""COMPUTED_VALUE"""),4.0)</f>
        <v>4</v>
      </c>
      <c r="CU133" s="16"/>
      <c r="CV133" s="16"/>
      <c r="CW133" s="16"/>
      <c r="CX133" s="16"/>
      <c r="CY133" s="16"/>
      <c r="CZ133" s="16"/>
      <c r="DA133" s="16"/>
      <c r="DB133" s="16">
        <f>IFERROR(__xludf.DUMMYFUNCTION("""COMPUTED_VALUE"""),3.0)</f>
        <v>3</v>
      </c>
      <c r="DC133" s="16"/>
      <c r="DD133" s="16"/>
      <c r="DE133" s="16"/>
      <c r="DF133" s="16"/>
      <c r="DG133" s="16"/>
      <c r="DH133" s="16"/>
      <c r="DI133" s="16"/>
      <c r="DJ133" s="16">
        <f>IFERROR(__xludf.DUMMYFUNCTION("""COMPUTED_VALUE"""),0.0)</f>
        <v>0</v>
      </c>
      <c r="DK133" s="16"/>
      <c r="DL133" s="16"/>
      <c r="DM133" s="16"/>
      <c r="DN133" s="16"/>
      <c r="DO133" s="16"/>
      <c r="DP133" s="16"/>
      <c r="DQ133" s="16"/>
      <c r="DR133" s="16">
        <f>IFERROR(__xludf.DUMMYFUNCTION("""COMPUTED_VALUE"""),4.0)</f>
        <v>4</v>
      </c>
      <c r="DS133" s="16"/>
      <c r="DT133" s="16"/>
      <c r="DU133" s="16"/>
      <c r="DV133" s="16"/>
      <c r="DW133" s="16"/>
      <c r="DX133" s="16"/>
      <c r="DY133" s="16"/>
      <c r="DZ133" s="16">
        <f>IFERROR(__xludf.DUMMYFUNCTION("""COMPUTED_VALUE"""),4.0)</f>
        <v>4</v>
      </c>
      <c r="EA133" s="16"/>
      <c r="EB133" s="16"/>
      <c r="EC133" s="16"/>
      <c r="ED133" s="16"/>
      <c r="EE133" s="16"/>
      <c r="EF133" s="16"/>
      <c r="EG133" s="179"/>
      <c r="EH133" s="179">
        <f>IFERROR(__xludf.DUMMYFUNCTION("""COMPUTED_VALUE"""),12.0)</f>
        <v>12</v>
      </c>
      <c r="EI133" s="179"/>
      <c r="EJ133" s="179"/>
      <c r="EK133" s="179"/>
      <c r="EL133" s="179"/>
      <c r="EM133" s="179"/>
      <c r="EN133" s="179"/>
      <c r="EO133" s="16"/>
      <c r="EP133" s="16">
        <f>IFERROR(__xludf.DUMMYFUNCTION("""COMPUTED_VALUE"""),-2.0)</f>
        <v>-2</v>
      </c>
      <c r="EQ133" s="16">
        <f>IFERROR(__xludf.DUMMYFUNCTION("""COMPUTED_VALUE"""),1.0)</f>
        <v>1</v>
      </c>
      <c r="ER133" s="16">
        <f>IFERROR(__xludf.DUMMYFUNCTION("""COMPUTED_VALUE"""),1.0)</f>
        <v>1</v>
      </c>
      <c r="ES133" s="16"/>
      <c r="ET133" s="16"/>
      <c r="EU133" s="16"/>
      <c r="EV133" s="16"/>
      <c r="EW133" s="16"/>
      <c r="EX133" s="180"/>
      <c r="EY133" s="180">
        <f>IFERROR(__xludf.DUMMYFUNCTION("""COMPUTED_VALUE"""),0.3)</f>
        <v>0.3</v>
      </c>
      <c r="EZ133" s="180"/>
      <c r="FA133" s="180"/>
      <c r="FB133" s="180"/>
      <c r="FC133" s="180"/>
      <c r="FD133" s="180"/>
      <c r="FE133" s="180"/>
      <c r="FF133" s="180"/>
      <c r="FG133" s="180">
        <f>IFERROR(__xludf.DUMMYFUNCTION("""COMPUTED_VALUE"""),0.05555555555555555)</f>
        <v>0.05555555556</v>
      </c>
      <c r="FH133" s="180"/>
      <c r="FI133" s="180"/>
      <c r="FJ133" s="180"/>
      <c r="FK133" s="180"/>
      <c r="FL133" s="180"/>
      <c r="FM133" s="180"/>
      <c r="FN133" s="16"/>
      <c r="FO133" s="16">
        <f>IFERROR(__xludf.DUMMYFUNCTION("""COMPUTED_VALUE"""),0.6611111111111111)</f>
        <v>0.6611111111</v>
      </c>
      <c r="FP133" s="16"/>
      <c r="FQ133" s="16"/>
      <c r="FR133" s="16"/>
      <c r="FS133" s="16"/>
      <c r="FT133" s="16"/>
      <c r="FU133" s="16"/>
      <c r="FV133" s="16"/>
      <c r="FW133" s="16">
        <f>IFERROR(__xludf.DUMMYFUNCTION("""COMPUTED_VALUE"""),-4.0)</f>
        <v>-4</v>
      </c>
      <c r="FX133" s="16"/>
      <c r="FY133" s="16"/>
      <c r="FZ133" s="16"/>
      <c r="GA133" s="16"/>
      <c r="GB133" s="16"/>
      <c r="GC133" s="16"/>
      <c r="GD133" s="16" t="s">
        <v>361</v>
      </c>
    </row>
    <row r="134">
      <c r="A134" s="16">
        <f>IFERROR(__xludf.DUMMYFUNCTION("""COMPUTED_VALUE"""),12978.0)</f>
        <v>12978</v>
      </c>
      <c r="B134" s="16" t="str">
        <f>IFERROR(__xludf.DUMMYFUNCTION("""COMPUTED_VALUE"""),"Joey Ortiz")</f>
        <v>Joey Ortiz</v>
      </c>
      <c r="C134" s="16">
        <f>IFERROR(__xludf.DUMMYFUNCTION("""COMPUTED_VALUE"""),1.53)</f>
        <v>1.53</v>
      </c>
      <c r="D134" s="16" t="str">
        <f>IFERROR(__xludf.DUMMYFUNCTION("""COMPUTED_VALUE"""),"R")</f>
        <v>R</v>
      </c>
      <c r="E134" s="16"/>
      <c r="F134" s="16"/>
      <c r="G134" s="16">
        <f>IFERROR(__xludf.DUMMYFUNCTION("""COMPUTED_VALUE"""),440.0)</f>
        <v>440</v>
      </c>
      <c r="H134" s="16">
        <f>IFERROR(__xludf.DUMMYFUNCTION("""COMPUTED_VALUE"""),56.0)</f>
        <v>56</v>
      </c>
      <c r="I134" s="16" t="str">
        <f>IFERROR(__xludf.DUMMYFUNCTION("""COMPUTED_VALUE"""),"1p65")</f>
        <v>1p65</v>
      </c>
      <c r="J134" s="16">
        <f>IFERROR(__xludf.DUMMYFUNCTION("""COMPUTED_VALUE"""),29.0)</f>
        <v>29</v>
      </c>
      <c r="K134" s="16">
        <f>IFERROR(__xludf.DUMMYFUNCTION("""COMPUTED_VALUE"""),15.0)</f>
        <v>15</v>
      </c>
      <c r="L134" s="16">
        <f>IFERROR(__xludf.DUMMYFUNCTION("""COMPUTED_VALUE"""),0.0)</f>
        <v>0</v>
      </c>
      <c r="M134" s="16">
        <f>IFERROR(__xludf.DUMMYFUNCTION("""COMPUTED_VALUE"""),1.0)</f>
        <v>1</v>
      </c>
      <c r="N134" s="16">
        <f>IFERROR(__xludf.DUMMYFUNCTION("""COMPUTED_VALUE"""),0.0)</f>
        <v>0</v>
      </c>
      <c r="O134" s="16">
        <f>IFERROR(__xludf.DUMMYFUNCTION("""COMPUTED_VALUE"""),1.0)</f>
        <v>1</v>
      </c>
      <c r="P134" s="16">
        <f>IFERROR(__xludf.DUMMYFUNCTION("""COMPUTED_VALUE"""),21.0)</f>
        <v>21</v>
      </c>
      <c r="Q134" s="16">
        <f>IFERROR(__xludf.DUMMYFUNCTION("""COMPUTED_VALUE"""),14.0)</f>
        <v>14</v>
      </c>
      <c r="R134" s="16">
        <f>IFERROR(__xludf.DUMMYFUNCTION("""COMPUTED_VALUE"""),3.0)</f>
        <v>3</v>
      </c>
      <c r="S134" s="16">
        <f>IFERROR(__xludf.DUMMYFUNCTION("""COMPUTED_VALUE"""),2.0)</f>
        <v>2</v>
      </c>
      <c r="T134" s="16">
        <f>IFERROR(__xludf.DUMMYFUNCTION("""COMPUTED_VALUE"""),3.0)</f>
        <v>3</v>
      </c>
      <c r="U134" s="16">
        <f>IFERROR(__xludf.DUMMYFUNCTION("""COMPUTED_VALUE"""),2.0)</f>
        <v>2</v>
      </c>
      <c r="V134" s="16">
        <f>IFERROR(__xludf.DUMMYFUNCTION("""COMPUTED_VALUE"""),11.3)</f>
        <v>11.3</v>
      </c>
      <c r="W134" s="16">
        <f>IFERROR(__xludf.DUMMYFUNCTION("""COMPUTED_VALUE"""),20.6)</f>
        <v>20.6</v>
      </c>
      <c r="X134" s="16">
        <f>IFERROR(__xludf.DUMMYFUNCTION("""COMPUTED_VALUE"""),-1.0)</f>
        <v>-1</v>
      </c>
      <c r="Y134" s="16">
        <f>IFERROR(__xludf.DUMMYFUNCTION("""COMPUTED_VALUE"""),0.0)</f>
        <v>0</v>
      </c>
      <c r="Z134" s="16">
        <f>IFERROR(__xludf.DUMMYFUNCTION("""COMPUTED_VALUE"""),-2.0)</f>
        <v>-2</v>
      </c>
      <c r="AA134" s="16">
        <f>IFERROR(__xludf.DUMMYFUNCTION("""COMPUTED_VALUE"""),0.0)</f>
        <v>0</v>
      </c>
      <c r="AB134" s="16">
        <f>IFERROR(__xludf.DUMMYFUNCTION("""COMPUTED_VALUE"""),35.3)</f>
        <v>35.3</v>
      </c>
      <c r="AC134" s="16">
        <f>IFERROR(__xludf.DUMMYFUNCTION("""COMPUTED_VALUE"""),37.6)</f>
        <v>37.6</v>
      </c>
      <c r="AD134" s="16">
        <f>IFERROR(__xludf.DUMMYFUNCTION("""COMPUTED_VALUE"""),1.0)</f>
        <v>1</v>
      </c>
      <c r="AE134" s="16">
        <f>IFERROR(__xludf.DUMMYFUNCTION("""COMPUTED_VALUE"""),1.0)</f>
        <v>1</v>
      </c>
      <c r="AF134" s="16">
        <f>IFERROR(__xludf.DUMMYFUNCTION("""COMPUTED_VALUE"""),5.0)</f>
        <v>5</v>
      </c>
      <c r="AG134" s="16">
        <f>IFERROR(__xludf.DUMMYFUNCTION("""COMPUTED_VALUE"""),5.0)</f>
        <v>5</v>
      </c>
      <c r="AH134" s="16">
        <f>IFERROR(__xludf.DUMMYFUNCTION("""COMPUTED_VALUE"""),28.5)</f>
        <v>28.5</v>
      </c>
      <c r="AI134" s="16">
        <f>IFERROR(__xludf.DUMMYFUNCTION("""COMPUTED_VALUE"""),31.2)</f>
        <v>31.2</v>
      </c>
      <c r="AJ134" s="16">
        <f>IFERROR(__xludf.DUMMYFUNCTION("""COMPUTED_VALUE"""),0.0)</f>
        <v>0</v>
      </c>
      <c r="AK134" s="16">
        <f>IFERROR(__xludf.DUMMYFUNCTION("""COMPUTED_VALUE"""),0.0)</f>
        <v>0</v>
      </c>
      <c r="AL134" s="16">
        <f>IFERROR(__xludf.DUMMYFUNCTION("""COMPUTED_VALUE"""),0.0)</f>
        <v>0</v>
      </c>
      <c r="AM134" s="16">
        <f>IFERROR(__xludf.DUMMYFUNCTION("""COMPUTED_VALUE"""),0.0)</f>
        <v>0</v>
      </c>
      <c r="AN134" s="16">
        <f>IFERROR(__xludf.DUMMYFUNCTION("""COMPUTED_VALUE"""),3.0)</f>
        <v>3</v>
      </c>
      <c r="AO134" s="16">
        <f>IFERROR(__xludf.DUMMYFUNCTION("""COMPUTED_VALUE"""),0.0)</f>
        <v>0</v>
      </c>
      <c r="AP134" s="16">
        <f>IFERROR(__xludf.DUMMYFUNCTION("""COMPUTED_VALUE"""),1.0)</f>
        <v>1</v>
      </c>
      <c r="AQ134" s="16">
        <f>IFERROR(__xludf.DUMMYFUNCTION("""COMPUTED_VALUE"""),-3.0)</f>
        <v>-3</v>
      </c>
      <c r="AR134" s="16">
        <f>IFERROR(__xludf.DUMMYFUNCTION("""COMPUTED_VALUE"""),2.0)</f>
        <v>2</v>
      </c>
      <c r="AS134" s="16">
        <f>IFERROR(__xludf.DUMMYFUNCTION("""COMPUTED_VALUE"""),-6.0)</f>
        <v>-6</v>
      </c>
      <c r="AT134" s="16">
        <f>IFERROR(__xludf.DUMMYFUNCTION("""COMPUTED_VALUE"""),4.0)</f>
        <v>4</v>
      </c>
      <c r="AU134" s="16">
        <f>IFERROR(__xludf.DUMMYFUNCTION("""COMPUTED_VALUE"""),0.0)</f>
        <v>0</v>
      </c>
      <c r="AV134" s="16">
        <f>IFERROR(__xludf.DUMMYFUNCTION("""COMPUTED_VALUE"""),4.0)</f>
        <v>4</v>
      </c>
      <c r="AW134" s="16">
        <f>IFERROR(__xludf.DUMMYFUNCTION("""COMPUTED_VALUE"""),0.0)</f>
        <v>0</v>
      </c>
      <c r="AX134" s="16">
        <f>IFERROR(__xludf.DUMMYFUNCTION("""COMPUTED_VALUE"""),2.0)</f>
        <v>2</v>
      </c>
      <c r="AY134" s="16">
        <f>IFERROR(__xludf.DUMMYFUNCTION("""COMPUTED_VALUE"""),-2.0)</f>
        <v>-2</v>
      </c>
      <c r="AZ134" s="16">
        <f>IFERROR(__xludf.DUMMYFUNCTION("""COMPUTED_VALUE"""),6.0)</f>
        <v>6</v>
      </c>
      <c r="BA134" s="16">
        <f>IFERROR(__xludf.DUMMYFUNCTION("""COMPUTED_VALUE"""),-6.0)</f>
        <v>-6</v>
      </c>
      <c r="BB134" s="16">
        <f>IFERROR(__xludf.DUMMYFUNCTION("""COMPUTED_VALUE"""),5.0)</f>
        <v>5</v>
      </c>
      <c r="BC134" s="16">
        <f>IFERROR(__xludf.DUMMYFUNCTION("""COMPUTED_VALUE"""),5.0)</f>
        <v>5</v>
      </c>
      <c r="BD134" s="16">
        <f>IFERROR(__xludf.DUMMYFUNCTION("""COMPUTED_VALUE"""),1.0)</f>
        <v>1</v>
      </c>
      <c r="BE134" s="16">
        <f>IFERROR(__xludf.DUMMYFUNCTION("""COMPUTED_VALUE"""),1.0)</f>
        <v>1</v>
      </c>
      <c r="BF134" s="16">
        <f>IFERROR(__xludf.DUMMYFUNCTION("""COMPUTED_VALUE"""),1.0)</f>
        <v>1</v>
      </c>
      <c r="BG134" s="16">
        <f>IFERROR(__xludf.DUMMYFUNCTION("""COMPUTED_VALUE"""),1.0)</f>
        <v>1</v>
      </c>
      <c r="BH134" s="16">
        <f>IFERROR(__xludf.DUMMYFUNCTION("""COMPUTED_VALUE"""),0.0)</f>
        <v>0</v>
      </c>
      <c r="BI134" s="16">
        <f>IFERROR(__xludf.DUMMYFUNCTION("""COMPUTED_VALUE"""),0.0)</f>
        <v>0</v>
      </c>
      <c r="BJ134" s="16">
        <f>IFERROR(__xludf.DUMMYFUNCTION("""COMPUTED_VALUE"""),14.0)</f>
        <v>14</v>
      </c>
      <c r="BK134" s="16">
        <f>IFERROR(__xludf.DUMMYFUNCTION("""COMPUTED_VALUE"""),15.0)</f>
        <v>15</v>
      </c>
      <c r="BL134" s="16">
        <f>IFERROR(__xludf.DUMMYFUNCTION("""COMPUTED_VALUE"""),0.0)</f>
        <v>0</v>
      </c>
      <c r="BM134" s="16">
        <f>IFERROR(__xludf.DUMMYFUNCTION("""COMPUTED_VALUE"""),-1.0)</f>
        <v>-1</v>
      </c>
      <c r="BN134" s="16">
        <f>IFERROR(__xludf.DUMMYFUNCTION("""COMPUTED_VALUE"""),0.0)</f>
        <v>0</v>
      </c>
      <c r="BO134" s="16">
        <f>IFERROR(__xludf.DUMMYFUNCTION("""COMPUTED_VALUE"""),-2.0)</f>
        <v>-2</v>
      </c>
      <c r="BP134" s="16">
        <f>IFERROR(__xludf.DUMMYFUNCTION("""COMPUTED_VALUE"""),7.0)</f>
        <v>7</v>
      </c>
      <c r="BQ134" s="16">
        <f>IFERROR(__xludf.DUMMYFUNCTION("""COMPUTED_VALUE"""),-1.0)</f>
        <v>-1</v>
      </c>
      <c r="BR134" s="16">
        <f>IFERROR(__xludf.DUMMYFUNCTION("""COMPUTED_VALUE"""),6.0)</f>
        <v>6</v>
      </c>
      <c r="BS134" s="16" t="str">
        <f>IFERROR(__xludf.DUMMYFUNCTION("""COMPUTED_VALUE"""),"*2-6,12/- (15-12)")</f>
        <v>*2-6,12/- (15-12)</v>
      </c>
      <c r="BT134" s="16" t="str">
        <f>IFERROR(__xludf.DUMMYFUNCTION("""COMPUTED_VALUE"""),"B")</f>
        <v>B</v>
      </c>
      <c r="BU134" s="16">
        <f>IFERROR(__xludf.DUMMYFUNCTION("""COMPUTED_VALUE"""),13.0)</f>
        <v>13</v>
      </c>
      <c r="BV134" s="16">
        <f>IFERROR(__xludf.DUMMYFUNCTION("""COMPUTED_VALUE"""),1.0)</f>
        <v>1</v>
      </c>
      <c r="BW134" s="16">
        <f>IFERROR(__xludf.DUMMYFUNCTION("""COMPUTED_VALUE"""),1.0)</f>
        <v>1</v>
      </c>
      <c r="BX134" s="16">
        <f>IFERROR(__xludf.DUMMYFUNCTION("""COMPUTED_VALUE"""),2.0)</f>
        <v>2</v>
      </c>
      <c r="BY134" s="16">
        <f>IFERROR(__xludf.DUMMYFUNCTION("""COMPUTED_VALUE"""),3.0)</f>
        <v>3</v>
      </c>
      <c r="BZ134" s="16" t="str">
        <f>IFERROR(__xludf.DUMMYFUNCTION("""COMPUTED_VALUE"""),"D")</f>
        <v>D</v>
      </c>
      <c r="CA134" s="16" t="str">
        <f>IFERROR(__xludf.DUMMYFUNCTION("""COMPUTED_VALUE"""),"B")</f>
        <v>B</v>
      </c>
      <c r="CB134" s="16">
        <f>IFERROR(__xludf.DUMMYFUNCTION("""COMPUTED_VALUE"""),0.0)</f>
        <v>0</v>
      </c>
      <c r="CC134" s="16">
        <f>IFERROR(__xludf.DUMMYFUNCTION("""COMPUTED_VALUE"""),1.0)</f>
        <v>1</v>
      </c>
      <c r="CD134" s="16">
        <f>IFERROR(__xludf.DUMMYFUNCTION("""COMPUTED_VALUE"""),0.0)</f>
        <v>0</v>
      </c>
      <c r="CE134" s="16">
        <f>IFERROR(__xludf.DUMMYFUNCTION("""COMPUTED_VALUE"""),2.0)</f>
        <v>2</v>
      </c>
      <c r="CF134" s="16">
        <f>IFERROR(__xludf.DUMMYFUNCTION("""COMPUTED_VALUE"""),1.0)</f>
        <v>1</v>
      </c>
      <c r="CG134" s="16">
        <f>IFERROR(__xludf.DUMMYFUNCTION("""COMPUTED_VALUE"""),15.0)</f>
        <v>15</v>
      </c>
      <c r="CH134" s="16">
        <f>IFERROR(__xludf.DUMMYFUNCTION("""COMPUTED_VALUE"""),-5.0)</f>
        <v>-5</v>
      </c>
      <c r="CI134" s="179">
        <f>IFERROR(__xludf.DUMMYFUNCTION("""COMPUTED_VALUE"""),8.0)</f>
        <v>8</v>
      </c>
      <c r="CJ134" s="16"/>
      <c r="CK134" s="16"/>
      <c r="CL134" s="16">
        <f>IFERROR(__xludf.DUMMYFUNCTION("""COMPUTED_VALUE"""),308.0)</f>
        <v>308</v>
      </c>
      <c r="CM134" s="16">
        <f>IFERROR(__xludf.DUMMYFUNCTION("""COMPUTED_VALUE"""),113.0)</f>
        <v>113</v>
      </c>
      <c r="CN134" s="16">
        <f>IFERROR(__xludf.DUMMYFUNCTION("""COMPUTED_VALUE"""),308.0)</f>
        <v>308</v>
      </c>
      <c r="CO134" s="16"/>
      <c r="CP134" s="16"/>
      <c r="CQ134" s="16"/>
      <c r="CR134" s="16" t="str">
        <f>IFERROR(__xludf.DUMMYFUNCTION("""COMPUTED_VALUE"""),"3b-1e13 2b-3e8 ss-3e8")</f>
        <v>3b-1e13 2b-3e8 ss-3e8</v>
      </c>
      <c r="CS134" s="16"/>
      <c r="CT134" s="16"/>
      <c r="CU134" s="16">
        <f>IFERROR(__xludf.DUMMYFUNCTION("""COMPUTED_VALUE"""),3.0)</f>
        <v>3</v>
      </c>
      <c r="CV134" s="16">
        <f>IFERROR(__xludf.DUMMYFUNCTION("""COMPUTED_VALUE"""),1.0)</f>
        <v>1</v>
      </c>
      <c r="CW134" s="16">
        <f>IFERROR(__xludf.DUMMYFUNCTION("""COMPUTED_VALUE"""),3.0)</f>
        <v>3</v>
      </c>
      <c r="CX134" s="16"/>
      <c r="CY134" s="16"/>
      <c r="CZ134" s="16"/>
      <c r="DA134" s="16"/>
      <c r="DB134" s="16"/>
      <c r="DC134" s="16">
        <f>IFERROR(__xludf.DUMMYFUNCTION("""COMPUTED_VALUE"""),8.0)</f>
        <v>8</v>
      </c>
      <c r="DD134" s="16">
        <f>IFERROR(__xludf.DUMMYFUNCTION("""COMPUTED_VALUE"""),13.0)</f>
        <v>13</v>
      </c>
      <c r="DE134" s="16">
        <f>IFERROR(__xludf.DUMMYFUNCTION("""COMPUTED_VALUE"""),8.0)</f>
        <v>8</v>
      </c>
      <c r="DF134" s="16"/>
      <c r="DG134" s="16"/>
      <c r="DH134" s="16"/>
      <c r="DI134" s="16"/>
      <c r="DJ134" s="16"/>
      <c r="DK134" s="16">
        <f>IFERROR(__xludf.DUMMYFUNCTION("""COMPUTED_VALUE"""),0.0)</f>
        <v>0</v>
      </c>
      <c r="DL134" s="16">
        <f>IFERROR(__xludf.DUMMYFUNCTION("""COMPUTED_VALUE"""),4.0)</f>
        <v>4</v>
      </c>
      <c r="DM134" s="16">
        <f>IFERROR(__xludf.DUMMYFUNCTION("""COMPUTED_VALUE"""),0.0)</f>
        <v>0</v>
      </c>
      <c r="DN134" s="16"/>
      <c r="DO134" s="16"/>
      <c r="DP134" s="16"/>
      <c r="DQ134" s="16"/>
      <c r="DR134" s="16"/>
      <c r="DS134" s="16">
        <f>IFERROR(__xludf.DUMMYFUNCTION("""COMPUTED_VALUE"""),3.0)</f>
        <v>3</v>
      </c>
      <c r="DT134" s="16">
        <f>IFERROR(__xludf.DUMMYFUNCTION("""COMPUTED_VALUE"""),1.0)</f>
        <v>1</v>
      </c>
      <c r="DU134" s="16">
        <f>IFERROR(__xludf.DUMMYFUNCTION("""COMPUTED_VALUE"""),3.0)</f>
        <v>3</v>
      </c>
      <c r="DV134" s="16"/>
      <c r="DW134" s="16"/>
      <c r="DX134" s="16"/>
      <c r="DY134" s="16"/>
      <c r="DZ134" s="16"/>
      <c r="EA134" s="16">
        <f>IFERROR(__xludf.DUMMYFUNCTION("""COMPUTED_VALUE"""),3.0)</f>
        <v>3</v>
      </c>
      <c r="EB134" s="16">
        <f>IFERROR(__xludf.DUMMYFUNCTION("""COMPUTED_VALUE"""),5.0)</f>
        <v>5</v>
      </c>
      <c r="EC134" s="16">
        <f>IFERROR(__xludf.DUMMYFUNCTION("""COMPUTED_VALUE"""),3.0)</f>
        <v>3</v>
      </c>
      <c r="ED134" s="16"/>
      <c r="EE134" s="16"/>
      <c r="EF134" s="16"/>
      <c r="EG134" s="179"/>
      <c r="EH134" s="179"/>
      <c r="EI134" s="179">
        <f>IFERROR(__xludf.DUMMYFUNCTION("""COMPUTED_VALUE"""),11.0)</f>
        <v>11</v>
      </c>
      <c r="EJ134" s="179">
        <f>IFERROR(__xludf.DUMMYFUNCTION("""COMPUTED_VALUE"""),13.0)</f>
        <v>13</v>
      </c>
      <c r="EK134" s="179">
        <f>IFERROR(__xludf.DUMMYFUNCTION("""COMPUTED_VALUE"""),11.0)</f>
        <v>11</v>
      </c>
      <c r="EL134" s="179"/>
      <c r="EM134" s="179"/>
      <c r="EN134" s="179"/>
      <c r="EO134" s="16"/>
      <c r="EP134" s="16">
        <f>IFERROR(__xludf.DUMMYFUNCTION("""COMPUTED_VALUE"""),2.0)</f>
        <v>2</v>
      </c>
      <c r="EQ134" s="16">
        <f>IFERROR(__xludf.DUMMYFUNCTION("""COMPUTED_VALUE"""),4.0)</f>
        <v>4</v>
      </c>
      <c r="ER134" s="16">
        <f>IFERROR(__xludf.DUMMYFUNCTION("""COMPUTED_VALUE"""),2.0)</f>
        <v>2</v>
      </c>
      <c r="ES134" s="16"/>
      <c r="ET134" s="16"/>
      <c r="EU134" s="16"/>
      <c r="EV134" s="16"/>
      <c r="EW134" s="16"/>
      <c r="EX134" s="180"/>
      <c r="EY134" s="180"/>
      <c r="EZ134" s="180">
        <f>IFERROR(__xludf.DUMMYFUNCTION("""COMPUTED_VALUE"""),0.2)</f>
        <v>0.2</v>
      </c>
      <c r="FA134" s="180">
        <f>IFERROR(__xludf.DUMMYFUNCTION("""COMPUTED_VALUE"""),0.0)</f>
        <v>0</v>
      </c>
      <c r="FB134" s="180">
        <f>IFERROR(__xludf.DUMMYFUNCTION("""COMPUTED_VALUE"""),0.2)</f>
        <v>0.2</v>
      </c>
      <c r="FC134" s="180"/>
      <c r="FD134" s="180"/>
      <c r="FE134" s="180"/>
      <c r="FF134" s="180"/>
      <c r="FG134" s="180"/>
      <c r="FH134" s="180">
        <f>IFERROR(__xludf.DUMMYFUNCTION("""COMPUTED_VALUE"""),0.046296296296296294)</f>
        <v>0.0462962963</v>
      </c>
      <c r="FI134" s="180">
        <f>IFERROR(__xludf.DUMMYFUNCTION("""COMPUTED_VALUE"""),0.1574074074074074)</f>
        <v>0.1574074074</v>
      </c>
      <c r="FJ134" s="180">
        <f>IFERROR(__xludf.DUMMYFUNCTION("""COMPUTED_VALUE"""),0.046296296296296294)</f>
        <v>0.0462962963</v>
      </c>
      <c r="FK134" s="180"/>
      <c r="FL134" s="180"/>
      <c r="FM134" s="180"/>
      <c r="FN134" s="16"/>
      <c r="FO134" s="16"/>
      <c r="FP134" s="16">
        <f>IFERROR(__xludf.DUMMYFUNCTION("""COMPUTED_VALUE"""),0.7629629629629631)</f>
        <v>0.762962963</v>
      </c>
      <c r="FQ134" s="16">
        <f>IFERROR(__xludf.DUMMYFUNCTION("""COMPUTED_VALUE"""),0.8425925925925926)</f>
        <v>0.8425925926</v>
      </c>
      <c r="FR134" s="16">
        <f>IFERROR(__xludf.DUMMYFUNCTION("""COMPUTED_VALUE"""),0.7629629629629631)</f>
        <v>0.762962963</v>
      </c>
      <c r="FS134" s="16"/>
      <c r="FT134" s="16"/>
      <c r="FU134" s="16"/>
      <c r="FV134" s="16"/>
      <c r="FW134" s="16"/>
      <c r="FX134" s="16">
        <f>IFERROR(__xludf.DUMMYFUNCTION("""COMPUTED_VALUE"""),-1.0)</f>
        <v>-1</v>
      </c>
      <c r="FY134" s="16">
        <f>IFERROR(__xludf.DUMMYFUNCTION("""COMPUTED_VALUE"""),1.0)</f>
        <v>1</v>
      </c>
      <c r="FZ134" s="16">
        <f>IFERROR(__xludf.DUMMYFUNCTION("""COMPUTED_VALUE"""),-1.0)</f>
        <v>-1</v>
      </c>
      <c r="GA134" s="16"/>
      <c r="GB134" s="16"/>
      <c r="GC134" s="16"/>
      <c r="GD134" s="16" t="s">
        <v>346</v>
      </c>
    </row>
    <row r="135">
      <c r="A135" s="16">
        <f>IFERROR(__xludf.DUMMYFUNCTION("""COMPUTED_VALUE"""),12911.0)</f>
        <v>12911</v>
      </c>
      <c r="B135" s="16" t="str">
        <f>IFERROR(__xludf.DUMMYFUNCTION("""COMPUTED_VALUE"""),"Jake Cronenworth")</f>
        <v>Jake Cronenworth</v>
      </c>
      <c r="C135" s="16">
        <f>IFERROR(__xludf.DUMMYFUNCTION("""COMPUTED_VALUE"""),0.84)</f>
        <v>0.84</v>
      </c>
      <c r="D135" s="16" t="str">
        <f>IFERROR(__xludf.DUMMYFUNCTION("""COMPUTED_VALUE"""),"L")</f>
        <v>L</v>
      </c>
      <c r="E135" s="16"/>
      <c r="F135" s="16"/>
      <c r="G135" s="16">
        <f>IFERROR(__xludf.DUMMYFUNCTION("""COMPUTED_VALUE"""),577.0)</f>
        <v>577</v>
      </c>
      <c r="H135" s="16">
        <f>IFERROR(__xludf.DUMMYFUNCTION("""COMPUTED_VALUE"""),61.0)</f>
        <v>61</v>
      </c>
      <c r="I135" s="16" t="str">
        <f>IFERROR(__xludf.DUMMYFUNCTION("""COMPUTED_VALUE"""),"1p70")</f>
        <v>1p70</v>
      </c>
      <c r="J135" s="16">
        <f>IFERROR(__xludf.DUMMYFUNCTION("""COMPUTED_VALUE"""),13.0)</f>
        <v>13</v>
      </c>
      <c r="K135" s="16">
        <f>IFERROR(__xludf.DUMMYFUNCTION("""COMPUTED_VALUE"""),15.0)</f>
        <v>15</v>
      </c>
      <c r="L135" s="16">
        <f>IFERROR(__xludf.DUMMYFUNCTION("""COMPUTED_VALUE"""),1.0)</f>
        <v>1</v>
      </c>
      <c r="M135" s="16">
        <f>IFERROR(__xludf.DUMMYFUNCTION("""COMPUTED_VALUE"""),1.0)</f>
        <v>1</v>
      </c>
      <c r="N135" s="16">
        <f>IFERROR(__xludf.DUMMYFUNCTION("""COMPUTED_VALUE"""),1.0)</f>
        <v>1</v>
      </c>
      <c r="O135" s="16">
        <f>IFERROR(__xludf.DUMMYFUNCTION("""COMPUTED_VALUE"""),1.0)</f>
        <v>1</v>
      </c>
      <c r="P135" s="16">
        <f>IFERROR(__xludf.DUMMYFUNCTION("""COMPUTED_VALUE"""),10.0)</f>
        <v>10</v>
      </c>
      <c r="Q135" s="16">
        <f>IFERROR(__xludf.DUMMYFUNCTION("""COMPUTED_VALUE"""),11.0)</f>
        <v>11</v>
      </c>
      <c r="R135" s="16">
        <f>IFERROR(__xludf.DUMMYFUNCTION("""COMPUTED_VALUE"""),1.0)</f>
        <v>1</v>
      </c>
      <c r="S135" s="16">
        <f>IFERROR(__xludf.DUMMYFUNCTION("""COMPUTED_VALUE"""),1.0)</f>
        <v>1</v>
      </c>
      <c r="T135" s="16">
        <f>IFERROR(__xludf.DUMMYFUNCTION("""COMPUTED_VALUE"""),1.0)</f>
        <v>1</v>
      </c>
      <c r="U135" s="16">
        <f>IFERROR(__xludf.DUMMYFUNCTION("""COMPUTED_VALUE"""),1.0)</f>
        <v>1</v>
      </c>
      <c r="V135" s="16">
        <f>IFERROR(__xludf.DUMMYFUNCTION("""COMPUTED_VALUE"""),13.3)</f>
        <v>13.3</v>
      </c>
      <c r="W135" s="16">
        <f>IFERROR(__xludf.DUMMYFUNCTION("""COMPUTED_VALUE"""),20.2)</f>
        <v>20.2</v>
      </c>
      <c r="X135" s="16">
        <f>IFERROR(__xludf.DUMMYFUNCTION("""COMPUTED_VALUE"""),-1.0)</f>
        <v>-1</v>
      </c>
      <c r="Y135" s="16">
        <f>IFERROR(__xludf.DUMMYFUNCTION("""COMPUTED_VALUE"""),0.0)</f>
        <v>0</v>
      </c>
      <c r="Z135" s="16">
        <f>IFERROR(__xludf.DUMMYFUNCTION("""COMPUTED_VALUE"""),-2.0)</f>
        <v>-2</v>
      </c>
      <c r="AA135" s="16">
        <f>IFERROR(__xludf.DUMMYFUNCTION("""COMPUTED_VALUE"""),0.0)</f>
        <v>0</v>
      </c>
      <c r="AB135" s="16">
        <f>IFERROR(__xludf.DUMMYFUNCTION("""COMPUTED_VALUE"""),27.3)</f>
        <v>27.3</v>
      </c>
      <c r="AC135" s="16">
        <f>IFERROR(__xludf.DUMMYFUNCTION("""COMPUTED_VALUE"""),35.2)</f>
        <v>35.2</v>
      </c>
      <c r="AD135" s="16">
        <f>IFERROR(__xludf.DUMMYFUNCTION("""COMPUTED_VALUE"""),0.0)</f>
        <v>0</v>
      </c>
      <c r="AE135" s="16">
        <f>IFERROR(__xludf.DUMMYFUNCTION("""COMPUTED_VALUE"""),1.0)</f>
        <v>1</v>
      </c>
      <c r="AF135" s="16">
        <f>IFERROR(__xludf.DUMMYFUNCTION("""COMPUTED_VALUE"""),0.0)</f>
        <v>0</v>
      </c>
      <c r="AG135" s="16">
        <f>IFERROR(__xludf.DUMMYFUNCTION("""COMPUTED_VALUE"""),5.0)</f>
        <v>5</v>
      </c>
      <c r="AH135" s="16">
        <f>IFERROR(__xludf.DUMMYFUNCTION("""COMPUTED_VALUE"""),18.9)</f>
        <v>18.9</v>
      </c>
      <c r="AI135" s="16">
        <f>IFERROR(__xludf.DUMMYFUNCTION("""COMPUTED_VALUE"""),33.6)</f>
        <v>33.6</v>
      </c>
      <c r="AJ135" s="16">
        <f>IFERROR(__xludf.DUMMYFUNCTION("""COMPUTED_VALUE"""),-1.0)</f>
        <v>-1</v>
      </c>
      <c r="AK135" s="16">
        <f>IFERROR(__xludf.DUMMYFUNCTION("""COMPUTED_VALUE"""),0.0)</f>
        <v>0</v>
      </c>
      <c r="AL135" s="16">
        <f>IFERROR(__xludf.DUMMYFUNCTION("""COMPUTED_VALUE"""),-5.0)</f>
        <v>-5</v>
      </c>
      <c r="AM135" s="16">
        <f>IFERROR(__xludf.DUMMYFUNCTION("""COMPUTED_VALUE"""),0.0)</f>
        <v>0</v>
      </c>
      <c r="AN135" s="16">
        <f>IFERROR(__xludf.DUMMYFUNCTION("""COMPUTED_VALUE"""),1.3)</f>
        <v>1.3</v>
      </c>
      <c r="AO135" s="16">
        <f>IFERROR(__xludf.DUMMYFUNCTION("""COMPUTED_VALUE"""),2.3)</f>
        <v>2.3</v>
      </c>
      <c r="AP135" s="16">
        <f>IFERROR(__xludf.DUMMYFUNCTION("""COMPUTED_VALUE"""),-1.0)</f>
        <v>-1</v>
      </c>
      <c r="AQ135" s="16">
        <f>IFERROR(__xludf.DUMMYFUNCTION("""COMPUTED_VALUE"""),0.0)</f>
        <v>0</v>
      </c>
      <c r="AR135" s="16">
        <f>IFERROR(__xludf.DUMMYFUNCTION("""COMPUTED_VALUE"""),-2.0)</f>
        <v>-2</v>
      </c>
      <c r="AS135" s="16">
        <f>IFERROR(__xludf.DUMMYFUNCTION("""COMPUTED_VALUE"""),0.0)</f>
        <v>0</v>
      </c>
      <c r="AT135" s="16"/>
      <c r="AU135" s="16">
        <f>IFERROR(__xludf.DUMMYFUNCTION("""COMPUTED_VALUE"""),3.0)</f>
        <v>3</v>
      </c>
      <c r="AV135" s="16">
        <f>IFERROR(__xludf.DUMMYFUNCTION("""COMPUTED_VALUE"""),-3.0)</f>
        <v>-3</v>
      </c>
      <c r="AW135" s="16">
        <f>IFERROR(__xludf.DUMMYFUNCTION("""COMPUTED_VALUE"""),3.0)</f>
        <v>3</v>
      </c>
      <c r="AX135" s="16">
        <f>IFERROR(__xludf.DUMMYFUNCTION("""COMPUTED_VALUE"""),-3.0)</f>
        <v>-3</v>
      </c>
      <c r="AY135" s="16">
        <f>IFERROR(__xludf.DUMMYFUNCTION("""COMPUTED_VALUE"""),0.0)</f>
        <v>0</v>
      </c>
      <c r="AZ135" s="16">
        <f>IFERROR(__xludf.DUMMYFUNCTION("""COMPUTED_VALUE"""),-9.0)</f>
        <v>-9</v>
      </c>
      <c r="BA135" s="16">
        <f>IFERROR(__xludf.DUMMYFUNCTION("""COMPUTED_VALUE"""),0.0)</f>
        <v>0</v>
      </c>
      <c r="BB135" s="16">
        <f>IFERROR(__xludf.DUMMYFUNCTION("""COMPUTED_VALUE"""),5.0)</f>
        <v>5</v>
      </c>
      <c r="BC135" s="16">
        <f>IFERROR(__xludf.DUMMYFUNCTION("""COMPUTED_VALUE"""),5.0)</f>
        <v>5</v>
      </c>
      <c r="BD135" s="16">
        <f>IFERROR(__xludf.DUMMYFUNCTION("""COMPUTED_VALUE"""),1.0)</f>
        <v>1</v>
      </c>
      <c r="BE135" s="16">
        <f>IFERROR(__xludf.DUMMYFUNCTION("""COMPUTED_VALUE"""),1.0)</f>
        <v>1</v>
      </c>
      <c r="BF135" s="16">
        <f>IFERROR(__xludf.DUMMYFUNCTION("""COMPUTED_VALUE"""),1.0)</f>
        <v>1</v>
      </c>
      <c r="BG135" s="16">
        <f>IFERROR(__xludf.DUMMYFUNCTION("""COMPUTED_VALUE"""),1.0)</f>
        <v>1</v>
      </c>
      <c r="BH135" s="16">
        <f>IFERROR(__xludf.DUMMYFUNCTION("""COMPUTED_VALUE"""),2.0)</f>
        <v>2</v>
      </c>
      <c r="BI135" s="16">
        <f>IFERROR(__xludf.DUMMYFUNCTION("""COMPUTED_VALUE"""),2.0)</f>
        <v>2</v>
      </c>
      <c r="BJ135" s="16">
        <f>IFERROR(__xludf.DUMMYFUNCTION("""COMPUTED_VALUE"""),21.0)</f>
        <v>21</v>
      </c>
      <c r="BK135" s="16">
        <f>IFERROR(__xludf.DUMMYFUNCTION("""COMPUTED_VALUE"""),19.0)</f>
        <v>19</v>
      </c>
      <c r="BL135" s="16">
        <f>IFERROR(__xludf.DUMMYFUNCTION("""COMPUTED_VALUE"""),-2.0)</f>
        <v>-2</v>
      </c>
      <c r="BM135" s="16">
        <f>IFERROR(__xludf.DUMMYFUNCTION("""COMPUTED_VALUE"""),-1.0)</f>
        <v>-1</v>
      </c>
      <c r="BN135" s="16">
        <f>IFERROR(__xludf.DUMMYFUNCTION("""COMPUTED_VALUE"""),-4.0)</f>
        <v>-4</v>
      </c>
      <c r="BO135" s="16">
        <f>IFERROR(__xludf.DUMMYFUNCTION("""COMPUTED_VALUE"""),-2.0)</f>
        <v>-2</v>
      </c>
      <c r="BP135" s="16">
        <f>IFERROR(__xludf.DUMMYFUNCTION("""COMPUTED_VALUE"""),-5.0)</f>
        <v>-5</v>
      </c>
      <c r="BQ135" s="16">
        <f>IFERROR(__xludf.DUMMYFUNCTION("""COMPUTED_VALUE"""),3.0)</f>
        <v>3</v>
      </c>
      <c r="BR135" s="16">
        <f>IFERROR(__xludf.DUMMYFUNCTION("""COMPUTED_VALUE"""),-2.0)</f>
        <v>-2</v>
      </c>
      <c r="BS135" s="16" t="str">
        <f>IFERROR(__xludf.DUMMYFUNCTION("""COMPUTED_VALUE"""),"5/- (14-6)")</f>
        <v>5/- (14-6)</v>
      </c>
      <c r="BT135" s="16" t="str">
        <f>IFERROR(__xludf.DUMMYFUNCTION("""COMPUTED_VALUE"""),"D")</f>
        <v>D</v>
      </c>
      <c r="BU135" s="16">
        <f>IFERROR(__xludf.DUMMYFUNCTION("""COMPUTED_VALUE"""),14.0)</f>
        <v>14</v>
      </c>
      <c r="BV135" s="16">
        <f>IFERROR(__xludf.DUMMYFUNCTION("""COMPUTED_VALUE"""),0.0)</f>
        <v>0</v>
      </c>
      <c r="BW135" s="16">
        <f>IFERROR(__xludf.DUMMYFUNCTION("""COMPUTED_VALUE"""),1.0)</f>
        <v>1</v>
      </c>
      <c r="BX135" s="16">
        <f>IFERROR(__xludf.DUMMYFUNCTION("""COMPUTED_VALUE"""),0.0)</f>
        <v>0</v>
      </c>
      <c r="BY135" s="16">
        <f>IFERROR(__xludf.DUMMYFUNCTION("""COMPUTED_VALUE"""),3.0)</f>
        <v>3</v>
      </c>
      <c r="BZ135" s="16" t="str">
        <f>IFERROR(__xludf.DUMMYFUNCTION("""COMPUTED_VALUE"""),"C")</f>
        <v>C</v>
      </c>
      <c r="CA135" s="16" t="str">
        <f>IFERROR(__xludf.DUMMYFUNCTION("""COMPUTED_VALUE"""),"B")</f>
        <v>B</v>
      </c>
      <c r="CB135" s="16">
        <f>IFERROR(__xludf.DUMMYFUNCTION("""COMPUTED_VALUE"""),0.0)</f>
        <v>0</v>
      </c>
      <c r="CC135" s="16">
        <f>IFERROR(__xludf.DUMMYFUNCTION("""COMPUTED_VALUE"""),1.0)</f>
        <v>1</v>
      </c>
      <c r="CD135" s="16">
        <f>IFERROR(__xludf.DUMMYFUNCTION("""COMPUTED_VALUE"""),0.0)</f>
        <v>0</v>
      </c>
      <c r="CE135" s="16">
        <f>IFERROR(__xludf.DUMMYFUNCTION("""COMPUTED_VALUE"""),2.0)</f>
        <v>2</v>
      </c>
      <c r="CF135" s="16">
        <f>IFERROR(__xludf.DUMMYFUNCTION("""COMPUTED_VALUE"""),1.0)</f>
        <v>1</v>
      </c>
      <c r="CG135" s="16">
        <f>IFERROR(__xludf.DUMMYFUNCTION("""COMPUTED_VALUE"""),-19.0)</f>
        <v>-19</v>
      </c>
      <c r="CH135" s="16">
        <f>IFERROR(__xludf.DUMMYFUNCTION("""COMPUTED_VALUE"""),6.0)</f>
        <v>6</v>
      </c>
      <c r="CI135" s="179">
        <f>IFERROR(__xludf.DUMMYFUNCTION("""COMPUTED_VALUE"""),8.0)</f>
        <v>8</v>
      </c>
      <c r="CJ135" s="16"/>
      <c r="CK135" s="16">
        <f>IFERROR(__xludf.DUMMYFUNCTION("""COMPUTED_VALUE"""),208.0)</f>
        <v>208</v>
      </c>
      <c r="CL135" s="16">
        <f>IFERROR(__xludf.DUMMYFUNCTION("""COMPUTED_VALUE"""),205.0)</f>
        <v>205</v>
      </c>
      <c r="CM135" s="16"/>
      <c r="CN135" s="16"/>
      <c r="CO135" s="16"/>
      <c r="CP135" s="16"/>
      <c r="CQ135" s="16"/>
      <c r="CR135" s="16" t="str">
        <f>IFERROR(__xludf.DUMMYFUNCTION("""COMPUTED_VALUE"""),"1b-2e8 2b-2e5")</f>
        <v>1b-2e8 2b-2e5</v>
      </c>
      <c r="CS135" s="16"/>
      <c r="CT135" s="16">
        <f>IFERROR(__xludf.DUMMYFUNCTION("""COMPUTED_VALUE"""),2.0)</f>
        <v>2</v>
      </c>
      <c r="CU135" s="16">
        <f>IFERROR(__xludf.DUMMYFUNCTION("""COMPUTED_VALUE"""),2.0)</f>
        <v>2</v>
      </c>
      <c r="CV135" s="16"/>
      <c r="CW135" s="16"/>
      <c r="CX135" s="16"/>
      <c r="CY135" s="16"/>
      <c r="CZ135" s="16"/>
      <c r="DA135" s="16"/>
      <c r="DB135" s="16">
        <f>IFERROR(__xludf.DUMMYFUNCTION("""COMPUTED_VALUE"""),8.0)</f>
        <v>8</v>
      </c>
      <c r="DC135" s="16">
        <f>IFERROR(__xludf.DUMMYFUNCTION("""COMPUTED_VALUE"""),5.0)</f>
        <v>5</v>
      </c>
      <c r="DD135" s="16"/>
      <c r="DE135" s="16"/>
      <c r="DF135" s="16"/>
      <c r="DG135" s="16"/>
      <c r="DH135" s="16"/>
      <c r="DI135" s="16"/>
      <c r="DJ135" s="16">
        <f>IFERROR(__xludf.DUMMYFUNCTION("""COMPUTED_VALUE"""),3.0)</f>
        <v>3</v>
      </c>
      <c r="DK135" s="16">
        <f>IFERROR(__xludf.DUMMYFUNCTION("""COMPUTED_VALUE"""),2.0)</f>
        <v>2</v>
      </c>
      <c r="DL135" s="16"/>
      <c r="DM135" s="16"/>
      <c r="DN135" s="16"/>
      <c r="DO135" s="16"/>
      <c r="DP135" s="16"/>
      <c r="DQ135" s="16"/>
      <c r="DR135" s="16">
        <f>IFERROR(__xludf.DUMMYFUNCTION("""COMPUTED_VALUE"""),2.0)</f>
        <v>2</v>
      </c>
      <c r="DS135" s="16">
        <f>IFERROR(__xludf.DUMMYFUNCTION("""COMPUTED_VALUE"""),3.0)</f>
        <v>3</v>
      </c>
      <c r="DT135" s="16"/>
      <c r="DU135" s="16"/>
      <c r="DV135" s="16"/>
      <c r="DW135" s="16"/>
      <c r="DX135" s="16"/>
      <c r="DY135" s="16"/>
      <c r="DZ135" s="16">
        <f>IFERROR(__xludf.DUMMYFUNCTION("""COMPUTED_VALUE"""),5.0)</f>
        <v>5</v>
      </c>
      <c r="EA135" s="16">
        <f>IFERROR(__xludf.DUMMYFUNCTION("""COMPUTED_VALUE"""),5.0)</f>
        <v>5</v>
      </c>
      <c r="EB135" s="16"/>
      <c r="EC135" s="16"/>
      <c r="ED135" s="16"/>
      <c r="EE135" s="16"/>
      <c r="EF135" s="16"/>
      <c r="EG135" s="179"/>
      <c r="EH135" s="179">
        <f>IFERROR(__xludf.DUMMYFUNCTION("""COMPUTED_VALUE"""),13.0)</f>
        <v>13</v>
      </c>
      <c r="EI135" s="179">
        <f>IFERROR(__xludf.DUMMYFUNCTION("""COMPUTED_VALUE"""),13.0)</f>
        <v>13</v>
      </c>
      <c r="EJ135" s="179"/>
      <c r="EK135" s="179"/>
      <c r="EL135" s="179"/>
      <c r="EM135" s="179"/>
      <c r="EN135" s="179"/>
      <c r="EO135" s="16"/>
      <c r="EP135" s="16"/>
      <c r="EQ135" s="16">
        <f>IFERROR(__xludf.DUMMYFUNCTION("""COMPUTED_VALUE"""),4.0)</f>
        <v>4</v>
      </c>
      <c r="ER135" s="16">
        <f>IFERROR(__xludf.DUMMYFUNCTION("""COMPUTED_VALUE"""),3.0)</f>
        <v>3</v>
      </c>
      <c r="ES135" s="16"/>
      <c r="ET135" s="16"/>
      <c r="EU135" s="16"/>
      <c r="EV135" s="16"/>
      <c r="EW135" s="16"/>
      <c r="EX135" s="180"/>
      <c r="EY135" s="180">
        <f>IFERROR(__xludf.DUMMYFUNCTION("""COMPUTED_VALUE"""),0.1)</f>
        <v>0.1</v>
      </c>
      <c r="EZ135" s="180">
        <f>IFERROR(__xludf.DUMMYFUNCTION("""COMPUTED_VALUE"""),0.1)</f>
        <v>0.1</v>
      </c>
      <c r="FA135" s="180"/>
      <c r="FB135" s="180"/>
      <c r="FC135" s="180"/>
      <c r="FD135" s="180"/>
      <c r="FE135" s="180"/>
      <c r="FF135" s="180"/>
      <c r="FG135" s="180">
        <f>IFERROR(__xludf.DUMMYFUNCTION("""COMPUTED_VALUE"""),0.14351851851851852)</f>
        <v>0.1435185185</v>
      </c>
      <c r="FH135" s="180">
        <f>IFERROR(__xludf.DUMMYFUNCTION("""COMPUTED_VALUE"""),0.032407407407407406)</f>
        <v>0.03240740741</v>
      </c>
      <c r="FI135" s="180"/>
      <c r="FJ135" s="180"/>
      <c r="FK135" s="180"/>
      <c r="FL135" s="180"/>
      <c r="FM135" s="180"/>
      <c r="FN135" s="16"/>
      <c r="FO135" s="16">
        <f>IFERROR(__xludf.DUMMYFUNCTION("""COMPUTED_VALUE"""),0.7708333333333334)</f>
        <v>0.7708333333</v>
      </c>
      <c r="FP135" s="16">
        <f>IFERROR(__xludf.DUMMYFUNCTION("""COMPUTED_VALUE"""),0.8708333333333333)</f>
        <v>0.8708333333</v>
      </c>
      <c r="FQ135" s="16"/>
      <c r="FR135" s="16"/>
      <c r="FS135" s="16"/>
      <c r="FT135" s="16"/>
      <c r="FU135" s="16"/>
      <c r="FV135" s="16"/>
      <c r="FW135" s="16">
        <f>IFERROR(__xludf.DUMMYFUNCTION("""COMPUTED_VALUE"""),-1.0)</f>
        <v>-1</v>
      </c>
      <c r="FX135" s="16">
        <f>IFERROR(__xludf.DUMMYFUNCTION("""COMPUTED_VALUE"""),4.0)</f>
        <v>4</v>
      </c>
      <c r="FY135" s="16"/>
      <c r="FZ135" s="16"/>
      <c r="GA135" s="16"/>
      <c r="GB135" s="16"/>
      <c r="GC135" s="16"/>
      <c r="GD135" s="16" t="s">
        <v>361</v>
      </c>
    </row>
    <row r="136">
      <c r="A136" s="16">
        <f>IFERROR(__xludf.DUMMYFUNCTION("""COMPUTED_VALUE"""),12690.0)</f>
        <v>12690</v>
      </c>
      <c r="B136" s="16" t="str">
        <f>IFERROR(__xludf.DUMMYFUNCTION("""COMPUTED_VALUE"""),"CJ Abrams")</f>
        <v>CJ Abrams</v>
      </c>
      <c r="C136" s="16">
        <f>IFERROR(__xludf.DUMMYFUNCTION("""COMPUTED_VALUE"""),1.64)</f>
        <v>1.64</v>
      </c>
      <c r="D136" s="16" t="str">
        <f>IFERROR(__xludf.DUMMYFUNCTION("""COMPUTED_VALUE"""),"L")</f>
        <v>L</v>
      </c>
      <c r="E136" s="16"/>
      <c r="F136" s="16"/>
      <c r="G136" s="16">
        <f>IFERROR(__xludf.DUMMYFUNCTION("""COMPUTED_VALUE"""),541.0)</f>
        <v>541</v>
      </c>
      <c r="H136" s="16">
        <f>IFERROR(__xludf.DUMMYFUNCTION("""COMPUTED_VALUE"""),40.0)</f>
        <v>40</v>
      </c>
      <c r="I136" s="16" t="str">
        <f>IFERROR(__xludf.DUMMYFUNCTION("""COMPUTED_VALUE"""),"1p65")</f>
        <v>1p65</v>
      </c>
      <c r="J136" s="16">
        <f>IFERROR(__xludf.DUMMYFUNCTION("""COMPUTED_VALUE"""),29.0)</f>
        <v>29</v>
      </c>
      <c r="K136" s="16">
        <f>IFERROR(__xludf.DUMMYFUNCTION("""COMPUTED_VALUE"""),18.0)</f>
        <v>18</v>
      </c>
      <c r="L136" s="16">
        <f>IFERROR(__xludf.DUMMYFUNCTION("""COMPUTED_VALUE"""),0.0)</f>
        <v>0</v>
      </c>
      <c r="M136" s="16">
        <f>IFERROR(__xludf.DUMMYFUNCTION("""COMPUTED_VALUE"""),1.0)</f>
        <v>1</v>
      </c>
      <c r="N136" s="16">
        <f>IFERROR(__xludf.DUMMYFUNCTION("""COMPUTED_VALUE"""),0.0)</f>
        <v>0</v>
      </c>
      <c r="O136" s="16">
        <f>IFERROR(__xludf.DUMMYFUNCTION("""COMPUTED_VALUE"""),1.0)</f>
        <v>1</v>
      </c>
      <c r="P136" s="16">
        <f>IFERROR(__xludf.DUMMYFUNCTION("""COMPUTED_VALUE"""),3.0)</f>
        <v>3</v>
      </c>
      <c r="Q136" s="16">
        <f>IFERROR(__xludf.DUMMYFUNCTION("""COMPUTED_VALUE"""),5.0)</f>
        <v>5</v>
      </c>
      <c r="R136" s="16">
        <f>IFERROR(__xludf.DUMMYFUNCTION("""COMPUTED_VALUE"""),-2.0)</f>
        <v>-2</v>
      </c>
      <c r="S136" s="16">
        <f>IFERROR(__xludf.DUMMYFUNCTION("""COMPUTED_VALUE"""),-1.0)</f>
        <v>-1</v>
      </c>
      <c r="T136" s="16">
        <f>IFERROR(__xludf.DUMMYFUNCTION("""COMPUTED_VALUE"""),-2.0)</f>
        <v>-2</v>
      </c>
      <c r="U136" s="16">
        <f>IFERROR(__xludf.DUMMYFUNCTION("""COMPUTED_VALUE"""),-1.0)</f>
        <v>-1</v>
      </c>
      <c r="V136" s="16">
        <f>IFERROR(__xludf.DUMMYFUNCTION("""COMPUTED_VALUE"""),30.6)</f>
        <v>30.6</v>
      </c>
      <c r="W136" s="16">
        <f>IFERROR(__xludf.DUMMYFUNCTION("""COMPUTED_VALUE"""),14.4)</f>
        <v>14.4</v>
      </c>
      <c r="X136" s="16">
        <f>IFERROR(__xludf.DUMMYFUNCTION("""COMPUTED_VALUE"""),2.0)</f>
        <v>2</v>
      </c>
      <c r="Y136" s="16">
        <f>IFERROR(__xludf.DUMMYFUNCTION("""COMPUTED_VALUE"""),-1.0)</f>
        <v>-1</v>
      </c>
      <c r="Z136" s="16">
        <f>IFERROR(__xludf.DUMMYFUNCTION("""COMPUTED_VALUE"""),4.0)</f>
        <v>4</v>
      </c>
      <c r="AA136" s="16">
        <f>IFERROR(__xludf.DUMMYFUNCTION("""COMPUTED_VALUE"""),-2.0)</f>
        <v>-2</v>
      </c>
      <c r="AB136" s="16">
        <f>IFERROR(__xludf.DUMMYFUNCTION("""COMPUTED_VALUE"""),39.6)</f>
        <v>39.6</v>
      </c>
      <c r="AC136" s="16">
        <f>IFERROR(__xludf.DUMMYFUNCTION("""COMPUTED_VALUE"""),25.4)</f>
        <v>25.4</v>
      </c>
      <c r="AD136" s="16">
        <f>IFERROR(__xludf.DUMMYFUNCTION("""COMPUTED_VALUE"""),1.0)</f>
        <v>1</v>
      </c>
      <c r="AE136" s="16">
        <f>IFERROR(__xludf.DUMMYFUNCTION("""COMPUTED_VALUE"""),-1.0)</f>
        <v>-1</v>
      </c>
      <c r="AF136" s="16">
        <f>IFERROR(__xludf.DUMMYFUNCTION("""COMPUTED_VALUE"""),5.0)</f>
        <v>5</v>
      </c>
      <c r="AG136" s="16">
        <f>IFERROR(__xludf.DUMMYFUNCTION("""COMPUTED_VALUE"""),-5.0)</f>
        <v>-5</v>
      </c>
      <c r="AH136" s="16">
        <f>IFERROR(__xludf.DUMMYFUNCTION("""COMPUTED_VALUE"""),48.5)</f>
        <v>48.5</v>
      </c>
      <c r="AI136" s="16">
        <f>IFERROR(__xludf.DUMMYFUNCTION("""COMPUTED_VALUE"""),28.4)</f>
        <v>28.4</v>
      </c>
      <c r="AJ136" s="16">
        <f>IFERROR(__xludf.DUMMYFUNCTION("""COMPUTED_VALUE"""),1.0)</f>
        <v>1</v>
      </c>
      <c r="AK136" s="16">
        <f>IFERROR(__xludf.DUMMYFUNCTION("""COMPUTED_VALUE"""),-1.0)</f>
        <v>-1</v>
      </c>
      <c r="AL136" s="16">
        <f>IFERROR(__xludf.DUMMYFUNCTION("""COMPUTED_VALUE"""),5.0)</f>
        <v>5</v>
      </c>
      <c r="AM136" s="16">
        <f>IFERROR(__xludf.DUMMYFUNCTION("""COMPUTED_VALUE"""),-5.0)</f>
        <v>-5</v>
      </c>
      <c r="AN136" s="16">
        <f>IFERROR(__xludf.DUMMYFUNCTION("""COMPUTED_VALUE"""),2.0)</f>
        <v>2</v>
      </c>
      <c r="AO136" s="16">
        <f>IFERROR(__xludf.DUMMYFUNCTION("""COMPUTED_VALUE"""),2.5)</f>
        <v>2.5</v>
      </c>
      <c r="AP136" s="16">
        <f>IFERROR(__xludf.DUMMYFUNCTION("""COMPUTED_VALUE"""),0.0)</f>
        <v>0</v>
      </c>
      <c r="AQ136" s="16">
        <f>IFERROR(__xludf.DUMMYFUNCTION("""COMPUTED_VALUE"""),0.0)</f>
        <v>0</v>
      </c>
      <c r="AR136" s="16">
        <f>IFERROR(__xludf.DUMMYFUNCTION("""COMPUTED_VALUE"""),0.0)</f>
        <v>0</v>
      </c>
      <c r="AS136" s="16">
        <f>IFERROR(__xludf.DUMMYFUNCTION("""COMPUTED_VALUE"""),0.0)</f>
        <v>0</v>
      </c>
      <c r="AT136" s="16">
        <f>IFERROR(__xludf.DUMMYFUNCTION("""COMPUTED_VALUE"""),2.0)</f>
        <v>2</v>
      </c>
      <c r="AU136" s="16">
        <f>IFERROR(__xludf.DUMMYFUNCTION("""COMPUTED_VALUE"""),4.0)</f>
        <v>4</v>
      </c>
      <c r="AV136" s="16">
        <f>IFERROR(__xludf.DUMMYFUNCTION("""COMPUTED_VALUE"""),2.0)</f>
        <v>2</v>
      </c>
      <c r="AW136" s="16">
        <f>IFERROR(__xludf.DUMMYFUNCTION("""COMPUTED_VALUE"""),4.0)</f>
        <v>4</v>
      </c>
      <c r="AX136" s="16">
        <f>IFERROR(__xludf.DUMMYFUNCTION("""COMPUTED_VALUE"""),0.0)</f>
        <v>0</v>
      </c>
      <c r="AY136" s="16">
        <f>IFERROR(__xludf.DUMMYFUNCTION("""COMPUTED_VALUE"""),1.0)</f>
        <v>1</v>
      </c>
      <c r="AZ136" s="16">
        <f>IFERROR(__xludf.DUMMYFUNCTION("""COMPUTED_VALUE"""),0.0)</f>
        <v>0</v>
      </c>
      <c r="BA136" s="16">
        <f>IFERROR(__xludf.DUMMYFUNCTION("""COMPUTED_VALUE"""),3.0)</f>
        <v>3</v>
      </c>
      <c r="BB136" s="16">
        <f>IFERROR(__xludf.DUMMYFUNCTION("""COMPUTED_VALUE"""),5.0)</f>
        <v>5</v>
      </c>
      <c r="BC136" s="16">
        <f>IFERROR(__xludf.DUMMYFUNCTION("""COMPUTED_VALUE"""),5.0)</f>
        <v>5</v>
      </c>
      <c r="BD136" s="16">
        <f>IFERROR(__xludf.DUMMYFUNCTION("""COMPUTED_VALUE"""),1.0)</f>
        <v>1</v>
      </c>
      <c r="BE136" s="16">
        <f>IFERROR(__xludf.DUMMYFUNCTION("""COMPUTED_VALUE"""),1.0)</f>
        <v>1</v>
      </c>
      <c r="BF136" s="16">
        <f>IFERROR(__xludf.DUMMYFUNCTION("""COMPUTED_VALUE"""),1.0)</f>
        <v>1</v>
      </c>
      <c r="BG136" s="16">
        <f>IFERROR(__xludf.DUMMYFUNCTION("""COMPUTED_VALUE"""),1.0)</f>
        <v>1</v>
      </c>
      <c r="BH136" s="16">
        <f>IFERROR(__xludf.DUMMYFUNCTION("""COMPUTED_VALUE"""),-8.0)</f>
        <v>-8</v>
      </c>
      <c r="BI136" s="16">
        <f>IFERROR(__xludf.DUMMYFUNCTION("""COMPUTED_VALUE"""),-5.0)</f>
        <v>-5</v>
      </c>
      <c r="BJ136" s="16">
        <f>IFERROR(__xludf.DUMMYFUNCTION("""COMPUTED_VALUE"""),2.0)</f>
        <v>2</v>
      </c>
      <c r="BK136" s="16">
        <f>IFERROR(__xludf.DUMMYFUNCTION("""COMPUTED_VALUE"""),2.0)</f>
        <v>2</v>
      </c>
      <c r="BL136" s="16">
        <f>IFERROR(__xludf.DUMMYFUNCTION("""COMPUTED_VALUE"""),2.0)</f>
        <v>2</v>
      </c>
      <c r="BM136" s="16">
        <f>IFERROR(__xludf.DUMMYFUNCTION("""COMPUTED_VALUE"""),2.0)</f>
        <v>2</v>
      </c>
      <c r="BN136" s="16">
        <f>IFERROR(__xludf.DUMMYFUNCTION("""COMPUTED_VALUE"""),2.0)</f>
        <v>2</v>
      </c>
      <c r="BO136" s="16">
        <f>IFERROR(__xludf.DUMMYFUNCTION("""COMPUTED_VALUE"""),2.0)</f>
        <v>2</v>
      </c>
      <c r="BP136" s="16">
        <f>IFERROR(__xludf.DUMMYFUNCTION("""COMPUTED_VALUE"""),5.0)</f>
        <v>5</v>
      </c>
      <c r="BQ136" s="16">
        <f>IFERROR(__xludf.DUMMYFUNCTION("""COMPUTED_VALUE"""),1.0)</f>
        <v>1</v>
      </c>
      <c r="BR136" s="16">
        <f>IFERROR(__xludf.DUMMYFUNCTION("""COMPUTED_VALUE"""),6.0)</f>
        <v>6</v>
      </c>
      <c r="BS136" s="16" t="str">
        <f>IFERROR(__xludf.DUMMYFUNCTION("""COMPUTED_VALUE"""),"*2-6,12/- (17-15)")</f>
        <v>*2-6,12/- (17-15)</v>
      </c>
      <c r="BT136" s="16" t="str">
        <f>IFERROR(__xludf.DUMMYFUNCTION("""COMPUTED_VALUE"""),"A")</f>
        <v>A</v>
      </c>
      <c r="BU136" s="16">
        <f>IFERROR(__xludf.DUMMYFUNCTION("""COMPUTED_VALUE"""),16.0)</f>
        <v>16</v>
      </c>
      <c r="BV136" s="16">
        <f>IFERROR(__xludf.DUMMYFUNCTION("""COMPUTED_VALUE"""),2.0)</f>
        <v>2</v>
      </c>
      <c r="BW136" s="16">
        <f>IFERROR(__xludf.DUMMYFUNCTION("""COMPUTED_VALUE"""),2.0)</f>
        <v>2</v>
      </c>
      <c r="BX136" s="16">
        <f>IFERROR(__xludf.DUMMYFUNCTION("""COMPUTED_VALUE"""),4.0)</f>
        <v>4</v>
      </c>
      <c r="BY136" s="16">
        <f>IFERROR(__xludf.DUMMYFUNCTION("""COMPUTED_VALUE"""),6.0)</f>
        <v>6</v>
      </c>
      <c r="BZ136" s="16" t="str">
        <f>IFERROR(__xludf.DUMMYFUNCTION("""COMPUTED_VALUE"""),"D")</f>
        <v>D</v>
      </c>
      <c r="CA136" s="16" t="str">
        <f>IFERROR(__xludf.DUMMYFUNCTION("""COMPUTED_VALUE"""),"C")</f>
        <v>C</v>
      </c>
      <c r="CB136" s="16">
        <f>IFERROR(__xludf.DUMMYFUNCTION("""COMPUTED_VALUE"""),0.0)</f>
        <v>0</v>
      </c>
      <c r="CC136" s="16">
        <f>IFERROR(__xludf.DUMMYFUNCTION("""COMPUTED_VALUE"""),0.0)</f>
        <v>0</v>
      </c>
      <c r="CD136" s="16">
        <f>IFERROR(__xludf.DUMMYFUNCTION("""COMPUTED_VALUE"""),0.0)</f>
        <v>0</v>
      </c>
      <c r="CE136" s="16">
        <f>IFERROR(__xludf.DUMMYFUNCTION("""COMPUTED_VALUE"""),0.0)</f>
        <v>0</v>
      </c>
      <c r="CF136" s="16">
        <f>IFERROR(__xludf.DUMMYFUNCTION("""COMPUTED_VALUE"""),1.0)</f>
        <v>1</v>
      </c>
      <c r="CG136" s="16">
        <f>IFERROR(__xludf.DUMMYFUNCTION("""COMPUTED_VALUE"""),15.0)</f>
        <v>15</v>
      </c>
      <c r="CH136" s="16">
        <f>IFERROR(__xludf.DUMMYFUNCTION("""COMPUTED_VALUE"""),-6.0)</f>
        <v>-6</v>
      </c>
      <c r="CI136" s="179">
        <f>IFERROR(__xludf.DUMMYFUNCTION("""COMPUTED_VALUE"""),8.0)</f>
        <v>8</v>
      </c>
      <c r="CJ136" s="16"/>
      <c r="CK136" s="16"/>
      <c r="CL136" s="16"/>
      <c r="CM136" s="16"/>
      <c r="CN136" s="16">
        <f>IFERROR(__xludf.DUMMYFUNCTION("""COMPUTED_VALUE"""),321.0)</f>
        <v>321</v>
      </c>
      <c r="CO136" s="16"/>
      <c r="CP136" s="16"/>
      <c r="CQ136" s="16"/>
      <c r="CR136" s="16" t="str">
        <f>IFERROR(__xludf.DUMMYFUNCTION("""COMPUTED_VALUE"""),"ss-3e21")</f>
        <v>ss-3e21</v>
      </c>
      <c r="CS136" s="16"/>
      <c r="CT136" s="16"/>
      <c r="CU136" s="16"/>
      <c r="CV136" s="16"/>
      <c r="CW136" s="16">
        <f>IFERROR(__xludf.DUMMYFUNCTION("""COMPUTED_VALUE"""),3.0)</f>
        <v>3</v>
      </c>
      <c r="CX136" s="16"/>
      <c r="CY136" s="16"/>
      <c r="CZ136" s="16"/>
      <c r="DA136" s="16"/>
      <c r="DB136" s="16"/>
      <c r="DC136" s="16"/>
      <c r="DD136" s="16"/>
      <c r="DE136" s="16">
        <f>IFERROR(__xludf.DUMMYFUNCTION("""COMPUTED_VALUE"""),21.0)</f>
        <v>21</v>
      </c>
      <c r="DF136" s="16"/>
      <c r="DG136" s="16"/>
      <c r="DH136" s="16"/>
      <c r="DI136" s="16"/>
      <c r="DJ136" s="16"/>
      <c r="DK136" s="16"/>
      <c r="DL136" s="16"/>
      <c r="DM136" s="16">
        <f>IFERROR(__xludf.DUMMYFUNCTION("""COMPUTED_VALUE"""),0.0)</f>
        <v>0</v>
      </c>
      <c r="DN136" s="16"/>
      <c r="DO136" s="16"/>
      <c r="DP136" s="16"/>
      <c r="DQ136" s="16"/>
      <c r="DR136" s="16"/>
      <c r="DS136" s="16"/>
      <c r="DT136" s="16"/>
      <c r="DU136" s="16">
        <f>IFERROR(__xludf.DUMMYFUNCTION("""COMPUTED_VALUE"""),0.0)</f>
        <v>0</v>
      </c>
      <c r="DV136" s="16"/>
      <c r="DW136" s="16"/>
      <c r="DX136" s="16"/>
      <c r="DY136" s="16"/>
      <c r="DZ136" s="16"/>
      <c r="EA136" s="16"/>
      <c r="EB136" s="16"/>
      <c r="EC136" s="16">
        <f>IFERROR(__xludf.DUMMYFUNCTION("""COMPUTED_VALUE"""),0.0)</f>
        <v>0</v>
      </c>
      <c r="ED136" s="16"/>
      <c r="EE136" s="16"/>
      <c r="EF136" s="16"/>
      <c r="EG136" s="179"/>
      <c r="EH136" s="179"/>
      <c r="EI136" s="179"/>
      <c r="EJ136" s="179"/>
      <c r="EK136" s="179">
        <f>IFERROR(__xludf.DUMMYFUNCTION("""COMPUTED_VALUE"""),8.0)</f>
        <v>8</v>
      </c>
      <c r="EL136" s="179"/>
      <c r="EM136" s="179"/>
      <c r="EN136" s="179"/>
      <c r="EO136" s="16"/>
      <c r="EP136" s="16">
        <f>IFERROR(__xludf.DUMMYFUNCTION("""COMPUTED_VALUE"""),2.0)</f>
        <v>2</v>
      </c>
      <c r="EQ136" s="16">
        <f>IFERROR(__xludf.DUMMYFUNCTION("""COMPUTED_VALUE"""),4.0)</f>
        <v>4</v>
      </c>
      <c r="ER136" s="16">
        <f>IFERROR(__xludf.DUMMYFUNCTION("""COMPUTED_VALUE"""),2.0)</f>
        <v>2</v>
      </c>
      <c r="ES136" s="16"/>
      <c r="ET136" s="16"/>
      <c r="EU136" s="16"/>
      <c r="EV136" s="16"/>
      <c r="EW136" s="16"/>
      <c r="EX136" s="180"/>
      <c r="EY136" s="180"/>
      <c r="EZ136" s="180"/>
      <c r="FA136" s="180"/>
      <c r="FB136" s="180">
        <f>IFERROR(__xludf.DUMMYFUNCTION("""COMPUTED_VALUE"""),0.2)</f>
        <v>0.2</v>
      </c>
      <c r="FC136" s="180"/>
      <c r="FD136" s="180"/>
      <c r="FE136" s="180"/>
      <c r="FF136" s="180"/>
      <c r="FG136" s="180"/>
      <c r="FH136" s="180"/>
      <c r="FI136" s="180"/>
      <c r="FJ136" s="180">
        <f>IFERROR(__xludf.DUMMYFUNCTION("""COMPUTED_VALUE"""),0.10648148148148148)</f>
        <v>0.1064814815</v>
      </c>
      <c r="FK136" s="180"/>
      <c r="FL136" s="180"/>
      <c r="FM136" s="180"/>
      <c r="FN136" s="16"/>
      <c r="FO136" s="16"/>
      <c r="FP136" s="16"/>
      <c r="FQ136" s="16"/>
      <c r="FR136" s="16">
        <f>IFERROR(__xludf.DUMMYFUNCTION("""COMPUTED_VALUE"""),0.7148148148148148)</f>
        <v>0.7148148148</v>
      </c>
      <c r="FS136" s="16"/>
      <c r="FT136" s="16"/>
      <c r="FU136" s="16"/>
      <c r="FV136" s="16"/>
      <c r="FW136" s="16"/>
      <c r="FX136" s="16"/>
      <c r="FY136" s="16"/>
      <c r="FZ136" s="16">
        <f>IFERROR(__xludf.DUMMYFUNCTION("""COMPUTED_VALUE"""),-4.0)</f>
        <v>-4</v>
      </c>
      <c r="GA136" s="16"/>
      <c r="GB136" s="16"/>
      <c r="GC136" s="16"/>
      <c r="GD136" s="16" t="s">
        <v>1170</v>
      </c>
    </row>
    <row r="137">
      <c r="A137" s="16">
        <f>IFERROR(__xludf.DUMMYFUNCTION("""COMPUTED_VALUE"""),12708.0)</f>
        <v>12708</v>
      </c>
      <c r="B137" s="16" t="str">
        <f>IFERROR(__xludf.DUMMYFUNCTION("""COMPUTED_VALUE"""),"Connor Wong")</f>
        <v>Connor Wong</v>
      </c>
      <c r="C137" s="16">
        <f>IFERROR(__xludf.DUMMYFUNCTION("""COMPUTED_VALUE"""),0.95)</f>
        <v>0.95</v>
      </c>
      <c r="D137" s="16" t="str">
        <f>IFERROR(__xludf.DUMMYFUNCTION("""COMPUTED_VALUE"""),"R")</f>
        <v>R</v>
      </c>
      <c r="E137" s="16"/>
      <c r="F137" s="16"/>
      <c r="G137" s="16">
        <f>IFERROR(__xludf.DUMMYFUNCTION("""COMPUTED_VALUE"""),447.0)</f>
        <v>447</v>
      </c>
      <c r="H137" s="16">
        <f>IFERROR(__xludf.DUMMYFUNCTION("""COMPUTED_VALUE"""),28.0)</f>
        <v>28</v>
      </c>
      <c r="I137" s="16" t="str">
        <f>IFERROR(__xludf.DUMMYFUNCTION("""COMPUTED_VALUE"""),"2p60")</f>
        <v>2p60</v>
      </c>
      <c r="J137" s="16">
        <f>IFERROR(__xludf.DUMMYFUNCTION("""COMPUTED_VALUE"""),19.0)</f>
        <v>19</v>
      </c>
      <c r="K137" s="16">
        <f>IFERROR(__xludf.DUMMYFUNCTION("""COMPUTED_VALUE"""),29.0)</f>
        <v>29</v>
      </c>
      <c r="L137" s="16">
        <f>IFERROR(__xludf.DUMMYFUNCTION("""COMPUTED_VALUE"""),1.0)</f>
        <v>1</v>
      </c>
      <c r="M137" s="16">
        <f>IFERROR(__xludf.DUMMYFUNCTION("""COMPUTED_VALUE"""),0.0)</f>
        <v>0</v>
      </c>
      <c r="N137" s="16">
        <f>IFERROR(__xludf.DUMMYFUNCTION("""COMPUTED_VALUE"""),1.0)</f>
        <v>1</v>
      </c>
      <c r="O137" s="16">
        <f>IFERROR(__xludf.DUMMYFUNCTION("""COMPUTED_VALUE"""),0.0)</f>
        <v>0</v>
      </c>
      <c r="P137" s="16">
        <f>IFERROR(__xludf.DUMMYFUNCTION("""COMPUTED_VALUE"""),12.0)</f>
        <v>12</v>
      </c>
      <c r="Q137" s="16">
        <f>IFERROR(__xludf.DUMMYFUNCTION("""COMPUTED_VALUE"""),0.0)</f>
        <v>0</v>
      </c>
      <c r="R137" s="16">
        <f>IFERROR(__xludf.DUMMYFUNCTION("""COMPUTED_VALUE"""),1.0)</f>
        <v>1</v>
      </c>
      <c r="S137" s="16">
        <f>IFERROR(__xludf.DUMMYFUNCTION("""COMPUTED_VALUE"""),-2.0)</f>
        <v>-2</v>
      </c>
      <c r="T137" s="16">
        <f>IFERROR(__xludf.DUMMYFUNCTION("""COMPUTED_VALUE"""),1.0)</f>
        <v>1</v>
      </c>
      <c r="U137" s="16">
        <f>IFERROR(__xludf.DUMMYFUNCTION("""COMPUTED_VALUE"""),-2.0)</f>
        <v>-2</v>
      </c>
      <c r="V137" s="16">
        <f>IFERROR(__xludf.DUMMYFUNCTION("""COMPUTED_VALUE"""),29.5)</f>
        <v>29.5</v>
      </c>
      <c r="W137" s="16">
        <f>IFERROR(__xludf.DUMMYFUNCTION("""COMPUTED_VALUE"""),25.7)</f>
        <v>25.7</v>
      </c>
      <c r="X137" s="16">
        <f>IFERROR(__xludf.DUMMYFUNCTION("""COMPUTED_VALUE"""),1.0)</f>
        <v>1</v>
      </c>
      <c r="Y137" s="16">
        <f>IFERROR(__xludf.DUMMYFUNCTION("""COMPUTED_VALUE"""),1.0)</f>
        <v>1</v>
      </c>
      <c r="Z137" s="16">
        <f>IFERROR(__xludf.DUMMYFUNCTION("""COMPUTED_VALUE"""),2.0)</f>
        <v>2</v>
      </c>
      <c r="AA137" s="16">
        <f>IFERROR(__xludf.DUMMYFUNCTION("""COMPUTED_VALUE"""),2.0)</f>
        <v>2</v>
      </c>
      <c r="AB137" s="16">
        <f>IFERROR(__xludf.DUMMYFUNCTION("""COMPUTED_VALUE"""),45.5)</f>
        <v>45.5</v>
      </c>
      <c r="AC137" s="16">
        <f>IFERROR(__xludf.DUMMYFUNCTION("""COMPUTED_VALUE"""),29.7)</f>
        <v>29.7</v>
      </c>
      <c r="AD137" s="16">
        <f>IFERROR(__xludf.DUMMYFUNCTION("""COMPUTED_VALUE"""),2.0)</f>
        <v>2</v>
      </c>
      <c r="AE137" s="16">
        <f>IFERROR(__xludf.DUMMYFUNCTION("""COMPUTED_VALUE"""),0.0)</f>
        <v>0</v>
      </c>
      <c r="AF137" s="16">
        <f>IFERROR(__xludf.DUMMYFUNCTION("""COMPUTED_VALUE"""),10.0)</f>
        <v>10</v>
      </c>
      <c r="AG137" s="16">
        <f>IFERROR(__xludf.DUMMYFUNCTION("""COMPUTED_VALUE"""),0.0)</f>
        <v>0</v>
      </c>
      <c r="AH137" s="16">
        <f>IFERROR(__xludf.DUMMYFUNCTION("""COMPUTED_VALUE"""),43.5)</f>
        <v>43.5</v>
      </c>
      <c r="AI137" s="16">
        <f>IFERROR(__xludf.DUMMYFUNCTION("""COMPUTED_VALUE"""),34.5)</f>
        <v>34.5</v>
      </c>
      <c r="AJ137" s="16">
        <f>IFERROR(__xludf.DUMMYFUNCTION("""COMPUTED_VALUE"""),1.0)</f>
        <v>1</v>
      </c>
      <c r="AK137" s="16">
        <f>IFERROR(__xludf.DUMMYFUNCTION("""COMPUTED_VALUE"""),0.0)</f>
        <v>0</v>
      </c>
      <c r="AL137" s="16">
        <f>IFERROR(__xludf.DUMMYFUNCTION("""COMPUTED_VALUE"""),5.0)</f>
        <v>5</v>
      </c>
      <c r="AM137" s="16">
        <f>IFERROR(__xludf.DUMMYFUNCTION("""COMPUTED_VALUE"""),0.0)</f>
        <v>0</v>
      </c>
      <c r="AN137" s="16">
        <f>IFERROR(__xludf.DUMMYFUNCTION("""COMPUTED_VALUE"""),2.3)</f>
        <v>2.3</v>
      </c>
      <c r="AO137" s="16">
        <f>IFERROR(__xludf.DUMMYFUNCTION("""COMPUTED_VALUE"""),1.2)</f>
        <v>1.2</v>
      </c>
      <c r="AP137" s="16">
        <f>IFERROR(__xludf.DUMMYFUNCTION("""COMPUTED_VALUE"""),0.0)</f>
        <v>0</v>
      </c>
      <c r="AQ137" s="16">
        <f>IFERROR(__xludf.DUMMYFUNCTION("""COMPUTED_VALUE"""),-2.0)</f>
        <v>-2</v>
      </c>
      <c r="AR137" s="16">
        <f>IFERROR(__xludf.DUMMYFUNCTION("""COMPUTED_VALUE"""),0.0)</f>
        <v>0</v>
      </c>
      <c r="AS137" s="16">
        <f>IFERROR(__xludf.DUMMYFUNCTION("""COMPUTED_VALUE"""),-4.0)</f>
        <v>-4</v>
      </c>
      <c r="AT137" s="16">
        <f>IFERROR(__xludf.DUMMYFUNCTION("""COMPUTED_VALUE"""),3.0)</f>
        <v>3</v>
      </c>
      <c r="AU137" s="16">
        <f>IFERROR(__xludf.DUMMYFUNCTION("""COMPUTED_VALUE"""),2.0)</f>
        <v>2</v>
      </c>
      <c r="AV137" s="16">
        <f>IFERROR(__xludf.DUMMYFUNCTION("""COMPUTED_VALUE"""),3.0)</f>
        <v>3</v>
      </c>
      <c r="AW137" s="16">
        <f>IFERROR(__xludf.DUMMYFUNCTION("""COMPUTED_VALUE"""),2.0)</f>
        <v>2</v>
      </c>
      <c r="AX137" s="16">
        <f>IFERROR(__xludf.DUMMYFUNCTION("""COMPUTED_VALUE"""),1.0)</f>
        <v>1</v>
      </c>
      <c r="AY137" s="16">
        <f>IFERROR(__xludf.DUMMYFUNCTION("""COMPUTED_VALUE"""),0.0)</f>
        <v>0</v>
      </c>
      <c r="AZ137" s="16">
        <f>IFERROR(__xludf.DUMMYFUNCTION("""COMPUTED_VALUE"""),3.0)</f>
        <v>3</v>
      </c>
      <c r="BA137" s="16">
        <f>IFERROR(__xludf.DUMMYFUNCTION("""COMPUTED_VALUE"""),0.0)</f>
        <v>0</v>
      </c>
      <c r="BB137" s="16">
        <f>IFERROR(__xludf.DUMMYFUNCTION("""COMPUTED_VALUE"""),5.0)</f>
        <v>5</v>
      </c>
      <c r="BC137" s="16">
        <f>IFERROR(__xludf.DUMMYFUNCTION("""COMPUTED_VALUE"""),5.0)</f>
        <v>5</v>
      </c>
      <c r="BD137" s="16">
        <f>IFERROR(__xludf.DUMMYFUNCTION("""COMPUTED_VALUE"""),1.0)</f>
        <v>1</v>
      </c>
      <c r="BE137" s="16">
        <f>IFERROR(__xludf.DUMMYFUNCTION("""COMPUTED_VALUE"""),1.0)</f>
        <v>1</v>
      </c>
      <c r="BF137" s="16">
        <f>IFERROR(__xludf.DUMMYFUNCTION("""COMPUTED_VALUE"""),1.0)</f>
        <v>1</v>
      </c>
      <c r="BG137" s="16">
        <f>IFERROR(__xludf.DUMMYFUNCTION("""COMPUTED_VALUE"""),1.0)</f>
        <v>1</v>
      </c>
      <c r="BH137" s="16">
        <f>IFERROR(__xludf.DUMMYFUNCTION("""COMPUTED_VALUE"""),-2.0)</f>
        <v>-2</v>
      </c>
      <c r="BI137" s="16">
        <f>IFERROR(__xludf.DUMMYFUNCTION("""COMPUTED_VALUE"""),-2.0)</f>
        <v>-2</v>
      </c>
      <c r="BJ137" s="16">
        <f>IFERROR(__xludf.DUMMYFUNCTION("""COMPUTED_VALUE"""),10.0)</f>
        <v>10</v>
      </c>
      <c r="BK137" s="16">
        <f>IFERROR(__xludf.DUMMYFUNCTION("""COMPUTED_VALUE"""),12.0)</f>
        <v>12</v>
      </c>
      <c r="BL137" s="16">
        <f>IFERROR(__xludf.DUMMYFUNCTION("""COMPUTED_VALUE"""),0.0)</f>
        <v>0</v>
      </c>
      <c r="BM137" s="16">
        <f>IFERROR(__xludf.DUMMYFUNCTION("""COMPUTED_VALUE"""),0.0)</f>
        <v>0</v>
      </c>
      <c r="BN137" s="16">
        <f>IFERROR(__xludf.DUMMYFUNCTION("""COMPUTED_VALUE"""),0.0)</f>
        <v>0</v>
      </c>
      <c r="BO137" s="16">
        <f>IFERROR(__xludf.DUMMYFUNCTION("""COMPUTED_VALUE"""),0.0)</f>
        <v>0</v>
      </c>
      <c r="BP137" s="16">
        <f>IFERROR(__xludf.DUMMYFUNCTION("""COMPUTED_VALUE"""),8.0)</f>
        <v>8</v>
      </c>
      <c r="BQ137" s="16">
        <f>IFERROR(__xludf.DUMMYFUNCTION("""COMPUTED_VALUE"""),-2.0)</f>
        <v>-2</v>
      </c>
      <c r="BR137" s="16">
        <f>IFERROR(__xludf.DUMMYFUNCTION("""COMPUTED_VALUE"""),6.0)</f>
        <v>6</v>
      </c>
      <c r="BS137" s="16" t="str">
        <f>IFERROR(__xludf.DUMMYFUNCTION("""COMPUTED_VALUE"""),"*2-7/9 (15-8)")</f>
        <v>*2-7/9 (15-8)</v>
      </c>
      <c r="BT137" s="16" t="str">
        <f>IFERROR(__xludf.DUMMYFUNCTION("""COMPUTED_VALUE"""),"C")</f>
        <v>C</v>
      </c>
      <c r="BU137" s="16">
        <f>IFERROR(__xludf.DUMMYFUNCTION("""COMPUTED_VALUE"""),14.0)</f>
        <v>14</v>
      </c>
      <c r="BV137" s="16">
        <f>IFERROR(__xludf.DUMMYFUNCTION("""COMPUTED_VALUE"""),0.0)</f>
        <v>0</v>
      </c>
      <c r="BW137" s="16">
        <f>IFERROR(__xludf.DUMMYFUNCTION("""COMPUTED_VALUE"""),1.0)</f>
        <v>1</v>
      </c>
      <c r="BX137" s="16">
        <f>IFERROR(__xludf.DUMMYFUNCTION("""COMPUTED_VALUE"""),0.0)</f>
        <v>0</v>
      </c>
      <c r="BY137" s="16">
        <f>IFERROR(__xludf.DUMMYFUNCTION("""COMPUTED_VALUE"""),3.0)</f>
        <v>3</v>
      </c>
      <c r="BZ137" s="16" t="str">
        <f>IFERROR(__xludf.DUMMYFUNCTION("""COMPUTED_VALUE"""),"C")</f>
        <v>C</v>
      </c>
      <c r="CA137" s="16" t="str">
        <f>IFERROR(__xludf.DUMMYFUNCTION("""COMPUTED_VALUE"""),"D")</f>
        <v>D</v>
      </c>
      <c r="CB137" s="16">
        <f>IFERROR(__xludf.DUMMYFUNCTION("""COMPUTED_VALUE"""),0.0)</f>
        <v>0</v>
      </c>
      <c r="CC137" s="16">
        <f>IFERROR(__xludf.DUMMYFUNCTION("""COMPUTED_VALUE"""),0.0)</f>
        <v>0</v>
      </c>
      <c r="CD137" s="16">
        <f>IFERROR(__xludf.DUMMYFUNCTION("""COMPUTED_VALUE"""),0.0)</f>
        <v>0</v>
      </c>
      <c r="CE137" s="16">
        <f>IFERROR(__xludf.DUMMYFUNCTION("""COMPUTED_VALUE"""),0.0)</f>
        <v>0</v>
      </c>
      <c r="CF137" s="16">
        <f>IFERROR(__xludf.DUMMYFUNCTION("""COMPUTED_VALUE"""),2.0)</f>
        <v>2</v>
      </c>
      <c r="CG137" s="16">
        <f>IFERROR(__xludf.DUMMYFUNCTION("""COMPUTED_VALUE"""),23.0)</f>
        <v>23</v>
      </c>
      <c r="CH137" s="16">
        <f>IFERROR(__xludf.DUMMYFUNCTION("""COMPUTED_VALUE"""),-3.0)</f>
        <v>-3</v>
      </c>
      <c r="CI137" s="179">
        <f>IFERROR(__xludf.DUMMYFUNCTION("""COMPUTED_VALUE"""),7.0)</f>
        <v>7</v>
      </c>
      <c r="CJ137" s="16">
        <f>IFERROR(__xludf.DUMMYFUNCTION("""COMPUTED_VALUE"""),403.0)</f>
        <v>403</v>
      </c>
      <c r="CK137" s="16">
        <f>IFERROR(__xludf.DUMMYFUNCTION("""COMPUTED_VALUE"""),430.0)</f>
        <v>430</v>
      </c>
      <c r="CL137" s="16">
        <f>IFERROR(__xludf.DUMMYFUNCTION("""COMPUTED_VALUE"""),471.0)</f>
        <v>471</v>
      </c>
      <c r="CM137" s="16"/>
      <c r="CN137" s="16"/>
      <c r="CO137" s="16">
        <f>IFERROR(__xludf.DUMMYFUNCTION("""COMPUTED_VALUE"""),525.0)</f>
        <v>525</v>
      </c>
      <c r="CP137" s="16"/>
      <c r="CQ137" s="16"/>
      <c r="CR137" s="16" t="str">
        <f>IFERROR(__xludf.DUMMYFUNCTION("""COMPUTED_VALUE"""),"c-4(-1)e3,T-4(pb-0) 1b-4e30 2b-4e71 lf-5(0)e25")</f>
        <v>c-4(-1)e3,T-4(pb-0) 1b-4e30 2b-4e71 lf-5(0)e25</v>
      </c>
      <c r="CS137" s="16">
        <f>IFERROR(__xludf.DUMMYFUNCTION("""COMPUTED_VALUE"""),4.0)</f>
        <v>4</v>
      </c>
      <c r="CT137" s="16">
        <f>IFERROR(__xludf.DUMMYFUNCTION("""COMPUTED_VALUE"""),4.0)</f>
        <v>4</v>
      </c>
      <c r="CU137" s="16">
        <f>IFERROR(__xludf.DUMMYFUNCTION("""COMPUTED_VALUE"""),4.0)</f>
        <v>4</v>
      </c>
      <c r="CV137" s="16"/>
      <c r="CW137" s="16"/>
      <c r="CX137" s="16">
        <f>IFERROR(__xludf.DUMMYFUNCTION("""COMPUTED_VALUE"""),5.0)</f>
        <v>5</v>
      </c>
      <c r="CY137" s="16"/>
      <c r="CZ137" s="16"/>
      <c r="DA137" s="16">
        <f>IFERROR(__xludf.DUMMYFUNCTION("""COMPUTED_VALUE"""),3.0)</f>
        <v>3</v>
      </c>
      <c r="DB137" s="16">
        <f>IFERROR(__xludf.DUMMYFUNCTION("""COMPUTED_VALUE"""),30.0)</f>
        <v>30</v>
      </c>
      <c r="DC137" s="16">
        <f>IFERROR(__xludf.DUMMYFUNCTION("""COMPUTED_VALUE"""),71.0)</f>
        <v>71</v>
      </c>
      <c r="DD137" s="16"/>
      <c r="DE137" s="16"/>
      <c r="DF137" s="16">
        <f>IFERROR(__xludf.DUMMYFUNCTION("""COMPUTED_VALUE"""),25.0)</f>
        <v>25</v>
      </c>
      <c r="DG137" s="16"/>
      <c r="DH137" s="16"/>
      <c r="DI137" s="16">
        <f>IFERROR(__xludf.DUMMYFUNCTION("""COMPUTED_VALUE"""),-2.0)</f>
        <v>-2</v>
      </c>
      <c r="DJ137" s="16">
        <f>IFERROR(__xludf.DUMMYFUNCTION("""COMPUTED_VALUE"""),0.0)</f>
        <v>0</v>
      </c>
      <c r="DK137" s="16">
        <f>IFERROR(__xludf.DUMMYFUNCTION("""COMPUTED_VALUE"""),-2.0)</f>
        <v>-2</v>
      </c>
      <c r="DL137" s="16"/>
      <c r="DM137" s="16"/>
      <c r="DN137" s="16">
        <f>IFERROR(__xludf.DUMMYFUNCTION("""COMPUTED_VALUE"""),-3.0)</f>
        <v>-3</v>
      </c>
      <c r="DO137" s="16"/>
      <c r="DP137" s="16"/>
      <c r="DQ137" s="16">
        <f>IFERROR(__xludf.DUMMYFUNCTION("""COMPUTED_VALUE"""),3.0)</f>
        <v>3</v>
      </c>
      <c r="DR137" s="16">
        <f>IFERROR(__xludf.DUMMYFUNCTION("""COMPUTED_VALUE"""),-2.0)</f>
        <v>-2</v>
      </c>
      <c r="DS137" s="16">
        <f>IFERROR(__xludf.DUMMYFUNCTION("""COMPUTED_VALUE"""),-2.0)</f>
        <v>-2</v>
      </c>
      <c r="DT137" s="16"/>
      <c r="DU137" s="16"/>
      <c r="DV137" s="16">
        <f>IFERROR(__xludf.DUMMYFUNCTION("""COMPUTED_VALUE"""),-4.0)</f>
        <v>-4</v>
      </c>
      <c r="DW137" s="16"/>
      <c r="DX137" s="16"/>
      <c r="DY137" s="16">
        <f>IFERROR(__xludf.DUMMYFUNCTION("""COMPUTED_VALUE"""),1.0)</f>
        <v>1</v>
      </c>
      <c r="DZ137" s="16">
        <f>IFERROR(__xludf.DUMMYFUNCTION("""COMPUTED_VALUE"""),-2.0)</f>
        <v>-2</v>
      </c>
      <c r="EA137" s="16">
        <f>IFERROR(__xludf.DUMMYFUNCTION("""COMPUTED_VALUE"""),-4.0)</f>
        <v>-4</v>
      </c>
      <c r="EB137" s="16"/>
      <c r="EC137" s="16"/>
      <c r="ED137" s="16">
        <f>IFERROR(__xludf.DUMMYFUNCTION("""COMPUTED_VALUE"""),-7.0)</f>
        <v>-7</v>
      </c>
      <c r="EE137" s="16"/>
      <c r="EF137" s="16"/>
      <c r="EG137" s="179">
        <f>IFERROR(__xludf.DUMMYFUNCTION("""COMPUTED_VALUE"""),7.0)</f>
        <v>7</v>
      </c>
      <c r="EH137" s="179">
        <f>IFERROR(__xludf.DUMMYFUNCTION("""COMPUTED_VALUE"""),5.0)</f>
        <v>5</v>
      </c>
      <c r="EI137" s="179">
        <f>IFERROR(__xludf.DUMMYFUNCTION("""COMPUTED_VALUE"""),3.0)</f>
        <v>3</v>
      </c>
      <c r="EJ137" s="179"/>
      <c r="EK137" s="179"/>
      <c r="EL137" s="179">
        <f>IFERROR(__xludf.DUMMYFUNCTION("""COMPUTED_VALUE"""),0.0)</f>
        <v>0</v>
      </c>
      <c r="EM137" s="179"/>
      <c r="EN137" s="179"/>
      <c r="EO137" s="16">
        <f>IFERROR(__xludf.DUMMYFUNCTION("""COMPUTED_VALUE"""),-1.0)</f>
        <v>-1</v>
      </c>
      <c r="EP137" s="16"/>
      <c r="EQ137" s="16">
        <f>IFERROR(__xludf.DUMMYFUNCTION("""COMPUTED_VALUE"""),2.0)</f>
        <v>2</v>
      </c>
      <c r="ER137" s="16">
        <f>IFERROR(__xludf.DUMMYFUNCTION("""COMPUTED_VALUE"""),1.0)</f>
        <v>1</v>
      </c>
      <c r="ES137" s="16" t="str">
        <f>IFERROR(__xludf.DUMMYFUNCTION("""COMPUTED_VALUE"""),"c-4")</f>
        <v>c-4</v>
      </c>
      <c r="ET137" s="16" t="str">
        <f>IFERROR(__xludf.DUMMYFUNCTION("""COMPUTED_VALUE"""),"-1)e3,T-4")</f>
        <v>-1)e3,T-4</v>
      </c>
      <c r="EU137" s="16" t="str">
        <f>IFERROR(__xludf.DUMMYFUNCTION("""COMPUTED_VALUE"""),"pb-0) 1b-4e30 2b-4e71 lf-5")</f>
        <v>pb-0) 1b-4e30 2b-4e71 lf-5</v>
      </c>
      <c r="EV137" s="16" t="str">
        <f>IFERROR(__xludf.DUMMYFUNCTION("""COMPUTED_VALUE"""),"0)e25")</f>
        <v>0)e25</v>
      </c>
      <c r="EW137" s="16">
        <f>IFERROR(__xludf.DUMMYFUNCTION("""COMPUTED_VALUE"""),-1.0)</f>
        <v>-1</v>
      </c>
      <c r="EX137" s="180">
        <f>IFERROR(__xludf.DUMMYFUNCTION("""COMPUTED_VALUE"""),0.3)</f>
        <v>0.3</v>
      </c>
      <c r="EY137" s="180">
        <f>IFERROR(__xludf.DUMMYFUNCTION("""COMPUTED_VALUE"""),0.3)</f>
        <v>0.3</v>
      </c>
      <c r="EZ137" s="180">
        <f>IFERROR(__xludf.DUMMYFUNCTION("""COMPUTED_VALUE"""),0.3)</f>
        <v>0.3</v>
      </c>
      <c r="FA137" s="180"/>
      <c r="FB137" s="180"/>
      <c r="FC137" s="180">
        <f>IFERROR(__xludf.DUMMYFUNCTION("""COMPUTED_VALUE"""),0.75)</f>
        <v>0.75</v>
      </c>
      <c r="FD137" s="180"/>
      <c r="FE137" s="180"/>
      <c r="FF137" s="180">
        <f>IFERROR(__xludf.DUMMYFUNCTION("""COMPUTED_VALUE"""),0.038)</f>
        <v>0.038</v>
      </c>
      <c r="FG137" s="180">
        <f>IFERROR(__xludf.DUMMYFUNCTION("""COMPUTED_VALUE"""),0.5370370370370371)</f>
        <v>0.537037037</v>
      </c>
      <c r="FH137" s="180">
        <f>IFERROR(__xludf.DUMMYFUNCTION("""COMPUTED_VALUE"""),0.42592592592592593)</f>
        <v>0.4259259259</v>
      </c>
      <c r="FI137" s="180"/>
      <c r="FJ137" s="180"/>
      <c r="FK137" s="180">
        <f>IFERROR(__xludf.DUMMYFUNCTION("""COMPUTED_VALUE"""),0.449)</f>
        <v>0.449</v>
      </c>
      <c r="FL137" s="180"/>
      <c r="FM137" s="180"/>
      <c r="FN137" s="16">
        <f>IFERROR(__xludf.DUMMYFUNCTION("""COMPUTED_VALUE"""),0.6733999999999999)</f>
        <v>0.6734</v>
      </c>
      <c r="FO137" s="16">
        <f>IFERROR(__xludf.DUMMYFUNCTION("""COMPUTED_VALUE"""),0.324074074074074)</f>
        <v>0.3240740741</v>
      </c>
      <c r="FP137" s="16">
        <f>IFERROR(__xludf.DUMMYFUNCTION("""COMPUTED_VALUE"""),0.40185185185185185)</f>
        <v>0.4018518519</v>
      </c>
      <c r="FQ137" s="16"/>
      <c r="FR137" s="16"/>
      <c r="FS137" s="16">
        <f>IFERROR(__xludf.DUMMYFUNCTION("""COMPUTED_VALUE"""),0.13774999999999998)</f>
        <v>0.13775</v>
      </c>
      <c r="FT137" s="16"/>
      <c r="FU137" s="16"/>
      <c r="FV137" s="16">
        <f>IFERROR(__xludf.DUMMYFUNCTION("""COMPUTED_VALUE"""),-3.0)</f>
        <v>-3</v>
      </c>
      <c r="FW137" s="16">
        <f>IFERROR(__xludf.DUMMYFUNCTION("""COMPUTED_VALUE"""),-8.0)</f>
        <v>-8</v>
      </c>
      <c r="FX137" s="16">
        <f>IFERROR(__xludf.DUMMYFUNCTION("""COMPUTED_VALUE"""),-8.0)</f>
        <v>-8</v>
      </c>
      <c r="FY137" s="16"/>
      <c r="FZ137" s="16"/>
      <c r="GA137" s="16">
        <f>IFERROR(__xludf.DUMMYFUNCTION("""COMPUTED_VALUE"""),-8.0)</f>
        <v>-8</v>
      </c>
      <c r="GB137" s="16"/>
      <c r="GC137" s="16"/>
      <c r="GD137" s="16" t="s">
        <v>306</v>
      </c>
    </row>
    <row r="138">
      <c r="A138" s="16">
        <f>IFERROR(__xludf.DUMMYFUNCTION("""COMPUTED_VALUE"""),12951.0)</f>
        <v>12951</v>
      </c>
      <c r="B138" s="16" t="str">
        <f>IFERROR(__xludf.DUMMYFUNCTION("""COMPUTED_VALUE"""),"Jeremy Pena")</f>
        <v>Jeremy Pena</v>
      </c>
      <c r="C138" s="16">
        <f>IFERROR(__xludf.DUMMYFUNCTION("""COMPUTED_VALUE"""),1.83)</f>
        <v>1.83</v>
      </c>
      <c r="D138" s="16" t="str">
        <f>IFERROR(__xludf.DUMMYFUNCTION("""COMPUTED_VALUE"""),"R")</f>
        <v>R</v>
      </c>
      <c r="E138" s="16"/>
      <c r="F138" s="16"/>
      <c r="G138" s="16">
        <f>IFERROR(__xludf.DUMMYFUNCTION("""COMPUTED_VALUE"""),602.0)</f>
        <v>602</v>
      </c>
      <c r="H138" s="16">
        <f>IFERROR(__xludf.DUMMYFUNCTION("""COMPUTED_VALUE"""),25.0)</f>
        <v>25</v>
      </c>
      <c r="I138" s="16" t="str">
        <f>IFERROR(__xludf.DUMMYFUNCTION("""COMPUTED_VALUE"""),"1p70")</f>
        <v>1p70</v>
      </c>
      <c r="J138" s="16">
        <f>IFERROR(__xludf.DUMMYFUNCTION("""COMPUTED_VALUE"""),2.0)</f>
        <v>2</v>
      </c>
      <c r="K138" s="16">
        <f>IFERROR(__xludf.DUMMYFUNCTION("""COMPUTED_VALUE"""),16.0)</f>
        <v>16</v>
      </c>
      <c r="L138" s="16">
        <f>IFERROR(__xludf.DUMMYFUNCTION("""COMPUTED_VALUE"""),2.0)</f>
        <v>2</v>
      </c>
      <c r="M138" s="16">
        <f>IFERROR(__xludf.DUMMYFUNCTION("""COMPUTED_VALUE"""),1.0)</f>
        <v>1</v>
      </c>
      <c r="N138" s="16">
        <f>IFERROR(__xludf.DUMMYFUNCTION("""COMPUTED_VALUE"""),2.0)</f>
        <v>2</v>
      </c>
      <c r="O138" s="16">
        <f>IFERROR(__xludf.DUMMYFUNCTION("""COMPUTED_VALUE"""),1.0)</f>
        <v>1</v>
      </c>
      <c r="P138" s="16">
        <f>IFERROR(__xludf.DUMMYFUNCTION("""COMPUTED_VALUE"""),0.0)</f>
        <v>0</v>
      </c>
      <c r="Q138" s="16">
        <f>IFERROR(__xludf.DUMMYFUNCTION("""COMPUTED_VALUE"""),0.0)</f>
        <v>0</v>
      </c>
      <c r="R138" s="16">
        <f>IFERROR(__xludf.DUMMYFUNCTION("""COMPUTED_VALUE"""),-3.0)</f>
        <v>-3</v>
      </c>
      <c r="S138" s="16">
        <f>IFERROR(__xludf.DUMMYFUNCTION("""COMPUTED_VALUE"""),-2.0)</f>
        <v>-2</v>
      </c>
      <c r="T138" s="16">
        <f>IFERROR(__xludf.DUMMYFUNCTION("""COMPUTED_VALUE"""),-3.0)</f>
        <v>-3</v>
      </c>
      <c r="U138" s="16">
        <f>IFERROR(__xludf.DUMMYFUNCTION("""COMPUTED_VALUE"""),-2.0)</f>
        <v>-2</v>
      </c>
      <c r="V138" s="16">
        <f>IFERROR(__xludf.DUMMYFUNCTION("""COMPUTED_VALUE"""),33.3)</f>
        <v>33.3</v>
      </c>
      <c r="W138" s="16">
        <f>IFERROR(__xludf.DUMMYFUNCTION("""COMPUTED_VALUE"""),23.7)</f>
        <v>23.7</v>
      </c>
      <c r="X138" s="16">
        <f>IFERROR(__xludf.DUMMYFUNCTION("""COMPUTED_VALUE"""),2.0)</f>
        <v>2</v>
      </c>
      <c r="Y138" s="16">
        <f>IFERROR(__xludf.DUMMYFUNCTION("""COMPUTED_VALUE"""),1.0)</f>
        <v>1</v>
      </c>
      <c r="Z138" s="16">
        <f>IFERROR(__xludf.DUMMYFUNCTION("""COMPUTED_VALUE"""),4.0)</f>
        <v>4</v>
      </c>
      <c r="AA138" s="16">
        <f>IFERROR(__xludf.DUMMYFUNCTION("""COMPUTED_VALUE"""),2.0)</f>
        <v>2</v>
      </c>
      <c r="AB138" s="16">
        <f>IFERROR(__xludf.DUMMYFUNCTION("""COMPUTED_VALUE"""),38.3)</f>
        <v>38.3</v>
      </c>
      <c r="AC138" s="16">
        <f>IFERROR(__xludf.DUMMYFUNCTION("""COMPUTED_VALUE"""),28.7)</f>
        <v>28.7</v>
      </c>
      <c r="AD138" s="16">
        <f>IFERROR(__xludf.DUMMYFUNCTION("""COMPUTED_VALUE"""),1.0)</f>
        <v>1</v>
      </c>
      <c r="AE138" s="16">
        <f>IFERROR(__xludf.DUMMYFUNCTION("""COMPUTED_VALUE"""),0.0)</f>
        <v>0</v>
      </c>
      <c r="AF138" s="16">
        <f>IFERROR(__xludf.DUMMYFUNCTION("""COMPUTED_VALUE"""),5.0)</f>
        <v>5</v>
      </c>
      <c r="AG138" s="16">
        <f>IFERROR(__xludf.DUMMYFUNCTION("""COMPUTED_VALUE"""),0.0)</f>
        <v>0</v>
      </c>
      <c r="AH138" s="16">
        <f>IFERROR(__xludf.DUMMYFUNCTION("""COMPUTED_VALUE"""),49.0)</f>
        <v>49</v>
      </c>
      <c r="AI138" s="16">
        <f>IFERROR(__xludf.DUMMYFUNCTION("""COMPUTED_VALUE"""),30.0)</f>
        <v>30</v>
      </c>
      <c r="AJ138" s="16">
        <f>IFERROR(__xludf.DUMMYFUNCTION("""COMPUTED_VALUE"""),1.0)</f>
        <v>1</v>
      </c>
      <c r="AK138" s="16">
        <f>IFERROR(__xludf.DUMMYFUNCTION("""COMPUTED_VALUE"""),0.0)</f>
        <v>0</v>
      </c>
      <c r="AL138" s="16">
        <f>IFERROR(__xludf.DUMMYFUNCTION("""COMPUTED_VALUE"""),5.0)</f>
        <v>5</v>
      </c>
      <c r="AM138" s="16">
        <f>IFERROR(__xludf.DUMMYFUNCTION("""COMPUTED_VALUE"""),0.0)</f>
        <v>0</v>
      </c>
      <c r="AN138" s="16">
        <f>IFERROR(__xludf.DUMMYFUNCTION("""COMPUTED_VALUE"""),1.0)</f>
        <v>1</v>
      </c>
      <c r="AO138" s="16">
        <f>IFERROR(__xludf.DUMMYFUNCTION("""COMPUTED_VALUE"""),1.3)</f>
        <v>1.3</v>
      </c>
      <c r="AP138" s="16">
        <f>IFERROR(__xludf.DUMMYFUNCTION("""COMPUTED_VALUE"""),-2.0)</f>
        <v>-2</v>
      </c>
      <c r="AQ138" s="16">
        <f>IFERROR(__xludf.DUMMYFUNCTION("""COMPUTED_VALUE"""),-1.0)</f>
        <v>-1</v>
      </c>
      <c r="AR138" s="16">
        <f>IFERROR(__xludf.DUMMYFUNCTION("""COMPUTED_VALUE"""),-4.0)</f>
        <v>-4</v>
      </c>
      <c r="AS138" s="16">
        <f>IFERROR(__xludf.DUMMYFUNCTION("""COMPUTED_VALUE"""),-2.0)</f>
        <v>-2</v>
      </c>
      <c r="AT138" s="16">
        <f>IFERROR(__xludf.DUMMYFUNCTION("""COMPUTED_VALUE"""),1.0)</f>
        <v>1</v>
      </c>
      <c r="AU138" s="16">
        <f>IFERROR(__xludf.DUMMYFUNCTION("""COMPUTED_VALUE"""),1.0)</f>
        <v>1</v>
      </c>
      <c r="AV138" s="16">
        <f>IFERROR(__xludf.DUMMYFUNCTION("""COMPUTED_VALUE"""),1.0)</f>
        <v>1</v>
      </c>
      <c r="AW138" s="16">
        <f>IFERROR(__xludf.DUMMYFUNCTION("""COMPUTED_VALUE"""),1.0)</f>
        <v>1</v>
      </c>
      <c r="AX138" s="16">
        <f>IFERROR(__xludf.DUMMYFUNCTION("""COMPUTED_VALUE"""),-1.0)</f>
        <v>-1</v>
      </c>
      <c r="AY138" s="16">
        <f>IFERROR(__xludf.DUMMYFUNCTION("""COMPUTED_VALUE"""),-1.0)</f>
        <v>-1</v>
      </c>
      <c r="AZ138" s="16">
        <f>IFERROR(__xludf.DUMMYFUNCTION("""COMPUTED_VALUE"""),-3.0)</f>
        <v>-3</v>
      </c>
      <c r="BA138" s="16">
        <f>IFERROR(__xludf.DUMMYFUNCTION("""COMPUTED_VALUE"""),-3.0)</f>
        <v>-3</v>
      </c>
      <c r="BB138" s="16">
        <f>IFERROR(__xludf.DUMMYFUNCTION("""COMPUTED_VALUE"""),5.0)</f>
        <v>5</v>
      </c>
      <c r="BC138" s="16">
        <f>IFERROR(__xludf.DUMMYFUNCTION("""COMPUTED_VALUE"""),5.0)</f>
        <v>5</v>
      </c>
      <c r="BD138" s="16">
        <f>IFERROR(__xludf.DUMMYFUNCTION("""COMPUTED_VALUE"""),1.0)</f>
        <v>1</v>
      </c>
      <c r="BE138" s="16">
        <f>IFERROR(__xludf.DUMMYFUNCTION("""COMPUTED_VALUE"""),1.0)</f>
        <v>1</v>
      </c>
      <c r="BF138" s="16">
        <f>IFERROR(__xludf.DUMMYFUNCTION("""COMPUTED_VALUE"""),1.0)</f>
        <v>1</v>
      </c>
      <c r="BG138" s="16">
        <f>IFERROR(__xludf.DUMMYFUNCTION("""COMPUTED_VALUE"""),1.0)</f>
        <v>1</v>
      </c>
      <c r="BH138" s="16">
        <f>IFERROR(__xludf.DUMMYFUNCTION("""COMPUTED_VALUE"""),-3.0)</f>
        <v>-3</v>
      </c>
      <c r="BI138" s="16">
        <f>IFERROR(__xludf.DUMMYFUNCTION("""COMPUTED_VALUE"""),-3.0)</f>
        <v>-3</v>
      </c>
      <c r="BJ138" s="16">
        <f>IFERROR(__xludf.DUMMYFUNCTION("""COMPUTED_VALUE"""),19.0)</f>
        <v>19</v>
      </c>
      <c r="BK138" s="16">
        <f>IFERROR(__xludf.DUMMYFUNCTION("""COMPUTED_VALUE"""),19.0)</f>
        <v>19</v>
      </c>
      <c r="BL138" s="16">
        <f>IFERROR(__xludf.DUMMYFUNCTION("""COMPUTED_VALUE"""),-1.0)</f>
        <v>-1</v>
      </c>
      <c r="BM138" s="16">
        <f>IFERROR(__xludf.DUMMYFUNCTION("""COMPUTED_VALUE"""),-1.0)</f>
        <v>-1</v>
      </c>
      <c r="BN138" s="16">
        <f>IFERROR(__xludf.DUMMYFUNCTION("""COMPUTED_VALUE"""),-2.0)</f>
        <v>-2</v>
      </c>
      <c r="BO138" s="16">
        <f>IFERROR(__xludf.DUMMYFUNCTION("""COMPUTED_VALUE"""),-2.0)</f>
        <v>-2</v>
      </c>
      <c r="BP138" s="16">
        <f>IFERROR(__xludf.DUMMYFUNCTION("""COMPUTED_VALUE"""),0.0)</f>
        <v>0</v>
      </c>
      <c r="BQ138" s="16">
        <f>IFERROR(__xludf.DUMMYFUNCTION("""COMPUTED_VALUE"""),-2.0)</f>
        <v>-2</v>
      </c>
      <c r="BR138" s="16">
        <f>IFERROR(__xludf.DUMMYFUNCTION("""COMPUTED_VALUE"""),-2.0)</f>
        <v>-2</v>
      </c>
      <c r="BS138" s="16" t="str">
        <f>IFERROR(__xludf.DUMMYFUNCTION("""COMPUTED_VALUE"""),"*2-5,12/- (17-12)")</f>
        <v>*2-5,12/- (17-12)</v>
      </c>
      <c r="BT138" s="16" t="str">
        <f>IFERROR(__xludf.DUMMYFUNCTION("""COMPUTED_VALUE"""),"A")</f>
        <v>A</v>
      </c>
      <c r="BU138" s="16">
        <f>IFERROR(__xludf.DUMMYFUNCTION("""COMPUTED_VALUE"""),16.0)</f>
        <v>16</v>
      </c>
      <c r="BV138" s="16">
        <f>IFERROR(__xludf.DUMMYFUNCTION("""COMPUTED_VALUE"""),2.0)</f>
        <v>2</v>
      </c>
      <c r="BW138" s="16">
        <f>IFERROR(__xludf.DUMMYFUNCTION("""COMPUTED_VALUE"""),2.0)</f>
        <v>2</v>
      </c>
      <c r="BX138" s="16">
        <f>IFERROR(__xludf.DUMMYFUNCTION("""COMPUTED_VALUE"""),4.0)</f>
        <v>4</v>
      </c>
      <c r="BY138" s="16">
        <f>IFERROR(__xludf.DUMMYFUNCTION("""COMPUTED_VALUE"""),6.0)</f>
        <v>6</v>
      </c>
      <c r="BZ138" s="16" t="str">
        <f>IFERROR(__xludf.DUMMYFUNCTION("""COMPUTED_VALUE"""),"C")</f>
        <v>C</v>
      </c>
      <c r="CA138" s="16" t="str">
        <f>IFERROR(__xludf.DUMMYFUNCTION("""COMPUTED_VALUE"""),"C")</f>
        <v>C</v>
      </c>
      <c r="CB138" s="16">
        <f>IFERROR(__xludf.DUMMYFUNCTION("""COMPUTED_VALUE"""),0.0)</f>
        <v>0</v>
      </c>
      <c r="CC138" s="16">
        <f>IFERROR(__xludf.DUMMYFUNCTION("""COMPUTED_VALUE"""),0.0)</f>
        <v>0</v>
      </c>
      <c r="CD138" s="16">
        <f>IFERROR(__xludf.DUMMYFUNCTION("""COMPUTED_VALUE"""),0.0)</f>
        <v>0</v>
      </c>
      <c r="CE138" s="16">
        <f>IFERROR(__xludf.DUMMYFUNCTION("""COMPUTED_VALUE"""),0.0)</f>
        <v>0</v>
      </c>
      <c r="CF138" s="16">
        <f>IFERROR(__xludf.DUMMYFUNCTION("""COMPUTED_VALUE"""),1.0)</f>
        <v>1</v>
      </c>
      <c r="CG138" s="16">
        <f>IFERROR(__xludf.DUMMYFUNCTION("""COMPUTED_VALUE"""),5.0)</f>
        <v>5</v>
      </c>
      <c r="CH138" s="16">
        <f>IFERROR(__xludf.DUMMYFUNCTION("""COMPUTED_VALUE"""),-5.0)</f>
        <v>-5</v>
      </c>
      <c r="CI138" s="179">
        <f>IFERROR(__xludf.DUMMYFUNCTION("""COMPUTED_VALUE"""),7.0)</f>
        <v>7</v>
      </c>
      <c r="CJ138" s="16"/>
      <c r="CK138" s="16"/>
      <c r="CL138" s="16"/>
      <c r="CM138" s="16"/>
      <c r="CN138" s="16">
        <f>IFERROR(__xludf.DUMMYFUNCTION("""COMPUTED_VALUE"""),220.0)</f>
        <v>220</v>
      </c>
      <c r="CO138" s="16"/>
      <c r="CP138" s="16"/>
      <c r="CQ138" s="16"/>
      <c r="CR138" s="16" t="str">
        <f>IFERROR(__xludf.DUMMYFUNCTION("""COMPUTED_VALUE"""),"ss-2e20")</f>
        <v>ss-2e20</v>
      </c>
      <c r="CS138" s="16"/>
      <c r="CT138" s="16"/>
      <c r="CU138" s="16"/>
      <c r="CV138" s="16"/>
      <c r="CW138" s="16">
        <f>IFERROR(__xludf.DUMMYFUNCTION("""COMPUTED_VALUE"""),2.0)</f>
        <v>2</v>
      </c>
      <c r="CX138" s="16"/>
      <c r="CY138" s="16"/>
      <c r="CZ138" s="16"/>
      <c r="DA138" s="16"/>
      <c r="DB138" s="16"/>
      <c r="DC138" s="16"/>
      <c r="DD138" s="16"/>
      <c r="DE138" s="16">
        <f>IFERROR(__xludf.DUMMYFUNCTION("""COMPUTED_VALUE"""),20.0)</f>
        <v>20</v>
      </c>
      <c r="DF138" s="16"/>
      <c r="DG138" s="16"/>
      <c r="DH138" s="16"/>
      <c r="DI138" s="16"/>
      <c r="DJ138" s="16"/>
      <c r="DK138" s="16"/>
      <c r="DL138" s="16"/>
      <c r="DM138" s="16">
        <f>IFERROR(__xludf.DUMMYFUNCTION("""COMPUTED_VALUE"""),3.0)</f>
        <v>3</v>
      </c>
      <c r="DN138" s="16"/>
      <c r="DO138" s="16"/>
      <c r="DP138" s="16"/>
      <c r="DQ138" s="16"/>
      <c r="DR138" s="16"/>
      <c r="DS138" s="16"/>
      <c r="DT138" s="16"/>
      <c r="DU138" s="16">
        <f>IFERROR(__xludf.DUMMYFUNCTION("""COMPUTED_VALUE"""),2.0)</f>
        <v>2</v>
      </c>
      <c r="DV138" s="16"/>
      <c r="DW138" s="16"/>
      <c r="DX138" s="16"/>
      <c r="DY138" s="16"/>
      <c r="DZ138" s="16"/>
      <c r="EA138" s="16"/>
      <c r="EB138" s="16"/>
      <c r="EC138" s="16">
        <f>IFERROR(__xludf.DUMMYFUNCTION("""COMPUTED_VALUE"""),5.0)</f>
        <v>5</v>
      </c>
      <c r="ED138" s="16"/>
      <c r="EE138" s="16"/>
      <c r="EF138" s="16"/>
      <c r="EG138" s="179"/>
      <c r="EH138" s="179"/>
      <c r="EI138" s="179"/>
      <c r="EJ138" s="179"/>
      <c r="EK138" s="179">
        <f>IFERROR(__xludf.DUMMYFUNCTION("""COMPUTED_VALUE"""),12.0)</f>
        <v>12</v>
      </c>
      <c r="EL138" s="179"/>
      <c r="EM138" s="179"/>
      <c r="EN138" s="179"/>
      <c r="EO138" s="16"/>
      <c r="EP138" s="16">
        <f>IFERROR(__xludf.DUMMYFUNCTION("""COMPUTED_VALUE"""),-4.0)</f>
        <v>-4</v>
      </c>
      <c r="EQ138" s="16">
        <f>IFERROR(__xludf.DUMMYFUNCTION("""COMPUTED_VALUE"""),4.0)</f>
        <v>4</v>
      </c>
      <c r="ER138" s="16">
        <f>IFERROR(__xludf.DUMMYFUNCTION("""COMPUTED_VALUE"""),3.0)</f>
        <v>3</v>
      </c>
      <c r="ES138" s="16"/>
      <c r="ET138" s="16"/>
      <c r="EU138" s="16"/>
      <c r="EV138" s="16"/>
      <c r="EW138" s="16"/>
      <c r="EX138" s="180"/>
      <c r="EY138" s="180"/>
      <c r="EZ138" s="180"/>
      <c r="FA138" s="180"/>
      <c r="FB138" s="180">
        <f>IFERROR(__xludf.DUMMYFUNCTION("""COMPUTED_VALUE"""),0.1)</f>
        <v>0.1</v>
      </c>
      <c r="FC138" s="180"/>
      <c r="FD138" s="180"/>
      <c r="FE138" s="180"/>
      <c r="FF138" s="180"/>
      <c r="FG138" s="180"/>
      <c r="FH138" s="180"/>
      <c r="FI138" s="180"/>
      <c r="FJ138" s="180">
        <f>IFERROR(__xludf.DUMMYFUNCTION("""COMPUTED_VALUE"""),0.10185185185185185)</f>
        <v>0.1018518519</v>
      </c>
      <c r="FK138" s="180"/>
      <c r="FL138" s="180"/>
      <c r="FM138" s="180"/>
      <c r="FN138" s="16"/>
      <c r="FO138" s="16"/>
      <c r="FP138" s="16"/>
      <c r="FQ138" s="16"/>
      <c r="FR138" s="16">
        <f>IFERROR(__xludf.DUMMYFUNCTION("""COMPUTED_VALUE"""),0.8083333333333333)</f>
        <v>0.8083333333</v>
      </c>
      <c r="FS138" s="16"/>
      <c r="FT138" s="16"/>
      <c r="FU138" s="16"/>
      <c r="FV138" s="16"/>
      <c r="FW138" s="16"/>
      <c r="FX138" s="16"/>
      <c r="FY138" s="16"/>
      <c r="FZ138" s="16">
        <f>IFERROR(__xludf.DUMMYFUNCTION("""COMPUTED_VALUE"""),1.0)</f>
        <v>1</v>
      </c>
      <c r="GA138" s="16"/>
      <c r="GB138" s="16"/>
      <c r="GC138" s="16"/>
      <c r="GD138" s="16" t="s">
        <v>260</v>
      </c>
    </row>
    <row r="139">
      <c r="A139" s="16">
        <f>IFERROR(__xludf.DUMMYFUNCTION("""COMPUTED_VALUE"""),13135.0)</f>
        <v>13135</v>
      </c>
      <c r="B139" s="16" t="str">
        <f>IFERROR(__xludf.DUMMYFUNCTION("""COMPUTED_VALUE"""),"Luis Rengifo")</f>
        <v>Luis Rengifo</v>
      </c>
      <c r="C139" s="16">
        <f>IFERROR(__xludf.DUMMYFUNCTION("""COMPUTED_VALUE"""),1.81)</f>
        <v>1.81</v>
      </c>
      <c r="D139" s="16" t="str">
        <f>IFERROR(__xludf.DUMMYFUNCTION("""COMPUTED_VALUE"""),"S")</f>
        <v>S</v>
      </c>
      <c r="E139" s="16"/>
      <c r="F139" s="16"/>
      <c r="G139" s="16">
        <f>IFERROR(__xludf.DUMMYFUNCTION("""COMPUTED_VALUE"""),283.0)</f>
        <v>283</v>
      </c>
      <c r="H139" s="16">
        <f>IFERROR(__xludf.DUMMYFUNCTION("""COMPUTED_VALUE"""),16.0)</f>
        <v>16</v>
      </c>
      <c r="I139" s="16" t="str">
        <f>IFERROR(__xludf.DUMMYFUNCTION("""COMPUTED_VALUE"""),"1p40")</f>
        <v>1p40</v>
      </c>
      <c r="J139" s="16">
        <f>IFERROR(__xludf.DUMMYFUNCTION("""COMPUTED_VALUE"""),13.0)</f>
        <v>13</v>
      </c>
      <c r="K139" s="16">
        <f>IFERROR(__xludf.DUMMYFUNCTION("""COMPUTED_VALUE"""),5.0)</f>
        <v>5</v>
      </c>
      <c r="L139" s="16">
        <f>IFERROR(__xludf.DUMMYFUNCTION("""COMPUTED_VALUE"""),1.0)</f>
        <v>1</v>
      </c>
      <c r="M139" s="16">
        <f>IFERROR(__xludf.DUMMYFUNCTION("""COMPUTED_VALUE"""),2.0)</f>
        <v>2</v>
      </c>
      <c r="N139" s="16">
        <f>IFERROR(__xludf.DUMMYFUNCTION("""COMPUTED_VALUE"""),1.0)</f>
        <v>1</v>
      </c>
      <c r="O139" s="16">
        <f>IFERROR(__xludf.DUMMYFUNCTION("""COMPUTED_VALUE"""),2.0)</f>
        <v>2</v>
      </c>
      <c r="P139" s="16">
        <f>IFERROR(__xludf.DUMMYFUNCTION("""COMPUTED_VALUE"""),2.0)</f>
        <v>2</v>
      </c>
      <c r="Q139" s="16">
        <f>IFERROR(__xludf.DUMMYFUNCTION("""COMPUTED_VALUE"""),2.0)</f>
        <v>2</v>
      </c>
      <c r="R139" s="16">
        <f>IFERROR(__xludf.DUMMYFUNCTION("""COMPUTED_VALUE"""),-2.0)</f>
        <v>-2</v>
      </c>
      <c r="S139" s="16">
        <f>IFERROR(__xludf.DUMMYFUNCTION("""COMPUTED_VALUE"""),-2.0)</f>
        <v>-2</v>
      </c>
      <c r="T139" s="16">
        <f>IFERROR(__xludf.DUMMYFUNCTION("""COMPUTED_VALUE"""),-2.0)</f>
        <v>-2</v>
      </c>
      <c r="U139" s="16">
        <f>IFERROR(__xludf.DUMMYFUNCTION("""COMPUTED_VALUE"""),-2.0)</f>
        <v>-2</v>
      </c>
      <c r="V139" s="16">
        <f>IFERROR(__xludf.DUMMYFUNCTION("""COMPUTED_VALUE"""),43.5)</f>
        <v>43.5</v>
      </c>
      <c r="W139" s="16">
        <f>IFERROR(__xludf.DUMMYFUNCTION("""COMPUTED_VALUE"""),31.3)</f>
        <v>31.3</v>
      </c>
      <c r="X139" s="16">
        <f>IFERROR(__xludf.DUMMYFUNCTION("""COMPUTED_VALUE"""),3.0)</f>
        <v>3</v>
      </c>
      <c r="Y139" s="16">
        <f>IFERROR(__xludf.DUMMYFUNCTION("""COMPUTED_VALUE"""),2.0)</f>
        <v>2</v>
      </c>
      <c r="Z139" s="16">
        <f>IFERROR(__xludf.DUMMYFUNCTION("""COMPUTED_VALUE"""),6.0)</f>
        <v>6</v>
      </c>
      <c r="AA139" s="16">
        <f>IFERROR(__xludf.DUMMYFUNCTION("""COMPUTED_VALUE"""),4.0)</f>
        <v>4</v>
      </c>
      <c r="AB139" s="16">
        <f>IFERROR(__xludf.DUMMYFUNCTION("""COMPUTED_VALUE"""),48.5)</f>
        <v>48.5</v>
      </c>
      <c r="AC139" s="16">
        <f>IFERROR(__xludf.DUMMYFUNCTION("""COMPUTED_VALUE"""),36.3)</f>
        <v>36.3</v>
      </c>
      <c r="AD139" s="16">
        <f>IFERROR(__xludf.DUMMYFUNCTION("""COMPUTED_VALUE"""),2.0)</f>
        <v>2</v>
      </c>
      <c r="AE139" s="16">
        <f>IFERROR(__xludf.DUMMYFUNCTION("""COMPUTED_VALUE"""),1.0)</f>
        <v>1</v>
      </c>
      <c r="AF139" s="16">
        <f>IFERROR(__xludf.DUMMYFUNCTION("""COMPUTED_VALUE"""),10.0)</f>
        <v>10</v>
      </c>
      <c r="AG139" s="16">
        <f>IFERROR(__xludf.DUMMYFUNCTION("""COMPUTED_VALUE"""),5.0)</f>
        <v>5</v>
      </c>
      <c r="AH139" s="16">
        <f>IFERROR(__xludf.DUMMYFUNCTION("""COMPUTED_VALUE"""),58.2)</f>
        <v>58.2</v>
      </c>
      <c r="AI139" s="16">
        <f>IFERROR(__xludf.DUMMYFUNCTION("""COMPUTED_VALUE"""),36.1)</f>
        <v>36.1</v>
      </c>
      <c r="AJ139" s="16">
        <f>IFERROR(__xludf.DUMMYFUNCTION("""COMPUTED_VALUE"""),2.0)</f>
        <v>2</v>
      </c>
      <c r="AK139" s="16">
        <f>IFERROR(__xludf.DUMMYFUNCTION("""COMPUTED_VALUE"""),0.0)</f>
        <v>0</v>
      </c>
      <c r="AL139" s="16">
        <f>IFERROR(__xludf.DUMMYFUNCTION("""COMPUTED_VALUE"""),10.0)</f>
        <v>10</v>
      </c>
      <c r="AM139" s="16">
        <f>IFERROR(__xludf.DUMMYFUNCTION("""COMPUTED_VALUE"""),0.0)</f>
        <v>0</v>
      </c>
      <c r="AN139" s="16">
        <f>IFERROR(__xludf.DUMMYFUNCTION("""COMPUTED_VALUE"""),0.4)</f>
        <v>0.4</v>
      </c>
      <c r="AO139" s="16">
        <f>IFERROR(__xludf.DUMMYFUNCTION("""COMPUTED_VALUE"""),0.9)</f>
        <v>0.9</v>
      </c>
      <c r="AP139" s="16">
        <f>IFERROR(__xludf.DUMMYFUNCTION("""COMPUTED_VALUE"""),-2.0)</f>
        <v>-2</v>
      </c>
      <c r="AQ139" s="16">
        <f>IFERROR(__xludf.DUMMYFUNCTION("""COMPUTED_VALUE"""),-2.0)</f>
        <v>-2</v>
      </c>
      <c r="AR139" s="16">
        <f>IFERROR(__xludf.DUMMYFUNCTION("""COMPUTED_VALUE"""),-4.0)</f>
        <v>-4</v>
      </c>
      <c r="AS139" s="16">
        <f>IFERROR(__xludf.DUMMYFUNCTION("""COMPUTED_VALUE"""),-4.0)</f>
        <v>-4</v>
      </c>
      <c r="AT139" s="16">
        <f>IFERROR(__xludf.DUMMYFUNCTION("""COMPUTED_VALUE"""),0.0)</f>
        <v>0</v>
      </c>
      <c r="AU139" s="16">
        <f>IFERROR(__xludf.DUMMYFUNCTION("""COMPUTED_VALUE"""),0.0)</f>
        <v>0</v>
      </c>
      <c r="AV139" s="16">
        <f>IFERROR(__xludf.DUMMYFUNCTION("""COMPUTED_VALUE"""),0.0)</f>
        <v>0</v>
      </c>
      <c r="AW139" s="16">
        <f>IFERROR(__xludf.DUMMYFUNCTION("""COMPUTED_VALUE"""),0.0)</f>
        <v>0</v>
      </c>
      <c r="AX139" s="16">
        <f>IFERROR(__xludf.DUMMYFUNCTION("""COMPUTED_VALUE"""),-2.0)</f>
        <v>-2</v>
      </c>
      <c r="AY139" s="16">
        <f>IFERROR(__xludf.DUMMYFUNCTION("""COMPUTED_VALUE"""),-2.0)</f>
        <v>-2</v>
      </c>
      <c r="AZ139" s="16">
        <f>IFERROR(__xludf.DUMMYFUNCTION("""COMPUTED_VALUE"""),-6.0)</f>
        <v>-6</v>
      </c>
      <c r="BA139" s="16">
        <f>IFERROR(__xludf.DUMMYFUNCTION("""COMPUTED_VALUE"""),-6.0)</f>
        <v>-6</v>
      </c>
      <c r="BB139" s="16">
        <f>IFERROR(__xludf.DUMMYFUNCTION("""COMPUTED_VALUE"""),5.0)</f>
        <v>5</v>
      </c>
      <c r="BC139" s="16">
        <f>IFERROR(__xludf.DUMMYFUNCTION("""COMPUTED_VALUE"""),5.0)</f>
        <v>5</v>
      </c>
      <c r="BD139" s="16">
        <f>IFERROR(__xludf.DUMMYFUNCTION("""COMPUTED_VALUE"""),1.0)</f>
        <v>1</v>
      </c>
      <c r="BE139" s="16">
        <f>IFERROR(__xludf.DUMMYFUNCTION("""COMPUTED_VALUE"""),1.0)</f>
        <v>1</v>
      </c>
      <c r="BF139" s="16">
        <f>IFERROR(__xludf.DUMMYFUNCTION("""COMPUTED_VALUE"""),1.0)</f>
        <v>1</v>
      </c>
      <c r="BG139" s="16">
        <f>IFERROR(__xludf.DUMMYFUNCTION("""COMPUTED_VALUE"""),1.0)</f>
        <v>1</v>
      </c>
      <c r="BH139" s="16">
        <f>IFERROR(__xludf.DUMMYFUNCTION("""COMPUTED_VALUE"""),-1.0)</f>
        <v>-1</v>
      </c>
      <c r="BI139" s="16">
        <f>IFERROR(__xludf.DUMMYFUNCTION("""COMPUTED_VALUE"""),-1.0)</f>
        <v>-1</v>
      </c>
      <c r="BJ139" s="16">
        <f>IFERROR(__xludf.DUMMYFUNCTION("""COMPUTED_VALUE"""),16.0)</f>
        <v>16</v>
      </c>
      <c r="BK139" s="16">
        <f>IFERROR(__xludf.DUMMYFUNCTION("""COMPUTED_VALUE"""),17.0)</f>
        <v>17</v>
      </c>
      <c r="BL139" s="16">
        <f>IFERROR(__xludf.DUMMYFUNCTION("""COMPUTED_VALUE"""),-1.0)</f>
        <v>-1</v>
      </c>
      <c r="BM139" s="16">
        <f>IFERROR(__xludf.DUMMYFUNCTION("""COMPUTED_VALUE"""),-1.0)</f>
        <v>-1</v>
      </c>
      <c r="BN139" s="16">
        <f>IFERROR(__xludf.DUMMYFUNCTION("""COMPUTED_VALUE"""),-2.0)</f>
        <v>-2</v>
      </c>
      <c r="BO139" s="16">
        <f>IFERROR(__xludf.DUMMYFUNCTION("""COMPUTED_VALUE"""),-2.0)</f>
        <v>-2</v>
      </c>
      <c r="BP139" s="16">
        <f>IFERROR(__xludf.DUMMYFUNCTION("""COMPUTED_VALUE"""),2.0)</f>
        <v>2</v>
      </c>
      <c r="BQ139" s="16">
        <f>IFERROR(__xludf.DUMMYFUNCTION("""COMPUTED_VALUE"""),-1.0)</f>
        <v>-1</v>
      </c>
      <c r="BR139" s="16">
        <f>IFERROR(__xludf.DUMMYFUNCTION("""COMPUTED_VALUE"""),1.0)</f>
        <v>1</v>
      </c>
      <c r="BS139" s="16" t="str">
        <f>IFERROR(__xludf.DUMMYFUNCTION("""COMPUTED_VALUE"""),"*2-6/- (18-15)")</f>
        <v>*2-6/- (18-15)</v>
      </c>
      <c r="BT139" s="16" t="str">
        <f>IFERROR(__xludf.DUMMYFUNCTION("""COMPUTED_VALUE"""),"A")</f>
        <v>A</v>
      </c>
      <c r="BU139" s="16">
        <f>IFERROR(__xludf.DUMMYFUNCTION("""COMPUTED_VALUE"""),14.0)</f>
        <v>14</v>
      </c>
      <c r="BV139" s="16">
        <f>IFERROR(__xludf.DUMMYFUNCTION("""COMPUTED_VALUE"""),2.0)</f>
        <v>2</v>
      </c>
      <c r="BW139" s="16">
        <f>IFERROR(__xludf.DUMMYFUNCTION("""COMPUTED_VALUE"""),1.0)</f>
        <v>1</v>
      </c>
      <c r="BX139" s="16">
        <f>IFERROR(__xludf.DUMMYFUNCTION("""COMPUTED_VALUE"""),4.0)</f>
        <v>4</v>
      </c>
      <c r="BY139" s="16">
        <f>IFERROR(__xludf.DUMMYFUNCTION("""COMPUTED_VALUE"""),3.0)</f>
        <v>3</v>
      </c>
      <c r="BZ139" s="16" t="str">
        <f>IFERROR(__xludf.DUMMYFUNCTION("""COMPUTED_VALUE"""),"D")</f>
        <v>D</v>
      </c>
      <c r="CA139" s="16" t="str">
        <f>IFERROR(__xludf.DUMMYFUNCTION("""COMPUTED_VALUE"""),"C")</f>
        <v>C</v>
      </c>
      <c r="CB139" s="16">
        <f>IFERROR(__xludf.DUMMYFUNCTION("""COMPUTED_VALUE"""),0.0)</f>
        <v>0</v>
      </c>
      <c r="CC139" s="16">
        <f>IFERROR(__xludf.DUMMYFUNCTION("""COMPUTED_VALUE"""),0.0)</f>
        <v>0</v>
      </c>
      <c r="CD139" s="16">
        <f>IFERROR(__xludf.DUMMYFUNCTION("""COMPUTED_VALUE"""),0.0)</f>
        <v>0</v>
      </c>
      <c r="CE139" s="16">
        <f>IFERROR(__xludf.DUMMYFUNCTION("""COMPUTED_VALUE"""),0.0)</f>
        <v>0</v>
      </c>
      <c r="CF139" s="16">
        <f>IFERROR(__xludf.DUMMYFUNCTION("""COMPUTED_VALUE"""),1.0)</f>
        <v>1</v>
      </c>
      <c r="CG139" s="16">
        <f>IFERROR(__xludf.DUMMYFUNCTION("""COMPUTED_VALUE"""),14.0)</f>
        <v>14</v>
      </c>
      <c r="CH139" s="16">
        <f>IFERROR(__xludf.DUMMYFUNCTION("""COMPUTED_VALUE"""),-2.0)</f>
        <v>-2</v>
      </c>
      <c r="CI139" s="179">
        <f>IFERROR(__xludf.DUMMYFUNCTION("""COMPUTED_VALUE"""),7.0)</f>
        <v>7</v>
      </c>
      <c r="CJ139" s="16"/>
      <c r="CK139" s="16"/>
      <c r="CL139" s="16">
        <f>IFERROR(__xludf.DUMMYFUNCTION("""COMPUTED_VALUE"""),318.0)</f>
        <v>318</v>
      </c>
      <c r="CM139" s="16">
        <f>IFERROR(__xludf.DUMMYFUNCTION("""COMPUTED_VALUE"""),312.0)</f>
        <v>312</v>
      </c>
      <c r="CN139" s="16">
        <f>IFERROR(__xludf.DUMMYFUNCTION("""COMPUTED_VALUE"""),442.0)</f>
        <v>442</v>
      </c>
      <c r="CO139" s="16"/>
      <c r="CP139" s="16"/>
      <c r="CQ139" s="16">
        <f>IFERROR(__xludf.DUMMYFUNCTION("""COMPUTED_VALUE"""),408.0)</f>
        <v>408</v>
      </c>
      <c r="CR139" s="16" t="str">
        <f>IFERROR(__xludf.DUMMYFUNCTION("""COMPUTED_VALUE"""),"3b-3e12 2b-3e18 ss-4e42 rf-4(+2)e8")</f>
        <v>3b-3e12 2b-3e18 ss-4e42 rf-4(+2)e8</v>
      </c>
      <c r="CS139" s="16"/>
      <c r="CT139" s="16"/>
      <c r="CU139" s="16">
        <f>IFERROR(__xludf.DUMMYFUNCTION("""COMPUTED_VALUE"""),3.0)</f>
        <v>3</v>
      </c>
      <c r="CV139" s="16">
        <f>IFERROR(__xludf.DUMMYFUNCTION("""COMPUTED_VALUE"""),3.0)</f>
        <v>3</v>
      </c>
      <c r="CW139" s="16">
        <f>IFERROR(__xludf.DUMMYFUNCTION("""COMPUTED_VALUE"""),4.0)</f>
        <v>4</v>
      </c>
      <c r="CX139" s="16"/>
      <c r="CY139" s="16"/>
      <c r="CZ139" s="16">
        <f>IFERROR(__xludf.DUMMYFUNCTION("""COMPUTED_VALUE"""),4.0)</f>
        <v>4</v>
      </c>
      <c r="DA139" s="16"/>
      <c r="DB139" s="16"/>
      <c r="DC139" s="16">
        <f>IFERROR(__xludf.DUMMYFUNCTION("""COMPUTED_VALUE"""),18.0)</f>
        <v>18</v>
      </c>
      <c r="DD139" s="16">
        <f>IFERROR(__xludf.DUMMYFUNCTION("""COMPUTED_VALUE"""),12.0)</f>
        <v>12</v>
      </c>
      <c r="DE139" s="16">
        <f>IFERROR(__xludf.DUMMYFUNCTION("""COMPUTED_VALUE"""),42.0)</f>
        <v>42</v>
      </c>
      <c r="DF139" s="16"/>
      <c r="DG139" s="16"/>
      <c r="DH139" s="16">
        <f>IFERROR(__xludf.DUMMYFUNCTION("""COMPUTED_VALUE"""),8.0)</f>
        <v>8</v>
      </c>
      <c r="DI139" s="16"/>
      <c r="DJ139" s="16"/>
      <c r="DK139" s="16">
        <f>IFERROR(__xludf.DUMMYFUNCTION("""COMPUTED_VALUE"""),0.0)</f>
        <v>0</v>
      </c>
      <c r="DL139" s="16">
        <f>IFERROR(__xludf.DUMMYFUNCTION("""COMPUTED_VALUE"""),1.0)</f>
        <v>1</v>
      </c>
      <c r="DM139" s="16">
        <f>IFERROR(__xludf.DUMMYFUNCTION("""COMPUTED_VALUE"""),-2.0)</f>
        <v>-2</v>
      </c>
      <c r="DN139" s="16"/>
      <c r="DO139" s="16"/>
      <c r="DP139" s="16">
        <f>IFERROR(__xludf.DUMMYFUNCTION("""COMPUTED_VALUE"""),-1.0)</f>
        <v>-1</v>
      </c>
      <c r="DQ139" s="16"/>
      <c r="DR139" s="16"/>
      <c r="DS139" s="16">
        <f>IFERROR(__xludf.DUMMYFUNCTION("""COMPUTED_VALUE"""),2.0)</f>
        <v>2</v>
      </c>
      <c r="DT139" s="16">
        <f>IFERROR(__xludf.DUMMYFUNCTION("""COMPUTED_VALUE"""),1.0)</f>
        <v>1</v>
      </c>
      <c r="DU139" s="16">
        <f>IFERROR(__xludf.DUMMYFUNCTION("""COMPUTED_VALUE"""),-2.0)</f>
        <v>-2</v>
      </c>
      <c r="DV139" s="16"/>
      <c r="DW139" s="16"/>
      <c r="DX139" s="16">
        <f>IFERROR(__xludf.DUMMYFUNCTION("""COMPUTED_VALUE"""),0.0)</f>
        <v>0</v>
      </c>
      <c r="DY139" s="16"/>
      <c r="DZ139" s="16"/>
      <c r="EA139" s="16">
        <f>IFERROR(__xludf.DUMMYFUNCTION("""COMPUTED_VALUE"""),2.0)</f>
        <v>2</v>
      </c>
      <c r="EB139" s="16">
        <f>IFERROR(__xludf.DUMMYFUNCTION("""COMPUTED_VALUE"""),2.0)</f>
        <v>2</v>
      </c>
      <c r="EC139" s="16">
        <f>IFERROR(__xludf.DUMMYFUNCTION("""COMPUTED_VALUE"""),-4.0)</f>
        <v>-4</v>
      </c>
      <c r="ED139" s="16"/>
      <c r="EE139" s="16"/>
      <c r="EF139" s="16">
        <f>IFERROR(__xludf.DUMMYFUNCTION("""COMPUTED_VALUE"""),-1.0)</f>
        <v>-1</v>
      </c>
      <c r="EG139" s="179"/>
      <c r="EH139" s="179"/>
      <c r="EI139" s="179">
        <f>IFERROR(__xludf.DUMMYFUNCTION("""COMPUTED_VALUE"""),9.0)</f>
        <v>9</v>
      </c>
      <c r="EJ139" s="179">
        <f>IFERROR(__xludf.DUMMYFUNCTION("""COMPUTED_VALUE"""),9.0)</f>
        <v>9</v>
      </c>
      <c r="EK139" s="179">
        <f>IFERROR(__xludf.DUMMYFUNCTION("""COMPUTED_VALUE"""),3.0)</f>
        <v>3</v>
      </c>
      <c r="EL139" s="179"/>
      <c r="EM139" s="179"/>
      <c r="EN139" s="179">
        <f>IFERROR(__xludf.DUMMYFUNCTION("""COMPUTED_VALUE"""),6.0)</f>
        <v>6</v>
      </c>
      <c r="EO139" s="16"/>
      <c r="EP139" s="16"/>
      <c r="EQ139" s="16">
        <f>IFERROR(__xludf.DUMMYFUNCTION("""COMPUTED_VALUE"""),4.0)</f>
        <v>4</v>
      </c>
      <c r="ER139" s="16">
        <f>IFERROR(__xludf.DUMMYFUNCTION("""COMPUTED_VALUE"""),-1.0)</f>
        <v>-1</v>
      </c>
      <c r="ES139" s="16"/>
      <c r="ET139" s="16"/>
      <c r="EU139" s="16"/>
      <c r="EV139" s="16"/>
      <c r="EW139" s="16"/>
      <c r="EX139" s="180"/>
      <c r="EY139" s="180"/>
      <c r="EZ139" s="180">
        <f>IFERROR(__xludf.DUMMYFUNCTION("""COMPUTED_VALUE"""),0.2)</f>
        <v>0.2</v>
      </c>
      <c r="FA139" s="180">
        <f>IFERROR(__xludf.DUMMYFUNCTION("""COMPUTED_VALUE"""),0.2)</f>
        <v>0.2</v>
      </c>
      <c r="FB139" s="180">
        <f>IFERROR(__xludf.DUMMYFUNCTION("""COMPUTED_VALUE"""),0.3)</f>
        <v>0.3</v>
      </c>
      <c r="FC139" s="180"/>
      <c r="FD139" s="180"/>
      <c r="FE139" s="180">
        <f>IFERROR(__xludf.DUMMYFUNCTION("""COMPUTED_VALUE"""),0.55)</f>
        <v>0.55</v>
      </c>
      <c r="FF139" s="180"/>
      <c r="FG139" s="180"/>
      <c r="FH139" s="180">
        <f>IFERROR(__xludf.DUMMYFUNCTION("""COMPUTED_VALUE"""),0.10648148148148148)</f>
        <v>0.1064814815</v>
      </c>
      <c r="FI139" s="180">
        <f>IFERROR(__xludf.DUMMYFUNCTION("""COMPUTED_VALUE"""),0.14351851851851852)</f>
        <v>0.1435185185</v>
      </c>
      <c r="FJ139" s="180">
        <f>IFERROR(__xludf.DUMMYFUNCTION("""COMPUTED_VALUE"""),0.21296296296296297)</f>
        <v>0.212962963</v>
      </c>
      <c r="FK139" s="180"/>
      <c r="FL139" s="180"/>
      <c r="FM139" s="180">
        <f>IFERROR(__xludf.DUMMYFUNCTION("""COMPUTED_VALUE"""),0.144)</f>
        <v>0.144</v>
      </c>
      <c r="FN139" s="16"/>
      <c r="FO139" s="16"/>
      <c r="FP139" s="16">
        <f>IFERROR(__xludf.DUMMYFUNCTION("""COMPUTED_VALUE"""),0.7148148148148148)</f>
        <v>0.7148148148</v>
      </c>
      <c r="FQ139" s="16">
        <f>IFERROR(__xludf.DUMMYFUNCTION("""COMPUTED_VALUE"""),0.6851851851851852)</f>
        <v>0.6851851852</v>
      </c>
      <c r="FR139" s="16">
        <f>IFERROR(__xludf.DUMMYFUNCTION("""COMPUTED_VALUE"""),0.5509259259259258)</f>
        <v>0.5509259259</v>
      </c>
      <c r="FS139" s="16"/>
      <c r="FT139" s="16"/>
      <c r="FU139" s="16">
        <f>IFERROR(__xludf.DUMMYFUNCTION("""COMPUTED_VALUE"""),0.38519999999999993)</f>
        <v>0.3852</v>
      </c>
      <c r="FV139" s="16"/>
      <c r="FW139" s="16"/>
      <c r="FX139" s="16">
        <f>IFERROR(__xludf.DUMMYFUNCTION("""COMPUTED_VALUE"""),-4.0)</f>
        <v>-4</v>
      </c>
      <c r="FY139" s="16">
        <f>IFERROR(__xludf.DUMMYFUNCTION("""COMPUTED_VALUE"""),-4.0)</f>
        <v>-4</v>
      </c>
      <c r="FZ139" s="16">
        <f>IFERROR(__xludf.DUMMYFUNCTION("""COMPUTED_VALUE"""),-6.0)</f>
        <v>-6</v>
      </c>
      <c r="GA139" s="16"/>
      <c r="GB139" s="16"/>
      <c r="GC139" s="16">
        <f>IFERROR(__xludf.DUMMYFUNCTION("""COMPUTED_VALUE"""),-8.0)</f>
        <v>-8</v>
      </c>
      <c r="GD139" s="16" t="s">
        <v>232</v>
      </c>
    </row>
    <row r="140">
      <c r="A140" s="16">
        <f>IFERROR(__xludf.DUMMYFUNCTION("""COMPUTED_VALUE"""),12548.0)</f>
        <v>12548</v>
      </c>
      <c r="B140" s="16" t="str">
        <f>IFERROR(__xludf.DUMMYFUNCTION("""COMPUTED_VALUE"""),"Andy Pages")</f>
        <v>Andy Pages</v>
      </c>
      <c r="C140" s="16">
        <f>IFERROR(__xludf.DUMMYFUNCTION("""COMPUTED_VALUE"""),0.85)</f>
        <v>0.85</v>
      </c>
      <c r="D140" s="16" t="str">
        <f>IFERROR(__xludf.DUMMYFUNCTION("""COMPUTED_VALUE"""),"R")</f>
        <v>R</v>
      </c>
      <c r="E140" s="16"/>
      <c r="F140" s="16"/>
      <c r="G140" s="16">
        <f>IFERROR(__xludf.DUMMYFUNCTION("""COMPUTED_VALUE"""),403.0)</f>
        <v>403</v>
      </c>
      <c r="H140" s="16">
        <f>IFERROR(__xludf.DUMMYFUNCTION("""COMPUTED_VALUE"""),29.0)</f>
        <v>29</v>
      </c>
      <c r="I140" s="16" t="str">
        <f>IFERROR(__xludf.DUMMYFUNCTION("""COMPUTED_VALUE"""),"1p60")</f>
        <v>1p60</v>
      </c>
      <c r="J140" s="16">
        <f>IFERROR(__xludf.DUMMYFUNCTION("""COMPUTED_VALUE"""),25.0)</f>
        <v>25</v>
      </c>
      <c r="K140" s="16">
        <f>IFERROR(__xludf.DUMMYFUNCTION("""COMPUTED_VALUE"""),29.0)</f>
        <v>29</v>
      </c>
      <c r="L140" s="16">
        <f>IFERROR(__xludf.DUMMYFUNCTION("""COMPUTED_VALUE"""),0.0)</f>
        <v>0</v>
      </c>
      <c r="M140" s="16">
        <f>IFERROR(__xludf.DUMMYFUNCTION("""COMPUTED_VALUE"""),0.0)</f>
        <v>0</v>
      </c>
      <c r="N140" s="16">
        <f>IFERROR(__xludf.DUMMYFUNCTION("""COMPUTED_VALUE"""),0.0)</f>
        <v>0</v>
      </c>
      <c r="O140" s="16">
        <f>IFERROR(__xludf.DUMMYFUNCTION("""COMPUTED_VALUE"""),0.0)</f>
        <v>0</v>
      </c>
      <c r="P140" s="16">
        <f>IFERROR(__xludf.DUMMYFUNCTION("""COMPUTED_VALUE"""),5.0)</f>
        <v>5</v>
      </c>
      <c r="Q140" s="16">
        <f>IFERROR(__xludf.DUMMYFUNCTION("""COMPUTED_VALUE"""),7.0)</f>
        <v>7</v>
      </c>
      <c r="R140" s="16">
        <f>IFERROR(__xludf.DUMMYFUNCTION("""COMPUTED_VALUE"""),-1.0)</f>
        <v>-1</v>
      </c>
      <c r="S140" s="16">
        <f>IFERROR(__xludf.DUMMYFUNCTION("""COMPUTED_VALUE"""),-1.0)</f>
        <v>-1</v>
      </c>
      <c r="T140" s="16">
        <f>IFERROR(__xludf.DUMMYFUNCTION("""COMPUTED_VALUE"""),-1.0)</f>
        <v>-1</v>
      </c>
      <c r="U140" s="16">
        <f>IFERROR(__xludf.DUMMYFUNCTION("""COMPUTED_VALUE"""),-1.0)</f>
        <v>-1</v>
      </c>
      <c r="V140" s="16">
        <f>IFERROR(__xludf.DUMMYFUNCTION("""COMPUTED_VALUE"""),32.0)</f>
        <v>32</v>
      </c>
      <c r="W140" s="16">
        <f>IFERROR(__xludf.DUMMYFUNCTION("""COMPUTED_VALUE"""),18.6)</f>
        <v>18.6</v>
      </c>
      <c r="X140" s="16">
        <f>IFERROR(__xludf.DUMMYFUNCTION("""COMPUTED_VALUE"""),2.0)</f>
        <v>2</v>
      </c>
      <c r="Y140" s="16">
        <f>IFERROR(__xludf.DUMMYFUNCTION("""COMPUTED_VALUE"""),0.0)</f>
        <v>0</v>
      </c>
      <c r="Z140" s="16">
        <f>IFERROR(__xludf.DUMMYFUNCTION("""COMPUTED_VALUE"""),4.0)</f>
        <v>4</v>
      </c>
      <c r="AA140" s="16">
        <f>IFERROR(__xludf.DUMMYFUNCTION("""COMPUTED_VALUE"""),0.0)</f>
        <v>0</v>
      </c>
      <c r="AB140" s="16">
        <f>IFERROR(__xludf.DUMMYFUNCTION("""COMPUTED_VALUE"""),40.0)</f>
        <v>40</v>
      </c>
      <c r="AC140" s="16">
        <f>IFERROR(__xludf.DUMMYFUNCTION("""COMPUTED_VALUE"""),28.6)</f>
        <v>28.6</v>
      </c>
      <c r="AD140" s="16">
        <f>IFERROR(__xludf.DUMMYFUNCTION("""COMPUTED_VALUE"""),1.0)</f>
        <v>1</v>
      </c>
      <c r="AE140" s="16">
        <f>IFERROR(__xludf.DUMMYFUNCTION("""COMPUTED_VALUE"""),0.0)</f>
        <v>0</v>
      </c>
      <c r="AF140" s="16">
        <f>IFERROR(__xludf.DUMMYFUNCTION("""COMPUTED_VALUE"""),5.0)</f>
        <v>5</v>
      </c>
      <c r="AG140" s="16">
        <f>IFERROR(__xludf.DUMMYFUNCTION("""COMPUTED_VALUE"""),0.0)</f>
        <v>0</v>
      </c>
      <c r="AH140" s="16">
        <f>IFERROR(__xludf.DUMMYFUNCTION("""COMPUTED_VALUE"""),45.7)</f>
        <v>45.7</v>
      </c>
      <c r="AI140" s="16">
        <f>IFERROR(__xludf.DUMMYFUNCTION("""COMPUTED_VALUE"""),30.9)</f>
        <v>30.9</v>
      </c>
      <c r="AJ140" s="16">
        <f>IFERROR(__xludf.DUMMYFUNCTION("""COMPUTED_VALUE"""),1.0)</f>
        <v>1</v>
      </c>
      <c r="AK140" s="16">
        <f>IFERROR(__xludf.DUMMYFUNCTION("""COMPUTED_VALUE"""),0.0)</f>
        <v>0</v>
      </c>
      <c r="AL140" s="16">
        <f>IFERROR(__xludf.DUMMYFUNCTION("""COMPUTED_VALUE"""),5.0)</f>
        <v>5</v>
      </c>
      <c r="AM140" s="16">
        <f>IFERROR(__xludf.DUMMYFUNCTION("""COMPUTED_VALUE"""),0.0)</f>
        <v>0</v>
      </c>
      <c r="AN140" s="16">
        <f>IFERROR(__xludf.DUMMYFUNCTION("""COMPUTED_VALUE"""),1.8)</f>
        <v>1.8</v>
      </c>
      <c r="AO140" s="16">
        <f>IFERROR(__xludf.DUMMYFUNCTION("""COMPUTED_VALUE"""),2.3)</f>
        <v>2.3</v>
      </c>
      <c r="AP140" s="16">
        <f>IFERROR(__xludf.DUMMYFUNCTION("""COMPUTED_VALUE"""),-1.0)</f>
        <v>-1</v>
      </c>
      <c r="AQ140" s="16">
        <f>IFERROR(__xludf.DUMMYFUNCTION("""COMPUTED_VALUE"""),0.0)</f>
        <v>0</v>
      </c>
      <c r="AR140" s="16">
        <f>IFERROR(__xludf.DUMMYFUNCTION("""COMPUTED_VALUE"""),-2.0)</f>
        <v>-2</v>
      </c>
      <c r="AS140" s="16">
        <f>IFERROR(__xludf.DUMMYFUNCTION("""COMPUTED_VALUE"""),0.0)</f>
        <v>0</v>
      </c>
      <c r="AT140" s="16">
        <f>IFERROR(__xludf.DUMMYFUNCTION("""COMPUTED_VALUE"""),2.0)</f>
        <v>2</v>
      </c>
      <c r="AU140" s="16">
        <f>IFERROR(__xludf.DUMMYFUNCTION("""COMPUTED_VALUE"""),2.0)</f>
        <v>2</v>
      </c>
      <c r="AV140" s="16">
        <f>IFERROR(__xludf.DUMMYFUNCTION("""COMPUTED_VALUE"""),2.0)</f>
        <v>2</v>
      </c>
      <c r="AW140" s="16">
        <f>IFERROR(__xludf.DUMMYFUNCTION("""COMPUTED_VALUE"""),2.0)</f>
        <v>2</v>
      </c>
      <c r="AX140" s="16">
        <f>IFERROR(__xludf.DUMMYFUNCTION("""COMPUTED_VALUE"""),0.0)</f>
        <v>0</v>
      </c>
      <c r="AY140" s="16">
        <f>IFERROR(__xludf.DUMMYFUNCTION("""COMPUTED_VALUE"""),0.0)</f>
        <v>0</v>
      </c>
      <c r="AZ140" s="16">
        <f>IFERROR(__xludf.DUMMYFUNCTION("""COMPUTED_VALUE"""),0.0)</f>
        <v>0</v>
      </c>
      <c r="BA140" s="16">
        <f>IFERROR(__xludf.DUMMYFUNCTION("""COMPUTED_VALUE"""),0.0)</f>
        <v>0</v>
      </c>
      <c r="BB140" s="16">
        <f>IFERROR(__xludf.DUMMYFUNCTION("""COMPUTED_VALUE"""),5.0)</f>
        <v>5</v>
      </c>
      <c r="BC140" s="16">
        <f>IFERROR(__xludf.DUMMYFUNCTION("""COMPUTED_VALUE"""),5.0)</f>
        <v>5</v>
      </c>
      <c r="BD140" s="16">
        <f>IFERROR(__xludf.DUMMYFUNCTION("""COMPUTED_VALUE"""),1.0)</f>
        <v>1</v>
      </c>
      <c r="BE140" s="16">
        <f>IFERROR(__xludf.DUMMYFUNCTION("""COMPUTED_VALUE"""),1.0)</f>
        <v>1</v>
      </c>
      <c r="BF140" s="16">
        <f>IFERROR(__xludf.DUMMYFUNCTION("""COMPUTED_VALUE"""),1.0)</f>
        <v>1</v>
      </c>
      <c r="BG140" s="16">
        <f>IFERROR(__xludf.DUMMYFUNCTION("""COMPUTED_VALUE"""),1.0)</f>
        <v>1</v>
      </c>
      <c r="BH140" s="16">
        <f>IFERROR(__xludf.DUMMYFUNCTION("""COMPUTED_VALUE"""),-9.0)</f>
        <v>-9</v>
      </c>
      <c r="BI140" s="16">
        <f>IFERROR(__xludf.DUMMYFUNCTION("""COMPUTED_VALUE"""),-8.0)</f>
        <v>-8</v>
      </c>
      <c r="BJ140" s="16">
        <f>IFERROR(__xludf.DUMMYFUNCTION("""COMPUTED_VALUE"""),15.0)</f>
        <v>15</v>
      </c>
      <c r="BK140" s="16">
        <f>IFERROR(__xludf.DUMMYFUNCTION("""COMPUTED_VALUE"""),15.0)</f>
        <v>15</v>
      </c>
      <c r="BL140" s="16">
        <f>IFERROR(__xludf.DUMMYFUNCTION("""COMPUTED_VALUE"""),-1.0)</f>
        <v>-1</v>
      </c>
      <c r="BM140" s="16">
        <f>IFERROR(__xludf.DUMMYFUNCTION("""COMPUTED_VALUE"""),-1.0)</f>
        <v>-1</v>
      </c>
      <c r="BN140" s="16">
        <f>IFERROR(__xludf.DUMMYFUNCTION("""COMPUTED_VALUE"""),-2.0)</f>
        <v>-2</v>
      </c>
      <c r="BO140" s="16">
        <f>IFERROR(__xludf.DUMMYFUNCTION("""COMPUTED_VALUE"""),-2.0)</f>
        <v>-2</v>
      </c>
      <c r="BP140" s="16">
        <f>IFERROR(__xludf.DUMMYFUNCTION("""COMPUTED_VALUE"""),2.0)</f>
        <v>2</v>
      </c>
      <c r="BQ140" s="16">
        <f>IFERROR(__xludf.DUMMYFUNCTION("""COMPUTED_VALUE"""),-1.0)</f>
        <v>-1</v>
      </c>
      <c r="BR140" s="16">
        <f>IFERROR(__xludf.DUMMYFUNCTION("""COMPUTED_VALUE"""),1.0)</f>
        <v>1</v>
      </c>
      <c r="BS140" s="16" t="str">
        <f>IFERROR(__xludf.DUMMYFUNCTION("""COMPUTED_VALUE"""),"7/8 (13-3)")</f>
        <v>7/8 (13-3)</v>
      </c>
      <c r="BT140" s="16" t="str">
        <f>IFERROR(__xludf.DUMMYFUNCTION("""COMPUTED_VALUE"""),"E")</f>
        <v>E</v>
      </c>
      <c r="BU140" s="16">
        <f>IFERROR(__xludf.DUMMYFUNCTION("""COMPUTED_VALUE"""),14.0)</f>
        <v>14</v>
      </c>
      <c r="BV140" s="16">
        <f>IFERROR(__xludf.DUMMYFUNCTION("""COMPUTED_VALUE"""),0.0)</f>
        <v>0</v>
      </c>
      <c r="BW140" s="16">
        <f>IFERROR(__xludf.DUMMYFUNCTION("""COMPUTED_VALUE"""),1.0)</f>
        <v>1</v>
      </c>
      <c r="BX140" s="16">
        <f>IFERROR(__xludf.DUMMYFUNCTION("""COMPUTED_VALUE"""),0.0)</f>
        <v>0</v>
      </c>
      <c r="BY140" s="16">
        <f>IFERROR(__xludf.DUMMYFUNCTION("""COMPUTED_VALUE"""),3.0)</f>
        <v>3</v>
      </c>
      <c r="BZ140" s="16" t="str">
        <f>IFERROR(__xludf.DUMMYFUNCTION("""COMPUTED_VALUE"""),"D")</f>
        <v>D</v>
      </c>
      <c r="CA140" s="16" t="str">
        <f>IFERROR(__xludf.DUMMYFUNCTION("""COMPUTED_VALUE"""),"D")</f>
        <v>D</v>
      </c>
      <c r="CB140" s="16">
        <f>IFERROR(__xludf.DUMMYFUNCTION("""COMPUTED_VALUE"""),0.0)</f>
        <v>0</v>
      </c>
      <c r="CC140" s="16">
        <f>IFERROR(__xludf.DUMMYFUNCTION("""COMPUTED_VALUE"""),0.0)</f>
        <v>0</v>
      </c>
      <c r="CD140" s="16">
        <f>IFERROR(__xludf.DUMMYFUNCTION("""COMPUTED_VALUE"""),0.0)</f>
        <v>0</v>
      </c>
      <c r="CE140" s="16">
        <f>IFERROR(__xludf.DUMMYFUNCTION("""COMPUTED_VALUE"""),0.0)</f>
        <v>0</v>
      </c>
      <c r="CF140" s="16">
        <f>IFERROR(__xludf.DUMMYFUNCTION("""COMPUTED_VALUE"""),1.0)</f>
        <v>1</v>
      </c>
      <c r="CG140" s="16">
        <f>IFERROR(__xludf.DUMMYFUNCTION("""COMPUTED_VALUE"""),10.0)</f>
        <v>10</v>
      </c>
      <c r="CH140" s="16">
        <f>IFERROR(__xludf.DUMMYFUNCTION("""COMPUTED_VALUE"""),-2.0)</f>
        <v>-2</v>
      </c>
      <c r="CI140" s="179">
        <f>IFERROR(__xludf.DUMMYFUNCTION("""COMPUTED_VALUE"""),7.0)</f>
        <v>7</v>
      </c>
      <c r="CJ140" s="16"/>
      <c r="CK140" s="16"/>
      <c r="CL140" s="16"/>
      <c r="CM140" s="16"/>
      <c r="CN140" s="16"/>
      <c r="CO140" s="16">
        <f>IFERROR(__xludf.DUMMYFUNCTION("""COMPUTED_VALUE"""),205.0)</f>
        <v>205</v>
      </c>
      <c r="CP140" s="16">
        <f>IFERROR(__xludf.DUMMYFUNCTION("""COMPUTED_VALUE"""),305.0)</f>
        <v>305</v>
      </c>
      <c r="CQ140" s="16">
        <f>IFERROR(__xludf.DUMMYFUNCTION("""COMPUTED_VALUE"""),205.0)</f>
        <v>205</v>
      </c>
      <c r="CR140" s="16" t="str">
        <f>IFERROR(__xludf.DUMMYFUNCTION("""COMPUTED_VALUE"""),"cf-3(-1)e5 rf-2e5 lf-2e5")</f>
        <v>cf-3(-1)e5 rf-2e5 lf-2e5</v>
      </c>
      <c r="CS140" s="16"/>
      <c r="CT140" s="16"/>
      <c r="CU140" s="16"/>
      <c r="CV140" s="16"/>
      <c r="CW140" s="16"/>
      <c r="CX140" s="16">
        <f>IFERROR(__xludf.DUMMYFUNCTION("""COMPUTED_VALUE"""),2.0)</f>
        <v>2</v>
      </c>
      <c r="CY140" s="16">
        <f>IFERROR(__xludf.DUMMYFUNCTION("""COMPUTED_VALUE"""),3.0)</f>
        <v>3</v>
      </c>
      <c r="CZ140" s="16">
        <f>IFERROR(__xludf.DUMMYFUNCTION("""COMPUTED_VALUE"""),2.0)</f>
        <v>2</v>
      </c>
      <c r="DA140" s="16"/>
      <c r="DB140" s="16"/>
      <c r="DC140" s="16"/>
      <c r="DD140" s="16"/>
      <c r="DE140" s="16"/>
      <c r="DF140" s="16">
        <f>IFERROR(__xludf.DUMMYFUNCTION("""COMPUTED_VALUE"""),5.0)</f>
        <v>5</v>
      </c>
      <c r="DG140" s="16">
        <f>IFERROR(__xludf.DUMMYFUNCTION("""COMPUTED_VALUE"""),5.0)</f>
        <v>5</v>
      </c>
      <c r="DH140" s="16">
        <f>IFERROR(__xludf.DUMMYFUNCTION("""COMPUTED_VALUE"""),5.0)</f>
        <v>5</v>
      </c>
      <c r="DI140" s="16"/>
      <c r="DJ140" s="16"/>
      <c r="DK140" s="16"/>
      <c r="DL140" s="16"/>
      <c r="DM140" s="16"/>
      <c r="DN140" s="16">
        <f>IFERROR(__xludf.DUMMYFUNCTION("""COMPUTED_VALUE"""),3.0)</f>
        <v>3</v>
      </c>
      <c r="DO140" s="16">
        <f>IFERROR(__xludf.DUMMYFUNCTION("""COMPUTED_VALUE"""),0.0)</f>
        <v>0</v>
      </c>
      <c r="DP140" s="16">
        <f>IFERROR(__xludf.DUMMYFUNCTION("""COMPUTED_VALUE"""),3.0)</f>
        <v>3</v>
      </c>
      <c r="DQ140" s="16"/>
      <c r="DR140" s="16"/>
      <c r="DS140" s="16"/>
      <c r="DT140" s="16"/>
      <c r="DU140" s="16"/>
      <c r="DV140" s="16">
        <f>IFERROR(__xludf.DUMMYFUNCTION("""COMPUTED_VALUE"""),2.0)</f>
        <v>2</v>
      </c>
      <c r="DW140" s="16">
        <f>IFERROR(__xludf.DUMMYFUNCTION("""COMPUTED_VALUE"""),3.0)</f>
        <v>3</v>
      </c>
      <c r="DX140" s="16">
        <f>IFERROR(__xludf.DUMMYFUNCTION("""COMPUTED_VALUE"""),2.0)</f>
        <v>2</v>
      </c>
      <c r="DY140" s="16"/>
      <c r="DZ140" s="16"/>
      <c r="EA140" s="16"/>
      <c r="EB140" s="16"/>
      <c r="EC140" s="16"/>
      <c r="ED140" s="16">
        <f>IFERROR(__xludf.DUMMYFUNCTION("""COMPUTED_VALUE"""),5.0)</f>
        <v>5</v>
      </c>
      <c r="EE140" s="16">
        <f>IFERROR(__xludf.DUMMYFUNCTION("""COMPUTED_VALUE"""),3.0)</f>
        <v>3</v>
      </c>
      <c r="EF140" s="16">
        <f>IFERROR(__xludf.DUMMYFUNCTION("""COMPUTED_VALUE"""),5.0)</f>
        <v>5</v>
      </c>
      <c r="EG140" s="179"/>
      <c r="EH140" s="179"/>
      <c r="EI140" s="179"/>
      <c r="EJ140" s="179"/>
      <c r="EK140" s="179"/>
      <c r="EL140" s="179">
        <f>IFERROR(__xludf.DUMMYFUNCTION("""COMPUTED_VALUE"""),12.0)</f>
        <v>12</v>
      </c>
      <c r="EM140" s="179">
        <f>IFERROR(__xludf.DUMMYFUNCTION("""COMPUTED_VALUE"""),10.0)</f>
        <v>10</v>
      </c>
      <c r="EN140" s="179">
        <f>IFERROR(__xludf.DUMMYFUNCTION("""COMPUTED_VALUE"""),12.0)</f>
        <v>12</v>
      </c>
      <c r="EO140" s="16"/>
      <c r="EP140" s="16">
        <f>IFERROR(__xludf.DUMMYFUNCTION("""COMPUTED_VALUE"""),-1.0)</f>
        <v>-1</v>
      </c>
      <c r="EQ140" s="16">
        <f>IFERROR(__xludf.DUMMYFUNCTION("""COMPUTED_VALUE"""),4.0)</f>
        <v>4</v>
      </c>
      <c r="ER140" s="16">
        <f>IFERROR(__xludf.DUMMYFUNCTION("""COMPUTED_VALUE"""),1.0)</f>
        <v>1</v>
      </c>
      <c r="ES140" s="16"/>
      <c r="ET140" s="16"/>
      <c r="EU140" s="16"/>
      <c r="EV140" s="16"/>
      <c r="EW140" s="16"/>
      <c r="EX140" s="180"/>
      <c r="EY140" s="180"/>
      <c r="EZ140" s="180"/>
      <c r="FA140" s="180"/>
      <c r="FB140" s="180"/>
      <c r="FC140" s="180">
        <f>IFERROR(__xludf.DUMMYFUNCTION("""COMPUTED_VALUE"""),0.15)</f>
        <v>0.15</v>
      </c>
      <c r="FD140" s="180">
        <f>IFERROR(__xludf.DUMMYFUNCTION("""COMPUTED_VALUE"""),0.3)</f>
        <v>0.3</v>
      </c>
      <c r="FE140" s="180">
        <f>IFERROR(__xludf.DUMMYFUNCTION("""COMPUTED_VALUE"""),0.15)</f>
        <v>0.15</v>
      </c>
      <c r="FF140" s="180"/>
      <c r="FG140" s="180"/>
      <c r="FH140" s="180"/>
      <c r="FI140" s="180"/>
      <c r="FJ140" s="180"/>
      <c r="FK140" s="180">
        <f>IFERROR(__xludf.DUMMYFUNCTION("""COMPUTED_VALUE"""),0.088)</f>
        <v>0.088</v>
      </c>
      <c r="FL140" s="180">
        <f>IFERROR(__xludf.DUMMYFUNCTION("""COMPUTED_VALUE"""),0.06018518518518518)</f>
        <v>0.06018518519</v>
      </c>
      <c r="FM140" s="180">
        <f>IFERROR(__xludf.DUMMYFUNCTION("""COMPUTED_VALUE"""),0.088)</f>
        <v>0.088</v>
      </c>
      <c r="FN140" s="16"/>
      <c r="FO140" s="16"/>
      <c r="FP140" s="16"/>
      <c r="FQ140" s="16"/>
      <c r="FR140" s="16"/>
      <c r="FS140" s="16">
        <f>IFERROR(__xludf.DUMMYFUNCTION("""COMPUTED_VALUE"""),0.7752)</f>
        <v>0.7752</v>
      </c>
      <c r="FT140" s="16">
        <f>IFERROR(__xludf.DUMMYFUNCTION("""COMPUTED_VALUE"""),0.6578703703703703)</f>
        <v>0.6578703704</v>
      </c>
      <c r="FU140" s="16">
        <f>IFERROR(__xludf.DUMMYFUNCTION("""COMPUTED_VALUE"""),0.7752)</f>
        <v>0.7752</v>
      </c>
      <c r="FV140" s="16"/>
      <c r="FW140" s="16"/>
      <c r="FX140" s="16"/>
      <c r="FY140" s="16"/>
      <c r="FZ140" s="16"/>
      <c r="GA140" s="16">
        <f>IFERROR(__xludf.DUMMYFUNCTION("""COMPUTED_VALUE"""),0.0)</f>
        <v>0</v>
      </c>
      <c r="GB140" s="16">
        <f>IFERROR(__xludf.DUMMYFUNCTION("""COMPUTED_VALUE"""),-3.0)</f>
        <v>-3</v>
      </c>
      <c r="GC140" s="16">
        <f>IFERROR(__xludf.DUMMYFUNCTION("""COMPUTED_VALUE"""),0.0)</f>
        <v>0</v>
      </c>
      <c r="GD140" s="16" t="s">
        <v>126</v>
      </c>
    </row>
    <row r="141">
      <c r="A141" s="16">
        <f>IFERROR(__xludf.DUMMYFUNCTION("""COMPUTED_VALUE"""),12846.0)</f>
        <v>12846</v>
      </c>
      <c r="B141" s="16" t="str">
        <f>IFERROR(__xludf.DUMMYFUNCTION("""COMPUTED_VALUE"""),"Giancarlo Stanton")</f>
        <v>Giancarlo Stanton</v>
      </c>
      <c r="C141" s="16">
        <f>IFERROR(__xludf.DUMMYFUNCTION("""COMPUTED_VALUE"""),0.44)</f>
        <v>0.44</v>
      </c>
      <c r="D141" s="16" t="str">
        <f>IFERROR(__xludf.DUMMYFUNCTION("""COMPUTED_VALUE"""),"R")</f>
        <v>R</v>
      </c>
      <c r="E141" s="16"/>
      <c r="F141" s="16"/>
      <c r="G141" s="16">
        <f>IFERROR(__xludf.DUMMYFUNCTION("""COMPUTED_VALUE"""),417.0)</f>
        <v>417</v>
      </c>
      <c r="H141" s="16">
        <f>IFERROR(__xludf.DUMMYFUNCTION("""COMPUTED_VALUE"""),38.0)</f>
        <v>38</v>
      </c>
      <c r="I141" s="16" t="str">
        <f>IFERROR(__xludf.DUMMYFUNCTION("""COMPUTED_VALUE"""),"3p60")</f>
        <v>3p60</v>
      </c>
      <c r="J141" s="16">
        <f>IFERROR(__xludf.DUMMYFUNCTION("""COMPUTED_VALUE"""),38.0)</f>
        <v>38</v>
      </c>
      <c r="K141" s="16">
        <f>IFERROR(__xludf.DUMMYFUNCTION("""COMPUTED_VALUE"""),44.0)</f>
        <v>44</v>
      </c>
      <c r="L141" s="16">
        <f>IFERROR(__xludf.DUMMYFUNCTION("""COMPUTED_VALUE"""),-1.0)</f>
        <v>-1</v>
      </c>
      <c r="M141" s="16">
        <f>IFERROR(__xludf.DUMMYFUNCTION("""COMPUTED_VALUE"""),-2.0)</f>
        <v>-2</v>
      </c>
      <c r="N141" s="16">
        <f>IFERROR(__xludf.DUMMYFUNCTION("""COMPUTED_VALUE"""),-1.0)</f>
        <v>-1</v>
      </c>
      <c r="O141" s="16">
        <f>IFERROR(__xludf.DUMMYFUNCTION("""COMPUTED_VALUE"""),-2.0)</f>
        <v>-2</v>
      </c>
      <c r="P141" s="16">
        <f>IFERROR(__xludf.DUMMYFUNCTION("""COMPUTED_VALUE"""),5.0)</f>
        <v>5</v>
      </c>
      <c r="Q141" s="16">
        <f>IFERROR(__xludf.DUMMYFUNCTION("""COMPUTED_VALUE"""),11.0)</f>
        <v>11</v>
      </c>
      <c r="R141" s="16">
        <f>IFERROR(__xludf.DUMMYFUNCTION("""COMPUTED_VALUE"""),-1.0)</f>
        <v>-1</v>
      </c>
      <c r="S141" s="16">
        <f>IFERROR(__xludf.DUMMYFUNCTION("""COMPUTED_VALUE"""),1.0)</f>
        <v>1</v>
      </c>
      <c r="T141" s="16">
        <f>IFERROR(__xludf.DUMMYFUNCTION("""COMPUTED_VALUE"""),-1.0)</f>
        <v>-1</v>
      </c>
      <c r="U141" s="16">
        <f>IFERROR(__xludf.DUMMYFUNCTION("""COMPUTED_VALUE"""),1.0)</f>
        <v>1</v>
      </c>
      <c r="V141" s="16">
        <f>IFERROR(__xludf.DUMMYFUNCTION("""COMPUTED_VALUE"""),19.2)</f>
        <v>19.2</v>
      </c>
      <c r="W141" s="16">
        <f>IFERROR(__xludf.DUMMYFUNCTION("""COMPUTED_VALUE"""),14.4)</f>
        <v>14.4</v>
      </c>
      <c r="X141" s="16">
        <f>IFERROR(__xludf.DUMMYFUNCTION("""COMPUTED_VALUE"""),0.0)</f>
        <v>0</v>
      </c>
      <c r="Y141" s="16">
        <f>IFERROR(__xludf.DUMMYFUNCTION("""COMPUTED_VALUE"""),-1.0)</f>
        <v>-1</v>
      </c>
      <c r="Z141" s="16">
        <f>IFERROR(__xludf.DUMMYFUNCTION("""COMPUTED_VALUE"""),0.0)</f>
        <v>0</v>
      </c>
      <c r="AA141" s="16">
        <f>IFERROR(__xludf.DUMMYFUNCTION("""COMPUTED_VALUE"""),-2.0)</f>
        <v>-2</v>
      </c>
      <c r="AB141" s="16">
        <f>IFERROR(__xludf.DUMMYFUNCTION("""COMPUTED_VALUE"""),25.2)</f>
        <v>25.2</v>
      </c>
      <c r="AC141" s="16">
        <f>IFERROR(__xludf.DUMMYFUNCTION("""COMPUTED_VALUE"""),26.3)</f>
        <v>26.3</v>
      </c>
      <c r="AD141" s="16">
        <f>IFERROR(__xludf.DUMMYFUNCTION("""COMPUTED_VALUE"""),-1.0)</f>
        <v>-1</v>
      </c>
      <c r="AE141" s="16">
        <f>IFERROR(__xludf.DUMMYFUNCTION("""COMPUTED_VALUE"""),-1.0)</f>
        <v>-1</v>
      </c>
      <c r="AF141" s="16">
        <f>IFERROR(__xludf.DUMMYFUNCTION("""COMPUTED_VALUE"""),-5.0)</f>
        <v>-5</v>
      </c>
      <c r="AG141" s="16">
        <f>IFERROR(__xludf.DUMMYFUNCTION("""COMPUTED_VALUE"""),-5.0)</f>
        <v>-5</v>
      </c>
      <c r="AH141" s="16">
        <f>IFERROR(__xludf.DUMMYFUNCTION("""COMPUTED_VALUE"""),30.7)</f>
        <v>30.7</v>
      </c>
      <c r="AI141" s="16">
        <f>IFERROR(__xludf.DUMMYFUNCTION("""COMPUTED_VALUE"""),41.3)</f>
        <v>41.3</v>
      </c>
      <c r="AJ141" s="16">
        <f>IFERROR(__xludf.DUMMYFUNCTION("""COMPUTED_VALUE"""),0.0)</f>
        <v>0</v>
      </c>
      <c r="AK141" s="16">
        <f>IFERROR(__xludf.DUMMYFUNCTION("""COMPUTED_VALUE"""),1.0)</f>
        <v>1</v>
      </c>
      <c r="AL141" s="16">
        <f>IFERROR(__xludf.DUMMYFUNCTION("""COMPUTED_VALUE"""),0.0)</f>
        <v>0</v>
      </c>
      <c r="AM141" s="16">
        <f>IFERROR(__xludf.DUMMYFUNCTION("""COMPUTED_VALUE"""),5.0)</f>
        <v>5</v>
      </c>
      <c r="AN141" s="16">
        <f>IFERROR(__xludf.DUMMYFUNCTION("""COMPUTED_VALUE"""),2.5)</f>
        <v>2.5</v>
      </c>
      <c r="AO141" s="16">
        <f>IFERROR(__xludf.DUMMYFUNCTION("""COMPUTED_VALUE"""),7.6)</f>
        <v>7.6</v>
      </c>
      <c r="AP141" s="16">
        <f>IFERROR(__xludf.DUMMYFUNCTION("""COMPUTED_VALUE"""),0.0)</f>
        <v>0</v>
      </c>
      <c r="AQ141" s="16">
        <f>IFERROR(__xludf.DUMMYFUNCTION("""COMPUTED_VALUE"""),3.0)</f>
        <v>3</v>
      </c>
      <c r="AR141" s="16">
        <f>IFERROR(__xludf.DUMMYFUNCTION("""COMPUTED_VALUE"""),0.0)</f>
        <v>0</v>
      </c>
      <c r="AS141" s="16">
        <f>IFERROR(__xludf.DUMMYFUNCTION("""COMPUTED_VALUE"""),6.0)</f>
        <v>6</v>
      </c>
      <c r="AT141" s="16">
        <f>IFERROR(__xludf.DUMMYFUNCTION("""COMPUTED_VALUE"""),4.0)</f>
        <v>4</v>
      </c>
      <c r="AU141" s="16">
        <f>IFERROR(__xludf.DUMMYFUNCTION("""COMPUTED_VALUE"""),8.0)</f>
        <v>8</v>
      </c>
      <c r="AV141" s="16">
        <f>IFERROR(__xludf.DUMMYFUNCTION("""COMPUTED_VALUE"""),4.0)</f>
        <v>4</v>
      </c>
      <c r="AW141" s="16">
        <f>IFERROR(__xludf.DUMMYFUNCTION("""COMPUTED_VALUE"""),8.0)</f>
        <v>8</v>
      </c>
      <c r="AX141" s="16">
        <f>IFERROR(__xludf.DUMMYFUNCTION("""COMPUTED_VALUE"""),2.0)</f>
        <v>2</v>
      </c>
      <c r="AY141" s="16">
        <f>IFERROR(__xludf.DUMMYFUNCTION("""COMPUTED_VALUE"""),3.0)</f>
        <v>3</v>
      </c>
      <c r="AZ141" s="16">
        <f>IFERROR(__xludf.DUMMYFUNCTION("""COMPUTED_VALUE"""),6.0)</f>
        <v>6</v>
      </c>
      <c r="BA141" s="16">
        <f>IFERROR(__xludf.DUMMYFUNCTION("""COMPUTED_VALUE"""),9.0)</f>
        <v>9</v>
      </c>
      <c r="BB141" s="16">
        <f>IFERROR(__xludf.DUMMYFUNCTION("""COMPUTED_VALUE"""),5.0)</f>
        <v>5</v>
      </c>
      <c r="BC141" s="16">
        <f>IFERROR(__xludf.DUMMYFUNCTION("""COMPUTED_VALUE"""),5.0)</f>
        <v>5</v>
      </c>
      <c r="BD141" s="16">
        <f>IFERROR(__xludf.DUMMYFUNCTION("""COMPUTED_VALUE"""),1.0)</f>
        <v>1</v>
      </c>
      <c r="BE141" s="16">
        <f>IFERROR(__xludf.DUMMYFUNCTION("""COMPUTED_VALUE"""),1.0)</f>
        <v>1</v>
      </c>
      <c r="BF141" s="16">
        <f>IFERROR(__xludf.DUMMYFUNCTION("""COMPUTED_VALUE"""),1.0)</f>
        <v>1</v>
      </c>
      <c r="BG141" s="16">
        <f>IFERROR(__xludf.DUMMYFUNCTION("""COMPUTED_VALUE"""),1.0)</f>
        <v>1</v>
      </c>
      <c r="BH141" s="16">
        <f>IFERROR(__xludf.DUMMYFUNCTION("""COMPUTED_VALUE"""),-7.0)</f>
        <v>-7</v>
      </c>
      <c r="BI141" s="16">
        <f>IFERROR(__xludf.DUMMYFUNCTION("""COMPUTED_VALUE"""),0.0)</f>
        <v>0</v>
      </c>
      <c r="BJ141" s="16">
        <f>IFERROR(__xludf.DUMMYFUNCTION("""COMPUTED_VALUE"""),30.0)</f>
        <v>30</v>
      </c>
      <c r="BK141" s="16">
        <f>IFERROR(__xludf.DUMMYFUNCTION("""COMPUTED_VALUE"""),23.0)</f>
        <v>23</v>
      </c>
      <c r="BL141" s="16">
        <f>IFERROR(__xludf.DUMMYFUNCTION("""COMPUTED_VALUE"""),-3.0)</f>
        <v>-3</v>
      </c>
      <c r="BM141" s="16">
        <f>IFERROR(__xludf.DUMMYFUNCTION("""COMPUTED_VALUE"""),-2.0)</f>
        <v>-2</v>
      </c>
      <c r="BN141" s="16">
        <f>IFERROR(__xludf.DUMMYFUNCTION("""COMPUTED_VALUE"""),-6.0)</f>
        <v>-6</v>
      </c>
      <c r="BO141" s="16">
        <f>IFERROR(__xludf.DUMMYFUNCTION("""COMPUTED_VALUE"""),-4.0)</f>
        <v>-4</v>
      </c>
      <c r="BP141" s="16">
        <f>IFERROR(__xludf.DUMMYFUNCTION("""COMPUTED_VALUE"""),-3.0)</f>
        <v>-3</v>
      </c>
      <c r="BQ141" s="16">
        <f>IFERROR(__xludf.DUMMYFUNCTION("""COMPUTED_VALUE"""),3.0)</f>
        <v>3</v>
      </c>
      <c r="BR141" s="16">
        <f>IFERROR(__xludf.DUMMYFUNCTION("""COMPUTED_VALUE"""),0.0)</f>
        <v>0</v>
      </c>
      <c r="BS141" s="16" t="str">
        <f>IFERROR(__xludf.DUMMYFUNCTION("""COMPUTED_VALUE"""),"-/- (---)")</f>
        <v>-/- (---)</v>
      </c>
      <c r="BT141" s="16" t="str">
        <f>IFERROR(__xludf.DUMMYFUNCTION("""COMPUTED_VALUE"""),"E")</f>
        <v>E</v>
      </c>
      <c r="BU141" s="16">
        <f>IFERROR(__xludf.DUMMYFUNCTION("""COMPUTED_VALUE"""),8.0)</f>
        <v>8</v>
      </c>
      <c r="BV141" s="16">
        <f>IFERROR(__xludf.DUMMYFUNCTION("""COMPUTED_VALUE"""),0.0)</f>
        <v>0</v>
      </c>
      <c r="BW141" s="16">
        <f>IFERROR(__xludf.DUMMYFUNCTION("""COMPUTED_VALUE"""),-1.0)</f>
        <v>-1</v>
      </c>
      <c r="BX141" s="16">
        <f>IFERROR(__xludf.DUMMYFUNCTION("""COMPUTED_VALUE"""),0.0)</f>
        <v>0</v>
      </c>
      <c r="BY141" s="16">
        <f>IFERROR(__xludf.DUMMYFUNCTION("""COMPUTED_VALUE"""),-3.0)</f>
        <v>-3</v>
      </c>
      <c r="BZ141" s="16" t="str">
        <f>IFERROR(__xludf.DUMMYFUNCTION("""COMPUTED_VALUE"""),"D")</f>
        <v>D</v>
      </c>
      <c r="CA141" s="16" t="str">
        <f>IFERROR(__xludf.DUMMYFUNCTION("""COMPUTED_VALUE"""),"D")</f>
        <v>D</v>
      </c>
      <c r="CB141" s="16">
        <f>IFERROR(__xludf.DUMMYFUNCTION("""COMPUTED_VALUE"""),0.0)</f>
        <v>0</v>
      </c>
      <c r="CC141" s="16">
        <f>IFERROR(__xludf.DUMMYFUNCTION("""COMPUTED_VALUE"""),0.0)</f>
        <v>0</v>
      </c>
      <c r="CD141" s="16">
        <f>IFERROR(__xludf.DUMMYFUNCTION("""COMPUTED_VALUE"""),0.0)</f>
        <v>0</v>
      </c>
      <c r="CE141" s="16">
        <f>IFERROR(__xludf.DUMMYFUNCTION("""COMPUTED_VALUE"""),0.0)</f>
        <v>0</v>
      </c>
      <c r="CF141" s="16">
        <f>IFERROR(__xludf.DUMMYFUNCTION("""COMPUTED_VALUE"""),3.0)</f>
        <v>3</v>
      </c>
      <c r="CG141" s="16">
        <f>IFERROR(__xludf.DUMMYFUNCTION("""COMPUTED_VALUE"""),-6.0)</f>
        <v>-6</v>
      </c>
      <c r="CH141" s="16">
        <f>IFERROR(__xludf.DUMMYFUNCTION("""COMPUTED_VALUE"""),9.0)</f>
        <v>9</v>
      </c>
      <c r="CI141" s="179">
        <f>IFERROR(__xludf.DUMMYFUNCTION("""COMPUTED_VALUE"""),7.0)</f>
        <v>7</v>
      </c>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79"/>
      <c r="EH141" s="179"/>
      <c r="EI141" s="179"/>
      <c r="EJ141" s="179"/>
      <c r="EK141" s="179"/>
      <c r="EL141" s="179"/>
      <c r="EM141" s="179"/>
      <c r="EN141" s="179"/>
      <c r="EO141" s="16"/>
      <c r="EP141" s="16">
        <f>IFERROR(__xludf.DUMMYFUNCTION("""COMPUTED_VALUE"""),2.0)</f>
        <v>2</v>
      </c>
      <c r="EQ141" s="16">
        <f>IFERROR(__xludf.DUMMYFUNCTION("""COMPUTED_VALUE"""),1.0)</f>
        <v>1</v>
      </c>
      <c r="ER141" s="16">
        <f>IFERROR(__xludf.DUMMYFUNCTION("""COMPUTED_VALUE"""),1.0)</f>
        <v>1</v>
      </c>
      <c r="ES141" s="16"/>
      <c r="ET141" s="16"/>
      <c r="EU141" s="16"/>
      <c r="EV141" s="16"/>
      <c r="EW141" s="16"/>
      <c r="EX141" s="180"/>
      <c r="EY141" s="180"/>
      <c r="EZ141" s="180"/>
      <c r="FA141" s="180"/>
      <c r="FB141" s="180"/>
      <c r="FC141" s="180"/>
      <c r="FD141" s="180"/>
      <c r="FE141" s="180"/>
      <c r="FF141" s="180"/>
      <c r="FG141" s="180"/>
      <c r="FH141" s="180"/>
      <c r="FI141" s="180"/>
      <c r="FJ141" s="180"/>
      <c r="FK141" s="180"/>
      <c r="FL141" s="180"/>
      <c r="FM141" s="180"/>
      <c r="FN141" s="16"/>
      <c r="FO141" s="16"/>
      <c r="FP141" s="16"/>
      <c r="FQ141" s="16"/>
      <c r="FR141" s="16"/>
      <c r="FS141" s="16"/>
      <c r="FT141" s="16"/>
      <c r="FU141" s="16"/>
      <c r="FV141" s="16"/>
      <c r="FW141" s="16"/>
      <c r="FX141" s="16"/>
      <c r="FY141" s="16"/>
      <c r="FZ141" s="16"/>
      <c r="GA141" s="16"/>
      <c r="GB141" s="16"/>
      <c r="GC141" s="16"/>
      <c r="GD141" s="16" t="s">
        <v>1755</v>
      </c>
    </row>
    <row r="142">
      <c r="A142" s="16">
        <f>IFERROR(__xludf.DUMMYFUNCTION("""COMPUTED_VALUE"""),13046.0)</f>
        <v>13046</v>
      </c>
      <c r="B142" s="16" t="str">
        <f>IFERROR(__xludf.DUMMYFUNCTION("""COMPUTED_VALUE"""),"JT Realmuto")</f>
        <v>JT Realmuto</v>
      </c>
      <c r="C142" s="16">
        <f>IFERROR(__xludf.DUMMYFUNCTION("""COMPUTED_VALUE"""),2.11)</f>
        <v>2.11</v>
      </c>
      <c r="D142" s="16" t="str">
        <f>IFERROR(__xludf.DUMMYFUNCTION("""COMPUTED_VALUE"""),"R")</f>
        <v>R</v>
      </c>
      <c r="E142" s="16"/>
      <c r="F142" s="16"/>
      <c r="G142" s="16">
        <f>IFERROR(__xludf.DUMMYFUNCTION("""COMPUTED_VALUE"""),380.0)</f>
        <v>380</v>
      </c>
      <c r="H142" s="16">
        <f>IFERROR(__xludf.DUMMYFUNCTION("""COMPUTED_VALUE"""),27.0)</f>
        <v>27</v>
      </c>
      <c r="I142" s="16" t="str">
        <f>IFERROR(__xludf.DUMMYFUNCTION("""COMPUTED_VALUE"""),"4p50")</f>
        <v>4p50</v>
      </c>
      <c r="J142" s="16">
        <f>IFERROR(__xludf.DUMMYFUNCTION("""COMPUTED_VALUE"""),27.0)</f>
        <v>27</v>
      </c>
      <c r="K142" s="16">
        <f>IFERROR(__xludf.DUMMYFUNCTION("""COMPUTED_VALUE"""),29.0)</f>
        <v>29</v>
      </c>
      <c r="L142" s="16">
        <f>IFERROR(__xludf.DUMMYFUNCTION("""COMPUTED_VALUE"""),0.0)</f>
        <v>0</v>
      </c>
      <c r="M142" s="16">
        <f>IFERROR(__xludf.DUMMYFUNCTION("""COMPUTED_VALUE"""),0.0)</f>
        <v>0</v>
      </c>
      <c r="N142" s="16">
        <f>IFERROR(__xludf.DUMMYFUNCTION("""COMPUTED_VALUE"""),0.0)</f>
        <v>0</v>
      </c>
      <c r="O142" s="16">
        <f>IFERROR(__xludf.DUMMYFUNCTION("""COMPUTED_VALUE"""),0.0)</f>
        <v>0</v>
      </c>
      <c r="P142" s="16">
        <f>IFERROR(__xludf.DUMMYFUNCTION("""COMPUTED_VALUE"""),7.0)</f>
        <v>7</v>
      </c>
      <c r="Q142" s="16">
        <f>IFERROR(__xludf.DUMMYFUNCTION("""COMPUTED_VALUE"""),5.0)</f>
        <v>5</v>
      </c>
      <c r="R142" s="16">
        <f>IFERROR(__xludf.DUMMYFUNCTION("""COMPUTED_VALUE"""),-1.0)</f>
        <v>-1</v>
      </c>
      <c r="S142" s="16">
        <f>IFERROR(__xludf.DUMMYFUNCTION("""COMPUTED_VALUE"""),-1.0)</f>
        <v>-1</v>
      </c>
      <c r="T142" s="16">
        <f>IFERROR(__xludf.DUMMYFUNCTION("""COMPUTED_VALUE"""),-1.0)</f>
        <v>-1</v>
      </c>
      <c r="U142" s="16">
        <f>IFERROR(__xludf.DUMMYFUNCTION("""COMPUTED_VALUE"""),-1.0)</f>
        <v>-1</v>
      </c>
      <c r="V142" s="16">
        <f>IFERROR(__xludf.DUMMYFUNCTION("""COMPUTED_VALUE"""),29.1)</f>
        <v>29.1</v>
      </c>
      <c r="W142" s="16">
        <f>IFERROR(__xludf.DUMMYFUNCTION("""COMPUTED_VALUE"""),23.9)</f>
        <v>23.9</v>
      </c>
      <c r="X142" s="16">
        <f>IFERROR(__xludf.DUMMYFUNCTION("""COMPUTED_VALUE"""),1.0)</f>
        <v>1</v>
      </c>
      <c r="Y142" s="16">
        <f>IFERROR(__xludf.DUMMYFUNCTION("""COMPUTED_VALUE"""),1.0)</f>
        <v>1</v>
      </c>
      <c r="Z142" s="16">
        <f>IFERROR(__xludf.DUMMYFUNCTION("""COMPUTED_VALUE"""),2.0)</f>
        <v>2</v>
      </c>
      <c r="AA142" s="16">
        <f>IFERROR(__xludf.DUMMYFUNCTION("""COMPUTED_VALUE"""),2.0)</f>
        <v>2</v>
      </c>
      <c r="AB142" s="16">
        <f>IFERROR(__xludf.DUMMYFUNCTION("""COMPUTED_VALUE"""),39.1)</f>
        <v>39.1</v>
      </c>
      <c r="AC142" s="16">
        <f>IFERROR(__xludf.DUMMYFUNCTION("""COMPUTED_VALUE"""),31.9)</f>
        <v>31.9</v>
      </c>
      <c r="AD142" s="16">
        <f>IFERROR(__xludf.DUMMYFUNCTION("""COMPUTED_VALUE"""),1.0)</f>
        <v>1</v>
      </c>
      <c r="AE142" s="16">
        <f>IFERROR(__xludf.DUMMYFUNCTION("""COMPUTED_VALUE"""),0.0)</f>
        <v>0</v>
      </c>
      <c r="AF142" s="16">
        <f>IFERROR(__xludf.DUMMYFUNCTION("""COMPUTED_VALUE"""),5.0)</f>
        <v>5</v>
      </c>
      <c r="AG142" s="16">
        <f>IFERROR(__xludf.DUMMYFUNCTION("""COMPUTED_VALUE"""),0.0)</f>
        <v>0</v>
      </c>
      <c r="AH142" s="16">
        <f>IFERROR(__xludf.DUMMYFUNCTION("""COMPUTED_VALUE"""),39.2)</f>
        <v>39.2</v>
      </c>
      <c r="AI142" s="16">
        <f>IFERROR(__xludf.DUMMYFUNCTION("""COMPUTED_VALUE"""),36.2)</f>
        <v>36.2</v>
      </c>
      <c r="AJ142" s="16">
        <f>IFERROR(__xludf.DUMMYFUNCTION("""COMPUTED_VALUE"""),1.0)</f>
        <v>1</v>
      </c>
      <c r="AK142" s="16">
        <f>IFERROR(__xludf.DUMMYFUNCTION("""COMPUTED_VALUE"""),0.0)</f>
        <v>0</v>
      </c>
      <c r="AL142" s="16">
        <f>IFERROR(__xludf.DUMMYFUNCTION("""COMPUTED_VALUE"""),5.0)</f>
        <v>5</v>
      </c>
      <c r="AM142" s="16">
        <f>IFERROR(__xludf.DUMMYFUNCTION("""COMPUTED_VALUE"""),0.0)</f>
        <v>0</v>
      </c>
      <c r="AN142" s="16">
        <f>IFERROR(__xludf.DUMMYFUNCTION("""COMPUTED_VALUE"""),2.3)</f>
        <v>2.3</v>
      </c>
      <c r="AO142" s="16">
        <f>IFERROR(__xludf.DUMMYFUNCTION("""COMPUTED_VALUE"""),2.3)</f>
        <v>2.3</v>
      </c>
      <c r="AP142" s="16">
        <f>IFERROR(__xludf.DUMMYFUNCTION("""COMPUTED_VALUE"""),0.0)</f>
        <v>0</v>
      </c>
      <c r="AQ142" s="16">
        <f>IFERROR(__xludf.DUMMYFUNCTION("""COMPUTED_VALUE"""),0.0)</f>
        <v>0</v>
      </c>
      <c r="AR142" s="16">
        <f>IFERROR(__xludf.DUMMYFUNCTION("""COMPUTED_VALUE"""),0.0)</f>
        <v>0</v>
      </c>
      <c r="AS142" s="16">
        <f>IFERROR(__xludf.DUMMYFUNCTION("""COMPUTED_VALUE"""),0.0)</f>
        <v>0</v>
      </c>
      <c r="AT142" s="16">
        <f>IFERROR(__xludf.DUMMYFUNCTION("""COMPUTED_VALUE"""),3.0)</f>
        <v>3</v>
      </c>
      <c r="AU142" s="16">
        <f>IFERROR(__xludf.DUMMYFUNCTION("""COMPUTED_VALUE"""),4.0)</f>
        <v>4</v>
      </c>
      <c r="AV142" s="16">
        <f>IFERROR(__xludf.DUMMYFUNCTION("""COMPUTED_VALUE"""),3.0)</f>
        <v>3</v>
      </c>
      <c r="AW142" s="16">
        <f>IFERROR(__xludf.DUMMYFUNCTION("""COMPUTED_VALUE"""),4.0)</f>
        <v>4</v>
      </c>
      <c r="AX142" s="16">
        <f>IFERROR(__xludf.DUMMYFUNCTION("""COMPUTED_VALUE"""),1.0)</f>
        <v>1</v>
      </c>
      <c r="AY142" s="16">
        <f>IFERROR(__xludf.DUMMYFUNCTION("""COMPUTED_VALUE"""),1.0)</f>
        <v>1</v>
      </c>
      <c r="AZ142" s="16">
        <f>IFERROR(__xludf.DUMMYFUNCTION("""COMPUTED_VALUE"""),3.0)</f>
        <v>3</v>
      </c>
      <c r="BA142" s="16">
        <f>IFERROR(__xludf.DUMMYFUNCTION("""COMPUTED_VALUE"""),3.0)</f>
        <v>3</v>
      </c>
      <c r="BB142" s="16">
        <f>IFERROR(__xludf.DUMMYFUNCTION("""COMPUTED_VALUE"""),5.0)</f>
        <v>5</v>
      </c>
      <c r="BC142" s="16">
        <f>IFERROR(__xludf.DUMMYFUNCTION("""COMPUTED_VALUE"""),5.0)</f>
        <v>5</v>
      </c>
      <c r="BD142" s="16">
        <f>IFERROR(__xludf.DUMMYFUNCTION("""COMPUTED_VALUE"""),1.0)</f>
        <v>1</v>
      </c>
      <c r="BE142" s="16">
        <f>IFERROR(__xludf.DUMMYFUNCTION("""COMPUTED_VALUE"""),1.0)</f>
        <v>1</v>
      </c>
      <c r="BF142" s="16">
        <f>IFERROR(__xludf.DUMMYFUNCTION("""COMPUTED_VALUE"""),1.0)</f>
        <v>1</v>
      </c>
      <c r="BG142" s="16">
        <f>IFERROR(__xludf.DUMMYFUNCTION("""COMPUTED_VALUE"""),1.0)</f>
        <v>1</v>
      </c>
      <c r="BH142" s="16">
        <f>IFERROR(__xludf.DUMMYFUNCTION("""COMPUTED_VALUE"""),-14.0)</f>
        <v>-14</v>
      </c>
      <c r="BI142" s="16">
        <f>IFERROR(__xludf.DUMMYFUNCTION("""COMPUTED_VALUE"""),-13.0)</f>
        <v>-13</v>
      </c>
      <c r="BJ142" s="16">
        <f>IFERROR(__xludf.DUMMYFUNCTION("""COMPUTED_VALUE"""),10.0)</f>
        <v>10</v>
      </c>
      <c r="BK142" s="16">
        <f>IFERROR(__xludf.DUMMYFUNCTION("""COMPUTED_VALUE"""),13.0)</f>
        <v>13</v>
      </c>
      <c r="BL142" s="16">
        <f>IFERROR(__xludf.DUMMYFUNCTION("""COMPUTED_VALUE"""),0.0)</f>
        <v>0</v>
      </c>
      <c r="BM142" s="16">
        <f>IFERROR(__xludf.DUMMYFUNCTION("""COMPUTED_VALUE"""),0.0)</f>
        <v>0</v>
      </c>
      <c r="BN142" s="16">
        <f>IFERROR(__xludf.DUMMYFUNCTION("""COMPUTED_VALUE"""),0.0)</f>
        <v>0</v>
      </c>
      <c r="BO142" s="16">
        <f>IFERROR(__xludf.DUMMYFUNCTION("""COMPUTED_VALUE"""),0.0)</f>
        <v>0</v>
      </c>
      <c r="BP142" s="16">
        <f>IFERROR(__xludf.DUMMYFUNCTION("""COMPUTED_VALUE"""),4.0)</f>
        <v>4</v>
      </c>
      <c r="BQ142" s="16">
        <f>IFERROR(__xludf.DUMMYFUNCTION("""COMPUTED_VALUE"""),2.0)</f>
        <v>2</v>
      </c>
      <c r="BR142" s="16">
        <f>IFERROR(__xludf.DUMMYFUNCTION("""COMPUTED_VALUE"""),6.0)</f>
        <v>6</v>
      </c>
      <c r="BS142" s="16" t="str">
        <f>IFERROR(__xludf.DUMMYFUNCTION("""COMPUTED_VALUE"""),"7/11 (13-5)")</f>
        <v>7/11 (13-5)</v>
      </c>
      <c r="BT142" s="16" t="str">
        <f>IFERROR(__xludf.DUMMYFUNCTION("""COMPUTED_VALUE"""),"D")</f>
        <v>D</v>
      </c>
      <c r="BU142" s="16">
        <f>IFERROR(__xludf.DUMMYFUNCTION("""COMPUTED_VALUE"""),13.0)</f>
        <v>13</v>
      </c>
      <c r="BV142" s="16">
        <f>IFERROR(__xludf.DUMMYFUNCTION("""COMPUTED_VALUE"""),0.0)</f>
        <v>0</v>
      </c>
      <c r="BW142" s="16">
        <f>IFERROR(__xludf.DUMMYFUNCTION("""COMPUTED_VALUE"""),1.0)</f>
        <v>1</v>
      </c>
      <c r="BX142" s="16">
        <f>IFERROR(__xludf.DUMMYFUNCTION("""COMPUTED_VALUE"""),0.0)</f>
        <v>0</v>
      </c>
      <c r="BY142" s="16">
        <f>IFERROR(__xludf.DUMMYFUNCTION("""COMPUTED_VALUE"""),3.0)</f>
        <v>3</v>
      </c>
      <c r="BZ142" s="16" t="str">
        <f>IFERROR(__xludf.DUMMYFUNCTION("""COMPUTED_VALUE"""),"D")</f>
        <v>D</v>
      </c>
      <c r="CA142" s="16" t="str">
        <f>IFERROR(__xludf.DUMMYFUNCTION("""COMPUTED_VALUE"""),"D")</f>
        <v>D</v>
      </c>
      <c r="CB142" s="16">
        <f>IFERROR(__xludf.DUMMYFUNCTION("""COMPUTED_VALUE"""),0.0)</f>
        <v>0</v>
      </c>
      <c r="CC142" s="16">
        <f>IFERROR(__xludf.DUMMYFUNCTION("""COMPUTED_VALUE"""),0.0)</f>
        <v>0</v>
      </c>
      <c r="CD142" s="16">
        <f>IFERROR(__xludf.DUMMYFUNCTION("""COMPUTED_VALUE"""),0.0)</f>
        <v>0</v>
      </c>
      <c r="CE142" s="16">
        <f>IFERROR(__xludf.DUMMYFUNCTION("""COMPUTED_VALUE"""),0.0)</f>
        <v>0</v>
      </c>
      <c r="CF142" s="16">
        <f>IFERROR(__xludf.DUMMYFUNCTION("""COMPUTED_VALUE"""),4.0)</f>
        <v>4</v>
      </c>
      <c r="CG142" s="16">
        <f>IFERROR(__xludf.DUMMYFUNCTION("""COMPUTED_VALUE"""),15.0)</f>
        <v>15</v>
      </c>
      <c r="CH142" s="16">
        <f>IFERROR(__xludf.DUMMYFUNCTION("""COMPUTED_VALUE"""),5.0)</f>
        <v>5</v>
      </c>
      <c r="CI142" s="179">
        <f>IFERROR(__xludf.DUMMYFUNCTION("""COMPUTED_VALUE"""),7.0)</f>
        <v>7</v>
      </c>
      <c r="CJ142" s="16">
        <f>IFERROR(__xludf.DUMMYFUNCTION("""COMPUTED_VALUE"""),201.0)</f>
        <v>201</v>
      </c>
      <c r="CK142" s="16"/>
      <c r="CL142" s="16"/>
      <c r="CM142" s="16"/>
      <c r="CN142" s="16"/>
      <c r="CO142" s="16"/>
      <c r="CP142" s="16"/>
      <c r="CQ142" s="16"/>
      <c r="CR142" s="16" t="str">
        <f>IFERROR(__xludf.DUMMYFUNCTION("""COMPUTED_VALUE"""),"c-2(-3)e1,T-7(pb-1)")</f>
        <v>c-2(-3)e1,T-7(pb-1)</v>
      </c>
      <c r="CS142" s="16">
        <f>IFERROR(__xludf.DUMMYFUNCTION("""COMPUTED_VALUE"""),2.0)</f>
        <v>2</v>
      </c>
      <c r="CT142" s="16"/>
      <c r="CU142" s="16"/>
      <c r="CV142" s="16"/>
      <c r="CW142" s="16"/>
      <c r="CX142" s="16"/>
      <c r="CY142" s="16"/>
      <c r="CZ142" s="16"/>
      <c r="DA142" s="16">
        <f>IFERROR(__xludf.DUMMYFUNCTION("""COMPUTED_VALUE"""),1.0)</f>
        <v>1</v>
      </c>
      <c r="DB142" s="16"/>
      <c r="DC142" s="16"/>
      <c r="DD142" s="16"/>
      <c r="DE142" s="16"/>
      <c r="DF142" s="16"/>
      <c r="DG142" s="16"/>
      <c r="DH142" s="16"/>
      <c r="DI142" s="16">
        <f>IFERROR(__xludf.DUMMYFUNCTION("""COMPUTED_VALUE"""),2.0)</f>
        <v>2</v>
      </c>
      <c r="DJ142" s="16"/>
      <c r="DK142" s="16"/>
      <c r="DL142" s="16"/>
      <c r="DM142" s="16"/>
      <c r="DN142" s="16"/>
      <c r="DO142" s="16"/>
      <c r="DP142" s="16"/>
      <c r="DQ142" s="16">
        <f>IFERROR(__xludf.DUMMYFUNCTION("""COMPUTED_VALUE"""),4.0)</f>
        <v>4</v>
      </c>
      <c r="DR142" s="16"/>
      <c r="DS142" s="16"/>
      <c r="DT142" s="16"/>
      <c r="DU142" s="16"/>
      <c r="DV142" s="16"/>
      <c r="DW142" s="16"/>
      <c r="DX142" s="16"/>
      <c r="DY142" s="16">
        <f>IFERROR(__xludf.DUMMYFUNCTION("""COMPUTED_VALUE"""),6.0)</f>
        <v>6</v>
      </c>
      <c r="DZ142" s="16"/>
      <c r="EA142" s="16"/>
      <c r="EB142" s="16"/>
      <c r="EC142" s="16"/>
      <c r="ED142" s="16"/>
      <c r="EE142" s="16"/>
      <c r="EF142" s="16"/>
      <c r="EG142" s="179">
        <f>IFERROR(__xludf.DUMMYFUNCTION("""COMPUTED_VALUE"""),10.0)</f>
        <v>10</v>
      </c>
      <c r="EH142" s="179"/>
      <c r="EI142" s="179"/>
      <c r="EJ142" s="179"/>
      <c r="EK142" s="179"/>
      <c r="EL142" s="179"/>
      <c r="EM142" s="179"/>
      <c r="EN142" s="179"/>
      <c r="EO142" s="16">
        <f>IFERROR(__xludf.DUMMYFUNCTION("""COMPUTED_VALUE"""),-3.0)</f>
        <v>-3</v>
      </c>
      <c r="EP142" s="16"/>
      <c r="EQ142" s="16">
        <f>IFERROR(__xludf.DUMMYFUNCTION("""COMPUTED_VALUE"""),-1.0)</f>
        <v>-1</v>
      </c>
      <c r="ER142" s="16">
        <f>IFERROR(__xludf.DUMMYFUNCTION("""COMPUTED_VALUE"""),0.0)</f>
        <v>0</v>
      </c>
      <c r="ES142" s="16" t="str">
        <f>IFERROR(__xludf.DUMMYFUNCTION("""COMPUTED_VALUE"""),"c-2")</f>
        <v>c-2</v>
      </c>
      <c r="ET142" s="16" t="str">
        <f>IFERROR(__xludf.DUMMYFUNCTION("""COMPUTED_VALUE"""),"-3)e1,T-7")</f>
        <v>-3)e1,T-7</v>
      </c>
      <c r="EU142" s="16" t="str">
        <f>IFERROR(__xludf.DUMMYFUNCTION("""COMPUTED_VALUE"""),"pb-1)")</f>
        <v>pb-1)</v>
      </c>
      <c r="EV142" s="16"/>
      <c r="EW142" s="16">
        <f>IFERROR(__xludf.DUMMYFUNCTION("""COMPUTED_VALUE"""),-3.0)</f>
        <v>-3</v>
      </c>
      <c r="EX142" s="180">
        <f>IFERROR(__xludf.DUMMYFUNCTION("""COMPUTED_VALUE"""),0.1)</f>
        <v>0.1</v>
      </c>
      <c r="EY142" s="180"/>
      <c r="EZ142" s="180"/>
      <c r="FA142" s="180"/>
      <c r="FB142" s="180"/>
      <c r="FC142" s="180"/>
      <c r="FD142" s="180"/>
      <c r="FE142" s="180"/>
      <c r="FF142" s="180">
        <f>IFERROR(__xludf.DUMMYFUNCTION("""COMPUTED_VALUE"""),0.014)</f>
        <v>0.014</v>
      </c>
      <c r="FG142" s="180"/>
      <c r="FH142" s="180"/>
      <c r="FI142" s="180"/>
      <c r="FJ142" s="180"/>
      <c r="FK142" s="180"/>
      <c r="FL142" s="180"/>
      <c r="FM142" s="180"/>
      <c r="FN142" s="16">
        <f>IFERROR(__xludf.DUMMYFUNCTION("""COMPUTED_VALUE"""),0.8874)</f>
        <v>0.8874</v>
      </c>
      <c r="FO142" s="16"/>
      <c r="FP142" s="16"/>
      <c r="FQ142" s="16"/>
      <c r="FR142" s="16"/>
      <c r="FS142" s="16"/>
      <c r="FT142" s="16"/>
      <c r="FU142" s="16"/>
      <c r="FV142" s="16">
        <f>IFERROR(__xludf.DUMMYFUNCTION("""COMPUTED_VALUE"""),7.0)</f>
        <v>7</v>
      </c>
      <c r="FW142" s="16"/>
      <c r="FX142" s="16"/>
      <c r="FY142" s="16"/>
      <c r="FZ142" s="16"/>
      <c r="GA142" s="16"/>
      <c r="GB142" s="16"/>
      <c r="GC142" s="16"/>
      <c r="GD142" s="16" t="s">
        <v>126</v>
      </c>
    </row>
    <row r="143">
      <c r="A143" s="16">
        <f>IFERROR(__xludf.DUMMYFUNCTION("""COMPUTED_VALUE"""),13106.0)</f>
        <v>13106</v>
      </c>
      <c r="B143" s="16" t="str">
        <f>IFERROR(__xludf.DUMMYFUNCTION("""COMPUTED_VALUE"""),"LaMonte Wade Jr")</f>
        <v>LaMonte Wade Jr</v>
      </c>
      <c r="C143" s="16">
        <f>IFERROR(__xludf.DUMMYFUNCTION("""COMPUTED_VALUE"""),1.52)</f>
        <v>1.52</v>
      </c>
      <c r="D143" s="16" t="str">
        <f>IFERROR(__xludf.DUMMYFUNCTION("""COMPUTED_VALUE"""),"L")</f>
        <v>L</v>
      </c>
      <c r="E143" s="16"/>
      <c r="F143" s="16"/>
      <c r="G143" s="16">
        <f>IFERROR(__xludf.DUMMYFUNCTION("""COMPUTED_VALUE"""),331.0)</f>
        <v>331</v>
      </c>
      <c r="H143" s="16">
        <f>IFERROR(__xludf.DUMMYFUNCTION("""COMPUTED_VALUE"""),62.0)</f>
        <v>62</v>
      </c>
      <c r="I143" s="16" t="str">
        <f>IFERROR(__xludf.DUMMYFUNCTION("""COMPUTED_VALUE"""),"3p60")</f>
        <v>3p60</v>
      </c>
      <c r="J143" s="16">
        <f>IFERROR(__xludf.DUMMYFUNCTION("""COMPUTED_VALUE"""),1.0)</f>
        <v>1</v>
      </c>
      <c r="K143" s="16">
        <f>IFERROR(__xludf.DUMMYFUNCTION("""COMPUTED_VALUE"""),28.0)</f>
        <v>28</v>
      </c>
      <c r="L143" s="16">
        <f>IFERROR(__xludf.DUMMYFUNCTION("""COMPUTED_VALUE"""),2.0)</f>
        <v>2</v>
      </c>
      <c r="M143" s="16">
        <f>IFERROR(__xludf.DUMMYFUNCTION("""COMPUTED_VALUE"""),0.0)</f>
        <v>0</v>
      </c>
      <c r="N143" s="16">
        <f>IFERROR(__xludf.DUMMYFUNCTION("""COMPUTED_VALUE"""),2.0)</f>
        <v>2</v>
      </c>
      <c r="O143" s="16">
        <f>IFERROR(__xludf.DUMMYFUNCTION("""COMPUTED_VALUE"""),0.0)</f>
        <v>0</v>
      </c>
      <c r="P143" s="16">
        <f>IFERROR(__xludf.DUMMYFUNCTION("""COMPUTED_VALUE"""),24.0)</f>
        <v>24</v>
      </c>
      <c r="Q143" s="16">
        <f>IFERROR(__xludf.DUMMYFUNCTION("""COMPUTED_VALUE"""),21.0)</f>
        <v>21</v>
      </c>
      <c r="R143" s="16">
        <f>IFERROR(__xludf.DUMMYFUNCTION("""COMPUTED_VALUE"""),3.0)</f>
        <v>3</v>
      </c>
      <c r="S143" s="16">
        <f>IFERROR(__xludf.DUMMYFUNCTION("""COMPUTED_VALUE"""),3.0)</f>
        <v>3</v>
      </c>
      <c r="T143" s="16">
        <f>IFERROR(__xludf.DUMMYFUNCTION("""COMPUTED_VALUE"""),3.0)</f>
        <v>3</v>
      </c>
      <c r="U143" s="16">
        <f>IFERROR(__xludf.DUMMYFUNCTION("""COMPUTED_VALUE"""),3.0)</f>
        <v>3</v>
      </c>
      <c r="V143" s="16">
        <f>IFERROR(__xludf.DUMMYFUNCTION("""COMPUTED_VALUE"""),15.1)</f>
        <v>15.1</v>
      </c>
      <c r="W143" s="16">
        <f>IFERROR(__xludf.DUMMYFUNCTION("""COMPUTED_VALUE"""),19.5)</f>
        <v>19.5</v>
      </c>
      <c r="X143" s="16">
        <f>IFERROR(__xludf.DUMMYFUNCTION("""COMPUTED_VALUE"""),-1.0)</f>
        <v>-1</v>
      </c>
      <c r="Y143" s="16">
        <f>IFERROR(__xludf.DUMMYFUNCTION("""COMPUTED_VALUE"""),0.0)</f>
        <v>0</v>
      </c>
      <c r="Z143" s="16">
        <f>IFERROR(__xludf.DUMMYFUNCTION("""COMPUTED_VALUE"""),-2.0)</f>
        <v>-2</v>
      </c>
      <c r="AA143" s="16">
        <f>IFERROR(__xludf.DUMMYFUNCTION("""COMPUTED_VALUE"""),0.0)</f>
        <v>0</v>
      </c>
      <c r="AB143" s="16">
        <f>IFERROR(__xludf.DUMMYFUNCTION("""COMPUTED_VALUE"""),42.2)</f>
        <v>42.2</v>
      </c>
      <c r="AC143" s="16">
        <f>IFERROR(__xludf.DUMMYFUNCTION("""COMPUTED_VALUE"""),43.5)</f>
        <v>43.5</v>
      </c>
      <c r="AD143" s="16">
        <f>IFERROR(__xludf.DUMMYFUNCTION("""COMPUTED_VALUE"""),1.0)</f>
        <v>1</v>
      </c>
      <c r="AE143" s="16">
        <f>IFERROR(__xludf.DUMMYFUNCTION("""COMPUTED_VALUE"""),2.0)</f>
        <v>2</v>
      </c>
      <c r="AF143" s="16">
        <f>IFERROR(__xludf.DUMMYFUNCTION("""COMPUTED_VALUE"""),5.0)</f>
        <v>5</v>
      </c>
      <c r="AG143" s="16">
        <f>IFERROR(__xludf.DUMMYFUNCTION("""COMPUTED_VALUE"""),10.0)</f>
        <v>10</v>
      </c>
      <c r="AH143" s="16">
        <f>IFERROR(__xludf.DUMMYFUNCTION("""COMPUTED_VALUE"""),18.6)</f>
        <v>18.6</v>
      </c>
      <c r="AI143" s="16">
        <f>IFERROR(__xludf.DUMMYFUNCTION("""COMPUTED_VALUE"""),25.4)</f>
        <v>25.4</v>
      </c>
      <c r="AJ143" s="16">
        <f>IFERROR(__xludf.DUMMYFUNCTION("""COMPUTED_VALUE"""),-1.0)</f>
        <v>-1</v>
      </c>
      <c r="AK143" s="16">
        <f>IFERROR(__xludf.DUMMYFUNCTION("""COMPUTED_VALUE"""),-1.0)</f>
        <v>-1</v>
      </c>
      <c r="AL143" s="16">
        <f>IFERROR(__xludf.DUMMYFUNCTION("""COMPUTED_VALUE"""),-5.0)</f>
        <v>-5</v>
      </c>
      <c r="AM143" s="16">
        <f>IFERROR(__xludf.DUMMYFUNCTION("""COMPUTED_VALUE"""),-5.0)</f>
        <v>-5</v>
      </c>
      <c r="AN143" s="16">
        <f>IFERROR(__xludf.DUMMYFUNCTION("""COMPUTED_VALUE"""),0.0)</f>
        <v>0</v>
      </c>
      <c r="AO143" s="16">
        <f>IFERROR(__xludf.DUMMYFUNCTION("""COMPUTED_VALUE"""),0.8)</f>
        <v>0.8</v>
      </c>
      <c r="AP143" s="16">
        <f>IFERROR(__xludf.DUMMYFUNCTION("""COMPUTED_VALUE"""),-2.0)</f>
        <v>-2</v>
      </c>
      <c r="AQ143" s="16">
        <f>IFERROR(__xludf.DUMMYFUNCTION("""COMPUTED_VALUE"""),-2.0)</f>
        <v>-2</v>
      </c>
      <c r="AR143" s="16">
        <f>IFERROR(__xludf.DUMMYFUNCTION("""COMPUTED_VALUE"""),-4.0)</f>
        <v>-4</v>
      </c>
      <c r="AS143" s="16">
        <f>IFERROR(__xludf.DUMMYFUNCTION("""COMPUTED_VALUE"""),-4.0)</f>
        <v>-4</v>
      </c>
      <c r="AT143" s="16"/>
      <c r="AU143" s="16">
        <f>IFERROR(__xludf.DUMMYFUNCTION("""COMPUTED_VALUE"""),2.0)</f>
        <v>2</v>
      </c>
      <c r="AV143" s="16">
        <f>IFERROR(__xludf.DUMMYFUNCTION("""COMPUTED_VALUE"""),-3.0)</f>
        <v>-3</v>
      </c>
      <c r="AW143" s="16">
        <f>IFERROR(__xludf.DUMMYFUNCTION("""COMPUTED_VALUE"""),2.0)</f>
        <v>2</v>
      </c>
      <c r="AX143" s="16">
        <f>IFERROR(__xludf.DUMMYFUNCTION("""COMPUTED_VALUE"""),-3.0)</f>
        <v>-3</v>
      </c>
      <c r="AY143" s="16">
        <f>IFERROR(__xludf.DUMMYFUNCTION("""COMPUTED_VALUE"""),0.0)</f>
        <v>0</v>
      </c>
      <c r="AZ143" s="16">
        <f>IFERROR(__xludf.DUMMYFUNCTION("""COMPUTED_VALUE"""),-9.0)</f>
        <v>-9</v>
      </c>
      <c r="BA143" s="16">
        <f>IFERROR(__xludf.DUMMYFUNCTION("""COMPUTED_VALUE"""),0.0)</f>
        <v>0</v>
      </c>
      <c r="BB143" s="16">
        <f>IFERROR(__xludf.DUMMYFUNCTION("""COMPUTED_VALUE"""),5.0)</f>
        <v>5</v>
      </c>
      <c r="BC143" s="16">
        <f>IFERROR(__xludf.DUMMYFUNCTION("""COMPUTED_VALUE"""),5.0)</f>
        <v>5</v>
      </c>
      <c r="BD143" s="16">
        <f>IFERROR(__xludf.DUMMYFUNCTION("""COMPUTED_VALUE"""),1.0)</f>
        <v>1</v>
      </c>
      <c r="BE143" s="16">
        <f>IFERROR(__xludf.DUMMYFUNCTION("""COMPUTED_VALUE"""),1.0)</f>
        <v>1</v>
      </c>
      <c r="BF143" s="16">
        <f>IFERROR(__xludf.DUMMYFUNCTION("""COMPUTED_VALUE"""),1.0)</f>
        <v>1</v>
      </c>
      <c r="BG143" s="16">
        <f>IFERROR(__xludf.DUMMYFUNCTION("""COMPUTED_VALUE"""),1.0)</f>
        <v>1</v>
      </c>
      <c r="BH143" s="16">
        <f>IFERROR(__xludf.DUMMYFUNCTION("""COMPUTED_VALUE"""),1.0)</f>
        <v>1</v>
      </c>
      <c r="BI143" s="16">
        <f>IFERROR(__xludf.DUMMYFUNCTION("""COMPUTED_VALUE"""),1.0)</f>
        <v>1</v>
      </c>
      <c r="BJ143" s="16">
        <f>IFERROR(__xludf.DUMMYFUNCTION("""COMPUTED_VALUE"""),0.0)</f>
        <v>0</v>
      </c>
      <c r="BK143" s="16">
        <f>IFERROR(__xludf.DUMMYFUNCTION("""COMPUTED_VALUE"""),0.0)</f>
        <v>0</v>
      </c>
      <c r="BL143" s="16">
        <f>IFERROR(__xludf.DUMMYFUNCTION("""COMPUTED_VALUE"""),3.0)</f>
        <v>3</v>
      </c>
      <c r="BM143" s="16">
        <f>IFERROR(__xludf.DUMMYFUNCTION("""COMPUTED_VALUE"""),3.0)</f>
        <v>3</v>
      </c>
      <c r="BN143" s="16">
        <f>IFERROR(__xludf.DUMMYFUNCTION("""COMPUTED_VALUE"""),3.0)</f>
        <v>3</v>
      </c>
      <c r="BO143" s="16">
        <f>IFERROR(__xludf.DUMMYFUNCTION("""COMPUTED_VALUE"""),3.0)</f>
        <v>3</v>
      </c>
      <c r="BP143" s="16">
        <f>IFERROR(__xludf.DUMMYFUNCTION("""COMPUTED_VALUE"""),3.0)</f>
        <v>3</v>
      </c>
      <c r="BQ143" s="16">
        <f>IFERROR(__xludf.DUMMYFUNCTION("""COMPUTED_VALUE"""),6.0)</f>
        <v>6</v>
      </c>
      <c r="BR143" s="16">
        <f>IFERROR(__xludf.DUMMYFUNCTION("""COMPUTED_VALUE"""),9.0)</f>
        <v>9</v>
      </c>
      <c r="BS143" s="16" t="str">
        <f>IFERROR(__xludf.DUMMYFUNCTION("""COMPUTED_VALUE"""),"4/- (13-6)")</f>
        <v>4/- (13-6)</v>
      </c>
      <c r="BT143" s="16" t="str">
        <f>IFERROR(__xludf.DUMMYFUNCTION("""COMPUTED_VALUE"""),"E")</f>
        <v>E</v>
      </c>
      <c r="BU143" s="16">
        <f>IFERROR(__xludf.DUMMYFUNCTION("""COMPUTED_VALUE"""),10.0)</f>
        <v>10</v>
      </c>
      <c r="BV143" s="16">
        <f>IFERROR(__xludf.DUMMYFUNCTION("""COMPUTED_VALUE"""),0.0)</f>
        <v>0</v>
      </c>
      <c r="BW143" s="16">
        <f>IFERROR(__xludf.DUMMYFUNCTION("""COMPUTED_VALUE"""),0.0)</f>
        <v>0</v>
      </c>
      <c r="BX143" s="16">
        <f>IFERROR(__xludf.DUMMYFUNCTION("""COMPUTED_VALUE"""),0.0)</f>
        <v>0</v>
      </c>
      <c r="BY143" s="16">
        <f>IFERROR(__xludf.DUMMYFUNCTION("""COMPUTED_VALUE"""),0.0)</f>
        <v>0</v>
      </c>
      <c r="BZ143" s="16" t="str">
        <f>IFERROR(__xludf.DUMMYFUNCTION("""COMPUTED_VALUE"""),"D")</f>
        <v>D</v>
      </c>
      <c r="CA143" s="16" t="str">
        <f>IFERROR(__xludf.DUMMYFUNCTION("""COMPUTED_VALUE"""),"D")</f>
        <v>D</v>
      </c>
      <c r="CB143" s="16">
        <f>IFERROR(__xludf.DUMMYFUNCTION("""COMPUTED_VALUE"""),0.0)</f>
        <v>0</v>
      </c>
      <c r="CC143" s="16">
        <f>IFERROR(__xludf.DUMMYFUNCTION("""COMPUTED_VALUE"""),0.0)</f>
        <v>0</v>
      </c>
      <c r="CD143" s="16">
        <f>IFERROR(__xludf.DUMMYFUNCTION("""COMPUTED_VALUE"""),0.0)</f>
        <v>0</v>
      </c>
      <c r="CE143" s="16">
        <f>IFERROR(__xludf.DUMMYFUNCTION("""COMPUTED_VALUE"""),0.0)</f>
        <v>0</v>
      </c>
      <c r="CF143" s="16">
        <f>IFERROR(__xludf.DUMMYFUNCTION("""COMPUTED_VALUE"""),3.0)</f>
        <v>3</v>
      </c>
      <c r="CG143" s="16">
        <f>IFERROR(__xludf.DUMMYFUNCTION("""COMPUTED_VALUE"""),-6.0)</f>
        <v>-6</v>
      </c>
      <c r="CH143" s="16">
        <f>IFERROR(__xludf.DUMMYFUNCTION("""COMPUTED_VALUE"""),8.0)</f>
        <v>8</v>
      </c>
      <c r="CI143" s="179">
        <f>IFERROR(__xludf.DUMMYFUNCTION("""COMPUTED_VALUE"""),7.0)</f>
        <v>7</v>
      </c>
      <c r="CJ143" s="16"/>
      <c r="CK143" s="16">
        <f>IFERROR(__xludf.DUMMYFUNCTION("""COMPUTED_VALUE"""),302.0)</f>
        <v>302</v>
      </c>
      <c r="CL143" s="16"/>
      <c r="CM143" s="16"/>
      <c r="CN143" s="16"/>
      <c r="CO143" s="16">
        <f>IFERROR(__xludf.DUMMYFUNCTION("""COMPUTED_VALUE"""),401.0)</f>
        <v>401</v>
      </c>
      <c r="CP143" s="16"/>
      <c r="CQ143" s="16">
        <f>IFERROR(__xludf.DUMMYFUNCTION("""COMPUTED_VALUE"""),401.0)</f>
        <v>401</v>
      </c>
      <c r="CR143" s="16" t="str">
        <f>IFERROR(__xludf.DUMMYFUNCTION("""COMPUTED_VALUE"""),"1b-3e2 rf-4(0)e1 lf-4e1")</f>
        <v>1b-3e2 rf-4(0)e1 lf-4e1</v>
      </c>
      <c r="CS143" s="16"/>
      <c r="CT143" s="16">
        <f>IFERROR(__xludf.DUMMYFUNCTION("""COMPUTED_VALUE"""),3.0)</f>
        <v>3</v>
      </c>
      <c r="CU143" s="16"/>
      <c r="CV143" s="16"/>
      <c r="CW143" s="16"/>
      <c r="CX143" s="16">
        <f>IFERROR(__xludf.DUMMYFUNCTION("""COMPUTED_VALUE"""),4.0)</f>
        <v>4</v>
      </c>
      <c r="CY143" s="16"/>
      <c r="CZ143" s="16">
        <f>IFERROR(__xludf.DUMMYFUNCTION("""COMPUTED_VALUE"""),4.0)</f>
        <v>4</v>
      </c>
      <c r="DA143" s="16"/>
      <c r="DB143" s="16">
        <f>IFERROR(__xludf.DUMMYFUNCTION("""COMPUTED_VALUE"""),2.0)</f>
        <v>2</v>
      </c>
      <c r="DC143" s="16"/>
      <c r="DD143" s="16"/>
      <c r="DE143" s="16"/>
      <c r="DF143" s="16">
        <f>IFERROR(__xludf.DUMMYFUNCTION("""COMPUTED_VALUE"""),1.0)</f>
        <v>1</v>
      </c>
      <c r="DG143" s="16"/>
      <c r="DH143" s="16">
        <f>IFERROR(__xludf.DUMMYFUNCTION("""COMPUTED_VALUE"""),1.0)</f>
        <v>1</v>
      </c>
      <c r="DI143" s="16"/>
      <c r="DJ143" s="16">
        <f>IFERROR(__xludf.DUMMYFUNCTION("""COMPUTED_VALUE"""),1.0)</f>
        <v>1</v>
      </c>
      <c r="DK143" s="16"/>
      <c r="DL143" s="16"/>
      <c r="DM143" s="16"/>
      <c r="DN143" s="16">
        <f>IFERROR(__xludf.DUMMYFUNCTION("""COMPUTED_VALUE"""),-1.0)</f>
        <v>-1</v>
      </c>
      <c r="DO143" s="16"/>
      <c r="DP143" s="16">
        <f>IFERROR(__xludf.DUMMYFUNCTION("""COMPUTED_VALUE"""),-1.0)</f>
        <v>-1</v>
      </c>
      <c r="DQ143" s="16"/>
      <c r="DR143" s="16">
        <f>IFERROR(__xludf.DUMMYFUNCTION("""COMPUTED_VALUE"""),4.0)</f>
        <v>4</v>
      </c>
      <c r="DS143" s="16"/>
      <c r="DT143" s="16"/>
      <c r="DU143" s="16"/>
      <c r="DV143" s="16">
        <f>IFERROR(__xludf.DUMMYFUNCTION("""COMPUTED_VALUE"""),4.0)</f>
        <v>4</v>
      </c>
      <c r="DW143" s="16"/>
      <c r="DX143" s="16">
        <f>IFERROR(__xludf.DUMMYFUNCTION("""COMPUTED_VALUE"""),4.0)</f>
        <v>4</v>
      </c>
      <c r="DY143" s="16"/>
      <c r="DZ143" s="16">
        <f>IFERROR(__xludf.DUMMYFUNCTION("""COMPUTED_VALUE"""),5.0)</f>
        <v>5</v>
      </c>
      <c r="EA143" s="16"/>
      <c r="EB143" s="16"/>
      <c r="EC143" s="16"/>
      <c r="ED143" s="16">
        <f>IFERROR(__xludf.DUMMYFUNCTION("""COMPUTED_VALUE"""),3.0)</f>
        <v>3</v>
      </c>
      <c r="EE143" s="16"/>
      <c r="EF143" s="16">
        <f>IFERROR(__xludf.DUMMYFUNCTION("""COMPUTED_VALUE"""),3.0)</f>
        <v>3</v>
      </c>
      <c r="EG143" s="179"/>
      <c r="EH143" s="179">
        <f>IFERROR(__xludf.DUMMYFUNCTION("""COMPUTED_VALUE"""),12.0)</f>
        <v>12</v>
      </c>
      <c r="EI143" s="179"/>
      <c r="EJ143" s="179"/>
      <c r="EK143" s="179"/>
      <c r="EL143" s="179">
        <f>IFERROR(__xludf.DUMMYFUNCTION("""COMPUTED_VALUE"""),10.0)</f>
        <v>10</v>
      </c>
      <c r="EM143" s="179"/>
      <c r="EN143" s="179">
        <f>IFERROR(__xludf.DUMMYFUNCTION("""COMPUTED_VALUE"""),10.0)</f>
        <v>10</v>
      </c>
      <c r="EO143" s="16"/>
      <c r="EP143" s="16">
        <f>IFERROR(__xludf.DUMMYFUNCTION("""COMPUTED_VALUE"""),0.0)</f>
        <v>0</v>
      </c>
      <c r="EQ143" s="16">
        <f>IFERROR(__xludf.DUMMYFUNCTION("""COMPUTED_VALUE"""),1.0)</f>
        <v>1</v>
      </c>
      <c r="ER143" s="16">
        <f>IFERROR(__xludf.DUMMYFUNCTION("""COMPUTED_VALUE"""),1.0)</f>
        <v>1</v>
      </c>
      <c r="ES143" s="16"/>
      <c r="ET143" s="16"/>
      <c r="EU143" s="16"/>
      <c r="EV143" s="16"/>
      <c r="EW143" s="16"/>
      <c r="EX143" s="180"/>
      <c r="EY143" s="180">
        <f>IFERROR(__xludf.DUMMYFUNCTION("""COMPUTED_VALUE"""),0.2)</f>
        <v>0.2</v>
      </c>
      <c r="EZ143" s="180"/>
      <c r="FA143" s="180"/>
      <c r="FB143" s="180"/>
      <c r="FC143" s="180">
        <f>IFERROR(__xludf.DUMMYFUNCTION("""COMPUTED_VALUE"""),0.55)</f>
        <v>0.55</v>
      </c>
      <c r="FD143" s="180"/>
      <c r="FE143" s="180">
        <f>IFERROR(__xludf.DUMMYFUNCTION("""COMPUTED_VALUE"""),0.55)</f>
        <v>0.55</v>
      </c>
      <c r="FF143" s="180"/>
      <c r="FG143" s="180">
        <f>IFERROR(__xludf.DUMMYFUNCTION("""COMPUTED_VALUE"""),0.037037037037037035)</f>
        <v>0.03703703704</v>
      </c>
      <c r="FH143" s="180"/>
      <c r="FI143" s="180"/>
      <c r="FJ143" s="180"/>
      <c r="FK143" s="180">
        <f>IFERROR(__xludf.DUMMYFUNCTION("""COMPUTED_VALUE"""),0.019)</f>
        <v>0.019</v>
      </c>
      <c r="FL143" s="180"/>
      <c r="FM143" s="180">
        <f>IFERROR(__xludf.DUMMYFUNCTION("""COMPUTED_VALUE"""),0.019)</f>
        <v>0.019</v>
      </c>
      <c r="FN143" s="16"/>
      <c r="FO143" s="16">
        <f>IFERROR(__xludf.DUMMYFUNCTION("""COMPUTED_VALUE"""),0.7703703703703705)</f>
        <v>0.7703703704</v>
      </c>
      <c r="FP143" s="16"/>
      <c r="FQ143" s="16"/>
      <c r="FR143" s="16"/>
      <c r="FS143" s="16">
        <f>IFERROR(__xludf.DUMMYFUNCTION("""COMPUTED_VALUE"""),0.44144999999999995)</f>
        <v>0.44145</v>
      </c>
      <c r="FT143" s="16"/>
      <c r="FU143" s="16">
        <f>IFERROR(__xludf.DUMMYFUNCTION("""COMPUTED_VALUE"""),0.44144999999999995)</f>
        <v>0.44145</v>
      </c>
      <c r="FV143" s="16"/>
      <c r="FW143" s="16">
        <f>IFERROR(__xludf.DUMMYFUNCTION("""COMPUTED_VALUE"""),-1.0)</f>
        <v>-1</v>
      </c>
      <c r="FX143" s="16"/>
      <c r="FY143" s="16"/>
      <c r="FZ143" s="16"/>
      <c r="GA143" s="16">
        <f>IFERROR(__xludf.DUMMYFUNCTION("""COMPUTED_VALUE"""),-8.0)</f>
        <v>-8</v>
      </c>
      <c r="GB143" s="16"/>
      <c r="GC143" s="16">
        <f>IFERROR(__xludf.DUMMYFUNCTION("""COMPUTED_VALUE"""),-8.0)</f>
        <v>-8</v>
      </c>
      <c r="GD143" s="16" t="s">
        <v>333</v>
      </c>
    </row>
    <row r="144">
      <c r="A144" s="16">
        <f>IFERROR(__xludf.DUMMYFUNCTION("""COMPUTED_VALUE"""),12807.0)</f>
        <v>12807</v>
      </c>
      <c r="B144" s="16" t="str">
        <f>IFERROR(__xludf.DUMMYFUNCTION("""COMPUTED_VALUE"""),"Ernie Clement")</f>
        <v>Ernie Clement</v>
      </c>
      <c r="C144" s="16">
        <f>IFERROR(__xludf.DUMMYFUNCTION("""COMPUTED_VALUE"""),1.31)</f>
        <v>1.31</v>
      </c>
      <c r="D144" s="16" t="str">
        <f>IFERROR(__xludf.DUMMYFUNCTION("""COMPUTED_VALUE"""),"R")</f>
        <v>R</v>
      </c>
      <c r="E144" s="16"/>
      <c r="F144" s="16"/>
      <c r="G144" s="16">
        <f>IFERROR(__xludf.DUMMYFUNCTION("""COMPUTED_VALUE"""),434.0)</f>
        <v>434</v>
      </c>
      <c r="H144" s="16">
        <f>IFERROR(__xludf.DUMMYFUNCTION("""COMPUTED_VALUE"""),11.0)</f>
        <v>11</v>
      </c>
      <c r="I144" s="16" t="str">
        <f>IFERROR(__xludf.DUMMYFUNCTION("""COMPUTED_VALUE"""),"1p65")</f>
        <v>1p65</v>
      </c>
      <c r="J144" s="16">
        <f>IFERROR(__xludf.DUMMYFUNCTION("""COMPUTED_VALUE"""),0.0)</f>
        <v>0</v>
      </c>
      <c r="K144" s="16">
        <f>IFERROR(__xludf.DUMMYFUNCTION("""COMPUTED_VALUE"""),0.0)</f>
        <v>0</v>
      </c>
      <c r="L144" s="16">
        <f>IFERROR(__xludf.DUMMYFUNCTION("""COMPUTED_VALUE"""),3.0)</f>
        <v>3</v>
      </c>
      <c r="M144" s="16">
        <f>IFERROR(__xludf.DUMMYFUNCTION("""COMPUTED_VALUE"""),3.0)</f>
        <v>3</v>
      </c>
      <c r="N144" s="16">
        <f>IFERROR(__xludf.DUMMYFUNCTION("""COMPUTED_VALUE"""),3.0)</f>
        <v>3</v>
      </c>
      <c r="O144" s="16">
        <f>IFERROR(__xludf.DUMMYFUNCTION("""COMPUTED_VALUE"""),3.0)</f>
        <v>3</v>
      </c>
      <c r="P144" s="16">
        <f>IFERROR(__xludf.DUMMYFUNCTION("""COMPUTED_VALUE"""),0.0)</f>
        <v>0</v>
      </c>
      <c r="Q144" s="16">
        <f>IFERROR(__xludf.DUMMYFUNCTION("""COMPUTED_VALUE"""),0.0)</f>
        <v>0</v>
      </c>
      <c r="R144" s="16">
        <f>IFERROR(__xludf.DUMMYFUNCTION("""COMPUTED_VALUE"""),-3.0)</f>
        <v>-3</v>
      </c>
      <c r="S144" s="16">
        <f>IFERROR(__xludf.DUMMYFUNCTION("""COMPUTED_VALUE"""),-2.0)</f>
        <v>-2</v>
      </c>
      <c r="T144" s="16">
        <f>IFERROR(__xludf.DUMMYFUNCTION("""COMPUTED_VALUE"""),-3.0)</f>
        <v>-3</v>
      </c>
      <c r="U144" s="16">
        <f>IFERROR(__xludf.DUMMYFUNCTION("""COMPUTED_VALUE"""),-2.0)</f>
        <v>-2</v>
      </c>
      <c r="V144" s="16">
        <f>IFERROR(__xludf.DUMMYFUNCTION("""COMPUTED_VALUE"""),20.5)</f>
        <v>20.5</v>
      </c>
      <c r="W144" s="16">
        <f>IFERROR(__xludf.DUMMYFUNCTION("""COMPUTED_VALUE"""),29.3)</f>
        <v>29.3</v>
      </c>
      <c r="X144" s="16">
        <f>IFERROR(__xludf.DUMMYFUNCTION("""COMPUTED_VALUE"""),0.0)</f>
        <v>0</v>
      </c>
      <c r="Y144" s="16">
        <f>IFERROR(__xludf.DUMMYFUNCTION("""COMPUTED_VALUE"""),2.0)</f>
        <v>2</v>
      </c>
      <c r="Z144" s="16">
        <f>IFERROR(__xludf.DUMMYFUNCTION("""COMPUTED_VALUE"""),0.0)</f>
        <v>0</v>
      </c>
      <c r="AA144" s="16">
        <f>IFERROR(__xludf.DUMMYFUNCTION("""COMPUTED_VALUE"""),4.0)</f>
        <v>4</v>
      </c>
      <c r="AB144" s="16">
        <f>IFERROR(__xludf.DUMMYFUNCTION("""COMPUTED_VALUE"""),22.5)</f>
        <v>22.5</v>
      </c>
      <c r="AC144" s="16">
        <f>IFERROR(__xludf.DUMMYFUNCTION("""COMPUTED_VALUE"""),31.3)</f>
        <v>31.3</v>
      </c>
      <c r="AD144" s="16">
        <f>IFERROR(__xludf.DUMMYFUNCTION("""COMPUTED_VALUE"""),-1.0)</f>
        <v>-1</v>
      </c>
      <c r="AE144" s="16">
        <f>IFERROR(__xludf.DUMMYFUNCTION("""COMPUTED_VALUE"""),0.0)</f>
        <v>0</v>
      </c>
      <c r="AF144" s="16">
        <f>IFERROR(__xludf.DUMMYFUNCTION("""COMPUTED_VALUE"""),-5.0)</f>
        <v>-5</v>
      </c>
      <c r="AG144" s="16">
        <f>IFERROR(__xludf.DUMMYFUNCTION("""COMPUTED_VALUE"""),0.0)</f>
        <v>0</v>
      </c>
      <c r="AH144" s="16">
        <f>IFERROR(__xludf.DUMMYFUNCTION("""COMPUTED_VALUE"""),33.0)</f>
        <v>33</v>
      </c>
      <c r="AI144" s="16">
        <f>IFERROR(__xludf.DUMMYFUNCTION("""COMPUTED_VALUE"""),39.5)</f>
        <v>39.5</v>
      </c>
      <c r="AJ144" s="16">
        <f>IFERROR(__xludf.DUMMYFUNCTION("""COMPUTED_VALUE"""),0.0)</f>
        <v>0</v>
      </c>
      <c r="AK144" s="16">
        <f>IFERROR(__xludf.DUMMYFUNCTION("""COMPUTED_VALUE"""),1.0)</f>
        <v>1</v>
      </c>
      <c r="AL144" s="16">
        <f>IFERROR(__xludf.DUMMYFUNCTION("""COMPUTED_VALUE"""),0.0)</f>
        <v>0</v>
      </c>
      <c r="AM144" s="16">
        <f>IFERROR(__xludf.DUMMYFUNCTION("""COMPUTED_VALUE"""),5.0)</f>
        <v>5</v>
      </c>
      <c r="AN144" s="16">
        <f>IFERROR(__xludf.DUMMYFUNCTION("""COMPUTED_VALUE"""),1.0)</f>
        <v>1</v>
      </c>
      <c r="AO144" s="16">
        <f>IFERROR(__xludf.DUMMYFUNCTION("""COMPUTED_VALUE"""),1.8)</f>
        <v>1.8</v>
      </c>
      <c r="AP144" s="16">
        <f>IFERROR(__xludf.DUMMYFUNCTION("""COMPUTED_VALUE"""),-2.0)</f>
        <v>-2</v>
      </c>
      <c r="AQ144" s="16">
        <f>IFERROR(__xludf.DUMMYFUNCTION("""COMPUTED_VALUE"""),-1.0)</f>
        <v>-1</v>
      </c>
      <c r="AR144" s="16">
        <f>IFERROR(__xludf.DUMMYFUNCTION("""COMPUTED_VALUE"""),-4.0)</f>
        <v>-4</v>
      </c>
      <c r="AS144" s="16">
        <f>IFERROR(__xludf.DUMMYFUNCTION("""COMPUTED_VALUE"""),-2.0)</f>
        <v>-2</v>
      </c>
      <c r="AT144" s="16">
        <f>IFERROR(__xludf.DUMMYFUNCTION("""COMPUTED_VALUE"""),0.0)</f>
        <v>0</v>
      </c>
      <c r="AU144" s="16">
        <f>IFERROR(__xludf.DUMMYFUNCTION("""COMPUTED_VALUE"""),3.0)</f>
        <v>3</v>
      </c>
      <c r="AV144" s="16">
        <f>IFERROR(__xludf.DUMMYFUNCTION("""COMPUTED_VALUE"""),0.0)</f>
        <v>0</v>
      </c>
      <c r="AW144" s="16">
        <f>IFERROR(__xludf.DUMMYFUNCTION("""COMPUTED_VALUE"""),3.0)</f>
        <v>3</v>
      </c>
      <c r="AX144" s="16">
        <f>IFERROR(__xludf.DUMMYFUNCTION("""COMPUTED_VALUE"""),-2.0)</f>
        <v>-2</v>
      </c>
      <c r="AY144" s="16">
        <f>IFERROR(__xludf.DUMMYFUNCTION("""COMPUTED_VALUE"""),0.0)</f>
        <v>0</v>
      </c>
      <c r="AZ144" s="16">
        <f>IFERROR(__xludf.DUMMYFUNCTION("""COMPUTED_VALUE"""),-6.0)</f>
        <v>-6</v>
      </c>
      <c r="BA144" s="16">
        <f>IFERROR(__xludf.DUMMYFUNCTION("""COMPUTED_VALUE"""),0.0)</f>
        <v>0</v>
      </c>
      <c r="BB144" s="16">
        <f>IFERROR(__xludf.DUMMYFUNCTION("""COMPUTED_VALUE"""),5.0)</f>
        <v>5</v>
      </c>
      <c r="BC144" s="16">
        <f>IFERROR(__xludf.DUMMYFUNCTION("""COMPUTED_VALUE"""),5.0)</f>
        <v>5</v>
      </c>
      <c r="BD144" s="16">
        <f>IFERROR(__xludf.DUMMYFUNCTION("""COMPUTED_VALUE"""),1.0)</f>
        <v>1</v>
      </c>
      <c r="BE144" s="16">
        <f>IFERROR(__xludf.DUMMYFUNCTION("""COMPUTED_VALUE"""),1.0)</f>
        <v>1</v>
      </c>
      <c r="BF144" s="16">
        <f>IFERROR(__xludf.DUMMYFUNCTION("""COMPUTED_VALUE"""),1.0)</f>
        <v>1</v>
      </c>
      <c r="BG144" s="16">
        <f>IFERROR(__xludf.DUMMYFUNCTION("""COMPUTED_VALUE"""),1.0)</f>
        <v>1</v>
      </c>
      <c r="BH144" s="16">
        <f>IFERROR(__xludf.DUMMYFUNCTION("""COMPUTED_VALUE"""),-4.0)</f>
        <v>-4</v>
      </c>
      <c r="BI144" s="16">
        <f>IFERROR(__xludf.DUMMYFUNCTION("""COMPUTED_VALUE"""),-4.0)</f>
        <v>-4</v>
      </c>
      <c r="BJ144" s="16">
        <f>IFERROR(__xludf.DUMMYFUNCTION("""COMPUTED_VALUE"""),20.0)</f>
        <v>20</v>
      </c>
      <c r="BK144" s="16">
        <f>IFERROR(__xludf.DUMMYFUNCTION("""COMPUTED_VALUE"""),20.0)</f>
        <v>20</v>
      </c>
      <c r="BL144" s="16">
        <f>IFERROR(__xludf.DUMMYFUNCTION("""COMPUTED_VALUE"""),-2.0)</f>
        <v>-2</v>
      </c>
      <c r="BM144" s="16">
        <f>IFERROR(__xludf.DUMMYFUNCTION("""COMPUTED_VALUE"""),-2.0)</f>
        <v>-2</v>
      </c>
      <c r="BN144" s="16">
        <f>IFERROR(__xludf.DUMMYFUNCTION("""COMPUTED_VALUE"""),-4.0)</f>
        <v>-4</v>
      </c>
      <c r="BO144" s="16">
        <f>IFERROR(__xludf.DUMMYFUNCTION("""COMPUTED_VALUE"""),-4.0)</f>
        <v>-4</v>
      </c>
      <c r="BP144" s="16">
        <f>IFERROR(__xludf.DUMMYFUNCTION("""COMPUTED_VALUE"""),-6.0)</f>
        <v>-6</v>
      </c>
      <c r="BQ144" s="16">
        <f>IFERROR(__xludf.DUMMYFUNCTION("""COMPUTED_VALUE"""),2.0)</f>
        <v>2</v>
      </c>
      <c r="BR144" s="16">
        <f>IFERROR(__xludf.DUMMYFUNCTION("""COMPUTED_VALUE"""),-4.0)</f>
        <v>-4</v>
      </c>
      <c r="BS144" s="16" t="str">
        <f>IFERROR(__xludf.DUMMYFUNCTION("""COMPUTED_VALUE"""),"*4,6/- (18-12)")</f>
        <v>*4,6/- (18-12)</v>
      </c>
      <c r="BT144" s="16" t="str">
        <f>IFERROR(__xludf.DUMMYFUNCTION("""COMPUTED_VALUE"""),"B")</f>
        <v>B</v>
      </c>
      <c r="BU144" s="16">
        <f>IFERROR(__xludf.DUMMYFUNCTION("""COMPUTED_VALUE"""),13.0)</f>
        <v>13</v>
      </c>
      <c r="BV144" s="16">
        <f>IFERROR(__xludf.DUMMYFUNCTION("""COMPUTED_VALUE"""),1.0)</f>
        <v>1</v>
      </c>
      <c r="BW144" s="16">
        <f>IFERROR(__xludf.DUMMYFUNCTION("""COMPUTED_VALUE"""),1.0)</f>
        <v>1</v>
      </c>
      <c r="BX144" s="16">
        <f>IFERROR(__xludf.DUMMYFUNCTION("""COMPUTED_VALUE"""),2.0)</f>
        <v>2</v>
      </c>
      <c r="BY144" s="16">
        <f>IFERROR(__xludf.DUMMYFUNCTION("""COMPUTED_VALUE"""),3.0)</f>
        <v>3</v>
      </c>
      <c r="BZ144" s="16" t="str">
        <f>IFERROR(__xludf.DUMMYFUNCTION("""COMPUTED_VALUE"""),"C")</f>
        <v>C</v>
      </c>
      <c r="CA144" s="16" t="str">
        <f>IFERROR(__xludf.DUMMYFUNCTION("""COMPUTED_VALUE"""),"C")</f>
        <v>C</v>
      </c>
      <c r="CB144" s="16">
        <f>IFERROR(__xludf.DUMMYFUNCTION("""COMPUTED_VALUE"""),0.0)</f>
        <v>0</v>
      </c>
      <c r="CC144" s="16">
        <f>IFERROR(__xludf.DUMMYFUNCTION("""COMPUTED_VALUE"""),0.0)</f>
        <v>0</v>
      </c>
      <c r="CD144" s="16">
        <f>IFERROR(__xludf.DUMMYFUNCTION("""COMPUTED_VALUE"""),0.0)</f>
        <v>0</v>
      </c>
      <c r="CE144" s="16">
        <f>IFERROR(__xludf.DUMMYFUNCTION("""COMPUTED_VALUE"""),0.0)</f>
        <v>0</v>
      </c>
      <c r="CF144" s="16">
        <f>IFERROR(__xludf.DUMMYFUNCTION("""COMPUTED_VALUE"""),1.0)</f>
        <v>1</v>
      </c>
      <c r="CG144" s="16">
        <f>IFERROR(__xludf.DUMMYFUNCTION("""COMPUTED_VALUE"""),-18.0)</f>
        <v>-18</v>
      </c>
      <c r="CH144" s="16">
        <f>IFERROR(__xludf.DUMMYFUNCTION("""COMPUTED_VALUE"""),5.0)</f>
        <v>5</v>
      </c>
      <c r="CI144" s="179">
        <f>IFERROR(__xludf.DUMMYFUNCTION("""COMPUTED_VALUE"""),7.0)</f>
        <v>7</v>
      </c>
      <c r="CJ144" s="16"/>
      <c r="CK144" s="16"/>
      <c r="CL144" s="16">
        <f>IFERROR(__xludf.DUMMYFUNCTION("""COMPUTED_VALUE"""),332.0)</f>
        <v>332</v>
      </c>
      <c r="CM144" s="16">
        <f>IFERROR(__xludf.DUMMYFUNCTION("""COMPUTED_VALUE"""),222.0)</f>
        <v>222</v>
      </c>
      <c r="CN144" s="16">
        <f>IFERROR(__xludf.DUMMYFUNCTION("""COMPUTED_VALUE"""),314.0)</f>
        <v>314</v>
      </c>
      <c r="CO144" s="16">
        <f>IFERROR(__xludf.DUMMYFUNCTION("""COMPUTED_VALUE"""),416.0)</f>
        <v>416</v>
      </c>
      <c r="CP144" s="16"/>
      <c r="CQ144" s="16"/>
      <c r="CR144" s="16" t="str">
        <f>IFERROR(__xludf.DUMMYFUNCTION("""COMPUTED_VALUE"""),"3b-2e22 ss-3e14 2b-3e32 lf-4(+2)e16")</f>
        <v>3b-2e22 ss-3e14 2b-3e32 lf-4(+2)e16</v>
      </c>
      <c r="CS144" s="16"/>
      <c r="CT144" s="16"/>
      <c r="CU144" s="16">
        <f>IFERROR(__xludf.DUMMYFUNCTION("""COMPUTED_VALUE"""),3.0)</f>
        <v>3</v>
      </c>
      <c r="CV144" s="16">
        <f>IFERROR(__xludf.DUMMYFUNCTION("""COMPUTED_VALUE"""),2.0)</f>
        <v>2</v>
      </c>
      <c r="CW144" s="16">
        <f>IFERROR(__xludf.DUMMYFUNCTION("""COMPUTED_VALUE"""),3.0)</f>
        <v>3</v>
      </c>
      <c r="CX144" s="16">
        <f>IFERROR(__xludf.DUMMYFUNCTION("""COMPUTED_VALUE"""),4.0)</f>
        <v>4</v>
      </c>
      <c r="CY144" s="16"/>
      <c r="CZ144" s="16"/>
      <c r="DA144" s="16"/>
      <c r="DB144" s="16"/>
      <c r="DC144" s="16">
        <f>IFERROR(__xludf.DUMMYFUNCTION("""COMPUTED_VALUE"""),32.0)</f>
        <v>32</v>
      </c>
      <c r="DD144" s="16">
        <f>IFERROR(__xludf.DUMMYFUNCTION("""COMPUTED_VALUE"""),22.0)</f>
        <v>22</v>
      </c>
      <c r="DE144" s="16">
        <f>IFERROR(__xludf.DUMMYFUNCTION("""COMPUTED_VALUE"""),14.0)</f>
        <v>14</v>
      </c>
      <c r="DF144" s="16">
        <f>IFERROR(__xludf.DUMMYFUNCTION("""COMPUTED_VALUE"""),16.0)</f>
        <v>16</v>
      </c>
      <c r="DG144" s="16"/>
      <c r="DH144" s="16"/>
      <c r="DI144" s="16"/>
      <c r="DJ144" s="16"/>
      <c r="DK144" s="16">
        <f>IFERROR(__xludf.DUMMYFUNCTION("""COMPUTED_VALUE"""),0.0)</f>
        <v>0</v>
      </c>
      <c r="DL144" s="16">
        <f>IFERROR(__xludf.DUMMYFUNCTION("""COMPUTED_VALUE"""),3.0)</f>
        <v>3</v>
      </c>
      <c r="DM144" s="16">
        <f>IFERROR(__xludf.DUMMYFUNCTION("""COMPUTED_VALUE"""),0.0)</f>
        <v>0</v>
      </c>
      <c r="DN144" s="16">
        <f>IFERROR(__xludf.DUMMYFUNCTION("""COMPUTED_VALUE"""),-1.0)</f>
        <v>-1</v>
      </c>
      <c r="DO144" s="16"/>
      <c r="DP144" s="16"/>
      <c r="DQ144" s="16"/>
      <c r="DR144" s="16"/>
      <c r="DS144" s="16">
        <f>IFERROR(__xludf.DUMMYFUNCTION("""COMPUTED_VALUE"""),-2.0)</f>
        <v>-2</v>
      </c>
      <c r="DT144" s="16">
        <f>IFERROR(__xludf.DUMMYFUNCTION("""COMPUTED_VALUE"""),-2.0)</f>
        <v>-2</v>
      </c>
      <c r="DU144" s="16">
        <f>IFERROR(__xludf.DUMMYFUNCTION("""COMPUTED_VALUE"""),2.0)</f>
        <v>2</v>
      </c>
      <c r="DV144" s="16">
        <f>IFERROR(__xludf.DUMMYFUNCTION("""COMPUTED_VALUE"""),-2.0)</f>
        <v>-2</v>
      </c>
      <c r="DW144" s="16"/>
      <c r="DX144" s="16"/>
      <c r="DY144" s="16"/>
      <c r="DZ144" s="16"/>
      <c r="EA144" s="16">
        <f>IFERROR(__xludf.DUMMYFUNCTION("""COMPUTED_VALUE"""),-2.0)</f>
        <v>-2</v>
      </c>
      <c r="EB144" s="16">
        <f>IFERROR(__xludf.DUMMYFUNCTION("""COMPUTED_VALUE"""),1.0)</f>
        <v>1</v>
      </c>
      <c r="EC144" s="16">
        <f>IFERROR(__xludf.DUMMYFUNCTION("""COMPUTED_VALUE"""),2.0)</f>
        <v>2</v>
      </c>
      <c r="ED144" s="16">
        <f>IFERROR(__xludf.DUMMYFUNCTION("""COMPUTED_VALUE"""),-3.0)</f>
        <v>-3</v>
      </c>
      <c r="EE144" s="16"/>
      <c r="EF144" s="16"/>
      <c r="EG144" s="179"/>
      <c r="EH144" s="179"/>
      <c r="EI144" s="179">
        <f>IFERROR(__xludf.DUMMYFUNCTION("""COMPUTED_VALUE"""),5.0)</f>
        <v>5</v>
      </c>
      <c r="EJ144" s="179">
        <f>IFERROR(__xludf.DUMMYFUNCTION("""COMPUTED_VALUE"""),8.0)</f>
        <v>8</v>
      </c>
      <c r="EK144" s="179">
        <f>IFERROR(__xludf.DUMMYFUNCTION("""COMPUTED_VALUE"""),9.0)</f>
        <v>9</v>
      </c>
      <c r="EL144" s="179">
        <f>IFERROR(__xludf.DUMMYFUNCTION("""COMPUTED_VALUE"""),4.0)</f>
        <v>4</v>
      </c>
      <c r="EM144" s="179"/>
      <c r="EN144" s="179"/>
      <c r="EO144" s="16"/>
      <c r="EP144" s="16">
        <f>IFERROR(__xludf.DUMMYFUNCTION("""COMPUTED_VALUE"""),1.0)</f>
        <v>1</v>
      </c>
      <c r="EQ144" s="16">
        <f>IFERROR(__xludf.DUMMYFUNCTION("""COMPUTED_VALUE"""),4.0)</f>
        <v>4</v>
      </c>
      <c r="ER144" s="16">
        <f>IFERROR(__xludf.DUMMYFUNCTION("""COMPUTED_VALUE"""),2.0)</f>
        <v>2</v>
      </c>
      <c r="ES144" s="16"/>
      <c r="ET144" s="16"/>
      <c r="EU144" s="16"/>
      <c r="EV144" s="16"/>
      <c r="EW144" s="16"/>
      <c r="EX144" s="180"/>
      <c r="EY144" s="180"/>
      <c r="EZ144" s="180">
        <f>IFERROR(__xludf.DUMMYFUNCTION("""COMPUTED_VALUE"""),0.2)</f>
        <v>0.2</v>
      </c>
      <c r="FA144" s="180">
        <f>IFERROR(__xludf.DUMMYFUNCTION("""COMPUTED_VALUE"""),0.1)</f>
        <v>0.1</v>
      </c>
      <c r="FB144" s="180">
        <f>IFERROR(__xludf.DUMMYFUNCTION("""COMPUTED_VALUE"""),0.2)</f>
        <v>0.2</v>
      </c>
      <c r="FC144" s="180">
        <f>IFERROR(__xludf.DUMMYFUNCTION("""COMPUTED_VALUE"""),0.55)</f>
        <v>0.55</v>
      </c>
      <c r="FD144" s="180"/>
      <c r="FE144" s="180"/>
      <c r="FF144" s="180"/>
      <c r="FG144" s="180"/>
      <c r="FH144" s="180">
        <f>IFERROR(__xludf.DUMMYFUNCTION("""COMPUTED_VALUE"""),0.18981481481481483)</f>
        <v>0.1898148148</v>
      </c>
      <c r="FI144" s="180">
        <f>IFERROR(__xludf.DUMMYFUNCTION("""COMPUTED_VALUE"""),0.2638888888888889)</f>
        <v>0.2638888889</v>
      </c>
      <c r="FJ144" s="180">
        <f>IFERROR(__xludf.DUMMYFUNCTION("""COMPUTED_VALUE"""),0.07407407407407407)</f>
        <v>0.07407407407</v>
      </c>
      <c r="FK144" s="180">
        <f>IFERROR(__xludf.DUMMYFUNCTION("""COMPUTED_VALUE"""),0.287)</f>
        <v>0.287</v>
      </c>
      <c r="FL144" s="180"/>
      <c r="FM144" s="180"/>
      <c r="FN144" s="16"/>
      <c r="FO144" s="16"/>
      <c r="FP144" s="16">
        <f>IFERROR(__xludf.DUMMYFUNCTION("""COMPUTED_VALUE"""),0.6481481481481481)</f>
        <v>0.6481481481</v>
      </c>
      <c r="FQ144" s="16">
        <f>IFERROR(__xludf.DUMMYFUNCTION("""COMPUTED_VALUE"""),0.6625000000000001)</f>
        <v>0.6625</v>
      </c>
      <c r="FR144" s="16">
        <f>IFERROR(__xludf.DUMMYFUNCTION("""COMPUTED_VALUE"""),0.7407407407407408)</f>
        <v>0.7407407407</v>
      </c>
      <c r="FS144" s="16">
        <f>IFERROR(__xludf.DUMMYFUNCTION("""COMPUTED_VALUE"""),0.32085)</f>
        <v>0.32085</v>
      </c>
      <c r="FT144" s="16"/>
      <c r="FU144" s="16"/>
      <c r="FV144" s="16"/>
      <c r="FW144" s="16"/>
      <c r="FX144" s="16">
        <f>IFERROR(__xludf.DUMMYFUNCTION("""COMPUTED_VALUE"""),-6.0)</f>
        <v>-6</v>
      </c>
      <c r="FY144" s="16">
        <f>IFERROR(__xludf.DUMMYFUNCTION("""COMPUTED_VALUE"""),-4.0)</f>
        <v>-4</v>
      </c>
      <c r="FZ144" s="16">
        <f>IFERROR(__xludf.DUMMYFUNCTION("""COMPUTED_VALUE"""),-4.0)</f>
        <v>-4</v>
      </c>
      <c r="GA144" s="16">
        <f>IFERROR(__xludf.DUMMYFUNCTION("""COMPUTED_VALUE"""),-9.0)</f>
        <v>-9</v>
      </c>
      <c r="GB144" s="16"/>
      <c r="GC144" s="16"/>
      <c r="GD144" s="16" t="s">
        <v>260</v>
      </c>
    </row>
    <row r="145">
      <c r="A145" s="16">
        <f>IFERROR(__xludf.DUMMYFUNCTION("""COMPUTED_VALUE"""),12994.0)</f>
        <v>12994</v>
      </c>
      <c r="B145" s="16" t="str">
        <f>IFERROR(__xludf.DUMMYFUNCTION("""COMPUTED_VALUE"""),"Jonathan India")</f>
        <v>Jonathan India</v>
      </c>
      <c r="C145" s="16">
        <f>IFERROR(__xludf.DUMMYFUNCTION("""COMPUTED_VALUE"""),0.77)</f>
        <v>0.77</v>
      </c>
      <c r="D145" s="16" t="str">
        <f>IFERROR(__xludf.DUMMYFUNCTION("""COMPUTED_VALUE"""),"R")</f>
        <v>R</v>
      </c>
      <c r="E145" s="16"/>
      <c r="F145" s="16"/>
      <c r="G145" s="16">
        <f>IFERROR(__xludf.DUMMYFUNCTION("""COMPUTED_VALUE"""),533.0)</f>
        <v>533</v>
      </c>
      <c r="H145" s="16">
        <f>IFERROR(__xludf.DUMMYFUNCTION("""COMPUTED_VALUE"""),80.0)</f>
        <v>80</v>
      </c>
      <c r="I145" s="16" t="str">
        <f>IFERROR(__xludf.DUMMYFUNCTION("""COMPUTED_VALUE"""),"1p70")</f>
        <v>1p70</v>
      </c>
      <c r="J145" s="16">
        <f>IFERROR(__xludf.DUMMYFUNCTION("""COMPUTED_VALUE"""),20.0)</f>
        <v>20</v>
      </c>
      <c r="K145" s="16">
        <f>IFERROR(__xludf.DUMMYFUNCTION("""COMPUTED_VALUE"""),17.0)</f>
        <v>17</v>
      </c>
      <c r="L145" s="16">
        <f>IFERROR(__xludf.DUMMYFUNCTION("""COMPUTED_VALUE"""),0.0)</f>
        <v>0</v>
      </c>
      <c r="M145" s="16">
        <f>IFERROR(__xludf.DUMMYFUNCTION("""COMPUTED_VALUE"""),1.0)</f>
        <v>1</v>
      </c>
      <c r="N145" s="16">
        <f>IFERROR(__xludf.DUMMYFUNCTION("""COMPUTED_VALUE"""),0.0)</f>
        <v>0</v>
      </c>
      <c r="O145" s="16">
        <f>IFERROR(__xludf.DUMMYFUNCTION("""COMPUTED_VALUE"""),1.0)</f>
        <v>1</v>
      </c>
      <c r="P145" s="16">
        <f>IFERROR(__xludf.DUMMYFUNCTION("""COMPUTED_VALUE"""),24.0)</f>
        <v>24</v>
      </c>
      <c r="Q145" s="16">
        <f>IFERROR(__xludf.DUMMYFUNCTION("""COMPUTED_VALUE"""),18.0)</f>
        <v>18</v>
      </c>
      <c r="R145" s="16">
        <f>IFERROR(__xludf.DUMMYFUNCTION("""COMPUTED_VALUE"""),3.0)</f>
        <v>3</v>
      </c>
      <c r="S145" s="16">
        <f>IFERROR(__xludf.DUMMYFUNCTION("""COMPUTED_VALUE"""),3.0)</f>
        <v>3</v>
      </c>
      <c r="T145" s="16">
        <f>IFERROR(__xludf.DUMMYFUNCTION("""COMPUTED_VALUE"""),3.0)</f>
        <v>3</v>
      </c>
      <c r="U145" s="16">
        <f>IFERROR(__xludf.DUMMYFUNCTION("""COMPUTED_VALUE"""),3.0)</f>
        <v>3</v>
      </c>
      <c r="V145" s="16">
        <f>IFERROR(__xludf.DUMMYFUNCTION("""COMPUTED_VALUE"""),21.1)</f>
        <v>21.1</v>
      </c>
      <c r="W145" s="16">
        <f>IFERROR(__xludf.DUMMYFUNCTION("""COMPUTED_VALUE"""),15.9)</f>
        <v>15.9</v>
      </c>
      <c r="X145" s="16">
        <f>IFERROR(__xludf.DUMMYFUNCTION("""COMPUTED_VALUE"""),0.0)</f>
        <v>0</v>
      </c>
      <c r="Y145" s="16">
        <f>IFERROR(__xludf.DUMMYFUNCTION("""COMPUTED_VALUE"""),-1.0)</f>
        <v>-1</v>
      </c>
      <c r="Z145" s="16">
        <f>IFERROR(__xludf.DUMMYFUNCTION("""COMPUTED_VALUE"""),0.0)</f>
        <v>0</v>
      </c>
      <c r="AA145" s="16">
        <f>IFERROR(__xludf.DUMMYFUNCTION("""COMPUTED_VALUE"""),-2.0)</f>
        <v>-2</v>
      </c>
      <c r="AB145" s="16">
        <f>IFERROR(__xludf.DUMMYFUNCTION("""COMPUTED_VALUE"""),51.1)</f>
        <v>51.1</v>
      </c>
      <c r="AC145" s="16">
        <f>IFERROR(__xludf.DUMMYFUNCTION("""COMPUTED_VALUE"""),39.9)</f>
        <v>39.9</v>
      </c>
      <c r="AD145" s="16">
        <f>IFERROR(__xludf.DUMMYFUNCTION("""COMPUTED_VALUE"""),2.0)</f>
        <v>2</v>
      </c>
      <c r="AE145" s="16">
        <f>IFERROR(__xludf.DUMMYFUNCTION("""COMPUTED_VALUE"""),1.0)</f>
        <v>1</v>
      </c>
      <c r="AF145" s="16">
        <f>IFERROR(__xludf.DUMMYFUNCTION("""COMPUTED_VALUE"""),10.0)</f>
        <v>10</v>
      </c>
      <c r="AG145" s="16">
        <f>IFERROR(__xludf.DUMMYFUNCTION("""COMPUTED_VALUE"""),5.0)</f>
        <v>5</v>
      </c>
      <c r="AH145" s="16">
        <f>IFERROR(__xludf.DUMMYFUNCTION("""COMPUTED_VALUE"""),29.9)</f>
        <v>29.9</v>
      </c>
      <c r="AI145" s="16">
        <f>IFERROR(__xludf.DUMMYFUNCTION("""COMPUTED_VALUE"""),25.4)</f>
        <v>25.4</v>
      </c>
      <c r="AJ145" s="16">
        <f>IFERROR(__xludf.DUMMYFUNCTION("""COMPUTED_VALUE"""),0.0)</f>
        <v>0</v>
      </c>
      <c r="AK145" s="16">
        <f>IFERROR(__xludf.DUMMYFUNCTION("""COMPUTED_VALUE"""),-1.0)</f>
        <v>-1</v>
      </c>
      <c r="AL145" s="16">
        <f>IFERROR(__xludf.DUMMYFUNCTION("""COMPUTED_VALUE"""),0.0)</f>
        <v>0</v>
      </c>
      <c r="AM145" s="16">
        <f>IFERROR(__xludf.DUMMYFUNCTION("""COMPUTED_VALUE"""),-5.0)</f>
        <v>-5</v>
      </c>
      <c r="AN145" s="16">
        <f>IFERROR(__xludf.DUMMYFUNCTION("""COMPUTED_VALUE"""),0.5)</f>
        <v>0.5</v>
      </c>
      <c r="AO145" s="16">
        <f>IFERROR(__xludf.DUMMYFUNCTION("""COMPUTED_VALUE"""),1.8)</f>
        <v>1.8</v>
      </c>
      <c r="AP145" s="16">
        <f>IFERROR(__xludf.DUMMYFUNCTION("""COMPUTED_VALUE"""),-2.0)</f>
        <v>-2</v>
      </c>
      <c r="AQ145" s="16">
        <f>IFERROR(__xludf.DUMMYFUNCTION("""COMPUTED_VALUE"""),-1.0)</f>
        <v>-1</v>
      </c>
      <c r="AR145" s="16">
        <f>IFERROR(__xludf.DUMMYFUNCTION("""COMPUTED_VALUE"""),-4.0)</f>
        <v>-4</v>
      </c>
      <c r="AS145" s="16">
        <f>IFERROR(__xludf.DUMMYFUNCTION("""COMPUTED_VALUE"""),-2.0)</f>
        <v>-2</v>
      </c>
      <c r="AT145" s="16">
        <f>IFERROR(__xludf.DUMMYFUNCTION("""COMPUTED_VALUE"""),0.0)</f>
        <v>0</v>
      </c>
      <c r="AU145" s="16">
        <f>IFERROR(__xludf.DUMMYFUNCTION("""COMPUTED_VALUE"""),1.0)</f>
        <v>1</v>
      </c>
      <c r="AV145" s="16">
        <f>IFERROR(__xludf.DUMMYFUNCTION("""COMPUTED_VALUE"""),0.0)</f>
        <v>0</v>
      </c>
      <c r="AW145" s="16">
        <f>IFERROR(__xludf.DUMMYFUNCTION("""COMPUTED_VALUE"""),1.0)</f>
        <v>1</v>
      </c>
      <c r="AX145" s="16">
        <f>IFERROR(__xludf.DUMMYFUNCTION("""COMPUTED_VALUE"""),-2.0)</f>
        <v>-2</v>
      </c>
      <c r="AY145" s="16">
        <f>IFERROR(__xludf.DUMMYFUNCTION("""COMPUTED_VALUE"""),-1.0)</f>
        <v>-1</v>
      </c>
      <c r="AZ145" s="16">
        <f>IFERROR(__xludf.DUMMYFUNCTION("""COMPUTED_VALUE"""),-6.0)</f>
        <v>-6</v>
      </c>
      <c r="BA145" s="16">
        <f>IFERROR(__xludf.DUMMYFUNCTION("""COMPUTED_VALUE"""),-3.0)</f>
        <v>-3</v>
      </c>
      <c r="BB145" s="16">
        <f>IFERROR(__xludf.DUMMYFUNCTION("""COMPUTED_VALUE"""),5.0)</f>
        <v>5</v>
      </c>
      <c r="BC145" s="16">
        <f>IFERROR(__xludf.DUMMYFUNCTION("""COMPUTED_VALUE"""),5.0)</f>
        <v>5</v>
      </c>
      <c r="BD145" s="16">
        <f>IFERROR(__xludf.DUMMYFUNCTION("""COMPUTED_VALUE"""),1.0)</f>
        <v>1</v>
      </c>
      <c r="BE145" s="16">
        <f>IFERROR(__xludf.DUMMYFUNCTION("""COMPUTED_VALUE"""),1.0)</f>
        <v>1</v>
      </c>
      <c r="BF145" s="16">
        <f>IFERROR(__xludf.DUMMYFUNCTION("""COMPUTED_VALUE"""),1.0)</f>
        <v>1</v>
      </c>
      <c r="BG145" s="16">
        <f>IFERROR(__xludf.DUMMYFUNCTION("""COMPUTED_VALUE"""),1.0)</f>
        <v>1</v>
      </c>
      <c r="BH145" s="16">
        <f>IFERROR(__xludf.DUMMYFUNCTION("""COMPUTED_VALUE"""),0.0)</f>
        <v>0</v>
      </c>
      <c r="BI145" s="16">
        <f>IFERROR(__xludf.DUMMYFUNCTION("""COMPUTED_VALUE"""),0.0)</f>
        <v>0</v>
      </c>
      <c r="BJ145" s="16">
        <f>IFERROR(__xludf.DUMMYFUNCTION("""COMPUTED_VALUE"""),15.0)</f>
        <v>15</v>
      </c>
      <c r="BK145" s="16">
        <f>IFERROR(__xludf.DUMMYFUNCTION("""COMPUTED_VALUE"""),18.0)</f>
        <v>18</v>
      </c>
      <c r="BL145" s="16">
        <f>IFERROR(__xludf.DUMMYFUNCTION("""COMPUTED_VALUE"""),-1.0)</f>
        <v>-1</v>
      </c>
      <c r="BM145" s="16">
        <f>IFERROR(__xludf.DUMMYFUNCTION("""COMPUTED_VALUE"""),-1.0)</f>
        <v>-1</v>
      </c>
      <c r="BN145" s="16">
        <f>IFERROR(__xludf.DUMMYFUNCTION("""COMPUTED_VALUE"""),-2.0)</f>
        <v>-2</v>
      </c>
      <c r="BO145" s="16">
        <f>IFERROR(__xludf.DUMMYFUNCTION("""COMPUTED_VALUE"""),-2.0)</f>
        <v>-2</v>
      </c>
      <c r="BP145" s="16">
        <f>IFERROR(__xludf.DUMMYFUNCTION("""COMPUTED_VALUE"""),1.0)</f>
        <v>1</v>
      </c>
      <c r="BQ145" s="16">
        <f>IFERROR(__xludf.DUMMYFUNCTION("""COMPUTED_VALUE"""),1.0)</f>
        <v>1</v>
      </c>
      <c r="BR145" s="16">
        <f>IFERROR(__xludf.DUMMYFUNCTION("""COMPUTED_VALUE"""),2.0)</f>
        <v>2</v>
      </c>
      <c r="BS145" s="16" t="str">
        <f>IFERROR(__xludf.DUMMYFUNCTION("""COMPUTED_VALUE"""),"*5/- (19-6)")</f>
        <v>*5/- (19-6)</v>
      </c>
      <c r="BT145" s="16" t="str">
        <f>IFERROR(__xludf.DUMMYFUNCTION("""COMPUTED_VALUE"""),"B")</f>
        <v>B</v>
      </c>
      <c r="BU145" s="16">
        <f>IFERROR(__xludf.DUMMYFUNCTION("""COMPUTED_VALUE"""),14.0)</f>
        <v>14</v>
      </c>
      <c r="BV145" s="16">
        <f>IFERROR(__xludf.DUMMYFUNCTION("""COMPUTED_VALUE"""),1.0)</f>
        <v>1</v>
      </c>
      <c r="BW145" s="16">
        <f>IFERROR(__xludf.DUMMYFUNCTION("""COMPUTED_VALUE"""),1.0)</f>
        <v>1</v>
      </c>
      <c r="BX145" s="16">
        <f>IFERROR(__xludf.DUMMYFUNCTION("""COMPUTED_VALUE"""),2.0)</f>
        <v>2</v>
      </c>
      <c r="BY145" s="16">
        <f>IFERROR(__xludf.DUMMYFUNCTION("""COMPUTED_VALUE"""),3.0)</f>
        <v>3</v>
      </c>
      <c r="BZ145" s="16" t="str">
        <f>IFERROR(__xludf.DUMMYFUNCTION("""COMPUTED_VALUE"""),"D")</f>
        <v>D</v>
      </c>
      <c r="CA145" s="16" t="str">
        <f>IFERROR(__xludf.DUMMYFUNCTION("""COMPUTED_VALUE"""),"C")</f>
        <v>C</v>
      </c>
      <c r="CB145" s="16">
        <f>IFERROR(__xludf.DUMMYFUNCTION("""COMPUTED_VALUE"""),0.0)</f>
        <v>0</v>
      </c>
      <c r="CC145" s="16">
        <f>IFERROR(__xludf.DUMMYFUNCTION("""COMPUTED_VALUE"""),0.0)</f>
        <v>0</v>
      </c>
      <c r="CD145" s="16">
        <f>IFERROR(__xludf.DUMMYFUNCTION("""COMPUTED_VALUE"""),0.0)</f>
        <v>0</v>
      </c>
      <c r="CE145" s="16">
        <f>IFERROR(__xludf.DUMMYFUNCTION("""COMPUTED_VALUE"""),0.0)</f>
        <v>0</v>
      </c>
      <c r="CF145" s="16">
        <f>IFERROR(__xludf.DUMMYFUNCTION("""COMPUTED_VALUE"""),1.0)</f>
        <v>1</v>
      </c>
      <c r="CG145" s="16">
        <f>IFERROR(__xludf.DUMMYFUNCTION("""COMPUTED_VALUE"""),2.0)</f>
        <v>2</v>
      </c>
      <c r="CH145" s="16">
        <f>IFERROR(__xludf.DUMMYFUNCTION("""COMPUTED_VALUE"""),-4.0)</f>
        <v>-4</v>
      </c>
      <c r="CI145" s="179">
        <f>IFERROR(__xludf.DUMMYFUNCTION("""COMPUTED_VALUE"""),6.0)</f>
        <v>6</v>
      </c>
      <c r="CJ145" s="16"/>
      <c r="CK145" s="16"/>
      <c r="CL145" s="16">
        <f>IFERROR(__xludf.DUMMYFUNCTION("""COMPUTED_VALUE"""),405.0)</f>
        <v>405</v>
      </c>
      <c r="CM145" s="16"/>
      <c r="CN145" s="16"/>
      <c r="CO145" s="16"/>
      <c r="CP145" s="16"/>
      <c r="CQ145" s="16"/>
      <c r="CR145" s="16" t="str">
        <f>IFERROR(__xludf.DUMMYFUNCTION("""COMPUTED_VALUE"""),"2b-4e5")</f>
        <v>2b-4e5</v>
      </c>
      <c r="CS145" s="16"/>
      <c r="CT145" s="16"/>
      <c r="CU145" s="16">
        <f>IFERROR(__xludf.DUMMYFUNCTION("""COMPUTED_VALUE"""),4.0)</f>
        <v>4</v>
      </c>
      <c r="CV145" s="16"/>
      <c r="CW145" s="16"/>
      <c r="CX145" s="16"/>
      <c r="CY145" s="16"/>
      <c r="CZ145" s="16"/>
      <c r="DA145" s="16"/>
      <c r="DB145" s="16"/>
      <c r="DC145" s="16">
        <f>IFERROR(__xludf.DUMMYFUNCTION("""COMPUTED_VALUE"""),5.0)</f>
        <v>5</v>
      </c>
      <c r="DD145" s="16"/>
      <c r="DE145" s="16"/>
      <c r="DF145" s="16"/>
      <c r="DG145" s="16"/>
      <c r="DH145" s="16"/>
      <c r="DI145" s="16"/>
      <c r="DJ145" s="16"/>
      <c r="DK145" s="16">
        <f>IFERROR(__xludf.DUMMYFUNCTION("""COMPUTED_VALUE"""),-2.0)</f>
        <v>-2</v>
      </c>
      <c r="DL145" s="16"/>
      <c r="DM145" s="16"/>
      <c r="DN145" s="16"/>
      <c r="DO145" s="16"/>
      <c r="DP145" s="16"/>
      <c r="DQ145" s="16"/>
      <c r="DR145" s="16"/>
      <c r="DS145" s="16">
        <f>IFERROR(__xludf.DUMMYFUNCTION("""COMPUTED_VALUE"""),3.0)</f>
        <v>3</v>
      </c>
      <c r="DT145" s="16"/>
      <c r="DU145" s="16"/>
      <c r="DV145" s="16"/>
      <c r="DW145" s="16"/>
      <c r="DX145" s="16"/>
      <c r="DY145" s="16"/>
      <c r="DZ145" s="16"/>
      <c r="EA145" s="16">
        <f>IFERROR(__xludf.DUMMYFUNCTION("""COMPUTED_VALUE"""),1.0)</f>
        <v>1</v>
      </c>
      <c r="EB145" s="16"/>
      <c r="EC145" s="16"/>
      <c r="ED145" s="16"/>
      <c r="EE145" s="16"/>
      <c r="EF145" s="16"/>
      <c r="EG145" s="179"/>
      <c r="EH145" s="179"/>
      <c r="EI145" s="179">
        <f>IFERROR(__xludf.DUMMYFUNCTION("""COMPUTED_VALUE"""),7.0)</f>
        <v>7</v>
      </c>
      <c r="EJ145" s="179"/>
      <c r="EK145" s="179"/>
      <c r="EL145" s="179"/>
      <c r="EM145" s="179"/>
      <c r="EN145" s="179"/>
      <c r="EO145" s="16"/>
      <c r="EP145" s="16">
        <f>IFERROR(__xludf.DUMMYFUNCTION("""COMPUTED_VALUE"""),-2.0)</f>
        <v>-2</v>
      </c>
      <c r="EQ145" s="16">
        <f>IFERROR(__xludf.DUMMYFUNCTION("""COMPUTED_VALUE"""),4.0)</f>
        <v>4</v>
      </c>
      <c r="ER145" s="16">
        <f>IFERROR(__xludf.DUMMYFUNCTION("""COMPUTED_VALUE"""),3.0)</f>
        <v>3</v>
      </c>
      <c r="ES145" s="16"/>
      <c r="ET145" s="16"/>
      <c r="EU145" s="16"/>
      <c r="EV145" s="16"/>
      <c r="EW145" s="16"/>
      <c r="EX145" s="180"/>
      <c r="EY145" s="180"/>
      <c r="EZ145" s="180">
        <f>IFERROR(__xludf.DUMMYFUNCTION("""COMPUTED_VALUE"""),0.3)</f>
        <v>0.3</v>
      </c>
      <c r="FA145" s="180"/>
      <c r="FB145" s="180"/>
      <c r="FC145" s="180"/>
      <c r="FD145" s="180"/>
      <c r="FE145" s="180"/>
      <c r="FF145" s="180"/>
      <c r="FG145" s="180"/>
      <c r="FH145" s="180">
        <f>IFERROR(__xludf.DUMMYFUNCTION("""COMPUTED_VALUE"""),0.032407407407407406)</f>
        <v>0.03240740741</v>
      </c>
      <c r="FI145" s="180"/>
      <c r="FJ145" s="180"/>
      <c r="FK145" s="180"/>
      <c r="FL145" s="180"/>
      <c r="FM145" s="180"/>
      <c r="FN145" s="16"/>
      <c r="FO145" s="16"/>
      <c r="FP145" s="16">
        <f>IFERROR(__xludf.DUMMYFUNCTION("""COMPUTED_VALUE"""),0.6773148148148147)</f>
        <v>0.6773148148</v>
      </c>
      <c r="FQ145" s="16"/>
      <c r="FR145" s="16"/>
      <c r="FS145" s="16"/>
      <c r="FT145" s="16"/>
      <c r="FU145" s="16"/>
      <c r="FV145" s="16"/>
      <c r="FW145" s="16"/>
      <c r="FX145" s="16">
        <f>IFERROR(__xludf.DUMMYFUNCTION("""COMPUTED_VALUE"""),-4.0)</f>
        <v>-4</v>
      </c>
      <c r="FY145" s="16"/>
      <c r="FZ145" s="16"/>
      <c r="GA145" s="16"/>
      <c r="GB145" s="16"/>
      <c r="GC145" s="16"/>
      <c r="GD145" s="16" t="s">
        <v>176</v>
      </c>
    </row>
    <row r="146">
      <c r="A146" s="16">
        <f>IFERROR(__xludf.DUMMYFUNCTION("""COMPUTED_VALUE"""),12668.0)</f>
        <v>12668</v>
      </c>
      <c r="B146" s="16" t="str">
        <f>IFERROR(__xludf.DUMMYFUNCTION("""COMPUTED_VALUE"""),"Charlie Blackmon")</f>
        <v>Charlie Blackmon</v>
      </c>
      <c r="C146" s="16">
        <f>IFERROR(__xludf.DUMMYFUNCTION("""COMPUTED_VALUE"""),0.35)</f>
        <v>0.35</v>
      </c>
      <c r="D146" s="16" t="str">
        <f>IFERROR(__xludf.DUMMYFUNCTION("""COMPUTED_VALUE"""),"L")</f>
        <v>L</v>
      </c>
      <c r="E146" s="16"/>
      <c r="F146" s="16"/>
      <c r="G146" s="16">
        <f>IFERROR(__xludf.DUMMYFUNCTION("""COMPUTED_VALUE"""),449.0)</f>
        <v>449</v>
      </c>
      <c r="H146" s="16">
        <f>IFERROR(__xludf.DUMMYFUNCTION("""COMPUTED_VALUE"""),43.0)</f>
        <v>43</v>
      </c>
      <c r="I146" s="16" t="str">
        <f>IFERROR(__xludf.DUMMYFUNCTION("""COMPUTED_VALUE"""),"1p60")</f>
        <v>1p60</v>
      </c>
      <c r="J146" s="16">
        <f>IFERROR(__xludf.DUMMYFUNCTION("""COMPUTED_VALUE"""),0.0)</f>
        <v>0</v>
      </c>
      <c r="K146" s="16">
        <f>IFERROR(__xludf.DUMMYFUNCTION("""COMPUTED_VALUE"""),17.0)</f>
        <v>17</v>
      </c>
      <c r="L146" s="16">
        <f>IFERROR(__xludf.DUMMYFUNCTION("""COMPUTED_VALUE"""),3.0)</f>
        <v>3</v>
      </c>
      <c r="M146" s="16">
        <f>IFERROR(__xludf.DUMMYFUNCTION("""COMPUTED_VALUE"""),1.0)</f>
        <v>1</v>
      </c>
      <c r="N146" s="16">
        <f>IFERROR(__xludf.DUMMYFUNCTION("""COMPUTED_VALUE"""),3.0)</f>
        <v>3</v>
      </c>
      <c r="O146" s="16">
        <f>IFERROR(__xludf.DUMMYFUNCTION("""COMPUTED_VALUE"""),1.0)</f>
        <v>1</v>
      </c>
      <c r="P146" s="16">
        <f>IFERROR(__xludf.DUMMYFUNCTION("""COMPUTED_VALUE"""),7.0)</f>
        <v>7</v>
      </c>
      <c r="Q146" s="16">
        <f>IFERROR(__xludf.DUMMYFUNCTION("""COMPUTED_VALUE"""),9.0)</f>
        <v>9</v>
      </c>
      <c r="R146" s="16">
        <f>IFERROR(__xludf.DUMMYFUNCTION("""COMPUTED_VALUE"""),-1.0)</f>
        <v>-1</v>
      </c>
      <c r="S146" s="16">
        <f>IFERROR(__xludf.DUMMYFUNCTION("""COMPUTED_VALUE"""),0.0)</f>
        <v>0</v>
      </c>
      <c r="T146" s="16">
        <f>IFERROR(__xludf.DUMMYFUNCTION("""COMPUTED_VALUE"""),-1.0)</f>
        <v>-1</v>
      </c>
      <c r="U146" s="16">
        <f>IFERROR(__xludf.DUMMYFUNCTION("""COMPUTED_VALUE"""),0.0)</f>
        <v>0</v>
      </c>
      <c r="V146" s="16">
        <f>IFERROR(__xludf.DUMMYFUNCTION("""COMPUTED_VALUE"""),23.1)</f>
        <v>23.1</v>
      </c>
      <c r="W146" s="16">
        <f>IFERROR(__xludf.DUMMYFUNCTION("""COMPUTED_VALUE"""),19.7)</f>
        <v>19.7</v>
      </c>
      <c r="X146" s="16">
        <f>IFERROR(__xludf.DUMMYFUNCTION("""COMPUTED_VALUE"""),1.0)</f>
        <v>1</v>
      </c>
      <c r="Y146" s="16">
        <f>IFERROR(__xludf.DUMMYFUNCTION("""COMPUTED_VALUE"""),0.0)</f>
        <v>0</v>
      </c>
      <c r="Z146" s="16">
        <f>IFERROR(__xludf.DUMMYFUNCTION("""COMPUTED_VALUE"""),2.0)</f>
        <v>2</v>
      </c>
      <c r="AA146" s="16">
        <f>IFERROR(__xludf.DUMMYFUNCTION("""COMPUTED_VALUE"""),0.0)</f>
        <v>0</v>
      </c>
      <c r="AB146" s="16">
        <f>IFERROR(__xludf.DUMMYFUNCTION("""COMPUTED_VALUE"""),33.1)</f>
        <v>33.1</v>
      </c>
      <c r="AC146" s="16">
        <f>IFERROR(__xludf.DUMMYFUNCTION("""COMPUTED_VALUE"""),31.7)</f>
        <v>31.7</v>
      </c>
      <c r="AD146" s="16">
        <f>IFERROR(__xludf.DUMMYFUNCTION("""COMPUTED_VALUE"""),0.0)</f>
        <v>0</v>
      </c>
      <c r="AE146" s="16">
        <f>IFERROR(__xludf.DUMMYFUNCTION("""COMPUTED_VALUE"""),0.0)</f>
        <v>0</v>
      </c>
      <c r="AF146" s="16">
        <f>IFERROR(__xludf.DUMMYFUNCTION("""COMPUTED_VALUE"""),0.0)</f>
        <v>0</v>
      </c>
      <c r="AG146" s="16">
        <f>IFERROR(__xludf.DUMMYFUNCTION("""COMPUTED_VALUE"""),0.0)</f>
        <v>0</v>
      </c>
      <c r="AH146" s="16">
        <f>IFERROR(__xludf.DUMMYFUNCTION("""COMPUTED_VALUE"""),42.4)</f>
        <v>42.4</v>
      </c>
      <c r="AI146" s="16">
        <f>IFERROR(__xludf.DUMMYFUNCTION("""COMPUTED_VALUE"""),32.5)</f>
        <v>32.5</v>
      </c>
      <c r="AJ146" s="16">
        <f>IFERROR(__xludf.DUMMYFUNCTION("""COMPUTED_VALUE"""),1.0)</f>
        <v>1</v>
      </c>
      <c r="AK146" s="16">
        <f>IFERROR(__xludf.DUMMYFUNCTION("""COMPUTED_VALUE"""),0.0)</f>
        <v>0</v>
      </c>
      <c r="AL146" s="16">
        <f>IFERROR(__xludf.DUMMYFUNCTION("""COMPUTED_VALUE"""),5.0)</f>
        <v>5</v>
      </c>
      <c r="AM146" s="16">
        <f>IFERROR(__xludf.DUMMYFUNCTION("""COMPUTED_VALUE"""),0.0)</f>
        <v>0</v>
      </c>
      <c r="AN146" s="16">
        <f>IFERROR(__xludf.DUMMYFUNCTION("""COMPUTED_VALUE"""),2.0)</f>
        <v>2</v>
      </c>
      <c r="AO146" s="16">
        <f>IFERROR(__xludf.DUMMYFUNCTION("""COMPUTED_VALUE"""),2.0)</f>
        <v>2</v>
      </c>
      <c r="AP146" s="16">
        <f>IFERROR(__xludf.DUMMYFUNCTION("""COMPUTED_VALUE"""),0.0)</f>
        <v>0</v>
      </c>
      <c r="AQ146" s="16">
        <f>IFERROR(__xludf.DUMMYFUNCTION("""COMPUTED_VALUE"""),-1.0)</f>
        <v>-1</v>
      </c>
      <c r="AR146" s="16">
        <f>IFERROR(__xludf.DUMMYFUNCTION("""COMPUTED_VALUE"""),0.0)</f>
        <v>0</v>
      </c>
      <c r="AS146" s="16">
        <f>IFERROR(__xludf.DUMMYFUNCTION("""COMPUTED_VALUE"""),-2.0)</f>
        <v>-2</v>
      </c>
      <c r="AT146" s="16"/>
      <c r="AU146" s="16">
        <f>IFERROR(__xludf.DUMMYFUNCTION("""COMPUTED_VALUE"""),2.0)</f>
        <v>2</v>
      </c>
      <c r="AV146" s="16">
        <f>IFERROR(__xludf.DUMMYFUNCTION("""COMPUTED_VALUE"""),-3.0)</f>
        <v>-3</v>
      </c>
      <c r="AW146" s="16">
        <f>IFERROR(__xludf.DUMMYFUNCTION("""COMPUTED_VALUE"""),2.0)</f>
        <v>2</v>
      </c>
      <c r="AX146" s="16">
        <f>IFERROR(__xludf.DUMMYFUNCTION("""COMPUTED_VALUE"""),-3.0)</f>
        <v>-3</v>
      </c>
      <c r="AY146" s="16">
        <f>IFERROR(__xludf.DUMMYFUNCTION("""COMPUTED_VALUE"""),0.0)</f>
        <v>0</v>
      </c>
      <c r="AZ146" s="16">
        <f>IFERROR(__xludf.DUMMYFUNCTION("""COMPUTED_VALUE"""),-9.0)</f>
        <v>-9</v>
      </c>
      <c r="BA146" s="16">
        <f>IFERROR(__xludf.DUMMYFUNCTION("""COMPUTED_VALUE"""),0.0)</f>
        <v>0</v>
      </c>
      <c r="BB146" s="16">
        <f>IFERROR(__xludf.DUMMYFUNCTION("""COMPUTED_VALUE"""),5.0)</f>
        <v>5</v>
      </c>
      <c r="BC146" s="16">
        <f>IFERROR(__xludf.DUMMYFUNCTION("""COMPUTED_VALUE"""),5.0)</f>
        <v>5</v>
      </c>
      <c r="BD146" s="16">
        <f>IFERROR(__xludf.DUMMYFUNCTION("""COMPUTED_VALUE"""),1.0)</f>
        <v>1</v>
      </c>
      <c r="BE146" s="16">
        <f>IFERROR(__xludf.DUMMYFUNCTION("""COMPUTED_VALUE"""),1.0)</f>
        <v>1</v>
      </c>
      <c r="BF146" s="16">
        <f>IFERROR(__xludf.DUMMYFUNCTION("""COMPUTED_VALUE"""),1.0)</f>
        <v>1</v>
      </c>
      <c r="BG146" s="16">
        <f>IFERROR(__xludf.DUMMYFUNCTION("""COMPUTED_VALUE"""),1.0)</f>
        <v>1</v>
      </c>
      <c r="BH146" s="16">
        <f>IFERROR(__xludf.DUMMYFUNCTION("""COMPUTED_VALUE"""),3.0)</f>
        <v>3</v>
      </c>
      <c r="BI146" s="16">
        <f>IFERROR(__xludf.DUMMYFUNCTION("""COMPUTED_VALUE"""),3.0)</f>
        <v>3</v>
      </c>
      <c r="BJ146" s="16">
        <f>IFERROR(__xludf.DUMMYFUNCTION("""COMPUTED_VALUE"""),4.0)</f>
        <v>4</v>
      </c>
      <c r="BK146" s="16">
        <f>IFERROR(__xludf.DUMMYFUNCTION("""COMPUTED_VALUE"""),4.0)</f>
        <v>4</v>
      </c>
      <c r="BL146" s="16">
        <f>IFERROR(__xludf.DUMMYFUNCTION("""COMPUTED_VALUE"""),1.0)</f>
        <v>1</v>
      </c>
      <c r="BM146" s="16">
        <f>IFERROR(__xludf.DUMMYFUNCTION("""COMPUTED_VALUE"""),1.0)</f>
        <v>1</v>
      </c>
      <c r="BN146" s="16">
        <f>IFERROR(__xludf.DUMMYFUNCTION("""COMPUTED_VALUE"""),1.0)</f>
        <v>1</v>
      </c>
      <c r="BO146" s="16">
        <f>IFERROR(__xludf.DUMMYFUNCTION("""COMPUTED_VALUE"""),1.0)</f>
        <v>1</v>
      </c>
      <c r="BP146" s="16">
        <f>IFERROR(__xludf.DUMMYFUNCTION("""COMPUTED_VALUE"""),3.0)</f>
        <v>3</v>
      </c>
      <c r="BQ146" s="16">
        <f>IFERROR(__xludf.DUMMYFUNCTION("""COMPUTED_VALUE"""),2.0)</f>
        <v>2</v>
      </c>
      <c r="BR146" s="16">
        <f>IFERROR(__xludf.DUMMYFUNCTION("""COMPUTED_VALUE"""),5.0)</f>
        <v>5</v>
      </c>
      <c r="BS146" s="16" t="str">
        <f>IFERROR(__xludf.DUMMYFUNCTION("""COMPUTED_VALUE"""),"6/- (15-6)")</f>
        <v>6/- (15-6)</v>
      </c>
      <c r="BT146" s="16" t="str">
        <f>IFERROR(__xludf.DUMMYFUNCTION("""COMPUTED_VALUE"""),"C")</f>
        <v>C</v>
      </c>
      <c r="BU146" s="16">
        <f>IFERROR(__xludf.DUMMYFUNCTION("""COMPUTED_VALUE"""),12.0)</f>
        <v>12</v>
      </c>
      <c r="BV146" s="16">
        <f>IFERROR(__xludf.DUMMYFUNCTION("""COMPUTED_VALUE"""),0.0)</f>
        <v>0</v>
      </c>
      <c r="BW146" s="16">
        <f>IFERROR(__xludf.DUMMYFUNCTION("""COMPUTED_VALUE"""),0.0)</f>
        <v>0</v>
      </c>
      <c r="BX146" s="16">
        <f>IFERROR(__xludf.DUMMYFUNCTION("""COMPUTED_VALUE"""),0.0)</f>
        <v>0</v>
      </c>
      <c r="BY146" s="16">
        <f>IFERROR(__xludf.DUMMYFUNCTION("""COMPUTED_VALUE"""),0.0)</f>
        <v>0</v>
      </c>
      <c r="BZ146" s="16" t="str">
        <f>IFERROR(__xludf.DUMMYFUNCTION("""COMPUTED_VALUE"""),"D")</f>
        <v>D</v>
      </c>
      <c r="CA146" s="16" t="str">
        <f>IFERROR(__xludf.DUMMYFUNCTION("""COMPUTED_VALUE"""),"C")</f>
        <v>C</v>
      </c>
      <c r="CB146" s="16">
        <f>IFERROR(__xludf.DUMMYFUNCTION("""COMPUTED_VALUE"""),0.0)</f>
        <v>0</v>
      </c>
      <c r="CC146" s="16">
        <f>IFERROR(__xludf.DUMMYFUNCTION("""COMPUTED_VALUE"""),0.0)</f>
        <v>0</v>
      </c>
      <c r="CD146" s="16">
        <f>IFERROR(__xludf.DUMMYFUNCTION("""COMPUTED_VALUE"""),0.0)</f>
        <v>0</v>
      </c>
      <c r="CE146" s="16">
        <f>IFERROR(__xludf.DUMMYFUNCTION("""COMPUTED_VALUE"""),0.0)</f>
        <v>0</v>
      </c>
      <c r="CF146" s="16">
        <f>IFERROR(__xludf.DUMMYFUNCTION("""COMPUTED_VALUE"""),1.0)</f>
        <v>1</v>
      </c>
      <c r="CG146" s="16">
        <f>IFERROR(__xludf.DUMMYFUNCTION("""COMPUTED_VALUE"""),2.0)</f>
        <v>2</v>
      </c>
      <c r="CH146" s="16">
        <f>IFERROR(__xludf.DUMMYFUNCTION("""COMPUTED_VALUE"""),1.0)</f>
        <v>1</v>
      </c>
      <c r="CI146" s="179">
        <f>IFERROR(__xludf.DUMMYFUNCTION("""COMPUTED_VALUE"""),6.0)</f>
        <v>6</v>
      </c>
      <c r="CJ146" s="16"/>
      <c r="CK146" s="16"/>
      <c r="CL146" s="16"/>
      <c r="CM146" s="16"/>
      <c r="CN146" s="16"/>
      <c r="CO146" s="16"/>
      <c r="CP146" s="16"/>
      <c r="CQ146" s="16">
        <f>IFERROR(__xludf.DUMMYFUNCTION("""COMPUTED_VALUE"""),403.0)</f>
        <v>403</v>
      </c>
      <c r="CR146" s="16" t="str">
        <f>IFERROR(__xludf.DUMMYFUNCTION("""COMPUTED_VALUE"""),"rf-4(0)e3")</f>
        <v>rf-4(0)e3</v>
      </c>
      <c r="CS146" s="16"/>
      <c r="CT146" s="16"/>
      <c r="CU146" s="16"/>
      <c r="CV146" s="16"/>
      <c r="CW146" s="16"/>
      <c r="CX146" s="16"/>
      <c r="CY146" s="16"/>
      <c r="CZ146" s="16">
        <f>IFERROR(__xludf.DUMMYFUNCTION("""COMPUTED_VALUE"""),4.0)</f>
        <v>4</v>
      </c>
      <c r="DA146" s="16"/>
      <c r="DB146" s="16"/>
      <c r="DC146" s="16"/>
      <c r="DD146" s="16"/>
      <c r="DE146" s="16"/>
      <c r="DF146" s="16"/>
      <c r="DG146" s="16"/>
      <c r="DH146" s="16">
        <f>IFERROR(__xludf.DUMMYFUNCTION("""COMPUTED_VALUE"""),3.0)</f>
        <v>3</v>
      </c>
      <c r="DI146" s="16"/>
      <c r="DJ146" s="16"/>
      <c r="DK146" s="16"/>
      <c r="DL146" s="16"/>
      <c r="DM146" s="16"/>
      <c r="DN146" s="16"/>
      <c r="DO146" s="16"/>
      <c r="DP146" s="16">
        <f>IFERROR(__xludf.DUMMYFUNCTION("""COMPUTED_VALUE"""),-1.0)</f>
        <v>-1</v>
      </c>
      <c r="DQ146" s="16"/>
      <c r="DR146" s="16"/>
      <c r="DS146" s="16"/>
      <c r="DT146" s="16"/>
      <c r="DU146" s="16"/>
      <c r="DV146" s="16"/>
      <c r="DW146" s="16"/>
      <c r="DX146" s="16">
        <f>IFERROR(__xludf.DUMMYFUNCTION("""COMPUTED_VALUE"""),4.0)</f>
        <v>4</v>
      </c>
      <c r="DY146" s="16"/>
      <c r="DZ146" s="16"/>
      <c r="EA146" s="16"/>
      <c r="EB146" s="16"/>
      <c r="EC146" s="16"/>
      <c r="ED146" s="16"/>
      <c r="EE146" s="16"/>
      <c r="EF146" s="16">
        <f>IFERROR(__xludf.DUMMYFUNCTION("""COMPUTED_VALUE"""),3.0)</f>
        <v>3</v>
      </c>
      <c r="EG146" s="179"/>
      <c r="EH146" s="179"/>
      <c r="EI146" s="179"/>
      <c r="EJ146" s="179"/>
      <c r="EK146" s="179"/>
      <c r="EL146" s="179"/>
      <c r="EM146" s="179"/>
      <c r="EN146" s="179">
        <f>IFERROR(__xludf.DUMMYFUNCTION("""COMPUTED_VALUE"""),9.0)</f>
        <v>9</v>
      </c>
      <c r="EO146" s="16"/>
      <c r="EP146" s="16">
        <f>IFERROR(__xludf.DUMMYFUNCTION("""COMPUTED_VALUE"""),0.0)</f>
        <v>0</v>
      </c>
      <c r="EQ146" s="16">
        <f>IFERROR(__xludf.DUMMYFUNCTION("""COMPUTED_VALUE"""),4.0)</f>
        <v>4</v>
      </c>
      <c r="ER146" s="16">
        <f>IFERROR(__xludf.DUMMYFUNCTION("""COMPUTED_VALUE"""),1.0)</f>
        <v>1</v>
      </c>
      <c r="ES146" s="16"/>
      <c r="ET146" s="16"/>
      <c r="EU146" s="16"/>
      <c r="EV146" s="16"/>
      <c r="EW146" s="16"/>
      <c r="EX146" s="180"/>
      <c r="EY146" s="180"/>
      <c r="EZ146" s="180"/>
      <c r="FA146" s="180"/>
      <c r="FB146" s="180"/>
      <c r="FC146" s="180"/>
      <c r="FD146" s="180"/>
      <c r="FE146" s="180">
        <f>IFERROR(__xludf.DUMMYFUNCTION("""COMPUTED_VALUE"""),0.55)</f>
        <v>0.55</v>
      </c>
      <c r="FF146" s="180"/>
      <c r="FG146" s="180"/>
      <c r="FH146" s="180"/>
      <c r="FI146" s="180"/>
      <c r="FJ146" s="180"/>
      <c r="FK146" s="180"/>
      <c r="FL146" s="180"/>
      <c r="FM146" s="180">
        <f>IFERROR(__xludf.DUMMYFUNCTION("""COMPUTED_VALUE"""),0.056)</f>
        <v>0.056</v>
      </c>
      <c r="FN146" s="16"/>
      <c r="FO146" s="16"/>
      <c r="FP146" s="16"/>
      <c r="FQ146" s="16"/>
      <c r="FR146" s="16"/>
      <c r="FS146" s="16"/>
      <c r="FT146" s="16"/>
      <c r="FU146" s="16">
        <f>IFERROR(__xludf.DUMMYFUNCTION("""COMPUTED_VALUE"""),0.42479999999999996)</f>
        <v>0.4248</v>
      </c>
      <c r="FV146" s="16"/>
      <c r="FW146" s="16"/>
      <c r="FX146" s="16"/>
      <c r="FY146" s="16"/>
      <c r="FZ146" s="16"/>
      <c r="GA146" s="16"/>
      <c r="GB146" s="16"/>
      <c r="GC146" s="16">
        <f>IFERROR(__xludf.DUMMYFUNCTION("""COMPUTED_VALUE"""),-8.0)</f>
        <v>-8</v>
      </c>
      <c r="GD146" s="16" t="s">
        <v>176</v>
      </c>
    </row>
    <row r="147">
      <c r="A147" s="16">
        <f>IFERROR(__xludf.DUMMYFUNCTION("""COMPUTED_VALUE"""),13179.0)</f>
        <v>13179</v>
      </c>
      <c r="B147" s="16" t="str">
        <f>IFERROR(__xludf.DUMMYFUNCTION("""COMPUTED_VALUE"""),"Mauricio Dubon")</f>
        <v>Mauricio Dubon</v>
      </c>
      <c r="C147" s="16">
        <f>IFERROR(__xludf.DUMMYFUNCTION("""COMPUTED_VALUE"""),0.75)</f>
        <v>0.75</v>
      </c>
      <c r="D147" s="16" t="str">
        <f>IFERROR(__xludf.DUMMYFUNCTION("""COMPUTED_VALUE"""),"R")</f>
        <v>R</v>
      </c>
      <c r="E147" s="16"/>
      <c r="F147" s="16"/>
      <c r="G147" s="16">
        <f>IFERROR(__xludf.DUMMYFUNCTION("""COMPUTED_VALUE"""),402.0)</f>
        <v>402</v>
      </c>
      <c r="H147" s="16">
        <f>IFERROR(__xludf.DUMMYFUNCTION("""COMPUTED_VALUE"""),16.0)</f>
        <v>16</v>
      </c>
      <c r="I147" s="16" t="str">
        <f>IFERROR(__xludf.DUMMYFUNCTION("""COMPUTED_VALUE"""),"1p65")</f>
        <v>1p65</v>
      </c>
      <c r="J147" s="16">
        <f>IFERROR(__xludf.DUMMYFUNCTION("""COMPUTED_VALUE"""),13.0)</f>
        <v>13</v>
      </c>
      <c r="K147" s="16">
        <f>IFERROR(__xludf.DUMMYFUNCTION("""COMPUTED_VALUE"""),0.0)</f>
        <v>0</v>
      </c>
      <c r="L147" s="16">
        <f>IFERROR(__xludf.DUMMYFUNCTION("""COMPUTED_VALUE"""),1.0)</f>
        <v>1</v>
      </c>
      <c r="M147" s="16">
        <f>IFERROR(__xludf.DUMMYFUNCTION("""COMPUTED_VALUE"""),3.0)</f>
        <v>3</v>
      </c>
      <c r="N147" s="16">
        <f>IFERROR(__xludf.DUMMYFUNCTION("""COMPUTED_VALUE"""),1.0)</f>
        <v>1</v>
      </c>
      <c r="O147" s="16">
        <f>IFERROR(__xludf.DUMMYFUNCTION("""COMPUTED_VALUE"""),3.0)</f>
        <v>3</v>
      </c>
      <c r="P147" s="16">
        <f>IFERROR(__xludf.DUMMYFUNCTION("""COMPUTED_VALUE"""),0.0)</f>
        <v>0</v>
      </c>
      <c r="Q147" s="16">
        <f>IFERROR(__xludf.DUMMYFUNCTION("""COMPUTED_VALUE"""),0.0)</f>
        <v>0</v>
      </c>
      <c r="R147" s="16">
        <f>IFERROR(__xludf.DUMMYFUNCTION("""COMPUTED_VALUE"""),-3.0)</f>
        <v>-3</v>
      </c>
      <c r="S147" s="16">
        <f>IFERROR(__xludf.DUMMYFUNCTION("""COMPUTED_VALUE"""),-2.0)</f>
        <v>-2</v>
      </c>
      <c r="T147" s="16">
        <f>IFERROR(__xludf.DUMMYFUNCTION("""COMPUTED_VALUE"""),-3.0)</f>
        <v>-3</v>
      </c>
      <c r="U147" s="16">
        <f>IFERROR(__xludf.DUMMYFUNCTION("""COMPUTED_VALUE"""),-2.0)</f>
        <v>-2</v>
      </c>
      <c r="V147" s="16">
        <f>IFERROR(__xludf.DUMMYFUNCTION("""COMPUTED_VALUE"""),22.1)</f>
        <v>22.1</v>
      </c>
      <c r="W147" s="16">
        <f>IFERROR(__xludf.DUMMYFUNCTION("""COMPUTED_VALUE"""),29.4)</f>
        <v>29.4</v>
      </c>
      <c r="X147" s="16">
        <f>IFERROR(__xludf.DUMMYFUNCTION("""COMPUTED_VALUE"""),0.0)</f>
        <v>0</v>
      </c>
      <c r="Y147" s="16">
        <f>IFERROR(__xludf.DUMMYFUNCTION("""COMPUTED_VALUE"""),2.0)</f>
        <v>2</v>
      </c>
      <c r="Z147" s="16">
        <f>IFERROR(__xludf.DUMMYFUNCTION("""COMPUTED_VALUE"""),0.0)</f>
        <v>0</v>
      </c>
      <c r="AA147" s="16">
        <f>IFERROR(__xludf.DUMMYFUNCTION("""COMPUTED_VALUE"""),4.0)</f>
        <v>4</v>
      </c>
      <c r="AB147" s="16">
        <f>IFERROR(__xludf.DUMMYFUNCTION("""COMPUTED_VALUE"""),23.1)</f>
        <v>23.1</v>
      </c>
      <c r="AC147" s="16">
        <f>IFERROR(__xludf.DUMMYFUNCTION("""COMPUTED_VALUE"""),30.4)</f>
        <v>30.4</v>
      </c>
      <c r="AD147" s="16">
        <f>IFERROR(__xludf.DUMMYFUNCTION("""COMPUTED_VALUE"""),-1.0)</f>
        <v>-1</v>
      </c>
      <c r="AE147" s="16">
        <f>IFERROR(__xludf.DUMMYFUNCTION("""COMPUTED_VALUE"""),0.0)</f>
        <v>0</v>
      </c>
      <c r="AF147" s="16">
        <f>IFERROR(__xludf.DUMMYFUNCTION("""COMPUTED_VALUE"""),-5.0)</f>
        <v>-5</v>
      </c>
      <c r="AG147" s="16">
        <f>IFERROR(__xludf.DUMMYFUNCTION("""COMPUTED_VALUE"""),0.0)</f>
        <v>0</v>
      </c>
      <c r="AH147" s="16">
        <f>IFERROR(__xludf.DUMMYFUNCTION("""COMPUTED_VALUE"""),40.0)</f>
        <v>40</v>
      </c>
      <c r="AI147" s="16">
        <f>IFERROR(__xludf.DUMMYFUNCTION("""COMPUTED_VALUE"""),41.9)</f>
        <v>41.9</v>
      </c>
      <c r="AJ147" s="16">
        <f>IFERROR(__xludf.DUMMYFUNCTION("""COMPUTED_VALUE"""),1.0)</f>
        <v>1</v>
      </c>
      <c r="AK147" s="16">
        <f>IFERROR(__xludf.DUMMYFUNCTION("""COMPUTED_VALUE"""),1.0)</f>
        <v>1</v>
      </c>
      <c r="AL147" s="16">
        <f>IFERROR(__xludf.DUMMYFUNCTION("""COMPUTED_VALUE"""),5.0)</f>
        <v>5</v>
      </c>
      <c r="AM147" s="16">
        <f>IFERROR(__xludf.DUMMYFUNCTION("""COMPUTED_VALUE"""),5.0)</f>
        <v>5</v>
      </c>
      <c r="AN147" s="16">
        <f>IFERROR(__xludf.DUMMYFUNCTION("""COMPUTED_VALUE"""),3.8)</f>
        <v>3.8</v>
      </c>
      <c r="AO147" s="16">
        <f>IFERROR(__xludf.DUMMYFUNCTION("""COMPUTED_VALUE"""),1.5)</f>
        <v>1.5</v>
      </c>
      <c r="AP147" s="16">
        <f>IFERROR(__xludf.DUMMYFUNCTION("""COMPUTED_VALUE"""),2.0)</f>
        <v>2</v>
      </c>
      <c r="AQ147" s="16">
        <f>IFERROR(__xludf.DUMMYFUNCTION("""COMPUTED_VALUE"""),-1.0)</f>
        <v>-1</v>
      </c>
      <c r="AR147" s="16">
        <f>IFERROR(__xludf.DUMMYFUNCTION("""COMPUTED_VALUE"""),4.0)</f>
        <v>4</v>
      </c>
      <c r="AS147" s="16">
        <f>IFERROR(__xludf.DUMMYFUNCTION("""COMPUTED_VALUE"""),-2.0)</f>
        <v>-2</v>
      </c>
      <c r="AT147" s="16"/>
      <c r="AU147" s="16"/>
      <c r="AV147" s="16">
        <f>IFERROR(__xludf.DUMMYFUNCTION("""COMPUTED_VALUE"""),-3.0)</f>
        <v>-3</v>
      </c>
      <c r="AW147" s="16">
        <f>IFERROR(__xludf.DUMMYFUNCTION("""COMPUTED_VALUE"""),-3.0)</f>
        <v>-3</v>
      </c>
      <c r="AX147" s="16">
        <f>IFERROR(__xludf.DUMMYFUNCTION("""COMPUTED_VALUE"""),-3.0)</f>
        <v>-3</v>
      </c>
      <c r="AY147" s="16">
        <f>IFERROR(__xludf.DUMMYFUNCTION("""COMPUTED_VALUE"""),-3.0)</f>
        <v>-3</v>
      </c>
      <c r="AZ147" s="16">
        <f>IFERROR(__xludf.DUMMYFUNCTION("""COMPUTED_VALUE"""),-9.0)</f>
        <v>-9</v>
      </c>
      <c r="BA147" s="16">
        <f>IFERROR(__xludf.DUMMYFUNCTION("""COMPUTED_VALUE"""),-9.0)</f>
        <v>-9</v>
      </c>
      <c r="BB147" s="16">
        <f>IFERROR(__xludf.DUMMYFUNCTION("""COMPUTED_VALUE"""),5.0)</f>
        <v>5</v>
      </c>
      <c r="BC147" s="16">
        <f>IFERROR(__xludf.DUMMYFUNCTION("""COMPUTED_VALUE"""),5.0)</f>
        <v>5</v>
      </c>
      <c r="BD147" s="16">
        <f>IFERROR(__xludf.DUMMYFUNCTION("""COMPUTED_VALUE"""),1.0)</f>
        <v>1</v>
      </c>
      <c r="BE147" s="16">
        <f>IFERROR(__xludf.DUMMYFUNCTION("""COMPUTED_VALUE"""),1.0)</f>
        <v>1</v>
      </c>
      <c r="BF147" s="16">
        <f>IFERROR(__xludf.DUMMYFUNCTION("""COMPUTED_VALUE"""),1.0)</f>
        <v>1</v>
      </c>
      <c r="BG147" s="16">
        <f>IFERROR(__xludf.DUMMYFUNCTION("""COMPUTED_VALUE"""),1.0)</f>
        <v>1</v>
      </c>
      <c r="BH147" s="16">
        <f>IFERROR(__xludf.DUMMYFUNCTION("""COMPUTED_VALUE"""),5.0)</f>
        <v>5</v>
      </c>
      <c r="BI147" s="16">
        <f>IFERROR(__xludf.DUMMYFUNCTION("""COMPUTED_VALUE"""),5.0)</f>
        <v>5</v>
      </c>
      <c r="BJ147" s="16">
        <f>IFERROR(__xludf.DUMMYFUNCTION("""COMPUTED_VALUE"""),11.0)</f>
        <v>11</v>
      </c>
      <c r="BK147" s="16">
        <f>IFERROR(__xludf.DUMMYFUNCTION("""COMPUTED_VALUE"""),11.0)</f>
        <v>11</v>
      </c>
      <c r="BL147" s="16">
        <f>IFERROR(__xludf.DUMMYFUNCTION("""COMPUTED_VALUE"""),0.0)</f>
        <v>0</v>
      </c>
      <c r="BM147" s="16">
        <f>IFERROR(__xludf.DUMMYFUNCTION("""COMPUTED_VALUE"""),0.0)</f>
        <v>0</v>
      </c>
      <c r="BN147" s="16">
        <f>IFERROR(__xludf.DUMMYFUNCTION("""COMPUTED_VALUE"""),0.0)</f>
        <v>0</v>
      </c>
      <c r="BO147" s="16">
        <f>IFERROR(__xludf.DUMMYFUNCTION("""COMPUTED_VALUE"""),0.0)</f>
        <v>0</v>
      </c>
      <c r="BP147" s="16">
        <f>IFERROR(__xludf.DUMMYFUNCTION("""COMPUTED_VALUE"""),-2.0)</f>
        <v>-2</v>
      </c>
      <c r="BQ147" s="16">
        <f>IFERROR(__xludf.DUMMYFUNCTION("""COMPUTED_VALUE"""),1.0)</f>
        <v>1</v>
      </c>
      <c r="BR147" s="16">
        <f>IFERROR(__xludf.DUMMYFUNCTION("""COMPUTED_VALUE"""),-1.0)</f>
        <v>-1</v>
      </c>
      <c r="BS147" s="16" t="str">
        <f>IFERROR(__xludf.DUMMYFUNCTION("""COMPUTED_VALUE"""),"7/- (13-6)")</f>
        <v>7/- (13-6)</v>
      </c>
      <c r="BT147" s="16" t="str">
        <f>IFERROR(__xludf.DUMMYFUNCTION("""COMPUTED_VALUE"""),"D")</f>
        <v>D</v>
      </c>
      <c r="BU147" s="16">
        <f>IFERROR(__xludf.DUMMYFUNCTION("""COMPUTED_VALUE"""),13.0)</f>
        <v>13</v>
      </c>
      <c r="BV147" s="16">
        <f>IFERROR(__xludf.DUMMYFUNCTION("""COMPUTED_VALUE"""),0.0)</f>
        <v>0</v>
      </c>
      <c r="BW147" s="16">
        <f>IFERROR(__xludf.DUMMYFUNCTION("""COMPUTED_VALUE"""),1.0)</f>
        <v>1</v>
      </c>
      <c r="BX147" s="16">
        <f>IFERROR(__xludf.DUMMYFUNCTION("""COMPUTED_VALUE"""),0.0)</f>
        <v>0</v>
      </c>
      <c r="BY147" s="16">
        <f>IFERROR(__xludf.DUMMYFUNCTION("""COMPUTED_VALUE"""),3.0)</f>
        <v>3</v>
      </c>
      <c r="BZ147" s="16" t="str">
        <f>IFERROR(__xludf.DUMMYFUNCTION("""COMPUTED_VALUE"""),"C")</f>
        <v>C</v>
      </c>
      <c r="CA147" s="16" t="str">
        <f>IFERROR(__xludf.DUMMYFUNCTION("""COMPUTED_VALUE"""),"B")</f>
        <v>B</v>
      </c>
      <c r="CB147" s="16">
        <f>IFERROR(__xludf.DUMMYFUNCTION("""COMPUTED_VALUE"""),0.0)</f>
        <v>0</v>
      </c>
      <c r="CC147" s="16">
        <f>IFERROR(__xludf.DUMMYFUNCTION("""COMPUTED_VALUE"""),1.0)</f>
        <v>1</v>
      </c>
      <c r="CD147" s="16">
        <f>IFERROR(__xludf.DUMMYFUNCTION("""COMPUTED_VALUE"""),0.0)</f>
        <v>0</v>
      </c>
      <c r="CE147" s="16">
        <f>IFERROR(__xludf.DUMMYFUNCTION("""COMPUTED_VALUE"""),2.0)</f>
        <v>2</v>
      </c>
      <c r="CF147" s="16">
        <f>IFERROR(__xludf.DUMMYFUNCTION("""COMPUTED_VALUE"""),1.0)</f>
        <v>1</v>
      </c>
      <c r="CG147" s="16">
        <f>IFERROR(__xludf.DUMMYFUNCTION("""COMPUTED_VALUE"""),-6.0)</f>
        <v>-6</v>
      </c>
      <c r="CH147" s="16">
        <f>IFERROR(__xludf.DUMMYFUNCTION("""COMPUTED_VALUE"""),0.0)</f>
        <v>0</v>
      </c>
      <c r="CI147" s="179">
        <f>IFERROR(__xludf.DUMMYFUNCTION("""COMPUTED_VALUE"""),6.0)</f>
        <v>6</v>
      </c>
      <c r="CJ147" s="16"/>
      <c r="CK147" s="16">
        <f>IFERROR(__xludf.DUMMYFUNCTION("""COMPUTED_VALUE"""),413.0)</f>
        <v>413</v>
      </c>
      <c r="CL147" s="16">
        <f>IFERROR(__xludf.DUMMYFUNCTION("""COMPUTED_VALUE"""),212.0)</f>
        <v>212</v>
      </c>
      <c r="CM147" s="16">
        <f>IFERROR(__xludf.DUMMYFUNCTION("""COMPUTED_VALUE"""),319.0)</f>
        <v>319</v>
      </c>
      <c r="CN147" s="16">
        <f>IFERROR(__xludf.DUMMYFUNCTION("""COMPUTED_VALUE"""),444.0)</f>
        <v>444</v>
      </c>
      <c r="CO147" s="16">
        <f>IFERROR(__xludf.DUMMYFUNCTION("""COMPUTED_VALUE"""),213.0)</f>
        <v>213</v>
      </c>
      <c r="CP147" s="16">
        <f>IFERROR(__xludf.DUMMYFUNCTION("""COMPUTED_VALUE"""),213.0)</f>
        <v>213</v>
      </c>
      <c r="CQ147" s="16">
        <f>IFERROR(__xludf.DUMMYFUNCTION("""COMPUTED_VALUE"""),313.0)</f>
        <v>313</v>
      </c>
      <c r="CR147" s="16" t="str">
        <f>IFERROR(__xludf.DUMMYFUNCTION("""COMPUTED_VALUE"""),"lf-2(-1)e13 cf-2e13 2b-2e12 1b-4e13 rf-3e13 3b-3e19 ss-4e44")</f>
        <v>lf-2(-1)e13 cf-2e13 2b-2e12 1b-4e13 rf-3e13 3b-3e19 ss-4e44</v>
      </c>
      <c r="CS147" s="16"/>
      <c r="CT147" s="16">
        <f>IFERROR(__xludf.DUMMYFUNCTION("""COMPUTED_VALUE"""),4.0)</f>
        <v>4</v>
      </c>
      <c r="CU147" s="16">
        <f>IFERROR(__xludf.DUMMYFUNCTION("""COMPUTED_VALUE"""),2.0)</f>
        <v>2</v>
      </c>
      <c r="CV147" s="16">
        <f>IFERROR(__xludf.DUMMYFUNCTION("""COMPUTED_VALUE"""),3.0)</f>
        <v>3</v>
      </c>
      <c r="CW147" s="16">
        <f>IFERROR(__xludf.DUMMYFUNCTION("""COMPUTED_VALUE"""),4.0)</f>
        <v>4</v>
      </c>
      <c r="CX147" s="16">
        <f>IFERROR(__xludf.DUMMYFUNCTION("""COMPUTED_VALUE"""),2.0)</f>
        <v>2</v>
      </c>
      <c r="CY147" s="16">
        <f>IFERROR(__xludf.DUMMYFUNCTION("""COMPUTED_VALUE"""),2.0)</f>
        <v>2</v>
      </c>
      <c r="CZ147" s="16">
        <f>IFERROR(__xludf.DUMMYFUNCTION("""COMPUTED_VALUE"""),3.0)</f>
        <v>3</v>
      </c>
      <c r="DA147" s="16"/>
      <c r="DB147" s="16">
        <f>IFERROR(__xludf.DUMMYFUNCTION("""COMPUTED_VALUE"""),13.0)</f>
        <v>13</v>
      </c>
      <c r="DC147" s="16">
        <f>IFERROR(__xludf.DUMMYFUNCTION("""COMPUTED_VALUE"""),12.0)</f>
        <v>12</v>
      </c>
      <c r="DD147" s="16">
        <f>IFERROR(__xludf.DUMMYFUNCTION("""COMPUTED_VALUE"""),19.0)</f>
        <v>19</v>
      </c>
      <c r="DE147" s="16">
        <f>IFERROR(__xludf.DUMMYFUNCTION("""COMPUTED_VALUE"""),44.0)</f>
        <v>44</v>
      </c>
      <c r="DF147" s="16">
        <f>IFERROR(__xludf.DUMMYFUNCTION("""COMPUTED_VALUE"""),13.0)</f>
        <v>13</v>
      </c>
      <c r="DG147" s="16">
        <f>IFERROR(__xludf.DUMMYFUNCTION("""COMPUTED_VALUE"""),13.0)</f>
        <v>13</v>
      </c>
      <c r="DH147" s="16">
        <f>IFERROR(__xludf.DUMMYFUNCTION("""COMPUTED_VALUE"""),13.0)</f>
        <v>13</v>
      </c>
      <c r="DI147" s="16"/>
      <c r="DJ147" s="16">
        <f>IFERROR(__xludf.DUMMYFUNCTION("""COMPUTED_VALUE"""),0.0)</f>
        <v>0</v>
      </c>
      <c r="DK147" s="16">
        <f>IFERROR(__xludf.DUMMYFUNCTION("""COMPUTED_VALUE"""),2.0)</f>
        <v>2</v>
      </c>
      <c r="DL147" s="16">
        <f>IFERROR(__xludf.DUMMYFUNCTION("""COMPUTED_VALUE"""),1.0)</f>
        <v>1</v>
      </c>
      <c r="DM147" s="16">
        <f>IFERROR(__xludf.DUMMYFUNCTION("""COMPUTED_VALUE"""),-2.0)</f>
        <v>-2</v>
      </c>
      <c r="DN147" s="16">
        <f>IFERROR(__xludf.DUMMYFUNCTION("""COMPUTED_VALUE"""),3.0)</f>
        <v>3</v>
      </c>
      <c r="DO147" s="16">
        <f>IFERROR(__xludf.DUMMYFUNCTION("""COMPUTED_VALUE"""),2.0)</f>
        <v>2</v>
      </c>
      <c r="DP147" s="16">
        <f>IFERROR(__xludf.DUMMYFUNCTION("""COMPUTED_VALUE"""),0.0)</f>
        <v>0</v>
      </c>
      <c r="DQ147" s="16"/>
      <c r="DR147" s="16">
        <f>IFERROR(__xludf.DUMMYFUNCTION("""COMPUTED_VALUE"""),1.0)</f>
        <v>1</v>
      </c>
      <c r="DS147" s="16">
        <f>IFERROR(__xludf.DUMMYFUNCTION("""COMPUTED_VALUE"""),2.0)</f>
        <v>2</v>
      </c>
      <c r="DT147" s="16">
        <f>IFERROR(__xludf.DUMMYFUNCTION("""COMPUTED_VALUE"""),0.0)</f>
        <v>0</v>
      </c>
      <c r="DU147" s="16">
        <f>IFERROR(__xludf.DUMMYFUNCTION("""COMPUTED_VALUE"""),-2.0)</f>
        <v>-2</v>
      </c>
      <c r="DV147" s="16">
        <f>IFERROR(__xludf.DUMMYFUNCTION("""COMPUTED_VALUE"""),-2.0)</f>
        <v>-2</v>
      </c>
      <c r="DW147" s="16">
        <f>IFERROR(__xludf.DUMMYFUNCTION("""COMPUTED_VALUE"""),0.0)</f>
        <v>0</v>
      </c>
      <c r="DX147" s="16">
        <f>IFERROR(__xludf.DUMMYFUNCTION("""COMPUTED_VALUE"""),-2.0)</f>
        <v>-2</v>
      </c>
      <c r="DY147" s="16"/>
      <c r="DZ147" s="16">
        <f>IFERROR(__xludf.DUMMYFUNCTION("""COMPUTED_VALUE"""),1.0)</f>
        <v>1</v>
      </c>
      <c r="EA147" s="16">
        <f>IFERROR(__xludf.DUMMYFUNCTION("""COMPUTED_VALUE"""),4.0)</f>
        <v>4</v>
      </c>
      <c r="EB147" s="16">
        <f>IFERROR(__xludf.DUMMYFUNCTION("""COMPUTED_VALUE"""),1.0)</f>
        <v>1</v>
      </c>
      <c r="EC147" s="16">
        <f>IFERROR(__xludf.DUMMYFUNCTION("""COMPUTED_VALUE"""),-4.0)</f>
        <v>-4</v>
      </c>
      <c r="ED147" s="16">
        <f>IFERROR(__xludf.DUMMYFUNCTION("""COMPUTED_VALUE"""),1.0)</f>
        <v>1</v>
      </c>
      <c r="EE147" s="16">
        <f>IFERROR(__xludf.DUMMYFUNCTION("""COMPUTED_VALUE"""),2.0)</f>
        <v>2</v>
      </c>
      <c r="EF147" s="16">
        <f>IFERROR(__xludf.DUMMYFUNCTION("""COMPUTED_VALUE"""),-2.0)</f>
        <v>-2</v>
      </c>
      <c r="EG147" s="179"/>
      <c r="EH147" s="179">
        <f>IFERROR(__xludf.DUMMYFUNCTION("""COMPUTED_VALUE"""),7.0)</f>
        <v>7</v>
      </c>
      <c r="EI147" s="179">
        <f>IFERROR(__xludf.DUMMYFUNCTION("""COMPUTED_VALUE"""),10.0)</f>
        <v>10</v>
      </c>
      <c r="EJ147" s="179">
        <f>IFERROR(__xludf.DUMMYFUNCTION("""COMPUTED_VALUE"""),7.0)</f>
        <v>7</v>
      </c>
      <c r="EK147" s="179">
        <f>IFERROR(__xludf.DUMMYFUNCTION("""COMPUTED_VALUE"""),2.0)</f>
        <v>2</v>
      </c>
      <c r="EL147" s="179">
        <f>IFERROR(__xludf.DUMMYFUNCTION("""COMPUTED_VALUE"""),7.0)</f>
        <v>7</v>
      </c>
      <c r="EM147" s="179">
        <f>IFERROR(__xludf.DUMMYFUNCTION("""COMPUTED_VALUE"""),8.0)</f>
        <v>8</v>
      </c>
      <c r="EN147" s="179">
        <f>IFERROR(__xludf.DUMMYFUNCTION("""COMPUTED_VALUE"""),4.0)</f>
        <v>4</v>
      </c>
      <c r="EO147" s="16"/>
      <c r="EP147" s="16"/>
      <c r="EQ147" s="16">
        <f>IFERROR(__xludf.DUMMYFUNCTION("""COMPUTED_VALUE"""),4.0)</f>
        <v>4</v>
      </c>
      <c r="ER147" s="16">
        <f>IFERROR(__xludf.DUMMYFUNCTION("""COMPUTED_VALUE"""),2.0)</f>
        <v>2</v>
      </c>
      <c r="ES147" s="16"/>
      <c r="ET147" s="16"/>
      <c r="EU147" s="16"/>
      <c r="EV147" s="16"/>
      <c r="EW147" s="16"/>
      <c r="EX147" s="180"/>
      <c r="EY147" s="180">
        <f>IFERROR(__xludf.DUMMYFUNCTION("""COMPUTED_VALUE"""),0.3)</f>
        <v>0.3</v>
      </c>
      <c r="EZ147" s="180">
        <f>IFERROR(__xludf.DUMMYFUNCTION("""COMPUTED_VALUE"""),0.1)</f>
        <v>0.1</v>
      </c>
      <c r="FA147" s="180">
        <f>IFERROR(__xludf.DUMMYFUNCTION("""COMPUTED_VALUE"""),0.2)</f>
        <v>0.2</v>
      </c>
      <c r="FB147" s="180">
        <f>IFERROR(__xludf.DUMMYFUNCTION("""COMPUTED_VALUE"""),0.3)</f>
        <v>0.3</v>
      </c>
      <c r="FC147" s="180">
        <f>IFERROR(__xludf.DUMMYFUNCTION("""COMPUTED_VALUE"""),0.15)</f>
        <v>0.15</v>
      </c>
      <c r="FD147" s="180">
        <f>IFERROR(__xludf.DUMMYFUNCTION("""COMPUTED_VALUE"""),0.15)</f>
        <v>0.15</v>
      </c>
      <c r="FE147" s="180">
        <f>IFERROR(__xludf.DUMMYFUNCTION("""COMPUTED_VALUE"""),0.3)</f>
        <v>0.3</v>
      </c>
      <c r="FF147" s="180"/>
      <c r="FG147" s="180">
        <f>IFERROR(__xludf.DUMMYFUNCTION("""COMPUTED_VALUE"""),0.2361111111111111)</f>
        <v>0.2361111111</v>
      </c>
      <c r="FH147" s="180">
        <f>IFERROR(__xludf.DUMMYFUNCTION("""COMPUTED_VALUE"""),0.06944444444444445)</f>
        <v>0.06944444444</v>
      </c>
      <c r="FI147" s="180">
        <f>IFERROR(__xludf.DUMMYFUNCTION("""COMPUTED_VALUE"""),0.22685185185185186)</f>
        <v>0.2268518519</v>
      </c>
      <c r="FJ147" s="180">
        <f>IFERROR(__xludf.DUMMYFUNCTION("""COMPUTED_VALUE"""),0.22685185185185186)</f>
        <v>0.2268518519</v>
      </c>
      <c r="FK147" s="180">
        <f>IFERROR(__xludf.DUMMYFUNCTION("""COMPUTED_VALUE"""),0.236)</f>
        <v>0.236</v>
      </c>
      <c r="FL147" s="180">
        <f>IFERROR(__xludf.DUMMYFUNCTION("""COMPUTED_VALUE"""),0.1574074074074074)</f>
        <v>0.1574074074</v>
      </c>
      <c r="FM147" s="180">
        <f>IFERROR(__xludf.DUMMYFUNCTION("""COMPUTED_VALUE"""),0.236)</f>
        <v>0.236</v>
      </c>
      <c r="FN147" s="16"/>
      <c r="FO147" s="16">
        <f>IFERROR(__xludf.DUMMYFUNCTION("""COMPUTED_VALUE"""),0.5347222222222221)</f>
        <v>0.5347222222</v>
      </c>
      <c r="FP147" s="16">
        <f>IFERROR(__xludf.DUMMYFUNCTION("""COMPUTED_VALUE"""),0.8375)</f>
        <v>0.8375</v>
      </c>
      <c r="FQ147" s="16">
        <f>IFERROR(__xludf.DUMMYFUNCTION("""COMPUTED_VALUE"""),0.6185185185185186)</f>
        <v>0.6185185185</v>
      </c>
      <c r="FR147" s="16">
        <f>IFERROR(__xludf.DUMMYFUNCTION("""COMPUTED_VALUE"""),0.5412037037037036)</f>
        <v>0.5412037037</v>
      </c>
      <c r="FS147" s="16">
        <f>IFERROR(__xludf.DUMMYFUNCTION("""COMPUTED_VALUE"""),0.6494)</f>
        <v>0.6494</v>
      </c>
      <c r="FT147" s="16">
        <f>IFERROR(__xludf.DUMMYFUNCTION("""COMPUTED_VALUE"""),0.7162037037037037)</f>
        <v>0.7162037037</v>
      </c>
      <c r="FU147" s="16">
        <f>IFERROR(__xludf.DUMMYFUNCTION("""COMPUTED_VALUE"""),0.5347999999999999)</f>
        <v>0.5348</v>
      </c>
      <c r="FV147" s="16"/>
      <c r="FW147" s="16">
        <f>IFERROR(__xludf.DUMMYFUNCTION("""COMPUTED_VALUE"""),-8.0)</f>
        <v>-8</v>
      </c>
      <c r="FX147" s="16">
        <f>IFERROR(__xludf.DUMMYFUNCTION("""COMPUTED_VALUE"""),1.0)</f>
        <v>1</v>
      </c>
      <c r="FY147" s="16">
        <f>IFERROR(__xludf.DUMMYFUNCTION("""COMPUTED_VALUE"""),-6.0)</f>
        <v>-6</v>
      </c>
      <c r="FZ147" s="16">
        <f>IFERROR(__xludf.DUMMYFUNCTION("""COMPUTED_VALUE"""),-8.0)</f>
        <v>-8</v>
      </c>
      <c r="GA147" s="16">
        <f>IFERROR(__xludf.DUMMYFUNCTION("""COMPUTED_VALUE"""),-6.0)</f>
        <v>-6</v>
      </c>
      <c r="GB147" s="16">
        <f>IFERROR(__xludf.DUMMYFUNCTION("""COMPUTED_VALUE"""),-4.0)</f>
        <v>-4</v>
      </c>
      <c r="GC147" s="16">
        <f>IFERROR(__xludf.DUMMYFUNCTION("""COMPUTED_VALUE"""),-8.0)</f>
        <v>-8</v>
      </c>
      <c r="GD147" s="16" t="s">
        <v>260</v>
      </c>
    </row>
    <row r="148">
      <c r="A148" s="16">
        <f>IFERROR(__xludf.DUMMYFUNCTION("""COMPUTED_VALUE"""),12987.0)</f>
        <v>12987</v>
      </c>
      <c r="B148" s="16" t="str">
        <f>IFERROR(__xludf.DUMMYFUNCTION("""COMPUTED_VALUE"""),"Jon Singleton")</f>
        <v>Jon Singleton</v>
      </c>
      <c r="C148" s="16">
        <f>IFERROR(__xludf.DUMMYFUNCTION("""COMPUTED_VALUE"""),0.21)</f>
        <v>0.21</v>
      </c>
      <c r="D148" s="16" t="str">
        <f>IFERROR(__xludf.DUMMYFUNCTION("""COMPUTED_VALUE"""),"L")</f>
        <v>L</v>
      </c>
      <c r="E148" s="16"/>
      <c r="F148" s="16"/>
      <c r="G148" s="16">
        <f>IFERROR(__xludf.DUMMYFUNCTION("""COMPUTED_VALUE"""),355.0)</f>
        <v>355</v>
      </c>
      <c r="H148" s="16">
        <f>IFERROR(__xludf.DUMMYFUNCTION("""COMPUTED_VALUE"""),47.0)</f>
        <v>47</v>
      </c>
      <c r="I148" s="16" t="str">
        <f>IFERROR(__xludf.DUMMYFUNCTION("""COMPUTED_VALUE"""),"1p60")</f>
        <v>1p60</v>
      </c>
      <c r="J148" s="16">
        <f>IFERROR(__xludf.DUMMYFUNCTION("""COMPUTED_VALUE"""),53.0)</f>
        <v>53</v>
      </c>
      <c r="K148" s="16">
        <f>IFERROR(__xludf.DUMMYFUNCTION("""COMPUTED_VALUE"""),30.0)</f>
        <v>30</v>
      </c>
      <c r="L148" s="16">
        <f>IFERROR(__xludf.DUMMYFUNCTION("""COMPUTED_VALUE"""),-2.0)</f>
        <v>-2</v>
      </c>
      <c r="M148" s="16">
        <f>IFERROR(__xludf.DUMMYFUNCTION("""COMPUTED_VALUE"""),-1.0)</f>
        <v>-1</v>
      </c>
      <c r="N148" s="16">
        <f>IFERROR(__xludf.DUMMYFUNCTION("""COMPUTED_VALUE"""),-2.0)</f>
        <v>-2</v>
      </c>
      <c r="O148" s="16">
        <f>IFERROR(__xludf.DUMMYFUNCTION("""COMPUTED_VALUE"""),-1.0)</f>
        <v>-1</v>
      </c>
      <c r="P148" s="16">
        <f>IFERROR(__xludf.DUMMYFUNCTION("""COMPUTED_VALUE"""),7.0)</f>
        <v>7</v>
      </c>
      <c r="Q148" s="16">
        <f>IFERROR(__xludf.DUMMYFUNCTION("""COMPUTED_VALUE"""),18.0)</f>
        <v>18</v>
      </c>
      <c r="R148" s="16">
        <f>IFERROR(__xludf.DUMMYFUNCTION("""COMPUTED_VALUE"""),-1.0)</f>
        <v>-1</v>
      </c>
      <c r="S148" s="16">
        <f>IFERROR(__xludf.DUMMYFUNCTION("""COMPUTED_VALUE"""),3.0)</f>
        <v>3</v>
      </c>
      <c r="T148" s="16">
        <f>IFERROR(__xludf.DUMMYFUNCTION("""COMPUTED_VALUE"""),-1.0)</f>
        <v>-1</v>
      </c>
      <c r="U148" s="16">
        <f>IFERROR(__xludf.DUMMYFUNCTION("""COMPUTED_VALUE"""),3.0)</f>
        <v>3</v>
      </c>
      <c r="V148" s="16">
        <f>IFERROR(__xludf.DUMMYFUNCTION("""COMPUTED_VALUE"""),3.4)</f>
        <v>3.4</v>
      </c>
      <c r="W148" s="16">
        <f>IFERROR(__xludf.DUMMYFUNCTION("""COMPUTED_VALUE"""),21.5)</f>
        <v>21.5</v>
      </c>
      <c r="X148" s="16">
        <f>IFERROR(__xludf.DUMMYFUNCTION("""COMPUTED_VALUE"""),-2.0)</f>
        <v>-2</v>
      </c>
      <c r="Y148" s="16">
        <f>IFERROR(__xludf.DUMMYFUNCTION("""COMPUTED_VALUE"""),0.0)</f>
        <v>0</v>
      </c>
      <c r="Z148" s="16">
        <f>IFERROR(__xludf.DUMMYFUNCTION("""COMPUTED_VALUE"""),-4.0)</f>
        <v>-4</v>
      </c>
      <c r="AA148" s="16">
        <f>IFERROR(__xludf.DUMMYFUNCTION("""COMPUTED_VALUE"""),0.0)</f>
        <v>0</v>
      </c>
      <c r="AB148" s="16">
        <f>IFERROR(__xludf.DUMMYFUNCTION("""COMPUTED_VALUE"""),10.4)</f>
        <v>10.4</v>
      </c>
      <c r="AC148" s="16">
        <f>IFERROR(__xludf.DUMMYFUNCTION("""COMPUTED_VALUE"""),39.5)</f>
        <v>39.5</v>
      </c>
      <c r="AD148" s="16">
        <f>IFERROR(__xludf.DUMMYFUNCTION("""COMPUTED_VALUE"""),-2.0)</f>
        <v>-2</v>
      </c>
      <c r="AE148" s="16">
        <f>IFERROR(__xludf.DUMMYFUNCTION("""COMPUTED_VALUE"""),1.0)</f>
        <v>1</v>
      </c>
      <c r="AF148" s="16">
        <f>IFERROR(__xludf.DUMMYFUNCTION("""COMPUTED_VALUE"""),-10.0)</f>
        <v>-10</v>
      </c>
      <c r="AG148" s="16">
        <f>IFERROR(__xludf.DUMMYFUNCTION("""COMPUTED_VALUE"""),5.0)</f>
        <v>5</v>
      </c>
      <c r="AH148" s="16">
        <f>IFERROR(__xludf.DUMMYFUNCTION("""COMPUTED_VALUE"""),8.8)</f>
        <v>8.8</v>
      </c>
      <c r="AI148" s="16">
        <f>IFERROR(__xludf.DUMMYFUNCTION("""COMPUTED_VALUE"""),31.1)</f>
        <v>31.1</v>
      </c>
      <c r="AJ148" s="16">
        <f>IFERROR(__xludf.DUMMYFUNCTION("""COMPUTED_VALUE"""),-2.0)</f>
        <v>-2</v>
      </c>
      <c r="AK148" s="16">
        <f>IFERROR(__xludf.DUMMYFUNCTION("""COMPUTED_VALUE"""),0.0)</f>
        <v>0</v>
      </c>
      <c r="AL148" s="16">
        <f>IFERROR(__xludf.DUMMYFUNCTION("""COMPUTED_VALUE"""),-10.0)</f>
        <v>-10</v>
      </c>
      <c r="AM148" s="16">
        <f>IFERROR(__xludf.DUMMYFUNCTION("""COMPUTED_VALUE"""),0.0)</f>
        <v>0</v>
      </c>
      <c r="AN148" s="16">
        <f>IFERROR(__xludf.DUMMYFUNCTION("""COMPUTED_VALUE"""),1.6)</f>
        <v>1.6</v>
      </c>
      <c r="AO148" s="16">
        <f>IFERROR(__xludf.DUMMYFUNCTION("""COMPUTED_VALUE"""),2.4)</f>
        <v>2.4</v>
      </c>
      <c r="AP148" s="16">
        <f>IFERROR(__xludf.DUMMYFUNCTION("""COMPUTED_VALUE"""),-1.0)</f>
        <v>-1</v>
      </c>
      <c r="AQ148" s="16">
        <f>IFERROR(__xludf.DUMMYFUNCTION("""COMPUTED_VALUE"""),0.0)</f>
        <v>0</v>
      </c>
      <c r="AR148" s="16">
        <f>IFERROR(__xludf.DUMMYFUNCTION("""COMPUTED_VALUE"""),-2.0)</f>
        <v>-2</v>
      </c>
      <c r="AS148" s="16">
        <f>IFERROR(__xludf.DUMMYFUNCTION("""COMPUTED_VALUE"""),0.0)</f>
        <v>0</v>
      </c>
      <c r="AT148" s="16"/>
      <c r="AU148" s="16">
        <f>IFERROR(__xludf.DUMMYFUNCTION("""COMPUTED_VALUE"""),3.0)</f>
        <v>3</v>
      </c>
      <c r="AV148" s="16">
        <f>IFERROR(__xludf.DUMMYFUNCTION("""COMPUTED_VALUE"""),2.0)</f>
        <v>2</v>
      </c>
      <c r="AW148" s="16">
        <f>IFERROR(__xludf.DUMMYFUNCTION("""COMPUTED_VALUE"""),3.0)</f>
        <v>3</v>
      </c>
      <c r="AX148" s="16">
        <f>IFERROR(__xludf.DUMMYFUNCTION("""COMPUTED_VALUE"""),0.0)</f>
        <v>0</v>
      </c>
      <c r="AY148" s="16">
        <f>IFERROR(__xludf.DUMMYFUNCTION("""COMPUTED_VALUE"""),0.0)</f>
        <v>0</v>
      </c>
      <c r="AZ148" s="16">
        <f>IFERROR(__xludf.DUMMYFUNCTION("""COMPUTED_VALUE"""),0.0)</f>
        <v>0</v>
      </c>
      <c r="BA148" s="16">
        <f>IFERROR(__xludf.DUMMYFUNCTION("""COMPUTED_VALUE"""),0.0)</f>
        <v>0</v>
      </c>
      <c r="BB148" s="16">
        <f>IFERROR(__xludf.DUMMYFUNCTION("""COMPUTED_VALUE"""),0.0)</f>
        <v>0</v>
      </c>
      <c r="BC148" s="16">
        <f>IFERROR(__xludf.DUMMYFUNCTION("""COMPUTED_VALUE"""),5.0)</f>
        <v>5</v>
      </c>
      <c r="BD148" s="16">
        <f>IFERROR(__xludf.DUMMYFUNCTION("""COMPUTED_VALUE"""),0.0)</f>
        <v>0</v>
      </c>
      <c r="BE148" s="16">
        <f>IFERROR(__xludf.DUMMYFUNCTION("""COMPUTED_VALUE"""),1.0)</f>
        <v>1</v>
      </c>
      <c r="BF148" s="16">
        <f>IFERROR(__xludf.DUMMYFUNCTION("""COMPUTED_VALUE"""),0.0)</f>
        <v>0</v>
      </c>
      <c r="BG148" s="16">
        <f>IFERROR(__xludf.DUMMYFUNCTION("""COMPUTED_VALUE"""),1.0)</f>
        <v>1</v>
      </c>
      <c r="BH148" s="16">
        <f>IFERROR(__xludf.DUMMYFUNCTION("""COMPUTED_VALUE"""),0.0)</f>
        <v>0</v>
      </c>
      <c r="BI148" s="16">
        <f>IFERROR(__xludf.DUMMYFUNCTION("""COMPUTED_VALUE"""),-10.0)</f>
        <v>-10</v>
      </c>
      <c r="BJ148" s="16">
        <f>IFERROR(__xludf.DUMMYFUNCTION("""COMPUTED_VALUE"""),1.0)</f>
        <v>1</v>
      </c>
      <c r="BK148" s="16">
        <f>IFERROR(__xludf.DUMMYFUNCTION("""COMPUTED_VALUE"""),0.0)</f>
        <v>0</v>
      </c>
      <c r="BL148" s="16">
        <f>IFERROR(__xludf.DUMMYFUNCTION("""COMPUTED_VALUE"""),2.0)</f>
        <v>2</v>
      </c>
      <c r="BM148" s="16">
        <f>IFERROR(__xludf.DUMMYFUNCTION("""COMPUTED_VALUE"""),3.0)</f>
        <v>3</v>
      </c>
      <c r="BN148" s="16">
        <f>IFERROR(__xludf.DUMMYFUNCTION("""COMPUTED_VALUE"""),2.0)</f>
        <v>2</v>
      </c>
      <c r="BO148" s="16">
        <f>IFERROR(__xludf.DUMMYFUNCTION("""COMPUTED_VALUE"""),3.0)</f>
        <v>3</v>
      </c>
      <c r="BP148" s="16">
        <f>IFERROR(__xludf.DUMMYFUNCTION("""COMPUTED_VALUE"""),-8.0)</f>
        <v>-8</v>
      </c>
      <c r="BQ148" s="16">
        <f>IFERROR(__xludf.DUMMYFUNCTION("""COMPUTED_VALUE"""),7.0)</f>
        <v>7</v>
      </c>
      <c r="BR148" s="16">
        <f>IFERROR(__xludf.DUMMYFUNCTION("""COMPUTED_VALUE"""),-1.0)</f>
        <v>-1</v>
      </c>
      <c r="BS148" s="16" t="str">
        <f>IFERROR(__xludf.DUMMYFUNCTION("""COMPUTED_VALUE"""),"-/- (---)")</f>
        <v>-/- (---)</v>
      </c>
      <c r="BT148" s="16" t="str">
        <f>IFERROR(__xludf.DUMMYFUNCTION("""COMPUTED_VALUE"""),"E")</f>
        <v>E</v>
      </c>
      <c r="BU148" s="16">
        <f>IFERROR(__xludf.DUMMYFUNCTION("""COMPUTED_VALUE"""),9.0)</f>
        <v>9</v>
      </c>
      <c r="BV148" s="16">
        <f>IFERROR(__xludf.DUMMYFUNCTION("""COMPUTED_VALUE"""),0.0)</f>
        <v>0</v>
      </c>
      <c r="BW148" s="16">
        <f>IFERROR(__xludf.DUMMYFUNCTION("""COMPUTED_VALUE"""),-1.0)</f>
        <v>-1</v>
      </c>
      <c r="BX148" s="16">
        <f>IFERROR(__xludf.DUMMYFUNCTION("""COMPUTED_VALUE"""),0.0)</f>
        <v>0</v>
      </c>
      <c r="BY148" s="16">
        <f>IFERROR(__xludf.DUMMYFUNCTION("""COMPUTED_VALUE"""),-3.0)</f>
        <v>-3</v>
      </c>
      <c r="BZ148" s="16" t="str">
        <f>IFERROR(__xludf.DUMMYFUNCTION("""COMPUTED_VALUE"""),"D")</f>
        <v>D</v>
      </c>
      <c r="CA148" s="16" t="str">
        <f>IFERROR(__xludf.DUMMYFUNCTION("""COMPUTED_VALUE"""),"D")</f>
        <v>D</v>
      </c>
      <c r="CB148" s="16">
        <f>IFERROR(__xludf.DUMMYFUNCTION("""COMPUTED_VALUE"""),0.0)</f>
        <v>0</v>
      </c>
      <c r="CC148" s="16">
        <f>IFERROR(__xludf.DUMMYFUNCTION("""COMPUTED_VALUE"""),0.0)</f>
        <v>0</v>
      </c>
      <c r="CD148" s="16">
        <f>IFERROR(__xludf.DUMMYFUNCTION("""COMPUTED_VALUE"""),0.0)</f>
        <v>0</v>
      </c>
      <c r="CE148" s="16">
        <f>IFERROR(__xludf.DUMMYFUNCTION("""COMPUTED_VALUE"""),0.0)</f>
        <v>0</v>
      </c>
      <c r="CF148" s="16">
        <f>IFERROR(__xludf.DUMMYFUNCTION("""COMPUTED_VALUE"""),1.0)</f>
        <v>1</v>
      </c>
      <c r="CG148" s="16">
        <f>IFERROR(__xludf.DUMMYFUNCTION("""COMPUTED_VALUE"""),-27.0)</f>
        <v>-27</v>
      </c>
      <c r="CH148" s="16">
        <f>IFERROR(__xludf.DUMMYFUNCTION("""COMPUTED_VALUE"""),11.0)</f>
        <v>11</v>
      </c>
      <c r="CI148" s="179">
        <f>IFERROR(__xludf.DUMMYFUNCTION("""COMPUTED_VALUE"""),6.0)</f>
        <v>6</v>
      </c>
      <c r="CJ148" s="16"/>
      <c r="CK148" s="16">
        <f>IFERROR(__xludf.DUMMYFUNCTION("""COMPUTED_VALUE"""),415.0)</f>
        <v>415</v>
      </c>
      <c r="CL148" s="16"/>
      <c r="CM148" s="16"/>
      <c r="CN148" s="16"/>
      <c r="CO148" s="16"/>
      <c r="CP148" s="16"/>
      <c r="CQ148" s="16"/>
      <c r="CR148" s="16" t="str">
        <f>IFERROR(__xludf.DUMMYFUNCTION("""COMPUTED_VALUE"""),"1b-4e15")</f>
        <v>1b-4e15</v>
      </c>
      <c r="CS148" s="16"/>
      <c r="CT148" s="16">
        <f>IFERROR(__xludf.DUMMYFUNCTION("""COMPUTED_VALUE"""),4.0)</f>
        <v>4</v>
      </c>
      <c r="CU148" s="16"/>
      <c r="CV148" s="16"/>
      <c r="CW148" s="16"/>
      <c r="CX148" s="16"/>
      <c r="CY148" s="16"/>
      <c r="CZ148" s="16"/>
      <c r="DA148" s="16"/>
      <c r="DB148" s="16">
        <f>IFERROR(__xludf.DUMMYFUNCTION("""COMPUTED_VALUE"""),15.0)</f>
        <v>15</v>
      </c>
      <c r="DC148" s="16"/>
      <c r="DD148" s="16"/>
      <c r="DE148" s="16"/>
      <c r="DF148" s="16"/>
      <c r="DG148" s="16"/>
      <c r="DH148" s="16"/>
      <c r="DI148" s="16"/>
      <c r="DJ148" s="16">
        <f>IFERROR(__xludf.DUMMYFUNCTION("""COMPUTED_VALUE"""),0.0)</f>
        <v>0</v>
      </c>
      <c r="DK148" s="16"/>
      <c r="DL148" s="16"/>
      <c r="DM148" s="16"/>
      <c r="DN148" s="16"/>
      <c r="DO148" s="16"/>
      <c r="DP148" s="16"/>
      <c r="DQ148" s="16"/>
      <c r="DR148" s="16">
        <f>IFERROR(__xludf.DUMMYFUNCTION("""COMPUTED_VALUE"""),1.0)</f>
        <v>1</v>
      </c>
      <c r="DS148" s="16"/>
      <c r="DT148" s="16"/>
      <c r="DU148" s="16"/>
      <c r="DV148" s="16"/>
      <c r="DW148" s="16"/>
      <c r="DX148" s="16"/>
      <c r="DY148" s="16"/>
      <c r="DZ148" s="16">
        <f>IFERROR(__xludf.DUMMYFUNCTION("""COMPUTED_VALUE"""),1.0)</f>
        <v>1</v>
      </c>
      <c r="EA148" s="16"/>
      <c r="EB148" s="16"/>
      <c r="EC148" s="16"/>
      <c r="ED148" s="16"/>
      <c r="EE148" s="16"/>
      <c r="EF148" s="16"/>
      <c r="EG148" s="179"/>
      <c r="EH148" s="179">
        <f>IFERROR(__xludf.DUMMYFUNCTION("""COMPUTED_VALUE"""),7.0)</f>
        <v>7</v>
      </c>
      <c r="EI148" s="179"/>
      <c r="EJ148" s="179"/>
      <c r="EK148" s="179"/>
      <c r="EL148" s="179"/>
      <c r="EM148" s="179"/>
      <c r="EN148" s="179"/>
      <c r="EO148" s="16"/>
      <c r="EP148" s="16"/>
      <c r="EQ148" s="16">
        <f>IFERROR(__xludf.DUMMYFUNCTION("""COMPUTED_VALUE"""),4.0)</f>
        <v>4</v>
      </c>
      <c r="ER148" s="16">
        <f>IFERROR(__xludf.DUMMYFUNCTION("""COMPUTED_VALUE"""),1.0)</f>
        <v>1</v>
      </c>
      <c r="ES148" s="16"/>
      <c r="ET148" s="16"/>
      <c r="EU148" s="16"/>
      <c r="EV148" s="16"/>
      <c r="EW148" s="16"/>
      <c r="EX148" s="180"/>
      <c r="EY148" s="180">
        <f>IFERROR(__xludf.DUMMYFUNCTION("""COMPUTED_VALUE"""),0.3)</f>
        <v>0.3</v>
      </c>
      <c r="EZ148" s="180"/>
      <c r="FA148" s="180"/>
      <c r="FB148" s="180"/>
      <c r="FC148" s="180"/>
      <c r="FD148" s="180"/>
      <c r="FE148" s="180"/>
      <c r="FF148" s="180"/>
      <c r="FG148" s="180">
        <f>IFERROR(__xludf.DUMMYFUNCTION("""COMPUTED_VALUE"""),0.26851851851851855)</f>
        <v>0.2685185185</v>
      </c>
      <c r="FH148" s="180"/>
      <c r="FI148" s="180"/>
      <c r="FJ148" s="180"/>
      <c r="FK148" s="180"/>
      <c r="FL148" s="180"/>
      <c r="FM148" s="180"/>
      <c r="FN148" s="16"/>
      <c r="FO148" s="16">
        <f>IFERROR(__xludf.DUMMYFUNCTION("""COMPUTED_VALUE"""),0.512037037037037)</f>
        <v>0.512037037</v>
      </c>
      <c r="FP148" s="16"/>
      <c r="FQ148" s="16"/>
      <c r="FR148" s="16"/>
      <c r="FS148" s="16"/>
      <c r="FT148" s="16"/>
      <c r="FU148" s="16"/>
      <c r="FV148" s="16"/>
      <c r="FW148" s="16">
        <f>IFERROR(__xludf.DUMMYFUNCTION("""COMPUTED_VALUE"""),-8.0)</f>
        <v>-8</v>
      </c>
      <c r="FX148" s="16"/>
      <c r="FY148" s="16"/>
      <c r="FZ148" s="16"/>
      <c r="GA148" s="16"/>
      <c r="GB148" s="16"/>
      <c r="GC148" s="16"/>
      <c r="GD148" s="16" t="s">
        <v>212</v>
      </c>
    </row>
    <row r="149">
      <c r="A149" s="16">
        <f>IFERROR(__xludf.DUMMYFUNCTION("""COMPUTED_VALUE"""),13278.0)</f>
        <v>13278</v>
      </c>
      <c r="B149" s="16" t="str">
        <f>IFERROR(__xludf.DUMMYFUNCTION("""COMPUTED_VALUE"""),"Paul Goldschmidt")</f>
        <v>Paul Goldschmidt</v>
      </c>
      <c r="C149" s="16">
        <f>IFERROR(__xludf.DUMMYFUNCTION("""COMPUTED_VALUE"""),0.58)</f>
        <v>0.58</v>
      </c>
      <c r="D149" s="16" t="str">
        <f>IFERROR(__xludf.DUMMYFUNCTION("""COMPUTED_VALUE"""),"R")</f>
        <v>R</v>
      </c>
      <c r="E149" s="16"/>
      <c r="F149" s="16"/>
      <c r="G149" s="16">
        <f>IFERROR(__xludf.DUMMYFUNCTION("""COMPUTED_VALUE"""),599.0)</f>
        <v>599</v>
      </c>
      <c r="H149" s="16">
        <f>IFERROR(__xludf.DUMMYFUNCTION("""COMPUTED_VALUE"""),47.0)</f>
        <v>47</v>
      </c>
      <c r="I149" s="16" t="str">
        <f>IFERROR(__xludf.DUMMYFUNCTION("""COMPUTED_VALUE"""),"1p70")</f>
        <v>1p70</v>
      </c>
      <c r="J149" s="16">
        <f>IFERROR(__xludf.DUMMYFUNCTION("""COMPUTED_VALUE"""),13.0)</f>
        <v>13</v>
      </c>
      <c r="K149" s="16">
        <f>IFERROR(__xludf.DUMMYFUNCTION("""COMPUTED_VALUE"""),39.0)</f>
        <v>39</v>
      </c>
      <c r="L149" s="16">
        <f>IFERROR(__xludf.DUMMYFUNCTION("""COMPUTED_VALUE"""),1.0)</f>
        <v>1</v>
      </c>
      <c r="M149" s="16">
        <f>IFERROR(__xludf.DUMMYFUNCTION("""COMPUTED_VALUE"""),-2.0)</f>
        <v>-2</v>
      </c>
      <c r="N149" s="16">
        <f>IFERROR(__xludf.DUMMYFUNCTION("""COMPUTED_VALUE"""),1.0)</f>
        <v>1</v>
      </c>
      <c r="O149" s="16">
        <f>IFERROR(__xludf.DUMMYFUNCTION("""COMPUTED_VALUE"""),-2.0)</f>
        <v>-2</v>
      </c>
      <c r="P149" s="16">
        <f>IFERROR(__xludf.DUMMYFUNCTION("""COMPUTED_VALUE"""),11.0)</f>
        <v>11</v>
      </c>
      <c r="Q149" s="16">
        <f>IFERROR(__xludf.DUMMYFUNCTION("""COMPUTED_VALUE"""),6.0)</f>
        <v>6</v>
      </c>
      <c r="R149" s="16">
        <f>IFERROR(__xludf.DUMMYFUNCTION("""COMPUTED_VALUE"""),1.0)</f>
        <v>1</v>
      </c>
      <c r="S149" s="16">
        <f>IFERROR(__xludf.DUMMYFUNCTION("""COMPUTED_VALUE"""),-1.0)</f>
        <v>-1</v>
      </c>
      <c r="T149" s="16">
        <f>IFERROR(__xludf.DUMMYFUNCTION("""COMPUTED_VALUE"""),1.0)</f>
        <v>1</v>
      </c>
      <c r="U149" s="16">
        <f>IFERROR(__xludf.DUMMYFUNCTION("""COMPUTED_VALUE"""),-1.0)</f>
        <v>-1</v>
      </c>
      <c r="V149" s="16">
        <f>IFERROR(__xludf.DUMMYFUNCTION("""COMPUTED_VALUE"""),29.6)</f>
        <v>29.6</v>
      </c>
      <c r="W149" s="16">
        <f>IFERROR(__xludf.DUMMYFUNCTION("""COMPUTED_VALUE"""),18.1)</f>
        <v>18.1</v>
      </c>
      <c r="X149" s="16">
        <f>IFERROR(__xludf.DUMMYFUNCTION("""COMPUTED_VALUE"""),1.0)</f>
        <v>1</v>
      </c>
      <c r="Y149" s="16">
        <f>IFERROR(__xludf.DUMMYFUNCTION("""COMPUTED_VALUE"""),0.0)</f>
        <v>0</v>
      </c>
      <c r="Z149" s="16">
        <f>IFERROR(__xludf.DUMMYFUNCTION("""COMPUTED_VALUE"""),2.0)</f>
        <v>2</v>
      </c>
      <c r="AA149" s="16">
        <f>IFERROR(__xludf.DUMMYFUNCTION("""COMPUTED_VALUE"""),0.0)</f>
        <v>0</v>
      </c>
      <c r="AB149" s="16">
        <f>IFERROR(__xludf.DUMMYFUNCTION("""COMPUTED_VALUE"""),41.6)</f>
        <v>41.6</v>
      </c>
      <c r="AC149" s="16">
        <f>IFERROR(__xludf.DUMMYFUNCTION("""COMPUTED_VALUE"""),25.1)</f>
        <v>25.1</v>
      </c>
      <c r="AD149" s="16">
        <f>IFERROR(__xludf.DUMMYFUNCTION("""COMPUTED_VALUE"""),1.0)</f>
        <v>1</v>
      </c>
      <c r="AE149" s="16">
        <f>IFERROR(__xludf.DUMMYFUNCTION("""COMPUTED_VALUE"""),-1.0)</f>
        <v>-1</v>
      </c>
      <c r="AF149" s="16">
        <f>IFERROR(__xludf.DUMMYFUNCTION("""COMPUTED_VALUE"""),5.0)</f>
        <v>5</v>
      </c>
      <c r="AG149" s="16">
        <f>IFERROR(__xludf.DUMMYFUNCTION("""COMPUTED_VALUE"""),-5.0)</f>
        <v>-5</v>
      </c>
      <c r="AH149" s="16">
        <f>IFERROR(__xludf.DUMMYFUNCTION("""COMPUTED_VALUE"""),44.6)</f>
        <v>44.6</v>
      </c>
      <c r="AI149" s="16">
        <f>IFERROR(__xludf.DUMMYFUNCTION("""COMPUTED_VALUE"""),31.2)</f>
        <v>31.2</v>
      </c>
      <c r="AJ149" s="16">
        <f>IFERROR(__xludf.DUMMYFUNCTION("""COMPUTED_VALUE"""),1.0)</f>
        <v>1</v>
      </c>
      <c r="AK149" s="16">
        <f>IFERROR(__xludf.DUMMYFUNCTION("""COMPUTED_VALUE"""),0.0)</f>
        <v>0</v>
      </c>
      <c r="AL149" s="16">
        <f>IFERROR(__xludf.DUMMYFUNCTION("""COMPUTED_VALUE"""),5.0)</f>
        <v>5</v>
      </c>
      <c r="AM149" s="16">
        <f>IFERROR(__xludf.DUMMYFUNCTION("""COMPUTED_VALUE"""),0.0)</f>
        <v>0</v>
      </c>
      <c r="AN149" s="16">
        <f>IFERROR(__xludf.DUMMYFUNCTION("""COMPUTED_VALUE"""),2.0)</f>
        <v>2</v>
      </c>
      <c r="AO149" s="16">
        <f>IFERROR(__xludf.DUMMYFUNCTION("""COMPUTED_VALUE"""),2.8)</f>
        <v>2.8</v>
      </c>
      <c r="AP149" s="16">
        <f>IFERROR(__xludf.DUMMYFUNCTION("""COMPUTED_VALUE"""),0.0)</f>
        <v>0</v>
      </c>
      <c r="AQ149" s="16">
        <f>IFERROR(__xludf.DUMMYFUNCTION("""COMPUTED_VALUE"""),0.0)</f>
        <v>0</v>
      </c>
      <c r="AR149" s="16">
        <f>IFERROR(__xludf.DUMMYFUNCTION("""COMPUTED_VALUE"""),0.0)</f>
        <v>0</v>
      </c>
      <c r="AS149" s="16">
        <f>IFERROR(__xludf.DUMMYFUNCTION("""COMPUTED_VALUE"""),0.0)</f>
        <v>0</v>
      </c>
      <c r="AT149" s="16">
        <f>IFERROR(__xludf.DUMMYFUNCTION("""COMPUTED_VALUE"""),3.0)</f>
        <v>3</v>
      </c>
      <c r="AU149" s="16">
        <f>IFERROR(__xludf.DUMMYFUNCTION("""COMPUTED_VALUE"""),4.0)</f>
        <v>4</v>
      </c>
      <c r="AV149" s="16">
        <f>IFERROR(__xludf.DUMMYFUNCTION("""COMPUTED_VALUE"""),3.0)</f>
        <v>3</v>
      </c>
      <c r="AW149" s="16">
        <f>IFERROR(__xludf.DUMMYFUNCTION("""COMPUTED_VALUE"""),4.0)</f>
        <v>4</v>
      </c>
      <c r="AX149" s="16">
        <f>IFERROR(__xludf.DUMMYFUNCTION("""COMPUTED_VALUE"""),1.0)</f>
        <v>1</v>
      </c>
      <c r="AY149" s="16">
        <f>IFERROR(__xludf.DUMMYFUNCTION("""COMPUTED_VALUE"""),1.0)</f>
        <v>1</v>
      </c>
      <c r="AZ149" s="16">
        <f>IFERROR(__xludf.DUMMYFUNCTION("""COMPUTED_VALUE"""),3.0)</f>
        <v>3</v>
      </c>
      <c r="BA149" s="16">
        <f>IFERROR(__xludf.DUMMYFUNCTION("""COMPUTED_VALUE"""),3.0)</f>
        <v>3</v>
      </c>
      <c r="BB149" s="16">
        <f>IFERROR(__xludf.DUMMYFUNCTION("""COMPUTED_VALUE"""),5.0)</f>
        <v>5</v>
      </c>
      <c r="BC149" s="16">
        <f>IFERROR(__xludf.DUMMYFUNCTION("""COMPUTED_VALUE"""),5.0)</f>
        <v>5</v>
      </c>
      <c r="BD149" s="16">
        <f>IFERROR(__xludf.DUMMYFUNCTION("""COMPUTED_VALUE"""),1.0)</f>
        <v>1</v>
      </c>
      <c r="BE149" s="16">
        <f>IFERROR(__xludf.DUMMYFUNCTION("""COMPUTED_VALUE"""),1.0)</f>
        <v>1</v>
      </c>
      <c r="BF149" s="16">
        <f>IFERROR(__xludf.DUMMYFUNCTION("""COMPUTED_VALUE"""),1.0)</f>
        <v>1</v>
      </c>
      <c r="BG149" s="16">
        <f>IFERROR(__xludf.DUMMYFUNCTION("""COMPUTED_VALUE"""),1.0)</f>
        <v>1</v>
      </c>
      <c r="BH149" s="16">
        <f>IFERROR(__xludf.DUMMYFUNCTION("""COMPUTED_VALUE"""),-12.0)</f>
        <v>-12</v>
      </c>
      <c r="BI149" s="16">
        <f>IFERROR(__xludf.DUMMYFUNCTION("""COMPUTED_VALUE"""),-8.0)</f>
        <v>-8</v>
      </c>
      <c r="BJ149" s="16">
        <f>IFERROR(__xludf.DUMMYFUNCTION("""COMPUTED_VALUE"""),22.0)</f>
        <v>22</v>
      </c>
      <c r="BK149" s="16">
        <f>IFERROR(__xludf.DUMMYFUNCTION("""COMPUTED_VALUE"""),25.0)</f>
        <v>25</v>
      </c>
      <c r="BL149" s="16">
        <f>IFERROR(__xludf.DUMMYFUNCTION("""COMPUTED_VALUE"""),-2.0)</f>
        <v>-2</v>
      </c>
      <c r="BM149" s="16">
        <f>IFERROR(__xludf.DUMMYFUNCTION("""COMPUTED_VALUE"""),-2.0)</f>
        <v>-2</v>
      </c>
      <c r="BN149" s="16">
        <f>IFERROR(__xludf.DUMMYFUNCTION("""COMPUTED_VALUE"""),-4.0)</f>
        <v>-4</v>
      </c>
      <c r="BO149" s="16">
        <f>IFERROR(__xludf.DUMMYFUNCTION("""COMPUTED_VALUE"""),-4.0)</f>
        <v>-4</v>
      </c>
      <c r="BP149" s="16">
        <f>IFERROR(__xludf.DUMMYFUNCTION("""COMPUTED_VALUE"""),5.0)</f>
        <v>5</v>
      </c>
      <c r="BQ149" s="16">
        <f>IFERROR(__xludf.DUMMYFUNCTION("""COMPUTED_VALUE"""),-4.0)</f>
        <v>-4</v>
      </c>
      <c r="BR149" s="16">
        <f>IFERROR(__xludf.DUMMYFUNCTION("""COMPUTED_VALUE"""),1.0)</f>
        <v>1</v>
      </c>
      <c r="BS149" s="16" t="str">
        <f>IFERROR(__xludf.DUMMYFUNCTION("""COMPUTED_VALUE"""),"*4/- (20-6)")</f>
        <v>*4/- (20-6)</v>
      </c>
      <c r="BT149" s="16" t="str">
        <f>IFERROR(__xludf.DUMMYFUNCTION("""COMPUTED_VALUE"""),"B")</f>
        <v>B</v>
      </c>
      <c r="BU149" s="16">
        <f>IFERROR(__xludf.DUMMYFUNCTION("""COMPUTED_VALUE"""),13.0)</f>
        <v>13</v>
      </c>
      <c r="BV149" s="16">
        <f>IFERROR(__xludf.DUMMYFUNCTION("""COMPUTED_VALUE"""),1.0)</f>
        <v>1</v>
      </c>
      <c r="BW149" s="16">
        <f>IFERROR(__xludf.DUMMYFUNCTION("""COMPUTED_VALUE"""),1.0)</f>
        <v>1</v>
      </c>
      <c r="BX149" s="16">
        <f>IFERROR(__xludf.DUMMYFUNCTION("""COMPUTED_VALUE"""),2.0)</f>
        <v>2</v>
      </c>
      <c r="BY149" s="16">
        <f>IFERROR(__xludf.DUMMYFUNCTION("""COMPUTED_VALUE"""),3.0)</f>
        <v>3</v>
      </c>
      <c r="BZ149" s="16" t="str">
        <f>IFERROR(__xludf.DUMMYFUNCTION("""COMPUTED_VALUE"""),"D")</f>
        <v>D</v>
      </c>
      <c r="CA149" s="16" t="str">
        <f>IFERROR(__xludf.DUMMYFUNCTION("""COMPUTED_VALUE"""),"D")</f>
        <v>D</v>
      </c>
      <c r="CB149" s="16">
        <f>IFERROR(__xludf.DUMMYFUNCTION("""COMPUTED_VALUE"""),0.0)</f>
        <v>0</v>
      </c>
      <c r="CC149" s="16">
        <f>IFERROR(__xludf.DUMMYFUNCTION("""COMPUTED_VALUE"""),0.0)</f>
        <v>0</v>
      </c>
      <c r="CD149" s="16">
        <f>IFERROR(__xludf.DUMMYFUNCTION("""COMPUTED_VALUE"""),0.0)</f>
        <v>0</v>
      </c>
      <c r="CE149" s="16">
        <f>IFERROR(__xludf.DUMMYFUNCTION("""COMPUTED_VALUE"""),0.0)</f>
        <v>0</v>
      </c>
      <c r="CF149" s="16">
        <f>IFERROR(__xludf.DUMMYFUNCTION("""COMPUTED_VALUE"""),1.0)</f>
        <v>1</v>
      </c>
      <c r="CG149" s="16">
        <f>IFERROR(__xludf.DUMMYFUNCTION("""COMPUTED_VALUE"""),14.0)</f>
        <v>14</v>
      </c>
      <c r="CH149" s="16">
        <f>IFERROR(__xludf.DUMMYFUNCTION("""COMPUTED_VALUE"""),-8.0)</f>
        <v>-8</v>
      </c>
      <c r="CI149" s="179">
        <f>IFERROR(__xludf.DUMMYFUNCTION("""COMPUTED_VALUE"""),6.0)</f>
        <v>6</v>
      </c>
      <c r="CJ149" s="16"/>
      <c r="CK149" s="16">
        <f>IFERROR(__xludf.DUMMYFUNCTION("""COMPUTED_VALUE"""),205.0)</f>
        <v>205</v>
      </c>
      <c r="CL149" s="16"/>
      <c r="CM149" s="16"/>
      <c r="CN149" s="16"/>
      <c r="CO149" s="16"/>
      <c r="CP149" s="16"/>
      <c r="CQ149" s="16"/>
      <c r="CR149" s="16" t="str">
        <f>IFERROR(__xludf.DUMMYFUNCTION("""COMPUTED_VALUE"""),"1b-2e5")</f>
        <v>1b-2e5</v>
      </c>
      <c r="CS149" s="16"/>
      <c r="CT149" s="16">
        <f>IFERROR(__xludf.DUMMYFUNCTION("""COMPUTED_VALUE"""),2.0)</f>
        <v>2</v>
      </c>
      <c r="CU149" s="16"/>
      <c r="CV149" s="16"/>
      <c r="CW149" s="16"/>
      <c r="CX149" s="16"/>
      <c r="CY149" s="16"/>
      <c r="CZ149" s="16"/>
      <c r="DA149" s="16"/>
      <c r="DB149" s="16">
        <f>IFERROR(__xludf.DUMMYFUNCTION("""COMPUTED_VALUE"""),5.0)</f>
        <v>5</v>
      </c>
      <c r="DC149" s="16"/>
      <c r="DD149" s="16"/>
      <c r="DE149" s="16"/>
      <c r="DF149" s="16"/>
      <c r="DG149" s="16"/>
      <c r="DH149" s="16"/>
      <c r="DI149" s="16"/>
      <c r="DJ149" s="16">
        <f>IFERROR(__xludf.DUMMYFUNCTION("""COMPUTED_VALUE"""),3.0)</f>
        <v>3</v>
      </c>
      <c r="DK149" s="16"/>
      <c r="DL149" s="16"/>
      <c r="DM149" s="16"/>
      <c r="DN149" s="16"/>
      <c r="DO149" s="16"/>
      <c r="DP149" s="16"/>
      <c r="DQ149" s="16"/>
      <c r="DR149" s="16">
        <f>IFERROR(__xludf.DUMMYFUNCTION("""COMPUTED_VALUE"""),2.0)</f>
        <v>2</v>
      </c>
      <c r="DS149" s="16"/>
      <c r="DT149" s="16"/>
      <c r="DU149" s="16"/>
      <c r="DV149" s="16"/>
      <c r="DW149" s="16"/>
      <c r="DX149" s="16"/>
      <c r="DY149" s="16"/>
      <c r="DZ149" s="16">
        <f>IFERROR(__xludf.DUMMYFUNCTION("""COMPUTED_VALUE"""),5.0)</f>
        <v>5</v>
      </c>
      <c r="EA149" s="16"/>
      <c r="EB149" s="16"/>
      <c r="EC149" s="16"/>
      <c r="ED149" s="16"/>
      <c r="EE149" s="16"/>
      <c r="EF149" s="16"/>
      <c r="EG149" s="179"/>
      <c r="EH149" s="179">
        <f>IFERROR(__xludf.DUMMYFUNCTION("""COMPUTED_VALUE"""),11.0)</f>
        <v>11</v>
      </c>
      <c r="EI149" s="179"/>
      <c r="EJ149" s="179"/>
      <c r="EK149" s="179"/>
      <c r="EL149" s="179"/>
      <c r="EM149" s="179"/>
      <c r="EN149" s="179"/>
      <c r="EO149" s="16"/>
      <c r="EP149" s="16"/>
      <c r="EQ149" s="16">
        <f>IFERROR(__xludf.DUMMYFUNCTION("""COMPUTED_VALUE"""),4.0)</f>
        <v>4</v>
      </c>
      <c r="ER149" s="16">
        <f>IFERROR(__xludf.DUMMYFUNCTION("""COMPUTED_VALUE"""),3.0)</f>
        <v>3</v>
      </c>
      <c r="ES149" s="16"/>
      <c r="ET149" s="16"/>
      <c r="EU149" s="16"/>
      <c r="EV149" s="16"/>
      <c r="EW149" s="16"/>
      <c r="EX149" s="180"/>
      <c r="EY149" s="180">
        <f>IFERROR(__xludf.DUMMYFUNCTION("""COMPUTED_VALUE"""),0.1)</f>
        <v>0.1</v>
      </c>
      <c r="EZ149" s="180"/>
      <c r="FA149" s="180"/>
      <c r="FB149" s="180"/>
      <c r="FC149" s="180"/>
      <c r="FD149" s="180"/>
      <c r="FE149" s="180"/>
      <c r="FF149" s="180"/>
      <c r="FG149" s="180">
        <f>IFERROR(__xludf.DUMMYFUNCTION("""COMPUTED_VALUE"""),0.08796296296296297)</f>
        <v>0.08796296296</v>
      </c>
      <c r="FH149" s="180"/>
      <c r="FI149" s="180"/>
      <c r="FJ149" s="180"/>
      <c r="FK149" s="180"/>
      <c r="FL149" s="180"/>
      <c r="FM149" s="180"/>
      <c r="FN149" s="16"/>
      <c r="FO149" s="16">
        <f>IFERROR(__xludf.DUMMYFUNCTION("""COMPUTED_VALUE"""),0.8208333333333333)</f>
        <v>0.8208333333</v>
      </c>
      <c r="FP149" s="16"/>
      <c r="FQ149" s="16"/>
      <c r="FR149" s="16"/>
      <c r="FS149" s="16"/>
      <c r="FT149" s="16"/>
      <c r="FU149" s="16"/>
      <c r="FV149" s="16"/>
      <c r="FW149" s="16">
        <f>IFERROR(__xludf.DUMMYFUNCTION("""COMPUTED_VALUE"""),1.0)</f>
        <v>1</v>
      </c>
      <c r="FX149" s="16"/>
      <c r="FY149" s="16"/>
      <c r="FZ149" s="16"/>
      <c r="GA149" s="16"/>
      <c r="GB149" s="16"/>
      <c r="GC149" s="16"/>
      <c r="GD149" s="16" t="s">
        <v>232</v>
      </c>
    </row>
    <row r="150">
      <c r="A150" s="16">
        <f>IFERROR(__xludf.DUMMYFUNCTION("""COMPUTED_VALUE"""),13189.0)</f>
        <v>13189</v>
      </c>
      <c r="B150" s="16" t="str">
        <f>IFERROR(__xludf.DUMMYFUNCTION("""COMPUTED_VALUE"""),"Michael Conforto")</f>
        <v>Michael Conforto</v>
      </c>
      <c r="C150" s="16">
        <f>IFERROR(__xludf.DUMMYFUNCTION("""COMPUTED_VALUE"""),0.77)</f>
        <v>0.77</v>
      </c>
      <c r="D150" s="16" t="str">
        <f>IFERROR(__xludf.DUMMYFUNCTION("""COMPUTED_VALUE"""),"L")</f>
        <v>L</v>
      </c>
      <c r="E150" s="16"/>
      <c r="F150" s="16"/>
      <c r="G150" s="16">
        <f>IFERROR(__xludf.DUMMYFUNCTION("""COMPUTED_VALUE"""),438.0)</f>
        <v>438</v>
      </c>
      <c r="H150" s="16">
        <f>IFERROR(__xludf.DUMMYFUNCTION("""COMPUTED_VALUE"""),42.0)</f>
        <v>42</v>
      </c>
      <c r="I150" s="16" t="str">
        <f>IFERROR(__xludf.DUMMYFUNCTION("""COMPUTED_VALUE"""),"2p60")</f>
        <v>2p60</v>
      </c>
      <c r="J150" s="16">
        <f>IFERROR(__xludf.DUMMYFUNCTION("""COMPUTED_VALUE"""),27.0)</f>
        <v>27</v>
      </c>
      <c r="K150" s="16">
        <f>IFERROR(__xludf.DUMMYFUNCTION("""COMPUTED_VALUE"""),28.0)</f>
        <v>28</v>
      </c>
      <c r="L150" s="16">
        <f>IFERROR(__xludf.DUMMYFUNCTION("""COMPUTED_VALUE"""),0.0)</f>
        <v>0</v>
      </c>
      <c r="M150" s="16">
        <f>IFERROR(__xludf.DUMMYFUNCTION("""COMPUTED_VALUE"""),0.0)</f>
        <v>0</v>
      </c>
      <c r="N150" s="16">
        <f>IFERROR(__xludf.DUMMYFUNCTION("""COMPUTED_VALUE"""),0.0)</f>
        <v>0</v>
      </c>
      <c r="O150" s="16">
        <f>IFERROR(__xludf.DUMMYFUNCTION("""COMPUTED_VALUE"""),0.0)</f>
        <v>0</v>
      </c>
      <c r="P150" s="16">
        <f>IFERROR(__xludf.DUMMYFUNCTION("""COMPUTED_VALUE"""),13.0)</f>
        <v>13</v>
      </c>
      <c r="Q150" s="16">
        <f>IFERROR(__xludf.DUMMYFUNCTION("""COMPUTED_VALUE"""),8.0)</f>
        <v>8</v>
      </c>
      <c r="R150" s="16">
        <f>IFERROR(__xludf.DUMMYFUNCTION("""COMPUTED_VALUE"""),2.0)</f>
        <v>2</v>
      </c>
      <c r="S150" s="16">
        <f>IFERROR(__xludf.DUMMYFUNCTION("""COMPUTED_VALUE"""),0.0)</f>
        <v>0</v>
      </c>
      <c r="T150" s="16">
        <f>IFERROR(__xludf.DUMMYFUNCTION("""COMPUTED_VALUE"""),2.0)</f>
        <v>2</v>
      </c>
      <c r="U150" s="16">
        <f>IFERROR(__xludf.DUMMYFUNCTION("""COMPUTED_VALUE"""),0.0)</f>
        <v>0</v>
      </c>
      <c r="V150" s="16">
        <f>IFERROR(__xludf.DUMMYFUNCTION("""COMPUTED_VALUE"""),19.4)</f>
        <v>19.4</v>
      </c>
      <c r="W150" s="16">
        <f>IFERROR(__xludf.DUMMYFUNCTION("""COMPUTED_VALUE"""),16.9)</f>
        <v>16.9</v>
      </c>
      <c r="X150" s="16">
        <f>IFERROR(__xludf.DUMMYFUNCTION("""COMPUTED_VALUE"""),0.0)</f>
        <v>0</v>
      </c>
      <c r="Y150" s="16">
        <f>IFERROR(__xludf.DUMMYFUNCTION("""COMPUTED_VALUE"""),-1.0)</f>
        <v>-1</v>
      </c>
      <c r="Z150" s="16">
        <f>IFERROR(__xludf.DUMMYFUNCTION("""COMPUTED_VALUE"""),0.0)</f>
        <v>0</v>
      </c>
      <c r="AA150" s="16">
        <f>IFERROR(__xludf.DUMMYFUNCTION("""COMPUTED_VALUE"""),-2.0)</f>
        <v>-2</v>
      </c>
      <c r="AB150" s="16">
        <f>IFERROR(__xludf.DUMMYFUNCTION("""COMPUTED_VALUE"""),34.4)</f>
        <v>34.4</v>
      </c>
      <c r="AC150" s="16">
        <f>IFERROR(__xludf.DUMMYFUNCTION("""COMPUTED_VALUE"""),26.9)</f>
        <v>26.9</v>
      </c>
      <c r="AD150" s="16">
        <f>IFERROR(__xludf.DUMMYFUNCTION("""COMPUTED_VALUE"""),0.0)</f>
        <v>0</v>
      </c>
      <c r="AE150" s="16">
        <f>IFERROR(__xludf.DUMMYFUNCTION("""COMPUTED_VALUE"""),-1.0)</f>
        <v>-1</v>
      </c>
      <c r="AF150" s="16">
        <f>IFERROR(__xludf.DUMMYFUNCTION("""COMPUTED_VALUE"""),0.0)</f>
        <v>0</v>
      </c>
      <c r="AG150" s="16">
        <f>IFERROR(__xludf.DUMMYFUNCTION("""COMPUTED_VALUE"""),-5.0)</f>
        <v>-5</v>
      </c>
      <c r="AH150" s="16">
        <f>IFERROR(__xludf.DUMMYFUNCTION("""COMPUTED_VALUE"""),47.2)</f>
        <v>47.2</v>
      </c>
      <c r="AI150" s="16">
        <f>IFERROR(__xludf.DUMMYFUNCTION("""COMPUTED_VALUE"""),34.9)</f>
        <v>34.9</v>
      </c>
      <c r="AJ150" s="16">
        <f>IFERROR(__xludf.DUMMYFUNCTION("""COMPUTED_VALUE"""),1.0)</f>
        <v>1</v>
      </c>
      <c r="AK150" s="16">
        <f>IFERROR(__xludf.DUMMYFUNCTION("""COMPUTED_VALUE"""),0.0)</f>
        <v>0</v>
      </c>
      <c r="AL150" s="16">
        <f>IFERROR(__xludf.DUMMYFUNCTION("""COMPUTED_VALUE"""),5.0)</f>
        <v>5</v>
      </c>
      <c r="AM150" s="16">
        <f>IFERROR(__xludf.DUMMYFUNCTION("""COMPUTED_VALUE"""),0.0)</f>
        <v>0</v>
      </c>
      <c r="AN150" s="16">
        <f>IFERROR(__xludf.DUMMYFUNCTION("""COMPUTED_VALUE"""),6.8)</f>
        <v>6.8</v>
      </c>
      <c r="AO150" s="16">
        <f>IFERROR(__xludf.DUMMYFUNCTION("""COMPUTED_VALUE"""),3.0)</f>
        <v>3</v>
      </c>
      <c r="AP150" s="16">
        <f>IFERROR(__xludf.DUMMYFUNCTION("""COMPUTED_VALUE"""),3.0)</f>
        <v>3</v>
      </c>
      <c r="AQ150" s="16">
        <f>IFERROR(__xludf.DUMMYFUNCTION("""COMPUTED_VALUE"""),1.0)</f>
        <v>1</v>
      </c>
      <c r="AR150" s="16">
        <f>IFERROR(__xludf.DUMMYFUNCTION("""COMPUTED_VALUE"""),6.0)</f>
        <v>6</v>
      </c>
      <c r="AS150" s="16">
        <f>IFERROR(__xludf.DUMMYFUNCTION("""COMPUTED_VALUE"""),2.0)</f>
        <v>2</v>
      </c>
      <c r="AT150" s="16">
        <f>IFERROR(__xludf.DUMMYFUNCTION("""COMPUTED_VALUE"""),8.0)</f>
        <v>8</v>
      </c>
      <c r="AU150" s="16">
        <f>IFERROR(__xludf.DUMMYFUNCTION("""COMPUTED_VALUE"""),5.0)</f>
        <v>5</v>
      </c>
      <c r="AV150" s="16">
        <f>IFERROR(__xludf.DUMMYFUNCTION("""COMPUTED_VALUE"""),8.0)</f>
        <v>8</v>
      </c>
      <c r="AW150" s="16">
        <f>IFERROR(__xludf.DUMMYFUNCTION("""COMPUTED_VALUE"""),5.0)</f>
        <v>5</v>
      </c>
      <c r="AX150" s="16">
        <f>IFERROR(__xludf.DUMMYFUNCTION("""COMPUTED_VALUE"""),3.0)</f>
        <v>3</v>
      </c>
      <c r="AY150" s="16">
        <f>IFERROR(__xludf.DUMMYFUNCTION("""COMPUTED_VALUE"""),2.0)</f>
        <v>2</v>
      </c>
      <c r="AZ150" s="16">
        <f>IFERROR(__xludf.DUMMYFUNCTION("""COMPUTED_VALUE"""),9.0)</f>
        <v>9</v>
      </c>
      <c r="BA150" s="16">
        <f>IFERROR(__xludf.DUMMYFUNCTION("""COMPUTED_VALUE"""),6.0)</f>
        <v>6</v>
      </c>
      <c r="BB150" s="16">
        <f>IFERROR(__xludf.DUMMYFUNCTION("""COMPUTED_VALUE"""),5.0)</f>
        <v>5</v>
      </c>
      <c r="BC150" s="16">
        <f>IFERROR(__xludf.DUMMYFUNCTION("""COMPUTED_VALUE"""),5.0)</f>
        <v>5</v>
      </c>
      <c r="BD150" s="16">
        <f>IFERROR(__xludf.DUMMYFUNCTION("""COMPUTED_VALUE"""),1.0)</f>
        <v>1</v>
      </c>
      <c r="BE150" s="16">
        <f>IFERROR(__xludf.DUMMYFUNCTION("""COMPUTED_VALUE"""),1.0)</f>
        <v>1</v>
      </c>
      <c r="BF150" s="16">
        <f>IFERROR(__xludf.DUMMYFUNCTION("""COMPUTED_VALUE"""),1.0)</f>
        <v>1</v>
      </c>
      <c r="BG150" s="16">
        <f>IFERROR(__xludf.DUMMYFUNCTION("""COMPUTED_VALUE"""),1.0)</f>
        <v>1</v>
      </c>
      <c r="BH150" s="16">
        <f>IFERROR(__xludf.DUMMYFUNCTION("""COMPUTED_VALUE"""),-4.0)</f>
        <v>-4</v>
      </c>
      <c r="BI150" s="16">
        <f>IFERROR(__xludf.DUMMYFUNCTION("""COMPUTED_VALUE"""),-4.0)</f>
        <v>-4</v>
      </c>
      <c r="BJ150" s="16">
        <f>IFERROR(__xludf.DUMMYFUNCTION("""COMPUTED_VALUE"""),24.0)</f>
        <v>24</v>
      </c>
      <c r="BK150" s="16">
        <f>IFERROR(__xludf.DUMMYFUNCTION("""COMPUTED_VALUE"""),24.0)</f>
        <v>24</v>
      </c>
      <c r="BL150" s="16">
        <f>IFERROR(__xludf.DUMMYFUNCTION("""COMPUTED_VALUE"""),-2.0)</f>
        <v>-2</v>
      </c>
      <c r="BM150" s="16">
        <f>IFERROR(__xludf.DUMMYFUNCTION("""COMPUTED_VALUE"""),-2.0)</f>
        <v>-2</v>
      </c>
      <c r="BN150" s="16">
        <f>IFERROR(__xludf.DUMMYFUNCTION("""COMPUTED_VALUE"""),-4.0)</f>
        <v>-4</v>
      </c>
      <c r="BO150" s="16">
        <f>IFERROR(__xludf.DUMMYFUNCTION("""COMPUTED_VALUE"""),-4.0)</f>
        <v>-4</v>
      </c>
      <c r="BP150" s="16">
        <f>IFERROR(__xludf.DUMMYFUNCTION("""COMPUTED_VALUE"""),8.0)</f>
        <v>8</v>
      </c>
      <c r="BQ150" s="16">
        <f>IFERROR(__xludf.DUMMYFUNCTION("""COMPUTED_VALUE"""),0.0)</f>
        <v>0</v>
      </c>
      <c r="BR150" s="16">
        <f>IFERROR(__xludf.DUMMYFUNCTION("""COMPUTED_VALUE"""),8.0)</f>
        <v>8</v>
      </c>
      <c r="BS150" s="16" t="str">
        <f>IFERROR(__xludf.DUMMYFUNCTION("""COMPUTED_VALUE"""),"7/- (3-1)")</f>
        <v>7/- (3-1)</v>
      </c>
      <c r="BT150" s="16" t="str">
        <f>IFERROR(__xludf.DUMMYFUNCTION("""COMPUTED_VALUE"""),"E")</f>
        <v>E</v>
      </c>
      <c r="BU150" s="16">
        <f>IFERROR(__xludf.DUMMYFUNCTION("""COMPUTED_VALUE"""),11.0)</f>
        <v>11</v>
      </c>
      <c r="BV150" s="16">
        <f>IFERROR(__xludf.DUMMYFUNCTION("""COMPUTED_VALUE"""),0.0)</f>
        <v>0</v>
      </c>
      <c r="BW150" s="16">
        <f>IFERROR(__xludf.DUMMYFUNCTION("""COMPUTED_VALUE"""),0.0)</f>
        <v>0</v>
      </c>
      <c r="BX150" s="16">
        <f>IFERROR(__xludf.DUMMYFUNCTION("""COMPUTED_VALUE"""),0.0)</f>
        <v>0</v>
      </c>
      <c r="BY150" s="16">
        <f>IFERROR(__xludf.DUMMYFUNCTION("""COMPUTED_VALUE"""),0.0)</f>
        <v>0</v>
      </c>
      <c r="BZ150" s="16" t="str">
        <f>IFERROR(__xludf.DUMMYFUNCTION("""COMPUTED_VALUE"""),"D")</f>
        <v>D</v>
      </c>
      <c r="CA150" s="16" t="str">
        <f>IFERROR(__xludf.DUMMYFUNCTION("""COMPUTED_VALUE"""),"D")</f>
        <v>D</v>
      </c>
      <c r="CB150" s="16">
        <f>IFERROR(__xludf.DUMMYFUNCTION("""COMPUTED_VALUE"""),0.0)</f>
        <v>0</v>
      </c>
      <c r="CC150" s="16">
        <f>IFERROR(__xludf.DUMMYFUNCTION("""COMPUTED_VALUE"""),0.0)</f>
        <v>0</v>
      </c>
      <c r="CD150" s="16">
        <f>IFERROR(__xludf.DUMMYFUNCTION("""COMPUTED_VALUE"""),0.0)</f>
        <v>0</v>
      </c>
      <c r="CE150" s="16">
        <f>IFERROR(__xludf.DUMMYFUNCTION("""COMPUTED_VALUE"""),0.0)</f>
        <v>0</v>
      </c>
      <c r="CF150" s="16">
        <f>IFERROR(__xludf.DUMMYFUNCTION("""COMPUTED_VALUE"""),2.0)</f>
        <v>2</v>
      </c>
      <c r="CG150" s="16">
        <f>IFERROR(__xludf.DUMMYFUNCTION("""COMPUTED_VALUE"""),19.0)</f>
        <v>19</v>
      </c>
      <c r="CH150" s="16">
        <f>IFERROR(__xludf.DUMMYFUNCTION("""COMPUTED_VALUE"""),-2.0)</f>
        <v>-2</v>
      </c>
      <c r="CI150" s="179">
        <f>IFERROR(__xludf.DUMMYFUNCTION("""COMPUTED_VALUE"""),6.0)</f>
        <v>6</v>
      </c>
      <c r="CJ150" s="16"/>
      <c r="CK150" s="16"/>
      <c r="CL150" s="16"/>
      <c r="CM150" s="16"/>
      <c r="CN150" s="16"/>
      <c r="CO150" s="16">
        <f>IFERROR(__xludf.DUMMYFUNCTION("""COMPUTED_VALUE"""),403.0)</f>
        <v>403</v>
      </c>
      <c r="CP150" s="16"/>
      <c r="CQ150" s="16"/>
      <c r="CR150" s="16" t="str">
        <f>IFERROR(__xludf.DUMMYFUNCTION("""COMPUTED_VALUE"""),"lf-4(-1)e3")</f>
        <v>lf-4(-1)e3</v>
      </c>
      <c r="CS150" s="16"/>
      <c r="CT150" s="16"/>
      <c r="CU150" s="16"/>
      <c r="CV150" s="16"/>
      <c r="CW150" s="16"/>
      <c r="CX150" s="16">
        <f>IFERROR(__xludf.DUMMYFUNCTION("""COMPUTED_VALUE"""),4.0)</f>
        <v>4</v>
      </c>
      <c r="CY150" s="16"/>
      <c r="CZ150" s="16"/>
      <c r="DA150" s="16"/>
      <c r="DB150" s="16"/>
      <c r="DC150" s="16"/>
      <c r="DD150" s="16"/>
      <c r="DE150" s="16"/>
      <c r="DF150" s="16">
        <f>IFERROR(__xludf.DUMMYFUNCTION("""COMPUTED_VALUE"""),3.0)</f>
        <v>3</v>
      </c>
      <c r="DG150" s="16"/>
      <c r="DH150" s="16"/>
      <c r="DI150" s="16"/>
      <c r="DJ150" s="16"/>
      <c r="DK150" s="16"/>
      <c r="DL150" s="16"/>
      <c r="DM150" s="16"/>
      <c r="DN150" s="16">
        <f>IFERROR(__xludf.DUMMYFUNCTION("""COMPUTED_VALUE"""),-1.0)</f>
        <v>-1</v>
      </c>
      <c r="DO150" s="16"/>
      <c r="DP150" s="16"/>
      <c r="DQ150" s="16"/>
      <c r="DR150" s="16"/>
      <c r="DS150" s="16"/>
      <c r="DT150" s="16"/>
      <c r="DU150" s="16"/>
      <c r="DV150" s="16">
        <f>IFERROR(__xludf.DUMMYFUNCTION("""COMPUTED_VALUE"""),4.0)</f>
        <v>4</v>
      </c>
      <c r="DW150" s="16"/>
      <c r="DX150" s="16"/>
      <c r="DY150" s="16"/>
      <c r="DZ150" s="16"/>
      <c r="EA150" s="16"/>
      <c r="EB150" s="16"/>
      <c r="EC150" s="16"/>
      <c r="ED150" s="16">
        <f>IFERROR(__xludf.DUMMYFUNCTION("""COMPUTED_VALUE"""),3.0)</f>
        <v>3</v>
      </c>
      <c r="EE150" s="16"/>
      <c r="EF150" s="16"/>
      <c r="EG150" s="179"/>
      <c r="EH150" s="179"/>
      <c r="EI150" s="179"/>
      <c r="EJ150" s="179"/>
      <c r="EK150" s="179"/>
      <c r="EL150" s="179">
        <f>IFERROR(__xludf.DUMMYFUNCTION("""COMPUTED_VALUE"""),9.0)</f>
        <v>9</v>
      </c>
      <c r="EM150" s="179"/>
      <c r="EN150" s="179"/>
      <c r="EO150" s="16"/>
      <c r="EP150" s="16"/>
      <c r="EQ150" s="16">
        <f>IFERROR(__xludf.DUMMYFUNCTION("""COMPUTED_VALUE"""),2.0)</f>
        <v>2</v>
      </c>
      <c r="ER150" s="16">
        <f>IFERROR(__xludf.DUMMYFUNCTION("""COMPUTED_VALUE"""),1.0)</f>
        <v>1</v>
      </c>
      <c r="ES150" s="16"/>
      <c r="ET150" s="16"/>
      <c r="EU150" s="16"/>
      <c r="EV150" s="16"/>
      <c r="EW150" s="16"/>
      <c r="EX150" s="180"/>
      <c r="EY150" s="180"/>
      <c r="EZ150" s="180"/>
      <c r="FA150" s="180"/>
      <c r="FB150" s="180"/>
      <c r="FC150" s="180">
        <f>IFERROR(__xludf.DUMMYFUNCTION("""COMPUTED_VALUE"""),0.55)</f>
        <v>0.55</v>
      </c>
      <c r="FD150" s="180"/>
      <c r="FE150" s="180"/>
      <c r="FF150" s="180"/>
      <c r="FG150" s="180"/>
      <c r="FH150" s="180"/>
      <c r="FI150" s="180"/>
      <c r="FJ150" s="180"/>
      <c r="FK150" s="180">
        <f>IFERROR(__xludf.DUMMYFUNCTION("""COMPUTED_VALUE"""),0.056)</f>
        <v>0.056</v>
      </c>
      <c r="FL150" s="180"/>
      <c r="FM150" s="180"/>
      <c r="FN150" s="16"/>
      <c r="FO150" s="16"/>
      <c r="FP150" s="16"/>
      <c r="FQ150" s="16"/>
      <c r="FR150" s="16"/>
      <c r="FS150" s="16">
        <f>IFERROR(__xludf.DUMMYFUNCTION("""COMPUTED_VALUE"""),0.42479999999999996)</f>
        <v>0.4248</v>
      </c>
      <c r="FT150" s="16"/>
      <c r="FU150" s="16"/>
      <c r="FV150" s="16"/>
      <c r="FW150" s="16"/>
      <c r="FX150" s="16"/>
      <c r="FY150" s="16"/>
      <c r="FZ150" s="16"/>
      <c r="GA150" s="16">
        <f>IFERROR(__xludf.DUMMYFUNCTION("""COMPUTED_VALUE"""),-8.0)</f>
        <v>-8</v>
      </c>
      <c r="GB150" s="16"/>
      <c r="GC150" s="16"/>
      <c r="GD150" s="16" t="s">
        <v>176</v>
      </c>
    </row>
    <row r="151">
      <c r="A151" s="16">
        <f>IFERROR(__xludf.DUMMYFUNCTION("""COMPUTED_VALUE"""),12506.0)</f>
        <v>12506</v>
      </c>
      <c r="B151" s="16" t="str">
        <f>IFERROR(__xludf.DUMMYFUNCTION("""COMPUTED_VALUE"""),"Adley Rutschman")</f>
        <v>Adley Rutschman</v>
      </c>
      <c r="C151" s="16">
        <f>IFERROR(__xludf.DUMMYFUNCTION("""COMPUTED_VALUE"""),1.55)</f>
        <v>1.55</v>
      </c>
      <c r="D151" s="16" t="str">
        <f>IFERROR(__xludf.DUMMYFUNCTION("""COMPUTED_VALUE"""),"S")</f>
        <v>S</v>
      </c>
      <c r="E151" s="16"/>
      <c r="F151" s="16"/>
      <c r="G151" s="16">
        <f>IFERROR(__xludf.DUMMYFUNCTION("""COMPUTED_VALUE"""),571.0)</f>
        <v>571</v>
      </c>
      <c r="H151" s="16">
        <f>IFERROR(__xludf.DUMMYFUNCTION("""COMPUTED_VALUE"""),58.0)</f>
        <v>58</v>
      </c>
      <c r="I151" s="16" t="str">
        <f>IFERROR(__xludf.DUMMYFUNCTION("""COMPUTED_VALUE"""),"1p70")</f>
        <v>1p70</v>
      </c>
      <c r="J151" s="16">
        <f>IFERROR(__xludf.DUMMYFUNCTION("""COMPUTED_VALUE"""),4.0)</f>
        <v>4</v>
      </c>
      <c r="K151" s="16">
        <f>IFERROR(__xludf.DUMMYFUNCTION("""COMPUTED_VALUE"""),14.0)</f>
        <v>14</v>
      </c>
      <c r="L151" s="16">
        <f>IFERROR(__xludf.DUMMYFUNCTION("""COMPUTED_VALUE"""),2.0)</f>
        <v>2</v>
      </c>
      <c r="M151" s="16">
        <f>IFERROR(__xludf.DUMMYFUNCTION("""COMPUTED_VALUE"""),1.0)</f>
        <v>1</v>
      </c>
      <c r="N151" s="16">
        <f>IFERROR(__xludf.DUMMYFUNCTION("""COMPUTED_VALUE"""),2.0)</f>
        <v>2</v>
      </c>
      <c r="O151" s="16">
        <f>IFERROR(__xludf.DUMMYFUNCTION("""COMPUTED_VALUE"""),1.0)</f>
        <v>1</v>
      </c>
      <c r="P151" s="16">
        <f>IFERROR(__xludf.DUMMYFUNCTION("""COMPUTED_VALUE"""),9.0)</f>
        <v>9</v>
      </c>
      <c r="Q151" s="16">
        <f>IFERROR(__xludf.DUMMYFUNCTION("""COMPUTED_VALUE"""),9.0)</f>
        <v>9</v>
      </c>
      <c r="R151" s="16">
        <f>IFERROR(__xludf.DUMMYFUNCTION("""COMPUTED_VALUE"""),0.0)</f>
        <v>0</v>
      </c>
      <c r="S151" s="16">
        <f>IFERROR(__xludf.DUMMYFUNCTION("""COMPUTED_VALUE"""),0.0)</f>
        <v>0</v>
      </c>
      <c r="T151" s="16">
        <f>IFERROR(__xludf.DUMMYFUNCTION("""COMPUTED_VALUE"""),0.0)</f>
        <v>0</v>
      </c>
      <c r="U151" s="16">
        <f>IFERROR(__xludf.DUMMYFUNCTION("""COMPUTED_VALUE"""),0.0)</f>
        <v>0</v>
      </c>
      <c r="V151" s="16">
        <f>IFERROR(__xludf.DUMMYFUNCTION("""COMPUTED_VALUE"""),31.9)</f>
        <v>31.9</v>
      </c>
      <c r="W151" s="16">
        <f>IFERROR(__xludf.DUMMYFUNCTION("""COMPUTED_VALUE"""),14.9)</f>
        <v>14.9</v>
      </c>
      <c r="X151" s="16">
        <f>IFERROR(__xludf.DUMMYFUNCTION("""COMPUTED_VALUE"""),2.0)</f>
        <v>2</v>
      </c>
      <c r="Y151" s="16">
        <f>IFERROR(__xludf.DUMMYFUNCTION("""COMPUTED_VALUE"""),-1.0)</f>
        <v>-1</v>
      </c>
      <c r="Z151" s="16">
        <f>IFERROR(__xludf.DUMMYFUNCTION("""COMPUTED_VALUE"""),4.0)</f>
        <v>4</v>
      </c>
      <c r="AA151" s="16">
        <f>IFERROR(__xludf.DUMMYFUNCTION("""COMPUTED_VALUE"""),-2.0)</f>
        <v>-2</v>
      </c>
      <c r="AB151" s="16">
        <f>IFERROR(__xludf.DUMMYFUNCTION("""COMPUTED_VALUE"""),41.8)</f>
        <v>41.8</v>
      </c>
      <c r="AC151" s="16">
        <f>IFERROR(__xludf.DUMMYFUNCTION("""COMPUTED_VALUE"""),25.0)</f>
        <v>25</v>
      </c>
      <c r="AD151" s="16">
        <f>IFERROR(__xludf.DUMMYFUNCTION("""COMPUTED_VALUE"""),1.0)</f>
        <v>1</v>
      </c>
      <c r="AE151" s="16">
        <f>IFERROR(__xludf.DUMMYFUNCTION("""COMPUTED_VALUE"""),-1.0)</f>
        <v>-1</v>
      </c>
      <c r="AF151" s="16">
        <f>IFERROR(__xludf.DUMMYFUNCTION("""COMPUTED_VALUE"""),5.0)</f>
        <v>5</v>
      </c>
      <c r="AG151" s="16">
        <f>IFERROR(__xludf.DUMMYFUNCTION("""COMPUTED_VALUE"""),-5.0)</f>
        <v>-5</v>
      </c>
      <c r="AH151" s="16">
        <f>IFERROR(__xludf.DUMMYFUNCTION("""COMPUTED_VALUE"""),42.8)</f>
        <v>42.8</v>
      </c>
      <c r="AI151" s="16">
        <f>IFERROR(__xludf.DUMMYFUNCTION("""COMPUTED_VALUE"""),21.3)</f>
        <v>21.3</v>
      </c>
      <c r="AJ151" s="16">
        <f>IFERROR(__xludf.DUMMYFUNCTION("""COMPUTED_VALUE"""),1.0)</f>
        <v>1</v>
      </c>
      <c r="AK151" s="16">
        <f>IFERROR(__xludf.DUMMYFUNCTION("""COMPUTED_VALUE"""),-1.0)</f>
        <v>-1</v>
      </c>
      <c r="AL151" s="16">
        <f>IFERROR(__xludf.DUMMYFUNCTION("""COMPUTED_VALUE"""),5.0)</f>
        <v>5</v>
      </c>
      <c r="AM151" s="16">
        <f>IFERROR(__xludf.DUMMYFUNCTION("""COMPUTED_VALUE"""),-5.0)</f>
        <v>-5</v>
      </c>
      <c r="AN151" s="16">
        <f>IFERROR(__xludf.DUMMYFUNCTION("""COMPUTED_VALUE"""),2.3)</f>
        <v>2.3</v>
      </c>
      <c r="AO151" s="16">
        <f>IFERROR(__xludf.DUMMYFUNCTION("""COMPUTED_VALUE"""),1.8)</f>
        <v>1.8</v>
      </c>
      <c r="AP151" s="16">
        <f>IFERROR(__xludf.DUMMYFUNCTION("""COMPUTED_VALUE"""),0.0)</f>
        <v>0</v>
      </c>
      <c r="AQ151" s="16">
        <f>IFERROR(__xludf.DUMMYFUNCTION("""COMPUTED_VALUE"""),-1.0)</f>
        <v>-1</v>
      </c>
      <c r="AR151" s="16">
        <f>IFERROR(__xludf.DUMMYFUNCTION("""COMPUTED_VALUE"""),0.0)</f>
        <v>0</v>
      </c>
      <c r="AS151" s="16">
        <f>IFERROR(__xludf.DUMMYFUNCTION("""COMPUTED_VALUE"""),-2.0)</f>
        <v>-2</v>
      </c>
      <c r="AT151" s="16">
        <f>IFERROR(__xludf.DUMMYFUNCTION("""COMPUTED_VALUE"""),5.0)</f>
        <v>5</v>
      </c>
      <c r="AU151" s="16">
        <f>IFERROR(__xludf.DUMMYFUNCTION("""COMPUTED_VALUE"""),2.0)</f>
        <v>2</v>
      </c>
      <c r="AV151" s="16">
        <f>IFERROR(__xludf.DUMMYFUNCTION("""COMPUTED_VALUE"""),5.0)</f>
        <v>5</v>
      </c>
      <c r="AW151" s="16">
        <f>IFERROR(__xludf.DUMMYFUNCTION("""COMPUTED_VALUE"""),2.0)</f>
        <v>2</v>
      </c>
      <c r="AX151" s="16">
        <f>IFERROR(__xludf.DUMMYFUNCTION("""COMPUTED_VALUE"""),3.0)</f>
        <v>3</v>
      </c>
      <c r="AY151" s="16">
        <f>IFERROR(__xludf.DUMMYFUNCTION("""COMPUTED_VALUE"""),0.0)</f>
        <v>0</v>
      </c>
      <c r="AZ151" s="16">
        <f>IFERROR(__xludf.DUMMYFUNCTION("""COMPUTED_VALUE"""),9.0)</f>
        <v>9</v>
      </c>
      <c r="BA151" s="16">
        <f>IFERROR(__xludf.DUMMYFUNCTION("""COMPUTED_VALUE"""),0.0)</f>
        <v>0</v>
      </c>
      <c r="BB151" s="16">
        <f>IFERROR(__xludf.DUMMYFUNCTION("""COMPUTED_VALUE"""),5.0)</f>
        <v>5</v>
      </c>
      <c r="BC151" s="16">
        <f>IFERROR(__xludf.DUMMYFUNCTION("""COMPUTED_VALUE"""),5.0)</f>
        <v>5</v>
      </c>
      <c r="BD151" s="16">
        <f>IFERROR(__xludf.DUMMYFUNCTION("""COMPUTED_VALUE"""),1.0)</f>
        <v>1</v>
      </c>
      <c r="BE151" s="16">
        <f>IFERROR(__xludf.DUMMYFUNCTION("""COMPUTED_VALUE"""),1.0)</f>
        <v>1</v>
      </c>
      <c r="BF151" s="16">
        <f>IFERROR(__xludf.DUMMYFUNCTION("""COMPUTED_VALUE"""),1.0)</f>
        <v>1</v>
      </c>
      <c r="BG151" s="16">
        <f>IFERROR(__xludf.DUMMYFUNCTION("""COMPUTED_VALUE"""),1.0)</f>
        <v>1</v>
      </c>
      <c r="BH151" s="16">
        <f>IFERROR(__xludf.DUMMYFUNCTION("""COMPUTED_VALUE"""),7.0)</f>
        <v>7</v>
      </c>
      <c r="BI151" s="16">
        <f>IFERROR(__xludf.DUMMYFUNCTION("""COMPUTED_VALUE"""),7.0)</f>
        <v>7</v>
      </c>
      <c r="BJ151" s="16">
        <f>IFERROR(__xludf.DUMMYFUNCTION("""COMPUTED_VALUE"""),11.0)</f>
        <v>11</v>
      </c>
      <c r="BK151" s="16">
        <f>IFERROR(__xludf.DUMMYFUNCTION("""COMPUTED_VALUE"""),11.0)</f>
        <v>11</v>
      </c>
      <c r="BL151" s="16">
        <f>IFERROR(__xludf.DUMMYFUNCTION("""COMPUTED_VALUE"""),0.0)</f>
        <v>0</v>
      </c>
      <c r="BM151" s="16">
        <f>IFERROR(__xludf.DUMMYFUNCTION("""COMPUTED_VALUE"""),0.0)</f>
        <v>0</v>
      </c>
      <c r="BN151" s="16">
        <f>IFERROR(__xludf.DUMMYFUNCTION("""COMPUTED_VALUE"""),0.0)</f>
        <v>0</v>
      </c>
      <c r="BO151" s="16">
        <f>IFERROR(__xludf.DUMMYFUNCTION("""COMPUTED_VALUE"""),0.0)</f>
        <v>0</v>
      </c>
      <c r="BP151" s="16">
        <f>IFERROR(__xludf.DUMMYFUNCTION("""COMPUTED_VALUE"""),10.0)</f>
        <v>10</v>
      </c>
      <c r="BQ151" s="16">
        <f>IFERROR(__xludf.DUMMYFUNCTION("""COMPUTED_VALUE"""),-2.0)</f>
        <v>-2</v>
      </c>
      <c r="BR151" s="16">
        <f>IFERROR(__xludf.DUMMYFUNCTION("""COMPUTED_VALUE"""),8.0)</f>
        <v>8</v>
      </c>
      <c r="BS151" s="16" t="str">
        <f>IFERROR(__xludf.DUMMYFUNCTION("""COMPUTED_VALUE"""),"2/- (20-6)")</f>
        <v>2/- (20-6)</v>
      </c>
      <c r="BT151" s="16" t="str">
        <f>IFERROR(__xludf.DUMMYFUNCTION("""COMPUTED_VALUE"""),"E")</f>
        <v>E</v>
      </c>
      <c r="BU151" s="16">
        <f>IFERROR(__xludf.DUMMYFUNCTION("""COMPUTED_VALUE"""),11.0)</f>
        <v>11</v>
      </c>
      <c r="BV151" s="16">
        <f>IFERROR(__xludf.DUMMYFUNCTION("""COMPUTED_VALUE"""),0.0)</f>
        <v>0</v>
      </c>
      <c r="BW151" s="16">
        <f>IFERROR(__xludf.DUMMYFUNCTION("""COMPUTED_VALUE"""),0.0)</f>
        <v>0</v>
      </c>
      <c r="BX151" s="16">
        <f>IFERROR(__xludf.DUMMYFUNCTION("""COMPUTED_VALUE"""),0.0)</f>
        <v>0</v>
      </c>
      <c r="BY151" s="16">
        <f>IFERROR(__xludf.DUMMYFUNCTION("""COMPUTED_VALUE"""),0.0)</f>
        <v>0</v>
      </c>
      <c r="BZ151" s="16" t="str">
        <f>IFERROR(__xludf.DUMMYFUNCTION("""COMPUTED_VALUE"""),"D")</f>
        <v>D</v>
      </c>
      <c r="CA151" s="16" t="str">
        <f>IFERROR(__xludf.DUMMYFUNCTION("""COMPUTED_VALUE"""),"C")</f>
        <v>C</v>
      </c>
      <c r="CB151" s="16">
        <f>IFERROR(__xludf.DUMMYFUNCTION("""COMPUTED_VALUE"""),0.0)</f>
        <v>0</v>
      </c>
      <c r="CC151" s="16">
        <f>IFERROR(__xludf.DUMMYFUNCTION("""COMPUTED_VALUE"""),0.0)</f>
        <v>0</v>
      </c>
      <c r="CD151" s="16">
        <f>IFERROR(__xludf.DUMMYFUNCTION("""COMPUTED_VALUE"""),0.0)</f>
        <v>0</v>
      </c>
      <c r="CE151" s="16">
        <f>IFERROR(__xludf.DUMMYFUNCTION("""COMPUTED_VALUE"""),0.0)</f>
        <v>0</v>
      </c>
      <c r="CF151" s="16">
        <f>IFERROR(__xludf.DUMMYFUNCTION("""COMPUTED_VALUE"""),1.0)</f>
        <v>1</v>
      </c>
      <c r="CG151" s="16">
        <f>IFERROR(__xludf.DUMMYFUNCTION("""COMPUTED_VALUE"""),26.0)</f>
        <v>26</v>
      </c>
      <c r="CH151" s="16">
        <f>IFERROR(__xludf.DUMMYFUNCTION("""COMPUTED_VALUE"""),-12.0)</f>
        <v>-12</v>
      </c>
      <c r="CI151" s="179">
        <f>IFERROR(__xludf.DUMMYFUNCTION("""COMPUTED_VALUE"""),5.0)</f>
        <v>5</v>
      </c>
      <c r="CJ151" s="16">
        <f>IFERROR(__xludf.DUMMYFUNCTION("""COMPUTED_VALUE"""),101.0)</f>
        <v>101</v>
      </c>
      <c r="CK151" s="16"/>
      <c r="CL151" s="16"/>
      <c r="CM151" s="16"/>
      <c r="CN151" s="16"/>
      <c r="CO151" s="16"/>
      <c r="CP151" s="16"/>
      <c r="CQ151" s="16"/>
      <c r="CR151" s="16" t="str">
        <f>IFERROR(__xludf.DUMMYFUNCTION("""COMPUTED_VALUE"""),"c-1(0)e1,T-5(pb-1)")</f>
        <v>c-1(0)e1,T-5(pb-1)</v>
      </c>
      <c r="CS151" s="16">
        <f>IFERROR(__xludf.DUMMYFUNCTION("""COMPUTED_VALUE"""),1.0)</f>
        <v>1</v>
      </c>
      <c r="CT151" s="16"/>
      <c r="CU151" s="16"/>
      <c r="CV151" s="16"/>
      <c r="CW151" s="16"/>
      <c r="CX151" s="16"/>
      <c r="CY151" s="16"/>
      <c r="CZ151" s="16"/>
      <c r="DA151" s="16">
        <f>IFERROR(__xludf.DUMMYFUNCTION("""COMPUTED_VALUE"""),1.0)</f>
        <v>1</v>
      </c>
      <c r="DB151" s="16"/>
      <c r="DC151" s="16"/>
      <c r="DD151" s="16"/>
      <c r="DE151" s="16"/>
      <c r="DF151" s="16"/>
      <c r="DG151" s="16"/>
      <c r="DH151" s="16"/>
      <c r="DI151" s="16">
        <f>IFERROR(__xludf.DUMMYFUNCTION("""COMPUTED_VALUE"""),4.0)</f>
        <v>4</v>
      </c>
      <c r="DJ151" s="16"/>
      <c r="DK151" s="16"/>
      <c r="DL151" s="16"/>
      <c r="DM151" s="16"/>
      <c r="DN151" s="16"/>
      <c r="DO151" s="16"/>
      <c r="DP151" s="16"/>
      <c r="DQ151" s="16">
        <f>IFERROR(__xludf.DUMMYFUNCTION("""COMPUTED_VALUE"""),4.0)</f>
        <v>4</v>
      </c>
      <c r="DR151" s="16"/>
      <c r="DS151" s="16"/>
      <c r="DT151" s="16"/>
      <c r="DU151" s="16"/>
      <c r="DV151" s="16"/>
      <c r="DW151" s="16"/>
      <c r="DX151" s="16"/>
      <c r="DY151" s="16">
        <f>IFERROR(__xludf.DUMMYFUNCTION("""COMPUTED_VALUE"""),8.0)</f>
        <v>8</v>
      </c>
      <c r="DZ151" s="16"/>
      <c r="EA151" s="16"/>
      <c r="EB151" s="16"/>
      <c r="EC151" s="16"/>
      <c r="ED151" s="16"/>
      <c r="EE151" s="16"/>
      <c r="EF151" s="16"/>
      <c r="EG151" s="179">
        <f>IFERROR(__xludf.DUMMYFUNCTION("""COMPUTED_VALUE"""),13.0)</f>
        <v>13</v>
      </c>
      <c r="EH151" s="179"/>
      <c r="EI151" s="179"/>
      <c r="EJ151" s="179"/>
      <c r="EK151" s="179"/>
      <c r="EL151" s="179"/>
      <c r="EM151" s="179"/>
      <c r="EN151" s="179"/>
      <c r="EO151" s="16">
        <f>IFERROR(__xludf.DUMMYFUNCTION("""COMPUTED_VALUE"""),0.0)</f>
        <v>0</v>
      </c>
      <c r="EP151" s="16"/>
      <c r="EQ151" s="16">
        <f>IFERROR(__xludf.DUMMYFUNCTION("""COMPUTED_VALUE"""),4.0)</f>
        <v>4</v>
      </c>
      <c r="ER151" s="16">
        <f>IFERROR(__xludf.DUMMYFUNCTION("""COMPUTED_VALUE"""),3.0)</f>
        <v>3</v>
      </c>
      <c r="ES151" s="16" t="str">
        <f>IFERROR(__xludf.DUMMYFUNCTION("""COMPUTED_VALUE"""),"c-1")</f>
        <v>c-1</v>
      </c>
      <c r="ET151" s="16" t="str">
        <f>IFERROR(__xludf.DUMMYFUNCTION("""COMPUTED_VALUE"""),"0)e1,T-5")</f>
        <v>0)e1,T-5</v>
      </c>
      <c r="EU151" s="16" t="str">
        <f>IFERROR(__xludf.DUMMYFUNCTION("""COMPUTED_VALUE"""),"pb-1)")</f>
        <v>pb-1)</v>
      </c>
      <c r="EV151" s="16"/>
      <c r="EW151" s="16">
        <f>IFERROR(__xludf.DUMMYFUNCTION("""COMPUTED_VALUE"""),0.0)</f>
        <v>0</v>
      </c>
      <c r="EX151" s="180">
        <f>IFERROR(__xludf.DUMMYFUNCTION("""COMPUTED_VALUE"""),0.0)</f>
        <v>0</v>
      </c>
      <c r="EY151" s="180"/>
      <c r="EZ151" s="180"/>
      <c r="FA151" s="180"/>
      <c r="FB151" s="180"/>
      <c r="FC151" s="180"/>
      <c r="FD151" s="180"/>
      <c r="FE151" s="180"/>
      <c r="FF151" s="180">
        <f>IFERROR(__xludf.DUMMYFUNCTION("""COMPUTED_VALUE"""),0.014)</f>
        <v>0.014</v>
      </c>
      <c r="FG151" s="180"/>
      <c r="FH151" s="180"/>
      <c r="FI151" s="180"/>
      <c r="FJ151" s="180"/>
      <c r="FK151" s="180"/>
      <c r="FL151" s="180"/>
      <c r="FM151" s="180"/>
      <c r="FN151" s="16">
        <f>IFERROR(__xludf.DUMMYFUNCTION("""COMPUTED_VALUE"""),0.986)</f>
        <v>0.986</v>
      </c>
      <c r="FO151" s="16"/>
      <c r="FP151" s="16"/>
      <c r="FQ151" s="16"/>
      <c r="FR151" s="16"/>
      <c r="FS151" s="16"/>
      <c r="FT151" s="16"/>
      <c r="FU151" s="16"/>
      <c r="FV151" s="16">
        <f>IFERROR(__xludf.DUMMYFUNCTION("""COMPUTED_VALUE"""),8.0)</f>
        <v>8</v>
      </c>
      <c r="FW151" s="16"/>
      <c r="FX151" s="16"/>
      <c r="FY151" s="16"/>
      <c r="FZ151" s="16"/>
      <c r="GA151" s="16"/>
      <c r="GB151" s="16"/>
      <c r="GC151" s="16"/>
      <c r="GD151" s="16" t="s">
        <v>371</v>
      </c>
    </row>
    <row r="152">
      <c r="A152" s="16">
        <f>IFERROR(__xludf.DUMMYFUNCTION("""COMPUTED_VALUE"""),13491.0)</f>
        <v>13491</v>
      </c>
      <c r="B152" s="16" t="str">
        <f>IFERROR(__xludf.DUMMYFUNCTION("""COMPUTED_VALUE"""),"Wilyer Abreu")</f>
        <v>Wilyer Abreu</v>
      </c>
      <c r="C152" s="16">
        <f>IFERROR(__xludf.DUMMYFUNCTION("""COMPUTED_VALUE"""),2.21)</f>
        <v>2.21</v>
      </c>
      <c r="D152" s="16" t="str">
        <f>IFERROR(__xludf.DUMMYFUNCTION("""COMPUTED_VALUE"""),"L")</f>
        <v>L</v>
      </c>
      <c r="E152" s="16"/>
      <c r="F152" s="16"/>
      <c r="G152" s="16">
        <f>IFERROR(__xludf.DUMMYFUNCTION("""COMPUTED_VALUE"""),399.0)</f>
        <v>399</v>
      </c>
      <c r="H152" s="16">
        <f>IFERROR(__xludf.DUMMYFUNCTION("""COMPUTED_VALUE"""),40.0)</f>
        <v>40</v>
      </c>
      <c r="I152" s="16" t="str">
        <f>IFERROR(__xludf.DUMMYFUNCTION("""COMPUTED_VALUE"""),"2p60")</f>
        <v>2p60</v>
      </c>
      <c r="J152" s="16">
        <f>IFERROR(__xludf.DUMMYFUNCTION("""COMPUTED_VALUE"""),32.0)</f>
        <v>32</v>
      </c>
      <c r="K152" s="16">
        <f>IFERROR(__xludf.DUMMYFUNCTION("""COMPUTED_VALUE"""),37.0)</f>
        <v>37</v>
      </c>
      <c r="L152" s="16">
        <f>IFERROR(__xludf.DUMMYFUNCTION("""COMPUTED_VALUE"""),-1.0)</f>
        <v>-1</v>
      </c>
      <c r="M152" s="16">
        <f>IFERROR(__xludf.DUMMYFUNCTION("""COMPUTED_VALUE"""),-1.0)</f>
        <v>-1</v>
      </c>
      <c r="N152" s="16">
        <f>IFERROR(__xludf.DUMMYFUNCTION("""COMPUTED_VALUE"""),-1.0)</f>
        <v>-1</v>
      </c>
      <c r="O152" s="16">
        <f>IFERROR(__xludf.DUMMYFUNCTION("""COMPUTED_VALUE"""),-1.0)</f>
        <v>-1</v>
      </c>
      <c r="P152" s="16">
        <f>IFERROR(__xludf.DUMMYFUNCTION("""COMPUTED_VALUE"""),8.0)</f>
        <v>8</v>
      </c>
      <c r="Q152" s="16">
        <f>IFERROR(__xludf.DUMMYFUNCTION("""COMPUTED_VALUE"""),10.0)</f>
        <v>10</v>
      </c>
      <c r="R152" s="16">
        <f>IFERROR(__xludf.DUMMYFUNCTION("""COMPUTED_VALUE"""),0.0)</f>
        <v>0</v>
      </c>
      <c r="S152" s="16">
        <f>IFERROR(__xludf.DUMMYFUNCTION("""COMPUTED_VALUE"""),0.0)</f>
        <v>0</v>
      </c>
      <c r="T152" s="16">
        <f>IFERROR(__xludf.DUMMYFUNCTION("""COMPUTED_VALUE"""),0.0)</f>
        <v>0</v>
      </c>
      <c r="U152" s="16">
        <f>IFERROR(__xludf.DUMMYFUNCTION("""COMPUTED_VALUE"""),0.0)</f>
        <v>0</v>
      </c>
      <c r="V152" s="16">
        <f>IFERROR(__xludf.DUMMYFUNCTION("""COMPUTED_VALUE"""),7.9)</f>
        <v>7.9</v>
      </c>
      <c r="W152" s="16">
        <f>IFERROR(__xludf.DUMMYFUNCTION("""COMPUTED_VALUE"""),21.6)</f>
        <v>21.6</v>
      </c>
      <c r="X152" s="16">
        <f>IFERROR(__xludf.DUMMYFUNCTION("""COMPUTED_VALUE"""),-2.0)</f>
        <v>-2</v>
      </c>
      <c r="Y152" s="16">
        <f>IFERROR(__xludf.DUMMYFUNCTION("""COMPUTED_VALUE"""),0.0)</f>
        <v>0</v>
      </c>
      <c r="Z152" s="16">
        <f>IFERROR(__xludf.DUMMYFUNCTION("""COMPUTED_VALUE"""),-4.0)</f>
        <v>-4</v>
      </c>
      <c r="AA152" s="16">
        <f>IFERROR(__xludf.DUMMYFUNCTION("""COMPUTED_VALUE"""),0.0)</f>
        <v>0</v>
      </c>
      <c r="AB152" s="16">
        <f>IFERROR(__xludf.DUMMYFUNCTION("""COMPUTED_VALUE"""),17.9)</f>
        <v>17.9</v>
      </c>
      <c r="AC152" s="16">
        <f>IFERROR(__xludf.DUMMYFUNCTION("""COMPUTED_VALUE"""),33.6)</f>
        <v>33.6</v>
      </c>
      <c r="AD152" s="16">
        <f>IFERROR(__xludf.DUMMYFUNCTION("""COMPUTED_VALUE"""),-2.0)</f>
        <v>-2</v>
      </c>
      <c r="AE152" s="16">
        <f>IFERROR(__xludf.DUMMYFUNCTION("""COMPUTED_VALUE"""),0.0)</f>
        <v>0</v>
      </c>
      <c r="AF152" s="16">
        <f>IFERROR(__xludf.DUMMYFUNCTION("""COMPUTED_VALUE"""),-10.0)</f>
        <v>-10</v>
      </c>
      <c r="AG152" s="16">
        <f>IFERROR(__xludf.DUMMYFUNCTION("""COMPUTED_VALUE"""),0.0)</f>
        <v>0</v>
      </c>
      <c r="AH152" s="16">
        <f>IFERROR(__xludf.DUMMYFUNCTION("""COMPUTED_VALUE"""),15.3)</f>
        <v>15.3</v>
      </c>
      <c r="AI152" s="16">
        <f>IFERROR(__xludf.DUMMYFUNCTION("""COMPUTED_VALUE"""),42.4)</f>
        <v>42.4</v>
      </c>
      <c r="AJ152" s="16">
        <f>IFERROR(__xludf.DUMMYFUNCTION("""COMPUTED_VALUE"""),-1.0)</f>
        <v>-1</v>
      </c>
      <c r="AK152" s="16">
        <f>IFERROR(__xludf.DUMMYFUNCTION("""COMPUTED_VALUE"""),1.0)</f>
        <v>1</v>
      </c>
      <c r="AL152" s="16">
        <f>IFERROR(__xludf.DUMMYFUNCTION("""COMPUTED_VALUE"""),-5.0)</f>
        <v>-5</v>
      </c>
      <c r="AM152" s="16">
        <f>IFERROR(__xludf.DUMMYFUNCTION("""COMPUTED_VALUE"""),5.0)</f>
        <v>5</v>
      </c>
      <c r="AN152" s="16">
        <f>IFERROR(__xludf.DUMMYFUNCTION("""COMPUTED_VALUE"""),0.8)</f>
        <v>0.8</v>
      </c>
      <c r="AO152" s="16">
        <f>IFERROR(__xludf.DUMMYFUNCTION("""COMPUTED_VALUE"""),2.5)</f>
        <v>2.5</v>
      </c>
      <c r="AP152" s="16">
        <f>IFERROR(__xludf.DUMMYFUNCTION("""COMPUTED_VALUE"""),-2.0)</f>
        <v>-2</v>
      </c>
      <c r="AQ152" s="16">
        <f>IFERROR(__xludf.DUMMYFUNCTION("""COMPUTED_VALUE"""),0.0)</f>
        <v>0</v>
      </c>
      <c r="AR152" s="16">
        <f>IFERROR(__xludf.DUMMYFUNCTION("""COMPUTED_VALUE"""),-4.0)</f>
        <v>-4</v>
      </c>
      <c r="AS152" s="16">
        <f>IFERROR(__xludf.DUMMYFUNCTION("""COMPUTED_VALUE"""),0.0)</f>
        <v>0</v>
      </c>
      <c r="AT152" s="16">
        <f>IFERROR(__xludf.DUMMYFUNCTION("""COMPUTED_VALUE"""),0.0)</f>
        <v>0</v>
      </c>
      <c r="AU152" s="16">
        <f>IFERROR(__xludf.DUMMYFUNCTION("""COMPUTED_VALUE"""),5.0)</f>
        <v>5</v>
      </c>
      <c r="AV152" s="16">
        <f>IFERROR(__xludf.DUMMYFUNCTION("""COMPUTED_VALUE"""),0.0)</f>
        <v>0</v>
      </c>
      <c r="AW152" s="16">
        <f>IFERROR(__xludf.DUMMYFUNCTION("""COMPUTED_VALUE"""),5.0)</f>
        <v>5</v>
      </c>
      <c r="AX152" s="16">
        <f>IFERROR(__xludf.DUMMYFUNCTION("""COMPUTED_VALUE"""),-2.0)</f>
        <v>-2</v>
      </c>
      <c r="AY152" s="16">
        <f>IFERROR(__xludf.DUMMYFUNCTION("""COMPUTED_VALUE"""),2.0)</f>
        <v>2</v>
      </c>
      <c r="AZ152" s="16">
        <f>IFERROR(__xludf.DUMMYFUNCTION("""COMPUTED_VALUE"""),-6.0)</f>
        <v>-6</v>
      </c>
      <c r="BA152" s="16">
        <f>IFERROR(__xludf.DUMMYFUNCTION("""COMPUTED_VALUE"""),6.0)</f>
        <v>6</v>
      </c>
      <c r="BB152" s="16">
        <f>IFERROR(__xludf.DUMMYFUNCTION("""COMPUTED_VALUE"""),5.0)</f>
        <v>5</v>
      </c>
      <c r="BC152" s="16">
        <f>IFERROR(__xludf.DUMMYFUNCTION("""COMPUTED_VALUE"""),5.0)</f>
        <v>5</v>
      </c>
      <c r="BD152" s="16">
        <f>IFERROR(__xludf.DUMMYFUNCTION("""COMPUTED_VALUE"""),1.0)</f>
        <v>1</v>
      </c>
      <c r="BE152" s="16">
        <f>IFERROR(__xludf.DUMMYFUNCTION("""COMPUTED_VALUE"""),1.0)</f>
        <v>1</v>
      </c>
      <c r="BF152" s="16">
        <f>IFERROR(__xludf.DUMMYFUNCTION("""COMPUTED_VALUE"""),1.0)</f>
        <v>1</v>
      </c>
      <c r="BG152" s="16">
        <f>IFERROR(__xludf.DUMMYFUNCTION("""COMPUTED_VALUE"""),1.0)</f>
        <v>1</v>
      </c>
      <c r="BH152" s="16">
        <f>IFERROR(__xludf.DUMMYFUNCTION("""COMPUTED_VALUE"""),2.0)</f>
        <v>2</v>
      </c>
      <c r="BI152" s="16">
        <f>IFERROR(__xludf.DUMMYFUNCTION("""COMPUTED_VALUE"""),2.0)</f>
        <v>2</v>
      </c>
      <c r="BJ152" s="16">
        <f>IFERROR(__xludf.DUMMYFUNCTION("""COMPUTED_VALUE"""),14.0)</f>
        <v>14</v>
      </c>
      <c r="BK152" s="16">
        <f>IFERROR(__xludf.DUMMYFUNCTION("""COMPUTED_VALUE"""),12.0)</f>
        <v>12</v>
      </c>
      <c r="BL152" s="16">
        <f>IFERROR(__xludf.DUMMYFUNCTION("""COMPUTED_VALUE"""),0.0)</f>
        <v>0</v>
      </c>
      <c r="BM152" s="16">
        <f>IFERROR(__xludf.DUMMYFUNCTION("""COMPUTED_VALUE"""),0.0)</f>
        <v>0</v>
      </c>
      <c r="BN152" s="16">
        <f>IFERROR(__xludf.DUMMYFUNCTION("""COMPUTED_VALUE"""),0.0)</f>
        <v>0</v>
      </c>
      <c r="BO152" s="16">
        <f>IFERROR(__xludf.DUMMYFUNCTION("""COMPUTED_VALUE"""),0.0)</f>
        <v>0</v>
      </c>
      <c r="BP152" s="16">
        <f>IFERROR(__xludf.DUMMYFUNCTION("""COMPUTED_VALUE"""),-9.0)</f>
        <v>-9</v>
      </c>
      <c r="BQ152" s="16">
        <f>IFERROR(__xludf.DUMMYFUNCTION("""COMPUTED_VALUE"""),3.0)</f>
        <v>3</v>
      </c>
      <c r="BR152" s="16">
        <f>IFERROR(__xludf.DUMMYFUNCTION("""COMPUTED_VALUE"""),-6.0)</f>
        <v>-6</v>
      </c>
      <c r="BS152" s="16" t="str">
        <f>IFERROR(__xludf.DUMMYFUNCTION("""COMPUTED_VALUE"""),"*4,5/- (17-11)")</f>
        <v>*4,5/- (17-11)</v>
      </c>
      <c r="BT152" s="16" t="str">
        <f>IFERROR(__xludf.DUMMYFUNCTION("""COMPUTED_VALUE"""),"B")</f>
        <v>B</v>
      </c>
      <c r="BU152" s="16">
        <f>IFERROR(__xludf.DUMMYFUNCTION("""COMPUTED_VALUE"""),13.0)</f>
        <v>13</v>
      </c>
      <c r="BV152" s="16">
        <f>IFERROR(__xludf.DUMMYFUNCTION("""COMPUTED_VALUE"""),1.0)</f>
        <v>1</v>
      </c>
      <c r="BW152" s="16">
        <f>IFERROR(__xludf.DUMMYFUNCTION("""COMPUTED_VALUE"""),1.0)</f>
        <v>1</v>
      </c>
      <c r="BX152" s="16">
        <f>IFERROR(__xludf.DUMMYFUNCTION("""COMPUTED_VALUE"""),2.0)</f>
        <v>2</v>
      </c>
      <c r="BY152" s="16">
        <f>IFERROR(__xludf.DUMMYFUNCTION("""COMPUTED_VALUE"""),3.0)</f>
        <v>3</v>
      </c>
      <c r="BZ152" s="16" t="str">
        <f>IFERROR(__xludf.DUMMYFUNCTION("""COMPUTED_VALUE"""),"D")</f>
        <v>D</v>
      </c>
      <c r="CA152" s="16" t="str">
        <f>IFERROR(__xludf.DUMMYFUNCTION("""COMPUTED_VALUE"""),"D")</f>
        <v>D</v>
      </c>
      <c r="CB152" s="16">
        <f>IFERROR(__xludf.DUMMYFUNCTION("""COMPUTED_VALUE"""),0.0)</f>
        <v>0</v>
      </c>
      <c r="CC152" s="16">
        <f>IFERROR(__xludf.DUMMYFUNCTION("""COMPUTED_VALUE"""),0.0)</f>
        <v>0</v>
      </c>
      <c r="CD152" s="16">
        <f>IFERROR(__xludf.DUMMYFUNCTION("""COMPUTED_VALUE"""),0.0)</f>
        <v>0</v>
      </c>
      <c r="CE152" s="16">
        <f>IFERROR(__xludf.DUMMYFUNCTION("""COMPUTED_VALUE"""),0.0)</f>
        <v>0</v>
      </c>
      <c r="CF152" s="16">
        <f>IFERROR(__xludf.DUMMYFUNCTION("""COMPUTED_VALUE"""),2.0)</f>
        <v>2</v>
      </c>
      <c r="CG152" s="16">
        <f>IFERROR(__xludf.DUMMYFUNCTION("""COMPUTED_VALUE"""),-29.0)</f>
        <v>-29</v>
      </c>
      <c r="CH152" s="16">
        <f>IFERROR(__xludf.DUMMYFUNCTION("""COMPUTED_VALUE"""),11.0)</f>
        <v>11</v>
      </c>
      <c r="CI152" s="179">
        <f>IFERROR(__xludf.DUMMYFUNCTION("""COMPUTED_VALUE"""),5.0)</f>
        <v>5</v>
      </c>
      <c r="CJ152" s="16"/>
      <c r="CK152" s="16"/>
      <c r="CL152" s="16"/>
      <c r="CM152" s="16"/>
      <c r="CN152" s="16"/>
      <c r="CO152" s="16">
        <f>IFERROR(__xludf.DUMMYFUNCTION("""COMPUTED_VALUE"""),211.0)</f>
        <v>211</v>
      </c>
      <c r="CP152" s="16"/>
      <c r="CQ152" s="16">
        <f>IFERROR(__xludf.DUMMYFUNCTION("""COMPUTED_VALUE"""),111.0)</f>
        <v>111</v>
      </c>
      <c r="CR152" s="16" t="str">
        <f>IFERROR(__xludf.DUMMYFUNCTION("""COMPUTED_VALUE"""),"rf-1(-4)e11 lf-2e11")</f>
        <v>rf-1(-4)e11 lf-2e11</v>
      </c>
      <c r="CS152" s="16"/>
      <c r="CT152" s="16"/>
      <c r="CU152" s="16"/>
      <c r="CV152" s="16"/>
      <c r="CW152" s="16"/>
      <c r="CX152" s="16">
        <f>IFERROR(__xludf.DUMMYFUNCTION("""COMPUTED_VALUE"""),2.0)</f>
        <v>2</v>
      </c>
      <c r="CY152" s="16"/>
      <c r="CZ152" s="16">
        <f>IFERROR(__xludf.DUMMYFUNCTION("""COMPUTED_VALUE"""),1.0)</f>
        <v>1</v>
      </c>
      <c r="DA152" s="16"/>
      <c r="DB152" s="16"/>
      <c r="DC152" s="16"/>
      <c r="DD152" s="16"/>
      <c r="DE152" s="16"/>
      <c r="DF152" s="16">
        <f>IFERROR(__xludf.DUMMYFUNCTION("""COMPUTED_VALUE"""),11.0)</f>
        <v>11</v>
      </c>
      <c r="DG152" s="16"/>
      <c r="DH152" s="16">
        <f>IFERROR(__xludf.DUMMYFUNCTION("""COMPUTED_VALUE"""),11.0)</f>
        <v>11</v>
      </c>
      <c r="DI152" s="16"/>
      <c r="DJ152" s="16"/>
      <c r="DK152" s="16"/>
      <c r="DL152" s="16"/>
      <c r="DM152" s="16"/>
      <c r="DN152" s="16">
        <f>IFERROR(__xludf.DUMMYFUNCTION("""COMPUTED_VALUE"""),3.0)</f>
        <v>3</v>
      </c>
      <c r="DO152" s="16"/>
      <c r="DP152" s="16">
        <f>IFERROR(__xludf.DUMMYFUNCTION("""COMPUTED_VALUE"""),4.0)</f>
        <v>4</v>
      </c>
      <c r="DQ152" s="16"/>
      <c r="DR152" s="16"/>
      <c r="DS152" s="16"/>
      <c r="DT152" s="16"/>
      <c r="DU152" s="16"/>
      <c r="DV152" s="16">
        <f>IFERROR(__xludf.DUMMYFUNCTION("""COMPUTED_VALUE"""),0.0)</f>
        <v>0</v>
      </c>
      <c r="DW152" s="16"/>
      <c r="DX152" s="16">
        <f>IFERROR(__xludf.DUMMYFUNCTION("""COMPUTED_VALUE"""),0.0)</f>
        <v>0</v>
      </c>
      <c r="DY152" s="16"/>
      <c r="DZ152" s="16"/>
      <c r="EA152" s="16"/>
      <c r="EB152" s="16"/>
      <c r="EC152" s="16"/>
      <c r="ED152" s="16">
        <f>IFERROR(__xludf.DUMMYFUNCTION("""COMPUTED_VALUE"""),3.0)</f>
        <v>3</v>
      </c>
      <c r="EE152" s="16"/>
      <c r="EF152" s="16">
        <f>IFERROR(__xludf.DUMMYFUNCTION("""COMPUTED_VALUE"""),4.0)</f>
        <v>4</v>
      </c>
      <c r="EG152" s="179"/>
      <c r="EH152" s="179"/>
      <c r="EI152" s="179"/>
      <c r="EJ152" s="179"/>
      <c r="EK152" s="179"/>
      <c r="EL152" s="179">
        <f>IFERROR(__xludf.DUMMYFUNCTION("""COMPUTED_VALUE"""),8.0)</f>
        <v>8</v>
      </c>
      <c r="EM152" s="179"/>
      <c r="EN152" s="179">
        <f>IFERROR(__xludf.DUMMYFUNCTION("""COMPUTED_VALUE"""),9.0)</f>
        <v>9</v>
      </c>
      <c r="EO152" s="16"/>
      <c r="EP152" s="16"/>
      <c r="EQ152" s="16">
        <f>IFERROR(__xludf.DUMMYFUNCTION("""COMPUTED_VALUE"""),2.0)</f>
        <v>2</v>
      </c>
      <c r="ER152" s="16">
        <f>IFERROR(__xludf.DUMMYFUNCTION("""COMPUTED_VALUE"""),1.0)</f>
        <v>1</v>
      </c>
      <c r="ES152" s="16"/>
      <c r="ET152" s="16"/>
      <c r="EU152" s="16"/>
      <c r="EV152" s="16"/>
      <c r="EW152" s="16"/>
      <c r="EX152" s="180"/>
      <c r="EY152" s="180"/>
      <c r="EZ152" s="180"/>
      <c r="FA152" s="180"/>
      <c r="FB152" s="180"/>
      <c r="FC152" s="180">
        <f>IFERROR(__xludf.DUMMYFUNCTION("""COMPUTED_VALUE"""),0.15)</f>
        <v>0.15</v>
      </c>
      <c r="FD152" s="180"/>
      <c r="FE152" s="180">
        <f>IFERROR(__xludf.DUMMYFUNCTION("""COMPUTED_VALUE"""),0.0)</f>
        <v>0</v>
      </c>
      <c r="FF152" s="180"/>
      <c r="FG152" s="180"/>
      <c r="FH152" s="180"/>
      <c r="FI152" s="180"/>
      <c r="FJ152" s="180"/>
      <c r="FK152" s="180">
        <f>IFERROR(__xludf.DUMMYFUNCTION("""COMPUTED_VALUE"""),0.194)</f>
        <v>0.194</v>
      </c>
      <c r="FL152" s="180"/>
      <c r="FM152" s="180">
        <f>IFERROR(__xludf.DUMMYFUNCTION("""COMPUTED_VALUE"""),0.194)</f>
        <v>0.194</v>
      </c>
      <c r="FN152" s="16"/>
      <c r="FO152" s="16"/>
      <c r="FP152" s="16"/>
      <c r="FQ152" s="16"/>
      <c r="FR152" s="16"/>
      <c r="FS152" s="16">
        <f>IFERROR(__xludf.DUMMYFUNCTION("""COMPUTED_VALUE"""),0.6851)</f>
        <v>0.6851</v>
      </c>
      <c r="FT152" s="16"/>
      <c r="FU152" s="16">
        <f>IFERROR(__xludf.DUMMYFUNCTION("""COMPUTED_VALUE"""),0.806)</f>
        <v>0.806</v>
      </c>
      <c r="FV152" s="16"/>
      <c r="FW152" s="16"/>
      <c r="FX152" s="16"/>
      <c r="FY152" s="16"/>
      <c r="FZ152" s="16"/>
      <c r="GA152" s="16">
        <f>IFERROR(__xludf.DUMMYFUNCTION("""COMPUTED_VALUE"""),-4.0)</f>
        <v>-4</v>
      </c>
      <c r="GB152" s="16"/>
      <c r="GC152" s="16">
        <f>IFERROR(__xludf.DUMMYFUNCTION("""COMPUTED_VALUE"""),1.0)</f>
        <v>1</v>
      </c>
      <c r="GD152" s="16" t="s">
        <v>387</v>
      </c>
    </row>
    <row r="153">
      <c r="A153" s="16">
        <f>IFERROR(__xludf.DUMMYFUNCTION("""COMPUTED_VALUE"""),12740.0)</f>
        <v>12740</v>
      </c>
      <c r="B153" s="16" t="str">
        <f>IFERROR(__xludf.DUMMYFUNCTION("""COMPUTED_VALUE"""),"David Fry")</f>
        <v>David Fry</v>
      </c>
      <c r="C153" s="16">
        <f>IFERROR(__xludf.DUMMYFUNCTION("""COMPUTED_VALUE"""),1.04)</f>
        <v>1.04</v>
      </c>
      <c r="D153" s="16" t="str">
        <f>IFERROR(__xludf.DUMMYFUNCTION("""COMPUTED_VALUE"""),"R")</f>
        <v>R</v>
      </c>
      <c r="E153" s="16"/>
      <c r="F153" s="16"/>
      <c r="G153" s="16">
        <f>IFERROR(__xludf.DUMMYFUNCTION("""COMPUTED_VALUE"""),335.0)</f>
        <v>335</v>
      </c>
      <c r="H153" s="16">
        <f>IFERROR(__xludf.DUMMYFUNCTION("""COMPUTED_VALUE"""),42.0)</f>
        <v>42</v>
      </c>
      <c r="I153" s="16" t="str">
        <f>IFERROR(__xludf.DUMMYFUNCTION("""COMPUTED_VALUE"""),"2p60")</f>
        <v>2p60</v>
      </c>
      <c r="J153" s="16">
        <f>IFERROR(__xludf.DUMMYFUNCTION("""COMPUTED_VALUE"""),21.0)</f>
        <v>21</v>
      </c>
      <c r="K153" s="16">
        <f>IFERROR(__xludf.DUMMYFUNCTION("""COMPUTED_VALUE"""),23.0)</f>
        <v>23</v>
      </c>
      <c r="L153" s="16">
        <f>IFERROR(__xludf.DUMMYFUNCTION("""COMPUTED_VALUE"""),0.0)</f>
        <v>0</v>
      </c>
      <c r="M153" s="16">
        <f>IFERROR(__xludf.DUMMYFUNCTION("""COMPUTED_VALUE"""),0.0)</f>
        <v>0</v>
      </c>
      <c r="N153" s="16">
        <f>IFERROR(__xludf.DUMMYFUNCTION("""COMPUTED_VALUE"""),0.0)</f>
        <v>0</v>
      </c>
      <c r="O153" s="16">
        <f>IFERROR(__xludf.DUMMYFUNCTION("""COMPUTED_VALUE"""),0.0)</f>
        <v>0</v>
      </c>
      <c r="P153" s="16">
        <f>IFERROR(__xludf.DUMMYFUNCTION("""COMPUTED_VALUE"""),27.0)</f>
        <v>27</v>
      </c>
      <c r="Q153" s="16">
        <f>IFERROR(__xludf.DUMMYFUNCTION("""COMPUTED_VALUE"""),4.0)</f>
        <v>4</v>
      </c>
      <c r="R153" s="16">
        <f>IFERROR(__xludf.DUMMYFUNCTION("""COMPUTED_VALUE"""),3.0)</f>
        <v>3</v>
      </c>
      <c r="S153" s="16">
        <f>IFERROR(__xludf.DUMMYFUNCTION("""COMPUTED_VALUE"""),-2.0)</f>
        <v>-2</v>
      </c>
      <c r="T153" s="16">
        <f>IFERROR(__xludf.DUMMYFUNCTION("""COMPUTED_VALUE"""),3.0)</f>
        <v>3</v>
      </c>
      <c r="U153" s="16">
        <f>IFERROR(__xludf.DUMMYFUNCTION("""COMPUTED_VALUE"""),-2.0)</f>
        <v>-2</v>
      </c>
      <c r="V153" s="16">
        <f>IFERROR(__xludf.DUMMYFUNCTION("""COMPUTED_VALUE"""),20.7)</f>
        <v>20.7</v>
      </c>
      <c r="W153" s="16">
        <f>IFERROR(__xludf.DUMMYFUNCTION("""COMPUTED_VALUE"""),23.0)</f>
        <v>23</v>
      </c>
      <c r="X153" s="16">
        <f>IFERROR(__xludf.DUMMYFUNCTION("""COMPUTED_VALUE"""),0.0)</f>
        <v>0</v>
      </c>
      <c r="Y153" s="16">
        <f>IFERROR(__xludf.DUMMYFUNCTION("""COMPUTED_VALUE"""),1.0)</f>
        <v>1</v>
      </c>
      <c r="Z153" s="16">
        <f>IFERROR(__xludf.DUMMYFUNCTION("""COMPUTED_VALUE"""),0.0)</f>
        <v>0</v>
      </c>
      <c r="AA153" s="16">
        <f>IFERROR(__xludf.DUMMYFUNCTION("""COMPUTED_VALUE"""),2.0)</f>
        <v>2</v>
      </c>
      <c r="AB153" s="16">
        <f>IFERROR(__xludf.DUMMYFUNCTION("""COMPUTED_VALUE"""),52.7)</f>
        <v>52.7</v>
      </c>
      <c r="AC153" s="16">
        <f>IFERROR(__xludf.DUMMYFUNCTION("""COMPUTED_VALUE"""),32.0)</f>
        <v>32</v>
      </c>
      <c r="AD153" s="16">
        <f>IFERROR(__xludf.DUMMYFUNCTION("""COMPUTED_VALUE"""),2.0)</f>
        <v>2</v>
      </c>
      <c r="AE153" s="16">
        <f>IFERROR(__xludf.DUMMYFUNCTION("""COMPUTED_VALUE"""),0.0)</f>
        <v>0</v>
      </c>
      <c r="AF153" s="16">
        <f>IFERROR(__xludf.DUMMYFUNCTION("""COMPUTED_VALUE"""),10.0)</f>
        <v>10</v>
      </c>
      <c r="AG153" s="16">
        <f>IFERROR(__xludf.DUMMYFUNCTION("""COMPUTED_VALUE"""),0.0)</f>
        <v>0</v>
      </c>
      <c r="AH153" s="16">
        <f>IFERROR(__xludf.DUMMYFUNCTION("""COMPUTED_VALUE"""),45.1)</f>
        <v>45.1</v>
      </c>
      <c r="AI153" s="16">
        <f>IFERROR(__xludf.DUMMYFUNCTION("""COMPUTED_VALUE"""),31.7)</f>
        <v>31.7</v>
      </c>
      <c r="AJ153" s="16">
        <f>IFERROR(__xludf.DUMMYFUNCTION("""COMPUTED_VALUE"""),1.0)</f>
        <v>1</v>
      </c>
      <c r="AK153" s="16">
        <f>IFERROR(__xludf.DUMMYFUNCTION("""COMPUTED_VALUE"""),0.0)</f>
        <v>0</v>
      </c>
      <c r="AL153" s="16">
        <f>IFERROR(__xludf.DUMMYFUNCTION("""COMPUTED_VALUE"""),5.0)</f>
        <v>5</v>
      </c>
      <c r="AM153" s="16">
        <f>IFERROR(__xludf.DUMMYFUNCTION("""COMPUTED_VALUE"""),0.0)</f>
        <v>0</v>
      </c>
      <c r="AN153" s="16">
        <f>IFERROR(__xludf.DUMMYFUNCTION("""COMPUTED_VALUE"""),5.8)</f>
        <v>5.8</v>
      </c>
      <c r="AO153" s="16">
        <f>IFERROR(__xludf.DUMMYFUNCTION("""COMPUTED_VALUE"""),1.3)</f>
        <v>1.3</v>
      </c>
      <c r="AP153" s="16">
        <f>IFERROR(__xludf.DUMMYFUNCTION("""COMPUTED_VALUE"""),3.0)</f>
        <v>3</v>
      </c>
      <c r="AQ153" s="16">
        <f>IFERROR(__xludf.DUMMYFUNCTION("""COMPUTED_VALUE"""),-1.0)</f>
        <v>-1</v>
      </c>
      <c r="AR153" s="16">
        <f>IFERROR(__xludf.DUMMYFUNCTION("""COMPUTED_VALUE"""),6.0)</f>
        <v>6</v>
      </c>
      <c r="AS153" s="16">
        <f>IFERROR(__xludf.DUMMYFUNCTION("""COMPUTED_VALUE"""),-2.0)</f>
        <v>-2</v>
      </c>
      <c r="AT153" s="16">
        <f>IFERROR(__xludf.DUMMYFUNCTION("""COMPUTED_VALUE"""),8.0)</f>
        <v>8</v>
      </c>
      <c r="AU153" s="16">
        <f>IFERROR(__xludf.DUMMYFUNCTION("""COMPUTED_VALUE"""),1.0)</f>
        <v>1</v>
      </c>
      <c r="AV153" s="16">
        <f>IFERROR(__xludf.DUMMYFUNCTION("""COMPUTED_VALUE"""),8.0)</f>
        <v>8</v>
      </c>
      <c r="AW153" s="16">
        <f>IFERROR(__xludf.DUMMYFUNCTION("""COMPUTED_VALUE"""),1.0)</f>
        <v>1</v>
      </c>
      <c r="AX153" s="16">
        <f>IFERROR(__xludf.DUMMYFUNCTION("""COMPUTED_VALUE"""),3.0)</f>
        <v>3</v>
      </c>
      <c r="AY153" s="16">
        <f>IFERROR(__xludf.DUMMYFUNCTION("""COMPUTED_VALUE"""),-1.0)</f>
        <v>-1</v>
      </c>
      <c r="AZ153" s="16">
        <f>IFERROR(__xludf.DUMMYFUNCTION("""COMPUTED_VALUE"""),9.0)</f>
        <v>9</v>
      </c>
      <c r="BA153" s="16">
        <f>IFERROR(__xludf.DUMMYFUNCTION("""COMPUTED_VALUE"""),-3.0)</f>
        <v>-3</v>
      </c>
      <c r="BB153" s="16">
        <f>IFERROR(__xludf.DUMMYFUNCTION("""COMPUTED_VALUE"""),5.0)</f>
        <v>5</v>
      </c>
      <c r="BC153" s="16">
        <f>IFERROR(__xludf.DUMMYFUNCTION("""COMPUTED_VALUE"""),5.0)</f>
        <v>5</v>
      </c>
      <c r="BD153" s="16">
        <f>IFERROR(__xludf.DUMMYFUNCTION("""COMPUTED_VALUE"""),1.0)</f>
        <v>1</v>
      </c>
      <c r="BE153" s="16">
        <f>IFERROR(__xludf.DUMMYFUNCTION("""COMPUTED_VALUE"""),1.0)</f>
        <v>1</v>
      </c>
      <c r="BF153" s="16">
        <f>IFERROR(__xludf.DUMMYFUNCTION("""COMPUTED_VALUE"""),1.0)</f>
        <v>1</v>
      </c>
      <c r="BG153" s="16">
        <f>IFERROR(__xludf.DUMMYFUNCTION("""COMPUTED_VALUE"""),1.0)</f>
        <v>1</v>
      </c>
      <c r="BH153" s="16">
        <f>IFERROR(__xludf.DUMMYFUNCTION("""COMPUTED_VALUE"""),-6.0)</f>
        <v>-6</v>
      </c>
      <c r="BI153" s="16">
        <f>IFERROR(__xludf.DUMMYFUNCTION("""COMPUTED_VALUE"""),-11.0)</f>
        <v>-11</v>
      </c>
      <c r="BJ153" s="16">
        <f>IFERROR(__xludf.DUMMYFUNCTION("""COMPUTED_VALUE"""),19.0)</f>
        <v>19</v>
      </c>
      <c r="BK153" s="16">
        <f>IFERROR(__xludf.DUMMYFUNCTION("""COMPUTED_VALUE"""),27.0)</f>
        <v>27</v>
      </c>
      <c r="BL153" s="16">
        <f>IFERROR(__xludf.DUMMYFUNCTION("""COMPUTED_VALUE"""),-1.0)</f>
        <v>-1</v>
      </c>
      <c r="BM153" s="16">
        <f>IFERROR(__xludf.DUMMYFUNCTION("""COMPUTED_VALUE"""),-2.0)</f>
        <v>-2</v>
      </c>
      <c r="BN153" s="16">
        <f>IFERROR(__xludf.DUMMYFUNCTION("""COMPUTED_VALUE"""),-2.0)</f>
        <v>-2</v>
      </c>
      <c r="BO153" s="16">
        <f>IFERROR(__xludf.DUMMYFUNCTION("""COMPUTED_VALUE"""),-4.0)</f>
        <v>-4</v>
      </c>
      <c r="BP153" s="16">
        <f>IFERROR(__xludf.DUMMYFUNCTION("""COMPUTED_VALUE"""),12.0)</f>
        <v>12</v>
      </c>
      <c r="BQ153" s="16">
        <f>IFERROR(__xludf.DUMMYFUNCTION("""COMPUTED_VALUE"""),-4.0)</f>
        <v>-4</v>
      </c>
      <c r="BR153" s="16">
        <f>IFERROR(__xludf.DUMMYFUNCTION("""COMPUTED_VALUE"""),8.0)</f>
        <v>8</v>
      </c>
      <c r="BS153" s="16" t="str">
        <f>IFERROR(__xludf.DUMMYFUNCTION("""COMPUTED_VALUE"""),"4/- (16-6)")</f>
        <v>4/- (16-6)</v>
      </c>
      <c r="BT153" s="16" t="str">
        <f>IFERROR(__xludf.DUMMYFUNCTION("""COMPUTED_VALUE"""),"C")</f>
        <v>C</v>
      </c>
      <c r="BU153" s="16">
        <f>IFERROR(__xludf.DUMMYFUNCTION("""COMPUTED_VALUE"""),11.0)</f>
        <v>11</v>
      </c>
      <c r="BV153" s="16">
        <f>IFERROR(__xludf.DUMMYFUNCTION("""COMPUTED_VALUE"""),0.0)</f>
        <v>0</v>
      </c>
      <c r="BW153" s="16">
        <f>IFERROR(__xludf.DUMMYFUNCTION("""COMPUTED_VALUE"""),0.0)</f>
        <v>0</v>
      </c>
      <c r="BX153" s="16">
        <f>IFERROR(__xludf.DUMMYFUNCTION("""COMPUTED_VALUE"""),0.0)</f>
        <v>0</v>
      </c>
      <c r="BY153" s="16">
        <f>IFERROR(__xludf.DUMMYFUNCTION("""COMPUTED_VALUE"""),0.0)</f>
        <v>0</v>
      </c>
      <c r="BZ153" s="16" t="str">
        <f>IFERROR(__xludf.DUMMYFUNCTION("""COMPUTED_VALUE"""),"D")</f>
        <v>D</v>
      </c>
      <c r="CA153" s="16" t="str">
        <f>IFERROR(__xludf.DUMMYFUNCTION("""COMPUTED_VALUE"""),"D")</f>
        <v>D</v>
      </c>
      <c r="CB153" s="16">
        <f>IFERROR(__xludf.DUMMYFUNCTION("""COMPUTED_VALUE"""),0.0)</f>
        <v>0</v>
      </c>
      <c r="CC153" s="16">
        <f>IFERROR(__xludf.DUMMYFUNCTION("""COMPUTED_VALUE"""),0.0)</f>
        <v>0</v>
      </c>
      <c r="CD153" s="16">
        <f>IFERROR(__xludf.DUMMYFUNCTION("""COMPUTED_VALUE"""),0.0)</f>
        <v>0</v>
      </c>
      <c r="CE153" s="16">
        <f>IFERROR(__xludf.DUMMYFUNCTION("""COMPUTED_VALUE"""),0.0)</f>
        <v>0</v>
      </c>
      <c r="CF153" s="16">
        <f>IFERROR(__xludf.DUMMYFUNCTION("""COMPUTED_VALUE"""),2.0)</f>
        <v>2</v>
      </c>
      <c r="CG153" s="16">
        <f>IFERROR(__xludf.DUMMYFUNCTION("""COMPUTED_VALUE"""),32.0)</f>
        <v>32</v>
      </c>
      <c r="CH153" s="16">
        <f>IFERROR(__xludf.DUMMYFUNCTION("""COMPUTED_VALUE"""),-8.0)</f>
        <v>-8</v>
      </c>
      <c r="CI153" s="179">
        <f>IFERROR(__xludf.DUMMYFUNCTION("""COMPUTED_VALUE"""),5.0)</f>
        <v>5</v>
      </c>
      <c r="CJ153" s="16">
        <f>IFERROR(__xludf.DUMMYFUNCTION("""COMPUTED_VALUE"""),405.0)</f>
        <v>405</v>
      </c>
      <c r="CK153" s="16">
        <f>IFERROR(__xludf.DUMMYFUNCTION("""COMPUTED_VALUE"""),420.0)</f>
        <v>420</v>
      </c>
      <c r="CL153" s="16"/>
      <c r="CM153" s="16">
        <f>IFERROR(__xludf.DUMMYFUNCTION("""COMPUTED_VALUE"""),408.0)</f>
        <v>408</v>
      </c>
      <c r="CN153" s="16"/>
      <c r="CO153" s="16">
        <f>IFERROR(__xludf.DUMMYFUNCTION("""COMPUTED_VALUE"""),413.0)</f>
        <v>413</v>
      </c>
      <c r="CP153" s="16"/>
      <c r="CQ153" s="16">
        <f>IFERROR(__xludf.DUMMYFUNCTION("""COMPUTED_VALUE"""),413.0)</f>
        <v>413</v>
      </c>
      <c r="CR153" s="16" t="str">
        <f>IFERROR(__xludf.DUMMYFUNCTION("""COMPUTED_VALUE"""),"1b-4e20 c-4(+2)e5,T-1(pb-0) lf-4(0)e13 rf-4e13 3b-4e8")</f>
        <v>1b-4e20 c-4(+2)e5,T-1(pb-0) lf-4(0)e13 rf-4e13 3b-4e8</v>
      </c>
      <c r="CS153" s="16">
        <f>IFERROR(__xludf.DUMMYFUNCTION("""COMPUTED_VALUE"""),4.0)</f>
        <v>4</v>
      </c>
      <c r="CT153" s="16">
        <f>IFERROR(__xludf.DUMMYFUNCTION("""COMPUTED_VALUE"""),4.0)</f>
        <v>4</v>
      </c>
      <c r="CU153" s="16"/>
      <c r="CV153" s="16">
        <f>IFERROR(__xludf.DUMMYFUNCTION("""COMPUTED_VALUE"""),4.0)</f>
        <v>4</v>
      </c>
      <c r="CW153" s="16"/>
      <c r="CX153" s="16">
        <f>IFERROR(__xludf.DUMMYFUNCTION("""COMPUTED_VALUE"""),4.0)</f>
        <v>4</v>
      </c>
      <c r="CY153" s="16"/>
      <c r="CZ153" s="16">
        <f>IFERROR(__xludf.DUMMYFUNCTION("""COMPUTED_VALUE"""),4.0)</f>
        <v>4</v>
      </c>
      <c r="DA153" s="16">
        <f>IFERROR(__xludf.DUMMYFUNCTION("""COMPUTED_VALUE"""),5.0)</f>
        <v>5</v>
      </c>
      <c r="DB153" s="16">
        <f>IFERROR(__xludf.DUMMYFUNCTION("""COMPUTED_VALUE"""),20.0)</f>
        <v>20</v>
      </c>
      <c r="DC153" s="16"/>
      <c r="DD153" s="16">
        <f>IFERROR(__xludf.DUMMYFUNCTION("""COMPUTED_VALUE"""),8.0)</f>
        <v>8</v>
      </c>
      <c r="DE153" s="16"/>
      <c r="DF153" s="16">
        <f>IFERROR(__xludf.DUMMYFUNCTION("""COMPUTED_VALUE"""),13.0)</f>
        <v>13</v>
      </c>
      <c r="DG153" s="16"/>
      <c r="DH153" s="16">
        <f>IFERROR(__xludf.DUMMYFUNCTION("""COMPUTED_VALUE"""),13.0)</f>
        <v>13</v>
      </c>
      <c r="DI153" s="16">
        <f>IFERROR(__xludf.DUMMYFUNCTION("""COMPUTED_VALUE"""),-2.0)</f>
        <v>-2</v>
      </c>
      <c r="DJ153" s="16">
        <f>IFERROR(__xludf.DUMMYFUNCTION("""COMPUTED_VALUE"""),0.0)</f>
        <v>0</v>
      </c>
      <c r="DK153" s="16"/>
      <c r="DL153" s="16">
        <f>IFERROR(__xludf.DUMMYFUNCTION("""COMPUTED_VALUE"""),0.0)</f>
        <v>0</v>
      </c>
      <c r="DM153" s="16"/>
      <c r="DN153" s="16">
        <f>IFERROR(__xludf.DUMMYFUNCTION("""COMPUTED_VALUE"""),-1.0)</f>
        <v>-1</v>
      </c>
      <c r="DO153" s="16"/>
      <c r="DP153" s="16">
        <f>IFERROR(__xludf.DUMMYFUNCTION("""COMPUTED_VALUE"""),-1.0)</f>
        <v>-1</v>
      </c>
      <c r="DQ153" s="16">
        <f>IFERROR(__xludf.DUMMYFUNCTION("""COMPUTED_VALUE"""),2.0)</f>
        <v>2</v>
      </c>
      <c r="DR153" s="16">
        <f>IFERROR(__xludf.DUMMYFUNCTION("""COMPUTED_VALUE"""),0.0)</f>
        <v>0</v>
      </c>
      <c r="DS153" s="16"/>
      <c r="DT153" s="16">
        <f>IFERROR(__xludf.DUMMYFUNCTION("""COMPUTED_VALUE"""),2.0)</f>
        <v>2</v>
      </c>
      <c r="DU153" s="16"/>
      <c r="DV153" s="16">
        <f>IFERROR(__xludf.DUMMYFUNCTION("""COMPUTED_VALUE"""),-2.0)</f>
        <v>-2</v>
      </c>
      <c r="DW153" s="16"/>
      <c r="DX153" s="16">
        <f>IFERROR(__xludf.DUMMYFUNCTION("""COMPUTED_VALUE"""),-2.0)</f>
        <v>-2</v>
      </c>
      <c r="DY153" s="16">
        <f>IFERROR(__xludf.DUMMYFUNCTION("""COMPUTED_VALUE"""),0.0)</f>
        <v>0</v>
      </c>
      <c r="DZ153" s="16">
        <f>IFERROR(__xludf.DUMMYFUNCTION("""COMPUTED_VALUE"""),0.0)</f>
        <v>0</v>
      </c>
      <c r="EA153" s="16"/>
      <c r="EB153" s="16">
        <f>IFERROR(__xludf.DUMMYFUNCTION("""COMPUTED_VALUE"""),2.0)</f>
        <v>2</v>
      </c>
      <c r="EC153" s="16"/>
      <c r="ED153" s="16">
        <f>IFERROR(__xludf.DUMMYFUNCTION("""COMPUTED_VALUE"""),-3.0)</f>
        <v>-3</v>
      </c>
      <c r="EE153" s="16"/>
      <c r="EF153" s="16">
        <f>IFERROR(__xludf.DUMMYFUNCTION("""COMPUTED_VALUE"""),-3.0)</f>
        <v>-3</v>
      </c>
      <c r="EG153" s="179">
        <f>IFERROR(__xludf.DUMMYFUNCTION("""COMPUTED_VALUE"""),5.0)</f>
        <v>5</v>
      </c>
      <c r="EH153" s="179">
        <f>IFERROR(__xludf.DUMMYFUNCTION("""COMPUTED_VALUE"""),5.0)</f>
        <v>5</v>
      </c>
      <c r="EI153" s="179"/>
      <c r="EJ153" s="179">
        <f>IFERROR(__xludf.DUMMYFUNCTION("""COMPUTED_VALUE"""),7.0)</f>
        <v>7</v>
      </c>
      <c r="EK153" s="179"/>
      <c r="EL153" s="179">
        <f>IFERROR(__xludf.DUMMYFUNCTION("""COMPUTED_VALUE"""),2.0)</f>
        <v>2</v>
      </c>
      <c r="EM153" s="179"/>
      <c r="EN153" s="179">
        <f>IFERROR(__xludf.DUMMYFUNCTION("""COMPUTED_VALUE"""),2.0)</f>
        <v>2</v>
      </c>
      <c r="EO153" s="16"/>
      <c r="EP153" s="16">
        <f>IFERROR(__xludf.DUMMYFUNCTION("""COMPUTED_VALUE"""),0.0)</f>
        <v>0</v>
      </c>
      <c r="EQ153" s="16">
        <f>IFERROR(__xludf.DUMMYFUNCTION("""COMPUTED_VALUE"""),2.0)</f>
        <v>2</v>
      </c>
      <c r="ER153" s="16">
        <f>IFERROR(__xludf.DUMMYFUNCTION("""COMPUTED_VALUE"""),1.0)</f>
        <v>1</v>
      </c>
      <c r="ES153" s="16" t="str">
        <f>IFERROR(__xludf.DUMMYFUNCTION("""COMPUTED_VALUE"""),"1b-4e20 c-4")</f>
        <v>1b-4e20 c-4</v>
      </c>
      <c r="ET153" s="16" t="str">
        <f>IFERROR(__xludf.DUMMYFUNCTION("""COMPUTED_VALUE"""),"+2)e5,T-1")</f>
        <v>+2)e5,T-1</v>
      </c>
      <c r="EU153" s="16" t="str">
        <f>IFERROR(__xludf.DUMMYFUNCTION("""COMPUTED_VALUE"""),"pb-0) lf-4")</f>
        <v>pb-0) lf-4</v>
      </c>
      <c r="EV153" s="16" t="str">
        <f>IFERROR(__xludf.DUMMYFUNCTION("""COMPUTED_VALUE"""),"0)e13 rf-4e13 3b-4e8")</f>
        <v>0)e13 rf-4e13 3b-4e8</v>
      </c>
      <c r="EW153" s="16"/>
      <c r="EX153" s="180">
        <f>IFERROR(__xludf.DUMMYFUNCTION("""COMPUTED_VALUE"""),0.3)</f>
        <v>0.3</v>
      </c>
      <c r="EY153" s="180">
        <f>IFERROR(__xludf.DUMMYFUNCTION("""COMPUTED_VALUE"""),0.3)</f>
        <v>0.3</v>
      </c>
      <c r="EZ153" s="180"/>
      <c r="FA153" s="180">
        <f>IFERROR(__xludf.DUMMYFUNCTION("""COMPUTED_VALUE"""),0.3)</f>
        <v>0.3</v>
      </c>
      <c r="FB153" s="180"/>
      <c r="FC153" s="180">
        <f>IFERROR(__xludf.DUMMYFUNCTION("""COMPUTED_VALUE"""),0.55)</f>
        <v>0.55</v>
      </c>
      <c r="FD153" s="180"/>
      <c r="FE153" s="180">
        <f>IFERROR(__xludf.DUMMYFUNCTION("""COMPUTED_VALUE"""),0.55)</f>
        <v>0.55</v>
      </c>
      <c r="FF153" s="180">
        <f>IFERROR(__xludf.DUMMYFUNCTION("""COMPUTED_VALUE"""),0.061)</f>
        <v>0.061</v>
      </c>
      <c r="FG153" s="180">
        <f>IFERROR(__xludf.DUMMYFUNCTION("""COMPUTED_VALUE"""),0.3611111111111111)</f>
        <v>0.3611111111</v>
      </c>
      <c r="FH153" s="180"/>
      <c r="FI153" s="180">
        <f>IFERROR(__xludf.DUMMYFUNCTION("""COMPUTED_VALUE"""),0.09722222222222222)</f>
        <v>0.09722222222</v>
      </c>
      <c r="FJ153" s="180"/>
      <c r="FK153" s="180">
        <f>IFERROR(__xludf.DUMMYFUNCTION("""COMPUTED_VALUE"""),0.236)</f>
        <v>0.236</v>
      </c>
      <c r="FL153" s="180"/>
      <c r="FM153" s="180">
        <f>IFERROR(__xludf.DUMMYFUNCTION("""COMPUTED_VALUE"""),0.236)</f>
        <v>0.236</v>
      </c>
      <c r="FN153" s="16">
        <f>IFERROR(__xludf.DUMMYFUNCTION("""COMPUTED_VALUE"""),0.6573)</f>
        <v>0.6573</v>
      </c>
      <c r="FO153" s="16">
        <f>IFERROR(__xludf.DUMMYFUNCTION("""COMPUTED_VALUE"""),0.44722222222222213)</f>
        <v>0.4472222222</v>
      </c>
      <c r="FP153" s="16"/>
      <c r="FQ153" s="16">
        <f>IFERROR(__xludf.DUMMYFUNCTION("""COMPUTED_VALUE"""),0.6319444444444444)</f>
        <v>0.6319444444</v>
      </c>
      <c r="FR153" s="16"/>
      <c r="FS153" s="16">
        <f>IFERROR(__xludf.DUMMYFUNCTION("""COMPUTED_VALUE"""),0.3438)</f>
        <v>0.3438</v>
      </c>
      <c r="FT153" s="16"/>
      <c r="FU153" s="16">
        <f>IFERROR(__xludf.DUMMYFUNCTION("""COMPUTED_VALUE"""),0.3438)</f>
        <v>0.3438</v>
      </c>
      <c r="FV153" s="16">
        <f>IFERROR(__xludf.DUMMYFUNCTION("""COMPUTED_VALUE"""),-4.0)</f>
        <v>-4</v>
      </c>
      <c r="FW153" s="16">
        <f>IFERROR(__xludf.DUMMYFUNCTION("""COMPUTED_VALUE"""),-8.0)</f>
        <v>-8</v>
      </c>
      <c r="FX153" s="16"/>
      <c r="FY153" s="16">
        <f>IFERROR(__xludf.DUMMYFUNCTION("""COMPUTED_VALUE"""),-6.0)</f>
        <v>-6</v>
      </c>
      <c r="FZ153" s="16"/>
      <c r="GA153" s="16">
        <f>IFERROR(__xludf.DUMMYFUNCTION("""COMPUTED_VALUE"""),-8.0)</f>
        <v>-8</v>
      </c>
      <c r="GB153" s="16"/>
      <c r="GC153" s="16">
        <f>IFERROR(__xludf.DUMMYFUNCTION("""COMPUTED_VALUE"""),-8.0)</f>
        <v>-8</v>
      </c>
      <c r="GD153" s="16" t="s">
        <v>361</v>
      </c>
    </row>
    <row r="154">
      <c r="A154" s="16">
        <f>IFERROR(__xludf.DUMMYFUNCTION("""COMPUTED_VALUE"""),13277.0)</f>
        <v>13277</v>
      </c>
      <c r="B154" s="16" t="str">
        <f>IFERROR(__xludf.DUMMYFUNCTION("""COMPUTED_VALUE"""),"Paul DeJong")</f>
        <v>Paul DeJong</v>
      </c>
      <c r="C154" s="16">
        <f>IFERROR(__xludf.DUMMYFUNCTION("""COMPUTED_VALUE"""),0.54)</f>
        <v>0.54</v>
      </c>
      <c r="D154" s="16" t="str">
        <f>IFERROR(__xludf.DUMMYFUNCTION("""COMPUTED_VALUE"""),"R")</f>
        <v>R</v>
      </c>
      <c r="E154" s="16"/>
      <c r="F154" s="16"/>
      <c r="G154" s="16">
        <f>IFERROR(__xludf.DUMMYFUNCTION("""COMPUTED_VALUE"""),445.0)</f>
        <v>445</v>
      </c>
      <c r="H154" s="16">
        <f>IFERROR(__xludf.DUMMYFUNCTION("""COMPUTED_VALUE"""),23.0)</f>
        <v>23</v>
      </c>
      <c r="I154" s="16" t="str">
        <f>IFERROR(__xludf.DUMMYFUNCTION("""COMPUTED_VALUE"""),"1p65")</f>
        <v>1p65</v>
      </c>
      <c r="J154" s="16">
        <f>IFERROR(__xludf.DUMMYFUNCTION("""COMPUTED_VALUE"""),51.0)</f>
        <v>51</v>
      </c>
      <c r="K154" s="16">
        <f>IFERROR(__xludf.DUMMYFUNCTION("""COMPUTED_VALUE"""),42.0)</f>
        <v>42</v>
      </c>
      <c r="L154" s="16">
        <f>IFERROR(__xludf.DUMMYFUNCTION("""COMPUTED_VALUE"""),-2.0)</f>
        <v>-2</v>
      </c>
      <c r="M154" s="16">
        <f>IFERROR(__xludf.DUMMYFUNCTION("""COMPUTED_VALUE"""),-2.0)</f>
        <v>-2</v>
      </c>
      <c r="N154" s="16">
        <f>IFERROR(__xludf.DUMMYFUNCTION("""COMPUTED_VALUE"""),-2.0)</f>
        <v>-2</v>
      </c>
      <c r="O154" s="16">
        <f>IFERROR(__xludf.DUMMYFUNCTION("""COMPUTED_VALUE"""),-2.0)</f>
        <v>-2</v>
      </c>
      <c r="P154" s="16">
        <f>IFERROR(__xludf.DUMMYFUNCTION("""COMPUTED_VALUE"""),7.0)</f>
        <v>7</v>
      </c>
      <c r="Q154" s="16">
        <f>IFERROR(__xludf.DUMMYFUNCTION("""COMPUTED_VALUE"""),1.0)</f>
        <v>1</v>
      </c>
      <c r="R154" s="16">
        <f>IFERROR(__xludf.DUMMYFUNCTION("""COMPUTED_VALUE"""),-1.0)</f>
        <v>-1</v>
      </c>
      <c r="S154" s="16">
        <f>IFERROR(__xludf.DUMMYFUNCTION("""COMPUTED_VALUE"""),-2.0)</f>
        <v>-2</v>
      </c>
      <c r="T154" s="16">
        <f>IFERROR(__xludf.DUMMYFUNCTION("""COMPUTED_VALUE"""),-1.0)</f>
        <v>-1</v>
      </c>
      <c r="U154" s="16">
        <f>IFERROR(__xludf.DUMMYFUNCTION("""COMPUTED_VALUE"""),-2.0)</f>
        <v>-2</v>
      </c>
      <c r="V154" s="16">
        <f>IFERROR(__xludf.DUMMYFUNCTION("""COMPUTED_VALUE"""),10.0)</f>
        <v>10</v>
      </c>
      <c r="W154" s="16">
        <f>IFERROR(__xludf.DUMMYFUNCTION("""COMPUTED_VALUE"""),16.8)</f>
        <v>16.8</v>
      </c>
      <c r="X154" s="16">
        <f>IFERROR(__xludf.DUMMYFUNCTION("""COMPUTED_VALUE"""),-1.0)</f>
        <v>-1</v>
      </c>
      <c r="Y154" s="16">
        <f>IFERROR(__xludf.DUMMYFUNCTION("""COMPUTED_VALUE"""),-1.0)</f>
        <v>-1</v>
      </c>
      <c r="Z154" s="16">
        <f>IFERROR(__xludf.DUMMYFUNCTION("""COMPUTED_VALUE"""),-2.0)</f>
        <v>-2</v>
      </c>
      <c r="AA154" s="16">
        <f>IFERROR(__xludf.DUMMYFUNCTION("""COMPUTED_VALUE"""),-2.0)</f>
        <v>-2</v>
      </c>
      <c r="AB154" s="16">
        <f>IFERROR(__xludf.DUMMYFUNCTION("""COMPUTED_VALUE"""),20.9)</f>
        <v>20.9</v>
      </c>
      <c r="AC154" s="16">
        <f>IFERROR(__xludf.DUMMYFUNCTION("""COMPUTED_VALUE"""),21.8)</f>
        <v>21.8</v>
      </c>
      <c r="AD154" s="16">
        <f>IFERROR(__xludf.DUMMYFUNCTION("""COMPUTED_VALUE"""),-1.0)</f>
        <v>-1</v>
      </c>
      <c r="AE154" s="16">
        <f>IFERROR(__xludf.DUMMYFUNCTION("""COMPUTED_VALUE"""),-2.0)</f>
        <v>-2</v>
      </c>
      <c r="AF154" s="16">
        <f>IFERROR(__xludf.DUMMYFUNCTION("""COMPUTED_VALUE"""),-5.0)</f>
        <v>-5</v>
      </c>
      <c r="AG154" s="16">
        <f>IFERROR(__xludf.DUMMYFUNCTION("""COMPUTED_VALUE"""),-10.0)</f>
        <v>-10</v>
      </c>
      <c r="AH154" s="16">
        <f>IFERROR(__xludf.DUMMYFUNCTION("""COMPUTED_VALUE"""),20.2)</f>
        <v>20.2</v>
      </c>
      <c r="AI154" s="16">
        <f>IFERROR(__xludf.DUMMYFUNCTION("""COMPUTED_VALUE"""),35.0)</f>
        <v>35</v>
      </c>
      <c r="AJ154" s="16">
        <f>IFERROR(__xludf.DUMMYFUNCTION("""COMPUTED_VALUE"""),-1.0)</f>
        <v>-1</v>
      </c>
      <c r="AK154" s="16">
        <f>IFERROR(__xludf.DUMMYFUNCTION("""COMPUTED_VALUE"""),0.0)</f>
        <v>0</v>
      </c>
      <c r="AL154" s="16">
        <f>IFERROR(__xludf.DUMMYFUNCTION("""COMPUTED_VALUE"""),-5.0)</f>
        <v>-5</v>
      </c>
      <c r="AM154" s="16">
        <f>IFERROR(__xludf.DUMMYFUNCTION("""COMPUTED_VALUE"""),0.0)</f>
        <v>0</v>
      </c>
      <c r="AN154" s="16">
        <f>IFERROR(__xludf.DUMMYFUNCTION("""COMPUTED_VALUE"""),3.4)</f>
        <v>3.4</v>
      </c>
      <c r="AO154" s="16">
        <f>IFERROR(__xludf.DUMMYFUNCTION("""COMPUTED_VALUE"""),5.0)</f>
        <v>5</v>
      </c>
      <c r="AP154" s="16">
        <f>IFERROR(__xludf.DUMMYFUNCTION("""COMPUTED_VALUE"""),1.0)</f>
        <v>1</v>
      </c>
      <c r="AQ154" s="16">
        <f>IFERROR(__xludf.DUMMYFUNCTION("""COMPUTED_VALUE"""),3.0)</f>
        <v>3</v>
      </c>
      <c r="AR154" s="16">
        <f>IFERROR(__xludf.DUMMYFUNCTION("""COMPUTED_VALUE"""),2.0)</f>
        <v>2</v>
      </c>
      <c r="AS154" s="16">
        <f>IFERROR(__xludf.DUMMYFUNCTION("""COMPUTED_VALUE"""),6.0)</f>
        <v>6</v>
      </c>
      <c r="AT154" s="16">
        <f>IFERROR(__xludf.DUMMYFUNCTION("""COMPUTED_VALUE"""),5.0)</f>
        <v>5</v>
      </c>
      <c r="AU154" s="16">
        <f>IFERROR(__xludf.DUMMYFUNCTION("""COMPUTED_VALUE"""),8.0)</f>
        <v>8</v>
      </c>
      <c r="AV154" s="16">
        <f>IFERROR(__xludf.DUMMYFUNCTION("""COMPUTED_VALUE"""),5.0)</f>
        <v>5</v>
      </c>
      <c r="AW154" s="16">
        <f>IFERROR(__xludf.DUMMYFUNCTION("""COMPUTED_VALUE"""),8.0)</f>
        <v>8</v>
      </c>
      <c r="AX154" s="16">
        <f>IFERROR(__xludf.DUMMYFUNCTION("""COMPUTED_VALUE"""),3.0)</f>
        <v>3</v>
      </c>
      <c r="AY154" s="16">
        <f>IFERROR(__xludf.DUMMYFUNCTION("""COMPUTED_VALUE"""),3.0)</f>
        <v>3</v>
      </c>
      <c r="AZ154" s="16">
        <f>IFERROR(__xludf.DUMMYFUNCTION("""COMPUTED_VALUE"""),9.0)</f>
        <v>9</v>
      </c>
      <c r="BA154" s="16">
        <f>IFERROR(__xludf.DUMMYFUNCTION("""COMPUTED_VALUE"""),9.0)</f>
        <v>9</v>
      </c>
      <c r="BB154" s="16">
        <f>IFERROR(__xludf.DUMMYFUNCTION("""COMPUTED_VALUE"""),5.0)</f>
        <v>5</v>
      </c>
      <c r="BC154" s="16">
        <f>IFERROR(__xludf.DUMMYFUNCTION("""COMPUTED_VALUE"""),5.0)</f>
        <v>5</v>
      </c>
      <c r="BD154" s="16">
        <f>IFERROR(__xludf.DUMMYFUNCTION("""COMPUTED_VALUE"""),1.0)</f>
        <v>1</v>
      </c>
      <c r="BE154" s="16">
        <f>IFERROR(__xludf.DUMMYFUNCTION("""COMPUTED_VALUE"""),1.0)</f>
        <v>1</v>
      </c>
      <c r="BF154" s="16">
        <f>IFERROR(__xludf.DUMMYFUNCTION("""COMPUTED_VALUE"""),1.0)</f>
        <v>1</v>
      </c>
      <c r="BG154" s="16">
        <f>IFERROR(__xludf.DUMMYFUNCTION("""COMPUTED_VALUE"""),1.0)</f>
        <v>1</v>
      </c>
      <c r="BH154" s="16">
        <f>IFERROR(__xludf.DUMMYFUNCTION("""COMPUTED_VALUE"""),-5.0)</f>
        <v>-5</v>
      </c>
      <c r="BI154" s="16">
        <f>IFERROR(__xludf.DUMMYFUNCTION("""COMPUTED_VALUE"""),-7.0)</f>
        <v>-7</v>
      </c>
      <c r="BJ154" s="16">
        <f>IFERROR(__xludf.DUMMYFUNCTION("""COMPUTED_VALUE"""),14.0)</f>
        <v>14</v>
      </c>
      <c r="BK154" s="16">
        <f>IFERROR(__xludf.DUMMYFUNCTION("""COMPUTED_VALUE"""),14.0)</f>
        <v>14</v>
      </c>
      <c r="BL154" s="16">
        <f>IFERROR(__xludf.DUMMYFUNCTION("""COMPUTED_VALUE"""),0.0)</f>
        <v>0</v>
      </c>
      <c r="BM154" s="16">
        <f>IFERROR(__xludf.DUMMYFUNCTION("""COMPUTED_VALUE"""),0.0)</f>
        <v>0</v>
      </c>
      <c r="BN154" s="16">
        <f>IFERROR(__xludf.DUMMYFUNCTION("""COMPUTED_VALUE"""),0.0)</f>
        <v>0</v>
      </c>
      <c r="BO154" s="16">
        <f>IFERROR(__xludf.DUMMYFUNCTION("""COMPUTED_VALUE"""),0.0)</f>
        <v>0</v>
      </c>
      <c r="BP154" s="16">
        <f>IFERROR(__xludf.DUMMYFUNCTION("""COMPUTED_VALUE"""),-1.0)</f>
        <v>-1</v>
      </c>
      <c r="BQ154" s="16">
        <f>IFERROR(__xludf.DUMMYFUNCTION("""COMPUTED_VALUE"""),0.0)</f>
        <v>0</v>
      </c>
      <c r="BR154" s="16">
        <f>IFERROR(__xludf.DUMMYFUNCTION("""COMPUTED_VALUE"""),-1.0)</f>
        <v>-1</v>
      </c>
      <c r="BS154" s="16" t="str">
        <f>IFERROR(__xludf.DUMMYFUNCTION("""COMPUTED_VALUE"""),"4,5/11 (13-5)")</f>
        <v>4,5/11 (13-5)</v>
      </c>
      <c r="BT154" s="16" t="str">
        <f>IFERROR(__xludf.DUMMYFUNCTION("""COMPUTED_VALUE"""),"E")</f>
        <v>E</v>
      </c>
      <c r="BU154" s="16">
        <f>IFERROR(__xludf.DUMMYFUNCTION("""COMPUTED_VALUE"""),11.0)</f>
        <v>11</v>
      </c>
      <c r="BV154" s="16">
        <f>IFERROR(__xludf.DUMMYFUNCTION("""COMPUTED_VALUE"""),0.0)</f>
        <v>0</v>
      </c>
      <c r="BW154" s="16">
        <f>IFERROR(__xludf.DUMMYFUNCTION("""COMPUTED_VALUE"""),0.0)</f>
        <v>0</v>
      </c>
      <c r="BX154" s="16">
        <f>IFERROR(__xludf.DUMMYFUNCTION("""COMPUTED_VALUE"""),0.0)</f>
        <v>0</v>
      </c>
      <c r="BY154" s="16">
        <f>IFERROR(__xludf.DUMMYFUNCTION("""COMPUTED_VALUE"""),0.0)</f>
        <v>0</v>
      </c>
      <c r="BZ154" s="16" t="str">
        <f>IFERROR(__xludf.DUMMYFUNCTION("""COMPUTED_VALUE"""),"D")</f>
        <v>D</v>
      </c>
      <c r="CA154" s="16" t="str">
        <f>IFERROR(__xludf.DUMMYFUNCTION("""COMPUTED_VALUE"""),"D")</f>
        <v>D</v>
      </c>
      <c r="CB154" s="16">
        <f>IFERROR(__xludf.DUMMYFUNCTION("""COMPUTED_VALUE"""),0.0)</f>
        <v>0</v>
      </c>
      <c r="CC154" s="16">
        <f>IFERROR(__xludf.DUMMYFUNCTION("""COMPUTED_VALUE"""),0.0)</f>
        <v>0</v>
      </c>
      <c r="CD154" s="16">
        <f>IFERROR(__xludf.DUMMYFUNCTION("""COMPUTED_VALUE"""),0.0)</f>
        <v>0</v>
      </c>
      <c r="CE154" s="16">
        <f>IFERROR(__xludf.DUMMYFUNCTION("""COMPUTED_VALUE"""),0.0)</f>
        <v>0</v>
      </c>
      <c r="CF154" s="16">
        <f>IFERROR(__xludf.DUMMYFUNCTION("""COMPUTED_VALUE"""),1.0)</f>
        <v>1</v>
      </c>
      <c r="CG154" s="16">
        <f>IFERROR(__xludf.DUMMYFUNCTION("""COMPUTED_VALUE"""),-3.0)</f>
        <v>-3</v>
      </c>
      <c r="CH154" s="16">
        <f>IFERROR(__xludf.DUMMYFUNCTION("""COMPUTED_VALUE"""),0.0)</f>
        <v>0</v>
      </c>
      <c r="CI154" s="179">
        <f>IFERROR(__xludf.DUMMYFUNCTION("""COMPUTED_VALUE"""),5.0)</f>
        <v>5</v>
      </c>
      <c r="CJ154" s="16"/>
      <c r="CK154" s="16"/>
      <c r="CL154" s="16"/>
      <c r="CM154" s="16">
        <f>IFERROR(__xludf.DUMMYFUNCTION("""COMPUTED_VALUE"""),413.0)</f>
        <v>413</v>
      </c>
      <c r="CN154" s="16">
        <f>IFERROR(__xludf.DUMMYFUNCTION("""COMPUTED_VALUE"""),323.0)</f>
        <v>323</v>
      </c>
      <c r="CO154" s="16"/>
      <c r="CP154" s="16"/>
      <c r="CQ154" s="16"/>
      <c r="CR154" s="16" t="str">
        <f>IFERROR(__xludf.DUMMYFUNCTION("""COMPUTED_VALUE"""),"ss-3e23 3b-4e13")</f>
        <v>ss-3e23 3b-4e13</v>
      </c>
      <c r="CS154" s="16"/>
      <c r="CT154" s="16"/>
      <c r="CU154" s="16"/>
      <c r="CV154" s="16">
        <f>IFERROR(__xludf.DUMMYFUNCTION("""COMPUTED_VALUE"""),4.0)</f>
        <v>4</v>
      </c>
      <c r="CW154" s="16">
        <f>IFERROR(__xludf.DUMMYFUNCTION("""COMPUTED_VALUE"""),3.0)</f>
        <v>3</v>
      </c>
      <c r="CX154" s="16"/>
      <c r="CY154" s="16"/>
      <c r="CZ154" s="16"/>
      <c r="DA154" s="16"/>
      <c r="DB154" s="16"/>
      <c r="DC154" s="16"/>
      <c r="DD154" s="16">
        <f>IFERROR(__xludf.DUMMYFUNCTION("""COMPUTED_VALUE"""),13.0)</f>
        <v>13</v>
      </c>
      <c r="DE154" s="16">
        <f>IFERROR(__xludf.DUMMYFUNCTION("""COMPUTED_VALUE"""),23.0)</f>
        <v>23</v>
      </c>
      <c r="DF154" s="16"/>
      <c r="DG154" s="16"/>
      <c r="DH154" s="16"/>
      <c r="DI154" s="16"/>
      <c r="DJ154" s="16"/>
      <c r="DK154" s="16"/>
      <c r="DL154" s="16">
        <f>IFERROR(__xludf.DUMMYFUNCTION("""COMPUTED_VALUE"""),0.0)</f>
        <v>0</v>
      </c>
      <c r="DM154" s="16">
        <f>IFERROR(__xludf.DUMMYFUNCTION("""COMPUTED_VALUE"""),0.0)</f>
        <v>0</v>
      </c>
      <c r="DN154" s="16"/>
      <c r="DO154" s="16"/>
      <c r="DP154" s="16"/>
      <c r="DQ154" s="16"/>
      <c r="DR154" s="16"/>
      <c r="DS154" s="16"/>
      <c r="DT154" s="16">
        <f>IFERROR(__xludf.DUMMYFUNCTION("""COMPUTED_VALUE"""),1.0)</f>
        <v>1</v>
      </c>
      <c r="DU154" s="16">
        <f>IFERROR(__xludf.DUMMYFUNCTION("""COMPUTED_VALUE"""),0.0)</f>
        <v>0</v>
      </c>
      <c r="DV154" s="16"/>
      <c r="DW154" s="16"/>
      <c r="DX154" s="16"/>
      <c r="DY154" s="16"/>
      <c r="DZ154" s="16"/>
      <c r="EA154" s="16"/>
      <c r="EB154" s="16">
        <f>IFERROR(__xludf.DUMMYFUNCTION("""COMPUTED_VALUE"""),1.0)</f>
        <v>1</v>
      </c>
      <c r="EC154" s="16">
        <f>IFERROR(__xludf.DUMMYFUNCTION("""COMPUTED_VALUE"""),0.0)</f>
        <v>0</v>
      </c>
      <c r="ED154" s="16"/>
      <c r="EE154" s="16"/>
      <c r="EF154" s="16"/>
      <c r="EG154" s="179"/>
      <c r="EH154" s="179"/>
      <c r="EI154" s="179"/>
      <c r="EJ154" s="179">
        <f>IFERROR(__xludf.DUMMYFUNCTION("""COMPUTED_VALUE"""),6.0)</f>
        <v>6</v>
      </c>
      <c r="EK154" s="179">
        <f>IFERROR(__xludf.DUMMYFUNCTION("""COMPUTED_VALUE"""),5.0)</f>
        <v>5</v>
      </c>
      <c r="EL154" s="179"/>
      <c r="EM154" s="179"/>
      <c r="EN154" s="179"/>
      <c r="EO154" s="16"/>
      <c r="EP154" s="16"/>
      <c r="EQ154" s="16">
        <f>IFERROR(__xludf.DUMMYFUNCTION("""COMPUTED_VALUE"""),4.0)</f>
        <v>4</v>
      </c>
      <c r="ER154" s="16">
        <f>IFERROR(__xludf.DUMMYFUNCTION("""COMPUTED_VALUE"""),2.0)</f>
        <v>2</v>
      </c>
      <c r="ES154" s="16"/>
      <c r="ET154" s="16"/>
      <c r="EU154" s="16"/>
      <c r="EV154" s="16"/>
      <c r="EW154" s="16"/>
      <c r="EX154" s="180"/>
      <c r="EY154" s="180"/>
      <c r="EZ154" s="180"/>
      <c r="FA154" s="180">
        <f>IFERROR(__xludf.DUMMYFUNCTION("""COMPUTED_VALUE"""),0.3)</f>
        <v>0.3</v>
      </c>
      <c r="FB154" s="180">
        <f>IFERROR(__xludf.DUMMYFUNCTION("""COMPUTED_VALUE"""),0.2)</f>
        <v>0.2</v>
      </c>
      <c r="FC154" s="180"/>
      <c r="FD154" s="180"/>
      <c r="FE154" s="180"/>
      <c r="FF154" s="180"/>
      <c r="FG154" s="180"/>
      <c r="FH154" s="180"/>
      <c r="FI154" s="180">
        <f>IFERROR(__xludf.DUMMYFUNCTION("""COMPUTED_VALUE"""),0.1574074074074074)</f>
        <v>0.1574074074</v>
      </c>
      <c r="FJ154" s="180">
        <f>IFERROR(__xludf.DUMMYFUNCTION("""COMPUTED_VALUE"""),0.12037037037037036)</f>
        <v>0.1203703704</v>
      </c>
      <c r="FK154" s="180"/>
      <c r="FL154" s="180"/>
      <c r="FM154" s="180"/>
      <c r="FN154" s="16"/>
      <c r="FO154" s="16"/>
      <c r="FP154" s="16"/>
      <c r="FQ154" s="16">
        <f>IFERROR(__xludf.DUMMYFUNCTION("""COMPUTED_VALUE"""),0.5898148148148148)</f>
        <v>0.5898148148</v>
      </c>
      <c r="FR154" s="16">
        <f>IFERROR(__xludf.DUMMYFUNCTION("""COMPUTED_VALUE"""),0.7037037037037037)</f>
        <v>0.7037037037</v>
      </c>
      <c r="FS154" s="16"/>
      <c r="FT154" s="16"/>
      <c r="FU154" s="16"/>
      <c r="FV154" s="16"/>
      <c r="FW154" s="16"/>
      <c r="FX154" s="16"/>
      <c r="FY154" s="16">
        <f>IFERROR(__xludf.DUMMYFUNCTION("""COMPUTED_VALUE"""),-6.0)</f>
        <v>-6</v>
      </c>
      <c r="FZ154" s="16">
        <f>IFERROR(__xludf.DUMMYFUNCTION("""COMPUTED_VALUE"""),-4.0)</f>
        <v>-4</v>
      </c>
      <c r="GA154" s="16"/>
      <c r="GB154" s="16"/>
      <c r="GC154" s="16"/>
      <c r="GD154" s="16" t="s">
        <v>176</v>
      </c>
    </row>
    <row r="155">
      <c r="A155" s="16">
        <f>IFERROR(__xludf.DUMMYFUNCTION("""COMPUTED_VALUE"""),13481.0)</f>
        <v>13481</v>
      </c>
      <c r="B155" s="16" t="str">
        <f>IFERROR(__xludf.DUMMYFUNCTION("""COMPUTED_VALUE"""),"Will D Smith")</f>
        <v>Will D Smith</v>
      </c>
      <c r="C155" s="16">
        <f>IFERROR(__xludf.DUMMYFUNCTION("""COMPUTED_VALUE"""),1.87)</f>
        <v>1.87</v>
      </c>
      <c r="D155" s="16" t="str">
        <f>IFERROR(__xludf.DUMMYFUNCTION("""COMPUTED_VALUE"""),"R")</f>
        <v>R</v>
      </c>
      <c r="E155" s="16"/>
      <c r="F155" s="16"/>
      <c r="G155" s="16">
        <f>IFERROR(__xludf.DUMMYFUNCTION("""COMPUTED_VALUE"""),476.0)</f>
        <v>476</v>
      </c>
      <c r="H155" s="16">
        <f>IFERROR(__xludf.DUMMYFUNCTION("""COMPUTED_VALUE"""),51.0)</f>
        <v>51</v>
      </c>
      <c r="I155" s="16" t="str">
        <f>IFERROR(__xludf.DUMMYFUNCTION("""COMPUTED_VALUE"""),"2p60")</f>
        <v>2p60</v>
      </c>
      <c r="J155" s="16">
        <f>IFERROR(__xludf.DUMMYFUNCTION("""COMPUTED_VALUE"""),10.0)</f>
        <v>10</v>
      </c>
      <c r="K155" s="16">
        <f>IFERROR(__xludf.DUMMYFUNCTION("""COMPUTED_VALUE"""),21.0)</f>
        <v>21</v>
      </c>
      <c r="L155" s="16">
        <f>IFERROR(__xludf.DUMMYFUNCTION("""COMPUTED_VALUE"""),1.0)</f>
        <v>1</v>
      </c>
      <c r="M155" s="16">
        <f>IFERROR(__xludf.DUMMYFUNCTION("""COMPUTED_VALUE"""),0.0)</f>
        <v>0</v>
      </c>
      <c r="N155" s="16">
        <f>IFERROR(__xludf.DUMMYFUNCTION("""COMPUTED_VALUE"""),1.0)</f>
        <v>1</v>
      </c>
      <c r="O155" s="16">
        <f>IFERROR(__xludf.DUMMYFUNCTION("""COMPUTED_VALUE"""),0.0)</f>
        <v>0</v>
      </c>
      <c r="P155" s="16">
        <f>IFERROR(__xludf.DUMMYFUNCTION("""COMPUTED_VALUE"""),11.0)</f>
        <v>11</v>
      </c>
      <c r="Q155" s="16">
        <f>IFERROR(__xludf.DUMMYFUNCTION("""COMPUTED_VALUE"""),10.0)</f>
        <v>10</v>
      </c>
      <c r="R155" s="16">
        <f>IFERROR(__xludf.DUMMYFUNCTION("""COMPUTED_VALUE"""),1.0)</f>
        <v>1</v>
      </c>
      <c r="S155" s="16">
        <f>IFERROR(__xludf.DUMMYFUNCTION("""COMPUTED_VALUE"""),0.0)</f>
        <v>0</v>
      </c>
      <c r="T155" s="16">
        <f>IFERROR(__xludf.DUMMYFUNCTION("""COMPUTED_VALUE"""),1.0)</f>
        <v>1</v>
      </c>
      <c r="U155" s="16">
        <f>IFERROR(__xludf.DUMMYFUNCTION("""COMPUTED_VALUE"""),0.0)</f>
        <v>0</v>
      </c>
      <c r="V155" s="16">
        <f>IFERROR(__xludf.DUMMYFUNCTION("""COMPUTED_VALUE"""),17.9)</f>
        <v>17.9</v>
      </c>
      <c r="W155" s="16">
        <f>IFERROR(__xludf.DUMMYFUNCTION("""COMPUTED_VALUE"""),18.6)</f>
        <v>18.6</v>
      </c>
      <c r="X155" s="16">
        <f>IFERROR(__xludf.DUMMYFUNCTION("""COMPUTED_VALUE"""),0.0)</f>
        <v>0</v>
      </c>
      <c r="Y155" s="16">
        <f>IFERROR(__xludf.DUMMYFUNCTION("""COMPUTED_VALUE"""),0.0)</f>
        <v>0</v>
      </c>
      <c r="Z155" s="16">
        <f>IFERROR(__xludf.DUMMYFUNCTION("""COMPUTED_VALUE"""),0.0)</f>
        <v>0</v>
      </c>
      <c r="AA155" s="16">
        <f>IFERROR(__xludf.DUMMYFUNCTION("""COMPUTED_VALUE"""),0.0)</f>
        <v>0</v>
      </c>
      <c r="AB155" s="16">
        <f>IFERROR(__xludf.DUMMYFUNCTION("""COMPUTED_VALUE"""),32.9)</f>
        <v>32.9</v>
      </c>
      <c r="AC155" s="16">
        <f>IFERROR(__xludf.DUMMYFUNCTION("""COMPUTED_VALUE"""),32.6)</f>
        <v>32.6</v>
      </c>
      <c r="AD155" s="16">
        <f>IFERROR(__xludf.DUMMYFUNCTION("""COMPUTED_VALUE"""),0.0)</f>
        <v>0</v>
      </c>
      <c r="AE155" s="16">
        <f>IFERROR(__xludf.DUMMYFUNCTION("""COMPUTED_VALUE"""),0.0)</f>
        <v>0</v>
      </c>
      <c r="AF155" s="16">
        <f>IFERROR(__xludf.DUMMYFUNCTION("""COMPUTED_VALUE"""),0.0)</f>
        <v>0</v>
      </c>
      <c r="AG155" s="16">
        <f>IFERROR(__xludf.DUMMYFUNCTION("""COMPUTED_VALUE"""),0.0)</f>
        <v>0</v>
      </c>
      <c r="AH155" s="16">
        <f>IFERROR(__xludf.DUMMYFUNCTION("""COMPUTED_VALUE"""),39.7)</f>
        <v>39.7</v>
      </c>
      <c r="AI155" s="16">
        <f>IFERROR(__xludf.DUMMYFUNCTION("""COMPUTED_VALUE"""),28.5)</f>
        <v>28.5</v>
      </c>
      <c r="AJ155" s="16">
        <f>IFERROR(__xludf.DUMMYFUNCTION("""COMPUTED_VALUE"""),1.0)</f>
        <v>1</v>
      </c>
      <c r="AK155" s="16">
        <f>IFERROR(__xludf.DUMMYFUNCTION("""COMPUTED_VALUE"""),-1.0)</f>
        <v>-1</v>
      </c>
      <c r="AL155" s="16">
        <f>IFERROR(__xludf.DUMMYFUNCTION("""COMPUTED_VALUE"""),5.0)</f>
        <v>5</v>
      </c>
      <c r="AM155" s="16">
        <f>IFERROR(__xludf.DUMMYFUNCTION("""COMPUTED_VALUE"""),-5.0)</f>
        <v>-5</v>
      </c>
      <c r="AN155" s="16">
        <f>IFERROR(__xludf.DUMMYFUNCTION("""COMPUTED_VALUE"""),4.3)</f>
        <v>4.3</v>
      </c>
      <c r="AO155" s="16">
        <f>IFERROR(__xludf.DUMMYFUNCTION("""COMPUTED_VALUE"""),2.0)</f>
        <v>2</v>
      </c>
      <c r="AP155" s="16">
        <f>IFERROR(__xludf.DUMMYFUNCTION("""COMPUTED_VALUE"""),2.0)</f>
        <v>2</v>
      </c>
      <c r="AQ155" s="16">
        <f>IFERROR(__xludf.DUMMYFUNCTION("""COMPUTED_VALUE"""),-1.0)</f>
        <v>-1</v>
      </c>
      <c r="AR155" s="16">
        <f>IFERROR(__xludf.DUMMYFUNCTION("""COMPUTED_VALUE"""),4.0)</f>
        <v>4</v>
      </c>
      <c r="AS155" s="16">
        <f>IFERROR(__xludf.DUMMYFUNCTION("""COMPUTED_VALUE"""),-2.0)</f>
        <v>-2</v>
      </c>
      <c r="AT155" s="16">
        <f>IFERROR(__xludf.DUMMYFUNCTION("""COMPUTED_VALUE"""),7.0)</f>
        <v>7</v>
      </c>
      <c r="AU155" s="16">
        <f>IFERROR(__xludf.DUMMYFUNCTION("""COMPUTED_VALUE"""),3.0)</f>
        <v>3</v>
      </c>
      <c r="AV155" s="16">
        <f>IFERROR(__xludf.DUMMYFUNCTION("""COMPUTED_VALUE"""),7.0)</f>
        <v>7</v>
      </c>
      <c r="AW155" s="16">
        <f>IFERROR(__xludf.DUMMYFUNCTION("""COMPUTED_VALUE"""),3.0)</f>
        <v>3</v>
      </c>
      <c r="AX155" s="16">
        <f>IFERROR(__xludf.DUMMYFUNCTION("""COMPUTED_VALUE"""),3.0)</f>
        <v>3</v>
      </c>
      <c r="AY155" s="16">
        <f>IFERROR(__xludf.DUMMYFUNCTION("""COMPUTED_VALUE"""),0.0)</f>
        <v>0</v>
      </c>
      <c r="AZ155" s="16">
        <f>IFERROR(__xludf.DUMMYFUNCTION("""COMPUTED_VALUE"""),9.0)</f>
        <v>9</v>
      </c>
      <c r="BA155" s="16">
        <f>IFERROR(__xludf.DUMMYFUNCTION("""COMPUTED_VALUE"""),0.0)</f>
        <v>0</v>
      </c>
      <c r="BB155" s="16">
        <f>IFERROR(__xludf.DUMMYFUNCTION("""COMPUTED_VALUE"""),5.0)</f>
        <v>5</v>
      </c>
      <c r="BC155" s="16">
        <f>IFERROR(__xludf.DUMMYFUNCTION("""COMPUTED_VALUE"""),5.0)</f>
        <v>5</v>
      </c>
      <c r="BD155" s="16">
        <f>IFERROR(__xludf.DUMMYFUNCTION("""COMPUTED_VALUE"""),1.0)</f>
        <v>1</v>
      </c>
      <c r="BE155" s="16">
        <f>IFERROR(__xludf.DUMMYFUNCTION("""COMPUTED_VALUE"""),1.0)</f>
        <v>1</v>
      </c>
      <c r="BF155" s="16">
        <f>IFERROR(__xludf.DUMMYFUNCTION("""COMPUTED_VALUE"""),1.0)</f>
        <v>1</v>
      </c>
      <c r="BG155" s="16">
        <f>IFERROR(__xludf.DUMMYFUNCTION("""COMPUTED_VALUE"""),1.0)</f>
        <v>1</v>
      </c>
      <c r="BH155" s="16">
        <f>IFERROR(__xludf.DUMMYFUNCTION("""COMPUTED_VALUE"""),1.0)</f>
        <v>1</v>
      </c>
      <c r="BI155" s="16">
        <f>IFERROR(__xludf.DUMMYFUNCTION("""COMPUTED_VALUE"""),1.0)</f>
        <v>1</v>
      </c>
      <c r="BJ155" s="16">
        <f>IFERROR(__xludf.DUMMYFUNCTION("""COMPUTED_VALUE"""),11.0)</f>
        <v>11</v>
      </c>
      <c r="BK155" s="16">
        <f>IFERROR(__xludf.DUMMYFUNCTION("""COMPUTED_VALUE"""),8.0)</f>
        <v>8</v>
      </c>
      <c r="BL155" s="16">
        <f>IFERROR(__xludf.DUMMYFUNCTION("""COMPUTED_VALUE"""),0.0)</f>
        <v>0</v>
      </c>
      <c r="BM155" s="16">
        <f>IFERROR(__xludf.DUMMYFUNCTION("""COMPUTED_VALUE"""),1.0)</f>
        <v>1</v>
      </c>
      <c r="BN155" s="16">
        <f>IFERROR(__xludf.DUMMYFUNCTION("""COMPUTED_VALUE"""),0.0)</f>
        <v>0</v>
      </c>
      <c r="BO155" s="16">
        <f>IFERROR(__xludf.DUMMYFUNCTION("""COMPUTED_VALUE"""),1.0)</f>
        <v>1</v>
      </c>
      <c r="BP155" s="16">
        <f>IFERROR(__xludf.DUMMYFUNCTION("""COMPUTED_VALUE"""),9.0)</f>
        <v>9</v>
      </c>
      <c r="BQ155" s="16">
        <f>IFERROR(__xludf.DUMMYFUNCTION("""COMPUTED_VALUE"""),0.0)</f>
        <v>0</v>
      </c>
      <c r="BR155" s="16">
        <f>IFERROR(__xludf.DUMMYFUNCTION("""COMPUTED_VALUE"""),9.0)</f>
        <v>9</v>
      </c>
      <c r="BS155" s="16" t="str">
        <f>IFERROR(__xludf.DUMMYFUNCTION("""COMPUTED_VALUE"""),"3/12 (13-5)")</f>
        <v>3/12 (13-5)</v>
      </c>
      <c r="BT155" s="16" t="str">
        <f>IFERROR(__xludf.DUMMYFUNCTION("""COMPUTED_VALUE"""),"E")</f>
        <v>E</v>
      </c>
      <c r="BU155" s="16">
        <f>IFERROR(__xludf.DUMMYFUNCTION("""COMPUTED_VALUE"""),12.0)</f>
        <v>12</v>
      </c>
      <c r="BV155" s="16">
        <f>IFERROR(__xludf.DUMMYFUNCTION("""COMPUTED_VALUE"""),0.0)</f>
        <v>0</v>
      </c>
      <c r="BW155" s="16">
        <f>IFERROR(__xludf.DUMMYFUNCTION("""COMPUTED_VALUE"""),0.0)</f>
        <v>0</v>
      </c>
      <c r="BX155" s="16">
        <f>IFERROR(__xludf.DUMMYFUNCTION("""COMPUTED_VALUE"""),0.0)</f>
        <v>0</v>
      </c>
      <c r="BY155" s="16">
        <f>IFERROR(__xludf.DUMMYFUNCTION("""COMPUTED_VALUE"""),0.0)</f>
        <v>0</v>
      </c>
      <c r="BZ155" s="16" t="str">
        <f>IFERROR(__xludf.DUMMYFUNCTION("""COMPUTED_VALUE"""),"D")</f>
        <v>D</v>
      </c>
      <c r="CA155" s="16" t="str">
        <f>IFERROR(__xludf.DUMMYFUNCTION("""COMPUTED_VALUE"""),"C")</f>
        <v>C</v>
      </c>
      <c r="CB155" s="16">
        <f>IFERROR(__xludf.DUMMYFUNCTION("""COMPUTED_VALUE"""),0.0)</f>
        <v>0</v>
      </c>
      <c r="CC155" s="16">
        <f>IFERROR(__xludf.DUMMYFUNCTION("""COMPUTED_VALUE"""),0.0)</f>
        <v>0</v>
      </c>
      <c r="CD155" s="16">
        <f>IFERROR(__xludf.DUMMYFUNCTION("""COMPUTED_VALUE"""),0.0)</f>
        <v>0</v>
      </c>
      <c r="CE155" s="16">
        <f>IFERROR(__xludf.DUMMYFUNCTION("""COMPUTED_VALUE"""),0.0)</f>
        <v>0</v>
      </c>
      <c r="CF155" s="16">
        <f>IFERROR(__xludf.DUMMYFUNCTION("""COMPUTED_VALUE"""),2.0)</f>
        <v>2</v>
      </c>
      <c r="CG155" s="16">
        <f>IFERROR(__xludf.DUMMYFUNCTION("""COMPUTED_VALUE"""),21.0)</f>
        <v>21</v>
      </c>
      <c r="CH155" s="16">
        <f>IFERROR(__xludf.DUMMYFUNCTION("""COMPUTED_VALUE"""),-5.0)</f>
        <v>-5</v>
      </c>
      <c r="CI155" s="179">
        <f>IFERROR(__xludf.DUMMYFUNCTION("""COMPUTED_VALUE"""),5.0)</f>
        <v>5</v>
      </c>
      <c r="CJ155" s="16">
        <f>IFERROR(__xludf.DUMMYFUNCTION("""COMPUTED_VALUE"""),305.0)</f>
        <v>305</v>
      </c>
      <c r="CK155" s="16"/>
      <c r="CL155" s="16"/>
      <c r="CM155" s="16"/>
      <c r="CN155" s="16"/>
      <c r="CO155" s="16"/>
      <c r="CP155" s="16"/>
      <c r="CQ155" s="16"/>
      <c r="CR155" s="16" t="str">
        <f>IFERROR(__xludf.DUMMYFUNCTION("""COMPUTED_VALUE"""),"c-3(-3)e5,T-6(pb-0)")</f>
        <v>c-3(-3)e5,T-6(pb-0)</v>
      </c>
      <c r="CS155" s="16">
        <f>IFERROR(__xludf.DUMMYFUNCTION("""COMPUTED_VALUE"""),3.0)</f>
        <v>3</v>
      </c>
      <c r="CT155" s="16"/>
      <c r="CU155" s="16"/>
      <c r="CV155" s="16"/>
      <c r="CW155" s="16"/>
      <c r="CX155" s="16"/>
      <c r="CY155" s="16"/>
      <c r="CZ155" s="16"/>
      <c r="DA155" s="16">
        <f>IFERROR(__xludf.DUMMYFUNCTION("""COMPUTED_VALUE"""),5.0)</f>
        <v>5</v>
      </c>
      <c r="DB155" s="16"/>
      <c r="DC155" s="16"/>
      <c r="DD155" s="16"/>
      <c r="DE155" s="16"/>
      <c r="DF155" s="16"/>
      <c r="DG155" s="16"/>
      <c r="DH155" s="16"/>
      <c r="DI155" s="16">
        <f>IFERROR(__xludf.DUMMYFUNCTION("""COMPUTED_VALUE"""),0.0)</f>
        <v>0</v>
      </c>
      <c r="DJ155" s="16"/>
      <c r="DK155" s="16"/>
      <c r="DL155" s="16"/>
      <c r="DM155" s="16"/>
      <c r="DN155" s="16"/>
      <c r="DO155" s="16"/>
      <c r="DP155" s="16"/>
      <c r="DQ155" s="16">
        <f>IFERROR(__xludf.DUMMYFUNCTION("""COMPUTED_VALUE"""),2.0)</f>
        <v>2</v>
      </c>
      <c r="DR155" s="16"/>
      <c r="DS155" s="16"/>
      <c r="DT155" s="16"/>
      <c r="DU155" s="16"/>
      <c r="DV155" s="16"/>
      <c r="DW155" s="16"/>
      <c r="DX155" s="16"/>
      <c r="DY155" s="16">
        <f>IFERROR(__xludf.DUMMYFUNCTION("""COMPUTED_VALUE"""),2.0)</f>
        <v>2</v>
      </c>
      <c r="DZ155" s="16"/>
      <c r="EA155" s="16"/>
      <c r="EB155" s="16"/>
      <c r="EC155" s="16"/>
      <c r="ED155" s="16"/>
      <c r="EE155" s="16"/>
      <c r="EF155" s="16"/>
      <c r="EG155" s="179">
        <f>IFERROR(__xludf.DUMMYFUNCTION("""COMPUTED_VALUE"""),4.0)</f>
        <v>4</v>
      </c>
      <c r="EH155" s="179"/>
      <c r="EI155" s="179"/>
      <c r="EJ155" s="179"/>
      <c r="EK155" s="179"/>
      <c r="EL155" s="179"/>
      <c r="EM155" s="179"/>
      <c r="EN155" s="179"/>
      <c r="EO155" s="16">
        <f>IFERROR(__xludf.DUMMYFUNCTION("""COMPUTED_VALUE"""),-3.0)</f>
        <v>-3</v>
      </c>
      <c r="EP155" s="16">
        <f>IFERROR(__xludf.DUMMYFUNCTION("""COMPUTED_VALUE"""),0.0)</f>
        <v>0</v>
      </c>
      <c r="EQ155" s="16">
        <f>IFERROR(__xludf.DUMMYFUNCTION("""COMPUTED_VALUE"""),2.0)</f>
        <v>2</v>
      </c>
      <c r="ER155" s="16">
        <f>IFERROR(__xludf.DUMMYFUNCTION("""COMPUTED_VALUE"""),1.0)</f>
        <v>1</v>
      </c>
      <c r="ES155" s="16" t="str">
        <f>IFERROR(__xludf.DUMMYFUNCTION("""COMPUTED_VALUE"""),"c-3")</f>
        <v>c-3</v>
      </c>
      <c r="ET155" s="16" t="str">
        <f>IFERROR(__xludf.DUMMYFUNCTION("""COMPUTED_VALUE"""),"-3)e5,T-6")</f>
        <v>-3)e5,T-6</v>
      </c>
      <c r="EU155" s="16" t="str">
        <f>IFERROR(__xludf.DUMMYFUNCTION("""COMPUTED_VALUE"""),"pb-0)")</f>
        <v>pb-0)</v>
      </c>
      <c r="EV155" s="16"/>
      <c r="EW155" s="16">
        <f>IFERROR(__xludf.DUMMYFUNCTION("""COMPUTED_VALUE"""),-3.0)</f>
        <v>-3</v>
      </c>
      <c r="EX155" s="180">
        <f>IFERROR(__xludf.DUMMYFUNCTION("""COMPUTED_VALUE"""),0.2)</f>
        <v>0.2</v>
      </c>
      <c r="EY155" s="180"/>
      <c r="EZ155" s="180"/>
      <c r="FA155" s="180"/>
      <c r="FB155" s="180"/>
      <c r="FC155" s="180"/>
      <c r="FD155" s="180"/>
      <c r="FE155" s="180"/>
      <c r="FF155" s="180">
        <f>IFERROR(__xludf.DUMMYFUNCTION("""COMPUTED_VALUE"""),0.061)</f>
        <v>0.061</v>
      </c>
      <c r="FG155" s="180"/>
      <c r="FH155" s="180"/>
      <c r="FI155" s="180"/>
      <c r="FJ155" s="180"/>
      <c r="FK155" s="180"/>
      <c r="FL155" s="180"/>
      <c r="FM155" s="180"/>
      <c r="FN155" s="16">
        <f>IFERROR(__xludf.DUMMYFUNCTION("""COMPUTED_VALUE"""),0.7512000000000001)</f>
        <v>0.7512</v>
      </c>
      <c r="FO155" s="16"/>
      <c r="FP155" s="16"/>
      <c r="FQ155" s="16"/>
      <c r="FR155" s="16"/>
      <c r="FS155" s="16"/>
      <c r="FT155" s="16"/>
      <c r="FU155" s="16"/>
      <c r="FV155" s="16">
        <f>IFERROR(__xludf.DUMMYFUNCTION("""COMPUTED_VALUE"""),2.0)</f>
        <v>2</v>
      </c>
      <c r="FW155" s="16"/>
      <c r="FX155" s="16"/>
      <c r="FY155" s="16"/>
      <c r="FZ155" s="16"/>
      <c r="GA155" s="16"/>
      <c r="GB155" s="16"/>
      <c r="GC155" s="16"/>
      <c r="GD155" s="16" t="s">
        <v>245</v>
      </c>
    </row>
    <row r="156">
      <c r="A156" s="16">
        <f>IFERROR(__xludf.DUMMYFUNCTION("""COMPUTED_VALUE"""),12858.0)</f>
        <v>12858</v>
      </c>
      <c r="B156" s="16" t="str">
        <f>IFERROR(__xludf.DUMMYFUNCTION("""COMPUTED_VALUE"""),"Griffin Conine")</f>
        <v>Griffin Conine</v>
      </c>
      <c r="C156" s="16">
        <f>IFERROR(__xludf.DUMMYFUNCTION("""COMPUTED_VALUE"""),1.37)</f>
        <v>1.37</v>
      </c>
      <c r="D156" s="16" t="str">
        <f>IFERROR(__xludf.DUMMYFUNCTION("""COMPUTED_VALUE"""),"L")</f>
        <v>L</v>
      </c>
      <c r="E156" s="16"/>
      <c r="F156" s="16"/>
      <c r="G156" s="16">
        <f>IFERROR(__xludf.DUMMYFUNCTION("""COMPUTED_VALUE"""),82.0)</f>
        <v>82</v>
      </c>
      <c r="H156" s="16">
        <f>IFERROR(__xludf.DUMMYFUNCTION("""COMPUTED_VALUE"""),6.0)</f>
        <v>6</v>
      </c>
      <c r="I156" s="16" t="str">
        <f>IFERROR(__xludf.DUMMYFUNCTION("""COMPUTED_VALUE"""),"1p20")</f>
        <v>1p20</v>
      </c>
      <c r="J156" s="16">
        <f>IFERROR(__xludf.DUMMYFUNCTION("""COMPUTED_VALUE"""),24.0)</f>
        <v>24</v>
      </c>
      <c r="K156" s="16">
        <f>IFERROR(__xludf.DUMMYFUNCTION("""COMPUTED_VALUE"""),48.0)</f>
        <v>48</v>
      </c>
      <c r="L156" s="16">
        <f>IFERROR(__xludf.DUMMYFUNCTION("""COMPUTED_VALUE"""),0.0)</f>
        <v>0</v>
      </c>
      <c r="M156" s="16">
        <f>IFERROR(__xludf.DUMMYFUNCTION("""COMPUTED_VALUE"""),-2.0)</f>
        <v>-2</v>
      </c>
      <c r="N156" s="16">
        <f>IFERROR(__xludf.DUMMYFUNCTION("""COMPUTED_VALUE"""),0.0)</f>
        <v>0</v>
      </c>
      <c r="O156" s="16">
        <f>IFERROR(__xludf.DUMMYFUNCTION("""COMPUTED_VALUE"""),-2.0)</f>
        <v>-2</v>
      </c>
      <c r="P156" s="16">
        <f>IFERROR(__xludf.DUMMYFUNCTION("""COMPUTED_VALUE"""),2.0)</f>
        <v>2</v>
      </c>
      <c r="Q156" s="16">
        <f>IFERROR(__xludf.DUMMYFUNCTION("""COMPUTED_VALUE"""),6.0)</f>
        <v>6</v>
      </c>
      <c r="R156" s="16">
        <f>IFERROR(__xludf.DUMMYFUNCTION("""COMPUTED_VALUE"""),-2.0)</f>
        <v>-2</v>
      </c>
      <c r="S156" s="16">
        <f>IFERROR(__xludf.DUMMYFUNCTION("""COMPUTED_VALUE"""),-1.0)</f>
        <v>-1</v>
      </c>
      <c r="T156" s="16">
        <f>IFERROR(__xludf.DUMMYFUNCTION("""COMPUTED_VALUE"""),-2.0)</f>
        <v>-2</v>
      </c>
      <c r="U156" s="16">
        <f>IFERROR(__xludf.DUMMYFUNCTION("""COMPUTED_VALUE"""),-1.0)</f>
        <v>-1</v>
      </c>
      <c r="V156" s="16">
        <f>IFERROR(__xludf.DUMMYFUNCTION("""COMPUTED_VALUE"""),24.1)</f>
        <v>24.1</v>
      </c>
      <c r="W156" s="16">
        <f>IFERROR(__xludf.DUMMYFUNCTION("""COMPUTED_VALUE"""),22.1)</f>
        <v>22.1</v>
      </c>
      <c r="X156" s="16">
        <f>IFERROR(__xludf.DUMMYFUNCTION("""COMPUTED_VALUE"""),1.0)</f>
        <v>1</v>
      </c>
      <c r="Y156" s="16">
        <f>IFERROR(__xludf.DUMMYFUNCTION("""COMPUTED_VALUE"""),0.0)</f>
        <v>0</v>
      </c>
      <c r="Z156" s="16">
        <f>IFERROR(__xludf.DUMMYFUNCTION("""COMPUTED_VALUE"""),2.0)</f>
        <v>2</v>
      </c>
      <c r="AA156" s="16">
        <f>IFERROR(__xludf.DUMMYFUNCTION("""COMPUTED_VALUE"""),0.0)</f>
        <v>0</v>
      </c>
      <c r="AB156" s="16">
        <f>IFERROR(__xludf.DUMMYFUNCTION("""COMPUTED_VALUE"""),29.1)</f>
        <v>29.1</v>
      </c>
      <c r="AC156" s="16">
        <f>IFERROR(__xludf.DUMMYFUNCTION("""COMPUTED_VALUE"""),31.1)</f>
        <v>31.1</v>
      </c>
      <c r="AD156" s="16">
        <f>IFERROR(__xludf.DUMMYFUNCTION("""COMPUTED_VALUE"""),0.0)</f>
        <v>0</v>
      </c>
      <c r="AE156" s="16">
        <f>IFERROR(__xludf.DUMMYFUNCTION("""COMPUTED_VALUE"""),0.0)</f>
        <v>0</v>
      </c>
      <c r="AF156" s="16">
        <f>IFERROR(__xludf.DUMMYFUNCTION("""COMPUTED_VALUE"""),0.0)</f>
        <v>0</v>
      </c>
      <c r="AG156" s="16">
        <f>IFERROR(__xludf.DUMMYFUNCTION("""COMPUTED_VALUE"""),0.0)</f>
        <v>0</v>
      </c>
      <c r="AH156" s="16">
        <f>IFERROR(__xludf.DUMMYFUNCTION("""COMPUTED_VALUE"""),35.2)</f>
        <v>35.2</v>
      </c>
      <c r="AI156" s="16">
        <f>IFERROR(__xludf.DUMMYFUNCTION("""COMPUTED_VALUE"""),39.9)</f>
        <v>39.9</v>
      </c>
      <c r="AJ156" s="16">
        <f>IFERROR(__xludf.DUMMYFUNCTION("""COMPUTED_VALUE"""),0.0)</f>
        <v>0</v>
      </c>
      <c r="AK156" s="16">
        <f>IFERROR(__xludf.DUMMYFUNCTION("""COMPUTED_VALUE"""),1.0)</f>
        <v>1</v>
      </c>
      <c r="AL156" s="16">
        <f>IFERROR(__xludf.DUMMYFUNCTION("""COMPUTED_VALUE"""),0.0)</f>
        <v>0</v>
      </c>
      <c r="AM156" s="16">
        <f>IFERROR(__xludf.DUMMYFUNCTION("""COMPUTED_VALUE"""),5.0)</f>
        <v>5</v>
      </c>
      <c r="AN156" s="16">
        <f>IFERROR(__xludf.DUMMYFUNCTION("""COMPUTED_VALUE"""),3.7)</f>
        <v>3.7</v>
      </c>
      <c r="AO156" s="16">
        <f>IFERROR(__xludf.DUMMYFUNCTION("""COMPUTED_VALUE"""),1.8)</f>
        <v>1.8</v>
      </c>
      <c r="AP156" s="16">
        <f>IFERROR(__xludf.DUMMYFUNCTION("""COMPUTED_VALUE"""),2.0)</f>
        <v>2</v>
      </c>
      <c r="AQ156" s="16">
        <f>IFERROR(__xludf.DUMMYFUNCTION("""COMPUTED_VALUE"""),-1.0)</f>
        <v>-1</v>
      </c>
      <c r="AR156" s="16">
        <f>IFERROR(__xludf.DUMMYFUNCTION("""COMPUTED_VALUE"""),4.0)</f>
        <v>4</v>
      </c>
      <c r="AS156" s="16">
        <f>IFERROR(__xludf.DUMMYFUNCTION("""COMPUTED_VALUE"""),-2.0)</f>
        <v>-2</v>
      </c>
      <c r="AT156" s="16">
        <f>IFERROR(__xludf.DUMMYFUNCTION("""COMPUTED_VALUE"""),7.0)</f>
        <v>7</v>
      </c>
      <c r="AU156" s="16">
        <f>IFERROR(__xludf.DUMMYFUNCTION("""COMPUTED_VALUE"""),2.0)</f>
        <v>2</v>
      </c>
      <c r="AV156" s="16">
        <f>IFERROR(__xludf.DUMMYFUNCTION("""COMPUTED_VALUE"""),7.0)</f>
        <v>7</v>
      </c>
      <c r="AW156" s="16">
        <f>IFERROR(__xludf.DUMMYFUNCTION("""COMPUTED_VALUE"""),2.0)</f>
        <v>2</v>
      </c>
      <c r="AX156" s="16">
        <f>IFERROR(__xludf.DUMMYFUNCTION("""COMPUTED_VALUE"""),3.0)</f>
        <v>3</v>
      </c>
      <c r="AY156" s="16">
        <f>IFERROR(__xludf.DUMMYFUNCTION("""COMPUTED_VALUE"""),0.0)</f>
        <v>0</v>
      </c>
      <c r="AZ156" s="16">
        <f>IFERROR(__xludf.DUMMYFUNCTION("""COMPUTED_VALUE"""),9.0)</f>
        <v>9</v>
      </c>
      <c r="BA156" s="16">
        <f>IFERROR(__xludf.DUMMYFUNCTION("""COMPUTED_VALUE"""),0.0)</f>
        <v>0</v>
      </c>
      <c r="BB156" s="16">
        <f>IFERROR(__xludf.DUMMYFUNCTION("""COMPUTED_VALUE"""),5.0)</f>
        <v>5</v>
      </c>
      <c r="BC156" s="16">
        <f>IFERROR(__xludf.DUMMYFUNCTION("""COMPUTED_VALUE"""),5.0)</f>
        <v>5</v>
      </c>
      <c r="BD156" s="16">
        <f>IFERROR(__xludf.DUMMYFUNCTION("""COMPUTED_VALUE"""),1.0)</f>
        <v>1</v>
      </c>
      <c r="BE156" s="16">
        <f>IFERROR(__xludf.DUMMYFUNCTION("""COMPUTED_VALUE"""),1.0)</f>
        <v>1</v>
      </c>
      <c r="BF156" s="16">
        <f>IFERROR(__xludf.DUMMYFUNCTION("""COMPUTED_VALUE"""),1.0)</f>
        <v>1</v>
      </c>
      <c r="BG156" s="16">
        <f>IFERROR(__xludf.DUMMYFUNCTION("""COMPUTED_VALUE"""),1.0)</f>
        <v>1</v>
      </c>
      <c r="BH156" s="16">
        <f>IFERROR(__xludf.DUMMYFUNCTION("""COMPUTED_VALUE"""),4.0)</f>
        <v>4</v>
      </c>
      <c r="BI156" s="16">
        <f>IFERROR(__xludf.DUMMYFUNCTION("""COMPUTED_VALUE"""),4.0)</f>
        <v>4</v>
      </c>
      <c r="BJ156" s="16">
        <f>IFERROR(__xludf.DUMMYFUNCTION("""COMPUTED_VALUE"""),8.0)</f>
        <v>8</v>
      </c>
      <c r="BK156" s="16">
        <f>IFERROR(__xludf.DUMMYFUNCTION("""COMPUTED_VALUE"""),8.0)</f>
        <v>8</v>
      </c>
      <c r="BL156" s="16">
        <f>IFERROR(__xludf.DUMMYFUNCTION("""COMPUTED_VALUE"""),1.0)</f>
        <v>1</v>
      </c>
      <c r="BM156" s="16">
        <f>IFERROR(__xludf.DUMMYFUNCTION("""COMPUTED_VALUE"""),1.0)</f>
        <v>1</v>
      </c>
      <c r="BN156" s="16">
        <f>IFERROR(__xludf.DUMMYFUNCTION("""COMPUTED_VALUE"""),1.0)</f>
        <v>1</v>
      </c>
      <c r="BO156" s="16">
        <f>IFERROR(__xludf.DUMMYFUNCTION("""COMPUTED_VALUE"""),1.0)</f>
        <v>1</v>
      </c>
      <c r="BP156" s="16">
        <f>IFERROR(__xludf.DUMMYFUNCTION("""COMPUTED_VALUE"""),6.0)</f>
        <v>6</v>
      </c>
      <c r="BQ156" s="16">
        <f>IFERROR(__xludf.DUMMYFUNCTION("""COMPUTED_VALUE"""),-1.0)</f>
        <v>-1</v>
      </c>
      <c r="BR156" s="16">
        <f>IFERROR(__xludf.DUMMYFUNCTION("""COMPUTED_VALUE"""),5.0)</f>
        <v>5</v>
      </c>
      <c r="BS156" s="16" t="str">
        <f>IFERROR(__xludf.DUMMYFUNCTION("""COMPUTED_VALUE"""),"-/- (---)")</f>
        <v>-/- (---)</v>
      </c>
      <c r="BT156" s="16" t="str">
        <f>IFERROR(__xludf.DUMMYFUNCTION("""COMPUTED_VALUE"""),"E")</f>
        <v>E</v>
      </c>
      <c r="BU156" s="16">
        <f>IFERROR(__xludf.DUMMYFUNCTION("""COMPUTED_VALUE"""),12.0)</f>
        <v>12</v>
      </c>
      <c r="BV156" s="16">
        <f>IFERROR(__xludf.DUMMYFUNCTION("""COMPUTED_VALUE"""),0.0)</f>
        <v>0</v>
      </c>
      <c r="BW156" s="16">
        <f>IFERROR(__xludf.DUMMYFUNCTION("""COMPUTED_VALUE"""),0.0)</f>
        <v>0</v>
      </c>
      <c r="BX156" s="16">
        <f>IFERROR(__xludf.DUMMYFUNCTION("""COMPUTED_VALUE"""),0.0)</f>
        <v>0</v>
      </c>
      <c r="BY156" s="16">
        <f>IFERROR(__xludf.DUMMYFUNCTION("""COMPUTED_VALUE"""),0.0)</f>
        <v>0</v>
      </c>
      <c r="BZ156" s="16" t="str">
        <f>IFERROR(__xludf.DUMMYFUNCTION("""COMPUTED_VALUE"""),"D")</f>
        <v>D</v>
      </c>
      <c r="CA156" s="16" t="str">
        <f>IFERROR(__xludf.DUMMYFUNCTION("""COMPUTED_VALUE"""),"D")</f>
        <v>D</v>
      </c>
      <c r="CB156" s="16">
        <f>IFERROR(__xludf.DUMMYFUNCTION("""COMPUTED_VALUE"""),0.0)</f>
        <v>0</v>
      </c>
      <c r="CC156" s="16">
        <f>IFERROR(__xludf.DUMMYFUNCTION("""COMPUTED_VALUE"""),0.0)</f>
        <v>0</v>
      </c>
      <c r="CD156" s="16">
        <f>IFERROR(__xludf.DUMMYFUNCTION("""COMPUTED_VALUE"""),0.0)</f>
        <v>0</v>
      </c>
      <c r="CE156" s="16">
        <f>IFERROR(__xludf.DUMMYFUNCTION("""COMPUTED_VALUE"""),0.0)</f>
        <v>0</v>
      </c>
      <c r="CF156" s="16">
        <f>IFERROR(__xludf.DUMMYFUNCTION("""COMPUTED_VALUE"""),1.0)</f>
        <v>1</v>
      </c>
      <c r="CG156" s="16">
        <f>IFERROR(__xludf.DUMMYFUNCTION("""COMPUTED_VALUE"""),15.0)</f>
        <v>15</v>
      </c>
      <c r="CH156" s="16">
        <f>IFERROR(__xludf.DUMMYFUNCTION("""COMPUTED_VALUE"""),2.0)</f>
        <v>2</v>
      </c>
      <c r="CI156" s="179">
        <f>IFERROR(__xludf.DUMMYFUNCTION("""COMPUTED_VALUE"""),5.0)</f>
        <v>5</v>
      </c>
      <c r="CJ156" s="16"/>
      <c r="CK156" s="16"/>
      <c r="CL156" s="16"/>
      <c r="CM156" s="16"/>
      <c r="CN156" s="16"/>
      <c r="CO156" s="16">
        <f>IFERROR(__xludf.DUMMYFUNCTION("""COMPUTED_VALUE"""),308.0)</f>
        <v>308</v>
      </c>
      <c r="CP156" s="16"/>
      <c r="CQ156" s="16">
        <f>IFERROR(__xludf.DUMMYFUNCTION("""COMPUTED_VALUE"""),308.0)</f>
        <v>308</v>
      </c>
      <c r="CR156" s="16" t="str">
        <f>IFERROR(__xludf.DUMMYFUNCTION("""COMPUTED_VALUE"""),"rf-3(-2)e8 lf-3e8")</f>
        <v>rf-3(-2)e8 lf-3e8</v>
      </c>
      <c r="CS156" s="16"/>
      <c r="CT156" s="16"/>
      <c r="CU156" s="16"/>
      <c r="CV156" s="16"/>
      <c r="CW156" s="16"/>
      <c r="CX156" s="16">
        <f>IFERROR(__xludf.DUMMYFUNCTION("""COMPUTED_VALUE"""),3.0)</f>
        <v>3</v>
      </c>
      <c r="CY156" s="16"/>
      <c r="CZ156" s="16">
        <f>IFERROR(__xludf.DUMMYFUNCTION("""COMPUTED_VALUE"""),3.0)</f>
        <v>3</v>
      </c>
      <c r="DA156" s="16"/>
      <c r="DB156" s="16"/>
      <c r="DC156" s="16"/>
      <c r="DD156" s="16"/>
      <c r="DE156" s="16"/>
      <c r="DF156" s="16">
        <f>IFERROR(__xludf.DUMMYFUNCTION("""COMPUTED_VALUE"""),8.0)</f>
        <v>8</v>
      </c>
      <c r="DG156" s="16"/>
      <c r="DH156" s="16">
        <f>IFERROR(__xludf.DUMMYFUNCTION("""COMPUTED_VALUE"""),8.0)</f>
        <v>8</v>
      </c>
      <c r="DI156" s="16"/>
      <c r="DJ156" s="16"/>
      <c r="DK156" s="16"/>
      <c r="DL156" s="16"/>
      <c r="DM156" s="16"/>
      <c r="DN156" s="16">
        <f>IFERROR(__xludf.DUMMYFUNCTION("""COMPUTED_VALUE"""),0.0)</f>
        <v>0</v>
      </c>
      <c r="DO156" s="16"/>
      <c r="DP156" s="16">
        <f>IFERROR(__xludf.DUMMYFUNCTION("""COMPUTED_VALUE"""),0.0)</f>
        <v>0</v>
      </c>
      <c r="DQ156" s="16"/>
      <c r="DR156" s="16"/>
      <c r="DS156" s="16"/>
      <c r="DT156" s="16"/>
      <c r="DU156" s="16"/>
      <c r="DV156" s="16">
        <f>IFERROR(__xludf.DUMMYFUNCTION("""COMPUTED_VALUE"""),0.0)</f>
        <v>0</v>
      </c>
      <c r="DW156" s="16"/>
      <c r="DX156" s="16">
        <f>IFERROR(__xludf.DUMMYFUNCTION("""COMPUTED_VALUE"""),0.0)</f>
        <v>0</v>
      </c>
      <c r="DY156" s="16"/>
      <c r="DZ156" s="16"/>
      <c r="EA156" s="16"/>
      <c r="EB156" s="16"/>
      <c r="EC156" s="16"/>
      <c r="ED156" s="16">
        <f>IFERROR(__xludf.DUMMYFUNCTION("""COMPUTED_VALUE"""),0.0)</f>
        <v>0</v>
      </c>
      <c r="EE156" s="16"/>
      <c r="EF156" s="16">
        <f>IFERROR(__xludf.DUMMYFUNCTION("""COMPUTED_VALUE"""),0.0)</f>
        <v>0</v>
      </c>
      <c r="EG156" s="179"/>
      <c r="EH156" s="179"/>
      <c r="EI156" s="179"/>
      <c r="EJ156" s="179"/>
      <c r="EK156" s="179"/>
      <c r="EL156" s="179">
        <f>IFERROR(__xludf.DUMMYFUNCTION("""COMPUTED_VALUE"""),5.0)</f>
        <v>5</v>
      </c>
      <c r="EM156" s="179"/>
      <c r="EN156" s="179">
        <f>IFERROR(__xludf.DUMMYFUNCTION("""COMPUTED_VALUE"""),5.0)</f>
        <v>5</v>
      </c>
      <c r="EO156" s="16"/>
      <c r="EP156" s="16"/>
      <c r="EQ156" s="16">
        <f>IFERROR(__xludf.DUMMYFUNCTION("""COMPUTED_VALUE"""),4.0)</f>
        <v>4</v>
      </c>
      <c r="ER156" s="16">
        <f>IFERROR(__xludf.DUMMYFUNCTION("""COMPUTED_VALUE"""),-4.0)</f>
        <v>-4</v>
      </c>
      <c r="ES156" s="16"/>
      <c r="ET156" s="16"/>
      <c r="EU156" s="16"/>
      <c r="EV156" s="16"/>
      <c r="EW156" s="16"/>
      <c r="EX156" s="180"/>
      <c r="EY156" s="180"/>
      <c r="EZ156" s="180"/>
      <c r="FA156" s="180"/>
      <c r="FB156" s="180"/>
      <c r="FC156" s="180">
        <f>IFERROR(__xludf.DUMMYFUNCTION("""COMPUTED_VALUE"""),0.3)</f>
        <v>0.3</v>
      </c>
      <c r="FD156" s="180"/>
      <c r="FE156" s="180">
        <f>IFERROR(__xludf.DUMMYFUNCTION("""COMPUTED_VALUE"""),0.3)</f>
        <v>0.3</v>
      </c>
      <c r="FF156" s="180"/>
      <c r="FG156" s="180"/>
      <c r="FH156" s="180"/>
      <c r="FI156" s="180"/>
      <c r="FJ156" s="180"/>
      <c r="FK156" s="180">
        <f>IFERROR(__xludf.DUMMYFUNCTION("""COMPUTED_VALUE"""),0.144)</f>
        <v>0.144</v>
      </c>
      <c r="FL156" s="180"/>
      <c r="FM156" s="180">
        <f>IFERROR(__xludf.DUMMYFUNCTION("""COMPUTED_VALUE"""),0.144)</f>
        <v>0.144</v>
      </c>
      <c r="FN156" s="16"/>
      <c r="FO156" s="16"/>
      <c r="FP156" s="16"/>
      <c r="FQ156" s="16"/>
      <c r="FR156" s="16"/>
      <c r="FS156" s="16">
        <f>IFERROR(__xludf.DUMMYFUNCTION("""COMPUTED_VALUE"""),0.5992)</f>
        <v>0.5992</v>
      </c>
      <c r="FT156" s="16"/>
      <c r="FU156" s="16">
        <f>IFERROR(__xludf.DUMMYFUNCTION("""COMPUTED_VALUE"""),0.5992)</f>
        <v>0.5992</v>
      </c>
      <c r="FV156" s="16"/>
      <c r="FW156" s="16"/>
      <c r="FX156" s="16"/>
      <c r="FY156" s="16"/>
      <c r="FZ156" s="16"/>
      <c r="GA156" s="16">
        <f>IFERROR(__xludf.DUMMYFUNCTION("""COMPUTED_VALUE"""),-6.0)</f>
        <v>-6</v>
      </c>
      <c r="GB156" s="16"/>
      <c r="GC156" s="16">
        <f>IFERROR(__xludf.DUMMYFUNCTION("""COMPUTED_VALUE"""),-6.0)</f>
        <v>-6</v>
      </c>
      <c r="GD156" s="16" t="s">
        <v>176</v>
      </c>
    </row>
    <row r="157">
      <c r="A157" s="16">
        <f>IFERROR(__xludf.DUMMYFUNCTION("""COMPUTED_VALUE"""),12955.0)</f>
        <v>12955</v>
      </c>
      <c r="B157" s="16" t="str">
        <f>IFERROR(__xludf.DUMMYFUNCTION("""COMPUTED_VALUE"""),"Jesus Sanchez")</f>
        <v>Jesus Sanchez</v>
      </c>
      <c r="C157" s="16">
        <f>IFERROR(__xludf.DUMMYFUNCTION("""COMPUTED_VALUE"""),0.38)</f>
        <v>0.38</v>
      </c>
      <c r="D157" s="16" t="str">
        <f>IFERROR(__xludf.DUMMYFUNCTION("""COMPUTED_VALUE"""),"L")</f>
        <v>L</v>
      </c>
      <c r="E157" s="16"/>
      <c r="F157" s="16"/>
      <c r="G157" s="16">
        <f>IFERROR(__xludf.DUMMYFUNCTION("""COMPUTED_VALUE"""),489.0)</f>
        <v>489</v>
      </c>
      <c r="H157" s="16">
        <f>IFERROR(__xludf.DUMMYFUNCTION("""COMPUTED_VALUE"""),41.0)</f>
        <v>41</v>
      </c>
      <c r="I157" s="16" t="str">
        <f>IFERROR(__xludf.DUMMYFUNCTION("""COMPUTED_VALUE"""),"1p70")</f>
        <v>1p70</v>
      </c>
      <c r="J157" s="16">
        <f>IFERROR(__xludf.DUMMYFUNCTION("""COMPUTED_VALUE"""),39.0)</f>
        <v>39</v>
      </c>
      <c r="K157" s="16">
        <f>IFERROR(__xludf.DUMMYFUNCTION("""COMPUTED_VALUE"""),29.0)</f>
        <v>29</v>
      </c>
      <c r="L157" s="16">
        <f>IFERROR(__xludf.DUMMYFUNCTION("""COMPUTED_VALUE"""),-1.0)</f>
        <v>-1</v>
      </c>
      <c r="M157" s="16">
        <f>IFERROR(__xludf.DUMMYFUNCTION("""COMPUTED_VALUE"""),0.0)</f>
        <v>0</v>
      </c>
      <c r="N157" s="16">
        <f>IFERROR(__xludf.DUMMYFUNCTION("""COMPUTED_VALUE"""),-1.0)</f>
        <v>-1</v>
      </c>
      <c r="O157" s="16">
        <f>IFERROR(__xludf.DUMMYFUNCTION("""COMPUTED_VALUE"""),0.0)</f>
        <v>0</v>
      </c>
      <c r="P157" s="16">
        <f>IFERROR(__xludf.DUMMYFUNCTION("""COMPUTED_VALUE"""),7.0)</f>
        <v>7</v>
      </c>
      <c r="Q157" s="16">
        <f>IFERROR(__xludf.DUMMYFUNCTION("""COMPUTED_VALUE"""),6.0)</f>
        <v>6</v>
      </c>
      <c r="R157" s="16">
        <f>IFERROR(__xludf.DUMMYFUNCTION("""COMPUTED_VALUE"""),-1.0)</f>
        <v>-1</v>
      </c>
      <c r="S157" s="16">
        <f>IFERROR(__xludf.DUMMYFUNCTION("""COMPUTED_VALUE"""),-1.0)</f>
        <v>-1</v>
      </c>
      <c r="T157" s="16">
        <f>IFERROR(__xludf.DUMMYFUNCTION("""COMPUTED_VALUE"""),-1.0)</f>
        <v>-1</v>
      </c>
      <c r="U157" s="16">
        <f>IFERROR(__xludf.DUMMYFUNCTION("""COMPUTED_VALUE"""),-1.0)</f>
        <v>-1</v>
      </c>
      <c r="V157" s="16">
        <f>IFERROR(__xludf.DUMMYFUNCTION("""COMPUTED_VALUE"""),3.1)</f>
        <v>3.1</v>
      </c>
      <c r="W157" s="16">
        <f>IFERROR(__xludf.DUMMYFUNCTION("""COMPUTED_VALUE"""),25.3)</f>
        <v>25.3</v>
      </c>
      <c r="X157" s="16">
        <f>IFERROR(__xludf.DUMMYFUNCTION("""COMPUTED_VALUE"""),-2.0)</f>
        <v>-2</v>
      </c>
      <c r="Y157" s="16">
        <f>IFERROR(__xludf.DUMMYFUNCTION("""COMPUTED_VALUE"""),1.0)</f>
        <v>1</v>
      </c>
      <c r="Z157" s="16">
        <f>IFERROR(__xludf.DUMMYFUNCTION("""COMPUTED_VALUE"""),-4.0)</f>
        <v>-4</v>
      </c>
      <c r="AA157" s="16">
        <f>IFERROR(__xludf.DUMMYFUNCTION("""COMPUTED_VALUE"""),2.0)</f>
        <v>2</v>
      </c>
      <c r="AB157" s="16">
        <f>IFERROR(__xludf.DUMMYFUNCTION("""COMPUTED_VALUE"""),12.1)</f>
        <v>12.1</v>
      </c>
      <c r="AC157" s="16">
        <f>IFERROR(__xludf.DUMMYFUNCTION("""COMPUTED_VALUE"""),33.3)</f>
        <v>33.3</v>
      </c>
      <c r="AD157" s="16">
        <f>IFERROR(__xludf.DUMMYFUNCTION("""COMPUTED_VALUE"""),-2.0)</f>
        <v>-2</v>
      </c>
      <c r="AE157" s="16">
        <f>IFERROR(__xludf.DUMMYFUNCTION("""COMPUTED_VALUE"""),0.0)</f>
        <v>0</v>
      </c>
      <c r="AF157" s="16">
        <f>IFERROR(__xludf.DUMMYFUNCTION("""COMPUTED_VALUE"""),-10.0)</f>
        <v>-10</v>
      </c>
      <c r="AG157" s="16">
        <f>IFERROR(__xludf.DUMMYFUNCTION("""COMPUTED_VALUE"""),0.0)</f>
        <v>0</v>
      </c>
      <c r="AH157" s="16">
        <f>IFERROR(__xludf.DUMMYFUNCTION("""COMPUTED_VALUE"""),9.1)</f>
        <v>9.1</v>
      </c>
      <c r="AI157" s="16">
        <f>IFERROR(__xludf.DUMMYFUNCTION("""COMPUTED_VALUE"""),39.9)</f>
        <v>39.9</v>
      </c>
      <c r="AJ157" s="16">
        <f>IFERROR(__xludf.DUMMYFUNCTION("""COMPUTED_VALUE"""),-2.0)</f>
        <v>-2</v>
      </c>
      <c r="AK157" s="16">
        <f>IFERROR(__xludf.DUMMYFUNCTION("""COMPUTED_VALUE"""),1.0)</f>
        <v>1</v>
      </c>
      <c r="AL157" s="16">
        <f>IFERROR(__xludf.DUMMYFUNCTION("""COMPUTED_VALUE"""),-10.0)</f>
        <v>-10</v>
      </c>
      <c r="AM157" s="16">
        <f>IFERROR(__xludf.DUMMYFUNCTION("""COMPUTED_VALUE"""),5.0)</f>
        <v>5</v>
      </c>
      <c r="AN157" s="16">
        <f>IFERROR(__xludf.DUMMYFUNCTION("""COMPUTED_VALUE"""),2.0)</f>
        <v>2</v>
      </c>
      <c r="AO157" s="16">
        <f>IFERROR(__xludf.DUMMYFUNCTION("""COMPUTED_VALUE"""),2.5)</f>
        <v>2.5</v>
      </c>
      <c r="AP157" s="16">
        <f>IFERROR(__xludf.DUMMYFUNCTION("""COMPUTED_VALUE"""),0.0)</f>
        <v>0</v>
      </c>
      <c r="AQ157" s="16">
        <f>IFERROR(__xludf.DUMMYFUNCTION("""COMPUTED_VALUE"""),0.0)</f>
        <v>0</v>
      </c>
      <c r="AR157" s="16">
        <f>IFERROR(__xludf.DUMMYFUNCTION("""COMPUTED_VALUE"""),0.0)</f>
        <v>0</v>
      </c>
      <c r="AS157" s="16">
        <f>IFERROR(__xludf.DUMMYFUNCTION("""COMPUTED_VALUE"""),0.0)</f>
        <v>0</v>
      </c>
      <c r="AT157" s="16">
        <f>IFERROR(__xludf.DUMMYFUNCTION("""COMPUTED_VALUE"""),2.0)</f>
        <v>2</v>
      </c>
      <c r="AU157" s="16">
        <f>IFERROR(__xludf.DUMMYFUNCTION("""COMPUTED_VALUE"""),3.0)</f>
        <v>3</v>
      </c>
      <c r="AV157" s="16">
        <f>IFERROR(__xludf.DUMMYFUNCTION("""COMPUTED_VALUE"""),2.0)</f>
        <v>2</v>
      </c>
      <c r="AW157" s="16">
        <f>IFERROR(__xludf.DUMMYFUNCTION("""COMPUTED_VALUE"""),3.0)</f>
        <v>3</v>
      </c>
      <c r="AX157" s="16">
        <f>IFERROR(__xludf.DUMMYFUNCTION("""COMPUTED_VALUE"""),0.0)</f>
        <v>0</v>
      </c>
      <c r="AY157" s="16">
        <f>IFERROR(__xludf.DUMMYFUNCTION("""COMPUTED_VALUE"""),0.0)</f>
        <v>0</v>
      </c>
      <c r="AZ157" s="16">
        <f>IFERROR(__xludf.DUMMYFUNCTION("""COMPUTED_VALUE"""),0.0)</f>
        <v>0</v>
      </c>
      <c r="BA157" s="16">
        <f>IFERROR(__xludf.DUMMYFUNCTION("""COMPUTED_VALUE"""),0.0)</f>
        <v>0</v>
      </c>
      <c r="BB157" s="16">
        <f>IFERROR(__xludf.DUMMYFUNCTION("""COMPUTED_VALUE"""),5.0)</f>
        <v>5</v>
      </c>
      <c r="BC157" s="16">
        <f>IFERROR(__xludf.DUMMYFUNCTION("""COMPUTED_VALUE"""),5.0)</f>
        <v>5</v>
      </c>
      <c r="BD157" s="16">
        <f>IFERROR(__xludf.DUMMYFUNCTION("""COMPUTED_VALUE"""),1.0)</f>
        <v>1</v>
      </c>
      <c r="BE157" s="16">
        <f>IFERROR(__xludf.DUMMYFUNCTION("""COMPUTED_VALUE"""),1.0)</f>
        <v>1</v>
      </c>
      <c r="BF157" s="16">
        <f>IFERROR(__xludf.DUMMYFUNCTION("""COMPUTED_VALUE"""),1.0)</f>
        <v>1</v>
      </c>
      <c r="BG157" s="16">
        <f>IFERROR(__xludf.DUMMYFUNCTION("""COMPUTED_VALUE"""),1.0)</f>
        <v>1</v>
      </c>
      <c r="BH157" s="16">
        <f>IFERROR(__xludf.DUMMYFUNCTION("""COMPUTED_VALUE"""),0.0)</f>
        <v>0</v>
      </c>
      <c r="BI157" s="16">
        <f>IFERROR(__xludf.DUMMYFUNCTION("""COMPUTED_VALUE"""),-6.0)</f>
        <v>-6</v>
      </c>
      <c r="BJ157" s="16">
        <f>IFERROR(__xludf.DUMMYFUNCTION("""COMPUTED_VALUE"""),18.0)</f>
        <v>18</v>
      </c>
      <c r="BK157" s="16">
        <f>IFERROR(__xludf.DUMMYFUNCTION("""COMPUTED_VALUE"""),17.0)</f>
        <v>17</v>
      </c>
      <c r="BL157" s="16">
        <f>IFERROR(__xludf.DUMMYFUNCTION("""COMPUTED_VALUE"""),-1.0)</f>
        <v>-1</v>
      </c>
      <c r="BM157" s="16">
        <f>IFERROR(__xludf.DUMMYFUNCTION("""COMPUTED_VALUE"""),-1.0)</f>
        <v>-1</v>
      </c>
      <c r="BN157" s="16">
        <f>IFERROR(__xludf.DUMMYFUNCTION("""COMPUTED_VALUE"""),-2.0)</f>
        <v>-2</v>
      </c>
      <c r="BO157" s="16">
        <f>IFERROR(__xludf.DUMMYFUNCTION("""COMPUTED_VALUE"""),-2.0)</f>
        <v>-2</v>
      </c>
      <c r="BP157" s="16">
        <f>IFERROR(__xludf.DUMMYFUNCTION("""COMPUTED_VALUE"""),-8.0)</f>
        <v>-8</v>
      </c>
      <c r="BQ157" s="16">
        <f>IFERROR(__xludf.DUMMYFUNCTION("""COMPUTED_VALUE"""),1.0)</f>
        <v>1</v>
      </c>
      <c r="BR157" s="16">
        <f>IFERROR(__xludf.DUMMYFUNCTION("""COMPUTED_VALUE"""),-7.0)</f>
        <v>-7</v>
      </c>
      <c r="BS157" s="16" t="str">
        <f>IFERROR(__xludf.DUMMYFUNCTION("""COMPUTED_VALUE"""),"*7/- (19-12)")</f>
        <v>*7/- (19-12)</v>
      </c>
      <c r="BT157" s="16" t="str">
        <f>IFERROR(__xludf.DUMMYFUNCTION("""COMPUTED_VALUE"""),"A")</f>
        <v>A</v>
      </c>
      <c r="BU157" s="16">
        <f>IFERROR(__xludf.DUMMYFUNCTION("""COMPUTED_VALUE"""),12.0)</f>
        <v>12</v>
      </c>
      <c r="BV157" s="16">
        <f>IFERROR(__xludf.DUMMYFUNCTION("""COMPUTED_VALUE"""),2.0)</f>
        <v>2</v>
      </c>
      <c r="BW157" s="16">
        <f>IFERROR(__xludf.DUMMYFUNCTION("""COMPUTED_VALUE"""),0.0)</f>
        <v>0</v>
      </c>
      <c r="BX157" s="16">
        <f>IFERROR(__xludf.DUMMYFUNCTION("""COMPUTED_VALUE"""),4.0)</f>
        <v>4</v>
      </c>
      <c r="BY157" s="16">
        <f>IFERROR(__xludf.DUMMYFUNCTION("""COMPUTED_VALUE"""),0.0)</f>
        <v>0</v>
      </c>
      <c r="BZ157" s="16" t="str">
        <f>IFERROR(__xludf.DUMMYFUNCTION("""COMPUTED_VALUE"""),"D")</f>
        <v>D</v>
      </c>
      <c r="CA157" s="16" t="str">
        <f>IFERROR(__xludf.DUMMYFUNCTION("""COMPUTED_VALUE"""),"D")</f>
        <v>D</v>
      </c>
      <c r="CB157" s="16">
        <f>IFERROR(__xludf.DUMMYFUNCTION("""COMPUTED_VALUE"""),0.0)</f>
        <v>0</v>
      </c>
      <c r="CC157" s="16">
        <f>IFERROR(__xludf.DUMMYFUNCTION("""COMPUTED_VALUE"""),0.0)</f>
        <v>0</v>
      </c>
      <c r="CD157" s="16">
        <f>IFERROR(__xludf.DUMMYFUNCTION("""COMPUTED_VALUE"""),0.0)</f>
        <v>0</v>
      </c>
      <c r="CE157" s="16">
        <f>IFERROR(__xludf.DUMMYFUNCTION("""COMPUTED_VALUE"""),0.0)</f>
        <v>0</v>
      </c>
      <c r="CF157" s="16">
        <f>IFERROR(__xludf.DUMMYFUNCTION("""COMPUTED_VALUE"""),1.0)</f>
        <v>1</v>
      </c>
      <c r="CG157" s="16">
        <f>IFERROR(__xludf.DUMMYFUNCTION("""COMPUTED_VALUE"""),-27.0)</f>
        <v>-27</v>
      </c>
      <c r="CH157" s="16">
        <f>IFERROR(__xludf.DUMMYFUNCTION("""COMPUTED_VALUE"""),5.0)</f>
        <v>5</v>
      </c>
      <c r="CI157" s="179">
        <f>IFERROR(__xludf.DUMMYFUNCTION("""COMPUTED_VALUE"""),5.0)</f>
        <v>5</v>
      </c>
      <c r="CJ157" s="16"/>
      <c r="CK157" s="16"/>
      <c r="CL157" s="16"/>
      <c r="CM157" s="16"/>
      <c r="CN157" s="16"/>
      <c r="CO157" s="16">
        <f>IFERROR(__xludf.DUMMYFUNCTION("""COMPUTED_VALUE"""),406.0)</f>
        <v>406</v>
      </c>
      <c r="CP157" s="16"/>
      <c r="CQ157" s="16">
        <f>IFERROR(__xludf.DUMMYFUNCTION("""COMPUTED_VALUE"""),306.0)</f>
        <v>306</v>
      </c>
      <c r="CR157" s="16" t="str">
        <f>IFERROR(__xludf.DUMMYFUNCTION("""COMPUTED_VALUE"""),"rf-3(-2)e6 lf-4e6")</f>
        <v>rf-3(-2)e6 lf-4e6</v>
      </c>
      <c r="CS157" s="16"/>
      <c r="CT157" s="16"/>
      <c r="CU157" s="16"/>
      <c r="CV157" s="16"/>
      <c r="CW157" s="16"/>
      <c r="CX157" s="16">
        <f>IFERROR(__xludf.DUMMYFUNCTION("""COMPUTED_VALUE"""),4.0)</f>
        <v>4</v>
      </c>
      <c r="CY157" s="16"/>
      <c r="CZ157" s="16">
        <f>IFERROR(__xludf.DUMMYFUNCTION("""COMPUTED_VALUE"""),3.0)</f>
        <v>3</v>
      </c>
      <c r="DA157" s="16"/>
      <c r="DB157" s="16"/>
      <c r="DC157" s="16"/>
      <c r="DD157" s="16"/>
      <c r="DE157" s="16"/>
      <c r="DF157" s="16">
        <f>IFERROR(__xludf.DUMMYFUNCTION("""COMPUTED_VALUE"""),6.0)</f>
        <v>6</v>
      </c>
      <c r="DG157" s="16"/>
      <c r="DH157" s="16">
        <f>IFERROR(__xludf.DUMMYFUNCTION("""COMPUTED_VALUE"""),6.0)</f>
        <v>6</v>
      </c>
      <c r="DI157" s="16"/>
      <c r="DJ157" s="16"/>
      <c r="DK157" s="16"/>
      <c r="DL157" s="16"/>
      <c r="DM157" s="16"/>
      <c r="DN157" s="16">
        <f>IFERROR(__xludf.DUMMYFUNCTION("""COMPUTED_VALUE"""),-1.0)</f>
        <v>-1</v>
      </c>
      <c r="DO157" s="16"/>
      <c r="DP157" s="16">
        <f>IFERROR(__xludf.DUMMYFUNCTION("""COMPUTED_VALUE"""),0.0)</f>
        <v>0</v>
      </c>
      <c r="DQ157" s="16"/>
      <c r="DR157" s="16"/>
      <c r="DS157" s="16"/>
      <c r="DT157" s="16"/>
      <c r="DU157" s="16"/>
      <c r="DV157" s="16">
        <f>IFERROR(__xludf.DUMMYFUNCTION("""COMPUTED_VALUE"""),2.0)</f>
        <v>2</v>
      </c>
      <c r="DW157" s="16"/>
      <c r="DX157" s="16">
        <f>IFERROR(__xludf.DUMMYFUNCTION("""COMPUTED_VALUE"""),2.0)</f>
        <v>2</v>
      </c>
      <c r="DY157" s="16"/>
      <c r="DZ157" s="16"/>
      <c r="EA157" s="16"/>
      <c r="EB157" s="16"/>
      <c r="EC157" s="16"/>
      <c r="ED157" s="16">
        <f>IFERROR(__xludf.DUMMYFUNCTION("""COMPUTED_VALUE"""),1.0)</f>
        <v>1</v>
      </c>
      <c r="EE157" s="16"/>
      <c r="EF157" s="16">
        <f>IFERROR(__xludf.DUMMYFUNCTION("""COMPUTED_VALUE"""),2.0)</f>
        <v>2</v>
      </c>
      <c r="EG157" s="179"/>
      <c r="EH157" s="179"/>
      <c r="EI157" s="179"/>
      <c r="EJ157" s="179"/>
      <c r="EK157" s="179"/>
      <c r="EL157" s="179">
        <f>IFERROR(__xludf.DUMMYFUNCTION("""COMPUTED_VALUE"""),6.0)</f>
        <v>6</v>
      </c>
      <c r="EM157" s="179"/>
      <c r="EN157" s="179">
        <f>IFERROR(__xludf.DUMMYFUNCTION("""COMPUTED_VALUE"""),7.0)</f>
        <v>7</v>
      </c>
      <c r="EO157" s="16"/>
      <c r="EP157" s="16"/>
      <c r="EQ157" s="16">
        <f>IFERROR(__xludf.DUMMYFUNCTION("""COMPUTED_VALUE"""),4.0)</f>
        <v>4</v>
      </c>
      <c r="ER157" s="16">
        <f>IFERROR(__xludf.DUMMYFUNCTION("""COMPUTED_VALUE"""),3.0)</f>
        <v>3</v>
      </c>
      <c r="ES157" s="16"/>
      <c r="ET157" s="16"/>
      <c r="EU157" s="16"/>
      <c r="EV157" s="16"/>
      <c r="EW157" s="16"/>
      <c r="EX157" s="180"/>
      <c r="EY157" s="180"/>
      <c r="EZ157" s="180"/>
      <c r="FA157" s="180"/>
      <c r="FB157" s="180"/>
      <c r="FC157" s="180">
        <f>IFERROR(__xludf.DUMMYFUNCTION("""COMPUTED_VALUE"""),0.55)</f>
        <v>0.55</v>
      </c>
      <c r="FD157" s="180"/>
      <c r="FE157" s="180">
        <f>IFERROR(__xludf.DUMMYFUNCTION("""COMPUTED_VALUE"""),0.3)</f>
        <v>0.3</v>
      </c>
      <c r="FF157" s="180"/>
      <c r="FG157" s="180"/>
      <c r="FH157" s="180"/>
      <c r="FI157" s="180"/>
      <c r="FJ157" s="180"/>
      <c r="FK157" s="180">
        <f>IFERROR(__xludf.DUMMYFUNCTION("""COMPUTED_VALUE"""),0.106)</f>
        <v>0.106</v>
      </c>
      <c r="FL157" s="180"/>
      <c r="FM157" s="180">
        <f>IFERROR(__xludf.DUMMYFUNCTION("""COMPUTED_VALUE"""),0.106)</f>
        <v>0.106</v>
      </c>
      <c r="FN157" s="16"/>
      <c r="FO157" s="16"/>
      <c r="FP157" s="16"/>
      <c r="FQ157" s="16"/>
      <c r="FR157" s="16"/>
      <c r="FS157" s="16">
        <f>IFERROR(__xludf.DUMMYFUNCTION("""COMPUTED_VALUE"""),0.4023)</f>
        <v>0.4023</v>
      </c>
      <c r="FT157" s="16"/>
      <c r="FU157" s="16">
        <f>IFERROR(__xludf.DUMMYFUNCTION("""COMPUTED_VALUE"""),0.6258)</f>
        <v>0.6258</v>
      </c>
      <c r="FV157" s="16"/>
      <c r="FW157" s="16"/>
      <c r="FX157" s="16"/>
      <c r="FY157" s="16"/>
      <c r="FZ157" s="16"/>
      <c r="GA157" s="16">
        <f>IFERROR(__xludf.DUMMYFUNCTION("""COMPUTED_VALUE"""),-8.0)</f>
        <v>-8</v>
      </c>
      <c r="GB157" s="16"/>
      <c r="GC157" s="16">
        <f>IFERROR(__xludf.DUMMYFUNCTION("""COMPUTED_VALUE"""),-6.0)</f>
        <v>-6</v>
      </c>
      <c r="GD157" s="16" t="s">
        <v>212</v>
      </c>
    </row>
    <row r="158">
      <c r="A158" s="16">
        <f>IFERROR(__xludf.DUMMYFUNCTION("""COMPUTED_VALUE"""),13485.0)</f>
        <v>13485</v>
      </c>
      <c r="B158" s="16" t="str">
        <f>IFERROR(__xludf.DUMMYFUNCTION("""COMPUTED_VALUE"""),"Willi Castro")</f>
        <v>Willi Castro</v>
      </c>
      <c r="C158" s="16">
        <f>IFERROR(__xludf.DUMMYFUNCTION("""COMPUTED_VALUE"""),0.73)</f>
        <v>0.73</v>
      </c>
      <c r="D158" s="16" t="str">
        <f>IFERROR(__xludf.DUMMYFUNCTION("""COMPUTED_VALUE"""),"S")</f>
        <v>S</v>
      </c>
      <c r="E158" s="16"/>
      <c r="F158" s="16"/>
      <c r="G158" s="16">
        <f>IFERROR(__xludf.DUMMYFUNCTION("""COMPUTED_VALUE"""),558.0)</f>
        <v>558</v>
      </c>
      <c r="H158" s="16">
        <f>IFERROR(__xludf.DUMMYFUNCTION("""COMPUTED_VALUE"""),51.0)</f>
        <v>51</v>
      </c>
      <c r="I158" s="16" t="str">
        <f>IFERROR(__xludf.DUMMYFUNCTION("""COMPUTED_VALUE"""),"1p70")</f>
        <v>1p70</v>
      </c>
      <c r="J158" s="16">
        <f>IFERROR(__xludf.DUMMYFUNCTION("""COMPUTED_VALUE"""),29.0)</f>
        <v>29</v>
      </c>
      <c r="K158" s="16">
        <f>IFERROR(__xludf.DUMMYFUNCTION("""COMPUTED_VALUE"""),26.0)</f>
        <v>26</v>
      </c>
      <c r="L158" s="16">
        <f>IFERROR(__xludf.DUMMYFUNCTION("""COMPUTED_VALUE"""),0.0)</f>
        <v>0</v>
      </c>
      <c r="M158" s="16">
        <f>IFERROR(__xludf.DUMMYFUNCTION("""COMPUTED_VALUE"""),0.0)</f>
        <v>0</v>
      </c>
      <c r="N158" s="16">
        <f>IFERROR(__xludf.DUMMYFUNCTION("""COMPUTED_VALUE"""),0.0)</f>
        <v>0</v>
      </c>
      <c r="O158" s="16">
        <f>IFERROR(__xludf.DUMMYFUNCTION("""COMPUTED_VALUE"""),0.0)</f>
        <v>0</v>
      </c>
      <c r="P158" s="16">
        <f>IFERROR(__xludf.DUMMYFUNCTION("""COMPUTED_VALUE"""),3.0)</f>
        <v>3</v>
      </c>
      <c r="Q158" s="16">
        <f>IFERROR(__xludf.DUMMYFUNCTION("""COMPUTED_VALUE"""),10.0)</f>
        <v>10</v>
      </c>
      <c r="R158" s="16">
        <f>IFERROR(__xludf.DUMMYFUNCTION("""COMPUTED_VALUE"""),-2.0)</f>
        <v>-2</v>
      </c>
      <c r="S158" s="16">
        <f>IFERROR(__xludf.DUMMYFUNCTION("""COMPUTED_VALUE"""),0.0)</f>
        <v>0</v>
      </c>
      <c r="T158" s="16">
        <f>IFERROR(__xludf.DUMMYFUNCTION("""COMPUTED_VALUE"""),-2.0)</f>
        <v>-2</v>
      </c>
      <c r="U158" s="16">
        <f>IFERROR(__xludf.DUMMYFUNCTION("""COMPUTED_VALUE"""),0.0)</f>
        <v>0</v>
      </c>
      <c r="V158" s="16">
        <f>IFERROR(__xludf.DUMMYFUNCTION("""COMPUTED_VALUE"""),20.5)</f>
        <v>20.5</v>
      </c>
      <c r="W158" s="16">
        <f>IFERROR(__xludf.DUMMYFUNCTION("""COMPUTED_VALUE"""),21.1)</f>
        <v>21.1</v>
      </c>
      <c r="X158" s="16">
        <f>IFERROR(__xludf.DUMMYFUNCTION("""COMPUTED_VALUE"""),0.0)</f>
        <v>0</v>
      </c>
      <c r="Y158" s="16">
        <f>IFERROR(__xludf.DUMMYFUNCTION("""COMPUTED_VALUE"""),0.0)</f>
        <v>0</v>
      </c>
      <c r="Z158" s="16">
        <f>IFERROR(__xludf.DUMMYFUNCTION("""COMPUTED_VALUE"""),0.0)</f>
        <v>0</v>
      </c>
      <c r="AA158" s="16">
        <f>IFERROR(__xludf.DUMMYFUNCTION("""COMPUTED_VALUE"""),0.0)</f>
        <v>0</v>
      </c>
      <c r="AB158" s="16">
        <f>IFERROR(__xludf.DUMMYFUNCTION("""COMPUTED_VALUE"""),31.5)</f>
        <v>31.5</v>
      </c>
      <c r="AC158" s="16">
        <f>IFERROR(__xludf.DUMMYFUNCTION("""COMPUTED_VALUE"""),39.1)</f>
        <v>39.1</v>
      </c>
      <c r="AD158" s="16">
        <f>IFERROR(__xludf.DUMMYFUNCTION("""COMPUTED_VALUE"""),0.0)</f>
        <v>0</v>
      </c>
      <c r="AE158" s="16">
        <f>IFERROR(__xludf.DUMMYFUNCTION("""COMPUTED_VALUE"""),1.0)</f>
        <v>1</v>
      </c>
      <c r="AF158" s="16">
        <f>IFERROR(__xludf.DUMMYFUNCTION("""COMPUTED_VALUE"""),0.0)</f>
        <v>0</v>
      </c>
      <c r="AG158" s="16">
        <f>IFERROR(__xludf.DUMMYFUNCTION("""COMPUTED_VALUE"""),5.0)</f>
        <v>5</v>
      </c>
      <c r="AH158" s="16">
        <f>IFERROR(__xludf.DUMMYFUNCTION("""COMPUTED_VALUE"""),30.7)</f>
        <v>30.7</v>
      </c>
      <c r="AI158" s="16">
        <f>IFERROR(__xludf.DUMMYFUNCTION("""COMPUTED_VALUE"""),29.6)</f>
        <v>29.6</v>
      </c>
      <c r="AJ158" s="16">
        <f>IFERROR(__xludf.DUMMYFUNCTION("""COMPUTED_VALUE"""),0.0)</f>
        <v>0</v>
      </c>
      <c r="AK158" s="16">
        <f>IFERROR(__xludf.DUMMYFUNCTION("""COMPUTED_VALUE"""),0.0)</f>
        <v>0</v>
      </c>
      <c r="AL158" s="16">
        <f>IFERROR(__xludf.DUMMYFUNCTION("""COMPUTED_VALUE"""),0.0)</f>
        <v>0</v>
      </c>
      <c r="AM158" s="16">
        <f>IFERROR(__xludf.DUMMYFUNCTION("""COMPUTED_VALUE"""),0.0)</f>
        <v>0</v>
      </c>
      <c r="AN158" s="16">
        <f>IFERROR(__xludf.DUMMYFUNCTION("""COMPUTED_VALUE"""),1.3)</f>
        <v>1.3</v>
      </c>
      <c r="AO158" s="16">
        <f>IFERROR(__xludf.DUMMYFUNCTION("""COMPUTED_VALUE"""),0.3)</f>
        <v>0.3</v>
      </c>
      <c r="AP158" s="16">
        <f>IFERROR(__xludf.DUMMYFUNCTION("""COMPUTED_VALUE"""),-1.0)</f>
        <v>-1</v>
      </c>
      <c r="AQ158" s="16">
        <f>IFERROR(__xludf.DUMMYFUNCTION("""COMPUTED_VALUE"""),-2.0)</f>
        <v>-2</v>
      </c>
      <c r="AR158" s="16">
        <f>IFERROR(__xludf.DUMMYFUNCTION("""COMPUTED_VALUE"""),-2.0)</f>
        <v>-2</v>
      </c>
      <c r="AS158" s="16">
        <f>IFERROR(__xludf.DUMMYFUNCTION("""COMPUTED_VALUE"""),-4.0)</f>
        <v>-4</v>
      </c>
      <c r="AT158" s="16">
        <f>IFERROR(__xludf.DUMMYFUNCTION("""COMPUTED_VALUE"""),1.0)</f>
        <v>1</v>
      </c>
      <c r="AU158" s="16">
        <f>IFERROR(__xludf.DUMMYFUNCTION("""COMPUTED_VALUE"""),0.0)</f>
        <v>0</v>
      </c>
      <c r="AV158" s="16">
        <f>IFERROR(__xludf.DUMMYFUNCTION("""COMPUTED_VALUE"""),1.0)</f>
        <v>1</v>
      </c>
      <c r="AW158" s="16">
        <f>IFERROR(__xludf.DUMMYFUNCTION("""COMPUTED_VALUE"""),0.0)</f>
        <v>0</v>
      </c>
      <c r="AX158" s="16">
        <f>IFERROR(__xludf.DUMMYFUNCTION("""COMPUTED_VALUE"""),-1.0)</f>
        <v>-1</v>
      </c>
      <c r="AY158" s="16">
        <f>IFERROR(__xludf.DUMMYFUNCTION("""COMPUTED_VALUE"""),-2.0)</f>
        <v>-2</v>
      </c>
      <c r="AZ158" s="16">
        <f>IFERROR(__xludf.DUMMYFUNCTION("""COMPUTED_VALUE"""),-3.0)</f>
        <v>-3</v>
      </c>
      <c r="BA158" s="16">
        <f>IFERROR(__xludf.DUMMYFUNCTION("""COMPUTED_VALUE"""),-6.0)</f>
        <v>-6</v>
      </c>
      <c r="BB158" s="16">
        <f>IFERROR(__xludf.DUMMYFUNCTION("""COMPUTED_VALUE"""),5.0)</f>
        <v>5</v>
      </c>
      <c r="BC158" s="16">
        <f>IFERROR(__xludf.DUMMYFUNCTION("""COMPUTED_VALUE"""),5.0)</f>
        <v>5</v>
      </c>
      <c r="BD158" s="16">
        <f>IFERROR(__xludf.DUMMYFUNCTION("""COMPUTED_VALUE"""),1.0)</f>
        <v>1</v>
      </c>
      <c r="BE158" s="16">
        <f>IFERROR(__xludf.DUMMYFUNCTION("""COMPUTED_VALUE"""),1.0)</f>
        <v>1</v>
      </c>
      <c r="BF158" s="16">
        <f>IFERROR(__xludf.DUMMYFUNCTION("""COMPUTED_VALUE"""),1.0)</f>
        <v>1</v>
      </c>
      <c r="BG158" s="16">
        <f>IFERROR(__xludf.DUMMYFUNCTION("""COMPUTED_VALUE"""),1.0)</f>
        <v>1</v>
      </c>
      <c r="BH158" s="16">
        <f>IFERROR(__xludf.DUMMYFUNCTION("""COMPUTED_VALUE"""),-11.0)</f>
        <v>-11</v>
      </c>
      <c r="BI158" s="16">
        <f>IFERROR(__xludf.DUMMYFUNCTION("""COMPUTED_VALUE"""),-12.0)</f>
        <v>-12</v>
      </c>
      <c r="BJ158" s="16">
        <f>IFERROR(__xludf.DUMMYFUNCTION("""COMPUTED_VALUE"""),9.0)</f>
        <v>9</v>
      </c>
      <c r="BK158" s="16">
        <f>IFERROR(__xludf.DUMMYFUNCTION("""COMPUTED_VALUE"""),7.0)</f>
        <v>7</v>
      </c>
      <c r="BL158" s="16">
        <f>IFERROR(__xludf.DUMMYFUNCTION("""COMPUTED_VALUE"""),0.0)</f>
        <v>0</v>
      </c>
      <c r="BM158" s="16">
        <f>IFERROR(__xludf.DUMMYFUNCTION("""COMPUTED_VALUE"""),1.0)</f>
        <v>1</v>
      </c>
      <c r="BN158" s="16">
        <f>IFERROR(__xludf.DUMMYFUNCTION("""COMPUTED_VALUE"""),0.0)</f>
        <v>0</v>
      </c>
      <c r="BO158" s="16">
        <f>IFERROR(__xludf.DUMMYFUNCTION("""COMPUTED_VALUE"""),1.0)</f>
        <v>1</v>
      </c>
      <c r="BP158" s="16">
        <f>IFERROR(__xludf.DUMMYFUNCTION("""COMPUTED_VALUE"""),-3.0)</f>
        <v>-3</v>
      </c>
      <c r="BQ158" s="16">
        <f>IFERROR(__xludf.DUMMYFUNCTION("""COMPUTED_VALUE"""),-1.0)</f>
        <v>-1</v>
      </c>
      <c r="BR158" s="16">
        <f>IFERROR(__xludf.DUMMYFUNCTION("""COMPUTED_VALUE"""),-4.0)</f>
        <v>-4</v>
      </c>
      <c r="BS158" s="16" t="str">
        <f>IFERROR(__xludf.DUMMYFUNCTION("""COMPUTED_VALUE"""),"*2-6,10/12 (15-10)")</f>
        <v>*2-6,10/12 (15-10)</v>
      </c>
      <c r="BT158" s="16" t="str">
        <f>IFERROR(__xludf.DUMMYFUNCTION("""COMPUTED_VALUE"""),"B")</f>
        <v>B</v>
      </c>
      <c r="BU158" s="16">
        <f>IFERROR(__xludf.DUMMYFUNCTION("""COMPUTED_VALUE"""),15.0)</f>
        <v>15</v>
      </c>
      <c r="BV158" s="16">
        <f>IFERROR(__xludf.DUMMYFUNCTION("""COMPUTED_VALUE"""),1.0)</f>
        <v>1</v>
      </c>
      <c r="BW158" s="16">
        <f>IFERROR(__xludf.DUMMYFUNCTION("""COMPUTED_VALUE"""),2.0)</f>
        <v>2</v>
      </c>
      <c r="BX158" s="16">
        <f>IFERROR(__xludf.DUMMYFUNCTION("""COMPUTED_VALUE"""),2.0)</f>
        <v>2</v>
      </c>
      <c r="BY158" s="16">
        <f>IFERROR(__xludf.DUMMYFUNCTION("""COMPUTED_VALUE"""),6.0)</f>
        <v>6</v>
      </c>
      <c r="BZ158" s="16" t="str">
        <f>IFERROR(__xludf.DUMMYFUNCTION("""COMPUTED_VALUE"""),"D")</f>
        <v>D</v>
      </c>
      <c r="CA158" s="16" t="str">
        <f>IFERROR(__xludf.DUMMYFUNCTION("""COMPUTED_VALUE"""),"C")</f>
        <v>C</v>
      </c>
      <c r="CB158" s="16">
        <f>IFERROR(__xludf.DUMMYFUNCTION("""COMPUTED_VALUE"""),0.0)</f>
        <v>0</v>
      </c>
      <c r="CC158" s="16">
        <f>IFERROR(__xludf.DUMMYFUNCTION("""COMPUTED_VALUE"""),0.0)</f>
        <v>0</v>
      </c>
      <c r="CD158" s="16">
        <f>IFERROR(__xludf.DUMMYFUNCTION("""COMPUTED_VALUE"""),0.0)</f>
        <v>0</v>
      </c>
      <c r="CE158" s="16">
        <f>IFERROR(__xludf.DUMMYFUNCTION("""COMPUTED_VALUE"""),0.0)</f>
        <v>0</v>
      </c>
      <c r="CF158" s="16">
        <f>IFERROR(__xludf.DUMMYFUNCTION("""COMPUTED_VALUE"""),1.0)</f>
        <v>1</v>
      </c>
      <c r="CG158" s="16">
        <f>IFERROR(__xludf.DUMMYFUNCTION("""COMPUTED_VALUE"""),-6.0)</f>
        <v>-6</v>
      </c>
      <c r="CH158" s="16">
        <f>IFERROR(__xludf.DUMMYFUNCTION("""COMPUTED_VALUE"""),-3.0)</f>
        <v>-3</v>
      </c>
      <c r="CI158" s="179">
        <f>IFERROR(__xludf.DUMMYFUNCTION("""COMPUTED_VALUE"""),5.0)</f>
        <v>5</v>
      </c>
      <c r="CJ158" s="16"/>
      <c r="CK158" s="16"/>
      <c r="CL158" s="16">
        <f>IFERROR(__xludf.DUMMYFUNCTION("""COMPUTED_VALUE"""),310.0)</f>
        <v>310</v>
      </c>
      <c r="CM158" s="16">
        <f>IFERROR(__xludf.DUMMYFUNCTION("""COMPUTED_VALUE"""),310.0)</f>
        <v>310</v>
      </c>
      <c r="CN158" s="16">
        <f>IFERROR(__xludf.DUMMYFUNCTION("""COMPUTED_VALUE"""),410.0)</f>
        <v>410</v>
      </c>
      <c r="CO158" s="16">
        <f>IFERROR(__xludf.DUMMYFUNCTION("""COMPUTED_VALUE"""),307.0)</f>
        <v>307</v>
      </c>
      <c r="CP158" s="16">
        <f>IFERROR(__xludf.DUMMYFUNCTION("""COMPUTED_VALUE"""),407.0)</f>
        <v>407</v>
      </c>
      <c r="CQ158" s="16"/>
      <c r="CR158" s="16" t="str">
        <f>IFERROR(__xludf.DUMMYFUNCTION("""COMPUTED_VALUE"""),"ss-4e10 2b-3e10 lf-3(-2)e7 cf-4e7 3b-3e10")</f>
        <v>ss-4e10 2b-3e10 lf-3(-2)e7 cf-4e7 3b-3e10</v>
      </c>
      <c r="CS158" s="16"/>
      <c r="CT158" s="16"/>
      <c r="CU158" s="16">
        <f>IFERROR(__xludf.DUMMYFUNCTION("""COMPUTED_VALUE"""),3.0)</f>
        <v>3</v>
      </c>
      <c r="CV158" s="16">
        <f>IFERROR(__xludf.DUMMYFUNCTION("""COMPUTED_VALUE"""),3.0)</f>
        <v>3</v>
      </c>
      <c r="CW158" s="16">
        <f>IFERROR(__xludf.DUMMYFUNCTION("""COMPUTED_VALUE"""),4.0)</f>
        <v>4</v>
      </c>
      <c r="CX158" s="16">
        <f>IFERROR(__xludf.DUMMYFUNCTION("""COMPUTED_VALUE"""),3.0)</f>
        <v>3</v>
      </c>
      <c r="CY158" s="16">
        <f>IFERROR(__xludf.DUMMYFUNCTION("""COMPUTED_VALUE"""),4.0)</f>
        <v>4</v>
      </c>
      <c r="CZ158" s="16"/>
      <c r="DA158" s="16"/>
      <c r="DB158" s="16"/>
      <c r="DC158" s="16">
        <f>IFERROR(__xludf.DUMMYFUNCTION("""COMPUTED_VALUE"""),10.0)</f>
        <v>10</v>
      </c>
      <c r="DD158" s="16">
        <f>IFERROR(__xludf.DUMMYFUNCTION("""COMPUTED_VALUE"""),10.0)</f>
        <v>10</v>
      </c>
      <c r="DE158" s="16">
        <f>IFERROR(__xludf.DUMMYFUNCTION("""COMPUTED_VALUE"""),10.0)</f>
        <v>10</v>
      </c>
      <c r="DF158" s="16">
        <f>IFERROR(__xludf.DUMMYFUNCTION("""COMPUTED_VALUE"""),7.0)</f>
        <v>7</v>
      </c>
      <c r="DG158" s="16">
        <f>IFERROR(__xludf.DUMMYFUNCTION("""COMPUTED_VALUE"""),7.0)</f>
        <v>7</v>
      </c>
      <c r="DH158" s="16"/>
      <c r="DI158" s="16"/>
      <c r="DJ158" s="16"/>
      <c r="DK158" s="16">
        <f>IFERROR(__xludf.DUMMYFUNCTION("""COMPUTED_VALUE"""),0.0)</f>
        <v>0</v>
      </c>
      <c r="DL158" s="16">
        <f>IFERROR(__xludf.DUMMYFUNCTION("""COMPUTED_VALUE"""),1.0)</f>
        <v>1</v>
      </c>
      <c r="DM158" s="16">
        <f>IFERROR(__xludf.DUMMYFUNCTION("""COMPUTED_VALUE"""),-2.0)</f>
        <v>-2</v>
      </c>
      <c r="DN158" s="16">
        <f>IFERROR(__xludf.DUMMYFUNCTION("""COMPUTED_VALUE"""),0.0)</f>
        <v>0</v>
      </c>
      <c r="DO158" s="16">
        <f>IFERROR(__xludf.DUMMYFUNCTION("""COMPUTED_VALUE"""),-2.0)</f>
        <v>-2</v>
      </c>
      <c r="DP158" s="16"/>
      <c r="DQ158" s="16"/>
      <c r="DR158" s="16"/>
      <c r="DS158" s="16">
        <f>IFERROR(__xludf.DUMMYFUNCTION("""COMPUTED_VALUE"""),3.0)</f>
        <v>3</v>
      </c>
      <c r="DT158" s="16">
        <f>IFERROR(__xludf.DUMMYFUNCTION("""COMPUTED_VALUE"""),2.0)</f>
        <v>2</v>
      </c>
      <c r="DU158" s="16">
        <f>IFERROR(__xludf.DUMMYFUNCTION("""COMPUTED_VALUE"""),3.0)</f>
        <v>3</v>
      </c>
      <c r="DV158" s="16">
        <f>IFERROR(__xludf.DUMMYFUNCTION("""COMPUTED_VALUE"""),2.0)</f>
        <v>2</v>
      </c>
      <c r="DW158" s="16">
        <f>IFERROR(__xludf.DUMMYFUNCTION("""COMPUTED_VALUE"""),3.0)</f>
        <v>3</v>
      </c>
      <c r="DX158" s="16"/>
      <c r="DY158" s="16"/>
      <c r="DZ158" s="16"/>
      <c r="EA158" s="16">
        <f>IFERROR(__xludf.DUMMYFUNCTION("""COMPUTED_VALUE"""),3.0)</f>
        <v>3</v>
      </c>
      <c r="EB158" s="16">
        <f>IFERROR(__xludf.DUMMYFUNCTION("""COMPUTED_VALUE"""),3.0)</f>
        <v>3</v>
      </c>
      <c r="EC158" s="16">
        <f>IFERROR(__xludf.DUMMYFUNCTION("""COMPUTED_VALUE"""),1.0)</f>
        <v>1</v>
      </c>
      <c r="ED158" s="16">
        <f>IFERROR(__xludf.DUMMYFUNCTION("""COMPUTED_VALUE"""),2.0)</f>
        <v>2</v>
      </c>
      <c r="EE158" s="16">
        <f>IFERROR(__xludf.DUMMYFUNCTION("""COMPUTED_VALUE"""),1.0)</f>
        <v>1</v>
      </c>
      <c r="EF158" s="16"/>
      <c r="EG158" s="179"/>
      <c r="EH158" s="179"/>
      <c r="EI158" s="179">
        <f>IFERROR(__xludf.DUMMYFUNCTION("""COMPUTED_VALUE"""),8.0)</f>
        <v>8</v>
      </c>
      <c r="EJ158" s="179">
        <f>IFERROR(__xludf.DUMMYFUNCTION("""COMPUTED_VALUE"""),8.0)</f>
        <v>8</v>
      </c>
      <c r="EK158" s="179">
        <f>IFERROR(__xludf.DUMMYFUNCTION("""COMPUTED_VALUE"""),6.0)</f>
        <v>6</v>
      </c>
      <c r="EL158" s="179">
        <f>IFERROR(__xludf.DUMMYFUNCTION("""COMPUTED_VALUE"""),7.0)</f>
        <v>7</v>
      </c>
      <c r="EM158" s="179">
        <f>IFERROR(__xludf.DUMMYFUNCTION("""COMPUTED_VALUE"""),6.0)</f>
        <v>6</v>
      </c>
      <c r="EN158" s="179"/>
      <c r="EO158" s="16"/>
      <c r="EP158" s="16">
        <f>IFERROR(__xludf.DUMMYFUNCTION("""COMPUTED_VALUE"""),-1.0)</f>
        <v>-1</v>
      </c>
      <c r="EQ158" s="16">
        <f>IFERROR(__xludf.DUMMYFUNCTION("""COMPUTED_VALUE"""),4.0)</f>
        <v>4</v>
      </c>
      <c r="ER158" s="16">
        <f>IFERROR(__xludf.DUMMYFUNCTION("""COMPUTED_VALUE"""),3.0)</f>
        <v>3</v>
      </c>
      <c r="ES158" s="16"/>
      <c r="ET158" s="16"/>
      <c r="EU158" s="16"/>
      <c r="EV158" s="16"/>
      <c r="EW158" s="16"/>
      <c r="EX158" s="180"/>
      <c r="EY158" s="180"/>
      <c r="EZ158" s="180">
        <f>IFERROR(__xludf.DUMMYFUNCTION("""COMPUTED_VALUE"""),0.2)</f>
        <v>0.2</v>
      </c>
      <c r="FA158" s="180">
        <f>IFERROR(__xludf.DUMMYFUNCTION("""COMPUTED_VALUE"""),0.2)</f>
        <v>0.2</v>
      </c>
      <c r="FB158" s="180">
        <f>IFERROR(__xludf.DUMMYFUNCTION("""COMPUTED_VALUE"""),0.3)</f>
        <v>0.3</v>
      </c>
      <c r="FC158" s="180">
        <f>IFERROR(__xludf.DUMMYFUNCTION("""COMPUTED_VALUE"""),0.3)</f>
        <v>0.3</v>
      </c>
      <c r="FD158" s="180">
        <f>IFERROR(__xludf.DUMMYFUNCTION("""COMPUTED_VALUE"""),0.55)</f>
        <v>0.55</v>
      </c>
      <c r="FE158" s="180"/>
      <c r="FF158" s="180"/>
      <c r="FG158" s="180"/>
      <c r="FH158" s="180">
        <f>IFERROR(__xludf.DUMMYFUNCTION("""COMPUTED_VALUE"""),0.06018518518518518)</f>
        <v>0.06018518519</v>
      </c>
      <c r="FI158" s="180">
        <f>IFERROR(__xludf.DUMMYFUNCTION("""COMPUTED_VALUE"""),0.12037037037037036)</f>
        <v>0.1203703704</v>
      </c>
      <c r="FJ158" s="180">
        <f>IFERROR(__xludf.DUMMYFUNCTION("""COMPUTED_VALUE"""),0.05092592592592592)</f>
        <v>0.05092592593</v>
      </c>
      <c r="FK158" s="180">
        <f>IFERROR(__xludf.DUMMYFUNCTION("""COMPUTED_VALUE"""),0.125)</f>
        <v>0.125</v>
      </c>
      <c r="FL158" s="180">
        <f>IFERROR(__xludf.DUMMYFUNCTION("""COMPUTED_VALUE"""),0.08333333333333333)</f>
        <v>0.08333333333</v>
      </c>
      <c r="FM158" s="180"/>
      <c r="FN158" s="16"/>
      <c r="FO158" s="16"/>
      <c r="FP158" s="16">
        <f>IFERROR(__xludf.DUMMYFUNCTION("""COMPUTED_VALUE"""),0.7518518518518519)</f>
        <v>0.7518518519</v>
      </c>
      <c r="FQ158" s="16">
        <f>IFERROR(__xludf.DUMMYFUNCTION("""COMPUTED_VALUE"""),0.7037037037037037)</f>
        <v>0.7037037037</v>
      </c>
      <c r="FR158" s="16">
        <f>IFERROR(__xludf.DUMMYFUNCTION("""COMPUTED_VALUE"""),0.6643518518518519)</f>
        <v>0.6643518519</v>
      </c>
      <c r="FS158" s="16">
        <f>IFERROR(__xludf.DUMMYFUNCTION("""COMPUTED_VALUE"""),0.6124999999999999)</f>
        <v>0.6125</v>
      </c>
      <c r="FT158" s="16">
        <f>IFERROR(__xludf.DUMMYFUNCTION("""COMPUTED_VALUE"""),0.4124999999999999)</f>
        <v>0.4125</v>
      </c>
      <c r="FU158" s="16"/>
      <c r="FV158" s="16"/>
      <c r="FW158" s="16"/>
      <c r="FX158" s="16">
        <f>IFERROR(__xludf.DUMMYFUNCTION("""COMPUTED_VALUE"""),-1.0)</f>
        <v>-1</v>
      </c>
      <c r="FY158" s="16">
        <f>IFERROR(__xludf.DUMMYFUNCTION("""COMPUTED_VALUE"""),-4.0)</f>
        <v>-4</v>
      </c>
      <c r="FZ158" s="16">
        <f>IFERROR(__xludf.DUMMYFUNCTION("""COMPUTED_VALUE"""),-4.0)</f>
        <v>-4</v>
      </c>
      <c r="GA158" s="16">
        <f>IFERROR(__xludf.DUMMYFUNCTION("""COMPUTED_VALUE"""),-5.0)</f>
        <v>-5</v>
      </c>
      <c r="GB158" s="16">
        <f>IFERROR(__xludf.DUMMYFUNCTION("""COMPUTED_VALUE"""),-7.0)</f>
        <v>-7</v>
      </c>
      <c r="GC158" s="16"/>
      <c r="GD158" s="16" t="s">
        <v>672</v>
      </c>
    </row>
    <row r="159">
      <c r="A159" s="16">
        <f>IFERROR(__xludf.DUMMYFUNCTION("""COMPUTED_VALUE"""),13052.0)</f>
        <v>13052</v>
      </c>
      <c r="B159" s="16" t="str">
        <f>IFERROR(__xludf.DUMMYFUNCTION("""COMPUTED_VALUE"""),"Junior Caminero")</f>
        <v>Junior Caminero</v>
      </c>
      <c r="C159" s="16">
        <f>IFERROR(__xludf.DUMMYFUNCTION("""COMPUTED_VALUE"""),0.69)</f>
        <v>0.69</v>
      </c>
      <c r="D159" s="16" t="str">
        <f>IFERROR(__xludf.DUMMYFUNCTION("""COMPUTED_VALUE"""),"R")</f>
        <v>R</v>
      </c>
      <c r="E159" s="16"/>
      <c r="F159" s="16"/>
      <c r="G159" s="16">
        <f>IFERROR(__xludf.DUMMYFUNCTION("""COMPUTED_VALUE"""),165.0)</f>
        <v>165</v>
      </c>
      <c r="H159" s="16">
        <f>IFERROR(__xludf.DUMMYFUNCTION("""COMPUTED_VALUE"""),11.0)</f>
        <v>11</v>
      </c>
      <c r="I159" s="16" t="str">
        <f>IFERROR(__xludf.DUMMYFUNCTION("""COMPUTED_VALUE"""),"1p20")</f>
        <v>1p20</v>
      </c>
      <c r="J159" s="16">
        <f>IFERROR(__xludf.DUMMYFUNCTION("""COMPUTED_VALUE"""),7.0)</f>
        <v>7</v>
      </c>
      <c r="K159" s="16">
        <f>IFERROR(__xludf.DUMMYFUNCTION("""COMPUTED_VALUE"""),24.0)</f>
        <v>24</v>
      </c>
      <c r="L159" s="16">
        <f>IFERROR(__xludf.DUMMYFUNCTION("""COMPUTED_VALUE"""),2.0)</f>
        <v>2</v>
      </c>
      <c r="M159" s="16">
        <f>IFERROR(__xludf.DUMMYFUNCTION("""COMPUTED_VALUE"""),0.0)</f>
        <v>0</v>
      </c>
      <c r="N159" s="16">
        <f>IFERROR(__xludf.DUMMYFUNCTION("""COMPUTED_VALUE"""),2.0)</f>
        <v>2</v>
      </c>
      <c r="O159" s="16">
        <f>IFERROR(__xludf.DUMMYFUNCTION("""COMPUTED_VALUE"""),0.0)</f>
        <v>0</v>
      </c>
      <c r="P159" s="16">
        <f>IFERROR(__xludf.DUMMYFUNCTION("""COMPUTED_VALUE"""),0.0)</f>
        <v>0</v>
      </c>
      <c r="Q159" s="16">
        <f>IFERROR(__xludf.DUMMYFUNCTION("""COMPUTED_VALUE"""),4.0)</f>
        <v>4</v>
      </c>
      <c r="R159" s="16">
        <f>IFERROR(__xludf.DUMMYFUNCTION("""COMPUTED_VALUE"""),-3.0)</f>
        <v>-3</v>
      </c>
      <c r="S159" s="16">
        <f>IFERROR(__xludf.DUMMYFUNCTION("""COMPUTED_VALUE"""),-2.0)</f>
        <v>-2</v>
      </c>
      <c r="T159" s="16">
        <f>IFERROR(__xludf.DUMMYFUNCTION("""COMPUTED_VALUE"""),-3.0)</f>
        <v>-3</v>
      </c>
      <c r="U159" s="16">
        <f>IFERROR(__xludf.DUMMYFUNCTION("""COMPUTED_VALUE"""),-2.0)</f>
        <v>-2</v>
      </c>
      <c r="V159" s="16">
        <f>IFERROR(__xludf.DUMMYFUNCTION("""COMPUTED_VALUE"""),41.4)</f>
        <v>41.4</v>
      </c>
      <c r="W159" s="16">
        <f>IFERROR(__xludf.DUMMYFUNCTION("""COMPUTED_VALUE"""),19.5)</f>
        <v>19.5</v>
      </c>
      <c r="X159" s="16">
        <f>IFERROR(__xludf.DUMMYFUNCTION("""COMPUTED_VALUE"""),3.0)</f>
        <v>3</v>
      </c>
      <c r="Y159" s="16">
        <f>IFERROR(__xludf.DUMMYFUNCTION("""COMPUTED_VALUE"""),0.0)</f>
        <v>0</v>
      </c>
      <c r="Z159" s="16">
        <f>IFERROR(__xludf.DUMMYFUNCTION("""COMPUTED_VALUE"""),6.0)</f>
        <v>6</v>
      </c>
      <c r="AA159" s="16">
        <f>IFERROR(__xludf.DUMMYFUNCTION("""COMPUTED_VALUE"""),0.0)</f>
        <v>0</v>
      </c>
      <c r="AB159" s="16">
        <f>IFERROR(__xludf.DUMMYFUNCTION("""COMPUTED_VALUE"""),42.4)</f>
        <v>42.4</v>
      </c>
      <c r="AC159" s="16">
        <f>IFERROR(__xludf.DUMMYFUNCTION("""COMPUTED_VALUE"""),24.5)</f>
        <v>24.5</v>
      </c>
      <c r="AD159" s="16">
        <f>IFERROR(__xludf.DUMMYFUNCTION("""COMPUTED_VALUE"""),1.0)</f>
        <v>1</v>
      </c>
      <c r="AE159" s="16">
        <f>IFERROR(__xludf.DUMMYFUNCTION("""COMPUTED_VALUE"""),-1.0)</f>
        <v>-1</v>
      </c>
      <c r="AF159" s="16">
        <f>IFERROR(__xludf.DUMMYFUNCTION("""COMPUTED_VALUE"""),5.0)</f>
        <v>5</v>
      </c>
      <c r="AG159" s="16">
        <f>IFERROR(__xludf.DUMMYFUNCTION("""COMPUTED_VALUE"""),-5.0)</f>
        <v>-5</v>
      </c>
      <c r="AH159" s="16">
        <f>IFERROR(__xludf.DUMMYFUNCTION("""COMPUTED_VALUE"""),51.7)</f>
        <v>51.7</v>
      </c>
      <c r="AI159" s="16">
        <f>IFERROR(__xludf.DUMMYFUNCTION("""COMPUTED_VALUE"""),36.0)</f>
        <v>36</v>
      </c>
      <c r="AJ159" s="16">
        <f>IFERROR(__xludf.DUMMYFUNCTION("""COMPUTED_VALUE"""),2.0)</f>
        <v>2</v>
      </c>
      <c r="AK159" s="16">
        <f>IFERROR(__xludf.DUMMYFUNCTION("""COMPUTED_VALUE"""),0.0)</f>
        <v>0</v>
      </c>
      <c r="AL159" s="16">
        <f>IFERROR(__xludf.DUMMYFUNCTION("""COMPUTED_VALUE"""),10.0)</f>
        <v>10</v>
      </c>
      <c r="AM159" s="16">
        <f>IFERROR(__xludf.DUMMYFUNCTION("""COMPUTED_VALUE"""),0.0)</f>
        <v>0</v>
      </c>
      <c r="AN159" s="16">
        <f>IFERROR(__xludf.DUMMYFUNCTION("""COMPUTED_VALUE"""),0.0)</f>
        <v>0</v>
      </c>
      <c r="AO159" s="16">
        <f>IFERROR(__xludf.DUMMYFUNCTION("""COMPUTED_VALUE"""),3.2)</f>
        <v>3.2</v>
      </c>
      <c r="AP159" s="16">
        <f>IFERROR(__xludf.DUMMYFUNCTION("""COMPUTED_VALUE"""),-2.0)</f>
        <v>-2</v>
      </c>
      <c r="AQ159" s="16">
        <f>IFERROR(__xludf.DUMMYFUNCTION("""COMPUTED_VALUE"""),1.0)</f>
        <v>1</v>
      </c>
      <c r="AR159" s="16">
        <f>IFERROR(__xludf.DUMMYFUNCTION("""COMPUTED_VALUE"""),-4.0)</f>
        <v>-4</v>
      </c>
      <c r="AS159" s="16">
        <f>IFERROR(__xludf.DUMMYFUNCTION("""COMPUTED_VALUE"""),2.0)</f>
        <v>2</v>
      </c>
      <c r="AT159" s="16"/>
      <c r="AU159" s="16">
        <f>IFERROR(__xludf.DUMMYFUNCTION("""COMPUTED_VALUE"""),5.0)</f>
        <v>5</v>
      </c>
      <c r="AV159" s="16">
        <f>IFERROR(__xludf.DUMMYFUNCTION("""COMPUTED_VALUE"""),-3.0)</f>
        <v>-3</v>
      </c>
      <c r="AW159" s="16">
        <f>IFERROR(__xludf.DUMMYFUNCTION("""COMPUTED_VALUE"""),5.0)</f>
        <v>5</v>
      </c>
      <c r="AX159" s="16">
        <f>IFERROR(__xludf.DUMMYFUNCTION("""COMPUTED_VALUE"""),-3.0)</f>
        <v>-3</v>
      </c>
      <c r="AY159" s="16">
        <f>IFERROR(__xludf.DUMMYFUNCTION("""COMPUTED_VALUE"""),2.0)</f>
        <v>2</v>
      </c>
      <c r="AZ159" s="16">
        <f>IFERROR(__xludf.DUMMYFUNCTION("""COMPUTED_VALUE"""),-9.0)</f>
        <v>-9</v>
      </c>
      <c r="BA159" s="16">
        <f>IFERROR(__xludf.DUMMYFUNCTION("""COMPUTED_VALUE"""),6.0)</f>
        <v>6</v>
      </c>
      <c r="BB159" s="16">
        <f>IFERROR(__xludf.DUMMYFUNCTION("""COMPUTED_VALUE"""),5.0)</f>
        <v>5</v>
      </c>
      <c r="BC159" s="16">
        <f>IFERROR(__xludf.DUMMYFUNCTION("""COMPUTED_VALUE"""),5.0)</f>
        <v>5</v>
      </c>
      <c r="BD159" s="16">
        <f>IFERROR(__xludf.DUMMYFUNCTION("""COMPUTED_VALUE"""),1.0)</f>
        <v>1</v>
      </c>
      <c r="BE159" s="16">
        <f>IFERROR(__xludf.DUMMYFUNCTION("""COMPUTED_VALUE"""),1.0)</f>
        <v>1</v>
      </c>
      <c r="BF159" s="16">
        <f>IFERROR(__xludf.DUMMYFUNCTION("""COMPUTED_VALUE"""),1.0)</f>
        <v>1</v>
      </c>
      <c r="BG159" s="16">
        <f>IFERROR(__xludf.DUMMYFUNCTION("""COMPUTED_VALUE"""),1.0)</f>
        <v>1</v>
      </c>
      <c r="BH159" s="16">
        <f>IFERROR(__xludf.DUMMYFUNCTION("""COMPUTED_VALUE"""),-11.0)</f>
        <v>-11</v>
      </c>
      <c r="BI159" s="16">
        <f>IFERROR(__xludf.DUMMYFUNCTION("""COMPUTED_VALUE"""),-7.0)</f>
        <v>-7</v>
      </c>
      <c r="BJ159" s="16">
        <f>IFERROR(__xludf.DUMMYFUNCTION("""COMPUTED_VALUE"""),8.0)</f>
        <v>8</v>
      </c>
      <c r="BK159" s="16">
        <f>IFERROR(__xludf.DUMMYFUNCTION("""COMPUTED_VALUE"""),7.0)</f>
        <v>7</v>
      </c>
      <c r="BL159" s="16">
        <f>IFERROR(__xludf.DUMMYFUNCTION("""COMPUTED_VALUE"""),1.0)</f>
        <v>1</v>
      </c>
      <c r="BM159" s="16">
        <f>IFERROR(__xludf.DUMMYFUNCTION("""COMPUTED_VALUE"""),1.0)</f>
        <v>1</v>
      </c>
      <c r="BN159" s="16">
        <f>IFERROR(__xludf.DUMMYFUNCTION("""COMPUTED_VALUE"""),1.0)</f>
        <v>1</v>
      </c>
      <c r="BO159" s="16">
        <f>IFERROR(__xludf.DUMMYFUNCTION("""COMPUTED_VALUE"""),1.0)</f>
        <v>1</v>
      </c>
      <c r="BP159" s="16">
        <f>IFERROR(__xludf.DUMMYFUNCTION("""COMPUTED_VALUE"""),2.0)</f>
        <v>2</v>
      </c>
      <c r="BQ159" s="16">
        <f>IFERROR(__xludf.DUMMYFUNCTION("""COMPUTED_VALUE"""),2.0)</f>
        <v>2</v>
      </c>
      <c r="BR159" s="16">
        <f>IFERROR(__xludf.DUMMYFUNCTION("""COMPUTED_VALUE"""),4.0)</f>
        <v>4</v>
      </c>
      <c r="BS159" s="16" t="str">
        <f>IFERROR(__xludf.DUMMYFUNCTION("""COMPUTED_VALUE"""),"3/- (20-6)")</f>
        <v>3/- (20-6)</v>
      </c>
      <c r="BT159" s="16" t="str">
        <f>IFERROR(__xludf.DUMMYFUNCTION("""COMPUTED_VALUE"""),"D")</f>
        <v>D</v>
      </c>
      <c r="BU159" s="16">
        <f>IFERROR(__xludf.DUMMYFUNCTION("""COMPUTED_VALUE"""),12.0)</f>
        <v>12</v>
      </c>
      <c r="BV159" s="16">
        <f>IFERROR(__xludf.DUMMYFUNCTION("""COMPUTED_VALUE"""),0.0)</f>
        <v>0</v>
      </c>
      <c r="BW159" s="16">
        <f>IFERROR(__xludf.DUMMYFUNCTION("""COMPUTED_VALUE"""),0.0)</f>
        <v>0</v>
      </c>
      <c r="BX159" s="16">
        <f>IFERROR(__xludf.DUMMYFUNCTION("""COMPUTED_VALUE"""),0.0)</f>
        <v>0</v>
      </c>
      <c r="BY159" s="16">
        <f>IFERROR(__xludf.DUMMYFUNCTION("""COMPUTED_VALUE"""),0.0)</f>
        <v>0</v>
      </c>
      <c r="BZ159" s="16" t="str">
        <f>IFERROR(__xludf.DUMMYFUNCTION("""COMPUTED_VALUE"""),"D")</f>
        <v>D</v>
      </c>
      <c r="CA159" s="16" t="str">
        <f>IFERROR(__xludf.DUMMYFUNCTION("""COMPUTED_VALUE"""),"C")</f>
        <v>C</v>
      </c>
      <c r="CB159" s="16">
        <f>IFERROR(__xludf.DUMMYFUNCTION("""COMPUTED_VALUE"""),0.0)</f>
        <v>0</v>
      </c>
      <c r="CC159" s="16">
        <f>IFERROR(__xludf.DUMMYFUNCTION("""COMPUTED_VALUE"""),0.0)</f>
        <v>0</v>
      </c>
      <c r="CD159" s="16">
        <f>IFERROR(__xludf.DUMMYFUNCTION("""COMPUTED_VALUE"""),0.0)</f>
        <v>0</v>
      </c>
      <c r="CE159" s="16">
        <f>IFERROR(__xludf.DUMMYFUNCTION("""COMPUTED_VALUE"""),0.0)</f>
        <v>0</v>
      </c>
      <c r="CF159" s="16">
        <f>IFERROR(__xludf.DUMMYFUNCTION("""COMPUTED_VALUE"""),1.0)</f>
        <v>1</v>
      </c>
      <c r="CG159" s="16">
        <f>IFERROR(__xludf.DUMMYFUNCTION("""COMPUTED_VALUE"""),9.0)</f>
        <v>9</v>
      </c>
      <c r="CH159" s="16">
        <f>IFERROR(__xludf.DUMMYFUNCTION("""COMPUTED_VALUE"""),3.0)</f>
        <v>3</v>
      </c>
      <c r="CI159" s="179">
        <f>IFERROR(__xludf.DUMMYFUNCTION("""COMPUTED_VALUE"""),5.0)</f>
        <v>5</v>
      </c>
      <c r="CJ159" s="16"/>
      <c r="CK159" s="16">
        <f>IFERROR(__xludf.DUMMYFUNCTION("""COMPUTED_VALUE"""),525.0)</f>
        <v>525</v>
      </c>
      <c r="CL159" s="16"/>
      <c r="CM159" s="16">
        <f>IFERROR(__xludf.DUMMYFUNCTION("""COMPUTED_VALUE"""),426.0)</f>
        <v>426</v>
      </c>
      <c r="CN159" s="16"/>
      <c r="CO159" s="16"/>
      <c r="CP159" s="16"/>
      <c r="CQ159" s="16"/>
      <c r="CR159" s="16" t="str">
        <f>IFERROR(__xludf.DUMMYFUNCTION("""COMPUTED_VALUE"""),"3b-4e26 1b-5e25")</f>
        <v>3b-4e26 1b-5e25</v>
      </c>
      <c r="CS159" s="16"/>
      <c r="CT159" s="16">
        <f>IFERROR(__xludf.DUMMYFUNCTION("""COMPUTED_VALUE"""),5.0)</f>
        <v>5</v>
      </c>
      <c r="CU159" s="16"/>
      <c r="CV159" s="16">
        <f>IFERROR(__xludf.DUMMYFUNCTION("""COMPUTED_VALUE"""),4.0)</f>
        <v>4</v>
      </c>
      <c r="CW159" s="16"/>
      <c r="CX159" s="16"/>
      <c r="CY159" s="16"/>
      <c r="CZ159" s="16"/>
      <c r="DA159" s="16"/>
      <c r="DB159" s="16">
        <f>IFERROR(__xludf.DUMMYFUNCTION("""COMPUTED_VALUE"""),25.0)</f>
        <v>25</v>
      </c>
      <c r="DC159" s="16"/>
      <c r="DD159" s="16">
        <f>IFERROR(__xludf.DUMMYFUNCTION("""COMPUTED_VALUE"""),26.0)</f>
        <v>26</v>
      </c>
      <c r="DE159" s="16"/>
      <c r="DF159" s="16"/>
      <c r="DG159" s="16"/>
      <c r="DH159" s="16"/>
      <c r="DI159" s="16"/>
      <c r="DJ159" s="16">
        <f>IFERROR(__xludf.DUMMYFUNCTION("""COMPUTED_VALUE"""),-2.0)</f>
        <v>-2</v>
      </c>
      <c r="DK159" s="16"/>
      <c r="DL159" s="16">
        <f>IFERROR(__xludf.DUMMYFUNCTION("""COMPUTED_VALUE"""),0.0)</f>
        <v>0</v>
      </c>
      <c r="DM159" s="16"/>
      <c r="DN159" s="16"/>
      <c r="DO159" s="16"/>
      <c r="DP159" s="16"/>
      <c r="DQ159" s="16"/>
      <c r="DR159" s="16">
        <f>IFERROR(__xludf.DUMMYFUNCTION("""COMPUTED_VALUE"""),-2.0)</f>
        <v>-2</v>
      </c>
      <c r="DS159" s="16"/>
      <c r="DT159" s="16">
        <f>IFERROR(__xludf.DUMMYFUNCTION("""COMPUTED_VALUE"""),-2.0)</f>
        <v>-2</v>
      </c>
      <c r="DU159" s="16"/>
      <c r="DV159" s="16"/>
      <c r="DW159" s="16"/>
      <c r="DX159" s="16"/>
      <c r="DY159" s="16"/>
      <c r="DZ159" s="16">
        <f>IFERROR(__xludf.DUMMYFUNCTION("""COMPUTED_VALUE"""),-4.0)</f>
        <v>-4</v>
      </c>
      <c r="EA159" s="16"/>
      <c r="EB159" s="16">
        <f>IFERROR(__xludf.DUMMYFUNCTION("""COMPUTED_VALUE"""),-2.0)</f>
        <v>-2</v>
      </c>
      <c r="EC159" s="16"/>
      <c r="ED159" s="16"/>
      <c r="EE159" s="16"/>
      <c r="EF159" s="16"/>
      <c r="EG159" s="179"/>
      <c r="EH159" s="179">
        <f>IFERROR(__xludf.DUMMYFUNCTION("""COMPUTED_VALUE"""),1.0)</f>
        <v>1</v>
      </c>
      <c r="EI159" s="179"/>
      <c r="EJ159" s="179">
        <f>IFERROR(__xludf.DUMMYFUNCTION("""COMPUTED_VALUE"""),3.0)</f>
        <v>3</v>
      </c>
      <c r="EK159" s="179"/>
      <c r="EL159" s="179"/>
      <c r="EM159" s="179"/>
      <c r="EN159" s="179"/>
      <c r="EO159" s="16"/>
      <c r="EP159" s="16"/>
      <c r="EQ159" s="16">
        <f>IFERROR(__xludf.DUMMYFUNCTION("""COMPUTED_VALUE"""),4.0)</f>
        <v>4</v>
      </c>
      <c r="ER159" s="16">
        <f>IFERROR(__xludf.DUMMYFUNCTION("""COMPUTED_VALUE"""),-4.0)</f>
        <v>-4</v>
      </c>
      <c r="ES159" s="16"/>
      <c r="ET159" s="16"/>
      <c r="EU159" s="16"/>
      <c r="EV159" s="16"/>
      <c r="EW159" s="16"/>
      <c r="EX159" s="180"/>
      <c r="EY159" s="180">
        <f>IFERROR(__xludf.DUMMYFUNCTION("""COMPUTED_VALUE"""),0.4)</f>
        <v>0.4</v>
      </c>
      <c r="EZ159" s="180"/>
      <c r="FA159" s="180">
        <f>IFERROR(__xludf.DUMMYFUNCTION("""COMPUTED_VALUE"""),0.3)</f>
        <v>0.3</v>
      </c>
      <c r="FB159" s="180"/>
      <c r="FC159" s="180"/>
      <c r="FD159" s="180"/>
      <c r="FE159" s="180"/>
      <c r="FF159" s="180"/>
      <c r="FG159" s="180">
        <f>IFERROR(__xludf.DUMMYFUNCTION("""COMPUTED_VALUE"""),0.44907407407407407)</f>
        <v>0.4490740741</v>
      </c>
      <c r="FH159" s="180"/>
      <c r="FI159" s="180">
        <f>IFERROR(__xludf.DUMMYFUNCTION("""COMPUTED_VALUE"""),0.3101851851851852)</f>
        <v>0.3101851852</v>
      </c>
      <c r="FJ159" s="180"/>
      <c r="FK159" s="180"/>
      <c r="FL159" s="180"/>
      <c r="FM159" s="180"/>
      <c r="FN159" s="16"/>
      <c r="FO159" s="16">
        <f>IFERROR(__xludf.DUMMYFUNCTION("""COMPUTED_VALUE"""),0.33055555555555555)</f>
        <v>0.3305555556</v>
      </c>
      <c r="FP159" s="16"/>
      <c r="FQ159" s="16">
        <f>IFERROR(__xludf.DUMMYFUNCTION("""COMPUTED_VALUE"""),0.4828703703703704)</f>
        <v>0.4828703704</v>
      </c>
      <c r="FR159" s="16"/>
      <c r="FS159" s="16"/>
      <c r="FT159" s="16"/>
      <c r="FU159" s="16"/>
      <c r="FV159" s="16"/>
      <c r="FW159" s="16">
        <f>IFERROR(__xludf.DUMMYFUNCTION("""COMPUTED_VALUE"""),-8.0)</f>
        <v>-8</v>
      </c>
      <c r="FX159" s="16"/>
      <c r="FY159" s="16">
        <f>IFERROR(__xludf.DUMMYFUNCTION("""COMPUTED_VALUE"""),-8.0)</f>
        <v>-8</v>
      </c>
      <c r="FZ159" s="16"/>
      <c r="GA159" s="16"/>
      <c r="GB159" s="16"/>
      <c r="GC159" s="16"/>
      <c r="GD159" s="16" t="s">
        <v>306</v>
      </c>
    </row>
    <row r="160">
      <c r="A160" s="16">
        <f>IFERROR(__xludf.DUMMYFUNCTION("""COMPUTED_VALUE"""),13154.0)</f>
        <v>13154</v>
      </c>
      <c r="B160" s="16" t="str">
        <f>IFERROR(__xludf.DUMMYFUNCTION("""COMPUTED_VALUE"""),"Marcus Semien")</f>
        <v>Marcus Semien</v>
      </c>
      <c r="C160" s="16">
        <f>IFERROR(__xludf.DUMMYFUNCTION("""COMPUTED_VALUE"""),1.66)</f>
        <v>1.66</v>
      </c>
      <c r="D160" s="16" t="str">
        <f>IFERROR(__xludf.DUMMYFUNCTION("""COMPUTED_VALUE"""),"R")</f>
        <v>R</v>
      </c>
      <c r="E160" s="16"/>
      <c r="F160" s="16"/>
      <c r="G160" s="16">
        <f>IFERROR(__xludf.DUMMYFUNCTION("""COMPUTED_VALUE"""),650.0)</f>
        <v>650</v>
      </c>
      <c r="H160" s="16">
        <f>IFERROR(__xludf.DUMMYFUNCTION("""COMPUTED_VALUE"""),64.0)</f>
        <v>64</v>
      </c>
      <c r="I160" s="16" t="str">
        <f>IFERROR(__xludf.DUMMYFUNCTION("""COMPUTED_VALUE"""),"1p70")</f>
        <v>1p70</v>
      </c>
      <c r="J160" s="16">
        <f>IFERROR(__xludf.DUMMYFUNCTION("""COMPUTED_VALUE"""),7.0)</f>
        <v>7</v>
      </c>
      <c r="K160" s="16">
        <f>IFERROR(__xludf.DUMMYFUNCTION("""COMPUTED_VALUE"""),6.0)</f>
        <v>6</v>
      </c>
      <c r="L160" s="16">
        <f>IFERROR(__xludf.DUMMYFUNCTION("""COMPUTED_VALUE"""),2.0)</f>
        <v>2</v>
      </c>
      <c r="M160" s="16">
        <f>IFERROR(__xludf.DUMMYFUNCTION("""COMPUTED_VALUE"""),2.0)</f>
        <v>2</v>
      </c>
      <c r="N160" s="16">
        <f>IFERROR(__xludf.DUMMYFUNCTION("""COMPUTED_VALUE"""),2.0)</f>
        <v>2</v>
      </c>
      <c r="O160" s="16">
        <f>IFERROR(__xludf.DUMMYFUNCTION("""COMPUTED_VALUE"""),2.0)</f>
        <v>2</v>
      </c>
      <c r="P160" s="16">
        <f>IFERROR(__xludf.DUMMYFUNCTION("""COMPUTED_VALUE"""),14.0)</f>
        <v>14</v>
      </c>
      <c r="Q160" s="16">
        <f>IFERROR(__xludf.DUMMYFUNCTION("""COMPUTED_VALUE"""),9.0)</f>
        <v>9</v>
      </c>
      <c r="R160" s="16">
        <f>IFERROR(__xludf.DUMMYFUNCTION("""COMPUTED_VALUE"""),2.0)</f>
        <v>2</v>
      </c>
      <c r="S160" s="16">
        <f>IFERROR(__xludf.DUMMYFUNCTION("""COMPUTED_VALUE"""),0.0)</f>
        <v>0</v>
      </c>
      <c r="T160" s="16">
        <f>IFERROR(__xludf.DUMMYFUNCTION("""COMPUTED_VALUE"""),2.0)</f>
        <v>2</v>
      </c>
      <c r="U160" s="16">
        <f>IFERROR(__xludf.DUMMYFUNCTION("""COMPUTED_VALUE"""),0.0)</f>
        <v>0</v>
      </c>
      <c r="V160" s="16">
        <f>IFERROR(__xludf.DUMMYFUNCTION("""COMPUTED_VALUE"""),22.0)</f>
        <v>22</v>
      </c>
      <c r="W160" s="16">
        <f>IFERROR(__xludf.DUMMYFUNCTION("""COMPUTED_VALUE"""),16.4)</f>
        <v>16.4</v>
      </c>
      <c r="X160" s="16">
        <f>IFERROR(__xludf.DUMMYFUNCTION("""COMPUTED_VALUE"""),0.0)</f>
        <v>0</v>
      </c>
      <c r="Y160" s="16">
        <f>IFERROR(__xludf.DUMMYFUNCTION("""COMPUTED_VALUE"""),-1.0)</f>
        <v>-1</v>
      </c>
      <c r="Z160" s="16">
        <f>IFERROR(__xludf.DUMMYFUNCTION("""COMPUTED_VALUE"""),0.0)</f>
        <v>0</v>
      </c>
      <c r="AA160" s="16">
        <f>IFERROR(__xludf.DUMMYFUNCTION("""COMPUTED_VALUE"""),-2.0)</f>
        <v>-2</v>
      </c>
      <c r="AB160" s="16">
        <f>IFERROR(__xludf.DUMMYFUNCTION("""COMPUTED_VALUE"""),37.0)</f>
        <v>37</v>
      </c>
      <c r="AC160" s="16">
        <f>IFERROR(__xludf.DUMMYFUNCTION("""COMPUTED_VALUE"""),26.4)</f>
        <v>26.4</v>
      </c>
      <c r="AD160" s="16">
        <f>IFERROR(__xludf.DUMMYFUNCTION("""COMPUTED_VALUE"""),1.0)</f>
        <v>1</v>
      </c>
      <c r="AE160" s="16">
        <f>IFERROR(__xludf.DUMMYFUNCTION("""COMPUTED_VALUE"""),-1.0)</f>
        <v>-1</v>
      </c>
      <c r="AF160" s="16">
        <f>IFERROR(__xludf.DUMMYFUNCTION("""COMPUTED_VALUE"""),5.0)</f>
        <v>5</v>
      </c>
      <c r="AG160" s="16">
        <f>IFERROR(__xludf.DUMMYFUNCTION("""COMPUTED_VALUE"""),-5.0)</f>
        <v>-5</v>
      </c>
      <c r="AH160" s="16">
        <f>IFERROR(__xludf.DUMMYFUNCTION("""COMPUTED_VALUE"""),31.9)</f>
        <v>31.9</v>
      </c>
      <c r="AI160" s="16">
        <f>IFERROR(__xludf.DUMMYFUNCTION("""COMPUTED_VALUE"""),26.0)</f>
        <v>26</v>
      </c>
      <c r="AJ160" s="16">
        <f>IFERROR(__xludf.DUMMYFUNCTION("""COMPUTED_VALUE"""),0.0)</f>
        <v>0</v>
      </c>
      <c r="AK160" s="16">
        <f>IFERROR(__xludf.DUMMYFUNCTION("""COMPUTED_VALUE"""),-1.0)</f>
        <v>-1</v>
      </c>
      <c r="AL160" s="16">
        <f>IFERROR(__xludf.DUMMYFUNCTION("""COMPUTED_VALUE"""),0.0)</f>
        <v>0</v>
      </c>
      <c r="AM160" s="16">
        <f>IFERROR(__xludf.DUMMYFUNCTION("""COMPUTED_VALUE"""),-5.0)</f>
        <v>-5</v>
      </c>
      <c r="AN160" s="16">
        <f>IFERROR(__xludf.DUMMYFUNCTION("""COMPUTED_VALUE"""),1.8)</f>
        <v>1.8</v>
      </c>
      <c r="AO160" s="16">
        <f>IFERROR(__xludf.DUMMYFUNCTION("""COMPUTED_VALUE"""),2.3)</f>
        <v>2.3</v>
      </c>
      <c r="AP160" s="16">
        <f>IFERROR(__xludf.DUMMYFUNCTION("""COMPUTED_VALUE"""),-1.0)</f>
        <v>-1</v>
      </c>
      <c r="AQ160" s="16">
        <f>IFERROR(__xludf.DUMMYFUNCTION("""COMPUTED_VALUE"""),0.0)</f>
        <v>0</v>
      </c>
      <c r="AR160" s="16">
        <f>IFERROR(__xludf.DUMMYFUNCTION("""COMPUTED_VALUE"""),-2.0)</f>
        <v>-2</v>
      </c>
      <c r="AS160" s="16">
        <f>IFERROR(__xludf.DUMMYFUNCTION("""COMPUTED_VALUE"""),0.0)</f>
        <v>0</v>
      </c>
      <c r="AT160" s="16">
        <f>IFERROR(__xludf.DUMMYFUNCTION("""COMPUTED_VALUE"""),2.0)</f>
        <v>2</v>
      </c>
      <c r="AU160" s="16">
        <f>IFERROR(__xludf.DUMMYFUNCTION("""COMPUTED_VALUE"""),3.0)</f>
        <v>3</v>
      </c>
      <c r="AV160" s="16">
        <f>IFERROR(__xludf.DUMMYFUNCTION("""COMPUTED_VALUE"""),2.0)</f>
        <v>2</v>
      </c>
      <c r="AW160" s="16">
        <f>IFERROR(__xludf.DUMMYFUNCTION("""COMPUTED_VALUE"""),3.0)</f>
        <v>3</v>
      </c>
      <c r="AX160" s="16">
        <f>IFERROR(__xludf.DUMMYFUNCTION("""COMPUTED_VALUE"""),0.0)</f>
        <v>0</v>
      </c>
      <c r="AY160" s="16">
        <f>IFERROR(__xludf.DUMMYFUNCTION("""COMPUTED_VALUE"""),0.0)</f>
        <v>0</v>
      </c>
      <c r="AZ160" s="16">
        <f>IFERROR(__xludf.DUMMYFUNCTION("""COMPUTED_VALUE"""),0.0)</f>
        <v>0</v>
      </c>
      <c r="BA160" s="16">
        <f>IFERROR(__xludf.DUMMYFUNCTION("""COMPUTED_VALUE"""),0.0)</f>
        <v>0</v>
      </c>
      <c r="BB160" s="16">
        <f>IFERROR(__xludf.DUMMYFUNCTION("""COMPUTED_VALUE"""),5.0)</f>
        <v>5</v>
      </c>
      <c r="BC160" s="16">
        <f>IFERROR(__xludf.DUMMYFUNCTION("""COMPUTED_VALUE"""),5.0)</f>
        <v>5</v>
      </c>
      <c r="BD160" s="16">
        <f>IFERROR(__xludf.DUMMYFUNCTION("""COMPUTED_VALUE"""),1.0)</f>
        <v>1</v>
      </c>
      <c r="BE160" s="16">
        <f>IFERROR(__xludf.DUMMYFUNCTION("""COMPUTED_VALUE"""),1.0)</f>
        <v>1</v>
      </c>
      <c r="BF160" s="16">
        <f>IFERROR(__xludf.DUMMYFUNCTION("""COMPUTED_VALUE"""),1.0)</f>
        <v>1</v>
      </c>
      <c r="BG160" s="16">
        <f>IFERROR(__xludf.DUMMYFUNCTION("""COMPUTED_VALUE"""),1.0)</f>
        <v>1</v>
      </c>
      <c r="BH160" s="16">
        <f>IFERROR(__xludf.DUMMYFUNCTION("""COMPUTED_VALUE"""),6.0)</f>
        <v>6</v>
      </c>
      <c r="BI160" s="16">
        <f>IFERROR(__xludf.DUMMYFUNCTION("""COMPUTED_VALUE"""),6.0)</f>
        <v>6</v>
      </c>
      <c r="BJ160" s="16">
        <f>IFERROR(__xludf.DUMMYFUNCTION("""COMPUTED_VALUE"""),8.0)</f>
        <v>8</v>
      </c>
      <c r="BK160" s="16">
        <f>IFERROR(__xludf.DUMMYFUNCTION("""COMPUTED_VALUE"""),9.0)</f>
        <v>9</v>
      </c>
      <c r="BL160" s="16">
        <f>IFERROR(__xludf.DUMMYFUNCTION("""COMPUTED_VALUE"""),1.0)</f>
        <v>1</v>
      </c>
      <c r="BM160" s="16">
        <f>IFERROR(__xludf.DUMMYFUNCTION("""COMPUTED_VALUE"""),1.0)</f>
        <v>1</v>
      </c>
      <c r="BN160" s="16">
        <f>IFERROR(__xludf.DUMMYFUNCTION("""COMPUTED_VALUE"""),1.0)</f>
        <v>1</v>
      </c>
      <c r="BO160" s="16">
        <f>IFERROR(__xludf.DUMMYFUNCTION("""COMPUTED_VALUE"""),1.0)</f>
        <v>1</v>
      </c>
      <c r="BP160" s="16">
        <f>IFERROR(__xludf.DUMMYFUNCTION("""COMPUTED_VALUE"""),6.0)</f>
        <v>6</v>
      </c>
      <c r="BQ160" s="16">
        <f>IFERROR(__xludf.DUMMYFUNCTION("""COMPUTED_VALUE"""),1.0)</f>
        <v>1</v>
      </c>
      <c r="BR160" s="16">
        <f>IFERROR(__xludf.DUMMYFUNCTION("""COMPUTED_VALUE"""),7.0)</f>
        <v>7</v>
      </c>
      <c r="BS160" s="16" t="str">
        <f>IFERROR(__xludf.DUMMYFUNCTION("""COMPUTED_VALUE"""),"6/- (15-6)")</f>
        <v>6/- (15-6)</v>
      </c>
      <c r="BT160" s="16" t="str">
        <f>IFERROR(__xludf.DUMMYFUNCTION("""COMPUTED_VALUE"""),"C")</f>
        <v>C</v>
      </c>
      <c r="BU160" s="16">
        <f>IFERROR(__xludf.DUMMYFUNCTION("""COMPUTED_VALUE"""),15.0)</f>
        <v>15</v>
      </c>
      <c r="BV160" s="16">
        <f>IFERROR(__xludf.DUMMYFUNCTION("""COMPUTED_VALUE"""),0.0)</f>
        <v>0</v>
      </c>
      <c r="BW160" s="16">
        <f>IFERROR(__xludf.DUMMYFUNCTION("""COMPUTED_VALUE"""),2.0)</f>
        <v>2</v>
      </c>
      <c r="BX160" s="16">
        <f>IFERROR(__xludf.DUMMYFUNCTION("""COMPUTED_VALUE"""),0.0)</f>
        <v>0</v>
      </c>
      <c r="BY160" s="16">
        <f>IFERROR(__xludf.DUMMYFUNCTION("""COMPUTED_VALUE"""),6.0)</f>
        <v>6</v>
      </c>
      <c r="BZ160" s="16" t="str">
        <f>IFERROR(__xludf.DUMMYFUNCTION("""COMPUTED_VALUE"""),"D")</f>
        <v>D</v>
      </c>
      <c r="CA160" s="16" t="str">
        <f>IFERROR(__xludf.DUMMYFUNCTION("""COMPUTED_VALUE"""),"C")</f>
        <v>C</v>
      </c>
      <c r="CB160" s="16">
        <f>IFERROR(__xludf.DUMMYFUNCTION("""COMPUTED_VALUE"""),0.0)</f>
        <v>0</v>
      </c>
      <c r="CC160" s="16">
        <f>IFERROR(__xludf.DUMMYFUNCTION("""COMPUTED_VALUE"""),0.0)</f>
        <v>0</v>
      </c>
      <c r="CD160" s="16">
        <f>IFERROR(__xludf.DUMMYFUNCTION("""COMPUTED_VALUE"""),0.0)</f>
        <v>0</v>
      </c>
      <c r="CE160" s="16">
        <f>IFERROR(__xludf.DUMMYFUNCTION("""COMPUTED_VALUE"""),0.0)</f>
        <v>0</v>
      </c>
      <c r="CF160" s="16">
        <f>IFERROR(__xludf.DUMMYFUNCTION("""COMPUTED_VALUE"""),1.0)</f>
        <v>1</v>
      </c>
      <c r="CG160" s="16">
        <f>IFERROR(__xludf.DUMMYFUNCTION("""COMPUTED_VALUE"""),9.0)</f>
        <v>9</v>
      </c>
      <c r="CH160" s="16">
        <f>IFERROR(__xludf.DUMMYFUNCTION("""COMPUTED_VALUE"""),-8.0)</f>
        <v>-8</v>
      </c>
      <c r="CI160" s="179">
        <f>IFERROR(__xludf.DUMMYFUNCTION("""COMPUTED_VALUE"""),5.0)</f>
        <v>5</v>
      </c>
      <c r="CJ160" s="16"/>
      <c r="CK160" s="16"/>
      <c r="CL160" s="16">
        <f>IFERROR(__xludf.DUMMYFUNCTION("""COMPUTED_VALUE"""),108.0)</f>
        <v>108</v>
      </c>
      <c r="CM160" s="16"/>
      <c r="CN160" s="16"/>
      <c r="CO160" s="16"/>
      <c r="CP160" s="16"/>
      <c r="CQ160" s="16"/>
      <c r="CR160" s="16" t="str">
        <f>IFERROR(__xludf.DUMMYFUNCTION("""COMPUTED_VALUE"""),"2b-1e8")</f>
        <v>2b-1e8</v>
      </c>
      <c r="CS160" s="16"/>
      <c r="CT160" s="16"/>
      <c r="CU160" s="16">
        <f>IFERROR(__xludf.DUMMYFUNCTION("""COMPUTED_VALUE"""),1.0)</f>
        <v>1</v>
      </c>
      <c r="CV160" s="16"/>
      <c r="CW160" s="16"/>
      <c r="CX160" s="16"/>
      <c r="CY160" s="16"/>
      <c r="CZ160" s="16"/>
      <c r="DA160" s="16"/>
      <c r="DB160" s="16"/>
      <c r="DC160" s="16">
        <f>IFERROR(__xludf.DUMMYFUNCTION("""COMPUTED_VALUE"""),8.0)</f>
        <v>8</v>
      </c>
      <c r="DD160" s="16"/>
      <c r="DE160" s="16"/>
      <c r="DF160" s="16"/>
      <c r="DG160" s="16"/>
      <c r="DH160" s="16"/>
      <c r="DI160" s="16"/>
      <c r="DJ160" s="16"/>
      <c r="DK160" s="16">
        <f>IFERROR(__xludf.DUMMYFUNCTION("""COMPUTED_VALUE"""),4.0)</f>
        <v>4</v>
      </c>
      <c r="DL160" s="16"/>
      <c r="DM160" s="16"/>
      <c r="DN160" s="16"/>
      <c r="DO160" s="16"/>
      <c r="DP160" s="16"/>
      <c r="DQ160" s="16"/>
      <c r="DR160" s="16"/>
      <c r="DS160" s="16">
        <f>IFERROR(__xludf.DUMMYFUNCTION("""COMPUTED_VALUE"""),3.0)</f>
        <v>3</v>
      </c>
      <c r="DT160" s="16"/>
      <c r="DU160" s="16"/>
      <c r="DV160" s="16"/>
      <c r="DW160" s="16"/>
      <c r="DX160" s="16"/>
      <c r="DY160" s="16"/>
      <c r="DZ160" s="16"/>
      <c r="EA160" s="16">
        <f>IFERROR(__xludf.DUMMYFUNCTION("""COMPUTED_VALUE"""),7.0)</f>
        <v>7</v>
      </c>
      <c r="EB160" s="16"/>
      <c r="EC160" s="16"/>
      <c r="ED160" s="16"/>
      <c r="EE160" s="16"/>
      <c r="EF160" s="16"/>
      <c r="EG160" s="179"/>
      <c r="EH160" s="179"/>
      <c r="EI160" s="179">
        <f>IFERROR(__xludf.DUMMYFUNCTION("""COMPUTED_VALUE"""),12.0)</f>
        <v>12</v>
      </c>
      <c r="EJ160" s="179"/>
      <c r="EK160" s="179"/>
      <c r="EL160" s="179"/>
      <c r="EM160" s="179"/>
      <c r="EN160" s="179"/>
      <c r="EO160" s="16"/>
      <c r="EP160" s="16">
        <f>IFERROR(__xludf.DUMMYFUNCTION("""COMPUTED_VALUE"""),-1.0)</f>
        <v>-1</v>
      </c>
      <c r="EQ160" s="16">
        <f>IFERROR(__xludf.DUMMYFUNCTION("""COMPUTED_VALUE"""),4.0)</f>
        <v>4</v>
      </c>
      <c r="ER160" s="16">
        <f>IFERROR(__xludf.DUMMYFUNCTION("""COMPUTED_VALUE"""),3.0)</f>
        <v>3</v>
      </c>
      <c r="ES160" s="16"/>
      <c r="ET160" s="16"/>
      <c r="EU160" s="16"/>
      <c r="EV160" s="16"/>
      <c r="EW160" s="16"/>
      <c r="EX160" s="180"/>
      <c r="EY160" s="180"/>
      <c r="EZ160" s="180">
        <f>IFERROR(__xludf.DUMMYFUNCTION("""COMPUTED_VALUE"""),0.0)</f>
        <v>0</v>
      </c>
      <c r="FA160" s="180"/>
      <c r="FB160" s="180"/>
      <c r="FC160" s="180"/>
      <c r="FD160" s="180"/>
      <c r="FE160" s="180"/>
      <c r="FF160" s="180"/>
      <c r="FG160" s="180"/>
      <c r="FH160" s="180">
        <f>IFERROR(__xludf.DUMMYFUNCTION("""COMPUTED_VALUE"""),0.046296296296296294)</f>
        <v>0.0462962963</v>
      </c>
      <c r="FI160" s="180"/>
      <c r="FJ160" s="180"/>
      <c r="FK160" s="180"/>
      <c r="FL160" s="180"/>
      <c r="FM160" s="180"/>
      <c r="FN160" s="16"/>
      <c r="FO160" s="16"/>
      <c r="FP160" s="16">
        <f>IFERROR(__xludf.DUMMYFUNCTION("""COMPUTED_VALUE"""),0.9537037037037037)</f>
        <v>0.9537037037</v>
      </c>
      <c r="FQ160" s="16"/>
      <c r="FR160" s="16"/>
      <c r="FS160" s="16"/>
      <c r="FT160" s="16"/>
      <c r="FU160" s="16"/>
      <c r="FV160" s="16"/>
      <c r="FW160" s="16"/>
      <c r="FX160" s="16">
        <f>IFERROR(__xludf.DUMMYFUNCTION("""COMPUTED_VALUE"""),8.0)</f>
        <v>8</v>
      </c>
      <c r="FY160" s="16"/>
      <c r="FZ160" s="16"/>
      <c r="GA160" s="16"/>
      <c r="GB160" s="16"/>
      <c r="GC160" s="16"/>
      <c r="GD160" s="16" t="s">
        <v>277</v>
      </c>
    </row>
    <row r="161">
      <c r="A161" s="16">
        <f>IFERROR(__xludf.DUMMYFUNCTION("""COMPUTED_VALUE"""),13484.0)</f>
        <v>13484</v>
      </c>
      <c r="B161" s="16" t="str">
        <f>IFERROR(__xludf.DUMMYFUNCTION("""COMPUTED_VALUE"""),"Will Wagner")</f>
        <v>Will Wagner</v>
      </c>
      <c r="C161" s="16">
        <f>IFERROR(__xludf.DUMMYFUNCTION("""COMPUTED_VALUE"""),2.36)</f>
        <v>2.36</v>
      </c>
      <c r="D161" s="16" t="str">
        <f>IFERROR(__xludf.DUMMYFUNCTION("""COMPUTED_VALUE"""),"L")</f>
        <v>L</v>
      </c>
      <c r="E161" s="16"/>
      <c r="F161" s="16"/>
      <c r="G161" s="16">
        <f>IFERROR(__xludf.DUMMYFUNCTION("""COMPUTED_VALUE"""),82.0)</f>
        <v>82</v>
      </c>
      <c r="H161" s="16">
        <f>IFERROR(__xludf.DUMMYFUNCTION("""COMPUTED_VALUE"""),4.0)</f>
        <v>4</v>
      </c>
      <c r="I161" s="16" t="str">
        <f>IFERROR(__xludf.DUMMYFUNCTION("""COMPUTED_VALUE"""),"2p20")</f>
        <v>2p20</v>
      </c>
      <c r="J161" s="16">
        <f>IFERROR(__xludf.DUMMYFUNCTION("""COMPUTED_VALUE"""),42.0)</f>
        <v>42</v>
      </c>
      <c r="K161" s="16">
        <f>IFERROR(__xludf.DUMMYFUNCTION("""COMPUTED_VALUE"""),6.0)</f>
        <v>6</v>
      </c>
      <c r="L161" s="16">
        <f>IFERROR(__xludf.DUMMYFUNCTION("""COMPUTED_VALUE"""),-1.0)</f>
        <v>-1</v>
      </c>
      <c r="M161" s="16">
        <f>IFERROR(__xludf.DUMMYFUNCTION("""COMPUTED_VALUE"""),2.0)</f>
        <v>2</v>
      </c>
      <c r="N161" s="16">
        <f>IFERROR(__xludf.DUMMYFUNCTION("""COMPUTED_VALUE"""),-1.0)</f>
        <v>-1</v>
      </c>
      <c r="O161" s="16">
        <f>IFERROR(__xludf.DUMMYFUNCTION("""COMPUTED_VALUE"""),2.0)</f>
        <v>2</v>
      </c>
      <c r="P161" s="16">
        <f>IFERROR(__xludf.DUMMYFUNCTION("""COMPUTED_VALUE"""),2.0)</f>
        <v>2</v>
      </c>
      <c r="Q161" s="16">
        <f>IFERROR(__xludf.DUMMYFUNCTION("""COMPUTED_VALUE"""),0.0)</f>
        <v>0</v>
      </c>
      <c r="R161" s="16">
        <f>IFERROR(__xludf.DUMMYFUNCTION("""COMPUTED_VALUE"""),-2.0)</f>
        <v>-2</v>
      </c>
      <c r="S161" s="16">
        <f>IFERROR(__xludf.DUMMYFUNCTION("""COMPUTED_VALUE"""),-2.0)</f>
        <v>-2</v>
      </c>
      <c r="T161" s="16">
        <f>IFERROR(__xludf.DUMMYFUNCTION("""COMPUTED_VALUE"""),-2.0)</f>
        <v>-2</v>
      </c>
      <c r="U161" s="16">
        <f>IFERROR(__xludf.DUMMYFUNCTION("""COMPUTED_VALUE"""),-2.0)</f>
        <v>-2</v>
      </c>
      <c r="V161" s="16">
        <f>IFERROR(__xludf.DUMMYFUNCTION("""COMPUTED_VALUE"""),20.4)</f>
        <v>20.4</v>
      </c>
      <c r="W161" s="16">
        <f>IFERROR(__xludf.DUMMYFUNCTION("""COMPUTED_VALUE"""),40.3)</f>
        <v>40.3</v>
      </c>
      <c r="X161" s="16">
        <f>IFERROR(__xludf.DUMMYFUNCTION("""COMPUTED_VALUE"""),0.0)</f>
        <v>0</v>
      </c>
      <c r="Y161" s="16">
        <f>IFERROR(__xludf.DUMMYFUNCTION("""COMPUTED_VALUE"""),3.0)</f>
        <v>3</v>
      </c>
      <c r="Z161" s="16">
        <f>IFERROR(__xludf.DUMMYFUNCTION("""COMPUTED_VALUE"""),0.0)</f>
        <v>0</v>
      </c>
      <c r="AA161" s="16">
        <f>IFERROR(__xludf.DUMMYFUNCTION("""COMPUTED_VALUE"""),6.0)</f>
        <v>6</v>
      </c>
      <c r="AB161" s="16">
        <f>IFERROR(__xludf.DUMMYFUNCTION("""COMPUTED_VALUE"""),22.4)</f>
        <v>22.4</v>
      </c>
      <c r="AC161" s="16">
        <f>IFERROR(__xludf.DUMMYFUNCTION("""COMPUTED_VALUE"""),40.3)</f>
        <v>40.3</v>
      </c>
      <c r="AD161" s="16">
        <f>IFERROR(__xludf.DUMMYFUNCTION("""COMPUTED_VALUE"""),-1.0)</f>
        <v>-1</v>
      </c>
      <c r="AE161" s="16">
        <f>IFERROR(__xludf.DUMMYFUNCTION("""COMPUTED_VALUE"""),1.0)</f>
        <v>1</v>
      </c>
      <c r="AF161" s="16">
        <f>IFERROR(__xludf.DUMMYFUNCTION("""COMPUTED_VALUE"""),-5.0)</f>
        <v>-5</v>
      </c>
      <c r="AG161" s="16">
        <f>IFERROR(__xludf.DUMMYFUNCTION("""COMPUTED_VALUE"""),5.0)</f>
        <v>5</v>
      </c>
      <c r="AH161" s="16">
        <f>IFERROR(__xludf.DUMMYFUNCTION("""COMPUTED_VALUE"""),30.6)</f>
        <v>30.6</v>
      </c>
      <c r="AI161" s="16">
        <f>IFERROR(__xludf.DUMMYFUNCTION("""COMPUTED_VALUE"""),56.4)</f>
        <v>56.4</v>
      </c>
      <c r="AJ161" s="16">
        <f>IFERROR(__xludf.DUMMYFUNCTION("""COMPUTED_VALUE"""),0.0)</f>
        <v>0</v>
      </c>
      <c r="AK161" s="16">
        <f>IFERROR(__xludf.DUMMYFUNCTION("""COMPUTED_VALUE"""),2.0)</f>
        <v>2</v>
      </c>
      <c r="AL161" s="16">
        <f>IFERROR(__xludf.DUMMYFUNCTION("""COMPUTED_VALUE"""),0.0)</f>
        <v>0</v>
      </c>
      <c r="AM161" s="16">
        <f>IFERROR(__xludf.DUMMYFUNCTION("""COMPUTED_VALUE"""),10.0)</f>
        <v>10</v>
      </c>
      <c r="AN161" s="16">
        <f>IFERROR(__xludf.DUMMYFUNCTION("""COMPUTED_VALUE"""),3.4)</f>
        <v>3.4</v>
      </c>
      <c r="AO161" s="16">
        <f>IFERROR(__xludf.DUMMYFUNCTION("""COMPUTED_VALUE"""),0.3)</f>
        <v>0.3</v>
      </c>
      <c r="AP161" s="16">
        <f>IFERROR(__xludf.DUMMYFUNCTION("""COMPUTED_VALUE"""),1.0)</f>
        <v>1</v>
      </c>
      <c r="AQ161" s="16">
        <f>IFERROR(__xludf.DUMMYFUNCTION("""COMPUTED_VALUE"""),-2.0)</f>
        <v>-2</v>
      </c>
      <c r="AR161" s="16">
        <f>IFERROR(__xludf.DUMMYFUNCTION("""COMPUTED_VALUE"""),2.0)</f>
        <v>2</v>
      </c>
      <c r="AS161" s="16">
        <f>IFERROR(__xludf.DUMMYFUNCTION("""COMPUTED_VALUE"""),-4.0)</f>
        <v>-4</v>
      </c>
      <c r="AT161" s="16">
        <f>IFERROR(__xludf.DUMMYFUNCTION("""COMPUTED_VALUE"""),6.0)</f>
        <v>6</v>
      </c>
      <c r="AU161" s="16">
        <f>IFERROR(__xludf.DUMMYFUNCTION("""COMPUTED_VALUE"""),1.0)</f>
        <v>1</v>
      </c>
      <c r="AV161" s="16">
        <f>IFERROR(__xludf.DUMMYFUNCTION("""COMPUTED_VALUE"""),6.0)</f>
        <v>6</v>
      </c>
      <c r="AW161" s="16">
        <f>IFERROR(__xludf.DUMMYFUNCTION("""COMPUTED_VALUE"""),1.0)</f>
        <v>1</v>
      </c>
      <c r="AX161" s="16">
        <f>IFERROR(__xludf.DUMMYFUNCTION("""COMPUTED_VALUE"""),3.0)</f>
        <v>3</v>
      </c>
      <c r="AY161" s="16">
        <f>IFERROR(__xludf.DUMMYFUNCTION("""COMPUTED_VALUE"""),-1.0)</f>
        <v>-1</v>
      </c>
      <c r="AZ161" s="16">
        <f>IFERROR(__xludf.DUMMYFUNCTION("""COMPUTED_VALUE"""),9.0)</f>
        <v>9</v>
      </c>
      <c r="BA161" s="16">
        <f>IFERROR(__xludf.DUMMYFUNCTION("""COMPUTED_VALUE"""),-3.0)</f>
        <v>-3</v>
      </c>
      <c r="BB161" s="16">
        <f>IFERROR(__xludf.DUMMYFUNCTION("""COMPUTED_VALUE"""),5.0)</f>
        <v>5</v>
      </c>
      <c r="BC161" s="16">
        <f>IFERROR(__xludf.DUMMYFUNCTION("""COMPUTED_VALUE"""),5.0)</f>
        <v>5</v>
      </c>
      <c r="BD161" s="16">
        <f>IFERROR(__xludf.DUMMYFUNCTION("""COMPUTED_VALUE"""),1.0)</f>
        <v>1</v>
      </c>
      <c r="BE161" s="16">
        <f>IFERROR(__xludf.DUMMYFUNCTION("""COMPUTED_VALUE"""),1.0)</f>
        <v>1</v>
      </c>
      <c r="BF161" s="16">
        <f>IFERROR(__xludf.DUMMYFUNCTION("""COMPUTED_VALUE"""),1.0)</f>
        <v>1</v>
      </c>
      <c r="BG161" s="16">
        <f>IFERROR(__xludf.DUMMYFUNCTION("""COMPUTED_VALUE"""),1.0)</f>
        <v>1</v>
      </c>
      <c r="BH161" s="16">
        <f>IFERROR(__xludf.DUMMYFUNCTION("""COMPUTED_VALUE"""),3.0)</f>
        <v>3</v>
      </c>
      <c r="BI161" s="16">
        <f>IFERROR(__xludf.DUMMYFUNCTION("""COMPUTED_VALUE"""),3.0)</f>
        <v>3</v>
      </c>
      <c r="BJ161" s="16">
        <f>IFERROR(__xludf.DUMMYFUNCTION("""COMPUTED_VALUE"""),24.0)</f>
        <v>24</v>
      </c>
      <c r="BK161" s="16">
        <f>IFERROR(__xludf.DUMMYFUNCTION("""COMPUTED_VALUE"""),28.0)</f>
        <v>28</v>
      </c>
      <c r="BL161" s="16">
        <f>IFERROR(__xludf.DUMMYFUNCTION("""COMPUTED_VALUE"""),-2.0)</f>
        <v>-2</v>
      </c>
      <c r="BM161" s="16">
        <f>IFERROR(__xludf.DUMMYFUNCTION("""COMPUTED_VALUE"""),-3.0)</f>
        <v>-3</v>
      </c>
      <c r="BN161" s="16">
        <f>IFERROR(__xludf.DUMMYFUNCTION("""COMPUTED_VALUE"""),-4.0)</f>
        <v>-4</v>
      </c>
      <c r="BO161" s="16">
        <f>IFERROR(__xludf.DUMMYFUNCTION("""COMPUTED_VALUE"""),-6.0)</f>
        <v>-6</v>
      </c>
      <c r="BP161" s="16">
        <f>IFERROR(__xludf.DUMMYFUNCTION("""COMPUTED_VALUE"""),-1.0)</f>
        <v>-1</v>
      </c>
      <c r="BQ161" s="16">
        <f>IFERROR(__xludf.DUMMYFUNCTION("""COMPUTED_VALUE"""),1.0)</f>
        <v>1</v>
      </c>
      <c r="BR161" s="16">
        <f>IFERROR(__xludf.DUMMYFUNCTION("""COMPUTED_VALUE"""),0.0)</f>
        <v>0</v>
      </c>
      <c r="BS161" s="16" t="str">
        <f>IFERROR(__xludf.DUMMYFUNCTION("""COMPUTED_VALUE"""),"-/- (---)")</f>
        <v>-/- (---)</v>
      </c>
      <c r="BT161" s="16" t="str">
        <f>IFERROR(__xludf.DUMMYFUNCTION("""COMPUTED_VALUE"""),"E")</f>
        <v>E</v>
      </c>
      <c r="BU161" s="16">
        <f>IFERROR(__xludf.DUMMYFUNCTION("""COMPUTED_VALUE"""),11.0)</f>
        <v>11</v>
      </c>
      <c r="BV161" s="16">
        <f>IFERROR(__xludf.DUMMYFUNCTION("""COMPUTED_VALUE"""),0.0)</f>
        <v>0</v>
      </c>
      <c r="BW161" s="16">
        <f>IFERROR(__xludf.DUMMYFUNCTION("""COMPUTED_VALUE"""),0.0)</f>
        <v>0</v>
      </c>
      <c r="BX161" s="16">
        <f>IFERROR(__xludf.DUMMYFUNCTION("""COMPUTED_VALUE"""),0.0)</f>
        <v>0</v>
      </c>
      <c r="BY161" s="16">
        <f>IFERROR(__xludf.DUMMYFUNCTION("""COMPUTED_VALUE"""),0.0)</f>
        <v>0</v>
      </c>
      <c r="BZ161" s="16" t="str">
        <f>IFERROR(__xludf.DUMMYFUNCTION("""COMPUTED_VALUE"""),"D")</f>
        <v>D</v>
      </c>
      <c r="CA161" s="16" t="str">
        <f>IFERROR(__xludf.DUMMYFUNCTION("""COMPUTED_VALUE"""),"C")</f>
        <v>C</v>
      </c>
      <c r="CB161" s="16">
        <f>IFERROR(__xludf.DUMMYFUNCTION("""COMPUTED_VALUE"""),0.0)</f>
        <v>0</v>
      </c>
      <c r="CC161" s="16">
        <f>IFERROR(__xludf.DUMMYFUNCTION("""COMPUTED_VALUE"""),0.0)</f>
        <v>0</v>
      </c>
      <c r="CD161" s="16">
        <f>IFERROR(__xludf.DUMMYFUNCTION("""COMPUTED_VALUE"""),0.0)</f>
        <v>0</v>
      </c>
      <c r="CE161" s="16">
        <f>IFERROR(__xludf.DUMMYFUNCTION("""COMPUTED_VALUE"""),0.0)</f>
        <v>0</v>
      </c>
      <c r="CF161" s="16">
        <f>IFERROR(__xludf.DUMMYFUNCTION("""COMPUTED_VALUE"""),2.0)</f>
        <v>2</v>
      </c>
      <c r="CG161" s="16">
        <f>IFERROR(__xludf.DUMMYFUNCTION("""COMPUTED_VALUE"""),0.0)</f>
        <v>0</v>
      </c>
      <c r="CH161" s="16">
        <f>IFERROR(__xludf.DUMMYFUNCTION("""COMPUTED_VALUE"""),9.0)</f>
        <v>9</v>
      </c>
      <c r="CI161" s="179">
        <f>IFERROR(__xludf.DUMMYFUNCTION("""COMPUTED_VALUE"""),5.0)</f>
        <v>5</v>
      </c>
      <c r="CJ161" s="16"/>
      <c r="CK161" s="16">
        <f>IFERROR(__xludf.DUMMYFUNCTION("""COMPUTED_VALUE"""),510.0)</f>
        <v>510</v>
      </c>
      <c r="CL161" s="16">
        <f>IFERROR(__xludf.DUMMYFUNCTION("""COMPUTED_VALUE"""),408.0)</f>
        <v>408</v>
      </c>
      <c r="CM161" s="16"/>
      <c r="CN161" s="16"/>
      <c r="CO161" s="16"/>
      <c r="CP161" s="16"/>
      <c r="CQ161" s="16"/>
      <c r="CR161" s="16" t="str">
        <f>IFERROR(__xludf.DUMMYFUNCTION("""COMPUTED_VALUE"""),"2b-4e8 1b-5e10")</f>
        <v>2b-4e8 1b-5e10</v>
      </c>
      <c r="CS161" s="16"/>
      <c r="CT161" s="16">
        <f>IFERROR(__xludf.DUMMYFUNCTION("""COMPUTED_VALUE"""),5.0)</f>
        <v>5</v>
      </c>
      <c r="CU161" s="16">
        <f>IFERROR(__xludf.DUMMYFUNCTION("""COMPUTED_VALUE"""),4.0)</f>
        <v>4</v>
      </c>
      <c r="CV161" s="16"/>
      <c r="CW161" s="16"/>
      <c r="CX161" s="16"/>
      <c r="CY161" s="16"/>
      <c r="CZ161" s="16"/>
      <c r="DA161" s="16"/>
      <c r="DB161" s="16">
        <f>IFERROR(__xludf.DUMMYFUNCTION("""COMPUTED_VALUE"""),10.0)</f>
        <v>10</v>
      </c>
      <c r="DC161" s="16">
        <f>IFERROR(__xludf.DUMMYFUNCTION("""COMPUTED_VALUE"""),8.0)</f>
        <v>8</v>
      </c>
      <c r="DD161" s="16"/>
      <c r="DE161" s="16"/>
      <c r="DF161" s="16"/>
      <c r="DG161" s="16"/>
      <c r="DH161" s="16"/>
      <c r="DI161" s="16"/>
      <c r="DJ161" s="16">
        <f>IFERROR(__xludf.DUMMYFUNCTION("""COMPUTED_VALUE"""),-2.0)</f>
        <v>-2</v>
      </c>
      <c r="DK161" s="16">
        <f>IFERROR(__xludf.DUMMYFUNCTION("""COMPUTED_VALUE"""),-2.0)</f>
        <v>-2</v>
      </c>
      <c r="DL161" s="16"/>
      <c r="DM161" s="16"/>
      <c r="DN161" s="16"/>
      <c r="DO161" s="16"/>
      <c r="DP161" s="16"/>
      <c r="DQ161" s="16"/>
      <c r="DR161" s="16">
        <f>IFERROR(__xludf.DUMMYFUNCTION("""COMPUTED_VALUE"""),2.0)</f>
        <v>2</v>
      </c>
      <c r="DS161" s="16">
        <f>IFERROR(__xludf.DUMMYFUNCTION("""COMPUTED_VALUE"""),3.0)</f>
        <v>3</v>
      </c>
      <c r="DT161" s="16"/>
      <c r="DU161" s="16"/>
      <c r="DV161" s="16"/>
      <c r="DW161" s="16"/>
      <c r="DX161" s="16"/>
      <c r="DY161" s="16"/>
      <c r="DZ161" s="16">
        <f>IFERROR(__xludf.DUMMYFUNCTION("""COMPUTED_VALUE"""),0.0)</f>
        <v>0</v>
      </c>
      <c r="EA161" s="16">
        <f>IFERROR(__xludf.DUMMYFUNCTION("""COMPUTED_VALUE"""),1.0)</f>
        <v>1</v>
      </c>
      <c r="EB161" s="16"/>
      <c r="EC161" s="16"/>
      <c r="ED161" s="16"/>
      <c r="EE161" s="16"/>
      <c r="EF161" s="16"/>
      <c r="EG161" s="179"/>
      <c r="EH161" s="179">
        <f>IFERROR(__xludf.DUMMYFUNCTION("""COMPUTED_VALUE"""),5.0)</f>
        <v>5</v>
      </c>
      <c r="EI161" s="179">
        <f>IFERROR(__xludf.DUMMYFUNCTION("""COMPUTED_VALUE"""),6.0)</f>
        <v>6</v>
      </c>
      <c r="EJ161" s="179"/>
      <c r="EK161" s="179"/>
      <c r="EL161" s="179"/>
      <c r="EM161" s="179"/>
      <c r="EN161" s="179"/>
      <c r="EO161" s="16"/>
      <c r="EP161" s="16">
        <f>IFERROR(__xludf.DUMMYFUNCTION("""COMPUTED_VALUE"""),0.0)</f>
        <v>0</v>
      </c>
      <c r="EQ161" s="16">
        <f>IFERROR(__xludf.DUMMYFUNCTION("""COMPUTED_VALUE"""),2.0)</f>
        <v>2</v>
      </c>
      <c r="ER161" s="16">
        <f>IFERROR(__xludf.DUMMYFUNCTION("""COMPUTED_VALUE"""),-4.0)</f>
        <v>-4</v>
      </c>
      <c r="ES161" s="16"/>
      <c r="ET161" s="16"/>
      <c r="EU161" s="16"/>
      <c r="EV161" s="16"/>
      <c r="EW161" s="16"/>
      <c r="EX161" s="180"/>
      <c r="EY161" s="180">
        <f>IFERROR(__xludf.DUMMYFUNCTION("""COMPUTED_VALUE"""),0.4)</f>
        <v>0.4</v>
      </c>
      <c r="EZ161" s="180">
        <f>IFERROR(__xludf.DUMMYFUNCTION("""COMPUTED_VALUE"""),0.3)</f>
        <v>0.3</v>
      </c>
      <c r="FA161" s="180"/>
      <c r="FB161" s="180"/>
      <c r="FC161" s="180"/>
      <c r="FD161" s="180"/>
      <c r="FE161" s="180"/>
      <c r="FF161" s="180"/>
      <c r="FG161" s="180">
        <f>IFERROR(__xludf.DUMMYFUNCTION("""COMPUTED_VALUE"""),0.18055555555555555)</f>
        <v>0.1805555556</v>
      </c>
      <c r="FH161" s="180">
        <f>IFERROR(__xludf.DUMMYFUNCTION("""COMPUTED_VALUE"""),0.046296296296296294)</f>
        <v>0.0462962963</v>
      </c>
      <c r="FI161" s="180"/>
      <c r="FJ161" s="180"/>
      <c r="FK161" s="180"/>
      <c r="FL161" s="180"/>
      <c r="FM161" s="180"/>
      <c r="FN161" s="16"/>
      <c r="FO161" s="16">
        <f>IFERROR(__xludf.DUMMYFUNCTION("""COMPUTED_VALUE"""),0.49166666666666664)</f>
        <v>0.4916666667</v>
      </c>
      <c r="FP161" s="16">
        <f>IFERROR(__xludf.DUMMYFUNCTION("""COMPUTED_VALUE"""),0.6675925925925925)</f>
        <v>0.6675925926</v>
      </c>
      <c r="FQ161" s="16"/>
      <c r="FR161" s="16"/>
      <c r="FS161" s="16"/>
      <c r="FT161" s="16"/>
      <c r="FU161" s="16"/>
      <c r="FV161" s="16"/>
      <c r="FW161" s="16">
        <f>IFERROR(__xludf.DUMMYFUNCTION("""COMPUTED_VALUE"""),-8.0)</f>
        <v>-8</v>
      </c>
      <c r="FX161" s="16">
        <f>IFERROR(__xludf.DUMMYFUNCTION("""COMPUTED_VALUE"""),-4.0)</f>
        <v>-4</v>
      </c>
      <c r="FY161" s="16"/>
      <c r="FZ161" s="16"/>
      <c r="GA161" s="16"/>
      <c r="GB161" s="16"/>
      <c r="GC161" s="16"/>
      <c r="GD161" s="16" t="s">
        <v>1729</v>
      </c>
    </row>
    <row r="162">
      <c r="A162" s="16">
        <f>IFERROR(__xludf.DUMMYFUNCTION("""COMPUTED_VALUE"""),13191.0)</f>
        <v>13191</v>
      </c>
      <c r="B162" s="16" t="str">
        <f>IFERROR(__xludf.DUMMYFUNCTION("""COMPUTED_VALUE"""),"Michael Harris")</f>
        <v>Michael Harris</v>
      </c>
      <c r="C162" s="16">
        <f>IFERROR(__xludf.DUMMYFUNCTION("""COMPUTED_VALUE"""),1.97)</f>
        <v>1.97</v>
      </c>
      <c r="D162" s="16" t="str">
        <f>IFERROR(__xludf.DUMMYFUNCTION("""COMPUTED_VALUE"""),"L")</f>
        <v>L</v>
      </c>
      <c r="E162" s="16"/>
      <c r="F162" s="16"/>
      <c r="G162" s="16">
        <f>IFERROR(__xludf.DUMMYFUNCTION("""COMPUTED_VALUE"""),440.0)</f>
        <v>440</v>
      </c>
      <c r="H162" s="16">
        <f>IFERROR(__xludf.DUMMYFUNCTION("""COMPUTED_VALUE"""),23.0)</f>
        <v>23</v>
      </c>
      <c r="I162" s="16" t="str">
        <f>IFERROR(__xludf.DUMMYFUNCTION("""COMPUTED_VALUE"""),"3p50")</f>
        <v>3p50</v>
      </c>
      <c r="J162" s="16">
        <f>IFERROR(__xludf.DUMMYFUNCTION("""COMPUTED_VALUE"""),21.0)</f>
        <v>21</v>
      </c>
      <c r="K162" s="16">
        <f>IFERROR(__xludf.DUMMYFUNCTION("""COMPUTED_VALUE"""),18.0)</f>
        <v>18</v>
      </c>
      <c r="L162" s="16">
        <f>IFERROR(__xludf.DUMMYFUNCTION("""COMPUTED_VALUE"""),0.0)</f>
        <v>0</v>
      </c>
      <c r="M162" s="16">
        <f>IFERROR(__xludf.DUMMYFUNCTION("""COMPUTED_VALUE"""),1.0)</f>
        <v>1</v>
      </c>
      <c r="N162" s="16">
        <f>IFERROR(__xludf.DUMMYFUNCTION("""COMPUTED_VALUE"""),0.0)</f>
        <v>0</v>
      </c>
      <c r="O162" s="16">
        <f>IFERROR(__xludf.DUMMYFUNCTION("""COMPUTED_VALUE"""),1.0)</f>
        <v>1</v>
      </c>
      <c r="P162" s="16">
        <f>IFERROR(__xludf.DUMMYFUNCTION("""COMPUTED_VALUE"""),0.0)</f>
        <v>0</v>
      </c>
      <c r="Q162" s="16">
        <f>IFERROR(__xludf.DUMMYFUNCTION("""COMPUTED_VALUE"""),2.0)</f>
        <v>2</v>
      </c>
      <c r="R162" s="16">
        <f>IFERROR(__xludf.DUMMYFUNCTION("""COMPUTED_VALUE"""),-3.0)</f>
        <v>-3</v>
      </c>
      <c r="S162" s="16">
        <f>IFERROR(__xludf.DUMMYFUNCTION("""COMPUTED_VALUE"""),-2.0)</f>
        <v>-2</v>
      </c>
      <c r="T162" s="16">
        <f>IFERROR(__xludf.DUMMYFUNCTION("""COMPUTED_VALUE"""),-3.0)</f>
        <v>-3</v>
      </c>
      <c r="U162" s="16">
        <f>IFERROR(__xludf.DUMMYFUNCTION("""COMPUTED_VALUE"""),-2.0)</f>
        <v>-2</v>
      </c>
      <c r="V162" s="16">
        <f>IFERROR(__xludf.DUMMYFUNCTION("""COMPUTED_VALUE"""),28.3)</f>
        <v>28.3</v>
      </c>
      <c r="W162" s="16">
        <f>IFERROR(__xludf.DUMMYFUNCTION("""COMPUTED_VALUE"""),22.9)</f>
        <v>22.9</v>
      </c>
      <c r="X162" s="16">
        <f>IFERROR(__xludf.DUMMYFUNCTION("""COMPUTED_VALUE"""),1.0)</f>
        <v>1</v>
      </c>
      <c r="Y162" s="16">
        <f>IFERROR(__xludf.DUMMYFUNCTION("""COMPUTED_VALUE"""),1.0)</f>
        <v>1</v>
      </c>
      <c r="Z162" s="16">
        <f>IFERROR(__xludf.DUMMYFUNCTION("""COMPUTED_VALUE"""),2.0)</f>
        <v>2</v>
      </c>
      <c r="AA162" s="16">
        <f>IFERROR(__xludf.DUMMYFUNCTION("""COMPUTED_VALUE"""),2.0)</f>
        <v>2</v>
      </c>
      <c r="AB162" s="16">
        <f>IFERROR(__xludf.DUMMYFUNCTION("""COMPUTED_VALUE"""),30.3)</f>
        <v>30.3</v>
      </c>
      <c r="AC162" s="16">
        <f>IFERROR(__xludf.DUMMYFUNCTION("""COMPUTED_VALUE"""),26.9)</f>
        <v>26.9</v>
      </c>
      <c r="AD162" s="16">
        <f>IFERROR(__xludf.DUMMYFUNCTION("""COMPUTED_VALUE"""),0.0)</f>
        <v>0</v>
      </c>
      <c r="AE162" s="16">
        <f>IFERROR(__xludf.DUMMYFUNCTION("""COMPUTED_VALUE"""),-1.0)</f>
        <v>-1</v>
      </c>
      <c r="AF162" s="16">
        <f>IFERROR(__xludf.DUMMYFUNCTION("""COMPUTED_VALUE"""),0.0)</f>
        <v>0</v>
      </c>
      <c r="AG162" s="16">
        <f>IFERROR(__xludf.DUMMYFUNCTION("""COMPUTED_VALUE"""),-5.0)</f>
        <v>-5</v>
      </c>
      <c r="AH162" s="16">
        <f>IFERROR(__xludf.DUMMYFUNCTION("""COMPUTED_VALUE"""),42.5)</f>
        <v>42.5</v>
      </c>
      <c r="AI162" s="16">
        <f>IFERROR(__xludf.DUMMYFUNCTION("""COMPUTED_VALUE"""),32.3)</f>
        <v>32.3</v>
      </c>
      <c r="AJ162" s="16">
        <f>IFERROR(__xludf.DUMMYFUNCTION("""COMPUTED_VALUE"""),1.0)</f>
        <v>1</v>
      </c>
      <c r="AK162" s="16">
        <f>IFERROR(__xludf.DUMMYFUNCTION("""COMPUTED_VALUE"""),0.0)</f>
        <v>0</v>
      </c>
      <c r="AL162" s="16">
        <f>IFERROR(__xludf.DUMMYFUNCTION("""COMPUTED_VALUE"""),5.0)</f>
        <v>5</v>
      </c>
      <c r="AM162" s="16">
        <f>IFERROR(__xludf.DUMMYFUNCTION("""COMPUTED_VALUE"""),0.0)</f>
        <v>0</v>
      </c>
      <c r="AN162" s="16">
        <f>IFERROR(__xludf.DUMMYFUNCTION("""COMPUTED_VALUE"""),4.3)</f>
        <v>4.3</v>
      </c>
      <c r="AO162" s="16">
        <f>IFERROR(__xludf.DUMMYFUNCTION("""COMPUTED_VALUE"""),1.8)</f>
        <v>1.8</v>
      </c>
      <c r="AP162" s="16">
        <f>IFERROR(__xludf.DUMMYFUNCTION("""COMPUTED_VALUE"""),2.0)</f>
        <v>2</v>
      </c>
      <c r="AQ162" s="16">
        <f>IFERROR(__xludf.DUMMYFUNCTION("""COMPUTED_VALUE"""),-1.0)</f>
        <v>-1</v>
      </c>
      <c r="AR162" s="16">
        <f>IFERROR(__xludf.DUMMYFUNCTION("""COMPUTED_VALUE"""),4.0)</f>
        <v>4</v>
      </c>
      <c r="AS162" s="16">
        <f>IFERROR(__xludf.DUMMYFUNCTION("""COMPUTED_VALUE"""),-2.0)</f>
        <v>-2</v>
      </c>
      <c r="AT162" s="16">
        <f>IFERROR(__xludf.DUMMYFUNCTION("""COMPUTED_VALUE"""),8.0)</f>
        <v>8</v>
      </c>
      <c r="AU162" s="16">
        <f>IFERROR(__xludf.DUMMYFUNCTION("""COMPUTED_VALUE"""),2.0)</f>
        <v>2</v>
      </c>
      <c r="AV162" s="16">
        <f>IFERROR(__xludf.DUMMYFUNCTION("""COMPUTED_VALUE"""),8.0)</f>
        <v>8</v>
      </c>
      <c r="AW162" s="16">
        <f>IFERROR(__xludf.DUMMYFUNCTION("""COMPUTED_VALUE"""),2.0)</f>
        <v>2</v>
      </c>
      <c r="AX162" s="16">
        <f>IFERROR(__xludf.DUMMYFUNCTION("""COMPUTED_VALUE"""),3.0)</f>
        <v>3</v>
      </c>
      <c r="AY162" s="16">
        <f>IFERROR(__xludf.DUMMYFUNCTION("""COMPUTED_VALUE"""),0.0)</f>
        <v>0</v>
      </c>
      <c r="AZ162" s="16">
        <f>IFERROR(__xludf.DUMMYFUNCTION("""COMPUTED_VALUE"""),9.0)</f>
        <v>9</v>
      </c>
      <c r="BA162" s="16">
        <f>IFERROR(__xludf.DUMMYFUNCTION("""COMPUTED_VALUE"""),0.0)</f>
        <v>0</v>
      </c>
      <c r="BB162" s="16">
        <f>IFERROR(__xludf.DUMMYFUNCTION("""COMPUTED_VALUE"""),5.0)</f>
        <v>5</v>
      </c>
      <c r="BC162" s="16">
        <f>IFERROR(__xludf.DUMMYFUNCTION("""COMPUTED_VALUE"""),5.0)</f>
        <v>5</v>
      </c>
      <c r="BD162" s="16">
        <f>IFERROR(__xludf.DUMMYFUNCTION("""COMPUTED_VALUE"""),1.0)</f>
        <v>1</v>
      </c>
      <c r="BE162" s="16">
        <f>IFERROR(__xludf.DUMMYFUNCTION("""COMPUTED_VALUE"""),1.0)</f>
        <v>1</v>
      </c>
      <c r="BF162" s="16">
        <f>IFERROR(__xludf.DUMMYFUNCTION("""COMPUTED_VALUE"""),1.0)</f>
        <v>1</v>
      </c>
      <c r="BG162" s="16">
        <f>IFERROR(__xludf.DUMMYFUNCTION("""COMPUTED_VALUE"""),1.0)</f>
        <v>1</v>
      </c>
      <c r="BH162" s="16">
        <f>IFERROR(__xludf.DUMMYFUNCTION("""COMPUTED_VALUE"""),-3.0)</f>
        <v>-3</v>
      </c>
      <c r="BI162" s="16">
        <f>IFERROR(__xludf.DUMMYFUNCTION("""COMPUTED_VALUE"""),-2.0)</f>
        <v>-2</v>
      </c>
      <c r="BJ162" s="16">
        <f>IFERROR(__xludf.DUMMYFUNCTION("""COMPUTED_VALUE"""),10.0)</f>
        <v>10</v>
      </c>
      <c r="BK162" s="16">
        <f>IFERROR(__xludf.DUMMYFUNCTION("""COMPUTED_VALUE"""),10.0)</f>
        <v>10</v>
      </c>
      <c r="BL162" s="16">
        <f>IFERROR(__xludf.DUMMYFUNCTION("""COMPUTED_VALUE"""),0.0)</f>
        <v>0</v>
      </c>
      <c r="BM162" s="16">
        <f>IFERROR(__xludf.DUMMYFUNCTION("""COMPUTED_VALUE"""),0.0)</f>
        <v>0</v>
      </c>
      <c r="BN162" s="16">
        <f>IFERROR(__xludf.DUMMYFUNCTION("""COMPUTED_VALUE"""),0.0)</f>
        <v>0</v>
      </c>
      <c r="BO162" s="16">
        <f>IFERROR(__xludf.DUMMYFUNCTION("""COMPUTED_VALUE"""),0.0)</f>
        <v>0</v>
      </c>
      <c r="BP162" s="16">
        <f>IFERROR(__xludf.DUMMYFUNCTION("""COMPUTED_VALUE"""),5.0)</f>
        <v>5</v>
      </c>
      <c r="BQ162" s="16">
        <f>IFERROR(__xludf.DUMMYFUNCTION("""COMPUTED_VALUE"""),-1.0)</f>
        <v>-1</v>
      </c>
      <c r="BR162" s="16">
        <f>IFERROR(__xludf.DUMMYFUNCTION("""COMPUTED_VALUE"""),4.0)</f>
        <v>4</v>
      </c>
      <c r="BS162" s="16" t="str">
        <f>IFERROR(__xludf.DUMMYFUNCTION("""COMPUTED_VALUE"""),"*2-6,11,12/- (15-12)")</f>
        <v>*2-6,11,12/- (15-12)</v>
      </c>
      <c r="BT162" s="16" t="str">
        <f>IFERROR(__xludf.DUMMYFUNCTION("""COMPUTED_VALUE"""),"B")</f>
        <v>B</v>
      </c>
      <c r="BU162" s="16">
        <f>IFERROR(__xludf.DUMMYFUNCTION("""COMPUTED_VALUE"""),15.0)</f>
        <v>15</v>
      </c>
      <c r="BV162" s="16">
        <f>IFERROR(__xludf.DUMMYFUNCTION("""COMPUTED_VALUE"""),1.0)</f>
        <v>1</v>
      </c>
      <c r="BW162" s="16">
        <f>IFERROR(__xludf.DUMMYFUNCTION("""COMPUTED_VALUE"""),2.0)</f>
        <v>2</v>
      </c>
      <c r="BX162" s="16">
        <f>IFERROR(__xludf.DUMMYFUNCTION("""COMPUTED_VALUE"""),2.0)</f>
        <v>2</v>
      </c>
      <c r="BY162" s="16">
        <f>IFERROR(__xludf.DUMMYFUNCTION("""COMPUTED_VALUE"""),6.0)</f>
        <v>6</v>
      </c>
      <c r="BZ162" s="16" t="str">
        <f>IFERROR(__xludf.DUMMYFUNCTION("""COMPUTED_VALUE"""),"D")</f>
        <v>D</v>
      </c>
      <c r="CA162" s="16" t="str">
        <f>IFERROR(__xludf.DUMMYFUNCTION("""COMPUTED_VALUE"""),"C")</f>
        <v>C</v>
      </c>
      <c r="CB162" s="16">
        <f>IFERROR(__xludf.DUMMYFUNCTION("""COMPUTED_VALUE"""),0.0)</f>
        <v>0</v>
      </c>
      <c r="CC162" s="16">
        <f>IFERROR(__xludf.DUMMYFUNCTION("""COMPUTED_VALUE"""),0.0)</f>
        <v>0</v>
      </c>
      <c r="CD162" s="16">
        <f>IFERROR(__xludf.DUMMYFUNCTION("""COMPUTED_VALUE"""),0.0)</f>
        <v>0</v>
      </c>
      <c r="CE162" s="16">
        <f>IFERROR(__xludf.DUMMYFUNCTION("""COMPUTED_VALUE"""),0.0)</f>
        <v>0</v>
      </c>
      <c r="CF162" s="16">
        <f>IFERROR(__xludf.DUMMYFUNCTION("""COMPUTED_VALUE"""),3.0)</f>
        <v>3</v>
      </c>
      <c r="CG162" s="16">
        <f>IFERROR(__xludf.DUMMYFUNCTION("""COMPUTED_VALUE"""),18.0)</f>
        <v>18</v>
      </c>
      <c r="CH162" s="16">
        <f>IFERROR(__xludf.DUMMYFUNCTION("""COMPUTED_VALUE"""),-5.0)</f>
        <v>-5</v>
      </c>
      <c r="CI162" s="179">
        <f>IFERROR(__xludf.DUMMYFUNCTION("""COMPUTED_VALUE"""),4.0)</f>
        <v>4</v>
      </c>
      <c r="CJ162" s="16"/>
      <c r="CK162" s="16"/>
      <c r="CL162" s="16"/>
      <c r="CM162" s="16"/>
      <c r="CN162" s="16"/>
      <c r="CO162" s="16"/>
      <c r="CP162" s="16">
        <f>IFERROR(__xludf.DUMMYFUNCTION("""COMPUTED_VALUE"""),103.0)</f>
        <v>103</v>
      </c>
      <c r="CQ162" s="16"/>
      <c r="CR162" s="16" t="str">
        <f>IFERROR(__xludf.DUMMYFUNCTION("""COMPUTED_VALUE"""),"cf-1(-3)e3")</f>
        <v>cf-1(-3)e3</v>
      </c>
      <c r="CS162" s="16"/>
      <c r="CT162" s="16"/>
      <c r="CU162" s="16"/>
      <c r="CV162" s="16"/>
      <c r="CW162" s="16"/>
      <c r="CX162" s="16"/>
      <c r="CY162" s="16">
        <f>IFERROR(__xludf.DUMMYFUNCTION("""COMPUTED_VALUE"""),1.0)</f>
        <v>1</v>
      </c>
      <c r="CZ162" s="16"/>
      <c r="DA162" s="16"/>
      <c r="DB162" s="16"/>
      <c r="DC162" s="16"/>
      <c r="DD162" s="16"/>
      <c r="DE162" s="16"/>
      <c r="DF162" s="16"/>
      <c r="DG162" s="16">
        <f>IFERROR(__xludf.DUMMYFUNCTION("""COMPUTED_VALUE"""),3.0)</f>
        <v>3</v>
      </c>
      <c r="DH162" s="16"/>
      <c r="DI162" s="16"/>
      <c r="DJ162" s="16"/>
      <c r="DK162" s="16"/>
      <c r="DL162" s="16"/>
      <c r="DM162" s="16"/>
      <c r="DN162" s="16"/>
      <c r="DO162" s="16">
        <f>IFERROR(__xludf.DUMMYFUNCTION("""COMPUTED_VALUE"""),4.0)</f>
        <v>4</v>
      </c>
      <c r="DP162" s="16"/>
      <c r="DQ162" s="16"/>
      <c r="DR162" s="16"/>
      <c r="DS162" s="16"/>
      <c r="DT162" s="16"/>
      <c r="DU162" s="16"/>
      <c r="DV162" s="16"/>
      <c r="DW162" s="16">
        <f>IFERROR(__xludf.DUMMYFUNCTION("""COMPUTED_VALUE"""),4.0)</f>
        <v>4</v>
      </c>
      <c r="DX162" s="16"/>
      <c r="DY162" s="16"/>
      <c r="DZ162" s="16"/>
      <c r="EA162" s="16"/>
      <c r="EB162" s="16"/>
      <c r="EC162" s="16"/>
      <c r="ED162" s="16"/>
      <c r="EE162" s="16">
        <f>IFERROR(__xludf.DUMMYFUNCTION("""COMPUTED_VALUE"""),8.0)</f>
        <v>8</v>
      </c>
      <c r="EF162" s="16"/>
      <c r="EG162" s="179"/>
      <c r="EH162" s="179"/>
      <c r="EI162" s="179"/>
      <c r="EJ162" s="179"/>
      <c r="EK162" s="179"/>
      <c r="EL162" s="179"/>
      <c r="EM162" s="179">
        <f>IFERROR(__xludf.DUMMYFUNCTION("""COMPUTED_VALUE"""),12.0)</f>
        <v>12</v>
      </c>
      <c r="EN162" s="179"/>
      <c r="EO162" s="16"/>
      <c r="EP162" s="16"/>
      <c r="EQ162" s="16">
        <f>IFERROR(__xludf.DUMMYFUNCTION("""COMPUTED_VALUE"""),1.0)</f>
        <v>1</v>
      </c>
      <c r="ER162" s="16">
        <f>IFERROR(__xludf.DUMMYFUNCTION("""COMPUTED_VALUE"""),0.0)</f>
        <v>0</v>
      </c>
      <c r="ES162" s="16"/>
      <c r="ET162" s="16"/>
      <c r="EU162" s="16"/>
      <c r="EV162" s="16"/>
      <c r="EW162" s="16"/>
      <c r="EX162" s="180"/>
      <c r="EY162" s="180"/>
      <c r="EZ162" s="180"/>
      <c r="FA162" s="180"/>
      <c r="FB162" s="180"/>
      <c r="FC162" s="180"/>
      <c r="FD162" s="180">
        <f>IFERROR(__xludf.DUMMYFUNCTION("""COMPUTED_VALUE"""),0.0)</f>
        <v>0</v>
      </c>
      <c r="FE162" s="180"/>
      <c r="FF162" s="180"/>
      <c r="FG162" s="180"/>
      <c r="FH162" s="180"/>
      <c r="FI162" s="180"/>
      <c r="FJ162" s="180"/>
      <c r="FK162" s="180"/>
      <c r="FL162" s="180">
        <f>IFERROR(__xludf.DUMMYFUNCTION("""COMPUTED_VALUE"""),0.037037037037037035)</f>
        <v>0.03703703704</v>
      </c>
      <c r="FM162" s="180"/>
      <c r="FN162" s="16"/>
      <c r="FO162" s="16"/>
      <c r="FP162" s="16"/>
      <c r="FQ162" s="16"/>
      <c r="FR162" s="16"/>
      <c r="FS162" s="16"/>
      <c r="FT162" s="16">
        <f>IFERROR(__xludf.DUMMYFUNCTION("""COMPUTED_VALUE"""),0.962962962962963)</f>
        <v>0.962962963</v>
      </c>
      <c r="FU162" s="16"/>
      <c r="FV162" s="16"/>
      <c r="FW162" s="16"/>
      <c r="FX162" s="16"/>
      <c r="FY162" s="16"/>
      <c r="FZ162" s="16"/>
      <c r="GA162" s="16"/>
      <c r="GB162" s="16">
        <f>IFERROR(__xludf.DUMMYFUNCTION("""COMPUTED_VALUE"""),8.0)</f>
        <v>8</v>
      </c>
      <c r="GC162" s="16"/>
      <c r="GD162" s="16" t="s">
        <v>465</v>
      </c>
    </row>
    <row r="163">
      <c r="A163" s="16">
        <f>IFERROR(__xludf.DUMMYFUNCTION("""COMPUTED_VALUE"""),13295.0)</f>
        <v>13295</v>
      </c>
      <c r="B163" s="16" t="str">
        <f>IFERROR(__xludf.DUMMYFUNCTION("""COMPUTED_VALUE"""),"Ramon Laureano")</f>
        <v>Ramon Laureano</v>
      </c>
      <c r="C163" s="16">
        <f>IFERROR(__xludf.DUMMYFUNCTION("""COMPUTED_VALUE"""),1.22)</f>
        <v>1.22</v>
      </c>
      <c r="D163" s="16" t="str">
        <f>IFERROR(__xludf.DUMMYFUNCTION("""COMPUTED_VALUE"""),"R")</f>
        <v>R</v>
      </c>
      <c r="E163" s="16"/>
      <c r="F163" s="16"/>
      <c r="G163" s="16">
        <f>IFERROR(__xludf.DUMMYFUNCTION("""COMPUTED_VALUE"""),286.0)</f>
        <v>286</v>
      </c>
      <c r="H163" s="16">
        <f>IFERROR(__xludf.DUMMYFUNCTION("""COMPUTED_VALUE"""),15.0)</f>
        <v>15</v>
      </c>
      <c r="I163" s="16" t="str">
        <f>IFERROR(__xludf.DUMMYFUNCTION("""COMPUTED_VALUE"""),"1p50")</f>
        <v>1p50</v>
      </c>
      <c r="J163" s="16">
        <f>IFERROR(__xludf.DUMMYFUNCTION("""COMPUTED_VALUE"""),45.0)</f>
        <v>45</v>
      </c>
      <c r="K163" s="16">
        <f>IFERROR(__xludf.DUMMYFUNCTION("""COMPUTED_VALUE"""),39.0)</f>
        <v>39</v>
      </c>
      <c r="L163" s="16">
        <f>IFERROR(__xludf.DUMMYFUNCTION("""COMPUTED_VALUE"""),-2.0)</f>
        <v>-2</v>
      </c>
      <c r="M163" s="16">
        <f>IFERROR(__xludf.DUMMYFUNCTION("""COMPUTED_VALUE"""),-2.0)</f>
        <v>-2</v>
      </c>
      <c r="N163" s="16">
        <f>IFERROR(__xludf.DUMMYFUNCTION("""COMPUTED_VALUE"""),-2.0)</f>
        <v>-2</v>
      </c>
      <c r="O163" s="16">
        <f>IFERROR(__xludf.DUMMYFUNCTION("""COMPUTED_VALUE"""),-2.0)</f>
        <v>-2</v>
      </c>
      <c r="P163" s="16">
        <f>IFERROR(__xludf.DUMMYFUNCTION("""COMPUTED_VALUE"""),6.0)</f>
        <v>6</v>
      </c>
      <c r="Q163" s="16">
        <f>IFERROR(__xludf.DUMMYFUNCTION("""COMPUTED_VALUE"""),0.0)</f>
        <v>0</v>
      </c>
      <c r="R163" s="16">
        <f>IFERROR(__xludf.DUMMYFUNCTION("""COMPUTED_VALUE"""),-1.0)</f>
        <v>-1</v>
      </c>
      <c r="S163" s="16">
        <f>IFERROR(__xludf.DUMMYFUNCTION("""COMPUTED_VALUE"""),-2.0)</f>
        <v>-2</v>
      </c>
      <c r="T163" s="16">
        <f>IFERROR(__xludf.DUMMYFUNCTION("""COMPUTED_VALUE"""),-1.0)</f>
        <v>-1</v>
      </c>
      <c r="U163" s="16">
        <f>IFERROR(__xludf.DUMMYFUNCTION("""COMPUTED_VALUE"""),-2.0)</f>
        <v>-2</v>
      </c>
      <c r="V163" s="16">
        <f>IFERROR(__xludf.DUMMYFUNCTION("""COMPUTED_VALUE"""),26.9)</f>
        <v>26.9</v>
      </c>
      <c r="W163" s="16">
        <f>IFERROR(__xludf.DUMMYFUNCTION("""COMPUTED_VALUE"""),21.8)</f>
        <v>21.8</v>
      </c>
      <c r="X163" s="16">
        <f>IFERROR(__xludf.DUMMYFUNCTION("""COMPUTED_VALUE"""),1.0)</f>
        <v>1</v>
      </c>
      <c r="Y163" s="16">
        <f>IFERROR(__xludf.DUMMYFUNCTION("""COMPUTED_VALUE"""),0.0)</f>
        <v>0</v>
      </c>
      <c r="Z163" s="16">
        <f>IFERROR(__xludf.DUMMYFUNCTION("""COMPUTED_VALUE"""),2.0)</f>
        <v>2</v>
      </c>
      <c r="AA163" s="16">
        <f>IFERROR(__xludf.DUMMYFUNCTION("""COMPUTED_VALUE"""),0.0)</f>
        <v>0</v>
      </c>
      <c r="AB163" s="16">
        <f>IFERROR(__xludf.DUMMYFUNCTION("""COMPUTED_VALUE"""),37.9)</f>
        <v>37.9</v>
      </c>
      <c r="AC163" s="16">
        <f>IFERROR(__xludf.DUMMYFUNCTION("""COMPUTED_VALUE"""),26.8)</f>
        <v>26.8</v>
      </c>
      <c r="AD163" s="16">
        <f>IFERROR(__xludf.DUMMYFUNCTION("""COMPUTED_VALUE"""),1.0)</f>
        <v>1</v>
      </c>
      <c r="AE163" s="16">
        <f>IFERROR(__xludf.DUMMYFUNCTION("""COMPUTED_VALUE"""),-1.0)</f>
        <v>-1</v>
      </c>
      <c r="AF163" s="16">
        <f>IFERROR(__xludf.DUMMYFUNCTION("""COMPUTED_VALUE"""),5.0)</f>
        <v>5</v>
      </c>
      <c r="AG163" s="16">
        <f>IFERROR(__xludf.DUMMYFUNCTION("""COMPUTED_VALUE"""),-5.0)</f>
        <v>-5</v>
      </c>
      <c r="AH163" s="16">
        <f>IFERROR(__xludf.DUMMYFUNCTION("""COMPUTED_VALUE"""),46.6)</f>
        <v>46.6</v>
      </c>
      <c r="AI163" s="16">
        <f>IFERROR(__xludf.DUMMYFUNCTION("""COMPUTED_VALUE"""),33.7)</f>
        <v>33.7</v>
      </c>
      <c r="AJ163" s="16">
        <f>IFERROR(__xludf.DUMMYFUNCTION("""COMPUTED_VALUE"""),1.0)</f>
        <v>1</v>
      </c>
      <c r="AK163" s="16">
        <f>IFERROR(__xludf.DUMMYFUNCTION("""COMPUTED_VALUE"""),0.0)</f>
        <v>0</v>
      </c>
      <c r="AL163" s="16">
        <f>IFERROR(__xludf.DUMMYFUNCTION("""COMPUTED_VALUE"""),5.0)</f>
        <v>5</v>
      </c>
      <c r="AM163" s="16">
        <f>IFERROR(__xludf.DUMMYFUNCTION("""COMPUTED_VALUE"""),0.0)</f>
        <v>0</v>
      </c>
      <c r="AN163" s="16">
        <f>IFERROR(__xludf.DUMMYFUNCTION("""COMPUTED_VALUE"""),4.2)</f>
        <v>4.2</v>
      </c>
      <c r="AO163" s="16">
        <f>IFERROR(__xludf.DUMMYFUNCTION("""COMPUTED_VALUE"""),1.8)</f>
        <v>1.8</v>
      </c>
      <c r="AP163" s="16">
        <f>IFERROR(__xludf.DUMMYFUNCTION("""COMPUTED_VALUE"""),2.0)</f>
        <v>2</v>
      </c>
      <c r="AQ163" s="16">
        <f>IFERROR(__xludf.DUMMYFUNCTION("""COMPUTED_VALUE"""),-1.0)</f>
        <v>-1</v>
      </c>
      <c r="AR163" s="16">
        <f>IFERROR(__xludf.DUMMYFUNCTION("""COMPUTED_VALUE"""),4.0)</f>
        <v>4</v>
      </c>
      <c r="AS163" s="16">
        <f>IFERROR(__xludf.DUMMYFUNCTION("""COMPUTED_VALUE"""),-2.0)</f>
        <v>-2</v>
      </c>
      <c r="AT163" s="16">
        <f>IFERROR(__xludf.DUMMYFUNCTION("""COMPUTED_VALUE"""),7.0)</f>
        <v>7</v>
      </c>
      <c r="AU163" s="16">
        <f>IFERROR(__xludf.DUMMYFUNCTION("""COMPUTED_VALUE"""),3.0)</f>
        <v>3</v>
      </c>
      <c r="AV163" s="16">
        <f>IFERROR(__xludf.DUMMYFUNCTION("""COMPUTED_VALUE"""),7.0)</f>
        <v>7</v>
      </c>
      <c r="AW163" s="16">
        <f>IFERROR(__xludf.DUMMYFUNCTION("""COMPUTED_VALUE"""),3.0)</f>
        <v>3</v>
      </c>
      <c r="AX163" s="16">
        <f>IFERROR(__xludf.DUMMYFUNCTION("""COMPUTED_VALUE"""),3.0)</f>
        <v>3</v>
      </c>
      <c r="AY163" s="16">
        <f>IFERROR(__xludf.DUMMYFUNCTION("""COMPUTED_VALUE"""),0.0)</f>
        <v>0</v>
      </c>
      <c r="AZ163" s="16">
        <f>IFERROR(__xludf.DUMMYFUNCTION("""COMPUTED_VALUE"""),9.0)</f>
        <v>9</v>
      </c>
      <c r="BA163" s="16">
        <f>IFERROR(__xludf.DUMMYFUNCTION("""COMPUTED_VALUE"""),0.0)</f>
        <v>0</v>
      </c>
      <c r="BB163" s="16">
        <f>IFERROR(__xludf.DUMMYFUNCTION("""COMPUTED_VALUE"""),5.0)</f>
        <v>5</v>
      </c>
      <c r="BC163" s="16">
        <f>IFERROR(__xludf.DUMMYFUNCTION("""COMPUTED_VALUE"""),5.0)</f>
        <v>5</v>
      </c>
      <c r="BD163" s="16">
        <f>IFERROR(__xludf.DUMMYFUNCTION("""COMPUTED_VALUE"""),1.0)</f>
        <v>1</v>
      </c>
      <c r="BE163" s="16">
        <f>IFERROR(__xludf.DUMMYFUNCTION("""COMPUTED_VALUE"""),1.0)</f>
        <v>1</v>
      </c>
      <c r="BF163" s="16">
        <f>IFERROR(__xludf.DUMMYFUNCTION("""COMPUTED_VALUE"""),1.0)</f>
        <v>1</v>
      </c>
      <c r="BG163" s="16">
        <f>IFERROR(__xludf.DUMMYFUNCTION("""COMPUTED_VALUE"""),1.0)</f>
        <v>1</v>
      </c>
      <c r="BH163" s="16">
        <f>IFERROR(__xludf.DUMMYFUNCTION("""COMPUTED_VALUE"""),-9.0)</f>
        <v>-9</v>
      </c>
      <c r="BI163" s="16">
        <f>IFERROR(__xludf.DUMMYFUNCTION("""COMPUTED_VALUE"""),-10.0)</f>
        <v>-10</v>
      </c>
      <c r="BJ163" s="16">
        <f>IFERROR(__xludf.DUMMYFUNCTION("""COMPUTED_VALUE"""),10.0)</f>
        <v>10</v>
      </c>
      <c r="BK163" s="16">
        <f>IFERROR(__xludf.DUMMYFUNCTION("""COMPUTED_VALUE"""),13.0)</f>
        <v>13</v>
      </c>
      <c r="BL163" s="16">
        <f>IFERROR(__xludf.DUMMYFUNCTION("""COMPUTED_VALUE"""),0.0)</f>
        <v>0</v>
      </c>
      <c r="BM163" s="16">
        <f>IFERROR(__xludf.DUMMYFUNCTION("""COMPUTED_VALUE"""),0.0)</f>
        <v>0</v>
      </c>
      <c r="BN163" s="16">
        <f>IFERROR(__xludf.DUMMYFUNCTION("""COMPUTED_VALUE"""),0.0)</f>
        <v>0</v>
      </c>
      <c r="BO163" s="16">
        <f>IFERROR(__xludf.DUMMYFUNCTION("""COMPUTED_VALUE"""),0.0)</f>
        <v>0</v>
      </c>
      <c r="BP163" s="16">
        <f>IFERROR(__xludf.DUMMYFUNCTION("""COMPUTED_VALUE"""),6.0)</f>
        <v>6</v>
      </c>
      <c r="BQ163" s="16">
        <f>IFERROR(__xludf.DUMMYFUNCTION("""COMPUTED_VALUE"""),-5.0)</f>
        <v>-5</v>
      </c>
      <c r="BR163" s="16">
        <f>IFERROR(__xludf.DUMMYFUNCTION("""COMPUTED_VALUE"""),1.0)</f>
        <v>1</v>
      </c>
      <c r="BS163" s="16" t="str">
        <f>IFERROR(__xludf.DUMMYFUNCTION("""COMPUTED_VALUE"""),"*2-5/- (17-12)")</f>
        <v>*2-5/- (17-12)</v>
      </c>
      <c r="BT163" s="16" t="str">
        <f>IFERROR(__xludf.DUMMYFUNCTION("""COMPUTED_VALUE"""),"B")</f>
        <v>B</v>
      </c>
      <c r="BU163" s="16">
        <f>IFERROR(__xludf.DUMMYFUNCTION("""COMPUTED_VALUE"""),13.0)</f>
        <v>13</v>
      </c>
      <c r="BV163" s="16">
        <f>IFERROR(__xludf.DUMMYFUNCTION("""COMPUTED_VALUE"""),1.0)</f>
        <v>1</v>
      </c>
      <c r="BW163" s="16">
        <f>IFERROR(__xludf.DUMMYFUNCTION("""COMPUTED_VALUE"""),1.0)</f>
        <v>1</v>
      </c>
      <c r="BX163" s="16">
        <f>IFERROR(__xludf.DUMMYFUNCTION("""COMPUTED_VALUE"""),2.0)</f>
        <v>2</v>
      </c>
      <c r="BY163" s="16">
        <f>IFERROR(__xludf.DUMMYFUNCTION("""COMPUTED_VALUE"""),3.0)</f>
        <v>3</v>
      </c>
      <c r="BZ163" s="16" t="str">
        <f>IFERROR(__xludf.DUMMYFUNCTION("""COMPUTED_VALUE"""),"D")</f>
        <v>D</v>
      </c>
      <c r="CA163" s="16" t="str">
        <f>IFERROR(__xludf.DUMMYFUNCTION("""COMPUTED_VALUE"""),"D")</f>
        <v>D</v>
      </c>
      <c r="CB163" s="16">
        <f>IFERROR(__xludf.DUMMYFUNCTION("""COMPUTED_VALUE"""),0.0)</f>
        <v>0</v>
      </c>
      <c r="CC163" s="16">
        <f>IFERROR(__xludf.DUMMYFUNCTION("""COMPUTED_VALUE"""),0.0)</f>
        <v>0</v>
      </c>
      <c r="CD163" s="16">
        <f>IFERROR(__xludf.DUMMYFUNCTION("""COMPUTED_VALUE"""),0.0)</f>
        <v>0</v>
      </c>
      <c r="CE163" s="16">
        <f>IFERROR(__xludf.DUMMYFUNCTION("""COMPUTED_VALUE"""),0.0)</f>
        <v>0</v>
      </c>
      <c r="CF163" s="16">
        <f>IFERROR(__xludf.DUMMYFUNCTION("""COMPUTED_VALUE"""),1.0)</f>
        <v>1</v>
      </c>
      <c r="CG163" s="16">
        <f>IFERROR(__xludf.DUMMYFUNCTION("""COMPUTED_VALUE"""),23.0)</f>
        <v>23</v>
      </c>
      <c r="CH163" s="16">
        <f>IFERROR(__xludf.DUMMYFUNCTION("""COMPUTED_VALUE"""),-10.0)</f>
        <v>-10</v>
      </c>
      <c r="CI163" s="179">
        <f>IFERROR(__xludf.DUMMYFUNCTION("""COMPUTED_VALUE"""),4.0)</f>
        <v>4</v>
      </c>
      <c r="CJ163" s="16"/>
      <c r="CK163" s="16"/>
      <c r="CL163" s="16"/>
      <c r="CM163" s="16"/>
      <c r="CN163" s="16"/>
      <c r="CO163" s="16">
        <f>IFERROR(__xludf.DUMMYFUNCTION("""COMPUTED_VALUE"""),302.0)</f>
        <v>302</v>
      </c>
      <c r="CP163" s="16">
        <f>IFERROR(__xludf.DUMMYFUNCTION("""COMPUTED_VALUE"""),302.0)</f>
        <v>302</v>
      </c>
      <c r="CQ163" s="16">
        <f>IFERROR(__xludf.DUMMYFUNCTION("""COMPUTED_VALUE"""),302.0)</f>
        <v>302</v>
      </c>
      <c r="CR163" s="16" t="str">
        <f>IFERROR(__xludf.DUMMYFUNCTION("""COMPUTED_VALUE"""),"rf-3(-4)e2 lf-3e2 cf-3e2")</f>
        <v>rf-3(-4)e2 lf-3e2 cf-3e2</v>
      </c>
      <c r="CS163" s="16"/>
      <c r="CT163" s="16"/>
      <c r="CU163" s="16"/>
      <c r="CV163" s="16"/>
      <c r="CW163" s="16"/>
      <c r="CX163" s="16">
        <f>IFERROR(__xludf.DUMMYFUNCTION("""COMPUTED_VALUE"""),3.0)</f>
        <v>3</v>
      </c>
      <c r="CY163" s="16">
        <f>IFERROR(__xludf.DUMMYFUNCTION("""COMPUTED_VALUE"""),3.0)</f>
        <v>3</v>
      </c>
      <c r="CZ163" s="16">
        <f>IFERROR(__xludf.DUMMYFUNCTION("""COMPUTED_VALUE"""),3.0)</f>
        <v>3</v>
      </c>
      <c r="DA163" s="16"/>
      <c r="DB163" s="16"/>
      <c r="DC163" s="16"/>
      <c r="DD163" s="16"/>
      <c r="DE163" s="16"/>
      <c r="DF163" s="16">
        <f>IFERROR(__xludf.DUMMYFUNCTION("""COMPUTED_VALUE"""),2.0)</f>
        <v>2</v>
      </c>
      <c r="DG163" s="16">
        <f>IFERROR(__xludf.DUMMYFUNCTION("""COMPUTED_VALUE"""),2.0)</f>
        <v>2</v>
      </c>
      <c r="DH163" s="16">
        <f>IFERROR(__xludf.DUMMYFUNCTION("""COMPUTED_VALUE"""),2.0)</f>
        <v>2</v>
      </c>
      <c r="DI163" s="16"/>
      <c r="DJ163" s="16"/>
      <c r="DK163" s="16"/>
      <c r="DL163" s="16"/>
      <c r="DM163" s="16"/>
      <c r="DN163" s="16">
        <f>IFERROR(__xludf.DUMMYFUNCTION("""COMPUTED_VALUE"""),0.0)</f>
        <v>0</v>
      </c>
      <c r="DO163" s="16">
        <f>IFERROR(__xludf.DUMMYFUNCTION("""COMPUTED_VALUE"""),0.0)</f>
        <v>0</v>
      </c>
      <c r="DP163" s="16">
        <f>IFERROR(__xludf.DUMMYFUNCTION("""COMPUTED_VALUE"""),0.0)</f>
        <v>0</v>
      </c>
      <c r="DQ163" s="16"/>
      <c r="DR163" s="16"/>
      <c r="DS163" s="16"/>
      <c r="DT163" s="16"/>
      <c r="DU163" s="16"/>
      <c r="DV163" s="16">
        <f>IFERROR(__xludf.DUMMYFUNCTION("""COMPUTED_VALUE"""),4.0)</f>
        <v>4</v>
      </c>
      <c r="DW163" s="16">
        <f>IFERROR(__xludf.DUMMYFUNCTION("""COMPUTED_VALUE"""),4.0)</f>
        <v>4</v>
      </c>
      <c r="DX163" s="16">
        <f>IFERROR(__xludf.DUMMYFUNCTION("""COMPUTED_VALUE"""),4.0)</f>
        <v>4</v>
      </c>
      <c r="DY163" s="16"/>
      <c r="DZ163" s="16"/>
      <c r="EA163" s="16"/>
      <c r="EB163" s="16"/>
      <c r="EC163" s="16"/>
      <c r="ED163" s="16">
        <f>IFERROR(__xludf.DUMMYFUNCTION("""COMPUTED_VALUE"""),4.0)</f>
        <v>4</v>
      </c>
      <c r="EE163" s="16">
        <f>IFERROR(__xludf.DUMMYFUNCTION("""COMPUTED_VALUE"""),4.0)</f>
        <v>4</v>
      </c>
      <c r="EF163" s="16">
        <f>IFERROR(__xludf.DUMMYFUNCTION("""COMPUTED_VALUE"""),4.0)</f>
        <v>4</v>
      </c>
      <c r="EG163" s="179"/>
      <c r="EH163" s="179"/>
      <c r="EI163" s="179"/>
      <c r="EJ163" s="179"/>
      <c r="EK163" s="179"/>
      <c r="EL163" s="179">
        <f>IFERROR(__xludf.DUMMYFUNCTION("""COMPUTED_VALUE"""),8.0)</f>
        <v>8</v>
      </c>
      <c r="EM163" s="179">
        <f>IFERROR(__xludf.DUMMYFUNCTION("""COMPUTED_VALUE"""),8.0)</f>
        <v>8</v>
      </c>
      <c r="EN163" s="179">
        <f>IFERROR(__xludf.DUMMYFUNCTION("""COMPUTED_VALUE"""),8.0)</f>
        <v>8</v>
      </c>
      <c r="EO163" s="16"/>
      <c r="EP163" s="16"/>
      <c r="EQ163" s="16">
        <f>IFERROR(__xludf.DUMMYFUNCTION("""COMPUTED_VALUE"""),4.0)</f>
        <v>4</v>
      </c>
      <c r="ER163" s="16">
        <f>IFERROR(__xludf.DUMMYFUNCTION("""COMPUTED_VALUE"""),0.0)</f>
        <v>0</v>
      </c>
      <c r="ES163" s="16"/>
      <c r="ET163" s="16"/>
      <c r="EU163" s="16"/>
      <c r="EV163" s="16"/>
      <c r="EW163" s="16"/>
      <c r="EX163" s="180"/>
      <c r="EY163" s="180"/>
      <c r="EZ163" s="180"/>
      <c r="FA163" s="180"/>
      <c r="FB163" s="180"/>
      <c r="FC163" s="180">
        <f>IFERROR(__xludf.DUMMYFUNCTION("""COMPUTED_VALUE"""),0.3)</f>
        <v>0.3</v>
      </c>
      <c r="FD163" s="180">
        <f>IFERROR(__xludf.DUMMYFUNCTION("""COMPUTED_VALUE"""),0.3)</f>
        <v>0.3</v>
      </c>
      <c r="FE163" s="180">
        <f>IFERROR(__xludf.DUMMYFUNCTION("""COMPUTED_VALUE"""),0.3)</f>
        <v>0.3</v>
      </c>
      <c r="FF163" s="180"/>
      <c r="FG163" s="180"/>
      <c r="FH163" s="180"/>
      <c r="FI163" s="180"/>
      <c r="FJ163" s="180"/>
      <c r="FK163" s="180">
        <f>IFERROR(__xludf.DUMMYFUNCTION("""COMPUTED_VALUE"""),0.037)</f>
        <v>0.037</v>
      </c>
      <c r="FL163" s="180">
        <f>IFERROR(__xludf.DUMMYFUNCTION("""COMPUTED_VALUE"""),0.023148148148148147)</f>
        <v>0.02314814815</v>
      </c>
      <c r="FM163" s="180">
        <f>IFERROR(__xludf.DUMMYFUNCTION("""COMPUTED_VALUE"""),0.037)</f>
        <v>0.037</v>
      </c>
      <c r="FN163" s="16"/>
      <c r="FO163" s="16"/>
      <c r="FP163" s="16"/>
      <c r="FQ163" s="16"/>
      <c r="FR163" s="16"/>
      <c r="FS163" s="16">
        <f>IFERROR(__xludf.DUMMYFUNCTION("""COMPUTED_VALUE"""),0.6740999999999999)</f>
        <v>0.6741</v>
      </c>
      <c r="FT163" s="16">
        <f>IFERROR(__xludf.DUMMYFUNCTION("""COMPUTED_VALUE"""),0.6837962962962962)</f>
        <v>0.6837962963</v>
      </c>
      <c r="FU163" s="16">
        <f>IFERROR(__xludf.DUMMYFUNCTION("""COMPUTED_VALUE"""),0.6740999999999999)</f>
        <v>0.6741</v>
      </c>
      <c r="FV163" s="16"/>
      <c r="FW163" s="16"/>
      <c r="FX163" s="16"/>
      <c r="FY163" s="16"/>
      <c r="FZ163" s="16"/>
      <c r="GA163" s="16">
        <f>IFERROR(__xludf.DUMMYFUNCTION("""COMPUTED_VALUE"""),-4.0)</f>
        <v>-4</v>
      </c>
      <c r="GB163" s="16">
        <f>IFERROR(__xludf.DUMMYFUNCTION("""COMPUTED_VALUE"""),-4.0)</f>
        <v>-4</v>
      </c>
      <c r="GC163" s="16">
        <f>IFERROR(__xludf.DUMMYFUNCTION("""COMPUTED_VALUE"""),-4.0)</f>
        <v>-4</v>
      </c>
      <c r="GD163" s="16" t="s">
        <v>215</v>
      </c>
    </row>
    <row r="164">
      <c r="A164" s="16">
        <f>IFERROR(__xludf.DUMMYFUNCTION("""COMPUTED_VALUE"""),13314.0)</f>
        <v>13314</v>
      </c>
      <c r="B164" s="16" t="str">
        <f>IFERROR(__xludf.DUMMYFUNCTION("""COMPUTED_VALUE"""),"Rob Refsnyder")</f>
        <v>Rob Refsnyder</v>
      </c>
      <c r="C164" s="16">
        <f>IFERROR(__xludf.DUMMYFUNCTION("""COMPUTED_VALUE"""),0.76)</f>
        <v>0.76</v>
      </c>
      <c r="D164" s="16" t="str">
        <f>IFERROR(__xludf.DUMMYFUNCTION("""COMPUTED_VALUE"""),"R")</f>
        <v>R</v>
      </c>
      <c r="E164" s="16"/>
      <c r="F164" s="16"/>
      <c r="G164" s="16">
        <f>IFERROR(__xludf.DUMMYFUNCTION("""COMPUTED_VALUE"""),272.0)</f>
        <v>272</v>
      </c>
      <c r="H164" s="16">
        <f>IFERROR(__xludf.DUMMYFUNCTION("""COMPUTED_VALUE"""),28.0)</f>
        <v>28</v>
      </c>
      <c r="I164" s="16" t="str">
        <f>IFERROR(__xludf.DUMMYFUNCTION("""COMPUTED_VALUE"""),"3p50")</f>
        <v>3p50</v>
      </c>
      <c r="J164" s="16">
        <f>IFERROR(__xludf.DUMMYFUNCTION("""COMPUTED_VALUE"""),31.0)</f>
        <v>31</v>
      </c>
      <c r="K164" s="16">
        <f>IFERROR(__xludf.DUMMYFUNCTION("""COMPUTED_VALUE"""),29.0)</f>
        <v>29</v>
      </c>
      <c r="L164" s="16">
        <f>IFERROR(__xludf.DUMMYFUNCTION("""COMPUTED_VALUE"""),0.0)</f>
        <v>0</v>
      </c>
      <c r="M164" s="16">
        <f>IFERROR(__xludf.DUMMYFUNCTION("""COMPUTED_VALUE"""),0.0)</f>
        <v>0</v>
      </c>
      <c r="N164" s="16">
        <f>IFERROR(__xludf.DUMMYFUNCTION("""COMPUTED_VALUE"""),0.0)</f>
        <v>0</v>
      </c>
      <c r="O164" s="16">
        <f>IFERROR(__xludf.DUMMYFUNCTION("""COMPUTED_VALUE"""),0.0)</f>
        <v>0</v>
      </c>
      <c r="P164" s="16">
        <f>IFERROR(__xludf.DUMMYFUNCTION("""COMPUTED_VALUE"""),12.0)</f>
        <v>12</v>
      </c>
      <c r="Q164" s="16">
        <f>IFERROR(__xludf.DUMMYFUNCTION("""COMPUTED_VALUE"""),8.0)</f>
        <v>8</v>
      </c>
      <c r="R164" s="16">
        <f>IFERROR(__xludf.DUMMYFUNCTION("""COMPUTED_VALUE"""),1.0)</f>
        <v>1</v>
      </c>
      <c r="S164" s="16">
        <f>IFERROR(__xludf.DUMMYFUNCTION("""COMPUTED_VALUE"""),0.0)</f>
        <v>0</v>
      </c>
      <c r="T164" s="16">
        <f>IFERROR(__xludf.DUMMYFUNCTION("""COMPUTED_VALUE"""),1.0)</f>
        <v>1</v>
      </c>
      <c r="U164" s="16">
        <f>IFERROR(__xludf.DUMMYFUNCTION("""COMPUTED_VALUE"""),0.0)</f>
        <v>0</v>
      </c>
      <c r="V164" s="16">
        <f>IFERROR(__xludf.DUMMYFUNCTION("""COMPUTED_VALUE"""),29.3)</f>
        <v>29.3</v>
      </c>
      <c r="W164" s="16">
        <f>IFERROR(__xludf.DUMMYFUNCTION("""COMPUTED_VALUE"""),22.5)</f>
        <v>22.5</v>
      </c>
      <c r="X164" s="16">
        <f>IFERROR(__xludf.DUMMYFUNCTION("""COMPUTED_VALUE"""),1.0)</f>
        <v>1</v>
      </c>
      <c r="Y164" s="16">
        <f>IFERROR(__xludf.DUMMYFUNCTION("""COMPUTED_VALUE"""),1.0)</f>
        <v>1</v>
      </c>
      <c r="Z164" s="16">
        <f>IFERROR(__xludf.DUMMYFUNCTION("""COMPUTED_VALUE"""),2.0)</f>
        <v>2</v>
      </c>
      <c r="AA164" s="16">
        <f>IFERROR(__xludf.DUMMYFUNCTION("""COMPUTED_VALUE"""),2.0)</f>
        <v>2</v>
      </c>
      <c r="AB164" s="16">
        <f>IFERROR(__xludf.DUMMYFUNCTION("""COMPUTED_VALUE"""),45.3)</f>
        <v>45.3</v>
      </c>
      <c r="AC164" s="16">
        <f>IFERROR(__xludf.DUMMYFUNCTION("""COMPUTED_VALUE"""),34.5)</f>
        <v>34.5</v>
      </c>
      <c r="AD164" s="16">
        <f>IFERROR(__xludf.DUMMYFUNCTION("""COMPUTED_VALUE"""),2.0)</f>
        <v>2</v>
      </c>
      <c r="AE164" s="16">
        <f>IFERROR(__xludf.DUMMYFUNCTION("""COMPUTED_VALUE"""),0.0)</f>
        <v>0</v>
      </c>
      <c r="AF164" s="16">
        <f>IFERROR(__xludf.DUMMYFUNCTION("""COMPUTED_VALUE"""),10.0)</f>
        <v>10</v>
      </c>
      <c r="AG164" s="16">
        <f>IFERROR(__xludf.DUMMYFUNCTION("""COMPUTED_VALUE"""),0.0)</f>
        <v>0</v>
      </c>
      <c r="AH164" s="16">
        <f>IFERROR(__xludf.DUMMYFUNCTION("""COMPUTED_VALUE"""),52.1)</f>
        <v>52.1</v>
      </c>
      <c r="AI164" s="16">
        <f>IFERROR(__xludf.DUMMYFUNCTION("""COMPUTED_VALUE"""),31.5)</f>
        <v>31.5</v>
      </c>
      <c r="AJ164" s="16">
        <f>IFERROR(__xludf.DUMMYFUNCTION("""COMPUTED_VALUE"""),2.0)</f>
        <v>2</v>
      </c>
      <c r="AK164" s="16">
        <f>IFERROR(__xludf.DUMMYFUNCTION("""COMPUTED_VALUE"""),0.0)</f>
        <v>0</v>
      </c>
      <c r="AL164" s="16">
        <f>IFERROR(__xludf.DUMMYFUNCTION("""COMPUTED_VALUE"""),10.0)</f>
        <v>10</v>
      </c>
      <c r="AM164" s="16">
        <f>IFERROR(__xludf.DUMMYFUNCTION("""COMPUTED_VALUE"""),0.0)</f>
        <v>0</v>
      </c>
      <c r="AN164" s="16">
        <f>IFERROR(__xludf.DUMMYFUNCTION("""COMPUTED_VALUE"""),5.0)</f>
        <v>5</v>
      </c>
      <c r="AO164" s="16">
        <f>IFERROR(__xludf.DUMMYFUNCTION("""COMPUTED_VALUE"""),0.9)</f>
        <v>0.9</v>
      </c>
      <c r="AP164" s="16">
        <f>IFERROR(__xludf.DUMMYFUNCTION("""COMPUTED_VALUE"""),3.0)</f>
        <v>3</v>
      </c>
      <c r="AQ164" s="16">
        <f>IFERROR(__xludf.DUMMYFUNCTION("""COMPUTED_VALUE"""),-2.0)</f>
        <v>-2</v>
      </c>
      <c r="AR164" s="16">
        <f>IFERROR(__xludf.DUMMYFUNCTION("""COMPUTED_VALUE"""),6.0)</f>
        <v>6</v>
      </c>
      <c r="AS164" s="16">
        <f>IFERROR(__xludf.DUMMYFUNCTION("""COMPUTED_VALUE"""),-4.0)</f>
        <v>-4</v>
      </c>
      <c r="AT164" s="16">
        <f>IFERROR(__xludf.DUMMYFUNCTION("""COMPUTED_VALUE"""),8.0)</f>
        <v>8</v>
      </c>
      <c r="AU164" s="16">
        <f>IFERROR(__xludf.DUMMYFUNCTION("""COMPUTED_VALUE"""),0.0)</f>
        <v>0</v>
      </c>
      <c r="AV164" s="16">
        <f>IFERROR(__xludf.DUMMYFUNCTION("""COMPUTED_VALUE"""),8.0)</f>
        <v>8</v>
      </c>
      <c r="AW164" s="16">
        <f>IFERROR(__xludf.DUMMYFUNCTION("""COMPUTED_VALUE"""),0.0)</f>
        <v>0</v>
      </c>
      <c r="AX164" s="16">
        <f>IFERROR(__xludf.DUMMYFUNCTION("""COMPUTED_VALUE"""),3.0)</f>
        <v>3</v>
      </c>
      <c r="AY164" s="16">
        <f>IFERROR(__xludf.DUMMYFUNCTION("""COMPUTED_VALUE"""),-2.0)</f>
        <v>-2</v>
      </c>
      <c r="AZ164" s="16">
        <f>IFERROR(__xludf.DUMMYFUNCTION("""COMPUTED_VALUE"""),9.0)</f>
        <v>9</v>
      </c>
      <c r="BA164" s="16">
        <f>IFERROR(__xludf.DUMMYFUNCTION("""COMPUTED_VALUE"""),-6.0)</f>
        <v>-6</v>
      </c>
      <c r="BB164" s="16">
        <f>IFERROR(__xludf.DUMMYFUNCTION("""COMPUTED_VALUE"""),5.0)</f>
        <v>5</v>
      </c>
      <c r="BC164" s="16">
        <f>IFERROR(__xludf.DUMMYFUNCTION("""COMPUTED_VALUE"""),5.0)</f>
        <v>5</v>
      </c>
      <c r="BD164" s="16">
        <f>IFERROR(__xludf.DUMMYFUNCTION("""COMPUTED_VALUE"""),1.0)</f>
        <v>1</v>
      </c>
      <c r="BE164" s="16">
        <f>IFERROR(__xludf.DUMMYFUNCTION("""COMPUTED_VALUE"""),1.0)</f>
        <v>1</v>
      </c>
      <c r="BF164" s="16">
        <f>IFERROR(__xludf.DUMMYFUNCTION("""COMPUTED_VALUE"""),1.0)</f>
        <v>1</v>
      </c>
      <c r="BG164" s="16">
        <f>IFERROR(__xludf.DUMMYFUNCTION("""COMPUTED_VALUE"""),1.0)</f>
        <v>1</v>
      </c>
      <c r="BH164" s="16">
        <f>IFERROR(__xludf.DUMMYFUNCTION("""COMPUTED_VALUE"""),-8.0)</f>
        <v>-8</v>
      </c>
      <c r="BI164" s="16">
        <f>IFERROR(__xludf.DUMMYFUNCTION("""COMPUTED_VALUE"""),-8.0)</f>
        <v>-8</v>
      </c>
      <c r="BJ164" s="16">
        <f>IFERROR(__xludf.DUMMYFUNCTION("""COMPUTED_VALUE"""),16.0)</f>
        <v>16</v>
      </c>
      <c r="BK164" s="16">
        <f>IFERROR(__xludf.DUMMYFUNCTION("""COMPUTED_VALUE"""),15.0)</f>
        <v>15</v>
      </c>
      <c r="BL164" s="16">
        <f>IFERROR(__xludf.DUMMYFUNCTION("""COMPUTED_VALUE"""),-1.0)</f>
        <v>-1</v>
      </c>
      <c r="BM164" s="16">
        <f>IFERROR(__xludf.DUMMYFUNCTION("""COMPUTED_VALUE"""),-1.0)</f>
        <v>-1</v>
      </c>
      <c r="BN164" s="16">
        <f>IFERROR(__xludf.DUMMYFUNCTION("""COMPUTED_VALUE"""),-2.0)</f>
        <v>-2</v>
      </c>
      <c r="BO164" s="16">
        <f>IFERROR(__xludf.DUMMYFUNCTION("""COMPUTED_VALUE"""),-2.0)</f>
        <v>-2</v>
      </c>
      <c r="BP164" s="16">
        <f>IFERROR(__xludf.DUMMYFUNCTION("""COMPUTED_VALUE"""),12.0)</f>
        <v>12</v>
      </c>
      <c r="BQ164" s="16">
        <f>IFERROR(__xludf.DUMMYFUNCTION("""COMPUTED_VALUE"""),-3.0)</f>
        <v>-3</v>
      </c>
      <c r="BR164" s="16">
        <f>IFERROR(__xludf.DUMMYFUNCTION("""COMPUTED_VALUE"""),9.0)</f>
        <v>9</v>
      </c>
      <c r="BS164" s="16" t="str">
        <f>IFERROR(__xludf.DUMMYFUNCTION("""COMPUTED_VALUE"""),"4,6/11 (13-6)")</f>
        <v>4,6/11 (13-6)</v>
      </c>
      <c r="BT164" s="16" t="str">
        <f>IFERROR(__xludf.DUMMYFUNCTION("""COMPUTED_VALUE"""),"D")</f>
        <v>D</v>
      </c>
      <c r="BU164" s="16">
        <f>IFERROR(__xludf.DUMMYFUNCTION("""COMPUTED_VALUE"""),13.0)</f>
        <v>13</v>
      </c>
      <c r="BV164" s="16">
        <f>IFERROR(__xludf.DUMMYFUNCTION("""COMPUTED_VALUE"""),0.0)</f>
        <v>0</v>
      </c>
      <c r="BW164" s="16">
        <f>IFERROR(__xludf.DUMMYFUNCTION("""COMPUTED_VALUE"""),1.0)</f>
        <v>1</v>
      </c>
      <c r="BX164" s="16">
        <f>IFERROR(__xludf.DUMMYFUNCTION("""COMPUTED_VALUE"""),0.0)</f>
        <v>0</v>
      </c>
      <c r="BY164" s="16">
        <f>IFERROR(__xludf.DUMMYFUNCTION("""COMPUTED_VALUE"""),3.0)</f>
        <v>3</v>
      </c>
      <c r="BZ164" s="16" t="str">
        <f>IFERROR(__xludf.DUMMYFUNCTION("""COMPUTED_VALUE"""),"D")</f>
        <v>D</v>
      </c>
      <c r="CA164" s="16" t="str">
        <f>IFERROR(__xludf.DUMMYFUNCTION("""COMPUTED_VALUE"""),"D")</f>
        <v>D</v>
      </c>
      <c r="CB164" s="16">
        <f>IFERROR(__xludf.DUMMYFUNCTION("""COMPUTED_VALUE"""),0.0)</f>
        <v>0</v>
      </c>
      <c r="CC164" s="16">
        <f>IFERROR(__xludf.DUMMYFUNCTION("""COMPUTED_VALUE"""),0.0)</f>
        <v>0</v>
      </c>
      <c r="CD164" s="16">
        <f>IFERROR(__xludf.DUMMYFUNCTION("""COMPUTED_VALUE"""),0.0)</f>
        <v>0</v>
      </c>
      <c r="CE164" s="16">
        <f>IFERROR(__xludf.DUMMYFUNCTION("""COMPUTED_VALUE"""),0.0)</f>
        <v>0</v>
      </c>
      <c r="CF164" s="16">
        <f>IFERROR(__xludf.DUMMYFUNCTION("""COMPUTED_VALUE"""),3.0)</f>
        <v>3</v>
      </c>
      <c r="CG164" s="16">
        <f>IFERROR(__xludf.DUMMYFUNCTION("""COMPUTED_VALUE"""),37.0)</f>
        <v>37</v>
      </c>
      <c r="CH164" s="16">
        <f>IFERROR(__xludf.DUMMYFUNCTION("""COMPUTED_VALUE"""),-9.0)</f>
        <v>-9</v>
      </c>
      <c r="CI164" s="179">
        <f>IFERROR(__xludf.DUMMYFUNCTION("""COMPUTED_VALUE"""),4.0)</f>
        <v>4</v>
      </c>
      <c r="CJ164" s="16"/>
      <c r="CK164" s="16"/>
      <c r="CL164" s="16"/>
      <c r="CM164" s="16"/>
      <c r="CN164" s="16"/>
      <c r="CO164" s="16">
        <f>IFERROR(__xludf.DUMMYFUNCTION("""COMPUTED_VALUE"""),412.0)</f>
        <v>412</v>
      </c>
      <c r="CP164" s="16"/>
      <c r="CQ164" s="16">
        <f>IFERROR(__xludf.DUMMYFUNCTION("""COMPUTED_VALUE"""),412.0)</f>
        <v>412</v>
      </c>
      <c r="CR164" s="16" t="str">
        <f>IFERROR(__xludf.DUMMYFUNCTION("""COMPUTED_VALUE"""),"lf-4(0)e12 rf-4e12")</f>
        <v>lf-4(0)e12 rf-4e12</v>
      </c>
      <c r="CS164" s="16"/>
      <c r="CT164" s="16"/>
      <c r="CU164" s="16"/>
      <c r="CV164" s="16"/>
      <c r="CW164" s="16"/>
      <c r="CX164" s="16">
        <f>IFERROR(__xludf.DUMMYFUNCTION("""COMPUTED_VALUE"""),4.0)</f>
        <v>4</v>
      </c>
      <c r="CY164" s="16"/>
      <c r="CZ164" s="16">
        <f>IFERROR(__xludf.DUMMYFUNCTION("""COMPUTED_VALUE"""),4.0)</f>
        <v>4</v>
      </c>
      <c r="DA164" s="16"/>
      <c r="DB164" s="16"/>
      <c r="DC164" s="16"/>
      <c r="DD164" s="16"/>
      <c r="DE164" s="16"/>
      <c r="DF164" s="16">
        <f>IFERROR(__xludf.DUMMYFUNCTION("""COMPUTED_VALUE"""),12.0)</f>
        <v>12</v>
      </c>
      <c r="DG164" s="16"/>
      <c r="DH164" s="16">
        <f>IFERROR(__xludf.DUMMYFUNCTION("""COMPUTED_VALUE"""),12.0)</f>
        <v>12</v>
      </c>
      <c r="DI164" s="16"/>
      <c r="DJ164" s="16"/>
      <c r="DK164" s="16"/>
      <c r="DL164" s="16"/>
      <c r="DM164" s="16"/>
      <c r="DN164" s="16">
        <f>IFERROR(__xludf.DUMMYFUNCTION("""COMPUTED_VALUE"""),-1.0)</f>
        <v>-1</v>
      </c>
      <c r="DO164" s="16"/>
      <c r="DP164" s="16">
        <f>IFERROR(__xludf.DUMMYFUNCTION("""COMPUTED_VALUE"""),-1.0)</f>
        <v>-1</v>
      </c>
      <c r="DQ164" s="16"/>
      <c r="DR164" s="16"/>
      <c r="DS164" s="16"/>
      <c r="DT164" s="16"/>
      <c r="DU164" s="16"/>
      <c r="DV164" s="16">
        <f>IFERROR(__xludf.DUMMYFUNCTION("""COMPUTED_VALUE"""),-2.0)</f>
        <v>-2</v>
      </c>
      <c r="DW164" s="16"/>
      <c r="DX164" s="16">
        <f>IFERROR(__xludf.DUMMYFUNCTION("""COMPUTED_VALUE"""),-2.0)</f>
        <v>-2</v>
      </c>
      <c r="DY164" s="16"/>
      <c r="DZ164" s="16"/>
      <c r="EA164" s="16"/>
      <c r="EB164" s="16"/>
      <c r="EC164" s="16"/>
      <c r="ED164" s="16">
        <f>IFERROR(__xludf.DUMMYFUNCTION("""COMPUTED_VALUE"""),-3.0)</f>
        <v>-3</v>
      </c>
      <c r="EE164" s="16"/>
      <c r="EF164" s="16">
        <f>IFERROR(__xludf.DUMMYFUNCTION("""COMPUTED_VALUE"""),-3.0)</f>
        <v>-3</v>
      </c>
      <c r="EG164" s="179"/>
      <c r="EH164" s="179"/>
      <c r="EI164" s="179"/>
      <c r="EJ164" s="179"/>
      <c r="EK164" s="179"/>
      <c r="EL164" s="179">
        <f>IFERROR(__xludf.DUMMYFUNCTION("""COMPUTED_VALUE"""),1.0)</f>
        <v>1</v>
      </c>
      <c r="EM164" s="179"/>
      <c r="EN164" s="179">
        <f>IFERROR(__xludf.DUMMYFUNCTION("""COMPUTED_VALUE"""),1.0)</f>
        <v>1</v>
      </c>
      <c r="EO164" s="16"/>
      <c r="EP164" s="16">
        <f>IFERROR(__xludf.DUMMYFUNCTION("""COMPUTED_VALUE"""),-1.0)</f>
        <v>-1</v>
      </c>
      <c r="EQ164" s="16">
        <f>IFERROR(__xludf.DUMMYFUNCTION("""COMPUTED_VALUE"""),1.0)</f>
        <v>1</v>
      </c>
      <c r="ER164" s="16">
        <f>IFERROR(__xludf.DUMMYFUNCTION("""COMPUTED_VALUE"""),0.0)</f>
        <v>0</v>
      </c>
      <c r="ES164" s="16"/>
      <c r="ET164" s="16"/>
      <c r="EU164" s="16"/>
      <c r="EV164" s="16"/>
      <c r="EW164" s="16"/>
      <c r="EX164" s="180"/>
      <c r="EY164" s="180"/>
      <c r="EZ164" s="180"/>
      <c r="FA164" s="180"/>
      <c r="FB164" s="180"/>
      <c r="FC164" s="180">
        <f>IFERROR(__xludf.DUMMYFUNCTION("""COMPUTED_VALUE"""),0.55)</f>
        <v>0.55</v>
      </c>
      <c r="FD164" s="180"/>
      <c r="FE164" s="180">
        <f>IFERROR(__xludf.DUMMYFUNCTION("""COMPUTED_VALUE"""),0.55)</f>
        <v>0.55</v>
      </c>
      <c r="FF164" s="180"/>
      <c r="FG164" s="180"/>
      <c r="FH164" s="180"/>
      <c r="FI164" s="180"/>
      <c r="FJ164" s="180"/>
      <c r="FK164" s="180">
        <f>IFERROR(__xludf.DUMMYFUNCTION("""COMPUTED_VALUE"""),0.218)</f>
        <v>0.218</v>
      </c>
      <c r="FL164" s="180"/>
      <c r="FM164" s="180">
        <f>IFERROR(__xludf.DUMMYFUNCTION("""COMPUTED_VALUE"""),0.218)</f>
        <v>0.218</v>
      </c>
      <c r="FN164" s="16"/>
      <c r="FO164" s="16"/>
      <c r="FP164" s="16"/>
      <c r="FQ164" s="16"/>
      <c r="FR164" s="16"/>
      <c r="FS164" s="16">
        <f>IFERROR(__xludf.DUMMYFUNCTION("""COMPUTED_VALUE"""),0.3519)</f>
        <v>0.3519</v>
      </c>
      <c r="FT164" s="16"/>
      <c r="FU164" s="16">
        <f>IFERROR(__xludf.DUMMYFUNCTION("""COMPUTED_VALUE"""),0.3519)</f>
        <v>0.3519</v>
      </c>
      <c r="FV164" s="16"/>
      <c r="FW164" s="16"/>
      <c r="FX164" s="16"/>
      <c r="FY164" s="16"/>
      <c r="FZ164" s="16"/>
      <c r="GA164" s="16">
        <f>IFERROR(__xludf.DUMMYFUNCTION("""COMPUTED_VALUE"""),-7.0)</f>
        <v>-7</v>
      </c>
      <c r="GB164" s="16"/>
      <c r="GC164" s="16">
        <f>IFERROR(__xludf.DUMMYFUNCTION("""COMPUTED_VALUE"""),-7.0)</f>
        <v>-7</v>
      </c>
      <c r="GD164" s="16" t="s">
        <v>1876</v>
      </c>
    </row>
    <row r="165">
      <c r="A165" s="16">
        <f>IFERROR(__xludf.DUMMYFUNCTION("""COMPUTED_VALUE"""),13335.0)</f>
        <v>13335</v>
      </c>
      <c r="B165" s="16" t="str">
        <f>IFERROR(__xludf.DUMMYFUNCTION("""COMPUTED_VALUE"""),"Ryan McMahon")</f>
        <v>Ryan McMahon</v>
      </c>
      <c r="C165" s="16">
        <f>IFERROR(__xludf.DUMMYFUNCTION("""COMPUTED_VALUE"""),1.12)</f>
        <v>1.12</v>
      </c>
      <c r="D165" s="16" t="str">
        <f>IFERROR(__xludf.DUMMYFUNCTION("""COMPUTED_VALUE"""),"L")</f>
        <v>L</v>
      </c>
      <c r="E165" s="16"/>
      <c r="F165" s="16"/>
      <c r="G165" s="16">
        <f>IFERROR(__xludf.DUMMYFUNCTION("""COMPUTED_VALUE"""),567.0)</f>
        <v>567</v>
      </c>
      <c r="H165" s="16">
        <f>IFERROR(__xludf.DUMMYFUNCTION("""COMPUTED_VALUE"""),69.0)</f>
        <v>69</v>
      </c>
      <c r="I165" s="16" t="str">
        <f>IFERROR(__xludf.DUMMYFUNCTION("""COMPUTED_VALUE"""),"1p70")</f>
        <v>1p70</v>
      </c>
      <c r="J165" s="16">
        <f>IFERROR(__xludf.DUMMYFUNCTION("""COMPUTED_VALUE"""),38.0)</f>
        <v>38</v>
      </c>
      <c r="K165" s="16">
        <f>IFERROR(__xludf.DUMMYFUNCTION("""COMPUTED_VALUE"""),37.0)</f>
        <v>37</v>
      </c>
      <c r="L165" s="16">
        <f>IFERROR(__xludf.DUMMYFUNCTION("""COMPUTED_VALUE"""),-1.0)</f>
        <v>-1</v>
      </c>
      <c r="M165" s="16">
        <f>IFERROR(__xludf.DUMMYFUNCTION("""COMPUTED_VALUE"""),-1.0)</f>
        <v>-1</v>
      </c>
      <c r="N165" s="16">
        <f>IFERROR(__xludf.DUMMYFUNCTION("""COMPUTED_VALUE"""),-1.0)</f>
        <v>-1</v>
      </c>
      <c r="O165" s="16">
        <f>IFERROR(__xludf.DUMMYFUNCTION("""COMPUTED_VALUE"""),-1.0)</f>
        <v>-1</v>
      </c>
      <c r="P165" s="16">
        <f>IFERROR(__xludf.DUMMYFUNCTION("""COMPUTED_VALUE"""),12.0)</f>
        <v>12</v>
      </c>
      <c r="Q165" s="16">
        <f>IFERROR(__xludf.DUMMYFUNCTION("""COMPUTED_VALUE"""),13.0)</f>
        <v>13</v>
      </c>
      <c r="R165" s="16">
        <f>IFERROR(__xludf.DUMMYFUNCTION("""COMPUTED_VALUE"""),1.0)</f>
        <v>1</v>
      </c>
      <c r="S165" s="16">
        <f>IFERROR(__xludf.DUMMYFUNCTION("""COMPUTED_VALUE"""),1.0)</f>
        <v>1</v>
      </c>
      <c r="T165" s="16">
        <f>IFERROR(__xludf.DUMMYFUNCTION("""COMPUTED_VALUE"""),1.0)</f>
        <v>1</v>
      </c>
      <c r="U165" s="16">
        <f>IFERROR(__xludf.DUMMYFUNCTION("""COMPUTED_VALUE"""),1.0)</f>
        <v>1</v>
      </c>
      <c r="V165" s="16">
        <f>IFERROR(__xludf.DUMMYFUNCTION("""COMPUTED_VALUE"""),21.7)</f>
        <v>21.7</v>
      </c>
      <c r="W165" s="16">
        <f>IFERROR(__xludf.DUMMYFUNCTION("""COMPUTED_VALUE"""),15.6)</f>
        <v>15.6</v>
      </c>
      <c r="X165" s="16">
        <f>IFERROR(__xludf.DUMMYFUNCTION("""COMPUTED_VALUE"""),0.0)</f>
        <v>0</v>
      </c>
      <c r="Y165" s="16">
        <f>IFERROR(__xludf.DUMMYFUNCTION("""COMPUTED_VALUE"""),-1.0)</f>
        <v>-1</v>
      </c>
      <c r="Z165" s="16">
        <f>IFERROR(__xludf.DUMMYFUNCTION("""COMPUTED_VALUE"""),0.0)</f>
        <v>0</v>
      </c>
      <c r="AA165" s="16">
        <f>IFERROR(__xludf.DUMMYFUNCTION("""COMPUTED_VALUE"""),-2.0)</f>
        <v>-2</v>
      </c>
      <c r="AB165" s="16">
        <f>IFERROR(__xludf.DUMMYFUNCTION("""COMPUTED_VALUE"""),34.7)</f>
        <v>34.7</v>
      </c>
      <c r="AC165" s="16">
        <f>IFERROR(__xludf.DUMMYFUNCTION("""COMPUTED_VALUE"""),29.6)</f>
        <v>29.6</v>
      </c>
      <c r="AD165" s="16">
        <f>IFERROR(__xludf.DUMMYFUNCTION("""COMPUTED_VALUE"""),0.0)</f>
        <v>0</v>
      </c>
      <c r="AE165" s="16">
        <f>IFERROR(__xludf.DUMMYFUNCTION("""COMPUTED_VALUE"""),0.0)</f>
        <v>0</v>
      </c>
      <c r="AF165" s="16">
        <f>IFERROR(__xludf.DUMMYFUNCTION("""COMPUTED_VALUE"""),0.0)</f>
        <v>0</v>
      </c>
      <c r="AG165" s="16">
        <f>IFERROR(__xludf.DUMMYFUNCTION("""COMPUTED_VALUE"""),0.0)</f>
        <v>0</v>
      </c>
      <c r="AH165" s="16">
        <f>IFERROR(__xludf.DUMMYFUNCTION("""COMPUTED_VALUE"""),31.6)</f>
        <v>31.6</v>
      </c>
      <c r="AI165" s="16">
        <f>IFERROR(__xludf.DUMMYFUNCTION("""COMPUTED_VALUE"""),27.5)</f>
        <v>27.5</v>
      </c>
      <c r="AJ165" s="16">
        <f>IFERROR(__xludf.DUMMYFUNCTION("""COMPUTED_VALUE"""),0.0)</f>
        <v>0</v>
      </c>
      <c r="AK165" s="16">
        <f>IFERROR(__xludf.DUMMYFUNCTION("""COMPUTED_VALUE"""),-1.0)</f>
        <v>-1</v>
      </c>
      <c r="AL165" s="16">
        <f>IFERROR(__xludf.DUMMYFUNCTION("""COMPUTED_VALUE"""),0.0)</f>
        <v>0</v>
      </c>
      <c r="AM165" s="16">
        <f>IFERROR(__xludf.DUMMYFUNCTION("""COMPUTED_VALUE"""),-5.0)</f>
        <v>-5</v>
      </c>
      <c r="AN165" s="16">
        <f>IFERROR(__xludf.DUMMYFUNCTION("""COMPUTED_VALUE"""),2.3)</f>
        <v>2.3</v>
      </c>
      <c r="AO165" s="16">
        <f>IFERROR(__xludf.DUMMYFUNCTION("""COMPUTED_VALUE"""),2.3)</f>
        <v>2.3</v>
      </c>
      <c r="AP165" s="16">
        <f>IFERROR(__xludf.DUMMYFUNCTION("""COMPUTED_VALUE"""),0.0)</f>
        <v>0</v>
      </c>
      <c r="AQ165" s="16">
        <f>IFERROR(__xludf.DUMMYFUNCTION("""COMPUTED_VALUE"""),0.0)</f>
        <v>0</v>
      </c>
      <c r="AR165" s="16">
        <f>IFERROR(__xludf.DUMMYFUNCTION("""COMPUTED_VALUE"""),0.0)</f>
        <v>0</v>
      </c>
      <c r="AS165" s="16">
        <f>IFERROR(__xludf.DUMMYFUNCTION("""COMPUTED_VALUE"""),0.0)</f>
        <v>0</v>
      </c>
      <c r="AT165" s="16">
        <f>IFERROR(__xludf.DUMMYFUNCTION("""COMPUTED_VALUE"""),4.0)</f>
        <v>4</v>
      </c>
      <c r="AU165" s="16">
        <f>IFERROR(__xludf.DUMMYFUNCTION("""COMPUTED_VALUE"""),3.0)</f>
        <v>3</v>
      </c>
      <c r="AV165" s="16">
        <f>IFERROR(__xludf.DUMMYFUNCTION("""COMPUTED_VALUE"""),4.0)</f>
        <v>4</v>
      </c>
      <c r="AW165" s="16">
        <f>IFERROR(__xludf.DUMMYFUNCTION("""COMPUTED_VALUE"""),3.0)</f>
        <v>3</v>
      </c>
      <c r="AX165" s="16">
        <f>IFERROR(__xludf.DUMMYFUNCTION("""COMPUTED_VALUE"""),2.0)</f>
        <v>2</v>
      </c>
      <c r="AY165" s="16">
        <f>IFERROR(__xludf.DUMMYFUNCTION("""COMPUTED_VALUE"""),0.0)</f>
        <v>0</v>
      </c>
      <c r="AZ165" s="16">
        <f>IFERROR(__xludf.DUMMYFUNCTION("""COMPUTED_VALUE"""),6.0)</f>
        <v>6</v>
      </c>
      <c r="BA165" s="16">
        <f>IFERROR(__xludf.DUMMYFUNCTION("""COMPUTED_VALUE"""),0.0)</f>
        <v>0</v>
      </c>
      <c r="BB165" s="16">
        <f>IFERROR(__xludf.DUMMYFUNCTION("""COMPUTED_VALUE"""),5.0)</f>
        <v>5</v>
      </c>
      <c r="BC165" s="16">
        <f>IFERROR(__xludf.DUMMYFUNCTION("""COMPUTED_VALUE"""),5.0)</f>
        <v>5</v>
      </c>
      <c r="BD165" s="16">
        <f>IFERROR(__xludf.DUMMYFUNCTION("""COMPUTED_VALUE"""),1.0)</f>
        <v>1</v>
      </c>
      <c r="BE165" s="16">
        <f>IFERROR(__xludf.DUMMYFUNCTION("""COMPUTED_VALUE"""),1.0)</f>
        <v>1</v>
      </c>
      <c r="BF165" s="16">
        <f>IFERROR(__xludf.DUMMYFUNCTION("""COMPUTED_VALUE"""),1.0)</f>
        <v>1</v>
      </c>
      <c r="BG165" s="16">
        <f>IFERROR(__xludf.DUMMYFUNCTION("""COMPUTED_VALUE"""),1.0)</f>
        <v>1</v>
      </c>
      <c r="BH165" s="16">
        <f>IFERROR(__xludf.DUMMYFUNCTION("""COMPUTED_VALUE"""),-5.0)</f>
        <v>-5</v>
      </c>
      <c r="BI165" s="16">
        <f>IFERROR(__xludf.DUMMYFUNCTION("""COMPUTED_VALUE"""),-5.0)</f>
        <v>-5</v>
      </c>
      <c r="BJ165" s="16">
        <f>IFERROR(__xludf.DUMMYFUNCTION("""COMPUTED_VALUE"""),9.0)</f>
        <v>9</v>
      </c>
      <c r="BK165" s="16">
        <f>IFERROR(__xludf.DUMMYFUNCTION("""COMPUTED_VALUE"""),11.0)</f>
        <v>11</v>
      </c>
      <c r="BL165" s="16">
        <f>IFERROR(__xludf.DUMMYFUNCTION("""COMPUTED_VALUE"""),0.0)</f>
        <v>0</v>
      </c>
      <c r="BM165" s="16">
        <f>IFERROR(__xludf.DUMMYFUNCTION("""COMPUTED_VALUE"""),0.0)</f>
        <v>0</v>
      </c>
      <c r="BN165" s="16">
        <f>IFERROR(__xludf.DUMMYFUNCTION("""COMPUTED_VALUE"""),0.0)</f>
        <v>0</v>
      </c>
      <c r="BO165" s="16">
        <f>IFERROR(__xludf.DUMMYFUNCTION("""COMPUTED_VALUE"""),0.0)</f>
        <v>0</v>
      </c>
      <c r="BP165" s="16">
        <f>IFERROR(__xludf.DUMMYFUNCTION("""COMPUTED_VALUE"""),3.0)</f>
        <v>3</v>
      </c>
      <c r="BQ165" s="16">
        <f>IFERROR(__xludf.DUMMYFUNCTION("""COMPUTED_VALUE"""),-1.0)</f>
        <v>-1</v>
      </c>
      <c r="BR165" s="16">
        <f>IFERROR(__xludf.DUMMYFUNCTION("""COMPUTED_VALUE"""),2.0)</f>
        <v>2</v>
      </c>
      <c r="BS165" s="16" t="str">
        <f>IFERROR(__xludf.DUMMYFUNCTION("""COMPUTED_VALUE"""),"4,6/8 (13-4)")</f>
        <v>4,6/8 (13-4)</v>
      </c>
      <c r="BT165" s="16" t="str">
        <f>IFERROR(__xludf.DUMMYFUNCTION("""COMPUTED_VALUE"""),"D")</f>
        <v>D</v>
      </c>
      <c r="BU165" s="16">
        <f>IFERROR(__xludf.DUMMYFUNCTION("""COMPUTED_VALUE"""),12.0)</f>
        <v>12</v>
      </c>
      <c r="BV165" s="16">
        <f>IFERROR(__xludf.DUMMYFUNCTION("""COMPUTED_VALUE"""),0.0)</f>
        <v>0</v>
      </c>
      <c r="BW165" s="16">
        <f>IFERROR(__xludf.DUMMYFUNCTION("""COMPUTED_VALUE"""),0.0)</f>
        <v>0</v>
      </c>
      <c r="BX165" s="16">
        <f>IFERROR(__xludf.DUMMYFUNCTION("""COMPUTED_VALUE"""),0.0)</f>
        <v>0</v>
      </c>
      <c r="BY165" s="16">
        <f>IFERROR(__xludf.DUMMYFUNCTION("""COMPUTED_VALUE"""),0.0)</f>
        <v>0</v>
      </c>
      <c r="BZ165" s="16" t="str">
        <f>IFERROR(__xludf.DUMMYFUNCTION("""COMPUTED_VALUE"""),"D")</f>
        <v>D</v>
      </c>
      <c r="CA165" s="16" t="str">
        <f>IFERROR(__xludf.DUMMYFUNCTION("""COMPUTED_VALUE"""),"C")</f>
        <v>C</v>
      </c>
      <c r="CB165" s="16">
        <f>IFERROR(__xludf.DUMMYFUNCTION("""COMPUTED_VALUE"""),0.0)</f>
        <v>0</v>
      </c>
      <c r="CC165" s="16">
        <f>IFERROR(__xludf.DUMMYFUNCTION("""COMPUTED_VALUE"""),0.0)</f>
        <v>0</v>
      </c>
      <c r="CD165" s="16">
        <f>IFERROR(__xludf.DUMMYFUNCTION("""COMPUTED_VALUE"""),0.0)</f>
        <v>0</v>
      </c>
      <c r="CE165" s="16">
        <f>IFERROR(__xludf.DUMMYFUNCTION("""COMPUTED_VALUE"""),0.0)</f>
        <v>0</v>
      </c>
      <c r="CF165" s="16">
        <f>IFERROR(__xludf.DUMMYFUNCTION("""COMPUTED_VALUE"""),1.0)</f>
        <v>1</v>
      </c>
      <c r="CG165" s="16">
        <f>IFERROR(__xludf.DUMMYFUNCTION("""COMPUTED_VALUE"""),7.0)</f>
        <v>7</v>
      </c>
      <c r="CH165" s="16">
        <f>IFERROR(__xludf.DUMMYFUNCTION("""COMPUTED_VALUE"""),-6.0)</f>
        <v>-6</v>
      </c>
      <c r="CI165" s="179">
        <f>IFERROR(__xludf.DUMMYFUNCTION("""COMPUTED_VALUE"""),4.0)</f>
        <v>4</v>
      </c>
      <c r="CJ165" s="16"/>
      <c r="CK165" s="16"/>
      <c r="CL165" s="16"/>
      <c r="CM165" s="16">
        <f>IFERROR(__xludf.DUMMYFUNCTION("""COMPUTED_VALUE"""),116.0)</f>
        <v>116</v>
      </c>
      <c r="CN165" s="16"/>
      <c r="CO165" s="16"/>
      <c r="CP165" s="16"/>
      <c r="CQ165" s="16"/>
      <c r="CR165" s="16" t="str">
        <f>IFERROR(__xludf.DUMMYFUNCTION("""COMPUTED_VALUE"""),"3b-1e16")</f>
        <v>3b-1e16</v>
      </c>
      <c r="CS165" s="16"/>
      <c r="CT165" s="16"/>
      <c r="CU165" s="16"/>
      <c r="CV165" s="16">
        <f>IFERROR(__xludf.DUMMYFUNCTION("""COMPUTED_VALUE"""),1.0)</f>
        <v>1</v>
      </c>
      <c r="CW165" s="16"/>
      <c r="CX165" s="16"/>
      <c r="CY165" s="16"/>
      <c r="CZ165" s="16"/>
      <c r="DA165" s="16"/>
      <c r="DB165" s="16"/>
      <c r="DC165" s="16"/>
      <c r="DD165" s="16">
        <f>IFERROR(__xludf.DUMMYFUNCTION("""COMPUTED_VALUE"""),16.0)</f>
        <v>16</v>
      </c>
      <c r="DE165" s="16"/>
      <c r="DF165" s="16"/>
      <c r="DG165" s="16"/>
      <c r="DH165" s="16"/>
      <c r="DI165" s="16"/>
      <c r="DJ165" s="16"/>
      <c r="DK165" s="16"/>
      <c r="DL165" s="16">
        <f>IFERROR(__xludf.DUMMYFUNCTION("""COMPUTED_VALUE"""),4.0)</f>
        <v>4</v>
      </c>
      <c r="DM165" s="16"/>
      <c r="DN165" s="16"/>
      <c r="DO165" s="16"/>
      <c r="DP165" s="16"/>
      <c r="DQ165" s="16"/>
      <c r="DR165" s="16"/>
      <c r="DS165" s="16"/>
      <c r="DT165" s="16">
        <f>IFERROR(__xludf.DUMMYFUNCTION("""COMPUTED_VALUE"""),0.0)</f>
        <v>0</v>
      </c>
      <c r="DU165" s="16"/>
      <c r="DV165" s="16"/>
      <c r="DW165" s="16"/>
      <c r="DX165" s="16"/>
      <c r="DY165" s="16"/>
      <c r="DZ165" s="16"/>
      <c r="EA165" s="16"/>
      <c r="EB165" s="16">
        <f>IFERROR(__xludf.DUMMYFUNCTION("""COMPUTED_VALUE"""),4.0)</f>
        <v>4</v>
      </c>
      <c r="EC165" s="16"/>
      <c r="ED165" s="16"/>
      <c r="EE165" s="16"/>
      <c r="EF165" s="16"/>
      <c r="EG165" s="179"/>
      <c r="EH165" s="179"/>
      <c r="EI165" s="179"/>
      <c r="EJ165" s="179">
        <f>IFERROR(__xludf.DUMMYFUNCTION("""COMPUTED_VALUE"""),8.0)</f>
        <v>8</v>
      </c>
      <c r="EK165" s="179"/>
      <c r="EL165" s="179"/>
      <c r="EM165" s="179"/>
      <c r="EN165" s="179"/>
      <c r="EO165" s="16"/>
      <c r="EP165" s="16">
        <f>IFERROR(__xludf.DUMMYFUNCTION("""COMPUTED_VALUE"""),-1.0)</f>
        <v>-1</v>
      </c>
      <c r="EQ165" s="16">
        <f>IFERROR(__xludf.DUMMYFUNCTION("""COMPUTED_VALUE"""),4.0)</f>
        <v>4</v>
      </c>
      <c r="ER165" s="16">
        <f>IFERROR(__xludf.DUMMYFUNCTION("""COMPUTED_VALUE"""),3.0)</f>
        <v>3</v>
      </c>
      <c r="ES165" s="16"/>
      <c r="ET165" s="16"/>
      <c r="EU165" s="16"/>
      <c r="EV165" s="16"/>
      <c r="EW165" s="16"/>
      <c r="EX165" s="180"/>
      <c r="EY165" s="180"/>
      <c r="EZ165" s="180"/>
      <c r="FA165" s="180">
        <f>IFERROR(__xludf.DUMMYFUNCTION("""COMPUTED_VALUE"""),0.0)</f>
        <v>0</v>
      </c>
      <c r="FB165" s="180"/>
      <c r="FC165" s="180"/>
      <c r="FD165" s="180"/>
      <c r="FE165" s="180"/>
      <c r="FF165" s="180"/>
      <c r="FG165" s="180"/>
      <c r="FH165" s="180"/>
      <c r="FI165" s="180">
        <f>IFERROR(__xludf.DUMMYFUNCTION("""COMPUTED_VALUE"""),0.18981481481481483)</f>
        <v>0.1898148148</v>
      </c>
      <c r="FJ165" s="180"/>
      <c r="FK165" s="180"/>
      <c r="FL165" s="180"/>
      <c r="FM165" s="180"/>
      <c r="FN165" s="16"/>
      <c r="FO165" s="16"/>
      <c r="FP165" s="16"/>
      <c r="FQ165" s="16">
        <f>IFERROR(__xludf.DUMMYFUNCTION("""COMPUTED_VALUE"""),0.8101851851851851)</f>
        <v>0.8101851852</v>
      </c>
      <c r="FR165" s="16"/>
      <c r="FS165" s="16"/>
      <c r="FT165" s="16"/>
      <c r="FU165" s="16"/>
      <c r="FV165" s="16"/>
      <c r="FW165" s="16"/>
      <c r="FX165" s="16"/>
      <c r="FY165" s="16">
        <f>IFERROR(__xludf.DUMMYFUNCTION("""COMPUTED_VALUE"""),1.0)</f>
        <v>1</v>
      </c>
      <c r="FZ165" s="16"/>
      <c r="GA165" s="16"/>
      <c r="GB165" s="16"/>
      <c r="GC165" s="16"/>
      <c r="GD165" s="16" t="s">
        <v>176</v>
      </c>
    </row>
    <row r="166">
      <c r="A166" s="16">
        <f>IFERROR(__xludf.DUMMYFUNCTION("""COMPUTED_VALUE"""),13271.0)</f>
        <v>13271</v>
      </c>
      <c r="B166" s="16" t="str">
        <f>IFERROR(__xludf.DUMMYFUNCTION("""COMPUTED_VALUE"""),"Parker Meadows")</f>
        <v>Parker Meadows</v>
      </c>
      <c r="C166" s="16">
        <f>IFERROR(__xludf.DUMMYFUNCTION("""COMPUTED_VALUE"""),2.14)</f>
        <v>2.14</v>
      </c>
      <c r="D166" s="16" t="str">
        <f>IFERROR(__xludf.DUMMYFUNCTION("""COMPUTED_VALUE"""),"L")</f>
        <v>L</v>
      </c>
      <c r="E166" s="16"/>
      <c r="F166" s="16"/>
      <c r="G166" s="16">
        <f>IFERROR(__xludf.DUMMYFUNCTION("""COMPUTED_VALUE"""),270.0)</f>
        <v>270</v>
      </c>
      <c r="H166" s="16">
        <f>IFERROR(__xludf.DUMMYFUNCTION("""COMPUTED_VALUE"""),25.0)</f>
        <v>25</v>
      </c>
      <c r="I166" s="16" t="str">
        <f>IFERROR(__xludf.DUMMYFUNCTION("""COMPUTED_VALUE"""),"2p40")</f>
        <v>2p40</v>
      </c>
      <c r="J166" s="16">
        <f>IFERROR(__xludf.DUMMYFUNCTION("""COMPUTED_VALUE"""),45.0)</f>
        <v>45</v>
      </c>
      <c r="K166" s="16">
        <f>IFERROR(__xludf.DUMMYFUNCTION("""COMPUTED_VALUE"""),27.0)</f>
        <v>27</v>
      </c>
      <c r="L166" s="16">
        <f>IFERROR(__xludf.DUMMYFUNCTION("""COMPUTED_VALUE"""),-2.0)</f>
        <v>-2</v>
      </c>
      <c r="M166" s="16">
        <f>IFERROR(__xludf.DUMMYFUNCTION("""COMPUTED_VALUE"""),0.0)</f>
        <v>0</v>
      </c>
      <c r="N166" s="16">
        <f>IFERROR(__xludf.DUMMYFUNCTION("""COMPUTED_VALUE"""),-2.0)</f>
        <v>-2</v>
      </c>
      <c r="O166" s="16">
        <f>IFERROR(__xludf.DUMMYFUNCTION("""COMPUTED_VALUE"""),0.0)</f>
        <v>0</v>
      </c>
      <c r="P166" s="16">
        <f>IFERROR(__xludf.DUMMYFUNCTION("""COMPUTED_VALUE"""),2.0)</f>
        <v>2</v>
      </c>
      <c r="Q166" s="16">
        <f>IFERROR(__xludf.DUMMYFUNCTION("""COMPUTED_VALUE"""),10.0)</f>
        <v>10</v>
      </c>
      <c r="R166" s="16">
        <f>IFERROR(__xludf.DUMMYFUNCTION("""COMPUTED_VALUE"""),-2.0)</f>
        <v>-2</v>
      </c>
      <c r="S166" s="16">
        <f>IFERROR(__xludf.DUMMYFUNCTION("""COMPUTED_VALUE"""),0.0)</f>
        <v>0</v>
      </c>
      <c r="T166" s="16">
        <f>IFERROR(__xludf.DUMMYFUNCTION("""COMPUTED_VALUE"""),-2.0)</f>
        <v>-2</v>
      </c>
      <c r="U166" s="16">
        <f>IFERROR(__xludf.DUMMYFUNCTION("""COMPUTED_VALUE"""),0.0)</f>
        <v>0</v>
      </c>
      <c r="V166" s="16">
        <f>IFERROR(__xludf.DUMMYFUNCTION("""COMPUTED_VALUE"""),23.5)</f>
        <v>23.5</v>
      </c>
      <c r="W166" s="16">
        <f>IFERROR(__xludf.DUMMYFUNCTION("""COMPUTED_VALUE"""),18.5)</f>
        <v>18.5</v>
      </c>
      <c r="X166" s="16">
        <f>IFERROR(__xludf.DUMMYFUNCTION("""COMPUTED_VALUE"""),1.0)</f>
        <v>1</v>
      </c>
      <c r="Y166" s="16">
        <f>IFERROR(__xludf.DUMMYFUNCTION("""COMPUTED_VALUE"""),0.0)</f>
        <v>0</v>
      </c>
      <c r="Z166" s="16">
        <f>IFERROR(__xludf.DUMMYFUNCTION("""COMPUTED_VALUE"""),2.0)</f>
        <v>2</v>
      </c>
      <c r="AA166" s="16">
        <f>IFERROR(__xludf.DUMMYFUNCTION("""COMPUTED_VALUE"""),0.0)</f>
        <v>0</v>
      </c>
      <c r="AB166" s="16">
        <f>IFERROR(__xludf.DUMMYFUNCTION("""COMPUTED_VALUE"""),26.5)</f>
        <v>26.5</v>
      </c>
      <c r="AC166" s="16">
        <f>IFERROR(__xludf.DUMMYFUNCTION("""COMPUTED_VALUE"""),29.5)</f>
        <v>29.5</v>
      </c>
      <c r="AD166" s="16">
        <f>IFERROR(__xludf.DUMMYFUNCTION("""COMPUTED_VALUE"""),-1.0)</f>
        <v>-1</v>
      </c>
      <c r="AE166" s="16">
        <f>IFERROR(__xludf.DUMMYFUNCTION("""COMPUTED_VALUE"""),0.0)</f>
        <v>0</v>
      </c>
      <c r="AF166" s="16">
        <f>IFERROR(__xludf.DUMMYFUNCTION("""COMPUTED_VALUE"""),-5.0)</f>
        <v>-5</v>
      </c>
      <c r="AG166" s="16">
        <f>IFERROR(__xludf.DUMMYFUNCTION("""COMPUTED_VALUE"""),0.0)</f>
        <v>0</v>
      </c>
      <c r="AH166" s="16">
        <f>IFERROR(__xludf.DUMMYFUNCTION("""COMPUTED_VALUE"""),42.0)</f>
        <v>42</v>
      </c>
      <c r="AI166" s="16">
        <f>IFERROR(__xludf.DUMMYFUNCTION("""COMPUTED_VALUE"""),35.9)</f>
        <v>35.9</v>
      </c>
      <c r="AJ166" s="16">
        <f>IFERROR(__xludf.DUMMYFUNCTION("""COMPUTED_VALUE"""),1.0)</f>
        <v>1</v>
      </c>
      <c r="AK166" s="16">
        <f>IFERROR(__xludf.DUMMYFUNCTION("""COMPUTED_VALUE"""),0.0)</f>
        <v>0</v>
      </c>
      <c r="AL166" s="16">
        <f>IFERROR(__xludf.DUMMYFUNCTION("""COMPUTED_VALUE"""),5.0)</f>
        <v>5</v>
      </c>
      <c r="AM166" s="16">
        <f>IFERROR(__xludf.DUMMYFUNCTION("""COMPUTED_VALUE"""),0.0)</f>
        <v>0</v>
      </c>
      <c r="AN166" s="16">
        <f>IFERROR(__xludf.DUMMYFUNCTION("""COMPUTED_VALUE"""),1.0)</f>
        <v>1</v>
      </c>
      <c r="AO166" s="16">
        <f>IFERROR(__xludf.DUMMYFUNCTION("""COMPUTED_VALUE"""),2.5)</f>
        <v>2.5</v>
      </c>
      <c r="AP166" s="16">
        <f>IFERROR(__xludf.DUMMYFUNCTION("""COMPUTED_VALUE"""),-2.0)</f>
        <v>-2</v>
      </c>
      <c r="AQ166" s="16">
        <f>IFERROR(__xludf.DUMMYFUNCTION("""COMPUTED_VALUE"""),0.0)</f>
        <v>0</v>
      </c>
      <c r="AR166" s="16">
        <f>IFERROR(__xludf.DUMMYFUNCTION("""COMPUTED_VALUE"""),-4.0)</f>
        <v>-4</v>
      </c>
      <c r="AS166" s="16">
        <f>IFERROR(__xludf.DUMMYFUNCTION("""COMPUTED_VALUE"""),0.0)</f>
        <v>0</v>
      </c>
      <c r="AT166" s="16">
        <f>IFERROR(__xludf.DUMMYFUNCTION("""COMPUTED_VALUE"""),0.0)</f>
        <v>0</v>
      </c>
      <c r="AU166" s="16">
        <f>IFERROR(__xludf.DUMMYFUNCTION("""COMPUTED_VALUE"""),3.0)</f>
        <v>3</v>
      </c>
      <c r="AV166" s="16">
        <f>IFERROR(__xludf.DUMMYFUNCTION("""COMPUTED_VALUE"""),0.0)</f>
        <v>0</v>
      </c>
      <c r="AW166" s="16">
        <f>IFERROR(__xludf.DUMMYFUNCTION("""COMPUTED_VALUE"""),3.0)</f>
        <v>3</v>
      </c>
      <c r="AX166" s="16">
        <f>IFERROR(__xludf.DUMMYFUNCTION("""COMPUTED_VALUE"""),-2.0)</f>
        <v>-2</v>
      </c>
      <c r="AY166" s="16">
        <f>IFERROR(__xludf.DUMMYFUNCTION("""COMPUTED_VALUE"""),0.0)</f>
        <v>0</v>
      </c>
      <c r="AZ166" s="16">
        <f>IFERROR(__xludf.DUMMYFUNCTION("""COMPUTED_VALUE"""),-6.0)</f>
        <v>-6</v>
      </c>
      <c r="BA166" s="16">
        <f>IFERROR(__xludf.DUMMYFUNCTION("""COMPUTED_VALUE"""),0.0)</f>
        <v>0</v>
      </c>
      <c r="BB166" s="16">
        <f>IFERROR(__xludf.DUMMYFUNCTION("""COMPUTED_VALUE"""),5.0)</f>
        <v>5</v>
      </c>
      <c r="BC166" s="16">
        <f>IFERROR(__xludf.DUMMYFUNCTION("""COMPUTED_VALUE"""),5.0)</f>
        <v>5</v>
      </c>
      <c r="BD166" s="16">
        <f>IFERROR(__xludf.DUMMYFUNCTION("""COMPUTED_VALUE"""),1.0)</f>
        <v>1</v>
      </c>
      <c r="BE166" s="16">
        <f>IFERROR(__xludf.DUMMYFUNCTION("""COMPUTED_VALUE"""),1.0)</f>
        <v>1</v>
      </c>
      <c r="BF166" s="16">
        <f>IFERROR(__xludf.DUMMYFUNCTION("""COMPUTED_VALUE"""),1.0)</f>
        <v>1</v>
      </c>
      <c r="BG166" s="16">
        <f>IFERROR(__xludf.DUMMYFUNCTION("""COMPUTED_VALUE"""),1.0)</f>
        <v>1</v>
      </c>
      <c r="BH166" s="16">
        <f>IFERROR(__xludf.DUMMYFUNCTION("""COMPUTED_VALUE"""),4.0)</f>
        <v>4</v>
      </c>
      <c r="BI166" s="16">
        <f>IFERROR(__xludf.DUMMYFUNCTION("""COMPUTED_VALUE"""),3.0)</f>
        <v>3</v>
      </c>
      <c r="BJ166" s="16">
        <f>IFERROR(__xludf.DUMMYFUNCTION("""COMPUTED_VALUE"""),0.0)</f>
        <v>0</v>
      </c>
      <c r="BK166" s="16">
        <f>IFERROR(__xludf.DUMMYFUNCTION("""COMPUTED_VALUE"""),0.0)</f>
        <v>0</v>
      </c>
      <c r="BL166" s="16">
        <f>IFERROR(__xludf.DUMMYFUNCTION("""COMPUTED_VALUE"""),3.0)</f>
        <v>3</v>
      </c>
      <c r="BM166" s="16">
        <f>IFERROR(__xludf.DUMMYFUNCTION("""COMPUTED_VALUE"""),3.0)</f>
        <v>3</v>
      </c>
      <c r="BN166" s="16">
        <f>IFERROR(__xludf.DUMMYFUNCTION("""COMPUTED_VALUE"""),3.0)</f>
        <v>3</v>
      </c>
      <c r="BO166" s="16">
        <f>IFERROR(__xludf.DUMMYFUNCTION("""COMPUTED_VALUE"""),3.0)</f>
        <v>3</v>
      </c>
      <c r="BP166" s="16">
        <f>IFERROR(__xludf.DUMMYFUNCTION("""COMPUTED_VALUE"""),-3.0)</f>
        <v>-3</v>
      </c>
      <c r="BQ166" s="16">
        <f>IFERROR(__xludf.DUMMYFUNCTION("""COMPUTED_VALUE"""),4.0)</f>
        <v>4</v>
      </c>
      <c r="BR166" s="16">
        <f>IFERROR(__xludf.DUMMYFUNCTION("""COMPUTED_VALUE"""),1.0)</f>
        <v>1</v>
      </c>
      <c r="BS166" s="16" t="str">
        <f>IFERROR(__xludf.DUMMYFUNCTION("""COMPUTED_VALUE"""),"*4-6/- (17-13)")</f>
        <v>*4-6/- (17-13)</v>
      </c>
      <c r="BT166" s="16" t="str">
        <f>IFERROR(__xludf.DUMMYFUNCTION("""COMPUTED_VALUE"""),"B")</f>
        <v>B</v>
      </c>
      <c r="BU166" s="16">
        <f>IFERROR(__xludf.DUMMYFUNCTION("""COMPUTED_VALUE"""),16.0)</f>
        <v>16</v>
      </c>
      <c r="BV166" s="16">
        <f>IFERROR(__xludf.DUMMYFUNCTION("""COMPUTED_VALUE"""),1.0)</f>
        <v>1</v>
      </c>
      <c r="BW166" s="16">
        <f>IFERROR(__xludf.DUMMYFUNCTION("""COMPUTED_VALUE"""),2.0)</f>
        <v>2</v>
      </c>
      <c r="BX166" s="16">
        <f>IFERROR(__xludf.DUMMYFUNCTION("""COMPUTED_VALUE"""),2.0)</f>
        <v>2</v>
      </c>
      <c r="BY166" s="16">
        <f>IFERROR(__xludf.DUMMYFUNCTION("""COMPUTED_VALUE"""),6.0)</f>
        <v>6</v>
      </c>
      <c r="BZ166" s="16" t="str">
        <f>IFERROR(__xludf.DUMMYFUNCTION("""COMPUTED_VALUE"""),"D")</f>
        <v>D</v>
      </c>
      <c r="CA166" s="16" t="str">
        <f>IFERROR(__xludf.DUMMYFUNCTION("""COMPUTED_VALUE"""),"D")</f>
        <v>D</v>
      </c>
      <c r="CB166" s="16">
        <f>IFERROR(__xludf.DUMMYFUNCTION("""COMPUTED_VALUE"""),0.0)</f>
        <v>0</v>
      </c>
      <c r="CC166" s="16">
        <f>IFERROR(__xludf.DUMMYFUNCTION("""COMPUTED_VALUE"""),0.0)</f>
        <v>0</v>
      </c>
      <c r="CD166" s="16">
        <f>IFERROR(__xludf.DUMMYFUNCTION("""COMPUTED_VALUE"""),0.0)</f>
        <v>0</v>
      </c>
      <c r="CE166" s="16">
        <f>IFERROR(__xludf.DUMMYFUNCTION("""COMPUTED_VALUE"""),0.0)</f>
        <v>0</v>
      </c>
      <c r="CF166" s="16">
        <f>IFERROR(__xludf.DUMMYFUNCTION("""COMPUTED_VALUE"""),2.0)</f>
        <v>2</v>
      </c>
      <c r="CG166" s="16">
        <f>IFERROR(__xludf.DUMMYFUNCTION("""COMPUTED_VALUE"""),-8.0)</f>
        <v>-8</v>
      </c>
      <c r="CH166" s="16">
        <f>IFERROR(__xludf.DUMMYFUNCTION("""COMPUTED_VALUE"""),4.0)</f>
        <v>4</v>
      </c>
      <c r="CI166" s="179">
        <f>IFERROR(__xludf.DUMMYFUNCTION("""COMPUTED_VALUE"""),4.0)</f>
        <v>4</v>
      </c>
      <c r="CJ166" s="16"/>
      <c r="CK166" s="16"/>
      <c r="CL166" s="16"/>
      <c r="CM166" s="16"/>
      <c r="CN166" s="16"/>
      <c r="CO166" s="16"/>
      <c r="CP166" s="16">
        <f>IFERROR(__xludf.DUMMYFUNCTION("""COMPUTED_VALUE"""),102.0)</f>
        <v>102</v>
      </c>
      <c r="CQ166" s="16"/>
      <c r="CR166" s="16" t="str">
        <f>IFERROR(__xludf.DUMMYFUNCTION("""COMPUTED_VALUE"""),"cf-1(0)e2")</f>
        <v>cf-1(0)e2</v>
      </c>
      <c r="CS166" s="16"/>
      <c r="CT166" s="16"/>
      <c r="CU166" s="16"/>
      <c r="CV166" s="16"/>
      <c r="CW166" s="16"/>
      <c r="CX166" s="16"/>
      <c r="CY166" s="16">
        <f>IFERROR(__xludf.DUMMYFUNCTION("""COMPUTED_VALUE"""),1.0)</f>
        <v>1</v>
      </c>
      <c r="CZ166" s="16"/>
      <c r="DA166" s="16"/>
      <c r="DB166" s="16"/>
      <c r="DC166" s="16"/>
      <c r="DD166" s="16"/>
      <c r="DE166" s="16"/>
      <c r="DF166" s="16"/>
      <c r="DG166" s="16">
        <f>IFERROR(__xludf.DUMMYFUNCTION("""COMPUTED_VALUE"""),2.0)</f>
        <v>2</v>
      </c>
      <c r="DH166" s="16"/>
      <c r="DI166" s="16"/>
      <c r="DJ166" s="16"/>
      <c r="DK166" s="16"/>
      <c r="DL166" s="16"/>
      <c r="DM166" s="16"/>
      <c r="DN166" s="16"/>
      <c r="DO166" s="16">
        <f>IFERROR(__xludf.DUMMYFUNCTION("""COMPUTED_VALUE"""),4.0)</f>
        <v>4</v>
      </c>
      <c r="DP166" s="16"/>
      <c r="DQ166" s="16"/>
      <c r="DR166" s="16"/>
      <c r="DS166" s="16"/>
      <c r="DT166" s="16"/>
      <c r="DU166" s="16"/>
      <c r="DV166" s="16"/>
      <c r="DW166" s="16">
        <f>IFERROR(__xludf.DUMMYFUNCTION("""COMPUTED_VALUE"""),4.0)</f>
        <v>4</v>
      </c>
      <c r="DX166" s="16"/>
      <c r="DY166" s="16"/>
      <c r="DZ166" s="16"/>
      <c r="EA166" s="16"/>
      <c r="EB166" s="16"/>
      <c r="EC166" s="16"/>
      <c r="ED166" s="16"/>
      <c r="EE166" s="16">
        <f>IFERROR(__xludf.DUMMYFUNCTION("""COMPUTED_VALUE"""),8.0)</f>
        <v>8</v>
      </c>
      <c r="EF166" s="16"/>
      <c r="EG166" s="179"/>
      <c r="EH166" s="179"/>
      <c r="EI166" s="179"/>
      <c r="EJ166" s="179"/>
      <c r="EK166" s="179"/>
      <c r="EL166" s="179"/>
      <c r="EM166" s="179">
        <f>IFERROR(__xludf.DUMMYFUNCTION("""COMPUTED_VALUE"""),12.0)</f>
        <v>12</v>
      </c>
      <c r="EN166" s="179"/>
      <c r="EO166" s="16"/>
      <c r="EP166" s="16"/>
      <c r="EQ166" s="16">
        <f>IFERROR(__xludf.DUMMYFUNCTION("""COMPUTED_VALUE"""),2.0)</f>
        <v>2</v>
      </c>
      <c r="ER166" s="16">
        <f>IFERROR(__xludf.DUMMYFUNCTION("""COMPUTED_VALUE"""),-1.0)</f>
        <v>-1</v>
      </c>
      <c r="ES166" s="16"/>
      <c r="ET166" s="16"/>
      <c r="EU166" s="16"/>
      <c r="EV166" s="16"/>
      <c r="EW166" s="16"/>
      <c r="EX166" s="180"/>
      <c r="EY166" s="180"/>
      <c r="EZ166" s="180"/>
      <c r="FA166" s="180"/>
      <c r="FB166" s="180"/>
      <c r="FC166" s="180"/>
      <c r="FD166" s="180">
        <f>IFERROR(__xludf.DUMMYFUNCTION("""COMPUTED_VALUE"""),0.0)</f>
        <v>0</v>
      </c>
      <c r="FE166" s="180"/>
      <c r="FF166" s="180"/>
      <c r="FG166" s="180"/>
      <c r="FH166" s="180"/>
      <c r="FI166" s="180"/>
      <c r="FJ166" s="180"/>
      <c r="FK166" s="180"/>
      <c r="FL166" s="180">
        <f>IFERROR(__xludf.DUMMYFUNCTION("""COMPUTED_VALUE"""),0.023148148148148147)</f>
        <v>0.02314814815</v>
      </c>
      <c r="FM166" s="180"/>
      <c r="FN166" s="16"/>
      <c r="FO166" s="16"/>
      <c r="FP166" s="16"/>
      <c r="FQ166" s="16"/>
      <c r="FR166" s="16"/>
      <c r="FS166" s="16"/>
      <c r="FT166" s="16">
        <f>IFERROR(__xludf.DUMMYFUNCTION("""COMPUTED_VALUE"""),0.9768518518518519)</f>
        <v>0.9768518519</v>
      </c>
      <c r="FU166" s="16"/>
      <c r="FV166" s="16"/>
      <c r="FW166" s="16"/>
      <c r="FX166" s="16"/>
      <c r="FY166" s="16"/>
      <c r="FZ166" s="16"/>
      <c r="GA166" s="16"/>
      <c r="GB166" s="16">
        <f>IFERROR(__xludf.DUMMYFUNCTION("""COMPUTED_VALUE"""),8.0)</f>
        <v>8</v>
      </c>
      <c r="GC166" s="16"/>
      <c r="GD166" s="16" t="s">
        <v>686</v>
      </c>
    </row>
    <row r="167">
      <c r="A167" s="16">
        <f>IFERROR(__xludf.DUMMYFUNCTION("""COMPUTED_VALUE"""),13259.0)</f>
        <v>13259</v>
      </c>
      <c r="B167" s="16" t="str">
        <f>IFERROR(__xludf.DUMMYFUNCTION("""COMPUTED_VALUE"""),"Nolan Schanuel")</f>
        <v>Nolan Schanuel</v>
      </c>
      <c r="C167" s="16">
        <f>IFERROR(__xludf.DUMMYFUNCTION("""COMPUTED_VALUE"""),0.62)</f>
        <v>0.62</v>
      </c>
      <c r="D167" s="16" t="str">
        <f>IFERROR(__xludf.DUMMYFUNCTION("""COMPUTED_VALUE"""),"L")</f>
        <v>L</v>
      </c>
      <c r="E167" s="16"/>
      <c r="F167" s="16"/>
      <c r="G167" s="16">
        <f>IFERROR(__xludf.DUMMYFUNCTION("""COMPUTED_VALUE"""),519.0)</f>
        <v>519</v>
      </c>
      <c r="H167" s="16">
        <f>IFERROR(__xludf.DUMMYFUNCTION("""COMPUTED_VALUE"""),68.0)</f>
        <v>68</v>
      </c>
      <c r="I167" s="16" t="str">
        <f>IFERROR(__xludf.DUMMYFUNCTION("""COMPUTED_VALUE"""),"1p65")</f>
        <v>1p65</v>
      </c>
      <c r="J167" s="16">
        <f>IFERROR(__xludf.DUMMYFUNCTION("""COMPUTED_VALUE"""),17.0)</f>
        <v>17</v>
      </c>
      <c r="K167" s="16">
        <f>IFERROR(__xludf.DUMMYFUNCTION("""COMPUTED_VALUE"""),11.0)</f>
        <v>11</v>
      </c>
      <c r="L167" s="16">
        <f>IFERROR(__xludf.DUMMYFUNCTION("""COMPUTED_VALUE"""),1.0)</f>
        <v>1</v>
      </c>
      <c r="M167" s="16">
        <f>IFERROR(__xludf.DUMMYFUNCTION("""COMPUTED_VALUE"""),1.0)</f>
        <v>1</v>
      </c>
      <c r="N167" s="16">
        <f>IFERROR(__xludf.DUMMYFUNCTION("""COMPUTED_VALUE"""),1.0)</f>
        <v>1</v>
      </c>
      <c r="O167" s="16">
        <f>IFERROR(__xludf.DUMMYFUNCTION("""COMPUTED_VALUE"""),1.0)</f>
        <v>1</v>
      </c>
      <c r="P167" s="16">
        <f>IFERROR(__xludf.DUMMYFUNCTION("""COMPUTED_VALUE"""),18.0)</f>
        <v>18</v>
      </c>
      <c r="Q167" s="16">
        <f>IFERROR(__xludf.DUMMYFUNCTION("""COMPUTED_VALUE"""),15.0)</f>
        <v>15</v>
      </c>
      <c r="R167" s="16">
        <f>IFERROR(__xludf.DUMMYFUNCTION("""COMPUTED_VALUE"""),3.0)</f>
        <v>3</v>
      </c>
      <c r="S167" s="16">
        <f>IFERROR(__xludf.DUMMYFUNCTION("""COMPUTED_VALUE"""),2.0)</f>
        <v>2</v>
      </c>
      <c r="T167" s="16">
        <f>IFERROR(__xludf.DUMMYFUNCTION("""COMPUTED_VALUE"""),3.0)</f>
        <v>3</v>
      </c>
      <c r="U167" s="16">
        <f>IFERROR(__xludf.DUMMYFUNCTION("""COMPUTED_VALUE"""),2.0)</f>
        <v>2</v>
      </c>
      <c r="V167" s="16">
        <f>IFERROR(__xludf.DUMMYFUNCTION("""COMPUTED_VALUE"""),18.4)</f>
        <v>18.4</v>
      </c>
      <c r="W167" s="16">
        <f>IFERROR(__xludf.DUMMYFUNCTION("""COMPUTED_VALUE"""),20.8)</f>
        <v>20.8</v>
      </c>
      <c r="X167" s="16">
        <f>IFERROR(__xludf.DUMMYFUNCTION("""COMPUTED_VALUE"""),0.0)</f>
        <v>0</v>
      </c>
      <c r="Y167" s="16">
        <f>IFERROR(__xludf.DUMMYFUNCTION("""COMPUTED_VALUE"""),0.0)</f>
        <v>0</v>
      </c>
      <c r="Z167" s="16">
        <f>IFERROR(__xludf.DUMMYFUNCTION("""COMPUTED_VALUE"""),0.0)</f>
        <v>0</v>
      </c>
      <c r="AA167" s="16">
        <f>IFERROR(__xludf.DUMMYFUNCTION("""COMPUTED_VALUE"""),0.0)</f>
        <v>0</v>
      </c>
      <c r="AB167" s="16">
        <f>IFERROR(__xludf.DUMMYFUNCTION("""COMPUTED_VALUE"""),40.3)</f>
        <v>40.3</v>
      </c>
      <c r="AC167" s="16">
        <f>IFERROR(__xludf.DUMMYFUNCTION("""COMPUTED_VALUE"""),39.8)</f>
        <v>39.8</v>
      </c>
      <c r="AD167" s="16">
        <f>IFERROR(__xludf.DUMMYFUNCTION("""COMPUTED_VALUE"""),1.0)</f>
        <v>1</v>
      </c>
      <c r="AE167" s="16">
        <f>IFERROR(__xludf.DUMMYFUNCTION("""COMPUTED_VALUE"""),1.0)</f>
        <v>1</v>
      </c>
      <c r="AF167" s="16">
        <f>IFERROR(__xludf.DUMMYFUNCTION("""COMPUTED_VALUE"""),5.0)</f>
        <v>5</v>
      </c>
      <c r="AG167" s="16">
        <f>IFERROR(__xludf.DUMMYFUNCTION("""COMPUTED_VALUE"""),5.0)</f>
        <v>5</v>
      </c>
      <c r="AH167" s="16">
        <f>IFERROR(__xludf.DUMMYFUNCTION("""COMPUTED_VALUE"""),23.8)</f>
        <v>23.8</v>
      </c>
      <c r="AI167" s="16">
        <f>IFERROR(__xludf.DUMMYFUNCTION("""COMPUTED_VALUE"""),24.6)</f>
        <v>24.6</v>
      </c>
      <c r="AJ167" s="16">
        <f>IFERROR(__xludf.DUMMYFUNCTION("""COMPUTED_VALUE"""),-1.0)</f>
        <v>-1</v>
      </c>
      <c r="AK167" s="16">
        <f>IFERROR(__xludf.DUMMYFUNCTION("""COMPUTED_VALUE"""),-1.0)</f>
        <v>-1</v>
      </c>
      <c r="AL167" s="16">
        <f>IFERROR(__xludf.DUMMYFUNCTION("""COMPUTED_VALUE"""),-5.0)</f>
        <v>-5</v>
      </c>
      <c r="AM167" s="16">
        <f>IFERROR(__xludf.DUMMYFUNCTION("""COMPUTED_VALUE"""),-5.0)</f>
        <v>-5</v>
      </c>
      <c r="AN167" s="16">
        <f>IFERROR(__xludf.DUMMYFUNCTION("""COMPUTED_VALUE"""),1.2)</f>
        <v>1.2</v>
      </c>
      <c r="AO167" s="16">
        <f>IFERROR(__xludf.DUMMYFUNCTION("""COMPUTED_VALUE"""),0.6)</f>
        <v>0.6</v>
      </c>
      <c r="AP167" s="16">
        <f>IFERROR(__xludf.DUMMYFUNCTION("""COMPUTED_VALUE"""),-1.0)</f>
        <v>-1</v>
      </c>
      <c r="AQ167" s="16">
        <f>IFERROR(__xludf.DUMMYFUNCTION("""COMPUTED_VALUE"""),-2.0)</f>
        <v>-2</v>
      </c>
      <c r="AR167" s="16">
        <f>IFERROR(__xludf.DUMMYFUNCTION("""COMPUTED_VALUE"""),-2.0)</f>
        <v>-2</v>
      </c>
      <c r="AS167" s="16">
        <f>IFERROR(__xludf.DUMMYFUNCTION("""COMPUTED_VALUE"""),-4.0)</f>
        <v>-4</v>
      </c>
      <c r="AT167" s="16">
        <f>IFERROR(__xludf.DUMMYFUNCTION("""COMPUTED_VALUE"""),2.0)</f>
        <v>2</v>
      </c>
      <c r="AU167" s="16">
        <f>IFERROR(__xludf.DUMMYFUNCTION("""COMPUTED_VALUE"""),1.0)</f>
        <v>1</v>
      </c>
      <c r="AV167" s="16">
        <f>IFERROR(__xludf.DUMMYFUNCTION("""COMPUTED_VALUE"""),2.0)</f>
        <v>2</v>
      </c>
      <c r="AW167" s="16">
        <f>IFERROR(__xludf.DUMMYFUNCTION("""COMPUTED_VALUE"""),1.0)</f>
        <v>1</v>
      </c>
      <c r="AX167" s="16">
        <f>IFERROR(__xludf.DUMMYFUNCTION("""COMPUTED_VALUE"""),0.0)</f>
        <v>0</v>
      </c>
      <c r="AY167" s="16">
        <f>IFERROR(__xludf.DUMMYFUNCTION("""COMPUTED_VALUE"""),-1.0)</f>
        <v>-1</v>
      </c>
      <c r="AZ167" s="16">
        <f>IFERROR(__xludf.DUMMYFUNCTION("""COMPUTED_VALUE"""),0.0)</f>
        <v>0</v>
      </c>
      <c r="BA167" s="16">
        <f>IFERROR(__xludf.DUMMYFUNCTION("""COMPUTED_VALUE"""),-3.0)</f>
        <v>-3</v>
      </c>
      <c r="BB167" s="16">
        <f>IFERROR(__xludf.DUMMYFUNCTION("""COMPUTED_VALUE"""),5.0)</f>
        <v>5</v>
      </c>
      <c r="BC167" s="16">
        <f>IFERROR(__xludf.DUMMYFUNCTION("""COMPUTED_VALUE"""),5.0)</f>
        <v>5</v>
      </c>
      <c r="BD167" s="16">
        <f>IFERROR(__xludf.DUMMYFUNCTION("""COMPUTED_VALUE"""),1.0)</f>
        <v>1</v>
      </c>
      <c r="BE167" s="16">
        <f>IFERROR(__xludf.DUMMYFUNCTION("""COMPUTED_VALUE"""),1.0)</f>
        <v>1</v>
      </c>
      <c r="BF167" s="16">
        <f>IFERROR(__xludf.DUMMYFUNCTION("""COMPUTED_VALUE"""),1.0)</f>
        <v>1</v>
      </c>
      <c r="BG167" s="16">
        <f>IFERROR(__xludf.DUMMYFUNCTION("""COMPUTED_VALUE"""),1.0)</f>
        <v>1</v>
      </c>
      <c r="BH167" s="16">
        <f>IFERROR(__xludf.DUMMYFUNCTION("""COMPUTED_VALUE"""),-2.0)</f>
        <v>-2</v>
      </c>
      <c r="BI167" s="16">
        <f>IFERROR(__xludf.DUMMYFUNCTION("""COMPUTED_VALUE"""),-2.0)</f>
        <v>-2</v>
      </c>
      <c r="BJ167" s="16">
        <f>IFERROR(__xludf.DUMMYFUNCTION("""COMPUTED_VALUE"""),14.0)</f>
        <v>14</v>
      </c>
      <c r="BK167" s="16">
        <f>IFERROR(__xludf.DUMMYFUNCTION("""COMPUTED_VALUE"""),16.0)</f>
        <v>16</v>
      </c>
      <c r="BL167" s="16">
        <f>IFERROR(__xludf.DUMMYFUNCTION("""COMPUTED_VALUE"""),0.0)</f>
        <v>0</v>
      </c>
      <c r="BM167" s="16">
        <f>IFERROR(__xludf.DUMMYFUNCTION("""COMPUTED_VALUE"""),-1.0)</f>
        <v>-1</v>
      </c>
      <c r="BN167" s="16">
        <f>IFERROR(__xludf.DUMMYFUNCTION("""COMPUTED_VALUE"""),0.0)</f>
        <v>0</v>
      </c>
      <c r="BO167" s="16">
        <f>IFERROR(__xludf.DUMMYFUNCTION("""COMPUTED_VALUE"""),-2.0)</f>
        <v>-2</v>
      </c>
      <c r="BP167" s="16">
        <f>IFERROR(__xludf.DUMMYFUNCTION("""COMPUTED_VALUE"""),4.0)</f>
        <v>4</v>
      </c>
      <c r="BQ167" s="16">
        <f>IFERROR(__xludf.DUMMYFUNCTION("""COMPUTED_VALUE"""),0.0)</f>
        <v>0</v>
      </c>
      <c r="BR167" s="16">
        <f>IFERROR(__xludf.DUMMYFUNCTION("""COMPUTED_VALUE"""),4.0)</f>
        <v>4</v>
      </c>
      <c r="BS167" s="16" t="str">
        <f>IFERROR(__xludf.DUMMYFUNCTION("""COMPUTED_VALUE"""),"*4/- (19-6)")</f>
        <v>*4/- (19-6)</v>
      </c>
      <c r="BT167" s="16" t="str">
        <f>IFERROR(__xludf.DUMMYFUNCTION("""COMPUTED_VALUE"""),"B")</f>
        <v>B</v>
      </c>
      <c r="BU167" s="16">
        <f>IFERROR(__xludf.DUMMYFUNCTION("""COMPUTED_VALUE"""),11.0)</f>
        <v>11</v>
      </c>
      <c r="BV167" s="16">
        <f>IFERROR(__xludf.DUMMYFUNCTION("""COMPUTED_VALUE"""),1.0)</f>
        <v>1</v>
      </c>
      <c r="BW167" s="16">
        <f>IFERROR(__xludf.DUMMYFUNCTION("""COMPUTED_VALUE"""),0.0)</f>
        <v>0</v>
      </c>
      <c r="BX167" s="16">
        <f>IFERROR(__xludf.DUMMYFUNCTION("""COMPUTED_VALUE"""),2.0)</f>
        <v>2</v>
      </c>
      <c r="BY167" s="16">
        <f>IFERROR(__xludf.DUMMYFUNCTION("""COMPUTED_VALUE"""),0.0)</f>
        <v>0</v>
      </c>
      <c r="BZ167" s="16" t="str">
        <f>IFERROR(__xludf.DUMMYFUNCTION("""COMPUTED_VALUE"""),"C")</f>
        <v>C</v>
      </c>
      <c r="CA167" s="16" t="str">
        <f>IFERROR(__xludf.DUMMYFUNCTION("""COMPUTED_VALUE"""),"C")</f>
        <v>C</v>
      </c>
      <c r="CB167" s="16">
        <f>IFERROR(__xludf.DUMMYFUNCTION("""COMPUTED_VALUE"""),0.0)</f>
        <v>0</v>
      </c>
      <c r="CC167" s="16">
        <f>IFERROR(__xludf.DUMMYFUNCTION("""COMPUTED_VALUE"""),0.0)</f>
        <v>0</v>
      </c>
      <c r="CD167" s="16">
        <f>IFERROR(__xludf.DUMMYFUNCTION("""COMPUTED_VALUE"""),0.0)</f>
        <v>0</v>
      </c>
      <c r="CE167" s="16">
        <f>IFERROR(__xludf.DUMMYFUNCTION("""COMPUTED_VALUE"""),0.0)</f>
        <v>0</v>
      </c>
      <c r="CF167" s="16">
        <f>IFERROR(__xludf.DUMMYFUNCTION("""COMPUTED_VALUE"""),1.0)</f>
        <v>1</v>
      </c>
      <c r="CG167" s="16">
        <f>IFERROR(__xludf.DUMMYFUNCTION("""COMPUTED_VALUE"""),3.0)</f>
        <v>3</v>
      </c>
      <c r="CH167" s="16">
        <f>IFERROR(__xludf.DUMMYFUNCTION("""COMPUTED_VALUE"""),-5.0)</f>
        <v>-5</v>
      </c>
      <c r="CI167" s="179">
        <f>IFERROR(__xludf.DUMMYFUNCTION("""COMPUTED_VALUE"""),4.0)</f>
        <v>4</v>
      </c>
      <c r="CJ167" s="16"/>
      <c r="CK167" s="16">
        <f>IFERROR(__xludf.DUMMYFUNCTION("""COMPUTED_VALUE"""),308.0)</f>
        <v>308</v>
      </c>
      <c r="CL167" s="16"/>
      <c r="CM167" s="16"/>
      <c r="CN167" s="16"/>
      <c r="CO167" s="16"/>
      <c r="CP167" s="16"/>
      <c r="CQ167" s="16"/>
      <c r="CR167" s="16" t="str">
        <f>IFERROR(__xludf.DUMMYFUNCTION("""COMPUTED_VALUE"""),"1b-3e8")</f>
        <v>1b-3e8</v>
      </c>
      <c r="CS167" s="16"/>
      <c r="CT167" s="16">
        <f>IFERROR(__xludf.DUMMYFUNCTION("""COMPUTED_VALUE"""),3.0)</f>
        <v>3</v>
      </c>
      <c r="CU167" s="16"/>
      <c r="CV167" s="16"/>
      <c r="CW167" s="16"/>
      <c r="CX167" s="16"/>
      <c r="CY167" s="16"/>
      <c r="CZ167" s="16"/>
      <c r="DA167" s="16"/>
      <c r="DB167" s="16">
        <f>IFERROR(__xludf.DUMMYFUNCTION("""COMPUTED_VALUE"""),8.0)</f>
        <v>8</v>
      </c>
      <c r="DC167" s="16"/>
      <c r="DD167" s="16"/>
      <c r="DE167" s="16"/>
      <c r="DF167" s="16"/>
      <c r="DG167" s="16"/>
      <c r="DH167" s="16"/>
      <c r="DI167" s="16"/>
      <c r="DJ167" s="16">
        <f>IFERROR(__xludf.DUMMYFUNCTION("""COMPUTED_VALUE"""),1.0)</f>
        <v>1</v>
      </c>
      <c r="DK167" s="16"/>
      <c r="DL167" s="16"/>
      <c r="DM167" s="16"/>
      <c r="DN167" s="16"/>
      <c r="DO167" s="16"/>
      <c r="DP167" s="16"/>
      <c r="DQ167" s="16"/>
      <c r="DR167" s="16">
        <f>IFERROR(__xludf.DUMMYFUNCTION("""COMPUTED_VALUE"""),2.0)</f>
        <v>2</v>
      </c>
      <c r="DS167" s="16"/>
      <c r="DT167" s="16"/>
      <c r="DU167" s="16"/>
      <c r="DV167" s="16"/>
      <c r="DW167" s="16"/>
      <c r="DX167" s="16"/>
      <c r="DY167" s="16"/>
      <c r="DZ167" s="16">
        <f>IFERROR(__xludf.DUMMYFUNCTION("""COMPUTED_VALUE"""),3.0)</f>
        <v>3</v>
      </c>
      <c r="EA167" s="16"/>
      <c r="EB167" s="16"/>
      <c r="EC167" s="16"/>
      <c r="ED167" s="16"/>
      <c r="EE167" s="16"/>
      <c r="EF167" s="16"/>
      <c r="EG167" s="179"/>
      <c r="EH167" s="179">
        <f>IFERROR(__xludf.DUMMYFUNCTION("""COMPUTED_VALUE"""),7.0)</f>
        <v>7</v>
      </c>
      <c r="EI167" s="179"/>
      <c r="EJ167" s="179"/>
      <c r="EK167" s="179"/>
      <c r="EL167" s="179"/>
      <c r="EM167" s="179"/>
      <c r="EN167" s="179"/>
      <c r="EO167" s="16"/>
      <c r="EP167" s="16">
        <f>IFERROR(__xludf.DUMMYFUNCTION("""COMPUTED_VALUE"""),2.0)</f>
        <v>2</v>
      </c>
      <c r="EQ167" s="16">
        <f>IFERROR(__xludf.DUMMYFUNCTION("""COMPUTED_VALUE"""),4.0)</f>
        <v>4</v>
      </c>
      <c r="ER167" s="16">
        <f>IFERROR(__xludf.DUMMYFUNCTION("""COMPUTED_VALUE"""),2.0)</f>
        <v>2</v>
      </c>
      <c r="ES167" s="16"/>
      <c r="ET167" s="16"/>
      <c r="EU167" s="16"/>
      <c r="EV167" s="16"/>
      <c r="EW167" s="16"/>
      <c r="EX167" s="180"/>
      <c r="EY167" s="180">
        <f>IFERROR(__xludf.DUMMYFUNCTION("""COMPUTED_VALUE"""),0.2)</f>
        <v>0.2</v>
      </c>
      <c r="EZ167" s="180"/>
      <c r="FA167" s="180"/>
      <c r="FB167" s="180"/>
      <c r="FC167" s="180"/>
      <c r="FD167" s="180"/>
      <c r="FE167" s="180"/>
      <c r="FF167" s="180"/>
      <c r="FG167" s="180">
        <f>IFERROR(__xludf.DUMMYFUNCTION("""COMPUTED_VALUE"""),0.14351851851851852)</f>
        <v>0.1435185185</v>
      </c>
      <c r="FH167" s="180"/>
      <c r="FI167" s="180"/>
      <c r="FJ167" s="180"/>
      <c r="FK167" s="180"/>
      <c r="FL167" s="180"/>
      <c r="FM167" s="180"/>
      <c r="FN167" s="16"/>
      <c r="FO167" s="16">
        <f>IFERROR(__xludf.DUMMYFUNCTION("""COMPUTED_VALUE"""),0.6851851851851852)</f>
        <v>0.6851851852</v>
      </c>
      <c r="FP167" s="16"/>
      <c r="FQ167" s="16"/>
      <c r="FR167" s="16"/>
      <c r="FS167" s="16"/>
      <c r="FT167" s="16"/>
      <c r="FU167" s="16"/>
      <c r="FV167" s="16"/>
      <c r="FW167" s="16">
        <f>IFERROR(__xludf.DUMMYFUNCTION("""COMPUTED_VALUE"""),-4.0)</f>
        <v>-4</v>
      </c>
      <c r="FX167" s="16"/>
      <c r="FY167" s="16"/>
      <c r="FZ167" s="16"/>
      <c r="GA167" s="16"/>
      <c r="GB167" s="16"/>
      <c r="GC167" s="16"/>
      <c r="GD167" s="16" t="s">
        <v>176</v>
      </c>
    </row>
    <row r="168">
      <c r="A168" s="16">
        <f>IFERROR(__xludf.DUMMYFUNCTION("""COMPUTED_VALUE"""),13326.0)</f>
        <v>13326</v>
      </c>
      <c r="B168" s="16" t="str">
        <f>IFERROR(__xludf.DUMMYFUNCTION("""COMPUTED_VALUE"""),"Royce Lewis")</f>
        <v>Royce Lewis</v>
      </c>
      <c r="C168" s="16">
        <f>IFERROR(__xludf.DUMMYFUNCTION("""COMPUTED_VALUE"""),0.62)</f>
        <v>0.62</v>
      </c>
      <c r="D168" s="16" t="str">
        <f>IFERROR(__xludf.DUMMYFUNCTION("""COMPUTED_VALUE"""),"R")</f>
        <v>R</v>
      </c>
      <c r="E168" s="16"/>
      <c r="F168" s="16"/>
      <c r="G168" s="16">
        <f>IFERROR(__xludf.DUMMYFUNCTION("""COMPUTED_VALUE"""),292.0)</f>
        <v>292</v>
      </c>
      <c r="H168" s="16">
        <f>IFERROR(__xludf.DUMMYFUNCTION("""COMPUTED_VALUE"""),28.0)</f>
        <v>28</v>
      </c>
      <c r="I168" s="16" t="str">
        <f>IFERROR(__xludf.DUMMYFUNCTION("""COMPUTED_VALUE"""),"5p40")</f>
        <v>5p40</v>
      </c>
      <c r="J168" s="16">
        <f>IFERROR(__xludf.DUMMYFUNCTION("""COMPUTED_VALUE"""),21.0)</f>
        <v>21</v>
      </c>
      <c r="K168" s="16">
        <f>IFERROR(__xludf.DUMMYFUNCTION("""COMPUTED_VALUE"""),27.0)</f>
        <v>27</v>
      </c>
      <c r="L168" s="16">
        <f>IFERROR(__xludf.DUMMYFUNCTION("""COMPUTED_VALUE"""),0.0)</f>
        <v>0</v>
      </c>
      <c r="M168" s="16">
        <f>IFERROR(__xludf.DUMMYFUNCTION("""COMPUTED_VALUE"""),0.0)</f>
        <v>0</v>
      </c>
      <c r="N168" s="16">
        <f>IFERROR(__xludf.DUMMYFUNCTION("""COMPUTED_VALUE"""),0.0)</f>
        <v>0</v>
      </c>
      <c r="O168" s="16">
        <f>IFERROR(__xludf.DUMMYFUNCTION("""COMPUTED_VALUE"""),0.0)</f>
        <v>0</v>
      </c>
      <c r="P168" s="16">
        <f>IFERROR(__xludf.DUMMYFUNCTION("""COMPUTED_VALUE"""),15.0)</f>
        <v>15</v>
      </c>
      <c r="Q168" s="16">
        <f>IFERROR(__xludf.DUMMYFUNCTION("""COMPUTED_VALUE"""),7.0)</f>
        <v>7</v>
      </c>
      <c r="R168" s="16">
        <f>IFERROR(__xludf.DUMMYFUNCTION("""COMPUTED_VALUE"""),2.0)</f>
        <v>2</v>
      </c>
      <c r="S168" s="16">
        <f>IFERROR(__xludf.DUMMYFUNCTION("""COMPUTED_VALUE"""),-1.0)</f>
        <v>-1</v>
      </c>
      <c r="T168" s="16">
        <f>IFERROR(__xludf.DUMMYFUNCTION("""COMPUTED_VALUE"""),2.0)</f>
        <v>2</v>
      </c>
      <c r="U168" s="16">
        <f>IFERROR(__xludf.DUMMYFUNCTION("""COMPUTED_VALUE"""),-1.0)</f>
        <v>-1</v>
      </c>
      <c r="V168" s="16">
        <f>IFERROR(__xludf.DUMMYFUNCTION("""COMPUTED_VALUE"""),19.9)</f>
        <v>19.9</v>
      </c>
      <c r="W168" s="16">
        <f>IFERROR(__xludf.DUMMYFUNCTION("""COMPUTED_VALUE"""),13.9)</f>
        <v>13.9</v>
      </c>
      <c r="X168" s="16">
        <f>IFERROR(__xludf.DUMMYFUNCTION("""COMPUTED_VALUE"""),0.0)</f>
        <v>0</v>
      </c>
      <c r="Y168" s="16">
        <f>IFERROR(__xludf.DUMMYFUNCTION("""COMPUTED_VALUE"""),-1.0)</f>
        <v>-1</v>
      </c>
      <c r="Z168" s="16">
        <f>IFERROR(__xludf.DUMMYFUNCTION("""COMPUTED_VALUE"""),0.0)</f>
        <v>0</v>
      </c>
      <c r="AA168" s="16">
        <f>IFERROR(__xludf.DUMMYFUNCTION("""COMPUTED_VALUE"""),-2.0)</f>
        <v>-2</v>
      </c>
      <c r="AB168" s="16">
        <f>IFERROR(__xludf.DUMMYFUNCTION("""COMPUTED_VALUE"""),34.9)</f>
        <v>34.9</v>
      </c>
      <c r="AC168" s="16">
        <f>IFERROR(__xludf.DUMMYFUNCTION("""COMPUTED_VALUE"""),21.0)</f>
        <v>21</v>
      </c>
      <c r="AD168" s="16">
        <f>IFERROR(__xludf.DUMMYFUNCTION("""COMPUTED_VALUE"""),1.0)</f>
        <v>1</v>
      </c>
      <c r="AE168" s="16">
        <f>IFERROR(__xludf.DUMMYFUNCTION("""COMPUTED_VALUE"""),-2.0)</f>
        <v>-2</v>
      </c>
      <c r="AF168" s="16">
        <f>IFERROR(__xludf.DUMMYFUNCTION("""COMPUTED_VALUE"""),5.0)</f>
        <v>5</v>
      </c>
      <c r="AG168" s="16">
        <f>IFERROR(__xludf.DUMMYFUNCTION("""COMPUTED_VALUE"""),-10.0)</f>
        <v>-10</v>
      </c>
      <c r="AH168" s="16">
        <f>IFERROR(__xludf.DUMMYFUNCTION("""COMPUTED_VALUE"""),33.5)</f>
        <v>33.5</v>
      </c>
      <c r="AI168" s="16">
        <f>IFERROR(__xludf.DUMMYFUNCTION("""COMPUTED_VALUE"""),36.8)</f>
        <v>36.8</v>
      </c>
      <c r="AJ168" s="16">
        <f>IFERROR(__xludf.DUMMYFUNCTION("""COMPUTED_VALUE"""),0.0)</f>
        <v>0</v>
      </c>
      <c r="AK168" s="16">
        <f>IFERROR(__xludf.DUMMYFUNCTION("""COMPUTED_VALUE"""),0.0)</f>
        <v>0</v>
      </c>
      <c r="AL168" s="16">
        <f>IFERROR(__xludf.DUMMYFUNCTION("""COMPUTED_VALUE"""),0.0)</f>
        <v>0</v>
      </c>
      <c r="AM168" s="16">
        <f>IFERROR(__xludf.DUMMYFUNCTION("""COMPUTED_VALUE"""),0.0)</f>
        <v>0</v>
      </c>
      <c r="AN168" s="16">
        <f>IFERROR(__xludf.DUMMYFUNCTION("""COMPUTED_VALUE"""),3.4)</f>
        <v>3.4</v>
      </c>
      <c r="AO168" s="16">
        <f>IFERROR(__xludf.DUMMYFUNCTION("""COMPUTED_VALUE"""),5.4)</f>
        <v>5.4</v>
      </c>
      <c r="AP168" s="16">
        <f>IFERROR(__xludf.DUMMYFUNCTION("""COMPUTED_VALUE"""),1.0)</f>
        <v>1</v>
      </c>
      <c r="AQ168" s="16">
        <f>IFERROR(__xludf.DUMMYFUNCTION("""COMPUTED_VALUE"""),3.0)</f>
        <v>3</v>
      </c>
      <c r="AR168" s="16">
        <f>IFERROR(__xludf.DUMMYFUNCTION("""COMPUTED_VALUE"""),2.0)</f>
        <v>2</v>
      </c>
      <c r="AS168" s="16">
        <f>IFERROR(__xludf.DUMMYFUNCTION("""COMPUTED_VALUE"""),6.0)</f>
        <v>6</v>
      </c>
      <c r="AT168" s="16">
        <f>IFERROR(__xludf.DUMMYFUNCTION("""COMPUTED_VALUE"""),5.0)</f>
        <v>5</v>
      </c>
      <c r="AU168" s="16">
        <f>IFERROR(__xludf.DUMMYFUNCTION("""COMPUTED_VALUE"""),8.0)</f>
        <v>8</v>
      </c>
      <c r="AV168" s="16">
        <f>IFERROR(__xludf.DUMMYFUNCTION("""COMPUTED_VALUE"""),5.0)</f>
        <v>5</v>
      </c>
      <c r="AW168" s="16">
        <f>IFERROR(__xludf.DUMMYFUNCTION("""COMPUTED_VALUE"""),8.0)</f>
        <v>8</v>
      </c>
      <c r="AX168" s="16">
        <f>IFERROR(__xludf.DUMMYFUNCTION("""COMPUTED_VALUE"""),3.0)</f>
        <v>3</v>
      </c>
      <c r="AY168" s="16">
        <f>IFERROR(__xludf.DUMMYFUNCTION("""COMPUTED_VALUE"""),3.0)</f>
        <v>3</v>
      </c>
      <c r="AZ168" s="16">
        <f>IFERROR(__xludf.DUMMYFUNCTION("""COMPUTED_VALUE"""),9.0)</f>
        <v>9</v>
      </c>
      <c r="BA168" s="16">
        <f>IFERROR(__xludf.DUMMYFUNCTION("""COMPUTED_VALUE"""),9.0)</f>
        <v>9</v>
      </c>
      <c r="BB168" s="16">
        <f>IFERROR(__xludf.DUMMYFUNCTION("""COMPUTED_VALUE"""),5.0)</f>
        <v>5</v>
      </c>
      <c r="BC168" s="16">
        <f>IFERROR(__xludf.DUMMYFUNCTION("""COMPUTED_VALUE"""),5.0)</f>
        <v>5</v>
      </c>
      <c r="BD168" s="16">
        <f>IFERROR(__xludf.DUMMYFUNCTION("""COMPUTED_VALUE"""),1.0)</f>
        <v>1</v>
      </c>
      <c r="BE168" s="16">
        <f>IFERROR(__xludf.DUMMYFUNCTION("""COMPUTED_VALUE"""),1.0)</f>
        <v>1</v>
      </c>
      <c r="BF168" s="16">
        <f>IFERROR(__xludf.DUMMYFUNCTION("""COMPUTED_VALUE"""),1.0)</f>
        <v>1</v>
      </c>
      <c r="BG168" s="16">
        <f>IFERROR(__xludf.DUMMYFUNCTION("""COMPUTED_VALUE"""),1.0)</f>
        <v>1</v>
      </c>
      <c r="BH168" s="16">
        <f>IFERROR(__xludf.DUMMYFUNCTION("""COMPUTED_VALUE"""),-8.0)</f>
        <v>-8</v>
      </c>
      <c r="BI168" s="16">
        <f>IFERROR(__xludf.DUMMYFUNCTION("""COMPUTED_VALUE"""),0.0)</f>
        <v>0</v>
      </c>
      <c r="BJ168" s="16">
        <f>IFERROR(__xludf.DUMMYFUNCTION("""COMPUTED_VALUE"""),11.0)</f>
        <v>11</v>
      </c>
      <c r="BK168" s="16">
        <f>IFERROR(__xludf.DUMMYFUNCTION("""COMPUTED_VALUE"""),12.0)</f>
        <v>12</v>
      </c>
      <c r="BL168" s="16">
        <f>IFERROR(__xludf.DUMMYFUNCTION("""COMPUTED_VALUE"""),0.0)</f>
        <v>0</v>
      </c>
      <c r="BM168" s="16">
        <f>IFERROR(__xludf.DUMMYFUNCTION("""COMPUTED_VALUE"""),0.0)</f>
        <v>0</v>
      </c>
      <c r="BN168" s="16">
        <f>IFERROR(__xludf.DUMMYFUNCTION("""COMPUTED_VALUE"""),0.0)</f>
        <v>0</v>
      </c>
      <c r="BO168" s="16">
        <f>IFERROR(__xludf.DUMMYFUNCTION("""COMPUTED_VALUE"""),0.0)</f>
        <v>0</v>
      </c>
      <c r="BP168" s="16">
        <f>IFERROR(__xludf.DUMMYFUNCTION("""COMPUTED_VALUE"""),8.0)</f>
        <v>8</v>
      </c>
      <c r="BQ168" s="16">
        <f>IFERROR(__xludf.DUMMYFUNCTION("""COMPUTED_VALUE"""),3.0)</f>
        <v>3</v>
      </c>
      <c r="BR168" s="16">
        <f>IFERROR(__xludf.DUMMYFUNCTION("""COMPUTED_VALUE"""),11.0)</f>
        <v>11</v>
      </c>
      <c r="BS168" s="16" t="str">
        <f>IFERROR(__xludf.DUMMYFUNCTION("""COMPUTED_VALUE"""),"-/- (---)")</f>
        <v>-/- (---)</v>
      </c>
      <c r="BT168" s="16" t="str">
        <f>IFERROR(__xludf.DUMMYFUNCTION("""COMPUTED_VALUE"""),"E")</f>
        <v>E</v>
      </c>
      <c r="BU168" s="16">
        <f>IFERROR(__xludf.DUMMYFUNCTION("""COMPUTED_VALUE"""),12.0)</f>
        <v>12</v>
      </c>
      <c r="BV168" s="16">
        <f>IFERROR(__xludf.DUMMYFUNCTION("""COMPUTED_VALUE"""),0.0)</f>
        <v>0</v>
      </c>
      <c r="BW168" s="16">
        <f>IFERROR(__xludf.DUMMYFUNCTION("""COMPUTED_VALUE"""),0.0)</f>
        <v>0</v>
      </c>
      <c r="BX168" s="16">
        <f>IFERROR(__xludf.DUMMYFUNCTION("""COMPUTED_VALUE"""),0.0)</f>
        <v>0</v>
      </c>
      <c r="BY168" s="16">
        <f>IFERROR(__xludf.DUMMYFUNCTION("""COMPUTED_VALUE"""),0.0)</f>
        <v>0</v>
      </c>
      <c r="BZ168" s="16" t="str">
        <f>IFERROR(__xludf.DUMMYFUNCTION("""COMPUTED_VALUE"""),"D")</f>
        <v>D</v>
      </c>
      <c r="CA168" s="16" t="str">
        <f>IFERROR(__xludf.DUMMYFUNCTION("""COMPUTED_VALUE"""),"D")</f>
        <v>D</v>
      </c>
      <c r="CB168" s="16">
        <f>IFERROR(__xludf.DUMMYFUNCTION("""COMPUTED_VALUE"""),0.0)</f>
        <v>0</v>
      </c>
      <c r="CC168" s="16">
        <f>IFERROR(__xludf.DUMMYFUNCTION("""COMPUTED_VALUE"""),0.0)</f>
        <v>0</v>
      </c>
      <c r="CD168" s="16">
        <f>IFERROR(__xludf.DUMMYFUNCTION("""COMPUTED_VALUE"""),0.0)</f>
        <v>0</v>
      </c>
      <c r="CE168" s="16">
        <f>IFERROR(__xludf.DUMMYFUNCTION("""COMPUTED_VALUE"""),0.0)</f>
        <v>0</v>
      </c>
      <c r="CF168" s="16">
        <f>IFERROR(__xludf.DUMMYFUNCTION("""COMPUTED_VALUE"""),5.0)</f>
        <v>5</v>
      </c>
      <c r="CG168" s="16">
        <f>IFERROR(__xludf.DUMMYFUNCTION("""COMPUTED_VALUE"""),19.0)</f>
        <v>19</v>
      </c>
      <c r="CH168" s="16">
        <f>IFERROR(__xludf.DUMMYFUNCTION("""COMPUTED_VALUE"""),3.0)</f>
        <v>3</v>
      </c>
      <c r="CI168" s="179">
        <f>IFERROR(__xludf.DUMMYFUNCTION("""COMPUTED_VALUE"""),4.0)</f>
        <v>4</v>
      </c>
      <c r="CJ168" s="16"/>
      <c r="CK168" s="16"/>
      <c r="CL168" s="16">
        <f>IFERROR(__xludf.DUMMYFUNCTION("""COMPUTED_VALUE"""),571.0)</f>
        <v>571</v>
      </c>
      <c r="CM168" s="16">
        <f>IFERROR(__xludf.DUMMYFUNCTION("""COMPUTED_VALUE"""),321.0)</f>
        <v>321</v>
      </c>
      <c r="CN168" s="16"/>
      <c r="CO168" s="16"/>
      <c r="CP168" s="16"/>
      <c r="CQ168" s="16"/>
      <c r="CR168" s="16" t="str">
        <f>IFERROR(__xludf.DUMMYFUNCTION("""COMPUTED_VALUE"""),"3b-3e21 2b-5e71")</f>
        <v>3b-3e21 2b-5e71</v>
      </c>
      <c r="CS168" s="16"/>
      <c r="CT168" s="16"/>
      <c r="CU168" s="16">
        <f>IFERROR(__xludf.DUMMYFUNCTION("""COMPUTED_VALUE"""),5.0)</f>
        <v>5</v>
      </c>
      <c r="CV168" s="16">
        <f>IFERROR(__xludf.DUMMYFUNCTION("""COMPUTED_VALUE"""),3.0)</f>
        <v>3</v>
      </c>
      <c r="CW168" s="16"/>
      <c r="CX168" s="16"/>
      <c r="CY168" s="16"/>
      <c r="CZ168" s="16"/>
      <c r="DA168" s="16"/>
      <c r="DB168" s="16"/>
      <c r="DC168" s="16">
        <f>IFERROR(__xludf.DUMMYFUNCTION("""COMPUTED_VALUE"""),71.0)</f>
        <v>71</v>
      </c>
      <c r="DD168" s="16">
        <f>IFERROR(__xludf.DUMMYFUNCTION("""COMPUTED_VALUE"""),21.0)</f>
        <v>21</v>
      </c>
      <c r="DE168" s="16"/>
      <c r="DF168" s="16"/>
      <c r="DG168" s="16"/>
      <c r="DH168" s="16"/>
      <c r="DI168" s="16"/>
      <c r="DJ168" s="16"/>
      <c r="DK168" s="16">
        <f>IFERROR(__xludf.DUMMYFUNCTION("""COMPUTED_VALUE"""),-4.0)</f>
        <v>-4</v>
      </c>
      <c r="DL168" s="16">
        <f>IFERROR(__xludf.DUMMYFUNCTION("""COMPUTED_VALUE"""),1.0)</f>
        <v>1</v>
      </c>
      <c r="DM168" s="16"/>
      <c r="DN168" s="16"/>
      <c r="DO168" s="16"/>
      <c r="DP168" s="16"/>
      <c r="DQ168" s="16"/>
      <c r="DR168" s="16"/>
      <c r="DS168" s="16">
        <f>IFERROR(__xludf.DUMMYFUNCTION("""COMPUTED_VALUE"""),-2.0)</f>
        <v>-2</v>
      </c>
      <c r="DT168" s="16">
        <f>IFERROR(__xludf.DUMMYFUNCTION("""COMPUTED_VALUE"""),-2.0)</f>
        <v>-2</v>
      </c>
      <c r="DU168" s="16"/>
      <c r="DV168" s="16"/>
      <c r="DW168" s="16"/>
      <c r="DX168" s="16"/>
      <c r="DY168" s="16"/>
      <c r="DZ168" s="16"/>
      <c r="EA168" s="16">
        <f>IFERROR(__xludf.DUMMYFUNCTION("""COMPUTED_VALUE"""),-6.0)</f>
        <v>-6</v>
      </c>
      <c r="EB168" s="16">
        <f>IFERROR(__xludf.DUMMYFUNCTION("""COMPUTED_VALUE"""),-1.0)</f>
        <v>-1</v>
      </c>
      <c r="EC168" s="16"/>
      <c r="ED168" s="16"/>
      <c r="EE168" s="16"/>
      <c r="EF168" s="16"/>
      <c r="EG168" s="179"/>
      <c r="EH168" s="179"/>
      <c r="EI168" s="179">
        <f>IFERROR(__xludf.DUMMYFUNCTION("""COMPUTED_VALUE"""),-2.0)</f>
        <v>-2</v>
      </c>
      <c r="EJ168" s="179">
        <f>IFERROR(__xludf.DUMMYFUNCTION("""COMPUTED_VALUE"""),3.0)</f>
        <v>3</v>
      </c>
      <c r="EK168" s="179"/>
      <c r="EL168" s="179"/>
      <c r="EM168" s="179"/>
      <c r="EN168" s="179"/>
      <c r="EO168" s="16"/>
      <c r="EP168" s="16"/>
      <c r="EQ168" s="16">
        <f>IFERROR(__xludf.DUMMYFUNCTION("""COMPUTED_VALUE"""),-2.0)</f>
        <v>-2</v>
      </c>
      <c r="ER168" s="16">
        <f>IFERROR(__xludf.DUMMYFUNCTION("""COMPUTED_VALUE"""),-1.0)</f>
        <v>-1</v>
      </c>
      <c r="ES168" s="16"/>
      <c r="ET168" s="16"/>
      <c r="EU168" s="16"/>
      <c r="EV168" s="16"/>
      <c r="EW168" s="16"/>
      <c r="EX168" s="180"/>
      <c r="EY168" s="180"/>
      <c r="EZ168" s="180">
        <f>IFERROR(__xludf.DUMMYFUNCTION("""COMPUTED_VALUE"""),0.4)</f>
        <v>0.4</v>
      </c>
      <c r="FA168" s="180">
        <f>IFERROR(__xludf.DUMMYFUNCTION("""COMPUTED_VALUE"""),0.2)</f>
        <v>0.2</v>
      </c>
      <c r="FB168" s="180"/>
      <c r="FC168" s="180"/>
      <c r="FD168" s="180"/>
      <c r="FE168" s="180"/>
      <c r="FF168" s="180"/>
      <c r="FG168" s="180"/>
      <c r="FH168" s="180">
        <f>IFERROR(__xludf.DUMMYFUNCTION("""COMPUTED_VALUE"""),0.42592592592592593)</f>
        <v>0.4259259259</v>
      </c>
      <c r="FI168" s="180">
        <f>IFERROR(__xludf.DUMMYFUNCTION("""COMPUTED_VALUE"""),0.25)</f>
        <v>0.25</v>
      </c>
      <c r="FJ168" s="180"/>
      <c r="FK168" s="180"/>
      <c r="FL168" s="180"/>
      <c r="FM168" s="180"/>
      <c r="FN168" s="16"/>
      <c r="FO168" s="16"/>
      <c r="FP168" s="16">
        <f>IFERROR(__xludf.DUMMYFUNCTION("""COMPUTED_VALUE"""),0.34444444444444444)</f>
        <v>0.3444444444</v>
      </c>
      <c r="FQ168" s="16">
        <f>IFERROR(__xludf.DUMMYFUNCTION("""COMPUTED_VALUE"""),0.6000000000000001)</f>
        <v>0.6</v>
      </c>
      <c r="FR168" s="16"/>
      <c r="FS168" s="16"/>
      <c r="FT168" s="16"/>
      <c r="FU168" s="16"/>
      <c r="FV168" s="16"/>
      <c r="FW168" s="16"/>
      <c r="FX168" s="16">
        <f>IFERROR(__xludf.DUMMYFUNCTION("""COMPUTED_VALUE"""),-8.0)</f>
        <v>-8</v>
      </c>
      <c r="FY168" s="16">
        <f>IFERROR(__xludf.DUMMYFUNCTION("""COMPUTED_VALUE"""),-6.0)</f>
        <v>-6</v>
      </c>
      <c r="FZ168" s="16"/>
      <c r="GA168" s="16"/>
      <c r="GB168" s="16"/>
      <c r="GC168" s="16"/>
      <c r="GD168" s="16" t="s">
        <v>1755</v>
      </c>
    </row>
    <row r="169">
      <c r="A169" s="16">
        <f>IFERROR(__xludf.DUMMYFUNCTION("""COMPUTED_VALUE"""),13462.0)</f>
        <v>13462</v>
      </c>
      <c r="B169" s="16" t="str">
        <f>IFERROR(__xludf.DUMMYFUNCTION("""COMPUTED_VALUE"""),"Tyrone Taylor")</f>
        <v>Tyrone Taylor</v>
      </c>
      <c r="C169" s="16">
        <f>IFERROR(__xludf.DUMMYFUNCTION("""COMPUTED_VALUE"""),1.68)</f>
        <v>1.68</v>
      </c>
      <c r="D169" s="16" t="str">
        <f>IFERROR(__xludf.DUMMYFUNCTION("""COMPUTED_VALUE"""),"R")</f>
        <v>R</v>
      </c>
      <c r="E169" s="16"/>
      <c r="F169" s="16"/>
      <c r="G169" s="16">
        <f>IFERROR(__xludf.DUMMYFUNCTION("""COMPUTED_VALUE"""),319.0)</f>
        <v>319</v>
      </c>
      <c r="H169" s="16">
        <f>IFERROR(__xludf.DUMMYFUNCTION("""COMPUTED_VALUE"""),19.0)</f>
        <v>19</v>
      </c>
      <c r="I169" s="16" t="str">
        <f>IFERROR(__xludf.DUMMYFUNCTION("""COMPUTED_VALUE"""),"1p60")</f>
        <v>1p60</v>
      </c>
      <c r="J169" s="16">
        <f>IFERROR(__xludf.DUMMYFUNCTION("""COMPUTED_VALUE"""),22.0)</f>
        <v>22</v>
      </c>
      <c r="K169" s="16">
        <f>IFERROR(__xludf.DUMMYFUNCTION("""COMPUTED_VALUE"""),27.0)</f>
        <v>27</v>
      </c>
      <c r="L169" s="16">
        <f>IFERROR(__xludf.DUMMYFUNCTION("""COMPUTED_VALUE"""),0.0)</f>
        <v>0</v>
      </c>
      <c r="M169" s="16">
        <f>IFERROR(__xludf.DUMMYFUNCTION("""COMPUTED_VALUE"""),0.0)</f>
        <v>0</v>
      </c>
      <c r="N169" s="16">
        <f>IFERROR(__xludf.DUMMYFUNCTION("""COMPUTED_VALUE"""),0.0)</f>
        <v>0</v>
      </c>
      <c r="O169" s="16">
        <f>IFERROR(__xludf.DUMMYFUNCTION("""COMPUTED_VALUE"""),0.0)</f>
        <v>0</v>
      </c>
      <c r="P169" s="16">
        <f>IFERROR(__xludf.DUMMYFUNCTION("""COMPUTED_VALUE"""),7.0)</f>
        <v>7</v>
      </c>
      <c r="Q169" s="16">
        <f>IFERROR(__xludf.DUMMYFUNCTION("""COMPUTED_VALUE"""),2.0)</f>
        <v>2</v>
      </c>
      <c r="R169" s="16">
        <f>IFERROR(__xludf.DUMMYFUNCTION("""COMPUTED_VALUE"""),-1.0)</f>
        <v>-1</v>
      </c>
      <c r="S169" s="16">
        <f>IFERROR(__xludf.DUMMYFUNCTION("""COMPUTED_VALUE"""),-2.0)</f>
        <v>-2</v>
      </c>
      <c r="T169" s="16">
        <f>IFERROR(__xludf.DUMMYFUNCTION("""COMPUTED_VALUE"""),-1.0)</f>
        <v>-1</v>
      </c>
      <c r="U169" s="16">
        <f>IFERROR(__xludf.DUMMYFUNCTION("""COMPUTED_VALUE"""),-2.0)</f>
        <v>-2</v>
      </c>
      <c r="V169" s="16">
        <f>IFERROR(__xludf.DUMMYFUNCTION("""COMPUTED_VALUE"""),21.8)</f>
        <v>21.8</v>
      </c>
      <c r="W169" s="16">
        <f>IFERROR(__xludf.DUMMYFUNCTION("""COMPUTED_VALUE"""),24.0)</f>
        <v>24</v>
      </c>
      <c r="X169" s="16">
        <f>IFERROR(__xludf.DUMMYFUNCTION("""COMPUTED_VALUE"""),0.0)</f>
        <v>0</v>
      </c>
      <c r="Y169" s="16">
        <f>IFERROR(__xludf.DUMMYFUNCTION("""COMPUTED_VALUE"""),1.0)</f>
        <v>1</v>
      </c>
      <c r="Z169" s="16">
        <f>IFERROR(__xludf.DUMMYFUNCTION("""COMPUTED_VALUE"""),0.0)</f>
        <v>0</v>
      </c>
      <c r="AA169" s="16">
        <f>IFERROR(__xludf.DUMMYFUNCTION("""COMPUTED_VALUE"""),2.0)</f>
        <v>2</v>
      </c>
      <c r="AB169" s="16">
        <f>IFERROR(__xludf.DUMMYFUNCTION("""COMPUTED_VALUE"""),31.8)</f>
        <v>31.8</v>
      </c>
      <c r="AC169" s="16">
        <f>IFERROR(__xludf.DUMMYFUNCTION("""COMPUTED_VALUE"""),29.0)</f>
        <v>29</v>
      </c>
      <c r="AD169" s="16">
        <f>IFERROR(__xludf.DUMMYFUNCTION("""COMPUTED_VALUE"""),0.0)</f>
        <v>0</v>
      </c>
      <c r="AE169" s="16">
        <f>IFERROR(__xludf.DUMMYFUNCTION("""COMPUTED_VALUE"""),0.0)</f>
        <v>0</v>
      </c>
      <c r="AF169" s="16">
        <f>IFERROR(__xludf.DUMMYFUNCTION("""COMPUTED_VALUE"""),0.0)</f>
        <v>0</v>
      </c>
      <c r="AG169" s="16">
        <f>IFERROR(__xludf.DUMMYFUNCTION("""COMPUTED_VALUE"""),0.0)</f>
        <v>0</v>
      </c>
      <c r="AH169" s="16">
        <f>IFERROR(__xludf.DUMMYFUNCTION("""COMPUTED_VALUE"""),34.9)</f>
        <v>34.9</v>
      </c>
      <c r="AI169" s="16">
        <f>IFERROR(__xludf.DUMMYFUNCTION("""COMPUTED_VALUE"""),38.7)</f>
        <v>38.7</v>
      </c>
      <c r="AJ169" s="16">
        <f>IFERROR(__xludf.DUMMYFUNCTION("""COMPUTED_VALUE"""),0.0)</f>
        <v>0</v>
      </c>
      <c r="AK169" s="16">
        <f>IFERROR(__xludf.DUMMYFUNCTION("""COMPUTED_VALUE"""),1.0)</f>
        <v>1</v>
      </c>
      <c r="AL169" s="16">
        <f>IFERROR(__xludf.DUMMYFUNCTION("""COMPUTED_VALUE"""),0.0)</f>
        <v>0</v>
      </c>
      <c r="AM169" s="16">
        <f>IFERROR(__xludf.DUMMYFUNCTION("""COMPUTED_VALUE"""),5.0)</f>
        <v>5</v>
      </c>
      <c r="AN169" s="16">
        <f>IFERROR(__xludf.DUMMYFUNCTION("""COMPUTED_VALUE"""),0.8)</f>
        <v>0.8</v>
      </c>
      <c r="AO169" s="16">
        <f>IFERROR(__xludf.DUMMYFUNCTION("""COMPUTED_VALUE"""),1.0)</f>
        <v>1</v>
      </c>
      <c r="AP169" s="16">
        <f>IFERROR(__xludf.DUMMYFUNCTION("""COMPUTED_VALUE"""),-2.0)</f>
        <v>-2</v>
      </c>
      <c r="AQ169" s="16">
        <f>IFERROR(__xludf.DUMMYFUNCTION("""COMPUTED_VALUE"""),-2.0)</f>
        <v>-2</v>
      </c>
      <c r="AR169" s="16">
        <f>IFERROR(__xludf.DUMMYFUNCTION("""COMPUTED_VALUE"""),-4.0)</f>
        <v>-4</v>
      </c>
      <c r="AS169" s="16">
        <f>IFERROR(__xludf.DUMMYFUNCTION("""COMPUTED_VALUE"""),-4.0)</f>
        <v>-4</v>
      </c>
      <c r="AT169" s="16">
        <f>IFERROR(__xludf.DUMMYFUNCTION("""COMPUTED_VALUE"""),0.0)</f>
        <v>0</v>
      </c>
      <c r="AU169" s="16">
        <f>IFERROR(__xludf.DUMMYFUNCTION("""COMPUTED_VALUE"""),1.0)</f>
        <v>1</v>
      </c>
      <c r="AV169" s="16">
        <f>IFERROR(__xludf.DUMMYFUNCTION("""COMPUTED_VALUE"""),0.0)</f>
        <v>0</v>
      </c>
      <c r="AW169" s="16">
        <f>IFERROR(__xludf.DUMMYFUNCTION("""COMPUTED_VALUE"""),1.0)</f>
        <v>1</v>
      </c>
      <c r="AX169" s="16">
        <f>IFERROR(__xludf.DUMMYFUNCTION("""COMPUTED_VALUE"""),-2.0)</f>
        <v>-2</v>
      </c>
      <c r="AY169" s="16">
        <f>IFERROR(__xludf.DUMMYFUNCTION("""COMPUTED_VALUE"""),-1.0)</f>
        <v>-1</v>
      </c>
      <c r="AZ169" s="16">
        <f>IFERROR(__xludf.DUMMYFUNCTION("""COMPUTED_VALUE"""),-6.0)</f>
        <v>-6</v>
      </c>
      <c r="BA169" s="16">
        <f>IFERROR(__xludf.DUMMYFUNCTION("""COMPUTED_VALUE"""),-3.0)</f>
        <v>-3</v>
      </c>
      <c r="BB169" s="16">
        <f>IFERROR(__xludf.DUMMYFUNCTION("""COMPUTED_VALUE"""),5.0)</f>
        <v>5</v>
      </c>
      <c r="BC169" s="16">
        <f>IFERROR(__xludf.DUMMYFUNCTION("""COMPUTED_VALUE"""),5.0)</f>
        <v>5</v>
      </c>
      <c r="BD169" s="16">
        <f>IFERROR(__xludf.DUMMYFUNCTION("""COMPUTED_VALUE"""),1.0)</f>
        <v>1</v>
      </c>
      <c r="BE169" s="16">
        <f>IFERROR(__xludf.DUMMYFUNCTION("""COMPUTED_VALUE"""),1.0)</f>
        <v>1</v>
      </c>
      <c r="BF169" s="16">
        <f>IFERROR(__xludf.DUMMYFUNCTION("""COMPUTED_VALUE"""),1.0)</f>
        <v>1</v>
      </c>
      <c r="BG169" s="16">
        <f>IFERROR(__xludf.DUMMYFUNCTION("""COMPUTED_VALUE"""),1.0)</f>
        <v>1</v>
      </c>
      <c r="BH169" s="16">
        <f>IFERROR(__xludf.DUMMYFUNCTION("""COMPUTED_VALUE"""),-5.0)</f>
        <v>-5</v>
      </c>
      <c r="BI169" s="16">
        <f>IFERROR(__xludf.DUMMYFUNCTION("""COMPUTED_VALUE"""),-5.0)</f>
        <v>-5</v>
      </c>
      <c r="BJ169" s="16">
        <f>IFERROR(__xludf.DUMMYFUNCTION("""COMPUTED_VALUE"""),8.0)</f>
        <v>8</v>
      </c>
      <c r="BK169" s="16">
        <f>IFERROR(__xludf.DUMMYFUNCTION("""COMPUTED_VALUE"""),9.0)</f>
        <v>9</v>
      </c>
      <c r="BL169" s="16">
        <f>IFERROR(__xludf.DUMMYFUNCTION("""COMPUTED_VALUE"""),1.0)</f>
        <v>1</v>
      </c>
      <c r="BM169" s="16">
        <f>IFERROR(__xludf.DUMMYFUNCTION("""COMPUTED_VALUE"""),1.0)</f>
        <v>1</v>
      </c>
      <c r="BN169" s="16">
        <f>IFERROR(__xludf.DUMMYFUNCTION("""COMPUTED_VALUE"""),1.0)</f>
        <v>1</v>
      </c>
      <c r="BO169" s="16">
        <f>IFERROR(__xludf.DUMMYFUNCTION("""COMPUTED_VALUE"""),1.0)</f>
        <v>1</v>
      </c>
      <c r="BP169" s="16">
        <f>IFERROR(__xludf.DUMMYFUNCTION("""COMPUTED_VALUE"""),-3.0)</f>
        <v>-3</v>
      </c>
      <c r="BQ169" s="16">
        <f>IFERROR(__xludf.DUMMYFUNCTION("""COMPUTED_VALUE"""),-1.0)</f>
        <v>-1</v>
      </c>
      <c r="BR169" s="16">
        <f>IFERROR(__xludf.DUMMYFUNCTION("""COMPUTED_VALUE"""),-4.0)</f>
        <v>-4</v>
      </c>
      <c r="BS169" s="16" t="str">
        <f>IFERROR(__xludf.DUMMYFUNCTION("""COMPUTED_VALUE"""),"*4,6/- (19-12)")</f>
        <v>*4,6/- (19-12)</v>
      </c>
      <c r="BT169" s="16" t="str">
        <f>IFERROR(__xludf.DUMMYFUNCTION("""COMPUTED_VALUE"""),"B")</f>
        <v>B</v>
      </c>
      <c r="BU169" s="16">
        <f>IFERROR(__xludf.DUMMYFUNCTION("""COMPUTED_VALUE"""),14.0)</f>
        <v>14</v>
      </c>
      <c r="BV169" s="16">
        <f>IFERROR(__xludf.DUMMYFUNCTION("""COMPUTED_VALUE"""),1.0)</f>
        <v>1</v>
      </c>
      <c r="BW169" s="16">
        <f>IFERROR(__xludf.DUMMYFUNCTION("""COMPUTED_VALUE"""),1.0)</f>
        <v>1</v>
      </c>
      <c r="BX169" s="16">
        <f>IFERROR(__xludf.DUMMYFUNCTION("""COMPUTED_VALUE"""),2.0)</f>
        <v>2</v>
      </c>
      <c r="BY169" s="16">
        <f>IFERROR(__xludf.DUMMYFUNCTION("""COMPUTED_VALUE"""),3.0)</f>
        <v>3</v>
      </c>
      <c r="BZ169" s="16" t="str">
        <f>IFERROR(__xludf.DUMMYFUNCTION("""COMPUTED_VALUE"""),"D")</f>
        <v>D</v>
      </c>
      <c r="CA169" s="16" t="str">
        <f>IFERROR(__xludf.DUMMYFUNCTION("""COMPUTED_VALUE"""),"D")</f>
        <v>D</v>
      </c>
      <c r="CB169" s="16">
        <f>IFERROR(__xludf.DUMMYFUNCTION("""COMPUTED_VALUE"""),0.0)</f>
        <v>0</v>
      </c>
      <c r="CC169" s="16">
        <f>IFERROR(__xludf.DUMMYFUNCTION("""COMPUTED_VALUE"""),0.0)</f>
        <v>0</v>
      </c>
      <c r="CD169" s="16">
        <f>IFERROR(__xludf.DUMMYFUNCTION("""COMPUTED_VALUE"""),0.0)</f>
        <v>0</v>
      </c>
      <c r="CE169" s="16">
        <f>IFERROR(__xludf.DUMMYFUNCTION("""COMPUTED_VALUE"""),0.0)</f>
        <v>0</v>
      </c>
      <c r="CF169" s="16">
        <f>IFERROR(__xludf.DUMMYFUNCTION("""COMPUTED_VALUE"""),1.0)</f>
        <v>1</v>
      </c>
      <c r="CG169" s="16">
        <f>IFERROR(__xludf.DUMMYFUNCTION("""COMPUTED_VALUE"""),-9.0)</f>
        <v>-9</v>
      </c>
      <c r="CH169" s="16">
        <f>IFERROR(__xludf.DUMMYFUNCTION("""COMPUTED_VALUE"""),0.0)</f>
        <v>0</v>
      </c>
      <c r="CI169" s="179">
        <f>IFERROR(__xludf.DUMMYFUNCTION("""COMPUTED_VALUE"""),4.0)</f>
        <v>4</v>
      </c>
      <c r="CJ169" s="16"/>
      <c r="CK169" s="16"/>
      <c r="CL169" s="16"/>
      <c r="CM169" s="16"/>
      <c r="CN169" s="16"/>
      <c r="CO169" s="16">
        <f>IFERROR(__xludf.DUMMYFUNCTION("""COMPUTED_VALUE"""),206.0)</f>
        <v>206</v>
      </c>
      <c r="CP169" s="16">
        <f>IFERROR(__xludf.DUMMYFUNCTION("""COMPUTED_VALUE"""),206.0)</f>
        <v>206</v>
      </c>
      <c r="CQ169" s="16">
        <f>IFERROR(__xludf.DUMMYFUNCTION("""COMPUTED_VALUE"""),106.0)</f>
        <v>106</v>
      </c>
      <c r="CR169" s="16" t="str">
        <f>IFERROR(__xludf.DUMMYFUNCTION("""COMPUTED_VALUE"""),"rf-1(-1)e6 cf-2e6 lf-2e6")</f>
        <v>rf-1(-1)e6 cf-2e6 lf-2e6</v>
      </c>
      <c r="CS169" s="16"/>
      <c r="CT169" s="16"/>
      <c r="CU169" s="16"/>
      <c r="CV169" s="16"/>
      <c r="CW169" s="16"/>
      <c r="CX169" s="16">
        <f>IFERROR(__xludf.DUMMYFUNCTION("""COMPUTED_VALUE"""),2.0)</f>
        <v>2</v>
      </c>
      <c r="CY169" s="16">
        <f>IFERROR(__xludf.DUMMYFUNCTION("""COMPUTED_VALUE"""),2.0)</f>
        <v>2</v>
      </c>
      <c r="CZ169" s="16">
        <f>IFERROR(__xludf.DUMMYFUNCTION("""COMPUTED_VALUE"""),1.0)</f>
        <v>1</v>
      </c>
      <c r="DA169" s="16"/>
      <c r="DB169" s="16"/>
      <c r="DC169" s="16"/>
      <c r="DD169" s="16"/>
      <c r="DE169" s="16"/>
      <c r="DF169" s="16">
        <f>IFERROR(__xludf.DUMMYFUNCTION("""COMPUTED_VALUE"""),6.0)</f>
        <v>6</v>
      </c>
      <c r="DG169" s="16">
        <f>IFERROR(__xludf.DUMMYFUNCTION("""COMPUTED_VALUE"""),6.0)</f>
        <v>6</v>
      </c>
      <c r="DH169" s="16">
        <f>IFERROR(__xludf.DUMMYFUNCTION("""COMPUTED_VALUE"""),6.0)</f>
        <v>6</v>
      </c>
      <c r="DI169" s="16"/>
      <c r="DJ169" s="16"/>
      <c r="DK169" s="16"/>
      <c r="DL169" s="16"/>
      <c r="DM169" s="16"/>
      <c r="DN169" s="16">
        <f>IFERROR(__xludf.DUMMYFUNCTION("""COMPUTED_VALUE"""),3.0)</f>
        <v>3</v>
      </c>
      <c r="DO169" s="16">
        <f>IFERROR(__xludf.DUMMYFUNCTION("""COMPUTED_VALUE"""),2.0)</f>
        <v>2</v>
      </c>
      <c r="DP169" s="16">
        <f>IFERROR(__xludf.DUMMYFUNCTION("""COMPUTED_VALUE"""),4.0)</f>
        <v>4</v>
      </c>
      <c r="DQ169" s="16"/>
      <c r="DR169" s="16"/>
      <c r="DS169" s="16"/>
      <c r="DT169" s="16"/>
      <c r="DU169" s="16"/>
      <c r="DV169" s="16">
        <f>IFERROR(__xludf.DUMMYFUNCTION("""COMPUTED_VALUE"""),2.0)</f>
        <v>2</v>
      </c>
      <c r="DW169" s="16">
        <f>IFERROR(__xludf.DUMMYFUNCTION("""COMPUTED_VALUE"""),3.0)</f>
        <v>3</v>
      </c>
      <c r="DX169" s="16">
        <f>IFERROR(__xludf.DUMMYFUNCTION("""COMPUTED_VALUE"""),2.0)</f>
        <v>2</v>
      </c>
      <c r="DY169" s="16"/>
      <c r="DZ169" s="16"/>
      <c r="EA169" s="16"/>
      <c r="EB169" s="16"/>
      <c r="EC169" s="16"/>
      <c r="ED169" s="16">
        <f>IFERROR(__xludf.DUMMYFUNCTION("""COMPUTED_VALUE"""),5.0)</f>
        <v>5</v>
      </c>
      <c r="EE169" s="16">
        <f>IFERROR(__xludf.DUMMYFUNCTION("""COMPUTED_VALUE"""),5.0)</f>
        <v>5</v>
      </c>
      <c r="EF169" s="16">
        <f>IFERROR(__xludf.DUMMYFUNCTION("""COMPUTED_VALUE"""),6.0)</f>
        <v>6</v>
      </c>
      <c r="EG169" s="179"/>
      <c r="EH169" s="179"/>
      <c r="EI169" s="179"/>
      <c r="EJ169" s="179"/>
      <c r="EK169" s="179"/>
      <c r="EL169" s="179">
        <f>IFERROR(__xludf.DUMMYFUNCTION("""COMPUTED_VALUE"""),9.0)</f>
        <v>9</v>
      </c>
      <c r="EM169" s="179">
        <f>IFERROR(__xludf.DUMMYFUNCTION("""COMPUTED_VALUE"""),9.0)</f>
        <v>9</v>
      </c>
      <c r="EN169" s="179">
        <f>IFERROR(__xludf.DUMMYFUNCTION("""COMPUTED_VALUE"""),10.0)</f>
        <v>10</v>
      </c>
      <c r="EO169" s="16"/>
      <c r="EP169" s="16"/>
      <c r="EQ169" s="16">
        <f>IFERROR(__xludf.DUMMYFUNCTION("""COMPUTED_VALUE"""),4.0)</f>
        <v>4</v>
      </c>
      <c r="ER169" s="16">
        <f>IFERROR(__xludf.DUMMYFUNCTION("""COMPUTED_VALUE"""),1.0)</f>
        <v>1</v>
      </c>
      <c r="ES169" s="16"/>
      <c r="ET169" s="16"/>
      <c r="EU169" s="16"/>
      <c r="EV169" s="16"/>
      <c r="EW169" s="16"/>
      <c r="EX169" s="180"/>
      <c r="EY169" s="180"/>
      <c r="EZ169" s="180"/>
      <c r="FA169" s="180"/>
      <c r="FB169" s="180"/>
      <c r="FC169" s="180">
        <f>IFERROR(__xludf.DUMMYFUNCTION("""COMPUTED_VALUE"""),0.15)</f>
        <v>0.15</v>
      </c>
      <c r="FD169" s="180">
        <f>IFERROR(__xludf.DUMMYFUNCTION("""COMPUTED_VALUE"""),0.15)</f>
        <v>0.15</v>
      </c>
      <c r="FE169" s="180">
        <f>IFERROR(__xludf.DUMMYFUNCTION("""COMPUTED_VALUE"""),0.0)</f>
        <v>0</v>
      </c>
      <c r="FF169" s="180"/>
      <c r="FG169" s="180"/>
      <c r="FH169" s="180"/>
      <c r="FI169" s="180"/>
      <c r="FJ169" s="180"/>
      <c r="FK169" s="180">
        <f>IFERROR(__xludf.DUMMYFUNCTION("""COMPUTED_VALUE"""),0.106)</f>
        <v>0.106</v>
      </c>
      <c r="FL169" s="180">
        <f>IFERROR(__xludf.DUMMYFUNCTION("""COMPUTED_VALUE"""),0.06944444444444445)</f>
        <v>0.06944444444</v>
      </c>
      <c r="FM169" s="180">
        <f>IFERROR(__xludf.DUMMYFUNCTION("""COMPUTED_VALUE"""),0.106)</f>
        <v>0.106</v>
      </c>
      <c r="FN169" s="16"/>
      <c r="FO169" s="16"/>
      <c r="FP169" s="16"/>
      <c r="FQ169" s="16"/>
      <c r="FR169" s="16"/>
      <c r="FS169" s="16">
        <f>IFERROR(__xludf.DUMMYFUNCTION("""COMPUTED_VALUE"""),0.7599)</f>
        <v>0.7599</v>
      </c>
      <c r="FT169" s="16">
        <f>IFERROR(__xludf.DUMMYFUNCTION("""COMPUTED_VALUE"""),0.7909722222222222)</f>
        <v>0.7909722222</v>
      </c>
      <c r="FU169" s="16">
        <f>IFERROR(__xludf.DUMMYFUNCTION("""COMPUTED_VALUE"""),0.894)</f>
        <v>0.894</v>
      </c>
      <c r="FV169" s="16"/>
      <c r="FW169" s="16"/>
      <c r="FX169" s="16"/>
      <c r="FY169" s="16"/>
      <c r="FZ169" s="16"/>
      <c r="GA169" s="16">
        <f>IFERROR(__xludf.DUMMYFUNCTION("""COMPUTED_VALUE"""),-1.0)</f>
        <v>-1</v>
      </c>
      <c r="GB169" s="16">
        <f>IFERROR(__xludf.DUMMYFUNCTION("""COMPUTED_VALUE"""),-1.0)</f>
        <v>-1</v>
      </c>
      <c r="GC169" s="16">
        <f>IFERROR(__xludf.DUMMYFUNCTION("""COMPUTED_VALUE"""),4.0)</f>
        <v>4</v>
      </c>
      <c r="GD169" s="16" t="s">
        <v>176</v>
      </c>
    </row>
    <row r="170">
      <c r="A170" s="16">
        <f>IFERROR(__xludf.DUMMYFUNCTION("""COMPUTED_VALUE"""),13238.0)</f>
        <v>13238</v>
      </c>
      <c r="B170" s="16" t="str">
        <f>IFERROR(__xludf.DUMMYFUNCTION("""COMPUTED_VALUE"""),"Nick Gonzales")</f>
        <v>Nick Gonzales</v>
      </c>
      <c r="C170" s="16">
        <f>IFERROR(__xludf.DUMMYFUNCTION("""COMPUTED_VALUE"""),0.67)</f>
        <v>0.67</v>
      </c>
      <c r="D170" s="16" t="str">
        <f>IFERROR(__xludf.DUMMYFUNCTION("""COMPUTED_VALUE"""),"R")</f>
        <v>R</v>
      </c>
      <c r="E170" s="16"/>
      <c r="F170" s="16"/>
      <c r="G170" s="16">
        <f>IFERROR(__xludf.DUMMYFUNCTION("""COMPUTED_VALUE"""),359.0)</f>
        <v>359</v>
      </c>
      <c r="H170" s="16">
        <f>IFERROR(__xludf.DUMMYFUNCTION("""COMPUTED_VALUE"""),18.0)</f>
        <v>18</v>
      </c>
      <c r="I170" s="16" t="str">
        <f>IFERROR(__xludf.DUMMYFUNCTION("""COMPUTED_VALUE"""),"2p50")</f>
        <v>2p50</v>
      </c>
      <c r="J170" s="16">
        <f>IFERROR(__xludf.DUMMYFUNCTION("""COMPUTED_VALUE"""),27.0)</f>
        <v>27</v>
      </c>
      <c r="K170" s="16">
        <f>IFERROR(__xludf.DUMMYFUNCTION("""COMPUTED_VALUE"""),13.0)</f>
        <v>13</v>
      </c>
      <c r="L170" s="16">
        <f>IFERROR(__xludf.DUMMYFUNCTION("""COMPUTED_VALUE"""),0.0)</f>
        <v>0</v>
      </c>
      <c r="M170" s="16">
        <f>IFERROR(__xludf.DUMMYFUNCTION("""COMPUTED_VALUE"""),1.0)</f>
        <v>1</v>
      </c>
      <c r="N170" s="16">
        <f>IFERROR(__xludf.DUMMYFUNCTION("""COMPUTED_VALUE"""),0.0)</f>
        <v>0</v>
      </c>
      <c r="O170" s="16">
        <f>IFERROR(__xludf.DUMMYFUNCTION("""COMPUTED_VALUE"""),1.0)</f>
        <v>1</v>
      </c>
      <c r="P170" s="16">
        <f>IFERROR(__xludf.DUMMYFUNCTION("""COMPUTED_VALUE"""),0.0)</f>
        <v>0</v>
      </c>
      <c r="Q170" s="16">
        <f>IFERROR(__xludf.DUMMYFUNCTION("""COMPUTED_VALUE"""),4.0)</f>
        <v>4</v>
      </c>
      <c r="R170" s="16">
        <f>IFERROR(__xludf.DUMMYFUNCTION("""COMPUTED_VALUE"""),-3.0)</f>
        <v>-3</v>
      </c>
      <c r="S170" s="16">
        <f>IFERROR(__xludf.DUMMYFUNCTION("""COMPUTED_VALUE"""),-2.0)</f>
        <v>-2</v>
      </c>
      <c r="T170" s="16">
        <f>IFERROR(__xludf.DUMMYFUNCTION("""COMPUTED_VALUE"""),-3.0)</f>
        <v>-3</v>
      </c>
      <c r="U170" s="16">
        <f>IFERROR(__xludf.DUMMYFUNCTION("""COMPUTED_VALUE"""),-2.0)</f>
        <v>-2</v>
      </c>
      <c r="V170" s="16">
        <f>IFERROR(__xludf.DUMMYFUNCTION("""COMPUTED_VALUE"""),30.9)</f>
        <v>30.9</v>
      </c>
      <c r="W170" s="16">
        <f>IFERROR(__xludf.DUMMYFUNCTION("""COMPUTED_VALUE"""),22.8)</f>
        <v>22.8</v>
      </c>
      <c r="X170" s="16">
        <f>IFERROR(__xludf.DUMMYFUNCTION("""COMPUTED_VALUE"""),2.0)</f>
        <v>2</v>
      </c>
      <c r="Y170" s="16">
        <f>IFERROR(__xludf.DUMMYFUNCTION("""COMPUTED_VALUE"""),1.0)</f>
        <v>1</v>
      </c>
      <c r="Z170" s="16">
        <f>IFERROR(__xludf.DUMMYFUNCTION("""COMPUTED_VALUE"""),4.0)</f>
        <v>4</v>
      </c>
      <c r="AA170" s="16">
        <f>IFERROR(__xludf.DUMMYFUNCTION("""COMPUTED_VALUE"""),2.0)</f>
        <v>2</v>
      </c>
      <c r="AB170" s="16">
        <f>IFERROR(__xludf.DUMMYFUNCTION("""COMPUTED_VALUE"""),33.9)</f>
        <v>33.9</v>
      </c>
      <c r="AC170" s="16">
        <f>IFERROR(__xludf.DUMMYFUNCTION("""COMPUTED_VALUE"""),29.8)</f>
        <v>29.8</v>
      </c>
      <c r="AD170" s="16">
        <f>IFERROR(__xludf.DUMMYFUNCTION("""COMPUTED_VALUE"""),0.0)</f>
        <v>0</v>
      </c>
      <c r="AE170" s="16">
        <f>IFERROR(__xludf.DUMMYFUNCTION("""COMPUTED_VALUE"""),0.0)</f>
        <v>0</v>
      </c>
      <c r="AF170" s="16">
        <f>IFERROR(__xludf.DUMMYFUNCTION("""COMPUTED_VALUE"""),0.0)</f>
        <v>0</v>
      </c>
      <c r="AG170" s="16">
        <f>IFERROR(__xludf.DUMMYFUNCTION("""COMPUTED_VALUE"""),0.0)</f>
        <v>0</v>
      </c>
      <c r="AH170" s="16">
        <f>IFERROR(__xludf.DUMMYFUNCTION("""COMPUTED_VALUE"""),47.5)</f>
        <v>47.5</v>
      </c>
      <c r="AI170" s="16">
        <f>IFERROR(__xludf.DUMMYFUNCTION("""COMPUTED_VALUE"""),38.5)</f>
        <v>38.5</v>
      </c>
      <c r="AJ170" s="16">
        <f>IFERROR(__xludf.DUMMYFUNCTION("""COMPUTED_VALUE"""),1.0)</f>
        <v>1</v>
      </c>
      <c r="AK170" s="16">
        <f>IFERROR(__xludf.DUMMYFUNCTION("""COMPUTED_VALUE"""),1.0)</f>
        <v>1</v>
      </c>
      <c r="AL170" s="16">
        <f>IFERROR(__xludf.DUMMYFUNCTION("""COMPUTED_VALUE"""),5.0)</f>
        <v>5</v>
      </c>
      <c r="AM170" s="16">
        <f>IFERROR(__xludf.DUMMYFUNCTION("""COMPUTED_VALUE"""),5.0)</f>
        <v>5</v>
      </c>
      <c r="AN170" s="16">
        <f>IFERROR(__xludf.DUMMYFUNCTION("""COMPUTED_VALUE"""),1.8)</f>
        <v>1.8</v>
      </c>
      <c r="AO170" s="16">
        <f>IFERROR(__xludf.DUMMYFUNCTION("""COMPUTED_VALUE"""),3.0)</f>
        <v>3</v>
      </c>
      <c r="AP170" s="16">
        <f>IFERROR(__xludf.DUMMYFUNCTION("""COMPUTED_VALUE"""),-1.0)</f>
        <v>-1</v>
      </c>
      <c r="AQ170" s="16">
        <f>IFERROR(__xludf.DUMMYFUNCTION("""COMPUTED_VALUE"""),1.0)</f>
        <v>1</v>
      </c>
      <c r="AR170" s="16">
        <f>IFERROR(__xludf.DUMMYFUNCTION("""COMPUTED_VALUE"""),-2.0)</f>
        <v>-2</v>
      </c>
      <c r="AS170" s="16">
        <f>IFERROR(__xludf.DUMMYFUNCTION("""COMPUTED_VALUE"""),2.0)</f>
        <v>2</v>
      </c>
      <c r="AT170" s="16">
        <f>IFERROR(__xludf.DUMMYFUNCTION("""COMPUTED_VALUE"""),4.0)</f>
        <v>4</v>
      </c>
      <c r="AU170" s="16"/>
      <c r="AV170" s="16">
        <f>IFERROR(__xludf.DUMMYFUNCTION("""COMPUTED_VALUE"""),4.0)</f>
        <v>4</v>
      </c>
      <c r="AW170" s="16">
        <f>IFERROR(__xludf.DUMMYFUNCTION("""COMPUTED_VALUE"""),-3.0)</f>
        <v>-3</v>
      </c>
      <c r="AX170" s="16">
        <f>IFERROR(__xludf.DUMMYFUNCTION("""COMPUTED_VALUE"""),2.0)</f>
        <v>2</v>
      </c>
      <c r="AY170" s="16">
        <f>IFERROR(__xludf.DUMMYFUNCTION("""COMPUTED_VALUE"""),-3.0)</f>
        <v>-3</v>
      </c>
      <c r="AZ170" s="16">
        <f>IFERROR(__xludf.DUMMYFUNCTION("""COMPUTED_VALUE"""),6.0)</f>
        <v>6</v>
      </c>
      <c r="BA170" s="16">
        <f>IFERROR(__xludf.DUMMYFUNCTION("""COMPUTED_VALUE"""),-9.0)</f>
        <v>-9</v>
      </c>
      <c r="BB170" s="16">
        <f>IFERROR(__xludf.DUMMYFUNCTION("""COMPUTED_VALUE"""),5.0)</f>
        <v>5</v>
      </c>
      <c r="BC170" s="16">
        <f>IFERROR(__xludf.DUMMYFUNCTION("""COMPUTED_VALUE"""),5.0)</f>
        <v>5</v>
      </c>
      <c r="BD170" s="16">
        <f>IFERROR(__xludf.DUMMYFUNCTION("""COMPUTED_VALUE"""),1.0)</f>
        <v>1</v>
      </c>
      <c r="BE170" s="16">
        <f>IFERROR(__xludf.DUMMYFUNCTION("""COMPUTED_VALUE"""),1.0)</f>
        <v>1</v>
      </c>
      <c r="BF170" s="16">
        <f>IFERROR(__xludf.DUMMYFUNCTION("""COMPUTED_VALUE"""),1.0)</f>
        <v>1</v>
      </c>
      <c r="BG170" s="16">
        <f>IFERROR(__xludf.DUMMYFUNCTION("""COMPUTED_VALUE"""),1.0)</f>
        <v>1</v>
      </c>
      <c r="BH170" s="16">
        <f>IFERROR(__xludf.DUMMYFUNCTION("""COMPUTED_VALUE"""),11.0)</f>
        <v>11</v>
      </c>
      <c r="BI170" s="16">
        <f>IFERROR(__xludf.DUMMYFUNCTION("""COMPUTED_VALUE"""),10.0)</f>
        <v>10</v>
      </c>
      <c r="BJ170" s="16">
        <f>IFERROR(__xludf.DUMMYFUNCTION("""COMPUTED_VALUE"""),15.0)</f>
        <v>15</v>
      </c>
      <c r="BK170" s="16">
        <f>IFERROR(__xludf.DUMMYFUNCTION("""COMPUTED_VALUE"""),16.0)</f>
        <v>16</v>
      </c>
      <c r="BL170" s="16">
        <f>IFERROR(__xludf.DUMMYFUNCTION("""COMPUTED_VALUE"""),-1.0)</f>
        <v>-1</v>
      </c>
      <c r="BM170" s="16">
        <f>IFERROR(__xludf.DUMMYFUNCTION("""COMPUTED_VALUE"""),-1.0)</f>
        <v>-1</v>
      </c>
      <c r="BN170" s="16">
        <f>IFERROR(__xludf.DUMMYFUNCTION("""COMPUTED_VALUE"""),-2.0)</f>
        <v>-2</v>
      </c>
      <c r="BO170" s="16">
        <f>IFERROR(__xludf.DUMMYFUNCTION("""COMPUTED_VALUE"""),-2.0)</f>
        <v>-2</v>
      </c>
      <c r="BP170" s="16">
        <f>IFERROR(__xludf.DUMMYFUNCTION("""COMPUTED_VALUE"""),1.0)</f>
        <v>1</v>
      </c>
      <c r="BQ170" s="16">
        <f>IFERROR(__xludf.DUMMYFUNCTION("""COMPUTED_VALUE"""),-1.0)</f>
        <v>-1</v>
      </c>
      <c r="BR170" s="16">
        <f>IFERROR(__xludf.DUMMYFUNCTION("""COMPUTED_VALUE"""),0.0)</f>
        <v>0</v>
      </c>
      <c r="BS170" s="16" t="str">
        <f>IFERROR(__xludf.DUMMYFUNCTION("""COMPUTED_VALUE"""),"*2-5,12/- (15-11)")</f>
        <v>*2-5,12/- (15-11)</v>
      </c>
      <c r="BT170" s="16" t="str">
        <f>IFERROR(__xludf.DUMMYFUNCTION("""COMPUTED_VALUE"""),"C")</f>
        <v>C</v>
      </c>
      <c r="BU170" s="16">
        <f>IFERROR(__xludf.DUMMYFUNCTION("""COMPUTED_VALUE"""),15.0)</f>
        <v>15</v>
      </c>
      <c r="BV170" s="16">
        <f>IFERROR(__xludf.DUMMYFUNCTION("""COMPUTED_VALUE"""),0.0)</f>
        <v>0</v>
      </c>
      <c r="BW170" s="16">
        <f>IFERROR(__xludf.DUMMYFUNCTION("""COMPUTED_VALUE"""),2.0)</f>
        <v>2</v>
      </c>
      <c r="BX170" s="16">
        <f>IFERROR(__xludf.DUMMYFUNCTION("""COMPUTED_VALUE"""),0.0)</f>
        <v>0</v>
      </c>
      <c r="BY170" s="16">
        <f>IFERROR(__xludf.DUMMYFUNCTION("""COMPUTED_VALUE"""),6.0)</f>
        <v>6</v>
      </c>
      <c r="BZ170" s="16" t="str">
        <f>IFERROR(__xludf.DUMMYFUNCTION("""COMPUTED_VALUE"""),"D")</f>
        <v>D</v>
      </c>
      <c r="CA170" s="16" t="str">
        <f>IFERROR(__xludf.DUMMYFUNCTION("""COMPUTED_VALUE"""),"C")</f>
        <v>C</v>
      </c>
      <c r="CB170" s="16">
        <f>IFERROR(__xludf.DUMMYFUNCTION("""COMPUTED_VALUE"""),0.0)</f>
        <v>0</v>
      </c>
      <c r="CC170" s="16">
        <f>IFERROR(__xludf.DUMMYFUNCTION("""COMPUTED_VALUE"""),0.0)</f>
        <v>0</v>
      </c>
      <c r="CD170" s="16">
        <f>IFERROR(__xludf.DUMMYFUNCTION("""COMPUTED_VALUE"""),0.0)</f>
        <v>0</v>
      </c>
      <c r="CE170" s="16">
        <f>IFERROR(__xludf.DUMMYFUNCTION("""COMPUTED_VALUE"""),0.0)</f>
        <v>0</v>
      </c>
      <c r="CF170" s="16">
        <f>IFERROR(__xludf.DUMMYFUNCTION("""COMPUTED_VALUE"""),2.0)</f>
        <v>2</v>
      </c>
      <c r="CG170" s="16">
        <f>IFERROR(__xludf.DUMMYFUNCTION("""COMPUTED_VALUE"""),9.0)</f>
        <v>9</v>
      </c>
      <c r="CH170" s="16">
        <f>IFERROR(__xludf.DUMMYFUNCTION("""COMPUTED_VALUE"""),-2.0)</f>
        <v>-2</v>
      </c>
      <c r="CI170" s="179">
        <f>IFERROR(__xludf.DUMMYFUNCTION("""COMPUTED_VALUE"""),4.0)</f>
        <v>4</v>
      </c>
      <c r="CJ170" s="16"/>
      <c r="CK170" s="16"/>
      <c r="CL170" s="16">
        <f>IFERROR(__xludf.DUMMYFUNCTION("""COMPUTED_VALUE"""),410.0)</f>
        <v>410</v>
      </c>
      <c r="CM170" s="16">
        <f>IFERROR(__xludf.DUMMYFUNCTION("""COMPUTED_VALUE"""),434.0)</f>
        <v>434</v>
      </c>
      <c r="CN170" s="16">
        <f>IFERROR(__xludf.DUMMYFUNCTION("""COMPUTED_VALUE"""),448.0)</f>
        <v>448</v>
      </c>
      <c r="CO170" s="16"/>
      <c r="CP170" s="16"/>
      <c r="CQ170" s="16"/>
      <c r="CR170" s="16" t="str">
        <f>IFERROR(__xludf.DUMMYFUNCTION("""COMPUTED_VALUE"""),"2b-4e10 ss-4e48 3b-4e34")</f>
        <v>2b-4e10 ss-4e48 3b-4e34</v>
      </c>
      <c r="CS170" s="16"/>
      <c r="CT170" s="16"/>
      <c r="CU170" s="16">
        <f>IFERROR(__xludf.DUMMYFUNCTION("""COMPUTED_VALUE"""),4.0)</f>
        <v>4</v>
      </c>
      <c r="CV170" s="16">
        <f>IFERROR(__xludf.DUMMYFUNCTION("""COMPUTED_VALUE"""),4.0)</f>
        <v>4</v>
      </c>
      <c r="CW170" s="16">
        <f>IFERROR(__xludf.DUMMYFUNCTION("""COMPUTED_VALUE"""),4.0)</f>
        <v>4</v>
      </c>
      <c r="CX170" s="16"/>
      <c r="CY170" s="16"/>
      <c r="CZ170" s="16"/>
      <c r="DA170" s="16"/>
      <c r="DB170" s="16"/>
      <c r="DC170" s="16">
        <f>IFERROR(__xludf.DUMMYFUNCTION("""COMPUTED_VALUE"""),10.0)</f>
        <v>10</v>
      </c>
      <c r="DD170" s="16">
        <f>IFERROR(__xludf.DUMMYFUNCTION("""COMPUTED_VALUE"""),34.0)</f>
        <v>34</v>
      </c>
      <c r="DE170" s="16">
        <f>IFERROR(__xludf.DUMMYFUNCTION("""COMPUTED_VALUE"""),48.0)</f>
        <v>48</v>
      </c>
      <c r="DF170" s="16"/>
      <c r="DG170" s="16"/>
      <c r="DH170" s="16"/>
      <c r="DI170" s="16"/>
      <c r="DJ170" s="16"/>
      <c r="DK170" s="16">
        <f>IFERROR(__xludf.DUMMYFUNCTION("""COMPUTED_VALUE"""),-2.0)</f>
        <v>-2</v>
      </c>
      <c r="DL170" s="16">
        <f>IFERROR(__xludf.DUMMYFUNCTION("""COMPUTED_VALUE"""),0.0)</f>
        <v>0</v>
      </c>
      <c r="DM170" s="16">
        <f>IFERROR(__xludf.DUMMYFUNCTION("""COMPUTED_VALUE"""),-2.0)</f>
        <v>-2</v>
      </c>
      <c r="DN170" s="16"/>
      <c r="DO170" s="16"/>
      <c r="DP170" s="16"/>
      <c r="DQ170" s="16"/>
      <c r="DR170" s="16"/>
      <c r="DS170" s="16">
        <f>IFERROR(__xludf.DUMMYFUNCTION("""COMPUTED_VALUE"""),3.0)</f>
        <v>3</v>
      </c>
      <c r="DT170" s="16">
        <f>IFERROR(__xludf.DUMMYFUNCTION("""COMPUTED_VALUE"""),-2.0)</f>
        <v>-2</v>
      </c>
      <c r="DU170" s="16">
        <f>IFERROR(__xludf.DUMMYFUNCTION("""COMPUTED_VALUE"""),-2.0)</f>
        <v>-2</v>
      </c>
      <c r="DV170" s="16"/>
      <c r="DW170" s="16"/>
      <c r="DX170" s="16"/>
      <c r="DY170" s="16"/>
      <c r="DZ170" s="16"/>
      <c r="EA170" s="16">
        <f>IFERROR(__xludf.DUMMYFUNCTION("""COMPUTED_VALUE"""),1.0)</f>
        <v>1</v>
      </c>
      <c r="EB170" s="16">
        <f>IFERROR(__xludf.DUMMYFUNCTION("""COMPUTED_VALUE"""),-2.0)</f>
        <v>-2</v>
      </c>
      <c r="EC170" s="16">
        <f>IFERROR(__xludf.DUMMYFUNCTION("""COMPUTED_VALUE"""),-4.0)</f>
        <v>-4</v>
      </c>
      <c r="ED170" s="16"/>
      <c r="EE170" s="16"/>
      <c r="EF170" s="16"/>
      <c r="EG170" s="179"/>
      <c r="EH170" s="179"/>
      <c r="EI170" s="179">
        <f>IFERROR(__xludf.DUMMYFUNCTION("""COMPUTED_VALUE"""),5.0)</f>
        <v>5</v>
      </c>
      <c r="EJ170" s="179">
        <f>IFERROR(__xludf.DUMMYFUNCTION("""COMPUTED_VALUE"""),2.0)</f>
        <v>2</v>
      </c>
      <c r="EK170" s="179">
        <f>IFERROR(__xludf.DUMMYFUNCTION("""COMPUTED_VALUE"""),0.0)</f>
        <v>0</v>
      </c>
      <c r="EL170" s="179"/>
      <c r="EM170" s="179"/>
      <c r="EN170" s="179"/>
      <c r="EO170" s="16"/>
      <c r="EP170" s="16"/>
      <c r="EQ170" s="16">
        <f>IFERROR(__xludf.DUMMYFUNCTION("""COMPUTED_VALUE"""),2.0)</f>
        <v>2</v>
      </c>
      <c r="ER170" s="16">
        <f>IFERROR(__xludf.DUMMYFUNCTION("""COMPUTED_VALUE"""),0.0)</f>
        <v>0</v>
      </c>
      <c r="ES170" s="16"/>
      <c r="ET170" s="16"/>
      <c r="EU170" s="16"/>
      <c r="EV170" s="16"/>
      <c r="EW170" s="16"/>
      <c r="EX170" s="180"/>
      <c r="EY170" s="180"/>
      <c r="EZ170" s="180">
        <f>IFERROR(__xludf.DUMMYFUNCTION("""COMPUTED_VALUE"""),0.3)</f>
        <v>0.3</v>
      </c>
      <c r="FA170" s="180">
        <f>IFERROR(__xludf.DUMMYFUNCTION("""COMPUTED_VALUE"""),0.3)</f>
        <v>0.3</v>
      </c>
      <c r="FB170" s="180">
        <f>IFERROR(__xludf.DUMMYFUNCTION("""COMPUTED_VALUE"""),0.3)</f>
        <v>0.3</v>
      </c>
      <c r="FC170" s="180"/>
      <c r="FD170" s="180"/>
      <c r="FE170" s="180"/>
      <c r="FF170" s="180"/>
      <c r="FG170" s="180"/>
      <c r="FH170" s="180">
        <f>IFERROR(__xludf.DUMMYFUNCTION("""COMPUTED_VALUE"""),0.06018518518518518)</f>
        <v>0.06018518519</v>
      </c>
      <c r="FI170" s="180">
        <f>IFERROR(__xludf.DUMMYFUNCTION("""COMPUTED_VALUE"""),0.4074074074074074)</f>
        <v>0.4074074074</v>
      </c>
      <c r="FJ170" s="180">
        <f>IFERROR(__xludf.DUMMYFUNCTION("""COMPUTED_VALUE"""),0.24537037037037038)</f>
        <v>0.2453703704</v>
      </c>
      <c r="FK170" s="180"/>
      <c r="FL170" s="180"/>
      <c r="FM170" s="180"/>
      <c r="FN170" s="16"/>
      <c r="FO170" s="16"/>
      <c r="FP170" s="16">
        <f>IFERROR(__xludf.DUMMYFUNCTION("""COMPUTED_VALUE"""),0.6578703703703703)</f>
        <v>0.6578703704</v>
      </c>
      <c r="FQ170" s="16">
        <f>IFERROR(__xludf.DUMMYFUNCTION("""COMPUTED_VALUE"""),0.41481481481481475)</f>
        <v>0.4148148148</v>
      </c>
      <c r="FR170" s="16">
        <f>IFERROR(__xludf.DUMMYFUNCTION("""COMPUTED_VALUE"""),0.5282407407407407)</f>
        <v>0.5282407407</v>
      </c>
      <c r="FS170" s="16"/>
      <c r="FT170" s="16"/>
      <c r="FU170" s="16"/>
      <c r="FV170" s="16"/>
      <c r="FW170" s="16"/>
      <c r="FX170" s="16">
        <f>IFERROR(__xludf.DUMMYFUNCTION("""COMPUTED_VALUE"""),-4.0)</f>
        <v>-4</v>
      </c>
      <c r="FY170" s="16">
        <f>IFERROR(__xludf.DUMMYFUNCTION("""COMPUTED_VALUE"""),-8.0)</f>
        <v>-8</v>
      </c>
      <c r="FZ170" s="16">
        <f>IFERROR(__xludf.DUMMYFUNCTION("""COMPUTED_VALUE"""),-8.0)</f>
        <v>-8</v>
      </c>
      <c r="GA170" s="16"/>
      <c r="GB170" s="16"/>
      <c r="GC170" s="16"/>
      <c r="GD170" s="16" t="s">
        <v>292</v>
      </c>
    </row>
    <row r="171">
      <c r="A171" s="16">
        <f>IFERROR(__xludf.DUMMYFUNCTION("""COMPUTED_VALUE"""),13095.0)</f>
        <v>13095</v>
      </c>
      <c r="B171" s="16" t="str">
        <f>IFERROR(__xludf.DUMMYFUNCTION("""COMPUTED_VALUE"""),"Kyle Higashioka")</f>
        <v>Kyle Higashioka</v>
      </c>
      <c r="C171" s="16">
        <f>IFERROR(__xludf.DUMMYFUNCTION("""COMPUTED_VALUE"""),1.54)</f>
        <v>1.54</v>
      </c>
      <c r="D171" s="16" t="str">
        <f>IFERROR(__xludf.DUMMYFUNCTION("""COMPUTED_VALUE"""),"R")</f>
        <v>R</v>
      </c>
      <c r="E171" s="16"/>
      <c r="F171" s="16"/>
      <c r="G171" s="16">
        <f>IFERROR(__xludf.DUMMYFUNCTION("""COMPUTED_VALUE"""),246.0)</f>
        <v>246</v>
      </c>
      <c r="H171" s="16">
        <f>IFERROR(__xludf.DUMMYFUNCTION("""COMPUTED_VALUE"""),15.0)</f>
        <v>15</v>
      </c>
      <c r="I171" s="16" t="str">
        <f>IFERROR(__xludf.DUMMYFUNCTION("""COMPUTED_VALUE"""),"2p40")</f>
        <v>2p40</v>
      </c>
      <c r="J171" s="16">
        <f>IFERROR(__xludf.DUMMYFUNCTION("""COMPUTED_VALUE"""),37.0)</f>
        <v>37</v>
      </c>
      <c r="K171" s="16">
        <f>IFERROR(__xludf.DUMMYFUNCTION("""COMPUTED_VALUE"""),36.0)</f>
        <v>36</v>
      </c>
      <c r="L171" s="16">
        <f>IFERROR(__xludf.DUMMYFUNCTION("""COMPUTED_VALUE"""),-1.0)</f>
        <v>-1</v>
      </c>
      <c r="M171" s="16">
        <f>IFERROR(__xludf.DUMMYFUNCTION("""COMPUTED_VALUE"""),-1.0)</f>
        <v>-1</v>
      </c>
      <c r="N171" s="16">
        <f>IFERROR(__xludf.DUMMYFUNCTION("""COMPUTED_VALUE"""),-1.0)</f>
        <v>-1</v>
      </c>
      <c r="O171" s="16">
        <f>IFERROR(__xludf.DUMMYFUNCTION("""COMPUTED_VALUE"""),-1.0)</f>
        <v>-1</v>
      </c>
      <c r="P171" s="16">
        <f>IFERROR(__xludf.DUMMYFUNCTION("""COMPUTED_VALUE"""),1.0)</f>
        <v>1</v>
      </c>
      <c r="Q171" s="16">
        <f>IFERROR(__xludf.DUMMYFUNCTION("""COMPUTED_VALUE"""),6.0)</f>
        <v>6</v>
      </c>
      <c r="R171" s="16">
        <f>IFERROR(__xludf.DUMMYFUNCTION("""COMPUTED_VALUE"""),-2.0)</f>
        <v>-2</v>
      </c>
      <c r="S171" s="16">
        <f>IFERROR(__xludf.DUMMYFUNCTION("""COMPUTED_VALUE"""),-1.0)</f>
        <v>-1</v>
      </c>
      <c r="T171" s="16">
        <f>IFERROR(__xludf.DUMMYFUNCTION("""COMPUTED_VALUE"""),-2.0)</f>
        <v>-2</v>
      </c>
      <c r="U171" s="16">
        <f>IFERROR(__xludf.DUMMYFUNCTION("""COMPUTED_VALUE"""),-1.0)</f>
        <v>-1</v>
      </c>
      <c r="V171" s="16">
        <f>IFERROR(__xludf.DUMMYFUNCTION("""COMPUTED_VALUE"""),13.4)</f>
        <v>13.4</v>
      </c>
      <c r="W171" s="16">
        <f>IFERROR(__xludf.DUMMYFUNCTION("""COMPUTED_VALUE"""),14.6)</f>
        <v>14.6</v>
      </c>
      <c r="X171" s="16">
        <f>IFERROR(__xludf.DUMMYFUNCTION("""COMPUTED_VALUE"""),-1.0)</f>
        <v>-1</v>
      </c>
      <c r="Y171" s="16">
        <f>IFERROR(__xludf.DUMMYFUNCTION("""COMPUTED_VALUE"""),-1.0)</f>
        <v>-1</v>
      </c>
      <c r="Z171" s="16">
        <f>IFERROR(__xludf.DUMMYFUNCTION("""COMPUTED_VALUE"""),-2.0)</f>
        <v>-2</v>
      </c>
      <c r="AA171" s="16">
        <f>IFERROR(__xludf.DUMMYFUNCTION("""COMPUTED_VALUE"""),-2.0)</f>
        <v>-2</v>
      </c>
      <c r="AB171" s="16">
        <f>IFERROR(__xludf.DUMMYFUNCTION("""COMPUTED_VALUE"""),14.4)</f>
        <v>14.4</v>
      </c>
      <c r="AC171" s="16">
        <f>IFERROR(__xludf.DUMMYFUNCTION("""COMPUTED_VALUE"""),20.5)</f>
        <v>20.5</v>
      </c>
      <c r="AD171" s="16">
        <f>IFERROR(__xludf.DUMMYFUNCTION("""COMPUTED_VALUE"""),-2.0)</f>
        <v>-2</v>
      </c>
      <c r="AE171" s="16">
        <f>IFERROR(__xludf.DUMMYFUNCTION("""COMPUTED_VALUE"""),-2.0)</f>
        <v>-2</v>
      </c>
      <c r="AF171" s="16">
        <f>IFERROR(__xludf.DUMMYFUNCTION("""COMPUTED_VALUE"""),-10.0)</f>
        <v>-10</v>
      </c>
      <c r="AG171" s="16">
        <f>IFERROR(__xludf.DUMMYFUNCTION("""COMPUTED_VALUE"""),-10.0)</f>
        <v>-10</v>
      </c>
      <c r="AH171" s="16">
        <f>IFERROR(__xludf.DUMMYFUNCTION("""COMPUTED_VALUE"""),48.2)</f>
        <v>48.2</v>
      </c>
      <c r="AI171" s="16">
        <f>IFERROR(__xludf.DUMMYFUNCTION("""COMPUTED_VALUE"""),34.7)</f>
        <v>34.7</v>
      </c>
      <c r="AJ171" s="16">
        <f>IFERROR(__xludf.DUMMYFUNCTION("""COMPUTED_VALUE"""),1.0)</f>
        <v>1</v>
      </c>
      <c r="AK171" s="16">
        <f>IFERROR(__xludf.DUMMYFUNCTION("""COMPUTED_VALUE"""),0.0)</f>
        <v>0</v>
      </c>
      <c r="AL171" s="16">
        <f>IFERROR(__xludf.DUMMYFUNCTION("""COMPUTED_VALUE"""),5.0)</f>
        <v>5</v>
      </c>
      <c r="AM171" s="16">
        <f>IFERROR(__xludf.DUMMYFUNCTION("""COMPUTED_VALUE"""),0.0)</f>
        <v>0</v>
      </c>
      <c r="AN171" s="16">
        <f>IFERROR(__xludf.DUMMYFUNCTION("""COMPUTED_VALUE"""),10.3)</f>
        <v>10.3</v>
      </c>
      <c r="AO171" s="16">
        <f>IFERROR(__xludf.DUMMYFUNCTION("""COMPUTED_VALUE"""),5.2)</f>
        <v>5.2</v>
      </c>
      <c r="AP171" s="16">
        <f>IFERROR(__xludf.DUMMYFUNCTION("""COMPUTED_VALUE"""),3.0)</f>
        <v>3</v>
      </c>
      <c r="AQ171" s="16">
        <f>IFERROR(__xludf.DUMMYFUNCTION("""COMPUTED_VALUE"""),3.0)</f>
        <v>3</v>
      </c>
      <c r="AR171" s="16">
        <f>IFERROR(__xludf.DUMMYFUNCTION("""COMPUTED_VALUE"""),6.0)</f>
        <v>6</v>
      </c>
      <c r="AS171" s="16">
        <f>IFERROR(__xludf.DUMMYFUNCTION("""COMPUTED_VALUE"""),6.0)</f>
        <v>6</v>
      </c>
      <c r="AT171" s="16"/>
      <c r="AU171" s="16">
        <f>IFERROR(__xludf.DUMMYFUNCTION("""COMPUTED_VALUE"""),8.0)</f>
        <v>8</v>
      </c>
      <c r="AV171" s="16">
        <f>IFERROR(__xludf.DUMMYFUNCTION("""COMPUTED_VALUE"""),8.0)</f>
        <v>8</v>
      </c>
      <c r="AW171" s="16">
        <f>IFERROR(__xludf.DUMMYFUNCTION("""COMPUTED_VALUE"""),8.0)</f>
        <v>8</v>
      </c>
      <c r="AX171" s="16">
        <f>IFERROR(__xludf.DUMMYFUNCTION("""COMPUTED_VALUE"""),3.0)</f>
        <v>3</v>
      </c>
      <c r="AY171" s="16">
        <f>IFERROR(__xludf.DUMMYFUNCTION("""COMPUTED_VALUE"""),3.0)</f>
        <v>3</v>
      </c>
      <c r="AZ171" s="16">
        <f>IFERROR(__xludf.DUMMYFUNCTION("""COMPUTED_VALUE"""),9.0)</f>
        <v>9</v>
      </c>
      <c r="BA171" s="16">
        <f>IFERROR(__xludf.DUMMYFUNCTION("""COMPUTED_VALUE"""),9.0)</f>
        <v>9</v>
      </c>
      <c r="BB171" s="16">
        <f>IFERROR(__xludf.DUMMYFUNCTION("""COMPUTED_VALUE"""),0.0)</f>
        <v>0</v>
      </c>
      <c r="BC171" s="16">
        <f>IFERROR(__xludf.DUMMYFUNCTION("""COMPUTED_VALUE"""),5.0)</f>
        <v>5</v>
      </c>
      <c r="BD171" s="16">
        <f>IFERROR(__xludf.DUMMYFUNCTION("""COMPUTED_VALUE"""),0.0)</f>
        <v>0</v>
      </c>
      <c r="BE171" s="16">
        <f>IFERROR(__xludf.DUMMYFUNCTION("""COMPUTED_VALUE"""),1.0)</f>
        <v>1</v>
      </c>
      <c r="BF171" s="16">
        <f>IFERROR(__xludf.DUMMYFUNCTION("""COMPUTED_VALUE"""),0.0)</f>
        <v>0</v>
      </c>
      <c r="BG171" s="16">
        <f>IFERROR(__xludf.DUMMYFUNCTION("""COMPUTED_VALUE"""),1.0)</f>
        <v>1</v>
      </c>
      <c r="BH171" s="16">
        <f>IFERROR(__xludf.DUMMYFUNCTION("""COMPUTED_VALUE"""),0.0)</f>
        <v>0</v>
      </c>
      <c r="BI171" s="16">
        <f>IFERROR(__xludf.DUMMYFUNCTION("""COMPUTED_VALUE"""),-2.0)</f>
        <v>-2</v>
      </c>
      <c r="BJ171" s="16">
        <f>IFERROR(__xludf.DUMMYFUNCTION("""COMPUTED_VALUE"""),8.0)</f>
        <v>8</v>
      </c>
      <c r="BK171" s="16">
        <f>IFERROR(__xludf.DUMMYFUNCTION("""COMPUTED_VALUE"""),6.0)</f>
        <v>6</v>
      </c>
      <c r="BL171" s="16">
        <f>IFERROR(__xludf.DUMMYFUNCTION("""COMPUTED_VALUE"""),1.0)</f>
        <v>1</v>
      </c>
      <c r="BM171" s="16">
        <f>IFERROR(__xludf.DUMMYFUNCTION("""COMPUTED_VALUE"""),1.0)</f>
        <v>1</v>
      </c>
      <c r="BN171" s="16">
        <f>IFERROR(__xludf.DUMMYFUNCTION("""COMPUTED_VALUE"""),1.0)</f>
        <v>1</v>
      </c>
      <c r="BO171" s="16">
        <f>IFERROR(__xludf.DUMMYFUNCTION("""COMPUTED_VALUE"""),1.0)</f>
        <v>1</v>
      </c>
      <c r="BP171" s="16">
        <f>IFERROR(__xludf.DUMMYFUNCTION("""COMPUTED_VALUE"""),2.0)</f>
        <v>2</v>
      </c>
      <c r="BQ171" s="16">
        <f>IFERROR(__xludf.DUMMYFUNCTION("""COMPUTED_VALUE"""),3.0)</f>
        <v>3</v>
      </c>
      <c r="BR171" s="16">
        <f>IFERROR(__xludf.DUMMYFUNCTION("""COMPUTED_VALUE"""),5.0)</f>
        <v>5</v>
      </c>
      <c r="BS171" s="16" t="str">
        <f>IFERROR(__xludf.DUMMYFUNCTION("""COMPUTED_VALUE"""),"3/- (20-6)")</f>
        <v>3/- (20-6)</v>
      </c>
      <c r="BT171" s="16" t="str">
        <f>IFERROR(__xludf.DUMMYFUNCTION("""COMPUTED_VALUE"""),"D")</f>
        <v>D</v>
      </c>
      <c r="BU171" s="16">
        <f>IFERROR(__xludf.DUMMYFUNCTION("""COMPUTED_VALUE"""),9.0)</f>
        <v>9</v>
      </c>
      <c r="BV171" s="16">
        <f>IFERROR(__xludf.DUMMYFUNCTION("""COMPUTED_VALUE"""),0.0)</f>
        <v>0</v>
      </c>
      <c r="BW171" s="16">
        <f>IFERROR(__xludf.DUMMYFUNCTION("""COMPUTED_VALUE"""),-1.0)</f>
        <v>-1</v>
      </c>
      <c r="BX171" s="16">
        <f>IFERROR(__xludf.DUMMYFUNCTION("""COMPUTED_VALUE"""),0.0)</f>
        <v>0</v>
      </c>
      <c r="BY171" s="16">
        <f>IFERROR(__xludf.DUMMYFUNCTION("""COMPUTED_VALUE"""),-3.0)</f>
        <v>-3</v>
      </c>
      <c r="BZ171" s="16" t="str">
        <f>IFERROR(__xludf.DUMMYFUNCTION("""COMPUTED_VALUE"""),"D")</f>
        <v>D</v>
      </c>
      <c r="CA171" s="16" t="str">
        <f>IFERROR(__xludf.DUMMYFUNCTION("""COMPUTED_VALUE"""),"C")</f>
        <v>C</v>
      </c>
      <c r="CB171" s="16">
        <f>IFERROR(__xludf.DUMMYFUNCTION("""COMPUTED_VALUE"""),0.0)</f>
        <v>0</v>
      </c>
      <c r="CC171" s="16">
        <f>IFERROR(__xludf.DUMMYFUNCTION("""COMPUTED_VALUE"""),0.0)</f>
        <v>0</v>
      </c>
      <c r="CD171" s="16">
        <f>IFERROR(__xludf.DUMMYFUNCTION("""COMPUTED_VALUE"""),0.0)</f>
        <v>0</v>
      </c>
      <c r="CE171" s="16">
        <f>IFERROR(__xludf.DUMMYFUNCTION("""COMPUTED_VALUE"""),0.0)</f>
        <v>0</v>
      </c>
      <c r="CF171" s="16">
        <f>IFERROR(__xludf.DUMMYFUNCTION("""COMPUTED_VALUE"""),2.0)</f>
        <v>2</v>
      </c>
      <c r="CG171" s="16">
        <f>IFERROR(__xludf.DUMMYFUNCTION("""COMPUTED_VALUE"""),6.0)</f>
        <v>6</v>
      </c>
      <c r="CH171" s="16">
        <f>IFERROR(__xludf.DUMMYFUNCTION("""COMPUTED_VALUE"""),3.0)</f>
        <v>3</v>
      </c>
      <c r="CI171" s="179">
        <f>IFERROR(__xludf.DUMMYFUNCTION("""COMPUTED_VALUE"""),4.0)</f>
        <v>4</v>
      </c>
      <c r="CJ171" s="16">
        <f>IFERROR(__xludf.DUMMYFUNCTION("""COMPUTED_VALUE"""),315.0)</f>
        <v>315</v>
      </c>
      <c r="CK171" s="16"/>
      <c r="CL171" s="16"/>
      <c r="CM171" s="16"/>
      <c r="CN171" s="16"/>
      <c r="CO171" s="16"/>
      <c r="CP171" s="16"/>
      <c r="CQ171" s="16"/>
      <c r="CR171" s="16" t="str">
        <f>IFERROR(__xludf.DUMMYFUNCTION("""COMPUTED_VALUE"""),"c-3(-1)e15,T-4(pb-5)")</f>
        <v>c-3(-1)e15,T-4(pb-5)</v>
      </c>
      <c r="CS171" s="16">
        <f>IFERROR(__xludf.DUMMYFUNCTION("""COMPUTED_VALUE"""),3.0)</f>
        <v>3</v>
      </c>
      <c r="CT171" s="16"/>
      <c r="CU171" s="16"/>
      <c r="CV171" s="16"/>
      <c r="CW171" s="16"/>
      <c r="CX171" s="16"/>
      <c r="CY171" s="16"/>
      <c r="CZ171" s="16"/>
      <c r="DA171" s="16">
        <f>IFERROR(__xludf.DUMMYFUNCTION("""COMPUTED_VALUE"""),15.0)</f>
        <v>15</v>
      </c>
      <c r="DB171" s="16"/>
      <c r="DC171" s="16"/>
      <c r="DD171" s="16"/>
      <c r="DE171" s="16"/>
      <c r="DF171" s="16"/>
      <c r="DG171" s="16"/>
      <c r="DH171" s="16"/>
      <c r="DI171" s="16">
        <f>IFERROR(__xludf.DUMMYFUNCTION("""COMPUTED_VALUE"""),0.0)</f>
        <v>0</v>
      </c>
      <c r="DJ171" s="16"/>
      <c r="DK171" s="16"/>
      <c r="DL171" s="16"/>
      <c r="DM171" s="16"/>
      <c r="DN171" s="16"/>
      <c r="DO171" s="16"/>
      <c r="DP171" s="16"/>
      <c r="DQ171" s="16">
        <f>IFERROR(__xludf.DUMMYFUNCTION("""COMPUTED_VALUE"""),-2.0)</f>
        <v>-2</v>
      </c>
      <c r="DR171" s="16"/>
      <c r="DS171" s="16"/>
      <c r="DT171" s="16"/>
      <c r="DU171" s="16"/>
      <c r="DV171" s="16"/>
      <c r="DW171" s="16"/>
      <c r="DX171" s="16"/>
      <c r="DY171" s="16">
        <f>IFERROR(__xludf.DUMMYFUNCTION("""COMPUTED_VALUE"""),-2.0)</f>
        <v>-2</v>
      </c>
      <c r="DZ171" s="16"/>
      <c r="EA171" s="16"/>
      <c r="EB171" s="16"/>
      <c r="EC171" s="16"/>
      <c r="ED171" s="16"/>
      <c r="EE171" s="16"/>
      <c r="EF171" s="16"/>
      <c r="EG171" s="179">
        <f>IFERROR(__xludf.DUMMYFUNCTION("""COMPUTED_VALUE"""),1.0)</f>
        <v>1</v>
      </c>
      <c r="EH171" s="179"/>
      <c r="EI171" s="179"/>
      <c r="EJ171" s="179"/>
      <c r="EK171" s="179"/>
      <c r="EL171" s="179"/>
      <c r="EM171" s="179"/>
      <c r="EN171" s="179"/>
      <c r="EO171" s="16">
        <f>IFERROR(__xludf.DUMMYFUNCTION("""COMPUTED_VALUE"""),-1.0)</f>
        <v>-1</v>
      </c>
      <c r="EP171" s="16"/>
      <c r="EQ171" s="16">
        <f>IFERROR(__xludf.DUMMYFUNCTION("""COMPUTED_VALUE"""),2.0)</f>
        <v>2</v>
      </c>
      <c r="ER171" s="16">
        <f>IFERROR(__xludf.DUMMYFUNCTION("""COMPUTED_VALUE"""),-1.0)</f>
        <v>-1</v>
      </c>
      <c r="ES171" s="16" t="str">
        <f>IFERROR(__xludf.DUMMYFUNCTION("""COMPUTED_VALUE"""),"c-3")</f>
        <v>c-3</v>
      </c>
      <c r="ET171" s="16" t="str">
        <f>IFERROR(__xludf.DUMMYFUNCTION("""COMPUTED_VALUE"""),"-1)e15,T-4")</f>
        <v>-1)e15,T-4</v>
      </c>
      <c r="EU171" s="16" t="str">
        <f>IFERROR(__xludf.DUMMYFUNCTION("""COMPUTED_VALUE"""),"pb-5)")</f>
        <v>pb-5)</v>
      </c>
      <c r="EV171" s="16"/>
      <c r="EW171" s="16">
        <f>IFERROR(__xludf.DUMMYFUNCTION("""COMPUTED_VALUE"""),-1.0)</f>
        <v>-1</v>
      </c>
      <c r="EX171" s="180">
        <f>IFERROR(__xludf.DUMMYFUNCTION("""COMPUTED_VALUE"""),0.2)</f>
        <v>0.2</v>
      </c>
      <c r="EY171" s="180"/>
      <c r="EZ171" s="180"/>
      <c r="FA171" s="180"/>
      <c r="FB171" s="180"/>
      <c r="FC171" s="180"/>
      <c r="FD171" s="180"/>
      <c r="FE171" s="180"/>
      <c r="FF171" s="180">
        <f>IFERROR(__xludf.DUMMYFUNCTION("""COMPUTED_VALUE"""),0.181)</f>
        <v>0.181</v>
      </c>
      <c r="FG171" s="180"/>
      <c r="FH171" s="180"/>
      <c r="FI171" s="180"/>
      <c r="FJ171" s="180"/>
      <c r="FK171" s="180"/>
      <c r="FL171" s="180"/>
      <c r="FM171" s="180"/>
      <c r="FN171" s="16">
        <f>IFERROR(__xludf.DUMMYFUNCTION("""COMPUTED_VALUE"""),0.6552)</f>
        <v>0.6552</v>
      </c>
      <c r="FO171" s="16"/>
      <c r="FP171" s="16"/>
      <c r="FQ171" s="16"/>
      <c r="FR171" s="16"/>
      <c r="FS171" s="16"/>
      <c r="FT171" s="16"/>
      <c r="FU171" s="16"/>
      <c r="FV171" s="16">
        <f>IFERROR(__xludf.DUMMYFUNCTION("""COMPUTED_VALUE"""),-3.0)</f>
        <v>-3</v>
      </c>
      <c r="FW171" s="16"/>
      <c r="FX171" s="16"/>
      <c r="FY171" s="16"/>
      <c r="FZ171" s="16"/>
      <c r="GA171" s="16"/>
      <c r="GB171" s="16"/>
      <c r="GC171" s="16"/>
      <c r="GD171" s="16" t="s">
        <v>176</v>
      </c>
    </row>
    <row r="172">
      <c r="A172" s="16">
        <f>IFERROR(__xludf.DUMMYFUNCTION("""COMPUTED_VALUE"""),12742.0)</f>
        <v>12742</v>
      </c>
      <c r="B172" s="16" t="str">
        <f>IFERROR(__xludf.DUMMYFUNCTION("""COMPUTED_VALUE"""),"David Peralta")</f>
        <v>David Peralta</v>
      </c>
      <c r="C172" s="16">
        <f>IFERROR(__xludf.DUMMYFUNCTION("""COMPUTED_VALUE"""),0.89)</f>
        <v>0.89</v>
      </c>
      <c r="D172" s="16" t="str">
        <f>IFERROR(__xludf.DUMMYFUNCTION("""COMPUTED_VALUE"""),"L")</f>
        <v>L</v>
      </c>
      <c r="E172" s="16"/>
      <c r="F172" s="16"/>
      <c r="G172" s="16">
        <f>IFERROR(__xludf.DUMMYFUNCTION("""COMPUTED_VALUE"""),236.0)</f>
        <v>236</v>
      </c>
      <c r="H172" s="16">
        <f>IFERROR(__xludf.DUMMYFUNCTION("""COMPUTED_VALUE"""),22.0)</f>
        <v>22</v>
      </c>
      <c r="I172" s="16" t="str">
        <f>IFERROR(__xludf.DUMMYFUNCTION("""COMPUTED_VALUE"""),"1p40")</f>
        <v>1p40</v>
      </c>
      <c r="J172" s="16">
        <f>IFERROR(__xludf.DUMMYFUNCTION("""COMPUTED_VALUE"""),55.0)</f>
        <v>55</v>
      </c>
      <c r="K172" s="16">
        <f>IFERROR(__xludf.DUMMYFUNCTION("""COMPUTED_VALUE"""),17.0)</f>
        <v>17</v>
      </c>
      <c r="L172" s="16">
        <f>IFERROR(__xludf.DUMMYFUNCTION("""COMPUTED_VALUE"""),-2.0)</f>
        <v>-2</v>
      </c>
      <c r="M172" s="16">
        <f>IFERROR(__xludf.DUMMYFUNCTION("""COMPUTED_VALUE"""),1.0)</f>
        <v>1</v>
      </c>
      <c r="N172" s="16">
        <f>IFERROR(__xludf.DUMMYFUNCTION("""COMPUTED_VALUE"""),-2.0)</f>
        <v>-2</v>
      </c>
      <c r="O172" s="16">
        <f>IFERROR(__xludf.DUMMYFUNCTION("""COMPUTED_VALUE"""),1.0)</f>
        <v>1</v>
      </c>
      <c r="P172" s="16">
        <f>IFERROR(__xludf.DUMMYFUNCTION("""COMPUTED_VALUE"""),2.0)</f>
        <v>2</v>
      </c>
      <c r="Q172" s="16">
        <f>IFERROR(__xludf.DUMMYFUNCTION("""COMPUTED_VALUE"""),9.0)</f>
        <v>9</v>
      </c>
      <c r="R172" s="16">
        <f>IFERROR(__xludf.DUMMYFUNCTION("""COMPUTED_VALUE"""),-2.0)</f>
        <v>-2</v>
      </c>
      <c r="S172" s="16">
        <f>IFERROR(__xludf.DUMMYFUNCTION("""COMPUTED_VALUE"""),0.0)</f>
        <v>0</v>
      </c>
      <c r="T172" s="16">
        <f>IFERROR(__xludf.DUMMYFUNCTION("""COMPUTED_VALUE"""),-2.0)</f>
        <v>-2</v>
      </c>
      <c r="U172" s="16">
        <f>IFERROR(__xludf.DUMMYFUNCTION("""COMPUTED_VALUE"""),0.0)</f>
        <v>0</v>
      </c>
      <c r="V172" s="16">
        <f>IFERROR(__xludf.DUMMYFUNCTION("""COMPUTED_VALUE"""),15.6)</f>
        <v>15.6</v>
      </c>
      <c r="W172" s="16">
        <f>IFERROR(__xludf.DUMMYFUNCTION("""COMPUTED_VALUE"""),26.4)</f>
        <v>26.4</v>
      </c>
      <c r="X172" s="16">
        <f>IFERROR(__xludf.DUMMYFUNCTION("""COMPUTED_VALUE"""),-1.0)</f>
        <v>-1</v>
      </c>
      <c r="Y172" s="16">
        <f>IFERROR(__xludf.DUMMYFUNCTION("""COMPUTED_VALUE"""),1.0)</f>
        <v>1</v>
      </c>
      <c r="Z172" s="16">
        <f>IFERROR(__xludf.DUMMYFUNCTION("""COMPUTED_VALUE"""),-2.0)</f>
        <v>-2</v>
      </c>
      <c r="AA172" s="16">
        <f>IFERROR(__xludf.DUMMYFUNCTION("""COMPUTED_VALUE"""),2.0)</f>
        <v>2</v>
      </c>
      <c r="AB172" s="16">
        <f>IFERROR(__xludf.DUMMYFUNCTION("""COMPUTED_VALUE"""),19.6)</f>
        <v>19.6</v>
      </c>
      <c r="AC172" s="16">
        <f>IFERROR(__xludf.DUMMYFUNCTION("""COMPUTED_VALUE"""),37.4)</f>
        <v>37.4</v>
      </c>
      <c r="AD172" s="16">
        <f>IFERROR(__xludf.DUMMYFUNCTION("""COMPUTED_VALUE"""),-1.0)</f>
        <v>-1</v>
      </c>
      <c r="AE172" s="16">
        <f>IFERROR(__xludf.DUMMYFUNCTION("""COMPUTED_VALUE"""),1.0)</f>
        <v>1</v>
      </c>
      <c r="AF172" s="16">
        <f>IFERROR(__xludf.DUMMYFUNCTION("""COMPUTED_VALUE"""),-5.0)</f>
        <v>-5</v>
      </c>
      <c r="AG172" s="16">
        <f>IFERROR(__xludf.DUMMYFUNCTION("""COMPUTED_VALUE"""),5.0)</f>
        <v>5</v>
      </c>
      <c r="AH172" s="16">
        <f>IFERROR(__xludf.DUMMYFUNCTION("""COMPUTED_VALUE"""),21.0)</f>
        <v>21</v>
      </c>
      <c r="AI172" s="16">
        <f>IFERROR(__xludf.DUMMYFUNCTION("""COMPUTED_VALUE"""),36.8)</f>
        <v>36.8</v>
      </c>
      <c r="AJ172" s="16">
        <f>IFERROR(__xludf.DUMMYFUNCTION("""COMPUTED_VALUE"""),-1.0)</f>
        <v>-1</v>
      </c>
      <c r="AK172" s="16">
        <f>IFERROR(__xludf.DUMMYFUNCTION("""COMPUTED_VALUE"""),0.0)</f>
        <v>0</v>
      </c>
      <c r="AL172" s="16">
        <f>IFERROR(__xludf.DUMMYFUNCTION("""COMPUTED_VALUE"""),-5.0)</f>
        <v>-5</v>
      </c>
      <c r="AM172" s="16">
        <f>IFERROR(__xludf.DUMMYFUNCTION("""COMPUTED_VALUE"""),0.0)</f>
        <v>0</v>
      </c>
      <c r="AN172" s="16">
        <f>IFERROR(__xludf.DUMMYFUNCTION("""COMPUTED_VALUE"""),0.0)</f>
        <v>0</v>
      </c>
      <c r="AO172" s="16">
        <f>IFERROR(__xludf.DUMMYFUNCTION("""COMPUTED_VALUE"""),2.3)</f>
        <v>2.3</v>
      </c>
      <c r="AP172" s="16">
        <f>IFERROR(__xludf.DUMMYFUNCTION("""COMPUTED_VALUE"""),-2.0)</f>
        <v>-2</v>
      </c>
      <c r="AQ172" s="16">
        <f>IFERROR(__xludf.DUMMYFUNCTION("""COMPUTED_VALUE"""),0.0)</f>
        <v>0</v>
      </c>
      <c r="AR172" s="16">
        <f>IFERROR(__xludf.DUMMYFUNCTION("""COMPUTED_VALUE"""),-4.0)</f>
        <v>-4</v>
      </c>
      <c r="AS172" s="16">
        <f>IFERROR(__xludf.DUMMYFUNCTION("""COMPUTED_VALUE"""),0.0)</f>
        <v>0</v>
      </c>
      <c r="AT172" s="16"/>
      <c r="AU172" s="16">
        <f>IFERROR(__xludf.DUMMYFUNCTION("""COMPUTED_VALUE"""),3.0)</f>
        <v>3</v>
      </c>
      <c r="AV172" s="16">
        <f>IFERROR(__xludf.DUMMYFUNCTION("""COMPUTED_VALUE"""),-3.0)</f>
        <v>-3</v>
      </c>
      <c r="AW172" s="16">
        <f>IFERROR(__xludf.DUMMYFUNCTION("""COMPUTED_VALUE"""),3.0)</f>
        <v>3</v>
      </c>
      <c r="AX172" s="16">
        <f>IFERROR(__xludf.DUMMYFUNCTION("""COMPUTED_VALUE"""),-3.0)</f>
        <v>-3</v>
      </c>
      <c r="AY172" s="16">
        <f>IFERROR(__xludf.DUMMYFUNCTION("""COMPUTED_VALUE"""),0.0)</f>
        <v>0</v>
      </c>
      <c r="AZ172" s="16">
        <f>IFERROR(__xludf.DUMMYFUNCTION("""COMPUTED_VALUE"""),-9.0)</f>
        <v>-9</v>
      </c>
      <c r="BA172" s="16">
        <f>IFERROR(__xludf.DUMMYFUNCTION("""COMPUTED_VALUE"""),0.0)</f>
        <v>0</v>
      </c>
      <c r="BB172" s="16">
        <f>IFERROR(__xludf.DUMMYFUNCTION("""COMPUTED_VALUE"""),5.0)</f>
        <v>5</v>
      </c>
      <c r="BC172" s="16">
        <f>IFERROR(__xludf.DUMMYFUNCTION("""COMPUTED_VALUE"""),5.0)</f>
        <v>5</v>
      </c>
      <c r="BD172" s="16">
        <f>IFERROR(__xludf.DUMMYFUNCTION("""COMPUTED_VALUE"""),1.0)</f>
        <v>1</v>
      </c>
      <c r="BE172" s="16">
        <f>IFERROR(__xludf.DUMMYFUNCTION("""COMPUTED_VALUE"""),1.0)</f>
        <v>1</v>
      </c>
      <c r="BF172" s="16">
        <f>IFERROR(__xludf.DUMMYFUNCTION("""COMPUTED_VALUE"""),1.0)</f>
        <v>1</v>
      </c>
      <c r="BG172" s="16">
        <f>IFERROR(__xludf.DUMMYFUNCTION("""COMPUTED_VALUE"""),1.0)</f>
        <v>1</v>
      </c>
      <c r="BH172" s="16">
        <f>IFERROR(__xludf.DUMMYFUNCTION("""COMPUTED_VALUE"""),-7.0)</f>
        <v>-7</v>
      </c>
      <c r="BI172" s="16">
        <f>IFERROR(__xludf.DUMMYFUNCTION("""COMPUTED_VALUE"""),-12.0)</f>
        <v>-12</v>
      </c>
      <c r="BJ172" s="16">
        <f>IFERROR(__xludf.DUMMYFUNCTION("""COMPUTED_VALUE"""),9.0)</f>
        <v>9</v>
      </c>
      <c r="BK172" s="16">
        <f>IFERROR(__xludf.DUMMYFUNCTION("""COMPUTED_VALUE"""),8.0)</f>
        <v>8</v>
      </c>
      <c r="BL172" s="16">
        <f>IFERROR(__xludf.DUMMYFUNCTION("""COMPUTED_VALUE"""),0.0)</f>
        <v>0</v>
      </c>
      <c r="BM172" s="16">
        <f>IFERROR(__xludf.DUMMYFUNCTION("""COMPUTED_VALUE"""),1.0)</f>
        <v>1</v>
      </c>
      <c r="BN172" s="16">
        <f>IFERROR(__xludf.DUMMYFUNCTION("""COMPUTED_VALUE"""),0.0)</f>
        <v>0</v>
      </c>
      <c r="BO172" s="16">
        <f>IFERROR(__xludf.DUMMYFUNCTION("""COMPUTED_VALUE"""),1.0)</f>
        <v>1</v>
      </c>
      <c r="BP172" s="16">
        <f>IFERROR(__xludf.DUMMYFUNCTION("""COMPUTED_VALUE"""),-11.0)</f>
        <v>-11</v>
      </c>
      <c r="BQ172" s="16">
        <f>IFERROR(__xludf.DUMMYFUNCTION("""COMPUTED_VALUE"""),5.0)</f>
        <v>5</v>
      </c>
      <c r="BR172" s="16">
        <f>IFERROR(__xludf.DUMMYFUNCTION("""COMPUTED_VALUE"""),-6.0)</f>
        <v>-6</v>
      </c>
      <c r="BS172" s="16" t="str">
        <f>IFERROR(__xludf.DUMMYFUNCTION("""COMPUTED_VALUE"""),"2/- (20-6)")</f>
        <v>2/- (20-6)</v>
      </c>
      <c r="BT172" s="16" t="str">
        <f>IFERROR(__xludf.DUMMYFUNCTION("""COMPUTED_VALUE"""),"D")</f>
        <v>D</v>
      </c>
      <c r="BU172" s="16">
        <f>IFERROR(__xludf.DUMMYFUNCTION("""COMPUTED_VALUE"""),11.0)</f>
        <v>11</v>
      </c>
      <c r="BV172" s="16">
        <f>IFERROR(__xludf.DUMMYFUNCTION("""COMPUTED_VALUE"""),0.0)</f>
        <v>0</v>
      </c>
      <c r="BW172" s="16">
        <f>IFERROR(__xludf.DUMMYFUNCTION("""COMPUTED_VALUE"""),0.0)</f>
        <v>0</v>
      </c>
      <c r="BX172" s="16">
        <f>IFERROR(__xludf.DUMMYFUNCTION("""COMPUTED_VALUE"""),0.0)</f>
        <v>0</v>
      </c>
      <c r="BY172" s="16">
        <f>IFERROR(__xludf.DUMMYFUNCTION("""COMPUTED_VALUE"""),0.0)</f>
        <v>0</v>
      </c>
      <c r="BZ172" s="16" t="str">
        <f>IFERROR(__xludf.DUMMYFUNCTION("""COMPUTED_VALUE"""),"D")</f>
        <v>D</v>
      </c>
      <c r="CA172" s="16" t="str">
        <f>IFERROR(__xludf.DUMMYFUNCTION("""COMPUTED_VALUE"""),"C")</f>
        <v>C</v>
      </c>
      <c r="CB172" s="16">
        <f>IFERROR(__xludf.DUMMYFUNCTION("""COMPUTED_VALUE"""),0.0)</f>
        <v>0</v>
      </c>
      <c r="CC172" s="16">
        <f>IFERROR(__xludf.DUMMYFUNCTION("""COMPUTED_VALUE"""),0.0)</f>
        <v>0</v>
      </c>
      <c r="CD172" s="16">
        <f>IFERROR(__xludf.DUMMYFUNCTION("""COMPUTED_VALUE"""),0.0)</f>
        <v>0</v>
      </c>
      <c r="CE172" s="16">
        <f>IFERROR(__xludf.DUMMYFUNCTION("""COMPUTED_VALUE"""),0.0)</f>
        <v>0</v>
      </c>
      <c r="CF172" s="16">
        <f>IFERROR(__xludf.DUMMYFUNCTION("""COMPUTED_VALUE"""),1.0)</f>
        <v>1</v>
      </c>
      <c r="CG172" s="16">
        <f>IFERROR(__xludf.DUMMYFUNCTION("""COMPUTED_VALUE"""),-28.0)</f>
        <v>-28</v>
      </c>
      <c r="CH172" s="16">
        <f>IFERROR(__xludf.DUMMYFUNCTION("""COMPUTED_VALUE"""),10.0)</f>
        <v>10</v>
      </c>
      <c r="CI172" s="179">
        <f>IFERROR(__xludf.DUMMYFUNCTION("""COMPUTED_VALUE"""),4.0)</f>
        <v>4</v>
      </c>
      <c r="CJ172" s="16"/>
      <c r="CK172" s="16"/>
      <c r="CL172" s="16"/>
      <c r="CM172" s="16"/>
      <c r="CN172" s="16"/>
      <c r="CO172" s="16">
        <f>IFERROR(__xludf.DUMMYFUNCTION("""COMPUTED_VALUE"""),403.0)</f>
        <v>403</v>
      </c>
      <c r="CP172" s="16"/>
      <c r="CQ172" s="16">
        <f>IFERROR(__xludf.DUMMYFUNCTION("""COMPUTED_VALUE"""),403.0)</f>
        <v>403</v>
      </c>
      <c r="CR172" s="16" t="str">
        <f>IFERROR(__xludf.DUMMYFUNCTION("""COMPUTED_VALUE"""),"rf-4(-1)e3 lf-4e3")</f>
        <v>rf-4(-1)e3 lf-4e3</v>
      </c>
      <c r="CS172" s="16"/>
      <c r="CT172" s="16"/>
      <c r="CU172" s="16"/>
      <c r="CV172" s="16"/>
      <c r="CW172" s="16"/>
      <c r="CX172" s="16">
        <f>IFERROR(__xludf.DUMMYFUNCTION("""COMPUTED_VALUE"""),4.0)</f>
        <v>4</v>
      </c>
      <c r="CY172" s="16"/>
      <c r="CZ172" s="16">
        <f>IFERROR(__xludf.DUMMYFUNCTION("""COMPUTED_VALUE"""),4.0)</f>
        <v>4</v>
      </c>
      <c r="DA172" s="16"/>
      <c r="DB172" s="16"/>
      <c r="DC172" s="16"/>
      <c r="DD172" s="16"/>
      <c r="DE172" s="16"/>
      <c r="DF172" s="16">
        <f>IFERROR(__xludf.DUMMYFUNCTION("""COMPUTED_VALUE"""),3.0)</f>
        <v>3</v>
      </c>
      <c r="DG172" s="16"/>
      <c r="DH172" s="16">
        <f>IFERROR(__xludf.DUMMYFUNCTION("""COMPUTED_VALUE"""),3.0)</f>
        <v>3</v>
      </c>
      <c r="DI172" s="16"/>
      <c r="DJ172" s="16"/>
      <c r="DK172" s="16"/>
      <c r="DL172" s="16"/>
      <c r="DM172" s="16"/>
      <c r="DN172" s="16">
        <f>IFERROR(__xludf.DUMMYFUNCTION("""COMPUTED_VALUE"""),-1.0)</f>
        <v>-1</v>
      </c>
      <c r="DO172" s="16"/>
      <c r="DP172" s="16">
        <f>IFERROR(__xludf.DUMMYFUNCTION("""COMPUTED_VALUE"""),-1.0)</f>
        <v>-1</v>
      </c>
      <c r="DQ172" s="16"/>
      <c r="DR172" s="16"/>
      <c r="DS172" s="16"/>
      <c r="DT172" s="16"/>
      <c r="DU172" s="16"/>
      <c r="DV172" s="16">
        <f>IFERROR(__xludf.DUMMYFUNCTION("""COMPUTED_VALUE"""),4.0)</f>
        <v>4</v>
      </c>
      <c r="DW172" s="16"/>
      <c r="DX172" s="16">
        <f>IFERROR(__xludf.DUMMYFUNCTION("""COMPUTED_VALUE"""),4.0)</f>
        <v>4</v>
      </c>
      <c r="DY172" s="16"/>
      <c r="DZ172" s="16"/>
      <c r="EA172" s="16"/>
      <c r="EB172" s="16"/>
      <c r="EC172" s="16"/>
      <c r="ED172" s="16">
        <f>IFERROR(__xludf.DUMMYFUNCTION("""COMPUTED_VALUE"""),3.0)</f>
        <v>3</v>
      </c>
      <c r="EE172" s="16"/>
      <c r="EF172" s="16">
        <f>IFERROR(__xludf.DUMMYFUNCTION("""COMPUTED_VALUE"""),3.0)</f>
        <v>3</v>
      </c>
      <c r="EG172" s="179"/>
      <c r="EH172" s="179"/>
      <c r="EI172" s="179"/>
      <c r="EJ172" s="179"/>
      <c r="EK172" s="179"/>
      <c r="EL172" s="179">
        <f>IFERROR(__xludf.DUMMYFUNCTION("""COMPUTED_VALUE"""),7.0)</f>
        <v>7</v>
      </c>
      <c r="EM172" s="179"/>
      <c r="EN172" s="179">
        <f>IFERROR(__xludf.DUMMYFUNCTION("""COMPUTED_VALUE"""),7.0)</f>
        <v>7</v>
      </c>
      <c r="EO172" s="16"/>
      <c r="EP172" s="16">
        <f>IFERROR(__xludf.DUMMYFUNCTION("""COMPUTED_VALUE"""),1.0)</f>
        <v>1</v>
      </c>
      <c r="EQ172" s="16">
        <f>IFERROR(__xludf.DUMMYFUNCTION("""COMPUTED_VALUE"""),4.0)</f>
        <v>4</v>
      </c>
      <c r="ER172" s="16">
        <f>IFERROR(__xludf.DUMMYFUNCTION("""COMPUTED_VALUE"""),-1.0)</f>
        <v>-1</v>
      </c>
      <c r="ES172" s="16"/>
      <c r="ET172" s="16"/>
      <c r="EU172" s="16"/>
      <c r="EV172" s="16"/>
      <c r="EW172" s="16"/>
      <c r="EX172" s="180"/>
      <c r="EY172" s="180"/>
      <c r="EZ172" s="180"/>
      <c r="FA172" s="180"/>
      <c r="FB172" s="180"/>
      <c r="FC172" s="180">
        <f>IFERROR(__xludf.DUMMYFUNCTION("""COMPUTED_VALUE"""),0.55)</f>
        <v>0.55</v>
      </c>
      <c r="FD172" s="180"/>
      <c r="FE172" s="180">
        <f>IFERROR(__xludf.DUMMYFUNCTION("""COMPUTED_VALUE"""),0.55)</f>
        <v>0.55</v>
      </c>
      <c r="FF172" s="180"/>
      <c r="FG172" s="180"/>
      <c r="FH172" s="180"/>
      <c r="FI172" s="180"/>
      <c r="FJ172" s="180"/>
      <c r="FK172" s="180">
        <f>IFERROR(__xludf.DUMMYFUNCTION("""COMPUTED_VALUE"""),0.056)</f>
        <v>0.056</v>
      </c>
      <c r="FL172" s="180"/>
      <c r="FM172" s="180">
        <f>IFERROR(__xludf.DUMMYFUNCTION("""COMPUTED_VALUE"""),0.056)</f>
        <v>0.056</v>
      </c>
      <c r="FN172" s="16"/>
      <c r="FO172" s="16"/>
      <c r="FP172" s="16"/>
      <c r="FQ172" s="16"/>
      <c r="FR172" s="16"/>
      <c r="FS172" s="16">
        <f>IFERROR(__xludf.DUMMYFUNCTION("""COMPUTED_VALUE"""),0.42479999999999996)</f>
        <v>0.4248</v>
      </c>
      <c r="FT172" s="16"/>
      <c r="FU172" s="16">
        <f>IFERROR(__xludf.DUMMYFUNCTION("""COMPUTED_VALUE"""),0.42479999999999996)</f>
        <v>0.4248</v>
      </c>
      <c r="FV172" s="16"/>
      <c r="FW172" s="16"/>
      <c r="FX172" s="16"/>
      <c r="FY172" s="16"/>
      <c r="FZ172" s="16"/>
      <c r="GA172" s="16">
        <f>IFERROR(__xludf.DUMMYFUNCTION("""COMPUTED_VALUE"""),-9.0)</f>
        <v>-9</v>
      </c>
      <c r="GB172" s="16"/>
      <c r="GC172" s="16">
        <f>IFERROR(__xludf.DUMMYFUNCTION("""COMPUTED_VALUE"""),-9.0)</f>
        <v>-9</v>
      </c>
      <c r="GD172" s="16" t="s">
        <v>1381</v>
      </c>
    </row>
    <row r="173">
      <c r="A173" s="16">
        <f>IFERROR(__xludf.DUMMYFUNCTION("""COMPUTED_VALUE"""),13123.0)</f>
        <v>13123</v>
      </c>
      <c r="B173" s="16" t="str">
        <f>IFERROR(__xludf.DUMMYFUNCTION("""COMPUTED_VALUE"""),"Lourdes Gurriel Jr")</f>
        <v>Lourdes Gurriel Jr</v>
      </c>
      <c r="C173" s="16">
        <f>IFERROR(__xludf.DUMMYFUNCTION("""COMPUTED_VALUE"""),1.05)</f>
        <v>1.05</v>
      </c>
      <c r="D173" s="16" t="str">
        <f>IFERROR(__xludf.DUMMYFUNCTION("""COMPUTED_VALUE"""),"R")</f>
        <v>R</v>
      </c>
      <c r="E173" s="16"/>
      <c r="F173" s="16"/>
      <c r="G173" s="16">
        <f>IFERROR(__xludf.DUMMYFUNCTION("""COMPUTED_VALUE"""),513.0)</f>
        <v>513</v>
      </c>
      <c r="H173" s="16">
        <f>IFERROR(__xludf.DUMMYFUNCTION("""COMPUTED_VALUE"""),29.0)</f>
        <v>29</v>
      </c>
      <c r="I173" s="16" t="str">
        <f>IFERROR(__xludf.DUMMYFUNCTION("""COMPUTED_VALUE"""),"1p60")</f>
        <v>1p60</v>
      </c>
      <c r="J173" s="16">
        <f>IFERROR(__xludf.DUMMYFUNCTION("""COMPUTED_VALUE"""),16.0)</f>
        <v>16</v>
      </c>
      <c r="K173" s="16">
        <f>IFERROR(__xludf.DUMMYFUNCTION("""COMPUTED_VALUE"""),15.0)</f>
        <v>15</v>
      </c>
      <c r="L173" s="16">
        <f>IFERROR(__xludf.DUMMYFUNCTION("""COMPUTED_VALUE"""),1.0)</f>
        <v>1</v>
      </c>
      <c r="M173" s="16">
        <f>IFERROR(__xludf.DUMMYFUNCTION("""COMPUTED_VALUE"""),1.0)</f>
        <v>1</v>
      </c>
      <c r="N173" s="16">
        <f>IFERROR(__xludf.DUMMYFUNCTION("""COMPUTED_VALUE"""),1.0)</f>
        <v>1</v>
      </c>
      <c r="O173" s="16">
        <f>IFERROR(__xludf.DUMMYFUNCTION("""COMPUTED_VALUE"""),1.0)</f>
        <v>1</v>
      </c>
      <c r="P173" s="16">
        <f>IFERROR(__xludf.DUMMYFUNCTION("""COMPUTED_VALUE"""),2.0)</f>
        <v>2</v>
      </c>
      <c r="Q173" s="16">
        <f>IFERROR(__xludf.DUMMYFUNCTION("""COMPUTED_VALUE"""),3.0)</f>
        <v>3</v>
      </c>
      <c r="R173" s="16">
        <f>IFERROR(__xludf.DUMMYFUNCTION("""COMPUTED_VALUE"""),-2.0)</f>
        <v>-2</v>
      </c>
      <c r="S173" s="16">
        <f>IFERROR(__xludf.DUMMYFUNCTION("""COMPUTED_VALUE"""),-2.0)</f>
        <v>-2</v>
      </c>
      <c r="T173" s="16">
        <f>IFERROR(__xludf.DUMMYFUNCTION("""COMPUTED_VALUE"""),-2.0)</f>
        <v>-2</v>
      </c>
      <c r="U173" s="16">
        <f>IFERROR(__xludf.DUMMYFUNCTION("""COMPUTED_VALUE"""),-2.0)</f>
        <v>-2</v>
      </c>
      <c r="V173" s="16">
        <f>IFERROR(__xludf.DUMMYFUNCTION("""COMPUTED_VALUE"""),35.9)</f>
        <v>35.9</v>
      </c>
      <c r="W173" s="16">
        <f>IFERROR(__xludf.DUMMYFUNCTION("""COMPUTED_VALUE"""),21.6)</f>
        <v>21.6</v>
      </c>
      <c r="X173" s="16">
        <f>IFERROR(__xludf.DUMMYFUNCTION("""COMPUTED_VALUE"""),2.0)</f>
        <v>2</v>
      </c>
      <c r="Y173" s="16">
        <f>IFERROR(__xludf.DUMMYFUNCTION("""COMPUTED_VALUE"""),0.0)</f>
        <v>0</v>
      </c>
      <c r="Z173" s="16">
        <f>IFERROR(__xludf.DUMMYFUNCTION("""COMPUTED_VALUE"""),4.0)</f>
        <v>4</v>
      </c>
      <c r="AA173" s="16">
        <f>IFERROR(__xludf.DUMMYFUNCTION("""COMPUTED_VALUE"""),0.0)</f>
        <v>0</v>
      </c>
      <c r="AB173" s="16">
        <f>IFERROR(__xludf.DUMMYFUNCTION("""COMPUTED_VALUE"""),39.9)</f>
        <v>39.9</v>
      </c>
      <c r="AC173" s="16">
        <f>IFERROR(__xludf.DUMMYFUNCTION("""COMPUTED_VALUE"""),26.6)</f>
        <v>26.6</v>
      </c>
      <c r="AD173" s="16">
        <f>IFERROR(__xludf.DUMMYFUNCTION("""COMPUTED_VALUE"""),1.0)</f>
        <v>1</v>
      </c>
      <c r="AE173" s="16">
        <f>IFERROR(__xludf.DUMMYFUNCTION("""COMPUTED_VALUE"""),-1.0)</f>
        <v>-1</v>
      </c>
      <c r="AF173" s="16">
        <f>IFERROR(__xludf.DUMMYFUNCTION("""COMPUTED_VALUE"""),5.0)</f>
        <v>5</v>
      </c>
      <c r="AG173" s="16">
        <f>IFERROR(__xludf.DUMMYFUNCTION("""COMPUTED_VALUE"""),-5.0)</f>
        <v>-5</v>
      </c>
      <c r="AH173" s="16">
        <f>IFERROR(__xludf.DUMMYFUNCTION("""COMPUTED_VALUE"""),51.4)</f>
        <v>51.4</v>
      </c>
      <c r="AI173" s="16">
        <f>IFERROR(__xludf.DUMMYFUNCTION("""COMPUTED_VALUE"""),31.6)</f>
        <v>31.6</v>
      </c>
      <c r="AJ173" s="16">
        <f>IFERROR(__xludf.DUMMYFUNCTION("""COMPUTED_VALUE"""),2.0)</f>
        <v>2</v>
      </c>
      <c r="AK173" s="16">
        <f>IFERROR(__xludf.DUMMYFUNCTION("""COMPUTED_VALUE"""),0.0)</f>
        <v>0</v>
      </c>
      <c r="AL173" s="16">
        <f>IFERROR(__xludf.DUMMYFUNCTION("""COMPUTED_VALUE"""),10.0)</f>
        <v>10</v>
      </c>
      <c r="AM173" s="16">
        <f>IFERROR(__xludf.DUMMYFUNCTION("""COMPUTED_VALUE"""),0.0)</f>
        <v>0</v>
      </c>
      <c r="AN173" s="16">
        <f>IFERROR(__xludf.DUMMYFUNCTION("""COMPUTED_VALUE"""),3.3)</f>
        <v>3.3</v>
      </c>
      <c r="AO173" s="16">
        <f>IFERROR(__xludf.DUMMYFUNCTION("""COMPUTED_VALUE"""),2.0)</f>
        <v>2</v>
      </c>
      <c r="AP173" s="16">
        <f>IFERROR(__xludf.DUMMYFUNCTION("""COMPUTED_VALUE"""),1.0)</f>
        <v>1</v>
      </c>
      <c r="AQ173" s="16">
        <f>IFERROR(__xludf.DUMMYFUNCTION("""COMPUTED_VALUE"""),-1.0)</f>
        <v>-1</v>
      </c>
      <c r="AR173" s="16">
        <f>IFERROR(__xludf.DUMMYFUNCTION("""COMPUTED_VALUE"""),2.0)</f>
        <v>2</v>
      </c>
      <c r="AS173" s="16">
        <f>IFERROR(__xludf.DUMMYFUNCTION("""COMPUTED_VALUE"""),-2.0)</f>
        <v>-2</v>
      </c>
      <c r="AT173" s="16">
        <f>IFERROR(__xludf.DUMMYFUNCTION("""COMPUTED_VALUE"""),6.0)</f>
        <v>6</v>
      </c>
      <c r="AU173" s="16">
        <f>IFERROR(__xludf.DUMMYFUNCTION("""COMPUTED_VALUE"""),3.0)</f>
        <v>3</v>
      </c>
      <c r="AV173" s="16">
        <f>IFERROR(__xludf.DUMMYFUNCTION("""COMPUTED_VALUE"""),6.0)</f>
        <v>6</v>
      </c>
      <c r="AW173" s="16">
        <f>IFERROR(__xludf.DUMMYFUNCTION("""COMPUTED_VALUE"""),3.0)</f>
        <v>3</v>
      </c>
      <c r="AX173" s="16">
        <f>IFERROR(__xludf.DUMMYFUNCTION("""COMPUTED_VALUE"""),3.0)</f>
        <v>3</v>
      </c>
      <c r="AY173" s="16">
        <f>IFERROR(__xludf.DUMMYFUNCTION("""COMPUTED_VALUE"""),0.0)</f>
        <v>0</v>
      </c>
      <c r="AZ173" s="16">
        <f>IFERROR(__xludf.DUMMYFUNCTION("""COMPUTED_VALUE"""),9.0)</f>
        <v>9</v>
      </c>
      <c r="BA173" s="16">
        <f>IFERROR(__xludf.DUMMYFUNCTION("""COMPUTED_VALUE"""),0.0)</f>
        <v>0</v>
      </c>
      <c r="BB173" s="16">
        <f>IFERROR(__xludf.DUMMYFUNCTION("""COMPUTED_VALUE"""),5.0)</f>
        <v>5</v>
      </c>
      <c r="BC173" s="16">
        <f>IFERROR(__xludf.DUMMYFUNCTION("""COMPUTED_VALUE"""),5.0)</f>
        <v>5</v>
      </c>
      <c r="BD173" s="16">
        <f>IFERROR(__xludf.DUMMYFUNCTION("""COMPUTED_VALUE"""),1.0)</f>
        <v>1</v>
      </c>
      <c r="BE173" s="16">
        <f>IFERROR(__xludf.DUMMYFUNCTION("""COMPUTED_VALUE"""),1.0)</f>
        <v>1</v>
      </c>
      <c r="BF173" s="16">
        <f>IFERROR(__xludf.DUMMYFUNCTION("""COMPUTED_VALUE"""),1.0)</f>
        <v>1</v>
      </c>
      <c r="BG173" s="16">
        <f>IFERROR(__xludf.DUMMYFUNCTION("""COMPUTED_VALUE"""),1.0)</f>
        <v>1</v>
      </c>
      <c r="BH173" s="16">
        <f>IFERROR(__xludf.DUMMYFUNCTION("""COMPUTED_VALUE"""),3.0)</f>
        <v>3</v>
      </c>
      <c r="BI173" s="16">
        <f>IFERROR(__xludf.DUMMYFUNCTION("""COMPUTED_VALUE"""),3.0)</f>
        <v>3</v>
      </c>
      <c r="BJ173" s="16">
        <f>IFERROR(__xludf.DUMMYFUNCTION("""COMPUTED_VALUE"""),23.0)</f>
        <v>23</v>
      </c>
      <c r="BK173" s="16">
        <f>IFERROR(__xludf.DUMMYFUNCTION("""COMPUTED_VALUE"""),23.0)</f>
        <v>23</v>
      </c>
      <c r="BL173" s="16">
        <f>IFERROR(__xludf.DUMMYFUNCTION("""COMPUTED_VALUE"""),-2.0)</f>
        <v>-2</v>
      </c>
      <c r="BM173" s="16">
        <f>IFERROR(__xludf.DUMMYFUNCTION("""COMPUTED_VALUE"""),-2.0)</f>
        <v>-2</v>
      </c>
      <c r="BN173" s="16">
        <f>IFERROR(__xludf.DUMMYFUNCTION("""COMPUTED_VALUE"""),-4.0)</f>
        <v>-4</v>
      </c>
      <c r="BO173" s="16">
        <f>IFERROR(__xludf.DUMMYFUNCTION("""COMPUTED_VALUE"""),-4.0)</f>
        <v>-4</v>
      </c>
      <c r="BP173" s="16">
        <f>IFERROR(__xludf.DUMMYFUNCTION("""COMPUTED_VALUE"""),7.0)</f>
        <v>7</v>
      </c>
      <c r="BQ173" s="16">
        <f>IFERROR(__xludf.DUMMYFUNCTION("""COMPUTED_VALUE"""),-4.0)</f>
        <v>-4</v>
      </c>
      <c r="BR173" s="16">
        <f>IFERROR(__xludf.DUMMYFUNCTION("""COMPUTED_VALUE"""),3.0)</f>
        <v>3</v>
      </c>
      <c r="BS173" s="16" t="str">
        <f>IFERROR(__xludf.DUMMYFUNCTION("""COMPUTED_VALUE"""),"4/- (18-6)")</f>
        <v>4/- (18-6)</v>
      </c>
      <c r="BT173" s="16" t="str">
        <f>IFERROR(__xludf.DUMMYFUNCTION("""COMPUTED_VALUE"""),"C")</f>
        <v>C</v>
      </c>
      <c r="BU173" s="16">
        <f>IFERROR(__xludf.DUMMYFUNCTION("""COMPUTED_VALUE"""),12.0)</f>
        <v>12</v>
      </c>
      <c r="BV173" s="16">
        <f>IFERROR(__xludf.DUMMYFUNCTION("""COMPUTED_VALUE"""),0.0)</f>
        <v>0</v>
      </c>
      <c r="BW173" s="16">
        <f>IFERROR(__xludf.DUMMYFUNCTION("""COMPUTED_VALUE"""),0.0)</f>
        <v>0</v>
      </c>
      <c r="BX173" s="16">
        <f>IFERROR(__xludf.DUMMYFUNCTION("""COMPUTED_VALUE"""),0.0)</f>
        <v>0</v>
      </c>
      <c r="BY173" s="16">
        <f>IFERROR(__xludf.DUMMYFUNCTION("""COMPUTED_VALUE"""),0.0)</f>
        <v>0</v>
      </c>
      <c r="BZ173" s="16" t="str">
        <f>IFERROR(__xludf.DUMMYFUNCTION("""COMPUTED_VALUE"""),"D")</f>
        <v>D</v>
      </c>
      <c r="CA173" s="16" t="str">
        <f>IFERROR(__xludf.DUMMYFUNCTION("""COMPUTED_VALUE"""),"D")</f>
        <v>D</v>
      </c>
      <c r="CB173" s="16">
        <f>IFERROR(__xludf.DUMMYFUNCTION("""COMPUTED_VALUE"""),0.0)</f>
        <v>0</v>
      </c>
      <c r="CC173" s="16">
        <f>IFERROR(__xludf.DUMMYFUNCTION("""COMPUTED_VALUE"""),0.0)</f>
        <v>0</v>
      </c>
      <c r="CD173" s="16">
        <f>IFERROR(__xludf.DUMMYFUNCTION("""COMPUTED_VALUE"""),0.0)</f>
        <v>0</v>
      </c>
      <c r="CE173" s="16">
        <f>IFERROR(__xludf.DUMMYFUNCTION("""COMPUTED_VALUE"""),0.0)</f>
        <v>0</v>
      </c>
      <c r="CF173" s="16">
        <f>IFERROR(__xludf.DUMMYFUNCTION("""COMPUTED_VALUE"""),1.0)</f>
        <v>1</v>
      </c>
      <c r="CG173" s="16">
        <f>IFERROR(__xludf.DUMMYFUNCTION("""COMPUTED_VALUE"""),26.0)</f>
        <v>26</v>
      </c>
      <c r="CH173" s="16">
        <f>IFERROR(__xludf.DUMMYFUNCTION("""COMPUTED_VALUE"""),-11.0)</f>
        <v>-11</v>
      </c>
      <c r="CI173" s="179">
        <f>IFERROR(__xludf.DUMMYFUNCTION("""COMPUTED_VALUE"""),3.0)</f>
        <v>3</v>
      </c>
      <c r="CJ173" s="16"/>
      <c r="CK173" s="16">
        <f>IFERROR(__xludf.DUMMYFUNCTION("""COMPUTED_VALUE"""),414.0)</f>
        <v>414</v>
      </c>
      <c r="CL173" s="16"/>
      <c r="CM173" s="16"/>
      <c r="CN173" s="16"/>
      <c r="CO173" s="16">
        <f>IFERROR(__xludf.DUMMYFUNCTION("""COMPUTED_VALUE"""),207.0)</f>
        <v>207</v>
      </c>
      <c r="CP173" s="16"/>
      <c r="CQ173" s="16"/>
      <c r="CR173" s="16" t="str">
        <f>IFERROR(__xludf.DUMMYFUNCTION("""COMPUTED_VALUE"""),"lf-2(-1)e7 1b-4e14")</f>
        <v>lf-2(-1)e7 1b-4e14</v>
      </c>
      <c r="CS173" s="16"/>
      <c r="CT173" s="16">
        <f>IFERROR(__xludf.DUMMYFUNCTION("""COMPUTED_VALUE"""),4.0)</f>
        <v>4</v>
      </c>
      <c r="CU173" s="16"/>
      <c r="CV173" s="16"/>
      <c r="CW173" s="16"/>
      <c r="CX173" s="16">
        <f>IFERROR(__xludf.DUMMYFUNCTION("""COMPUTED_VALUE"""),2.0)</f>
        <v>2</v>
      </c>
      <c r="CY173" s="16"/>
      <c r="CZ173" s="16"/>
      <c r="DA173" s="16"/>
      <c r="DB173" s="16">
        <f>IFERROR(__xludf.DUMMYFUNCTION("""COMPUTED_VALUE"""),14.0)</f>
        <v>14</v>
      </c>
      <c r="DC173" s="16"/>
      <c r="DD173" s="16"/>
      <c r="DE173" s="16"/>
      <c r="DF173" s="16">
        <f>IFERROR(__xludf.DUMMYFUNCTION("""COMPUTED_VALUE"""),7.0)</f>
        <v>7</v>
      </c>
      <c r="DG173" s="16"/>
      <c r="DH173" s="16"/>
      <c r="DI173" s="16"/>
      <c r="DJ173" s="16">
        <f>IFERROR(__xludf.DUMMYFUNCTION("""COMPUTED_VALUE"""),0.0)</f>
        <v>0</v>
      </c>
      <c r="DK173" s="16"/>
      <c r="DL173" s="16"/>
      <c r="DM173" s="16"/>
      <c r="DN173" s="16">
        <f>IFERROR(__xludf.DUMMYFUNCTION("""COMPUTED_VALUE"""),3.0)</f>
        <v>3</v>
      </c>
      <c r="DO173" s="16"/>
      <c r="DP173" s="16"/>
      <c r="DQ173" s="16"/>
      <c r="DR173" s="16">
        <f>IFERROR(__xludf.DUMMYFUNCTION("""COMPUTED_VALUE"""),1.0)</f>
        <v>1</v>
      </c>
      <c r="DS173" s="16"/>
      <c r="DT173" s="16"/>
      <c r="DU173" s="16"/>
      <c r="DV173" s="16">
        <f>IFERROR(__xludf.DUMMYFUNCTION("""COMPUTED_VALUE"""),2.0)</f>
        <v>2</v>
      </c>
      <c r="DW173" s="16"/>
      <c r="DX173" s="16"/>
      <c r="DY173" s="16"/>
      <c r="DZ173" s="16">
        <f>IFERROR(__xludf.DUMMYFUNCTION("""COMPUTED_VALUE"""),1.0)</f>
        <v>1</v>
      </c>
      <c r="EA173" s="16"/>
      <c r="EB173" s="16"/>
      <c r="EC173" s="16"/>
      <c r="ED173" s="16">
        <f>IFERROR(__xludf.DUMMYFUNCTION("""COMPUTED_VALUE"""),5.0)</f>
        <v>5</v>
      </c>
      <c r="EE173" s="16"/>
      <c r="EF173" s="16"/>
      <c r="EG173" s="179"/>
      <c r="EH173" s="179">
        <f>IFERROR(__xludf.DUMMYFUNCTION("""COMPUTED_VALUE"""),4.0)</f>
        <v>4</v>
      </c>
      <c r="EI173" s="179"/>
      <c r="EJ173" s="179"/>
      <c r="EK173" s="179"/>
      <c r="EL173" s="179">
        <f>IFERROR(__xludf.DUMMYFUNCTION("""COMPUTED_VALUE"""),8.0)</f>
        <v>8</v>
      </c>
      <c r="EM173" s="179"/>
      <c r="EN173" s="179"/>
      <c r="EO173" s="16"/>
      <c r="EP173" s="16"/>
      <c r="EQ173" s="16">
        <f>IFERROR(__xludf.DUMMYFUNCTION("""COMPUTED_VALUE"""),4.0)</f>
        <v>4</v>
      </c>
      <c r="ER173" s="16">
        <f>IFERROR(__xludf.DUMMYFUNCTION("""COMPUTED_VALUE"""),1.0)</f>
        <v>1</v>
      </c>
      <c r="ES173" s="16"/>
      <c r="ET173" s="16"/>
      <c r="EU173" s="16"/>
      <c r="EV173" s="16"/>
      <c r="EW173" s="16"/>
      <c r="EX173" s="180"/>
      <c r="EY173" s="180">
        <f>IFERROR(__xludf.DUMMYFUNCTION("""COMPUTED_VALUE"""),0.3)</f>
        <v>0.3</v>
      </c>
      <c r="EZ173" s="180"/>
      <c r="FA173" s="180"/>
      <c r="FB173" s="180"/>
      <c r="FC173" s="180">
        <f>IFERROR(__xludf.DUMMYFUNCTION("""COMPUTED_VALUE"""),0.15)</f>
        <v>0.15</v>
      </c>
      <c r="FD173" s="180"/>
      <c r="FE173" s="180"/>
      <c r="FF173" s="180"/>
      <c r="FG173" s="180">
        <f>IFERROR(__xludf.DUMMYFUNCTION("""COMPUTED_VALUE"""),0.25)</f>
        <v>0.25</v>
      </c>
      <c r="FH173" s="180"/>
      <c r="FI173" s="180"/>
      <c r="FJ173" s="180"/>
      <c r="FK173" s="180">
        <f>IFERROR(__xludf.DUMMYFUNCTION("""COMPUTED_VALUE"""),0.125)</f>
        <v>0.125</v>
      </c>
      <c r="FL173" s="180"/>
      <c r="FM173" s="180"/>
      <c r="FN173" s="16"/>
      <c r="FO173" s="16">
        <f>IFERROR(__xludf.DUMMYFUNCTION("""COMPUTED_VALUE"""),0.5249999999999999)</f>
        <v>0.525</v>
      </c>
      <c r="FP173" s="16"/>
      <c r="FQ173" s="16"/>
      <c r="FR173" s="16"/>
      <c r="FS173" s="16">
        <f>IFERROR(__xludf.DUMMYFUNCTION("""COMPUTED_VALUE"""),0.74375)</f>
        <v>0.74375</v>
      </c>
      <c r="FT173" s="16"/>
      <c r="FU173" s="16"/>
      <c r="FV173" s="16"/>
      <c r="FW173" s="16">
        <f>IFERROR(__xludf.DUMMYFUNCTION("""COMPUTED_VALUE"""),-8.0)</f>
        <v>-8</v>
      </c>
      <c r="FX173" s="16"/>
      <c r="FY173" s="16"/>
      <c r="FZ173" s="16"/>
      <c r="GA173" s="16">
        <f>IFERROR(__xludf.DUMMYFUNCTION("""COMPUTED_VALUE"""),-4.0)</f>
        <v>-4</v>
      </c>
      <c r="GB173" s="16"/>
      <c r="GC173" s="16"/>
      <c r="GD173" s="16" t="s">
        <v>176</v>
      </c>
    </row>
    <row r="174">
      <c r="A174" s="16">
        <f>IFERROR(__xludf.DUMMYFUNCTION("""COMPUTED_VALUE"""),12844.0)</f>
        <v>12844</v>
      </c>
      <c r="B174" s="16" t="str">
        <f>IFERROR(__xludf.DUMMYFUNCTION("""COMPUTED_VALUE"""),"Geraldo Perdomo")</f>
        <v>Geraldo Perdomo</v>
      </c>
      <c r="C174" s="16">
        <f>IFERROR(__xludf.DUMMYFUNCTION("""COMPUTED_VALUE"""),2.62)</f>
        <v>2.62</v>
      </c>
      <c r="D174" s="16" t="str">
        <f>IFERROR(__xludf.DUMMYFUNCTION("""COMPUTED_VALUE"""),"S")</f>
        <v>S</v>
      </c>
      <c r="E174" s="16"/>
      <c r="F174" s="16"/>
      <c r="G174" s="16">
        <f>IFERROR(__xludf.DUMMYFUNCTION("""COMPUTED_VALUE"""),337.0)</f>
        <v>337</v>
      </c>
      <c r="H174" s="16">
        <f>IFERROR(__xludf.DUMMYFUNCTION("""COMPUTED_VALUE"""),36.0)</f>
        <v>36</v>
      </c>
      <c r="I174" s="16" t="str">
        <f>IFERROR(__xludf.DUMMYFUNCTION("""COMPUTED_VALUE"""),"4p50")</f>
        <v>4p50</v>
      </c>
      <c r="J174" s="16">
        <f>IFERROR(__xludf.DUMMYFUNCTION("""COMPUTED_VALUE"""),2.0)</f>
        <v>2</v>
      </c>
      <c r="K174" s="16">
        <f>IFERROR(__xludf.DUMMYFUNCTION("""COMPUTED_VALUE"""),12.0)</f>
        <v>12</v>
      </c>
      <c r="L174" s="16">
        <f>IFERROR(__xludf.DUMMYFUNCTION("""COMPUTED_VALUE"""),2.0)</f>
        <v>2</v>
      </c>
      <c r="M174" s="16">
        <f>IFERROR(__xludf.DUMMYFUNCTION("""COMPUTED_VALUE"""),1.0)</f>
        <v>1</v>
      </c>
      <c r="N174" s="16">
        <f>IFERROR(__xludf.DUMMYFUNCTION("""COMPUTED_VALUE"""),2.0)</f>
        <v>2</v>
      </c>
      <c r="O174" s="16">
        <f>IFERROR(__xludf.DUMMYFUNCTION("""COMPUTED_VALUE"""),1.0)</f>
        <v>1</v>
      </c>
      <c r="P174" s="16">
        <f>IFERROR(__xludf.DUMMYFUNCTION("""COMPUTED_VALUE"""),8.0)</f>
        <v>8</v>
      </c>
      <c r="Q174" s="16">
        <f>IFERROR(__xludf.DUMMYFUNCTION("""COMPUTED_VALUE"""),12.0)</f>
        <v>12</v>
      </c>
      <c r="R174" s="16">
        <f>IFERROR(__xludf.DUMMYFUNCTION("""COMPUTED_VALUE"""),0.0)</f>
        <v>0</v>
      </c>
      <c r="S174" s="16">
        <f>IFERROR(__xludf.DUMMYFUNCTION("""COMPUTED_VALUE"""),1.0)</f>
        <v>1</v>
      </c>
      <c r="T174" s="16">
        <f>IFERROR(__xludf.DUMMYFUNCTION("""COMPUTED_VALUE"""),0.0)</f>
        <v>0</v>
      </c>
      <c r="U174" s="16">
        <f>IFERROR(__xludf.DUMMYFUNCTION("""COMPUTED_VALUE"""),1.0)</f>
        <v>1</v>
      </c>
      <c r="V174" s="16">
        <f>IFERROR(__xludf.DUMMYFUNCTION("""COMPUTED_VALUE"""),33.8)</f>
        <v>33.8</v>
      </c>
      <c r="W174" s="16">
        <f>IFERROR(__xludf.DUMMYFUNCTION("""COMPUTED_VALUE"""),20.4)</f>
        <v>20.4</v>
      </c>
      <c r="X174" s="16">
        <f>IFERROR(__xludf.DUMMYFUNCTION("""COMPUTED_VALUE"""),2.0)</f>
        <v>2</v>
      </c>
      <c r="Y174" s="16">
        <f>IFERROR(__xludf.DUMMYFUNCTION("""COMPUTED_VALUE"""),0.0)</f>
        <v>0</v>
      </c>
      <c r="Z174" s="16">
        <f>IFERROR(__xludf.DUMMYFUNCTION("""COMPUTED_VALUE"""),4.0)</f>
        <v>4</v>
      </c>
      <c r="AA174" s="16">
        <f>IFERROR(__xludf.DUMMYFUNCTION("""COMPUTED_VALUE"""),0.0)</f>
        <v>0</v>
      </c>
      <c r="AB174" s="16">
        <f>IFERROR(__xludf.DUMMYFUNCTION("""COMPUTED_VALUE"""),43.8)</f>
        <v>43.8</v>
      </c>
      <c r="AC174" s="16">
        <f>IFERROR(__xludf.DUMMYFUNCTION("""COMPUTED_VALUE"""),34.4)</f>
        <v>34.4</v>
      </c>
      <c r="AD174" s="16">
        <f>IFERROR(__xludf.DUMMYFUNCTION("""COMPUTED_VALUE"""),2.0)</f>
        <v>2</v>
      </c>
      <c r="AE174" s="16">
        <f>IFERROR(__xludf.DUMMYFUNCTION("""COMPUTED_VALUE"""),0.0)</f>
        <v>0</v>
      </c>
      <c r="AF174" s="16">
        <f>IFERROR(__xludf.DUMMYFUNCTION("""COMPUTED_VALUE"""),10.0)</f>
        <v>10</v>
      </c>
      <c r="AG174" s="16">
        <f>IFERROR(__xludf.DUMMYFUNCTION("""COMPUTED_VALUE"""),0.0)</f>
        <v>0</v>
      </c>
      <c r="AH174" s="16">
        <f>IFERROR(__xludf.DUMMYFUNCTION("""COMPUTED_VALUE"""),36.4)</f>
        <v>36.4</v>
      </c>
      <c r="AI174" s="16">
        <f>IFERROR(__xludf.DUMMYFUNCTION("""COMPUTED_VALUE"""),37.8)</f>
        <v>37.8</v>
      </c>
      <c r="AJ174" s="16">
        <f>IFERROR(__xludf.DUMMYFUNCTION("""COMPUTED_VALUE"""),0.0)</f>
        <v>0</v>
      </c>
      <c r="AK174" s="16">
        <f>IFERROR(__xludf.DUMMYFUNCTION("""COMPUTED_VALUE"""),1.0)</f>
        <v>1</v>
      </c>
      <c r="AL174" s="16">
        <f>IFERROR(__xludf.DUMMYFUNCTION("""COMPUTED_VALUE"""),0.0)</f>
        <v>0</v>
      </c>
      <c r="AM174" s="16">
        <f>IFERROR(__xludf.DUMMYFUNCTION("""COMPUTED_VALUE"""),5.0)</f>
        <v>5</v>
      </c>
      <c r="AN174" s="16">
        <f>IFERROR(__xludf.DUMMYFUNCTION("""COMPUTED_VALUE"""),0.0)</f>
        <v>0</v>
      </c>
      <c r="AO174" s="16">
        <f>IFERROR(__xludf.DUMMYFUNCTION("""COMPUTED_VALUE"""),2.5)</f>
        <v>2.5</v>
      </c>
      <c r="AP174" s="16">
        <f>IFERROR(__xludf.DUMMYFUNCTION("""COMPUTED_VALUE"""),-2.0)</f>
        <v>-2</v>
      </c>
      <c r="AQ174" s="16">
        <f>IFERROR(__xludf.DUMMYFUNCTION("""COMPUTED_VALUE"""),0.0)</f>
        <v>0</v>
      </c>
      <c r="AR174" s="16">
        <f>IFERROR(__xludf.DUMMYFUNCTION("""COMPUTED_VALUE"""),-4.0)</f>
        <v>-4</v>
      </c>
      <c r="AS174" s="16">
        <f>IFERROR(__xludf.DUMMYFUNCTION("""COMPUTED_VALUE"""),0.0)</f>
        <v>0</v>
      </c>
      <c r="AT174" s="16"/>
      <c r="AU174" s="16"/>
      <c r="AV174" s="16">
        <f>IFERROR(__xludf.DUMMYFUNCTION("""COMPUTED_VALUE"""),-3.0)</f>
        <v>-3</v>
      </c>
      <c r="AW174" s="16">
        <f>IFERROR(__xludf.DUMMYFUNCTION("""COMPUTED_VALUE"""),-3.0)</f>
        <v>-3</v>
      </c>
      <c r="AX174" s="16">
        <f>IFERROR(__xludf.DUMMYFUNCTION("""COMPUTED_VALUE"""),-3.0)</f>
        <v>-3</v>
      </c>
      <c r="AY174" s="16">
        <f>IFERROR(__xludf.DUMMYFUNCTION("""COMPUTED_VALUE"""),-3.0)</f>
        <v>-3</v>
      </c>
      <c r="AZ174" s="16">
        <f>IFERROR(__xludf.DUMMYFUNCTION("""COMPUTED_VALUE"""),-9.0)</f>
        <v>-9</v>
      </c>
      <c r="BA174" s="16">
        <f>IFERROR(__xludf.DUMMYFUNCTION("""COMPUTED_VALUE"""),-9.0)</f>
        <v>-9</v>
      </c>
      <c r="BB174" s="16">
        <f>IFERROR(__xludf.DUMMYFUNCTION("""COMPUTED_VALUE"""),5.0)</f>
        <v>5</v>
      </c>
      <c r="BC174" s="16">
        <f>IFERROR(__xludf.DUMMYFUNCTION("""COMPUTED_VALUE"""),5.0)</f>
        <v>5</v>
      </c>
      <c r="BD174" s="16">
        <f>IFERROR(__xludf.DUMMYFUNCTION("""COMPUTED_VALUE"""),1.0)</f>
        <v>1</v>
      </c>
      <c r="BE174" s="16">
        <f>IFERROR(__xludf.DUMMYFUNCTION("""COMPUTED_VALUE"""),1.0)</f>
        <v>1</v>
      </c>
      <c r="BF174" s="16">
        <f>IFERROR(__xludf.DUMMYFUNCTION("""COMPUTED_VALUE"""),1.0)</f>
        <v>1</v>
      </c>
      <c r="BG174" s="16">
        <f>IFERROR(__xludf.DUMMYFUNCTION("""COMPUTED_VALUE"""),1.0)</f>
        <v>1</v>
      </c>
      <c r="BH174" s="16">
        <f>IFERROR(__xludf.DUMMYFUNCTION("""COMPUTED_VALUE"""),0.0)</f>
        <v>0</v>
      </c>
      <c r="BI174" s="16">
        <f>IFERROR(__xludf.DUMMYFUNCTION("""COMPUTED_VALUE"""),0.0)</f>
        <v>0</v>
      </c>
      <c r="BJ174" s="16">
        <f>IFERROR(__xludf.DUMMYFUNCTION("""COMPUTED_VALUE"""),10.0)</f>
        <v>10</v>
      </c>
      <c r="BK174" s="16">
        <f>IFERROR(__xludf.DUMMYFUNCTION("""COMPUTED_VALUE"""),9.0)</f>
        <v>9</v>
      </c>
      <c r="BL174" s="16">
        <f>IFERROR(__xludf.DUMMYFUNCTION("""COMPUTED_VALUE"""),0.0)</f>
        <v>0</v>
      </c>
      <c r="BM174" s="16">
        <f>IFERROR(__xludf.DUMMYFUNCTION("""COMPUTED_VALUE"""),1.0)</f>
        <v>1</v>
      </c>
      <c r="BN174" s="16">
        <f>IFERROR(__xludf.DUMMYFUNCTION("""COMPUTED_VALUE"""),0.0)</f>
        <v>0</v>
      </c>
      <c r="BO174" s="16">
        <f>IFERROR(__xludf.DUMMYFUNCTION("""COMPUTED_VALUE"""),1.0)</f>
        <v>1</v>
      </c>
      <c r="BP174" s="16">
        <f>IFERROR(__xludf.DUMMYFUNCTION("""COMPUTED_VALUE"""),2.0)</f>
        <v>2</v>
      </c>
      <c r="BQ174" s="16">
        <f>IFERROR(__xludf.DUMMYFUNCTION("""COMPUTED_VALUE"""),2.0)</f>
        <v>2</v>
      </c>
      <c r="BR174" s="16">
        <f>IFERROR(__xludf.DUMMYFUNCTION("""COMPUTED_VALUE"""),4.0)</f>
        <v>4</v>
      </c>
      <c r="BS174" s="16" t="str">
        <f>IFERROR(__xludf.DUMMYFUNCTION("""COMPUTED_VALUE"""),"*5/- (19-6)")</f>
        <v>*5/- (19-6)</v>
      </c>
      <c r="BT174" s="16" t="str">
        <f>IFERROR(__xludf.DUMMYFUNCTION("""COMPUTED_VALUE"""),"B")</f>
        <v>B</v>
      </c>
      <c r="BU174" s="16">
        <f>IFERROR(__xludf.DUMMYFUNCTION("""COMPUTED_VALUE"""),15.0)</f>
        <v>15</v>
      </c>
      <c r="BV174" s="16">
        <f>IFERROR(__xludf.DUMMYFUNCTION("""COMPUTED_VALUE"""),1.0)</f>
        <v>1</v>
      </c>
      <c r="BW174" s="16">
        <f>IFERROR(__xludf.DUMMYFUNCTION("""COMPUTED_VALUE"""),2.0)</f>
        <v>2</v>
      </c>
      <c r="BX174" s="16">
        <f>IFERROR(__xludf.DUMMYFUNCTION("""COMPUTED_VALUE"""),2.0)</f>
        <v>2</v>
      </c>
      <c r="BY174" s="16">
        <f>IFERROR(__xludf.DUMMYFUNCTION("""COMPUTED_VALUE"""),6.0)</f>
        <v>6</v>
      </c>
      <c r="BZ174" s="16" t="str">
        <f>IFERROR(__xludf.DUMMYFUNCTION("""COMPUTED_VALUE"""),"A")</f>
        <v>A</v>
      </c>
      <c r="CA174" s="16" t="str">
        <f>IFERROR(__xludf.DUMMYFUNCTION("""COMPUTED_VALUE"""),"C")</f>
        <v>C</v>
      </c>
      <c r="CB174" s="16">
        <f>IFERROR(__xludf.DUMMYFUNCTION("""COMPUTED_VALUE"""),2.0)</f>
        <v>2</v>
      </c>
      <c r="CC174" s="16">
        <f>IFERROR(__xludf.DUMMYFUNCTION("""COMPUTED_VALUE"""),0.0)</f>
        <v>0</v>
      </c>
      <c r="CD174" s="16">
        <f>IFERROR(__xludf.DUMMYFUNCTION("""COMPUTED_VALUE"""),2.0)</f>
        <v>2</v>
      </c>
      <c r="CE174" s="16">
        <f>IFERROR(__xludf.DUMMYFUNCTION("""COMPUTED_VALUE"""),0.0)</f>
        <v>0</v>
      </c>
      <c r="CF174" s="16">
        <f>IFERROR(__xludf.DUMMYFUNCTION("""COMPUTED_VALUE"""),4.0)</f>
        <v>4</v>
      </c>
      <c r="CG174" s="16">
        <f>IFERROR(__xludf.DUMMYFUNCTION("""COMPUTED_VALUE"""),4.0)</f>
        <v>4</v>
      </c>
      <c r="CH174" s="16">
        <f>IFERROR(__xludf.DUMMYFUNCTION("""COMPUTED_VALUE"""),0.0)</f>
        <v>0</v>
      </c>
      <c r="CI174" s="179">
        <f>IFERROR(__xludf.DUMMYFUNCTION("""COMPUTED_VALUE"""),3.0)</f>
        <v>3</v>
      </c>
      <c r="CJ174" s="16"/>
      <c r="CK174" s="16"/>
      <c r="CL174" s="16"/>
      <c r="CM174" s="16"/>
      <c r="CN174" s="16">
        <f>IFERROR(__xludf.DUMMYFUNCTION("""COMPUTED_VALUE"""),208.0)</f>
        <v>208</v>
      </c>
      <c r="CO174" s="16"/>
      <c r="CP174" s="16"/>
      <c r="CQ174" s="16"/>
      <c r="CR174" s="16" t="str">
        <f>IFERROR(__xludf.DUMMYFUNCTION("""COMPUTED_VALUE"""),"ss-2e8")</f>
        <v>ss-2e8</v>
      </c>
      <c r="CS174" s="16"/>
      <c r="CT174" s="16"/>
      <c r="CU174" s="16"/>
      <c r="CV174" s="16"/>
      <c r="CW174" s="16">
        <f>IFERROR(__xludf.DUMMYFUNCTION("""COMPUTED_VALUE"""),2.0)</f>
        <v>2</v>
      </c>
      <c r="CX174" s="16"/>
      <c r="CY174" s="16"/>
      <c r="CZ174" s="16"/>
      <c r="DA174" s="16"/>
      <c r="DB174" s="16"/>
      <c r="DC174" s="16"/>
      <c r="DD174" s="16"/>
      <c r="DE174" s="16">
        <f>IFERROR(__xludf.DUMMYFUNCTION("""COMPUTED_VALUE"""),8.0)</f>
        <v>8</v>
      </c>
      <c r="DF174" s="16"/>
      <c r="DG174" s="16"/>
      <c r="DH174" s="16"/>
      <c r="DI174" s="16"/>
      <c r="DJ174" s="16"/>
      <c r="DK174" s="16"/>
      <c r="DL174" s="16"/>
      <c r="DM174" s="16">
        <f>IFERROR(__xludf.DUMMYFUNCTION("""COMPUTED_VALUE"""),3.0)</f>
        <v>3</v>
      </c>
      <c r="DN174" s="16"/>
      <c r="DO174" s="16"/>
      <c r="DP174" s="16"/>
      <c r="DQ174" s="16"/>
      <c r="DR174" s="16"/>
      <c r="DS174" s="16"/>
      <c r="DT174" s="16"/>
      <c r="DU174" s="16">
        <f>IFERROR(__xludf.DUMMYFUNCTION("""COMPUTED_VALUE"""),3.0)</f>
        <v>3</v>
      </c>
      <c r="DV174" s="16"/>
      <c r="DW174" s="16"/>
      <c r="DX174" s="16"/>
      <c r="DY174" s="16"/>
      <c r="DZ174" s="16"/>
      <c r="EA174" s="16"/>
      <c r="EB174" s="16"/>
      <c r="EC174" s="16">
        <f>IFERROR(__xludf.DUMMYFUNCTION("""COMPUTED_VALUE"""),6.0)</f>
        <v>6</v>
      </c>
      <c r="ED174" s="16"/>
      <c r="EE174" s="16"/>
      <c r="EF174" s="16"/>
      <c r="EG174" s="179"/>
      <c r="EH174" s="179"/>
      <c r="EI174" s="179"/>
      <c r="EJ174" s="179"/>
      <c r="EK174" s="179">
        <f>IFERROR(__xludf.DUMMYFUNCTION("""COMPUTED_VALUE"""),9.0)</f>
        <v>9</v>
      </c>
      <c r="EL174" s="179"/>
      <c r="EM174" s="179"/>
      <c r="EN174" s="179"/>
      <c r="EO174" s="16"/>
      <c r="EP174" s="16"/>
      <c r="EQ174" s="16">
        <f>IFERROR(__xludf.DUMMYFUNCTION("""COMPUTED_VALUE"""),-1.0)</f>
        <v>-1</v>
      </c>
      <c r="ER174" s="16">
        <f>IFERROR(__xludf.DUMMYFUNCTION("""COMPUTED_VALUE"""),0.0)</f>
        <v>0</v>
      </c>
      <c r="ES174" s="16"/>
      <c r="ET174" s="16"/>
      <c r="EU174" s="16"/>
      <c r="EV174" s="16"/>
      <c r="EW174" s="16"/>
      <c r="EX174" s="180"/>
      <c r="EY174" s="180"/>
      <c r="EZ174" s="180"/>
      <c r="FA174" s="180"/>
      <c r="FB174" s="180">
        <f>IFERROR(__xludf.DUMMYFUNCTION("""COMPUTED_VALUE"""),0.1)</f>
        <v>0.1</v>
      </c>
      <c r="FC174" s="180"/>
      <c r="FD174" s="180"/>
      <c r="FE174" s="180"/>
      <c r="FF174" s="180"/>
      <c r="FG174" s="180"/>
      <c r="FH174" s="180"/>
      <c r="FI174" s="180"/>
      <c r="FJ174" s="180">
        <f>IFERROR(__xludf.DUMMYFUNCTION("""COMPUTED_VALUE"""),0.046296296296296294)</f>
        <v>0.0462962963</v>
      </c>
      <c r="FK174" s="180"/>
      <c r="FL174" s="180"/>
      <c r="FM174" s="180"/>
      <c r="FN174" s="16"/>
      <c r="FO174" s="16"/>
      <c r="FP174" s="16"/>
      <c r="FQ174" s="16"/>
      <c r="FR174" s="16">
        <f>IFERROR(__xludf.DUMMYFUNCTION("""COMPUTED_VALUE"""),0.8583333333333334)</f>
        <v>0.8583333333</v>
      </c>
      <c r="FS174" s="16"/>
      <c r="FT174" s="16"/>
      <c r="FU174" s="16"/>
      <c r="FV174" s="16"/>
      <c r="FW174" s="16"/>
      <c r="FX174" s="16"/>
      <c r="FY174" s="16"/>
      <c r="FZ174" s="16">
        <f>IFERROR(__xludf.DUMMYFUNCTION("""COMPUTED_VALUE"""),4.0)</f>
        <v>4</v>
      </c>
      <c r="GA174" s="16"/>
      <c r="GB174" s="16"/>
      <c r="GC174" s="16"/>
      <c r="GD174" s="16" t="s">
        <v>292</v>
      </c>
    </row>
    <row r="175">
      <c r="A175" s="16">
        <f>IFERROR(__xludf.DUMMYFUNCTION("""COMPUTED_VALUE"""),12871.0)</f>
        <v>12871</v>
      </c>
      <c r="B175" s="16" t="str">
        <f>IFERROR(__xludf.DUMMYFUNCTION("""COMPUTED_VALUE"""),"Heston Kjerstad")</f>
        <v>Heston Kjerstad</v>
      </c>
      <c r="C175" s="16">
        <f>IFERROR(__xludf.DUMMYFUNCTION("""COMPUTED_VALUE"""),1.02)</f>
        <v>1.02</v>
      </c>
      <c r="D175" s="16" t="str">
        <f>IFERROR(__xludf.DUMMYFUNCTION("""COMPUTED_VALUE"""),"L")</f>
        <v>L</v>
      </c>
      <c r="E175" s="16"/>
      <c r="F175" s="16"/>
      <c r="G175" s="16">
        <f>IFERROR(__xludf.DUMMYFUNCTION("""COMPUTED_VALUE"""),99.0)</f>
        <v>99</v>
      </c>
      <c r="H175" s="16">
        <f>IFERROR(__xludf.DUMMYFUNCTION("""COMPUTED_VALUE"""),10.0)</f>
        <v>10</v>
      </c>
      <c r="I175" s="16" t="str">
        <f>IFERROR(__xludf.DUMMYFUNCTION("""COMPUTED_VALUE"""),"1p20")</f>
        <v>1p20</v>
      </c>
      <c r="J175" s="16">
        <f>IFERROR(__xludf.DUMMYFUNCTION("""COMPUTED_VALUE"""),23.0)</f>
        <v>23</v>
      </c>
      <c r="K175" s="16">
        <f>IFERROR(__xludf.DUMMYFUNCTION("""COMPUTED_VALUE"""),40.0)</f>
        <v>40</v>
      </c>
      <c r="L175" s="16">
        <f>IFERROR(__xludf.DUMMYFUNCTION("""COMPUTED_VALUE"""),0.0)</f>
        <v>0</v>
      </c>
      <c r="M175" s="16">
        <f>IFERROR(__xludf.DUMMYFUNCTION("""COMPUTED_VALUE"""),-2.0)</f>
        <v>-2</v>
      </c>
      <c r="N175" s="16">
        <f>IFERROR(__xludf.DUMMYFUNCTION("""COMPUTED_VALUE"""),0.0)</f>
        <v>0</v>
      </c>
      <c r="O175" s="16">
        <f>IFERROR(__xludf.DUMMYFUNCTION("""COMPUTED_VALUE"""),-2.0)</f>
        <v>-2</v>
      </c>
      <c r="P175" s="16">
        <f>IFERROR(__xludf.DUMMYFUNCTION("""COMPUTED_VALUE"""),0.0)</f>
        <v>0</v>
      </c>
      <c r="Q175" s="16">
        <f>IFERROR(__xludf.DUMMYFUNCTION("""COMPUTED_VALUE"""),8.0)</f>
        <v>8</v>
      </c>
      <c r="R175" s="16">
        <f>IFERROR(__xludf.DUMMYFUNCTION("""COMPUTED_VALUE"""),-3.0)</f>
        <v>-3</v>
      </c>
      <c r="S175" s="16">
        <f>IFERROR(__xludf.DUMMYFUNCTION("""COMPUTED_VALUE"""),0.0)</f>
        <v>0</v>
      </c>
      <c r="T175" s="16">
        <f>IFERROR(__xludf.DUMMYFUNCTION("""COMPUTED_VALUE"""),-3.0)</f>
        <v>-3</v>
      </c>
      <c r="U175" s="16">
        <f>IFERROR(__xludf.DUMMYFUNCTION("""COMPUTED_VALUE"""),0.0)</f>
        <v>0</v>
      </c>
      <c r="V175" s="16">
        <f>IFERROR(__xludf.DUMMYFUNCTION("""COMPUTED_VALUE"""),22.4)</f>
        <v>22.4</v>
      </c>
      <c r="W175" s="16">
        <f>IFERROR(__xludf.DUMMYFUNCTION("""COMPUTED_VALUE"""),19.1)</f>
        <v>19.1</v>
      </c>
      <c r="X175" s="16">
        <f>IFERROR(__xludf.DUMMYFUNCTION("""COMPUTED_VALUE"""),0.0)</f>
        <v>0</v>
      </c>
      <c r="Y175" s="16">
        <f>IFERROR(__xludf.DUMMYFUNCTION("""COMPUTED_VALUE"""),0.0)</f>
        <v>0</v>
      </c>
      <c r="Z175" s="16">
        <f>IFERROR(__xludf.DUMMYFUNCTION("""COMPUTED_VALUE"""),0.0)</f>
        <v>0</v>
      </c>
      <c r="AA175" s="16">
        <f>IFERROR(__xludf.DUMMYFUNCTION("""COMPUTED_VALUE"""),0.0)</f>
        <v>0</v>
      </c>
      <c r="AB175" s="16">
        <f>IFERROR(__xludf.DUMMYFUNCTION("""COMPUTED_VALUE"""),32.3)</f>
        <v>32.3</v>
      </c>
      <c r="AC175" s="16">
        <f>IFERROR(__xludf.DUMMYFUNCTION("""COMPUTED_VALUE"""),37.1)</f>
        <v>37.1</v>
      </c>
      <c r="AD175" s="16">
        <f>IFERROR(__xludf.DUMMYFUNCTION("""COMPUTED_VALUE"""),0.0)</f>
        <v>0</v>
      </c>
      <c r="AE175" s="16">
        <f>IFERROR(__xludf.DUMMYFUNCTION("""COMPUTED_VALUE"""),1.0)</f>
        <v>1</v>
      </c>
      <c r="AF175" s="16">
        <f>IFERROR(__xludf.DUMMYFUNCTION("""COMPUTED_VALUE"""),0.0)</f>
        <v>0</v>
      </c>
      <c r="AG175" s="16">
        <f>IFERROR(__xludf.DUMMYFUNCTION("""COMPUTED_VALUE"""),5.0)</f>
        <v>5</v>
      </c>
      <c r="AH175" s="16">
        <f>IFERROR(__xludf.DUMMYFUNCTION("""COMPUTED_VALUE"""),30.4)</f>
        <v>30.4</v>
      </c>
      <c r="AI175" s="16">
        <f>IFERROR(__xludf.DUMMYFUNCTION("""COMPUTED_VALUE"""),27.4)</f>
        <v>27.4</v>
      </c>
      <c r="AJ175" s="16">
        <f>IFERROR(__xludf.DUMMYFUNCTION("""COMPUTED_VALUE"""),0.0)</f>
        <v>0</v>
      </c>
      <c r="AK175" s="16">
        <f>IFERROR(__xludf.DUMMYFUNCTION("""COMPUTED_VALUE"""),-1.0)</f>
        <v>-1</v>
      </c>
      <c r="AL175" s="16">
        <f>IFERROR(__xludf.DUMMYFUNCTION("""COMPUTED_VALUE"""),0.0)</f>
        <v>0</v>
      </c>
      <c r="AM175" s="16">
        <f>IFERROR(__xludf.DUMMYFUNCTION("""COMPUTED_VALUE"""),-5.0)</f>
        <v>-5</v>
      </c>
      <c r="AN175" s="16">
        <f>IFERROR(__xludf.DUMMYFUNCTION("""COMPUTED_VALUE"""),0.0)</f>
        <v>0</v>
      </c>
      <c r="AO175" s="16">
        <f>IFERROR(__xludf.DUMMYFUNCTION("""COMPUTED_VALUE"""),2.8)</f>
        <v>2.8</v>
      </c>
      <c r="AP175" s="16">
        <f>IFERROR(__xludf.DUMMYFUNCTION("""COMPUTED_VALUE"""),-2.0)</f>
        <v>-2</v>
      </c>
      <c r="AQ175" s="16">
        <f>IFERROR(__xludf.DUMMYFUNCTION("""COMPUTED_VALUE"""),0.0)</f>
        <v>0</v>
      </c>
      <c r="AR175" s="16">
        <f>IFERROR(__xludf.DUMMYFUNCTION("""COMPUTED_VALUE"""),-4.0)</f>
        <v>-4</v>
      </c>
      <c r="AS175" s="16">
        <f>IFERROR(__xludf.DUMMYFUNCTION("""COMPUTED_VALUE"""),0.0)</f>
        <v>0</v>
      </c>
      <c r="AT175" s="16"/>
      <c r="AU175" s="16">
        <f>IFERROR(__xludf.DUMMYFUNCTION("""COMPUTED_VALUE"""),5.0)</f>
        <v>5</v>
      </c>
      <c r="AV175" s="16">
        <f>IFERROR(__xludf.DUMMYFUNCTION("""COMPUTED_VALUE"""),-3.0)</f>
        <v>-3</v>
      </c>
      <c r="AW175" s="16">
        <f>IFERROR(__xludf.DUMMYFUNCTION("""COMPUTED_VALUE"""),5.0)</f>
        <v>5</v>
      </c>
      <c r="AX175" s="16">
        <f>IFERROR(__xludf.DUMMYFUNCTION("""COMPUTED_VALUE"""),-3.0)</f>
        <v>-3</v>
      </c>
      <c r="AY175" s="16">
        <f>IFERROR(__xludf.DUMMYFUNCTION("""COMPUTED_VALUE"""),2.0)</f>
        <v>2</v>
      </c>
      <c r="AZ175" s="16">
        <f>IFERROR(__xludf.DUMMYFUNCTION("""COMPUTED_VALUE"""),-9.0)</f>
        <v>-9</v>
      </c>
      <c r="BA175" s="16">
        <f>IFERROR(__xludf.DUMMYFUNCTION("""COMPUTED_VALUE"""),6.0)</f>
        <v>6</v>
      </c>
      <c r="BB175" s="16">
        <f>IFERROR(__xludf.DUMMYFUNCTION("""COMPUTED_VALUE"""),5.0)</f>
        <v>5</v>
      </c>
      <c r="BC175" s="16">
        <f>IFERROR(__xludf.DUMMYFUNCTION("""COMPUTED_VALUE"""),5.0)</f>
        <v>5</v>
      </c>
      <c r="BD175" s="16">
        <f>IFERROR(__xludf.DUMMYFUNCTION("""COMPUTED_VALUE"""),1.0)</f>
        <v>1</v>
      </c>
      <c r="BE175" s="16">
        <f>IFERROR(__xludf.DUMMYFUNCTION("""COMPUTED_VALUE"""),1.0)</f>
        <v>1</v>
      </c>
      <c r="BF175" s="16">
        <f>IFERROR(__xludf.DUMMYFUNCTION("""COMPUTED_VALUE"""),1.0)</f>
        <v>1</v>
      </c>
      <c r="BG175" s="16">
        <f>IFERROR(__xludf.DUMMYFUNCTION("""COMPUTED_VALUE"""),1.0)</f>
        <v>1</v>
      </c>
      <c r="BH175" s="16">
        <f>IFERROR(__xludf.DUMMYFUNCTION("""COMPUTED_VALUE"""),-10.0)</f>
        <v>-10</v>
      </c>
      <c r="BI175" s="16">
        <f>IFERROR(__xludf.DUMMYFUNCTION("""COMPUTED_VALUE"""),-9.0)</f>
        <v>-9</v>
      </c>
      <c r="BJ175" s="16">
        <f>IFERROR(__xludf.DUMMYFUNCTION("""COMPUTED_VALUE"""),0.0)</f>
        <v>0</v>
      </c>
      <c r="BK175" s="16">
        <f>IFERROR(__xludf.DUMMYFUNCTION("""COMPUTED_VALUE"""),0.0)</f>
        <v>0</v>
      </c>
      <c r="BL175" s="16">
        <f>IFERROR(__xludf.DUMMYFUNCTION("""COMPUTED_VALUE"""),3.0)</f>
        <v>3</v>
      </c>
      <c r="BM175" s="16">
        <f>IFERROR(__xludf.DUMMYFUNCTION("""COMPUTED_VALUE"""),3.0)</f>
        <v>3</v>
      </c>
      <c r="BN175" s="16">
        <f>IFERROR(__xludf.DUMMYFUNCTION("""COMPUTED_VALUE"""),3.0)</f>
        <v>3</v>
      </c>
      <c r="BO175" s="16">
        <f>IFERROR(__xludf.DUMMYFUNCTION("""COMPUTED_VALUE"""),3.0)</f>
        <v>3</v>
      </c>
      <c r="BP175" s="16">
        <f>IFERROR(__xludf.DUMMYFUNCTION("""COMPUTED_VALUE"""),-4.0)</f>
        <v>-4</v>
      </c>
      <c r="BQ175" s="16">
        <f>IFERROR(__xludf.DUMMYFUNCTION("""COMPUTED_VALUE"""),4.0)</f>
        <v>4</v>
      </c>
      <c r="BR175" s="16">
        <f>IFERROR(__xludf.DUMMYFUNCTION("""COMPUTED_VALUE"""),0.0)</f>
        <v>0</v>
      </c>
      <c r="BS175" s="16" t="str">
        <f>IFERROR(__xludf.DUMMYFUNCTION("""COMPUTED_VALUE"""),"2/- (20-6)")</f>
        <v>2/- (20-6)</v>
      </c>
      <c r="BT175" s="16" t="str">
        <f>IFERROR(__xludf.DUMMYFUNCTION("""COMPUTED_VALUE"""),"D")</f>
        <v>D</v>
      </c>
      <c r="BU175" s="16">
        <f>IFERROR(__xludf.DUMMYFUNCTION("""COMPUTED_VALUE"""),12.0)</f>
        <v>12</v>
      </c>
      <c r="BV175" s="16">
        <f>IFERROR(__xludf.DUMMYFUNCTION("""COMPUTED_VALUE"""),0.0)</f>
        <v>0</v>
      </c>
      <c r="BW175" s="16">
        <f>IFERROR(__xludf.DUMMYFUNCTION("""COMPUTED_VALUE"""),0.0)</f>
        <v>0</v>
      </c>
      <c r="BX175" s="16">
        <f>IFERROR(__xludf.DUMMYFUNCTION("""COMPUTED_VALUE"""),0.0)</f>
        <v>0</v>
      </c>
      <c r="BY175" s="16">
        <f>IFERROR(__xludf.DUMMYFUNCTION("""COMPUTED_VALUE"""),0.0)</f>
        <v>0</v>
      </c>
      <c r="BZ175" s="16" t="str">
        <f>IFERROR(__xludf.DUMMYFUNCTION("""COMPUTED_VALUE"""),"D")</f>
        <v>D</v>
      </c>
      <c r="CA175" s="16" t="str">
        <f>IFERROR(__xludf.DUMMYFUNCTION("""COMPUTED_VALUE"""),"D")</f>
        <v>D</v>
      </c>
      <c r="CB175" s="16">
        <f>IFERROR(__xludf.DUMMYFUNCTION("""COMPUTED_VALUE"""),0.0)</f>
        <v>0</v>
      </c>
      <c r="CC175" s="16">
        <f>IFERROR(__xludf.DUMMYFUNCTION("""COMPUTED_VALUE"""),0.0)</f>
        <v>0</v>
      </c>
      <c r="CD175" s="16">
        <f>IFERROR(__xludf.DUMMYFUNCTION("""COMPUTED_VALUE"""),0.0)</f>
        <v>0</v>
      </c>
      <c r="CE175" s="16">
        <f>IFERROR(__xludf.DUMMYFUNCTION("""COMPUTED_VALUE"""),0.0)</f>
        <v>0</v>
      </c>
      <c r="CF175" s="16">
        <f>IFERROR(__xludf.DUMMYFUNCTION("""COMPUTED_VALUE"""),1.0)</f>
        <v>1</v>
      </c>
      <c r="CG175" s="16">
        <f>IFERROR(__xludf.DUMMYFUNCTION("""COMPUTED_VALUE"""),-12.0)</f>
        <v>-12</v>
      </c>
      <c r="CH175" s="16">
        <f>IFERROR(__xludf.DUMMYFUNCTION("""COMPUTED_VALUE"""),8.0)</f>
        <v>8</v>
      </c>
      <c r="CI175" s="179">
        <f>IFERROR(__xludf.DUMMYFUNCTION("""COMPUTED_VALUE"""),3.0)</f>
        <v>3</v>
      </c>
      <c r="CJ175" s="16"/>
      <c r="CK175" s="16"/>
      <c r="CL175" s="16"/>
      <c r="CM175" s="16"/>
      <c r="CN175" s="16"/>
      <c r="CO175" s="16">
        <f>IFERROR(__xludf.DUMMYFUNCTION("""COMPUTED_VALUE"""),403.0)</f>
        <v>403</v>
      </c>
      <c r="CP175" s="16"/>
      <c r="CQ175" s="16">
        <f>IFERROR(__xludf.DUMMYFUNCTION("""COMPUTED_VALUE"""),403.0)</f>
        <v>403</v>
      </c>
      <c r="CR175" s="16" t="str">
        <f>IFERROR(__xludf.DUMMYFUNCTION("""COMPUTED_VALUE"""),"lf-4(+1)e3 rf-4e3")</f>
        <v>lf-4(+1)e3 rf-4e3</v>
      </c>
      <c r="CS175" s="16"/>
      <c r="CT175" s="16"/>
      <c r="CU175" s="16"/>
      <c r="CV175" s="16"/>
      <c r="CW175" s="16"/>
      <c r="CX175" s="16">
        <f>IFERROR(__xludf.DUMMYFUNCTION("""COMPUTED_VALUE"""),4.0)</f>
        <v>4</v>
      </c>
      <c r="CY175" s="16"/>
      <c r="CZ175" s="16">
        <f>IFERROR(__xludf.DUMMYFUNCTION("""COMPUTED_VALUE"""),4.0)</f>
        <v>4</v>
      </c>
      <c r="DA175" s="16"/>
      <c r="DB175" s="16"/>
      <c r="DC175" s="16"/>
      <c r="DD175" s="16"/>
      <c r="DE175" s="16"/>
      <c r="DF175" s="16">
        <f>IFERROR(__xludf.DUMMYFUNCTION("""COMPUTED_VALUE"""),3.0)</f>
        <v>3</v>
      </c>
      <c r="DG175" s="16"/>
      <c r="DH175" s="16">
        <f>IFERROR(__xludf.DUMMYFUNCTION("""COMPUTED_VALUE"""),3.0)</f>
        <v>3</v>
      </c>
      <c r="DI175" s="16"/>
      <c r="DJ175" s="16"/>
      <c r="DK175" s="16"/>
      <c r="DL175" s="16"/>
      <c r="DM175" s="16"/>
      <c r="DN175" s="16">
        <f>IFERROR(__xludf.DUMMYFUNCTION("""COMPUTED_VALUE"""),-1.0)</f>
        <v>-1</v>
      </c>
      <c r="DO175" s="16"/>
      <c r="DP175" s="16">
        <f>IFERROR(__xludf.DUMMYFUNCTION("""COMPUTED_VALUE"""),-1.0)</f>
        <v>-1</v>
      </c>
      <c r="DQ175" s="16"/>
      <c r="DR175" s="16"/>
      <c r="DS175" s="16"/>
      <c r="DT175" s="16"/>
      <c r="DU175" s="16"/>
      <c r="DV175" s="16">
        <f>IFERROR(__xludf.DUMMYFUNCTION("""COMPUTED_VALUE"""),4.0)</f>
        <v>4</v>
      </c>
      <c r="DW175" s="16"/>
      <c r="DX175" s="16">
        <f>IFERROR(__xludf.DUMMYFUNCTION("""COMPUTED_VALUE"""),4.0)</f>
        <v>4</v>
      </c>
      <c r="DY175" s="16"/>
      <c r="DZ175" s="16"/>
      <c r="EA175" s="16"/>
      <c r="EB175" s="16"/>
      <c r="EC175" s="16"/>
      <c r="ED175" s="16">
        <f>IFERROR(__xludf.DUMMYFUNCTION("""COMPUTED_VALUE"""),3.0)</f>
        <v>3</v>
      </c>
      <c r="EE175" s="16"/>
      <c r="EF175" s="16">
        <f>IFERROR(__xludf.DUMMYFUNCTION("""COMPUTED_VALUE"""),3.0)</f>
        <v>3</v>
      </c>
      <c r="EG175" s="179"/>
      <c r="EH175" s="179"/>
      <c r="EI175" s="179"/>
      <c r="EJ175" s="179"/>
      <c r="EK175" s="179"/>
      <c r="EL175" s="179">
        <f>IFERROR(__xludf.DUMMYFUNCTION("""COMPUTED_VALUE"""),6.0)</f>
        <v>6</v>
      </c>
      <c r="EM175" s="179"/>
      <c r="EN175" s="179">
        <f>IFERROR(__xludf.DUMMYFUNCTION("""COMPUTED_VALUE"""),6.0)</f>
        <v>6</v>
      </c>
      <c r="EO175" s="16"/>
      <c r="EP175" s="16"/>
      <c r="EQ175" s="16">
        <f>IFERROR(__xludf.DUMMYFUNCTION("""COMPUTED_VALUE"""),4.0)</f>
        <v>4</v>
      </c>
      <c r="ER175" s="16">
        <f>IFERROR(__xludf.DUMMYFUNCTION("""COMPUTED_VALUE"""),-4.0)</f>
        <v>-4</v>
      </c>
      <c r="ES175" s="16"/>
      <c r="ET175" s="16"/>
      <c r="EU175" s="16"/>
      <c r="EV175" s="16"/>
      <c r="EW175" s="16"/>
      <c r="EX175" s="180"/>
      <c r="EY175" s="180"/>
      <c r="EZ175" s="180"/>
      <c r="FA175" s="180"/>
      <c r="FB175" s="180"/>
      <c r="FC175" s="180">
        <f>IFERROR(__xludf.DUMMYFUNCTION("""COMPUTED_VALUE"""),0.55)</f>
        <v>0.55</v>
      </c>
      <c r="FD175" s="180"/>
      <c r="FE175" s="180">
        <f>IFERROR(__xludf.DUMMYFUNCTION("""COMPUTED_VALUE"""),0.55)</f>
        <v>0.55</v>
      </c>
      <c r="FF175" s="180"/>
      <c r="FG175" s="180"/>
      <c r="FH175" s="180"/>
      <c r="FI175" s="180"/>
      <c r="FJ175" s="180"/>
      <c r="FK175" s="180">
        <f>IFERROR(__xludf.DUMMYFUNCTION("""COMPUTED_VALUE"""),0.056)</f>
        <v>0.056</v>
      </c>
      <c r="FL175" s="180"/>
      <c r="FM175" s="180">
        <f>IFERROR(__xludf.DUMMYFUNCTION("""COMPUTED_VALUE"""),0.056)</f>
        <v>0.056</v>
      </c>
      <c r="FN175" s="16"/>
      <c r="FO175" s="16"/>
      <c r="FP175" s="16"/>
      <c r="FQ175" s="16"/>
      <c r="FR175" s="16"/>
      <c r="FS175" s="16">
        <f>IFERROR(__xludf.DUMMYFUNCTION("""COMPUTED_VALUE"""),0.42479999999999996)</f>
        <v>0.4248</v>
      </c>
      <c r="FT175" s="16"/>
      <c r="FU175" s="16">
        <f>IFERROR(__xludf.DUMMYFUNCTION("""COMPUTED_VALUE"""),0.42479999999999996)</f>
        <v>0.4248</v>
      </c>
      <c r="FV175" s="16"/>
      <c r="FW175" s="16"/>
      <c r="FX175" s="16"/>
      <c r="FY175" s="16"/>
      <c r="FZ175" s="16"/>
      <c r="GA175" s="16">
        <f>IFERROR(__xludf.DUMMYFUNCTION("""COMPUTED_VALUE"""),-8.0)</f>
        <v>-8</v>
      </c>
      <c r="GB175" s="16"/>
      <c r="GC175" s="16">
        <f>IFERROR(__xludf.DUMMYFUNCTION("""COMPUTED_VALUE"""),-8.0)</f>
        <v>-8</v>
      </c>
      <c r="GD175" s="16" t="s">
        <v>176</v>
      </c>
    </row>
    <row r="176">
      <c r="A176" s="16">
        <f>IFERROR(__xludf.DUMMYFUNCTION("""COMPUTED_VALUE"""),12545.0)</f>
        <v>12545</v>
      </c>
      <c r="B176" s="16" t="str">
        <f>IFERROR(__xludf.DUMMYFUNCTION("""COMPUTED_VALUE"""),"Andrew Vaughn")</f>
        <v>Andrew Vaughn</v>
      </c>
      <c r="C176" s="16">
        <f>IFERROR(__xludf.DUMMYFUNCTION("""COMPUTED_VALUE"""),0.09)</f>
        <v>0.09</v>
      </c>
      <c r="D176" s="16" t="str">
        <f>IFERROR(__xludf.DUMMYFUNCTION("""COMPUTED_VALUE"""),"R")</f>
        <v>R</v>
      </c>
      <c r="E176" s="16"/>
      <c r="F176" s="16"/>
      <c r="G176" s="16">
        <f>IFERROR(__xludf.DUMMYFUNCTION("""COMPUTED_VALUE"""),570.0)</f>
        <v>570</v>
      </c>
      <c r="H176" s="16">
        <f>IFERROR(__xludf.DUMMYFUNCTION("""COMPUTED_VALUE"""),38.0)</f>
        <v>38</v>
      </c>
      <c r="I176" s="16" t="str">
        <f>IFERROR(__xludf.DUMMYFUNCTION("""COMPUTED_VALUE"""),"1p70")</f>
        <v>1p70</v>
      </c>
      <c r="J176" s="16">
        <f>IFERROR(__xludf.DUMMYFUNCTION("""COMPUTED_VALUE"""),12.0)</f>
        <v>12</v>
      </c>
      <c r="K176" s="16">
        <f>IFERROR(__xludf.DUMMYFUNCTION("""COMPUTED_VALUE"""),24.0)</f>
        <v>24</v>
      </c>
      <c r="L176" s="16">
        <f>IFERROR(__xludf.DUMMYFUNCTION("""COMPUTED_VALUE"""),1.0)</f>
        <v>1</v>
      </c>
      <c r="M176" s="16">
        <f>IFERROR(__xludf.DUMMYFUNCTION("""COMPUTED_VALUE"""),0.0)</f>
        <v>0</v>
      </c>
      <c r="N176" s="16">
        <f>IFERROR(__xludf.DUMMYFUNCTION("""COMPUTED_VALUE"""),1.0)</f>
        <v>1</v>
      </c>
      <c r="O176" s="16">
        <f>IFERROR(__xludf.DUMMYFUNCTION("""COMPUTED_VALUE"""),0.0)</f>
        <v>0</v>
      </c>
      <c r="P176" s="16">
        <f>IFERROR(__xludf.DUMMYFUNCTION("""COMPUTED_VALUE"""),3.0)</f>
        <v>3</v>
      </c>
      <c r="Q176" s="16">
        <f>IFERROR(__xludf.DUMMYFUNCTION("""COMPUTED_VALUE"""),6.0)</f>
        <v>6</v>
      </c>
      <c r="R176" s="16">
        <f>IFERROR(__xludf.DUMMYFUNCTION("""COMPUTED_VALUE"""),-2.0)</f>
        <v>-2</v>
      </c>
      <c r="S176" s="16">
        <f>IFERROR(__xludf.DUMMYFUNCTION("""COMPUTED_VALUE"""),-1.0)</f>
        <v>-1</v>
      </c>
      <c r="T176" s="16">
        <f>IFERROR(__xludf.DUMMYFUNCTION("""COMPUTED_VALUE"""),-2.0)</f>
        <v>-2</v>
      </c>
      <c r="U176" s="16">
        <f>IFERROR(__xludf.DUMMYFUNCTION("""COMPUTED_VALUE"""),-1.0)</f>
        <v>-1</v>
      </c>
      <c r="V176" s="16">
        <f>IFERROR(__xludf.DUMMYFUNCTION("""COMPUTED_VALUE"""),27.6)</f>
        <v>27.6</v>
      </c>
      <c r="W176" s="16">
        <f>IFERROR(__xludf.DUMMYFUNCTION("""COMPUTED_VALUE"""),17.9)</f>
        <v>17.9</v>
      </c>
      <c r="X176" s="16">
        <f>IFERROR(__xludf.DUMMYFUNCTION("""COMPUTED_VALUE"""),1.0)</f>
        <v>1</v>
      </c>
      <c r="Y176" s="16">
        <f>IFERROR(__xludf.DUMMYFUNCTION("""COMPUTED_VALUE"""),0.0)</f>
        <v>0</v>
      </c>
      <c r="Z176" s="16">
        <f>IFERROR(__xludf.DUMMYFUNCTION("""COMPUTED_VALUE"""),2.0)</f>
        <v>2</v>
      </c>
      <c r="AA176" s="16">
        <f>IFERROR(__xludf.DUMMYFUNCTION("""COMPUTED_VALUE"""),0.0)</f>
        <v>0</v>
      </c>
      <c r="AB176" s="16">
        <f>IFERROR(__xludf.DUMMYFUNCTION("""COMPUTED_VALUE"""),32.6)</f>
        <v>32.6</v>
      </c>
      <c r="AC176" s="16">
        <f>IFERROR(__xludf.DUMMYFUNCTION("""COMPUTED_VALUE"""),25.9)</f>
        <v>25.9</v>
      </c>
      <c r="AD176" s="16">
        <f>IFERROR(__xludf.DUMMYFUNCTION("""COMPUTED_VALUE"""),0.0)</f>
        <v>0</v>
      </c>
      <c r="AE176" s="16">
        <f>IFERROR(__xludf.DUMMYFUNCTION("""COMPUTED_VALUE"""),-1.0)</f>
        <v>-1</v>
      </c>
      <c r="AF176" s="16">
        <f>IFERROR(__xludf.DUMMYFUNCTION("""COMPUTED_VALUE"""),0.0)</f>
        <v>0</v>
      </c>
      <c r="AG176" s="16">
        <f>IFERROR(__xludf.DUMMYFUNCTION("""COMPUTED_VALUE"""),-5.0)</f>
        <v>-5</v>
      </c>
      <c r="AH176" s="16">
        <f>IFERROR(__xludf.DUMMYFUNCTION("""COMPUTED_VALUE"""),40.0)</f>
        <v>40</v>
      </c>
      <c r="AI176" s="16">
        <f>IFERROR(__xludf.DUMMYFUNCTION("""COMPUTED_VALUE"""),29.8)</f>
        <v>29.8</v>
      </c>
      <c r="AJ176" s="16">
        <f>IFERROR(__xludf.DUMMYFUNCTION("""COMPUTED_VALUE"""),1.0)</f>
        <v>1</v>
      </c>
      <c r="AK176" s="16">
        <f>IFERROR(__xludf.DUMMYFUNCTION("""COMPUTED_VALUE"""),0.0)</f>
        <v>0</v>
      </c>
      <c r="AL176" s="16">
        <f>IFERROR(__xludf.DUMMYFUNCTION("""COMPUTED_VALUE"""),5.0)</f>
        <v>5</v>
      </c>
      <c r="AM176" s="16">
        <f>IFERROR(__xludf.DUMMYFUNCTION("""COMPUTED_VALUE"""),0.0)</f>
        <v>0</v>
      </c>
      <c r="AN176" s="16">
        <f>IFERROR(__xludf.DUMMYFUNCTION("""COMPUTED_VALUE"""),2.1)</f>
        <v>2.1</v>
      </c>
      <c r="AO176" s="16">
        <f>IFERROR(__xludf.DUMMYFUNCTION("""COMPUTED_VALUE"""),2.1)</f>
        <v>2.1</v>
      </c>
      <c r="AP176" s="16">
        <f>IFERROR(__xludf.DUMMYFUNCTION("""COMPUTED_VALUE"""),0.0)</f>
        <v>0</v>
      </c>
      <c r="AQ176" s="16">
        <f>IFERROR(__xludf.DUMMYFUNCTION("""COMPUTED_VALUE"""),0.0)</f>
        <v>0</v>
      </c>
      <c r="AR176" s="16">
        <f>IFERROR(__xludf.DUMMYFUNCTION("""COMPUTED_VALUE"""),0.0)</f>
        <v>0</v>
      </c>
      <c r="AS176" s="16">
        <f>IFERROR(__xludf.DUMMYFUNCTION("""COMPUTED_VALUE"""),0.0)</f>
        <v>0</v>
      </c>
      <c r="AT176" s="16">
        <f>IFERROR(__xludf.DUMMYFUNCTION("""COMPUTED_VALUE"""),3.0)</f>
        <v>3</v>
      </c>
      <c r="AU176" s="16">
        <f>IFERROR(__xludf.DUMMYFUNCTION("""COMPUTED_VALUE"""),3.0)</f>
        <v>3</v>
      </c>
      <c r="AV176" s="16">
        <f>IFERROR(__xludf.DUMMYFUNCTION("""COMPUTED_VALUE"""),3.0)</f>
        <v>3</v>
      </c>
      <c r="AW176" s="16">
        <f>IFERROR(__xludf.DUMMYFUNCTION("""COMPUTED_VALUE"""),3.0)</f>
        <v>3</v>
      </c>
      <c r="AX176" s="16">
        <f>IFERROR(__xludf.DUMMYFUNCTION("""COMPUTED_VALUE"""),1.0)</f>
        <v>1</v>
      </c>
      <c r="AY176" s="16">
        <f>IFERROR(__xludf.DUMMYFUNCTION("""COMPUTED_VALUE"""),0.0)</f>
        <v>0</v>
      </c>
      <c r="AZ176" s="16">
        <f>IFERROR(__xludf.DUMMYFUNCTION("""COMPUTED_VALUE"""),3.0)</f>
        <v>3</v>
      </c>
      <c r="BA176" s="16">
        <f>IFERROR(__xludf.DUMMYFUNCTION("""COMPUTED_VALUE"""),0.0)</f>
        <v>0</v>
      </c>
      <c r="BB176" s="16">
        <f>IFERROR(__xludf.DUMMYFUNCTION("""COMPUTED_VALUE"""),5.0)</f>
        <v>5</v>
      </c>
      <c r="BC176" s="16">
        <f>IFERROR(__xludf.DUMMYFUNCTION("""COMPUTED_VALUE"""),5.0)</f>
        <v>5</v>
      </c>
      <c r="BD176" s="16">
        <f>IFERROR(__xludf.DUMMYFUNCTION("""COMPUTED_VALUE"""),1.0)</f>
        <v>1</v>
      </c>
      <c r="BE176" s="16">
        <f>IFERROR(__xludf.DUMMYFUNCTION("""COMPUTED_VALUE"""),1.0)</f>
        <v>1</v>
      </c>
      <c r="BF176" s="16">
        <f>IFERROR(__xludf.DUMMYFUNCTION("""COMPUTED_VALUE"""),1.0)</f>
        <v>1</v>
      </c>
      <c r="BG176" s="16">
        <f>IFERROR(__xludf.DUMMYFUNCTION("""COMPUTED_VALUE"""),1.0)</f>
        <v>1</v>
      </c>
      <c r="BH176" s="16">
        <f>IFERROR(__xludf.DUMMYFUNCTION("""COMPUTED_VALUE"""),2.0)</f>
        <v>2</v>
      </c>
      <c r="BI176" s="16">
        <f>IFERROR(__xludf.DUMMYFUNCTION("""COMPUTED_VALUE"""),2.0)</f>
        <v>2</v>
      </c>
      <c r="BJ176" s="16">
        <f>IFERROR(__xludf.DUMMYFUNCTION("""COMPUTED_VALUE"""),16.0)</f>
        <v>16</v>
      </c>
      <c r="BK176" s="16">
        <f>IFERROR(__xludf.DUMMYFUNCTION("""COMPUTED_VALUE"""),17.0)</f>
        <v>17</v>
      </c>
      <c r="BL176" s="16">
        <f>IFERROR(__xludf.DUMMYFUNCTION("""COMPUTED_VALUE"""),-1.0)</f>
        <v>-1</v>
      </c>
      <c r="BM176" s="16">
        <f>IFERROR(__xludf.DUMMYFUNCTION("""COMPUTED_VALUE"""),-1.0)</f>
        <v>-1</v>
      </c>
      <c r="BN176" s="16">
        <f>IFERROR(__xludf.DUMMYFUNCTION("""COMPUTED_VALUE"""),-2.0)</f>
        <v>-2</v>
      </c>
      <c r="BO176" s="16">
        <f>IFERROR(__xludf.DUMMYFUNCTION("""COMPUTED_VALUE"""),-2.0)</f>
        <v>-2</v>
      </c>
      <c r="BP176" s="16">
        <f>IFERROR(__xludf.DUMMYFUNCTION("""COMPUTED_VALUE"""),2.0)</f>
        <v>2</v>
      </c>
      <c r="BQ176" s="16">
        <f>IFERROR(__xludf.DUMMYFUNCTION("""COMPUTED_VALUE"""),-2.0)</f>
        <v>-2</v>
      </c>
      <c r="BR176" s="16">
        <f>IFERROR(__xludf.DUMMYFUNCTION("""COMPUTED_VALUE"""),0.0)</f>
        <v>0</v>
      </c>
      <c r="BS176" s="16" t="str">
        <f>IFERROR(__xludf.DUMMYFUNCTION("""COMPUTED_VALUE"""),"2/- (20-6)")</f>
        <v>2/- (20-6)</v>
      </c>
      <c r="BT176" s="16" t="str">
        <f>IFERROR(__xludf.DUMMYFUNCTION("""COMPUTED_VALUE"""),"E")</f>
        <v>E</v>
      </c>
      <c r="BU176" s="16">
        <f>IFERROR(__xludf.DUMMYFUNCTION("""COMPUTED_VALUE"""),9.0)</f>
        <v>9</v>
      </c>
      <c r="BV176" s="16">
        <f>IFERROR(__xludf.DUMMYFUNCTION("""COMPUTED_VALUE"""),0.0)</f>
        <v>0</v>
      </c>
      <c r="BW176" s="16">
        <f>IFERROR(__xludf.DUMMYFUNCTION("""COMPUTED_VALUE"""),-1.0)</f>
        <v>-1</v>
      </c>
      <c r="BX176" s="16">
        <f>IFERROR(__xludf.DUMMYFUNCTION("""COMPUTED_VALUE"""),0.0)</f>
        <v>0</v>
      </c>
      <c r="BY176" s="16">
        <f>IFERROR(__xludf.DUMMYFUNCTION("""COMPUTED_VALUE"""),-3.0)</f>
        <v>-3</v>
      </c>
      <c r="BZ176" s="16" t="str">
        <f>IFERROR(__xludf.DUMMYFUNCTION("""COMPUTED_VALUE"""),"D")</f>
        <v>D</v>
      </c>
      <c r="CA176" s="16" t="str">
        <f>IFERROR(__xludf.DUMMYFUNCTION("""COMPUTED_VALUE"""),"C")</f>
        <v>C</v>
      </c>
      <c r="CB176" s="16">
        <f>IFERROR(__xludf.DUMMYFUNCTION("""COMPUTED_VALUE"""),0.0)</f>
        <v>0</v>
      </c>
      <c r="CC176" s="16">
        <f>IFERROR(__xludf.DUMMYFUNCTION("""COMPUTED_VALUE"""),0.0)</f>
        <v>0</v>
      </c>
      <c r="CD176" s="16">
        <f>IFERROR(__xludf.DUMMYFUNCTION("""COMPUTED_VALUE"""),0.0)</f>
        <v>0</v>
      </c>
      <c r="CE176" s="16">
        <f>IFERROR(__xludf.DUMMYFUNCTION("""COMPUTED_VALUE"""),0.0)</f>
        <v>0</v>
      </c>
      <c r="CF176" s="16">
        <f>IFERROR(__xludf.DUMMYFUNCTION("""COMPUTED_VALUE"""),1.0)</f>
        <v>1</v>
      </c>
      <c r="CG176" s="16">
        <f>IFERROR(__xludf.DUMMYFUNCTION("""COMPUTED_VALUE"""),8.0)</f>
        <v>8</v>
      </c>
      <c r="CH176" s="16">
        <f>IFERROR(__xludf.DUMMYFUNCTION("""COMPUTED_VALUE"""),-7.0)</f>
        <v>-7</v>
      </c>
      <c r="CI176" s="179">
        <f>IFERROR(__xludf.DUMMYFUNCTION("""COMPUTED_VALUE"""),3.0)</f>
        <v>3</v>
      </c>
      <c r="CJ176" s="16"/>
      <c r="CK176" s="16">
        <f>IFERROR(__xludf.DUMMYFUNCTION("""COMPUTED_VALUE"""),405.0)</f>
        <v>405</v>
      </c>
      <c r="CL176" s="16"/>
      <c r="CM176" s="16"/>
      <c r="CN176" s="16"/>
      <c r="CO176" s="16"/>
      <c r="CP176" s="16"/>
      <c r="CQ176" s="16"/>
      <c r="CR176" s="16" t="str">
        <f>IFERROR(__xludf.DUMMYFUNCTION("""COMPUTED_VALUE"""),"1b-4e5")</f>
        <v>1b-4e5</v>
      </c>
      <c r="CS176" s="16"/>
      <c r="CT176" s="16">
        <f>IFERROR(__xludf.DUMMYFUNCTION("""COMPUTED_VALUE"""),4.0)</f>
        <v>4</v>
      </c>
      <c r="CU176" s="16"/>
      <c r="CV176" s="16"/>
      <c r="CW176" s="16"/>
      <c r="CX176" s="16"/>
      <c r="CY176" s="16"/>
      <c r="CZ176" s="16"/>
      <c r="DA176" s="16"/>
      <c r="DB176" s="16">
        <f>IFERROR(__xludf.DUMMYFUNCTION("""COMPUTED_VALUE"""),5.0)</f>
        <v>5</v>
      </c>
      <c r="DC176" s="16"/>
      <c r="DD176" s="16"/>
      <c r="DE176" s="16"/>
      <c r="DF176" s="16"/>
      <c r="DG176" s="16"/>
      <c r="DH176" s="16"/>
      <c r="DI176" s="16"/>
      <c r="DJ176" s="16">
        <f>IFERROR(__xludf.DUMMYFUNCTION("""COMPUTED_VALUE"""),0.0)</f>
        <v>0</v>
      </c>
      <c r="DK176" s="16"/>
      <c r="DL176" s="16"/>
      <c r="DM176" s="16"/>
      <c r="DN176" s="16"/>
      <c r="DO176" s="16"/>
      <c r="DP176" s="16"/>
      <c r="DQ176" s="16"/>
      <c r="DR176" s="16">
        <f>IFERROR(__xludf.DUMMYFUNCTION("""COMPUTED_VALUE"""),2.0)</f>
        <v>2</v>
      </c>
      <c r="DS176" s="16"/>
      <c r="DT176" s="16"/>
      <c r="DU176" s="16"/>
      <c r="DV176" s="16"/>
      <c r="DW176" s="16"/>
      <c r="DX176" s="16"/>
      <c r="DY176" s="16"/>
      <c r="DZ176" s="16">
        <f>IFERROR(__xludf.DUMMYFUNCTION("""COMPUTED_VALUE"""),2.0)</f>
        <v>2</v>
      </c>
      <c r="EA176" s="16"/>
      <c r="EB176" s="16"/>
      <c r="EC176" s="16"/>
      <c r="ED176" s="16"/>
      <c r="EE176" s="16"/>
      <c r="EF176" s="16"/>
      <c r="EG176" s="179"/>
      <c r="EH176" s="179">
        <f>IFERROR(__xludf.DUMMYFUNCTION("""COMPUTED_VALUE"""),5.0)</f>
        <v>5</v>
      </c>
      <c r="EI176" s="179"/>
      <c r="EJ176" s="179"/>
      <c r="EK176" s="179"/>
      <c r="EL176" s="179"/>
      <c r="EM176" s="179"/>
      <c r="EN176" s="179"/>
      <c r="EO176" s="16"/>
      <c r="EP176" s="16"/>
      <c r="EQ176" s="16">
        <f>IFERROR(__xludf.DUMMYFUNCTION("""COMPUTED_VALUE"""),4.0)</f>
        <v>4</v>
      </c>
      <c r="ER176" s="16">
        <f>IFERROR(__xludf.DUMMYFUNCTION("""COMPUTED_VALUE"""),3.0)</f>
        <v>3</v>
      </c>
      <c r="ES176" s="16"/>
      <c r="ET176" s="16"/>
      <c r="EU176" s="16"/>
      <c r="EV176" s="16"/>
      <c r="EW176" s="16"/>
      <c r="EX176" s="180"/>
      <c r="EY176" s="180">
        <f>IFERROR(__xludf.DUMMYFUNCTION("""COMPUTED_VALUE"""),0.3)</f>
        <v>0.3</v>
      </c>
      <c r="EZ176" s="180"/>
      <c r="FA176" s="180"/>
      <c r="FB176" s="180"/>
      <c r="FC176" s="180"/>
      <c r="FD176" s="180"/>
      <c r="FE176" s="180"/>
      <c r="FF176" s="180"/>
      <c r="FG176" s="180">
        <f>IFERROR(__xludf.DUMMYFUNCTION("""COMPUTED_VALUE"""),0.08796296296296297)</f>
        <v>0.08796296296</v>
      </c>
      <c r="FH176" s="180"/>
      <c r="FI176" s="180"/>
      <c r="FJ176" s="180"/>
      <c r="FK176" s="180"/>
      <c r="FL176" s="180"/>
      <c r="FM176" s="180"/>
      <c r="FN176" s="16"/>
      <c r="FO176" s="16">
        <f>IFERROR(__xludf.DUMMYFUNCTION("""COMPUTED_VALUE"""),0.6384259259259258)</f>
        <v>0.6384259259</v>
      </c>
      <c r="FP176" s="16"/>
      <c r="FQ176" s="16"/>
      <c r="FR176" s="16"/>
      <c r="FS176" s="16"/>
      <c r="FT176" s="16"/>
      <c r="FU176" s="16"/>
      <c r="FV176" s="16"/>
      <c r="FW176" s="16">
        <f>IFERROR(__xludf.DUMMYFUNCTION("""COMPUTED_VALUE"""),-6.0)</f>
        <v>-6</v>
      </c>
      <c r="FX176" s="16"/>
      <c r="FY176" s="16"/>
      <c r="FZ176" s="16"/>
      <c r="GA176" s="16"/>
      <c r="GB176" s="16"/>
      <c r="GC176" s="16"/>
      <c r="GD176" s="16" t="s">
        <v>176</v>
      </c>
    </row>
    <row r="177">
      <c r="A177" s="16">
        <f>IFERROR(__xludf.DUMMYFUNCTION("""COMPUTED_VALUE"""),13213.0)</f>
        <v>13213</v>
      </c>
      <c r="B177" s="16" t="str">
        <f>IFERROR(__xludf.DUMMYFUNCTION("""COMPUTED_VALUE"""),"Mike Tauchman")</f>
        <v>Mike Tauchman</v>
      </c>
      <c r="C177" s="16">
        <f>IFERROR(__xludf.DUMMYFUNCTION("""COMPUTED_VALUE"""),0.5)</f>
        <v>0.5</v>
      </c>
      <c r="D177" s="16" t="str">
        <f>IFERROR(__xludf.DUMMYFUNCTION("""COMPUTED_VALUE"""),"L")</f>
        <v>L</v>
      </c>
      <c r="E177" s="16"/>
      <c r="F177" s="16"/>
      <c r="G177" s="16">
        <f>IFERROR(__xludf.DUMMYFUNCTION("""COMPUTED_VALUE"""),298.0)</f>
        <v>298</v>
      </c>
      <c r="H177" s="16">
        <f>IFERROR(__xludf.DUMMYFUNCTION("""COMPUTED_VALUE"""),47.0)</f>
        <v>47</v>
      </c>
      <c r="I177" s="16" t="str">
        <f>IFERROR(__xludf.DUMMYFUNCTION("""COMPUTED_VALUE"""),"3p50")</f>
        <v>3p50</v>
      </c>
      <c r="J177" s="16">
        <f>IFERROR(__xludf.DUMMYFUNCTION("""COMPUTED_VALUE"""),17.0)</f>
        <v>17</v>
      </c>
      <c r="K177" s="16">
        <f>IFERROR(__xludf.DUMMYFUNCTION("""COMPUTED_VALUE"""),19.0)</f>
        <v>19</v>
      </c>
      <c r="L177" s="16">
        <f>IFERROR(__xludf.DUMMYFUNCTION("""COMPUTED_VALUE"""),1.0)</f>
        <v>1</v>
      </c>
      <c r="M177" s="16">
        <f>IFERROR(__xludf.DUMMYFUNCTION("""COMPUTED_VALUE"""),1.0)</f>
        <v>1</v>
      </c>
      <c r="N177" s="16">
        <f>IFERROR(__xludf.DUMMYFUNCTION("""COMPUTED_VALUE"""),1.0)</f>
        <v>1</v>
      </c>
      <c r="O177" s="16">
        <f>IFERROR(__xludf.DUMMYFUNCTION("""COMPUTED_VALUE"""),1.0)</f>
        <v>1</v>
      </c>
      <c r="P177" s="16">
        <f>IFERROR(__xludf.DUMMYFUNCTION("""COMPUTED_VALUE"""),11.0)</f>
        <v>11</v>
      </c>
      <c r="Q177" s="16">
        <f>IFERROR(__xludf.DUMMYFUNCTION("""COMPUTED_VALUE"""),22.0)</f>
        <v>22</v>
      </c>
      <c r="R177" s="16">
        <f>IFERROR(__xludf.DUMMYFUNCTION("""COMPUTED_VALUE"""),1.0)</f>
        <v>1</v>
      </c>
      <c r="S177" s="16">
        <f>IFERROR(__xludf.DUMMYFUNCTION("""COMPUTED_VALUE"""),3.0)</f>
        <v>3</v>
      </c>
      <c r="T177" s="16">
        <f>IFERROR(__xludf.DUMMYFUNCTION("""COMPUTED_VALUE"""),1.0)</f>
        <v>1</v>
      </c>
      <c r="U177" s="16">
        <f>IFERROR(__xludf.DUMMYFUNCTION("""COMPUTED_VALUE"""),3.0)</f>
        <v>3</v>
      </c>
      <c r="V177" s="16">
        <f>IFERROR(__xludf.DUMMYFUNCTION("""COMPUTED_VALUE"""),24.4)</f>
        <v>24.4</v>
      </c>
      <c r="W177" s="16">
        <f>IFERROR(__xludf.DUMMYFUNCTION("""COMPUTED_VALUE"""),17.2)</f>
        <v>17.2</v>
      </c>
      <c r="X177" s="16">
        <f>IFERROR(__xludf.DUMMYFUNCTION("""COMPUTED_VALUE"""),1.0)</f>
        <v>1</v>
      </c>
      <c r="Y177" s="16">
        <f>IFERROR(__xludf.DUMMYFUNCTION("""COMPUTED_VALUE"""),-1.0)</f>
        <v>-1</v>
      </c>
      <c r="Z177" s="16">
        <f>IFERROR(__xludf.DUMMYFUNCTION("""COMPUTED_VALUE"""),2.0)</f>
        <v>2</v>
      </c>
      <c r="AA177" s="16">
        <f>IFERROR(__xludf.DUMMYFUNCTION("""COMPUTED_VALUE"""),-2.0)</f>
        <v>-2</v>
      </c>
      <c r="AB177" s="16">
        <f>IFERROR(__xludf.DUMMYFUNCTION("""COMPUTED_VALUE"""),38.3)</f>
        <v>38.3</v>
      </c>
      <c r="AC177" s="16">
        <f>IFERROR(__xludf.DUMMYFUNCTION("""COMPUTED_VALUE"""),42.2)</f>
        <v>42.2</v>
      </c>
      <c r="AD177" s="16">
        <f>IFERROR(__xludf.DUMMYFUNCTION("""COMPUTED_VALUE"""),1.0)</f>
        <v>1</v>
      </c>
      <c r="AE177" s="16">
        <f>IFERROR(__xludf.DUMMYFUNCTION("""COMPUTED_VALUE"""),2.0)</f>
        <v>2</v>
      </c>
      <c r="AF177" s="16">
        <f>IFERROR(__xludf.DUMMYFUNCTION("""COMPUTED_VALUE"""),5.0)</f>
        <v>5</v>
      </c>
      <c r="AG177" s="16">
        <f>IFERROR(__xludf.DUMMYFUNCTION("""COMPUTED_VALUE"""),10.0)</f>
        <v>10</v>
      </c>
      <c r="AH177" s="16">
        <f>IFERROR(__xludf.DUMMYFUNCTION("""COMPUTED_VALUE"""),27.5)</f>
        <v>27.5</v>
      </c>
      <c r="AI177" s="16">
        <f>IFERROR(__xludf.DUMMYFUNCTION("""COMPUTED_VALUE"""),22.3)</f>
        <v>22.3</v>
      </c>
      <c r="AJ177" s="16">
        <f>IFERROR(__xludf.DUMMYFUNCTION("""COMPUTED_VALUE"""),0.0)</f>
        <v>0</v>
      </c>
      <c r="AK177" s="16">
        <f>IFERROR(__xludf.DUMMYFUNCTION("""COMPUTED_VALUE"""),-1.0)</f>
        <v>-1</v>
      </c>
      <c r="AL177" s="16">
        <f>IFERROR(__xludf.DUMMYFUNCTION("""COMPUTED_VALUE"""),0.0)</f>
        <v>0</v>
      </c>
      <c r="AM177" s="16">
        <f>IFERROR(__xludf.DUMMYFUNCTION("""COMPUTED_VALUE"""),-5.0)</f>
        <v>-5</v>
      </c>
      <c r="AN177" s="16">
        <f>IFERROR(__xludf.DUMMYFUNCTION("""COMPUTED_VALUE"""),0.5)</f>
        <v>0.5</v>
      </c>
      <c r="AO177" s="16">
        <f>IFERROR(__xludf.DUMMYFUNCTION("""COMPUTED_VALUE"""),0.8)</f>
        <v>0.8</v>
      </c>
      <c r="AP177" s="16">
        <f>IFERROR(__xludf.DUMMYFUNCTION("""COMPUTED_VALUE"""),-2.0)</f>
        <v>-2</v>
      </c>
      <c r="AQ177" s="16">
        <f>IFERROR(__xludf.DUMMYFUNCTION("""COMPUTED_VALUE"""),-2.0)</f>
        <v>-2</v>
      </c>
      <c r="AR177" s="16">
        <f>IFERROR(__xludf.DUMMYFUNCTION("""COMPUTED_VALUE"""),-4.0)</f>
        <v>-4</v>
      </c>
      <c r="AS177" s="16">
        <f>IFERROR(__xludf.DUMMYFUNCTION("""COMPUTED_VALUE"""),-4.0)</f>
        <v>-4</v>
      </c>
      <c r="AT177" s="16">
        <f>IFERROR(__xludf.DUMMYFUNCTION("""COMPUTED_VALUE"""),0.0)</f>
        <v>0</v>
      </c>
      <c r="AU177" s="16">
        <f>IFERROR(__xludf.DUMMYFUNCTION("""COMPUTED_VALUE"""),1.0)</f>
        <v>1</v>
      </c>
      <c r="AV177" s="16">
        <f>IFERROR(__xludf.DUMMYFUNCTION("""COMPUTED_VALUE"""),0.0)</f>
        <v>0</v>
      </c>
      <c r="AW177" s="16">
        <f>IFERROR(__xludf.DUMMYFUNCTION("""COMPUTED_VALUE"""),1.0)</f>
        <v>1</v>
      </c>
      <c r="AX177" s="16">
        <f>IFERROR(__xludf.DUMMYFUNCTION("""COMPUTED_VALUE"""),-2.0)</f>
        <v>-2</v>
      </c>
      <c r="AY177" s="16">
        <f>IFERROR(__xludf.DUMMYFUNCTION("""COMPUTED_VALUE"""),-1.0)</f>
        <v>-1</v>
      </c>
      <c r="AZ177" s="16">
        <f>IFERROR(__xludf.DUMMYFUNCTION("""COMPUTED_VALUE"""),-6.0)</f>
        <v>-6</v>
      </c>
      <c r="BA177" s="16">
        <f>IFERROR(__xludf.DUMMYFUNCTION("""COMPUTED_VALUE"""),-3.0)</f>
        <v>-3</v>
      </c>
      <c r="BB177" s="16">
        <f>IFERROR(__xludf.DUMMYFUNCTION("""COMPUTED_VALUE"""),5.0)</f>
        <v>5</v>
      </c>
      <c r="BC177" s="16">
        <f>IFERROR(__xludf.DUMMYFUNCTION("""COMPUTED_VALUE"""),5.0)</f>
        <v>5</v>
      </c>
      <c r="BD177" s="16">
        <f>IFERROR(__xludf.DUMMYFUNCTION("""COMPUTED_VALUE"""),1.0)</f>
        <v>1</v>
      </c>
      <c r="BE177" s="16">
        <f>IFERROR(__xludf.DUMMYFUNCTION("""COMPUTED_VALUE"""),1.0)</f>
        <v>1</v>
      </c>
      <c r="BF177" s="16">
        <f>IFERROR(__xludf.DUMMYFUNCTION("""COMPUTED_VALUE"""),1.0)</f>
        <v>1</v>
      </c>
      <c r="BG177" s="16">
        <f>IFERROR(__xludf.DUMMYFUNCTION("""COMPUTED_VALUE"""),1.0)</f>
        <v>1</v>
      </c>
      <c r="BH177" s="16">
        <f>IFERROR(__xludf.DUMMYFUNCTION("""COMPUTED_VALUE"""),-6.0)</f>
        <v>-6</v>
      </c>
      <c r="BI177" s="16">
        <f>IFERROR(__xludf.DUMMYFUNCTION("""COMPUTED_VALUE"""),-5.0)</f>
        <v>-5</v>
      </c>
      <c r="BJ177" s="16">
        <f>IFERROR(__xludf.DUMMYFUNCTION("""COMPUTED_VALUE"""),16.0)</f>
        <v>16</v>
      </c>
      <c r="BK177" s="16">
        <f>IFERROR(__xludf.DUMMYFUNCTION("""COMPUTED_VALUE"""),13.0)</f>
        <v>13</v>
      </c>
      <c r="BL177" s="16">
        <f>IFERROR(__xludf.DUMMYFUNCTION("""COMPUTED_VALUE"""),-1.0)</f>
        <v>-1</v>
      </c>
      <c r="BM177" s="16">
        <f>IFERROR(__xludf.DUMMYFUNCTION("""COMPUTED_VALUE"""),0.0)</f>
        <v>0</v>
      </c>
      <c r="BN177" s="16">
        <f>IFERROR(__xludf.DUMMYFUNCTION("""COMPUTED_VALUE"""),-2.0)</f>
        <v>-2</v>
      </c>
      <c r="BO177" s="16">
        <f>IFERROR(__xludf.DUMMYFUNCTION("""COMPUTED_VALUE"""),0.0)</f>
        <v>0</v>
      </c>
      <c r="BP177" s="16">
        <f>IFERROR(__xludf.DUMMYFUNCTION("""COMPUTED_VALUE"""),0.0)</f>
        <v>0</v>
      </c>
      <c r="BQ177" s="16">
        <f>IFERROR(__xludf.DUMMYFUNCTION("""COMPUTED_VALUE"""),2.0)</f>
        <v>2</v>
      </c>
      <c r="BR177" s="16">
        <f>IFERROR(__xludf.DUMMYFUNCTION("""COMPUTED_VALUE"""),2.0)</f>
        <v>2</v>
      </c>
      <c r="BS177" s="16" t="str">
        <f>IFERROR(__xludf.DUMMYFUNCTION("""COMPUTED_VALUE"""),"*6/- (17-6)")</f>
        <v>*6/- (17-6)</v>
      </c>
      <c r="BT177" s="16" t="str">
        <f>IFERROR(__xludf.DUMMYFUNCTION("""COMPUTED_VALUE"""),"B")</f>
        <v>B</v>
      </c>
      <c r="BU177" s="16">
        <f>IFERROR(__xludf.DUMMYFUNCTION("""COMPUTED_VALUE"""),13.0)</f>
        <v>13</v>
      </c>
      <c r="BV177" s="16">
        <f>IFERROR(__xludf.DUMMYFUNCTION("""COMPUTED_VALUE"""),1.0)</f>
        <v>1</v>
      </c>
      <c r="BW177" s="16">
        <f>IFERROR(__xludf.DUMMYFUNCTION("""COMPUTED_VALUE"""),1.0)</f>
        <v>1</v>
      </c>
      <c r="BX177" s="16">
        <f>IFERROR(__xludf.DUMMYFUNCTION("""COMPUTED_VALUE"""),2.0)</f>
        <v>2</v>
      </c>
      <c r="BY177" s="16">
        <f>IFERROR(__xludf.DUMMYFUNCTION("""COMPUTED_VALUE"""),3.0)</f>
        <v>3</v>
      </c>
      <c r="BZ177" s="16" t="str">
        <f>IFERROR(__xludf.DUMMYFUNCTION("""COMPUTED_VALUE"""),"D")</f>
        <v>D</v>
      </c>
      <c r="CA177" s="16" t="str">
        <f>IFERROR(__xludf.DUMMYFUNCTION("""COMPUTED_VALUE"""),"D")</f>
        <v>D</v>
      </c>
      <c r="CB177" s="16">
        <f>IFERROR(__xludf.DUMMYFUNCTION("""COMPUTED_VALUE"""),0.0)</f>
        <v>0</v>
      </c>
      <c r="CC177" s="16">
        <f>IFERROR(__xludf.DUMMYFUNCTION("""COMPUTED_VALUE"""),0.0)</f>
        <v>0</v>
      </c>
      <c r="CD177" s="16">
        <f>IFERROR(__xludf.DUMMYFUNCTION("""COMPUTED_VALUE"""),0.0)</f>
        <v>0</v>
      </c>
      <c r="CE177" s="16">
        <f>IFERROR(__xludf.DUMMYFUNCTION("""COMPUTED_VALUE"""),0.0)</f>
        <v>0</v>
      </c>
      <c r="CF177" s="16">
        <f>IFERROR(__xludf.DUMMYFUNCTION("""COMPUTED_VALUE"""),3.0)</f>
        <v>3</v>
      </c>
      <c r="CG177" s="16">
        <f>IFERROR(__xludf.DUMMYFUNCTION("""COMPUTED_VALUE"""),-2.0)</f>
        <v>-2</v>
      </c>
      <c r="CH177" s="16">
        <f>IFERROR(__xludf.DUMMYFUNCTION("""COMPUTED_VALUE"""),1.0)</f>
        <v>1</v>
      </c>
      <c r="CI177" s="179">
        <f>IFERROR(__xludf.DUMMYFUNCTION("""COMPUTED_VALUE"""),3.0)</f>
        <v>3</v>
      </c>
      <c r="CJ177" s="16"/>
      <c r="CK177" s="16"/>
      <c r="CL177" s="16"/>
      <c r="CM177" s="16"/>
      <c r="CN177" s="16"/>
      <c r="CO177" s="16">
        <f>IFERROR(__xludf.DUMMYFUNCTION("""COMPUTED_VALUE"""),303.0)</f>
        <v>303</v>
      </c>
      <c r="CP177" s="16">
        <f>IFERROR(__xludf.DUMMYFUNCTION("""COMPUTED_VALUE"""),303.0)</f>
        <v>303</v>
      </c>
      <c r="CQ177" s="16">
        <f>IFERROR(__xludf.DUMMYFUNCTION("""COMPUTED_VALUE"""),303.0)</f>
        <v>303</v>
      </c>
      <c r="CR177" s="16" t="str">
        <f>IFERROR(__xludf.DUMMYFUNCTION("""COMPUTED_VALUE"""),"rf-3(+1)e3 lf-3e3 cf-3e3")</f>
        <v>rf-3(+1)e3 lf-3e3 cf-3e3</v>
      </c>
      <c r="CS177" s="16"/>
      <c r="CT177" s="16"/>
      <c r="CU177" s="16"/>
      <c r="CV177" s="16"/>
      <c r="CW177" s="16"/>
      <c r="CX177" s="16">
        <f>IFERROR(__xludf.DUMMYFUNCTION("""COMPUTED_VALUE"""),3.0)</f>
        <v>3</v>
      </c>
      <c r="CY177" s="16">
        <f>IFERROR(__xludf.DUMMYFUNCTION("""COMPUTED_VALUE"""),3.0)</f>
        <v>3</v>
      </c>
      <c r="CZ177" s="16">
        <f>IFERROR(__xludf.DUMMYFUNCTION("""COMPUTED_VALUE"""),3.0)</f>
        <v>3</v>
      </c>
      <c r="DA177" s="16"/>
      <c r="DB177" s="16"/>
      <c r="DC177" s="16"/>
      <c r="DD177" s="16"/>
      <c r="DE177" s="16"/>
      <c r="DF177" s="16">
        <f>IFERROR(__xludf.DUMMYFUNCTION("""COMPUTED_VALUE"""),3.0)</f>
        <v>3</v>
      </c>
      <c r="DG177" s="16">
        <f>IFERROR(__xludf.DUMMYFUNCTION("""COMPUTED_VALUE"""),3.0)</f>
        <v>3</v>
      </c>
      <c r="DH177" s="16">
        <f>IFERROR(__xludf.DUMMYFUNCTION("""COMPUTED_VALUE"""),3.0)</f>
        <v>3</v>
      </c>
      <c r="DI177" s="16"/>
      <c r="DJ177" s="16"/>
      <c r="DK177" s="16"/>
      <c r="DL177" s="16"/>
      <c r="DM177" s="16"/>
      <c r="DN177" s="16">
        <f>IFERROR(__xludf.DUMMYFUNCTION("""COMPUTED_VALUE"""),0.0)</f>
        <v>0</v>
      </c>
      <c r="DO177" s="16">
        <f>IFERROR(__xludf.DUMMYFUNCTION("""COMPUTED_VALUE"""),0.0)</f>
        <v>0</v>
      </c>
      <c r="DP177" s="16">
        <f>IFERROR(__xludf.DUMMYFUNCTION("""COMPUTED_VALUE"""),0.0)</f>
        <v>0</v>
      </c>
      <c r="DQ177" s="16"/>
      <c r="DR177" s="16"/>
      <c r="DS177" s="16"/>
      <c r="DT177" s="16"/>
      <c r="DU177" s="16"/>
      <c r="DV177" s="16">
        <f>IFERROR(__xludf.DUMMYFUNCTION("""COMPUTED_VALUE"""),4.0)</f>
        <v>4</v>
      </c>
      <c r="DW177" s="16">
        <f>IFERROR(__xludf.DUMMYFUNCTION("""COMPUTED_VALUE"""),4.0)</f>
        <v>4</v>
      </c>
      <c r="DX177" s="16">
        <f>IFERROR(__xludf.DUMMYFUNCTION("""COMPUTED_VALUE"""),4.0)</f>
        <v>4</v>
      </c>
      <c r="DY177" s="16"/>
      <c r="DZ177" s="16"/>
      <c r="EA177" s="16"/>
      <c r="EB177" s="16"/>
      <c r="EC177" s="16"/>
      <c r="ED177" s="16">
        <f>IFERROR(__xludf.DUMMYFUNCTION("""COMPUTED_VALUE"""),4.0)</f>
        <v>4</v>
      </c>
      <c r="EE177" s="16">
        <f>IFERROR(__xludf.DUMMYFUNCTION("""COMPUTED_VALUE"""),4.0)</f>
        <v>4</v>
      </c>
      <c r="EF177" s="16">
        <f>IFERROR(__xludf.DUMMYFUNCTION("""COMPUTED_VALUE"""),4.0)</f>
        <v>4</v>
      </c>
      <c r="EG177" s="179"/>
      <c r="EH177" s="179"/>
      <c r="EI177" s="179"/>
      <c r="EJ177" s="179"/>
      <c r="EK177" s="179"/>
      <c r="EL177" s="179">
        <f>IFERROR(__xludf.DUMMYFUNCTION("""COMPUTED_VALUE"""),7.0)</f>
        <v>7</v>
      </c>
      <c r="EM177" s="179">
        <f>IFERROR(__xludf.DUMMYFUNCTION("""COMPUTED_VALUE"""),7.0)</f>
        <v>7</v>
      </c>
      <c r="EN177" s="179">
        <f>IFERROR(__xludf.DUMMYFUNCTION("""COMPUTED_VALUE"""),7.0)</f>
        <v>7</v>
      </c>
      <c r="EO177" s="16"/>
      <c r="EP177" s="16">
        <f>IFERROR(__xludf.DUMMYFUNCTION("""COMPUTED_VALUE"""),0.0)</f>
        <v>0</v>
      </c>
      <c r="EQ177" s="16">
        <f>IFERROR(__xludf.DUMMYFUNCTION("""COMPUTED_VALUE"""),1.0)</f>
        <v>1</v>
      </c>
      <c r="ER177" s="16">
        <f>IFERROR(__xludf.DUMMYFUNCTION("""COMPUTED_VALUE"""),0.0)</f>
        <v>0</v>
      </c>
      <c r="ES177" s="16"/>
      <c r="ET177" s="16"/>
      <c r="EU177" s="16"/>
      <c r="EV177" s="16"/>
      <c r="EW177" s="16"/>
      <c r="EX177" s="180"/>
      <c r="EY177" s="180"/>
      <c r="EZ177" s="180"/>
      <c r="FA177" s="180"/>
      <c r="FB177" s="180"/>
      <c r="FC177" s="180">
        <f>IFERROR(__xludf.DUMMYFUNCTION("""COMPUTED_VALUE"""),0.3)</f>
        <v>0.3</v>
      </c>
      <c r="FD177" s="180">
        <f>IFERROR(__xludf.DUMMYFUNCTION("""COMPUTED_VALUE"""),0.3)</f>
        <v>0.3</v>
      </c>
      <c r="FE177" s="180">
        <f>IFERROR(__xludf.DUMMYFUNCTION("""COMPUTED_VALUE"""),0.3)</f>
        <v>0.3</v>
      </c>
      <c r="FF177" s="180"/>
      <c r="FG177" s="180"/>
      <c r="FH177" s="180"/>
      <c r="FI177" s="180"/>
      <c r="FJ177" s="180"/>
      <c r="FK177" s="180">
        <f>IFERROR(__xludf.DUMMYFUNCTION("""COMPUTED_VALUE"""),0.056)</f>
        <v>0.056</v>
      </c>
      <c r="FL177" s="180">
        <f>IFERROR(__xludf.DUMMYFUNCTION("""COMPUTED_VALUE"""),0.037037037037037035)</f>
        <v>0.03703703704</v>
      </c>
      <c r="FM177" s="180">
        <f>IFERROR(__xludf.DUMMYFUNCTION("""COMPUTED_VALUE"""),0.056)</f>
        <v>0.056</v>
      </c>
      <c r="FN177" s="16"/>
      <c r="FO177" s="16"/>
      <c r="FP177" s="16"/>
      <c r="FQ177" s="16"/>
      <c r="FR177" s="16"/>
      <c r="FS177" s="16">
        <f>IFERROR(__xludf.DUMMYFUNCTION("""COMPUTED_VALUE"""),0.6607999999999999)</f>
        <v>0.6608</v>
      </c>
      <c r="FT177" s="16">
        <f>IFERROR(__xludf.DUMMYFUNCTION("""COMPUTED_VALUE"""),0.674074074074074)</f>
        <v>0.6740740741</v>
      </c>
      <c r="FU177" s="16">
        <f>IFERROR(__xludf.DUMMYFUNCTION("""COMPUTED_VALUE"""),0.6607999999999999)</f>
        <v>0.6608</v>
      </c>
      <c r="FV177" s="16"/>
      <c r="FW177" s="16"/>
      <c r="FX177" s="16"/>
      <c r="FY177" s="16"/>
      <c r="FZ177" s="16"/>
      <c r="GA177" s="16">
        <f>IFERROR(__xludf.DUMMYFUNCTION("""COMPUTED_VALUE"""),-4.0)</f>
        <v>-4</v>
      </c>
      <c r="GB177" s="16">
        <f>IFERROR(__xludf.DUMMYFUNCTION("""COMPUTED_VALUE"""),-4.0)</f>
        <v>-4</v>
      </c>
      <c r="GC177" s="16">
        <f>IFERROR(__xludf.DUMMYFUNCTION("""COMPUTED_VALUE"""),-4.0)</f>
        <v>-4</v>
      </c>
      <c r="GD177" s="16" t="s">
        <v>3300</v>
      </c>
    </row>
    <row r="178">
      <c r="A178" s="16">
        <f>IFERROR(__xludf.DUMMYFUNCTION("""COMPUTED_VALUE"""),12703.0)</f>
        <v>12703</v>
      </c>
      <c r="B178" s="16" t="str">
        <f>IFERROR(__xludf.DUMMYFUNCTION("""COMPUTED_VALUE"""),"Colt Keith")</f>
        <v>Colt Keith</v>
      </c>
      <c r="C178" s="16">
        <f>IFERROR(__xludf.DUMMYFUNCTION("""COMPUTED_VALUE"""),0.34)</f>
        <v>0.34</v>
      </c>
      <c r="D178" s="16" t="str">
        <f>IFERROR(__xludf.DUMMYFUNCTION("""COMPUTED_VALUE"""),"L")</f>
        <v>L</v>
      </c>
      <c r="E178" s="16"/>
      <c r="F178" s="16"/>
      <c r="G178" s="16">
        <f>IFERROR(__xludf.DUMMYFUNCTION("""COMPUTED_VALUE"""),516.0)</f>
        <v>516</v>
      </c>
      <c r="H178" s="16">
        <f>IFERROR(__xludf.DUMMYFUNCTION("""COMPUTED_VALUE"""),36.0)</f>
        <v>36</v>
      </c>
      <c r="I178" s="16" t="str">
        <f>IFERROR(__xludf.DUMMYFUNCTION("""COMPUTED_VALUE"""),"1p70")</f>
        <v>1p70</v>
      </c>
      <c r="J178" s="16">
        <f>IFERROR(__xludf.DUMMYFUNCTION("""COMPUTED_VALUE"""),32.0)</f>
        <v>32</v>
      </c>
      <c r="K178" s="16">
        <f>IFERROR(__xludf.DUMMYFUNCTION("""COMPUTED_VALUE"""),16.0)</f>
        <v>16</v>
      </c>
      <c r="L178" s="16">
        <f>IFERROR(__xludf.DUMMYFUNCTION("""COMPUTED_VALUE"""),-1.0)</f>
        <v>-1</v>
      </c>
      <c r="M178" s="16">
        <f>IFERROR(__xludf.DUMMYFUNCTION("""COMPUTED_VALUE"""),1.0)</f>
        <v>1</v>
      </c>
      <c r="N178" s="16">
        <f>IFERROR(__xludf.DUMMYFUNCTION("""COMPUTED_VALUE"""),-1.0)</f>
        <v>-1</v>
      </c>
      <c r="O178" s="16">
        <f>IFERROR(__xludf.DUMMYFUNCTION("""COMPUTED_VALUE"""),1.0)</f>
        <v>1</v>
      </c>
      <c r="P178" s="16">
        <f>IFERROR(__xludf.DUMMYFUNCTION("""COMPUTED_VALUE"""),6.0)</f>
        <v>6</v>
      </c>
      <c r="Q178" s="16">
        <f>IFERROR(__xludf.DUMMYFUNCTION("""COMPUTED_VALUE"""),3.0)</f>
        <v>3</v>
      </c>
      <c r="R178" s="16">
        <f>IFERROR(__xludf.DUMMYFUNCTION("""COMPUTED_VALUE"""),-1.0)</f>
        <v>-1</v>
      </c>
      <c r="S178" s="16">
        <f>IFERROR(__xludf.DUMMYFUNCTION("""COMPUTED_VALUE"""),-2.0)</f>
        <v>-2</v>
      </c>
      <c r="T178" s="16">
        <f>IFERROR(__xludf.DUMMYFUNCTION("""COMPUTED_VALUE"""),-1.0)</f>
        <v>-1</v>
      </c>
      <c r="U178" s="16">
        <f>IFERROR(__xludf.DUMMYFUNCTION("""COMPUTED_VALUE"""),-2.0)</f>
        <v>-2</v>
      </c>
      <c r="V178" s="16">
        <f>IFERROR(__xludf.DUMMYFUNCTION("""COMPUTED_VALUE"""),27.9)</f>
        <v>27.9</v>
      </c>
      <c r="W178" s="16">
        <f>IFERROR(__xludf.DUMMYFUNCTION("""COMPUTED_VALUE"""),23.6)</f>
        <v>23.6</v>
      </c>
      <c r="X178" s="16">
        <f>IFERROR(__xludf.DUMMYFUNCTION("""COMPUTED_VALUE"""),1.0)</f>
        <v>1</v>
      </c>
      <c r="Y178" s="16">
        <f>IFERROR(__xludf.DUMMYFUNCTION("""COMPUTED_VALUE"""),1.0)</f>
        <v>1</v>
      </c>
      <c r="Z178" s="16">
        <f>IFERROR(__xludf.DUMMYFUNCTION("""COMPUTED_VALUE"""),2.0)</f>
        <v>2</v>
      </c>
      <c r="AA178" s="16">
        <f>IFERROR(__xludf.DUMMYFUNCTION("""COMPUTED_VALUE"""),2.0)</f>
        <v>2</v>
      </c>
      <c r="AB178" s="16">
        <f>IFERROR(__xludf.DUMMYFUNCTION("""COMPUTED_VALUE"""),34.9)</f>
        <v>34.9</v>
      </c>
      <c r="AC178" s="16">
        <f>IFERROR(__xludf.DUMMYFUNCTION("""COMPUTED_VALUE"""),27.6)</f>
        <v>27.6</v>
      </c>
      <c r="AD178" s="16">
        <f>IFERROR(__xludf.DUMMYFUNCTION("""COMPUTED_VALUE"""),1.0)</f>
        <v>1</v>
      </c>
      <c r="AE178" s="16">
        <f>IFERROR(__xludf.DUMMYFUNCTION("""COMPUTED_VALUE"""),-1.0)</f>
        <v>-1</v>
      </c>
      <c r="AF178" s="16">
        <f>IFERROR(__xludf.DUMMYFUNCTION("""COMPUTED_VALUE"""),5.0)</f>
        <v>5</v>
      </c>
      <c r="AG178" s="16">
        <f>IFERROR(__xludf.DUMMYFUNCTION("""COMPUTED_VALUE"""),-5.0)</f>
        <v>-5</v>
      </c>
      <c r="AH178" s="16">
        <f>IFERROR(__xludf.DUMMYFUNCTION("""COMPUTED_VALUE"""),35.3)</f>
        <v>35.3</v>
      </c>
      <c r="AI178" s="16">
        <f>IFERROR(__xludf.DUMMYFUNCTION("""COMPUTED_VALUE"""),30.4)</f>
        <v>30.4</v>
      </c>
      <c r="AJ178" s="16">
        <f>IFERROR(__xludf.DUMMYFUNCTION("""COMPUTED_VALUE"""),0.0)</f>
        <v>0</v>
      </c>
      <c r="AK178" s="16">
        <f>IFERROR(__xludf.DUMMYFUNCTION("""COMPUTED_VALUE"""),0.0)</f>
        <v>0</v>
      </c>
      <c r="AL178" s="16">
        <f>IFERROR(__xludf.DUMMYFUNCTION("""COMPUTED_VALUE"""),0.0)</f>
        <v>0</v>
      </c>
      <c r="AM178" s="16">
        <f>IFERROR(__xludf.DUMMYFUNCTION("""COMPUTED_VALUE"""),0.0)</f>
        <v>0</v>
      </c>
      <c r="AN178" s="16">
        <f>IFERROR(__xludf.DUMMYFUNCTION("""COMPUTED_VALUE"""),2.4)</f>
        <v>2.4</v>
      </c>
      <c r="AO178" s="16">
        <f>IFERROR(__xludf.DUMMYFUNCTION("""COMPUTED_VALUE"""),1.2)</f>
        <v>1.2</v>
      </c>
      <c r="AP178" s="16">
        <f>IFERROR(__xludf.DUMMYFUNCTION("""COMPUTED_VALUE"""),0.0)</f>
        <v>0</v>
      </c>
      <c r="AQ178" s="16">
        <f>IFERROR(__xludf.DUMMYFUNCTION("""COMPUTED_VALUE"""),-2.0)</f>
        <v>-2</v>
      </c>
      <c r="AR178" s="16">
        <f>IFERROR(__xludf.DUMMYFUNCTION("""COMPUTED_VALUE"""),0.0)</f>
        <v>0</v>
      </c>
      <c r="AS178" s="16">
        <f>IFERROR(__xludf.DUMMYFUNCTION("""COMPUTED_VALUE"""),-4.0)</f>
        <v>-4</v>
      </c>
      <c r="AT178" s="16"/>
      <c r="AU178" s="16">
        <f>IFERROR(__xludf.DUMMYFUNCTION("""COMPUTED_VALUE"""),2.0)</f>
        <v>2</v>
      </c>
      <c r="AV178" s="16">
        <f>IFERROR(__xludf.DUMMYFUNCTION("""COMPUTED_VALUE"""),-3.0)</f>
        <v>-3</v>
      </c>
      <c r="AW178" s="16">
        <f>IFERROR(__xludf.DUMMYFUNCTION("""COMPUTED_VALUE"""),2.0)</f>
        <v>2</v>
      </c>
      <c r="AX178" s="16">
        <f>IFERROR(__xludf.DUMMYFUNCTION("""COMPUTED_VALUE"""),-3.0)</f>
        <v>-3</v>
      </c>
      <c r="AY178" s="16">
        <f>IFERROR(__xludf.DUMMYFUNCTION("""COMPUTED_VALUE"""),0.0)</f>
        <v>0</v>
      </c>
      <c r="AZ178" s="16">
        <f>IFERROR(__xludf.DUMMYFUNCTION("""COMPUTED_VALUE"""),-9.0)</f>
        <v>-9</v>
      </c>
      <c r="BA178" s="16">
        <f>IFERROR(__xludf.DUMMYFUNCTION("""COMPUTED_VALUE"""),0.0)</f>
        <v>0</v>
      </c>
      <c r="BB178" s="16">
        <f>IFERROR(__xludf.DUMMYFUNCTION("""COMPUTED_VALUE"""),5.0)</f>
        <v>5</v>
      </c>
      <c r="BC178" s="16">
        <f>IFERROR(__xludf.DUMMYFUNCTION("""COMPUTED_VALUE"""),5.0)</f>
        <v>5</v>
      </c>
      <c r="BD178" s="16">
        <f>IFERROR(__xludf.DUMMYFUNCTION("""COMPUTED_VALUE"""),1.0)</f>
        <v>1</v>
      </c>
      <c r="BE178" s="16">
        <f>IFERROR(__xludf.DUMMYFUNCTION("""COMPUTED_VALUE"""),1.0)</f>
        <v>1</v>
      </c>
      <c r="BF178" s="16">
        <f>IFERROR(__xludf.DUMMYFUNCTION("""COMPUTED_VALUE"""),1.0)</f>
        <v>1</v>
      </c>
      <c r="BG178" s="16">
        <f>IFERROR(__xludf.DUMMYFUNCTION("""COMPUTED_VALUE"""),1.0)</f>
        <v>1</v>
      </c>
      <c r="BH178" s="16">
        <f>IFERROR(__xludf.DUMMYFUNCTION("""COMPUTED_VALUE"""),1.0)</f>
        <v>1</v>
      </c>
      <c r="BI178" s="16">
        <f>IFERROR(__xludf.DUMMYFUNCTION("""COMPUTED_VALUE"""),1.0)</f>
        <v>1</v>
      </c>
      <c r="BJ178" s="16">
        <f>IFERROR(__xludf.DUMMYFUNCTION("""COMPUTED_VALUE"""),3.0)</f>
        <v>3</v>
      </c>
      <c r="BK178" s="16">
        <f>IFERROR(__xludf.DUMMYFUNCTION("""COMPUTED_VALUE"""),3.0)</f>
        <v>3</v>
      </c>
      <c r="BL178" s="16">
        <f>IFERROR(__xludf.DUMMYFUNCTION("""COMPUTED_VALUE"""),2.0)</f>
        <v>2</v>
      </c>
      <c r="BM178" s="16">
        <f>IFERROR(__xludf.DUMMYFUNCTION("""COMPUTED_VALUE"""),2.0)</f>
        <v>2</v>
      </c>
      <c r="BN178" s="16">
        <f>IFERROR(__xludf.DUMMYFUNCTION("""COMPUTED_VALUE"""),2.0)</f>
        <v>2</v>
      </c>
      <c r="BO178" s="16">
        <f>IFERROR(__xludf.DUMMYFUNCTION("""COMPUTED_VALUE"""),2.0)</f>
        <v>2</v>
      </c>
      <c r="BP178" s="16">
        <f>IFERROR(__xludf.DUMMYFUNCTION("""COMPUTED_VALUE"""),0.0)</f>
        <v>0</v>
      </c>
      <c r="BQ178" s="16">
        <f>IFERROR(__xludf.DUMMYFUNCTION("""COMPUTED_VALUE"""),0.0)</f>
        <v>0</v>
      </c>
      <c r="BR178" s="16">
        <f>IFERROR(__xludf.DUMMYFUNCTION("""COMPUTED_VALUE"""),0.0)</f>
        <v>0</v>
      </c>
      <c r="BS178" s="16" t="str">
        <f>IFERROR(__xludf.DUMMYFUNCTION("""COMPUTED_VALUE"""),"4/- (18-6)")</f>
        <v>4/- (18-6)</v>
      </c>
      <c r="BT178" s="16" t="str">
        <f>IFERROR(__xludf.DUMMYFUNCTION("""COMPUTED_VALUE"""),"C")</f>
        <v>C</v>
      </c>
      <c r="BU178" s="16">
        <f>IFERROR(__xludf.DUMMYFUNCTION("""COMPUTED_VALUE"""),12.0)</f>
        <v>12</v>
      </c>
      <c r="BV178" s="16">
        <f>IFERROR(__xludf.DUMMYFUNCTION("""COMPUTED_VALUE"""),0.0)</f>
        <v>0</v>
      </c>
      <c r="BW178" s="16">
        <f>IFERROR(__xludf.DUMMYFUNCTION("""COMPUTED_VALUE"""),0.0)</f>
        <v>0</v>
      </c>
      <c r="BX178" s="16">
        <f>IFERROR(__xludf.DUMMYFUNCTION("""COMPUTED_VALUE"""),0.0)</f>
        <v>0</v>
      </c>
      <c r="BY178" s="16">
        <f>IFERROR(__xludf.DUMMYFUNCTION("""COMPUTED_VALUE"""),0.0)</f>
        <v>0</v>
      </c>
      <c r="BZ178" s="16" t="str">
        <f>IFERROR(__xludf.DUMMYFUNCTION("""COMPUTED_VALUE"""),"D")</f>
        <v>D</v>
      </c>
      <c r="CA178" s="16" t="str">
        <f>IFERROR(__xludf.DUMMYFUNCTION("""COMPUTED_VALUE"""),"C")</f>
        <v>C</v>
      </c>
      <c r="CB178" s="16">
        <f>IFERROR(__xludf.DUMMYFUNCTION("""COMPUTED_VALUE"""),0.0)</f>
        <v>0</v>
      </c>
      <c r="CC178" s="16">
        <f>IFERROR(__xludf.DUMMYFUNCTION("""COMPUTED_VALUE"""),0.0)</f>
        <v>0</v>
      </c>
      <c r="CD178" s="16">
        <f>IFERROR(__xludf.DUMMYFUNCTION("""COMPUTED_VALUE"""),0.0)</f>
        <v>0</v>
      </c>
      <c r="CE178" s="16">
        <f>IFERROR(__xludf.DUMMYFUNCTION("""COMPUTED_VALUE"""),0.0)</f>
        <v>0</v>
      </c>
      <c r="CF178" s="16">
        <f>IFERROR(__xludf.DUMMYFUNCTION("""COMPUTED_VALUE"""),1.0)</f>
        <v>1</v>
      </c>
      <c r="CG178" s="16">
        <f>IFERROR(__xludf.DUMMYFUNCTION("""COMPUTED_VALUE"""),-1.0)</f>
        <v>-1</v>
      </c>
      <c r="CH178" s="16">
        <f>IFERROR(__xludf.DUMMYFUNCTION("""COMPUTED_VALUE"""),-5.0)</f>
        <v>-5</v>
      </c>
      <c r="CI178" s="179">
        <f>IFERROR(__xludf.DUMMYFUNCTION("""COMPUTED_VALUE"""),3.0)</f>
        <v>3</v>
      </c>
      <c r="CJ178" s="16"/>
      <c r="CK178" s="16"/>
      <c r="CL178" s="16">
        <f>IFERROR(__xludf.DUMMYFUNCTION("""COMPUTED_VALUE"""),416.0)</f>
        <v>416</v>
      </c>
      <c r="CM178" s="16"/>
      <c r="CN178" s="16"/>
      <c r="CO178" s="16"/>
      <c r="CP178" s="16"/>
      <c r="CQ178" s="16"/>
      <c r="CR178" s="16" t="str">
        <f>IFERROR(__xludf.DUMMYFUNCTION("""COMPUTED_VALUE"""),"2b-4e16")</f>
        <v>2b-4e16</v>
      </c>
      <c r="CS178" s="16"/>
      <c r="CT178" s="16"/>
      <c r="CU178" s="16">
        <f>IFERROR(__xludf.DUMMYFUNCTION("""COMPUTED_VALUE"""),4.0)</f>
        <v>4</v>
      </c>
      <c r="CV178" s="16"/>
      <c r="CW178" s="16"/>
      <c r="CX178" s="16"/>
      <c r="CY178" s="16"/>
      <c r="CZ178" s="16"/>
      <c r="DA178" s="16"/>
      <c r="DB178" s="16"/>
      <c r="DC178" s="16">
        <f>IFERROR(__xludf.DUMMYFUNCTION("""COMPUTED_VALUE"""),16.0)</f>
        <v>16</v>
      </c>
      <c r="DD178" s="16"/>
      <c r="DE178" s="16"/>
      <c r="DF178" s="16"/>
      <c r="DG178" s="16"/>
      <c r="DH178" s="16"/>
      <c r="DI178" s="16"/>
      <c r="DJ178" s="16"/>
      <c r="DK178" s="16">
        <f>IFERROR(__xludf.DUMMYFUNCTION("""COMPUTED_VALUE"""),-2.0)</f>
        <v>-2</v>
      </c>
      <c r="DL178" s="16"/>
      <c r="DM178" s="16"/>
      <c r="DN178" s="16"/>
      <c r="DO178" s="16"/>
      <c r="DP178" s="16"/>
      <c r="DQ178" s="16"/>
      <c r="DR178" s="16"/>
      <c r="DS178" s="16">
        <f>IFERROR(__xludf.DUMMYFUNCTION("""COMPUTED_VALUE"""),2.0)</f>
        <v>2</v>
      </c>
      <c r="DT178" s="16"/>
      <c r="DU178" s="16"/>
      <c r="DV178" s="16"/>
      <c r="DW178" s="16"/>
      <c r="DX178" s="16"/>
      <c r="DY178" s="16"/>
      <c r="DZ178" s="16"/>
      <c r="EA178" s="16">
        <f>IFERROR(__xludf.DUMMYFUNCTION("""COMPUTED_VALUE"""),0.0)</f>
        <v>0</v>
      </c>
      <c r="EB178" s="16"/>
      <c r="EC178" s="16"/>
      <c r="ED178" s="16"/>
      <c r="EE178" s="16"/>
      <c r="EF178" s="16"/>
      <c r="EG178" s="179"/>
      <c r="EH178" s="179"/>
      <c r="EI178" s="179">
        <f>IFERROR(__xludf.DUMMYFUNCTION("""COMPUTED_VALUE"""),3.0)</f>
        <v>3</v>
      </c>
      <c r="EJ178" s="179"/>
      <c r="EK178" s="179"/>
      <c r="EL178" s="179"/>
      <c r="EM178" s="179"/>
      <c r="EN178" s="179"/>
      <c r="EO178" s="16"/>
      <c r="EP178" s="16">
        <f>IFERROR(__xludf.DUMMYFUNCTION("""COMPUTED_VALUE"""),3.0)</f>
        <v>3</v>
      </c>
      <c r="EQ178" s="16">
        <f>IFERROR(__xludf.DUMMYFUNCTION("""COMPUTED_VALUE"""),4.0)</f>
        <v>4</v>
      </c>
      <c r="ER178" s="16">
        <f>IFERROR(__xludf.DUMMYFUNCTION("""COMPUTED_VALUE"""),3.0)</f>
        <v>3</v>
      </c>
      <c r="ES178" s="16"/>
      <c r="ET178" s="16"/>
      <c r="EU178" s="16"/>
      <c r="EV178" s="16"/>
      <c r="EW178" s="16"/>
      <c r="EX178" s="180"/>
      <c r="EY178" s="180"/>
      <c r="EZ178" s="180">
        <f>IFERROR(__xludf.DUMMYFUNCTION("""COMPUTED_VALUE"""),0.3)</f>
        <v>0.3</v>
      </c>
      <c r="FA178" s="180"/>
      <c r="FB178" s="180"/>
      <c r="FC178" s="180"/>
      <c r="FD178" s="180"/>
      <c r="FE178" s="180"/>
      <c r="FF178" s="180"/>
      <c r="FG178" s="180"/>
      <c r="FH178" s="180">
        <f>IFERROR(__xludf.DUMMYFUNCTION("""COMPUTED_VALUE"""),0.09722222222222222)</f>
        <v>0.09722222222</v>
      </c>
      <c r="FI178" s="180"/>
      <c r="FJ178" s="180"/>
      <c r="FK178" s="180"/>
      <c r="FL178" s="180"/>
      <c r="FM178" s="180"/>
      <c r="FN178" s="16"/>
      <c r="FO178" s="16"/>
      <c r="FP178" s="16">
        <f>IFERROR(__xludf.DUMMYFUNCTION("""COMPUTED_VALUE"""),0.6319444444444444)</f>
        <v>0.6319444444</v>
      </c>
      <c r="FQ178" s="16"/>
      <c r="FR178" s="16"/>
      <c r="FS178" s="16"/>
      <c r="FT178" s="16"/>
      <c r="FU178" s="16"/>
      <c r="FV178" s="16"/>
      <c r="FW178" s="16"/>
      <c r="FX178" s="16">
        <f>IFERROR(__xludf.DUMMYFUNCTION("""COMPUTED_VALUE"""),-6.0)</f>
        <v>-6</v>
      </c>
      <c r="FY178" s="16"/>
      <c r="FZ178" s="16"/>
      <c r="GA178" s="16"/>
      <c r="GB178" s="16"/>
      <c r="GC178" s="16"/>
      <c r="GD178" s="16" t="s">
        <v>176</v>
      </c>
    </row>
    <row r="179">
      <c r="A179" s="16">
        <f>IFERROR(__xludf.DUMMYFUNCTION("""COMPUTED_VALUE"""),12574.0)</f>
        <v>12574</v>
      </c>
      <c r="B179" s="16" t="str">
        <f>IFERROR(__xludf.DUMMYFUNCTION("""COMPUTED_VALUE"""),"Ben Gamel")</f>
        <v>Ben Gamel</v>
      </c>
      <c r="C179" s="16">
        <f>IFERROR(__xludf.DUMMYFUNCTION("""COMPUTED_VALUE"""),0.59)</f>
        <v>0.59</v>
      </c>
      <c r="D179" s="16" t="str">
        <f>IFERROR(__xludf.DUMMYFUNCTION("""COMPUTED_VALUE"""),"L")</f>
        <v>L</v>
      </c>
      <c r="E179" s="16"/>
      <c r="F179" s="16"/>
      <c r="G179" s="16">
        <f>IFERROR(__xludf.DUMMYFUNCTION("""COMPUTED_VALUE"""),81.0)</f>
        <v>81</v>
      </c>
      <c r="H179" s="16">
        <f>IFERROR(__xludf.DUMMYFUNCTION("""COMPUTED_VALUE"""),18.0)</f>
        <v>18</v>
      </c>
      <c r="I179" s="16" t="str">
        <f>IFERROR(__xludf.DUMMYFUNCTION("""COMPUTED_VALUE"""),"2p20")</f>
        <v>2p20</v>
      </c>
      <c r="J179" s="16">
        <f>IFERROR(__xludf.DUMMYFUNCTION("""COMPUTED_VALUE"""),38.0)</f>
        <v>38</v>
      </c>
      <c r="K179" s="16">
        <f>IFERROR(__xludf.DUMMYFUNCTION("""COMPUTED_VALUE"""),26.0)</f>
        <v>26</v>
      </c>
      <c r="L179" s="16">
        <f>IFERROR(__xludf.DUMMYFUNCTION("""COMPUTED_VALUE"""),-1.0)</f>
        <v>-1</v>
      </c>
      <c r="M179" s="16">
        <f>IFERROR(__xludf.DUMMYFUNCTION("""COMPUTED_VALUE"""),0.0)</f>
        <v>0</v>
      </c>
      <c r="N179" s="16">
        <f>IFERROR(__xludf.DUMMYFUNCTION("""COMPUTED_VALUE"""),-1.0)</f>
        <v>-1</v>
      </c>
      <c r="O179" s="16">
        <f>IFERROR(__xludf.DUMMYFUNCTION("""COMPUTED_VALUE"""),0.0)</f>
        <v>0</v>
      </c>
      <c r="P179" s="16">
        <f>IFERROR(__xludf.DUMMYFUNCTION("""COMPUTED_VALUE"""),15.0)</f>
        <v>15</v>
      </c>
      <c r="Q179" s="16">
        <f>IFERROR(__xludf.DUMMYFUNCTION("""COMPUTED_VALUE"""),31.0)</f>
        <v>31</v>
      </c>
      <c r="R179" s="16">
        <f>IFERROR(__xludf.DUMMYFUNCTION("""COMPUTED_VALUE"""),2.0)</f>
        <v>2</v>
      </c>
      <c r="S179" s="16">
        <f>IFERROR(__xludf.DUMMYFUNCTION("""COMPUTED_VALUE"""),3.0)</f>
        <v>3</v>
      </c>
      <c r="T179" s="16">
        <f>IFERROR(__xludf.DUMMYFUNCTION("""COMPUTED_VALUE"""),2.0)</f>
        <v>2</v>
      </c>
      <c r="U179" s="16">
        <f>IFERROR(__xludf.DUMMYFUNCTION("""COMPUTED_VALUE"""),3.0)</f>
        <v>3</v>
      </c>
      <c r="V179" s="16">
        <f>IFERROR(__xludf.DUMMYFUNCTION("""COMPUTED_VALUE"""),12.8)</f>
        <v>12.8</v>
      </c>
      <c r="W179" s="16">
        <f>IFERROR(__xludf.DUMMYFUNCTION("""COMPUTED_VALUE"""),19.2)</f>
        <v>19.2</v>
      </c>
      <c r="X179" s="16">
        <f>IFERROR(__xludf.DUMMYFUNCTION("""COMPUTED_VALUE"""),-1.0)</f>
        <v>-1</v>
      </c>
      <c r="Y179" s="16">
        <f>IFERROR(__xludf.DUMMYFUNCTION("""COMPUTED_VALUE"""),0.0)</f>
        <v>0</v>
      </c>
      <c r="Z179" s="16">
        <f>IFERROR(__xludf.DUMMYFUNCTION("""COMPUTED_VALUE"""),-2.0)</f>
        <v>-2</v>
      </c>
      <c r="AA179" s="16">
        <f>IFERROR(__xludf.DUMMYFUNCTION("""COMPUTED_VALUE"""),0.0)</f>
        <v>0</v>
      </c>
      <c r="AB179" s="16">
        <f>IFERROR(__xludf.DUMMYFUNCTION("""COMPUTED_VALUE"""),27.8)</f>
        <v>27.8</v>
      </c>
      <c r="AC179" s="16">
        <f>IFERROR(__xludf.DUMMYFUNCTION("""COMPUTED_VALUE"""),50.2)</f>
        <v>50.2</v>
      </c>
      <c r="AD179" s="16">
        <f>IFERROR(__xludf.DUMMYFUNCTION("""COMPUTED_VALUE"""),0.0)</f>
        <v>0</v>
      </c>
      <c r="AE179" s="16">
        <f>IFERROR(__xludf.DUMMYFUNCTION("""COMPUTED_VALUE"""),3.0)</f>
        <v>3</v>
      </c>
      <c r="AF179" s="16">
        <f>IFERROR(__xludf.DUMMYFUNCTION("""COMPUTED_VALUE"""),0.0)</f>
        <v>0</v>
      </c>
      <c r="AG179" s="16">
        <f>IFERROR(__xludf.DUMMYFUNCTION("""COMPUTED_VALUE"""),15.0)</f>
        <v>15</v>
      </c>
      <c r="AH179" s="16">
        <f>IFERROR(__xludf.DUMMYFUNCTION("""COMPUTED_VALUE"""),12.8)</f>
        <v>12.8</v>
      </c>
      <c r="AI179" s="16">
        <f>IFERROR(__xludf.DUMMYFUNCTION("""COMPUTED_VALUE"""),31.5)</f>
        <v>31.5</v>
      </c>
      <c r="AJ179" s="16">
        <f>IFERROR(__xludf.DUMMYFUNCTION("""COMPUTED_VALUE"""),-2.0)</f>
        <v>-2</v>
      </c>
      <c r="AK179" s="16">
        <f>IFERROR(__xludf.DUMMYFUNCTION("""COMPUTED_VALUE"""),0.0)</f>
        <v>0</v>
      </c>
      <c r="AL179" s="16">
        <f>IFERROR(__xludf.DUMMYFUNCTION("""COMPUTED_VALUE"""),-10.0)</f>
        <v>-10</v>
      </c>
      <c r="AM179" s="16">
        <f>IFERROR(__xludf.DUMMYFUNCTION("""COMPUTED_VALUE"""),0.0)</f>
        <v>0</v>
      </c>
      <c r="AN179" s="16">
        <f>IFERROR(__xludf.DUMMYFUNCTION("""COMPUTED_VALUE"""),0.0)</f>
        <v>0</v>
      </c>
      <c r="AO179" s="16">
        <f>IFERROR(__xludf.DUMMYFUNCTION("""COMPUTED_VALUE"""),2.3)</f>
        <v>2.3</v>
      </c>
      <c r="AP179" s="16">
        <f>IFERROR(__xludf.DUMMYFUNCTION("""COMPUTED_VALUE"""),-2.0)</f>
        <v>-2</v>
      </c>
      <c r="AQ179" s="16">
        <f>IFERROR(__xludf.DUMMYFUNCTION("""COMPUTED_VALUE"""),0.0)</f>
        <v>0</v>
      </c>
      <c r="AR179" s="16">
        <f>IFERROR(__xludf.DUMMYFUNCTION("""COMPUTED_VALUE"""),-4.0)</f>
        <v>-4</v>
      </c>
      <c r="AS179" s="16">
        <f>IFERROR(__xludf.DUMMYFUNCTION("""COMPUTED_VALUE"""),0.0)</f>
        <v>0</v>
      </c>
      <c r="AT179" s="16"/>
      <c r="AU179" s="16"/>
      <c r="AV179" s="16">
        <f>IFERROR(__xludf.DUMMYFUNCTION("""COMPUTED_VALUE"""),-3.0)</f>
        <v>-3</v>
      </c>
      <c r="AW179" s="16">
        <f>IFERROR(__xludf.DUMMYFUNCTION("""COMPUTED_VALUE"""),-3.0)</f>
        <v>-3</v>
      </c>
      <c r="AX179" s="16">
        <f>IFERROR(__xludf.DUMMYFUNCTION("""COMPUTED_VALUE"""),-3.0)</f>
        <v>-3</v>
      </c>
      <c r="AY179" s="16">
        <f>IFERROR(__xludf.DUMMYFUNCTION("""COMPUTED_VALUE"""),-3.0)</f>
        <v>-3</v>
      </c>
      <c r="AZ179" s="16">
        <f>IFERROR(__xludf.DUMMYFUNCTION("""COMPUTED_VALUE"""),-9.0)</f>
        <v>-9</v>
      </c>
      <c r="BA179" s="16">
        <f>IFERROR(__xludf.DUMMYFUNCTION("""COMPUTED_VALUE"""),-9.0)</f>
        <v>-9</v>
      </c>
      <c r="BB179" s="16">
        <f>IFERROR(__xludf.DUMMYFUNCTION("""COMPUTED_VALUE"""),5.0)</f>
        <v>5</v>
      </c>
      <c r="BC179" s="16">
        <f>IFERROR(__xludf.DUMMYFUNCTION("""COMPUTED_VALUE"""),5.0)</f>
        <v>5</v>
      </c>
      <c r="BD179" s="16">
        <f>IFERROR(__xludf.DUMMYFUNCTION("""COMPUTED_VALUE"""),1.0)</f>
        <v>1</v>
      </c>
      <c r="BE179" s="16">
        <f>IFERROR(__xludf.DUMMYFUNCTION("""COMPUTED_VALUE"""),1.0)</f>
        <v>1</v>
      </c>
      <c r="BF179" s="16">
        <f>IFERROR(__xludf.DUMMYFUNCTION("""COMPUTED_VALUE"""),1.0)</f>
        <v>1</v>
      </c>
      <c r="BG179" s="16">
        <f>IFERROR(__xludf.DUMMYFUNCTION("""COMPUTED_VALUE"""),1.0)</f>
        <v>1</v>
      </c>
      <c r="BH179" s="16">
        <f>IFERROR(__xludf.DUMMYFUNCTION("""COMPUTED_VALUE"""),-7.0)</f>
        <v>-7</v>
      </c>
      <c r="BI179" s="16">
        <f>IFERROR(__xludf.DUMMYFUNCTION("""COMPUTED_VALUE"""),-6.0)</f>
        <v>-6</v>
      </c>
      <c r="BJ179" s="16">
        <f>IFERROR(__xludf.DUMMYFUNCTION("""COMPUTED_VALUE"""),0.0)</f>
        <v>0</v>
      </c>
      <c r="BK179" s="16">
        <f>IFERROR(__xludf.DUMMYFUNCTION("""COMPUTED_VALUE"""),0.0)</f>
        <v>0</v>
      </c>
      <c r="BL179" s="16">
        <f>IFERROR(__xludf.DUMMYFUNCTION("""COMPUTED_VALUE"""),3.0)</f>
        <v>3</v>
      </c>
      <c r="BM179" s="16">
        <f>IFERROR(__xludf.DUMMYFUNCTION("""COMPUTED_VALUE"""),3.0)</f>
        <v>3</v>
      </c>
      <c r="BN179" s="16">
        <f>IFERROR(__xludf.DUMMYFUNCTION("""COMPUTED_VALUE"""),3.0)</f>
        <v>3</v>
      </c>
      <c r="BO179" s="16">
        <f>IFERROR(__xludf.DUMMYFUNCTION("""COMPUTED_VALUE"""),3.0)</f>
        <v>3</v>
      </c>
      <c r="BP179" s="16">
        <f>IFERROR(__xludf.DUMMYFUNCTION("""COMPUTED_VALUE"""),-3.0)</f>
        <v>-3</v>
      </c>
      <c r="BQ179" s="16">
        <f>IFERROR(__xludf.DUMMYFUNCTION("""COMPUTED_VALUE"""),7.0)</f>
        <v>7</v>
      </c>
      <c r="BR179" s="16">
        <f>IFERROR(__xludf.DUMMYFUNCTION("""COMPUTED_VALUE"""),4.0)</f>
        <v>4</v>
      </c>
      <c r="BS179" s="16" t="str">
        <f>IFERROR(__xludf.DUMMYFUNCTION("""COMPUTED_VALUE"""),"2/- (20-6)")</f>
        <v>2/- (20-6)</v>
      </c>
      <c r="BT179" s="16" t="str">
        <f>IFERROR(__xludf.DUMMYFUNCTION("""COMPUTED_VALUE"""),"D")</f>
        <v>D</v>
      </c>
      <c r="BU179" s="16">
        <f>IFERROR(__xludf.DUMMYFUNCTION("""COMPUTED_VALUE"""),12.0)</f>
        <v>12</v>
      </c>
      <c r="BV179" s="16">
        <f>IFERROR(__xludf.DUMMYFUNCTION("""COMPUTED_VALUE"""),0.0)</f>
        <v>0</v>
      </c>
      <c r="BW179" s="16">
        <f>IFERROR(__xludf.DUMMYFUNCTION("""COMPUTED_VALUE"""),0.0)</f>
        <v>0</v>
      </c>
      <c r="BX179" s="16">
        <f>IFERROR(__xludf.DUMMYFUNCTION("""COMPUTED_VALUE"""),0.0)</f>
        <v>0</v>
      </c>
      <c r="BY179" s="16">
        <f>IFERROR(__xludf.DUMMYFUNCTION("""COMPUTED_VALUE"""),0.0)</f>
        <v>0</v>
      </c>
      <c r="BZ179" s="16" t="str">
        <f>IFERROR(__xludf.DUMMYFUNCTION("""COMPUTED_VALUE"""),"D")</f>
        <v>D</v>
      </c>
      <c r="CA179" s="16" t="str">
        <f>IFERROR(__xludf.DUMMYFUNCTION("""COMPUTED_VALUE"""),"D")</f>
        <v>D</v>
      </c>
      <c r="CB179" s="16">
        <f>IFERROR(__xludf.DUMMYFUNCTION("""COMPUTED_VALUE"""),0.0)</f>
        <v>0</v>
      </c>
      <c r="CC179" s="16">
        <f>IFERROR(__xludf.DUMMYFUNCTION("""COMPUTED_VALUE"""),0.0)</f>
        <v>0</v>
      </c>
      <c r="CD179" s="16">
        <f>IFERROR(__xludf.DUMMYFUNCTION("""COMPUTED_VALUE"""),0.0)</f>
        <v>0</v>
      </c>
      <c r="CE179" s="16">
        <f>IFERROR(__xludf.DUMMYFUNCTION("""COMPUTED_VALUE"""),0.0)</f>
        <v>0</v>
      </c>
      <c r="CF179" s="16">
        <f>IFERROR(__xludf.DUMMYFUNCTION("""COMPUTED_VALUE"""),2.0)</f>
        <v>2</v>
      </c>
      <c r="CG179" s="16">
        <f>IFERROR(__xludf.DUMMYFUNCTION("""COMPUTED_VALUE"""),-20.0)</f>
        <v>-20</v>
      </c>
      <c r="CH179" s="16">
        <f>IFERROR(__xludf.DUMMYFUNCTION("""COMPUTED_VALUE"""),13.0)</f>
        <v>13</v>
      </c>
      <c r="CI179" s="179">
        <f>IFERROR(__xludf.DUMMYFUNCTION("""COMPUTED_VALUE"""),3.0)</f>
        <v>3</v>
      </c>
      <c r="CJ179" s="16"/>
      <c r="CK179" s="16"/>
      <c r="CL179" s="16"/>
      <c r="CM179" s="16"/>
      <c r="CN179" s="16"/>
      <c r="CO179" s="16">
        <f>IFERROR(__xludf.DUMMYFUNCTION("""COMPUTED_VALUE"""),308.0)</f>
        <v>308</v>
      </c>
      <c r="CP179" s="16"/>
      <c r="CQ179" s="16">
        <f>IFERROR(__xludf.DUMMYFUNCTION("""COMPUTED_VALUE"""),308.0)</f>
        <v>308</v>
      </c>
      <c r="CR179" s="16" t="str">
        <f>IFERROR(__xludf.DUMMYFUNCTION("""COMPUTED_VALUE"""),"rf-3(+1)e8 lf-3e8")</f>
        <v>rf-3(+1)e8 lf-3e8</v>
      </c>
      <c r="CS179" s="16"/>
      <c r="CT179" s="16"/>
      <c r="CU179" s="16"/>
      <c r="CV179" s="16"/>
      <c r="CW179" s="16"/>
      <c r="CX179" s="16">
        <f>IFERROR(__xludf.DUMMYFUNCTION("""COMPUTED_VALUE"""),3.0)</f>
        <v>3</v>
      </c>
      <c r="CY179" s="16"/>
      <c r="CZ179" s="16">
        <f>IFERROR(__xludf.DUMMYFUNCTION("""COMPUTED_VALUE"""),3.0)</f>
        <v>3</v>
      </c>
      <c r="DA179" s="16"/>
      <c r="DB179" s="16"/>
      <c r="DC179" s="16"/>
      <c r="DD179" s="16"/>
      <c r="DE179" s="16"/>
      <c r="DF179" s="16">
        <f>IFERROR(__xludf.DUMMYFUNCTION("""COMPUTED_VALUE"""),8.0)</f>
        <v>8</v>
      </c>
      <c r="DG179" s="16"/>
      <c r="DH179" s="16">
        <f>IFERROR(__xludf.DUMMYFUNCTION("""COMPUTED_VALUE"""),8.0)</f>
        <v>8</v>
      </c>
      <c r="DI179" s="16"/>
      <c r="DJ179" s="16"/>
      <c r="DK179" s="16"/>
      <c r="DL179" s="16"/>
      <c r="DM179" s="16"/>
      <c r="DN179" s="16">
        <f>IFERROR(__xludf.DUMMYFUNCTION("""COMPUTED_VALUE"""),0.0)</f>
        <v>0</v>
      </c>
      <c r="DO179" s="16"/>
      <c r="DP179" s="16">
        <f>IFERROR(__xludf.DUMMYFUNCTION("""COMPUTED_VALUE"""),0.0)</f>
        <v>0</v>
      </c>
      <c r="DQ179" s="16"/>
      <c r="DR179" s="16"/>
      <c r="DS179" s="16"/>
      <c r="DT179" s="16"/>
      <c r="DU179" s="16"/>
      <c r="DV179" s="16">
        <f>IFERROR(__xludf.DUMMYFUNCTION("""COMPUTED_VALUE"""),0.0)</f>
        <v>0</v>
      </c>
      <c r="DW179" s="16"/>
      <c r="DX179" s="16">
        <f>IFERROR(__xludf.DUMMYFUNCTION("""COMPUTED_VALUE"""),0.0)</f>
        <v>0</v>
      </c>
      <c r="DY179" s="16"/>
      <c r="DZ179" s="16"/>
      <c r="EA179" s="16"/>
      <c r="EB179" s="16"/>
      <c r="EC179" s="16"/>
      <c r="ED179" s="16">
        <f>IFERROR(__xludf.DUMMYFUNCTION("""COMPUTED_VALUE"""),0.0)</f>
        <v>0</v>
      </c>
      <c r="EE179" s="16"/>
      <c r="EF179" s="16">
        <f>IFERROR(__xludf.DUMMYFUNCTION("""COMPUTED_VALUE"""),0.0)</f>
        <v>0</v>
      </c>
      <c r="EG179" s="179"/>
      <c r="EH179" s="179"/>
      <c r="EI179" s="179"/>
      <c r="EJ179" s="179"/>
      <c r="EK179" s="179"/>
      <c r="EL179" s="179">
        <f>IFERROR(__xludf.DUMMYFUNCTION("""COMPUTED_VALUE"""),3.0)</f>
        <v>3</v>
      </c>
      <c r="EM179" s="179"/>
      <c r="EN179" s="179">
        <f>IFERROR(__xludf.DUMMYFUNCTION("""COMPUTED_VALUE"""),3.0)</f>
        <v>3</v>
      </c>
      <c r="EO179" s="16"/>
      <c r="EP179" s="16"/>
      <c r="EQ179" s="16">
        <f>IFERROR(__xludf.DUMMYFUNCTION("""COMPUTED_VALUE"""),2.0)</f>
        <v>2</v>
      </c>
      <c r="ER179" s="16">
        <f>IFERROR(__xludf.DUMMYFUNCTION("""COMPUTED_VALUE"""),-4.0)</f>
        <v>-4</v>
      </c>
      <c r="ES179" s="16"/>
      <c r="ET179" s="16"/>
      <c r="EU179" s="16"/>
      <c r="EV179" s="16"/>
      <c r="EW179" s="16"/>
      <c r="EX179" s="180"/>
      <c r="EY179" s="180"/>
      <c r="EZ179" s="180"/>
      <c r="FA179" s="180"/>
      <c r="FB179" s="180"/>
      <c r="FC179" s="180">
        <f>IFERROR(__xludf.DUMMYFUNCTION("""COMPUTED_VALUE"""),0.3)</f>
        <v>0.3</v>
      </c>
      <c r="FD179" s="180"/>
      <c r="FE179" s="180">
        <f>IFERROR(__xludf.DUMMYFUNCTION("""COMPUTED_VALUE"""),0.3)</f>
        <v>0.3</v>
      </c>
      <c r="FF179" s="180"/>
      <c r="FG179" s="180"/>
      <c r="FH179" s="180"/>
      <c r="FI179" s="180"/>
      <c r="FJ179" s="180"/>
      <c r="FK179" s="180">
        <f>IFERROR(__xludf.DUMMYFUNCTION("""COMPUTED_VALUE"""),0.144)</f>
        <v>0.144</v>
      </c>
      <c r="FL179" s="180"/>
      <c r="FM179" s="180">
        <f>IFERROR(__xludf.DUMMYFUNCTION("""COMPUTED_VALUE"""),0.144)</f>
        <v>0.144</v>
      </c>
      <c r="FN179" s="16"/>
      <c r="FO179" s="16"/>
      <c r="FP179" s="16"/>
      <c r="FQ179" s="16"/>
      <c r="FR179" s="16"/>
      <c r="FS179" s="16">
        <f>IFERROR(__xludf.DUMMYFUNCTION("""COMPUTED_VALUE"""),0.5992)</f>
        <v>0.5992</v>
      </c>
      <c r="FT179" s="16"/>
      <c r="FU179" s="16">
        <f>IFERROR(__xludf.DUMMYFUNCTION("""COMPUTED_VALUE"""),0.5992)</f>
        <v>0.5992</v>
      </c>
      <c r="FV179" s="16"/>
      <c r="FW179" s="16"/>
      <c r="FX179" s="16"/>
      <c r="FY179" s="16"/>
      <c r="FZ179" s="16"/>
      <c r="GA179" s="16">
        <f>IFERROR(__xludf.DUMMYFUNCTION("""COMPUTED_VALUE"""),-6.0)</f>
        <v>-6</v>
      </c>
      <c r="GB179" s="16"/>
      <c r="GC179" s="16">
        <f>IFERROR(__xludf.DUMMYFUNCTION("""COMPUTED_VALUE"""),-6.0)</f>
        <v>-6</v>
      </c>
      <c r="GD179" s="16" t="s">
        <v>465</v>
      </c>
    </row>
    <row r="180">
      <c r="A180" s="16">
        <f>IFERROR(__xludf.DUMMYFUNCTION("""COMPUTED_VALUE"""),13333.0)</f>
        <v>13333</v>
      </c>
      <c r="B180" s="16" t="str">
        <f>IFERROR(__xludf.DUMMYFUNCTION("""COMPUTED_VALUE"""),"Ryan Jeffers")</f>
        <v>Ryan Jeffers</v>
      </c>
      <c r="C180" s="16">
        <f>IFERROR(__xludf.DUMMYFUNCTION("""COMPUTED_VALUE"""),1.31)</f>
        <v>1.31</v>
      </c>
      <c r="D180" s="16" t="str">
        <f>IFERROR(__xludf.DUMMYFUNCTION("""COMPUTED_VALUE"""),"R")</f>
        <v>R</v>
      </c>
      <c r="E180" s="16"/>
      <c r="F180" s="16"/>
      <c r="G180" s="16">
        <f>IFERROR(__xludf.DUMMYFUNCTION("""COMPUTED_VALUE"""),412.0)</f>
        <v>412</v>
      </c>
      <c r="H180" s="16">
        <f>IFERROR(__xludf.DUMMYFUNCTION("""COMPUTED_VALUE"""),32.0)</f>
        <v>32</v>
      </c>
      <c r="I180" s="16" t="str">
        <f>IFERROR(__xludf.DUMMYFUNCTION("""COMPUTED_VALUE"""),"2p60")</f>
        <v>2p60</v>
      </c>
      <c r="J180" s="16">
        <f>IFERROR(__xludf.DUMMYFUNCTION("""COMPUTED_VALUE"""),27.0)</f>
        <v>27</v>
      </c>
      <c r="K180" s="16">
        <f>IFERROR(__xludf.DUMMYFUNCTION("""COMPUTED_VALUE"""),16.0)</f>
        <v>16</v>
      </c>
      <c r="L180" s="16">
        <f>IFERROR(__xludf.DUMMYFUNCTION("""COMPUTED_VALUE"""),0.0)</f>
        <v>0</v>
      </c>
      <c r="M180" s="16">
        <f>IFERROR(__xludf.DUMMYFUNCTION("""COMPUTED_VALUE"""),1.0)</f>
        <v>1</v>
      </c>
      <c r="N180" s="16">
        <f>IFERROR(__xludf.DUMMYFUNCTION("""COMPUTED_VALUE"""),0.0)</f>
        <v>0</v>
      </c>
      <c r="O180" s="16">
        <f>IFERROR(__xludf.DUMMYFUNCTION("""COMPUTED_VALUE"""),1.0)</f>
        <v>1</v>
      </c>
      <c r="P180" s="16">
        <f>IFERROR(__xludf.DUMMYFUNCTION("""COMPUTED_VALUE"""),2.0)</f>
        <v>2</v>
      </c>
      <c r="Q180" s="16">
        <f>IFERROR(__xludf.DUMMYFUNCTION("""COMPUTED_VALUE"""),9.0)</f>
        <v>9</v>
      </c>
      <c r="R180" s="16">
        <f>IFERROR(__xludf.DUMMYFUNCTION("""COMPUTED_VALUE"""),-2.0)</f>
        <v>-2</v>
      </c>
      <c r="S180" s="16">
        <f>IFERROR(__xludf.DUMMYFUNCTION("""COMPUTED_VALUE"""),0.0)</f>
        <v>0</v>
      </c>
      <c r="T180" s="16">
        <f>IFERROR(__xludf.DUMMYFUNCTION("""COMPUTED_VALUE"""),-2.0)</f>
        <v>-2</v>
      </c>
      <c r="U180" s="16">
        <f>IFERROR(__xludf.DUMMYFUNCTION("""COMPUTED_VALUE"""),0.0)</f>
        <v>0</v>
      </c>
      <c r="V180" s="16">
        <f>IFERROR(__xludf.DUMMYFUNCTION("""COMPUTED_VALUE"""),18.5)</f>
        <v>18.5</v>
      </c>
      <c r="W180" s="16">
        <f>IFERROR(__xludf.DUMMYFUNCTION("""COMPUTED_VALUE"""),12.3)</f>
        <v>12.3</v>
      </c>
      <c r="X180" s="16">
        <f>IFERROR(__xludf.DUMMYFUNCTION("""COMPUTED_VALUE"""),0.0)</f>
        <v>0</v>
      </c>
      <c r="Y180" s="16">
        <f>IFERROR(__xludf.DUMMYFUNCTION("""COMPUTED_VALUE"""),-2.0)</f>
        <v>-2</v>
      </c>
      <c r="Z180" s="16">
        <f>IFERROR(__xludf.DUMMYFUNCTION("""COMPUTED_VALUE"""),0.0)</f>
        <v>0</v>
      </c>
      <c r="AA180" s="16">
        <f>IFERROR(__xludf.DUMMYFUNCTION("""COMPUTED_VALUE"""),-4.0)</f>
        <v>-4</v>
      </c>
      <c r="AB180" s="16">
        <f>IFERROR(__xludf.DUMMYFUNCTION("""COMPUTED_VALUE"""),27.5)</f>
        <v>27.5</v>
      </c>
      <c r="AC180" s="16">
        <f>IFERROR(__xludf.DUMMYFUNCTION("""COMPUTED_VALUE"""),28.3)</f>
        <v>28.3</v>
      </c>
      <c r="AD180" s="16">
        <f>IFERROR(__xludf.DUMMYFUNCTION("""COMPUTED_VALUE"""),0.0)</f>
        <v>0</v>
      </c>
      <c r="AE180" s="16">
        <f>IFERROR(__xludf.DUMMYFUNCTION("""COMPUTED_VALUE"""),-1.0)</f>
        <v>-1</v>
      </c>
      <c r="AF180" s="16">
        <f>IFERROR(__xludf.DUMMYFUNCTION("""COMPUTED_VALUE"""),0.0)</f>
        <v>0</v>
      </c>
      <c r="AG180" s="16">
        <f>IFERROR(__xludf.DUMMYFUNCTION("""COMPUTED_VALUE"""),-5.0)</f>
        <v>-5</v>
      </c>
      <c r="AH180" s="16">
        <f>IFERROR(__xludf.DUMMYFUNCTION("""COMPUTED_VALUE"""),44.8)</f>
        <v>44.8</v>
      </c>
      <c r="AI180" s="16">
        <f>IFERROR(__xludf.DUMMYFUNCTION("""COMPUTED_VALUE"""),25.1)</f>
        <v>25.1</v>
      </c>
      <c r="AJ180" s="16">
        <f>IFERROR(__xludf.DUMMYFUNCTION("""COMPUTED_VALUE"""),1.0)</f>
        <v>1</v>
      </c>
      <c r="AK180" s="16">
        <f>IFERROR(__xludf.DUMMYFUNCTION("""COMPUTED_VALUE"""),-1.0)</f>
        <v>-1</v>
      </c>
      <c r="AL180" s="16">
        <f>IFERROR(__xludf.DUMMYFUNCTION("""COMPUTED_VALUE"""),5.0)</f>
        <v>5</v>
      </c>
      <c r="AM180" s="16">
        <f>IFERROR(__xludf.DUMMYFUNCTION("""COMPUTED_VALUE"""),-5.0)</f>
        <v>-5</v>
      </c>
      <c r="AN180" s="16">
        <f>IFERROR(__xludf.DUMMYFUNCTION("""COMPUTED_VALUE"""),7.0)</f>
        <v>7</v>
      </c>
      <c r="AO180" s="16">
        <f>IFERROR(__xludf.DUMMYFUNCTION("""COMPUTED_VALUE"""),2.6)</f>
        <v>2.6</v>
      </c>
      <c r="AP180" s="16">
        <f>IFERROR(__xludf.DUMMYFUNCTION("""COMPUTED_VALUE"""),3.0)</f>
        <v>3</v>
      </c>
      <c r="AQ180" s="16">
        <f>IFERROR(__xludf.DUMMYFUNCTION("""COMPUTED_VALUE"""),0.0)</f>
        <v>0</v>
      </c>
      <c r="AR180" s="16">
        <f>IFERROR(__xludf.DUMMYFUNCTION("""COMPUTED_VALUE"""),6.0)</f>
        <v>6</v>
      </c>
      <c r="AS180" s="16">
        <f>IFERROR(__xludf.DUMMYFUNCTION("""COMPUTED_VALUE"""),0.0)</f>
        <v>0</v>
      </c>
      <c r="AT180" s="16">
        <f>IFERROR(__xludf.DUMMYFUNCTION("""COMPUTED_VALUE"""),8.0)</f>
        <v>8</v>
      </c>
      <c r="AU180" s="16">
        <f>IFERROR(__xludf.DUMMYFUNCTION("""COMPUTED_VALUE"""),5.0)</f>
        <v>5</v>
      </c>
      <c r="AV180" s="16">
        <f>IFERROR(__xludf.DUMMYFUNCTION("""COMPUTED_VALUE"""),8.0)</f>
        <v>8</v>
      </c>
      <c r="AW180" s="16">
        <f>IFERROR(__xludf.DUMMYFUNCTION("""COMPUTED_VALUE"""),5.0)</f>
        <v>5</v>
      </c>
      <c r="AX180" s="16">
        <f>IFERROR(__xludf.DUMMYFUNCTION("""COMPUTED_VALUE"""),3.0)</f>
        <v>3</v>
      </c>
      <c r="AY180" s="16">
        <f>IFERROR(__xludf.DUMMYFUNCTION("""COMPUTED_VALUE"""),2.0)</f>
        <v>2</v>
      </c>
      <c r="AZ180" s="16">
        <f>IFERROR(__xludf.DUMMYFUNCTION("""COMPUTED_VALUE"""),9.0)</f>
        <v>9</v>
      </c>
      <c r="BA180" s="16">
        <f>IFERROR(__xludf.DUMMYFUNCTION("""COMPUTED_VALUE"""),6.0)</f>
        <v>6</v>
      </c>
      <c r="BB180" s="16">
        <f>IFERROR(__xludf.DUMMYFUNCTION("""COMPUTED_VALUE"""),5.0)</f>
        <v>5</v>
      </c>
      <c r="BC180" s="16">
        <f>IFERROR(__xludf.DUMMYFUNCTION("""COMPUTED_VALUE"""),5.0)</f>
        <v>5</v>
      </c>
      <c r="BD180" s="16">
        <f>IFERROR(__xludf.DUMMYFUNCTION("""COMPUTED_VALUE"""),1.0)</f>
        <v>1</v>
      </c>
      <c r="BE180" s="16">
        <f>IFERROR(__xludf.DUMMYFUNCTION("""COMPUTED_VALUE"""),1.0)</f>
        <v>1</v>
      </c>
      <c r="BF180" s="16">
        <f>IFERROR(__xludf.DUMMYFUNCTION("""COMPUTED_VALUE"""),1.0)</f>
        <v>1</v>
      </c>
      <c r="BG180" s="16">
        <f>IFERROR(__xludf.DUMMYFUNCTION("""COMPUTED_VALUE"""),1.0)</f>
        <v>1</v>
      </c>
      <c r="BH180" s="16">
        <f>IFERROR(__xludf.DUMMYFUNCTION("""COMPUTED_VALUE"""),-5.0)</f>
        <v>-5</v>
      </c>
      <c r="BI180" s="16">
        <f>IFERROR(__xludf.DUMMYFUNCTION("""COMPUTED_VALUE"""),-2.0)</f>
        <v>-2</v>
      </c>
      <c r="BJ180" s="16">
        <f>IFERROR(__xludf.DUMMYFUNCTION("""COMPUTED_VALUE"""),16.0)</f>
        <v>16</v>
      </c>
      <c r="BK180" s="16">
        <f>IFERROR(__xludf.DUMMYFUNCTION("""COMPUTED_VALUE"""),14.0)</f>
        <v>14</v>
      </c>
      <c r="BL180" s="16">
        <f>IFERROR(__xludf.DUMMYFUNCTION("""COMPUTED_VALUE"""),-1.0)</f>
        <v>-1</v>
      </c>
      <c r="BM180" s="16">
        <f>IFERROR(__xludf.DUMMYFUNCTION("""COMPUTED_VALUE"""),0.0)</f>
        <v>0</v>
      </c>
      <c r="BN180" s="16">
        <f>IFERROR(__xludf.DUMMYFUNCTION("""COMPUTED_VALUE"""),-2.0)</f>
        <v>-2</v>
      </c>
      <c r="BO180" s="16">
        <f>IFERROR(__xludf.DUMMYFUNCTION("""COMPUTED_VALUE"""),0.0)</f>
        <v>0</v>
      </c>
      <c r="BP180" s="16">
        <f>IFERROR(__xludf.DUMMYFUNCTION("""COMPUTED_VALUE"""),5.0)</f>
        <v>5</v>
      </c>
      <c r="BQ180" s="16">
        <f>IFERROR(__xludf.DUMMYFUNCTION("""COMPUTED_VALUE"""),0.0)</f>
        <v>0</v>
      </c>
      <c r="BR180" s="16">
        <f>IFERROR(__xludf.DUMMYFUNCTION("""COMPUTED_VALUE"""),5.0)</f>
        <v>5</v>
      </c>
      <c r="BS180" s="16" t="str">
        <f>IFERROR(__xludf.DUMMYFUNCTION("""COMPUTED_VALUE"""),"2/- (20-6)")</f>
        <v>2/- (20-6)</v>
      </c>
      <c r="BT180" s="16" t="str">
        <f>IFERROR(__xludf.DUMMYFUNCTION("""COMPUTED_VALUE"""),"D")</f>
        <v>D</v>
      </c>
      <c r="BU180" s="16">
        <f>IFERROR(__xludf.DUMMYFUNCTION("""COMPUTED_VALUE"""),11.0)</f>
        <v>11</v>
      </c>
      <c r="BV180" s="16">
        <f>IFERROR(__xludf.DUMMYFUNCTION("""COMPUTED_VALUE"""),0.0)</f>
        <v>0</v>
      </c>
      <c r="BW180" s="16">
        <f>IFERROR(__xludf.DUMMYFUNCTION("""COMPUTED_VALUE"""),0.0)</f>
        <v>0</v>
      </c>
      <c r="BX180" s="16">
        <f>IFERROR(__xludf.DUMMYFUNCTION("""COMPUTED_VALUE"""),0.0)</f>
        <v>0</v>
      </c>
      <c r="BY180" s="16">
        <f>IFERROR(__xludf.DUMMYFUNCTION("""COMPUTED_VALUE"""),0.0)</f>
        <v>0</v>
      </c>
      <c r="BZ180" s="16" t="str">
        <f>IFERROR(__xludf.DUMMYFUNCTION("""COMPUTED_VALUE"""),"D")</f>
        <v>D</v>
      </c>
      <c r="CA180" s="16" t="str">
        <f>IFERROR(__xludf.DUMMYFUNCTION("""COMPUTED_VALUE"""),"C")</f>
        <v>C</v>
      </c>
      <c r="CB180" s="16">
        <f>IFERROR(__xludf.DUMMYFUNCTION("""COMPUTED_VALUE"""),0.0)</f>
        <v>0</v>
      </c>
      <c r="CC180" s="16">
        <f>IFERROR(__xludf.DUMMYFUNCTION("""COMPUTED_VALUE"""),0.0)</f>
        <v>0</v>
      </c>
      <c r="CD180" s="16">
        <f>IFERROR(__xludf.DUMMYFUNCTION("""COMPUTED_VALUE"""),0.0)</f>
        <v>0</v>
      </c>
      <c r="CE180" s="16">
        <f>IFERROR(__xludf.DUMMYFUNCTION("""COMPUTED_VALUE"""),0.0)</f>
        <v>0</v>
      </c>
      <c r="CF180" s="16">
        <f>IFERROR(__xludf.DUMMYFUNCTION("""COMPUTED_VALUE"""),2.0)</f>
        <v>2</v>
      </c>
      <c r="CG180" s="16">
        <f>IFERROR(__xludf.DUMMYFUNCTION("""COMPUTED_VALUE"""),17.0)</f>
        <v>17</v>
      </c>
      <c r="CH180" s="16">
        <f>IFERROR(__xludf.DUMMYFUNCTION("""COMPUTED_VALUE"""),-6.0)</f>
        <v>-6</v>
      </c>
      <c r="CI180" s="179">
        <f>IFERROR(__xludf.DUMMYFUNCTION("""COMPUTED_VALUE"""),3.0)</f>
        <v>3</v>
      </c>
      <c r="CJ180" s="16">
        <f>IFERROR(__xludf.DUMMYFUNCTION("""COMPUTED_VALUE"""),408.0)</f>
        <v>408</v>
      </c>
      <c r="CK180" s="16"/>
      <c r="CL180" s="16"/>
      <c r="CM180" s="16"/>
      <c r="CN180" s="16"/>
      <c r="CO180" s="16"/>
      <c r="CP180" s="16"/>
      <c r="CQ180" s="16"/>
      <c r="CR180" s="16" t="str">
        <f>IFERROR(__xludf.DUMMYFUNCTION("""COMPUTED_VALUE"""),"c-4(+1)e8,T-4(pb-0)")</f>
        <v>c-4(+1)e8,T-4(pb-0)</v>
      </c>
      <c r="CS180" s="16">
        <f>IFERROR(__xludf.DUMMYFUNCTION("""COMPUTED_VALUE"""),4.0)</f>
        <v>4</v>
      </c>
      <c r="CT180" s="16"/>
      <c r="CU180" s="16"/>
      <c r="CV180" s="16"/>
      <c r="CW180" s="16"/>
      <c r="CX180" s="16"/>
      <c r="CY180" s="16"/>
      <c r="CZ180" s="16"/>
      <c r="DA180" s="16">
        <f>IFERROR(__xludf.DUMMYFUNCTION("""COMPUTED_VALUE"""),8.0)</f>
        <v>8</v>
      </c>
      <c r="DB180" s="16"/>
      <c r="DC180" s="16"/>
      <c r="DD180" s="16"/>
      <c r="DE180" s="16"/>
      <c r="DF180" s="16"/>
      <c r="DG180" s="16"/>
      <c r="DH180" s="16"/>
      <c r="DI180" s="16">
        <f>IFERROR(__xludf.DUMMYFUNCTION("""COMPUTED_VALUE"""),-2.0)</f>
        <v>-2</v>
      </c>
      <c r="DJ180" s="16"/>
      <c r="DK180" s="16"/>
      <c r="DL180" s="16"/>
      <c r="DM180" s="16"/>
      <c r="DN180" s="16"/>
      <c r="DO180" s="16"/>
      <c r="DP180" s="16"/>
      <c r="DQ180" s="16">
        <f>IFERROR(__xludf.DUMMYFUNCTION("""COMPUTED_VALUE"""),0.0)</f>
        <v>0</v>
      </c>
      <c r="DR180" s="16"/>
      <c r="DS180" s="16"/>
      <c r="DT180" s="16"/>
      <c r="DU180" s="16"/>
      <c r="DV180" s="16"/>
      <c r="DW180" s="16"/>
      <c r="DX180" s="16"/>
      <c r="DY180" s="16">
        <f>IFERROR(__xludf.DUMMYFUNCTION("""COMPUTED_VALUE"""),-2.0)</f>
        <v>-2</v>
      </c>
      <c r="DZ180" s="16"/>
      <c r="EA180" s="16"/>
      <c r="EB180" s="16"/>
      <c r="EC180" s="16"/>
      <c r="ED180" s="16"/>
      <c r="EE180" s="16"/>
      <c r="EF180" s="16"/>
      <c r="EG180" s="179">
        <f>IFERROR(__xludf.DUMMYFUNCTION("""COMPUTED_VALUE"""),2.0)</f>
        <v>2</v>
      </c>
      <c r="EH180" s="179"/>
      <c r="EI180" s="179"/>
      <c r="EJ180" s="179"/>
      <c r="EK180" s="179"/>
      <c r="EL180" s="179"/>
      <c r="EM180" s="179"/>
      <c r="EN180" s="179"/>
      <c r="EO180" s="16">
        <f>IFERROR(__xludf.DUMMYFUNCTION("""COMPUTED_VALUE"""),1.0)</f>
        <v>1</v>
      </c>
      <c r="EP180" s="16"/>
      <c r="EQ180" s="16">
        <f>IFERROR(__xludf.DUMMYFUNCTION("""COMPUTED_VALUE"""),2.0)</f>
        <v>2</v>
      </c>
      <c r="ER180" s="16">
        <f>IFERROR(__xludf.DUMMYFUNCTION("""COMPUTED_VALUE"""),1.0)</f>
        <v>1</v>
      </c>
      <c r="ES180" s="16" t="str">
        <f>IFERROR(__xludf.DUMMYFUNCTION("""COMPUTED_VALUE"""),"c-4")</f>
        <v>c-4</v>
      </c>
      <c r="ET180" s="16" t="str">
        <f>IFERROR(__xludf.DUMMYFUNCTION("""COMPUTED_VALUE"""),"+1)e8,T-4")</f>
        <v>+1)e8,T-4</v>
      </c>
      <c r="EU180" s="16" t="str">
        <f>IFERROR(__xludf.DUMMYFUNCTION("""COMPUTED_VALUE"""),"pb-0)")</f>
        <v>pb-0)</v>
      </c>
      <c r="EV180" s="16"/>
      <c r="EW180" s="16">
        <f>IFERROR(__xludf.DUMMYFUNCTION("""COMPUTED_VALUE"""),1.0)</f>
        <v>1</v>
      </c>
      <c r="EX180" s="180">
        <f>IFERROR(__xludf.DUMMYFUNCTION("""COMPUTED_VALUE"""),0.3)</f>
        <v>0.3</v>
      </c>
      <c r="EY180" s="180"/>
      <c r="EZ180" s="180"/>
      <c r="FA180" s="180"/>
      <c r="FB180" s="180"/>
      <c r="FC180" s="180"/>
      <c r="FD180" s="180"/>
      <c r="FE180" s="180"/>
      <c r="FF180" s="180">
        <f>IFERROR(__xludf.DUMMYFUNCTION("""COMPUTED_VALUE"""),0.097)</f>
        <v>0.097</v>
      </c>
      <c r="FG180" s="180"/>
      <c r="FH180" s="180"/>
      <c r="FI180" s="180"/>
      <c r="FJ180" s="180"/>
      <c r="FK180" s="180"/>
      <c r="FL180" s="180"/>
      <c r="FM180" s="180"/>
      <c r="FN180" s="16">
        <f>IFERROR(__xludf.DUMMYFUNCTION("""COMPUTED_VALUE"""),0.6321)</f>
        <v>0.6321</v>
      </c>
      <c r="FO180" s="16"/>
      <c r="FP180" s="16"/>
      <c r="FQ180" s="16"/>
      <c r="FR180" s="16"/>
      <c r="FS180" s="16"/>
      <c r="FT180" s="16"/>
      <c r="FU180" s="16"/>
      <c r="FV180" s="16">
        <f>IFERROR(__xludf.DUMMYFUNCTION("""COMPUTED_VALUE"""),-7.0)</f>
        <v>-7</v>
      </c>
      <c r="FW180" s="16"/>
      <c r="FX180" s="16"/>
      <c r="FY180" s="16"/>
      <c r="FZ180" s="16"/>
      <c r="GA180" s="16"/>
      <c r="GB180" s="16"/>
      <c r="GC180" s="16"/>
      <c r="GD180" s="16" t="s">
        <v>176</v>
      </c>
    </row>
    <row r="181">
      <c r="A181" s="16">
        <f>IFERROR(__xludf.DUMMYFUNCTION("""COMPUTED_VALUE"""),12558.0)</f>
        <v>12558</v>
      </c>
      <c r="B181" s="16" t="str">
        <f>IFERROR(__xludf.DUMMYFUNCTION("""COMPUTED_VALUE"""),"Anthony Volpe")</f>
        <v>Anthony Volpe</v>
      </c>
      <c r="C181" s="16">
        <f>IFERROR(__xludf.DUMMYFUNCTION("""COMPUTED_VALUE"""),1.43)</f>
        <v>1.43</v>
      </c>
      <c r="D181" s="16" t="str">
        <f>IFERROR(__xludf.DUMMYFUNCTION("""COMPUTED_VALUE"""),"R")</f>
        <v>R</v>
      </c>
      <c r="E181" s="16"/>
      <c r="F181" s="16"/>
      <c r="G181" s="16">
        <f>IFERROR(__xludf.DUMMYFUNCTION("""COMPUTED_VALUE"""),637.0)</f>
        <v>637</v>
      </c>
      <c r="H181" s="16">
        <f>IFERROR(__xludf.DUMMYFUNCTION("""COMPUTED_VALUE"""),42.0)</f>
        <v>42</v>
      </c>
      <c r="I181" s="16" t="str">
        <f>IFERROR(__xludf.DUMMYFUNCTION("""COMPUTED_VALUE"""),"1p70")</f>
        <v>1p70</v>
      </c>
      <c r="J181" s="16">
        <f>IFERROR(__xludf.DUMMYFUNCTION("""COMPUTED_VALUE"""),21.0)</f>
        <v>21</v>
      </c>
      <c r="K181" s="16">
        <f>IFERROR(__xludf.DUMMYFUNCTION("""COMPUTED_VALUE"""),26.0)</f>
        <v>26</v>
      </c>
      <c r="L181" s="16">
        <f>IFERROR(__xludf.DUMMYFUNCTION("""COMPUTED_VALUE"""),0.0)</f>
        <v>0</v>
      </c>
      <c r="M181" s="16">
        <f>IFERROR(__xludf.DUMMYFUNCTION("""COMPUTED_VALUE"""),0.0)</f>
        <v>0</v>
      </c>
      <c r="N181" s="16">
        <f>IFERROR(__xludf.DUMMYFUNCTION("""COMPUTED_VALUE"""),0.0)</f>
        <v>0</v>
      </c>
      <c r="O181" s="16">
        <f>IFERROR(__xludf.DUMMYFUNCTION("""COMPUTED_VALUE"""),0.0)</f>
        <v>0</v>
      </c>
      <c r="P181" s="16">
        <f>IFERROR(__xludf.DUMMYFUNCTION("""COMPUTED_VALUE"""),7.0)</f>
        <v>7</v>
      </c>
      <c r="Q181" s="16">
        <f>IFERROR(__xludf.DUMMYFUNCTION("""COMPUTED_VALUE"""),4.0)</f>
        <v>4</v>
      </c>
      <c r="R181" s="16">
        <f>IFERROR(__xludf.DUMMYFUNCTION("""COMPUTED_VALUE"""),-1.0)</f>
        <v>-1</v>
      </c>
      <c r="S181" s="16">
        <f>IFERROR(__xludf.DUMMYFUNCTION("""COMPUTED_VALUE"""),-2.0)</f>
        <v>-2</v>
      </c>
      <c r="T181" s="16">
        <f>IFERROR(__xludf.DUMMYFUNCTION("""COMPUTED_VALUE"""),-1.0)</f>
        <v>-1</v>
      </c>
      <c r="U181" s="16">
        <f>IFERROR(__xludf.DUMMYFUNCTION("""COMPUTED_VALUE"""),-2.0)</f>
        <v>-2</v>
      </c>
      <c r="V181" s="16">
        <f>IFERROR(__xludf.DUMMYFUNCTION("""COMPUTED_VALUE"""),22.8)</f>
        <v>22.8</v>
      </c>
      <c r="W181" s="16">
        <f>IFERROR(__xludf.DUMMYFUNCTION("""COMPUTED_VALUE"""),23.5)</f>
        <v>23.5</v>
      </c>
      <c r="X181" s="16">
        <f>IFERROR(__xludf.DUMMYFUNCTION("""COMPUTED_VALUE"""),0.0)</f>
        <v>0</v>
      </c>
      <c r="Y181" s="16">
        <f>IFERROR(__xludf.DUMMYFUNCTION("""COMPUTED_VALUE"""),1.0)</f>
        <v>1</v>
      </c>
      <c r="Z181" s="16">
        <f>IFERROR(__xludf.DUMMYFUNCTION("""COMPUTED_VALUE"""),0.0)</f>
        <v>0</v>
      </c>
      <c r="AA181" s="16">
        <f>IFERROR(__xludf.DUMMYFUNCTION("""COMPUTED_VALUE"""),2.0)</f>
        <v>2</v>
      </c>
      <c r="AB181" s="16">
        <f>IFERROR(__xludf.DUMMYFUNCTION("""COMPUTED_VALUE"""),30.8)</f>
        <v>30.8</v>
      </c>
      <c r="AC181" s="16">
        <f>IFERROR(__xludf.DUMMYFUNCTION("""COMPUTED_VALUE"""),28.5)</f>
        <v>28.5</v>
      </c>
      <c r="AD181" s="16">
        <f>IFERROR(__xludf.DUMMYFUNCTION("""COMPUTED_VALUE"""),0.0)</f>
        <v>0</v>
      </c>
      <c r="AE181" s="16">
        <f>IFERROR(__xludf.DUMMYFUNCTION("""COMPUTED_VALUE"""),0.0)</f>
        <v>0</v>
      </c>
      <c r="AF181" s="16">
        <f>IFERROR(__xludf.DUMMYFUNCTION("""COMPUTED_VALUE"""),0.0)</f>
        <v>0</v>
      </c>
      <c r="AG181" s="16">
        <f>IFERROR(__xludf.DUMMYFUNCTION("""COMPUTED_VALUE"""),0.0)</f>
        <v>0</v>
      </c>
      <c r="AH181" s="16">
        <f>IFERROR(__xludf.DUMMYFUNCTION("""COMPUTED_VALUE"""),37.9)</f>
        <v>37.9</v>
      </c>
      <c r="AI181" s="16">
        <f>IFERROR(__xludf.DUMMYFUNCTION("""COMPUTED_VALUE"""),32.6)</f>
        <v>32.6</v>
      </c>
      <c r="AJ181" s="16">
        <f>IFERROR(__xludf.DUMMYFUNCTION("""COMPUTED_VALUE"""),1.0)</f>
        <v>1</v>
      </c>
      <c r="AK181" s="16">
        <f>IFERROR(__xludf.DUMMYFUNCTION("""COMPUTED_VALUE"""),0.0)</f>
        <v>0</v>
      </c>
      <c r="AL181" s="16">
        <f>IFERROR(__xludf.DUMMYFUNCTION("""COMPUTED_VALUE"""),5.0)</f>
        <v>5</v>
      </c>
      <c r="AM181" s="16">
        <f>IFERROR(__xludf.DUMMYFUNCTION("""COMPUTED_VALUE"""),0.0)</f>
        <v>0</v>
      </c>
      <c r="AN181" s="16">
        <f>IFERROR(__xludf.DUMMYFUNCTION("""COMPUTED_VALUE"""),3.5)</f>
        <v>3.5</v>
      </c>
      <c r="AO181" s="16">
        <f>IFERROR(__xludf.DUMMYFUNCTION("""COMPUTED_VALUE"""),0.5)</f>
        <v>0.5</v>
      </c>
      <c r="AP181" s="16">
        <f>IFERROR(__xludf.DUMMYFUNCTION("""COMPUTED_VALUE"""),1.0)</f>
        <v>1</v>
      </c>
      <c r="AQ181" s="16">
        <f>IFERROR(__xludf.DUMMYFUNCTION("""COMPUTED_VALUE"""),-2.0)</f>
        <v>-2</v>
      </c>
      <c r="AR181" s="16">
        <f>IFERROR(__xludf.DUMMYFUNCTION("""COMPUTED_VALUE"""),2.0)</f>
        <v>2</v>
      </c>
      <c r="AS181" s="16">
        <f>IFERROR(__xludf.DUMMYFUNCTION("""COMPUTED_VALUE"""),-4.0)</f>
        <v>-4</v>
      </c>
      <c r="AT181" s="16"/>
      <c r="AU181" s="16">
        <f>IFERROR(__xludf.DUMMYFUNCTION("""COMPUTED_VALUE"""),0.0)</f>
        <v>0</v>
      </c>
      <c r="AV181" s="16">
        <f>IFERROR(__xludf.DUMMYFUNCTION("""COMPUTED_VALUE"""),-3.0)</f>
        <v>-3</v>
      </c>
      <c r="AW181" s="16">
        <f>IFERROR(__xludf.DUMMYFUNCTION("""COMPUTED_VALUE"""),0.0)</f>
        <v>0</v>
      </c>
      <c r="AX181" s="16">
        <f>IFERROR(__xludf.DUMMYFUNCTION("""COMPUTED_VALUE"""),-3.0)</f>
        <v>-3</v>
      </c>
      <c r="AY181" s="16">
        <f>IFERROR(__xludf.DUMMYFUNCTION("""COMPUTED_VALUE"""),-2.0)</f>
        <v>-2</v>
      </c>
      <c r="AZ181" s="16">
        <f>IFERROR(__xludf.DUMMYFUNCTION("""COMPUTED_VALUE"""),-9.0)</f>
        <v>-9</v>
      </c>
      <c r="BA181" s="16">
        <f>IFERROR(__xludf.DUMMYFUNCTION("""COMPUTED_VALUE"""),-6.0)</f>
        <v>-6</v>
      </c>
      <c r="BB181" s="16">
        <f>IFERROR(__xludf.DUMMYFUNCTION("""COMPUTED_VALUE"""),5.0)</f>
        <v>5</v>
      </c>
      <c r="BC181" s="16">
        <f>IFERROR(__xludf.DUMMYFUNCTION("""COMPUTED_VALUE"""),5.0)</f>
        <v>5</v>
      </c>
      <c r="BD181" s="16">
        <f>IFERROR(__xludf.DUMMYFUNCTION("""COMPUTED_VALUE"""),1.0)</f>
        <v>1</v>
      </c>
      <c r="BE181" s="16">
        <f>IFERROR(__xludf.DUMMYFUNCTION("""COMPUTED_VALUE"""),1.0)</f>
        <v>1</v>
      </c>
      <c r="BF181" s="16">
        <f>IFERROR(__xludf.DUMMYFUNCTION("""COMPUTED_VALUE"""),1.0)</f>
        <v>1</v>
      </c>
      <c r="BG181" s="16">
        <f>IFERROR(__xludf.DUMMYFUNCTION("""COMPUTED_VALUE"""),1.0)</f>
        <v>1</v>
      </c>
      <c r="BH181" s="16">
        <f>IFERROR(__xludf.DUMMYFUNCTION("""COMPUTED_VALUE"""),-9.0)</f>
        <v>-9</v>
      </c>
      <c r="BI181" s="16">
        <f>IFERROR(__xludf.DUMMYFUNCTION("""COMPUTED_VALUE"""),-9.0)</f>
        <v>-9</v>
      </c>
      <c r="BJ181" s="16">
        <f>IFERROR(__xludf.DUMMYFUNCTION("""COMPUTED_VALUE"""),9.0)</f>
        <v>9</v>
      </c>
      <c r="BK181" s="16">
        <f>IFERROR(__xludf.DUMMYFUNCTION("""COMPUTED_VALUE"""),10.0)</f>
        <v>10</v>
      </c>
      <c r="BL181" s="16">
        <f>IFERROR(__xludf.DUMMYFUNCTION("""COMPUTED_VALUE"""),0.0)</f>
        <v>0</v>
      </c>
      <c r="BM181" s="16">
        <f>IFERROR(__xludf.DUMMYFUNCTION("""COMPUTED_VALUE"""),0.0)</f>
        <v>0</v>
      </c>
      <c r="BN181" s="16">
        <f>IFERROR(__xludf.DUMMYFUNCTION("""COMPUTED_VALUE"""),0.0)</f>
        <v>0</v>
      </c>
      <c r="BO181" s="16">
        <f>IFERROR(__xludf.DUMMYFUNCTION("""COMPUTED_VALUE"""),0.0)</f>
        <v>0</v>
      </c>
      <c r="BP181" s="16">
        <f>IFERROR(__xludf.DUMMYFUNCTION("""COMPUTED_VALUE"""),-1.0)</f>
        <v>-1</v>
      </c>
      <c r="BQ181" s="16">
        <f>IFERROR(__xludf.DUMMYFUNCTION("""COMPUTED_VALUE"""),-4.0)</f>
        <v>-4</v>
      </c>
      <c r="BR181" s="16">
        <f>IFERROR(__xludf.DUMMYFUNCTION("""COMPUTED_VALUE"""),-5.0)</f>
        <v>-5</v>
      </c>
      <c r="BS181" s="16" t="str">
        <f>IFERROR(__xludf.DUMMYFUNCTION("""COMPUTED_VALUE"""),"*2-5/- (19-13)")</f>
        <v>*2-5/- (19-13)</v>
      </c>
      <c r="BT181" s="16" t="str">
        <f>IFERROR(__xludf.DUMMYFUNCTION("""COMPUTED_VALUE"""),"A")</f>
        <v>A</v>
      </c>
      <c r="BU181" s="16">
        <f>IFERROR(__xludf.DUMMYFUNCTION("""COMPUTED_VALUE"""),16.0)</f>
        <v>16</v>
      </c>
      <c r="BV181" s="16">
        <f>IFERROR(__xludf.DUMMYFUNCTION("""COMPUTED_VALUE"""),2.0)</f>
        <v>2</v>
      </c>
      <c r="BW181" s="16">
        <f>IFERROR(__xludf.DUMMYFUNCTION("""COMPUTED_VALUE"""),2.0)</f>
        <v>2</v>
      </c>
      <c r="BX181" s="16">
        <f>IFERROR(__xludf.DUMMYFUNCTION("""COMPUTED_VALUE"""),4.0)</f>
        <v>4</v>
      </c>
      <c r="BY181" s="16">
        <f>IFERROR(__xludf.DUMMYFUNCTION("""COMPUTED_VALUE"""),6.0)</f>
        <v>6</v>
      </c>
      <c r="BZ181" s="16" t="str">
        <f>IFERROR(__xludf.DUMMYFUNCTION("""COMPUTED_VALUE"""),"D")</f>
        <v>D</v>
      </c>
      <c r="CA181" s="16" t="str">
        <f>IFERROR(__xludf.DUMMYFUNCTION("""COMPUTED_VALUE"""),"B")</f>
        <v>B</v>
      </c>
      <c r="CB181" s="16">
        <f>IFERROR(__xludf.DUMMYFUNCTION("""COMPUTED_VALUE"""),0.0)</f>
        <v>0</v>
      </c>
      <c r="CC181" s="16">
        <f>IFERROR(__xludf.DUMMYFUNCTION("""COMPUTED_VALUE"""),1.0)</f>
        <v>1</v>
      </c>
      <c r="CD181" s="16">
        <f>IFERROR(__xludf.DUMMYFUNCTION("""COMPUTED_VALUE"""),0.0)</f>
        <v>0</v>
      </c>
      <c r="CE181" s="16">
        <f>IFERROR(__xludf.DUMMYFUNCTION("""COMPUTED_VALUE"""),2.0)</f>
        <v>2</v>
      </c>
      <c r="CF181" s="16">
        <f>IFERROR(__xludf.DUMMYFUNCTION("""COMPUTED_VALUE"""),1.0)</f>
        <v>1</v>
      </c>
      <c r="CG181" s="16">
        <f>IFERROR(__xludf.DUMMYFUNCTION("""COMPUTED_VALUE"""),-2.0)</f>
        <v>-2</v>
      </c>
      <c r="CH181" s="16">
        <f>IFERROR(__xludf.DUMMYFUNCTION("""COMPUTED_VALUE"""),-9.0)</f>
        <v>-9</v>
      </c>
      <c r="CI181" s="179">
        <f>IFERROR(__xludf.DUMMYFUNCTION("""COMPUTED_VALUE"""),3.0)</f>
        <v>3</v>
      </c>
      <c r="CJ181" s="16"/>
      <c r="CK181" s="16"/>
      <c r="CL181" s="16"/>
      <c r="CM181" s="16"/>
      <c r="CN181" s="16">
        <f>IFERROR(__xludf.DUMMYFUNCTION("""COMPUTED_VALUE"""),116.0)</f>
        <v>116</v>
      </c>
      <c r="CO181" s="16"/>
      <c r="CP181" s="16"/>
      <c r="CQ181" s="16"/>
      <c r="CR181" s="16" t="str">
        <f>IFERROR(__xludf.DUMMYFUNCTION("""COMPUTED_VALUE"""),"ss-1e16")</f>
        <v>ss-1e16</v>
      </c>
      <c r="CS181" s="16"/>
      <c r="CT181" s="16"/>
      <c r="CU181" s="16"/>
      <c r="CV181" s="16"/>
      <c r="CW181" s="16">
        <f>IFERROR(__xludf.DUMMYFUNCTION("""COMPUTED_VALUE"""),1.0)</f>
        <v>1</v>
      </c>
      <c r="CX181" s="16"/>
      <c r="CY181" s="16"/>
      <c r="CZ181" s="16"/>
      <c r="DA181" s="16"/>
      <c r="DB181" s="16"/>
      <c r="DC181" s="16"/>
      <c r="DD181" s="16"/>
      <c r="DE181" s="16">
        <f>IFERROR(__xludf.DUMMYFUNCTION("""COMPUTED_VALUE"""),16.0)</f>
        <v>16</v>
      </c>
      <c r="DF181" s="16"/>
      <c r="DG181" s="16"/>
      <c r="DH181" s="16"/>
      <c r="DI181" s="16"/>
      <c r="DJ181" s="16"/>
      <c r="DK181" s="16"/>
      <c r="DL181" s="16"/>
      <c r="DM181" s="16">
        <f>IFERROR(__xludf.DUMMYFUNCTION("""COMPUTED_VALUE"""),5.0)</f>
        <v>5</v>
      </c>
      <c r="DN181" s="16"/>
      <c r="DO181" s="16"/>
      <c r="DP181" s="16"/>
      <c r="DQ181" s="16"/>
      <c r="DR181" s="16"/>
      <c r="DS181" s="16"/>
      <c r="DT181" s="16"/>
      <c r="DU181" s="16">
        <f>IFERROR(__xludf.DUMMYFUNCTION("""COMPUTED_VALUE"""),2.0)</f>
        <v>2</v>
      </c>
      <c r="DV181" s="16"/>
      <c r="DW181" s="16"/>
      <c r="DX181" s="16"/>
      <c r="DY181" s="16"/>
      <c r="DZ181" s="16"/>
      <c r="EA181" s="16"/>
      <c r="EB181" s="16"/>
      <c r="EC181" s="16">
        <f>IFERROR(__xludf.DUMMYFUNCTION("""COMPUTED_VALUE"""),7.0)</f>
        <v>7</v>
      </c>
      <c r="ED181" s="16"/>
      <c r="EE181" s="16"/>
      <c r="EF181" s="16"/>
      <c r="EG181" s="179"/>
      <c r="EH181" s="179"/>
      <c r="EI181" s="179"/>
      <c r="EJ181" s="179"/>
      <c r="EK181" s="179">
        <f>IFERROR(__xludf.DUMMYFUNCTION("""COMPUTED_VALUE"""),10.0)</f>
        <v>10</v>
      </c>
      <c r="EL181" s="179"/>
      <c r="EM181" s="179"/>
      <c r="EN181" s="179"/>
      <c r="EO181" s="16"/>
      <c r="EP181" s="16">
        <f>IFERROR(__xludf.DUMMYFUNCTION("""COMPUTED_VALUE"""),1.0)</f>
        <v>1</v>
      </c>
      <c r="EQ181" s="16">
        <f>IFERROR(__xludf.DUMMYFUNCTION("""COMPUTED_VALUE"""),4.0)</f>
        <v>4</v>
      </c>
      <c r="ER181" s="16">
        <f>IFERROR(__xludf.DUMMYFUNCTION("""COMPUTED_VALUE"""),3.0)</f>
        <v>3</v>
      </c>
      <c r="ES181" s="16"/>
      <c r="ET181" s="16"/>
      <c r="EU181" s="16"/>
      <c r="EV181" s="16"/>
      <c r="EW181" s="16"/>
      <c r="EX181" s="180"/>
      <c r="EY181" s="180"/>
      <c r="EZ181" s="180"/>
      <c r="FA181" s="180"/>
      <c r="FB181" s="180">
        <f>IFERROR(__xludf.DUMMYFUNCTION("""COMPUTED_VALUE"""),0.0)</f>
        <v>0</v>
      </c>
      <c r="FC181" s="180"/>
      <c r="FD181" s="180"/>
      <c r="FE181" s="180"/>
      <c r="FF181" s="180"/>
      <c r="FG181" s="180"/>
      <c r="FH181" s="180"/>
      <c r="FI181" s="180"/>
      <c r="FJ181" s="180">
        <f>IFERROR(__xludf.DUMMYFUNCTION("""COMPUTED_VALUE"""),0.08333333333333333)</f>
        <v>0.08333333333</v>
      </c>
      <c r="FK181" s="180"/>
      <c r="FL181" s="180"/>
      <c r="FM181" s="180"/>
      <c r="FN181" s="16"/>
      <c r="FO181" s="16"/>
      <c r="FP181" s="16"/>
      <c r="FQ181" s="16"/>
      <c r="FR181" s="16">
        <f>IFERROR(__xludf.DUMMYFUNCTION("""COMPUTED_VALUE"""),0.9166666666666666)</f>
        <v>0.9166666667</v>
      </c>
      <c r="FS181" s="16"/>
      <c r="FT181" s="16"/>
      <c r="FU181" s="16"/>
      <c r="FV181" s="16"/>
      <c r="FW181" s="16"/>
      <c r="FX181" s="16"/>
      <c r="FY181" s="16"/>
      <c r="FZ181" s="16">
        <f>IFERROR(__xludf.DUMMYFUNCTION("""COMPUTED_VALUE"""),6.0)</f>
        <v>6</v>
      </c>
      <c r="GA181" s="16"/>
      <c r="GB181" s="16"/>
      <c r="GC181" s="16"/>
      <c r="GD181" s="16" t="s">
        <v>623</v>
      </c>
    </row>
    <row r="182">
      <c r="A182" s="16">
        <f>IFERROR(__xludf.DUMMYFUNCTION("""COMPUTED_VALUE"""),12949.0)</f>
        <v>12949</v>
      </c>
      <c r="B182" s="16" t="str">
        <f>IFERROR(__xludf.DUMMYFUNCTION("""COMPUTED_VALUE"""),"Jerar Encarnacion")</f>
        <v>Jerar Encarnacion</v>
      </c>
      <c r="C182" s="16">
        <f>IFERROR(__xludf.DUMMYFUNCTION("""COMPUTED_VALUE"""),0.14)</f>
        <v>0.14</v>
      </c>
      <c r="D182" s="16" t="str">
        <f>IFERROR(__xludf.DUMMYFUNCTION("""COMPUTED_VALUE"""),"R")</f>
        <v>R</v>
      </c>
      <c r="E182" s="16"/>
      <c r="F182" s="16"/>
      <c r="G182" s="16">
        <f>IFERROR(__xludf.DUMMYFUNCTION("""COMPUTED_VALUE"""),113.0)</f>
        <v>113</v>
      </c>
      <c r="H182" s="16">
        <f>IFERROR(__xludf.DUMMYFUNCTION("""COMPUTED_VALUE"""),5.0)</f>
        <v>5</v>
      </c>
      <c r="I182" s="16" t="str">
        <f>IFERROR(__xludf.DUMMYFUNCTION("""COMPUTED_VALUE"""),"1p20")</f>
        <v>1p20</v>
      </c>
      <c r="J182" s="16">
        <f>IFERROR(__xludf.DUMMYFUNCTION("""COMPUTED_VALUE"""),41.0)</f>
        <v>41</v>
      </c>
      <c r="K182" s="16">
        <f>IFERROR(__xludf.DUMMYFUNCTION("""COMPUTED_VALUE"""),36.0)</f>
        <v>36</v>
      </c>
      <c r="L182" s="16">
        <f>IFERROR(__xludf.DUMMYFUNCTION("""COMPUTED_VALUE"""),-1.0)</f>
        <v>-1</v>
      </c>
      <c r="M182" s="16">
        <f>IFERROR(__xludf.DUMMYFUNCTION("""COMPUTED_VALUE"""),-1.0)</f>
        <v>-1</v>
      </c>
      <c r="N182" s="16">
        <f>IFERROR(__xludf.DUMMYFUNCTION("""COMPUTED_VALUE"""),-1.0)</f>
        <v>-1</v>
      </c>
      <c r="O182" s="16">
        <f>IFERROR(__xludf.DUMMYFUNCTION("""COMPUTED_VALUE"""),-1.0)</f>
        <v>-1</v>
      </c>
      <c r="P182" s="16">
        <f>IFERROR(__xludf.DUMMYFUNCTION("""COMPUTED_VALUE"""),1.0)</f>
        <v>1</v>
      </c>
      <c r="Q182" s="16">
        <f>IFERROR(__xludf.DUMMYFUNCTION("""COMPUTED_VALUE"""),1.0)</f>
        <v>1</v>
      </c>
      <c r="R182" s="16">
        <f>IFERROR(__xludf.DUMMYFUNCTION("""COMPUTED_VALUE"""),-2.0)</f>
        <v>-2</v>
      </c>
      <c r="S182" s="16">
        <f>IFERROR(__xludf.DUMMYFUNCTION("""COMPUTED_VALUE"""),-2.0)</f>
        <v>-2</v>
      </c>
      <c r="T182" s="16">
        <f>IFERROR(__xludf.DUMMYFUNCTION("""COMPUTED_VALUE"""),-2.0)</f>
        <v>-2</v>
      </c>
      <c r="U182" s="16">
        <f>IFERROR(__xludf.DUMMYFUNCTION("""COMPUTED_VALUE"""),-2.0)</f>
        <v>-2</v>
      </c>
      <c r="V182" s="16">
        <f>IFERROR(__xludf.DUMMYFUNCTION("""COMPUTED_VALUE"""),24.5)</f>
        <v>24.5</v>
      </c>
      <c r="W182" s="16">
        <f>IFERROR(__xludf.DUMMYFUNCTION("""COMPUTED_VALUE"""),19.1)</f>
        <v>19.1</v>
      </c>
      <c r="X182" s="16">
        <f>IFERROR(__xludf.DUMMYFUNCTION("""COMPUTED_VALUE"""),1.0)</f>
        <v>1</v>
      </c>
      <c r="Y182" s="16">
        <f>IFERROR(__xludf.DUMMYFUNCTION("""COMPUTED_VALUE"""),0.0)</f>
        <v>0</v>
      </c>
      <c r="Z182" s="16">
        <f>IFERROR(__xludf.DUMMYFUNCTION("""COMPUTED_VALUE"""),2.0)</f>
        <v>2</v>
      </c>
      <c r="AA182" s="16">
        <f>IFERROR(__xludf.DUMMYFUNCTION("""COMPUTED_VALUE"""),0.0)</f>
        <v>0</v>
      </c>
      <c r="AB182" s="16">
        <f>IFERROR(__xludf.DUMMYFUNCTION("""COMPUTED_VALUE"""),25.5)</f>
        <v>25.5</v>
      </c>
      <c r="AC182" s="16">
        <f>IFERROR(__xludf.DUMMYFUNCTION("""COMPUTED_VALUE"""),20.1)</f>
        <v>20.1</v>
      </c>
      <c r="AD182" s="16">
        <f>IFERROR(__xludf.DUMMYFUNCTION("""COMPUTED_VALUE"""),-1.0)</f>
        <v>-1</v>
      </c>
      <c r="AE182" s="16">
        <f>IFERROR(__xludf.DUMMYFUNCTION("""COMPUTED_VALUE"""),-2.0)</f>
        <v>-2</v>
      </c>
      <c r="AF182" s="16">
        <f>IFERROR(__xludf.DUMMYFUNCTION("""COMPUTED_VALUE"""),-5.0)</f>
        <v>-5</v>
      </c>
      <c r="AG182" s="16">
        <f>IFERROR(__xludf.DUMMYFUNCTION("""COMPUTED_VALUE"""),-10.0)</f>
        <v>-10</v>
      </c>
      <c r="AH182" s="16">
        <f>IFERROR(__xludf.DUMMYFUNCTION("""COMPUTED_VALUE"""),36.0)</f>
        <v>36</v>
      </c>
      <c r="AI182" s="16">
        <f>IFERROR(__xludf.DUMMYFUNCTION("""COMPUTED_VALUE"""),36.5)</f>
        <v>36.5</v>
      </c>
      <c r="AJ182" s="16">
        <f>IFERROR(__xludf.DUMMYFUNCTION("""COMPUTED_VALUE"""),0.0)</f>
        <v>0</v>
      </c>
      <c r="AK182" s="16">
        <f>IFERROR(__xludf.DUMMYFUNCTION("""COMPUTED_VALUE"""),0.0)</f>
        <v>0</v>
      </c>
      <c r="AL182" s="16">
        <f>IFERROR(__xludf.DUMMYFUNCTION("""COMPUTED_VALUE"""),0.0)</f>
        <v>0</v>
      </c>
      <c r="AM182" s="16">
        <f>IFERROR(__xludf.DUMMYFUNCTION("""COMPUTED_VALUE"""),0.0)</f>
        <v>0</v>
      </c>
      <c r="AN182" s="16">
        <f>IFERROR(__xludf.DUMMYFUNCTION("""COMPUTED_VALUE"""),0.9)</f>
        <v>0.9</v>
      </c>
      <c r="AO182" s="16">
        <f>IFERROR(__xludf.DUMMYFUNCTION("""COMPUTED_VALUE"""),5.6)</f>
        <v>5.6</v>
      </c>
      <c r="AP182" s="16">
        <f>IFERROR(__xludf.DUMMYFUNCTION("""COMPUTED_VALUE"""),-2.0)</f>
        <v>-2</v>
      </c>
      <c r="AQ182" s="16">
        <f>IFERROR(__xludf.DUMMYFUNCTION("""COMPUTED_VALUE"""),3.0)</f>
        <v>3</v>
      </c>
      <c r="AR182" s="16">
        <f>IFERROR(__xludf.DUMMYFUNCTION("""COMPUTED_VALUE"""),-4.0)</f>
        <v>-4</v>
      </c>
      <c r="AS182" s="16">
        <f>IFERROR(__xludf.DUMMYFUNCTION("""COMPUTED_VALUE"""),6.0)</f>
        <v>6</v>
      </c>
      <c r="AT182" s="16">
        <f>IFERROR(__xludf.DUMMYFUNCTION("""COMPUTED_VALUE"""),2.0)</f>
        <v>2</v>
      </c>
      <c r="AU182" s="16">
        <f>IFERROR(__xludf.DUMMYFUNCTION("""COMPUTED_VALUE"""),8.0)</f>
        <v>8</v>
      </c>
      <c r="AV182" s="16">
        <f>IFERROR(__xludf.DUMMYFUNCTION("""COMPUTED_VALUE"""),2.0)</f>
        <v>2</v>
      </c>
      <c r="AW182" s="16">
        <f>IFERROR(__xludf.DUMMYFUNCTION("""COMPUTED_VALUE"""),8.0)</f>
        <v>8</v>
      </c>
      <c r="AX182" s="16">
        <f>IFERROR(__xludf.DUMMYFUNCTION("""COMPUTED_VALUE"""),0.0)</f>
        <v>0</v>
      </c>
      <c r="AY182" s="16">
        <f>IFERROR(__xludf.DUMMYFUNCTION("""COMPUTED_VALUE"""),3.0)</f>
        <v>3</v>
      </c>
      <c r="AZ182" s="16">
        <f>IFERROR(__xludf.DUMMYFUNCTION("""COMPUTED_VALUE"""),0.0)</f>
        <v>0</v>
      </c>
      <c r="BA182" s="16">
        <f>IFERROR(__xludf.DUMMYFUNCTION("""COMPUTED_VALUE"""),9.0)</f>
        <v>9</v>
      </c>
      <c r="BB182" s="16">
        <f>IFERROR(__xludf.DUMMYFUNCTION("""COMPUTED_VALUE"""),5.0)</f>
        <v>5</v>
      </c>
      <c r="BC182" s="16">
        <f>IFERROR(__xludf.DUMMYFUNCTION("""COMPUTED_VALUE"""),5.0)</f>
        <v>5</v>
      </c>
      <c r="BD182" s="16">
        <f>IFERROR(__xludf.DUMMYFUNCTION("""COMPUTED_VALUE"""),1.0)</f>
        <v>1</v>
      </c>
      <c r="BE182" s="16">
        <f>IFERROR(__xludf.DUMMYFUNCTION("""COMPUTED_VALUE"""),1.0)</f>
        <v>1</v>
      </c>
      <c r="BF182" s="16">
        <f>IFERROR(__xludf.DUMMYFUNCTION("""COMPUTED_VALUE"""),1.0)</f>
        <v>1</v>
      </c>
      <c r="BG182" s="16">
        <f>IFERROR(__xludf.DUMMYFUNCTION("""COMPUTED_VALUE"""),1.0)</f>
        <v>1</v>
      </c>
      <c r="BH182" s="16">
        <f>IFERROR(__xludf.DUMMYFUNCTION("""COMPUTED_VALUE"""),-1.0)</f>
        <v>-1</v>
      </c>
      <c r="BI182" s="16">
        <f>IFERROR(__xludf.DUMMYFUNCTION("""COMPUTED_VALUE"""),-1.0)</f>
        <v>-1</v>
      </c>
      <c r="BJ182" s="16">
        <f>IFERROR(__xludf.DUMMYFUNCTION("""COMPUTED_VALUE"""),0.0)</f>
        <v>0</v>
      </c>
      <c r="BK182" s="16">
        <f>IFERROR(__xludf.DUMMYFUNCTION("""COMPUTED_VALUE"""),0.0)</f>
        <v>0</v>
      </c>
      <c r="BL182" s="16">
        <f>IFERROR(__xludf.DUMMYFUNCTION("""COMPUTED_VALUE"""),3.0)</f>
        <v>3</v>
      </c>
      <c r="BM182" s="16">
        <f>IFERROR(__xludf.DUMMYFUNCTION("""COMPUTED_VALUE"""),3.0)</f>
        <v>3</v>
      </c>
      <c r="BN182" s="16">
        <f>IFERROR(__xludf.DUMMYFUNCTION("""COMPUTED_VALUE"""),3.0)</f>
        <v>3</v>
      </c>
      <c r="BO182" s="16">
        <f>IFERROR(__xludf.DUMMYFUNCTION("""COMPUTED_VALUE"""),3.0)</f>
        <v>3</v>
      </c>
      <c r="BP182" s="16">
        <f>IFERROR(__xludf.DUMMYFUNCTION("""COMPUTED_VALUE"""),-1.0)</f>
        <v>-1</v>
      </c>
      <c r="BQ182" s="16">
        <f>IFERROR(__xludf.DUMMYFUNCTION("""COMPUTED_VALUE"""),5.0)</f>
        <v>5</v>
      </c>
      <c r="BR182" s="16">
        <f>IFERROR(__xludf.DUMMYFUNCTION("""COMPUTED_VALUE"""),4.0)</f>
        <v>4</v>
      </c>
      <c r="BS182" s="16" t="str">
        <f>IFERROR(__xludf.DUMMYFUNCTION("""COMPUTED_VALUE"""),"2/- (20-6)")</f>
        <v>2/- (20-6)</v>
      </c>
      <c r="BT182" s="16" t="str">
        <f>IFERROR(__xludf.DUMMYFUNCTION("""COMPUTED_VALUE"""),"E")</f>
        <v>E</v>
      </c>
      <c r="BU182" s="16">
        <f>IFERROR(__xludf.DUMMYFUNCTION("""COMPUTED_VALUE"""),12.0)</f>
        <v>12</v>
      </c>
      <c r="BV182" s="16">
        <f>IFERROR(__xludf.DUMMYFUNCTION("""COMPUTED_VALUE"""),0.0)</f>
        <v>0</v>
      </c>
      <c r="BW182" s="16">
        <f>IFERROR(__xludf.DUMMYFUNCTION("""COMPUTED_VALUE"""),0.0)</f>
        <v>0</v>
      </c>
      <c r="BX182" s="16">
        <f>IFERROR(__xludf.DUMMYFUNCTION("""COMPUTED_VALUE"""),0.0)</f>
        <v>0</v>
      </c>
      <c r="BY182" s="16">
        <f>IFERROR(__xludf.DUMMYFUNCTION("""COMPUTED_VALUE"""),0.0)</f>
        <v>0</v>
      </c>
      <c r="BZ182" s="16" t="str">
        <f>IFERROR(__xludf.DUMMYFUNCTION("""COMPUTED_VALUE"""),"D")</f>
        <v>D</v>
      </c>
      <c r="CA182" s="16" t="str">
        <f>IFERROR(__xludf.DUMMYFUNCTION("""COMPUTED_VALUE"""),"D")</f>
        <v>D</v>
      </c>
      <c r="CB182" s="16">
        <f>IFERROR(__xludf.DUMMYFUNCTION("""COMPUTED_VALUE"""),0.0)</f>
        <v>0</v>
      </c>
      <c r="CC182" s="16">
        <f>IFERROR(__xludf.DUMMYFUNCTION("""COMPUTED_VALUE"""),0.0)</f>
        <v>0</v>
      </c>
      <c r="CD182" s="16">
        <f>IFERROR(__xludf.DUMMYFUNCTION("""COMPUTED_VALUE"""),0.0)</f>
        <v>0</v>
      </c>
      <c r="CE182" s="16">
        <f>IFERROR(__xludf.DUMMYFUNCTION("""COMPUTED_VALUE"""),0.0)</f>
        <v>0</v>
      </c>
      <c r="CF182" s="16">
        <f>IFERROR(__xludf.DUMMYFUNCTION("""COMPUTED_VALUE"""),1.0)</f>
        <v>1</v>
      </c>
      <c r="CG182" s="16">
        <f>IFERROR(__xludf.DUMMYFUNCTION("""COMPUTED_VALUE"""),-6.0)</f>
        <v>-6</v>
      </c>
      <c r="CH182" s="16">
        <f>IFERROR(__xludf.DUMMYFUNCTION("""COMPUTED_VALUE"""),6.0)</f>
        <v>6</v>
      </c>
      <c r="CI182" s="179">
        <f>IFERROR(__xludf.DUMMYFUNCTION("""COMPUTED_VALUE"""),3.0)</f>
        <v>3</v>
      </c>
      <c r="CJ182" s="16"/>
      <c r="CK182" s="16">
        <f>IFERROR(__xludf.DUMMYFUNCTION("""COMPUTED_VALUE"""),530.0)</f>
        <v>530</v>
      </c>
      <c r="CL182" s="16"/>
      <c r="CM182" s="16"/>
      <c r="CN182" s="16"/>
      <c r="CO182" s="16">
        <f>IFERROR(__xludf.DUMMYFUNCTION("""COMPUTED_VALUE"""),408.0)</f>
        <v>408</v>
      </c>
      <c r="CP182" s="16"/>
      <c r="CQ182" s="16">
        <f>IFERROR(__xludf.DUMMYFUNCTION("""COMPUTED_VALUE"""),408.0)</f>
        <v>408</v>
      </c>
      <c r="CR182" s="16" t="str">
        <f>IFERROR(__xludf.DUMMYFUNCTION("""COMPUTED_VALUE"""),"rf-4(-1)e8 lf-4e8 1b-5e30")</f>
        <v>rf-4(-1)e8 lf-4e8 1b-5e30</v>
      </c>
      <c r="CS182" s="16"/>
      <c r="CT182" s="16">
        <f>IFERROR(__xludf.DUMMYFUNCTION("""COMPUTED_VALUE"""),5.0)</f>
        <v>5</v>
      </c>
      <c r="CU182" s="16"/>
      <c r="CV182" s="16"/>
      <c r="CW182" s="16"/>
      <c r="CX182" s="16">
        <f>IFERROR(__xludf.DUMMYFUNCTION("""COMPUTED_VALUE"""),4.0)</f>
        <v>4</v>
      </c>
      <c r="CY182" s="16"/>
      <c r="CZ182" s="16">
        <f>IFERROR(__xludf.DUMMYFUNCTION("""COMPUTED_VALUE"""),4.0)</f>
        <v>4</v>
      </c>
      <c r="DA182" s="16"/>
      <c r="DB182" s="16">
        <f>IFERROR(__xludf.DUMMYFUNCTION("""COMPUTED_VALUE"""),30.0)</f>
        <v>30</v>
      </c>
      <c r="DC182" s="16"/>
      <c r="DD182" s="16"/>
      <c r="DE182" s="16"/>
      <c r="DF182" s="16">
        <f>IFERROR(__xludf.DUMMYFUNCTION("""COMPUTED_VALUE"""),8.0)</f>
        <v>8</v>
      </c>
      <c r="DG182" s="16"/>
      <c r="DH182" s="16">
        <f>IFERROR(__xludf.DUMMYFUNCTION("""COMPUTED_VALUE"""),8.0)</f>
        <v>8</v>
      </c>
      <c r="DI182" s="16"/>
      <c r="DJ182" s="16">
        <f>IFERROR(__xludf.DUMMYFUNCTION("""COMPUTED_VALUE"""),-2.0)</f>
        <v>-2</v>
      </c>
      <c r="DK182" s="16"/>
      <c r="DL182" s="16"/>
      <c r="DM182" s="16"/>
      <c r="DN182" s="16">
        <f>IFERROR(__xludf.DUMMYFUNCTION("""COMPUTED_VALUE"""),-1.0)</f>
        <v>-1</v>
      </c>
      <c r="DO182" s="16"/>
      <c r="DP182" s="16">
        <f>IFERROR(__xludf.DUMMYFUNCTION("""COMPUTED_VALUE"""),-1.0)</f>
        <v>-1</v>
      </c>
      <c r="DQ182" s="16"/>
      <c r="DR182" s="16">
        <f>IFERROR(__xludf.DUMMYFUNCTION("""COMPUTED_VALUE"""),-2.0)</f>
        <v>-2</v>
      </c>
      <c r="DS182" s="16"/>
      <c r="DT182" s="16"/>
      <c r="DU182" s="16"/>
      <c r="DV182" s="16">
        <f>IFERROR(__xludf.DUMMYFUNCTION("""COMPUTED_VALUE"""),0.0)</f>
        <v>0</v>
      </c>
      <c r="DW182" s="16"/>
      <c r="DX182" s="16">
        <f>IFERROR(__xludf.DUMMYFUNCTION("""COMPUTED_VALUE"""),0.0)</f>
        <v>0</v>
      </c>
      <c r="DY182" s="16"/>
      <c r="DZ182" s="16">
        <f>IFERROR(__xludf.DUMMYFUNCTION("""COMPUTED_VALUE"""),-4.0)</f>
        <v>-4</v>
      </c>
      <c r="EA182" s="16"/>
      <c r="EB182" s="16"/>
      <c r="EC182" s="16"/>
      <c r="ED182" s="16">
        <f>IFERROR(__xludf.DUMMYFUNCTION("""COMPUTED_VALUE"""),-1.0)</f>
        <v>-1</v>
      </c>
      <c r="EE182" s="16"/>
      <c r="EF182" s="16">
        <f>IFERROR(__xludf.DUMMYFUNCTION("""COMPUTED_VALUE"""),-1.0)</f>
        <v>-1</v>
      </c>
      <c r="EG182" s="179"/>
      <c r="EH182" s="179">
        <f>IFERROR(__xludf.DUMMYFUNCTION("""COMPUTED_VALUE"""),-1.0)</f>
        <v>-1</v>
      </c>
      <c r="EI182" s="179"/>
      <c r="EJ182" s="179"/>
      <c r="EK182" s="179"/>
      <c r="EL182" s="179">
        <f>IFERROR(__xludf.DUMMYFUNCTION("""COMPUTED_VALUE"""),2.0)</f>
        <v>2</v>
      </c>
      <c r="EM182" s="179"/>
      <c r="EN182" s="179">
        <f>IFERROR(__xludf.DUMMYFUNCTION("""COMPUTED_VALUE"""),2.0)</f>
        <v>2</v>
      </c>
      <c r="EO182" s="16"/>
      <c r="EP182" s="16">
        <f>IFERROR(__xludf.DUMMYFUNCTION("""COMPUTED_VALUE"""),-3.0)</f>
        <v>-3</v>
      </c>
      <c r="EQ182" s="16">
        <f>IFERROR(__xludf.DUMMYFUNCTION("""COMPUTED_VALUE"""),4.0)</f>
        <v>4</v>
      </c>
      <c r="ER182" s="16">
        <f>IFERROR(__xludf.DUMMYFUNCTION("""COMPUTED_VALUE"""),-4.0)</f>
        <v>-4</v>
      </c>
      <c r="ES182" s="16"/>
      <c r="ET182" s="16"/>
      <c r="EU182" s="16"/>
      <c r="EV182" s="16"/>
      <c r="EW182" s="16"/>
      <c r="EX182" s="180"/>
      <c r="EY182" s="180">
        <f>IFERROR(__xludf.DUMMYFUNCTION("""COMPUTED_VALUE"""),0.4)</f>
        <v>0.4</v>
      </c>
      <c r="EZ182" s="180"/>
      <c r="FA182" s="180"/>
      <c r="FB182" s="180"/>
      <c r="FC182" s="180">
        <f>IFERROR(__xludf.DUMMYFUNCTION("""COMPUTED_VALUE"""),0.55)</f>
        <v>0.55</v>
      </c>
      <c r="FD182" s="180"/>
      <c r="FE182" s="180">
        <f>IFERROR(__xludf.DUMMYFUNCTION("""COMPUTED_VALUE"""),0.55)</f>
        <v>0.55</v>
      </c>
      <c r="FF182" s="180"/>
      <c r="FG182" s="180">
        <f>IFERROR(__xludf.DUMMYFUNCTION("""COMPUTED_VALUE"""),0.5370370370370371)</f>
        <v>0.537037037</v>
      </c>
      <c r="FH182" s="180"/>
      <c r="FI182" s="180"/>
      <c r="FJ182" s="180"/>
      <c r="FK182" s="180">
        <f>IFERROR(__xludf.DUMMYFUNCTION("""COMPUTED_VALUE"""),0.144)</f>
        <v>0.144</v>
      </c>
      <c r="FL182" s="180"/>
      <c r="FM182" s="180">
        <f>IFERROR(__xludf.DUMMYFUNCTION("""COMPUTED_VALUE"""),0.144)</f>
        <v>0.144</v>
      </c>
      <c r="FN182" s="16"/>
      <c r="FO182" s="16">
        <f>IFERROR(__xludf.DUMMYFUNCTION("""COMPUTED_VALUE"""),0.27777777777777773)</f>
        <v>0.2777777778</v>
      </c>
      <c r="FP182" s="16"/>
      <c r="FQ182" s="16"/>
      <c r="FR182" s="16"/>
      <c r="FS182" s="16">
        <f>IFERROR(__xludf.DUMMYFUNCTION("""COMPUTED_VALUE"""),0.38519999999999993)</f>
        <v>0.3852</v>
      </c>
      <c r="FT182" s="16"/>
      <c r="FU182" s="16">
        <f>IFERROR(__xludf.DUMMYFUNCTION("""COMPUTED_VALUE"""),0.38519999999999993)</f>
        <v>0.3852</v>
      </c>
      <c r="FV182" s="16"/>
      <c r="FW182" s="16">
        <f>IFERROR(__xludf.DUMMYFUNCTION("""COMPUTED_VALUE"""),-8.0)</f>
        <v>-8</v>
      </c>
      <c r="FX182" s="16"/>
      <c r="FY182" s="16"/>
      <c r="FZ182" s="16"/>
      <c r="GA182" s="16">
        <f>IFERROR(__xludf.DUMMYFUNCTION("""COMPUTED_VALUE"""),-5.0)</f>
        <v>-5</v>
      </c>
      <c r="GB182" s="16"/>
      <c r="GC182" s="16">
        <f>IFERROR(__xludf.DUMMYFUNCTION("""COMPUTED_VALUE"""),-5.0)</f>
        <v>-5</v>
      </c>
      <c r="GD182" s="16" t="s">
        <v>176</v>
      </c>
    </row>
    <row r="183">
      <c r="A183" s="16">
        <f>IFERROR(__xludf.DUMMYFUNCTION("""COMPUTED_VALUE"""),13059.0)</f>
        <v>13059</v>
      </c>
      <c r="B183" s="16" t="str">
        <f>IFERROR(__xludf.DUMMYFUNCTION("""COMPUTED_VALUE"""),"Justin Turner")</f>
        <v>Justin Turner</v>
      </c>
      <c r="C183" s="16">
        <f>IFERROR(__xludf.DUMMYFUNCTION("""COMPUTED_VALUE"""),0.81)</f>
        <v>0.81</v>
      </c>
      <c r="D183" s="16" t="str">
        <f>IFERROR(__xludf.DUMMYFUNCTION("""COMPUTED_VALUE"""),"R")</f>
        <v>R</v>
      </c>
      <c r="E183" s="16"/>
      <c r="F183" s="16"/>
      <c r="G183" s="16">
        <f>IFERROR(__xludf.DUMMYFUNCTION("""COMPUTED_VALUE"""),460.0)</f>
        <v>460</v>
      </c>
      <c r="H183" s="16">
        <f>IFERROR(__xludf.DUMMYFUNCTION("""COMPUTED_VALUE"""),59.0)</f>
        <v>59</v>
      </c>
      <c r="I183" s="16" t="str">
        <f>IFERROR(__xludf.DUMMYFUNCTION("""COMPUTED_VALUE"""),"1p65")</f>
        <v>1p65</v>
      </c>
      <c r="J183" s="16">
        <f>IFERROR(__xludf.DUMMYFUNCTION("""COMPUTED_VALUE"""),15.0)</f>
        <v>15</v>
      </c>
      <c r="K183" s="16">
        <f>IFERROR(__xludf.DUMMYFUNCTION("""COMPUTED_VALUE"""),13.0)</f>
        <v>13</v>
      </c>
      <c r="L183" s="16">
        <f>IFERROR(__xludf.DUMMYFUNCTION("""COMPUTED_VALUE"""),1.0)</f>
        <v>1</v>
      </c>
      <c r="M183" s="16">
        <f>IFERROR(__xludf.DUMMYFUNCTION("""COMPUTED_VALUE"""),1.0)</f>
        <v>1</v>
      </c>
      <c r="N183" s="16">
        <f>IFERROR(__xludf.DUMMYFUNCTION("""COMPUTED_VALUE"""),1.0)</f>
        <v>1</v>
      </c>
      <c r="O183" s="16">
        <f>IFERROR(__xludf.DUMMYFUNCTION("""COMPUTED_VALUE"""),1.0)</f>
        <v>1</v>
      </c>
      <c r="P183" s="16">
        <f>IFERROR(__xludf.DUMMYFUNCTION("""COMPUTED_VALUE"""),15.0)</f>
        <v>15</v>
      </c>
      <c r="Q183" s="16">
        <f>IFERROR(__xludf.DUMMYFUNCTION("""COMPUTED_VALUE"""),15.0)</f>
        <v>15</v>
      </c>
      <c r="R183" s="16">
        <f>IFERROR(__xludf.DUMMYFUNCTION("""COMPUTED_VALUE"""),2.0)</f>
        <v>2</v>
      </c>
      <c r="S183" s="16">
        <f>IFERROR(__xludf.DUMMYFUNCTION("""COMPUTED_VALUE"""),2.0)</f>
        <v>2</v>
      </c>
      <c r="T183" s="16">
        <f>IFERROR(__xludf.DUMMYFUNCTION("""COMPUTED_VALUE"""),2.0)</f>
        <v>2</v>
      </c>
      <c r="U183" s="16">
        <f>IFERROR(__xludf.DUMMYFUNCTION("""COMPUTED_VALUE"""),2.0)</f>
        <v>2</v>
      </c>
      <c r="V183" s="16">
        <f>IFERROR(__xludf.DUMMYFUNCTION("""COMPUTED_VALUE"""),19.5)</f>
        <v>19.5</v>
      </c>
      <c r="W183" s="16">
        <f>IFERROR(__xludf.DUMMYFUNCTION("""COMPUTED_VALUE"""),22.0)</f>
        <v>22</v>
      </c>
      <c r="X183" s="16">
        <f>IFERROR(__xludf.DUMMYFUNCTION("""COMPUTED_VALUE"""),0.0)</f>
        <v>0</v>
      </c>
      <c r="Y183" s="16">
        <f>IFERROR(__xludf.DUMMYFUNCTION("""COMPUTED_VALUE"""),0.0)</f>
        <v>0</v>
      </c>
      <c r="Z183" s="16">
        <f>IFERROR(__xludf.DUMMYFUNCTION("""COMPUTED_VALUE"""),0.0)</f>
        <v>0</v>
      </c>
      <c r="AA183" s="16">
        <f>IFERROR(__xludf.DUMMYFUNCTION("""COMPUTED_VALUE"""),0.0)</f>
        <v>0</v>
      </c>
      <c r="AB183" s="16">
        <f>IFERROR(__xludf.DUMMYFUNCTION("""COMPUTED_VALUE"""),40.5)</f>
        <v>40.5</v>
      </c>
      <c r="AC183" s="16">
        <f>IFERROR(__xludf.DUMMYFUNCTION("""COMPUTED_VALUE"""),43.0)</f>
        <v>43</v>
      </c>
      <c r="AD183" s="16">
        <f>IFERROR(__xludf.DUMMYFUNCTION("""COMPUTED_VALUE"""),1.0)</f>
        <v>1</v>
      </c>
      <c r="AE183" s="16">
        <f>IFERROR(__xludf.DUMMYFUNCTION("""COMPUTED_VALUE"""),2.0)</f>
        <v>2</v>
      </c>
      <c r="AF183" s="16">
        <f>IFERROR(__xludf.DUMMYFUNCTION("""COMPUTED_VALUE"""),5.0)</f>
        <v>5</v>
      </c>
      <c r="AG183" s="16">
        <f>IFERROR(__xludf.DUMMYFUNCTION("""COMPUTED_VALUE"""),10.0)</f>
        <v>10</v>
      </c>
      <c r="AH183" s="16">
        <f>IFERROR(__xludf.DUMMYFUNCTION("""COMPUTED_VALUE"""),30.3)</f>
        <v>30.3</v>
      </c>
      <c r="AI183" s="16">
        <f>IFERROR(__xludf.DUMMYFUNCTION("""COMPUTED_VALUE"""),27.5)</f>
        <v>27.5</v>
      </c>
      <c r="AJ183" s="16">
        <f>IFERROR(__xludf.DUMMYFUNCTION("""COMPUTED_VALUE"""),0.0)</f>
        <v>0</v>
      </c>
      <c r="AK183" s="16">
        <f>IFERROR(__xludf.DUMMYFUNCTION("""COMPUTED_VALUE"""),-1.0)</f>
        <v>-1</v>
      </c>
      <c r="AL183" s="16">
        <f>IFERROR(__xludf.DUMMYFUNCTION("""COMPUTED_VALUE"""),0.0)</f>
        <v>0</v>
      </c>
      <c r="AM183" s="16">
        <f>IFERROR(__xludf.DUMMYFUNCTION("""COMPUTED_VALUE"""),-5.0)</f>
        <v>-5</v>
      </c>
      <c r="AN183" s="16">
        <f>IFERROR(__xludf.DUMMYFUNCTION("""COMPUTED_VALUE"""),0.8)</f>
        <v>0.8</v>
      </c>
      <c r="AO183" s="16">
        <f>IFERROR(__xludf.DUMMYFUNCTION("""COMPUTED_VALUE"""),0.8)</f>
        <v>0.8</v>
      </c>
      <c r="AP183" s="16">
        <f>IFERROR(__xludf.DUMMYFUNCTION("""COMPUTED_VALUE"""),-2.0)</f>
        <v>-2</v>
      </c>
      <c r="AQ183" s="16">
        <f>IFERROR(__xludf.DUMMYFUNCTION("""COMPUTED_VALUE"""),-2.0)</f>
        <v>-2</v>
      </c>
      <c r="AR183" s="16">
        <f>IFERROR(__xludf.DUMMYFUNCTION("""COMPUTED_VALUE"""),-4.0)</f>
        <v>-4</v>
      </c>
      <c r="AS183" s="16">
        <f>IFERROR(__xludf.DUMMYFUNCTION("""COMPUTED_VALUE"""),-4.0)</f>
        <v>-4</v>
      </c>
      <c r="AT183" s="16">
        <f>IFERROR(__xludf.DUMMYFUNCTION("""COMPUTED_VALUE"""),1.0)</f>
        <v>1</v>
      </c>
      <c r="AU183" s="16">
        <f>IFERROR(__xludf.DUMMYFUNCTION("""COMPUTED_VALUE"""),1.0)</f>
        <v>1</v>
      </c>
      <c r="AV183" s="16">
        <f>IFERROR(__xludf.DUMMYFUNCTION("""COMPUTED_VALUE"""),1.0)</f>
        <v>1</v>
      </c>
      <c r="AW183" s="16">
        <f>IFERROR(__xludf.DUMMYFUNCTION("""COMPUTED_VALUE"""),1.0)</f>
        <v>1</v>
      </c>
      <c r="AX183" s="16">
        <f>IFERROR(__xludf.DUMMYFUNCTION("""COMPUTED_VALUE"""),-1.0)</f>
        <v>-1</v>
      </c>
      <c r="AY183" s="16">
        <f>IFERROR(__xludf.DUMMYFUNCTION("""COMPUTED_VALUE"""),-1.0)</f>
        <v>-1</v>
      </c>
      <c r="AZ183" s="16">
        <f>IFERROR(__xludf.DUMMYFUNCTION("""COMPUTED_VALUE"""),-3.0)</f>
        <v>-3</v>
      </c>
      <c r="BA183" s="16">
        <f>IFERROR(__xludf.DUMMYFUNCTION("""COMPUTED_VALUE"""),-3.0)</f>
        <v>-3</v>
      </c>
      <c r="BB183" s="16">
        <f>IFERROR(__xludf.DUMMYFUNCTION("""COMPUTED_VALUE"""),5.0)</f>
        <v>5</v>
      </c>
      <c r="BC183" s="16">
        <f>IFERROR(__xludf.DUMMYFUNCTION("""COMPUTED_VALUE"""),5.0)</f>
        <v>5</v>
      </c>
      <c r="BD183" s="16">
        <f>IFERROR(__xludf.DUMMYFUNCTION("""COMPUTED_VALUE"""),1.0)</f>
        <v>1</v>
      </c>
      <c r="BE183" s="16">
        <f>IFERROR(__xludf.DUMMYFUNCTION("""COMPUTED_VALUE"""),1.0)</f>
        <v>1</v>
      </c>
      <c r="BF183" s="16">
        <f>IFERROR(__xludf.DUMMYFUNCTION("""COMPUTED_VALUE"""),1.0)</f>
        <v>1</v>
      </c>
      <c r="BG183" s="16">
        <f>IFERROR(__xludf.DUMMYFUNCTION("""COMPUTED_VALUE"""),1.0)</f>
        <v>1</v>
      </c>
      <c r="BH183" s="16">
        <f>IFERROR(__xludf.DUMMYFUNCTION("""COMPUTED_VALUE"""),-2.0)</f>
        <v>-2</v>
      </c>
      <c r="BI183" s="16">
        <f>IFERROR(__xludf.DUMMYFUNCTION("""COMPUTED_VALUE"""),-2.0)</f>
        <v>-2</v>
      </c>
      <c r="BJ183" s="16">
        <f>IFERROR(__xludf.DUMMYFUNCTION("""COMPUTED_VALUE"""),20.0)</f>
        <v>20</v>
      </c>
      <c r="BK183" s="16">
        <f>IFERROR(__xludf.DUMMYFUNCTION("""COMPUTED_VALUE"""),20.0)</f>
        <v>20</v>
      </c>
      <c r="BL183" s="16">
        <f>IFERROR(__xludf.DUMMYFUNCTION("""COMPUTED_VALUE"""),-2.0)</f>
        <v>-2</v>
      </c>
      <c r="BM183" s="16">
        <f>IFERROR(__xludf.DUMMYFUNCTION("""COMPUTED_VALUE"""),-2.0)</f>
        <v>-2</v>
      </c>
      <c r="BN183" s="16">
        <f>IFERROR(__xludf.DUMMYFUNCTION("""COMPUTED_VALUE"""),-4.0)</f>
        <v>-4</v>
      </c>
      <c r="BO183" s="16">
        <f>IFERROR(__xludf.DUMMYFUNCTION("""COMPUTED_VALUE"""),-4.0)</f>
        <v>-4</v>
      </c>
      <c r="BP183" s="16">
        <f>IFERROR(__xludf.DUMMYFUNCTION("""COMPUTED_VALUE"""),0.0)</f>
        <v>0</v>
      </c>
      <c r="BQ183" s="16">
        <f>IFERROR(__xludf.DUMMYFUNCTION("""COMPUTED_VALUE"""),0.0)</f>
        <v>0</v>
      </c>
      <c r="BR183" s="16">
        <f>IFERROR(__xludf.DUMMYFUNCTION("""COMPUTED_VALUE"""),0.0)</f>
        <v>0</v>
      </c>
      <c r="BS183" s="16" t="str">
        <f>IFERROR(__xludf.DUMMYFUNCTION("""COMPUTED_VALUE"""),"5,6/- (3-1)")</f>
        <v>5,6/- (3-1)</v>
      </c>
      <c r="BT183" s="16" t="str">
        <f>IFERROR(__xludf.DUMMYFUNCTION("""COMPUTED_VALUE"""),"E")</f>
        <v>E</v>
      </c>
      <c r="BU183" s="16">
        <f>IFERROR(__xludf.DUMMYFUNCTION("""COMPUTED_VALUE"""),9.0)</f>
        <v>9</v>
      </c>
      <c r="BV183" s="16">
        <f>IFERROR(__xludf.DUMMYFUNCTION("""COMPUTED_VALUE"""),0.0)</f>
        <v>0</v>
      </c>
      <c r="BW183" s="16">
        <f>IFERROR(__xludf.DUMMYFUNCTION("""COMPUTED_VALUE"""),-1.0)</f>
        <v>-1</v>
      </c>
      <c r="BX183" s="16">
        <f>IFERROR(__xludf.DUMMYFUNCTION("""COMPUTED_VALUE"""),0.0)</f>
        <v>0</v>
      </c>
      <c r="BY183" s="16">
        <f>IFERROR(__xludf.DUMMYFUNCTION("""COMPUTED_VALUE"""),-3.0)</f>
        <v>-3</v>
      </c>
      <c r="BZ183" s="16" t="str">
        <f>IFERROR(__xludf.DUMMYFUNCTION("""COMPUTED_VALUE"""),"D")</f>
        <v>D</v>
      </c>
      <c r="CA183" s="16" t="str">
        <f>IFERROR(__xludf.DUMMYFUNCTION("""COMPUTED_VALUE"""),"C")</f>
        <v>C</v>
      </c>
      <c r="CB183" s="16">
        <f>IFERROR(__xludf.DUMMYFUNCTION("""COMPUTED_VALUE"""),0.0)</f>
        <v>0</v>
      </c>
      <c r="CC183" s="16">
        <f>IFERROR(__xludf.DUMMYFUNCTION("""COMPUTED_VALUE"""),0.0)</f>
        <v>0</v>
      </c>
      <c r="CD183" s="16">
        <f>IFERROR(__xludf.DUMMYFUNCTION("""COMPUTED_VALUE"""),0.0)</f>
        <v>0</v>
      </c>
      <c r="CE183" s="16">
        <f>IFERROR(__xludf.DUMMYFUNCTION("""COMPUTED_VALUE"""),0.0)</f>
        <v>0</v>
      </c>
      <c r="CF183" s="16">
        <f>IFERROR(__xludf.DUMMYFUNCTION("""COMPUTED_VALUE"""),1.0)</f>
        <v>1</v>
      </c>
      <c r="CG183" s="16">
        <f>IFERROR(__xludf.DUMMYFUNCTION("""COMPUTED_VALUE"""),-2.0)</f>
        <v>-2</v>
      </c>
      <c r="CH183" s="16">
        <f>IFERROR(__xludf.DUMMYFUNCTION("""COMPUTED_VALUE"""),-2.0)</f>
        <v>-2</v>
      </c>
      <c r="CI183" s="179">
        <f>IFERROR(__xludf.DUMMYFUNCTION("""COMPUTED_VALUE"""),3.0)</f>
        <v>3</v>
      </c>
      <c r="CJ183" s="16"/>
      <c r="CK183" s="16">
        <f>IFERROR(__xludf.DUMMYFUNCTION("""COMPUTED_VALUE"""),409.0)</f>
        <v>409</v>
      </c>
      <c r="CL183" s="16"/>
      <c r="CM183" s="16">
        <f>IFERROR(__xludf.DUMMYFUNCTION("""COMPUTED_VALUE"""),565.0)</f>
        <v>565</v>
      </c>
      <c r="CN183" s="16"/>
      <c r="CO183" s="16"/>
      <c r="CP183" s="16"/>
      <c r="CQ183" s="16"/>
      <c r="CR183" s="16" t="str">
        <f>IFERROR(__xludf.DUMMYFUNCTION("""COMPUTED_VALUE"""),"1b-4e9 3b-5e65")</f>
        <v>1b-4e9 3b-5e65</v>
      </c>
      <c r="CS183" s="16"/>
      <c r="CT183" s="16">
        <f>IFERROR(__xludf.DUMMYFUNCTION("""COMPUTED_VALUE"""),4.0)</f>
        <v>4</v>
      </c>
      <c r="CU183" s="16"/>
      <c r="CV183" s="16">
        <f>IFERROR(__xludf.DUMMYFUNCTION("""COMPUTED_VALUE"""),5.0)</f>
        <v>5</v>
      </c>
      <c r="CW183" s="16"/>
      <c r="CX183" s="16"/>
      <c r="CY183" s="16"/>
      <c r="CZ183" s="16"/>
      <c r="DA183" s="16"/>
      <c r="DB183" s="16">
        <f>IFERROR(__xludf.DUMMYFUNCTION("""COMPUTED_VALUE"""),9.0)</f>
        <v>9</v>
      </c>
      <c r="DC183" s="16"/>
      <c r="DD183" s="16">
        <f>IFERROR(__xludf.DUMMYFUNCTION("""COMPUTED_VALUE"""),65.0)</f>
        <v>65</v>
      </c>
      <c r="DE183" s="16"/>
      <c r="DF183" s="16"/>
      <c r="DG183" s="16"/>
      <c r="DH183" s="16"/>
      <c r="DI183" s="16"/>
      <c r="DJ183" s="16">
        <f>IFERROR(__xludf.DUMMYFUNCTION("""COMPUTED_VALUE"""),0.0)</f>
        <v>0</v>
      </c>
      <c r="DK183" s="16"/>
      <c r="DL183" s="16">
        <f>IFERROR(__xludf.DUMMYFUNCTION("""COMPUTED_VALUE"""),-2.0)</f>
        <v>-2</v>
      </c>
      <c r="DM183" s="16"/>
      <c r="DN183" s="16"/>
      <c r="DO183" s="16"/>
      <c r="DP183" s="16"/>
      <c r="DQ183" s="16"/>
      <c r="DR183" s="16">
        <f>IFERROR(__xludf.DUMMYFUNCTION("""COMPUTED_VALUE"""),2.0)</f>
        <v>2</v>
      </c>
      <c r="DS183" s="16"/>
      <c r="DT183" s="16">
        <f>IFERROR(__xludf.DUMMYFUNCTION("""COMPUTED_VALUE"""),-2.0)</f>
        <v>-2</v>
      </c>
      <c r="DU183" s="16"/>
      <c r="DV183" s="16"/>
      <c r="DW183" s="16"/>
      <c r="DX183" s="16"/>
      <c r="DY183" s="16"/>
      <c r="DZ183" s="16">
        <f>IFERROR(__xludf.DUMMYFUNCTION("""COMPUTED_VALUE"""),2.0)</f>
        <v>2</v>
      </c>
      <c r="EA183" s="16"/>
      <c r="EB183" s="16">
        <f>IFERROR(__xludf.DUMMYFUNCTION("""COMPUTED_VALUE"""),-4.0)</f>
        <v>-4</v>
      </c>
      <c r="EC183" s="16"/>
      <c r="ED183" s="16"/>
      <c r="EE183" s="16"/>
      <c r="EF183" s="16"/>
      <c r="EG183" s="179"/>
      <c r="EH183" s="179">
        <f>IFERROR(__xludf.DUMMYFUNCTION("""COMPUTED_VALUE"""),5.0)</f>
        <v>5</v>
      </c>
      <c r="EI183" s="179"/>
      <c r="EJ183" s="179">
        <f>IFERROR(__xludf.DUMMYFUNCTION("""COMPUTED_VALUE"""),-1.0)</f>
        <v>-1</v>
      </c>
      <c r="EK183" s="179"/>
      <c r="EL183" s="179"/>
      <c r="EM183" s="179"/>
      <c r="EN183" s="179"/>
      <c r="EO183" s="16"/>
      <c r="EP183" s="16"/>
      <c r="EQ183" s="16">
        <f>IFERROR(__xludf.DUMMYFUNCTION("""COMPUTED_VALUE"""),4.0)</f>
        <v>4</v>
      </c>
      <c r="ER183" s="16">
        <f>IFERROR(__xludf.DUMMYFUNCTION("""COMPUTED_VALUE"""),2.0)</f>
        <v>2</v>
      </c>
      <c r="ES183" s="16"/>
      <c r="ET183" s="16"/>
      <c r="EU183" s="16"/>
      <c r="EV183" s="16"/>
      <c r="EW183" s="16"/>
      <c r="EX183" s="180"/>
      <c r="EY183" s="180">
        <f>IFERROR(__xludf.DUMMYFUNCTION("""COMPUTED_VALUE"""),0.3)</f>
        <v>0.3</v>
      </c>
      <c r="EZ183" s="180"/>
      <c r="FA183" s="180">
        <f>IFERROR(__xludf.DUMMYFUNCTION("""COMPUTED_VALUE"""),0.4)</f>
        <v>0.4</v>
      </c>
      <c r="FB183" s="180"/>
      <c r="FC183" s="180"/>
      <c r="FD183" s="180"/>
      <c r="FE183" s="180"/>
      <c r="FF183" s="180"/>
      <c r="FG183" s="180">
        <f>IFERROR(__xludf.DUMMYFUNCTION("""COMPUTED_VALUE"""),0.16203703703703703)</f>
        <v>0.162037037</v>
      </c>
      <c r="FH183" s="180"/>
      <c r="FI183" s="180">
        <f>IFERROR(__xludf.DUMMYFUNCTION("""COMPUTED_VALUE"""),0.7407407407407407)</f>
        <v>0.7407407407</v>
      </c>
      <c r="FJ183" s="180"/>
      <c r="FK183" s="180"/>
      <c r="FL183" s="180"/>
      <c r="FM183" s="180"/>
      <c r="FN183" s="16"/>
      <c r="FO183" s="16">
        <f>IFERROR(__xludf.DUMMYFUNCTION("""COMPUTED_VALUE"""),0.586574074074074)</f>
        <v>0.5865740741</v>
      </c>
      <c r="FP183" s="16"/>
      <c r="FQ183" s="16">
        <f>IFERROR(__xludf.DUMMYFUNCTION("""COMPUTED_VALUE"""),0.15555555555555559)</f>
        <v>0.1555555556</v>
      </c>
      <c r="FR183" s="16"/>
      <c r="FS183" s="16"/>
      <c r="FT183" s="16"/>
      <c r="FU183" s="16"/>
      <c r="FV183" s="16"/>
      <c r="FW183" s="16">
        <f>IFERROR(__xludf.DUMMYFUNCTION("""COMPUTED_VALUE"""),-6.0)</f>
        <v>-6</v>
      </c>
      <c r="FX183" s="16"/>
      <c r="FY183" s="16">
        <f>IFERROR(__xludf.DUMMYFUNCTION("""COMPUTED_VALUE"""),-8.0)</f>
        <v>-8</v>
      </c>
      <c r="FZ183" s="16"/>
      <c r="GA183" s="16"/>
      <c r="GB183" s="16"/>
      <c r="GC183" s="16"/>
      <c r="GD183" s="16" t="s">
        <v>176</v>
      </c>
    </row>
    <row r="184">
      <c r="A184" s="16">
        <f>IFERROR(__xludf.DUMMYFUNCTION("""COMPUTED_VALUE"""),13031.0)</f>
        <v>13031</v>
      </c>
      <c r="B184" s="16" t="str">
        <f>IFERROR(__xludf.DUMMYFUNCTION("""COMPUTED_VALUE"""),"Josh Bell")</f>
        <v>Josh Bell</v>
      </c>
      <c r="C184" s="16">
        <f>IFERROR(__xludf.DUMMYFUNCTION("""COMPUTED_VALUE"""),0.0)</f>
        <v>0</v>
      </c>
      <c r="D184" s="16" t="str">
        <f>IFERROR(__xludf.DUMMYFUNCTION("""COMPUTED_VALUE"""),"S")</f>
        <v>S</v>
      </c>
      <c r="E184" s="16"/>
      <c r="F184" s="16"/>
      <c r="G184" s="16">
        <f>IFERROR(__xludf.DUMMYFUNCTION("""COMPUTED_VALUE"""),538.0)</f>
        <v>538</v>
      </c>
      <c r="H184" s="16">
        <f>IFERROR(__xludf.DUMMYFUNCTION("""COMPUTED_VALUE"""),51.0)</f>
        <v>51</v>
      </c>
      <c r="I184" s="16" t="str">
        <f>IFERROR(__xludf.DUMMYFUNCTION("""COMPUTED_VALUE"""),"1p65")</f>
        <v>1p65</v>
      </c>
      <c r="J184" s="16">
        <f>IFERROR(__xludf.DUMMYFUNCTION("""COMPUTED_VALUE"""),12.0)</f>
        <v>12</v>
      </c>
      <c r="K184" s="16">
        <f>IFERROR(__xludf.DUMMYFUNCTION("""COMPUTED_VALUE"""),23.0)</f>
        <v>23</v>
      </c>
      <c r="L184" s="16">
        <f>IFERROR(__xludf.DUMMYFUNCTION("""COMPUTED_VALUE"""),1.0)</f>
        <v>1</v>
      </c>
      <c r="M184" s="16">
        <f>IFERROR(__xludf.DUMMYFUNCTION("""COMPUTED_VALUE"""),0.0)</f>
        <v>0</v>
      </c>
      <c r="N184" s="16">
        <f>IFERROR(__xludf.DUMMYFUNCTION("""COMPUTED_VALUE"""),1.0)</f>
        <v>1</v>
      </c>
      <c r="O184" s="16">
        <f>IFERROR(__xludf.DUMMYFUNCTION("""COMPUTED_VALUE"""),0.0)</f>
        <v>0</v>
      </c>
      <c r="P184" s="16">
        <f>IFERROR(__xludf.DUMMYFUNCTION("""COMPUTED_VALUE"""),10.0)</f>
        <v>10</v>
      </c>
      <c r="Q184" s="16">
        <f>IFERROR(__xludf.DUMMYFUNCTION("""COMPUTED_VALUE"""),8.0)</f>
        <v>8</v>
      </c>
      <c r="R184" s="16">
        <f>IFERROR(__xludf.DUMMYFUNCTION("""COMPUTED_VALUE"""),1.0)</f>
        <v>1</v>
      </c>
      <c r="S184" s="16">
        <f>IFERROR(__xludf.DUMMYFUNCTION("""COMPUTED_VALUE"""),0.0)</f>
        <v>0</v>
      </c>
      <c r="T184" s="16">
        <f>IFERROR(__xludf.DUMMYFUNCTION("""COMPUTED_VALUE"""),1.0)</f>
        <v>1</v>
      </c>
      <c r="U184" s="16">
        <f>IFERROR(__xludf.DUMMYFUNCTION("""COMPUTED_VALUE"""),0.0)</f>
        <v>0</v>
      </c>
      <c r="V184" s="16">
        <f>IFERROR(__xludf.DUMMYFUNCTION("""COMPUTED_VALUE"""),17.3)</f>
        <v>17.3</v>
      </c>
      <c r="W184" s="16">
        <f>IFERROR(__xludf.DUMMYFUNCTION("""COMPUTED_VALUE"""),19.3)</f>
        <v>19.3</v>
      </c>
      <c r="X184" s="16">
        <f>IFERROR(__xludf.DUMMYFUNCTION("""COMPUTED_VALUE"""),0.0)</f>
        <v>0</v>
      </c>
      <c r="Y184" s="16">
        <f>IFERROR(__xludf.DUMMYFUNCTION("""COMPUTED_VALUE"""),0.0)</f>
        <v>0</v>
      </c>
      <c r="Z184" s="16">
        <f>IFERROR(__xludf.DUMMYFUNCTION("""COMPUTED_VALUE"""),0.0)</f>
        <v>0</v>
      </c>
      <c r="AA184" s="16">
        <f>IFERROR(__xludf.DUMMYFUNCTION("""COMPUTED_VALUE"""),0.0)</f>
        <v>0</v>
      </c>
      <c r="AB184" s="16">
        <f>IFERROR(__xludf.DUMMYFUNCTION("""COMPUTED_VALUE"""),29.3)</f>
        <v>29.3</v>
      </c>
      <c r="AC184" s="16">
        <f>IFERROR(__xludf.DUMMYFUNCTION("""COMPUTED_VALUE"""),29.3)</f>
        <v>29.3</v>
      </c>
      <c r="AD184" s="16">
        <f>IFERROR(__xludf.DUMMYFUNCTION("""COMPUTED_VALUE"""),0.0)</f>
        <v>0</v>
      </c>
      <c r="AE184" s="16">
        <f>IFERROR(__xludf.DUMMYFUNCTION("""COMPUTED_VALUE"""),0.0)</f>
        <v>0</v>
      </c>
      <c r="AF184" s="16">
        <f>IFERROR(__xludf.DUMMYFUNCTION("""COMPUTED_VALUE"""),0.0)</f>
        <v>0</v>
      </c>
      <c r="AG184" s="16">
        <f>IFERROR(__xludf.DUMMYFUNCTION("""COMPUTED_VALUE"""),0.0)</f>
        <v>0</v>
      </c>
      <c r="AH184" s="16">
        <f>IFERROR(__xludf.DUMMYFUNCTION("""COMPUTED_VALUE"""),28.5)</f>
        <v>28.5</v>
      </c>
      <c r="AI184" s="16">
        <f>IFERROR(__xludf.DUMMYFUNCTION("""COMPUTED_VALUE"""),29.1)</f>
        <v>29.1</v>
      </c>
      <c r="AJ184" s="16">
        <f>IFERROR(__xludf.DUMMYFUNCTION("""COMPUTED_VALUE"""),0.0)</f>
        <v>0</v>
      </c>
      <c r="AK184" s="16">
        <f>IFERROR(__xludf.DUMMYFUNCTION("""COMPUTED_VALUE"""),0.0)</f>
        <v>0</v>
      </c>
      <c r="AL184" s="16">
        <f>IFERROR(__xludf.DUMMYFUNCTION("""COMPUTED_VALUE"""),0.0)</f>
        <v>0</v>
      </c>
      <c r="AM184" s="16">
        <f>IFERROR(__xludf.DUMMYFUNCTION("""COMPUTED_VALUE"""),0.0)</f>
        <v>0</v>
      </c>
      <c r="AN184" s="16">
        <f>IFERROR(__xludf.DUMMYFUNCTION("""COMPUTED_VALUE"""),2.2)</f>
        <v>2.2</v>
      </c>
      <c r="AO184" s="16">
        <f>IFERROR(__xludf.DUMMYFUNCTION("""COMPUTED_VALUE"""),2.2)</f>
        <v>2.2</v>
      </c>
      <c r="AP184" s="16">
        <f>IFERROR(__xludf.DUMMYFUNCTION("""COMPUTED_VALUE"""),0.0)</f>
        <v>0</v>
      </c>
      <c r="AQ184" s="16">
        <f>IFERROR(__xludf.DUMMYFUNCTION("""COMPUTED_VALUE"""),0.0)</f>
        <v>0</v>
      </c>
      <c r="AR184" s="16">
        <f>IFERROR(__xludf.DUMMYFUNCTION("""COMPUTED_VALUE"""),0.0)</f>
        <v>0</v>
      </c>
      <c r="AS184" s="16">
        <f>IFERROR(__xludf.DUMMYFUNCTION("""COMPUTED_VALUE"""),0.0)</f>
        <v>0</v>
      </c>
      <c r="AT184" s="16">
        <f>IFERROR(__xludf.DUMMYFUNCTION("""COMPUTED_VALUE"""),3.0)</f>
        <v>3</v>
      </c>
      <c r="AU184" s="16">
        <f>IFERROR(__xludf.DUMMYFUNCTION("""COMPUTED_VALUE"""),3.0)</f>
        <v>3</v>
      </c>
      <c r="AV184" s="16">
        <f>IFERROR(__xludf.DUMMYFUNCTION("""COMPUTED_VALUE"""),3.0)</f>
        <v>3</v>
      </c>
      <c r="AW184" s="16">
        <f>IFERROR(__xludf.DUMMYFUNCTION("""COMPUTED_VALUE"""),3.0)</f>
        <v>3</v>
      </c>
      <c r="AX184" s="16">
        <f>IFERROR(__xludf.DUMMYFUNCTION("""COMPUTED_VALUE"""),1.0)</f>
        <v>1</v>
      </c>
      <c r="AY184" s="16">
        <f>IFERROR(__xludf.DUMMYFUNCTION("""COMPUTED_VALUE"""),0.0)</f>
        <v>0</v>
      </c>
      <c r="AZ184" s="16">
        <f>IFERROR(__xludf.DUMMYFUNCTION("""COMPUTED_VALUE"""),3.0)</f>
        <v>3</v>
      </c>
      <c r="BA184" s="16">
        <f>IFERROR(__xludf.DUMMYFUNCTION("""COMPUTED_VALUE"""),0.0)</f>
        <v>0</v>
      </c>
      <c r="BB184" s="16">
        <f>IFERROR(__xludf.DUMMYFUNCTION("""COMPUTED_VALUE"""),5.0)</f>
        <v>5</v>
      </c>
      <c r="BC184" s="16">
        <f>IFERROR(__xludf.DUMMYFUNCTION("""COMPUTED_VALUE"""),5.0)</f>
        <v>5</v>
      </c>
      <c r="BD184" s="16">
        <f>IFERROR(__xludf.DUMMYFUNCTION("""COMPUTED_VALUE"""),1.0)</f>
        <v>1</v>
      </c>
      <c r="BE184" s="16">
        <f>IFERROR(__xludf.DUMMYFUNCTION("""COMPUTED_VALUE"""),1.0)</f>
        <v>1</v>
      </c>
      <c r="BF184" s="16">
        <f>IFERROR(__xludf.DUMMYFUNCTION("""COMPUTED_VALUE"""),1.0)</f>
        <v>1</v>
      </c>
      <c r="BG184" s="16">
        <f>IFERROR(__xludf.DUMMYFUNCTION("""COMPUTED_VALUE"""),1.0)</f>
        <v>1</v>
      </c>
      <c r="BH184" s="16">
        <f>IFERROR(__xludf.DUMMYFUNCTION("""COMPUTED_VALUE"""),4.0)</f>
        <v>4</v>
      </c>
      <c r="BI184" s="16">
        <f>IFERROR(__xludf.DUMMYFUNCTION("""COMPUTED_VALUE"""),5.0)</f>
        <v>5</v>
      </c>
      <c r="BJ184" s="16">
        <f>IFERROR(__xludf.DUMMYFUNCTION("""COMPUTED_VALUE"""),28.0)</f>
        <v>28</v>
      </c>
      <c r="BK184" s="16">
        <f>IFERROR(__xludf.DUMMYFUNCTION("""COMPUTED_VALUE"""),28.0)</f>
        <v>28</v>
      </c>
      <c r="BL184" s="16">
        <f>IFERROR(__xludf.DUMMYFUNCTION("""COMPUTED_VALUE"""),-3.0)</f>
        <v>-3</v>
      </c>
      <c r="BM184" s="16">
        <f>IFERROR(__xludf.DUMMYFUNCTION("""COMPUTED_VALUE"""),-3.0)</f>
        <v>-3</v>
      </c>
      <c r="BN184" s="16">
        <f>IFERROR(__xludf.DUMMYFUNCTION("""COMPUTED_VALUE"""),-6.0)</f>
        <v>-6</v>
      </c>
      <c r="BO184" s="16">
        <f>IFERROR(__xludf.DUMMYFUNCTION("""COMPUTED_VALUE"""),-6.0)</f>
        <v>-6</v>
      </c>
      <c r="BP184" s="16">
        <f>IFERROR(__xludf.DUMMYFUNCTION("""COMPUTED_VALUE"""),1.0)</f>
        <v>1</v>
      </c>
      <c r="BQ184" s="16">
        <f>IFERROR(__xludf.DUMMYFUNCTION("""COMPUTED_VALUE"""),-2.0)</f>
        <v>-2</v>
      </c>
      <c r="BR184" s="16">
        <f>IFERROR(__xludf.DUMMYFUNCTION("""COMPUTED_VALUE"""),-1.0)</f>
        <v>-1</v>
      </c>
      <c r="BS184" s="16" t="str">
        <f>IFERROR(__xludf.DUMMYFUNCTION("""COMPUTED_VALUE"""),"5/- (3-1)")</f>
        <v>5/- (3-1)</v>
      </c>
      <c r="BT184" s="16" t="str">
        <f>IFERROR(__xludf.DUMMYFUNCTION("""COMPUTED_VALUE"""),"E")</f>
        <v>E</v>
      </c>
      <c r="BU184" s="16">
        <f>IFERROR(__xludf.DUMMYFUNCTION("""COMPUTED_VALUE"""),9.0)</f>
        <v>9</v>
      </c>
      <c r="BV184" s="16">
        <f>IFERROR(__xludf.DUMMYFUNCTION("""COMPUTED_VALUE"""),0.0)</f>
        <v>0</v>
      </c>
      <c r="BW184" s="16">
        <f>IFERROR(__xludf.DUMMYFUNCTION("""COMPUTED_VALUE"""),-1.0)</f>
        <v>-1</v>
      </c>
      <c r="BX184" s="16">
        <f>IFERROR(__xludf.DUMMYFUNCTION("""COMPUTED_VALUE"""),0.0)</f>
        <v>0</v>
      </c>
      <c r="BY184" s="16">
        <f>IFERROR(__xludf.DUMMYFUNCTION("""COMPUTED_VALUE"""),-3.0)</f>
        <v>-3</v>
      </c>
      <c r="BZ184" s="16" t="str">
        <f>IFERROR(__xludf.DUMMYFUNCTION("""COMPUTED_VALUE"""),"D")</f>
        <v>D</v>
      </c>
      <c r="CA184" s="16" t="str">
        <f>IFERROR(__xludf.DUMMYFUNCTION("""COMPUTED_VALUE"""),"C")</f>
        <v>C</v>
      </c>
      <c r="CB184" s="16">
        <f>IFERROR(__xludf.DUMMYFUNCTION("""COMPUTED_VALUE"""),0.0)</f>
        <v>0</v>
      </c>
      <c r="CC184" s="16">
        <f>IFERROR(__xludf.DUMMYFUNCTION("""COMPUTED_VALUE"""),0.0)</f>
        <v>0</v>
      </c>
      <c r="CD184" s="16">
        <f>IFERROR(__xludf.DUMMYFUNCTION("""COMPUTED_VALUE"""),0.0)</f>
        <v>0</v>
      </c>
      <c r="CE184" s="16">
        <f>IFERROR(__xludf.DUMMYFUNCTION("""COMPUTED_VALUE"""),0.0)</f>
        <v>0</v>
      </c>
      <c r="CF184" s="16">
        <f>IFERROR(__xludf.DUMMYFUNCTION("""COMPUTED_VALUE"""),1.0)</f>
        <v>1</v>
      </c>
      <c r="CG184" s="16">
        <f>IFERROR(__xludf.DUMMYFUNCTION("""COMPUTED_VALUE"""),0.0)</f>
        <v>0</v>
      </c>
      <c r="CH184" s="16">
        <f>IFERROR(__xludf.DUMMYFUNCTION("""COMPUTED_VALUE"""),-5.0)</f>
        <v>-5</v>
      </c>
      <c r="CI184" s="179">
        <f>IFERROR(__xludf.DUMMYFUNCTION("""COMPUTED_VALUE"""),2.0)</f>
        <v>2</v>
      </c>
      <c r="CJ184" s="16"/>
      <c r="CK184" s="16">
        <f>IFERROR(__xludf.DUMMYFUNCTION("""COMPUTED_VALUE"""),512.0)</f>
        <v>512</v>
      </c>
      <c r="CL184" s="16"/>
      <c r="CM184" s="16"/>
      <c r="CN184" s="16"/>
      <c r="CO184" s="16"/>
      <c r="CP184" s="16"/>
      <c r="CQ184" s="16"/>
      <c r="CR184" s="16" t="str">
        <f>IFERROR(__xludf.DUMMYFUNCTION("""COMPUTED_VALUE"""),"1b-5e12")</f>
        <v>1b-5e12</v>
      </c>
      <c r="CS184" s="16"/>
      <c r="CT184" s="16">
        <f>IFERROR(__xludf.DUMMYFUNCTION("""COMPUTED_VALUE"""),5.0)</f>
        <v>5</v>
      </c>
      <c r="CU184" s="16"/>
      <c r="CV184" s="16"/>
      <c r="CW184" s="16"/>
      <c r="CX184" s="16"/>
      <c r="CY184" s="16"/>
      <c r="CZ184" s="16"/>
      <c r="DA184" s="16"/>
      <c r="DB184" s="16">
        <f>IFERROR(__xludf.DUMMYFUNCTION("""COMPUTED_VALUE"""),12.0)</f>
        <v>12</v>
      </c>
      <c r="DC184" s="16"/>
      <c r="DD184" s="16"/>
      <c r="DE184" s="16"/>
      <c r="DF184" s="16"/>
      <c r="DG184" s="16"/>
      <c r="DH184" s="16"/>
      <c r="DI184" s="16"/>
      <c r="DJ184" s="16">
        <f>IFERROR(__xludf.DUMMYFUNCTION("""COMPUTED_VALUE"""),-2.0)</f>
        <v>-2</v>
      </c>
      <c r="DK184" s="16"/>
      <c r="DL184" s="16"/>
      <c r="DM184" s="16"/>
      <c r="DN184" s="16"/>
      <c r="DO184" s="16"/>
      <c r="DP184" s="16"/>
      <c r="DQ184" s="16"/>
      <c r="DR184" s="16">
        <f>IFERROR(__xludf.DUMMYFUNCTION("""COMPUTED_VALUE"""),1.0)</f>
        <v>1</v>
      </c>
      <c r="DS184" s="16"/>
      <c r="DT184" s="16"/>
      <c r="DU184" s="16"/>
      <c r="DV184" s="16"/>
      <c r="DW184" s="16"/>
      <c r="DX184" s="16"/>
      <c r="DY184" s="16"/>
      <c r="DZ184" s="16">
        <f>IFERROR(__xludf.DUMMYFUNCTION("""COMPUTED_VALUE"""),-1.0)</f>
        <v>-1</v>
      </c>
      <c r="EA184" s="16"/>
      <c r="EB184" s="16"/>
      <c r="EC184" s="16"/>
      <c r="ED184" s="16"/>
      <c r="EE184" s="16"/>
      <c r="EF184" s="16"/>
      <c r="EG184" s="179"/>
      <c r="EH184" s="179">
        <f>IFERROR(__xludf.DUMMYFUNCTION("""COMPUTED_VALUE"""),1.0)</f>
        <v>1</v>
      </c>
      <c r="EI184" s="179"/>
      <c r="EJ184" s="179"/>
      <c r="EK184" s="179"/>
      <c r="EL184" s="179"/>
      <c r="EM184" s="179"/>
      <c r="EN184" s="179"/>
      <c r="EO184" s="16"/>
      <c r="EP184" s="16">
        <f>IFERROR(__xludf.DUMMYFUNCTION("""COMPUTED_VALUE"""),-4.0)</f>
        <v>-4</v>
      </c>
      <c r="EQ184" s="16">
        <f>IFERROR(__xludf.DUMMYFUNCTION("""COMPUTED_VALUE"""),4.0)</f>
        <v>4</v>
      </c>
      <c r="ER184" s="16">
        <f>IFERROR(__xludf.DUMMYFUNCTION("""COMPUTED_VALUE"""),2.0)</f>
        <v>2</v>
      </c>
      <c r="ES184" s="16"/>
      <c r="ET184" s="16"/>
      <c r="EU184" s="16"/>
      <c r="EV184" s="16"/>
      <c r="EW184" s="16"/>
      <c r="EX184" s="180"/>
      <c r="EY184" s="180">
        <f>IFERROR(__xludf.DUMMYFUNCTION("""COMPUTED_VALUE"""),0.4)</f>
        <v>0.4</v>
      </c>
      <c r="EZ184" s="180"/>
      <c r="FA184" s="180"/>
      <c r="FB184" s="180"/>
      <c r="FC184" s="180"/>
      <c r="FD184" s="180"/>
      <c r="FE184" s="180"/>
      <c r="FF184" s="180"/>
      <c r="FG184" s="180">
        <f>IFERROR(__xludf.DUMMYFUNCTION("""COMPUTED_VALUE"""),0.2175925925925926)</f>
        <v>0.2175925926</v>
      </c>
      <c r="FH184" s="180"/>
      <c r="FI184" s="180"/>
      <c r="FJ184" s="180"/>
      <c r="FK184" s="180"/>
      <c r="FL184" s="180"/>
      <c r="FM184" s="180"/>
      <c r="FN184" s="16"/>
      <c r="FO184" s="16">
        <f>IFERROR(__xludf.DUMMYFUNCTION("""COMPUTED_VALUE"""),0.46944444444444444)</f>
        <v>0.4694444444</v>
      </c>
      <c r="FP184" s="16"/>
      <c r="FQ184" s="16"/>
      <c r="FR184" s="16"/>
      <c r="FS184" s="16"/>
      <c r="FT184" s="16"/>
      <c r="FU184" s="16"/>
      <c r="FV184" s="16"/>
      <c r="FW184" s="16">
        <f>IFERROR(__xludf.DUMMYFUNCTION("""COMPUTED_VALUE"""),-8.0)</f>
        <v>-8</v>
      </c>
      <c r="FX184" s="16"/>
      <c r="FY184" s="16"/>
      <c r="FZ184" s="16"/>
      <c r="GA184" s="16"/>
      <c r="GB184" s="16"/>
      <c r="GC184" s="16"/>
      <c r="GD184" s="16" t="s">
        <v>176</v>
      </c>
    </row>
    <row r="185">
      <c r="A185" s="16">
        <f>IFERROR(__xludf.DUMMYFUNCTION("""COMPUTED_VALUE"""),12741.0)</f>
        <v>12741</v>
      </c>
      <c r="B185" s="16" t="str">
        <f>IFERROR(__xludf.DUMMYFUNCTION("""COMPUTED_VALUE"""),"David Hamilton")</f>
        <v>David Hamilton</v>
      </c>
      <c r="C185" s="16">
        <f>IFERROR(__xludf.DUMMYFUNCTION("""COMPUTED_VALUE"""),1.43)</f>
        <v>1.43</v>
      </c>
      <c r="D185" s="16" t="str">
        <f>IFERROR(__xludf.DUMMYFUNCTION("""COMPUTED_VALUE"""),"L")</f>
        <v>L</v>
      </c>
      <c r="E185" s="16"/>
      <c r="F185" s="16"/>
      <c r="G185" s="16">
        <f>IFERROR(__xludf.DUMMYFUNCTION("""COMPUTED_VALUE"""),294.0)</f>
        <v>294</v>
      </c>
      <c r="H185" s="16">
        <f>IFERROR(__xludf.DUMMYFUNCTION("""COMPUTED_VALUE"""),22.0)</f>
        <v>22</v>
      </c>
      <c r="I185" s="16" t="str">
        <f>IFERROR(__xludf.DUMMYFUNCTION("""COMPUTED_VALUE"""),"3p50")</f>
        <v>3p50</v>
      </c>
      <c r="J185" s="16">
        <f>IFERROR(__xludf.DUMMYFUNCTION("""COMPUTED_VALUE"""),51.0)</f>
        <v>51</v>
      </c>
      <c r="K185" s="16">
        <f>IFERROR(__xludf.DUMMYFUNCTION("""COMPUTED_VALUE"""),26.0)</f>
        <v>26</v>
      </c>
      <c r="L185" s="16">
        <f>IFERROR(__xludf.DUMMYFUNCTION("""COMPUTED_VALUE"""),-2.0)</f>
        <v>-2</v>
      </c>
      <c r="M185" s="16">
        <f>IFERROR(__xludf.DUMMYFUNCTION("""COMPUTED_VALUE"""),0.0)</f>
        <v>0</v>
      </c>
      <c r="N185" s="16">
        <f>IFERROR(__xludf.DUMMYFUNCTION("""COMPUTED_VALUE"""),-2.0)</f>
        <v>-2</v>
      </c>
      <c r="O185" s="16">
        <f>IFERROR(__xludf.DUMMYFUNCTION("""COMPUTED_VALUE"""),0.0)</f>
        <v>0</v>
      </c>
      <c r="P185" s="16">
        <f>IFERROR(__xludf.DUMMYFUNCTION("""COMPUTED_VALUE"""),0.0)</f>
        <v>0</v>
      </c>
      <c r="Q185" s="16">
        <f>IFERROR(__xludf.DUMMYFUNCTION("""COMPUTED_VALUE"""),6.0)</f>
        <v>6</v>
      </c>
      <c r="R185" s="16">
        <f>IFERROR(__xludf.DUMMYFUNCTION("""COMPUTED_VALUE"""),-3.0)</f>
        <v>-3</v>
      </c>
      <c r="S185" s="16">
        <f>IFERROR(__xludf.DUMMYFUNCTION("""COMPUTED_VALUE"""),-1.0)</f>
        <v>-1</v>
      </c>
      <c r="T185" s="16">
        <f>IFERROR(__xludf.DUMMYFUNCTION("""COMPUTED_VALUE"""),-3.0)</f>
        <v>-3</v>
      </c>
      <c r="U185" s="16">
        <f>IFERROR(__xludf.DUMMYFUNCTION("""COMPUTED_VALUE"""),-1.0)</f>
        <v>-1</v>
      </c>
      <c r="V185" s="16">
        <f>IFERROR(__xludf.DUMMYFUNCTION("""COMPUTED_VALUE"""),15.3)</f>
        <v>15.3</v>
      </c>
      <c r="W185" s="16">
        <f>IFERROR(__xludf.DUMMYFUNCTION("""COMPUTED_VALUE"""),22.9)</f>
        <v>22.9</v>
      </c>
      <c r="X185" s="16">
        <f>IFERROR(__xludf.DUMMYFUNCTION("""COMPUTED_VALUE"""),-1.0)</f>
        <v>-1</v>
      </c>
      <c r="Y185" s="16">
        <f>IFERROR(__xludf.DUMMYFUNCTION("""COMPUTED_VALUE"""),1.0)</f>
        <v>1</v>
      </c>
      <c r="Z185" s="16">
        <f>IFERROR(__xludf.DUMMYFUNCTION("""COMPUTED_VALUE"""),-2.0)</f>
        <v>-2</v>
      </c>
      <c r="AA185" s="16">
        <f>IFERROR(__xludf.DUMMYFUNCTION("""COMPUTED_VALUE"""),2.0)</f>
        <v>2</v>
      </c>
      <c r="AB185" s="16">
        <f>IFERROR(__xludf.DUMMYFUNCTION("""COMPUTED_VALUE"""),16.3)</f>
        <v>16.3</v>
      </c>
      <c r="AC185" s="16">
        <f>IFERROR(__xludf.DUMMYFUNCTION("""COMPUTED_VALUE"""),29.9)</f>
        <v>29.9</v>
      </c>
      <c r="AD185" s="16">
        <f>IFERROR(__xludf.DUMMYFUNCTION("""COMPUTED_VALUE"""),-2.0)</f>
        <v>-2</v>
      </c>
      <c r="AE185" s="16">
        <f>IFERROR(__xludf.DUMMYFUNCTION("""COMPUTED_VALUE"""),0.0)</f>
        <v>0</v>
      </c>
      <c r="AF185" s="16">
        <f>IFERROR(__xludf.DUMMYFUNCTION("""COMPUTED_VALUE"""),-10.0)</f>
        <v>-10</v>
      </c>
      <c r="AG185" s="16">
        <f>IFERROR(__xludf.DUMMYFUNCTION("""COMPUTED_VALUE"""),0.0)</f>
        <v>0</v>
      </c>
      <c r="AH185" s="16">
        <f>IFERROR(__xludf.DUMMYFUNCTION("""COMPUTED_VALUE"""),18.3)</f>
        <v>18.3</v>
      </c>
      <c r="AI185" s="16">
        <f>IFERROR(__xludf.DUMMYFUNCTION("""COMPUTED_VALUE"""),34.8)</f>
        <v>34.8</v>
      </c>
      <c r="AJ185" s="16">
        <f>IFERROR(__xludf.DUMMYFUNCTION("""COMPUTED_VALUE"""),-1.0)</f>
        <v>-1</v>
      </c>
      <c r="AK185" s="16">
        <f>IFERROR(__xludf.DUMMYFUNCTION("""COMPUTED_VALUE"""),0.0)</f>
        <v>0</v>
      </c>
      <c r="AL185" s="16">
        <f>IFERROR(__xludf.DUMMYFUNCTION("""COMPUTED_VALUE"""),-5.0)</f>
        <v>-5</v>
      </c>
      <c r="AM185" s="16">
        <f>IFERROR(__xludf.DUMMYFUNCTION("""COMPUTED_VALUE"""),0.0)</f>
        <v>0</v>
      </c>
      <c r="AN185" s="16">
        <f>IFERROR(__xludf.DUMMYFUNCTION("""COMPUTED_VALUE"""),1.0)</f>
        <v>1</v>
      </c>
      <c r="AO185" s="16">
        <f>IFERROR(__xludf.DUMMYFUNCTION("""COMPUTED_VALUE"""),1.3)</f>
        <v>1.3</v>
      </c>
      <c r="AP185" s="16">
        <f>IFERROR(__xludf.DUMMYFUNCTION("""COMPUTED_VALUE"""),-2.0)</f>
        <v>-2</v>
      </c>
      <c r="AQ185" s="16">
        <f>IFERROR(__xludf.DUMMYFUNCTION("""COMPUTED_VALUE"""),-1.0)</f>
        <v>-1</v>
      </c>
      <c r="AR185" s="16">
        <f>IFERROR(__xludf.DUMMYFUNCTION("""COMPUTED_VALUE"""),-4.0)</f>
        <v>-4</v>
      </c>
      <c r="AS185" s="16">
        <f>IFERROR(__xludf.DUMMYFUNCTION("""COMPUTED_VALUE"""),-2.0)</f>
        <v>-2</v>
      </c>
      <c r="AT185" s="16">
        <f>IFERROR(__xludf.DUMMYFUNCTION("""COMPUTED_VALUE"""),2.0)</f>
        <v>2</v>
      </c>
      <c r="AU185" s="16">
        <f>IFERROR(__xludf.DUMMYFUNCTION("""COMPUTED_VALUE"""),2.0)</f>
        <v>2</v>
      </c>
      <c r="AV185" s="16">
        <f>IFERROR(__xludf.DUMMYFUNCTION("""COMPUTED_VALUE"""),2.0)</f>
        <v>2</v>
      </c>
      <c r="AW185" s="16">
        <f>IFERROR(__xludf.DUMMYFUNCTION("""COMPUTED_VALUE"""),2.0)</f>
        <v>2</v>
      </c>
      <c r="AX185" s="16">
        <f>IFERROR(__xludf.DUMMYFUNCTION("""COMPUTED_VALUE"""),0.0)</f>
        <v>0</v>
      </c>
      <c r="AY185" s="16">
        <f>IFERROR(__xludf.DUMMYFUNCTION("""COMPUTED_VALUE"""),0.0)</f>
        <v>0</v>
      </c>
      <c r="AZ185" s="16">
        <f>IFERROR(__xludf.DUMMYFUNCTION("""COMPUTED_VALUE"""),0.0)</f>
        <v>0</v>
      </c>
      <c r="BA185" s="16">
        <f>IFERROR(__xludf.DUMMYFUNCTION("""COMPUTED_VALUE"""),0.0)</f>
        <v>0</v>
      </c>
      <c r="BB185" s="16">
        <f>IFERROR(__xludf.DUMMYFUNCTION("""COMPUTED_VALUE"""),5.0)</f>
        <v>5</v>
      </c>
      <c r="BC185" s="16">
        <f>IFERROR(__xludf.DUMMYFUNCTION("""COMPUTED_VALUE"""),5.0)</f>
        <v>5</v>
      </c>
      <c r="BD185" s="16">
        <f>IFERROR(__xludf.DUMMYFUNCTION("""COMPUTED_VALUE"""),1.0)</f>
        <v>1</v>
      </c>
      <c r="BE185" s="16">
        <f>IFERROR(__xludf.DUMMYFUNCTION("""COMPUTED_VALUE"""),1.0)</f>
        <v>1</v>
      </c>
      <c r="BF185" s="16">
        <f>IFERROR(__xludf.DUMMYFUNCTION("""COMPUTED_VALUE"""),1.0)</f>
        <v>1</v>
      </c>
      <c r="BG185" s="16">
        <f>IFERROR(__xludf.DUMMYFUNCTION("""COMPUTED_VALUE"""),1.0)</f>
        <v>1</v>
      </c>
      <c r="BH185" s="16">
        <f>IFERROR(__xludf.DUMMYFUNCTION("""COMPUTED_VALUE"""),-6.0)</f>
        <v>-6</v>
      </c>
      <c r="BI185" s="16">
        <f>IFERROR(__xludf.DUMMYFUNCTION("""COMPUTED_VALUE"""),-6.0)</f>
        <v>-6</v>
      </c>
      <c r="BJ185" s="16">
        <f>IFERROR(__xludf.DUMMYFUNCTION("""COMPUTED_VALUE"""),0.0)</f>
        <v>0</v>
      </c>
      <c r="BK185" s="16">
        <f>IFERROR(__xludf.DUMMYFUNCTION("""COMPUTED_VALUE"""),0.0)</f>
        <v>0</v>
      </c>
      <c r="BL185" s="16">
        <f>IFERROR(__xludf.DUMMYFUNCTION("""COMPUTED_VALUE"""),3.0)</f>
        <v>3</v>
      </c>
      <c r="BM185" s="16">
        <f>IFERROR(__xludf.DUMMYFUNCTION("""COMPUTED_VALUE"""),3.0)</f>
        <v>3</v>
      </c>
      <c r="BN185" s="16">
        <f>IFERROR(__xludf.DUMMYFUNCTION("""COMPUTED_VALUE"""),3.0)</f>
        <v>3</v>
      </c>
      <c r="BO185" s="16">
        <f>IFERROR(__xludf.DUMMYFUNCTION("""COMPUTED_VALUE"""),3.0)</f>
        <v>3</v>
      </c>
      <c r="BP185" s="16">
        <f>IFERROR(__xludf.DUMMYFUNCTION("""COMPUTED_VALUE"""),-7.0)</f>
        <v>-7</v>
      </c>
      <c r="BQ185" s="16">
        <f>IFERROR(__xludf.DUMMYFUNCTION("""COMPUTED_VALUE"""),3.0)</f>
        <v>3</v>
      </c>
      <c r="BR185" s="16">
        <f>IFERROR(__xludf.DUMMYFUNCTION("""COMPUTED_VALUE"""),-4.0)</f>
        <v>-4</v>
      </c>
      <c r="BS185" s="16" t="str">
        <f>IFERROR(__xludf.DUMMYFUNCTION("""COMPUTED_VALUE"""),"*2-6,11,12/- (19-15)")</f>
        <v>*2-6,11,12/- (19-15)</v>
      </c>
      <c r="BT185" s="16" t="str">
        <f>IFERROR(__xludf.DUMMYFUNCTION("""COMPUTED_VALUE"""),"AA")</f>
        <v>AA</v>
      </c>
      <c r="BU185" s="16">
        <f>IFERROR(__xludf.DUMMYFUNCTION("""COMPUTED_VALUE"""),17.0)</f>
        <v>17</v>
      </c>
      <c r="BV185" s="16">
        <f>IFERROR(__xludf.DUMMYFUNCTION("""COMPUTED_VALUE"""),3.0)</f>
        <v>3</v>
      </c>
      <c r="BW185" s="16">
        <f>IFERROR(__xludf.DUMMYFUNCTION("""COMPUTED_VALUE"""),3.0)</f>
        <v>3</v>
      </c>
      <c r="BX185" s="16">
        <f>IFERROR(__xludf.DUMMYFUNCTION("""COMPUTED_VALUE"""),6.0)</f>
        <v>6</v>
      </c>
      <c r="BY185" s="16">
        <f>IFERROR(__xludf.DUMMYFUNCTION("""COMPUTED_VALUE"""),9.0)</f>
        <v>9</v>
      </c>
      <c r="BZ185" s="16" t="str">
        <f>IFERROR(__xludf.DUMMYFUNCTION("""COMPUTED_VALUE"""),"D")</f>
        <v>D</v>
      </c>
      <c r="CA185" s="16" t="str">
        <f>IFERROR(__xludf.DUMMYFUNCTION("""COMPUTED_VALUE"""),"D")</f>
        <v>D</v>
      </c>
      <c r="CB185" s="16">
        <f>IFERROR(__xludf.DUMMYFUNCTION("""COMPUTED_VALUE"""),0.0)</f>
        <v>0</v>
      </c>
      <c r="CC185" s="16">
        <f>IFERROR(__xludf.DUMMYFUNCTION("""COMPUTED_VALUE"""),0.0)</f>
        <v>0</v>
      </c>
      <c r="CD185" s="16">
        <f>IFERROR(__xludf.DUMMYFUNCTION("""COMPUTED_VALUE"""),0.0)</f>
        <v>0</v>
      </c>
      <c r="CE185" s="16">
        <f>IFERROR(__xludf.DUMMYFUNCTION("""COMPUTED_VALUE"""),0.0)</f>
        <v>0</v>
      </c>
      <c r="CF185" s="16">
        <f>IFERROR(__xludf.DUMMYFUNCTION("""COMPUTED_VALUE"""),3.0)</f>
        <v>3</v>
      </c>
      <c r="CG185" s="16">
        <f>IFERROR(__xludf.DUMMYFUNCTION("""COMPUTED_VALUE"""),-22.0)</f>
        <v>-22</v>
      </c>
      <c r="CH185" s="16">
        <f>IFERROR(__xludf.DUMMYFUNCTION("""COMPUTED_VALUE"""),3.0)</f>
        <v>3</v>
      </c>
      <c r="CI185" s="179">
        <f>IFERROR(__xludf.DUMMYFUNCTION("""COMPUTED_VALUE"""),2.0)</f>
        <v>2</v>
      </c>
      <c r="CJ185" s="16"/>
      <c r="CK185" s="16"/>
      <c r="CL185" s="16">
        <f>IFERROR(__xludf.DUMMYFUNCTION("""COMPUTED_VALUE"""),416.0)</f>
        <v>416</v>
      </c>
      <c r="CM185" s="16"/>
      <c r="CN185" s="16">
        <f>IFERROR(__xludf.DUMMYFUNCTION("""COMPUTED_VALUE"""),423.0)</f>
        <v>423</v>
      </c>
      <c r="CO185" s="16"/>
      <c r="CP185" s="16"/>
      <c r="CQ185" s="16"/>
      <c r="CR185" s="16" t="str">
        <f>IFERROR(__xludf.DUMMYFUNCTION("""COMPUTED_VALUE"""),"ss-4e23 2b-4e16")</f>
        <v>ss-4e23 2b-4e16</v>
      </c>
      <c r="CS185" s="16"/>
      <c r="CT185" s="16"/>
      <c r="CU185" s="16">
        <f>IFERROR(__xludf.DUMMYFUNCTION("""COMPUTED_VALUE"""),4.0)</f>
        <v>4</v>
      </c>
      <c r="CV185" s="16"/>
      <c r="CW185" s="16">
        <f>IFERROR(__xludf.DUMMYFUNCTION("""COMPUTED_VALUE"""),4.0)</f>
        <v>4</v>
      </c>
      <c r="CX185" s="16"/>
      <c r="CY185" s="16"/>
      <c r="CZ185" s="16"/>
      <c r="DA185" s="16"/>
      <c r="DB185" s="16"/>
      <c r="DC185" s="16">
        <f>IFERROR(__xludf.DUMMYFUNCTION("""COMPUTED_VALUE"""),16.0)</f>
        <v>16</v>
      </c>
      <c r="DD185" s="16"/>
      <c r="DE185" s="16">
        <f>IFERROR(__xludf.DUMMYFUNCTION("""COMPUTED_VALUE"""),23.0)</f>
        <v>23</v>
      </c>
      <c r="DF185" s="16"/>
      <c r="DG185" s="16"/>
      <c r="DH185" s="16"/>
      <c r="DI185" s="16"/>
      <c r="DJ185" s="16"/>
      <c r="DK185" s="16">
        <f>IFERROR(__xludf.DUMMYFUNCTION("""COMPUTED_VALUE"""),-2.0)</f>
        <v>-2</v>
      </c>
      <c r="DL185" s="16"/>
      <c r="DM185" s="16">
        <f>IFERROR(__xludf.DUMMYFUNCTION("""COMPUTED_VALUE"""),-2.0)</f>
        <v>-2</v>
      </c>
      <c r="DN185" s="16"/>
      <c r="DO185" s="16"/>
      <c r="DP185" s="16"/>
      <c r="DQ185" s="16"/>
      <c r="DR185" s="16"/>
      <c r="DS185" s="16">
        <f>IFERROR(__xludf.DUMMYFUNCTION("""COMPUTED_VALUE"""),2.0)</f>
        <v>2</v>
      </c>
      <c r="DT185" s="16"/>
      <c r="DU185" s="16">
        <f>IFERROR(__xludf.DUMMYFUNCTION("""COMPUTED_VALUE"""),0.0)</f>
        <v>0</v>
      </c>
      <c r="DV185" s="16"/>
      <c r="DW185" s="16"/>
      <c r="DX185" s="16"/>
      <c r="DY185" s="16"/>
      <c r="DZ185" s="16"/>
      <c r="EA185" s="16">
        <f>IFERROR(__xludf.DUMMYFUNCTION("""COMPUTED_VALUE"""),0.0)</f>
        <v>0</v>
      </c>
      <c r="EB185" s="16"/>
      <c r="EC185" s="16">
        <f>IFERROR(__xludf.DUMMYFUNCTION("""COMPUTED_VALUE"""),-2.0)</f>
        <v>-2</v>
      </c>
      <c r="ED185" s="16"/>
      <c r="EE185" s="16"/>
      <c r="EF185" s="16"/>
      <c r="EG185" s="179"/>
      <c r="EH185" s="179"/>
      <c r="EI185" s="179">
        <f>IFERROR(__xludf.DUMMYFUNCTION("""COMPUTED_VALUE"""),2.0)</f>
        <v>2</v>
      </c>
      <c r="EJ185" s="179"/>
      <c r="EK185" s="179">
        <f>IFERROR(__xludf.DUMMYFUNCTION("""COMPUTED_VALUE"""),0.0)</f>
        <v>0</v>
      </c>
      <c r="EL185" s="179"/>
      <c r="EM185" s="179"/>
      <c r="EN185" s="179"/>
      <c r="EO185" s="16"/>
      <c r="EP185" s="16">
        <f>IFERROR(__xludf.DUMMYFUNCTION("""COMPUTED_VALUE"""),-2.0)</f>
        <v>-2</v>
      </c>
      <c r="EQ185" s="16">
        <f>IFERROR(__xludf.DUMMYFUNCTION("""COMPUTED_VALUE"""),1.0)</f>
        <v>1</v>
      </c>
      <c r="ER185" s="16">
        <f>IFERROR(__xludf.DUMMYFUNCTION("""COMPUTED_VALUE"""),0.0)</f>
        <v>0</v>
      </c>
      <c r="ES185" s="16"/>
      <c r="ET185" s="16"/>
      <c r="EU185" s="16"/>
      <c r="EV185" s="16"/>
      <c r="EW185" s="16"/>
      <c r="EX185" s="180"/>
      <c r="EY185" s="180"/>
      <c r="EZ185" s="180">
        <f>IFERROR(__xludf.DUMMYFUNCTION("""COMPUTED_VALUE"""),0.3)</f>
        <v>0.3</v>
      </c>
      <c r="FA185" s="180"/>
      <c r="FB185" s="180">
        <f>IFERROR(__xludf.DUMMYFUNCTION("""COMPUTED_VALUE"""),0.3)</f>
        <v>0.3</v>
      </c>
      <c r="FC185" s="180"/>
      <c r="FD185" s="180"/>
      <c r="FE185" s="180"/>
      <c r="FF185" s="180"/>
      <c r="FG185" s="180"/>
      <c r="FH185" s="180">
        <f>IFERROR(__xludf.DUMMYFUNCTION("""COMPUTED_VALUE"""),0.09722222222222222)</f>
        <v>0.09722222222</v>
      </c>
      <c r="FI185" s="180"/>
      <c r="FJ185" s="180">
        <f>IFERROR(__xludf.DUMMYFUNCTION("""COMPUTED_VALUE"""),0.12037037037037036)</f>
        <v>0.1203703704</v>
      </c>
      <c r="FK185" s="180"/>
      <c r="FL185" s="180"/>
      <c r="FM185" s="180"/>
      <c r="FN185" s="16"/>
      <c r="FO185" s="16"/>
      <c r="FP185" s="16">
        <f>IFERROR(__xludf.DUMMYFUNCTION("""COMPUTED_VALUE"""),0.6319444444444444)</f>
        <v>0.6319444444</v>
      </c>
      <c r="FQ185" s="16"/>
      <c r="FR185" s="16">
        <f>IFERROR(__xludf.DUMMYFUNCTION("""COMPUTED_VALUE"""),0.6157407407407407)</f>
        <v>0.6157407407</v>
      </c>
      <c r="FS185" s="16"/>
      <c r="FT185" s="16"/>
      <c r="FU185" s="16"/>
      <c r="FV185" s="16"/>
      <c r="FW185" s="16"/>
      <c r="FX185" s="16">
        <f>IFERROR(__xludf.DUMMYFUNCTION("""COMPUTED_VALUE"""),-6.0)</f>
        <v>-6</v>
      </c>
      <c r="FY185" s="16"/>
      <c r="FZ185" s="16">
        <f>IFERROR(__xludf.DUMMYFUNCTION("""COMPUTED_VALUE"""),-6.0)</f>
        <v>-6</v>
      </c>
      <c r="GA185" s="16"/>
      <c r="GB185" s="16"/>
      <c r="GC185" s="16"/>
      <c r="GD185" s="16" t="s">
        <v>176</v>
      </c>
    </row>
    <row r="186">
      <c r="A186" s="16">
        <f>IFERROR(__xludf.DUMMYFUNCTION("""COMPUTED_VALUE"""),12538.0)</f>
        <v>12538</v>
      </c>
      <c r="B186" s="16" t="str">
        <f>IFERROR(__xludf.DUMMYFUNCTION("""COMPUTED_VALUE"""),"Andrew Benintendi")</f>
        <v>Andrew Benintendi</v>
      </c>
      <c r="C186" s="16">
        <f>IFERROR(__xludf.DUMMYFUNCTION("""COMPUTED_VALUE"""),0.0)</f>
        <v>0</v>
      </c>
      <c r="D186" s="16" t="str">
        <f>IFERROR(__xludf.DUMMYFUNCTION("""COMPUTED_VALUE"""),"L")</f>
        <v>L</v>
      </c>
      <c r="E186" s="16"/>
      <c r="F186" s="16"/>
      <c r="G186" s="16">
        <f>IFERROR(__xludf.DUMMYFUNCTION("""COMPUTED_VALUE"""),477.0)</f>
        <v>477</v>
      </c>
      <c r="H186" s="16">
        <f>IFERROR(__xludf.DUMMYFUNCTION("""COMPUTED_VALUE"""),41.0)</f>
        <v>41</v>
      </c>
      <c r="I186" s="16" t="str">
        <f>IFERROR(__xludf.DUMMYFUNCTION("""COMPUTED_VALUE"""),"1p60")</f>
        <v>1p60</v>
      </c>
      <c r="J186" s="16">
        <f>IFERROR(__xludf.DUMMYFUNCTION("""COMPUTED_VALUE"""),24.0)</f>
        <v>24</v>
      </c>
      <c r="K186" s="16">
        <f>IFERROR(__xludf.DUMMYFUNCTION("""COMPUTED_VALUE"""),12.0)</f>
        <v>12</v>
      </c>
      <c r="L186" s="16">
        <f>IFERROR(__xludf.DUMMYFUNCTION("""COMPUTED_VALUE"""),0.0)</f>
        <v>0</v>
      </c>
      <c r="M186" s="16">
        <f>IFERROR(__xludf.DUMMYFUNCTION("""COMPUTED_VALUE"""),1.0)</f>
        <v>1</v>
      </c>
      <c r="N186" s="16">
        <f>IFERROR(__xludf.DUMMYFUNCTION("""COMPUTED_VALUE"""),0.0)</f>
        <v>0</v>
      </c>
      <c r="O186" s="16">
        <f>IFERROR(__xludf.DUMMYFUNCTION("""COMPUTED_VALUE"""),1.0)</f>
        <v>1</v>
      </c>
      <c r="P186" s="16">
        <f>IFERROR(__xludf.DUMMYFUNCTION("""COMPUTED_VALUE"""),7.0)</f>
        <v>7</v>
      </c>
      <c r="Q186" s="16">
        <f>IFERROR(__xludf.DUMMYFUNCTION("""COMPUTED_VALUE"""),8.0)</f>
        <v>8</v>
      </c>
      <c r="R186" s="16">
        <f>IFERROR(__xludf.DUMMYFUNCTION("""COMPUTED_VALUE"""),-1.0)</f>
        <v>-1</v>
      </c>
      <c r="S186" s="16">
        <f>IFERROR(__xludf.DUMMYFUNCTION("""COMPUTED_VALUE"""),0.0)</f>
        <v>0</v>
      </c>
      <c r="T186" s="16">
        <f>IFERROR(__xludf.DUMMYFUNCTION("""COMPUTED_VALUE"""),-1.0)</f>
        <v>-1</v>
      </c>
      <c r="U186" s="16">
        <f>IFERROR(__xludf.DUMMYFUNCTION("""COMPUTED_VALUE"""),0.0)</f>
        <v>0</v>
      </c>
      <c r="V186" s="16">
        <f>IFERROR(__xludf.DUMMYFUNCTION("""COMPUTED_VALUE"""),13.3)</f>
        <v>13.3</v>
      </c>
      <c r="W186" s="16">
        <f>IFERROR(__xludf.DUMMYFUNCTION("""COMPUTED_VALUE"""),17.3)</f>
        <v>17.3</v>
      </c>
      <c r="X186" s="16">
        <f>IFERROR(__xludf.DUMMYFUNCTION("""COMPUTED_VALUE"""),-1.0)</f>
        <v>-1</v>
      </c>
      <c r="Y186" s="16">
        <f>IFERROR(__xludf.DUMMYFUNCTION("""COMPUTED_VALUE"""),-1.0)</f>
        <v>-1</v>
      </c>
      <c r="Z186" s="16">
        <f>IFERROR(__xludf.DUMMYFUNCTION("""COMPUTED_VALUE"""),-2.0)</f>
        <v>-2</v>
      </c>
      <c r="AA186" s="16">
        <f>IFERROR(__xludf.DUMMYFUNCTION("""COMPUTED_VALUE"""),-2.0)</f>
        <v>-2</v>
      </c>
      <c r="AB186" s="16">
        <f>IFERROR(__xludf.DUMMYFUNCTION("""COMPUTED_VALUE"""),20.3)</f>
        <v>20.3</v>
      </c>
      <c r="AC186" s="16">
        <f>IFERROR(__xludf.DUMMYFUNCTION("""COMPUTED_VALUE"""),25.3)</f>
        <v>25.3</v>
      </c>
      <c r="AD186" s="16">
        <f>IFERROR(__xludf.DUMMYFUNCTION("""COMPUTED_VALUE"""),-1.0)</f>
        <v>-1</v>
      </c>
      <c r="AE186" s="16">
        <f>IFERROR(__xludf.DUMMYFUNCTION("""COMPUTED_VALUE"""),-1.0)</f>
        <v>-1</v>
      </c>
      <c r="AF186" s="16">
        <f>IFERROR(__xludf.DUMMYFUNCTION("""COMPUTED_VALUE"""),-5.0)</f>
        <v>-5</v>
      </c>
      <c r="AG186" s="16">
        <f>IFERROR(__xludf.DUMMYFUNCTION("""COMPUTED_VALUE"""),-5.0)</f>
        <v>-5</v>
      </c>
      <c r="AH186" s="16">
        <f>IFERROR(__xludf.DUMMYFUNCTION("""COMPUTED_VALUE"""),20.8)</f>
        <v>20.8</v>
      </c>
      <c r="AI186" s="16">
        <f>IFERROR(__xludf.DUMMYFUNCTION("""COMPUTED_VALUE"""),29.6)</f>
        <v>29.6</v>
      </c>
      <c r="AJ186" s="16">
        <f>IFERROR(__xludf.DUMMYFUNCTION("""COMPUTED_VALUE"""),-1.0)</f>
        <v>-1</v>
      </c>
      <c r="AK186" s="16">
        <f>IFERROR(__xludf.DUMMYFUNCTION("""COMPUTED_VALUE"""),0.0)</f>
        <v>0</v>
      </c>
      <c r="AL186" s="16">
        <f>IFERROR(__xludf.DUMMYFUNCTION("""COMPUTED_VALUE"""),-5.0)</f>
        <v>-5</v>
      </c>
      <c r="AM186" s="16">
        <f>IFERROR(__xludf.DUMMYFUNCTION("""COMPUTED_VALUE"""),0.0)</f>
        <v>0</v>
      </c>
      <c r="AN186" s="16">
        <f>IFERROR(__xludf.DUMMYFUNCTION("""COMPUTED_VALUE"""),2.3)</f>
        <v>2.3</v>
      </c>
      <c r="AO186" s="16">
        <f>IFERROR(__xludf.DUMMYFUNCTION("""COMPUTED_VALUE"""),2.8)</f>
        <v>2.8</v>
      </c>
      <c r="AP186" s="16">
        <f>IFERROR(__xludf.DUMMYFUNCTION("""COMPUTED_VALUE"""),0.0)</f>
        <v>0</v>
      </c>
      <c r="AQ186" s="16">
        <f>IFERROR(__xludf.DUMMYFUNCTION("""COMPUTED_VALUE"""),0.0)</f>
        <v>0</v>
      </c>
      <c r="AR186" s="16">
        <f>IFERROR(__xludf.DUMMYFUNCTION("""COMPUTED_VALUE"""),0.0)</f>
        <v>0</v>
      </c>
      <c r="AS186" s="16">
        <f>IFERROR(__xludf.DUMMYFUNCTION("""COMPUTED_VALUE"""),0.0)</f>
        <v>0</v>
      </c>
      <c r="AT186" s="16">
        <f>IFERROR(__xludf.DUMMYFUNCTION("""COMPUTED_VALUE"""),4.0)</f>
        <v>4</v>
      </c>
      <c r="AU186" s="16">
        <f>IFERROR(__xludf.DUMMYFUNCTION("""COMPUTED_VALUE"""),5.0)</f>
        <v>5</v>
      </c>
      <c r="AV186" s="16">
        <f>IFERROR(__xludf.DUMMYFUNCTION("""COMPUTED_VALUE"""),4.0)</f>
        <v>4</v>
      </c>
      <c r="AW186" s="16">
        <f>IFERROR(__xludf.DUMMYFUNCTION("""COMPUTED_VALUE"""),5.0)</f>
        <v>5</v>
      </c>
      <c r="AX186" s="16">
        <f>IFERROR(__xludf.DUMMYFUNCTION("""COMPUTED_VALUE"""),2.0)</f>
        <v>2</v>
      </c>
      <c r="AY186" s="16">
        <f>IFERROR(__xludf.DUMMYFUNCTION("""COMPUTED_VALUE"""),2.0)</f>
        <v>2</v>
      </c>
      <c r="AZ186" s="16">
        <f>IFERROR(__xludf.DUMMYFUNCTION("""COMPUTED_VALUE"""),6.0)</f>
        <v>6</v>
      </c>
      <c r="BA186" s="16">
        <f>IFERROR(__xludf.DUMMYFUNCTION("""COMPUTED_VALUE"""),6.0)</f>
        <v>6</v>
      </c>
      <c r="BB186" s="16">
        <f>IFERROR(__xludf.DUMMYFUNCTION("""COMPUTED_VALUE"""),5.0)</f>
        <v>5</v>
      </c>
      <c r="BC186" s="16">
        <f>IFERROR(__xludf.DUMMYFUNCTION("""COMPUTED_VALUE"""),5.0)</f>
        <v>5</v>
      </c>
      <c r="BD186" s="16">
        <f>IFERROR(__xludf.DUMMYFUNCTION("""COMPUTED_VALUE"""),1.0)</f>
        <v>1</v>
      </c>
      <c r="BE186" s="16">
        <f>IFERROR(__xludf.DUMMYFUNCTION("""COMPUTED_VALUE"""),1.0)</f>
        <v>1</v>
      </c>
      <c r="BF186" s="16">
        <f>IFERROR(__xludf.DUMMYFUNCTION("""COMPUTED_VALUE"""),1.0)</f>
        <v>1</v>
      </c>
      <c r="BG186" s="16">
        <f>IFERROR(__xludf.DUMMYFUNCTION("""COMPUTED_VALUE"""),1.0)</f>
        <v>1</v>
      </c>
      <c r="BH186" s="16">
        <f>IFERROR(__xludf.DUMMYFUNCTION("""COMPUTED_VALUE"""),-2.0)</f>
        <v>-2</v>
      </c>
      <c r="BI186" s="16">
        <f>IFERROR(__xludf.DUMMYFUNCTION("""COMPUTED_VALUE"""),-2.0)</f>
        <v>-2</v>
      </c>
      <c r="BJ186" s="16">
        <f>IFERROR(__xludf.DUMMYFUNCTION("""COMPUTED_VALUE"""),18.0)</f>
        <v>18</v>
      </c>
      <c r="BK186" s="16">
        <f>IFERROR(__xludf.DUMMYFUNCTION("""COMPUTED_VALUE"""),18.0)</f>
        <v>18</v>
      </c>
      <c r="BL186" s="16">
        <f>IFERROR(__xludf.DUMMYFUNCTION("""COMPUTED_VALUE"""),-1.0)</f>
        <v>-1</v>
      </c>
      <c r="BM186" s="16">
        <f>IFERROR(__xludf.DUMMYFUNCTION("""COMPUTED_VALUE"""),-1.0)</f>
        <v>-1</v>
      </c>
      <c r="BN186" s="16">
        <f>IFERROR(__xludf.DUMMYFUNCTION("""COMPUTED_VALUE"""),-2.0)</f>
        <v>-2</v>
      </c>
      <c r="BO186" s="16">
        <f>IFERROR(__xludf.DUMMYFUNCTION("""COMPUTED_VALUE"""),-2.0)</f>
        <v>-2</v>
      </c>
      <c r="BP186" s="16">
        <f>IFERROR(__xludf.DUMMYFUNCTION("""COMPUTED_VALUE"""),-2.0)</f>
        <v>-2</v>
      </c>
      <c r="BQ186" s="16">
        <f>IFERROR(__xludf.DUMMYFUNCTION("""COMPUTED_VALUE"""),1.0)</f>
        <v>1</v>
      </c>
      <c r="BR186" s="16">
        <f>IFERROR(__xludf.DUMMYFUNCTION("""COMPUTED_VALUE"""),-1.0)</f>
        <v>-1</v>
      </c>
      <c r="BS186" s="16" t="str">
        <f>IFERROR(__xludf.DUMMYFUNCTION("""COMPUTED_VALUE"""),"6/- (13-6)")</f>
        <v>6/- (13-6)</v>
      </c>
      <c r="BT186" s="16" t="str">
        <f>IFERROR(__xludf.DUMMYFUNCTION("""COMPUTED_VALUE"""),"D")</f>
        <v>D</v>
      </c>
      <c r="BU186" s="16">
        <f>IFERROR(__xludf.DUMMYFUNCTION("""COMPUTED_VALUE"""),12.0)</f>
        <v>12</v>
      </c>
      <c r="BV186" s="16">
        <f>IFERROR(__xludf.DUMMYFUNCTION("""COMPUTED_VALUE"""),0.0)</f>
        <v>0</v>
      </c>
      <c r="BW186" s="16">
        <f>IFERROR(__xludf.DUMMYFUNCTION("""COMPUTED_VALUE"""),0.0)</f>
        <v>0</v>
      </c>
      <c r="BX186" s="16">
        <f>IFERROR(__xludf.DUMMYFUNCTION("""COMPUTED_VALUE"""),0.0)</f>
        <v>0</v>
      </c>
      <c r="BY186" s="16">
        <f>IFERROR(__xludf.DUMMYFUNCTION("""COMPUTED_VALUE"""),0.0)</f>
        <v>0</v>
      </c>
      <c r="BZ186" s="16" t="str">
        <f>IFERROR(__xludf.DUMMYFUNCTION("""COMPUTED_VALUE"""),"D")</f>
        <v>D</v>
      </c>
      <c r="CA186" s="16" t="str">
        <f>IFERROR(__xludf.DUMMYFUNCTION("""COMPUTED_VALUE"""),"C")</f>
        <v>C</v>
      </c>
      <c r="CB186" s="16">
        <f>IFERROR(__xludf.DUMMYFUNCTION("""COMPUTED_VALUE"""),0.0)</f>
        <v>0</v>
      </c>
      <c r="CC186" s="16">
        <f>IFERROR(__xludf.DUMMYFUNCTION("""COMPUTED_VALUE"""),0.0)</f>
        <v>0</v>
      </c>
      <c r="CD186" s="16">
        <f>IFERROR(__xludf.DUMMYFUNCTION("""COMPUTED_VALUE"""),0.0)</f>
        <v>0</v>
      </c>
      <c r="CE186" s="16">
        <f>IFERROR(__xludf.DUMMYFUNCTION("""COMPUTED_VALUE"""),0.0)</f>
        <v>0</v>
      </c>
      <c r="CF186" s="16">
        <f>IFERROR(__xludf.DUMMYFUNCTION("""COMPUTED_VALUE"""),1.0)</f>
        <v>1</v>
      </c>
      <c r="CG186" s="16">
        <f>IFERROR(__xludf.DUMMYFUNCTION("""COMPUTED_VALUE"""),-8.0)</f>
        <v>-8</v>
      </c>
      <c r="CH186" s="16">
        <f>IFERROR(__xludf.DUMMYFUNCTION("""COMPUTED_VALUE"""),-1.0)</f>
        <v>-1</v>
      </c>
      <c r="CI186" s="179">
        <f>IFERROR(__xludf.DUMMYFUNCTION("""COMPUTED_VALUE"""),2.0)</f>
        <v>2</v>
      </c>
      <c r="CJ186" s="16"/>
      <c r="CK186" s="16"/>
      <c r="CL186" s="16"/>
      <c r="CM186" s="16"/>
      <c r="CN186" s="16"/>
      <c r="CO186" s="16">
        <f>IFERROR(__xludf.DUMMYFUNCTION("""COMPUTED_VALUE"""),304.0)</f>
        <v>304</v>
      </c>
      <c r="CP186" s="16"/>
      <c r="CQ186" s="16"/>
      <c r="CR186" s="16" t="str">
        <f>IFERROR(__xludf.DUMMYFUNCTION("""COMPUTED_VALUE"""),"lf-3(+1)e4")</f>
        <v>lf-3(+1)e4</v>
      </c>
      <c r="CS186" s="16"/>
      <c r="CT186" s="16"/>
      <c r="CU186" s="16"/>
      <c r="CV186" s="16"/>
      <c r="CW186" s="16"/>
      <c r="CX186" s="16">
        <f>IFERROR(__xludf.DUMMYFUNCTION("""COMPUTED_VALUE"""),3.0)</f>
        <v>3</v>
      </c>
      <c r="CY186" s="16"/>
      <c r="CZ186" s="16"/>
      <c r="DA186" s="16"/>
      <c r="DB186" s="16"/>
      <c r="DC186" s="16"/>
      <c r="DD186" s="16"/>
      <c r="DE186" s="16"/>
      <c r="DF186" s="16">
        <f>IFERROR(__xludf.DUMMYFUNCTION("""COMPUTED_VALUE"""),4.0)</f>
        <v>4</v>
      </c>
      <c r="DG186" s="16"/>
      <c r="DH186" s="16"/>
      <c r="DI186" s="16"/>
      <c r="DJ186" s="16"/>
      <c r="DK186" s="16"/>
      <c r="DL186" s="16"/>
      <c r="DM186" s="16"/>
      <c r="DN186" s="16">
        <f>IFERROR(__xludf.DUMMYFUNCTION("""COMPUTED_VALUE"""),0.0)</f>
        <v>0</v>
      </c>
      <c r="DO186" s="16"/>
      <c r="DP186" s="16"/>
      <c r="DQ186" s="16"/>
      <c r="DR186" s="16"/>
      <c r="DS186" s="16"/>
      <c r="DT186" s="16"/>
      <c r="DU186" s="16"/>
      <c r="DV186" s="16">
        <f>IFERROR(__xludf.DUMMYFUNCTION("""COMPUTED_VALUE"""),2.0)</f>
        <v>2</v>
      </c>
      <c r="DW186" s="16"/>
      <c r="DX186" s="16"/>
      <c r="DY186" s="16"/>
      <c r="DZ186" s="16"/>
      <c r="EA186" s="16"/>
      <c r="EB186" s="16"/>
      <c r="EC186" s="16"/>
      <c r="ED186" s="16">
        <f>IFERROR(__xludf.DUMMYFUNCTION("""COMPUTED_VALUE"""),2.0)</f>
        <v>2</v>
      </c>
      <c r="EE186" s="16"/>
      <c r="EF186" s="16"/>
      <c r="EG186" s="179"/>
      <c r="EH186" s="179"/>
      <c r="EI186" s="179"/>
      <c r="EJ186" s="179"/>
      <c r="EK186" s="179"/>
      <c r="EL186" s="179">
        <f>IFERROR(__xludf.DUMMYFUNCTION("""COMPUTED_VALUE"""),4.0)</f>
        <v>4</v>
      </c>
      <c r="EM186" s="179"/>
      <c r="EN186" s="179"/>
      <c r="EO186" s="16"/>
      <c r="EP186" s="16">
        <f>IFERROR(__xludf.DUMMYFUNCTION("""COMPUTED_VALUE"""),0.0)</f>
        <v>0</v>
      </c>
      <c r="EQ186" s="16">
        <f>IFERROR(__xludf.DUMMYFUNCTION("""COMPUTED_VALUE"""),4.0)</f>
        <v>4</v>
      </c>
      <c r="ER186" s="16">
        <f>IFERROR(__xludf.DUMMYFUNCTION("""COMPUTED_VALUE"""),1.0)</f>
        <v>1</v>
      </c>
      <c r="ES186" s="16"/>
      <c r="ET186" s="16"/>
      <c r="EU186" s="16"/>
      <c r="EV186" s="16"/>
      <c r="EW186" s="16"/>
      <c r="EX186" s="180"/>
      <c r="EY186" s="180"/>
      <c r="EZ186" s="180"/>
      <c r="FA186" s="180"/>
      <c r="FB186" s="180"/>
      <c r="FC186" s="180">
        <f>IFERROR(__xludf.DUMMYFUNCTION("""COMPUTED_VALUE"""),0.3)</f>
        <v>0.3</v>
      </c>
      <c r="FD186" s="180"/>
      <c r="FE186" s="180"/>
      <c r="FF186" s="180"/>
      <c r="FG186" s="180"/>
      <c r="FH186" s="180"/>
      <c r="FI186" s="180"/>
      <c r="FJ186" s="180"/>
      <c r="FK186" s="180">
        <f>IFERROR(__xludf.DUMMYFUNCTION("""COMPUTED_VALUE"""),0.069)</f>
        <v>0.069</v>
      </c>
      <c r="FL186" s="180"/>
      <c r="FM186" s="180"/>
      <c r="FN186" s="16"/>
      <c r="FO186" s="16"/>
      <c r="FP186" s="16"/>
      <c r="FQ186" s="16"/>
      <c r="FR186" s="16"/>
      <c r="FS186" s="16">
        <f>IFERROR(__xludf.DUMMYFUNCTION("""COMPUTED_VALUE"""),0.6517)</f>
        <v>0.6517</v>
      </c>
      <c r="FT186" s="16"/>
      <c r="FU186" s="16"/>
      <c r="FV186" s="16"/>
      <c r="FW186" s="16"/>
      <c r="FX186" s="16"/>
      <c r="FY186" s="16"/>
      <c r="FZ186" s="16"/>
      <c r="GA186" s="16">
        <f>IFERROR(__xludf.DUMMYFUNCTION("""COMPUTED_VALUE"""),-4.0)</f>
        <v>-4</v>
      </c>
      <c r="GB186" s="16"/>
      <c r="GC186" s="16"/>
      <c r="GD186" s="16" t="s">
        <v>176</v>
      </c>
    </row>
    <row r="187">
      <c r="A187" s="16">
        <f>IFERROR(__xludf.DUMMYFUNCTION("""COMPUTED_VALUE"""),12532.0)</f>
        <v>12532</v>
      </c>
      <c r="B187" s="16" t="str">
        <f>IFERROR(__xludf.DUMMYFUNCTION("""COMPUTED_VALUE"""),"Amed Rosario")</f>
        <v>Amed Rosario</v>
      </c>
      <c r="C187" s="16">
        <f>IFERROR(__xludf.DUMMYFUNCTION("""COMPUTED_VALUE"""),0.0)</f>
        <v>0</v>
      </c>
      <c r="D187" s="16" t="str">
        <f>IFERROR(__xludf.DUMMYFUNCTION("""COMPUTED_VALUE"""),"R")</f>
        <v>R</v>
      </c>
      <c r="E187" s="16"/>
      <c r="F187" s="16"/>
      <c r="G187" s="16">
        <f>IFERROR(__xludf.DUMMYFUNCTION("""COMPUTED_VALUE"""),332.0)</f>
        <v>332</v>
      </c>
      <c r="H187" s="16">
        <f>IFERROR(__xludf.DUMMYFUNCTION("""COMPUTED_VALUE"""),9.0)</f>
        <v>9</v>
      </c>
      <c r="I187" s="16" t="str">
        <f>IFERROR(__xludf.DUMMYFUNCTION("""COMPUTED_VALUE"""),"1p50")</f>
        <v>1p50</v>
      </c>
      <c r="J187" s="16">
        <f>IFERROR(__xludf.DUMMYFUNCTION("""COMPUTED_VALUE"""),17.0)</f>
        <v>17</v>
      </c>
      <c r="K187" s="16">
        <f>IFERROR(__xludf.DUMMYFUNCTION("""COMPUTED_VALUE"""),22.0)</f>
        <v>22</v>
      </c>
      <c r="L187" s="16">
        <f>IFERROR(__xludf.DUMMYFUNCTION("""COMPUTED_VALUE"""),1.0)</f>
        <v>1</v>
      </c>
      <c r="M187" s="16">
        <f>IFERROR(__xludf.DUMMYFUNCTION("""COMPUTED_VALUE"""),0.0)</f>
        <v>0</v>
      </c>
      <c r="N187" s="16">
        <f>IFERROR(__xludf.DUMMYFUNCTION("""COMPUTED_VALUE"""),1.0)</f>
        <v>1</v>
      </c>
      <c r="O187" s="16">
        <f>IFERROR(__xludf.DUMMYFUNCTION("""COMPUTED_VALUE"""),0.0)</f>
        <v>0</v>
      </c>
      <c r="P187" s="16">
        <f>IFERROR(__xludf.DUMMYFUNCTION("""COMPUTED_VALUE"""),0.0)</f>
        <v>0</v>
      </c>
      <c r="Q187" s="16">
        <f>IFERROR(__xludf.DUMMYFUNCTION("""COMPUTED_VALUE"""),0.0)</f>
        <v>0</v>
      </c>
      <c r="R187" s="16">
        <f>IFERROR(__xludf.DUMMYFUNCTION("""COMPUTED_VALUE"""),-3.0)</f>
        <v>-3</v>
      </c>
      <c r="S187" s="16">
        <f>IFERROR(__xludf.DUMMYFUNCTION("""COMPUTED_VALUE"""),-2.0)</f>
        <v>-2</v>
      </c>
      <c r="T187" s="16">
        <f>IFERROR(__xludf.DUMMYFUNCTION("""COMPUTED_VALUE"""),-3.0)</f>
        <v>-3</v>
      </c>
      <c r="U187" s="16">
        <f>IFERROR(__xludf.DUMMYFUNCTION("""COMPUTED_VALUE"""),-2.0)</f>
        <v>-2</v>
      </c>
      <c r="V187" s="16">
        <f>IFERROR(__xludf.DUMMYFUNCTION("""COMPUTED_VALUE"""),34.2)</f>
        <v>34.2</v>
      </c>
      <c r="W187" s="16">
        <f>IFERROR(__xludf.DUMMYFUNCTION("""COMPUTED_VALUE"""),30.9)</f>
        <v>30.9</v>
      </c>
      <c r="X187" s="16">
        <f>IFERROR(__xludf.DUMMYFUNCTION("""COMPUTED_VALUE"""),2.0)</f>
        <v>2</v>
      </c>
      <c r="Y187" s="16">
        <f>IFERROR(__xludf.DUMMYFUNCTION("""COMPUTED_VALUE"""),2.0)</f>
        <v>2</v>
      </c>
      <c r="Z187" s="16">
        <f>IFERROR(__xludf.DUMMYFUNCTION("""COMPUTED_VALUE"""),4.0)</f>
        <v>4</v>
      </c>
      <c r="AA187" s="16">
        <f>IFERROR(__xludf.DUMMYFUNCTION("""COMPUTED_VALUE"""),4.0)</f>
        <v>4</v>
      </c>
      <c r="AB187" s="16">
        <f>IFERROR(__xludf.DUMMYFUNCTION("""COMPUTED_VALUE"""),37.2)</f>
        <v>37.2</v>
      </c>
      <c r="AC187" s="16">
        <f>IFERROR(__xludf.DUMMYFUNCTION("""COMPUTED_VALUE"""),33.8)</f>
        <v>33.8</v>
      </c>
      <c r="AD187" s="16">
        <f>IFERROR(__xludf.DUMMYFUNCTION("""COMPUTED_VALUE"""),1.0)</f>
        <v>1</v>
      </c>
      <c r="AE187" s="16">
        <f>IFERROR(__xludf.DUMMYFUNCTION("""COMPUTED_VALUE"""),0.0)</f>
        <v>0</v>
      </c>
      <c r="AF187" s="16">
        <f>IFERROR(__xludf.DUMMYFUNCTION("""COMPUTED_VALUE"""),5.0)</f>
        <v>5</v>
      </c>
      <c r="AG187" s="16">
        <f>IFERROR(__xludf.DUMMYFUNCTION("""COMPUTED_VALUE"""),0.0)</f>
        <v>0</v>
      </c>
      <c r="AH187" s="16">
        <f>IFERROR(__xludf.DUMMYFUNCTION("""COMPUTED_VALUE"""),52.2)</f>
        <v>52.2</v>
      </c>
      <c r="AI187" s="16">
        <f>IFERROR(__xludf.DUMMYFUNCTION("""COMPUTED_VALUE"""),43.1)</f>
        <v>43.1</v>
      </c>
      <c r="AJ187" s="16">
        <f>IFERROR(__xludf.DUMMYFUNCTION("""COMPUTED_VALUE"""),2.0)</f>
        <v>2</v>
      </c>
      <c r="AK187" s="16">
        <f>IFERROR(__xludf.DUMMYFUNCTION("""COMPUTED_VALUE"""),1.0)</f>
        <v>1</v>
      </c>
      <c r="AL187" s="16">
        <f>IFERROR(__xludf.DUMMYFUNCTION("""COMPUTED_VALUE"""),10.0)</f>
        <v>10</v>
      </c>
      <c r="AM187" s="16">
        <f>IFERROR(__xludf.DUMMYFUNCTION("""COMPUTED_VALUE"""),5.0)</f>
        <v>5</v>
      </c>
      <c r="AN187" s="16">
        <f>IFERROR(__xludf.DUMMYFUNCTION("""COMPUTED_VALUE"""),1.6)</f>
        <v>1.6</v>
      </c>
      <c r="AO187" s="16">
        <f>IFERROR(__xludf.DUMMYFUNCTION("""COMPUTED_VALUE"""),2.0)</f>
        <v>2</v>
      </c>
      <c r="AP187" s="16">
        <f>IFERROR(__xludf.DUMMYFUNCTION("""COMPUTED_VALUE"""),-1.0)</f>
        <v>-1</v>
      </c>
      <c r="AQ187" s="16">
        <f>IFERROR(__xludf.DUMMYFUNCTION("""COMPUTED_VALUE"""),-1.0)</f>
        <v>-1</v>
      </c>
      <c r="AR187" s="16">
        <f>IFERROR(__xludf.DUMMYFUNCTION("""COMPUTED_VALUE"""),-2.0)</f>
        <v>-2</v>
      </c>
      <c r="AS187" s="16">
        <f>IFERROR(__xludf.DUMMYFUNCTION("""COMPUTED_VALUE"""),-2.0)</f>
        <v>-2</v>
      </c>
      <c r="AT187" s="16"/>
      <c r="AU187" s="16"/>
      <c r="AV187" s="16">
        <f>IFERROR(__xludf.DUMMYFUNCTION("""COMPUTED_VALUE"""),-3.0)</f>
        <v>-3</v>
      </c>
      <c r="AW187" s="16">
        <f>IFERROR(__xludf.DUMMYFUNCTION("""COMPUTED_VALUE"""),-3.0)</f>
        <v>-3</v>
      </c>
      <c r="AX187" s="16">
        <f>IFERROR(__xludf.DUMMYFUNCTION("""COMPUTED_VALUE"""),-3.0)</f>
        <v>-3</v>
      </c>
      <c r="AY187" s="16">
        <f>IFERROR(__xludf.DUMMYFUNCTION("""COMPUTED_VALUE"""),-3.0)</f>
        <v>-3</v>
      </c>
      <c r="AZ187" s="16">
        <f>IFERROR(__xludf.DUMMYFUNCTION("""COMPUTED_VALUE"""),-9.0)</f>
        <v>-9</v>
      </c>
      <c r="BA187" s="16">
        <f>IFERROR(__xludf.DUMMYFUNCTION("""COMPUTED_VALUE"""),-9.0)</f>
        <v>-9</v>
      </c>
      <c r="BB187" s="16">
        <f>IFERROR(__xludf.DUMMYFUNCTION("""COMPUTED_VALUE"""),5.0)</f>
        <v>5</v>
      </c>
      <c r="BC187" s="16">
        <f>IFERROR(__xludf.DUMMYFUNCTION("""COMPUTED_VALUE"""),5.0)</f>
        <v>5</v>
      </c>
      <c r="BD187" s="16">
        <f>IFERROR(__xludf.DUMMYFUNCTION("""COMPUTED_VALUE"""),1.0)</f>
        <v>1</v>
      </c>
      <c r="BE187" s="16">
        <f>IFERROR(__xludf.DUMMYFUNCTION("""COMPUTED_VALUE"""),1.0)</f>
        <v>1</v>
      </c>
      <c r="BF187" s="16">
        <f>IFERROR(__xludf.DUMMYFUNCTION("""COMPUTED_VALUE"""),1.0)</f>
        <v>1</v>
      </c>
      <c r="BG187" s="16">
        <f>IFERROR(__xludf.DUMMYFUNCTION("""COMPUTED_VALUE"""),1.0)</f>
        <v>1</v>
      </c>
      <c r="BH187" s="16">
        <f>IFERROR(__xludf.DUMMYFUNCTION("""COMPUTED_VALUE"""),-14.0)</f>
        <v>-14</v>
      </c>
      <c r="BI187" s="16">
        <f>IFERROR(__xludf.DUMMYFUNCTION("""COMPUTED_VALUE"""),-14.0)</f>
        <v>-14</v>
      </c>
      <c r="BJ187" s="16">
        <f>IFERROR(__xludf.DUMMYFUNCTION("""COMPUTED_VALUE"""),22.0)</f>
        <v>22</v>
      </c>
      <c r="BK187" s="16">
        <f>IFERROR(__xludf.DUMMYFUNCTION("""COMPUTED_VALUE"""),22.0)</f>
        <v>22</v>
      </c>
      <c r="BL187" s="16">
        <f>IFERROR(__xludf.DUMMYFUNCTION("""COMPUTED_VALUE"""),-2.0)</f>
        <v>-2</v>
      </c>
      <c r="BM187" s="16">
        <f>IFERROR(__xludf.DUMMYFUNCTION("""COMPUTED_VALUE"""),-2.0)</f>
        <v>-2</v>
      </c>
      <c r="BN187" s="16">
        <f>IFERROR(__xludf.DUMMYFUNCTION("""COMPUTED_VALUE"""),-4.0)</f>
        <v>-4</v>
      </c>
      <c r="BO187" s="16">
        <f>IFERROR(__xludf.DUMMYFUNCTION("""COMPUTED_VALUE"""),-4.0)</f>
        <v>-4</v>
      </c>
      <c r="BP187" s="16">
        <f>IFERROR(__xludf.DUMMYFUNCTION("""COMPUTED_VALUE"""),-2.0)</f>
        <v>-2</v>
      </c>
      <c r="BQ187" s="16">
        <f>IFERROR(__xludf.DUMMYFUNCTION("""COMPUTED_VALUE"""),-4.0)</f>
        <v>-4</v>
      </c>
      <c r="BR187" s="16">
        <f>IFERROR(__xludf.DUMMYFUNCTION("""COMPUTED_VALUE"""),-6.0)</f>
        <v>-6</v>
      </c>
      <c r="BS187" s="16" t="str">
        <f>IFERROR(__xludf.DUMMYFUNCTION("""COMPUTED_VALUE"""),"*3-6/- (17-13)")</f>
        <v>*3-6/- (17-13)</v>
      </c>
      <c r="BT187" s="16" t="str">
        <f>IFERROR(__xludf.DUMMYFUNCTION("""COMPUTED_VALUE"""),"B")</f>
        <v>B</v>
      </c>
      <c r="BU187" s="16">
        <f>IFERROR(__xludf.DUMMYFUNCTION("""COMPUTED_VALUE"""),15.0)</f>
        <v>15</v>
      </c>
      <c r="BV187" s="16">
        <f>IFERROR(__xludf.DUMMYFUNCTION("""COMPUTED_VALUE"""),1.0)</f>
        <v>1</v>
      </c>
      <c r="BW187" s="16">
        <f>IFERROR(__xludf.DUMMYFUNCTION("""COMPUTED_VALUE"""),2.0)</f>
        <v>2</v>
      </c>
      <c r="BX187" s="16">
        <f>IFERROR(__xludf.DUMMYFUNCTION("""COMPUTED_VALUE"""),2.0)</f>
        <v>2</v>
      </c>
      <c r="BY187" s="16">
        <f>IFERROR(__xludf.DUMMYFUNCTION("""COMPUTED_VALUE"""),6.0)</f>
        <v>6</v>
      </c>
      <c r="BZ187" s="16" t="str">
        <f>IFERROR(__xludf.DUMMYFUNCTION("""COMPUTED_VALUE"""),"D")</f>
        <v>D</v>
      </c>
      <c r="CA187" s="16" t="str">
        <f>IFERROR(__xludf.DUMMYFUNCTION("""COMPUTED_VALUE"""),"C")</f>
        <v>C</v>
      </c>
      <c r="CB187" s="16">
        <f>IFERROR(__xludf.DUMMYFUNCTION("""COMPUTED_VALUE"""),0.0)</f>
        <v>0</v>
      </c>
      <c r="CC187" s="16">
        <f>IFERROR(__xludf.DUMMYFUNCTION("""COMPUTED_VALUE"""),0.0)</f>
        <v>0</v>
      </c>
      <c r="CD187" s="16">
        <f>IFERROR(__xludf.DUMMYFUNCTION("""COMPUTED_VALUE"""),0.0)</f>
        <v>0</v>
      </c>
      <c r="CE187" s="16">
        <f>IFERROR(__xludf.DUMMYFUNCTION("""COMPUTED_VALUE"""),0.0)</f>
        <v>0</v>
      </c>
      <c r="CF187" s="16">
        <f>IFERROR(__xludf.DUMMYFUNCTION("""COMPUTED_VALUE"""),1.0)</f>
        <v>1</v>
      </c>
      <c r="CG187" s="16">
        <f>IFERROR(__xludf.DUMMYFUNCTION("""COMPUTED_VALUE"""),3.0)</f>
        <v>3</v>
      </c>
      <c r="CH187" s="16">
        <f>IFERROR(__xludf.DUMMYFUNCTION("""COMPUTED_VALUE"""),-7.0)</f>
        <v>-7</v>
      </c>
      <c r="CI187" s="179">
        <f>IFERROR(__xludf.DUMMYFUNCTION("""COMPUTED_VALUE"""),2.0)</f>
        <v>2</v>
      </c>
      <c r="CJ187" s="16"/>
      <c r="CK187" s="16"/>
      <c r="CL187" s="16">
        <f>IFERROR(__xludf.DUMMYFUNCTION("""COMPUTED_VALUE"""),308.0)</f>
        <v>308</v>
      </c>
      <c r="CM187" s="16">
        <f>IFERROR(__xludf.DUMMYFUNCTION("""COMPUTED_VALUE"""),414.0)</f>
        <v>414</v>
      </c>
      <c r="CN187" s="16">
        <f>IFERROR(__xludf.DUMMYFUNCTION("""COMPUTED_VALUE"""),420.0)</f>
        <v>420</v>
      </c>
      <c r="CO187" s="16"/>
      <c r="CP187" s="16"/>
      <c r="CQ187" s="16">
        <f>IFERROR(__xludf.DUMMYFUNCTION("""COMPUTED_VALUE"""),411.0)</f>
        <v>411</v>
      </c>
      <c r="CR187" s="16" t="str">
        <f>IFERROR(__xludf.DUMMYFUNCTION("""COMPUTED_VALUE"""),"2b-3e8 rf-4(0)e11 3b-4e14 ss-4e20")</f>
        <v>2b-3e8 rf-4(0)e11 3b-4e14 ss-4e20</v>
      </c>
      <c r="CS187" s="16"/>
      <c r="CT187" s="16"/>
      <c r="CU187" s="16">
        <f>IFERROR(__xludf.DUMMYFUNCTION("""COMPUTED_VALUE"""),3.0)</f>
        <v>3</v>
      </c>
      <c r="CV187" s="16">
        <f>IFERROR(__xludf.DUMMYFUNCTION("""COMPUTED_VALUE"""),4.0)</f>
        <v>4</v>
      </c>
      <c r="CW187" s="16">
        <f>IFERROR(__xludf.DUMMYFUNCTION("""COMPUTED_VALUE"""),4.0)</f>
        <v>4</v>
      </c>
      <c r="CX187" s="16"/>
      <c r="CY187" s="16"/>
      <c r="CZ187" s="16">
        <f>IFERROR(__xludf.DUMMYFUNCTION("""COMPUTED_VALUE"""),4.0)</f>
        <v>4</v>
      </c>
      <c r="DA187" s="16"/>
      <c r="DB187" s="16"/>
      <c r="DC187" s="16">
        <f>IFERROR(__xludf.DUMMYFUNCTION("""COMPUTED_VALUE"""),8.0)</f>
        <v>8</v>
      </c>
      <c r="DD187" s="16">
        <f>IFERROR(__xludf.DUMMYFUNCTION("""COMPUTED_VALUE"""),14.0)</f>
        <v>14</v>
      </c>
      <c r="DE187" s="16">
        <f>IFERROR(__xludf.DUMMYFUNCTION("""COMPUTED_VALUE"""),20.0)</f>
        <v>20</v>
      </c>
      <c r="DF187" s="16"/>
      <c r="DG187" s="16"/>
      <c r="DH187" s="16">
        <f>IFERROR(__xludf.DUMMYFUNCTION("""COMPUTED_VALUE"""),11.0)</f>
        <v>11</v>
      </c>
      <c r="DI187" s="16"/>
      <c r="DJ187" s="16"/>
      <c r="DK187" s="16">
        <f>IFERROR(__xludf.DUMMYFUNCTION("""COMPUTED_VALUE"""),0.0)</f>
        <v>0</v>
      </c>
      <c r="DL187" s="16">
        <f>IFERROR(__xludf.DUMMYFUNCTION("""COMPUTED_VALUE"""),0.0)</f>
        <v>0</v>
      </c>
      <c r="DM187" s="16">
        <f>IFERROR(__xludf.DUMMYFUNCTION("""COMPUTED_VALUE"""),-2.0)</f>
        <v>-2</v>
      </c>
      <c r="DN187" s="16"/>
      <c r="DO187" s="16"/>
      <c r="DP187" s="16">
        <f>IFERROR(__xludf.DUMMYFUNCTION("""COMPUTED_VALUE"""),-1.0)</f>
        <v>-1</v>
      </c>
      <c r="DQ187" s="16"/>
      <c r="DR187" s="16"/>
      <c r="DS187" s="16">
        <f>IFERROR(__xludf.DUMMYFUNCTION("""COMPUTED_VALUE"""),3.0)</f>
        <v>3</v>
      </c>
      <c r="DT187" s="16">
        <f>IFERROR(__xludf.DUMMYFUNCTION("""COMPUTED_VALUE"""),1.0)</f>
        <v>1</v>
      </c>
      <c r="DU187" s="16">
        <f>IFERROR(__xludf.DUMMYFUNCTION("""COMPUTED_VALUE"""),2.0)</f>
        <v>2</v>
      </c>
      <c r="DV187" s="16"/>
      <c r="DW187" s="16"/>
      <c r="DX187" s="16">
        <f>IFERROR(__xludf.DUMMYFUNCTION("""COMPUTED_VALUE"""),0.0)</f>
        <v>0</v>
      </c>
      <c r="DY187" s="16"/>
      <c r="DZ187" s="16"/>
      <c r="EA187" s="16">
        <f>IFERROR(__xludf.DUMMYFUNCTION("""COMPUTED_VALUE"""),3.0)</f>
        <v>3</v>
      </c>
      <c r="EB187" s="16">
        <f>IFERROR(__xludf.DUMMYFUNCTION("""COMPUTED_VALUE"""),1.0)</f>
        <v>1</v>
      </c>
      <c r="EC187" s="16">
        <f>IFERROR(__xludf.DUMMYFUNCTION("""COMPUTED_VALUE"""),0.0)</f>
        <v>0</v>
      </c>
      <c r="ED187" s="16"/>
      <c r="EE187" s="16"/>
      <c r="EF187" s="16">
        <f>IFERROR(__xludf.DUMMYFUNCTION("""COMPUTED_VALUE"""),-1.0)</f>
        <v>-1</v>
      </c>
      <c r="EG187" s="179"/>
      <c r="EH187" s="179"/>
      <c r="EI187" s="179">
        <f>IFERROR(__xludf.DUMMYFUNCTION("""COMPUTED_VALUE"""),5.0)</f>
        <v>5</v>
      </c>
      <c r="EJ187" s="179">
        <f>IFERROR(__xludf.DUMMYFUNCTION("""COMPUTED_VALUE"""),3.0)</f>
        <v>3</v>
      </c>
      <c r="EK187" s="179">
        <f>IFERROR(__xludf.DUMMYFUNCTION("""COMPUTED_VALUE"""),2.0)</f>
        <v>2</v>
      </c>
      <c r="EL187" s="179"/>
      <c r="EM187" s="179"/>
      <c r="EN187" s="179">
        <f>IFERROR(__xludf.DUMMYFUNCTION("""COMPUTED_VALUE"""),1.0)</f>
        <v>1</v>
      </c>
      <c r="EO187" s="16"/>
      <c r="EP187" s="16">
        <f>IFERROR(__xludf.DUMMYFUNCTION("""COMPUTED_VALUE"""),-1.0)</f>
        <v>-1</v>
      </c>
      <c r="EQ187" s="16">
        <f>IFERROR(__xludf.DUMMYFUNCTION("""COMPUTED_VALUE"""),4.0)</f>
        <v>4</v>
      </c>
      <c r="ER187" s="16">
        <f>IFERROR(__xludf.DUMMYFUNCTION("""COMPUTED_VALUE"""),0.0)</f>
        <v>0</v>
      </c>
      <c r="ES187" s="16"/>
      <c r="ET187" s="16"/>
      <c r="EU187" s="16"/>
      <c r="EV187" s="16"/>
      <c r="EW187" s="16"/>
      <c r="EX187" s="180"/>
      <c r="EY187" s="180"/>
      <c r="EZ187" s="180">
        <f>IFERROR(__xludf.DUMMYFUNCTION("""COMPUTED_VALUE"""),0.2)</f>
        <v>0.2</v>
      </c>
      <c r="FA187" s="180">
        <f>IFERROR(__xludf.DUMMYFUNCTION("""COMPUTED_VALUE"""),0.3)</f>
        <v>0.3</v>
      </c>
      <c r="FB187" s="180">
        <f>IFERROR(__xludf.DUMMYFUNCTION("""COMPUTED_VALUE"""),0.3)</f>
        <v>0.3</v>
      </c>
      <c r="FC187" s="180"/>
      <c r="FD187" s="180"/>
      <c r="FE187" s="180">
        <f>IFERROR(__xludf.DUMMYFUNCTION("""COMPUTED_VALUE"""),0.55)</f>
        <v>0.55</v>
      </c>
      <c r="FF187" s="180"/>
      <c r="FG187" s="180"/>
      <c r="FH187" s="180">
        <f>IFERROR(__xludf.DUMMYFUNCTION("""COMPUTED_VALUE"""),0.046296296296296294)</f>
        <v>0.0462962963</v>
      </c>
      <c r="FI187" s="180">
        <f>IFERROR(__xludf.DUMMYFUNCTION("""COMPUTED_VALUE"""),0.16666666666666666)</f>
        <v>0.1666666667</v>
      </c>
      <c r="FJ187" s="180">
        <f>IFERROR(__xludf.DUMMYFUNCTION("""COMPUTED_VALUE"""),0.10185185185185185)</f>
        <v>0.1018518519</v>
      </c>
      <c r="FK187" s="180"/>
      <c r="FL187" s="180"/>
      <c r="FM187" s="180">
        <f>IFERROR(__xludf.DUMMYFUNCTION("""COMPUTED_VALUE"""),0.194)</f>
        <v>0.194</v>
      </c>
      <c r="FN187" s="16"/>
      <c r="FO187" s="16"/>
      <c r="FP187" s="16">
        <f>IFERROR(__xludf.DUMMYFUNCTION("""COMPUTED_VALUE"""),0.7629629629629631)</f>
        <v>0.762962963</v>
      </c>
      <c r="FQ187" s="16">
        <f>IFERROR(__xludf.DUMMYFUNCTION("""COMPUTED_VALUE"""),0.5833333333333334)</f>
        <v>0.5833333333</v>
      </c>
      <c r="FR187" s="16">
        <f>IFERROR(__xludf.DUMMYFUNCTION("""COMPUTED_VALUE"""),0.6287037037037037)</f>
        <v>0.6287037037</v>
      </c>
      <c r="FS187" s="16"/>
      <c r="FT187" s="16"/>
      <c r="FU187" s="16">
        <f>IFERROR(__xludf.DUMMYFUNCTION("""COMPUTED_VALUE"""),0.36269999999999997)</f>
        <v>0.3627</v>
      </c>
      <c r="FV187" s="16"/>
      <c r="FW187" s="16"/>
      <c r="FX187" s="16">
        <f>IFERROR(__xludf.DUMMYFUNCTION("""COMPUTED_VALUE"""),-1.0)</f>
        <v>-1</v>
      </c>
      <c r="FY187" s="16">
        <f>IFERROR(__xludf.DUMMYFUNCTION("""COMPUTED_VALUE"""),-6.0)</f>
        <v>-6</v>
      </c>
      <c r="FZ187" s="16">
        <f>IFERROR(__xludf.DUMMYFUNCTION("""COMPUTED_VALUE"""),-6.0)</f>
        <v>-6</v>
      </c>
      <c r="GA187" s="16"/>
      <c r="GB187" s="16"/>
      <c r="GC187" s="16">
        <f>IFERROR(__xludf.DUMMYFUNCTION("""COMPUTED_VALUE"""),-7.0)</f>
        <v>-7</v>
      </c>
      <c r="GD187" s="16" t="s">
        <v>215</v>
      </c>
    </row>
    <row r="188">
      <c r="A188" s="16">
        <f>IFERROR(__xludf.DUMMYFUNCTION("""COMPUTED_VALUE"""),12902.0)</f>
        <v>12902</v>
      </c>
      <c r="B188" s="16" t="str">
        <f>IFERROR(__xludf.DUMMYFUNCTION("""COMPUTED_VALUE"""),"Jacob Stallings")</f>
        <v>Jacob Stallings</v>
      </c>
      <c r="C188" s="16">
        <f>IFERROR(__xludf.DUMMYFUNCTION("""COMPUTED_VALUE"""),1.12)</f>
        <v>1.12</v>
      </c>
      <c r="D188" s="16" t="str">
        <f>IFERROR(__xludf.DUMMYFUNCTION("""COMPUTED_VALUE"""),"R")</f>
        <v>R</v>
      </c>
      <c r="E188" s="16"/>
      <c r="F188" s="16"/>
      <c r="G188" s="16">
        <f>IFERROR(__xludf.DUMMYFUNCTION("""COMPUTED_VALUE"""),243.0)</f>
        <v>243</v>
      </c>
      <c r="H188" s="16">
        <f>IFERROR(__xludf.DUMMYFUNCTION("""COMPUTED_VALUE"""),27.0)</f>
        <v>27</v>
      </c>
      <c r="I188" s="16" t="str">
        <f>IFERROR(__xludf.DUMMYFUNCTION("""COMPUTED_VALUE"""),"2p40")</f>
        <v>2p40</v>
      </c>
      <c r="J188" s="16">
        <f>IFERROR(__xludf.DUMMYFUNCTION("""COMPUTED_VALUE"""),30.0)</f>
        <v>30</v>
      </c>
      <c r="K188" s="16">
        <f>IFERROR(__xludf.DUMMYFUNCTION("""COMPUTED_VALUE"""),23.0)</f>
        <v>23</v>
      </c>
      <c r="L188" s="16">
        <f>IFERROR(__xludf.DUMMYFUNCTION("""COMPUTED_VALUE"""),0.0)</f>
        <v>0</v>
      </c>
      <c r="M188" s="16">
        <f>IFERROR(__xludf.DUMMYFUNCTION("""COMPUTED_VALUE"""),0.0)</f>
        <v>0</v>
      </c>
      <c r="N188" s="16">
        <f>IFERROR(__xludf.DUMMYFUNCTION("""COMPUTED_VALUE"""),0.0)</f>
        <v>0</v>
      </c>
      <c r="O188" s="16">
        <f>IFERROR(__xludf.DUMMYFUNCTION("""COMPUTED_VALUE"""),0.0)</f>
        <v>0</v>
      </c>
      <c r="P188" s="16">
        <f>IFERROR(__xludf.DUMMYFUNCTION("""COMPUTED_VALUE"""),17.0)</f>
        <v>17</v>
      </c>
      <c r="Q188" s="16">
        <f>IFERROR(__xludf.DUMMYFUNCTION("""COMPUTED_VALUE"""),9.0)</f>
        <v>9</v>
      </c>
      <c r="R188" s="16">
        <f>IFERROR(__xludf.DUMMYFUNCTION("""COMPUTED_VALUE"""),3.0)</f>
        <v>3</v>
      </c>
      <c r="S188" s="16">
        <f>IFERROR(__xludf.DUMMYFUNCTION("""COMPUTED_VALUE"""),0.0)</f>
        <v>0</v>
      </c>
      <c r="T188" s="16">
        <f>IFERROR(__xludf.DUMMYFUNCTION("""COMPUTED_VALUE"""),3.0)</f>
        <v>3</v>
      </c>
      <c r="U188" s="16">
        <f>IFERROR(__xludf.DUMMYFUNCTION("""COMPUTED_VALUE"""),0.0)</f>
        <v>0</v>
      </c>
      <c r="V188" s="16">
        <f>IFERROR(__xludf.DUMMYFUNCTION("""COMPUTED_VALUE"""),18.2)</f>
        <v>18.2</v>
      </c>
      <c r="W188" s="16">
        <f>IFERROR(__xludf.DUMMYFUNCTION("""COMPUTED_VALUE"""),20.8)</f>
        <v>20.8</v>
      </c>
      <c r="X188" s="16">
        <f>IFERROR(__xludf.DUMMYFUNCTION("""COMPUTED_VALUE"""),0.0)</f>
        <v>0</v>
      </c>
      <c r="Y188" s="16">
        <f>IFERROR(__xludf.DUMMYFUNCTION("""COMPUTED_VALUE"""),0.0)</f>
        <v>0</v>
      </c>
      <c r="Z188" s="16">
        <f>IFERROR(__xludf.DUMMYFUNCTION("""COMPUTED_VALUE"""),0.0)</f>
        <v>0</v>
      </c>
      <c r="AA188" s="16">
        <f>IFERROR(__xludf.DUMMYFUNCTION("""COMPUTED_VALUE"""),0.0)</f>
        <v>0</v>
      </c>
      <c r="AB188" s="16">
        <f>IFERROR(__xludf.DUMMYFUNCTION("""COMPUTED_VALUE"""),42.2)</f>
        <v>42.2</v>
      </c>
      <c r="AC188" s="16">
        <f>IFERROR(__xludf.DUMMYFUNCTION("""COMPUTED_VALUE"""),36.8)</f>
        <v>36.8</v>
      </c>
      <c r="AD188" s="16">
        <f>IFERROR(__xludf.DUMMYFUNCTION("""COMPUTED_VALUE"""),1.0)</f>
        <v>1</v>
      </c>
      <c r="AE188" s="16">
        <f>IFERROR(__xludf.DUMMYFUNCTION("""COMPUTED_VALUE"""),1.0)</f>
        <v>1</v>
      </c>
      <c r="AF188" s="16">
        <f>IFERROR(__xludf.DUMMYFUNCTION("""COMPUTED_VALUE"""),5.0)</f>
        <v>5</v>
      </c>
      <c r="AG188" s="16">
        <f>IFERROR(__xludf.DUMMYFUNCTION("""COMPUTED_VALUE"""),5.0)</f>
        <v>5</v>
      </c>
      <c r="AH188" s="16">
        <f>IFERROR(__xludf.DUMMYFUNCTION("""COMPUTED_VALUE"""),40.5)</f>
        <v>40.5</v>
      </c>
      <c r="AI188" s="16">
        <f>IFERROR(__xludf.DUMMYFUNCTION("""COMPUTED_VALUE"""),31.9)</f>
        <v>31.9</v>
      </c>
      <c r="AJ188" s="16">
        <f>IFERROR(__xludf.DUMMYFUNCTION("""COMPUTED_VALUE"""),1.0)</f>
        <v>1</v>
      </c>
      <c r="AK188" s="16">
        <f>IFERROR(__xludf.DUMMYFUNCTION("""COMPUTED_VALUE"""),0.0)</f>
        <v>0</v>
      </c>
      <c r="AL188" s="16">
        <f>IFERROR(__xludf.DUMMYFUNCTION("""COMPUTED_VALUE"""),5.0)</f>
        <v>5</v>
      </c>
      <c r="AM188" s="16">
        <f>IFERROR(__xludf.DUMMYFUNCTION("""COMPUTED_VALUE"""),0.0)</f>
        <v>0</v>
      </c>
      <c r="AN188" s="16">
        <f>IFERROR(__xludf.DUMMYFUNCTION("""COMPUTED_VALUE"""),3.8)</f>
        <v>3.8</v>
      </c>
      <c r="AO188" s="16">
        <f>IFERROR(__xludf.DUMMYFUNCTION("""COMPUTED_VALUE"""),1.0)</f>
        <v>1</v>
      </c>
      <c r="AP188" s="16">
        <f>IFERROR(__xludf.DUMMYFUNCTION("""COMPUTED_VALUE"""),2.0)</f>
        <v>2</v>
      </c>
      <c r="AQ188" s="16">
        <f>IFERROR(__xludf.DUMMYFUNCTION("""COMPUTED_VALUE"""),-2.0)</f>
        <v>-2</v>
      </c>
      <c r="AR188" s="16">
        <f>IFERROR(__xludf.DUMMYFUNCTION("""COMPUTED_VALUE"""),4.0)</f>
        <v>4</v>
      </c>
      <c r="AS188" s="16">
        <f>IFERROR(__xludf.DUMMYFUNCTION("""COMPUTED_VALUE"""),-4.0)</f>
        <v>-4</v>
      </c>
      <c r="AT188" s="16">
        <f>IFERROR(__xludf.DUMMYFUNCTION("""COMPUTED_VALUE"""),6.0)</f>
        <v>6</v>
      </c>
      <c r="AU188" s="16">
        <f>IFERROR(__xludf.DUMMYFUNCTION("""COMPUTED_VALUE"""),1.0)</f>
        <v>1</v>
      </c>
      <c r="AV188" s="16">
        <f>IFERROR(__xludf.DUMMYFUNCTION("""COMPUTED_VALUE"""),6.0)</f>
        <v>6</v>
      </c>
      <c r="AW188" s="16">
        <f>IFERROR(__xludf.DUMMYFUNCTION("""COMPUTED_VALUE"""),1.0)</f>
        <v>1</v>
      </c>
      <c r="AX188" s="16">
        <f>IFERROR(__xludf.DUMMYFUNCTION("""COMPUTED_VALUE"""),3.0)</f>
        <v>3</v>
      </c>
      <c r="AY188" s="16">
        <f>IFERROR(__xludf.DUMMYFUNCTION("""COMPUTED_VALUE"""),-1.0)</f>
        <v>-1</v>
      </c>
      <c r="AZ188" s="16">
        <f>IFERROR(__xludf.DUMMYFUNCTION("""COMPUTED_VALUE"""),9.0)</f>
        <v>9</v>
      </c>
      <c r="BA188" s="16">
        <f>IFERROR(__xludf.DUMMYFUNCTION("""COMPUTED_VALUE"""),-3.0)</f>
        <v>-3</v>
      </c>
      <c r="BB188" s="16">
        <f>IFERROR(__xludf.DUMMYFUNCTION("""COMPUTED_VALUE"""),5.0)</f>
        <v>5</v>
      </c>
      <c r="BC188" s="16">
        <f>IFERROR(__xludf.DUMMYFUNCTION("""COMPUTED_VALUE"""),5.0)</f>
        <v>5</v>
      </c>
      <c r="BD188" s="16">
        <f>IFERROR(__xludf.DUMMYFUNCTION("""COMPUTED_VALUE"""),1.0)</f>
        <v>1</v>
      </c>
      <c r="BE188" s="16">
        <f>IFERROR(__xludf.DUMMYFUNCTION("""COMPUTED_VALUE"""),1.0)</f>
        <v>1</v>
      </c>
      <c r="BF188" s="16">
        <f>IFERROR(__xludf.DUMMYFUNCTION("""COMPUTED_VALUE"""),1.0)</f>
        <v>1</v>
      </c>
      <c r="BG188" s="16">
        <f>IFERROR(__xludf.DUMMYFUNCTION("""COMPUTED_VALUE"""),1.0)</f>
        <v>1</v>
      </c>
      <c r="BH188" s="16">
        <f>IFERROR(__xludf.DUMMYFUNCTION("""COMPUTED_VALUE"""),-3.0)</f>
        <v>-3</v>
      </c>
      <c r="BI188" s="16">
        <f>IFERROR(__xludf.DUMMYFUNCTION("""COMPUTED_VALUE"""),-3.0)</f>
        <v>-3</v>
      </c>
      <c r="BJ188" s="16">
        <f>IFERROR(__xludf.DUMMYFUNCTION("""COMPUTED_VALUE"""),22.0)</f>
        <v>22</v>
      </c>
      <c r="BK188" s="16">
        <f>IFERROR(__xludf.DUMMYFUNCTION("""COMPUTED_VALUE"""),26.0)</f>
        <v>26</v>
      </c>
      <c r="BL188" s="16">
        <f>IFERROR(__xludf.DUMMYFUNCTION("""COMPUTED_VALUE"""),-2.0)</f>
        <v>-2</v>
      </c>
      <c r="BM188" s="16">
        <f>IFERROR(__xludf.DUMMYFUNCTION("""COMPUTED_VALUE"""),-2.0)</f>
        <v>-2</v>
      </c>
      <c r="BN188" s="16">
        <f>IFERROR(__xludf.DUMMYFUNCTION("""COMPUTED_VALUE"""),-4.0)</f>
        <v>-4</v>
      </c>
      <c r="BO188" s="16">
        <f>IFERROR(__xludf.DUMMYFUNCTION("""COMPUTED_VALUE"""),-4.0)</f>
        <v>-4</v>
      </c>
      <c r="BP188" s="16">
        <f>IFERROR(__xludf.DUMMYFUNCTION("""COMPUTED_VALUE"""),9.0)</f>
        <v>9</v>
      </c>
      <c r="BQ188" s="16">
        <f>IFERROR(__xludf.DUMMYFUNCTION("""COMPUTED_VALUE"""),-3.0)</f>
        <v>-3</v>
      </c>
      <c r="BR188" s="16">
        <f>IFERROR(__xludf.DUMMYFUNCTION("""COMPUTED_VALUE"""),6.0)</f>
        <v>6</v>
      </c>
      <c r="BS188" s="16" t="str">
        <f>IFERROR(__xludf.DUMMYFUNCTION("""COMPUTED_VALUE"""),"-/- (---)")</f>
        <v>-/- (---)</v>
      </c>
      <c r="BT188" s="16" t="str">
        <f>IFERROR(__xludf.DUMMYFUNCTION("""COMPUTED_VALUE"""),"E")</f>
        <v>E</v>
      </c>
      <c r="BU188" s="16">
        <f>IFERROR(__xludf.DUMMYFUNCTION("""COMPUTED_VALUE"""),8.0)</f>
        <v>8</v>
      </c>
      <c r="BV188" s="16">
        <f>IFERROR(__xludf.DUMMYFUNCTION("""COMPUTED_VALUE"""),0.0)</f>
        <v>0</v>
      </c>
      <c r="BW188" s="16">
        <f>IFERROR(__xludf.DUMMYFUNCTION("""COMPUTED_VALUE"""),-1.0)</f>
        <v>-1</v>
      </c>
      <c r="BX188" s="16">
        <f>IFERROR(__xludf.DUMMYFUNCTION("""COMPUTED_VALUE"""),0.0)</f>
        <v>0</v>
      </c>
      <c r="BY188" s="16">
        <f>IFERROR(__xludf.DUMMYFUNCTION("""COMPUTED_VALUE"""),-3.0)</f>
        <v>-3</v>
      </c>
      <c r="BZ188" s="16" t="str">
        <f>IFERROR(__xludf.DUMMYFUNCTION("""COMPUTED_VALUE"""),"D")</f>
        <v>D</v>
      </c>
      <c r="CA188" s="16" t="str">
        <f>IFERROR(__xludf.DUMMYFUNCTION("""COMPUTED_VALUE"""),"D")</f>
        <v>D</v>
      </c>
      <c r="CB188" s="16">
        <f>IFERROR(__xludf.DUMMYFUNCTION("""COMPUTED_VALUE"""),0.0)</f>
        <v>0</v>
      </c>
      <c r="CC188" s="16">
        <f>IFERROR(__xludf.DUMMYFUNCTION("""COMPUTED_VALUE"""),0.0)</f>
        <v>0</v>
      </c>
      <c r="CD188" s="16">
        <f>IFERROR(__xludf.DUMMYFUNCTION("""COMPUTED_VALUE"""),0.0)</f>
        <v>0</v>
      </c>
      <c r="CE188" s="16">
        <f>IFERROR(__xludf.DUMMYFUNCTION("""COMPUTED_VALUE"""),0.0)</f>
        <v>0</v>
      </c>
      <c r="CF188" s="16">
        <f>IFERROR(__xludf.DUMMYFUNCTION("""COMPUTED_VALUE"""),2.0)</f>
        <v>2</v>
      </c>
      <c r="CG188" s="16">
        <f>IFERROR(__xludf.DUMMYFUNCTION("""COMPUTED_VALUE"""),23.0)</f>
        <v>23</v>
      </c>
      <c r="CH188" s="16">
        <f>IFERROR(__xludf.DUMMYFUNCTION("""COMPUTED_VALUE"""),-5.0)</f>
        <v>-5</v>
      </c>
      <c r="CI188" s="179">
        <f>IFERROR(__xludf.DUMMYFUNCTION("""COMPUTED_VALUE"""),2.0)</f>
        <v>2</v>
      </c>
      <c r="CJ188" s="16">
        <f>IFERROR(__xludf.DUMMYFUNCTION("""COMPUTED_VALUE"""),310.0)</f>
        <v>310</v>
      </c>
      <c r="CK188" s="16"/>
      <c r="CL188" s="16"/>
      <c r="CM188" s="16"/>
      <c r="CN188" s="16"/>
      <c r="CO188" s="16"/>
      <c r="CP188" s="16"/>
      <c r="CQ188" s="16"/>
      <c r="CR188" s="16" t="str">
        <f>IFERROR(__xludf.DUMMYFUNCTION("""COMPUTED_VALUE"""),"c-3(0)e10,T-5(pb-0)")</f>
        <v>c-3(0)e10,T-5(pb-0)</v>
      </c>
      <c r="CS188" s="16">
        <f>IFERROR(__xludf.DUMMYFUNCTION("""COMPUTED_VALUE"""),3.0)</f>
        <v>3</v>
      </c>
      <c r="CT188" s="16"/>
      <c r="CU188" s="16"/>
      <c r="CV188" s="16"/>
      <c r="CW188" s="16"/>
      <c r="CX188" s="16"/>
      <c r="CY188" s="16"/>
      <c r="CZ188" s="16"/>
      <c r="DA188" s="16">
        <f>IFERROR(__xludf.DUMMYFUNCTION("""COMPUTED_VALUE"""),10.0)</f>
        <v>10</v>
      </c>
      <c r="DB188" s="16"/>
      <c r="DC188" s="16"/>
      <c r="DD188" s="16"/>
      <c r="DE188" s="16"/>
      <c r="DF188" s="16"/>
      <c r="DG188" s="16"/>
      <c r="DH188" s="16"/>
      <c r="DI188" s="16">
        <f>IFERROR(__xludf.DUMMYFUNCTION("""COMPUTED_VALUE"""),0.0)</f>
        <v>0</v>
      </c>
      <c r="DJ188" s="16"/>
      <c r="DK188" s="16"/>
      <c r="DL188" s="16"/>
      <c r="DM188" s="16"/>
      <c r="DN188" s="16"/>
      <c r="DO188" s="16"/>
      <c r="DP188" s="16"/>
      <c r="DQ188" s="16">
        <f>IFERROR(__xludf.DUMMYFUNCTION("""COMPUTED_VALUE"""),0.0)</f>
        <v>0</v>
      </c>
      <c r="DR188" s="16"/>
      <c r="DS188" s="16"/>
      <c r="DT188" s="16"/>
      <c r="DU188" s="16"/>
      <c r="DV188" s="16"/>
      <c r="DW188" s="16"/>
      <c r="DX188" s="16"/>
      <c r="DY188" s="16">
        <f>IFERROR(__xludf.DUMMYFUNCTION("""COMPUTED_VALUE"""),0.0)</f>
        <v>0</v>
      </c>
      <c r="DZ188" s="16"/>
      <c r="EA188" s="16"/>
      <c r="EB188" s="16"/>
      <c r="EC188" s="16"/>
      <c r="ED188" s="16"/>
      <c r="EE188" s="16"/>
      <c r="EF188" s="16"/>
      <c r="EG188" s="179">
        <f>IFERROR(__xludf.DUMMYFUNCTION("""COMPUTED_VALUE"""),2.0)</f>
        <v>2</v>
      </c>
      <c r="EH188" s="179"/>
      <c r="EI188" s="179"/>
      <c r="EJ188" s="179"/>
      <c r="EK188" s="179"/>
      <c r="EL188" s="179"/>
      <c r="EM188" s="179"/>
      <c r="EN188" s="179"/>
      <c r="EO188" s="16">
        <f>IFERROR(__xludf.DUMMYFUNCTION("""COMPUTED_VALUE"""),0.0)</f>
        <v>0</v>
      </c>
      <c r="EP188" s="16">
        <f>IFERROR(__xludf.DUMMYFUNCTION("""COMPUTED_VALUE"""),-2.0)</f>
        <v>-2</v>
      </c>
      <c r="EQ188" s="16">
        <f>IFERROR(__xludf.DUMMYFUNCTION("""COMPUTED_VALUE"""),2.0)</f>
        <v>2</v>
      </c>
      <c r="ER188" s="16">
        <f>IFERROR(__xludf.DUMMYFUNCTION("""COMPUTED_VALUE"""),-1.0)</f>
        <v>-1</v>
      </c>
      <c r="ES188" s="16" t="str">
        <f>IFERROR(__xludf.DUMMYFUNCTION("""COMPUTED_VALUE"""),"c-3")</f>
        <v>c-3</v>
      </c>
      <c r="ET188" s="16" t="str">
        <f>IFERROR(__xludf.DUMMYFUNCTION("""COMPUTED_VALUE"""),"0)e10,T-5")</f>
        <v>0)e10,T-5</v>
      </c>
      <c r="EU188" s="16" t="str">
        <f>IFERROR(__xludf.DUMMYFUNCTION("""COMPUTED_VALUE"""),"pb-0)")</f>
        <v>pb-0)</v>
      </c>
      <c r="EV188" s="16"/>
      <c r="EW188" s="16">
        <f>IFERROR(__xludf.DUMMYFUNCTION("""COMPUTED_VALUE"""),0.0)</f>
        <v>0</v>
      </c>
      <c r="EX188" s="180">
        <f>IFERROR(__xludf.DUMMYFUNCTION("""COMPUTED_VALUE"""),0.2)</f>
        <v>0.2</v>
      </c>
      <c r="EY188" s="180"/>
      <c r="EZ188" s="180"/>
      <c r="FA188" s="180"/>
      <c r="FB188" s="180"/>
      <c r="FC188" s="180"/>
      <c r="FD188" s="180"/>
      <c r="FE188" s="180"/>
      <c r="FF188" s="180">
        <f>IFERROR(__xludf.DUMMYFUNCTION("""COMPUTED_VALUE"""),0.121)</f>
        <v>0.121</v>
      </c>
      <c r="FG188" s="180"/>
      <c r="FH188" s="180"/>
      <c r="FI188" s="180"/>
      <c r="FJ188" s="180"/>
      <c r="FK188" s="180"/>
      <c r="FL188" s="180"/>
      <c r="FM188" s="180"/>
      <c r="FN188" s="16">
        <f>IFERROR(__xludf.DUMMYFUNCTION("""COMPUTED_VALUE"""),0.7032)</f>
        <v>0.7032</v>
      </c>
      <c r="FO188" s="16"/>
      <c r="FP188" s="16"/>
      <c r="FQ188" s="16"/>
      <c r="FR188" s="16"/>
      <c r="FS188" s="16"/>
      <c r="FT188" s="16"/>
      <c r="FU188" s="16"/>
      <c r="FV188" s="16">
        <f>IFERROR(__xludf.DUMMYFUNCTION("""COMPUTED_VALUE"""),-4.0)</f>
        <v>-4</v>
      </c>
      <c r="FW188" s="16"/>
      <c r="FX188" s="16"/>
      <c r="FY188" s="16"/>
      <c r="FZ188" s="16"/>
      <c r="GA188" s="16"/>
      <c r="GB188" s="16"/>
      <c r="GC188" s="16"/>
      <c r="GD188" s="16" t="s">
        <v>277</v>
      </c>
    </row>
    <row r="189">
      <c r="A189" s="16">
        <f>IFERROR(__xludf.DUMMYFUNCTION("""COMPUTED_VALUE"""),13267.0)</f>
        <v>13267</v>
      </c>
      <c r="B189" s="16" t="str">
        <f>IFERROR(__xludf.DUMMYFUNCTION("""COMPUTED_VALUE"""),"Otto Lopez")</f>
        <v>Otto Lopez</v>
      </c>
      <c r="C189" s="16">
        <f>IFERROR(__xludf.DUMMYFUNCTION("""COMPUTED_VALUE"""),1.74)</f>
        <v>1.74</v>
      </c>
      <c r="D189" s="16" t="str">
        <f>IFERROR(__xludf.DUMMYFUNCTION("""COMPUTED_VALUE"""),"R")</f>
        <v>R</v>
      </c>
      <c r="E189" s="16"/>
      <c r="F189" s="16"/>
      <c r="G189" s="16">
        <f>IFERROR(__xludf.DUMMYFUNCTION("""COMPUTED_VALUE"""),403.0)</f>
        <v>403</v>
      </c>
      <c r="H189" s="16">
        <f>IFERROR(__xludf.DUMMYFUNCTION("""COMPUTED_VALUE"""),25.0)</f>
        <v>25</v>
      </c>
      <c r="I189" s="16" t="str">
        <f>IFERROR(__xludf.DUMMYFUNCTION("""COMPUTED_VALUE"""),"2p60")</f>
        <v>2p60</v>
      </c>
      <c r="J189" s="16">
        <f>IFERROR(__xludf.DUMMYFUNCTION("""COMPUTED_VALUE"""),19.0)</f>
        <v>19</v>
      </c>
      <c r="K189" s="16">
        <f>IFERROR(__xludf.DUMMYFUNCTION("""COMPUTED_VALUE"""),10.0)</f>
        <v>10</v>
      </c>
      <c r="L189" s="16">
        <f>IFERROR(__xludf.DUMMYFUNCTION("""COMPUTED_VALUE"""),1.0)</f>
        <v>1</v>
      </c>
      <c r="M189" s="16">
        <f>IFERROR(__xludf.DUMMYFUNCTION("""COMPUTED_VALUE"""),2.0)</f>
        <v>2</v>
      </c>
      <c r="N189" s="16">
        <f>IFERROR(__xludf.DUMMYFUNCTION("""COMPUTED_VALUE"""),1.0)</f>
        <v>1</v>
      </c>
      <c r="O189" s="16">
        <f>IFERROR(__xludf.DUMMYFUNCTION("""COMPUTED_VALUE"""),2.0)</f>
        <v>2</v>
      </c>
      <c r="P189" s="16">
        <f>IFERROR(__xludf.DUMMYFUNCTION("""COMPUTED_VALUE"""),0.0)</f>
        <v>0</v>
      </c>
      <c r="Q189" s="16">
        <f>IFERROR(__xludf.DUMMYFUNCTION("""COMPUTED_VALUE"""),7.0)</f>
        <v>7</v>
      </c>
      <c r="R189" s="16">
        <f>IFERROR(__xludf.DUMMYFUNCTION("""COMPUTED_VALUE"""),-3.0)</f>
        <v>-3</v>
      </c>
      <c r="S189" s="16">
        <f>IFERROR(__xludf.DUMMYFUNCTION("""COMPUTED_VALUE"""),-1.0)</f>
        <v>-1</v>
      </c>
      <c r="T189" s="16">
        <f>IFERROR(__xludf.DUMMYFUNCTION("""COMPUTED_VALUE"""),-3.0)</f>
        <v>-3</v>
      </c>
      <c r="U189" s="16">
        <f>IFERROR(__xludf.DUMMYFUNCTION("""COMPUTED_VALUE"""),-1.0)</f>
        <v>-1</v>
      </c>
      <c r="V189" s="16">
        <f>IFERROR(__xludf.DUMMYFUNCTION("""COMPUTED_VALUE"""),21.3)</f>
        <v>21.3</v>
      </c>
      <c r="W189" s="16">
        <f>IFERROR(__xludf.DUMMYFUNCTION("""COMPUTED_VALUE"""),27.8)</f>
        <v>27.8</v>
      </c>
      <c r="X189" s="16">
        <f>IFERROR(__xludf.DUMMYFUNCTION("""COMPUTED_VALUE"""),0.0)</f>
        <v>0</v>
      </c>
      <c r="Y189" s="16">
        <f>IFERROR(__xludf.DUMMYFUNCTION("""COMPUTED_VALUE"""),2.0)</f>
        <v>2</v>
      </c>
      <c r="Z189" s="16">
        <f>IFERROR(__xludf.DUMMYFUNCTION("""COMPUTED_VALUE"""),0.0)</f>
        <v>0</v>
      </c>
      <c r="AA189" s="16">
        <f>IFERROR(__xludf.DUMMYFUNCTION("""COMPUTED_VALUE"""),4.0)</f>
        <v>4</v>
      </c>
      <c r="AB189" s="16">
        <f>IFERROR(__xludf.DUMMYFUNCTION("""COMPUTED_VALUE"""),21.3)</f>
        <v>21.3</v>
      </c>
      <c r="AC189" s="16">
        <f>IFERROR(__xludf.DUMMYFUNCTION("""COMPUTED_VALUE"""),34.8)</f>
        <v>34.8</v>
      </c>
      <c r="AD189" s="16">
        <f>IFERROR(__xludf.DUMMYFUNCTION("""COMPUTED_VALUE"""),-1.0)</f>
        <v>-1</v>
      </c>
      <c r="AE189" s="16">
        <f>IFERROR(__xludf.DUMMYFUNCTION("""COMPUTED_VALUE"""),1.0)</f>
        <v>1</v>
      </c>
      <c r="AF189" s="16">
        <f>IFERROR(__xludf.DUMMYFUNCTION("""COMPUTED_VALUE"""),-5.0)</f>
        <v>-5</v>
      </c>
      <c r="AG189" s="16">
        <f>IFERROR(__xludf.DUMMYFUNCTION("""COMPUTED_VALUE"""),5.0)</f>
        <v>5</v>
      </c>
      <c r="AH189" s="16">
        <f>IFERROR(__xludf.DUMMYFUNCTION("""COMPUTED_VALUE"""),30.7)</f>
        <v>30.7</v>
      </c>
      <c r="AI189" s="16">
        <f>IFERROR(__xludf.DUMMYFUNCTION("""COMPUTED_VALUE"""),37.4)</f>
        <v>37.4</v>
      </c>
      <c r="AJ189" s="16">
        <f>IFERROR(__xludf.DUMMYFUNCTION("""COMPUTED_VALUE"""),0.0)</f>
        <v>0</v>
      </c>
      <c r="AK189" s="16">
        <f>IFERROR(__xludf.DUMMYFUNCTION("""COMPUTED_VALUE"""),1.0)</f>
        <v>1</v>
      </c>
      <c r="AL189" s="16">
        <f>IFERROR(__xludf.DUMMYFUNCTION("""COMPUTED_VALUE"""),0.0)</f>
        <v>0</v>
      </c>
      <c r="AM189" s="16">
        <f>IFERROR(__xludf.DUMMYFUNCTION("""COMPUTED_VALUE"""),5.0)</f>
        <v>5</v>
      </c>
      <c r="AN189" s="16">
        <f>IFERROR(__xludf.DUMMYFUNCTION("""COMPUTED_VALUE"""),1.8)</f>
        <v>1.8</v>
      </c>
      <c r="AO189" s="16">
        <f>IFERROR(__xludf.DUMMYFUNCTION("""COMPUTED_VALUE"""),0.4)</f>
        <v>0.4</v>
      </c>
      <c r="AP189" s="16">
        <f>IFERROR(__xludf.DUMMYFUNCTION("""COMPUTED_VALUE"""),-1.0)</f>
        <v>-1</v>
      </c>
      <c r="AQ189" s="16">
        <f>IFERROR(__xludf.DUMMYFUNCTION("""COMPUTED_VALUE"""),-2.0)</f>
        <v>-2</v>
      </c>
      <c r="AR189" s="16">
        <f>IFERROR(__xludf.DUMMYFUNCTION("""COMPUTED_VALUE"""),-2.0)</f>
        <v>-2</v>
      </c>
      <c r="AS189" s="16">
        <f>IFERROR(__xludf.DUMMYFUNCTION("""COMPUTED_VALUE"""),-4.0)</f>
        <v>-4</v>
      </c>
      <c r="AT189" s="16"/>
      <c r="AU189" s="16">
        <f>IFERROR(__xludf.DUMMYFUNCTION("""COMPUTED_VALUE"""),0.0)</f>
        <v>0</v>
      </c>
      <c r="AV189" s="16">
        <f>IFERROR(__xludf.DUMMYFUNCTION("""COMPUTED_VALUE"""),-3.0)</f>
        <v>-3</v>
      </c>
      <c r="AW189" s="16">
        <f>IFERROR(__xludf.DUMMYFUNCTION("""COMPUTED_VALUE"""),0.0)</f>
        <v>0</v>
      </c>
      <c r="AX189" s="16">
        <f>IFERROR(__xludf.DUMMYFUNCTION("""COMPUTED_VALUE"""),-3.0)</f>
        <v>-3</v>
      </c>
      <c r="AY189" s="16">
        <f>IFERROR(__xludf.DUMMYFUNCTION("""COMPUTED_VALUE"""),-2.0)</f>
        <v>-2</v>
      </c>
      <c r="AZ189" s="16">
        <f>IFERROR(__xludf.DUMMYFUNCTION("""COMPUTED_VALUE"""),-9.0)</f>
        <v>-9</v>
      </c>
      <c r="BA189" s="16">
        <f>IFERROR(__xludf.DUMMYFUNCTION("""COMPUTED_VALUE"""),-6.0)</f>
        <v>-6</v>
      </c>
      <c r="BB189" s="16">
        <f>IFERROR(__xludf.DUMMYFUNCTION("""COMPUTED_VALUE"""),5.0)</f>
        <v>5</v>
      </c>
      <c r="BC189" s="16">
        <f>IFERROR(__xludf.DUMMYFUNCTION("""COMPUTED_VALUE"""),5.0)</f>
        <v>5</v>
      </c>
      <c r="BD189" s="16">
        <f>IFERROR(__xludf.DUMMYFUNCTION("""COMPUTED_VALUE"""),1.0)</f>
        <v>1</v>
      </c>
      <c r="BE189" s="16">
        <f>IFERROR(__xludf.DUMMYFUNCTION("""COMPUTED_VALUE"""),1.0)</f>
        <v>1</v>
      </c>
      <c r="BF189" s="16">
        <f>IFERROR(__xludf.DUMMYFUNCTION("""COMPUTED_VALUE"""),1.0)</f>
        <v>1</v>
      </c>
      <c r="BG189" s="16">
        <f>IFERROR(__xludf.DUMMYFUNCTION("""COMPUTED_VALUE"""),1.0)</f>
        <v>1</v>
      </c>
      <c r="BH189" s="16">
        <f>IFERROR(__xludf.DUMMYFUNCTION("""COMPUTED_VALUE"""),9.0)</f>
        <v>9</v>
      </c>
      <c r="BI189" s="16">
        <f>IFERROR(__xludf.DUMMYFUNCTION("""COMPUTED_VALUE"""),9.0)</f>
        <v>9</v>
      </c>
      <c r="BJ189" s="16">
        <f>IFERROR(__xludf.DUMMYFUNCTION("""COMPUTED_VALUE"""),24.0)</f>
        <v>24</v>
      </c>
      <c r="BK189" s="16">
        <f>IFERROR(__xludf.DUMMYFUNCTION("""COMPUTED_VALUE"""),22.0)</f>
        <v>22</v>
      </c>
      <c r="BL189" s="16">
        <f>IFERROR(__xludf.DUMMYFUNCTION("""COMPUTED_VALUE"""),-2.0)</f>
        <v>-2</v>
      </c>
      <c r="BM189" s="16">
        <f>IFERROR(__xludf.DUMMYFUNCTION("""COMPUTED_VALUE"""),-2.0)</f>
        <v>-2</v>
      </c>
      <c r="BN189" s="16">
        <f>IFERROR(__xludf.DUMMYFUNCTION("""COMPUTED_VALUE"""),-4.0)</f>
        <v>-4</v>
      </c>
      <c r="BO189" s="16">
        <f>IFERROR(__xludf.DUMMYFUNCTION("""COMPUTED_VALUE"""),-4.0)</f>
        <v>-4</v>
      </c>
      <c r="BP189" s="16">
        <f>IFERROR(__xludf.DUMMYFUNCTION("""COMPUTED_VALUE"""),-8.0)</f>
        <v>-8</v>
      </c>
      <c r="BQ189" s="16">
        <f>IFERROR(__xludf.DUMMYFUNCTION("""COMPUTED_VALUE"""),0.0)</f>
        <v>0</v>
      </c>
      <c r="BR189" s="16">
        <f>IFERROR(__xludf.DUMMYFUNCTION("""COMPUTED_VALUE"""),-8.0)</f>
        <v>-8</v>
      </c>
      <c r="BS189" s="16" t="str">
        <f>IFERROR(__xludf.DUMMYFUNCTION("""COMPUTED_VALUE"""),"*5,6/- (19-13)")</f>
        <v>*5,6/- (19-13)</v>
      </c>
      <c r="BT189" s="16" t="str">
        <f>IFERROR(__xludf.DUMMYFUNCTION("""COMPUTED_VALUE"""),"A")</f>
        <v>A</v>
      </c>
      <c r="BU189" s="16">
        <f>IFERROR(__xludf.DUMMYFUNCTION("""COMPUTED_VALUE"""),15.0)</f>
        <v>15</v>
      </c>
      <c r="BV189" s="16">
        <f>IFERROR(__xludf.DUMMYFUNCTION("""COMPUTED_VALUE"""),2.0)</f>
        <v>2</v>
      </c>
      <c r="BW189" s="16">
        <f>IFERROR(__xludf.DUMMYFUNCTION("""COMPUTED_VALUE"""),2.0)</f>
        <v>2</v>
      </c>
      <c r="BX189" s="16">
        <f>IFERROR(__xludf.DUMMYFUNCTION("""COMPUTED_VALUE"""),4.0)</f>
        <v>4</v>
      </c>
      <c r="BY189" s="16">
        <f>IFERROR(__xludf.DUMMYFUNCTION("""COMPUTED_VALUE"""),6.0)</f>
        <v>6</v>
      </c>
      <c r="BZ189" s="16" t="str">
        <f>IFERROR(__xludf.DUMMYFUNCTION("""COMPUTED_VALUE"""),"D")</f>
        <v>D</v>
      </c>
      <c r="CA189" s="16" t="str">
        <f>IFERROR(__xludf.DUMMYFUNCTION("""COMPUTED_VALUE"""),"C")</f>
        <v>C</v>
      </c>
      <c r="CB189" s="16">
        <f>IFERROR(__xludf.DUMMYFUNCTION("""COMPUTED_VALUE"""),0.0)</f>
        <v>0</v>
      </c>
      <c r="CC189" s="16">
        <f>IFERROR(__xludf.DUMMYFUNCTION("""COMPUTED_VALUE"""),0.0)</f>
        <v>0</v>
      </c>
      <c r="CD189" s="16">
        <f>IFERROR(__xludf.DUMMYFUNCTION("""COMPUTED_VALUE"""),0.0)</f>
        <v>0</v>
      </c>
      <c r="CE189" s="16">
        <f>IFERROR(__xludf.DUMMYFUNCTION("""COMPUTED_VALUE"""),0.0)</f>
        <v>0</v>
      </c>
      <c r="CF189" s="16">
        <f>IFERROR(__xludf.DUMMYFUNCTION("""COMPUTED_VALUE"""),2.0)</f>
        <v>2</v>
      </c>
      <c r="CG189" s="16">
        <f>IFERROR(__xludf.DUMMYFUNCTION("""COMPUTED_VALUE"""),-21.0)</f>
        <v>-21</v>
      </c>
      <c r="CH189" s="16">
        <f>IFERROR(__xludf.DUMMYFUNCTION("""COMPUTED_VALUE"""),2.0)</f>
        <v>2</v>
      </c>
      <c r="CI189" s="179">
        <f>IFERROR(__xludf.DUMMYFUNCTION("""COMPUTED_VALUE"""),2.0)</f>
        <v>2</v>
      </c>
      <c r="CJ189" s="16"/>
      <c r="CK189" s="16"/>
      <c r="CL189" s="16">
        <f>IFERROR(__xludf.DUMMYFUNCTION("""COMPUTED_VALUE"""),208.0)</f>
        <v>208</v>
      </c>
      <c r="CM189" s="16">
        <f>IFERROR(__xludf.DUMMYFUNCTION("""COMPUTED_VALUE"""),339.0)</f>
        <v>339</v>
      </c>
      <c r="CN189" s="16">
        <f>IFERROR(__xludf.DUMMYFUNCTION("""COMPUTED_VALUE"""),356.0)</f>
        <v>356</v>
      </c>
      <c r="CO189" s="16">
        <f>IFERROR(__xludf.DUMMYFUNCTION("""COMPUTED_VALUE"""),422.0)</f>
        <v>422</v>
      </c>
      <c r="CP189" s="16">
        <f>IFERROR(__xludf.DUMMYFUNCTION("""COMPUTED_VALUE"""),522.0)</f>
        <v>522</v>
      </c>
      <c r="CQ189" s="16"/>
      <c r="CR189" s="16" t="str">
        <f>IFERROR(__xludf.DUMMYFUNCTION("""COMPUTED_VALUE"""),"2b-2e8 ss-3e56 3b-3e39 lf-4(+2)e22 cf-5e22")</f>
        <v>2b-2e8 ss-3e56 3b-3e39 lf-4(+2)e22 cf-5e22</v>
      </c>
      <c r="CS189" s="16"/>
      <c r="CT189" s="16"/>
      <c r="CU189" s="16">
        <f>IFERROR(__xludf.DUMMYFUNCTION("""COMPUTED_VALUE"""),2.0)</f>
        <v>2</v>
      </c>
      <c r="CV189" s="16">
        <f>IFERROR(__xludf.DUMMYFUNCTION("""COMPUTED_VALUE"""),3.0)</f>
        <v>3</v>
      </c>
      <c r="CW189" s="16">
        <f>IFERROR(__xludf.DUMMYFUNCTION("""COMPUTED_VALUE"""),3.0)</f>
        <v>3</v>
      </c>
      <c r="CX189" s="16">
        <f>IFERROR(__xludf.DUMMYFUNCTION("""COMPUTED_VALUE"""),4.0)</f>
        <v>4</v>
      </c>
      <c r="CY189" s="16">
        <f>IFERROR(__xludf.DUMMYFUNCTION("""COMPUTED_VALUE"""),5.0)</f>
        <v>5</v>
      </c>
      <c r="CZ189" s="16"/>
      <c r="DA189" s="16"/>
      <c r="DB189" s="16"/>
      <c r="DC189" s="16">
        <f>IFERROR(__xludf.DUMMYFUNCTION("""COMPUTED_VALUE"""),8.0)</f>
        <v>8</v>
      </c>
      <c r="DD189" s="16">
        <f>IFERROR(__xludf.DUMMYFUNCTION("""COMPUTED_VALUE"""),39.0)</f>
        <v>39</v>
      </c>
      <c r="DE189" s="16">
        <f>IFERROR(__xludf.DUMMYFUNCTION("""COMPUTED_VALUE"""),56.0)</f>
        <v>56</v>
      </c>
      <c r="DF189" s="16">
        <f>IFERROR(__xludf.DUMMYFUNCTION("""COMPUTED_VALUE"""),22.0)</f>
        <v>22</v>
      </c>
      <c r="DG189" s="16">
        <f>IFERROR(__xludf.DUMMYFUNCTION("""COMPUTED_VALUE"""),22.0)</f>
        <v>22</v>
      </c>
      <c r="DH189" s="16"/>
      <c r="DI189" s="16"/>
      <c r="DJ189" s="16"/>
      <c r="DK189" s="16">
        <f>IFERROR(__xludf.DUMMYFUNCTION("""COMPUTED_VALUE"""),2.0)</f>
        <v>2</v>
      </c>
      <c r="DL189" s="16">
        <f>IFERROR(__xludf.DUMMYFUNCTION("""COMPUTED_VALUE"""),1.0)</f>
        <v>1</v>
      </c>
      <c r="DM189" s="16">
        <f>IFERROR(__xludf.DUMMYFUNCTION("""COMPUTED_VALUE"""),0.0)</f>
        <v>0</v>
      </c>
      <c r="DN189" s="16">
        <f>IFERROR(__xludf.DUMMYFUNCTION("""COMPUTED_VALUE"""),-1.0)</f>
        <v>-1</v>
      </c>
      <c r="DO189" s="16">
        <f>IFERROR(__xludf.DUMMYFUNCTION("""COMPUTED_VALUE"""),-4.0)</f>
        <v>-4</v>
      </c>
      <c r="DP189" s="16"/>
      <c r="DQ189" s="16"/>
      <c r="DR189" s="16"/>
      <c r="DS189" s="16">
        <f>IFERROR(__xludf.DUMMYFUNCTION("""COMPUTED_VALUE"""),3.0)</f>
        <v>3</v>
      </c>
      <c r="DT189" s="16">
        <f>IFERROR(__xludf.DUMMYFUNCTION("""COMPUTED_VALUE"""),-2.0)</f>
        <v>-2</v>
      </c>
      <c r="DU189" s="16">
        <f>IFERROR(__xludf.DUMMYFUNCTION("""COMPUTED_VALUE"""),-2.0)</f>
        <v>-2</v>
      </c>
      <c r="DV189" s="16">
        <f>IFERROR(__xludf.DUMMYFUNCTION("""COMPUTED_VALUE"""),-4.0)</f>
        <v>-4</v>
      </c>
      <c r="DW189" s="16">
        <f>IFERROR(__xludf.DUMMYFUNCTION("""COMPUTED_VALUE"""),-2.0)</f>
        <v>-2</v>
      </c>
      <c r="DX189" s="16"/>
      <c r="DY189" s="16"/>
      <c r="DZ189" s="16"/>
      <c r="EA189" s="16">
        <f>IFERROR(__xludf.DUMMYFUNCTION("""COMPUTED_VALUE"""),5.0)</f>
        <v>5</v>
      </c>
      <c r="EB189" s="16">
        <f>IFERROR(__xludf.DUMMYFUNCTION("""COMPUTED_VALUE"""),-1.0)</f>
        <v>-1</v>
      </c>
      <c r="EC189" s="16">
        <f>IFERROR(__xludf.DUMMYFUNCTION("""COMPUTED_VALUE"""),-2.0)</f>
        <v>-2</v>
      </c>
      <c r="ED189" s="16">
        <f>IFERROR(__xludf.DUMMYFUNCTION("""COMPUTED_VALUE"""),-5.0)</f>
        <v>-5</v>
      </c>
      <c r="EE189" s="16">
        <f>IFERROR(__xludf.DUMMYFUNCTION("""COMPUTED_VALUE"""),-6.0)</f>
        <v>-6</v>
      </c>
      <c r="EF189" s="16"/>
      <c r="EG189" s="179"/>
      <c r="EH189" s="179"/>
      <c r="EI189" s="179">
        <f>IFERROR(__xludf.DUMMYFUNCTION("""COMPUTED_VALUE"""),7.0)</f>
        <v>7</v>
      </c>
      <c r="EJ189" s="179">
        <f>IFERROR(__xludf.DUMMYFUNCTION("""COMPUTED_VALUE"""),1.0)</f>
        <v>1</v>
      </c>
      <c r="EK189" s="179">
        <f>IFERROR(__xludf.DUMMYFUNCTION("""COMPUTED_VALUE"""),0.0)</f>
        <v>0</v>
      </c>
      <c r="EL189" s="179">
        <f>IFERROR(__xludf.DUMMYFUNCTION("""COMPUTED_VALUE"""),-3.0)</f>
        <v>-3</v>
      </c>
      <c r="EM189" s="179">
        <f>IFERROR(__xludf.DUMMYFUNCTION("""COMPUTED_VALUE"""),-4.0)</f>
        <v>-4</v>
      </c>
      <c r="EN189" s="179"/>
      <c r="EO189" s="16"/>
      <c r="EP189" s="16"/>
      <c r="EQ189" s="16">
        <f>IFERROR(__xludf.DUMMYFUNCTION("""COMPUTED_VALUE"""),2.0)</f>
        <v>2</v>
      </c>
      <c r="ER189" s="16">
        <f>IFERROR(__xludf.DUMMYFUNCTION("""COMPUTED_VALUE"""),1.0)</f>
        <v>1</v>
      </c>
      <c r="ES189" s="16"/>
      <c r="ET189" s="16"/>
      <c r="EU189" s="16"/>
      <c r="EV189" s="16"/>
      <c r="EW189" s="16"/>
      <c r="EX189" s="180"/>
      <c r="EY189" s="180"/>
      <c r="EZ189" s="180">
        <f>IFERROR(__xludf.DUMMYFUNCTION("""COMPUTED_VALUE"""),0.1)</f>
        <v>0.1</v>
      </c>
      <c r="FA189" s="180">
        <f>IFERROR(__xludf.DUMMYFUNCTION("""COMPUTED_VALUE"""),0.2)</f>
        <v>0.2</v>
      </c>
      <c r="FB189" s="180">
        <f>IFERROR(__xludf.DUMMYFUNCTION("""COMPUTED_VALUE"""),0.2)</f>
        <v>0.2</v>
      </c>
      <c r="FC189" s="180">
        <f>IFERROR(__xludf.DUMMYFUNCTION("""COMPUTED_VALUE"""),0.55)</f>
        <v>0.55</v>
      </c>
      <c r="FD189" s="180">
        <f>IFERROR(__xludf.DUMMYFUNCTION("""COMPUTED_VALUE"""),0.75)</f>
        <v>0.75</v>
      </c>
      <c r="FE189" s="180"/>
      <c r="FF189" s="180"/>
      <c r="FG189" s="180"/>
      <c r="FH189" s="180">
        <f>IFERROR(__xludf.DUMMYFUNCTION("""COMPUTED_VALUE"""),0.046296296296296294)</f>
        <v>0.0462962963</v>
      </c>
      <c r="FI189" s="180">
        <f>IFERROR(__xludf.DUMMYFUNCTION("""COMPUTED_VALUE"""),0.4675925925925926)</f>
        <v>0.4675925926</v>
      </c>
      <c r="FJ189" s="180">
        <f>IFERROR(__xludf.DUMMYFUNCTION("""COMPUTED_VALUE"""),0.28703703703703703)</f>
        <v>0.287037037</v>
      </c>
      <c r="FK189" s="180">
        <f>IFERROR(__xludf.DUMMYFUNCTION("""COMPUTED_VALUE"""),0.398)</f>
        <v>0.398</v>
      </c>
      <c r="FL189" s="180">
        <f>IFERROR(__xludf.DUMMYFUNCTION("""COMPUTED_VALUE"""),0.2638888888888889)</f>
        <v>0.2638888889</v>
      </c>
      <c r="FM189" s="180"/>
      <c r="FN189" s="16"/>
      <c r="FO189" s="16"/>
      <c r="FP189" s="16">
        <f>IFERROR(__xludf.DUMMYFUNCTION("""COMPUTED_VALUE"""),0.8583333333333334)</f>
        <v>0.8583333333</v>
      </c>
      <c r="FQ189" s="16">
        <f>IFERROR(__xludf.DUMMYFUNCTION("""COMPUTED_VALUE"""),0.425925925925926)</f>
        <v>0.4259259259</v>
      </c>
      <c r="FR189" s="16">
        <f>IFERROR(__xludf.DUMMYFUNCTION("""COMPUTED_VALUE"""),0.5703703703703704)</f>
        <v>0.5703703704</v>
      </c>
      <c r="FS189" s="16">
        <f>IFERROR(__xludf.DUMMYFUNCTION("""COMPUTED_VALUE"""),0.2709)</f>
        <v>0.2709</v>
      </c>
      <c r="FT189" s="16">
        <f>IFERROR(__xludf.DUMMYFUNCTION("""COMPUTED_VALUE"""),0.1840277777777778)</f>
        <v>0.1840277778</v>
      </c>
      <c r="FU189" s="16"/>
      <c r="FV189" s="16"/>
      <c r="FW189" s="16"/>
      <c r="FX189" s="16">
        <f>IFERROR(__xludf.DUMMYFUNCTION("""COMPUTED_VALUE"""),4.0)</f>
        <v>4</v>
      </c>
      <c r="FY189" s="16">
        <f>IFERROR(__xludf.DUMMYFUNCTION("""COMPUTED_VALUE"""),-8.0)</f>
        <v>-8</v>
      </c>
      <c r="FZ189" s="16">
        <f>IFERROR(__xludf.DUMMYFUNCTION("""COMPUTED_VALUE"""),-6.0)</f>
        <v>-6</v>
      </c>
      <c r="GA189" s="16">
        <f>IFERROR(__xludf.DUMMYFUNCTION("""COMPUTED_VALUE"""),-8.0)</f>
        <v>-8</v>
      </c>
      <c r="GB189" s="16">
        <f>IFERROR(__xludf.DUMMYFUNCTION("""COMPUTED_VALUE"""),-8.0)</f>
        <v>-8</v>
      </c>
      <c r="GC189" s="16"/>
      <c r="GD189" s="16" t="s">
        <v>232</v>
      </c>
    </row>
    <row r="190">
      <c r="A190" s="16">
        <f>IFERROR(__xludf.DUMMYFUNCTION("""COMPUTED_VALUE"""),13308.0)</f>
        <v>13308</v>
      </c>
      <c r="B190" s="16" t="str">
        <f>IFERROR(__xludf.DUMMYFUNCTION("""COMPUTED_VALUE"""),"Rhys Hoskins")</f>
        <v>Rhys Hoskins</v>
      </c>
      <c r="C190" s="16">
        <f>IFERROR(__xludf.DUMMYFUNCTION("""COMPUTED_VALUE"""),0.0)</f>
        <v>0</v>
      </c>
      <c r="D190" s="16" t="str">
        <f>IFERROR(__xludf.DUMMYFUNCTION("""COMPUTED_VALUE"""),"R")</f>
        <v>R</v>
      </c>
      <c r="E190" s="16"/>
      <c r="F190" s="16"/>
      <c r="G190" s="16">
        <f>IFERROR(__xludf.DUMMYFUNCTION("""COMPUTED_VALUE"""),449.0)</f>
        <v>449</v>
      </c>
      <c r="H190" s="16">
        <f>IFERROR(__xludf.DUMMYFUNCTION("""COMPUTED_VALUE"""),53.0)</f>
        <v>53</v>
      </c>
      <c r="I190" s="16" t="str">
        <f>IFERROR(__xludf.DUMMYFUNCTION("""COMPUTED_VALUE"""),"2p60")</f>
        <v>2p60</v>
      </c>
      <c r="J190" s="16">
        <f>IFERROR(__xludf.DUMMYFUNCTION("""COMPUTED_VALUE"""),34.0)</f>
        <v>34</v>
      </c>
      <c r="K190" s="16">
        <f>IFERROR(__xludf.DUMMYFUNCTION("""COMPUTED_VALUE"""),39.0)</f>
        <v>39</v>
      </c>
      <c r="L190" s="16">
        <f>IFERROR(__xludf.DUMMYFUNCTION("""COMPUTED_VALUE"""),-1.0)</f>
        <v>-1</v>
      </c>
      <c r="M190" s="16">
        <f>IFERROR(__xludf.DUMMYFUNCTION("""COMPUTED_VALUE"""),-2.0)</f>
        <v>-2</v>
      </c>
      <c r="N190" s="16">
        <f>IFERROR(__xludf.DUMMYFUNCTION("""COMPUTED_VALUE"""),-1.0)</f>
        <v>-1</v>
      </c>
      <c r="O190" s="16">
        <f>IFERROR(__xludf.DUMMYFUNCTION("""COMPUTED_VALUE"""),-2.0)</f>
        <v>-2</v>
      </c>
      <c r="P190" s="16">
        <f>IFERROR(__xludf.DUMMYFUNCTION("""COMPUTED_VALUE"""),18.0)</f>
        <v>18</v>
      </c>
      <c r="Q190" s="16">
        <f>IFERROR(__xludf.DUMMYFUNCTION("""COMPUTED_VALUE"""),13.0)</f>
        <v>13</v>
      </c>
      <c r="R190" s="16">
        <f>IFERROR(__xludf.DUMMYFUNCTION("""COMPUTED_VALUE"""),3.0)</f>
        <v>3</v>
      </c>
      <c r="S190" s="16">
        <f>IFERROR(__xludf.DUMMYFUNCTION("""COMPUTED_VALUE"""),1.0)</f>
        <v>1</v>
      </c>
      <c r="T190" s="16">
        <f>IFERROR(__xludf.DUMMYFUNCTION("""COMPUTED_VALUE"""),3.0)</f>
        <v>3</v>
      </c>
      <c r="U190" s="16">
        <f>IFERROR(__xludf.DUMMYFUNCTION("""COMPUTED_VALUE"""),1.0)</f>
        <v>1</v>
      </c>
      <c r="V190" s="16">
        <f>IFERROR(__xludf.DUMMYFUNCTION("""COMPUTED_VALUE"""),9.5)</f>
        <v>9.5</v>
      </c>
      <c r="W190" s="16">
        <f>IFERROR(__xludf.DUMMYFUNCTION("""COMPUTED_VALUE"""),11.7)</f>
        <v>11.7</v>
      </c>
      <c r="X190" s="16">
        <f>IFERROR(__xludf.DUMMYFUNCTION("""COMPUTED_VALUE"""),-1.0)</f>
        <v>-1</v>
      </c>
      <c r="Y190" s="16">
        <f>IFERROR(__xludf.DUMMYFUNCTION("""COMPUTED_VALUE"""),-2.0)</f>
        <v>-2</v>
      </c>
      <c r="Z190" s="16">
        <f>IFERROR(__xludf.DUMMYFUNCTION("""COMPUTED_VALUE"""),-2.0)</f>
        <v>-2</v>
      </c>
      <c r="AA190" s="16">
        <f>IFERROR(__xludf.DUMMYFUNCTION("""COMPUTED_VALUE"""),-4.0)</f>
        <v>-4</v>
      </c>
      <c r="AB190" s="16">
        <f>IFERROR(__xludf.DUMMYFUNCTION("""COMPUTED_VALUE"""),30.5)</f>
        <v>30.5</v>
      </c>
      <c r="AC190" s="16">
        <f>IFERROR(__xludf.DUMMYFUNCTION("""COMPUTED_VALUE"""),27.7)</f>
        <v>27.7</v>
      </c>
      <c r="AD190" s="16">
        <f>IFERROR(__xludf.DUMMYFUNCTION("""COMPUTED_VALUE"""),0.0)</f>
        <v>0</v>
      </c>
      <c r="AE190" s="16">
        <f>IFERROR(__xludf.DUMMYFUNCTION("""COMPUTED_VALUE"""),-1.0)</f>
        <v>-1</v>
      </c>
      <c r="AF190" s="16">
        <f>IFERROR(__xludf.DUMMYFUNCTION("""COMPUTED_VALUE"""),0.0)</f>
        <v>0</v>
      </c>
      <c r="AG190" s="16">
        <f>IFERROR(__xludf.DUMMYFUNCTION("""COMPUTED_VALUE"""),-5.0)</f>
        <v>-5</v>
      </c>
      <c r="AH190" s="16">
        <f>IFERROR(__xludf.DUMMYFUNCTION("""COMPUTED_VALUE"""),26.3)</f>
        <v>26.3</v>
      </c>
      <c r="AI190" s="16">
        <f>IFERROR(__xludf.DUMMYFUNCTION("""COMPUTED_VALUE"""),24.8)</f>
        <v>24.8</v>
      </c>
      <c r="AJ190" s="16">
        <f>IFERROR(__xludf.DUMMYFUNCTION("""COMPUTED_VALUE"""),0.0)</f>
        <v>0</v>
      </c>
      <c r="AK190" s="16">
        <f>IFERROR(__xludf.DUMMYFUNCTION("""COMPUTED_VALUE"""),-1.0)</f>
        <v>-1</v>
      </c>
      <c r="AL190" s="16">
        <f>IFERROR(__xludf.DUMMYFUNCTION("""COMPUTED_VALUE"""),0.0)</f>
        <v>0</v>
      </c>
      <c r="AM190" s="16">
        <f>IFERROR(__xludf.DUMMYFUNCTION("""COMPUTED_VALUE"""),-5.0)</f>
        <v>-5</v>
      </c>
      <c r="AN190" s="16">
        <f>IFERROR(__xludf.DUMMYFUNCTION("""COMPUTED_VALUE"""),5.6)</f>
        <v>5.6</v>
      </c>
      <c r="AO190" s="16">
        <f>IFERROR(__xludf.DUMMYFUNCTION("""COMPUTED_VALUE"""),3.8)</f>
        <v>3.8</v>
      </c>
      <c r="AP190" s="16">
        <f>IFERROR(__xludf.DUMMYFUNCTION("""COMPUTED_VALUE"""),3.0)</f>
        <v>3</v>
      </c>
      <c r="AQ190" s="16">
        <f>IFERROR(__xludf.DUMMYFUNCTION("""COMPUTED_VALUE"""),2.0)</f>
        <v>2</v>
      </c>
      <c r="AR190" s="16">
        <f>IFERROR(__xludf.DUMMYFUNCTION("""COMPUTED_VALUE"""),6.0)</f>
        <v>6</v>
      </c>
      <c r="AS190" s="16">
        <f>IFERROR(__xludf.DUMMYFUNCTION("""COMPUTED_VALUE"""),4.0)</f>
        <v>4</v>
      </c>
      <c r="AT190" s="16">
        <f>IFERROR(__xludf.DUMMYFUNCTION("""COMPUTED_VALUE"""),8.0)</f>
        <v>8</v>
      </c>
      <c r="AU190" s="16">
        <f>IFERROR(__xludf.DUMMYFUNCTION("""COMPUTED_VALUE"""),6.0)</f>
        <v>6</v>
      </c>
      <c r="AV190" s="16">
        <f>IFERROR(__xludf.DUMMYFUNCTION("""COMPUTED_VALUE"""),8.0)</f>
        <v>8</v>
      </c>
      <c r="AW190" s="16">
        <f>IFERROR(__xludf.DUMMYFUNCTION("""COMPUTED_VALUE"""),6.0)</f>
        <v>6</v>
      </c>
      <c r="AX190" s="16">
        <f>IFERROR(__xludf.DUMMYFUNCTION("""COMPUTED_VALUE"""),3.0)</f>
        <v>3</v>
      </c>
      <c r="AY190" s="16">
        <f>IFERROR(__xludf.DUMMYFUNCTION("""COMPUTED_VALUE"""),2.0)</f>
        <v>2</v>
      </c>
      <c r="AZ190" s="16">
        <f>IFERROR(__xludf.DUMMYFUNCTION("""COMPUTED_VALUE"""),9.0)</f>
        <v>9</v>
      </c>
      <c r="BA190" s="16">
        <f>IFERROR(__xludf.DUMMYFUNCTION("""COMPUTED_VALUE"""),6.0)</f>
        <v>6</v>
      </c>
      <c r="BB190" s="16">
        <f>IFERROR(__xludf.DUMMYFUNCTION("""COMPUTED_VALUE"""),5.0)</f>
        <v>5</v>
      </c>
      <c r="BC190" s="16">
        <f>IFERROR(__xludf.DUMMYFUNCTION("""COMPUTED_VALUE"""),5.0)</f>
        <v>5</v>
      </c>
      <c r="BD190" s="16">
        <f>IFERROR(__xludf.DUMMYFUNCTION("""COMPUTED_VALUE"""),1.0)</f>
        <v>1</v>
      </c>
      <c r="BE190" s="16">
        <f>IFERROR(__xludf.DUMMYFUNCTION("""COMPUTED_VALUE"""),1.0)</f>
        <v>1</v>
      </c>
      <c r="BF190" s="16">
        <f>IFERROR(__xludf.DUMMYFUNCTION("""COMPUTED_VALUE"""),1.0)</f>
        <v>1</v>
      </c>
      <c r="BG190" s="16">
        <f>IFERROR(__xludf.DUMMYFUNCTION("""COMPUTED_VALUE"""),1.0)</f>
        <v>1</v>
      </c>
      <c r="BH190" s="16">
        <f>IFERROR(__xludf.DUMMYFUNCTION("""COMPUTED_VALUE"""),-1.0)</f>
        <v>-1</v>
      </c>
      <c r="BI190" s="16">
        <f>IFERROR(__xludf.DUMMYFUNCTION("""COMPUTED_VALUE"""),-3.0)</f>
        <v>-3</v>
      </c>
      <c r="BJ190" s="16">
        <f>IFERROR(__xludf.DUMMYFUNCTION("""COMPUTED_VALUE"""),13.0)</f>
        <v>13</v>
      </c>
      <c r="BK190" s="16">
        <f>IFERROR(__xludf.DUMMYFUNCTION("""COMPUTED_VALUE"""),15.0)</f>
        <v>15</v>
      </c>
      <c r="BL190" s="16">
        <f>IFERROR(__xludf.DUMMYFUNCTION("""COMPUTED_VALUE"""),0.0)</f>
        <v>0</v>
      </c>
      <c r="BM190" s="16">
        <f>IFERROR(__xludf.DUMMYFUNCTION("""COMPUTED_VALUE"""),-1.0)</f>
        <v>-1</v>
      </c>
      <c r="BN190" s="16">
        <f>IFERROR(__xludf.DUMMYFUNCTION("""COMPUTED_VALUE"""),0.0)</f>
        <v>0</v>
      </c>
      <c r="BO190" s="16">
        <f>IFERROR(__xludf.DUMMYFUNCTION("""COMPUTED_VALUE"""),-2.0)</f>
        <v>-2</v>
      </c>
      <c r="BP190" s="16">
        <f>IFERROR(__xludf.DUMMYFUNCTION("""COMPUTED_VALUE"""),8.0)</f>
        <v>8</v>
      </c>
      <c r="BQ190" s="16">
        <f>IFERROR(__xludf.DUMMYFUNCTION("""COMPUTED_VALUE"""),-1.0)</f>
        <v>-1</v>
      </c>
      <c r="BR190" s="16">
        <f>IFERROR(__xludf.DUMMYFUNCTION("""COMPUTED_VALUE"""),7.0)</f>
        <v>7</v>
      </c>
      <c r="BS190" s="16" t="str">
        <f>IFERROR(__xludf.DUMMYFUNCTION("""COMPUTED_VALUE"""),"2/- (20-6)")</f>
        <v>2/- (20-6)</v>
      </c>
      <c r="BT190" s="16" t="str">
        <f>IFERROR(__xludf.DUMMYFUNCTION("""COMPUTED_VALUE"""),"D")</f>
        <v>D</v>
      </c>
      <c r="BU190" s="16">
        <f>IFERROR(__xludf.DUMMYFUNCTION("""COMPUTED_VALUE"""),9.0)</f>
        <v>9</v>
      </c>
      <c r="BV190" s="16">
        <f>IFERROR(__xludf.DUMMYFUNCTION("""COMPUTED_VALUE"""),0.0)</f>
        <v>0</v>
      </c>
      <c r="BW190" s="16">
        <f>IFERROR(__xludf.DUMMYFUNCTION("""COMPUTED_VALUE"""),-1.0)</f>
        <v>-1</v>
      </c>
      <c r="BX190" s="16">
        <f>IFERROR(__xludf.DUMMYFUNCTION("""COMPUTED_VALUE"""),0.0)</f>
        <v>0</v>
      </c>
      <c r="BY190" s="16">
        <f>IFERROR(__xludf.DUMMYFUNCTION("""COMPUTED_VALUE"""),-3.0)</f>
        <v>-3</v>
      </c>
      <c r="BZ190" s="16" t="str">
        <f>IFERROR(__xludf.DUMMYFUNCTION("""COMPUTED_VALUE"""),"D")</f>
        <v>D</v>
      </c>
      <c r="CA190" s="16" t="str">
        <f>IFERROR(__xludf.DUMMYFUNCTION("""COMPUTED_VALUE"""),"D")</f>
        <v>D</v>
      </c>
      <c r="CB190" s="16">
        <f>IFERROR(__xludf.DUMMYFUNCTION("""COMPUTED_VALUE"""),0.0)</f>
        <v>0</v>
      </c>
      <c r="CC190" s="16">
        <f>IFERROR(__xludf.DUMMYFUNCTION("""COMPUTED_VALUE"""),0.0)</f>
        <v>0</v>
      </c>
      <c r="CD190" s="16">
        <f>IFERROR(__xludf.DUMMYFUNCTION("""COMPUTED_VALUE"""),0.0)</f>
        <v>0</v>
      </c>
      <c r="CE190" s="16">
        <f>IFERROR(__xludf.DUMMYFUNCTION("""COMPUTED_VALUE"""),0.0)</f>
        <v>0</v>
      </c>
      <c r="CF190" s="16">
        <f>IFERROR(__xludf.DUMMYFUNCTION("""COMPUTED_VALUE"""),2.0)</f>
        <v>2</v>
      </c>
      <c r="CG190" s="16">
        <f>IFERROR(__xludf.DUMMYFUNCTION("""COMPUTED_VALUE"""),16.0)</f>
        <v>16</v>
      </c>
      <c r="CH190" s="16">
        <f>IFERROR(__xludf.DUMMYFUNCTION("""COMPUTED_VALUE"""),-6.0)</f>
        <v>-6</v>
      </c>
      <c r="CI190" s="179">
        <f>IFERROR(__xludf.DUMMYFUNCTION("""COMPUTED_VALUE"""),2.0)</f>
        <v>2</v>
      </c>
      <c r="CJ190" s="16"/>
      <c r="CK190" s="16">
        <f>IFERROR(__xludf.DUMMYFUNCTION("""COMPUTED_VALUE"""),406.0)</f>
        <v>406</v>
      </c>
      <c r="CL190" s="16"/>
      <c r="CM190" s="16"/>
      <c r="CN190" s="16"/>
      <c r="CO190" s="16"/>
      <c r="CP190" s="16"/>
      <c r="CQ190" s="16"/>
      <c r="CR190" s="16" t="str">
        <f>IFERROR(__xludf.DUMMYFUNCTION("""COMPUTED_VALUE"""),"1b-4e6")</f>
        <v>1b-4e6</v>
      </c>
      <c r="CS190" s="16"/>
      <c r="CT190" s="16">
        <f>IFERROR(__xludf.DUMMYFUNCTION("""COMPUTED_VALUE"""),4.0)</f>
        <v>4</v>
      </c>
      <c r="CU190" s="16"/>
      <c r="CV190" s="16"/>
      <c r="CW190" s="16"/>
      <c r="CX190" s="16"/>
      <c r="CY190" s="16"/>
      <c r="CZ190" s="16"/>
      <c r="DA190" s="16"/>
      <c r="DB190" s="16">
        <f>IFERROR(__xludf.DUMMYFUNCTION("""COMPUTED_VALUE"""),6.0)</f>
        <v>6</v>
      </c>
      <c r="DC190" s="16"/>
      <c r="DD190" s="16"/>
      <c r="DE190" s="16"/>
      <c r="DF190" s="16"/>
      <c r="DG190" s="16"/>
      <c r="DH190" s="16"/>
      <c r="DI190" s="16"/>
      <c r="DJ190" s="16">
        <f>IFERROR(__xludf.DUMMYFUNCTION("""COMPUTED_VALUE"""),0.0)</f>
        <v>0</v>
      </c>
      <c r="DK190" s="16"/>
      <c r="DL190" s="16"/>
      <c r="DM190" s="16"/>
      <c r="DN190" s="16"/>
      <c r="DO190" s="16"/>
      <c r="DP190" s="16"/>
      <c r="DQ190" s="16"/>
      <c r="DR190" s="16">
        <f>IFERROR(__xludf.DUMMYFUNCTION("""COMPUTED_VALUE"""),2.0)</f>
        <v>2</v>
      </c>
      <c r="DS190" s="16"/>
      <c r="DT190" s="16"/>
      <c r="DU190" s="16"/>
      <c r="DV190" s="16"/>
      <c r="DW190" s="16"/>
      <c r="DX190" s="16"/>
      <c r="DY190" s="16"/>
      <c r="DZ190" s="16">
        <f>IFERROR(__xludf.DUMMYFUNCTION("""COMPUTED_VALUE"""),2.0)</f>
        <v>2</v>
      </c>
      <c r="EA190" s="16"/>
      <c r="EB190" s="16"/>
      <c r="EC190" s="16"/>
      <c r="ED190" s="16"/>
      <c r="EE190" s="16"/>
      <c r="EF190" s="16"/>
      <c r="EG190" s="179"/>
      <c r="EH190" s="179">
        <f>IFERROR(__xludf.DUMMYFUNCTION("""COMPUTED_VALUE"""),4.0)</f>
        <v>4</v>
      </c>
      <c r="EI190" s="179"/>
      <c r="EJ190" s="179"/>
      <c r="EK190" s="179"/>
      <c r="EL190" s="179"/>
      <c r="EM190" s="179"/>
      <c r="EN190" s="179"/>
      <c r="EO190" s="16"/>
      <c r="EP190" s="16"/>
      <c r="EQ190" s="16">
        <f>IFERROR(__xludf.DUMMYFUNCTION("""COMPUTED_VALUE"""),2.0)</f>
        <v>2</v>
      </c>
      <c r="ER190" s="16">
        <f>IFERROR(__xludf.DUMMYFUNCTION("""COMPUTED_VALUE"""),1.0)</f>
        <v>1</v>
      </c>
      <c r="ES190" s="16"/>
      <c r="ET190" s="16"/>
      <c r="EU190" s="16"/>
      <c r="EV190" s="16"/>
      <c r="EW190" s="16"/>
      <c r="EX190" s="180"/>
      <c r="EY190" s="180">
        <f>IFERROR(__xludf.DUMMYFUNCTION("""COMPUTED_VALUE"""),0.3)</f>
        <v>0.3</v>
      </c>
      <c r="EZ190" s="180"/>
      <c r="FA190" s="180"/>
      <c r="FB190" s="180"/>
      <c r="FC190" s="180"/>
      <c r="FD190" s="180"/>
      <c r="FE190" s="180"/>
      <c r="FF190" s="180"/>
      <c r="FG190" s="180">
        <f>IFERROR(__xludf.DUMMYFUNCTION("""COMPUTED_VALUE"""),0.10648148148148148)</f>
        <v>0.1064814815</v>
      </c>
      <c r="FH190" s="180"/>
      <c r="FI190" s="180"/>
      <c r="FJ190" s="180"/>
      <c r="FK190" s="180"/>
      <c r="FL190" s="180"/>
      <c r="FM190" s="180"/>
      <c r="FN190" s="16"/>
      <c r="FO190" s="16">
        <f>IFERROR(__xludf.DUMMYFUNCTION("""COMPUTED_VALUE"""),0.6254629629629629)</f>
        <v>0.625462963</v>
      </c>
      <c r="FP190" s="16"/>
      <c r="FQ190" s="16"/>
      <c r="FR190" s="16"/>
      <c r="FS190" s="16"/>
      <c r="FT190" s="16"/>
      <c r="FU190" s="16"/>
      <c r="FV190" s="16"/>
      <c r="FW190" s="16">
        <f>IFERROR(__xludf.DUMMYFUNCTION("""COMPUTED_VALUE"""),-6.0)</f>
        <v>-6</v>
      </c>
      <c r="FX190" s="16"/>
      <c r="FY190" s="16"/>
      <c r="FZ190" s="16"/>
      <c r="GA190" s="16"/>
      <c r="GB190" s="16"/>
      <c r="GC190" s="16"/>
      <c r="GD190" s="16" t="s">
        <v>277</v>
      </c>
    </row>
    <row r="191">
      <c r="A191" s="16">
        <f>IFERROR(__xludf.DUMMYFUNCTION("""COMPUTED_VALUE"""),12565.0)</f>
        <v>12565</v>
      </c>
      <c r="B191" s="16" t="str">
        <f>IFERROR(__xludf.DUMMYFUNCTION("""COMPUTED_VALUE"""),"Austin Martin")</f>
        <v>Austin Martin</v>
      </c>
      <c r="C191" s="16">
        <f>IFERROR(__xludf.DUMMYFUNCTION("""COMPUTED_VALUE"""),0.0)</f>
        <v>0</v>
      </c>
      <c r="D191" s="16" t="str">
        <f>IFERROR(__xludf.DUMMYFUNCTION("""COMPUTED_VALUE"""),"R")</f>
        <v>R</v>
      </c>
      <c r="E191" s="16"/>
      <c r="F191" s="16"/>
      <c r="G191" s="16">
        <f>IFERROR(__xludf.DUMMYFUNCTION("""COMPUTED_VALUE"""),233.0)</f>
        <v>233</v>
      </c>
      <c r="H191" s="16">
        <f>IFERROR(__xludf.DUMMYFUNCTION("""COMPUTED_VALUE"""),20.0)</f>
        <v>20</v>
      </c>
      <c r="I191" s="16" t="str">
        <f>IFERROR(__xludf.DUMMYFUNCTION("""COMPUTED_VALUE"""),"1p50")</f>
        <v>1p50</v>
      </c>
      <c r="J191" s="16">
        <f>IFERROR(__xludf.DUMMYFUNCTION("""COMPUTED_VALUE"""),16.0)</f>
        <v>16</v>
      </c>
      <c r="K191" s="16">
        <f>IFERROR(__xludf.DUMMYFUNCTION("""COMPUTED_VALUE"""),14.0)</f>
        <v>14</v>
      </c>
      <c r="L191" s="16">
        <f>IFERROR(__xludf.DUMMYFUNCTION("""COMPUTED_VALUE"""),1.0)</f>
        <v>1</v>
      </c>
      <c r="M191" s="16">
        <f>IFERROR(__xludf.DUMMYFUNCTION("""COMPUTED_VALUE"""),1.0)</f>
        <v>1</v>
      </c>
      <c r="N191" s="16">
        <f>IFERROR(__xludf.DUMMYFUNCTION("""COMPUTED_VALUE"""),1.0)</f>
        <v>1</v>
      </c>
      <c r="O191" s="16">
        <f>IFERROR(__xludf.DUMMYFUNCTION("""COMPUTED_VALUE"""),1.0)</f>
        <v>1</v>
      </c>
      <c r="P191" s="16">
        <f>IFERROR(__xludf.DUMMYFUNCTION("""COMPUTED_VALUE"""),13.0)</f>
        <v>13</v>
      </c>
      <c r="Q191" s="16">
        <f>IFERROR(__xludf.DUMMYFUNCTION("""COMPUTED_VALUE"""),7.0)</f>
        <v>7</v>
      </c>
      <c r="R191" s="16">
        <f>IFERROR(__xludf.DUMMYFUNCTION("""COMPUTED_VALUE"""),2.0)</f>
        <v>2</v>
      </c>
      <c r="S191" s="16">
        <f>IFERROR(__xludf.DUMMYFUNCTION("""COMPUTED_VALUE"""),-1.0)</f>
        <v>-1</v>
      </c>
      <c r="T191" s="16">
        <f>IFERROR(__xludf.DUMMYFUNCTION("""COMPUTED_VALUE"""),2.0)</f>
        <v>2</v>
      </c>
      <c r="U191" s="16">
        <f>IFERROR(__xludf.DUMMYFUNCTION("""COMPUTED_VALUE"""),-1.0)</f>
        <v>-1</v>
      </c>
      <c r="V191" s="16">
        <f>IFERROR(__xludf.DUMMYFUNCTION("""COMPUTED_VALUE"""),19.9)</f>
        <v>19.9</v>
      </c>
      <c r="W191" s="16">
        <f>IFERROR(__xludf.DUMMYFUNCTION("""COMPUTED_VALUE"""),24.9)</f>
        <v>24.9</v>
      </c>
      <c r="X191" s="16">
        <f>IFERROR(__xludf.DUMMYFUNCTION("""COMPUTED_VALUE"""),0.0)</f>
        <v>0</v>
      </c>
      <c r="Y191" s="16">
        <f>IFERROR(__xludf.DUMMYFUNCTION("""COMPUTED_VALUE"""),1.0)</f>
        <v>1</v>
      </c>
      <c r="Z191" s="16">
        <f>IFERROR(__xludf.DUMMYFUNCTION("""COMPUTED_VALUE"""),0.0)</f>
        <v>0</v>
      </c>
      <c r="AA191" s="16">
        <f>IFERROR(__xludf.DUMMYFUNCTION("""COMPUTED_VALUE"""),2.0)</f>
        <v>2</v>
      </c>
      <c r="AB191" s="16">
        <f>IFERROR(__xludf.DUMMYFUNCTION("""COMPUTED_VALUE"""),34.9)</f>
        <v>34.9</v>
      </c>
      <c r="AC191" s="16">
        <f>IFERROR(__xludf.DUMMYFUNCTION("""COMPUTED_VALUE"""),33.9)</f>
        <v>33.9</v>
      </c>
      <c r="AD191" s="16">
        <f>IFERROR(__xludf.DUMMYFUNCTION("""COMPUTED_VALUE"""),1.0)</f>
        <v>1</v>
      </c>
      <c r="AE191" s="16">
        <f>IFERROR(__xludf.DUMMYFUNCTION("""COMPUTED_VALUE"""),0.0)</f>
        <v>0</v>
      </c>
      <c r="AF191" s="16">
        <f>IFERROR(__xludf.DUMMYFUNCTION("""COMPUTED_VALUE"""),5.0)</f>
        <v>5</v>
      </c>
      <c r="AG191" s="16">
        <f>IFERROR(__xludf.DUMMYFUNCTION("""COMPUTED_VALUE"""),0.0)</f>
        <v>0</v>
      </c>
      <c r="AH191" s="16">
        <f>IFERROR(__xludf.DUMMYFUNCTION("""COMPUTED_VALUE"""),30.9)</f>
        <v>30.9</v>
      </c>
      <c r="AI191" s="16">
        <f>IFERROR(__xludf.DUMMYFUNCTION("""COMPUTED_VALUE"""),39.8)</f>
        <v>39.8</v>
      </c>
      <c r="AJ191" s="16">
        <f>IFERROR(__xludf.DUMMYFUNCTION("""COMPUTED_VALUE"""),0.0)</f>
        <v>0</v>
      </c>
      <c r="AK191" s="16">
        <f>IFERROR(__xludf.DUMMYFUNCTION("""COMPUTED_VALUE"""),1.0)</f>
        <v>1</v>
      </c>
      <c r="AL191" s="16">
        <f>IFERROR(__xludf.DUMMYFUNCTION("""COMPUTED_VALUE"""),0.0)</f>
        <v>0</v>
      </c>
      <c r="AM191" s="16">
        <f>IFERROR(__xludf.DUMMYFUNCTION("""COMPUTED_VALUE"""),5.0)</f>
        <v>5</v>
      </c>
      <c r="AN191" s="16">
        <f>IFERROR(__xludf.DUMMYFUNCTION("""COMPUTED_VALUE"""),0.0)</f>
        <v>0</v>
      </c>
      <c r="AO191" s="16">
        <f>IFERROR(__xludf.DUMMYFUNCTION("""COMPUTED_VALUE"""),1.3)</f>
        <v>1.3</v>
      </c>
      <c r="AP191" s="16">
        <f>IFERROR(__xludf.DUMMYFUNCTION("""COMPUTED_VALUE"""),-2.0)</f>
        <v>-2</v>
      </c>
      <c r="AQ191" s="16">
        <f>IFERROR(__xludf.DUMMYFUNCTION("""COMPUTED_VALUE"""),-1.0)</f>
        <v>-1</v>
      </c>
      <c r="AR191" s="16">
        <f>IFERROR(__xludf.DUMMYFUNCTION("""COMPUTED_VALUE"""),-4.0)</f>
        <v>-4</v>
      </c>
      <c r="AS191" s="16">
        <f>IFERROR(__xludf.DUMMYFUNCTION("""COMPUTED_VALUE"""),-2.0)</f>
        <v>-2</v>
      </c>
      <c r="AT191" s="16"/>
      <c r="AU191" s="16"/>
      <c r="AV191" s="16">
        <f>IFERROR(__xludf.DUMMYFUNCTION("""COMPUTED_VALUE"""),-3.0)</f>
        <v>-3</v>
      </c>
      <c r="AW191" s="16">
        <f>IFERROR(__xludf.DUMMYFUNCTION("""COMPUTED_VALUE"""),-3.0)</f>
        <v>-3</v>
      </c>
      <c r="AX191" s="16">
        <f>IFERROR(__xludf.DUMMYFUNCTION("""COMPUTED_VALUE"""),-3.0)</f>
        <v>-3</v>
      </c>
      <c r="AY191" s="16">
        <f>IFERROR(__xludf.DUMMYFUNCTION("""COMPUTED_VALUE"""),-3.0)</f>
        <v>-3</v>
      </c>
      <c r="AZ191" s="16">
        <f>IFERROR(__xludf.DUMMYFUNCTION("""COMPUTED_VALUE"""),-9.0)</f>
        <v>-9</v>
      </c>
      <c r="BA191" s="16">
        <f>IFERROR(__xludf.DUMMYFUNCTION("""COMPUTED_VALUE"""),-9.0)</f>
        <v>-9</v>
      </c>
      <c r="BB191" s="16">
        <f>IFERROR(__xludf.DUMMYFUNCTION("""COMPUTED_VALUE"""),5.0)</f>
        <v>5</v>
      </c>
      <c r="BC191" s="16">
        <f>IFERROR(__xludf.DUMMYFUNCTION("""COMPUTED_VALUE"""),5.0)</f>
        <v>5</v>
      </c>
      <c r="BD191" s="16">
        <f>IFERROR(__xludf.DUMMYFUNCTION("""COMPUTED_VALUE"""),1.0)</f>
        <v>1</v>
      </c>
      <c r="BE191" s="16">
        <f>IFERROR(__xludf.DUMMYFUNCTION("""COMPUTED_VALUE"""),1.0)</f>
        <v>1</v>
      </c>
      <c r="BF191" s="16">
        <f>IFERROR(__xludf.DUMMYFUNCTION("""COMPUTED_VALUE"""),1.0)</f>
        <v>1</v>
      </c>
      <c r="BG191" s="16">
        <f>IFERROR(__xludf.DUMMYFUNCTION("""COMPUTED_VALUE"""),1.0)</f>
        <v>1</v>
      </c>
      <c r="BH191" s="16">
        <f>IFERROR(__xludf.DUMMYFUNCTION("""COMPUTED_VALUE"""),-7.0)</f>
        <v>-7</v>
      </c>
      <c r="BI191" s="16">
        <f>IFERROR(__xludf.DUMMYFUNCTION("""COMPUTED_VALUE"""),-11.0)</f>
        <v>-11</v>
      </c>
      <c r="BJ191" s="16">
        <f>IFERROR(__xludf.DUMMYFUNCTION("""COMPUTED_VALUE"""),11.0)</f>
        <v>11</v>
      </c>
      <c r="BK191" s="16">
        <f>IFERROR(__xludf.DUMMYFUNCTION("""COMPUTED_VALUE"""),11.0)</f>
        <v>11</v>
      </c>
      <c r="BL191" s="16">
        <f>IFERROR(__xludf.DUMMYFUNCTION("""COMPUTED_VALUE"""),0.0)</f>
        <v>0</v>
      </c>
      <c r="BM191" s="16">
        <f>IFERROR(__xludf.DUMMYFUNCTION("""COMPUTED_VALUE"""),0.0)</f>
        <v>0</v>
      </c>
      <c r="BN191" s="16">
        <f>IFERROR(__xludf.DUMMYFUNCTION("""COMPUTED_VALUE"""),0.0)</f>
        <v>0</v>
      </c>
      <c r="BO191" s="16">
        <f>IFERROR(__xludf.DUMMYFUNCTION("""COMPUTED_VALUE"""),0.0)</f>
        <v>0</v>
      </c>
      <c r="BP191" s="16">
        <f>IFERROR(__xludf.DUMMYFUNCTION("""COMPUTED_VALUE"""),0.0)</f>
        <v>0</v>
      </c>
      <c r="BQ191" s="16">
        <f>IFERROR(__xludf.DUMMYFUNCTION("""COMPUTED_VALUE"""),-1.0)</f>
        <v>-1</v>
      </c>
      <c r="BR191" s="16">
        <f>IFERROR(__xludf.DUMMYFUNCTION("""COMPUTED_VALUE"""),-1.0)</f>
        <v>-1</v>
      </c>
      <c r="BS191" s="16" t="str">
        <f>IFERROR(__xludf.DUMMYFUNCTION("""COMPUTED_VALUE"""),"*4-6/- (16-12)")</f>
        <v>*4-6/- (16-12)</v>
      </c>
      <c r="BT191" s="16" t="str">
        <f>IFERROR(__xludf.DUMMYFUNCTION("""COMPUTED_VALUE"""),"B")</f>
        <v>B</v>
      </c>
      <c r="BU191" s="16">
        <f>IFERROR(__xludf.DUMMYFUNCTION("""COMPUTED_VALUE"""),14.0)</f>
        <v>14</v>
      </c>
      <c r="BV191" s="16">
        <f>IFERROR(__xludf.DUMMYFUNCTION("""COMPUTED_VALUE"""),1.0)</f>
        <v>1</v>
      </c>
      <c r="BW191" s="16">
        <f>IFERROR(__xludf.DUMMYFUNCTION("""COMPUTED_VALUE"""),1.0)</f>
        <v>1</v>
      </c>
      <c r="BX191" s="16">
        <f>IFERROR(__xludf.DUMMYFUNCTION("""COMPUTED_VALUE"""),2.0)</f>
        <v>2</v>
      </c>
      <c r="BY191" s="16">
        <f>IFERROR(__xludf.DUMMYFUNCTION("""COMPUTED_VALUE"""),3.0)</f>
        <v>3</v>
      </c>
      <c r="BZ191" s="16" t="str">
        <f>IFERROR(__xludf.DUMMYFUNCTION("""COMPUTED_VALUE"""),"C")</f>
        <v>C</v>
      </c>
      <c r="CA191" s="16" t="str">
        <f>IFERROR(__xludf.DUMMYFUNCTION("""COMPUTED_VALUE"""),"C")</f>
        <v>C</v>
      </c>
      <c r="CB191" s="16">
        <f>IFERROR(__xludf.DUMMYFUNCTION("""COMPUTED_VALUE"""),0.0)</f>
        <v>0</v>
      </c>
      <c r="CC191" s="16">
        <f>IFERROR(__xludf.DUMMYFUNCTION("""COMPUTED_VALUE"""),0.0)</f>
        <v>0</v>
      </c>
      <c r="CD191" s="16">
        <f>IFERROR(__xludf.DUMMYFUNCTION("""COMPUTED_VALUE"""),0.0)</f>
        <v>0</v>
      </c>
      <c r="CE191" s="16">
        <f>IFERROR(__xludf.DUMMYFUNCTION("""COMPUTED_VALUE"""),0.0)</f>
        <v>0</v>
      </c>
      <c r="CF191" s="16">
        <f>IFERROR(__xludf.DUMMYFUNCTION("""COMPUTED_VALUE"""),1.0)</f>
        <v>1</v>
      </c>
      <c r="CG191" s="16">
        <f>IFERROR(__xludf.DUMMYFUNCTION("""COMPUTED_VALUE"""),-4.0)</f>
        <v>-4</v>
      </c>
      <c r="CH191" s="16">
        <f>IFERROR(__xludf.DUMMYFUNCTION("""COMPUTED_VALUE"""),-3.0)</f>
        <v>-3</v>
      </c>
      <c r="CI191" s="179">
        <f>IFERROR(__xludf.DUMMYFUNCTION("""COMPUTED_VALUE"""),2.0)</f>
        <v>2</v>
      </c>
      <c r="CJ191" s="16"/>
      <c r="CK191" s="16"/>
      <c r="CL191" s="16">
        <f>IFERROR(__xludf.DUMMYFUNCTION("""COMPUTED_VALUE"""),415.0)</f>
        <v>415</v>
      </c>
      <c r="CM191" s="16"/>
      <c r="CN191" s="16"/>
      <c r="CO191" s="16">
        <f>IFERROR(__xludf.DUMMYFUNCTION("""COMPUTED_VALUE"""),303.0)</f>
        <v>303</v>
      </c>
      <c r="CP191" s="16">
        <f>IFERROR(__xludf.DUMMYFUNCTION("""COMPUTED_VALUE"""),403.0)</f>
        <v>403</v>
      </c>
      <c r="CQ191" s="16"/>
      <c r="CR191" s="16" t="str">
        <f>IFERROR(__xludf.DUMMYFUNCTION("""COMPUTED_VALUE"""),"cf-4(+1)e3 lf-3e3 2b-4e15")</f>
        <v>cf-4(+1)e3 lf-3e3 2b-4e15</v>
      </c>
      <c r="CS191" s="16"/>
      <c r="CT191" s="16"/>
      <c r="CU191" s="16">
        <f>IFERROR(__xludf.DUMMYFUNCTION("""COMPUTED_VALUE"""),4.0)</f>
        <v>4</v>
      </c>
      <c r="CV191" s="16"/>
      <c r="CW191" s="16"/>
      <c r="CX191" s="16">
        <f>IFERROR(__xludf.DUMMYFUNCTION("""COMPUTED_VALUE"""),3.0)</f>
        <v>3</v>
      </c>
      <c r="CY191" s="16">
        <f>IFERROR(__xludf.DUMMYFUNCTION("""COMPUTED_VALUE"""),4.0)</f>
        <v>4</v>
      </c>
      <c r="CZ191" s="16"/>
      <c r="DA191" s="16"/>
      <c r="DB191" s="16"/>
      <c r="DC191" s="16">
        <f>IFERROR(__xludf.DUMMYFUNCTION("""COMPUTED_VALUE"""),15.0)</f>
        <v>15</v>
      </c>
      <c r="DD191" s="16"/>
      <c r="DE191" s="16"/>
      <c r="DF191" s="16">
        <f>IFERROR(__xludf.DUMMYFUNCTION("""COMPUTED_VALUE"""),3.0)</f>
        <v>3</v>
      </c>
      <c r="DG191" s="16">
        <f>IFERROR(__xludf.DUMMYFUNCTION("""COMPUTED_VALUE"""),3.0)</f>
        <v>3</v>
      </c>
      <c r="DH191" s="16"/>
      <c r="DI191" s="16"/>
      <c r="DJ191" s="16"/>
      <c r="DK191" s="16">
        <f>IFERROR(__xludf.DUMMYFUNCTION("""COMPUTED_VALUE"""),-2.0)</f>
        <v>-2</v>
      </c>
      <c r="DL191" s="16"/>
      <c r="DM191" s="16"/>
      <c r="DN191" s="16">
        <f>IFERROR(__xludf.DUMMYFUNCTION("""COMPUTED_VALUE"""),0.0)</f>
        <v>0</v>
      </c>
      <c r="DO191" s="16">
        <f>IFERROR(__xludf.DUMMYFUNCTION("""COMPUTED_VALUE"""),-2.0)</f>
        <v>-2</v>
      </c>
      <c r="DP191" s="16"/>
      <c r="DQ191" s="16"/>
      <c r="DR191" s="16"/>
      <c r="DS191" s="16">
        <f>IFERROR(__xludf.DUMMYFUNCTION("""COMPUTED_VALUE"""),2.0)</f>
        <v>2</v>
      </c>
      <c r="DT191" s="16"/>
      <c r="DU191" s="16"/>
      <c r="DV191" s="16">
        <f>IFERROR(__xludf.DUMMYFUNCTION("""COMPUTED_VALUE"""),4.0)</f>
        <v>4</v>
      </c>
      <c r="DW191" s="16">
        <f>IFERROR(__xludf.DUMMYFUNCTION("""COMPUTED_VALUE"""),4.0)</f>
        <v>4</v>
      </c>
      <c r="DX191" s="16"/>
      <c r="DY191" s="16"/>
      <c r="DZ191" s="16"/>
      <c r="EA191" s="16">
        <f>IFERROR(__xludf.DUMMYFUNCTION("""COMPUTED_VALUE"""),0.0)</f>
        <v>0</v>
      </c>
      <c r="EB191" s="16"/>
      <c r="EC191" s="16"/>
      <c r="ED191" s="16">
        <f>IFERROR(__xludf.DUMMYFUNCTION("""COMPUTED_VALUE"""),4.0)</f>
        <v>4</v>
      </c>
      <c r="EE191" s="16">
        <f>IFERROR(__xludf.DUMMYFUNCTION("""COMPUTED_VALUE"""),2.0)</f>
        <v>2</v>
      </c>
      <c r="EF191" s="16"/>
      <c r="EG191" s="179"/>
      <c r="EH191" s="179"/>
      <c r="EI191" s="179">
        <f>IFERROR(__xludf.DUMMYFUNCTION("""COMPUTED_VALUE"""),2.0)</f>
        <v>2</v>
      </c>
      <c r="EJ191" s="179"/>
      <c r="EK191" s="179"/>
      <c r="EL191" s="179">
        <f>IFERROR(__xludf.DUMMYFUNCTION("""COMPUTED_VALUE"""),6.0)</f>
        <v>6</v>
      </c>
      <c r="EM191" s="179">
        <f>IFERROR(__xludf.DUMMYFUNCTION("""COMPUTED_VALUE"""),4.0)</f>
        <v>4</v>
      </c>
      <c r="EN191" s="179"/>
      <c r="EO191" s="16"/>
      <c r="EP191" s="16"/>
      <c r="EQ191" s="16">
        <f>IFERROR(__xludf.DUMMYFUNCTION("""COMPUTED_VALUE"""),4.0)</f>
        <v>4</v>
      </c>
      <c r="ER191" s="16">
        <f>IFERROR(__xludf.DUMMYFUNCTION("""COMPUTED_VALUE"""),0.0)</f>
        <v>0</v>
      </c>
      <c r="ES191" s="16"/>
      <c r="ET191" s="16"/>
      <c r="EU191" s="16"/>
      <c r="EV191" s="16"/>
      <c r="EW191" s="16"/>
      <c r="EX191" s="180"/>
      <c r="EY191" s="180"/>
      <c r="EZ191" s="180">
        <f>IFERROR(__xludf.DUMMYFUNCTION("""COMPUTED_VALUE"""),0.3)</f>
        <v>0.3</v>
      </c>
      <c r="FA191" s="180"/>
      <c r="FB191" s="180"/>
      <c r="FC191" s="180">
        <f>IFERROR(__xludf.DUMMYFUNCTION("""COMPUTED_VALUE"""),0.3)</f>
        <v>0.3</v>
      </c>
      <c r="FD191" s="180">
        <f>IFERROR(__xludf.DUMMYFUNCTION("""COMPUTED_VALUE"""),0.55)</f>
        <v>0.55</v>
      </c>
      <c r="FE191" s="180"/>
      <c r="FF191" s="180"/>
      <c r="FG191" s="180"/>
      <c r="FH191" s="180">
        <f>IFERROR(__xludf.DUMMYFUNCTION("""COMPUTED_VALUE"""),0.09259259259259259)</f>
        <v>0.09259259259</v>
      </c>
      <c r="FI191" s="180"/>
      <c r="FJ191" s="180"/>
      <c r="FK191" s="180">
        <f>IFERROR(__xludf.DUMMYFUNCTION("""COMPUTED_VALUE"""),0.056)</f>
        <v>0.056</v>
      </c>
      <c r="FL191" s="180">
        <f>IFERROR(__xludf.DUMMYFUNCTION("""COMPUTED_VALUE"""),0.037037037037037035)</f>
        <v>0.03703703704</v>
      </c>
      <c r="FM191" s="180"/>
      <c r="FN191" s="16"/>
      <c r="FO191" s="16"/>
      <c r="FP191" s="16">
        <f>IFERROR(__xludf.DUMMYFUNCTION("""COMPUTED_VALUE"""),0.6351851851851852)</f>
        <v>0.6351851852</v>
      </c>
      <c r="FQ191" s="16"/>
      <c r="FR191" s="16"/>
      <c r="FS191" s="16">
        <f>IFERROR(__xludf.DUMMYFUNCTION("""COMPUTED_VALUE"""),0.6607999999999999)</f>
        <v>0.6608</v>
      </c>
      <c r="FT191" s="16">
        <f>IFERROR(__xludf.DUMMYFUNCTION("""COMPUTED_VALUE"""),0.4333333333333333)</f>
        <v>0.4333333333</v>
      </c>
      <c r="FU191" s="16"/>
      <c r="FV191" s="16"/>
      <c r="FW191" s="16"/>
      <c r="FX191" s="16">
        <f>IFERROR(__xludf.DUMMYFUNCTION("""COMPUTED_VALUE"""),-6.0)</f>
        <v>-6</v>
      </c>
      <c r="FY191" s="16"/>
      <c r="FZ191" s="16"/>
      <c r="GA191" s="16">
        <f>IFERROR(__xludf.DUMMYFUNCTION("""COMPUTED_VALUE"""),-4.0)</f>
        <v>-4</v>
      </c>
      <c r="GB191" s="16">
        <f>IFERROR(__xludf.DUMMYFUNCTION("""COMPUTED_VALUE"""),-8.0)</f>
        <v>-8</v>
      </c>
      <c r="GC191" s="16"/>
      <c r="GD191" s="16" t="s">
        <v>333</v>
      </c>
    </row>
    <row r="192">
      <c r="A192" s="16">
        <f>IFERROR(__xludf.DUMMYFUNCTION("""COMPUTED_VALUE"""),12569.0)</f>
        <v>12569</v>
      </c>
      <c r="B192" s="16" t="str">
        <f>IFERROR(__xludf.DUMMYFUNCTION("""COMPUTED_VALUE"""),"Austin Wells")</f>
        <v>Austin Wells</v>
      </c>
      <c r="C192" s="16">
        <f>IFERROR(__xludf.DUMMYFUNCTION("""COMPUTED_VALUE"""),1.05)</f>
        <v>1.05</v>
      </c>
      <c r="D192" s="16" t="str">
        <f>IFERROR(__xludf.DUMMYFUNCTION("""COMPUTED_VALUE"""),"L")</f>
        <v>L</v>
      </c>
      <c r="E192" s="16"/>
      <c r="F192" s="16"/>
      <c r="G192" s="16">
        <f>IFERROR(__xludf.DUMMYFUNCTION("""COMPUTED_VALUE"""),354.0)</f>
        <v>354</v>
      </c>
      <c r="H192" s="16">
        <f>IFERROR(__xludf.DUMMYFUNCTION("""COMPUTED_VALUE"""),47.0)</f>
        <v>47</v>
      </c>
      <c r="I192" s="16" t="str">
        <f>IFERROR(__xludf.DUMMYFUNCTION("""COMPUTED_VALUE"""),"2p60")</f>
        <v>2p60</v>
      </c>
      <c r="J192" s="16">
        <f>IFERROR(__xludf.DUMMYFUNCTION("""COMPUTED_VALUE"""),34.0)</f>
        <v>34</v>
      </c>
      <c r="K192" s="16">
        <f>IFERROR(__xludf.DUMMYFUNCTION("""COMPUTED_VALUE"""),19.0)</f>
        <v>19</v>
      </c>
      <c r="L192" s="16">
        <f>IFERROR(__xludf.DUMMYFUNCTION("""COMPUTED_VALUE"""),-1.0)</f>
        <v>-1</v>
      </c>
      <c r="M192" s="16">
        <f>IFERROR(__xludf.DUMMYFUNCTION("""COMPUTED_VALUE"""),1.0)</f>
        <v>1</v>
      </c>
      <c r="N192" s="16">
        <f>IFERROR(__xludf.DUMMYFUNCTION("""COMPUTED_VALUE"""),-1.0)</f>
        <v>-1</v>
      </c>
      <c r="O192" s="16">
        <f>IFERROR(__xludf.DUMMYFUNCTION("""COMPUTED_VALUE"""),1.0)</f>
        <v>1</v>
      </c>
      <c r="P192" s="16">
        <f>IFERROR(__xludf.DUMMYFUNCTION("""COMPUTED_VALUE"""),15.0)</f>
        <v>15</v>
      </c>
      <c r="Q192" s="16">
        <f>IFERROR(__xludf.DUMMYFUNCTION("""COMPUTED_VALUE"""),16.0)</f>
        <v>16</v>
      </c>
      <c r="R192" s="16">
        <f>IFERROR(__xludf.DUMMYFUNCTION("""COMPUTED_VALUE"""),2.0)</f>
        <v>2</v>
      </c>
      <c r="S192" s="16">
        <f>IFERROR(__xludf.DUMMYFUNCTION("""COMPUTED_VALUE"""),2.0)</f>
        <v>2</v>
      </c>
      <c r="T192" s="16">
        <f>IFERROR(__xludf.DUMMYFUNCTION("""COMPUTED_VALUE"""),2.0)</f>
        <v>2</v>
      </c>
      <c r="U192" s="16">
        <f>IFERROR(__xludf.DUMMYFUNCTION("""COMPUTED_VALUE"""),2.0)</f>
        <v>2</v>
      </c>
      <c r="V192" s="16">
        <f>IFERROR(__xludf.DUMMYFUNCTION("""COMPUTED_VALUE"""),10.9)</f>
        <v>10.9</v>
      </c>
      <c r="W192" s="16">
        <f>IFERROR(__xludf.DUMMYFUNCTION("""COMPUTED_VALUE"""),15.9)</f>
        <v>15.9</v>
      </c>
      <c r="X192" s="16">
        <f>IFERROR(__xludf.DUMMYFUNCTION("""COMPUTED_VALUE"""),-1.0)</f>
        <v>-1</v>
      </c>
      <c r="Y192" s="16">
        <f>IFERROR(__xludf.DUMMYFUNCTION("""COMPUTED_VALUE"""),-1.0)</f>
        <v>-1</v>
      </c>
      <c r="Z192" s="16">
        <f>IFERROR(__xludf.DUMMYFUNCTION("""COMPUTED_VALUE"""),-2.0)</f>
        <v>-2</v>
      </c>
      <c r="AA192" s="16">
        <f>IFERROR(__xludf.DUMMYFUNCTION("""COMPUTED_VALUE"""),-2.0)</f>
        <v>-2</v>
      </c>
      <c r="AB192" s="16">
        <f>IFERROR(__xludf.DUMMYFUNCTION("""COMPUTED_VALUE"""),29.0)</f>
        <v>29</v>
      </c>
      <c r="AC192" s="16">
        <f>IFERROR(__xludf.DUMMYFUNCTION("""COMPUTED_VALUE"""),34.8)</f>
        <v>34.8</v>
      </c>
      <c r="AD192" s="16">
        <f>IFERROR(__xludf.DUMMYFUNCTION("""COMPUTED_VALUE"""),0.0)</f>
        <v>0</v>
      </c>
      <c r="AE192" s="16">
        <f>IFERROR(__xludf.DUMMYFUNCTION("""COMPUTED_VALUE"""),1.0)</f>
        <v>1</v>
      </c>
      <c r="AF192" s="16">
        <f>IFERROR(__xludf.DUMMYFUNCTION("""COMPUTED_VALUE"""),0.0)</f>
        <v>0</v>
      </c>
      <c r="AG192" s="16">
        <f>IFERROR(__xludf.DUMMYFUNCTION("""COMPUTED_VALUE"""),5.0)</f>
        <v>5</v>
      </c>
      <c r="AH192" s="16">
        <f>IFERROR(__xludf.DUMMYFUNCTION("""COMPUTED_VALUE"""),12.2)</f>
        <v>12.2</v>
      </c>
      <c r="AI192" s="16">
        <f>IFERROR(__xludf.DUMMYFUNCTION("""COMPUTED_VALUE"""),30.1)</f>
        <v>30.1</v>
      </c>
      <c r="AJ192" s="16">
        <f>IFERROR(__xludf.DUMMYFUNCTION("""COMPUTED_VALUE"""),-2.0)</f>
        <v>-2</v>
      </c>
      <c r="AK192" s="16">
        <f>IFERROR(__xludf.DUMMYFUNCTION("""COMPUTED_VALUE"""),0.0)</f>
        <v>0</v>
      </c>
      <c r="AL192" s="16">
        <f>IFERROR(__xludf.DUMMYFUNCTION("""COMPUTED_VALUE"""),-10.0)</f>
        <v>-10</v>
      </c>
      <c r="AM192" s="16">
        <f>IFERROR(__xludf.DUMMYFUNCTION("""COMPUTED_VALUE"""),0.0)</f>
        <v>0</v>
      </c>
      <c r="AN192" s="16">
        <f>IFERROR(__xludf.DUMMYFUNCTION("""COMPUTED_VALUE"""),0.0)</f>
        <v>0</v>
      </c>
      <c r="AO192" s="16">
        <f>IFERROR(__xludf.DUMMYFUNCTION("""COMPUTED_VALUE"""),3.0)</f>
        <v>3</v>
      </c>
      <c r="AP192" s="16">
        <f>IFERROR(__xludf.DUMMYFUNCTION("""COMPUTED_VALUE"""),-2.0)</f>
        <v>-2</v>
      </c>
      <c r="AQ192" s="16">
        <f>IFERROR(__xludf.DUMMYFUNCTION("""COMPUTED_VALUE"""),1.0)</f>
        <v>1</v>
      </c>
      <c r="AR192" s="16">
        <f>IFERROR(__xludf.DUMMYFUNCTION("""COMPUTED_VALUE"""),-4.0)</f>
        <v>-4</v>
      </c>
      <c r="AS192" s="16">
        <f>IFERROR(__xludf.DUMMYFUNCTION("""COMPUTED_VALUE"""),2.0)</f>
        <v>2</v>
      </c>
      <c r="AT192" s="16"/>
      <c r="AU192" s="16">
        <f>IFERROR(__xludf.DUMMYFUNCTION("""COMPUTED_VALUE"""),3.0)</f>
        <v>3</v>
      </c>
      <c r="AV192" s="16">
        <f>IFERROR(__xludf.DUMMYFUNCTION("""COMPUTED_VALUE"""),-3.0)</f>
        <v>-3</v>
      </c>
      <c r="AW192" s="16">
        <f>IFERROR(__xludf.DUMMYFUNCTION("""COMPUTED_VALUE"""),3.0)</f>
        <v>3</v>
      </c>
      <c r="AX192" s="16">
        <f>IFERROR(__xludf.DUMMYFUNCTION("""COMPUTED_VALUE"""),-3.0)</f>
        <v>-3</v>
      </c>
      <c r="AY192" s="16">
        <f>IFERROR(__xludf.DUMMYFUNCTION("""COMPUTED_VALUE"""),0.0)</f>
        <v>0</v>
      </c>
      <c r="AZ192" s="16">
        <f>IFERROR(__xludf.DUMMYFUNCTION("""COMPUTED_VALUE"""),-9.0)</f>
        <v>-9</v>
      </c>
      <c r="BA192" s="16">
        <f>IFERROR(__xludf.DUMMYFUNCTION("""COMPUTED_VALUE"""),0.0)</f>
        <v>0</v>
      </c>
      <c r="BB192" s="16">
        <f>IFERROR(__xludf.DUMMYFUNCTION("""COMPUTED_VALUE"""),5.0)</f>
        <v>5</v>
      </c>
      <c r="BC192" s="16">
        <f>IFERROR(__xludf.DUMMYFUNCTION("""COMPUTED_VALUE"""),5.0)</f>
        <v>5</v>
      </c>
      <c r="BD192" s="16">
        <f>IFERROR(__xludf.DUMMYFUNCTION("""COMPUTED_VALUE"""),1.0)</f>
        <v>1</v>
      </c>
      <c r="BE192" s="16">
        <f>IFERROR(__xludf.DUMMYFUNCTION("""COMPUTED_VALUE"""),1.0)</f>
        <v>1</v>
      </c>
      <c r="BF192" s="16">
        <f>IFERROR(__xludf.DUMMYFUNCTION("""COMPUTED_VALUE"""),1.0)</f>
        <v>1</v>
      </c>
      <c r="BG192" s="16">
        <f>IFERROR(__xludf.DUMMYFUNCTION("""COMPUTED_VALUE"""),1.0)</f>
        <v>1</v>
      </c>
      <c r="BH192" s="16">
        <f>IFERROR(__xludf.DUMMYFUNCTION("""COMPUTED_VALUE"""),3.0)</f>
        <v>3</v>
      </c>
      <c r="BI192" s="16">
        <f>IFERROR(__xludf.DUMMYFUNCTION("""COMPUTED_VALUE"""),3.0)</f>
        <v>3</v>
      </c>
      <c r="BJ192" s="16">
        <f>IFERROR(__xludf.DUMMYFUNCTION("""COMPUTED_VALUE"""),17.0)</f>
        <v>17</v>
      </c>
      <c r="BK192" s="16">
        <f>IFERROR(__xludf.DUMMYFUNCTION("""COMPUTED_VALUE"""),15.0)</f>
        <v>15</v>
      </c>
      <c r="BL192" s="16">
        <f>IFERROR(__xludf.DUMMYFUNCTION("""COMPUTED_VALUE"""),-1.0)</f>
        <v>-1</v>
      </c>
      <c r="BM192" s="16">
        <f>IFERROR(__xludf.DUMMYFUNCTION("""COMPUTED_VALUE"""),-1.0)</f>
        <v>-1</v>
      </c>
      <c r="BN192" s="16">
        <f>IFERROR(__xludf.DUMMYFUNCTION("""COMPUTED_VALUE"""),-2.0)</f>
        <v>-2</v>
      </c>
      <c r="BO192" s="16">
        <f>IFERROR(__xludf.DUMMYFUNCTION("""COMPUTED_VALUE"""),-2.0)</f>
        <v>-2</v>
      </c>
      <c r="BP192" s="16">
        <f>IFERROR(__xludf.DUMMYFUNCTION("""COMPUTED_VALUE"""),-7.0)</f>
        <v>-7</v>
      </c>
      <c r="BQ192" s="16">
        <f>IFERROR(__xludf.DUMMYFUNCTION("""COMPUTED_VALUE"""),4.0)</f>
        <v>4</v>
      </c>
      <c r="BR192" s="16">
        <f>IFERROR(__xludf.DUMMYFUNCTION("""COMPUTED_VALUE"""),-3.0)</f>
        <v>-3</v>
      </c>
      <c r="BS192" s="16" t="str">
        <f>IFERROR(__xludf.DUMMYFUNCTION("""COMPUTED_VALUE"""),"7/8 (13-3)")</f>
        <v>7/8 (13-3)</v>
      </c>
      <c r="BT192" s="16" t="str">
        <f>IFERROR(__xludf.DUMMYFUNCTION("""COMPUTED_VALUE"""),"E")</f>
        <v>E</v>
      </c>
      <c r="BU192" s="16">
        <f>IFERROR(__xludf.DUMMYFUNCTION("""COMPUTED_VALUE"""),11.0)</f>
        <v>11</v>
      </c>
      <c r="BV192" s="16">
        <f>IFERROR(__xludf.DUMMYFUNCTION("""COMPUTED_VALUE"""),0.0)</f>
        <v>0</v>
      </c>
      <c r="BW192" s="16">
        <f>IFERROR(__xludf.DUMMYFUNCTION("""COMPUTED_VALUE"""),0.0)</f>
        <v>0</v>
      </c>
      <c r="BX192" s="16">
        <f>IFERROR(__xludf.DUMMYFUNCTION("""COMPUTED_VALUE"""),0.0)</f>
        <v>0</v>
      </c>
      <c r="BY192" s="16">
        <f>IFERROR(__xludf.DUMMYFUNCTION("""COMPUTED_VALUE"""),0.0)</f>
        <v>0</v>
      </c>
      <c r="BZ192" s="16" t="str">
        <f>IFERROR(__xludf.DUMMYFUNCTION("""COMPUTED_VALUE"""),"B")</f>
        <v>B</v>
      </c>
      <c r="CA192" s="16" t="str">
        <f>IFERROR(__xludf.DUMMYFUNCTION("""COMPUTED_VALUE"""),"C")</f>
        <v>C</v>
      </c>
      <c r="CB192" s="16">
        <f>IFERROR(__xludf.DUMMYFUNCTION("""COMPUTED_VALUE"""),1.0)</f>
        <v>1</v>
      </c>
      <c r="CC192" s="16">
        <f>IFERROR(__xludf.DUMMYFUNCTION("""COMPUTED_VALUE"""),0.0)</f>
        <v>0</v>
      </c>
      <c r="CD192" s="16">
        <f>IFERROR(__xludf.DUMMYFUNCTION("""COMPUTED_VALUE"""),1.0)</f>
        <v>1</v>
      </c>
      <c r="CE192" s="16">
        <f>IFERROR(__xludf.DUMMYFUNCTION("""COMPUTED_VALUE"""),0.0)</f>
        <v>0</v>
      </c>
      <c r="CF192" s="16">
        <f>IFERROR(__xludf.DUMMYFUNCTION("""COMPUTED_VALUE"""),2.0)</f>
        <v>2</v>
      </c>
      <c r="CG192" s="16">
        <f>IFERROR(__xludf.DUMMYFUNCTION("""COMPUTED_VALUE"""),-25.0)</f>
        <v>-25</v>
      </c>
      <c r="CH192" s="16">
        <f>IFERROR(__xludf.DUMMYFUNCTION("""COMPUTED_VALUE"""),7.0)</f>
        <v>7</v>
      </c>
      <c r="CI192" s="179">
        <f>IFERROR(__xludf.DUMMYFUNCTION("""COMPUTED_VALUE"""),2.0)</f>
        <v>2</v>
      </c>
      <c r="CJ192" s="16">
        <f>IFERROR(__xludf.DUMMYFUNCTION("""COMPUTED_VALUE"""),308.0)</f>
        <v>308</v>
      </c>
      <c r="CK192" s="16"/>
      <c r="CL192" s="16"/>
      <c r="CM192" s="16"/>
      <c r="CN192" s="16"/>
      <c r="CO192" s="16"/>
      <c r="CP192" s="16"/>
      <c r="CQ192" s="16"/>
      <c r="CR192" s="16" t="str">
        <f>IFERROR(__xludf.DUMMYFUNCTION("""COMPUTED_VALUE"""),"c-3(-1)e8,T-10(pb-2)")</f>
        <v>c-3(-1)e8,T-10(pb-2)</v>
      </c>
      <c r="CS192" s="16">
        <f>IFERROR(__xludf.DUMMYFUNCTION("""COMPUTED_VALUE"""),3.0)</f>
        <v>3</v>
      </c>
      <c r="CT192" s="16"/>
      <c r="CU192" s="16"/>
      <c r="CV192" s="16"/>
      <c r="CW192" s="16"/>
      <c r="CX192" s="16"/>
      <c r="CY192" s="16"/>
      <c r="CZ192" s="16"/>
      <c r="DA192" s="16">
        <f>IFERROR(__xludf.DUMMYFUNCTION("""COMPUTED_VALUE"""),8.0)</f>
        <v>8</v>
      </c>
      <c r="DB192" s="16"/>
      <c r="DC192" s="16"/>
      <c r="DD192" s="16"/>
      <c r="DE192" s="16"/>
      <c r="DF192" s="16"/>
      <c r="DG192" s="16"/>
      <c r="DH192" s="16"/>
      <c r="DI192" s="16">
        <f>IFERROR(__xludf.DUMMYFUNCTION("""COMPUTED_VALUE"""),0.0)</f>
        <v>0</v>
      </c>
      <c r="DJ192" s="16"/>
      <c r="DK192" s="16"/>
      <c r="DL192" s="16"/>
      <c r="DM192" s="16"/>
      <c r="DN192" s="16"/>
      <c r="DO192" s="16"/>
      <c r="DP192" s="16"/>
      <c r="DQ192" s="16">
        <f>IFERROR(__xludf.DUMMYFUNCTION("""COMPUTED_VALUE"""),0.0)</f>
        <v>0</v>
      </c>
      <c r="DR192" s="16"/>
      <c r="DS192" s="16"/>
      <c r="DT192" s="16"/>
      <c r="DU192" s="16"/>
      <c r="DV192" s="16"/>
      <c r="DW192" s="16"/>
      <c r="DX192" s="16"/>
      <c r="DY192" s="16">
        <f>IFERROR(__xludf.DUMMYFUNCTION("""COMPUTED_VALUE"""),0.0)</f>
        <v>0</v>
      </c>
      <c r="DZ192" s="16"/>
      <c r="EA192" s="16"/>
      <c r="EB192" s="16"/>
      <c r="EC192" s="16"/>
      <c r="ED192" s="16"/>
      <c r="EE192" s="16"/>
      <c r="EF192" s="16"/>
      <c r="EG192" s="179">
        <f>IFERROR(__xludf.DUMMYFUNCTION("""COMPUTED_VALUE"""),1.0)</f>
        <v>1</v>
      </c>
      <c r="EH192" s="179"/>
      <c r="EI192" s="179"/>
      <c r="EJ192" s="179"/>
      <c r="EK192" s="179"/>
      <c r="EL192" s="179"/>
      <c r="EM192" s="179"/>
      <c r="EN192" s="179"/>
      <c r="EO192" s="16">
        <f>IFERROR(__xludf.DUMMYFUNCTION("""COMPUTED_VALUE"""),-1.0)</f>
        <v>-1</v>
      </c>
      <c r="EP192" s="16"/>
      <c r="EQ192" s="16">
        <f>IFERROR(__xludf.DUMMYFUNCTION("""COMPUTED_VALUE"""),2.0)</f>
        <v>2</v>
      </c>
      <c r="ER192" s="16">
        <f>IFERROR(__xludf.DUMMYFUNCTION("""COMPUTED_VALUE"""),1.0)</f>
        <v>1</v>
      </c>
      <c r="ES192" s="16" t="str">
        <f>IFERROR(__xludf.DUMMYFUNCTION("""COMPUTED_VALUE"""),"c-3")</f>
        <v>c-3</v>
      </c>
      <c r="ET192" s="16" t="str">
        <f>IFERROR(__xludf.DUMMYFUNCTION("""COMPUTED_VALUE"""),"-1)e8,T-10")</f>
        <v>-1)e8,T-10</v>
      </c>
      <c r="EU192" s="16" t="str">
        <f>IFERROR(__xludf.DUMMYFUNCTION("""COMPUTED_VALUE"""),"pb-2)")</f>
        <v>pb-2)</v>
      </c>
      <c r="EV192" s="16"/>
      <c r="EW192" s="16">
        <f>IFERROR(__xludf.DUMMYFUNCTION("""COMPUTED_VALUE"""),-1.0)</f>
        <v>-1</v>
      </c>
      <c r="EX192" s="180">
        <f>IFERROR(__xludf.DUMMYFUNCTION("""COMPUTED_VALUE"""),0.2)</f>
        <v>0.2</v>
      </c>
      <c r="EY192" s="180"/>
      <c r="EZ192" s="180"/>
      <c r="FA192" s="180"/>
      <c r="FB192" s="180"/>
      <c r="FC192" s="180"/>
      <c r="FD192" s="180"/>
      <c r="FE192" s="180"/>
      <c r="FF192" s="180">
        <f>IFERROR(__xludf.DUMMYFUNCTION("""COMPUTED_VALUE"""),0.097)</f>
        <v>0.097</v>
      </c>
      <c r="FG192" s="180"/>
      <c r="FH192" s="180"/>
      <c r="FI192" s="180"/>
      <c r="FJ192" s="180"/>
      <c r="FK192" s="180"/>
      <c r="FL192" s="180"/>
      <c r="FM192" s="180"/>
      <c r="FN192" s="16">
        <f>IFERROR(__xludf.DUMMYFUNCTION("""COMPUTED_VALUE"""),0.7224)</f>
        <v>0.7224</v>
      </c>
      <c r="FO192" s="16"/>
      <c r="FP192" s="16"/>
      <c r="FQ192" s="16"/>
      <c r="FR192" s="16"/>
      <c r="FS192" s="16"/>
      <c r="FT192" s="16"/>
      <c r="FU192" s="16"/>
      <c r="FV192" s="16">
        <f>IFERROR(__xludf.DUMMYFUNCTION("""COMPUTED_VALUE"""),-3.0)</f>
        <v>-3</v>
      </c>
      <c r="FW192" s="16"/>
      <c r="FX192" s="16"/>
      <c r="FY192" s="16"/>
      <c r="FZ192" s="16"/>
      <c r="GA192" s="16"/>
      <c r="GB192" s="16"/>
      <c r="GC192" s="16"/>
      <c r="GD192" s="16" t="s">
        <v>672</v>
      </c>
    </row>
    <row r="193">
      <c r="A193" s="16">
        <f>IFERROR(__xludf.DUMMYFUNCTION("""COMPUTED_VALUE"""),12865.0)</f>
        <v>12865</v>
      </c>
      <c r="B193" s="16" t="str">
        <f>IFERROR(__xludf.DUMMYFUNCTION("""COMPUTED_VALUE"""),"Harrison Bader")</f>
        <v>Harrison Bader</v>
      </c>
      <c r="C193" s="16">
        <f>IFERROR(__xludf.DUMMYFUNCTION("""COMPUTED_VALUE"""),0.6)</f>
        <v>0.6</v>
      </c>
      <c r="D193" s="16" t="str">
        <f>IFERROR(__xludf.DUMMYFUNCTION("""COMPUTED_VALUE"""),"R")</f>
        <v>R</v>
      </c>
      <c r="E193" s="16"/>
      <c r="F193" s="16"/>
      <c r="G193" s="16">
        <f>IFERROR(__xludf.DUMMYFUNCTION("""COMPUTED_VALUE"""),402.0)</f>
        <v>402</v>
      </c>
      <c r="H193" s="16">
        <f>IFERROR(__xludf.DUMMYFUNCTION("""COMPUTED_VALUE"""),21.0)</f>
        <v>21</v>
      </c>
      <c r="I193" s="16" t="str">
        <f>IFERROR(__xludf.DUMMYFUNCTION("""COMPUTED_VALUE"""),"1p65")</f>
        <v>1p65</v>
      </c>
      <c r="J193" s="16">
        <f>IFERROR(__xludf.DUMMYFUNCTION("""COMPUTED_VALUE"""),16.0)</f>
        <v>16</v>
      </c>
      <c r="K193" s="16">
        <f>IFERROR(__xludf.DUMMYFUNCTION("""COMPUTED_VALUE"""),26.0)</f>
        <v>26</v>
      </c>
      <c r="L193" s="16">
        <f>IFERROR(__xludf.DUMMYFUNCTION("""COMPUTED_VALUE"""),1.0)</f>
        <v>1</v>
      </c>
      <c r="M193" s="16">
        <f>IFERROR(__xludf.DUMMYFUNCTION("""COMPUTED_VALUE"""),0.0)</f>
        <v>0</v>
      </c>
      <c r="N193" s="16">
        <f>IFERROR(__xludf.DUMMYFUNCTION("""COMPUTED_VALUE"""),1.0)</f>
        <v>1</v>
      </c>
      <c r="O193" s="16">
        <f>IFERROR(__xludf.DUMMYFUNCTION("""COMPUTED_VALUE"""),0.0)</f>
        <v>0</v>
      </c>
      <c r="P193" s="16">
        <f>IFERROR(__xludf.DUMMYFUNCTION("""COMPUTED_VALUE"""),4.0)</f>
        <v>4</v>
      </c>
      <c r="Q193" s="16">
        <f>IFERROR(__xludf.DUMMYFUNCTION("""COMPUTED_VALUE"""),1.0)</f>
        <v>1</v>
      </c>
      <c r="R193" s="16">
        <f>IFERROR(__xludf.DUMMYFUNCTION("""COMPUTED_VALUE"""),-2.0)</f>
        <v>-2</v>
      </c>
      <c r="S193" s="16">
        <f>IFERROR(__xludf.DUMMYFUNCTION("""COMPUTED_VALUE"""),-2.0)</f>
        <v>-2</v>
      </c>
      <c r="T193" s="16">
        <f>IFERROR(__xludf.DUMMYFUNCTION("""COMPUTED_VALUE"""),-2.0)</f>
        <v>-2</v>
      </c>
      <c r="U193" s="16">
        <f>IFERROR(__xludf.DUMMYFUNCTION("""COMPUTED_VALUE"""),-2.0)</f>
        <v>-2</v>
      </c>
      <c r="V193" s="16">
        <f>IFERROR(__xludf.DUMMYFUNCTION("""COMPUTED_VALUE"""),12.1)</f>
        <v>12.1</v>
      </c>
      <c r="W193" s="16">
        <f>IFERROR(__xludf.DUMMYFUNCTION("""COMPUTED_VALUE"""),24.3)</f>
        <v>24.3</v>
      </c>
      <c r="X193" s="16">
        <f>IFERROR(__xludf.DUMMYFUNCTION("""COMPUTED_VALUE"""),-1.0)</f>
        <v>-1</v>
      </c>
      <c r="Y193" s="16">
        <f>IFERROR(__xludf.DUMMYFUNCTION("""COMPUTED_VALUE"""),1.0)</f>
        <v>1</v>
      </c>
      <c r="Z193" s="16">
        <f>IFERROR(__xludf.DUMMYFUNCTION("""COMPUTED_VALUE"""),-2.0)</f>
        <v>-2</v>
      </c>
      <c r="AA193" s="16">
        <f>IFERROR(__xludf.DUMMYFUNCTION("""COMPUTED_VALUE"""),2.0)</f>
        <v>2</v>
      </c>
      <c r="AB193" s="16">
        <f>IFERROR(__xludf.DUMMYFUNCTION("""COMPUTED_VALUE"""),20.2)</f>
        <v>20.2</v>
      </c>
      <c r="AC193" s="16">
        <f>IFERROR(__xludf.DUMMYFUNCTION("""COMPUTED_VALUE"""),29.3)</f>
        <v>29.3</v>
      </c>
      <c r="AD193" s="16">
        <f>IFERROR(__xludf.DUMMYFUNCTION("""COMPUTED_VALUE"""),-1.0)</f>
        <v>-1</v>
      </c>
      <c r="AE193" s="16">
        <f>IFERROR(__xludf.DUMMYFUNCTION("""COMPUTED_VALUE"""),0.0)</f>
        <v>0</v>
      </c>
      <c r="AF193" s="16">
        <f>IFERROR(__xludf.DUMMYFUNCTION("""COMPUTED_VALUE"""),-5.0)</f>
        <v>-5</v>
      </c>
      <c r="AG193" s="16">
        <f>IFERROR(__xludf.DUMMYFUNCTION("""COMPUTED_VALUE"""),0.0)</f>
        <v>0</v>
      </c>
      <c r="AH193" s="16">
        <f>IFERROR(__xludf.DUMMYFUNCTION("""COMPUTED_VALUE"""),20.6)</f>
        <v>20.6</v>
      </c>
      <c r="AI193" s="16">
        <f>IFERROR(__xludf.DUMMYFUNCTION("""COMPUTED_VALUE"""),34.1)</f>
        <v>34.1</v>
      </c>
      <c r="AJ193" s="16">
        <f>IFERROR(__xludf.DUMMYFUNCTION("""COMPUTED_VALUE"""),-1.0)</f>
        <v>-1</v>
      </c>
      <c r="AK193" s="16">
        <f>IFERROR(__xludf.DUMMYFUNCTION("""COMPUTED_VALUE"""),0.0)</f>
        <v>0</v>
      </c>
      <c r="AL193" s="16">
        <f>IFERROR(__xludf.DUMMYFUNCTION("""COMPUTED_VALUE"""),-5.0)</f>
        <v>-5</v>
      </c>
      <c r="AM193" s="16">
        <f>IFERROR(__xludf.DUMMYFUNCTION("""COMPUTED_VALUE"""),0.0)</f>
        <v>0</v>
      </c>
      <c r="AN193" s="16">
        <f>IFERROR(__xludf.DUMMYFUNCTION("""COMPUTED_VALUE"""),2.2)</f>
        <v>2.2</v>
      </c>
      <c r="AO193" s="16">
        <f>IFERROR(__xludf.DUMMYFUNCTION("""COMPUTED_VALUE"""),1.4)</f>
        <v>1.4</v>
      </c>
      <c r="AP193" s="16">
        <f>IFERROR(__xludf.DUMMYFUNCTION("""COMPUTED_VALUE"""),0.0)</f>
        <v>0</v>
      </c>
      <c r="AQ193" s="16">
        <f>IFERROR(__xludf.DUMMYFUNCTION("""COMPUTED_VALUE"""),-1.0)</f>
        <v>-1</v>
      </c>
      <c r="AR193" s="16">
        <f>IFERROR(__xludf.DUMMYFUNCTION("""COMPUTED_VALUE"""),0.0)</f>
        <v>0</v>
      </c>
      <c r="AS193" s="16">
        <f>IFERROR(__xludf.DUMMYFUNCTION("""COMPUTED_VALUE"""),-2.0)</f>
        <v>-2</v>
      </c>
      <c r="AT193" s="16">
        <f>IFERROR(__xludf.DUMMYFUNCTION("""COMPUTED_VALUE"""),3.0)</f>
        <v>3</v>
      </c>
      <c r="AU193" s="16">
        <f>IFERROR(__xludf.DUMMYFUNCTION("""COMPUTED_VALUE"""),1.0)</f>
        <v>1</v>
      </c>
      <c r="AV193" s="16">
        <f>IFERROR(__xludf.DUMMYFUNCTION("""COMPUTED_VALUE"""),3.0)</f>
        <v>3</v>
      </c>
      <c r="AW193" s="16">
        <f>IFERROR(__xludf.DUMMYFUNCTION("""COMPUTED_VALUE"""),1.0)</f>
        <v>1</v>
      </c>
      <c r="AX193" s="16">
        <f>IFERROR(__xludf.DUMMYFUNCTION("""COMPUTED_VALUE"""),1.0)</f>
        <v>1</v>
      </c>
      <c r="AY193" s="16">
        <f>IFERROR(__xludf.DUMMYFUNCTION("""COMPUTED_VALUE"""),-1.0)</f>
        <v>-1</v>
      </c>
      <c r="AZ193" s="16">
        <f>IFERROR(__xludf.DUMMYFUNCTION("""COMPUTED_VALUE"""),3.0)</f>
        <v>3</v>
      </c>
      <c r="BA193" s="16">
        <f>IFERROR(__xludf.DUMMYFUNCTION("""COMPUTED_VALUE"""),-3.0)</f>
        <v>-3</v>
      </c>
      <c r="BB193" s="16">
        <f>IFERROR(__xludf.DUMMYFUNCTION("""COMPUTED_VALUE"""),5.0)</f>
        <v>5</v>
      </c>
      <c r="BC193" s="16">
        <f>IFERROR(__xludf.DUMMYFUNCTION("""COMPUTED_VALUE"""),5.0)</f>
        <v>5</v>
      </c>
      <c r="BD193" s="16">
        <f>IFERROR(__xludf.DUMMYFUNCTION("""COMPUTED_VALUE"""),1.0)</f>
        <v>1</v>
      </c>
      <c r="BE193" s="16">
        <f>IFERROR(__xludf.DUMMYFUNCTION("""COMPUTED_VALUE"""),1.0)</f>
        <v>1</v>
      </c>
      <c r="BF193" s="16">
        <f>IFERROR(__xludf.DUMMYFUNCTION("""COMPUTED_VALUE"""),1.0)</f>
        <v>1</v>
      </c>
      <c r="BG193" s="16">
        <f>IFERROR(__xludf.DUMMYFUNCTION("""COMPUTED_VALUE"""),1.0)</f>
        <v>1</v>
      </c>
      <c r="BH193" s="16">
        <f>IFERROR(__xludf.DUMMYFUNCTION("""COMPUTED_VALUE"""),-1.0)</f>
        <v>-1</v>
      </c>
      <c r="BI193" s="16">
        <f>IFERROR(__xludf.DUMMYFUNCTION("""COMPUTED_VALUE"""),-1.0)</f>
        <v>-1</v>
      </c>
      <c r="BJ193" s="16">
        <f>IFERROR(__xludf.DUMMYFUNCTION("""COMPUTED_VALUE"""),10.0)</f>
        <v>10</v>
      </c>
      <c r="BK193" s="16">
        <f>IFERROR(__xludf.DUMMYFUNCTION("""COMPUTED_VALUE"""),11.0)</f>
        <v>11</v>
      </c>
      <c r="BL193" s="16">
        <f>IFERROR(__xludf.DUMMYFUNCTION("""COMPUTED_VALUE"""),0.0)</f>
        <v>0</v>
      </c>
      <c r="BM193" s="16">
        <f>IFERROR(__xludf.DUMMYFUNCTION("""COMPUTED_VALUE"""),0.0)</f>
        <v>0</v>
      </c>
      <c r="BN193" s="16">
        <f>IFERROR(__xludf.DUMMYFUNCTION("""COMPUTED_VALUE"""),0.0)</f>
        <v>0</v>
      </c>
      <c r="BO193" s="16">
        <f>IFERROR(__xludf.DUMMYFUNCTION("""COMPUTED_VALUE"""),0.0)</f>
        <v>0</v>
      </c>
      <c r="BP193" s="16">
        <f>IFERROR(__xludf.DUMMYFUNCTION("""COMPUTED_VALUE"""),-2.0)</f>
        <v>-2</v>
      </c>
      <c r="BQ193" s="16">
        <f>IFERROR(__xludf.DUMMYFUNCTION("""COMPUTED_VALUE"""),-2.0)</f>
        <v>-2</v>
      </c>
      <c r="BR193" s="16">
        <f>IFERROR(__xludf.DUMMYFUNCTION("""COMPUTED_VALUE"""),-4.0)</f>
        <v>-4</v>
      </c>
      <c r="BS193" s="16" t="str">
        <f>IFERROR(__xludf.DUMMYFUNCTION("""COMPUTED_VALUE"""),"*2-6,11,12/- (17-13)")</f>
        <v>*2-6,11,12/- (17-13)</v>
      </c>
      <c r="BT193" s="16" t="str">
        <f>IFERROR(__xludf.DUMMYFUNCTION("""COMPUTED_VALUE"""),"B")</f>
        <v>B</v>
      </c>
      <c r="BU193" s="16">
        <f>IFERROR(__xludf.DUMMYFUNCTION("""COMPUTED_VALUE"""),14.0)</f>
        <v>14</v>
      </c>
      <c r="BV193" s="16">
        <f>IFERROR(__xludf.DUMMYFUNCTION("""COMPUTED_VALUE"""),1.0)</f>
        <v>1</v>
      </c>
      <c r="BW193" s="16">
        <f>IFERROR(__xludf.DUMMYFUNCTION("""COMPUTED_VALUE"""),1.0)</f>
        <v>1</v>
      </c>
      <c r="BX193" s="16">
        <f>IFERROR(__xludf.DUMMYFUNCTION("""COMPUTED_VALUE"""),2.0)</f>
        <v>2</v>
      </c>
      <c r="BY193" s="16">
        <f>IFERROR(__xludf.DUMMYFUNCTION("""COMPUTED_VALUE"""),3.0)</f>
        <v>3</v>
      </c>
      <c r="BZ193" s="16" t="str">
        <f>IFERROR(__xludf.DUMMYFUNCTION("""COMPUTED_VALUE"""),"D")</f>
        <v>D</v>
      </c>
      <c r="CA193" s="16" t="str">
        <f>IFERROR(__xludf.DUMMYFUNCTION("""COMPUTED_VALUE"""),"D")</f>
        <v>D</v>
      </c>
      <c r="CB193" s="16">
        <f>IFERROR(__xludf.DUMMYFUNCTION("""COMPUTED_VALUE"""),0.0)</f>
        <v>0</v>
      </c>
      <c r="CC193" s="16">
        <f>IFERROR(__xludf.DUMMYFUNCTION("""COMPUTED_VALUE"""),0.0)</f>
        <v>0</v>
      </c>
      <c r="CD193" s="16">
        <f>IFERROR(__xludf.DUMMYFUNCTION("""COMPUTED_VALUE"""),0.0)</f>
        <v>0</v>
      </c>
      <c r="CE193" s="16">
        <f>IFERROR(__xludf.DUMMYFUNCTION("""COMPUTED_VALUE"""),0.0)</f>
        <v>0</v>
      </c>
      <c r="CF193" s="16">
        <f>IFERROR(__xludf.DUMMYFUNCTION("""COMPUTED_VALUE"""),1.0)</f>
        <v>1</v>
      </c>
      <c r="CG193" s="16">
        <f>IFERROR(__xludf.DUMMYFUNCTION("""COMPUTED_VALUE"""),-9.0)</f>
        <v>-9</v>
      </c>
      <c r="CH193" s="16">
        <f>IFERROR(__xludf.DUMMYFUNCTION("""COMPUTED_VALUE"""),-4.0)</f>
        <v>-4</v>
      </c>
      <c r="CI193" s="179">
        <f>IFERROR(__xludf.DUMMYFUNCTION("""COMPUTED_VALUE"""),2.0)</f>
        <v>2</v>
      </c>
      <c r="CJ193" s="16"/>
      <c r="CK193" s="16"/>
      <c r="CL193" s="16"/>
      <c r="CM193" s="16"/>
      <c r="CN193" s="16"/>
      <c r="CO193" s="16"/>
      <c r="CP193" s="16">
        <f>IFERROR(__xludf.DUMMYFUNCTION("""COMPUTED_VALUE"""),106.0)</f>
        <v>106</v>
      </c>
      <c r="CQ193" s="16"/>
      <c r="CR193" s="16" t="str">
        <f>IFERROR(__xludf.DUMMYFUNCTION("""COMPUTED_VALUE"""),"cf-1(-1)e6")</f>
        <v>cf-1(-1)e6</v>
      </c>
      <c r="CS193" s="16"/>
      <c r="CT193" s="16"/>
      <c r="CU193" s="16"/>
      <c r="CV193" s="16"/>
      <c r="CW193" s="16"/>
      <c r="CX193" s="16"/>
      <c r="CY193" s="16">
        <f>IFERROR(__xludf.DUMMYFUNCTION("""COMPUTED_VALUE"""),1.0)</f>
        <v>1</v>
      </c>
      <c r="CZ193" s="16"/>
      <c r="DA193" s="16"/>
      <c r="DB193" s="16"/>
      <c r="DC193" s="16"/>
      <c r="DD193" s="16"/>
      <c r="DE193" s="16"/>
      <c r="DF193" s="16"/>
      <c r="DG193" s="16">
        <f>IFERROR(__xludf.DUMMYFUNCTION("""COMPUTED_VALUE"""),6.0)</f>
        <v>6</v>
      </c>
      <c r="DH193" s="16"/>
      <c r="DI193" s="16"/>
      <c r="DJ193" s="16"/>
      <c r="DK193" s="16"/>
      <c r="DL193" s="16"/>
      <c r="DM193" s="16"/>
      <c r="DN193" s="16"/>
      <c r="DO193" s="16">
        <f>IFERROR(__xludf.DUMMYFUNCTION("""COMPUTED_VALUE"""),4.0)</f>
        <v>4</v>
      </c>
      <c r="DP193" s="16"/>
      <c r="DQ193" s="16"/>
      <c r="DR193" s="16"/>
      <c r="DS193" s="16"/>
      <c r="DT193" s="16"/>
      <c r="DU193" s="16"/>
      <c r="DV193" s="16"/>
      <c r="DW193" s="16">
        <f>IFERROR(__xludf.DUMMYFUNCTION("""COMPUTED_VALUE"""),3.0)</f>
        <v>3</v>
      </c>
      <c r="DX193" s="16"/>
      <c r="DY193" s="16"/>
      <c r="DZ193" s="16"/>
      <c r="EA193" s="16"/>
      <c r="EB193" s="16"/>
      <c r="EC193" s="16"/>
      <c r="ED193" s="16"/>
      <c r="EE193" s="16">
        <f>IFERROR(__xludf.DUMMYFUNCTION("""COMPUTED_VALUE"""),7.0)</f>
        <v>7</v>
      </c>
      <c r="EF193" s="16"/>
      <c r="EG193" s="179"/>
      <c r="EH193" s="179"/>
      <c r="EI193" s="179"/>
      <c r="EJ193" s="179"/>
      <c r="EK193" s="179"/>
      <c r="EL193" s="179"/>
      <c r="EM193" s="179">
        <f>IFERROR(__xludf.DUMMYFUNCTION("""COMPUTED_VALUE"""),9.0)</f>
        <v>9</v>
      </c>
      <c r="EN193" s="179"/>
      <c r="EO193" s="16"/>
      <c r="EP193" s="16">
        <f>IFERROR(__xludf.DUMMYFUNCTION("""COMPUTED_VALUE"""),2.0)</f>
        <v>2</v>
      </c>
      <c r="EQ193" s="16">
        <f>IFERROR(__xludf.DUMMYFUNCTION("""COMPUTED_VALUE"""),4.0)</f>
        <v>4</v>
      </c>
      <c r="ER193" s="16">
        <f>IFERROR(__xludf.DUMMYFUNCTION("""COMPUTED_VALUE"""),2.0)</f>
        <v>2</v>
      </c>
      <c r="ES193" s="16"/>
      <c r="ET193" s="16"/>
      <c r="EU193" s="16"/>
      <c r="EV193" s="16"/>
      <c r="EW193" s="16"/>
      <c r="EX193" s="180"/>
      <c r="EY193" s="180"/>
      <c r="EZ193" s="180"/>
      <c r="FA193" s="180"/>
      <c r="FB193" s="180"/>
      <c r="FC193" s="180"/>
      <c r="FD193" s="180">
        <f>IFERROR(__xludf.DUMMYFUNCTION("""COMPUTED_VALUE"""),0.0)</f>
        <v>0</v>
      </c>
      <c r="FE193" s="180"/>
      <c r="FF193" s="180"/>
      <c r="FG193" s="180"/>
      <c r="FH193" s="180"/>
      <c r="FI193" s="180"/>
      <c r="FJ193" s="180"/>
      <c r="FK193" s="180"/>
      <c r="FL193" s="180">
        <f>IFERROR(__xludf.DUMMYFUNCTION("""COMPUTED_VALUE"""),0.06944444444444445)</f>
        <v>0.06944444444</v>
      </c>
      <c r="FM193" s="180"/>
      <c r="FN193" s="16"/>
      <c r="FO193" s="16"/>
      <c r="FP193" s="16"/>
      <c r="FQ193" s="16"/>
      <c r="FR193" s="16"/>
      <c r="FS193" s="16"/>
      <c r="FT193" s="16">
        <f>IFERROR(__xludf.DUMMYFUNCTION("""COMPUTED_VALUE"""),0.9305555555555556)</f>
        <v>0.9305555556</v>
      </c>
      <c r="FU193" s="16"/>
      <c r="FV193" s="16"/>
      <c r="FW193" s="16"/>
      <c r="FX193" s="16"/>
      <c r="FY193" s="16"/>
      <c r="FZ193" s="16"/>
      <c r="GA193" s="16"/>
      <c r="GB193" s="16">
        <f>IFERROR(__xludf.DUMMYFUNCTION("""COMPUTED_VALUE"""),4.0)</f>
        <v>4</v>
      </c>
      <c r="GC193" s="16"/>
      <c r="GD193" s="16" t="s">
        <v>260</v>
      </c>
    </row>
    <row r="194">
      <c r="A194" s="16">
        <f>IFERROR(__xludf.DUMMYFUNCTION("""COMPUTED_VALUE"""),12843.0)</f>
        <v>12843</v>
      </c>
      <c r="B194" s="16" t="str">
        <f>IFERROR(__xludf.DUMMYFUNCTION("""COMPUTED_VALUE"""),"George Springer")</f>
        <v>George Springer</v>
      </c>
      <c r="C194" s="16">
        <f>IFERROR(__xludf.DUMMYFUNCTION("""COMPUTED_VALUE"""),0.31)</f>
        <v>0.31</v>
      </c>
      <c r="D194" s="16" t="str">
        <f>IFERROR(__xludf.DUMMYFUNCTION("""COMPUTED_VALUE"""),"R")</f>
        <v>R</v>
      </c>
      <c r="E194" s="16"/>
      <c r="F194" s="16"/>
      <c r="G194" s="16">
        <f>IFERROR(__xludf.DUMMYFUNCTION("""COMPUTED_VALUE"""),545.0)</f>
        <v>545</v>
      </c>
      <c r="H194" s="16">
        <f>IFERROR(__xludf.DUMMYFUNCTION("""COMPUTED_VALUE"""),60.0)</f>
        <v>60</v>
      </c>
      <c r="I194" s="16" t="str">
        <f>IFERROR(__xludf.DUMMYFUNCTION("""COMPUTED_VALUE"""),"1p65")</f>
        <v>1p65</v>
      </c>
      <c r="J194" s="16">
        <f>IFERROR(__xludf.DUMMYFUNCTION("""COMPUTED_VALUE"""),23.0)</f>
        <v>23</v>
      </c>
      <c r="K194" s="16">
        <f>IFERROR(__xludf.DUMMYFUNCTION("""COMPUTED_VALUE"""),13.0)</f>
        <v>13</v>
      </c>
      <c r="L194" s="16">
        <f>IFERROR(__xludf.DUMMYFUNCTION("""COMPUTED_VALUE"""),0.0)</f>
        <v>0</v>
      </c>
      <c r="M194" s="16">
        <f>IFERROR(__xludf.DUMMYFUNCTION("""COMPUTED_VALUE"""),1.0)</f>
        <v>1</v>
      </c>
      <c r="N194" s="16">
        <f>IFERROR(__xludf.DUMMYFUNCTION("""COMPUTED_VALUE"""),0.0)</f>
        <v>0</v>
      </c>
      <c r="O194" s="16">
        <f>IFERROR(__xludf.DUMMYFUNCTION("""COMPUTED_VALUE"""),1.0)</f>
        <v>1</v>
      </c>
      <c r="P194" s="16">
        <f>IFERROR(__xludf.DUMMYFUNCTION("""COMPUTED_VALUE"""),21.0)</f>
        <v>21</v>
      </c>
      <c r="Q194" s="16">
        <f>IFERROR(__xludf.DUMMYFUNCTION("""COMPUTED_VALUE"""),11.0)</f>
        <v>11</v>
      </c>
      <c r="R194" s="16">
        <f>IFERROR(__xludf.DUMMYFUNCTION("""COMPUTED_VALUE"""),3.0)</f>
        <v>3</v>
      </c>
      <c r="S194" s="16">
        <f>IFERROR(__xludf.DUMMYFUNCTION("""COMPUTED_VALUE"""),1.0)</f>
        <v>1</v>
      </c>
      <c r="T194" s="16">
        <f>IFERROR(__xludf.DUMMYFUNCTION("""COMPUTED_VALUE"""),3.0)</f>
        <v>3</v>
      </c>
      <c r="U194" s="16">
        <f>IFERROR(__xludf.DUMMYFUNCTION("""COMPUTED_VALUE"""),1.0)</f>
        <v>1</v>
      </c>
      <c r="V194" s="16">
        <f>IFERROR(__xludf.DUMMYFUNCTION("""COMPUTED_VALUE"""),8.1)</f>
        <v>8.1</v>
      </c>
      <c r="W194" s="16">
        <f>IFERROR(__xludf.DUMMYFUNCTION("""COMPUTED_VALUE"""),17.3)</f>
        <v>17.3</v>
      </c>
      <c r="X194" s="16">
        <f>IFERROR(__xludf.DUMMYFUNCTION("""COMPUTED_VALUE"""),-2.0)</f>
        <v>-2</v>
      </c>
      <c r="Y194" s="16">
        <f>IFERROR(__xludf.DUMMYFUNCTION("""COMPUTED_VALUE"""),-1.0)</f>
        <v>-1</v>
      </c>
      <c r="Z194" s="16">
        <f>IFERROR(__xludf.DUMMYFUNCTION("""COMPUTED_VALUE"""),-4.0)</f>
        <v>-4</v>
      </c>
      <c r="AA194" s="16">
        <f>IFERROR(__xludf.DUMMYFUNCTION("""COMPUTED_VALUE"""),-2.0)</f>
        <v>-2</v>
      </c>
      <c r="AB194" s="16">
        <f>IFERROR(__xludf.DUMMYFUNCTION("""COMPUTED_VALUE"""),31.1)</f>
        <v>31.1</v>
      </c>
      <c r="AC194" s="16">
        <f>IFERROR(__xludf.DUMMYFUNCTION("""COMPUTED_VALUE"""),30.3)</f>
        <v>30.3</v>
      </c>
      <c r="AD194" s="16">
        <f>IFERROR(__xludf.DUMMYFUNCTION("""COMPUTED_VALUE"""),0.0)</f>
        <v>0</v>
      </c>
      <c r="AE194" s="16">
        <f>IFERROR(__xludf.DUMMYFUNCTION("""COMPUTED_VALUE"""),0.0)</f>
        <v>0</v>
      </c>
      <c r="AF194" s="16">
        <f>IFERROR(__xludf.DUMMYFUNCTION("""COMPUTED_VALUE"""),0.0)</f>
        <v>0</v>
      </c>
      <c r="AG194" s="16">
        <f>IFERROR(__xludf.DUMMYFUNCTION("""COMPUTED_VALUE"""),0.0)</f>
        <v>0</v>
      </c>
      <c r="AH194" s="16">
        <f>IFERROR(__xludf.DUMMYFUNCTION("""COMPUTED_VALUE"""),10.4)</f>
        <v>10.4</v>
      </c>
      <c r="AI194" s="16">
        <f>IFERROR(__xludf.DUMMYFUNCTION("""COMPUTED_VALUE"""),29.4)</f>
        <v>29.4</v>
      </c>
      <c r="AJ194" s="16">
        <f>IFERROR(__xludf.DUMMYFUNCTION("""COMPUTED_VALUE"""),-2.0)</f>
        <v>-2</v>
      </c>
      <c r="AK194" s="16">
        <f>IFERROR(__xludf.DUMMYFUNCTION("""COMPUTED_VALUE"""),0.0)</f>
        <v>0</v>
      </c>
      <c r="AL194" s="16">
        <f>IFERROR(__xludf.DUMMYFUNCTION("""COMPUTED_VALUE"""),-10.0)</f>
        <v>-10</v>
      </c>
      <c r="AM194" s="16">
        <f>IFERROR(__xludf.DUMMYFUNCTION("""COMPUTED_VALUE"""),0.0)</f>
        <v>0</v>
      </c>
      <c r="AN194" s="16">
        <f>IFERROR(__xludf.DUMMYFUNCTION("""COMPUTED_VALUE"""),0.8)</f>
        <v>0.8</v>
      </c>
      <c r="AO194" s="16">
        <f>IFERROR(__xludf.DUMMYFUNCTION("""COMPUTED_VALUE"""),2.5)</f>
        <v>2.5</v>
      </c>
      <c r="AP194" s="16">
        <f>IFERROR(__xludf.DUMMYFUNCTION("""COMPUTED_VALUE"""),-2.0)</f>
        <v>-2</v>
      </c>
      <c r="AQ194" s="16">
        <f>IFERROR(__xludf.DUMMYFUNCTION("""COMPUTED_VALUE"""),0.0)</f>
        <v>0</v>
      </c>
      <c r="AR194" s="16">
        <f>IFERROR(__xludf.DUMMYFUNCTION("""COMPUTED_VALUE"""),-4.0)</f>
        <v>-4</v>
      </c>
      <c r="AS194" s="16">
        <f>IFERROR(__xludf.DUMMYFUNCTION("""COMPUTED_VALUE"""),0.0)</f>
        <v>0</v>
      </c>
      <c r="AT194" s="16">
        <f>IFERROR(__xludf.DUMMYFUNCTION("""COMPUTED_VALUE"""),0.0)</f>
        <v>0</v>
      </c>
      <c r="AU194" s="16">
        <f>IFERROR(__xludf.DUMMYFUNCTION("""COMPUTED_VALUE"""),4.0)</f>
        <v>4</v>
      </c>
      <c r="AV194" s="16">
        <f>IFERROR(__xludf.DUMMYFUNCTION("""COMPUTED_VALUE"""),0.0)</f>
        <v>0</v>
      </c>
      <c r="AW194" s="16">
        <f>IFERROR(__xludf.DUMMYFUNCTION("""COMPUTED_VALUE"""),4.0)</f>
        <v>4</v>
      </c>
      <c r="AX194" s="16">
        <f>IFERROR(__xludf.DUMMYFUNCTION("""COMPUTED_VALUE"""),-2.0)</f>
        <v>-2</v>
      </c>
      <c r="AY194" s="16">
        <f>IFERROR(__xludf.DUMMYFUNCTION("""COMPUTED_VALUE"""),1.0)</f>
        <v>1</v>
      </c>
      <c r="AZ194" s="16">
        <f>IFERROR(__xludf.DUMMYFUNCTION("""COMPUTED_VALUE"""),-6.0)</f>
        <v>-6</v>
      </c>
      <c r="BA194" s="16">
        <f>IFERROR(__xludf.DUMMYFUNCTION("""COMPUTED_VALUE"""),3.0)</f>
        <v>3</v>
      </c>
      <c r="BB194" s="16">
        <f>IFERROR(__xludf.DUMMYFUNCTION("""COMPUTED_VALUE"""),5.0)</f>
        <v>5</v>
      </c>
      <c r="BC194" s="16">
        <f>IFERROR(__xludf.DUMMYFUNCTION("""COMPUTED_VALUE"""),5.0)</f>
        <v>5</v>
      </c>
      <c r="BD194" s="16">
        <f>IFERROR(__xludf.DUMMYFUNCTION("""COMPUTED_VALUE"""),1.0)</f>
        <v>1</v>
      </c>
      <c r="BE194" s="16">
        <f>IFERROR(__xludf.DUMMYFUNCTION("""COMPUTED_VALUE"""),1.0)</f>
        <v>1</v>
      </c>
      <c r="BF194" s="16">
        <f>IFERROR(__xludf.DUMMYFUNCTION("""COMPUTED_VALUE"""),1.0)</f>
        <v>1</v>
      </c>
      <c r="BG194" s="16">
        <f>IFERROR(__xludf.DUMMYFUNCTION("""COMPUTED_VALUE"""),1.0)</f>
        <v>1</v>
      </c>
      <c r="BH194" s="16">
        <f>IFERROR(__xludf.DUMMYFUNCTION("""COMPUTED_VALUE"""),-5.0)</f>
        <v>-5</v>
      </c>
      <c r="BI194" s="16">
        <f>IFERROR(__xludf.DUMMYFUNCTION("""COMPUTED_VALUE"""),-8.0)</f>
        <v>-8</v>
      </c>
      <c r="BJ194" s="16">
        <f>IFERROR(__xludf.DUMMYFUNCTION("""COMPUTED_VALUE"""),17.0)</f>
        <v>17</v>
      </c>
      <c r="BK194" s="16">
        <f>IFERROR(__xludf.DUMMYFUNCTION("""COMPUTED_VALUE"""),21.0)</f>
        <v>21</v>
      </c>
      <c r="BL194" s="16">
        <f>IFERROR(__xludf.DUMMYFUNCTION("""COMPUTED_VALUE"""),-1.0)</f>
        <v>-1</v>
      </c>
      <c r="BM194" s="16">
        <f>IFERROR(__xludf.DUMMYFUNCTION("""COMPUTED_VALUE"""),-2.0)</f>
        <v>-2</v>
      </c>
      <c r="BN194" s="16">
        <f>IFERROR(__xludf.DUMMYFUNCTION("""COMPUTED_VALUE"""),-2.0)</f>
        <v>-2</v>
      </c>
      <c r="BO194" s="16">
        <f>IFERROR(__xludf.DUMMYFUNCTION("""COMPUTED_VALUE"""),-4.0)</f>
        <v>-4</v>
      </c>
      <c r="BP194" s="16">
        <f>IFERROR(__xludf.DUMMYFUNCTION("""COMPUTED_VALUE"""),-5.0)</f>
        <v>-5</v>
      </c>
      <c r="BQ194" s="16">
        <f>IFERROR(__xludf.DUMMYFUNCTION("""COMPUTED_VALUE"""),1.0)</f>
        <v>1</v>
      </c>
      <c r="BR194" s="16">
        <f>IFERROR(__xludf.DUMMYFUNCTION("""COMPUTED_VALUE"""),-4.0)</f>
        <v>-4</v>
      </c>
      <c r="BS194" s="16" t="str">
        <f>IFERROR(__xludf.DUMMYFUNCTION("""COMPUTED_VALUE"""),"*5/- (19-11)")</f>
        <v>*5/- (19-11)</v>
      </c>
      <c r="BT194" s="16" t="str">
        <f>IFERROR(__xludf.DUMMYFUNCTION("""COMPUTED_VALUE"""),"A")</f>
        <v>A</v>
      </c>
      <c r="BU194" s="16">
        <f>IFERROR(__xludf.DUMMYFUNCTION("""COMPUTED_VALUE"""),14.0)</f>
        <v>14</v>
      </c>
      <c r="BV194" s="16">
        <f>IFERROR(__xludf.DUMMYFUNCTION("""COMPUTED_VALUE"""),2.0)</f>
        <v>2</v>
      </c>
      <c r="BW194" s="16">
        <f>IFERROR(__xludf.DUMMYFUNCTION("""COMPUTED_VALUE"""),1.0)</f>
        <v>1</v>
      </c>
      <c r="BX194" s="16">
        <f>IFERROR(__xludf.DUMMYFUNCTION("""COMPUTED_VALUE"""),4.0)</f>
        <v>4</v>
      </c>
      <c r="BY194" s="16">
        <f>IFERROR(__xludf.DUMMYFUNCTION("""COMPUTED_VALUE"""),3.0)</f>
        <v>3</v>
      </c>
      <c r="BZ194" s="16" t="str">
        <f>IFERROR(__xludf.DUMMYFUNCTION("""COMPUTED_VALUE"""),"D")</f>
        <v>D</v>
      </c>
      <c r="CA194" s="16" t="str">
        <f>IFERROR(__xludf.DUMMYFUNCTION("""COMPUTED_VALUE"""),"C")</f>
        <v>C</v>
      </c>
      <c r="CB194" s="16">
        <f>IFERROR(__xludf.DUMMYFUNCTION("""COMPUTED_VALUE"""),0.0)</f>
        <v>0</v>
      </c>
      <c r="CC194" s="16">
        <f>IFERROR(__xludf.DUMMYFUNCTION("""COMPUTED_VALUE"""),0.0)</f>
        <v>0</v>
      </c>
      <c r="CD194" s="16">
        <f>IFERROR(__xludf.DUMMYFUNCTION("""COMPUTED_VALUE"""),0.0)</f>
        <v>0</v>
      </c>
      <c r="CE194" s="16">
        <f>IFERROR(__xludf.DUMMYFUNCTION("""COMPUTED_VALUE"""),0.0)</f>
        <v>0</v>
      </c>
      <c r="CF194" s="16">
        <f>IFERROR(__xludf.DUMMYFUNCTION("""COMPUTED_VALUE"""),1.0)</f>
        <v>1</v>
      </c>
      <c r="CG194" s="16">
        <f>IFERROR(__xludf.DUMMYFUNCTION("""COMPUTED_VALUE"""),-22.0)</f>
        <v>-22</v>
      </c>
      <c r="CH194" s="16">
        <f>IFERROR(__xludf.DUMMYFUNCTION("""COMPUTED_VALUE"""),0.0)</f>
        <v>0</v>
      </c>
      <c r="CI194" s="179">
        <f>IFERROR(__xludf.DUMMYFUNCTION("""COMPUTED_VALUE"""),2.0)</f>
        <v>2</v>
      </c>
      <c r="CJ194" s="16"/>
      <c r="CK194" s="16"/>
      <c r="CL194" s="16"/>
      <c r="CM194" s="16"/>
      <c r="CN194" s="16"/>
      <c r="CO194" s="16"/>
      <c r="CP194" s="16">
        <f>IFERROR(__xludf.DUMMYFUNCTION("""COMPUTED_VALUE"""),403.0)</f>
        <v>403</v>
      </c>
      <c r="CQ194" s="16">
        <f>IFERROR(__xludf.DUMMYFUNCTION("""COMPUTED_VALUE"""),303.0)</f>
        <v>303</v>
      </c>
      <c r="CR194" s="16" t="str">
        <f>IFERROR(__xludf.DUMMYFUNCTION("""COMPUTED_VALUE"""),"rf-3(-1)e3 cf-4e3")</f>
        <v>rf-3(-1)e3 cf-4e3</v>
      </c>
      <c r="CS194" s="16"/>
      <c r="CT194" s="16"/>
      <c r="CU194" s="16"/>
      <c r="CV194" s="16"/>
      <c r="CW194" s="16"/>
      <c r="CX194" s="16"/>
      <c r="CY194" s="16">
        <f>IFERROR(__xludf.DUMMYFUNCTION("""COMPUTED_VALUE"""),4.0)</f>
        <v>4</v>
      </c>
      <c r="CZ194" s="16">
        <f>IFERROR(__xludf.DUMMYFUNCTION("""COMPUTED_VALUE"""),3.0)</f>
        <v>3</v>
      </c>
      <c r="DA194" s="16"/>
      <c r="DB194" s="16"/>
      <c r="DC194" s="16"/>
      <c r="DD194" s="16"/>
      <c r="DE194" s="16"/>
      <c r="DF194" s="16"/>
      <c r="DG194" s="16">
        <f>IFERROR(__xludf.DUMMYFUNCTION("""COMPUTED_VALUE"""),3.0)</f>
        <v>3</v>
      </c>
      <c r="DH194" s="16">
        <f>IFERROR(__xludf.DUMMYFUNCTION("""COMPUTED_VALUE"""),3.0)</f>
        <v>3</v>
      </c>
      <c r="DI194" s="16"/>
      <c r="DJ194" s="16"/>
      <c r="DK194" s="16"/>
      <c r="DL194" s="16"/>
      <c r="DM194" s="16"/>
      <c r="DN194" s="16"/>
      <c r="DO194" s="16">
        <f>IFERROR(__xludf.DUMMYFUNCTION("""COMPUTED_VALUE"""),-2.0)</f>
        <v>-2</v>
      </c>
      <c r="DP194" s="16">
        <f>IFERROR(__xludf.DUMMYFUNCTION("""COMPUTED_VALUE"""),0.0)</f>
        <v>0</v>
      </c>
      <c r="DQ194" s="16"/>
      <c r="DR194" s="16"/>
      <c r="DS194" s="16"/>
      <c r="DT194" s="16"/>
      <c r="DU194" s="16"/>
      <c r="DV194" s="16"/>
      <c r="DW194" s="16">
        <f>IFERROR(__xludf.DUMMYFUNCTION("""COMPUTED_VALUE"""),4.0)</f>
        <v>4</v>
      </c>
      <c r="DX194" s="16">
        <f>IFERROR(__xludf.DUMMYFUNCTION("""COMPUTED_VALUE"""),4.0)</f>
        <v>4</v>
      </c>
      <c r="DY194" s="16"/>
      <c r="DZ194" s="16"/>
      <c r="EA194" s="16"/>
      <c r="EB194" s="16"/>
      <c r="EC194" s="16"/>
      <c r="ED194" s="16"/>
      <c r="EE194" s="16">
        <f>IFERROR(__xludf.DUMMYFUNCTION("""COMPUTED_VALUE"""),2.0)</f>
        <v>2</v>
      </c>
      <c r="EF194" s="16">
        <f>IFERROR(__xludf.DUMMYFUNCTION("""COMPUTED_VALUE"""),4.0)</f>
        <v>4</v>
      </c>
      <c r="EG194" s="179"/>
      <c r="EH194" s="179"/>
      <c r="EI194" s="179"/>
      <c r="EJ194" s="179"/>
      <c r="EK194" s="179"/>
      <c r="EL194" s="179"/>
      <c r="EM194" s="179">
        <f>IFERROR(__xludf.DUMMYFUNCTION("""COMPUTED_VALUE"""),4.0)</f>
        <v>4</v>
      </c>
      <c r="EN194" s="179">
        <f>IFERROR(__xludf.DUMMYFUNCTION("""COMPUTED_VALUE"""),6.0)</f>
        <v>6</v>
      </c>
      <c r="EO194" s="16"/>
      <c r="EP194" s="16">
        <f>IFERROR(__xludf.DUMMYFUNCTION("""COMPUTED_VALUE"""),-2.0)</f>
        <v>-2</v>
      </c>
      <c r="EQ194" s="16">
        <f>IFERROR(__xludf.DUMMYFUNCTION("""COMPUTED_VALUE"""),4.0)</f>
        <v>4</v>
      </c>
      <c r="ER194" s="16">
        <f>IFERROR(__xludf.DUMMYFUNCTION("""COMPUTED_VALUE"""),2.0)</f>
        <v>2</v>
      </c>
      <c r="ES194" s="16"/>
      <c r="ET194" s="16"/>
      <c r="EU194" s="16"/>
      <c r="EV194" s="16"/>
      <c r="EW194" s="16"/>
      <c r="EX194" s="180"/>
      <c r="EY194" s="180"/>
      <c r="EZ194" s="180"/>
      <c r="FA194" s="180"/>
      <c r="FB194" s="180"/>
      <c r="FC194" s="180"/>
      <c r="FD194" s="180">
        <f>IFERROR(__xludf.DUMMYFUNCTION("""COMPUTED_VALUE"""),0.55)</f>
        <v>0.55</v>
      </c>
      <c r="FE194" s="180">
        <f>IFERROR(__xludf.DUMMYFUNCTION("""COMPUTED_VALUE"""),0.3)</f>
        <v>0.3</v>
      </c>
      <c r="FF194" s="180"/>
      <c r="FG194" s="180"/>
      <c r="FH194" s="180"/>
      <c r="FI194" s="180"/>
      <c r="FJ194" s="180"/>
      <c r="FK194" s="180"/>
      <c r="FL194" s="180">
        <f>IFERROR(__xludf.DUMMYFUNCTION("""COMPUTED_VALUE"""),0.037037037037037035)</f>
        <v>0.03703703704</v>
      </c>
      <c r="FM194" s="180">
        <f>IFERROR(__xludf.DUMMYFUNCTION("""COMPUTED_VALUE"""),0.056)</f>
        <v>0.056</v>
      </c>
      <c r="FN194" s="16"/>
      <c r="FO194" s="16"/>
      <c r="FP194" s="16"/>
      <c r="FQ194" s="16"/>
      <c r="FR194" s="16"/>
      <c r="FS194" s="16"/>
      <c r="FT194" s="16">
        <f>IFERROR(__xludf.DUMMYFUNCTION("""COMPUTED_VALUE"""),0.4333333333333333)</f>
        <v>0.4333333333</v>
      </c>
      <c r="FU194" s="16">
        <f>IFERROR(__xludf.DUMMYFUNCTION("""COMPUTED_VALUE"""),0.6607999999999999)</f>
        <v>0.6608</v>
      </c>
      <c r="FV194" s="16"/>
      <c r="FW194" s="16"/>
      <c r="FX194" s="16"/>
      <c r="FY194" s="16"/>
      <c r="FZ194" s="16"/>
      <c r="GA194" s="16"/>
      <c r="GB194" s="16">
        <f>IFERROR(__xludf.DUMMYFUNCTION("""COMPUTED_VALUE"""),-6.0)</f>
        <v>-6</v>
      </c>
      <c r="GC194" s="16">
        <f>IFERROR(__xludf.DUMMYFUNCTION("""COMPUTED_VALUE"""),-2.0)</f>
        <v>-2</v>
      </c>
      <c r="GD194" s="16" t="s">
        <v>245</v>
      </c>
    </row>
    <row r="195">
      <c r="A195" s="16">
        <f>IFERROR(__xludf.DUMMYFUNCTION("""COMPUTED_VALUE"""),13110.0)</f>
        <v>13110</v>
      </c>
      <c r="B195" s="16" t="str">
        <f>IFERROR(__xludf.DUMMYFUNCTION("""COMPUTED_VALUE"""),"Lane Thomas")</f>
        <v>Lane Thomas</v>
      </c>
      <c r="C195" s="16">
        <f>IFERROR(__xludf.DUMMYFUNCTION("""COMPUTED_VALUE"""),0.16)</f>
        <v>0.16</v>
      </c>
      <c r="D195" s="16" t="str">
        <f>IFERROR(__xludf.DUMMYFUNCTION("""COMPUTED_VALUE"""),"R")</f>
        <v>R</v>
      </c>
      <c r="E195" s="16"/>
      <c r="F195" s="16"/>
      <c r="G195" s="16">
        <f>IFERROR(__xludf.DUMMYFUNCTION("""COMPUTED_VALUE"""),472.0)</f>
        <v>472</v>
      </c>
      <c r="H195" s="16">
        <f>IFERROR(__xludf.DUMMYFUNCTION("""COMPUTED_VALUE"""),44.0)</f>
        <v>44</v>
      </c>
      <c r="I195" s="16" t="str">
        <f>IFERROR(__xludf.DUMMYFUNCTION("""COMPUTED_VALUE"""),"3p60")</f>
        <v>3p60</v>
      </c>
      <c r="J195" s="16">
        <f>IFERROR(__xludf.DUMMYFUNCTION("""COMPUTED_VALUE"""),18.0)</f>
        <v>18</v>
      </c>
      <c r="K195" s="16">
        <f>IFERROR(__xludf.DUMMYFUNCTION("""COMPUTED_VALUE"""),36.0)</f>
        <v>36</v>
      </c>
      <c r="L195" s="16">
        <f>IFERROR(__xludf.DUMMYFUNCTION("""COMPUTED_VALUE"""),1.0)</f>
        <v>1</v>
      </c>
      <c r="M195" s="16">
        <f>IFERROR(__xludf.DUMMYFUNCTION("""COMPUTED_VALUE"""),-1.0)</f>
        <v>-1</v>
      </c>
      <c r="N195" s="16">
        <f>IFERROR(__xludf.DUMMYFUNCTION("""COMPUTED_VALUE"""),1.0)</f>
        <v>1</v>
      </c>
      <c r="O195" s="16">
        <f>IFERROR(__xludf.DUMMYFUNCTION("""COMPUTED_VALUE"""),-1.0)</f>
        <v>-1</v>
      </c>
      <c r="P195" s="16">
        <f>IFERROR(__xludf.DUMMYFUNCTION("""COMPUTED_VALUE"""),12.0)</f>
        <v>12</v>
      </c>
      <c r="Q195" s="16">
        <f>IFERROR(__xludf.DUMMYFUNCTION("""COMPUTED_VALUE"""),9.0)</f>
        <v>9</v>
      </c>
      <c r="R195" s="16">
        <f>IFERROR(__xludf.DUMMYFUNCTION("""COMPUTED_VALUE"""),1.0)</f>
        <v>1</v>
      </c>
      <c r="S195" s="16">
        <f>IFERROR(__xludf.DUMMYFUNCTION("""COMPUTED_VALUE"""),0.0)</f>
        <v>0</v>
      </c>
      <c r="T195" s="16">
        <f>IFERROR(__xludf.DUMMYFUNCTION("""COMPUTED_VALUE"""),1.0)</f>
        <v>1</v>
      </c>
      <c r="U195" s="16">
        <f>IFERROR(__xludf.DUMMYFUNCTION("""COMPUTED_VALUE"""),0.0)</f>
        <v>0</v>
      </c>
      <c r="V195" s="16">
        <f>IFERROR(__xludf.DUMMYFUNCTION("""COMPUTED_VALUE"""),30.1)</f>
        <v>30.1</v>
      </c>
      <c r="W195" s="16">
        <f>IFERROR(__xludf.DUMMYFUNCTION("""COMPUTED_VALUE"""),14.0)</f>
        <v>14</v>
      </c>
      <c r="X195" s="16">
        <f>IFERROR(__xludf.DUMMYFUNCTION("""COMPUTED_VALUE"""),2.0)</f>
        <v>2</v>
      </c>
      <c r="Y195" s="16">
        <f>IFERROR(__xludf.DUMMYFUNCTION("""COMPUTED_VALUE"""),-1.0)</f>
        <v>-1</v>
      </c>
      <c r="Z195" s="16">
        <f>IFERROR(__xludf.DUMMYFUNCTION("""COMPUTED_VALUE"""),4.0)</f>
        <v>4</v>
      </c>
      <c r="AA195" s="16">
        <f>IFERROR(__xludf.DUMMYFUNCTION("""COMPUTED_VALUE"""),-2.0)</f>
        <v>-2</v>
      </c>
      <c r="AB195" s="16">
        <f>IFERROR(__xludf.DUMMYFUNCTION("""COMPUTED_VALUE"""),45.1)</f>
        <v>45.1</v>
      </c>
      <c r="AC195" s="16">
        <f>IFERROR(__xludf.DUMMYFUNCTION("""COMPUTED_VALUE"""),26.1)</f>
        <v>26.1</v>
      </c>
      <c r="AD195" s="16">
        <f>IFERROR(__xludf.DUMMYFUNCTION("""COMPUTED_VALUE"""),2.0)</f>
        <v>2</v>
      </c>
      <c r="AE195" s="16">
        <f>IFERROR(__xludf.DUMMYFUNCTION("""COMPUTED_VALUE"""),-1.0)</f>
        <v>-1</v>
      </c>
      <c r="AF195" s="16">
        <f>IFERROR(__xludf.DUMMYFUNCTION("""COMPUTED_VALUE"""),10.0)</f>
        <v>10</v>
      </c>
      <c r="AG195" s="16">
        <f>IFERROR(__xludf.DUMMYFUNCTION("""COMPUTED_VALUE"""),-5.0)</f>
        <v>-5</v>
      </c>
      <c r="AH195" s="16">
        <f>IFERROR(__xludf.DUMMYFUNCTION("""COMPUTED_VALUE"""),46.4)</f>
        <v>46.4</v>
      </c>
      <c r="AI195" s="16">
        <f>IFERROR(__xludf.DUMMYFUNCTION("""COMPUTED_VALUE"""),25.6)</f>
        <v>25.6</v>
      </c>
      <c r="AJ195" s="16">
        <f>IFERROR(__xludf.DUMMYFUNCTION("""COMPUTED_VALUE"""),1.0)</f>
        <v>1</v>
      </c>
      <c r="AK195" s="16">
        <f>IFERROR(__xludf.DUMMYFUNCTION("""COMPUTED_VALUE"""),-1.0)</f>
        <v>-1</v>
      </c>
      <c r="AL195" s="16">
        <f>IFERROR(__xludf.DUMMYFUNCTION("""COMPUTED_VALUE"""),5.0)</f>
        <v>5</v>
      </c>
      <c r="AM195" s="16">
        <f>IFERROR(__xludf.DUMMYFUNCTION("""COMPUTED_VALUE"""),-5.0)</f>
        <v>-5</v>
      </c>
      <c r="AN195" s="16">
        <f>IFERROR(__xludf.DUMMYFUNCTION("""COMPUTED_VALUE"""),2.0)</f>
        <v>2</v>
      </c>
      <c r="AO195" s="16">
        <f>IFERROR(__xludf.DUMMYFUNCTION("""COMPUTED_VALUE"""),1.8)</f>
        <v>1.8</v>
      </c>
      <c r="AP195" s="16">
        <f>IFERROR(__xludf.DUMMYFUNCTION("""COMPUTED_VALUE"""),0.0)</f>
        <v>0</v>
      </c>
      <c r="AQ195" s="16">
        <f>IFERROR(__xludf.DUMMYFUNCTION("""COMPUTED_VALUE"""),-1.0)</f>
        <v>-1</v>
      </c>
      <c r="AR195" s="16">
        <f>IFERROR(__xludf.DUMMYFUNCTION("""COMPUTED_VALUE"""),0.0)</f>
        <v>0</v>
      </c>
      <c r="AS195" s="16">
        <f>IFERROR(__xludf.DUMMYFUNCTION("""COMPUTED_VALUE"""),-2.0)</f>
        <v>-2</v>
      </c>
      <c r="AT195" s="16">
        <f>IFERROR(__xludf.DUMMYFUNCTION("""COMPUTED_VALUE"""),2.0)</f>
        <v>2</v>
      </c>
      <c r="AU195" s="16">
        <f>IFERROR(__xludf.DUMMYFUNCTION("""COMPUTED_VALUE"""),3.0)</f>
        <v>3</v>
      </c>
      <c r="AV195" s="16">
        <f>IFERROR(__xludf.DUMMYFUNCTION("""COMPUTED_VALUE"""),2.0)</f>
        <v>2</v>
      </c>
      <c r="AW195" s="16">
        <f>IFERROR(__xludf.DUMMYFUNCTION("""COMPUTED_VALUE"""),3.0)</f>
        <v>3</v>
      </c>
      <c r="AX195" s="16">
        <f>IFERROR(__xludf.DUMMYFUNCTION("""COMPUTED_VALUE"""),0.0)</f>
        <v>0</v>
      </c>
      <c r="AY195" s="16">
        <f>IFERROR(__xludf.DUMMYFUNCTION("""COMPUTED_VALUE"""),0.0)</f>
        <v>0</v>
      </c>
      <c r="AZ195" s="16">
        <f>IFERROR(__xludf.DUMMYFUNCTION("""COMPUTED_VALUE"""),0.0)</f>
        <v>0</v>
      </c>
      <c r="BA195" s="16">
        <f>IFERROR(__xludf.DUMMYFUNCTION("""COMPUTED_VALUE"""),0.0)</f>
        <v>0</v>
      </c>
      <c r="BB195" s="16">
        <f>IFERROR(__xludf.DUMMYFUNCTION("""COMPUTED_VALUE"""),5.0)</f>
        <v>5</v>
      </c>
      <c r="BC195" s="16">
        <f>IFERROR(__xludf.DUMMYFUNCTION("""COMPUTED_VALUE"""),5.0)</f>
        <v>5</v>
      </c>
      <c r="BD195" s="16">
        <f>IFERROR(__xludf.DUMMYFUNCTION("""COMPUTED_VALUE"""),1.0)</f>
        <v>1</v>
      </c>
      <c r="BE195" s="16">
        <f>IFERROR(__xludf.DUMMYFUNCTION("""COMPUTED_VALUE"""),1.0)</f>
        <v>1</v>
      </c>
      <c r="BF195" s="16">
        <f>IFERROR(__xludf.DUMMYFUNCTION("""COMPUTED_VALUE"""),1.0)</f>
        <v>1</v>
      </c>
      <c r="BG195" s="16">
        <f>IFERROR(__xludf.DUMMYFUNCTION("""COMPUTED_VALUE"""),1.0)</f>
        <v>1</v>
      </c>
      <c r="BH195" s="16">
        <f>IFERROR(__xludf.DUMMYFUNCTION("""COMPUTED_VALUE"""),-1.0)</f>
        <v>-1</v>
      </c>
      <c r="BI195" s="16">
        <f>IFERROR(__xludf.DUMMYFUNCTION("""COMPUTED_VALUE"""),-1.0)</f>
        <v>-1</v>
      </c>
      <c r="BJ195" s="16">
        <f>IFERROR(__xludf.DUMMYFUNCTION("""COMPUTED_VALUE"""),5.0)</f>
        <v>5</v>
      </c>
      <c r="BK195" s="16">
        <f>IFERROR(__xludf.DUMMYFUNCTION("""COMPUTED_VALUE"""),6.0)</f>
        <v>6</v>
      </c>
      <c r="BL195" s="16">
        <f>IFERROR(__xludf.DUMMYFUNCTION("""COMPUTED_VALUE"""),1.0)</f>
        <v>1</v>
      </c>
      <c r="BM195" s="16">
        <f>IFERROR(__xludf.DUMMYFUNCTION("""COMPUTED_VALUE"""),1.0)</f>
        <v>1</v>
      </c>
      <c r="BN195" s="16">
        <f>IFERROR(__xludf.DUMMYFUNCTION("""COMPUTED_VALUE"""),1.0)</f>
        <v>1</v>
      </c>
      <c r="BO195" s="16">
        <f>IFERROR(__xludf.DUMMYFUNCTION("""COMPUTED_VALUE"""),1.0)</f>
        <v>1</v>
      </c>
      <c r="BP195" s="16">
        <f>IFERROR(__xludf.DUMMYFUNCTION("""COMPUTED_VALUE"""),9.0)</f>
        <v>9</v>
      </c>
      <c r="BQ195" s="16">
        <f>IFERROR(__xludf.DUMMYFUNCTION("""COMPUTED_VALUE"""),-3.0)</f>
        <v>-3</v>
      </c>
      <c r="BR195" s="16">
        <f>IFERROR(__xludf.DUMMYFUNCTION("""COMPUTED_VALUE"""),6.0)</f>
        <v>6</v>
      </c>
      <c r="BS195" s="16" t="str">
        <f>IFERROR(__xludf.DUMMYFUNCTION("""COMPUTED_VALUE"""),"*2-6,11,12/- (17-15)")</f>
        <v>*2-6,11,12/- (17-15)</v>
      </c>
      <c r="BT195" s="16" t="str">
        <f>IFERROR(__xludf.DUMMYFUNCTION("""COMPUTED_VALUE"""),"A")</f>
        <v>A</v>
      </c>
      <c r="BU195" s="16">
        <f>IFERROR(__xludf.DUMMYFUNCTION("""COMPUTED_VALUE"""),16.0)</f>
        <v>16</v>
      </c>
      <c r="BV195" s="16">
        <f>IFERROR(__xludf.DUMMYFUNCTION("""COMPUTED_VALUE"""),2.0)</f>
        <v>2</v>
      </c>
      <c r="BW195" s="16">
        <f>IFERROR(__xludf.DUMMYFUNCTION("""COMPUTED_VALUE"""),2.0)</f>
        <v>2</v>
      </c>
      <c r="BX195" s="16">
        <f>IFERROR(__xludf.DUMMYFUNCTION("""COMPUTED_VALUE"""),4.0)</f>
        <v>4</v>
      </c>
      <c r="BY195" s="16">
        <f>IFERROR(__xludf.DUMMYFUNCTION("""COMPUTED_VALUE"""),6.0)</f>
        <v>6</v>
      </c>
      <c r="BZ195" s="16" t="str">
        <f>IFERROR(__xludf.DUMMYFUNCTION("""COMPUTED_VALUE"""),"D")</f>
        <v>D</v>
      </c>
      <c r="CA195" s="16" t="str">
        <f>IFERROR(__xludf.DUMMYFUNCTION("""COMPUTED_VALUE"""),"C")</f>
        <v>C</v>
      </c>
      <c r="CB195" s="16">
        <f>IFERROR(__xludf.DUMMYFUNCTION("""COMPUTED_VALUE"""),0.0)</f>
        <v>0</v>
      </c>
      <c r="CC195" s="16">
        <f>IFERROR(__xludf.DUMMYFUNCTION("""COMPUTED_VALUE"""),0.0)</f>
        <v>0</v>
      </c>
      <c r="CD195" s="16">
        <f>IFERROR(__xludf.DUMMYFUNCTION("""COMPUTED_VALUE"""),0.0)</f>
        <v>0</v>
      </c>
      <c r="CE195" s="16">
        <f>IFERROR(__xludf.DUMMYFUNCTION("""COMPUTED_VALUE"""),0.0)</f>
        <v>0</v>
      </c>
      <c r="CF195" s="16">
        <f>IFERROR(__xludf.DUMMYFUNCTION("""COMPUTED_VALUE"""),3.0)</f>
        <v>3</v>
      </c>
      <c r="CG195" s="16">
        <f>IFERROR(__xludf.DUMMYFUNCTION("""COMPUTED_VALUE"""),23.0)</f>
        <v>23</v>
      </c>
      <c r="CH195" s="16">
        <f>IFERROR(__xludf.DUMMYFUNCTION("""COMPUTED_VALUE"""),-13.0)</f>
        <v>-13</v>
      </c>
      <c r="CI195" s="179">
        <f>IFERROR(__xludf.DUMMYFUNCTION("""COMPUTED_VALUE"""),1.0)</f>
        <v>1</v>
      </c>
      <c r="CJ195" s="16"/>
      <c r="CK195" s="16"/>
      <c r="CL195" s="16"/>
      <c r="CM195" s="16"/>
      <c r="CN195" s="16"/>
      <c r="CO195" s="16"/>
      <c r="CP195" s="16">
        <f>IFERROR(__xludf.DUMMYFUNCTION("""COMPUTED_VALUE"""),309.0)</f>
        <v>309</v>
      </c>
      <c r="CQ195" s="16">
        <f>IFERROR(__xludf.DUMMYFUNCTION("""COMPUTED_VALUE"""),309.0)</f>
        <v>309</v>
      </c>
      <c r="CR195" s="16" t="str">
        <f>IFERROR(__xludf.DUMMYFUNCTION("""COMPUTED_VALUE"""),"rf-3(-2)e9 cf-3e9")</f>
        <v>rf-3(-2)e9 cf-3e9</v>
      </c>
      <c r="CS195" s="16"/>
      <c r="CT195" s="16"/>
      <c r="CU195" s="16"/>
      <c r="CV195" s="16"/>
      <c r="CW195" s="16"/>
      <c r="CX195" s="16"/>
      <c r="CY195" s="16">
        <f>IFERROR(__xludf.DUMMYFUNCTION("""COMPUTED_VALUE"""),3.0)</f>
        <v>3</v>
      </c>
      <c r="CZ195" s="16">
        <f>IFERROR(__xludf.DUMMYFUNCTION("""COMPUTED_VALUE"""),3.0)</f>
        <v>3</v>
      </c>
      <c r="DA195" s="16"/>
      <c r="DB195" s="16"/>
      <c r="DC195" s="16"/>
      <c r="DD195" s="16"/>
      <c r="DE195" s="16"/>
      <c r="DF195" s="16"/>
      <c r="DG195" s="16">
        <f>IFERROR(__xludf.DUMMYFUNCTION("""COMPUTED_VALUE"""),9.0)</f>
        <v>9</v>
      </c>
      <c r="DH195" s="16">
        <f>IFERROR(__xludf.DUMMYFUNCTION("""COMPUTED_VALUE"""),9.0)</f>
        <v>9</v>
      </c>
      <c r="DI195" s="16"/>
      <c r="DJ195" s="16"/>
      <c r="DK195" s="16"/>
      <c r="DL195" s="16"/>
      <c r="DM195" s="16"/>
      <c r="DN195" s="16"/>
      <c r="DO195" s="16">
        <f>IFERROR(__xludf.DUMMYFUNCTION("""COMPUTED_VALUE"""),0.0)</f>
        <v>0</v>
      </c>
      <c r="DP195" s="16">
        <f>IFERROR(__xludf.DUMMYFUNCTION("""COMPUTED_VALUE"""),0.0)</f>
        <v>0</v>
      </c>
      <c r="DQ195" s="16"/>
      <c r="DR195" s="16"/>
      <c r="DS195" s="16"/>
      <c r="DT195" s="16"/>
      <c r="DU195" s="16"/>
      <c r="DV195" s="16"/>
      <c r="DW195" s="16">
        <f>IFERROR(__xludf.DUMMYFUNCTION("""COMPUTED_VALUE"""),2.0)</f>
        <v>2</v>
      </c>
      <c r="DX195" s="16">
        <f>IFERROR(__xludf.DUMMYFUNCTION("""COMPUTED_VALUE"""),0.0)</f>
        <v>0</v>
      </c>
      <c r="DY195" s="16"/>
      <c r="DZ195" s="16"/>
      <c r="EA195" s="16"/>
      <c r="EB195" s="16"/>
      <c r="EC195" s="16"/>
      <c r="ED195" s="16"/>
      <c r="EE195" s="16">
        <f>IFERROR(__xludf.DUMMYFUNCTION("""COMPUTED_VALUE"""),2.0)</f>
        <v>2</v>
      </c>
      <c r="EF195" s="16">
        <f>IFERROR(__xludf.DUMMYFUNCTION("""COMPUTED_VALUE"""),0.0)</f>
        <v>0</v>
      </c>
      <c r="EG195" s="179"/>
      <c r="EH195" s="179"/>
      <c r="EI195" s="179"/>
      <c r="EJ195" s="179"/>
      <c r="EK195" s="179"/>
      <c r="EL195" s="179"/>
      <c r="EM195" s="179">
        <f>IFERROR(__xludf.DUMMYFUNCTION("""COMPUTED_VALUE"""),3.0)</f>
        <v>3</v>
      </c>
      <c r="EN195" s="179">
        <f>IFERROR(__xludf.DUMMYFUNCTION("""COMPUTED_VALUE"""),1.0)</f>
        <v>1</v>
      </c>
      <c r="EO195" s="16"/>
      <c r="EP195" s="16"/>
      <c r="EQ195" s="16">
        <f>IFERROR(__xludf.DUMMYFUNCTION("""COMPUTED_VALUE"""),1.0)</f>
        <v>1</v>
      </c>
      <c r="ER195" s="16">
        <f>IFERROR(__xludf.DUMMYFUNCTION("""COMPUTED_VALUE"""),1.0)</f>
        <v>1</v>
      </c>
      <c r="ES195" s="16"/>
      <c r="ET195" s="16"/>
      <c r="EU195" s="16"/>
      <c r="EV195" s="16"/>
      <c r="EW195" s="16"/>
      <c r="EX195" s="180"/>
      <c r="EY195" s="180"/>
      <c r="EZ195" s="180"/>
      <c r="FA195" s="180"/>
      <c r="FB195" s="180"/>
      <c r="FC195" s="180"/>
      <c r="FD195" s="180">
        <f>IFERROR(__xludf.DUMMYFUNCTION("""COMPUTED_VALUE"""),0.3)</f>
        <v>0.3</v>
      </c>
      <c r="FE195" s="180">
        <f>IFERROR(__xludf.DUMMYFUNCTION("""COMPUTED_VALUE"""),0.3)</f>
        <v>0.3</v>
      </c>
      <c r="FF195" s="180"/>
      <c r="FG195" s="180"/>
      <c r="FH195" s="180"/>
      <c r="FI195" s="180"/>
      <c r="FJ195" s="180"/>
      <c r="FK195" s="180"/>
      <c r="FL195" s="180">
        <f>IFERROR(__xludf.DUMMYFUNCTION("""COMPUTED_VALUE"""),0.10185185185185185)</f>
        <v>0.1018518519</v>
      </c>
      <c r="FM195" s="180">
        <f>IFERROR(__xludf.DUMMYFUNCTION("""COMPUTED_VALUE"""),0.162)</f>
        <v>0.162</v>
      </c>
      <c r="FN195" s="16"/>
      <c r="FO195" s="16"/>
      <c r="FP195" s="16"/>
      <c r="FQ195" s="16"/>
      <c r="FR195" s="16"/>
      <c r="FS195" s="16"/>
      <c r="FT195" s="16">
        <f>IFERROR(__xludf.DUMMYFUNCTION("""COMPUTED_VALUE"""),0.6287037037037037)</f>
        <v>0.6287037037</v>
      </c>
      <c r="FU195" s="16">
        <f>IFERROR(__xludf.DUMMYFUNCTION("""COMPUTED_VALUE"""),0.5865999999999999)</f>
        <v>0.5866</v>
      </c>
      <c r="FV195" s="16"/>
      <c r="FW195" s="16"/>
      <c r="FX195" s="16"/>
      <c r="FY195" s="16"/>
      <c r="FZ195" s="16"/>
      <c r="GA195" s="16"/>
      <c r="GB195" s="16">
        <f>IFERROR(__xludf.DUMMYFUNCTION("""COMPUTED_VALUE"""),-6.0)</f>
        <v>-6</v>
      </c>
      <c r="GC195" s="16">
        <f>IFERROR(__xludf.DUMMYFUNCTION("""COMPUTED_VALUE"""),-6.0)</f>
        <v>-6</v>
      </c>
      <c r="GD195" s="16" t="s">
        <v>232</v>
      </c>
    </row>
    <row r="196">
      <c r="A196" s="16">
        <f>IFERROR(__xludf.DUMMYFUNCTION("""COMPUTED_VALUE"""),13224.0)</f>
        <v>13224</v>
      </c>
      <c r="B196" s="16" t="str">
        <f>IFERROR(__xludf.DUMMYFUNCTION("""COMPUTED_VALUE"""),"MJ Melendez")</f>
        <v>MJ Melendez</v>
      </c>
      <c r="C196" s="16">
        <f>IFERROR(__xludf.DUMMYFUNCTION("""COMPUTED_VALUE"""),0.0)</f>
        <v>0</v>
      </c>
      <c r="D196" s="16" t="str">
        <f>IFERROR(__xludf.DUMMYFUNCTION("""COMPUTED_VALUE"""),"L")</f>
        <v>L</v>
      </c>
      <c r="E196" s="16"/>
      <c r="F196" s="16"/>
      <c r="G196" s="16">
        <f>IFERROR(__xludf.DUMMYFUNCTION("""COMPUTED_VALUE"""),412.0)</f>
        <v>412</v>
      </c>
      <c r="H196" s="16">
        <f>IFERROR(__xludf.DUMMYFUNCTION("""COMPUTED_VALUE"""),35.0)</f>
        <v>35</v>
      </c>
      <c r="I196" s="16" t="str">
        <f>IFERROR(__xludf.DUMMYFUNCTION("""COMPUTED_VALUE"""),"1p60")</f>
        <v>1p60</v>
      </c>
      <c r="J196" s="16">
        <f>IFERROR(__xludf.DUMMYFUNCTION("""COMPUTED_VALUE"""),16.0)</f>
        <v>16</v>
      </c>
      <c r="K196" s="16">
        <f>IFERROR(__xludf.DUMMYFUNCTION("""COMPUTED_VALUE"""),32.0)</f>
        <v>32</v>
      </c>
      <c r="L196" s="16">
        <f>IFERROR(__xludf.DUMMYFUNCTION("""COMPUTED_VALUE"""),1.0)</f>
        <v>1</v>
      </c>
      <c r="M196" s="16">
        <f>IFERROR(__xludf.DUMMYFUNCTION("""COMPUTED_VALUE"""),-1.0)</f>
        <v>-1</v>
      </c>
      <c r="N196" s="16">
        <f>IFERROR(__xludf.DUMMYFUNCTION("""COMPUTED_VALUE"""),1.0)</f>
        <v>1</v>
      </c>
      <c r="O196" s="16">
        <f>IFERROR(__xludf.DUMMYFUNCTION("""COMPUTED_VALUE"""),-1.0)</f>
        <v>-1</v>
      </c>
      <c r="P196" s="16">
        <f>IFERROR(__xludf.DUMMYFUNCTION("""COMPUTED_VALUE"""),0.0)</f>
        <v>0</v>
      </c>
      <c r="Q196" s="16">
        <f>IFERROR(__xludf.DUMMYFUNCTION("""COMPUTED_VALUE"""),9.0)</f>
        <v>9</v>
      </c>
      <c r="R196" s="16">
        <f>IFERROR(__xludf.DUMMYFUNCTION("""COMPUTED_VALUE"""),-3.0)</f>
        <v>-3</v>
      </c>
      <c r="S196" s="16">
        <f>IFERROR(__xludf.DUMMYFUNCTION("""COMPUTED_VALUE"""),0.0)</f>
        <v>0</v>
      </c>
      <c r="T196" s="16">
        <f>IFERROR(__xludf.DUMMYFUNCTION("""COMPUTED_VALUE"""),-3.0)</f>
        <v>-3</v>
      </c>
      <c r="U196" s="16">
        <f>IFERROR(__xludf.DUMMYFUNCTION("""COMPUTED_VALUE"""),0.0)</f>
        <v>0</v>
      </c>
      <c r="V196" s="16">
        <f>IFERROR(__xludf.DUMMYFUNCTION("""COMPUTED_VALUE"""),6.6)</f>
        <v>6.6</v>
      </c>
      <c r="W196" s="16">
        <f>IFERROR(__xludf.DUMMYFUNCTION("""COMPUTED_VALUE"""),11.7)</f>
        <v>11.7</v>
      </c>
      <c r="X196" s="16">
        <f>IFERROR(__xludf.DUMMYFUNCTION("""COMPUTED_VALUE"""),-2.0)</f>
        <v>-2</v>
      </c>
      <c r="Y196" s="16">
        <f>IFERROR(__xludf.DUMMYFUNCTION("""COMPUTED_VALUE"""),-2.0)</f>
        <v>-2</v>
      </c>
      <c r="Z196" s="16">
        <f>IFERROR(__xludf.DUMMYFUNCTION("""COMPUTED_VALUE"""),-4.0)</f>
        <v>-4</v>
      </c>
      <c r="AA196" s="16">
        <f>IFERROR(__xludf.DUMMYFUNCTION("""COMPUTED_VALUE"""),-4.0)</f>
        <v>-4</v>
      </c>
      <c r="AB196" s="16">
        <f>IFERROR(__xludf.DUMMYFUNCTION("""COMPUTED_VALUE"""),8.6)</f>
        <v>8.6</v>
      </c>
      <c r="AC196" s="16">
        <f>IFERROR(__xludf.DUMMYFUNCTION("""COMPUTED_VALUE"""),22.7)</f>
        <v>22.7</v>
      </c>
      <c r="AD196" s="16">
        <f>IFERROR(__xludf.DUMMYFUNCTION("""COMPUTED_VALUE"""),-2.0)</f>
        <v>-2</v>
      </c>
      <c r="AE196" s="16">
        <f>IFERROR(__xludf.DUMMYFUNCTION("""COMPUTED_VALUE"""),-1.0)</f>
        <v>-1</v>
      </c>
      <c r="AF196" s="16">
        <f>IFERROR(__xludf.DUMMYFUNCTION("""COMPUTED_VALUE"""),-10.0)</f>
        <v>-10</v>
      </c>
      <c r="AG196" s="16">
        <f>IFERROR(__xludf.DUMMYFUNCTION("""COMPUTED_VALUE"""),-5.0)</f>
        <v>-5</v>
      </c>
      <c r="AH196" s="16">
        <f>IFERROR(__xludf.DUMMYFUNCTION("""COMPUTED_VALUE"""),11.9)</f>
        <v>11.9</v>
      </c>
      <c r="AI196" s="16">
        <f>IFERROR(__xludf.DUMMYFUNCTION("""COMPUTED_VALUE"""),31.4)</f>
        <v>31.4</v>
      </c>
      <c r="AJ196" s="16">
        <f>IFERROR(__xludf.DUMMYFUNCTION("""COMPUTED_VALUE"""),-2.0)</f>
        <v>-2</v>
      </c>
      <c r="AK196" s="16">
        <f>IFERROR(__xludf.DUMMYFUNCTION("""COMPUTED_VALUE"""),0.0)</f>
        <v>0</v>
      </c>
      <c r="AL196" s="16">
        <f>IFERROR(__xludf.DUMMYFUNCTION("""COMPUTED_VALUE"""),-10.0)</f>
        <v>-10</v>
      </c>
      <c r="AM196" s="16">
        <f>IFERROR(__xludf.DUMMYFUNCTION("""COMPUTED_VALUE"""),0.0)</f>
        <v>0</v>
      </c>
      <c r="AN196" s="16">
        <f>IFERROR(__xludf.DUMMYFUNCTION("""COMPUTED_VALUE"""),0.0)</f>
        <v>0</v>
      </c>
      <c r="AO196" s="16">
        <f>IFERROR(__xludf.DUMMYFUNCTION("""COMPUTED_VALUE"""),3.8)</f>
        <v>3.8</v>
      </c>
      <c r="AP196" s="16">
        <f>IFERROR(__xludf.DUMMYFUNCTION("""COMPUTED_VALUE"""),-2.0)</f>
        <v>-2</v>
      </c>
      <c r="AQ196" s="16">
        <f>IFERROR(__xludf.DUMMYFUNCTION("""COMPUTED_VALUE"""),2.0)</f>
        <v>2</v>
      </c>
      <c r="AR196" s="16">
        <f>IFERROR(__xludf.DUMMYFUNCTION("""COMPUTED_VALUE"""),-4.0)</f>
        <v>-4</v>
      </c>
      <c r="AS196" s="16">
        <f>IFERROR(__xludf.DUMMYFUNCTION("""COMPUTED_VALUE"""),4.0)</f>
        <v>4</v>
      </c>
      <c r="AT196" s="16"/>
      <c r="AU196" s="16">
        <f>IFERROR(__xludf.DUMMYFUNCTION("""COMPUTED_VALUE"""),7.0)</f>
        <v>7</v>
      </c>
      <c r="AV196" s="16">
        <f>IFERROR(__xludf.DUMMYFUNCTION("""COMPUTED_VALUE"""),-3.0)</f>
        <v>-3</v>
      </c>
      <c r="AW196" s="16">
        <f>IFERROR(__xludf.DUMMYFUNCTION("""COMPUTED_VALUE"""),7.0)</f>
        <v>7</v>
      </c>
      <c r="AX196" s="16">
        <f>IFERROR(__xludf.DUMMYFUNCTION("""COMPUTED_VALUE"""),-3.0)</f>
        <v>-3</v>
      </c>
      <c r="AY196" s="16">
        <f>IFERROR(__xludf.DUMMYFUNCTION("""COMPUTED_VALUE"""),3.0)</f>
        <v>3</v>
      </c>
      <c r="AZ196" s="16">
        <f>IFERROR(__xludf.DUMMYFUNCTION("""COMPUTED_VALUE"""),-9.0)</f>
        <v>-9</v>
      </c>
      <c r="BA196" s="16">
        <f>IFERROR(__xludf.DUMMYFUNCTION("""COMPUTED_VALUE"""),9.0)</f>
        <v>9</v>
      </c>
      <c r="BB196" s="16">
        <f>IFERROR(__xludf.DUMMYFUNCTION("""COMPUTED_VALUE"""),5.0)</f>
        <v>5</v>
      </c>
      <c r="BC196" s="16">
        <f>IFERROR(__xludf.DUMMYFUNCTION("""COMPUTED_VALUE"""),5.0)</f>
        <v>5</v>
      </c>
      <c r="BD196" s="16">
        <f>IFERROR(__xludf.DUMMYFUNCTION("""COMPUTED_VALUE"""),1.0)</f>
        <v>1</v>
      </c>
      <c r="BE196" s="16">
        <f>IFERROR(__xludf.DUMMYFUNCTION("""COMPUTED_VALUE"""),1.0)</f>
        <v>1</v>
      </c>
      <c r="BF196" s="16">
        <f>IFERROR(__xludf.DUMMYFUNCTION("""COMPUTED_VALUE"""),1.0)</f>
        <v>1</v>
      </c>
      <c r="BG196" s="16">
        <f>IFERROR(__xludf.DUMMYFUNCTION("""COMPUTED_VALUE"""),1.0)</f>
        <v>1</v>
      </c>
      <c r="BH196" s="16">
        <f>IFERROR(__xludf.DUMMYFUNCTION("""COMPUTED_VALUE"""),-2.0)</f>
        <v>-2</v>
      </c>
      <c r="BI196" s="16">
        <f>IFERROR(__xludf.DUMMYFUNCTION("""COMPUTED_VALUE"""),0.0)</f>
        <v>0</v>
      </c>
      <c r="BJ196" s="16">
        <f>IFERROR(__xludf.DUMMYFUNCTION("""COMPUTED_VALUE"""),3.0)</f>
        <v>3</v>
      </c>
      <c r="BK196" s="16">
        <f>IFERROR(__xludf.DUMMYFUNCTION("""COMPUTED_VALUE"""),2.0)</f>
        <v>2</v>
      </c>
      <c r="BL196" s="16">
        <f>IFERROR(__xludf.DUMMYFUNCTION("""COMPUTED_VALUE"""),2.0)</f>
        <v>2</v>
      </c>
      <c r="BM196" s="16">
        <f>IFERROR(__xludf.DUMMYFUNCTION("""COMPUTED_VALUE"""),2.0)</f>
        <v>2</v>
      </c>
      <c r="BN196" s="16">
        <f>IFERROR(__xludf.DUMMYFUNCTION("""COMPUTED_VALUE"""),2.0)</f>
        <v>2</v>
      </c>
      <c r="BO196" s="16">
        <f>IFERROR(__xludf.DUMMYFUNCTION("""COMPUTED_VALUE"""),2.0)</f>
        <v>2</v>
      </c>
      <c r="BP196" s="16">
        <f>IFERROR(__xludf.DUMMYFUNCTION("""COMPUTED_VALUE"""),-10.0)</f>
        <v>-10</v>
      </c>
      <c r="BQ196" s="16">
        <f>IFERROR(__xludf.DUMMYFUNCTION("""COMPUTED_VALUE"""),4.0)</f>
        <v>4</v>
      </c>
      <c r="BR196" s="16">
        <f>IFERROR(__xludf.DUMMYFUNCTION("""COMPUTED_VALUE"""),-6.0)</f>
        <v>-6</v>
      </c>
      <c r="BS196" s="16" t="str">
        <f>IFERROR(__xludf.DUMMYFUNCTION("""COMPUTED_VALUE"""),"2-6/9 (13-7)")</f>
        <v>2-6/9 (13-7)</v>
      </c>
      <c r="BT196" s="16" t="str">
        <f>IFERROR(__xludf.DUMMYFUNCTION("""COMPUTED_VALUE"""),"D")</f>
        <v>D</v>
      </c>
      <c r="BU196" s="16">
        <f>IFERROR(__xludf.DUMMYFUNCTION("""COMPUTED_VALUE"""),13.0)</f>
        <v>13</v>
      </c>
      <c r="BV196" s="16">
        <f>IFERROR(__xludf.DUMMYFUNCTION("""COMPUTED_VALUE"""),0.0)</f>
        <v>0</v>
      </c>
      <c r="BW196" s="16">
        <f>IFERROR(__xludf.DUMMYFUNCTION("""COMPUTED_VALUE"""),1.0)</f>
        <v>1</v>
      </c>
      <c r="BX196" s="16">
        <f>IFERROR(__xludf.DUMMYFUNCTION("""COMPUTED_VALUE"""),0.0)</f>
        <v>0</v>
      </c>
      <c r="BY196" s="16">
        <f>IFERROR(__xludf.DUMMYFUNCTION("""COMPUTED_VALUE"""),3.0)</f>
        <v>3</v>
      </c>
      <c r="BZ196" s="16" t="str">
        <f>IFERROR(__xludf.DUMMYFUNCTION("""COMPUTED_VALUE"""),"D")</f>
        <v>D</v>
      </c>
      <c r="CA196" s="16" t="str">
        <f>IFERROR(__xludf.DUMMYFUNCTION("""COMPUTED_VALUE"""),"D")</f>
        <v>D</v>
      </c>
      <c r="CB196" s="16">
        <f>IFERROR(__xludf.DUMMYFUNCTION("""COMPUTED_VALUE"""),0.0)</f>
        <v>0</v>
      </c>
      <c r="CC196" s="16">
        <f>IFERROR(__xludf.DUMMYFUNCTION("""COMPUTED_VALUE"""),0.0)</f>
        <v>0</v>
      </c>
      <c r="CD196" s="16">
        <f>IFERROR(__xludf.DUMMYFUNCTION("""COMPUTED_VALUE"""),0.0)</f>
        <v>0</v>
      </c>
      <c r="CE196" s="16">
        <f>IFERROR(__xludf.DUMMYFUNCTION("""COMPUTED_VALUE"""),0.0)</f>
        <v>0</v>
      </c>
      <c r="CF196" s="16">
        <f>IFERROR(__xludf.DUMMYFUNCTION("""COMPUTED_VALUE"""),1.0)</f>
        <v>1</v>
      </c>
      <c r="CG196" s="16">
        <f>IFERROR(__xludf.DUMMYFUNCTION("""COMPUTED_VALUE"""),-36.0)</f>
        <v>-36</v>
      </c>
      <c r="CH196" s="16">
        <f>IFERROR(__xludf.DUMMYFUNCTION("""COMPUTED_VALUE"""),6.0)</f>
        <v>6</v>
      </c>
      <c r="CI196" s="179">
        <f>IFERROR(__xludf.DUMMYFUNCTION("""COMPUTED_VALUE"""),1.0)</f>
        <v>1</v>
      </c>
      <c r="CJ196" s="16"/>
      <c r="CK196" s="16">
        <f>IFERROR(__xludf.DUMMYFUNCTION("""COMPUTED_VALUE"""),425.0)</f>
        <v>425</v>
      </c>
      <c r="CL196" s="16"/>
      <c r="CM196" s="16"/>
      <c r="CN196" s="16"/>
      <c r="CO196" s="16">
        <f>IFERROR(__xludf.DUMMYFUNCTION("""COMPUTED_VALUE"""),403.0)</f>
        <v>403</v>
      </c>
      <c r="CP196" s="16"/>
      <c r="CQ196" s="16">
        <f>IFERROR(__xludf.DUMMYFUNCTION("""COMPUTED_VALUE"""),403.0)</f>
        <v>403</v>
      </c>
      <c r="CR196" s="16" t="str">
        <f>IFERROR(__xludf.DUMMYFUNCTION("""COMPUTED_VALUE"""),"lf-4(-1)e3 rf-4e3 1b-4e25")</f>
        <v>lf-4(-1)e3 rf-4e3 1b-4e25</v>
      </c>
      <c r="CS196" s="16"/>
      <c r="CT196" s="16">
        <f>IFERROR(__xludf.DUMMYFUNCTION("""COMPUTED_VALUE"""),4.0)</f>
        <v>4</v>
      </c>
      <c r="CU196" s="16"/>
      <c r="CV196" s="16"/>
      <c r="CW196" s="16"/>
      <c r="CX196" s="16">
        <f>IFERROR(__xludf.DUMMYFUNCTION("""COMPUTED_VALUE"""),4.0)</f>
        <v>4</v>
      </c>
      <c r="CY196" s="16"/>
      <c r="CZ196" s="16">
        <f>IFERROR(__xludf.DUMMYFUNCTION("""COMPUTED_VALUE"""),4.0)</f>
        <v>4</v>
      </c>
      <c r="DA196" s="16"/>
      <c r="DB196" s="16">
        <f>IFERROR(__xludf.DUMMYFUNCTION("""COMPUTED_VALUE"""),25.0)</f>
        <v>25</v>
      </c>
      <c r="DC196" s="16"/>
      <c r="DD196" s="16"/>
      <c r="DE196" s="16"/>
      <c r="DF196" s="16">
        <f>IFERROR(__xludf.DUMMYFUNCTION("""COMPUTED_VALUE"""),3.0)</f>
        <v>3</v>
      </c>
      <c r="DG196" s="16"/>
      <c r="DH196" s="16">
        <f>IFERROR(__xludf.DUMMYFUNCTION("""COMPUTED_VALUE"""),3.0)</f>
        <v>3</v>
      </c>
      <c r="DI196" s="16"/>
      <c r="DJ196" s="16">
        <f>IFERROR(__xludf.DUMMYFUNCTION("""COMPUTED_VALUE"""),0.0)</f>
        <v>0</v>
      </c>
      <c r="DK196" s="16"/>
      <c r="DL196" s="16"/>
      <c r="DM196" s="16"/>
      <c r="DN196" s="16">
        <f>IFERROR(__xludf.DUMMYFUNCTION("""COMPUTED_VALUE"""),-1.0)</f>
        <v>-1</v>
      </c>
      <c r="DO196" s="16"/>
      <c r="DP196" s="16">
        <f>IFERROR(__xludf.DUMMYFUNCTION("""COMPUTED_VALUE"""),-1.0)</f>
        <v>-1</v>
      </c>
      <c r="DQ196" s="16"/>
      <c r="DR196" s="16">
        <f>IFERROR(__xludf.DUMMYFUNCTION("""COMPUTED_VALUE"""),-2.0)</f>
        <v>-2</v>
      </c>
      <c r="DS196" s="16"/>
      <c r="DT196" s="16"/>
      <c r="DU196" s="16"/>
      <c r="DV196" s="16">
        <f>IFERROR(__xludf.DUMMYFUNCTION("""COMPUTED_VALUE"""),4.0)</f>
        <v>4</v>
      </c>
      <c r="DW196" s="16"/>
      <c r="DX196" s="16">
        <f>IFERROR(__xludf.DUMMYFUNCTION("""COMPUTED_VALUE"""),4.0)</f>
        <v>4</v>
      </c>
      <c r="DY196" s="16"/>
      <c r="DZ196" s="16">
        <f>IFERROR(__xludf.DUMMYFUNCTION("""COMPUTED_VALUE"""),-2.0)</f>
        <v>-2</v>
      </c>
      <c r="EA196" s="16"/>
      <c r="EB196" s="16"/>
      <c r="EC196" s="16"/>
      <c r="ED196" s="16">
        <f>IFERROR(__xludf.DUMMYFUNCTION("""COMPUTED_VALUE"""),3.0)</f>
        <v>3</v>
      </c>
      <c r="EE196" s="16"/>
      <c r="EF196" s="16">
        <f>IFERROR(__xludf.DUMMYFUNCTION("""COMPUTED_VALUE"""),3.0)</f>
        <v>3</v>
      </c>
      <c r="EG196" s="179"/>
      <c r="EH196" s="179">
        <f>IFERROR(__xludf.DUMMYFUNCTION("""COMPUTED_VALUE"""),-1.0)</f>
        <v>-1</v>
      </c>
      <c r="EI196" s="179"/>
      <c r="EJ196" s="179"/>
      <c r="EK196" s="179"/>
      <c r="EL196" s="179">
        <f>IFERROR(__xludf.DUMMYFUNCTION("""COMPUTED_VALUE"""),4.0)</f>
        <v>4</v>
      </c>
      <c r="EM196" s="179"/>
      <c r="EN196" s="179">
        <f>IFERROR(__xludf.DUMMYFUNCTION("""COMPUTED_VALUE"""),4.0)</f>
        <v>4</v>
      </c>
      <c r="EO196" s="16"/>
      <c r="EP196" s="16"/>
      <c r="EQ196" s="16">
        <f>IFERROR(__xludf.DUMMYFUNCTION("""COMPUTED_VALUE"""),4.0)</f>
        <v>4</v>
      </c>
      <c r="ER196" s="16">
        <f>IFERROR(__xludf.DUMMYFUNCTION("""COMPUTED_VALUE"""),1.0)</f>
        <v>1</v>
      </c>
      <c r="ES196" s="16"/>
      <c r="ET196" s="16"/>
      <c r="EU196" s="16"/>
      <c r="EV196" s="16"/>
      <c r="EW196" s="16"/>
      <c r="EX196" s="180"/>
      <c r="EY196" s="180">
        <f>IFERROR(__xludf.DUMMYFUNCTION("""COMPUTED_VALUE"""),0.3)</f>
        <v>0.3</v>
      </c>
      <c r="EZ196" s="180"/>
      <c r="FA196" s="180"/>
      <c r="FB196" s="180"/>
      <c r="FC196" s="180">
        <f>IFERROR(__xludf.DUMMYFUNCTION("""COMPUTED_VALUE"""),0.55)</f>
        <v>0.55</v>
      </c>
      <c r="FD196" s="180"/>
      <c r="FE196" s="180">
        <f>IFERROR(__xludf.DUMMYFUNCTION("""COMPUTED_VALUE"""),0.55)</f>
        <v>0.55</v>
      </c>
      <c r="FF196" s="180"/>
      <c r="FG196" s="180">
        <f>IFERROR(__xludf.DUMMYFUNCTION("""COMPUTED_VALUE"""),0.44907407407407407)</f>
        <v>0.4490740741</v>
      </c>
      <c r="FH196" s="180"/>
      <c r="FI196" s="180"/>
      <c r="FJ196" s="180"/>
      <c r="FK196" s="180">
        <f>IFERROR(__xludf.DUMMYFUNCTION("""COMPUTED_VALUE"""),0.056)</f>
        <v>0.056</v>
      </c>
      <c r="FL196" s="180"/>
      <c r="FM196" s="180">
        <f>IFERROR(__xludf.DUMMYFUNCTION("""COMPUTED_VALUE"""),0.056)</f>
        <v>0.056</v>
      </c>
      <c r="FN196" s="16"/>
      <c r="FO196" s="16">
        <f>IFERROR(__xludf.DUMMYFUNCTION("""COMPUTED_VALUE"""),0.38564814814814813)</f>
        <v>0.3856481481</v>
      </c>
      <c r="FP196" s="16"/>
      <c r="FQ196" s="16"/>
      <c r="FR196" s="16"/>
      <c r="FS196" s="16">
        <f>IFERROR(__xludf.DUMMYFUNCTION("""COMPUTED_VALUE"""),0.42479999999999996)</f>
        <v>0.4248</v>
      </c>
      <c r="FT196" s="16"/>
      <c r="FU196" s="16">
        <f>IFERROR(__xludf.DUMMYFUNCTION("""COMPUTED_VALUE"""),0.42479999999999996)</f>
        <v>0.4248</v>
      </c>
      <c r="FV196" s="16"/>
      <c r="FW196" s="16">
        <f>IFERROR(__xludf.DUMMYFUNCTION("""COMPUTED_VALUE"""),-8.0)</f>
        <v>-8</v>
      </c>
      <c r="FX196" s="16"/>
      <c r="FY196" s="16"/>
      <c r="FZ196" s="16"/>
      <c r="GA196" s="16">
        <f>IFERROR(__xludf.DUMMYFUNCTION("""COMPUTED_VALUE"""),-8.0)</f>
        <v>-8</v>
      </c>
      <c r="GB196" s="16"/>
      <c r="GC196" s="16">
        <f>IFERROR(__xludf.DUMMYFUNCTION("""COMPUTED_VALUE"""),-8.0)</f>
        <v>-8</v>
      </c>
      <c r="GD196" s="16" t="s">
        <v>176</v>
      </c>
    </row>
    <row r="197">
      <c r="A197" s="16">
        <f>IFERROR(__xludf.DUMMYFUNCTION("""COMPUTED_VALUE"""),12946.0)</f>
        <v>12946</v>
      </c>
      <c r="B197" s="16" t="str">
        <f>IFERROR(__xludf.DUMMYFUNCTION("""COMPUTED_VALUE"""),"Jeff McNeil")</f>
        <v>Jeff McNeil</v>
      </c>
      <c r="C197" s="16">
        <f>IFERROR(__xludf.DUMMYFUNCTION("""COMPUTED_VALUE"""),0.98)</f>
        <v>0.98</v>
      </c>
      <c r="D197" s="16" t="str">
        <f>IFERROR(__xludf.DUMMYFUNCTION("""COMPUTED_VALUE"""),"L")</f>
        <v>L</v>
      </c>
      <c r="E197" s="16"/>
      <c r="F197" s="16"/>
      <c r="G197" s="16">
        <f>IFERROR(__xludf.DUMMYFUNCTION("""COMPUTED_VALUE"""),424.0)</f>
        <v>424</v>
      </c>
      <c r="H197" s="16">
        <f>IFERROR(__xludf.DUMMYFUNCTION("""COMPUTED_VALUE"""),35.0)</f>
        <v>35</v>
      </c>
      <c r="I197" s="16" t="str">
        <f>IFERROR(__xludf.DUMMYFUNCTION("""COMPUTED_VALUE"""),"3p60")</f>
        <v>3p60</v>
      </c>
      <c r="J197" s="16">
        <f>IFERROR(__xludf.DUMMYFUNCTION("""COMPUTED_VALUE"""),4.0)</f>
        <v>4</v>
      </c>
      <c r="K197" s="16">
        <f>IFERROR(__xludf.DUMMYFUNCTION("""COMPUTED_VALUE"""),8.0)</f>
        <v>8</v>
      </c>
      <c r="L197" s="16">
        <f>IFERROR(__xludf.DUMMYFUNCTION("""COMPUTED_VALUE"""),2.0)</f>
        <v>2</v>
      </c>
      <c r="M197" s="16">
        <f>IFERROR(__xludf.DUMMYFUNCTION("""COMPUTED_VALUE"""),2.0)</f>
        <v>2</v>
      </c>
      <c r="N197" s="16">
        <f>IFERROR(__xludf.DUMMYFUNCTION("""COMPUTED_VALUE"""),2.0)</f>
        <v>2</v>
      </c>
      <c r="O197" s="16">
        <f>IFERROR(__xludf.DUMMYFUNCTION("""COMPUTED_VALUE"""),2.0)</f>
        <v>2</v>
      </c>
      <c r="P197" s="16">
        <f>IFERROR(__xludf.DUMMYFUNCTION("""COMPUTED_VALUE"""),3.0)</f>
        <v>3</v>
      </c>
      <c r="Q197" s="16">
        <f>IFERROR(__xludf.DUMMYFUNCTION("""COMPUTED_VALUE"""),7.0)</f>
        <v>7</v>
      </c>
      <c r="R197" s="16">
        <f>IFERROR(__xludf.DUMMYFUNCTION("""COMPUTED_VALUE"""),-2.0)</f>
        <v>-2</v>
      </c>
      <c r="S197" s="16">
        <f>IFERROR(__xludf.DUMMYFUNCTION("""COMPUTED_VALUE"""),-1.0)</f>
        <v>-1</v>
      </c>
      <c r="T197" s="16">
        <f>IFERROR(__xludf.DUMMYFUNCTION("""COMPUTED_VALUE"""),-2.0)</f>
        <v>-2</v>
      </c>
      <c r="U197" s="16">
        <f>IFERROR(__xludf.DUMMYFUNCTION("""COMPUTED_VALUE"""),-1.0)</f>
        <v>-1</v>
      </c>
      <c r="V197" s="16">
        <f>IFERROR(__xludf.DUMMYFUNCTION("""COMPUTED_VALUE"""),21.5)</f>
        <v>21.5</v>
      </c>
      <c r="W197" s="16">
        <f>IFERROR(__xludf.DUMMYFUNCTION("""COMPUTED_VALUE"""),20.0)</f>
        <v>20</v>
      </c>
      <c r="X197" s="16">
        <f>IFERROR(__xludf.DUMMYFUNCTION("""COMPUTED_VALUE"""),0.0)</f>
        <v>0</v>
      </c>
      <c r="Y197" s="16">
        <f>IFERROR(__xludf.DUMMYFUNCTION("""COMPUTED_VALUE"""),0.0)</f>
        <v>0</v>
      </c>
      <c r="Z197" s="16">
        <f>IFERROR(__xludf.DUMMYFUNCTION("""COMPUTED_VALUE"""),0.0)</f>
        <v>0</v>
      </c>
      <c r="AA197" s="16">
        <f>IFERROR(__xludf.DUMMYFUNCTION("""COMPUTED_VALUE"""),0.0)</f>
        <v>0</v>
      </c>
      <c r="AB197" s="16">
        <f>IFERROR(__xludf.DUMMYFUNCTION("""COMPUTED_VALUE"""),29.5)</f>
        <v>29.5</v>
      </c>
      <c r="AC197" s="16">
        <f>IFERROR(__xludf.DUMMYFUNCTION("""COMPUTED_VALUE"""),32.0)</f>
        <v>32</v>
      </c>
      <c r="AD197" s="16">
        <f>IFERROR(__xludf.DUMMYFUNCTION("""COMPUTED_VALUE"""),0.0)</f>
        <v>0</v>
      </c>
      <c r="AE197" s="16">
        <f>IFERROR(__xludf.DUMMYFUNCTION("""COMPUTED_VALUE"""),0.0)</f>
        <v>0</v>
      </c>
      <c r="AF197" s="16">
        <f>IFERROR(__xludf.DUMMYFUNCTION("""COMPUTED_VALUE"""),0.0)</f>
        <v>0</v>
      </c>
      <c r="AG197" s="16">
        <f>IFERROR(__xludf.DUMMYFUNCTION("""COMPUTED_VALUE"""),0.0)</f>
        <v>0</v>
      </c>
      <c r="AH197" s="16">
        <f>IFERROR(__xludf.DUMMYFUNCTION("""COMPUTED_VALUE"""),29.1)</f>
        <v>29.1</v>
      </c>
      <c r="AI197" s="16">
        <f>IFERROR(__xludf.DUMMYFUNCTION("""COMPUTED_VALUE"""),32.7)</f>
        <v>32.7</v>
      </c>
      <c r="AJ197" s="16">
        <f>IFERROR(__xludf.DUMMYFUNCTION("""COMPUTED_VALUE"""),0.0)</f>
        <v>0</v>
      </c>
      <c r="AK197" s="16">
        <f>IFERROR(__xludf.DUMMYFUNCTION("""COMPUTED_VALUE"""),0.0)</f>
        <v>0</v>
      </c>
      <c r="AL197" s="16">
        <f>IFERROR(__xludf.DUMMYFUNCTION("""COMPUTED_VALUE"""),0.0)</f>
        <v>0</v>
      </c>
      <c r="AM197" s="16">
        <f>IFERROR(__xludf.DUMMYFUNCTION("""COMPUTED_VALUE"""),0.0)</f>
        <v>0</v>
      </c>
      <c r="AN197" s="16">
        <f>IFERROR(__xludf.DUMMYFUNCTION("""COMPUTED_VALUE"""),1.0)</f>
        <v>1</v>
      </c>
      <c r="AO197" s="16">
        <f>IFERROR(__xludf.DUMMYFUNCTION("""COMPUTED_VALUE"""),1.8)</f>
        <v>1.8</v>
      </c>
      <c r="AP197" s="16">
        <f>IFERROR(__xludf.DUMMYFUNCTION("""COMPUTED_VALUE"""),-2.0)</f>
        <v>-2</v>
      </c>
      <c r="AQ197" s="16">
        <f>IFERROR(__xludf.DUMMYFUNCTION("""COMPUTED_VALUE"""),-1.0)</f>
        <v>-1</v>
      </c>
      <c r="AR197" s="16">
        <f>IFERROR(__xludf.DUMMYFUNCTION("""COMPUTED_VALUE"""),-4.0)</f>
        <v>-4</v>
      </c>
      <c r="AS197" s="16">
        <f>IFERROR(__xludf.DUMMYFUNCTION("""COMPUTED_VALUE"""),-2.0)</f>
        <v>-2</v>
      </c>
      <c r="AT197" s="16">
        <f>IFERROR(__xludf.DUMMYFUNCTION("""COMPUTED_VALUE"""),1.0)</f>
        <v>1</v>
      </c>
      <c r="AU197" s="16">
        <f>IFERROR(__xludf.DUMMYFUNCTION("""COMPUTED_VALUE"""),2.0)</f>
        <v>2</v>
      </c>
      <c r="AV197" s="16">
        <f>IFERROR(__xludf.DUMMYFUNCTION("""COMPUTED_VALUE"""),1.0)</f>
        <v>1</v>
      </c>
      <c r="AW197" s="16">
        <f>IFERROR(__xludf.DUMMYFUNCTION("""COMPUTED_VALUE"""),2.0)</f>
        <v>2</v>
      </c>
      <c r="AX197" s="16">
        <f>IFERROR(__xludf.DUMMYFUNCTION("""COMPUTED_VALUE"""),-1.0)</f>
        <v>-1</v>
      </c>
      <c r="AY197" s="16">
        <f>IFERROR(__xludf.DUMMYFUNCTION("""COMPUTED_VALUE"""),0.0)</f>
        <v>0</v>
      </c>
      <c r="AZ197" s="16">
        <f>IFERROR(__xludf.DUMMYFUNCTION("""COMPUTED_VALUE"""),-3.0)</f>
        <v>-3</v>
      </c>
      <c r="BA197" s="16">
        <f>IFERROR(__xludf.DUMMYFUNCTION("""COMPUTED_VALUE"""),0.0)</f>
        <v>0</v>
      </c>
      <c r="BB197" s="16">
        <f>IFERROR(__xludf.DUMMYFUNCTION("""COMPUTED_VALUE"""),5.0)</f>
        <v>5</v>
      </c>
      <c r="BC197" s="16">
        <f>IFERROR(__xludf.DUMMYFUNCTION("""COMPUTED_VALUE"""),5.0)</f>
        <v>5</v>
      </c>
      <c r="BD197" s="16">
        <f>IFERROR(__xludf.DUMMYFUNCTION("""COMPUTED_VALUE"""),1.0)</f>
        <v>1</v>
      </c>
      <c r="BE197" s="16">
        <f>IFERROR(__xludf.DUMMYFUNCTION("""COMPUTED_VALUE"""),1.0)</f>
        <v>1</v>
      </c>
      <c r="BF197" s="16">
        <f>IFERROR(__xludf.DUMMYFUNCTION("""COMPUTED_VALUE"""),1.0)</f>
        <v>1</v>
      </c>
      <c r="BG197" s="16">
        <f>IFERROR(__xludf.DUMMYFUNCTION("""COMPUTED_VALUE"""),1.0)</f>
        <v>1</v>
      </c>
      <c r="BH197" s="16">
        <f>IFERROR(__xludf.DUMMYFUNCTION("""COMPUTED_VALUE"""),-12.0)</f>
        <v>-12</v>
      </c>
      <c r="BI197" s="16">
        <f>IFERROR(__xludf.DUMMYFUNCTION("""COMPUTED_VALUE"""),-8.0)</f>
        <v>-8</v>
      </c>
      <c r="BJ197" s="16">
        <f>IFERROR(__xludf.DUMMYFUNCTION("""COMPUTED_VALUE"""),9.0)</f>
        <v>9</v>
      </c>
      <c r="BK197" s="16">
        <f>IFERROR(__xludf.DUMMYFUNCTION("""COMPUTED_VALUE"""),8.0)</f>
        <v>8</v>
      </c>
      <c r="BL197" s="16">
        <f>IFERROR(__xludf.DUMMYFUNCTION("""COMPUTED_VALUE"""),0.0)</f>
        <v>0</v>
      </c>
      <c r="BM197" s="16">
        <f>IFERROR(__xludf.DUMMYFUNCTION("""COMPUTED_VALUE"""),1.0)</f>
        <v>1</v>
      </c>
      <c r="BN197" s="16">
        <f>IFERROR(__xludf.DUMMYFUNCTION("""COMPUTED_VALUE"""),0.0)</f>
        <v>0</v>
      </c>
      <c r="BO197" s="16">
        <f>IFERROR(__xludf.DUMMYFUNCTION("""COMPUTED_VALUE"""),1.0)</f>
        <v>1</v>
      </c>
      <c r="BP197" s="16">
        <f>IFERROR(__xludf.DUMMYFUNCTION("""COMPUTED_VALUE"""),-2.0)</f>
        <v>-2</v>
      </c>
      <c r="BQ197" s="16">
        <f>IFERROR(__xludf.DUMMYFUNCTION("""COMPUTED_VALUE"""),2.0)</f>
        <v>2</v>
      </c>
      <c r="BR197" s="16">
        <f>IFERROR(__xludf.DUMMYFUNCTION("""COMPUTED_VALUE"""),0.0)</f>
        <v>0</v>
      </c>
      <c r="BS197" s="16" t="str">
        <f>IFERROR(__xludf.DUMMYFUNCTION("""COMPUTED_VALUE"""),"4/- (17-6)")</f>
        <v>4/- (17-6)</v>
      </c>
      <c r="BT197" s="16" t="str">
        <f>IFERROR(__xludf.DUMMYFUNCTION("""COMPUTED_VALUE"""),"C")</f>
        <v>C</v>
      </c>
      <c r="BU197" s="16">
        <f>IFERROR(__xludf.DUMMYFUNCTION("""COMPUTED_VALUE"""),12.0)</f>
        <v>12</v>
      </c>
      <c r="BV197" s="16">
        <f>IFERROR(__xludf.DUMMYFUNCTION("""COMPUTED_VALUE"""),0.0)</f>
        <v>0</v>
      </c>
      <c r="BW197" s="16">
        <f>IFERROR(__xludf.DUMMYFUNCTION("""COMPUTED_VALUE"""),0.0)</f>
        <v>0</v>
      </c>
      <c r="BX197" s="16">
        <f>IFERROR(__xludf.DUMMYFUNCTION("""COMPUTED_VALUE"""),0.0)</f>
        <v>0</v>
      </c>
      <c r="BY197" s="16">
        <f>IFERROR(__xludf.DUMMYFUNCTION("""COMPUTED_VALUE"""),0.0)</f>
        <v>0</v>
      </c>
      <c r="BZ197" s="16" t="str">
        <f>IFERROR(__xludf.DUMMYFUNCTION("""COMPUTED_VALUE"""),"C")</f>
        <v>C</v>
      </c>
      <c r="CA197" s="16" t="str">
        <f>IFERROR(__xludf.DUMMYFUNCTION("""COMPUTED_VALUE"""),"C")</f>
        <v>C</v>
      </c>
      <c r="CB197" s="16">
        <f>IFERROR(__xludf.DUMMYFUNCTION("""COMPUTED_VALUE"""),0.0)</f>
        <v>0</v>
      </c>
      <c r="CC197" s="16">
        <f>IFERROR(__xludf.DUMMYFUNCTION("""COMPUTED_VALUE"""),0.0)</f>
        <v>0</v>
      </c>
      <c r="CD197" s="16">
        <f>IFERROR(__xludf.DUMMYFUNCTION("""COMPUTED_VALUE"""),0.0)</f>
        <v>0</v>
      </c>
      <c r="CE197" s="16">
        <f>IFERROR(__xludf.DUMMYFUNCTION("""COMPUTED_VALUE"""),0.0)</f>
        <v>0</v>
      </c>
      <c r="CF197" s="16">
        <f>IFERROR(__xludf.DUMMYFUNCTION("""COMPUTED_VALUE"""),3.0)</f>
        <v>3</v>
      </c>
      <c r="CG197" s="16">
        <f>IFERROR(__xludf.DUMMYFUNCTION("""COMPUTED_VALUE"""),-6.0)</f>
        <v>-6</v>
      </c>
      <c r="CH197" s="16">
        <f>IFERROR(__xludf.DUMMYFUNCTION("""COMPUTED_VALUE"""),1.0)</f>
        <v>1</v>
      </c>
      <c r="CI197" s="179">
        <f>IFERROR(__xludf.DUMMYFUNCTION("""COMPUTED_VALUE"""),1.0)</f>
        <v>1</v>
      </c>
      <c r="CJ197" s="16"/>
      <c r="CK197" s="16"/>
      <c r="CL197" s="16">
        <f>IFERROR(__xludf.DUMMYFUNCTION("""COMPUTED_VALUE"""),212.0)</f>
        <v>212</v>
      </c>
      <c r="CM197" s="16"/>
      <c r="CN197" s="16"/>
      <c r="CO197" s="16">
        <f>IFERROR(__xludf.DUMMYFUNCTION("""COMPUTED_VALUE"""),316.0)</f>
        <v>316</v>
      </c>
      <c r="CP197" s="16"/>
      <c r="CQ197" s="16">
        <f>IFERROR(__xludf.DUMMYFUNCTION("""COMPUTED_VALUE"""),316.0)</f>
        <v>316</v>
      </c>
      <c r="CR197" s="16" t="str">
        <f>IFERROR(__xludf.DUMMYFUNCTION("""COMPUTED_VALUE"""),"2b-2e12 rf-3(+2)e16 lf-3e16")</f>
        <v>2b-2e12 rf-3(+2)e16 lf-3e16</v>
      </c>
      <c r="CS197" s="16"/>
      <c r="CT197" s="16"/>
      <c r="CU197" s="16">
        <f>IFERROR(__xludf.DUMMYFUNCTION("""COMPUTED_VALUE"""),2.0)</f>
        <v>2</v>
      </c>
      <c r="CV197" s="16"/>
      <c r="CW197" s="16"/>
      <c r="CX197" s="16">
        <f>IFERROR(__xludf.DUMMYFUNCTION("""COMPUTED_VALUE"""),3.0)</f>
        <v>3</v>
      </c>
      <c r="CY197" s="16"/>
      <c r="CZ197" s="16">
        <f>IFERROR(__xludf.DUMMYFUNCTION("""COMPUTED_VALUE"""),3.0)</f>
        <v>3</v>
      </c>
      <c r="DA197" s="16"/>
      <c r="DB197" s="16"/>
      <c r="DC197" s="16">
        <f>IFERROR(__xludf.DUMMYFUNCTION("""COMPUTED_VALUE"""),12.0)</f>
        <v>12</v>
      </c>
      <c r="DD197" s="16"/>
      <c r="DE197" s="16"/>
      <c r="DF197" s="16">
        <f>IFERROR(__xludf.DUMMYFUNCTION("""COMPUTED_VALUE"""),16.0)</f>
        <v>16</v>
      </c>
      <c r="DG197" s="16"/>
      <c r="DH197" s="16">
        <f>IFERROR(__xludf.DUMMYFUNCTION("""COMPUTED_VALUE"""),16.0)</f>
        <v>16</v>
      </c>
      <c r="DI197" s="16"/>
      <c r="DJ197" s="16"/>
      <c r="DK197" s="16">
        <f>IFERROR(__xludf.DUMMYFUNCTION("""COMPUTED_VALUE"""),2.0)</f>
        <v>2</v>
      </c>
      <c r="DL197" s="16"/>
      <c r="DM197" s="16"/>
      <c r="DN197" s="16">
        <f>IFERROR(__xludf.DUMMYFUNCTION("""COMPUTED_VALUE"""),0.0)</f>
        <v>0</v>
      </c>
      <c r="DO197" s="16"/>
      <c r="DP197" s="16">
        <f>IFERROR(__xludf.DUMMYFUNCTION("""COMPUTED_VALUE"""),0.0)</f>
        <v>0</v>
      </c>
      <c r="DQ197" s="16"/>
      <c r="DR197" s="16"/>
      <c r="DS197" s="16">
        <f>IFERROR(__xludf.DUMMYFUNCTION("""COMPUTED_VALUE"""),2.0)</f>
        <v>2</v>
      </c>
      <c r="DT197" s="16"/>
      <c r="DU197" s="16"/>
      <c r="DV197" s="16">
        <f>IFERROR(__xludf.DUMMYFUNCTION("""COMPUTED_VALUE"""),-2.0)</f>
        <v>-2</v>
      </c>
      <c r="DW197" s="16"/>
      <c r="DX197" s="16">
        <f>IFERROR(__xludf.DUMMYFUNCTION("""COMPUTED_VALUE"""),-2.0)</f>
        <v>-2</v>
      </c>
      <c r="DY197" s="16"/>
      <c r="DZ197" s="16"/>
      <c r="EA197" s="16">
        <f>IFERROR(__xludf.DUMMYFUNCTION("""COMPUTED_VALUE"""),4.0)</f>
        <v>4</v>
      </c>
      <c r="EB197" s="16"/>
      <c r="EC197" s="16"/>
      <c r="ED197" s="16">
        <f>IFERROR(__xludf.DUMMYFUNCTION("""COMPUTED_VALUE"""),-2.0)</f>
        <v>-2</v>
      </c>
      <c r="EE197" s="16"/>
      <c r="EF197" s="16">
        <f>IFERROR(__xludf.DUMMYFUNCTION("""COMPUTED_VALUE"""),-2.0)</f>
        <v>-2</v>
      </c>
      <c r="EG197" s="179"/>
      <c r="EH197" s="179"/>
      <c r="EI197" s="179">
        <f>IFERROR(__xludf.DUMMYFUNCTION("""COMPUTED_VALUE"""),5.0)</f>
        <v>5</v>
      </c>
      <c r="EJ197" s="179"/>
      <c r="EK197" s="179"/>
      <c r="EL197" s="179">
        <f>IFERROR(__xludf.DUMMYFUNCTION("""COMPUTED_VALUE"""),-1.0)</f>
        <v>-1</v>
      </c>
      <c r="EM197" s="179"/>
      <c r="EN197" s="179">
        <f>IFERROR(__xludf.DUMMYFUNCTION("""COMPUTED_VALUE"""),-1.0)</f>
        <v>-1</v>
      </c>
      <c r="EO197" s="16"/>
      <c r="EP197" s="16"/>
      <c r="EQ197" s="16">
        <f>IFERROR(__xludf.DUMMYFUNCTION("""COMPUTED_VALUE"""),1.0)</f>
        <v>1</v>
      </c>
      <c r="ER197" s="16">
        <f>IFERROR(__xludf.DUMMYFUNCTION("""COMPUTED_VALUE"""),1.0)</f>
        <v>1</v>
      </c>
      <c r="ES197" s="16"/>
      <c r="ET197" s="16"/>
      <c r="EU197" s="16"/>
      <c r="EV197" s="16"/>
      <c r="EW197" s="16"/>
      <c r="EX197" s="180"/>
      <c r="EY197" s="180"/>
      <c r="EZ197" s="180">
        <f>IFERROR(__xludf.DUMMYFUNCTION("""COMPUTED_VALUE"""),0.1)</f>
        <v>0.1</v>
      </c>
      <c r="FA197" s="180"/>
      <c r="FB197" s="180"/>
      <c r="FC197" s="180">
        <f>IFERROR(__xludf.DUMMYFUNCTION("""COMPUTED_VALUE"""),0.3)</f>
        <v>0.3</v>
      </c>
      <c r="FD197" s="180"/>
      <c r="FE197" s="180">
        <f>IFERROR(__xludf.DUMMYFUNCTION("""COMPUTED_VALUE"""),0.3)</f>
        <v>0.3</v>
      </c>
      <c r="FF197" s="180"/>
      <c r="FG197" s="180"/>
      <c r="FH197" s="180">
        <f>IFERROR(__xludf.DUMMYFUNCTION("""COMPUTED_VALUE"""),0.06944444444444445)</f>
        <v>0.06944444444</v>
      </c>
      <c r="FI197" s="180"/>
      <c r="FJ197" s="180"/>
      <c r="FK197" s="180">
        <f>IFERROR(__xludf.DUMMYFUNCTION("""COMPUTED_VALUE"""),0.287)</f>
        <v>0.287</v>
      </c>
      <c r="FL197" s="180"/>
      <c r="FM197" s="180">
        <f>IFERROR(__xludf.DUMMYFUNCTION("""COMPUTED_VALUE"""),0.287)</f>
        <v>0.287</v>
      </c>
      <c r="FN197" s="16"/>
      <c r="FO197" s="16"/>
      <c r="FP197" s="16">
        <f>IFERROR(__xludf.DUMMYFUNCTION("""COMPUTED_VALUE"""),0.8375)</f>
        <v>0.8375</v>
      </c>
      <c r="FQ197" s="16"/>
      <c r="FR197" s="16"/>
      <c r="FS197" s="16">
        <f>IFERROR(__xludf.DUMMYFUNCTION("""COMPUTED_VALUE"""),0.49910000000000004)</f>
        <v>0.4991</v>
      </c>
      <c r="FT197" s="16"/>
      <c r="FU197" s="16">
        <f>IFERROR(__xludf.DUMMYFUNCTION("""COMPUTED_VALUE"""),0.49910000000000004)</f>
        <v>0.4991</v>
      </c>
      <c r="FV197" s="16"/>
      <c r="FW197" s="16"/>
      <c r="FX197" s="16">
        <f>IFERROR(__xludf.DUMMYFUNCTION("""COMPUTED_VALUE"""),1.0)</f>
        <v>1</v>
      </c>
      <c r="FY197" s="16"/>
      <c r="FZ197" s="16"/>
      <c r="GA197" s="16">
        <f>IFERROR(__xludf.DUMMYFUNCTION("""COMPUTED_VALUE"""),-8.0)</f>
        <v>-8</v>
      </c>
      <c r="GB197" s="16"/>
      <c r="GC197" s="16">
        <f>IFERROR(__xludf.DUMMYFUNCTION("""COMPUTED_VALUE"""),-8.0)</f>
        <v>-8</v>
      </c>
      <c r="GD197" s="16" t="s">
        <v>176</v>
      </c>
    </row>
    <row r="198">
      <c r="A198" s="16">
        <f>IFERROR(__xludf.DUMMYFUNCTION("""COMPUTED_VALUE"""),13520.0)</f>
        <v>13520</v>
      </c>
      <c r="B198" s="16" t="str">
        <f>IFERROR(__xludf.DUMMYFUNCTION("""COMPUTED_VALUE"""),"Zack Gelof")</f>
        <v>Zack Gelof</v>
      </c>
      <c r="C198" s="16">
        <f>IFERROR(__xludf.DUMMYFUNCTION("""COMPUTED_VALUE"""),0.74)</f>
        <v>0.74</v>
      </c>
      <c r="D198" s="16" t="str">
        <f>IFERROR(__xludf.DUMMYFUNCTION("""COMPUTED_VALUE"""),"R")</f>
        <v>R</v>
      </c>
      <c r="E198" s="16"/>
      <c r="F198" s="16"/>
      <c r="G198" s="16">
        <f>IFERROR(__xludf.DUMMYFUNCTION("""COMPUTED_VALUE"""),497.0)</f>
        <v>497</v>
      </c>
      <c r="H198" s="16">
        <f>IFERROR(__xludf.DUMMYFUNCTION("""COMPUTED_VALUE"""),38.0)</f>
        <v>38</v>
      </c>
      <c r="I198" s="16" t="str">
        <f>IFERROR(__xludf.DUMMYFUNCTION("""COMPUTED_VALUE"""),"2p65")</f>
        <v>2p65</v>
      </c>
      <c r="J198" s="16">
        <f>IFERROR(__xludf.DUMMYFUNCTION("""COMPUTED_VALUE"""),51.0)</f>
        <v>51</v>
      </c>
      <c r="K198" s="16">
        <f>IFERROR(__xludf.DUMMYFUNCTION("""COMPUTED_VALUE"""),49.0)</f>
        <v>49</v>
      </c>
      <c r="L198" s="16">
        <f>IFERROR(__xludf.DUMMYFUNCTION("""COMPUTED_VALUE"""),-2.0)</f>
        <v>-2</v>
      </c>
      <c r="M198" s="16">
        <f>IFERROR(__xludf.DUMMYFUNCTION("""COMPUTED_VALUE"""),-2.0)</f>
        <v>-2</v>
      </c>
      <c r="N198" s="16">
        <f>IFERROR(__xludf.DUMMYFUNCTION("""COMPUTED_VALUE"""),-2.0)</f>
        <v>-2</v>
      </c>
      <c r="O198" s="16">
        <f>IFERROR(__xludf.DUMMYFUNCTION("""COMPUTED_VALUE"""),-2.0)</f>
        <v>-2</v>
      </c>
      <c r="P198" s="16">
        <f>IFERROR(__xludf.DUMMYFUNCTION("""COMPUTED_VALUE"""),15.0)</f>
        <v>15</v>
      </c>
      <c r="Q198" s="16">
        <f>IFERROR(__xludf.DUMMYFUNCTION("""COMPUTED_VALUE"""),5.0)</f>
        <v>5</v>
      </c>
      <c r="R198" s="16">
        <f>IFERROR(__xludf.DUMMYFUNCTION("""COMPUTED_VALUE"""),2.0)</f>
        <v>2</v>
      </c>
      <c r="S198" s="16">
        <f>IFERROR(__xludf.DUMMYFUNCTION("""COMPUTED_VALUE"""),-1.0)</f>
        <v>-1</v>
      </c>
      <c r="T198" s="16">
        <f>IFERROR(__xludf.DUMMYFUNCTION("""COMPUTED_VALUE"""),2.0)</f>
        <v>2</v>
      </c>
      <c r="U198" s="16">
        <f>IFERROR(__xludf.DUMMYFUNCTION("""COMPUTED_VALUE"""),-1.0)</f>
        <v>-1</v>
      </c>
      <c r="V198" s="16">
        <f>IFERROR(__xludf.DUMMYFUNCTION("""COMPUTED_VALUE"""),2.8)</f>
        <v>2.8</v>
      </c>
      <c r="W198" s="16">
        <f>IFERROR(__xludf.DUMMYFUNCTION("""COMPUTED_VALUE"""),18.4)</f>
        <v>18.4</v>
      </c>
      <c r="X198" s="16">
        <f>IFERROR(__xludf.DUMMYFUNCTION("""COMPUTED_VALUE"""),-2.0)</f>
        <v>-2</v>
      </c>
      <c r="Y198" s="16">
        <f>IFERROR(__xludf.DUMMYFUNCTION("""COMPUTED_VALUE"""),0.0)</f>
        <v>0</v>
      </c>
      <c r="Z198" s="16">
        <f>IFERROR(__xludf.DUMMYFUNCTION("""COMPUTED_VALUE"""),-4.0)</f>
        <v>-4</v>
      </c>
      <c r="AA198" s="16">
        <f>IFERROR(__xludf.DUMMYFUNCTION("""COMPUTED_VALUE"""),0.0)</f>
        <v>0</v>
      </c>
      <c r="AB198" s="16">
        <f>IFERROR(__xludf.DUMMYFUNCTION("""COMPUTED_VALUE"""),19.8)</f>
        <v>19.8</v>
      </c>
      <c r="AC198" s="16">
        <f>IFERROR(__xludf.DUMMYFUNCTION("""COMPUTED_VALUE"""),25.4)</f>
        <v>25.4</v>
      </c>
      <c r="AD198" s="16">
        <f>IFERROR(__xludf.DUMMYFUNCTION("""COMPUTED_VALUE"""),-1.0)</f>
        <v>-1</v>
      </c>
      <c r="AE198" s="16">
        <f>IFERROR(__xludf.DUMMYFUNCTION("""COMPUTED_VALUE"""),-1.0)</f>
        <v>-1</v>
      </c>
      <c r="AF198" s="16">
        <f>IFERROR(__xludf.DUMMYFUNCTION("""COMPUTED_VALUE"""),-5.0)</f>
        <v>-5</v>
      </c>
      <c r="AG198" s="16">
        <f>IFERROR(__xludf.DUMMYFUNCTION("""COMPUTED_VALUE"""),-5.0)</f>
        <v>-5</v>
      </c>
      <c r="AH198" s="16">
        <f>IFERROR(__xludf.DUMMYFUNCTION("""COMPUTED_VALUE"""),5.2)</f>
        <v>5.2</v>
      </c>
      <c r="AI198" s="16">
        <f>IFERROR(__xludf.DUMMYFUNCTION("""COMPUTED_VALUE"""),31.6)</f>
        <v>31.6</v>
      </c>
      <c r="AJ198" s="16">
        <f>IFERROR(__xludf.DUMMYFUNCTION("""COMPUTED_VALUE"""),-2.0)</f>
        <v>-2</v>
      </c>
      <c r="AK198" s="16">
        <f>IFERROR(__xludf.DUMMYFUNCTION("""COMPUTED_VALUE"""),0.0)</f>
        <v>0</v>
      </c>
      <c r="AL198" s="16">
        <f>IFERROR(__xludf.DUMMYFUNCTION("""COMPUTED_VALUE"""),-10.0)</f>
        <v>-10</v>
      </c>
      <c r="AM198" s="16">
        <f>IFERROR(__xludf.DUMMYFUNCTION("""COMPUTED_VALUE"""),0.0)</f>
        <v>0</v>
      </c>
      <c r="AN198" s="16">
        <f>IFERROR(__xludf.DUMMYFUNCTION("""COMPUTED_VALUE"""),0.0)</f>
        <v>0</v>
      </c>
      <c r="AO198" s="16">
        <f>IFERROR(__xludf.DUMMYFUNCTION("""COMPUTED_VALUE"""),3.0)</f>
        <v>3</v>
      </c>
      <c r="AP198" s="16">
        <f>IFERROR(__xludf.DUMMYFUNCTION("""COMPUTED_VALUE"""),-2.0)</f>
        <v>-2</v>
      </c>
      <c r="AQ198" s="16">
        <f>IFERROR(__xludf.DUMMYFUNCTION("""COMPUTED_VALUE"""),1.0)</f>
        <v>1</v>
      </c>
      <c r="AR198" s="16">
        <f>IFERROR(__xludf.DUMMYFUNCTION("""COMPUTED_VALUE"""),-4.0)</f>
        <v>-4</v>
      </c>
      <c r="AS198" s="16">
        <f>IFERROR(__xludf.DUMMYFUNCTION("""COMPUTED_VALUE"""),2.0)</f>
        <v>2</v>
      </c>
      <c r="AT198" s="16"/>
      <c r="AU198" s="16">
        <f>IFERROR(__xludf.DUMMYFUNCTION("""COMPUTED_VALUE"""),6.0)</f>
        <v>6</v>
      </c>
      <c r="AV198" s="16">
        <f>IFERROR(__xludf.DUMMYFUNCTION("""COMPUTED_VALUE"""),0.0)</f>
        <v>0</v>
      </c>
      <c r="AW198" s="16">
        <f>IFERROR(__xludf.DUMMYFUNCTION("""COMPUTED_VALUE"""),6.0)</f>
        <v>6</v>
      </c>
      <c r="AX198" s="16">
        <f>IFERROR(__xludf.DUMMYFUNCTION("""COMPUTED_VALUE"""),-2.0)</f>
        <v>-2</v>
      </c>
      <c r="AY198" s="16">
        <f>IFERROR(__xludf.DUMMYFUNCTION("""COMPUTED_VALUE"""),2.0)</f>
        <v>2</v>
      </c>
      <c r="AZ198" s="16">
        <f>IFERROR(__xludf.DUMMYFUNCTION("""COMPUTED_VALUE"""),-6.0)</f>
        <v>-6</v>
      </c>
      <c r="BA198" s="16">
        <f>IFERROR(__xludf.DUMMYFUNCTION("""COMPUTED_VALUE"""),6.0)</f>
        <v>6</v>
      </c>
      <c r="BB198" s="16">
        <f>IFERROR(__xludf.DUMMYFUNCTION("""COMPUTED_VALUE"""),0.0)</f>
        <v>0</v>
      </c>
      <c r="BC198" s="16">
        <f>IFERROR(__xludf.DUMMYFUNCTION("""COMPUTED_VALUE"""),5.0)</f>
        <v>5</v>
      </c>
      <c r="BD198" s="16">
        <f>IFERROR(__xludf.DUMMYFUNCTION("""COMPUTED_VALUE"""),0.0)</f>
        <v>0</v>
      </c>
      <c r="BE198" s="16">
        <f>IFERROR(__xludf.DUMMYFUNCTION("""COMPUTED_VALUE"""),1.0)</f>
        <v>1</v>
      </c>
      <c r="BF198" s="16">
        <f>IFERROR(__xludf.DUMMYFUNCTION("""COMPUTED_VALUE"""),0.0)</f>
        <v>0</v>
      </c>
      <c r="BG198" s="16">
        <f>IFERROR(__xludf.DUMMYFUNCTION("""COMPUTED_VALUE"""),1.0)</f>
        <v>1</v>
      </c>
      <c r="BH198" s="16">
        <f>IFERROR(__xludf.DUMMYFUNCTION("""COMPUTED_VALUE"""),0.0)</f>
        <v>0</v>
      </c>
      <c r="BI198" s="16">
        <f>IFERROR(__xludf.DUMMYFUNCTION("""COMPUTED_VALUE"""),-9.0)</f>
        <v>-9</v>
      </c>
      <c r="BJ198" s="16">
        <f>IFERROR(__xludf.DUMMYFUNCTION("""COMPUTED_VALUE"""),8.0)</f>
        <v>8</v>
      </c>
      <c r="BK198" s="16">
        <f>IFERROR(__xludf.DUMMYFUNCTION("""COMPUTED_VALUE"""),9.0)</f>
        <v>9</v>
      </c>
      <c r="BL198" s="16">
        <f>IFERROR(__xludf.DUMMYFUNCTION("""COMPUTED_VALUE"""),1.0)</f>
        <v>1</v>
      </c>
      <c r="BM198" s="16">
        <f>IFERROR(__xludf.DUMMYFUNCTION("""COMPUTED_VALUE"""),1.0)</f>
        <v>1</v>
      </c>
      <c r="BN198" s="16">
        <f>IFERROR(__xludf.DUMMYFUNCTION("""COMPUTED_VALUE"""),1.0)</f>
        <v>1</v>
      </c>
      <c r="BO198" s="16">
        <f>IFERROR(__xludf.DUMMYFUNCTION("""COMPUTED_VALUE"""),1.0)</f>
        <v>1</v>
      </c>
      <c r="BP198" s="16">
        <f>IFERROR(__xludf.DUMMYFUNCTION("""COMPUTED_VALUE"""),-8.0)</f>
        <v>-8</v>
      </c>
      <c r="BQ198" s="16">
        <f>IFERROR(__xludf.DUMMYFUNCTION("""COMPUTED_VALUE"""),1.0)</f>
        <v>1</v>
      </c>
      <c r="BR198" s="16">
        <f>IFERROR(__xludf.DUMMYFUNCTION("""COMPUTED_VALUE"""),-7.0)</f>
        <v>-7</v>
      </c>
      <c r="BS198" s="16" t="str">
        <f>IFERROR(__xludf.DUMMYFUNCTION("""COMPUTED_VALUE"""),"*5,6/- (19-13)")</f>
        <v>*5,6/- (19-13)</v>
      </c>
      <c r="BT198" s="16" t="str">
        <f>IFERROR(__xludf.DUMMYFUNCTION("""COMPUTED_VALUE"""),"A")</f>
        <v>A</v>
      </c>
      <c r="BU198" s="16">
        <f>IFERROR(__xludf.DUMMYFUNCTION("""COMPUTED_VALUE"""),15.0)</f>
        <v>15</v>
      </c>
      <c r="BV198" s="16">
        <f>IFERROR(__xludf.DUMMYFUNCTION("""COMPUTED_VALUE"""),2.0)</f>
        <v>2</v>
      </c>
      <c r="BW198" s="16">
        <f>IFERROR(__xludf.DUMMYFUNCTION("""COMPUTED_VALUE"""),2.0)</f>
        <v>2</v>
      </c>
      <c r="BX198" s="16">
        <f>IFERROR(__xludf.DUMMYFUNCTION("""COMPUTED_VALUE"""),4.0)</f>
        <v>4</v>
      </c>
      <c r="BY198" s="16">
        <f>IFERROR(__xludf.DUMMYFUNCTION("""COMPUTED_VALUE"""),6.0)</f>
        <v>6</v>
      </c>
      <c r="BZ198" s="16" t="str">
        <f>IFERROR(__xludf.DUMMYFUNCTION("""COMPUTED_VALUE"""),"D")</f>
        <v>D</v>
      </c>
      <c r="CA198" s="16" t="str">
        <f>IFERROR(__xludf.DUMMYFUNCTION("""COMPUTED_VALUE"""),"D")</f>
        <v>D</v>
      </c>
      <c r="CB198" s="16">
        <f>IFERROR(__xludf.DUMMYFUNCTION("""COMPUTED_VALUE"""),0.0)</f>
        <v>0</v>
      </c>
      <c r="CC198" s="16">
        <f>IFERROR(__xludf.DUMMYFUNCTION("""COMPUTED_VALUE"""),0.0)</f>
        <v>0</v>
      </c>
      <c r="CD198" s="16">
        <f>IFERROR(__xludf.DUMMYFUNCTION("""COMPUTED_VALUE"""),0.0)</f>
        <v>0</v>
      </c>
      <c r="CE198" s="16">
        <f>IFERROR(__xludf.DUMMYFUNCTION("""COMPUTED_VALUE"""),0.0)</f>
        <v>0</v>
      </c>
      <c r="CF198" s="16">
        <f>IFERROR(__xludf.DUMMYFUNCTION("""COMPUTED_VALUE"""),2.0)</f>
        <v>2</v>
      </c>
      <c r="CG198" s="16">
        <f>IFERROR(__xludf.DUMMYFUNCTION("""COMPUTED_VALUE"""),-28.0)</f>
        <v>-28</v>
      </c>
      <c r="CH198" s="16">
        <f>IFERROR(__xludf.DUMMYFUNCTION("""COMPUTED_VALUE"""),2.0)</f>
        <v>2</v>
      </c>
      <c r="CI198" s="179">
        <f>IFERROR(__xludf.DUMMYFUNCTION("""COMPUTED_VALUE"""),1.0)</f>
        <v>1</v>
      </c>
      <c r="CJ198" s="16"/>
      <c r="CK198" s="16"/>
      <c r="CL198" s="16">
        <f>IFERROR(__xludf.DUMMYFUNCTION("""COMPUTED_VALUE"""),208.0)</f>
        <v>208</v>
      </c>
      <c r="CM198" s="16"/>
      <c r="CN198" s="16"/>
      <c r="CO198" s="16"/>
      <c r="CP198" s="16"/>
      <c r="CQ198" s="16"/>
      <c r="CR198" s="16" t="str">
        <f>IFERROR(__xludf.DUMMYFUNCTION("""COMPUTED_VALUE"""),"2b-2e8")</f>
        <v>2b-2e8</v>
      </c>
      <c r="CS198" s="16"/>
      <c r="CT198" s="16"/>
      <c r="CU198" s="16">
        <f>IFERROR(__xludf.DUMMYFUNCTION("""COMPUTED_VALUE"""),2.0)</f>
        <v>2</v>
      </c>
      <c r="CV198" s="16"/>
      <c r="CW198" s="16"/>
      <c r="CX198" s="16"/>
      <c r="CY198" s="16"/>
      <c r="CZ198" s="16"/>
      <c r="DA198" s="16"/>
      <c r="DB198" s="16"/>
      <c r="DC198" s="16">
        <f>IFERROR(__xludf.DUMMYFUNCTION("""COMPUTED_VALUE"""),8.0)</f>
        <v>8</v>
      </c>
      <c r="DD198" s="16"/>
      <c r="DE198" s="16"/>
      <c r="DF198" s="16"/>
      <c r="DG198" s="16"/>
      <c r="DH198" s="16"/>
      <c r="DI198" s="16"/>
      <c r="DJ198" s="16"/>
      <c r="DK198" s="16">
        <f>IFERROR(__xludf.DUMMYFUNCTION("""COMPUTED_VALUE"""),2.0)</f>
        <v>2</v>
      </c>
      <c r="DL198" s="16"/>
      <c r="DM198" s="16"/>
      <c r="DN198" s="16"/>
      <c r="DO198" s="16"/>
      <c r="DP198" s="16"/>
      <c r="DQ198" s="16"/>
      <c r="DR198" s="16"/>
      <c r="DS198" s="16">
        <f>IFERROR(__xludf.DUMMYFUNCTION("""COMPUTED_VALUE"""),3.0)</f>
        <v>3</v>
      </c>
      <c r="DT198" s="16"/>
      <c r="DU198" s="16"/>
      <c r="DV198" s="16"/>
      <c r="DW198" s="16"/>
      <c r="DX198" s="16"/>
      <c r="DY198" s="16"/>
      <c r="DZ198" s="16"/>
      <c r="EA198" s="16">
        <f>IFERROR(__xludf.DUMMYFUNCTION("""COMPUTED_VALUE"""),5.0)</f>
        <v>5</v>
      </c>
      <c r="EB198" s="16"/>
      <c r="EC198" s="16"/>
      <c r="ED198" s="16"/>
      <c r="EE198" s="16"/>
      <c r="EF198" s="16"/>
      <c r="EG198" s="179"/>
      <c r="EH198" s="179"/>
      <c r="EI198" s="179">
        <f>IFERROR(__xludf.DUMMYFUNCTION("""COMPUTED_VALUE"""),6.0)</f>
        <v>6</v>
      </c>
      <c r="EJ198" s="179"/>
      <c r="EK198" s="179"/>
      <c r="EL198" s="179"/>
      <c r="EM198" s="179"/>
      <c r="EN198" s="179"/>
      <c r="EO198" s="16"/>
      <c r="EP198" s="16">
        <f>IFERROR(__xludf.DUMMYFUNCTION("""COMPUTED_VALUE"""),-1.0)</f>
        <v>-1</v>
      </c>
      <c r="EQ198" s="16">
        <f>IFERROR(__xludf.DUMMYFUNCTION("""COMPUTED_VALUE"""),2.0)</f>
        <v>2</v>
      </c>
      <c r="ER198" s="16">
        <f>IFERROR(__xludf.DUMMYFUNCTION("""COMPUTED_VALUE"""),2.0)</f>
        <v>2</v>
      </c>
      <c r="ES198" s="16"/>
      <c r="ET198" s="16"/>
      <c r="EU198" s="16"/>
      <c r="EV198" s="16"/>
      <c r="EW198" s="16"/>
      <c r="EX198" s="180"/>
      <c r="EY198" s="180"/>
      <c r="EZ198" s="180">
        <f>IFERROR(__xludf.DUMMYFUNCTION("""COMPUTED_VALUE"""),0.1)</f>
        <v>0.1</v>
      </c>
      <c r="FA198" s="180"/>
      <c r="FB198" s="180"/>
      <c r="FC198" s="180"/>
      <c r="FD198" s="180"/>
      <c r="FE198" s="180"/>
      <c r="FF198" s="180"/>
      <c r="FG198" s="180"/>
      <c r="FH198" s="180">
        <f>IFERROR(__xludf.DUMMYFUNCTION("""COMPUTED_VALUE"""),0.046296296296296294)</f>
        <v>0.0462962963</v>
      </c>
      <c r="FI198" s="180"/>
      <c r="FJ198" s="180"/>
      <c r="FK198" s="180"/>
      <c r="FL198" s="180"/>
      <c r="FM198" s="180"/>
      <c r="FN198" s="16"/>
      <c r="FO198" s="16"/>
      <c r="FP198" s="16">
        <f>IFERROR(__xludf.DUMMYFUNCTION("""COMPUTED_VALUE"""),0.8583333333333334)</f>
        <v>0.8583333333</v>
      </c>
      <c r="FQ198" s="16"/>
      <c r="FR198" s="16"/>
      <c r="FS198" s="16"/>
      <c r="FT198" s="16"/>
      <c r="FU198" s="16"/>
      <c r="FV198" s="16"/>
      <c r="FW198" s="16"/>
      <c r="FX198" s="16">
        <f>IFERROR(__xludf.DUMMYFUNCTION("""COMPUTED_VALUE"""),4.0)</f>
        <v>4</v>
      </c>
      <c r="FY198" s="16"/>
      <c r="FZ198" s="16"/>
      <c r="GA198" s="16"/>
      <c r="GB198" s="16"/>
      <c r="GC198" s="16"/>
      <c r="GD198" s="16" t="s">
        <v>176</v>
      </c>
    </row>
    <row r="199">
      <c r="A199" s="16">
        <f>IFERROR(__xludf.DUMMYFUNCTION("""COMPUTED_VALUE"""),13111.0)</f>
        <v>13111</v>
      </c>
      <c r="B199" s="16" t="str">
        <f>IFERROR(__xludf.DUMMYFUNCTION("""COMPUTED_VALUE"""),"Lars Nootbaar")</f>
        <v>Lars Nootbaar</v>
      </c>
      <c r="C199" s="16">
        <f>IFERROR(__xludf.DUMMYFUNCTION("""COMPUTED_VALUE"""),1.07)</f>
        <v>1.07</v>
      </c>
      <c r="D199" s="16" t="str">
        <f>IFERROR(__xludf.DUMMYFUNCTION("""COMPUTED_VALUE"""),"L")</f>
        <v>L</v>
      </c>
      <c r="E199" s="16"/>
      <c r="F199" s="16"/>
      <c r="G199" s="16">
        <f>IFERROR(__xludf.DUMMYFUNCTION("""COMPUTED_VALUE"""),348.0)</f>
        <v>348</v>
      </c>
      <c r="H199" s="16">
        <f>IFERROR(__xludf.DUMMYFUNCTION("""COMPUTED_VALUE"""),52.0)</f>
        <v>52</v>
      </c>
      <c r="I199" s="16" t="str">
        <f>IFERROR(__xludf.DUMMYFUNCTION("""COMPUTED_VALUE"""),"4p50")</f>
        <v>4p50</v>
      </c>
      <c r="J199" s="16">
        <f>IFERROR(__xludf.DUMMYFUNCTION("""COMPUTED_VALUE"""),28.0)</f>
        <v>28</v>
      </c>
      <c r="K199" s="16">
        <f>IFERROR(__xludf.DUMMYFUNCTION("""COMPUTED_VALUE"""),13.0)</f>
        <v>13</v>
      </c>
      <c r="L199" s="16">
        <f>IFERROR(__xludf.DUMMYFUNCTION("""COMPUTED_VALUE"""),0.0)</f>
        <v>0</v>
      </c>
      <c r="M199" s="16">
        <f>IFERROR(__xludf.DUMMYFUNCTION("""COMPUTED_VALUE"""),1.0)</f>
        <v>1</v>
      </c>
      <c r="N199" s="16">
        <f>IFERROR(__xludf.DUMMYFUNCTION("""COMPUTED_VALUE"""),0.0)</f>
        <v>0</v>
      </c>
      <c r="O199" s="16">
        <f>IFERROR(__xludf.DUMMYFUNCTION("""COMPUTED_VALUE"""),1.0)</f>
        <v>1</v>
      </c>
      <c r="P199" s="16">
        <f>IFERROR(__xludf.DUMMYFUNCTION("""COMPUTED_VALUE"""),16.0)</f>
        <v>16</v>
      </c>
      <c r="Q199" s="16">
        <f>IFERROR(__xludf.DUMMYFUNCTION("""COMPUTED_VALUE"""),18.0)</f>
        <v>18</v>
      </c>
      <c r="R199" s="16">
        <f>IFERROR(__xludf.DUMMYFUNCTION("""COMPUTED_VALUE"""),2.0)</f>
        <v>2</v>
      </c>
      <c r="S199" s="16">
        <f>IFERROR(__xludf.DUMMYFUNCTION("""COMPUTED_VALUE"""),3.0)</f>
        <v>3</v>
      </c>
      <c r="T199" s="16">
        <f>IFERROR(__xludf.DUMMYFUNCTION("""COMPUTED_VALUE"""),2.0)</f>
        <v>2</v>
      </c>
      <c r="U199" s="16">
        <f>IFERROR(__xludf.DUMMYFUNCTION("""COMPUTED_VALUE"""),3.0)</f>
        <v>3</v>
      </c>
      <c r="V199" s="16">
        <f>IFERROR(__xludf.DUMMYFUNCTION("""COMPUTED_VALUE"""),25.4)</f>
        <v>25.4</v>
      </c>
      <c r="W199" s="16">
        <f>IFERROR(__xludf.DUMMYFUNCTION("""COMPUTED_VALUE"""),15.3)</f>
        <v>15.3</v>
      </c>
      <c r="X199" s="16">
        <f>IFERROR(__xludf.DUMMYFUNCTION("""COMPUTED_VALUE"""),1.0)</f>
        <v>1</v>
      </c>
      <c r="Y199" s="16">
        <f>IFERROR(__xludf.DUMMYFUNCTION("""COMPUTED_VALUE"""),-1.0)</f>
        <v>-1</v>
      </c>
      <c r="Z199" s="16">
        <f>IFERROR(__xludf.DUMMYFUNCTION("""COMPUTED_VALUE"""),2.0)</f>
        <v>2</v>
      </c>
      <c r="AA199" s="16">
        <f>IFERROR(__xludf.DUMMYFUNCTION("""COMPUTED_VALUE"""),-2.0)</f>
        <v>-2</v>
      </c>
      <c r="AB199" s="16">
        <f>IFERROR(__xludf.DUMMYFUNCTION("""COMPUTED_VALUE"""),42.4)</f>
        <v>42.4</v>
      </c>
      <c r="AC199" s="16">
        <f>IFERROR(__xludf.DUMMYFUNCTION("""COMPUTED_VALUE"""),34.3)</f>
        <v>34.3</v>
      </c>
      <c r="AD199" s="16">
        <f>IFERROR(__xludf.DUMMYFUNCTION("""COMPUTED_VALUE"""),1.0)</f>
        <v>1</v>
      </c>
      <c r="AE199" s="16">
        <f>IFERROR(__xludf.DUMMYFUNCTION("""COMPUTED_VALUE"""),0.0)</f>
        <v>0</v>
      </c>
      <c r="AF199" s="16">
        <f>IFERROR(__xludf.DUMMYFUNCTION("""COMPUTED_VALUE"""),5.0)</f>
        <v>5</v>
      </c>
      <c r="AG199" s="16">
        <f>IFERROR(__xludf.DUMMYFUNCTION("""COMPUTED_VALUE"""),0.0)</f>
        <v>0</v>
      </c>
      <c r="AH199" s="16">
        <f>IFERROR(__xludf.DUMMYFUNCTION("""COMPUTED_VALUE"""),38.2)</f>
        <v>38.2</v>
      </c>
      <c r="AI199" s="16">
        <f>IFERROR(__xludf.DUMMYFUNCTION("""COMPUTED_VALUE"""),27.1)</f>
        <v>27.1</v>
      </c>
      <c r="AJ199" s="16">
        <f>IFERROR(__xludf.DUMMYFUNCTION("""COMPUTED_VALUE"""),1.0)</f>
        <v>1</v>
      </c>
      <c r="AK199" s="16">
        <f>IFERROR(__xludf.DUMMYFUNCTION("""COMPUTED_VALUE"""),-1.0)</f>
        <v>-1</v>
      </c>
      <c r="AL199" s="16">
        <f>IFERROR(__xludf.DUMMYFUNCTION("""COMPUTED_VALUE"""),5.0)</f>
        <v>5</v>
      </c>
      <c r="AM199" s="16">
        <f>IFERROR(__xludf.DUMMYFUNCTION("""COMPUTED_VALUE"""),-5.0)</f>
        <v>-5</v>
      </c>
      <c r="AN199" s="16">
        <f>IFERROR(__xludf.DUMMYFUNCTION("""COMPUTED_VALUE"""),0.8)</f>
        <v>0.8</v>
      </c>
      <c r="AO199" s="16">
        <f>IFERROR(__xludf.DUMMYFUNCTION("""COMPUTED_VALUE"""),2.3)</f>
        <v>2.3</v>
      </c>
      <c r="AP199" s="16">
        <f>IFERROR(__xludf.DUMMYFUNCTION("""COMPUTED_VALUE"""),-2.0)</f>
        <v>-2</v>
      </c>
      <c r="AQ199" s="16">
        <f>IFERROR(__xludf.DUMMYFUNCTION("""COMPUTED_VALUE"""),0.0)</f>
        <v>0</v>
      </c>
      <c r="AR199" s="16">
        <f>IFERROR(__xludf.DUMMYFUNCTION("""COMPUTED_VALUE"""),-4.0)</f>
        <v>-4</v>
      </c>
      <c r="AS199" s="16">
        <f>IFERROR(__xludf.DUMMYFUNCTION("""COMPUTED_VALUE"""),0.0)</f>
        <v>0</v>
      </c>
      <c r="AT199" s="16">
        <f>IFERROR(__xludf.DUMMYFUNCTION("""COMPUTED_VALUE"""),1.0)</f>
        <v>1</v>
      </c>
      <c r="AU199" s="16">
        <f>IFERROR(__xludf.DUMMYFUNCTION("""COMPUTED_VALUE"""),4.0)</f>
        <v>4</v>
      </c>
      <c r="AV199" s="16">
        <f>IFERROR(__xludf.DUMMYFUNCTION("""COMPUTED_VALUE"""),1.0)</f>
        <v>1</v>
      </c>
      <c r="AW199" s="16">
        <f>IFERROR(__xludf.DUMMYFUNCTION("""COMPUTED_VALUE"""),4.0)</f>
        <v>4</v>
      </c>
      <c r="AX199" s="16">
        <f>IFERROR(__xludf.DUMMYFUNCTION("""COMPUTED_VALUE"""),-1.0)</f>
        <v>-1</v>
      </c>
      <c r="AY199" s="16">
        <f>IFERROR(__xludf.DUMMYFUNCTION("""COMPUTED_VALUE"""),1.0)</f>
        <v>1</v>
      </c>
      <c r="AZ199" s="16">
        <f>IFERROR(__xludf.DUMMYFUNCTION("""COMPUTED_VALUE"""),-3.0)</f>
        <v>-3</v>
      </c>
      <c r="BA199" s="16">
        <f>IFERROR(__xludf.DUMMYFUNCTION("""COMPUTED_VALUE"""),3.0)</f>
        <v>3</v>
      </c>
      <c r="BB199" s="16">
        <f>IFERROR(__xludf.DUMMYFUNCTION("""COMPUTED_VALUE"""),5.0)</f>
        <v>5</v>
      </c>
      <c r="BC199" s="16">
        <f>IFERROR(__xludf.DUMMYFUNCTION("""COMPUTED_VALUE"""),5.0)</f>
        <v>5</v>
      </c>
      <c r="BD199" s="16">
        <f>IFERROR(__xludf.DUMMYFUNCTION("""COMPUTED_VALUE"""),1.0)</f>
        <v>1</v>
      </c>
      <c r="BE199" s="16">
        <f>IFERROR(__xludf.DUMMYFUNCTION("""COMPUTED_VALUE"""),1.0)</f>
        <v>1</v>
      </c>
      <c r="BF199" s="16">
        <f>IFERROR(__xludf.DUMMYFUNCTION("""COMPUTED_VALUE"""),1.0)</f>
        <v>1</v>
      </c>
      <c r="BG199" s="16">
        <f>IFERROR(__xludf.DUMMYFUNCTION("""COMPUTED_VALUE"""),1.0)</f>
        <v>1</v>
      </c>
      <c r="BH199" s="16">
        <f>IFERROR(__xludf.DUMMYFUNCTION("""COMPUTED_VALUE"""),-3.0)</f>
        <v>-3</v>
      </c>
      <c r="BI199" s="16">
        <f>IFERROR(__xludf.DUMMYFUNCTION("""COMPUTED_VALUE"""),-3.0)</f>
        <v>-3</v>
      </c>
      <c r="BJ199" s="16">
        <f>IFERROR(__xludf.DUMMYFUNCTION("""COMPUTED_VALUE"""),20.0)</f>
        <v>20</v>
      </c>
      <c r="BK199" s="16">
        <f>IFERROR(__xludf.DUMMYFUNCTION("""COMPUTED_VALUE"""),18.0)</f>
        <v>18</v>
      </c>
      <c r="BL199" s="16">
        <f>IFERROR(__xludf.DUMMYFUNCTION("""COMPUTED_VALUE"""),-2.0)</f>
        <v>-2</v>
      </c>
      <c r="BM199" s="16">
        <f>IFERROR(__xludf.DUMMYFUNCTION("""COMPUTED_VALUE"""),-1.0)</f>
        <v>-1</v>
      </c>
      <c r="BN199" s="16">
        <f>IFERROR(__xludf.DUMMYFUNCTION("""COMPUTED_VALUE"""),-4.0)</f>
        <v>-4</v>
      </c>
      <c r="BO199" s="16">
        <f>IFERROR(__xludf.DUMMYFUNCTION("""COMPUTED_VALUE"""),-2.0)</f>
        <v>-2</v>
      </c>
      <c r="BP199" s="16">
        <f>IFERROR(__xludf.DUMMYFUNCTION("""COMPUTED_VALUE"""),1.0)</f>
        <v>1</v>
      </c>
      <c r="BQ199" s="16">
        <f>IFERROR(__xludf.DUMMYFUNCTION("""COMPUTED_VALUE"""),3.0)</f>
        <v>3</v>
      </c>
      <c r="BR199" s="16">
        <f>IFERROR(__xludf.DUMMYFUNCTION("""COMPUTED_VALUE"""),4.0)</f>
        <v>4</v>
      </c>
      <c r="BS199" s="16" t="str">
        <f>IFERROR(__xludf.DUMMYFUNCTION("""COMPUTED_VALUE"""),"*4,5/- (16-6)")</f>
        <v>*4,5/- (16-6)</v>
      </c>
      <c r="BT199" s="16" t="str">
        <f>IFERROR(__xludf.DUMMYFUNCTION("""COMPUTED_VALUE"""),"B")</f>
        <v>B</v>
      </c>
      <c r="BU199" s="16">
        <f>IFERROR(__xludf.DUMMYFUNCTION("""COMPUTED_VALUE"""),14.0)</f>
        <v>14</v>
      </c>
      <c r="BV199" s="16">
        <f>IFERROR(__xludf.DUMMYFUNCTION("""COMPUTED_VALUE"""),1.0)</f>
        <v>1</v>
      </c>
      <c r="BW199" s="16">
        <f>IFERROR(__xludf.DUMMYFUNCTION("""COMPUTED_VALUE"""),1.0)</f>
        <v>1</v>
      </c>
      <c r="BX199" s="16">
        <f>IFERROR(__xludf.DUMMYFUNCTION("""COMPUTED_VALUE"""),2.0)</f>
        <v>2</v>
      </c>
      <c r="BY199" s="16">
        <f>IFERROR(__xludf.DUMMYFUNCTION("""COMPUTED_VALUE"""),3.0)</f>
        <v>3</v>
      </c>
      <c r="BZ199" s="16" t="str">
        <f>IFERROR(__xludf.DUMMYFUNCTION("""COMPUTED_VALUE"""),"D")</f>
        <v>D</v>
      </c>
      <c r="CA199" s="16" t="str">
        <f>IFERROR(__xludf.DUMMYFUNCTION("""COMPUTED_VALUE"""),"C")</f>
        <v>C</v>
      </c>
      <c r="CB199" s="16">
        <f>IFERROR(__xludf.DUMMYFUNCTION("""COMPUTED_VALUE"""),0.0)</f>
        <v>0</v>
      </c>
      <c r="CC199" s="16">
        <f>IFERROR(__xludf.DUMMYFUNCTION("""COMPUTED_VALUE"""),0.0)</f>
        <v>0</v>
      </c>
      <c r="CD199" s="16">
        <f>IFERROR(__xludf.DUMMYFUNCTION("""COMPUTED_VALUE"""),0.0)</f>
        <v>0</v>
      </c>
      <c r="CE199" s="16">
        <f>IFERROR(__xludf.DUMMYFUNCTION("""COMPUTED_VALUE"""),0.0)</f>
        <v>0</v>
      </c>
      <c r="CF199" s="16">
        <f>IFERROR(__xludf.DUMMYFUNCTION("""COMPUTED_VALUE"""),4.0)</f>
        <v>4</v>
      </c>
      <c r="CG199" s="16">
        <f>IFERROR(__xludf.DUMMYFUNCTION("""COMPUTED_VALUE"""),4.0)</f>
        <v>4</v>
      </c>
      <c r="CH199" s="16">
        <f>IFERROR(__xludf.DUMMYFUNCTION("""COMPUTED_VALUE"""),-1.0)</f>
        <v>-1</v>
      </c>
      <c r="CI199" s="179">
        <f>IFERROR(__xludf.DUMMYFUNCTION("""COMPUTED_VALUE"""),1.0)</f>
        <v>1</v>
      </c>
      <c r="CJ199" s="16"/>
      <c r="CK199" s="16"/>
      <c r="CL199" s="16"/>
      <c r="CM199" s="16"/>
      <c r="CN199" s="16"/>
      <c r="CO199" s="16">
        <f>IFERROR(__xludf.DUMMYFUNCTION("""COMPUTED_VALUE"""),205.0)</f>
        <v>205</v>
      </c>
      <c r="CP199" s="16">
        <f>IFERROR(__xludf.DUMMYFUNCTION("""COMPUTED_VALUE"""),405.0)</f>
        <v>405</v>
      </c>
      <c r="CQ199" s="16">
        <f>IFERROR(__xludf.DUMMYFUNCTION("""COMPUTED_VALUE"""),205.0)</f>
        <v>205</v>
      </c>
      <c r="CR199" s="16" t="str">
        <f>IFERROR(__xludf.DUMMYFUNCTION("""COMPUTED_VALUE"""),"rf-2(0)e5 lf-2e5 cf-4e5")</f>
        <v>rf-2(0)e5 lf-2e5 cf-4e5</v>
      </c>
      <c r="CS199" s="16"/>
      <c r="CT199" s="16"/>
      <c r="CU199" s="16"/>
      <c r="CV199" s="16"/>
      <c r="CW199" s="16"/>
      <c r="CX199" s="16">
        <f>IFERROR(__xludf.DUMMYFUNCTION("""COMPUTED_VALUE"""),2.0)</f>
        <v>2</v>
      </c>
      <c r="CY199" s="16">
        <f>IFERROR(__xludf.DUMMYFUNCTION("""COMPUTED_VALUE"""),4.0)</f>
        <v>4</v>
      </c>
      <c r="CZ199" s="16">
        <f>IFERROR(__xludf.DUMMYFUNCTION("""COMPUTED_VALUE"""),2.0)</f>
        <v>2</v>
      </c>
      <c r="DA199" s="16"/>
      <c r="DB199" s="16"/>
      <c r="DC199" s="16"/>
      <c r="DD199" s="16"/>
      <c r="DE199" s="16"/>
      <c r="DF199" s="16">
        <f>IFERROR(__xludf.DUMMYFUNCTION("""COMPUTED_VALUE"""),5.0)</f>
        <v>5</v>
      </c>
      <c r="DG199" s="16">
        <f>IFERROR(__xludf.DUMMYFUNCTION("""COMPUTED_VALUE"""),5.0)</f>
        <v>5</v>
      </c>
      <c r="DH199" s="16">
        <f>IFERROR(__xludf.DUMMYFUNCTION("""COMPUTED_VALUE"""),5.0)</f>
        <v>5</v>
      </c>
      <c r="DI199" s="16"/>
      <c r="DJ199" s="16"/>
      <c r="DK199" s="16"/>
      <c r="DL199" s="16"/>
      <c r="DM199" s="16"/>
      <c r="DN199" s="16">
        <f>IFERROR(__xludf.DUMMYFUNCTION("""COMPUTED_VALUE"""),3.0)</f>
        <v>3</v>
      </c>
      <c r="DO199" s="16">
        <f>IFERROR(__xludf.DUMMYFUNCTION("""COMPUTED_VALUE"""),-2.0)</f>
        <v>-2</v>
      </c>
      <c r="DP199" s="16">
        <f>IFERROR(__xludf.DUMMYFUNCTION("""COMPUTED_VALUE"""),3.0)</f>
        <v>3</v>
      </c>
      <c r="DQ199" s="16"/>
      <c r="DR199" s="16"/>
      <c r="DS199" s="16"/>
      <c r="DT199" s="16"/>
      <c r="DU199" s="16"/>
      <c r="DV199" s="16">
        <f>IFERROR(__xludf.DUMMYFUNCTION("""COMPUTED_VALUE"""),2.0)</f>
        <v>2</v>
      </c>
      <c r="DW199" s="16">
        <f>IFERROR(__xludf.DUMMYFUNCTION("""COMPUTED_VALUE"""),3.0)</f>
        <v>3</v>
      </c>
      <c r="DX199" s="16">
        <f>IFERROR(__xludf.DUMMYFUNCTION("""COMPUTED_VALUE"""),2.0)</f>
        <v>2</v>
      </c>
      <c r="DY199" s="16"/>
      <c r="DZ199" s="16"/>
      <c r="EA199" s="16"/>
      <c r="EB199" s="16"/>
      <c r="EC199" s="16"/>
      <c r="ED199" s="16">
        <f>IFERROR(__xludf.DUMMYFUNCTION("""COMPUTED_VALUE"""),5.0)</f>
        <v>5</v>
      </c>
      <c r="EE199" s="16">
        <f>IFERROR(__xludf.DUMMYFUNCTION("""COMPUTED_VALUE"""),1.0)</f>
        <v>1</v>
      </c>
      <c r="EF199" s="16">
        <f>IFERROR(__xludf.DUMMYFUNCTION("""COMPUTED_VALUE"""),5.0)</f>
        <v>5</v>
      </c>
      <c r="EG199" s="179"/>
      <c r="EH199" s="179"/>
      <c r="EI199" s="179"/>
      <c r="EJ199" s="179"/>
      <c r="EK199" s="179"/>
      <c r="EL199" s="179">
        <f>IFERROR(__xludf.DUMMYFUNCTION("""COMPUTED_VALUE"""),6.0)</f>
        <v>6</v>
      </c>
      <c r="EM199" s="179">
        <f>IFERROR(__xludf.DUMMYFUNCTION("""COMPUTED_VALUE"""),2.0)</f>
        <v>2</v>
      </c>
      <c r="EN199" s="179">
        <f>IFERROR(__xludf.DUMMYFUNCTION("""COMPUTED_VALUE"""),6.0)</f>
        <v>6</v>
      </c>
      <c r="EO199" s="16"/>
      <c r="EP199" s="16">
        <f>IFERROR(__xludf.DUMMYFUNCTION("""COMPUTED_VALUE"""),2.0)</f>
        <v>2</v>
      </c>
      <c r="EQ199" s="16">
        <f>IFERROR(__xludf.DUMMYFUNCTION("""COMPUTED_VALUE"""),-1.0)</f>
        <v>-1</v>
      </c>
      <c r="ER199" s="16">
        <f>IFERROR(__xludf.DUMMYFUNCTION("""COMPUTED_VALUE"""),0.0)</f>
        <v>0</v>
      </c>
      <c r="ES199" s="16"/>
      <c r="ET199" s="16"/>
      <c r="EU199" s="16"/>
      <c r="EV199" s="16"/>
      <c r="EW199" s="16"/>
      <c r="EX199" s="180"/>
      <c r="EY199" s="180"/>
      <c r="EZ199" s="180"/>
      <c r="FA199" s="180"/>
      <c r="FB199" s="180"/>
      <c r="FC199" s="180">
        <f>IFERROR(__xludf.DUMMYFUNCTION("""COMPUTED_VALUE"""),0.15)</f>
        <v>0.15</v>
      </c>
      <c r="FD199" s="180">
        <f>IFERROR(__xludf.DUMMYFUNCTION("""COMPUTED_VALUE"""),0.55)</f>
        <v>0.55</v>
      </c>
      <c r="FE199" s="180">
        <f>IFERROR(__xludf.DUMMYFUNCTION("""COMPUTED_VALUE"""),0.15)</f>
        <v>0.15</v>
      </c>
      <c r="FF199" s="180"/>
      <c r="FG199" s="180"/>
      <c r="FH199" s="180"/>
      <c r="FI199" s="180"/>
      <c r="FJ199" s="180"/>
      <c r="FK199" s="180">
        <f>IFERROR(__xludf.DUMMYFUNCTION("""COMPUTED_VALUE"""),0.088)</f>
        <v>0.088</v>
      </c>
      <c r="FL199" s="180">
        <f>IFERROR(__xludf.DUMMYFUNCTION("""COMPUTED_VALUE"""),0.06018518518518518)</f>
        <v>0.06018518519</v>
      </c>
      <c r="FM199" s="180">
        <f>IFERROR(__xludf.DUMMYFUNCTION("""COMPUTED_VALUE"""),0.088)</f>
        <v>0.088</v>
      </c>
      <c r="FN199" s="16"/>
      <c r="FO199" s="16"/>
      <c r="FP199" s="16"/>
      <c r="FQ199" s="16"/>
      <c r="FR199" s="16"/>
      <c r="FS199" s="16">
        <f>IFERROR(__xludf.DUMMYFUNCTION("""COMPUTED_VALUE"""),0.7752)</f>
        <v>0.7752</v>
      </c>
      <c r="FT199" s="16">
        <f>IFERROR(__xludf.DUMMYFUNCTION("""COMPUTED_VALUE"""),0.4229166666666666)</f>
        <v>0.4229166667</v>
      </c>
      <c r="FU199" s="16">
        <f>IFERROR(__xludf.DUMMYFUNCTION("""COMPUTED_VALUE"""),0.7752)</f>
        <v>0.7752</v>
      </c>
      <c r="FV199" s="16"/>
      <c r="FW199" s="16"/>
      <c r="FX199" s="16"/>
      <c r="FY199" s="16"/>
      <c r="FZ199" s="16"/>
      <c r="GA199" s="16">
        <f>IFERROR(__xludf.DUMMYFUNCTION("""COMPUTED_VALUE"""),-3.0)</f>
        <v>-3</v>
      </c>
      <c r="GB199" s="16">
        <f>IFERROR(__xludf.DUMMYFUNCTION("""COMPUTED_VALUE"""),-10.0)</f>
        <v>-10</v>
      </c>
      <c r="GC199" s="16">
        <f>IFERROR(__xludf.DUMMYFUNCTION("""COMPUTED_VALUE"""),-3.0)</f>
        <v>-3</v>
      </c>
      <c r="GD199" s="16" t="s">
        <v>1452</v>
      </c>
    </row>
    <row r="200">
      <c r="A200" s="16">
        <f>IFERROR(__xludf.DUMMYFUNCTION("""COMPUTED_VALUE"""),12862.0)</f>
        <v>12862</v>
      </c>
      <c r="B200" s="16" t="str">
        <f>IFERROR(__xludf.DUMMYFUNCTION("""COMPUTED_VALUE"""),"Ha Seong Kim")</f>
        <v>Ha Seong Kim</v>
      </c>
      <c r="C200" s="16">
        <f>IFERROR(__xludf.DUMMYFUNCTION("""COMPUTED_VALUE"""),1.6)</f>
        <v>1.6</v>
      </c>
      <c r="D200" s="16" t="str">
        <f>IFERROR(__xludf.DUMMYFUNCTION("""COMPUTED_VALUE"""),"R")</f>
        <v>R</v>
      </c>
      <c r="E200" s="16"/>
      <c r="F200" s="16"/>
      <c r="G200" s="16">
        <f>IFERROR(__xludf.DUMMYFUNCTION("""COMPUTED_VALUE"""),403.0)</f>
        <v>403</v>
      </c>
      <c r="H200" s="16">
        <f>IFERROR(__xludf.DUMMYFUNCTION("""COMPUTED_VALUE"""),58.0)</f>
        <v>58</v>
      </c>
      <c r="I200" s="16" t="str">
        <f>IFERROR(__xludf.DUMMYFUNCTION("""COMPUTED_VALUE"""),"3p60")</f>
        <v>3p60</v>
      </c>
      <c r="J200" s="16">
        <f>IFERROR(__xludf.DUMMYFUNCTION("""COMPUTED_VALUE"""),6.0)</f>
        <v>6</v>
      </c>
      <c r="K200" s="16">
        <f>IFERROR(__xludf.DUMMYFUNCTION("""COMPUTED_VALUE"""),13.0)</f>
        <v>13</v>
      </c>
      <c r="L200" s="16">
        <f>IFERROR(__xludf.DUMMYFUNCTION("""COMPUTED_VALUE"""),2.0)</f>
        <v>2</v>
      </c>
      <c r="M200" s="16">
        <f>IFERROR(__xludf.DUMMYFUNCTION("""COMPUTED_VALUE"""),1.0)</f>
        <v>1</v>
      </c>
      <c r="N200" s="16">
        <f>IFERROR(__xludf.DUMMYFUNCTION("""COMPUTED_VALUE"""),2.0)</f>
        <v>2</v>
      </c>
      <c r="O200" s="16">
        <f>IFERROR(__xludf.DUMMYFUNCTION("""COMPUTED_VALUE"""),1.0)</f>
        <v>1</v>
      </c>
      <c r="P200" s="16">
        <f>IFERROR(__xludf.DUMMYFUNCTION("""COMPUTED_VALUE"""),18.0)</f>
        <v>18</v>
      </c>
      <c r="Q200" s="16">
        <f>IFERROR(__xludf.DUMMYFUNCTION("""COMPUTED_VALUE"""),17.0)</f>
        <v>17</v>
      </c>
      <c r="R200" s="16">
        <f>IFERROR(__xludf.DUMMYFUNCTION("""COMPUTED_VALUE"""),3.0)</f>
        <v>3</v>
      </c>
      <c r="S200" s="16">
        <f>IFERROR(__xludf.DUMMYFUNCTION("""COMPUTED_VALUE"""),2.0)</f>
        <v>2</v>
      </c>
      <c r="T200" s="16">
        <f>IFERROR(__xludf.DUMMYFUNCTION("""COMPUTED_VALUE"""),3.0)</f>
        <v>3</v>
      </c>
      <c r="U200" s="16">
        <f>IFERROR(__xludf.DUMMYFUNCTION("""COMPUTED_VALUE"""),2.0)</f>
        <v>2</v>
      </c>
      <c r="V200" s="16">
        <f>IFERROR(__xludf.DUMMYFUNCTION("""COMPUTED_VALUE"""),19.8)</f>
        <v>19.8</v>
      </c>
      <c r="W200" s="16">
        <f>IFERROR(__xludf.DUMMYFUNCTION("""COMPUTED_VALUE"""),16.3)</f>
        <v>16.3</v>
      </c>
      <c r="X200" s="16">
        <f>IFERROR(__xludf.DUMMYFUNCTION("""COMPUTED_VALUE"""),0.0)</f>
        <v>0</v>
      </c>
      <c r="Y200" s="16">
        <f>IFERROR(__xludf.DUMMYFUNCTION("""COMPUTED_VALUE"""),-1.0)</f>
        <v>-1</v>
      </c>
      <c r="Z200" s="16">
        <f>IFERROR(__xludf.DUMMYFUNCTION("""COMPUTED_VALUE"""),0.0)</f>
        <v>0</v>
      </c>
      <c r="AA200" s="16">
        <f>IFERROR(__xludf.DUMMYFUNCTION("""COMPUTED_VALUE"""),-2.0)</f>
        <v>-2</v>
      </c>
      <c r="AB200" s="16">
        <f>IFERROR(__xludf.DUMMYFUNCTION("""COMPUTED_VALUE"""),38.8)</f>
        <v>38.8</v>
      </c>
      <c r="AC200" s="16">
        <f>IFERROR(__xludf.DUMMYFUNCTION("""COMPUTED_VALUE"""),34.3)</f>
        <v>34.3</v>
      </c>
      <c r="AD200" s="16">
        <f>IFERROR(__xludf.DUMMYFUNCTION("""COMPUTED_VALUE"""),1.0)</f>
        <v>1</v>
      </c>
      <c r="AE200" s="16">
        <f>IFERROR(__xludf.DUMMYFUNCTION("""COMPUTED_VALUE"""),0.0)</f>
        <v>0</v>
      </c>
      <c r="AF200" s="16">
        <f>IFERROR(__xludf.DUMMYFUNCTION("""COMPUTED_VALUE"""),5.0)</f>
        <v>5</v>
      </c>
      <c r="AG200" s="16">
        <f>IFERROR(__xludf.DUMMYFUNCTION("""COMPUTED_VALUE"""),0.0)</f>
        <v>0</v>
      </c>
      <c r="AH200" s="16">
        <f>IFERROR(__xludf.DUMMYFUNCTION("""COMPUTED_VALUE"""),27.8)</f>
        <v>27.8</v>
      </c>
      <c r="AI200" s="16">
        <f>IFERROR(__xludf.DUMMYFUNCTION("""COMPUTED_VALUE"""),24.1)</f>
        <v>24.1</v>
      </c>
      <c r="AJ200" s="16">
        <f>IFERROR(__xludf.DUMMYFUNCTION("""COMPUTED_VALUE"""),0.0)</f>
        <v>0</v>
      </c>
      <c r="AK200" s="16">
        <f>IFERROR(__xludf.DUMMYFUNCTION("""COMPUTED_VALUE"""),-1.0)</f>
        <v>-1</v>
      </c>
      <c r="AL200" s="16">
        <f>IFERROR(__xludf.DUMMYFUNCTION("""COMPUTED_VALUE"""),0.0)</f>
        <v>0</v>
      </c>
      <c r="AM200" s="16">
        <f>IFERROR(__xludf.DUMMYFUNCTION("""COMPUTED_VALUE"""),-5.0)</f>
        <v>-5</v>
      </c>
      <c r="AN200" s="16">
        <f>IFERROR(__xludf.DUMMYFUNCTION("""COMPUTED_VALUE"""),1.2)</f>
        <v>1.2</v>
      </c>
      <c r="AO200" s="16">
        <f>IFERROR(__xludf.DUMMYFUNCTION("""COMPUTED_VALUE"""),1.2)</f>
        <v>1.2</v>
      </c>
      <c r="AP200" s="16">
        <f>IFERROR(__xludf.DUMMYFUNCTION("""COMPUTED_VALUE"""),-1.0)</f>
        <v>-1</v>
      </c>
      <c r="AQ200" s="16">
        <f>IFERROR(__xludf.DUMMYFUNCTION("""COMPUTED_VALUE"""),-2.0)</f>
        <v>-2</v>
      </c>
      <c r="AR200" s="16">
        <f>IFERROR(__xludf.DUMMYFUNCTION("""COMPUTED_VALUE"""),-2.0)</f>
        <v>-2</v>
      </c>
      <c r="AS200" s="16">
        <f>IFERROR(__xludf.DUMMYFUNCTION("""COMPUTED_VALUE"""),-4.0)</f>
        <v>-4</v>
      </c>
      <c r="AT200" s="16">
        <f>IFERROR(__xludf.DUMMYFUNCTION("""COMPUTED_VALUE"""),1.0)</f>
        <v>1</v>
      </c>
      <c r="AU200" s="16">
        <f>IFERROR(__xludf.DUMMYFUNCTION("""COMPUTED_VALUE"""),2.0)</f>
        <v>2</v>
      </c>
      <c r="AV200" s="16">
        <f>IFERROR(__xludf.DUMMYFUNCTION("""COMPUTED_VALUE"""),1.0)</f>
        <v>1</v>
      </c>
      <c r="AW200" s="16">
        <f>IFERROR(__xludf.DUMMYFUNCTION("""COMPUTED_VALUE"""),2.0)</f>
        <v>2</v>
      </c>
      <c r="AX200" s="16">
        <f>IFERROR(__xludf.DUMMYFUNCTION("""COMPUTED_VALUE"""),-1.0)</f>
        <v>-1</v>
      </c>
      <c r="AY200" s="16">
        <f>IFERROR(__xludf.DUMMYFUNCTION("""COMPUTED_VALUE"""),0.0)</f>
        <v>0</v>
      </c>
      <c r="AZ200" s="16">
        <f>IFERROR(__xludf.DUMMYFUNCTION("""COMPUTED_VALUE"""),-3.0)</f>
        <v>-3</v>
      </c>
      <c r="BA200" s="16">
        <f>IFERROR(__xludf.DUMMYFUNCTION("""COMPUTED_VALUE"""),0.0)</f>
        <v>0</v>
      </c>
      <c r="BB200" s="16">
        <f>IFERROR(__xludf.DUMMYFUNCTION("""COMPUTED_VALUE"""),5.0)</f>
        <v>5</v>
      </c>
      <c r="BC200" s="16">
        <f>IFERROR(__xludf.DUMMYFUNCTION("""COMPUTED_VALUE"""),5.0)</f>
        <v>5</v>
      </c>
      <c r="BD200" s="16">
        <f>IFERROR(__xludf.DUMMYFUNCTION("""COMPUTED_VALUE"""),1.0)</f>
        <v>1</v>
      </c>
      <c r="BE200" s="16">
        <f>IFERROR(__xludf.DUMMYFUNCTION("""COMPUTED_VALUE"""),1.0)</f>
        <v>1</v>
      </c>
      <c r="BF200" s="16">
        <f>IFERROR(__xludf.DUMMYFUNCTION("""COMPUTED_VALUE"""),1.0)</f>
        <v>1</v>
      </c>
      <c r="BG200" s="16">
        <f>IFERROR(__xludf.DUMMYFUNCTION("""COMPUTED_VALUE"""),1.0)</f>
        <v>1</v>
      </c>
      <c r="BH200" s="16">
        <f>IFERROR(__xludf.DUMMYFUNCTION("""COMPUTED_VALUE"""),-6.0)</f>
        <v>-6</v>
      </c>
      <c r="BI200" s="16">
        <f>IFERROR(__xludf.DUMMYFUNCTION("""COMPUTED_VALUE"""),-6.0)</f>
        <v>-6</v>
      </c>
      <c r="BJ200" s="16">
        <f>IFERROR(__xludf.DUMMYFUNCTION("""COMPUTED_VALUE"""),13.0)</f>
        <v>13</v>
      </c>
      <c r="BK200" s="16">
        <f>IFERROR(__xludf.DUMMYFUNCTION("""COMPUTED_VALUE"""),14.0)</f>
        <v>14</v>
      </c>
      <c r="BL200" s="16">
        <f>IFERROR(__xludf.DUMMYFUNCTION("""COMPUTED_VALUE"""),0.0)</f>
        <v>0</v>
      </c>
      <c r="BM200" s="16">
        <f>IFERROR(__xludf.DUMMYFUNCTION("""COMPUTED_VALUE"""),0.0)</f>
        <v>0</v>
      </c>
      <c r="BN200" s="16">
        <f>IFERROR(__xludf.DUMMYFUNCTION("""COMPUTED_VALUE"""),0.0)</f>
        <v>0</v>
      </c>
      <c r="BO200" s="16">
        <f>IFERROR(__xludf.DUMMYFUNCTION("""COMPUTED_VALUE"""),0.0)</f>
        <v>0</v>
      </c>
      <c r="BP200" s="16">
        <f>IFERROR(__xludf.DUMMYFUNCTION("""COMPUTED_VALUE"""),5.0)</f>
        <v>5</v>
      </c>
      <c r="BQ200" s="16">
        <f>IFERROR(__xludf.DUMMYFUNCTION("""COMPUTED_VALUE"""),0.0)</f>
        <v>0</v>
      </c>
      <c r="BR200" s="16">
        <f>IFERROR(__xludf.DUMMYFUNCTION("""COMPUTED_VALUE"""),5.0)</f>
        <v>5</v>
      </c>
      <c r="BS200" s="16" t="str">
        <f>IFERROR(__xludf.DUMMYFUNCTION("""COMPUTED_VALUE"""),"*2-5,12/- (19-13)")</f>
        <v>*2-5,12/- (19-13)</v>
      </c>
      <c r="BT200" s="16" t="str">
        <f>IFERROR(__xludf.DUMMYFUNCTION("""COMPUTED_VALUE"""),"A")</f>
        <v>A</v>
      </c>
      <c r="BU200" s="16">
        <f>IFERROR(__xludf.DUMMYFUNCTION("""COMPUTED_VALUE"""),15.0)</f>
        <v>15</v>
      </c>
      <c r="BV200" s="16">
        <f>IFERROR(__xludf.DUMMYFUNCTION("""COMPUTED_VALUE"""),2.0)</f>
        <v>2</v>
      </c>
      <c r="BW200" s="16">
        <f>IFERROR(__xludf.DUMMYFUNCTION("""COMPUTED_VALUE"""),2.0)</f>
        <v>2</v>
      </c>
      <c r="BX200" s="16">
        <f>IFERROR(__xludf.DUMMYFUNCTION("""COMPUTED_VALUE"""),4.0)</f>
        <v>4</v>
      </c>
      <c r="BY200" s="16">
        <f>IFERROR(__xludf.DUMMYFUNCTION("""COMPUTED_VALUE"""),6.0)</f>
        <v>6</v>
      </c>
      <c r="BZ200" s="16" t="str">
        <f>IFERROR(__xludf.DUMMYFUNCTION("""COMPUTED_VALUE"""),"B")</f>
        <v>B</v>
      </c>
      <c r="CA200" s="16" t="str">
        <f>IFERROR(__xludf.DUMMYFUNCTION("""COMPUTED_VALUE"""),"C")</f>
        <v>C</v>
      </c>
      <c r="CB200" s="16">
        <f>IFERROR(__xludf.DUMMYFUNCTION("""COMPUTED_VALUE"""),1.0)</f>
        <v>1</v>
      </c>
      <c r="CC200" s="16">
        <f>IFERROR(__xludf.DUMMYFUNCTION("""COMPUTED_VALUE"""),0.0)</f>
        <v>0</v>
      </c>
      <c r="CD200" s="16">
        <f>IFERROR(__xludf.DUMMYFUNCTION("""COMPUTED_VALUE"""),1.0)</f>
        <v>1</v>
      </c>
      <c r="CE200" s="16">
        <f>IFERROR(__xludf.DUMMYFUNCTION("""COMPUTED_VALUE"""),0.0)</f>
        <v>0</v>
      </c>
      <c r="CF200" s="16">
        <f>IFERROR(__xludf.DUMMYFUNCTION("""COMPUTED_VALUE"""),3.0)</f>
        <v>3</v>
      </c>
      <c r="CG200" s="16">
        <f>IFERROR(__xludf.DUMMYFUNCTION("""COMPUTED_VALUE"""),6.0)</f>
        <v>6</v>
      </c>
      <c r="CH200" s="16">
        <f>IFERROR(__xludf.DUMMYFUNCTION("""COMPUTED_VALUE"""),-7.0)</f>
        <v>-7</v>
      </c>
      <c r="CI200" s="179">
        <f>IFERROR(__xludf.DUMMYFUNCTION("""COMPUTED_VALUE"""),1.0)</f>
        <v>1</v>
      </c>
      <c r="CJ200" s="16"/>
      <c r="CK200" s="16"/>
      <c r="CL200" s="16"/>
      <c r="CM200" s="16"/>
      <c r="CN200" s="16">
        <f>IFERROR(__xludf.DUMMYFUNCTION("""COMPUTED_VALUE"""),216.0)</f>
        <v>216</v>
      </c>
      <c r="CO200" s="16"/>
      <c r="CP200" s="16"/>
      <c r="CQ200" s="16"/>
      <c r="CR200" s="16" t="str">
        <f>IFERROR(__xludf.DUMMYFUNCTION("""COMPUTED_VALUE"""),"ss-2e16")</f>
        <v>ss-2e16</v>
      </c>
      <c r="CS200" s="16"/>
      <c r="CT200" s="16"/>
      <c r="CU200" s="16"/>
      <c r="CV200" s="16"/>
      <c r="CW200" s="16">
        <f>IFERROR(__xludf.DUMMYFUNCTION("""COMPUTED_VALUE"""),2.0)</f>
        <v>2</v>
      </c>
      <c r="CX200" s="16"/>
      <c r="CY200" s="16"/>
      <c r="CZ200" s="16"/>
      <c r="DA200" s="16"/>
      <c r="DB200" s="16"/>
      <c r="DC200" s="16"/>
      <c r="DD200" s="16"/>
      <c r="DE200" s="16">
        <f>IFERROR(__xludf.DUMMYFUNCTION("""COMPUTED_VALUE"""),16.0)</f>
        <v>16</v>
      </c>
      <c r="DF200" s="16"/>
      <c r="DG200" s="16"/>
      <c r="DH200" s="16"/>
      <c r="DI200" s="16"/>
      <c r="DJ200" s="16"/>
      <c r="DK200" s="16"/>
      <c r="DL200" s="16"/>
      <c r="DM200" s="16">
        <f>IFERROR(__xludf.DUMMYFUNCTION("""COMPUTED_VALUE"""),3.0)</f>
        <v>3</v>
      </c>
      <c r="DN200" s="16"/>
      <c r="DO200" s="16"/>
      <c r="DP200" s="16"/>
      <c r="DQ200" s="16"/>
      <c r="DR200" s="16"/>
      <c r="DS200" s="16"/>
      <c r="DT200" s="16"/>
      <c r="DU200" s="16">
        <f>IFERROR(__xludf.DUMMYFUNCTION("""COMPUTED_VALUE"""),2.0)</f>
        <v>2</v>
      </c>
      <c r="DV200" s="16"/>
      <c r="DW200" s="16"/>
      <c r="DX200" s="16"/>
      <c r="DY200" s="16"/>
      <c r="DZ200" s="16"/>
      <c r="EA200" s="16"/>
      <c r="EB200" s="16"/>
      <c r="EC200" s="16">
        <f>IFERROR(__xludf.DUMMYFUNCTION("""COMPUTED_VALUE"""),5.0)</f>
        <v>5</v>
      </c>
      <c r="ED200" s="16"/>
      <c r="EE200" s="16"/>
      <c r="EF200" s="16"/>
      <c r="EG200" s="179"/>
      <c r="EH200" s="179"/>
      <c r="EI200" s="179"/>
      <c r="EJ200" s="179"/>
      <c r="EK200" s="179">
        <f>IFERROR(__xludf.DUMMYFUNCTION("""COMPUTED_VALUE"""),6.0)</f>
        <v>6</v>
      </c>
      <c r="EL200" s="179"/>
      <c r="EM200" s="179"/>
      <c r="EN200" s="179"/>
      <c r="EO200" s="16"/>
      <c r="EP200" s="16">
        <f>IFERROR(__xludf.DUMMYFUNCTION("""COMPUTED_VALUE"""),-2.0)</f>
        <v>-2</v>
      </c>
      <c r="EQ200" s="16">
        <f>IFERROR(__xludf.DUMMYFUNCTION("""COMPUTED_VALUE"""),1.0)</f>
        <v>1</v>
      </c>
      <c r="ER200" s="16">
        <f>IFERROR(__xludf.DUMMYFUNCTION("""COMPUTED_VALUE"""),1.0)</f>
        <v>1</v>
      </c>
      <c r="ES200" s="16"/>
      <c r="ET200" s="16"/>
      <c r="EU200" s="16"/>
      <c r="EV200" s="16"/>
      <c r="EW200" s="16"/>
      <c r="EX200" s="180"/>
      <c r="EY200" s="180"/>
      <c r="EZ200" s="180"/>
      <c r="FA200" s="180"/>
      <c r="FB200" s="180">
        <f>IFERROR(__xludf.DUMMYFUNCTION("""COMPUTED_VALUE"""),0.1)</f>
        <v>0.1</v>
      </c>
      <c r="FC200" s="180"/>
      <c r="FD200" s="180"/>
      <c r="FE200" s="180"/>
      <c r="FF200" s="180"/>
      <c r="FG200" s="180"/>
      <c r="FH200" s="180"/>
      <c r="FI200" s="180"/>
      <c r="FJ200" s="180">
        <f>IFERROR(__xludf.DUMMYFUNCTION("""COMPUTED_VALUE"""),0.08333333333333333)</f>
        <v>0.08333333333</v>
      </c>
      <c r="FK200" s="180"/>
      <c r="FL200" s="180"/>
      <c r="FM200" s="180"/>
      <c r="FN200" s="16"/>
      <c r="FO200" s="16"/>
      <c r="FP200" s="16"/>
      <c r="FQ200" s="16"/>
      <c r="FR200" s="16">
        <f>IFERROR(__xludf.DUMMYFUNCTION("""COMPUTED_VALUE"""),0.825)</f>
        <v>0.825</v>
      </c>
      <c r="FS200" s="16"/>
      <c r="FT200" s="16"/>
      <c r="FU200" s="16"/>
      <c r="FV200" s="16"/>
      <c r="FW200" s="16"/>
      <c r="FX200" s="16"/>
      <c r="FY200" s="16"/>
      <c r="FZ200" s="16">
        <f>IFERROR(__xludf.DUMMYFUNCTION("""COMPUTED_VALUE"""),1.0)</f>
        <v>1</v>
      </c>
      <c r="GA200" s="16"/>
      <c r="GB200" s="16"/>
      <c r="GC200" s="16"/>
      <c r="GD200" s="16" t="s">
        <v>1175</v>
      </c>
    </row>
    <row r="201">
      <c r="A201" s="16">
        <f>IFERROR(__xludf.DUMMYFUNCTION("""COMPUTED_VALUE"""),12905.0)</f>
        <v>12905</v>
      </c>
      <c r="B201" s="16" t="str">
        <f>IFERROR(__xludf.DUMMYFUNCTION("""COMPUTED_VALUE"""),"Jacob Young")</f>
        <v>Jacob Young</v>
      </c>
      <c r="C201" s="16">
        <f>IFERROR(__xludf.DUMMYFUNCTION("""COMPUTED_VALUE"""),1.56)</f>
        <v>1.56</v>
      </c>
      <c r="D201" s="16" t="str">
        <f>IFERROR(__xludf.DUMMYFUNCTION("""COMPUTED_VALUE"""),"R")</f>
        <v>R</v>
      </c>
      <c r="E201" s="16"/>
      <c r="F201" s="16"/>
      <c r="G201" s="16">
        <f>IFERROR(__xludf.DUMMYFUNCTION("""COMPUTED_VALUE"""),468.0)</f>
        <v>468</v>
      </c>
      <c r="H201" s="16">
        <f>IFERROR(__xludf.DUMMYFUNCTION("""COMPUTED_VALUE"""),30.0)</f>
        <v>30</v>
      </c>
      <c r="I201" s="16" t="str">
        <f>IFERROR(__xludf.DUMMYFUNCTION("""COMPUTED_VALUE"""),"1p70")</f>
        <v>1p70</v>
      </c>
      <c r="J201" s="16">
        <f>IFERROR(__xludf.DUMMYFUNCTION("""COMPUTED_VALUE"""),13.0)</f>
        <v>13</v>
      </c>
      <c r="K201" s="16">
        <f>IFERROR(__xludf.DUMMYFUNCTION("""COMPUTED_VALUE"""),20.0)</f>
        <v>20</v>
      </c>
      <c r="L201" s="16">
        <f>IFERROR(__xludf.DUMMYFUNCTION("""COMPUTED_VALUE"""),1.0)</f>
        <v>1</v>
      </c>
      <c r="M201" s="16">
        <f>IFERROR(__xludf.DUMMYFUNCTION("""COMPUTED_VALUE"""),0.0)</f>
        <v>0</v>
      </c>
      <c r="N201" s="16">
        <f>IFERROR(__xludf.DUMMYFUNCTION("""COMPUTED_VALUE"""),1.0)</f>
        <v>1</v>
      </c>
      <c r="O201" s="16">
        <f>IFERROR(__xludf.DUMMYFUNCTION("""COMPUTED_VALUE"""),0.0)</f>
        <v>0</v>
      </c>
      <c r="P201" s="16">
        <f>IFERROR(__xludf.DUMMYFUNCTION("""COMPUTED_VALUE"""),3.0)</f>
        <v>3</v>
      </c>
      <c r="Q201" s="16">
        <f>IFERROR(__xludf.DUMMYFUNCTION("""COMPUTED_VALUE"""),5.0)</f>
        <v>5</v>
      </c>
      <c r="R201" s="16">
        <f>IFERROR(__xludf.DUMMYFUNCTION("""COMPUTED_VALUE"""),-2.0)</f>
        <v>-2</v>
      </c>
      <c r="S201" s="16">
        <f>IFERROR(__xludf.DUMMYFUNCTION("""COMPUTED_VALUE"""),-1.0)</f>
        <v>-1</v>
      </c>
      <c r="T201" s="16">
        <f>IFERROR(__xludf.DUMMYFUNCTION("""COMPUTED_VALUE"""),-2.0)</f>
        <v>-2</v>
      </c>
      <c r="U201" s="16">
        <f>IFERROR(__xludf.DUMMYFUNCTION("""COMPUTED_VALUE"""),-1.0)</f>
        <v>-1</v>
      </c>
      <c r="V201" s="16">
        <f>IFERROR(__xludf.DUMMYFUNCTION("""COMPUTED_VALUE"""),29.5)</f>
        <v>29.5</v>
      </c>
      <c r="W201" s="16">
        <f>IFERROR(__xludf.DUMMYFUNCTION("""COMPUTED_VALUE"""),22.1)</f>
        <v>22.1</v>
      </c>
      <c r="X201" s="16">
        <f>IFERROR(__xludf.DUMMYFUNCTION("""COMPUTED_VALUE"""),1.0)</f>
        <v>1</v>
      </c>
      <c r="Y201" s="16">
        <f>IFERROR(__xludf.DUMMYFUNCTION("""COMPUTED_VALUE"""),0.0)</f>
        <v>0</v>
      </c>
      <c r="Z201" s="16">
        <f>IFERROR(__xludf.DUMMYFUNCTION("""COMPUTED_VALUE"""),2.0)</f>
        <v>2</v>
      </c>
      <c r="AA201" s="16">
        <f>IFERROR(__xludf.DUMMYFUNCTION("""COMPUTED_VALUE"""),0.0)</f>
        <v>0</v>
      </c>
      <c r="AB201" s="16">
        <f>IFERROR(__xludf.DUMMYFUNCTION("""COMPUTED_VALUE"""),37.5)</f>
        <v>37.5</v>
      </c>
      <c r="AC201" s="16">
        <f>IFERROR(__xludf.DUMMYFUNCTION("""COMPUTED_VALUE"""),32.1)</f>
        <v>32.1</v>
      </c>
      <c r="AD201" s="16">
        <f>IFERROR(__xludf.DUMMYFUNCTION("""COMPUTED_VALUE"""),1.0)</f>
        <v>1</v>
      </c>
      <c r="AE201" s="16">
        <f>IFERROR(__xludf.DUMMYFUNCTION("""COMPUTED_VALUE"""),0.0)</f>
        <v>0</v>
      </c>
      <c r="AF201" s="16">
        <f>IFERROR(__xludf.DUMMYFUNCTION("""COMPUTED_VALUE"""),5.0)</f>
        <v>5</v>
      </c>
      <c r="AG201" s="16">
        <f>IFERROR(__xludf.DUMMYFUNCTION("""COMPUTED_VALUE"""),0.0)</f>
        <v>0</v>
      </c>
      <c r="AH201" s="16">
        <f>IFERROR(__xludf.DUMMYFUNCTION("""COMPUTED_VALUE"""),38.1)</f>
        <v>38.1</v>
      </c>
      <c r="AI201" s="16">
        <f>IFERROR(__xludf.DUMMYFUNCTION("""COMPUTED_VALUE"""),31.6)</f>
        <v>31.6</v>
      </c>
      <c r="AJ201" s="16">
        <f>IFERROR(__xludf.DUMMYFUNCTION("""COMPUTED_VALUE"""),1.0)</f>
        <v>1</v>
      </c>
      <c r="AK201" s="16">
        <f>IFERROR(__xludf.DUMMYFUNCTION("""COMPUTED_VALUE"""),0.0)</f>
        <v>0</v>
      </c>
      <c r="AL201" s="16">
        <f>IFERROR(__xludf.DUMMYFUNCTION("""COMPUTED_VALUE"""),5.0)</f>
        <v>5</v>
      </c>
      <c r="AM201" s="16">
        <f>IFERROR(__xludf.DUMMYFUNCTION("""COMPUTED_VALUE"""),0.0)</f>
        <v>0</v>
      </c>
      <c r="AN201" s="16">
        <f>IFERROR(__xludf.DUMMYFUNCTION("""COMPUTED_VALUE"""),1.5)</f>
        <v>1.5</v>
      </c>
      <c r="AO201" s="16">
        <f>IFERROR(__xludf.DUMMYFUNCTION("""COMPUTED_VALUE"""),1.3)</f>
        <v>1.3</v>
      </c>
      <c r="AP201" s="16">
        <f>IFERROR(__xludf.DUMMYFUNCTION("""COMPUTED_VALUE"""),-1.0)</f>
        <v>-1</v>
      </c>
      <c r="AQ201" s="16">
        <f>IFERROR(__xludf.DUMMYFUNCTION("""COMPUTED_VALUE"""),-1.0)</f>
        <v>-1</v>
      </c>
      <c r="AR201" s="16">
        <f>IFERROR(__xludf.DUMMYFUNCTION("""COMPUTED_VALUE"""),-2.0)</f>
        <v>-2</v>
      </c>
      <c r="AS201" s="16">
        <f>IFERROR(__xludf.DUMMYFUNCTION("""COMPUTED_VALUE"""),-2.0)</f>
        <v>-2</v>
      </c>
      <c r="AT201" s="16"/>
      <c r="AU201" s="16"/>
      <c r="AV201" s="16">
        <f>IFERROR(__xludf.DUMMYFUNCTION("""COMPUTED_VALUE"""),-3.0)</f>
        <v>-3</v>
      </c>
      <c r="AW201" s="16">
        <f>IFERROR(__xludf.DUMMYFUNCTION("""COMPUTED_VALUE"""),-3.0)</f>
        <v>-3</v>
      </c>
      <c r="AX201" s="16">
        <f>IFERROR(__xludf.DUMMYFUNCTION("""COMPUTED_VALUE"""),-3.0)</f>
        <v>-3</v>
      </c>
      <c r="AY201" s="16">
        <f>IFERROR(__xludf.DUMMYFUNCTION("""COMPUTED_VALUE"""),-3.0)</f>
        <v>-3</v>
      </c>
      <c r="AZ201" s="16">
        <f>IFERROR(__xludf.DUMMYFUNCTION("""COMPUTED_VALUE"""),-9.0)</f>
        <v>-9</v>
      </c>
      <c r="BA201" s="16">
        <f>IFERROR(__xludf.DUMMYFUNCTION("""COMPUTED_VALUE"""),-9.0)</f>
        <v>-9</v>
      </c>
      <c r="BB201" s="16">
        <f>IFERROR(__xludf.DUMMYFUNCTION("""COMPUTED_VALUE"""),5.0)</f>
        <v>5</v>
      </c>
      <c r="BC201" s="16">
        <f>IFERROR(__xludf.DUMMYFUNCTION("""COMPUTED_VALUE"""),5.0)</f>
        <v>5</v>
      </c>
      <c r="BD201" s="16">
        <f>IFERROR(__xludf.DUMMYFUNCTION("""COMPUTED_VALUE"""),1.0)</f>
        <v>1</v>
      </c>
      <c r="BE201" s="16">
        <f>IFERROR(__xludf.DUMMYFUNCTION("""COMPUTED_VALUE"""),1.0)</f>
        <v>1</v>
      </c>
      <c r="BF201" s="16">
        <f>IFERROR(__xludf.DUMMYFUNCTION("""COMPUTED_VALUE"""),1.0)</f>
        <v>1</v>
      </c>
      <c r="BG201" s="16">
        <f>IFERROR(__xludf.DUMMYFUNCTION("""COMPUTED_VALUE"""),1.0)</f>
        <v>1</v>
      </c>
      <c r="BH201" s="16">
        <f>IFERROR(__xludf.DUMMYFUNCTION("""COMPUTED_VALUE"""),-1.0)</f>
        <v>-1</v>
      </c>
      <c r="BI201" s="16">
        <f>IFERROR(__xludf.DUMMYFUNCTION("""COMPUTED_VALUE"""),-1.0)</f>
        <v>-1</v>
      </c>
      <c r="BJ201" s="16">
        <f>IFERROR(__xludf.DUMMYFUNCTION("""COMPUTED_VALUE"""),18.0)</f>
        <v>18</v>
      </c>
      <c r="BK201" s="16">
        <f>IFERROR(__xludf.DUMMYFUNCTION("""COMPUTED_VALUE"""),18.0)</f>
        <v>18</v>
      </c>
      <c r="BL201" s="16">
        <f>IFERROR(__xludf.DUMMYFUNCTION("""COMPUTED_VALUE"""),-1.0)</f>
        <v>-1</v>
      </c>
      <c r="BM201" s="16">
        <f>IFERROR(__xludf.DUMMYFUNCTION("""COMPUTED_VALUE"""),-1.0)</f>
        <v>-1</v>
      </c>
      <c r="BN201" s="16">
        <f>IFERROR(__xludf.DUMMYFUNCTION("""COMPUTED_VALUE"""),-2.0)</f>
        <v>-2</v>
      </c>
      <c r="BO201" s="16">
        <f>IFERROR(__xludf.DUMMYFUNCTION("""COMPUTED_VALUE"""),-2.0)</f>
        <v>-2</v>
      </c>
      <c r="BP201" s="16">
        <f>IFERROR(__xludf.DUMMYFUNCTION("""COMPUTED_VALUE"""),-2.0)</f>
        <v>-2</v>
      </c>
      <c r="BQ201" s="16">
        <f>IFERROR(__xludf.DUMMYFUNCTION("""COMPUTED_VALUE"""),-5.0)</f>
        <v>-5</v>
      </c>
      <c r="BR201" s="16">
        <f>IFERROR(__xludf.DUMMYFUNCTION("""COMPUTED_VALUE"""),-7.0)</f>
        <v>-7</v>
      </c>
      <c r="BS201" s="16" t="str">
        <f>IFERROR(__xludf.DUMMYFUNCTION("""COMPUTED_VALUE"""),"*3-6/- (18-15)")</f>
        <v>*3-6/- (18-15)</v>
      </c>
      <c r="BT201" s="16" t="str">
        <f>IFERROR(__xludf.DUMMYFUNCTION("""COMPUTED_VALUE"""),"AA")</f>
        <v>AA</v>
      </c>
      <c r="BU201" s="16">
        <f>IFERROR(__xludf.DUMMYFUNCTION("""COMPUTED_VALUE"""),17.0)</f>
        <v>17</v>
      </c>
      <c r="BV201" s="16">
        <f>IFERROR(__xludf.DUMMYFUNCTION("""COMPUTED_VALUE"""),3.0)</f>
        <v>3</v>
      </c>
      <c r="BW201" s="16">
        <f>IFERROR(__xludf.DUMMYFUNCTION("""COMPUTED_VALUE"""),3.0)</f>
        <v>3</v>
      </c>
      <c r="BX201" s="16">
        <f>IFERROR(__xludf.DUMMYFUNCTION("""COMPUTED_VALUE"""),6.0)</f>
        <v>6</v>
      </c>
      <c r="BY201" s="16">
        <f>IFERROR(__xludf.DUMMYFUNCTION("""COMPUTED_VALUE"""),9.0)</f>
        <v>9</v>
      </c>
      <c r="BZ201" s="16" t="str">
        <f>IFERROR(__xludf.DUMMYFUNCTION("""COMPUTED_VALUE"""),"A")</f>
        <v>A</v>
      </c>
      <c r="CA201" s="16" t="str">
        <f>IFERROR(__xludf.DUMMYFUNCTION("""COMPUTED_VALUE"""),"C")</f>
        <v>C</v>
      </c>
      <c r="CB201" s="16">
        <f>IFERROR(__xludf.DUMMYFUNCTION("""COMPUTED_VALUE"""),2.0)</f>
        <v>2</v>
      </c>
      <c r="CC201" s="16">
        <f>IFERROR(__xludf.DUMMYFUNCTION("""COMPUTED_VALUE"""),0.0)</f>
        <v>0</v>
      </c>
      <c r="CD201" s="16">
        <f>IFERROR(__xludf.DUMMYFUNCTION("""COMPUTED_VALUE"""),2.0)</f>
        <v>2</v>
      </c>
      <c r="CE201" s="16">
        <f>IFERROR(__xludf.DUMMYFUNCTION("""COMPUTED_VALUE"""),0.0)</f>
        <v>0</v>
      </c>
      <c r="CF201" s="16">
        <f>IFERROR(__xludf.DUMMYFUNCTION("""COMPUTED_VALUE"""),1.0)</f>
        <v>1</v>
      </c>
      <c r="CG201" s="16">
        <f>IFERROR(__xludf.DUMMYFUNCTION("""COMPUTED_VALUE"""),-1.0)</f>
        <v>-1</v>
      </c>
      <c r="CH201" s="16">
        <f>IFERROR(__xludf.DUMMYFUNCTION("""COMPUTED_VALUE"""),-13.0)</f>
        <v>-13</v>
      </c>
      <c r="CI201" s="179">
        <f>IFERROR(__xludf.DUMMYFUNCTION("""COMPUTED_VALUE"""),1.0)</f>
        <v>1</v>
      </c>
      <c r="CJ201" s="16"/>
      <c r="CK201" s="16"/>
      <c r="CL201" s="16"/>
      <c r="CM201" s="16"/>
      <c r="CN201" s="16"/>
      <c r="CO201" s="16"/>
      <c r="CP201" s="16">
        <f>IFERROR(__xludf.DUMMYFUNCTION("""COMPUTED_VALUE"""),109.0)</f>
        <v>109</v>
      </c>
      <c r="CQ201" s="16"/>
      <c r="CR201" s="16" t="str">
        <f>IFERROR(__xludf.DUMMYFUNCTION("""COMPUTED_VALUE"""),"cf-1(-1)e9")</f>
        <v>cf-1(-1)e9</v>
      </c>
      <c r="CS201" s="16"/>
      <c r="CT201" s="16"/>
      <c r="CU201" s="16"/>
      <c r="CV201" s="16"/>
      <c r="CW201" s="16"/>
      <c r="CX201" s="16"/>
      <c r="CY201" s="16">
        <f>IFERROR(__xludf.DUMMYFUNCTION("""COMPUTED_VALUE"""),1.0)</f>
        <v>1</v>
      </c>
      <c r="CZ201" s="16"/>
      <c r="DA201" s="16"/>
      <c r="DB201" s="16"/>
      <c r="DC201" s="16"/>
      <c r="DD201" s="16"/>
      <c r="DE201" s="16"/>
      <c r="DF201" s="16"/>
      <c r="DG201" s="16">
        <f>IFERROR(__xludf.DUMMYFUNCTION("""COMPUTED_VALUE"""),9.0)</f>
        <v>9</v>
      </c>
      <c r="DH201" s="16"/>
      <c r="DI201" s="16"/>
      <c r="DJ201" s="16"/>
      <c r="DK201" s="16"/>
      <c r="DL201" s="16"/>
      <c r="DM201" s="16"/>
      <c r="DN201" s="16"/>
      <c r="DO201" s="16">
        <f>IFERROR(__xludf.DUMMYFUNCTION("""COMPUTED_VALUE"""),4.0)</f>
        <v>4</v>
      </c>
      <c r="DP201" s="16"/>
      <c r="DQ201" s="16"/>
      <c r="DR201" s="16"/>
      <c r="DS201" s="16"/>
      <c r="DT201" s="16"/>
      <c r="DU201" s="16"/>
      <c r="DV201" s="16"/>
      <c r="DW201" s="16">
        <f>IFERROR(__xludf.DUMMYFUNCTION("""COMPUTED_VALUE"""),2.0)</f>
        <v>2</v>
      </c>
      <c r="DX201" s="16"/>
      <c r="DY201" s="16"/>
      <c r="DZ201" s="16"/>
      <c r="EA201" s="16"/>
      <c r="EB201" s="16"/>
      <c r="EC201" s="16"/>
      <c r="ED201" s="16"/>
      <c r="EE201" s="16">
        <f>IFERROR(__xludf.DUMMYFUNCTION("""COMPUTED_VALUE"""),6.0)</f>
        <v>6</v>
      </c>
      <c r="EF201" s="16"/>
      <c r="EG201" s="179"/>
      <c r="EH201" s="179"/>
      <c r="EI201" s="179"/>
      <c r="EJ201" s="179"/>
      <c r="EK201" s="179"/>
      <c r="EL201" s="179"/>
      <c r="EM201" s="179">
        <f>IFERROR(__xludf.DUMMYFUNCTION("""COMPUTED_VALUE"""),7.0)</f>
        <v>7</v>
      </c>
      <c r="EN201" s="179"/>
      <c r="EO201" s="16"/>
      <c r="EP201" s="16">
        <f>IFERROR(__xludf.DUMMYFUNCTION("""COMPUTED_VALUE"""),3.7)</f>
        <v>3.7</v>
      </c>
      <c r="EQ201" s="16">
        <f>IFERROR(__xludf.DUMMYFUNCTION("""COMPUTED_VALUE"""),4.0)</f>
        <v>4</v>
      </c>
      <c r="ER201" s="16">
        <f>IFERROR(__xludf.DUMMYFUNCTION("""COMPUTED_VALUE"""),3.0)</f>
        <v>3</v>
      </c>
      <c r="ES201" s="16"/>
      <c r="ET201" s="16"/>
      <c r="EU201" s="16"/>
      <c r="EV201" s="16"/>
      <c r="EW201" s="16"/>
      <c r="EX201" s="180"/>
      <c r="EY201" s="180"/>
      <c r="EZ201" s="180"/>
      <c r="FA201" s="180"/>
      <c r="FB201" s="180"/>
      <c r="FC201" s="180"/>
      <c r="FD201" s="180">
        <f>IFERROR(__xludf.DUMMYFUNCTION("""COMPUTED_VALUE"""),0.0)</f>
        <v>0</v>
      </c>
      <c r="FE201" s="180"/>
      <c r="FF201" s="180"/>
      <c r="FG201" s="180"/>
      <c r="FH201" s="180"/>
      <c r="FI201" s="180"/>
      <c r="FJ201" s="180"/>
      <c r="FK201" s="180"/>
      <c r="FL201" s="180">
        <f>IFERROR(__xludf.DUMMYFUNCTION("""COMPUTED_VALUE"""),0.10185185185185185)</f>
        <v>0.1018518519</v>
      </c>
      <c r="FM201" s="180"/>
      <c r="FN201" s="16"/>
      <c r="FO201" s="16"/>
      <c r="FP201" s="16"/>
      <c r="FQ201" s="16"/>
      <c r="FR201" s="16"/>
      <c r="FS201" s="16"/>
      <c r="FT201" s="16">
        <f>IFERROR(__xludf.DUMMYFUNCTION("""COMPUTED_VALUE"""),0.8981481481481481)</f>
        <v>0.8981481481</v>
      </c>
      <c r="FU201" s="16"/>
      <c r="FV201" s="16"/>
      <c r="FW201" s="16"/>
      <c r="FX201" s="16"/>
      <c r="FY201" s="16"/>
      <c r="FZ201" s="16"/>
      <c r="GA201" s="16"/>
      <c r="GB201" s="16">
        <f>IFERROR(__xludf.DUMMYFUNCTION("""COMPUTED_VALUE"""),0.2999999999999998)</f>
        <v>0.3</v>
      </c>
      <c r="GC201" s="16"/>
      <c r="GD201" s="16" t="s">
        <v>176</v>
      </c>
    </row>
    <row r="202">
      <c r="A202" s="16">
        <f>IFERROR(__xludf.DUMMYFUNCTION("""COMPUTED_VALUE"""),12664.0)</f>
        <v>12664</v>
      </c>
      <c r="B202" s="16" t="str">
        <f>IFERROR(__xludf.DUMMYFUNCTION("""COMPUTED_VALUE"""),"Ceddanne Rafaela")</f>
        <v>Ceddanne Rafaela</v>
      </c>
      <c r="C202" s="16">
        <f>IFERROR(__xludf.DUMMYFUNCTION("""COMPUTED_VALUE"""),0.85)</f>
        <v>0.85</v>
      </c>
      <c r="D202" s="16" t="str">
        <f>IFERROR(__xludf.DUMMYFUNCTION("""COMPUTED_VALUE"""),"R")</f>
        <v>R</v>
      </c>
      <c r="E202" s="16"/>
      <c r="F202" s="16"/>
      <c r="G202" s="16">
        <f>IFERROR(__xludf.DUMMYFUNCTION("""COMPUTED_VALUE"""),544.0)</f>
        <v>544</v>
      </c>
      <c r="H202" s="16">
        <f>IFERROR(__xludf.DUMMYFUNCTION("""COMPUTED_VALUE"""),15.0)</f>
        <v>15</v>
      </c>
      <c r="I202" s="16" t="str">
        <f>IFERROR(__xludf.DUMMYFUNCTION("""COMPUTED_VALUE"""),"1p70")</f>
        <v>1p70</v>
      </c>
      <c r="J202" s="16">
        <f>IFERROR(__xludf.DUMMYFUNCTION("""COMPUTED_VALUE"""),53.0)</f>
        <v>53</v>
      </c>
      <c r="K202" s="16">
        <f>IFERROR(__xludf.DUMMYFUNCTION("""COMPUTED_VALUE"""),24.0)</f>
        <v>24</v>
      </c>
      <c r="L202" s="16">
        <f>IFERROR(__xludf.DUMMYFUNCTION("""COMPUTED_VALUE"""),-2.0)</f>
        <v>-2</v>
      </c>
      <c r="M202" s="16">
        <f>IFERROR(__xludf.DUMMYFUNCTION("""COMPUTED_VALUE"""),0.0)</f>
        <v>0</v>
      </c>
      <c r="N202" s="16">
        <f>IFERROR(__xludf.DUMMYFUNCTION("""COMPUTED_VALUE"""),-2.0)</f>
        <v>-2</v>
      </c>
      <c r="O202" s="16">
        <f>IFERROR(__xludf.DUMMYFUNCTION("""COMPUTED_VALUE"""),0.0)</f>
        <v>0</v>
      </c>
      <c r="P202" s="16">
        <f>IFERROR(__xludf.DUMMYFUNCTION("""COMPUTED_VALUE"""),0.0)</f>
        <v>0</v>
      </c>
      <c r="Q202" s="16">
        <f>IFERROR(__xludf.DUMMYFUNCTION("""COMPUTED_VALUE"""),0.0)</f>
        <v>0</v>
      </c>
      <c r="R202" s="16">
        <f>IFERROR(__xludf.DUMMYFUNCTION("""COMPUTED_VALUE"""),-3.0)</f>
        <v>-3</v>
      </c>
      <c r="S202" s="16">
        <f>IFERROR(__xludf.DUMMYFUNCTION("""COMPUTED_VALUE"""),-2.0)</f>
        <v>-2</v>
      </c>
      <c r="T202" s="16">
        <f>IFERROR(__xludf.DUMMYFUNCTION("""COMPUTED_VALUE"""),-3.0)</f>
        <v>-3</v>
      </c>
      <c r="U202" s="16">
        <f>IFERROR(__xludf.DUMMYFUNCTION("""COMPUTED_VALUE"""),-2.0)</f>
        <v>-2</v>
      </c>
      <c r="V202" s="16">
        <f>IFERROR(__xludf.DUMMYFUNCTION("""COMPUTED_VALUE"""),18.0)</f>
        <v>18</v>
      </c>
      <c r="W202" s="16">
        <f>IFERROR(__xludf.DUMMYFUNCTION("""COMPUTED_VALUE"""),22.7)</f>
        <v>22.7</v>
      </c>
      <c r="X202" s="16">
        <f>IFERROR(__xludf.DUMMYFUNCTION("""COMPUTED_VALUE"""),0.0)</f>
        <v>0</v>
      </c>
      <c r="Y202" s="16">
        <f>IFERROR(__xludf.DUMMYFUNCTION("""COMPUTED_VALUE"""),1.0)</f>
        <v>1</v>
      </c>
      <c r="Z202" s="16">
        <f>IFERROR(__xludf.DUMMYFUNCTION("""COMPUTED_VALUE"""),0.0)</f>
        <v>0</v>
      </c>
      <c r="AA202" s="16">
        <f>IFERROR(__xludf.DUMMYFUNCTION("""COMPUTED_VALUE"""),2.0)</f>
        <v>2</v>
      </c>
      <c r="AB202" s="16">
        <f>IFERROR(__xludf.DUMMYFUNCTION("""COMPUTED_VALUE"""),21.0)</f>
        <v>21</v>
      </c>
      <c r="AC202" s="16">
        <f>IFERROR(__xludf.DUMMYFUNCTION("""COMPUTED_VALUE"""),25.7)</f>
        <v>25.7</v>
      </c>
      <c r="AD202" s="16">
        <f>IFERROR(__xludf.DUMMYFUNCTION("""COMPUTED_VALUE"""),-1.0)</f>
        <v>-1</v>
      </c>
      <c r="AE202" s="16">
        <f>IFERROR(__xludf.DUMMYFUNCTION("""COMPUTED_VALUE"""),-1.0)</f>
        <v>-1</v>
      </c>
      <c r="AF202" s="16">
        <f>IFERROR(__xludf.DUMMYFUNCTION("""COMPUTED_VALUE"""),-5.0)</f>
        <v>-5</v>
      </c>
      <c r="AG202" s="16">
        <f>IFERROR(__xludf.DUMMYFUNCTION("""COMPUTED_VALUE"""),-5.0)</f>
        <v>-5</v>
      </c>
      <c r="AH202" s="16">
        <f>IFERROR(__xludf.DUMMYFUNCTION("""COMPUTED_VALUE"""),27.9)</f>
        <v>27.9</v>
      </c>
      <c r="AI202" s="16">
        <f>IFERROR(__xludf.DUMMYFUNCTION("""COMPUTED_VALUE"""),33.6)</f>
        <v>33.6</v>
      </c>
      <c r="AJ202" s="16">
        <f>IFERROR(__xludf.DUMMYFUNCTION("""COMPUTED_VALUE"""),0.0)</f>
        <v>0</v>
      </c>
      <c r="AK202" s="16">
        <f>IFERROR(__xludf.DUMMYFUNCTION("""COMPUTED_VALUE"""),0.0)</f>
        <v>0</v>
      </c>
      <c r="AL202" s="16">
        <f>IFERROR(__xludf.DUMMYFUNCTION("""COMPUTED_VALUE"""),0.0)</f>
        <v>0</v>
      </c>
      <c r="AM202" s="16">
        <f>IFERROR(__xludf.DUMMYFUNCTION("""COMPUTED_VALUE"""),0.0)</f>
        <v>0</v>
      </c>
      <c r="AN202" s="16">
        <f>IFERROR(__xludf.DUMMYFUNCTION("""COMPUTED_VALUE"""),0.8)</f>
        <v>0.8</v>
      </c>
      <c r="AO202" s="16">
        <f>IFERROR(__xludf.DUMMYFUNCTION("""COMPUTED_VALUE"""),1.8)</f>
        <v>1.8</v>
      </c>
      <c r="AP202" s="16">
        <f>IFERROR(__xludf.DUMMYFUNCTION("""COMPUTED_VALUE"""),-2.0)</f>
        <v>-2</v>
      </c>
      <c r="AQ202" s="16">
        <f>IFERROR(__xludf.DUMMYFUNCTION("""COMPUTED_VALUE"""),-1.0)</f>
        <v>-1</v>
      </c>
      <c r="AR202" s="16">
        <f>IFERROR(__xludf.DUMMYFUNCTION("""COMPUTED_VALUE"""),-4.0)</f>
        <v>-4</v>
      </c>
      <c r="AS202" s="16">
        <f>IFERROR(__xludf.DUMMYFUNCTION("""COMPUTED_VALUE"""),-2.0)</f>
        <v>-2</v>
      </c>
      <c r="AT202" s="16">
        <f>IFERROR(__xludf.DUMMYFUNCTION("""COMPUTED_VALUE"""),0.0)</f>
        <v>0</v>
      </c>
      <c r="AU202" s="16">
        <f>IFERROR(__xludf.DUMMYFUNCTION("""COMPUTED_VALUE"""),3.0)</f>
        <v>3</v>
      </c>
      <c r="AV202" s="16">
        <f>IFERROR(__xludf.DUMMYFUNCTION("""COMPUTED_VALUE"""),0.0)</f>
        <v>0</v>
      </c>
      <c r="AW202" s="16">
        <f>IFERROR(__xludf.DUMMYFUNCTION("""COMPUTED_VALUE"""),3.0)</f>
        <v>3</v>
      </c>
      <c r="AX202" s="16">
        <f>IFERROR(__xludf.DUMMYFUNCTION("""COMPUTED_VALUE"""),-2.0)</f>
        <v>-2</v>
      </c>
      <c r="AY202" s="16">
        <f>IFERROR(__xludf.DUMMYFUNCTION("""COMPUTED_VALUE"""),0.0)</f>
        <v>0</v>
      </c>
      <c r="AZ202" s="16">
        <f>IFERROR(__xludf.DUMMYFUNCTION("""COMPUTED_VALUE"""),-6.0)</f>
        <v>-6</v>
      </c>
      <c r="BA202" s="16">
        <f>IFERROR(__xludf.DUMMYFUNCTION("""COMPUTED_VALUE"""),0.0)</f>
        <v>0</v>
      </c>
      <c r="BB202" s="16">
        <f>IFERROR(__xludf.DUMMYFUNCTION("""COMPUTED_VALUE"""),5.0)</f>
        <v>5</v>
      </c>
      <c r="BC202" s="16">
        <f>IFERROR(__xludf.DUMMYFUNCTION("""COMPUTED_VALUE"""),5.0)</f>
        <v>5</v>
      </c>
      <c r="BD202" s="16">
        <f>IFERROR(__xludf.DUMMYFUNCTION("""COMPUTED_VALUE"""),1.0)</f>
        <v>1</v>
      </c>
      <c r="BE202" s="16">
        <f>IFERROR(__xludf.DUMMYFUNCTION("""COMPUTED_VALUE"""),1.0)</f>
        <v>1</v>
      </c>
      <c r="BF202" s="16">
        <f>IFERROR(__xludf.DUMMYFUNCTION("""COMPUTED_VALUE"""),1.0)</f>
        <v>1</v>
      </c>
      <c r="BG202" s="16">
        <f>IFERROR(__xludf.DUMMYFUNCTION("""COMPUTED_VALUE"""),1.0)</f>
        <v>1</v>
      </c>
      <c r="BH202" s="16">
        <f>IFERROR(__xludf.DUMMYFUNCTION("""COMPUTED_VALUE"""),-1.0)</f>
        <v>-1</v>
      </c>
      <c r="BI202" s="16">
        <f>IFERROR(__xludf.DUMMYFUNCTION("""COMPUTED_VALUE"""),-1.0)</f>
        <v>-1</v>
      </c>
      <c r="BJ202" s="16">
        <f>IFERROR(__xludf.DUMMYFUNCTION("""COMPUTED_VALUE"""),12.0)</f>
        <v>12</v>
      </c>
      <c r="BK202" s="16">
        <f>IFERROR(__xludf.DUMMYFUNCTION("""COMPUTED_VALUE"""),12.0)</f>
        <v>12</v>
      </c>
      <c r="BL202" s="16">
        <f>IFERROR(__xludf.DUMMYFUNCTION("""COMPUTED_VALUE"""),0.0)</f>
        <v>0</v>
      </c>
      <c r="BM202" s="16">
        <f>IFERROR(__xludf.DUMMYFUNCTION("""COMPUTED_VALUE"""),0.0)</f>
        <v>0</v>
      </c>
      <c r="BN202" s="16">
        <f>IFERROR(__xludf.DUMMYFUNCTION("""COMPUTED_VALUE"""),0.0)</f>
        <v>0</v>
      </c>
      <c r="BO202" s="16">
        <f>IFERROR(__xludf.DUMMYFUNCTION("""COMPUTED_VALUE"""),0.0)</f>
        <v>0</v>
      </c>
      <c r="BP202" s="16">
        <f>IFERROR(__xludf.DUMMYFUNCTION("""COMPUTED_VALUE"""),-9.0)</f>
        <v>-9</v>
      </c>
      <c r="BQ202" s="16">
        <f>IFERROR(__xludf.DUMMYFUNCTION("""COMPUTED_VALUE"""),-2.0)</f>
        <v>-2</v>
      </c>
      <c r="BR202" s="16">
        <f>IFERROR(__xludf.DUMMYFUNCTION("""COMPUTED_VALUE"""),-11.0)</f>
        <v>-11</v>
      </c>
      <c r="BS202" s="16" t="str">
        <f>IFERROR(__xludf.DUMMYFUNCTION("""COMPUTED_VALUE"""),"*2-9,12/- (15-13)")</f>
        <v>*2-9,12/- (15-13)</v>
      </c>
      <c r="BT202" s="16" t="str">
        <f>IFERROR(__xludf.DUMMYFUNCTION("""COMPUTED_VALUE"""),"B")</f>
        <v>B</v>
      </c>
      <c r="BU202" s="16">
        <f>IFERROR(__xludf.DUMMYFUNCTION("""COMPUTED_VALUE"""),16.0)</f>
        <v>16</v>
      </c>
      <c r="BV202" s="16">
        <f>IFERROR(__xludf.DUMMYFUNCTION("""COMPUTED_VALUE"""),1.0)</f>
        <v>1</v>
      </c>
      <c r="BW202" s="16">
        <f>IFERROR(__xludf.DUMMYFUNCTION("""COMPUTED_VALUE"""),2.0)</f>
        <v>2</v>
      </c>
      <c r="BX202" s="16">
        <f>IFERROR(__xludf.DUMMYFUNCTION("""COMPUTED_VALUE"""),2.0)</f>
        <v>2</v>
      </c>
      <c r="BY202" s="16">
        <f>IFERROR(__xludf.DUMMYFUNCTION("""COMPUTED_VALUE"""),6.0)</f>
        <v>6</v>
      </c>
      <c r="BZ202" s="16" t="str">
        <f>IFERROR(__xludf.DUMMYFUNCTION("""COMPUTED_VALUE"""),"C")</f>
        <v>C</v>
      </c>
      <c r="CA202" s="16" t="str">
        <f>IFERROR(__xludf.DUMMYFUNCTION("""COMPUTED_VALUE"""),"B")</f>
        <v>B</v>
      </c>
      <c r="CB202" s="16">
        <f>IFERROR(__xludf.DUMMYFUNCTION("""COMPUTED_VALUE"""),0.0)</f>
        <v>0</v>
      </c>
      <c r="CC202" s="16">
        <f>IFERROR(__xludf.DUMMYFUNCTION("""COMPUTED_VALUE"""),1.0)</f>
        <v>1</v>
      </c>
      <c r="CD202" s="16">
        <f>IFERROR(__xludf.DUMMYFUNCTION("""COMPUTED_VALUE"""),0.0)</f>
        <v>0</v>
      </c>
      <c r="CE202" s="16">
        <f>IFERROR(__xludf.DUMMYFUNCTION("""COMPUTED_VALUE"""),2.0)</f>
        <v>2</v>
      </c>
      <c r="CF202" s="16">
        <f>IFERROR(__xludf.DUMMYFUNCTION("""COMPUTED_VALUE"""),1.0)</f>
        <v>1</v>
      </c>
      <c r="CG202" s="16">
        <f>IFERROR(__xludf.DUMMYFUNCTION("""COMPUTED_VALUE"""),-19.0)</f>
        <v>-19</v>
      </c>
      <c r="CH202" s="16">
        <f>IFERROR(__xludf.DUMMYFUNCTION("""COMPUTED_VALUE"""),-6.0)</f>
        <v>-6</v>
      </c>
      <c r="CI202" s="179">
        <f>IFERROR(__xludf.DUMMYFUNCTION("""COMPUTED_VALUE"""),0.0)</f>
        <v>0</v>
      </c>
      <c r="CJ202" s="16"/>
      <c r="CK202" s="16"/>
      <c r="CL202" s="16">
        <f>IFERROR(__xludf.DUMMYFUNCTION("""COMPUTED_VALUE"""),422.0)</f>
        <v>422</v>
      </c>
      <c r="CM202" s="16">
        <f>IFERROR(__xludf.DUMMYFUNCTION("""COMPUTED_VALUE"""),437.0)</f>
        <v>437</v>
      </c>
      <c r="CN202" s="16">
        <f>IFERROR(__xludf.DUMMYFUNCTION("""COMPUTED_VALUE"""),320.0)</f>
        <v>320</v>
      </c>
      <c r="CO202" s="16"/>
      <c r="CP202" s="16">
        <f>IFERROR(__xludf.DUMMYFUNCTION("""COMPUTED_VALUE"""),207.0)</f>
        <v>207</v>
      </c>
      <c r="CQ202" s="16">
        <f>IFERROR(__xludf.DUMMYFUNCTION("""COMPUTED_VALUE"""),307.0)</f>
        <v>307</v>
      </c>
      <c r="CR202" s="16" t="str">
        <f>IFERROR(__xludf.DUMMYFUNCTION("""COMPUTED_VALUE"""),"ss-3e20 cf-2(-3)e7 2b-4e22 3b-4e37 rf-3e7")</f>
        <v>ss-3e20 cf-2(-3)e7 2b-4e22 3b-4e37 rf-3e7</v>
      </c>
      <c r="CS202" s="16"/>
      <c r="CT202" s="16"/>
      <c r="CU202" s="16">
        <f>IFERROR(__xludf.DUMMYFUNCTION("""COMPUTED_VALUE"""),4.0)</f>
        <v>4</v>
      </c>
      <c r="CV202" s="16">
        <f>IFERROR(__xludf.DUMMYFUNCTION("""COMPUTED_VALUE"""),4.0)</f>
        <v>4</v>
      </c>
      <c r="CW202" s="16">
        <f>IFERROR(__xludf.DUMMYFUNCTION("""COMPUTED_VALUE"""),3.0)</f>
        <v>3</v>
      </c>
      <c r="CX202" s="16"/>
      <c r="CY202" s="16">
        <f>IFERROR(__xludf.DUMMYFUNCTION("""COMPUTED_VALUE"""),2.0)</f>
        <v>2</v>
      </c>
      <c r="CZ202" s="16">
        <f>IFERROR(__xludf.DUMMYFUNCTION("""COMPUTED_VALUE"""),3.0)</f>
        <v>3</v>
      </c>
      <c r="DA202" s="16"/>
      <c r="DB202" s="16"/>
      <c r="DC202" s="16">
        <f>IFERROR(__xludf.DUMMYFUNCTION("""COMPUTED_VALUE"""),22.0)</f>
        <v>22</v>
      </c>
      <c r="DD202" s="16">
        <f>IFERROR(__xludf.DUMMYFUNCTION("""COMPUTED_VALUE"""),37.0)</f>
        <v>37</v>
      </c>
      <c r="DE202" s="16">
        <f>IFERROR(__xludf.DUMMYFUNCTION("""COMPUTED_VALUE"""),20.0)</f>
        <v>20</v>
      </c>
      <c r="DF202" s="16"/>
      <c r="DG202" s="16">
        <f>IFERROR(__xludf.DUMMYFUNCTION("""COMPUTED_VALUE"""),7.0)</f>
        <v>7</v>
      </c>
      <c r="DH202" s="16">
        <f>IFERROR(__xludf.DUMMYFUNCTION("""COMPUTED_VALUE"""),7.0)</f>
        <v>7</v>
      </c>
      <c r="DI202" s="16"/>
      <c r="DJ202" s="16"/>
      <c r="DK202" s="16">
        <f>IFERROR(__xludf.DUMMYFUNCTION("""COMPUTED_VALUE"""),-2.0)</f>
        <v>-2</v>
      </c>
      <c r="DL202" s="16">
        <f>IFERROR(__xludf.DUMMYFUNCTION("""COMPUTED_VALUE"""),0.0)</f>
        <v>0</v>
      </c>
      <c r="DM202" s="16">
        <f>IFERROR(__xludf.DUMMYFUNCTION("""COMPUTED_VALUE"""),0.0)</f>
        <v>0</v>
      </c>
      <c r="DN202" s="16"/>
      <c r="DO202" s="16">
        <f>IFERROR(__xludf.DUMMYFUNCTION("""COMPUTED_VALUE"""),2.0)</f>
        <v>2</v>
      </c>
      <c r="DP202" s="16">
        <f>IFERROR(__xludf.DUMMYFUNCTION("""COMPUTED_VALUE"""),0.0)</f>
        <v>0</v>
      </c>
      <c r="DQ202" s="16"/>
      <c r="DR202" s="16"/>
      <c r="DS202" s="16">
        <f>IFERROR(__xludf.DUMMYFUNCTION("""COMPUTED_VALUE"""),0.0)</f>
        <v>0</v>
      </c>
      <c r="DT202" s="16">
        <f>IFERROR(__xludf.DUMMYFUNCTION("""COMPUTED_VALUE"""),-2.0)</f>
        <v>-2</v>
      </c>
      <c r="DU202" s="16">
        <f>IFERROR(__xludf.DUMMYFUNCTION("""COMPUTED_VALUE"""),2.0)</f>
        <v>2</v>
      </c>
      <c r="DV202" s="16"/>
      <c r="DW202" s="16">
        <f>IFERROR(__xludf.DUMMYFUNCTION("""COMPUTED_VALUE"""),3.0)</f>
        <v>3</v>
      </c>
      <c r="DX202" s="16">
        <f>IFERROR(__xludf.DUMMYFUNCTION("""COMPUTED_VALUE"""),2.0)</f>
        <v>2</v>
      </c>
      <c r="DY202" s="16"/>
      <c r="DZ202" s="16"/>
      <c r="EA202" s="16">
        <f>IFERROR(__xludf.DUMMYFUNCTION("""COMPUTED_VALUE"""),-2.0)</f>
        <v>-2</v>
      </c>
      <c r="EB202" s="16">
        <f>IFERROR(__xludf.DUMMYFUNCTION("""COMPUTED_VALUE"""),-2.0)</f>
        <v>-2</v>
      </c>
      <c r="EC202" s="16">
        <f>IFERROR(__xludf.DUMMYFUNCTION("""COMPUTED_VALUE"""),2.0)</f>
        <v>2</v>
      </c>
      <c r="ED202" s="16"/>
      <c r="EE202" s="16">
        <f>IFERROR(__xludf.DUMMYFUNCTION("""COMPUTED_VALUE"""),5.0)</f>
        <v>5</v>
      </c>
      <c r="EF202" s="16">
        <f>IFERROR(__xludf.DUMMYFUNCTION("""COMPUTED_VALUE"""),2.0)</f>
        <v>2</v>
      </c>
      <c r="EG202" s="179"/>
      <c r="EH202" s="179"/>
      <c r="EI202" s="179">
        <f>IFERROR(__xludf.DUMMYFUNCTION("""COMPUTED_VALUE"""),-2.0)</f>
        <v>-2</v>
      </c>
      <c r="EJ202" s="179">
        <f>IFERROR(__xludf.DUMMYFUNCTION("""COMPUTED_VALUE"""),-2.0)</f>
        <v>-2</v>
      </c>
      <c r="EK202" s="179">
        <f>IFERROR(__xludf.DUMMYFUNCTION("""COMPUTED_VALUE"""),2.0)</f>
        <v>2</v>
      </c>
      <c r="EL202" s="179"/>
      <c r="EM202" s="179">
        <f>IFERROR(__xludf.DUMMYFUNCTION("""COMPUTED_VALUE"""),5.0)</f>
        <v>5</v>
      </c>
      <c r="EN202" s="179">
        <f>IFERROR(__xludf.DUMMYFUNCTION("""COMPUTED_VALUE"""),2.0)</f>
        <v>2</v>
      </c>
      <c r="EO202" s="16"/>
      <c r="EP202" s="16"/>
      <c r="EQ202" s="16">
        <f>IFERROR(__xludf.DUMMYFUNCTION("""COMPUTED_VALUE"""),4.0)</f>
        <v>4</v>
      </c>
      <c r="ER202" s="16">
        <f>IFERROR(__xludf.DUMMYFUNCTION("""COMPUTED_VALUE"""),3.0)</f>
        <v>3</v>
      </c>
      <c r="ES202" s="16"/>
      <c r="ET202" s="16"/>
      <c r="EU202" s="16"/>
      <c r="EV202" s="16"/>
      <c r="EW202" s="16"/>
      <c r="EX202" s="180"/>
      <c r="EY202" s="180"/>
      <c r="EZ202" s="180">
        <f>IFERROR(__xludf.DUMMYFUNCTION("""COMPUTED_VALUE"""),0.3)</f>
        <v>0.3</v>
      </c>
      <c r="FA202" s="180">
        <f>IFERROR(__xludf.DUMMYFUNCTION("""COMPUTED_VALUE"""),0.3)</f>
        <v>0.3</v>
      </c>
      <c r="FB202" s="180">
        <f>IFERROR(__xludf.DUMMYFUNCTION("""COMPUTED_VALUE"""),0.2)</f>
        <v>0.2</v>
      </c>
      <c r="FC202" s="180"/>
      <c r="FD202" s="180">
        <f>IFERROR(__xludf.DUMMYFUNCTION("""COMPUTED_VALUE"""),0.15)</f>
        <v>0.15</v>
      </c>
      <c r="FE202" s="180">
        <f>IFERROR(__xludf.DUMMYFUNCTION("""COMPUTED_VALUE"""),0.3)</f>
        <v>0.3</v>
      </c>
      <c r="FF202" s="180"/>
      <c r="FG202" s="180"/>
      <c r="FH202" s="180">
        <f>IFERROR(__xludf.DUMMYFUNCTION("""COMPUTED_VALUE"""),0.13425925925925927)</f>
        <v>0.1342592593</v>
      </c>
      <c r="FI202" s="180">
        <f>IFERROR(__xludf.DUMMYFUNCTION("""COMPUTED_VALUE"""),0.4444444444444444)</f>
        <v>0.4444444444</v>
      </c>
      <c r="FJ202" s="180">
        <f>IFERROR(__xludf.DUMMYFUNCTION("""COMPUTED_VALUE"""),0.10185185185185185)</f>
        <v>0.1018518519</v>
      </c>
      <c r="FK202" s="180"/>
      <c r="FL202" s="180">
        <f>IFERROR(__xludf.DUMMYFUNCTION("""COMPUTED_VALUE"""),0.08333333333333333)</f>
        <v>0.08333333333</v>
      </c>
      <c r="FM202" s="180">
        <f>IFERROR(__xludf.DUMMYFUNCTION("""COMPUTED_VALUE"""),0.125)</f>
        <v>0.125</v>
      </c>
      <c r="FN202" s="16"/>
      <c r="FO202" s="16"/>
      <c r="FP202" s="16">
        <f>IFERROR(__xludf.DUMMYFUNCTION("""COMPUTED_VALUE"""),0.6060185185185184)</f>
        <v>0.6060185185</v>
      </c>
      <c r="FQ202" s="16">
        <f>IFERROR(__xludf.DUMMYFUNCTION("""COMPUTED_VALUE"""),0.3888888888888889)</f>
        <v>0.3888888889</v>
      </c>
      <c r="FR202" s="16">
        <f>IFERROR(__xludf.DUMMYFUNCTION("""COMPUTED_VALUE"""),0.7185185185185186)</f>
        <v>0.7185185185</v>
      </c>
      <c r="FS202" s="16"/>
      <c r="FT202" s="16">
        <f>IFERROR(__xludf.DUMMYFUNCTION("""COMPUTED_VALUE"""),0.7791666666666666)</f>
        <v>0.7791666667</v>
      </c>
      <c r="FU202" s="16">
        <f>IFERROR(__xludf.DUMMYFUNCTION("""COMPUTED_VALUE"""),0.6124999999999999)</f>
        <v>0.6125</v>
      </c>
      <c r="FV202" s="16"/>
      <c r="FW202" s="16"/>
      <c r="FX202" s="16">
        <f>IFERROR(__xludf.DUMMYFUNCTION("""COMPUTED_VALUE"""),-6.0)</f>
        <v>-6</v>
      </c>
      <c r="FY202" s="16">
        <f>IFERROR(__xludf.DUMMYFUNCTION("""COMPUTED_VALUE"""),-8.0)</f>
        <v>-8</v>
      </c>
      <c r="FZ202" s="16">
        <f>IFERROR(__xludf.DUMMYFUNCTION("""COMPUTED_VALUE"""),-4.0)</f>
        <v>-4</v>
      </c>
      <c r="GA202" s="16"/>
      <c r="GB202" s="16">
        <f>IFERROR(__xludf.DUMMYFUNCTION("""COMPUTED_VALUE"""),-1.0)</f>
        <v>-1</v>
      </c>
      <c r="GC202" s="16">
        <f>IFERROR(__xludf.DUMMYFUNCTION("""COMPUTED_VALUE"""),-6.0)</f>
        <v>-6</v>
      </c>
      <c r="GD202" s="16" t="s">
        <v>215</v>
      </c>
    </row>
    <row r="203">
      <c r="A203" s="16">
        <f>IFERROR(__xludf.DUMMYFUNCTION("""COMPUTED_VALUE"""),13285.0)</f>
        <v>13285</v>
      </c>
      <c r="B203" s="16" t="str">
        <f>IFERROR(__xludf.DUMMYFUNCTION("""COMPUTED_VALUE"""),"Pete Crow Armstrong")</f>
        <v>Pete Crow Armstrong</v>
      </c>
      <c r="C203" s="16">
        <f>IFERROR(__xludf.DUMMYFUNCTION("""COMPUTED_VALUE"""),1.63)</f>
        <v>1.63</v>
      </c>
      <c r="D203" s="16" t="str">
        <f>IFERROR(__xludf.DUMMYFUNCTION("""COMPUTED_VALUE"""),"L")</f>
        <v>L</v>
      </c>
      <c r="E203" s="16"/>
      <c r="F203" s="16"/>
      <c r="G203" s="16">
        <f>IFERROR(__xludf.DUMMYFUNCTION("""COMPUTED_VALUE"""),372.0)</f>
        <v>372</v>
      </c>
      <c r="H203" s="16">
        <f>IFERROR(__xludf.DUMMYFUNCTION("""COMPUTED_VALUE"""),21.0)</f>
        <v>21</v>
      </c>
      <c r="I203" s="16" t="str">
        <f>IFERROR(__xludf.DUMMYFUNCTION("""COMPUTED_VALUE"""),"1p60")</f>
        <v>1p60</v>
      </c>
      <c r="J203" s="16">
        <f>IFERROR(__xludf.DUMMYFUNCTION("""COMPUTED_VALUE"""),28.0)</f>
        <v>28</v>
      </c>
      <c r="K203" s="16">
        <f>IFERROR(__xludf.DUMMYFUNCTION("""COMPUTED_VALUE"""),28.0)</f>
        <v>28</v>
      </c>
      <c r="L203" s="16">
        <f>IFERROR(__xludf.DUMMYFUNCTION("""COMPUTED_VALUE"""),0.0)</f>
        <v>0</v>
      </c>
      <c r="M203" s="16">
        <f>IFERROR(__xludf.DUMMYFUNCTION("""COMPUTED_VALUE"""),0.0)</f>
        <v>0</v>
      </c>
      <c r="N203" s="16">
        <f>IFERROR(__xludf.DUMMYFUNCTION("""COMPUTED_VALUE"""),0.0)</f>
        <v>0</v>
      </c>
      <c r="O203" s="16">
        <f>IFERROR(__xludf.DUMMYFUNCTION("""COMPUTED_VALUE"""),0.0)</f>
        <v>0</v>
      </c>
      <c r="P203" s="16">
        <f>IFERROR(__xludf.DUMMYFUNCTION("""COMPUTED_VALUE"""),0.0)</f>
        <v>0</v>
      </c>
      <c r="Q203" s="16">
        <f>IFERROR(__xludf.DUMMYFUNCTION("""COMPUTED_VALUE"""),3.0)</f>
        <v>3</v>
      </c>
      <c r="R203" s="16">
        <f>IFERROR(__xludf.DUMMYFUNCTION("""COMPUTED_VALUE"""),-3.0)</f>
        <v>-3</v>
      </c>
      <c r="S203" s="16">
        <f>IFERROR(__xludf.DUMMYFUNCTION("""COMPUTED_VALUE"""),-2.0)</f>
        <v>-2</v>
      </c>
      <c r="T203" s="16">
        <f>IFERROR(__xludf.DUMMYFUNCTION("""COMPUTED_VALUE"""),-3.0)</f>
        <v>-3</v>
      </c>
      <c r="U203" s="16">
        <f>IFERROR(__xludf.DUMMYFUNCTION("""COMPUTED_VALUE"""),-2.0)</f>
        <v>-2</v>
      </c>
      <c r="V203" s="16">
        <f>IFERROR(__xludf.DUMMYFUNCTION("""COMPUTED_VALUE"""),21.0)</f>
        <v>21</v>
      </c>
      <c r="W203" s="16">
        <f>IFERROR(__xludf.DUMMYFUNCTION("""COMPUTED_VALUE"""),18.2)</f>
        <v>18.2</v>
      </c>
      <c r="X203" s="16">
        <f>IFERROR(__xludf.DUMMYFUNCTION("""COMPUTED_VALUE"""),0.0)</f>
        <v>0</v>
      </c>
      <c r="Y203" s="16">
        <f>IFERROR(__xludf.DUMMYFUNCTION("""COMPUTED_VALUE"""),0.0)</f>
        <v>0</v>
      </c>
      <c r="Z203" s="16">
        <f>IFERROR(__xludf.DUMMYFUNCTION("""COMPUTED_VALUE"""),0.0)</f>
        <v>0</v>
      </c>
      <c r="AA203" s="16">
        <f>IFERROR(__xludf.DUMMYFUNCTION("""COMPUTED_VALUE"""),0.0)</f>
        <v>0</v>
      </c>
      <c r="AB203" s="16">
        <f>IFERROR(__xludf.DUMMYFUNCTION("""COMPUTED_VALUE"""),24.0)</f>
        <v>24</v>
      </c>
      <c r="AC203" s="16">
        <f>IFERROR(__xludf.DUMMYFUNCTION("""COMPUTED_VALUE"""),24.2)</f>
        <v>24.2</v>
      </c>
      <c r="AD203" s="16">
        <f>IFERROR(__xludf.DUMMYFUNCTION("""COMPUTED_VALUE"""),-1.0)</f>
        <v>-1</v>
      </c>
      <c r="AE203" s="16">
        <f>IFERROR(__xludf.DUMMYFUNCTION("""COMPUTED_VALUE"""),-1.0)</f>
        <v>-1</v>
      </c>
      <c r="AF203" s="16">
        <f>IFERROR(__xludf.DUMMYFUNCTION("""COMPUTED_VALUE"""),-5.0)</f>
        <v>-5</v>
      </c>
      <c r="AG203" s="16">
        <f>IFERROR(__xludf.DUMMYFUNCTION("""COMPUTED_VALUE"""),-5.0)</f>
        <v>-5</v>
      </c>
      <c r="AH203" s="16">
        <f>IFERROR(__xludf.DUMMYFUNCTION("""COMPUTED_VALUE"""),31.3)</f>
        <v>31.3</v>
      </c>
      <c r="AI203" s="16">
        <f>IFERROR(__xludf.DUMMYFUNCTION("""COMPUTED_VALUE"""),31.7)</f>
        <v>31.7</v>
      </c>
      <c r="AJ203" s="16">
        <f>IFERROR(__xludf.DUMMYFUNCTION("""COMPUTED_VALUE"""),0.0)</f>
        <v>0</v>
      </c>
      <c r="AK203" s="16">
        <f>IFERROR(__xludf.DUMMYFUNCTION("""COMPUTED_VALUE"""),0.0)</f>
        <v>0</v>
      </c>
      <c r="AL203" s="16">
        <f>IFERROR(__xludf.DUMMYFUNCTION("""COMPUTED_VALUE"""),0.0)</f>
        <v>0</v>
      </c>
      <c r="AM203" s="16">
        <f>IFERROR(__xludf.DUMMYFUNCTION("""COMPUTED_VALUE"""),0.0)</f>
        <v>0</v>
      </c>
      <c r="AN203" s="16">
        <f>IFERROR(__xludf.DUMMYFUNCTION("""COMPUTED_VALUE"""),2.3)</f>
        <v>2.3</v>
      </c>
      <c r="AO203" s="16">
        <f>IFERROR(__xludf.DUMMYFUNCTION("""COMPUTED_VALUE"""),1.8)</f>
        <v>1.8</v>
      </c>
      <c r="AP203" s="16">
        <f>IFERROR(__xludf.DUMMYFUNCTION("""COMPUTED_VALUE"""),0.0)</f>
        <v>0</v>
      </c>
      <c r="AQ203" s="16">
        <f>IFERROR(__xludf.DUMMYFUNCTION("""COMPUTED_VALUE"""),-1.0)</f>
        <v>-1</v>
      </c>
      <c r="AR203" s="16">
        <f>IFERROR(__xludf.DUMMYFUNCTION("""COMPUTED_VALUE"""),0.0)</f>
        <v>0</v>
      </c>
      <c r="AS203" s="16">
        <f>IFERROR(__xludf.DUMMYFUNCTION("""COMPUTED_VALUE"""),-2.0)</f>
        <v>-2</v>
      </c>
      <c r="AT203" s="16"/>
      <c r="AU203" s="16">
        <f>IFERROR(__xludf.DUMMYFUNCTION("""COMPUTED_VALUE"""),3.0)</f>
        <v>3</v>
      </c>
      <c r="AV203" s="16">
        <f>IFERROR(__xludf.DUMMYFUNCTION("""COMPUTED_VALUE"""),-3.0)</f>
        <v>-3</v>
      </c>
      <c r="AW203" s="16">
        <f>IFERROR(__xludf.DUMMYFUNCTION("""COMPUTED_VALUE"""),3.0)</f>
        <v>3</v>
      </c>
      <c r="AX203" s="16">
        <f>IFERROR(__xludf.DUMMYFUNCTION("""COMPUTED_VALUE"""),-3.0)</f>
        <v>-3</v>
      </c>
      <c r="AY203" s="16">
        <f>IFERROR(__xludf.DUMMYFUNCTION("""COMPUTED_VALUE"""),0.0)</f>
        <v>0</v>
      </c>
      <c r="AZ203" s="16">
        <f>IFERROR(__xludf.DUMMYFUNCTION("""COMPUTED_VALUE"""),-9.0)</f>
        <v>-9</v>
      </c>
      <c r="BA203" s="16">
        <f>IFERROR(__xludf.DUMMYFUNCTION("""COMPUTED_VALUE"""),0.0)</f>
        <v>0</v>
      </c>
      <c r="BB203" s="16">
        <f>IFERROR(__xludf.DUMMYFUNCTION("""COMPUTED_VALUE"""),5.0)</f>
        <v>5</v>
      </c>
      <c r="BC203" s="16">
        <f>IFERROR(__xludf.DUMMYFUNCTION("""COMPUTED_VALUE"""),5.0)</f>
        <v>5</v>
      </c>
      <c r="BD203" s="16">
        <f>IFERROR(__xludf.DUMMYFUNCTION("""COMPUTED_VALUE"""),1.0)</f>
        <v>1</v>
      </c>
      <c r="BE203" s="16">
        <f>IFERROR(__xludf.DUMMYFUNCTION("""COMPUTED_VALUE"""),1.0)</f>
        <v>1</v>
      </c>
      <c r="BF203" s="16">
        <f>IFERROR(__xludf.DUMMYFUNCTION("""COMPUTED_VALUE"""),1.0)</f>
        <v>1</v>
      </c>
      <c r="BG203" s="16">
        <f>IFERROR(__xludf.DUMMYFUNCTION("""COMPUTED_VALUE"""),1.0)</f>
        <v>1</v>
      </c>
      <c r="BH203" s="16">
        <f>IFERROR(__xludf.DUMMYFUNCTION("""COMPUTED_VALUE"""),5.0)</f>
        <v>5</v>
      </c>
      <c r="BI203" s="16">
        <f>IFERROR(__xludf.DUMMYFUNCTION("""COMPUTED_VALUE"""),4.0)</f>
        <v>4</v>
      </c>
      <c r="BJ203" s="16">
        <f>IFERROR(__xludf.DUMMYFUNCTION("""COMPUTED_VALUE"""),7.0)</f>
        <v>7</v>
      </c>
      <c r="BK203" s="16">
        <f>IFERROR(__xludf.DUMMYFUNCTION("""COMPUTED_VALUE"""),6.0)</f>
        <v>6</v>
      </c>
      <c r="BL203" s="16">
        <f>IFERROR(__xludf.DUMMYFUNCTION("""COMPUTED_VALUE"""),1.0)</f>
        <v>1</v>
      </c>
      <c r="BM203" s="16">
        <f>IFERROR(__xludf.DUMMYFUNCTION("""COMPUTED_VALUE"""),1.0)</f>
        <v>1</v>
      </c>
      <c r="BN203" s="16">
        <f>IFERROR(__xludf.DUMMYFUNCTION("""COMPUTED_VALUE"""),1.0)</f>
        <v>1</v>
      </c>
      <c r="BO203" s="16">
        <f>IFERROR(__xludf.DUMMYFUNCTION("""COMPUTED_VALUE"""),1.0)</f>
        <v>1</v>
      </c>
      <c r="BP203" s="16">
        <f>IFERROR(__xludf.DUMMYFUNCTION("""COMPUTED_VALUE"""),-5.0)</f>
        <v>-5</v>
      </c>
      <c r="BQ203" s="16">
        <f>IFERROR(__xludf.DUMMYFUNCTION("""COMPUTED_VALUE"""),-2.0)</f>
        <v>-2</v>
      </c>
      <c r="BR203" s="16">
        <f>IFERROR(__xludf.DUMMYFUNCTION("""COMPUTED_VALUE"""),-7.0)</f>
        <v>-7</v>
      </c>
      <c r="BS203" s="16" t="str">
        <f>IFERROR(__xludf.DUMMYFUNCTION("""COMPUTED_VALUE"""),"*2-5,11,12/- (19-15)")</f>
        <v>*2-5,11,12/- (19-15)</v>
      </c>
      <c r="BT203" s="16" t="str">
        <f>IFERROR(__xludf.DUMMYFUNCTION("""COMPUTED_VALUE"""),"A")</f>
        <v>A</v>
      </c>
      <c r="BU203" s="16">
        <f>IFERROR(__xludf.DUMMYFUNCTION("""COMPUTED_VALUE"""),17.0)</f>
        <v>17</v>
      </c>
      <c r="BV203" s="16">
        <f>IFERROR(__xludf.DUMMYFUNCTION("""COMPUTED_VALUE"""),2.0)</f>
        <v>2</v>
      </c>
      <c r="BW203" s="16">
        <f>IFERROR(__xludf.DUMMYFUNCTION("""COMPUTED_VALUE"""),3.0)</f>
        <v>3</v>
      </c>
      <c r="BX203" s="16">
        <f>IFERROR(__xludf.DUMMYFUNCTION("""COMPUTED_VALUE"""),4.0)</f>
        <v>4</v>
      </c>
      <c r="BY203" s="16">
        <f>IFERROR(__xludf.DUMMYFUNCTION("""COMPUTED_VALUE"""),9.0)</f>
        <v>9</v>
      </c>
      <c r="BZ203" s="16" t="str">
        <f>IFERROR(__xludf.DUMMYFUNCTION("""COMPUTED_VALUE"""),"A")</f>
        <v>A</v>
      </c>
      <c r="CA203" s="16" t="str">
        <f>IFERROR(__xludf.DUMMYFUNCTION("""COMPUTED_VALUE"""),"C")</f>
        <v>C</v>
      </c>
      <c r="CB203" s="16">
        <f>IFERROR(__xludf.DUMMYFUNCTION("""COMPUTED_VALUE"""),2.0)</f>
        <v>2</v>
      </c>
      <c r="CC203" s="16">
        <f>IFERROR(__xludf.DUMMYFUNCTION("""COMPUTED_VALUE"""),0.0)</f>
        <v>0</v>
      </c>
      <c r="CD203" s="16">
        <f>IFERROR(__xludf.DUMMYFUNCTION("""COMPUTED_VALUE"""),2.0)</f>
        <v>2</v>
      </c>
      <c r="CE203" s="16">
        <f>IFERROR(__xludf.DUMMYFUNCTION("""COMPUTED_VALUE"""),0.0)</f>
        <v>0</v>
      </c>
      <c r="CF203" s="16">
        <f>IFERROR(__xludf.DUMMYFUNCTION("""COMPUTED_VALUE"""),1.0)</f>
        <v>1</v>
      </c>
      <c r="CG203" s="16">
        <f>IFERROR(__xludf.DUMMYFUNCTION("""COMPUTED_VALUE"""),-15.0)</f>
        <v>-15</v>
      </c>
      <c r="CH203" s="16">
        <f>IFERROR(__xludf.DUMMYFUNCTION("""COMPUTED_VALUE"""),-7.0)</f>
        <v>-7</v>
      </c>
      <c r="CI203" s="179">
        <f>IFERROR(__xludf.DUMMYFUNCTION("""COMPUTED_VALUE"""),0.0)</f>
        <v>0</v>
      </c>
      <c r="CJ203" s="16"/>
      <c r="CK203" s="16"/>
      <c r="CL203" s="16"/>
      <c r="CM203" s="16"/>
      <c r="CN203" s="16"/>
      <c r="CO203" s="16"/>
      <c r="CP203" s="16">
        <f>IFERROR(__xludf.DUMMYFUNCTION("""COMPUTED_VALUE"""),104.0)</f>
        <v>104</v>
      </c>
      <c r="CQ203" s="16"/>
      <c r="CR203" s="16" t="str">
        <f>IFERROR(__xludf.DUMMYFUNCTION("""COMPUTED_VALUE"""),"cf-1(-2)e4")</f>
        <v>cf-1(-2)e4</v>
      </c>
      <c r="CS203" s="16"/>
      <c r="CT203" s="16"/>
      <c r="CU203" s="16"/>
      <c r="CV203" s="16"/>
      <c r="CW203" s="16"/>
      <c r="CX203" s="16"/>
      <c r="CY203" s="16">
        <f>IFERROR(__xludf.DUMMYFUNCTION("""COMPUTED_VALUE"""),1.0)</f>
        <v>1</v>
      </c>
      <c r="CZ203" s="16"/>
      <c r="DA203" s="16"/>
      <c r="DB203" s="16"/>
      <c r="DC203" s="16"/>
      <c r="DD203" s="16"/>
      <c r="DE203" s="16"/>
      <c r="DF203" s="16"/>
      <c r="DG203" s="16">
        <f>IFERROR(__xludf.DUMMYFUNCTION("""COMPUTED_VALUE"""),4.0)</f>
        <v>4</v>
      </c>
      <c r="DH203" s="16"/>
      <c r="DI203" s="16"/>
      <c r="DJ203" s="16"/>
      <c r="DK203" s="16"/>
      <c r="DL203" s="16"/>
      <c r="DM203" s="16"/>
      <c r="DN203" s="16"/>
      <c r="DO203" s="16">
        <f>IFERROR(__xludf.DUMMYFUNCTION("""COMPUTED_VALUE"""),4.0)</f>
        <v>4</v>
      </c>
      <c r="DP203" s="16"/>
      <c r="DQ203" s="16"/>
      <c r="DR203" s="16"/>
      <c r="DS203" s="16"/>
      <c r="DT203" s="16"/>
      <c r="DU203" s="16"/>
      <c r="DV203" s="16"/>
      <c r="DW203" s="16">
        <f>IFERROR(__xludf.DUMMYFUNCTION("""COMPUTED_VALUE"""),3.0)</f>
        <v>3</v>
      </c>
      <c r="DX203" s="16"/>
      <c r="DY203" s="16"/>
      <c r="DZ203" s="16"/>
      <c r="EA203" s="16"/>
      <c r="EB203" s="16"/>
      <c r="EC203" s="16"/>
      <c r="ED203" s="16"/>
      <c r="EE203" s="16">
        <f>IFERROR(__xludf.DUMMYFUNCTION("""COMPUTED_VALUE"""),7.0)</f>
        <v>7</v>
      </c>
      <c r="EF203" s="16"/>
      <c r="EG203" s="179"/>
      <c r="EH203" s="179"/>
      <c r="EI203" s="179"/>
      <c r="EJ203" s="179"/>
      <c r="EK203" s="179"/>
      <c r="EL203" s="179"/>
      <c r="EM203" s="179">
        <f>IFERROR(__xludf.DUMMYFUNCTION("""COMPUTED_VALUE"""),7.0)</f>
        <v>7</v>
      </c>
      <c r="EN203" s="179"/>
      <c r="EO203" s="16"/>
      <c r="EP203" s="16"/>
      <c r="EQ203" s="16">
        <f>IFERROR(__xludf.DUMMYFUNCTION("""COMPUTED_VALUE"""),4.0)</f>
        <v>4</v>
      </c>
      <c r="ER203" s="16">
        <f>IFERROR(__xludf.DUMMYFUNCTION("""COMPUTED_VALUE"""),1.0)</f>
        <v>1</v>
      </c>
      <c r="ES203" s="16"/>
      <c r="ET203" s="16"/>
      <c r="EU203" s="16"/>
      <c r="EV203" s="16"/>
      <c r="EW203" s="16"/>
      <c r="EX203" s="180"/>
      <c r="EY203" s="180"/>
      <c r="EZ203" s="180"/>
      <c r="FA203" s="180"/>
      <c r="FB203" s="180"/>
      <c r="FC203" s="180"/>
      <c r="FD203" s="180">
        <f>IFERROR(__xludf.DUMMYFUNCTION("""COMPUTED_VALUE"""),0.0)</f>
        <v>0</v>
      </c>
      <c r="FE203" s="180"/>
      <c r="FF203" s="180"/>
      <c r="FG203" s="180"/>
      <c r="FH203" s="180"/>
      <c r="FI203" s="180"/>
      <c r="FJ203" s="180"/>
      <c r="FK203" s="180"/>
      <c r="FL203" s="180">
        <f>IFERROR(__xludf.DUMMYFUNCTION("""COMPUTED_VALUE"""),0.046296296296296294)</f>
        <v>0.0462962963</v>
      </c>
      <c r="FM203" s="180"/>
      <c r="FN203" s="16"/>
      <c r="FO203" s="16"/>
      <c r="FP203" s="16"/>
      <c r="FQ203" s="16"/>
      <c r="FR203" s="16"/>
      <c r="FS203" s="16"/>
      <c r="FT203" s="16">
        <f>IFERROR(__xludf.DUMMYFUNCTION("""COMPUTED_VALUE"""),0.9537037037037037)</f>
        <v>0.9537037037</v>
      </c>
      <c r="FU203" s="16"/>
      <c r="FV203" s="16"/>
      <c r="FW203" s="16"/>
      <c r="FX203" s="16"/>
      <c r="FY203" s="16"/>
      <c r="FZ203" s="16"/>
      <c r="GA203" s="16"/>
      <c r="GB203" s="16">
        <f>IFERROR(__xludf.DUMMYFUNCTION("""COMPUTED_VALUE"""),8.0)</f>
        <v>8</v>
      </c>
      <c r="GC203" s="16"/>
      <c r="GD203" s="16" t="s">
        <v>333</v>
      </c>
    </row>
    <row r="204">
      <c r="A204" s="16">
        <f>IFERROR(__xludf.DUMMYFUNCTION("""COMPUTED_VALUE"""),13386.0)</f>
        <v>13386</v>
      </c>
      <c r="B204" s="16" t="str">
        <f>IFERROR(__xludf.DUMMYFUNCTION("""COMPUTED_VALUE"""),"Spencer Torkelson")</f>
        <v>Spencer Torkelson</v>
      </c>
      <c r="C204" s="16">
        <f>IFERROR(__xludf.DUMMYFUNCTION("""COMPUTED_VALUE"""),0.14)</f>
        <v>0.14</v>
      </c>
      <c r="D204" s="16" t="str">
        <f>IFERROR(__xludf.DUMMYFUNCTION("""COMPUTED_VALUE"""),"R")</f>
        <v>R</v>
      </c>
      <c r="E204" s="16"/>
      <c r="F204" s="16"/>
      <c r="G204" s="16">
        <f>IFERROR(__xludf.DUMMYFUNCTION("""COMPUTED_VALUE"""),342.0)</f>
        <v>342</v>
      </c>
      <c r="H204" s="16">
        <f>IFERROR(__xludf.DUMMYFUNCTION("""COMPUTED_VALUE"""),33.0)</f>
        <v>33</v>
      </c>
      <c r="I204" s="16" t="str">
        <f>IFERROR(__xludf.DUMMYFUNCTION("""COMPUTED_VALUE"""),"1p50")</f>
        <v>1p50</v>
      </c>
      <c r="J204" s="16">
        <f>IFERROR(__xludf.DUMMYFUNCTION("""COMPUTED_VALUE"""),12.0)</f>
        <v>12</v>
      </c>
      <c r="K204" s="16">
        <f>IFERROR(__xludf.DUMMYFUNCTION("""COMPUTED_VALUE"""),41.0)</f>
        <v>41</v>
      </c>
      <c r="L204" s="16">
        <f>IFERROR(__xludf.DUMMYFUNCTION("""COMPUTED_VALUE"""),1.0)</f>
        <v>1</v>
      </c>
      <c r="M204" s="16">
        <f>IFERROR(__xludf.DUMMYFUNCTION("""COMPUTED_VALUE"""),-2.0)</f>
        <v>-2</v>
      </c>
      <c r="N204" s="16">
        <f>IFERROR(__xludf.DUMMYFUNCTION("""COMPUTED_VALUE"""),1.0)</f>
        <v>1</v>
      </c>
      <c r="O204" s="16">
        <f>IFERROR(__xludf.DUMMYFUNCTION("""COMPUTED_VALUE"""),-2.0)</f>
        <v>-2</v>
      </c>
      <c r="P204" s="16">
        <f>IFERROR(__xludf.DUMMYFUNCTION("""COMPUTED_VALUE"""),8.0)</f>
        <v>8</v>
      </c>
      <c r="Q204" s="16">
        <f>IFERROR(__xludf.DUMMYFUNCTION("""COMPUTED_VALUE"""),12.0)</f>
        <v>12</v>
      </c>
      <c r="R204" s="16">
        <f>IFERROR(__xludf.DUMMYFUNCTION("""COMPUTED_VALUE"""),0.0)</f>
        <v>0</v>
      </c>
      <c r="S204" s="16">
        <f>IFERROR(__xludf.DUMMYFUNCTION("""COMPUTED_VALUE"""),1.0)</f>
        <v>1</v>
      </c>
      <c r="T204" s="16">
        <f>IFERROR(__xludf.DUMMYFUNCTION("""COMPUTED_VALUE"""),0.0)</f>
        <v>0</v>
      </c>
      <c r="U204" s="16">
        <f>IFERROR(__xludf.DUMMYFUNCTION("""COMPUTED_VALUE"""),1.0)</f>
        <v>1</v>
      </c>
      <c r="V204" s="16">
        <f>IFERROR(__xludf.DUMMYFUNCTION("""COMPUTED_VALUE"""),19.1)</f>
        <v>19.1</v>
      </c>
      <c r="W204" s="16">
        <f>IFERROR(__xludf.DUMMYFUNCTION("""COMPUTED_VALUE"""),14.4)</f>
        <v>14.4</v>
      </c>
      <c r="X204" s="16">
        <f>IFERROR(__xludf.DUMMYFUNCTION("""COMPUTED_VALUE"""),0.0)</f>
        <v>0</v>
      </c>
      <c r="Y204" s="16">
        <f>IFERROR(__xludf.DUMMYFUNCTION("""COMPUTED_VALUE"""),-1.0)</f>
        <v>-1</v>
      </c>
      <c r="Z204" s="16">
        <f>IFERROR(__xludf.DUMMYFUNCTION("""COMPUTED_VALUE"""),0.0)</f>
        <v>0</v>
      </c>
      <c r="AA204" s="16">
        <f>IFERROR(__xludf.DUMMYFUNCTION("""COMPUTED_VALUE"""),-2.0)</f>
        <v>-2</v>
      </c>
      <c r="AB204" s="16">
        <f>IFERROR(__xludf.DUMMYFUNCTION("""COMPUTED_VALUE"""),29.1)</f>
        <v>29.1</v>
      </c>
      <c r="AC204" s="16">
        <f>IFERROR(__xludf.DUMMYFUNCTION("""COMPUTED_VALUE"""),28.5)</f>
        <v>28.5</v>
      </c>
      <c r="AD204" s="16">
        <f>IFERROR(__xludf.DUMMYFUNCTION("""COMPUTED_VALUE"""),0.0)</f>
        <v>0</v>
      </c>
      <c r="AE204" s="16">
        <f>IFERROR(__xludf.DUMMYFUNCTION("""COMPUTED_VALUE"""),0.0)</f>
        <v>0</v>
      </c>
      <c r="AF204" s="16">
        <f>IFERROR(__xludf.DUMMYFUNCTION("""COMPUTED_VALUE"""),0.0)</f>
        <v>0</v>
      </c>
      <c r="AG204" s="16">
        <f>IFERROR(__xludf.DUMMYFUNCTION("""COMPUTED_VALUE"""),0.0)</f>
        <v>0</v>
      </c>
      <c r="AH204" s="16">
        <f>IFERROR(__xludf.DUMMYFUNCTION("""COMPUTED_VALUE"""),44.3)</f>
        <v>44.3</v>
      </c>
      <c r="AI204" s="16">
        <f>IFERROR(__xludf.DUMMYFUNCTION("""COMPUTED_VALUE"""),22.7)</f>
        <v>22.7</v>
      </c>
      <c r="AJ204" s="16">
        <f>IFERROR(__xludf.DUMMYFUNCTION("""COMPUTED_VALUE"""),1.0)</f>
        <v>1</v>
      </c>
      <c r="AK204" s="16">
        <f>IFERROR(__xludf.DUMMYFUNCTION("""COMPUTED_VALUE"""),-1.0)</f>
        <v>-1</v>
      </c>
      <c r="AL204" s="16">
        <f>IFERROR(__xludf.DUMMYFUNCTION("""COMPUTED_VALUE"""),5.0)</f>
        <v>5</v>
      </c>
      <c r="AM204" s="16">
        <f>IFERROR(__xludf.DUMMYFUNCTION("""COMPUTED_VALUE"""),-5.0)</f>
        <v>-5</v>
      </c>
      <c r="AN204" s="16">
        <f>IFERROR(__xludf.DUMMYFUNCTION("""COMPUTED_VALUE"""),2.5)</f>
        <v>2.5</v>
      </c>
      <c r="AO204" s="16">
        <f>IFERROR(__xludf.DUMMYFUNCTION("""COMPUTED_VALUE"""),1.3)</f>
        <v>1.3</v>
      </c>
      <c r="AP204" s="16">
        <f>IFERROR(__xludf.DUMMYFUNCTION("""COMPUTED_VALUE"""),0.0)</f>
        <v>0</v>
      </c>
      <c r="AQ204" s="16">
        <f>IFERROR(__xludf.DUMMYFUNCTION("""COMPUTED_VALUE"""),-1.0)</f>
        <v>-1</v>
      </c>
      <c r="AR204" s="16">
        <f>IFERROR(__xludf.DUMMYFUNCTION("""COMPUTED_VALUE"""),0.0)</f>
        <v>0</v>
      </c>
      <c r="AS204" s="16">
        <f>IFERROR(__xludf.DUMMYFUNCTION("""COMPUTED_VALUE"""),-2.0)</f>
        <v>-2</v>
      </c>
      <c r="AT204" s="16"/>
      <c r="AU204" s="16">
        <f>IFERROR(__xludf.DUMMYFUNCTION("""COMPUTED_VALUE"""),2.0)</f>
        <v>2</v>
      </c>
      <c r="AV204" s="16">
        <f>IFERROR(__xludf.DUMMYFUNCTION("""COMPUTED_VALUE"""),3.0)</f>
        <v>3</v>
      </c>
      <c r="AW204" s="16">
        <f>IFERROR(__xludf.DUMMYFUNCTION("""COMPUTED_VALUE"""),2.0)</f>
        <v>2</v>
      </c>
      <c r="AX204" s="16">
        <f>IFERROR(__xludf.DUMMYFUNCTION("""COMPUTED_VALUE"""),1.0)</f>
        <v>1</v>
      </c>
      <c r="AY204" s="16">
        <f>IFERROR(__xludf.DUMMYFUNCTION("""COMPUTED_VALUE"""),0.0)</f>
        <v>0</v>
      </c>
      <c r="AZ204" s="16">
        <f>IFERROR(__xludf.DUMMYFUNCTION("""COMPUTED_VALUE"""),3.0)</f>
        <v>3</v>
      </c>
      <c r="BA204" s="16">
        <f>IFERROR(__xludf.DUMMYFUNCTION("""COMPUTED_VALUE"""),0.0)</f>
        <v>0</v>
      </c>
      <c r="BB204" s="16">
        <f>IFERROR(__xludf.DUMMYFUNCTION("""COMPUTED_VALUE"""),0.0)</f>
        <v>0</v>
      </c>
      <c r="BC204" s="16">
        <f>IFERROR(__xludf.DUMMYFUNCTION("""COMPUTED_VALUE"""),5.0)</f>
        <v>5</v>
      </c>
      <c r="BD204" s="16">
        <f>IFERROR(__xludf.DUMMYFUNCTION("""COMPUTED_VALUE"""),0.0)</f>
        <v>0</v>
      </c>
      <c r="BE204" s="16">
        <f>IFERROR(__xludf.DUMMYFUNCTION("""COMPUTED_VALUE"""),1.0)</f>
        <v>1</v>
      </c>
      <c r="BF204" s="16">
        <f>IFERROR(__xludf.DUMMYFUNCTION("""COMPUTED_VALUE"""),0.0)</f>
        <v>0</v>
      </c>
      <c r="BG204" s="16">
        <f>IFERROR(__xludf.DUMMYFUNCTION("""COMPUTED_VALUE"""),1.0)</f>
        <v>1</v>
      </c>
      <c r="BH204" s="16">
        <f>IFERROR(__xludf.DUMMYFUNCTION("""COMPUTED_VALUE"""),0.0)</f>
        <v>0</v>
      </c>
      <c r="BI204" s="16">
        <f>IFERROR(__xludf.DUMMYFUNCTION("""COMPUTED_VALUE"""),-7.0)</f>
        <v>-7</v>
      </c>
      <c r="BJ204" s="16">
        <f>IFERROR(__xludf.DUMMYFUNCTION("""COMPUTED_VALUE"""),13.0)</f>
        <v>13</v>
      </c>
      <c r="BK204" s="16">
        <f>IFERROR(__xludf.DUMMYFUNCTION("""COMPUTED_VALUE"""),9.0)</f>
        <v>9</v>
      </c>
      <c r="BL204" s="16">
        <f>IFERROR(__xludf.DUMMYFUNCTION("""COMPUTED_VALUE"""),0.0)</f>
        <v>0</v>
      </c>
      <c r="BM204" s="16">
        <f>IFERROR(__xludf.DUMMYFUNCTION("""COMPUTED_VALUE"""),1.0)</f>
        <v>1</v>
      </c>
      <c r="BN204" s="16">
        <f>IFERROR(__xludf.DUMMYFUNCTION("""COMPUTED_VALUE"""),0.0)</f>
        <v>0</v>
      </c>
      <c r="BO204" s="16">
        <f>IFERROR(__xludf.DUMMYFUNCTION("""COMPUTED_VALUE"""),1.0)</f>
        <v>1</v>
      </c>
      <c r="BP204" s="16">
        <f>IFERROR(__xludf.DUMMYFUNCTION("""COMPUTED_VALUE"""),3.0)</f>
        <v>3</v>
      </c>
      <c r="BQ204" s="16">
        <f>IFERROR(__xludf.DUMMYFUNCTION("""COMPUTED_VALUE"""),-2.0)</f>
        <v>-2</v>
      </c>
      <c r="BR204" s="16">
        <f>IFERROR(__xludf.DUMMYFUNCTION("""COMPUTED_VALUE"""),1.0)</f>
        <v>1</v>
      </c>
      <c r="BS204" s="16" t="str">
        <f>IFERROR(__xludf.DUMMYFUNCTION("""COMPUTED_VALUE"""),"-/- (---)")</f>
        <v>-/- (---)</v>
      </c>
      <c r="BT204" s="16" t="str">
        <f>IFERROR(__xludf.DUMMYFUNCTION("""COMPUTED_VALUE"""),"E")</f>
        <v>E</v>
      </c>
      <c r="BU204" s="16">
        <f>IFERROR(__xludf.DUMMYFUNCTION("""COMPUTED_VALUE"""),12.0)</f>
        <v>12</v>
      </c>
      <c r="BV204" s="16">
        <f>IFERROR(__xludf.DUMMYFUNCTION("""COMPUTED_VALUE"""),0.0)</f>
        <v>0</v>
      </c>
      <c r="BW204" s="16">
        <f>IFERROR(__xludf.DUMMYFUNCTION("""COMPUTED_VALUE"""),0.0)</f>
        <v>0</v>
      </c>
      <c r="BX204" s="16">
        <f>IFERROR(__xludf.DUMMYFUNCTION("""COMPUTED_VALUE"""),0.0)</f>
        <v>0</v>
      </c>
      <c r="BY204" s="16">
        <f>IFERROR(__xludf.DUMMYFUNCTION("""COMPUTED_VALUE"""),0.0)</f>
        <v>0</v>
      </c>
      <c r="BZ204" s="16" t="str">
        <f>IFERROR(__xludf.DUMMYFUNCTION("""COMPUTED_VALUE"""),"D")</f>
        <v>D</v>
      </c>
      <c r="CA204" s="16" t="str">
        <f>IFERROR(__xludf.DUMMYFUNCTION("""COMPUTED_VALUE"""),"D")</f>
        <v>D</v>
      </c>
      <c r="CB204" s="16">
        <f>IFERROR(__xludf.DUMMYFUNCTION("""COMPUTED_VALUE"""),0.0)</f>
        <v>0</v>
      </c>
      <c r="CC204" s="16">
        <f>IFERROR(__xludf.DUMMYFUNCTION("""COMPUTED_VALUE"""),0.0)</f>
        <v>0</v>
      </c>
      <c r="CD204" s="16">
        <f>IFERROR(__xludf.DUMMYFUNCTION("""COMPUTED_VALUE"""),0.0)</f>
        <v>0</v>
      </c>
      <c r="CE204" s="16">
        <f>IFERROR(__xludf.DUMMYFUNCTION("""COMPUTED_VALUE"""),0.0)</f>
        <v>0</v>
      </c>
      <c r="CF204" s="16">
        <f>IFERROR(__xludf.DUMMYFUNCTION("""COMPUTED_VALUE"""),1.0)</f>
        <v>1</v>
      </c>
      <c r="CG204" s="16">
        <f>IFERROR(__xludf.DUMMYFUNCTION("""COMPUTED_VALUE"""),9.0)</f>
        <v>9</v>
      </c>
      <c r="CH204" s="16">
        <f>IFERROR(__xludf.DUMMYFUNCTION("""COMPUTED_VALUE"""),-8.0)</f>
        <v>-8</v>
      </c>
      <c r="CI204" s="179">
        <f>IFERROR(__xludf.DUMMYFUNCTION("""COMPUTED_VALUE"""),0.0)</f>
        <v>0</v>
      </c>
      <c r="CJ204" s="16"/>
      <c r="CK204" s="16">
        <f>IFERROR(__xludf.DUMMYFUNCTION("""COMPUTED_VALUE"""),307.0)</f>
        <v>307</v>
      </c>
      <c r="CL204" s="16"/>
      <c r="CM204" s="16"/>
      <c r="CN204" s="16"/>
      <c r="CO204" s="16"/>
      <c r="CP204" s="16"/>
      <c r="CQ204" s="16"/>
      <c r="CR204" s="16" t="str">
        <f>IFERROR(__xludf.DUMMYFUNCTION("""COMPUTED_VALUE"""),"1b-3e7")</f>
        <v>1b-3e7</v>
      </c>
      <c r="CS204" s="16"/>
      <c r="CT204" s="16">
        <f>IFERROR(__xludf.DUMMYFUNCTION("""COMPUTED_VALUE"""),3.0)</f>
        <v>3</v>
      </c>
      <c r="CU204" s="16"/>
      <c r="CV204" s="16"/>
      <c r="CW204" s="16"/>
      <c r="CX204" s="16"/>
      <c r="CY204" s="16"/>
      <c r="CZ204" s="16"/>
      <c r="DA204" s="16"/>
      <c r="DB204" s="16">
        <f>IFERROR(__xludf.DUMMYFUNCTION("""COMPUTED_VALUE"""),7.0)</f>
        <v>7</v>
      </c>
      <c r="DC204" s="16"/>
      <c r="DD204" s="16"/>
      <c r="DE204" s="16"/>
      <c r="DF204" s="16"/>
      <c r="DG204" s="16"/>
      <c r="DH204" s="16"/>
      <c r="DI204" s="16"/>
      <c r="DJ204" s="16">
        <f>IFERROR(__xludf.DUMMYFUNCTION("""COMPUTED_VALUE"""),1.0)</f>
        <v>1</v>
      </c>
      <c r="DK204" s="16"/>
      <c r="DL204" s="16"/>
      <c r="DM204" s="16"/>
      <c r="DN204" s="16"/>
      <c r="DO204" s="16"/>
      <c r="DP204" s="16"/>
      <c r="DQ204" s="16"/>
      <c r="DR204" s="16">
        <f>IFERROR(__xludf.DUMMYFUNCTION("""COMPUTED_VALUE"""),2.0)</f>
        <v>2</v>
      </c>
      <c r="DS204" s="16"/>
      <c r="DT204" s="16"/>
      <c r="DU204" s="16"/>
      <c r="DV204" s="16"/>
      <c r="DW204" s="16"/>
      <c r="DX204" s="16"/>
      <c r="DY204" s="16"/>
      <c r="DZ204" s="16">
        <f>IFERROR(__xludf.DUMMYFUNCTION("""COMPUTED_VALUE"""),3.0)</f>
        <v>3</v>
      </c>
      <c r="EA204" s="16"/>
      <c r="EB204" s="16"/>
      <c r="EC204" s="16"/>
      <c r="ED204" s="16"/>
      <c r="EE204" s="16"/>
      <c r="EF204" s="16"/>
      <c r="EG204" s="179"/>
      <c r="EH204" s="179">
        <f>IFERROR(__xludf.DUMMYFUNCTION("""COMPUTED_VALUE"""),3.0)</f>
        <v>3</v>
      </c>
      <c r="EI204" s="179"/>
      <c r="EJ204" s="179"/>
      <c r="EK204" s="179"/>
      <c r="EL204" s="179"/>
      <c r="EM204" s="179"/>
      <c r="EN204" s="179"/>
      <c r="EO204" s="16"/>
      <c r="EP204" s="16"/>
      <c r="EQ204" s="16">
        <f>IFERROR(__xludf.DUMMYFUNCTION("""COMPUTED_VALUE"""),4.0)</f>
        <v>4</v>
      </c>
      <c r="ER204" s="16">
        <f>IFERROR(__xludf.DUMMYFUNCTION("""COMPUTED_VALUE"""),0.0)</f>
        <v>0</v>
      </c>
      <c r="ES204" s="16"/>
      <c r="ET204" s="16"/>
      <c r="EU204" s="16"/>
      <c r="EV204" s="16"/>
      <c r="EW204" s="16"/>
      <c r="EX204" s="180"/>
      <c r="EY204" s="180">
        <f>IFERROR(__xludf.DUMMYFUNCTION("""COMPUTED_VALUE"""),0.2)</f>
        <v>0.2</v>
      </c>
      <c r="EZ204" s="180"/>
      <c r="FA204" s="180"/>
      <c r="FB204" s="180"/>
      <c r="FC204" s="180"/>
      <c r="FD204" s="180"/>
      <c r="FE204" s="180"/>
      <c r="FF204" s="180"/>
      <c r="FG204" s="180">
        <f>IFERROR(__xludf.DUMMYFUNCTION("""COMPUTED_VALUE"""),0.125)</f>
        <v>0.125</v>
      </c>
      <c r="FH204" s="180"/>
      <c r="FI204" s="180"/>
      <c r="FJ204" s="180"/>
      <c r="FK204" s="180"/>
      <c r="FL204" s="180"/>
      <c r="FM204" s="180"/>
      <c r="FN204" s="16"/>
      <c r="FO204" s="16">
        <f>IFERROR(__xludf.DUMMYFUNCTION("""COMPUTED_VALUE"""),0.7000000000000001)</f>
        <v>0.7</v>
      </c>
      <c r="FP204" s="16"/>
      <c r="FQ204" s="16"/>
      <c r="FR204" s="16"/>
      <c r="FS204" s="16"/>
      <c r="FT204" s="16"/>
      <c r="FU204" s="16"/>
      <c r="FV204" s="16"/>
      <c r="FW204" s="16">
        <f>IFERROR(__xludf.DUMMYFUNCTION("""COMPUTED_VALUE"""),-4.0)</f>
        <v>-4</v>
      </c>
      <c r="FX204" s="16"/>
      <c r="FY204" s="16"/>
      <c r="FZ204" s="16"/>
      <c r="GA204" s="16"/>
      <c r="GB204" s="16"/>
      <c r="GC204" s="16"/>
      <c r="GD204" s="16" t="s">
        <v>176</v>
      </c>
    </row>
    <row r="205">
      <c r="A205" s="16">
        <f>IFERROR(__xludf.DUMMYFUNCTION("""COMPUTED_VALUE"""),13424.0)</f>
        <v>13424</v>
      </c>
      <c r="B205" s="16" t="str">
        <f>IFERROR(__xludf.DUMMYFUNCTION("""COMPUTED_VALUE"""),"Tommy Pham")</f>
        <v>Tommy Pham</v>
      </c>
      <c r="C205" s="16">
        <f>IFERROR(__xludf.DUMMYFUNCTION("""COMPUTED_VALUE"""),0.0)</f>
        <v>0</v>
      </c>
      <c r="D205" s="16" t="str">
        <f>IFERROR(__xludf.DUMMYFUNCTION("""COMPUTED_VALUE"""),"R")</f>
        <v>R</v>
      </c>
      <c r="E205" s="16"/>
      <c r="F205" s="16"/>
      <c r="G205" s="16">
        <f>IFERROR(__xludf.DUMMYFUNCTION("""COMPUTED_VALUE"""),440.0)</f>
        <v>440</v>
      </c>
      <c r="H205" s="16">
        <f>IFERROR(__xludf.DUMMYFUNCTION("""COMPUTED_VALUE"""),35.0)</f>
        <v>35</v>
      </c>
      <c r="I205" s="16" t="str">
        <f>IFERROR(__xludf.DUMMYFUNCTION("""COMPUTED_VALUE"""),"1p60")</f>
        <v>1p60</v>
      </c>
      <c r="J205" s="16">
        <f>IFERROR(__xludf.DUMMYFUNCTION("""COMPUTED_VALUE"""),15.0)</f>
        <v>15</v>
      </c>
      <c r="K205" s="16">
        <f>IFERROR(__xludf.DUMMYFUNCTION("""COMPUTED_VALUE"""),25.0)</f>
        <v>25</v>
      </c>
      <c r="L205" s="16">
        <f>IFERROR(__xludf.DUMMYFUNCTION("""COMPUTED_VALUE"""),1.0)</f>
        <v>1</v>
      </c>
      <c r="M205" s="16">
        <f>IFERROR(__xludf.DUMMYFUNCTION("""COMPUTED_VALUE"""),0.0)</f>
        <v>0</v>
      </c>
      <c r="N205" s="16">
        <f>IFERROR(__xludf.DUMMYFUNCTION("""COMPUTED_VALUE"""),1.0)</f>
        <v>1</v>
      </c>
      <c r="O205" s="16">
        <f>IFERROR(__xludf.DUMMYFUNCTION("""COMPUTED_VALUE"""),0.0)</f>
        <v>0</v>
      </c>
      <c r="P205" s="16">
        <f>IFERROR(__xludf.DUMMYFUNCTION("""COMPUTED_VALUE"""),13.0)</f>
        <v>13</v>
      </c>
      <c r="Q205" s="16">
        <f>IFERROR(__xludf.DUMMYFUNCTION("""COMPUTED_VALUE"""),6.0)</f>
        <v>6</v>
      </c>
      <c r="R205" s="16">
        <f>IFERROR(__xludf.DUMMYFUNCTION("""COMPUTED_VALUE"""),2.0)</f>
        <v>2</v>
      </c>
      <c r="S205" s="16">
        <f>IFERROR(__xludf.DUMMYFUNCTION("""COMPUTED_VALUE"""),-1.0)</f>
        <v>-1</v>
      </c>
      <c r="T205" s="16">
        <f>IFERROR(__xludf.DUMMYFUNCTION("""COMPUTED_VALUE"""),2.0)</f>
        <v>2</v>
      </c>
      <c r="U205" s="16">
        <f>IFERROR(__xludf.DUMMYFUNCTION("""COMPUTED_VALUE"""),-1.0)</f>
        <v>-1</v>
      </c>
      <c r="V205" s="16">
        <f>IFERROR(__xludf.DUMMYFUNCTION("""COMPUTED_VALUE"""),16.4)</f>
        <v>16.4</v>
      </c>
      <c r="W205" s="16">
        <f>IFERROR(__xludf.DUMMYFUNCTION("""COMPUTED_VALUE"""),24.6)</f>
        <v>24.6</v>
      </c>
      <c r="X205" s="16">
        <f>IFERROR(__xludf.DUMMYFUNCTION("""COMPUTED_VALUE"""),0.0)</f>
        <v>0</v>
      </c>
      <c r="Y205" s="16">
        <f>IFERROR(__xludf.DUMMYFUNCTION("""COMPUTED_VALUE"""),1.0)</f>
        <v>1</v>
      </c>
      <c r="Z205" s="16">
        <f>IFERROR(__xludf.DUMMYFUNCTION("""COMPUTED_VALUE"""),0.0)</f>
        <v>0</v>
      </c>
      <c r="AA205" s="16">
        <f>IFERROR(__xludf.DUMMYFUNCTION("""COMPUTED_VALUE"""),2.0)</f>
        <v>2</v>
      </c>
      <c r="AB205" s="16">
        <f>IFERROR(__xludf.DUMMYFUNCTION("""COMPUTED_VALUE"""),30.4)</f>
        <v>30.4</v>
      </c>
      <c r="AC205" s="16">
        <f>IFERROR(__xludf.DUMMYFUNCTION("""COMPUTED_VALUE"""),31.6)</f>
        <v>31.6</v>
      </c>
      <c r="AD205" s="16">
        <f>IFERROR(__xludf.DUMMYFUNCTION("""COMPUTED_VALUE"""),0.0)</f>
        <v>0</v>
      </c>
      <c r="AE205" s="16">
        <f>IFERROR(__xludf.DUMMYFUNCTION("""COMPUTED_VALUE"""),0.0)</f>
        <v>0</v>
      </c>
      <c r="AF205" s="16">
        <f>IFERROR(__xludf.DUMMYFUNCTION("""COMPUTED_VALUE"""),0.0)</f>
        <v>0</v>
      </c>
      <c r="AG205" s="16">
        <f>IFERROR(__xludf.DUMMYFUNCTION("""COMPUTED_VALUE"""),0.0)</f>
        <v>0</v>
      </c>
      <c r="AH205" s="16">
        <f>IFERROR(__xludf.DUMMYFUNCTION("""COMPUTED_VALUE"""),25.3)</f>
        <v>25.3</v>
      </c>
      <c r="AI205" s="16">
        <f>IFERROR(__xludf.DUMMYFUNCTION("""COMPUTED_VALUE"""),31.2)</f>
        <v>31.2</v>
      </c>
      <c r="AJ205" s="16">
        <f>IFERROR(__xludf.DUMMYFUNCTION("""COMPUTED_VALUE"""),-1.0)</f>
        <v>-1</v>
      </c>
      <c r="AK205" s="16">
        <f>IFERROR(__xludf.DUMMYFUNCTION("""COMPUTED_VALUE"""),0.0)</f>
        <v>0</v>
      </c>
      <c r="AL205" s="16">
        <f>IFERROR(__xludf.DUMMYFUNCTION("""COMPUTED_VALUE"""),-5.0)</f>
        <v>-5</v>
      </c>
      <c r="AM205" s="16">
        <f>IFERROR(__xludf.DUMMYFUNCTION("""COMPUTED_VALUE"""),0.0)</f>
        <v>0</v>
      </c>
      <c r="AN205" s="16">
        <f>IFERROR(__xludf.DUMMYFUNCTION("""COMPUTED_VALUE"""),1.6)</f>
        <v>1.6</v>
      </c>
      <c r="AO205" s="16">
        <f>IFERROR(__xludf.DUMMYFUNCTION("""COMPUTED_VALUE"""),0.2)</f>
        <v>0.2</v>
      </c>
      <c r="AP205" s="16">
        <f>IFERROR(__xludf.DUMMYFUNCTION("""COMPUTED_VALUE"""),-1.0)</f>
        <v>-1</v>
      </c>
      <c r="AQ205" s="16">
        <f>IFERROR(__xludf.DUMMYFUNCTION("""COMPUTED_VALUE"""),-2.0)</f>
        <v>-2</v>
      </c>
      <c r="AR205" s="16">
        <f>IFERROR(__xludf.DUMMYFUNCTION("""COMPUTED_VALUE"""),-2.0)</f>
        <v>-2</v>
      </c>
      <c r="AS205" s="16">
        <f>IFERROR(__xludf.DUMMYFUNCTION("""COMPUTED_VALUE"""),-4.0)</f>
        <v>-4</v>
      </c>
      <c r="AT205" s="16">
        <f>IFERROR(__xludf.DUMMYFUNCTION("""COMPUTED_VALUE"""),2.0)</f>
        <v>2</v>
      </c>
      <c r="AU205" s="16">
        <f>IFERROR(__xludf.DUMMYFUNCTION("""COMPUTED_VALUE"""),0.0)</f>
        <v>0</v>
      </c>
      <c r="AV205" s="16">
        <f>IFERROR(__xludf.DUMMYFUNCTION("""COMPUTED_VALUE"""),2.0)</f>
        <v>2</v>
      </c>
      <c r="AW205" s="16">
        <f>IFERROR(__xludf.DUMMYFUNCTION("""COMPUTED_VALUE"""),0.0)</f>
        <v>0</v>
      </c>
      <c r="AX205" s="16">
        <f>IFERROR(__xludf.DUMMYFUNCTION("""COMPUTED_VALUE"""),0.0)</f>
        <v>0</v>
      </c>
      <c r="AY205" s="16">
        <f>IFERROR(__xludf.DUMMYFUNCTION("""COMPUTED_VALUE"""),-2.0)</f>
        <v>-2</v>
      </c>
      <c r="AZ205" s="16">
        <f>IFERROR(__xludf.DUMMYFUNCTION("""COMPUTED_VALUE"""),0.0)</f>
        <v>0</v>
      </c>
      <c r="BA205" s="16">
        <f>IFERROR(__xludf.DUMMYFUNCTION("""COMPUTED_VALUE"""),-6.0)</f>
        <v>-6</v>
      </c>
      <c r="BB205" s="16">
        <f>IFERROR(__xludf.DUMMYFUNCTION("""COMPUTED_VALUE"""),5.0)</f>
        <v>5</v>
      </c>
      <c r="BC205" s="16">
        <f>IFERROR(__xludf.DUMMYFUNCTION("""COMPUTED_VALUE"""),5.0)</f>
        <v>5</v>
      </c>
      <c r="BD205" s="16">
        <f>IFERROR(__xludf.DUMMYFUNCTION("""COMPUTED_VALUE"""),1.0)</f>
        <v>1</v>
      </c>
      <c r="BE205" s="16">
        <f>IFERROR(__xludf.DUMMYFUNCTION("""COMPUTED_VALUE"""),1.0)</f>
        <v>1</v>
      </c>
      <c r="BF205" s="16">
        <f>IFERROR(__xludf.DUMMYFUNCTION("""COMPUTED_VALUE"""),1.0)</f>
        <v>1</v>
      </c>
      <c r="BG205" s="16">
        <f>IFERROR(__xludf.DUMMYFUNCTION("""COMPUTED_VALUE"""),1.0)</f>
        <v>1</v>
      </c>
      <c r="BH205" s="16">
        <f>IFERROR(__xludf.DUMMYFUNCTION("""COMPUTED_VALUE"""),-7.0)</f>
        <v>-7</v>
      </c>
      <c r="BI205" s="16">
        <f>IFERROR(__xludf.DUMMYFUNCTION("""COMPUTED_VALUE"""),-8.0)</f>
        <v>-8</v>
      </c>
      <c r="BJ205" s="16">
        <f>IFERROR(__xludf.DUMMYFUNCTION("""COMPUTED_VALUE"""),5.0)</f>
        <v>5</v>
      </c>
      <c r="BK205" s="16">
        <f>IFERROR(__xludf.DUMMYFUNCTION("""COMPUTED_VALUE"""),6.0)</f>
        <v>6</v>
      </c>
      <c r="BL205" s="16">
        <f>IFERROR(__xludf.DUMMYFUNCTION("""COMPUTED_VALUE"""),1.0)</f>
        <v>1</v>
      </c>
      <c r="BM205" s="16">
        <f>IFERROR(__xludf.DUMMYFUNCTION("""COMPUTED_VALUE"""),1.0)</f>
        <v>1</v>
      </c>
      <c r="BN205" s="16">
        <f>IFERROR(__xludf.DUMMYFUNCTION("""COMPUTED_VALUE"""),1.0)</f>
        <v>1</v>
      </c>
      <c r="BO205" s="16">
        <f>IFERROR(__xludf.DUMMYFUNCTION("""COMPUTED_VALUE"""),1.0)</f>
        <v>1</v>
      </c>
      <c r="BP205" s="16">
        <f>IFERROR(__xludf.DUMMYFUNCTION("""COMPUTED_VALUE"""),3.0)</f>
        <v>3</v>
      </c>
      <c r="BQ205" s="16">
        <f>IFERROR(__xludf.DUMMYFUNCTION("""COMPUTED_VALUE"""),-2.0)</f>
        <v>-2</v>
      </c>
      <c r="BR205" s="16">
        <f>IFERROR(__xludf.DUMMYFUNCTION("""COMPUTED_VALUE"""),1.0)</f>
        <v>1</v>
      </c>
      <c r="BS205" s="16" t="str">
        <f>IFERROR(__xludf.DUMMYFUNCTION("""COMPUTED_VALUE"""),"*4,5/- (16-6)")</f>
        <v>*4,5/- (16-6)</v>
      </c>
      <c r="BT205" s="16" t="str">
        <f>IFERROR(__xludf.DUMMYFUNCTION("""COMPUTED_VALUE"""),"C")</f>
        <v>C</v>
      </c>
      <c r="BU205" s="16">
        <f>IFERROR(__xludf.DUMMYFUNCTION("""COMPUTED_VALUE"""),13.0)</f>
        <v>13</v>
      </c>
      <c r="BV205" s="16">
        <f>IFERROR(__xludf.DUMMYFUNCTION("""COMPUTED_VALUE"""),0.0)</f>
        <v>0</v>
      </c>
      <c r="BW205" s="16">
        <f>IFERROR(__xludf.DUMMYFUNCTION("""COMPUTED_VALUE"""),1.0)</f>
        <v>1</v>
      </c>
      <c r="BX205" s="16">
        <f>IFERROR(__xludf.DUMMYFUNCTION("""COMPUTED_VALUE"""),0.0)</f>
        <v>0</v>
      </c>
      <c r="BY205" s="16">
        <f>IFERROR(__xludf.DUMMYFUNCTION("""COMPUTED_VALUE"""),3.0)</f>
        <v>3</v>
      </c>
      <c r="BZ205" s="16" t="str">
        <f>IFERROR(__xludf.DUMMYFUNCTION("""COMPUTED_VALUE"""),"D")</f>
        <v>D</v>
      </c>
      <c r="CA205" s="16" t="str">
        <f>IFERROR(__xludf.DUMMYFUNCTION("""COMPUTED_VALUE"""),"C")</f>
        <v>C</v>
      </c>
      <c r="CB205" s="16">
        <f>IFERROR(__xludf.DUMMYFUNCTION("""COMPUTED_VALUE"""),0.0)</f>
        <v>0</v>
      </c>
      <c r="CC205" s="16">
        <f>IFERROR(__xludf.DUMMYFUNCTION("""COMPUTED_VALUE"""),0.0)</f>
        <v>0</v>
      </c>
      <c r="CD205" s="16">
        <f>IFERROR(__xludf.DUMMYFUNCTION("""COMPUTED_VALUE"""),0.0)</f>
        <v>0</v>
      </c>
      <c r="CE205" s="16">
        <f>IFERROR(__xludf.DUMMYFUNCTION("""COMPUTED_VALUE"""),0.0)</f>
        <v>0</v>
      </c>
      <c r="CF205" s="16">
        <f>IFERROR(__xludf.DUMMYFUNCTION("""COMPUTED_VALUE"""),1.0)</f>
        <v>1</v>
      </c>
      <c r="CG205" s="16">
        <f>IFERROR(__xludf.DUMMYFUNCTION("""COMPUTED_VALUE"""),-2.0)</f>
        <v>-2</v>
      </c>
      <c r="CH205" s="16">
        <f>IFERROR(__xludf.DUMMYFUNCTION("""COMPUTED_VALUE"""),-7.0)</f>
        <v>-7</v>
      </c>
      <c r="CI205" s="179">
        <f>IFERROR(__xludf.DUMMYFUNCTION("""COMPUTED_VALUE"""),0.0)</f>
        <v>0</v>
      </c>
      <c r="CJ205" s="16"/>
      <c r="CK205" s="16"/>
      <c r="CL205" s="16"/>
      <c r="CM205" s="16"/>
      <c r="CN205" s="16"/>
      <c r="CO205" s="16">
        <f>IFERROR(__xludf.DUMMYFUNCTION("""COMPUTED_VALUE"""),402.0)</f>
        <v>402</v>
      </c>
      <c r="CP205" s="16">
        <f>IFERROR(__xludf.DUMMYFUNCTION("""COMPUTED_VALUE"""),402.0)</f>
        <v>402</v>
      </c>
      <c r="CQ205" s="16">
        <f>IFERROR(__xludf.DUMMYFUNCTION("""COMPUTED_VALUE"""),402.0)</f>
        <v>402</v>
      </c>
      <c r="CR205" s="16" t="str">
        <f>IFERROR(__xludf.DUMMYFUNCTION("""COMPUTED_VALUE"""),"rf-4(+1)e2 lf-4e2 cf-4e2")</f>
        <v>rf-4(+1)e2 lf-4e2 cf-4e2</v>
      </c>
      <c r="CS205" s="16"/>
      <c r="CT205" s="16"/>
      <c r="CU205" s="16"/>
      <c r="CV205" s="16"/>
      <c r="CW205" s="16"/>
      <c r="CX205" s="16">
        <f>IFERROR(__xludf.DUMMYFUNCTION("""COMPUTED_VALUE"""),4.0)</f>
        <v>4</v>
      </c>
      <c r="CY205" s="16">
        <f>IFERROR(__xludf.DUMMYFUNCTION("""COMPUTED_VALUE"""),4.0)</f>
        <v>4</v>
      </c>
      <c r="CZ205" s="16">
        <f>IFERROR(__xludf.DUMMYFUNCTION("""COMPUTED_VALUE"""),4.0)</f>
        <v>4</v>
      </c>
      <c r="DA205" s="16"/>
      <c r="DB205" s="16"/>
      <c r="DC205" s="16"/>
      <c r="DD205" s="16"/>
      <c r="DE205" s="16"/>
      <c r="DF205" s="16">
        <f>IFERROR(__xludf.DUMMYFUNCTION("""COMPUTED_VALUE"""),2.0)</f>
        <v>2</v>
      </c>
      <c r="DG205" s="16">
        <f>IFERROR(__xludf.DUMMYFUNCTION("""COMPUTED_VALUE"""),2.0)</f>
        <v>2</v>
      </c>
      <c r="DH205" s="16">
        <f>IFERROR(__xludf.DUMMYFUNCTION("""COMPUTED_VALUE"""),2.0)</f>
        <v>2</v>
      </c>
      <c r="DI205" s="16"/>
      <c r="DJ205" s="16"/>
      <c r="DK205" s="16"/>
      <c r="DL205" s="16"/>
      <c r="DM205" s="16"/>
      <c r="DN205" s="16">
        <f>IFERROR(__xludf.DUMMYFUNCTION("""COMPUTED_VALUE"""),-1.0)</f>
        <v>-1</v>
      </c>
      <c r="DO205" s="16">
        <f>IFERROR(__xludf.DUMMYFUNCTION("""COMPUTED_VALUE"""),-2.0)</f>
        <v>-2</v>
      </c>
      <c r="DP205" s="16">
        <f>IFERROR(__xludf.DUMMYFUNCTION("""COMPUTED_VALUE"""),-1.0)</f>
        <v>-1</v>
      </c>
      <c r="DQ205" s="16"/>
      <c r="DR205" s="16"/>
      <c r="DS205" s="16"/>
      <c r="DT205" s="16"/>
      <c r="DU205" s="16"/>
      <c r="DV205" s="16">
        <f>IFERROR(__xludf.DUMMYFUNCTION("""COMPUTED_VALUE"""),4.0)</f>
        <v>4</v>
      </c>
      <c r="DW205" s="16">
        <f>IFERROR(__xludf.DUMMYFUNCTION("""COMPUTED_VALUE"""),4.0)</f>
        <v>4</v>
      </c>
      <c r="DX205" s="16">
        <f>IFERROR(__xludf.DUMMYFUNCTION("""COMPUTED_VALUE"""),4.0)</f>
        <v>4</v>
      </c>
      <c r="DY205" s="16"/>
      <c r="DZ205" s="16"/>
      <c r="EA205" s="16"/>
      <c r="EB205" s="16"/>
      <c r="EC205" s="16"/>
      <c r="ED205" s="16">
        <f>IFERROR(__xludf.DUMMYFUNCTION("""COMPUTED_VALUE"""),3.0)</f>
        <v>3</v>
      </c>
      <c r="EE205" s="16">
        <f>IFERROR(__xludf.DUMMYFUNCTION("""COMPUTED_VALUE"""),2.0)</f>
        <v>2</v>
      </c>
      <c r="EF205" s="16">
        <f>IFERROR(__xludf.DUMMYFUNCTION("""COMPUTED_VALUE"""),3.0)</f>
        <v>3</v>
      </c>
      <c r="EG205" s="179"/>
      <c r="EH205" s="179"/>
      <c r="EI205" s="179"/>
      <c r="EJ205" s="179"/>
      <c r="EK205" s="179"/>
      <c r="EL205" s="179">
        <f>IFERROR(__xludf.DUMMYFUNCTION("""COMPUTED_VALUE"""),3.0)</f>
        <v>3</v>
      </c>
      <c r="EM205" s="179">
        <f>IFERROR(__xludf.DUMMYFUNCTION("""COMPUTED_VALUE"""),2.0)</f>
        <v>2</v>
      </c>
      <c r="EN205" s="179">
        <f>IFERROR(__xludf.DUMMYFUNCTION("""COMPUTED_VALUE"""),3.0)</f>
        <v>3</v>
      </c>
      <c r="EO205" s="16"/>
      <c r="EP205" s="16">
        <f>IFERROR(__xludf.DUMMYFUNCTION("""COMPUTED_VALUE"""),-1.0)</f>
        <v>-1</v>
      </c>
      <c r="EQ205" s="16">
        <f>IFERROR(__xludf.DUMMYFUNCTION("""COMPUTED_VALUE"""),4.0)</f>
        <v>4</v>
      </c>
      <c r="ER205" s="16">
        <f>IFERROR(__xludf.DUMMYFUNCTION("""COMPUTED_VALUE"""),1.0)</f>
        <v>1</v>
      </c>
      <c r="ES205" s="16"/>
      <c r="ET205" s="16"/>
      <c r="EU205" s="16"/>
      <c r="EV205" s="16"/>
      <c r="EW205" s="16"/>
      <c r="EX205" s="180"/>
      <c r="EY205" s="180"/>
      <c r="EZ205" s="180"/>
      <c r="FA205" s="180"/>
      <c r="FB205" s="180"/>
      <c r="FC205" s="180">
        <f>IFERROR(__xludf.DUMMYFUNCTION("""COMPUTED_VALUE"""),0.55)</f>
        <v>0.55</v>
      </c>
      <c r="FD205" s="180">
        <f>IFERROR(__xludf.DUMMYFUNCTION("""COMPUTED_VALUE"""),0.55)</f>
        <v>0.55</v>
      </c>
      <c r="FE205" s="180">
        <f>IFERROR(__xludf.DUMMYFUNCTION("""COMPUTED_VALUE"""),0.55)</f>
        <v>0.55</v>
      </c>
      <c r="FF205" s="180"/>
      <c r="FG205" s="180"/>
      <c r="FH205" s="180"/>
      <c r="FI205" s="180"/>
      <c r="FJ205" s="180"/>
      <c r="FK205" s="180">
        <f>IFERROR(__xludf.DUMMYFUNCTION("""COMPUTED_VALUE"""),0.037)</f>
        <v>0.037</v>
      </c>
      <c r="FL205" s="180">
        <f>IFERROR(__xludf.DUMMYFUNCTION("""COMPUTED_VALUE"""),0.023148148148148147)</f>
        <v>0.02314814815</v>
      </c>
      <c r="FM205" s="180">
        <f>IFERROR(__xludf.DUMMYFUNCTION("""COMPUTED_VALUE"""),0.037)</f>
        <v>0.037</v>
      </c>
      <c r="FN205" s="16"/>
      <c r="FO205" s="16"/>
      <c r="FP205" s="16"/>
      <c r="FQ205" s="16"/>
      <c r="FR205" s="16"/>
      <c r="FS205" s="16">
        <f>IFERROR(__xludf.DUMMYFUNCTION("""COMPUTED_VALUE"""),0.43334999999999996)</f>
        <v>0.43335</v>
      </c>
      <c r="FT205" s="16">
        <f>IFERROR(__xludf.DUMMYFUNCTION("""COMPUTED_VALUE"""),0.43958333333333327)</f>
        <v>0.4395833333</v>
      </c>
      <c r="FU205" s="16">
        <f>IFERROR(__xludf.DUMMYFUNCTION("""COMPUTED_VALUE"""),0.43334999999999996)</f>
        <v>0.43335</v>
      </c>
      <c r="FV205" s="16"/>
      <c r="FW205" s="16"/>
      <c r="FX205" s="16"/>
      <c r="FY205" s="16"/>
      <c r="FZ205" s="16"/>
      <c r="GA205" s="16">
        <f>IFERROR(__xludf.DUMMYFUNCTION("""COMPUTED_VALUE"""),-7.0)</f>
        <v>-7</v>
      </c>
      <c r="GB205" s="16">
        <f>IFERROR(__xludf.DUMMYFUNCTION("""COMPUTED_VALUE"""),-7.0)</f>
        <v>-7</v>
      </c>
      <c r="GC205" s="16">
        <f>IFERROR(__xludf.DUMMYFUNCTION("""COMPUTED_VALUE"""),-7.0)</f>
        <v>-7</v>
      </c>
      <c r="GD205" s="16" t="s">
        <v>176</v>
      </c>
    </row>
    <row r="206">
      <c r="A206" s="16">
        <f>IFERROR(__xludf.DUMMYFUNCTION("""COMPUTED_VALUE"""),13348.0)</f>
        <v>13348</v>
      </c>
      <c r="B206" s="16" t="str">
        <f>IFERROR(__xludf.DUMMYFUNCTION("""COMPUTED_VALUE"""),"Sal Frelick")</f>
        <v>Sal Frelick</v>
      </c>
      <c r="C206" s="16">
        <f>IFERROR(__xludf.DUMMYFUNCTION("""COMPUTED_VALUE"""),1.16)</f>
        <v>1.16</v>
      </c>
      <c r="D206" s="16" t="str">
        <f>IFERROR(__xludf.DUMMYFUNCTION("""COMPUTED_VALUE"""),"L")</f>
        <v>L</v>
      </c>
      <c r="E206" s="16"/>
      <c r="F206" s="16"/>
      <c r="G206" s="16">
        <f>IFERROR(__xludf.DUMMYFUNCTION("""COMPUTED_VALUE"""),475.0)</f>
        <v>475</v>
      </c>
      <c r="H206" s="16">
        <f>IFERROR(__xludf.DUMMYFUNCTION("""COMPUTED_VALUE"""),39.0)</f>
        <v>39</v>
      </c>
      <c r="I206" s="16" t="str">
        <f>IFERROR(__xludf.DUMMYFUNCTION("""COMPUTED_VALUE"""),"1p65")</f>
        <v>1p65</v>
      </c>
      <c r="J206" s="16">
        <f>IFERROR(__xludf.DUMMYFUNCTION("""COMPUTED_VALUE"""),10.0)</f>
        <v>10</v>
      </c>
      <c r="K206" s="16">
        <f>IFERROR(__xludf.DUMMYFUNCTION("""COMPUTED_VALUE"""),8.0)</f>
        <v>8</v>
      </c>
      <c r="L206" s="16">
        <f>IFERROR(__xludf.DUMMYFUNCTION("""COMPUTED_VALUE"""),1.0)</f>
        <v>1</v>
      </c>
      <c r="M206" s="16">
        <f>IFERROR(__xludf.DUMMYFUNCTION("""COMPUTED_VALUE"""),2.0)</f>
        <v>2</v>
      </c>
      <c r="N206" s="16">
        <f>IFERROR(__xludf.DUMMYFUNCTION("""COMPUTED_VALUE"""),1.0)</f>
        <v>1</v>
      </c>
      <c r="O206" s="16">
        <f>IFERROR(__xludf.DUMMYFUNCTION("""COMPUTED_VALUE"""),2.0)</f>
        <v>2</v>
      </c>
      <c r="P206" s="16">
        <f>IFERROR(__xludf.DUMMYFUNCTION("""COMPUTED_VALUE"""),9.0)</f>
        <v>9</v>
      </c>
      <c r="Q206" s="16">
        <f>IFERROR(__xludf.DUMMYFUNCTION("""COMPUTED_VALUE"""),6.0)</f>
        <v>6</v>
      </c>
      <c r="R206" s="16">
        <f>IFERROR(__xludf.DUMMYFUNCTION("""COMPUTED_VALUE"""),0.0)</f>
        <v>0</v>
      </c>
      <c r="S206" s="16">
        <f>IFERROR(__xludf.DUMMYFUNCTION("""COMPUTED_VALUE"""),-1.0)</f>
        <v>-1</v>
      </c>
      <c r="T206" s="16">
        <f>IFERROR(__xludf.DUMMYFUNCTION("""COMPUTED_VALUE"""),0.0)</f>
        <v>0</v>
      </c>
      <c r="U206" s="16">
        <f>IFERROR(__xludf.DUMMYFUNCTION("""COMPUTED_VALUE"""),-1.0)</f>
        <v>-1</v>
      </c>
      <c r="V206" s="16">
        <f>IFERROR(__xludf.DUMMYFUNCTION("""COMPUTED_VALUE"""),21.5)</f>
        <v>21.5</v>
      </c>
      <c r="W206" s="16">
        <f>IFERROR(__xludf.DUMMYFUNCTION("""COMPUTED_VALUE"""),25.9)</f>
        <v>25.9</v>
      </c>
      <c r="X206" s="16">
        <f>IFERROR(__xludf.DUMMYFUNCTION("""COMPUTED_VALUE"""),0.0)</f>
        <v>0</v>
      </c>
      <c r="Y206" s="16">
        <f>IFERROR(__xludf.DUMMYFUNCTION("""COMPUTED_VALUE"""),1.0)</f>
        <v>1</v>
      </c>
      <c r="Z206" s="16">
        <f>IFERROR(__xludf.DUMMYFUNCTION("""COMPUTED_VALUE"""),0.0)</f>
        <v>0</v>
      </c>
      <c r="AA206" s="16">
        <f>IFERROR(__xludf.DUMMYFUNCTION("""COMPUTED_VALUE"""),2.0)</f>
        <v>2</v>
      </c>
      <c r="AB206" s="16">
        <f>IFERROR(__xludf.DUMMYFUNCTION("""COMPUTED_VALUE"""),32.5)</f>
        <v>32.5</v>
      </c>
      <c r="AC206" s="16">
        <f>IFERROR(__xludf.DUMMYFUNCTION("""COMPUTED_VALUE"""),33.9)</f>
        <v>33.9</v>
      </c>
      <c r="AD206" s="16">
        <f>IFERROR(__xludf.DUMMYFUNCTION("""COMPUTED_VALUE"""),0.0)</f>
        <v>0</v>
      </c>
      <c r="AE206" s="16">
        <f>IFERROR(__xludf.DUMMYFUNCTION("""COMPUTED_VALUE"""),0.0)</f>
        <v>0</v>
      </c>
      <c r="AF206" s="16">
        <f>IFERROR(__xludf.DUMMYFUNCTION("""COMPUTED_VALUE"""),0.0)</f>
        <v>0</v>
      </c>
      <c r="AG206" s="16">
        <f>IFERROR(__xludf.DUMMYFUNCTION("""COMPUTED_VALUE"""),0.0)</f>
        <v>0</v>
      </c>
      <c r="AH206" s="16">
        <f>IFERROR(__xludf.DUMMYFUNCTION("""COMPUTED_VALUE"""),37.7)</f>
        <v>37.7</v>
      </c>
      <c r="AI206" s="16">
        <f>IFERROR(__xludf.DUMMYFUNCTION("""COMPUTED_VALUE"""),33.0)</f>
        <v>33</v>
      </c>
      <c r="AJ206" s="16">
        <f>IFERROR(__xludf.DUMMYFUNCTION("""COMPUTED_VALUE"""),0.0)</f>
        <v>0</v>
      </c>
      <c r="AK206" s="16">
        <f>IFERROR(__xludf.DUMMYFUNCTION("""COMPUTED_VALUE"""),0.0)</f>
        <v>0</v>
      </c>
      <c r="AL206" s="16">
        <f>IFERROR(__xludf.DUMMYFUNCTION("""COMPUTED_VALUE"""),0.0)</f>
        <v>0</v>
      </c>
      <c r="AM206" s="16">
        <f>IFERROR(__xludf.DUMMYFUNCTION("""COMPUTED_VALUE"""),0.0)</f>
        <v>0</v>
      </c>
      <c r="AN206" s="16">
        <f>IFERROR(__xludf.DUMMYFUNCTION("""COMPUTED_VALUE"""),2.3)</f>
        <v>2.3</v>
      </c>
      <c r="AO206" s="16">
        <f>IFERROR(__xludf.DUMMYFUNCTION("""COMPUTED_VALUE"""),0.5)</f>
        <v>0.5</v>
      </c>
      <c r="AP206" s="16">
        <f>IFERROR(__xludf.DUMMYFUNCTION("""COMPUTED_VALUE"""),0.0)</f>
        <v>0</v>
      </c>
      <c r="AQ206" s="16">
        <f>IFERROR(__xludf.DUMMYFUNCTION("""COMPUTED_VALUE"""),-2.0)</f>
        <v>-2</v>
      </c>
      <c r="AR206" s="16">
        <f>IFERROR(__xludf.DUMMYFUNCTION("""COMPUTED_VALUE"""),0.0)</f>
        <v>0</v>
      </c>
      <c r="AS206" s="16">
        <f>IFERROR(__xludf.DUMMYFUNCTION("""COMPUTED_VALUE"""),-4.0)</f>
        <v>-4</v>
      </c>
      <c r="AT206" s="16"/>
      <c r="AU206" s="16"/>
      <c r="AV206" s="16">
        <f>IFERROR(__xludf.DUMMYFUNCTION("""COMPUTED_VALUE"""),-3.0)</f>
        <v>-3</v>
      </c>
      <c r="AW206" s="16">
        <f>IFERROR(__xludf.DUMMYFUNCTION("""COMPUTED_VALUE"""),-3.0)</f>
        <v>-3</v>
      </c>
      <c r="AX206" s="16">
        <f>IFERROR(__xludf.DUMMYFUNCTION("""COMPUTED_VALUE"""),-3.0)</f>
        <v>-3</v>
      </c>
      <c r="AY206" s="16">
        <f>IFERROR(__xludf.DUMMYFUNCTION("""COMPUTED_VALUE"""),-3.0)</f>
        <v>-3</v>
      </c>
      <c r="AZ206" s="16">
        <f>IFERROR(__xludf.DUMMYFUNCTION("""COMPUTED_VALUE"""),-9.0)</f>
        <v>-9</v>
      </c>
      <c r="BA206" s="16">
        <f>IFERROR(__xludf.DUMMYFUNCTION("""COMPUTED_VALUE"""),-9.0)</f>
        <v>-9</v>
      </c>
      <c r="BB206" s="16">
        <f>IFERROR(__xludf.DUMMYFUNCTION("""COMPUTED_VALUE"""),5.0)</f>
        <v>5</v>
      </c>
      <c r="BC206" s="16">
        <f>IFERROR(__xludf.DUMMYFUNCTION("""COMPUTED_VALUE"""),5.0)</f>
        <v>5</v>
      </c>
      <c r="BD206" s="16">
        <f>IFERROR(__xludf.DUMMYFUNCTION("""COMPUTED_VALUE"""),1.0)</f>
        <v>1</v>
      </c>
      <c r="BE206" s="16">
        <f>IFERROR(__xludf.DUMMYFUNCTION("""COMPUTED_VALUE"""),1.0)</f>
        <v>1</v>
      </c>
      <c r="BF206" s="16">
        <f>IFERROR(__xludf.DUMMYFUNCTION("""COMPUTED_VALUE"""),1.0)</f>
        <v>1</v>
      </c>
      <c r="BG206" s="16">
        <f>IFERROR(__xludf.DUMMYFUNCTION("""COMPUTED_VALUE"""),1.0)</f>
        <v>1</v>
      </c>
      <c r="BH206" s="16">
        <f>IFERROR(__xludf.DUMMYFUNCTION("""COMPUTED_VALUE"""),-4.0)</f>
        <v>-4</v>
      </c>
      <c r="BI206" s="16">
        <f>IFERROR(__xludf.DUMMYFUNCTION("""COMPUTED_VALUE"""),-4.0)</f>
        <v>-4</v>
      </c>
      <c r="BJ206" s="16">
        <f>IFERROR(__xludf.DUMMYFUNCTION("""COMPUTED_VALUE"""),11.0)</f>
        <v>11</v>
      </c>
      <c r="BK206" s="16">
        <f>IFERROR(__xludf.DUMMYFUNCTION("""COMPUTED_VALUE"""),12.0)</f>
        <v>12</v>
      </c>
      <c r="BL206" s="16">
        <f>IFERROR(__xludf.DUMMYFUNCTION("""COMPUTED_VALUE"""),0.0)</f>
        <v>0</v>
      </c>
      <c r="BM206" s="16">
        <f>IFERROR(__xludf.DUMMYFUNCTION("""COMPUTED_VALUE"""),0.0)</f>
        <v>0</v>
      </c>
      <c r="BN206" s="16">
        <f>IFERROR(__xludf.DUMMYFUNCTION("""COMPUTED_VALUE"""),0.0)</f>
        <v>0</v>
      </c>
      <c r="BO206" s="16">
        <f>IFERROR(__xludf.DUMMYFUNCTION("""COMPUTED_VALUE"""),0.0)</f>
        <v>0</v>
      </c>
      <c r="BP206" s="16">
        <f>IFERROR(__xludf.DUMMYFUNCTION("""COMPUTED_VALUE"""),-1.0)</f>
        <v>-1</v>
      </c>
      <c r="BQ206" s="16">
        <f>IFERROR(__xludf.DUMMYFUNCTION("""COMPUTED_VALUE"""),-2.0)</f>
        <v>-2</v>
      </c>
      <c r="BR206" s="16">
        <f>IFERROR(__xludf.DUMMYFUNCTION("""COMPUTED_VALUE"""),-3.0)</f>
        <v>-3</v>
      </c>
      <c r="BS206" s="16" t="str">
        <f>IFERROR(__xludf.DUMMYFUNCTION("""COMPUTED_VALUE"""),"*4,5/- (19-12)")</f>
        <v>*4,5/- (19-12)</v>
      </c>
      <c r="BT206" s="16" t="str">
        <f>IFERROR(__xludf.DUMMYFUNCTION("""COMPUTED_VALUE"""),"A")</f>
        <v>A</v>
      </c>
      <c r="BU206" s="16">
        <f>IFERROR(__xludf.DUMMYFUNCTION("""COMPUTED_VALUE"""),15.0)</f>
        <v>15</v>
      </c>
      <c r="BV206" s="16">
        <f>IFERROR(__xludf.DUMMYFUNCTION("""COMPUTED_VALUE"""),2.0)</f>
        <v>2</v>
      </c>
      <c r="BW206" s="16">
        <f>IFERROR(__xludf.DUMMYFUNCTION("""COMPUTED_VALUE"""),2.0)</f>
        <v>2</v>
      </c>
      <c r="BX206" s="16">
        <f>IFERROR(__xludf.DUMMYFUNCTION("""COMPUTED_VALUE"""),4.0)</f>
        <v>4</v>
      </c>
      <c r="BY206" s="16">
        <f>IFERROR(__xludf.DUMMYFUNCTION("""COMPUTED_VALUE"""),6.0)</f>
        <v>6</v>
      </c>
      <c r="BZ206" s="16" t="str">
        <f>IFERROR(__xludf.DUMMYFUNCTION("""COMPUTED_VALUE"""),"C")</f>
        <v>C</v>
      </c>
      <c r="CA206" s="16" t="str">
        <f>IFERROR(__xludf.DUMMYFUNCTION("""COMPUTED_VALUE"""),"C")</f>
        <v>C</v>
      </c>
      <c r="CB206" s="16">
        <f>IFERROR(__xludf.DUMMYFUNCTION("""COMPUTED_VALUE"""),0.0)</f>
        <v>0</v>
      </c>
      <c r="CC206" s="16">
        <f>IFERROR(__xludf.DUMMYFUNCTION("""COMPUTED_VALUE"""),0.0)</f>
        <v>0</v>
      </c>
      <c r="CD206" s="16">
        <f>IFERROR(__xludf.DUMMYFUNCTION("""COMPUTED_VALUE"""),0.0)</f>
        <v>0</v>
      </c>
      <c r="CE206" s="16">
        <f>IFERROR(__xludf.DUMMYFUNCTION("""COMPUTED_VALUE"""),0.0)</f>
        <v>0</v>
      </c>
      <c r="CF206" s="16">
        <f>IFERROR(__xludf.DUMMYFUNCTION("""COMPUTED_VALUE"""),1.0)</f>
        <v>1</v>
      </c>
      <c r="CG206" s="16">
        <f>IFERROR(__xludf.DUMMYFUNCTION("""COMPUTED_VALUE"""),-7.0)</f>
        <v>-7</v>
      </c>
      <c r="CH206" s="16">
        <f>IFERROR(__xludf.DUMMYFUNCTION("""COMPUTED_VALUE"""),-9.0)</f>
        <v>-9</v>
      </c>
      <c r="CI206" s="179">
        <f>IFERROR(__xludf.DUMMYFUNCTION("""COMPUTED_VALUE"""),0.0)</f>
        <v>0</v>
      </c>
      <c r="CJ206" s="16"/>
      <c r="CK206" s="16"/>
      <c r="CL206" s="16"/>
      <c r="CM206" s="16">
        <f>IFERROR(__xludf.DUMMYFUNCTION("""COMPUTED_VALUE"""),565.0)</f>
        <v>565</v>
      </c>
      <c r="CN206" s="16"/>
      <c r="CO206" s="16">
        <f>IFERROR(__xludf.DUMMYFUNCTION("""COMPUTED_VALUE"""),204.0)</f>
        <v>204</v>
      </c>
      <c r="CP206" s="16">
        <f>IFERROR(__xludf.DUMMYFUNCTION("""COMPUTED_VALUE"""),204.0)</f>
        <v>204</v>
      </c>
      <c r="CQ206" s="16">
        <f>IFERROR(__xludf.DUMMYFUNCTION("""COMPUTED_VALUE"""),104.0)</f>
        <v>104</v>
      </c>
      <c r="CR206" s="16" t="str">
        <f>IFERROR(__xludf.DUMMYFUNCTION("""COMPUTED_VALUE"""),"rf-1(0)e4 lf-2e4 cf-2e4 3b-5e65")</f>
        <v>rf-1(0)e4 lf-2e4 cf-2e4 3b-5e65</v>
      </c>
      <c r="CS206" s="16"/>
      <c r="CT206" s="16"/>
      <c r="CU206" s="16"/>
      <c r="CV206" s="16">
        <f>IFERROR(__xludf.DUMMYFUNCTION("""COMPUTED_VALUE"""),5.0)</f>
        <v>5</v>
      </c>
      <c r="CW206" s="16"/>
      <c r="CX206" s="16">
        <f>IFERROR(__xludf.DUMMYFUNCTION("""COMPUTED_VALUE"""),2.0)</f>
        <v>2</v>
      </c>
      <c r="CY206" s="16">
        <f>IFERROR(__xludf.DUMMYFUNCTION("""COMPUTED_VALUE"""),2.0)</f>
        <v>2</v>
      </c>
      <c r="CZ206" s="16">
        <f>IFERROR(__xludf.DUMMYFUNCTION("""COMPUTED_VALUE"""),1.0)</f>
        <v>1</v>
      </c>
      <c r="DA206" s="16"/>
      <c r="DB206" s="16"/>
      <c r="DC206" s="16"/>
      <c r="DD206" s="16">
        <f>IFERROR(__xludf.DUMMYFUNCTION("""COMPUTED_VALUE"""),65.0)</f>
        <v>65</v>
      </c>
      <c r="DE206" s="16"/>
      <c r="DF206" s="16">
        <f>IFERROR(__xludf.DUMMYFUNCTION("""COMPUTED_VALUE"""),4.0)</f>
        <v>4</v>
      </c>
      <c r="DG206" s="16">
        <f>IFERROR(__xludf.DUMMYFUNCTION("""COMPUTED_VALUE"""),4.0)</f>
        <v>4</v>
      </c>
      <c r="DH206" s="16">
        <f>IFERROR(__xludf.DUMMYFUNCTION("""COMPUTED_VALUE"""),4.0)</f>
        <v>4</v>
      </c>
      <c r="DI206" s="16"/>
      <c r="DJ206" s="16"/>
      <c r="DK206" s="16"/>
      <c r="DL206" s="16">
        <f>IFERROR(__xludf.DUMMYFUNCTION("""COMPUTED_VALUE"""),-2.0)</f>
        <v>-2</v>
      </c>
      <c r="DM206" s="16"/>
      <c r="DN206" s="16">
        <f>IFERROR(__xludf.DUMMYFUNCTION("""COMPUTED_VALUE"""),3.0)</f>
        <v>3</v>
      </c>
      <c r="DO206" s="16">
        <f>IFERROR(__xludf.DUMMYFUNCTION("""COMPUTED_VALUE"""),2.0)</f>
        <v>2</v>
      </c>
      <c r="DP206" s="16">
        <f>IFERROR(__xludf.DUMMYFUNCTION("""COMPUTED_VALUE"""),4.0)</f>
        <v>4</v>
      </c>
      <c r="DQ206" s="16"/>
      <c r="DR206" s="16"/>
      <c r="DS206" s="16"/>
      <c r="DT206" s="16">
        <f>IFERROR(__xludf.DUMMYFUNCTION("""COMPUTED_VALUE"""),-2.0)</f>
        <v>-2</v>
      </c>
      <c r="DU206" s="16"/>
      <c r="DV206" s="16">
        <f>IFERROR(__xludf.DUMMYFUNCTION("""COMPUTED_VALUE"""),2.0)</f>
        <v>2</v>
      </c>
      <c r="DW206" s="16">
        <f>IFERROR(__xludf.DUMMYFUNCTION("""COMPUTED_VALUE"""),3.0)</f>
        <v>3</v>
      </c>
      <c r="DX206" s="16">
        <f>IFERROR(__xludf.DUMMYFUNCTION("""COMPUTED_VALUE"""),2.0)</f>
        <v>2</v>
      </c>
      <c r="DY206" s="16"/>
      <c r="DZ206" s="16"/>
      <c r="EA206" s="16"/>
      <c r="EB206" s="16">
        <f>IFERROR(__xludf.DUMMYFUNCTION("""COMPUTED_VALUE"""),-4.0)</f>
        <v>-4</v>
      </c>
      <c r="EC206" s="16"/>
      <c r="ED206" s="16">
        <f>IFERROR(__xludf.DUMMYFUNCTION("""COMPUTED_VALUE"""),5.0)</f>
        <v>5</v>
      </c>
      <c r="EE206" s="16">
        <f>IFERROR(__xludf.DUMMYFUNCTION("""COMPUTED_VALUE"""),5.0)</f>
        <v>5</v>
      </c>
      <c r="EF206" s="16">
        <f>IFERROR(__xludf.DUMMYFUNCTION("""COMPUTED_VALUE"""),6.0)</f>
        <v>6</v>
      </c>
      <c r="EG206" s="179"/>
      <c r="EH206" s="179"/>
      <c r="EI206" s="179"/>
      <c r="EJ206" s="179">
        <f>IFERROR(__xludf.DUMMYFUNCTION("""COMPUTED_VALUE"""),-4.0)</f>
        <v>-4</v>
      </c>
      <c r="EK206" s="179"/>
      <c r="EL206" s="179">
        <f>IFERROR(__xludf.DUMMYFUNCTION("""COMPUTED_VALUE"""),5.0)</f>
        <v>5</v>
      </c>
      <c r="EM206" s="179">
        <f>IFERROR(__xludf.DUMMYFUNCTION("""COMPUTED_VALUE"""),5.0)</f>
        <v>5</v>
      </c>
      <c r="EN206" s="179">
        <f>IFERROR(__xludf.DUMMYFUNCTION("""COMPUTED_VALUE"""),6.0)</f>
        <v>6</v>
      </c>
      <c r="EO206" s="16"/>
      <c r="EP206" s="16"/>
      <c r="EQ206" s="16">
        <f>IFERROR(__xludf.DUMMYFUNCTION("""COMPUTED_VALUE"""),4.0)</f>
        <v>4</v>
      </c>
      <c r="ER206" s="16">
        <f>IFERROR(__xludf.DUMMYFUNCTION("""COMPUTED_VALUE"""),2.0)</f>
        <v>2</v>
      </c>
      <c r="ES206" s="16"/>
      <c r="ET206" s="16"/>
      <c r="EU206" s="16"/>
      <c r="EV206" s="16"/>
      <c r="EW206" s="16"/>
      <c r="EX206" s="180"/>
      <c r="EY206" s="180"/>
      <c r="EZ206" s="180"/>
      <c r="FA206" s="180">
        <f>IFERROR(__xludf.DUMMYFUNCTION("""COMPUTED_VALUE"""),0.4)</f>
        <v>0.4</v>
      </c>
      <c r="FB206" s="180"/>
      <c r="FC206" s="180">
        <f>IFERROR(__xludf.DUMMYFUNCTION("""COMPUTED_VALUE"""),0.15)</f>
        <v>0.15</v>
      </c>
      <c r="FD206" s="180">
        <f>IFERROR(__xludf.DUMMYFUNCTION("""COMPUTED_VALUE"""),0.15)</f>
        <v>0.15</v>
      </c>
      <c r="FE206" s="180">
        <f>IFERROR(__xludf.DUMMYFUNCTION("""COMPUTED_VALUE"""),0.0)</f>
        <v>0</v>
      </c>
      <c r="FF206" s="180"/>
      <c r="FG206" s="180"/>
      <c r="FH206" s="180"/>
      <c r="FI206" s="180">
        <f>IFERROR(__xludf.DUMMYFUNCTION("""COMPUTED_VALUE"""),0.7407407407407407)</f>
        <v>0.7407407407</v>
      </c>
      <c r="FJ206" s="180"/>
      <c r="FK206" s="180">
        <f>IFERROR(__xludf.DUMMYFUNCTION("""COMPUTED_VALUE"""),0.069)</f>
        <v>0.069</v>
      </c>
      <c r="FL206" s="180">
        <f>IFERROR(__xludf.DUMMYFUNCTION("""COMPUTED_VALUE"""),0.046296296296296294)</f>
        <v>0.0462962963</v>
      </c>
      <c r="FM206" s="180">
        <f>IFERROR(__xludf.DUMMYFUNCTION("""COMPUTED_VALUE"""),0.069)</f>
        <v>0.069</v>
      </c>
      <c r="FN206" s="16"/>
      <c r="FO206" s="16"/>
      <c r="FP206" s="16"/>
      <c r="FQ206" s="16">
        <f>IFERROR(__xludf.DUMMYFUNCTION("""COMPUTED_VALUE"""),0.15555555555555559)</f>
        <v>0.1555555556</v>
      </c>
      <c r="FR206" s="16"/>
      <c r="FS206" s="16">
        <f>IFERROR(__xludf.DUMMYFUNCTION("""COMPUTED_VALUE"""),0.79135)</f>
        <v>0.79135</v>
      </c>
      <c r="FT206" s="16">
        <f>IFERROR(__xludf.DUMMYFUNCTION("""COMPUTED_VALUE"""),0.8106481481481481)</f>
        <v>0.8106481481</v>
      </c>
      <c r="FU206" s="16">
        <f>IFERROR(__xludf.DUMMYFUNCTION("""COMPUTED_VALUE"""),0.931)</f>
        <v>0.931</v>
      </c>
      <c r="FV206" s="16"/>
      <c r="FW206" s="16"/>
      <c r="FX206" s="16"/>
      <c r="FY206" s="16">
        <f>IFERROR(__xludf.DUMMYFUNCTION("""COMPUTED_VALUE"""),-8.0)</f>
        <v>-8</v>
      </c>
      <c r="FZ206" s="16"/>
      <c r="GA206" s="16">
        <f>IFERROR(__xludf.DUMMYFUNCTION("""COMPUTED_VALUE"""),-1.0)</f>
        <v>-1</v>
      </c>
      <c r="GB206" s="16">
        <f>IFERROR(__xludf.DUMMYFUNCTION("""COMPUTED_VALUE"""),1.0)</f>
        <v>1</v>
      </c>
      <c r="GC206" s="16">
        <f>IFERROR(__xludf.DUMMYFUNCTION("""COMPUTED_VALUE"""),6.0)</f>
        <v>6</v>
      </c>
      <c r="GD206" s="16" t="s">
        <v>306</v>
      </c>
    </row>
    <row r="207">
      <c r="A207" s="16">
        <f>IFERROR(__xludf.DUMMYFUNCTION("""COMPUTED_VALUE"""),12579.0)</f>
        <v>12579</v>
      </c>
      <c r="B207" s="16" t="str">
        <f>IFERROR(__xludf.DUMMYFUNCTION("""COMPUTED_VALUE"""),"Blake Perkins")</f>
        <v>Blake Perkins</v>
      </c>
      <c r="C207" s="16">
        <f>IFERROR(__xludf.DUMMYFUNCTION("""COMPUTED_VALUE"""),1.2)</f>
        <v>1.2</v>
      </c>
      <c r="D207" s="16" t="str">
        <f>IFERROR(__xludf.DUMMYFUNCTION("""COMPUTED_VALUE"""),"S")</f>
        <v>S</v>
      </c>
      <c r="E207" s="16"/>
      <c r="F207" s="16"/>
      <c r="G207" s="16">
        <f>IFERROR(__xludf.DUMMYFUNCTION("""COMPUTED_VALUE"""),383.0)</f>
        <v>383</v>
      </c>
      <c r="H207" s="16">
        <f>IFERROR(__xludf.DUMMYFUNCTION("""COMPUTED_VALUE"""),42.0)</f>
        <v>42</v>
      </c>
      <c r="I207" s="16" t="str">
        <f>IFERROR(__xludf.DUMMYFUNCTION("""COMPUTED_VALUE"""),"1p60")</f>
        <v>1p60</v>
      </c>
      <c r="J207" s="16">
        <f>IFERROR(__xludf.DUMMYFUNCTION("""COMPUTED_VALUE"""),10.0)</f>
        <v>10</v>
      </c>
      <c r="K207" s="16">
        <f>IFERROR(__xludf.DUMMYFUNCTION("""COMPUTED_VALUE"""),42.0)</f>
        <v>42</v>
      </c>
      <c r="L207" s="16">
        <f>IFERROR(__xludf.DUMMYFUNCTION("""COMPUTED_VALUE"""),1.0)</f>
        <v>1</v>
      </c>
      <c r="M207" s="16">
        <f>IFERROR(__xludf.DUMMYFUNCTION("""COMPUTED_VALUE"""),-2.0)</f>
        <v>-2</v>
      </c>
      <c r="N207" s="16">
        <f>IFERROR(__xludf.DUMMYFUNCTION("""COMPUTED_VALUE"""),1.0)</f>
        <v>1</v>
      </c>
      <c r="O207" s="16">
        <f>IFERROR(__xludf.DUMMYFUNCTION("""COMPUTED_VALUE"""),-2.0)</f>
        <v>-2</v>
      </c>
      <c r="P207" s="16">
        <f>IFERROR(__xludf.DUMMYFUNCTION("""COMPUTED_VALUE"""),10.0)</f>
        <v>10</v>
      </c>
      <c r="Q207" s="16">
        <f>IFERROR(__xludf.DUMMYFUNCTION("""COMPUTED_VALUE"""),11.0)</f>
        <v>11</v>
      </c>
      <c r="R207" s="16">
        <f>IFERROR(__xludf.DUMMYFUNCTION("""COMPUTED_VALUE"""),1.0)</f>
        <v>1</v>
      </c>
      <c r="S207" s="16">
        <f>IFERROR(__xludf.DUMMYFUNCTION("""COMPUTED_VALUE"""),1.0)</f>
        <v>1</v>
      </c>
      <c r="T207" s="16">
        <f>IFERROR(__xludf.DUMMYFUNCTION("""COMPUTED_VALUE"""),1.0)</f>
        <v>1</v>
      </c>
      <c r="U207" s="16">
        <f>IFERROR(__xludf.DUMMYFUNCTION("""COMPUTED_VALUE"""),1.0)</f>
        <v>1</v>
      </c>
      <c r="V207" s="16">
        <f>IFERROR(__xludf.DUMMYFUNCTION("""COMPUTED_VALUE"""),26.0)</f>
        <v>26</v>
      </c>
      <c r="W207" s="16">
        <f>IFERROR(__xludf.DUMMYFUNCTION("""COMPUTED_VALUE"""),16.6)</f>
        <v>16.6</v>
      </c>
      <c r="X207" s="16">
        <f>IFERROR(__xludf.DUMMYFUNCTION("""COMPUTED_VALUE"""),1.0)</f>
        <v>1</v>
      </c>
      <c r="Y207" s="16">
        <f>IFERROR(__xludf.DUMMYFUNCTION("""COMPUTED_VALUE"""),-1.0)</f>
        <v>-1</v>
      </c>
      <c r="Z207" s="16">
        <f>IFERROR(__xludf.DUMMYFUNCTION("""COMPUTED_VALUE"""),2.0)</f>
        <v>2</v>
      </c>
      <c r="AA207" s="16">
        <f>IFERROR(__xludf.DUMMYFUNCTION("""COMPUTED_VALUE"""),-2.0)</f>
        <v>-2</v>
      </c>
      <c r="AB207" s="16">
        <f>IFERROR(__xludf.DUMMYFUNCTION("""COMPUTED_VALUE"""),38.0)</f>
        <v>38</v>
      </c>
      <c r="AC207" s="16">
        <f>IFERROR(__xludf.DUMMYFUNCTION("""COMPUTED_VALUE"""),29.6)</f>
        <v>29.6</v>
      </c>
      <c r="AD207" s="16">
        <f>IFERROR(__xludf.DUMMYFUNCTION("""COMPUTED_VALUE"""),1.0)</f>
        <v>1</v>
      </c>
      <c r="AE207" s="16">
        <f>IFERROR(__xludf.DUMMYFUNCTION("""COMPUTED_VALUE"""),0.0)</f>
        <v>0</v>
      </c>
      <c r="AF207" s="16">
        <f>IFERROR(__xludf.DUMMYFUNCTION("""COMPUTED_VALUE"""),5.0)</f>
        <v>5</v>
      </c>
      <c r="AG207" s="16">
        <f>IFERROR(__xludf.DUMMYFUNCTION("""COMPUTED_VALUE"""),0.0)</f>
        <v>0</v>
      </c>
      <c r="AH207" s="16">
        <f>IFERROR(__xludf.DUMMYFUNCTION("""COMPUTED_VALUE"""),37.0)</f>
        <v>37</v>
      </c>
      <c r="AI207" s="16">
        <f>IFERROR(__xludf.DUMMYFUNCTION("""COMPUTED_VALUE"""),27.7)</f>
        <v>27.7</v>
      </c>
      <c r="AJ207" s="16">
        <f>IFERROR(__xludf.DUMMYFUNCTION("""COMPUTED_VALUE"""),0.0)</f>
        <v>0</v>
      </c>
      <c r="AK207" s="16">
        <f>IFERROR(__xludf.DUMMYFUNCTION("""COMPUTED_VALUE"""),-1.0)</f>
        <v>-1</v>
      </c>
      <c r="AL207" s="16">
        <f>IFERROR(__xludf.DUMMYFUNCTION("""COMPUTED_VALUE"""),0.0)</f>
        <v>0</v>
      </c>
      <c r="AM207" s="16">
        <f>IFERROR(__xludf.DUMMYFUNCTION("""COMPUTED_VALUE"""),-5.0)</f>
        <v>-5</v>
      </c>
      <c r="AN207" s="16">
        <f>IFERROR(__xludf.DUMMYFUNCTION("""COMPUTED_VALUE"""),2.8)</f>
        <v>2.8</v>
      </c>
      <c r="AO207" s="16">
        <f>IFERROR(__xludf.DUMMYFUNCTION("""COMPUTED_VALUE"""),3.0)</f>
        <v>3</v>
      </c>
      <c r="AP207" s="16">
        <f>IFERROR(__xludf.DUMMYFUNCTION("""COMPUTED_VALUE"""),1.0)</f>
        <v>1</v>
      </c>
      <c r="AQ207" s="16">
        <f>IFERROR(__xludf.DUMMYFUNCTION("""COMPUTED_VALUE"""),1.0)</f>
        <v>1</v>
      </c>
      <c r="AR207" s="16">
        <f>IFERROR(__xludf.DUMMYFUNCTION("""COMPUTED_VALUE"""),2.0)</f>
        <v>2</v>
      </c>
      <c r="AS207" s="16">
        <f>IFERROR(__xludf.DUMMYFUNCTION("""COMPUTED_VALUE"""),2.0)</f>
        <v>2</v>
      </c>
      <c r="AT207" s="16"/>
      <c r="AU207" s="16"/>
      <c r="AV207" s="16">
        <f>IFERROR(__xludf.DUMMYFUNCTION("""COMPUTED_VALUE"""),-3.0)</f>
        <v>-3</v>
      </c>
      <c r="AW207" s="16">
        <f>IFERROR(__xludf.DUMMYFUNCTION("""COMPUTED_VALUE"""),-3.0)</f>
        <v>-3</v>
      </c>
      <c r="AX207" s="16">
        <f>IFERROR(__xludf.DUMMYFUNCTION("""COMPUTED_VALUE"""),-3.0)</f>
        <v>-3</v>
      </c>
      <c r="AY207" s="16">
        <f>IFERROR(__xludf.DUMMYFUNCTION("""COMPUTED_VALUE"""),-3.0)</f>
        <v>-3</v>
      </c>
      <c r="AZ207" s="16">
        <f>IFERROR(__xludf.DUMMYFUNCTION("""COMPUTED_VALUE"""),-9.0)</f>
        <v>-9</v>
      </c>
      <c r="BA207" s="16">
        <f>IFERROR(__xludf.DUMMYFUNCTION("""COMPUTED_VALUE"""),-9.0)</f>
        <v>-9</v>
      </c>
      <c r="BB207" s="16">
        <f>IFERROR(__xludf.DUMMYFUNCTION("""COMPUTED_VALUE"""),5.0)</f>
        <v>5</v>
      </c>
      <c r="BC207" s="16">
        <f>IFERROR(__xludf.DUMMYFUNCTION("""COMPUTED_VALUE"""),5.0)</f>
        <v>5</v>
      </c>
      <c r="BD207" s="16">
        <f>IFERROR(__xludf.DUMMYFUNCTION("""COMPUTED_VALUE"""),1.0)</f>
        <v>1</v>
      </c>
      <c r="BE207" s="16">
        <f>IFERROR(__xludf.DUMMYFUNCTION("""COMPUTED_VALUE"""),1.0)</f>
        <v>1</v>
      </c>
      <c r="BF207" s="16">
        <f>IFERROR(__xludf.DUMMYFUNCTION("""COMPUTED_VALUE"""),1.0)</f>
        <v>1</v>
      </c>
      <c r="BG207" s="16">
        <f>IFERROR(__xludf.DUMMYFUNCTION("""COMPUTED_VALUE"""),1.0)</f>
        <v>1</v>
      </c>
      <c r="BH207" s="16">
        <f>IFERROR(__xludf.DUMMYFUNCTION("""COMPUTED_VALUE"""),-3.0)</f>
        <v>-3</v>
      </c>
      <c r="BI207" s="16">
        <f>IFERROR(__xludf.DUMMYFUNCTION("""COMPUTED_VALUE"""),-3.0)</f>
        <v>-3</v>
      </c>
      <c r="BJ207" s="16">
        <f>IFERROR(__xludf.DUMMYFUNCTION("""COMPUTED_VALUE"""),3.0)</f>
        <v>3</v>
      </c>
      <c r="BK207" s="16">
        <f>IFERROR(__xludf.DUMMYFUNCTION("""COMPUTED_VALUE"""),3.0)</f>
        <v>3</v>
      </c>
      <c r="BL207" s="16">
        <f>IFERROR(__xludf.DUMMYFUNCTION("""COMPUTED_VALUE"""),2.0)</f>
        <v>2</v>
      </c>
      <c r="BM207" s="16">
        <f>IFERROR(__xludf.DUMMYFUNCTION("""COMPUTED_VALUE"""),2.0)</f>
        <v>2</v>
      </c>
      <c r="BN207" s="16">
        <f>IFERROR(__xludf.DUMMYFUNCTION("""COMPUTED_VALUE"""),2.0)</f>
        <v>2</v>
      </c>
      <c r="BO207" s="16">
        <f>IFERROR(__xludf.DUMMYFUNCTION("""COMPUTED_VALUE"""),2.0)</f>
        <v>2</v>
      </c>
      <c r="BP207" s="16">
        <f>IFERROR(__xludf.DUMMYFUNCTION("""COMPUTED_VALUE"""),5.0)</f>
        <v>5</v>
      </c>
      <c r="BQ207" s="16">
        <f>IFERROR(__xludf.DUMMYFUNCTION("""COMPUTED_VALUE"""),-2.0)</f>
        <v>-2</v>
      </c>
      <c r="BR207" s="16">
        <f>IFERROR(__xludf.DUMMYFUNCTION("""COMPUTED_VALUE"""),3.0)</f>
        <v>3</v>
      </c>
      <c r="BS207" s="16" t="str">
        <f>IFERROR(__xludf.DUMMYFUNCTION("""COMPUTED_VALUE"""),"*4-6/- (19-13)")</f>
        <v>*4-6/- (19-13)</v>
      </c>
      <c r="BT207" s="16" t="str">
        <f>IFERROR(__xludf.DUMMYFUNCTION("""COMPUTED_VALUE"""),"A")</f>
        <v>A</v>
      </c>
      <c r="BU207" s="16">
        <f>IFERROR(__xludf.DUMMYFUNCTION("""COMPUTED_VALUE"""),16.0)</f>
        <v>16</v>
      </c>
      <c r="BV207" s="16">
        <f>IFERROR(__xludf.DUMMYFUNCTION("""COMPUTED_VALUE"""),2.0)</f>
        <v>2</v>
      </c>
      <c r="BW207" s="16">
        <f>IFERROR(__xludf.DUMMYFUNCTION("""COMPUTED_VALUE"""),2.0)</f>
        <v>2</v>
      </c>
      <c r="BX207" s="16">
        <f>IFERROR(__xludf.DUMMYFUNCTION("""COMPUTED_VALUE"""),4.0)</f>
        <v>4</v>
      </c>
      <c r="BY207" s="16">
        <f>IFERROR(__xludf.DUMMYFUNCTION("""COMPUTED_VALUE"""),6.0)</f>
        <v>6</v>
      </c>
      <c r="BZ207" s="16" t="str">
        <f>IFERROR(__xludf.DUMMYFUNCTION("""COMPUTED_VALUE"""),"C")</f>
        <v>C</v>
      </c>
      <c r="CA207" s="16" t="str">
        <f>IFERROR(__xludf.DUMMYFUNCTION("""COMPUTED_VALUE"""),"D")</f>
        <v>D</v>
      </c>
      <c r="CB207" s="16">
        <f>IFERROR(__xludf.DUMMYFUNCTION("""COMPUTED_VALUE"""),0.0)</f>
        <v>0</v>
      </c>
      <c r="CC207" s="16">
        <f>IFERROR(__xludf.DUMMYFUNCTION("""COMPUTED_VALUE"""),0.0)</f>
        <v>0</v>
      </c>
      <c r="CD207" s="16">
        <f>IFERROR(__xludf.DUMMYFUNCTION("""COMPUTED_VALUE"""),0.0)</f>
        <v>0</v>
      </c>
      <c r="CE207" s="16">
        <f>IFERROR(__xludf.DUMMYFUNCTION("""COMPUTED_VALUE"""),0.0)</f>
        <v>0</v>
      </c>
      <c r="CF207" s="16">
        <f>IFERROR(__xludf.DUMMYFUNCTION("""COMPUTED_VALUE"""),1.0)</f>
        <v>1</v>
      </c>
      <c r="CG207" s="16">
        <f>IFERROR(__xludf.DUMMYFUNCTION("""COMPUTED_VALUE"""),5.0)</f>
        <v>5</v>
      </c>
      <c r="CH207" s="16">
        <f>IFERROR(__xludf.DUMMYFUNCTION("""COMPUTED_VALUE"""),-12.0)</f>
        <v>-12</v>
      </c>
      <c r="CI207" s="179">
        <f>IFERROR(__xludf.DUMMYFUNCTION("""COMPUTED_VALUE"""),0.0)</f>
        <v>0</v>
      </c>
      <c r="CJ207" s="16"/>
      <c r="CK207" s="16"/>
      <c r="CL207" s="16"/>
      <c r="CM207" s="16"/>
      <c r="CN207" s="16"/>
      <c r="CO207" s="16"/>
      <c r="CP207" s="16">
        <f>IFERROR(__xludf.DUMMYFUNCTION("""COMPUTED_VALUE"""),102.0)</f>
        <v>102</v>
      </c>
      <c r="CQ207" s="16"/>
      <c r="CR207" s="16" t="str">
        <f>IFERROR(__xludf.DUMMYFUNCTION("""COMPUTED_VALUE"""),"cf-1(-2)e2")</f>
        <v>cf-1(-2)e2</v>
      </c>
      <c r="CS207" s="16"/>
      <c r="CT207" s="16"/>
      <c r="CU207" s="16"/>
      <c r="CV207" s="16"/>
      <c r="CW207" s="16"/>
      <c r="CX207" s="16"/>
      <c r="CY207" s="16">
        <f>IFERROR(__xludf.DUMMYFUNCTION("""COMPUTED_VALUE"""),1.0)</f>
        <v>1</v>
      </c>
      <c r="CZ207" s="16"/>
      <c r="DA207" s="16"/>
      <c r="DB207" s="16"/>
      <c r="DC207" s="16"/>
      <c r="DD207" s="16"/>
      <c r="DE207" s="16"/>
      <c r="DF207" s="16"/>
      <c r="DG207" s="16">
        <f>IFERROR(__xludf.DUMMYFUNCTION("""COMPUTED_VALUE"""),2.0)</f>
        <v>2</v>
      </c>
      <c r="DH207" s="16"/>
      <c r="DI207" s="16"/>
      <c r="DJ207" s="16"/>
      <c r="DK207" s="16"/>
      <c r="DL207" s="16"/>
      <c r="DM207" s="16"/>
      <c r="DN207" s="16"/>
      <c r="DO207" s="16">
        <f>IFERROR(__xludf.DUMMYFUNCTION("""COMPUTED_VALUE"""),4.0)</f>
        <v>4</v>
      </c>
      <c r="DP207" s="16"/>
      <c r="DQ207" s="16"/>
      <c r="DR207" s="16"/>
      <c r="DS207" s="16"/>
      <c r="DT207" s="16"/>
      <c r="DU207" s="16"/>
      <c r="DV207" s="16"/>
      <c r="DW207" s="16">
        <f>IFERROR(__xludf.DUMMYFUNCTION("""COMPUTED_VALUE"""),4.0)</f>
        <v>4</v>
      </c>
      <c r="DX207" s="16"/>
      <c r="DY207" s="16"/>
      <c r="DZ207" s="16"/>
      <c r="EA207" s="16"/>
      <c r="EB207" s="16"/>
      <c r="EC207" s="16"/>
      <c r="ED207" s="16"/>
      <c r="EE207" s="16">
        <f>IFERROR(__xludf.DUMMYFUNCTION("""COMPUTED_VALUE"""),8.0)</f>
        <v>8</v>
      </c>
      <c r="EF207" s="16"/>
      <c r="EG207" s="179"/>
      <c r="EH207" s="179"/>
      <c r="EI207" s="179"/>
      <c r="EJ207" s="179"/>
      <c r="EK207" s="179"/>
      <c r="EL207" s="179"/>
      <c r="EM207" s="179">
        <f>IFERROR(__xludf.DUMMYFUNCTION("""COMPUTED_VALUE"""),8.0)</f>
        <v>8</v>
      </c>
      <c r="EN207" s="179"/>
      <c r="EO207" s="16"/>
      <c r="EP207" s="16">
        <f>IFERROR(__xludf.DUMMYFUNCTION("""COMPUTED_VALUE"""),-2.0)</f>
        <v>-2</v>
      </c>
      <c r="EQ207" s="16">
        <f>IFERROR(__xludf.DUMMYFUNCTION("""COMPUTED_VALUE"""),4.0)</f>
        <v>4</v>
      </c>
      <c r="ER207" s="16">
        <f>IFERROR(__xludf.DUMMYFUNCTION("""COMPUTED_VALUE"""),1.0)</f>
        <v>1</v>
      </c>
      <c r="ES207" s="16"/>
      <c r="ET207" s="16"/>
      <c r="EU207" s="16"/>
      <c r="EV207" s="16"/>
      <c r="EW207" s="16"/>
      <c r="EX207" s="180"/>
      <c r="EY207" s="180"/>
      <c r="EZ207" s="180"/>
      <c r="FA207" s="180"/>
      <c r="FB207" s="180"/>
      <c r="FC207" s="180"/>
      <c r="FD207" s="180">
        <f>IFERROR(__xludf.DUMMYFUNCTION("""COMPUTED_VALUE"""),0.0)</f>
        <v>0</v>
      </c>
      <c r="FE207" s="180"/>
      <c r="FF207" s="180"/>
      <c r="FG207" s="180"/>
      <c r="FH207" s="180"/>
      <c r="FI207" s="180"/>
      <c r="FJ207" s="180"/>
      <c r="FK207" s="180"/>
      <c r="FL207" s="180">
        <f>IFERROR(__xludf.DUMMYFUNCTION("""COMPUTED_VALUE"""),0.023148148148148147)</f>
        <v>0.02314814815</v>
      </c>
      <c r="FM207" s="180"/>
      <c r="FN207" s="16"/>
      <c r="FO207" s="16"/>
      <c r="FP207" s="16"/>
      <c r="FQ207" s="16"/>
      <c r="FR207" s="16"/>
      <c r="FS207" s="16"/>
      <c r="FT207" s="16">
        <f>IFERROR(__xludf.DUMMYFUNCTION("""COMPUTED_VALUE"""),0.9768518518518519)</f>
        <v>0.9768518519</v>
      </c>
      <c r="FU207" s="16"/>
      <c r="FV207" s="16"/>
      <c r="FW207" s="16"/>
      <c r="FX207" s="16"/>
      <c r="FY207" s="16"/>
      <c r="FZ207" s="16"/>
      <c r="GA207" s="16"/>
      <c r="GB207" s="16">
        <f>IFERROR(__xludf.DUMMYFUNCTION("""COMPUTED_VALUE"""),10.0)</f>
        <v>10</v>
      </c>
      <c r="GC207" s="16"/>
      <c r="GD207" s="16" t="s">
        <v>361</v>
      </c>
    </row>
    <row r="208">
      <c r="A208" s="16">
        <f>IFERROR(__xludf.DUMMYFUNCTION("""COMPUTED_VALUE"""),12777.0)</f>
        <v>12777</v>
      </c>
      <c r="B208" s="16" t="str">
        <f>IFERROR(__xludf.DUMMYFUNCTION("""COMPUTED_VALUE"""),"Edmundo Sosa")</f>
        <v>Edmundo Sosa</v>
      </c>
      <c r="C208" s="16">
        <f>IFERROR(__xludf.DUMMYFUNCTION("""COMPUTED_VALUE"""),1.46)</f>
        <v>1.46</v>
      </c>
      <c r="D208" s="16" t="str">
        <f>IFERROR(__xludf.DUMMYFUNCTION("""COMPUTED_VALUE"""),"R")</f>
        <v>R</v>
      </c>
      <c r="E208" s="16"/>
      <c r="F208" s="16"/>
      <c r="G208" s="16">
        <f>IFERROR(__xludf.DUMMYFUNCTION("""COMPUTED_VALUE"""),249.0)</f>
        <v>249</v>
      </c>
      <c r="H208" s="16">
        <f>IFERROR(__xludf.DUMMYFUNCTION("""COMPUTED_VALUE"""),13.0)</f>
        <v>13</v>
      </c>
      <c r="I208" s="16" t="str">
        <f>IFERROR(__xludf.DUMMYFUNCTION("""COMPUTED_VALUE"""),"1p40")</f>
        <v>1p40</v>
      </c>
      <c r="J208" s="16">
        <f>IFERROR(__xludf.DUMMYFUNCTION("""COMPUTED_VALUE"""),21.0)</f>
        <v>21</v>
      </c>
      <c r="K208" s="16">
        <f>IFERROR(__xludf.DUMMYFUNCTION("""COMPUTED_VALUE"""),33.0)</f>
        <v>33</v>
      </c>
      <c r="L208" s="16">
        <f>IFERROR(__xludf.DUMMYFUNCTION("""COMPUTED_VALUE"""),0.0)</f>
        <v>0</v>
      </c>
      <c r="M208" s="16">
        <f>IFERROR(__xludf.DUMMYFUNCTION("""COMPUTED_VALUE"""),-1.0)</f>
        <v>-1</v>
      </c>
      <c r="N208" s="16">
        <f>IFERROR(__xludf.DUMMYFUNCTION("""COMPUTED_VALUE"""),0.0)</f>
        <v>0</v>
      </c>
      <c r="O208" s="16">
        <f>IFERROR(__xludf.DUMMYFUNCTION("""COMPUTED_VALUE"""),-1.0)</f>
        <v>-1</v>
      </c>
      <c r="P208" s="16">
        <f>IFERROR(__xludf.DUMMYFUNCTION("""COMPUTED_VALUE"""),4.0)</f>
        <v>4</v>
      </c>
      <c r="Q208" s="16">
        <f>IFERROR(__xludf.DUMMYFUNCTION("""COMPUTED_VALUE"""),1.0)</f>
        <v>1</v>
      </c>
      <c r="R208" s="16">
        <f>IFERROR(__xludf.DUMMYFUNCTION("""COMPUTED_VALUE"""),-2.0)</f>
        <v>-2</v>
      </c>
      <c r="S208" s="16">
        <f>IFERROR(__xludf.DUMMYFUNCTION("""COMPUTED_VALUE"""),-2.0)</f>
        <v>-2</v>
      </c>
      <c r="T208" s="16">
        <f>IFERROR(__xludf.DUMMYFUNCTION("""COMPUTED_VALUE"""),-2.0)</f>
        <v>-2</v>
      </c>
      <c r="U208" s="16">
        <f>IFERROR(__xludf.DUMMYFUNCTION("""COMPUTED_VALUE"""),-2.0)</f>
        <v>-2</v>
      </c>
      <c r="V208" s="16">
        <f>IFERROR(__xludf.DUMMYFUNCTION("""COMPUTED_VALUE"""),28.5)</f>
        <v>28.5</v>
      </c>
      <c r="W208" s="16">
        <f>IFERROR(__xludf.DUMMYFUNCTION("""COMPUTED_VALUE"""),20.6)</f>
        <v>20.6</v>
      </c>
      <c r="X208" s="16">
        <f>IFERROR(__xludf.DUMMYFUNCTION("""COMPUTED_VALUE"""),1.0)</f>
        <v>1</v>
      </c>
      <c r="Y208" s="16">
        <f>IFERROR(__xludf.DUMMYFUNCTION("""COMPUTED_VALUE"""),0.0)</f>
        <v>0</v>
      </c>
      <c r="Z208" s="16">
        <f>IFERROR(__xludf.DUMMYFUNCTION("""COMPUTED_VALUE"""),2.0)</f>
        <v>2</v>
      </c>
      <c r="AA208" s="16">
        <f>IFERROR(__xludf.DUMMYFUNCTION("""COMPUTED_VALUE"""),0.0)</f>
        <v>0</v>
      </c>
      <c r="AB208" s="16">
        <f>IFERROR(__xludf.DUMMYFUNCTION("""COMPUTED_VALUE"""),38.5)</f>
        <v>38.5</v>
      </c>
      <c r="AC208" s="16">
        <f>IFERROR(__xludf.DUMMYFUNCTION("""COMPUTED_VALUE"""),27.6)</f>
        <v>27.6</v>
      </c>
      <c r="AD208" s="16">
        <f>IFERROR(__xludf.DUMMYFUNCTION("""COMPUTED_VALUE"""),1.0)</f>
        <v>1</v>
      </c>
      <c r="AE208" s="16">
        <f>IFERROR(__xludf.DUMMYFUNCTION("""COMPUTED_VALUE"""),-1.0)</f>
        <v>-1</v>
      </c>
      <c r="AF208" s="16">
        <f>IFERROR(__xludf.DUMMYFUNCTION("""COMPUTED_VALUE"""),5.0)</f>
        <v>5</v>
      </c>
      <c r="AG208" s="16">
        <f>IFERROR(__xludf.DUMMYFUNCTION("""COMPUTED_VALUE"""),-5.0)</f>
        <v>-5</v>
      </c>
      <c r="AH208" s="16">
        <f>IFERROR(__xludf.DUMMYFUNCTION("""COMPUTED_VALUE"""),48.9)</f>
        <v>48.9</v>
      </c>
      <c r="AI208" s="16">
        <f>IFERROR(__xludf.DUMMYFUNCTION("""COMPUTED_VALUE"""),30.2)</f>
        <v>30.2</v>
      </c>
      <c r="AJ208" s="16">
        <f>IFERROR(__xludf.DUMMYFUNCTION("""COMPUTED_VALUE"""),1.0)</f>
        <v>1</v>
      </c>
      <c r="AK208" s="16">
        <f>IFERROR(__xludf.DUMMYFUNCTION("""COMPUTED_VALUE"""),0.0)</f>
        <v>0</v>
      </c>
      <c r="AL208" s="16">
        <f>IFERROR(__xludf.DUMMYFUNCTION("""COMPUTED_VALUE"""),5.0)</f>
        <v>5</v>
      </c>
      <c r="AM208" s="16">
        <f>IFERROR(__xludf.DUMMYFUNCTION("""COMPUTED_VALUE"""),0.0)</f>
        <v>0</v>
      </c>
      <c r="AN208" s="16">
        <f>IFERROR(__xludf.DUMMYFUNCTION("""COMPUTED_VALUE"""),1.3)</f>
        <v>1.3</v>
      </c>
      <c r="AO208" s="16">
        <f>IFERROR(__xludf.DUMMYFUNCTION("""COMPUTED_VALUE"""),1.8)</f>
        <v>1.8</v>
      </c>
      <c r="AP208" s="16">
        <f>IFERROR(__xludf.DUMMYFUNCTION("""COMPUTED_VALUE"""),-1.0)</f>
        <v>-1</v>
      </c>
      <c r="AQ208" s="16">
        <f>IFERROR(__xludf.DUMMYFUNCTION("""COMPUTED_VALUE"""),-1.0)</f>
        <v>-1</v>
      </c>
      <c r="AR208" s="16">
        <f>IFERROR(__xludf.DUMMYFUNCTION("""COMPUTED_VALUE"""),-2.0)</f>
        <v>-2</v>
      </c>
      <c r="AS208" s="16">
        <f>IFERROR(__xludf.DUMMYFUNCTION("""COMPUTED_VALUE"""),-2.0)</f>
        <v>-2</v>
      </c>
      <c r="AT208" s="16">
        <f>IFERROR(__xludf.DUMMYFUNCTION("""COMPUTED_VALUE"""),2.0)</f>
        <v>2</v>
      </c>
      <c r="AU208" s="16">
        <f>IFERROR(__xludf.DUMMYFUNCTION("""COMPUTED_VALUE"""),2.0)</f>
        <v>2</v>
      </c>
      <c r="AV208" s="16">
        <f>IFERROR(__xludf.DUMMYFUNCTION("""COMPUTED_VALUE"""),2.0)</f>
        <v>2</v>
      </c>
      <c r="AW208" s="16">
        <f>IFERROR(__xludf.DUMMYFUNCTION("""COMPUTED_VALUE"""),2.0)</f>
        <v>2</v>
      </c>
      <c r="AX208" s="16">
        <f>IFERROR(__xludf.DUMMYFUNCTION("""COMPUTED_VALUE"""),0.0)</f>
        <v>0</v>
      </c>
      <c r="AY208" s="16">
        <f>IFERROR(__xludf.DUMMYFUNCTION("""COMPUTED_VALUE"""),0.0)</f>
        <v>0</v>
      </c>
      <c r="AZ208" s="16">
        <f>IFERROR(__xludf.DUMMYFUNCTION("""COMPUTED_VALUE"""),0.0)</f>
        <v>0</v>
      </c>
      <c r="BA208" s="16">
        <f>IFERROR(__xludf.DUMMYFUNCTION("""COMPUTED_VALUE"""),0.0)</f>
        <v>0</v>
      </c>
      <c r="BB208" s="16">
        <f>IFERROR(__xludf.DUMMYFUNCTION("""COMPUTED_VALUE"""),5.0)</f>
        <v>5</v>
      </c>
      <c r="BC208" s="16">
        <f>IFERROR(__xludf.DUMMYFUNCTION("""COMPUTED_VALUE"""),5.0)</f>
        <v>5</v>
      </c>
      <c r="BD208" s="16">
        <f>IFERROR(__xludf.DUMMYFUNCTION("""COMPUTED_VALUE"""),1.0)</f>
        <v>1</v>
      </c>
      <c r="BE208" s="16">
        <f>IFERROR(__xludf.DUMMYFUNCTION("""COMPUTED_VALUE"""),1.0)</f>
        <v>1</v>
      </c>
      <c r="BF208" s="16">
        <f>IFERROR(__xludf.DUMMYFUNCTION("""COMPUTED_VALUE"""),1.0)</f>
        <v>1</v>
      </c>
      <c r="BG208" s="16">
        <f>IFERROR(__xludf.DUMMYFUNCTION("""COMPUTED_VALUE"""),1.0)</f>
        <v>1</v>
      </c>
      <c r="BH208" s="16">
        <f>IFERROR(__xludf.DUMMYFUNCTION("""COMPUTED_VALUE"""),-9.0)</f>
        <v>-9</v>
      </c>
      <c r="BI208" s="16">
        <f>IFERROR(__xludf.DUMMYFUNCTION("""COMPUTED_VALUE"""),-10.0)</f>
        <v>-10</v>
      </c>
      <c r="BJ208" s="16">
        <f>IFERROR(__xludf.DUMMYFUNCTION("""COMPUTED_VALUE"""),15.0)</f>
        <v>15</v>
      </c>
      <c r="BK208" s="16">
        <f>IFERROR(__xludf.DUMMYFUNCTION("""COMPUTED_VALUE"""),14.0)</f>
        <v>14</v>
      </c>
      <c r="BL208" s="16">
        <f>IFERROR(__xludf.DUMMYFUNCTION("""COMPUTED_VALUE"""),-1.0)</f>
        <v>-1</v>
      </c>
      <c r="BM208" s="16">
        <f>IFERROR(__xludf.DUMMYFUNCTION("""COMPUTED_VALUE"""),0.0)</f>
        <v>0</v>
      </c>
      <c r="BN208" s="16">
        <f>IFERROR(__xludf.DUMMYFUNCTION("""COMPUTED_VALUE"""),-2.0)</f>
        <v>-2</v>
      </c>
      <c r="BO208" s="16">
        <f>IFERROR(__xludf.DUMMYFUNCTION("""COMPUTED_VALUE"""),0.0)</f>
        <v>0</v>
      </c>
      <c r="BP208" s="16">
        <f>IFERROR(__xludf.DUMMYFUNCTION("""COMPUTED_VALUE"""),0.0)</f>
        <v>0</v>
      </c>
      <c r="BQ208" s="16">
        <f>IFERROR(__xludf.DUMMYFUNCTION("""COMPUTED_VALUE"""),-4.0)</f>
        <v>-4</v>
      </c>
      <c r="BR208" s="16">
        <f>IFERROR(__xludf.DUMMYFUNCTION("""COMPUTED_VALUE"""),-4.0)</f>
        <v>-4</v>
      </c>
      <c r="BS208" s="16" t="str">
        <f>IFERROR(__xludf.DUMMYFUNCTION("""COMPUTED_VALUE"""),"*7/- (19-12)")</f>
        <v>*7/- (19-12)</v>
      </c>
      <c r="BT208" s="16" t="str">
        <f>IFERROR(__xludf.DUMMYFUNCTION("""COMPUTED_VALUE"""),"B")</f>
        <v>B</v>
      </c>
      <c r="BU208" s="16">
        <f>IFERROR(__xludf.DUMMYFUNCTION("""COMPUTED_VALUE"""),15.0)</f>
        <v>15</v>
      </c>
      <c r="BV208" s="16">
        <f>IFERROR(__xludf.DUMMYFUNCTION("""COMPUTED_VALUE"""),1.0)</f>
        <v>1</v>
      </c>
      <c r="BW208" s="16">
        <f>IFERROR(__xludf.DUMMYFUNCTION("""COMPUTED_VALUE"""),2.0)</f>
        <v>2</v>
      </c>
      <c r="BX208" s="16">
        <f>IFERROR(__xludf.DUMMYFUNCTION("""COMPUTED_VALUE"""),2.0)</f>
        <v>2</v>
      </c>
      <c r="BY208" s="16">
        <f>IFERROR(__xludf.DUMMYFUNCTION("""COMPUTED_VALUE"""),6.0)</f>
        <v>6</v>
      </c>
      <c r="BZ208" s="16" t="str">
        <f>IFERROR(__xludf.DUMMYFUNCTION("""COMPUTED_VALUE"""),"D")</f>
        <v>D</v>
      </c>
      <c r="CA208" s="16" t="str">
        <f>IFERROR(__xludf.DUMMYFUNCTION("""COMPUTED_VALUE"""),"D")</f>
        <v>D</v>
      </c>
      <c r="CB208" s="16">
        <f>IFERROR(__xludf.DUMMYFUNCTION("""COMPUTED_VALUE"""),0.0)</f>
        <v>0</v>
      </c>
      <c r="CC208" s="16">
        <f>IFERROR(__xludf.DUMMYFUNCTION("""COMPUTED_VALUE"""),0.0)</f>
        <v>0</v>
      </c>
      <c r="CD208" s="16">
        <f>IFERROR(__xludf.DUMMYFUNCTION("""COMPUTED_VALUE"""),0.0)</f>
        <v>0</v>
      </c>
      <c r="CE208" s="16">
        <f>IFERROR(__xludf.DUMMYFUNCTION("""COMPUTED_VALUE"""),0.0)</f>
        <v>0</v>
      </c>
      <c r="CF208" s="16">
        <f>IFERROR(__xludf.DUMMYFUNCTION("""COMPUTED_VALUE"""),1.0)</f>
        <v>1</v>
      </c>
      <c r="CG208" s="16">
        <f>IFERROR(__xludf.DUMMYFUNCTION("""COMPUTED_VALUE"""),7.0)</f>
        <v>7</v>
      </c>
      <c r="CH208" s="16">
        <f>IFERROR(__xludf.DUMMYFUNCTION("""COMPUTED_VALUE"""),-9.0)</f>
        <v>-9</v>
      </c>
      <c r="CI208" s="179">
        <f>IFERROR(__xludf.DUMMYFUNCTION("""COMPUTED_VALUE"""),0.0)</f>
        <v>0</v>
      </c>
      <c r="CJ208" s="16"/>
      <c r="CK208" s="16"/>
      <c r="CL208" s="16">
        <f>IFERROR(__xludf.DUMMYFUNCTION("""COMPUTED_VALUE"""),320.0)</f>
        <v>320</v>
      </c>
      <c r="CM208" s="16">
        <f>IFERROR(__xludf.DUMMYFUNCTION("""COMPUTED_VALUE"""),311.0)</f>
        <v>311</v>
      </c>
      <c r="CN208" s="16">
        <f>IFERROR(__xludf.DUMMYFUNCTION("""COMPUTED_VALUE"""),212.0)</f>
        <v>212</v>
      </c>
      <c r="CO208" s="16"/>
      <c r="CP208" s="16"/>
      <c r="CQ208" s="16"/>
      <c r="CR208" s="16" t="str">
        <f>IFERROR(__xludf.DUMMYFUNCTION("""COMPUTED_VALUE"""),"ss-2e12 2b-3e20 3b-3e11")</f>
        <v>ss-2e12 2b-3e20 3b-3e11</v>
      </c>
      <c r="CS208" s="16"/>
      <c r="CT208" s="16"/>
      <c r="CU208" s="16">
        <f>IFERROR(__xludf.DUMMYFUNCTION("""COMPUTED_VALUE"""),3.0)</f>
        <v>3</v>
      </c>
      <c r="CV208" s="16">
        <f>IFERROR(__xludf.DUMMYFUNCTION("""COMPUTED_VALUE"""),3.0)</f>
        <v>3</v>
      </c>
      <c r="CW208" s="16">
        <f>IFERROR(__xludf.DUMMYFUNCTION("""COMPUTED_VALUE"""),2.0)</f>
        <v>2</v>
      </c>
      <c r="CX208" s="16"/>
      <c r="CY208" s="16"/>
      <c r="CZ208" s="16"/>
      <c r="DA208" s="16"/>
      <c r="DB208" s="16"/>
      <c r="DC208" s="16">
        <f>IFERROR(__xludf.DUMMYFUNCTION("""COMPUTED_VALUE"""),20.0)</f>
        <v>20</v>
      </c>
      <c r="DD208" s="16">
        <f>IFERROR(__xludf.DUMMYFUNCTION("""COMPUTED_VALUE"""),11.0)</f>
        <v>11</v>
      </c>
      <c r="DE208" s="16">
        <f>IFERROR(__xludf.DUMMYFUNCTION("""COMPUTED_VALUE"""),12.0)</f>
        <v>12</v>
      </c>
      <c r="DF208" s="16"/>
      <c r="DG208" s="16"/>
      <c r="DH208" s="16"/>
      <c r="DI208" s="16"/>
      <c r="DJ208" s="16"/>
      <c r="DK208" s="16">
        <f>IFERROR(__xludf.DUMMYFUNCTION("""COMPUTED_VALUE"""),0.0)</f>
        <v>0</v>
      </c>
      <c r="DL208" s="16">
        <f>IFERROR(__xludf.DUMMYFUNCTION("""COMPUTED_VALUE"""),1.0)</f>
        <v>1</v>
      </c>
      <c r="DM208" s="16">
        <f>IFERROR(__xludf.DUMMYFUNCTION("""COMPUTED_VALUE"""),3.0)</f>
        <v>3</v>
      </c>
      <c r="DN208" s="16"/>
      <c r="DO208" s="16"/>
      <c r="DP208" s="16"/>
      <c r="DQ208" s="16"/>
      <c r="DR208" s="16"/>
      <c r="DS208" s="16">
        <f>IFERROR(__xludf.DUMMYFUNCTION("""COMPUTED_VALUE"""),2.0)</f>
        <v>2</v>
      </c>
      <c r="DT208" s="16">
        <f>IFERROR(__xludf.DUMMYFUNCTION("""COMPUTED_VALUE"""),1.0)</f>
        <v>1</v>
      </c>
      <c r="DU208" s="16">
        <f>IFERROR(__xludf.DUMMYFUNCTION("""COMPUTED_VALUE"""),2.0)</f>
        <v>2</v>
      </c>
      <c r="DV208" s="16"/>
      <c r="DW208" s="16"/>
      <c r="DX208" s="16"/>
      <c r="DY208" s="16"/>
      <c r="DZ208" s="16"/>
      <c r="EA208" s="16">
        <f>IFERROR(__xludf.DUMMYFUNCTION("""COMPUTED_VALUE"""),2.0)</f>
        <v>2</v>
      </c>
      <c r="EB208" s="16">
        <f>IFERROR(__xludf.DUMMYFUNCTION("""COMPUTED_VALUE"""),2.0)</f>
        <v>2</v>
      </c>
      <c r="EC208" s="16">
        <f>IFERROR(__xludf.DUMMYFUNCTION("""COMPUTED_VALUE"""),5.0)</f>
        <v>5</v>
      </c>
      <c r="ED208" s="16"/>
      <c r="EE208" s="16"/>
      <c r="EF208" s="16"/>
      <c r="EG208" s="179"/>
      <c r="EH208" s="179"/>
      <c r="EI208" s="179">
        <f>IFERROR(__xludf.DUMMYFUNCTION("""COMPUTED_VALUE"""),2.0)</f>
        <v>2</v>
      </c>
      <c r="EJ208" s="179">
        <f>IFERROR(__xludf.DUMMYFUNCTION("""COMPUTED_VALUE"""),2.0)</f>
        <v>2</v>
      </c>
      <c r="EK208" s="179">
        <f>IFERROR(__xludf.DUMMYFUNCTION("""COMPUTED_VALUE"""),5.0)</f>
        <v>5</v>
      </c>
      <c r="EL208" s="179"/>
      <c r="EM208" s="179"/>
      <c r="EN208" s="179"/>
      <c r="EO208" s="16"/>
      <c r="EP208" s="16">
        <f>IFERROR(__xludf.DUMMYFUNCTION("""COMPUTED_VALUE"""),2.0)</f>
        <v>2</v>
      </c>
      <c r="EQ208" s="16">
        <f>IFERROR(__xludf.DUMMYFUNCTION("""COMPUTED_VALUE"""),4.0)</f>
        <v>4</v>
      </c>
      <c r="ER208" s="16">
        <f>IFERROR(__xludf.DUMMYFUNCTION("""COMPUTED_VALUE"""),-1.0)</f>
        <v>-1</v>
      </c>
      <c r="ES208" s="16"/>
      <c r="ET208" s="16"/>
      <c r="EU208" s="16"/>
      <c r="EV208" s="16"/>
      <c r="EW208" s="16"/>
      <c r="EX208" s="180"/>
      <c r="EY208" s="180"/>
      <c r="EZ208" s="180">
        <f>IFERROR(__xludf.DUMMYFUNCTION("""COMPUTED_VALUE"""),0.2)</f>
        <v>0.2</v>
      </c>
      <c r="FA208" s="180">
        <f>IFERROR(__xludf.DUMMYFUNCTION("""COMPUTED_VALUE"""),0.2)</f>
        <v>0.2</v>
      </c>
      <c r="FB208" s="180">
        <f>IFERROR(__xludf.DUMMYFUNCTION("""COMPUTED_VALUE"""),0.1)</f>
        <v>0.1</v>
      </c>
      <c r="FC208" s="180"/>
      <c r="FD208" s="180"/>
      <c r="FE208" s="180"/>
      <c r="FF208" s="180"/>
      <c r="FG208" s="180"/>
      <c r="FH208" s="180">
        <f>IFERROR(__xludf.DUMMYFUNCTION("""COMPUTED_VALUE"""),0.12037037037037036)</f>
        <v>0.1203703704</v>
      </c>
      <c r="FI208" s="180">
        <f>IFERROR(__xludf.DUMMYFUNCTION("""COMPUTED_VALUE"""),0.13425925925925927)</f>
        <v>0.1342592593</v>
      </c>
      <c r="FJ208" s="180">
        <f>IFERROR(__xludf.DUMMYFUNCTION("""COMPUTED_VALUE"""),0.05555555555555555)</f>
        <v>0.05555555556</v>
      </c>
      <c r="FK208" s="180"/>
      <c r="FL208" s="180"/>
      <c r="FM208" s="180"/>
      <c r="FN208" s="16"/>
      <c r="FO208" s="16"/>
      <c r="FP208" s="16">
        <f>IFERROR(__xludf.DUMMYFUNCTION("""COMPUTED_VALUE"""),0.7037037037037037)</f>
        <v>0.7037037037</v>
      </c>
      <c r="FQ208" s="16">
        <f>IFERROR(__xludf.DUMMYFUNCTION("""COMPUTED_VALUE"""),0.6925925925925926)</f>
        <v>0.6925925926</v>
      </c>
      <c r="FR208" s="16">
        <f>IFERROR(__xludf.DUMMYFUNCTION("""COMPUTED_VALUE"""),0.85)</f>
        <v>0.85</v>
      </c>
      <c r="FS208" s="16"/>
      <c r="FT208" s="16"/>
      <c r="FU208" s="16"/>
      <c r="FV208" s="16"/>
      <c r="FW208" s="16"/>
      <c r="FX208" s="16">
        <f>IFERROR(__xludf.DUMMYFUNCTION("""COMPUTED_VALUE"""),-4.0)</f>
        <v>-4</v>
      </c>
      <c r="FY208" s="16">
        <f>IFERROR(__xludf.DUMMYFUNCTION("""COMPUTED_VALUE"""),-4.0)</f>
        <v>-4</v>
      </c>
      <c r="FZ208" s="16">
        <f>IFERROR(__xludf.DUMMYFUNCTION("""COMPUTED_VALUE"""),1.0)</f>
        <v>1</v>
      </c>
      <c r="GA208" s="16"/>
      <c r="GB208" s="16"/>
      <c r="GC208" s="16"/>
      <c r="GD208" s="16" t="s">
        <v>272</v>
      </c>
    </row>
    <row r="209">
      <c r="A209" s="16">
        <f>IFERROR(__xludf.DUMMYFUNCTION("""COMPUTED_VALUE"""),12638.0)</f>
        <v>12638</v>
      </c>
      <c r="B209" s="16" t="str">
        <f>IFERROR(__xludf.DUMMYFUNCTION("""COMPUTED_VALUE"""),"Bryson Stott")</f>
        <v>Bryson Stott</v>
      </c>
      <c r="C209" s="16">
        <f>IFERROR(__xludf.DUMMYFUNCTION("""COMPUTED_VALUE"""),1.27)</f>
        <v>1.27</v>
      </c>
      <c r="D209" s="16" t="str">
        <f>IFERROR(__xludf.DUMMYFUNCTION("""COMPUTED_VALUE"""),"L")</f>
        <v>L</v>
      </c>
      <c r="E209" s="16"/>
      <c r="F209" s="16"/>
      <c r="G209" s="16">
        <f>IFERROR(__xludf.DUMMYFUNCTION("""COMPUTED_VALUE"""),506.0)</f>
        <v>506</v>
      </c>
      <c r="H209" s="16">
        <f>IFERROR(__xludf.DUMMYFUNCTION("""COMPUTED_VALUE"""),53.0)</f>
        <v>53</v>
      </c>
      <c r="I209" s="16" t="str">
        <f>IFERROR(__xludf.DUMMYFUNCTION("""COMPUTED_VALUE"""),"1p70")</f>
        <v>1p70</v>
      </c>
      <c r="J209" s="16">
        <f>IFERROR(__xludf.DUMMYFUNCTION("""COMPUTED_VALUE"""),17.0)</f>
        <v>17</v>
      </c>
      <c r="K209" s="16">
        <f>IFERROR(__xludf.DUMMYFUNCTION("""COMPUTED_VALUE"""),9.0)</f>
        <v>9</v>
      </c>
      <c r="L209" s="16">
        <f>IFERROR(__xludf.DUMMYFUNCTION("""COMPUTED_VALUE"""),1.0)</f>
        <v>1</v>
      </c>
      <c r="M209" s="16">
        <f>IFERROR(__xludf.DUMMYFUNCTION("""COMPUTED_VALUE"""),2.0)</f>
        <v>2</v>
      </c>
      <c r="N209" s="16">
        <f>IFERROR(__xludf.DUMMYFUNCTION("""COMPUTED_VALUE"""),1.0)</f>
        <v>1</v>
      </c>
      <c r="O209" s="16">
        <f>IFERROR(__xludf.DUMMYFUNCTION("""COMPUTED_VALUE"""),2.0)</f>
        <v>2</v>
      </c>
      <c r="P209" s="16">
        <f>IFERROR(__xludf.DUMMYFUNCTION("""COMPUTED_VALUE"""),17.0)</f>
        <v>17</v>
      </c>
      <c r="Q209" s="16">
        <f>IFERROR(__xludf.DUMMYFUNCTION("""COMPUTED_VALUE"""),8.0)</f>
        <v>8</v>
      </c>
      <c r="R209" s="16">
        <f>IFERROR(__xludf.DUMMYFUNCTION("""COMPUTED_VALUE"""),3.0)</f>
        <v>3</v>
      </c>
      <c r="S209" s="16">
        <f>IFERROR(__xludf.DUMMYFUNCTION("""COMPUTED_VALUE"""),0.0)</f>
        <v>0</v>
      </c>
      <c r="T209" s="16">
        <f>IFERROR(__xludf.DUMMYFUNCTION("""COMPUTED_VALUE"""),3.0)</f>
        <v>3</v>
      </c>
      <c r="U209" s="16">
        <f>IFERROR(__xludf.DUMMYFUNCTION("""COMPUTED_VALUE"""),0.0)</f>
        <v>0</v>
      </c>
      <c r="V209" s="16">
        <f>IFERROR(__xludf.DUMMYFUNCTION("""COMPUTED_VALUE"""),15.4)</f>
        <v>15.4</v>
      </c>
      <c r="W209" s="16">
        <f>IFERROR(__xludf.DUMMYFUNCTION("""COMPUTED_VALUE"""),21.4)</f>
        <v>21.4</v>
      </c>
      <c r="X209" s="16">
        <f>IFERROR(__xludf.DUMMYFUNCTION("""COMPUTED_VALUE"""),-1.0)</f>
        <v>-1</v>
      </c>
      <c r="Y209" s="16">
        <f>IFERROR(__xludf.DUMMYFUNCTION("""COMPUTED_VALUE"""),0.0)</f>
        <v>0</v>
      </c>
      <c r="Z209" s="16">
        <f>IFERROR(__xludf.DUMMYFUNCTION("""COMPUTED_VALUE"""),-2.0)</f>
        <v>-2</v>
      </c>
      <c r="AA209" s="16">
        <f>IFERROR(__xludf.DUMMYFUNCTION("""COMPUTED_VALUE"""),0.0)</f>
        <v>0</v>
      </c>
      <c r="AB209" s="16">
        <f>IFERROR(__xludf.DUMMYFUNCTION("""COMPUTED_VALUE"""),33.4)</f>
        <v>33.4</v>
      </c>
      <c r="AC209" s="16">
        <f>IFERROR(__xludf.DUMMYFUNCTION("""COMPUTED_VALUE"""),30.4)</f>
        <v>30.4</v>
      </c>
      <c r="AD209" s="16">
        <f>IFERROR(__xludf.DUMMYFUNCTION("""COMPUTED_VALUE"""),0.0)</f>
        <v>0</v>
      </c>
      <c r="AE209" s="16">
        <f>IFERROR(__xludf.DUMMYFUNCTION("""COMPUTED_VALUE"""),0.0)</f>
        <v>0</v>
      </c>
      <c r="AF209" s="16">
        <f>IFERROR(__xludf.DUMMYFUNCTION("""COMPUTED_VALUE"""),0.0)</f>
        <v>0</v>
      </c>
      <c r="AG209" s="16">
        <f>IFERROR(__xludf.DUMMYFUNCTION("""COMPUTED_VALUE"""),0.0)</f>
        <v>0</v>
      </c>
      <c r="AH209" s="16">
        <f>IFERROR(__xludf.DUMMYFUNCTION("""COMPUTED_VALUE"""),20.8)</f>
        <v>20.8</v>
      </c>
      <c r="AI209" s="16">
        <f>IFERROR(__xludf.DUMMYFUNCTION("""COMPUTED_VALUE"""),27.3)</f>
        <v>27.3</v>
      </c>
      <c r="AJ209" s="16">
        <f>IFERROR(__xludf.DUMMYFUNCTION("""COMPUTED_VALUE"""),-1.0)</f>
        <v>-1</v>
      </c>
      <c r="AK209" s="16">
        <f>IFERROR(__xludf.DUMMYFUNCTION("""COMPUTED_VALUE"""),-1.0)</f>
        <v>-1</v>
      </c>
      <c r="AL209" s="16">
        <f>IFERROR(__xludf.DUMMYFUNCTION("""COMPUTED_VALUE"""),-5.0)</f>
        <v>-5</v>
      </c>
      <c r="AM209" s="16">
        <f>IFERROR(__xludf.DUMMYFUNCTION("""COMPUTED_VALUE"""),-5.0)</f>
        <v>-5</v>
      </c>
      <c r="AN209" s="16">
        <f>IFERROR(__xludf.DUMMYFUNCTION("""COMPUTED_VALUE"""),1.6)</f>
        <v>1.6</v>
      </c>
      <c r="AO209" s="16">
        <f>IFERROR(__xludf.DUMMYFUNCTION("""COMPUTED_VALUE"""),0.8)</f>
        <v>0.8</v>
      </c>
      <c r="AP209" s="16">
        <f>IFERROR(__xludf.DUMMYFUNCTION("""COMPUTED_VALUE"""),-1.0)</f>
        <v>-1</v>
      </c>
      <c r="AQ209" s="16">
        <f>IFERROR(__xludf.DUMMYFUNCTION("""COMPUTED_VALUE"""),-2.0)</f>
        <v>-2</v>
      </c>
      <c r="AR209" s="16">
        <f>IFERROR(__xludf.DUMMYFUNCTION("""COMPUTED_VALUE"""),-2.0)</f>
        <v>-2</v>
      </c>
      <c r="AS209" s="16">
        <f>IFERROR(__xludf.DUMMYFUNCTION("""COMPUTED_VALUE"""),-4.0)</f>
        <v>-4</v>
      </c>
      <c r="AT209" s="16"/>
      <c r="AU209" s="16">
        <f>IFERROR(__xludf.DUMMYFUNCTION("""COMPUTED_VALUE"""),1.0)</f>
        <v>1</v>
      </c>
      <c r="AV209" s="16">
        <f>IFERROR(__xludf.DUMMYFUNCTION("""COMPUTED_VALUE"""),-3.0)</f>
        <v>-3</v>
      </c>
      <c r="AW209" s="16">
        <f>IFERROR(__xludf.DUMMYFUNCTION("""COMPUTED_VALUE"""),1.0)</f>
        <v>1</v>
      </c>
      <c r="AX209" s="16">
        <f>IFERROR(__xludf.DUMMYFUNCTION("""COMPUTED_VALUE"""),-3.0)</f>
        <v>-3</v>
      </c>
      <c r="AY209" s="16">
        <f>IFERROR(__xludf.DUMMYFUNCTION("""COMPUTED_VALUE"""),-1.0)</f>
        <v>-1</v>
      </c>
      <c r="AZ209" s="16">
        <f>IFERROR(__xludf.DUMMYFUNCTION("""COMPUTED_VALUE"""),-9.0)</f>
        <v>-9</v>
      </c>
      <c r="BA209" s="16">
        <f>IFERROR(__xludf.DUMMYFUNCTION("""COMPUTED_VALUE"""),-3.0)</f>
        <v>-3</v>
      </c>
      <c r="BB209" s="16">
        <f>IFERROR(__xludf.DUMMYFUNCTION("""COMPUTED_VALUE"""),5.0)</f>
        <v>5</v>
      </c>
      <c r="BC209" s="16">
        <f>IFERROR(__xludf.DUMMYFUNCTION("""COMPUTED_VALUE"""),5.0)</f>
        <v>5</v>
      </c>
      <c r="BD209" s="16">
        <f>IFERROR(__xludf.DUMMYFUNCTION("""COMPUTED_VALUE"""),1.0)</f>
        <v>1</v>
      </c>
      <c r="BE209" s="16">
        <f>IFERROR(__xludf.DUMMYFUNCTION("""COMPUTED_VALUE"""),1.0)</f>
        <v>1</v>
      </c>
      <c r="BF209" s="16">
        <f>IFERROR(__xludf.DUMMYFUNCTION("""COMPUTED_VALUE"""),1.0)</f>
        <v>1</v>
      </c>
      <c r="BG209" s="16">
        <f>IFERROR(__xludf.DUMMYFUNCTION("""COMPUTED_VALUE"""),1.0)</f>
        <v>1</v>
      </c>
      <c r="BH209" s="16">
        <f>IFERROR(__xludf.DUMMYFUNCTION("""COMPUTED_VALUE"""),3.0)</f>
        <v>3</v>
      </c>
      <c r="BI209" s="16">
        <f>IFERROR(__xludf.DUMMYFUNCTION("""COMPUTED_VALUE"""),4.0)</f>
        <v>4</v>
      </c>
      <c r="BJ209" s="16">
        <f>IFERROR(__xludf.DUMMYFUNCTION("""COMPUTED_VALUE"""),11.0)</f>
        <v>11</v>
      </c>
      <c r="BK209" s="16">
        <f>IFERROR(__xludf.DUMMYFUNCTION("""COMPUTED_VALUE"""),13.0)</f>
        <v>13</v>
      </c>
      <c r="BL209" s="16">
        <f>IFERROR(__xludf.DUMMYFUNCTION("""COMPUTED_VALUE"""),0.0)</f>
        <v>0</v>
      </c>
      <c r="BM209" s="16">
        <f>IFERROR(__xludf.DUMMYFUNCTION("""COMPUTED_VALUE"""),0.0)</f>
        <v>0</v>
      </c>
      <c r="BN209" s="16">
        <f>IFERROR(__xludf.DUMMYFUNCTION("""COMPUTED_VALUE"""),0.0)</f>
        <v>0</v>
      </c>
      <c r="BO209" s="16">
        <f>IFERROR(__xludf.DUMMYFUNCTION("""COMPUTED_VALUE"""),0.0)</f>
        <v>0</v>
      </c>
      <c r="BP209" s="16">
        <f>IFERROR(__xludf.DUMMYFUNCTION("""COMPUTED_VALUE"""),-1.0)</f>
        <v>-1</v>
      </c>
      <c r="BQ209" s="16">
        <f>IFERROR(__xludf.DUMMYFUNCTION("""COMPUTED_VALUE"""),-1.0)</f>
        <v>-1</v>
      </c>
      <c r="BR209" s="16">
        <f>IFERROR(__xludf.DUMMYFUNCTION("""COMPUTED_VALUE"""),-2.0)</f>
        <v>-2</v>
      </c>
      <c r="BS209" s="16" t="str">
        <f>IFERROR(__xludf.DUMMYFUNCTION("""COMPUTED_VALUE"""),"*5,6/- (19-13)")</f>
        <v>*5,6/- (19-13)</v>
      </c>
      <c r="BT209" s="16" t="str">
        <f>IFERROR(__xludf.DUMMYFUNCTION("""COMPUTED_VALUE"""),"AA")</f>
        <v>AA</v>
      </c>
      <c r="BU209" s="16">
        <f>IFERROR(__xludf.DUMMYFUNCTION("""COMPUTED_VALUE"""),16.0)</f>
        <v>16</v>
      </c>
      <c r="BV209" s="16">
        <f>IFERROR(__xludf.DUMMYFUNCTION("""COMPUTED_VALUE"""),3.0)</f>
        <v>3</v>
      </c>
      <c r="BW209" s="16">
        <f>IFERROR(__xludf.DUMMYFUNCTION("""COMPUTED_VALUE"""),2.0)</f>
        <v>2</v>
      </c>
      <c r="BX209" s="16">
        <f>IFERROR(__xludf.DUMMYFUNCTION("""COMPUTED_VALUE"""),6.0)</f>
        <v>6</v>
      </c>
      <c r="BY209" s="16">
        <f>IFERROR(__xludf.DUMMYFUNCTION("""COMPUTED_VALUE"""),6.0)</f>
        <v>6</v>
      </c>
      <c r="BZ209" s="16" t="str">
        <f>IFERROR(__xludf.DUMMYFUNCTION("""COMPUTED_VALUE"""),"D")</f>
        <v>D</v>
      </c>
      <c r="CA209" s="16" t="str">
        <f>IFERROR(__xludf.DUMMYFUNCTION("""COMPUTED_VALUE"""),"C")</f>
        <v>C</v>
      </c>
      <c r="CB209" s="16">
        <f>IFERROR(__xludf.DUMMYFUNCTION("""COMPUTED_VALUE"""),0.0)</f>
        <v>0</v>
      </c>
      <c r="CC209" s="16">
        <f>IFERROR(__xludf.DUMMYFUNCTION("""COMPUTED_VALUE"""),0.0)</f>
        <v>0</v>
      </c>
      <c r="CD209" s="16">
        <f>IFERROR(__xludf.DUMMYFUNCTION("""COMPUTED_VALUE"""),0.0)</f>
        <v>0</v>
      </c>
      <c r="CE209" s="16">
        <f>IFERROR(__xludf.DUMMYFUNCTION("""COMPUTED_VALUE"""),0.0)</f>
        <v>0</v>
      </c>
      <c r="CF209" s="16">
        <f>IFERROR(__xludf.DUMMYFUNCTION("""COMPUTED_VALUE"""),1.0)</f>
        <v>1</v>
      </c>
      <c r="CG209" s="16">
        <f>IFERROR(__xludf.DUMMYFUNCTION("""COMPUTED_VALUE"""),-13.0)</f>
        <v>-13</v>
      </c>
      <c r="CH209" s="16">
        <f>IFERROR(__xludf.DUMMYFUNCTION("""COMPUTED_VALUE"""),-9.0)</f>
        <v>-9</v>
      </c>
      <c r="CI209" s="179">
        <f>IFERROR(__xludf.DUMMYFUNCTION("""COMPUTED_VALUE"""),0.0)</f>
        <v>0</v>
      </c>
      <c r="CJ209" s="16"/>
      <c r="CK209" s="16"/>
      <c r="CL209" s="16">
        <f>IFERROR(__xludf.DUMMYFUNCTION("""COMPUTED_VALUE"""),105.0)</f>
        <v>105</v>
      </c>
      <c r="CM209" s="16"/>
      <c r="CN209" s="16">
        <f>IFERROR(__xludf.DUMMYFUNCTION("""COMPUTED_VALUE"""),342.0)</f>
        <v>342</v>
      </c>
      <c r="CO209" s="16"/>
      <c r="CP209" s="16"/>
      <c r="CQ209" s="16"/>
      <c r="CR209" s="16" t="str">
        <f>IFERROR(__xludf.DUMMYFUNCTION("""COMPUTED_VALUE"""),"2b-1e5 ss-3e42")</f>
        <v>2b-1e5 ss-3e42</v>
      </c>
      <c r="CS209" s="16"/>
      <c r="CT209" s="16"/>
      <c r="CU209" s="16">
        <f>IFERROR(__xludf.DUMMYFUNCTION("""COMPUTED_VALUE"""),1.0)</f>
        <v>1</v>
      </c>
      <c r="CV209" s="16"/>
      <c r="CW209" s="16">
        <f>IFERROR(__xludf.DUMMYFUNCTION("""COMPUTED_VALUE"""),3.0)</f>
        <v>3</v>
      </c>
      <c r="CX209" s="16"/>
      <c r="CY209" s="16"/>
      <c r="CZ209" s="16"/>
      <c r="DA209" s="16"/>
      <c r="DB209" s="16"/>
      <c r="DC209" s="16">
        <f>IFERROR(__xludf.DUMMYFUNCTION("""COMPUTED_VALUE"""),5.0)</f>
        <v>5</v>
      </c>
      <c r="DD209" s="16"/>
      <c r="DE209" s="16">
        <f>IFERROR(__xludf.DUMMYFUNCTION("""COMPUTED_VALUE"""),42.0)</f>
        <v>42</v>
      </c>
      <c r="DF209" s="16"/>
      <c r="DG209" s="16"/>
      <c r="DH209" s="16"/>
      <c r="DI209" s="16"/>
      <c r="DJ209" s="16"/>
      <c r="DK209" s="16">
        <f>IFERROR(__xludf.DUMMYFUNCTION("""COMPUTED_VALUE"""),4.0)</f>
        <v>4</v>
      </c>
      <c r="DL209" s="16"/>
      <c r="DM209" s="16">
        <f>IFERROR(__xludf.DUMMYFUNCTION("""COMPUTED_VALUE"""),0.0)</f>
        <v>0</v>
      </c>
      <c r="DN209" s="16"/>
      <c r="DO209" s="16"/>
      <c r="DP209" s="16"/>
      <c r="DQ209" s="16"/>
      <c r="DR209" s="16"/>
      <c r="DS209" s="16">
        <f>IFERROR(__xludf.DUMMYFUNCTION("""COMPUTED_VALUE"""),3.0)</f>
        <v>3</v>
      </c>
      <c r="DT209" s="16"/>
      <c r="DU209" s="16">
        <f>IFERROR(__xludf.DUMMYFUNCTION("""COMPUTED_VALUE"""),-2.0)</f>
        <v>-2</v>
      </c>
      <c r="DV209" s="16"/>
      <c r="DW209" s="16"/>
      <c r="DX209" s="16"/>
      <c r="DY209" s="16"/>
      <c r="DZ209" s="16"/>
      <c r="EA209" s="16">
        <f>IFERROR(__xludf.DUMMYFUNCTION("""COMPUTED_VALUE"""),7.0)</f>
        <v>7</v>
      </c>
      <c r="EB209" s="16"/>
      <c r="EC209" s="16">
        <f>IFERROR(__xludf.DUMMYFUNCTION("""COMPUTED_VALUE"""),-2.0)</f>
        <v>-2</v>
      </c>
      <c r="ED209" s="16"/>
      <c r="EE209" s="16"/>
      <c r="EF209" s="16"/>
      <c r="EG209" s="179"/>
      <c r="EH209" s="179"/>
      <c r="EI209" s="179">
        <f>IFERROR(__xludf.DUMMYFUNCTION("""COMPUTED_VALUE"""),7.0)</f>
        <v>7</v>
      </c>
      <c r="EJ209" s="179"/>
      <c r="EK209" s="179">
        <f>IFERROR(__xludf.DUMMYFUNCTION("""COMPUTED_VALUE"""),-2.0)</f>
        <v>-2</v>
      </c>
      <c r="EL209" s="179"/>
      <c r="EM209" s="179"/>
      <c r="EN209" s="179"/>
      <c r="EO209" s="16"/>
      <c r="EP209" s="16">
        <f>IFERROR(__xludf.DUMMYFUNCTION("""COMPUTED_VALUE"""),2.0)</f>
        <v>2</v>
      </c>
      <c r="EQ209" s="16">
        <f>IFERROR(__xludf.DUMMYFUNCTION("""COMPUTED_VALUE"""),4.0)</f>
        <v>4</v>
      </c>
      <c r="ER209" s="16">
        <f>IFERROR(__xludf.DUMMYFUNCTION("""COMPUTED_VALUE"""),3.0)</f>
        <v>3</v>
      </c>
      <c r="ES209" s="16"/>
      <c r="ET209" s="16"/>
      <c r="EU209" s="16"/>
      <c r="EV209" s="16"/>
      <c r="EW209" s="16"/>
      <c r="EX209" s="180"/>
      <c r="EY209" s="180"/>
      <c r="EZ209" s="180">
        <f>IFERROR(__xludf.DUMMYFUNCTION("""COMPUTED_VALUE"""),0.0)</f>
        <v>0</v>
      </c>
      <c r="FA209" s="180"/>
      <c r="FB209" s="180">
        <f>IFERROR(__xludf.DUMMYFUNCTION("""COMPUTED_VALUE"""),0.2)</f>
        <v>0.2</v>
      </c>
      <c r="FC209" s="180"/>
      <c r="FD209" s="180"/>
      <c r="FE209" s="180"/>
      <c r="FF209" s="180"/>
      <c r="FG209" s="180"/>
      <c r="FH209" s="180">
        <f>IFERROR(__xludf.DUMMYFUNCTION("""COMPUTED_VALUE"""),0.032407407407407406)</f>
        <v>0.03240740741</v>
      </c>
      <c r="FI209" s="180"/>
      <c r="FJ209" s="180">
        <f>IFERROR(__xludf.DUMMYFUNCTION("""COMPUTED_VALUE"""),0.21296296296296297)</f>
        <v>0.212962963</v>
      </c>
      <c r="FK209" s="180"/>
      <c r="FL209" s="180"/>
      <c r="FM209" s="180"/>
      <c r="FN209" s="16"/>
      <c r="FO209" s="16"/>
      <c r="FP209" s="16">
        <f>IFERROR(__xludf.DUMMYFUNCTION("""COMPUTED_VALUE"""),0.9675925925925926)</f>
        <v>0.9675925926</v>
      </c>
      <c r="FQ209" s="16"/>
      <c r="FR209" s="16">
        <f>IFERROR(__xludf.DUMMYFUNCTION("""COMPUTED_VALUE"""),0.6296296296296297)</f>
        <v>0.6296296296</v>
      </c>
      <c r="FS209" s="16"/>
      <c r="FT209" s="16"/>
      <c r="FU209" s="16"/>
      <c r="FV209" s="16"/>
      <c r="FW209" s="16"/>
      <c r="FX209" s="16">
        <f>IFERROR(__xludf.DUMMYFUNCTION("""COMPUTED_VALUE"""),8.0)</f>
        <v>8</v>
      </c>
      <c r="FY209" s="16"/>
      <c r="FZ209" s="16">
        <f>IFERROR(__xludf.DUMMYFUNCTION("""COMPUTED_VALUE"""),-6.0)</f>
        <v>-6</v>
      </c>
      <c r="GA209" s="16"/>
      <c r="GB209" s="16"/>
      <c r="GC209" s="16"/>
      <c r="GD209" s="16" t="s">
        <v>415</v>
      </c>
    </row>
    <row r="210">
      <c r="A210" s="16">
        <f>IFERROR(__xludf.DUMMYFUNCTION("""COMPUTED_VALUE"""),13257.0)</f>
        <v>13257</v>
      </c>
      <c r="B210" s="16" t="str">
        <f>IFERROR(__xludf.DUMMYFUNCTION("""COMPUTED_VALUE"""),"Nolan Gorman")</f>
        <v>Nolan Gorman</v>
      </c>
      <c r="C210" s="16">
        <f>IFERROR(__xludf.DUMMYFUNCTION("""COMPUTED_VALUE"""),0.22)</f>
        <v>0.22</v>
      </c>
      <c r="D210" s="16" t="str">
        <f>IFERROR(__xludf.DUMMYFUNCTION("""COMPUTED_VALUE"""),"L")</f>
        <v>L</v>
      </c>
      <c r="E210" s="16"/>
      <c r="F210" s="16"/>
      <c r="G210" s="16">
        <f>IFERROR(__xludf.DUMMYFUNCTION("""COMPUTED_VALUE"""),365.0)</f>
        <v>365</v>
      </c>
      <c r="H210" s="16">
        <f>IFERROR(__xludf.DUMMYFUNCTION("""COMPUTED_VALUE"""),34.0)</f>
        <v>34</v>
      </c>
      <c r="I210" s="16" t="str">
        <f>IFERROR(__xludf.DUMMYFUNCTION("""COMPUTED_VALUE"""),"1p50")</f>
        <v>1p50</v>
      </c>
      <c r="J210" s="16">
        <f>IFERROR(__xludf.DUMMYFUNCTION("""COMPUTED_VALUE"""),54.0)</f>
        <v>54</v>
      </c>
      <c r="K210" s="16">
        <f>IFERROR(__xludf.DUMMYFUNCTION("""COMPUTED_VALUE"""),55.0)</f>
        <v>55</v>
      </c>
      <c r="L210" s="16">
        <f>IFERROR(__xludf.DUMMYFUNCTION("""COMPUTED_VALUE"""),-2.0)</f>
        <v>-2</v>
      </c>
      <c r="M210" s="16">
        <f>IFERROR(__xludf.DUMMYFUNCTION("""COMPUTED_VALUE"""),-3.0)</f>
        <v>-3</v>
      </c>
      <c r="N210" s="16">
        <f>IFERROR(__xludf.DUMMYFUNCTION("""COMPUTED_VALUE"""),-2.0)</f>
        <v>-2</v>
      </c>
      <c r="O210" s="16">
        <f>IFERROR(__xludf.DUMMYFUNCTION("""COMPUTED_VALUE"""),-3.0)</f>
        <v>-3</v>
      </c>
      <c r="P210" s="16">
        <f>IFERROR(__xludf.DUMMYFUNCTION("""COMPUTED_VALUE"""),7.0)</f>
        <v>7</v>
      </c>
      <c r="Q210" s="16">
        <f>IFERROR(__xludf.DUMMYFUNCTION("""COMPUTED_VALUE"""),9.0)</f>
        <v>9</v>
      </c>
      <c r="R210" s="16">
        <f>IFERROR(__xludf.DUMMYFUNCTION("""COMPUTED_VALUE"""),-1.0)</f>
        <v>-1</v>
      </c>
      <c r="S210" s="16">
        <f>IFERROR(__xludf.DUMMYFUNCTION("""COMPUTED_VALUE"""),0.0)</f>
        <v>0</v>
      </c>
      <c r="T210" s="16">
        <f>IFERROR(__xludf.DUMMYFUNCTION("""COMPUTED_VALUE"""),-1.0)</f>
        <v>-1</v>
      </c>
      <c r="U210" s="16">
        <f>IFERROR(__xludf.DUMMYFUNCTION("""COMPUTED_VALUE"""),0.0)</f>
        <v>0</v>
      </c>
      <c r="V210" s="16">
        <f>IFERROR(__xludf.DUMMYFUNCTION("""COMPUTED_VALUE"""),11.1)</f>
        <v>11.1</v>
      </c>
      <c r="W210" s="16">
        <f>IFERROR(__xludf.DUMMYFUNCTION("""COMPUTED_VALUE"""),9.6)</f>
        <v>9.6</v>
      </c>
      <c r="X210" s="16">
        <f>IFERROR(__xludf.DUMMYFUNCTION("""COMPUTED_VALUE"""),-1.0)</f>
        <v>-1</v>
      </c>
      <c r="Y210" s="16">
        <f>IFERROR(__xludf.DUMMYFUNCTION("""COMPUTED_VALUE"""),-2.0)</f>
        <v>-2</v>
      </c>
      <c r="Z210" s="16">
        <f>IFERROR(__xludf.DUMMYFUNCTION("""COMPUTED_VALUE"""),-2.0)</f>
        <v>-2</v>
      </c>
      <c r="AA210" s="16">
        <f>IFERROR(__xludf.DUMMYFUNCTION("""COMPUTED_VALUE"""),-4.0)</f>
        <v>-4</v>
      </c>
      <c r="AB210" s="16">
        <f>IFERROR(__xludf.DUMMYFUNCTION("""COMPUTED_VALUE"""),19.1)</f>
        <v>19.1</v>
      </c>
      <c r="AC210" s="16">
        <f>IFERROR(__xludf.DUMMYFUNCTION("""COMPUTED_VALUE"""),19.5)</f>
        <v>19.5</v>
      </c>
      <c r="AD210" s="16">
        <f>IFERROR(__xludf.DUMMYFUNCTION("""COMPUTED_VALUE"""),-1.0)</f>
        <v>-1</v>
      </c>
      <c r="AE210" s="16">
        <f>IFERROR(__xludf.DUMMYFUNCTION("""COMPUTED_VALUE"""),-2.0)</f>
        <v>-2</v>
      </c>
      <c r="AF210" s="16">
        <f>IFERROR(__xludf.DUMMYFUNCTION("""COMPUTED_VALUE"""),-5.0)</f>
        <v>-5</v>
      </c>
      <c r="AG210" s="16">
        <f>IFERROR(__xludf.DUMMYFUNCTION("""COMPUTED_VALUE"""),-10.0)</f>
        <v>-10</v>
      </c>
      <c r="AH210" s="16">
        <f>IFERROR(__xludf.DUMMYFUNCTION("""COMPUTED_VALUE"""),24.7)</f>
        <v>24.7</v>
      </c>
      <c r="AI210" s="16">
        <f>IFERROR(__xludf.DUMMYFUNCTION("""COMPUTED_VALUE"""),25.0)</f>
        <v>25</v>
      </c>
      <c r="AJ210" s="16">
        <f>IFERROR(__xludf.DUMMYFUNCTION("""COMPUTED_VALUE"""),-1.0)</f>
        <v>-1</v>
      </c>
      <c r="AK210" s="16">
        <f>IFERROR(__xludf.DUMMYFUNCTION("""COMPUTED_VALUE"""),-1.0)</f>
        <v>-1</v>
      </c>
      <c r="AL210" s="16">
        <f>IFERROR(__xludf.DUMMYFUNCTION("""COMPUTED_VALUE"""),-5.0)</f>
        <v>-5</v>
      </c>
      <c r="AM210" s="16">
        <f>IFERROR(__xludf.DUMMYFUNCTION("""COMPUTED_VALUE"""),-5.0)</f>
        <v>-5</v>
      </c>
      <c r="AN210" s="16">
        <f>IFERROR(__xludf.DUMMYFUNCTION("""COMPUTED_VALUE"""),2.8)</f>
        <v>2.8</v>
      </c>
      <c r="AO210" s="16">
        <f>IFERROR(__xludf.DUMMYFUNCTION("""COMPUTED_VALUE"""),4.4)</f>
        <v>4.4</v>
      </c>
      <c r="AP210" s="16">
        <f>IFERROR(__xludf.DUMMYFUNCTION("""COMPUTED_VALUE"""),1.0)</f>
        <v>1</v>
      </c>
      <c r="AQ210" s="16">
        <f>IFERROR(__xludf.DUMMYFUNCTION("""COMPUTED_VALUE"""),2.0)</f>
        <v>2</v>
      </c>
      <c r="AR210" s="16">
        <f>IFERROR(__xludf.DUMMYFUNCTION("""COMPUTED_VALUE"""),2.0)</f>
        <v>2</v>
      </c>
      <c r="AS210" s="16">
        <f>IFERROR(__xludf.DUMMYFUNCTION("""COMPUTED_VALUE"""),4.0)</f>
        <v>4</v>
      </c>
      <c r="AT210" s="16">
        <f>IFERROR(__xludf.DUMMYFUNCTION("""COMPUTED_VALUE"""),5.0)</f>
        <v>5</v>
      </c>
      <c r="AU210" s="16">
        <f>IFERROR(__xludf.DUMMYFUNCTION("""COMPUTED_VALUE"""),8.0)</f>
        <v>8</v>
      </c>
      <c r="AV210" s="16">
        <f>IFERROR(__xludf.DUMMYFUNCTION("""COMPUTED_VALUE"""),5.0)</f>
        <v>5</v>
      </c>
      <c r="AW210" s="16">
        <f>IFERROR(__xludf.DUMMYFUNCTION("""COMPUTED_VALUE"""),8.0)</f>
        <v>8</v>
      </c>
      <c r="AX210" s="16">
        <f>IFERROR(__xludf.DUMMYFUNCTION("""COMPUTED_VALUE"""),3.0)</f>
        <v>3</v>
      </c>
      <c r="AY210" s="16">
        <f>IFERROR(__xludf.DUMMYFUNCTION("""COMPUTED_VALUE"""),3.0)</f>
        <v>3</v>
      </c>
      <c r="AZ210" s="16">
        <f>IFERROR(__xludf.DUMMYFUNCTION("""COMPUTED_VALUE"""),9.0)</f>
        <v>9</v>
      </c>
      <c r="BA210" s="16">
        <f>IFERROR(__xludf.DUMMYFUNCTION("""COMPUTED_VALUE"""),9.0)</f>
        <v>9</v>
      </c>
      <c r="BB210" s="16">
        <f>IFERROR(__xludf.DUMMYFUNCTION("""COMPUTED_VALUE"""),5.0)</f>
        <v>5</v>
      </c>
      <c r="BC210" s="16">
        <f>IFERROR(__xludf.DUMMYFUNCTION("""COMPUTED_VALUE"""),5.0)</f>
        <v>5</v>
      </c>
      <c r="BD210" s="16">
        <f>IFERROR(__xludf.DUMMYFUNCTION("""COMPUTED_VALUE"""),1.0)</f>
        <v>1</v>
      </c>
      <c r="BE210" s="16">
        <f>IFERROR(__xludf.DUMMYFUNCTION("""COMPUTED_VALUE"""),1.0)</f>
        <v>1</v>
      </c>
      <c r="BF210" s="16">
        <f>IFERROR(__xludf.DUMMYFUNCTION("""COMPUTED_VALUE"""),1.0)</f>
        <v>1</v>
      </c>
      <c r="BG210" s="16">
        <f>IFERROR(__xludf.DUMMYFUNCTION("""COMPUTED_VALUE"""),1.0)</f>
        <v>1</v>
      </c>
      <c r="BH210" s="16">
        <f>IFERROR(__xludf.DUMMYFUNCTION("""COMPUTED_VALUE"""),-1.0)</f>
        <v>-1</v>
      </c>
      <c r="BI210" s="16">
        <f>IFERROR(__xludf.DUMMYFUNCTION("""COMPUTED_VALUE"""),-1.0)</f>
        <v>-1</v>
      </c>
      <c r="BJ210" s="16">
        <f>IFERROR(__xludf.DUMMYFUNCTION("""COMPUTED_VALUE"""),0.0)</f>
        <v>0</v>
      </c>
      <c r="BK210" s="16">
        <f>IFERROR(__xludf.DUMMYFUNCTION("""COMPUTED_VALUE"""),0.0)</f>
        <v>0</v>
      </c>
      <c r="BL210" s="16">
        <f>IFERROR(__xludf.DUMMYFUNCTION("""COMPUTED_VALUE"""),3.0)</f>
        <v>3</v>
      </c>
      <c r="BM210" s="16">
        <f>IFERROR(__xludf.DUMMYFUNCTION("""COMPUTED_VALUE"""),3.0)</f>
        <v>3</v>
      </c>
      <c r="BN210" s="16">
        <f>IFERROR(__xludf.DUMMYFUNCTION("""COMPUTED_VALUE"""),3.0)</f>
        <v>3</v>
      </c>
      <c r="BO210" s="16">
        <f>IFERROR(__xludf.DUMMYFUNCTION("""COMPUTED_VALUE"""),3.0)</f>
        <v>3</v>
      </c>
      <c r="BP210" s="16">
        <f>IFERROR(__xludf.DUMMYFUNCTION("""COMPUTED_VALUE"""),2.0)</f>
        <v>2</v>
      </c>
      <c r="BQ210" s="16">
        <f>IFERROR(__xludf.DUMMYFUNCTION("""COMPUTED_VALUE"""),1.0)</f>
        <v>1</v>
      </c>
      <c r="BR210" s="16">
        <f>IFERROR(__xludf.DUMMYFUNCTION("""COMPUTED_VALUE"""),3.0)</f>
        <v>3</v>
      </c>
      <c r="BS210" s="16" t="str">
        <f>IFERROR(__xludf.DUMMYFUNCTION("""COMPUTED_VALUE"""),"*5/- (19-6)")</f>
        <v>*5/- (19-6)</v>
      </c>
      <c r="BT210" s="16" t="str">
        <f>IFERROR(__xludf.DUMMYFUNCTION("""COMPUTED_VALUE"""),"C")</f>
        <v>C</v>
      </c>
      <c r="BU210" s="16">
        <f>IFERROR(__xludf.DUMMYFUNCTION("""COMPUTED_VALUE"""),11.0)</f>
        <v>11</v>
      </c>
      <c r="BV210" s="16">
        <f>IFERROR(__xludf.DUMMYFUNCTION("""COMPUTED_VALUE"""),0.0)</f>
        <v>0</v>
      </c>
      <c r="BW210" s="16">
        <f>IFERROR(__xludf.DUMMYFUNCTION("""COMPUTED_VALUE"""),0.0)</f>
        <v>0</v>
      </c>
      <c r="BX210" s="16">
        <f>IFERROR(__xludf.DUMMYFUNCTION("""COMPUTED_VALUE"""),0.0)</f>
        <v>0</v>
      </c>
      <c r="BY210" s="16">
        <f>IFERROR(__xludf.DUMMYFUNCTION("""COMPUTED_VALUE"""),0.0)</f>
        <v>0</v>
      </c>
      <c r="BZ210" s="16" t="str">
        <f>IFERROR(__xludf.DUMMYFUNCTION("""COMPUTED_VALUE"""),"D")</f>
        <v>D</v>
      </c>
      <c r="CA210" s="16" t="str">
        <f>IFERROR(__xludf.DUMMYFUNCTION("""COMPUTED_VALUE"""),"D")</f>
        <v>D</v>
      </c>
      <c r="CB210" s="16">
        <f>IFERROR(__xludf.DUMMYFUNCTION("""COMPUTED_VALUE"""),0.0)</f>
        <v>0</v>
      </c>
      <c r="CC210" s="16">
        <f>IFERROR(__xludf.DUMMYFUNCTION("""COMPUTED_VALUE"""),0.0)</f>
        <v>0</v>
      </c>
      <c r="CD210" s="16">
        <f>IFERROR(__xludf.DUMMYFUNCTION("""COMPUTED_VALUE"""),0.0)</f>
        <v>0</v>
      </c>
      <c r="CE210" s="16">
        <f>IFERROR(__xludf.DUMMYFUNCTION("""COMPUTED_VALUE"""),0.0)</f>
        <v>0</v>
      </c>
      <c r="CF210" s="16">
        <f>IFERROR(__xludf.DUMMYFUNCTION("""COMPUTED_VALUE"""),1.0)</f>
        <v>1</v>
      </c>
      <c r="CG210" s="16">
        <f>IFERROR(__xludf.DUMMYFUNCTION("""COMPUTED_VALUE"""),0.0)</f>
        <v>0</v>
      </c>
      <c r="CH210" s="16">
        <f>IFERROR(__xludf.DUMMYFUNCTION("""COMPUTED_VALUE"""),-5.0)</f>
        <v>-5</v>
      </c>
      <c r="CI210" s="179">
        <f>IFERROR(__xludf.DUMMYFUNCTION("""COMPUTED_VALUE"""),0.0)</f>
        <v>0</v>
      </c>
      <c r="CJ210" s="16"/>
      <c r="CK210" s="16"/>
      <c r="CL210" s="16">
        <f>IFERROR(__xludf.DUMMYFUNCTION("""COMPUTED_VALUE"""),417.0)</f>
        <v>417</v>
      </c>
      <c r="CM210" s="16">
        <f>IFERROR(__xludf.DUMMYFUNCTION("""COMPUTED_VALUE"""),412.0)</f>
        <v>412</v>
      </c>
      <c r="CN210" s="16"/>
      <c r="CO210" s="16"/>
      <c r="CP210" s="16"/>
      <c r="CQ210" s="16"/>
      <c r="CR210" s="16" t="str">
        <f>IFERROR(__xludf.DUMMYFUNCTION("""COMPUTED_VALUE"""),"2b-4e17 3b-4e12")</f>
        <v>2b-4e17 3b-4e12</v>
      </c>
      <c r="CS210" s="16"/>
      <c r="CT210" s="16"/>
      <c r="CU210" s="16">
        <f>IFERROR(__xludf.DUMMYFUNCTION("""COMPUTED_VALUE"""),4.0)</f>
        <v>4</v>
      </c>
      <c r="CV210" s="16">
        <f>IFERROR(__xludf.DUMMYFUNCTION("""COMPUTED_VALUE"""),4.0)</f>
        <v>4</v>
      </c>
      <c r="CW210" s="16"/>
      <c r="CX210" s="16"/>
      <c r="CY210" s="16"/>
      <c r="CZ210" s="16"/>
      <c r="DA210" s="16"/>
      <c r="DB210" s="16"/>
      <c r="DC210" s="16">
        <f>IFERROR(__xludf.DUMMYFUNCTION("""COMPUTED_VALUE"""),17.0)</f>
        <v>17</v>
      </c>
      <c r="DD210" s="16">
        <f>IFERROR(__xludf.DUMMYFUNCTION("""COMPUTED_VALUE"""),12.0)</f>
        <v>12</v>
      </c>
      <c r="DE210" s="16"/>
      <c r="DF210" s="16"/>
      <c r="DG210" s="16"/>
      <c r="DH210" s="16"/>
      <c r="DI210" s="16"/>
      <c r="DJ210" s="16"/>
      <c r="DK210" s="16">
        <f>IFERROR(__xludf.DUMMYFUNCTION("""COMPUTED_VALUE"""),-2.0)</f>
        <v>-2</v>
      </c>
      <c r="DL210" s="16">
        <f>IFERROR(__xludf.DUMMYFUNCTION("""COMPUTED_VALUE"""),0.0)</f>
        <v>0</v>
      </c>
      <c r="DM210" s="16"/>
      <c r="DN210" s="16"/>
      <c r="DO210" s="16"/>
      <c r="DP210" s="16"/>
      <c r="DQ210" s="16"/>
      <c r="DR210" s="16"/>
      <c r="DS210" s="16">
        <f>IFERROR(__xludf.DUMMYFUNCTION("""COMPUTED_VALUE"""),2.0)</f>
        <v>2</v>
      </c>
      <c r="DT210" s="16">
        <f>IFERROR(__xludf.DUMMYFUNCTION("""COMPUTED_VALUE"""),1.0)</f>
        <v>1</v>
      </c>
      <c r="DU210" s="16"/>
      <c r="DV210" s="16"/>
      <c r="DW210" s="16"/>
      <c r="DX210" s="16"/>
      <c r="DY210" s="16"/>
      <c r="DZ210" s="16"/>
      <c r="EA210" s="16">
        <f>IFERROR(__xludf.DUMMYFUNCTION("""COMPUTED_VALUE"""),0.0)</f>
        <v>0</v>
      </c>
      <c r="EB210" s="16">
        <f>IFERROR(__xludf.DUMMYFUNCTION("""COMPUTED_VALUE"""),1.0)</f>
        <v>1</v>
      </c>
      <c r="EC210" s="16"/>
      <c r="ED210" s="16"/>
      <c r="EE210" s="16"/>
      <c r="EF210" s="16"/>
      <c r="EG210" s="179"/>
      <c r="EH210" s="179"/>
      <c r="EI210" s="179">
        <f>IFERROR(__xludf.DUMMYFUNCTION("""COMPUTED_VALUE"""),0.0)</f>
        <v>0</v>
      </c>
      <c r="EJ210" s="179">
        <f>IFERROR(__xludf.DUMMYFUNCTION("""COMPUTED_VALUE"""),1.0)</f>
        <v>1</v>
      </c>
      <c r="EK210" s="179"/>
      <c r="EL210" s="179"/>
      <c r="EM210" s="179"/>
      <c r="EN210" s="179"/>
      <c r="EO210" s="16"/>
      <c r="EP210" s="16"/>
      <c r="EQ210" s="16">
        <f>IFERROR(__xludf.DUMMYFUNCTION("""COMPUTED_VALUE"""),4.0)</f>
        <v>4</v>
      </c>
      <c r="ER210" s="16">
        <f>IFERROR(__xludf.DUMMYFUNCTION("""COMPUTED_VALUE"""),0.0)</f>
        <v>0</v>
      </c>
      <c r="ES210" s="16"/>
      <c r="ET210" s="16"/>
      <c r="EU210" s="16"/>
      <c r="EV210" s="16"/>
      <c r="EW210" s="16"/>
      <c r="EX210" s="180"/>
      <c r="EY210" s="180"/>
      <c r="EZ210" s="180">
        <f>IFERROR(__xludf.DUMMYFUNCTION("""COMPUTED_VALUE"""),0.3)</f>
        <v>0.3</v>
      </c>
      <c r="FA210" s="180">
        <f>IFERROR(__xludf.DUMMYFUNCTION("""COMPUTED_VALUE"""),0.3)</f>
        <v>0.3</v>
      </c>
      <c r="FB210" s="180"/>
      <c r="FC210" s="180"/>
      <c r="FD210" s="180"/>
      <c r="FE210" s="180"/>
      <c r="FF210" s="180"/>
      <c r="FG210" s="180"/>
      <c r="FH210" s="180">
        <f>IFERROR(__xludf.DUMMYFUNCTION("""COMPUTED_VALUE"""),0.10185185185185185)</f>
        <v>0.1018518519</v>
      </c>
      <c r="FI210" s="180">
        <f>IFERROR(__xludf.DUMMYFUNCTION("""COMPUTED_VALUE"""),0.14351851851851852)</f>
        <v>0.1435185185</v>
      </c>
      <c r="FJ210" s="180"/>
      <c r="FK210" s="180"/>
      <c r="FL210" s="180"/>
      <c r="FM210" s="180"/>
      <c r="FN210" s="16"/>
      <c r="FO210" s="16"/>
      <c r="FP210" s="16">
        <f>IFERROR(__xludf.DUMMYFUNCTION("""COMPUTED_VALUE"""),0.6287037037037037)</f>
        <v>0.6287037037</v>
      </c>
      <c r="FQ210" s="16">
        <f>IFERROR(__xludf.DUMMYFUNCTION("""COMPUTED_VALUE"""),0.599537037037037)</f>
        <v>0.599537037</v>
      </c>
      <c r="FR210" s="16"/>
      <c r="FS210" s="16"/>
      <c r="FT210" s="16"/>
      <c r="FU210" s="16"/>
      <c r="FV210" s="16"/>
      <c r="FW210" s="16"/>
      <c r="FX210" s="16">
        <f>IFERROR(__xludf.DUMMYFUNCTION("""COMPUTED_VALUE"""),-6.0)</f>
        <v>-6</v>
      </c>
      <c r="FY210" s="16">
        <f>IFERROR(__xludf.DUMMYFUNCTION("""COMPUTED_VALUE"""),-6.0)</f>
        <v>-6</v>
      </c>
      <c r="FZ210" s="16"/>
      <c r="GA210" s="16"/>
      <c r="GB210" s="16"/>
      <c r="GC210" s="16"/>
      <c r="GD210" s="16" t="s">
        <v>176</v>
      </c>
    </row>
    <row r="211">
      <c r="A211" s="16">
        <f>IFERROR(__xludf.DUMMYFUNCTION("""COMPUTED_VALUE"""),12990.0)</f>
        <v>12990</v>
      </c>
      <c r="B211" s="16" t="str">
        <f>IFERROR(__xludf.DUMMYFUNCTION("""COMPUTED_VALUE"""),"Jonatan Clase")</f>
        <v>Jonatan Clase</v>
      </c>
      <c r="C211" s="16">
        <f>IFERROR(__xludf.DUMMYFUNCTION("""COMPUTED_VALUE"""),0.0)</f>
        <v>0</v>
      </c>
      <c r="D211" s="16" t="str">
        <f>IFERROR(__xludf.DUMMYFUNCTION("""COMPUTED_VALUE"""),"S")</f>
        <v>S</v>
      </c>
      <c r="E211" s="16"/>
      <c r="F211" s="16"/>
      <c r="G211" s="16">
        <f>IFERROR(__xludf.DUMMYFUNCTION("""COMPUTED_VALUE"""),61.0)</f>
        <v>61</v>
      </c>
      <c r="H211" s="16">
        <f>IFERROR(__xludf.DUMMYFUNCTION("""COMPUTED_VALUE"""),3.0)</f>
        <v>3</v>
      </c>
      <c r="I211" s="16" t="str">
        <f>IFERROR(__xludf.DUMMYFUNCTION("""COMPUTED_VALUE"""),"1p20")</f>
        <v>1p20</v>
      </c>
      <c r="J211" s="16">
        <f>IFERROR(__xludf.DUMMYFUNCTION("""COMPUTED_VALUE"""),39.0)</f>
        <v>39</v>
      </c>
      <c r="K211" s="16">
        <f>IFERROR(__xludf.DUMMYFUNCTION("""COMPUTED_VALUE"""),25.0)</f>
        <v>25</v>
      </c>
      <c r="L211" s="16">
        <f>IFERROR(__xludf.DUMMYFUNCTION("""COMPUTED_VALUE"""),-1.0)</f>
        <v>-1</v>
      </c>
      <c r="M211" s="16">
        <f>IFERROR(__xludf.DUMMYFUNCTION("""COMPUTED_VALUE"""),0.0)</f>
        <v>0</v>
      </c>
      <c r="N211" s="16">
        <f>IFERROR(__xludf.DUMMYFUNCTION("""COMPUTED_VALUE"""),-1.0)</f>
        <v>-1</v>
      </c>
      <c r="O211" s="16">
        <f>IFERROR(__xludf.DUMMYFUNCTION("""COMPUTED_VALUE"""),0.0)</f>
        <v>0</v>
      </c>
      <c r="P211" s="16">
        <f>IFERROR(__xludf.DUMMYFUNCTION("""COMPUTED_VALUE"""),0.0)</f>
        <v>0</v>
      </c>
      <c r="Q211" s="16">
        <f>IFERROR(__xludf.DUMMYFUNCTION("""COMPUTED_VALUE"""),1.0)</f>
        <v>1</v>
      </c>
      <c r="R211" s="16">
        <f>IFERROR(__xludf.DUMMYFUNCTION("""COMPUTED_VALUE"""),-3.0)</f>
        <v>-3</v>
      </c>
      <c r="S211" s="16">
        <f>IFERROR(__xludf.DUMMYFUNCTION("""COMPUTED_VALUE"""),-2.0)</f>
        <v>-2</v>
      </c>
      <c r="T211" s="16">
        <f>IFERROR(__xludf.DUMMYFUNCTION("""COMPUTED_VALUE"""),-3.0)</f>
        <v>-3</v>
      </c>
      <c r="U211" s="16">
        <f>IFERROR(__xludf.DUMMYFUNCTION("""COMPUTED_VALUE"""),-2.0)</f>
        <v>-2</v>
      </c>
      <c r="V211" s="16">
        <f>IFERROR(__xludf.DUMMYFUNCTION("""COMPUTED_VALUE"""),14.1)</f>
        <v>14.1</v>
      </c>
      <c r="W211" s="16">
        <f>IFERROR(__xludf.DUMMYFUNCTION("""COMPUTED_VALUE"""),28.7)</f>
        <v>28.7</v>
      </c>
      <c r="X211" s="16">
        <f>IFERROR(__xludf.DUMMYFUNCTION("""COMPUTED_VALUE"""),-1.0)</f>
        <v>-1</v>
      </c>
      <c r="Y211" s="16">
        <f>IFERROR(__xludf.DUMMYFUNCTION("""COMPUTED_VALUE"""),2.0)</f>
        <v>2</v>
      </c>
      <c r="Z211" s="16">
        <f>IFERROR(__xludf.DUMMYFUNCTION("""COMPUTED_VALUE"""),-2.0)</f>
        <v>-2</v>
      </c>
      <c r="AA211" s="16">
        <f>IFERROR(__xludf.DUMMYFUNCTION("""COMPUTED_VALUE"""),4.0)</f>
        <v>4</v>
      </c>
      <c r="AB211" s="16">
        <f>IFERROR(__xludf.DUMMYFUNCTION("""COMPUTED_VALUE"""),21.0)</f>
        <v>21</v>
      </c>
      <c r="AC211" s="16">
        <f>IFERROR(__xludf.DUMMYFUNCTION("""COMPUTED_VALUE"""),36.7)</f>
        <v>36.7</v>
      </c>
      <c r="AD211" s="16">
        <f>IFERROR(__xludf.DUMMYFUNCTION("""COMPUTED_VALUE"""),-1.0)</f>
        <v>-1</v>
      </c>
      <c r="AE211" s="16">
        <f>IFERROR(__xludf.DUMMYFUNCTION("""COMPUTED_VALUE"""),1.0)</f>
        <v>1</v>
      </c>
      <c r="AF211" s="16">
        <f>IFERROR(__xludf.DUMMYFUNCTION("""COMPUTED_VALUE"""),-5.0)</f>
        <v>-5</v>
      </c>
      <c r="AG211" s="16">
        <f>IFERROR(__xludf.DUMMYFUNCTION("""COMPUTED_VALUE"""),5.0)</f>
        <v>5</v>
      </c>
      <c r="AH211" s="16">
        <f>IFERROR(__xludf.DUMMYFUNCTION("""COMPUTED_VALUE"""),16.5)</f>
        <v>16.5</v>
      </c>
      <c r="AI211" s="16">
        <f>IFERROR(__xludf.DUMMYFUNCTION("""COMPUTED_VALUE"""),34.0)</f>
        <v>34</v>
      </c>
      <c r="AJ211" s="16">
        <f>IFERROR(__xludf.DUMMYFUNCTION("""COMPUTED_VALUE"""),-1.0)</f>
        <v>-1</v>
      </c>
      <c r="AK211" s="16">
        <f>IFERROR(__xludf.DUMMYFUNCTION("""COMPUTED_VALUE"""),0.0)</f>
        <v>0</v>
      </c>
      <c r="AL211" s="16">
        <f>IFERROR(__xludf.DUMMYFUNCTION("""COMPUTED_VALUE"""),-5.0)</f>
        <v>-5</v>
      </c>
      <c r="AM211" s="16">
        <f>IFERROR(__xludf.DUMMYFUNCTION("""COMPUTED_VALUE"""),0.0)</f>
        <v>0</v>
      </c>
      <c r="AN211" s="16">
        <f>IFERROR(__xludf.DUMMYFUNCTION("""COMPUTED_VALUE"""),0.0)</f>
        <v>0</v>
      </c>
      <c r="AO211" s="16">
        <f>IFERROR(__xludf.DUMMYFUNCTION("""COMPUTED_VALUE"""),1.6)</f>
        <v>1.6</v>
      </c>
      <c r="AP211" s="16">
        <f>IFERROR(__xludf.DUMMYFUNCTION("""COMPUTED_VALUE"""),-2.0)</f>
        <v>-2</v>
      </c>
      <c r="AQ211" s="16">
        <f>IFERROR(__xludf.DUMMYFUNCTION("""COMPUTED_VALUE"""),-1.0)</f>
        <v>-1</v>
      </c>
      <c r="AR211" s="16">
        <f>IFERROR(__xludf.DUMMYFUNCTION("""COMPUTED_VALUE"""),-4.0)</f>
        <v>-4</v>
      </c>
      <c r="AS211" s="16">
        <f>IFERROR(__xludf.DUMMYFUNCTION("""COMPUTED_VALUE"""),-2.0)</f>
        <v>-2</v>
      </c>
      <c r="AT211" s="16"/>
      <c r="AU211" s="16">
        <f>IFERROR(__xludf.DUMMYFUNCTION("""COMPUTED_VALUE"""),2.0)</f>
        <v>2</v>
      </c>
      <c r="AV211" s="16">
        <f>IFERROR(__xludf.DUMMYFUNCTION("""COMPUTED_VALUE"""),-3.0)</f>
        <v>-3</v>
      </c>
      <c r="AW211" s="16">
        <f>IFERROR(__xludf.DUMMYFUNCTION("""COMPUTED_VALUE"""),2.0)</f>
        <v>2</v>
      </c>
      <c r="AX211" s="16">
        <f>IFERROR(__xludf.DUMMYFUNCTION("""COMPUTED_VALUE"""),-3.0)</f>
        <v>-3</v>
      </c>
      <c r="AY211" s="16">
        <f>IFERROR(__xludf.DUMMYFUNCTION("""COMPUTED_VALUE"""),0.0)</f>
        <v>0</v>
      </c>
      <c r="AZ211" s="16">
        <f>IFERROR(__xludf.DUMMYFUNCTION("""COMPUTED_VALUE"""),-9.0)</f>
        <v>-9</v>
      </c>
      <c r="BA211" s="16">
        <f>IFERROR(__xludf.DUMMYFUNCTION("""COMPUTED_VALUE"""),0.0)</f>
        <v>0</v>
      </c>
      <c r="BB211" s="16">
        <f>IFERROR(__xludf.DUMMYFUNCTION("""COMPUTED_VALUE"""),5.0)</f>
        <v>5</v>
      </c>
      <c r="BC211" s="16">
        <f>IFERROR(__xludf.DUMMYFUNCTION("""COMPUTED_VALUE"""),5.0)</f>
        <v>5</v>
      </c>
      <c r="BD211" s="16">
        <f>IFERROR(__xludf.DUMMYFUNCTION("""COMPUTED_VALUE"""),1.0)</f>
        <v>1</v>
      </c>
      <c r="BE211" s="16">
        <f>IFERROR(__xludf.DUMMYFUNCTION("""COMPUTED_VALUE"""),1.0)</f>
        <v>1</v>
      </c>
      <c r="BF211" s="16">
        <f>IFERROR(__xludf.DUMMYFUNCTION("""COMPUTED_VALUE"""),1.0)</f>
        <v>1</v>
      </c>
      <c r="BG211" s="16">
        <f>IFERROR(__xludf.DUMMYFUNCTION("""COMPUTED_VALUE"""),1.0)</f>
        <v>1</v>
      </c>
      <c r="BH211" s="16">
        <f>IFERROR(__xludf.DUMMYFUNCTION("""COMPUTED_VALUE"""),-8.0)</f>
        <v>-8</v>
      </c>
      <c r="BI211" s="16">
        <f>IFERROR(__xludf.DUMMYFUNCTION("""COMPUTED_VALUE"""),-8.0)</f>
        <v>-8</v>
      </c>
      <c r="BJ211" s="16">
        <f>IFERROR(__xludf.DUMMYFUNCTION("""COMPUTED_VALUE"""),11.0)</f>
        <v>11</v>
      </c>
      <c r="BK211" s="16">
        <f>IFERROR(__xludf.DUMMYFUNCTION("""COMPUTED_VALUE"""),11.0)</f>
        <v>11</v>
      </c>
      <c r="BL211" s="16">
        <f>IFERROR(__xludf.DUMMYFUNCTION("""COMPUTED_VALUE"""),0.0)</f>
        <v>0</v>
      </c>
      <c r="BM211" s="16">
        <f>IFERROR(__xludf.DUMMYFUNCTION("""COMPUTED_VALUE"""),0.0)</f>
        <v>0</v>
      </c>
      <c r="BN211" s="16">
        <f>IFERROR(__xludf.DUMMYFUNCTION("""COMPUTED_VALUE"""),0.0)</f>
        <v>0</v>
      </c>
      <c r="BO211" s="16">
        <f>IFERROR(__xludf.DUMMYFUNCTION("""COMPUTED_VALUE"""),0.0)</f>
        <v>0</v>
      </c>
      <c r="BP211" s="16">
        <f>IFERROR(__xludf.DUMMYFUNCTION("""COMPUTED_VALUE"""),-11.0)</f>
        <v>-11</v>
      </c>
      <c r="BQ211" s="16">
        <f>IFERROR(__xludf.DUMMYFUNCTION("""COMPUTED_VALUE"""),1.0)</f>
        <v>1</v>
      </c>
      <c r="BR211" s="16">
        <f>IFERROR(__xludf.DUMMYFUNCTION("""COMPUTED_VALUE"""),-10.0)</f>
        <v>-10</v>
      </c>
      <c r="BS211" s="16" t="str">
        <f>IFERROR(__xludf.DUMMYFUNCTION("""COMPUTED_VALUE"""),"*3-6/- (18-13)")</f>
        <v>*3-6/- (18-13)</v>
      </c>
      <c r="BT211" s="16" t="str">
        <f>IFERROR(__xludf.DUMMYFUNCTION("""COMPUTED_VALUE"""),"B")</f>
        <v>B</v>
      </c>
      <c r="BU211" s="16">
        <f>IFERROR(__xludf.DUMMYFUNCTION("""COMPUTED_VALUE"""),17.0)</f>
        <v>17</v>
      </c>
      <c r="BV211" s="16">
        <f>IFERROR(__xludf.DUMMYFUNCTION("""COMPUTED_VALUE"""),1.0)</f>
        <v>1</v>
      </c>
      <c r="BW211" s="16">
        <f>IFERROR(__xludf.DUMMYFUNCTION("""COMPUTED_VALUE"""),3.0)</f>
        <v>3</v>
      </c>
      <c r="BX211" s="16">
        <f>IFERROR(__xludf.DUMMYFUNCTION("""COMPUTED_VALUE"""),2.0)</f>
        <v>2</v>
      </c>
      <c r="BY211" s="16">
        <f>IFERROR(__xludf.DUMMYFUNCTION("""COMPUTED_VALUE"""),9.0)</f>
        <v>9</v>
      </c>
      <c r="BZ211" s="16" t="str">
        <f>IFERROR(__xludf.DUMMYFUNCTION("""COMPUTED_VALUE"""),"D")</f>
        <v>D</v>
      </c>
      <c r="CA211" s="16" t="str">
        <f>IFERROR(__xludf.DUMMYFUNCTION("""COMPUTED_VALUE"""),"D")</f>
        <v>D</v>
      </c>
      <c r="CB211" s="16">
        <f>IFERROR(__xludf.DUMMYFUNCTION("""COMPUTED_VALUE"""),0.0)</f>
        <v>0</v>
      </c>
      <c r="CC211" s="16">
        <f>IFERROR(__xludf.DUMMYFUNCTION("""COMPUTED_VALUE"""),0.0)</f>
        <v>0</v>
      </c>
      <c r="CD211" s="16">
        <f>IFERROR(__xludf.DUMMYFUNCTION("""COMPUTED_VALUE"""),0.0)</f>
        <v>0</v>
      </c>
      <c r="CE211" s="16">
        <f>IFERROR(__xludf.DUMMYFUNCTION("""COMPUTED_VALUE"""),0.0)</f>
        <v>0</v>
      </c>
      <c r="CF211" s="16">
        <f>IFERROR(__xludf.DUMMYFUNCTION("""COMPUTED_VALUE"""),1.0)</f>
        <v>1</v>
      </c>
      <c r="CG211" s="16">
        <f>IFERROR(__xludf.DUMMYFUNCTION("""COMPUTED_VALUE"""),-28.0)</f>
        <v>-28</v>
      </c>
      <c r="CH211" s="16">
        <f>IFERROR(__xludf.DUMMYFUNCTION("""COMPUTED_VALUE"""),6.0)</f>
        <v>6</v>
      </c>
      <c r="CI211" s="179">
        <f>IFERROR(__xludf.DUMMYFUNCTION("""COMPUTED_VALUE"""),0.0)</f>
        <v>0</v>
      </c>
      <c r="CJ211" s="16"/>
      <c r="CK211" s="16"/>
      <c r="CL211" s="16"/>
      <c r="CM211" s="16"/>
      <c r="CN211" s="16"/>
      <c r="CO211" s="16">
        <f>IFERROR(__xludf.DUMMYFUNCTION("""COMPUTED_VALUE"""),404.0)</f>
        <v>404</v>
      </c>
      <c r="CP211" s="16">
        <f>IFERROR(__xludf.DUMMYFUNCTION("""COMPUTED_VALUE"""),404.0)</f>
        <v>404</v>
      </c>
      <c r="CQ211" s="16"/>
      <c r="CR211" s="16" t="str">
        <f>IFERROR(__xludf.DUMMYFUNCTION("""COMPUTED_VALUE"""),"lf-4(+1)e4 cf-4e4")</f>
        <v>lf-4(+1)e4 cf-4e4</v>
      </c>
      <c r="CS211" s="16"/>
      <c r="CT211" s="16"/>
      <c r="CU211" s="16"/>
      <c r="CV211" s="16"/>
      <c r="CW211" s="16"/>
      <c r="CX211" s="16">
        <f>IFERROR(__xludf.DUMMYFUNCTION("""COMPUTED_VALUE"""),4.0)</f>
        <v>4</v>
      </c>
      <c r="CY211" s="16">
        <f>IFERROR(__xludf.DUMMYFUNCTION("""COMPUTED_VALUE"""),4.0)</f>
        <v>4</v>
      </c>
      <c r="CZ211" s="16"/>
      <c r="DA211" s="16"/>
      <c r="DB211" s="16"/>
      <c r="DC211" s="16"/>
      <c r="DD211" s="16"/>
      <c r="DE211" s="16"/>
      <c r="DF211" s="16">
        <f>IFERROR(__xludf.DUMMYFUNCTION("""COMPUTED_VALUE"""),4.0)</f>
        <v>4</v>
      </c>
      <c r="DG211" s="16">
        <f>IFERROR(__xludf.DUMMYFUNCTION("""COMPUTED_VALUE"""),4.0)</f>
        <v>4</v>
      </c>
      <c r="DH211" s="16"/>
      <c r="DI211" s="16"/>
      <c r="DJ211" s="16"/>
      <c r="DK211" s="16"/>
      <c r="DL211" s="16"/>
      <c r="DM211" s="16"/>
      <c r="DN211" s="16">
        <f>IFERROR(__xludf.DUMMYFUNCTION("""COMPUTED_VALUE"""),-1.0)</f>
        <v>-1</v>
      </c>
      <c r="DO211" s="16">
        <f>IFERROR(__xludf.DUMMYFUNCTION("""COMPUTED_VALUE"""),-2.0)</f>
        <v>-2</v>
      </c>
      <c r="DP211" s="16"/>
      <c r="DQ211" s="16"/>
      <c r="DR211" s="16"/>
      <c r="DS211" s="16"/>
      <c r="DT211" s="16"/>
      <c r="DU211" s="16"/>
      <c r="DV211" s="16">
        <f>IFERROR(__xludf.DUMMYFUNCTION("""COMPUTED_VALUE"""),2.0)</f>
        <v>2</v>
      </c>
      <c r="DW211" s="16">
        <f>IFERROR(__xludf.DUMMYFUNCTION("""COMPUTED_VALUE"""),3.0)</f>
        <v>3</v>
      </c>
      <c r="DX211" s="16"/>
      <c r="DY211" s="16"/>
      <c r="DZ211" s="16"/>
      <c r="EA211" s="16"/>
      <c r="EB211" s="16"/>
      <c r="EC211" s="16"/>
      <c r="ED211" s="16">
        <f>IFERROR(__xludf.DUMMYFUNCTION("""COMPUTED_VALUE"""),1.0)</f>
        <v>1</v>
      </c>
      <c r="EE211" s="16">
        <f>IFERROR(__xludf.DUMMYFUNCTION("""COMPUTED_VALUE"""),1.0)</f>
        <v>1</v>
      </c>
      <c r="EF211" s="16"/>
      <c r="EG211" s="179"/>
      <c r="EH211" s="179"/>
      <c r="EI211" s="179"/>
      <c r="EJ211" s="179"/>
      <c r="EK211" s="179"/>
      <c r="EL211" s="179">
        <f>IFERROR(__xludf.DUMMYFUNCTION("""COMPUTED_VALUE"""),1.0)</f>
        <v>1</v>
      </c>
      <c r="EM211" s="179">
        <f>IFERROR(__xludf.DUMMYFUNCTION("""COMPUTED_VALUE"""),1.0)</f>
        <v>1</v>
      </c>
      <c r="EN211" s="179"/>
      <c r="EO211" s="16"/>
      <c r="EP211" s="16">
        <f>IFERROR(__xludf.DUMMYFUNCTION("""COMPUTED_VALUE"""),0.0)</f>
        <v>0</v>
      </c>
      <c r="EQ211" s="16">
        <f>IFERROR(__xludf.DUMMYFUNCTION("""COMPUTED_VALUE"""),4.0)</f>
        <v>4</v>
      </c>
      <c r="ER211" s="16">
        <f>IFERROR(__xludf.DUMMYFUNCTION("""COMPUTED_VALUE"""),-4.0)</f>
        <v>-4</v>
      </c>
      <c r="ES211" s="16"/>
      <c r="ET211" s="16"/>
      <c r="EU211" s="16"/>
      <c r="EV211" s="16"/>
      <c r="EW211" s="16"/>
      <c r="EX211" s="180"/>
      <c r="EY211" s="180"/>
      <c r="EZ211" s="180"/>
      <c r="FA211" s="180"/>
      <c r="FB211" s="180"/>
      <c r="FC211" s="180">
        <f>IFERROR(__xludf.DUMMYFUNCTION("""COMPUTED_VALUE"""),0.55)</f>
        <v>0.55</v>
      </c>
      <c r="FD211" s="180">
        <f>IFERROR(__xludf.DUMMYFUNCTION("""COMPUTED_VALUE"""),0.55)</f>
        <v>0.55</v>
      </c>
      <c r="FE211" s="180"/>
      <c r="FF211" s="180"/>
      <c r="FG211" s="180"/>
      <c r="FH211" s="180"/>
      <c r="FI211" s="180"/>
      <c r="FJ211" s="180"/>
      <c r="FK211" s="180">
        <f>IFERROR(__xludf.DUMMYFUNCTION("""COMPUTED_VALUE"""),0.069)</f>
        <v>0.069</v>
      </c>
      <c r="FL211" s="180">
        <f>IFERROR(__xludf.DUMMYFUNCTION("""COMPUTED_VALUE"""),0.046296296296296294)</f>
        <v>0.0462962963</v>
      </c>
      <c r="FM211" s="180"/>
      <c r="FN211" s="16"/>
      <c r="FO211" s="16"/>
      <c r="FP211" s="16"/>
      <c r="FQ211" s="16"/>
      <c r="FR211" s="16"/>
      <c r="FS211" s="16">
        <f>IFERROR(__xludf.DUMMYFUNCTION("""COMPUTED_VALUE"""),0.41895)</f>
        <v>0.41895</v>
      </c>
      <c r="FT211" s="16">
        <f>IFERROR(__xludf.DUMMYFUNCTION("""COMPUTED_VALUE"""),0.42916666666666664)</f>
        <v>0.4291666667</v>
      </c>
      <c r="FU211" s="16"/>
      <c r="FV211" s="16"/>
      <c r="FW211" s="16"/>
      <c r="FX211" s="16"/>
      <c r="FY211" s="16"/>
      <c r="FZ211" s="16"/>
      <c r="GA211" s="16">
        <f>IFERROR(__xludf.DUMMYFUNCTION("""COMPUTED_VALUE"""),-8.0)</f>
        <v>-8</v>
      </c>
      <c r="GB211" s="16">
        <f>IFERROR(__xludf.DUMMYFUNCTION("""COMPUTED_VALUE"""),-8.0)</f>
        <v>-8</v>
      </c>
      <c r="GC211" s="16"/>
      <c r="GD211" s="16" t="s">
        <v>176</v>
      </c>
    </row>
    <row r="212">
      <c r="A212" s="16">
        <f>IFERROR(__xludf.DUMMYFUNCTION("""COMPUTED_VALUE"""),13079.0)</f>
        <v>13079</v>
      </c>
      <c r="B212" s="16" t="str">
        <f>IFERROR(__xludf.DUMMYFUNCTION("""COMPUTED_VALUE"""),"Kevin Newman")</f>
        <v>Kevin Newman</v>
      </c>
      <c r="C212" s="16">
        <f>IFERROR(__xludf.DUMMYFUNCTION("""COMPUTED_VALUE"""),2.05)</f>
        <v>2.05</v>
      </c>
      <c r="D212" s="16" t="str">
        <f>IFERROR(__xludf.DUMMYFUNCTION("""COMPUTED_VALUE"""),"R")</f>
        <v>R</v>
      </c>
      <c r="E212" s="16"/>
      <c r="F212" s="16"/>
      <c r="G212" s="16">
        <f>IFERROR(__xludf.DUMMYFUNCTION("""COMPUTED_VALUE"""),288.0)</f>
        <v>288</v>
      </c>
      <c r="H212" s="16">
        <f>IFERROR(__xludf.DUMMYFUNCTION("""COMPUTED_VALUE"""),15.0)</f>
        <v>15</v>
      </c>
      <c r="I212" s="16" t="str">
        <f>IFERROR(__xludf.DUMMYFUNCTION("""COMPUTED_VALUE"""),"1p50")</f>
        <v>1p50</v>
      </c>
      <c r="J212" s="16">
        <f>IFERROR(__xludf.DUMMYFUNCTION("""COMPUTED_VALUE"""),1.0)</f>
        <v>1</v>
      </c>
      <c r="K212" s="16">
        <f>IFERROR(__xludf.DUMMYFUNCTION("""COMPUTED_VALUE"""),15.0)</f>
        <v>15</v>
      </c>
      <c r="L212" s="16">
        <f>IFERROR(__xludf.DUMMYFUNCTION("""COMPUTED_VALUE"""),2.0)</f>
        <v>2</v>
      </c>
      <c r="M212" s="16">
        <f>IFERROR(__xludf.DUMMYFUNCTION("""COMPUTED_VALUE"""),1.0)</f>
        <v>1</v>
      </c>
      <c r="N212" s="16">
        <f>IFERROR(__xludf.DUMMYFUNCTION("""COMPUTED_VALUE"""),2.0)</f>
        <v>2</v>
      </c>
      <c r="O212" s="16">
        <f>IFERROR(__xludf.DUMMYFUNCTION("""COMPUTED_VALUE"""),1.0)</f>
        <v>1</v>
      </c>
      <c r="P212" s="16">
        <f>IFERROR(__xludf.DUMMYFUNCTION("""COMPUTED_VALUE"""),0.0)</f>
        <v>0</v>
      </c>
      <c r="Q212" s="16">
        <f>IFERROR(__xludf.DUMMYFUNCTION("""COMPUTED_VALUE"""),6.0)</f>
        <v>6</v>
      </c>
      <c r="R212" s="16">
        <f>IFERROR(__xludf.DUMMYFUNCTION("""COMPUTED_VALUE"""),-3.0)</f>
        <v>-3</v>
      </c>
      <c r="S212" s="16">
        <f>IFERROR(__xludf.DUMMYFUNCTION("""COMPUTED_VALUE"""),-1.0)</f>
        <v>-1</v>
      </c>
      <c r="T212" s="16">
        <f>IFERROR(__xludf.DUMMYFUNCTION("""COMPUTED_VALUE"""),-3.0)</f>
        <v>-3</v>
      </c>
      <c r="U212" s="16">
        <f>IFERROR(__xludf.DUMMYFUNCTION("""COMPUTED_VALUE"""),-1.0)</f>
        <v>-1</v>
      </c>
      <c r="V212" s="16">
        <f>IFERROR(__xludf.DUMMYFUNCTION("""COMPUTED_VALUE"""),31.0)</f>
        <v>31</v>
      </c>
      <c r="W212" s="16">
        <f>IFERROR(__xludf.DUMMYFUNCTION("""COMPUTED_VALUE"""),28.1)</f>
        <v>28.1</v>
      </c>
      <c r="X212" s="16">
        <f>IFERROR(__xludf.DUMMYFUNCTION("""COMPUTED_VALUE"""),2.0)</f>
        <v>2</v>
      </c>
      <c r="Y212" s="16">
        <f>IFERROR(__xludf.DUMMYFUNCTION("""COMPUTED_VALUE"""),2.0)</f>
        <v>2</v>
      </c>
      <c r="Z212" s="16">
        <f>IFERROR(__xludf.DUMMYFUNCTION("""COMPUTED_VALUE"""),4.0)</f>
        <v>4</v>
      </c>
      <c r="AA212" s="16">
        <f>IFERROR(__xludf.DUMMYFUNCTION("""COMPUTED_VALUE"""),4.0)</f>
        <v>4</v>
      </c>
      <c r="AB212" s="16">
        <f>IFERROR(__xludf.DUMMYFUNCTION("""COMPUTED_VALUE"""),31.0)</f>
        <v>31</v>
      </c>
      <c r="AC212" s="16">
        <f>IFERROR(__xludf.DUMMYFUNCTION("""COMPUTED_VALUE"""),34.1)</f>
        <v>34.1</v>
      </c>
      <c r="AD212" s="16">
        <f>IFERROR(__xludf.DUMMYFUNCTION("""COMPUTED_VALUE"""),0.0)</f>
        <v>0</v>
      </c>
      <c r="AE212" s="16">
        <f>IFERROR(__xludf.DUMMYFUNCTION("""COMPUTED_VALUE"""),0.0)</f>
        <v>0</v>
      </c>
      <c r="AF212" s="16">
        <f>IFERROR(__xludf.DUMMYFUNCTION("""COMPUTED_VALUE"""),0.0)</f>
        <v>0</v>
      </c>
      <c r="AG212" s="16">
        <f>IFERROR(__xludf.DUMMYFUNCTION("""COMPUTED_VALUE"""),0.0)</f>
        <v>0</v>
      </c>
      <c r="AH212" s="16">
        <f>IFERROR(__xludf.DUMMYFUNCTION("""COMPUTED_VALUE"""),43.0)</f>
        <v>43</v>
      </c>
      <c r="AI212" s="16">
        <f>IFERROR(__xludf.DUMMYFUNCTION("""COMPUTED_VALUE"""),36.6)</f>
        <v>36.6</v>
      </c>
      <c r="AJ212" s="16">
        <f>IFERROR(__xludf.DUMMYFUNCTION("""COMPUTED_VALUE"""),1.0)</f>
        <v>1</v>
      </c>
      <c r="AK212" s="16">
        <f>IFERROR(__xludf.DUMMYFUNCTION("""COMPUTED_VALUE"""),0.0)</f>
        <v>0</v>
      </c>
      <c r="AL212" s="16">
        <f>IFERROR(__xludf.DUMMYFUNCTION("""COMPUTED_VALUE"""),5.0)</f>
        <v>5</v>
      </c>
      <c r="AM212" s="16">
        <f>IFERROR(__xludf.DUMMYFUNCTION("""COMPUTED_VALUE"""),0.0)</f>
        <v>0</v>
      </c>
      <c r="AN212" s="16">
        <f>IFERROR(__xludf.DUMMYFUNCTION("""COMPUTED_VALUE"""),0.0)</f>
        <v>0</v>
      </c>
      <c r="AO212" s="16">
        <f>IFERROR(__xludf.DUMMYFUNCTION("""COMPUTED_VALUE"""),1.3)</f>
        <v>1.3</v>
      </c>
      <c r="AP212" s="16">
        <f>IFERROR(__xludf.DUMMYFUNCTION("""COMPUTED_VALUE"""),-2.0)</f>
        <v>-2</v>
      </c>
      <c r="AQ212" s="16">
        <f>IFERROR(__xludf.DUMMYFUNCTION("""COMPUTED_VALUE"""),-1.0)</f>
        <v>-1</v>
      </c>
      <c r="AR212" s="16">
        <f>IFERROR(__xludf.DUMMYFUNCTION("""COMPUTED_VALUE"""),-4.0)</f>
        <v>-4</v>
      </c>
      <c r="AS212" s="16">
        <f>IFERROR(__xludf.DUMMYFUNCTION("""COMPUTED_VALUE"""),-2.0)</f>
        <v>-2</v>
      </c>
      <c r="AT212" s="16">
        <f>IFERROR(__xludf.DUMMYFUNCTION("""COMPUTED_VALUE"""),0.0)</f>
        <v>0</v>
      </c>
      <c r="AU212" s="16"/>
      <c r="AV212" s="16">
        <f>IFERROR(__xludf.DUMMYFUNCTION("""COMPUTED_VALUE"""),0.0)</f>
        <v>0</v>
      </c>
      <c r="AW212" s="16">
        <f>IFERROR(__xludf.DUMMYFUNCTION("""COMPUTED_VALUE"""),-3.0)</f>
        <v>-3</v>
      </c>
      <c r="AX212" s="16">
        <f>IFERROR(__xludf.DUMMYFUNCTION("""COMPUTED_VALUE"""),-2.0)</f>
        <v>-2</v>
      </c>
      <c r="AY212" s="16">
        <f>IFERROR(__xludf.DUMMYFUNCTION("""COMPUTED_VALUE"""),-3.0)</f>
        <v>-3</v>
      </c>
      <c r="AZ212" s="16">
        <f>IFERROR(__xludf.DUMMYFUNCTION("""COMPUTED_VALUE"""),-6.0)</f>
        <v>-6</v>
      </c>
      <c r="BA212" s="16">
        <f>IFERROR(__xludf.DUMMYFUNCTION("""COMPUTED_VALUE"""),-9.0)</f>
        <v>-9</v>
      </c>
      <c r="BB212" s="16">
        <f>IFERROR(__xludf.DUMMYFUNCTION("""COMPUTED_VALUE"""),5.0)</f>
        <v>5</v>
      </c>
      <c r="BC212" s="16">
        <f>IFERROR(__xludf.DUMMYFUNCTION("""COMPUTED_VALUE"""),5.0)</f>
        <v>5</v>
      </c>
      <c r="BD212" s="16">
        <f>IFERROR(__xludf.DUMMYFUNCTION("""COMPUTED_VALUE"""),1.0)</f>
        <v>1</v>
      </c>
      <c r="BE212" s="16">
        <f>IFERROR(__xludf.DUMMYFUNCTION("""COMPUTED_VALUE"""),1.0)</f>
        <v>1</v>
      </c>
      <c r="BF212" s="16">
        <f>IFERROR(__xludf.DUMMYFUNCTION("""COMPUTED_VALUE"""),1.0)</f>
        <v>1</v>
      </c>
      <c r="BG212" s="16">
        <f>IFERROR(__xludf.DUMMYFUNCTION("""COMPUTED_VALUE"""),1.0)</f>
        <v>1</v>
      </c>
      <c r="BH212" s="16">
        <f>IFERROR(__xludf.DUMMYFUNCTION("""COMPUTED_VALUE"""),-13.0)</f>
        <v>-13</v>
      </c>
      <c r="BI212" s="16">
        <f>IFERROR(__xludf.DUMMYFUNCTION("""COMPUTED_VALUE"""),-12.0)</f>
        <v>-12</v>
      </c>
      <c r="BJ212" s="16">
        <f>IFERROR(__xludf.DUMMYFUNCTION("""COMPUTED_VALUE"""),20.0)</f>
        <v>20</v>
      </c>
      <c r="BK212" s="16">
        <f>IFERROR(__xludf.DUMMYFUNCTION("""COMPUTED_VALUE"""),19.0)</f>
        <v>19</v>
      </c>
      <c r="BL212" s="16">
        <f>IFERROR(__xludf.DUMMYFUNCTION("""COMPUTED_VALUE"""),-2.0)</f>
        <v>-2</v>
      </c>
      <c r="BM212" s="16">
        <f>IFERROR(__xludf.DUMMYFUNCTION("""COMPUTED_VALUE"""),-1.0)</f>
        <v>-1</v>
      </c>
      <c r="BN212" s="16">
        <f>IFERROR(__xludf.DUMMYFUNCTION("""COMPUTED_VALUE"""),-4.0)</f>
        <v>-4</v>
      </c>
      <c r="BO212" s="16">
        <f>IFERROR(__xludf.DUMMYFUNCTION("""COMPUTED_VALUE"""),-2.0)</f>
        <v>-2</v>
      </c>
      <c r="BP212" s="16">
        <f>IFERROR(__xludf.DUMMYFUNCTION("""COMPUTED_VALUE"""),-3.0)</f>
        <v>-3</v>
      </c>
      <c r="BQ212" s="16">
        <f>IFERROR(__xludf.DUMMYFUNCTION("""COMPUTED_VALUE"""),-2.0)</f>
        <v>-2</v>
      </c>
      <c r="BR212" s="16">
        <f>IFERROR(__xludf.DUMMYFUNCTION("""COMPUTED_VALUE"""),-5.0)</f>
        <v>-5</v>
      </c>
      <c r="BS212" s="16" t="str">
        <f>IFERROR(__xludf.DUMMYFUNCTION("""COMPUTED_VALUE"""),"*6/- (19-11)")</f>
        <v>*6/- (19-11)</v>
      </c>
      <c r="BT212" s="16" t="str">
        <f>IFERROR(__xludf.DUMMYFUNCTION("""COMPUTED_VALUE"""),"B")</f>
        <v>B</v>
      </c>
      <c r="BU212" s="16">
        <f>IFERROR(__xludf.DUMMYFUNCTION("""COMPUTED_VALUE"""),13.0)</f>
        <v>13</v>
      </c>
      <c r="BV212" s="16">
        <f>IFERROR(__xludf.DUMMYFUNCTION("""COMPUTED_VALUE"""),1.0)</f>
        <v>1</v>
      </c>
      <c r="BW212" s="16">
        <f>IFERROR(__xludf.DUMMYFUNCTION("""COMPUTED_VALUE"""),1.0)</f>
        <v>1</v>
      </c>
      <c r="BX212" s="16">
        <f>IFERROR(__xludf.DUMMYFUNCTION("""COMPUTED_VALUE"""),2.0)</f>
        <v>2</v>
      </c>
      <c r="BY212" s="16">
        <f>IFERROR(__xludf.DUMMYFUNCTION("""COMPUTED_VALUE"""),3.0)</f>
        <v>3</v>
      </c>
      <c r="BZ212" s="16" t="str">
        <f>IFERROR(__xludf.DUMMYFUNCTION("""COMPUTED_VALUE"""),"B")</f>
        <v>B</v>
      </c>
      <c r="CA212" s="16" t="str">
        <f>IFERROR(__xludf.DUMMYFUNCTION("""COMPUTED_VALUE"""),"B")</f>
        <v>B</v>
      </c>
      <c r="CB212" s="16">
        <f>IFERROR(__xludf.DUMMYFUNCTION("""COMPUTED_VALUE"""),1.0)</f>
        <v>1</v>
      </c>
      <c r="CC212" s="16">
        <f>IFERROR(__xludf.DUMMYFUNCTION("""COMPUTED_VALUE"""),1.0)</f>
        <v>1</v>
      </c>
      <c r="CD212" s="16">
        <f>IFERROR(__xludf.DUMMYFUNCTION("""COMPUTED_VALUE"""),1.0)</f>
        <v>1</v>
      </c>
      <c r="CE212" s="16">
        <f>IFERROR(__xludf.DUMMYFUNCTION("""COMPUTED_VALUE"""),2.0)</f>
        <v>2</v>
      </c>
      <c r="CF212" s="16">
        <f>IFERROR(__xludf.DUMMYFUNCTION("""COMPUTED_VALUE"""),1.0)</f>
        <v>1</v>
      </c>
      <c r="CG212" s="16">
        <f>IFERROR(__xludf.DUMMYFUNCTION("""COMPUTED_VALUE"""),-5.0)</f>
        <v>-5</v>
      </c>
      <c r="CH212" s="16">
        <f>IFERROR(__xludf.DUMMYFUNCTION("""COMPUTED_VALUE"""),-8.0)</f>
        <v>-8</v>
      </c>
      <c r="CI212" s="179">
        <f>IFERROR(__xludf.DUMMYFUNCTION("""COMPUTED_VALUE"""),-1.0)</f>
        <v>-1</v>
      </c>
      <c r="CJ212" s="16"/>
      <c r="CK212" s="16">
        <f>IFERROR(__xludf.DUMMYFUNCTION("""COMPUTED_VALUE"""),417.0)</f>
        <v>417</v>
      </c>
      <c r="CL212" s="16">
        <f>IFERROR(__xludf.DUMMYFUNCTION("""COMPUTED_VALUE"""),305.0)</f>
        <v>305</v>
      </c>
      <c r="CM212" s="16">
        <f>IFERROR(__xludf.DUMMYFUNCTION("""COMPUTED_VALUE"""),365.0)</f>
        <v>365</v>
      </c>
      <c r="CN212" s="16">
        <f>IFERROR(__xludf.DUMMYFUNCTION("""COMPUTED_VALUE"""),310.0)</f>
        <v>310</v>
      </c>
      <c r="CO212" s="16">
        <f>IFERROR(__xludf.DUMMYFUNCTION("""COMPUTED_VALUE"""),416.0)</f>
        <v>416</v>
      </c>
      <c r="CP212" s="16"/>
      <c r="CQ212" s="16"/>
      <c r="CR212" s="16" t="str">
        <f>IFERROR(__xludf.DUMMYFUNCTION("""COMPUTED_VALUE"""),"ss-3e10 2b-3e5 1b-4e17 3b-3e65 lf-4(+2)e16")</f>
        <v>ss-3e10 2b-3e5 1b-4e17 3b-3e65 lf-4(+2)e16</v>
      </c>
      <c r="CS212" s="16"/>
      <c r="CT212" s="16">
        <f>IFERROR(__xludf.DUMMYFUNCTION("""COMPUTED_VALUE"""),4.0)</f>
        <v>4</v>
      </c>
      <c r="CU212" s="16">
        <f>IFERROR(__xludf.DUMMYFUNCTION("""COMPUTED_VALUE"""),3.0)</f>
        <v>3</v>
      </c>
      <c r="CV212" s="16">
        <f>IFERROR(__xludf.DUMMYFUNCTION("""COMPUTED_VALUE"""),3.0)</f>
        <v>3</v>
      </c>
      <c r="CW212" s="16">
        <f>IFERROR(__xludf.DUMMYFUNCTION("""COMPUTED_VALUE"""),3.0)</f>
        <v>3</v>
      </c>
      <c r="CX212" s="16">
        <f>IFERROR(__xludf.DUMMYFUNCTION("""COMPUTED_VALUE"""),4.0)</f>
        <v>4</v>
      </c>
      <c r="CY212" s="16"/>
      <c r="CZ212" s="16"/>
      <c r="DA212" s="16"/>
      <c r="DB212" s="16">
        <f>IFERROR(__xludf.DUMMYFUNCTION("""COMPUTED_VALUE"""),17.0)</f>
        <v>17</v>
      </c>
      <c r="DC212" s="16">
        <f>IFERROR(__xludf.DUMMYFUNCTION("""COMPUTED_VALUE"""),5.0)</f>
        <v>5</v>
      </c>
      <c r="DD212" s="16">
        <f>IFERROR(__xludf.DUMMYFUNCTION("""COMPUTED_VALUE"""),65.0)</f>
        <v>65</v>
      </c>
      <c r="DE212" s="16">
        <f>IFERROR(__xludf.DUMMYFUNCTION("""COMPUTED_VALUE"""),10.0)</f>
        <v>10</v>
      </c>
      <c r="DF212" s="16">
        <f>IFERROR(__xludf.DUMMYFUNCTION("""COMPUTED_VALUE"""),16.0)</f>
        <v>16</v>
      </c>
      <c r="DG212" s="16"/>
      <c r="DH212" s="16"/>
      <c r="DI212" s="16"/>
      <c r="DJ212" s="16">
        <f>IFERROR(__xludf.DUMMYFUNCTION("""COMPUTED_VALUE"""),0.0)</f>
        <v>0</v>
      </c>
      <c r="DK212" s="16">
        <f>IFERROR(__xludf.DUMMYFUNCTION("""COMPUTED_VALUE"""),0.0)</f>
        <v>0</v>
      </c>
      <c r="DL212" s="16">
        <f>IFERROR(__xludf.DUMMYFUNCTION("""COMPUTED_VALUE"""),1.0)</f>
        <v>1</v>
      </c>
      <c r="DM212" s="16">
        <f>IFERROR(__xludf.DUMMYFUNCTION("""COMPUTED_VALUE"""),0.0)</f>
        <v>0</v>
      </c>
      <c r="DN212" s="16">
        <f>IFERROR(__xludf.DUMMYFUNCTION("""COMPUTED_VALUE"""),-1.0)</f>
        <v>-1</v>
      </c>
      <c r="DO212" s="16"/>
      <c r="DP212" s="16"/>
      <c r="DQ212" s="16"/>
      <c r="DR212" s="16">
        <f>IFERROR(__xludf.DUMMYFUNCTION("""COMPUTED_VALUE"""),0.0)</f>
        <v>0</v>
      </c>
      <c r="DS212" s="16">
        <f>IFERROR(__xludf.DUMMYFUNCTION("""COMPUTED_VALUE"""),3.0)</f>
        <v>3</v>
      </c>
      <c r="DT212" s="16">
        <f>IFERROR(__xludf.DUMMYFUNCTION("""COMPUTED_VALUE"""),-2.0)</f>
        <v>-2</v>
      </c>
      <c r="DU212" s="16">
        <f>IFERROR(__xludf.DUMMYFUNCTION("""COMPUTED_VALUE"""),3.0)</f>
        <v>3</v>
      </c>
      <c r="DV212" s="16">
        <f>IFERROR(__xludf.DUMMYFUNCTION("""COMPUTED_VALUE"""),-2.0)</f>
        <v>-2</v>
      </c>
      <c r="DW212" s="16"/>
      <c r="DX212" s="16"/>
      <c r="DY212" s="16"/>
      <c r="DZ212" s="16">
        <f>IFERROR(__xludf.DUMMYFUNCTION("""COMPUTED_VALUE"""),0.0)</f>
        <v>0</v>
      </c>
      <c r="EA212" s="16">
        <f>IFERROR(__xludf.DUMMYFUNCTION("""COMPUTED_VALUE"""),3.0)</f>
        <v>3</v>
      </c>
      <c r="EB212" s="16">
        <f>IFERROR(__xludf.DUMMYFUNCTION("""COMPUTED_VALUE"""),-1.0)</f>
        <v>-1</v>
      </c>
      <c r="EC212" s="16">
        <f>IFERROR(__xludf.DUMMYFUNCTION("""COMPUTED_VALUE"""),3.0)</f>
        <v>3</v>
      </c>
      <c r="ED212" s="16">
        <f>IFERROR(__xludf.DUMMYFUNCTION("""COMPUTED_VALUE"""),-3.0)</f>
        <v>-3</v>
      </c>
      <c r="EE212" s="16"/>
      <c r="EF212" s="16"/>
      <c r="EG212" s="179"/>
      <c r="EH212" s="179">
        <f>IFERROR(__xludf.DUMMYFUNCTION("""COMPUTED_VALUE"""),-1.0)</f>
        <v>-1</v>
      </c>
      <c r="EI212" s="179">
        <f>IFERROR(__xludf.DUMMYFUNCTION("""COMPUTED_VALUE"""),2.0)</f>
        <v>2</v>
      </c>
      <c r="EJ212" s="179">
        <f>IFERROR(__xludf.DUMMYFUNCTION("""COMPUTED_VALUE"""),-2.0)</f>
        <v>-2</v>
      </c>
      <c r="EK212" s="179">
        <f>IFERROR(__xludf.DUMMYFUNCTION("""COMPUTED_VALUE"""),2.0)</f>
        <v>2</v>
      </c>
      <c r="EL212" s="179">
        <f>IFERROR(__xludf.DUMMYFUNCTION("""COMPUTED_VALUE"""),-4.0)</f>
        <v>-4</v>
      </c>
      <c r="EM212" s="179"/>
      <c r="EN212" s="179"/>
      <c r="EO212" s="16"/>
      <c r="EP212" s="16"/>
      <c r="EQ212" s="16">
        <f>IFERROR(__xludf.DUMMYFUNCTION("""COMPUTED_VALUE"""),4.0)</f>
        <v>4</v>
      </c>
      <c r="ER212" s="16">
        <f>IFERROR(__xludf.DUMMYFUNCTION("""COMPUTED_VALUE"""),0.0)</f>
        <v>0</v>
      </c>
      <c r="ES212" s="16"/>
      <c r="ET212" s="16"/>
      <c r="EU212" s="16"/>
      <c r="EV212" s="16"/>
      <c r="EW212" s="16"/>
      <c r="EX212" s="180"/>
      <c r="EY212" s="180">
        <f>IFERROR(__xludf.DUMMYFUNCTION("""COMPUTED_VALUE"""),0.3)</f>
        <v>0.3</v>
      </c>
      <c r="EZ212" s="180">
        <f>IFERROR(__xludf.DUMMYFUNCTION("""COMPUTED_VALUE"""),0.2)</f>
        <v>0.2</v>
      </c>
      <c r="FA212" s="180">
        <f>IFERROR(__xludf.DUMMYFUNCTION("""COMPUTED_VALUE"""),0.2)</f>
        <v>0.2</v>
      </c>
      <c r="FB212" s="180">
        <f>IFERROR(__xludf.DUMMYFUNCTION("""COMPUTED_VALUE"""),0.2)</f>
        <v>0.2</v>
      </c>
      <c r="FC212" s="180">
        <f>IFERROR(__xludf.DUMMYFUNCTION("""COMPUTED_VALUE"""),0.55)</f>
        <v>0.55</v>
      </c>
      <c r="FD212" s="180"/>
      <c r="FE212" s="180"/>
      <c r="FF212" s="180"/>
      <c r="FG212" s="180">
        <f>IFERROR(__xludf.DUMMYFUNCTION("""COMPUTED_VALUE"""),0.3055555555555556)</f>
        <v>0.3055555556</v>
      </c>
      <c r="FH212" s="180">
        <f>IFERROR(__xludf.DUMMYFUNCTION("""COMPUTED_VALUE"""),0.032407407407407406)</f>
        <v>0.03240740741</v>
      </c>
      <c r="FI212" s="180">
        <f>IFERROR(__xludf.DUMMYFUNCTION("""COMPUTED_VALUE"""),0.7407407407407407)</f>
        <v>0.7407407407</v>
      </c>
      <c r="FJ212" s="180">
        <f>IFERROR(__xludf.DUMMYFUNCTION("""COMPUTED_VALUE"""),0.05092592592592592)</f>
        <v>0.05092592593</v>
      </c>
      <c r="FK212" s="180">
        <f>IFERROR(__xludf.DUMMYFUNCTION("""COMPUTED_VALUE"""),0.287)</f>
        <v>0.287</v>
      </c>
      <c r="FL212" s="180"/>
      <c r="FM212" s="180"/>
      <c r="FN212" s="16"/>
      <c r="FO212" s="16">
        <f>IFERROR(__xludf.DUMMYFUNCTION("""COMPUTED_VALUE"""),0.48611111111111105)</f>
        <v>0.4861111111</v>
      </c>
      <c r="FP212" s="16">
        <f>IFERROR(__xludf.DUMMYFUNCTION("""COMPUTED_VALUE"""),0.7740740740740741)</f>
        <v>0.7740740741</v>
      </c>
      <c r="FQ212" s="16">
        <f>IFERROR(__xludf.DUMMYFUNCTION("""COMPUTED_VALUE"""),0.20740740740740746)</f>
        <v>0.2074074074</v>
      </c>
      <c r="FR212" s="16">
        <f>IFERROR(__xludf.DUMMYFUNCTION("""COMPUTED_VALUE"""),0.7592592592592593)</f>
        <v>0.7592592593</v>
      </c>
      <c r="FS212" s="16">
        <f>IFERROR(__xludf.DUMMYFUNCTION("""COMPUTED_VALUE"""),0.32085)</f>
        <v>0.32085</v>
      </c>
      <c r="FT212" s="16"/>
      <c r="FU212" s="16"/>
      <c r="FV212" s="16"/>
      <c r="FW212" s="16">
        <f>IFERROR(__xludf.DUMMYFUNCTION("""COMPUTED_VALUE"""),-8.0)</f>
        <v>-8</v>
      </c>
      <c r="FX212" s="16">
        <f>IFERROR(__xludf.DUMMYFUNCTION("""COMPUTED_VALUE"""),-1.0)</f>
        <v>-1</v>
      </c>
      <c r="FY212" s="16">
        <f>IFERROR(__xludf.DUMMYFUNCTION("""COMPUTED_VALUE"""),-8.0)</f>
        <v>-8</v>
      </c>
      <c r="FZ212" s="16">
        <f>IFERROR(__xludf.DUMMYFUNCTION("""COMPUTED_VALUE"""),-1.0)</f>
        <v>-1</v>
      </c>
      <c r="GA212" s="16">
        <f>IFERROR(__xludf.DUMMYFUNCTION("""COMPUTED_VALUE"""),-8.0)</f>
        <v>-8</v>
      </c>
      <c r="GB212" s="16"/>
      <c r="GC212" s="16"/>
      <c r="GD212" s="16" t="s">
        <v>232</v>
      </c>
    </row>
    <row r="213">
      <c r="A213" s="16">
        <f>IFERROR(__xludf.DUMMYFUNCTION("""COMPUTED_VALUE"""),12922.0)</f>
        <v>12922</v>
      </c>
      <c r="B213" s="16" t="str">
        <f>IFERROR(__xludf.DUMMYFUNCTION("""COMPUTED_VALUE"""),"James McCann")</f>
        <v>James McCann</v>
      </c>
      <c r="C213" s="16">
        <f>IFERROR(__xludf.DUMMYFUNCTION("""COMPUTED_VALUE"""),1.0)</f>
        <v>1</v>
      </c>
      <c r="D213" s="16" t="str">
        <f>IFERROR(__xludf.DUMMYFUNCTION("""COMPUTED_VALUE"""),"R")</f>
        <v>R</v>
      </c>
      <c r="E213" s="16"/>
      <c r="F213" s="16"/>
      <c r="G213" s="16">
        <f>IFERROR(__xludf.DUMMYFUNCTION("""COMPUTED_VALUE"""),214.0)</f>
        <v>214</v>
      </c>
      <c r="H213" s="16">
        <f>IFERROR(__xludf.DUMMYFUNCTION("""COMPUTED_VALUE"""),13.0)</f>
        <v>13</v>
      </c>
      <c r="I213" s="16" t="str">
        <f>IFERROR(__xludf.DUMMYFUNCTION("""COMPUTED_VALUE"""),"2p30")</f>
        <v>2p30</v>
      </c>
      <c r="J213" s="16">
        <f>IFERROR(__xludf.DUMMYFUNCTION("""COMPUTED_VALUE"""),19.0)</f>
        <v>19</v>
      </c>
      <c r="K213" s="16">
        <f>IFERROR(__xludf.DUMMYFUNCTION("""COMPUTED_VALUE"""),32.0)</f>
        <v>32</v>
      </c>
      <c r="L213" s="16">
        <f>IFERROR(__xludf.DUMMYFUNCTION("""COMPUTED_VALUE"""),1.0)</f>
        <v>1</v>
      </c>
      <c r="M213" s="16">
        <f>IFERROR(__xludf.DUMMYFUNCTION("""COMPUTED_VALUE"""),-1.0)</f>
        <v>-1</v>
      </c>
      <c r="N213" s="16">
        <f>IFERROR(__xludf.DUMMYFUNCTION("""COMPUTED_VALUE"""),1.0)</f>
        <v>1</v>
      </c>
      <c r="O213" s="16">
        <f>IFERROR(__xludf.DUMMYFUNCTION("""COMPUTED_VALUE"""),-1.0)</f>
        <v>-1</v>
      </c>
      <c r="P213" s="16">
        <f>IFERROR(__xludf.DUMMYFUNCTION("""COMPUTED_VALUE"""),0.0)</f>
        <v>0</v>
      </c>
      <c r="Q213" s="16">
        <f>IFERROR(__xludf.DUMMYFUNCTION("""COMPUTED_VALUE"""),9.0)</f>
        <v>9</v>
      </c>
      <c r="R213" s="16">
        <f>IFERROR(__xludf.DUMMYFUNCTION("""COMPUTED_VALUE"""),-3.0)</f>
        <v>-3</v>
      </c>
      <c r="S213" s="16">
        <f>IFERROR(__xludf.DUMMYFUNCTION("""COMPUTED_VALUE"""),0.0)</f>
        <v>0</v>
      </c>
      <c r="T213" s="16">
        <f>IFERROR(__xludf.DUMMYFUNCTION("""COMPUTED_VALUE"""),-3.0)</f>
        <v>-3</v>
      </c>
      <c r="U213" s="16">
        <f>IFERROR(__xludf.DUMMYFUNCTION("""COMPUTED_VALUE"""),0.0)</f>
        <v>0</v>
      </c>
      <c r="V213" s="16">
        <f>IFERROR(__xludf.DUMMYFUNCTION("""COMPUTED_VALUE"""),12.7)</f>
        <v>12.7</v>
      </c>
      <c r="W213" s="16">
        <f>IFERROR(__xludf.DUMMYFUNCTION("""COMPUTED_VALUE"""),19.5)</f>
        <v>19.5</v>
      </c>
      <c r="X213" s="16">
        <f>IFERROR(__xludf.DUMMYFUNCTION("""COMPUTED_VALUE"""),-1.0)</f>
        <v>-1</v>
      </c>
      <c r="Y213" s="16">
        <f>IFERROR(__xludf.DUMMYFUNCTION("""COMPUTED_VALUE"""),0.0)</f>
        <v>0</v>
      </c>
      <c r="Z213" s="16">
        <f>IFERROR(__xludf.DUMMYFUNCTION("""COMPUTED_VALUE"""),-2.0)</f>
        <v>-2</v>
      </c>
      <c r="AA213" s="16">
        <f>IFERROR(__xludf.DUMMYFUNCTION("""COMPUTED_VALUE"""),0.0)</f>
        <v>0</v>
      </c>
      <c r="AB213" s="16">
        <f>IFERROR(__xludf.DUMMYFUNCTION("""COMPUTED_VALUE"""),14.7)</f>
        <v>14.7</v>
      </c>
      <c r="AC213" s="16">
        <f>IFERROR(__xludf.DUMMYFUNCTION("""COMPUTED_VALUE"""),30.5)</f>
        <v>30.5</v>
      </c>
      <c r="AD213" s="16">
        <f>IFERROR(__xludf.DUMMYFUNCTION("""COMPUTED_VALUE"""),-2.0)</f>
        <v>-2</v>
      </c>
      <c r="AE213" s="16">
        <f>IFERROR(__xludf.DUMMYFUNCTION("""COMPUTED_VALUE"""),0.0)</f>
        <v>0</v>
      </c>
      <c r="AF213" s="16">
        <f>IFERROR(__xludf.DUMMYFUNCTION("""COMPUTED_VALUE"""),-10.0)</f>
        <v>-10</v>
      </c>
      <c r="AG213" s="16">
        <f>IFERROR(__xludf.DUMMYFUNCTION("""COMPUTED_VALUE"""),0.0)</f>
        <v>0</v>
      </c>
      <c r="AH213" s="16">
        <f>IFERROR(__xludf.DUMMYFUNCTION("""COMPUTED_VALUE"""),27.5)</f>
        <v>27.5</v>
      </c>
      <c r="AI213" s="16">
        <f>IFERROR(__xludf.DUMMYFUNCTION("""COMPUTED_VALUE"""),28.7)</f>
        <v>28.7</v>
      </c>
      <c r="AJ213" s="16">
        <f>IFERROR(__xludf.DUMMYFUNCTION("""COMPUTED_VALUE"""),0.0)</f>
        <v>0</v>
      </c>
      <c r="AK213" s="16">
        <f>IFERROR(__xludf.DUMMYFUNCTION("""COMPUTED_VALUE"""),0.0)</f>
        <v>0</v>
      </c>
      <c r="AL213" s="16">
        <f>IFERROR(__xludf.DUMMYFUNCTION("""COMPUTED_VALUE"""),0.0)</f>
        <v>0</v>
      </c>
      <c r="AM213" s="16">
        <f>IFERROR(__xludf.DUMMYFUNCTION("""COMPUTED_VALUE"""),0.0)</f>
        <v>0</v>
      </c>
      <c r="AN213" s="16">
        <f>IFERROR(__xludf.DUMMYFUNCTION("""COMPUTED_VALUE"""),4.2)</f>
        <v>4.2</v>
      </c>
      <c r="AO213" s="16">
        <f>IFERROR(__xludf.DUMMYFUNCTION("""COMPUTED_VALUE"""),1.8)</f>
        <v>1.8</v>
      </c>
      <c r="AP213" s="16">
        <f>IFERROR(__xludf.DUMMYFUNCTION("""COMPUTED_VALUE"""),2.0)</f>
        <v>2</v>
      </c>
      <c r="AQ213" s="16">
        <f>IFERROR(__xludf.DUMMYFUNCTION("""COMPUTED_VALUE"""),-1.0)</f>
        <v>-1</v>
      </c>
      <c r="AR213" s="16">
        <f>IFERROR(__xludf.DUMMYFUNCTION("""COMPUTED_VALUE"""),4.0)</f>
        <v>4</v>
      </c>
      <c r="AS213" s="16">
        <f>IFERROR(__xludf.DUMMYFUNCTION("""COMPUTED_VALUE"""),-2.0)</f>
        <v>-2</v>
      </c>
      <c r="AT213" s="16">
        <f>IFERROR(__xludf.DUMMYFUNCTION("""COMPUTED_VALUE"""),8.0)</f>
        <v>8</v>
      </c>
      <c r="AU213" s="16">
        <f>IFERROR(__xludf.DUMMYFUNCTION("""COMPUTED_VALUE"""),3.0)</f>
        <v>3</v>
      </c>
      <c r="AV213" s="16">
        <f>IFERROR(__xludf.DUMMYFUNCTION("""COMPUTED_VALUE"""),8.0)</f>
        <v>8</v>
      </c>
      <c r="AW213" s="16">
        <f>IFERROR(__xludf.DUMMYFUNCTION("""COMPUTED_VALUE"""),3.0)</f>
        <v>3</v>
      </c>
      <c r="AX213" s="16">
        <f>IFERROR(__xludf.DUMMYFUNCTION("""COMPUTED_VALUE"""),3.0)</f>
        <v>3</v>
      </c>
      <c r="AY213" s="16">
        <f>IFERROR(__xludf.DUMMYFUNCTION("""COMPUTED_VALUE"""),0.0)</f>
        <v>0</v>
      </c>
      <c r="AZ213" s="16">
        <f>IFERROR(__xludf.DUMMYFUNCTION("""COMPUTED_VALUE"""),9.0)</f>
        <v>9</v>
      </c>
      <c r="BA213" s="16">
        <f>IFERROR(__xludf.DUMMYFUNCTION("""COMPUTED_VALUE"""),0.0)</f>
        <v>0</v>
      </c>
      <c r="BB213" s="16">
        <f>IFERROR(__xludf.DUMMYFUNCTION("""COMPUTED_VALUE"""),5.0)</f>
        <v>5</v>
      </c>
      <c r="BC213" s="16">
        <f>IFERROR(__xludf.DUMMYFUNCTION("""COMPUTED_VALUE"""),5.0)</f>
        <v>5</v>
      </c>
      <c r="BD213" s="16">
        <f>IFERROR(__xludf.DUMMYFUNCTION("""COMPUTED_VALUE"""),1.0)</f>
        <v>1</v>
      </c>
      <c r="BE213" s="16">
        <f>IFERROR(__xludf.DUMMYFUNCTION("""COMPUTED_VALUE"""),1.0)</f>
        <v>1</v>
      </c>
      <c r="BF213" s="16">
        <f>IFERROR(__xludf.DUMMYFUNCTION("""COMPUTED_VALUE"""),1.0)</f>
        <v>1</v>
      </c>
      <c r="BG213" s="16">
        <f>IFERROR(__xludf.DUMMYFUNCTION("""COMPUTED_VALUE"""),1.0)</f>
        <v>1</v>
      </c>
      <c r="BH213" s="16">
        <f>IFERROR(__xludf.DUMMYFUNCTION("""COMPUTED_VALUE"""),2.0)</f>
        <v>2</v>
      </c>
      <c r="BI213" s="16">
        <f>IFERROR(__xludf.DUMMYFUNCTION("""COMPUTED_VALUE"""),2.0)</f>
        <v>2</v>
      </c>
      <c r="BJ213" s="16">
        <f>IFERROR(__xludf.DUMMYFUNCTION("""COMPUTED_VALUE"""),10.0)</f>
        <v>10</v>
      </c>
      <c r="BK213" s="16">
        <f>IFERROR(__xludf.DUMMYFUNCTION("""COMPUTED_VALUE"""),9.0)</f>
        <v>9</v>
      </c>
      <c r="BL213" s="16">
        <f>IFERROR(__xludf.DUMMYFUNCTION("""COMPUTED_VALUE"""),0.0)</f>
        <v>0</v>
      </c>
      <c r="BM213" s="16">
        <f>IFERROR(__xludf.DUMMYFUNCTION("""COMPUTED_VALUE"""),1.0)</f>
        <v>1</v>
      </c>
      <c r="BN213" s="16">
        <f>IFERROR(__xludf.DUMMYFUNCTION("""COMPUTED_VALUE"""),0.0)</f>
        <v>0</v>
      </c>
      <c r="BO213" s="16">
        <f>IFERROR(__xludf.DUMMYFUNCTION("""COMPUTED_VALUE"""),1.0)</f>
        <v>1</v>
      </c>
      <c r="BP213" s="16">
        <f>IFERROR(__xludf.DUMMYFUNCTION("""COMPUTED_VALUE"""),1.0)</f>
        <v>1</v>
      </c>
      <c r="BQ213" s="16">
        <f>IFERROR(__xludf.DUMMYFUNCTION("""COMPUTED_VALUE"""),0.0)</f>
        <v>0</v>
      </c>
      <c r="BR213" s="16">
        <f>IFERROR(__xludf.DUMMYFUNCTION("""COMPUTED_VALUE"""),1.0)</f>
        <v>1</v>
      </c>
      <c r="BS213" s="16" t="str">
        <f>IFERROR(__xludf.DUMMYFUNCTION("""COMPUTED_VALUE"""),"2/- (20-6)")</f>
        <v>2/- (20-6)</v>
      </c>
      <c r="BT213" s="16" t="str">
        <f>IFERROR(__xludf.DUMMYFUNCTION("""COMPUTED_VALUE"""),"E")</f>
        <v>E</v>
      </c>
      <c r="BU213" s="16">
        <f>IFERROR(__xludf.DUMMYFUNCTION("""COMPUTED_VALUE"""),10.0)</f>
        <v>10</v>
      </c>
      <c r="BV213" s="16">
        <f>IFERROR(__xludf.DUMMYFUNCTION("""COMPUTED_VALUE"""),0.0)</f>
        <v>0</v>
      </c>
      <c r="BW213" s="16">
        <f>IFERROR(__xludf.DUMMYFUNCTION("""COMPUTED_VALUE"""),0.0)</f>
        <v>0</v>
      </c>
      <c r="BX213" s="16">
        <f>IFERROR(__xludf.DUMMYFUNCTION("""COMPUTED_VALUE"""),0.0)</f>
        <v>0</v>
      </c>
      <c r="BY213" s="16">
        <f>IFERROR(__xludf.DUMMYFUNCTION("""COMPUTED_VALUE"""),0.0)</f>
        <v>0</v>
      </c>
      <c r="BZ213" s="16" t="str">
        <f>IFERROR(__xludf.DUMMYFUNCTION("""COMPUTED_VALUE"""),"D")</f>
        <v>D</v>
      </c>
      <c r="CA213" s="16" t="str">
        <f>IFERROR(__xludf.DUMMYFUNCTION("""COMPUTED_VALUE"""),"D")</f>
        <v>D</v>
      </c>
      <c r="CB213" s="16">
        <f>IFERROR(__xludf.DUMMYFUNCTION("""COMPUTED_VALUE"""),0.0)</f>
        <v>0</v>
      </c>
      <c r="CC213" s="16">
        <f>IFERROR(__xludf.DUMMYFUNCTION("""COMPUTED_VALUE"""),0.0)</f>
        <v>0</v>
      </c>
      <c r="CD213" s="16">
        <f>IFERROR(__xludf.DUMMYFUNCTION("""COMPUTED_VALUE"""),0.0)</f>
        <v>0</v>
      </c>
      <c r="CE213" s="16">
        <f>IFERROR(__xludf.DUMMYFUNCTION("""COMPUTED_VALUE"""),0.0)</f>
        <v>0</v>
      </c>
      <c r="CF213" s="16">
        <f>IFERROR(__xludf.DUMMYFUNCTION("""COMPUTED_VALUE"""),2.0)</f>
        <v>2</v>
      </c>
      <c r="CG213" s="16">
        <f>IFERROR(__xludf.DUMMYFUNCTION("""COMPUTED_VALUE"""),0.0)</f>
        <v>0</v>
      </c>
      <c r="CH213" s="16">
        <f>IFERROR(__xludf.DUMMYFUNCTION("""COMPUTED_VALUE"""),-1.0)</f>
        <v>-1</v>
      </c>
      <c r="CI213" s="179">
        <f>IFERROR(__xludf.DUMMYFUNCTION("""COMPUTED_VALUE"""),-1.0)</f>
        <v>-1</v>
      </c>
      <c r="CJ213" s="16">
        <f>IFERROR(__xludf.DUMMYFUNCTION("""COMPUTED_VALUE"""),308.0)</f>
        <v>308</v>
      </c>
      <c r="CK213" s="16"/>
      <c r="CL213" s="16"/>
      <c r="CM213" s="16"/>
      <c r="CN213" s="16"/>
      <c r="CO213" s="16"/>
      <c r="CP213" s="16"/>
      <c r="CQ213" s="16"/>
      <c r="CR213" s="16" t="str">
        <f>IFERROR(__xludf.DUMMYFUNCTION("""COMPUTED_VALUE"""),"c-3(-1)e8,T-13(pb-0)")</f>
        <v>c-3(-1)e8,T-13(pb-0)</v>
      </c>
      <c r="CS213" s="16">
        <f>IFERROR(__xludf.DUMMYFUNCTION("""COMPUTED_VALUE"""),3.0)</f>
        <v>3</v>
      </c>
      <c r="CT213" s="16"/>
      <c r="CU213" s="16"/>
      <c r="CV213" s="16"/>
      <c r="CW213" s="16"/>
      <c r="CX213" s="16"/>
      <c r="CY213" s="16"/>
      <c r="CZ213" s="16"/>
      <c r="DA213" s="16">
        <f>IFERROR(__xludf.DUMMYFUNCTION("""COMPUTED_VALUE"""),8.0)</f>
        <v>8</v>
      </c>
      <c r="DB213" s="16"/>
      <c r="DC213" s="16"/>
      <c r="DD213" s="16"/>
      <c r="DE213" s="16"/>
      <c r="DF213" s="16"/>
      <c r="DG213" s="16"/>
      <c r="DH213" s="16"/>
      <c r="DI213" s="16">
        <f>IFERROR(__xludf.DUMMYFUNCTION("""COMPUTED_VALUE"""),0.0)</f>
        <v>0</v>
      </c>
      <c r="DJ213" s="16"/>
      <c r="DK213" s="16"/>
      <c r="DL213" s="16"/>
      <c r="DM213" s="16"/>
      <c r="DN213" s="16"/>
      <c r="DO213" s="16"/>
      <c r="DP213" s="16"/>
      <c r="DQ213" s="16">
        <f>IFERROR(__xludf.DUMMYFUNCTION("""COMPUTED_VALUE"""),0.0)</f>
        <v>0</v>
      </c>
      <c r="DR213" s="16"/>
      <c r="DS213" s="16"/>
      <c r="DT213" s="16"/>
      <c r="DU213" s="16"/>
      <c r="DV213" s="16"/>
      <c r="DW213" s="16"/>
      <c r="DX213" s="16"/>
      <c r="DY213" s="16">
        <f>IFERROR(__xludf.DUMMYFUNCTION("""COMPUTED_VALUE"""),0.0)</f>
        <v>0</v>
      </c>
      <c r="DZ213" s="16"/>
      <c r="EA213" s="16"/>
      <c r="EB213" s="16"/>
      <c r="EC213" s="16"/>
      <c r="ED213" s="16"/>
      <c r="EE213" s="16"/>
      <c r="EF213" s="16"/>
      <c r="EG213" s="179">
        <f>IFERROR(__xludf.DUMMYFUNCTION("""COMPUTED_VALUE"""),-2.0)</f>
        <v>-2</v>
      </c>
      <c r="EH213" s="179"/>
      <c r="EI213" s="179"/>
      <c r="EJ213" s="179"/>
      <c r="EK213" s="179"/>
      <c r="EL213" s="179"/>
      <c r="EM213" s="179"/>
      <c r="EN213" s="179"/>
      <c r="EO213" s="16">
        <f>IFERROR(__xludf.DUMMYFUNCTION("""COMPUTED_VALUE"""),-1.0)</f>
        <v>-1</v>
      </c>
      <c r="EP213" s="16"/>
      <c r="EQ213" s="16">
        <f>IFERROR(__xludf.DUMMYFUNCTION("""COMPUTED_VALUE"""),2.0)</f>
        <v>2</v>
      </c>
      <c r="ER213" s="16">
        <f>IFERROR(__xludf.DUMMYFUNCTION("""COMPUTED_VALUE"""),-2.0)</f>
        <v>-2</v>
      </c>
      <c r="ES213" s="16" t="str">
        <f>IFERROR(__xludf.DUMMYFUNCTION("""COMPUTED_VALUE"""),"c-3")</f>
        <v>c-3</v>
      </c>
      <c r="ET213" s="16" t="str">
        <f>IFERROR(__xludf.DUMMYFUNCTION("""COMPUTED_VALUE"""),"-1)e8,T-13")</f>
        <v>-1)e8,T-13</v>
      </c>
      <c r="EU213" s="16" t="str">
        <f>IFERROR(__xludf.DUMMYFUNCTION("""COMPUTED_VALUE"""),"pb-0)")</f>
        <v>pb-0)</v>
      </c>
      <c r="EV213" s="16"/>
      <c r="EW213" s="16">
        <f>IFERROR(__xludf.DUMMYFUNCTION("""COMPUTED_VALUE"""),-1.0)</f>
        <v>-1</v>
      </c>
      <c r="EX213" s="180">
        <f>IFERROR(__xludf.DUMMYFUNCTION("""COMPUTED_VALUE"""),0.2)</f>
        <v>0.2</v>
      </c>
      <c r="EY213" s="180"/>
      <c r="EZ213" s="180"/>
      <c r="FA213" s="180"/>
      <c r="FB213" s="180"/>
      <c r="FC213" s="180"/>
      <c r="FD213" s="180"/>
      <c r="FE213" s="180"/>
      <c r="FF213" s="180">
        <f>IFERROR(__xludf.DUMMYFUNCTION("""COMPUTED_VALUE"""),0.097)</f>
        <v>0.097</v>
      </c>
      <c r="FG213" s="180"/>
      <c r="FH213" s="180"/>
      <c r="FI213" s="180"/>
      <c r="FJ213" s="180"/>
      <c r="FK213" s="180"/>
      <c r="FL213" s="180"/>
      <c r="FM213" s="180"/>
      <c r="FN213" s="16">
        <f>IFERROR(__xludf.DUMMYFUNCTION("""COMPUTED_VALUE"""),0.7224)</f>
        <v>0.7224</v>
      </c>
      <c r="FO213" s="16"/>
      <c r="FP213" s="16"/>
      <c r="FQ213" s="16"/>
      <c r="FR213" s="16"/>
      <c r="FS213" s="16"/>
      <c r="FT213" s="16"/>
      <c r="FU213" s="16"/>
      <c r="FV213" s="16">
        <f>IFERROR(__xludf.DUMMYFUNCTION("""COMPUTED_VALUE"""),-3.0)</f>
        <v>-3</v>
      </c>
      <c r="FW213" s="16"/>
      <c r="FX213" s="16"/>
      <c r="FY213" s="16"/>
      <c r="FZ213" s="16"/>
      <c r="GA213" s="16"/>
      <c r="GB213" s="16"/>
      <c r="GC213" s="16"/>
      <c r="GD213" s="16" t="s">
        <v>1452</v>
      </c>
    </row>
    <row r="214">
      <c r="A214" s="16">
        <f>IFERROR(__xludf.DUMMYFUNCTION("""COMPUTED_VALUE"""),13336.0)</f>
        <v>13336</v>
      </c>
      <c r="B214" s="16" t="str">
        <f>IFERROR(__xludf.DUMMYFUNCTION("""COMPUTED_VALUE"""),"Ryan Mountcastle")</f>
        <v>Ryan Mountcastle</v>
      </c>
      <c r="C214" s="16">
        <f>IFERROR(__xludf.DUMMYFUNCTION("""COMPUTED_VALUE"""),1.49)</f>
        <v>1.49</v>
      </c>
      <c r="D214" s="16" t="str">
        <f>IFERROR(__xludf.DUMMYFUNCTION("""COMPUTED_VALUE"""),"R")</f>
        <v>R</v>
      </c>
      <c r="E214" s="16"/>
      <c r="F214" s="16"/>
      <c r="G214" s="16">
        <f>IFERROR(__xludf.DUMMYFUNCTION("""COMPUTED_VALUE"""),473.0)</f>
        <v>473</v>
      </c>
      <c r="H214" s="16">
        <f>IFERROR(__xludf.DUMMYFUNCTION("""COMPUTED_VALUE"""),27.0)</f>
        <v>27</v>
      </c>
      <c r="I214" s="16" t="str">
        <f>IFERROR(__xludf.DUMMYFUNCTION("""COMPUTED_VALUE"""),"2p60")</f>
        <v>2p60</v>
      </c>
      <c r="J214" s="16">
        <f>IFERROR(__xludf.DUMMYFUNCTION("""COMPUTED_VALUE"""),15.0)</f>
        <v>15</v>
      </c>
      <c r="K214" s="16">
        <f>IFERROR(__xludf.DUMMYFUNCTION("""COMPUTED_VALUE"""),28.0)</f>
        <v>28</v>
      </c>
      <c r="L214" s="16">
        <f>IFERROR(__xludf.DUMMYFUNCTION("""COMPUTED_VALUE"""),1.0)</f>
        <v>1</v>
      </c>
      <c r="M214" s="16">
        <f>IFERROR(__xludf.DUMMYFUNCTION("""COMPUTED_VALUE"""),0.0)</f>
        <v>0</v>
      </c>
      <c r="N214" s="16">
        <f>IFERROR(__xludf.DUMMYFUNCTION("""COMPUTED_VALUE"""),1.0)</f>
        <v>1</v>
      </c>
      <c r="O214" s="16">
        <f>IFERROR(__xludf.DUMMYFUNCTION("""COMPUTED_VALUE"""),0.0)</f>
        <v>0</v>
      </c>
      <c r="P214" s="16">
        <f>IFERROR(__xludf.DUMMYFUNCTION("""COMPUTED_VALUE"""),5.0)</f>
        <v>5</v>
      </c>
      <c r="Q214" s="16">
        <f>IFERROR(__xludf.DUMMYFUNCTION("""COMPUTED_VALUE"""),3.0)</f>
        <v>3</v>
      </c>
      <c r="R214" s="16">
        <f>IFERROR(__xludf.DUMMYFUNCTION("""COMPUTED_VALUE"""),-1.0)</f>
        <v>-1</v>
      </c>
      <c r="S214" s="16">
        <f>IFERROR(__xludf.DUMMYFUNCTION("""COMPUTED_VALUE"""),-2.0)</f>
        <v>-2</v>
      </c>
      <c r="T214" s="16">
        <f>IFERROR(__xludf.DUMMYFUNCTION("""COMPUTED_VALUE"""),-1.0)</f>
        <v>-1</v>
      </c>
      <c r="U214" s="16">
        <f>IFERROR(__xludf.DUMMYFUNCTION("""COMPUTED_VALUE"""),-2.0)</f>
        <v>-2</v>
      </c>
      <c r="V214" s="16">
        <f>IFERROR(__xludf.DUMMYFUNCTION("""COMPUTED_VALUE"""),32.2)</f>
        <v>32.2</v>
      </c>
      <c r="W214" s="16">
        <f>IFERROR(__xludf.DUMMYFUNCTION("""COMPUTED_VALUE"""),23.5)</f>
        <v>23.5</v>
      </c>
      <c r="X214" s="16">
        <f>IFERROR(__xludf.DUMMYFUNCTION("""COMPUTED_VALUE"""),2.0)</f>
        <v>2</v>
      </c>
      <c r="Y214" s="16">
        <f>IFERROR(__xludf.DUMMYFUNCTION("""COMPUTED_VALUE"""),1.0)</f>
        <v>1</v>
      </c>
      <c r="Z214" s="16">
        <f>IFERROR(__xludf.DUMMYFUNCTION("""COMPUTED_VALUE"""),4.0)</f>
        <v>4</v>
      </c>
      <c r="AA214" s="16">
        <f>IFERROR(__xludf.DUMMYFUNCTION("""COMPUTED_VALUE"""),2.0)</f>
        <v>2</v>
      </c>
      <c r="AB214" s="16">
        <f>IFERROR(__xludf.DUMMYFUNCTION("""COMPUTED_VALUE"""),37.2)</f>
        <v>37.2</v>
      </c>
      <c r="AC214" s="16">
        <f>IFERROR(__xludf.DUMMYFUNCTION("""COMPUTED_VALUE"""),26.5)</f>
        <v>26.5</v>
      </c>
      <c r="AD214" s="16">
        <f>IFERROR(__xludf.DUMMYFUNCTION("""COMPUTED_VALUE"""),1.0)</f>
        <v>1</v>
      </c>
      <c r="AE214" s="16">
        <f>IFERROR(__xludf.DUMMYFUNCTION("""COMPUTED_VALUE"""),-1.0)</f>
        <v>-1</v>
      </c>
      <c r="AF214" s="16">
        <f>IFERROR(__xludf.DUMMYFUNCTION("""COMPUTED_VALUE"""),5.0)</f>
        <v>5</v>
      </c>
      <c r="AG214" s="16">
        <f>IFERROR(__xludf.DUMMYFUNCTION("""COMPUTED_VALUE"""),-5.0)</f>
        <v>-5</v>
      </c>
      <c r="AH214" s="16">
        <f>IFERROR(__xludf.DUMMYFUNCTION("""COMPUTED_VALUE"""),44.7)</f>
        <v>44.7</v>
      </c>
      <c r="AI214" s="16">
        <f>IFERROR(__xludf.DUMMYFUNCTION("""COMPUTED_VALUE"""),36.8)</f>
        <v>36.8</v>
      </c>
      <c r="AJ214" s="16">
        <f>IFERROR(__xludf.DUMMYFUNCTION("""COMPUTED_VALUE"""),1.0)</f>
        <v>1</v>
      </c>
      <c r="AK214" s="16">
        <f>IFERROR(__xludf.DUMMYFUNCTION("""COMPUTED_VALUE"""),0.0)</f>
        <v>0</v>
      </c>
      <c r="AL214" s="16">
        <f>IFERROR(__xludf.DUMMYFUNCTION("""COMPUTED_VALUE"""),5.0)</f>
        <v>5</v>
      </c>
      <c r="AM214" s="16">
        <f>IFERROR(__xludf.DUMMYFUNCTION("""COMPUTED_VALUE"""),0.0)</f>
        <v>0</v>
      </c>
      <c r="AN214" s="16">
        <f>IFERROR(__xludf.DUMMYFUNCTION("""COMPUTED_VALUE"""),1.5)</f>
        <v>1.5</v>
      </c>
      <c r="AO214" s="16">
        <f>IFERROR(__xludf.DUMMYFUNCTION("""COMPUTED_VALUE"""),1.4)</f>
        <v>1.4</v>
      </c>
      <c r="AP214" s="16">
        <f>IFERROR(__xludf.DUMMYFUNCTION("""COMPUTED_VALUE"""),-1.0)</f>
        <v>-1</v>
      </c>
      <c r="AQ214" s="16">
        <f>IFERROR(__xludf.DUMMYFUNCTION("""COMPUTED_VALUE"""),-1.0)</f>
        <v>-1</v>
      </c>
      <c r="AR214" s="16">
        <f>IFERROR(__xludf.DUMMYFUNCTION("""COMPUTED_VALUE"""),-2.0)</f>
        <v>-2</v>
      </c>
      <c r="AS214" s="16">
        <f>IFERROR(__xludf.DUMMYFUNCTION("""COMPUTED_VALUE"""),-2.0)</f>
        <v>-2</v>
      </c>
      <c r="AT214" s="16">
        <f>IFERROR(__xludf.DUMMYFUNCTION("""COMPUTED_VALUE"""),3.0)</f>
        <v>3</v>
      </c>
      <c r="AU214" s="16">
        <f>IFERROR(__xludf.DUMMYFUNCTION("""COMPUTED_VALUE"""),3.0)</f>
        <v>3</v>
      </c>
      <c r="AV214" s="16">
        <f>IFERROR(__xludf.DUMMYFUNCTION("""COMPUTED_VALUE"""),3.0)</f>
        <v>3</v>
      </c>
      <c r="AW214" s="16">
        <f>IFERROR(__xludf.DUMMYFUNCTION("""COMPUTED_VALUE"""),3.0)</f>
        <v>3</v>
      </c>
      <c r="AX214" s="16">
        <f>IFERROR(__xludf.DUMMYFUNCTION("""COMPUTED_VALUE"""),1.0)</f>
        <v>1</v>
      </c>
      <c r="AY214" s="16">
        <f>IFERROR(__xludf.DUMMYFUNCTION("""COMPUTED_VALUE"""),0.0)</f>
        <v>0</v>
      </c>
      <c r="AZ214" s="16">
        <f>IFERROR(__xludf.DUMMYFUNCTION("""COMPUTED_VALUE"""),3.0)</f>
        <v>3</v>
      </c>
      <c r="BA214" s="16">
        <f>IFERROR(__xludf.DUMMYFUNCTION("""COMPUTED_VALUE"""),0.0)</f>
        <v>0</v>
      </c>
      <c r="BB214" s="16">
        <f>IFERROR(__xludf.DUMMYFUNCTION("""COMPUTED_VALUE"""),5.0)</f>
        <v>5</v>
      </c>
      <c r="BC214" s="16">
        <f>IFERROR(__xludf.DUMMYFUNCTION("""COMPUTED_VALUE"""),5.0)</f>
        <v>5</v>
      </c>
      <c r="BD214" s="16">
        <f>IFERROR(__xludf.DUMMYFUNCTION("""COMPUTED_VALUE"""),1.0)</f>
        <v>1</v>
      </c>
      <c r="BE214" s="16">
        <f>IFERROR(__xludf.DUMMYFUNCTION("""COMPUTED_VALUE"""),1.0)</f>
        <v>1</v>
      </c>
      <c r="BF214" s="16">
        <f>IFERROR(__xludf.DUMMYFUNCTION("""COMPUTED_VALUE"""),1.0)</f>
        <v>1</v>
      </c>
      <c r="BG214" s="16">
        <f>IFERROR(__xludf.DUMMYFUNCTION("""COMPUTED_VALUE"""),1.0)</f>
        <v>1</v>
      </c>
      <c r="BH214" s="16">
        <f>IFERROR(__xludf.DUMMYFUNCTION("""COMPUTED_VALUE"""),4.0)</f>
        <v>4</v>
      </c>
      <c r="BI214" s="16">
        <f>IFERROR(__xludf.DUMMYFUNCTION("""COMPUTED_VALUE"""),4.0)</f>
        <v>4</v>
      </c>
      <c r="BJ214" s="16">
        <f>IFERROR(__xludf.DUMMYFUNCTION("""COMPUTED_VALUE"""),20.0)</f>
        <v>20</v>
      </c>
      <c r="BK214" s="16">
        <f>IFERROR(__xludf.DUMMYFUNCTION("""COMPUTED_VALUE"""),20.0)</f>
        <v>20</v>
      </c>
      <c r="BL214" s="16">
        <f>IFERROR(__xludf.DUMMYFUNCTION("""COMPUTED_VALUE"""),-2.0)</f>
        <v>-2</v>
      </c>
      <c r="BM214" s="16">
        <f>IFERROR(__xludf.DUMMYFUNCTION("""COMPUTED_VALUE"""),-2.0)</f>
        <v>-2</v>
      </c>
      <c r="BN214" s="16">
        <f>IFERROR(__xludf.DUMMYFUNCTION("""COMPUTED_VALUE"""),-4.0)</f>
        <v>-4</v>
      </c>
      <c r="BO214" s="16">
        <f>IFERROR(__xludf.DUMMYFUNCTION("""COMPUTED_VALUE"""),-4.0)</f>
        <v>-4</v>
      </c>
      <c r="BP214" s="16">
        <f>IFERROR(__xludf.DUMMYFUNCTION("""COMPUTED_VALUE"""),3.0)</f>
        <v>3</v>
      </c>
      <c r="BQ214" s="16">
        <f>IFERROR(__xludf.DUMMYFUNCTION("""COMPUTED_VALUE"""),-4.0)</f>
        <v>-4</v>
      </c>
      <c r="BR214" s="16">
        <f>IFERROR(__xludf.DUMMYFUNCTION("""COMPUTED_VALUE"""),-1.0)</f>
        <v>-1</v>
      </c>
      <c r="BS214" s="16" t="str">
        <f>IFERROR(__xludf.DUMMYFUNCTION("""COMPUTED_VALUE"""),"2/- (20-6)")</f>
        <v>2/- (20-6)</v>
      </c>
      <c r="BT214" s="16" t="str">
        <f>IFERROR(__xludf.DUMMYFUNCTION("""COMPUTED_VALUE"""),"D")</f>
        <v>D</v>
      </c>
      <c r="BU214" s="16">
        <f>IFERROR(__xludf.DUMMYFUNCTION("""COMPUTED_VALUE"""),13.0)</f>
        <v>13</v>
      </c>
      <c r="BV214" s="16">
        <f>IFERROR(__xludf.DUMMYFUNCTION("""COMPUTED_VALUE"""),0.0)</f>
        <v>0</v>
      </c>
      <c r="BW214" s="16">
        <f>IFERROR(__xludf.DUMMYFUNCTION("""COMPUTED_VALUE"""),1.0)</f>
        <v>1</v>
      </c>
      <c r="BX214" s="16">
        <f>IFERROR(__xludf.DUMMYFUNCTION("""COMPUTED_VALUE"""),0.0)</f>
        <v>0</v>
      </c>
      <c r="BY214" s="16">
        <f>IFERROR(__xludf.DUMMYFUNCTION("""COMPUTED_VALUE"""),3.0)</f>
        <v>3</v>
      </c>
      <c r="BZ214" s="16" t="str">
        <f>IFERROR(__xludf.DUMMYFUNCTION("""COMPUTED_VALUE"""),"D")</f>
        <v>D</v>
      </c>
      <c r="CA214" s="16" t="str">
        <f>IFERROR(__xludf.DUMMYFUNCTION("""COMPUTED_VALUE"""),"C")</f>
        <v>C</v>
      </c>
      <c r="CB214" s="16">
        <f>IFERROR(__xludf.DUMMYFUNCTION("""COMPUTED_VALUE"""),0.0)</f>
        <v>0</v>
      </c>
      <c r="CC214" s="16">
        <f>IFERROR(__xludf.DUMMYFUNCTION("""COMPUTED_VALUE"""),0.0)</f>
        <v>0</v>
      </c>
      <c r="CD214" s="16">
        <f>IFERROR(__xludf.DUMMYFUNCTION("""COMPUTED_VALUE"""),0.0)</f>
        <v>0</v>
      </c>
      <c r="CE214" s="16">
        <f>IFERROR(__xludf.DUMMYFUNCTION("""COMPUTED_VALUE"""),0.0)</f>
        <v>0</v>
      </c>
      <c r="CF214" s="16">
        <f>IFERROR(__xludf.DUMMYFUNCTION("""COMPUTED_VALUE"""),2.0)</f>
        <v>2</v>
      </c>
      <c r="CG214" s="16">
        <f>IFERROR(__xludf.DUMMYFUNCTION("""COMPUTED_VALUE"""),12.0)</f>
        <v>12</v>
      </c>
      <c r="CH214" s="16">
        <f>IFERROR(__xludf.DUMMYFUNCTION("""COMPUTED_VALUE"""),-10.0)</f>
        <v>-10</v>
      </c>
      <c r="CI214" s="179">
        <f>IFERROR(__xludf.DUMMYFUNCTION("""COMPUTED_VALUE"""),-1.0)</f>
        <v>-1</v>
      </c>
      <c r="CJ214" s="16"/>
      <c r="CK214" s="16">
        <f>IFERROR(__xludf.DUMMYFUNCTION("""COMPUTED_VALUE"""),204.0)</f>
        <v>204</v>
      </c>
      <c r="CL214" s="16"/>
      <c r="CM214" s="16"/>
      <c r="CN214" s="16"/>
      <c r="CO214" s="16"/>
      <c r="CP214" s="16"/>
      <c r="CQ214" s="16"/>
      <c r="CR214" s="16" t="str">
        <f>IFERROR(__xludf.DUMMYFUNCTION("""COMPUTED_VALUE"""),"1b-2e4")</f>
        <v>1b-2e4</v>
      </c>
      <c r="CS214" s="16"/>
      <c r="CT214" s="16">
        <f>IFERROR(__xludf.DUMMYFUNCTION("""COMPUTED_VALUE"""),2.0)</f>
        <v>2</v>
      </c>
      <c r="CU214" s="16"/>
      <c r="CV214" s="16"/>
      <c r="CW214" s="16"/>
      <c r="CX214" s="16"/>
      <c r="CY214" s="16"/>
      <c r="CZ214" s="16"/>
      <c r="DA214" s="16"/>
      <c r="DB214" s="16">
        <f>IFERROR(__xludf.DUMMYFUNCTION("""COMPUTED_VALUE"""),4.0)</f>
        <v>4</v>
      </c>
      <c r="DC214" s="16"/>
      <c r="DD214" s="16"/>
      <c r="DE214" s="16"/>
      <c r="DF214" s="16"/>
      <c r="DG214" s="16"/>
      <c r="DH214" s="16"/>
      <c r="DI214" s="16"/>
      <c r="DJ214" s="16">
        <f>IFERROR(__xludf.DUMMYFUNCTION("""COMPUTED_VALUE"""),3.0)</f>
        <v>3</v>
      </c>
      <c r="DK214" s="16"/>
      <c r="DL214" s="16"/>
      <c r="DM214" s="16"/>
      <c r="DN214" s="16"/>
      <c r="DO214" s="16"/>
      <c r="DP214" s="16"/>
      <c r="DQ214" s="16"/>
      <c r="DR214" s="16">
        <f>IFERROR(__xludf.DUMMYFUNCTION("""COMPUTED_VALUE"""),4.0)</f>
        <v>4</v>
      </c>
      <c r="DS214" s="16"/>
      <c r="DT214" s="16"/>
      <c r="DU214" s="16"/>
      <c r="DV214" s="16"/>
      <c r="DW214" s="16"/>
      <c r="DX214" s="16"/>
      <c r="DY214" s="16"/>
      <c r="DZ214" s="16">
        <f>IFERROR(__xludf.DUMMYFUNCTION("""COMPUTED_VALUE"""),7.0)</f>
        <v>7</v>
      </c>
      <c r="EA214" s="16"/>
      <c r="EB214" s="16"/>
      <c r="EC214" s="16"/>
      <c r="ED214" s="16"/>
      <c r="EE214" s="16"/>
      <c r="EF214" s="16"/>
      <c r="EG214" s="179"/>
      <c r="EH214" s="179">
        <f>IFERROR(__xludf.DUMMYFUNCTION("""COMPUTED_VALUE"""),6.0)</f>
        <v>6</v>
      </c>
      <c r="EI214" s="179"/>
      <c r="EJ214" s="179"/>
      <c r="EK214" s="179"/>
      <c r="EL214" s="179"/>
      <c r="EM214" s="179"/>
      <c r="EN214" s="179"/>
      <c r="EO214" s="16"/>
      <c r="EP214" s="16"/>
      <c r="EQ214" s="16">
        <f>IFERROR(__xludf.DUMMYFUNCTION("""COMPUTED_VALUE"""),2.0)</f>
        <v>2</v>
      </c>
      <c r="ER214" s="16">
        <f>IFERROR(__xludf.DUMMYFUNCTION("""COMPUTED_VALUE"""),1.0)</f>
        <v>1</v>
      </c>
      <c r="ES214" s="16"/>
      <c r="ET214" s="16"/>
      <c r="EU214" s="16"/>
      <c r="EV214" s="16"/>
      <c r="EW214" s="16"/>
      <c r="EX214" s="180"/>
      <c r="EY214" s="180">
        <f>IFERROR(__xludf.DUMMYFUNCTION("""COMPUTED_VALUE"""),0.1)</f>
        <v>0.1</v>
      </c>
      <c r="EZ214" s="180"/>
      <c r="FA214" s="180"/>
      <c r="FB214" s="180"/>
      <c r="FC214" s="180"/>
      <c r="FD214" s="180"/>
      <c r="FE214" s="180"/>
      <c r="FF214" s="180"/>
      <c r="FG214" s="180">
        <f>IFERROR(__xludf.DUMMYFUNCTION("""COMPUTED_VALUE"""),0.07407407407407407)</f>
        <v>0.07407407407</v>
      </c>
      <c r="FH214" s="180"/>
      <c r="FI214" s="180"/>
      <c r="FJ214" s="180"/>
      <c r="FK214" s="180"/>
      <c r="FL214" s="180"/>
      <c r="FM214" s="180"/>
      <c r="FN214" s="16"/>
      <c r="FO214" s="16">
        <f>IFERROR(__xludf.DUMMYFUNCTION("""COMPUTED_VALUE"""),0.8333333333333334)</f>
        <v>0.8333333333</v>
      </c>
      <c r="FP214" s="16"/>
      <c r="FQ214" s="16"/>
      <c r="FR214" s="16"/>
      <c r="FS214" s="16"/>
      <c r="FT214" s="16"/>
      <c r="FU214" s="16"/>
      <c r="FV214" s="16"/>
      <c r="FW214" s="16">
        <f>IFERROR(__xludf.DUMMYFUNCTION("""COMPUTED_VALUE"""),1.0)</f>
        <v>1</v>
      </c>
      <c r="FX214" s="16"/>
      <c r="FY214" s="16"/>
      <c r="FZ214" s="16"/>
      <c r="GA214" s="16"/>
      <c r="GB214" s="16"/>
      <c r="GC214" s="16"/>
      <c r="GD214" s="16" t="s">
        <v>176</v>
      </c>
    </row>
    <row r="215">
      <c r="A215" s="16">
        <f>IFERROR(__xludf.DUMMYFUNCTION("""COMPUTED_VALUE"""),13466.0)</f>
        <v>13466</v>
      </c>
      <c r="B215" s="16" t="str">
        <f>IFERROR(__xludf.DUMMYFUNCTION("""COMPUTED_VALUE"""),"Victor Caratini")</f>
        <v>Victor Caratini</v>
      </c>
      <c r="C215" s="16">
        <f>IFERROR(__xludf.DUMMYFUNCTION("""COMPUTED_VALUE"""),1.38)</f>
        <v>1.38</v>
      </c>
      <c r="D215" s="16" t="str">
        <f>IFERROR(__xludf.DUMMYFUNCTION("""COMPUTED_VALUE"""),"S")</f>
        <v>S</v>
      </c>
      <c r="E215" s="16"/>
      <c r="F215" s="16"/>
      <c r="G215" s="16">
        <f>IFERROR(__xludf.DUMMYFUNCTION("""COMPUTED_VALUE"""),245.0)</f>
        <v>245</v>
      </c>
      <c r="H215" s="16">
        <f>IFERROR(__xludf.DUMMYFUNCTION("""COMPUTED_VALUE"""),23.0)</f>
        <v>23</v>
      </c>
      <c r="I215" s="16" t="str">
        <f>IFERROR(__xludf.DUMMYFUNCTION("""COMPUTED_VALUE"""),"4p40")</f>
        <v>4p40</v>
      </c>
      <c r="J215" s="16">
        <f>IFERROR(__xludf.DUMMYFUNCTION("""COMPUTED_VALUE"""),27.0)</f>
        <v>27</v>
      </c>
      <c r="K215" s="16">
        <f>IFERROR(__xludf.DUMMYFUNCTION("""COMPUTED_VALUE"""),16.0)</f>
        <v>16</v>
      </c>
      <c r="L215" s="16">
        <f>IFERROR(__xludf.DUMMYFUNCTION("""COMPUTED_VALUE"""),0.0)</f>
        <v>0</v>
      </c>
      <c r="M215" s="16">
        <f>IFERROR(__xludf.DUMMYFUNCTION("""COMPUTED_VALUE"""),1.0)</f>
        <v>1</v>
      </c>
      <c r="N215" s="16">
        <f>IFERROR(__xludf.DUMMYFUNCTION("""COMPUTED_VALUE"""),0.0)</f>
        <v>0</v>
      </c>
      <c r="O215" s="16">
        <f>IFERROR(__xludf.DUMMYFUNCTION("""COMPUTED_VALUE"""),1.0)</f>
        <v>1</v>
      </c>
      <c r="P215" s="16">
        <f>IFERROR(__xludf.DUMMYFUNCTION("""COMPUTED_VALUE"""),11.0)</f>
        <v>11</v>
      </c>
      <c r="Q215" s="16">
        <f>IFERROR(__xludf.DUMMYFUNCTION("""COMPUTED_VALUE"""),7.0)</f>
        <v>7</v>
      </c>
      <c r="R215" s="16">
        <f>IFERROR(__xludf.DUMMYFUNCTION("""COMPUTED_VALUE"""),1.0)</f>
        <v>1</v>
      </c>
      <c r="S215" s="16">
        <f>IFERROR(__xludf.DUMMYFUNCTION("""COMPUTED_VALUE"""),-1.0)</f>
        <v>-1</v>
      </c>
      <c r="T215" s="16">
        <f>IFERROR(__xludf.DUMMYFUNCTION("""COMPUTED_VALUE"""),1.0)</f>
        <v>1</v>
      </c>
      <c r="U215" s="16">
        <f>IFERROR(__xludf.DUMMYFUNCTION("""COMPUTED_VALUE"""),-1.0)</f>
        <v>-1</v>
      </c>
      <c r="V215" s="16">
        <f>IFERROR(__xludf.DUMMYFUNCTION("""COMPUTED_VALUE"""),30.3)</f>
        <v>30.3</v>
      </c>
      <c r="W215" s="16">
        <f>IFERROR(__xludf.DUMMYFUNCTION("""COMPUTED_VALUE"""),24.1)</f>
        <v>24.1</v>
      </c>
      <c r="X215" s="16">
        <f>IFERROR(__xludf.DUMMYFUNCTION("""COMPUTED_VALUE"""),2.0)</f>
        <v>2</v>
      </c>
      <c r="Y215" s="16">
        <f>IFERROR(__xludf.DUMMYFUNCTION("""COMPUTED_VALUE"""),1.0)</f>
        <v>1</v>
      </c>
      <c r="Z215" s="16">
        <f>IFERROR(__xludf.DUMMYFUNCTION("""COMPUTED_VALUE"""),4.0)</f>
        <v>4</v>
      </c>
      <c r="AA215" s="16">
        <f>IFERROR(__xludf.DUMMYFUNCTION("""COMPUTED_VALUE"""),2.0)</f>
        <v>2</v>
      </c>
      <c r="AB215" s="16">
        <f>IFERROR(__xludf.DUMMYFUNCTION("""COMPUTED_VALUE"""),44.3)</f>
        <v>44.3</v>
      </c>
      <c r="AC215" s="16">
        <f>IFERROR(__xludf.DUMMYFUNCTION("""COMPUTED_VALUE"""),34.2)</f>
        <v>34.2</v>
      </c>
      <c r="AD215" s="16">
        <f>IFERROR(__xludf.DUMMYFUNCTION("""COMPUTED_VALUE"""),2.0)</f>
        <v>2</v>
      </c>
      <c r="AE215" s="16">
        <f>IFERROR(__xludf.DUMMYFUNCTION("""COMPUTED_VALUE"""),0.0)</f>
        <v>0</v>
      </c>
      <c r="AF215" s="16">
        <f>IFERROR(__xludf.DUMMYFUNCTION("""COMPUTED_VALUE"""),10.0)</f>
        <v>10</v>
      </c>
      <c r="AG215" s="16">
        <f>IFERROR(__xludf.DUMMYFUNCTION("""COMPUTED_VALUE"""),0.0)</f>
        <v>0</v>
      </c>
      <c r="AH215" s="16">
        <f>IFERROR(__xludf.DUMMYFUNCTION("""COMPUTED_VALUE"""),31.5)</f>
        <v>31.5</v>
      </c>
      <c r="AI215" s="16">
        <f>IFERROR(__xludf.DUMMYFUNCTION("""COMPUTED_VALUE"""),32.8)</f>
        <v>32.8</v>
      </c>
      <c r="AJ215" s="16">
        <f>IFERROR(__xludf.DUMMYFUNCTION("""COMPUTED_VALUE"""),0.0)</f>
        <v>0</v>
      </c>
      <c r="AK215" s="16">
        <f>IFERROR(__xludf.DUMMYFUNCTION("""COMPUTED_VALUE"""),0.0)</f>
        <v>0</v>
      </c>
      <c r="AL215" s="16">
        <f>IFERROR(__xludf.DUMMYFUNCTION("""COMPUTED_VALUE"""),0.0)</f>
        <v>0</v>
      </c>
      <c r="AM215" s="16">
        <f>IFERROR(__xludf.DUMMYFUNCTION("""COMPUTED_VALUE"""),0.0)</f>
        <v>0</v>
      </c>
      <c r="AN215" s="16">
        <f>IFERROR(__xludf.DUMMYFUNCTION("""COMPUTED_VALUE"""),0.0)</f>
        <v>0</v>
      </c>
      <c r="AO215" s="16">
        <f>IFERROR(__xludf.DUMMYFUNCTION("""COMPUTED_VALUE"""),2.3)</f>
        <v>2.3</v>
      </c>
      <c r="AP215" s="16">
        <f>IFERROR(__xludf.DUMMYFUNCTION("""COMPUTED_VALUE"""),-2.0)</f>
        <v>-2</v>
      </c>
      <c r="AQ215" s="16">
        <f>IFERROR(__xludf.DUMMYFUNCTION("""COMPUTED_VALUE"""),0.0)</f>
        <v>0</v>
      </c>
      <c r="AR215" s="16">
        <f>IFERROR(__xludf.DUMMYFUNCTION("""COMPUTED_VALUE"""),-4.0)</f>
        <v>-4</v>
      </c>
      <c r="AS215" s="16">
        <f>IFERROR(__xludf.DUMMYFUNCTION("""COMPUTED_VALUE"""),0.0)</f>
        <v>0</v>
      </c>
      <c r="AT215" s="16">
        <f>IFERROR(__xludf.DUMMYFUNCTION("""COMPUTED_VALUE"""),0.0)</f>
        <v>0</v>
      </c>
      <c r="AU215" s="16">
        <f>IFERROR(__xludf.DUMMYFUNCTION("""COMPUTED_VALUE"""),3.0)</f>
        <v>3</v>
      </c>
      <c r="AV215" s="16">
        <f>IFERROR(__xludf.DUMMYFUNCTION("""COMPUTED_VALUE"""),0.0)</f>
        <v>0</v>
      </c>
      <c r="AW215" s="16">
        <f>IFERROR(__xludf.DUMMYFUNCTION("""COMPUTED_VALUE"""),3.0)</f>
        <v>3</v>
      </c>
      <c r="AX215" s="16">
        <f>IFERROR(__xludf.DUMMYFUNCTION("""COMPUTED_VALUE"""),-2.0)</f>
        <v>-2</v>
      </c>
      <c r="AY215" s="16">
        <f>IFERROR(__xludf.DUMMYFUNCTION("""COMPUTED_VALUE"""),0.0)</f>
        <v>0</v>
      </c>
      <c r="AZ215" s="16">
        <f>IFERROR(__xludf.DUMMYFUNCTION("""COMPUTED_VALUE"""),-6.0)</f>
        <v>-6</v>
      </c>
      <c r="BA215" s="16">
        <f>IFERROR(__xludf.DUMMYFUNCTION("""COMPUTED_VALUE"""),0.0)</f>
        <v>0</v>
      </c>
      <c r="BB215" s="16">
        <f>IFERROR(__xludf.DUMMYFUNCTION("""COMPUTED_VALUE"""),5.0)</f>
        <v>5</v>
      </c>
      <c r="BC215" s="16">
        <f>IFERROR(__xludf.DUMMYFUNCTION("""COMPUTED_VALUE"""),5.0)</f>
        <v>5</v>
      </c>
      <c r="BD215" s="16">
        <f>IFERROR(__xludf.DUMMYFUNCTION("""COMPUTED_VALUE"""),1.0)</f>
        <v>1</v>
      </c>
      <c r="BE215" s="16">
        <f>IFERROR(__xludf.DUMMYFUNCTION("""COMPUTED_VALUE"""),1.0)</f>
        <v>1</v>
      </c>
      <c r="BF215" s="16">
        <f>IFERROR(__xludf.DUMMYFUNCTION("""COMPUTED_VALUE"""),1.0)</f>
        <v>1</v>
      </c>
      <c r="BG215" s="16">
        <f>IFERROR(__xludf.DUMMYFUNCTION("""COMPUTED_VALUE"""),1.0)</f>
        <v>1</v>
      </c>
      <c r="BH215" s="16">
        <f>IFERROR(__xludf.DUMMYFUNCTION("""COMPUTED_VALUE"""),-11.0)</f>
        <v>-11</v>
      </c>
      <c r="BI215" s="16">
        <f>IFERROR(__xludf.DUMMYFUNCTION("""COMPUTED_VALUE"""),-12.0)</f>
        <v>-12</v>
      </c>
      <c r="BJ215" s="16">
        <f>IFERROR(__xludf.DUMMYFUNCTION("""COMPUTED_VALUE"""),15.0)</f>
        <v>15</v>
      </c>
      <c r="BK215" s="16">
        <f>IFERROR(__xludf.DUMMYFUNCTION("""COMPUTED_VALUE"""),16.0)</f>
        <v>16</v>
      </c>
      <c r="BL215" s="16">
        <f>IFERROR(__xludf.DUMMYFUNCTION("""COMPUTED_VALUE"""),-1.0)</f>
        <v>-1</v>
      </c>
      <c r="BM215" s="16">
        <f>IFERROR(__xludf.DUMMYFUNCTION("""COMPUTED_VALUE"""),-1.0)</f>
        <v>-1</v>
      </c>
      <c r="BN215" s="16">
        <f>IFERROR(__xludf.DUMMYFUNCTION("""COMPUTED_VALUE"""),-2.0)</f>
        <v>-2</v>
      </c>
      <c r="BO215" s="16">
        <f>IFERROR(__xludf.DUMMYFUNCTION("""COMPUTED_VALUE"""),-2.0)</f>
        <v>-2</v>
      </c>
      <c r="BP215" s="16">
        <f>IFERROR(__xludf.DUMMYFUNCTION("""COMPUTED_VALUE"""),1.0)</f>
        <v>1</v>
      </c>
      <c r="BQ215" s="16">
        <f>IFERROR(__xludf.DUMMYFUNCTION("""COMPUTED_VALUE"""),1.0)</f>
        <v>1</v>
      </c>
      <c r="BR215" s="16">
        <f>IFERROR(__xludf.DUMMYFUNCTION("""COMPUTED_VALUE"""),2.0)</f>
        <v>2</v>
      </c>
      <c r="BS215" s="16" t="str">
        <f>IFERROR(__xludf.DUMMYFUNCTION("""COMPUTED_VALUE"""),"5,6/- (3-1)")</f>
        <v>5,6/- (3-1)</v>
      </c>
      <c r="BT215" s="16" t="str">
        <f>IFERROR(__xludf.DUMMYFUNCTION("""COMPUTED_VALUE"""),"E")</f>
        <v>E</v>
      </c>
      <c r="BU215" s="16">
        <f>IFERROR(__xludf.DUMMYFUNCTION("""COMPUTED_VALUE"""),8.0)</f>
        <v>8</v>
      </c>
      <c r="BV215" s="16">
        <f>IFERROR(__xludf.DUMMYFUNCTION("""COMPUTED_VALUE"""),0.0)</f>
        <v>0</v>
      </c>
      <c r="BW215" s="16">
        <f>IFERROR(__xludf.DUMMYFUNCTION("""COMPUTED_VALUE"""),-1.0)</f>
        <v>-1</v>
      </c>
      <c r="BX215" s="16">
        <f>IFERROR(__xludf.DUMMYFUNCTION("""COMPUTED_VALUE"""),0.0)</f>
        <v>0</v>
      </c>
      <c r="BY215" s="16">
        <f>IFERROR(__xludf.DUMMYFUNCTION("""COMPUTED_VALUE"""),-3.0)</f>
        <v>-3</v>
      </c>
      <c r="BZ215" s="16" t="str">
        <f>IFERROR(__xludf.DUMMYFUNCTION("""COMPUTED_VALUE"""),"D")</f>
        <v>D</v>
      </c>
      <c r="CA215" s="16" t="str">
        <f>IFERROR(__xludf.DUMMYFUNCTION("""COMPUTED_VALUE"""),"C")</f>
        <v>C</v>
      </c>
      <c r="CB215" s="16">
        <f>IFERROR(__xludf.DUMMYFUNCTION("""COMPUTED_VALUE"""),0.0)</f>
        <v>0</v>
      </c>
      <c r="CC215" s="16">
        <f>IFERROR(__xludf.DUMMYFUNCTION("""COMPUTED_VALUE"""),0.0)</f>
        <v>0</v>
      </c>
      <c r="CD215" s="16">
        <f>IFERROR(__xludf.DUMMYFUNCTION("""COMPUTED_VALUE"""),0.0)</f>
        <v>0</v>
      </c>
      <c r="CE215" s="16">
        <f>IFERROR(__xludf.DUMMYFUNCTION("""COMPUTED_VALUE"""),0.0)</f>
        <v>0</v>
      </c>
      <c r="CF215" s="16">
        <f>IFERROR(__xludf.DUMMYFUNCTION("""COMPUTED_VALUE"""),4.0)</f>
        <v>4</v>
      </c>
      <c r="CG215" s="16">
        <f>IFERROR(__xludf.DUMMYFUNCTION("""COMPUTED_VALUE"""),4.0)</f>
        <v>4</v>
      </c>
      <c r="CH215" s="16">
        <f>IFERROR(__xludf.DUMMYFUNCTION("""COMPUTED_VALUE"""),1.0)</f>
        <v>1</v>
      </c>
      <c r="CI215" s="179">
        <f>IFERROR(__xludf.DUMMYFUNCTION("""COMPUTED_VALUE"""),-1.0)</f>
        <v>-1</v>
      </c>
      <c r="CJ215" s="16">
        <f>IFERROR(__xludf.DUMMYFUNCTION("""COMPUTED_VALUE"""),301.0)</f>
        <v>301</v>
      </c>
      <c r="CK215" s="16">
        <f>IFERROR(__xludf.DUMMYFUNCTION("""COMPUTED_VALUE"""),410.0)</f>
        <v>410</v>
      </c>
      <c r="CL215" s="16"/>
      <c r="CM215" s="16"/>
      <c r="CN215" s="16"/>
      <c r="CO215" s="16"/>
      <c r="CP215" s="16"/>
      <c r="CQ215" s="16"/>
      <c r="CR215" s="16" t="str">
        <f>IFERROR(__xludf.DUMMYFUNCTION("""COMPUTED_VALUE"""),"c-3(+3)e1,T-6(pb-0) 1b-4e10")</f>
        <v>c-3(+3)e1,T-6(pb-0) 1b-4e10</v>
      </c>
      <c r="CS215" s="16">
        <f>IFERROR(__xludf.DUMMYFUNCTION("""COMPUTED_VALUE"""),3.0)</f>
        <v>3</v>
      </c>
      <c r="CT215" s="16">
        <f>IFERROR(__xludf.DUMMYFUNCTION("""COMPUTED_VALUE"""),4.0)</f>
        <v>4</v>
      </c>
      <c r="CU215" s="16"/>
      <c r="CV215" s="16"/>
      <c r="CW215" s="16"/>
      <c r="CX215" s="16"/>
      <c r="CY215" s="16"/>
      <c r="CZ215" s="16"/>
      <c r="DA215" s="16">
        <f>IFERROR(__xludf.DUMMYFUNCTION("""COMPUTED_VALUE"""),1.0)</f>
        <v>1</v>
      </c>
      <c r="DB215" s="16">
        <f>IFERROR(__xludf.DUMMYFUNCTION("""COMPUTED_VALUE"""),10.0)</f>
        <v>10</v>
      </c>
      <c r="DC215" s="16"/>
      <c r="DD215" s="16"/>
      <c r="DE215" s="16"/>
      <c r="DF215" s="16"/>
      <c r="DG215" s="16"/>
      <c r="DH215" s="16"/>
      <c r="DI215" s="16">
        <f>IFERROR(__xludf.DUMMYFUNCTION("""COMPUTED_VALUE"""),0.0)</f>
        <v>0</v>
      </c>
      <c r="DJ215" s="16">
        <f>IFERROR(__xludf.DUMMYFUNCTION("""COMPUTED_VALUE"""),0.0)</f>
        <v>0</v>
      </c>
      <c r="DK215" s="16"/>
      <c r="DL215" s="16"/>
      <c r="DM215" s="16"/>
      <c r="DN215" s="16"/>
      <c r="DO215" s="16"/>
      <c r="DP215" s="16"/>
      <c r="DQ215" s="16">
        <f>IFERROR(__xludf.DUMMYFUNCTION("""COMPUTED_VALUE"""),4.0)</f>
        <v>4</v>
      </c>
      <c r="DR215" s="16">
        <f>IFERROR(__xludf.DUMMYFUNCTION("""COMPUTED_VALUE"""),2.0)</f>
        <v>2</v>
      </c>
      <c r="DS215" s="16"/>
      <c r="DT215" s="16"/>
      <c r="DU215" s="16"/>
      <c r="DV215" s="16"/>
      <c r="DW215" s="16"/>
      <c r="DX215" s="16"/>
      <c r="DY215" s="16">
        <f>IFERROR(__xludf.DUMMYFUNCTION("""COMPUTED_VALUE"""),4.0)</f>
        <v>4</v>
      </c>
      <c r="DZ215" s="16">
        <f>IFERROR(__xludf.DUMMYFUNCTION("""COMPUTED_VALUE"""),2.0)</f>
        <v>2</v>
      </c>
      <c r="EA215" s="16"/>
      <c r="EB215" s="16"/>
      <c r="EC215" s="16"/>
      <c r="ED215" s="16"/>
      <c r="EE215" s="16"/>
      <c r="EF215" s="16"/>
      <c r="EG215" s="179">
        <f>IFERROR(__xludf.DUMMYFUNCTION("""COMPUTED_VALUE"""),6.0)</f>
        <v>6</v>
      </c>
      <c r="EH215" s="179">
        <f>IFERROR(__xludf.DUMMYFUNCTION("""COMPUTED_VALUE"""),1.0)</f>
        <v>1</v>
      </c>
      <c r="EI215" s="179"/>
      <c r="EJ215" s="179"/>
      <c r="EK215" s="179"/>
      <c r="EL215" s="179"/>
      <c r="EM215" s="179"/>
      <c r="EN215" s="179"/>
      <c r="EO215" s="16">
        <f>IFERROR(__xludf.DUMMYFUNCTION("""COMPUTED_VALUE"""),3.0)</f>
        <v>3</v>
      </c>
      <c r="EP215" s="16"/>
      <c r="EQ215" s="16">
        <f>IFERROR(__xludf.DUMMYFUNCTION("""COMPUTED_VALUE"""),-1.0)</f>
        <v>-1</v>
      </c>
      <c r="ER215" s="16">
        <f>IFERROR(__xludf.DUMMYFUNCTION("""COMPUTED_VALUE"""),-1.0)</f>
        <v>-1</v>
      </c>
      <c r="ES215" s="16" t="str">
        <f>IFERROR(__xludf.DUMMYFUNCTION("""COMPUTED_VALUE"""),"c-3")</f>
        <v>c-3</v>
      </c>
      <c r="ET215" s="16" t="str">
        <f>IFERROR(__xludf.DUMMYFUNCTION("""COMPUTED_VALUE"""),"+3)e1,T-6")</f>
        <v>+3)e1,T-6</v>
      </c>
      <c r="EU215" s="16" t="str">
        <f>IFERROR(__xludf.DUMMYFUNCTION("""COMPUTED_VALUE"""),"pb-0) 1b-4e10")</f>
        <v>pb-0) 1b-4e10</v>
      </c>
      <c r="EV215" s="16"/>
      <c r="EW215" s="16">
        <f>IFERROR(__xludf.DUMMYFUNCTION("""COMPUTED_VALUE"""),3.0)</f>
        <v>3</v>
      </c>
      <c r="EX215" s="180">
        <f>IFERROR(__xludf.DUMMYFUNCTION("""COMPUTED_VALUE"""),0.2)</f>
        <v>0.2</v>
      </c>
      <c r="EY215" s="180">
        <f>IFERROR(__xludf.DUMMYFUNCTION("""COMPUTED_VALUE"""),0.3)</f>
        <v>0.3</v>
      </c>
      <c r="EZ215" s="180"/>
      <c r="FA215" s="180"/>
      <c r="FB215" s="180"/>
      <c r="FC215" s="180"/>
      <c r="FD215" s="180"/>
      <c r="FE215" s="180"/>
      <c r="FF215" s="180">
        <f>IFERROR(__xludf.DUMMYFUNCTION("""COMPUTED_VALUE"""),0.014)</f>
        <v>0.014</v>
      </c>
      <c r="FG215" s="180">
        <f>IFERROR(__xludf.DUMMYFUNCTION("""COMPUTED_VALUE"""),0.18055555555555555)</f>
        <v>0.1805555556</v>
      </c>
      <c r="FH215" s="180"/>
      <c r="FI215" s="180"/>
      <c r="FJ215" s="180"/>
      <c r="FK215" s="180"/>
      <c r="FL215" s="180"/>
      <c r="FM215" s="180"/>
      <c r="FN215" s="16">
        <f>IFERROR(__xludf.DUMMYFUNCTION("""COMPUTED_VALUE"""),0.7888000000000001)</f>
        <v>0.7888</v>
      </c>
      <c r="FO215" s="16">
        <f>IFERROR(__xludf.DUMMYFUNCTION("""COMPUTED_VALUE"""),0.5736111111111111)</f>
        <v>0.5736111111</v>
      </c>
      <c r="FP215" s="16"/>
      <c r="FQ215" s="16"/>
      <c r="FR215" s="16"/>
      <c r="FS215" s="16"/>
      <c r="FT215" s="16"/>
      <c r="FU215" s="16"/>
      <c r="FV215" s="16">
        <f>IFERROR(__xludf.DUMMYFUNCTION("""COMPUTED_VALUE"""),-4.0)</f>
        <v>-4</v>
      </c>
      <c r="FW215" s="16">
        <f>IFERROR(__xludf.DUMMYFUNCTION("""COMPUTED_VALUE"""),-6.0)</f>
        <v>-6</v>
      </c>
      <c r="FX215" s="16"/>
      <c r="FY215" s="16"/>
      <c r="FZ215" s="16"/>
      <c r="GA215" s="16"/>
      <c r="GB215" s="16"/>
      <c r="GC215" s="16"/>
      <c r="GD215" s="16" t="s">
        <v>686</v>
      </c>
    </row>
    <row r="216">
      <c r="A216" s="16">
        <f>IFERROR(__xludf.DUMMYFUNCTION("""COMPUTED_VALUE"""),13147.0)</f>
        <v>13147</v>
      </c>
      <c r="B216" s="16" t="str">
        <f>IFERROR(__xludf.DUMMYFUNCTION("""COMPUTED_VALUE"""),"Maikel Garcia")</f>
        <v>Maikel Garcia</v>
      </c>
      <c r="C216" s="16">
        <f>IFERROR(__xludf.DUMMYFUNCTION("""COMPUTED_VALUE"""),0.56)</f>
        <v>0.56</v>
      </c>
      <c r="D216" s="16" t="str">
        <f>IFERROR(__xludf.DUMMYFUNCTION("""COMPUTED_VALUE"""),"R")</f>
        <v>R</v>
      </c>
      <c r="E216" s="16"/>
      <c r="F216" s="16"/>
      <c r="G216" s="16">
        <f>IFERROR(__xludf.DUMMYFUNCTION("""COMPUTED_VALUE"""),575.0)</f>
        <v>575</v>
      </c>
      <c r="H216" s="16">
        <f>IFERROR(__xludf.DUMMYFUNCTION("""COMPUTED_VALUE"""),42.0)</f>
        <v>42</v>
      </c>
      <c r="I216" s="16" t="str">
        <f>IFERROR(__xludf.DUMMYFUNCTION("""COMPUTED_VALUE"""),"1p70")</f>
        <v>1p70</v>
      </c>
      <c r="J216" s="16">
        <f>IFERROR(__xludf.DUMMYFUNCTION("""COMPUTED_VALUE"""),0.0)</f>
        <v>0</v>
      </c>
      <c r="K216" s="16">
        <f>IFERROR(__xludf.DUMMYFUNCTION("""COMPUTED_VALUE"""),14.0)</f>
        <v>14</v>
      </c>
      <c r="L216" s="16">
        <f>IFERROR(__xludf.DUMMYFUNCTION("""COMPUTED_VALUE"""),3.0)</f>
        <v>3</v>
      </c>
      <c r="M216" s="16">
        <f>IFERROR(__xludf.DUMMYFUNCTION("""COMPUTED_VALUE"""),1.0)</f>
        <v>1</v>
      </c>
      <c r="N216" s="16">
        <f>IFERROR(__xludf.DUMMYFUNCTION("""COMPUTED_VALUE"""),3.0)</f>
        <v>3</v>
      </c>
      <c r="O216" s="16">
        <f>IFERROR(__xludf.DUMMYFUNCTION("""COMPUTED_VALUE"""),1.0)</f>
        <v>1</v>
      </c>
      <c r="P216" s="16">
        <f>IFERROR(__xludf.DUMMYFUNCTION("""COMPUTED_VALUE"""),4.0)</f>
        <v>4</v>
      </c>
      <c r="Q216" s="16">
        <f>IFERROR(__xludf.DUMMYFUNCTION("""COMPUTED_VALUE"""),7.0)</f>
        <v>7</v>
      </c>
      <c r="R216" s="16">
        <f>IFERROR(__xludf.DUMMYFUNCTION("""COMPUTED_VALUE"""),-2.0)</f>
        <v>-2</v>
      </c>
      <c r="S216" s="16">
        <f>IFERROR(__xludf.DUMMYFUNCTION("""COMPUTED_VALUE"""),-1.0)</f>
        <v>-1</v>
      </c>
      <c r="T216" s="16">
        <f>IFERROR(__xludf.DUMMYFUNCTION("""COMPUTED_VALUE"""),-2.0)</f>
        <v>-2</v>
      </c>
      <c r="U216" s="16">
        <f>IFERROR(__xludf.DUMMYFUNCTION("""COMPUTED_VALUE"""),-1.0)</f>
        <v>-1</v>
      </c>
      <c r="V216" s="16">
        <f>IFERROR(__xludf.DUMMYFUNCTION("""COMPUTED_VALUE"""),16.2)</f>
        <v>16.2</v>
      </c>
      <c r="W216" s="16">
        <f>IFERROR(__xludf.DUMMYFUNCTION("""COMPUTED_VALUE"""),17.7)</f>
        <v>17.7</v>
      </c>
      <c r="X216" s="16">
        <f>IFERROR(__xludf.DUMMYFUNCTION("""COMPUTED_VALUE"""),0.0)</f>
        <v>0</v>
      </c>
      <c r="Y216" s="16">
        <f>IFERROR(__xludf.DUMMYFUNCTION("""COMPUTED_VALUE"""),0.0)</f>
        <v>0</v>
      </c>
      <c r="Z216" s="16">
        <f>IFERROR(__xludf.DUMMYFUNCTION("""COMPUTED_VALUE"""),0.0)</f>
        <v>0</v>
      </c>
      <c r="AA216" s="16">
        <f>IFERROR(__xludf.DUMMYFUNCTION("""COMPUTED_VALUE"""),0.0)</f>
        <v>0</v>
      </c>
      <c r="AB216" s="16">
        <f>IFERROR(__xludf.DUMMYFUNCTION("""COMPUTED_VALUE"""),20.2)</f>
        <v>20.2</v>
      </c>
      <c r="AC216" s="16">
        <f>IFERROR(__xludf.DUMMYFUNCTION("""COMPUTED_VALUE"""),24.7)</f>
        <v>24.7</v>
      </c>
      <c r="AD216" s="16">
        <f>IFERROR(__xludf.DUMMYFUNCTION("""COMPUTED_VALUE"""),-1.0)</f>
        <v>-1</v>
      </c>
      <c r="AE216" s="16">
        <f>IFERROR(__xludf.DUMMYFUNCTION("""COMPUTED_VALUE"""),-1.0)</f>
        <v>-1</v>
      </c>
      <c r="AF216" s="16">
        <f>IFERROR(__xludf.DUMMYFUNCTION("""COMPUTED_VALUE"""),-5.0)</f>
        <v>-5</v>
      </c>
      <c r="AG216" s="16">
        <f>IFERROR(__xludf.DUMMYFUNCTION("""COMPUTED_VALUE"""),-5.0)</f>
        <v>-5</v>
      </c>
      <c r="AH216" s="16">
        <f>IFERROR(__xludf.DUMMYFUNCTION("""COMPUTED_VALUE"""),37.1)</f>
        <v>37.1</v>
      </c>
      <c r="AI216" s="16">
        <f>IFERROR(__xludf.DUMMYFUNCTION("""COMPUTED_VALUE"""),30.4)</f>
        <v>30.4</v>
      </c>
      <c r="AJ216" s="16">
        <f>IFERROR(__xludf.DUMMYFUNCTION("""COMPUTED_VALUE"""),0.0)</f>
        <v>0</v>
      </c>
      <c r="AK216" s="16">
        <f>IFERROR(__xludf.DUMMYFUNCTION("""COMPUTED_VALUE"""),0.0)</f>
        <v>0</v>
      </c>
      <c r="AL216" s="16">
        <f>IFERROR(__xludf.DUMMYFUNCTION("""COMPUTED_VALUE"""),0.0)</f>
        <v>0</v>
      </c>
      <c r="AM216" s="16">
        <f>IFERROR(__xludf.DUMMYFUNCTION("""COMPUTED_VALUE"""),0.0)</f>
        <v>0</v>
      </c>
      <c r="AN216" s="16">
        <f>IFERROR(__xludf.DUMMYFUNCTION("""COMPUTED_VALUE"""),3.0)</f>
        <v>3</v>
      </c>
      <c r="AO216" s="16">
        <f>IFERROR(__xludf.DUMMYFUNCTION("""COMPUTED_VALUE"""),2.5)</f>
        <v>2.5</v>
      </c>
      <c r="AP216" s="16">
        <f>IFERROR(__xludf.DUMMYFUNCTION("""COMPUTED_VALUE"""),1.0)</f>
        <v>1</v>
      </c>
      <c r="AQ216" s="16">
        <f>IFERROR(__xludf.DUMMYFUNCTION("""COMPUTED_VALUE"""),0.0)</f>
        <v>0</v>
      </c>
      <c r="AR216" s="16">
        <f>IFERROR(__xludf.DUMMYFUNCTION("""COMPUTED_VALUE"""),2.0)</f>
        <v>2</v>
      </c>
      <c r="AS216" s="16">
        <f>IFERROR(__xludf.DUMMYFUNCTION("""COMPUTED_VALUE"""),0.0)</f>
        <v>0</v>
      </c>
      <c r="AT216" s="16"/>
      <c r="AU216" s="16"/>
      <c r="AV216" s="16">
        <f>IFERROR(__xludf.DUMMYFUNCTION("""COMPUTED_VALUE"""),-3.0)</f>
        <v>-3</v>
      </c>
      <c r="AW216" s="16">
        <f>IFERROR(__xludf.DUMMYFUNCTION("""COMPUTED_VALUE"""),-3.0)</f>
        <v>-3</v>
      </c>
      <c r="AX216" s="16">
        <f>IFERROR(__xludf.DUMMYFUNCTION("""COMPUTED_VALUE"""),-3.0)</f>
        <v>-3</v>
      </c>
      <c r="AY216" s="16">
        <f>IFERROR(__xludf.DUMMYFUNCTION("""COMPUTED_VALUE"""),-3.0)</f>
        <v>-3</v>
      </c>
      <c r="AZ216" s="16">
        <f>IFERROR(__xludf.DUMMYFUNCTION("""COMPUTED_VALUE"""),-9.0)</f>
        <v>-9</v>
      </c>
      <c r="BA216" s="16">
        <f>IFERROR(__xludf.DUMMYFUNCTION("""COMPUTED_VALUE"""),-9.0)</f>
        <v>-9</v>
      </c>
      <c r="BB216" s="16">
        <f>IFERROR(__xludf.DUMMYFUNCTION("""COMPUTED_VALUE"""),5.0)</f>
        <v>5</v>
      </c>
      <c r="BC216" s="16">
        <f>IFERROR(__xludf.DUMMYFUNCTION("""COMPUTED_VALUE"""),5.0)</f>
        <v>5</v>
      </c>
      <c r="BD216" s="16">
        <f>IFERROR(__xludf.DUMMYFUNCTION("""COMPUTED_VALUE"""),1.0)</f>
        <v>1</v>
      </c>
      <c r="BE216" s="16">
        <f>IFERROR(__xludf.DUMMYFUNCTION("""COMPUTED_VALUE"""),1.0)</f>
        <v>1</v>
      </c>
      <c r="BF216" s="16">
        <f>IFERROR(__xludf.DUMMYFUNCTION("""COMPUTED_VALUE"""),1.0)</f>
        <v>1</v>
      </c>
      <c r="BG216" s="16">
        <f>IFERROR(__xludf.DUMMYFUNCTION("""COMPUTED_VALUE"""),1.0)</f>
        <v>1</v>
      </c>
      <c r="BH216" s="16">
        <f>IFERROR(__xludf.DUMMYFUNCTION("""COMPUTED_VALUE"""),5.0)</f>
        <v>5</v>
      </c>
      <c r="BI216" s="16">
        <f>IFERROR(__xludf.DUMMYFUNCTION("""COMPUTED_VALUE"""),5.0)</f>
        <v>5</v>
      </c>
      <c r="BJ216" s="16">
        <f>IFERROR(__xludf.DUMMYFUNCTION("""COMPUTED_VALUE"""),8.0)</f>
        <v>8</v>
      </c>
      <c r="BK216" s="16">
        <f>IFERROR(__xludf.DUMMYFUNCTION("""COMPUTED_VALUE"""),8.0)</f>
        <v>8</v>
      </c>
      <c r="BL216" s="16">
        <f>IFERROR(__xludf.DUMMYFUNCTION("""COMPUTED_VALUE"""),1.0)</f>
        <v>1</v>
      </c>
      <c r="BM216" s="16">
        <f>IFERROR(__xludf.DUMMYFUNCTION("""COMPUTED_VALUE"""),1.0)</f>
        <v>1</v>
      </c>
      <c r="BN216" s="16">
        <f>IFERROR(__xludf.DUMMYFUNCTION("""COMPUTED_VALUE"""),1.0)</f>
        <v>1</v>
      </c>
      <c r="BO216" s="16">
        <f>IFERROR(__xludf.DUMMYFUNCTION("""COMPUTED_VALUE"""),1.0)</f>
        <v>1</v>
      </c>
      <c r="BP216" s="16">
        <f>IFERROR(__xludf.DUMMYFUNCTION("""COMPUTED_VALUE"""),0.0)</f>
        <v>0</v>
      </c>
      <c r="BQ216" s="16">
        <f>IFERROR(__xludf.DUMMYFUNCTION("""COMPUTED_VALUE"""),-2.0)</f>
        <v>-2</v>
      </c>
      <c r="BR216" s="16">
        <f>IFERROR(__xludf.DUMMYFUNCTION("""COMPUTED_VALUE"""),-2.0)</f>
        <v>-2</v>
      </c>
      <c r="BS216" s="16" t="str">
        <f>IFERROR(__xludf.DUMMYFUNCTION("""COMPUTED_VALUE"""),"*2-5/- (19-13)")</f>
        <v>*2-5/- (19-13)</v>
      </c>
      <c r="BT216" s="16" t="str">
        <f>IFERROR(__xludf.DUMMYFUNCTION("""COMPUTED_VALUE"""),"AA")</f>
        <v>AA</v>
      </c>
      <c r="BU216" s="16">
        <f>IFERROR(__xludf.DUMMYFUNCTION("""COMPUTED_VALUE"""),16.0)</f>
        <v>16</v>
      </c>
      <c r="BV216" s="16">
        <f>IFERROR(__xludf.DUMMYFUNCTION("""COMPUTED_VALUE"""),3.0)</f>
        <v>3</v>
      </c>
      <c r="BW216" s="16">
        <f>IFERROR(__xludf.DUMMYFUNCTION("""COMPUTED_VALUE"""),2.0)</f>
        <v>2</v>
      </c>
      <c r="BX216" s="16">
        <f>IFERROR(__xludf.DUMMYFUNCTION("""COMPUTED_VALUE"""),6.0)</f>
        <v>6</v>
      </c>
      <c r="BY216" s="16">
        <f>IFERROR(__xludf.DUMMYFUNCTION("""COMPUTED_VALUE"""),6.0)</f>
        <v>6</v>
      </c>
      <c r="BZ216" s="16" t="str">
        <f>IFERROR(__xludf.DUMMYFUNCTION("""COMPUTED_VALUE"""),"B")</f>
        <v>B</v>
      </c>
      <c r="CA216" s="16" t="str">
        <f>IFERROR(__xludf.DUMMYFUNCTION("""COMPUTED_VALUE"""),"B")</f>
        <v>B</v>
      </c>
      <c r="CB216" s="16">
        <f>IFERROR(__xludf.DUMMYFUNCTION("""COMPUTED_VALUE"""),1.0)</f>
        <v>1</v>
      </c>
      <c r="CC216" s="16">
        <f>IFERROR(__xludf.DUMMYFUNCTION("""COMPUTED_VALUE"""),1.0)</f>
        <v>1</v>
      </c>
      <c r="CD216" s="16">
        <f>IFERROR(__xludf.DUMMYFUNCTION("""COMPUTED_VALUE"""),1.0)</f>
        <v>1</v>
      </c>
      <c r="CE216" s="16">
        <f>IFERROR(__xludf.DUMMYFUNCTION("""COMPUTED_VALUE"""),2.0)</f>
        <v>2</v>
      </c>
      <c r="CF216" s="16">
        <f>IFERROR(__xludf.DUMMYFUNCTION("""COMPUTED_VALUE"""),1.0)</f>
        <v>1</v>
      </c>
      <c r="CG216" s="16">
        <f>IFERROR(__xludf.DUMMYFUNCTION("""COMPUTED_VALUE"""),-9.0)</f>
        <v>-9</v>
      </c>
      <c r="CH216" s="16">
        <f>IFERROR(__xludf.DUMMYFUNCTION("""COMPUTED_VALUE"""),-12.0)</f>
        <v>-12</v>
      </c>
      <c r="CI216" s="179">
        <f>IFERROR(__xludf.DUMMYFUNCTION("""COMPUTED_VALUE"""),-1.0)</f>
        <v>-1</v>
      </c>
      <c r="CJ216" s="16"/>
      <c r="CK216" s="16"/>
      <c r="CL216" s="16">
        <f>IFERROR(__xludf.DUMMYFUNCTION("""COMPUTED_VALUE"""),218.0)</f>
        <v>218</v>
      </c>
      <c r="CM216" s="16">
        <f>IFERROR(__xludf.DUMMYFUNCTION("""COMPUTED_VALUE"""),116.0)</f>
        <v>116</v>
      </c>
      <c r="CN216" s="16">
        <f>IFERROR(__xludf.DUMMYFUNCTION("""COMPUTED_VALUE"""),412.0)</f>
        <v>412</v>
      </c>
      <c r="CO216" s="16"/>
      <c r="CP216" s="16"/>
      <c r="CQ216" s="16">
        <f>IFERROR(__xludf.DUMMYFUNCTION("""COMPUTED_VALUE"""),425.0)</f>
        <v>425</v>
      </c>
      <c r="CR216" s="16" t="str">
        <f>IFERROR(__xludf.DUMMYFUNCTION("""COMPUTED_VALUE"""),"3b-1e16 2b-2e18 ss-4e12 rf-4(+1)e25")</f>
        <v>3b-1e16 2b-2e18 ss-4e12 rf-4(+1)e25</v>
      </c>
      <c r="CS216" s="16"/>
      <c r="CT216" s="16"/>
      <c r="CU216" s="16">
        <f>IFERROR(__xludf.DUMMYFUNCTION("""COMPUTED_VALUE"""),2.0)</f>
        <v>2</v>
      </c>
      <c r="CV216" s="16">
        <f>IFERROR(__xludf.DUMMYFUNCTION("""COMPUTED_VALUE"""),1.0)</f>
        <v>1</v>
      </c>
      <c r="CW216" s="16">
        <f>IFERROR(__xludf.DUMMYFUNCTION("""COMPUTED_VALUE"""),4.0)</f>
        <v>4</v>
      </c>
      <c r="CX216" s="16"/>
      <c r="CY216" s="16"/>
      <c r="CZ216" s="16">
        <f>IFERROR(__xludf.DUMMYFUNCTION("""COMPUTED_VALUE"""),4.0)</f>
        <v>4</v>
      </c>
      <c r="DA216" s="16"/>
      <c r="DB216" s="16"/>
      <c r="DC216" s="16">
        <f>IFERROR(__xludf.DUMMYFUNCTION("""COMPUTED_VALUE"""),18.0)</f>
        <v>18</v>
      </c>
      <c r="DD216" s="16">
        <f>IFERROR(__xludf.DUMMYFUNCTION("""COMPUTED_VALUE"""),16.0)</f>
        <v>16</v>
      </c>
      <c r="DE216" s="16">
        <f>IFERROR(__xludf.DUMMYFUNCTION("""COMPUTED_VALUE"""),12.0)</f>
        <v>12</v>
      </c>
      <c r="DF216" s="16"/>
      <c r="DG216" s="16"/>
      <c r="DH216" s="16">
        <f>IFERROR(__xludf.DUMMYFUNCTION("""COMPUTED_VALUE"""),25.0)</f>
        <v>25</v>
      </c>
      <c r="DI216" s="16"/>
      <c r="DJ216" s="16"/>
      <c r="DK216" s="16">
        <f>IFERROR(__xludf.DUMMYFUNCTION("""COMPUTED_VALUE"""),2.0)</f>
        <v>2</v>
      </c>
      <c r="DL216" s="16">
        <f>IFERROR(__xludf.DUMMYFUNCTION("""COMPUTED_VALUE"""),4.0)</f>
        <v>4</v>
      </c>
      <c r="DM216" s="16">
        <f>IFERROR(__xludf.DUMMYFUNCTION("""COMPUTED_VALUE"""),-2.0)</f>
        <v>-2</v>
      </c>
      <c r="DN216" s="16"/>
      <c r="DO216" s="16"/>
      <c r="DP216" s="16">
        <f>IFERROR(__xludf.DUMMYFUNCTION("""COMPUTED_VALUE"""),-1.0)</f>
        <v>-1</v>
      </c>
      <c r="DQ216" s="16"/>
      <c r="DR216" s="16"/>
      <c r="DS216" s="16">
        <f>IFERROR(__xludf.DUMMYFUNCTION("""COMPUTED_VALUE"""),2.0)</f>
        <v>2</v>
      </c>
      <c r="DT216" s="16">
        <f>IFERROR(__xludf.DUMMYFUNCTION("""COMPUTED_VALUE"""),0.0)</f>
        <v>0</v>
      </c>
      <c r="DU216" s="16">
        <f>IFERROR(__xludf.DUMMYFUNCTION("""COMPUTED_VALUE"""),2.0)</f>
        <v>2</v>
      </c>
      <c r="DV216" s="16"/>
      <c r="DW216" s="16"/>
      <c r="DX216" s="16">
        <f>IFERROR(__xludf.DUMMYFUNCTION("""COMPUTED_VALUE"""),-4.0)</f>
        <v>-4</v>
      </c>
      <c r="DY216" s="16"/>
      <c r="DZ216" s="16"/>
      <c r="EA216" s="16">
        <f>IFERROR(__xludf.DUMMYFUNCTION("""COMPUTED_VALUE"""),4.0)</f>
        <v>4</v>
      </c>
      <c r="EB216" s="16">
        <f>IFERROR(__xludf.DUMMYFUNCTION("""COMPUTED_VALUE"""),4.0)</f>
        <v>4</v>
      </c>
      <c r="EC216" s="16">
        <f>IFERROR(__xludf.DUMMYFUNCTION("""COMPUTED_VALUE"""),0.0)</f>
        <v>0</v>
      </c>
      <c r="ED216" s="16"/>
      <c r="EE216" s="16"/>
      <c r="EF216" s="16">
        <f>IFERROR(__xludf.DUMMYFUNCTION("""COMPUTED_VALUE"""),-5.0)</f>
        <v>-5</v>
      </c>
      <c r="EG216" s="179"/>
      <c r="EH216" s="179"/>
      <c r="EI216" s="179">
        <f>IFERROR(__xludf.DUMMYFUNCTION("""COMPUTED_VALUE"""),3.0)</f>
        <v>3</v>
      </c>
      <c r="EJ216" s="179">
        <f>IFERROR(__xludf.DUMMYFUNCTION("""COMPUTED_VALUE"""),3.0)</f>
        <v>3</v>
      </c>
      <c r="EK216" s="179">
        <f>IFERROR(__xludf.DUMMYFUNCTION("""COMPUTED_VALUE"""),-1.0)</f>
        <v>-1</v>
      </c>
      <c r="EL216" s="179"/>
      <c r="EM216" s="179"/>
      <c r="EN216" s="179">
        <f>IFERROR(__xludf.DUMMYFUNCTION("""COMPUTED_VALUE"""),-6.0)</f>
        <v>-6</v>
      </c>
      <c r="EO216" s="16"/>
      <c r="EP216" s="16">
        <f>IFERROR(__xludf.DUMMYFUNCTION("""COMPUTED_VALUE"""),1.0)</f>
        <v>1</v>
      </c>
      <c r="EQ216" s="16">
        <f>IFERROR(__xludf.DUMMYFUNCTION("""COMPUTED_VALUE"""),4.0)</f>
        <v>4</v>
      </c>
      <c r="ER216" s="16">
        <f>IFERROR(__xludf.DUMMYFUNCTION("""COMPUTED_VALUE"""),3.0)</f>
        <v>3</v>
      </c>
      <c r="ES216" s="16"/>
      <c r="ET216" s="16"/>
      <c r="EU216" s="16"/>
      <c r="EV216" s="16"/>
      <c r="EW216" s="16"/>
      <c r="EX216" s="180"/>
      <c r="EY216" s="180"/>
      <c r="EZ216" s="180">
        <f>IFERROR(__xludf.DUMMYFUNCTION("""COMPUTED_VALUE"""),0.1)</f>
        <v>0.1</v>
      </c>
      <c r="FA216" s="180">
        <f>IFERROR(__xludf.DUMMYFUNCTION("""COMPUTED_VALUE"""),0.0)</f>
        <v>0</v>
      </c>
      <c r="FB216" s="180">
        <f>IFERROR(__xludf.DUMMYFUNCTION("""COMPUTED_VALUE"""),0.3)</f>
        <v>0.3</v>
      </c>
      <c r="FC216" s="180"/>
      <c r="FD216" s="180"/>
      <c r="FE216" s="180">
        <f>IFERROR(__xludf.DUMMYFUNCTION("""COMPUTED_VALUE"""),0.55)</f>
        <v>0.55</v>
      </c>
      <c r="FF216" s="180"/>
      <c r="FG216" s="180"/>
      <c r="FH216" s="180">
        <f>IFERROR(__xludf.DUMMYFUNCTION("""COMPUTED_VALUE"""),0.10648148148148148)</f>
        <v>0.1064814815</v>
      </c>
      <c r="FI216" s="180">
        <f>IFERROR(__xludf.DUMMYFUNCTION("""COMPUTED_VALUE"""),0.18981481481481483)</f>
        <v>0.1898148148</v>
      </c>
      <c r="FJ216" s="180">
        <f>IFERROR(__xludf.DUMMYFUNCTION("""COMPUTED_VALUE"""),0.05555555555555555)</f>
        <v>0.05555555556</v>
      </c>
      <c r="FK216" s="180"/>
      <c r="FL216" s="180"/>
      <c r="FM216" s="180">
        <f>IFERROR(__xludf.DUMMYFUNCTION("""COMPUTED_VALUE"""),0.449)</f>
        <v>0.449</v>
      </c>
      <c r="FN216" s="16"/>
      <c r="FO216" s="16"/>
      <c r="FP216" s="16">
        <f>IFERROR(__xludf.DUMMYFUNCTION("""COMPUTED_VALUE"""),0.8041666666666667)</f>
        <v>0.8041666667</v>
      </c>
      <c r="FQ216" s="16">
        <f>IFERROR(__xludf.DUMMYFUNCTION("""COMPUTED_VALUE"""),0.8101851851851851)</f>
        <v>0.8101851852</v>
      </c>
      <c r="FR216" s="16">
        <f>IFERROR(__xludf.DUMMYFUNCTION("""COMPUTED_VALUE"""),0.6611111111111111)</f>
        <v>0.6611111111</v>
      </c>
      <c r="FS216" s="16"/>
      <c r="FT216" s="16"/>
      <c r="FU216" s="16">
        <f>IFERROR(__xludf.DUMMYFUNCTION("""COMPUTED_VALUE"""),0.24794999999999995)</f>
        <v>0.24795</v>
      </c>
      <c r="FV216" s="16"/>
      <c r="FW216" s="16"/>
      <c r="FX216" s="16">
        <f>IFERROR(__xludf.DUMMYFUNCTION("""COMPUTED_VALUE"""),1.0)</f>
        <v>1</v>
      </c>
      <c r="FY216" s="16">
        <f>IFERROR(__xludf.DUMMYFUNCTION("""COMPUTED_VALUE"""),1.0)</f>
        <v>1</v>
      </c>
      <c r="FZ216" s="16">
        <f>IFERROR(__xludf.DUMMYFUNCTION("""COMPUTED_VALUE"""),-4.0)</f>
        <v>-4</v>
      </c>
      <c r="GA216" s="16"/>
      <c r="GB216" s="16"/>
      <c r="GC216" s="16">
        <f>IFERROR(__xludf.DUMMYFUNCTION("""COMPUTED_VALUE"""),-9.0)</f>
        <v>-9</v>
      </c>
      <c r="GD216" s="16" t="s">
        <v>292</v>
      </c>
    </row>
    <row r="217">
      <c r="A217" s="16">
        <f>IFERROR(__xludf.DUMMYFUNCTION("""COMPUTED_VALUE"""),13432.0)</f>
        <v>13432</v>
      </c>
      <c r="B217" s="16" t="str">
        <f>IFERROR(__xludf.DUMMYFUNCTION("""COMPUTED_VALUE"""),"Trevor Larnach")</f>
        <v>Trevor Larnach</v>
      </c>
      <c r="C217" s="16">
        <f>IFERROR(__xludf.DUMMYFUNCTION("""COMPUTED_VALUE"""),0.94)</f>
        <v>0.94</v>
      </c>
      <c r="D217" s="16" t="str">
        <f>IFERROR(__xludf.DUMMYFUNCTION("""COMPUTED_VALUE"""),"L")</f>
        <v>L</v>
      </c>
      <c r="E217" s="16"/>
      <c r="F217" s="16"/>
      <c r="G217" s="16">
        <f>IFERROR(__xludf.DUMMYFUNCTION("""COMPUTED_VALUE"""),355.0)</f>
        <v>355</v>
      </c>
      <c r="H217" s="16">
        <f>IFERROR(__xludf.DUMMYFUNCTION("""COMPUTED_VALUE"""),40.0)</f>
        <v>40</v>
      </c>
      <c r="I217" s="16" t="str">
        <f>IFERROR(__xludf.DUMMYFUNCTION("""COMPUTED_VALUE"""),"1p50")</f>
        <v>1p50</v>
      </c>
      <c r="J217" s="16">
        <f>IFERROR(__xludf.DUMMYFUNCTION("""COMPUTED_VALUE"""),39.0)</f>
        <v>39</v>
      </c>
      <c r="K217" s="16">
        <f>IFERROR(__xludf.DUMMYFUNCTION("""COMPUTED_VALUE"""),23.0)</f>
        <v>23</v>
      </c>
      <c r="L217" s="16">
        <f>IFERROR(__xludf.DUMMYFUNCTION("""COMPUTED_VALUE"""),-1.0)</f>
        <v>-1</v>
      </c>
      <c r="M217" s="16">
        <f>IFERROR(__xludf.DUMMYFUNCTION("""COMPUTED_VALUE"""),0.0)</f>
        <v>0</v>
      </c>
      <c r="N217" s="16">
        <f>IFERROR(__xludf.DUMMYFUNCTION("""COMPUTED_VALUE"""),-1.0)</f>
        <v>-1</v>
      </c>
      <c r="O217" s="16">
        <f>IFERROR(__xludf.DUMMYFUNCTION("""COMPUTED_VALUE"""),0.0)</f>
        <v>0</v>
      </c>
      <c r="P217" s="16">
        <f>IFERROR(__xludf.DUMMYFUNCTION("""COMPUTED_VALUE"""),0.0)</f>
        <v>0</v>
      </c>
      <c r="Q217" s="16">
        <f>IFERROR(__xludf.DUMMYFUNCTION("""COMPUTED_VALUE"""),13.0)</f>
        <v>13</v>
      </c>
      <c r="R217" s="16">
        <f>IFERROR(__xludf.DUMMYFUNCTION("""COMPUTED_VALUE"""),-3.0)</f>
        <v>-3</v>
      </c>
      <c r="S217" s="16">
        <f>IFERROR(__xludf.DUMMYFUNCTION("""COMPUTED_VALUE"""),1.0)</f>
        <v>1</v>
      </c>
      <c r="T217" s="16">
        <f>IFERROR(__xludf.DUMMYFUNCTION("""COMPUTED_VALUE"""),-3.0)</f>
        <v>-3</v>
      </c>
      <c r="U217" s="16">
        <f>IFERROR(__xludf.DUMMYFUNCTION("""COMPUTED_VALUE"""),1.0)</f>
        <v>1</v>
      </c>
      <c r="V217" s="16">
        <f>IFERROR(__xludf.DUMMYFUNCTION("""COMPUTED_VALUE"""),5.9)</f>
        <v>5.9</v>
      </c>
      <c r="W217" s="16">
        <f>IFERROR(__xludf.DUMMYFUNCTION("""COMPUTED_VALUE"""),21.5)</f>
        <v>21.5</v>
      </c>
      <c r="X217" s="16">
        <f>IFERROR(__xludf.DUMMYFUNCTION("""COMPUTED_VALUE"""),-2.0)</f>
        <v>-2</v>
      </c>
      <c r="Y217" s="16">
        <f>IFERROR(__xludf.DUMMYFUNCTION("""COMPUTED_VALUE"""),0.0)</f>
        <v>0</v>
      </c>
      <c r="Z217" s="16">
        <f>IFERROR(__xludf.DUMMYFUNCTION("""COMPUTED_VALUE"""),-4.0)</f>
        <v>-4</v>
      </c>
      <c r="AA217" s="16">
        <f>IFERROR(__xludf.DUMMYFUNCTION("""COMPUTED_VALUE"""),0.0)</f>
        <v>0</v>
      </c>
      <c r="AB217" s="16">
        <f>IFERROR(__xludf.DUMMYFUNCTION("""COMPUTED_VALUE"""),7.9)</f>
        <v>7.9</v>
      </c>
      <c r="AC217" s="16">
        <f>IFERROR(__xludf.DUMMYFUNCTION("""COMPUTED_VALUE"""),36.5)</f>
        <v>36.5</v>
      </c>
      <c r="AD217" s="16">
        <f>IFERROR(__xludf.DUMMYFUNCTION("""COMPUTED_VALUE"""),-2.0)</f>
        <v>-2</v>
      </c>
      <c r="AE217" s="16">
        <f>IFERROR(__xludf.DUMMYFUNCTION("""COMPUTED_VALUE"""),1.0)</f>
        <v>1</v>
      </c>
      <c r="AF217" s="16">
        <f>IFERROR(__xludf.DUMMYFUNCTION("""COMPUTED_VALUE"""),-10.0)</f>
        <v>-10</v>
      </c>
      <c r="AG217" s="16">
        <f>IFERROR(__xludf.DUMMYFUNCTION("""COMPUTED_VALUE"""),5.0)</f>
        <v>5</v>
      </c>
      <c r="AH217" s="16">
        <f>IFERROR(__xludf.DUMMYFUNCTION("""COMPUTED_VALUE"""),10.6)</f>
        <v>10.6</v>
      </c>
      <c r="AI217" s="16">
        <f>IFERROR(__xludf.DUMMYFUNCTION("""COMPUTED_VALUE"""),34.5)</f>
        <v>34.5</v>
      </c>
      <c r="AJ217" s="16">
        <f>IFERROR(__xludf.DUMMYFUNCTION("""COMPUTED_VALUE"""),-2.0)</f>
        <v>-2</v>
      </c>
      <c r="AK217" s="16">
        <f>IFERROR(__xludf.DUMMYFUNCTION("""COMPUTED_VALUE"""),0.0)</f>
        <v>0</v>
      </c>
      <c r="AL217" s="16">
        <f>IFERROR(__xludf.DUMMYFUNCTION("""COMPUTED_VALUE"""),-10.0)</f>
        <v>-10</v>
      </c>
      <c r="AM217" s="16">
        <f>IFERROR(__xludf.DUMMYFUNCTION("""COMPUTED_VALUE"""),0.0)</f>
        <v>0</v>
      </c>
      <c r="AN217" s="16">
        <f>IFERROR(__xludf.DUMMYFUNCTION("""COMPUTED_VALUE"""),0.0)</f>
        <v>0</v>
      </c>
      <c r="AO217" s="16">
        <f>IFERROR(__xludf.DUMMYFUNCTION("""COMPUTED_VALUE"""),3.0)</f>
        <v>3</v>
      </c>
      <c r="AP217" s="16">
        <f>IFERROR(__xludf.DUMMYFUNCTION("""COMPUTED_VALUE"""),-2.0)</f>
        <v>-2</v>
      </c>
      <c r="AQ217" s="16">
        <f>IFERROR(__xludf.DUMMYFUNCTION("""COMPUTED_VALUE"""),1.0)</f>
        <v>1</v>
      </c>
      <c r="AR217" s="16">
        <f>IFERROR(__xludf.DUMMYFUNCTION("""COMPUTED_VALUE"""),-4.0)</f>
        <v>-4</v>
      </c>
      <c r="AS217" s="16">
        <f>IFERROR(__xludf.DUMMYFUNCTION("""COMPUTED_VALUE"""),2.0)</f>
        <v>2</v>
      </c>
      <c r="AT217" s="16"/>
      <c r="AU217" s="16">
        <f>IFERROR(__xludf.DUMMYFUNCTION("""COMPUTED_VALUE"""),4.0)</f>
        <v>4</v>
      </c>
      <c r="AV217" s="16">
        <f>IFERROR(__xludf.DUMMYFUNCTION("""COMPUTED_VALUE"""),-3.0)</f>
        <v>-3</v>
      </c>
      <c r="AW217" s="16">
        <f>IFERROR(__xludf.DUMMYFUNCTION("""COMPUTED_VALUE"""),4.0)</f>
        <v>4</v>
      </c>
      <c r="AX217" s="16">
        <f>IFERROR(__xludf.DUMMYFUNCTION("""COMPUTED_VALUE"""),-3.0)</f>
        <v>-3</v>
      </c>
      <c r="AY217" s="16">
        <f>IFERROR(__xludf.DUMMYFUNCTION("""COMPUTED_VALUE"""),1.0)</f>
        <v>1</v>
      </c>
      <c r="AZ217" s="16">
        <f>IFERROR(__xludf.DUMMYFUNCTION("""COMPUTED_VALUE"""),-9.0)</f>
        <v>-9</v>
      </c>
      <c r="BA217" s="16">
        <f>IFERROR(__xludf.DUMMYFUNCTION("""COMPUTED_VALUE"""),3.0)</f>
        <v>3</v>
      </c>
      <c r="BB217" s="16">
        <f>IFERROR(__xludf.DUMMYFUNCTION("""COMPUTED_VALUE"""),5.0)</f>
        <v>5</v>
      </c>
      <c r="BC217" s="16">
        <f>IFERROR(__xludf.DUMMYFUNCTION("""COMPUTED_VALUE"""),5.0)</f>
        <v>5</v>
      </c>
      <c r="BD217" s="16">
        <f>IFERROR(__xludf.DUMMYFUNCTION("""COMPUTED_VALUE"""),1.0)</f>
        <v>1</v>
      </c>
      <c r="BE217" s="16">
        <f>IFERROR(__xludf.DUMMYFUNCTION("""COMPUTED_VALUE"""),1.0)</f>
        <v>1</v>
      </c>
      <c r="BF217" s="16">
        <f>IFERROR(__xludf.DUMMYFUNCTION("""COMPUTED_VALUE"""),1.0)</f>
        <v>1</v>
      </c>
      <c r="BG217" s="16">
        <f>IFERROR(__xludf.DUMMYFUNCTION("""COMPUTED_VALUE"""),1.0)</f>
        <v>1</v>
      </c>
      <c r="BH217" s="16">
        <f>IFERROR(__xludf.DUMMYFUNCTION("""COMPUTED_VALUE"""),0.0)</f>
        <v>0</v>
      </c>
      <c r="BI217" s="16">
        <f>IFERROR(__xludf.DUMMYFUNCTION("""COMPUTED_VALUE"""),1.0)</f>
        <v>1</v>
      </c>
      <c r="BJ217" s="16">
        <f>IFERROR(__xludf.DUMMYFUNCTION("""COMPUTED_VALUE"""),27.0)</f>
        <v>27</v>
      </c>
      <c r="BK217" s="16">
        <f>IFERROR(__xludf.DUMMYFUNCTION("""COMPUTED_VALUE"""),23.0)</f>
        <v>23</v>
      </c>
      <c r="BL217" s="16">
        <f>IFERROR(__xludf.DUMMYFUNCTION("""COMPUTED_VALUE"""),-2.0)</f>
        <v>-2</v>
      </c>
      <c r="BM217" s="16">
        <f>IFERROR(__xludf.DUMMYFUNCTION("""COMPUTED_VALUE"""),-2.0)</f>
        <v>-2</v>
      </c>
      <c r="BN217" s="16">
        <f>IFERROR(__xludf.DUMMYFUNCTION("""COMPUTED_VALUE"""),-4.0)</f>
        <v>-4</v>
      </c>
      <c r="BO217" s="16">
        <f>IFERROR(__xludf.DUMMYFUNCTION("""COMPUTED_VALUE"""),-4.0)</f>
        <v>-4</v>
      </c>
      <c r="BP217" s="16">
        <f>IFERROR(__xludf.DUMMYFUNCTION("""COMPUTED_VALUE"""),-16.0)</f>
        <v>-16</v>
      </c>
      <c r="BQ217" s="16">
        <f>IFERROR(__xludf.DUMMYFUNCTION("""COMPUTED_VALUE"""),3.0)</f>
        <v>3</v>
      </c>
      <c r="BR217" s="16">
        <f>IFERROR(__xludf.DUMMYFUNCTION("""COMPUTED_VALUE"""),-13.0)</f>
        <v>-13</v>
      </c>
      <c r="BS217" s="16" t="str">
        <f>IFERROR(__xludf.DUMMYFUNCTION("""COMPUTED_VALUE"""),"4/- (16-6)")</f>
        <v>4/- (16-6)</v>
      </c>
      <c r="BT217" s="16" t="str">
        <f>IFERROR(__xludf.DUMMYFUNCTION("""COMPUTED_VALUE"""),"C")</f>
        <v>C</v>
      </c>
      <c r="BU217" s="16">
        <f>IFERROR(__xludf.DUMMYFUNCTION("""COMPUTED_VALUE"""),11.0)</f>
        <v>11</v>
      </c>
      <c r="BV217" s="16">
        <f>IFERROR(__xludf.DUMMYFUNCTION("""COMPUTED_VALUE"""),0.0)</f>
        <v>0</v>
      </c>
      <c r="BW217" s="16">
        <f>IFERROR(__xludf.DUMMYFUNCTION("""COMPUTED_VALUE"""),0.0)</f>
        <v>0</v>
      </c>
      <c r="BX217" s="16">
        <f>IFERROR(__xludf.DUMMYFUNCTION("""COMPUTED_VALUE"""),0.0)</f>
        <v>0</v>
      </c>
      <c r="BY217" s="16">
        <f>IFERROR(__xludf.DUMMYFUNCTION("""COMPUTED_VALUE"""),0.0)</f>
        <v>0</v>
      </c>
      <c r="BZ217" s="16" t="str">
        <f>IFERROR(__xludf.DUMMYFUNCTION("""COMPUTED_VALUE"""),"D")</f>
        <v>D</v>
      </c>
      <c r="CA217" s="16" t="str">
        <f>IFERROR(__xludf.DUMMYFUNCTION("""COMPUTED_VALUE"""),"C")</f>
        <v>C</v>
      </c>
      <c r="CB217" s="16">
        <f>IFERROR(__xludf.DUMMYFUNCTION("""COMPUTED_VALUE"""),0.0)</f>
        <v>0</v>
      </c>
      <c r="CC217" s="16">
        <f>IFERROR(__xludf.DUMMYFUNCTION("""COMPUTED_VALUE"""),0.0)</f>
        <v>0</v>
      </c>
      <c r="CD217" s="16">
        <f>IFERROR(__xludf.DUMMYFUNCTION("""COMPUTED_VALUE"""),0.0)</f>
        <v>0</v>
      </c>
      <c r="CE217" s="16">
        <f>IFERROR(__xludf.DUMMYFUNCTION("""COMPUTED_VALUE"""),0.0)</f>
        <v>0</v>
      </c>
      <c r="CF217" s="16">
        <f>IFERROR(__xludf.DUMMYFUNCTION("""COMPUTED_VALUE"""),1.0)</f>
        <v>1</v>
      </c>
      <c r="CG217" s="16">
        <f>IFERROR(__xludf.DUMMYFUNCTION("""COMPUTED_VALUE"""),-44.0)</f>
        <v>-44</v>
      </c>
      <c r="CH217" s="16">
        <f>IFERROR(__xludf.DUMMYFUNCTION("""COMPUTED_VALUE"""),8.0)</f>
        <v>8</v>
      </c>
      <c r="CI217" s="179">
        <f>IFERROR(__xludf.DUMMYFUNCTION("""COMPUTED_VALUE"""),-1.0)</f>
        <v>-1</v>
      </c>
      <c r="CJ217" s="16"/>
      <c r="CK217" s="16"/>
      <c r="CL217" s="16"/>
      <c r="CM217" s="16"/>
      <c r="CN217" s="16"/>
      <c r="CO217" s="16">
        <f>IFERROR(__xludf.DUMMYFUNCTION("""COMPUTED_VALUE"""),401.0)</f>
        <v>401</v>
      </c>
      <c r="CP217" s="16"/>
      <c r="CQ217" s="16">
        <f>IFERROR(__xludf.DUMMYFUNCTION("""COMPUTED_VALUE"""),401.0)</f>
        <v>401</v>
      </c>
      <c r="CR217" s="16" t="str">
        <f>IFERROR(__xludf.DUMMYFUNCTION("""COMPUTED_VALUE"""),"lf-4(0)e1 rf-4e1")</f>
        <v>lf-4(0)e1 rf-4e1</v>
      </c>
      <c r="CS217" s="16"/>
      <c r="CT217" s="16"/>
      <c r="CU217" s="16"/>
      <c r="CV217" s="16"/>
      <c r="CW217" s="16"/>
      <c r="CX217" s="16">
        <f>IFERROR(__xludf.DUMMYFUNCTION("""COMPUTED_VALUE"""),4.0)</f>
        <v>4</v>
      </c>
      <c r="CY217" s="16"/>
      <c r="CZ217" s="16">
        <f>IFERROR(__xludf.DUMMYFUNCTION("""COMPUTED_VALUE"""),4.0)</f>
        <v>4</v>
      </c>
      <c r="DA217" s="16"/>
      <c r="DB217" s="16"/>
      <c r="DC217" s="16"/>
      <c r="DD217" s="16"/>
      <c r="DE217" s="16"/>
      <c r="DF217" s="16">
        <f>IFERROR(__xludf.DUMMYFUNCTION("""COMPUTED_VALUE"""),1.0)</f>
        <v>1</v>
      </c>
      <c r="DG217" s="16"/>
      <c r="DH217" s="16">
        <f>IFERROR(__xludf.DUMMYFUNCTION("""COMPUTED_VALUE"""),1.0)</f>
        <v>1</v>
      </c>
      <c r="DI217" s="16"/>
      <c r="DJ217" s="16"/>
      <c r="DK217" s="16"/>
      <c r="DL217" s="16"/>
      <c r="DM217" s="16"/>
      <c r="DN217" s="16">
        <f>IFERROR(__xludf.DUMMYFUNCTION("""COMPUTED_VALUE"""),-1.0)</f>
        <v>-1</v>
      </c>
      <c r="DO217" s="16"/>
      <c r="DP217" s="16">
        <f>IFERROR(__xludf.DUMMYFUNCTION("""COMPUTED_VALUE"""),-1.0)</f>
        <v>-1</v>
      </c>
      <c r="DQ217" s="16"/>
      <c r="DR217" s="16"/>
      <c r="DS217" s="16"/>
      <c r="DT217" s="16"/>
      <c r="DU217" s="16"/>
      <c r="DV217" s="16">
        <f>IFERROR(__xludf.DUMMYFUNCTION("""COMPUTED_VALUE"""),4.0)</f>
        <v>4</v>
      </c>
      <c r="DW217" s="16"/>
      <c r="DX217" s="16">
        <f>IFERROR(__xludf.DUMMYFUNCTION("""COMPUTED_VALUE"""),4.0)</f>
        <v>4</v>
      </c>
      <c r="DY217" s="16"/>
      <c r="DZ217" s="16"/>
      <c r="EA217" s="16"/>
      <c r="EB217" s="16"/>
      <c r="EC217" s="16"/>
      <c r="ED217" s="16">
        <f>IFERROR(__xludf.DUMMYFUNCTION("""COMPUTED_VALUE"""),3.0)</f>
        <v>3</v>
      </c>
      <c r="EE217" s="16"/>
      <c r="EF217" s="16">
        <f>IFERROR(__xludf.DUMMYFUNCTION("""COMPUTED_VALUE"""),3.0)</f>
        <v>3</v>
      </c>
      <c r="EG217" s="179"/>
      <c r="EH217" s="179"/>
      <c r="EI217" s="179"/>
      <c r="EJ217" s="179"/>
      <c r="EK217" s="179"/>
      <c r="EL217" s="179">
        <f>IFERROR(__xludf.DUMMYFUNCTION("""COMPUTED_VALUE"""),2.0)</f>
        <v>2</v>
      </c>
      <c r="EM217" s="179"/>
      <c r="EN217" s="179">
        <f>IFERROR(__xludf.DUMMYFUNCTION("""COMPUTED_VALUE"""),2.0)</f>
        <v>2</v>
      </c>
      <c r="EO217" s="16"/>
      <c r="EP217" s="16"/>
      <c r="EQ217" s="16">
        <f>IFERROR(__xludf.DUMMYFUNCTION("""COMPUTED_VALUE"""),4.0)</f>
        <v>4</v>
      </c>
      <c r="ER217" s="16">
        <f>IFERROR(__xludf.DUMMYFUNCTION("""COMPUTED_VALUE"""),0.0)</f>
        <v>0</v>
      </c>
      <c r="ES217" s="16"/>
      <c r="ET217" s="16"/>
      <c r="EU217" s="16"/>
      <c r="EV217" s="16"/>
      <c r="EW217" s="16"/>
      <c r="EX217" s="180"/>
      <c r="EY217" s="180"/>
      <c r="EZ217" s="180"/>
      <c r="FA217" s="180"/>
      <c r="FB217" s="180"/>
      <c r="FC217" s="180">
        <f>IFERROR(__xludf.DUMMYFUNCTION("""COMPUTED_VALUE"""),0.55)</f>
        <v>0.55</v>
      </c>
      <c r="FD217" s="180"/>
      <c r="FE217" s="180">
        <f>IFERROR(__xludf.DUMMYFUNCTION("""COMPUTED_VALUE"""),0.55)</f>
        <v>0.55</v>
      </c>
      <c r="FF217" s="180"/>
      <c r="FG217" s="180"/>
      <c r="FH217" s="180"/>
      <c r="FI217" s="180"/>
      <c r="FJ217" s="180"/>
      <c r="FK217" s="180">
        <f>IFERROR(__xludf.DUMMYFUNCTION("""COMPUTED_VALUE"""),0.019)</f>
        <v>0.019</v>
      </c>
      <c r="FL217" s="180"/>
      <c r="FM217" s="180">
        <f>IFERROR(__xludf.DUMMYFUNCTION("""COMPUTED_VALUE"""),0.019)</f>
        <v>0.019</v>
      </c>
      <c r="FN217" s="16"/>
      <c r="FO217" s="16"/>
      <c r="FP217" s="16"/>
      <c r="FQ217" s="16"/>
      <c r="FR217" s="16"/>
      <c r="FS217" s="16">
        <f>IFERROR(__xludf.DUMMYFUNCTION("""COMPUTED_VALUE"""),0.44144999999999995)</f>
        <v>0.44145</v>
      </c>
      <c r="FT217" s="16"/>
      <c r="FU217" s="16">
        <f>IFERROR(__xludf.DUMMYFUNCTION("""COMPUTED_VALUE"""),0.44144999999999995)</f>
        <v>0.44145</v>
      </c>
      <c r="FV217" s="16"/>
      <c r="FW217" s="16"/>
      <c r="FX217" s="16"/>
      <c r="FY217" s="16"/>
      <c r="FZ217" s="16"/>
      <c r="GA217" s="16">
        <f>IFERROR(__xludf.DUMMYFUNCTION("""COMPUTED_VALUE"""),-8.0)</f>
        <v>-8</v>
      </c>
      <c r="GB217" s="16"/>
      <c r="GC217" s="16">
        <f>IFERROR(__xludf.DUMMYFUNCTION("""COMPUTED_VALUE"""),-8.0)</f>
        <v>-8</v>
      </c>
      <c r="GD217" s="16" t="s">
        <v>176</v>
      </c>
    </row>
    <row r="218">
      <c r="A218" s="16">
        <f>IFERROR(__xludf.DUMMYFUNCTION("""COMPUTED_VALUE"""),13207.0)</f>
        <v>13207</v>
      </c>
      <c r="B218" s="16" t="str">
        <f>IFERROR(__xludf.DUMMYFUNCTION("""COMPUTED_VALUE"""),"Miguel Andujar")</f>
        <v>Miguel Andujar</v>
      </c>
      <c r="C218" s="16">
        <f>IFERROR(__xludf.DUMMYFUNCTION("""COMPUTED_VALUE"""),0.36)</f>
        <v>0.36</v>
      </c>
      <c r="D218" s="16" t="str">
        <f>IFERROR(__xludf.DUMMYFUNCTION("""COMPUTED_VALUE"""),"R")</f>
        <v>R</v>
      </c>
      <c r="E218" s="16"/>
      <c r="F218" s="16"/>
      <c r="G218" s="16">
        <f>IFERROR(__xludf.DUMMYFUNCTION("""COMPUTED_VALUE"""),302.0)</f>
        <v>302</v>
      </c>
      <c r="H218" s="16">
        <f>IFERROR(__xludf.DUMMYFUNCTION("""COMPUTED_VALUE"""),13.0)</f>
        <v>13</v>
      </c>
      <c r="I218" s="16" t="str">
        <f>IFERROR(__xludf.DUMMYFUNCTION("""COMPUTED_VALUE"""),"4p40")</f>
        <v>4p40</v>
      </c>
      <c r="J218" s="16">
        <f>IFERROR(__xludf.DUMMYFUNCTION("""COMPUTED_VALUE"""),0.0)</f>
        <v>0</v>
      </c>
      <c r="K218" s="16">
        <f>IFERROR(__xludf.DUMMYFUNCTION("""COMPUTED_VALUE"""),5.0)</f>
        <v>5</v>
      </c>
      <c r="L218" s="16">
        <f>IFERROR(__xludf.DUMMYFUNCTION("""COMPUTED_VALUE"""),3.0)</f>
        <v>3</v>
      </c>
      <c r="M218" s="16">
        <f>IFERROR(__xludf.DUMMYFUNCTION("""COMPUTED_VALUE"""),2.0)</f>
        <v>2</v>
      </c>
      <c r="N218" s="16">
        <f>IFERROR(__xludf.DUMMYFUNCTION("""COMPUTED_VALUE"""),3.0)</f>
        <v>3</v>
      </c>
      <c r="O218" s="16">
        <f>IFERROR(__xludf.DUMMYFUNCTION("""COMPUTED_VALUE"""),2.0)</f>
        <v>2</v>
      </c>
      <c r="P218" s="16">
        <f>IFERROR(__xludf.DUMMYFUNCTION("""COMPUTED_VALUE"""),9.0)</f>
        <v>9</v>
      </c>
      <c r="Q218" s="16">
        <f>IFERROR(__xludf.DUMMYFUNCTION("""COMPUTED_VALUE"""),0.0)</f>
        <v>0</v>
      </c>
      <c r="R218" s="16">
        <f>IFERROR(__xludf.DUMMYFUNCTION("""COMPUTED_VALUE"""),0.0)</f>
        <v>0</v>
      </c>
      <c r="S218" s="16">
        <f>IFERROR(__xludf.DUMMYFUNCTION("""COMPUTED_VALUE"""),-2.0)</f>
        <v>-2</v>
      </c>
      <c r="T218" s="16">
        <f>IFERROR(__xludf.DUMMYFUNCTION("""COMPUTED_VALUE"""),0.0)</f>
        <v>0</v>
      </c>
      <c r="U218" s="16">
        <f>IFERROR(__xludf.DUMMYFUNCTION("""COMPUTED_VALUE"""),-2.0)</f>
        <v>-2</v>
      </c>
      <c r="V218" s="16">
        <f>IFERROR(__xludf.DUMMYFUNCTION("""COMPUTED_VALUE"""),45.1)</f>
        <v>45.1</v>
      </c>
      <c r="W218" s="16">
        <f>IFERROR(__xludf.DUMMYFUNCTION("""COMPUTED_VALUE"""),27.3)</f>
        <v>27.3</v>
      </c>
      <c r="X218" s="16">
        <f>IFERROR(__xludf.DUMMYFUNCTION("""COMPUTED_VALUE"""),3.0)</f>
        <v>3</v>
      </c>
      <c r="Y218" s="16">
        <f>IFERROR(__xludf.DUMMYFUNCTION("""COMPUTED_VALUE"""),1.0)</f>
        <v>1</v>
      </c>
      <c r="Z218" s="16">
        <f>IFERROR(__xludf.DUMMYFUNCTION("""COMPUTED_VALUE"""),6.0)</f>
        <v>6</v>
      </c>
      <c r="AA218" s="16">
        <f>IFERROR(__xludf.DUMMYFUNCTION("""COMPUTED_VALUE"""),2.0)</f>
        <v>2</v>
      </c>
      <c r="AB218" s="16">
        <f>IFERROR(__xludf.DUMMYFUNCTION("""COMPUTED_VALUE"""),56.1)</f>
        <v>56.1</v>
      </c>
      <c r="AC218" s="16">
        <f>IFERROR(__xludf.DUMMYFUNCTION("""COMPUTED_VALUE"""),29.3)</f>
        <v>29.3</v>
      </c>
      <c r="AD218" s="16">
        <f>IFERROR(__xludf.DUMMYFUNCTION("""COMPUTED_VALUE"""),3.0)</f>
        <v>3</v>
      </c>
      <c r="AE218" s="16">
        <f>IFERROR(__xludf.DUMMYFUNCTION("""COMPUTED_VALUE"""),0.0)</f>
        <v>0</v>
      </c>
      <c r="AF218" s="16">
        <f>IFERROR(__xludf.DUMMYFUNCTION("""COMPUTED_VALUE"""),15.0)</f>
        <v>15</v>
      </c>
      <c r="AG218" s="16">
        <f>IFERROR(__xludf.DUMMYFUNCTION("""COMPUTED_VALUE"""),0.0)</f>
        <v>0</v>
      </c>
      <c r="AH218" s="16">
        <f>IFERROR(__xludf.DUMMYFUNCTION("""COMPUTED_VALUE"""),53.9)</f>
        <v>53.9</v>
      </c>
      <c r="AI218" s="16">
        <f>IFERROR(__xludf.DUMMYFUNCTION("""COMPUTED_VALUE"""),39.2)</f>
        <v>39.2</v>
      </c>
      <c r="AJ218" s="16">
        <f>IFERROR(__xludf.DUMMYFUNCTION("""COMPUTED_VALUE"""),2.0)</f>
        <v>2</v>
      </c>
      <c r="AK218" s="16">
        <f>IFERROR(__xludf.DUMMYFUNCTION("""COMPUTED_VALUE"""),1.0)</f>
        <v>1</v>
      </c>
      <c r="AL218" s="16">
        <f>IFERROR(__xludf.DUMMYFUNCTION("""COMPUTED_VALUE"""),10.0)</f>
        <v>10</v>
      </c>
      <c r="AM218" s="16">
        <f>IFERROR(__xludf.DUMMYFUNCTION("""COMPUTED_VALUE"""),5.0)</f>
        <v>5</v>
      </c>
      <c r="AN218" s="16">
        <f>IFERROR(__xludf.DUMMYFUNCTION("""COMPUTED_VALUE"""),0.2)</f>
        <v>0.2</v>
      </c>
      <c r="AO218" s="16">
        <f>IFERROR(__xludf.DUMMYFUNCTION("""COMPUTED_VALUE"""),2.5)</f>
        <v>2.5</v>
      </c>
      <c r="AP218" s="16">
        <f>IFERROR(__xludf.DUMMYFUNCTION("""COMPUTED_VALUE"""),-2.0)</f>
        <v>-2</v>
      </c>
      <c r="AQ218" s="16">
        <f>IFERROR(__xludf.DUMMYFUNCTION("""COMPUTED_VALUE"""),0.0)</f>
        <v>0</v>
      </c>
      <c r="AR218" s="16">
        <f>IFERROR(__xludf.DUMMYFUNCTION("""COMPUTED_VALUE"""),-4.0)</f>
        <v>-4</v>
      </c>
      <c r="AS218" s="16">
        <f>IFERROR(__xludf.DUMMYFUNCTION("""COMPUTED_VALUE"""),0.0)</f>
        <v>0</v>
      </c>
      <c r="AT218" s="16">
        <f>IFERROR(__xludf.DUMMYFUNCTION("""COMPUTED_VALUE"""),0.0)</f>
        <v>0</v>
      </c>
      <c r="AU218" s="16"/>
      <c r="AV218" s="16">
        <f>IFERROR(__xludf.DUMMYFUNCTION("""COMPUTED_VALUE"""),0.0)</f>
        <v>0</v>
      </c>
      <c r="AW218" s="16">
        <f>IFERROR(__xludf.DUMMYFUNCTION("""COMPUTED_VALUE"""),-3.0)</f>
        <v>-3</v>
      </c>
      <c r="AX218" s="16">
        <f>IFERROR(__xludf.DUMMYFUNCTION("""COMPUTED_VALUE"""),-2.0)</f>
        <v>-2</v>
      </c>
      <c r="AY218" s="16">
        <f>IFERROR(__xludf.DUMMYFUNCTION("""COMPUTED_VALUE"""),-3.0)</f>
        <v>-3</v>
      </c>
      <c r="AZ218" s="16">
        <f>IFERROR(__xludf.DUMMYFUNCTION("""COMPUTED_VALUE"""),-6.0)</f>
        <v>-6</v>
      </c>
      <c r="BA218" s="16">
        <f>IFERROR(__xludf.DUMMYFUNCTION("""COMPUTED_VALUE"""),-9.0)</f>
        <v>-9</v>
      </c>
      <c r="BB218" s="16">
        <f>IFERROR(__xludf.DUMMYFUNCTION("""COMPUTED_VALUE"""),5.0)</f>
        <v>5</v>
      </c>
      <c r="BC218" s="16">
        <f>IFERROR(__xludf.DUMMYFUNCTION("""COMPUTED_VALUE"""),5.0)</f>
        <v>5</v>
      </c>
      <c r="BD218" s="16">
        <f>IFERROR(__xludf.DUMMYFUNCTION("""COMPUTED_VALUE"""),1.0)</f>
        <v>1</v>
      </c>
      <c r="BE218" s="16">
        <f>IFERROR(__xludf.DUMMYFUNCTION("""COMPUTED_VALUE"""),1.0)</f>
        <v>1</v>
      </c>
      <c r="BF218" s="16">
        <f>IFERROR(__xludf.DUMMYFUNCTION("""COMPUTED_VALUE"""),1.0)</f>
        <v>1</v>
      </c>
      <c r="BG218" s="16">
        <f>IFERROR(__xludf.DUMMYFUNCTION("""COMPUTED_VALUE"""),1.0)</f>
        <v>1</v>
      </c>
      <c r="BH218" s="16">
        <f>IFERROR(__xludf.DUMMYFUNCTION("""COMPUTED_VALUE"""),3.0)</f>
        <v>3</v>
      </c>
      <c r="BI218" s="16">
        <f>IFERROR(__xludf.DUMMYFUNCTION("""COMPUTED_VALUE"""),3.0)</f>
        <v>3</v>
      </c>
      <c r="BJ218" s="16">
        <f>IFERROR(__xludf.DUMMYFUNCTION("""COMPUTED_VALUE"""),22.0)</f>
        <v>22</v>
      </c>
      <c r="BK218" s="16">
        <f>IFERROR(__xludf.DUMMYFUNCTION("""COMPUTED_VALUE"""),25.0)</f>
        <v>25</v>
      </c>
      <c r="BL218" s="16">
        <f>IFERROR(__xludf.DUMMYFUNCTION("""COMPUTED_VALUE"""),-2.0)</f>
        <v>-2</v>
      </c>
      <c r="BM218" s="16">
        <f>IFERROR(__xludf.DUMMYFUNCTION("""COMPUTED_VALUE"""),-2.0)</f>
        <v>-2</v>
      </c>
      <c r="BN218" s="16">
        <f>IFERROR(__xludf.DUMMYFUNCTION("""COMPUTED_VALUE"""),-4.0)</f>
        <v>-4</v>
      </c>
      <c r="BO218" s="16">
        <f>IFERROR(__xludf.DUMMYFUNCTION("""COMPUTED_VALUE"""),-4.0)</f>
        <v>-4</v>
      </c>
      <c r="BP218" s="16">
        <f>IFERROR(__xludf.DUMMYFUNCTION("""COMPUTED_VALUE"""),6.0)</f>
        <v>6</v>
      </c>
      <c r="BQ218" s="16">
        <f>IFERROR(__xludf.DUMMYFUNCTION("""COMPUTED_VALUE"""),-2.0)</f>
        <v>-2</v>
      </c>
      <c r="BR218" s="16">
        <f>IFERROR(__xludf.DUMMYFUNCTION("""COMPUTED_VALUE"""),4.0)</f>
        <v>4</v>
      </c>
      <c r="BS218" s="16" t="str">
        <f>IFERROR(__xludf.DUMMYFUNCTION("""COMPUTED_VALUE"""),"7/12 (13-6)")</f>
        <v>7/12 (13-6)</v>
      </c>
      <c r="BT218" s="16" t="str">
        <f>IFERROR(__xludf.DUMMYFUNCTION("""COMPUTED_VALUE"""),"D")</f>
        <v>D</v>
      </c>
      <c r="BU218" s="16">
        <f>IFERROR(__xludf.DUMMYFUNCTION("""COMPUTED_VALUE"""),11.0)</f>
        <v>11</v>
      </c>
      <c r="BV218" s="16">
        <f>IFERROR(__xludf.DUMMYFUNCTION("""COMPUTED_VALUE"""),0.0)</f>
        <v>0</v>
      </c>
      <c r="BW218" s="16">
        <f>IFERROR(__xludf.DUMMYFUNCTION("""COMPUTED_VALUE"""),0.0)</f>
        <v>0</v>
      </c>
      <c r="BX218" s="16">
        <f>IFERROR(__xludf.DUMMYFUNCTION("""COMPUTED_VALUE"""),0.0)</f>
        <v>0</v>
      </c>
      <c r="BY218" s="16">
        <f>IFERROR(__xludf.DUMMYFUNCTION("""COMPUTED_VALUE"""),0.0)</f>
        <v>0</v>
      </c>
      <c r="BZ218" s="16" t="str">
        <f>IFERROR(__xludf.DUMMYFUNCTION("""COMPUTED_VALUE"""),"D")</f>
        <v>D</v>
      </c>
      <c r="CA218" s="16" t="str">
        <f>IFERROR(__xludf.DUMMYFUNCTION("""COMPUTED_VALUE"""),"C")</f>
        <v>C</v>
      </c>
      <c r="CB218" s="16">
        <f>IFERROR(__xludf.DUMMYFUNCTION("""COMPUTED_VALUE"""),0.0)</f>
        <v>0</v>
      </c>
      <c r="CC218" s="16">
        <f>IFERROR(__xludf.DUMMYFUNCTION("""COMPUTED_VALUE"""),0.0)</f>
        <v>0</v>
      </c>
      <c r="CD218" s="16">
        <f>IFERROR(__xludf.DUMMYFUNCTION("""COMPUTED_VALUE"""),0.0)</f>
        <v>0</v>
      </c>
      <c r="CE218" s="16">
        <f>IFERROR(__xludf.DUMMYFUNCTION("""COMPUTED_VALUE"""),0.0)</f>
        <v>0</v>
      </c>
      <c r="CF218" s="16">
        <f>IFERROR(__xludf.DUMMYFUNCTION("""COMPUTED_VALUE"""),4.0)</f>
        <v>4</v>
      </c>
      <c r="CG218" s="16">
        <f>IFERROR(__xludf.DUMMYFUNCTION("""COMPUTED_VALUE"""),21.0)</f>
        <v>21</v>
      </c>
      <c r="CH218" s="16">
        <f>IFERROR(__xludf.DUMMYFUNCTION("""COMPUTED_VALUE"""),-5.0)</f>
        <v>-5</v>
      </c>
      <c r="CI218" s="179">
        <f>IFERROR(__xludf.DUMMYFUNCTION("""COMPUTED_VALUE"""),-1.0)</f>
        <v>-1</v>
      </c>
      <c r="CJ218" s="16"/>
      <c r="CK218" s="16"/>
      <c r="CL218" s="16"/>
      <c r="CM218" s="16"/>
      <c r="CN218" s="16"/>
      <c r="CO218" s="16">
        <f>IFERROR(__xludf.DUMMYFUNCTION("""COMPUTED_VALUE"""),405.0)</f>
        <v>405</v>
      </c>
      <c r="CP218" s="16"/>
      <c r="CQ218" s="16"/>
      <c r="CR218" s="16" t="str">
        <f>IFERROR(__xludf.DUMMYFUNCTION("""COMPUTED_VALUE"""),"lf-4(-2)e5")</f>
        <v>lf-4(-2)e5</v>
      </c>
      <c r="CS218" s="16"/>
      <c r="CT218" s="16"/>
      <c r="CU218" s="16"/>
      <c r="CV218" s="16"/>
      <c r="CW218" s="16"/>
      <c r="CX218" s="16">
        <f>IFERROR(__xludf.DUMMYFUNCTION("""COMPUTED_VALUE"""),4.0)</f>
        <v>4</v>
      </c>
      <c r="CY218" s="16"/>
      <c r="CZ218" s="16"/>
      <c r="DA218" s="16"/>
      <c r="DB218" s="16"/>
      <c r="DC218" s="16"/>
      <c r="DD218" s="16"/>
      <c r="DE218" s="16"/>
      <c r="DF218" s="16">
        <f>IFERROR(__xludf.DUMMYFUNCTION("""COMPUTED_VALUE"""),5.0)</f>
        <v>5</v>
      </c>
      <c r="DG218" s="16"/>
      <c r="DH218" s="16"/>
      <c r="DI218" s="16"/>
      <c r="DJ218" s="16"/>
      <c r="DK218" s="16"/>
      <c r="DL218" s="16"/>
      <c r="DM218" s="16"/>
      <c r="DN218" s="16">
        <f>IFERROR(__xludf.DUMMYFUNCTION("""COMPUTED_VALUE"""),-1.0)</f>
        <v>-1</v>
      </c>
      <c r="DO218" s="16"/>
      <c r="DP218" s="16"/>
      <c r="DQ218" s="16"/>
      <c r="DR218" s="16"/>
      <c r="DS218" s="16"/>
      <c r="DT218" s="16"/>
      <c r="DU218" s="16"/>
      <c r="DV218" s="16">
        <f>IFERROR(__xludf.DUMMYFUNCTION("""COMPUTED_VALUE"""),2.0)</f>
        <v>2</v>
      </c>
      <c r="DW218" s="16"/>
      <c r="DX218" s="16"/>
      <c r="DY218" s="16"/>
      <c r="DZ218" s="16"/>
      <c r="EA218" s="16"/>
      <c r="EB218" s="16"/>
      <c r="EC218" s="16"/>
      <c r="ED218" s="16">
        <f>IFERROR(__xludf.DUMMYFUNCTION("""COMPUTED_VALUE"""),1.0)</f>
        <v>1</v>
      </c>
      <c r="EE218" s="16"/>
      <c r="EF218" s="16"/>
      <c r="EG218" s="179"/>
      <c r="EH218" s="179"/>
      <c r="EI218" s="179"/>
      <c r="EJ218" s="179"/>
      <c r="EK218" s="179"/>
      <c r="EL218" s="179">
        <f>IFERROR(__xludf.DUMMYFUNCTION("""COMPUTED_VALUE"""),0.0)</f>
        <v>0</v>
      </c>
      <c r="EM218" s="179"/>
      <c r="EN218" s="179"/>
      <c r="EO218" s="16"/>
      <c r="EP218" s="16"/>
      <c r="EQ218" s="16">
        <f>IFERROR(__xludf.DUMMYFUNCTION("""COMPUTED_VALUE"""),-1.0)</f>
        <v>-1</v>
      </c>
      <c r="ER218" s="16">
        <f>IFERROR(__xludf.DUMMYFUNCTION("""COMPUTED_VALUE"""),-1.0)</f>
        <v>-1</v>
      </c>
      <c r="ES218" s="16"/>
      <c r="ET218" s="16"/>
      <c r="EU218" s="16"/>
      <c r="EV218" s="16"/>
      <c r="EW218" s="16"/>
      <c r="EX218" s="180"/>
      <c r="EY218" s="180"/>
      <c r="EZ218" s="180"/>
      <c r="FA218" s="180"/>
      <c r="FB218" s="180"/>
      <c r="FC218" s="180">
        <f>IFERROR(__xludf.DUMMYFUNCTION("""COMPUTED_VALUE"""),0.55)</f>
        <v>0.55</v>
      </c>
      <c r="FD218" s="180"/>
      <c r="FE218" s="180"/>
      <c r="FF218" s="180"/>
      <c r="FG218" s="180"/>
      <c r="FH218" s="180"/>
      <c r="FI218" s="180"/>
      <c r="FJ218" s="180"/>
      <c r="FK218" s="180">
        <f>IFERROR(__xludf.DUMMYFUNCTION("""COMPUTED_VALUE"""),0.088)</f>
        <v>0.088</v>
      </c>
      <c r="FL218" s="180"/>
      <c r="FM218" s="180"/>
      <c r="FN218" s="16"/>
      <c r="FO218" s="16"/>
      <c r="FP218" s="16"/>
      <c r="FQ218" s="16"/>
      <c r="FR218" s="16"/>
      <c r="FS218" s="16">
        <f>IFERROR(__xludf.DUMMYFUNCTION("""COMPUTED_VALUE"""),0.4104)</f>
        <v>0.4104</v>
      </c>
      <c r="FT218" s="16"/>
      <c r="FU218" s="16"/>
      <c r="FV218" s="16"/>
      <c r="FW218" s="16"/>
      <c r="FX218" s="16"/>
      <c r="FY218" s="16"/>
      <c r="FZ218" s="16"/>
      <c r="GA218" s="16">
        <f>IFERROR(__xludf.DUMMYFUNCTION("""COMPUTED_VALUE"""),-8.0)</f>
        <v>-8</v>
      </c>
      <c r="GB218" s="16"/>
      <c r="GC218" s="16"/>
      <c r="GD218" s="16" t="s">
        <v>306</v>
      </c>
    </row>
    <row r="219">
      <c r="A219" s="16">
        <f>IFERROR(__xludf.DUMMYFUNCTION("""COMPUTED_VALUE"""),12624.0)</f>
        <v>12624</v>
      </c>
      <c r="B219" s="16" t="str">
        <f>IFERROR(__xludf.DUMMYFUNCTION("""COMPUTED_VALUE"""),"Bryan De La Cruz")</f>
        <v>Bryan De La Cruz</v>
      </c>
      <c r="C219" s="16">
        <f>IFERROR(__xludf.DUMMYFUNCTION("""COMPUTED_VALUE"""),0.0)</f>
        <v>0</v>
      </c>
      <c r="D219" s="16" t="str">
        <f>IFERROR(__xludf.DUMMYFUNCTION("""COMPUTED_VALUE"""),"R")</f>
        <v>R</v>
      </c>
      <c r="E219" s="16"/>
      <c r="F219" s="16"/>
      <c r="G219" s="16">
        <f>IFERROR(__xludf.DUMMYFUNCTION("""COMPUTED_VALUE"""),584.0)</f>
        <v>584</v>
      </c>
      <c r="H219" s="16">
        <f>IFERROR(__xludf.DUMMYFUNCTION("""COMPUTED_VALUE"""),29.0)</f>
        <v>29</v>
      </c>
      <c r="I219" s="16" t="str">
        <f>IFERROR(__xludf.DUMMYFUNCTION("""COMPUTED_VALUE"""),"1p70")</f>
        <v>1p70</v>
      </c>
      <c r="J219" s="16">
        <f>IFERROR(__xludf.DUMMYFUNCTION("""COMPUTED_VALUE"""),30.0)</f>
        <v>30</v>
      </c>
      <c r="K219" s="16">
        <f>IFERROR(__xludf.DUMMYFUNCTION("""COMPUTED_VALUE"""),37.0)</f>
        <v>37</v>
      </c>
      <c r="L219" s="16">
        <f>IFERROR(__xludf.DUMMYFUNCTION("""COMPUTED_VALUE"""),0.0)</f>
        <v>0</v>
      </c>
      <c r="M219" s="16">
        <f>IFERROR(__xludf.DUMMYFUNCTION("""COMPUTED_VALUE"""),-1.0)</f>
        <v>-1</v>
      </c>
      <c r="N219" s="16">
        <f>IFERROR(__xludf.DUMMYFUNCTION("""COMPUTED_VALUE"""),0.0)</f>
        <v>0</v>
      </c>
      <c r="O219" s="16">
        <f>IFERROR(__xludf.DUMMYFUNCTION("""COMPUTED_VALUE"""),-1.0)</f>
        <v>-1</v>
      </c>
      <c r="P219" s="16">
        <f>IFERROR(__xludf.DUMMYFUNCTION("""COMPUTED_VALUE"""),0.0)</f>
        <v>0</v>
      </c>
      <c r="Q219" s="16">
        <f>IFERROR(__xludf.DUMMYFUNCTION("""COMPUTED_VALUE"""),3.0)</f>
        <v>3</v>
      </c>
      <c r="R219" s="16">
        <f>IFERROR(__xludf.DUMMYFUNCTION("""COMPUTED_VALUE"""),-3.0)</f>
        <v>-3</v>
      </c>
      <c r="S219" s="16">
        <f>IFERROR(__xludf.DUMMYFUNCTION("""COMPUTED_VALUE"""),-2.0)</f>
        <v>-2</v>
      </c>
      <c r="T219" s="16">
        <f>IFERROR(__xludf.DUMMYFUNCTION("""COMPUTED_VALUE"""),-3.0)</f>
        <v>-3</v>
      </c>
      <c r="U219" s="16">
        <f>IFERROR(__xludf.DUMMYFUNCTION("""COMPUTED_VALUE"""),-2.0)</f>
        <v>-2</v>
      </c>
      <c r="V219" s="16">
        <f>IFERROR(__xludf.DUMMYFUNCTION("""COMPUTED_VALUE"""),30.4)</f>
        <v>30.4</v>
      </c>
      <c r="W219" s="16">
        <f>IFERROR(__xludf.DUMMYFUNCTION("""COMPUTED_VALUE"""),13.1)</f>
        <v>13.1</v>
      </c>
      <c r="X219" s="16">
        <f>IFERROR(__xludf.DUMMYFUNCTION("""COMPUTED_VALUE"""),2.0)</f>
        <v>2</v>
      </c>
      <c r="Y219" s="16">
        <f>IFERROR(__xludf.DUMMYFUNCTION("""COMPUTED_VALUE"""),-1.0)</f>
        <v>-1</v>
      </c>
      <c r="Z219" s="16">
        <f>IFERROR(__xludf.DUMMYFUNCTION("""COMPUTED_VALUE"""),4.0)</f>
        <v>4</v>
      </c>
      <c r="AA219" s="16">
        <f>IFERROR(__xludf.DUMMYFUNCTION("""COMPUTED_VALUE"""),-2.0)</f>
        <v>-2</v>
      </c>
      <c r="AB219" s="16">
        <f>IFERROR(__xludf.DUMMYFUNCTION("""COMPUTED_VALUE"""),31.4)</f>
        <v>31.4</v>
      </c>
      <c r="AC219" s="16">
        <f>IFERROR(__xludf.DUMMYFUNCTION("""COMPUTED_VALUE"""),17.1)</f>
        <v>17.1</v>
      </c>
      <c r="AD219" s="16">
        <f>IFERROR(__xludf.DUMMYFUNCTION("""COMPUTED_VALUE"""),0.0)</f>
        <v>0</v>
      </c>
      <c r="AE219" s="16">
        <f>IFERROR(__xludf.DUMMYFUNCTION("""COMPUTED_VALUE"""),-2.0)</f>
        <v>-2</v>
      </c>
      <c r="AF219" s="16">
        <f>IFERROR(__xludf.DUMMYFUNCTION("""COMPUTED_VALUE"""),0.0)</f>
        <v>0</v>
      </c>
      <c r="AG219" s="16">
        <f>IFERROR(__xludf.DUMMYFUNCTION("""COMPUTED_VALUE"""),-10.0)</f>
        <v>-10</v>
      </c>
      <c r="AH219" s="16">
        <f>IFERROR(__xludf.DUMMYFUNCTION("""COMPUTED_VALUE"""),42.3)</f>
        <v>42.3</v>
      </c>
      <c r="AI219" s="16">
        <f>IFERROR(__xludf.DUMMYFUNCTION("""COMPUTED_VALUE"""),23.8)</f>
        <v>23.8</v>
      </c>
      <c r="AJ219" s="16">
        <f>IFERROR(__xludf.DUMMYFUNCTION("""COMPUTED_VALUE"""),1.0)</f>
        <v>1</v>
      </c>
      <c r="AK219" s="16">
        <f>IFERROR(__xludf.DUMMYFUNCTION("""COMPUTED_VALUE"""),-1.0)</f>
        <v>-1</v>
      </c>
      <c r="AL219" s="16">
        <f>IFERROR(__xludf.DUMMYFUNCTION("""COMPUTED_VALUE"""),5.0)</f>
        <v>5</v>
      </c>
      <c r="AM219" s="16">
        <f>IFERROR(__xludf.DUMMYFUNCTION("""COMPUTED_VALUE"""),-5.0)</f>
        <v>-5</v>
      </c>
      <c r="AN219" s="16">
        <f>IFERROR(__xludf.DUMMYFUNCTION("""COMPUTED_VALUE"""),0.8)</f>
        <v>0.8</v>
      </c>
      <c r="AO219" s="16">
        <f>IFERROR(__xludf.DUMMYFUNCTION("""COMPUTED_VALUE"""),3.3)</f>
        <v>3.3</v>
      </c>
      <c r="AP219" s="16">
        <f>IFERROR(__xludf.DUMMYFUNCTION("""COMPUTED_VALUE"""),-2.0)</f>
        <v>-2</v>
      </c>
      <c r="AQ219" s="16">
        <f>IFERROR(__xludf.DUMMYFUNCTION("""COMPUTED_VALUE"""),1.0)</f>
        <v>1</v>
      </c>
      <c r="AR219" s="16">
        <f>IFERROR(__xludf.DUMMYFUNCTION("""COMPUTED_VALUE"""),-4.0)</f>
        <v>-4</v>
      </c>
      <c r="AS219" s="16">
        <f>IFERROR(__xludf.DUMMYFUNCTION("""COMPUTED_VALUE"""),2.0)</f>
        <v>2</v>
      </c>
      <c r="AT219" s="16">
        <f>IFERROR(__xludf.DUMMYFUNCTION("""COMPUTED_VALUE"""),1.0)</f>
        <v>1</v>
      </c>
      <c r="AU219" s="16">
        <f>IFERROR(__xludf.DUMMYFUNCTION("""COMPUTED_VALUE"""),6.0)</f>
        <v>6</v>
      </c>
      <c r="AV219" s="16">
        <f>IFERROR(__xludf.DUMMYFUNCTION("""COMPUTED_VALUE"""),1.0)</f>
        <v>1</v>
      </c>
      <c r="AW219" s="16">
        <f>IFERROR(__xludf.DUMMYFUNCTION("""COMPUTED_VALUE"""),6.0)</f>
        <v>6</v>
      </c>
      <c r="AX219" s="16">
        <f>IFERROR(__xludf.DUMMYFUNCTION("""COMPUTED_VALUE"""),-1.0)</f>
        <v>-1</v>
      </c>
      <c r="AY219" s="16">
        <f>IFERROR(__xludf.DUMMYFUNCTION("""COMPUTED_VALUE"""),2.0)</f>
        <v>2</v>
      </c>
      <c r="AZ219" s="16">
        <f>IFERROR(__xludf.DUMMYFUNCTION("""COMPUTED_VALUE"""),-3.0)</f>
        <v>-3</v>
      </c>
      <c r="BA219" s="16">
        <f>IFERROR(__xludf.DUMMYFUNCTION("""COMPUTED_VALUE"""),6.0)</f>
        <v>6</v>
      </c>
      <c r="BB219" s="16">
        <f>IFERROR(__xludf.DUMMYFUNCTION("""COMPUTED_VALUE"""),5.0)</f>
        <v>5</v>
      </c>
      <c r="BC219" s="16">
        <f>IFERROR(__xludf.DUMMYFUNCTION("""COMPUTED_VALUE"""),5.0)</f>
        <v>5</v>
      </c>
      <c r="BD219" s="16">
        <f>IFERROR(__xludf.DUMMYFUNCTION("""COMPUTED_VALUE"""),1.0)</f>
        <v>1</v>
      </c>
      <c r="BE219" s="16">
        <f>IFERROR(__xludf.DUMMYFUNCTION("""COMPUTED_VALUE"""),1.0)</f>
        <v>1</v>
      </c>
      <c r="BF219" s="16">
        <f>IFERROR(__xludf.DUMMYFUNCTION("""COMPUTED_VALUE"""),1.0)</f>
        <v>1</v>
      </c>
      <c r="BG219" s="16">
        <f>IFERROR(__xludf.DUMMYFUNCTION("""COMPUTED_VALUE"""),1.0)</f>
        <v>1</v>
      </c>
      <c r="BH219" s="16">
        <f>IFERROR(__xludf.DUMMYFUNCTION("""COMPUTED_VALUE"""),-2.0)</f>
        <v>-2</v>
      </c>
      <c r="BI219" s="16">
        <f>IFERROR(__xludf.DUMMYFUNCTION("""COMPUTED_VALUE"""),-2.0)</f>
        <v>-2</v>
      </c>
      <c r="BJ219" s="16">
        <f>IFERROR(__xludf.DUMMYFUNCTION("""COMPUTED_VALUE"""),14.0)</f>
        <v>14</v>
      </c>
      <c r="BK219" s="16">
        <f>IFERROR(__xludf.DUMMYFUNCTION("""COMPUTED_VALUE"""),13.0)</f>
        <v>13</v>
      </c>
      <c r="BL219" s="16">
        <f>IFERROR(__xludf.DUMMYFUNCTION("""COMPUTED_VALUE"""),0.0)</f>
        <v>0</v>
      </c>
      <c r="BM219" s="16">
        <f>IFERROR(__xludf.DUMMYFUNCTION("""COMPUTED_VALUE"""),0.0)</f>
        <v>0</v>
      </c>
      <c r="BN219" s="16">
        <f>IFERROR(__xludf.DUMMYFUNCTION("""COMPUTED_VALUE"""),0.0)</f>
        <v>0</v>
      </c>
      <c r="BO219" s="16">
        <f>IFERROR(__xludf.DUMMYFUNCTION("""COMPUTED_VALUE"""),0.0)</f>
        <v>0</v>
      </c>
      <c r="BP219" s="16">
        <f>IFERROR(__xludf.DUMMYFUNCTION("""COMPUTED_VALUE"""),-2.0)</f>
        <v>-2</v>
      </c>
      <c r="BQ219" s="16">
        <f>IFERROR(__xludf.DUMMYFUNCTION("""COMPUTED_VALUE"""),-3.0)</f>
        <v>-3</v>
      </c>
      <c r="BR219" s="16">
        <f>IFERROR(__xludf.DUMMYFUNCTION("""COMPUTED_VALUE"""),-5.0)</f>
        <v>-5</v>
      </c>
      <c r="BS219" s="16" t="str">
        <f>IFERROR(__xludf.DUMMYFUNCTION("""COMPUTED_VALUE"""),"6/- (14-6)")</f>
        <v>6/- (14-6)</v>
      </c>
      <c r="BT219" s="16" t="str">
        <f>IFERROR(__xludf.DUMMYFUNCTION("""COMPUTED_VALUE"""),"D")</f>
        <v>D</v>
      </c>
      <c r="BU219" s="16">
        <f>IFERROR(__xludf.DUMMYFUNCTION("""COMPUTED_VALUE"""),12.0)</f>
        <v>12</v>
      </c>
      <c r="BV219" s="16">
        <f>IFERROR(__xludf.DUMMYFUNCTION("""COMPUTED_VALUE"""),0.0)</f>
        <v>0</v>
      </c>
      <c r="BW219" s="16">
        <f>IFERROR(__xludf.DUMMYFUNCTION("""COMPUTED_VALUE"""),0.0)</f>
        <v>0</v>
      </c>
      <c r="BX219" s="16">
        <f>IFERROR(__xludf.DUMMYFUNCTION("""COMPUTED_VALUE"""),0.0)</f>
        <v>0</v>
      </c>
      <c r="BY219" s="16">
        <f>IFERROR(__xludf.DUMMYFUNCTION("""COMPUTED_VALUE"""),0.0)</f>
        <v>0</v>
      </c>
      <c r="BZ219" s="16" t="str">
        <f>IFERROR(__xludf.DUMMYFUNCTION("""COMPUTED_VALUE"""),"D")</f>
        <v>D</v>
      </c>
      <c r="CA219" s="16" t="str">
        <f>IFERROR(__xludf.DUMMYFUNCTION("""COMPUTED_VALUE"""),"D")</f>
        <v>D</v>
      </c>
      <c r="CB219" s="16">
        <f>IFERROR(__xludf.DUMMYFUNCTION("""COMPUTED_VALUE"""),0.0)</f>
        <v>0</v>
      </c>
      <c r="CC219" s="16">
        <f>IFERROR(__xludf.DUMMYFUNCTION("""COMPUTED_VALUE"""),0.0)</f>
        <v>0</v>
      </c>
      <c r="CD219" s="16">
        <f>IFERROR(__xludf.DUMMYFUNCTION("""COMPUTED_VALUE"""),0.0)</f>
        <v>0</v>
      </c>
      <c r="CE219" s="16">
        <f>IFERROR(__xludf.DUMMYFUNCTION("""COMPUTED_VALUE"""),0.0)</f>
        <v>0</v>
      </c>
      <c r="CF219" s="16">
        <f>IFERROR(__xludf.DUMMYFUNCTION("""COMPUTED_VALUE"""),1.0)</f>
        <v>1</v>
      </c>
      <c r="CG219" s="16">
        <f>IFERROR(__xludf.DUMMYFUNCTION("""COMPUTED_VALUE"""),0.0)</f>
        <v>0</v>
      </c>
      <c r="CH219" s="16">
        <f>IFERROR(__xludf.DUMMYFUNCTION("""COMPUTED_VALUE"""),-11.0)</f>
        <v>-11</v>
      </c>
      <c r="CI219" s="179">
        <f>IFERROR(__xludf.DUMMYFUNCTION("""COMPUTED_VALUE"""),-1.0)</f>
        <v>-1</v>
      </c>
      <c r="CJ219" s="16"/>
      <c r="CK219" s="16"/>
      <c r="CL219" s="16"/>
      <c r="CM219" s="16"/>
      <c r="CN219" s="16"/>
      <c r="CO219" s="16">
        <f>IFERROR(__xludf.DUMMYFUNCTION("""COMPUTED_VALUE"""),407.0)</f>
        <v>407</v>
      </c>
      <c r="CP219" s="16"/>
      <c r="CQ219" s="16">
        <f>IFERROR(__xludf.DUMMYFUNCTION("""COMPUTED_VALUE"""),407.0)</f>
        <v>407</v>
      </c>
      <c r="CR219" s="16" t="str">
        <f>IFERROR(__xludf.DUMMYFUNCTION("""COMPUTED_VALUE"""),"rf-4(-1)e7 lf-4e7")</f>
        <v>rf-4(-1)e7 lf-4e7</v>
      </c>
      <c r="CS219" s="16"/>
      <c r="CT219" s="16"/>
      <c r="CU219" s="16"/>
      <c r="CV219" s="16"/>
      <c r="CW219" s="16"/>
      <c r="CX219" s="16">
        <f>IFERROR(__xludf.DUMMYFUNCTION("""COMPUTED_VALUE"""),4.0)</f>
        <v>4</v>
      </c>
      <c r="CY219" s="16"/>
      <c r="CZ219" s="16">
        <f>IFERROR(__xludf.DUMMYFUNCTION("""COMPUTED_VALUE"""),4.0)</f>
        <v>4</v>
      </c>
      <c r="DA219" s="16"/>
      <c r="DB219" s="16"/>
      <c r="DC219" s="16"/>
      <c r="DD219" s="16"/>
      <c r="DE219" s="16"/>
      <c r="DF219" s="16">
        <f>IFERROR(__xludf.DUMMYFUNCTION("""COMPUTED_VALUE"""),7.0)</f>
        <v>7</v>
      </c>
      <c r="DG219" s="16"/>
      <c r="DH219" s="16">
        <f>IFERROR(__xludf.DUMMYFUNCTION("""COMPUTED_VALUE"""),7.0)</f>
        <v>7</v>
      </c>
      <c r="DI219" s="16"/>
      <c r="DJ219" s="16"/>
      <c r="DK219" s="16"/>
      <c r="DL219" s="16"/>
      <c r="DM219" s="16"/>
      <c r="DN219" s="16">
        <f>IFERROR(__xludf.DUMMYFUNCTION("""COMPUTED_VALUE"""),-1.0)</f>
        <v>-1</v>
      </c>
      <c r="DO219" s="16"/>
      <c r="DP219" s="16">
        <f>IFERROR(__xludf.DUMMYFUNCTION("""COMPUTED_VALUE"""),-1.0)</f>
        <v>-1</v>
      </c>
      <c r="DQ219" s="16"/>
      <c r="DR219" s="16"/>
      <c r="DS219" s="16"/>
      <c r="DT219" s="16"/>
      <c r="DU219" s="16"/>
      <c r="DV219" s="16">
        <f>IFERROR(__xludf.DUMMYFUNCTION("""COMPUTED_VALUE"""),2.0)</f>
        <v>2</v>
      </c>
      <c r="DW219" s="16"/>
      <c r="DX219" s="16">
        <f>IFERROR(__xludf.DUMMYFUNCTION("""COMPUTED_VALUE"""),2.0)</f>
        <v>2</v>
      </c>
      <c r="DY219" s="16"/>
      <c r="DZ219" s="16"/>
      <c r="EA219" s="16"/>
      <c r="EB219" s="16"/>
      <c r="EC219" s="16"/>
      <c r="ED219" s="16">
        <f>IFERROR(__xludf.DUMMYFUNCTION("""COMPUTED_VALUE"""),1.0)</f>
        <v>1</v>
      </c>
      <c r="EE219" s="16"/>
      <c r="EF219" s="16">
        <f>IFERROR(__xludf.DUMMYFUNCTION("""COMPUTED_VALUE"""),1.0)</f>
        <v>1</v>
      </c>
      <c r="EG219" s="179"/>
      <c r="EH219" s="179"/>
      <c r="EI219" s="179"/>
      <c r="EJ219" s="179"/>
      <c r="EK219" s="179"/>
      <c r="EL219" s="179">
        <f>IFERROR(__xludf.DUMMYFUNCTION("""COMPUTED_VALUE"""),0.0)</f>
        <v>0</v>
      </c>
      <c r="EM219" s="179"/>
      <c r="EN219" s="179">
        <f>IFERROR(__xludf.DUMMYFUNCTION("""COMPUTED_VALUE"""),0.0)</f>
        <v>0</v>
      </c>
      <c r="EO219" s="16"/>
      <c r="EP219" s="16"/>
      <c r="EQ219" s="16">
        <f>IFERROR(__xludf.DUMMYFUNCTION("""COMPUTED_VALUE"""),4.0)</f>
        <v>4</v>
      </c>
      <c r="ER219" s="16">
        <f>IFERROR(__xludf.DUMMYFUNCTION("""COMPUTED_VALUE"""),3.0)</f>
        <v>3</v>
      </c>
      <c r="ES219" s="16"/>
      <c r="ET219" s="16"/>
      <c r="EU219" s="16"/>
      <c r="EV219" s="16"/>
      <c r="EW219" s="16"/>
      <c r="EX219" s="180"/>
      <c r="EY219" s="180"/>
      <c r="EZ219" s="180"/>
      <c r="FA219" s="180"/>
      <c r="FB219" s="180"/>
      <c r="FC219" s="180">
        <f>IFERROR(__xludf.DUMMYFUNCTION("""COMPUTED_VALUE"""),0.55)</f>
        <v>0.55</v>
      </c>
      <c r="FD219" s="180"/>
      <c r="FE219" s="180">
        <f>IFERROR(__xludf.DUMMYFUNCTION("""COMPUTED_VALUE"""),0.55)</f>
        <v>0.55</v>
      </c>
      <c r="FF219" s="180"/>
      <c r="FG219" s="180"/>
      <c r="FH219" s="180"/>
      <c r="FI219" s="180"/>
      <c r="FJ219" s="180"/>
      <c r="FK219" s="180">
        <f>IFERROR(__xludf.DUMMYFUNCTION("""COMPUTED_VALUE"""),0.125)</f>
        <v>0.125</v>
      </c>
      <c r="FL219" s="180"/>
      <c r="FM219" s="180">
        <f>IFERROR(__xludf.DUMMYFUNCTION("""COMPUTED_VALUE"""),0.125)</f>
        <v>0.125</v>
      </c>
      <c r="FN219" s="16"/>
      <c r="FO219" s="16"/>
      <c r="FP219" s="16"/>
      <c r="FQ219" s="16"/>
      <c r="FR219" s="16"/>
      <c r="FS219" s="16">
        <f>IFERROR(__xludf.DUMMYFUNCTION("""COMPUTED_VALUE"""),0.39374999999999993)</f>
        <v>0.39375</v>
      </c>
      <c r="FT219" s="16"/>
      <c r="FU219" s="16">
        <f>IFERROR(__xludf.DUMMYFUNCTION("""COMPUTED_VALUE"""),0.39374999999999993)</f>
        <v>0.39375</v>
      </c>
      <c r="FV219" s="16"/>
      <c r="FW219" s="16"/>
      <c r="FX219" s="16"/>
      <c r="FY219" s="16"/>
      <c r="FZ219" s="16"/>
      <c r="GA219" s="16">
        <f>IFERROR(__xludf.DUMMYFUNCTION("""COMPUTED_VALUE"""),-8.0)</f>
        <v>-8</v>
      </c>
      <c r="GB219" s="16"/>
      <c r="GC219" s="16">
        <f>IFERROR(__xludf.DUMMYFUNCTION("""COMPUTED_VALUE"""),-8.0)</f>
        <v>-8</v>
      </c>
      <c r="GD219" s="16" t="s">
        <v>176</v>
      </c>
    </row>
    <row r="220">
      <c r="A220" s="16">
        <f>IFERROR(__xludf.DUMMYFUNCTION("""COMPUTED_VALUE"""),12662.0)</f>
        <v>12662</v>
      </c>
      <c r="B220" s="16" t="str">
        <f>IFERROR(__xludf.DUMMYFUNCTION("""COMPUTED_VALUE"""),"Casey Schmitt")</f>
        <v>Casey Schmitt</v>
      </c>
      <c r="C220" s="16">
        <f>IFERROR(__xludf.DUMMYFUNCTION("""COMPUTED_VALUE"""),0.51)</f>
        <v>0.51</v>
      </c>
      <c r="D220" s="16" t="str">
        <f>IFERROR(__xludf.DUMMYFUNCTION("""COMPUTED_VALUE"""),"R")</f>
        <v>R</v>
      </c>
      <c r="E220" s="16"/>
      <c r="F220" s="16"/>
      <c r="G220" s="16">
        <f>IFERROR(__xludf.DUMMYFUNCTION("""COMPUTED_VALUE"""),107.0)</f>
        <v>107</v>
      </c>
      <c r="H220" s="16">
        <f>IFERROR(__xludf.DUMMYFUNCTION("""COMPUTED_VALUE"""),4.0)</f>
        <v>4</v>
      </c>
      <c r="I220" s="16" t="str">
        <f>IFERROR(__xludf.DUMMYFUNCTION("""COMPUTED_VALUE"""),"1p20")</f>
        <v>1p20</v>
      </c>
      <c r="J220" s="16">
        <f>IFERROR(__xludf.DUMMYFUNCTION("""COMPUTED_VALUE"""),22.0)</f>
        <v>22</v>
      </c>
      <c r="K220" s="16">
        <f>IFERROR(__xludf.DUMMYFUNCTION("""COMPUTED_VALUE"""),24.0)</f>
        <v>24</v>
      </c>
      <c r="L220" s="16">
        <f>IFERROR(__xludf.DUMMYFUNCTION("""COMPUTED_VALUE"""),0.0)</f>
        <v>0</v>
      </c>
      <c r="M220" s="16">
        <f>IFERROR(__xludf.DUMMYFUNCTION("""COMPUTED_VALUE"""),0.0)</f>
        <v>0</v>
      </c>
      <c r="N220" s="16">
        <f>IFERROR(__xludf.DUMMYFUNCTION("""COMPUTED_VALUE"""),0.0)</f>
        <v>0</v>
      </c>
      <c r="O220" s="16">
        <f>IFERROR(__xludf.DUMMYFUNCTION("""COMPUTED_VALUE"""),0.0)</f>
        <v>0</v>
      </c>
      <c r="P220" s="16">
        <f>IFERROR(__xludf.DUMMYFUNCTION("""COMPUTED_VALUE"""),0.0)</f>
        <v>0</v>
      </c>
      <c r="Q220" s="16">
        <f>IFERROR(__xludf.DUMMYFUNCTION("""COMPUTED_VALUE"""),0.0)</f>
        <v>0</v>
      </c>
      <c r="R220" s="16">
        <f>IFERROR(__xludf.DUMMYFUNCTION("""COMPUTED_VALUE"""),-3.0)</f>
        <v>-3</v>
      </c>
      <c r="S220" s="16">
        <f>IFERROR(__xludf.DUMMYFUNCTION("""COMPUTED_VALUE"""),-2.0)</f>
        <v>-2</v>
      </c>
      <c r="T220" s="16">
        <f>IFERROR(__xludf.DUMMYFUNCTION("""COMPUTED_VALUE"""),-3.0)</f>
        <v>-3</v>
      </c>
      <c r="U220" s="16">
        <f>IFERROR(__xludf.DUMMYFUNCTION("""COMPUTED_VALUE"""),-2.0)</f>
        <v>-2</v>
      </c>
      <c r="V220" s="16">
        <f>IFERROR(__xludf.DUMMYFUNCTION("""COMPUTED_VALUE"""),27.4)</f>
        <v>27.4</v>
      </c>
      <c r="W220" s="16">
        <f>IFERROR(__xludf.DUMMYFUNCTION("""COMPUTED_VALUE"""),19.8)</f>
        <v>19.8</v>
      </c>
      <c r="X220" s="16">
        <f>IFERROR(__xludf.DUMMYFUNCTION("""COMPUTED_VALUE"""),1.0)</f>
        <v>1</v>
      </c>
      <c r="Y220" s="16">
        <f>IFERROR(__xludf.DUMMYFUNCTION("""COMPUTED_VALUE"""),0.0)</f>
        <v>0</v>
      </c>
      <c r="Z220" s="16">
        <f>IFERROR(__xludf.DUMMYFUNCTION("""COMPUTED_VALUE"""),2.0)</f>
        <v>2</v>
      </c>
      <c r="AA220" s="16">
        <f>IFERROR(__xludf.DUMMYFUNCTION("""COMPUTED_VALUE"""),0.0)</f>
        <v>0</v>
      </c>
      <c r="AB220" s="16">
        <f>IFERROR(__xludf.DUMMYFUNCTION("""COMPUTED_VALUE"""),29.4)</f>
        <v>29.4</v>
      </c>
      <c r="AC220" s="16">
        <f>IFERROR(__xludf.DUMMYFUNCTION("""COMPUTED_VALUE"""),21.8)</f>
        <v>21.8</v>
      </c>
      <c r="AD220" s="16">
        <f>IFERROR(__xludf.DUMMYFUNCTION("""COMPUTED_VALUE"""),0.0)</f>
        <v>0</v>
      </c>
      <c r="AE220" s="16">
        <f>IFERROR(__xludf.DUMMYFUNCTION("""COMPUTED_VALUE"""),-2.0)</f>
        <v>-2</v>
      </c>
      <c r="AF220" s="16">
        <f>IFERROR(__xludf.DUMMYFUNCTION("""COMPUTED_VALUE"""),0.0)</f>
        <v>0</v>
      </c>
      <c r="AG220" s="16">
        <f>IFERROR(__xludf.DUMMYFUNCTION("""COMPUTED_VALUE"""),-10.0)</f>
        <v>-10</v>
      </c>
      <c r="AH220" s="16">
        <f>IFERROR(__xludf.DUMMYFUNCTION("""COMPUTED_VALUE"""),71.9)</f>
        <v>71.9</v>
      </c>
      <c r="AI220" s="16">
        <f>IFERROR(__xludf.DUMMYFUNCTION("""COMPUTED_VALUE"""),30.4)</f>
        <v>30.4</v>
      </c>
      <c r="AJ220" s="16">
        <f>IFERROR(__xludf.DUMMYFUNCTION("""COMPUTED_VALUE"""),3.0)</f>
        <v>3</v>
      </c>
      <c r="AK220" s="16">
        <f>IFERROR(__xludf.DUMMYFUNCTION("""COMPUTED_VALUE"""),0.0)</f>
        <v>0</v>
      </c>
      <c r="AL220" s="16">
        <f>IFERROR(__xludf.DUMMYFUNCTION("""COMPUTED_VALUE"""),15.0)</f>
        <v>15</v>
      </c>
      <c r="AM220" s="16">
        <f>IFERROR(__xludf.DUMMYFUNCTION("""COMPUTED_VALUE"""),0.0)</f>
        <v>0</v>
      </c>
      <c r="AN220" s="16">
        <f>IFERROR(__xludf.DUMMYFUNCTION("""COMPUTED_VALUE"""),12.1)</f>
        <v>12.1</v>
      </c>
      <c r="AO220" s="16">
        <f>IFERROR(__xludf.DUMMYFUNCTION("""COMPUTED_VALUE"""),2.0)</f>
        <v>2</v>
      </c>
      <c r="AP220" s="16">
        <f>IFERROR(__xludf.DUMMYFUNCTION("""COMPUTED_VALUE"""),3.0)</f>
        <v>3</v>
      </c>
      <c r="AQ220" s="16">
        <f>IFERROR(__xludf.DUMMYFUNCTION("""COMPUTED_VALUE"""),-1.0)</f>
        <v>-1</v>
      </c>
      <c r="AR220" s="16">
        <f>IFERROR(__xludf.DUMMYFUNCTION("""COMPUTED_VALUE"""),6.0)</f>
        <v>6</v>
      </c>
      <c r="AS220" s="16">
        <f>IFERROR(__xludf.DUMMYFUNCTION("""COMPUTED_VALUE"""),-2.0)</f>
        <v>-2</v>
      </c>
      <c r="AT220" s="16">
        <f>IFERROR(__xludf.DUMMYFUNCTION("""COMPUTED_VALUE"""),8.0)</f>
        <v>8</v>
      </c>
      <c r="AU220" s="16">
        <f>IFERROR(__xludf.DUMMYFUNCTION("""COMPUTED_VALUE"""),4.0)</f>
        <v>4</v>
      </c>
      <c r="AV220" s="16">
        <f>IFERROR(__xludf.DUMMYFUNCTION("""COMPUTED_VALUE"""),8.0)</f>
        <v>8</v>
      </c>
      <c r="AW220" s="16">
        <f>IFERROR(__xludf.DUMMYFUNCTION("""COMPUTED_VALUE"""),4.0)</f>
        <v>4</v>
      </c>
      <c r="AX220" s="16">
        <f>IFERROR(__xludf.DUMMYFUNCTION("""COMPUTED_VALUE"""),3.0)</f>
        <v>3</v>
      </c>
      <c r="AY220" s="16">
        <f>IFERROR(__xludf.DUMMYFUNCTION("""COMPUTED_VALUE"""),1.0)</f>
        <v>1</v>
      </c>
      <c r="AZ220" s="16">
        <f>IFERROR(__xludf.DUMMYFUNCTION("""COMPUTED_VALUE"""),9.0)</f>
        <v>9</v>
      </c>
      <c r="BA220" s="16">
        <f>IFERROR(__xludf.DUMMYFUNCTION("""COMPUTED_VALUE"""),3.0)</f>
        <v>3</v>
      </c>
      <c r="BB220" s="16">
        <f>IFERROR(__xludf.DUMMYFUNCTION("""COMPUTED_VALUE"""),5.0)</f>
        <v>5</v>
      </c>
      <c r="BC220" s="16">
        <f>IFERROR(__xludf.DUMMYFUNCTION("""COMPUTED_VALUE"""),5.0)</f>
        <v>5</v>
      </c>
      <c r="BD220" s="16">
        <f>IFERROR(__xludf.DUMMYFUNCTION("""COMPUTED_VALUE"""),1.0)</f>
        <v>1</v>
      </c>
      <c r="BE220" s="16">
        <f>IFERROR(__xludf.DUMMYFUNCTION("""COMPUTED_VALUE"""),1.0)</f>
        <v>1</v>
      </c>
      <c r="BF220" s="16">
        <f>IFERROR(__xludf.DUMMYFUNCTION("""COMPUTED_VALUE"""),1.0)</f>
        <v>1</v>
      </c>
      <c r="BG220" s="16">
        <f>IFERROR(__xludf.DUMMYFUNCTION("""COMPUTED_VALUE"""),1.0)</f>
        <v>1</v>
      </c>
      <c r="BH220" s="16">
        <f>IFERROR(__xludf.DUMMYFUNCTION("""COMPUTED_VALUE"""),-9.0)</f>
        <v>-9</v>
      </c>
      <c r="BI220" s="16">
        <f>IFERROR(__xludf.DUMMYFUNCTION("""COMPUTED_VALUE"""),-11.0)</f>
        <v>-11</v>
      </c>
      <c r="BJ220" s="16">
        <f>IFERROR(__xludf.DUMMYFUNCTION("""COMPUTED_VALUE"""),14.0)</f>
        <v>14</v>
      </c>
      <c r="BK220" s="16">
        <f>IFERROR(__xludf.DUMMYFUNCTION("""COMPUTED_VALUE"""),15.0)</f>
        <v>15</v>
      </c>
      <c r="BL220" s="16">
        <f>IFERROR(__xludf.DUMMYFUNCTION("""COMPUTED_VALUE"""),0.0)</f>
        <v>0</v>
      </c>
      <c r="BM220" s="16">
        <f>IFERROR(__xludf.DUMMYFUNCTION("""COMPUTED_VALUE"""),-1.0)</f>
        <v>-1</v>
      </c>
      <c r="BN220" s="16">
        <f>IFERROR(__xludf.DUMMYFUNCTION("""COMPUTED_VALUE"""),0.0)</f>
        <v>0</v>
      </c>
      <c r="BO220" s="16">
        <f>IFERROR(__xludf.DUMMYFUNCTION("""COMPUTED_VALUE"""),-2.0)</f>
        <v>-2</v>
      </c>
      <c r="BP220" s="16">
        <f>IFERROR(__xludf.DUMMYFUNCTION("""COMPUTED_VALUE"""),8.0)</f>
        <v>8</v>
      </c>
      <c r="BQ220" s="16">
        <f>IFERROR(__xludf.DUMMYFUNCTION("""COMPUTED_VALUE"""),-4.0)</f>
        <v>-4</v>
      </c>
      <c r="BR220" s="16">
        <f>IFERROR(__xludf.DUMMYFUNCTION("""COMPUTED_VALUE"""),4.0)</f>
        <v>4</v>
      </c>
      <c r="BS220" s="16" t="str">
        <f>IFERROR(__xludf.DUMMYFUNCTION("""COMPUTED_VALUE"""),"-/- (---)")</f>
        <v>-/- (---)</v>
      </c>
      <c r="BT220" s="16" t="str">
        <f>IFERROR(__xludf.DUMMYFUNCTION("""COMPUTED_VALUE"""),"E")</f>
        <v>E</v>
      </c>
      <c r="BU220" s="16">
        <f>IFERROR(__xludf.DUMMYFUNCTION("""COMPUTED_VALUE"""),14.0)</f>
        <v>14</v>
      </c>
      <c r="BV220" s="16">
        <f>IFERROR(__xludf.DUMMYFUNCTION("""COMPUTED_VALUE"""),0.0)</f>
        <v>0</v>
      </c>
      <c r="BW220" s="16">
        <f>IFERROR(__xludf.DUMMYFUNCTION("""COMPUTED_VALUE"""),1.0)</f>
        <v>1</v>
      </c>
      <c r="BX220" s="16">
        <f>IFERROR(__xludf.DUMMYFUNCTION("""COMPUTED_VALUE"""),0.0)</f>
        <v>0</v>
      </c>
      <c r="BY220" s="16">
        <f>IFERROR(__xludf.DUMMYFUNCTION("""COMPUTED_VALUE"""),3.0)</f>
        <v>3</v>
      </c>
      <c r="BZ220" s="16" t="str">
        <f>IFERROR(__xludf.DUMMYFUNCTION("""COMPUTED_VALUE"""),"D")</f>
        <v>D</v>
      </c>
      <c r="CA220" s="16" t="str">
        <f>IFERROR(__xludf.DUMMYFUNCTION("""COMPUTED_VALUE"""),"C")</f>
        <v>C</v>
      </c>
      <c r="CB220" s="16">
        <f>IFERROR(__xludf.DUMMYFUNCTION("""COMPUTED_VALUE"""),0.0)</f>
        <v>0</v>
      </c>
      <c r="CC220" s="16">
        <f>IFERROR(__xludf.DUMMYFUNCTION("""COMPUTED_VALUE"""),0.0)</f>
        <v>0</v>
      </c>
      <c r="CD220" s="16">
        <f>IFERROR(__xludf.DUMMYFUNCTION("""COMPUTED_VALUE"""),0.0)</f>
        <v>0</v>
      </c>
      <c r="CE220" s="16">
        <f>IFERROR(__xludf.DUMMYFUNCTION("""COMPUTED_VALUE"""),0.0)</f>
        <v>0</v>
      </c>
      <c r="CF220" s="16">
        <f>IFERROR(__xludf.DUMMYFUNCTION("""COMPUTED_VALUE"""),1.0)</f>
        <v>1</v>
      </c>
      <c r="CG220" s="16">
        <f>IFERROR(__xludf.DUMMYFUNCTION("""COMPUTED_VALUE"""),30.0)</f>
        <v>30</v>
      </c>
      <c r="CH220" s="16">
        <f>IFERROR(__xludf.DUMMYFUNCTION("""COMPUTED_VALUE"""),-12.0)</f>
        <v>-12</v>
      </c>
      <c r="CI220" s="179">
        <f>IFERROR(__xludf.DUMMYFUNCTION("""COMPUTED_VALUE"""),-1.0)</f>
        <v>-1</v>
      </c>
      <c r="CJ220" s="16"/>
      <c r="CK220" s="16"/>
      <c r="CL220" s="16">
        <f>IFERROR(__xludf.DUMMYFUNCTION("""COMPUTED_VALUE"""),312.0)</f>
        <v>312</v>
      </c>
      <c r="CM220" s="16">
        <f>IFERROR(__xludf.DUMMYFUNCTION("""COMPUTED_VALUE"""),224.0)</f>
        <v>224</v>
      </c>
      <c r="CN220" s="16">
        <f>IFERROR(__xludf.DUMMYFUNCTION("""COMPUTED_VALUE"""),316.0)</f>
        <v>316</v>
      </c>
      <c r="CO220" s="16"/>
      <c r="CP220" s="16"/>
      <c r="CQ220" s="16"/>
      <c r="CR220" s="16" t="str">
        <f>IFERROR(__xludf.DUMMYFUNCTION("""COMPUTED_VALUE"""),"2b-3e12 ss-3e16 3b-2e24")</f>
        <v>2b-3e12 ss-3e16 3b-2e24</v>
      </c>
      <c r="CS220" s="16"/>
      <c r="CT220" s="16"/>
      <c r="CU220" s="16">
        <f>IFERROR(__xludf.DUMMYFUNCTION("""COMPUTED_VALUE"""),3.0)</f>
        <v>3</v>
      </c>
      <c r="CV220" s="16">
        <f>IFERROR(__xludf.DUMMYFUNCTION("""COMPUTED_VALUE"""),2.0)</f>
        <v>2</v>
      </c>
      <c r="CW220" s="16">
        <f>IFERROR(__xludf.DUMMYFUNCTION("""COMPUTED_VALUE"""),3.0)</f>
        <v>3</v>
      </c>
      <c r="CX220" s="16"/>
      <c r="CY220" s="16"/>
      <c r="CZ220" s="16"/>
      <c r="DA220" s="16"/>
      <c r="DB220" s="16"/>
      <c r="DC220" s="16">
        <f>IFERROR(__xludf.DUMMYFUNCTION("""COMPUTED_VALUE"""),12.0)</f>
        <v>12</v>
      </c>
      <c r="DD220" s="16">
        <f>IFERROR(__xludf.DUMMYFUNCTION("""COMPUTED_VALUE"""),24.0)</f>
        <v>24</v>
      </c>
      <c r="DE220" s="16">
        <f>IFERROR(__xludf.DUMMYFUNCTION("""COMPUTED_VALUE"""),16.0)</f>
        <v>16</v>
      </c>
      <c r="DF220" s="16"/>
      <c r="DG220" s="16"/>
      <c r="DH220" s="16"/>
      <c r="DI220" s="16"/>
      <c r="DJ220" s="16"/>
      <c r="DK220" s="16">
        <f>IFERROR(__xludf.DUMMYFUNCTION("""COMPUTED_VALUE"""),0.0)</f>
        <v>0</v>
      </c>
      <c r="DL220" s="16">
        <f>IFERROR(__xludf.DUMMYFUNCTION("""COMPUTED_VALUE"""),3.0)</f>
        <v>3</v>
      </c>
      <c r="DM220" s="16">
        <f>IFERROR(__xludf.DUMMYFUNCTION("""COMPUTED_VALUE"""),0.0)</f>
        <v>0</v>
      </c>
      <c r="DN220" s="16"/>
      <c r="DO220" s="16"/>
      <c r="DP220" s="16"/>
      <c r="DQ220" s="16"/>
      <c r="DR220" s="16"/>
      <c r="DS220" s="16">
        <f>IFERROR(__xludf.DUMMYFUNCTION("""COMPUTED_VALUE"""),2.0)</f>
        <v>2</v>
      </c>
      <c r="DT220" s="16">
        <f>IFERROR(__xludf.DUMMYFUNCTION("""COMPUTED_VALUE"""),-2.0)</f>
        <v>-2</v>
      </c>
      <c r="DU220" s="16">
        <f>IFERROR(__xludf.DUMMYFUNCTION("""COMPUTED_VALUE"""),2.0)</f>
        <v>2</v>
      </c>
      <c r="DV220" s="16"/>
      <c r="DW220" s="16"/>
      <c r="DX220" s="16"/>
      <c r="DY220" s="16"/>
      <c r="DZ220" s="16"/>
      <c r="EA220" s="16">
        <f>IFERROR(__xludf.DUMMYFUNCTION("""COMPUTED_VALUE"""),2.0)</f>
        <v>2</v>
      </c>
      <c r="EB220" s="16">
        <f>IFERROR(__xludf.DUMMYFUNCTION("""COMPUTED_VALUE"""),1.0)</f>
        <v>1</v>
      </c>
      <c r="EC220" s="16">
        <f>IFERROR(__xludf.DUMMYFUNCTION("""COMPUTED_VALUE"""),2.0)</f>
        <v>2</v>
      </c>
      <c r="ED220" s="16"/>
      <c r="EE220" s="16"/>
      <c r="EF220" s="16"/>
      <c r="EG220" s="179"/>
      <c r="EH220" s="179"/>
      <c r="EI220" s="179">
        <f>IFERROR(__xludf.DUMMYFUNCTION("""COMPUTED_VALUE"""),1.0)</f>
        <v>1</v>
      </c>
      <c r="EJ220" s="179">
        <f>IFERROR(__xludf.DUMMYFUNCTION("""COMPUTED_VALUE"""),0.0)</f>
        <v>0</v>
      </c>
      <c r="EK220" s="179">
        <f>IFERROR(__xludf.DUMMYFUNCTION("""COMPUTED_VALUE"""),1.0)</f>
        <v>1</v>
      </c>
      <c r="EL220" s="179"/>
      <c r="EM220" s="179"/>
      <c r="EN220" s="179"/>
      <c r="EO220" s="16"/>
      <c r="EP220" s="16"/>
      <c r="EQ220" s="16">
        <f>IFERROR(__xludf.DUMMYFUNCTION("""COMPUTED_VALUE"""),4.0)</f>
        <v>4</v>
      </c>
      <c r="ER220" s="16">
        <f>IFERROR(__xludf.DUMMYFUNCTION("""COMPUTED_VALUE"""),-4.0)</f>
        <v>-4</v>
      </c>
      <c r="ES220" s="16"/>
      <c r="ET220" s="16"/>
      <c r="EU220" s="16"/>
      <c r="EV220" s="16"/>
      <c r="EW220" s="16"/>
      <c r="EX220" s="180"/>
      <c r="EY220" s="180"/>
      <c r="EZ220" s="180">
        <f>IFERROR(__xludf.DUMMYFUNCTION("""COMPUTED_VALUE"""),0.2)</f>
        <v>0.2</v>
      </c>
      <c r="FA220" s="180">
        <f>IFERROR(__xludf.DUMMYFUNCTION("""COMPUTED_VALUE"""),0.1)</f>
        <v>0.1</v>
      </c>
      <c r="FB220" s="180">
        <f>IFERROR(__xludf.DUMMYFUNCTION("""COMPUTED_VALUE"""),0.2)</f>
        <v>0.2</v>
      </c>
      <c r="FC220" s="180"/>
      <c r="FD220" s="180"/>
      <c r="FE220" s="180"/>
      <c r="FF220" s="180"/>
      <c r="FG220" s="180"/>
      <c r="FH220" s="180">
        <f>IFERROR(__xludf.DUMMYFUNCTION("""COMPUTED_VALUE"""),0.06944444444444445)</f>
        <v>0.06944444444</v>
      </c>
      <c r="FI220" s="180">
        <f>IFERROR(__xludf.DUMMYFUNCTION("""COMPUTED_VALUE"""),0.28703703703703703)</f>
        <v>0.287037037</v>
      </c>
      <c r="FJ220" s="180">
        <f>IFERROR(__xludf.DUMMYFUNCTION("""COMPUTED_VALUE"""),0.08333333333333333)</f>
        <v>0.08333333333</v>
      </c>
      <c r="FK220" s="180"/>
      <c r="FL220" s="180"/>
      <c r="FM220" s="180"/>
      <c r="FN220" s="16"/>
      <c r="FO220" s="16"/>
      <c r="FP220" s="16">
        <f>IFERROR(__xludf.DUMMYFUNCTION("""COMPUTED_VALUE"""),0.7444444444444445)</f>
        <v>0.7444444444</v>
      </c>
      <c r="FQ220" s="16">
        <f>IFERROR(__xludf.DUMMYFUNCTION("""COMPUTED_VALUE"""),0.6416666666666667)</f>
        <v>0.6416666667</v>
      </c>
      <c r="FR220" s="16">
        <f>IFERROR(__xludf.DUMMYFUNCTION("""COMPUTED_VALUE"""),0.7333333333333334)</f>
        <v>0.7333333333</v>
      </c>
      <c r="FS220" s="16"/>
      <c r="FT220" s="16"/>
      <c r="FU220" s="16"/>
      <c r="FV220" s="16"/>
      <c r="FW220" s="16"/>
      <c r="FX220" s="16">
        <f>IFERROR(__xludf.DUMMYFUNCTION("""COMPUTED_VALUE"""),-4.0)</f>
        <v>-4</v>
      </c>
      <c r="FY220" s="16">
        <f>IFERROR(__xludf.DUMMYFUNCTION("""COMPUTED_VALUE"""),-6.0)</f>
        <v>-6</v>
      </c>
      <c r="FZ220" s="16">
        <f>IFERROR(__xludf.DUMMYFUNCTION("""COMPUTED_VALUE"""),-4.0)</f>
        <v>-4</v>
      </c>
      <c r="GA220" s="16"/>
      <c r="GB220" s="16"/>
      <c r="GC220" s="16"/>
      <c r="GD220" s="16" t="s">
        <v>260</v>
      </c>
    </row>
    <row r="221">
      <c r="A221" s="16">
        <f>IFERROR(__xludf.DUMMYFUNCTION("""COMPUTED_VALUE"""),12932.0)</f>
        <v>12932</v>
      </c>
      <c r="B221" s="16" t="str">
        <f>IFERROR(__xludf.DUMMYFUNCTION("""COMPUTED_VALUE"""),"Jarred Kelenic")</f>
        <v>Jarred Kelenic</v>
      </c>
      <c r="C221" s="16">
        <f>IFERROR(__xludf.DUMMYFUNCTION("""COMPUTED_VALUE"""),0.16)</f>
        <v>0.16</v>
      </c>
      <c r="D221" s="16" t="str">
        <f>IFERROR(__xludf.DUMMYFUNCTION("""COMPUTED_VALUE"""),"L")</f>
        <v>L</v>
      </c>
      <c r="E221" s="16"/>
      <c r="F221" s="16"/>
      <c r="G221" s="16">
        <f>IFERROR(__xludf.DUMMYFUNCTION("""COMPUTED_VALUE"""),412.0)</f>
        <v>412</v>
      </c>
      <c r="H221" s="16">
        <f>IFERROR(__xludf.DUMMYFUNCTION("""COMPUTED_VALUE"""),32.0)</f>
        <v>32</v>
      </c>
      <c r="I221" s="16" t="str">
        <f>IFERROR(__xludf.DUMMYFUNCTION("""COMPUTED_VALUE"""),"1p60")</f>
        <v>1p60</v>
      </c>
      <c r="J221" s="16">
        <f>IFERROR(__xludf.DUMMYFUNCTION("""COMPUTED_VALUE"""),40.0)</f>
        <v>40</v>
      </c>
      <c r="K221" s="16">
        <f>IFERROR(__xludf.DUMMYFUNCTION("""COMPUTED_VALUE"""),40.0)</f>
        <v>40</v>
      </c>
      <c r="L221" s="16">
        <f>IFERROR(__xludf.DUMMYFUNCTION("""COMPUTED_VALUE"""),-1.0)</f>
        <v>-1</v>
      </c>
      <c r="M221" s="16">
        <f>IFERROR(__xludf.DUMMYFUNCTION("""COMPUTED_VALUE"""),-2.0)</f>
        <v>-2</v>
      </c>
      <c r="N221" s="16">
        <f>IFERROR(__xludf.DUMMYFUNCTION("""COMPUTED_VALUE"""),-1.0)</f>
        <v>-1</v>
      </c>
      <c r="O221" s="16">
        <f>IFERROR(__xludf.DUMMYFUNCTION("""COMPUTED_VALUE"""),-2.0)</f>
        <v>-2</v>
      </c>
      <c r="P221" s="16">
        <f>IFERROR(__xludf.DUMMYFUNCTION("""COMPUTED_VALUE"""),1.0)</f>
        <v>1</v>
      </c>
      <c r="Q221" s="16">
        <f>IFERROR(__xludf.DUMMYFUNCTION("""COMPUTED_VALUE"""),6.0)</f>
        <v>6</v>
      </c>
      <c r="R221" s="16">
        <f>IFERROR(__xludf.DUMMYFUNCTION("""COMPUTED_VALUE"""),-2.0)</f>
        <v>-2</v>
      </c>
      <c r="S221" s="16">
        <f>IFERROR(__xludf.DUMMYFUNCTION("""COMPUTED_VALUE"""),-1.0)</f>
        <v>-1</v>
      </c>
      <c r="T221" s="16">
        <f>IFERROR(__xludf.DUMMYFUNCTION("""COMPUTED_VALUE"""),-2.0)</f>
        <v>-2</v>
      </c>
      <c r="U221" s="16">
        <f>IFERROR(__xludf.DUMMYFUNCTION("""COMPUTED_VALUE"""),-1.0)</f>
        <v>-1</v>
      </c>
      <c r="V221" s="16">
        <f>IFERROR(__xludf.DUMMYFUNCTION("""COMPUTED_VALUE"""),16.1)</f>
        <v>16.1</v>
      </c>
      <c r="W221" s="16">
        <f>IFERROR(__xludf.DUMMYFUNCTION("""COMPUTED_VALUE"""),17.8)</f>
        <v>17.8</v>
      </c>
      <c r="X221" s="16">
        <f>IFERROR(__xludf.DUMMYFUNCTION("""COMPUTED_VALUE"""),-1.0)</f>
        <v>-1</v>
      </c>
      <c r="Y221" s="16">
        <f>IFERROR(__xludf.DUMMYFUNCTION("""COMPUTED_VALUE"""),0.0)</f>
        <v>0</v>
      </c>
      <c r="Z221" s="16">
        <f>IFERROR(__xludf.DUMMYFUNCTION("""COMPUTED_VALUE"""),-2.0)</f>
        <v>-2</v>
      </c>
      <c r="AA221" s="16">
        <f>IFERROR(__xludf.DUMMYFUNCTION("""COMPUTED_VALUE"""),0.0)</f>
        <v>0</v>
      </c>
      <c r="AB221" s="16">
        <f>IFERROR(__xludf.DUMMYFUNCTION("""COMPUTED_VALUE"""),17.1)</f>
        <v>17.1</v>
      </c>
      <c r="AC221" s="16">
        <f>IFERROR(__xludf.DUMMYFUNCTION("""COMPUTED_VALUE"""),23.8)</f>
        <v>23.8</v>
      </c>
      <c r="AD221" s="16">
        <f>IFERROR(__xludf.DUMMYFUNCTION("""COMPUTED_VALUE"""),-2.0)</f>
        <v>-2</v>
      </c>
      <c r="AE221" s="16">
        <f>IFERROR(__xludf.DUMMYFUNCTION("""COMPUTED_VALUE"""),-1.0)</f>
        <v>-1</v>
      </c>
      <c r="AF221" s="16">
        <f>IFERROR(__xludf.DUMMYFUNCTION("""COMPUTED_VALUE"""),-10.0)</f>
        <v>-10</v>
      </c>
      <c r="AG221" s="16">
        <f>IFERROR(__xludf.DUMMYFUNCTION("""COMPUTED_VALUE"""),-5.0)</f>
        <v>-5</v>
      </c>
      <c r="AH221" s="16">
        <f>IFERROR(__xludf.DUMMYFUNCTION("""COMPUTED_VALUE"""),19.3)</f>
        <v>19.3</v>
      </c>
      <c r="AI221" s="16">
        <f>IFERROR(__xludf.DUMMYFUNCTION("""COMPUTED_VALUE"""),32.1)</f>
        <v>32.1</v>
      </c>
      <c r="AJ221" s="16">
        <f>IFERROR(__xludf.DUMMYFUNCTION("""COMPUTED_VALUE"""),-1.0)</f>
        <v>-1</v>
      </c>
      <c r="AK221" s="16">
        <f>IFERROR(__xludf.DUMMYFUNCTION("""COMPUTED_VALUE"""),0.0)</f>
        <v>0</v>
      </c>
      <c r="AL221" s="16">
        <f>IFERROR(__xludf.DUMMYFUNCTION("""COMPUTED_VALUE"""),-5.0)</f>
        <v>-5</v>
      </c>
      <c r="AM221" s="16">
        <f>IFERROR(__xludf.DUMMYFUNCTION("""COMPUTED_VALUE"""),0.0)</f>
        <v>0</v>
      </c>
      <c r="AN221" s="16">
        <f>IFERROR(__xludf.DUMMYFUNCTION("""COMPUTED_VALUE"""),0.6)</f>
        <v>0.6</v>
      </c>
      <c r="AO221" s="16">
        <f>IFERROR(__xludf.DUMMYFUNCTION("""COMPUTED_VALUE"""),3.0)</f>
        <v>3</v>
      </c>
      <c r="AP221" s="16">
        <f>IFERROR(__xludf.DUMMYFUNCTION("""COMPUTED_VALUE"""),-2.0)</f>
        <v>-2</v>
      </c>
      <c r="AQ221" s="16">
        <f>IFERROR(__xludf.DUMMYFUNCTION("""COMPUTED_VALUE"""),1.0)</f>
        <v>1</v>
      </c>
      <c r="AR221" s="16">
        <f>IFERROR(__xludf.DUMMYFUNCTION("""COMPUTED_VALUE"""),-4.0)</f>
        <v>-4</v>
      </c>
      <c r="AS221" s="16">
        <f>IFERROR(__xludf.DUMMYFUNCTION("""COMPUTED_VALUE"""),2.0)</f>
        <v>2</v>
      </c>
      <c r="AT221" s="16">
        <f>IFERROR(__xludf.DUMMYFUNCTION("""COMPUTED_VALUE"""),0.0)</f>
        <v>0</v>
      </c>
      <c r="AU221" s="16">
        <f>IFERROR(__xludf.DUMMYFUNCTION("""COMPUTED_VALUE"""),4.0)</f>
        <v>4</v>
      </c>
      <c r="AV221" s="16">
        <f>IFERROR(__xludf.DUMMYFUNCTION("""COMPUTED_VALUE"""),0.0)</f>
        <v>0</v>
      </c>
      <c r="AW221" s="16">
        <f>IFERROR(__xludf.DUMMYFUNCTION("""COMPUTED_VALUE"""),4.0)</f>
        <v>4</v>
      </c>
      <c r="AX221" s="16">
        <f>IFERROR(__xludf.DUMMYFUNCTION("""COMPUTED_VALUE"""),-2.0)</f>
        <v>-2</v>
      </c>
      <c r="AY221" s="16">
        <f>IFERROR(__xludf.DUMMYFUNCTION("""COMPUTED_VALUE"""),1.0)</f>
        <v>1</v>
      </c>
      <c r="AZ221" s="16">
        <f>IFERROR(__xludf.DUMMYFUNCTION("""COMPUTED_VALUE"""),-6.0)</f>
        <v>-6</v>
      </c>
      <c r="BA221" s="16">
        <f>IFERROR(__xludf.DUMMYFUNCTION("""COMPUTED_VALUE"""),3.0)</f>
        <v>3</v>
      </c>
      <c r="BB221" s="16">
        <f>IFERROR(__xludf.DUMMYFUNCTION("""COMPUTED_VALUE"""),5.0)</f>
        <v>5</v>
      </c>
      <c r="BC221" s="16">
        <f>IFERROR(__xludf.DUMMYFUNCTION("""COMPUTED_VALUE"""),5.0)</f>
        <v>5</v>
      </c>
      <c r="BD221" s="16">
        <f>IFERROR(__xludf.DUMMYFUNCTION("""COMPUTED_VALUE"""),1.0)</f>
        <v>1</v>
      </c>
      <c r="BE221" s="16">
        <f>IFERROR(__xludf.DUMMYFUNCTION("""COMPUTED_VALUE"""),1.0)</f>
        <v>1</v>
      </c>
      <c r="BF221" s="16">
        <f>IFERROR(__xludf.DUMMYFUNCTION("""COMPUTED_VALUE"""),1.0)</f>
        <v>1</v>
      </c>
      <c r="BG221" s="16">
        <f>IFERROR(__xludf.DUMMYFUNCTION("""COMPUTED_VALUE"""),1.0)</f>
        <v>1</v>
      </c>
      <c r="BH221" s="16">
        <f>IFERROR(__xludf.DUMMYFUNCTION("""COMPUTED_VALUE"""),-4.0)</f>
        <v>-4</v>
      </c>
      <c r="BI221" s="16">
        <f>IFERROR(__xludf.DUMMYFUNCTION("""COMPUTED_VALUE"""),-3.0)</f>
        <v>-3</v>
      </c>
      <c r="BJ221" s="16">
        <f>IFERROR(__xludf.DUMMYFUNCTION("""COMPUTED_VALUE"""),8.0)</f>
        <v>8</v>
      </c>
      <c r="BK221" s="16">
        <f>IFERROR(__xludf.DUMMYFUNCTION("""COMPUTED_VALUE"""),7.0)</f>
        <v>7</v>
      </c>
      <c r="BL221" s="16">
        <f>IFERROR(__xludf.DUMMYFUNCTION("""COMPUTED_VALUE"""),1.0)</f>
        <v>1</v>
      </c>
      <c r="BM221" s="16">
        <f>IFERROR(__xludf.DUMMYFUNCTION("""COMPUTED_VALUE"""),1.0)</f>
        <v>1</v>
      </c>
      <c r="BN221" s="16">
        <f>IFERROR(__xludf.DUMMYFUNCTION("""COMPUTED_VALUE"""),1.0)</f>
        <v>1</v>
      </c>
      <c r="BO221" s="16">
        <f>IFERROR(__xludf.DUMMYFUNCTION("""COMPUTED_VALUE"""),1.0)</f>
        <v>1</v>
      </c>
      <c r="BP221" s="16">
        <f>IFERROR(__xludf.DUMMYFUNCTION("""COMPUTED_VALUE"""),-9.0)</f>
        <v>-9</v>
      </c>
      <c r="BQ221" s="16">
        <f>IFERROR(__xludf.DUMMYFUNCTION("""COMPUTED_VALUE"""),0.0)</f>
        <v>0</v>
      </c>
      <c r="BR221" s="16">
        <f>IFERROR(__xludf.DUMMYFUNCTION("""COMPUTED_VALUE"""),-9.0)</f>
        <v>-9</v>
      </c>
      <c r="BS221" s="16" t="str">
        <f>IFERROR(__xludf.DUMMYFUNCTION("""COMPUTED_VALUE"""),"*6/- (18-6)")</f>
        <v>*6/- (18-6)</v>
      </c>
      <c r="BT221" s="16" t="str">
        <f>IFERROR(__xludf.DUMMYFUNCTION("""COMPUTED_VALUE"""),"C")</f>
        <v>C</v>
      </c>
      <c r="BU221" s="16">
        <f>IFERROR(__xludf.DUMMYFUNCTION("""COMPUTED_VALUE"""),14.0)</f>
        <v>14</v>
      </c>
      <c r="BV221" s="16">
        <f>IFERROR(__xludf.DUMMYFUNCTION("""COMPUTED_VALUE"""),0.0)</f>
        <v>0</v>
      </c>
      <c r="BW221" s="16">
        <f>IFERROR(__xludf.DUMMYFUNCTION("""COMPUTED_VALUE"""),1.0)</f>
        <v>1</v>
      </c>
      <c r="BX221" s="16">
        <f>IFERROR(__xludf.DUMMYFUNCTION("""COMPUTED_VALUE"""),0.0)</f>
        <v>0</v>
      </c>
      <c r="BY221" s="16">
        <f>IFERROR(__xludf.DUMMYFUNCTION("""COMPUTED_VALUE"""),3.0)</f>
        <v>3</v>
      </c>
      <c r="BZ221" s="16" t="str">
        <f>IFERROR(__xludf.DUMMYFUNCTION("""COMPUTED_VALUE"""),"D")</f>
        <v>D</v>
      </c>
      <c r="CA221" s="16" t="str">
        <f>IFERROR(__xludf.DUMMYFUNCTION("""COMPUTED_VALUE"""),"D")</f>
        <v>D</v>
      </c>
      <c r="CB221" s="16">
        <f>IFERROR(__xludf.DUMMYFUNCTION("""COMPUTED_VALUE"""),0.0)</f>
        <v>0</v>
      </c>
      <c r="CC221" s="16">
        <f>IFERROR(__xludf.DUMMYFUNCTION("""COMPUTED_VALUE"""),0.0)</f>
        <v>0</v>
      </c>
      <c r="CD221" s="16">
        <f>IFERROR(__xludf.DUMMYFUNCTION("""COMPUTED_VALUE"""),0.0)</f>
        <v>0</v>
      </c>
      <c r="CE221" s="16">
        <f>IFERROR(__xludf.DUMMYFUNCTION("""COMPUTED_VALUE"""),0.0)</f>
        <v>0</v>
      </c>
      <c r="CF221" s="16">
        <f>IFERROR(__xludf.DUMMYFUNCTION("""COMPUTED_VALUE"""),1.0)</f>
        <v>1</v>
      </c>
      <c r="CG221" s="16">
        <f>IFERROR(__xludf.DUMMYFUNCTION("""COMPUTED_VALUE"""),-28.0)</f>
        <v>-28</v>
      </c>
      <c r="CH221" s="16">
        <f>IFERROR(__xludf.DUMMYFUNCTION("""COMPUTED_VALUE"""),-1.0)</f>
        <v>-1</v>
      </c>
      <c r="CI221" s="179">
        <f>IFERROR(__xludf.DUMMYFUNCTION("""COMPUTED_VALUE"""),-2.0)</f>
        <v>-2</v>
      </c>
      <c r="CJ221" s="16"/>
      <c r="CK221" s="16"/>
      <c r="CL221" s="16"/>
      <c r="CM221" s="16"/>
      <c r="CN221" s="16"/>
      <c r="CO221" s="16">
        <f>IFERROR(__xludf.DUMMYFUNCTION("""COMPUTED_VALUE"""),204.0)</f>
        <v>204</v>
      </c>
      <c r="CP221" s="16">
        <f>IFERROR(__xludf.DUMMYFUNCTION("""COMPUTED_VALUE"""),304.0)</f>
        <v>304</v>
      </c>
      <c r="CQ221" s="16"/>
      <c r="CR221" s="16" t="str">
        <f>IFERROR(__xludf.DUMMYFUNCTION("""COMPUTED_VALUE"""),"lf-2(-2)e4 cf-3e4")</f>
        <v>lf-2(-2)e4 cf-3e4</v>
      </c>
      <c r="CS221" s="16"/>
      <c r="CT221" s="16"/>
      <c r="CU221" s="16"/>
      <c r="CV221" s="16"/>
      <c r="CW221" s="16"/>
      <c r="CX221" s="16">
        <f>IFERROR(__xludf.DUMMYFUNCTION("""COMPUTED_VALUE"""),2.0)</f>
        <v>2</v>
      </c>
      <c r="CY221" s="16">
        <f>IFERROR(__xludf.DUMMYFUNCTION("""COMPUTED_VALUE"""),3.0)</f>
        <v>3</v>
      </c>
      <c r="CZ221" s="16"/>
      <c r="DA221" s="16"/>
      <c r="DB221" s="16"/>
      <c r="DC221" s="16"/>
      <c r="DD221" s="16"/>
      <c r="DE221" s="16"/>
      <c r="DF221" s="16">
        <f>IFERROR(__xludf.DUMMYFUNCTION("""COMPUTED_VALUE"""),4.0)</f>
        <v>4</v>
      </c>
      <c r="DG221" s="16">
        <f>IFERROR(__xludf.DUMMYFUNCTION("""COMPUTED_VALUE"""),4.0)</f>
        <v>4</v>
      </c>
      <c r="DH221" s="16"/>
      <c r="DI221" s="16"/>
      <c r="DJ221" s="16"/>
      <c r="DK221" s="16"/>
      <c r="DL221" s="16"/>
      <c r="DM221" s="16"/>
      <c r="DN221" s="16">
        <f>IFERROR(__xludf.DUMMYFUNCTION("""COMPUTED_VALUE"""),3.0)</f>
        <v>3</v>
      </c>
      <c r="DO221" s="16">
        <f>IFERROR(__xludf.DUMMYFUNCTION("""COMPUTED_VALUE"""),0.0)</f>
        <v>0</v>
      </c>
      <c r="DP221" s="16"/>
      <c r="DQ221" s="16"/>
      <c r="DR221" s="16"/>
      <c r="DS221" s="16"/>
      <c r="DT221" s="16"/>
      <c r="DU221" s="16"/>
      <c r="DV221" s="16">
        <f>IFERROR(__xludf.DUMMYFUNCTION("""COMPUTED_VALUE"""),2.0)</f>
        <v>2</v>
      </c>
      <c r="DW221" s="16">
        <f>IFERROR(__xludf.DUMMYFUNCTION("""COMPUTED_VALUE"""),3.0)</f>
        <v>3</v>
      </c>
      <c r="DX221" s="16"/>
      <c r="DY221" s="16"/>
      <c r="DZ221" s="16"/>
      <c r="EA221" s="16"/>
      <c r="EB221" s="16"/>
      <c r="EC221" s="16"/>
      <c r="ED221" s="16">
        <f>IFERROR(__xludf.DUMMYFUNCTION("""COMPUTED_VALUE"""),5.0)</f>
        <v>5</v>
      </c>
      <c r="EE221" s="16">
        <f>IFERROR(__xludf.DUMMYFUNCTION("""COMPUTED_VALUE"""),3.0)</f>
        <v>3</v>
      </c>
      <c r="EF221" s="16"/>
      <c r="EG221" s="179"/>
      <c r="EH221" s="179"/>
      <c r="EI221" s="179"/>
      <c r="EJ221" s="179"/>
      <c r="EK221" s="179"/>
      <c r="EL221" s="179">
        <f>IFERROR(__xludf.DUMMYFUNCTION("""COMPUTED_VALUE"""),3.0)</f>
        <v>3</v>
      </c>
      <c r="EM221" s="179">
        <f>IFERROR(__xludf.DUMMYFUNCTION("""COMPUTED_VALUE"""),1.0)</f>
        <v>1</v>
      </c>
      <c r="EN221" s="179"/>
      <c r="EO221" s="16"/>
      <c r="EP221" s="16"/>
      <c r="EQ221" s="16">
        <f>IFERROR(__xludf.DUMMYFUNCTION("""COMPUTED_VALUE"""),4.0)</f>
        <v>4</v>
      </c>
      <c r="ER221" s="16">
        <f>IFERROR(__xludf.DUMMYFUNCTION("""COMPUTED_VALUE"""),1.0)</f>
        <v>1</v>
      </c>
      <c r="ES221" s="16"/>
      <c r="ET221" s="16"/>
      <c r="EU221" s="16"/>
      <c r="EV221" s="16"/>
      <c r="EW221" s="16"/>
      <c r="EX221" s="180"/>
      <c r="EY221" s="180"/>
      <c r="EZ221" s="180"/>
      <c r="FA221" s="180"/>
      <c r="FB221" s="180"/>
      <c r="FC221" s="180">
        <f>IFERROR(__xludf.DUMMYFUNCTION("""COMPUTED_VALUE"""),0.15)</f>
        <v>0.15</v>
      </c>
      <c r="FD221" s="180">
        <f>IFERROR(__xludf.DUMMYFUNCTION("""COMPUTED_VALUE"""),0.3)</f>
        <v>0.3</v>
      </c>
      <c r="FE221" s="180"/>
      <c r="FF221" s="180"/>
      <c r="FG221" s="180"/>
      <c r="FH221" s="180"/>
      <c r="FI221" s="180"/>
      <c r="FJ221" s="180"/>
      <c r="FK221" s="180">
        <f>IFERROR(__xludf.DUMMYFUNCTION("""COMPUTED_VALUE"""),0.069)</f>
        <v>0.069</v>
      </c>
      <c r="FL221" s="180">
        <f>IFERROR(__xludf.DUMMYFUNCTION("""COMPUTED_VALUE"""),0.046296296296296294)</f>
        <v>0.0462962963</v>
      </c>
      <c r="FM221" s="180"/>
      <c r="FN221" s="16"/>
      <c r="FO221" s="16"/>
      <c r="FP221" s="16"/>
      <c r="FQ221" s="16"/>
      <c r="FR221" s="16"/>
      <c r="FS221" s="16">
        <f>IFERROR(__xludf.DUMMYFUNCTION("""COMPUTED_VALUE"""),0.79135)</f>
        <v>0.79135</v>
      </c>
      <c r="FT221" s="16">
        <f>IFERROR(__xludf.DUMMYFUNCTION("""COMPUTED_VALUE"""),0.6675925925925925)</f>
        <v>0.6675925926</v>
      </c>
      <c r="FU221" s="16"/>
      <c r="FV221" s="16"/>
      <c r="FW221" s="16"/>
      <c r="FX221" s="16"/>
      <c r="FY221" s="16"/>
      <c r="FZ221" s="16"/>
      <c r="GA221" s="16">
        <f>IFERROR(__xludf.DUMMYFUNCTION("""COMPUTED_VALUE"""),-1.0)</f>
        <v>-1</v>
      </c>
      <c r="GB221" s="16">
        <f>IFERROR(__xludf.DUMMYFUNCTION("""COMPUTED_VALUE"""),-4.0)</f>
        <v>-4</v>
      </c>
      <c r="GC221" s="16"/>
      <c r="GD221" s="16" t="s">
        <v>176</v>
      </c>
    </row>
    <row r="222">
      <c r="A222" s="16">
        <f>IFERROR(__xludf.DUMMYFUNCTION("""COMPUTED_VALUE"""),13477.0)</f>
        <v>13477</v>
      </c>
      <c r="B222" s="16" t="str">
        <f>IFERROR(__xludf.DUMMYFUNCTION("""COMPUTED_VALUE"""),"Weston Wilson")</f>
        <v>Weston Wilson</v>
      </c>
      <c r="C222" s="16">
        <f>IFERROR(__xludf.DUMMYFUNCTION("""COMPUTED_VALUE"""),2.07)</f>
        <v>2.07</v>
      </c>
      <c r="D222" s="16" t="str">
        <f>IFERROR(__xludf.DUMMYFUNCTION("""COMPUTED_VALUE"""),"R")</f>
        <v>R</v>
      </c>
      <c r="E222" s="16"/>
      <c r="F222" s="16"/>
      <c r="G222" s="16">
        <f>IFERROR(__xludf.DUMMYFUNCTION("""COMPUTED_VALUE"""),88.0)</f>
        <v>88</v>
      </c>
      <c r="H222" s="16">
        <f>IFERROR(__xludf.DUMMYFUNCTION("""COMPUTED_VALUE"""),8.0)</f>
        <v>8</v>
      </c>
      <c r="I222" s="16" t="str">
        <f>IFERROR(__xludf.DUMMYFUNCTION("""COMPUTED_VALUE"""),"1p20")</f>
        <v>1p20</v>
      </c>
      <c r="J222" s="16">
        <f>IFERROR(__xludf.DUMMYFUNCTION("""COMPUTED_VALUE"""),26.0)</f>
        <v>26</v>
      </c>
      <c r="K222" s="16">
        <f>IFERROR(__xludf.DUMMYFUNCTION("""COMPUTED_VALUE"""),52.0)</f>
        <v>52</v>
      </c>
      <c r="L222" s="16">
        <f>IFERROR(__xludf.DUMMYFUNCTION("""COMPUTED_VALUE"""),0.0)</f>
        <v>0</v>
      </c>
      <c r="M222" s="16">
        <f>IFERROR(__xludf.DUMMYFUNCTION("""COMPUTED_VALUE"""),-2.0)</f>
        <v>-2</v>
      </c>
      <c r="N222" s="16">
        <f>IFERROR(__xludf.DUMMYFUNCTION("""COMPUTED_VALUE"""),0.0)</f>
        <v>0</v>
      </c>
      <c r="O222" s="16">
        <f>IFERROR(__xludf.DUMMYFUNCTION("""COMPUTED_VALUE"""),-2.0)</f>
        <v>-2</v>
      </c>
      <c r="P222" s="16">
        <f>IFERROR(__xludf.DUMMYFUNCTION("""COMPUTED_VALUE"""),13.0)</f>
        <v>13</v>
      </c>
      <c r="Q222" s="16">
        <f>IFERROR(__xludf.DUMMYFUNCTION("""COMPUTED_VALUE"""),6.0)</f>
        <v>6</v>
      </c>
      <c r="R222" s="16">
        <f>IFERROR(__xludf.DUMMYFUNCTION("""COMPUTED_VALUE"""),2.0)</f>
        <v>2</v>
      </c>
      <c r="S222" s="16">
        <f>IFERROR(__xludf.DUMMYFUNCTION("""COMPUTED_VALUE"""),-1.0)</f>
        <v>-1</v>
      </c>
      <c r="T222" s="16">
        <f>IFERROR(__xludf.DUMMYFUNCTION("""COMPUTED_VALUE"""),2.0)</f>
        <v>2</v>
      </c>
      <c r="U222" s="16">
        <f>IFERROR(__xludf.DUMMYFUNCTION("""COMPUTED_VALUE"""),-1.0)</f>
        <v>-1</v>
      </c>
      <c r="V222" s="16">
        <f>IFERROR(__xludf.DUMMYFUNCTION("""COMPUTED_VALUE"""),36.3)</f>
        <v>36.3</v>
      </c>
      <c r="W222" s="16">
        <f>IFERROR(__xludf.DUMMYFUNCTION("""COMPUTED_VALUE"""),18.8)</f>
        <v>18.8</v>
      </c>
      <c r="X222" s="16">
        <f>IFERROR(__xludf.DUMMYFUNCTION("""COMPUTED_VALUE"""),2.0)</f>
        <v>2</v>
      </c>
      <c r="Y222" s="16">
        <f>IFERROR(__xludf.DUMMYFUNCTION("""COMPUTED_VALUE"""),0.0)</f>
        <v>0</v>
      </c>
      <c r="Z222" s="16">
        <f>IFERROR(__xludf.DUMMYFUNCTION("""COMPUTED_VALUE"""),4.0)</f>
        <v>4</v>
      </c>
      <c r="AA222" s="16">
        <f>IFERROR(__xludf.DUMMYFUNCTION("""COMPUTED_VALUE"""),0.0)</f>
        <v>0</v>
      </c>
      <c r="AB222" s="16">
        <f>IFERROR(__xludf.DUMMYFUNCTION("""COMPUTED_VALUE"""),51.3)</f>
        <v>51.3</v>
      </c>
      <c r="AC222" s="16">
        <f>IFERROR(__xludf.DUMMYFUNCTION("""COMPUTED_VALUE"""),26.8)</f>
        <v>26.8</v>
      </c>
      <c r="AD222" s="16">
        <f>IFERROR(__xludf.DUMMYFUNCTION("""COMPUTED_VALUE"""),2.0)</f>
        <v>2</v>
      </c>
      <c r="AE222" s="16">
        <f>IFERROR(__xludf.DUMMYFUNCTION("""COMPUTED_VALUE"""),-1.0)</f>
        <v>-1</v>
      </c>
      <c r="AF222" s="16">
        <f>IFERROR(__xludf.DUMMYFUNCTION("""COMPUTED_VALUE"""),10.0)</f>
        <v>10</v>
      </c>
      <c r="AG222" s="16">
        <f>IFERROR(__xludf.DUMMYFUNCTION("""COMPUTED_VALUE"""),-5.0)</f>
        <v>-5</v>
      </c>
      <c r="AH222" s="16">
        <f>IFERROR(__xludf.DUMMYFUNCTION("""COMPUTED_VALUE"""),63.5)</f>
        <v>63.5</v>
      </c>
      <c r="AI222" s="16">
        <f>IFERROR(__xludf.DUMMYFUNCTION("""COMPUTED_VALUE"""),30.1)</f>
        <v>30.1</v>
      </c>
      <c r="AJ222" s="16">
        <f>IFERROR(__xludf.DUMMYFUNCTION("""COMPUTED_VALUE"""),2.0)</f>
        <v>2</v>
      </c>
      <c r="AK222" s="16">
        <f>IFERROR(__xludf.DUMMYFUNCTION("""COMPUTED_VALUE"""),0.0)</f>
        <v>0</v>
      </c>
      <c r="AL222" s="16">
        <f>IFERROR(__xludf.DUMMYFUNCTION("""COMPUTED_VALUE"""),10.0)</f>
        <v>10</v>
      </c>
      <c r="AM222" s="16">
        <f>IFERROR(__xludf.DUMMYFUNCTION("""COMPUTED_VALUE"""),0.0)</f>
        <v>0</v>
      </c>
      <c r="AN222" s="16">
        <f>IFERROR(__xludf.DUMMYFUNCTION("""COMPUTED_VALUE"""),2.5)</f>
        <v>2.5</v>
      </c>
      <c r="AO222" s="16">
        <f>IFERROR(__xludf.DUMMYFUNCTION("""COMPUTED_VALUE"""),0.9)</f>
        <v>0.9</v>
      </c>
      <c r="AP222" s="16">
        <f>IFERROR(__xludf.DUMMYFUNCTION("""COMPUTED_VALUE"""),0.0)</f>
        <v>0</v>
      </c>
      <c r="AQ222" s="16">
        <f>IFERROR(__xludf.DUMMYFUNCTION("""COMPUTED_VALUE"""),-2.0)</f>
        <v>-2</v>
      </c>
      <c r="AR222" s="16">
        <f>IFERROR(__xludf.DUMMYFUNCTION("""COMPUTED_VALUE"""),0.0)</f>
        <v>0</v>
      </c>
      <c r="AS222" s="16">
        <f>IFERROR(__xludf.DUMMYFUNCTION("""COMPUTED_VALUE"""),-4.0)</f>
        <v>-4</v>
      </c>
      <c r="AT222" s="16">
        <f>IFERROR(__xludf.DUMMYFUNCTION("""COMPUTED_VALUE"""),5.0)</f>
        <v>5</v>
      </c>
      <c r="AU222" s="16">
        <f>IFERROR(__xludf.DUMMYFUNCTION("""COMPUTED_VALUE"""),1.0)</f>
        <v>1</v>
      </c>
      <c r="AV222" s="16">
        <f>IFERROR(__xludf.DUMMYFUNCTION("""COMPUTED_VALUE"""),5.0)</f>
        <v>5</v>
      </c>
      <c r="AW222" s="16">
        <f>IFERROR(__xludf.DUMMYFUNCTION("""COMPUTED_VALUE"""),1.0)</f>
        <v>1</v>
      </c>
      <c r="AX222" s="16">
        <f>IFERROR(__xludf.DUMMYFUNCTION("""COMPUTED_VALUE"""),3.0)</f>
        <v>3</v>
      </c>
      <c r="AY222" s="16">
        <f>IFERROR(__xludf.DUMMYFUNCTION("""COMPUTED_VALUE"""),-1.0)</f>
        <v>-1</v>
      </c>
      <c r="AZ222" s="16">
        <f>IFERROR(__xludf.DUMMYFUNCTION("""COMPUTED_VALUE"""),9.0)</f>
        <v>9</v>
      </c>
      <c r="BA222" s="16">
        <f>IFERROR(__xludf.DUMMYFUNCTION("""COMPUTED_VALUE"""),-3.0)</f>
        <v>-3</v>
      </c>
      <c r="BB222" s="16">
        <f>IFERROR(__xludf.DUMMYFUNCTION("""COMPUTED_VALUE"""),5.0)</f>
        <v>5</v>
      </c>
      <c r="BC222" s="16">
        <f>IFERROR(__xludf.DUMMYFUNCTION("""COMPUTED_VALUE"""),5.0)</f>
        <v>5</v>
      </c>
      <c r="BD222" s="16">
        <f>IFERROR(__xludf.DUMMYFUNCTION("""COMPUTED_VALUE"""),1.0)</f>
        <v>1</v>
      </c>
      <c r="BE222" s="16">
        <f>IFERROR(__xludf.DUMMYFUNCTION("""COMPUTED_VALUE"""),1.0)</f>
        <v>1</v>
      </c>
      <c r="BF222" s="16">
        <f>IFERROR(__xludf.DUMMYFUNCTION("""COMPUTED_VALUE"""),1.0)</f>
        <v>1</v>
      </c>
      <c r="BG222" s="16">
        <f>IFERROR(__xludf.DUMMYFUNCTION("""COMPUTED_VALUE"""),1.0)</f>
        <v>1</v>
      </c>
      <c r="BH222" s="16">
        <f>IFERROR(__xludf.DUMMYFUNCTION("""COMPUTED_VALUE"""),-7.0)</f>
        <v>-7</v>
      </c>
      <c r="BI222" s="16">
        <f>IFERROR(__xludf.DUMMYFUNCTION("""COMPUTED_VALUE"""),-7.0)</f>
        <v>-7</v>
      </c>
      <c r="BJ222" s="16">
        <f>IFERROR(__xludf.DUMMYFUNCTION("""COMPUTED_VALUE"""),14.0)</f>
        <v>14</v>
      </c>
      <c r="BK222" s="16">
        <f>IFERROR(__xludf.DUMMYFUNCTION("""COMPUTED_VALUE"""),16.0)</f>
        <v>16</v>
      </c>
      <c r="BL222" s="16">
        <f>IFERROR(__xludf.DUMMYFUNCTION("""COMPUTED_VALUE"""),0.0)</f>
        <v>0</v>
      </c>
      <c r="BM222" s="16">
        <f>IFERROR(__xludf.DUMMYFUNCTION("""COMPUTED_VALUE"""),-1.0)</f>
        <v>-1</v>
      </c>
      <c r="BN222" s="16">
        <f>IFERROR(__xludf.DUMMYFUNCTION("""COMPUTED_VALUE"""),0.0)</f>
        <v>0</v>
      </c>
      <c r="BO222" s="16">
        <f>IFERROR(__xludf.DUMMYFUNCTION("""COMPUTED_VALUE"""),-2.0)</f>
        <v>-2</v>
      </c>
      <c r="BP222" s="16">
        <f>IFERROR(__xludf.DUMMYFUNCTION("""COMPUTED_VALUE"""),12.0)</f>
        <v>12</v>
      </c>
      <c r="BQ222" s="16">
        <f>IFERROR(__xludf.DUMMYFUNCTION("""COMPUTED_VALUE"""),-7.0)</f>
        <v>-7</v>
      </c>
      <c r="BR222" s="16">
        <f>IFERROR(__xludf.DUMMYFUNCTION("""COMPUTED_VALUE"""),5.0)</f>
        <v>5</v>
      </c>
      <c r="BS222" s="16" t="str">
        <f>IFERROR(__xludf.DUMMYFUNCTION("""COMPUTED_VALUE"""),"*5/- (20-11)")</f>
        <v>*5/- (20-11)</v>
      </c>
      <c r="BT222" s="16" t="str">
        <f>IFERROR(__xludf.DUMMYFUNCTION("""COMPUTED_VALUE"""),"B")</f>
        <v>B</v>
      </c>
      <c r="BU222" s="16">
        <f>IFERROR(__xludf.DUMMYFUNCTION("""COMPUTED_VALUE"""),14.0)</f>
        <v>14</v>
      </c>
      <c r="BV222" s="16">
        <f>IFERROR(__xludf.DUMMYFUNCTION("""COMPUTED_VALUE"""),1.0)</f>
        <v>1</v>
      </c>
      <c r="BW222" s="16">
        <f>IFERROR(__xludf.DUMMYFUNCTION("""COMPUTED_VALUE"""),1.0)</f>
        <v>1</v>
      </c>
      <c r="BX222" s="16">
        <f>IFERROR(__xludf.DUMMYFUNCTION("""COMPUTED_VALUE"""),2.0)</f>
        <v>2</v>
      </c>
      <c r="BY222" s="16">
        <f>IFERROR(__xludf.DUMMYFUNCTION("""COMPUTED_VALUE"""),3.0)</f>
        <v>3</v>
      </c>
      <c r="BZ222" s="16" t="str">
        <f>IFERROR(__xludf.DUMMYFUNCTION("""COMPUTED_VALUE"""),"D")</f>
        <v>D</v>
      </c>
      <c r="CA222" s="16" t="str">
        <f>IFERROR(__xludf.DUMMYFUNCTION("""COMPUTED_VALUE"""),"D")</f>
        <v>D</v>
      </c>
      <c r="CB222" s="16">
        <f>IFERROR(__xludf.DUMMYFUNCTION("""COMPUTED_VALUE"""),0.0)</f>
        <v>0</v>
      </c>
      <c r="CC222" s="16">
        <f>IFERROR(__xludf.DUMMYFUNCTION("""COMPUTED_VALUE"""),0.0)</f>
        <v>0</v>
      </c>
      <c r="CD222" s="16">
        <f>IFERROR(__xludf.DUMMYFUNCTION("""COMPUTED_VALUE"""),0.0)</f>
        <v>0</v>
      </c>
      <c r="CE222" s="16">
        <f>IFERROR(__xludf.DUMMYFUNCTION("""COMPUTED_VALUE"""),0.0)</f>
        <v>0</v>
      </c>
      <c r="CF222" s="16">
        <f>IFERROR(__xludf.DUMMYFUNCTION("""COMPUTED_VALUE"""),1.0)</f>
        <v>1</v>
      </c>
      <c r="CG222" s="16">
        <f>IFERROR(__xludf.DUMMYFUNCTION("""COMPUTED_VALUE"""),36.0)</f>
        <v>36</v>
      </c>
      <c r="CH222" s="16">
        <f>IFERROR(__xludf.DUMMYFUNCTION("""COMPUTED_VALUE"""),-16.0)</f>
        <v>-16</v>
      </c>
      <c r="CI222" s="179">
        <f>IFERROR(__xludf.DUMMYFUNCTION("""COMPUTED_VALUE"""),-2.0)</f>
        <v>-2</v>
      </c>
      <c r="CJ222" s="16"/>
      <c r="CK222" s="16">
        <f>IFERROR(__xludf.DUMMYFUNCTION("""COMPUTED_VALUE"""),422.0)</f>
        <v>422</v>
      </c>
      <c r="CL222" s="16">
        <f>IFERROR(__xludf.DUMMYFUNCTION("""COMPUTED_VALUE"""),408.0)</f>
        <v>408</v>
      </c>
      <c r="CM222" s="16">
        <f>IFERROR(__xludf.DUMMYFUNCTION("""COMPUTED_VALUE"""),465.0)</f>
        <v>465</v>
      </c>
      <c r="CN222" s="16"/>
      <c r="CO222" s="16">
        <f>IFERROR(__xludf.DUMMYFUNCTION("""COMPUTED_VALUE"""),408.0)</f>
        <v>408</v>
      </c>
      <c r="CP222" s="16"/>
      <c r="CQ222" s="16">
        <f>IFERROR(__xludf.DUMMYFUNCTION("""COMPUTED_VALUE"""),408.0)</f>
        <v>408</v>
      </c>
      <c r="CR222" s="16" t="str">
        <f>IFERROR(__xludf.DUMMYFUNCTION("""COMPUTED_VALUE"""),"lf-4(+1)e8 3b-4e65 rf-4e8 2b-4e8 1b-4e22")</f>
        <v>lf-4(+1)e8 3b-4e65 rf-4e8 2b-4e8 1b-4e22</v>
      </c>
      <c r="CS222" s="16"/>
      <c r="CT222" s="16">
        <f>IFERROR(__xludf.DUMMYFUNCTION("""COMPUTED_VALUE"""),4.0)</f>
        <v>4</v>
      </c>
      <c r="CU222" s="16">
        <f>IFERROR(__xludf.DUMMYFUNCTION("""COMPUTED_VALUE"""),4.0)</f>
        <v>4</v>
      </c>
      <c r="CV222" s="16">
        <f>IFERROR(__xludf.DUMMYFUNCTION("""COMPUTED_VALUE"""),4.0)</f>
        <v>4</v>
      </c>
      <c r="CW222" s="16"/>
      <c r="CX222" s="16">
        <f>IFERROR(__xludf.DUMMYFUNCTION("""COMPUTED_VALUE"""),4.0)</f>
        <v>4</v>
      </c>
      <c r="CY222" s="16"/>
      <c r="CZ222" s="16">
        <f>IFERROR(__xludf.DUMMYFUNCTION("""COMPUTED_VALUE"""),4.0)</f>
        <v>4</v>
      </c>
      <c r="DA222" s="16"/>
      <c r="DB222" s="16">
        <f>IFERROR(__xludf.DUMMYFUNCTION("""COMPUTED_VALUE"""),22.0)</f>
        <v>22</v>
      </c>
      <c r="DC222" s="16">
        <f>IFERROR(__xludf.DUMMYFUNCTION("""COMPUTED_VALUE"""),8.0)</f>
        <v>8</v>
      </c>
      <c r="DD222" s="16">
        <f>IFERROR(__xludf.DUMMYFUNCTION("""COMPUTED_VALUE"""),65.0)</f>
        <v>65</v>
      </c>
      <c r="DE222" s="16"/>
      <c r="DF222" s="16">
        <f>IFERROR(__xludf.DUMMYFUNCTION("""COMPUTED_VALUE"""),8.0)</f>
        <v>8</v>
      </c>
      <c r="DG222" s="16"/>
      <c r="DH222" s="16">
        <f>IFERROR(__xludf.DUMMYFUNCTION("""COMPUTED_VALUE"""),8.0)</f>
        <v>8</v>
      </c>
      <c r="DI222" s="16"/>
      <c r="DJ222" s="16">
        <f>IFERROR(__xludf.DUMMYFUNCTION("""COMPUTED_VALUE"""),0.0)</f>
        <v>0</v>
      </c>
      <c r="DK222" s="16">
        <f>IFERROR(__xludf.DUMMYFUNCTION("""COMPUTED_VALUE"""),-2.0)</f>
        <v>-2</v>
      </c>
      <c r="DL222" s="16">
        <f>IFERROR(__xludf.DUMMYFUNCTION("""COMPUTED_VALUE"""),0.0)</f>
        <v>0</v>
      </c>
      <c r="DM222" s="16"/>
      <c r="DN222" s="16">
        <f>IFERROR(__xludf.DUMMYFUNCTION("""COMPUTED_VALUE"""),-1.0)</f>
        <v>-1</v>
      </c>
      <c r="DO222" s="16"/>
      <c r="DP222" s="16">
        <f>IFERROR(__xludf.DUMMYFUNCTION("""COMPUTED_VALUE"""),-1.0)</f>
        <v>-1</v>
      </c>
      <c r="DQ222" s="16"/>
      <c r="DR222" s="16">
        <f>IFERROR(__xludf.DUMMYFUNCTION("""COMPUTED_VALUE"""),-2.0)</f>
        <v>-2</v>
      </c>
      <c r="DS222" s="16">
        <f>IFERROR(__xludf.DUMMYFUNCTION("""COMPUTED_VALUE"""),3.0)</f>
        <v>3</v>
      </c>
      <c r="DT222" s="16">
        <f>IFERROR(__xludf.DUMMYFUNCTION("""COMPUTED_VALUE"""),-2.0)</f>
        <v>-2</v>
      </c>
      <c r="DU222" s="16"/>
      <c r="DV222" s="16">
        <f>IFERROR(__xludf.DUMMYFUNCTION("""COMPUTED_VALUE"""),0.0)</f>
        <v>0</v>
      </c>
      <c r="DW222" s="16"/>
      <c r="DX222" s="16">
        <f>IFERROR(__xludf.DUMMYFUNCTION("""COMPUTED_VALUE"""),0.0)</f>
        <v>0</v>
      </c>
      <c r="DY222" s="16"/>
      <c r="DZ222" s="16">
        <f>IFERROR(__xludf.DUMMYFUNCTION("""COMPUTED_VALUE"""),-2.0)</f>
        <v>-2</v>
      </c>
      <c r="EA222" s="16">
        <f>IFERROR(__xludf.DUMMYFUNCTION("""COMPUTED_VALUE"""),1.0)</f>
        <v>1</v>
      </c>
      <c r="EB222" s="16">
        <f>IFERROR(__xludf.DUMMYFUNCTION("""COMPUTED_VALUE"""),-2.0)</f>
        <v>-2</v>
      </c>
      <c r="EC222" s="16"/>
      <c r="ED222" s="16">
        <f>IFERROR(__xludf.DUMMYFUNCTION("""COMPUTED_VALUE"""),-1.0)</f>
        <v>-1</v>
      </c>
      <c r="EE222" s="16"/>
      <c r="EF222" s="16">
        <f>IFERROR(__xludf.DUMMYFUNCTION("""COMPUTED_VALUE"""),-1.0)</f>
        <v>-1</v>
      </c>
      <c r="EG222" s="179"/>
      <c r="EH222" s="179">
        <f>IFERROR(__xludf.DUMMYFUNCTION("""COMPUTED_VALUE"""),-4.0)</f>
        <v>-4</v>
      </c>
      <c r="EI222" s="179">
        <f>IFERROR(__xludf.DUMMYFUNCTION("""COMPUTED_VALUE"""),-1.0)</f>
        <v>-1</v>
      </c>
      <c r="EJ222" s="179">
        <f>IFERROR(__xludf.DUMMYFUNCTION("""COMPUTED_VALUE"""),-4.0)</f>
        <v>-4</v>
      </c>
      <c r="EK222" s="179"/>
      <c r="EL222" s="179">
        <f>IFERROR(__xludf.DUMMYFUNCTION("""COMPUTED_VALUE"""),-3.0)</f>
        <v>-3</v>
      </c>
      <c r="EM222" s="179"/>
      <c r="EN222" s="179">
        <f>IFERROR(__xludf.DUMMYFUNCTION("""COMPUTED_VALUE"""),-3.0)</f>
        <v>-3</v>
      </c>
      <c r="EO222" s="16"/>
      <c r="EP222" s="16">
        <f>IFERROR(__xludf.DUMMYFUNCTION("""COMPUTED_VALUE"""),2.0)</f>
        <v>2</v>
      </c>
      <c r="EQ222" s="16">
        <f>IFERROR(__xludf.DUMMYFUNCTION("""COMPUTED_VALUE"""),4.0)</f>
        <v>4</v>
      </c>
      <c r="ER222" s="16">
        <f>IFERROR(__xludf.DUMMYFUNCTION("""COMPUTED_VALUE"""),-4.0)</f>
        <v>-4</v>
      </c>
      <c r="ES222" s="16"/>
      <c r="ET222" s="16"/>
      <c r="EU222" s="16"/>
      <c r="EV222" s="16"/>
      <c r="EW222" s="16"/>
      <c r="EX222" s="180"/>
      <c r="EY222" s="180">
        <f>IFERROR(__xludf.DUMMYFUNCTION("""COMPUTED_VALUE"""),0.3)</f>
        <v>0.3</v>
      </c>
      <c r="EZ222" s="180">
        <f>IFERROR(__xludf.DUMMYFUNCTION("""COMPUTED_VALUE"""),0.3)</f>
        <v>0.3</v>
      </c>
      <c r="FA222" s="180">
        <f>IFERROR(__xludf.DUMMYFUNCTION("""COMPUTED_VALUE"""),0.3)</f>
        <v>0.3</v>
      </c>
      <c r="FB222" s="180"/>
      <c r="FC222" s="180">
        <f>IFERROR(__xludf.DUMMYFUNCTION("""COMPUTED_VALUE"""),0.55)</f>
        <v>0.55</v>
      </c>
      <c r="FD222" s="180"/>
      <c r="FE222" s="180">
        <f>IFERROR(__xludf.DUMMYFUNCTION("""COMPUTED_VALUE"""),0.55)</f>
        <v>0.55</v>
      </c>
      <c r="FF222" s="180"/>
      <c r="FG222" s="180">
        <f>IFERROR(__xludf.DUMMYFUNCTION("""COMPUTED_VALUE"""),0.39814814814814814)</f>
        <v>0.3981481481</v>
      </c>
      <c r="FH222" s="180">
        <f>IFERROR(__xludf.DUMMYFUNCTION("""COMPUTED_VALUE"""),0.046296296296296294)</f>
        <v>0.0462962963</v>
      </c>
      <c r="FI222" s="180">
        <f>IFERROR(__xludf.DUMMYFUNCTION("""COMPUTED_VALUE"""),0.7407407407407407)</f>
        <v>0.7407407407</v>
      </c>
      <c r="FJ222" s="180"/>
      <c r="FK222" s="180">
        <f>IFERROR(__xludf.DUMMYFUNCTION("""COMPUTED_VALUE"""),0.144)</f>
        <v>0.144</v>
      </c>
      <c r="FL222" s="180"/>
      <c r="FM222" s="180">
        <f>IFERROR(__xludf.DUMMYFUNCTION("""COMPUTED_VALUE"""),0.144)</f>
        <v>0.144</v>
      </c>
      <c r="FN222" s="16"/>
      <c r="FO222" s="16">
        <f>IFERROR(__xludf.DUMMYFUNCTION("""COMPUTED_VALUE"""),0.4212962962962963)</f>
        <v>0.4212962963</v>
      </c>
      <c r="FP222" s="16">
        <f>IFERROR(__xludf.DUMMYFUNCTION("""COMPUTED_VALUE"""),0.6675925925925925)</f>
        <v>0.6675925926</v>
      </c>
      <c r="FQ222" s="16">
        <f>IFERROR(__xludf.DUMMYFUNCTION("""COMPUTED_VALUE"""),0.1814814814814815)</f>
        <v>0.1814814815</v>
      </c>
      <c r="FR222" s="16"/>
      <c r="FS222" s="16">
        <f>IFERROR(__xludf.DUMMYFUNCTION("""COMPUTED_VALUE"""),0.38519999999999993)</f>
        <v>0.3852</v>
      </c>
      <c r="FT222" s="16"/>
      <c r="FU222" s="16">
        <f>IFERROR(__xludf.DUMMYFUNCTION("""COMPUTED_VALUE"""),0.38519999999999993)</f>
        <v>0.3852</v>
      </c>
      <c r="FV222" s="16"/>
      <c r="FW222" s="16">
        <f>IFERROR(__xludf.DUMMYFUNCTION("""COMPUTED_VALUE"""),-8.0)</f>
        <v>-8</v>
      </c>
      <c r="FX222" s="16">
        <f>IFERROR(__xludf.DUMMYFUNCTION("""COMPUTED_VALUE"""),-4.0)</f>
        <v>-4</v>
      </c>
      <c r="FY222" s="16">
        <f>IFERROR(__xludf.DUMMYFUNCTION("""COMPUTED_VALUE"""),-8.0)</f>
        <v>-8</v>
      </c>
      <c r="FZ222" s="16"/>
      <c r="GA222" s="16">
        <f>IFERROR(__xludf.DUMMYFUNCTION("""COMPUTED_VALUE"""),-10.0)</f>
        <v>-10</v>
      </c>
      <c r="GB222" s="16"/>
      <c r="GC222" s="16">
        <f>IFERROR(__xludf.DUMMYFUNCTION("""COMPUTED_VALUE"""),-10.0)</f>
        <v>-10</v>
      </c>
      <c r="GD222" s="16" t="s">
        <v>2088</v>
      </c>
    </row>
    <row r="223">
      <c r="A223" s="16">
        <f>IFERROR(__xludf.DUMMYFUNCTION("""COMPUTED_VALUE"""),12706.0)</f>
        <v>12706</v>
      </c>
      <c r="B223" s="16" t="str">
        <f>IFERROR(__xludf.DUMMYFUNCTION("""COMPUTED_VALUE"""),"Connor Joe")</f>
        <v>Connor Joe</v>
      </c>
      <c r="C223" s="16">
        <f>IFERROR(__xludf.DUMMYFUNCTION("""COMPUTED_VALUE"""),0.25)</f>
        <v>0.25</v>
      </c>
      <c r="D223" s="16" t="str">
        <f>IFERROR(__xludf.DUMMYFUNCTION("""COMPUTED_VALUE"""),"R")</f>
        <v>R</v>
      </c>
      <c r="E223" s="16"/>
      <c r="F223" s="16"/>
      <c r="G223" s="16">
        <f>IFERROR(__xludf.DUMMYFUNCTION("""COMPUTED_VALUE"""),364.0)</f>
        <v>364</v>
      </c>
      <c r="H223" s="16">
        <f>IFERROR(__xludf.DUMMYFUNCTION("""COMPUTED_VALUE"""),44.0)</f>
        <v>44</v>
      </c>
      <c r="I223" s="16" t="str">
        <f>IFERROR(__xludf.DUMMYFUNCTION("""COMPUTED_VALUE"""),"1p60")</f>
        <v>1p60</v>
      </c>
      <c r="J223" s="16">
        <f>IFERROR(__xludf.DUMMYFUNCTION("""COMPUTED_VALUE"""),21.0)</f>
        <v>21</v>
      </c>
      <c r="K223" s="16">
        <f>IFERROR(__xludf.DUMMYFUNCTION("""COMPUTED_VALUE"""),24.0)</f>
        <v>24</v>
      </c>
      <c r="L223" s="16">
        <f>IFERROR(__xludf.DUMMYFUNCTION("""COMPUTED_VALUE"""),0.0)</f>
        <v>0</v>
      </c>
      <c r="M223" s="16">
        <f>IFERROR(__xludf.DUMMYFUNCTION("""COMPUTED_VALUE"""),0.0)</f>
        <v>0</v>
      </c>
      <c r="N223" s="16">
        <f>IFERROR(__xludf.DUMMYFUNCTION("""COMPUTED_VALUE"""),0.0)</f>
        <v>0</v>
      </c>
      <c r="O223" s="16">
        <f>IFERROR(__xludf.DUMMYFUNCTION("""COMPUTED_VALUE"""),0.0)</f>
        <v>0</v>
      </c>
      <c r="P223" s="16">
        <f>IFERROR(__xludf.DUMMYFUNCTION("""COMPUTED_VALUE"""),16.0)</f>
        <v>16</v>
      </c>
      <c r="Q223" s="16">
        <f>IFERROR(__xludf.DUMMYFUNCTION("""COMPUTED_VALUE"""),13.0)</f>
        <v>13</v>
      </c>
      <c r="R223" s="16">
        <f>IFERROR(__xludf.DUMMYFUNCTION("""COMPUTED_VALUE"""),2.0)</f>
        <v>2</v>
      </c>
      <c r="S223" s="16">
        <f>IFERROR(__xludf.DUMMYFUNCTION("""COMPUTED_VALUE"""),1.0)</f>
        <v>1</v>
      </c>
      <c r="T223" s="16">
        <f>IFERROR(__xludf.DUMMYFUNCTION("""COMPUTED_VALUE"""),2.0)</f>
        <v>2</v>
      </c>
      <c r="U223" s="16">
        <f>IFERROR(__xludf.DUMMYFUNCTION("""COMPUTED_VALUE"""),1.0)</f>
        <v>1</v>
      </c>
      <c r="V223" s="16">
        <f>IFERROR(__xludf.DUMMYFUNCTION("""COMPUTED_VALUE"""),16.4)</f>
        <v>16.4</v>
      </c>
      <c r="W223" s="16">
        <f>IFERROR(__xludf.DUMMYFUNCTION("""COMPUTED_VALUE"""),15.7)</f>
        <v>15.7</v>
      </c>
      <c r="X223" s="16">
        <f>IFERROR(__xludf.DUMMYFUNCTION("""COMPUTED_VALUE"""),0.0)</f>
        <v>0</v>
      </c>
      <c r="Y223" s="16">
        <f>IFERROR(__xludf.DUMMYFUNCTION("""COMPUTED_VALUE"""),-1.0)</f>
        <v>-1</v>
      </c>
      <c r="Z223" s="16">
        <f>IFERROR(__xludf.DUMMYFUNCTION("""COMPUTED_VALUE"""),0.0)</f>
        <v>0</v>
      </c>
      <c r="AA223" s="16">
        <f>IFERROR(__xludf.DUMMYFUNCTION("""COMPUTED_VALUE"""),-2.0)</f>
        <v>-2</v>
      </c>
      <c r="AB223" s="16">
        <f>IFERROR(__xludf.DUMMYFUNCTION("""COMPUTED_VALUE"""),35.3)</f>
        <v>35.3</v>
      </c>
      <c r="AC223" s="16">
        <f>IFERROR(__xludf.DUMMYFUNCTION("""COMPUTED_VALUE"""),31.7)</f>
        <v>31.7</v>
      </c>
      <c r="AD223" s="16">
        <f>IFERROR(__xludf.DUMMYFUNCTION("""COMPUTED_VALUE"""),1.0)</f>
        <v>1</v>
      </c>
      <c r="AE223" s="16">
        <f>IFERROR(__xludf.DUMMYFUNCTION("""COMPUTED_VALUE"""),0.0)</f>
        <v>0</v>
      </c>
      <c r="AF223" s="16">
        <f>IFERROR(__xludf.DUMMYFUNCTION("""COMPUTED_VALUE"""),5.0)</f>
        <v>5</v>
      </c>
      <c r="AG223" s="16">
        <f>IFERROR(__xludf.DUMMYFUNCTION("""COMPUTED_VALUE"""),0.0)</f>
        <v>0</v>
      </c>
      <c r="AH223" s="16">
        <f>IFERROR(__xludf.DUMMYFUNCTION("""COMPUTED_VALUE"""),28.3)</f>
        <v>28.3</v>
      </c>
      <c r="AI223" s="16">
        <f>IFERROR(__xludf.DUMMYFUNCTION("""COMPUTED_VALUE"""),24.2)</f>
        <v>24.2</v>
      </c>
      <c r="AJ223" s="16">
        <f>IFERROR(__xludf.DUMMYFUNCTION("""COMPUTED_VALUE"""),0.0)</f>
        <v>0</v>
      </c>
      <c r="AK223" s="16">
        <f>IFERROR(__xludf.DUMMYFUNCTION("""COMPUTED_VALUE"""),-1.0)</f>
        <v>-1</v>
      </c>
      <c r="AL223" s="16">
        <f>IFERROR(__xludf.DUMMYFUNCTION("""COMPUTED_VALUE"""),0.0)</f>
        <v>0</v>
      </c>
      <c r="AM223" s="16">
        <f>IFERROR(__xludf.DUMMYFUNCTION("""COMPUTED_VALUE"""),-5.0)</f>
        <v>-5</v>
      </c>
      <c r="AN223" s="16">
        <f>IFERROR(__xludf.DUMMYFUNCTION("""COMPUTED_VALUE"""),0.6)</f>
        <v>0.6</v>
      </c>
      <c r="AO223" s="16">
        <f>IFERROR(__xludf.DUMMYFUNCTION("""COMPUTED_VALUE"""),1.2)</f>
        <v>1.2</v>
      </c>
      <c r="AP223" s="16">
        <f>IFERROR(__xludf.DUMMYFUNCTION("""COMPUTED_VALUE"""),-2.0)</f>
        <v>-2</v>
      </c>
      <c r="AQ223" s="16">
        <f>IFERROR(__xludf.DUMMYFUNCTION("""COMPUTED_VALUE"""),-2.0)</f>
        <v>-2</v>
      </c>
      <c r="AR223" s="16">
        <f>IFERROR(__xludf.DUMMYFUNCTION("""COMPUTED_VALUE"""),-4.0)</f>
        <v>-4</v>
      </c>
      <c r="AS223" s="16">
        <f>IFERROR(__xludf.DUMMYFUNCTION("""COMPUTED_VALUE"""),-4.0)</f>
        <v>-4</v>
      </c>
      <c r="AT223" s="16">
        <f>IFERROR(__xludf.DUMMYFUNCTION("""COMPUTED_VALUE"""),0.0)</f>
        <v>0</v>
      </c>
      <c r="AU223" s="16">
        <f>IFERROR(__xludf.DUMMYFUNCTION("""COMPUTED_VALUE"""),2.0)</f>
        <v>2</v>
      </c>
      <c r="AV223" s="16">
        <f>IFERROR(__xludf.DUMMYFUNCTION("""COMPUTED_VALUE"""),0.0)</f>
        <v>0</v>
      </c>
      <c r="AW223" s="16">
        <f>IFERROR(__xludf.DUMMYFUNCTION("""COMPUTED_VALUE"""),2.0)</f>
        <v>2</v>
      </c>
      <c r="AX223" s="16">
        <f>IFERROR(__xludf.DUMMYFUNCTION("""COMPUTED_VALUE"""),-2.0)</f>
        <v>-2</v>
      </c>
      <c r="AY223" s="16">
        <f>IFERROR(__xludf.DUMMYFUNCTION("""COMPUTED_VALUE"""),0.0)</f>
        <v>0</v>
      </c>
      <c r="AZ223" s="16">
        <f>IFERROR(__xludf.DUMMYFUNCTION("""COMPUTED_VALUE"""),-6.0)</f>
        <v>-6</v>
      </c>
      <c r="BA223" s="16">
        <f>IFERROR(__xludf.DUMMYFUNCTION("""COMPUTED_VALUE"""),0.0)</f>
        <v>0</v>
      </c>
      <c r="BB223" s="16">
        <f>IFERROR(__xludf.DUMMYFUNCTION("""COMPUTED_VALUE"""),5.0)</f>
        <v>5</v>
      </c>
      <c r="BC223" s="16">
        <f>IFERROR(__xludf.DUMMYFUNCTION("""COMPUTED_VALUE"""),5.0)</f>
        <v>5</v>
      </c>
      <c r="BD223" s="16">
        <f>IFERROR(__xludf.DUMMYFUNCTION("""COMPUTED_VALUE"""),1.0)</f>
        <v>1</v>
      </c>
      <c r="BE223" s="16">
        <f>IFERROR(__xludf.DUMMYFUNCTION("""COMPUTED_VALUE"""),1.0)</f>
        <v>1</v>
      </c>
      <c r="BF223" s="16">
        <f>IFERROR(__xludf.DUMMYFUNCTION("""COMPUTED_VALUE"""),1.0)</f>
        <v>1</v>
      </c>
      <c r="BG223" s="16">
        <f>IFERROR(__xludf.DUMMYFUNCTION("""COMPUTED_VALUE"""),1.0)</f>
        <v>1</v>
      </c>
      <c r="BH223" s="16">
        <f>IFERROR(__xludf.DUMMYFUNCTION("""COMPUTED_VALUE"""),-3.0)</f>
        <v>-3</v>
      </c>
      <c r="BI223" s="16">
        <f>IFERROR(__xludf.DUMMYFUNCTION("""COMPUTED_VALUE"""),-8.0)</f>
        <v>-8</v>
      </c>
      <c r="BJ223" s="16">
        <f>IFERROR(__xludf.DUMMYFUNCTION("""COMPUTED_VALUE"""),12.0)</f>
        <v>12</v>
      </c>
      <c r="BK223" s="16">
        <f>IFERROR(__xludf.DUMMYFUNCTION("""COMPUTED_VALUE"""),10.0)</f>
        <v>10</v>
      </c>
      <c r="BL223" s="16">
        <f>IFERROR(__xludf.DUMMYFUNCTION("""COMPUTED_VALUE"""),0.0)</f>
        <v>0</v>
      </c>
      <c r="BM223" s="16">
        <f>IFERROR(__xludf.DUMMYFUNCTION("""COMPUTED_VALUE"""),0.0)</f>
        <v>0</v>
      </c>
      <c r="BN223" s="16">
        <f>IFERROR(__xludf.DUMMYFUNCTION("""COMPUTED_VALUE"""),0.0)</f>
        <v>0</v>
      </c>
      <c r="BO223" s="16">
        <f>IFERROR(__xludf.DUMMYFUNCTION("""COMPUTED_VALUE"""),0.0)</f>
        <v>0</v>
      </c>
      <c r="BP223" s="16">
        <f>IFERROR(__xludf.DUMMYFUNCTION("""COMPUTED_VALUE"""),0.0)</f>
        <v>0</v>
      </c>
      <c r="BQ223" s="16">
        <f>IFERROR(__xludf.DUMMYFUNCTION("""COMPUTED_VALUE"""),-2.0)</f>
        <v>-2</v>
      </c>
      <c r="BR223" s="16">
        <f>IFERROR(__xludf.DUMMYFUNCTION("""COMPUTED_VALUE"""),-2.0)</f>
        <v>-2</v>
      </c>
      <c r="BS223" s="16" t="str">
        <f>IFERROR(__xludf.DUMMYFUNCTION("""COMPUTED_VALUE"""),"7/11 (13-5)")</f>
        <v>7/11 (13-5)</v>
      </c>
      <c r="BT223" s="16" t="str">
        <f>IFERROR(__xludf.DUMMYFUNCTION("""COMPUTED_VALUE"""),"D")</f>
        <v>D</v>
      </c>
      <c r="BU223" s="16">
        <f>IFERROR(__xludf.DUMMYFUNCTION("""COMPUTED_VALUE"""),13.0)</f>
        <v>13</v>
      </c>
      <c r="BV223" s="16">
        <f>IFERROR(__xludf.DUMMYFUNCTION("""COMPUTED_VALUE"""),0.0)</f>
        <v>0</v>
      </c>
      <c r="BW223" s="16">
        <f>IFERROR(__xludf.DUMMYFUNCTION("""COMPUTED_VALUE"""),1.0)</f>
        <v>1</v>
      </c>
      <c r="BX223" s="16">
        <f>IFERROR(__xludf.DUMMYFUNCTION("""COMPUTED_VALUE"""),0.0)</f>
        <v>0</v>
      </c>
      <c r="BY223" s="16">
        <f>IFERROR(__xludf.DUMMYFUNCTION("""COMPUTED_VALUE"""),3.0)</f>
        <v>3</v>
      </c>
      <c r="BZ223" s="16" t="str">
        <f>IFERROR(__xludf.DUMMYFUNCTION("""COMPUTED_VALUE"""),"D")</f>
        <v>D</v>
      </c>
      <c r="CA223" s="16" t="str">
        <f>IFERROR(__xludf.DUMMYFUNCTION("""COMPUTED_VALUE"""),"C")</f>
        <v>C</v>
      </c>
      <c r="CB223" s="16">
        <f>IFERROR(__xludf.DUMMYFUNCTION("""COMPUTED_VALUE"""),0.0)</f>
        <v>0</v>
      </c>
      <c r="CC223" s="16">
        <f>IFERROR(__xludf.DUMMYFUNCTION("""COMPUTED_VALUE"""),0.0)</f>
        <v>0</v>
      </c>
      <c r="CD223" s="16">
        <f>IFERROR(__xludf.DUMMYFUNCTION("""COMPUTED_VALUE"""),0.0)</f>
        <v>0</v>
      </c>
      <c r="CE223" s="16">
        <f>IFERROR(__xludf.DUMMYFUNCTION("""COMPUTED_VALUE"""),0.0)</f>
        <v>0</v>
      </c>
      <c r="CF223" s="16">
        <f>IFERROR(__xludf.DUMMYFUNCTION("""COMPUTED_VALUE"""),1.0)</f>
        <v>1</v>
      </c>
      <c r="CG223" s="16">
        <f>IFERROR(__xludf.DUMMYFUNCTION("""COMPUTED_VALUE"""),-2.0)</f>
        <v>-2</v>
      </c>
      <c r="CH223" s="16">
        <f>IFERROR(__xludf.DUMMYFUNCTION("""COMPUTED_VALUE"""),-9.0)</f>
        <v>-9</v>
      </c>
      <c r="CI223" s="179">
        <f>IFERROR(__xludf.DUMMYFUNCTION("""COMPUTED_VALUE"""),-2.0)</f>
        <v>-2</v>
      </c>
      <c r="CJ223" s="16"/>
      <c r="CK223" s="16">
        <f>IFERROR(__xludf.DUMMYFUNCTION("""COMPUTED_VALUE"""),403.0)</f>
        <v>403</v>
      </c>
      <c r="CL223" s="16"/>
      <c r="CM223" s="16"/>
      <c r="CN223" s="16"/>
      <c r="CO223" s="16">
        <f>IFERROR(__xludf.DUMMYFUNCTION("""COMPUTED_VALUE"""),412.0)</f>
        <v>412</v>
      </c>
      <c r="CP223" s="16"/>
      <c r="CQ223" s="16">
        <f>IFERROR(__xludf.DUMMYFUNCTION("""COMPUTED_VALUE"""),312.0)</f>
        <v>312</v>
      </c>
      <c r="CR223" s="16" t="str">
        <f>IFERROR(__xludf.DUMMYFUNCTION("""COMPUTED_VALUE"""),"1b-4e3 rf-3(-2)e12 lf-4e12")</f>
        <v>1b-4e3 rf-3(-2)e12 lf-4e12</v>
      </c>
      <c r="CS223" s="16"/>
      <c r="CT223" s="16">
        <f>IFERROR(__xludf.DUMMYFUNCTION("""COMPUTED_VALUE"""),4.0)</f>
        <v>4</v>
      </c>
      <c r="CU223" s="16"/>
      <c r="CV223" s="16"/>
      <c r="CW223" s="16"/>
      <c r="CX223" s="16">
        <f>IFERROR(__xludf.DUMMYFUNCTION("""COMPUTED_VALUE"""),4.0)</f>
        <v>4</v>
      </c>
      <c r="CY223" s="16"/>
      <c r="CZ223" s="16">
        <f>IFERROR(__xludf.DUMMYFUNCTION("""COMPUTED_VALUE"""),3.0)</f>
        <v>3</v>
      </c>
      <c r="DA223" s="16"/>
      <c r="DB223" s="16">
        <f>IFERROR(__xludf.DUMMYFUNCTION("""COMPUTED_VALUE"""),3.0)</f>
        <v>3</v>
      </c>
      <c r="DC223" s="16"/>
      <c r="DD223" s="16"/>
      <c r="DE223" s="16"/>
      <c r="DF223" s="16">
        <f>IFERROR(__xludf.DUMMYFUNCTION("""COMPUTED_VALUE"""),12.0)</f>
        <v>12</v>
      </c>
      <c r="DG223" s="16"/>
      <c r="DH223" s="16">
        <f>IFERROR(__xludf.DUMMYFUNCTION("""COMPUTED_VALUE"""),12.0)</f>
        <v>12</v>
      </c>
      <c r="DI223" s="16"/>
      <c r="DJ223" s="16">
        <f>IFERROR(__xludf.DUMMYFUNCTION("""COMPUTED_VALUE"""),0.0)</f>
        <v>0</v>
      </c>
      <c r="DK223" s="16"/>
      <c r="DL223" s="16"/>
      <c r="DM223" s="16"/>
      <c r="DN223" s="16">
        <f>IFERROR(__xludf.DUMMYFUNCTION("""COMPUTED_VALUE"""),-1.0)</f>
        <v>-1</v>
      </c>
      <c r="DO223" s="16"/>
      <c r="DP223" s="16">
        <f>IFERROR(__xludf.DUMMYFUNCTION("""COMPUTED_VALUE"""),0.0)</f>
        <v>0</v>
      </c>
      <c r="DQ223" s="16"/>
      <c r="DR223" s="16">
        <f>IFERROR(__xludf.DUMMYFUNCTION("""COMPUTED_VALUE"""),4.0)</f>
        <v>4</v>
      </c>
      <c r="DS223" s="16"/>
      <c r="DT223" s="16"/>
      <c r="DU223" s="16"/>
      <c r="DV223" s="16">
        <f>IFERROR(__xludf.DUMMYFUNCTION("""COMPUTED_VALUE"""),-2.0)</f>
        <v>-2</v>
      </c>
      <c r="DW223" s="16"/>
      <c r="DX223" s="16">
        <f>IFERROR(__xludf.DUMMYFUNCTION("""COMPUTED_VALUE"""),-2.0)</f>
        <v>-2</v>
      </c>
      <c r="DY223" s="16"/>
      <c r="DZ223" s="16">
        <f>IFERROR(__xludf.DUMMYFUNCTION("""COMPUTED_VALUE"""),4.0)</f>
        <v>4</v>
      </c>
      <c r="EA223" s="16"/>
      <c r="EB223" s="16"/>
      <c r="EC223" s="16"/>
      <c r="ED223" s="16">
        <f>IFERROR(__xludf.DUMMYFUNCTION("""COMPUTED_VALUE"""),-3.0)</f>
        <v>-3</v>
      </c>
      <c r="EE223" s="16"/>
      <c r="EF223" s="16">
        <f>IFERROR(__xludf.DUMMYFUNCTION("""COMPUTED_VALUE"""),-2.0)</f>
        <v>-2</v>
      </c>
      <c r="EG223" s="179"/>
      <c r="EH223" s="179">
        <f>IFERROR(__xludf.DUMMYFUNCTION("""COMPUTED_VALUE"""),2.0)</f>
        <v>2</v>
      </c>
      <c r="EI223" s="179"/>
      <c r="EJ223" s="179"/>
      <c r="EK223" s="179"/>
      <c r="EL223" s="179">
        <f>IFERROR(__xludf.DUMMYFUNCTION("""COMPUTED_VALUE"""),-5.0)</f>
        <v>-5</v>
      </c>
      <c r="EM223" s="179"/>
      <c r="EN223" s="179">
        <f>IFERROR(__xludf.DUMMYFUNCTION("""COMPUTED_VALUE"""),-4.0)</f>
        <v>-4</v>
      </c>
      <c r="EO223" s="16"/>
      <c r="EP223" s="16"/>
      <c r="EQ223" s="16">
        <f>IFERROR(__xludf.DUMMYFUNCTION("""COMPUTED_VALUE"""),4.0)</f>
        <v>4</v>
      </c>
      <c r="ER223" s="16">
        <f>IFERROR(__xludf.DUMMYFUNCTION("""COMPUTED_VALUE"""),1.0)</f>
        <v>1</v>
      </c>
      <c r="ES223" s="16"/>
      <c r="ET223" s="16"/>
      <c r="EU223" s="16"/>
      <c r="EV223" s="16"/>
      <c r="EW223" s="16"/>
      <c r="EX223" s="180"/>
      <c r="EY223" s="180">
        <f>IFERROR(__xludf.DUMMYFUNCTION("""COMPUTED_VALUE"""),0.3)</f>
        <v>0.3</v>
      </c>
      <c r="EZ223" s="180"/>
      <c r="FA223" s="180"/>
      <c r="FB223" s="180"/>
      <c r="FC223" s="180">
        <f>IFERROR(__xludf.DUMMYFUNCTION("""COMPUTED_VALUE"""),0.55)</f>
        <v>0.55</v>
      </c>
      <c r="FD223" s="180"/>
      <c r="FE223" s="180">
        <f>IFERROR(__xludf.DUMMYFUNCTION("""COMPUTED_VALUE"""),0.3)</f>
        <v>0.3</v>
      </c>
      <c r="FF223" s="180"/>
      <c r="FG223" s="180">
        <f>IFERROR(__xludf.DUMMYFUNCTION("""COMPUTED_VALUE"""),0.05555555555555555)</f>
        <v>0.05555555556</v>
      </c>
      <c r="FH223" s="180"/>
      <c r="FI223" s="180"/>
      <c r="FJ223" s="180"/>
      <c r="FK223" s="180">
        <f>IFERROR(__xludf.DUMMYFUNCTION("""COMPUTED_VALUE"""),0.218)</f>
        <v>0.218</v>
      </c>
      <c r="FL223" s="180"/>
      <c r="FM223" s="180">
        <f>IFERROR(__xludf.DUMMYFUNCTION("""COMPUTED_VALUE"""),0.218)</f>
        <v>0.218</v>
      </c>
      <c r="FN223" s="16"/>
      <c r="FO223" s="16">
        <f>IFERROR(__xludf.DUMMYFUNCTION("""COMPUTED_VALUE"""),0.6611111111111111)</f>
        <v>0.6611111111</v>
      </c>
      <c r="FP223" s="16"/>
      <c r="FQ223" s="16"/>
      <c r="FR223" s="16"/>
      <c r="FS223" s="16">
        <f>IFERROR(__xludf.DUMMYFUNCTION("""COMPUTED_VALUE"""),0.3519)</f>
        <v>0.3519</v>
      </c>
      <c r="FT223" s="16"/>
      <c r="FU223" s="16">
        <f>IFERROR(__xludf.DUMMYFUNCTION("""COMPUTED_VALUE"""),0.5474)</f>
        <v>0.5474</v>
      </c>
      <c r="FV223" s="16"/>
      <c r="FW223" s="16">
        <f>IFERROR(__xludf.DUMMYFUNCTION("""COMPUTED_VALUE"""),-4.0)</f>
        <v>-4</v>
      </c>
      <c r="FX223" s="16"/>
      <c r="FY223" s="16"/>
      <c r="FZ223" s="16"/>
      <c r="GA223" s="16">
        <f>IFERROR(__xludf.DUMMYFUNCTION("""COMPUTED_VALUE"""),-8.0)</f>
        <v>-8</v>
      </c>
      <c r="GB223" s="16"/>
      <c r="GC223" s="16">
        <f>IFERROR(__xludf.DUMMYFUNCTION("""COMPUTED_VALUE"""),-8.0)</f>
        <v>-8</v>
      </c>
      <c r="GD223" s="16" t="s">
        <v>176</v>
      </c>
    </row>
    <row r="224">
      <c r="A224" s="16">
        <f>IFERROR(__xludf.DUMMYFUNCTION("""COMPUTED_VALUE"""),13493.0)</f>
        <v>13493</v>
      </c>
      <c r="B224" s="16" t="str">
        <f>IFERROR(__xludf.DUMMYFUNCTION("""COMPUTED_VALUE"""),"Xander Bogaerts")</f>
        <v>Xander Bogaerts</v>
      </c>
      <c r="C224" s="16">
        <f>IFERROR(__xludf.DUMMYFUNCTION("""COMPUTED_VALUE"""),0.45)</f>
        <v>0.45</v>
      </c>
      <c r="D224" s="16" t="str">
        <f>IFERROR(__xludf.DUMMYFUNCTION("""COMPUTED_VALUE"""),"R")</f>
        <v>R</v>
      </c>
      <c r="E224" s="16"/>
      <c r="F224" s="16"/>
      <c r="G224" s="16">
        <f>IFERROR(__xludf.DUMMYFUNCTION("""COMPUTED_VALUE"""),428.0)</f>
        <v>428</v>
      </c>
      <c r="H224" s="16">
        <f>IFERROR(__xludf.DUMMYFUNCTION("""COMPUTED_VALUE"""),28.0)</f>
        <v>28</v>
      </c>
      <c r="I224" s="16" t="str">
        <f>IFERROR(__xludf.DUMMYFUNCTION("""COMPUTED_VALUE"""),"3p50")</f>
        <v>3p50</v>
      </c>
      <c r="J224" s="16">
        <f>IFERROR(__xludf.DUMMYFUNCTION("""COMPUTED_VALUE"""),7.0)</f>
        <v>7</v>
      </c>
      <c r="K224" s="16">
        <f>IFERROR(__xludf.DUMMYFUNCTION("""COMPUTED_VALUE"""),14.0)</f>
        <v>14</v>
      </c>
      <c r="L224" s="16">
        <f>IFERROR(__xludf.DUMMYFUNCTION("""COMPUTED_VALUE"""),2.0)</f>
        <v>2</v>
      </c>
      <c r="M224" s="16">
        <f>IFERROR(__xludf.DUMMYFUNCTION("""COMPUTED_VALUE"""),1.0)</f>
        <v>1</v>
      </c>
      <c r="N224" s="16">
        <f>IFERROR(__xludf.DUMMYFUNCTION("""COMPUTED_VALUE"""),2.0)</f>
        <v>2</v>
      </c>
      <c r="O224" s="16">
        <f>IFERROR(__xludf.DUMMYFUNCTION("""COMPUTED_VALUE"""),1.0)</f>
        <v>1</v>
      </c>
      <c r="P224" s="16">
        <f>IFERROR(__xludf.DUMMYFUNCTION("""COMPUTED_VALUE"""),15.0)</f>
        <v>15</v>
      </c>
      <c r="Q224" s="16">
        <f>IFERROR(__xludf.DUMMYFUNCTION("""COMPUTED_VALUE"""),2.0)</f>
        <v>2</v>
      </c>
      <c r="R224" s="16">
        <f>IFERROR(__xludf.DUMMYFUNCTION("""COMPUTED_VALUE"""),2.0)</f>
        <v>2</v>
      </c>
      <c r="S224" s="16">
        <f>IFERROR(__xludf.DUMMYFUNCTION("""COMPUTED_VALUE"""),-2.0)</f>
        <v>-2</v>
      </c>
      <c r="T224" s="16">
        <f>IFERROR(__xludf.DUMMYFUNCTION("""COMPUTED_VALUE"""),2.0)</f>
        <v>2</v>
      </c>
      <c r="U224" s="16">
        <f>IFERROR(__xludf.DUMMYFUNCTION("""COMPUTED_VALUE"""),-2.0)</f>
        <v>-2</v>
      </c>
      <c r="V224" s="16">
        <f>IFERROR(__xludf.DUMMYFUNCTION("""COMPUTED_VALUE"""),19.1)</f>
        <v>19.1</v>
      </c>
      <c r="W224" s="16">
        <f>IFERROR(__xludf.DUMMYFUNCTION("""COMPUTED_VALUE"""),28.5)</f>
        <v>28.5</v>
      </c>
      <c r="X224" s="16">
        <f>IFERROR(__xludf.DUMMYFUNCTION("""COMPUTED_VALUE"""),0.0)</f>
        <v>0</v>
      </c>
      <c r="Y224" s="16">
        <f>IFERROR(__xludf.DUMMYFUNCTION("""COMPUTED_VALUE"""),2.0)</f>
        <v>2</v>
      </c>
      <c r="Z224" s="16">
        <f>IFERROR(__xludf.DUMMYFUNCTION("""COMPUTED_VALUE"""),0.0)</f>
        <v>0</v>
      </c>
      <c r="AA224" s="16">
        <f>IFERROR(__xludf.DUMMYFUNCTION("""COMPUTED_VALUE"""),4.0)</f>
        <v>4</v>
      </c>
      <c r="AB224" s="16">
        <f>IFERROR(__xludf.DUMMYFUNCTION("""COMPUTED_VALUE"""),34.1)</f>
        <v>34.1</v>
      </c>
      <c r="AC224" s="16">
        <f>IFERROR(__xludf.DUMMYFUNCTION("""COMPUTED_VALUE"""),30.5)</f>
        <v>30.5</v>
      </c>
      <c r="AD224" s="16">
        <f>IFERROR(__xludf.DUMMYFUNCTION("""COMPUTED_VALUE"""),0.0)</f>
        <v>0</v>
      </c>
      <c r="AE224" s="16">
        <f>IFERROR(__xludf.DUMMYFUNCTION("""COMPUTED_VALUE"""),0.0)</f>
        <v>0</v>
      </c>
      <c r="AF224" s="16">
        <f>IFERROR(__xludf.DUMMYFUNCTION("""COMPUTED_VALUE"""),0.0)</f>
        <v>0</v>
      </c>
      <c r="AG224" s="16">
        <f>IFERROR(__xludf.DUMMYFUNCTION("""COMPUTED_VALUE"""),0.0)</f>
        <v>0</v>
      </c>
      <c r="AH224" s="16">
        <f>IFERROR(__xludf.DUMMYFUNCTION("""COMPUTED_VALUE"""),23.9)</f>
        <v>23.9</v>
      </c>
      <c r="AI224" s="16">
        <f>IFERROR(__xludf.DUMMYFUNCTION("""COMPUTED_VALUE"""),35.0)</f>
        <v>35</v>
      </c>
      <c r="AJ224" s="16">
        <f>IFERROR(__xludf.DUMMYFUNCTION("""COMPUTED_VALUE"""),-1.0)</f>
        <v>-1</v>
      </c>
      <c r="AK224" s="16">
        <f>IFERROR(__xludf.DUMMYFUNCTION("""COMPUTED_VALUE"""),0.0)</f>
        <v>0</v>
      </c>
      <c r="AL224" s="16">
        <f>IFERROR(__xludf.DUMMYFUNCTION("""COMPUTED_VALUE"""),-5.0)</f>
        <v>-5</v>
      </c>
      <c r="AM224" s="16">
        <f>IFERROR(__xludf.DUMMYFUNCTION("""COMPUTED_VALUE"""),0.0)</f>
        <v>0</v>
      </c>
      <c r="AN224" s="16">
        <f>IFERROR(__xludf.DUMMYFUNCTION("""COMPUTED_VALUE"""),0.5)</f>
        <v>0.5</v>
      </c>
      <c r="AO224" s="16">
        <f>IFERROR(__xludf.DUMMYFUNCTION("""COMPUTED_VALUE"""),1.3)</f>
        <v>1.3</v>
      </c>
      <c r="AP224" s="16">
        <f>IFERROR(__xludf.DUMMYFUNCTION("""COMPUTED_VALUE"""),-2.0)</f>
        <v>-2</v>
      </c>
      <c r="AQ224" s="16">
        <f>IFERROR(__xludf.DUMMYFUNCTION("""COMPUTED_VALUE"""),-1.0)</f>
        <v>-1</v>
      </c>
      <c r="AR224" s="16">
        <f>IFERROR(__xludf.DUMMYFUNCTION("""COMPUTED_VALUE"""),-4.0)</f>
        <v>-4</v>
      </c>
      <c r="AS224" s="16">
        <f>IFERROR(__xludf.DUMMYFUNCTION("""COMPUTED_VALUE"""),-2.0)</f>
        <v>-2</v>
      </c>
      <c r="AT224" s="16">
        <f>IFERROR(__xludf.DUMMYFUNCTION("""COMPUTED_VALUE"""),0.0)</f>
        <v>0</v>
      </c>
      <c r="AU224" s="16">
        <f>IFERROR(__xludf.DUMMYFUNCTION("""COMPUTED_VALUE"""),2.0)</f>
        <v>2</v>
      </c>
      <c r="AV224" s="16">
        <f>IFERROR(__xludf.DUMMYFUNCTION("""COMPUTED_VALUE"""),0.0)</f>
        <v>0</v>
      </c>
      <c r="AW224" s="16">
        <f>IFERROR(__xludf.DUMMYFUNCTION("""COMPUTED_VALUE"""),2.0)</f>
        <v>2</v>
      </c>
      <c r="AX224" s="16">
        <f>IFERROR(__xludf.DUMMYFUNCTION("""COMPUTED_VALUE"""),-2.0)</f>
        <v>-2</v>
      </c>
      <c r="AY224" s="16">
        <f>IFERROR(__xludf.DUMMYFUNCTION("""COMPUTED_VALUE"""),0.0)</f>
        <v>0</v>
      </c>
      <c r="AZ224" s="16">
        <f>IFERROR(__xludf.DUMMYFUNCTION("""COMPUTED_VALUE"""),-6.0)</f>
        <v>-6</v>
      </c>
      <c r="BA224" s="16">
        <f>IFERROR(__xludf.DUMMYFUNCTION("""COMPUTED_VALUE"""),0.0)</f>
        <v>0</v>
      </c>
      <c r="BB224" s="16">
        <f>IFERROR(__xludf.DUMMYFUNCTION("""COMPUTED_VALUE"""),5.0)</f>
        <v>5</v>
      </c>
      <c r="BC224" s="16">
        <f>IFERROR(__xludf.DUMMYFUNCTION("""COMPUTED_VALUE"""),5.0)</f>
        <v>5</v>
      </c>
      <c r="BD224" s="16">
        <f>IFERROR(__xludf.DUMMYFUNCTION("""COMPUTED_VALUE"""),1.0)</f>
        <v>1</v>
      </c>
      <c r="BE224" s="16">
        <f>IFERROR(__xludf.DUMMYFUNCTION("""COMPUTED_VALUE"""),1.0)</f>
        <v>1</v>
      </c>
      <c r="BF224" s="16">
        <f>IFERROR(__xludf.DUMMYFUNCTION("""COMPUTED_VALUE"""),1.0)</f>
        <v>1</v>
      </c>
      <c r="BG224" s="16">
        <f>IFERROR(__xludf.DUMMYFUNCTION("""COMPUTED_VALUE"""),1.0)</f>
        <v>1</v>
      </c>
      <c r="BH224" s="16">
        <f>IFERROR(__xludf.DUMMYFUNCTION("""COMPUTED_VALUE"""),-3.0)</f>
        <v>-3</v>
      </c>
      <c r="BI224" s="16">
        <f>IFERROR(__xludf.DUMMYFUNCTION("""COMPUTED_VALUE"""),-4.0)</f>
        <v>-4</v>
      </c>
      <c r="BJ224" s="16">
        <f>IFERROR(__xludf.DUMMYFUNCTION("""COMPUTED_VALUE"""),19.0)</f>
        <v>19</v>
      </c>
      <c r="BK224" s="16">
        <f>IFERROR(__xludf.DUMMYFUNCTION("""COMPUTED_VALUE"""),24.0)</f>
        <v>24</v>
      </c>
      <c r="BL224" s="16">
        <f>IFERROR(__xludf.DUMMYFUNCTION("""COMPUTED_VALUE"""),-1.0)</f>
        <v>-1</v>
      </c>
      <c r="BM224" s="16">
        <f>IFERROR(__xludf.DUMMYFUNCTION("""COMPUTED_VALUE"""),-2.0)</f>
        <v>-2</v>
      </c>
      <c r="BN224" s="16">
        <f>IFERROR(__xludf.DUMMYFUNCTION("""COMPUTED_VALUE"""),-2.0)</f>
        <v>-2</v>
      </c>
      <c r="BO224" s="16">
        <f>IFERROR(__xludf.DUMMYFUNCTION("""COMPUTED_VALUE"""),-4.0)</f>
        <v>-4</v>
      </c>
      <c r="BP224" s="16">
        <f>IFERROR(__xludf.DUMMYFUNCTION("""COMPUTED_VALUE"""),-1.0)</f>
        <v>-1</v>
      </c>
      <c r="BQ224" s="16">
        <f>IFERROR(__xludf.DUMMYFUNCTION("""COMPUTED_VALUE"""),-1.0)</f>
        <v>-1</v>
      </c>
      <c r="BR224" s="16">
        <f>IFERROR(__xludf.DUMMYFUNCTION("""COMPUTED_VALUE"""),-2.0)</f>
        <v>-2</v>
      </c>
      <c r="BS224" s="16" t="str">
        <f>IFERROR(__xludf.DUMMYFUNCTION("""COMPUTED_VALUE"""),"*4,5/- (18-12)")</f>
        <v>*4,5/- (18-12)</v>
      </c>
      <c r="BT224" s="16" t="str">
        <f>IFERROR(__xludf.DUMMYFUNCTION("""COMPUTED_VALUE"""),"B")</f>
        <v>B</v>
      </c>
      <c r="BU224" s="16">
        <f>IFERROR(__xludf.DUMMYFUNCTION("""COMPUTED_VALUE"""),14.0)</f>
        <v>14</v>
      </c>
      <c r="BV224" s="16">
        <f>IFERROR(__xludf.DUMMYFUNCTION("""COMPUTED_VALUE"""),1.0)</f>
        <v>1</v>
      </c>
      <c r="BW224" s="16">
        <f>IFERROR(__xludf.DUMMYFUNCTION("""COMPUTED_VALUE"""),1.0)</f>
        <v>1</v>
      </c>
      <c r="BX224" s="16">
        <f>IFERROR(__xludf.DUMMYFUNCTION("""COMPUTED_VALUE"""),2.0)</f>
        <v>2</v>
      </c>
      <c r="BY224" s="16">
        <f>IFERROR(__xludf.DUMMYFUNCTION("""COMPUTED_VALUE"""),3.0)</f>
        <v>3</v>
      </c>
      <c r="BZ224" s="16" t="str">
        <f>IFERROR(__xludf.DUMMYFUNCTION("""COMPUTED_VALUE"""),"D")</f>
        <v>D</v>
      </c>
      <c r="CA224" s="16" t="str">
        <f>IFERROR(__xludf.DUMMYFUNCTION("""COMPUTED_VALUE"""),"B")</f>
        <v>B</v>
      </c>
      <c r="CB224" s="16">
        <f>IFERROR(__xludf.DUMMYFUNCTION("""COMPUTED_VALUE"""),0.0)</f>
        <v>0</v>
      </c>
      <c r="CC224" s="16">
        <f>IFERROR(__xludf.DUMMYFUNCTION("""COMPUTED_VALUE"""),1.0)</f>
        <v>1</v>
      </c>
      <c r="CD224" s="16">
        <f>IFERROR(__xludf.DUMMYFUNCTION("""COMPUTED_VALUE"""),0.0)</f>
        <v>0</v>
      </c>
      <c r="CE224" s="16">
        <f>IFERROR(__xludf.DUMMYFUNCTION("""COMPUTED_VALUE"""),2.0)</f>
        <v>2</v>
      </c>
      <c r="CF224" s="16">
        <f>IFERROR(__xludf.DUMMYFUNCTION("""COMPUTED_VALUE"""),3.0)</f>
        <v>3</v>
      </c>
      <c r="CG224" s="16">
        <f>IFERROR(__xludf.DUMMYFUNCTION("""COMPUTED_VALUE"""),-12.0)</f>
        <v>-12</v>
      </c>
      <c r="CH224" s="16">
        <f>IFERROR(__xludf.DUMMYFUNCTION("""COMPUTED_VALUE"""),-2.0)</f>
        <v>-2</v>
      </c>
      <c r="CI224" s="179">
        <f>IFERROR(__xludf.DUMMYFUNCTION("""COMPUTED_VALUE"""),-2.0)</f>
        <v>-2</v>
      </c>
      <c r="CJ224" s="16"/>
      <c r="CK224" s="16"/>
      <c r="CL224" s="16">
        <f>IFERROR(__xludf.DUMMYFUNCTION("""COMPUTED_VALUE"""),312.0)</f>
        <v>312</v>
      </c>
      <c r="CM224" s="16"/>
      <c r="CN224" s="16">
        <f>IFERROR(__xludf.DUMMYFUNCTION("""COMPUTED_VALUE"""),428.0)</f>
        <v>428</v>
      </c>
      <c r="CO224" s="16"/>
      <c r="CP224" s="16"/>
      <c r="CQ224" s="16"/>
      <c r="CR224" s="16" t="str">
        <f>IFERROR(__xludf.DUMMYFUNCTION("""COMPUTED_VALUE"""),"2b-3e12 ss-4e28")</f>
        <v>2b-3e12 ss-4e28</v>
      </c>
      <c r="CS224" s="16"/>
      <c r="CT224" s="16"/>
      <c r="CU224" s="16">
        <f>IFERROR(__xludf.DUMMYFUNCTION("""COMPUTED_VALUE"""),3.0)</f>
        <v>3</v>
      </c>
      <c r="CV224" s="16"/>
      <c r="CW224" s="16">
        <f>IFERROR(__xludf.DUMMYFUNCTION("""COMPUTED_VALUE"""),4.0)</f>
        <v>4</v>
      </c>
      <c r="CX224" s="16"/>
      <c r="CY224" s="16"/>
      <c r="CZ224" s="16"/>
      <c r="DA224" s="16"/>
      <c r="DB224" s="16"/>
      <c r="DC224" s="16">
        <f>IFERROR(__xludf.DUMMYFUNCTION("""COMPUTED_VALUE"""),12.0)</f>
        <v>12</v>
      </c>
      <c r="DD224" s="16"/>
      <c r="DE224" s="16">
        <f>IFERROR(__xludf.DUMMYFUNCTION("""COMPUTED_VALUE"""),28.0)</f>
        <v>28</v>
      </c>
      <c r="DF224" s="16"/>
      <c r="DG224" s="16"/>
      <c r="DH224" s="16"/>
      <c r="DI224" s="16"/>
      <c r="DJ224" s="16"/>
      <c r="DK224" s="16">
        <f>IFERROR(__xludf.DUMMYFUNCTION("""COMPUTED_VALUE"""),0.0)</f>
        <v>0</v>
      </c>
      <c r="DL224" s="16"/>
      <c r="DM224" s="16">
        <f>IFERROR(__xludf.DUMMYFUNCTION("""COMPUTED_VALUE"""),-2.0)</f>
        <v>-2</v>
      </c>
      <c r="DN224" s="16"/>
      <c r="DO224" s="16"/>
      <c r="DP224" s="16"/>
      <c r="DQ224" s="16"/>
      <c r="DR224" s="16"/>
      <c r="DS224" s="16">
        <f>IFERROR(__xludf.DUMMYFUNCTION("""COMPUTED_VALUE"""),2.0)</f>
        <v>2</v>
      </c>
      <c r="DT224" s="16"/>
      <c r="DU224" s="16">
        <f>IFERROR(__xludf.DUMMYFUNCTION("""COMPUTED_VALUE"""),-2.0)</f>
        <v>-2</v>
      </c>
      <c r="DV224" s="16"/>
      <c r="DW224" s="16"/>
      <c r="DX224" s="16"/>
      <c r="DY224" s="16"/>
      <c r="DZ224" s="16"/>
      <c r="EA224" s="16">
        <f>IFERROR(__xludf.DUMMYFUNCTION("""COMPUTED_VALUE"""),2.0)</f>
        <v>2</v>
      </c>
      <c r="EB224" s="16"/>
      <c r="EC224" s="16">
        <f>IFERROR(__xludf.DUMMYFUNCTION("""COMPUTED_VALUE"""),-4.0)</f>
        <v>-4</v>
      </c>
      <c r="ED224" s="16"/>
      <c r="EE224" s="16"/>
      <c r="EF224" s="16"/>
      <c r="EG224" s="179"/>
      <c r="EH224" s="179"/>
      <c r="EI224" s="179">
        <f>IFERROR(__xludf.DUMMYFUNCTION("""COMPUTED_VALUE"""),0.0)</f>
        <v>0</v>
      </c>
      <c r="EJ224" s="179"/>
      <c r="EK224" s="179">
        <f>IFERROR(__xludf.DUMMYFUNCTION("""COMPUTED_VALUE"""),-6.0)</f>
        <v>-6</v>
      </c>
      <c r="EL224" s="179"/>
      <c r="EM224" s="179"/>
      <c r="EN224" s="179"/>
      <c r="EO224" s="16"/>
      <c r="EP224" s="16">
        <f>IFERROR(__xludf.DUMMYFUNCTION("""COMPUTED_VALUE"""),-2.0)</f>
        <v>-2</v>
      </c>
      <c r="EQ224" s="16">
        <f>IFERROR(__xludf.DUMMYFUNCTION("""COMPUTED_VALUE"""),1.0)</f>
        <v>1</v>
      </c>
      <c r="ER224" s="16">
        <f>IFERROR(__xludf.DUMMYFUNCTION("""COMPUTED_VALUE"""),0.0)</f>
        <v>0</v>
      </c>
      <c r="ES224" s="16"/>
      <c r="ET224" s="16"/>
      <c r="EU224" s="16"/>
      <c r="EV224" s="16"/>
      <c r="EW224" s="16"/>
      <c r="EX224" s="180"/>
      <c r="EY224" s="180"/>
      <c r="EZ224" s="180">
        <f>IFERROR(__xludf.DUMMYFUNCTION("""COMPUTED_VALUE"""),0.2)</f>
        <v>0.2</v>
      </c>
      <c r="FA224" s="180"/>
      <c r="FB224" s="180">
        <f>IFERROR(__xludf.DUMMYFUNCTION("""COMPUTED_VALUE"""),0.3)</f>
        <v>0.3</v>
      </c>
      <c r="FC224" s="180"/>
      <c r="FD224" s="180"/>
      <c r="FE224" s="180"/>
      <c r="FF224" s="180"/>
      <c r="FG224" s="180"/>
      <c r="FH224" s="180">
        <f>IFERROR(__xludf.DUMMYFUNCTION("""COMPUTED_VALUE"""),0.06944444444444445)</f>
        <v>0.06944444444</v>
      </c>
      <c r="FI224" s="180"/>
      <c r="FJ224" s="180">
        <f>IFERROR(__xludf.DUMMYFUNCTION("""COMPUTED_VALUE"""),0.14351851851851852)</f>
        <v>0.1435185185</v>
      </c>
      <c r="FK224" s="180"/>
      <c r="FL224" s="180"/>
      <c r="FM224" s="180"/>
      <c r="FN224" s="16"/>
      <c r="FO224" s="16"/>
      <c r="FP224" s="16">
        <f>IFERROR(__xludf.DUMMYFUNCTION("""COMPUTED_VALUE"""),0.7444444444444445)</f>
        <v>0.7444444444</v>
      </c>
      <c r="FQ224" s="16"/>
      <c r="FR224" s="16">
        <f>IFERROR(__xludf.DUMMYFUNCTION("""COMPUTED_VALUE"""),0.599537037037037)</f>
        <v>0.599537037</v>
      </c>
      <c r="FS224" s="16"/>
      <c r="FT224" s="16"/>
      <c r="FU224" s="16"/>
      <c r="FV224" s="16"/>
      <c r="FW224" s="16"/>
      <c r="FX224" s="16">
        <f>IFERROR(__xludf.DUMMYFUNCTION("""COMPUTED_VALUE"""),-4.0)</f>
        <v>-4</v>
      </c>
      <c r="FY224" s="16"/>
      <c r="FZ224" s="16">
        <f>IFERROR(__xludf.DUMMYFUNCTION("""COMPUTED_VALUE"""),-6.0)</f>
        <v>-6</v>
      </c>
      <c r="GA224" s="16"/>
      <c r="GB224" s="16"/>
      <c r="GC224" s="16"/>
      <c r="GD224" s="16" t="s">
        <v>176</v>
      </c>
    </row>
    <row r="225">
      <c r="A225" s="16">
        <f>IFERROR(__xludf.DUMMYFUNCTION("""COMPUTED_VALUE"""),12991.0)</f>
        <v>12991</v>
      </c>
      <c r="B225" s="16" t="str">
        <f>IFERROR(__xludf.DUMMYFUNCTION("""COMPUTED_VALUE"""),"Jonathan Aranda")</f>
        <v>Jonathan Aranda</v>
      </c>
      <c r="C225" s="16">
        <f>IFERROR(__xludf.DUMMYFUNCTION("""COMPUTED_VALUE"""),1.42)</f>
        <v>1.42</v>
      </c>
      <c r="D225" s="16" t="str">
        <f>IFERROR(__xludf.DUMMYFUNCTION("""COMPUTED_VALUE"""),"L")</f>
        <v>L</v>
      </c>
      <c r="E225" s="16"/>
      <c r="F225" s="16"/>
      <c r="G225" s="16">
        <f>IFERROR(__xludf.DUMMYFUNCTION("""COMPUTED_VALUE"""),128.0)</f>
        <v>128</v>
      </c>
      <c r="H225" s="16">
        <f>IFERROR(__xludf.DUMMYFUNCTION("""COMPUTED_VALUE"""),12.0)</f>
        <v>12</v>
      </c>
      <c r="I225" s="16" t="str">
        <f>IFERROR(__xludf.DUMMYFUNCTION("""COMPUTED_VALUE"""),"4p20")</f>
        <v>4p20</v>
      </c>
      <c r="J225" s="16">
        <f>IFERROR(__xludf.DUMMYFUNCTION("""COMPUTED_VALUE"""),21.0)</f>
        <v>21</v>
      </c>
      <c r="K225" s="16">
        <f>IFERROR(__xludf.DUMMYFUNCTION("""COMPUTED_VALUE"""),25.0)</f>
        <v>25</v>
      </c>
      <c r="L225" s="16">
        <f>IFERROR(__xludf.DUMMYFUNCTION("""COMPUTED_VALUE"""),0.0)</f>
        <v>0</v>
      </c>
      <c r="M225" s="16">
        <f>IFERROR(__xludf.DUMMYFUNCTION("""COMPUTED_VALUE"""),0.0)</f>
        <v>0</v>
      </c>
      <c r="N225" s="16">
        <f>IFERROR(__xludf.DUMMYFUNCTION("""COMPUTED_VALUE"""),0.0)</f>
        <v>0</v>
      </c>
      <c r="O225" s="16">
        <f>IFERROR(__xludf.DUMMYFUNCTION("""COMPUTED_VALUE"""),0.0)</f>
        <v>0</v>
      </c>
      <c r="P225" s="16">
        <f>IFERROR(__xludf.DUMMYFUNCTION("""COMPUTED_VALUE"""),4.0)</f>
        <v>4</v>
      </c>
      <c r="Q225" s="16">
        <f>IFERROR(__xludf.DUMMYFUNCTION("""COMPUTED_VALUE"""),9.0)</f>
        <v>9</v>
      </c>
      <c r="R225" s="16">
        <f>IFERROR(__xludf.DUMMYFUNCTION("""COMPUTED_VALUE"""),-2.0)</f>
        <v>-2</v>
      </c>
      <c r="S225" s="16">
        <f>IFERROR(__xludf.DUMMYFUNCTION("""COMPUTED_VALUE"""),0.0)</f>
        <v>0</v>
      </c>
      <c r="T225" s="16">
        <f>IFERROR(__xludf.DUMMYFUNCTION("""COMPUTED_VALUE"""),-2.0)</f>
        <v>-2</v>
      </c>
      <c r="U225" s="16">
        <f>IFERROR(__xludf.DUMMYFUNCTION("""COMPUTED_VALUE"""),0.0)</f>
        <v>0</v>
      </c>
      <c r="V225" s="16">
        <f>IFERROR(__xludf.DUMMYFUNCTION("""COMPUTED_VALUE"""),9.8)</f>
        <v>9.8</v>
      </c>
      <c r="W225" s="16">
        <f>IFERROR(__xludf.DUMMYFUNCTION("""COMPUTED_VALUE"""),18.9)</f>
        <v>18.9</v>
      </c>
      <c r="X225" s="16">
        <f>IFERROR(__xludf.DUMMYFUNCTION("""COMPUTED_VALUE"""),-1.0)</f>
        <v>-1</v>
      </c>
      <c r="Y225" s="16">
        <f>IFERROR(__xludf.DUMMYFUNCTION("""COMPUTED_VALUE"""),0.0)</f>
        <v>0</v>
      </c>
      <c r="Z225" s="16">
        <f>IFERROR(__xludf.DUMMYFUNCTION("""COMPUTED_VALUE"""),-2.0)</f>
        <v>-2</v>
      </c>
      <c r="AA225" s="16">
        <f>IFERROR(__xludf.DUMMYFUNCTION("""COMPUTED_VALUE"""),0.0)</f>
        <v>0</v>
      </c>
      <c r="AB225" s="16">
        <f>IFERROR(__xludf.DUMMYFUNCTION("""COMPUTED_VALUE"""),16.8)</f>
        <v>16.8</v>
      </c>
      <c r="AC225" s="16">
        <f>IFERROR(__xludf.DUMMYFUNCTION("""COMPUTED_VALUE"""),30.9)</f>
        <v>30.9</v>
      </c>
      <c r="AD225" s="16">
        <f>IFERROR(__xludf.DUMMYFUNCTION("""COMPUTED_VALUE"""),-2.0)</f>
        <v>-2</v>
      </c>
      <c r="AE225" s="16">
        <f>IFERROR(__xludf.DUMMYFUNCTION("""COMPUTED_VALUE"""),0.0)</f>
        <v>0</v>
      </c>
      <c r="AF225" s="16">
        <f>IFERROR(__xludf.DUMMYFUNCTION("""COMPUTED_VALUE"""),-10.0)</f>
        <v>-10</v>
      </c>
      <c r="AG225" s="16">
        <f>IFERROR(__xludf.DUMMYFUNCTION("""COMPUTED_VALUE"""),0.0)</f>
        <v>0</v>
      </c>
      <c r="AH225" s="16">
        <f>IFERROR(__xludf.DUMMYFUNCTION("""COMPUTED_VALUE"""),17.0)</f>
        <v>17</v>
      </c>
      <c r="AI225" s="16">
        <f>IFERROR(__xludf.DUMMYFUNCTION("""COMPUTED_VALUE"""),36.3)</f>
        <v>36.3</v>
      </c>
      <c r="AJ225" s="16">
        <f>IFERROR(__xludf.DUMMYFUNCTION("""COMPUTED_VALUE"""),-1.0)</f>
        <v>-1</v>
      </c>
      <c r="AK225" s="16">
        <f>IFERROR(__xludf.DUMMYFUNCTION("""COMPUTED_VALUE"""),0.0)</f>
        <v>0</v>
      </c>
      <c r="AL225" s="16">
        <f>IFERROR(__xludf.DUMMYFUNCTION("""COMPUTED_VALUE"""),-5.0)</f>
        <v>-5</v>
      </c>
      <c r="AM225" s="16">
        <f>IFERROR(__xludf.DUMMYFUNCTION("""COMPUTED_VALUE"""),0.0)</f>
        <v>0</v>
      </c>
      <c r="AN225" s="16">
        <f>IFERROR(__xludf.DUMMYFUNCTION("""COMPUTED_VALUE"""),0.0)</f>
        <v>0</v>
      </c>
      <c r="AO225" s="16">
        <f>IFERROR(__xludf.DUMMYFUNCTION("""COMPUTED_VALUE"""),4.0)</f>
        <v>4</v>
      </c>
      <c r="AP225" s="16">
        <f>IFERROR(__xludf.DUMMYFUNCTION("""COMPUTED_VALUE"""),-2.0)</f>
        <v>-2</v>
      </c>
      <c r="AQ225" s="16">
        <f>IFERROR(__xludf.DUMMYFUNCTION("""COMPUTED_VALUE"""),2.0)</f>
        <v>2</v>
      </c>
      <c r="AR225" s="16">
        <f>IFERROR(__xludf.DUMMYFUNCTION("""COMPUTED_VALUE"""),-4.0)</f>
        <v>-4</v>
      </c>
      <c r="AS225" s="16">
        <f>IFERROR(__xludf.DUMMYFUNCTION("""COMPUTED_VALUE"""),4.0)</f>
        <v>4</v>
      </c>
      <c r="AT225" s="16"/>
      <c r="AU225" s="16">
        <f>IFERROR(__xludf.DUMMYFUNCTION("""COMPUTED_VALUE"""),7.0)</f>
        <v>7</v>
      </c>
      <c r="AV225" s="16">
        <f>IFERROR(__xludf.DUMMYFUNCTION("""COMPUTED_VALUE"""),-3.0)</f>
        <v>-3</v>
      </c>
      <c r="AW225" s="16">
        <f>IFERROR(__xludf.DUMMYFUNCTION("""COMPUTED_VALUE"""),7.0)</f>
        <v>7</v>
      </c>
      <c r="AX225" s="16">
        <f>IFERROR(__xludf.DUMMYFUNCTION("""COMPUTED_VALUE"""),-3.0)</f>
        <v>-3</v>
      </c>
      <c r="AY225" s="16">
        <f>IFERROR(__xludf.DUMMYFUNCTION("""COMPUTED_VALUE"""),3.0)</f>
        <v>3</v>
      </c>
      <c r="AZ225" s="16">
        <f>IFERROR(__xludf.DUMMYFUNCTION("""COMPUTED_VALUE"""),-9.0)</f>
        <v>-9</v>
      </c>
      <c r="BA225" s="16">
        <f>IFERROR(__xludf.DUMMYFUNCTION("""COMPUTED_VALUE"""),9.0)</f>
        <v>9</v>
      </c>
      <c r="BB225" s="16">
        <f>IFERROR(__xludf.DUMMYFUNCTION("""COMPUTED_VALUE"""),5.0)</f>
        <v>5</v>
      </c>
      <c r="BC225" s="16">
        <f>IFERROR(__xludf.DUMMYFUNCTION("""COMPUTED_VALUE"""),5.0)</f>
        <v>5</v>
      </c>
      <c r="BD225" s="16">
        <f>IFERROR(__xludf.DUMMYFUNCTION("""COMPUTED_VALUE"""),1.0)</f>
        <v>1</v>
      </c>
      <c r="BE225" s="16">
        <f>IFERROR(__xludf.DUMMYFUNCTION("""COMPUTED_VALUE"""),1.0)</f>
        <v>1</v>
      </c>
      <c r="BF225" s="16">
        <f>IFERROR(__xludf.DUMMYFUNCTION("""COMPUTED_VALUE"""),1.0)</f>
        <v>1</v>
      </c>
      <c r="BG225" s="16">
        <f>IFERROR(__xludf.DUMMYFUNCTION("""COMPUTED_VALUE"""),1.0)</f>
        <v>1</v>
      </c>
      <c r="BH225" s="16">
        <f>IFERROR(__xludf.DUMMYFUNCTION("""COMPUTED_VALUE"""),0.0)</f>
        <v>0</v>
      </c>
      <c r="BI225" s="16">
        <f>IFERROR(__xludf.DUMMYFUNCTION("""COMPUTED_VALUE"""),-7.0)</f>
        <v>-7</v>
      </c>
      <c r="BJ225" s="16">
        <f>IFERROR(__xludf.DUMMYFUNCTION("""COMPUTED_VALUE"""),11.0)</f>
        <v>11</v>
      </c>
      <c r="BK225" s="16">
        <f>IFERROR(__xludf.DUMMYFUNCTION("""COMPUTED_VALUE"""),10.0)</f>
        <v>10</v>
      </c>
      <c r="BL225" s="16">
        <f>IFERROR(__xludf.DUMMYFUNCTION("""COMPUTED_VALUE"""),0.0)</f>
        <v>0</v>
      </c>
      <c r="BM225" s="16">
        <f>IFERROR(__xludf.DUMMYFUNCTION("""COMPUTED_VALUE"""),0.0)</f>
        <v>0</v>
      </c>
      <c r="BN225" s="16">
        <f>IFERROR(__xludf.DUMMYFUNCTION("""COMPUTED_VALUE"""),0.0)</f>
        <v>0</v>
      </c>
      <c r="BO225" s="16">
        <f>IFERROR(__xludf.DUMMYFUNCTION("""COMPUTED_VALUE"""),0.0)</f>
        <v>0</v>
      </c>
      <c r="BP225" s="16">
        <f>IFERROR(__xludf.DUMMYFUNCTION("""COMPUTED_VALUE"""),-10.0)</f>
        <v>-10</v>
      </c>
      <c r="BQ225" s="16">
        <f>IFERROR(__xludf.DUMMYFUNCTION("""COMPUTED_VALUE"""),6.0)</f>
        <v>6</v>
      </c>
      <c r="BR225" s="16">
        <f>IFERROR(__xludf.DUMMYFUNCTION("""COMPUTED_VALUE"""),-4.0)</f>
        <v>-4</v>
      </c>
      <c r="BS225" s="16" t="str">
        <f>IFERROR(__xludf.DUMMYFUNCTION("""COMPUTED_VALUE"""),"-/- (---)")</f>
        <v>-/- (---)</v>
      </c>
      <c r="BT225" s="16" t="str">
        <f>IFERROR(__xludf.DUMMYFUNCTION("""COMPUTED_VALUE"""),"E")</f>
        <v>E</v>
      </c>
      <c r="BU225" s="16">
        <f>IFERROR(__xludf.DUMMYFUNCTION("""COMPUTED_VALUE"""),10.0)</f>
        <v>10</v>
      </c>
      <c r="BV225" s="16">
        <f>IFERROR(__xludf.DUMMYFUNCTION("""COMPUTED_VALUE"""),0.0)</f>
        <v>0</v>
      </c>
      <c r="BW225" s="16">
        <f>IFERROR(__xludf.DUMMYFUNCTION("""COMPUTED_VALUE"""),0.0)</f>
        <v>0</v>
      </c>
      <c r="BX225" s="16">
        <f>IFERROR(__xludf.DUMMYFUNCTION("""COMPUTED_VALUE"""),0.0)</f>
        <v>0</v>
      </c>
      <c r="BY225" s="16">
        <f>IFERROR(__xludf.DUMMYFUNCTION("""COMPUTED_VALUE"""),0.0)</f>
        <v>0</v>
      </c>
      <c r="BZ225" s="16" t="str">
        <f>IFERROR(__xludf.DUMMYFUNCTION("""COMPUTED_VALUE"""),"D")</f>
        <v>D</v>
      </c>
      <c r="CA225" s="16" t="str">
        <f>IFERROR(__xludf.DUMMYFUNCTION("""COMPUTED_VALUE"""),"C")</f>
        <v>C</v>
      </c>
      <c r="CB225" s="16">
        <f>IFERROR(__xludf.DUMMYFUNCTION("""COMPUTED_VALUE"""),0.0)</f>
        <v>0</v>
      </c>
      <c r="CC225" s="16">
        <f>IFERROR(__xludf.DUMMYFUNCTION("""COMPUTED_VALUE"""),0.0)</f>
        <v>0</v>
      </c>
      <c r="CD225" s="16">
        <f>IFERROR(__xludf.DUMMYFUNCTION("""COMPUTED_VALUE"""),0.0)</f>
        <v>0</v>
      </c>
      <c r="CE225" s="16">
        <f>IFERROR(__xludf.DUMMYFUNCTION("""COMPUTED_VALUE"""),0.0)</f>
        <v>0</v>
      </c>
      <c r="CF225" s="16">
        <f>IFERROR(__xludf.DUMMYFUNCTION("""COMPUTED_VALUE"""),4.0)</f>
        <v>4</v>
      </c>
      <c r="CG225" s="16">
        <f>IFERROR(__xludf.DUMMYFUNCTION("""COMPUTED_VALUE"""),-31.0)</f>
        <v>-31</v>
      </c>
      <c r="CH225" s="16">
        <f>IFERROR(__xludf.DUMMYFUNCTION("""COMPUTED_VALUE"""),14.0)</f>
        <v>14</v>
      </c>
      <c r="CI225" s="179">
        <f>IFERROR(__xludf.DUMMYFUNCTION("""COMPUTED_VALUE"""),-2.0)</f>
        <v>-2</v>
      </c>
      <c r="CJ225" s="16"/>
      <c r="CK225" s="16">
        <f>IFERROR(__xludf.DUMMYFUNCTION("""COMPUTED_VALUE"""),313.0)</f>
        <v>313</v>
      </c>
      <c r="CL225" s="16">
        <f>IFERROR(__xludf.DUMMYFUNCTION("""COMPUTED_VALUE"""),510.0)</f>
        <v>510</v>
      </c>
      <c r="CM225" s="16">
        <f>IFERROR(__xludf.DUMMYFUNCTION("""COMPUTED_VALUE"""),565.0)</f>
        <v>565</v>
      </c>
      <c r="CN225" s="16"/>
      <c r="CO225" s="16"/>
      <c r="CP225" s="16"/>
      <c r="CQ225" s="16"/>
      <c r="CR225" s="16" t="str">
        <f>IFERROR(__xludf.DUMMYFUNCTION("""COMPUTED_VALUE"""),"1b-3e13 2b-5e10 3b-5e65")</f>
        <v>1b-3e13 2b-5e10 3b-5e65</v>
      </c>
      <c r="CS225" s="16"/>
      <c r="CT225" s="16">
        <f>IFERROR(__xludf.DUMMYFUNCTION("""COMPUTED_VALUE"""),3.0)</f>
        <v>3</v>
      </c>
      <c r="CU225" s="16">
        <f>IFERROR(__xludf.DUMMYFUNCTION("""COMPUTED_VALUE"""),5.0)</f>
        <v>5</v>
      </c>
      <c r="CV225" s="16">
        <f>IFERROR(__xludf.DUMMYFUNCTION("""COMPUTED_VALUE"""),5.0)</f>
        <v>5</v>
      </c>
      <c r="CW225" s="16"/>
      <c r="CX225" s="16"/>
      <c r="CY225" s="16"/>
      <c r="CZ225" s="16"/>
      <c r="DA225" s="16"/>
      <c r="DB225" s="16">
        <f>IFERROR(__xludf.DUMMYFUNCTION("""COMPUTED_VALUE"""),13.0)</f>
        <v>13</v>
      </c>
      <c r="DC225" s="16">
        <f>IFERROR(__xludf.DUMMYFUNCTION("""COMPUTED_VALUE"""),10.0)</f>
        <v>10</v>
      </c>
      <c r="DD225" s="16">
        <f>IFERROR(__xludf.DUMMYFUNCTION("""COMPUTED_VALUE"""),65.0)</f>
        <v>65</v>
      </c>
      <c r="DE225" s="16"/>
      <c r="DF225" s="16"/>
      <c r="DG225" s="16"/>
      <c r="DH225" s="16"/>
      <c r="DI225" s="16"/>
      <c r="DJ225" s="16">
        <f>IFERROR(__xludf.DUMMYFUNCTION("""COMPUTED_VALUE"""),1.0)</f>
        <v>1</v>
      </c>
      <c r="DK225" s="16">
        <f>IFERROR(__xludf.DUMMYFUNCTION("""COMPUTED_VALUE"""),-4.0)</f>
        <v>-4</v>
      </c>
      <c r="DL225" s="16">
        <f>IFERROR(__xludf.DUMMYFUNCTION("""COMPUTED_VALUE"""),-2.0)</f>
        <v>-2</v>
      </c>
      <c r="DM225" s="16"/>
      <c r="DN225" s="16"/>
      <c r="DO225" s="16"/>
      <c r="DP225" s="16"/>
      <c r="DQ225" s="16"/>
      <c r="DR225" s="16">
        <f>IFERROR(__xludf.DUMMYFUNCTION("""COMPUTED_VALUE"""),1.0)</f>
        <v>1</v>
      </c>
      <c r="DS225" s="16">
        <f>IFERROR(__xludf.DUMMYFUNCTION("""COMPUTED_VALUE"""),3.0)</f>
        <v>3</v>
      </c>
      <c r="DT225" s="16">
        <f>IFERROR(__xludf.DUMMYFUNCTION("""COMPUTED_VALUE"""),-2.0)</f>
        <v>-2</v>
      </c>
      <c r="DU225" s="16"/>
      <c r="DV225" s="16"/>
      <c r="DW225" s="16"/>
      <c r="DX225" s="16"/>
      <c r="DY225" s="16"/>
      <c r="DZ225" s="16">
        <f>IFERROR(__xludf.DUMMYFUNCTION("""COMPUTED_VALUE"""),2.0)</f>
        <v>2</v>
      </c>
      <c r="EA225" s="16">
        <f>IFERROR(__xludf.DUMMYFUNCTION("""COMPUTED_VALUE"""),-1.0)</f>
        <v>-1</v>
      </c>
      <c r="EB225" s="16">
        <f>IFERROR(__xludf.DUMMYFUNCTION("""COMPUTED_VALUE"""),-4.0)</f>
        <v>-4</v>
      </c>
      <c r="EC225" s="16"/>
      <c r="ED225" s="16"/>
      <c r="EE225" s="16"/>
      <c r="EF225" s="16"/>
      <c r="EG225" s="179"/>
      <c r="EH225" s="179">
        <f>IFERROR(__xludf.DUMMYFUNCTION("""COMPUTED_VALUE"""),0.0)</f>
        <v>0</v>
      </c>
      <c r="EI225" s="179">
        <f>IFERROR(__xludf.DUMMYFUNCTION("""COMPUTED_VALUE"""),-3.0)</f>
        <v>-3</v>
      </c>
      <c r="EJ225" s="179">
        <f>IFERROR(__xludf.DUMMYFUNCTION("""COMPUTED_VALUE"""),-6.0)</f>
        <v>-6</v>
      </c>
      <c r="EK225" s="179"/>
      <c r="EL225" s="179"/>
      <c r="EM225" s="179"/>
      <c r="EN225" s="179"/>
      <c r="EO225" s="16"/>
      <c r="EP225" s="16">
        <f>IFERROR(__xludf.DUMMYFUNCTION("""COMPUTED_VALUE"""),1.0)</f>
        <v>1</v>
      </c>
      <c r="EQ225" s="16">
        <f>IFERROR(__xludf.DUMMYFUNCTION("""COMPUTED_VALUE"""),-1.0)</f>
        <v>-1</v>
      </c>
      <c r="ER225" s="16">
        <f>IFERROR(__xludf.DUMMYFUNCTION("""COMPUTED_VALUE"""),-4.0)</f>
        <v>-4</v>
      </c>
      <c r="ES225" s="16"/>
      <c r="ET225" s="16"/>
      <c r="EU225" s="16"/>
      <c r="EV225" s="16"/>
      <c r="EW225" s="16"/>
      <c r="EX225" s="180"/>
      <c r="EY225" s="180">
        <f>IFERROR(__xludf.DUMMYFUNCTION("""COMPUTED_VALUE"""),0.2)</f>
        <v>0.2</v>
      </c>
      <c r="EZ225" s="180">
        <f>IFERROR(__xludf.DUMMYFUNCTION("""COMPUTED_VALUE"""),0.4)</f>
        <v>0.4</v>
      </c>
      <c r="FA225" s="180">
        <f>IFERROR(__xludf.DUMMYFUNCTION("""COMPUTED_VALUE"""),0.4)</f>
        <v>0.4</v>
      </c>
      <c r="FB225" s="180"/>
      <c r="FC225" s="180"/>
      <c r="FD225" s="180"/>
      <c r="FE225" s="180"/>
      <c r="FF225" s="180"/>
      <c r="FG225" s="180">
        <f>IFERROR(__xludf.DUMMYFUNCTION("""COMPUTED_VALUE"""),0.2361111111111111)</f>
        <v>0.2361111111</v>
      </c>
      <c r="FH225" s="180">
        <f>IFERROR(__xludf.DUMMYFUNCTION("""COMPUTED_VALUE"""),0.06018518518518518)</f>
        <v>0.06018518519</v>
      </c>
      <c r="FI225" s="180">
        <f>IFERROR(__xludf.DUMMYFUNCTION("""COMPUTED_VALUE"""),0.7407407407407407)</f>
        <v>0.7407407407</v>
      </c>
      <c r="FJ225" s="180"/>
      <c r="FK225" s="180"/>
      <c r="FL225" s="180"/>
      <c r="FM225" s="180"/>
      <c r="FN225" s="16"/>
      <c r="FO225" s="16">
        <f>IFERROR(__xludf.DUMMYFUNCTION("""COMPUTED_VALUE"""),0.6111111111111112)</f>
        <v>0.6111111111</v>
      </c>
      <c r="FP225" s="16">
        <f>IFERROR(__xludf.DUMMYFUNCTION("""COMPUTED_VALUE"""),0.5638888888888889)</f>
        <v>0.5638888889</v>
      </c>
      <c r="FQ225" s="16">
        <f>IFERROR(__xludf.DUMMYFUNCTION("""COMPUTED_VALUE"""),0.15555555555555559)</f>
        <v>0.1555555556</v>
      </c>
      <c r="FR225" s="16"/>
      <c r="FS225" s="16"/>
      <c r="FT225" s="16"/>
      <c r="FU225" s="16"/>
      <c r="FV225" s="16"/>
      <c r="FW225" s="16">
        <f>IFERROR(__xludf.DUMMYFUNCTION("""COMPUTED_VALUE"""),-6.0)</f>
        <v>-6</v>
      </c>
      <c r="FX225" s="16">
        <f>IFERROR(__xludf.DUMMYFUNCTION("""COMPUTED_VALUE"""),-6.0)</f>
        <v>-6</v>
      </c>
      <c r="FY225" s="16">
        <f>IFERROR(__xludf.DUMMYFUNCTION("""COMPUTED_VALUE"""),-8.0)</f>
        <v>-8</v>
      </c>
      <c r="FZ225" s="16"/>
      <c r="GA225" s="16"/>
      <c r="GB225" s="16"/>
      <c r="GC225" s="16"/>
      <c r="GD225" s="16" t="s">
        <v>333</v>
      </c>
    </row>
    <row r="226">
      <c r="A226" s="16">
        <f>IFERROR(__xludf.DUMMYFUNCTION("""COMPUTED_VALUE"""),12519.0)</f>
        <v>12519</v>
      </c>
      <c r="B226" s="16" t="str">
        <f>IFERROR(__xludf.DUMMYFUNCTION("""COMPUTED_VALUE"""),"Alejandro Kirk")</f>
        <v>Alejandro Kirk</v>
      </c>
      <c r="C226" s="16">
        <f>IFERROR(__xludf.DUMMYFUNCTION("""COMPUTED_VALUE"""),1.5)</f>
        <v>1.5</v>
      </c>
      <c r="D226" s="16" t="str">
        <f>IFERROR(__xludf.DUMMYFUNCTION("""COMPUTED_VALUE"""),"R")</f>
        <v>R</v>
      </c>
      <c r="E226" s="16"/>
      <c r="F226" s="16"/>
      <c r="G226" s="16">
        <f>IFERROR(__xludf.DUMMYFUNCTION("""COMPUTED_VALUE"""),340.0)</f>
        <v>340</v>
      </c>
      <c r="H226" s="16">
        <f>IFERROR(__xludf.DUMMYFUNCTION("""COMPUTED_VALUE"""),35.0)</f>
        <v>35</v>
      </c>
      <c r="I226" s="16" t="str">
        <f>IFERROR(__xludf.DUMMYFUNCTION("""COMPUTED_VALUE"""),"2p50")</f>
        <v>2p50</v>
      </c>
      <c r="J226" s="16">
        <f>IFERROR(__xludf.DUMMYFUNCTION("""COMPUTED_VALUE"""),18.0)</f>
        <v>18</v>
      </c>
      <c r="K226" s="16">
        <f>IFERROR(__xludf.DUMMYFUNCTION("""COMPUTED_VALUE"""),0.0)</f>
        <v>0</v>
      </c>
      <c r="L226" s="16">
        <f>IFERROR(__xludf.DUMMYFUNCTION("""COMPUTED_VALUE"""),1.0)</f>
        <v>1</v>
      </c>
      <c r="M226" s="16">
        <f>IFERROR(__xludf.DUMMYFUNCTION("""COMPUTED_VALUE"""),3.0)</f>
        <v>3</v>
      </c>
      <c r="N226" s="16">
        <f>IFERROR(__xludf.DUMMYFUNCTION("""COMPUTED_VALUE"""),1.0)</f>
        <v>1</v>
      </c>
      <c r="O226" s="16">
        <f>IFERROR(__xludf.DUMMYFUNCTION("""COMPUTED_VALUE"""),3.0)</f>
        <v>3</v>
      </c>
      <c r="P226" s="16">
        <f>IFERROR(__xludf.DUMMYFUNCTION("""COMPUTED_VALUE"""),9.0)</f>
        <v>9</v>
      </c>
      <c r="Q226" s="16">
        <f>IFERROR(__xludf.DUMMYFUNCTION("""COMPUTED_VALUE"""),13.0)</f>
        <v>13</v>
      </c>
      <c r="R226" s="16">
        <f>IFERROR(__xludf.DUMMYFUNCTION("""COMPUTED_VALUE"""),0.0)</f>
        <v>0</v>
      </c>
      <c r="S226" s="16">
        <f>IFERROR(__xludf.DUMMYFUNCTION("""COMPUTED_VALUE"""),1.0)</f>
        <v>1</v>
      </c>
      <c r="T226" s="16">
        <f>IFERROR(__xludf.DUMMYFUNCTION("""COMPUTED_VALUE"""),0.0)</f>
        <v>0</v>
      </c>
      <c r="U226" s="16">
        <f>IFERROR(__xludf.DUMMYFUNCTION("""COMPUTED_VALUE"""),1.0)</f>
        <v>1</v>
      </c>
      <c r="V226" s="16">
        <f>IFERROR(__xludf.DUMMYFUNCTION("""COMPUTED_VALUE"""),18.1)</f>
        <v>18.1</v>
      </c>
      <c r="W226" s="16">
        <f>IFERROR(__xludf.DUMMYFUNCTION("""COMPUTED_VALUE"""),22.9)</f>
        <v>22.9</v>
      </c>
      <c r="X226" s="16">
        <f>IFERROR(__xludf.DUMMYFUNCTION("""COMPUTED_VALUE"""),0.0)</f>
        <v>0</v>
      </c>
      <c r="Y226" s="16">
        <f>IFERROR(__xludf.DUMMYFUNCTION("""COMPUTED_VALUE"""),1.0)</f>
        <v>1</v>
      </c>
      <c r="Z226" s="16">
        <f>IFERROR(__xludf.DUMMYFUNCTION("""COMPUTED_VALUE"""),0.0)</f>
        <v>0</v>
      </c>
      <c r="AA226" s="16">
        <f>IFERROR(__xludf.DUMMYFUNCTION("""COMPUTED_VALUE"""),2.0)</f>
        <v>2</v>
      </c>
      <c r="AB226" s="16">
        <f>IFERROR(__xludf.DUMMYFUNCTION("""COMPUTED_VALUE"""),28.1)</f>
        <v>28.1</v>
      </c>
      <c r="AC226" s="16">
        <f>IFERROR(__xludf.DUMMYFUNCTION("""COMPUTED_VALUE"""),36.9)</f>
        <v>36.9</v>
      </c>
      <c r="AD226" s="16">
        <f>IFERROR(__xludf.DUMMYFUNCTION("""COMPUTED_VALUE"""),0.0)</f>
        <v>0</v>
      </c>
      <c r="AE226" s="16">
        <f>IFERROR(__xludf.DUMMYFUNCTION("""COMPUTED_VALUE"""),1.0)</f>
        <v>1</v>
      </c>
      <c r="AF226" s="16">
        <f>IFERROR(__xludf.DUMMYFUNCTION("""COMPUTED_VALUE"""),0.0)</f>
        <v>0</v>
      </c>
      <c r="AG226" s="16">
        <f>IFERROR(__xludf.DUMMYFUNCTION("""COMPUTED_VALUE"""),5.0)</f>
        <v>5</v>
      </c>
      <c r="AH226" s="16">
        <f>IFERROR(__xludf.DUMMYFUNCTION("""COMPUTED_VALUE"""),35.3)</f>
        <v>35.3</v>
      </c>
      <c r="AI226" s="16">
        <f>IFERROR(__xludf.DUMMYFUNCTION("""COMPUTED_VALUE"""),33.2)</f>
        <v>33.2</v>
      </c>
      <c r="AJ226" s="16">
        <f>IFERROR(__xludf.DUMMYFUNCTION("""COMPUTED_VALUE"""),0.0)</f>
        <v>0</v>
      </c>
      <c r="AK226" s="16">
        <f>IFERROR(__xludf.DUMMYFUNCTION("""COMPUTED_VALUE"""),0.0)</f>
        <v>0</v>
      </c>
      <c r="AL226" s="16">
        <f>IFERROR(__xludf.DUMMYFUNCTION("""COMPUTED_VALUE"""),0.0)</f>
        <v>0</v>
      </c>
      <c r="AM226" s="16">
        <f>IFERROR(__xludf.DUMMYFUNCTION("""COMPUTED_VALUE"""),0.0)</f>
        <v>0</v>
      </c>
      <c r="AN226" s="16">
        <f>IFERROR(__xludf.DUMMYFUNCTION("""COMPUTED_VALUE"""),0.8)</f>
        <v>0.8</v>
      </c>
      <c r="AO226" s="16">
        <f>IFERROR(__xludf.DUMMYFUNCTION("""COMPUTED_VALUE"""),2.3)</f>
        <v>2.3</v>
      </c>
      <c r="AP226" s="16">
        <f>IFERROR(__xludf.DUMMYFUNCTION("""COMPUTED_VALUE"""),-2.0)</f>
        <v>-2</v>
      </c>
      <c r="AQ226" s="16">
        <f>IFERROR(__xludf.DUMMYFUNCTION("""COMPUTED_VALUE"""),0.0)</f>
        <v>0</v>
      </c>
      <c r="AR226" s="16">
        <f>IFERROR(__xludf.DUMMYFUNCTION("""COMPUTED_VALUE"""),-4.0)</f>
        <v>-4</v>
      </c>
      <c r="AS226" s="16">
        <f>IFERROR(__xludf.DUMMYFUNCTION("""COMPUTED_VALUE"""),0.0)</f>
        <v>0</v>
      </c>
      <c r="AT226" s="16">
        <f>IFERROR(__xludf.DUMMYFUNCTION("""COMPUTED_VALUE"""),0.0)</f>
        <v>0</v>
      </c>
      <c r="AU226" s="16"/>
      <c r="AV226" s="16">
        <f>IFERROR(__xludf.DUMMYFUNCTION("""COMPUTED_VALUE"""),0.0)</f>
        <v>0</v>
      </c>
      <c r="AW226" s="16">
        <f>IFERROR(__xludf.DUMMYFUNCTION("""COMPUTED_VALUE"""),-3.0)</f>
        <v>-3</v>
      </c>
      <c r="AX226" s="16">
        <f>IFERROR(__xludf.DUMMYFUNCTION("""COMPUTED_VALUE"""),-2.0)</f>
        <v>-2</v>
      </c>
      <c r="AY226" s="16">
        <f>IFERROR(__xludf.DUMMYFUNCTION("""COMPUTED_VALUE"""),-3.0)</f>
        <v>-3</v>
      </c>
      <c r="AZ226" s="16">
        <f>IFERROR(__xludf.DUMMYFUNCTION("""COMPUTED_VALUE"""),-6.0)</f>
        <v>-6</v>
      </c>
      <c r="BA226" s="16">
        <f>IFERROR(__xludf.DUMMYFUNCTION("""COMPUTED_VALUE"""),-9.0)</f>
        <v>-9</v>
      </c>
      <c r="BB226" s="16">
        <f>IFERROR(__xludf.DUMMYFUNCTION("""COMPUTED_VALUE"""),5.0)</f>
        <v>5</v>
      </c>
      <c r="BC226" s="16">
        <f>IFERROR(__xludf.DUMMYFUNCTION("""COMPUTED_VALUE"""),5.0)</f>
        <v>5</v>
      </c>
      <c r="BD226" s="16">
        <f>IFERROR(__xludf.DUMMYFUNCTION("""COMPUTED_VALUE"""),1.0)</f>
        <v>1</v>
      </c>
      <c r="BE226" s="16">
        <f>IFERROR(__xludf.DUMMYFUNCTION("""COMPUTED_VALUE"""),1.0)</f>
        <v>1</v>
      </c>
      <c r="BF226" s="16">
        <f>IFERROR(__xludf.DUMMYFUNCTION("""COMPUTED_VALUE"""),1.0)</f>
        <v>1</v>
      </c>
      <c r="BG226" s="16">
        <f>IFERROR(__xludf.DUMMYFUNCTION("""COMPUTED_VALUE"""),1.0)</f>
        <v>1</v>
      </c>
      <c r="BH226" s="16">
        <f>IFERROR(__xludf.DUMMYFUNCTION("""COMPUTED_VALUE"""),6.0)</f>
        <v>6</v>
      </c>
      <c r="BI226" s="16">
        <f>IFERROR(__xludf.DUMMYFUNCTION("""COMPUTED_VALUE"""),6.0)</f>
        <v>6</v>
      </c>
      <c r="BJ226" s="16">
        <f>IFERROR(__xludf.DUMMYFUNCTION("""COMPUTED_VALUE"""),22.0)</f>
        <v>22</v>
      </c>
      <c r="BK226" s="16">
        <f>IFERROR(__xludf.DUMMYFUNCTION("""COMPUTED_VALUE"""),20.0)</f>
        <v>20</v>
      </c>
      <c r="BL226" s="16">
        <f>IFERROR(__xludf.DUMMYFUNCTION("""COMPUTED_VALUE"""),-2.0)</f>
        <v>-2</v>
      </c>
      <c r="BM226" s="16">
        <f>IFERROR(__xludf.DUMMYFUNCTION("""COMPUTED_VALUE"""),-2.0)</f>
        <v>-2</v>
      </c>
      <c r="BN226" s="16">
        <f>IFERROR(__xludf.DUMMYFUNCTION("""COMPUTED_VALUE"""),-4.0)</f>
        <v>-4</v>
      </c>
      <c r="BO226" s="16">
        <f>IFERROR(__xludf.DUMMYFUNCTION("""COMPUTED_VALUE"""),-4.0)</f>
        <v>-4</v>
      </c>
      <c r="BP226" s="16">
        <f>IFERROR(__xludf.DUMMYFUNCTION("""COMPUTED_VALUE"""),-4.0)</f>
        <v>-4</v>
      </c>
      <c r="BQ226" s="16">
        <f>IFERROR(__xludf.DUMMYFUNCTION("""COMPUTED_VALUE"""),2.0)</f>
        <v>2</v>
      </c>
      <c r="BR226" s="16">
        <f>IFERROR(__xludf.DUMMYFUNCTION("""COMPUTED_VALUE"""),-2.0)</f>
        <v>-2</v>
      </c>
      <c r="BS226" s="16" t="str">
        <f>IFERROR(__xludf.DUMMYFUNCTION("""COMPUTED_VALUE"""),"-/- (---)")</f>
        <v>-/- (---)</v>
      </c>
      <c r="BT226" s="16" t="str">
        <f>IFERROR(__xludf.DUMMYFUNCTION("""COMPUTED_VALUE"""),"E")</f>
        <v>E</v>
      </c>
      <c r="BU226" s="16">
        <f>IFERROR(__xludf.DUMMYFUNCTION("""COMPUTED_VALUE"""),8.0)</f>
        <v>8</v>
      </c>
      <c r="BV226" s="16">
        <f>IFERROR(__xludf.DUMMYFUNCTION("""COMPUTED_VALUE"""),0.0)</f>
        <v>0</v>
      </c>
      <c r="BW226" s="16">
        <f>IFERROR(__xludf.DUMMYFUNCTION("""COMPUTED_VALUE"""),-1.0)</f>
        <v>-1</v>
      </c>
      <c r="BX226" s="16">
        <f>IFERROR(__xludf.DUMMYFUNCTION("""COMPUTED_VALUE"""),0.0)</f>
        <v>0</v>
      </c>
      <c r="BY226" s="16">
        <f>IFERROR(__xludf.DUMMYFUNCTION("""COMPUTED_VALUE"""),-3.0)</f>
        <v>-3</v>
      </c>
      <c r="BZ226" s="16" t="str">
        <f>IFERROR(__xludf.DUMMYFUNCTION("""COMPUTED_VALUE"""),"D")</f>
        <v>D</v>
      </c>
      <c r="CA226" s="16" t="str">
        <f>IFERROR(__xludf.DUMMYFUNCTION("""COMPUTED_VALUE"""),"B")</f>
        <v>B</v>
      </c>
      <c r="CB226" s="16">
        <f>IFERROR(__xludf.DUMMYFUNCTION("""COMPUTED_VALUE"""),0.0)</f>
        <v>0</v>
      </c>
      <c r="CC226" s="16">
        <f>IFERROR(__xludf.DUMMYFUNCTION("""COMPUTED_VALUE"""),1.0)</f>
        <v>1</v>
      </c>
      <c r="CD226" s="16">
        <f>IFERROR(__xludf.DUMMYFUNCTION("""COMPUTED_VALUE"""),0.0)</f>
        <v>0</v>
      </c>
      <c r="CE226" s="16">
        <f>IFERROR(__xludf.DUMMYFUNCTION("""COMPUTED_VALUE"""),2.0)</f>
        <v>2</v>
      </c>
      <c r="CF226" s="16">
        <f>IFERROR(__xludf.DUMMYFUNCTION("""COMPUTED_VALUE"""),2.0)</f>
        <v>2</v>
      </c>
      <c r="CG226" s="16">
        <f>IFERROR(__xludf.DUMMYFUNCTION("""COMPUTED_VALUE"""),-12.0)</f>
        <v>-12</v>
      </c>
      <c r="CH226" s="16">
        <f>IFERROR(__xludf.DUMMYFUNCTION("""COMPUTED_VALUE"""),-1.0)</f>
        <v>-1</v>
      </c>
      <c r="CI226" s="179">
        <f>IFERROR(__xludf.DUMMYFUNCTION("""COMPUTED_VALUE"""),-2.0)</f>
        <v>-2</v>
      </c>
      <c r="CJ226" s="16">
        <f>IFERROR(__xludf.DUMMYFUNCTION("""COMPUTED_VALUE"""),209.0)</f>
        <v>209</v>
      </c>
      <c r="CK226" s="16"/>
      <c r="CL226" s="16"/>
      <c r="CM226" s="16"/>
      <c r="CN226" s="16"/>
      <c r="CO226" s="16"/>
      <c r="CP226" s="16"/>
      <c r="CQ226" s="16"/>
      <c r="CR226" s="16" t="str">
        <f>IFERROR(__xludf.DUMMYFUNCTION("""COMPUTED_VALUE"""),"c-2(-2)e9,T-3(pb-4)")</f>
        <v>c-2(-2)e9,T-3(pb-4)</v>
      </c>
      <c r="CS226" s="16">
        <f>IFERROR(__xludf.DUMMYFUNCTION("""COMPUTED_VALUE"""),2.0)</f>
        <v>2</v>
      </c>
      <c r="CT226" s="16"/>
      <c r="CU226" s="16"/>
      <c r="CV226" s="16"/>
      <c r="CW226" s="16"/>
      <c r="CX226" s="16"/>
      <c r="CY226" s="16"/>
      <c r="CZ226" s="16"/>
      <c r="DA226" s="16">
        <f>IFERROR(__xludf.DUMMYFUNCTION("""COMPUTED_VALUE"""),9.0)</f>
        <v>9</v>
      </c>
      <c r="DB226" s="16"/>
      <c r="DC226" s="16"/>
      <c r="DD226" s="16"/>
      <c r="DE226" s="16"/>
      <c r="DF226" s="16"/>
      <c r="DG226" s="16"/>
      <c r="DH226" s="16"/>
      <c r="DI226" s="16">
        <f>IFERROR(__xludf.DUMMYFUNCTION("""COMPUTED_VALUE"""),2.0)</f>
        <v>2</v>
      </c>
      <c r="DJ226" s="16"/>
      <c r="DK226" s="16"/>
      <c r="DL226" s="16"/>
      <c r="DM226" s="16"/>
      <c r="DN226" s="16"/>
      <c r="DO226" s="16"/>
      <c r="DP226" s="16"/>
      <c r="DQ226" s="16">
        <f>IFERROR(__xludf.DUMMYFUNCTION("""COMPUTED_VALUE"""),0.0)</f>
        <v>0</v>
      </c>
      <c r="DR226" s="16"/>
      <c r="DS226" s="16"/>
      <c r="DT226" s="16"/>
      <c r="DU226" s="16"/>
      <c r="DV226" s="16"/>
      <c r="DW226" s="16"/>
      <c r="DX226" s="16"/>
      <c r="DY226" s="16">
        <f>IFERROR(__xludf.DUMMYFUNCTION("""COMPUTED_VALUE"""),2.0)</f>
        <v>2</v>
      </c>
      <c r="DZ226" s="16"/>
      <c r="EA226" s="16"/>
      <c r="EB226" s="16"/>
      <c r="EC226" s="16"/>
      <c r="ED226" s="16"/>
      <c r="EE226" s="16"/>
      <c r="EF226" s="16"/>
      <c r="EG226" s="179">
        <f>IFERROR(__xludf.DUMMYFUNCTION("""COMPUTED_VALUE"""),-2.0)</f>
        <v>-2</v>
      </c>
      <c r="EH226" s="179"/>
      <c r="EI226" s="179"/>
      <c r="EJ226" s="179"/>
      <c r="EK226" s="179"/>
      <c r="EL226" s="179"/>
      <c r="EM226" s="179"/>
      <c r="EN226" s="179"/>
      <c r="EO226" s="16">
        <f>IFERROR(__xludf.DUMMYFUNCTION("""COMPUTED_VALUE"""),-2.0)</f>
        <v>-2</v>
      </c>
      <c r="EP226" s="16">
        <f>IFERROR(__xludf.DUMMYFUNCTION("""COMPUTED_VALUE"""),-3.0)</f>
        <v>-3</v>
      </c>
      <c r="EQ226" s="16">
        <f>IFERROR(__xludf.DUMMYFUNCTION("""COMPUTED_VALUE"""),2.0)</f>
        <v>2</v>
      </c>
      <c r="ER226" s="16">
        <f>IFERROR(__xludf.DUMMYFUNCTION("""COMPUTED_VALUE"""),0.0)</f>
        <v>0</v>
      </c>
      <c r="ES226" s="16" t="str">
        <f>IFERROR(__xludf.DUMMYFUNCTION("""COMPUTED_VALUE"""),"c-2")</f>
        <v>c-2</v>
      </c>
      <c r="ET226" s="16" t="str">
        <f>IFERROR(__xludf.DUMMYFUNCTION("""COMPUTED_VALUE"""),"-2)e9,T-3")</f>
        <v>-2)e9,T-3</v>
      </c>
      <c r="EU226" s="16" t="str">
        <f>IFERROR(__xludf.DUMMYFUNCTION("""COMPUTED_VALUE"""),"pb-4)")</f>
        <v>pb-4)</v>
      </c>
      <c r="EV226" s="16"/>
      <c r="EW226" s="16">
        <f>IFERROR(__xludf.DUMMYFUNCTION("""COMPUTED_VALUE"""),-2.0)</f>
        <v>-2</v>
      </c>
      <c r="EX226" s="180">
        <f>IFERROR(__xludf.DUMMYFUNCTION("""COMPUTED_VALUE"""),0.1)</f>
        <v>0.1</v>
      </c>
      <c r="EY226" s="180"/>
      <c r="EZ226" s="180"/>
      <c r="FA226" s="180"/>
      <c r="FB226" s="180"/>
      <c r="FC226" s="180"/>
      <c r="FD226" s="180"/>
      <c r="FE226" s="180"/>
      <c r="FF226" s="180">
        <f>IFERROR(__xludf.DUMMYFUNCTION("""COMPUTED_VALUE"""),0.107)</f>
        <v>0.107</v>
      </c>
      <c r="FG226" s="180"/>
      <c r="FH226" s="180"/>
      <c r="FI226" s="180"/>
      <c r="FJ226" s="180"/>
      <c r="FK226" s="180"/>
      <c r="FL226" s="180"/>
      <c r="FM226" s="180"/>
      <c r="FN226" s="16">
        <f>IFERROR(__xludf.DUMMYFUNCTION("""COMPUTED_VALUE"""),0.8037000000000001)</f>
        <v>0.8037</v>
      </c>
      <c r="FO226" s="16"/>
      <c r="FP226" s="16"/>
      <c r="FQ226" s="16"/>
      <c r="FR226" s="16"/>
      <c r="FS226" s="16"/>
      <c r="FT226" s="16"/>
      <c r="FU226" s="16"/>
      <c r="FV226" s="16">
        <f>IFERROR(__xludf.DUMMYFUNCTION("""COMPUTED_VALUE"""),3.0)</f>
        <v>3</v>
      </c>
      <c r="FW226" s="16"/>
      <c r="FX226" s="16"/>
      <c r="FY226" s="16"/>
      <c r="FZ226" s="16"/>
      <c r="GA226" s="16"/>
      <c r="GB226" s="16"/>
      <c r="GC226" s="16"/>
      <c r="GD226" s="16" t="s">
        <v>228</v>
      </c>
    </row>
    <row r="227">
      <c r="A227" s="16">
        <f>IFERROR(__xludf.DUMMYFUNCTION("""COMPUTED_VALUE"""),13322.0)</f>
        <v>13322</v>
      </c>
      <c r="B227" s="16" t="str">
        <f>IFERROR(__xludf.DUMMYFUNCTION("""COMPUTED_VALUE"""),"Ronald Acuna Jr")</f>
        <v>Ronald Acuna Jr</v>
      </c>
      <c r="C227" s="16">
        <f>IFERROR(__xludf.DUMMYFUNCTION("""COMPUTED_VALUE"""),0.0)</f>
        <v>0</v>
      </c>
      <c r="D227" s="16" t="str">
        <f>IFERROR(__xludf.DUMMYFUNCTION("""COMPUTED_VALUE"""),"R")</f>
        <v>R</v>
      </c>
      <c r="E227" s="16"/>
      <c r="F227" s="16"/>
      <c r="G227" s="16">
        <f>IFERROR(__xludf.DUMMYFUNCTION("""COMPUTED_VALUE"""),192.0)</f>
        <v>192</v>
      </c>
      <c r="H227" s="16">
        <f>IFERROR(__xludf.DUMMYFUNCTION("""COMPUTED_VALUE"""),27.0)</f>
        <v>27</v>
      </c>
      <c r="I227" s="16" t="str">
        <f>IFERROR(__xludf.DUMMYFUNCTION("""COMPUTED_VALUE"""),"5p30")</f>
        <v>5p30</v>
      </c>
      <c r="J227" s="16">
        <f>IFERROR(__xludf.DUMMYFUNCTION("""COMPUTED_VALUE"""),17.0)</f>
        <v>17</v>
      </c>
      <c r="K227" s="16">
        <f>IFERROR(__xludf.DUMMYFUNCTION("""COMPUTED_VALUE"""),29.0)</f>
        <v>29</v>
      </c>
      <c r="L227" s="16">
        <f>IFERROR(__xludf.DUMMYFUNCTION("""COMPUTED_VALUE"""),1.0)</f>
        <v>1</v>
      </c>
      <c r="M227" s="16">
        <f>IFERROR(__xludf.DUMMYFUNCTION("""COMPUTED_VALUE"""),0.0)</f>
        <v>0</v>
      </c>
      <c r="N227" s="16">
        <f>IFERROR(__xludf.DUMMYFUNCTION("""COMPUTED_VALUE"""),1.0)</f>
        <v>1</v>
      </c>
      <c r="O227" s="16">
        <f>IFERROR(__xludf.DUMMYFUNCTION("""COMPUTED_VALUE"""),0.0)</f>
        <v>0</v>
      </c>
      <c r="P227" s="16">
        <f>IFERROR(__xludf.DUMMYFUNCTION("""COMPUTED_VALUE"""),20.0)</f>
        <v>20</v>
      </c>
      <c r="Q227" s="16">
        <f>IFERROR(__xludf.DUMMYFUNCTION("""COMPUTED_VALUE"""),18.0)</f>
        <v>18</v>
      </c>
      <c r="R227" s="16">
        <f>IFERROR(__xludf.DUMMYFUNCTION("""COMPUTED_VALUE"""),3.0)</f>
        <v>3</v>
      </c>
      <c r="S227" s="16">
        <f>IFERROR(__xludf.DUMMYFUNCTION("""COMPUTED_VALUE"""),3.0)</f>
        <v>3</v>
      </c>
      <c r="T227" s="16">
        <f>IFERROR(__xludf.DUMMYFUNCTION("""COMPUTED_VALUE"""),3.0)</f>
        <v>3</v>
      </c>
      <c r="U227" s="16">
        <f>IFERROR(__xludf.DUMMYFUNCTION("""COMPUTED_VALUE"""),3.0)</f>
        <v>3</v>
      </c>
      <c r="V227" s="16">
        <f>IFERROR(__xludf.DUMMYFUNCTION("""COMPUTED_VALUE"""),17.2)</f>
        <v>17.2</v>
      </c>
      <c r="W227" s="16">
        <f>IFERROR(__xludf.DUMMYFUNCTION("""COMPUTED_VALUE"""),20.8)</f>
        <v>20.8</v>
      </c>
      <c r="X227" s="16">
        <f>IFERROR(__xludf.DUMMYFUNCTION("""COMPUTED_VALUE"""),0.0)</f>
        <v>0</v>
      </c>
      <c r="Y227" s="16">
        <f>IFERROR(__xludf.DUMMYFUNCTION("""COMPUTED_VALUE"""),0.0)</f>
        <v>0</v>
      </c>
      <c r="Z227" s="16">
        <f>IFERROR(__xludf.DUMMYFUNCTION("""COMPUTED_VALUE"""),0.0)</f>
        <v>0</v>
      </c>
      <c r="AA227" s="16">
        <f>IFERROR(__xludf.DUMMYFUNCTION("""COMPUTED_VALUE"""),0.0)</f>
        <v>0</v>
      </c>
      <c r="AB227" s="16">
        <f>IFERROR(__xludf.DUMMYFUNCTION("""COMPUTED_VALUE"""),40.2)</f>
        <v>40.2</v>
      </c>
      <c r="AC227" s="16">
        <f>IFERROR(__xludf.DUMMYFUNCTION("""COMPUTED_VALUE"""),41.8)</f>
        <v>41.8</v>
      </c>
      <c r="AD227" s="16">
        <f>IFERROR(__xludf.DUMMYFUNCTION("""COMPUTED_VALUE"""),1.0)</f>
        <v>1</v>
      </c>
      <c r="AE227" s="16">
        <f>IFERROR(__xludf.DUMMYFUNCTION("""COMPUTED_VALUE"""),2.0)</f>
        <v>2</v>
      </c>
      <c r="AF227" s="16">
        <f>IFERROR(__xludf.DUMMYFUNCTION("""COMPUTED_VALUE"""),5.0)</f>
        <v>5</v>
      </c>
      <c r="AG227" s="16">
        <f>IFERROR(__xludf.DUMMYFUNCTION("""COMPUTED_VALUE"""),10.0)</f>
        <v>10</v>
      </c>
      <c r="AH227" s="16">
        <f>IFERROR(__xludf.DUMMYFUNCTION("""COMPUTED_VALUE"""),25.4)</f>
        <v>25.4</v>
      </c>
      <c r="AI227" s="16">
        <f>IFERROR(__xludf.DUMMYFUNCTION("""COMPUTED_VALUE"""),25.1)</f>
        <v>25.1</v>
      </c>
      <c r="AJ227" s="16">
        <f>IFERROR(__xludf.DUMMYFUNCTION("""COMPUTED_VALUE"""),-1.0)</f>
        <v>-1</v>
      </c>
      <c r="AK227" s="16">
        <f>IFERROR(__xludf.DUMMYFUNCTION("""COMPUTED_VALUE"""),-1.0)</f>
        <v>-1</v>
      </c>
      <c r="AL227" s="16">
        <f>IFERROR(__xludf.DUMMYFUNCTION("""COMPUTED_VALUE"""),-5.0)</f>
        <v>-5</v>
      </c>
      <c r="AM227" s="16">
        <f>IFERROR(__xludf.DUMMYFUNCTION("""COMPUTED_VALUE"""),-5.0)</f>
        <v>-5</v>
      </c>
      <c r="AN227" s="16">
        <f>IFERROR(__xludf.DUMMYFUNCTION("""COMPUTED_VALUE"""),1.9)</f>
        <v>1.9</v>
      </c>
      <c r="AO227" s="16">
        <f>IFERROR(__xludf.DUMMYFUNCTION("""COMPUTED_VALUE"""),0.0)</f>
        <v>0</v>
      </c>
      <c r="AP227" s="16">
        <f>IFERROR(__xludf.DUMMYFUNCTION("""COMPUTED_VALUE"""),-1.0)</f>
        <v>-1</v>
      </c>
      <c r="AQ227" s="16">
        <f>IFERROR(__xludf.DUMMYFUNCTION("""COMPUTED_VALUE"""),-3.0)</f>
        <v>-3</v>
      </c>
      <c r="AR227" s="16">
        <f>IFERROR(__xludf.DUMMYFUNCTION("""COMPUTED_VALUE"""),-2.0)</f>
        <v>-2</v>
      </c>
      <c r="AS227" s="16">
        <f>IFERROR(__xludf.DUMMYFUNCTION("""COMPUTED_VALUE"""),-6.0)</f>
        <v>-6</v>
      </c>
      <c r="AT227" s="16">
        <f>IFERROR(__xludf.DUMMYFUNCTION("""COMPUTED_VALUE"""),2.0)</f>
        <v>2</v>
      </c>
      <c r="AU227" s="16">
        <f>IFERROR(__xludf.DUMMYFUNCTION("""COMPUTED_VALUE"""),0.0)</f>
        <v>0</v>
      </c>
      <c r="AV227" s="16">
        <f>IFERROR(__xludf.DUMMYFUNCTION("""COMPUTED_VALUE"""),2.0)</f>
        <v>2</v>
      </c>
      <c r="AW227" s="16">
        <f>IFERROR(__xludf.DUMMYFUNCTION("""COMPUTED_VALUE"""),0.0)</f>
        <v>0</v>
      </c>
      <c r="AX227" s="16">
        <f>IFERROR(__xludf.DUMMYFUNCTION("""COMPUTED_VALUE"""),0.0)</f>
        <v>0</v>
      </c>
      <c r="AY227" s="16">
        <f>IFERROR(__xludf.DUMMYFUNCTION("""COMPUTED_VALUE"""),-2.0)</f>
        <v>-2</v>
      </c>
      <c r="AZ227" s="16">
        <f>IFERROR(__xludf.DUMMYFUNCTION("""COMPUTED_VALUE"""),0.0)</f>
        <v>0</v>
      </c>
      <c r="BA227" s="16">
        <f>IFERROR(__xludf.DUMMYFUNCTION("""COMPUTED_VALUE"""),-6.0)</f>
        <v>-6</v>
      </c>
      <c r="BB227" s="16">
        <f>IFERROR(__xludf.DUMMYFUNCTION("""COMPUTED_VALUE"""),5.0)</f>
        <v>5</v>
      </c>
      <c r="BC227" s="16">
        <f>IFERROR(__xludf.DUMMYFUNCTION("""COMPUTED_VALUE"""),5.0)</f>
        <v>5</v>
      </c>
      <c r="BD227" s="16">
        <f>IFERROR(__xludf.DUMMYFUNCTION("""COMPUTED_VALUE"""),1.0)</f>
        <v>1</v>
      </c>
      <c r="BE227" s="16">
        <f>IFERROR(__xludf.DUMMYFUNCTION("""COMPUTED_VALUE"""),1.0)</f>
        <v>1</v>
      </c>
      <c r="BF227" s="16">
        <f>IFERROR(__xludf.DUMMYFUNCTION("""COMPUTED_VALUE"""),1.0)</f>
        <v>1</v>
      </c>
      <c r="BG227" s="16">
        <f>IFERROR(__xludf.DUMMYFUNCTION("""COMPUTED_VALUE"""),1.0)</f>
        <v>1</v>
      </c>
      <c r="BH227" s="16">
        <f>IFERROR(__xludf.DUMMYFUNCTION("""COMPUTED_VALUE"""),-9.0)</f>
        <v>-9</v>
      </c>
      <c r="BI227" s="16">
        <f>IFERROR(__xludf.DUMMYFUNCTION("""COMPUTED_VALUE"""),-9.0)</f>
        <v>-9</v>
      </c>
      <c r="BJ227" s="16">
        <f>IFERROR(__xludf.DUMMYFUNCTION("""COMPUTED_VALUE"""),13.0)</f>
        <v>13</v>
      </c>
      <c r="BK227" s="16">
        <f>IFERROR(__xludf.DUMMYFUNCTION("""COMPUTED_VALUE"""),13.0)</f>
        <v>13</v>
      </c>
      <c r="BL227" s="16">
        <f>IFERROR(__xludf.DUMMYFUNCTION("""COMPUTED_VALUE"""),0.0)</f>
        <v>0</v>
      </c>
      <c r="BM227" s="16">
        <f>IFERROR(__xludf.DUMMYFUNCTION("""COMPUTED_VALUE"""),0.0)</f>
        <v>0</v>
      </c>
      <c r="BN227" s="16">
        <f>IFERROR(__xludf.DUMMYFUNCTION("""COMPUTED_VALUE"""),0.0)</f>
        <v>0</v>
      </c>
      <c r="BO227" s="16">
        <f>IFERROR(__xludf.DUMMYFUNCTION("""COMPUTED_VALUE"""),0.0)</f>
        <v>0</v>
      </c>
      <c r="BP227" s="16">
        <f>IFERROR(__xludf.DUMMYFUNCTION("""COMPUTED_VALUE"""),4.0)</f>
        <v>4</v>
      </c>
      <c r="BQ227" s="16">
        <f>IFERROR(__xludf.DUMMYFUNCTION("""COMPUTED_VALUE"""),0.0)</f>
        <v>0</v>
      </c>
      <c r="BR227" s="16">
        <f>IFERROR(__xludf.DUMMYFUNCTION("""COMPUTED_VALUE"""),4.0)</f>
        <v>4</v>
      </c>
      <c r="BS227" s="16" t="str">
        <f>IFERROR(__xludf.DUMMYFUNCTION("""COMPUTED_VALUE"""),"*2-5,12/- (19-14)")</f>
        <v>*2-5,12/- (19-14)</v>
      </c>
      <c r="BT227" s="16" t="str">
        <f>IFERROR(__xludf.DUMMYFUNCTION("""COMPUTED_VALUE"""),"A")</f>
        <v>A</v>
      </c>
      <c r="BU227" s="16">
        <f>IFERROR(__xludf.DUMMYFUNCTION("""COMPUTED_VALUE"""),16.0)</f>
        <v>16</v>
      </c>
      <c r="BV227" s="16">
        <f>IFERROR(__xludf.DUMMYFUNCTION("""COMPUTED_VALUE"""),2.0)</f>
        <v>2</v>
      </c>
      <c r="BW227" s="16">
        <f>IFERROR(__xludf.DUMMYFUNCTION("""COMPUTED_VALUE"""),2.0)</f>
        <v>2</v>
      </c>
      <c r="BX227" s="16">
        <f>IFERROR(__xludf.DUMMYFUNCTION("""COMPUTED_VALUE"""),4.0)</f>
        <v>4</v>
      </c>
      <c r="BY227" s="16">
        <f>IFERROR(__xludf.DUMMYFUNCTION("""COMPUTED_VALUE"""),6.0)</f>
        <v>6</v>
      </c>
      <c r="BZ227" s="16" t="str">
        <f>IFERROR(__xludf.DUMMYFUNCTION("""COMPUTED_VALUE"""),"D")</f>
        <v>D</v>
      </c>
      <c r="CA227" s="16" t="str">
        <f>IFERROR(__xludf.DUMMYFUNCTION("""COMPUTED_VALUE"""),"D")</f>
        <v>D</v>
      </c>
      <c r="CB227" s="16">
        <f>IFERROR(__xludf.DUMMYFUNCTION("""COMPUTED_VALUE"""),0.0)</f>
        <v>0</v>
      </c>
      <c r="CC227" s="16">
        <f>IFERROR(__xludf.DUMMYFUNCTION("""COMPUTED_VALUE"""),0.0)</f>
        <v>0</v>
      </c>
      <c r="CD227" s="16">
        <f>IFERROR(__xludf.DUMMYFUNCTION("""COMPUTED_VALUE"""),0.0)</f>
        <v>0</v>
      </c>
      <c r="CE227" s="16">
        <f>IFERROR(__xludf.DUMMYFUNCTION("""COMPUTED_VALUE"""),0.0)</f>
        <v>0</v>
      </c>
      <c r="CF227" s="16">
        <f>IFERROR(__xludf.DUMMYFUNCTION("""COMPUTED_VALUE"""),5.0)</f>
        <v>5</v>
      </c>
      <c r="CG227" s="16">
        <f>IFERROR(__xludf.DUMMYFUNCTION("""COMPUTED_VALUE"""),3.0)</f>
        <v>3</v>
      </c>
      <c r="CH227" s="16">
        <f>IFERROR(__xludf.DUMMYFUNCTION("""COMPUTED_VALUE"""),-3.0)</f>
        <v>-3</v>
      </c>
      <c r="CI227" s="179">
        <f>IFERROR(__xludf.DUMMYFUNCTION("""COMPUTED_VALUE"""),-3.0)</f>
        <v>-3</v>
      </c>
      <c r="CJ227" s="16"/>
      <c r="CK227" s="16"/>
      <c r="CL227" s="16"/>
      <c r="CM227" s="16"/>
      <c r="CN227" s="16"/>
      <c r="CO227" s="16"/>
      <c r="CP227" s="16"/>
      <c r="CQ227" s="16">
        <f>IFERROR(__xludf.DUMMYFUNCTION("""COMPUTED_VALUE"""),307.0)</f>
        <v>307</v>
      </c>
      <c r="CR227" s="16" t="str">
        <f>IFERROR(__xludf.DUMMYFUNCTION("""COMPUTED_VALUE"""),"rf-3(-4)e7")</f>
        <v>rf-3(-4)e7</v>
      </c>
      <c r="CS227" s="16"/>
      <c r="CT227" s="16"/>
      <c r="CU227" s="16"/>
      <c r="CV227" s="16"/>
      <c r="CW227" s="16"/>
      <c r="CX227" s="16"/>
      <c r="CY227" s="16"/>
      <c r="CZ227" s="16">
        <f>IFERROR(__xludf.DUMMYFUNCTION("""COMPUTED_VALUE"""),3.0)</f>
        <v>3</v>
      </c>
      <c r="DA227" s="16"/>
      <c r="DB227" s="16"/>
      <c r="DC227" s="16"/>
      <c r="DD227" s="16"/>
      <c r="DE227" s="16"/>
      <c r="DF227" s="16"/>
      <c r="DG227" s="16"/>
      <c r="DH227" s="16">
        <f>IFERROR(__xludf.DUMMYFUNCTION("""COMPUTED_VALUE"""),7.0)</f>
        <v>7</v>
      </c>
      <c r="DI227" s="16"/>
      <c r="DJ227" s="16"/>
      <c r="DK227" s="16"/>
      <c r="DL227" s="16"/>
      <c r="DM227" s="16"/>
      <c r="DN227" s="16"/>
      <c r="DO227" s="16"/>
      <c r="DP227" s="16">
        <f>IFERROR(__xludf.DUMMYFUNCTION("""COMPUTED_VALUE"""),0.0)</f>
        <v>0</v>
      </c>
      <c r="DQ227" s="16"/>
      <c r="DR227" s="16"/>
      <c r="DS227" s="16"/>
      <c r="DT227" s="16"/>
      <c r="DU227" s="16"/>
      <c r="DV227" s="16"/>
      <c r="DW227" s="16"/>
      <c r="DX227" s="16">
        <f>IFERROR(__xludf.DUMMYFUNCTION("""COMPUTED_VALUE"""),2.0)</f>
        <v>2</v>
      </c>
      <c r="DY227" s="16"/>
      <c r="DZ227" s="16"/>
      <c r="EA227" s="16"/>
      <c r="EB227" s="16"/>
      <c r="EC227" s="16"/>
      <c r="ED227" s="16"/>
      <c r="EE227" s="16"/>
      <c r="EF227" s="16">
        <f>IFERROR(__xludf.DUMMYFUNCTION("""COMPUTED_VALUE"""),2.0)</f>
        <v>2</v>
      </c>
      <c r="EG227" s="179"/>
      <c r="EH227" s="179"/>
      <c r="EI227" s="179"/>
      <c r="EJ227" s="179"/>
      <c r="EK227" s="179"/>
      <c r="EL227" s="179"/>
      <c r="EM227" s="179"/>
      <c r="EN227" s="179">
        <f>IFERROR(__xludf.DUMMYFUNCTION("""COMPUTED_VALUE"""),-1.0)</f>
        <v>-1</v>
      </c>
      <c r="EO227" s="16"/>
      <c r="EP227" s="16"/>
      <c r="EQ227" s="16">
        <f>IFERROR(__xludf.DUMMYFUNCTION("""COMPUTED_VALUE"""),-2.0)</f>
        <v>-2</v>
      </c>
      <c r="ER227" s="16">
        <f>IFERROR(__xludf.DUMMYFUNCTION("""COMPUTED_VALUE"""),-2.0)</f>
        <v>-2</v>
      </c>
      <c r="ES227" s="16"/>
      <c r="ET227" s="16"/>
      <c r="EU227" s="16"/>
      <c r="EV227" s="16"/>
      <c r="EW227" s="16"/>
      <c r="EX227" s="180"/>
      <c r="EY227" s="180"/>
      <c r="EZ227" s="180"/>
      <c r="FA227" s="180"/>
      <c r="FB227" s="180"/>
      <c r="FC227" s="180"/>
      <c r="FD227" s="180"/>
      <c r="FE227" s="180">
        <f>IFERROR(__xludf.DUMMYFUNCTION("""COMPUTED_VALUE"""),0.3)</f>
        <v>0.3</v>
      </c>
      <c r="FF227" s="180"/>
      <c r="FG227" s="180"/>
      <c r="FH227" s="180"/>
      <c r="FI227" s="180"/>
      <c r="FJ227" s="180"/>
      <c r="FK227" s="180"/>
      <c r="FL227" s="180"/>
      <c r="FM227" s="180">
        <f>IFERROR(__xludf.DUMMYFUNCTION("""COMPUTED_VALUE"""),0.125)</f>
        <v>0.125</v>
      </c>
      <c r="FN227" s="16"/>
      <c r="FO227" s="16"/>
      <c r="FP227" s="16"/>
      <c r="FQ227" s="16"/>
      <c r="FR227" s="16"/>
      <c r="FS227" s="16"/>
      <c r="FT227" s="16"/>
      <c r="FU227" s="16">
        <f>IFERROR(__xludf.DUMMYFUNCTION("""COMPUTED_VALUE"""),0.6124999999999999)</f>
        <v>0.6125</v>
      </c>
      <c r="FV227" s="16"/>
      <c r="FW227" s="16"/>
      <c r="FX227" s="16"/>
      <c r="FY227" s="16"/>
      <c r="FZ227" s="16"/>
      <c r="GA227" s="16"/>
      <c r="GB227" s="16"/>
      <c r="GC227" s="16">
        <f>IFERROR(__xludf.DUMMYFUNCTION("""COMPUTED_VALUE"""),-6.0)</f>
        <v>-6</v>
      </c>
      <c r="GD227" s="16" t="s">
        <v>371</v>
      </c>
    </row>
    <row r="228">
      <c r="A228" s="16">
        <f>IFERROR(__xludf.DUMMYFUNCTION("""COMPUTED_VALUE"""),13354.0)</f>
        <v>13354</v>
      </c>
      <c r="B228" s="16" t="str">
        <f>IFERROR(__xludf.DUMMYFUNCTION("""COMPUTED_VALUE"""),"Santiago Espinal")</f>
        <v>Santiago Espinal</v>
      </c>
      <c r="C228" s="16">
        <f>IFERROR(__xludf.DUMMYFUNCTION("""COMPUTED_VALUE"""),0.0)</f>
        <v>0</v>
      </c>
      <c r="D228" s="16" t="str">
        <f>IFERROR(__xludf.DUMMYFUNCTION("""COMPUTED_VALUE"""),"R")</f>
        <v>R</v>
      </c>
      <c r="E228" s="16"/>
      <c r="F228" s="16"/>
      <c r="G228" s="16">
        <f>IFERROR(__xludf.DUMMYFUNCTION("""COMPUTED_VALUE"""),357.0)</f>
        <v>357</v>
      </c>
      <c r="H228" s="16">
        <f>IFERROR(__xludf.DUMMYFUNCTION("""COMPUTED_VALUE"""),24.0)</f>
        <v>24</v>
      </c>
      <c r="I228" s="16" t="str">
        <f>IFERROR(__xludf.DUMMYFUNCTION("""COMPUTED_VALUE"""),"1p60")</f>
        <v>1p60</v>
      </c>
      <c r="J228" s="16">
        <f>IFERROR(__xludf.DUMMYFUNCTION("""COMPUTED_VALUE"""),1.0)</f>
        <v>1</v>
      </c>
      <c r="K228" s="16">
        <f>IFERROR(__xludf.DUMMYFUNCTION("""COMPUTED_VALUE"""),8.0)</f>
        <v>8</v>
      </c>
      <c r="L228" s="16">
        <f>IFERROR(__xludf.DUMMYFUNCTION("""COMPUTED_VALUE"""),2.0)</f>
        <v>2</v>
      </c>
      <c r="M228" s="16">
        <f>IFERROR(__xludf.DUMMYFUNCTION("""COMPUTED_VALUE"""),2.0)</f>
        <v>2</v>
      </c>
      <c r="N228" s="16">
        <f>IFERROR(__xludf.DUMMYFUNCTION("""COMPUTED_VALUE"""),2.0)</f>
        <v>2</v>
      </c>
      <c r="O228" s="16">
        <f>IFERROR(__xludf.DUMMYFUNCTION("""COMPUTED_VALUE"""),2.0)</f>
        <v>2</v>
      </c>
      <c r="P228" s="16">
        <f>IFERROR(__xludf.DUMMYFUNCTION("""COMPUTED_VALUE"""),8.0)</f>
        <v>8</v>
      </c>
      <c r="Q228" s="16">
        <f>IFERROR(__xludf.DUMMYFUNCTION("""COMPUTED_VALUE"""),3.0)</f>
        <v>3</v>
      </c>
      <c r="R228" s="16">
        <f>IFERROR(__xludf.DUMMYFUNCTION("""COMPUTED_VALUE"""),0.0)</f>
        <v>0</v>
      </c>
      <c r="S228" s="16">
        <f>IFERROR(__xludf.DUMMYFUNCTION("""COMPUTED_VALUE"""),-2.0)</f>
        <v>-2</v>
      </c>
      <c r="T228" s="16">
        <f>IFERROR(__xludf.DUMMYFUNCTION("""COMPUTED_VALUE"""),0.0)</f>
        <v>0</v>
      </c>
      <c r="U228" s="16">
        <f>IFERROR(__xludf.DUMMYFUNCTION("""COMPUTED_VALUE"""),-2.0)</f>
        <v>-2</v>
      </c>
      <c r="V228" s="16">
        <f>IFERROR(__xludf.DUMMYFUNCTION("""COMPUTED_VALUE"""),26.0)</f>
        <v>26</v>
      </c>
      <c r="W228" s="16">
        <f>IFERROR(__xludf.DUMMYFUNCTION("""COMPUTED_VALUE"""),18.6)</f>
        <v>18.6</v>
      </c>
      <c r="X228" s="16">
        <f>IFERROR(__xludf.DUMMYFUNCTION("""COMPUTED_VALUE"""),1.0)</f>
        <v>1</v>
      </c>
      <c r="Y228" s="16">
        <f>IFERROR(__xludf.DUMMYFUNCTION("""COMPUTED_VALUE"""),0.0)</f>
        <v>0</v>
      </c>
      <c r="Z228" s="16">
        <f>IFERROR(__xludf.DUMMYFUNCTION("""COMPUTED_VALUE"""),2.0)</f>
        <v>2</v>
      </c>
      <c r="AA228" s="16">
        <f>IFERROR(__xludf.DUMMYFUNCTION("""COMPUTED_VALUE"""),0.0)</f>
        <v>0</v>
      </c>
      <c r="AB228" s="16">
        <f>IFERROR(__xludf.DUMMYFUNCTION("""COMPUTED_VALUE"""),35.0)</f>
        <v>35</v>
      </c>
      <c r="AC228" s="16">
        <f>IFERROR(__xludf.DUMMYFUNCTION("""COMPUTED_VALUE"""),22.6)</f>
        <v>22.6</v>
      </c>
      <c r="AD228" s="16">
        <f>IFERROR(__xludf.DUMMYFUNCTION("""COMPUTED_VALUE"""),1.0)</f>
        <v>1</v>
      </c>
      <c r="AE228" s="16">
        <f>IFERROR(__xludf.DUMMYFUNCTION("""COMPUTED_VALUE"""),-1.0)</f>
        <v>-1</v>
      </c>
      <c r="AF228" s="16">
        <f>IFERROR(__xludf.DUMMYFUNCTION("""COMPUTED_VALUE"""),5.0)</f>
        <v>5</v>
      </c>
      <c r="AG228" s="16">
        <f>IFERROR(__xludf.DUMMYFUNCTION("""COMPUTED_VALUE"""),-5.0)</f>
        <v>-5</v>
      </c>
      <c r="AH228" s="16">
        <f>IFERROR(__xludf.DUMMYFUNCTION("""COMPUTED_VALUE"""),41.9)</f>
        <v>41.9</v>
      </c>
      <c r="AI228" s="16">
        <f>IFERROR(__xludf.DUMMYFUNCTION("""COMPUTED_VALUE"""),27.1)</f>
        <v>27.1</v>
      </c>
      <c r="AJ228" s="16">
        <f>IFERROR(__xludf.DUMMYFUNCTION("""COMPUTED_VALUE"""),1.0)</f>
        <v>1</v>
      </c>
      <c r="AK228" s="16">
        <f>IFERROR(__xludf.DUMMYFUNCTION("""COMPUTED_VALUE"""),-1.0)</f>
        <v>-1</v>
      </c>
      <c r="AL228" s="16">
        <f>IFERROR(__xludf.DUMMYFUNCTION("""COMPUTED_VALUE"""),5.0)</f>
        <v>5</v>
      </c>
      <c r="AM228" s="16">
        <f>IFERROR(__xludf.DUMMYFUNCTION("""COMPUTED_VALUE"""),-5.0)</f>
        <v>-5</v>
      </c>
      <c r="AN228" s="16">
        <f>IFERROR(__xludf.DUMMYFUNCTION("""COMPUTED_VALUE"""),4.3)</f>
        <v>4.3</v>
      </c>
      <c r="AO228" s="16">
        <f>IFERROR(__xludf.DUMMYFUNCTION("""COMPUTED_VALUE"""),2.5)</f>
        <v>2.5</v>
      </c>
      <c r="AP228" s="16">
        <f>IFERROR(__xludf.DUMMYFUNCTION("""COMPUTED_VALUE"""),2.0)</f>
        <v>2</v>
      </c>
      <c r="AQ228" s="16">
        <f>IFERROR(__xludf.DUMMYFUNCTION("""COMPUTED_VALUE"""),0.0)</f>
        <v>0</v>
      </c>
      <c r="AR228" s="16">
        <f>IFERROR(__xludf.DUMMYFUNCTION("""COMPUTED_VALUE"""),4.0)</f>
        <v>4</v>
      </c>
      <c r="AS228" s="16">
        <f>IFERROR(__xludf.DUMMYFUNCTION("""COMPUTED_VALUE"""),0.0)</f>
        <v>0</v>
      </c>
      <c r="AT228" s="16">
        <f>IFERROR(__xludf.DUMMYFUNCTION("""COMPUTED_VALUE"""),4.0)</f>
        <v>4</v>
      </c>
      <c r="AU228" s="16"/>
      <c r="AV228" s="16">
        <f>IFERROR(__xludf.DUMMYFUNCTION("""COMPUTED_VALUE"""),4.0)</f>
        <v>4</v>
      </c>
      <c r="AW228" s="16">
        <f>IFERROR(__xludf.DUMMYFUNCTION("""COMPUTED_VALUE"""),-3.0)</f>
        <v>-3</v>
      </c>
      <c r="AX228" s="16">
        <f>IFERROR(__xludf.DUMMYFUNCTION("""COMPUTED_VALUE"""),2.0)</f>
        <v>2</v>
      </c>
      <c r="AY228" s="16">
        <f>IFERROR(__xludf.DUMMYFUNCTION("""COMPUTED_VALUE"""),-3.0)</f>
        <v>-3</v>
      </c>
      <c r="AZ228" s="16">
        <f>IFERROR(__xludf.DUMMYFUNCTION("""COMPUTED_VALUE"""),6.0)</f>
        <v>6</v>
      </c>
      <c r="BA228" s="16">
        <f>IFERROR(__xludf.DUMMYFUNCTION("""COMPUTED_VALUE"""),-9.0)</f>
        <v>-9</v>
      </c>
      <c r="BB228" s="16">
        <f>IFERROR(__xludf.DUMMYFUNCTION("""COMPUTED_VALUE"""),5.0)</f>
        <v>5</v>
      </c>
      <c r="BC228" s="16">
        <f>IFERROR(__xludf.DUMMYFUNCTION("""COMPUTED_VALUE"""),5.0)</f>
        <v>5</v>
      </c>
      <c r="BD228" s="16">
        <f>IFERROR(__xludf.DUMMYFUNCTION("""COMPUTED_VALUE"""),1.0)</f>
        <v>1</v>
      </c>
      <c r="BE228" s="16">
        <f>IFERROR(__xludf.DUMMYFUNCTION("""COMPUTED_VALUE"""),1.0)</f>
        <v>1</v>
      </c>
      <c r="BF228" s="16">
        <f>IFERROR(__xludf.DUMMYFUNCTION("""COMPUTED_VALUE"""),1.0)</f>
        <v>1</v>
      </c>
      <c r="BG228" s="16">
        <f>IFERROR(__xludf.DUMMYFUNCTION("""COMPUTED_VALUE"""),1.0)</f>
        <v>1</v>
      </c>
      <c r="BH228" s="16">
        <f>IFERROR(__xludf.DUMMYFUNCTION("""COMPUTED_VALUE"""),2.0)</f>
        <v>2</v>
      </c>
      <c r="BI228" s="16">
        <f>IFERROR(__xludf.DUMMYFUNCTION("""COMPUTED_VALUE"""),2.0)</f>
        <v>2</v>
      </c>
      <c r="BJ228" s="16">
        <f>IFERROR(__xludf.DUMMYFUNCTION("""COMPUTED_VALUE"""),16.0)</f>
        <v>16</v>
      </c>
      <c r="BK228" s="16">
        <f>IFERROR(__xludf.DUMMYFUNCTION("""COMPUTED_VALUE"""),16.0)</f>
        <v>16</v>
      </c>
      <c r="BL228" s="16">
        <f>IFERROR(__xludf.DUMMYFUNCTION("""COMPUTED_VALUE"""),-1.0)</f>
        <v>-1</v>
      </c>
      <c r="BM228" s="16">
        <f>IFERROR(__xludf.DUMMYFUNCTION("""COMPUTED_VALUE"""),-1.0)</f>
        <v>-1</v>
      </c>
      <c r="BN228" s="16">
        <f>IFERROR(__xludf.DUMMYFUNCTION("""COMPUTED_VALUE"""),-2.0)</f>
        <v>-2</v>
      </c>
      <c r="BO228" s="16">
        <f>IFERROR(__xludf.DUMMYFUNCTION("""COMPUTED_VALUE"""),-2.0)</f>
        <v>-2</v>
      </c>
      <c r="BP228" s="16">
        <f>IFERROR(__xludf.DUMMYFUNCTION("""COMPUTED_VALUE"""),9.0)</f>
        <v>9</v>
      </c>
      <c r="BQ228" s="16">
        <f>IFERROR(__xludf.DUMMYFUNCTION("""COMPUTED_VALUE"""),-5.0)</f>
        <v>-5</v>
      </c>
      <c r="BR228" s="16">
        <f>IFERROR(__xludf.DUMMYFUNCTION("""COMPUTED_VALUE"""),4.0)</f>
        <v>4</v>
      </c>
      <c r="BS228" s="16" t="str">
        <f>IFERROR(__xludf.DUMMYFUNCTION("""COMPUTED_VALUE"""),"*6/- (19-11)")</f>
        <v>*6/- (19-11)</v>
      </c>
      <c r="BT228" s="16" t="str">
        <f>IFERROR(__xludf.DUMMYFUNCTION("""COMPUTED_VALUE"""),"B")</f>
        <v>B</v>
      </c>
      <c r="BU228" s="16">
        <f>IFERROR(__xludf.DUMMYFUNCTION("""COMPUTED_VALUE"""),13.0)</f>
        <v>13</v>
      </c>
      <c r="BV228" s="16">
        <f>IFERROR(__xludf.DUMMYFUNCTION("""COMPUTED_VALUE"""),1.0)</f>
        <v>1</v>
      </c>
      <c r="BW228" s="16">
        <f>IFERROR(__xludf.DUMMYFUNCTION("""COMPUTED_VALUE"""),1.0)</f>
        <v>1</v>
      </c>
      <c r="BX228" s="16">
        <f>IFERROR(__xludf.DUMMYFUNCTION("""COMPUTED_VALUE"""),2.0)</f>
        <v>2</v>
      </c>
      <c r="BY228" s="16">
        <f>IFERROR(__xludf.DUMMYFUNCTION("""COMPUTED_VALUE"""),3.0)</f>
        <v>3</v>
      </c>
      <c r="BZ228" s="16" t="str">
        <f>IFERROR(__xludf.DUMMYFUNCTION("""COMPUTED_VALUE"""),"C")</f>
        <v>C</v>
      </c>
      <c r="CA228" s="16" t="str">
        <f>IFERROR(__xludf.DUMMYFUNCTION("""COMPUTED_VALUE"""),"C")</f>
        <v>C</v>
      </c>
      <c r="CB228" s="16">
        <f>IFERROR(__xludf.DUMMYFUNCTION("""COMPUTED_VALUE"""),0.0)</f>
        <v>0</v>
      </c>
      <c r="CC228" s="16">
        <f>IFERROR(__xludf.DUMMYFUNCTION("""COMPUTED_VALUE"""),0.0)</f>
        <v>0</v>
      </c>
      <c r="CD228" s="16">
        <f>IFERROR(__xludf.DUMMYFUNCTION("""COMPUTED_VALUE"""),0.0)</f>
        <v>0</v>
      </c>
      <c r="CE228" s="16">
        <f>IFERROR(__xludf.DUMMYFUNCTION("""COMPUTED_VALUE"""),0.0)</f>
        <v>0</v>
      </c>
      <c r="CF228" s="16">
        <f>IFERROR(__xludf.DUMMYFUNCTION("""COMPUTED_VALUE"""),1.0)</f>
        <v>1</v>
      </c>
      <c r="CG228" s="16">
        <f>IFERROR(__xludf.DUMMYFUNCTION("""COMPUTED_VALUE"""),23.0)</f>
        <v>23</v>
      </c>
      <c r="CH228" s="16">
        <f>IFERROR(__xludf.DUMMYFUNCTION("""COMPUTED_VALUE"""),-20.0)</f>
        <v>-20</v>
      </c>
      <c r="CI228" s="179">
        <f>IFERROR(__xludf.DUMMYFUNCTION("""COMPUTED_VALUE"""),-3.0)</f>
        <v>-3</v>
      </c>
      <c r="CJ228" s="16"/>
      <c r="CK228" s="16"/>
      <c r="CL228" s="16">
        <f>IFERROR(__xludf.DUMMYFUNCTION("""COMPUTED_VALUE"""),212.0)</f>
        <v>212</v>
      </c>
      <c r="CM228" s="16">
        <f>IFERROR(__xludf.DUMMYFUNCTION("""COMPUTED_VALUE"""),311.0)</f>
        <v>311</v>
      </c>
      <c r="CN228" s="16">
        <f>IFERROR(__xludf.DUMMYFUNCTION("""COMPUTED_VALUE"""),310.0)</f>
        <v>310</v>
      </c>
      <c r="CO228" s="16">
        <f>IFERROR(__xludf.DUMMYFUNCTION("""COMPUTED_VALUE"""),416.0)</f>
        <v>416</v>
      </c>
      <c r="CP228" s="16"/>
      <c r="CQ228" s="16">
        <f>IFERROR(__xludf.DUMMYFUNCTION("""COMPUTED_VALUE"""),416.0)</f>
        <v>416</v>
      </c>
      <c r="CR228" s="16" t="str">
        <f>IFERROR(__xludf.DUMMYFUNCTION("""COMPUTED_VALUE"""),"3b-3e11 2b-2e12 ss-3e10 lf-4(+1)e16 rf-4e16")</f>
        <v>3b-3e11 2b-2e12 ss-3e10 lf-4(+1)e16 rf-4e16</v>
      </c>
      <c r="CS228" s="16"/>
      <c r="CT228" s="16"/>
      <c r="CU228" s="16">
        <f>IFERROR(__xludf.DUMMYFUNCTION("""COMPUTED_VALUE"""),2.0)</f>
        <v>2</v>
      </c>
      <c r="CV228" s="16">
        <f>IFERROR(__xludf.DUMMYFUNCTION("""COMPUTED_VALUE"""),3.0)</f>
        <v>3</v>
      </c>
      <c r="CW228" s="16">
        <f>IFERROR(__xludf.DUMMYFUNCTION("""COMPUTED_VALUE"""),3.0)</f>
        <v>3</v>
      </c>
      <c r="CX228" s="16">
        <f>IFERROR(__xludf.DUMMYFUNCTION("""COMPUTED_VALUE"""),4.0)</f>
        <v>4</v>
      </c>
      <c r="CY228" s="16"/>
      <c r="CZ228" s="16">
        <f>IFERROR(__xludf.DUMMYFUNCTION("""COMPUTED_VALUE"""),4.0)</f>
        <v>4</v>
      </c>
      <c r="DA228" s="16"/>
      <c r="DB228" s="16"/>
      <c r="DC228" s="16">
        <f>IFERROR(__xludf.DUMMYFUNCTION("""COMPUTED_VALUE"""),12.0)</f>
        <v>12</v>
      </c>
      <c r="DD228" s="16">
        <f>IFERROR(__xludf.DUMMYFUNCTION("""COMPUTED_VALUE"""),11.0)</f>
        <v>11</v>
      </c>
      <c r="DE228" s="16">
        <f>IFERROR(__xludf.DUMMYFUNCTION("""COMPUTED_VALUE"""),10.0)</f>
        <v>10</v>
      </c>
      <c r="DF228" s="16">
        <f>IFERROR(__xludf.DUMMYFUNCTION("""COMPUTED_VALUE"""),16.0)</f>
        <v>16</v>
      </c>
      <c r="DG228" s="16"/>
      <c r="DH228" s="16">
        <f>IFERROR(__xludf.DUMMYFUNCTION("""COMPUTED_VALUE"""),16.0)</f>
        <v>16</v>
      </c>
      <c r="DI228" s="16"/>
      <c r="DJ228" s="16"/>
      <c r="DK228" s="16">
        <f>IFERROR(__xludf.DUMMYFUNCTION("""COMPUTED_VALUE"""),2.0)</f>
        <v>2</v>
      </c>
      <c r="DL228" s="16">
        <f>IFERROR(__xludf.DUMMYFUNCTION("""COMPUTED_VALUE"""),1.0)</f>
        <v>1</v>
      </c>
      <c r="DM228" s="16">
        <f>IFERROR(__xludf.DUMMYFUNCTION("""COMPUTED_VALUE"""),0.0)</f>
        <v>0</v>
      </c>
      <c r="DN228" s="16">
        <f>IFERROR(__xludf.DUMMYFUNCTION("""COMPUTED_VALUE"""),-1.0)</f>
        <v>-1</v>
      </c>
      <c r="DO228" s="16"/>
      <c r="DP228" s="16">
        <f>IFERROR(__xludf.DUMMYFUNCTION("""COMPUTED_VALUE"""),-1.0)</f>
        <v>-1</v>
      </c>
      <c r="DQ228" s="16"/>
      <c r="DR228" s="16"/>
      <c r="DS228" s="16">
        <f>IFERROR(__xludf.DUMMYFUNCTION("""COMPUTED_VALUE"""),2.0)</f>
        <v>2</v>
      </c>
      <c r="DT228" s="16">
        <f>IFERROR(__xludf.DUMMYFUNCTION("""COMPUTED_VALUE"""),1.0)</f>
        <v>1</v>
      </c>
      <c r="DU228" s="16">
        <f>IFERROR(__xludf.DUMMYFUNCTION("""COMPUTED_VALUE"""),3.0)</f>
        <v>3</v>
      </c>
      <c r="DV228" s="16">
        <f>IFERROR(__xludf.DUMMYFUNCTION("""COMPUTED_VALUE"""),-2.0)</f>
        <v>-2</v>
      </c>
      <c r="DW228" s="16"/>
      <c r="DX228" s="16">
        <f>IFERROR(__xludf.DUMMYFUNCTION("""COMPUTED_VALUE"""),-2.0)</f>
        <v>-2</v>
      </c>
      <c r="DY228" s="16"/>
      <c r="DZ228" s="16"/>
      <c r="EA228" s="16">
        <f>IFERROR(__xludf.DUMMYFUNCTION("""COMPUTED_VALUE"""),4.0)</f>
        <v>4</v>
      </c>
      <c r="EB228" s="16">
        <f>IFERROR(__xludf.DUMMYFUNCTION("""COMPUTED_VALUE"""),2.0)</f>
        <v>2</v>
      </c>
      <c r="EC228" s="16">
        <f>IFERROR(__xludf.DUMMYFUNCTION("""COMPUTED_VALUE"""),3.0)</f>
        <v>3</v>
      </c>
      <c r="ED228" s="16">
        <f>IFERROR(__xludf.DUMMYFUNCTION("""COMPUTED_VALUE"""),-3.0)</f>
        <v>-3</v>
      </c>
      <c r="EE228" s="16"/>
      <c r="EF228" s="16">
        <f>IFERROR(__xludf.DUMMYFUNCTION("""COMPUTED_VALUE"""),-3.0)</f>
        <v>-3</v>
      </c>
      <c r="EG228" s="179"/>
      <c r="EH228" s="179"/>
      <c r="EI228" s="179">
        <f>IFERROR(__xludf.DUMMYFUNCTION("""COMPUTED_VALUE"""),1.0)</f>
        <v>1</v>
      </c>
      <c r="EJ228" s="179">
        <f>IFERROR(__xludf.DUMMYFUNCTION("""COMPUTED_VALUE"""),-1.0)</f>
        <v>-1</v>
      </c>
      <c r="EK228" s="179">
        <f>IFERROR(__xludf.DUMMYFUNCTION("""COMPUTED_VALUE"""),0.0)</f>
        <v>0</v>
      </c>
      <c r="EL228" s="179">
        <f>IFERROR(__xludf.DUMMYFUNCTION("""COMPUTED_VALUE"""),-6.0)</f>
        <v>-6</v>
      </c>
      <c r="EM228" s="179"/>
      <c r="EN228" s="179">
        <f>IFERROR(__xludf.DUMMYFUNCTION("""COMPUTED_VALUE"""),-6.0)</f>
        <v>-6</v>
      </c>
      <c r="EO228" s="16"/>
      <c r="EP228" s="16">
        <f>IFERROR(__xludf.DUMMYFUNCTION("""COMPUTED_VALUE"""),-1.0)</f>
        <v>-1</v>
      </c>
      <c r="EQ228" s="16">
        <f>IFERROR(__xludf.DUMMYFUNCTION("""COMPUTED_VALUE"""),4.0)</f>
        <v>4</v>
      </c>
      <c r="ER228" s="16">
        <f>IFERROR(__xludf.DUMMYFUNCTION("""COMPUTED_VALUE"""),1.0)</f>
        <v>1</v>
      </c>
      <c r="ES228" s="16"/>
      <c r="ET228" s="16"/>
      <c r="EU228" s="16"/>
      <c r="EV228" s="16"/>
      <c r="EW228" s="16"/>
      <c r="EX228" s="180"/>
      <c r="EY228" s="180"/>
      <c r="EZ228" s="180">
        <f>IFERROR(__xludf.DUMMYFUNCTION("""COMPUTED_VALUE"""),0.1)</f>
        <v>0.1</v>
      </c>
      <c r="FA228" s="180">
        <f>IFERROR(__xludf.DUMMYFUNCTION("""COMPUTED_VALUE"""),0.2)</f>
        <v>0.2</v>
      </c>
      <c r="FB228" s="180">
        <f>IFERROR(__xludf.DUMMYFUNCTION("""COMPUTED_VALUE"""),0.2)</f>
        <v>0.2</v>
      </c>
      <c r="FC228" s="180">
        <f>IFERROR(__xludf.DUMMYFUNCTION("""COMPUTED_VALUE"""),0.55)</f>
        <v>0.55</v>
      </c>
      <c r="FD228" s="180"/>
      <c r="FE228" s="180">
        <f>IFERROR(__xludf.DUMMYFUNCTION("""COMPUTED_VALUE"""),0.55)</f>
        <v>0.55</v>
      </c>
      <c r="FF228" s="180"/>
      <c r="FG228" s="180"/>
      <c r="FH228" s="180">
        <f>IFERROR(__xludf.DUMMYFUNCTION("""COMPUTED_VALUE"""),0.06944444444444445)</f>
        <v>0.06944444444</v>
      </c>
      <c r="FI228" s="180">
        <f>IFERROR(__xludf.DUMMYFUNCTION("""COMPUTED_VALUE"""),0.13425925925925927)</f>
        <v>0.1342592593</v>
      </c>
      <c r="FJ228" s="180">
        <f>IFERROR(__xludf.DUMMYFUNCTION("""COMPUTED_VALUE"""),0.05092592592592592)</f>
        <v>0.05092592593</v>
      </c>
      <c r="FK228" s="180">
        <f>IFERROR(__xludf.DUMMYFUNCTION("""COMPUTED_VALUE"""),0.287)</f>
        <v>0.287</v>
      </c>
      <c r="FL228" s="180"/>
      <c r="FM228" s="180">
        <f>IFERROR(__xludf.DUMMYFUNCTION("""COMPUTED_VALUE"""),0.287)</f>
        <v>0.287</v>
      </c>
      <c r="FN228" s="16"/>
      <c r="FO228" s="16"/>
      <c r="FP228" s="16">
        <f>IFERROR(__xludf.DUMMYFUNCTION("""COMPUTED_VALUE"""),0.8375)</f>
        <v>0.8375</v>
      </c>
      <c r="FQ228" s="16">
        <f>IFERROR(__xludf.DUMMYFUNCTION("""COMPUTED_VALUE"""),0.6925925925925926)</f>
        <v>0.6925925926</v>
      </c>
      <c r="FR228" s="16">
        <f>IFERROR(__xludf.DUMMYFUNCTION("""COMPUTED_VALUE"""),0.7592592592592593)</f>
        <v>0.7592592593</v>
      </c>
      <c r="FS228" s="16">
        <f>IFERROR(__xludf.DUMMYFUNCTION("""COMPUTED_VALUE"""),0.32085)</f>
        <v>0.32085</v>
      </c>
      <c r="FT228" s="16"/>
      <c r="FU228" s="16">
        <f>IFERROR(__xludf.DUMMYFUNCTION("""COMPUTED_VALUE"""),0.32085)</f>
        <v>0.32085</v>
      </c>
      <c r="FV228" s="16"/>
      <c r="FW228" s="16"/>
      <c r="FX228" s="16">
        <f>IFERROR(__xludf.DUMMYFUNCTION("""COMPUTED_VALUE"""),1.0)</f>
        <v>1</v>
      </c>
      <c r="FY228" s="16">
        <f>IFERROR(__xludf.DUMMYFUNCTION("""COMPUTED_VALUE"""),-4.0)</f>
        <v>-4</v>
      </c>
      <c r="FZ228" s="16">
        <f>IFERROR(__xludf.DUMMYFUNCTION("""COMPUTED_VALUE"""),-1.0)</f>
        <v>-1</v>
      </c>
      <c r="GA228" s="16">
        <f>IFERROR(__xludf.DUMMYFUNCTION("""COMPUTED_VALUE"""),-7.0)</f>
        <v>-7</v>
      </c>
      <c r="GB228" s="16"/>
      <c r="GC228" s="16">
        <f>IFERROR(__xludf.DUMMYFUNCTION("""COMPUTED_VALUE"""),-7.0)</f>
        <v>-7</v>
      </c>
      <c r="GD228" s="16" t="s">
        <v>245</v>
      </c>
    </row>
    <row r="229">
      <c r="A229" s="16">
        <f>IFERROR(__xludf.DUMMYFUNCTION("""COMPUTED_VALUE"""),12535.0)</f>
        <v>12535</v>
      </c>
      <c r="B229" s="16" t="str">
        <f>IFERROR(__xludf.DUMMYFUNCTION("""COMPUTED_VALUE"""),"Andres Gimenez")</f>
        <v>Andres Gimenez</v>
      </c>
      <c r="C229" s="16">
        <f>IFERROR(__xludf.DUMMYFUNCTION("""COMPUTED_VALUE"""),1.83)</f>
        <v>1.83</v>
      </c>
      <c r="D229" s="16" t="str">
        <f>IFERROR(__xludf.DUMMYFUNCTION("""COMPUTED_VALUE"""),"L")</f>
        <v>L</v>
      </c>
      <c r="E229" s="16"/>
      <c r="F229" s="16"/>
      <c r="G229" s="16">
        <f>IFERROR(__xludf.DUMMYFUNCTION("""COMPUTED_VALUE"""),583.0)</f>
        <v>583</v>
      </c>
      <c r="H229" s="16">
        <f>IFERROR(__xludf.DUMMYFUNCTION("""COMPUTED_VALUE"""),26.0)</f>
        <v>26</v>
      </c>
      <c r="I229" s="16" t="str">
        <f>IFERROR(__xludf.DUMMYFUNCTION("""COMPUTED_VALUE"""),"1p70")</f>
        <v>1p70</v>
      </c>
      <c r="J229" s="16">
        <f>IFERROR(__xludf.DUMMYFUNCTION("""COMPUTED_VALUE"""),6.0)</f>
        <v>6</v>
      </c>
      <c r="K229" s="16">
        <f>IFERROR(__xludf.DUMMYFUNCTION("""COMPUTED_VALUE"""),10.0)</f>
        <v>10</v>
      </c>
      <c r="L229" s="16">
        <f>IFERROR(__xludf.DUMMYFUNCTION("""COMPUTED_VALUE"""),2.0)</f>
        <v>2</v>
      </c>
      <c r="M229" s="16">
        <f>IFERROR(__xludf.DUMMYFUNCTION("""COMPUTED_VALUE"""),2.0)</f>
        <v>2</v>
      </c>
      <c r="N229" s="16">
        <f>IFERROR(__xludf.DUMMYFUNCTION("""COMPUTED_VALUE"""),2.0)</f>
        <v>2</v>
      </c>
      <c r="O229" s="16">
        <f>IFERROR(__xludf.DUMMYFUNCTION("""COMPUTED_VALUE"""),2.0)</f>
        <v>2</v>
      </c>
      <c r="P229" s="16">
        <f>IFERROR(__xludf.DUMMYFUNCTION("""COMPUTED_VALUE"""),0.0)</f>
        <v>0</v>
      </c>
      <c r="Q229" s="16">
        <f>IFERROR(__xludf.DUMMYFUNCTION("""COMPUTED_VALUE"""),1.0)</f>
        <v>1</v>
      </c>
      <c r="R229" s="16">
        <f>IFERROR(__xludf.DUMMYFUNCTION("""COMPUTED_VALUE"""),-3.0)</f>
        <v>-3</v>
      </c>
      <c r="S229" s="16">
        <f>IFERROR(__xludf.DUMMYFUNCTION("""COMPUTED_VALUE"""),-2.0)</f>
        <v>-2</v>
      </c>
      <c r="T229" s="16">
        <f>IFERROR(__xludf.DUMMYFUNCTION("""COMPUTED_VALUE"""),-3.0)</f>
        <v>-3</v>
      </c>
      <c r="U229" s="16">
        <f>IFERROR(__xludf.DUMMYFUNCTION("""COMPUTED_VALUE"""),-2.0)</f>
        <v>-2</v>
      </c>
      <c r="V229" s="16">
        <f>IFERROR(__xludf.DUMMYFUNCTION("""COMPUTED_VALUE"""),20.5)</f>
        <v>20.5</v>
      </c>
      <c r="W229" s="16">
        <f>IFERROR(__xludf.DUMMYFUNCTION("""COMPUTED_VALUE"""),23.1)</f>
        <v>23.1</v>
      </c>
      <c r="X229" s="16">
        <f>IFERROR(__xludf.DUMMYFUNCTION("""COMPUTED_VALUE"""),0.0)</f>
        <v>0</v>
      </c>
      <c r="Y229" s="16">
        <f>IFERROR(__xludf.DUMMYFUNCTION("""COMPUTED_VALUE"""),1.0)</f>
        <v>1</v>
      </c>
      <c r="Z229" s="16">
        <f>IFERROR(__xludf.DUMMYFUNCTION("""COMPUTED_VALUE"""),0.0)</f>
        <v>0</v>
      </c>
      <c r="AA229" s="16">
        <f>IFERROR(__xludf.DUMMYFUNCTION("""COMPUTED_VALUE"""),2.0)</f>
        <v>2</v>
      </c>
      <c r="AB229" s="16">
        <f>IFERROR(__xludf.DUMMYFUNCTION("""COMPUTED_VALUE"""),25.5)</f>
        <v>25.5</v>
      </c>
      <c r="AC229" s="16">
        <f>IFERROR(__xludf.DUMMYFUNCTION("""COMPUTED_VALUE"""),29.1)</f>
        <v>29.1</v>
      </c>
      <c r="AD229" s="16">
        <f>IFERROR(__xludf.DUMMYFUNCTION("""COMPUTED_VALUE"""),-1.0)</f>
        <v>-1</v>
      </c>
      <c r="AE229" s="16">
        <f>IFERROR(__xludf.DUMMYFUNCTION("""COMPUTED_VALUE"""),0.0)</f>
        <v>0</v>
      </c>
      <c r="AF229" s="16">
        <f>IFERROR(__xludf.DUMMYFUNCTION("""COMPUTED_VALUE"""),-5.0)</f>
        <v>-5</v>
      </c>
      <c r="AG229" s="16">
        <f>IFERROR(__xludf.DUMMYFUNCTION("""COMPUTED_VALUE"""),0.0)</f>
        <v>0</v>
      </c>
      <c r="AH229" s="16">
        <f>IFERROR(__xludf.DUMMYFUNCTION("""COMPUTED_VALUE"""),27.3)</f>
        <v>27.3</v>
      </c>
      <c r="AI229" s="16">
        <f>IFERROR(__xludf.DUMMYFUNCTION("""COMPUTED_VALUE"""),26.7)</f>
        <v>26.7</v>
      </c>
      <c r="AJ229" s="16">
        <f>IFERROR(__xludf.DUMMYFUNCTION("""COMPUTED_VALUE"""),0.0)</f>
        <v>0</v>
      </c>
      <c r="AK229" s="16">
        <f>IFERROR(__xludf.DUMMYFUNCTION("""COMPUTED_VALUE"""),-1.0)</f>
        <v>-1</v>
      </c>
      <c r="AL229" s="16">
        <f>IFERROR(__xludf.DUMMYFUNCTION("""COMPUTED_VALUE"""),0.0)</f>
        <v>0</v>
      </c>
      <c r="AM229" s="16">
        <f>IFERROR(__xludf.DUMMYFUNCTION("""COMPUTED_VALUE"""),-5.0)</f>
        <v>-5</v>
      </c>
      <c r="AN229" s="16">
        <f>IFERROR(__xludf.DUMMYFUNCTION("""COMPUTED_VALUE"""),1.3)</f>
        <v>1.3</v>
      </c>
      <c r="AO229" s="16">
        <f>IFERROR(__xludf.DUMMYFUNCTION("""COMPUTED_VALUE"""),0.3)</f>
        <v>0.3</v>
      </c>
      <c r="AP229" s="16">
        <f>IFERROR(__xludf.DUMMYFUNCTION("""COMPUTED_VALUE"""),-1.0)</f>
        <v>-1</v>
      </c>
      <c r="AQ229" s="16">
        <f>IFERROR(__xludf.DUMMYFUNCTION("""COMPUTED_VALUE"""),-2.0)</f>
        <v>-2</v>
      </c>
      <c r="AR229" s="16">
        <f>IFERROR(__xludf.DUMMYFUNCTION("""COMPUTED_VALUE"""),-2.0)</f>
        <v>-2</v>
      </c>
      <c r="AS229" s="16">
        <f>IFERROR(__xludf.DUMMYFUNCTION("""COMPUTED_VALUE"""),-4.0)</f>
        <v>-4</v>
      </c>
      <c r="AT229" s="16"/>
      <c r="AU229" s="16">
        <f>IFERROR(__xludf.DUMMYFUNCTION("""COMPUTED_VALUE"""),0.0)</f>
        <v>0</v>
      </c>
      <c r="AV229" s="16">
        <f>IFERROR(__xludf.DUMMYFUNCTION("""COMPUTED_VALUE"""),-3.0)</f>
        <v>-3</v>
      </c>
      <c r="AW229" s="16">
        <f>IFERROR(__xludf.DUMMYFUNCTION("""COMPUTED_VALUE"""),0.0)</f>
        <v>0</v>
      </c>
      <c r="AX229" s="16">
        <f>IFERROR(__xludf.DUMMYFUNCTION("""COMPUTED_VALUE"""),-3.0)</f>
        <v>-3</v>
      </c>
      <c r="AY229" s="16">
        <f>IFERROR(__xludf.DUMMYFUNCTION("""COMPUTED_VALUE"""),-2.0)</f>
        <v>-2</v>
      </c>
      <c r="AZ229" s="16">
        <f>IFERROR(__xludf.DUMMYFUNCTION("""COMPUTED_VALUE"""),-9.0)</f>
        <v>-9</v>
      </c>
      <c r="BA229" s="16">
        <f>IFERROR(__xludf.DUMMYFUNCTION("""COMPUTED_VALUE"""),-6.0)</f>
        <v>-6</v>
      </c>
      <c r="BB229" s="16">
        <f>IFERROR(__xludf.DUMMYFUNCTION("""COMPUTED_VALUE"""),5.0)</f>
        <v>5</v>
      </c>
      <c r="BC229" s="16">
        <f>IFERROR(__xludf.DUMMYFUNCTION("""COMPUTED_VALUE"""),5.0)</f>
        <v>5</v>
      </c>
      <c r="BD229" s="16">
        <f>IFERROR(__xludf.DUMMYFUNCTION("""COMPUTED_VALUE"""),1.0)</f>
        <v>1</v>
      </c>
      <c r="BE229" s="16">
        <f>IFERROR(__xludf.DUMMYFUNCTION("""COMPUTED_VALUE"""),1.0)</f>
        <v>1</v>
      </c>
      <c r="BF229" s="16">
        <f>IFERROR(__xludf.DUMMYFUNCTION("""COMPUTED_VALUE"""),1.0)</f>
        <v>1</v>
      </c>
      <c r="BG229" s="16">
        <f>IFERROR(__xludf.DUMMYFUNCTION("""COMPUTED_VALUE"""),1.0)</f>
        <v>1</v>
      </c>
      <c r="BH229" s="16">
        <f>IFERROR(__xludf.DUMMYFUNCTION("""COMPUTED_VALUE"""),9.0)</f>
        <v>9</v>
      </c>
      <c r="BI229" s="16">
        <f>IFERROR(__xludf.DUMMYFUNCTION("""COMPUTED_VALUE"""),9.0)</f>
        <v>9</v>
      </c>
      <c r="BJ229" s="16">
        <f>IFERROR(__xludf.DUMMYFUNCTION("""COMPUTED_VALUE"""),15.0)</f>
        <v>15</v>
      </c>
      <c r="BK229" s="16">
        <f>IFERROR(__xludf.DUMMYFUNCTION("""COMPUTED_VALUE"""),14.0)</f>
        <v>14</v>
      </c>
      <c r="BL229" s="16">
        <f>IFERROR(__xludf.DUMMYFUNCTION("""COMPUTED_VALUE"""),-1.0)</f>
        <v>-1</v>
      </c>
      <c r="BM229" s="16">
        <f>IFERROR(__xludf.DUMMYFUNCTION("""COMPUTED_VALUE"""),0.0)</f>
        <v>0</v>
      </c>
      <c r="BN229" s="16">
        <f>IFERROR(__xludf.DUMMYFUNCTION("""COMPUTED_VALUE"""),-2.0)</f>
        <v>-2</v>
      </c>
      <c r="BO229" s="16">
        <f>IFERROR(__xludf.DUMMYFUNCTION("""COMPUTED_VALUE"""),0.0)</f>
        <v>0</v>
      </c>
      <c r="BP229" s="16">
        <f>IFERROR(__xludf.DUMMYFUNCTION("""COMPUTED_VALUE"""),-6.0)</f>
        <v>-6</v>
      </c>
      <c r="BQ229" s="16">
        <f>IFERROR(__xludf.DUMMYFUNCTION("""COMPUTED_VALUE"""),-3.0)</f>
        <v>-3</v>
      </c>
      <c r="BR229" s="16">
        <f>IFERROR(__xludf.DUMMYFUNCTION("""COMPUTED_VALUE"""),-9.0)</f>
        <v>-9</v>
      </c>
      <c r="BS229" s="16" t="str">
        <f>IFERROR(__xludf.DUMMYFUNCTION("""COMPUTED_VALUE"""),"*2-5/- (19-13)")</f>
        <v>*2-5/- (19-13)</v>
      </c>
      <c r="BT229" s="16" t="str">
        <f>IFERROR(__xludf.DUMMYFUNCTION("""COMPUTED_VALUE"""),"AA")</f>
        <v>AA</v>
      </c>
      <c r="BU229" s="16">
        <f>IFERROR(__xludf.DUMMYFUNCTION("""COMPUTED_VALUE"""),16.0)</f>
        <v>16</v>
      </c>
      <c r="BV229" s="16">
        <f>IFERROR(__xludf.DUMMYFUNCTION("""COMPUTED_VALUE"""),3.0)</f>
        <v>3</v>
      </c>
      <c r="BW229" s="16">
        <f>IFERROR(__xludf.DUMMYFUNCTION("""COMPUTED_VALUE"""),2.0)</f>
        <v>2</v>
      </c>
      <c r="BX229" s="16">
        <f>IFERROR(__xludf.DUMMYFUNCTION("""COMPUTED_VALUE"""),6.0)</f>
        <v>6</v>
      </c>
      <c r="BY229" s="16">
        <f>IFERROR(__xludf.DUMMYFUNCTION("""COMPUTED_VALUE"""),6.0)</f>
        <v>6</v>
      </c>
      <c r="BZ229" s="16" t="str">
        <f>IFERROR(__xludf.DUMMYFUNCTION("""COMPUTED_VALUE"""),"C")</f>
        <v>C</v>
      </c>
      <c r="CA229" s="16" t="str">
        <f>IFERROR(__xludf.DUMMYFUNCTION("""COMPUTED_VALUE"""),"B")</f>
        <v>B</v>
      </c>
      <c r="CB229" s="16">
        <f>IFERROR(__xludf.DUMMYFUNCTION("""COMPUTED_VALUE"""),0.0)</f>
        <v>0</v>
      </c>
      <c r="CC229" s="16">
        <f>IFERROR(__xludf.DUMMYFUNCTION("""COMPUTED_VALUE"""),1.0)</f>
        <v>1</v>
      </c>
      <c r="CD229" s="16">
        <f>IFERROR(__xludf.DUMMYFUNCTION("""COMPUTED_VALUE"""),0.0)</f>
        <v>0</v>
      </c>
      <c r="CE229" s="16">
        <f>IFERROR(__xludf.DUMMYFUNCTION("""COMPUTED_VALUE"""),2.0)</f>
        <v>2</v>
      </c>
      <c r="CF229" s="16">
        <f>IFERROR(__xludf.DUMMYFUNCTION("""COMPUTED_VALUE"""),1.0)</f>
        <v>1</v>
      </c>
      <c r="CG229" s="16">
        <f>IFERROR(__xludf.DUMMYFUNCTION("""COMPUTED_VALUE"""),-18.0)</f>
        <v>-18</v>
      </c>
      <c r="CH229" s="16">
        <f>IFERROR(__xludf.DUMMYFUNCTION("""COMPUTED_VALUE"""),-12.0)</f>
        <v>-12</v>
      </c>
      <c r="CI229" s="179">
        <f>IFERROR(__xludf.DUMMYFUNCTION("""COMPUTED_VALUE"""),-3.0)</f>
        <v>-3</v>
      </c>
      <c r="CJ229" s="16"/>
      <c r="CK229" s="16"/>
      <c r="CL229" s="16">
        <f>IFERROR(__xludf.DUMMYFUNCTION("""COMPUTED_VALUE"""),110.0)</f>
        <v>110</v>
      </c>
      <c r="CM229" s="16"/>
      <c r="CN229" s="16"/>
      <c r="CO229" s="16"/>
      <c r="CP229" s="16"/>
      <c r="CQ229" s="16"/>
      <c r="CR229" s="16" t="str">
        <f>IFERROR(__xludf.DUMMYFUNCTION("""COMPUTED_VALUE"""),"2b-1e10")</f>
        <v>2b-1e10</v>
      </c>
      <c r="CS229" s="16"/>
      <c r="CT229" s="16"/>
      <c r="CU229" s="16">
        <f>IFERROR(__xludf.DUMMYFUNCTION("""COMPUTED_VALUE"""),1.0)</f>
        <v>1</v>
      </c>
      <c r="CV229" s="16"/>
      <c r="CW229" s="16"/>
      <c r="CX229" s="16"/>
      <c r="CY229" s="16"/>
      <c r="CZ229" s="16"/>
      <c r="DA229" s="16"/>
      <c r="DB229" s="16"/>
      <c r="DC229" s="16">
        <f>IFERROR(__xludf.DUMMYFUNCTION("""COMPUTED_VALUE"""),10.0)</f>
        <v>10</v>
      </c>
      <c r="DD229" s="16"/>
      <c r="DE229" s="16"/>
      <c r="DF229" s="16"/>
      <c r="DG229" s="16"/>
      <c r="DH229" s="16"/>
      <c r="DI229" s="16"/>
      <c r="DJ229" s="16"/>
      <c r="DK229" s="16">
        <f>IFERROR(__xludf.DUMMYFUNCTION("""COMPUTED_VALUE"""),4.0)</f>
        <v>4</v>
      </c>
      <c r="DL229" s="16"/>
      <c r="DM229" s="16"/>
      <c r="DN229" s="16"/>
      <c r="DO229" s="16"/>
      <c r="DP229" s="16"/>
      <c r="DQ229" s="16"/>
      <c r="DR229" s="16"/>
      <c r="DS229" s="16">
        <f>IFERROR(__xludf.DUMMYFUNCTION("""COMPUTED_VALUE"""),3.0)</f>
        <v>3</v>
      </c>
      <c r="DT229" s="16"/>
      <c r="DU229" s="16"/>
      <c r="DV229" s="16"/>
      <c r="DW229" s="16"/>
      <c r="DX229" s="16"/>
      <c r="DY229" s="16"/>
      <c r="DZ229" s="16"/>
      <c r="EA229" s="16">
        <f>IFERROR(__xludf.DUMMYFUNCTION("""COMPUTED_VALUE"""),7.0)</f>
        <v>7</v>
      </c>
      <c r="EB229" s="16"/>
      <c r="EC229" s="16"/>
      <c r="ED229" s="16"/>
      <c r="EE229" s="16"/>
      <c r="EF229" s="16"/>
      <c r="EG229" s="179"/>
      <c r="EH229" s="179"/>
      <c r="EI229" s="179">
        <f>IFERROR(__xludf.DUMMYFUNCTION("""COMPUTED_VALUE"""),4.0)</f>
        <v>4</v>
      </c>
      <c r="EJ229" s="179"/>
      <c r="EK229" s="179"/>
      <c r="EL229" s="179"/>
      <c r="EM229" s="179"/>
      <c r="EN229" s="179"/>
      <c r="EO229" s="16"/>
      <c r="EP229" s="16">
        <f>IFERROR(__xludf.DUMMYFUNCTION("""COMPUTED_VALUE"""),-1.0)</f>
        <v>-1</v>
      </c>
      <c r="EQ229" s="16">
        <f>IFERROR(__xludf.DUMMYFUNCTION("""COMPUTED_VALUE"""),4.0)</f>
        <v>4</v>
      </c>
      <c r="ER229" s="16">
        <f>IFERROR(__xludf.DUMMYFUNCTION("""COMPUTED_VALUE"""),3.0)</f>
        <v>3</v>
      </c>
      <c r="ES229" s="16"/>
      <c r="ET229" s="16"/>
      <c r="EU229" s="16"/>
      <c r="EV229" s="16"/>
      <c r="EW229" s="16"/>
      <c r="EX229" s="180"/>
      <c r="EY229" s="180"/>
      <c r="EZ229" s="180">
        <f>IFERROR(__xludf.DUMMYFUNCTION("""COMPUTED_VALUE"""),0.0)</f>
        <v>0</v>
      </c>
      <c r="FA229" s="180"/>
      <c r="FB229" s="180"/>
      <c r="FC229" s="180"/>
      <c r="FD229" s="180"/>
      <c r="FE229" s="180"/>
      <c r="FF229" s="180"/>
      <c r="FG229" s="180"/>
      <c r="FH229" s="180">
        <f>IFERROR(__xludf.DUMMYFUNCTION("""COMPUTED_VALUE"""),0.06018518518518518)</f>
        <v>0.06018518519</v>
      </c>
      <c r="FI229" s="180"/>
      <c r="FJ229" s="180"/>
      <c r="FK229" s="180"/>
      <c r="FL229" s="180"/>
      <c r="FM229" s="180"/>
      <c r="FN229" s="16"/>
      <c r="FO229" s="16"/>
      <c r="FP229" s="16">
        <f>IFERROR(__xludf.DUMMYFUNCTION("""COMPUTED_VALUE"""),0.9398148148148148)</f>
        <v>0.9398148148</v>
      </c>
      <c r="FQ229" s="16"/>
      <c r="FR229" s="16"/>
      <c r="FS229" s="16"/>
      <c r="FT229" s="16"/>
      <c r="FU229" s="16"/>
      <c r="FV229" s="16"/>
      <c r="FW229" s="16"/>
      <c r="FX229" s="16">
        <f>IFERROR(__xludf.DUMMYFUNCTION("""COMPUTED_VALUE"""),6.0)</f>
        <v>6</v>
      </c>
      <c r="FY229" s="16"/>
      <c r="FZ229" s="16"/>
      <c r="GA229" s="16"/>
      <c r="GB229" s="16"/>
      <c r="GC229" s="16"/>
      <c r="GD229" s="16" t="s">
        <v>176</v>
      </c>
    </row>
    <row r="230">
      <c r="A230" s="16">
        <f>IFERROR(__xludf.DUMMYFUNCTION("""COMPUTED_VALUE"""),13476.0)</f>
        <v>13476</v>
      </c>
      <c r="B230" s="16" t="str">
        <f>IFERROR(__xludf.DUMMYFUNCTION("""COMPUTED_VALUE"""),"Wenceel Perez")</f>
        <v>Wenceel Perez</v>
      </c>
      <c r="C230" s="16">
        <f>IFERROR(__xludf.DUMMYFUNCTION("""COMPUTED_VALUE"""),0.29)</f>
        <v>0.29</v>
      </c>
      <c r="D230" s="16" t="str">
        <f>IFERROR(__xludf.DUMMYFUNCTION("""COMPUTED_VALUE"""),"S")</f>
        <v>S</v>
      </c>
      <c r="E230" s="16"/>
      <c r="F230" s="16"/>
      <c r="G230" s="16">
        <f>IFERROR(__xludf.DUMMYFUNCTION("""COMPUTED_VALUE"""),389.0)</f>
        <v>389</v>
      </c>
      <c r="H230" s="16">
        <f>IFERROR(__xludf.DUMMYFUNCTION("""COMPUTED_VALUE"""),32.0)</f>
        <v>32</v>
      </c>
      <c r="I230" s="16" t="str">
        <f>IFERROR(__xludf.DUMMYFUNCTION("""COMPUTED_VALUE"""),"3p50")</f>
        <v>3p50</v>
      </c>
      <c r="J230" s="16">
        <f>IFERROR(__xludf.DUMMYFUNCTION("""COMPUTED_VALUE"""),29.0)</f>
        <v>29</v>
      </c>
      <c r="K230" s="16">
        <f>IFERROR(__xludf.DUMMYFUNCTION("""COMPUTED_VALUE"""),21.0)</f>
        <v>21</v>
      </c>
      <c r="L230" s="16">
        <f>IFERROR(__xludf.DUMMYFUNCTION("""COMPUTED_VALUE"""),0.0)</f>
        <v>0</v>
      </c>
      <c r="M230" s="16">
        <f>IFERROR(__xludf.DUMMYFUNCTION("""COMPUTED_VALUE"""),0.0)</f>
        <v>0</v>
      </c>
      <c r="N230" s="16">
        <f>IFERROR(__xludf.DUMMYFUNCTION("""COMPUTED_VALUE"""),0.0)</f>
        <v>0</v>
      </c>
      <c r="O230" s="16">
        <f>IFERROR(__xludf.DUMMYFUNCTION("""COMPUTED_VALUE"""),0.0)</f>
        <v>0</v>
      </c>
      <c r="P230" s="16">
        <f>IFERROR(__xludf.DUMMYFUNCTION("""COMPUTED_VALUE"""),11.0)</f>
        <v>11</v>
      </c>
      <c r="Q230" s="16">
        <f>IFERROR(__xludf.DUMMYFUNCTION("""COMPUTED_VALUE"""),5.0)</f>
        <v>5</v>
      </c>
      <c r="R230" s="16">
        <f>IFERROR(__xludf.DUMMYFUNCTION("""COMPUTED_VALUE"""),1.0)</f>
        <v>1</v>
      </c>
      <c r="S230" s="16">
        <f>IFERROR(__xludf.DUMMYFUNCTION("""COMPUTED_VALUE"""),-1.0)</f>
        <v>-1</v>
      </c>
      <c r="T230" s="16">
        <f>IFERROR(__xludf.DUMMYFUNCTION("""COMPUTED_VALUE"""),1.0)</f>
        <v>1</v>
      </c>
      <c r="U230" s="16">
        <f>IFERROR(__xludf.DUMMYFUNCTION("""COMPUTED_VALUE"""),-1.0)</f>
        <v>-1</v>
      </c>
      <c r="V230" s="16">
        <f>IFERROR(__xludf.DUMMYFUNCTION("""COMPUTED_VALUE"""),13.2)</f>
        <v>13.2</v>
      </c>
      <c r="W230" s="16">
        <f>IFERROR(__xludf.DUMMYFUNCTION("""COMPUTED_VALUE"""),23.0)</f>
        <v>23</v>
      </c>
      <c r="X230" s="16">
        <f>IFERROR(__xludf.DUMMYFUNCTION("""COMPUTED_VALUE"""),-1.0)</f>
        <v>-1</v>
      </c>
      <c r="Y230" s="16">
        <f>IFERROR(__xludf.DUMMYFUNCTION("""COMPUTED_VALUE"""),1.0)</f>
        <v>1</v>
      </c>
      <c r="Z230" s="16">
        <f>IFERROR(__xludf.DUMMYFUNCTION("""COMPUTED_VALUE"""),-2.0)</f>
        <v>-2</v>
      </c>
      <c r="AA230" s="16">
        <f>IFERROR(__xludf.DUMMYFUNCTION("""COMPUTED_VALUE"""),2.0)</f>
        <v>2</v>
      </c>
      <c r="AB230" s="16">
        <f>IFERROR(__xludf.DUMMYFUNCTION("""COMPUTED_VALUE"""),25.2)</f>
        <v>25.2</v>
      </c>
      <c r="AC230" s="16">
        <f>IFERROR(__xludf.DUMMYFUNCTION("""COMPUTED_VALUE"""),29.0)</f>
        <v>29</v>
      </c>
      <c r="AD230" s="16">
        <f>IFERROR(__xludf.DUMMYFUNCTION("""COMPUTED_VALUE"""),-1.0)</f>
        <v>-1</v>
      </c>
      <c r="AE230" s="16">
        <f>IFERROR(__xludf.DUMMYFUNCTION("""COMPUTED_VALUE"""),0.0)</f>
        <v>0</v>
      </c>
      <c r="AF230" s="16">
        <f>IFERROR(__xludf.DUMMYFUNCTION("""COMPUTED_VALUE"""),-5.0)</f>
        <v>-5</v>
      </c>
      <c r="AG230" s="16">
        <f>IFERROR(__xludf.DUMMYFUNCTION("""COMPUTED_VALUE"""),0.0)</f>
        <v>0</v>
      </c>
      <c r="AH230" s="16">
        <f>IFERROR(__xludf.DUMMYFUNCTION("""COMPUTED_VALUE"""),25.1)</f>
        <v>25.1</v>
      </c>
      <c r="AI230" s="16">
        <f>IFERROR(__xludf.DUMMYFUNCTION("""COMPUTED_VALUE"""),35.7)</f>
        <v>35.7</v>
      </c>
      <c r="AJ230" s="16">
        <f>IFERROR(__xludf.DUMMYFUNCTION("""COMPUTED_VALUE"""),-1.0)</f>
        <v>-1</v>
      </c>
      <c r="AK230" s="16">
        <f>IFERROR(__xludf.DUMMYFUNCTION("""COMPUTED_VALUE"""),0.0)</f>
        <v>0</v>
      </c>
      <c r="AL230" s="16">
        <f>IFERROR(__xludf.DUMMYFUNCTION("""COMPUTED_VALUE"""),-5.0)</f>
        <v>-5</v>
      </c>
      <c r="AM230" s="16">
        <f>IFERROR(__xludf.DUMMYFUNCTION("""COMPUTED_VALUE"""),0.0)</f>
        <v>0</v>
      </c>
      <c r="AN230" s="16">
        <f>IFERROR(__xludf.DUMMYFUNCTION("""COMPUTED_VALUE"""),2.3)</f>
        <v>2.3</v>
      </c>
      <c r="AO230" s="16">
        <f>IFERROR(__xludf.DUMMYFUNCTION("""COMPUTED_VALUE"""),1.3)</f>
        <v>1.3</v>
      </c>
      <c r="AP230" s="16">
        <f>IFERROR(__xludf.DUMMYFUNCTION("""COMPUTED_VALUE"""),0.0)</f>
        <v>0</v>
      </c>
      <c r="AQ230" s="16">
        <f>IFERROR(__xludf.DUMMYFUNCTION("""COMPUTED_VALUE"""),-1.0)</f>
        <v>-1</v>
      </c>
      <c r="AR230" s="16">
        <f>IFERROR(__xludf.DUMMYFUNCTION("""COMPUTED_VALUE"""),0.0)</f>
        <v>0</v>
      </c>
      <c r="AS230" s="16">
        <f>IFERROR(__xludf.DUMMYFUNCTION("""COMPUTED_VALUE"""),-2.0)</f>
        <v>-2</v>
      </c>
      <c r="AT230" s="16"/>
      <c r="AU230" s="16">
        <f>IFERROR(__xludf.DUMMYFUNCTION("""COMPUTED_VALUE"""),1.0)</f>
        <v>1</v>
      </c>
      <c r="AV230" s="16">
        <f>IFERROR(__xludf.DUMMYFUNCTION("""COMPUTED_VALUE"""),-3.0)</f>
        <v>-3</v>
      </c>
      <c r="AW230" s="16">
        <f>IFERROR(__xludf.DUMMYFUNCTION("""COMPUTED_VALUE"""),1.0)</f>
        <v>1</v>
      </c>
      <c r="AX230" s="16">
        <f>IFERROR(__xludf.DUMMYFUNCTION("""COMPUTED_VALUE"""),-3.0)</f>
        <v>-3</v>
      </c>
      <c r="AY230" s="16">
        <f>IFERROR(__xludf.DUMMYFUNCTION("""COMPUTED_VALUE"""),-1.0)</f>
        <v>-1</v>
      </c>
      <c r="AZ230" s="16">
        <f>IFERROR(__xludf.DUMMYFUNCTION("""COMPUTED_VALUE"""),-9.0)</f>
        <v>-9</v>
      </c>
      <c r="BA230" s="16">
        <f>IFERROR(__xludf.DUMMYFUNCTION("""COMPUTED_VALUE"""),-3.0)</f>
        <v>-3</v>
      </c>
      <c r="BB230" s="16">
        <f>IFERROR(__xludf.DUMMYFUNCTION("""COMPUTED_VALUE"""),5.0)</f>
        <v>5</v>
      </c>
      <c r="BC230" s="16">
        <f>IFERROR(__xludf.DUMMYFUNCTION("""COMPUTED_VALUE"""),5.0)</f>
        <v>5</v>
      </c>
      <c r="BD230" s="16">
        <f>IFERROR(__xludf.DUMMYFUNCTION("""COMPUTED_VALUE"""),1.0)</f>
        <v>1</v>
      </c>
      <c r="BE230" s="16">
        <f>IFERROR(__xludf.DUMMYFUNCTION("""COMPUTED_VALUE"""),1.0)</f>
        <v>1</v>
      </c>
      <c r="BF230" s="16">
        <f>IFERROR(__xludf.DUMMYFUNCTION("""COMPUTED_VALUE"""),1.0)</f>
        <v>1</v>
      </c>
      <c r="BG230" s="16">
        <f>IFERROR(__xludf.DUMMYFUNCTION("""COMPUTED_VALUE"""),1.0)</f>
        <v>1</v>
      </c>
      <c r="BH230" s="16">
        <f>IFERROR(__xludf.DUMMYFUNCTION("""COMPUTED_VALUE"""),-3.0)</f>
        <v>-3</v>
      </c>
      <c r="BI230" s="16">
        <f>IFERROR(__xludf.DUMMYFUNCTION("""COMPUTED_VALUE"""),-3.0)</f>
        <v>-3</v>
      </c>
      <c r="BJ230" s="16">
        <f>IFERROR(__xludf.DUMMYFUNCTION("""COMPUTED_VALUE"""),8.0)</f>
        <v>8</v>
      </c>
      <c r="BK230" s="16">
        <f>IFERROR(__xludf.DUMMYFUNCTION("""COMPUTED_VALUE"""),8.0)</f>
        <v>8</v>
      </c>
      <c r="BL230" s="16">
        <f>IFERROR(__xludf.DUMMYFUNCTION("""COMPUTED_VALUE"""),1.0)</f>
        <v>1</v>
      </c>
      <c r="BM230" s="16">
        <f>IFERROR(__xludf.DUMMYFUNCTION("""COMPUTED_VALUE"""),1.0)</f>
        <v>1</v>
      </c>
      <c r="BN230" s="16">
        <f>IFERROR(__xludf.DUMMYFUNCTION("""COMPUTED_VALUE"""),1.0)</f>
        <v>1</v>
      </c>
      <c r="BO230" s="16">
        <f>IFERROR(__xludf.DUMMYFUNCTION("""COMPUTED_VALUE"""),1.0)</f>
        <v>1</v>
      </c>
      <c r="BP230" s="16">
        <f>IFERROR(__xludf.DUMMYFUNCTION("""COMPUTED_VALUE"""),-3.0)</f>
        <v>-3</v>
      </c>
      <c r="BQ230" s="16">
        <f>IFERROR(__xludf.DUMMYFUNCTION("""COMPUTED_VALUE"""),0.0)</f>
        <v>0</v>
      </c>
      <c r="BR230" s="16">
        <f>IFERROR(__xludf.DUMMYFUNCTION("""COMPUTED_VALUE"""),-3.0)</f>
        <v>-3</v>
      </c>
      <c r="BS230" s="16" t="str">
        <f>IFERROR(__xludf.DUMMYFUNCTION("""COMPUTED_VALUE"""),"*2-6,11/- (15-12)")</f>
        <v>*2-6,11/- (15-12)</v>
      </c>
      <c r="BT230" s="16" t="str">
        <f>IFERROR(__xludf.DUMMYFUNCTION("""COMPUTED_VALUE"""),"B")</f>
        <v>B</v>
      </c>
      <c r="BU230" s="16">
        <f>IFERROR(__xludf.DUMMYFUNCTION("""COMPUTED_VALUE"""),15.0)</f>
        <v>15</v>
      </c>
      <c r="BV230" s="16">
        <f>IFERROR(__xludf.DUMMYFUNCTION("""COMPUTED_VALUE"""),1.0)</f>
        <v>1</v>
      </c>
      <c r="BW230" s="16">
        <f>IFERROR(__xludf.DUMMYFUNCTION("""COMPUTED_VALUE"""),2.0)</f>
        <v>2</v>
      </c>
      <c r="BX230" s="16">
        <f>IFERROR(__xludf.DUMMYFUNCTION("""COMPUTED_VALUE"""),2.0)</f>
        <v>2</v>
      </c>
      <c r="BY230" s="16">
        <f>IFERROR(__xludf.DUMMYFUNCTION("""COMPUTED_VALUE"""),6.0)</f>
        <v>6</v>
      </c>
      <c r="BZ230" s="16" t="str">
        <f>IFERROR(__xludf.DUMMYFUNCTION("""COMPUTED_VALUE"""),"C")</f>
        <v>C</v>
      </c>
      <c r="CA230" s="16" t="str">
        <f>IFERROR(__xludf.DUMMYFUNCTION("""COMPUTED_VALUE"""),"C")</f>
        <v>C</v>
      </c>
      <c r="CB230" s="16">
        <f>IFERROR(__xludf.DUMMYFUNCTION("""COMPUTED_VALUE"""),0.0)</f>
        <v>0</v>
      </c>
      <c r="CC230" s="16">
        <f>IFERROR(__xludf.DUMMYFUNCTION("""COMPUTED_VALUE"""),0.0)</f>
        <v>0</v>
      </c>
      <c r="CD230" s="16">
        <f>IFERROR(__xludf.DUMMYFUNCTION("""COMPUTED_VALUE"""),0.0)</f>
        <v>0</v>
      </c>
      <c r="CE230" s="16">
        <f>IFERROR(__xludf.DUMMYFUNCTION("""COMPUTED_VALUE"""),0.0)</f>
        <v>0</v>
      </c>
      <c r="CF230" s="16">
        <f>IFERROR(__xludf.DUMMYFUNCTION("""COMPUTED_VALUE"""),3.0)</f>
        <v>3</v>
      </c>
      <c r="CG230" s="16">
        <f>IFERROR(__xludf.DUMMYFUNCTION("""COMPUTED_VALUE"""),-18.0)</f>
        <v>-18</v>
      </c>
      <c r="CH230" s="16">
        <f>IFERROR(__xludf.DUMMYFUNCTION("""COMPUTED_VALUE"""),-2.0)</f>
        <v>-2</v>
      </c>
      <c r="CI230" s="179">
        <f>IFERROR(__xludf.DUMMYFUNCTION("""COMPUTED_VALUE"""),-3.0)</f>
        <v>-3</v>
      </c>
      <c r="CJ230" s="16"/>
      <c r="CK230" s="16"/>
      <c r="CL230" s="16"/>
      <c r="CM230" s="16"/>
      <c r="CN230" s="16"/>
      <c r="CO230" s="16">
        <f>IFERROR(__xludf.DUMMYFUNCTION("""COMPUTED_VALUE"""),303.0)</f>
        <v>303</v>
      </c>
      <c r="CP230" s="16">
        <f>IFERROR(__xludf.DUMMYFUNCTION("""COMPUTED_VALUE"""),403.0)</f>
        <v>403</v>
      </c>
      <c r="CQ230" s="16">
        <f>IFERROR(__xludf.DUMMYFUNCTION("""COMPUTED_VALUE"""),303.0)</f>
        <v>303</v>
      </c>
      <c r="CR230" s="16" t="str">
        <f>IFERROR(__xludf.DUMMYFUNCTION("""COMPUTED_VALUE"""),"rf-3(+1)e3 cf-4e3 lf-3e3")</f>
        <v>rf-3(+1)e3 cf-4e3 lf-3e3</v>
      </c>
      <c r="CS230" s="16"/>
      <c r="CT230" s="16"/>
      <c r="CU230" s="16"/>
      <c r="CV230" s="16"/>
      <c r="CW230" s="16"/>
      <c r="CX230" s="16">
        <f>IFERROR(__xludf.DUMMYFUNCTION("""COMPUTED_VALUE"""),3.0)</f>
        <v>3</v>
      </c>
      <c r="CY230" s="16">
        <f>IFERROR(__xludf.DUMMYFUNCTION("""COMPUTED_VALUE"""),4.0)</f>
        <v>4</v>
      </c>
      <c r="CZ230" s="16">
        <f>IFERROR(__xludf.DUMMYFUNCTION("""COMPUTED_VALUE"""),3.0)</f>
        <v>3</v>
      </c>
      <c r="DA230" s="16"/>
      <c r="DB230" s="16"/>
      <c r="DC230" s="16"/>
      <c r="DD230" s="16"/>
      <c r="DE230" s="16"/>
      <c r="DF230" s="16">
        <f>IFERROR(__xludf.DUMMYFUNCTION("""COMPUTED_VALUE"""),3.0)</f>
        <v>3</v>
      </c>
      <c r="DG230" s="16">
        <f>IFERROR(__xludf.DUMMYFUNCTION("""COMPUTED_VALUE"""),3.0)</f>
        <v>3</v>
      </c>
      <c r="DH230" s="16">
        <f>IFERROR(__xludf.DUMMYFUNCTION("""COMPUTED_VALUE"""),3.0)</f>
        <v>3</v>
      </c>
      <c r="DI230" s="16"/>
      <c r="DJ230" s="16"/>
      <c r="DK230" s="16"/>
      <c r="DL230" s="16"/>
      <c r="DM230" s="16"/>
      <c r="DN230" s="16">
        <f>IFERROR(__xludf.DUMMYFUNCTION("""COMPUTED_VALUE"""),0.0)</f>
        <v>0</v>
      </c>
      <c r="DO230" s="16">
        <f>IFERROR(__xludf.DUMMYFUNCTION("""COMPUTED_VALUE"""),-2.0)</f>
        <v>-2</v>
      </c>
      <c r="DP230" s="16">
        <f>IFERROR(__xludf.DUMMYFUNCTION("""COMPUTED_VALUE"""),0.0)</f>
        <v>0</v>
      </c>
      <c r="DQ230" s="16"/>
      <c r="DR230" s="16"/>
      <c r="DS230" s="16"/>
      <c r="DT230" s="16"/>
      <c r="DU230" s="16"/>
      <c r="DV230" s="16">
        <f>IFERROR(__xludf.DUMMYFUNCTION("""COMPUTED_VALUE"""),4.0)</f>
        <v>4</v>
      </c>
      <c r="DW230" s="16">
        <f>IFERROR(__xludf.DUMMYFUNCTION("""COMPUTED_VALUE"""),4.0)</f>
        <v>4</v>
      </c>
      <c r="DX230" s="16">
        <f>IFERROR(__xludf.DUMMYFUNCTION("""COMPUTED_VALUE"""),4.0)</f>
        <v>4</v>
      </c>
      <c r="DY230" s="16"/>
      <c r="DZ230" s="16"/>
      <c r="EA230" s="16"/>
      <c r="EB230" s="16"/>
      <c r="EC230" s="16"/>
      <c r="ED230" s="16">
        <f>IFERROR(__xludf.DUMMYFUNCTION("""COMPUTED_VALUE"""),4.0)</f>
        <v>4</v>
      </c>
      <c r="EE230" s="16">
        <f>IFERROR(__xludf.DUMMYFUNCTION("""COMPUTED_VALUE"""),2.0)</f>
        <v>2</v>
      </c>
      <c r="EF230" s="16">
        <f>IFERROR(__xludf.DUMMYFUNCTION("""COMPUTED_VALUE"""),4.0)</f>
        <v>4</v>
      </c>
      <c r="EG230" s="179"/>
      <c r="EH230" s="179"/>
      <c r="EI230" s="179"/>
      <c r="EJ230" s="179"/>
      <c r="EK230" s="179"/>
      <c r="EL230" s="179">
        <f>IFERROR(__xludf.DUMMYFUNCTION("""COMPUTED_VALUE"""),1.0)</f>
        <v>1</v>
      </c>
      <c r="EM230" s="179">
        <f>IFERROR(__xludf.DUMMYFUNCTION("""COMPUTED_VALUE"""),-1.0)</f>
        <v>-1</v>
      </c>
      <c r="EN230" s="179">
        <f>IFERROR(__xludf.DUMMYFUNCTION("""COMPUTED_VALUE"""),1.0)</f>
        <v>1</v>
      </c>
      <c r="EO230" s="16"/>
      <c r="EP230" s="16">
        <f>IFERROR(__xludf.DUMMYFUNCTION("""COMPUTED_VALUE"""),-2.0)</f>
        <v>-2</v>
      </c>
      <c r="EQ230" s="16">
        <f>IFERROR(__xludf.DUMMYFUNCTION("""COMPUTED_VALUE"""),1.0)</f>
        <v>1</v>
      </c>
      <c r="ER230" s="16">
        <f>IFERROR(__xludf.DUMMYFUNCTION("""COMPUTED_VALUE"""),0.0)</f>
        <v>0</v>
      </c>
      <c r="ES230" s="16"/>
      <c r="ET230" s="16"/>
      <c r="EU230" s="16"/>
      <c r="EV230" s="16"/>
      <c r="EW230" s="16"/>
      <c r="EX230" s="180"/>
      <c r="EY230" s="180"/>
      <c r="EZ230" s="180"/>
      <c r="FA230" s="180"/>
      <c r="FB230" s="180"/>
      <c r="FC230" s="180">
        <f>IFERROR(__xludf.DUMMYFUNCTION("""COMPUTED_VALUE"""),0.3)</f>
        <v>0.3</v>
      </c>
      <c r="FD230" s="180">
        <f>IFERROR(__xludf.DUMMYFUNCTION("""COMPUTED_VALUE"""),0.55)</f>
        <v>0.55</v>
      </c>
      <c r="FE230" s="180">
        <f>IFERROR(__xludf.DUMMYFUNCTION("""COMPUTED_VALUE"""),0.3)</f>
        <v>0.3</v>
      </c>
      <c r="FF230" s="180"/>
      <c r="FG230" s="180"/>
      <c r="FH230" s="180"/>
      <c r="FI230" s="180"/>
      <c r="FJ230" s="180"/>
      <c r="FK230" s="180">
        <f>IFERROR(__xludf.DUMMYFUNCTION("""COMPUTED_VALUE"""),0.056)</f>
        <v>0.056</v>
      </c>
      <c r="FL230" s="180">
        <f>IFERROR(__xludf.DUMMYFUNCTION("""COMPUTED_VALUE"""),0.037037037037037035)</f>
        <v>0.03703703704</v>
      </c>
      <c r="FM230" s="180">
        <f>IFERROR(__xludf.DUMMYFUNCTION("""COMPUTED_VALUE"""),0.056)</f>
        <v>0.056</v>
      </c>
      <c r="FN230" s="16"/>
      <c r="FO230" s="16"/>
      <c r="FP230" s="16"/>
      <c r="FQ230" s="16"/>
      <c r="FR230" s="16"/>
      <c r="FS230" s="16">
        <f>IFERROR(__xludf.DUMMYFUNCTION("""COMPUTED_VALUE"""),0.6607999999999999)</f>
        <v>0.6608</v>
      </c>
      <c r="FT230" s="16">
        <f>IFERROR(__xludf.DUMMYFUNCTION("""COMPUTED_VALUE"""),0.4333333333333333)</f>
        <v>0.4333333333</v>
      </c>
      <c r="FU230" s="16">
        <f>IFERROR(__xludf.DUMMYFUNCTION("""COMPUTED_VALUE"""),0.6607999999999999)</f>
        <v>0.6608</v>
      </c>
      <c r="FV230" s="16"/>
      <c r="FW230" s="16"/>
      <c r="FX230" s="16"/>
      <c r="FY230" s="16"/>
      <c r="FZ230" s="16"/>
      <c r="GA230" s="16">
        <f>IFERROR(__xludf.DUMMYFUNCTION("""COMPUTED_VALUE"""),-2.0)</f>
        <v>-2</v>
      </c>
      <c r="GB230" s="16">
        <f>IFERROR(__xludf.DUMMYFUNCTION("""COMPUTED_VALUE"""),-6.0)</f>
        <v>-6</v>
      </c>
      <c r="GC230" s="16">
        <f>IFERROR(__xludf.DUMMYFUNCTION("""COMPUTED_VALUE"""),-2.0)</f>
        <v>-2</v>
      </c>
      <c r="GD230" s="16" t="s">
        <v>176</v>
      </c>
    </row>
    <row r="231">
      <c r="A231" s="16">
        <f>IFERROR(__xludf.DUMMYFUNCTION("""COMPUTED_VALUE"""),13266.0)</f>
        <v>13266</v>
      </c>
      <c r="B231" s="16" t="str">
        <f>IFERROR(__xludf.DUMMYFUNCTION("""COMPUTED_VALUE"""),"Oswaldo Cabrera")</f>
        <v>Oswaldo Cabrera</v>
      </c>
      <c r="C231" s="16">
        <f>IFERROR(__xludf.DUMMYFUNCTION("""COMPUTED_VALUE"""),1.16)</f>
        <v>1.16</v>
      </c>
      <c r="D231" s="16" t="str">
        <f>IFERROR(__xludf.DUMMYFUNCTION("""COMPUTED_VALUE"""),"S")</f>
        <v>S</v>
      </c>
      <c r="E231" s="16"/>
      <c r="F231" s="16"/>
      <c r="G231" s="16">
        <f>IFERROR(__xludf.DUMMYFUNCTION("""COMPUTED_VALUE"""),299.0)</f>
        <v>299</v>
      </c>
      <c r="H231" s="16">
        <f>IFERROR(__xludf.DUMMYFUNCTION("""COMPUTED_VALUE"""),21.0)</f>
        <v>21</v>
      </c>
      <c r="I231" s="16" t="str">
        <f>IFERROR(__xludf.DUMMYFUNCTION("""COMPUTED_VALUE"""),"1p50")</f>
        <v>1p50</v>
      </c>
      <c r="J231" s="16">
        <f>IFERROR(__xludf.DUMMYFUNCTION("""COMPUTED_VALUE"""),27.0)</f>
        <v>27</v>
      </c>
      <c r="K231" s="16">
        <f>IFERROR(__xludf.DUMMYFUNCTION("""COMPUTED_VALUE"""),15.0)</f>
        <v>15</v>
      </c>
      <c r="L231" s="16">
        <f>IFERROR(__xludf.DUMMYFUNCTION("""COMPUTED_VALUE"""),0.0)</f>
        <v>0</v>
      </c>
      <c r="M231" s="16">
        <f>IFERROR(__xludf.DUMMYFUNCTION("""COMPUTED_VALUE"""),1.0)</f>
        <v>1</v>
      </c>
      <c r="N231" s="16">
        <f>IFERROR(__xludf.DUMMYFUNCTION("""COMPUTED_VALUE"""),0.0)</f>
        <v>0</v>
      </c>
      <c r="O231" s="16">
        <f>IFERROR(__xludf.DUMMYFUNCTION("""COMPUTED_VALUE"""),1.0)</f>
        <v>1</v>
      </c>
      <c r="P231" s="16">
        <f>IFERROR(__xludf.DUMMYFUNCTION("""COMPUTED_VALUE"""),1.0)</f>
        <v>1</v>
      </c>
      <c r="Q231" s="16">
        <f>IFERROR(__xludf.DUMMYFUNCTION("""COMPUTED_VALUE"""),6.0)</f>
        <v>6</v>
      </c>
      <c r="R231" s="16">
        <f>IFERROR(__xludf.DUMMYFUNCTION("""COMPUTED_VALUE"""),-2.0)</f>
        <v>-2</v>
      </c>
      <c r="S231" s="16">
        <f>IFERROR(__xludf.DUMMYFUNCTION("""COMPUTED_VALUE"""),-1.0)</f>
        <v>-1</v>
      </c>
      <c r="T231" s="16">
        <f>IFERROR(__xludf.DUMMYFUNCTION("""COMPUTED_VALUE"""),-2.0)</f>
        <v>-2</v>
      </c>
      <c r="U231" s="16">
        <f>IFERROR(__xludf.DUMMYFUNCTION("""COMPUTED_VALUE"""),-1.0)</f>
        <v>-1</v>
      </c>
      <c r="V231" s="16">
        <f>IFERROR(__xludf.DUMMYFUNCTION("""COMPUTED_VALUE"""),11.5)</f>
        <v>11.5</v>
      </c>
      <c r="W231" s="16">
        <f>IFERROR(__xludf.DUMMYFUNCTION("""COMPUTED_VALUE"""),25.6)</f>
        <v>25.6</v>
      </c>
      <c r="X231" s="16">
        <f>IFERROR(__xludf.DUMMYFUNCTION("""COMPUTED_VALUE"""),-1.0)</f>
        <v>-1</v>
      </c>
      <c r="Y231" s="16">
        <f>IFERROR(__xludf.DUMMYFUNCTION("""COMPUTED_VALUE"""),1.0)</f>
        <v>1</v>
      </c>
      <c r="Z231" s="16">
        <f>IFERROR(__xludf.DUMMYFUNCTION("""COMPUTED_VALUE"""),-2.0)</f>
        <v>-2</v>
      </c>
      <c r="AA231" s="16">
        <f>IFERROR(__xludf.DUMMYFUNCTION("""COMPUTED_VALUE"""),2.0)</f>
        <v>2</v>
      </c>
      <c r="AB231" s="16">
        <f>IFERROR(__xludf.DUMMYFUNCTION("""COMPUTED_VALUE"""),13.5)</f>
        <v>13.5</v>
      </c>
      <c r="AC231" s="16">
        <f>IFERROR(__xludf.DUMMYFUNCTION("""COMPUTED_VALUE"""),32.6)</f>
        <v>32.6</v>
      </c>
      <c r="AD231" s="16">
        <f>IFERROR(__xludf.DUMMYFUNCTION("""COMPUTED_VALUE"""),-2.0)</f>
        <v>-2</v>
      </c>
      <c r="AE231" s="16">
        <f>IFERROR(__xludf.DUMMYFUNCTION("""COMPUTED_VALUE"""),0.0)</f>
        <v>0</v>
      </c>
      <c r="AF231" s="16">
        <f>IFERROR(__xludf.DUMMYFUNCTION("""COMPUTED_VALUE"""),-10.0)</f>
        <v>-10</v>
      </c>
      <c r="AG231" s="16">
        <f>IFERROR(__xludf.DUMMYFUNCTION("""COMPUTED_VALUE"""),0.0)</f>
        <v>0</v>
      </c>
      <c r="AH231" s="16">
        <f>IFERROR(__xludf.DUMMYFUNCTION("""COMPUTED_VALUE"""),16.5)</f>
        <v>16.5</v>
      </c>
      <c r="AI231" s="16">
        <f>IFERROR(__xludf.DUMMYFUNCTION("""COMPUTED_VALUE"""),33.8)</f>
        <v>33.8</v>
      </c>
      <c r="AJ231" s="16">
        <f>IFERROR(__xludf.DUMMYFUNCTION("""COMPUTED_VALUE"""),-1.0)</f>
        <v>-1</v>
      </c>
      <c r="AK231" s="16">
        <f>IFERROR(__xludf.DUMMYFUNCTION("""COMPUTED_VALUE"""),0.0)</f>
        <v>0</v>
      </c>
      <c r="AL231" s="16">
        <f>IFERROR(__xludf.DUMMYFUNCTION("""COMPUTED_VALUE"""),-5.0)</f>
        <v>-5</v>
      </c>
      <c r="AM231" s="16">
        <f>IFERROR(__xludf.DUMMYFUNCTION("""COMPUTED_VALUE"""),0.0)</f>
        <v>0</v>
      </c>
      <c r="AN231" s="16">
        <f>IFERROR(__xludf.DUMMYFUNCTION("""COMPUTED_VALUE"""),0.0)</f>
        <v>0</v>
      </c>
      <c r="AO231" s="16">
        <f>IFERROR(__xludf.DUMMYFUNCTION("""COMPUTED_VALUE"""),2.3)</f>
        <v>2.3</v>
      </c>
      <c r="AP231" s="16">
        <f>IFERROR(__xludf.DUMMYFUNCTION("""COMPUTED_VALUE"""),-2.0)</f>
        <v>-2</v>
      </c>
      <c r="AQ231" s="16">
        <f>IFERROR(__xludf.DUMMYFUNCTION("""COMPUTED_VALUE"""),0.0)</f>
        <v>0</v>
      </c>
      <c r="AR231" s="16">
        <f>IFERROR(__xludf.DUMMYFUNCTION("""COMPUTED_VALUE"""),-4.0)</f>
        <v>-4</v>
      </c>
      <c r="AS231" s="16">
        <f>IFERROR(__xludf.DUMMYFUNCTION("""COMPUTED_VALUE"""),0.0)</f>
        <v>0</v>
      </c>
      <c r="AT231" s="16"/>
      <c r="AU231" s="16">
        <f>IFERROR(__xludf.DUMMYFUNCTION("""COMPUTED_VALUE"""),2.0)</f>
        <v>2</v>
      </c>
      <c r="AV231" s="16">
        <f>IFERROR(__xludf.DUMMYFUNCTION("""COMPUTED_VALUE"""),-3.0)</f>
        <v>-3</v>
      </c>
      <c r="AW231" s="16">
        <f>IFERROR(__xludf.DUMMYFUNCTION("""COMPUTED_VALUE"""),2.0)</f>
        <v>2</v>
      </c>
      <c r="AX231" s="16">
        <f>IFERROR(__xludf.DUMMYFUNCTION("""COMPUTED_VALUE"""),-3.0)</f>
        <v>-3</v>
      </c>
      <c r="AY231" s="16">
        <f>IFERROR(__xludf.DUMMYFUNCTION("""COMPUTED_VALUE"""),0.0)</f>
        <v>0</v>
      </c>
      <c r="AZ231" s="16">
        <f>IFERROR(__xludf.DUMMYFUNCTION("""COMPUTED_VALUE"""),-9.0)</f>
        <v>-9</v>
      </c>
      <c r="BA231" s="16">
        <f>IFERROR(__xludf.DUMMYFUNCTION("""COMPUTED_VALUE"""),0.0)</f>
        <v>0</v>
      </c>
      <c r="BB231" s="16">
        <f>IFERROR(__xludf.DUMMYFUNCTION("""COMPUTED_VALUE"""),5.0)</f>
        <v>5</v>
      </c>
      <c r="BC231" s="16">
        <f>IFERROR(__xludf.DUMMYFUNCTION("""COMPUTED_VALUE"""),5.0)</f>
        <v>5</v>
      </c>
      <c r="BD231" s="16">
        <f>IFERROR(__xludf.DUMMYFUNCTION("""COMPUTED_VALUE"""),1.0)</f>
        <v>1</v>
      </c>
      <c r="BE231" s="16">
        <f>IFERROR(__xludf.DUMMYFUNCTION("""COMPUTED_VALUE"""),1.0)</f>
        <v>1</v>
      </c>
      <c r="BF231" s="16">
        <f>IFERROR(__xludf.DUMMYFUNCTION("""COMPUTED_VALUE"""),1.0)</f>
        <v>1</v>
      </c>
      <c r="BG231" s="16">
        <f>IFERROR(__xludf.DUMMYFUNCTION("""COMPUTED_VALUE"""),1.0)</f>
        <v>1</v>
      </c>
      <c r="BH231" s="16">
        <f>IFERROR(__xludf.DUMMYFUNCTION("""COMPUTED_VALUE"""),2.0)</f>
        <v>2</v>
      </c>
      <c r="BI231" s="16">
        <f>IFERROR(__xludf.DUMMYFUNCTION("""COMPUTED_VALUE"""),2.0)</f>
        <v>2</v>
      </c>
      <c r="BJ231" s="16">
        <f>IFERROR(__xludf.DUMMYFUNCTION("""COMPUTED_VALUE"""),16.0)</f>
        <v>16</v>
      </c>
      <c r="BK231" s="16">
        <f>IFERROR(__xludf.DUMMYFUNCTION("""COMPUTED_VALUE"""),15.0)</f>
        <v>15</v>
      </c>
      <c r="BL231" s="16">
        <f>IFERROR(__xludf.DUMMYFUNCTION("""COMPUTED_VALUE"""),-1.0)</f>
        <v>-1</v>
      </c>
      <c r="BM231" s="16">
        <f>IFERROR(__xludf.DUMMYFUNCTION("""COMPUTED_VALUE"""),-1.0)</f>
        <v>-1</v>
      </c>
      <c r="BN231" s="16">
        <f>IFERROR(__xludf.DUMMYFUNCTION("""COMPUTED_VALUE"""),-2.0)</f>
        <v>-2</v>
      </c>
      <c r="BO231" s="16">
        <f>IFERROR(__xludf.DUMMYFUNCTION("""COMPUTED_VALUE"""),-2.0)</f>
        <v>-2</v>
      </c>
      <c r="BP231" s="16">
        <f>IFERROR(__xludf.DUMMYFUNCTION("""COMPUTED_VALUE"""),-11.0)</f>
        <v>-11</v>
      </c>
      <c r="BQ231" s="16">
        <f>IFERROR(__xludf.DUMMYFUNCTION("""COMPUTED_VALUE"""),1.0)</f>
        <v>1</v>
      </c>
      <c r="BR231" s="16">
        <f>IFERROR(__xludf.DUMMYFUNCTION("""COMPUTED_VALUE"""),-10.0)</f>
        <v>-10</v>
      </c>
      <c r="BS231" s="16" t="str">
        <f>IFERROR(__xludf.DUMMYFUNCTION("""COMPUTED_VALUE"""),"5,6/- (13-6)")</f>
        <v>5,6/- (13-6)</v>
      </c>
      <c r="BT231" s="16" t="str">
        <f>IFERROR(__xludf.DUMMYFUNCTION("""COMPUTED_VALUE"""),"C")</f>
        <v>C</v>
      </c>
      <c r="BU231" s="16">
        <f>IFERROR(__xludf.DUMMYFUNCTION("""COMPUTED_VALUE"""),13.0)</f>
        <v>13</v>
      </c>
      <c r="BV231" s="16">
        <f>IFERROR(__xludf.DUMMYFUNCTION("""COMPUTED_VALUE"""),0.0)</f>
        <v>0</v>
      </c>
      <c r="BW231" s="16">
        <f>IFERROR(__xludf.DUMMYFUNCTION("""COMPUTED_VALUE"""),1.0)</f>
        <v>1</v>
      </c>
      <c r="BX231" s="16">
        <f>IFERROR(__xludf.DUMMYFUNCTION("""COMPUTED_VALUE"""),0.0)</f>
        <v>0</v>
      </c>
      <c r="BY231" s="16">
        <f>IFERROR(__xludf.DUMMYFUNCTION("""COMPUTED_VALUE"""),3.0)</f>
        <v>3</v>
      </c>
      <c r="BZ231" s="16" t="str">
        <f>IFERROR(__xludf.DUMMYFUNCTION("""COMPUTED_VALUE"""),"C")</f>
        <v>C</v>
      </c>
      <c r="CA231" s="16" t="str">
        <f>IFERROR(__xludf.DUMMYFUNCTION("""COMPUTED_VALUE"""),"C")</f>
        <v>C</v>
      </c>
      <c r="CB231" s="16">
        <f>IFERROR(__xludf.DUMMYFUNCTION("""COMPUTED_VALUE"""),0.0)</f>
        <v>0</v>
      </c>
      <c r="CC231" s="16">
        <f>IFERROR(__xludf.DUMMYFUNCTION("""COMPUTED_VALUE"""),0.0)</f>
        <v>0</v>
      </c>
      <c r="CD231" s="16">
        <f>IFERROR(__xludf.DUMMYFUNCTION("""COMPUTED_VALUE"""),0.0)</f>
        <v>0</v>
      </c>
      <c r="CE231" s="16">
        <f>IFERROR(__xludf.DUMMYFUNCTION("""COMPUTED_VALUE"""),0.0)</f>
        <v>0</v>
      </c>
      <c r="CF231" s="16">
        <f>IFERROR(__xludf.DUMMYFUNCTION("""COMPUTED_VALUE"""),1.0)</f>
        <v>1</v>
      </c>
      <c r="CG231" s="16">
        <f>IFERROR(__xludf.DUMMYFUNCTION("""COMPUTED_VALUE"""),-33.0)</f>
        <v>-33</v>
      </c>
      <c r="CH231" s="16">
        <f>IFERROR(__xludf.DUMMYFUNCTION("""COMPUTED_VALUE"""),1.0)</f>
        <v>1</v>
      </c>
      <c r="CI231" s="179">
        <f>IFERROR(__xludf.DUMMYFUNCTION("""COMPUTED_VALUE"""),-3.0)</f>
        <v>-3</v>
      </c>
      <c r="CJ231" s="16"/>
      <c r="CK231" s="16">
        <f>IFERROR(__xludf.DUMMYFUNCTION("""COMPUTED_VALUE"""),320.0)</f>
        <v>320</v>
      </c>
      <c r="CL231" s="16">
        <f>IFERROR(__xludf.DUMMYFUNCTION("""COMPUTED_VALUE"""),419.0)</f>
        <v>419</v>
      </c>
      <c r="CM231" s="16">
        <f>IFERROR(__xludf.DUMMYFUNCTION("""COMPUTED_VALUE"""),215.0)</f>
        <v>215</v>
      </c>
      <c r="CN231" s="16">
        <f>IFERROR(__xludf.DUMMYFUNCTION("""COMPUTED_VALUE"""),414.0)</f>
        <v>414</v>
      </c>
      <c r="CO231" s="16">
        <f>IFERROR(__xludf.DUMMYFUNCTION("""COMPUTED_VALUE"""),302.0)</f>
        <v>302</v>
      </c>
      <c r="CP231" s="16"/>
      <c r="CQ231" s="16">
        <f>IFERROR(__xludf.DUMMYFUNCTION("""COMPUTED_VALUE"""),302.0)</f>
        <v>302</v>
      </c>
      <c r="CR231" s="16" t="str">
        <f>IFERROR(__xludf.DUMMYFUNCTION("""COMPUTED_VALUE"""),"3b-2e15 2b-4e19 1b-3e20 ss-4e14 rf-3(-1)e2 lf-3e2")</f>
        <v>3b-2e15 2b-4e19 1b-3e20 ss-4e14 rf-3(-1)e2 lf-3e2</v>
      </c>
      <c r="CS231" s="16"/>
      <c r="CT231" s="16">
        <f>IFERROR(__xludf.DUMMYFUNCTION("""COMPUTED_VALUE"""),3.0)</f>
        <v>3</v>
      </c>
      <c r="CU231" s="16">
        <f>IFERROR(__xludf.DUMMYFUNCTION("""COMPUTED_VALUE"""),4.0)</f>
        <v>4</v>
      </c>
      <c r="CV231" s="16">
        <f>IFERROR(__xludf.DUMMYFUNCTION("""COMPUTED_VALUE"""),2.0)</f>
        <v>2</v>
      </c>
      <c r="CW231" s="16">
        <f>IFERROR(__xludf.DUMMYFUNCTION("""COMPUTED_VALUE"""),4.0)</f>
        <v>4</v>
      </c>
      <c r="CX231" s="16">
        <f>IFERROR(__xludf.DUMMYFUNCTION("""COMPUTED_VALUE"""),3.0)</f>
        <v>3</v>
      </c>
      <c r="CY231" s="16"/>
      <c r="CZ231" s="16">
        <f>IFERROR(__xludf.DUMMYFUNCTION("""COMPUTED_VALUE"""),3.0)</f>
        <v>3</v>
      </c>
      <c r="DA231" s="16"/>
      <c r="DB231" s="16">
        <f>IFERROR(__xludf.DUMMYFUNCTION("""COMPUTED_VALUE"""),20.0)</f>
        <v>20</v>
      </c>
      <c r="DC231" s="16">
        <f>IFERROR(__xludf.DUMMYFUNCTION("""COMPUTED_VALUE"""),19.0)</f>
        <v>19</v>
      </c>
      <c r="DD231" s="16">
        <f>IFERROR(__xludf.DUMMYFUNCTION("""COMPUTED_VALUE"""),15.0)</f>
        <v>15</v>
      </c>
      <c r="DE231" s="16">
        <f>IFERROR(__xludf.DUMMYFUNCTION("""COMPUTED_VALUE"""),14.0)</f>
        <v>14</v>
      </c>
      <c r="DF231" s="16">
        <f>IFERROR(__xludf.DUMMYFUNCTION("""COMPUTED_VALUE"""),2.0)</f>
        <v>2</v>
      </c>
      <c r="DG231" s="16"/>
      <c r="DH231" s="16">
        <f>IFERROR(__xludf.DUMMYFUNCTION("""COMPUTED_VALUE"""),2.0)</f>
        <v>2</v>
      </c>
      <c r="DI231" s="16"/>
      <c r="DJ231" s="16">
        <f>IFERROR(__xludf.DUMMYFUNCTION("""COMPUTED_VALUE"""),1.0)</f>
        <v>1</v>
      </c>
      <c r="DK231" s="16">
        <f>IFERROR(__xludf.DUMMYFUNCTION("""COMPUTED_VALUE"""),-2.0)</f>
        <v>-2</v>
      </c>
      <c r="DL231" s="16">
        <f>IFERROR(__xludf.DUMMYFUNCTION("""COMPUTED_VALUE"""),3.0)</f>
        <v>3</v>
      </c>
      <c r="DM231" s="16">
        <f>IFERROR(__xludf.DUMMYFUNCTION("""COMPUTED_VALUE"""),-2.0)</f>
        <v>-2</v>
      </c>
      <c r="DN231" s="16">
        <f>IFERROR(__xludf.DUMMYFUNCTION("""COMPUTED_VALUE"""),0.0)</f>
        <v>0</v>
      </c>
      <c r="DO231" s="16"/>
      <c r="DP231" s="16">
        <f>IFERROR(__xludf.DUMMYFUNCTION("""COMPUTED_VALUE"""),0.0)</f>
        <v>0</v>
      </c>
      <c r="DQ231" s="16"/>
      <c r="DR231" s="16">
        <f>IFERROR(__xludf.DUMMYFUNCTION("""COMPUTED_VALUE"""),0.0)</f>
        <v>0</v>
      </c>
      <c r="DS231" s="16">
        <f>IFERROR(__xludf.DUMMYFUNCTION("""COMPUTED_VALUE"""),2.0)</f>
        <v>2</v>
      </c>
      <c r="DT231" s="16">
        <f>IFERROR(__xludf.DUMMYFUNCTION("""COMPUTED_VALUE"""),1.0)</f>
        <v>1</v>
      </c>
      <c r="DU231" s="16">
        <f>IFERROR(__xludf.DUMMYFUNCTION("""COMPUTED_VALUE"""),2.0)</f>
        <v>2</v>
      </c>
      <c r="DV231" s="16">
        <f>IFERROR(__xludf.DUMMYFUNCTION("""COMPUTED_VALUE"""),4.0)</f>
        <v>4</v>
      </c>
      <c r="DW231" s="16"/>
      <c r="DX231" s="16">
        <f>IFERROR(__xludf.DUMMYFUNCTION("""COMPUTED_VALUE"""),4.0)</f>
        <v>4</v>
      </c>
      <c r="DY231" s="16"/>
      <c r="DZ231" s="16">
        <f>IFERROR(__xludf.DUMMYFUNCTION("""COMPUTED_VALUE"""),1.0)</f>
        <v>1</v>
      </c>
      <c r="EA231" s="16">
        <f>IFERROR(__xludf.DUMMYFUNCTION("""COMPUTED_VALUE"""),0.0)</f>
        <v>0</v>
      </c>
      <c r="EB231" s="16">
        <f>IFERROR(__xludf.DUMMYFUNCTION("""COMPUTED_VALUE"""),4.0)</f>
        <v>4</v>
      </c>
      <c r="EC231" s="16">
        <f>IFERROR(__xludf.DUMMYFUNCTION("""COMPUTED_VALUE"""),0.0)</f>
        <v>0</v>
      </c>
      <c r="ED231" s="16">
        <f>IFERROR(__xludf.DUMMYFUNCTION("""COMPUTED_VALUE"""),4.0)</f>
        <v>4</v>
      </c>
      <c r="EE231" s="16"/>
      <c r="EF231" s="16">
        <f>IFERROR(__xludf.DUMMYFUNCTION("""COMPUTED_VALUE"""),4.0)</f>
        <v>4</v>
      </c>
      <c r="EG231" s="179"/>
      <c r="EH231" s="179">
        <f>IFERROR(__xludf.DUMMYFUNCTION("""COMPUTED_VALUE"""),-2.0)</f>
        <v>-2</v>
      </c>
      <c r="EI231" s="179">
        <f>IFERROR(__xludf.DUMMYFUNCTION("""COMPUTED_VALUE"""),-3.0)</f>
        <v>-3</v>
      </c>
      <c r="EJ231" s="179">
        <f>IFERROR(__xludf.DUMMYFUNCTION("""COMPUTED_VALUE"""),1.0)</f>
        <v>1</v>
      </c>
      <c r="EK231" s="179">
        <f>IFERROR(__xludf.DUMMYFUNCTION("""COMPUTED_VALUE"""),-3.0)</f>
        <v>-3</v>
      </c>
      <c r="EL231" s="179">
        <f>IFERROR(__xludf.DUMMYFUNCTION("""COMPUTED_VALUE"""),1.0)</f>
        <v>1</v>
      </c>
      <c r="EM231" s="179"/>
      <c r="EN231" s="179">
        <f>IFERROR(__xludf.DUMMYFUNCTION("""COMPUTED_VALUE"""),1.0)</f>
        <v>1</v>
      </c>
      <c r="EO231" s="16"/>
      <c r="EP231" s="16"/>
      <c r="EQ231" s="16">
        <f>IFERROR(__xludf.DUMMYFUNCTION("""COMPUTED_VALUE"""),4.0)</f>
        <v>4</v>
      </c>
      <c r="ER231" s="16">
        <f>IFERROR(__xludf.DUMMYFUNCTION("""COMPUTED_VALUE"""),0.0)</f>
        <v>0</v>
      </c>
      <c r="ES231" s="16"/>
      <c r="ET231" s="16"/>
      <c r="EU231" s="16"/>
      <c r="EV231" s="16"/>
      <c r="EW231" s="16"/>
      <c r="EX231" s="180"/>
      <c r="EY231" s="180">
        <f>IFERROR(__xludf.DUMMYFUNCTION("""COMPUTED_VALUE"""),0.2)</f>
        <v>0.2</v>
      </c>
      <c r="EZ231" s="180">
        <f>IFERROR(__xludf.DUMMYFUNCTION("""COMPUTED_VALUE"""),0.3)</f>
        <v>0.3</v>
      </c>
      <c r="FA231" s="180">
        <f>IFERROR(__xludf.DUMMYFUNCTION("""COMPUTED_VALUE"""),0.1)</f>
        <v>0.1</v>
      </c>
      <c r="FB231" s="180">
        <f>IFERROR(__xludf.DUMMYFUNCTION("""COMPUTED_VALUE"""),0.3)</f>
        <v>0.3</v>
      </c>
      <c r="FC231" s="180">
        <f>IFERROR(__xludf.DUMMYFUNCTION("""COMPUTED_VALUE"""),0.3)</f>
        <v>0.3</v>
      </c>
      <c r="FD231" s="180"/>
      <c r="FE231" s="180">
        <f>IFERROR(__xludf.DUMMYFUNCTION("""COMPUTED_VALUE"""),0.3)</f>
        <v>0.3</v>
      </c>
      <c r="FF231" s="180"/>
      <c r="FG231" s="180">
        <f>IFERROR(__xludf.DUMMYFUNCTION("""COMPUTED_VALUE"""),0.3611111111111111)</f>
        <v>0.3611111111</v>
      </c>
      <c r="FH231" s="180">
        <f>IFERROR(__xludf.DUMMYFUNCTION("""COMPUTED_VALUE"""),0.1111111111111111)</f>
        <v>0.1111111111</v>
      </c>
      <c r="FI231" s="180">
        <f>IFERROR(__xludf.DUMMYFUNCTION("""COMPUTED_VALUE"""),0.18055555555555555)</f>
        <v>0.1805555556</v>
      </c>
      <c r="FJ231" s="180">
        <f>IFERROR(__xludf.DUMMYFUNCTION("""COMPUTED_VALUE"""),0.07407407407407407)</f>
        <v>0.07407407407</v>
      </c>
      <c r="FK231" s="180">
        <f>IFERROR(__xludf.DUMMYFUNCTION("""COMPUTED_VALUE"""),0.037)</f>
        <v>0.037</v>
      </c>
      <c r="FL231" s="180"/>
      <c r="FM231" s="180">
        <f>IFERROR(__xludf.DUMMYFUNCTION("""COMPUTED_VALUE"""),0.037)</f>
        <v>0.037</v>
      </c>
      <c r="FN231" s="16"/>
      <c r="FO231" s="16">
        <f>IFERROR(__xludf.DUMMYFUNCTION("""COMPUTED_VALUE"""),0.5111111111111111)</f>
        <v>0.5111111111</v>
      </c>
      <c r="FP231" s="16">
        <f>IFERROR(__xludf.DUMMYFUNCTION("""COMPUTED_VALUE"""),0.6222222222222221)</f>
        <v>0.6222222222</v>
      </c>
      <c r="FQ231" s="16">
        <f>IFERROR(__xludf.DUMMYFUNCTION("""COMPUTED_VALUE"""),0.7375)</f>
        <v>0.7375</v>
      </c>
      <c r="FR231" s="16">
        <f>IFERROR(__xludf.DUMMYFUNCTION("""COMPUTED_VALUE"""),0.6481481481481481)</f>
        <v>0.6481481481</v>
      </c>
      <c r="FS231" s="16">
        <f>IFERROR(__xludf.DUMMYFUNCTION("""COMPUTED_VALUE"""),0.6740999999999999)</f>
        <v>0.6741</v>
      </c>
      <c r="FT231" s="16"/>
      <c r="FU231" s="16">
        <f>IFERROR(__xludf.DUMMYFUNCTION("""COMPUTED_VALUE"""),0.6740999999999999)</f>
        <v>0.6741</v>
      </c>
      <c r="FV231" s="16"/>
      <c r="FW231" s="16">
        <f>IFERROR(__xludf.DUMMYFUNCTION("""COMPUTED_VALUE"""),-8.0)</f>
        <v>-8</v>
      </c>
      <c r="FX231" s="16">
        <f>IFERROR(__xludf.DUMMYFUNCTION("""COMPUTED_VALUE"""),-6.0)</f>
        <v>-6</v>
      </c>
      <c r="FY231" s="16">
        <f>IFERROR(__xludf.DUMMYFUNCTION("""COMPUTED_VALUE"""),-4.0)</f>
        <v>-4</v>
      </c>
      <c r="FZ231" s="16">
        <f>IFERROR(__xludf.DUMMYFUNCTION("""COMPUTED_VALUE"""),-6.0)</f>
        <v>-6</v>
      </c>
      <c r="GA231" s="16">
        <f>IFERROR(__xludf.DUMMYFUNCTION("""COMPUTED_VALUE"""),-4.0)</f>
        <v>-4</v>
      </c>
      <c r="GB231" s="16"/>
      <c r="GC231" s="16">
        <f>IFERROR(__xludf.DUMMYFUNCTION("""COMPUTED_VALUE"""),-4.0)</f>
        <v>-4</v>
      </c>
      <c r="GD231" s="16" t="s">
        <v>176</v>
      </c>
    </row>
    <row r="232">
      <c r="A232" s="16">
        <f>IFERROR(__xludf.DUMMYFUNCTION("""COMPUTED_VALUE"""),12819.0)</f>
        <v>12819</v>
      </c>
      <c r="B232" s="16" t="str">
        <f>IFERROR(__xludf.DUMMYFUNCTION("""COMPUTED_VALUE"""),"Francisco Alvarez")</f>
        <v>Francisco Alvarez</v>
      </c>
      <c r="C232" s="16">
        <f>IFERROR(__xludf.DUMMYFUNCTION("""COMPUTED_VALUE"""),0.68)</f>
        <v>0.68</v>
      </c>
      <c r="D232" s="16" t="str">
        <f>IFERROR(__xludf.DUMMYFUNCTION("""COMPUTED_VALUE"""),"R")</f>
        <v>R</v>
      </c>
      <c r="E232" s="16"/>
      <c r="F232" s="16"/>
      <c r="G232" s="16">
        <f>IFERROR(__xludf.DUMMYFUNCTION("""COMPUTED_VALUE"""),308.0)</f>
        <v>308</v>
      </c>
      <c r="H232" s="16">
        <f>IFERROR(__xludf.DUMMYFUNCTION("""COMPUTED_VALUE"""),30.0)</f>
        <v>30</v>
      </c>
      <c r="I232" s="16" t="str">
        <f>IFERROR(__xludf.DUMMYFUNCTION("""COMPUTED_VALUE"""),"5p50")</f>
        <v>5p50</v>
      </c>
      <c r="J232" s="16">
        <f>IFERROR(__xludf.DUMMYFUNCTION("""COMPUTED_VALUE"""),15.0)</f>
        <v>15</v>
      </c>
      <c r="K232" s="16">
        <f>IFERROR(__xludf.DUMMYFUNCTION("""COMPUTED_VALUE"""),34.0)</f>
        <v>34</v>
      </c>
      <c r="L232" s="16">
        <f>IFERROR(__xludf.DUMMYFUNCTION("""COMPUTED_VALUE"""),1.0)</f>
        <v>1</v>
      </c>
      <c r="M232" s="16">
        <f>IFERROR(__xludf.DUMMYFUNCTION("""COMPUTED_VALUE"""),-1.0)</f>
        <v>-1</v>
      </c>
      <c r="N232" s="16">
        <f>IFERROR(__xludf.DUMMYFUNCTION("""COMPUTED_VALUE"""),1.0)</f>
        <v>1</v>
      </c>
      <c r="O232" s="16">
        <f>IFERROR(__xludf.DUMMYFUNCTION("""COMPUTED_VALUE"""),-1.0)</f>
        <v>-1</v>
      </c>
      <c r="P232" s="16">
        <f>IFERROR(__xludf.DUMMYFUNCTION("""COMPUTED_VALUE"""),20.0)</f>
        <v>20</v>
      </c>
      <c r="Q232" s="16">
        <f>IFERROR(__xludf.DUMMYFUNCTION("""COMPUTED_VALUE"""),8.0)</f>
        <v>8</v>
      </c>
      <c r="R232" s="16">
        <f>IFERROR(__xludf.DUMMYFUNCTION("""COMPUTED_VALUE"""),3.0)</f>
        <v>3</v>
      </c>
      <c r="S232" s="16">
        <f>IFERROR(__xludf.DUMMYFUNCTION("""COMPUTED_VALUE"""),0.0)</f>
        <v>0</v>
      </c>
      <c r="T232" s="16">
        <f>IFERROR(__xludf.DUMMYFUNCTION("""COMPUTED_VALUE"""),3.0)</f>
        <v>3</v>
      </c>
      <c r="U232" s="16">
        <f>IFERROR(__xludf.DUMMYFUNCTION("""COMPUTED_VALUE"""),0.0)</f>
        <v>0</v>
      </c>
      <c r="V232" s="16">
        <f>IFERROR(__xludf.DUMMYFUNCTION("""COMPUTED_VALUE"""),13.3)</f>
        <v>13.3</v>
      </c>
      <c r="W232" s="16">
        <f>IFERROR(__xludf.DUMMYFUNCTION("""COMPUTED_VALUE"""),20.3)</f>
        <v>20.3</v>
      </c>
      <c r="X232" s="16">
        <f>IFERROR(__xludf.DUMMYFUNCTION("""COMPUTED_VALUE"""),-1.0)</f>
        <v>-1</v>
      </c>
      <c r="Y232" s="16">
        <f>IFERROR(__xludf.DUMMYFUNCTION("""COMPUTED_VALUE"""),0.0)</f>
        <v>0</v>
      </c>
      <c r="Z232" s="16">
        <f>IFERROR(__xludf.DUMMYFUNCTION("""COMPUTED_VALUE"""),-2.0)</f>
        <v>-2</v>
      </c>
      <c r="AA232" s="16">
        <f>IFERROR(__xludf.DUMMYFUNCTION("""COMPUTED_VALUE"""),0.0)</f>
        <v>0</v>
      </c>
      <c r="AB232" s="16">
        <f>IFERROR(__xludf.DUMMYFUNCTION("""COMPUTED_VALUE"""),34.3)</f>
        <v>34.3</v>
      </c>
      <c r="AC232" s="16">
        <f>IFERROR(__xludf.DUMMYFUNCTION("""COMPUTED_VALUE"""),29.3)</f>
        <v>29.3</v>
      </c>
      <c r="AD232" s="16">
        <f>IFERROR(__xludf.DUMMYFUNCTION("""COMPUTED_VALUE"""),0.0)</f>
        <v>0</v>
      </c>
      <c r="AE232" s="16">
        <f>IFERROR(__xludf.DUMMYFUNCTION("""COMPUTED_VALUE"""),0.0)</f>
        <v>0</v>
      </c>
      <c r="AF232" s="16">
        <f>IFERROR(__xludf.DUMMYFUNCTION("""COMPUTED_VALUE"""),0.0)</f>
        <v>0</v>
      </c>
      <c r="AG232" s="16">
        <f>IFERROR(__xludf.DUMMYFUNCTION("""COMPUTED_VALUE"""),0.0)</f>
        <v>0</v>
      </c>
      <c r="AH232" s="16">
        <f>IFERROR(__xludf.DUMMYFUNCTION("""COMPUTED_VALUE"""),28.7)</f>
        <v>28.7</v>
      </c>
      <c r="AI232" s="16">
        <f>IFERROR(__xludf.DUMMYFUNCTION("""COMPUTED_VALUE"""),32.3)</f>
        <v>32.3</v>
      </c>
      <c r="AJ232" s="16">
        <f>IFERROR(__xludf.DUMMYFUNCTION("""COMPUTED_VALUE"""),0.0)</f>
        <v>0</v>
      </c>
      <c r="AK232" s="16">
        <f>IFERROR(__xludf.DUMMYFUNCTION("""COMPUTED_VALUE"""),0.0)</f>
        <v>0</v>
      </c>
      <c r="AL232" s="16">
        <f>IFERROR(__xludf.DUMMYFUNCTION("""COMPUTED_VALUE"""),0.0)</f>
        <v>0</v>
      </c>
      <c r="AM232" s="16">
        <f>IFERROR(__xludf.DUMMYFUNCTION("""COMPUTED_VALUE"""),0.0)</f>
        <v>0</v>
      </c>
      <c r="AN232" s="16">
        <f>IFERROR(__xludf.DUMMYFUNCTION("""COMPUTED_VALUE"""),5.2)</f>
        <v>5.2</v>
      </c>
      <c r="AO232" s="16">
        <f>IFERROR(__xludf.DUMMYFUNCTION("""COMPUTED_VALUE"""),1.3)</f>
        <v>1.3</v>
      </c>
      <c r="AP232" s="16">
        <f>IFERROR(__xludf.DUMMYFUNCTION("""COMPUTED_VALUE"""),3.0)</f>
        <v>3</v>
      </c>
      <c r="AQ232" s="16">
        <f>IFERROR(__xludf.DUMMYFUNCTION("""COMPUTED_VALUE"""),-1.0)</f>
        <v>-1</v>
      </c>
      <c r="AR232" s="16">
        <f>IFERROR(__xludf.DUMMYFUNCTION("""COMPUTED_VALUE"""),6.0)</f>
        <v>6</v>
      </c>
      <c r="AS232" s="16">
        <f>IFERROR(__xludf.DUMMYFUNCTION("""COMPUTED_VALUE"""),-2.0)</f>
        <v>-2</v>
      </c>
      <c r="AT232" s="16">
        <f>IFERROR(__xludf.DUMMYFUNCTION("""COMPUTED_VALUE"""),8.0)</f>
        <v>8</v>
      </c>
      <c r="AU232" s="16">
        <f>IFERROR(__xludf.DUMMYFUNCTION("""COMPUTED_VALUE"""),1.0)</f>
        <v>1</v>
      </c>
      <c r="AV232" s="16">
        <f>IFERROR(__xludf.DUMMYFUNCTION("""COMPUTED_VALUE"""),8.0)</f>
        <v>8</v>
      </c>
      <c r="AW232" s="16">
        <f>IFERROR(__xludf.DUMMYFUNCTION("""COMPUTED_VALUE"""),1.0)</f>
        <v>1</v>
      </c>
      <c r="AX232" s="16">
        <f>IFERROR(__xludf.DUMMYFUNCTION("""COMPUTED_VALUE"""),3.0)</f>
        <v>3</v>
      </c>
      <c r="AY232" s="16">
        <f>IFERROR(__xludf.DUMMYFUNCTION("""COMPUTED_VALUE"""),-1.0)</f>
        <v>-1</v>
      </c>
      <c r="AZ232" s="16">
        <f>IFERROR(__xludf.DUMMYFUNCTION("""COMPUTED_VALUE"""),9.0)</f>
        <v>9</v>
      </c>
      <c r="BA232" s="16">
        <f>IFERROR(__xludf.DUMMYFUNCTION("""COMPUTED_VALUE"""),-3.0)</f>
        <v>-3</v>
      </c>
      <c r="BB232" s="16">
        <f>IFERROR(__xludf.DUMMYFUNCTION("""COMPUTED_VALUE"""),5.0)</f>
        <v>5</v>
      </c>
      <c r="BC232" s="16">
        <f>IFERROR(__xludf.DUMMYFUNCTION("""COMPUTED_VALUE"""),5.0)</f>
        <v>5</v>
      </c>
      <c r="BD232" s="16">
        <f>IFERROR(__xludf.DUMMYFUNCTION("""COMPUTED_VALUE"""),1.0)</f>
        <v>1</v>
      </c>
      <c r="BE232" s="16">
        <f>IFERROR(__xludf.DUMMYFUNCTION("""COMPUTED_VALUE"""),1.0)</f>
        <v>1</v>
      </c>
      <c r="BF232" s="16">
        <f>IFERROR(__xludf.DUMMYFUNCTION("""COMPUTED_VALUE"""),1.0)</f>
        <v>1</v>
      </c>
      <c r="BG232" s="16">
        <f>IFERROR(__xludf.DUMMYFUNCTION("""COMPUTED_VALUE"""),1.0)</f>
        <v>1</v>
      </c>
      <c r="BH232" s="16">
        <f>IFERROR(__xludf.DUMMYFUNCTION("""COMPUTED_VALUE"""),-3.0)</f>
        <v>-3</v>
      </c>
      <c r="BI232" s="16">
        <f>IFERROR(__xludf.DUMMYFUNCTION("""COMPUTED_VALUE"""),-3.0)</f>
        <v>-3</v>
      </c>
      <c r="BJ232" s="16">
        <f>IFERROR(__xludf.DUMMYFUNCTION("""COMPUTED_VALUE"""),14.0)</f>
        <v>14</v>
      </c>
      <c r="BK232" s="16">
        <f>IFERROR(__xludf.DUMMYFUNCTION("""COMPUTED_VALUE"""),17.0)</f>
        <v>17</v>
      </c>
      <c r="BL232" s="16">
        <f>IFERROR(__xludf.DUMMYFUNCTION("""COMPUTED_VALUE"""),0.0)</f>
        <v>0</v>
      </c>
      <c r="BM232" s="16">
        <f>IFERROR(__xludf.DUMMYFUNCTION("""COMPUTED_VALUE"""),-1.0)</f>
        <v>-1</v>
      </c>
      <c r="BN232" s="16">
        <f>IFERROR(__xludf.DUMMYFUNCTION("""COMPUTED_VALUE"""),0.0)</f>
        <v>0</v>
      </c>
      <c r="BO232" s="16">
        <f>IFERROR(__xludf.DUMMYFUNCTION("""COMPUTED_VALUE"""),-2.0)</f>
        <v>-2</v>
      </c>
      <c r="BP232" s="16">
        <f>IFERROR(__xludf.DUMMYFUNCTION("""COMPUTED_VALUE"""),10.0)</f>
        <v>10</v>
      </c>
      <c r="BQ232" s="16">
        <f>IFERROR(__xludf.DUMMYFUNCTION("""COMPUTED_VALUE"""),-3.0)</f>
        <v>-3</v>
      </c>
      <c r="BR232" s="16">
        <f>IFERROR(__xludf.DUMMYFUNCTION("""COMPUTED_VALUE"""),7.0)</f>
        <v>7</v>
      </c>
      <c r="BS232" s="16" t="str">
        <f>IFERROR(__xludf.DUMMYFUNCTION("""COMPUTED_VALUE"""),"5/12 (13-5)")</f>
        <v>5/12 (13-5)</v>
      </c>
      <c r="BT232" s="16" t="str">
        <f>IFERROR(__xludf.DUMMYFUNCTION("""COMPUTED_VALUE"""),"E")</f>
        <v>E</v>
      </c>
      <c r="BU232" s="16">
        <f>IFERROR(__xludf.DUMMYFUNCTION("""COMPUTED_VALUE"""),10.0)</f>
        <v>10</v>
      </c>
      <c r="BV232" s="16">
        <f>IFERROR(__xludf.DUMMYFUNCTION("""COMPUTED_VALUE"""),0.0)</f>
        <v>0</v>
      </c>
      <c r="BW232" s="16">
        <f>IFERROR(__xludf.DUMMYFUNCTION("""COMPUTED_VALUE"""),0.0)</f>
        <v>0</v>
      </c>
      <c r="BX232" s="16">
        <f>IFERROR(__xludf.DUMMYFUNCTION("""COMPUTED_VALUE"""),0.0)</f>
        <v>0</v>
      </c>
      <c r="BY232" s="16">
        <f>IFERROR(__xludf.DUMMYFUNCTION("""COMPUTED_VALUE"""),0.0)</f>
        <v>0</v>
      </c>
      <c r="BZ232" s="16" t="str">
        <f>IFERROR(__xludf.DUMMYFUNCTION("""COMPUTED_VALUE"""),"D")</f>
        <v>D</v>
      </c>
      <c r="CA232" s="16" t="str">
        <f>IFERROR(__xludf.DUMMYFUNCTION("""COMPUTED_VALUE"""),"D")</f>
        <v>D</v>
      </c>
      <c r="CB232" s="16">
        <f>IFERROR(__xludf.DUMMYFUNCTION("""COMPUTED_VALUE"""),0.0)</f>
        <v>0</v>
      </c>
      <c r="CC232" s="16">
        <f>IFERROR(__xludf.DUMMYFUNCTION("""COMPUTED_VALUE"""),0.0)</f>
        <v>0</v>
      </c>
      <c r="CD232" s="16">
        <f>IFERROR(__xludf.DUMMYFUNCTION("""COMPUTED_VALUE"""),0.0)</f>
        <v>0</v>
      </c>
      <c r="CE232" s="16">
        <f>IFERROR(__xludf.DUMMYFUNCTION("""COMPUTED_VALUE"""),0.0)</f>
        <v>0</v>
      </c>
      <c r="CF232" s="16">
        <f>IFERROR(__xludf.DUMMYFUNCTION("""COMPUTED_VALUE"""),5.0)</f>
        <v>5</v>
      </c>
      <c r="CG232" s="16">
        <f>IFERROR(__xludf.DUMMYFUNCTION("""COMPUTED_VALUE"""),18.0)</f>
        <v>18</v>
      </c>
      <c r="CH232" s="16">
        <f>IFERROR(__xludf.DUMMYFUNCTION("""COMPUTED_VALUE"""),-7.0)</f>
        <v>-7</v>
      </c>
      <c r="CI232" s="179">
        <f>IFERROR(__xludf.DUMMYFUNCTION("""COMPUTED_VALUE"""),-3.0)</f>
        <v>-3</v>
      </c>
      <c r="CJ232" s="16">
        <f>IFERROR(__xludf.DUMMYFUNCTION("""COMPUTED_VALUE"""),404.0)</f>
        <v>404</v>
      </c>
      <c r="CK232" s="16"/>
      <c r="CL232" s="16"/>
      <c r="CM232" s="16"/>
      <c r="CN232" s="16"/>
      <c r="CO232" s="16"/>
      <c r="CP232" s="16"/>
      <c r="CQ232" s="16"/>
      <c r="CR232" s="16" t="str">
        <f>IFERROR(__xludf.DUMMYFUNCTION("""COMPUTED_VALUE"""),"c-4(0)e4,T-7(pb-4)")</f>
        <v>c-4(0)e4,T-7(pb-4)</v>
      </c>
      <c r="CS232" s="16">
        <f>IFERROR(__xludf.DUMMYFUNCTION("""COMPUTED_VALUE"""),4.0)</f>
        <v>4</v>
      </c>
      <c r="CT232" s="16"/>
      <c r="CU232" s="16"/>
      <c r="CV232" s="16"/>
      <c r="CW232" s="16"/>
      <c r="CX232" s="16"/>
      <c r="CY232" s="16"/>
      <c r="CZ232" s="16"/>
      <c r="DA232" s="16">
        <f>IFERROR(__xludf.DUMMYFUNCTION("""COMPUTED_VALUE"""),4.0)</f>
        <v>4</v>
      </c>
      <c r="DB232" s="16"/>
      <c r="DC232" s="16"/>
      <c r="DD232" s="16"/>
      <c r="DE232" s="16"/>
      <c r="DF232" s="16"/>
      <c r="DG232" s="16"/>
      <c r="DH232" s="16"/>
      <c r="DI232" s="16">
        <f>IFERROR(__xludf.DUMMYFUNCTION("""COMPUTED_VALUE"""),-2.0)</f>
        <v>-2</v>
      </c>
      <c r="DJ232" s="16"/>
      <c r="DK232" s="16"/>
      <c r="DL232" s="16"/>
      <c r="DM232" s="16"/>
      <c r="DN232" s="16"/>
      <c r="DO232" s="16"/>
      <c r="DP232" s="16"/>
      <c r="DQ232" s="16">
        <f>IFERROR(__xludf.DUMMYFUNCTION("""COMPUTED_VALUE"""),3.0)</f>
        <v>3</v>
      </c>
      <c r="DR232" s="16"/>
      <c r="DS232" s="16"/>
      <c r="DT232" s="16"/>
      <c r="DU232" s="16"/>
      <c r="DV232" s="16"/>
      <c r="DW232" s="16"/>
      <c r="DX232" s="16"/>
      <c r="DY232" s="16">
        <f>IFERROR(__xludf.DUMMYFUNCTION("""COMPUTED_VALUE"""),1.0)</f>
        <v>1</v>
      </c>
      <c r="DZ232" s="16"/>
      <c r="EA232" s="16"/>
      <c r="EB232" s="16"/>
      <c r="EC232" s="16"/>
      <c r="ED232" s="16"/>
      <c r="EE232" s="16"/>
      <c r="EF232" s="16"/>
      <c r="EG232" s="179">
        <f>IFERROR(__xludf.DUMMYFUNCTION("""COMPUTED_VALUE"""),-2.0)</f>
        <v>-2</v>
      </c>
      <c r="EH232" s="179"/>
      <c r="EI232" s="179"/>
      <c r="EJ232" s="179"/>
      <c r="EK232" s="179"/>
      <c r="EL232" s="179"/>
      <c r="EM232" s="179"/>
      <c r="EN232" s="179"/>
      <c r="EO232" s="16">
        <f>IFERROR(__xludf.DUMMYFUNCTION("""COMPUTED_VALUE"""),0.0)</f>
        <v>0</v>
      </c>
      <c r="EP232" s="16"/>
      <c r="EQ232" s="16">
        <f>IFERROR(__xludf.DUMMYFUNCTION("""COMPUTED_VALUE"""),-2.0)</f>
        <v>-2</v>
      </c>
      <c r="ER232" s="16">
        <f>IFERROR(__xludf.DUMMYFUNCTION("""COMPUTED_VALUE"""),0.0)</f>
        <v>0</v>
      </c>
      <c r="ES232" s="16" t="str">
        <f>IFERROR(__xludf.DUMMYFUNCTION("""COMPUTED_VALUE"""),"c-4")</f>
        <v>c-4</v>
      </c>
      <c r="ET232" s="16" t="str">
        <f>IFERROR(__xludf.DUMMYFUNCTION("""COMPUTED_VALUE"""),"0)e4,T-7")</f>
        <v>0)e4,T-7</v>
      </c>
      <c r="EU232" s="16" t="str">
        <f>IFERROR(__xludf.DUMMYFUNCTION("""COMPUTED_VALUE"""),"pb-4)")</f>
        <v>pb-4)</v>
      </c>
      <c r="EV232" s="16"/>
      <c r="EW232" s="16">
        <f>IFERROR(__xludf.DUMMYFUNCTION("""COMPUTED_VALUE"""),0.0)</f>
        <v>0</v>
      </c>
      <c r="EX232" s="180">
        <f>IFERROR(__xludf.DUMMYFUNCTION("""COMPUTED_VALUE"""),0.3)</f>
        <v>0.3</v>
      </c>
      <c r="EY232" s="180"/>
      <c r="EZ232" s="180"/>
      <c r="FA232" s="180"/>
      <c r="FB232" s="180"/>
      <c r="FC232" s="180"/>
      <c r="FD232" s="180"/>
      <c r="FE232" s="180"/>
      <c r="FF232" s="180">
        <f>IFERROR(__xludf.DUMMYFUNCTION("""COMPUTED_VALUE"""),0.047)</f>
        <v>0.047</v>
      </c>
      <c r="FG232" s="180"/>
      <c r="FH232" s="180"/>
      <c r="FI232" s="180"/>
      <c r="FJ232" s="180"/>
      <c r="FK232" s="180"/>
      <c r="FL232" s="180"/>
      <c r="FM232" s="180"/>
      <c r="FN232" s="16">
        <f>IFERROR(__xludf.DUMMYFUNCTION("""COMPUTED_VALUE"""),0.6670999999999999)</f>
        <v>0.6671</v>
      </c>
      <c r="FO232" s="16"/>
      <c r="FP232" s="16"/>
      <c r="FQ232" s="16"/>
      <c r="FR232" s="16"/>
      <c r="FS232" s="16"/>
      <c r="FT232" s="16"/>
      <c r="FU232" s="16"/>
      <c r="FV232" s="16">
        <f>IFERROR(__xludf.DUMMYFUNCTION("""COMPUTED_VALUE"""),-4.0)</f>
        <v>-4</v>
      </c>
      <c r="FW232" s="16"/>
      <c r="FX232" s="16"/>
      <c r="FY232" s="16"/>
      <c r="FZ232" s="16"/>
      <c r="GA232" s="16"/>
      <c r="GB232" s="16"/>
      <c r="GC232" s="16"/>
      <c r="GD232" s="16" t="s">
        <v>387</v>
      </c>
    </row>
    <row r="233">
      <c r="A233" s="16">
        <f>IFERROR(__xludf.DUMMYFUNCTION("""COMPUTED_VALUE"""),13185.0)</f>
        <v>13185</v>
      </c>
      <c r="B233" s="16" t="str">
        <f>IFERROR(__xludf.DUMMYFUNCTION("""COMPUTED_VALUE"""),"Max Schuemann")</f>
        <v>Max Schuemann</v>
      </c>
      <c r="C233" s="16">
        <f>IFERROR(__xludf.DUMMYFUNCTION("""COMPUTED_VALUE"""),0.31)</f>
        <v>0.31</v>
      </c>
      <c r="D233" s="16" t="str">
        <f>IFERROR(__xludf.DUMMYFUNCTION("""COMPUTED_VALUE"""),"R")</f>
        <v>R</v>
      </c>
      <c r="E233" s="16"/>
      <c r="F233" s="16"/>
      <c r="G233" s="16">
        <f>IFERROR(__xludf.DUMMYFUNCTION("""COMPUTED_VALUE"""),396.0)</f>
        <v>396</v>
      </c>
      <c r="H233" s="16">
        <f>IFERROR(__xludf.DUMMYFUNCTION("""COMPUTED_VALUE"""),47.0)</f>
        <v>47</v>
      </c>
      <c r="I233" s="16" t="str">
        <f>IFERROR(__xludf.DUMMYFUNCTION("""COMPUTED_VALUE"""),"1p60")</f>
        <v>1p60</v>
      </c>
      <c r="J233" s="16">
        <f>IFERROR(__xludf.DUMMYFUNCTION("""COMPUTED_VALUE"""),31.0)</f>
        <v>31</v>
      </c>
      <c r="K233" s="16">
        <f>IFERROR(__xludf.DUMMYFUNCTION("""COMPUTED_VALUE"""),31.0)</f>
        <v>31</v>
      </c>
      <c r="L233" s="16">
        <f>IFERROR(__xludf.DUMMYFUNCTION("""COMPUTED_VALUE"""),0.0)</f>
        <v>0</v>
      </c>
      <c r="M233" s="16">
        <f>IFERROR(__xludf.DUMMYFUNCTION("""COMPUTED_VALUE"""),-1.0)</f>
        <v>-1</v>
      </c>
      <c r="N233" s="16">
        <f>IFERROR(__xludf.DUMMYFUNCTION("""COMPUTED_VALUE"""),0.0)</f>
        <v>0</v>
      </c>
      <c r="O233" s="16">
        <f>IFERROR(__xludf.DUMMYFUNCTION("""COMPUTED_VALUE"""),-1.0)</f>
        <v>-1</v>
      </c>
      <c r="P233" s="16">
        <f>IFERROR(__xludf.DUMMYFUNCTION("""COMPUTED_VALUE"""),16.0)</f>
        <v>16</v>
      </c>
      <c r="Q233" s="16">
        <f>IFERROR(__xludf.DUMMYFUNCTION("""COMPUTED_VALUE"""),14.0)</f>
        <v>14</v>
      </c>
      <c r="R233" s="16">
        <f>IFERROR(__xludf.DUMMYFUNCTION("""COMPUTED_VALUE"""),2.0)</f>
        <v>2</v>
      </c>
      <c r="S233" s="16">
        <f>IFERROR(__xludf.DUMMYFUNCTION("""COMPUTED_VALUE"""),2.0)</f>
        <v>2</v>
      </c>
      <c r="T233" s="16">
        <f>IFERROR(__xludf.DUMMYFUNCTION("""COMPUTED_VALUE"""),2.0)</f>
        <v>2</v>
      </c>
      <c r="U233" s="16">
        <f>IFERROR(__xludf.DUMMYFUNCTION("""COMPUTED_VALUE"""),2.0)</f>
        <v>2</v>
      </c>
      <c r="V233" s="16">
        <f>IFERROR(__xludf.DUMMYFUNCTION("""COMPUTED_VALUE"""),10.4)</f>
        <v>10.4</v>
      </c>
      <c r="W233" s="16">
        <f>IFERROR(__xludf.DUMMYFUNCTION("""COMPUTED_VALUE"""),16.9)</f>
        <v>16.9</v>
      </c>
      <c r="X233" s="16">
        <f>IFERROR(__xludf.DUMMYFUNCTION("""COMPUTED_VALUE"""),-1.0)</f>
        <v>-1</v>
      </c>
      <c r="Y233" s="16">
        <f>IFERROR(__xludf.DUMMYFUNCTION("""COMPUTED_VALUE"""),-1.0)</f>
        <v>-1</v>
      </c>
      <c r="Z233" s="16">
        <f>IFERROR(__xludf.DUMMYFUNCTION("""COMPUTED_VALUE"""),-2.0)</f>
        <v>-2</v>
      </c>
      <c r="AA233" s="16">
        <f>IFERROR(__xludf.DUMMYFUNCTION("""COMPUTED_VALUE"""),-2.0)</f>
        <v>-2</v>
      </c>
      <c r="AB233" s="16">
        <f>IFERROR(__xludf.DUMMYFUNCTION("""COMPUTED_VALUE"""),30.4)</f>
        <v>30.4</v>
      </c>
      <c r="AC233" s="16">
        <f>IFERROR(__xludf.DUMMYFUNCTION("""COMPUTED_VALUE"""),34.9)</f>
        <v>34.9</v>
      </c>
      <c r="AD233" s="16">
        <f>IFERROR(__xludf.DUMMYFUNCTION("""COMPUTED_VALUE"""),0.0)</f>
        <v>0</v>
      </c>
      <c r="AE233" s="16">
        <f>IFERROR(__xludf.DUMMYFUNCTION("""COMPUTED_VALUE"""),1.0)</f>
        <v>1</v>
      </c>
      <c r="AF233" s="16">
        <f>IFERROR(__xludf.DUMMYFUNCTION("""COMPUTED_VALUE"""),0.0)</f>
        <v>0</v>
      </c>
      <c r="AG233" s="16">
        <f>IFERROR(__xludf.DUMMYFUNCTION("""COMPUTED_VALUE"""),5.0)</f>
        <v>5</v>
      </c>
      <c r="AH233" s="16">
        <f>IFERROR(__xludf.DUMMYFUNCTION("""COMPUTED_VALUE"""),14.7)</f>
        <v>14.7</v>
      </c>
      <c r="AI233" s="16">
        <f>IFERROR(__xludf.DUMMYFUNCTION("""COMPUTED_VALUE"""),26.7)</f>
        <v>26.7</v>
      </c>
      <c r="AJ233" s="16">
        <f>IFERROR(__xludf.DUMMYFUNCTION("""COMPUTED_VALUE"""),-1.0)</f>
        <v>-1</v>
      </c>
      <c r="AK233" s="16">
        <f>IFERROR(__xludf.DUMMYFUNCTION("""COMPUTED_VALUE"""),-1.0)</f>
        <v>-1</v>
      </c>
      <c r="AL233" s="16">
        <f>IFERROR(__xludf.DUMMYFUNCTION("""COMPUTED_VALUE"""),-5.0)</f>
        <v>-5</v>
      </c>
      <c r="AM233" s="16">
        <f>IFERROR(__xludf.DUMMYFUNCTION("""COMPUTED_VALUE"""),-5.0)</f>
        <v>-5</v>
      </c>
      <c r="AN233" s="16">
        <f>IFERROR(__xludf.DUMMYFUNCTION("""COMPUTED_VALUE"""),0.4)</f>
        <v>0.4</v>
      </c>
      <c r="AO233" s="16">
        <f>IFERROR(__xludf.DUMMYFUNCTION("""COMPUTED_VALUE"""),2.8)</f>
        <v>2.8</v>
      </c>
      <c r="AP233" s="16">
        <f>IFERROR(__xludf.DUMMYFUNCTION("""COMPUTED_VALUE"""),-2.0)</f>
        <v>-2</v>
      </c>
      <c r="AQ233" s="16">
        <f>IFERROR(__xludf.DUMMYFUNCTION("""COMPUTED_VALUE"""),0.0)</f>
        <v>0</v>
      </c>
      <c r="AR233" s="16">
        <f>IFERROR(__xludf.DUMMYFUNCTION("""COMPUTED_VALUE"""),-4.0)</f>
        <v>-4</v>
      </c>
      <c r="AS233" s="16">
        <f>IFERROR(__xludf.DUMMYFUNCTION("""COMPUTED_VALUE"""),0.0)</f>
        <v>0</v>
      </c>
      <c r="AT233" s="16">
        <f>IFERROR(__xludf.DUMMYFUNCTION("""COMPUTED_VALUE"""),1.0)</f>
        <v>1</v>
      </c>
      <c r="AU233" s="16"/>
      <c r="AV233" s="16">
        <f>IFERROR(__xludf.DUMMYFUNCTION("""COMPUTED_VALUE"""),1.0)</f>
        <v>1</v>
      </c>
      <c r="AW233" s="16">
        <f>IFERROR(__xludf.DUMMYFUNCTION("""COMPUTED_VALUE"""),-3.0)</f>
        <v>-3</v>
      </c>
      <c r="AX233" s="16">
        <f>IFERROR(__xludf.DUMMYFUNCTION("""COMPUTED_VALUE"""),-1.0)</f>
        <v>-1</v>
      </c>
      <c r="AY233" s="16">
        <f>IFERROR(__xludf.DUMMYFUNCTION("""COMPUTED_VALUE"""),-3.0)</f>
        <v>-3</v>
      </c>
      <c r="AZ233" s="16">
        <f>IFERROR(__xludf.DUMMYFUNCTION("""COMPUTED_VALUE"""),-3.0)</f>
        <v>-3</v>
      </c>
      <c r="BA233" s="16">
        <f>IFERROR(__xludf.DUMMYFUNCTION("""COMPUTED_VALUE"""),-9.0)</f>
        <v>-9</v>
      </c>
      <c r="BB233" s="16">
        <f>IFERROR(__xludf.DUMMYFUNCTION("""COMPUTED_VALUE"""),5.0)</f>
        <v>5</v>
      </c>
      <c r="BC233" s="16">
        <f>IFERROR(__xludf.DUMMYFUNCTION("""COMPUTED_VALUE"""),5.0)</f>
        <v>5</v>
      </c>
      <c r="BD233" s="16">
        <f>IFERROR(__xludf.DUMMYFUNCTION("""COMPUTED_VALUE"""),1.0)</f>
        <v>1</v>
      </c>
      <c r="BE233" s="16">
        <f>IFERROR(__xludf.DUMMYFUNCTION("""COMPUTED_VALUE"""),1.0)</f>
        <v>1</v>
      </c>
      <c r="BF233" s="16">
        <f>IFERROR(__xludf.DUMMYFUNCTION("""COMPUTED_VALUE"""),1.0)</f>
        <v>1</v>
      </c>
      <c r="BG233" s="16">
        <f>IFERROR(__xludf.DUMMYFUNCTION("""COMPUTED_VALUE"""),1.0)</f>
        <v>1</v>
      </c>
      <c r="BH233" s="16">
        <f>IFERROR(__xludf.DUMMYFUNCTION("""COMPUTED_VALUE"""),-5.0)</f>
        <v>-5</v>
      </c>
      <c r="BI233" s="16">
        <f>IFERROR(__xludf.DUMMYFUNCTION("""COMPUTED_VALUE"""),-8.0)</f>
        <v>-8</v>
      </c>
      <c r="BJ233" s="16">
        <f>IFERROR(__xludf.DUMMYFUNCTION("""COMPUTED_VALUE"""),12.0)</f>
        <v>12</v>
      </c>
      <c r="BK233" s="16">
        <f>IFERROR(__xludf.DUMMYFUNCTION("""COMPUTED_VALUE"""),14.0)</f>
        <v>14</v>
      </c>
      <c r="BL233" s="16">
        <f>IFERROR(__xludf.DUMMYFUNCTION("""COMPUTED_VALUE"""),0.0)</f>
        <v>0</v>
      </c>
      <c r="BM233" s="16">
        <f>IFERROR(__xludf.DUMMYFUNCTION("""COMPUTED_VALUE"""),0.0)</f>
        <v>0</v>
      </c>
      <c r="BN233" s="16">
        <f>IFERROR(__xludf.DUMMYFUNCTION("""COMPUTED_VALUE"""),0.0)</f>
        <v>0</v>
      </c>
      <c r="BO233" s="16">
        <f>IFERROR(__xludf.DUMMYFUNCTION("""COMPUTED_VALUE"""),0.0)</f>
        <v>0</v>
      </c>
      <c r="BP233" s="16">
        <f>IFERROR(__xludf.DUMMYFUNCTION("""COMPUTED_VALUE"""),-2.0)</f>
        <v>-2</v>
      </c>
      <c r="BQ233" s="16">
        <f>IFERROR(__xludf.DUMMYFUNCTION("""COMPUTED_VALUE"""),-2.0)</f>
        <v>-2</v>
      </c>
      <c r="BR233" s="16">
        <f>IFERROR(__xludf.DUMMYFUNCTION("""COMPUTED_VALUE"""),-4.0)</f>
        <v>-4</v>
      </c>
      <c r="BS233" s="16" t="str">
        <f>IFERROR(__xludf.DUMMYFUNCTION("""COMPUTED_VALUE"""),"*6/- (19-11)")</f>
        <v>*6/- (19-11)</v>
      </c>
      <c r="BT233" s="16" t="str">
        <f>IFERROR(__xludf.DUMMYFUNCTION("""COMPUTED_VALUE"""),"B")</f>
        <v>B</v>
      </c>
      <c r="BU233" s="16">
        <f>IFERROR(__xludf.DUMMYFUNCTION("""COMPUTED_VALUE"""),14.0)</f>
        <v>14</v>
      </c>
      <c r="BV233" s="16">
        <f>IFERROR(__xludf.DUMMYFUNCTION("""COMPUTED_VALUE"""),1.0)</f>
        <v>1</v>
      </c>
      <c r="BW233" s="16">
        <f>IFERROR(__xludf.DUMMYFUNCTION("""COMPUTED_VALUE"""),1.0)</f>
        <v>1</v>
      </c>
      <c r="BX233" s="16">
        <f>IFERROR(__xludf.DUMMYFUNCTION("""COMPUTED_VALUE"""),2.0)</f>
        <v>2</v>
      </c>
      <c r="BY233" s="16">
        <f>IFERROR(__xludf.DUMMYFUNCTION("""COMPUTED_VALUE"""),3.0)</f>
        <v>3</v>
      </c>
      <c r="BZ233" s="16" t="str">
        <f>IFERROR(__xludf.DUMMYFUNCTION("""COMPUTED_VALUE"""),"B")</f>
        <v>B</v>
      </c>
      <c r="CA233" s="16" t="str">
        <f>IFERROR(__xludf.DUMMYFUNCTION("""COMPUTED_VALUE"""),"C")</f>
        <v>C</v>
      </c>
      <c r="CB233" s="16">
        <f>IFERROR(__xludf.DUMMYFUNCTION("""COMPUTED_VALUE"""),1.0)</f>
        <v>1</v>
      </c>
      <c r="CC233" s="16">
        <f>IFERROR(__xludf.DUMMYFUNCTION("""COMPUTED_VALUE"""),0.0)</f>
        <v>0</v>
      </c>
      <c r="CD233" s="16">
        <f>IFERROR(__xludf.DUMMYFUNCTION("""COMPUTED_VALUE"""),1.0)</f>
        <v>1</v>
      </c>
      <c r="CE233" s="16">
        <f>IFERROR(__xludf.DUMMYFUNCTION("""COMPUTED_VALUE"""),0.0)</f>
        <v>0</v>
      </c>
      <c r="CF233" s="16">
        <f>IFERROR(__xludf.DUMMYFUNCTION("""COMPUTED_VALUE"""),1.0)</f>
        <v>1</v>
      </c>
      <c r="CG233" s="16">
        <f>IFERROR(__xludf.DUMMYFUNCTION("""COMPUTED_VALUE"""),-11.0)</f>
        <v>-11</v>
      </c>
      <c r="CH233" s="16">
        <f>IFERROR(__xludf.DUMMYFUNCTION("""COMPUTED_VALUE"""),-9.0)</f>
        <v>-9</v>
      </c>
      <c r="CI233" s="179">
        <f>IFERROR(__xludf.DUMMYFUNCTION("""COMPUTED_VALUE"""),-3.0)</f>
        <v>-3</v>
      </c>
      <c r="CJ233" s="16"/>
      <c r="CK233" s="16"/>
      <c r="CL233" s="16">
        <f>IFERROR(__xludf.DUMMYFUNCTION("""COMPUTED_VALUE"""),316.0)</f>
        <v>316</v>
      </c>
      <c r="CM233" s="16">
        <f>IFERROR(__xludf.DUMMYFUNCTION("""COMPUTED_VALUE"""),422.0)</f>
        <v>422</v>
      </c>
      <c r="CN233" s="16">
        <f>IFERROR(__xludf.DUMMYFUNCTION("""COMPUTED_VALUE"""),322.0)</f>
        <v>322</v>
      </c>
      <c r="CO233" s="16">
        <f>IFERROR(__xludf.DUMMYFUNCTION("""COMPUTED_VALUE"""),409.0)</f>
        <v>409</v>
      </c>
      <c r="CP233" s="16">
        <f>IFERROR(__xludf.DUMMYFUNCTION("""COMPUTED_VALUE"""),409.0)</f>
        <v>409</v>
      </c>
      <c r="CQ233" s="16"/>
      <c r="CR233" s="16" t="str">
        <f>IFERROR(__xludf.DUMMYFUNCTION("""COMPUTED_VALUE"""),"ss-3e22 3b-4e22 2b-3e16 lf-4(+2)e9 cf-4e9")</f>
        <v>ss-3e22 3b-4e22 2b-3e16 lf-4(+2)e9 cf-4e9</v>
      </c>
      <c r="CS233" s="16"/>
      <c r="CT233" s="16"/>
      <c r="CU233" s="16">
        <f>IFERROR(__xludf.DUMMYFUNCTION("""COMPUTED_VALUE"""),3.0)</f>
        <v>3</v>
      </c>
      <c r="CV233" s="16">
        <f>IFERROR(__xludf.DUMMYFUNCTION("""COMPUTED_VALUE"""),4.0)</f>
        <v>4</v>
      </c>
      <c r="CW233" s="16">
        <f>IFERROR(__xludf.DUMMYFUNCTION("""COMPUTED_VALUE"""),3.0)</f>
        <v>3</v>
      </c>
      <c r="CX233" s="16">
        <f>IFERROR(__xludf.DUMMYFUNCTION("""COMPUTED_VALUE"""),4.0)</f>
        <v>4</v>
      </c>
      <c r="CY233" s="16">
        <f>IFERROR(__xludf.DUMMYFUNCTION("""COMPUTED_VALUE"""),4.0)</f>
        <v>4</v>
      </c>
      <c r="CZ233" s="16"/>
      <c r="DA233" s="16"/>
      <c r="DB233" s="16"/>
      <c r="DC233" s="16">
        <f>IFERROR(__xludf.DUMMYFUNCTION("""COMPUTED_VALUE"""),16.0)</f>
        <v>16</v>
      </c>
      <c r="DD233" s="16">
        <f>IFERROR(__xludf.DUMMYFUNCTION("""COMPUTED_VALUE"""),22.0)</f>
        <v>22</v>
      </c>
      <c r="DE233" s="16">
        <f>IFERROR(__xludf.DUMMYFUNCTION("""COMPUTED_VALUE"""),22.0)</f>
        <v>22</v>
      </c>
      <c r="DF233" s="16">
        <f>IFERROR(__xludf.DUMMYFUNCTION("""COMPUTED_VALUE"""),9.0)</f>
        <v>9</v>
      </c>
      <c r="DG233" s="16">
        <f>IFERROR(__xludf.DUMMYFUNCTION("""COMPUTED_VALUE"""),9.0)</f>
        <v>9</v>
      </c>
      <c r="DH233" s="16"/>
      <c r="DI233" s="16"/>
      <c r="DJ233" s="16"/>
      <c r="DK233" s="16">
        <f>IFERROR(__xludf.DUMMYFUNCTION("""COMPUTED_VALUE"""),0.0)</f>
        <v>0</v>
      </c>
      <c r="DL233" s="16">
        <f>IFERROR(__xludf.DUMMYFUNCTION("""COMPUTED_VALUE"""),0.0)</f>
        <v>0</v>
      </c>
      <c r="DM233" s="16">
        <f>IFERROR(__xludf.DUMMYFUNCTION("""COMPUTED_VALUE"""),0.0)</f>
        <v>0</v>
      </c>
      <c r="DN233" s="16">
        <f>IFERROR(__xludf.DUMMYFUNCTION("""COMPUTED_VALUE"""),-1.0)</f>
        <v>-1</v>
      </c>
      <c r="DO233" s="16">
        <f>IFERROR(__xludf.DUMMYFUNCTION("""COMPUTED_VALUE"""),-2.0)</f>
        <v>-2</v>
      </c>
      <c r="DP233" s="16"/>
      <c r="DQ233" s="16"/>
      <c r="DR233" s="16"/>
      <c r="DS233" s="16">
        <f>IFERROR(__xludf.DUMMYFUNCTION("""COMPUTED_VALUE"""),2.0)</f>
        <v>2</v>
      </c>
      <c r="DT233" s="16">
        <f>IFERROR(__xludf.DUMMYFUNCTION("""COMPUTED_VALUE"""),-2.0)</f>
        <v>-2</v>
      </c>
      <c r="DU233" s="16">
        <f>IFERROR(__xludf.DUMMYFUNCTION("""COMPUTED_VALUE"""),0.0)</f>
        <v>0</v>
      </c>
      <c r="DV233" s="16">
        <f>IFERROR(__xludf.DUMMYFUNCTION("""COMPUTED_VALUE"""),0.0)</f>
        <v>0</v>
      </c>
      <c r="DW233" s="16">
        <f>IFERROR(__xludf.DUMMYFUNCTION("""COMPUTED_VALUE"""),2.0)</f>
        <v>2</v>
      </c>
      <c r="DX233" s="16"/>
      <c r="DY233" s="16"/>
      <c r="DZ233" s="16"/>
      <c r="EA233" s="16">
        <f>IFERROR(__xludf.DUMMYFUNCTION("""COMPUTED_VALUE"""),2.0)</f>
        <v>2</v>
      </c>
      <c r="EB233" s="16">
        <f>IFERROR(__xludf.DUMMYFUNCTION("""COMPUTED_VALUE"""),-2.0)</f>
        <v>-2</v>
      </c>
      <c r="EC233" s="16">
        <f>IFERROR(__xludf.DUMMYFUNCTION("""COMPUTED_VALUE"""),0.0)</f>
        <v>0</v>
      </c>
      <c r="ED233" s="16">
        <f>IFERROR(__xludf.DUMMYFUNCTION("""COMPUTED_VALUE"""),-1.0)</f>
        <v>-1</v>
      </c>
      <c r="EE233" s="16">
        <f>IFERROR(__xludf.DUMMYFUNCTION("""COMPUTED_VALUE"""),0.0)</f>
        <v>0</v>
      </c>
      <c r="EF233" s="16"/>
      <c r="EG233" s="179"/>
      <c r="EH233" s="179"/>
      <c r="EI233" s="179">
        <f>IFERROR(__xludf.DUMMYFUNCTION("""COMPUTED_VALUE"""),-1.0)</f>
        <v>-1</v>
      </c>
      <c r="EJ233" s="179">
        <f>IFERROR(__xludf.DUMMYFUNCTION("""COMPUTED_VALUE"""),-5.0)</f>
        <v>-5</v>
      </c>
      <c r="EK233" s="179">
        <f>IFERROR(__xludf.DUMMYFUNCTION("""COMPUTED_VALUE"""),-3.0)</f>
        <v>-3</v>
      </c>
      <c r="EL233" s="179">
        <f>IFERROR(__xludf.DUMMYFUNCTION("""COMPUTED_VALUE"""),-4.0)</f>
        <v>-4</v>
      </c>
      <c r="EM233" s="179">
        <f>IFERROR(__xludf.DUMMYFUNCTION("""COMPUTED_VALUE"""),-3.0)</f>
        <v>-3</v>
      </c>
      <c r="EN233" s="179"/>
      <c r="EO233" s="16"/>
      <c r="EP233" s="16"/>
      <c r="EQ233" s="16">
        <f>IFERROR(__xludf.DUMMYFUNCTION("""COMPUTED_VALUE"""),4.0)</f>
        <v>4</v>
      </c>
      <c r="ER233" s="16">
        <f>IFERROR(__xludf.DUMMYFUNCTION("""COMPUTED_VALUE"""),1.0)</f>
        <v>1</v>
      </c>
      <c r="ES233" s="16"/>
      <c r="ET233" s="16"/>
      <c r="EU233" s="16"/>
      <c r="EV233" s="16"/>
      <c r="EW233" s="16"/>
      <c r="EX233" s="180"/>
      <c r="EY233" s="180"/>
      <c r="EZ233" s="180">
        <f>IFERROR(__xludf.DUMMYFUNCTION("""COMPUTED_VALUE"""),0.2)</f>
        <v>0.2</v>
      </c>
      <c r="FA233" s="180">
        <f>IFERROR(__xludf.DUMMYFUNCTION("""COMPUTED_VALUE"""),0.3)</f>
        <v>0.3</v>
      </c>
      <c r="FB233" s="180">
        <f>IFERROR(__xludf.DUMMYFUNCTION("""COMPUTED_VALUE"""),0.2)</f>
        <v>0.2</v>
      </c>
      <c r="FC233" s="180">
        <f>IFERROR(__xludf.DUMMYFUNCTION("""COMPUTED_VALUE"""),0.55)</f>
        <v>0.55</v>
      </c>
      <c r="FD233" s="180">
        <f>IFERROR(__xludf.DUMMYFUNCTION("""COMPUTED_VALUE"""),0.55)</f>
        <v>0.55</v>
      </c>
      <c r="FE233" s="180"/>
      <c r="FF233" s="180"/>
      <c r="FG233" s="180"/>
      <c r="FH233" s="180">
        <f>IFERROR(__xludf.DUMMYFUNCTION("""COMPUTED_VALUE"""),0.09722222222222222)</f>
        <v>0.09722222222</v>
      </c>
      <c r="FI233" s="180">
        <f>IFERROR(__xludf.DUMMYFUNCTION("""COMPUTED_VALUE"""),0.2638888888888889)</f>
        <v>0.2638888889</v>
      </c>
      <c r="FJ233" s="180">
        <f>IFERROR(__xludf.DUMMYFUNCTION("""COMPUTED_VALUE"""),0.1111111111111111)</f>
        <v>0.1111111111</v>
      </c>
      <c r="FK233" s="180">
        <f>IFERROR(__xludf.DUMMYFUNCTION("""COMPUTED_VALUE"""),0.162)</f>
        <v>0.162</v>
      </c>
      <c r="FL233" s="180">
        <f>IFERROR(__xludf.DUMMYFUNCTION("""COMPUTED_VALUE"""),0.10185185185185185)</f>
        <v>0.1018518519</v>
      </c>
      <c r="FM233" s="180"/>
      <c r="FN233" s="16"/>
      <c r="FO233" s="16"/>
      <c r="FP233" s="16">
        <f>IFERROR(__xludf.DUMMYFUNCTION("""COMPUTED_VALUE"""),0.7222222222222223)</f>
        <v>0.7222222222</v>
      </c>
      <c r="FQ233" s="16">
        <f>IFERROR(__xludf.DUMMYFUNCTION("""COMPUTED_VALUE"""),0.5152777777777778)</f>
        <v>0.5152777778</v>
      </c>
      <c r="FR233" s="16">
        <f>IFERROR(__xludf.DUMMYFUNCTION("""COMPUTED_VALUE"""),0.7111111111111111)</f>
        <v>0.7111111111</v>
      </c>
      <c r="FS233" s="16">
        <f>IFERROR(__xludf.DUMMYFUNCTION("""COMPUTED_VALUE"""),0.37709999999999994)</f>
        <v>0.3771</v>
      </c>
      <c r="FT233" s="16">
        <f>IFERROR(__xludf.DUMMYFUNCTION("""COMPUTED_VALUE"""),0.4041666666666666)</f>
        <v>0.4041666667</v>
      </c>
      <c r="FU233" s="16"/>
      <c r="FV233" s="16"/>
      <c r="FW233" s="16"/>
      <c r="FX233" s="16">
        <f>IFERROR(__xludf.DUMMYFUNCTION("""COMPUTED_VALUE"""),-4.0)</f>
        <v>-4</v>
      </c>
      <c r="FY233" s="16">
        <f>IFERROR(__xludf.DUMMYFUNCTION("""COMPUTED_VALUE"""),-8.0)</f>
        <v>-8</v>
      </c>
      <c r="FZ233" s="16">
        <f>IFERROR(__xludf.DUMMYFUNCTION("""COMPUTED_VALUE"""),-4.0)</f>
        <v>-4</v>
      </c>
      <c r="GA233" s="16">
        <f>IFERROR(__xludf.DUMMYFUNCTION("""COMPUTED_VALUE"""),-8.0)</f>
        <v>-8</v>
      </c>
      <c r="GB233" s="16">
        <f>IFERROR(__xludf.DUMMYFUNCTION("""COMPUTED_VALUE"""),-8.0)</f>
        <v>-8</v>
      </c>
      <c r="GC233" s="16"/>
      <c r="GD233" s="16" t="s">
        <v>176</v>
      </c>
    </row>
    <row r="234">
      <c r="A234" s="16">
        <f>IFERROR(__xludf.DUMMYFUNCTION("""COMPUTED_VALUE"""),13458.0)</f>
        <v>13458</v>
      </c>
      <c r="B234" s="16" t="str">
        <f>IFERROR(__xludf.DUMMYFUNCTION("""COMPUTED_VALUE"""),"Tyler Soderstrom")</f>
        <v>Tyler Soderstrom</v>
      </c>
      <c r="C234" s="16">
        <f>IFERROR(__xludf.DUMMYFUNCTION("""COMPUTED_VALUE"""),0.68)</f>
        <v>0.68</v>
      </c>
      <c r="D234" s="16" t="str">
        <f>IFERROR(__xludf.DUMMYFUNCTION("""COMPUTED_VALUE"""),"L")</f>
        <v>L</v>
      </c>
      <c r="E234" s="16"/>
      <c r="F234" s="16"/>
      <c r="G234" s="16">
        <f>IFERROR(__xludf.DUMMYFUNCTION("""COMPUTED_VALUE"""),189.0)</f>
        <v>189</v>
      </c>
      <c r="H234" s="16">
        <f>IFERROR(__xludf.DUMMYFUNCTION("""COMPUTED_VALUE"""),20.0)</f>
        <v>20</v>
      </c>
      <c r="I234" s="16" t="str">
        <f>IFERROR(__xludf.DUMMYFUNCTION("""COMPUTED_VALUE"""),"5p30")</f>
        <v>5p30</v>
      </c>
      <c r="J234" s="16">
        <f>IFERROR(__xludf.DUMMYFUNCTION("""COMPUTED_VALUE"""),12.0)</f>
        <v>12</v>
      </c>
      <c r="K234" s="16">
        <f>IFERROR(__xludf.DUMMYFUNCTION("""COMPUTED_VALUE"""),31.0)</f>
        <v>31</v>
      </c>
      <c r="L234" s="16">
        <f>IFERROR(__xludf.DUMMYFUNCTION("""COMPUTED_VALUE"""),1.0)</f>
        <v>1</v>
      </c>
      <c r="M234" s="16">
        <f>IFERROR(__xludf.DUMMYFUNCTION("""COMPUTED_VALUE"""),-1.0)</f>
        <v>-1</v>
      </c>
      <c r="N234" s="16">
        <f>IFERROR(__xludf.DUMMYFUNCTION("""COMPUTED_VALUE"""),1.0)</f>
        <v>1</v>
      </c>
      <c r="O234" s="16">
        <f>IFERROR(__xludf.DUMMYFUNCTION("""COMPUTED_VALUE"""),-1.0)</f>
        <v>-1</v>
      </c>
      <c r="P234" s="16">
        <f>IFERROR(__xludf.DUMMYFUNCTION("""COMPUTED_VALUE"""),11.0)</f>
        <v>11</v>
      </c>
      <c r="Q234" s="16">
        <f>IFERROR(__xludf.DUMMYFUNCTION("""COMPUTED_VALUE"""),10.0)</f>
        <v>10</v>
      </c>
      <c r="R234" s="16">
        <f>IFERROR(__xludf.DUMMYFUNCTION("""COMPUTED_VALUE"""),1.0)</f>
        <v>1</v>
      </c>
      <c r="S234" s="16">
        <f>IFERROR(__xludf.DUMMYFUNCTION("""COMPUTED_VALUE"""),0.0)</f>
        <v>0</v>
      </c>
      <c r="T234" s="16">
        <f>IFERROR(__xludf.DUMMYFUNCTION("""COMPUTED_VALUE"""),1.0)</f>
        <v>1</v>
      </c>
      <c r="U234" s="16">
        <f>IFERROR(__xludf.DUMMYFUNCTION("""COMPUTED_VALUE"""),0.0)</f>
        <v>0</v>
      </c>
      <c r="V234" s="16">
        <f>IFERROR(__xludf.DUMMYFUNCTION("""COMPUTED_VALUE"""),13.3)</f>
        <v>13.3</v>
      </c>
      <c r="W234" s="16">
        <f>IFERROR(__xludf.DUMMYFUNCTION("""COMPUTED_VALUE"""),17.5)</f>
        <v>17.5</v>
      </c>
      <c r="X234" s="16">
        <f>IFERROR(__xludf.DUMMYFUNCTION("""COMPUTED_VALUE"""),-1.0)</f>
        <v>-1</v>
      </c>
      <c r="Y234" s="16">
        <f>IFERROR(__xludf.DUMMYFUNCTION("""COMPUTED_VALUE"""),0.0)</f>
        <v>0</v>
      </c>
      <c r="Z234" s="16">
        <f>IFERROR(__xludf.DUMMYFUNCTION("""COMPUTED_VALUE"""),-2.0)</f>
        <v>-2</v>
      </c>
      <c r="AA234" s="16">
        <f>IFERROR(__xludf.DUMMYFUNCTION("""COMPUTED_VALUE"""),0.0)</f>
        <v>0</v>
      </c>
      <c r="AB234" s="16">
        <f>IFERROR(__xludf.DUMMYFUNCTION("""COMPUTED_VALUE"""),27.3)</f>
        <v>27.3</v>
      </c>
      <c r="AC234" s="16">
        <f>IFERROR(__xludf.DUMMYFUNCTION("""COMPUTED_VALUE"""),30.5)</f>
        <v>30.5</v>
      </c>
      <c r="AD234" s="16">
        <f>IFERROR(__xludf.DUMMYFUNCTION("""COMPUTED_VALUE"""),0.0)</f>
        <v>0</v>
      </c>
      <c r="AE234" s="16">
        <f>IFERROR(__xludf.DUMMYFUNCTION("""COMPUTED_VALUE"""),0.0)</f>
        <v>0</v>
      </c>
      <c r="AF234" s="16">
        <f>IFERROR(__xludf.DUMMYFUNCTION("""COMPUTED_VALUE"""),0.0)</f>
        <v>0</v>
      </c>
      <c r="AG234" s="16">
        <f>IFERROR(__xludf.DUMMYFUNCTION("""COMPUTED_VALUE"""),0.0)</f>
        <v>0</v>
      </c>
      <c r="AH234" s="16">
        <f>IFERROR(__xludf.DUMMYFUNCTION("""COMPUTED_VALUE"""),18.4)</f>
        <v>18.4</v>
      </c>
      <c r="AI234" s="16">
        <f>IFERROR(__xludf.DUMMYFUNCTION("""COMPUTED_VALUE"""),35.2)</f>
        <v>35.2</v>
      </c>
      <c r="AJ234" s="16">
        <f>IFERROR(__xludf.DUMMYFUNCTION("""COMPUTED_VALUE"""),-1.0)</f>
        <v>-1</v>
      </c>
      <c r="AK234" s="16">
        <f>IFERROR(__xludf.DUMMYFUNCTION("""COMPUTED_VALUE"""),0.0)</f>
        <v>0</v>
      </c>
      <c r="AL234" s="16">
        <f>IFERROR(__xludf.DUMMYFUNCTION("""COMPUTED_VALUE"""),-5.0)</f>
        <v>-5</v>
      </c>
      <c r="AM234" s="16">
        <f>IFERROR(__xludf.DUMMYFUNCTION("""COMPUTED_VALUE"""),0.0)</f>
        <v>0</v>
      </c>
      <c r="AN234" s="16">
        <f>IFERROR(__xludf.DUMMYFUNCTION("""COMPUTED_VALUE"""),0.0)</f>
        <v>0</v>
      </c>
      <c r="AO234" s="16">
        <f>IFERROR(__xludf.DUMMYFUNCTION("""COMPUTED_VALUE"""),4.3)</f>
        <v>4.3</v>
      </c>
      <c r="AP234" s="16">
        <f>IFERROR(__xludf.DUMMYFUNCTION("""COMPUTED_VALUE"""),-2.0)</f>
        <v>-2</v>
      </c>
      <c r="AQ234" s="16">
        <f>IFERROR(__xludf.DUMMYFUNCTION("""COMPUTED_VALUE"""),2.0)</f>
        <v>2</v>
      </c>
      <c r="AR234" s="16">
        <f>IFERROR(__xludf.DUMMYFUNCTION("""COMPUTED_VALUE"""),-4.0)</f>
        <v>-4</v>
      </c>
      <c r="AS234" s="16">
        <f>IFERROR(__xludf.DUMMYFUNCTION("""COMPUTED_VALUE"""),4.0)</f>
        <v>4</v>
      </c>
      <c r="AT234" s="16"/>
      <c r="AU234" s="16">
        <f>IFERROR(__xludf.DUMMYFUNCTION("""COMPUTED_VALUE"""),8.0)</f>
        <v>8</v>
      </c>
      <c r="AV234" s="16">
        <f>IFERROR(__xludf.DUMMYFUNCTION("""COMPUTED_VALUE"""),-3.0)</f>
        <v>-3</v>
      </c>
      <c r="AW234" s="16">
        <f>IFERROR(__xludf.DUMMYFUNCTION("""COMPUTED_VALUE"""),8.0)</f>
        <v>8</v>
      </c>
      <c r="AX234" s="16">
        <f>IFERROR(__xludf.DUMMYFUNCTION("""COMPUTED_VALUE"""),-3.0)</f>
        <v>-3</v>
      </c>
      <c r="AY234" s="16">
        <f>IFERROR(__xludf.DUMMYFUNCTION("""COMPUTED_VALUE"""),3.0)</f>
        <v>3</v>
      </c>
      <c r="AZ234" s="16">
        <f>IFERROR(__xludf.DUMMYFUNCTION("""COMPUTED_VALUE"""),-9.0)</f>
        <v>-9</v>
      </c>
      <c r="BA234" s="16">
        <f>IFERROR(__xludf.DUMMYFUNCTION("""COMPUTED_VALUE"""),9.0)</f>
        <v>9</v>
      </c>
      <c r="BB234" s="16">
        <f>IFERROR(__xludf.DUMMYFUNCTION("""COMPUTED_VALUE"""),5.0)</f>
        <v>5</v>
      </c>
      <c r="BC234" s="16">
        <f>IFERROR(__xludf.DUMMYFUNCTION("""COMPUTED_VALUE"""),5.0)</f>
        <v>5</v>
      </c>
      <c r="BD234" s="16">
        <f>IFERROR(__xludf.DUMMYFUNCTION("""COMPUTED_VALUE"""),1.0)</f>
        <v>1</v>
      </c>
      <c r="BE234" s="16">
        <f>IFERROR(__xludf.DUMMYFUNCTION("""COMPUTED_VALUE"""),1.0)</f>
        <v>1</v>
      </c>
      <c r="BF234" s="16">
        <f>IFERROR(__xludf.DUMMYFUNCTION("""COMPUTED_VALUE"""),1.0)</f>
        <v>1</v>
      </c>
      <c r="BG234" s="16">
        <f>IFERROR(__xludf.DUMMYFUNCTION("""COMPUTED_VALUE"""),1.0)</f>
        <v>1</v>
      </c>
      <c r="BH234" s="16">
        <f>IFERROR(__xludf.DUMMYFUNCTION("""COMPUTED_VALUE"""),-6.0)</f>
        <v>-6</v>
      </c>
      <c r="BI234" s="16">
        <f>IFERROR(__xludf.DUMMYFUNCTION("""COMPUTED_VALUE"""),-6.0)</f>
        <v>-6</v>
      </c>
      <c r="BJ234" s="16">
        <f>IFERROR(__xludf.DUMMYFUNCTION("""COMPUTED_VALUE"""),23.0)</f>
        <v>23</v>
      </c>
      <c r="BK234" s="16">
        <f>IFERROR(__xludf.DUMMYFUNCTION("""COMPUTED_VALUE"""),20.0)</f>
        <v>20</v>
      </c>
      <c r="BL234" s="16">
        <f>IFERROR(__xludf.DUMMYFUNCTION("""COMPUTED_VALUE"""),-2.0)</f>
        <v>-2</v>
      </c>
      <c r="BM234" s="16">
        <f>IFERROR(__xludf.DUMMYFUNCTION("""COMPUTED_VALUE"""),-2.0)</f>
        <v>-2</v>
      </c>
      <c r="BN234" s="16">
        <f>IFERROR(__xludf.DUMMYFUNCTION("""COMPUTED_VALUE"""),-4.0)</f>
        <v>-4</v>
      </c>
      <c r="BO234" s="16">
        <f>IFERROR(__xludf.DUMMYFUNCTION("""COMPUTED_VALUE"""),-4.0)</f>
        <v>-4</v>
      </c>
      <c r="BP234" s="16">
        <f>IFERROR(__xludf.DUMMYFUNCTION("""COMPUTED_VALUE"""),-6.0)</f>
        <v>-6</v>
      </c>
      <c r="BQ234" s="16">
        <f>IFERROR(__xludf.DUMMYFUNCTION("""COMPUTED_VALUE"""),3.0)</f>
        <v>3</v>
      </c>
      <c r="BR234" s="16">
        <f>IFERROR(__xludf.DUMMYFUNCTION("""COMPUTED_VALUE"""),-3.0)</f>
        <v>-3</v>
      </c>
      <c r="BS234" s="16" t="str">
        <f>IFERROR(__xludf.DUMMYFUNCTION("""COMPUTED_VALUE"""),"-/- (---)")</f>
        <v>-/- (---)</v>
      </c>
      <c r="BT234" s="16" t="str">
        <f>IFERROR(__xludf.DUMMYFUNCTION("""COMPUTED_VALUE"""),"E")</f>
        <v>E</v>
      </c>
      <c r="BU234" s="16">
        <f>IFERROR(__xludf.DUMMYFUNCTION("""COMPUTED_VALUE"""),11.0)</f>
        <v>11</v>
      </c>
      <c r="BV234" s="16">
        <f>IFERROR(__xludf.DUMMYFUNCTION("""COMPUTED_VALUE"""),0.0)</f>
        <v>0</v>
      </c>
      <c r="BW234" s="16">
        <f>IFERROR(__xludf.DUMMYFUNCTION("""COMPUTED_VALUE"""),0.0)</f>
        <v>0</v>
      </c>
      <c r="BX234" s="16">
        <f>IFERROR(__xludf.DUMMYFUNCTION("""COMPUTED_VALUE"""),0.0)</f>
        <v>0</v>
      </c>
      <c r="BY234" s="16">
        <f>IFERROR(__xludf.DUMMYFUNCTION("""COMPUTED_VALUE"""),0.0)</f>
        <v>0</v>
      </c>
      <c r="BZ234" s="16" t="str">
        <f>IFERROR(__xludf.DUMMYFUNCTION("""COMPUTED_VALUE"""),"D")</f>
        <v>D</v>
      </c>
      <c r="CA234" s="16" t="str">
        <f>IFERROR(__xludf.DUMMYFUNCTION("""COMPUTED_VALUE"""),"D")</f>
        <v>D</v>
      </c>
      <c r="CB234" s="16">
        <f>IFERROR(__xludf.DUMMYFUNCTION("""COMPUTED_VALUE"""),0.0)</f>
        <v>0</v>
      </c>
      <c r="CC234" s="16">
        <f>IFERROR(__xludf.DUMMYFUNCTION("""COMPUTED_VALUE"""),0.0)</f>
        <v>0</v>
      </c>
      <c r="CD234" s="16">
        <f>IFERROR(__xludf.DUMMYFUNCTION("""COMPUTED_VALUE"""),0.0)</f>
        <v>0</v>
      </c>
      <c r="CE234" s="16">
        <f>IFERROR(__xludf.DUMMYFUNCTION("""COMPUTED_VALUE"""),0.0)</f>
        <v>0</v>
      </c>
      <c r="CF234" s="16">
        <f>IFERROR(__xludf.DUMMYFUNCTION("""COMPUTED_VALUE"""),5.0)</f>
        <v>5</v>
      </c>
      <c r="CG234" s="16">
        <f>IFERROR(__xludf.DUMMYFUNCTION("""COMPUTED_VALUE"""),-21.0)</f>
        <v>-21</v>
      </c>
      <c r="CH234" s="16">
        <f>IFERROR(__xludf.DUMMYFUNCTION("""COMPUTED_VALUE"""),9.0)</f>
        <v>9</v>
      </c>
      <c r="CI234" s="179">
        <f>IFERROR(__xludf.DUMMYFUNCTION("""COMPUTED_VALUE"""),-3.0)</f>
        <v>-3</v>
      </c>
      <c r="CJ234" s="16">
        <f>IFERROR(__xludf.DUMMYFUNCTION("""COMPUTED_VALUE"""),404.0)</f>
        <v>404</v>
      </c>
      <c r="CK234" s="16">
        <f>IFERROR(__xludf.DUMMYFUNCTION("""COMPUTED_VALUE"""),410.0)</f>
        <v>410</v>
      </c>
      <c r="CL234" s="16"/>
      <c r="CM234" s="16"/>
      <c r="CN234" s="16"/>
      <c r="CO234" s="16"/>
      <c r="CP234" s="16"/>
      <c r="CQ234" s="16"/>
      <c r="CR234" s="16" t="str">
        <f>IFERROR(__xludf.DUMMYFUNCTION("""COMPUTED_VALUE"""),"1b-4e10 c-4(0)e4,T-4(pb-0)")</f>
        <v>1b-4e10 c-4(0)e4,T-4(pb-0)</v>
      </c>
      <c r="CS234" s="16">
        <f>IFERROR(__xludf.DUMMYFUNCTION("""COMPUTED_VALUE"""),4.0)</f>
        <v>4</v>
      </c>
      <c r="CT234" s="16">
        <f>IFERROR(__xludf.DUMMYFUNCTION("""COMPUTED_VALUE"""),4.0)</f>
        <v>4</v>
      </c>
      <c r="CU234" s="16"/>
      <c r="CV234" s="16"/>
      <c r="CW234" s="16"/>
      <c r="CX234" s="16"/>
      <c r="CY234" s="16"/>
      <c r="CZ234" s="16"/>
      <c r="DA234" s="16">
        <f>IFERROR(__xludf.DUMMYFUNCTION("""COMPUTED_VALUE"""),4.0)</f>
        <v>4</v>
      </c>
      <c r="DB234" s="16">
        <f>IFERROR(__xludf.DUMMYFUNCTION("""COMPUTED_VALUE"""),10.0)</f>
        <v>10</v>
      </c>
      <c r="DC234" s="16"/>
      <c r="DD234" s="16"/>
      <c r="DE234" s="16"/>
      <c r="DF234" s="16"/>
      <c r="DG234" s="16"/>
      <c r="DH234" s="16"/>
      <c r="DI234" s="16">
        <f>IFERROR(__xludf.DUMMYFUNCTION("""COMPUTED_VALUE"""),-2.0)</f>
        <v>-2</v>
      </c>
      <c r="DJ234" s="16">
        <f>IFERROR(__xludf.DUMMYFUNCTION("""COMPUTED_VALUE"""),0.0)</f>
        <v>0</v>
      </c>
      <c r="DK234" s="16"/>
      <c r="DL234" s="16"/>
      <c r="DM234" s="16"/>
      <c r="DN234" s="16"/>
      <c r="DO234" s="16"/>
      <c r="DP234" s="16"/>
      <c r="DQ234" s="16">
        <f>IFERROR(__xludf.DUMMYFUNCTION("""COMPUTED_VALUE"""),3.0)</f>
        <v>3</v>
      </c>
      <c r="DR234" s="16">
        <f>IFERROR(__xludf.DUMMYFUNCTION("""COMPUTED_VALUE"""),2.0)</f>
        <v>2</v>
      </c>
      <c r="DS234" s="16"/>
      <c r="DT234" s="16"/>
      <c r="DU234" s="16"/>
      <c r="DV234" s="16"/>
      <c r="DW234" s="16"/>
      <c r="DX234" s="16"/>
      <c r="DY234" s="16">
        <f>IFERROR(__xludf.DUMMYFUNCTION("""COMPUTED_VALUE"""),1.0)</f>
        <v>1</v>
      </c>
      <c r="DZ234" s="16">
        <f>IFERROR(__xludf.DUMMYFUNCTION("""COMPUTED_VALUE"""),2.0)</f>
        <v>2</v>
      </c>
      <c r="EA234" s="16"/>
      <c r="EB234" s="16"/>
      <c r="EC234" s="16"/>
      <c r="ED234" s="16"/>
      <c r="EE234" s="16"/>
      <c r="EF234" s="16"/>
      <c r="EG234" s="179">
        <f>IFERROR(__xludf.DUMMYFUNCTION("""COMPUTED_VALUE"""),-2.0)</f>
        <v>-2</v>
      </c>
      <c r="EH234" s="179">
        <f>IFERROR(__xludf.DUMMYFUNCTION("""COMPUTED_VALUE"""),-1.0)</f>
        <v>-1</v>
      </c>
      <c r="EI234" s="179"/>
      <c r="EJ234" s="179"/>
      <c r="EK234" s="179"/>
      <c r="EL234" s="179"/>
      <c r="EM234" s="179"/>
      <c r="EN234" s="179"/>
      <c r="EO234" s="16"/>
      <c r="EP234" s="16">
        <f>IFERROR(__xludf.DUMMYFUNCTION("""COMPUTED_VALUE"""),-1.0)</f>
        <v>-1</v>
      </c>
      <c r="EQ234" s="16">
        <f>IFERROR(__xludf.DUMMYFUNCTION("""COMPUTED_VALUE"""),-2.0)</f>
        <v>-2</v>
      </c>
      <c r="ER234" s="16">
        <f>IFERROR(__xludf.DUMMYFUNCTION("""COMPUTED_VALUE"""),-2.0)</f>
        <v>-2</v>
      </c>
      <c r="ES234" s="16" t="str">
        <f>IFERROR(__xludf.DUMMYFUNCTION("""COMPUTED_VALUE"""),"1b-4e10 c-4")</f>
        <v>1b-4e10 c-4</v>
      </c>
      <c r="ET234" s="16" t="str">
        <f>IFERROR(__xludf.DUMMYFUNCTION("""COMPUTED_VALUE"""),"0)e4,T-4")</f>
        <v>0)e4,T-4</v>
      </c>
      <c r="EU234" s="16" t="str">
        <f>IFERROR(__xludf.DUMMYFUNCTION("""COMPUTED_VALUE"""),"pb-0)")</f>
        <v>pb-0)</v>
      </c>
      <c r="EV234" s="16"/>
      <c r="EW234" s="16"/>
      <c r="EX234" s="180">
        <f>IFERROR(__xludf.DUMMYFUNCTION("""COMPUTED_VALUE"""),0.3)</f>
        <v>0.3</v>
      </c>
      <c r="EY234" s="180">
        <f>IFERROR(__xludf.DUMMYFUNCTION("""COMPUTED_VALUE"""),0.3)</f>
        <v>0.3</v>
      </c>
      <c r="EZ234" s="180"/>
      <c r="FA234" s="180"/>
      <c r="FB234" s="180"/>
      <c r="FC234" s="180"/>
      <c r="FD234" s="180"/>
      <c r="FE234" s="180"/>
      <c r="FF234" s="180">
        <f>IFERROR(__xludf.DUMMYFUNCTION("""COMPUTED_VALUE"""),0.047)</f>
        <v>0.047</v>
      </c>
      <c r="FG234" s="180">
        <f>IFERROR(__xludf.DUMMYFUNCTION("""COMPUTED_VALUE"""),0.18055555555555555)</f>
        <v>0.1805555556</v>
      </c>
      <c r="FH234" s="180"/>
      <c r="FI234" s="180"/>
      <c r="FJ234" s="180"/>
      <c r="FK234" s="180"/>
      <c r="FL234" s="180"/>
      <c r="FM234" s="180"/>
      <c r="FN234" s="16">
        <f>IFERROR(__xludf.DUMMYFUNCTION("""COMPUTED_VALUE"""),0.6670999999999999)</f>
        <v>0.6671</v>
      </c>
      <c r="FO234" s="16">
        <f>IFERROR(__xludf.DUMMYFUNCTION("""COMPUTED_VALUE"""),0.5736111111111111)</f>
        <v>0.5736111111</v>
      </c>
      <c r="FP234" s="16"/>
      <c r="FQ234" s="16"/>
      <c r="FR234" s="16"/>
      <c r="FS234" s="16"/>
      <c r="FT234" s="16"/>
      <c r="FU234" s="16"/>
      <c r="FV234" s="16">
        <f>IFERROR(__xludf.DUMMYFUNCTION("""COMPUTED_VALUE"""),-4.0)</f>
        <v>-4</v>
      </c>
      <c r="FW234" s="16">
        <f>IFERROR(__xludf.DUMMYFUNCTION("""COMPUTED_VALUE"""),-6.0)</f>
        <v>-6</v>
      </c>
      <c r="FX234" s="16"/>
      <c r="FY234" s="16"/>
      <c r="FZ234" s="16"/>
      <c r="GA234" s="16"/>
      <c r="GB234" s="16"/>
      <c r="GC234" s="16"/>
      <c r="GD234" s="16" t="s">
        <v>200</v>
      </c>
    </row>
    <row r="235">
      <c r="A235" s="16">
        <f>IFERROR(__xludf.DUMMYFUNCTION("""COMPUTED_VALUE"""),13035.0)</f>
        <v>13035</v>
      </c>
      <c r="B235" s="16" t="str">
        <f>IFERROR(__xludf.DUMMYFUNCTION("""COMPUTED_VALUE"""),"Josh Lowe")</f>
        <v>Josh Lowe</v>
      </c>
      <c r="C235" s="16">
        <f>IFERROR(__xludf.DUMMYFUNCTION("""COMPUTED_VALUE"""),0.31)</f>
        <v>0.31</v>
      </c>
      <c r="D235" s="16" t="str">
        <f>IFERROR(__xludf.DUMMYFUNCTION("""COMPUTED_VALUE"""),"L")</f>
        <v>L</v>
      </c>
      <c r="E235" s="16"/>
      <c r="F235" s="16"/>
      <c r="G235" s="16">
        <f>IFERROR(__xludf.DUMMYFUNCTION("""COMPUTED_VALUE"""),353.0)</f>
        <v>353</v>
      </c>
      <c r="H235" s="16">
        <f>IFERROR(__xludf.DUMMYFUNCTION("""COMPUTED_VALUE"""),32.0)</f>
        <v>32</v>
      </c>
      <c r="I235" s="16" t="str">
        <f>IFERROR(__xludf.DUMMYFUNCTION("""COMPUTED_VALUE"""),"4p50")</f>
        <v>4p50</v>
      </c>
      <c r="J235" s="16">
        <f>IFERROR(__xludf.DUMMYFUNCTION("""COMPUTED_VALUE"""),49.0)</f>
        <v>49</v>
      </c>
      <c r="K235" s="16">
        <f>IFERROR(__xludf.DUMMYFUNCTION("""COMPUTED_VALUE"""),45.0)</f>
        <v>45</v>
      </c>
      <c r="L235" s="16">
        <f>IFERROR(__xludf.DUMMYFUNCTION("""COMPUTED_VALUE"""),-2.0)</f>
        <v>-2</v>
      </c>
      <c r="M235" s="16">
        <f>IFERROR(__xludf.DUMMYFUNCTION("""COMPUTED_VALUE"""),-2.0)</f>
        <v>-2</v>
      </c>
      <c r="N235" s="16">
        <f>IFERROR(__xludf.DUMMYFUNCTION("""COMPUTED_VALUE"""),-2.0)</f>
        <v>-2</v>
      </c>
      <c r="O235" s="16">
        <f>IFERROR(__xludf.DUMMYFUNCTION("""COMPUTED_VALUE"""),-2.0)</f>
        <v>-2</v>
      </c>
      <c r="P235" s="16">
        <f>IFERROR(__xludf.DUMMYFUNCTION("""COMPUTED_VALUE"""),10.0)</f>
        <v>10</v>
      </c>
      <c r="Q235" s="16">
        <f>IFERROR(__xludf.DUMMYFUNCTION("""COMPUTED_VALUE"""),6.0)</f>
        <v>6</v>
      </c>
      <c r="R235" s="16">
        <f>IFERROR(__xludf.DUMMYFUNCTION("""COMPUTED_VALUE"""),1.0)</f>
        <v>1</v>
      </c>
      <c r="S235" s="16">
        <f>IFERROR(__xludf.DUMMYFUNCTION("""COMPUTED_VALUE"""),-1.0)</f>
        <v>-1</v>
      </c>
      <c r="T235" s="16">
        <f>IFERROR(__xludf.DUMMYFUNCTION("""COMPUTED_VALUE"""),1.0)</f>
        <v>1</v>
      </c>
      <c r="U235" s="16">
        <f>IFERROR(__xludf.DUMMYFUNCTION("""COMPUTED_VALUE"""),-1.0)</f>
        <v>-1</v>
      </c>
      <c r="V235" s="16">
        <f>IFERROR(__xludf.DUMMYFUNCTION("""COMPUTED_VALUE"""),19.7)</f>
        <v>19.7</v>
      </c>
      <c r="W235" s="16">
        <f>IFERROR(__xludf.DUMMYFUNCTION("""COMPUTED_VALUE"""),22.6)</f>
        <v>22.6</v>
      </c>
      <c r="X235" s="16">
        <f>IFERROR(__xludf.DUMMYFUNCTION("""COMPUTED_VALUE"""),0.0)</f>
        <v>0</v>
      </c>
      <c r="Y235" s="16">
        <f>IFERROR(__xludf.DUMMYFUNCTION("""COMPUTED_VALUE"""),1.0)</f>
        <v>1</v>
      </c>
      <c r="Z235" s="16">
        <f>IFERROR(__xludf.DUMMYFUNCTION("""COMPUTED_VALUE"""),0.0)</f>
        <v>0</v>
      </c>
      <c r="AA235" s="16">
        <f>IFERROR(__xludf.DUMMYFUNCTION("""COMPUTED_VALUE"""),2.0)</f>
        <v>2</v>
      </c>
      <c r="AB235" s="16">
        <f>IFERROR(__xludf.DUMMYFUNCTION("""COMPUTED_VALUE"""),29.7)</f>
        <v>29.7</v>
      </c>
      <c r="AC235" s="16">
        <f>IFERROR(__xludf.DUMMYFUNCTION("""COMPUTED_VALUE"""),28.6)</f>
        <v>28.6</v>
      </c>
      <c r="AD235" s="16">
        <f>IFERROR(__xludf.DUMMYFUNCTION("""COMPUTED_VALUE"""),0.0)</f>
        <v>0</v>
      </c>
      <c r="AE235" s="16">
        <f>IFERROR(__xludf.DUMMYFUNCTION("""COMPUTED_VALUE"""),0.0)</f>
        <v>0</v>
      </c>
      <c r="AF235" s="16">
        <f>IFERROR(__xludf.DUMMYFUNCTION("""COMPUTED_VALUE"""),0.0)</f>
        <v>0</v>
      </c>
      <c r="AG235" s="16">
        <f>IFERROR(__xludf.DUMMYFUNCTION("""COMPUTED_VALUE"""),0.0)</f>
        <v>0</v>
      </c>
      <c r="AH235" s="16">
        <f>IFERROR(__xludf.DUMMYFUNCTION("""COMPUTED_VALUE"""),23.7)</f>
        <v>23.7</v>
      </c>
      <c r="AI235" s="16">
        <f>IFERROR(__xludf.DUMMYFUNCTION("""COMPUTED_VALUE"""),34.1)</f>
        <v>34.1</v>
      </c>
      <c r="AJ235" s="16">
        <f>IFERROR(__xludf.DUMMYFUNCTION("""COMPUTED_VALUE"""),-1.0)</f>
        <v>-1</v>
      </c>
      <c r="AK235" s="16">
        <f>IFERROR(__xludf.DUMMYFUNCTION("""COMPUTED_VALUE"""),0.0)</f>
        <v>0</v>
      </c>
      <c r="AL235" s="16">
        <f>IFERROR(__xludf.DUMMYFUNCTION("""COMPUTED_VALUE"""),-5.0)</f>
        <v>-5</v>
      </c>
      <c r="AM235" s="16">
        <f>IFERROR(__xludf.DUMMYFUNCTION("""COMPUTED_VALUE"""),0.0)</f>
        <v>0</v>
      </c>
      <c r="AN235" s="16">
        <f>IFERROR(__xludf.DUMMYFUNCTION("""COMPUTED_VALUE"""),0.0)</f>
        <v>0</v>
      </c>
      <c r="AO235" s="16">
        <f>IFERROR(__xludf.DUMMYFUNCTION("""COMPUTED_VALUE"""),1.5)</f>
        <v>1.5</v>
      </c>
      <c r="AP235" s="16">
        <f>IFERROR(__xludf.DUMMYFUNCTION("""COMPUTED_VALUE"""),-2.0)</f>
        <v>-2</v>
      </c>
      <c r="AQ235" s="16">
        <f>IFERROR(__xludf.DUMMYFUNCTION("""COMPUTED_VALUE"""),-1.0)</f>
        <v>-1</v>
      </c>
      <c r="AR235" s="16">
        <f>IFERROR(__xludf.DUMMYFUNCTION("""COMPUTED_VALUE"""),-4.0)</f>
        <v>-4</v>
      </c>
      <c r="AS235" s="16">
        <f>IFERROR(__xludf.DUMMYFUNCTION("""COMPUTED_VALUE"""),-2.0)</f>
        <v>-2</v>
      </c>
      <c r="AT235" s="16"/>
      <c r="AU235" s="16">
        <f>IFERROR(__xludf.DUMMYFUNCTION("""COMPUTED_VALUE"""),3.0)</f>
        <v>3</v>
      </c>
      <c r="AV235" s="16">
        <f>IFERROR(__xludf.DUMMYFUNCTION("""COMPUTED_VALUE"""),-3.0)</f>
        <v>-3</v>
      </c>
      <c r="AW235" s="16">
        <f>IFERROR(__xludf.DUMMYFUNCTION("""COMPUTED_VALUE"""),3.0)</f>
        <v>3</v>
      </c>
      <c r="AX235" s="16">
        <f>IFERROR(__xludf.DUMMYFUNCTION("""COMPUTED_VALUE"""),-3.0)</f>
        <v>-3</v>
      </c>
      <c r="AY235" s="16">
        <f>IFERROR(__xludf.DUMMYFUNCTION("""COMPUTED_VALUE"""),0.0)</f>
        <v>0</v>
      </c>
      <c r="AZ235" s="16">
        <f>IFERROR(__xludf.DUMMYFUNCTION("""COMPUTED_VALUE"""),-9.0)</f>
        <v>-9</v>
      </c>
      <c r="BA235" s="16">
        <f>IFERROR(__xludf.DUMMYFUNCTION("""COMPUTED_VALUE"""),0.0)</f>
        <v>0</v>
      </c>
      <c r="BB235" s="16">
        <f>IFERROR(__xludf.DUMMYFUNCTION("""COMPUTED_VALUE"""),5.0)</f>
        <v>5</v>
      </c>
      <c r="BC235" s="16">
        <f>IFERROR(__xludf.DUMMYFUNCTION("""COMPUTED_VALUE"""),5.0)</f>
        <v>5</v>
      </c>
      <c r="BD235" s="16">
        <f>IFERROR(__xludf.DUMMYFUNCTION("""COMPUTED_VALUE"""),1.0)</f>
        <v>1</v>
      </c>
      <c r="BE235" s="16">
        <f>IFERROR(__xludf.DUMMYFUNCTION("""COMPUTED_VALUE"""),1.0)</f>
        <v>1</v>
      </c>
      <c r="BF235" s="16">
        <f>IFERROR(__xludf.DUMMYFUNCTION("""COMPUTED_VALUE"""),1.0)</f>
        <v>1</v>
      </c>
      <c r="BG235" s="16">
        <f>IFERROR(__xludf.DUMMYFUNCTION("""COMPUTED_VALUE"""),1.0)</f>
        <v>1</v>
      </c>
      <c r="BH235" s="16">
        <f>IFERROR(__xludf.DUMMYFUNCTION("""COMPUTED_VALUE"""),-12.0)</f>
        <v>-12</v>
      </c>
      <c r="BI235" s="16">
        <f>IFERROR(__xludf.DUMMYFUNCTION("""COMPUTED_VALUE"""),-11.0)</f>
        <v>-11</v>
      </c>
      <c r="BJ235" s="16">
        <f>IFERROR(__xludf.DUMMYFUNCTION("""COMPUTED_VALUE"""),1.0)</f>
        <v>1</v>
      </c>
      <c r="BK235" s="16">
        <f>IFERROR(__xludf.DUMMYFUNCTION("""COMPUTED_VALUE"""),1.0)</f>
        <v>1</v>
      </c>
      <c r="BL235" s="16">
        <f>IFERROR(__xludf.DUMMYFUNCTION("""COMPUTED_VALUE"""),2.0)</f>
        <v>2</v>
      </c>
      <c r="BM235" s="16">
        <f>IFERROR(__xludf.DUMMYFUNCTION("""COMPUTED_VALUE"""),2.0)</f>
        <v>2</v>
      </c>
      <c r="BN235" s="16">
        <f>IFERROR(__xludf.DUMMYFUNCTION("""COMPUTED_VALUE"""),2.0)</f>
        <v>2</v>
      </c>
      <c r="BO235" s="16">
        <f>IFERROR(__xludf.DUMMYFUNCTION("""COMPUTED_VALUE"""),2.0)</f>
        <v>2</v>
      </c>
      <c r="BP235" s="16">
        <f>IFERROR(__xludf.DUMMYFUNCTION("""COMPUTED_VALUE"""),-4.0)</f>
        <v>-4</v>
      </c>
      <c r="BQ235" s="16">
        <f>IFERROR(__xludf.DUMMYFUNCTION("""COMPUTED_VALUE"""),0.0)</f>
        <v>0</v>
      </c>
      <c r="BR235" s="16">
        <f>IFERROR(__xludf.DUMMYFUNCTION("""COMPUTED_VALUE"""),-4.0)</f>
        <v>-4</v>
      </c>
      <c r="BS235" s="16" t="str">
        <f>IFERROR(__xludf.DUMMYFUNCTION("""COMPUTED_VALUE"""),"*2-5,12/- (19-14)")</f>
        <v>*2-5,12/- (19-14)</v>
      </c>
      <c r="BT235" s="16" t="str">
        <f>IFERROR(__xludf.DUMMYFUNCTION("""COMPUTED_VALUE"""),"A")</f>
        <v>A</v>
      </c>
      <c r="BU235" s="16">
        <f>IFERROR(__xludf.DUMMYFUNCTION("""COMPUTED_VALUE"""),16.0)</f>
        <v>16</v>
      </c>
      <c r="BV235" s="16">
        <f>IFERROR(__xludf.DUMMYFUNCTION("""COMPUTED_VALUE"""),2.0)</f>
        <v>2</v>
      </c>
      <c r="BW235" s="16">
        <f>IFERROR(__xludf.DUMMYFUNCTION("""COMPUTED_VALUE"""),2.0)</f>
        <v>2</v>
      </c>
      <c r="BX235" s="16">
        <f>IFERROR(__xludf.DUMMYFUNCTION("""COMPUTED_VALUE"""),4.0)</f>
        <v>4</v>
      </c>
      <c r="BY235" s="16">
        <f>IFERROR(__xludf.DUMMYFUNCTION("""COMPUTED_VALUE"""),6.0)</f>
        <v>6</v>
      </c>
      <c r="BZ235" s="16" t="str">
        <f>IFERROR(__xludf.DUMMYFUNCTION("""COMPUTED_VALUE"""),"D")</f>
        <v>D</v>
      </c>
      <c r="CA235" s="16" t="str">
        <f>IFERROR(__xludf.DUMMYFUNCTION("""COMPUTED_VALUE"""),"D")</f>
        <v>D</v>
      </c>
      <c r="CB235" s="16">
        <f>IFERROR(__xludf.DUMMYFUNCTION("""COMPUTED_VALUE"""),0.0)</f>
        <v>0</v>
      </c>
      <c r="CC235" s="16">
        <f>IFERROR(__xludf.DUMMYFUNCTION("""COMPUTED_VALUE"""),0.0)</f>
        <v>0</v>
      </c>
      <c r="CD235" s="16">
        <f>IFERROR(__xludf.DUMMYFUNCTION("""COMPUTED_VALUE"""),0.0)</f>
        <v>0</v>
      </c>
      <c r="CE235" s="16">
        <f>IFERROR(__xludf.DUMMYFUNCTION("""COMPUTED_VALUE"""),0.0)</f>
        <v>0</v>
      </c>
      <c r="CF235" s="16">
        <f>IFERROR(__xludf.DUMMYFUNCTION("""COMPUTED_VALUE"""),4.0)</f>
        <v>4</v>
      </c>
      <c r="CG235" s="16">
        <f>IFERROR(__xludf.DUMMYFUNCTION("""COMPUTED_VALUE"""),-16.0)</f>
        <v>-16</v>
      </c>
      <c r="CH235" s="16">
        <f>IFERROR(__xludf.DUMMYFUNCTION("""COMPUTED_VALUE"""),0.0)</f>
        <v>0</v>
      </c>
      <c r="CI235" s="179">
        <f>IFERROR(__xludf.DUMMYFUNCTION("""COMPUTED_VALUE"""),-3.0)</f>
        <v>-3</v>
      </c>
      <c r="CJ235" s="16"/>
      <c r="CK235" s="16"/>
      <c r="CL235" s="16"/>
      <c r="CM235" s="16"/>
      <c r="CN235" s="16"/>
      <c r="CO235" s="16">
        <f>IFERROR(__xludf.DUMMYFUNCTION("""COMPUTED_VALUE"""),308.0)</f>
        <v>308</v>
      </c>
      <c r="CP235" s="16">
        <f>IFERROR(__xludf.DUMMYFUNCTION("""COMPUTED_VALUE"""),408.0)</f>
        <v>408</v>
      </c>
      <c r="CQ235" s="16">
        <f>IFERROR(__xludf.DUMMYFUNCTION("""COMPUTED_VALUE"""),308.0)</f>
        <v>308</v>
      </c>
      <c r="CR235" s="16" t="str">
        <f>IFERROR(__xludf.DUMMYFUNCTION("""COMPUTED_VALUE"""),"rf-3(-2)e8 lf-3e8 cf-4e8")</f>
        <v>rf-3(-2)e8 lf-3e8 cf-4e8</v>
      </c>
      <c r="CS235" s="16"/>
      <c r="CT235" s="16"/>
      <c r="CU235" s="16"/>
      <c r="CV235" s="16"/>
      <c r="CW235" s="16"/>
      <c r="CX235" s="16">
        <f>IFERROR(__xludf.DUMMYFUNCTION("""COMPUTED_VALUE"""),3.0)</f>
        <v>3</v>
      </c>
      <c r="CY235" s="16">
        <f>IFERROR(__xludf.DUMMYFUNCTION("""COMPUTED_VALUE"""),4.0)</f>
        <v>4</v>
      </c>
      <c r="CZ235" s="16">
        <f>IFERROR(__xludf.DUMMYFUNCTION("""COMPUTED_VALUE"""),3.0)</f>
        <v>3</v>
      </c>
      <c r="DA235" s="16"/>
      <c r="DB235" s="16"/>
      <c r="DC235" s="16"/>
      <c r="DD235" s="16"/>
      <c r="DE235" s="16"/>
      <c r="DF235" s="16">
        <f>IFERROR(__xludf.DUMMYFUNCTION("""COMPUTED_VALUE"""),8.0)</f>
        <v>8</v>
      </c>
      <c r="DG235" s="16">
        <f>IFERROR(__xludf.DUMMYFUNCTION("""COMPUTED_VALUE"""),8.0)</f>
        <v>8</v>
      </c>
      <c r="DH235" s="16">
        <f>IFERROR(__xludf.DUMMYFUNCTION("""COMPUTED_VALUE"""),8.0)</f>
        <v>8</v>
      </c>
      <c r="DI235" s="16"/>
      <c r="DJ235" s="16"/>
      <c r="DK235" s="16"/>
      <c r="DL235" s="16"/>
      <c r="DM235" s="16"/>
      <c r="DN235" s="16">
        <f>IFERROR(__xludf.DUMMYFUNCTION("""COMPUTED_VALUE"""),0.0)</f>
        <v>0</v>
      </c>
      <c r="DO235" s="16">
        <f>IFERROR(__xludf.DUMMYFUNCTION("""COMPUTED_VALUE"""),-2.0)</f>
        <v>-2</v>
      </c>
      <c r="DP235" s="16">
        <f>IFERROR(__xludf.DUMMYFUNCTION("""COMPUTED_VALUE"""),0.0)</f>
        <v>0</v>
      </c>
      <c r="DQ235" s="16"/>
      <c r="DR235" s="16"/>
      <c r="DS235" s="16"/>
      <c r="DT235" s="16"/>
      <c r="DU235" s="16"/>
      <c r="DV235" s="16">
        <f>IFERROR(__xludf.DUMMYFUNCTION("""COMPUTED_VALUE"""),0.0)</f>
        <v>0</v>
      </c>
      <c r="DW235" s="16">
        <f>IFERROR(__xludf.DUMMYFUNCTION("""COMPUTED_VALUE"""),2.0)</f>
        <v>2</v>
      </c>
      <c r="DX235" s="16">
        <f>IFERROR(__xludf.DUMMYFUNCTION("""COMPUTED_VALUE"""),0.0)</f>
        <v>0</v>
      </c>
      <c r="DY235" s="16"/>
      <c r="DZ235" s="16"/>
      <c r="EA235" s="16"/>
      <c r="EB235" s="16"/>
      <c r="EC235" s="16"/>
      <c r="ED235" s="16">
        <f>IFERROR(__xludf.DUMMYFUNCTION("""COMPUTED_VALUE"""),0.0)</f>
        <v>0</v>
      </c>
      <c r="EE235" s="16">
        <f>IFERROR(__xludf.DUMMYFUNCTION("""COMPUTED_VALUE"""),0.0)</f>
        <v>0</v>
      </c>
      <c r="EF235" s="16">
        <f>IFERROR(__xludf.DUMMYFUNCTION("""COMPUTED_VALUE"""),0.0)</f>
        <v>0</v>
      </c>
      <c r="EG235" s="179"/>
      <c r="EH235" s="179"/>
      <c r="EI235" s="179"/>
      <c r="EJ235" s="179"/>
      <c r="EK235" s="179"/>
      <c r="EL235" s="179">
        <f>IFERROR(__xludf.DUMMYFUNCTION("""COMPUTED_VALUE"""),-3.0)</f>
        <v>-3</v>
      </c>
      <c r="EM235" s="179">
        <f>IFERROR(__xludf.DUMMYFUNCTION("""COMPUTED_VALUE"""),-3.0)</f>
        <v>-3</v>
      </c>
      <c r="EN235" s="179">
        <f>IFERROR(__xludf.DUMMYFUNCTION("""COMPUTED_VALUE"""),-3.0)</f>
        <v>-3</v>
      </c>
      <c r="EO235" s="16"/>
      <c r="EP235" s="16"/>
      <c r="EQ235" s="16">
        <f>IFERROR(__xludf.DUMMYFUNCTION("""COMPUTED_VALUE"""),-1.0)</f>
        <v>-1</v>
      </c>
      <c r="ER235" s="16">
        <f>IFERROR(__xludf.DUMMYFUNCTION("""COMPUTED_VALUE"""),0.0)</f>
        <v>0</v>
      </c>
      <c r="ES235" s="16"/>
      <c r="ET235" s="16"/>
      <c r="EU235" s="16"/>
      <c r="EV235" s="16"/>
      <c r="EW235" s="16"/>
      <c r="EX235" s="180"/>
      <c r="EY235" s="180"/>
      <c r="EZ235" s="180"/>
      <c r="FA235" s="180"/>
      <c r="FB235" s="180"/>
      <c r="FC235" s="180">
        <f>IFERROR(__xludf.DUMMYFUNCTION("""COMPUTED_VALUE"""),0.3)</f>
        <v>0.3</v>
      </c>
      <c r="FD235" s="180">
        <f>IFERROR(__xludf.DUMMYFUNCTION("""COMPUTED_VALUE"""),0.55)</f>
        <v>0.55</v>
      </c>
      <c r="FE235" s="180">
        <f>IFERROR(__xludf.DUMMYFUNCTION("""COMPUTED_VALUE"""),0.3)</f>
        <v>0.3</v>
      </c>
      <c r="FF235" s="180"/>
      <c r="FG235" s="180"/>
      <c r="FH235" s="180"/>
      <c r="FI235" s="180"/>
      <c r="FJ235" s="180"/>
      <c r="FK235" s="180">
        <f>IFERROR(__xludf.DUMMYFUNCTION("""COMPUTED_VALUE"""),0.144)</f>
        <v>0.144</v>
      </c>
      <c r="FL235" s="180">
        <f>IFERROR(__xludf.DUMMYFUNCTION("""COMPUTED_VALUE"""),0.09722222222222222)</f>
        <v>0.09722222222</v>
      </c>
      <c r="FM235" s="180">
        <f>IFERROR(__xludf.DUMMYFUNCTION("""COMPUTED_VALUE"""),0.144)</f>
        <v>0.144</v>
      </c>
      <c r="FN235" s="16"/>
      <c r="FO235" s="16"/>
      <c r="FP235" s="16"/>
      <c r="FQ235" s="16"/>
      <c r="FR235" s="16"/>
      <c r="FS235" s="16">
        <f>IFERROR(__xludf.DUMMYFUNCTION("""COMPUTED_VALUE"""),0.5992)</f>
        <v>0.5992</v>
      </c>
      <c r="FT235" s="16">
        <f>IFERROR(__xludf.DUMMYFUNCTION("""COMPUTED_VALUE"""),0.40624999999999994)</f>
        <v>0.40625</v>
      </c>
      <c r="FU235" s="16">
        <f>IFERROR(__xludf.DUMMYFUNCTION("""COMPUTED_VALUE"""),0.5992)</f>
        <v>0.5992</v>
      </c>
      <c r="FV235" s="16"/>
      <c r="FW235" s="16"/>
      <c r="FX235" s="16"/>
      <c r="FY235" s="16"/>
      <c r="FZ235" s="16"/>
      <c r="GA235" s="16">
        <f>IFERROR(__xludf.DUMMYFUNCTION("""COMPUTED_VALUE"""),-6.0)</f>
        <v>-6</v>
      </c>
      <c r="GB235" s="16">
        <f>IFERROR(__xludf.DUMMYFUNCTION("""COMPUTED_VALUE"""),-8.0)</f>
        <v>-8</v>
      </c>
      <c r="GC235" s="16">
        <f>IFERROR(__xludf.DUMMYFUNCTION("""COMPUTED_VALUE"""),-6.0)</f>
        <v>-6</v>
      </c>
      <c r="GD235" s="16" t="s">
        <v>176</v>
      </c>
    </row>
    <row r="236">
      <c r="A236" s="16">
        <f>IFERROR(__xludf.DUMMYFUNCTION("""COMPUTED_VALUE"""),13116.0)</f>
        <v>13116</v>
      </c>
      <c r="B236" s="16" t="str">
        <f>IFERROR(__xludf.DUMMYFUNCTION("""COMPUTED_VALUE"""),"Leody Taveras")</f>
        <v>Leody Taveras</v>
      </c>
      <c r="C236" s="16">
        <f>IFERROR(__xludf.DUMMYFUNCTION("""COMPUTED_VALUE"""),0.27)</f>
        <v>0.27</v>
      </c>
      <c r="D236" s="16" t="str">
        <f>IFERROR(__xludf.DUMMYFUNCTION("""COMPUTED_VALUE"""),"S")</f>
        <v>S</v>
      </c>
      <c r="E236" s="16"/>
      <c r="F236" s="16"/>
      <c r="G236" s="16">
        <f>IFERROR(__xludf.DUMMYFUNCTION("""COMPUTED_VALUE"""),480.0)</f>
        <v>480</v>
      </c>
      <c r="H236" s="16">
        <f>IFERROR(__xludf.DUMMYFUNCTION("""COMPUTED_VALUE"""),42.0)</f>
        <v>42</v>
      </c>
      <c r="I236" s="16" t="str">
        <f>IFERROR(__xludf.DUMMYFUNCTION("""COMPUTED_VALUE"""),"1p70")</f>
        <v>1p70</v>
      </c>
      <c r="J236" s="16">
        <f>IFERROR(__xludf.DUMMYFUNCTION("""COMPUTED_VALUE"""),27.0)</f>
        <v>27</v>
      </c>
      <c r="K236" s="16">
        <f>IFERROR(__xludf.DUMMYFUNCTION("""COMPUTED_VALUE"""),21.0)</f>
        <v>21</v>
      </c>
      <c r="L236" s="16">
        <f>IFERROR(__xludf.DUMMYFUNCTION("""COMPUTED_VALUE"""),0.0)</f>
        <v>0</v>
      </c>
      <c r="M236" s="16">
        <f>IFERROR(__xludf.DUMMYFUNCTION("""COMPUTED_VALUE"""),0.0)</f>
        <v>0</v>
      </c>
      <c r="N236" s="16">
        <f>IFERROR(__xludf.DUMMYFUNCTION("""COMPUTED_VALUE"""),0.0)</f>
        <v>0</v>
      </c>
      <c r="O236" s="16">
        <f>IFERROR(__xludf.DUMMYFUNCTION("""COMPUTED_VALUE"""),0.0)</f>
        <v>0</v>
      </c>
      <c r="P236" s="16">
        <f>IFERROR(__xludf.DUMMYFUNCTION("""COMPUTED_VALUE"""),13.0)</f>
        <v>13</v>
      </c>
      <c r="Q236" s="16">
        <f>IFERROR(__xludf.DUMMYFUNCTION("""COMPUTED_VALUE"""),7.0)</f>
        <v>7</v>
      </c>
      <c r="R236" s="16">
        <f>IFERROR(__xludf.DUMMYFUNCTION("""COMPUTED_VALUE"""),2.0)</f>
        <v>2</v>
      </c>
      <c r="S236" s="16">
        <f>IFERROR(__xludf.DUMMYFUNCTION("""COMPUTED_VALUE"""),-1.0)</f>
        <v>-1</v>
      </c>
      <c r="T236" s="16">
        <f>IFERROR(__xludf.DUMMYFUNCTION("""COMPUTED_VALUE"""),2.0)</f>
        <v>2</v>
      </c>
      <c r="U236" s="16">
        <f>IFERROR(__xludf.DUMMYFUNCTION("""COMPUTED_VALUE"""),-1.0)</f>
        <v>-1</v>
      </c>
      <c r="V236" s="16">
        <f>IFERROR(__xludf.DUMMYFUNCTION("""COMPUTED_VALUE"""),10.0)</f>
        <v>10</v>
      </c>
      <c r="W236" s="16">
        <f>IFERROR(__xludf.DUMMYFUNCTION("""COMPUTED_VALUE"""),21.1)</f>
        <v>21.1</v>
      </c>
      <c r="X236" s="16">
        <f>IFERROR(__xludf.DUMMYFUNCTION("""COMPUTED_VALUE"""),-1.0)</f>
        <v>-1</v>
      </c>
      <c r="Y236" s="16">
        <f>IFERROR(__xludf.DUMMYFUNCTION("""COMPUTED_VALUE"""),0.0)</f>
        <v>0</v>
      </c>
      <c r="Z236" s="16">
        <f>IFERROR(__xludf.DUMMYFUNCTION("""COMPUTED_VALUE"""),-2.0)</f>
        <v>-2</v>
      </c>
      <c r="AA236" s="16">
        <f>IFERROR(__xludf.DUMMYFUNCTION("""COMPUTED_VALUE"""),0.0)</f>
        <v>0</v>
      </c>
      <c r="AB236" s="16">
        <f>IFERROR(__xludf.DUMMYFUNCTION("""COMPUTED_VALUE"""),23.0)</f>
        <v>23</v>
      </c>
      <c r="AC236" s="16">
        <f>IFERROR(__xludf.DUMMYFUNCTION("""COMPUTED_VALUE"""),28.1)</f>
        <v>28.1</v>
      </c>
      <c r="AD236" s="16">
        <f>IFERROR(__xludf.DUMMYFUNCTION("""COMPUTED_VALUE"""),-1.0)</f>
        <v>-1</v>
      </c>
      <c r="AE236" s="16">
        <f>IFERROR(__xludf.DUMMYFUNCTION("""COMPUTED_VALUE"""),-1.0)</f>
        <v>-1</v>
      </c>
      <c r="AF236" s="16">
        <f>IFERROR(__xludf.DUMMYFUNCTION("""COMPUTED_VALUE"""),-5.0)</f>
        <v>-5</v>
      </c>
      <c r="AG236" s="16">
        <f>IFERROR(__xludf.DUMMYFUNCTION("""COMPUTED_VALUE"""),-5.0)</f>
        <v>-5</v>
      </c>
      <c r="AH236" s="16">
        <f>IFERROR(__xludf.DUMMYFUNCTION("""COMPUTED_VALUE"""),16.0)</f>
        <v>16</v>
      </c>
      <c r="AI236" s="16">
        <f>IFERROR(__xludf.DUMMYFUNCTION("""COMPUTED_VALUE"""),29.9)</f>
        <v>29.9</v>
      </c>
      <c r="AJ236" s="16">
        <f>IFERROR(__xludf.DUMMYFUNCTION("""COMPUTED_VALUE"""),-1.0)</f>
        <v>-1</v>
      </c>
      <c r="AK236" s="16">
        <f>IFERROR(__xludf.DUMMYFUNCTION("""COMPUTED_VALUE"""),0.0)</f>
        <v>0</v>
      </c>
      <c r="AL236" s="16">
        <f>IFERROR(__xludf.DUMMYFUNCTION("""COMPUTED_VALUE"""),-5.0)</f>
        <v>-5</v>
      </c>
      <c r="AM236" s="16">
        <f>IFERROR(__xludf.DUMMYFUNCTION("""COMPUTED_VALUE"""),0.0)</f>
        <v>0</v>
      </c>
      <c r="AN236" s="16">
        <f>IFERROR(__xludf.DUMMYFUNCTION("""COMPUTED_VALUE"""),2.0)</f>
        <v>2</v>
      </c>
      <c r="AO236" s="16">
        <f>IFERROR(__xludf.DUMMYFUNCTION("""COMPUTED_VALUE"""),1.5)</f>
        <v>1.5</v>
      </c>
      <c r="AP236" s="16">
        <f>IFERROR(__xludf.DUMMYFUNCTION("""COMPUTED_VALUE"""),0.0)</f>
        <v>0</v>
      </c>
      <c r="AQ236" s="16">
        <f>IFERROR(__xludf.DUMMYFUNCTION("""COMPUTED_VALUE"""),-1.0)</f>
        <v>-1</v>
      </c>
      <c r="AR236" s="16">
        <f>IFERROR(__xludf.DUMMYFUNCTION("""COMPUTED_VALUE"""),0.0)</f>
        <v>0</v>
      </c>
      <c r="AS236" s="16">
        <f>IFERROR(__xludf.DUMMYFUNCTION("""COMPUTED_VALUE"""),-2.0)</f>
        <v>-2</v>
      </c>
      <c r="AT236" s="16"/>
      <c r="AU236" s="16">
        <f>IFERROR(__xludf.DUMMYFUNCTION("""COMPUTED_VALUE"""),1.0)</f>
        <v>1</v>
      </c>
      <c r="AV236" s="16">
        <f>IFERROR(__xludf.DUMMYFUNCTION("""COMPUTED_VALUE"""),-3.0)</f>
        <v>-3</v>
      </c>
      <c r="AW236" s="16">
        <f>IFERROR(__xludf.DUMMYFUNCTION("""COMPUTED_VALUE"""),1.0)</f>
        <v>1</v>
      </c>
      <c r="AX236" s="16">
        <f>IFERROR(__xludf.DUMMYFUNCTION("""COMPUTED_VALUE"""),-3.0)</f>
        <v>-3</v>
      </c>
      <c r="AY236" s="16">
        <f>IFERROR(__xludf.DUMMYFUNCTION("""COMPUTED_VALUE"""),-1.0)</f>
        <v>-1</v>
      </c>
      <c r="AZ236" s="16">
        <f>IFERROR(__xludf.DUMMYFUNCTION("""COMPUTED_VALUE"""),-9.0)</f>
        <v>-9</v>
      </c>
      <c r="BA236" s="16">
        <f>IFERROR(__xludf.DUMMYFUNCTION("""COMPUTED_VALUE"""),-3.0)</f>
        <v>-3</v>
      </c>
      <c r="BB236" s="16">
        <f>IFERROR(__xludf.DUMMYFUNCTION("""COMPUTED_VALUE"""),5.0)</f>
        <v>5</v>
      </c>
      <c r="BC236" s="16">
        <f>IFERROR(__xludf.DUMMYFUNCTION("""COMPUTED_VALUE"""),5.0)</f>
        <v>5</v>
      </c>
      <c r="BD236" s="16">
        <f>IFERROR(__xludf.DUMMYFUNCTION("""COMPUTED_VALUE"""),1.0)</f>
        <v>1</v>
      </c>
      <c r="BE236" s="16">
        <f>IFERROR(__xludf.DUMMYFUNCTION("""COMPUTED_VALUE"""),1.0)</f>
        <v>1</v>
      </c>
      <c r="BF236" s="16">
        <f>IFERROR(__xludf.DUMMYFUNCTION("""COMPUTED_VALUE"""),1.0)</f>
        <v>1</v>
      </c>
      <c r="BG236" s="16">
        <f>IFERROR(__xludf.DUMMYFUNCTION("""COMPUTED_VALUE"""),1.0)</f>
        <v>1</v>
      </c>
      <c r="BH236" s="16">
        <f>IFERROR(__xludf.DUMMYFUNCTION("""COMPUTED_VALUE"""),-6.0)</f>
        <v>-6</v>
      </c>
      <c r="BI236" s="16">
        <f>IFERROR(__xludf.DUMMYFUNCTION("""COMPUTED_VALUE"""),-11.0)</f>
        <v>-11</v>
      </c>
      <c r="BJ236" s="16">
        <f>IFERROR(__xludf.DUMMYFUNCTION("""COMPUTED_VALUE"""),11.0)</f>
        <v>11</v>
      </c>
      <c r="BK236" s="16">
        <f>IFERROR(__xludf.DUMMYFUNCTION("""COMPUTED_VALUE"""),12.0)</f>
        <v>12</v>
      </c>
      <c r="BL236" s="16">
        <f>IFERROR(__xludf.DUMMYFUNCTION("""COMPUTED_VALUE"""),0.0)</f>
        <v>0</v>
      </c>
      <c r="BM236" s="16">
        <f>IFERROR(__xludf.DUMMYFUNCTION("""COMPUTED_VALUE"""),0.0)</f>
        <v>0</v>
      </c>
      <c r="BN236" s="16">
        <f>IFERROR(__xludf.DUMMYFUNCTION("""COMPUTED_VALUE"""),0.0)</f>
        <v>0</v>
      </c>
      <c r="BO236" s="16">
        <f>IFERROR(__xludf.DUMMYFUNCTION("""COMPUTED_VALUE"""),0.0)</f>
        <v>0</v>
      </c>
      <c r="BP236" s="16">
        <f>IFERROR(__xludf.DUMMYFUNCTION("""COMPUTED_VALUE"""),-3.0)</f>
        <v>-3</v>
      </c>
      <c r="BQ236" s="16">
        <f>IFERROR(__xludf.DUMMYFUNCTION("""COMPUTED_VALUE"""),-3.0)</f>
        <v>-3</v>
      </c>
      <c r="BR236" s="16">
        <f>IFERROR(__xludf.DUMMYFUNCTION("""COMPUTED_VALUE"""),-6.0)</f>
        <v>-6</v>
      </c>
      <c r="BS236" s="16" t="str">
        <f>IFERROR(__xludf.DUMMYFUNCTION("""COMPUTED_VALUE"""),"*2-5,12/- (19-13)")</f>
        <v>*2-5,12/- (19-13)</v>
      </c>
      <c r="BT236" s="16" t="str">
        <f>IFERROR(__xludf.DUMMYFUNCTION("""COMPUTED_VALUE"""),"A")</f>
        <v>A</v>
      </c>
      <c r="BU236" s="16">
        <f>IFERROR(__xludf.DUMMYFUNCTION("""COMPUTED_VALUE"""),15.0)</f>
        <v>15</v>
      </c>
      <c r="BV236" s="16">
        <f>IFERROR(__xludf.DUMMYFUNCTION("""COMPUTED_VALUE"""),2.0)</f>
        <v>2</v>
      </c>
      <c r="BW236" s="16">
        <f>IFERROR(__xludf.DUMMYFUNCTION("""COMPUTED_VALUE"""),2.0)</f>
        <v>2</v>
      </c>
      <c r="BX236" s="16">
        <f>IFERROR(__xludf.DUMMYFUNCTION("""COMPUTED_VALUE"""),4.0)</f>
        <v>4</v>
      </c>
      <c r="BY236" s="16">
        <f>IFERROR(__xludf.DUMMYFUNCTION("""COMPUTED_VALUE"""),6.0)</f>
        <v>6</v>
      </c>
      <c r="BZ236" s="16" t="str">
        <f>IFERROR(__xludf.DUMMYFUNCTION("""COMPUTED_VALUE"""),"C")</f>
        <v>C</v>
      </c>
      <c r="CA236" s="16" t="str">
        <f>IFERROR(__xludf.DUMMYFUNCTION("""COMPUTED_VALUE"""),"C")</f>
        <v>C</v>
      </c>
      <c r="CB236" s="16">
        <f>IFERROR(__xludf.DUMMYFUNCTION("""COMPUTED_VALUE"""),0.0)</f>
        <v>0</v>
      </c>
      <c r="CC236" s="16">
        <f>IFERROR(__xludf.DUMMYFUNCTION("""COMPUTED_VALUE"""),0.0)</f>
        <v>0</v>
      </c>
      <c r="CD236" s="16">
        <f>IFERROR(__xludf.DUMMYFUNCTION("""COMPUTED_VALUE"""),0.0)</f>
        <v>0</v>
      </c>
      <c r="CE236" s="16">
        <f>IFERROR(__xludf.DUMMYFUNCTION("""COMPUTED_VALUE"""),0.0)</f>
        <v>0</v>
      </c>
      <c r="CF236" s="16">
        <f>IFERROR(__xludf.DUMMYFUNCTION("""COMPUTED_VALUE"""),1.0)</f>
        <v>1</v>
      </c>
      <c r="CG236" s="16">
        <f>IFERROR(__xludf.DUMMYFUNCTION("""COMPUTED_VALUE"""),-18.0)</f>
        <v>-18</v>
      </c>
      <c r="CH236" s="16">
        <f>IFERROR(__xludf.DUMMYFUNCTION("""COMPUTED_VALUE"""),-10.0)</f>
        <v>-10</v>
      </c>
      <c r="CI236" s="179">
        <f>IFERROR(__xludf.DUMMYFUNCTION("""COMPUTED_VALUE"""),-3.0)</f>
        <v>-3</v>
      </c>
      <c r="CJ236" s="16"/>
      <c r="CK236" s="16"/>
      <c r="CL236" s="16"/>
      <c r="CM236" s="16"/>
      <c r="CN236" s="16"/>
      <c r="CO236" s="16"/>
      <c r="CP236" s="16">
        <f>IFERROR(__xludf.DUMMYFUNCTION("""COMPUTED_VALUE"""),103.0)</f>
        <v>103</v>
      </c>
      <c r="CQ236" s="16"/>
      <c r="CR236" s="16" t="str">
        <f>IFERROR(__xludf.DUMMYFUNCTION("""COMPUTED_VALUE"""),"cf-1(-2)e3")</f>
        <v>cf-1(-2)e3</v>
      </c>
      <c r="CS236" s="16"/>
      <c r="CT236" s="16"/>
      <c r="CU236" s="16"/>
      <c r="CV236" s="16"/>
      <c r="CW236" s="16"/>
      <c r="CX236" s="16"/>
      <c r="CY236" s="16">
        <f>IFERROR(__xludf.DUMMYFUNCTION("""COMPUTED_VALUE"""),1.0)</f>
        <v>1</v>
      </c>
      <c r="CZ236" s="16"/>
      <c r="DA236" s="16"/>
      <c r="DB236" s="16"/>
      <c r="DC236" s="16"/>
      <c r="DD236" s="16"/>
      <c r="DE236" s="16"/>
      <c r="DF236" s="16"/>
      <c r="DG236" s="16">
        <f>IFERROR(__xludf.DUMMYFUNCTION("""COMPUTED_VALUE"""),3.0)</f>
        <v>3</v>
      </c>
      <c r="DH236" s="16"/>
      <c r="DI236" s="16"/>
      <c r="DJ236" s="16"/>
      <c r="DK236" s="16"/>
      <c r="DL236" s="16"/>
      <c r="DM236" s="16"/>
      <c r="DN236" s="16"/>
      <c r="DO236" s="16">
        <f>IFERROR(__xludf.DUMMYFUNCTION("""COMPUTED_VALUE"""),4.0)</f>
        <v>4</v>
      </c>
      <c r="DP236" s="16"/>
      <c r="DQ236" s="16"/>
      <c r="DR236" s="16"/>
      <c r="DS236" s="16"/>
      <c r="DT236" s="16"/>
      <c r="DU236" s="16"/>
      <c r="DV236" s="16"/>
      <c r="DW236" s="16">
        <f>IFERROR(__xludf.DUMMYFUNCTION("""COMPUTED_VALUE"""),4.0)</f>
        <v>4</v>
      </c>
      <c r="DX236" s="16"/>
      <c r="DY236" s="16"/>
      <c r="DZ236" s="16"/>
      <c r="EA236" s="16"/>
      <c r="EB236" s="16"/>
      <c r="EC236" s="16"/>
      <c r="ED236" s="16"/>
      <c r="EE236" s="16">
        <f>IFERROR(__xludf.DUMMYFUNCTION("""COMPUTED_VALUE"""),8.0)</f>
        <v>8</v>
      </c>
      <c r="EF236" s="16"/>
      <c r="EG236" s="179"/>
      <c r="EH236" s="179"/>
      <c r="EI236" s="179"/>
      <c r="EJ236" s="179"/>
      <c r="EK236" s="179"/>
      <c r="EL236" s="179"/>
      <c r="EM236" s="179">
        <f>IFERROR(__xludf.DUMMYFUNCTION("""COMPUTED_VALUE"""),5.0)</f>
        <v>5</v>
      </c>
      <c r="EN236" s="179"/>
      <c r="EO236" s="16"/>
      <c r="EP236" s="16">
        <f>IFERROR(__xludf.DUMMYFUNCTION("""COMPUTED_VALUE"""),1.0)</f>
        <v>1</v>
      </c>
      <c r="EQ236" s="16">
        <f>IFERROR(__xludf.DUMMYFUNCTION("""COMPUTED_VALUE"""),4.0)</f>
        <v>4</v>
      </c>
      <c r="ER236" s="16">
        <f>IFERROR(__xludf.DUMMYFUNCTION("""COMPUTED_VALUE"""),3.0)</f>
        <v>3</v>
      </c>
      <c r="ES236" s="16"/>
      <c r="ET236" s="16"/>
      <c r="EU236" s="16"/>
      <c r="EV236" s="16"/>
      <c r="EW236" s="16"/>
      <c r="EX236" s="180"/>
      <c r="EY236" s="180"/>
      <c r="EZ236" s="180"/>
      <c r="FA236" s="180"/>
      <c r="FB236" s="180"/>
      <c r="FC236" s="180"/>
      <c r="FD236" s="180">
        <f>IFERROR(__xludf.DUMMYFUNCTION("""COMPUTED_VALUE"""),0.0)</f>
        <v>0</v>
      </c>
      <c r="FE236" s="180"/>
      <c r="FF236" s="180"/>
      <c r="FG236" s="180"/>
      <c r="FH236" s="180"/>
      <c r="FI236" s="180"/>
      <c r="FJ236" s="180"/>
      <c r="FK236" s="180"/>
      <c r="FL236" s="180">
        <f>IFERROR(__xludf.DUMMYFUNCTION("""COMPUTED_VALUE"""),0.037037037037037035)</f>
        <v>0.03703703704</v>
      </c>
      <c r="FM236" s="180"/>
      <c r="FN236" s="16"/>
      <c r="FO236" s="16"/>
      <c r="FP236" s="16"/>
      <c r="FQ236" s="16"/>
      <c r="FR236" s="16"/>
      <c r="FS236" s="16"/>
      <c r="FT236" s="16">
        <f>IFERROR(__xludf.DUMMYFUNCTION("""COMPUTED_VALUE"""),0.962962962962963)</f>
        <v>0.962962963</v>
      </c>
      <c r="FU236" s="16"/>
      <c r="FV236" s="16"/>
      <c r="FW236" s="16"/>
      <c r="FX236" s="16"/>
      <c r="FY236" s="16"/>
      <c r="FZ236" s="16"/>
      <c r="GA236" s="16"/>
      <c r="GB236" s="16">
        <f>IFERROR(__xludf.DUMMYFUNCTION("""COMPUTED_VALUE"""),7.0)</f>
        <v>7</v>
      </c>
      <c r="GC236" s="16"/>
      <c r="GD236" s="16" t="s">
        <v>1465</v>
      </c>
    </row>
    <row r="237">
      <c r="A237" s="16">
        <f>IFERROR(__xludf.DUMMYFUNCTION("""COMPUTED_VALUE"""),13206.0)</f>
        <v>13206</v>
      </c>
      <c r="B237" s="16" t="str">
        <f>IFERROR(__xludf.DUMMYFUNCTION("""COMPUTED_VALUE"""),"Miguel Amaya")</f>
        <v>Miguel Amaya</v>
      </c>
      <c r="C237" s="16">
        <f>IFERROR(__xludf.DUMMYFUNCTION("""COMPUTED_VALUE"""),1.52)</f>
        <v>1.52</v>
      </c>
      <c r="D237" s="16" t="str">
        <f>IFERROR(__xludf.DUMMYFUNCTION("""COMPUTED_VALUE"""),"R")</f>
        <v>R</v>
      </c>
      <c r="E237" s="16"/>
      <c r="F237" s="16"/>
      <c r="G237" s="16">
        <f>IFERROR(__xludf.DUMMYFUNCTION("""COMPUTED_VALUE"""),328.0)</f>
        <v>328</v>
      </c>
      <c r="H237" s="16">
        <f>IFERROR(__xludf.DUMMYFUNCTION("""COMPUTED_VALUE"""),23.0)</f>
        <v>23</v>
      </c>
      <c r="I237" s="16" t="str">
        <f>IFERROR(__xludf.DUMMYFUNCTION("""COMPUTED_VALUE"""),"2p60")</f>
        <v>2p60</v>
      </c>
      <c r="J237" s="16">
        <f>IFERROR(__xludf.DUMMYFUNCTION("""COMPUTED_VALUE"""),10.0)</f>
        <v>10</v>
      </c>
      <c r="K237" s="16">
        <f>IFERROR(__xludf.DUMMYFUNCTION("""COMPUTED_VALUE"""),14.0)</f>
        <v>14</v>
      </c>
      <c r="L237" s="16">
        <f>IFERROR(__xludf.DUMMYFUNCTION("""COMPUTED_VALUE"""),1.0)</f>
        <v>1</v>
      </c>
      <c r="M237" s="16">
        <f>IFERROR(__xludf.DUMMYFUNCTION("""COMPUTED_VALUE"""),1.0)</f>
        <v>1</v>
      </c>
      <c r="N237" s="16">
        <f>IFERROR(__xludf.DUMMYFUNCTION("""COMPUTED_VALUE"""),1.0)</f>
        <v>1</v>
      </c>
      <c r="O237" s="16">
        <f>IFERROR(__xludf.DUMMYFUNCTION("""COMPUTED_VALUE"""),1.0)</f>
        <v>1</v>
      </c>
      <c r="P237" s="16">
        <f>IFERROR(__xludf.DUMMYFUNCTION("""COMPUTED_VALUE"""),0.0)</f>
        <v>0</v>
      </c>
      <c r="Q237" s="16">
        <f>IFERROR(__xludf.DUMMYFUNCTION("""COMPUTED_VALUE"""),8.0)</f>
        <v>8</v>
      </c>
      <c r="R237" s="16">
        <f>IFERROR(__xludf.DUMMYFUNCTION("""COMPUTED_VALUE"""),-3.0)</f>
        <v>-3</v>
      </c>
      <c r="S237" s="16">
        <f>IFERROR(__xludf.DUMMYFUNCTION("""COMPUTED_VALUE"""),0.0)</f>
        <v>0</v>
      </c>
      <c r="T237" s="16">
        <f>IFERROR(__xludf.DUMMYFUNCTION("""COMPUTED_VALUE"""),-3.0)</f>
        <v>-3</v>
      </c>
      <c r="U237" s="16">
        <f>IFERROR(__xludf.DUMMYFUNCTION("""COMPUTED_VALUE"""),0.0)</f>
        <v>0</v>
      </c>
      <c r="V237" s="16">
        <f>IFERROR(__xludf.DUMMYFUNCTION("""COMPUTED_VALUE"""),9.3)</f>
        <v>9.3</v>
      </c>
      <c r="W237" s="16">
        <f>IFERROR(__xludf.DUMMYFUNCTION("""COMPUTED_VALUE"""),22.3)</f>
        <v>22.3</v>
      </c>
      <c r="X237" s="16">
        <f>IFERROR(__xludf.DUMMYFUNCTION("""COMPUTED_VALUE"""),-2.0)</f>
        <v>-2</v>
      </c>
      <c r="Y237" s="16">
        <f>IFERROR(__xludf.DUMMYFUNCTION("""COMPUTED_VALUE"""),0.0)</f>
        <v>0</v>
      </c>
      <c r="Z237" s="16">
        <f>IFERROR(__xludf.DUMMYFUNCTION("""COMPUTED_VALUE"""),-4.0)</f>
        <v>-4</v>
      </c>
      <c r="AA237" s="16">
        <f>IFERROR(__xludf.DUMMYFUNCTION("""COMPUTED_VALUE"""),0.0)</f>
        <v>0</v>
      </c>
      <c r="AB237" s="16">
        <f>IFERROR(__xludf.DUMMYFUNCTION("""COMPUTED_VALUE"""),12.3)</f>
        <v>12.3</v>
      </c>
      <c r="AC237" s="16">
        <f>IFERROR(__xludf.DUMMYFUNCTION("""COMPUTED_VALUE"""),33.3)</f>
        <v>33.3</v>
      </c>
      <c r="AD237" s="16">
        <f>IFERROR(__xludf.DUMMYFUNCTION("""COMPUTED_VALUE"""),-2.0)</f>
        <v>-2</v>
      </c>
      <c r="AE237" s="16">
        <f>IFERROR(__xludf.DUMMYFUNCTION("""COMPUTED_VALUE"""),0.0)</f>
        <v>0</v>
      </c>
      <c r="AF237" s="16">
        <f>IFERROR(__xludf.DUMMYFUNCTION("""COMPUTED_VALUE"""),-10.0)</f>
        <v>-10</v>
      </c>
      <c r="AG237" s="16">
        <f>IFERROR(__xludf.DUMMYFUNCTION("""COMPUTED_VALUE"""),0.0)</f>
        <v>0</v>
      </c>
      <c r="AH237" s="16">
        <f>IFERROR(__xludf.DUMMYFUNCTION("""COMPUTED_VALUE"""),22.0)</f>
        <v>22</v>
      </c>
      <c r="AI237" s="16">
        <f>IFERROR(__xludf.DUMMYFUNCTION("""COMPUTED_VALUE"""),31.6)</f>
        <v>31.6</v>
      </c>
      <c r="AJ237" s="16">
        <f>IFERROR(__xludf.DUMMYFUNCTION("""COMPUTED_VALUE"""),-1.0)</f>
        <v>-1</v>
      </c>
      <c r="AK237" s="16">
        <f>IFERROR(__xludf.DUMMYFUNCTION("""COMPUTED_VALUE"""),0.0)</f>
        <v>0</v>
      </c>
      <c r="AL237" s="16">
        <f>IFERROR(__xludf.DUMMYFUNCTION("""COMPUTED_VALUE"""),-5.0)</f>
        <v>-5</v>
      </c>
      <c r="AM237" s="16">
        <f>IFERROR(__xludf.DUMMYFUNCTION("""COMPUTED_VALUE"""),0.0)</f>
        <v>0</v>
      </c>
      <c r="AN237" s="16">
        <f>IFERROR(__xludf.DUMMYFUNCTION("""COMPUTED_VALUE"""),2.5)</f>
        <v>2.5</v>
      </c>
      <c r="AO237" s="16">
        <f>IFERROR(__xludf.DUMMYFUNCTION("""COMPUTED_VALUE"""),1.8)</f>
        <v>1.8</v>
      </c>
      <c r="AP237" s="16">
        <f>IFERROR(__xludf.DUMMYFUNCTION("""COMPUTED_VALUE"""),0.0)</f>
        <v>0</v>
      </c>
      <c r="AQ237" s="16">
        <f>IFERROR(__xludf.DUMMYFUNCTION("""COMPUTED_VALUE"""),-1.0)</f>
        <v>-1</v>
      </c>
      <c r="AR237" s="16">
        <f>IFERROR(__xludf.DUMMYFUNCTION("""COMPUTED_VALUE"""),0.0)</f>
        <v>0</v>
      </c>
      <c r="AS237" s="16">
        <f>IFERROR(__xludf.DUMMYFUNCTION("""COMPUTED_VALUE"""),-2.0)</f>
        <v>-2</v>
      </c>
      <c r="AT237" s="16"/>
      <c r="AU237" s="16">
        <f>IFERROR(__xludf.DUMMYFUNCTION("""COMPUTED_VALUE"""),2.0)</f>
        <v>2</v>
      </c>
      <c r="AV237" s="16">
        <f>IFERROR(__xludf.DUMMYFUNCTION("""COMPUTED_VALUE"""),-3.0)</f>
        <v>-3</v>
      </c>
      <c r="AW237" s="16">
        <f>IFERROR(__xludf.DUMMYFUNCTION("""COMPUTED_VALUE"""),2.0)</f>
        <v>2</v>
      </c>
      <c r="AX237" s="16">
        <f>IFERROR(__xludf.DUMMYFUNCTION("""COMPUTED_VALUE"""),-3.0)</f>
        <v>-3</v>
      </c>
      <c r="AY237" s="16">
        <f>IFERROR(__xludf.DUMMYFUNCTION("""COMPUTED_VALUE"""),0.0)</f>
        <v>0</v>
      </c>
      <c r="AZ237" s="16">
        <f>IFERROR(__xludf.DUMMYFUNCTION("""COMPUTED_VALUE"""),-9.0)</f>
        <v>-9</v>
      </c>
      <c r="BA237" s="16">
        <f>IFERROR(__xludf.DUMMYFUNCTION("""COMPUTED_VALUE"""),0.0)</f>
        <v>0</v>
      </c>
      <c r="BB237" s="16">
        <f>IFERROR(__xludf.DUMMYFUNCTION("""COMPUTED_VALUE"""),5.0)</f>
        <v>5</v>
      </c>
      <c r="BC237" s="16">
        <f>IFERROR(__xludf.DUMMYFUNCTION("""COMPUTED_VALUE"""),5.0)</f>
        <v>5</v>
      </c>
      <c r="BD237" s="16">
        <f>IFERROR(__xludf.DUMMYFUNCTION("""COMPUTED_VALUE"""),1.0)</f>
        <v>1</v>
      </c>
      <c r="BE237" s="16">
        <f>IFERROR(__xludf.DUMMYFUNCTION("""COMPUTED_VALUE"""),1.0)</f>
        <v>1</v>
      </c>
      <c r="BF237" s="16">
        <f>IFERROR(__xludf.DUMMYFUNCTION("""COMPUTED_VALUE"""),1.0)</f>
        <v>1</v>
      </c>
      <c r="BG237" s="16">
        <f>IFERROR(__xludf.DUMMYFUNCTION("""COMPUTED_VALUE"""),1.0)</f>
        <v>1</v>
      </c>
      <c r="BH237" s="16">
        <f>IFERROR(__xludf.DUMMYFUNCTION("""COMPUTED_VALUE"""),-1.0)</f>
        <v>-1</v>
      </c>
      <c r="BI237" s="16">
        <f>IFERROR(__xludf.DUMMYFUNCTION("""COMPUTED_VALUE"""),-6.0)</f>
        <v>-6</v>
      </c>
      <c r="BJ237" s="16">
        <f>IFERROR(__xludf.DUMMYFUNCTION("""COMPUTED_VALUE"""),11.0)</f>
        <v>11</v>
      </c>
      <c r="BK237" s="16">
        <f>IFERROR(__xludf.DUMMYFUNCTION("""COMPUTED_VALUE"""),10.0)</f>
        <v>10</v>
      </c>
      <c r="BL237" s="16">
        <f>IFERROR(__xludf.DUMMYFUNCTION("""COMPUTED_VALUE"""),0.0)</f>
        <v>0</v>
      </c>
      <c r="BM237" s="16">
        <f>IFERROR(__xludf.DUMMYFUNCTION("""COMPUTED_VALUE"""),0.0)</f>
        <v>0</v>
      </c>
      <c r="BN237" s="16">
        <f>IFERROR(__xludf.DUMMYFUNCTION("""COMPUTED_VALUE"""),0.0)</f>
        <v>0</v>
      </c>
      <c r="BO237" s="16">
        <f>IFERROR(__xludf.DUMMYFUNCTION("""COMPUTED_VALUE"""),0.0)</f>
        <v>0</v>
      </c>
      <c r="BP237" s="16">
        <f>IFERROR(__xludf.DUMMYFUNCTION("""COMPUTED_VALUE"""),-9.0)</f>
        <v>-9</v>
      </c>
      <c r="BQ237" s="16">
        <f>IFERROR(__xludf.DUMMYFUNCTION("""COMPUTED_VALUE"""),1.0)</f>
        <v>1</v>
      </c>
      <c r="BR237" s="16">
        <f>IFERROR(__xludf.DUMMYFUNCTION("""COMPUTED_VALUE"""),-8.0)</f>
        <v>-8</v>
      </c>
      <c r="BS237" s="16" t="str">
        <f>IFERROR(__xludf.DUMMYFUNCTION("""COMPUTED_VALUE"""),"-/- (---)")</f>
        <v>-/- (---)</v>
      </c>
      <c r="BT237" s="16" t="str">
        <f>IFERROR(__xludf.DUMMYFUNCTION("""COMPUTED_VALUE"""),"E")</f>
        <v>E</v>
      </c>
      <c r="BU237" s="16">
        <f>IFERROR(__xludf.DUMMYFUNCTION("""COMPUTED_VALUE"""),9.0)</f>
        <v>9</v>
      </c>
      <c r="BV237" s="16">
        <f>IFERROR(__xludf.DUMMYFUNCTION("""COMPUTED_VALUE"""),0.0)</f>
        <v>0</v>
      </c>
      <c r="BW237" s="16">
        <f>IFERROR(__xludf.DUMMYFUNCTION("""COMPUTED_VALUE"""),-1.0)</f>
        <v>-1</v>
      </c>
      <c r="BX237" s="16">
        <f>IFERROR(__xludf.DUMMYFUNCTION("""COMPUTED_VALUE"""),0.0)</f>
        <v>0</v>
      </c>
      <c r="BY237" s="16">
        <f>IFERROR(__xludf.DUMMYFUNCTION("""COMPUTED_VALUE"""),-3.0)</f>
        <v>-3</v>
      </c>
      <c r="BZ237" s="16" t="str">
        <f>IFERROR(__xludf.DUMMYFUNCTION("""COMPUTED_VALUE"""),"B")</f>
        <v>B</v>
      </c>
      <c r="CA237" s="16" t="str">
        <f>IFERROR(__xludf.DUMMYFUNCTION("""COMPUTED_VALUE"""),"B")</f>
        <v>B</v>
      </c>
      <c r="CB237" s="16">
        <f>IFERROR(__xludf.DUMMYFUNCTION("""COMPUTED_VALUE"""),1.0)</f>
        <v>1</v>
      </c>
      <c r="CC237" s="16">
        <f>IFERROR(__xludf.DUMMYFUNCTION("""COMPUTED_VALUE"""),1.0)</f>
        <v>1</v>
      </c>
      <c r="CD237" s="16">
        <f>IFERROR(__xludf.DUMMYFUNCTION("""COMPUTED_VALUE"""),1.0)</f>
        <v>1</v>
      </c>
      <c r="CE237" s="16">
        <f>IFERROR(__xludf.DUMMYFUNCTION("""COMPUTED_VALUE"""),2.0)</f>
        <v>2</v>
      </c>
      <c r="CF237" s="16">
        <f>IFERROR(__xludf.DUMMYFUNCTION("""COMPUTED_VALUE"""),2.0)</f>
        <v>2</v>
      </c>
      <c r="CG237" s="16">
        <f>IFERROR(__xludf.DUMMYFUNCTION("""COMPUTED_VALUE"""),-29.0)</f>
        <v>-29</v>
      </c>
      <c r="CH237" s="16">
        <f>IFERROR(__xludf.DUMMYFUNCTION("""COMPUTED_VALUE"""),0.0)</f>
        <v>0</v>
      </c>
      <c r="CI237" s="179">
        <f>IFERROR(__xludf.DUMMYFUNCTION("""COMPUTED_VALUE"""),-4.0)</f>
        <v>-4</v>
      </c>
      <c r="CJ237" s="16">
        <f>IFERROR(__xludf.DUMMYFUNCTION("""COMPUTED_VALUE"""),206.0)</f>
        <v>206</v>
      </c>
      <c r="CK237" s="16"/>
      <c r="CL237" s="16"/>
      <c r="CM237" s="16"/>
      <c r="CN237" s="16"/>
      <c r="CO237" s="16"/>
      <c r="CP237" s="16"/>
      <c r="CQ237" s="16"/>
      <c r="CR237" s="16" t="str">
        <f>IFERROR(__xludf.DUMMYFUNCTION("""COMPUTED_VALUE"""),"c-2(+1)e6,T-3(pb-2)")</f>
        <v>c-2(+1)e6,T-3(pb-2)</v>
      </c>
      <c r="CS237" s="16">
        <f>IFERROR(__xludf.DUMMYFUNCTION("""COMPUTED_VALUE"""),2.0)</f>
        <v>2</v>
      </c>
      <c r="CT237" s="16"/>
      <c r="CU237" s="16"/>
      <c r="CV237" s="16"/>
      <c r="CW237" s="16"/>
      <c r="CX237" s="16"/>
      <c r="CY237" s="16"/>
      <c r="CZ237" s="16"/>
      <c r="DA237" s="16">
        <f>IFERROR(__xludf.DUMMYFUNCTION("""COMPUTED_VALUE"""),6.0)</f>
        <v>6</v>
      </c>
      <c r="DB237" s="16"/>
      <c r="DC237" s="16"/>
      <c r="DD237" s="16"/>
      <c r="DE237" s="16"/>
      <c r="DF237" s="16"/>
      <c r="DG237" s="16"/>
      <c r="DH237" s="16"/>
      <c r="DI237" s="16">
        <f>IFERROR(__xludf.DUMMYFUNCTION("""COMPUTED_VALUE"""),2.0)</f>
        <v>2</v>
      </c>
      <c r="DJ237" s="16"/>
      <c r="DK237" s="16"/>
      <c r="DL237" s="16"/>
      <c r="DM237" s="16"/>
      <c r="DN237" s="16"/>
      <c r="DO237" s="16"/>
      <c r="DP237" s="16"/>
      <c r="DQ237" s="16">
        <f>IFERROR(__xludf.DUMMYFUNCTION("""COMPUTED_VALUE"""),2.0)</f>
        <v>2</v>
      </c>
      <c r="DR237" s="16"/>
      <c r="DS237" s="16"/>
      <c r="DT237" s="16"/>
      <c r="DU237" s="16"/>
      <c r="DV237" s="16"/>
      <c r="DW237" s="16"/>
      <c r="DX237" s="16"/>
      <c r="DY237" s="16">
        <f>IFERROR(__xludf.DUMMYFUNCTION("""COMPUTED_VALUE"""),4.0)</f>
        <v>4</v>
      </c>
      <c r="DZ237" s="16"/>
      <c r="EA237" s="16"/>
      <c r="EB237" s="16"/>
      <c r="EC237" s="16"/>
      <c r="ED237" s="16"/>
      <c r="EE237" s="16"/>
      <c r="EF237" s="16"/>
      <c r="EG237" s="179">
        <f>IFERROR(__xludf.DUMMYFUNCTION("""COMPUTED_VALUE"""),1.0)</f>
        <v>1</v>
      </c>
      <c r="EH237" s="179"/>
      <c r="EI237" s="179"/>
      <c r="EJ237" s="179"/>
      <c r="EK237" s="179"/>
      <c r="EL237" s="179"/>
      <c r="EM237" s="179"/>
      <c r="EN237" s="179"/>
      <c r="EO237" s="16">
        <f>IFERROR(__xludf.DUMMYFUNCTION("""COMPUTED_VALUE"""),1.0)</f>
        <v>1</v>
      </c>
      <c r="EP237" s="16"/>
      <c r="EQ237" s="16">
        <f>IFERROR(__xludf.DUMMYFUNCTION("""COMPUTED_VALUE"""),2.0)</f>
        <v>2</v>
      </c>
      <c r="ER237" s="16">
        <f>IFERROR(__xludf.DUMMYFUNCTION("""COMPUTED_VALUE"""),1.0)</f>
        <v>1</v>
      </c>
      <c r="ES237" s="16" t="str">
        <f>IFERROR(__xludf.DUMMYFUNCTION("""COMPUTED_VALUE"""),"c-2")</f>
        <v>c-2</v>
      </c>
      <c r="ET237" s="16" t="str">
        <f>IFERROR(__xludf.DUMMYFUNCTION("""COMPUTED_VALUE"""),"+1)e6,T-3")</f>
        <v>+1)e6,T-3</v>
      </c>
      <c r="EU237" s="16" t="str">
        <f>IFERROR(__xludf.DUMMYFUNCTION("""COMPUTED_VALUE"""),"pb-2)")</f>
        <v>pb-2)</v>
      </c>
      <c r="EV237" s="16"/>
      <c r="EW237" s="16">
        <f>IFERROR(__xludf.DUMMYFUNCTION("""COMPUTED_VALUE"""),1.0)</f>
        <v>1</v>
      </c>
      <c r="EX237" s="180">
        <f>IFERROR(__xludf.DUMMYFUNCTION("""COMPUTED_VALUE"""),0.1)</f>
        <v>0.1</v>
      </c>
      <c r="EY237" s="180"/>
      <c r="EZ237" s="180"/>
      <c r="FA237" s="180"/>
      <c r="FB237" s="180"/>
      <c r="FC237" s="180"/>
      <c r="FD237" s="180"/>
      <c r="FE237" s="180"/>
      <c r="FF237" s="180">
        <f>IFERROR(__xludf.DUMMYFUNCTION("""COMPUTED_VALUE"""),0.075)</f>
        <v>0.075</v>
      </c>
      <c r="FG237" s="180"/>
      <c r="FH237" s="180"/>
      <c r="FI237" s="180"/>
      <c r="FJ237" s="180"/>
      <c r="FK237" s="180"/>
      <c r="FL237" s="180"/>
      <c r="FM237" s="180"/>
      <c r="FN237" s="16">
        <f>IFERROR(__xludf.DUMMYFUNCTION("""COMPUTED_VALUE"""),0.8325)</f>
        <v>0.8325</v>
      </c>
      <c r="FO237" s="16"/>
      <c r="FP237" s="16"/>
      <c r="FQ237" s="16"/>
      <c r="FR237" s="16"/>
      <c r="FS237" s="16"/>
      <c r="FT237" s="16"/>
      <c r="FU237" s="16"/>
      <c r="FV237" s="16">
        <f>IFERROR(__xludf.DUMMYFUNCTION("""COMPUTED_VALUE"""),0.0)</f>
        <v>0</v>
      </c>
      <c r="FW237" s="16"/>
      <c r="FX237" s="16"/>
      <c r="FY237" s="16"/>
      <c r="FZ237" s="16"/>
      <c r="GA237" s="16"/>
      <c r="GB237" s="16"/>
      <c r="GC237" s="16"/>
      <c r="GD237" s="16" t="s">
        <v>176</v>
      </c>
    </row>
    <row r="238">
      <c r="A238" s="16">
        <f>IFERROR(__xludf.DUMMYFUNCTION("""COMPUTED_VALUE"""),13480.0)</f>
        <v>13480</v>
      </c>
      <c r="B238" s="16" t="str">
        <f>IFERROR(__xludf.DUMMYFUNCTION("""COMPUTED_VALUE"""),"Will Brennan")</f>
        <v>Will Brennan</v>
      </c>
      <c r="C238" s="16">
        <f>IFERROR(__xludf.DUMMYFUNCTION("""COMPUTED_VALUE"""),0.0)</f>
        <v>0</v>
      </c>
      <c r="D238" s="16" t="str">
        <f>IFERROR(__xludf.DUMMYFUNCTION("""COMPUTED_VALUE"""),"L")</f>
        <v>L</v>
      </c>
      <c r="E238" s="16"/>
      <c r="F238" s="16"/>
      <c r="G238" s="16">
        <f>IFERROR(__xludf.DUMMYFUNCTION("""COMPUTED_VALUE"""),330.0)</f>
        <v>330</v>
      </c>
      <c r="H238" s="16">
        <f>IFERROR(__xludf.DUMMYFUNCTION("""COMPUTED_VALUE"""),19.0)</f>
        <v>19</v>
      </c>
      <c r="I238" s="16" t="str">
        <f>IFERROR(__xludf.DUMMYFUNCTION("""COMPUTED_VALUE"""),"1p60")</f>
        <v>1p60</v>
      </c>
      <c r="J238" s="16">
        <f>IFERROR(__xludf.DUMMYFUNCTION("""COMPUTED_VALUE"""),9.0)</f>
        <v>9</v>
      </c>
      <c r="K238" s="16">
        <f>IFERROR(__xludf.DUMMYFUNCTION("""COMPUTED_VALUE"""),5.0)</f>
        <v>5</v>
      </c>
      <c r="L238" s="16">
        <f>IFERROR(__xludf.DUMMYFUNCTION("""COMPUTED_VALUE"""),1.0)</f>
        <v>1</v>
      </c>
      <c r="M238" s="16">
        <f>IFERROR(__xludf.DUMMYFUNCTION("""COMPUTED_VALUE"""),2.0)</f>
        <v>2</v>
      </c>
      <c r="N238" s="16">
        <f>IFERROR(__xludf.DUMMYFUNCTION("""COMPUTED_VALUE"""),1.0)</f>
        <v>1</v>
      </c>
      <c r="O238" s="16">
        <f>IFERROR(__xludf.DUMMYFUNCTION("""COMPUTED_VALUE"""),2.0)</f>
        <v>2</v>
      </c>
      <c r="P238" s="16">
        <f>IFERROR(__xludf.DUMMYFUNCTION("""COMPUTED_VALUE"""),0.0)</f>
        <v>0</v>
      </c>
      <c r="Q238" s="16">
        <f>IFERROR(__xludf.DUMMYFUNCTION("""COMPUTED_VALUE"""),2.0)</f>
        <v>2</v>
      </c>
      <c r="R238" s="16">
        <f>IFERROR(__xludf.DUMMYFUNCTION("""COMPUTED_VALUE"""),-3.0)</f>
        <v>-3</v>
      </c>
      <c r="S238" s="16">
        <f>IFERROR(__xludf.DUMMYFUNCTION("""COMPUTED_VALUE"""),-2.0)</f>
        <v>-2</v>
      </c>
      <c r="T238" s="16">
        <f>IFERROR(__xludf.DUMMYFUNCTION("""COMPUTED_VALUE"""),-3.0)</f>
        <v>-3</v>
      </c>
      <c r="U238" s="16">
        <f>IFERROR(__xludf.DUMMYFUNCTION("""COMPUTED_VALUE"""),-2.0)</f>
        <v>-2</v>
      </c>
      <c r="V238" s="16">
        <f>IFERROR(__xludf.DUMMYFUNCTION("""COMPUTED_VALUE"""),4.7)</f>
        <v>4.7</v>
      </c>
      <c r="W238" s="16">
        <f>IFERROR(__xludf.DUMMYFUNCTION("""COMPUTED_VALUE"""),28.9)</f>
        <v>28.9</v>
      </c>
      <c r="X238" s="16">
        <f>IFERROR(__xludf.DUMMYFUNCTION("""COMPUTED_VALUE"""),-2.0)</f>
        <v>-2</v>
      </c>
      <c r="Y238" s="16">
        <f>IFERROR(__xludf.DUMMYFUNCTION("""COMPUTED_VALUE"""),2.0)</f>
        <v>2</v>
      </c>
      <c r="Z238" s="16">
        <f>IFERROR(__xludf.DUMMYFUNCTION("""COMPUTED_VALUE"""),-4.0)</f>
        <v>-4</v>
      </c>
      <c r="AA238" s="16">
        <f>IFERROR(__xludf.DUMMYFUNCTION("""COMPUTED_VALUE"""),4.0)</f>
        <v>4</v>
      </c>
      <c r="AB238" s="16">
        <f>IFERROR(__xludf.DUMMYFUNCTION("""COMPUTED_VALUE"""),6.7)</f>
        <v>6.7</v>
      </c>
      <c r="AC238" s="16">
        <f>IFERROR(__xludf.DUMMYFUNCTION("""COMPUTED_VALUE"""),32.9)</f>
        <v>32.9</v>
      </c>
      <c r="AD238" s="16">
        <f>IFERROR(__xludf.DUMMYFUNCTION("""COMPUTED_VALUE"""),-2.0)</f>
        <v>-2</v>
      </c>
      <c r="AE238" s="16">
        <f>IFERROR(__xludf.DUMMYFUNCTION("""COMPUTED_VALUE"""),0.0)</f>
        <v>0</v>
      </c>
      <c r="AF238" s="16">
        <f>IFERROR(__xludf.DUMMYFUNCTION("""COMPUTED_VALUE"""),-10.0)</f>
        <v>-10</v>
      </c>
      <c r="AG238" s="16">
        <f>IFERROR(__xludf.DUMMYFUNCTION("""COMPUTED_VALUE"""),0.0)</f>
        <v>0</v>
      </c>
      <c r="AH238" s="16">
        <f>IFERROR(__xludf.DUMMYFUNCTION("""COMPUTED_VALUE"""),8.4)</f>
        <v>8.4</v>
      </c>
      <c r="AI238" s="16">
        <f>IFERROR(__xludf.DUMMYFUNCTION("""COMPUTED_VALUE"""),37.6)</f>
        <v>37.6</v>
      </c>
      <c r="AJ238" s="16">
        <f>IFERROR(__xludf.DUMMYFUNCTION("""COMPUTED_VALUE"""),-2.0)</f>
        <v>-2</v>
      </c>
      <c r="AK238" s="16">
        <f>IFERROR(__xludf.DUMMYFUNCTION("""COMPUTED_VALUE"""),1.0)</f>
        <v>1</v>
      </c>
      <c r="AL238" s="16">
        <f>IFERROR(__xludf.DUMMYFUNCTION("""COMPUTED_VALUE"""),-10.0)</f>
        <v>-10</v>
      </c>
      <c r="AM238" s="16">
        <f>IFERROR(__xludf.DUMMYFUNCTION("""COMPUTED_VALUE"""),5.0)</f>
        <v>5</v>
      </c>
      <c r="AN238" s="16">
        <f>IFERROR(__xludf.DUMMYFUNCTION("""COMPUTED_VALUE"""),0.0)</f>
        <v>0</v>
      </c>
      <c r="AO238" s="16">
        <f>IFERROR(__xludf.DUMMYFUNCTION("""COMPUTED_VALUE"""),1.5)</f>
        <v>1.5</v>
      </c>
      <c r="AP238" s="16">
        <f>IFERROR(__xludf.DUMMYFUNCTION("""COMPUTED_VALUE"""),-2.0)</f>
        <v>-2</v>
      </c>
      <c r="AQ238" s="16">
        <f>IFERROR(__xludf.DUMMYFUNCTION("""COMPUTED_VALUE"""),-1.0)</f>
        <v>-1</v>
      </c>
      <c r="AR238" s="16">
        <f>IFERROR(__xludf.DUMMYFUNCTION("""COMPUTED_VALUE"""),-4.0)</f>
        <v>-4</v>
      </c>
      <c r="AS238" s="16">
        <f>IFERROR(__xludf.DUMMYFUNCTION("""COMPUTED_VALUE"""),-2.0)</f>
        <v>-2</v>
      </c>
      <c r="AT238" s="16"/>
      <c r="AU238" s="16">
        <f>IFERROR(__xludf.DUMMYFUNCTION("""COMPUTED_VALUE"""),1.0)</f>
        <v>1</v>
      </c>
      <c r="AV238" s="16">
        <f>IFERROR(__xludf.DUMMYFUNCTION("""COMPUTED_VALUE"""),-3.0)</f>
        <v>-3</v>
      </c>
      <c r="AW238" s="16">
        <f>IFERROR(__xludf.DUMMYFUNCTION("""COMPUTED_VALUE"""),1.0)</f>
        <v>1</v>
      </c>
      <c r="AX238" s="16">
        <f>IFERROR(__xludf.DUMMYFUNCTION("""COMPUTED_VALUE"""),-3.0)</f>
        <v>-3</v>
      </c>
      <c r="AY238" s="16">
        <f>IFERROR(__xludf.DUMMYFUNCTION("""COMPUTED_VALUE"""),-1.0)</f>
        <v>-1</v>
      </c>
      <c r="AZ238" s="16">
        <f>IFERROR(__xludf.DUMMYFUNCTION("""COMPUTED_VALUE"""),-9.0)</f>
        <v>-9</v>
      </c>
      <c r="BA238" s="16">
        <f>IFERROR(__xludf.DUMMYFUNCTION("""COMPUTED_VALUE"""),-3.0)</f>
        <v>-3</v>
      </c>
      <c r="BB238" s="16">
        <f>IFERROR(__xludf.DUMMYFUNCTION("""COMPUTED_VALUE"""),0.0)</f>
        <v>0</v>
      </c>
      <c r="BC238" s="16">
        <f>IFERROR(__xludf.DUMMYFUNCTION("""COMPUTED_VALUE"""),5.0)</f>
        <v>5</v>
      </c>
      <c r="BD238" s="16">
        <f>IFERROR(__xludf.DUMMYFUNCTION("""COMPUTED_VALUE"""),0.0)</f>
        <v>0</v>
      </c>
      <c r="BE238" s="16">
        <f>IFERROR(__xludf.DUMMYFUNCTION("""COMPUTED_VALUE"""),1.0)</f>
        <v>1</v>
      </c>
      <c r="BF238" s="16">
        <f>IFERROR(__xludf.DUMMYFUNCTION("""COMPUTED_VALUE"""),0.0)</f>
        <v>0</v>
      </c>
      <c r="BG238" s="16">
        <f>IFERROR(__xludf.DUMMYFUNCTION("""COMPUTED_VALUE"""),1.0)</f>
        <v>1</v>
      </c>
      <c r="BH238" s="16">
        <f>IFERROR(__xludf.DUMMYFUNCTION("""COMPUTED_VALUE"""),0.0)</f>
        <v>0</v>
      </c>
      <c r="BI238" s="16">
        <f>IFERROR(__xludf.DUMMYFUNCTION("""COMPUTED_VALUE"""),-3.0)</f>
        <v>-3</v>
      </c>
      <c r="BJ238" s="16">
        <f>IFERROR(__xludf.DUMMYFUNCTION("""COMPUTED_VALUE"""),21.0)</f>
        <v>21</v>
      </c>
      <c r="BK238" s="16">
        <f>IFERROR(__xludf.DUMMYFUNCTION("""COMPUTED_VALUE"""),20.0)</f>
        <v>20</v>
      </c>
      <c r="BL238" s="16">
        <f>IFERROR(__xludf.DUMMYFUNCTION("""COMPUTED_VALUE"""),-2.0)</f>
        <v>-2</v>
      </c>
      <c r="BM238" s="16">
        <f>IFERROR(__xludf.DUMMYFUNCTION("""COMPUTED_VALUE"""),-2.0)</f>
        <v>-2</v>
      </c>
      <c r="BN238" s="16">
        <f>IFERROR(__xludf.DUMMYFUNCTION("""COMPUTED_VALUE"""),-4.0)</f>
        <v>-4</v>
      </c>
      <c r="BO238" s="16">
        <f>IFERROR(__xludf.DUMMYFUNCTION("""COMPUTED_VALUE"""),-4.0)</f>
        <v>-4</v>
      </c>
      <c r="BP238" s="16">
        <f>IFERROR(__xludf.DUMMYFUNCTION("""COMPUTED_VALUE"""),-15.0)</f>
        <v>-15</v>
      </c>
      <c r="BQ238" s="16">
        <f>IFERROR(__xludf.DUMMYFUNCTION("""COMPUTED_VALUE"""),0.0)</f>
        <v>0</v>
      </c>
      <c r="BR238" s="16">
        <f>IFERROR(__xludf.DUMMYFUNCTION("""COMPUTED_VALUE"""),-15.0)</f>
        <v>-15</v>
      </c>
      <c r="BS238" s="16" t="str">
        <f>IFERROR(__xludf.DUMMYFUNCTION("""COMPUTED_VALUE"""),"5,6/- (13-6)")</f>
        <v>5,6/- (13-6)</v>
      </c>
      <c r="BT238" s="16" t="str">
        <f>IFERROR(__xludf.DUMMYFUNCTION("""COMPUTED_VALUE"""),"C")</f>
        <v>C</v>
      </c>
      <c r="BU238" s="16">
        <f>IFERROR(__xludf.DUMMYFUNCTION("""COMPUTED_VALUE"""),13.0)</f>
        <v>13</v>
      </c>
      <c r="BV238" s="16">
        <f>IFERROR(__xludf.DUMMYFUNCTION("""COMPUTED_VALUE"""),0.0)</f>
        <v>0</v>
      </c>
      <c r="BW238" s="16">
        <f>IFERROR(__xludf.DUMMYFUNCTION("""COMPUTED_VALUE"""),1.0)</f>
        <v>1</v>
      </c>
      <c r="BX238" s="16">
        <f>IFERROR(__xludf.DUMMYFUNCTION("""COMPUTED_VALUE"""),0.0)</f>
        <v>0</v>
      </c>
      <c r="BY238" s="16">
        <f>IFERROR(__xludf.DUMMYFUNCTION("""COMPUTED_VALUE"""),3.0)</f>
        <v>3</v>
      </c>
      <c r="BZ238" s="16" t="str">
        <f>IFERROR(__xludf.DUMMYFUNCTION("""COMPUTED_VALUE"""),"D")</f>
        <v>D</v>
      </c>
      <c r="CA238" s="16" t="str">
        <f>IFERROR(__xludf.DUMMYFUNCTION("""COMPUTED_VALUE"""),"C")</f>
        <v>C</v>
      </c>
      <c r="CB238" s="16">
        <f>IFERROR(__xludf.DUMMYFUNCTION("""COMPUTED_VALUE"""),0.0)</f>
        <v>0</v>
      </c>
      <c r="CC238" s="16">
        <f>IFERROR(__xludf.DUMMYFUNCTION("""COMPUTED_VALUE"""),0.0)</f>
        <v>0</v>
      </c>
      <c r="CD238" s="16">
        <f>IFERROR(__xludf.DUMMYFUNCTION("""COMPUTED_VALUE"""),0.0)</f>
        <v>0</v>
      </c>
      <c r="CE238" s="16">
        <f>IFERROR(__xludf.DUMMYFUNCTION("""COMPUTED_VALUE"""),0.0)</f>
        <v>0</v>
      </c>
      <c r="CF238" s="16">
        <f>IFERROR(__xludf.DUMMYFUNCTION("""COMPUTED_VALUE"""),1.0)</f>
        <v>1</v>
      </c>
      <c r="CG238" s="16">
        <f>IFERROR(__xludf.DUMMYFUNCTION("""COMPUTED_VALUE"""),-43.0)</f>
        <v>-43</v>
      </c>
      <c r="CH238" s="16">
        <f>IFERROR(__xludf.DUMMYFUNCTION("""COMPUTED_VALUE"""),1.0)</f>
        <v>1</v>
      </c>
      <c r="CI238" s="179">
        <f>IFERROR(__xludf.DUMMYFUNCTION("""COMPUTED_VALUE"""),-4.0)</f>
        <v>-4</v>
      </c>
      <c r="CJ238" s="16"/>
      <c r="CK238" s="16"/>
      <c r="CL238" s="16"/>
      <c r="CM238" s="16"/>
      <c r="CN238" s="16"/>
      <c r="CO238" s="16">
        <f>IFERROR(__xludf.DUMMYFUNCTION("""COMPUTED_VALUE"""),304.0)</f>
        <v>304</v>
      </c>
      <c r="CP238" s="16">
        <f>IFERROR(__xludf.DUMMYFUNCTION("""COMPUTED_VALUE"""),404.0)</f>
        <v>404</v>
      </c>
      <c r="CQ238" s="16">
        <f>IFERROR(__xludf.DUMMYFUNCTION("""COMPUTED_VALUE"""),304.0)</f>
        <v>304</v>
      </c>
      <c r="CR238" s="16" t="str">
        <f>IFERROR(__xludf.DUMMYFUNCTION("""COMPUTED_VALUE"""),"rf-3(-1)e4 lf-3e4 cf-4e4")</f>
        <v>rf-3(-1)e4 lf-3e4 cf-4e4</v>
      </c>
      <c r="CS238" s="16"/>
      <c r="CT238" s="16"/>
      <c r="CU238" s="16"/>
      <c r="CV238" s="16"/>
      <c r="CW238" s="16"/>
      <c r="CX238" s="16">
        <f>IFERROR(__xludf.DUMMYFUNCTION("""COMPUTED_VALUE"""),3.0)</f>
        <v>3</v>
      </c>
      <c r="CY238" s="16">
        <f>IFERROR(__xludf.DUMMYFUNCTION("""COMPUTED_VALUE"""),4.0)</f>
        <v>4</v>
      </c>
      <c r="CZ238" s="16">
        <f>IFERROR(__xludf.DUMMYFUNCTION("""COMPUTED_VALUE"""),3.0)</f>
        <v>3</v>
      </c>
      <c r="DA238" s="16"/>
      <c r="DB238" s="16"/>
      <c r="DC238" s="16"/>
      <c r="DD238" s="16"/>
      <c r="DE238" s="16"/>
      <c r="DF238" s="16">
        <f>IFERROR(__xludf.DUMMYFUNCTION("""COMPUTED_VALUE"""),4.0)</f>
        <v>4</v>
      </c>
      <c r="DG238" s="16">
        <f>IFERROR(__xludf.DUMMYFUNCTION("""COMPUTED_VALUE"""),4.0)</f>
        <v>4</v>
      </c>
      <c r="DH238" s="16">
        <f>IFERROR(__xludf.DUMMYFUNCTION("""COMPUTED_VALUE"""),4.0)</f>
        <v>4</v>
      </c>
      <c r="DI238" s="16"/>
      <c r="DJ238" s="16"/>
      <c r="DK238" s="16"/>
      <c r="DL238" s="16"/>
      <c r="DM238" s="16"/>
      <c r="DN238" s="16">
        <f>IFERROR(__xludf.DUMMYFUNCTION("""COMPUTED_VALUE"""),0.0)</f>
        <v>0</v>
      </c>
      <c r="DO238" s="16">
        <f>IFERROR(__xludf.DUMMYFUNCTION("""COMPUTED_VALUE"""),-2.0)</f>
        <v>-2</v>
      </c>
      <c r="DP238" s="16">
        <f>IFERROR(__xludf.DUMMYFUNCTION("""COMPUTED_VALUE"""),0.0)</f>
        <v>0</v>
      </c>
      <c r="DQ238" s="16"/>
      <c r="DR238" s="16"/>
      <c r="DS238" s="16"/>
      <c r="DT238" s="16"/>
      <c r="DU238" s="16"/>
      <c r="DV238" s="16">
        <f>IFERROR(__xludf.DUMMYFUNCTION("""COMPUTED_VALUE"""),2.0)</f>
        <v>2</v>
      </c>
      <c r="DW238" s="16">
        <f>IFERROR(__xludf.DUMMYFUNCTION("""COMPUTED_VALUE"""),3.0)</f>
        <v>3</v>
      </c>
      <c r="DX238" s="16">
        <f>IFERROR(__xludf.DUMMYFUNCTION("""COMPUTED_VALUE"""),2.0)</f>
        <v>2</v>
      </c>
      <c r="DY238" s="16"/>
      <c r="DZ238" s="16"/>
      <c r="EA238" s="16"/>
      <c r="EB238" s="16"/>
      <c r="EC238" s="16"/>
      <c r="ED238" s="16">
        <f>IFERROR(__xludf.DUMMYFUNCTION("""COMPUTED_VALUE"""),2.0)</f>
        <v>2</v>
      </c>
      <c r="EE238" s="16">
        <f>IFERROR(__xludf.DUMMYFUNCTION("""COMPUTED_VALUE"""),1.0)</f>
        <v>1</v>
      </c>
      <c r="EF238" s="16">
        <f>IFERROR(__xludf.DUMMYFUNCTION("""COMPUTED_VALUE"""),2.0)</f>
        <v>2</v>
      </c>
      <c r="EG238" s="179"/>
      <c r="EH238" s="179"/>
      <c r="EI238" s="179"/>
      <c r="EJ238" s="179"/>
      <c r="EK238" s="179"/>
      <c r="EL238" s="179">
        <f>IFERROR(__xludf.DUMMYFUNCTION("""COMPUTED_VALUE"""),-2.0)</f>
        <v>-2</v>
      </c>
      <c r="EM238" s="179">
        <f>IFERROR(__xludf.DUMMYFUNCTION("""COMPUTED_VALUE"""),-3.0)</f>
        <v>-3</v>
      </c>
      <c r="EN238" s="179">
        <f>IFERROR(__xludf.DUMMYFUNCTION("""COMPUTED_VALUE"""),-2.0)</f>
        <v>-2</v>
      </c>
      <c r="EO238" s="16"/>
      <c r="EP238" s="16">
        <f>IFERROR(__xludf.DUMMYFUNCTION("""COMPUTED_VALUE"""),1.0)</f>
        <v>1</v>
      </c>
      <c r="EQ238" s="16">
        <f>IFERROR(__xludf.DUMMYFUNCTION("""COMPUTED_VALUE"""),4.0)</f>
        <v>4</v>
      </c>
      <c r="ER238" s="16">
        <f>IFERROR(__xludf.DUMMYFUNCTION("""COMPUTED_VALUE"""),1.0)</f>
        <v>1</v>
      </c>
      <c r="ES238" s="16"/>
      <c r="ET238" s="16"/>
      <c r="EU238" s="16"/>
      <c r="EV238" s="16"/>
      <c r="EW238" s="16"/>
      <c r="EX238" s="180"/>
      <c r="EY238" s="180"/>
      <c r="EZ238" s="180"/>
      <c r="FA238" s="180"/>
      <c r="FB238" s="180"/>
      <c r="FC238" s="180">
        <f>IFERROR(__xludf.DUMMYFUNCTION("""COMPUTED_VALUE"""),0.3)</f>
        <v>0.3</v>
      </c>
      <c r="FD238" s="180">
        <f>IFERROR(__xludf.DUMMYFUNCTION("""COMPUTED_VALUE"""),0.55)</f>
        <v>0.55</v>
      </c>
      <c r="FE238" s="180">
        <f>IFERROR(__xludf.DUMMYFUNCTION("""COMPUTED_VALUE"""),0.3)</f>
        <v>0.3</v>
      </c>
      <c r="FF238" s="180"/>
      <c r="FG238" s="180"/>
      <c r="FH238" s="180"/>
      <c r="FI238" s="180"/>
      <c r="FJ238" s="180"/>
      <c r="FK238" s="180">
        <f>IFERROR(__xludf.DUMMYFUNCTION("""COMPUTED_VALUE"""),0.069)</f>
        <v>0.069</v>
      </c>
      <c r="FL238" s="180">
        <f>IFERROR(__xludf.DUMMYFUNCTION("""COMPUTED_VALUE"""),0.046296296296296294)</f>
        <v>0.0462962963</v>
      </c>
      <c r="FM238" s="180">
        <f>IFERROR(__xludf.DUMMYFUNCTION("""COMPUTED_VALUE"""),0.069)</f>
        <v>0.069</v>
      </c>
      <c r="FN238" s="16"/>
      <c r="FO238" s="16"/>
      <c r="FP238" s="16"/>
      <c r="FQ238" s="16"/>
      <c r="FR238" s="16"/>
      <c r="FS238" s="16">
        <f>IFERROR(__xludf.DUMMYFUNCTION("""COMPUTED_VALUE"""),0.6517)</f>
        <v>0.6517</v>
      </c>
      <c r="FT238" s="16">
        <f>IFERROR(__xludf.DUMMYFUNCTION("""COMPUTED_VALUE"""),0.42916666666666664)</f>
        <v>0.4291666667</v>
      </c>
      <c r="FU238" s="16">
        <f>IFERROR(__xludf.DUMMYFUNCTION("""COMPUTED_VALUE"""),0.6517)</f>
        <v>0.6517</v>
      </c>
      <c r="FV238" s="16"/>
      <c r="FW238" s="16"/>
      <c r="FX238" s="16"/>
      <c r="FY238" s="16"/>
      <c r="FZ238" s="16"/>
      <c r="GA238" s="16">
        <f>IFERROR(__xludf.DUMMYFUNCTION("""COMPUTED_VALUE"""),-5.0)</f>
        <v>-5</v>
      </c>
      <c r="GB238" s="16">
        <f>IFERROR(__xludf.DUMMYFUNCTION("""COMPUTED_VALUE"""),-9.0)</f>
        <v>-9</v>
      </c>
      <c r="GC238" s="16">
        <f>IFERROR(__xludf.DUMMYFUNCTION("""COMPUTED_VALUE"""),-5.0)</f>
        <v>-5</v>
      </c>
      <c r="GD238" s="16" t="s">
        <v>176</v>
      </c>
    </row>
    <row r="239">
      <c r="A239" s="16">
        <f>IFERROR(__xludf.DUMMYFUNCTION("""COMPUTED_VALUE"""),12880.0)</f>
        <v>12880</v>
      </c>
      <c r="B239" s="16" t="str">
        <f>IFERROR(__xludf.DUMMYFUNCTION("""COMPUTED_VALUE"""),"Hunter Renfroe")</f>
        <v>Hunter Renfroe</v>
      </c>
      <c r="C239" s="16">
        <f>IFERROR(__xludf.DUMMYFUNCTION("""COMPUTED_VALUE"""),0.0)</f>
        <v>0</v>
      </c>
      <c r="D239" s="16" t="str">
        <f>IFERROR(__xludf.DUMMYFUNCTION("""COMPUTED_VALUE"""),"R")</f>
        <v>R</v>
      </c>
      <c r="E239" s="16"/>
      <c r="F239" s="16"/>
      <c r="G239" s="16">
        <f>IFERROR(__xludf.DUMMYFUNCTION("""COMPUTED_VALUE"""),385.0)</f>
        <v>385</v>
      </c>
      <c r="H239" s="16">
        <f>IFERROR(__xludf.DUMMYFUNCTION("""COMPUTED_VALUE"""),36.0)</f>
        <v>36</v>
      </c>
      <c r="I239" s="16" t="str">
        <f>IFERROR(__xludf.DUMMYFUNCTION("""COMPUTED_VALUE"""),"2p60")</f>
        <v>2p60</v>
      </c>
      <c r="J239" s="16">
        <f>IFERROR(__xludf.DUMMYFUNCTION("""COMPUTED_VALUE"""),14.0)</f>
        <v>14</v>
      </c>
      <c r="K239" s="16">
        <f>IFERROR(__xludf.DUMMYFUNCTION("""COMPUTED_VALUE"""),19.0)</f>
        <v>19</v>
      </c>
      <c r="L239" s="16">
        <f>IFERROR(__xludf.DUMMYFUNCTION("""COMPUTED_VALUE"""),1.0)</f>
        <v>1</v>
      </c>
      <c r="M239" s="16">
        <f>IFERROR(__xludf.DUMMYFUNCTION("""COMPUTED_VALUE"""),1.0)</f>
        <v>1</v>
      </c>
      <c r="N239" s="16">
        <f>IFERROR(__xludf.DUMMYFUNCTION("""COMPUTED_VALUE"""),1.0)</f>
        <v>1</v>
      </c>
      <c r="O239" s="16">
        <f>IFERROR(__xludf.DUMMYFUNCTION("""COMPUTED_VALUE"""),1.0)</f>
        <v>1</v>
      </c>
      <c r="P239" s="16">
        <f>IFERROR(__xludf.DUMMYFUNCTION("""COMPUTED_VALUE"""),10.0)</f>
        <v>10</v>
      </c>
      <c r="Q239" s="16">
        <f>IFERROR(__xludf.DUMMYFUNCTION("""COMPUTED_VALUE"""),10.0)</f>
        <v>10</v>
      </c>
      <c r="R239" s="16">
        <f>IFERROR(__xludf.DUMMYFUNCTION("""COMPUTED_VALUE"""),1.0)</f>
        <v>1</v>
      </c>
      <c r="S239" s="16">
        <f>IFERROR(__xludf.DUMMYFUNCTION("""COMPUTED_VALUE"""),0.0)</f>
        <v>0</v>
      </c>
      <c r="T239" s="16">
        <f>IFERROR(__xludf.DUMMYFUNCTION("""COMPUTED_VALUE"""),1.0)</f>
        <v>1</v>
      </c>
      <c r="U239" s="16">
        <f>IFERROR(__xludf.DUMMYFUNCTION("""COMPUTED_VALUE"""),0.0)</f>
        <v>0</v>
      </c>
      <c r="V239" s="16">
        <f>IFERROR(__xludf.DUMMYFUNCTION("""COMPUTED_VALUE"""),12.4)</f>
        <v>12.4</v>
      </c>
      <c r="W239" s="16">
        <f>IFERROR(__xludf.DUMMYFUNCTION("""COMPUTED_VALUE"""),14.3)</f>
        <v>14.3</v>
      </c>
      <c r="X239" s="16">
        <f>IFERROR(__xludf.DUMMYFUNCTION("""COMPUTED_VALUE"""),-1.0)</f>
        <v>-1</v>
      </c>
      <c r="Y239" s="16">
        <f>IFERROR(__xludf.DUMMYFUNCTION("""COMPUTED_VALUE"""),-1.0)</f>
        <v>-1</v>
      </c>
      <c r="Z239" s="16">
        <f>IFERROR(__xludf.DUMMYFUNCTION("""COMPUTED_VALUE"""),-2.0)</f>
        <v>-2</v>
      </c>
      <c r="AA239" s="16">
        <f>IFERROR(__xludf.DUMMYFUNCTION("""COMPUTED_VALUE"""),-2.0)</f>
        <v>-2</v>
      </c>
      <c r="AB239" s="16">
        <f>IFERROR(__xludf.DUMMYFUNCTION("""COMPUTED_VALUE"""),23.4)</f>
        <v>23.4</v>
      </c>
      <c r="AC239" s="16">
        <f>IFERROR(__xludf.DUMMYFUNCTION("""COMPUTED_VALUE"""),25.3)</f>
        <v>25.3</v>
      </c>
      <c r="AD239" s="16">
        <f>IFERROR(__xludf.DUMMYFUNCTION("""COMPUTED_VALUE"""),-1.0)</f>
        <v>-1</v>
      </c>
      <c r="AE239" s="16">
        <f>IFERROR(__xludf.DUMMYFUNCTION("""COMPUTED_VALUE"""),-1.0)</f>
        <v>-1</v>
      </c>
      <c r="AF239" s="16">
        <f>IFERROR(__xludf.DUMMYFUNCTION("""COMPUTED_VALUE"""),-5.0)</f>
        <v>-5</v>
      </c>
      <c r="AG239" s="16">
        <f>IFERROR(__xludf.DUMMYFUNCTION("""COMPUTED_VALUE"""),-5.0)</f>
        <v>-5</v>
      </c>
      <c r="AH239" s="16">
        <f>IFERROR(__xludf.DUMMYFUNCTION("""COMPUTED_VALUE"""),26.1)</f>
        <v>26.1</v>
      </c>
      <c r="AI239" s="16">
        <f>IFERROR(__xludf.DUMMYFUNCTION("""COMPUTED_VALUE"""),25.4)</f>
        <v>25.4</v>
      </c>
      <c r="AJ239" s="16">
        <f>IFERROR(__xludf.DUMMYFUNCTION("""COMPUTED_VALUE"""),-1.0)</f>
        <v>-1</v>
      </c>
      <c r="AK239" s="16">
        <f>IFERROR(__xludf.DUMMYFUNCTION("""COMPUTED_VALUE"""),-1.0)</f>
        <v>-1</v>
      </c>
      <c r="AL239" s="16">
        <f>IFERROR(__xludf.DUMMYFUNCTION("""COMPUTED_VALUE"""),-5.0)</f>
        <v>-5</v>
      </c>
      <c r="AM239" s="16">
        <f>IFERROR(__xludf.DUMMYFUNCTION("""COMPUTED_VALUE"""),-5.0)</f>
        <v>-5</v>
      </c>
      <c r="AN239" s="16">
        <f>IFERROR(__xludf.DUMMYFUNCTION("""COMPUTED_VALUE"""),3.0)</f>
        <v>3</v>
      </c>
      <c r="AO239" s="16">
        <f>IFERROR(__xludf.DUMMYFUNCTION("""COMPUTED_VALUE"""),2.5)</f>
        <v>2.5</v>
      </c>
      <c r="AP239" s="16">
        <f>IFERROR(__xludf.DUMMYFUNCTION("""COMPUTED_VALUE"""),1.0)</f>
        <v>1</v>
      </c>
      <c r="AQ239" s="16">
        <f>IFERROR(__xludf.DUMMYFUNCTION("""COMPUTED_VALUE"""),0.0)</f>
        <v>0</v>
      </c>
      <c r="AR239" s="16">
        <f>IFERROR(__xludf.DUMMYFUNCTION("""COMPUTED_VALUE"""),2.0)</f>
        <v>2</v>
      </c>
      <c r="AS239" s="16">
        <f>IFERROR(__xludf.DUMMYFUNCTION("""COMPUTED_VALUE"""),0.0)</f>
        <v>0</v>
      </c>
      <c r="AT239" s="16">
        <f>IFERROR(__xludf.DUMMYFUNCTION("""COMPUTED_VALUE"""),5.0)</f>
        <v>5</v>
      </c>
      <c r="AU239" s="16">
        <f>IFERROR(__xludf.DUMMYFUNCTION("""COMPUTED_VALUE"""),4.0)</f>
        <v>4</v>
      </c>
      <c r="AV239" s="16">
        <f>IFERROR(__xludf.DUMMYFUNCTION("""COMPUTED_VALUE"""),5.0)</f>
        <v>5</v>
      </c>
      <c r="AW239" s="16">
        <f>IFERROR(__xludf.DUMMYFUNCTION("""COMPUTED_VALUE"""),4.0)</f>
        <v>4</v>
      </c>
      <c r="AX239" s="16">
        <f>IFERROR(__xludf.DUMMYFUNCTION("""COMPUTED_VALUE"""),3.0)</f>
        <v>3</v>
      </c>
      <c r="AY239" s="16">
        <f>IFERROR(__xludf.DUMMYFUNCTION("""COMPUTED_VALUE"""),1.0)</f>
        <v>1</v>
      </c>
      <c r="AZ239" s="16">
        <f>IFERROR(__xludf.DUMMYFUNCTION("""COMPUTED_VALUE"""),9.0)</f>
        <v>9</v>
      </c>
      <c r="BA239" s="16">
        <f>IFERROR(__xludf.DUMMYFUNCTION("""COMPUTED_VALUE"""),3.0)</f>
        <v>3</v>
      </c>
      <c r="BB239" s="16">
        <f>IFERROR(__xludf.DUMMYFUNCTION("""COMPUTED_VALUE"""),5.0)</f>
        <v>5</v>
      </c>
      <c r="BC239" s="16">
        <f>IFERROR(__xludf.DUMMYFUNCTION("""COMPUTED_VALUE"""),5.0)</f>
        <v>5</v>
      </c>
      <c r="BD239" s="16">
        <f>IFERROR(__xludf.DUMMYFUNCTION("""COMPUTED_VALUE"""),1.0)</f>
        <v>1</v>
      </c>
      <c r="BE239" s="16">
        <f>IFERROR(__xludf.DUMMYFUNCTION("""COMPUTED_VALUE"""),1.0)</f>
        <v>1</v>
      </c>
      <c r="BF239" s="16">
        <f>IFERROR(__xludf.DUMMYFUNCTION("""COMPUTED_VALUE"""),1.0)</f>
        <v>1</v>
      </c>
      <c r="BG239" s="16">
        <f>IFERROR(__xludf.DUMMYFUNCTION("""COMPUTED_VALUE"""),1.0)</f>
        <v>1</v>
      </c>
      <c r="BH239" s="16">
        <f>IFERROR(__xludf.DUMMYFUNCTION("""COMPUTED_VALUE"""),10.0)</f>
        <v>10</v>
      </c>
      <c r="BI239" s="16">
        <f>IFERROR(__xludf.DUMMYFUNCTION("""COMPUTED_VALUE"""),10.0)</f>
        <v>10</v>
      </c>
      <c r="BJ239" s="16">
        <f>IFERROR(__xludf.DUMMYFUNCTION("""COMPUTED_VALUE"""),19.0)</f>
        <v>19</v>
      </c>
      <c r="BK239" s="16">
        <f>IFERROR(__xludf.DUMMYFUNCTION("""COMPUTED_VALUE"""),18.0)</f>
        <v>18</v>
      </c>
      <c r="BL239" s="16">
        <f>IFERROR(__xludf.DUMMYFUNCTION("""COMPUTED_VALUE"""),-1.0)</f>
        <v>-1</v>
      </c>
      <c r="BM239" s="16">
        <f>IFERROR(__xludf.DUMMYFUNCTION("""COMPUTED_VALUE"""),-1.0)</f>
        <v>-1</v>
      </c>
      <c r="BN239" s="16">
        <f>IFERROR(__xludf.DUMMYFUNCTION("""COMPUTED_VALUE"""),-2.0)</f>
        <v>-2</v>
      </c>
      <c r="BO239" s="16">
        <f>IFERROR(__xludf.DUMMYFUNCTION("""COMPUTED_VALUE"""),-2.0)</f>
        <v>-2</v>
      </c>
      <c r="BP239" s="16">
        <f>IFERROR(__xludf.DUMMYFUNCTION("""COMPUTED_VALUE"""),3.0)</f>
        <v>3</v>
      </c>
      <c r="BQ239" s="16">
        <f>IFERROR(__xludf.DUMMYFUNCTION("""COMPUTED_VALUE"""),-1.0)</f>
        <v>-1</v>
      </c>
      <c r="BR239" s="16">
        <f>IFERROR(__xludf.DUMMYFUNCTION("""COMPUTED_VALUE"""),2.0)</f>
        <v>2</v>
      </c>
      <c r="BS239" s="16" t="str">
        <f>IFERROR(__xludf.DUMMYFUNCTION("""COMPUTED_VALUE"""),"4/12 (13-5)")</f>
        <v>4/12 (13-5)</v>
      </c>
      <c r="BT239" s="16" t="str">
        <f>IFERROR(__xludf.DUMMYFUNCTION("""COMPUTED_VALUE"""),"E")</f>
        <v>E</v>
      </c>
      <c r="BU239" s="16">
        <f>IFERROR(__xludf.DUMMYFUNCTION("""COMPUTED_VALUE"""),11.0)</f>
        <v>11</v>
      </c>
      <c r="BV239" s="16">
        <f>IFERROR(__xludf.DUMMYFUNCTION("""COMPUTED_VALUE"""),0.0)</f>
        <v>0</v>
      </c>
      <c r="BW239" s="16">
        <f>IFERROR(__xludf.DUMMYFUNCTION("""COMPUTED_VALUE"""),0.0)</f>
        <v>0</v>
      </c>
      <c r="BX239" s="16">
        <f>IFERROR(__xludf.DUMMYFUNCTION("""COMPUTED_VALUE"""),0.0)</f>
        <v>0</v>
      </c>
      <c r="BY239" s="16">
        <f>IFERROR(__xludf.DUMMYFUNCTION("""COMPUTED_VALUE"""),0.0)</f>
        <v>0</v>
      </c>
      <c r="BZ239" s="16" t="str">
        <f>IFERROR(__xludf.DUMMYFUNCTION("""COMPUTED_VALUE"""),"D")</f>
        <v>D</v>
      </c>
      <c r="CA239" s="16" t="str">
        <f>IFERROR(__xludf.DUMMYFUNCTION("""COMPUTED_VALUE"""),"C")</f>
        <v>C</v>
      </c>
      <c r="CB239" s="16">
        <f>IFERROR(__xludf.DUMMYFUNCTION("""COMPUTED_VALUE"""),0.0)</f>
        <v>0</v>
      </c>
      <c r="CC239" s="16">
        <f>IFERROR(__xludf.DUMMYFUNCTION("""COMPUTED_VALUE"""),0.0)</f>
        <v>0</v>
      </c>
      <c r="CD239" s="16">
        <f>IFERROR(__xludf.DUMMYFUNCTION("""COMPUTED_VALUE"""),0.0)</f>
        <v>0</v>
      </c>
      <c r="CE239" s="16">
        <f>IFERROR(__xludf.DUMMYFUNCTION("""COMPUTED_VALUE"""),0.0)</f>
        <v>0</v>
      </c>
      <c r="CF239" s="16">
        <f>IFERROR(__xludf.DUMMYFUNCTION("""COMPUTED_VALUE"""),2.0)</f>
        <v>2</v>
      </c>
      <c r="CG239" s="16">
        <f>IFERROR(__xludf.DUMMYFUNCTION("""COMPUTED_VALUE"""),0.0)</f>
        <v>0</v>
      </c>
      <c r="CH239" s="16">
        <f>IFERROR(__xludf.DUMMYFUNCTION("""COMPUTED_VALUE"""),-9.0)</f>
        <v>-9</v>
      </c>
      <c r="CI239" s="179">
        <f>IFERROR(__xludf.DUMMYFUNCTION("""COMPUTED_VALUE"""),-4.0)</f>
        <v>-4</v>
      </c>
      <c r="CJ239" s="16"/>
      <c r="CK239" s="16">
        <f>IFERROR(__xludf.DUMMYFUNCTION("""COMPUTED_VALUE"""),425.0)</f>
        <v>425</v>
      </c>
      <c r="CL239" s="16"/>
      <c r="CM239" s="16"/>
      <c r="CN239" s="16"/>
      <c r="CO239" s="16"/>
      <c r="CP239" s="16"/>
      <c r="CQ239" s="16">
        <f>IFERROR(__xludf.DUMMYFUNCTION("""COMPUTED_VALUE"""),403.0)</f>
        <v>403</v>
      </c>
      <c r="CR239" s="16" t="str">
        <f>IFERROR(__xludf.DUMMYFUNCTION("""COMPUTED_VALUE"""),"rf-4(-3)e3 1b-4e25")</f>
        <v>rf-4(-3)e3 1b-4e25</v>
      </c>
      <c r="CS239" s="16"/>
      <c r="CT239" s="16">
        <f>IFERROR(__xludf.DUMMYFUNCTION("""COMPUTED_VALUE"""),4.0)</f>
        <v>4</v>
      </c>
      <c r="CU239" s="16"/>
      <c r="CV239" s="16"/>
      <c r="CW239" s="16"/>
      <c r="CX239" s="16"/>
      <c r="CY239" s="16"/>
      <c r="CZ239" s="16">
        <f>IFERROR(__xludf.DUMMYFUNCTION("""COMPUTED_VALUE"""),4.0)</f>
        <v>4</v>
      </c>
      <c r="DA239" s="16"/>
      <c r="DB239" s="16">
        <f>IFERROR(__xludf.DUMMYFUNCTION("""COMPUTED_VALUE"""),25.0)</f>
        <v>25</v>
      </c>
      <c r="DC239" s="16"/>
      <c r="DD239" s="16"/>
      <c r="DE239" s="16"/>
      <c r="DF239" s="16"/>
      <c r="DG239" s="16"/>
      <c r="DH239" s="16">
        <f>IFERROR(__xludf.DUMMYFUNCTION("""COMPUTED_VALUE"""),3.0)</f>
        <v>3</v>
      </c>
      <c r="DI239" s="16"/>
      <c r="DJ239" s="16">
        <f>IFERROR(__xludf.DUMMYFUNCTION("""COMPUTED_VALUE"""),0.0)</f>
        <v>0</v>
      </c>
      <c r="DK239" s="16"/>
      <c r="DL239" s="16"/>
      <c r="DM239" s="16"/>
      <c r="DN239" s="16"/>
      <c r="DO239" s="16"/>
      <c r="DP239" s="16">
        <f>IFERROR(__xludf.DUMMYFUNCTION("""COMPUTED_VALUE"""),-1.0)</f>
        <v>-1</v>
      </c>
      <c r="DQ239" s="16"/>
      <c r="DR239" s="16">
        <f>IFERROR(__xludf.DUMMYFUNCTION("""COMPUTED_VALUE"""),-2.0)</f>
        <v>-2</v>
      </c>
      <c r="DS239" s="16"/>
      <c r="DT239" s="16"/>
      <c r="DU239" s="16"/>
      <c r="DV239" s="16"/>
      <c r="DW239" s="16"/>
      <c r="DX239" s="16">
        <f>IFERROR(__xludf.DUMMYFUNCTION("""COMPUTED_VALUE"""),4.0)</f>
        <v>4</v>
      </c>
      <c r="DY239" s="16"/>
      <c r="DZ239" s="16">
        <f>IFERROR(__xludf.DUMMYFUNCTION("""COMPUTED_VALUE"""),-2.0)</f>
        <v>-2</v>
      </c>
      <c r="EA239" s="16"/>
      <c r="EB239" s="16"/>
      <c r="EC239" s="16"/>
      <c r="ED239" s="16"/>
      <c r="EE239" s="16"/>
      <c r="EF239" s="16">
        <f>IFERROR(__xludf.DUMMYFUNCTION("""COMPUTED_VALUE"""),3.0)</f>
        <v>3</v>
      </c>
      <c r="EG239" s="179"/>
      <c r="EH239" s="179">
        <f>IFERROR(__xludf.DUMMYFUNCTION("""COMPUTED_VALUE"""),-6.0)</f>
        <v>-6</v>
      </c>
      <c r="EI239" s="179"/>
      <c r="EJ239" s="179"/>
      <c r="EK239" s="179"/>
      <c r="EL239" s="179"/>
      <c r="EM239" s="179"/>
      <c r="EN239" s="179">
        <f>IFERROR(__xludf.DUMMYFUNCTION("""COMPUTED_VALUE"""),-1.0)</f>
        <v>-1</v>
      </c>
      <c r="EO239" s="16"/>
      <c r="EP239" s="16">
        <f>IFERROR(__xludf.DUMMYFUNCTION("""COMPUTED_VALUE"""),3.0)</f>
        <v>3</v>
      </c>
      <c r="EQ239" s="16">
        <f>IFERROR(__xludf.DUMMYFUNCTION("""COMPUTED_VALUE"""),2.0)</f>
        <v>2</v>
      </c>
      <c r="ER239" s="16">
        <f>IFERROR(__xludf.DUMMYFUNCTION("""COMPUTED_VALUE"""),1.0)</f>
        <v>1</v>
      </c>
      <c r="ES239" s="16"/>
      <c r="ET239" s="16"/>
      <c r="EU239" s="16"/>
      <c r="EV239" s="16"/>
      <c r="EW239" s="16"/>
      <c r="EX239" s="180"/>
      <c r="EY239" s="180">
        <f>IFERROR(__xludf.DUMMYFUNCTION("""COMPUTED_VALUE"""),0.3)</f>
        <v>0.3</v>
      </c>
      <c r="EZ239" s="180"/>
      <c r="FA239" s="180"/>
      <c r="FB239" s="180"/>
      <c r="FC239" s="180"/>
      <c r="FD239" s="180"/>
      <c r="FE239" s="180">
        <f>IFERROR(__xludf.DUMMYFUNCTION("""COMPUTED_VALUE"""),0.55)</f>
        <v>0.55</v>
      </c>
      <c r="FF239" s="180"/>
      <c r="FG239" s="180">
        <f>IFERROR(__xludf.DUMMYFUNCTION("""COMPUTED_VALUE"""),0.44907407407407407)</f>
        <v>0.4490740741</v>
      </c>
      <c r="FH239" s="180"/>
      <c r="FI239" s="180"/>
      <c r="FJ239" s="180"/>
      <c r="FK239" s="180"/>
      <c r="FL239" s="180"/>
      <c r="FM239" s="180">
        <f>IFERROR(__xludf.DUMMYFUNCTION("""COMPUTED_VALUE"""),0.056)</f>
        <v>0.056</v>
      </c>
      <c r="FN239" s="16"/>
      <c r="FO239" s="16">
        <f>IFERROR(__xludf.DUMMYFUNCTION("""COMPUTED_VALUE"""),0.38564814814814813)</f>
        <v>0.3856481481</v>
      </c>
      <c r="FP239" s="16"/>
      <c r="FQ239" s="16"/>
      <c r="FR239" s="16"/>
      <c r="FS239" s="16"/>
      <c r="FT239" s="16"/>
      <c r="FU239" s="16">
        <f>IFERROR(__xludf.DUMMYFUNCTION("""COMPUTED_VALUE"""),0.42479999999999996)</f>
        <v>0.4248</v>
      </c>
      <c r="FV239" s="16"/>
      <c r="FW239" s="16">
        <f>IFERROR(__xludf.DUMMYFUNCTION("""COMPUTED_VALUE"""),-8.0)</f>
        <v>-8</v>
      </c>
      <c r="FX239" s="16"/>
      <c r="FY239" s="16"/>
      <c r="FZ239" s="16"/>
      <c r="GA239" s="16"/>
      <c r="GB239" s="16"/>
      <c r="GC239" s="16">
        <f>IFERROR(__xludf.DUMMYFUNCTION("""COMPUTED_VALUE"""),-11.0)</f>
        <v>-11</v>
      </c>
      <c r="GD239" s="16" t="s">
        <v>176</v>
      </c>
    </row>
    <row r="240">
      <c r="A240" s="16">
        <f>IFERROR(__xludf.DUMMYFUNCTION("""COMPUTED_VALUE"""),12803.0)</f>
        <v>12803</v>
      </c>
      <c r="B240" s="16" t="str">
        <f>IFERROR(__xludf.DUMMYFUNCTION("""COMPUTED_VALUE"""),"Eric Wagaman")</f>
        <v>Eric Wagaman</v>
      </c>
      <c r="C240" s="16">
        <f>IFERROR(__xludf.DUMMYFUNCTION("""COMPUTED_VALUE"""),0.94)</f>
        <v>0.94</v>
      </c>
      <c r="D240" s="16" t="str">
        <f>IFERROR(__xludf.DUMMYFUNCTION("""COMPUTED_VALUE"""),"R")</f>
        <v>R</v>
      </c>
      <c r="E240" s="16"/>
      <c r="F240" s="16"/>
      <c r="G240" s="16">
        <f>IFERROR(__xludf.DUMMYFUNCTION("""COMPUTED_VALUE"""),72.0)</f>
        <v>72</v>
      </c>
      <c r="H240" s="16">
        <f>IFERROR(__xludf.DUMMYFUNCTION("""COMPUTED_VALUE"""),2.0)</f>
        <v>2</v>
      </c>
      <c r="I240" s="16" t="str">
        <f>IFERROR(__xludf.DUMMYFUNCTION("""COMPUTED_VALUE"""),"1p20")</f>
        <v>1p20</v>
      </c>
      <c r="J240" s="16">
        <f>IFERROR(__xludf.DUMMYFUNCTION("""COMPUTED_VALUE"""),21.0)</f>
        <v>21</v>
      </c>
      <c r="K240" s="16">
        <f>IFERROR(__xludf.DUMMYFUNCTION("""COMPUTED_VALUE"""),25.0)</f>
        <v>25</v>
      </c>
      <c r="L240" s="16">
        <f>IFERROR(__xludf.DUMMYFUNCTION("""COMPUTED_VALUE"""),0.0)</f>
        <v>0</v>
      </c>
      <c r="M240" s="16">
        <f>IFERROR(__xludf.DUMMYFUNCTION("""COMPUTED_VALUE"""),0.0)</f>
        <v>0</v>
      </c>
      <c r="N240" s="16">
        <f>IFERROR(__xludf.DUMMYFUNCTION("""COMPUTED_VALUE"""),0.0)</f>
        <v>0</v>
      </c>
      <c r="O240" s="16">
        <f>IFERROR(__xludf.DUMMYFUNCTION("""COMPUTED_VALUE"""),0.0)</f>
        <v>0</v>
      </c>
      <c r="P240" s="16">
        <f>IFERROR(__xludf.DUMMYFUNCTION("""COMPUTED_VALUE"""),0.0)</f>
        <v>0</v>
      </c>
      <c r="Q240" s="16">
        <f>IFERROR(__xludf.DUMMYFUNCTION("""COMPUTED_VALUE"""),0.0)</f>
        <v>0</v>
      </c>
      <c r="R240" s="16">
        <f>IFERROR(__xludf.DUMMYFUNCTION("""COMPUTED_VALUE"""),-3.0)</f>
        <v>-3</v>
      </c>
      <c r="S240" s="16">
        <f>IFERROR(__xludf.DUMMYFUNCTION("""COMPUTED_VALUE"""),-2.0)</f>
        <v>-2</v>
      </c>
      <c r="T240" s="16">
        <f>IFERROR(__xludf.DUMMYFUNCTION("""COMPUTED_VALUE"""),-3.0)</f>
        <v>-3</v>
      </c>
      <c r="U240" s="16">
        <f>IFERROR(__xludf.DUMMYFUNCTION("""COMPUTED_VALUE"""),-2.0)</f>
        <v>-2</v>
      </c>
      <c r="V240" s="16">
        <f>IFERROR(__xludf.DUMMYFUNCTION("""COMPUTED_VALUE"""),13.5)</f>
        <v>13.5</v>
      </c>
      <c r="W240" s="16">
        <f>IFERROR(__xludf.DUMMYFUNCTION("""COMPUTED_VALUE"""),27.1)</f>
        <v>27.1</v>
      </c>
      <c r="X240" s="16">
        <f>IFERROR(__xludf.DUMMYFUNCTION("""COMPUTED_VALUE"""),-1.0)</f>
        <v>-1</v>
      </c>
      <c r="Y240" s="16">
        <f>IFERROR(__xludf.DUMMYFUNCTION("""COMPUTED_VALUE"""),1.0)</f>
        <v>1</v>
      </c>
      <c r="Z240" s="16">
        <f>IFERROR(__xludf.DUMMYFUNCTION("""COMPUTED_VALUE"""),-2.0)</f>
        <v>-2</v>
      </c>
      <c r="AA240" s="16">
        <f>IFERROR(__xludf.DUMMYFUNCTION("""COMPUTED_VALUE"""),2.0)</f>
        <v>2</v>
      </c>
      <c r="AB240" s="16">
        <f>IFERROR(__xludf.DUMMYFUNCTION("""COMPUTED_VALUE"""),13.5)</f>
        <v>13.5</v>
      </c>
      <c r="AC240" s="16">
        <f>IFERROR(__xludf.DUMMYFUNCTION("""COMPUTED_VALUE"""),27.1)</f>
        <v>27.1</v>
      </c>
      <c r="AD240" s="16">
        <f>IFERROR(__xludf.DUMMYFUNCTION("""COMPUTED_VALUE"""),-2.0)</f>
        <v>-2</v>
      </c>
      <c r="AE240" s="16">
        <f>IFERROR(__xludf.DUMMYFUNCTION("""COMPUTED_VALUE"""),-1.0)</f>
        <v>-1</v>
      </c>
      <c r="AF240" s="16">
        <f>IFERROR(__xludf.DUMMYFUNCTION("""COMPUTED_VALUE"""),-10.0)</f>
        <v>-10</v>
      </c>
      <c r="AG240" s="16">
        <f>IFERROR(__xludf.DUMMYFUNCTION("""COMPUTED_VALUE"""),-5.0)</f>
        <v>-5</v>
      </c>
      <c r="AH240" s="16">
        <f>IFERROR(__xludf.DUMMYFUNCTION("""COMPUTED_VALUE"""),17.0)</f>
        <v>17</v>
      </c>
      <c r="AI240" s="16">
        <f>IFERROR(__xludf.DUMMYFUNCTION("""COMPUTED_VALUE"""),47.5)</f>
        <v>47.5</v>
      </c>
      <c r="AJ240" s="16">
        <f>IFERROR(__xludf.DUMMYFUNCTION("""COMPUTED_VALUE"""),-1.0)</f>
        <v>-1</v>
      </c>
      <c r="AK240" s="16">
        <f>IFERROR(__xludf.DUMMYFUNCTION("""COMPUTED_VALUE"""),2.0)</f>
        <v>2</v>
      </c>
      <c r="AL240" s="16">
        <f>IFERROR(__xludf.DUMMYFUNCTION("""COMPUTED_VALUE"""),-5.0)</f>
        <v>-5</v>
      </c>
      <c r="AM240" s="16">
        <f>IFERROR(__xludf.DUMMYFUNCTION("""COMPUTED_VALUE"""),10.0)</f>
        <v>10</v>
      </c>
      <c r="AN240" s="16">
        <f>IFERROR(__xludf.DUMMYFUNCTION("""COMPUTED_VALUE"""),1.1)</f>
        <v>1.1</v>
      </c>
      <c r="AO240" s="16">
        <f>IFERROR(__xludf.DUMMYFUNCTION("""COMPUTED_VALUE"""),2.0)</f>
        <v>2</v>
      </c>
      <c r="AP240" s="16">
        <f>IFERROR(__xludf.DUMMYFUNCTION("""COMPUTED_VALUE"""),-2.0)</f>
        <v>-2</v>
      </c>
      <c r="AQ240" s="16">
        <f>IFERROR(__xludf.DUMMYFUNCTION("""COMPUTED_VALUE"""),-1.0)</f>
        <v>-1</v>
      </c>
      <c r="AR240" s="16">
        <f>IFERROR(__xludf.DUMMYFUNCTION("""COMPUTED_VALUE"""),-4.0)</f>
        <v>-4</v>
      </c>
      <c r="AS240" s="16">
        <f>IFERROR(__xludf.DUMMYFUNCTION("""COMPUTED_VALUE"""),-2.0)</f>
        <v>-2</v>
      </c>
      <c r="AT240" s="16">
        <f>IFERROR(__xludf.DUMMYFUNCTION("""COMPUTED_VALUE"""),0.0)</f>
        <v>0</v>
      </c>
      <c r="AU240" s="16">
        <f>IFERROR(__xludf.DUMMYFUNCTION("""COMPUTED_VALUE"""),2.0)</f>
        <v>2</v>
      </c>
      <c r="AV240" s="16">
        <f>IFERROR(__xludf.DUMMYFUNCTION("""COMPUTED_VALUE"""),0.0)</f>
        <v>0</v>
      </c>
      <c r="AW240" s="16">
        <f>IFERROR(__xludf.DUMMYFUNCTION("""COMPUTED_VALUE"""),2.0)</f>
        <v>2</v>
      </c>
      <c r="AX240" s="16">
        <f>IFERROR(__xludf.DUMMYFUNCTION("""COMPUTED_VALUE"""),-2.0)</f>
        <v>-2</v>
      </c>
      <c r="AY240" s="16">
        <f>IFERROR(__xludf.DUMMYFUNCTION("""COMPUTED_VALUE"""),0.0)</f>
        <v>0</v>
      </c>
      <c r="AZ240" s="16">
        <f>IFERROR(__xludf.DUMMYFUNCTION("""COMPUTED_VALUE"""),-6.0)</f>
        <v>-6</v>
      </c>
      <c r="BA240" s="16">
        <f>IFERROR(__xludf.DUMMYFUNCTION("""COMPUTED_VALUE"""),0.0)</f>
        <v>0</v>
      </c>
      <c r="BB240" s="16">
        <f>IFERROR(__xludf.DUMMYFUNCTION("""COMPUTED_VALUE"""),5.0)</f>
        <v>5</v>
      </c>
      <c r="BC240" s="16">
        <f>IFERROR(__xludf.DUMMYFUNCTION("""COMPUTED_VALUE"""),5.0)</f>
        <v>5</v>
      </c>
      <c r="BD240" s="16">
        <f>IFERROR(__xludf.DUMMYFUNCTION("""COMPUTED_VALUE"""),1.0)</f>
        <v>1</v>
      </c>
      <c r="BE240" s="16">
        <f>IFERROR(__xludf.DUMMYFUNCTION("""COMPUTED_VALUE"""),1.0)</f>
        <v>1</v>
      </c>
      <c r="BF240" s="16">
        <f>IFERROR(__xludf.DUMMYFUNCTION("""COMPUTED_VALUE"""),1.0)</f>
        <v>1</v>
      </c>
      <c r="BG240" s="16">
        <f>IFERROR(__xludf.DUMMYFUNCTION("""COMPUTED_VALUE"""),1.0)</f>
        <v>1</v>
      </c>
      <c r="BH240" s="16">
        <f>IFERROR(__xludf.DUMMYFUNCTION("""COMPUTED_VALUE"""),4.0)</f>
        <v>4</v>
      </c>
      <c r="BI240" s="16">
        <f>IFERROR(__xludf.DUMMYFUNCTION("""COMPUTED_VALUE"""),4.0)</f>
        <v>4</v>
      </c>
      <c r="BJ240" s="16">
        <f>IFERROR(__xludf.DUMMYFUNCTION("""COMPUTED_VALUE"""),10.0)</f>
        <v>10</v>
      </c>
      <c r="BK240" s="16">
        <f>IFERROR(__xludf.DUMMYFUNCTION("""COMPUTED_VALUE"""),10.0)</f>
        <v>10</v>
      </c>
      <c r="BL240" s="16">
        <f>IFERROR(__xludf.DUMMYFUNCTION("""COMPUTED_VALUE"""),0.0)</f>
        <v>0</v>
      </c>
      <c r="BM240" s="16">
        <f>IFERROR(__xludf.DUMMYFUNCTION("""COMPUTED_VALUE"""),0.0)</f>
        <v>0</v>
      </c>
      <c r="BN240" s="16">
        <f>IFERROR(__xludf.DUMMYFUNCTION("""COMPUTED_VALUE"""),0.0)</f>
        <v>0</v>
      </c>
      <c r="BO240" s="16">
        <f>IFERROR(__xludf.DUMMYFUNCTION("""COMPUTED_VALUE"""),0.0)</f>
        <v>0</v>
      </c>
      <c r="BP240" s="16">
        <f>IFERROR(__xludf.DUMMYFUNCTION("""COMPUTED_VALUE"""),-10.0)</f>
        <v>-10</v>
      </c>
      <c r="BQ240" s="16">
        <f>IFERROR(__xludf.DUMMYFUNCTION("""COMPUTED_VALUE"""),0.0)</f>
        <v>0</v>
      </c>
      <c r="BR240" s="16">
        <f>IFERROR(__xludf.DUMMYFUNCTION("""COMPUTED_VALUE"""),-10.0)</f>
        <v>-10</v>
      </c>
      <c r="BS240" s="16" t="str">
        <f>IFERROR(__xludf.DUMMYFUNCTION("""COMPUTED_VALUE"""),"-/- (---)")</f>
        <v>-/- (---)</v>
      </c>
      <c r="BT240" s="16" t="str">
        <f>IFERROR(__xludf.DUMMYFUNCTION("""COMPUTED_VALUE"""),"E")</f>
        <v>E</v>
      </c>
      <c r="BU240" s="16">
        <f>IFERROR(__xludf.DUMMYFUNCTION("""COMPUTED_VALUE"""),12.0)</f>
        <v>12</v>
      </c>
      <c r="BV240" s="16">
        <f>IFERROR(__xludf.DUMMYFUNCTION("""COMPUTED_VALUE"""),0.0)</f>
        <v>0</v>
      </c>
      <c r="BW240" s="16">
        <f>IFERROR(__xludf.DUMMYFUNCTION("""COMPUTED_VALUE"""),0.0)</f>
        <v>0</v>
      </c>
      <c r="BX240" s="16">
        <f>IFERROR(__xludf.DUMMYFUNCTION("""COMPUTED_VALUE"""),0.0)</f>
        <v>0</v>
      </c>
      <c r="BY240" s="16">
        <f>IFERROR(__xludf.DUMMYFUNCTION("""COMPUTED_VALUE"""),0.0)</f>
        <v>0</v>
      </c>
      <c r="BZ240" s="16" t="str">
        <f>IFERROR(__xludf.DUMMYFUNCTION("""COMPUTED_VALUE"""),"D")</f>
        <v>D</v>
      </c>
      <c r="CA240" s="16" t="str">
        <f>IFERROR(__xludf.DUMMYFUNCTION("""COMPUTED_VALUE"""),"C")</f>
        <v>C</v>
      </c>
      <c r="CB240" s="16">
        <f>IFERROR(__xludf.DUMMYFUNCTION("""COMPUTED_VALUE"""),0.0)</f>
        <v>0</v>
      </c>
      <c r="CC240" s="16">
        <f>IFERROR(__xludf.DUMMYFUNCTION("""COMPUTED_VALUE"""),0.0)</f>
        <v>0</v>
      </c>
      <c r="CD240" s="16">
        <f>IFERROR(__xludf.DUMMYFUNCTION("""COMPUTED_VALUE"""),0.0)</f>
        <v>0</v>
      </c>
      <c r="CE240" s="16">
        <f>IFERROR(__xludf.DUMMYFUNCTION("""COMPUTED_VALUE"""),0.0)</f>
        <v>0</v>
      </c>
      <c r="CF240" s="16">
        <f>IFERROR(__xludf.DUMMYFUNCTION("""COMPUTED_VALUE"""),1.0)</f>
        <v>1</v>
      </c>
      <c r="CG240" s="16">
        <f>IFERROR(__xludf.DUMMYFUNCTION("""COMPUTED_VALUE"""),-29.0)</f>
        <v>-29</v>
      </c>
      <c r="CH240" s="16">
        <f>IFERROR(__xludf.DUMMYFUNCTION("""COMPUTED_VALUE"""),4.0)</f>
        <v>4</v>
      </c>
      <c r="CI240" s="179">
        <f>IFERROR(__xludf.DUMMYFUNCTION("""COMPUTED_VALUE"""),-4.0)</f>
        <v>-4</v>
      </c>
      <c r="CJ240" s="16"/>
      <c r="CK240" s="16"/>
      <c r="CL240" s="16"/>
      <c r="CM240" s="16">
        <f>IFERROR(__xludf.DUMMYFUNCTION("""COMPUTED_VALUE"""),537.0)</f>
        <v>537</v>
      </c>
      <c r="CN240" s="16"/>
      <c r="CO240" s="16">
        <f>IFERROR(__xludf.DUMMYFUNCTION("""COMPUTED_VALUE"""),510.0)</f>
        <v>510</v>
      </c>
      <c r="CP240" s="16"/>
      <c r="CQ240" s="16"/>
      <c r="CR240" s="16" t="str">
        <f>IFERROR(__xludf.DUMMYFUNCTION("""COMPUTED_VALUE"""),"3b-5e37 lf-5(+2)e10")</f>
        <v>3b-5e37 lf-5(+2)e10</v>
      </c>
      <c r="CS240" s="16"/>
      <c r="CT240" s="16"/>
      <c r="CU240" s="16"/>
      <c r="CV240" s="16">
        <f>IFERROR(__xludf.DUMMYFUNCTION("""COMPUTED_VALUE"""),5.0)</f>
        <v>5</v>
      </c>
      <c r="CW240" s="16"/>
      <c r="CX240" s="16">
        <f>IFERROR(__xludf.DUMMYFUNCTION("""COMPUTED_VALUE"""),5.0)</f>
        <v>5</v>
      </c>
      <c r="CY240" s="16"/>
      <c r="CZ240" s="16"/>
      <c r="DA240" s="16"/>
      <c r="DB240" s="16"/>
      <c r="DC240" s="16"/>
      <c r="DD240" s="16">
        <f>IFERROR(__xludf.DUMMYFUNCTION("""COMPUTED_VALUE"""),37.0)</f>
        <v>37</v>
      </c>
      <c r="DE240" s="16"/>
      <c r="DF240" s="16">
        <f>IFERROR(__xludf.DUMMYFUNCTION("""COMPUTED_VALUE"""),10.0)</f>
        <v>10</v>
      </c>
      <c r="DG240" s="16"/>
      <c r="DH240" s="16"/>
      <c r="DI240" s="16"/>
      <c r="DJ240" s="16"/>
      <c r="DK240" s="16"/>
      <c r="DL240" s="16">
        <f>IFERROR(__xludf.DUMMYFUNCTION("""COMPUTED_VALUE"""),-2.0)</f>
        <v>-2</v>
      </c>
      <c r="DM240" s="16"/>
      <c r="DN240" s="16">
        <f>IFERROR(__xludf.DUMMYFUNCTION("""COMPUTED_VALUE"""),-3.0)</f>
        <v>-3</v>
      </c>
      <c r="DO240" s="16"/>
      <c r="DP240" s="16"/>
      <c r="DQ240" s="16"/>
      <c r="DR240" s="16"/>
      <c r="DS240" s="16"/>
      <c r="DT240" s="16">
        <f>IFERROR(__xludf.DUMMYFUNCTION("""COMPUTED_VALUE"""),-2.0)</f>
        <v>-2</v>
      </c>
      <c r="DU240" s="16"/>
      <c r="DV240" s="16">
        <f>IFERROR(__xludf.DUMMYFUNCTION("""COMPUTED_VALUE"""),0.0)</f>
        <v>0</v>
      </c>
      <c r="DW240" s="16"/>
      <c r="DX240" s="16"/>
      <c r="DY240" s="16"/>
      <c r="DZ240" s="16"/>
      <c r="EA240" s="16"/>
      <c r="EB240" s="16">
        <f>IFERROR(__xludf.DUMMYFUNCTION("""COMPUTED_VALUE"""),-4.0)</f>
        <v>-4</v>
      </c>
      <c r="EC240" s="16"/>
      <c r="ED240" s="16">
        <f>IFERROR(__xludf.DUMMYFUNCTION("""COMPUTED_VALUE"""),-3.0)</f>
        <v>-3</v>
      </c>
      <c r="EE240" s="16"/>
      <c r="EF240" s="16"/>
      <c r="EG240" s="179"/>
      <c r="EH240" s="179"/>
      <c r="EI240" s="179"/>
      <c r="EJ240" s="179">
        <f>IFERROR(__xludf.DUMMYFUNCTION("""COMPUTED_VALUE"""),-8.0)</f>
        <v>-8</v>
      </c>
      <c r="EK240" s="179"/>
      <c r="EL240" s="179">
        <f>IFERROR(__xludf.DUMMYFUNCTION("""COMPUTED_VALUE"""),-7.0)</f>
        <v>-7</v>
      </c>
      <c r="EM240" s="179"/>
      <c r="EN240" s="179"/>
      <c r="EO240" s="16"/>
      <c r="EP240" s="16"/>
      <c r="EQ240" s="16">
        <f>IFERROR(__xludf.DUMMYFUNCTION("""COMPUTED_VALUE"""),4.0)</f>
        <v>4</v>
      </c>
      <c r="ER240" s="16">
        <f>IFERROR(__xludf.DUMMYFUNCTION("""COMPUTED_VALUE"""),-4.0)</f>
        <v>-4</v>
      </c>
      <c r="ES240" s="16"/>
      <c r="ET240" s="16"/>
      <c r="EU240" s="16"/>
      <c r="EV240" s="16"/>
      <c r="EW240" s="16"/>
      <c r="EX240" s="180"/>
      <c r="EY240" s="180"/>
      <c r="EZ240" s="180"/>
      <c r="FA240" s="180">
        <f>IFERROR(__xludf.DUMMYFUNCTION("""COMPUTED_VALUE"""),0.4)</f>
        <v>0.4</v>
      </c>
      <c r="FB240" s="180"/>
      <c r="FC240" s="180">
        <f>IFERROR(__xludf.DUMMYFUNCTION("""COMPUTED_VALUE"""),0.75)</f>
        <v>0.75</v>
      </c>
      <c r="FD240" s="180"/>
      <c r="FE240" s="180"/>
      <c r="FF240" s="180"/>
      <c r="FG240" s="180"/>
      <c r="FH240" s="180"/>
      <c r="FI240" s="180">
        <f>IFERROR(__xludf.DUMMYFUNCTION("""COMPUTED_VALUE"""),0.4444444444444444)</f>
        <v>0.4444444444</v>
      </c>
      <c r="FJ240" s="180"/>
      <c r="FK240" s="180">
        <f>IFERROR(__xludf.DUMMYFUNCTION("""COMPUTED_VALUE"""),0.181)</f>
        <v>0.181</v>
      </c>
      <c r="FL240" s="180"/>
      <c r="FM240" s="180"/>
      <c r="FN240" s="16"/>
      <c r="FO240" s="16"/>
      <c r="FP240" s="16"/>
      <c r="FQ240" s="16">
        <f>IFERROR(__xludf.DUMMYFUNCTION("""COMPUTED_VALUE"""),0.3333333333333333)</f>
        <v>0.3333333333</v>
      </c>
      <c r="FR240" s="16"/>
      <c r="FS240" s="16">
        <f>IFERROR(__xludf.DUMMYFUNCTION("""COMPUTED_VALUE"""),0.20475)</f>
        <v>0.20475</v>
      </c>
      <c r="FT240" s="16"/>
      <c r="FU240" s="16"/>
      <c r="FV240" s="16"/>
      <c r="FW240" s="16"/>
      <c r="FX240" s="16"/>
      <c r="FY240" s="16">
        <f>IFERROR(__xludf.DUMMYFUNCTION("""COMPUTED_VALUE"""),-8.0)</f>
        <v>-8</v>
      </c>
      <c r="FZ240" s="16"/>
      <c r="GA240" s="16">
        <f>IFERROR(__xludf.DUMMYFUNCTION("""COMPUTED_VALUE"""),-8.0)</f>
        <v>-8</v>
      </c>
      <c r="GB240" s="16"/>
      <c r="GC240" s="16"/>
      <c r="GD240" s="16" t="s">
        <v>176</v>
      </c>
    </row>
    <row r="241">
      <c r="A241" s="16">
        <f>IFERROR(__xludf.DUMMYFUNCTION("""COMPUTED_VALUE"""),13430.0)</f>
        <v>13430</v>
      </c>
      <c r="B241" s="16" t="str">
        <f>IFERROR(__xludf.DUMMYFUNCTION("""COMPUTED_VALUE"""),"Trent Grisham")</f>
        <v>Trent Grisham</v>
      </c>
      <c r="C241" s="16">
        <f>IFERROR(__xludf.DUMMYFUNCTION("""COMPUTED_VALUE"""),0.56)</f>
        <v>0.56</v>
      </c>
      <c r="D241" s="16" t="str">
        <f>IFERROR(__xludf.DUMMYFUNCTION("""COMPUTED_VALUE"""),"L")</f>
        <v>L</v>
      </c>
      <c r="E241" s="16"/>
      <c r="F241" s="16"/>
      <c r="G241" s="16">
        <f>IFERROR(__xludf.DUMMYFUNCTION("""COMPUTED_VALUE"""),179.0)</f>
        <v>179</v>
      </c>
      <c r="H241" s="16">
        <f>IFERROR(__xludf.DUMMYFUNCTION("""COMPUTED_VALUE"""),22.0)</f>
        <v>22</v>
      </c>
      <c r="I241" s="16" t="str">
        <f>IFERROR(__xludf.DUMMYFUNCTION("""COMPUTED_VALUE"""),"1p40")</f>
        <v>1p40</v>
      </c>
      <c r="J241" s="16">
        <f>IFERROR(__xludf.DUMMYFUNCTION("""COMPUTED_VALUE"""),32.0)</f>
        <v>32</v>
      </c>
      <c r="K241" s="16">
        <f>IFERROR(__xludf.DUMMYFUNCTION("""COMPUTED_VALUE"""),35.0)</f>
        <v>35</v>
      </c>
      <c r="L241" s="16">
        <f>IFERROR(__xludf.DUMMYFUNCTION("""COMPUTED_VALUE"""),-1.0)</f>
        <v>-1</v>
      </c>
      <c r="M241" s="16">
        <f>IFERROR(__xludf.DUMMYFUNCTION("""COMPUTED_VALUE"""),-1.0)</f>
        <v>-1</v>
      </c>
      <c r="N241" s="16">
        <f>IFERROR(__xludf.DUMMYFUNCTION("""COMPUTED_VALUE"""),-1.0)</f>
        <v>-1</v>
      </c>
      <c r="O241" s="16">
        <f>IFERROR(__xludf.DUMMYFUNCTION("""COMPUTED_VALUE"""),-1.0)</f>
        <v>-1</v>
      </c>
      <c r="P241" s="16">
        <f>IFERROR(__xludf.DUMMYFUNCTION("""COMPUTED_VALUE"""),0.0)</f>
        <v>0</v>
      </c>
      <c r="Q241" s="16">
        <f>IFERROR(__xludf.DUMMYFUNCTION("""COMPUTED_VALUE"""),17.0)</f>
        <v>17</v>
      </c>
      <c r="R241" s="16">
        <f>IFERROR(__xludf.DUMMYFUNCTION("""COMPUTED_VALUE"""),-3.0)</f>
        <v>-3</v>
      </c>
      <c r="S241" s="16">
        <f>IFERROR(__xludf.DUMMYFUNCTION("""COMPUTED_VALUE"""),2.0)</f>
        <v>2</v>
      </c>
      <c r="T241" s="16">
        <f>IFERROR(__xludf.DUMMYFUNCTION("""COMPUTED_VALUE"""),-3.0)</f>
        <v>-3</v>
      </c>
      <c r="U241" s="16">
        <f>IFERROR(__xludf.DUMMYFUNCTION("""COMPUTED_VALUE"""),2.0)</f>
        <v>2</v>
      </c>
      <c r="V241" s="16">
        <f>IFERROR(__xludf.DUMMYFUNCTION("""COMPUTED_VALUE"""),16.1)</f>
        <v>16.1</v>
      </c>
      <c r="W241" s="16">
        <f>IFERROR(__xludf.DUMMYFUNCTION("""COMPUTED_VALUE"""),6.5)</f>
        <v>6.5</v>
      </c>
      <c r="X241" s="16">
        <f>IFERROR(__xludf.DUMMYFUNCTION("""COMPUTED_VALUE"""),-1.0)</f>
        <v>-1</v>
      </c>
      <c r="Y241" s="16">
        <f>IFERROR(__xludf.DUMMYFUNCTION("""COMPUTED_VALUE"""),-2.0)</f>
        <v>-2</v>
      </c>
      <c r="Z241" s="16">
        <f>IFERROR(__xludf.DUMMYFUNCTION("""COMPUTED_VALUE"""),-2.0)</f>
        <v>-2</v>
      </c>
      <c r="AA241" s="16">
        <f>IFERROR(__xludf.DUMMYFUNCTION("""COMPUTED_VALUE"""),-4.0)</f>
        <v>-4</v>
      </c>
      <c r="AB241" s="16">
        <f>IFERROR(__xludf.DUMMYFUNCTION("""COMPUTED_VALUE"""),21.2)</f>
        <v>21.2</v>
      </c>
      <c r="AC241" s="16">
        <f>IFERROR(__xludf.DUMMYFUNCTION("""COMPUTED_VALUE"""),28.4)</f>
        <v>28.4</v>
      </c>
      <c r="AD241" s="16">
        <f>IFERROR(__xludf.DUMMYFUNCTION("""COMPUTED_VALUE"""),-1.0)</f>
        <v>-1</v>
      </c>
      <c r="AE241" s="16">
        <f>IFERROR(__xludf.DUMMYFUNCTION("""COMPUTED_VALUE"""),-1.0)</f>
        <v>-1</v>
      </c>
      <c r="AF241" s="16">
        <f>IFERROR(__xludf.DUMMYFUNCTION("""COMPUTED_VALUE"""),-5.0)</f>
        <v>-5</v>
      </c>
      <c r="AG241" s="16">
        <f>IFERROR(__xludf.DUMMYFUNCTION("""COMPUTED_VALUE"""),-5.0)</f>
        <v>-5</v>
      </c>
      <c r="AH241" s="16">
        <f>IFERROR(__xludf.DUMMYFUNCTION("""COMPUTED_VALUE"""),27.8)</f>
        <v>27.8</v>
      </c>
      <c r="AI241" s="16">
        <f>IFERROR(__xludf.DUMMYFUNCTION("""COMPUTED_VALUE"""),20.5)</f>
        <v>20.5</v>
      </c>
      <c r="AJ241" s="16">
        <f>IFERROR(__xludf.DUMMYFUNCTION("""COMPUTED_VALUE"""),0.0)</f>
        <v>0</v>
      </c>
      <c r="AK241" s="16">
        <f>IFERROR(__xludf.DUMMYFUNCTION("""COMPUTED_VALUE"""),-1.0)</f>
        <v>-1</v>
      </c>
      <c r="AL241" s="16">
        <f>IFERROR(__xludf.DUMMYFUNCTION("""COMPUTED_VALUE"""),0.0)</f>
        <v>0</v>
      </c>
      <c r="AM241" s="16">
        <f>IFERROR(__xludf.DUMMYFUNCTION("""COMPUTED_VALUE"""),-5.0)</f>
        <v>-5</v>
      </c>
      <c r="AN241" s="16">
        <f>IFERROR(__xludf.DUMMYFUNCTION("""COMPUTED_VALUE"""),1.5)</f>
        <v>1.5</v>
      </c>
      <c r="AO241" s="16">
        <f>IFERROR(__xludf.DUMMYFUNCTION("""COMPUTED_VALUE"""),3.8)</f>
        <v>3.8</v>
      </c>
      <c r="AP241" s="16">
        <f>IFERROR(__xludf.DUMMYFUNCTION("""COMPUTED_VALUE"""),-1.0)</f>
        <v>-1</v>
      </c>
      <c r="AQ241" s="16">
        <f>IFERROR(__xludf.DUMMYFUNCTION("""COMPUTED_VALUE"""),2.0)</f>
        <v>2</v>
      </c>
      <c r="AR241" s="16">
        <f>IFERROR(__xludf.DUMMYFUNCTION("""COMPUTED_VALUE"""),-2.0)</f>
        <v>-2</v>
      </c>
      <c r="AS241" s="16">
        <f>IFERROR(__xludf.DUMMYFUNCTION("""COMPUTED_VALUE"""),4.0)</f>
        <v>4</v>
      </c>
      <c r="AT241" s="16">
        <f>IFERROR(__xludf.DUMMYFUNCTION("""COMPUTED_VALUE"""),2.0)</f>
        <v>2</v>
      </c>
      <c r="AU241" s="16"/>
      <c r="AV241" s="16">
        <f>IFERROR(__xludf.DUMMYFUNCTION("""COMPUTED_VALUE"""),2.0)</f>
        <v>2</v>
      </c>
      <c r="AW241" s="16">
        <f>IFERROR(__xludf.DUMMYFUNCTION("""COMPUTED_VALUE"""),5.0)</f>
        <v>5</v>
      </c>
      <c r="AX241" s="16">
        <f>IFERROR(__xludf.DUMMYFUNCTION("""COMPUTED_VALUE"""),0.0)</f>
        <v>0</v>
      </c>
      <c r="AY241" s="16">
        <f>IFERROR(__xludf.DUMMYFUNCTION("""COMPUTED_VALUE"""),2.0)</f>
        <v>2</v>
      </c>
      <c r="AZ241" s="16">
        <f>IFERROR(__xludf.DUMMYFUNCTION("""COMPUTED_VALUE"""),0.0)</f>
        <v>0</v>
      </c>
      <c r="BA241" s="16">
        <f>IFERROR(__xludf.DUMMYFUNCTION("""COMPUTED_VALUE"""),6.0)</f>
        <v>6</v>
      </c>
      <c r="BB241" s="16">
        <f>IFERROR(__xludf.DUMMYFUNCTION("""COMPUTED_VALUE"""),5.0)</f>
        <v>5</v>
      </c>
      <c r="BC241" s="16">
        <f>IFERROR(__xludf.DUMMYFUNCTION("""COMPUTED_VALUE"""),0.0)</f>
        <v>0</v>
      </c>
      <c r="BD241" s="16">
        <f>IFERROR(__xludf.DUMMYFUNCTION("""COMPUTED_VALUE"""),1.0)</f>
        <v>1</v>
      </c>
      <c r="BE241" s="16">
        <f>IFERROR(__xludf.DUMMYFUNCTION("""COMPUTED_VALUE"""),0.0)</f>
        <v>0</v>
      </c>
      <c r="BF241" s="16">
        <f>IFERROR(__xludf.DUMMYFUNCTION("""COMPUTED_VALUE"""),1.0)</f>
        <v>1</v>
      </c>
      <c r="BG241" s="16">
        <f>IFERROR(__xludf.DUMMYFUNCTION("""COMPUTED_VALUE"""),0.0)</f>
        <v>0</v>
      </c>
      <c r="BH241" s="16">
        <f>IFERROR(__xludf.DUMMYFUNCTION("""COMPUTED_VALUE"""),-5.0)</f>
        <v>-5</v>
      </c>
      <c r="BI241" s="16">
        <f>IFERROR(__xludf.DUMMYFUNCTION("""COMPUTED_VALUE"""),0.0)</f>
        <v>0</v>
      </c>
      <c r="BJ241" s="16">
        <f>IFERROR(__xludf.DUMMYFUNCTION("""COMPUTED_VALUE"""),21.0)</f>
        <v>21</v>
      </c>
      <c r="BK241" s="16">
        <f>IFERROR(__xludf.DUMMYFUNCTION("""COMPUTED_VALUE"""),16.0)</f>
        <v>16</v>
      </c>
      <c r="BL241" s="16">
        <f>IFERROR(__xludf.DUMMYFUNCTION("""COMPUTED_VALUE"""),-2.0)</f>
        <v>-2</v>
      </c>
      <c r="BM241" s="16">
        <f>IFERROR(__xludf.DUMMYFUNCTION("""COMPUTED_VALUE"""),-1.0)</f>
        <v>-1</v>
      </c>
      <c r="BN241" s="16">
        <f>IFERROR(__xludf.DUMMYFUNCTION("""COMPUTED_VALUE"""),-4.0)</f>
        <v>-4</v>
      </c>
      <c r="BO241" s="16">
        <f>IFERROR(__xludf.DUMMYFUNCTION("""COMPUTED_VALUE"""),-2.0)</f>
        <v>-2</v>
      </c>
      <c r="BP241" s="16">
        <f>IFERROR(__xludf.DUMMYFUNCTION("""COMPUTED_VALUE"""),-8.0)</f>
        <v>-8</v>
      </c>
      <c r="BQ241" s="16">
        <f>IFERROR(__xludf.DUMMYFUNCTION("""COMPUTED_VALUE"""),0.0)</f>
        <v>0</v>
      </c>
      <c r="BR241" s="16">
        <f>IFERROR(__xludf.DUMMYFUNCTION("""COMPUTED_VALUE"""),-8.0)</f>
        <v>-8</v>
      </c>
      <c r="BS241" s="16" t="str">
        <f>IFERROR(__xludf.DUMMYFUNCTION("""COMPUTED_VALUE"""),"4,6/11 (13-6)")</f>
        <v>4,6/11 (13-6)</v>
      </c>
      <c r="BT241" s="16" t="str">
        <f>IFERROR(__xludf.DUMMYFUNCTION("""COMPUTED_VALUE"""),"E")</f>
        <v>E</v>
      </c>
      <c r="BU241" s="16">
        <f>IFERROR(__xludf.DUMMYFUNCTION("""COMPUTED_VALUE"""),13.0)</f>
        <v>13</v>
      </c>
      <c r="BV241" s="16">
        <f>IFERROR(__xludf.DUMMYFUNCTION("""COMPUTED_VALUE"""),0.0)</f>
        <v>0</v>
      </c>
      <c r="BW241" s="16">
        <f>IFERROR(__xludf.DUMMYFUNCTION("""COMPUTED_VALUE"""),1.0)</f>
        <v>1</v>
      </c>
      <c r="BX241" s="16">
        <f>IFERROR(__xludf.DUMMYFUNCTION("""COMPUTED_VALUE"""),0.0)</f>
        <v>0</v>
      </c>
      <c r="BY241" s="16">
        <f>IFERROR(__xludf.DUMMYFUNCTION("""COMPUTED_VALUE"""),3.0)</f>
        <v>3</v>
      </c>
      <c r="BZ241" s="16" t="str">
        <f>IFERROR(__xludf.DUMMYFUNCTION("""COMPUTED_VALUE"""),"C")</f>
        <v>C</v>
      </c>
      <c r="CA241" s="16" t="str">
        <f>IFERROR(__xludf.DUMMYFUNCTION("""COMPUTED_VALUE"""),"C")</f>
        <v>C</v>
      </c>
      <c r="CB241" s="16">
        <f>IFERROR(__xludf.DUMMYFUNCTION("""COMPUTED_VALUE"""),0.0)</f>
        <v>0</v>
      </c>
      <c r="CC241" s="16">
        <f>IFERROR(__xludf.DUMMYFUNCTION("""COMPUTED_VALUE"""),0.0)</f>
        <v>0</v>
      </c>
      <c r="CD241" s="16">
        <f>IFERROR(__xludf.DUMMYFUNCTION("""COMPUTED_VALUE"""),0.0)</f>
        <v>0</v>
      </c>
      <c r="CE241" s="16">
        <f>IFERROR(__xludf.DUMMYFUNCTION("""COMPUTED_VALUE"""),0.0)</f>
        <v>0</v>
      </c>
      <c r="CF241" s="16">
        <f>IFERROR(__xludf.DUMMYFUNCTION("""COMPUTED_VALUE"""),1.0)</f>
        <v>1</v>
      </c>
      <c r="CG241" s="16">
        <f>IFERROR(__xludf.DUMMYFUNCTION("""COMPUTED_VALUE"""),-16.0)</f>
        <v>-16</v>
      </c>
      <c r="CH241" s="16">
        <f>IFERROR(__xludf.DUMMYFUNCTION("""COMPUTED_VALUE"""),-5.0)</f>
        <v>-5</v>
      </c>
      <c r="CI241" s="179">
        <f>IFERROR(__xludf.DUMMYFUNCTION("""COMPUTED_VALUE"""),-4.0)</f>
        <v>-4</v>
      </c>
      <c r="CJ241" s="16"/>
      <c r="CK241" s="16"/>
      <c r="CL241" s="16"/>
      <c r="CM241" s="16"/>
      <c r="CN241" s="16"/>
      <c r="CO241" s="16"/>
      <c r="CP241" s="16">
        <f>IFERROR(__xludf.DUMMYFUNCTION("""COMPUTED_VALUE"""),106.0)</f>
        <v>106</v>
      </c>
      <c r="CQ241" s="16"/>
      <c r="CR241" s="16" t="str">
        <f>IFERROR(__xludf.DUMMYFUNCTION("""COMPUTED_VALUE"""),"cf-1(-1)e6")</f>
        <v>cf-1(-1)e6</v>
      </c>
      <c r="CS241" s="16"/>
      <c r="CT241" s="16"/>
      <c r="CU241" s="16"/>
      <c r="CV241" s="16"/>
      <c r="CW241" s="16"/>
      <c r="CX241" s="16"/>
      <c r="CY241" s="16">
        <f>IFERROR(__xludf.DUMMYFUNCTION("""COMPUTED_VALUE"""),1.0)</f>
        <v>1</v>
      </c>
      <c r="CZ241" s="16"/>
      <c r="DA241" s="16"/>
      <c r="DB241" s="16"/>
      <c r="DC241" s="16"/>
      <c r="DD241" s="16"/>
      <c r="DE241" s="16"/>
      <c r="DF241" s="16"/>
      <c r="DG241" s="16">
        <f>IFERROR(__xludf.DUMMYFUNCTION("""COMPUTED_VALUE"""),6.0)</f>
        <v>6</v>
      </c>
      <c r="DH241" s="16"/>
      <c r="DI241" s="16"/>
      <c r="DJ241" s="16"/>
      <c r="DK241" s="16"/>
      <c r="DL241" s="16"/>
      <c r="DM241" s="16"/>
      <c r="DN241" s="16"/>
      <c r="DO241" s="16">
        <f>IFERROR(__xludf.DUMMYFUNCTION("""COMPUTED_VALUE"""),4.0)</f>
        <v>4</v>
      </c>
      <c r="DP241" s="16"/>
      <c r="DQ241" s="16"/>
      <c r="DR241" s="16"/>
      <c r="DS241" s="16"/>
      <c r="DT241" s="16"/>
      <c r="DU241" s="16"/>
      <c r="DV241" s="16"/>
      <c r="DW241" s="16">
        <f>IFERROR(__xludf.DUMMYFUNCTION("""COMPUTED_VALUE"""),3.0)</f>
        <v>3</v>
      </c>
      <c r="DX241" s="16"/>
      <c r="DY241" s="16"/>
      <c r="DZ241" s="16"/>
      <c r="EA241" s="16"/>
      <c r="EB241" s="16"/>
      <c r="EC241" s="16"/>
      <c r="ED241" s="16"/>
      <c r="EE241" s="16">
        <f>IFERROR(__xludf.DUMMYFUNCTION("""COMPUTED_VALUE"""),7.0)</f>
        <v>7</v>
      </c>
      <c r="EF241" s="16"/>
      <c r="EG241" s="179"/>
      <c r="EH241" s="179"/>
      <c r="EI241" s="179"/>
      <c r="EJ241" s="179"/>
      <c r="EK241" s="179"/>
      <c r="EL241" s="179"/>
      <c r="EM241" s="179">
        <f>IFERROR(__xludf.DUMMYFUNCTION("""COMPUTED_VALUE"""),3.0)</f>
        <v>3</v>
      </c>
      <c r="EN241" s="179"/>
      <c r="EO241" s="16"/>
      <c r="EP241" s="16"/>
      <c r="EQ241" s="16">
        <f>IFERROR(__xludf.DUMMYFUNCTION("""COMPUTED_VALUE"""),4.0)</f>
        <v>4</v>
      </c>
      <c r="ER241" s="16">
        <f>IFERROR(__xludf.DUMMYFUNCTION("""COMPUTED_VALUE"""),-1.0)</f>
        <v>-1</v>
      </c>
      <c r="ES241" s="16"/>
      <c r="ET241" s="16"/>
      <c r="EU241" s="16"/>
      <c r="EV241" s="16"/>
      <c r="EW241" s="16"/>
      <c r="EX241" s="180"/>
      <c r="EY241" s="180"/>
      <c r="EZ241" s="180"/>
      <c r="FA241" s="180"/>
      <c r="FB241" s="180"/>
      <c r="FC241" s="180"/>
      <c r="FD241" s="180">
        <f>IFERROR(__xludf.DUMMYFUNCTION("""COMPUTED_VALUE"""),0.0)</f>
        <v>0</v>
      </c>
      <c r="FE241" s="180"/>
      <c r="FF241" s="180"/>
      <c r="FG241" s="180"/>
      <c r="FH241" s="180"/>
      <c r="FI241" s="180"/>
      <c r="FJ241" s="180"/>
      <c r="FK241" s="180"/>
      <c r="FL241" s="180">
        <f>IFERROR(__xludf.DUMMYFUNCTION("""COMPUTED_VALUE"""),0.06944444444444445)</f>
        <v>0.06944444444</v>
      </c>
      <c r="FM241" s="180"/>
      <c r="FN241" s="16"/>
      <c r="FO241" s="16"/>
      <c r="FP241" s="16"/>
      <c r="FQ241" s="16"/>
      <c r="FR241" s="16"/>
      <c r="FS241" s="16"/>
      <c r="FT241" s="16">
        <f>IFERROR(__xludf.DUMMYFUNCTION("""COMPUTED_VALUE"""),0.9305555555555556)</f>
        <v>0.9305555556</v>
      </c>
      <c r="FU241" s="16"/>
      <c r="FV241" s="16"/>
      <c r="FW241" s="16"/>
      <c r="FX241" s="16"/>
      <c r="FY241" s="16"/>
      <c r="FZ241" s="16"/>
      <c r="GA241" s="16"/>
      <c r="GB241" s="16">
        <f>IFERROR(__xludf.DUMMYFUNCTION("""COMPUTED_VALUE"""),6.0)</f>
        <v>6</v>
      </c>
      <c r="GC241" s="16"/>
      <c r="GD241" s="16" t="s">
        <v>200</v>
      </c>
    </row>
    <row r="242">
      <c r="A242" s="16">
        <f>IFERROR(__xludf.DUMMYFUNCTION("""COMPUTED_VALUE"""),12526.0)</f>
        <v>12526</v>
      </c>
      <c r="B242" s="16" t="str">
        <f>IFERROR(__xludf.DUMMYFUNCTION("""COMPUTED_VALUE"""),"Alex Verdugo")</f>
        <v>Alex Verdugo</v>
      </c>
      <c r="C242" s="16">
        <f>IFERROR(__xludf.DUMMYFUNCTION("""COMPUTED_VALUE"""),0.22)</f>
        <v>0.22</v>
      </c>
      <c r="D242" s="16" t="str">
        <f>IFERROR(__xludf.DUMMYFUNCTION("""COMPUTED_VALUE"""),"L")</f>
        <v>L</v>
      </c>
      <c r="E242" s="16"/>
      <c r="F242" s="16"/>
      <c r="G242" s="16">
        <f>IFERROR(__xludf.DUMMYFUNCTION("""COMPUTED_VALUE"""),559.0)</f>
        <v>559</v>
      </c>
      <c r="H242" s="16">
        <f>IFERROR(__xludf.DUMMYFUNCTION("""COMPUTED_VALUE"""),49.0)</f>
        <v>49</v>
      </c>
      <c r="I242" s="16" t="str">
        <f>IFERROR(__xludf.DUMMYFUNCTION("""COMPUTED_VALUE"""),"1p70")</f>
        <v>1p70</v>
      </c>
      <c r="J242" s="16">
        <f>IFERROR(__xludf.DUMMYFUNCTION("""COMPUTED_VALUE"""),10.0)</f>
        <v>10</v>
      </c>
      <c r="K242" s="16">
        <f>IFERROR(__xludf.DUMMYFUNCTION("""COMPUTED_VALUE"""),7.0)</f>
        <v>7</v>
      </c>
      <c r="L242" s="16">
        <f>IFERROR(__xludf.DUMMYFUNCTION("""COMPUTED_VALUE"""),1.0)</f>
        <v>1</v>
      </c>
      <c r="M242" s="16">
        <f>IFERROR(__xludf.DUMMYFUNCTION("""COMPUTED_VALUE"""),2.0)</f>
        <v>2</v>
      </c>
      <c r="N242" s="16">
        <f>IFERROR(__xludf.DUMMYFUNCTION("""COMPUTED_VALUE"""),1.0)</f>
        <v>1</v>
      </c>
      <c r="O242" s="16">
        <f>IFERROR(__xludf.DUMMYFUNCTION("""COMPUTED_VALUE"""),2.0)</f>
        <v>2</v>
      </c>
      <c r="P242" s="16">
        <f>IFERROR(__xludf.DUMMYFUNCTION("""COMPUTED_VALUE"""),15.0)</f>
        <v>15</v>
      </c>
      <c r="Q242" s="16">
        <f>IFERROR(__xludf.DUMMYFUNCTION("""COMPUTED_VALUE"""),5.0)</f>
        <v>5</v>
      </c>
      <c r="R242" s="16">
        <f>IFERROR(__xludf.DUMMYFUNCTION("""COMPUTED_VALUE"""),2.0)</f>
        <v>2</v>
      </c>
      <c r="S242" s="16">
        <f>IFERROR(__xludf.DUMMYFUNCTION("""COMPUTED_VALUE"""),-1.0)</f>
        <v>-1</v>
      </c>
      <c r="T242" s="16">
        <f>IFERROR(__xludf.DUMMYFUNCTION("""COMPUTED_VALUE"""),2.0)</f>
        <v>2</v>
      </c>
      <c r="U242" s="16">
        <f>IFERROR(__xludf.DUMMYFUNCTION("""COMPUTED_VALUE"""),-1.0)</f>
        <v>-1</v>
      </c>
      <c r="V242" s="16">
        <f>IFERROR(__xludf.DUMMYFUNCTION("""COMPUTED_VALUE"""),18.4)</f>
        <v>18.4</v>
      </c>
      <c r="W242" s="16">
        <f>IFERROR(__xludf.DUMMYFUNCTION("""COMPUTED_VALUE"""),20.8)</f>
        <v>20.8</v>
      </c>
      <c r="X242" s="16">
        <f>IFERROR(__xludf.DUMMYFUNCTION("""COMPUTED_VALUE"""),0.0)</f>
        <v>0</v>
      </c>
      <c r="Y242" s="16">
        <f>IFERROR(__xludf.DUMMYFUNCTION("""COMPUTED_VALUE"""),0.0)</f>
        <v>0</v>
      </c>
      <c r="Z242" s="16">
        <f>IFERROR(__xludf.DUMMYFUNCTION("""COMPUTED_VALUE"""),0.0)</f>
        <v>0</v>
      </c>
      <c r="AA242" s="16">
        <f>IFERROR(__xludf.DUMMYFUNCTION("""COMPUTED_VALUE"""),0.0)</f>
        <v>0</v>
      </c>
      <c r="AB242" s="16">
        <f>IFERROR(__xludf.DUMMYFUNCTION("""COMPUTED_VALUE"""),33.3)</f>
        <v>33.3</v>
      </c>
      <c r="AC242" s="16">
        <f>IFERROR(__xludf.DUMMYFUNCTION("""COMPUTED_VALUE"""),25.8)</f>
        <v>25.8</v>
      </c>
      <c r="AD242" s="16">
        <f>IFERROR(__xludf.DUMMYFUNCTION("""COMPUTED_VALUE"""),0.0)</f>
        <v>0</v>
      </c>
      <c r="AE242" s="16">
        <f>IFERROR(__xludf.DUMMYFUNCTION("""COMPUTED_VALUE"""),-1.0)</f>
        <v>-1</v>
      </c>
      <c r="AF242" s="16">
        <f>IFERROR(__xludf.DUMMYFUNCTION("""COMPUTED_VALUE"""),0.0)</f>
        <v>0</v>
      </c>
      <c r="AG242" s="16">
        <f>IFERROR(__xludf.DUMMYFUNCTION("""COMPUTED_VALUE"""),-5.0)</f>
        <v>-5</v>
      </c>
      <c r="AH242" s="16">
        <f>IFERROR(__xludf.DUMMYFUNCTION("""COMPUTED_VALUE"""),25.1)</f>
        <v>25.1</v>
      </c>
      <c r="AI242" s="16">
        <f>IFERROR(__xludf.DUMMYFUNCTION("""COMPUTED_VALUE"""),33.0)</f>
        <v>33</v>
      </c>
      <c r="AJ242" s="16">
        <f>IFERROR(__xludf.DUMMYFUNCTION("""COMPUTED_VALUE"""),-1.0)</f>
        <v>-1</v>
      </c>
      <c r="AK242" s="16">
        <f>IFERROR(__xludf.DUMMYFUNCTION("""COMPUTED_VALUE"""),0.0)</f>
        <v>0</v>
      </c>
      <c r="AL242" s="16">
        <f>IFERROR(__xludf.DUMMYFUNCTION("""COMPUTED_VALUE"""),-5.0)</f>
        <v>-5</v>
      </c>
      <c r="AM242" s="16">
        <f>IFERROR(__xludf.DUMMYFUNCTION("""COMPUTED_VALUE"""),0.0)</f>
        <v>0</v>
      </c>
      <c r="AN242" s="16">
        <f>IFERROR(__xludf.DUMMYFUNCTION("""COMPUTED_VALUE"""),2.3)</f>
        <v>2.3</v>
      </c>
      <c r="AO242" s="16">
        <f>IFERROR(__xludf.DUMMYFUNCTION("""COMPUTED_VALUE"""),1.5)</f>
        <v>1.5</v>
      </c>
      <c r="AP242" s="16">
        <f>IFERROR(__xludf.DUMMYFUNCTION("""COMPUTED_VALUE"""),0.0)</f>
        <v>0</v>
      </c>
      <c r="AQ242" s="16">
        <f>IFERROR(__xludf.DUMMYFUNCTION("""COMPUTED_VALUE"""),-1.0)</f>
        <v>-1</v>
      </c>
      <c r="AR242" s="16">
        <f>IFERROR(__xludf.DUMMYFUNCTION("""COMPUTED_VALUE"""),0.0)</f>
        <v>0</v>
      </c>
      <c r="AS242" s="16">
        <f>IFERROR(__xludf.DUMMYFUNCTION("""COMPUTED_VALUE"""),-2.0)</f>
        <v>-2</v>
      </c>
      <c r="AT242" s="16"/>
      <c r="AU242" s="16">
        <f>IFERROR(__xludf.DUMMYFUNCTION("""COMPUTED_VALUE"""),1.0)</f>
        <v>1</v>
      </c>
      <c r="AV242" s="16">
        <f>IFERROR(__xludf.DUMMYFUNCTION("""COMPUTED_VALUE"""),-3.0)</f>
        <v>-3</v>
      </c>
      <c r="AW242" s="16">
        <f>IFERROR(__xludf.DUMMYFUNCTION("""COMPUTED_VALUE"""),1.0)</f>
        <v>1</v>
      </c>
      <c r="AX242" s="16">
        <f>IFERROR(__xludf.DUMMYFUNCTION("""COMPUTED_VALUE"""),-3.0)</f>
        <v>-3</v>
      </c>
      <c r="AY242" s="16">
        <f>IFERROR(__xludf.DUMMYFUNCTION("""COMPUTED_VALUE"""),-1.0)</f>
        <v>-1</v>
      </c>
      <c r="AZ242" s="16">
        <f>IFERROR(__xludf.DUMMYFUNCTION("""COMPUTED_VALUE"""),-9.0)</f>
        <v>-9</v>
      </c>
      <c r="BA242" s="16">
        <f>IFERROR(__xludf.DUMMYFUNCTION("""COMPUTED_VALUE"""),-3.0)</f>
        <v>-3</v>
      </c>
      <c r="BB242" s="16">
        <f>IFERROR(__xludf.DUMMYFUNCTION("""COMPUTED_VALUE"""),5.0)</f>
        <v>5</v>
      </c>
      <c r="BC242" s="16">
        <f>IFERROR(__xludf.DUMMYFUNCTION("""COMPUTED_VALUE"""),5.0)</f>
        <v>5</v>
      </c>
      <c r="BD242" s="16">
        <f>IFERROR(__xludf.DUMMYFUNCTION("""COMPUTED_VALUE"""),1.0)</f>
        <v>1</v>
      </c>
      <c r="BE242" s="16">
        <f>IFERROR(__xludf.DUMMYFUNCTION("""COMPUTED_VALUE"""),1.0)</f>
        <v>1</v>
      </c>
      <c r="BF242" s="16">
        <f>IFERROR(__xludf.DUMMYFUNCTION("""COMPUTED_VALUE"""),1.0)</f>
        <v>1</v>
      </c>
      <c r="BG242" s="16">
        <f>IFERROR(__xludf.DUMMYFUNCTION("""COMPUTED_VALUE"""),1.0)</f>
        <v>1</v>
      </c>
      <c r="BH242" s="16">
        <f>IFERROR(__xludf.DUMMYFUNCTION("""COMPUTED_VALUE"""),-4.0)</f>
        <v>-4</v>
      </c>
      <c r="BI242" s="16">
        <f>IFERROR(__xludf.DUMMYFUNCTION("""COMPUTED_VALUE"""),-5.0)</f>
        <v>-5</v>
      </c>
      <c r="BJ242" s="16">
        <f>IFERROR(__xludf.DUMMYFUNCTION("""COMPUTED_VALUE"""),16.0)</f>
        <v>16</v>
      </c>
      <c r="BK242" s="16">
        <f>IFERROR(__xludf.DUMMYFUNCTION("""COMPUTED_VALUE"""),19.0)</f>
        <v>19</v>
      </c>
      <c r="BL242" s="16">
        <f>IFERROR(__xludf.DUMMYFUNCTION("""COMPUTED_VALUE"""),-1.0)</f>
        <v>-1</v>
      </c>
      <c r="BM242" s="16">
        <f>IFERROR(__xludf.DUMMYFUNCTION("""COMPUTED_VALUE"""),-1.0)</f>
        <v>-1</v>
      </c>
      <c r="BN242" s="16">
        <f>IFERROR(__xludf.DUMMYFUNCTION("""COMPUTED_VALUE"""),-2.0)</f>
        <v>-2</v>
      </c>
      <c r="BO242" s="16">
        <f>IFERROR(__xludf.DUMMYFUNCTION("""COMPUTED_VALUE"""),-2.0)</f>
        <v>-2</v>
      </c>
      <c r="BP242" s="16">
        <f>IFERROR(__xludf.DUMMYFUNCTION("""COMPUTED_VALUE"""),-1.0)</f>
        <v>-1</v>
      </c>
      <c r="BQ242" s="16">
        <f>IFERROR(__xludf.DUMMYFUNCTION("""COMPUTED_VALUE"""),-2.0)</f>
        <v>-2</v>
      </c>
      <c r="BR242" s="16">
        <f>IFERROR(__xludf.DUMMYFUNCTION("""COMPUTED_VALUE"""),-3.0)</f>
        <v>-3</v>
      </c>
      <c r="BS242" s="16" t="str">
        <f>IFERROR(__xludf.DUMMYFUNCTION("""COMPUTED_VALUE"""),"4/- (13-6)")</f>
        <v>4/- (13-6)</v>
      </c>
      <c r="BT242" s="16" t="str">
        <f>IFERROR(__xludf.DUMMYFUNCTION("""COMPUTED_VALUE"""),"E")</f>
        <v>E</v>
      </c>
      <c r="BU242" s="16">
        <f>IFERROR(__xludf.DUMMYFUNCTION("""COMPUTED_VALUE"""),12.0)</f>
        <v>12</v>
      </c>
      <c r="BV242" s="16">
        <f>IFERROR(__xludf.DUMMYFUNCTION("""COMPUTED_VALUE"""),0.0)</f>
        <v>0</v>
      </c>
      <c r="BW242" s="16">
        <f>IFERROR(__xludf.DUMMYFUNCTION("""COMPUTED_VALUE"""),0.0)</f>
        <v>0</v>
      </c>
      <c r="BX242" s="16">
        <f>IFERROR(__xludf.DUMMYFUNCTION("""COMPUTED_VALUE"""),0.0)</f>
        <v>0</v>
      </c>
      <c r="BY242" s="16">
        <f>IFERROR(__xludf.DUMMYFUNCTION("""COMPUTED_VALUE"""),0.0)</f>
        <v>0</v>
      </c>
      <c r="BZ242" s="16" t="str">
        <f>IFERROR(__xludf.DUMMYFUNCTION("""COMPUTED_VALUE"""),"C")</f>
        <v>C</v>
      </c>
      <c r="CA242" s="16" t="str">
        <f>IFERROR(__xludf.DUMMYFUNCTION("""COMPUTED_VALUE"""),"C")</f>
        <v>C</v>
      </c>
      <c r="CB242" s="16">
        <f>IFERROR(__xludf.DUMMYFUNCTION("""COMPUTED_VALUE"""),0.0)</f>
        <v>0</v>
      </c>
      <c r="CC242" s="16">
        <f>IFERROR(__xludf.DUMMYFUNCTION("""COMPUTED_VALUE"""),0.0)</f>
        <v>0</v>
      </c>
      <c r="CD242" s="16">
        <f>IFERROR(__xludf.DUMMYFUNCTION("""COMPUTED_VALUE"""),0.0)</f>
        <v>0</v>
      </c>
      <c r="CE242" s="16">
        <f>IFERROR(__xludf.DUMMYFUNCTION("""COMPUTED_VALUE"""),0.0)</f>
        <v>0</v>
      </c>
      <c r="CF242" s="16">
        <f>IFERROR(__xludf.DUMMYFUNCTION("""COMPUTED_VALUE"""),1.0)</f>
        <v>1</v>
      </c>
      <c r="CG242" s="16">
        <f>IFERROR(__xludf.DUMMYFUNCTION("""COMPUTED_VALUE"""),-12.0)</f>
        <v>-12</v>
      </c>
      <c r="CH242" s="16">
        <f>IFERROR(__xludf.DUMMYFUNCTION("""COMPUTED_VALUE"""),-10.0)</f>
        <v>-10</v>
      </c>
      <c r="CI242" s="179">
        <f>IFERROR(__xludf.DUMMYFUNCTION("""COMPUTED_VALUE"""),-4.0)</f>
        <v>-4</v>
      </c>
      <c r="CJ242" s="16"/>
      <c r="CK242" s="16"/>
      <c r="CL242" s="16"/>
      <c r="CM242" s="16"/>
      <c r="CN242" s="16"/>
      <c r="CO242" s="16">
        <f>IFERROR(__xludf.DUMMYFUNCTION("""COMPUTED_VALUE"""),201.0)</f>
        <v>201</v>
      </c>
      <c r="CP242" s="16">
        <f>IFERROR(__xludf.DUMMYFUNCTION("""COMPUTED_VALUE"""),401.0)</f>
        <v>401</v>
      </c>
      <c r="CQ242" s="16">
        <f>IFERROR(__xludf.DUMMYFUNCTION("""COMPUTED_VALUE"""),301.0)</f>
        <v>301</v>
      </c>
      <c r="CR242" s="16" t="str">
        <f>IFERROR(__xludf.DUMMYFUNCTION("""COMPUTED_VALUE"""),"lf-2(-2)e1 rf-3e1 cf-4e1")</f>
        <v>lf-2(-2)e1 rf-3e1 cf-4e1</v>
      </c>
      <c r="CS242" s="16"/>
      <c r="CT242" s="16"/>
      <c r="CU242" s="16"/>
      <c r="CV242" s="16"/>
      <c r="CW242" s="16"/>
      <c r="CX242" s="16">
        <f>IFERROR(__xludf.DUMMYFUNCTION("""COMPUTED_VALUE"""),2.0)</f>
        <v>2</v>
      </c>
      <c r="CY242" s="16">
        <f>IFERROR(__xludf.DUMMYFUNCTION("""COMPUTED_VALUE"""),4.0)</f>
        <v>4</v>
      </c>
      <c r="CZ242" s="16">
        <f>IFERROR(__xludf.DUMMYFUNCTION("""COMPUTED_VALUE"""),3.0)</f>
        <v>3</v>
      </c>
      <c r="DA242" s="16"/>
      <c r="DB242" s="16"/>
      <c r="DC242" s="16"/>
      <c r="DD242" s="16"/>
      <c r="DE242" s="16"/>
      <c r="DF242" s="16">
        <f>IFERROR(__xludf.DUMMYFUNCTION("""COMPUTED_VALUE"""),1.0)</f>
        <v>1</v>
      </c>
      <c r="DG242" s="16">
        <f>IFERROR(__xludf.DUMMYFUNCTION("""COMPUTED_VALUE"""),1.0)</f>
        <v>1</v>
      </c>
      <c r="DH242" s="16">
        <f>IFERROR(__xludf.DUMMYFUNCTION("""COMPUTED_VALUE"""),1.0)</f>
        <v>1</v>
      </c>
      <c r="DI242" s="16"/>
      <c r="DJ242" s="16"/>
      <c r="DK242" s="16"/>
      <c r="DL242" s="16"/>
      <c r="DM242" s="16"/>
      <c r="DN242" s="16">
        <f>IFERROR(__xludf.DUMMYFUNCTION("""COMPUTED_VALUE"""),3.0)</f>
        <v>3</v>
      </c>
      <c r="DO242" s="16">
        <f>IFERROR(__xludf.DUMMYFUNCTION("""COMPUTED_VALUE"""),-2.0)</f>
        <v>-2</v>
      </c>
      <c r="DP242" s="16">
        <f>IFERROR(__xludf.DUMMYFUNCTION("""COMPUTED_VALUE"""),0.0)</f>
        <v>0</v>
      </c>
      <c r="DQ242" s="16"/>
      <c r="DR242" s="16"/>
      <c r="DS242" s="16"/>
      <c r="DT242" s="16"/>
      <c r="DU242" s="16"/>
      <c r="DV242" s="16">
        <f>IFERROR(__xludf.DUMMYFUNCTION("""COMPUTED_VALUE"""),4.0)</f>
        <v>4</v>
      </c>
      <c r="DW242" s="16">
        <f>IFERROR(__xludf.DUMMYFUNCTION("""COMPUTED_VALUE"""),4.0)</f>
        <v>4</v>
      </c>
      <c r="DX242" s="16">
        <f>IFERROR(__xludf.DUMMYFUNCTION("""COMPUTED_VALUE"""),4.0)</f>
        <v>4</v>
      </c>
      <c r="DY242" s="16"/>
      <c r="DZ242" s="16"/>
      <c r="EA242" s="16"/>
      <c r="EB242" s="16"/>
      <c r="EC242" s="16"/>
      <c r="ED242" s="16">
        <f>IFERROR(__xludf.DUMMYFUNCTION("""COMPUTED_VALUE"""),7.0)</f>
        <v>7</v>
      </c>
      <c r="EE242" s="16">
        <f>IFERROR(__xludf.DUMMYFUNCTION("""COMPUTED_VALUE"""),2.0)</f>
        <v>2</v>
      </c>
      <c r="EF242" s="16">
        <f>IFERROR(__xludf.DUMMYFUNCTION("""COMPUTED_VALUE"""),4.0)</f>
        <v>4</v>
      </c>
      <c r="EG242" s="179"/>
      <c r="EH242" s="179"/>
      <c r="EI242" s="179"/>
      <c r="EJ242" s="179"/>
      <c r="EK242" s="179"/>
      <c r="EL242" s="179">
        <f>IFERROR(__xludf.DUMMYFUNCTION("""COMPUTED_VALUE"""),3.0)</f>
        <v>3</v>
      </c>
      <c r="EM242" s="179">
        <f>IFERROR(__xludf.DUMMYFUNCTION("""COMPUTED_VALUE"""),-2.0)</f>
        <v>-2</v>
      </c>
      <c r="EN242" s="179">
        <f>IFERROR(__xludf.DUMMYFUNCTION("""COMPUTED_VALUE"""),0.0)</f>
        <v>0</v>
      </c>
      <c r="EO242" s="16"/>
      <c r="EP242" s="16"/>
      <c r="EQ242" s="16">
        <f>IFERROR(__xludf.DUMMYFUNCTION("""COMPUTED_VALUE"""),4.0)</f>
        <v>4</v>
      </c>
      <c r="ER242" s="16">
        <f>IFERROR(__xludf.DUMMYFUNCTION("""COMPUTED_VALUE"""),3.0)</f>
        <v>3</v>
      </c>
      <c r="ES242" s="16"/>
      <c r="ET242" s="16"/>
      <c r="EU242" s="16"/>
      <c r="EV242" s="16"/>
      <c r="EW242" s="16"/>
      <c r="EX242" s="180"/>
      <c r="EY242" s="180"/>
      <c r="EZ242" s="180"/>
      <c r="FA242" s="180"/>
      <c r="FB242" s="180"/>
      <c r="FC242" s="180">
        <f>IFERROR(__xludf.DUMMYFUNCTION("""COMPUTED_VALUE"""),0.15)</f>
        <v>0.15</v>
      </c>
      <c r="FD242" s="180">
        <f>IFERROR(__xludf.DUMMYFUNCTION("""COMPUTED_VALUE"""),0.55)</f>
        <v>0.55</v>
      </c>
      <c r="FE242" s="180">
        <f>IFERROR(__xludf.DUMMYFUNCTION("""COMPUTED_VALUE"""),0.3)</f>
        <v>0.3</v>
      </c>
      <c r="FF242" s="180"/>
      <c r="FG242" s="180"/>
      <c r="FH242" s="180"/>
      <c r="FI242" s="180"/>
      <c r="FJ242" s="180"/>
      <c r="FK242" s="180">
        <f>IFERROR(__xludf.DUMMYFUNCTION("""COMPUTED_VALUE"""),0.019)</f>
        <v>0.019</v>
      </c>
      <c r="FL242" s="180">
        <f>IFERROR(__xludf.DUMMYFUNCTION("""COMPUTED_VALUE"""),0.013888888888888888)</f>
        <v>0.01388888889</v>
      </c>
      <c r="FM242" s="180">
        <f>IFERROR(__xludf.DUMMYFUNCTION("""COMPUTED_VALUE"""),0.019)</f>
        <v>0.019</v>
      </c>
      <c r="FN242" s="16"/>
      <c r="FO242" s="16"/>
      <c r="FP242" s="16"/>
      <c r="FQ242" s="16"/>
      <c r="FR242" s="16"/>
      <c r="FS242" s="16">
        <f>IFERROR(__xludf.DUMMYFUNCTION("""COMPUTED_VALUE"""),0.83385)</f>
        <v>0.83385</v>
      </c>
      <c r="FT242" s="16">
        <f>IFERROR(__xludf.DUMMYFUNCTION("""COMPUTED_VALUE"""),0.44375)</f>
        <v>0.44375</v>
      </c>
      <c r="FU242" s="16">
        <f>IFERROR(__xludf.DUMMYFUNCTION("""COMPUTED_VALUE"""),0.6867)</f>
        <v>0.6867</v>
      </c>
      <c r="FV242" s="16"/>
      <c r="FW242" s="16"/>
      <c r="FX242" s="16"/>
      <c r="FY242" s="16"/>
      <c r="FZ242" s="16"/>
      <c r="GA242" s="16">
        <f>IFERROR(__xludf.DUMMYFUNCTION("""COMPUTED_VALUE"""),1.0)</f>
        <v>1</v>
      </c>
      <c r="GB242" s="16">
        <f>IFERROR(__xludf.DUMMYFUNCTION("""COMPUTED_VALUE"""),-8.0)</f>
        <v>-8</v>
      </c>
      <c r="GC242" s="16">
        <f>IFERROR(__xludf.DUMMYFUNCTION("""COMPUTED_VALUE"""),-4.0)</f>
        <v>-4</v>
      </c>
      <c r="GD242" s="16" t="s">
        <v>176</v>
      </c>
    </row>
    <row r="243">
      <c r="A243" s="16">
        <f>IFERROR(__xludf.DUMMYFUNCTION("""COMPUTED_VALUE"""),13388.0)</f>
        <v>13388</v>
      </c>
      <c r="B243" s="16" t="str">
        <f>IFERROR(__xludf.DUMMYFUNCTION("""COMPUTED_VALUE"""),"Starling Marte")</f>
        <v>Starling Marte</v>
      </c>
      <c r="C243" s="16">
        <f>IFERROR(__xludf.DUMMYFUNCTION("""COMPUTED_VALUE"""),0.55)</f>
        <v>0.55</v>
      </c>
      <c r="D243" s="16" t="str">
        <f>IFERROR(__xludf.DUMMYFUNCTION("""COMPUTED_VALUE"""),"R")</f>
        <v>R</v>
      </c>
      <c r="E243" s="16"/>
      <c r="F243" s="16"/>
      <c r="G243" s="16">
        <f>IFERROR(__xludf.DUMMYFUNCTION("""COMPUTED_VALUE"""),335.0)</f>
        <v>335</v>
      </c>
      <c r="H243" s="16">
        <f>IFERROR(__xludf.DUMMYFUNCTION("""COMPUTED_VALUE"""),27.0)</f>
        <v>27</v>
      </c>
      <c r="I243" s="16" t="str">
        <f>IFERROR(__xludf.DUMMYFUNCTION("""COMPUTED_VALUE"""),"4p50")</f>
        <v>4p50</v>
      </c>
      <c r="J243" s="16">
        <f>IFERROR(__xludf.DUMMYFUNCTION("""COMPUTED_VALUE"""),24.0)</f>
        <v>24</v>
      </c>
      <c r="K243" s="16">
        <f>IFERROR(__xludf.DUMMYFUNCTION("""COMPUTED_VALUE"""),23.0)</f>
        <v>23</v>
      </c>
      <c r="L243" s="16">
        <f>IFERROR(__xludf.DUMMYFUNCTION("""COMPUTED_VALUE"""),0.0)</f>
        <v>0</v>
      </c>
      <c r="M243" s="16">
        <f>IFERROR(__xludf.DUMMYFUNCTION("""COMPUTED_VALUE"""),0.0)</f>
        <v>0</v>
      </c>
      <c r="N243" s="16">
        <f>IFERROR(__xludf.DUMMYFUNCTION("""COMPUTED_VALUE"""),0.0)</f>
        <v>0</v>
      </c>
      <c r="O243" s="16">
        <f>IFERROR(__xludf.DUMMYFUNCTION("""COMPUTED_VALUE"""),0.0)</f>
        <v>0</v>
      </c>
      <c r="P243" s="16">
        <f>IFERROR(__xludf.DUMMYFUNCTION("""COMPUTED_VALUE"""),13.0)</f>
        <v>13</v>
      </c>
      <c r="Q243" s="16">
        <f>IFERROR(__xludf.DUMMYFUNCTION("""COMPUTED_VALUE"""),5.0)</f>
        <v>5</v>
      </c>
      <c r="R243" s="16">
        <f>IFERROR(__xludf.DUMMYFUNCTION("""COMPUTED_VALUE"""),2.0)</f>
        <v>2</v>
      </c>
      <c r="S243" s="16">
        <f>IFERROR(__xludf.DUMMYFUNCTION("""COMPUTED_VALUE"""),-1.0)</f>
        <v>-1</v>
      </c>
      <c r="T243" s="16">
        <f>IFERROR(__xludf.DUMMYFUNCTION("""COMPUTED_VALUE"""),2.0)</f>
        <v>2</v>
      </c>
      <c r="U243" s="16">
        <f>IFERROR(__xludf.DUMMYFUNCTION("""COMPUTED_VALUE"""),-1.0)</f>
        <v>-1</v>
      </c>
      <c r="V243" s="16">
        <f>IFERROR(__xludf.DUMMYFUNCTION("""COMPUTED_VALUE"""),31.9)</f>
        <v>31.9</v>
      </c>
      <c r="W243" s="16">
        <f>IFERROR(__xludf.DUMMYFUNCTION("""COMPUTED_VALUE"""),23.6)</f>
        <v>23.6</v>
      </c>
      <c r="X243" s="16">
        <f>IFERROR(__xludf.DUMMYFUNCTION("""COMPUTED_VALUE"""),2.0)</f>
        <v>2</v>
      </c>
      <c r="Y243" s="16">
        <f>IFERROR(__xludf.DUMMYFUNCTION("""COMPUTED_VALUE"""),1.0)</f>
        <v>1</v>
      </c>
      <c r="Z243" s="16">
        <f>IFERROR(__xludf.DUMMYFUNCTION("""COMPUTED_VALUE"""),4.0)</f>
        <v>4</v>
      </c>
      <c r="AA243" s="16">
        <f>IFERROR(__xludf.DUMMYFUNCTION("""COMPUTED_VALUE"""),2.0)</f>
        <v>2</v>
      </c>
      <c r="AB243" s="16">
        <f>IFERROR(__xludf.DUMMYFUNCTION("""COMPUTED_VALUE"""),47.0)</f>
        <v>47</v>
      </c>
      <c r="AC243" s="16">
        <f>IFERROR(__xludf.DUMMYFUNCTION("""COMPUTED_VALUE"""),30.6)</f>
        <v>30.6</v>
      </c>
      <c r="AD243" s="16">
        <f>IFERROR(__xludf.DUMMYFUNCTION("""COMPUTED_VALUE"""),2.0)</f>
        <v>2</v>
      </c>
      <c r="AE243" s="16">
        <f>IFERROR(__xludf.DUMMYFUNCTION("""COMPUTED_VALUE"""),0.0)</f>
        <v>0</v>
      </c>
      <c r="AF243" s="16">
        <f>IFERROR(__xludf.DUMMYFUNCTION("""COMPUTED_VALUE"""),10.0)</f>
        <v>10</v>
      </c>
      <c r="AG243" s="16">
        <f>IFERROR(__xludf.DUMMYFUNCTION("""COMPUTED_VALUE"""),0.0)</f>
        <v>0</v>
      </c>
      <c r="AH243" s="16">
        <f>IFERROR(__xludf.DUMMYFUNCTION("""COMPUTED_VALUE"""),43.5)</f>
        <v>43.5</v>
      </c>
      <c r="AI243" s="16">
        <f>IFERROR(__xludf.DUMMYFUNCTION("""COMPUTED_VALUE"""),30.1)</f>
        <v>30.1</v>
      </c>
      <c r="AJ243" s="16">
        <f>IFERROR(__xludf.DUMMYFUNCTION("""COMPUTED_VALUE"""),1.0)</f>
        <v>1</v>
      </c>
      <c r="AK243" s="16">
        <f>IFERROR(__xludf.DUMMYFUNCTION("""COMPUTED_VALUE"""),0.0)</f>
        <v>0</v>
      </c>
      <c r="AL243" s="16">
        <f>IFERROR(__xludf.DUMMYFUNCTION("""COMPUTED_VALUE"""),5.0)</f>
        <v>5</v>
      </c>
      <c r="AM243" s="16">
        <f>IFERROR(__xludf.DUMMYFUNCTION("""COMPUTED_VALUE"""),0.0)</f>
        <v>0</v>
      </c>
      <c r="AN243" s="16">
        <f>IFERROR(__xludf.DUMMYFUNCTION("""COMPUTED_VALUE"""),0.6)</f>
        <v>0.6</v>
      </c>
      <c r="AO243" s="16">
        <f>IFERROR(__xludf.DUMMYFUNCTION("""COMPUTED_VALUE"""),1.0)</f>
        <v>1</v>
      </c>
      <c r="AP243" s="16">
        <f>IFERROR(__xludf.DUMMYFUNCTION("""COMPUTED_VALUE"""),-2.0)</f>
        <v>-2</v>
      </c>
      <c r="AQ243" s="16">
        <f>IFERROR(__xludf.DUMMYFUNCTION("""COMPUTED_VALUE"""),-2.0)</f>
        <v>-2</v>
      </c>
      <c r="AR243" s="16">
        <f>IFERROR(__xludf.DUMMYFUNCTION("""COMPUTED_VALUE"""),-4.0)</f>
        <v>-4</v>
      </c>
      <c r="AS243" s="16">
        <f>IFERROR(__xludf.DUMMYFUNCTION("""COMPUTED_VALUE"""),-4.0)</f>
        <v>-4</v>
      </c>
      <c r="AT243" s="16">
        <f>IFERROR(__xludf.DUMMYFUNCTION("""COMPUTED_VALUE"""),0.0)</f>
        <v>0</v>
      </c>
      <c r="AU243" s="16">
        <f>IFERROR(__xludf.DUMMYFUNCTION("""COMPUTED_VALUE"""),0.0)</f>
        <v>0</v>
      </c>
      <c r="AV243" s="16">
        <f>IFERROR(__xludf.DUMMYFUNCTION("""COMPUTED_VALUE"""),0.0)</f>
        <v>0</v>
      </c>
      <c r="AW243" s="16">
        <f>IFERROR(__xludf.DUMMYFUNCTION("""COMPUTED_VALUE"""),0.0)</f>
        <v>0</v>
      </c>
      <c r="AX243" s="16">
        <f>IFERROR(__xludf.DUMMYFUNCTION("""COMPUTED_VALUE"""),-2.0)</f>
        <v>-2</v>
      </c>
      <c r="AY243" s="16">
        <f>IFERROR(__xludf.DUMMYFUNCTION("""COMPUTED_VALUE"""),-2.0)</f>
        <v>-2</v>
      </c>
      <c r="AZ243" s="16">
        <f>IFERROR(__xludf.DUMMYFUNCTION("""COMPUTED_VALUE"""),-6.0)</f>
        <v>-6</v>
      </c>
      <c r="BA243" s="16">
        <f>IFERROR(__xludf.DUMMYFUNCTION("""COMPUTED_VALUE"""),-6.0)</f>
        <v>-6</v>
      </c>
      <c r="BB243" s="16">
        <f>IFERROR(__xludf.DUMMYFUNCTION("""COMPUTED_VALUE"""),5.0)</f>
        <v>5</v>
      </c>
      <c r="BC243" s="16">
        <f>IFERROR(__xludf.DUMMYFUNCTION("""COMPUTED_VALUE"""),5.0)</f>
        <v>5</v>
      </c>
      <c r="BD243" s="16">
        <f>IFERROR(__xludf.DUMMYFUNCTION("""COMPUTED_VALUE"""),1.0)</f>
        <v>1</v>
      </c>
      <c r="BE243" s="16">
        <f>IFERROR(__xludf.DUMMYFUNCTION("""COMPUTED_VALUE"""),1.0)</f>
        <v>1</v>
      </c>
      <c r="BF243" s="16">
        <f>IFERROR(__xludf.DUMMYFUNCTION("""COMPUTED_VALUE"""),1.0)</f>
        <v>1</v>
      </c>
      <c r="BG243" s="16">
        <f>IFERROR(__xludf.DUMMYFUNCTION("""COMPUTED_VALUE"""),1.0)</f>
        <v>1</v>
      </c>
      <c r="BH243" s="16">
        <f>IFERROR(__xludf.DUMMYFUNCTION("""COMPUTED_VALUE"""),3.0)</f>
        <v>3</v>
      </c>
      <c r="BI243" s="16">
        <f>IFERROR(__xludf.DUMMYFUNCTION("""COMPUTED_VALUE"""),3.0)</f>
        <v>3</v>
      </c>
      <c r="BJ243" s="16">
        <f>IFERROR(__xludf.DUMMYFUNCTION("""COMPUTED_VALUE"""),13.0)</f>
        <v>13</v>
      </c>
      <c r="BK243" s="16">
        <f>IFERROR(__xludf.DUMMYFUNCTION("""COMPUTED_VALUE"""),18.0)</f>
        <v>18</v>
      </c>
      <c r="BL243" s="16">
        <f>IFERROR(__xludf.DUMMYFUNCTION("""COMPUTED_VALUE"""),0.0)</f>
        <v>0</v>
      </c>
      <c r="BM243" s="16">
        <f>IFERROR(__xludf.DUMMYFUNCTION("""COMPUTED_VALUE"""),-1.0)</f>
        <v>-1</v>
      </c>
      <c r="BN243" s="16">
        <f>IFERROR(__xludf.DUMMYFUNCTION("""COMPUTED_VALUE"""),0.0)</f>
        <v>0</v>
      </c>
      <c r="BO243" s="16">
        <f>IFERROR(__xludf.DUMMYFUNCTION("""COMPUTED_VALUE"""),-2.0)</f>
        <v>-2</v>
      </c>
      <c r="BP243" s="16">
        <f>IFERROR(__xludf.DUMMYFUNCTION("""COMPUTED_VALUE"""),4.0)</f>
        <v>4</v>
      </c>
      <c r="BQ243" s="16">
        <f>IFERROR(__xludf.DUMMYFUNCTION("""COMPUTED_VALUE"""),-4.0)</f>
        <v>-4</v>
      </c>
      <c r="BR243" s="16">
        <f>IFERROR(__xludf.DUMMYFUNCTION("""COMPUTED_VALUE"""),0.0)</f>
        <v>0</v>
      </c>
      <c r="BS243" s="16" t="str">
        <f>IFERROR(__xludf.DUMMYFUNCTION("""COMPUTED_VALUE"""),"*4,5/- (19-12)")</f>
        <v>*4,5/- (19-12)</v>
      </c>
      <c r="BT243" s="16" t="str">
        <f>IFERROR(__xludf.DUMMYFUNCTION("""COMPUTED_VALUE"""),"A")</f>
        <v>A</v>
      </c>
      <c r="BU243" s="16">
        <f>IFERROR(__xludf.DUMMYFUNCTION("""COMPUTED_VALUE"""),14.0)</f>
        <v>14</v>
      </c>
      <c r="BV243" s="16">
        <f>IFERROR(__xludf.DUMMYFUNCTION("""COMPUTED_VALUE"""),2.0)</f>
        <v>2</v>
      </c>
      <c r="BW243" s="16">
        <f>IFERROR(__xludf.DUMMYFUNCTION("""COMPUTED_VALUE"""),1.0)</f>
        <v>1</v>
      </c>
      <c r="BX243" s="16">
        <f>IFERROR(__xludf.DUMMYFUNCTION("""COMPUTED_VALUE"""),4.0)</f>
        <v>4</v>
      </c>
      <c r="BY243" s="16">
        <f>IFERROR(__xludf.DUMMYFUNCTION("""COMPUTED_VALUE"""),3.0)</f>
        <v>3</v>
      </c>
      <c r="BZ243" s="16" t="str">
        <f>IFERROR(__xludf.DUMMYFUNCTION("""COMPUTED_VALUE"""),"B")</f>
        <v>B</v>
      </c>
      <c r="CA243" s="16" t="str">
        <f>IFERROR(__xludf.DUMMYFUNCTION("""COMPUTED_VALUE"""),"C")</f>
        <v>C</v>
      </c>
      <c r="CB243" s="16">
        <f>IFERROR(__xludf.DUMMYFUNCTION("""COMPUTED_VALUE"""),1.0)</f>
        <v>1</v>
      </c>
      <c r="CC243" s="16">
        <f>IFERROR(__xludf.DUMMYFUNCTION("""COMPUTED_VALUE"""),0.0)</f>
        <v>0</v>
      </c>
      <c r="CD243" s="16">
        <f>IFERROR(__xludf.DUMMYFUNCTION("""COMPUTED_VALUE"""),1.0)</f>
        <v>1</v>
      </c>
      <c r="CE243" s="16">
        <f>IFERROR(__xludf.DUMMYFUNCTION("""COMPUTED_VALUE"""),0.0)</f>
        <v>0</v>
      </c>
      <c r="CF243" s="16">
        <f>IFERROR(__xludf.DUMMYFUNCTION("""COMPUTED_VALUE"""),4.0)</f>
        <v>4</v>
      </c>
      <c r="CG243" s="16">
        <f>IFERROR(__xludf.DUMMYFUNCTION("""COMPUTED_VALUE"""),12.0)</f>
        <v>12</v>
      </c>
      <c r="CH243" s="16">
        <f>IFERROR(__xludf.DUMMYFUNCTION("""COMPUTED_VALUE"""),-10.0)</f>
        <v>-10</v>
      </c>
      <c r="CI243" s="179">
        <f>IFERROR(__xludf.DUMMYFUNCTION("""COMPUTED_VALUE"""),-4.0)</f>
        <v>-4</v>
      </c>
      <c r="CJ243" s="16"/>
      <c r="CK243" s="16"/>
      <c r="CL243" s="16"/>
      <c r="CM243" s="16"/>
      <c r="CN243" s="16"/>
      <c r="CO243" s="16"/>
      <c r="CP243" s="16"/>
      <c r="CQ243" s="16">
        <f>IFERROR(__xludf.DUMMYFUNCTION("""COMPUTED_VALUE"""),304.0)</f>
        <v>304</v>
      </c>
      <c r="CR243" s="16" t="str">
        <f>IFERROR(__xludf.DUMMYFUNCTION("""COMPUTED_VALUE"""),"rf-3(-1)e4")</f>
        <v>rf-3(-1)e4</v>
      </c>
      <c r="CS243" s="16"/>
      <c r="CT243" s="16"/>
      <c r="CU243" s="16"/>
      <c r="CV243" s="16"/>
      <c r="CW243" s="16"/>
      <c r="CX243" s="16"/>
      <c r="CY243" s="16"/>
      <c r="CZ243" s="16">
        <f>IFERROR(__xludf.DUMMYFUNCTION("""COMPUTED_VALUE"""),3.0)</f>
        <v>3</v>
      </c>
      <c r="DA243" s="16"/>
      <c r="DB243" s="16"/>
      <c r="DC243" s="16"/>
      <c r="DD243" s="16"/>
      <c r="DE243" s="16"/>
      <c r="DF243" s="16"/>
      <c r="DG243" s="16"/>
      <c r="DH243" s="16">
        <f>IFERROR(__xludf.DUMMYFUNCTION("""COMPUTED_VALUE"""),4.0)</f>
        <v>4</v>
      </c>
      <c r="DI243" s="16"/>
      <c r="DJ243" s="16"/>
      <c r="DK243" s="16"/>
      <c r="DL243" s="16"/>
      <c r="DM243" s="16"/>
      <c r="DN243" s="16"/>
      <c r="DO243" s="16"/>
      <c r="DP243" s="16">
        <f>IFERROR(__xludf.DUMMYFUNCTION("""COMPUTED_VALUE"""),0.0)</f>
        <v>0</v>
      </c>
      <c r="DQ243" s="16"/>
      <c r="DR243" s="16"/>
      <c r="DS243" s="16"/>
      <c r="DT243" s="16"/>
      <c r="DU243" s="16"/>
      <c r="DV243" s="16"/>
      <c r="DW243" s="16"/>
      <c r="DX243" s="16">
        <f>IFERROR(__xludf.DUMMYFUNCTION("""COMPUTED_VALUE"""),2.0)</f>
        <v>2</v>
      </c>
      <c r="DY243" s="16"/>
      <c r="DZ243" s="16"/>
      <c r="EA243" s="16"/>
      <c r="EB243" s="16"/>
      <c r="EC243" s="16"/>
      <c r="ED243" s="16"/>
      <c r="EE243" s="16"/>
      <c r="EF243" s="16">
        <f>IFERROR(__xludf.DUMMYFUNCTION("""COMPUTED_VALUE"""),2.0)</f>
        <v>2</v>
      </c>
      <c r="EG243" s="179"/>
      <c r="EH243" s="179"/>
      <c r="EI243" s="179"/>
      <c r="EJ243" s="179"/>
      <c r="EK243" s="179"/>
      <c r="EL243" s="179"/>
      <c r="EM243" s="179"/>
      <c r="EN243" s="179">
        <f>IFERROR(__xludf.DUMMYFUNCTION("""COMPUTED_VALUE"""),-2.0)</f>
        <v>-2</v>
      </c>
      <c r="EO243" s="16"/>
      <c r="EP243" s="16"/>
      <c r="EQ243" s="16">
        <f>IFERROR(__xludf.DUMMYFUNCTION("""COMPUTED_VALUE"""),-1.0)</f>
        <v>-1</v>
      </c>
      <c r="ER243" s="16">
        <f>IFERROR(__xludf.DUMMYFUNCTION("""COMPUTED_VALUE"""),0.0)</f>
        <v>0</v>
      </c>
      <c r="ES243" s="16"/>
      <c r="ET243" s="16"/>
      <c r="EU243" s="16"/>
      <c r="EV243" s="16"/>
      <c r="EW243" s="16"/>
      <c r="EX243" s="180"/>
      <c r="EY243" s="180"/>
      <c r="EZ243" s="180"/>
      <c r="FA243" s="180"/>
      <c r="FB243" s="180"/>
      <c r="FC243" s="180"/>
      <c r="FD243" s="180"/>
      <c r="FE243" s="180">
        <f>IFERROR(__xludf.DUMMYFUNCTION("""COMPUTED_VALUE"""),0.3)</f>
        <v>0.3</v>
      </c>
      <c r="FF243" s="180"/>
      <c r="FG243" s="180"/>
      <c r="FH243" s="180"/>
      <c r="FI243" s="180"/>
      <c r="FJ243" s="180"/>
      <c r="FK243" s="180"/>
      <c r="FL243" s="180"/>
      <c r="FM243" s="180">
        <f>IFERROR(__xludf.DUMMYFUNCTION("""COMPUTED_VALUE"""),0.069)</f>
        <v>0.069</v>
      </c>
      <c r="FN243" s="16"/>
      <c r="FO243" s="16"/>
      <c r="FP243" s="16"/>
      <c r="FQ243" s="16"/>
      <c r="FR243" s="16"/>
      <c r="FS243" s="16"/>
      <c r="FT243" s="16"/>
      <c r="FU243" s="16">
        <f>IFERROR(__xludf.DUMMYFUNCTION("""COMPUTED_VALUE"""),0.6517)</f>
        <v>0.6517</v>
      </c>
      <c r="FV243" s="16"/>
      <c r="FW243" s="16"/>
      <c r="FX243" s="16"/>
      <c r="FY243" s="16"/>
      <c r="FZ243" s="16"/>
      <c r="GA243" s="16"/>
      <c r="GB243" s="16"/>
      <c r="GC243" s="16">
        <f>IFERROR(__xludf.DUMMYFUNCTION("""COMPUTED_VALUE"""),-4.0)</f>
        <v>-4</v>
      </c>
      <c r="GD243" s="16" t="s">
        <v>387</v>
      </c>
    </row>
    <row r="244">
      <c r="A244" s="16">
        <f>IFERROR(__xludf.DUMMYFUNCTION("""COMPUTED_VALUE"""),13367.0)</f>
        <v>13367</v>
      </c>
      <c r="B244" s="16" t="str">
        <f>IFERROR(__xludf.DUMMYFUNCTION("""COMPUTED_VALUE"""),"Seth Brown")</f>
        <v>Seth Brown</v>
      </c>
      <c r="C244" s="16">
        <f>IFERROR(__xludf.DUMMYFUNCTION("""COMPUTED_VALUE"""),0.0)</f>
        <v>0</v>
      </c>
      <c r="D244" s="16" t="str">
        <f>IFERROR(__xludf.DUMMYFUNCTION("""COMPUTED_VALUE"""),"L")</f>
        <v>L</v>
      </c>
      <c r="E244" s="16"/>
      <c r="F244" s="16"/>
      <c r="G244" s="16">
        <f>IFERROR(__xludf.DUMMYFUNCTION("""COMPUTED_VALUE"""),372.0)</f>
        <v>372</v>
      </c>
      <c r="H244" s="16">
        <f>IFERROR(__xludf.DUMMYFUNCTION("""COMPUTED_VALUE"""),25.0)</f>
        <v>25</v>
      </c>
      <c r="I244" s="16" t="str">
        <f>IFERROR(__xludf.DUMMYFUNCTION("""COMPUTED_VALUE"""),"1p60")</f>
        <v>1p60</v>
      </c>
      <c r="J244" s="16">
        <f>IFERROR(__xludf.DUMMYFUNCTION("""COMPUTED_VALUE"""),49.0)</f>
        <v>49</v>
      </c>
      <c r="K244" s="16">
        <f>IFERROR(__xludf.DUMMYFUNCTION("""COMPUTED_VALUE"""),35.0)</f>
        <v>35</v>
      </c>
      <c r="L244" s="16">
        <f>IFERROR(__xludf.DUMMYFUNCTION("""COMPUTED_VALUE"""),-2.0)</f>
        <v>-2</v>
      </c>
      <c r="M244" s="16">
        <f>IFERROR(__xludf.DUMMYFUNCTION("""COMPUTED_VALUE"""),-1.0)</f>
        <v>-1</v>
      </c>
      <c r="N244" s="16">
        <f>IFERROR(__xludf.DUMMYFUNCTION("""COMPUTED_VALUE"""),-2.0)</f>
        <v>-2</v>
      </c>
      <c r="O244" s="16">
        <f>IFERROR(__xludf.DUMMYFUNCTION("""COMPUTED_VALUE"""),-1.0)</f>
        <v>-1</v>
      </c>
      <c r="P244" s="16">
        <f>IFERROR(__xludf.DUMMYFUNCTION("""COMPUTED_VALUE"""),0.0)</f>
        <v>0</v>
      </c>
      <c r="Q244" s="16">
        <f>IFERROR(__xludf.DUMMYFUNCTION("""COMPUTED_VALUE"""),4.0)</f>
        <v>4</v>
      </c>
      <c r="R244" s="16">
        <f>IFERROR(__xludf.DUMMYFUNCTION("""COMPUTED_VALUE"""),-3.0)</f>
        <v>-3</v>
      </c>
      <c r="S244" s="16">
        <f>IFERROR(__xludf.DUMMYFUNCTION("""COMPUTED_VALUE"""),-2.0)</f>
        <v>-2</v>
      </c>
      <c r="T244" s="16">
        <f>IFERROR(__xludf.DUMMYFUNCTION("""COMPUTED_VALUE"""),-3.0)</f>
        <v>-3</v>
      </c>
      <c r="U244" s="16">
        <f>IFERROR(__xludf.DUMMYFUNCTION("""COMPUTED_VALUE"""),-2.0)</f>
        <v>-2</v>
      </c>
      <c r="V244" s="16">
        <f>IFERROR(__xludf.DUMMYFUNCTION("""COMPUTED_VALUE"""),16.4)</f>
        <v>16.4</v>
      </c>
      <c r="W244" s="16">
        <f>IFERROR(__xludf.DUMMYFUNCTION("""COMPUTED_VALUE"""),19.0)</f>
        <v>19</v>
      </c>
      <c r="X244" s="16">
        <f>IFERROR(__xludf.DUMMYFUNCTION("""COMPUTED_VALUE"""),0.0)</f>
        <v>0</v>
      </c>
      <c r="Y244" s="16">
        <f>IFERROR(__xludf.DUMMYFUNCTION("""COMPUTED_VALUE"""),0.0)</f>
        <v>0</v>
      </c>
      <c r="Z244" s="16">
        <f>IFERROR(__xludf.DUMMYFUNCTION("""COMPUTED_VALUE"""),0.0)</f>
        <v>0</v>
      </c>
      <c r="AA244" s="16">
        <f>IFERROR(__xludf.DUMMYFUNCTION("""COMPUTED_VALUE"""),0.0)</f>
        <v>0</v>
      </c>
      <c r="AB244" s="16">
        <f>IFERROR(__xludf.DUMMYFUNCTION("""COMPUTED_VALUE"""),17.4)</f>
        <v>17.4</v>
      </c>
      <c r="AC244" s="16">
        <f>IFERROR(__xludf.DUMMYFUNCTION("""COMPUTED_VALUE"""),24.0)</f>
        <v>24</v>
      </c>
      <c r="AD244" s="16">
        <f>IFERROR(__xludf.DUMMYFUNCTION("""COMPUTED_VALUE"""),-2.0)</f>
        <v>-2</v>
      </c>
      <c r="AE244" s="16">
        <f>IFERROR(__xludf.DUMMYFUNCTION("""COMPUTED_VALUE"""),-1.0)</f>
        <v>-1</v>
      </c>
      <c r="AF244" s="16">
        <f>IFERROR(__xludf.DUMMYFUNCTION("""COMPUTED_VALUE"""),-10.0)</f>
        <v>-10</v>
      </c>
      <c r="AG244" s="16">
        <f>IFERROR(__xludf.DUMMYFUNCTION("""COMPUTED_VALUE"""),-5.0)</f>
        <v>-5</v>
      </c>
      <c r="AH244" s="16">
        <f>IFERROR(__xludf.DUMMYFUNCTION("""COMPUTED_VALUE"""),23.1)</f>
        <v>23.1</v>
      </c>
      <c r="AI244" s="16">
        <f>IFERROR(__xludf.DUMMYFUNCTION("""COMPUTED_VALUE"""),27.7)</f>
        <v>27.7</v>
      </c>
      <c r="AJ244" s="16">
        <f>IFERROR(__xludf.DUMMYFUNCTION("""COMPUTED_VALUE"""),-1.0)</f>
        <v>-1</v>
      </c>
      <c r="AK244" s="16">
        <f>IFERROR(__xludf.DUMMYFUNCTION("""COMPUTED_VALUE"""),-1.0)</f>
        <v>-1</v>
      </c>
      <c r="AL244" s="16">
        <f>IFERROR(__xludf.DUMMYFUNCTION("""COMPUTED_VALUE"""),-5.0)</f>
        <v>-5</v>
      </c>
      <c r="AM244" s="16">
        <f>IFERROR(__xludf.DUMMYFUNCTION("""COMPUTED_VALUE"""),-5.0)</f>
        <v>-5</v>
      </c>
      <c r="AN244" s="16">
        <f>IFERROR(__xludf.DUMMYFUNCTION("""COMPUTED_VALUE"""),2.3)</f>
        <v>2.3</v>
      </c>
      <c r="AO244" s="16">
        <f>IFERROR(__xludf.DUMMYFUNCTION("""COMPUTED_VALUE"""),2.5)</f>
        <v>2.5</v>
      </c>
      <c r="AP244" s="16">
        <f>IFERROR(__xludf.DUMMYFUNCTION("""COMPUTED_VALUE"""),0.0)</f>
        <v>0</v>
      </c>
      <c r="AQ244" s="16">
        <f>IFERROR(__xludf.DUMMYFUNCTION("""COMPUTED_VALUE"""),0.0)</f>
        <v>0</v>
      </c>
      <c r="AR244" s="16">
        <f>IFERROR(__xludf.DUMMYFUNCTION("""COMPUTED_VALUE"""),0.0)</f>
        <v>0</v>
      </c>
      <c r="AS244" s="16">
        <f>IFERROR(__xludf.DUMMYFUNCTION("""COMPUTED_VALUE"""),0.0)</f>
        <v>0</v>
      </c>
      <c r="AT244" s="16">
        <f>IFERROR(__xludf.DUMMYFUNCTION("""COMPUTED_VALUE"""),4.0)</f>
        <v>4</v>
      </c>
      <c r="AU244" s="16">
        <f>IFERROR(__xludf.DUMMYFUNCTION("""COMPUTED_VALUE"""),5.0)</f>
        <v>5</v>
      </c>
      <c r="AV244" s="16">
        <f>IFERROR(__xludf.DUMMYFUNCTION("""COMPUTED_VALUE"""),4.0)</f>
        <v>4</v>
      </c>
      <c r="AW244" s="16">
        <f>IFERROR(__xludf.DUMMYFUNCTION("""COMPUTED_VALUE"""),5.0)</f>
        <v>5</v>
      </c>
      <c r="AX244" s="16">
        <f>IFERROR(__xludf.DUMMYFUNCTION("""COMPUTED_VALUE"""),2.0)</f>
        <v>2</v>
      </c>
      <c r="AY244" s="16">
        <f>IFERROR(__xludf.DUMMYFUNCTION("""COMPUTED_VALUE"""),2.0)</f>
        <v>2</v>
      </c>
      <c r="AZ244" s="16">
        <f>IFERROR(__xludf.DUMMYFUNCTION("""COMPUTED_VALUE"""),6.0)</f>
        <v>6</v>
      </c>
      <c r="BA244" s="16">
        <f>IFERROR(__xludf.DUMMYFUNCTION("""COMPUTED_VALUE"""),6.0)</f>
        <v>6</v>
      </c>
      <c r="BB244" s="16">
        <f>IFERROR(__xludf.DUMMYFUNCTION("""COMPUTED_VALUE"""),5.0)</f>
        <v>5</v>
      </c>
      <c r="BC244" s="16">
        <f>IFERROR(__xludf.DUMMYFUNCTION("""COMPUTED_VALUE"""),5.0)</f>
        <v>5</v>
      </c>
      <c r="BD244" s="16">
        <f>IFERROR(__xludf.DUMMYFUNCTION("""COMPUTED_VALUE"""),1.0)</f>
        <v>1</v>
      </c>
      <c r="BE244" s="16">
        <f>IFERROR(__xludf.DUMMYFUNCTION("""COMPUTED_VALUE"""),1.0)</f>
        <v>1</v>
      </c>
      <c r="BF244" s="16">
        <f>IFERROR(__xludf.DUMMYFUNCTION("""COMPUTED_VALUE"""),1.0)</f>
        <v>1</v>
      </c>
      <c r="BG244" s="16">
        <f>IFERROR(__xludf.DUMMYFUNCTION("""COMPUTED_VALUE"""),1.0)</f>
        <v>1</v>
      </c>
      <c r="BH244" s="16">
        <f>IFERROR(__xludf.DUMMYFUNCTION("""COMPUTED_VALUE"""),-3.0)</f>
        <v>-3</v>
      </c>
      <c r="BI244" s="16">
        <f>IFERROR(__xludf.DUMMYFUNCTION("""COMPUTED_VALUE"""),-3.0)</f>
        <v>-3</v>
      </c>
      <c r="BJ244" s="16">
        <f>IFERROR(__xludf.DUMMYFUNCTION("""COMPUTED_VALUE"""),15.0)</f>
        <v>15</v>
      </c>
      <c r="BK244" s="16">
        <f>IFERROR(__xludf.DUMMYFUNCTION("""COMPUTED_VALUE"""),16.0)</f>
        <v>16</v>
      </c>
      <c r="BL244" s="16">
        <f>IFERROR(__xludf.DUMMYFUNCTION("""COMPUTED_VALUE"""),-1.0)</f>
        <v>-1</v>
      </c>
      <c r="BM244" s="16">
        <f>IFERROR(__xludf.DUMMYFUNCTION("""COMPUTED_VALUE"""),-1.0)</f>
        <v>-1</v>
      </c>
      <c r="BN244" s="16">
        <f>IFERROR(__xludf.DUMMYFUNCTION("""COMPUTED_VALUE"""),-2.0)</f>
        <v>-2</v>
      </c>
      <c r="BO244" s="16">
        <f>IFERROR(__xludf.DUMMYFUNCTION("""COMPUTED_VALUE"""),-2.0)</f>
        <v>-2</v>
      </c>
      <c r="BP244" s="16">
        <f>IFERROR(__xludf.DUMMYFUNCTION("""COMPUTED_VALUE"""),-6.0)</f>
        <v>-6</v>
      </c>
      <c r="BQ244" s="16">
        <f>IFERROR(__xludf.DUMMYFUNCTION("""COMPUTED_VALUE"""),-3.0)</f>
        <v>-3</v>
      </c>
      <c r="BR244" s="16">
        <f>IFERROR(__xludf.DUMMYFUNCTION("""COMPUTED_VALUE"""),-9.0)</f>
        <v>-9</v>
      </c>
      <c r="BS244" s="16" t="str">
        <f>IFERROR(__xludf.DUMMYFUNCTION("""COMPUTED_VALUE"""),"4,6/- (13-6)")</f>
        <v>4,6/- (13-6)</v>
      </c>
      <c r="BT244" s="16" t="str">
        <f>IFERROR(__xludf.DUMMYFUNCTION("""COMPUTED_VALUE"""),"C")</f>
        <v>C</v>
      </c>
      <c r="BU244" s="16">
        <f>IFERROR(__xludf.DUMMYFUNCTION("""COMPUTED_VALUE"""),13.0)</f>
        <v>13</v>
      </c>
      <c r="BV244" s="16">
        <f>IFERROR(__xludf.DUMMYFUNCTION("""COMPUTED_VALUE"""),0.0)</f>
        <v>0</v>
      </c>
      <c r="BW244" s="16">
        <f>IFERROR(__xludf.DUMMYFUNCTION("""COMPUTED_VALUE"""),1.0)</f>
        <v>1</v>
      </c>
      <c r="BX244" s="16">
        <f>IFERROR(__xludf.DUMMYFUNCTION("""COMPUTED_VALUE"""),0.0)</f>
        <v>0</v>
      </c>
      <c r="BY244" s="16">
        <f>IFERROR(__xludf.DUMMYFUNCTION("""COMPUTED_VALUE"""),3.0)</f>
        <v>3</v>
      </c>
      <c r="BZ244" s="16" t="str">
        <f>IFERROR(__xludf.DUMMYFUNCTION("""COMPUTED_VALUE"""),"D")</f>
        <v>D</v>
      </c>
      <c r="CA244" s="16" t="str">
        <f>IFERROR(__xludf.DUMMYFUNCTION("""COMPUTED_VALUE"""),"D")</f>
        <v>D</v>
      </c>
      <c r="CB244" s="16">
        <f>IFERROR(__xludf.DUMMYFUNCTION("""COMPUTED_VALUE"""),0.0)</f>
        <v>0</v>
      </c>
      <c r="CC244" s="16">
        <f>IFERROR(__xludf.DUMMYFUNCTION("""COMPUTED_VALUE"""),0.0)</f>
        <v>0</v>
      </c>
      <c r="CD244" s="16">
        <f>IFERROR(__xludf.DUMMYFUNCTION("""COMPUTED_VALUE"""),0.0)</f>
        <v>0</v>
      </c>
      <c r="CE244" s="16">
        <f>IFERROR(__xludf.DUMMYFUNCTION("""COMPUTED_VALUE"""),0.0)</f>
        <v>0</v>
      </c>
      <c r="CF244" s="16">
        <f>IFERROR(__xludf.DUMMYFUNCTION("""COMPUTED_VALUE"""),1.0)</f>
        <v>1</v>
      </c>
      <c r="CG244" s="16">
        <f>IFERROR(__xludf.DUMMYFUNCTION("""COMPUTED_VALUE"""),-15.0)</f>
        <v>-15</v>
      </c>
      <c r="CH244" s="16">
        <f>IFERROR(__xludf.DUMMYFUNCTION("""COMPUTED_VALUE"""),-8.0)</f>
        <v>-8</v>
      </c>
      <c r="CI244" s="179">
        <f>IFERROR(__xludf.DUMMYFUNCTION("""COMPUTED_VALUE"""),-4.0)</f>
        <v>-4</v>
      </c>
      <c r="CJ244" s="16"/>
      <c r="CK244" s="16">
        <f>IFERROR(__xludf.DUMMYFUNCTION("""COMPUTED_VALUE"""),410.0)</f>
        <v>410</v>
      </c>
      <c r="CL244" s="16"/>
      <c r="CM244" s="16"/>
      <c r="CN244" s="16"/>
      <c r="CO244" s="16">
        <f>IFERROR(__xludf.DUMMYFUNCTION("""COMPUTED_VALUE"""),305.0)</f>
        <v>305</v>
      </c>
      <c r="CP244" s="16"/>
      <c r="CQ244" s="16">
        <f>IFERROR(__xludf.DUMMYFUNCTION("""COMPUTED_VALUE"""),305.0)</f>
        <v>305</v>
      </c>
      <c r="CR244" s="16" t="str">
        <f>IFERROR(__xludf.DUMMYFUNCTION("""COMPUTED_VALUE"""),"lf-3(+1)e5 1b-4e10 rf-3e5")</f>
        <v>lf-3(+1)e5 1b-4e10 rf-3e5</v>
      </c>
      <c r="CS244" s="16"/>
      <c r="CT244" s="16">
        <f>IFERROR(__xludf.DUMMYFUNCTION("""COMPUTED_VALUE"""),4.0)</f>
        <v>4</v>
      </c>
      <c r="CU244" s="16"/>
      <c r="CV244" s="16"/>
      <c r="CW244" s="16"/>
      <c r="CX244" s="16">
        <f>IFERROR(__xludf.DUMMYFUNCTION("""COMPUTED_VALUE"""),3.0)</f>
        <v>3</v>
      </c>
      <c r="CY244" s="16"/>
      <c r="CZ244" s="16">
        <f>IFERROR(__xludf.DUMMYFUNCTION("""COMPUTED_VALUE"""),3.0)</f>
        <v>3</v>
      </c>
      <c r="DA244" s="16"/>
      <c r="DB244" s="16">
        <f>IFERROR(__xludf.DUMMYFUNCTION("""COMPUTED_VALUE"""),10.0)</f>
        <v>10</v>
      </c>
      <c r="DC244" s="16"/>
      <c r="DD244" s="16"/>
      <c r="DE244" s="16"/>
      <c r="DF244" s="16">
        <f>IFERROR(__xludf.DUMMYFUNCTION("""COMPUTED_VALUE"""),5.0)</f>
        <v>5</v>
      </c>
      <c r="DG244" s="16"/>
      <c r="DH244" s="16">
        <f>IFERROR(__xludf.DUMMYFUNCTION("""COMPUTED_VALUE"""),5.0)</f>
        <v>5</v>
      </c>
      <c r="DI244" s="16"/>
      <c r="DJ244" s="16">
        <f>IFERROR(__xludf.DUMMYFUNCTION("""COMPUTED_VALUE"""),0.0)</f>
        <v>0</v>
      </c>
      <c r="DK244" s="16"/>
      <c r="DL244" s="16"/>
      <c r="DM244" s="16"/>
      <c r="DN244" s="16">
        <f>IFERROR(__xludf.DUMMYFUNCTION("""COMPUTED_VALUE"""),0.0)</f>
        <v>0</v>
      </c>
      <c r="DO244" s="16"/>
      <c r="DP244" s="16">
        <f>IFERROR(__xludf.DUMMYFUNCTION("""COMPUTED_VALUE"""),0.0)</f>
        <v>0</v>
      </c>
      <c r="DQ244" s="16"/>
      <c r="DR244" s="16">
        <f>IFERROR(__xludf.DUMMYFUNCTION("""COMPUTED_VALUE"""),2.0)</f>
        <v>2</v>
      </c>
      <c r="DS244" s="16"/>
      <c r="DT244" s="16"/>
      <c r="DU244" s="16"/>
      <c r="DV244" s="16">
        <f>IFERROR(__xludf.DUMMYFUNCTION("""COMPUTED_VALUE"""),2.0)</f>
        <v>2</v>
      </c>
      <c r="DW244" s="16"/>
      <c r="DX244" s="16">
        <f>IFERROR(__xludf.DUMMYFUNCTION("""COMPUTED_VALUE"""),2.0)</f>
        <v>2</v>
      </c>
      <c r="DY244" s="16"/>
      <c r="DZ244" s="16">
        <f>IFERROR(__xludf.DUMMYFUNCTION("""COMPUTED_VALUE"""),2.0)</f>
        <v>2</v>
      </c>
      <c r="EA244" s="16"/>
      <c r="EB244" s="16"/>
      <c r="EC244" s="16"/>
      <c r="ED244" s="16">
        <f>IFERROR(__xludf.DUMMYFUNCTION("""COMPUTED_VALUE"""),2.0)</f>
        <v>2</v>
      </c>
      <c r="EE244" s="16"/>
      <c r="EF244" s="16">
        <f>IFERROR(__xludf.DUMMYFUNCTION("""COMPUTED_VALUE"""),2.0)</f>
        <v>2</v>
      </c>
      <c r="EG244" s="179"/>
      <c r="EH244" s="179">
        <f>IFERROR(__xludf.DUMMYFUNCTION("""COMPUTED_VALUE"""),-2.0)</f>
        <v>-2</v>
      </c>
      <c r="EI244" s="179"/>
      <c r="EJ244" s="179"/>
      <c r="EK244" s="179"/>
      <c r="EL244" s="179">
        <f>IFERROR(__xludf.DUMMYFUNCTION("""COMPUTED_VALUE"""),-2.0)</f>
        <v>-2</v>
      </c>
      <c r="EM244" s="179"/>
      <c r="EN244" s="179">
        <f>IFERROR(__xludf.DUMMYFUNCTION("""COMPUTED_VALUE"""),-2.0)</f>
        <v>-2</v>
      </c>
      <c r="EO244" s="16"/>
      <c r="EP244" s="16"/>
      <c r="EQ244" s="16">
        <f>IFERROR(__xludf.DUMMYFUNCTION("""COMPUTED_VALUE"""),4.0)</f>
        <v>4</v>
      </c>
      <c r="ER244" s="16">
        <f>IFERROR(__xludf.DUMMYFUNCTION("""COMPUTED_VALUE"""),1.0)</f>
        <v>1</v>
      </c>
      <c r="ES244" s="16"/>
      <c r="ET244" s="16"/>
      <c r="EU244" s="16"/>
      <c r="EV244" s="16"/>
      <c r="EW244" s="16"/>
      <c r="EX244" s="180"/>
      <c r="EY244" s="180">
        <f>IFERROR(__xludf.DUMMYFUNCTION("""COMPUTED_VALUE"""),0.3)</f>
        <v>0.3</v>
      </c>
      <c r="EZ244" s="180"/>
      <c r="FA244" s="180"/>
      <c r="FB244" s="180"/>
      <c r="FC244" s="180">
        <f>IFERROR(__xludf.DUMMYFUNCTION("""COMPUTED_VALUE"""),0.3)</f>
        <v>0.3</v>
      </c>
      <c r="FD244" s="180"/>
      <c r="FE244" s="180">
        <f>IFERROR(__xludf.DUMMYFUNCTION("""COMPUTED_VALUE"""),0.3)</f>
        <v>0.3</v>
      </c>
      <c r="FF244" s="180"/>
      <c r="FG244" s="180">
        <f>IFERROR(__xludf.DUMMYFUNCTION("""COMPUTED_VALUE"""),0.18055555555555555)</f>
        <v>0.1805555556</v>
      </c>
      <c r="FH244" s="180"/>
      <c r="FI244" s="180"/>
      <c r="FJ244" s="180"/>
      <c r="FK244" s="180">
        <f>IFERROR(__xludf.DUMMYFUNCTION("""COMPUTED_VALUE"""),0.088)</f>
        <v>0.088</v>
      </c>
      <c r="FL244" s="180"/>
      <c r="FM244" s="180">
        <f>IFERROR(__xludf.DUMMYFUNCTION("""COMPUTED_VALUE"""),0.088)</f>
        <v>0.088</v>
      </c>
      <c r="FN244" s="16"/>
      <c r="FO244" s="16">
        <f>IFERROR(__xludf.DUMMYFUNCTION("""COMPUTED_VALUE"""),0.5736111111111111)</f>
        <v>0.5736111111</v>
      </c>
      <c r="FP244" s="16"/>
      <c r="FQ244" s="16"/>
      <c r="FR244" s="16"/>
      <c r="FS244" s="16">
        <f>IFERROR(__xludf.DUMMYFUNCTION("""COMPUTED_VALUE"""),0.6384)</f>
        <v>0.6384</v>
      </c>
      <c r="FT244" s="16"/>
      <c r="FU244" s="16">
        <f>IFERROR(__xludf.DUMMYFUNCTION("""COMPUTED_VALUE"""),0.6384)</f>
        <v>0.6384</v>
      </c>
      <c r="FV244" s="16"/>
      <c r="FW244" s="16">
        <f>IFERROR(__xludf.DUMMYFUNCTION("""COMPUTED_VALUE"""),-6.0)</f>
        <v>-6</v>
      </c>
      <c r="FX244" s="16"/>
      <c r="FY244" s="16"/>
      <c r="FZ244" s="16"/>
      <c r="GA244" s="16">
        <f>IFERROR(__xludf.DUMMYFUNCTION("""COMPUTED_VALUE"""),-6.0)</f>
        <v>-6</v>
      </c>
      <c r="GB244" s="16"/>
      <c r="GC244" s="16">
        <f>IFERROR(__xludf.DUMMYFUNCTION("""COMPUTED_VALUE"""),-6.0)</f>
        <v>-6</v>
      </c>
      <c r="GD244" s="16" t="s">
        <v>176</v>
      </c>
    </row>
    <row r="245">
      <c r="A245" s="16">
        <f>IFERROR(__xludf.DUMMYFUNCTION("""COMPUTED_VALUE"""),12887.0)</f>
        <v>12887</v>
      </c>
      <c r="B245" s="16" t="str">
        <f>IFERROR(__xludf.DUMMYFUNCTION("""COMPUTED_VALUE"""),"Isiah Kiner Falefa")</f>
        <v>Isiah Kiner Falefa</v>
      </c>
      <c r="C245" s="16">
        <f>IFERROR(__xludf.DUMMYFUNCTION("""COMPUTED_VALUE"""),1.26)</f>
        <v>1.26</v>
      </c>
      <c r="D245" s="16" t="str">
        <f>IFERROR(__xludf.DUMMYFUNCTION("""COMPUTED_VALUE"""),"R")</f>
        <v>R</v>
      </c>
      <c r="E245" s="16"/>
      <c r="F245" s="16"/>
      <c r="G245" s="16">
        <f>IFERROR(__xludf.DUMMYFUNCTION("""COMPUTED_VALUE"""),465.0)</f>
        <v>465</v>
      </c>
      <c r="H245" s="16">
        <f>IFERROR(__xludf.DUMMYFUNCTION("""COMPUTED_VALUE"""),16.0)</f>
        <v>16</v>
      </c>
      <c r="I245" s="16" t="str">
        <f>IFERROR(__xludf.DUMMYFUNCTION("""COMPUTED_VALUE"""),"3p60")</f>
        <v>3p60</v>
      </c>
      <c r="J245" s="16">
        <f>IFERROR(__xludf.DUMMYFUNCTION("""COMPUTED_VALUE"""),12.0)</f>
        <v>12</v>
      </c>
      <c r="K245" s="16">
        <f>IFERROR(__xludf.DUMMYFUNCTION("""COMPUTED_VALUE"""),8.0)</f>
        <v>8</v>
      </c>
      <c r="L245" s="16">
        <f>IFERROR(__xludf.DUMMYFUNCTION("""COMPUTED_VALUE"""),1.0)</f>
        <v>1</v>
      </c>
      <c r="M245" s="16">
        <f>IFERROR(__xludf.DUMMYFUNCTION("""COMPUTED_VALUE"""),2.0)</f>
        <v>2</v>
      </c>
      <c r="N245" s="16">
        <f>IFERROR(__xludf.DUMMYFUNCTION("""COMPUTED_VALUE"""),1.0)</f>
        <v>1</v>
      </c>
      <c r="O245" s="16">
        <f>IFERROR(__xludf.DUMMYFUNCTION("""COMPUTED_VALUE"""),2.0)</f>
        <v>2</v>
      </c>
      <c r="P245" s="16">
        <f>IFERROR(__xludf.DUMMYFUNCTION("""COMPUTED_VALUE"""),0.0)</f>
        <v>0</v>
      </c>
      <c r="Q245" s="16">
        <f>IFERROR(__xludf.DUMMYFUNCTION("""COMPUTED_VALUE"""),0.0)</f>
        <v>0</v>
      </c>
      <c r="R245" s="16">
        <f>IFERROR(__xludf.DUMMYFUNCTION("""COMPUTED_VALUE"""),-3.0)</f>
        <v>-3</v>
      </c>
      <c r="S245" s="16">
        <f>IFERROR(__xludf.DUMMYFUNCTION("""COMPUTED_VALUE"""),-2.0)</f>
        <v>-2</v>
      </c>
      <c r="T245" s="16">
        <f>IFERROR(__xludf.DUMMYFUNCTION("""COMPUTED_VALUE"""),-3.0)</f>
        <v>-3</v>
      </c>
      <c r="U245" s="16">
        <f>IFERROR(__xludf.DUMMYFUNCTION("""COMPUTED_VALUE"""),-2.0)</f>
        <v>-2</v>
      </c>
      <c r="V245" s="16">
        <f>IFERROR(__xludf.DUMMYFUNCTION("""COMPUTED_VALUE"""),24.0)</f>
        <v>24</v>
      </c>
      <c r="W245" s="16">
        <f>IFERROR(__xludf.DUMMYFUNCTION("""COMPUTED_VALUE"""),27.6)</f>
        <v>27.6</v>
      </c>
      <c r="X245" s="16">
        <f>IFERROR(__xludf.DUMMYFUNCTION("""COMPUTED_VALUE"""),1.0)</f>
        <v>1</v>
      </c>
      <c r="Y245" s="16">
        <f>IFERROR(__xludf.DUMMYFUNCTION("""COMPUTED_VALUE"""),2.0)</f>
        <v>2</v>
      </c>
      <c r="Z245" s="16">
        <f>IFERROR(__xludf.DUMMYFUNCTION("""COMPUTED_VALUE"""),2.0)</f>
        <v>2</v>
      </c>
      <c r="AA245" s="16">
        <f>IFERROR(__xludf.DUMMYFUNCTION("""COMPUTED_VALUE"""),4.0)</f>
        <v>4</v>
      </c>
      <c r="AB245" s="16">
        <f>IFERROR(__xludf.DUMMYFUNCTION("""COMPUTED_VALUE"""),29.0)</f>
        <v>29</v>
      </c>
      <c r="AC245" s="16">
        <f>IFERROR(__xludf.DUMMYFUNCTION("""COMPUTED_VALUE"""),32.6)</f>
        <v>32.6</v>
      </c>
      <c r="AD245" s="16">
        <f>IFERROR(__xludf.DUMMYFUNCTION("""COMPUTED_VALUE"""),0.0)</f>
        <v>0</v>
      </c>
      <c r="AE245" s="16">
        <f>IFERROR(__xludf.DUMMYFUNCTION("""COMPUTED_VALUE"""),0.0)</f>
        <v>0</v>
      </c>
      <c r="AF245" s="16">
        <f>IFERROR(__xludf.DUMMYFUNCTION("""COMPUTED_VALUE"""),0.0)</f>
        <v>0</v>
      </c>
      <c r="AG245" s="16">
        <f>IFERROR(__xludf.DUMMYFUNCTION("""COMPUTED_VALUE"""),0.0)</f>
        <v>0</v>
      </c>
      <c r="AH245" s="16">
        <f>IFERROR(__xludf.DUMMYFUNCTION("""COMPUTED_VALUE"""),31.3)</f>
        <v>31.3</v>
      </c>
      <c r="AI245" s="16">
        <f>IFERROR(__xludf.DUMMYFUNCTION("""COMPUTED_VALUE"""),36.4)</f>
        <v>36.4</v>
      </c>
      <c r="AJ245" s="16">
        <f>IFERROR(__xludf.DUMMYFUNCTION("""COMPUTED_VALUE"""),0.0)</f>
        <v>0</v>
      </c>
      <c r="AK245" s="16">
        <f>IFERROR(__xludf.DUMMYFUNCTION("""COMPUTED_VALUE"""),0.0)</f>
        <v>0</v>
      </c>
      <c r="AL245" s="16">
        <f>IFERROR(__xludf.DUMMYFUNCTION("""COMPUTED_VALUE"""),0.0)</f>
        <v>0</v>
      </c>
      <c r="AM245" s="16">
        <f>IFERROR(__xludf.DUMMYFUNCTION("""COMPUTED_VALUE"""),0.0)</f>
        <v>0</v>
      </c>
      <c r="AN245" s="16">
        <f>IFERROR(__xludf.DUMMYFUNCTION("""COMPUTED_VALUE"""),1.6)</f>
        <v>1.6</v>
      </c>
      <c r="AO245" s="16">
        <f>IFERROR(__xludf.DUMMYFUNCTION("""COMPUTED_VALUE"""),0.8)</f>
        <v>0.8</v>
      </c>
      <c r="AP245" s="16">
        <f>IFERROR(__xludf.DUMMYFUNCTION("""COMPUTED_VALUE"""),-1.0)</f>
        <v>-1</v>
      </c>
      <c r="AQ245" s="16">
        <f>IFERROR(__xludf.DUMMYFUNCTION("""COMPUTED_VALUE"""),-2.0)</f>
        <v>-2</v>
      </c>
      <c r="AR245" s="16">
        <f>IFERROR(__xludf.DUMMYFUNCTION("""COMPUTED_VALUE"""),-2.0)</f>
        <v>-2</v>
      </c>
      <c r="AS245" s="16">
        <f>IFERROR(__xludf.DUMMYFUNCTION("""COMPUTED_VALUE"""),-4.0)</f>
        <v>-4</v>
      </c>
      <c r="AT245" s="16"/>
      <c r="AU245" s="16">
        <f>IFERROR(__xludf.DUMMYFUNCTION("""COMPUTED_VALUE"""),1.0)</f>
        <v>1</v>
      </c>
      <c r="AV245" s="16">
        <f>IFERROR(__xludf.DUMMYFUNCTION("""COMPUTED_VALUE"""),-3.0)</f>
        <v>-3</v>
      </c>
      <c r="AW245" s="16">
        <f>IFERROR(__xludf.DUMMYFUNCTION("""COMPUTED_VALUE"""),1.0)</f>
        <v>1</v>
      </c>
      <c r="AX245" s="16">
        <f>IFERROR(__xludf.DUMMYFUNCTION("""COMPUTED_VALUE"""),-3.0)</f>
        <v>-3</v>
      </c>
      <c r="AY245" s="16">
        <f>IFERROR(__xludf.DUMMYFUNCTION("""COMPUTED_VALUE"""),-1.0)</f>
        <v>-1</v>
      </c>
      <c r="AZ245" s="16">
        <f>IFERROR(__xludf.DUMMYFUNCTION("""COMPUTED_VALUE"""),-9.0)</f>
        <v>-9</v>
      </c>
      <c r="BA245" s="16">
        <f>IFERROR(__xludf.DUMMYFUNCTION("""COMPUTED_VALUE"""),-3.0)</f>
        <v>-3</v>
      </c>
      <c r="BB245" s="16">
        <f>IFERROR(__xludf.DUMMYFUNCTION("""COMPUTED_VALUE"""),5.0)</f>
        <v>5</v>
      </c>
      <c r="BC245" s="16">
        <f>IFERROR(__xludf.DUMMYFUNCTION("""COMPUTED_VALUE"""),5.0)</f>
        <v>5</v>
      </c>
      <c r="BD245" s="16">
        <f>IFERROR(__xludf.DUMMYFUNCTION("""COMPUTED_VALUE"""),1.0)</f>
        <v>1</v>
      </c>
      <c r="BE245" s="16">
        <f>IFERROR(__xludf.DUMMYFUNCTION("""COMPUTED_VALUE"""),1.0)</f>
        <v>1</v>
      </c>
      <c r="BF245" s="16">
        <f>IFERROR(__xludf.DUMMYFUNCTION("""COMPUTED_VALUE"""),1.0)</f>
        <v>1</v>
      </c>
      <c r="BG245" s="16">
        <f>IFERROR(__xludf.DUMMYFUNCTION("""COMPUTED_VALUE"""),1.0)</f>
        <v>1</v>
      </c>
      <c r="BH245" s="16">
        <f>IFERROR(__xludf.DUMMYFUNCTION("""COMPUTED_VALUE"""),1.0)</f>
        <v>1</v>
      </c>
      <c r="BI245" s="16">
        <f>IFERROR(__xludf.DUMMYFUNCTION("""COMPUTED_VALUE"""),1.0)</f>
        <v>1</v>
      </c>
      <c r="BJ245" s="16">
        <f>IFERROR(__xludf.DUMMYFUNCTION("""COMPUTED_VALUE"""),20.0)</f>
        <v>20</v>
      </c>
      <c r="BK245" s="16">
        <f>IFERROR(__xludf.DUMMYFUNCTION("""COMPUTED_VALUE"""),20.0)</f>
        <v>20</v>
      </c>
      <c r="BL245" s="16">
        <f>IFERROR(__xludf.DUMMYFUNCTION("""COMPUTED_VALUE"""),-2.0)</f>
        <v>-2</v>
      </c>
      <c r="BM245" s="16">
        <f>IFERROR(__xludf.DUMMYFUNCTION("""COMPUTED_VALUE"""),-2.0)</f>
        <v>-2</v>
      </c>
      <c r="BN245" s="16">
        <f>IFERROR(__xludf.DUMMYFUNCTION("""COMPUTED_VALUE"""),-4.0)</f>
        <v>-4</v>
      </c>
      <c r="BO245" s="16">
        <f>IFERROR(__xludf.DUMMYFUNCTION("""COMPUTED_VALUE"""),-4.0)</f>
        <v>-4</v>
      </c>
      <c r="BP245" s="16">
        <f>IFERROR(__xludf.DUMMYFUNCTION("""COMPUTED_VALUE"""),-6.0)</f>
        <v>-6</v>
      </c>
      <c r="BQ245" s="16">
        <f>IFERROR(__xludf.DUMMYFUNCTION("""COMPUTED_VALUE"""),-2.0)</f>
        <v>-2</v>
      </c>
      <c r="BR245" s="16">
        <f>IFERROR(__xludf.DUMMYFUNCTION("""COMPUTED_VALUE"""),-8.0)</f>
        <v>-8</v>
      </c>
      <c r="BS245" s="16" t="str">
        <f>IFERROR(__xludf.DUMMYFUNCTION("""COMPUTED_VALUE"""),"*6/- (19-11)")</f>
        <v>*6/- (19-11)</v>
      </c>
      <c r="BT245" s="16" t="str">
        <f>IFERROR(__xludf.DUMMYFUNCTION("""COMPUTED_VALUE"""),"B")</f>
        <v>B</v>
      </c>
      <c r="BU245" s="16">
        <f>IFERROR(__xludf.DUMMYFUNCTION("""COMPUTED_VALUE"""),14.0)</f>
        <v>14</v>
      </c>
      <c r="BV245" s="16">
        <f>IFERROR(__xludf.DUMMYFUNCTION("""COMPUTED_VALUE"""),1.0)</f>
        <v>1</v>
      </c>
      <c r="BW245" s="16">
        <f>IFERROR(__xludf.DUMMYFUNCTION("""COMPUTED_VALUE"""),1.0)</f>
        <v>1</v>
      </c>
      <c r="BX245" s="16">
        <f>IFERROR(__xludf.DUMMYFUNCTION("""COMPUTED_VALUE"""),2.0)</f>
        <v>2</v>
      </c>
      <c r="BY245" s="16">
        <f>IFERROR(__xludf.DUMMYFUNCTION("""COMPUTED_VALUE"""),3.0)</f>
        <v>3</v>
      </c>
      <c r="BZ245" s="16" t="str">
        <f>IFERROR(__xludf.DUMMYFUNCTION("""COMPUTED_VALUE"""),"C")</f>
        <v>C</v>
      </c>
      <c r="CA245" s="16" t="str">
        <f>IFERROR(__xludf.DUMMYFUNCTION("""COMPUTED_VALUE"""),"B")</f>
        <v>B</v>
      </c>
      <c r="CB245" s="16">
        <f>IFERROR(__xludf.DUMMYFUNCTION("""COMPUTED_VALUE"""),0.0)</f>
        <v>0</v>
      </c>
      <c r="CC245" s="16">
        <f>IFERROR(__xludf.DUMMYFUNCTION("""COMPUTED_VALUE"""),1.0)</f>
        <v>1</v>
      </c>
      <c r="CD245" s="16">
        <f>IFERROR(__xludf.DUMMYFUNCTION("""COMPUTED_VALUE"""),0.0)</f>
        <v>0</v>
      </c>
      <c r="CE245" s="16">
        <f>IFERROR(__xludf.DUMMYFUNCTION("""COMPUTED_VALUE"""),2.0)</f>
        <v>2</v>
      </c>
      <c r="CF245" s="16">
        <f>IFERROR(__xludf.DUMMYFUNCTION("""COMPUTED_VALUE"""),3.0)</f>
        <v>3</v>
      </c>
      <c r="CG245" s="16">
        <f>IFERROR(__xludf.DUMMYFUNCTION("""COMPUTED_VALUE"""),-14.0)</f>
        <v>-14</v>
      </c>
      <c r="CH245" s="16">
        <f>IFERROR(__xludf.DUMMYFUNCTION("""COMPUTED_VALUE"""),-6.0)</f>
        <v>-6</v>
      </c>
      <c r="CI245" s="179">
        <f>IFERROR(__xludf.DUMMYFUNCTION("""COMPUTED_VALUE"""),-4.0)</f>
        <v>-4</v>
      </c>
      <c r="CJ245" s="16"/>
      <c r="CK245" s="16"/>
      <c r="CL245" s="16">
        <f>IFERROR(__xludf.DUMMYFUNCTION("""COMPUTED_VALUE"""),208.0)</f>
        <v>208</v>
      </c>
      <c r="CM245" s="16">
        <f>IFERROR(__xludf.DUMMYFUNCTION("""COMPUTED_VALUE"""),208.0)</f>
        <v>208</v>
      </c>
      <c r="CN245" s="16">
        <f>IFERROR(__xludf.DUMMYFUNCTION("""COMPUTED_VALUE"""),304.0)</f>
        <v>304</v>
      </c>
      <c r="CO245" s="16"/>
      <c r="CP245" s="16">
        <f>IFERROR(__xludf.DUMMYFUNCTION("""COMPUTED_VALUE"""),408.0)</f>
        <v>408</v>
      </c>
      <c r="CQ245" s="16"/>
      <c r="CR245" s="16" t="str">
        <f>IFERROR(__xludf.DUMMYFUNCTION("""COMPUTED_VALUE"""),"2b-2e8 3b-2e8 ss-3e4 cf-4(0)e8")</f>
        <v>2b-2e8 3b-2e8 ss-3e4 cf-4(0)e8</v>
      </c>
      <c r="CS245" s="16"/>
      <c r="CT245" s="16"/>
      <c r="CU245" s="16">
        <f>IFERROR(__xludf.DUMMYFUNCTION("""COMPUTED_VALUE"""),2.0)</f>
        <v>2</v>
      </c>
      <c r="CV245" s="16">
        <f>IFERROR(__xludf.DUMMYFUNCTION("""COMPUTED_VALUE"""),2.0)</f>
        <v>2</v>
      </c>
      <c r="CW245" s="16">
        <f>IFERROR(__xludf.DUMMYFUNCTION("""COMPUTED_VALUE"""),3.0)</f>
        <v>3</v>
      </c>
      <c r="CX245" s="16"/>
      <c r="CY245" s="16">
        <f>IFERROR(__xludf.DUMMYFUNCTION("""COMPUTED_VALUE"""),4.0)</f>
        <v>4</v>
      </c>
      <c r="CZ245" s="16"/>
      <c r="DA245" s="16"/>
      <c r="DB245" s="16"/>
      <c r="DC245" s="16">
        <f>IFERROR(__xludf.DUMMYFUNCTION("""COMPUTED_VALUE"""),8.0)</f>
        <v>8</v>
      </c>
      <c r="DD245" s="16">
        <f>IFERROR(__xludf.DUMMYFUNCTION("""COMPUTED_VALUE"""),8.0)</f>
        <v>8</v>
      </c>
      <c r="DE245" s="16">
        <f>IFERROR(__xludf.DUMMYFUNCTION("""COMPUTED_VALUE"""),4.0)</f>
        <v>4</v>
      </c>
      <c r="DF245" s="16"/>
      <c r="DG245" s="16">
        <f>IFERROR(__xludf.DUMMYFUNCTION("""COMPUTED_VALUE"""),8.0)</f>
        <v>8</v>
      </c>
      <c r="DH245" s="16"/>
      <c r="DI245" s="16"/>
      <c r="DJ245" s="16"/>
      <c r="DK245" s="16">
        <f>IFERROR(__xludf.DUMMYFUNCTION("""COMPUTED_VALUE"""),2.0)</f>
        <v>2</v>
      </c>
      <c r="DL245" s="16">
        <f>IFERROR(__xludf.DUMMYFUNCTION("""COMPUTED_VALUE"""),3.0)</f>
        <v>3</v>
      </c>
      <c r="DM245" s="16">
        <f>IFERROR(__xludf.DUMMYFUNCTION("""COMPUTED_VALUE"""),0.0)</f>
        <v>0</v>
      </c>
      <c r="DN245" s="16"/>
      <c r="DO245" s="16">
        <f>IFERROR(__xludf.DUMMYFUNCTION("""COMPUTED_VALUE"""),-2.0)</f>
        <v>-2</v>
      </c>
      <c r="DP245" s="16"/>
      <c r="DQ245" s="16"/>
      <c r="DR245" s="16"/>
      <c r="DS245" s="16">
        <f>IFERROR(__xludf.DUMMYFUNCTION("""COMPUTED_VALUE"""),3.0)</f>
        <v>3</v>
      </c>
      <c r="DT245" s="16">
        <f>IFERROR(__xludf.DUMMYFUNCTION("""COMPUTED_VALUE"""),2.0)</f>
        <v>2</v>
      </c>
      <c r="DU245" s="16">
        <f>IFERROR(__xludf.DUMMYFUNCTION("""COMPUTED_VALUE"""),4.0)</f>
        <v>4</v>
      </c>
      <c r="DV245" s="16"/>
      <c r="DW245" s="16">
        <f>IFERROR(__xludf.DUMMYFUNCTION("""COMPUTED_VALUE"""),2.0)</f>
        <v>2</v>
      </c>
      <c r="DX245" s="16"/>
      <c r="DY245" s="16"/>
      <c r="DZ245" s="16"/>
      <c r="EA245" s="16">
        <f>IFERROR(__xludf.DUMMYFUNCTION("""COMPUTED_VALUE"""),5.0)</f>
        <v>5</v>
      </c>
      <c r="EB245" s="16">
        <f>IFERROR(__xludf.DUMMYFUNCTION("""COMPUTED_VALUE"""),5.0)</f>
        <v>5</v>
      </c>
      <c r="EC245" s="16">
        <f>IFERROR(__xludf.DUMMYFUNCTION("""COMPUTED_VALUE"""),4.0)</f>
        <v>4</v>
      </c>
      <c r="ED245" s="16"/>
      <c r="EE245" s="16">
        <f>IFERROR(__xludf.DUMMYFUNCTION("""COMPUTED_VALUE"""),0.0)</f>
        <v>0</v>
      </c>
      <c r="EF245" s="16"/>
      <c r="EG245" s="179"/>
      <c r="EH245" s="179"/>
      <c r="EI245" s="179">
        <f>IFERROR(__xludf.DUMMYFUNCTION("""COMPUTED_VALUE"""),1.0)</f>
        <v>1</v>
      </c>
      <c r="EJ245" s="179">
        <f>IFERROR(__xludf.DUMMYFUNCTION("""COMPUTED_VALUE"""),1.0)</f>
        <v>1</v>
      </c>
      <c r="EK245" s="179">
        <f>IFERROR(__xludf.DUMMYFUNCTION("""COMPUTED_VALUE"""),0.0)</f>
        <v>0</v>
      </c>
      <c r="EL245" s="179"/>
      <c r="EM245" s="179">
        <f>IFERROR(__xludf.DUMMYFUNCTION("""COMPUTED_VALUE"""),-4.0)</f>
        <v>-4</v>
      </c>
      <c r="EN245" s="179"/>
      <c r="EO245" s="16"/>
      <c r="EP245" s="16"/>
      <c r="EQ245" s="16">
        <f>IFERROR(__xludf.DUMMYFUNCTION("""COMPUTED_VALUE"""),1.0)</f>
        <v>1</v>
      </c>
      <c r="ER245" s="16">
        <f>IFERROR(__xludf.DUMMYFUNCTION("""COMPUTED_VALUE"""),1.0)</f>
        <v>1</v>
      </c>
      <c r="ES245" s="16"/>
      <c r="ET245" s="16"/>
      <c r="EU245" s="16"/>
      <c r="EV245" s="16"/>
      <c r="EW245" s="16"/>
      <c r="EX245" s="180"/>
      <c r="EY245" s="180"/>
      <c r="EZ245" s="180">
        <f>IFERROR(__xludf.DUMMYFUNCTION("""COMPUTED_VALUE"""),0.1)</f>
        <v>0.1</v>
      </c>
      <c r="FA245" s="180">
        <f>IFERROR(__xludf.DUMMYFUNCTION("""COMPUTED_VALUE"""),0.1)</f>
        <v>0.1</v>
      </c>
      <c r="FB245" s="180">
        <f>IFERROR(__xludf.DUMMYFUNCTION("""COMPUTED_VALUE"""),0.2)</f>
        <v>0.2</v>
      </c>
      <c r="FC245" s="180"/>
      <c r="FD245" s="180">
        <f>IFERROR(__xludf.DUMMYFUNCTION("""COMPUTED_VALUE"""),0.55)</f>
        <v>0.55</v>
      </c>
      <c r="FE245" s="180"/>
      <c r="FF245" s="180"/>
      <c r="FG245" s="180"/>
      <c r="FH245" s="180">
        <f>IFERROR(__xludf.DUMMYFUNCTION("""COMPUTED_VALUE"""),0.046296296296296294)</f>
        <v>0.0462962963</v>
      </c>
      <c r="FI245" s="180">
        <f>IFERROR(__xludf.DUMMYFUNCTION("""COMPUTED_VALUE"""),0.09722222222222222)</f>
        <v>0.09722222222</v>
      </c>
      <c r="FJ245" s="180">
        <f>IFERROR(__xludf.DUMMYFUNCTION("""COMPUTED_VALUE"""),0.018518518518518517)</f>
        <v>0.01851851852</v>
      </c>
      <c r="FK245" s="180"/>
      <c r="FL245" s="180">
        <f>IFERROR(__xludf.DUMMYFUNCTION("""COMPUTED_VALUE"""),0.09722222222222222)</f>
        <v>0.09722222222</v>
      </c>
      <c r="FM245" s="180"/>
      <c r="FN245" s="16"/>
      <c r="FO245" s="16"/>
      <c r="FP245" s="16">
        <f>IFERROR(__xludf.DUMMYFUNCTION("""COMPUTED_VALUE"""),0.8583333333333334)</f>
        <v>0.8583333333</v>
      </c>
      <c r="FQ245" s="16">
        <f>IFERROR(__xludf.DUMMYFUNCTION("""COMPUTED_VALUE"""),0.8125)</f>
        <v>0.8125</v>
      </c>
      <c r="FR245" s="16">
        <f>IFERROR(__xludf.DUMMYFUNCTION("""COMPUTED_VALUE"""),0.7851851851851852)</f>
        <v>0.7851851852</v>
      </c>
      <c r="FS245" s="16"/>
      <c r="FT245" s="16">
        <f>IFERROR(__xludf.DUMMYFUNCTION("""COMPUTED_VALUE"""),0.40624999999999994)</f>
        <v>0.40625</v>
      </c>
      <c r="FU245" s="16"/>
      <c r="FV245" s="16"/>
      <c r="FW245" s="16"/>
      <c r="FX245" s="16">
        <f>IFERROR(__xludf.DUMMYFUNCTION("""COMPUTED_VALUE"""),4.0)</f>
        <v>4</v>
      </c>
      <c r="FY245" s="16">
        <f>IFERROR(__xludf.DUMMYFUNCTION("""COMPUTED_VALUE"""),1.0)</f>
        <v>1</v>
      </c>
      <c r="FZ245" s="16">
        <f>IFERROR(__xludf.DUMMYFUNCTION("""COMPUTED_VALUE"""),-1.0)</f>
        <v>-1</v>
      </c>
      <c r="GA245" s="16"/>
      <c r="GB245" s="16">
        <f>IFERROR(__xludf.DUMMYFUNCTION("""COMPUTED_VALUE"""),-8.0)</f>
        <v>-8</v>
      </c>
      <c r="GC245" s="16"/>
      <c r="GD245" s="16" t="s">
        <v>686</v>
      </c>
    </row>
    <row r="246">
      <c r="A246" s="16">
        <f>IFERROR(__xludf.DUMMYFUNCTION("""COMPUTED_VALUE"""),12775.0)</f>
        <v>12775</v>
      </c>
      <c r="B246" s="16" t="str">
        <f>IFERROR(__xludf.DUMMYFUNCTION("""COMPUTED_VALUE"""),"Dylan Moore")</f>
        <v>Dylan Moore</v>
      </c>
      <c r="C246" s="16">
        <f>IFERROR(__xludf.DUMMYFUNCTION("""COMPUTED_VALUE"""),0.87)</f>
        <v>0.87</v>
      </c>
      <c r="D246" s="16" t="str">
        <f>IFERROR(__xludf.DUMMYFUNCTION("""COMPUTED_VALUE"""),"R")</f>
        <v>R</v>
      </c>
      <c r="E246" s="16"/>
      <c r="F246" s="16"/>
      <c r="G246" s="16">
        <f>IFERROR(__xludf.DUMMYFUNCTION("""COMPUTED_VALUE"""),368.0)</f>
        <v>368</v>
      </c>
      <c r="H246" s="16">
        <f>IFERROR(__xludf.DUMMYFUNCTION("""COMPUTED_VALUE"""),53.0)</f>
        <v>53</v>
      </c>
      <c r="I246" s="16" t="str">
        <f>IFERROR(__xludf.DUMMYFUNCTION("""COMPUTED_VALUE"""),"1p60")</f>
        <v>1p60</v>
      </c>
      <c r="J246" s="16">
        <f>IFERROR(__xludf.DUMMYFUNCTION("""COMPUTED_VALUE"""),33.0)</f>
        <v>33</v>
      </c>
      <c r="K246" s="16">
        <f>IFERROR(__xludf.DUMMYFUNCTION("""COMPUTED_VALUE"""),37.0)</f>
        <v>37</v>
      </c>
      <c r="L246" s="16">
        <f>IFERROR(__xludf.DUMMYFUNCTION("""COMPUTED_VALUE"""),-1.0)</f>
        <v>-1</v>
      </c>
      <c r="M246" s="16">
        <f>IFERROR(__xludf.DUMMYFUNCTION("""COMPUTED_VALUE"""),-1.0)</f>
        <v>-1</v>
      </c>
      <c r="N246" s="16">
        <f>IFERROR(__xludf.DUMMYFUNCTION("""COMPUTED_VALUE"""),-1.0)</f>
        <v>-1</v>
      </c>
      <c r="O246" s="16">
        <f>IFERROR(__xludf.DUMMYFUNCTION("""COMPUTED_VALUE"""),-1.0)</f>
        <v>-1</v>
      </c>
      <c r="P246" s="16">
        <f>IFERROR(__xludf.DUMMYFUNCTION("""COMPUTED_VALUE"""),21.0)</f>
        <v>21</v>
      </c>
      <c r="Q246" s="16">
        <f>IFERROR(__xludf.DUMMYFUNCTION("""COMPUTED_VALUE"""),15.0)</f>
        <v>15</v>
      </c>
      <c r="R246" s="16">
        <f>IFERROR(__xludf.DUMMYFUNCTION("""COMPUTED_VALUE"""),3.0)</f>
        <v>3</v>
      </c>
      <c r="S246" s="16">
        <f>IFERROR(__xludf.DUMMYFUNCTION("""COMPUTED_VALUE"""),2.0)</f>
        <v>2</v>
      </c>
      <c r="T246" s="16">
        <f>IFERROR(__xludf.DUMMYFUNCTION("""COMPUTED_VALUE"""),3.0)</f>
        <v>3</v>
      </c>
      <c r="U246" s="16">
        <f>IFERROR(__xludf.DUMMYFUNCTION("""COMPUTED_VALUE"""),2.0)</f>
        <v>2</v>
      </c>
      <c r="V246" s="16">
        <f>IFERROR(__xludf.DUMMYFUNCTION("""COMPUTED_VALUE"""),15.9)</f>
        <v>15.9</v>
      </c>
      <c r="W246" s="16">
        <f>IFERROR(__xludf.DUMMYFUNCTION("""COMPUTED_VALUE"""),7.5)</f>
        <v>7.5</v>
      </c>
      <c r="X246" s="16">
        <f>IFERROR(__xludf.DUMMYFUNCTION("""COMPUTED_VALUE"""),-1.0)</f>
        <v>-1</v>
      </c>
      <c r="Y246" s="16">
        <f>IFERROR(__xludf.DUMMYFUNCTION("""COMPUTED_VALUE"""),-2.0)</f>
        <v>-2</v>
      </c>
      <c r="Z246" s="16">
        <f>IFERROR(__xludf.DUMMYFUNCTION("""COMPUTED_VALUE"""),-2.0)</f>
        <v>-2</v>
      </c>
      <c r="AA246" s="16">
        <f>IFERROR(__xludf.DUMMYFUNCTION("""COMPUTED_VALUE"""),-4.0)</f>
        <v>-4</v>
      </c>
      <c r="AB246" s="16">
        <f>IFERROR(__xludf.DUMMYFUNCTION("""COMPUTED_VALUE"""),43.8)</f>
        <v>43.8</v>
      </c>
      <c r="AC246" s="16">
        <f>IFERROR(__xludf.DUMMYFUNCTION("""COMPUTED_VALUE"""),29.5)</f>
        <v>29.5</v>
      </c>
      <c r="AD246" s="16">
        <f>IFERROR(__xludf.DUMMYFUNCTION("""COMPUTED_VALUE"""),2.0)</f>
        <v>2</v>
      </c>
      <c r="AE246" s="16">
        <f>IFERROR(__xludf.DUMMYFUNCTION("""COMPUTED_VALUE"""),0.0)</f>
        <v>0</v>
      </c>
      <c r="AF246" s="16">
        <f>IFERROR(__xludf.DUMMYFUNCTION("""COMPUTED_VALUE"""),10.0)</f>
        <v>10</v>
      </c>
      <c r="AG246" s="16">
        <f>IFERROR(__xludf.DUMMYFUNCTION("""COMPUTED_VALUE"""),0.0)</f>
        <v>0</v>
      </c>
      <c r="AH246" s="16">
        <f>IFERROR(__xludf.DUMMYFUNCTION("""COMPUTED_VALUE"""),30.3)</f>
        <v>30.3</v>
      </c>
      <c r="AI246" s="16">
        <f>IFERROR(__xludf.DUMMYFUNCTION("""COMPUTED_VALUE"""),19.7)</f>
        <v>19.7</v>
      </c>
      <c r="AJ246" s="16">
        <f>IFERROR(__xludf.DUMMYFUNCTION("""COMPUTED_VALUE"""),0.0)</f>
        <v>0</v>
      </c>
      <c r="AK246" s="16">
        <f>IFERROR(__xludf.DUMMYFUNCTION("""COMPUTED_VALUE"""),-2.0)</f>
        <v>-2</v>
      </c>
      <c r="AL246" s="16">
        <f>IFERROR(__xludf.DUMMYFUNCTION("""COMPUTED_VALUE"""),0.0)</f>
        <v>0</v>
      </c>
      <c r="AM246" s="16">
        <f>IFERROR(__xludf.DUMMYFUNCTION("""COMPUTED_VALUE"""),-10.0)</f>
        <v>-10</v>
      </c>
      <c r="AN246" s="16">
        <f>IFERROR(__xludf.DUMMYFUNCTION("""COMPUTED_VALUE"""),1.2)</f>
        <v>1.2</v>
      </c>
      <c r="AO246" s="16">
        <f>IFERROR(__xludf.DUMMYFUNCTION("""COMPUTED_VALUE"""),1.4)</f>
        <v>1.4</v>
      </c>
      <c r="AP246" s="16">
        <f>IFERROR(__xludf.DUMMYFUNCTION("""COMPUTED_VALUE"""),-1.0)</f>
        <v>-1</v>
      </c>
      <c r="AQ246" s="16">
        <f>IFERROR(__xludf.DUMMYFUNCTION("""COMPUTED_VALUE"""),-1.0)</f>
        <v>-1</v>
      </c>
      <c r="AR246" s="16">
        <f>IFERROR(__xludf.DUMMYFUNCTION("""COMPUTED_VALUE"""),-2.0)</f>
        <v>-2</v>
      </c>
      <c r="AS246" s="16">
        <f>IFERROR(__xludf.DUMMYFUNCTION("""COMPUTED_VALUE"""),-2.0)</f>
        <v>-2</v>
      </c>
      <c r="AT246" s="16">
        <f>IFERROR(__xludf.DUMMYFUNCTION("""COMPUTED_VALUE"""),1.0)</f>
        <v>1</v>
      </c>
      <c r="AU246" s="16"/>
      <c r="AV246" s="16">
        <f>IFERROR(__xludf.DUMMYFUNCTION("""COMPUTED_VALUE"""),1.0)</f>
        <v>1</v>
      </c>
      <c r="AW246" s="16">
        <f>IFERROR(__xludf.DUMMYFUNCTION("""COMPUTED_VALUE"""),1.0)</f>
        <v>1</v>
      </c>
      <c r="AX246" s="16">
        <f>IFERROR(__xludf.DUMMYFUNCTION("""COMPUTED_VALUE"""),-1.0)</f>
        <v>-1</v>
      </c>
      <c r="AY246" s="16">
        <f>IFERROR(__xludf.DUMMYFUNCTION("""COMPUTED_VALUE"""),-1.0)</f>
        <v>-1</v>
      </c>
      <c r="AZ246" s="16">
        <f>IFERROR(__xludf.DUMMYFUNCTION("""COMPUTED_VALUE"""),-3.0)</f>
        <v>-3</v>
      </c>
      <c r="BA246" s="16">
        <f>IFERROR(__xludf.DUMMYFUNCTION("""COMPUTED_VALUE"""),-3.0)</f>
        <v>-3</v>
      </c>
      <c r="BB246" s="16">
        <f>IFERROR(__xludf.DUMMYFUNCTION("""COMPUTED_VALUE"""),5.0)</f>
        <v>5</v>
      </c>
      <c r="BC246" s="16">
        <f>IFERROR(__xludf.DUMMYFUNCTION("""COMPUTED_VALUE"""),0.0)</f>
        <v>0</v>
      </c>
      <c r="BD246" s="16">
        <f>IFERROR(__xludf.DUMMYFUNCTION("""COMPUTED_VALUE"""),1.0)</f>
        <v>1</v>
      </c>
      <c r="BE246" s="16">
        <f>IFERROR(__xludf.DUMMYFUNCTION("""COMPUTED_VALUE"""),0.0)</f>
        <v>0</v>
      </c>
      <c r="BF246" s="16">
        <f>IFERROR(__xludf.DUMMYFUNCTION("""COMPUTED_VALUE"""),1.0)</f>
        <v>1</v>
      </c>
      <c r="BG246" s="16">
        <f>IFERROR(__xludf.DUMMYFUNCTION("""COMPUTED_VALUE"""),0.0)</f>
        <v>0</v>
      </c>
      <c r="BH246" s="16">
        <f>IFERROR(__xludf.DUMMYFUNCTION("""COMPUTED_VALUE"""),4.0)</f>
        <v>4</v>
      </c>
      <c r="BI246" s="16">
        <f>IFERROR(__xludf.DUMMYFUNCTION("""COMPUTED_VALUE"""),0.0)</f>
        <v>0</v>
      </c>
      <c r="BJ246" s="16">
        <f>IFERROR(__xludf.DUMMYFUNCTION("""COMPUTED_VALUE"""),9.0)</f>
        <v>9</v>
      </c>
      <c r="BK246" s="16">
        <f>IFERROR(__xludf.DUMMYFUNCTION("""COMPUTED_VALUE"""),13.0)</f>
        <v>13</v>
      </c>
      <c r="BL246" s="16">
        <f>IFERROR(__xludf.DUMMYFUNCTION("""COMPUTED_VALUE"""),0.0)</f>
        <v>0</v>
      </c>
      <c r="BM246" s="16">
        <f>IFERROR(__xludf.DUMMYFUNCTION("""COMPUTED_VALUE"""),0.0)</f>
        <v>0</v>
      </c>
      <c r="BN246" s="16">
        <f>IFERROR(__xludf.DUMMYFUNCTION("""COMPUTED_VALUE"""),0.0)</f>
        <v>0</v>
      </c>
      <c r="BO246" s="16">
        <f>IFERROR(__xludf.DUMMYFUNCTION("""COMPUTED_VALUE"""),0.0)</f>
        <v>0</v>
      </c>
      <c r="BP246" s="16">
        <f>IFERROR(__xludf.DUMMYFUNCTION("""COMPUTED_VALUE"""),2.0)</f>
        <v>2</v>
      </c>
      <c r="BQ246" s="16">
        <f>IFERROR(__xludf.DUMMYFUNCTION("""COMPUTED_VALUE"""),-5.0)</f>
        <v>-5</v>
      </c>
      <c r="BR246" s="16">
        <f>IFERROR(__xludf.DUMMYFUNCTION("""COMPUTED_VALUE"""),-3.0)</f>
        <v>-3</v>
      </c>
      <c r="BS246" s="16" t="str">
        <f>IFERROR(__xludf.DUMMYFUNCTION("""COMPUTED_VALUE"""),"*2-6/- (19-15)")</f>
        <v>*2-6/- (19-15)</v>
      </c>
      <c r="BT246" s="16" t="str">
        <f>IFERROR(__xludf.DUMMYFUNCTION("""COMPUTED_VALUE"""),"AA")</f>
        <v>AA</v>
      </c>
      <c r="BU246" s="16">
        <f>IFERROR(__xludf.DUMMYFUNCTION("""COMPUTED_VALUE"""),15.0)</f>
        <v>15</v>
      </c>
      <c r="BV246" s="16">
        <f>IFERROR(__xludf.DUMMYFUNCTION("""COMPUTED_VALUE"""),3.0)</f>
        <v>3</v>
      </c>
      <c r="BW246" s="16">
        <f>IFERROR(__xludf.DUMMYFUNCTION("""COMPUTED_VALUE"""),2.0)</f>
        <v>2</v>
      </c>
      <c r="BX246" s="16">
        <f>IFERROR(__xludf.DUMMYFUNCTION("""COMPUTED_VALUE"""),6.0)</f>
        <v>6</v>
      </c>
      <c r="BY246" s="16">
        <f>IFERROR(__xludf.DUMMYFUNCTION("""COMPUTED_VALUE"""),6.0)</f>
        <v>6</v>
      </c>
      <c r="BZ246" s="16" t="str">
        <f>IFERROR(__xludf.DUMMYFUNCTION("""COMPUTED_VALUE"""),"D")</f>
        <v>D</v>
      </c>
      <c r="CA246" s="16" t="str">
        <f>IFERROR(__xludf.DUMMYFUNCTION("""COMPUTED_VALUE"""),"D")</f>
        <v>D</v>
      </c>
      <c r="CB246" s="16">
        <f>IFERROR(__xludf.DUMMYFUNCTION("""COMPUTED_VALUE"""),0.0)</f>
        <v>0</v>
      </c>
      <c r="CC246" s="16">
        <f>IFERROR(__xludf.DUMMYFUNCTION("""COMPUTED_VALUE"""),0.0)</f>
        <v>0</v>
      </c>
      <c r="CD246" s="16">
        <f>IFERROR(__xludf.DUMMYFUNCTION("""COMPUTED_VALUE"""),0.0)</f>
        <v>0</v>
      </c>
      <c r="CE246" s="16">
        <f>IFERROR(__xludf.DUMMYFUNCTION("""COMPUTED_VALUE"""),0.0)</f>
        <v>0</v>
      </c>
      <c r="CF246" s="16">
        <f>IFERROR(__xludf.DUMMYFUNCTION("""COMPUTED_VALUE"""),1.0)</f>
        <v>1</v>
      </c>
      <c r="CG246" s="16">
        <f>IFERROR(__xludf.DUMMYFUNCTION("""COMPUTED_VALUE"""),6.0)</f>
        <v>6</v>
      </c>
      <c r="CH246" s="16">
        <f>IFERROR(__xludf.DUMMYFUNCTION("""COMPUTED_VALUE"""),-18.0)</f>
        <v>-18</v>
      </c>
      <c r="CI246" s="179">
        <f>IFERROR(__xludf.DUMMYFUNCTION("""COMPUTED_VALUE"""),-4.0)</f>
        <v>-4</v>
      </c>
      <c r="CJ246" s="16"/>
      <c r="CK246" s="16">
        <f>IFERROR(__xludf.DUMMYFUNCTION("""COMPUTED_VALUE"""),418.0)</f>
        <v>418</v>
      </c>
      <c r="CL246" s="16">
        <f>IFERROR(__xludf.DUMMYFUNCTION("""COMPUTED_VALUE"""),305.0)</f>
        <v>305</v>
      </c>
      <c r="CM246" s="16">
        <f>IFERROR(__xludf.DUMMYFUNCTION("""COMPUTED_VALUE"""),306.0)</f>
        <v>306</v>
      </c>
      <c r="CN246" s="16">
        <f>IFERROR(__xludf.DUMMYFUNCTION("""COMPUTED_VALUE"""),320.0)</f>
        <v>320</v>
      </c>
      <c r="CO246" s="16">
        <f>IFERROR(__xludf.DUMMYFUNCTION("""COMPUTED_VALUE"""),304.0)</f>
        <v>304</v>
      </c>
      <c r="CP246" s="16"/>
      <c r="CQ246" s="16"/>
      <c r="CR246" s="16" t="str">
        <f>IFERROR(__xludf.DUMMYFUNCTION("""COMPUTED_VALUE"""),"ss-3e20 2b-3e5 3b-3e6 lf-3(+1)e4 1b-4e18")</f>
        <v>ss-3e20 2b-3e5 3b-3e6 lf-3(+1)e4 1b-4e18</v>
      </c>
      <c r="CS246" s="16"/>
      <c r="CT246" s="16">
        <f>IFERROR(__xludf.DUMMYFUNCTION("""COMPUTED_VALUE"""),4.0)</f>
        <v>4</v>
      </c>
      <c r="CU246" s="16">
        <f>IFERROR(__xludf.DUMMYFUNCTION("""COMPUTED_VALUE"""),3.0)</f>
        <v>3</v>
      </c>
      <c r="CV246" s="16">
        <f>IFERROR(__xludf.DUMMYFUNCTION("""COMPUTED_VALUE"""),3.0)</f>
        <v>3</v>
      </c>
      <c r="CW246" s="16">
        <f>IFERROR(__xludf.DUMMYFUNCTION("""COMPUTED_VALUE"""),3.0)</f>
        <v>3</v>
      </c>
      <c r="CX246" s="16">
        <f>IFERROR(__xludf.DUMMYFUNCTION("""COMPUTED_VALUE"""),3.0)</f>
        <v>3</v>
      </c>
      <c r="CY246" s="16"/>
      <c r="CZ246" s="16"/>
      <c r="DA246" s="16"/>
      <c r="DB246" s="16">
        <f>IFERROR(__xludf.DUMMYFUNCTION("""COMPUTED_VALUE"""),18.0)</f>
        <v>18</v>
      </c>
      <c r="DC246" s="16">
        <f>IFERROR(__xludf.DUMMYFUNCTION("""COMPUTED_VALUE"""),5.0)</f>
        <v>5</v>
      </c>
      <c r="DD246" s="16">
        <f>IFERROR(__xludf.DUMMYFUNCTION("""COMPUTED_VALUE"""),6.0)</f>
        <v>6</v>
      </c>
      <c r="DE246" s="16">
        <f>IFERROR(__xludf.DUMMYFUNCTION("""COMPUTED_VALUE"""),20.0)</f>
        <v>20</v>
      </c>
      <c r="DF246" s="16">
        <f>IFERROR(__xludf.DUMMYFUNCTION("""COMPUTED_VALUE"""),4.0)</f>
        <v>4</v>
      </c>
      <c r="DG246" s="16"/>
      <c r="DH246" s="16"/>
      <c r="DI246" s="16"/>
      <c r="DJ246" s="16">
        <f>IFERROR(__xludf.DUMMYFUNCTION("""COMPUTED_VALUE"""),0.0)</f>
        <v>0</v>
      </c>
      <c r="DK246" s="16">
        <f>IFERROR(__xludf.DUMMYFUNCTION("""COMPUTED_VALUE"""),0.0)</f>
        <v>0</v>
      </c>
      <c r="DL246" s="16">
        <f>IFERROR(__xludf.DUMMYFUNCTION("""COMPUTED_VALUE"""),1.0)</f>
        <v>1</v>
      </c>
      <c r="DM246" s="16">
        <f>IFERROR(__xludf.DUMMYFUNCTION("""COMPUTED_VALUE"""),0.0)</f>
        <v>0</v>
      </c>
      <c r="DN246" s="16">
        <f>IFERROR(__xludf.DUMMYFUNCTION("""COMPUTED_VALUE"""),0.0)</f>
        <v>0</v>
      </c>
      <c r="DO246" s="16"/>
      <c r="DP246" s="16"/>
      <c r="DQ246" s="16"/>
      <c r="DR246" s="16">
        <f>IFERROR(__xludf.DUMMYFUNCTION("""COMPUTED_VALUE"""),0.0)</f>
        <v>0</v>
      </c>
      <c r="DS246" s="16">
        <f>IFERROR(__xludf.DUMMYFUNCTION("""COMPUTED_VALUE"""),3.0)</f>
        <v>3</v>
      </c>
      <c r="DT246" s="16">
        <f>IFERROR(__xludf.DUMMYFUNCTION("""COMPUTED_VALUE"""),2.0)</f>
        <v>2</v>
      </c>
      <c r="DU246" s="16">
        <f>IFERROR(__xludf.DUMMYFUNCTION("""COMPUTED_VALUE"""),2.0)</f>
        <v>2</v>
      </c>
      <c r="DV246" s="16">
        <f>IFERROR(__xludf.DUMMYFUNCTION("""COMPUTED_VALUE"""),2.0)</f>
        <v>2</v>
      </c>
      <c r="DW246" s="16"/>
      <c r="DX246" s="16"/>
      <c r="DY246" s="16"/>
      <c r="DZ246" s="16">
        <f>IFERROR(__xludf.DUMMYFUNCTION("""COMPUTED_VALUE"""),0.0)</f>
        <v>0</v>
      </c>
      <c r="EA246" s="16">
        <f>IFERROR(__xludf.DUMMYFUNCTION("""COMPUTED_VALUE"""),3.0)</f>
        <v>3</v>
      </c>
      <c r="EB246" s="16">
        <f>IFERROR(__xludf.DUMMYFUNCTION("""COMPUTED_VALUE"""),3.0)</f>
        <v>3</v>
      </c>
      <c r="EC246" s="16">
        <f>IFERROR(__xludf.DUMMYFUNCTION("""COMPUTED_VALUE"""),2.0)</f>
        <v>2</v>
      </c>
      <c r="ED246" s="16">
        <f>IFERROR(__xludf.DUMMYFUNCTION("""COMPUTED_VALUE"""),2.0)</f>
        <v>2</v>
      </c>
      <c r="EE246" s="16"/>
      <c r="EF246" s="16"/>
      <c r="EG246" s="179"/>
      <c r="EH246" s="179">
        <f>IFERROR(__xludf.DUMMYFUNCTION("""COMPUTED_VALUE"""),-4.0)</f>
        <v>-4</v>
      </c>
      <c r="EI246" s="179">
        <f>IFERROR(__xludf.DUMMYFUNCTION("""COMPUTED_VALUE"""),-1.0)</f>
        <v>-1</v>
      </c>
      <c r="EJ246" s="179">
        <f>IFERROR(__xludf.DUMMYFUNCTION("""COMPUTED_VALUE"""),-1.0)</f>
        <v>-1</v>
      </c>
      <c r="EK246" s="179">
        <f>IFERROR(__xludf.DUMMYFUNCTION("""COMPUTED_VALUE"""),-2.0)</f>
        <v>-2</v>
      </c>
      <c r="EL246" s="179">
        <f>IFERROR(__xludf.DUMMYFUNCTION("""COMPUTED_VALUE"""),-2.0)</f>
        <v>-2</v>
      </c>
      <c r="EM246" s="179"/>
      <c r="EN246" s="179"/>
      <c r="EO246" s="16"/>
      <c r="EP246" s="16">
        <f>IFERROR(__xludf.DUMMYFUNCTION("""COMPUTED_VALUE"""),1.0)</f>
        <v>1</v>
      </c>
      <c r="EQ246" s="16">
        <f>IFERROR(__xludf.DUMMYFUNCTION("""COMPUTED_VALUE"""),4.0)</f>
        <v>4</v>
      </c>
      <c r="ER246" s="16">
        <f>IFERROR(__xludf.DUMMYFUNCTION("""COMPUTED_VALUE"""),1.0)</f>
        <v>1</v>
      </c>
      <c r="ES246" s="16"/>
      <c r="ET246" s="16"/>
      <c r="EU246" s="16"/>
      <c r="EV246" s="16"/>
      <c r="EW246" s="16"/>
      <c r="EX246" s="180"/>
      <c r="EY246" s="180">
        <f>IFERROR(__xludf.DUMMYFUNCTION("""COMPUTED_VALUE"""),0.3)</f>
        <v>0.3</v>
      </c>
      <c r="EZ246" s="180">
        <f>IFERROR(__xludf.DUMMYFUNCTION("""COMPUTED_VALUE"""),0.2)</f>
        <v>0.2</v>
      </c>
      <c r="FA246" s="180">
        <f>IFERROR(__xludf.DUMMYFUNCTION("""COMPUTED_VALUE"""),0.2)</f>
        <v>0.2</v>
      </c>
      <c r="FB246" s="180">
        <f>IFERROR(__xludf.DUMMYFUNCTION("""COMPUTED_VALUE"""),0.2)</f>
        <v>0.2</v>
      </c>
      <c r="FC246" s="180">
        <f>IFERROR(__xludf.DUMMYFUNCTION("""COMPUTED_VALUE"""),0.3)</f>
        <v>0.3</v>
      </c>
      <c r="FD246" s="180"/>
      <c r="FE246" s="180"/>
      <c r="FF246" s="180"/>
      <c r="FG246" s="180">
        <f>IFERROR(__xludf.DUMMYFUNCTION("""COMPUTED_VALUE"""),0.32407407407407407)</f>
        <v>0.3240740741</v>
      </c>
      <c r="FH246" s="180">
        <f>IFERROR(__xludf.DUMMYFUNCTION("""COMPUTED_VALUE"""),0.032407407407407406)</f>
        <v>0.03240740741</v>
      </c>
      <c r="FI246" s="180">
        <f>IFERROR(__xludf.DUMMYFUNCTION("""COMPUTED_VALUE"""),0.07407407407407407)</f>
        <v>0.07407407407</v>
      </c>
      <c r="FJ246" s="180">
        <f>IFERROR(__xludf.DUMMYFUNCTION("""COMPUTED_VALUE"""),0.10185185185185185)</f>
        <v>0.1018518519</v>
      </c>
      <c r="FK246" s="180">
        <f>IFERROR(__xludf.DUMMYFUNCTION("""COMPUTED_VALUE"""),0.069)</f>
        <v>0.069</v>
      </c>
      <c r="FL246" s="180"/>
      <c r="FM246" s="180"/>
      <c r="FN246" s="16"/>
      <c r="FO246" s="16">
        <f>IFERROR(__xludf.DUMMYFUNCTION("""COMPUTED_VALUE"""),0.4731481481481481)</f>
        <v>0.4731481481</v>
      </c>
      <c r="FP246" s="16">
        <f>IFERROR(__xludf.DUMMYFUNCTION("""COMPUTED_VALUE"""),0.7740740740740741)</f>
        <v>0.7740740741</v>
      </c>
      <c r="FQ246" s="16">
        <f>IFERROR(__xludf.DUMMYFUNCTION("""COMPUTED_VALUE"""),0.7407407407407408)</f>
        <v>0.7407407407</v>
      </c>
      <c r="FR246" s="16">
        <f>IFERROR(__xludf.DUMMYFUNCTION("""COMPUTED_VALUE"""),0.7185185185185186)</f>
        <v>0.7185185185</v>
      </c>
      <c r="FS246" s="16">
        <f>IFERROR(__xludf.DUMMYFUNCTION("""COMPUTED_VALUE"""),0.6517)</f>
        <v>0.6517</v>
      </c>
      <c r="FT246" s="16"/>
      <c r="FU246" s="16"/>
      <c r="FV246" s="16"/>
      <c r="FW246" s="16">
        <f>IFERROR(__xludf.DUMMYFUNCTION("""COMPUTED_VALUE"""),-8.0)</f>
        <v>-8</v>
      </c>
      <c r="FX246" s="16">
        <f>IFERROR(__xludf.DUMMYFUNCTION("""COMPUTED_VALUE"""),-1.0)</f>
        <v>-1</v>
      </c>
      <c r="FY246" s="16">
        <f>IFERROR(__xludf.DUMMYFUNCTION("""COMPUTED_VALUE"""),-4.0)</f>
        <v>-4</v>
      </c>
      <c r="FZ246" s="16">
        <f>IFERROR(__xludf.DUMMYFUNCTION("""COMPUTED_VALUE"""),-4.0)</f>
        <v>-4</v>
      </c>
      <c r="GA246" s="16">
        <f>IFERROR(__xludf.DUMMYFUNCTION("""COMPUTED_VALUE"""),-5.0)</f>
        <v>-5</v>
      </c>
      <c r="GB246" s="16"/>
      <c r="GC246" s="16"/>
      <c r="GD246" s="16" t="s">
        <v>176</v>
      </c>
    </row>
    <row r="247">
      <c r="A247" s="16">
        <f>IFERROR(__xludf.DUMMYFUNCTION("""COMPUTED_VALUE"""),13226.0)</f>
        <v>13226</v>
      </c>
      <c r="B247" s="16" t="str">
        <f>IFERROR(__xludf.DUMMYFUNCTION("""COMPUTED_VALUE"""),"Nasim Nunez")</f>
        <v>Nasim Nunez</v>
      </c>
      <c r="C247" s="16">
        <f>IFERROR(__xludf.DUMMYFUNCTION("""COMPUTED_VALUE"""),1.56)</f>
        <v>1.56</v>
      </c>
      <c r="D247" s="16" t="str">
        <f>IFERROR(__xludf.DUMMYFUNCTION("""COMPUTED_VALUE"""),"S")</f>
        <v>S</v>
      </c>
      <c r="E247" s="16"/>
      <c r="F247" s="16"/>
      <c r="G247" s="16">
        <f>IFERROR(__xludf.DUMMYFUNCTION("""COMPUTED_VALUE"""),61.0)</f>
        <v>61</v>
      </c>
      <c r="H247" s="16">
        <f>IFERROR(__xludf.DUMMYFUNCTION("""COMPUTED_VALUE"""),12.0)</f>
        <v>12</v>
      </c>
      <c r="I247" s="16" t="str">
        <f>IFERROR(__xludf.DUMMYFUNCTION("""COMPUTED_VALUE"""),"1p30")</f>
        <v>1p30</v>
      </c>
      <c r="J247" s="16">
        <f>IFERROR(__xludf.DUMMYFUNCTION("""COMPUTED_VALUE"""),13.0)</f>
        <v>13</v>
      </c>
      <c r="K247" s="16">
        <f>IFERROR(__xludf.DUMMYFUNCTION("""COMPUTED_VALUE"""),25.0)</f>
        <v>25</v>
      </c>
      <c r="L247" s="16">
        <f>IFERROR(__xludf.DUMMYFUNCTION("""COMPUTED_VALUE"""),1.0)</f>
        <v>1</v>
      </c>
      <c r="M247" s="16">
        <f>IFERROR(__xludf.DUMMYFUNCTION("""COMPUTED_VALUE"""),0.0)</f>
        <v>0</v>
      </c>
      <c r="N247" s="16">
        <f>IFERROR(__xludf.DUMMYFUNCTION("""COMPUTED_VALUE"""),1.0)</f>
        <v>1</v>
      </c>
      <c r="O247" s="16">
        <f>IFERROR(__xludf.DUMMYFUNCTION("""COMPUTED_VALUE"""),0.0)</f>
        <v>0</v>
      </c>
      <c r="P247" s="16">
        <f>IFERROR(__xludf.DUMMYFUNCTION("""COMPUTED_VALUE"""),21.0)</f>
        <v>21</v>
      </c>
      <c r="Q247" s="16">
        <f>IFERROR(__xludf.DUMMYFUNCTION("""COMPUTED_VALUE"""),29.0)</f>
        <v>29</v>
      </c>
      <c r="R247" s="16">
        <f>IFERROR(__xludf.DUMMYFUNCTION("""COMPUTED_VALUE"""),3.0)</f>
        <v>3</v>
      </c>
      <c r="S247" s="16">
        <f>IFERROR(__xludf.DUMMYFUNCTION("""COMPUTED_VALUE"""),3.0)</f>
        <v>3</v>
      </c>
      <c r="T247" s="16">
        <f>IFERROR(__xludf.DUMMYFUNCTION("""COMPUTED_VALUE"""),3.0)</f>
        <v>3</v>
      </c>
      <c r="U247" s="16">
        <f>IFERROR(__xludf.DUMMYFUNCTION("""COMPUTED_VALUE"""),3.0)</f>
        <v>3</v>
      </c>
      <c r="V247" s="16">
        <f>IFERROR(__xludf.DUMMYFUNCTION("""COMPUTED_VALUE"""),26.4)</f>
        <v>26.4</v>
      </c>
      <c r="W247" s="16">
        <f>IFERROR(__xludf.DUMMYFUNCTION("""COMPUTED_VALUE"""),12.4)</f>
        <v>12.4</v>
      </c>
      <c r="X247" s="16">
        <f>IFERROR(__xludf.DUMMYFUNCTION("""COMPUTED_VALUE"""),1.0)</f>
        <v>1</v>
      </c>
      <c r="Y247" s="16">
        <f>IFERROR(__xludf.DUMMYFUNCTION("""COMPUTED_VALUE"""),-2.0)</f>
        <v>-2</v>
      </c>
      <c r="Z247" s="16">
        <f>IFERROR(__xludf.DUMMYFUNCTION("""COMPUTED_VALUE"""),2.0)</f>
        <v>2</v>
      </c>
      <c r="AA247" s="16">
        <f>IFERROR(__xludf.DUMMYFUNCTION("""COMPUTED_VALUE"""),-4.0)</f>
        <v>-4</v>
      </c>
      <c r="AB247" s="16">
        <f>IFERROR(__xludf.DUMMYFUNCTION("""COMPUTED_VALUE"""),47.4)</f>
        <v>47.4</v>
      </c>
      <c r="AC247" s="16">
        <f>IFERROR(__xludf.DUMMYFUNCTION("""COMPUTED_VALUE"""),41.4)</f>
        <v>41.4</v>
      </c>
      <c r="AD247" s="16">
        <f>IFERROR(__xludf.DUMMYFUNCTION("""COMPUTED_VALUE"""),2.0)</f>
        <v>2</v>
      </c>
      <c r="AE247" s="16">
        <f>IFERROR(__xludf.DUMMYFUNCTION("""COMPUTED_VALUE"""),2.0)</f>
        <v>2</v>
      </c>
      <c r="AF247" s="16">
        <f>IFERROR(__xludf.DUMMYFUNCTION("""COMPUTED_VALUE"""),10.0)</f>
        <v>10</v>
      </c>
      <c r="AG247" s="16">
        <f>IFERROR(__xludf.DUMMYFUNCTION("""COMPUTED_VALUE"""),10.0)</f>
        <v>10</v>
      </c>
      <c r="AH247" s="16">
        <f>IFERROR(__xludf.DUMMYFUNCTION("""COMPUTED_VALUE"""),28.4)</f>
        <v>28.4</v>
      </c>
      <c r="AI247" s="16">
        <f>IFERROR(__xludf.DUMMYFUNCTION("""COMPUTED_VALUE"""),12.4)</f>
        <v>12.4</v>
      </c>
      <c r="AJ247" s="16">
        <f>IFERROR(__xludf.DUMMYFUNCTION("""COMPUTED_VALUE"""),0.0)</f>
        <v>0</v>
      </c>
      <c r="AK247" s="16">
        <f>IFERROR(__xludf.DUMMYFUNCTION("""COMPUTED_VALUE"""),-2.0)</f>
        <v>-2</v>
      </c>
      <c r="AL247" s="16">
        <f>IFERROR(__xludf.DUMMYFUNCTION("""COMPUTED_VALUE"""),0.0)</f>
        <v>0</v>
      </c>
      <c r="AM247" s="16">
        <f>IFERROR(__xludf.DUMMYFUNCTION("""COMPUTED_VALUE"""),-10.0)</f>
        <v>-10</v>
      </c>
      <c r="AN247" s="16">
        <f>IFERROR(__xludf.DUMMYFUNCTION("""COMPUTED_VALUE"""),0.0)</f>
        <v>0</v>
      </c>
      <c r="AO247" s="16">
        <f>IFERROR(__xludf.DUMMYFUNCTION("""COMPUTED_VALUE"""),0.0)</f>
        <v>0</v>
      </c>
      <c r="AP247" s="16">
        <f>IFERROR(__xludf.DUMMYFUNCTION("""COMPUTED_VALUE"""),-2.0)</f>
        <v>-2</v>
      </c>
      <c r="AQ247" s="16">
        <f>IFERROR(__xludf.DUMMYFUNCTION("""COMPUTED_VALUE"""),-3.0)</f>
        <v>-3</v>
      </c>
      <c r="AR247" s="16">
        <f>IFERROR(__xludf.DUMMYFUNCTION("""COMPUTED_VALUE"""),-4.0)</f>
        <v>-4</v>
      </c>
      <c r="AS247" s="16">
        <f>IFERROR(__xludf.DUMMYFUNCTION("""COMPUTED_VALUE"""),-6.0)</f>
        <v>-6</v>
      </c>
      <c r="AT247" s="16"/>
      <c r="AU247" s="16"/>
      <c r="AV247" s="16">
        <f>IFERROR(__xludf.DUMMYFUNCTION("""COMPUTED_VALUE"""),-3.0)</f>
        <v>-3</v>
      </c>
      <c r="AW247" s="16">
        <f>IFERROR(__xludf.DUMMYFUNCTION("""COMPUTED_VALUE"""),-3.0)</f>
        <v>-3</v>
      </c>
      <c r="AX247" s="16">
        <f>IFERROR(__xludf.DUMMYFUNCTION("""COMPUTED_VALUE"""),-3.0)</f>
        <v>-3</v>
      </c>
      <c r="AY247" s="16">
        <f>IFERROR(__xludf.DUMMYFUNCTION("""COMPUTED_VALUE"""),-3.0)</f>
        <v>-3</v>
      </c>
      <c r="AZ247" s="16">
        <f>IFERROR(__xludf.DUMMYFUNCTION("""COMPUTED_VALUE"""),-9.0)</f>
        <v>-9</v>
      </c>
      <c r="BA247" s="16">
        <f>IFERROR(__xludf.DUMMYFUNCTION("""COMPUTED_VALUE"""),-9.0)</f>
        <v>-9</v>
      </c>
      <c r="BB247" s="16">
        <f>IFERROR(__xludf.DUMMYFUNCTION("""COMPUTED_VALUE"""),5.0)</f>
        <v>5</v>
      </c>
      <c r="BC247" s="16">
        <f>IFERROR(__xludf.DUMMYFUNCTION("""COMPUTED_VALUE"""),5.0)</f>
        <v>5</v>
      </c>
      <c r="BD247" s="16">
        <f>IFERROR(__xludf.DUMMYFUNCTION("""COMPUTED_VALUE"""),1.0)</f>
        <v>1</v>
      </c>
      <c r="BE247" s="16">
        <f>IFERROR(__xludf.DUMMYFUNCTION("""COMPUTED_VALUE"""),1.0)</f>
        <v>1</v>
      </c>
      <c r="BF247" s="16">
        <f>IFERROR(__xludf.DUMMYFUNCTION("""COMPUTED_VALUE"""),1.0)</f>
        <v>1</v>
      </c>
      <c r="BG247" s="16">
        <f>IFERROR(__xludf.DUMMYFUNCTION("""COMPUTED_VALUE"""),1.0)</f>
        <v>1</v>
      </c>
      <c r="BH247" s="16">
        <f>IFERROR(__xludf.DUMMYFUNCTION("""COMPUTED_VALUE"""),-7.0)</f>
        <v>-7</v>
      </c>
      <c r="BI247" s="16">
        <f>IFERROR(__xludf.DUMMYFUNCTION("""COMPUTED_VALUE"""),-6.0)</f>
        <v>-6</v>
      </c>
      <c r="BJ247" s="16">
        <f>IFERROR(__xludf.DUMMYFUNCTION("""COMPUTED_VALUE"""),9.0)</f>
        <v>9</v>
      </c>
      <c r="BK247" s="16">
        <f>IFERROR(__xludf.DUMMYFUNCTION("""COMPUTED_VALUE"""),7.0)</f>
        <v>7</v>
      </c>
      <c r="BL247" s="16">
        <f>IFERROR(__xludf.DUMMYFUNCTION("""COMPUTED_VALUE"""),0.0)</f>
        <v>0</v>
      </c>
      <c r="BM247" s="16">
        <f>IFERROR(__xludf.DUMMYFUNCTION("""COMPUTED_VALUE"""),1.0)</f>
        <v>1</v>
      </c>
      <c r="BN247" s="16">
        <f>IFERROR(__xludf.DUMMYFUNCTION("""COMPUTED_VALUE"""),0.0)</f>
        <v>0</v>
      </c>
      <c r="BO247" s="16">
        <f>IFERROR(__xludf.DUMMYFUNCTION("""COMPUTED_VALUE"""),1.0)</f>
        <v>1</v>
      </c>
      <c r="BP247" s="16">
        <f>IFERROR(__xludf.DUMMYFUNCTION("""COMPUTED_VALUE"""),3.0)</f>
        <v>3</v>
      </c>
      <c r="BQ247" s="16">
        <f>IFERROR(__xludf.DUMMYFUNCTION("""COMPUTED_VALUE"""),-3.0)</f>
        <v>-3</v>
      </c>
      <c r="BR247" s="16">
        <f>IFERROR(__xludf.DUMMYFUNCTION("""COMPUTED_VALUE"""),0.0)</f>
        <v>0</v>
      </c>
      <c r="BS247" s="16" t="str">
        <f>IFERROR(__xludf.DUMMYFUNCTION("""COMPUTED_VALUE"""),"*2-6/- (19-15)")</f>
        <v>*2-6/- (19-15)</v>
      </c>
      <c r="BT247" s="16" t="str">
        <f>IFERROR(__xludf.DUMMYFUNCTION("""COMPUTED_VALUE"""),"A")</f>
        <v>A</v>
      </c>
      <c r="BU247" s="16">
        <f>IFERROR(__xludf.DUMMYFUNCTION("""COMPUTED_VALUE"""),17.0)</f>
        <v>17</v>
      </c>
      <c r="BV247" s="16">
        <f>IFERROR(__xludf.DUMMYFUNCTION("""COMPUTED_VALUE"""),2.0)</f>
        <v>2</v>
      </c>
      <c r="BW247" s="16">
        <f>IFERROR(__xludf.DUMMYFUNCTION("""COMPUTED_VALUE"""),3.0)</f>
        <v>3</v>
      </c>
      <c r="BX247" s="16">
        <f>IFERROR(__xludf.DUMMYFUNCTION("""COMPUTED_VALUE"""),4.0)</f>
        <v>4</v>
      </c>
      <c r="BY247" s="16">
        <f>IFERROR(__xludf.DUMMYFUNCTION("""COMPUTED_VALUE"""),9.0)</f>
        <v>9</v>
      </c>
      <c r="BZ247" s="16" t="str">
        <f>IFERROR(__xludf.DUMMYFUNCTION("""COMPUTED_VALUE"""),"B")</f>
        <v>B</v>
      </c>
      <c r="CA247" s="16" t="str">
        <f>IFERROR(__xludf.DUMMYFUNCTION("""COMPUTED_VALUE"""),"C")</f>
        <v>C</v>
      </c>
      <c r="CB247" s="16">
        <f>IFERROR(__xludf.DUMMYFUNCTION("""COMPUTED_VALUE"""),1.0)</f>
        <v>1</v>
      </c>
      <c r="CC247" s="16">
        <f>IFERROR(__xludf.DUMMYFUNCTION("""COMPUTED_VALUE"""),0.0)</f>
        <v>0</v>
      </c>
      <c r="CD247" s="16">
        <f>IFERROR(__xludf.DUMMYFUNCTION("""COMPUTED_VALUE"""),1.0)</f>
        <v>1</v>
      </c>
      <c r="CE247" s="16">
        <f>IFERROR(__xludf.DUMMYFUNCTION("""COMPUTED_VALUE"""),0.0)</f>
        <v>0</v>
      </c>
      <c r="CF247" s="16">
        <f>IFERROR(__xludf.DUMMYFUNCTION("""COMPUTED_VALUE"""),1.0)</f>
        <v>1</v>
      </c>
      <c r="CG247" s="16">
        <f>IFERROR(__xludf.DUMMYFUNCTION("""COMPUTED_VALUE"""),4.0)</f>
        <v>4</v>
      </c>
      <c r="CH247" s="16">
        <f>IFERROR(__xludf.DUMMYFUNCTION("""COMPUTED_VALUE"""),-14.0)</f>
        <v>-14</v>
      </c>
      <c r="CI247" s="179">
        <f>IFERROR(__xludf.DUMMYFUNCTION("""COMPUTED_VALUE"""),-4.0)</f>
        <v>-4</v>
      </c>
      <c r="CJ247" s="16"/>
      <c r="CK247" s="16"/>
      <c r="CL247" s="16">
        <f>IFERROR(__xludf.DUMMYFUNCTION("""COMPUTED_VALUE"""),471.0)</f>
        <v>471</v>
      </c>
      <c r="CM247" s="16"/>
      <c r="CN247" s="16">
        <f>IFERROR(__xludf.DUMMYFUNCTION("""COMPUTED_VALUE"""),327.0)</f>
        <v>327</v>
      </c>
      <c r="CO247" s="16"/>
      <c r="CP247" s="16"/>
      <c r="CQ247" s="16"/>
      <c r="CR247" s="16" t="str">
        <f>IFERROR(__xludf.DUMMYFUNCTION("""COMPUTED_VALUE"""),"ss-3e27 2b-4e71")</f>
        <v>ss-3e27 2b-4e71</v>
      </c>
      <c r="CS247" s="16"/>
      <c r="CT247" s="16"/>
      <c r="CU247" s="16">
        <f>IFERROR(__xludf.DUMMYFUNCTION("""COMPUTED_VALUE"""),4.0)</f>
        <v>4</v>
      </c>
      <c r="CV247" s="16"/>
      <c r="CW247" s="16">
        <f>IFERROR(__xludf.DUMMYFUNCTION("""COMPUTED_VALUE"""),3.0)</f>
        <v>3</v>
      </c>
      <c r="CX247" s="16"/>
      <c r="CY247" s="16"/>
      <c r="CZ247" s="16"/>
      <c r="DA247" s="16"/>
      <c r="DB247" s="16"/>
      <c r="DC247" s="16">
        <f>IFERROR(__xludf.DUMMYFUNCTION("""COMPUTED_VALUE"""),71.0)</f>
        <v>71</v>
      </c>
      <c r="DD247" s="16"/>
      <c r="DE247" s="16">
        <f>IFERROR(__xludf.DUMMYFUNCTION("""COMPUTED_VALUE"""),27.0)</f>
        <v>27</v>
      </c>
      <c r="DF247" s="16"/>
      <c r="DG247" s="16"/>
      <c r="DH247" s="16"/>
      <c r="DI247" s="16"/>
      <c r="DJ247" s="16"/>
      <c r="DK247" s="16">
        <f>IFERROR(__xludf.DUMMYFUNCTION("""COMPUTED_VALUE"""),-2.0)</f>
        <v>-2</v>
      </c>
      <c r="DL247" s="16"/>
      <c r="DM247" s="16">
        <f>IFERROR(__xludf.DUMMYFUNCTION("""COMPUTED_VALUE"""),0.0)</f>
        <v>0</v>
      </c>
      <c r="DN247" s="16"/>
      <c r="DO247" s="16"/>
      <c r="DP247" s="16"/>
      <c r="DQ247" s="16"/>
      <c r="DR247" s="16"/>
      <c r="DS247" s="16">
        <f>IFERROR(__xludf.DUMMYFUNCTION("""COMPUTED_VALUE"""),-2.0)</f>
        <v>-2</v>
      </c>
      <c r="DT247" s="16"/>
      <c r="DU247" s="16">
        <f>IFERROR(__xludf.DUMMYFUNCTION("""COMPUTED_VALUE"""),-2.0)</f>
        <v>-2</v>
      </c>
      <c r="DV247" s="16"/>
      <c r="DW247" s="16"/>
      <c r="DX247" s="16"/>
      <c r="DY247" s="16"/>
      <c r="DZ247" s="16"/>
      <c r="EA247" s="16">
        <f>IFERROR(__xludf.DUMMYFUNCTION("""COMPUTED_VALUE"""),-4.0)</f>
        <v>-4</v>
      </c>
      <c r="EB247" s="16"/>
      <c r="EC247" s="16">
        <f>IFERROR(__xludf.DUMMYFUNCTION("""COMPUTED_VALUE"""),-2.0)</f>
        <v>-2</v>
      </c>
      <c r="ED247" s="16"/>
      <c r="EE247" s="16"/>
      <c r="EF247" s="16"/>
      <c r="EG247" s="179"/>
      <c r="EH247" s="179"/>
      <c r="EI247" s="179">
        <f>IFERROR(__xludf.DUMMYFUNCTION("""COMPUTED_VALUE"""),-8.0)</f>
        <v>-8</v>
      </c>
      <c r="EJ247" s="179"/>
      <c r="EK247" s="179">
        <f>IFERROR(__xludf.DUMMYFUNCTION("""COMPUTED_VALUE"""),-6.0)</f>
        <v>-6</v>
      </c>
      <c r="EL247" s="179"/>
      <c r="EM247" s="179"/>
      <c r="EN247" s="179"/>
      <c r="EO247" s="16"/>
      <c r="EP247" s="16">
        <f>IFERROR(__xludf.DUMMYFUNCTION("""COMPUTED_VALUE"""),3.1)</f>
        <v>3.1</v>
      </c>
      <c r="EQ247" s="16">
        <f>IFERROR(__xludf.DUMMYFUNCTION("""COMPUTED_VALUE"""),4.0)</f>
        <v>4</v>
      </c>
      <c r="ER247" s="16">
        <f>IFERROR(__xludf.DUMMYFUNCTION("""COMPUTED_VALUE"""),-2.0)</f>
        <v>-2</v>
      </c>
      <c r="ES247" s="16"/>
      <c r="ET247" s="16"/>
      <c r="EU247" s="16"/>
      <c r="EV247" s="16"/>
      <c r="EW247" s="16"/>
      <c r="EX247" s="180"/>
      <c r="EY247" s="180"/>
      <c r="EZ247" s="180">
        <f>IFERROR(__xludf.DUMMYFUNCTION("""COMPUTED_VALUE"""),0.3)</f>
        <v>0.3</v>
      </c>
      <c r="FA247" s="180"/>
      <c r="FB247" s="180">
        <f>IFERROR(__xludf.DUMMYFUNCTION("""COMPUTED_VALUE"""),0.2)</f>
        <v>0.2</v>
      </c>
      <c r="FC247" s="180"/>
      <c r="FD247" s="180"/>
      <c r="FE247" s="180"/>
      <c r="FF247" s="180"/>
      <c r="FG247" s="180"/>
      <c r="FH247" s="180">
        <f>IFERROR(__xludf.DUMMYFUNCTION("""COMPUTED_VALUE"""),0.42592592592592593)</f>
        <v>0.4259259259</v>
      </c>
      <c r="FI247" s="180"/>
      <c r="FJ247" s="180">
        <f>IFERROR(__xludf.DUMMYFUNCTION("""COMPUTED_VALUE"""),0.1388888888888889)</f>
        <v>0.1388888889</v>
      </c>
      <c r="FK247" s="180"/>
      <c r="FL247" s="180"/>
      <c r="FM247" s="180"/>
      <c r="FN247" s="16"/>
      <c r="FO247" s="16"/>
      <c r="FP247" s="16">
        <f>IFERROR(__xludf.DUMMYFUNCTION("""COMPUTED_VALUE"""),0.40185185185185185)</f>
        <v>0.4018518519</v>
      </c>
      <c r="FQ247" s="16"/>
      <c r="FR247" s="16">
        <f>IFERROR(__xludf.DUMMYFUNCTION("""COMPUTED_VALUE"""),0.688888888888889)</f>
        <v>0.6888888889</v>
      </c>
      <c r="FS247" s="16"/>
      <c r="FT247" s="16"/>
      <c r="FU247" s="16"/>
      <c r="FV247" s="16"/>
      <c r="FW247" s="16"/>
      <c r="FX247" s="16">
        <f>IFERROR(__xludf.DUMMYFUNCTION("""COMPUTED_VALUE"""),-8.0)</f>
        <v>-8</v>
      </c>
      <c r="FY247" s="16"/>
      <c r="FZ247" s="16">
        <f>IFERROR(__xludf.DUMMYFUNCTION("""COMPUTED_VALUE"""),-4.0)</f>
        <v>-4</v>
      </c>
      <c r="GA247" s="16"/>
      <c r="GB247" s="16"/>
      <c r="GC247" s="16"/>
      <c r="GD247" s="16" t="s">
        <v>176</v>
      </c>
    </row>
    <row r="248">
      <c r="A248" s="16">
        <f>IFERROR(__xludf.DUMMYFUNCTION("""COMPUTED_VALUE"""),12948.0)</f>
        <v>12948</v>
      </c>
      <c r="B248" s="16" t="str">
        <f>IFERROR(__xludf.DUMMYFUNCTION("""COMPUTED_VALUE"""),"Jeimer Candelario")</f>
        <v>Jeimer Candelario</v>
      </c>
      <c r="C248" s="16">
        <f>IFERROR(__xludf.DUMMYFUNCTION("""COMPUTED_VALUE"""),0.0)</f>
        <v>0</v>
      </c>
      <c r="D248" s="16" t="str">
        <f>IFERROR(__xludf.DUMMYFUNCTION("""COMPUTED_VALUE"""),"S")</f>
        <v>S</v>
      </c>
      <c r="E248" s="16"/>
      <c r="F248" s="16"/>
      <c r="G248" s="16">
        <f>IFERROR(__xludf.DUMMYFUNCTION("""COMPUTED_VALUE"""),427.0)</f>
        <v>427</v>
      </c>
      <c r="H248" s="16">
        <f>IFERROR(__xludf.DUMMYFUNCTION("""COMPUTED_VALUE"""),27.0)</f>
        <v>27</v>
      </c>
      <c r="I248" s="16" t="str">
        <f>IFERROR(__xludf.DUMMYFUNCTION("""COMPUTED_VALUE"""),"3p50")</f>
        <v>3p50</v>
      </c>
      <c r="J248" s="16">
        <f>IFERROR(__xludf.DUMMYFUNCTION("""COMPUTED_VALUE"""),28.0)</f>
        <v>28</v>
      </c>
      <c r="K248" s="16">
        <f>IFERROR(__xludf.DUMMYFUNCTION("""COMPUTED_VALUE"""),30.0)</f>
        <v>30</v>
      </c>
      <c r="L248" s="16">
        <f>IFERROR(__xludf.DUMMYFUNCTION("""COMPUTED_VALUE"""),0.0)</f>
        <v>0</v>
      </c>
      <c r="M248" s="16">
        <f>IFERROR(__xludf.DUMMYFUNCTION("""COMPUTED_VALUE"""),-1.0)</f>
        <v>-1</v>
      </c>
      <c r="N248" s="16">
        <f>IFERROR(__xludf.DUMMYFUNCTION("""COMPUTED_VALUE"""),0.0)</f>
        <v>0</v>
      </c>
      <c r="O248" s="16">
        <f>IFERROR(__xludf.DUMMYFUNCTION("""COMPUTED_VALUE"""),-1.0)</f>
        <v>-1</v>
      </c>
      <c r="P248" s="16">
        <f>IFERROR(__xludf.DUMMYFUNCTION("""COMPUTED_VALUE"""),12.0)</f>
        <v>12</v>
      </c>
      <c r="Q248" s="16">
        <f>IFERROR(__xludf.DUMMYFUNCTION("""COMPUTED_VALUE"""),0.0)</f>
        <v>0</v>
      </c>
      <c r="R248" s="16">
        <f>IFERROR(__xludf.DUMMYFUNCTION("""COMPUTED_VALUE"""),1.0)</f>
        <v>1</v>
      </c>
      <c r="S248" s="16">
        <f>IFERROR(__xludf.DUMMYFUNCTION("""COMPUTED_VALUE"""),-2.0)</f>
        <v>-2</v>
      </c>
      <c r="T248" s="16">
        <f>IFERROR(__xludf.DUMMYFUNCTION("""COMPUTED_VALUE"""),1.0)</f>
        <v>1</v>
      </c>
      <c r="U248" s="16">
        <f>IFERROR(__xludf.DUMMYFUNCTION("""COMPUTED_VALUE"""),-2.0)</f>
        <v>-2</v>
      </c>
      <c r="V248" s="16">
        <f>IFERROR(__xludf.DUMMYFUNCTION("""COMPUTED_VALUE"""),14.0)</f>
        <v>14</v>
      </c>
      <c r="W248" s="16">
        <f>IFERROR(__xludf.DUMMYFUNCTION("""COMPUTED_VALUE"""),16.0)</f>
        <v>16</v>
      </c>
      <c r="X248" s="16">
        <f>IFERROR(__xludf.DUMMYFUNCTION("""COMPUTED_VALUE"""),-1.0)</f>
        <v>-1</v>
      </c>
      <c r="Y248" s="16">
        <f>IFERROR(__xludf.DUMMYFUNCTION("""COMPUTED_VALUE"""),-1.0)</f>
        <v>-1</v>
      </c>
      <c r="Z248" s="16">
        <f>IFERROR(__xludf.DUMMYFUNCTION("""COMPUTED_VALUE"""),-2.0)</f>
        <v>-2</v>
      </c>
      <c r="AA248" s="16">
        <f>IFERROR(__xludf.DUMMYFUNCTION("""COMPUTED_VALUE"""),-2.0)</f>
        <v>-2</v>
      </c>
      <c r="AB248" s="16">
        <f>IFERROR(__xludf.DUMMYFUNCTION("""COMPUTED_VALUE"""),29.0)</f>
        <v>29</v>
      </c>
      <c r="AC248" s="16">
        <f>IFERROR(__xludf.DUMMYFUNCTION("""COMPUTED_VALUE"""),19.0)</f>
        <v>19</v>
      </c>
      <c r="AD248" s="16">
        <f>IFERROR(__xludf.DUMMYFUNCTION("""COMPUTED_VALUE"""),0.0)</f>
        <v>0</v>
      </c>
      <c r="AE248" s="16">
        <f>IFERROR(__xludf.DUMMYFUNCTION("""COMPUTED_VALUE"""),-2.0)</f>
        <v>-2</v>
      </c>
      <c r="AF248" s="16">
        <f>IFERROR(__xludf.DUMMYFUNCTION("""COMPUTED_VALUE"""),0.0)</f>
        <v>0</v>
      </c>
      <c r="AG248" s="16">
        <f>IFERROR(__xludf.DUMMYFUNCTION("""COMPUTED_VALUE"""),-10.0)</f>
        <v>-10</v>
      </c>
      <c r="AH248" s="16">
        <f>IFERROR(__xludf.DUMMYFUNCTION("""COMPUTED_VALUE"""),23.3)</f>
        <v>23.3</v>
      </c>
      <c r="AI248" s="16">
        <f>IFERROR(__xludf.DUMMYFUNCTION("""COMPUTED_VALUE"""),36.2)</f>
        <v>36.2</v>
      </c>
      <c r="AJ248" s="16">
        <f>IFERROR(__xludf.DUMMYFUNCTION("""COMPUTED_VALUE"""),-1.0)</f>
        <v>-1</v>
      </c>
      <c r="AK248" s="16">
        <f>IFERROR(__xludf.DUMMYFUNCTION("""COMPUTED_VALUE"""),0.0)</f>
        <v>0</v>
      </c>
      <c r="AL248" s="16">
        <f>IFERROR(__xludf.DUMMYFUNCTION("""COMPUTED_VALUE"""),-5.0)</f>
        <v>-5</v>
      </c>
      <c r="AM248" s="16">
        <f>IFERROR(__xludf.DUMMYFUNCTION("""COMPUTED_VALUE"""),0.0)</f>
        <v>0</v>
      </c>
      <c r="AN248" s="16">
        <f>IFERROR(__xludf.DUMMYFUNCTION("""COMPUTED_VALUE"""),1.0)</f>
        <v>1</v>
      </c>
      <c r="AO248" s="16">
        <f>IFERROR(__xludf.DUMMYFUNCTION("""COMPUTED_VALUE"""),4.5)</f>
        <v>4.5</v>
      </c>
      <c r="AP248" s="16">
        <f>IFERROR(__xludf.DUMMYFUNCTION("""COMPUTED_VALUE"""),-2.0)</f>
        <v>-2</v>
      </c>
      <c r="AQ248" s="16">
        <f>IFERROR(__xludf.DUMMYFUNCTION("""COMPUTED_VALUE"""),2.0)</f>
        <v>2</v>
      </c>
      <c r="AR248" s="16">
        <f>IFERROR(__xludf.DUMMYFUNCTION("""COMPUTED_VALUE"""),-4.0)</f>
        <v>-4</v>
      </c>
      <c r="AS248" s="16">
        <f>IFERROR(__xludf.DUMMYFUNCTION("""COMPUTED_VALUE"""),4.0)</f>
        <v>4</v>
      </c>
      <c r="AT248" s="16">
        <f>IFERROR(__xludf.DUMMYFUNCTION("""COMPUTED_VALUE"""),0.0)</f>
        <v>0</v>
      </c>
      <c r="AU248" s="16">
        <f>IFERROR(__xludf.DUMMYFUNCTION("""COMPUTED_VALUE"""),5.0)</f>
        <v>5</v>
      </c>
      <c r="AV248" s="16">
        <f>IFERROR(__xludf.DUMMYFUNCTION("""COMPUTED_VALUE"""),0.0)</f>
        <v>0</v>
      </c>
      <c r="AW248" s="16">
        <f>IFERROR(__xludf.DUMMYFUNCTION("""COMPUTED_VALUE"""),5.0)</f>
        <v>5</v>
      </c>
      <c r="AX248" s="16">
        <f>IFERROR(__xludf.DUMMYFUNCTION("""COMPUTED_VALUE"""),-2.0)</f>
        <v>-2</v>
      </c>
      <c r="AY248" s="16">
        <f>IFERROR(__xludf.DUMMYFUNCTION("""COMPUTED_VALUE"""),2.0)</f>
        <v>2</v>
      </c>
      <c r="AZ248" s="16">
        <f>IFERROR(__xludf.DUMMYFUNCTION("""COMPUTED_VALUE"""),-6.0)</f>
        <v>-6</v>
      </c>
      <c r="BA248" s="16">
        <f>IFERROR(__xludf.DUMMYFUNCTION("""COMPUTED_VALUE"""),6.0)</f>
        <v>6</v>
      </c>
      <c r="BB248" s="16">
        <f>IFERROR(__xludf.DUMMYFUNCTION("""COMPUTED_VALUE"""),5.0)</f>
        <v>5</v>
      </c>
      <c r="BC248" s="16">
        <f>IFERROR(__xludf.DUMMYFUNCTION("""COMPUTED_VALUE"""),5.0)</f>
        <v>5</v>
      </c>
      <c r="BD248" s="16">
        <f>IFERROR(__xludf.DUMMYFUNCTION("""COMPUTED_VALUE"""),1.0)</f>
        <v>1</v>
      </c>
      <c r="BE248" s="16">
        <f>IFERROR(__xludf.DUMMYFUNCTION("""COMPUTED_VALUE"""),1.0)</f>
        <v>1</v>
      </c>
      <c r="BF248" s="16">
        <f>IFERROR(__xludf.DUMMYFUNCTION("""COMPUTED_VALUE"""),1.0)</f>
        <v>1</v>
      </c>
      <c r="BG248" s="16">
        <f>IFERROR(__xludf.DUMMYFUNCTION("""COMPUTED_VALUE"""),1.0)</f>
        <v>1</v>
      </c>
      <c r="BH248" s="16">
        <f>IFERROR(__xludf.DUMMYFUNCTION("""COMPUTED_VALUE"""),-5.0)</f>
        <v>-5</v>
      </c>
      <c r="BI248" s="16">
        <f>IFERROR(__xludf.DUMMYFUNCTION("""COMPUTED_VALUE"""),-4.0)</f>
        <v>-4</v>
      </c>
      <c r="BJ248" s="16">
        <f>IFERROR(__xludf.DUMMYFUNCTION("""COMPUTED_VALUE"""),10.0)</f>
        <v>10</v>
      </c>
      <c r="BK248" s="16">
        <f>IFERROR(__xludf.DUMMYFUNCTION("""COMPUTED_VALUE"""),13.0)</f>
        <v>13</v>
      </c>
      <c r="BL248" s="16">
        <f>IFERROR(__xludf.DUMMYFUNCTION("""COMPUTED_VALUE"""),0.0)</f>
        <v>0</v>
      </c>
      <c r="BM248" s="16">
        <f>IFERROR(__xludf.DUMMYFUNCTION("""COMPUTED_VALUE"""),0.0)</f>
        <v>0</v>
      </c>
      <c r="BN248" s="16">
        <f>IFERROR(__xludf.DUMMYFUNCTION("""COMPUTED_VALUE"""),0.0)</f>
        <v>0</v>
      </c>
      <c r="BO248" s="16">
        <f>IFERROR(__xludf.DUMMYFUNCTION("""COMPUTED_VALUE"""),0.0)</f>
        <v>0</v>
      </c>
      <c r="BP248" s="16">
        <f>IFERROR(__xludf.DUMMYFUNCTION("""COMPUTED_VALUE"""),-4.0)</f>
        <v>-4</v>
      </c>
      <c r="BQ248" s="16">
        <f>IFERROR(__xludf.DUMMYFUNCTION("""COMPUTED_VALUE"""),-1.0)</f>
        <v>-1</v>
      </c>
      <c r="BR248" s="16">
        <f>IFERROR(__xludf.DUMMYFUNCTION("""COMPUTED_VALUE"""),-5.0)</f>
        <v>-5</v>
      </c>
      <c r="BS248" s="16" t="str">
        <f>IFERROR(__xludf.DUMMYFUNCTION("""COMPUTED_VALUE"""),"3-6/11 (13-7)")</f>
        <v>3-6/11 (13-7)</v>
      </c>
      <c r="BT248" s="16" t="str">
        <f>IFERROR(__xludf.DUMMYFUNCTION("""COMPUTED_VALUE"""),"D")</f>
        <v>D</v>
      </c>
      <c r="BU248" s="16">
        <f>IFERROR(__xludf.DUMMYFUNCTION("""COMPUTED_VALUE"""),12.0)</f>
        <v>12</v>
      </c>
      <c r="BV248" s="16">
        <f>IFERROR(__xludf.DUMMYFUNCTION("""COMPUTED_VALUE"""),0.0)</f>
        <v>0</v>
      </c>
      <c r="BW248" s="16">
        <f>IFERROR(__xludf.DUMMYFUNCTION("""COMPUTED_VALUE"""),0.0)</f>
        <v>0</v>
      </c>
      <c r="BX248" s="16">
        <f>IFERROR(__xludf.DUMMYFUNCTION("""COMPUTED_VALUE"""),0.0)</f>
        <v>0</v>
      </c>
      <c r="BY248" s="16">
        <f>IFERROR(__xludf.DUMMYFUNCTION("""COMPUTED_VALUE"""),0.0)</f>
        <v>0</v>
      </c>
      <c r="BZ248" s="16" t="str">
        <f>IFERROR(__xludf.DUMMYFUNCTION("""COMPUTED_VALUE"""),"D")</f>
        <v>D</v>
      </c>
      <c r="CA248" s="16" t="str">
        <f>IFERROR(__xludf.DUMMYFUNCTION("""COMPUTED_VALUE"""),"B")</f>
        <v>B</v>
      </c>
      <c r="CB248" s="16">
        <f>IFERROR(__xludf.DUMMYFUNCTION("""COMPUTED_VALUE"""),0.0)</f>
        <v>0</v>
      </c>
      <c r="CC248" s="16">
        <f>IFERROR(__xludf.DUMMYFUNCTION("""COMPUTED_VALUE"""),1.0)</f>
        <v>1</v>
      </c>
      <c r="CD248" s="16">
        <f>IFERROR(__xludf.DUMMYFUNCTION("""COMPUTED_VALUE"""),0.0)</f>
        <v>0</v>
      </c>
      <c r="CE248" s="16">
        <f>IFERROR(__xludf.DUMMYFUNCTION("""COMPUTED_VALUE"""),2.0)</f>
        <v>2</v>
      </c>
      <c r="CF248" s="16">
        <f>IFERROR(__xludf.DUMMYFUNCTION("""COMPUTED_VALUE"""),3.0)</f>
        <v>3</v>
      </c>
      <c r="CG248" s="16">
        <f>IFERROR(__xludf.DUMMYFUNCTION("""COMPUTED_VALUE"""),-15.0)</f>
        <v>-15</v>
      </c>
      <c r="CH248" s="16">
        <f>IFERROR(__xludf.DUMMYFUNCTION("""COMPUTED_VALUE"""),-4.0)</f>
        <v>-4</v>
      </c>
      <c r="CI248" s="179">
        <f>IFERROR(__xludf.DUMMYFUNCTION("""COMPUTED_VALUE"""),-5.0)</f>
        <v>-5</v>
      </c>
      <c r="CJ248" s="16"/>
      <c r="CK248" s="16">
        <f>IFERROR(__xludf.DUMMYFUNCTION("""COMPUTED_VALUE"""),312.0)</f>
        <v>312</v>
      </c>
      <c r="CL248" s="16"/>
      <c r="CM248" s="16">
        <f>IFERROR(__xludf.DUMMYFUNCTION("""COMPUTED_VALUE"""),428.0)</f>
        <v>428</v>
      </c>
      <c r="CN248" s="16"/>
      <c r="CO248" s="16"/>
      <c r="CP248" s="16"/>
      <c r="CQ248" s="16"/>
      <c r="CR248" s="16" t="str">
        <f>IFERROR(__xludf.DUMMYFUNCTION("""COMPUTED_VALUE"""),"3b-4e28 1b-3e12")</f>
        <v>3b-4e28 1b-3e12</v>
      </c>
      <c r="CS248" s="16"/>
      <c r="CT248" s="16">
        <f>IFERROR(__xludf.DUMMYFUNCTION("""COMPUTED_VALUE"""),3.0)</f>
        <v>3</v>
      </c>
      <c r="CU248" s="16"/>
      <c r="CV248" s="16">
        <f>IFERROR(__xludf.DUMMYFUNCTION("""COMPUTED_VALUE"""),4.0)</f>
        <v>4</v>
      </c>
      <c r="CW248" s="16"/>
      <c r="CX248" s="16"/>
      <c r="CY248" s="16"/>
      <c r="CZ248" s="16"/>
      <c r="DA248" s="16"/>
      <c r="DB248" s="16">
        <f>IFERROR(__xludf.DUMMYFUNCTION("""COMPUTED_VALUE"""),12.0)</f>
        <v>12</v>
      </c>
      <c r="DC248" s="16"/>
      <c r="DD248" s="16">
        <f>IFERROR(__xludf.DUMMYFUNCTION("""COMPUTED_VALUE"""),28.0)</f>
        <v>28</v>
      </c>
      <c r="DE248" s="16"/>
      <c r="DF248" s="16"/>
      <c r="DG248" s="16"/>
      <c r="DH248" s="16"/>
      <c r="DI248" s="16"/>
      <c r="DJ248" s="16">
        <f>IFERROR(__xludf.DUMMYFUNCTION("""COMPUTED_VALUE"""),1.0)</f>
        <v>1</v>
      </c>
      <c r="DK248" s="16"/>
      <c r="DL248" s="16">
        <f>IFERROR(__xludf.DUMMYFUNCTION("""COMPUTED_VALUE"""),0.0)</f>
        <v>0</v>
      </c>
      <c r="DM248" s="16"/>
      <c r="DN248" s="16"/>
      <c r="DO248" s="16"/>
      <c r="DP248" s="16"/>
      <c r="DQ248" s="16"/>
      <c r="DR248" s="16">
        <f>IFERROR(__xludf.DUMMYFUNCTION("""COMPUTED_VALUE"""),1.0)</f>
        <v>1</v>
      </c>
      <c r="DS248" s="16"/>
      <c r="DT248" s="16">
        <f>IFERROR(__xludf.DUMMYFUNCTION("""COMPUTED_VALUE"""),-2.0)</f>
        <v>-2</v>
      </c>
      <c r="DU248" s="16"/>
      <c r="DV248" s="16"/>
      <c r="DW248" s="16"/>
      <c r="DX248" s="16"/>
      <c r="DY248" s="16"/>
      <c r="DZ248" s="16">
        <f>IFERROR(__xludf.DUMMYFUNCTION("""COMPUTED_VALUE"""),2.0)</f>
        <v>2</v>
      </c>
      <c r="EA248" s="16"/>
      <c r="EB248" s="16">
        <f>IFERROR(__xludf.DUMMYFUNCTION("""COMPUTED_VALUE"""),-2.0)</f>
        <v>-2</v>
      </c>
      <c r="EC248" s="16"/>
      <c r="ED248" s="16"/>
      <c r="EE248" s="16"/>
      <c r="EF248" s="16"/>
      <c r="EG248" s="179"/>
      <c r="EH248" s="179">
        <f>IFERROR(__xludf.DUMMYFUNCTION("""COMPUTED_VALUE"""),-3.0)</f>
        <v>-3</v>
      </c>
      <c r="EI248" s="179"/>
      <c r="EJ248" s="179">
        <f>IFERROR(__xludf.DUMMYFUNCTION("""COMPUTED_VALUE"""),-7.0)</f>
        <v>-7</v>
      </c>
      <c r="EK248" s="179"/>
      <c r="EL248" s="179"/>
      <c r="EM248" s="179"/>
      <c r="EN248" s="179"/>
      <c r="EO248" s="16"/>
      <c r="EP248" s="16"/>
      <c r="EQ248" s="16">
        <f>IFERROR(__xludf.DUMMYFUNCTION("""COMPUTED_VALUE"""),1.0)</f>
        <v>1</v>
      </c>
      <c r="ER248" s="16">
        <f>IFERROR(__xludf.DUMMYFUNCTION("""COMPUTED_VALUE"""),0.0)</f>
        <v>0</v>
      </c>
      <c r="ES248" s="16"/>
      <c r="ET248" s="16"/>
      <c r="EU248" s="16"/>
      <c r="EV248" s="16"/>
      <c r="EW248" s="16"/>
      <c r="EX248" s="180"/>
      <c r="EY248" s="180">
        <f>IFERROR(__xludf.DUMMYFUNCTION("""COMPUTED_VALUE"""),0.2)</f>
        <v>0.2</v>
      </c>
      <c r="EZ248" s="180"/>
      <c r="FA248" s="180">
        <f>IFERROR(__xludf.DUMMYFUNCTION("""COMPUTED_VALUE"""),0.3)</f>
        <v>0.3</v>
      </c>
      <c r="FB248" s="180"/>
      <c r="FC248" s="180"/>
      <c r="FD248" s="180"/>
      <c r="FE248" s="180"/>
      <c r="FF248" s="180"/>
      <c r="FG248" s="180">
        <f>IFERROR(__xludf.DUMMYFUNCTION("""COMPUTED_VALUE"""),0.2175925925925926)</f>
        <v>0.2175925926</v>
      </c>
      <c r="FH248" s="180"/>
      <c r="FI248" s="180">
        <f>IFERROR(__xludf.DUMMYFUNCTION("""COMPUTED_VALUE"""),0.33796296296296297)</f>
        <v>0.337962963</v>
      </c>
      <c r="FJ248" s="180"/>
      <c r="FK248" s="180"/>
      <c r="FL248" s="180"/>
      <c r="FM248" s="180"/>
      <c r="FN248" s="16"/>
      <c r="FO248" s="16">
        <f>IFERROR(__xludf.DUMMYFUNCTION("""COMPUTED_VALUE"""),0.625925925925926)</f>
        <v>0.6259259259</v>
      </c>
      <c r="FP248" s="16"/>
      <c r="FQ248" s="16">
        <f>IFERROR(__xludf.DUMMYFUNCTION("""COMPUTED_VALUE"""),0.46342592592592585)</f>
        <v>0.4634259259</v>
      </c>
      <c r="FR248" s="16"/>
      <c r="FS248" s="16"/>
      <c r="FT248" s="16"/>
      <c r="FU248" s="16"/>
      <c r="FV248" s="16"/>
      <c r="FW248" s="16">
        <f>IFERROR(__xludf.DUMMYFUNCTION("""COMPUTED_VALUE"""),-6.0)</f>
        <v>-6</v>
      </c>
      <c r="FX248" s="16"/>
      <c r="FY248" s="16">
        <f>IFERROR(__xludf.DUMMYFUNCTION("""COMPUTED_VALUE"""),-8.0)</f>
        <v>-8</v>
      </c>
      <c r="FZ248" s="16"/>
      <c r="GA248" s="16"/>
      <c r="GB248" s="16"/>
      <c r="GC248" s="16"/>
      <c r="GD248" s="16" t="s">
        <v>176</v>
      </c>
    </row>
    <row r="249">
      <c r="A249" s="16">
        <f>IFERROR(__xludf.DUMMYFUNCTION("""COMPUTED_VALUE"""),12607.0)</f>
        <v>12607</v>
      </c>
      <c r="B249" s="16" t="str">
        <f>IFERROR(__xludf.DUMMYFUNCTION("""COMPUTED_VALUE"""),"Brendan Rodgers")</f>
        <v>Brendan Rodgers</v>
      </c>
      <c r="C249" s="16">
        <f>IFERROR(__xludf.DUMMYFUNCTION("""COMPUTED_VALUE"""),0.59)</f>
        <v>0.59</v>
      </c>
      <c r="D249" s="16" t="str">
        <f>IFERROR(__xludf.DUMMYFUNCTION("""COMPUTED_VALUE"""),"R")</f>
        <v>R</v>
      </c>
      <c r="E249" s="16"/>
      <c r="F249" s="16"/>
      <c r="G249" s="16">
        <f>IFERROR(__xludf.DUMMYFUNCTION("""COMPUTED_VALUE"""),501.0)</f>
        <v>501</v>
      </c>
      <c r="H249" s="16">
        <f>IFERROR(__xludf.DUMMYFUNCTION("""COMPUTED_VALUE"""),31.0)</f>
        <v>31</v>
      </c>
      <c r="I249" s="16" t="str">
        <f>IFERROR(__xludf.DUMMYFUNCTION("""COMPUTED_VALUE"""),"1p60")</f>
        <v>1p60</v>
      </c>
      <c r="J249" s="16">
        <f>IFERROR(__xludf.DUMMYFUNCTION("""COMPUTED_VALUE"""),20.0)</f>
        <v>20</v>
      </c>
      <c r="K249" s="16">
        <f>IFERROR(__xludf.DUMMYFUNCTION("""COMPUTED_VALUE"""),30.0)</f>
        <v>30</v>
      </c>
      <c r="L249" s="16">
        <f>IFERROR(__xludf.DUMMYFUNCTION("""COMPUTED_VALUE"""),0.0)</f>
        <v>0</v>
      </c>
      <c r="M249" s="16">
        <f>IFERROR(__xludf.DUMMYFUNCTION("""COMPUTED_VALUE"""),-1.0)</f>
        <v>-1</v>
      </c>
      <c r="N249" s="16">
        <f>IFERROR(__xludf.DUMMYFUNCTION("""COMPUTED_VALUE"""),0.0)</f>
        <v>0</v>
      </c>
      <c r="O249" s="16">
        <f>IFERROR(__xludf.DUMMYFUNCTION("""COMPUTED_VALUE"""),-1.0)</f>
        <v>-1</v>
      </c>
      <c r="P249" s="16">
        <f>IFERROR(__xludf.DUMMYFUNCTION("""COMPUTED_VALUE"""),7.0)</f>
        <v>7</v>
      </c>
      <c r="Q249" s="16">
        <f>IFERROR(__xludf.DUMMYFUNCTION("""COMPUTED_VALUE"""),3.0)</f>
        <v>3</v>
      </c>
      <c r="R249" s="16">
        <f>IFERROR(__xludf.DUMMYFUNCTION("""COMPUTED_VALUE"""),-1.0)</f>
        <v>-1</v>
      </c>
      <c r="S249" s="16">
        <f>IFERROR(__xludf.DUMMYFUNCTION("""COMPUTED_VALUE"""),-2.0)</f>
        <v>-2</v>
      </c>
      <c r="T249" s="16">
        <f>IFERROR(__xludf.DUMMYFUNCTION("""COMPUTED_VALUE"""),-1.0)</f>
        <v>-1</v>
      </c>
      <c r="U249" s="16">
        <f>IFERROR(__xludf.DUMMYFUNCTION("""COMPUTED_VALUE"""),-2.0)</f>
        <v>-2</v>
      </c>
      <c r="V249" s="16">
        <f>IFERROR(__xludf.DUMMYFUNCTION("""COMPUTED_VALUE"""),32.6)</f>
        <v>32.6</v>
      </c>
      <c r="W249" s="16">
        <f>IFERROR(__xludf.DUMMYFUNCTION("""COMPUTED_VALUE"""),23.0)</f>
        <v>23</v>
      </c>
      <c r="X249" s="16">
        <f>IFERROR(__xludf.DUMMYFUNCTION("""COMPUTED_VALUE"""),2.0)</f>
        <v>2</v>
      </c>
      <c r="Y249" s="16">
        <f>IFERROR(__xludf.DUMMYFUNCTION("""COMPUTED_VALUE"""),1.0)</f>
        <v>1</v>
      </c>
      <c r="Z249" s="16">
        <f>IFERROR(__xludf.DUMMYFUNCTION("""COMPUTED_VALUE"""),4.0)</f>
        <v>4</v>
      </c>
      <c r="AA249" s="16">
        <f>IFERROR(__xludf.DUMMYFUNCTION("""COMPUTED_VALUE"""),2.0)</f>
        <v>2</v>
      </c>
      <c r="AB249" s="16">
        <f>IFERROR(__xludf.DUMMYFUNCTION("""COMPUTED_VALUE"""),41.6)</f>
        <v>41.6</v>
      </c>
      <c r="AC249" s="16">
        <f>IFERROR(__xludf.DUMMYFUNCTION("""COMPUTED_VALUE"""),28.0)</f>
        <v>28</v>
      </c>
      <c r="AD249" s="16">
        <f>IFERROR(__xludf.DUMMYFUNCTION("""COMPUTED_VALUE"""),1.0)</f>
        <v>1</v>
      </c>
      <c r="AE249" s="16">
        <f>IFERROR(__xludf.DUMMYFUNCTION("""COMPUTED_VALUE"""),-1.0)</f>
        <v>-1</v>
      </c>
      <c r="AF249" s="16">
        <f>IFERROR(__xludf.DUMMYFUNCTION("""COMPUTED_VALUE"""),5.0)</f>
        <v>5</v>
      </c>
      <c r="AG249" s="16">
        <f>IFERROR(__xludf.DUMMYFUNCTION("""COMPUTED_VALUE"""),-5.0)</f>
        <v>-5</v>
      </c>
      <c r="AH249" s="16">
        <f>IFERROR(__xludf.DUMMYFUNCTION("""COMPUTED_VALUE"""),41.7)</f>
        <v>41.7</v>
      </c>
      <c r="AI249" s="16">
        <f>IFERROR(__xludf.DUMMYFUNCTION("""COMPUTED_VALUE"""),33.6)</f>
        <v>33.6</v>
      </c>
      <c r="AJ249" s="16">
        <f>IFERROR(__xludf.DUMMYFUNCTION("""COMPUTED_VALUE"""),1.0)</f>
        <v>1</v>
      </c>
      <c r="AK249" s="16">
        <f>IFERROR(__xludf.DUMMYFUNCTION("""COMPUTED_VALUE"""),0.0)</f>
        <v>0</v>
      </c>
      <c r="AL249" s="16">
        <f>IFERROR(__xludf.DUMMYFUNCTION("""COMPUTED_VALUE"""),5.0)</f>
        <v>5</v>
      </c>
      <c r="AM249" s="16">
        <f>IFERROR(__xludf.DUMMYFUNCTION("""COMPUTED_VALUE"""),0.0)</f>
        <v>0</v>
      </c>
      <c r="AN249" s="16">
        <f>IFERROR(__xludf.DUMMYFUNCTION("""COMPUTED_VALUE"""),1.4)</f>
        <v>1.4</v>
      </c>
      <c r="AO249" s="16">
        <f>IFERROR(__xludf.DUMMYFUNCTION("""COMPUTED_VALUE"""),1.0)</f>
        <v>1</v>
      </c>
      <c r="AP249" s="16">
        <f>IFERROR(__xludf.DUMMYFUNCTION("""COMPUTED_VALUE"""),-1.0)</f>
        <v>-1</v>
      </c>
      <c r="AQ249" s="16">
        <f>IFERROR(__xludf.DUMMYFUNCTION("""COMPUTED_VALUE"""),-2.0)</f>
        <v>-2</v>
      </c>
      <c r="AR249" s="16">
        <f>IFERROR(__xludf.DUMMYFUNCTION("""COMPUTED_VALUE"""),-2.0)</f>
        <v>-2</v>
      </c>
      <c r="AS249" s="16">
        <f>IFERROR(__xludf.DUMMYFUNCTION("""COMPUTED_VALUE"""),-4.0)</f>
        <v>-4</v>
      </c>
      <c r="AT249" s="16">
        <f>IFERROR(__xludf.DUMMYFUNCTION("""COMPUTED_VALUE"""),2.0)</f>
        <v>2</v>
      </c>
      <c r="AU249" s="16">
        <f>IFERROR(__xludf.DUMMYFUNCTION("""COMPUTED_VALUE"""),1.0)</f>
        <v>1</v>
      </c>
      <c r="AV249" s="16">
        <f>IFERROR(__xludf.DUMMYFUNCTION("""COMPUTED_VALUE"""),2.0)</f>
        <v>2</v>
      </c>
      <c r="AW249" s="16">
        <f>IFERROR(__xludf.DUMMYFUNCTION("""COMPUTED_VALUE"""),1.0)</f>
        <v>1</v>
      </c>
      <c r="AX249" s="16">
        <f>IFERROR(__xludf.DUMMYFUNCTION("""COMPUTED_VALUE"""),0.0)</f>
        <v>0</v>
      </c>
      <c r="AY249" s="16">
        <f>IFERROR(__xludf.DUMMYFUNCTION("""COMPUTED_VALUE"""),-1.0)</f>
        <v>-1</v>
      </c>
      <c r="AZ249" s="16">
        <f>IFERROR(__xludf.DUMMYFUNCTION("""COMPUTED_VALUE"""),0.0)</f>
        <v>0</v>
      </c>
      <c r="BA249" s="16">
        <f>IFERROR(__xludf.DUMMYFUNCTION("""COMPUTED_VALUE"""),-3.0)</f>
        <v>-3</v>
      </c>
      <c r="BB249" s="16">
        <f>IFERROR(__xludf.DUMMYFUNCTION("""COMPUTED_VALUE"""),5.0)</f>
        <v>5</v>
      </c>
      <c r="BC249" s="16">
        <f>IFERROR(__xludf.DUMMYFUNCTION("""COMPUTED_VALUE"""),5.0)</f>
        <v>5</v>
      </c>
      <c r="BD249" s="16">
        <f>IFERROR(__xludf.DUMMYFUNCTION("""COMPUTED_VALUE"""),1.0)</f>
        <v>1</v>
      </c>
      <c r="BE249" s="16">
        <f>IFERROR(__xludf.DUMMYFUNCTION("""COMPUTED_VALUE"""),1.0)</f>
        <v>1</v>
      </c>
      <c r="BF249" s="16">
        <f>IFERROR(__xludf.DUMMYFUNCTION("""COMPUTED_VALUE"""),1.0)</f>
        <v>1</v>
      </c>
      <c r="BG249" s="16">
        <f>IFERROR(__xludf.DUMMYFUNCTION("""COMPUTED_VALUE"""),1.0)</f>
        <v>1</v>
      </c>
      <c r="BH249" s="16">
        <f>IFERROR(__xludf.DUMMYFUNCTION("""COMPUTED_VALUE"""),-9.0)</f>
        <v>-9</v>
      </c>
      <c r="BI249" s="16">
        <f>IFERROR(__xludf.DUMMYFUNCTION("""COMPUTED_VALUE"""),-9.0)</f>
        <v>-9</v>
      </c>
      <c r="BJ249" s="16">
        <f>IFERROR(__xludf.DUMMYFUNCTION("""COMPUTED_VALUE"""),18.0)</f>
        <v>18</v>
      </c>
      <c r="BK249" s="16">
        <f>IFERROR(__xludf.DUMMYFUNCTION("""COMPUTED_VALUE"""),20.0)</f>
        <v>20</v>
      </c>
      <c r="BL249" s="16">
        <f>IFERROR(__xludf.DUMMYFUNCTION("""COMPUTED_VALUE"""),-1.0)</f>
        <v>-1</v>
      </c>
      <c r="BM249" s="16">
        <f>IFERROR(__xludf.DUMMYFUNCTION("""COMPUTED_VALUE"""),-2.0)</f>
        <v>-2</v>
      </c>
      <c r="BN249" s="16">
        <f>IFERROR(__xludf.DUMMYFUNCTION("""COMPUTED_VALUE"""),-2.0)</f>
        <v>-2</v>
      </c>
      <c r="BO249" s="16">
        <f>IFERROR(__xludf.DUMMYFUNCTION("""COMPUTED_VALUE"""),-4.0)</f>
        <v>-4</v>
      </c>
      <c r="BP249" s="16">
        <f>IFERROR(__xludf.DUMMYFUNCTION("""COMPUTED_VALUE"""),2.0)</f>
        <v>2</v>
      </c>
      <c r="BQ249" s="16">
        <f>IFERROR(__xludf.DUMMYFUNCTION("""COMPUTED_VALUE"""),-7.0)</f>
        <v>-7</v>
      </c>
      <c r="BR249" s="16">
        <f>IFERROR(__xludf.DUMMYFUNCTION("""COMPUTED_VALUE"""),-5.0)</f>
        <v>-5</v>
      </c>
      <c r="BS249" s="16" t="str">
        <f>IFERROR(__xludf.DUMMYFUNCTION("""COMPUTED_VALUE"""),"2/- (20-6)")</f>
        <v>2/- (20-6)</v>
      </c>
      <c r="BT249" s="16" t="str">
        <f>IFERROR(__xludf.DUMMYFUNCTION("""COMPUTED_VALUE"""),"E")</f>
        <v>E</v>
      </c>
      <c r="BU249" s="16">
        <f>IFERROR(__xludf.DUMMYFUNCTION("""COMPUTED_VALUE"""),12.0)</f>
        <v>12</v>
      </c>
      <c r="BV249" s="16">
        <f>IFERROR(__xludf.DUMMYFUNCTION("""COMPUTED_VALUE"""),0.0)</f>
        <v>0</v>
      </c>
      <c r="BW249" s="16">
        <f>IFERROR(__xludf.DUMMYFUNCTION("""COMPUTED_VALUE"""),0.0)</f>
        <v>0</v>
      </c>
      <c r="BX249" s="16">
        <f>IFERROR(__xludf.DUMMYFUNCTION("""COMPUTED_VALUE"""),0.0)</f>
        <v>0</v>
      </c>
      <c r="BY249" s="16">
        <f>IFERROR(__xludf.DUMMYFUNCTION("""COMPUTED_VALUE"""),0.0)</f>
        <v>0</v>
      </c>
      <c r="BZ249" s="16" t="str">
        <f>IFERROR(__xludf.DUMMYFUNCTION("""COMPUTED_VALUE"""),"D")</f>
        <v>D</v>
      </c>
      <c r="CA249" s="16" t="str">
        <f>IFERROR(__xludf.DUMMYFUNCTION("""COMPUTED_VALUE"""),"D")</f>
        <v>D</v>
      </c>
      <c r="CB249" s="16">
        <f>IFERROR(__xludf.DUMMYFUNCTION("""COMPUTED_VALUE"""),0.0)</f>
        <v>0</v>
      </c>
      <c r="CC249" s="16">
        <f>IFERROR(__xludf.DUMMYFUNCTION("""COMPUTED_VALUE"""),0.0)</f>
        <v>0</v>
      </c>
      <c r="CD249" s="16">
        <f>IFERROR(__xludf.DUMMYFUNCTION("""COMPUTED_VALUE"""),0.0)</f>
        <v>0</v>
      </c>
      <c r="CE249" s="16">
        <f>IFERROR(__xludf.DUMMYFUNCTION("""COMPUTED_VALUE"""),0.0)</f>
        <v>0</v>
      </c>
      <c r="CF249" s="16">
        <f>IFERROR(__xludf.DUMMYFUNCTION("""COMPUTED_VALUE"""),1.0)</f>
        <v>1</v>
      </c>
      <c r="CG249" s="16">
        <f>IFERROR(__xludf.DUMMYFUNCTION("""COMPUTED_VALUE"""),10.0)</f>
        <v>10</v>
      </c>
      <c r="CH249" s="16">
        <f>IFERROR(__xludf.DUMMYFUNCTION("""COMPUTED_VALUE"""),-16.0)</f>
        <v>-16</v>
      </c>
      <c r="CI249" s="179">
        <f>IFERROR(__xludf.DUMMYFUNCTION("""COMPUTED_VALUE"""),-5.0)</f>
        <v>-5</v>
      </c>
      <c r="CJ249" s="16"/>
      <c r="CK249" s="16"/>
      <c r="CL249" s="16">
        <f>IFERROR(__xludf.DUMMYFUNCTION("""COMPUTED_VALUE"""),310.0)</f>
        <v>310</v>
      </c>
      <c r="CM249" s="16"/>
      <c r="CN249" s="16"/>
      <c r="CO249" s="16"/>
      <c r="CP249" s="16"/>
      <c r="CQ249" s="16"/>
      <c r="CR249" s="16" t="str">
        <f>IFERROR(__xludf.DUMMYFUNCTION("""COMPUTED_VALUE"""),"2b-3e10")</f>
        <v>2b-3e10</v>
      </c>
      <c r="CS249" s="16"/>
      <c r="CT249" s="16"/>
      <c r="CU249" s="16">
        <f>IFERROR(__xludf.DUMMYFUNCTION("""COMPUTED_VALUE"""),3.0)</f>
        <v>3</v>
      </c>
      <c r="CV249" s="16"/>
      <c r="CW249" s="16"/>
      <c r="CX249" s="16"/>
      <c r="CY249" s="16"/>
      <c r="CZ249" s="16"/>
      <c r="DA249" s="16"/>
      <c r="DB249" s="16"/>
      <c r="DC249" s="16">
        <f>IFERROR(__xludf.DUMMYFUNCTION("""COMPUTED_VALUE"""),10.0)</f>
        <v>10</v>
      </c>
      <c r="DD249" s="16"/>
      <c r="DE249" s="16"/>
      <c r="DF249" s="16"/>
      <c r="DG249" s="16"/>
      <c r="DH249" s="16"/>
      <c r="DI249" s="16"/>
      <c r="DJ249" s="16"/>
      <c r="DK249" s="16">
        <f>IFERROR(__xludf.DUMMYFUNCTION("""COMPUTED_VALUE"""),0.0)</f>
        <v>0</v>
      </c>
      <c r="DL249" s="16"/>
      <c r="DM249" s="16"/>
      <c r="DN249" s="16"/>
      <c r="DO249" s="16"/>
      <c r="DP249" s="16"/>
      <c r="DQ249" s="16"/>
      <c r="DR249" s="16"/>
      <c r="DS249" s="16">
        <f>IFERROR(__xludf.DUMMYFUNCTION("""COMPUTED_VALUE"""),3.0)</f>
        <v>3</v>
      </c>
      <c r="DT249" s="16"/>
      <c r="DU249" s="16"/>
      <c r="DV249" s="16"/>
      <c r="DW249" s="16"/>
      <c r="DX249" s="16"/>
      <c r="DY249" s="16"/>
      <c r="DZ249" s="16"/>
      <c r="EA249" s="16">
        <f>IFERROR(__xludf.DUMMYFUNCTION("""COMPUTED_VALUE"""),3.0)</f>
        <v>3</v>
      </c>
      <c r="EB249" s="16"/>
      <c r="EC249" s="16"/>
      <c r="ED249" s="16"/>
      <c r="EE249" s="16"/>
      <c r="EF249" s="16"/>
      <c r="EG249" s="179"/>
      <c r="EH249" s="179"/>
      <c r="EI249" s="179">
        <f>IFERROR(__xludf.DUMMYFUNCTION("""COMPUTED_VALUE"""),-2.0)</f>
        <v>-2</v>
      </c>
      <c r="EJ249" s="179"/>
      <c r="EK249" s="179"/>
      <c r="EL249" s="179"/>
      <c r="EM249" s="179"/>
      <c r="EN249" s="179"/>
      <c r="EO249" s="16"/>
      <c r="EP249" s="16">
        <f>IFERROR(__xludf.DUMMYFUNCTION("""COMPUTED_VALUE"""),1.0)</f>
        <v>1</v>
      </c>
      <c r="EQ249" s="16">
        <f>IFERROR(__xludf.DUMMYFUNCTION("""COMPUTED_VALUE"""),4.0)</f>
        <v>4</v>
      </c>
      <c r="ER249" s="16">
        <f>IFERROR(__xludf.DUMMYFUNCTION("""COMPUTED_VALUE"""),1.0)</f>
        <v>1</v>
      </c>
      <c r="ES249" s="16"/>
      <c r="ET249" s="16"/>
      <c r="EU249" s="16"/>
      <c r="EV249" s="16"/>
      <c r="EW249" s="16"/>
      <c r="EX249" s="180"/>
      <c r="EY249" s="180"/>
      <c r="EZ249" s="180">
        <f>IFERROR(__xludf.DUMMYFUNCTION("""COMPUTED_VALUE"""),0.2)</f>
        <v>0.2</v>
      </c>
      <c r="FA249" s="180"/>
      <c r="FB249" s="180"/>
      <c r="FC249" s="180"/>
      <c r="FD249" s="180"/>
      <c r="FE249" s="180"/>
      <c r="FF249" s="180"/>
      <c r="FG249" s="180"/>
      <c r="FH249" s="180">
        <f>IFERROR(__xludf.DUMMYFUNCTION("""COMPUTED_VALUE"""),0.06018518518518518)</f>
        <v>0.06018518519</v>
      </c>
      <c r="FI249" s="180"/>
      <c r="FJ249" s="180"/>
      <c r="FK249" s="180"/>
      <c r="FL249" s="180"/>
      <c r="FM249" s="180"/>
      <c r="FN249" s="16"/>
      <c r="FO249" s="16"/>
      <c r="FP249" s="16">
        <f>IFERROR(__xludf.DUMMYFUNCTION("""COMPUTED_VALUE"""),0.7518518518518519)</f>
        <v>0.7518518519</v>
      </c>
      <c r="FQ249" s="16"/>
      <c r="FR249" s="16"/>
      <c r="FS249" s="16"/>
      <c r="FT249" s="16"/>
      <c r="FU249" s="16"/>
      <c r="FV249" s="16"/>
      <c r="FW249" s="16"/>
      <c r="FX249" s="16">
        <f>IFERROR(__xludf.DUMMYFUNCTION("""COMPUTED_VALUE"""),-1.0)</f>
        <v>-1</v>
      </c>
      <c r="FY249" s="16"/>
      <c r="FZ249" s="16"/>
      <c r="GA249" s="16"/>
      <c r="GB249" s="16"/>
      <c r="GC249" s="16"/>
      <c r="GD249" s="16" t="s">
        <v>176</v>
      </c>
    </row>
    <row r="250">
      <c r="A250" s="16">
        <f>IFERROR(__xludf.DUMMYFUNCTION("""COMPUTED_VALUE"""),13181.0)</f>
        <v>13181</v>
      </c>
      <c r="B250" s="16" t="str">
        <f>IFERROR(__xludf.DUMMYFUNCTION("""COMPUTED_VALUE"""),"Max Kepler")</f>
        <v>Max Kepler</v>
      </c>
      <c r="C250" s="16">
        <f>IFERROR(__xludf.DUMMYFUNCTION("""COMPUTED_VALUE"""),0.73)</f>
        <v>0.73</v>
      </c>
      <c r="D250" s="16" t="str">
        <f>IFERROR(__xludf.DUMMYFUNCTION("""COMPUTED_VALUE"""),"L")</f>
        <v>L</v>
      </c>
      <c r="E250" s="16"/>
      <c r="F250" s="16"/>
      <c r="G250" s="16">
        <f>IFERROR(__xludf.DUMMYFUNCTION("""COMPUTED_VALUE"""),368.0)</f>
        <v>368</v>
      </c>
      <c r="H250" s="16">
        <f>IFERROR(__xludf.DUMMYFUNCTION("""COMPUTED_VALUE"""),22.0)</f>
        <v>22</v>
      </c>
      <c r="I250" s="16" t="str">
        <f>IFERROR(__xludf.DUMMYFUNCTION("""COMPUTED_VALUE"""),"4p50")</f>
        <v>4p50</v>
      </c>
      <c r="J250" s="16">
        <f>IFERROR(__xludf.DUMMYFUNCTION("""COMPUTED_VALUE"""),24.0)</f>
        <v>24</v>
      </c>
      <c r="K250" s="16">
        <f>IFERROR(__xludf.DUMMYFUNCTION("""COMPUTED_VALUE"""),18.0)</f>
        <v>18</v>
      </c>
      <c r="L250" s="16">
        <f>IFERROR(__xludf.DUMMYFUNCTION("""COMPUTED_VALUE"""),0.0)</f>
        <v>0</v>
      </c>
      <c r="M250" s="16">
        <f>IFERROR(__xludf.DUMMYFUNCTION("""COMPUTED_VALUE"""),1.0)</f>
        <v>1</v>
      </c>
      <c r="N250" s="16">
        <f>IFERROR(__xludf.DUMMYFUNCTION("""COMPUTED_VALUE"""),0.0)</f>
        <v>0</v>
      </c>
      <c r="O250" s="16">
        <f>IFERROR(__xludf.DUMMYFUNCTION("""COMPUTED_VALUE"""),1.0)</f>
        <v>1</v>
      </c>
      <c r="P250" s="16">
        <f>IFERROR(__xludf.DUMMYFUNCTION("""COMPUTED_VALUE"""),0.0)</f>
        <v>0</v>
      </c>
      <c r="Q250" s="16">
        <f>IFERROR(__xludf.DUMMYFUNCTION("""COMPUTED_VALUE"""),4.0)</f>
        <v>4</v>
      </c>
      <c r="R250" s="16">
        <f>IFERROR(__xludf.DUMMYFUNCTION("""COMPUTED_VALUE"""),-3.0)</f>
        <v>-3</v>
      </c>
      <c r="S250" s="16">
        <f>IFERROR(__xludf.DUMMYFUNCTION("""COMPUTED_VALUE"""),-2.0)</f>
        <v>-2</v>
      </c>
      <c r="T250" s="16">
        <f>IFERROR(__xludf.DUMMYFUNCTION("""COMPUTED_VALUE"""),-3.0)</f>
        <v>-3</v>
      </c>
      <c r="U250" s="16">
        <f>IFERROR(__xludf.DUMMYFUNCTION("""COMPUTED_VALUE"""),-2.0)</f>
        <v>-2</v>
      </c>
      <c r="V250" s="16">
        <f>IFERROR(__xludf.DUMMYFUNCTION("""COMPUTED_VALUE"""),27.8)</f>
        <v>27.8</v>
      </c>
      <c r="W250" s="16">
        <f>IFERROR(__xludf.DUMMYFUNCTION("""COMPUTED_VALUE"""),22.5)</f>
        <v>22.5</v>
      </c>
      <c r="X250" s="16">
        <f>IFERROR(__xludf.DUMMYFUNCTION("""COMPUTED_VALUE"""),1.0)</f>
        <v>1</v>
      </c>
      <c r="Y250" s="16">
        <f>IFERROR(__xludf.DUMMYFUNCTION("""COMPUTED_VALUE"""),1.0)</f>
        <v>1</v>
      </c>
      <c r="Z250" s="16">
        <f>IFERROR(__xludf.DUMMYFUNCTION("""COMPUTED_VALUE"""),2.0)</f>
        <v>2</v>
      </c>
      <c r="AA250" s="16">
        <f>IFERROR(__xludf.DUMMYFUNCTION("""COMPUTED_VALUE"""),2.0)</f>
        <v>2</v>
      </c>
      <c r="AB250" s="16">
        <f>IFERROR(__xludf.DUMMYFUNCTION("""COMPUTED_VALUE"""),30.8)</f>
        <v>30.8</v>
      </c>
      <c r="AC250" s="16">
        <f>IFERROR(__xludf.DUMMYFUNCTION("""COMPUTED_VALUE"""),29.5)</f>
        <v>29.5</v>
      </c>
      <c r="AD250" s="16">
        <f>IFERROR(__xludf.DUMMYFUNCTION("""COMPUTED_VALUE"""),0.0)</f>
        <v>0</v>
      </c>
      <c r="AE250" s="16">
        <f>IFERROR(__xludf.DUMMYFUNCTION("""COMPUTED_VALUE"""),0.0)</f>
        <v>0</v>
      </c>
      <c r="AF250" s="16">
        <f>IFERROR(__xludf.DUMMYFUNCTION("""COMPUTED_VALUE"""),0.0)</f>
        <v>0</v>
      </c>
      <c r="AG250" s="16">
        <f>IFERROR(__xludf.DUMMYFUNCTION("""COMPUTED_VALUE"""),0.0)</f>
        <v>0</v>
      </c>
      <c r="AH250" s="16">
        <f>IFERROR(__xludf.DUMMYFUNCTION("""COMPUTED_VALUE"""),41.8)</f>
        <v>41.8</v>
      </c>
      <c r="AI250" s="16">
        <f>IFERROR(__xludf.DUMMYFUNCTION("""COMPUTED_VALUE"""),30.4)</f>
        <v>30.4</v>
      </c>
      <c r="AJ250" s="16">
        <f>IFERROR(__xludf.DUMMYFUNCTION("""COMPUTED_VALUE"""),1.0)</f>
        <v>1</v>
      </c>
      <c r="AK250" s="16">
        <f>IFERROR(__xludf.DUMMYFUNCTION("""COMPUTED_VALUE"""),0.0)</f>
        <v>0</v>
      </c>
      <c r="AL250" s="16">
        <f>IFERROR(__xludf.DUMMYFUNCTION("""COMPUTED_VALUE"""),5.0)</f>
        <v>5</v>
      </c>
      <c r="AM250" s="16">
        <f>IFERROR(__xludf.DUMMYFUNCTION("""COMPUTED_VALUE"""),0.0)</f>
        <v>0</v>
      </c>
      <c r="AN250" s="16">
        <f>IFERROR(__xludf.DUMMYFUNCTION("""COMPUTED_VALUE"""),1.8)</f>
        <v>1.8</v>
      </c>
      <c r="AO250" s="16">
        <f>IFERROR(__xludf.DUMMYFUNCTION("""COMPUTED_VALUE"""),0.8)</f>
        <v>0.8</v>
      </c>
      <c r="AP250" s="16">
        <f>IFERROR(__xludf.DUMMYFUNCTION("""COMPUTED_VALUE"""),-1.0)</f>
        <v>-1</v>
      </c>
      <c r="AQ250" s="16">
        <f>IFERROR(__xludf.DUMMYFUNCTION("""COMPUTED_VALUE"""),-2.0)</f>
        <v>-2</v>
      </c>
      <c r="AR250" s="16">
        <f>IFERROR(__xludf.DUMMYFUNCTION("""COMPUTED_VALUE"""),-2.0)</f>
        <v>-2</v>
      </c>
      <c r="AS250" s="16">
        <f>IFERROR(__xludf.DUMMYFUNCTION("""COMPUTED_VALUE"""),-4.0)</f>
        <v>-4</v>
      </c>
      <c r="AT250" s="16">
        <f>IFERROR(__xludf.DUMMYFUNCTION("""COMPUTED_VALUE"""),2.0)</f>
        <v>2</v>
      </c>
      <c r="AU250" s="16">
        <f>IFERROR(__xludf.DUMMYFUNCTION("""COMPUTED_VALUE"""),0.0)</f>
        <v>0</v>
      </c>
      <c r="AV250" s="16">
        <f>IFERROR(__xludf.DUMMYFUNCTION("""COMPUTED_VALUE"""),2.0)</f>
        <v>2</v>
      </c>
      <c r="AW250" s="16">
        <f>IFERROR(__xludf.DUMMYFUNCTION("""COMPUTED_VALUE"""),0.0)</f>
        <v>0</v>
      </c>
      <c r="AX250" s="16">
        <f>IFERROR(__xludf.DUMMYFUNCTION("""COMPUTED_VALUE"""),0.0)</f>
        <v>0</v>
      </c>
      <c r="AY250" s="16">
        <f>IFERROR(__xludf.DUMMYFUNCTION("""COMPUTED_VALUE"""),-2.0)</f>
        <v>-2</v>
      </c>
      <c r="AZ250" s="16">
        <f>IFERROR(__xludf.DUMMYFUNCTION("""COMPUTED_VALUE"""),0.0)</f>
        <v>0</v>
      </c>
      <c r="BA250" s="16">
        <f>IFERROR(__xludf.DUMMYFUNCTION("""COMPUTED_VALUE"""),-6.0)</f>
        <v>-6</v>
      </c>
      <c r="BB250" s="16">
        <f>IFERROR(__xludf.DUMMYFUNCTION("""COMPUTED_VALUE"""),5.0)</f>
        <v>5</v>
      </c>
      <c r="BC250" s="16">
        <f>IFERROR(__xludf.DUMMYFUNCTION("""COMPUTED_VALUE"""),5.0)</f>
        <v>5</v>
      </c>
      <c r="BD250" s="16">
        <f>IFERROR(__xludf.DUMMYFUNCTION("""COMPUTED_VALUE"""),1.0)</f>
        <v>1</v>
      </c>
      <c r="BE250" s="16">
        <f>IFERROR(__xludf.DUMMYFUNCTION("""COMPUTED_VALUE"""),1.0)</f>
        <v>1</v>
      </c>
      <c r="BF250" s="16">
        <f>IFERROR(__xludf.DUMMYFUNCTION("""COMPUTED_VALUE"""),1.0)</f>
        <v>1</v>
      </c>
      <c r="BG250" s="16">
        <f>IFERROR(__xludf.DUMMYFUNCTION("""COMPUTED_VALUE"""),1.0)</f>
        <v>1</v>
      </c>
      <c r="BH250" s="16">
        <f>IFERROR(__xludf.DUMMYFUNCTION("""COMPUTED_VALUE"""),-3.0)</f>
        <v>-3</v>
      </c>
      <c r="BI250" s="16">
        <f>IFERROR(__xludf.DUMMYFUNCTION("""COMPUTED_VALUE"""),-3.0)</f>
        <v>-3</v>
      </c>
      <c r="BJ250" s="16">
        <f>IFERROR(__xludf.DUMMYFUNCTION("""COMPUTED_VALUE"""),4.0)</f>
        <v>4</v>
      </c>
      <c r="BK250" s="16">
        <f>IFERROR(__xludf.DUMMYFUNCTION("""COMPUTED_VALUE"""),3.0)</f>
        <v>3</v>
      </c>
      <c r="BL250" s="16">
        <f>IFERROR(__xludf.DUMMYFUNCTION("""COMPUTED_VALUE"""),1.0)</f>
        <v>1</v>
      </c>
      <c r="BM250" s="16">
        <f>IFERROR(__xludf.DUMMYFUNCTION("""COMPUTED_VALUE"""),2.0)</f>
        <v>2</v>
      </c>
      <c r="BN250" s="16">
        <f>IFERROR(__xludf.DUMMYFUNCTION("""COMPUTED_VALUE"""),1.0)</f>
        <v>1</v>
      </c>
      <c r="BO250" s="16">
        <f>IFERROR(__xludf.DUMMYFUNCTION("""COMPUTED_VALUE"""),2.0)</f>
        <v>2</v>
      </c>
      <c r="BP250" s="16">
        <f>IFERROR(__xludf.DUMMYFUNCTION("""COMPUTED_VALUE"""),0.0)</f>
        <v>0</v>
      </c>
      <c r="BQ250" s="16">
        <f>IFERROR(__xludf.DUMMYFUNCTION("""COMPUTED_VALUE"""),-1.0)</f>
        <v>-1</v>
      </c>
      <c r="BR250" s="16">
        <f>IFERROR(__xludf.DUMMYFUNCTION("""COMPUTED_VALUE"""),-1.0)</f>
        <v>-1</v>
      </c>
      <c r="BS250" s="16" t="str">
        <f>IFERROR(__xludf.DUMMYFUNCTION("""COMPUTED_VALUE"""),"2/- (20-6)")</f>
        <v>2/- (20-6)</v>
      </c>
      <c r="BT250" s="16" t="str">
        <f>IFERROR(__xludf.DUMMYFUNCTION("""COMPUTED_VALUE"""),"E")</f>
        <v>E</v>
      </c>
      <c r="BU250" s="16">
        <f>IFERROR(__xludf.DUMMYFUNCTION("""COMPUTED_VALUE"""),12.0)</f>
        <v>12</v>
      </c>
      <c r="BV250" s="16">
        <f>IFERROR(__xludf.DUMMYFUNCTION("""COMPUTED_VALUE"""),0.0)</f>
        <v>0</v>
      </c>
      <c r="BW250" s="16">
        <f>IFERROR(__xludf.DUMMYFUNCTION("""COMPUTED_VALUE"""),0.0)</f>
        <v>0</v>
      </c>
      <c r="BX250" s="16">
        <f>IFERROR(__xludf.DUMMYFUNCTION("""COMPUTED_VALUE"""),0.0)</f>
        <v>0</v>
      </c>
      <c r="BY250" s="16">
        <f>IFERROR(__xludf.DUMMYFUNCTION("""COMPUTED_VALUE"""),0.0)</f>
        <v>0</v>
      </c>
      <c r="BZ250" s="16" t="str">
        <f>IFERROR(__xludf.DUMMYFUNCTION("""COMPUTED_VALUE"""),"D")</f>
        <v>D</v>
      </c>
      <c r="CA250" s="16" t="str">
        <f>IFERROR(__xludf.DUMMYFUNCTION("""COMPUTED_VALUE"""),"C")</f>
        <v>C</v>
      </c>
      <c r="CB250" s="16">
        <f>IFERROR(__xludf.DUMMYFUNCTION("""COMPUTED_VALUE"""),0.0)</f>
        <v>0</v>
      </c>
      <c r="CC250" s="16">
        <f>IFERROR(__xludf.DUMMYFUNCTION("""COMPUTED_VALUE"""),0.0)</f>
        <v>0</v>
      </c>
      <c r="CD250" s="16">
        <f>IFERROR(__xludf.DUMMYFUNCTION("""COMPUTED_VALUE"""),0.0)</f>
        <v>0</v>
      </c>
      <c r="CE250" s="16">
        <f>IFERROR(__xludf.DUMMYFUNCTION("""COMPUTED_VALUE"""),0.0)</f>
        <v>0</v>
      </c>
      <c r="CF250" s="16">
        <f>IFERROR(__xludf.DUMMYFUNCTION("""COMPUTED_VALUE"""),4.0)</f>
        <v>4</v>
      </c>
      <c r="CG250" s="16">
        <f>IFERROR(__xludf.DUMMYFUNCTION("""COMPUTED_VALUE"""),4.0)</f>
        <v>4</v>
      </c>
      <c r="CH250" s="16">
        <f>IFERROR(__xludf.DUMMYFUNCTION("""COMPUTED_VALUE"""),-6.0)</f>
        <v>-6</v>
      </c>
      <c r="CI250" s="179">
        <f>IFERROR(__xludf.DUMMYFUNCTION("""COMPUTED_VALUE"""),-5.0)</f>
        <v>-5</v>
      </c>
      <c r="CJ250" s="16"/>
      <c r="CK250" s="16"/>
      <c r="CL250" s="16"/>
      <c r="CM250" s="16"/>
      <c r="CN250" s="16"/>
      <c r="CO250" s="16"/>
      <c r="CP250" s="16"/>
      <c r="CQ250" s="16">
        <f>IFERROR(__xludf.DUMMYFUNCTION("""COMPUTED_VALUE"""),200.0)</f>
        <v>200</v>
      </c>
      <c r="CR250" s="16" t="str">
        <f>IFERROR(__xludf.DUMMYFUNCTION("""COMPUTED_VALUE"""),"rf-2(-2)e0")</f>
        <v>rf-2(-2)e0</v>
      </c>
      <c r="CS250" s="16"/>
      <c r="CT250" s="16"/>
      <c r="CU250" s="16"/>
      <c r="CV250" s="16"/>
      <c r="CW250" s="16"/>
      <c r="CX250" s="16"/>
      <c r="CY250" s="16"/>
      <c r="CZ250" s="16">
        <f>IFERROR(__xludf.DUMMYFUNCTION("""COMPUTED_VALUE"""),2.0)</f>
        <v>2</v>
      </c>
      <c r="DA250" s="16"/>
      <c r="DB250" s="16"/>
      <c r="DC250" s="16"/>
      <c r="DD250" s="16"/>
      <c r="DE250" s="16"/>
      <c r="DF250" s="16"/>
      <c r="DG250" s="16"/>
      <c r="DH250" s="16">
        <f>IFERROR(__xludf.DUMMYFUNCTION("""COMPUTED_VALUE"""),0.0)</f>
        <v>0</v>
      </c>
      <c r="DI250" s="16"/>
      <c r="DJ250" s="16"/>
      <c r="DK250" s="16"/>
      <c r="DL250" s="16"/>
      <c r="DM250" s="16"/>
      <c r="DN250" s="16"/>
      <c r="DO250" s="16"/>
      <c r="DP250" s="16">
        <f>IFERROR(__xludf.DUMMYFUNCTION("""COMPUTED_VALUE"""),3.0)</f>
        <v>3</v>
      </c>
      <c r="DQ250" s="16"/>
      <c r="DR250" s="16"/>
      <c r="DS250" s="16"/>
      <c r="DT250" s="16"/>
      <c r="DU250" s="16"/>
      <c r="DV250" s="16"/>
      <c r="DW250" s="16"/>
      <c r="DX250" s="16">
        <f>IFERROR(__xludf.DUMMYFUNCTION("""COMPUTED_VALUE"""),4.0)</f>
        <v>4</v>
      </c>
      <c r="DY250" s="16"/>
      <c r="DZ250" s="16"/>
      <c r="EA250" s="16"/>
      <c r="EB250" s="16"/>
      <c r="EC250" s="16"/>
      <c r="ED250" s="16"/>
      <c r="EE250" s="16"/>
      <c r="EF250" s="16">
        <f>IFERROR(__xludf.DUMMYFUNCTION("""COMPUTED_VALUE"""),7.0)</f>
        <v>7</v>
      </c>
      <c r="EG250" s="179"/>
      <c r="EH250" s="179"/>
      <c r="EI250" s="179"/>
      <c r="EJ250" s="179"/>
      <c r="EK250" s="179"/>
      <c r="EL250" s="179"/>
      <c r="EM250" s="179"/>
      <c r="EN250" s="179">
        <f>IFERROR(__xludf.DUMMYFUNCTION("""COMPUTED_VALUE"""),2.0)</f>
        <v>2</v>
      </c>
      <c r="EO250" s="16"/>
      <c r="EP250" s="16">
        <f>IFERROR(__xludf.DUMMYFUNCTION("""COMPUTED_VALUE"""),1.0)</f>
        <v>1</v>
      </c>
      <c r="EQ250" s="16">
        <f>IFERROR(__xludf.DUMMYFUNCTION("""COMPUTED_VALUE"""),-1.0)</f>
        <v>-1</v>
      </c>
      <c r="ER250" s="16">
        <f>IFERROR(__xludf.DUMMYFUNCTION("""COMPUTED_VALUE"""),0.0)</f>
        <v>0</v>
      </c>
      <c r="ES250" s="16"/>
      <c r="ET250" s="16"/>
      <c r="EU250" s="16"/>
      <c r="EV250" s="16"/>
      <c r="EW250" s="16"/>
      <c r="EX250" s="180"/>
      <c r="EY250" s="180"/>
      <c r="EZ250" s="180"/>
      <c r="FA250" s="180"/>
      <c r="FB250" s="180"/>
      <c r="FC250" s="180"/>
      <c r="FD250" s="180"/>
      <c r="FE250" s="180">
        <f>IFERROR(__xludf.DUMMYFUNCTION("""COMPUTED_VALUE"""),0.15)</f>
        <v>0.15</v>
      </c>
      <c r="FF250" s="180"/>
      <c r="FG250" s="180"/>
      <c r="FH250" s="180"/>
      <c r="FI250" s="180"/>
      <c r="FJ250" s="180"/>
      <c r="FK250" s="180"/>
      <c r="FL250" s="180"/>
      <c r="FM250" s="180">
        <f>IFERROR(__xludf.DUMMYFUNCTION("""COMPUTED_VALUE"""),0.0)</f>
        <v>0</v>
      </c>
      <c r="FN250" s="16"/>
      <c r="FO250" s="16"/>
      <c r="FP250" s="16"/>
      <c r="FQ250" s="16"/>
      <c r="FR250" s="16"/>
      <c r="FS250" s="16"/>
      <c r="FT250" s="16"/>
      <c r="FU250" s="16">
        <f>IFERROR(__xludf.DUMMYFUNCTION("""COMPUTED_VALUE"""),0.85)</f>
        <v>0.85</v>
      </c>
      <c r="FV250" s="16"/>
      <c r="FW250" s="16"/>
      <c r="FX250" s="16"/>
      <c r="FY250" s="16"/>
      <c r="FZ250" s="16"/>
      <c r="GA250" s="16"/>
      <c r="GB250" s="16"/>
      <c r="GC250" s="16">
        <f>IFERROR(__xludf.DUMMYFUNCTION("""COMPUTED_VALUE"""),0.0)</f>
        <v>0</v>
      </c>
      <c r="GD250" s="16" t="s">
        <v>176</v>
      </c>
    </row>
    <row r="251">
      <c r="A251" s="16">
        <f>IFERROR(__xludf.DUMMYFUNCTION("""COMPUTED_VALUE"""),12783.0)</f>
        <v>12783</v>
      </c>
      <c r="B251" s="16" t="str">
        <f>IFERROR(__xludf.DUMMYFUNCTION("""COMPUTED_VALUE"""),"Edward Olivares")</f>
        <v>Edward Olivares</v>
      </c>
      <c r="C251" s="16">
        <f>IFERROR(__xludf.DUMMYFUNCTION("""COMPUTED_VALUE"""),0.0)</f>
        <v>0</v>
      </c>
      <c r="D251" s="16" t="str">
        <f>IFERROR(__xludf.DUMMYFUNCTION("""COMPUTED_VALUE"""),"R")</f>
        <v>R</v>
      </c>
      <c r="E251" s="16"/>
      <c r="F251" s="16"/>
      <c r="G251" s="16">
        <f>IFERROR(__xludf.DUMMYFUNCTION("""COMPUTED_VALUE"""),174.0)</f>
        <v>174</v>
      </c>
      <c r="H251" s="16">
        <f>IFERROR(__xludf.DUMMYFUNCTION("""COMPUTED_VALUE"""),16.0)</f>
        <v>16</v>
      </c>
      <c r="I251" s="16" t="str">
        <f>IFERROR(__xludf.DUMMYFUNCTION("""COMPUTED_VALUE"""),"1p30")</f>
        <v>1p30</v>
      </c>
      <c r="J251" s="16">
        <f>IFERROR(__xludf.DUMMYFUNCTION("""COMPUTED_VALUE"""),30.0)</f>
        <v>30</v>
      </c>
      <c r="K251" s="16">
        <f>IFERROR(__xludf.DUMMYFUNCTION("""COMPUTED_VALUE"""),6.0)</f>
        <v>6</v>
      </c>
      <c r="L251" s="16">
        <f>IFERROR(__xludf.DUMMYFUNCTION("""COMPUTED_VALUE"""),0.0)</f>
        <v>0</v>
      </c>
      <c r="M251" s="16">
        <f>IFERROR(__xludf.DUMMYFUNCTION("""COMPUTED_VALUE"""),2.0)</f>
        <v>2</v>
      </c>
      <c r="N251" s="16">
        <f>IFERROR(__xludf.DUMMYFUNCTION("""COMPUTED_VALUE"""),0.0)</f>
        <v>0</v>
      </c>
      <c r="O251" s="16">
        <f>IFERROR(__xludf.DUMMYFUNCTION("""COMPUTED_VALUE"""),2.0)</f>
        <v>2</v>
      </c>
      <c r="P251" s="16">
        <f>IFERROR(__xludf.DUMMYFUNCTION("""COMPUTED_VALUE"""),11.0)</f>
        <v>11</v>
      </c>
      <c r="Q251" s="16">
        <f>IFERROR(__xludf.DUMMYFUNCTION("""COMPUTED_VALUE"""),9.0)</f>
        <v>9</v>
      </c>
      <c r="R251" s="16">
        <f>IFERROR(__xludf.DUMMYFUNCTION("""COMPUTED_VALUE"""),1.0)</f>
        <v>1</v>
      </c>
      <c r="S251" s="16">
        <f>IFERROR(__xludf.DUMMYFUNCTION("""COMPUTED_VALUE"""),0.0)</f>
        <v>0</v>
      </c>
      <c r="T251" s="16">
        <f>IFERROR(__xludf.DUMMYFUNCTION("""COMPUTED_VALUE"""),1.0)</f>
        <v>1</v>
      </c>
      <c r="U251" s="16">
        <f>IFERROR(__xludf.DUMMYFUNCTION("""COMPUTED_VALUE"""),0.0)</f>
        <v>0</v>
      </c>
      <c r="V251" s="16">
        <f>IFERROR(__xludf.DUMMYFUNCTION("""COMPUTED_VALUE"""),11.3)</f>
        <v>11.3</v>
      </c>
      <c r="W251" s="16">
        <f>IFERROR(__xludf.DUMMYFUNCTION("""COMPUTED_VALUE"""),18.4)</f>
        <v>18.4</v>
      </c>
      <c r="X251" s="16">
        <f>IFERROR(__xludf.DUMMYFUNCTION("""COMPUTED_VALUE"""),-1.0)</f>
        <v>-1</v>
      </c>
      <c r="Y251" s="16">
        <f>IFERROR(__xludf.DUMMYFUNCTION("""COMPUTED_VALUE"""),0.0)</f>
        <v>0</v>
      </c>
      <c r="Z251" s="16">
        <f>IFERROR(__xludf.DUMMYFUNCTION("""COMPUTED_VALUE"""),-2.0)</f>
        <v>-2</v>
      </c>
      <c r="AA251" s="16">
        <f>IFERROR(__xludf.DUMMYFUNCTION("""COMPUTED_VALUE"""),0.0)</f>
        <v>0</v>
      </c>
      <c r="AB251" s="16">
        <f>IFERROR(__xludf.DUMMYFUNCTION("""COMPUTED_VALUE"""),24.3)</f>
        <v>24.3</v>
      </c>
      <c r="AC251" s="16">
        <f>IFERROR(__xludf.DUMMYFUNCTION("""COMPUTED_VALUE"""),29.4)</f>
        <v>29.4</v>
      </c>
      <c r="AD251" s="16">
        <f>IFERROR(__xludf.DUMMYFUNCTION("""COMPUTED_VALUE"""),-1.0)</f>
        <v>-1</v>
      </c>
      <c r="AE251" s="16">
        <f>IFERROR(__xludf.DUMMYFUNCTION("""COMPUTED_VALUE"""),0.0)</f>
        <v>0</v>
      </c>
      <c r="AF251" s="16">
        <f>IFERROR(__xludf.DUMMYFUNCTION("""COMPUTED_VALUE"""),-5.0)</f>
        <v>-5</v>
      </c>
      <c r="AG251" s="16">
        <f>IFERROR(__xludf.DUMMYFUNCTION("""COMPUTED_VALUE"""),0.0)</f>
        <v>0</v>
      </c>
      <c r="AH251" s="16">
        <f>IFERROR(__xludf.DUMMYFUNCTION("""COMPUTED_VALUE"""),24.8)</f>
        <v>24.8</v>
      </c>
      <c r="AI251" s="16">
        <f>IFERROR(__xludf.DUMMYFUNCTION("""COMPUTED_VALUE"""),25.0)</f>
        <v>25</v>
      </c>
      <c r="AJ251" s="16">
        <f>IFERROR(__xludf.DUMMYFUNCTION("""COMPUTED_VALUE"""),-1.0)</f>
        <v>-1</v>
      </c>
      <c r="AK251" s="16">
        <f>IFERROR(__xludf.DUMMYFUNCTION("""COMPUTED_VALUE"""),-1.0)</f>
        <v>-1</v>
      </c>
      <c r="AL251" s="16">
        <f>IFERROR(__xludf.DUMMYFUNCTION("""COMPUTED_VALUE"""),-5.0)</f>
        <v>-5</v>
      </c>
      <c r="AM251" s="16">
        <f>IFERROR(__xludf.DUMMYFUNCTION("""COMPUTED_VALUE"""),-5.0)</f>
        <v>-5</v>
      </c>
      <c r="AN251" s="16">
        <f>IFERROR(__xludf.DUMMYFUNCTION("""COMPUTED_VALUE"""),3.8)</f>
        <v>3.8</v>
      </c>
      <c r="AO251" s="16">
        <f>IFERROR(__xludf.DUMMYFUNCTION("""COMPUTED_VALUE"""),2.2)</f>
        <v>2.2</v>
      </c>
      <c r="AP251" s="16">
        <f>IFERROR(__xludf.DUMMYFUNCTION("""COMPUTED_VALUE"""),2.0)</f>
        <v>2</v>
      </c>
      <c r="AQ251" s="16">
        <f>IFERROR(__xludf.DUMMYFUNCTION("""COMPUTED_VALUE"""),0.0)</f>
        <v>0</v>
      </c>
      <c r="AR251" s="16">
        <f>IFERROR(__xludf.DUMMYFUNCTION("""COMPUTED_VALUE"""),4.0)</f>
        <v>4</v>
      </c>
      <c r="AS251" s="16">
        <f>IFERROR(__xludf.DUMMYFUNCTION("""COMPUTED_VALUE"""),0.0)</f>
        <v>0</v>
      </c>
      <c r="AT251" s="16">
        <f>IFERROR(__xludf.DUMMYFUNCTION("""COMPUTED_VALUE"""),7.0)</f>
        <v>7</v>
      </c>
      <c r="AU251" s="16"/>
      <c r="AV251" s="16">
        <f>IFERROR(__xludf.DUMMYFUNCTION("""COMPUTED_VALUE"""),7.0)</f>
        <v>7</v>
      </c>
      <c r="AW251" s="16">
        <f>IFERROR(__xludf.DUMMYFUNCTION("""COMPUTED_VALUE"""),-3.0)</f>
        <v>-3</v>
      </c>
      <c r="AX251" s="16">
        <f>IFERROR(__xludf.DUMMYFUNCTION("""COMPUTED_VALUE"""),3.0)</f>
        <v>3</v>
      </c>
      <c r="AY251" s="16">
        <f>IFERROR(__xludf.DUMMYFUNCTION("""COMPUTED_VALUE"""),-3.0)</f>
        <v>-3</v>
      </c>
      <c r="AZ251" s="16">
        <f>IFERROR(__xludf.DUMMYFUNCTION("""COMPUTED_VALUE"""),9.0)</f>
        <v>9</v>
      </c>
      <c r="BA251" s="16">
        <f>IFERROR(__xludf.DUMMYFUNCTION("""COMPUTED_VALUE"""),-9.0)</f>
        <v>-9</v>
      </c>
      <c r="BB251" s="16">
        <f>IFERROR(__xludf.DUMMYFUNCTION("""COMPUTED_VALUE"""),5.0)</f>
        <v>5</v>
      </c>
      <c r="BC251" s="16">
        <f>IFERROR(__xludf.DUMMYFUNCTION("""COMPUTED_VALUE"""),5.0)</f>
        <v>5</v>
      </c>
      <c r="BD251" s="16">
        <f>IFERROR(__xludf.DUMMYFUNCTION("""COMPUTED_VALUE"""),1.0)</f>
        <v>1</v>
      </c>
      <c r="BE251" s="16">
        <f>IFERROR(__xludf.DUMMYFUNCTION("""COMPUTED_VALUE"""),1.0)</f>
        <v>1</v>
      </c>
      <c r="BF251" s="16">
        <f>IFERROR(__xludf.DUMMYFUNCTION("""COMPUTED_VALUE"""),1.0)</f>
        <v>1</v>
      </c>
      <c r="BG251" s="16">
        <f>IFERROR(__xludf.DUMMYFUNCTION("""COMPUTED_VALUE"""),1.0)</f>
        <v>1</v>
      </c>
      <c r="BH251" s="16">
        <f>IFERROR(__xludf.DUMMYFUNCTION("""COMPUTED_VALUE"""),-3.0)</f>
        <v>-3</v>
      </c>
      <c r="BI251" s="16">
        <f>IFERROR(__xludf.DUMMYFUNCTION("""COMPUTED_VALUE"""),-3.0)</f>
        <v>-3</v>
      </c>
      <c r="BJ251" s="16">
        <f>IFERROR(__xludf.DUMMYFUNCTION("""COMPUTED_VALUE"""),11.0)</f>
        <v>11</v>
      </c>
      <c r="BK251" s="16">
        <f>IFERROR(__xludf.DUMMYFUNCTION("""COMPUTED_VALUE"""),11.0)</f>
        <v>11</v>
      </c>
      <c r="BL251" s="16">
        <f>IFERROR(__xludf.DUMMYFUNCTION("""COMPUTED_VALUE"""),0.0)</f>
        <v>0</v>
      </c>
      <c r="BM251" s="16">
        <f>IFERROR(__xludf.DUMMYFUNCTION("""COMPUTED_VALUE"""),0.0)</f>
        <v>0</v>
      </c>
      <c r="BN251" s="16">
        <f>IFERROR(__xludf.DUMMYFUNCTION("""COMPUTED_VALUE"""),0.0)</f>
        <v>0</v>
      </c>
      <c r="BO251" s="16">
        <f>IFERROR(__xludf.DUMMYFUNCTION("""COMPUTED_VALUE"""),0.0)</f>
        <v>0</v>
      </c>
      <c r="BP251" s="16">
        <f>IFERROR(__xludf.DUMMYFUNCTION("""COMPUTED_VALUE"""),4.0)</f>
        <v>4</v>
      </c>
      <c r="BQ251" s="16">
        <f>IFERROR(__xludf.DUMMYFUNCTION("""COMPUTED_VALUE"""),-1.0)</f>
        <v>-1</v>
      </c>
      <c r="BR251" s="16">
        <f>IFERROR(__xludf.DUMMYFUNCTION("""COMPUTED_VALUE"""),3.0)</f>
        <v>3</v>
      </c>
      <c r="BS251" s="16" t="str">
        <f>IFERROR(__xludf.DUMMYFUNCTION("""COMPUTED_VALUE"""),"2/- (20-6)")</f>
        <v>2/- (20-6)</v>
      </c>
      <c r="BT251" s="16" t="str">
        <f>IFERROR(__xludf.DUMMYFUNCTION("""COMPUTED_VALUE"""),"E")</f>
        <v>E</v>
      </c>
      <c r="BU251" s="16">
        <f>IFERROR(__xludf.DUMMYFUNCTION("""COMPUTED_VALUE"""),13.0)</f>
        <v>13</v>
      </c>
      <c r="BV251" s="16">
        <f>IFERROR(__xludf.DUMMYFUNCTION("""COMPUTED_VALUE"""),0.0)</f>
        <v>0</v>
      </c>
      <c r="BW251" s="16">
        <f>IFERROR(__xludf.DUMMYFUNCTION("""COMPUTED_VALUE"""),1.0)</f>
        <v>1</v>
      </c>
      <c r="BX251" s="16">
        <f>IFERROR(__xludf.DUMMYFUNCTION("""COMPUTED_VALUE"""),0.0)</f>
        <v>0</v>
      </c>
      <c r="BY251" s="16">
        <f>IFERROR(__xludf.DUMMYFUNCTION("""COMPUTED_VALUE"""),3.0)</f>
        <v>3</v>
      </c>
      <c r="BZ251" s="16" t="str">
        <f>IFERROR(__xludf.DUMMYFUNCTION("""COMPUTED_VALUE"""),"D")</f>
        <v>D</v>
      </c>
      <c r="CA251" s="16" t="str">
        <f>IFERROR(__xludf.DUMMYFUNCTION("""COMPUTED_VALUE"""),"C")</f>
        <v>C</v>
      </c>
      <c r="CB251" s="16">
        <f>IFERROR(__xludf.DUMMYFUNCTION("""COMPUTED_VALUE"""),0.0)</f>
        <v>0</v>
      </c>
      <c r="CC251" s="16">
        <f>IFERROR(__xludf.DUMMYFUNCTION("""COMPUTED_VALUE"""),0.0)</f>
        <v>0</v>
      </c>
      <c r="CD251" s="16">
        <f>IFERROR(__xludf.DUMMYFUNCTION("""COMPUTED_VALUE"""),0.0)</f>
        <v>0</v>
      </c>
      <c r="CE251" s="16">
        <f>IFERROR(__xludf.DUMMYFUNCTION("""COMPUTED_VALUE"""),0.0)</f>
        <v>0</v>
      </c>
      <c r="CF251" s="16">
        <f>IFERROR(__xludf.DUMMYFUNCTION("""COMPUTED_VALUE"""),1.0)</f>
        <v>1</v>
      </c>
      <c r="CG251" s="16">
        <f>IFERROR(__xludf.DUMMYFUNCTION("""COMPUTED_VALUE"""),3.0)</f>
        <v>3</v>
      </c>
      <c r="CH251" s="16">
        <f>IFERROR(__xludf.DUMMYFUNCTION("""COMPUTED_VALUE"""),-11.0)</f>
        <v>-11</v>
      </c>
      <c r="CI251" s="179">
        <f>IFERROR(__xludf.DUMMYFUNCTION("""COMPUTED_VALUE"""),-5.0)</f>
        <v>-5</v>
      </c>
      <c r="CJ251" s="16"/>
      <c r="CK251" s="16"/>
      <c r="CL251" s="16"/>
      <c r="CM251" s="16"/>
      <c r="CN251" s="16"/>
      <c r="CO251" s="16">
        <f>IFERROR(__xludf.DUMMYFUNCTION("""COMPUTED_VALUE"""),404.0)</f>
        <v>404</v>
      </c>
      <c r="CP251" s="16"/>
      <c r="CQ251" s="16">
        <f>IFERROR(__xludf.DUMMYFUNCTION("""COMPUTED_VALUE"""),404.0)</f>
        <v>404</v>
      </c>
      <c r="CR251" s="16" t="str">
        <f>IFERROR(__xludf.DUMMYFUNCTION("""COMPUTED_VALUE"""),"rf-4(+1)e4 lf-4e4")</f>
        <v>rf-4(+1)e4 lf-4e4</v>
      </c>
      <c r="CS251" s="16"/>
      <c r="CT251" s="16"/>
      <c r="CU251" s="16"/>
      <c r="CV251" s="16"/>
      <c r="CW251" s="16"/>
      <c r="CX251" s="16">
        <f>IFERROR(__xludf.DUMMYFUNCTION("""COMPUTED_VALUE"""),4.0)</f>
        <v>4</v>
      </c>
      <c r="CY251" s="16"/>
      <c r="CZ251" s="16">
        <f>IFERROR(__xludf.DUMMYFUNCTION("""COMPUTED_VALUE"""),4.0)</f>
        <v>4</v>
      </c>
      <c r="DA251" s="16"/>
      <c r="DB251" s="16"/>
      <c r="DC251" s="16"/>
      <c r="DD251" s="16"/>
      <c r="DE251" s="16"/>
      <c r="DF251" s="16">
        <f>IFERROR(__xludf.DUMMYFUNCTION("""COMPUTED_VALUE"""),4.0)</f>
        <v>4</v>
      </c>
      <c r="DG251" s="16"/>
      <c r="DH251" s="16">
        <f>IFERROR(__xludf.DUMMYFUNCTION("""COMPUTED_VALUE"""),4.0)</f>
        <v>4</v>
      </c>
      <c r="DI251" s="16"/>
      <c r="DJ251" s="16"/>
      <c r="DK251" s="16"/>
      <c r="DL251" s="16"/>
      <c r="DM251" s="16"/>
      <c r="DN251" s="16">
        <f>IFERROR(__xludf.DUMMYFUNCTION("""COMPUTED_VALUE"""),-1.0)</f>
        <v>-1</v>
      </c>
      <c r="DO251" s="16"/>
      <c r="DP251" s="16">
        <f>IFERROR(__xludf.DUMMYFUNCTION("""COMPUTED_VALUE"""),-1.0)</f>
        <v>-1</v>
      </c>
      <c r="DQ251" s="16"/>
      <c r="DR251" s="16"/>
      <c r="DS251" s="16"/>
      <c r="DT251" s="16"/>
      <c r="DU251" s="16"/>
      <c r="DV251" s="16">
        <f>IFERROR(__xludf.DUMMYFUNCTION("""COMPUTED_VALUE"""),2.0)</f>
        <v>2</v>
      </c>
      <c r="DW251" s="16"/>
      <c r="DX251" s="16">
        <f>IFERROR(__xludf.DUMMYFUNCTION("""COMPUTED_VALUE"""),2.0)</f>
        <v>2</v>
      </c>
      <c r="DY251" s="16"/>
      <c r="DZ251" s="16"/>
      <c r="EA251" s="16"/>
      <c r="EB251" s="16"/>
      <c r="EC251" s="16"/>
      <c r="ED251" s="16">
        <f>IFERROR(__xludf.DUMMYFUNCTION("""COMPUTED_VALUE"""),1.0)</f>
        <v>1</v>
      </c>
      <c r="EE251" s="16"/>
      <c r="EF251" s="16">
        <f>IFERROR(__xludf.DUMMYFUNCTION("""COMPUTED_VALUE"""),1.0)</f>
        <v>1</v>
      </c>
      <c r="EG251" s="179"/>
      <c r="EH251" s="179"/>
      <c r="EI251" s="179"/>
      <c r="EJ251" s="179"/>
      <c r="EK251" s="179"/>
      <c r="EL251" s="179">
        <f>IFERROR(__xludf.DUMMYFUNCTION("""COMPUTED_VALUE"""),-4.0)</f>
        <v>-4</v>
      </c>
      <c r="EM251" s="179"/>
      <c r="EN251" s="179">
        <f>IFERROR(__xludf.DUMMYFUNCTION("""COMPUTED_VALUE"""),-4.0)</f>
        <v>-4</v>
      </c>
      <c r="EO251" s="16"/>
      <c r="EP251" s="16">
        <f>IFERROR(__xludf.DUMMYFUNCTION("""COMPUTED_VALUE"""),-2.0)</f>
        <v>-2</v>
      </c>
      <c r="EQ251" s="16">
        <f>IFERROR(__xludf.DUMMYFUNCTION("""COMPUTED_VALUE"""),4.0)</f>
        <v>4</v>
      </c>
      <c r="ER251" s="16">
        <f>IFERROR(__xludf.DUMMYFUNCTION("""COMPUTED_VALUE"""),-2.0)</f>
        <v>-2</v>
      </c>
      <c r="ES251" s="16"/>
      <c r="ET251" s="16"/>
      <c r="EU251" s="16"/>
      <c r="EV251" s="16"/>
      <c r="EW251" s="16"/>
      <c r="EX251" s="180"/>
      <c r="EY251" s="180"/>
      <c r="EZ251" s="180"/>
      <c r="FA251" s="180"/>
      <c r="FB251" s="180"/>
      <c r="FC251" s="180">
        <f>IFERROR(__xludf.DUMMYFUNCTION("""COMPUTED_VALUE"""),0.55)</f>
        <v>0.55</v>
      </c>
      <c r="FD251" s="180"/>
      <c r="FE251" s="180">
        <f>IFERROR(__xludf.DUMMYFUNCTION("""COMPUTED_VALUE"""),0.55)</f>
        <v>0.55</v>
      </c>
      <c r="FF251" s="180"/>
      <c r="FG251" s="180"/>
      <c r="FH251" s="180"/>
      <c r="FI251" s="180"/>
      <c r="FJ251" s="180"/>
      <c r="FK251" s="180">
        <f>IFERROR(__xludf.DUMMYFUNCTION("""COMPUTED_VALUE"""),0.069)</f>
        <v>0.069</v>
      </c>
      <c r="FL251" s="180"/>
      <c r="FM251" s="180">
        <f>IFERROR(__xludf.DUMMYFUNCTION("""COMPUTED_VALUE"""),0.069)</f>
        <v>0.069</v>
      </c>
      <c r="FN251" s="16"/>
      <c r="FO251" s="16"/>
      <c r="FP251" s="16"/>
      <c r="FQ251" s="16"/>
      <c r="FR251" s="16"/>
      <c r="FS251" s="16">
        <f>IFERROR(__xludf.DUMMYFUNCTION("""COMPUTED_VALUE"""),0.41895)</f>
        <v>0.41895</v>
      </c>
      <c r="FT251" s="16"/>
      <c r="FU251" s="16">
        <f>IFERROR(__xludf.DUMMYFUNCTION("""COMPUTED_VALUE"""),0.41895)</f>
        <v>0.41895</v>
      </c>
      <c r="FV251" s="16"/>
      <c r="FW251" s="16"/>
      <c r="FX251" s="16"/>
      <c r="FY251" s="16"/>
      <c r="FZ251" s="16"/>
      <c r="GA251" s="16">
        <f>IFERROR(__xludf.DUMMYFUNCTION("""COMPUTED_VALUE"""),-6.0)</f>
        <v>-6</v>
      </c>
      <c r="GB251" s="16"/>
      <c r="GC251" s="16">
        <f>IFERROR(__xludf.DUMMYFUNCTION("""COMPUTED_VALUE"""),-6.0)</f>
        <v>-6</v>
      </c>
      <c r="GD251" s="16" t="s">
        <v>176</v>
      </c>
    </row>
    <row r="252">
      <c r="A252" s="16">
        <f>IFERROR(__xludf.DUMMYFUNCTION("""COMPUTED_VALUE"""),13156.0)</f>
        <v>13156</v>
      </c>
      <c r="B252" s="16" t="str">
        <f>IFERROR(__xludf.DUMMYFUNCTION("""COMPUTED_VALUE"""),"Mark Canha")</f>
        <v>Mark Canha</v>
      </c>
      <c r="C252" s="16">
        <f>IFERROR(__xludf.DUMMYFUNCTION("""COMPUTED_VALUE"""),0.38)</f>
        <v>0.38</v>
      </c>
      <c r="D252" s="16" t="str">
        <f>IFERROR(__xludf.DUMMYFUNCTION("""COMPUTED_VALUE"""),"R")</f>
        <v>R</v>
      </c>
      <c r="E252" s="16"/>
      <c r="F252" s="16"/>
      <c r="G252" s="16">
        <f>IFERROR(__xludf.DUMMYFUNCTION("""COMPUTED_VALUE"""),393.0)</f>
        <v>393</v>
      </c>
      <c r="H252" s="16">
        <f>IFERROR(__xludf.DUMMYFUNCTION("""COMPUTED_VALUE"""),51.0)</f>
        <v>51</v>
      </c>
      <c r="I252" s="16" t="str">
        <f>IFERROR(__xludf.DUMMYFUNCTION("""COMPUTED_VALUE"""),"1p60")</f>
        <v>1p60</v>
      </c>
      <c r="J252" s="16">
        <f>IFERROR(__xludf.DUMMYFUNCTION("""COMPUTED_VALUE"""),21.0)</f>
        <v>21</v>
      </c>
      <c r="K252" s="16">
        <f>IFERROR(__xludf.DUMMYFUNCTION("""COMPUTED_VALUE"""),20.0)</f>
        <v>20</v>
      </c>
      <c r="L252" s="16">
        <f>IFERROR(__xludf.DUMMYFUNCTION("""COMPUTED_VALUE"""),0.0)</f>
        <v>0</v>
      </c>
      <c r="M252" s="16">
        <f>IFERROR(__xludf.DUMMYFUNCTION("""COMPUTED_VALUE"""),0.0)</f>
        <v>0</v>
      </c>
      <c r="N252" s="16">
        <f>IFERROR(__xludf.DUMMYFUNCTION("""COMPUTED_VALUE"""),0.0)</f>
        <v>0</v>
      </c>
      <c r="O252" s="16">
        <f>IFERROR(__xludf.DUMMYFUNCTION("""COMPUTED_VALUE"""),0.0)</f>
        <v>0</v>
      </c>
      <c r="P252" s="16">
        <f>IFERROR(__xludf.DUMMYFUNCTION("""COMPUTED_VALUE"""),18.0)</f>
        <v>18</v>
      </c>
      <c r="Q252" s="16">
        <f>IFERROR(__xludf.DUMMYFUNCTION("""COMPUTED_VALUE"""),14.0)</f>
        <v>14</v>
      </c>
      <c r="R252" s="16">
        <f>IFERROR(__xludf.DUMMYFUNCTION("""COMPUTED_VALUE"""),3.0)</f>
        <v>3</v>
      </c>
      <c r="S252" s="16">
        <f>IFERROR(__xludf.DUMMYFUNCTION("""COMPUTED_VALUE"""),2.0)</f>
        <v>2</v>
      </c>
      <c r="T252" s="16">
        <f>IFERROR(__xludf.DUMMYFUNCTION("""COMPUTED_VALUE"""),3.0)</f>
        <v>3</v>
      </c>
      <c r="U252" s="16">
        <f>IFERROR(__xludf.DUMMYFUNCTION("""COMPUTED_VALUE"""),2.0)</f>
        <v>2</v>
      </c>
      <c r="V252" s="16">
        <f>IFERROR(__xludf.DUMMYFUNCTION("""COMPUTED_VALUE"""),21.2)</f>
        <v>21.2</v>
      </c>
      <c r="W252" s="16">
        <f>IFERROR(__xludf.DUMMYFUNCTION("""COMPUTED_VALUE"""),15.9)</f>
        <v>15.9</v>
      </c>
      <c r="X252" s="16">
        <f>IFERROR(__xludf.DUMMYFUNCTION("""COMPUTED_VALUE"""),0.0)</f>
        <v>0</v>
      </c>
      <c r="Y252" s="16">
        <f>IFERROR(__xludf.DUMMYFUNCTION("""COMPUTED_VALUE"""),-1.0)</f>
        <v>-1</v>
      </c>
      <c r="Z252" s="16">
        <f>IFERROR(__xludf.DUMMYFUNCTION("""COMPUTED_VALUE"""),0.0)</f>
        <v>0</v>
      </c>
      <c r="AA252" s="16">
        <f>IFERROR(__xludf.DUMMYFUNCTION("""COMPUTED_VALUE"""),-2.0)</f>
        <v>-2</v>
      </c>
      <c r="AB252" s="16">
        <f>IFERROR(__xludf.DUMMYFUNCTION("""COMPUTED_VALUE"""),46.2)</f>
        <v>46.2</v>
      </c>
      <c r="AC252" s="16">
        <f>IFERROR(__xludf.DUMMYFUNCTION("""COMPUTED_VALUE"""),37.0)</f>
        <v>37</v>
      </c>
      <c r="AD252" s="16">
        <f>IFERROR(__xludf.DUMMYFUNCTION("""COMPUTED_VALUE"""),2.0)</f>
        <v>2</v>
      </c>
      <c r="AE252" s="16">
        <f>IFERROR(__xludf.DUMMYFUNCTION("""COMPUTED_VALUE"""),1.0)</f>
        <v>1</v>
      </c>
      <c r="AF252" s="16">
        <f>IFERROR(__xludf.DUMMYFUNCTION("""COMPUTED_VALUE"""),10.0)</f>
        <v>10</v>
      </c>
      <c r="AG252" s="16">
        <f>IFERROR(__xludf.DUMMYFUNCTION("""COMPUTED_VALUE"""),5.0)</f>
        <v>5</v>
      </c>
      <c r="AH252" s="16">
        <f>IFERROR(__xludf.DUMMYFUNCTION("""COMPUTED_VALUE"""),37.5)</f>
        <v>37.5</v>
      </c>
      <c r="AI252" s="16">
        <f>IFERROR(__xludf.DUMMYFUNCTION("""COMPUTED_VALUE"""),19.8)</f>
        <v>19.8</v>
      </c>
      <c r="AJ252" s="16">
        <f>IFERROR(__xludf.DUMMYFUNCTION("""COMPUTED_VALUE"""),0.0)</f>
        <v>0</v>
      </c>
      <c r="AK252" s="16">
        <f>IFERROR(__xludf.DUMMYFUNCTION("""COMPUTED_VALUE"""),-2.0)</f>
        <v>-2</v>
      </c>
      <c r="AL252" s="16">
        <f>IFERROR(__xludf.DUMMYFUNCTION("""COMPUTED_VALUE"""),0.0)</f>
        <v>0</v>
      </c>
      <c r="AM252" s="16">
        <f>IFERROR(__xludf.DUMMYFUNCTION("""COMPUTED_VALUE"""),-10.0)</f>
        <v>-10</v>
      </c>
      <c r="AN252" s="16">
        <f>IFERROR(__xludf.DUMMYFUNCTION("""COMPUTED_VALUE"""),3.0)</f>
        <v>3</v>
      </c>
      <c r="AO252" s="16">
        <f>IFERROR(__xludf.DUMMYFUNCTION("""COMPUTED_VALUE"""),0.3)</f>
        <v>0.3</v>
      </c>
      <c r="AP252" s="16">
        <f>IFERROR(__xludf.DUMMYFUNCTION("""COMPUTED_VALUE"""),1.0)</f>
        <v>1</v>
      </c>
      <c r="AQ252" s="16">
        <f>IFERROR(__xludf.DUMMYFUNCTION("""COMPUTED_VALUE"""),-2.0)</f>
        <v>-2</v>
      </c>
      <c r="AR252" s="16">
        <f>IFERROR(__xludf.DUMMYFUNCTION("""COMPUTED_VALUE"""),2.0)</f>
        <v>2</v>
      </c>
      <c r="AS252" s="16">
        <f>IFERROR(__xludf.DUMMYFUNCTION("""COMPUTED_VALUE"""),-4.0)</f>
        <v>-4</v>
      </c>
      <c r="AT252" s="16"/>
      <c r="AU252" s="16">
        <f>IFERROR(__xludf.DUMMYFUNCTION("""COMPUTED_VALUE"""),0.0)</f>
        <v>0</v>
      </c>
      <c r="AV252" s="16">
        <f>IFERROR(__xludf.DUMMYFUNCTION("""COMPUTED_VALUE"""),-3.0)</f>
        <v>-3</v>
      </c>
      <c r="AW252" s="16">
        <f>IFERROR(__xludf.DUMMYFUNCTION("""COMPUTED_VALUE"""),0.0)</f>
        <v>0</v>
      </c>
      <c r="AX252" s="16">
        <f>IFERROR(__xludf.DUMMYFUNCTION("""COMPUTED_VALUE"""),-3.0)</f>
        <v>-3</v>
      </c>
      <c r="AY252" s="16">
        <f>IFERROR(__xludf.DUMMYFUNCTION("""COMPUTED_VALUE"""),-2.0)</f>
        <v>-2</v>
      </c>
      <c r="AZ252" s="16">
        <f>IFERROR(__xludf.DUMMYFUNCTION("""COMPUTED_VALUE"""),-9.0)</f>
        <v>-9</v>
      </c>
      <c r="BA252" s="16">
        <f>IFERROR(__xludf.DUMMYFUNCTION("""COMPUTED_VALUE"""),-6.0)</f>
        <v>-6</v>
      </c>
      <c r="BB252" s="16">
        <f>IFERROR(__xludf.DUMMYFUNCTION("""COMPUTED_VALUE"""),5.0)</f>
        <v>5</v>
      </c>
      <c r="BC252" s="16">
        <f>IFERROR(__xludf.DUMMYFUNCTION("""COMPUTED_VALUE"""),5.0)</f>
        <v>5</v>
      </c>
      <c r="BD252" s="16">
        <f>IFERROR(__xludf.DUMMYFUNCTION("""COMPUTED_VALUE"""),1.0)</f>
        <v>1</v>
      </c>
      <c r="BE252" s="16">
        <f>IFERROR(__xludf.DUMMYFUNCTION("""COMPUTED_VALUE"""),1.0)</f>
        <v>1</v>
      </c>
      <c r="BF252" s="16">
        <f>IFERROR(__xludf.DUMMYFUNCTION("""COMPUTED_VALUE"""),1.0)</f>
        <v>1</v>
      </c>
      <c r="BG252" s="16">
        <f>IFERROR(__xludf.DUMMYFUNCTION("""COMPUTED_VALUE"""),1.0)</f>
        <v>1</v>
      </c>
      <c r="BH252" s="16">
        <f>IFERROR(__xludf.DUMMYFUNCTION("""COMPUTED_VALUE"""),1.0)</f>
        <v>1</v>
      </c>
      <c r="BI252" s="16">
        <f>IFERROR(__xludf.DUMMYFUNCTION("""COMPUTED_VALUE"""),1.0)</f>
        <v>1</v>
      </c>
      <c r="BJ252" s="16">
        <f>IFERROR(__xludf.DUMMYFUNCTION("""COMPUTED_VALUE"""),14.0)</f>
        <v>14</v>
      </c>
      <c r="BK252" s="16">
        <f>IFERROR(__xludf.DUMMYFUNCTION("""COMPUTED_VALUE"""),15.0)</f>
        <v>15</v>
      </c>
      <c r="BL252" s="16">
        <f>IFERROR(__xludf.DUMMYFUNCTION("""COMPUTED_VALUE"""),0.0)</f>
        <v>0</v>
      </c>
      <c r="BM252" s="16">
        <f>IFERROR(__xludf.DUMMYFUNCTION("""COMPUTED_VALUE"""),-1.0)</f>
        <v>-1</v>
      </c>
      <c r="BN252" s="16">
        <f>IFERROR(__xludf.DUMMYFUNCTION("""COMPUTED_VALUE"""),0.0)</f>
        <v>0</v>
      </c>
      <c r="BO252" s="16">
        <f>IFERROR(__xludf.DUMMYFUNCTION("""COMPUTED_VALUE"""),-2.0)</f>
        <v>-2</v>
      </c>
      <c r="BP252" s="16">
        <f>IFERROR(__xludf.DUMMYFUNCTION("""COMPUTED_VALUE"""),4.0)</f>
        <v>4</v>
      </c>
      <c r="BQ252" s="16">
        <f>IFERROR(__xludf.DUMMYFUNCTION("""COMPUTED_VALUE"""),-4.0)</f>
        <v>-4</v>
      </c>
      <c r="BR252" s="16">
        <f>IFERROR(__xludf.DUMMYFUNCTION("""COMPUTED_VALUE"""),0.0)</f>
        <v>0</v>
      </c>
      <c r="BS252" s="16" t="str">
        <f>IFERROR(__xludf.DUMMYFUNCTION("""COMPUTED_VALUE"""),"3/- (20-6)")</f>
        <v>3/- (20-6)</v>
      </c>
      <c r="BT252" s="16" t="str">
        <f>IFERROR(__xludf.DUMMYFUNCTION("""COMPUTED_VALUE"""),"C")</f>
        <v>C</v>
      </c>
      <c r="BU252" s="16">
        <f>IFERROR(__xludf.DUMMYFUNCTION("""COMPUTED_VALUE"""),13.0)</f>
        <v>13</v>
      </c>
      <c r="BV252" s="16">
        <f>IFERROR(__xludf.DUMMYFUNCTION("""COMPUTED_VALUE"""),0.0)</f>
        <v>0</v>
      </c>
      <c r="BW252" s="16">
        <f>IFERROR(__xludf.DUMMYFUNCTION("""COMPUTED_VALUE"""),1.0)</f>
        <v>1</v>
      </c>
      <c r="BX252" s="16">
        <f>IFERROR(__xludf.DUMMYFUNCTION("""COMPUTED_VALUE"""),0.0)</f>
        <v>0</v>
      </c>
      <c r="BY252" s="16">
        <f>IFERROR(__xludf.DUMMYFUNCTION("""COMPUTED_VALUE"""),3.0)</f>
        <v>3</v>
      </c>
      <c r="BZ252" s="16" t="str">
        <f>IFERROR(__xludf.DUMMYFUNCTION("""COMPUTED_VALUE"""),"D")</f>
        <v>D</v>
      </c>
      <c r="CA252" s="16" t="str">
        <f>IFERROR(__xludf.DUMMYFUNCTION("""COMPUTED_VALUE"""),"C")</f>
        <v>C</v>
      </c>
      <c r="CB252" s="16">
        <f>IFERROR(__xludf.DUMMYFUNCTION("""COMPUTED_VALUE"""),0.0)</f>
        <v>0</v>
      </c>
      <c r="CC252" s="16">
        <f>IFERROR(__xludf.DUMMYFUNCTION("""COMPUTED_VALUE"""),0.0)</f>
        <v>0</v>
      </c>
      <c r="CD252" s="16">
        <f>IFERROR(__xludf.DUMMYFUNCTION("""COMPUTED_VALUE"""),0.0)</f>
        <v>0</v>
      </c>
      <c r="CE252" s="16">
        <f>IFERROR(__xludf.DUMMYFUNCTION("""COMPUTED_VALUE"""),0.0)</f>
        <v>0</v>
      </c>
      <c r="CF252" s="16">
        <f>IFERROR(__xludf.DUMMYFUNCTION("""COMPUTED_VALUE"""),1.0)</f>
        <v>1</v>
      </c>
      <c r="CG252" s="16">
        <f>IFERROR(__xludf.DUMMYFUNCTION("""COMPUTED_VALUE"""),7.0)</f>
        <v>7</v>
      </c>
      <c r="CH252" s="16">
        <f>IFERROR(__xludf.DUMMYFUNCTION("""COMPUTED_VALUE"""),-16.0)</f>
        <v>-16</v>
      </c>
      <c r="CI252" s="179">
        <f>IFERROR(__xludf.DUMMYFUNCTION("""COMPUTED_VALUE"""),-5.0)</f>
        <v>-5</v>
      </c>
      <c r="CJ252" s="16"/>
      <c r="CK252" s="16">
        <f>IFERROR(__xludf.DUMMYFUNCTION("""COMPUTED_VALUE"""),411.0)</f>
        <v>411</v>
      </c>
      <c r="CL252" s="16"/>
      <c r="CM252" s="16">
        <f>IFERROR(__xludf.DUMMYFUNCTION("""COMPUTED_VALUE"""),537.0)</f>
        <v>537</v>
      </c>
      <c r="CN252" s="16"/>
      <c r="CO252" s="16">
        <f>IFERROR(__xludf.DUMMYFUNCTION("""COMPUTED_VALUE"""),405.0)</f>
        <v>405</v>
      </c>
      <c r="CP252" s="16"/>
      <c r="CQ252" s="16">
        <f>IFERROR(__xludf.DUMMYFUNCTION("""COMPUTED_VALUE"""),405.0)</f>
        <v>405</v>
      </c>
      <c r="CR252" s="16" t="str">
        <f>IFERROR(__xludf.DUMMYFUNCTION("""COMPUTED_VALUE"""),"1b-4e11 lf-4(+1)e5 rf-4e5 3b-5e37")</f>
        <v>1b-4e11 lf-4(+1)e5 rf-4e5 3b-5e37</v>
      </c>
      <c r="CS252" s="16"/>
      <c r="CT252" s="16">
        <f>IFERROR(__xludf.DUMMYFUNCTION("""COMPUTED_VALUE"""),4.0)</f>
        <v>4</v>
      </c>
      <c r="CU252" s="16"/>
      <c r="CV252" s="16">
        <f>IFERROR(__xludf.DUMMYFUNCTION("""COMPUTED_VALUE"""),5.0)</f>
        <v>5</v>
      </c>
      <c r="CW252" s="16"/>
      <c r="CX252" s="16">
        <f>IFERROR(__xludf.DUMMYFUNCTION("""COMPUTED_VALUE"""),4.0)</f>
        <v>4</v>
      </c>
      <c r="CY252" s="16"/>
      <c r="CZ252" s="16">
        <f>IFERROR(__xludf.DUMMYFUNCTION("""COMPUTED_VALUE"""),4.0)</f>
        <v>4</v>
      </c>
      <c r="DA252" s="16"/>
      <c r="DB252" s="16">
        <f>IFERROR(__xludf.DUMMYFUNCTION("""COMPUTED_VALUE"""),11.0)</f>
        <v>11</v>
      </c>
      <c r="DC252" s="16"/>
      <c r="DD252" s="16">
        <f>IFERROR(__xludf.DUMMYFUNCTION("""COMPUTED_VALUE"""),37.0)</f>
        <v>37</v>
      </c>
      <c r="DE252" s="16"/>
      <c r="DF252" s="16">
        <f>IFERROR(__xludf.DUMMYFUNCTION("""COMPUTED_VALUE"""),5.0)</f>
        <v>5</v>
      </c>
      <c r="DG252" s="16"/>
      <c r="DH252" s="16">
        <f>IFERROR(__xludf.DUMMYFUNCTION("""COMPUTED_VALUE"""),5.0)</f>
        <v>5</v>
      </c>
      <c r="DI252" s="16"/>
      <c r="DJ252" s="16">
        <f>IFERROR(__xludf.DUMMYFUNCTION("""COMPUTED_VALUE"""),0.0)</f>
        <v>0</v>
      </c>
      <c r="DK252" s="16"/>
      <c r="DL252" s="16">
        <f>IFERROR(__xludf.DUMMYFUNCTION("""COMPUTED_VALUE"""),-2.0)</f>
        <v>-2</v>
      </c>
      <c r="DM252" s="16"/>
      <c r="DN252" s="16">
        <f>IFERROR(__xludf.DUMMYFUNCTION("""COMPUTED_VALUE"""),-1.0)</f>
        <v>-1</v>
      </c>
      <c r="DO252" s="16"/>
      <c r="DP252" s="16">
        <f>IFERROR(__xludf.DUMMYFUNCTION("""COMPUTED_VALUE"""),-1.0)</f>
        <v>-1</v>
      </c>
      <c r="DQ252" s="16"/>
      <c r="DR252" s="16">
        <f>IFERROR(__xludf.DUMMYFUNCTION("""COMPUTED_VALUE"""),1.0)</f>
        <v>1</v>
      </c>
      <c r="DS252" s="16"/>
      <c r="DT252" s="16">
        <f>IFERROR(__xludf.DUMMYFUNCTION("""COMPUTED_VALUE"""),-2.0)</f>
        <v>-2</v>
      </c>
      <c r="DU252" s="16"/>
      <c r="DV252" s="16">
        <f>IFERROR(__xludf.DUMMYFUNCTION("""COMPUTED_VALUE"""),2.0)</f>
        <v>2</v>
      </c>
      <c r="DW252" s="16"/>
      <c r="DX252" s="16">
        <f>IFERROR(__xludf.DUMMYFUNCTION("""COMPUTED_VALUE"""),2.0)</f>
        <v>2</v>
      </c>
      <c r="DY252" s="16"/>
      <c r="DZ252" s="16">
        <f>IFERROR(__xludf.DUMMYFUNCTION("""COMPUTED_VALUE"""),1.0)</f>
        <v>1</v>
      </c>
      <c r="EA252" s="16"/>
      <c r="EB252" s="16">
        <f>IFERROR(__xludf.DUMMYFUNCTION("""COMPUTED_VALUE"""),-4.0)</f>
        <v>-4</v>
      </c>
      <c r="EC252" s="16"/>
      <c r="ED252" s="16">
        <f>IFERROR(__xludf.DUMMYFUNCTION("""COMPUTED_VALUE"""),1.0)</f>
        <v>1</v>
      </c>
      <c r="EE252" s="16"/>
      <c r="EF252" s="16">
        <f>IFERROR(__xludf.DUMMYFUNCTION("""COMPUTED_VALUE"""),1.0)</f>
        <v>1</v>
      </c>
      <c r="EG252" s="179"/>
      <c r="EH252" s="179">
        <f>IFERROR(__xludf.DUMMYFUNCTION("""COMPUTED_VALUE"""),-4.0)</f>
        <v>-4</v>
      </c>
      <c r="EI252" s="179"/>
      <c r="EJ252" s="179">
        <f>IFERROR(__xludf.DUMMYFUNCTION("""COMPUTED_VALUE"""),-9.0)</f>
        <v>-9</v>
      </c>
      <c r="EK252" s="179"/>
      <c r="EL252" s="179">
        <f>IFERROR(__xludf.DUMMYFUNCTION("""COMPUTED_VALUE"""),-4.0)</f>
        <v>-4</v>
      </c>
      <c r="EM252" s="179"/>
      <c r="EN252" s="179">
        <f>IFERROR(__xludf.DUMMYFUNCTION("""COMPUTED_VALUE"""),-4.0)</f>
        <v>-4</v>
      </c>
      <c r="EO252" s="16"/>
      <c r="EP252" s="16">
        <f>IFERROR(__xludf.DUMMYFUNCTION("""COMPUTED_VALUE"""),2.0)</f>
        <v>2</v>
      </c>
      <c r="EQ252" s="16">
        <f>IFERROR(__xludf.DUMMYFUNCTION("""COMPUTED_VALUE"""),4.0)</f>
        <v>4</v>
      </c>
      <c r="ER252" s="16">
        <f>IFERROR(__xludf.DUMMYFUNCTION("""COMPUTED_VALUE"""),1.0)</f>
        <v>1</v>
      </c>
      <c r="ES252" s="16"/>
      <c r="ET252" s="16"/>
      <c r="EU252" s="16"/>
      <c r="EV252" s="16"/>
      <c r="EW252" s="16"/>
      <c r="EX252" s="180"/>
      <c r="EY252" s="180">
        <f>IFERROR(__xludf.DUMMYFUNCTION("""COMPUTED_VALUE"""),0.3)</f>
        <v>0.3</v>
      </c>
      <c r="EZ252" s="180"/>
      <c r="FA252" s="180">
        <f>IFERROR(__xludf.DUMMYFUNCTION("""COMPUTED_VALUE"""),0.4)</f>
        <v>0.4</v>
      </c>
      <c r="FB252" s="180"/>
      <c r="FC252" s="180">
        <f>IFERROR(__xludf.DUMMYFUNCTION("""COMPUTED_VALUE"""),0.55)</f>
        <v>0.55</v>
      </c>
      <c r="FD252" s="180"/>
      <c r="FE252" s="180">
        <f>IFERROR(__xludf.DUMMYFUNCTION("""COMPUTED_VALUE"""),0.55)</f>
        <v>0.55</v>
      </c>
      <c r="FF252" s="180"/>
      <c r="FG252" s="180">
        <f>IFERROR(__xludf.DUMMYFUNCTION("""COMPUTED_VALUE"""),0.19907407407407407)</f>
        <v>0.1990740741</v>
      </c>
      <c r="FH252" s="180"/>
      <c r="FI252" s="180">
        <f>IFERROR(__xludf.DUMMYFUNCTION("""COMPUTED_VALUE"""),0.4444444444444444)</f>
        <v>0.4444444444</v>
      </c>
      <c r="FJ252" s="180"/>
      <c r="FK252" s="180">
        <f>IFERROR(__xludf.DUMMYFUNCTION("""COMPUTED_VALUE"""),0.088)</f>
        <v>0.088</v>
      </c>
      <c r="FL252" s="180"/>
      <c r="FM252" s="180">
        <f>IFERROR(__xludf.DUMMYFUNCTION("""COMPUTED_VALUE"""),0.088)</f>
        <v>0.088</v>
      </c>
      <c r="FN252" s="16"/>
      <c r="FO252" s="16">
        <f>IFERROR(__xludf.DUMMYFUNCTION("""COMPUTED_VALUE"""),0.5606481481481481)</f>
        <v>0.5606481481</v>
      </c>
      <c r="FP252" s="16"/>
      <c r="FQ252" s="16">
        <f>IFERROR(__xludf.DUMMYFUNCTION("""COMPUTED_VALUE"""),0.3333333333333333)</f>
        <v>0.3333333333</v>
      </c>
      <c r="FR252" s="16"/>
      <c r="FS252" s="16">
        <f>IFERROR(__xludf.DUMMYFUNCTION("""COMPUTED_VALUE"""),0.4104)</f>
        <v>0.4104</v>
      </c>
      <c r="FT252" s="16"/>
      <c r="FU252" s="16">
        <f>IFERROR(__xludf.DUMMYFUNCTION("""COMPUTED_VALUE"""),0.4104)</f>
        <v>0.4104</v>
      </c>
      <c r="FV252" s="16"/>
      <c r="FW252" s="16">
        <f>IFERROR(__xludf.DUMMYFUNCTION("""COMPUTED_VALUE"""),-6.0)</f>
        <v>-6</v>
      </c>
      <c r="FX252" s="16"/>
      <c r="FY252" s="16">
        <f>IFERROR(__xludf.DUMMYFUNCTION("""COMPUTED_VALUE"""),-8.0)</f>
        <v>-8</v>
      </c>
      <c r="FZ252" s="16"/>
      <c r="GA252" s="16">
        <f>IFERROR(__xludf.DUMMYFUNCTION("""COMPUTED_VALUE"""),-10.0)</f>
        <v>-10</v>
      </c>
      <c r="GB252" s="16"/>
      <c r="GC252" s="16">
        <f>IFERROR(__xludf.DUMMYFUNCTION("""COMPUTED_VALUE"""),-10.0)</f>
        <v>-10</v>
      </c>
      <c r="GD252" s="16" t="s">
        <v>176</v>
      </c>
    </row>
    <row r="253">
      <c r="A253" s="16">
        <f>IFERROR(__xludf.DUMMYFUNCTION("""COMPUTED_VALUE"""),12729.0)</f>
        <v>12729</v>
      </c>
      <c r="B253" s="16" t="str">
        <f>IFERROR(__xludf.DUMMYFUNCTION("""COMPUTED_VALUE"""),"Danny Jansen")</f>
        <v>Danny Jansen</v>
      </c>
      <c r="C253" s="16">
        <f>IFERROR(__xludf.DUMMYFUNCTION("""COMPUTED_VALUE"""),0.63)</f>
        <v>0.63</v>
      </c>
      <c r="D253" s="16" t="str">
        <f>IFERROR(__xludf.DUMMYFUNCTION("""COMPUTED_VALUE"""),"R")</f>
        <v>R</v>
      </c>
      <c r="E253" s="16"/>
      <c r="F253" s="16"/>
      <c r="G253" s="16">
        <f>IFERROR(__xludf.DUMMYFUNCTION("""COMPUTED_VALUE"""),278.0)</f>
        <v>278</v>
      </c>
      <c r="H253" s="16">
        <f>IFERROR(__xludf.DUMMYFUNCTION("""COMPUTED_VALUE"""),40.0)</f>
        <v>40</v>
      </c>
      <c r="I253" s="16" t="str">
        <f>IFERROR(__xludf.DUMMYFUNCTION("""COMPUTED_VALUE"""),"3p50")</f>
        <v>3p50</v>
      </c>
      <c r="J253" s="16">
        <f>IFERROR(__xludf.DUMMYFUNCTION("""COMPUTED_VALUE"""),15.0)</f>
        <v>15</v>
      </c>
      <c r="K253" s="16">
        <f>IFERROR(__xludf.DUMMYFUNCTION("""COMPUTED_VALUE"""),16.0)</f>
        <v>16</v>
      </c>
      <c r="L253" s="16">
        <f>IFERROR(__xludf.DUMMYFUNCTION("""COMPUTED_VALUE"""),1.0)</f>
        <v>1</v>
      </c>
      <c r="M253" s="16">
        <f>IFERROR(__xludf.DUMMYFUNCTION("""COMPUTED_VALUE"""),1.0)</f>
        <v>1</v>
      </c>
      <c r="N253" s="16">
        <f>IFERROR(__xludf.DUMMYFUNCTION("""COMPUTED_VALUE"""),1.0)</f>
        <v>1</v>
      </c>
      <c r="O253" s="16">
        <f>IFERROR(__xludf.DUMMYFUNCTION("""COMPUTED_VALUE"""),1.0)</f>
        <v>1</v>
      </c>
      <c r="P253" s="16">
        <f>IFERROR(__xludf.DUMMYFUNCTION("""COMPUTED_VALUE"""),30.0)</f>
        <v>30</v>
      </c>
      <c r="Q253" s="16">
        <f>IFERROR(__xludf.DUMMYFUNCTION("""COMPUTED_VALUE"""),14.0)</f>
        <v>14</v>
      </c>
      <c r="R253" s="16">
        <f>IFERROR(__xludf.DUMMYFUNCTION("""COMPUTED_VALUE"""),3.0)</f>
        <v>3</v>
      </c>
      <c r="S253" s="16">
        <f>IFERROR(__xludf.DUMMYFUNCTION("""COMPUTED_VALUE"""),2.0)</f>
        <v>2</v>
      </c>
      <c r="T253" s="16">
        <f>IFERROR(__xludf.DUMMYFUNCTION("""COMPUTED_VALUE"""),3.0)</f>
        <v>3</v>
      </c>
      <c r="U253" s="16">
        <f>IFERROR(__xludf.DUMMYFUNCTION("""COMPUTED_VALUE"""),2.0)</f>
        <v>2</v>
      </c>
      <c r="V253" s="16">
        <f>IFERROR(__xludf.DUMMYFUNCTION("""COMPUTED_VALUE"""),14.6)</f>
        <v>14.6</v>
      </c>
      <c r="W253" s="16">
        <f>IFERROR(__xludf.DUMMYFUNCTION("""COMPUTED_VALUE"""),8.8)</f>
        <v>8.8</v>
      </c>
      <c r="X253" s="16">
        <f>IFERROR(__xludf.DUMMYFUNCTION("""COMPUTED_VALUE"""),-1.0)</f>
        <v>-1</v>
      </c>
      <c r="Y253" s="16">
        <f>IFERROR(__xludf.DUMMYFUNCTION("""COMPUTED_VALUE"""),-2.0)</f>
        <v>-2</v>
      </c>
      <c r="Z253" s="16">
        <f>IFERROR(__xludf.DUMMYFUNCTION("""COMPUTED_VALUE"""),-2.0)</f>
        <v>-2</v>
      </c>
      <c r="AA253" s="16">
        <f>IFERROR(__xludf.DUMMYFUNCTION("""COMPUTED_VALUE"""),-4.0)</f>
        <v>-4</v>
      </c>
      <c r="AB253" s="16">
        <f>IFERROR(__xludf.DUMMYFUNCTION("""COMPUTED_VALUE"""),46.7)</f>
        <v>46.7</v>
      </c>
      <c r="AC253" s="16">
        <f>IFERROR(__xludf.DUMMYFUNCTION("""COMPUTED_VALUE"""),24.8)</f>
        <v>24.8</v>
      </c>
      <c r="AD253" s="16">
        <f>IFERROR(__xludf.DUMMYFUNCTION("""COMPUTED_VALUE"""),2.0)</f>
        <v>2</v>
      </c>
      <c r="AE253" s="16">
        <f>IFERROR(__xludf.DUMMYFUNCTION("""COMPUTED_VALUE"""),-1.0)</f>
        <v>-1</v>
      </c>
      <c r="AF253" s="16">
        <f>IFERROR(__xludf.DUMMYFUNCTION("""COMPUTED_VALUE"""),10.0)</f>
        <v>10</v>
      </c>
      <c r="AG253" s="16">
        <f>IFERROR(__xludf.DUMMYFUNCTION("""COMPUTED_VALUE"""),-5.0)</f>
        <v>-5</v>
      </c>
      <c r="AH253" s="16">
        <f>IFERROR(__xludf.DUMMYFUNCTION("""COMPUTED_VALUE"""),17.6)</f>
        <v>17.6</v>
      </c>
      <c r="AI253" s="16">
        <f>IFERROR(__xludf.DUMMYFUNCTION("""COMPUTED_VALUE"""),20.8)</f>
        <v>20.8</v>
      </c>
      <c r="AJ253" s="16">
        <f>IFERROR(__xludf.DUMMYFUNCTION("""COMPUTED_VALUE"""),-1.0)</f>
        <v>-1</v>
      </c>
      <c r="AK253" s="16">
        <f>IFERROR(__xludf.DUMMYFUNCTION("""COMPUTED_VALUE"""),-1.0)</f>
        <v>-1</v>
      </c>
      <c r="AL253" s="16">
        <f>IFERROR(__xludf.DUMMYFUNCTION("""COMPUTED_VALUE"""),-5.0)</f>
        <v>-5</v>
      </c>
      <c r="AM253" s="16">
        <f>IFERROR(__xludf.DUMMYFUNCTION("""COMPUTED_VALUE"""),-5.0)</f>
        <v>-5</v>
      </c>
      <c r="AN253" s="16">
        <f>IFERROR(__xludf.DUMMYFUNCTION("""COMPUTED_VALUE"""),1.0)</f>
        <v>1</v>
      </c>
      <c r="AO253" s="16">
        <f>IFERROR(__xludf.DUMMYFUNCTION("""COMPUTED_VALUE"""),2.2)</f>
        <v>2.2</v>
      </c>
      <c r="AP253" s="16">
        <f>IFERROR(__xludf.DUMMYFUNCTION("""COMPUTED_VALUE"""),-2.0)</f>
        <v>-2</v>
      </c>
      <c r="AQ253" s="16">
        <f>IFERROR(__xludf.DUMMYFUNCTION("""COMPUTED_VALUE"""),0.0)</f>
        <v>0</v>
      </c>
      <c r="AR253" s="16">
        <f>IFERROR(__xludf.DUMMYFUNCTION("""COMPUTED_VALUE"""),-4.0)</f>
        <v>-4</v>
      </c>
      <c r="AS253" s="16">
        <f>IFERROR(__xludf.DUMMYFUNCTION("""COMPUTED_VALUE"""),0.0)</f>
        <v>0</v>
      </c>
      <c r="AT253" s="16">
        <f>IFERROR(__xludf.DUMMYFUNCTION("""COMPUTED_VALUE"""),0.0)</f>
        <v>0</v>
      </c>
      <c r="AU253" s="16">
        <f>IFERROR(__xludf.DUMMYFUNCTION("""COMPUTED_VALUE"""),3.0)</f>
        <v>3</v>
      </c>
      <c r="AV253" s="16">
        <f>IFERROR(__xludf.DUMMYFUNCTION("""COMPUTED_VALUE"""),0.0)</f>
        <v>0</v>
      </c>
      <c r="AW253" s="16">
        <f>IFERROR(__xludf.DUMMYFUNCTION("""COMPUTED_VALUE"""),3.0)</f>
        <v>3</v>
      </c>
      <c r="AX253" s="16">
        <f>IFERROR(__xludf.DUMMYFUNCTION("""COMPUTED_VALUE"""),-2.0)</f>
        <v>-2</v>
      </c>
      <c r="AY253" s="16">
        <f>IFERROR(__xludf.DUMMYFUNCTION("""COMPUTED_VALUE"""),0.0)</f>
        <v>0</v>
      </c>
      <c r="AZ253" s="16">
        <f>IFERROR(__xludf.DUMMYFUNCTION("""COMPUTED_VALUE"""),-6.0)</f>
        <v>-6</v>
      </c>
      <c r="BA253" s="16">
        <f>IFERROR(__xludf.DUMMYFUNCTION("""COMPUTED_VALUE"""),0.0)</f>
        <v>0</v>
      </c>
      <c r="BB253" s="16">
        <f>IFERROR(__xludf.DUMMYFUNCTION("""COMPUTED_VALUE"""),5.0)</f>
        <v>5</v>
      </c>
      <c r="BC253" s="16">
        <f>IFERROR(__xludf.DUMMYFUNCTION("""COMPUTED_VALUE"""),5.0)</f>
        <v>5</v>
      </c>
      <c r="BD253" s="16">
        <f>IFERROR(__xludf.DUMMYFUNCTION("""COMPUTED_VALUE"""),1.0)</f>
        <v>1</v>
      </c>
      <c r="BE253" s="16">
        <f>IFERROR(__xludf.DUMMYFUNCTION("""COMPUTED_VALUE"""),1.0)</f>
        <v>1</v>
      </c>
      <c r="BF253" s="16">
        <f>IFERROR(__xludf.DUMMYFUNCTION("""COMPUTED_VALUE"""),1.0)</f>
        <v>1</v>
      </c>
      <c r="BG253" s="16">
        <f>IFERROR(__xludf.DUMMYFUNCTION("""COMPUTED_VALUE"""),1.0)</f>
        <v>1</v>
      </c>
      <c r="BH253" s="16">
        <f>IFERROR(__xludf.DUMMYFUNCTION("""COMPUTED_VALUE"""),-6.0)</f>
        <v>-6</v>
      </c>
      <c r="BI253" s="16">
        <f>IFERROR(__xludf.DUMMYFUNCTION("""COMPUTED_VALUE"""),0.0)</f>
        <v>0</v>
      </c>
      <c r="BJ253" s="16">
        <f>IFERROR(__xludf.DUMMYFUNCTION("""COMPUTED_VALUE"""),5.0)</f>
        <v>5</v>
      </c>
      <c r="BK253" s="16">
        <f>IFERROR(__xludf.DUMMYFUNCTION("""COMPUTED_VALUE"""),8.0)</f>
        <v>8</v>
      </c>
      <c r="BL253" s="16">
        <f>IFERROR(__xludf.DUMMYFUNCTION("""COMPUTED_VALUE"""),1.0)</f>
        <v>1</v>
      </c>
      <c r="BM253" s="16">
        <f>IFERROR(__xludf.DUMMYFUNCTION("""COMPUTED_VALUE"""),1.0)</f>
        <v>1</v>
      </c>
      <c r="BN253" s="16">
        <f>IFERROR(__xludf.DUMMYFUNCTION("""COMPUTED_VALUE"""),1.0)</f>
        <v>1</v>
      </c>
      <c r="BO253" s="16">
        <f>IFERROR(__xludf.DUMMYFUNCTION("""COMPUTED_VALUE"""),1.0)</f>
        <v>1</v>
      </c>
      <c r="BP253" s="16">
        <f>IFERROR(__xludf.DUMMYFUNCTION("""COMPUTED_VALUE"""),2.0)</f>
        <v>2</v>
      </c>
      <c r="BQ253" s="16">
        <f>IFERROR(__xludf.DUMMYFUNCTION("""COMPUTED_VALUE"""),1.0)</f>
        <v>1</v>
      </c>
      <c r="BR253" s="16">
        <f>IFERROR(__xludf.DUMMYFUNCTION("""COMPUTED_VALUE"""),3.0)</f>
        <v>3</v>
      </c>
      <c r="BS253" s="16" t="str">
        <f>IFERROR(__xludf.DUMMYFUNCTION("""COMPUTED_VALUE"""),"-/- (---)")</f>
        <v>-/- (---)</v>
      </c>
      <c r="BT253" s="16" t="str">
        <f>IFERROR(__xludf.DUMMYFUNCTION("""COMPUTED_VALUE"""),"E")</f>
        <v>E</v>
      </c>
      <c r="BU253" s="16">
        <f>IFERROR(__xludf.DUMMYFUNCTION("""COMPUTED_VALUE"""),11.0)</f>
        <v>11</v>
      </c>
      <c r="BV253" s="16">
        <f>IFERROR(__xludf.DUMMYFUNCTION("""COMPUTED_VALUE"""),0.0)</f>
        <v>0</v>
      </c>
      <c r="BW253" s="16">
        <f>IFERROR(__xludf.DUMMYFUNCTION("""COMPUTED_VALUE"""),0.0)</f>
        <v>0</v>
      </c>
      <c r="BX253" s="16">
        <f>IFERROR(__xludf.DUMMYFUNCTION("""COMPUTED_VALUE"""),0.0)</f>
        <v>0</v>
      </c>
      <c r="BY253" s="16">
        <f>IFERROR(__xludf.DUMMYFUNCTION("""COMPUTED_VALUE"""),0.0)</f>
        <v>0</v>
      </c>
      <c r="BZ253" s="16" t="str">
        <f>IFERROR(__xludf.DUMMYFUNCTION("""COMPUTED_VALUE"""),"D")</f>
        <v>D</v>
      </c>
      <c r="CA253" s="16" t="str">
        <f>IFERROR(__xludf.DUMMYFUNCTION("""COMPUTED_VALUE"""),"C")</f>
        <v>C</v>
      </c>
      <c r="CB253" s="16">
        <f>IFERROR(__xludf.DUMMYFUNCTION("""COMPUTED_VALUE"""),0.0)</f>
        <v>0</v>
      </c>
      <c r="CC253" s="16">
        <f>IFERROR(__xludf.DUMMYFUNCTION("""COMPUTED_VALUE"""),0.0)</f>
        <v>0</v>
      </c>
      <c r="CD253" s="16">
        <f>IFERROR(__xludf.DUMMYFUNCTION("""COMPUTED_VALUE"""),0.0)</f>
        <v>0</v>
      </c>
      <c r="CE253" s="16">
        <f>IFERROR(__xludf.DUMMYFUNCTION("""COMPUTED_VALUE"""),0.0)</f>
        <v>0</v>
      </c>
      <c r="CF253" s="16">
        <f>IFERROR(__xludf.DUMMYFUNCTION("""COMPUTED_VALUE"""),3.0)</f>
        <v>3</v>
      </c>
      <c r="CG253" s="16">
        <f>IFERROR(__xludf.DUMMYFUNCTION("""COMPUTED_VALUE"""),-1.0)</f>
        <v>-1</v>
      </c>
      <c r="CH253" s="16">
        <f>IFERROR(__xludf.DUMMYFUNCTION("""COMPUTED_VALUE"""),-9.0)</f>
        <v>-9</v>
      </c>
      <c r="CI253" s="179">
        <f>IFERROR(__xludf.DUMMYFUNCTION("""COMPUTED_VALUE"""),-6.0)</f>
        <v>-6</v>
      </c>
      <c r="CJ253" s="16">
        <f>IFERROR(__xludf.DUMMYFUNCTION("""COMPUTED_VALUE"""),204.0)</f>
        <v>204</v>
      </c>
      <c r="CK253" s="16"/>
      <c r="CL253" s="16"/>
      <c r="CM253" s="16"/>
      <c r="CN253" s="16"/>
      <c r="CO253" s="16"/>
      <c r="CP253" s="16"/>
      <c r="CQ253" s="16"/>
      <c r="CR253" s="16" t="str">
        <f>IFERROR(__xludf.DUMMYFUNCTION("""COMPUTED_VALUE"""),"c-2(+2)e4,T-8(pb-1)")</f>
        <v>c-2(+2)e4,T-8(pb-1)</v>
      </c>
      <c r="CS253" s="16">
        <f>IFERROR(__xludf.DUMMYFUNCTION("""COMPUTED_VALUE"""),2.0)</f>
        <v>2</v>
      </c>
      <c r="CT253" s="16"/>
      <c r="CU253" s="16"/>
      <c r="CV253" s="16"/>
      <c r="CW253" s="16"/>
      <c r="CX253" s="16"/>
      <c r="CY253" s="16"/>
      <c r="CZ253" s="16"/>
      <c r="DA253" s="16">
        <f>IFERROR(__xludf.DUMMYFUNCTION("""COMPUTED_VALUE"""),4.0)</f>
        <v>4</v>
      </c>
      <c r="DB253" s="16"/>
      <c r="DC253" s="16"/>
      <c r="DD253" s="16"/>
      <c r="DE253" s="16"/>
      <c r="DF253" s="16"/>
      <c r="DG253" s="16"/>
      <c r="DH253" s="16"/>
      <c r="DI253" s="16">
        <f>IFERROR(__xludf.DUMMYFUNCTION("""COMPUTED_VALUE"""),2.0)</f>
        <v>2</v>
      </c>
      <c r="DJ253" s="16"/>
      <c r="DK253" s="16"/>
      <c r="DL253" s="16"/>
      <c r="DM253" s="16"/>
      <c r="DN253" s="16"/>
      <c r="DO253" s="16"/>
      <c r="DP253" s="16"/>
      <c r="DQ253" s="16">
        <f>IFERROR(__xludf.DUMMYFUNCTION("""COMPUTED_VALUE"""),3.0)</f>
        <v>3</v>
      </c>
      <c r="DR253" s="16"/>
      <c r="DS253" s="16"/>
      <c r="DT253" s="16"/>
      <c r="DU253" s="16"/>
      <c r="DV253" s="16"/>
      <c r="DW253" s="16"/>
      <c r="DX253" s="16"/>
      <c r="DY253" s="16">
        <f>IFERROR(__xludf.DUMMYFUNCTION("""COMPUTED_VALUE"""),5.0)</f>
        <v>5</v>
      </c>
      <c r="DZ253" s="16"/>
      <c r="EA253" s="16"/>
      <c r="EB253" s="16"/>
      <c r="EC253" s="16"/>
      <c r="ED253" s="16"/>
      <c r="EE253" s="16"/>
      <c r="EF253" s="16"/>
      <c r="EG253" s="179">
        <f>IFERROR(__xludf.DUMMYFUNCTION("""COMPUTED_VALUE"""),1.0)</f>
        <v>1</v>
      </c>
      <c r="EH253" s="179"/>
      <c r="EI253" s="179"/>
      <c r="EJ253" s="179"/>
      <c r="EK253" s="179"/>
      <c r="EL253" s="179"/>
      <c r="EM253" s="179"/>
      <c r="EN253" s="179"/>
      <c r="EO253" s="16">
        <f>IFERROR(__xludf.DUMMYFUNCTION("""COMPUTED_VALUE"""),2.0)</f>
        <v>2</v>
      </c>
      <c r="EP253" s="16">
        <f>IFERROR(__xludf.DUMMYFUNCTION("""COMPUTED_VALUE"""),-1.0)</f>
        <v>-1</v>
      </c>
      <c r="EQ253" s="16">
        <f>IFERROR(__xludf.DUMMYFUNCTION("""COMPUTED_VALUE"""),1.0)</f>
        <v>1</v>
      </c>
      <c r="ER253" s="16">
        <f>IFERROR(__xludf.DUMMYFUNCTION("""COMPUTED_VALUE"""),0.0)</f>
        <v>0</v>
      </c>
      <c r="ES253" s="16" t="str">
        <f>IFERROR(__xludf.DUMMYFUNCTION("""COMPUTED_VALUE"""),"c-2")</f>
        <v>c-2</v>
      </c>
      <c r="ET253" s="16" t="str">
        <f>IFERROR(__xludf.DUMMYFUNCTION("""COMPUTED_VALUE"""),"+2)e4,T-8")</f>
        <v>+2)e4,T-8</v>
      </c>
      <c r="EU253" s="16" t="str">
        <f>IFERROR(__xludf.DUMMYFUNCTION("""COMPUTED_VALUE"""),"pb-1)")</f>
        <v>pb-1)</v>
      </c>
      <c r="EV253" s="16"/>
      <c r="EW253" s="16">
        <f>IFERROR(__xludf.DUMMYFUNCTION("""COMPUTED_VALUE"""),2.0)</f>
        <v>2</v>
      </c>
      <c r="EX253" s="180">
        <f>IFERROR(__xludf.DUMMYFUNCTION("""COMPUTED_VALUE"""),0.1)</f>
        <v>0.1</v>
      </c>
      <c r="EY253" s="180"/>
      <c r="EZ253" s="180"/>
      <c r="FA253" s="180"/>
      <c r="FB253" s="180"/>
      <c r="FC253" s="180"/>
      <c r="FD253" s="180"/>
      <c r="FE253" s="180"/>
      <c r="FF253" s="180">
        <f>IFERROR(__xludf.DUMMYFUNCTION("""COMPUTED_VALUE"""),0.047)</f>
        <v>0.047</v>
      </c>
      <c r="FG253" s="180"/>
      <c r="FH253" s="180"/>
      <c r="FI253" s="180"/>
      <c r="FJ253" s="180"/>
      <c r="FK253" s="180"/>
      <c r="FL253" s="180"/>
      <c r="FM253" s="180"/>
      <c r="FN253" s="16">
        <f>IFERROR(__xludf.DUMMYFUNCTION("""COMPUTED_VALUE"""),0.8577)</f>
        <v>0.8577</v>
      </c>
      <c r="FO253" s="16"/>
      <c r="FP253" s="16"/>
      <c r="FQ253" s="16"/>
      <c r="FR253" s="16"/>
      <c r="FS253" s="16"/>
      <c r="FT253" s="16"/>
      <c r="FU253" s="16"/>
      <c r="FV253" s="16">
        <f>IFERROR(__xludf.DUMMYFUNCTION("""COMPUTED_VALUE"""),2.0)</f>
        <v>2</v>
      </c>
      <c r="FW253" s="16"/>
      <c r="FX253" s="16"/>
      <c r="FY253" s="16"/>
      <c r="FZ253" s="16"/>
      <c r="GA253" s="16"/>
      <c r="GB253" s="16"/>
      <c r="GC253" s="16"/>
      <c r="GD253" s="16" t="s">
        <v>200</v>
      </c>
    </row>
    <row r="254">
      <c r="A254" s="16">
        <f>IFERROR(__xludf.DUMMYFUNCTION("""COMPUTED_VALUE"""),13416.0)</f>
        <v>13416</v>
      </c>
      <c r="B254" s="16" t="str">
        <f>IFERROR(__xludf.DUMMYFUNCTION("""COMPUTED_VALUE"""),"TJ Friedl")</f>
        <v>TJ Friedl</v>
      </c>
      <c r="C254" s="16">
        <f>IFERROR(__xludf.DUMMYFUNCTION("""COMPUTED_VALUE"""),0.26)</f>
        <v>0.26</v>
      </c>
      <c r="D254" s="16" t="str">
        <f>IFERROR(__xludf.DUMMYFUNCTION("""COMPUTED_VALUE"""),"L")</f>
        <v>L</v>
      </c>
      <c r="E254" s="16"/>
      <c r="F254" s="16"/>
      <c r="G254" s="16">
        <f>IFERROR(__xludf.DUMMYFUNCTION("""COMPUTED_VALUE"""),297.0)</f>
        <v>297</v>
      </c>
      <c r="H254" s="16">
        <f>IFERROR(__xludf.DUMMYFUNCTION("""COMPUTED_VALUE"""),26.0)</f>
        <v>26</v>
      </c>
      <c r="I254" s="16" t="str">
        <f>IFERROR(__xludf.DUMMYFUNCTION("""COMPUTED_VALUE"""),"5p40")</f>
        <v>5p40</v>
      </c>
      <c r="J254" s="16">
        <f>IFERROR(__xludf.DUMMYFUNCTION("""COMPUTED_VALUE"""),21.0)</f>
        <v>21</v>
      </c>
      <c r="K254" s="16">
        <f>IFERROR(__xludf.DUMMYFUNCTION("""COMPUTED_VALUE"""),6.0)</f>
        <v>6</v>
      </c>
      <c r="L254" s="16">
        <f>IFERROR(__xludf.DUMMYFUNCTION("""COMPUTED_VALUE"""),0.0)</f>
        <v>0</v>
      </c>
      <c r="M254" s="16">
        <f>IFERROR(__xludf.DUMMYFUNCTION("""COMPUTED_VALUE"""),2.0)</f>
        <v>2</v>
      </c>
      <c r="N254" s="16">
        <f>IFERROR(__xludf.DUMMYFUNCTION("""COMPUTED_VALUE"""),0.0)</f>
        <v>0</v>
      </c>
      <c r="O254" s="16">
        <f>IFERROR(__xludf.DUMMYFUNCTION("""COMPUTED_VALUE"""),2.0)</f>
        <v>2</v>
      </c>
      <c r="P254" s="16">
        <f>IFERROR(__xludf.DUMMYFUNCTION("""COMPUTED_VALUE"""),14.0)</f>
        <v>14</v>
      </c>
      <c r="Q254" s="16">
        <f>IFERROR(__xludf.DUMMYFUNCTION("""COMPUTED_VALUE"""),5.0)</f>
        <v>5</v>
      </c>
      <c r="R254" s="16">
        <f>IFERROR(__xludf.DUMMYFUNCTION("""COMPUTED_VALUE"""),2.0)</f>
        <v>2</v>
      </c>
      <c r="S254" s="16">
        <f>IFERROR(__xludf.DUMMYFUNCTION("""COMPUTED_VALUE"""),-1.0)</f>
        <v>-1</v>
      </c>
      <c r="T254" s="16">
        <f>IFERROR(__xludf.DUMMYFUNCTION("""COMPUTED_VALUE"""),2.0)</f>
        <v>2</v>
      </c>
      <c r="U254" s="16">
        <f>IFERROR(__xludf.DUMMYFUNCTION("""COMPUTED_VALUE"""),-1.0)</f>
        <v>-1</v>
      </c>
      <c r="V254" s="16">
        <f>IFERROR(__xludf.DUMMYFUNCTION("""COMPUTED_VALUE"""),10.8)</f>
        <v>10.8</v>
      </c>
      <c r="W254" s="16">
        <f>IFERROR(__xludf.DUMMYFUNCTION("""COMPUTED_VALUE"""),14.0)</f>
        <v>14</v>
      </c>
      <c r="X254" s="16">
        <f>IFERROR(__xludf.DUMMYFUNCTION("""COMPUTED_VALUE"""),-1.0)</f>
        <v>-1</v>
      </c>
      <c r="Y254" s="16">
        <f>IFERROR(__xludf.DUMMYFUNCTION("""COMPUTED_VALUE"""),-1.0)</f>
        <v>-1</v>
      </c>
      <c r="Z254" s="16">
        <f>IFERROR(__xludf.DUMMYFUNCTION("""COMPUTED_VALUE"""),-2.0)</f>
        <v>-2</v>
      </c>
      <c r="AA254" s="16">
        <f>IFERROR(__xludf.DUMMYFUNCTION("""COMPUTED_VALUE"""),-2.0)</f>
        <v>-2</v>
      </c>
      <c r="AB254" s="16">
        <f>IFERROR(__xludf.DUMMYFUNCTION("""COMPUTED_VALUE"""),32.8)</f>
        <v>32.8</v>
      </c>
      <c r="AC254" s="16">
        <f>IFERROR(__xludf.DUMMYFUNCTION("""COMPUTED_VALUE"""),27.0)</f>
        <v>27</v>
      </c>
      <c r="AD254" s="16">
        <f>IFERROR(__xludf.DUMMYFUNCTION("""COMPUTED_VALUE"""),0.0)</f>
        <v>0</v>
      </c>
      <c r="AE254" s="16">
        <f>IFERROR(__xludf.DUMMYFUNCTION("""COMPUTED_VALUE"""),-1.0)</f>
        <v>-1</v>
      </c>
      <c r="AF254" s="16">
        <f>IFERROR(__xludf.DUMMYFUNCTION("""COMPUTED_VALUE"""),0.0)</f>
        <v>0</v>
      </c>
      <c r="AG254" s="16">
        <f>IFERROR(__xludf.DUMMYFUNCTION("""COMPUTED_VALUE"""),-5.0)</f>
        <v>-5</v>
      </c>
      <c r="AH254" s="16">
        <f>IFERROR(__xludf.DUMMYFUNCTION("""COMPUTED_VALUE"""),17.5)</f>
        <v>17.5</v>
      </c>
      <c r="AI254" s="16">
        <f>IFERROR(__xludf.DUMMYFUNCTION("""COMPUTED_VALUE"""),24.9)</f>
        <v>24.9</v>
      </c>
      <c r="AJ254" s="16">
        <f>IFERROR(__xludf.DUMMYFUNCTION("""COMPUTED_VALUE"""),-1.0)</f>
        <v>-1</v>
      </c>
      <c r="AK254" s="16">
        <f>IFERROR(__xludf.DUMMYFUNCTION("""COMPUTED_VALUE"""),-1.0)</f>
        <v>-1</v>
      </c>
      <c r="AL254" s="16">
        <f>IFERROR(__xludf.DUMMYFUNCTION("""COMPUTED_VALUE"""),-5.0)</f>
        <v>-5</v>
      </c>
      <c r="AM254" s="16">
        <f>IFERROR(__xludf.DUMMYFUNCTION("""COMPUTED_VALUE"""),-5.0)</f>
        <v>-5</v>
      </c>
      <c r="AN254" s="16">
        <f>IFERROR(__xludf.DUMMYFUNCTION("""COMPUTED_VALUE"""),2.3)</f>
        <v>2.3</v>
      </c>
      <c r="AO254" s="16">
        <f>IFERROR(__xludf.DUMMYFUNCTION("""COMPUTED_VALUE"""),3.5)</f>
        <v>3.5</v>
      </c>
      <c r="AP254" s="16">
        <f>IFERROR(__xludf.DUMMYFUNCTION("""COMPUTED_VALUE"""),0.0)</f>
        <v>0</v>
      </c>
      <c r="AQ254" s="16">
        <f>IFERROR(__xludf.DUMMYFUNCTION("""COMPUTED_VALUE"""),1.0)</f>
        <v>1</v>
      </c>
      <c r="AR254" s="16">
        <f>IFERROR(__xludf.DUMMYFUNCTION("""COMPUTED_VALUE"""),0.0)</f>
        <v>0</v>
      </c>
      <c r="AS254" s="16">
        <f>IFERROR(__xludf.DUMMYFUNCTION("""COMPUTED_VALUE"""),2.0)</f>
        <v>2</v>
      </c>
      <c r="AT254" s="16">
        <f>IFERROR(__xludf.DUMMYFUNCTION("""COMPUTED_VALUE"""),1.0)</f>
        <v>1</v>
      </c>
      <c r="AU254" s="16">
        <f>IFERROR(__xludf.DUMMYFUNCTION("""COMPUTED_VALUE"""),3.0)</f>
        <v>3</v>
      </c>
      <c r="AV254" s="16">
        <f>IFERROR(__xludf.DUMMYFUNCTION("""COMPUTED_VALUE"""),1.0)</f>
        <v>1</v>
      </c>
      <c r="AW254" s="16">
        <f>IFERROR(__xludf.DUMMYFUNCTION("""COMPUTED_VALUE"""),3.0)</f>
        <v>3</v>
      </c>
      <c r="AX254" s="16">
        <f>IFERROR(__xludf.DUMMYFUNCTION("""COMPUTED_VALUE"""),-1.0)</f>
        <v>-1</v>
      </c>
      <c r="AY254" s="16">
        <f>IFERROR(__xludf.DUMMYFUNCTION("""COMPUTED_VALUE"""),0.0)</f>
        <v>0</v>
      </c>
      <c r="AZ254" s="16">
        <f>IFERROR(__xludf.DUMMYFUNCTION("""COMPUTED_VALUE"""),-3.0)</f>
        <v>-3</v>
      </c>
      <c r="BA254" s="16">
        <f>IFERROR(__xludf.DUMMYFUNCTION("""COMPUTED_VALUE"""),0.0)</f>
        <v>0</v>
      </c>
      <c r="BB254" s="16">
        <f>IFERROR(__xludf.DUMMYFUNCTION("""COMPUTED_VALUE"""),5.0)</f>
        <v>5</v>
      </c>
      <c r="BC254" s="16">
        <f>IFERROR(__xludf.DUMMYFUNCTION("""COMPUTED_VALUE"""),5.0)</f>
        <v>5</v>
      </c>
      <c r="BD254" s="16">
        <f>IFERROR(__xludf.DUMMYFUNCTION("""COMPUTED_VALUE"""),1.0)</f>
        <v>1</v>
      </c>
      <c r="BE254" s="16">
        <f>IFERROR(__xludf.DUMMYFUNCTION("""COMPUTED_VALUE"""),1.0)</f>
        <v>1</v>
      </c>
      <c r="BF254" s="16">
        <f>IFERROR(__xludf.DUMMYFUNCTION("""COMPUTED_VALUE"""),1.0)</f>
        <v>1</v>
      </c>
      <c r="BG254" s="16">
        <f>IFERROR(__xludf.DUMMYFUNCTION("""COMPUTED_VALUE"""),1.0)</f>
        <v>1</v>
      </c>
      <c r="BH254" s="16">
        <f>IFERROR(__xludf.DUMMYFUNCTION("""COMPUTED_VALUE"""),7.0)</f>
        <v>7</v>
      </c>
      <c r="BI254" s="16">
        <f>IFERROR(__xludf.DUMMYFUNCTION("""COMPUTED_VALUE"""),8.0)</f>
        <v>8</v>
      </c>
      <c r="BJ254" s="16">
        <f>IFERROR(__xludf.DUMMYFUNCTION("""COMPUTED_VALUE"""),0.0)</f>
        <v>0</v>
      </c>
      <c r="BK254" s="16">
        <f>IFERROR(__xludf.DUMMYFUNCTION("""COMPUTED_VALUE"""),0.0)</f>
        <v>0</v>
      </c>
      <c r="BL254" s="16">
        <f>IFERROR(__xludf.DUMMYFUNCTION("""COMPUTED_VALUE"""),3.0)</f>
        <v>3</v>
      </c>
      <c r="BM254" s="16">
        <f>IFERROR(__xludf.DUMMYFUNCTION("""COMPUTED_VALUE"""),3.0)</f>
        <v>3</v>
      </c>
      <c r="BN254" s="16">
        <f>IFERROR(__xludf.DUMMYFUNCTION("""COMPUTED_VALUE"""),3.0)</f>
        <v>3</v>
      </c>
      <c r="BO254" s="16">
        <f>IFERROR(__xludf.DUMMYFUNCTION("""COMPUTED_VALUE"""),3.0)</f>
        <v>3</v>
      </c>
      <c r="BP254" s="16">
        <f>IFERROR(__xludf.DUMMYFUNCTION("""COMPUTED_VALUE"""),3.0)</f>
        <v>3</v>
      </c>
      <c r="BQ254" s="16">
        <f>IFERROR(__xludf.DUMMYFUNCTION("""COMPUTED_VALUE"""),3.0)</f>
        <v>3</v>
      </c>
      <c r="BR254" s="16">
        <f>IFERROR(__xludf.DUMMYFUNCTION("""COMPUTED_VALUE"""),6.0)</f>
        <v>6</v>
      </c>
      <c r="BS254" s="16" t="str">
        <f>IFERROR(__xludf.DUMMYFUNCTION("""COMPUTED_VALUE"""),"*7/- (19-11)")</f>
        <v>*7/- (19-11)</v>
      </c>
      <c r="BT254" s="16" t="str">
        <f>IFERROR(__xludf.DUMMYFUNCTION("""COMPUTED_VALUE"""),"B")</f>
        <v>B</v>
      </c>
      <c r="BU254" s="16">
        <f>IFERROR(__xludf.DUMMYFUNCTION("""COMPUTED_VALUE"""),15.0)</f>
        <v>15</v>
      </c>
      <c r="BV254" s="16">
        <f>IFERROR(__xludf.DUMMYFUNCTION("""COMPUTED_VALUE"""),1.0)</f>
        <v>1</v>
      </c>
      <c r="BW254" s="16">
        <f>IFERROR(__xludf.DUMMYFUNCTION("""COMPUTED_VALUE"""),2.0)</f>
        <v>2</v>
      </c>
      <c r="BX254" s="16">
        <f>IFERROR(__xludf.DUMMYFUNCTION("""COMPUTED_VALUE"""),2.0)</f>
        <v>2</v>
      </c>
      <c r="BY254" s="16">
        <f>IFERROR(__xludf.DUMMYFUNCTION("""COMPUTED_VALUE"""),6.0)</f>
        <v>6</v>
      </c>
      <c r="BZ254" s="16" t="str">
        <f>IFERROR(__xludf.DUMMYFUNCTION("""COMPUTED_VALUE"""),"C")</f>
        <v>C</v>
      </c>
      <c r="CA254" s="16" t="str">
        <f>IFERROR(__xludf.DUMMYFUNCTION("""COMPUTED_VALUE"""),"C")</f>
        <v>C</v>
      </c>
      <c r="CB254" s="16">
        <f>IFERROR(__xludf.DUMMYFUNCTION("""COMPUTED_VALUE"""),0.0)</f>
        <v>0</v>
      </c>
      <c r="CC254" s="16">
        <f>IFERROR(__xludf.DUMMYFUNCTION("""COMPUTED_VALUE"""),0.0)</f>
        <v>0</v>
      </c>
      <c r="CD254" s="16">
        <f>IFERROR(__xludf.DUMMYFUNCTION("""COMPUTED_VALUE"""),0.0)</f>
        <v>0</v>
      </c>
      <c r="CE254" s="16">
        <f>IFERROR(__xludf.DUMMYFUNCTION("""COMPUTED_VALUE"""),0.0)</f>
        <v>0</v>
      </c>
      <c r="CF254" s="16">
        <f>IFERROR(__xludf.DUMMYFUNCTION("""COMPUTED_VALUE"""),5.0)</f>
        <v>5</v>
      </c>
      <c r="CG254" s="16">
        <f>IFERROR(__xludf.DUMMYFUNCTION("""COMPUTED_VALUE"""),-4.0)</f>
        <v>-4</v>
      </c>
      <c r="CH254" s="16">
        <f>IFERROR(__xludf.DUMMYFUNCTION("""COMPUTED_VALUE"""),-5.0)</f>
        <v>-5</v>
      </c>
      <c r="CI254" s="179">
        <f>IFERROR(__xludf.DUMMYFUNCTION("""COMPUTED_VALUE"""),-6.0)</f>
        <v>-6</v>
      </c>
      <c r="CJ254" s="16"/>
      <c r="CK254" s="16"/>
      <c r="CL254" s="16"/>
      <c r="CM254" s="16"/>
      <c r="CN254" s="16"/>
      <c r="CO254" s="16"/>
      <c r="CP254" s="16">
        <f>IFERROR(__xludf.DUMMYFUNCTION("""COMPUTED_VALUE"""),206.0)</f>
        <v>206</v>
      </c>
      <c r="CQ254" s="16"/>
      <c r="CR254" s="16" t="str">
        <f>IFERROR(__xludf.DUMMYFUNCTION("""COMPUTED_VALUE"""),"cf-2(0)e6")</f>
        <v>cf-2(0)e6</v>
      </c>
      <c r="CS254" s="16"/>
      <c r="CT254" s="16"/>
      <c r="CU254" s="16"/>
      <c r="CV254" s="16"/>
      <c r="CW254" s="16"/>
      <c r="CX254" s="16"/>
      <c r="CY254" s="16">
        <f>IFERROR(__xludf.DUMMYFUNCTION("""COMPUTED_VALUE"""),2.0)</f>
        <v>2</v>
      </c>
      <c r="CZ254" s="16"/>
      <c r="DA254" s="16"/>
      <c r="DB254" s="16"/>
      <c r="DC254" s="16"/>
      <c r="DD254" s="16"/>
      <c r="DE254" s="16"/>
      <c r="DF254" s="16"/>
      <c r="DG254" s="16">
        <f>IFERROR(__xludf.DUMMYFUNCTION("""COMPUTED_VALUE"""),6.0)</f>
        <v>6</v>
      </c>
      <c r="DH254" s="16"/>
      <c r="DI254" s="16"/>
      <c r="DJ254" s="16"/>
      <c r="DK254" s="16"/>
      <c r="DL254" s="16"/>
      <c r="DM254" s="16"/>
      <c r="DN254" s="16"/>
      <c r="DO254" s="16">
        <f>IFERROR(__xludf.DUMMYFUNCTION("""COMPUTED_VALUE"""),2.0)</f>
        <v>2</v>
      </c>
      <c r="DP254" s="16"/>
      <c r="DQ254" s="16"/>
      <c r="DR254" s="16"/>
      <c r="DS254" s="16"/>
      <c r="DT254" s="16"/>
      <c r="DU254" s="16"/>
      <c r="DV254" s="16"/>
      <c r="DW254" s="16">
        <f>IFERROR(__xludf.DUMMYFUNCTION("""COMPUTED_VALUE"""),3.0)</f>
        <v>3</v>
      </c>
      <c r="DX254" s="16"/>
      <c r="DY254" s="16"/>
      <c r="DZ254" s="16"/>
      <c r="EA254" s="16"/>
      <c r="EB254" s="16"/>
      <c r="EC254" s="16"/>
      <c r="ED254" s="16"/>
      <c r="EE254" s="16">
        <f>IFERROR(__xludf.DUMMYFUNCTION("""COMPUTED_VALUE"""),5.0)</f>
        <v>5</v>
      </c>
      <c r="EF254" s="16"/>
      <c r="EG254" s="179"/>
      <c r="EH254" s="179"/>
      <c r="EI254" s="179"/>
      <c r="EJ254" s="179"/>
      <c r="EK254" s="179"/>
      <c r="EL254" s="179"/>
      <c r="EM254" s="179">
        <f>IFERROR(__xludf.DUMMYFUNCTION("""COMPUTED_VALUE"""),-1.0)</f>
        <v>-1</v>
      </c>
      <c r="EN254" s="179"/>
      <c r="EO254" s="16"/>
      <c r="EP254" s="16">
        <f>IFERROR(__xludf.DUMMYFUNCTION("""COMPUTED_VALUE"""),-2.0)</f>
        <v>-2</v>
      </c>
      <c r="EQ254" s="16">
        <f>IFERROR(__xludf.DUMMYFUNCTION("""COMPUTED_VALUE"""),-2.0)</f>
        <v>-2</v>
      </c>
      <c r="ER254" s="16">
        <f>IFERROR(__xludf.DUMMYFUNCTION("""COMPUTED_VALUE"""),-1.0)</f>
        <v>-1</v>
      </c>
      <c r="ES254" s="16"/>
      <c r="ET254" s="16"/>
      <c r="EU254" s="16"/>
      <c r="EV254" s="16"/>
      <c r="EW254" s="16"/>
      <c r="EX254" s="180"/>
      <c r="EY254" s="180"/>
      <c r="EZ254" s="180"/>
      <c r="FA254" s="180"/>
      <c r="FB254" s="180"/>
      <c r="FC254" s="180"/>
      <c r="FD254" s="180">
        <f>IFERROR(__xludf.DUMMYFUNCTION("""COMPUTED_VALUE"""),0.15)</f>
        <v>0.15</v>
      </c>
      <c r="FE254" s="180"/>
      <c r="FF254" s="180"/>
      <c r="FG254" s="180"/>
      <c r="FH254" s="180"/>
      <c r="FI254" s="180"/>
      <c r="FJ254" s="180"/>
      <c r="FK254" s="180"/>
      <c r="FL254" s="180">
        <f>IFERROR(__xludf.DUMMYFUNCTION("""COMPUTED_VALUE"""),0.06944444444444445)</f>
        <v>0.06944444444</v>
      </c>
      <c r="FM254" s="180"/>
      <c r="FN254" s="16"/>
      <c r="FO254" s="16"/>
      <c r="FP254" s="16"/>
      <c r="FQ254" s="16"/>
      <c r="FR254" s="16"/>
      <c r="FS254" s="16"/>
      <c r="FT254" s="16">
        <f>IFERROR(__xludf.DUMMYFUNCTION("""COMPUTED_VALUE"""),0.7909722222222222)</f>
        <v>0.7909722222</v>
      </c>
      <c r="FU254" s="16"/>
      <c r="FV254" s="16"/>
      <c r="FW254" s="16"/>
      <c r="FX254" s="16"/>
      <c r="FY254" s="16"/>
      <c r="FZ254" s="16"/>
      <c r="GA254" s="16"/>
      <c r="GB254" s="16">
        <f>IFERROR(__xludf.DUMMYFUNCTION("""COMPUTED_VALUE"""),1.0)</f>
        <v>1</v>
      </c>
      <c r="GC254" s="16"/>
      <c r="GD254" s="16" t="s">
        <v>176</v>
      </c>
    </row>
    <row r="255">
      <c r="A255" s="16">
        <f>IFERROR(__xludf.DUMMYFUNCTION("""COMPUTED_VALUE"""),13098.0)</f>
        <v>13098</v>
      </c>
      <c r="B255" s="16" t="str">
        <f>IFERROR(__xludf.DUMMYFUNCTION("""COMPUTED_VALUE"""),"Kyle Manzardo")</f>
        <v>Kyle Manzardo</v>
      </c>
      <c r="C255" s="16">
        <f>IFERROR(__xludf.DUMMYFUNCTION("""COMPUTED_VALUE"""),0.0)</f>
        <v>0</v>
      </c>
      <c r="D255" s="16" t="str">
        <f>IFERROR(__xludf.DUMMYFUNCTION("""COMPUTED_VALUE"""),"L")</f>
        <v>L</v>
      </c>
      <c r="E255" s="16"/>
      <c r="F255" s="16"/>
      <c r="G255" s="16">
        <f>IFERROR(__xludf.DUMMYFUNCTION("""COMPUTED_VALUE"""),145.0)</f>
        <v>145</v>
      </c>
      <c r="H255" s="16">
        <f>IFERROR(__xludf.DUMMYFUNCTION("""COMPUTED_VALUE"""),9.0)</f>
        <v>9</v>
      </c>
      <c r="I255" s="16" t="str">
        <f>IFERROR(__xludf.DUMMYFUNCTION("""COMPUTED_VALUE"""),"1p30")</f>
        <v>1p30</v>
      </c>
      <c r="J255" s="16">
        <f>IFERROR(__xludf.DUMMYFUNCTION("""COMPUTED_VALUE"""),27.0)</f>
        <v>27</v>
      </c>
      <c r="K255" s="16">
        <f>IFERROR(__xludf.DUMMYFUNCTION("""COMPUTED_VALUE"""),33.0)</f>
        <v>33</v>
      </c>
      <c r="L255" s="16">
        <f>IFERROR(__xludf.DUMMYFUNCTION("""COMPUTED_VALUE"""),0.0)</f>
        <v>0</v>
      </c>
      <c r="M255" s="16">
        <f>IFERROR(__xludf.DUMMYFUNCTION("""COMPUTED_VALUE"""),-1.0)</f>
        <v>-1</v>
      </c>
      <c r="N255" s="16">
        <f>IFERROR(__xludf.DUMMYFUNCTION("""COMPUTED_VALUE"""),0.0)</f>
        <v>0</v>
      </c>
      <c r="O255" s="16">
        <f>IFERROR(__xludf.DUMMYFUNCTION("""COMPUTED_VALUE"""),-1.0)</f>
        <v>-1</v>
      </c>
      <c r="P255" s="16">
        <f>IFERROR(__xludf.DUMMYFUNCTION("""COMPUTED_VALUE"""),3.0)</f>
        <v>3</v>
      </c>
      <c r="Q255" s="16">
        <f>IFERROR(__xludf.DUMMYFUNCTION("""COMPUTED_VALUE"""),3.0)</f>
        <v>3</v>
      </c>
      <c r="R255" s="16">
        <f>IFERROR(__xludf.DUMMYFUNCTION("""COMPUTED_VALUE"""),-2.0)</f>
        <v>-2</v>
      </c>
      <c r="S255" s="16">
        <f>IFERROR(__xludf.DUMMYFUNCTION("""COMPUTED_VALUE"""),-2.0)</f>
        <v>-2</v>
      </c>
      <c r="T255" s="16">
        <f>IFERROR(__xludf.DUMMYFUNCTION("""COMPUTED_VALUE"""),-2.0)</f>
        <v>-2</v>
      </c>
      <c r="U255" s="16">
        <f>IFERROR(__xludf.DUMMYFUNCTION("""COMPUTED_VALUE"""),-2.0)</f>
        <v>-2</v>
      </c>
      <c r="V255" s="16">
        <f>IFERROR(__xludf.DUMMYFUNCTION("""COMPUTED_VALUE"""),16.8)</f>
        <v>16.8</v>
      </c>
      <c r="W255" s="16">
        <f>IFERROR(__xludf.DUMMYFUNCTION("""COMPUTED_VALUE"""),18.8)</f>
        <v>18.8</v>
      </c>
      <c r="X255" s="16">
        <f>IFERROR(__xludf.DUMMYFUNCTION("""COMPUTED_VALUE"""),0.0)</f>
        <v>0</v>
      </c>
      <c r="Y255" s="16">
        <f>IFERROR(__xludf.DUMMYFUNCTION("""COMPUTED_VALUE"""),0.0)</f>
        <v>0</v>
      </c>
      <c r="Z255" s="16">
        <f>IFERROR(__xludf.DUMMYFUNCTION("""COMPUTED_VALUE"""),0.0)</f>
        <v>0</v>
      </c>
      <c r="AA255" s="16">
        <f>IFERROR(__xludf.DUMMYFUNCTION("""COMPUTED_VALUE"""),0.0)</f>
        <v>0</v>
      </c>
      <c r="AB255" s="16">
        <f>IFERROR(__xludf.DUMMYFUNCTION("""COMPUTED_VALUE"""),21.8)</f>
        <v>21.8</v>
      </c>
      <c r="AC255" s="16">
        <f>IFERROR(__xludf.DUMMYFUNCTION("""COMPUTED_VALUE"""),23.8)</f>
        <v>23.8</v>
      </c>
      <c r="AD255" s="16">
        <f>IFERROR(__xludf.DUMMYFUNCTION("""COMPUTED_VALUE"""),-1.0)</f>
        <v>-1</v>
      </c>
      <c r="AE255" s="16">
        <f>IFERROR(__xludf.DUMMYFUNCTION("""COMPUTED_VALUE"""),-1.0)</f>
        <v>-1</v>
      </c>
      <c r="AF255" s="16">
        <f>IFERROR(__xludf.DUMMYFUNCTION("""COMPUTED_VALUE"""),-5.0)</f>
        <v>-5</v>
      </c>
      <c r="AG255" s="16">
        <f>IFERROR(__xludf.DUMMYFUNCTION("""COMPUTED_VALUE"""),-5.0)</f>
        <v>-5</v>
      </c>
      <c r="AH255" s="16">
        <f>IFERROR(__xludf.DUMMYFUNCTION("""COMPUTED_VALUE"""),22.8)</f>
        <v>22.8</v>
      </c>
      <c r="AI255" s="16">
        <f>IFERROR(__xludf.DUMMYFUNCTION("""COMPUTED_VALUE"""),38.6)</f>
        <v>38.6</v>
      </c>
      <c r="AJ255" s="16">
        <f>IFERROR(__xludf.DUMMYFUNCTION("""COMPUTED_VALUE"""),-1.0)</f>
        <v>-1</v>
      </c>
      <c r="AK255" s="16">
        <f>IFERROR(__xludf.DUMMYFUNCTION("""COMPUTED_VALUE"""),1.0)</f>
        <v>1</v>
      </c>
      <c r="AL255" s="16">
        <f>IFERROR(__xludf.DUMMYFUNCTION("""COMPUTED_VALUE"""),-5.0)</f>
        <v>-5</v>
      </c>
      <c r="AM255" s="16">
        <f>IFERROR(__xludf.DUMMYFUNCTION("""COMPUTED_VALUE"""),5.0)</f>
        <v>5</v>
      </c>
      <c r="AN255" s="16">
        <f>IFERROR(__xludf.DUMMYFUNCTION("""COMPUTED_VALUE"""),0.0)</f>
        <v>0</v>
      </c>
      <c r="AO255" s="16">
        <f>IFERROR(__xludf.DUMMYFUNCTION("""COMPUTED_VALUE"""),2.5)</f>
        <v>2.5</v>
      </c>
      <c r="AP255" s="16">
        <f>IFERROR(__xludf.DUMMYFUNCTION("""COMPUTED_VALUE"""),-2.0)</f>
        <v>-2</v>
      </c>
      <c r="AQ255" s="16">
        <f>IFERROR(__xludf.DUMMYFUNCTION("""COMPUTED_VALUE"""),0.0)</f>
        <v>0</v>
      </c>
      <c r="AR255" s="16">
        <f>IFERROR(__xludf.DUMMYFUNCTION("""COMPUTED_VALUE"""),-4.0)</f>
        <v>-4</v>
      </c>
      <c r="AS255" s="16">
        <f>IFERROR(__xludf.DUMMYFUNCTION("""COMPUTED_VALUE"""),0.0)</f>
        <v>0</v>
      </c>
      <c r="AT255" s="16"/>
      <c r="AU255" s="16">
        <f>IFERROR(__xludf.DUMMYFUNCTION("""COMPUTED_VALUE"""),4.0)</f>
        <v>4</v>
      </c>
      <c r="AV255" s="16">
        <f>IFERROR(__xludf.DUMMYFUNCTION("""COMPUTED_VALUE"""),-3.0)</f>
        <v>-3</v>
      </c>
      <c r="AW255" s="16">
        <f>IFERROR(__xludf.DUMMYFUNCTION("""COMPUTED_VALUE"""),4.0)</f>
        <v>4</v>
      </c>
      <c r="AX255" s="16">
        <f>IFERROR(__xludf.DUMMYFUNCTION("""COMPUTED_VALUE"""),-3.0)</f>
        <v>-3</v>
      </c>
      <c r="AY255" s="16">
        <f>IFERROR(__xludf.DUMMYFUNCTION("""COMPUTED_VALUE"""),1.0)</f>
        <v>1</v>
      </c>
      <c r="AZ255" s="16">
        <f>IFERROR(__xludf.DUMMYFUNCTION("""COMPUTED_VALUE"""),-9.0)</f>
        <v>-9</v>
      </c>
      <c r="BA255" s="16">
        <f>IFERROR(__xludf.DUMMYFUNCTION("""COMPUTED_VALUE"""),3.0)</f>
        <v>3</v>
      </c>
      <c r="BB255" s="16">
        <f>IFERROR(__xludf.DUMMYFUNCTION("""COMPUTED_VALUE"""),5.0)</f>
        <v>5</v>
      </c>
      <c r="BC255" s="16">
        <f>IFERROR(__xludf.DUMMYFUNCTION("""COMPUTED_VALUE"""),5.0)</f>
        <v>5</v>
      </c>
      <c r="BD255" s="16">
        <f>IFERROR(__xludf.DUMMYFUNCTION("""COMPUTED_VALUE"""),1.0)</f>
        <v>1</v>
      </c>
      <c r="BE255" s="16">
        <f>IFERROR(__xludf.DUMMYFUNCTION("""COMPUTED_VALUE"""),1.0)</f>
        <v>1</v>
      </c>
      <c r="BF255" s="16">
        <f>IFERROR(__xludf.DUMMYFUNCTION("""COMPUTED_VALUE"""),1.0)</f>
        <v>1</v>
      </c>
      <c r="BG255" s="16">
        <f>IFERROR(__xludf.DUMMYFUNCTION("""COMPUTED_VALUE"""),1.0)</f>
        <v>1</v>
      </c>
      <c r="BH255" s="16">
        <f>IFERROR(__xludf.DUMMYFUNCTION("""COMPUTED_VALUE"""),-7.0)</f>
        <v>-7</v>
      </c>
      <c r="BI255" s="16">
        <f>IFERROR(__xludf.DUMMYFUNCTION("""COMPUTED_VALUE"""),-2.0)</f>
        <v>-2</v>
      </c>
      <c r="BJ255" s="16">
        <f>IFERROR(__xludf.DUMMYFUNCTION("""COMPUTED_VALUE"""),16.0)</f>
        <v>16</v>
      </c>
      <c r="BK255" s="16">
        <f>IFERROR(__xludf.DUMMYFUNCTION("""COMPUTED_VALUE"""),15.0)</f>
        <v>15</v>
      </c>
      <c r="BL255" s="16">
        <f>IFERROR(__xludf.DUMMYFUNCTION("""COMPUTED_VALUE"""),-1.0)</f>
        <v>-1</v>
      </c>
      <c r="BM255" s="16">
        <f>IFERROR(__xludf.DUMMYFUNCTION("""COMPUTED_VALUE"""),-1.0)</f>
        <v>-1</v>
      </c>
      <c r="BN255" s="16">
        <f>IFERROR(__xludf.DUMMYFUNCTION("""COMPUTED_VALUE"""),-2.0)</f>
        <v>-2</v>
      </c>
      <c r="BO255" s="16">
        <f>IFERROR(__xludf.DUMMYFUNCTION("""COMPUTED_VALUE"""),-2.0)</f>
        <v>-2</v>
      </c>
      <c r="BP255" s="16">
        <f>IFERROR(__xludf.DUMMYFUNCTION("""COMPUTED_VALUE"""),-9.0)</f>
        <v>-9</v>
      </c>
      <c r="BQ255" s="16">
        <f>IFERROR(__xludf.DUMMYFUNCTION("""COMPUTED_VALUE"""),-2.0)</f>
        <v>-2</v>
      </c>
      <c r="BR255" s="16">
        <f>IFERROR(__xludf.DUMMYFUNCTION("""COMPUTED_VALUE"""),-11.0)</f>
        <v>-11</v>
      </c>
      <c r="BS255" s="16" t="str">
        <f>IFERROR(__xludf.DUMMYFUNCTION("""COMPUTED_VALUE"""),"-/- (---)")</f>
        <v>-/- (---)</v>
      </c>
      <c r="BT255" s="16" t="str">
        <f>IFERROR(__xludf.DUMMYFUNCTION("""COMPUTED_VALUE"""),"E")</f>
        <v>E</v>
      </c>
      <c r="BU255" s="16">
        <f>IFERROR(__xludf.DUMMYFUNCTION("""COMPUTED_VALUE"""),9.0)</f>
        <v>9</v>
      </c>
      <c r="BV255" s="16">
        <f>IFERROR(__xludf.DUMMYFUNCTION("""COMPUTED_VALUE"""),0.0)</f>
        <v>0</v>
      </c>
      <c r="BW255" s="16">
        <f>IFERROR(__xludf.DUMMYFUNCTION("""COMPUTED_VALUE"""),-1.0)</f>
        <v>-1</v>
      </c>
      <c r="BX255" s="16">
        <f>IFERROR(__xludf.DUMMYFUNCTION("""COMPUTED_VALUE"""),0.0)</f>
        <v>0</v>
      </c>
      <c r="BY255" s="16">
        <f>IFERROR(__xludf.DUMMYFUNCTION("""COMPUTED_VALUE"""),-3.0)</f>
        <v>-3</v>
      </c>
      <c r="BZ255" s="16" t="str">
        <f>IFERROR(__xludf.DUMMYFUNCTION("""COMPUTED_VALUE"""),"D")</f>
        <v>D</v>
      </c>
      <c r="CA255" s="16" t="str">
        <f>IFERROR(__xludf.DUMMYFUNCTION("""COMPUTED_VALUE"""),"D")</f>
        <v>D</v>
      </c>
      <c r="CB255" s="16">
        <f>IFERROR(__xludf.DUMMYFUNCTION("""COMPUTED_VALUE"""),0.0)</f>
        <v>0</v>
      </c>
      <c r="CC255" s="16">
        <f>IFERROR(__xludf.DUMMYFUNCTION("""COMPUTED_VALUE"""),0.0)</f>
        <v>0</v>
      </c>
      <c r="CD255" s="16">
        <f>IFERROR(__xludf.DUMMYFUNCTION("""COMPUTED_VALUE"""),0.0)</f>
        <v>0</v>
      </c>
      <c r="CE255" s="16">
        <f>IFERROR(__xludf.DUMMYFUNCTION("""COMPUTED_VALUE"""),0.0)</f>
        <v>0</v>
      </c>
      <c r="CF255" s="16">
        <f>IFERROR(__xludf.DUMMYFUNCTION("""COMPUTED_VALUE"""),1.0)</f>
        <v>1</v>
      </c>
      <c r="CG255" s="16">
        <f>IFERROR(__xludf.DUMMYFUNCTION("""COMPUTED_VALUE"""),-26.0)</f>
        <v>-26</v>
      </c>
      <c r="CH255" s="16">
        <f>IFERROR(__xludf.DUMMYFUNCTION("""COMPUTED_VALUE"""),-1.0)</f>
        <v>-1</v>
      </c>
      <c r="CI255" s="179">
        <f>IFERROR(__xludf.DUMMYFUNCTION("""COMPUTED_VALUE"""),-6.0)</f>
        <v>-6</v>
      </c>
      <c r="CJ255" s="16"/>
      <c r="CK255" s="16">
        <f>IFERROR(__xludf.DUMMYFUNCTION("""COMPUTED_VALUE"""),403.0)</f>
        <v>403</v>
      </c>
      <c r="CL255" s="16"/>
      <c r="CM255" s="16"/>
      <c r="CN255" s="16"/>
      <c r="CO255" s="16"/>
      <c r="CP255" s="16"/>
      <c r="CQ255" s="16"/>
      <c r="CR255" s="16" t="str">
        <f>IFERROR(__xludf.DUMMYFUNCTION("""COMPUTED_VALUE"""),"1b-4e3")</f>
        <v>1b-4e3</v>
      </c>
      <c r="CS255" s="16"/>
      <c r="CT255" s="16">
        <f>IFERROR(__xludf.DUMMYFUNCTION("""COMPUTED_VALUE"""),4.0)</f>
        <v>4</v>
      </c>
      <c r="CU255" s="16"/>
      <c r="CV255" s="16"/>
      <c r="CW255" s="16"/>
      <c r="CX255" s="16"/>
      <c r="CY255" s="16"/>
      <c r="CZ255" s="16"/>
      <c r="DA255" s="16"/>
      <c r="DB255" s="16">
        <f>IFERROR(__xludf.DUMMYFUNCTION("""COMPUTED_VALUE"""),3.0)</f>
        <v>3</v>
      </c>
      <c r="DC255" s="16"/>
      <c r="DD255" s="16"/>
      <c r="DE255" s="16"/>
      <c r="DF255" s="16"/>
      <c r="DG255" s="16"/>
      <c r="DH255" s="16"/>
      <c r="DI255" s="16"/>
      <c r="DJ255" s="16">
        <f>IFERROR(__xludf.DUMMYFUNCTION("""COMPUTED_VALUE"""),0.0)</f>
        <v>0</v>
      </c>
      <c r="DK255" s="16"/>
      <c r="DL255" s="16"/>
      <c r="DM255" s="16"/>
      <c r="DN255" s="16"/>
      <c r="DO255" s="16"/>
      <c r="DP255" s="16"/>
      <c r="DQ255" s="16"/>
      <c r="DR255" s="16">
        <f>IFERROR(__xludf.DUMMYFUNCTION("""COMPUTED_VALUE"""),4.0)</f>
        <v>4</v>
      </c>
      <c r="DS255" s="16"/>
      <c r="DT255" s="16"/>
      <c r="DU255" s="16"/>
      <c r="DV255" s="16"/>
      <c r="DW255" s="16"/>
      <c r="DX255" s="16"/>
      <c r="DY255" s="16"/>
      <c r="DZ255" s="16">
        <f>IFERROR(__xludf.DUMMYFUNCTION("""COMPUTED_VALUE"""),4.0)</f>
        <v>4</v>
      </c>
      <c r="EA255" s="16"/>
      <c r="EB255" s="16"/>
      <c r="EC255" s="16"/>
      <c r="ED255" s="16"/>
      <c r="EE255" s="16"/>
      <c r="EF255" s="16"/>
      <c r="EG255" s="179"/>
      <c r="EH255" s="179">
        <f>IFERROR(__xludf.DUMMYFUNCTION("""COMPUTED_VALUE"""),-2.0)</f>
        <v>-2</v>
      </c>
      <c r="EI255" s="179"/>
      <c r="EJ255" s="179"/>
      <c r="EK255" s="179"/>
      <c r="EL255" s="179"/>
      <c r="EM255" s="179"/>
      <c r="EN255" s="179"/>
      <c r="EO255" s="16"/>
      <c r="EP255" s="16"/>
      <c r="EQ255" s="16">
        <f>IFERROR(__xludf.DUMMYFUNCTION("""COMPUTED_VALUE"""),4.0)</f>
        <v>4</v>
      </c>
      <c r="ER255" s="16">
        <f>IFERROR(__xludf.DUMMYFUNCTION("""COMPUTED_VALUE"""),-2.0)</f>
        <v>-2</v>
      </c>
      <c r="ES255" s="16"/>
      <c r="ET255" s="16"/>
      <c r="EU255" s="16"/>
      <c r="EV255" s="16"/>
      <c r="EW255" s="16"/>
      <c r="EX255" s="180"/>
      <c r="EY255" s="180">
        <f>IFERROR(__xludf.DUMMYFUNCTION("""COMPUTED_VALUE"""),0.3)</f>
        <v>0.3</v>
      </c>
      <c r="EZ255" s="180"/>
      <c r="FA255" s="180"/>
      <c r="FB255" s="180"/>
      <c r="FC255" s="180"/>
      <c r="FD255" s="180"/>
      <c r="FE255" s="180"/>
      <c r="FF255" s="180"/>
      <c r="FG255" s="180">
        <f>IFERROR(__xludf.DUMMYFUNCTION("""COMPUTED_VALUE"""),0.05555555555555555)</f>
        <v>0.05555555556</v>
      </c>
      <c r="FH255" s="180"/>
      <c r="FI255" s="180"/>
      <c r="FJ255" s="180"/>
      <c r="FK255" s="180"/>
      <c r="FL255" s="180"/>
      <c r="FM255" s="180"/>
      <c r="FN255" s="16"/>
      <c r="FO255" s="16">
        <f>IFERROR(__xludf.DUMMYFUNCTION("""COMPUTED_VALUE"""),0.6611111111111111)</f>
        <v>0.6611111111</v>
      </c>
      <c r="FP255" s="16"/>
      <c r="FQ255" s="16"/>
      <c r="FR255" s="16"/>
      <c r="FS255" s="16"/>
      <c r="FT255" s="16"/>
      <c r="FU255" s="16"/>
      <c r="FV255" s="16"/>
      <c r="FW255" s="16">
        <f>IFERROR(__xludf.DUMMYFUNCTION("""COMPUTED_VALUE"""),-4.0)</f>
        <v>-4</v>
      </c>
      <c r="FX255" s="16"/>
      <c r="FY255" s="16"/>
      <c r="FZ255" s="16"/>
      <c r="GA255" s="16"/>
      <c r="GB255" s="16"/>
      <c r="GC255" s="16"/>
      <c r="GD255" s="16" t="s">
        <v>176</v>
      </c>
    </row>
    <row r="256">
      <c r="A256" s="16">
        <f>IFERROR(__xludf.DUMMYFUNCTION("""COMPUTED_VALUE"""),12604.0)</f>
        <v>12604</v>
      </c>
      <c r="B256" s="16" t="str">
        <f>IFERROR(__xludf.DUMMYFUNCTION("""COMPUTED_VALUE"""),"Brayan Rocchio")</f>
        <v>Brayan Rocchio</v>
      </c>
      <c r="C256" s="16">
        <f>IFERROR(__xludf.DUMMYFUNCTION("""COMPUTED_VALUE"""),0.75)</f>
        <v>0.75</v>
      </c>
      <c r="D256" s="16" t="str">
        <f>IFERROR(__xludf.DUMMYFUNCTION("""COMPUTED_VALUE"""),"S")</f>
        <v>S</v>
      </c>
      <c r="E256" s="16"/>
      <c r="F256" s="16"/>
      <c r="G256" s="16">
        <f>IFERROR(__xludf.DUMMYFUNCTION("""COMPUTED_VALUE"""),383.0)</f>
        <v>383</v>
      </c>
      <c r="H256" s="16">
        <f>IFERROR(__xludf.DUMMYFUNCTION("""COMPUTED_VALUE"""),44.0)</f>
        <v>44</v>
      </c>
      <c r="I256" s="16" t="str">
        <f>IFERROR(__xludf.DUMMYFUNCTION("""COMPUTED_VALUE"""),"1p65")</f>
        <v>1p65</v>
      </c>
      <c r="J256" s="16">
        <f>IFERROR(__xludf.DUMMYFUNCTION("""COMPUTED_VALUE"""),30.0)</f>
        <v>30</v>
      </c>
      <c r="K256" s="16">
        <f>IFERROR(__xludf.DUMMYFUNCTION("""COMPUTED_VALUE"""),17.0)</f>
        <v>17</v>
      </c>
      <c r="L256" s="16">
        <f>IFERROR(__xludf.DUMMYFUNCTION("""COMPUTED_VALUE"""),0.0)</f>
        <v>0</v>
      </c>
      <c r="M256" s="16">
        <f>IFERROR(__xludf.DUMMYFUNCTION("""COMPUTED_VALUE"""),1.0)</f>
        <v>1</v>
      </c>
      <c r="N256" s="16">
        <f>IFERROR(__xludf.DUMMYFUNCTION("""COMPUTED_VALUE"""),0.0)</f>
        <v>0</v>
      </c>
      <c r="O256" s="16">
        <f>IFERROR(__xludf.DUMMYFUNCTION("""COMPUTED_VALUE"""),1.0)</f>
        <v>1</v>
      </c>
      <c r="P256" s="16">
        <f>IFERROR(__xludf.DUMMYFUNCTION("""COMPUTED_VALUE"""),12.0)</f>
        <v>12</v>
      </c>
      <c r="Q256" s="16">
        <f>IFERROR(__xludf.DUMMYFUNCTION("""COMPUTED_VALUE"""),12.0)</f>
        <v>12</v>
      </c>
      <c r="R256" s="16">
        <f>IFERROR(__xludf.DUMMYFUNCTION("""COMPUTED_VALUE"""),1.0)</f>
        <v>1</v>
      </c>
      <c r="S256" s="16">
        <f>IFERROR(__xludf.DUMMYFUNCTION("""COMPUTED_VALUE"""),1.0)</f>
        <v>1</v>
      </c>
      <c r="T256" s="16">
        <f>IFERROR(__xludf.DUMMYFUNCTION("""COMPUTED_VALUE"""),1.0)</f>
        <v>1</v>
      </c>
      <c r="U256" s="16">
        <f>IFERROR(__xludf.DUMMYFUNCTION("""COMPUTED_VALUE"""),1.0)</f>
        <v>1</v>
      </c>
      <c r="V256" s="16">
        <f>IFERROR(__xludf.DUMMYFUNCTION("""COMPUTED_VALUE"""),10.4)</f>
        <v>10.4</v>
      </c>
      <c r="W256" s="16">
        <f>IFERROR(__xludf.DUMMYFUNCTION("""COMPUTED_VALUE"""),13.6)</f>
        <v>13.6</v>
      </c>
      <c r="X256" s="16">
        <f>IFERROR(__xludf.DUMMYFUNCTION("""COMPUTED_VALUE"""),-1.0)</f>
        <v>-1</v>
      </c>
      <c r="Y256" s="16">
        <f>IFERROR(__xludf.DUMMYFUNCTION("""COMPUTED_VALUE"""),-1.0)</f>
        <v>-1</v>
      </c>
      <c r="Z256" s="16">
        <f>IFERROR(__xludf.DUMMYFUNCTION("""COMPUTED_VALUE"""),-2.0)</f>
        <v>-2</v>
      </c>
      <c r="AA256" s="16">
        <f>IFERROR(__xludf.DUMMYFUNCTION("""COMPUTED_VALUE"""),-2.0)</f>
        <v>-2</v>
      </c>
      <c r="AB256" s="16">
        <f>IFERROR(__xludf.DUMMYFUNCTION("""COMPUTED_VALUE"""),26.4)</f>
        <v>26.4</v>
      </c>
      <c r="AC256" s="16">
        <f>IFERROR(__xludf.DUMMYFUNCTION("""COMPUTED_VALUE"""),29.6)</f>
        <v>29.6</v>
      </c>
      <c r="AD256" s="16">
        <f>IFERROR(__xludf.DUMMYFUNCTION("""COMPUTED_VALUE"""),-1.0)</f>
        <v>-1</v>
      </c>
      <c r="AE256" s="16">
        <f>IFERROR(__xludf.DUMMYFUNCTION("""COMPUTED_VALUE"""),0.0)</f>
        <v>0</v>
      </c>
      <c r="AF256" s="16">
        <f>IFERROR(__xludf.DUMMYFUNCTION("""COMPUTED_VALUE"""),-5.0)</f>
        <v>-5</v>
      </c>
      <c r="AG256" s="16">
        <f>IFERROR(__xludf.DUMMYFUNCTION("""COMPUTED_VALUE"""),0.0)</f>
        <v>0</v>
      </c>
      <c r="AH256" s="16">
        <f>IFERROR(__xludf.DUMMYFUNCTION("""COMPUTED_VALUE"""),22.4)</f>
        <v>22.4</v>
      </c>
      <c r="AI256" s="16">
        <f>IFERROR(__xludf.DUMMYFUNCTION("""COMPUTED_VALUE"""),25.2)</f>
        <v>25.2</v>
      </c>
      <c r="AJ256" s="16">
        <f>IFERROR(__xludf.DUMMYFUNCTION("""COMPUTED_VALUE"""),-1.0)</f>
        <v>-1</v>
      </c>
      <c r="AK256" s="16">
        <f>IFERROR(__xludf.DUMMYFUNCTION("""COMPUTED_VALUE"""),-1.0)</f>
        <v>-1</v>
      </c>
      <c r="AL256" s="16">
        <f>IFERROR(__xludf.DUMMYFUNCTION("""COMPUTED_VALUE"""),-5.0)</f>
        <v>-5</v>
      </c>
      <c r="AM256" s="16">
        <f>IFERROR(__xludf.DUMMYFUNCTION("""COMPUTED_VALUE"""),-5.0)</f>
        <v>-5</v>
      </c>
      <c r="AN256" s="16">
        <f>IFERROR(__xludf.DUMMYFUNCTION("""COMPUTED_VALUE"""),2.2)</f>
        <v>2.2</v>
      </c>
      <c r="AO256" s="16">
        <f>IFERROR(__xludf.DUMMYFUNCTION("""COMPUTED_VALUE"""),2.8)</f>
        <v>2.8</v>
      </c>
      <c r="AP256" s="16">
        <f>IFERROR(__xludf.DUMMYFUNCTION("""COMPUTED_VALUE"""),0.0)</f>
        <v>0</v>
      </c>
      <c r="AQ256" s="16">
        <f>IFERROR(__xludf.DUMMYFUNCTION("""COMPUTED_VALUE"""),0.0)</f>
        <v>0</v>
      </c>
      <c r="AR256" s="16">
        <f>IFERROR(__xludf.DUMMYFUNCTION("""COMPUTED_VALUE"""),0.0)</f>
        <v>0</v>
      </c>
      <c r="AS256" s="16">
        <f>IFERROR(__xludf.DUMMYFUNCTION("""COMPUTED_VALUE"""),0.0)</f>
        <v>0</v>
      </c>
      <c r="AT256" s="16"/>
      <c r="AU256" s="16"/>
      <c r="AV256" s="16">
        <f>IFERROR(__xludf.DUMMYFUNCTION("""COMPUTED_VALUE"""),4.0)</f>
        <v>4</v>
      </c>
      <c r="AW256" s="16">
        <f>IFERROR(__xludf.DUMMYFUNCTION("""COMPUTED_VALUE"""),-3.0)</f>
        <v>-3</v>
      </c>
      <c r="AX256" s="16">
        <f>IFERROR(__xludf.DUMMYFUNCTION("""COMPUTED_VALUE"""),2.0)</f>
        <v>2</v>
      </c>
      <c r="AY256" s="16">
        <f>IFERROR(__xludf.DUMMYFUNCTION("""COMPUTED_VALUE"""),-3.0)</f>
        <v>-3</v>
      </c>
      <c r="AZ256" s="16">
        <f>IFERROR(__xludf.DUMMYFUNCTION("""COMPUTED_VALUE"""),6.0)</f>
        <v>6</v>
      </c>
      <c r="BA256" s="16">
        <f>IFERROR(__xludf.DUMMYFUNCTION("""COMPUTED_VALUE"""),-9.0)</f>
        <v>-9</v>
      </c>
      <c r="BB256" s="16">
        <f>IFERROR(__xludf.DUMMYFUNCTION("""COMPUTED_VALUE"""),0.0)</f>
        <v>0</v>
      </c>
      <c r="BC256" s="16">
        <f>IFERROR(__xludf.DUMMYFUNCTION("""COMPUTED_VALUE"""),5.0)</f>
        <v>5</v>
      </c>
      <c r="BD256" s="16">
        <f>IFERROR(__xludf.DUMMYFUNCTION("""COMPUTED_VALUE"""),0.0)</f>
        <v>0</v>
      </c>
      <c r="BE256" s="16">
        <f>IFERROR(__xludf.DUMMYFUNCTION("""COMPUTED_VALUE"""),1.0)</f>
        <v>1</v>
      </c>
      <c r="BF256" s="16">
        <f>IFERROR(__xludf.DUMMYFUNCTION("""COMPUTED_VALUE"""),0.0)</f>
        <v>0</v>
      </c>
      <c r="BG256" s="16">
        <f>IFERROR(__xludf.DUMMYFUNCTION("""COMPUTED_VALUE"""),1.0)</f>
        <v>1</v>
      </c>
      <c r="BH256" s="16">
        <f>IFERROR(__xludf.DUMMYFUNCTION("""COMPUTED_VALUE"""),0.0)</f>
        <v>0</v>
      </c>
      <c r="BI256" s="16">
        <f>IFERROR(__xludf.DUMMYFUNCTION("""COMPUTED_VALUE"""),-3.0)</f>
        <v>-3</v>
      </c>
      <c r="BJ256" s="16">
        <f>IFERROR(__xludf.DUMMYFUNCTION("""COMPUTED_VALUE"""),19.0)</f>
        <v>19</v>
      </c>
      <c r="BK256" s="16">
        <f>IFERROR(__xludf.DUMMYFUNCTION("""COMPUTED_VALUE"""),19.0)</f>
        <v>19</v>
      </c>
      <c r="BL256" s="16">
        <f>IFERROR(__xludf.DUMMYFUNCTION("""COMPUTED_VALUE"""),-1.0)</f>
        <v>-1</v>
      </c>
      <c r="BM256" s="16">
        <f>IFERROR(__xludf.DUMMYFUNCTION("""COMPUTED_VALUE"""),-1.0)</f>
        <v>-1</v>
      </c>
      <c r="BN256" s="16">
        <f>IFERROR(__xludf.DUMMYFUNCTION("""COMPUTED_VALUE"""),-2.0)</f>
        <v>-2</v>
      </c>
      <c r="BO256" s="16">
        <f>IFERROR(__xludf.DUMMYFUNCTION("""COMPUTED_VALUE"""),-2.0)</f>
        <v>-2</v>
      </c>
      <c r="BP256" s="16">
        <f>IFERROR(__xludf.DUMMYFUNCTION("""COMPUTED_VALUE"""),-1.0)</f>
        <v>-1</v>
      </c>
      <c r="BQ256" s="16">
        <f>IFERROR(__xludf.DUMMYFUNCTION("""COMPUTED_VALUE"""),-3.0)</f>
        <v>-3</v>
      </c>
      <c r="BR256" s="16">
        <f>IFERROR(__xludf.DUMMYFUNCTION("""COMPUTED_VALUE"""),-4.0)</f>
        <v>-4</v>
      </c>
      <c r="BS256" s="16" t="str">
        <f>IFERROR(__xludf.DUMMYFUNCTION("""COMPUTED_VALUE"""),"*2-6,9/- (15-12)")</f>
        <v>*2-6,9/- (15-12)</v>
      </c>
      <c r="BT256" s="16" t="str">
        <f>IFERROR(__xludf.DUMMYFUNCTION("""COMPUTED_VALUE"""),"B")</f>
        <v>B</v>
      </c>
      <c r="BU256" s="16">
        <f>IFERROR(__xludf.DUMMYFUNCTION("""COMPUTED_VALUE"""),13.0)</f>
        <v>13</v>
      </c>
      <c r="BV256" s="16">
        <f>IFERROR(__xludf.DUMMYFUNCTION("""COMPUTED_VALUE"""),1.0)</f>
        <v>1</v>
      </c>
      <c r="BW256" s="16">
        <f>IFERROR(__xludf.DUMMYFUNCTION("""COMPUTED_VALUE"""),1.0)</f>
        <v>1</v>
      </c>
      <c r="BX256" s="16">
        <f>IFERROR(__xludf.DUMMYFUNCTION("""COMPUTED_VALUE"""),2.0)</f>
        <v>2</v>
      </c>
      <c r="BY256" s="16">
        <f>IFERROR(__xludf.DUMMYFUNCTION("""COMPUTED_VALUE"""),3.0)</f>
        <v>3</v>
      </c>
      <c r="BZ256" s="16" t="str">
        <f>IFERROR(__xludf.DUMMYFUNCTION("""COMPUTED_VALUE"""),"B")</f>
        <v>B</v>
      </c>
      <c r="CA256" s="16" t="str">
        <f>IFERROR(__xludf.DUMMYFUNCTION("""COMPUTED_VALUE"""),"C")</f>
        <v>C</v>
      </c>
      <c r="CB256" s="16">
        <f>IFERROR(__xludf.DUMMYFUNCTION("""COMPUTED_VALUE"""),1.0)</f>
        <v>1</v>
      </c>
      <c r="CC256" s="16">
        <f>IFERROR(__xludf.DUMMYFUNCTION("""COMPUTED_VALUE"""),0.0)</f>
        <v>0</v>
      </c>
      <c r="CD256" s="16">
        <f>IFERROR(__xludf.DUMMYFUNCTION("""COMPUTED_VALUE"""),1.0)</f>
        <v>1</v>
      </c>
      <c r="CE256" s="16">
        <f>IFERROR(__xludf.DUMMYFUNCTION("""COMPUTED_VALUE"""),0.0)</f>
        <v>0</v>
      </c>
      <c r="CF256" s="16">
        <f>IFERROR(__xludf.DUMMYFUNCTION("""COMPUTED_VALUE"""),1.0)</f>
        <v>1</v>
      </c>
      <c r="CG256" s="16">
        <f>IFERROR(__xludf.DUMMYFUNCTION("""COMPUTED_VALUE"""),-7.0)</f>
        <v>-7</v>
      </c>
      <c r="CH256" s="16">
        <f>IFERROR(__xludf.DUMMYFUNCTION("""COMPUTED_VALUE"""),-15.0)</f>
        <v>-15</v>
      </c>
      <c r="CI256" s="179">
        <f>IFERROR(__xludf.DUMMYFUNCTION("""COMPUTED_VALUE"""),-6.0)</f>
        <v>-6</v>
      </c>
      <c r="CJ256" s="16"/>
      <c r="CK256" s="16"/>
      <c r="CL256" s="16"/>
      <c r="CM256" s="16"/>
      <c r="CN256" s="16">
        <f>IFERROR(__xludf.DUMMYFUNCTION("""COMPUTED_VALUE"""),216.0)</f>
        <v>216</v>
      </c>
      <c r="CO256" s="16"/>
      <c r="CP256" s="16"/>
      <c r="CQ256" s="16"/>
      <c r="CR256" s="16" t="str">
        <f>IFERROR(__xludf.DUMMYFUNCTION("""COMPUTED_VALUE"""),"ss-2e16")</f>
        <v>ss-2e16</v>
      </c>
      <c r="CS256" s="16"/>
      <c r="CT256" s="16"/>
      <c r="CU256" s="16"/>
      <c r="CV256" s="16"/>
      <c r="CW256" s="16">
        <f>IFERROR(__xludf.DUMMYFUNCTION("""COMPUTED_VALUE"""),2.0)</f>
        <v>2</v>
      </c>
      <c r="CX256" s="16"/>
      <c r="CY256" s="16"/>
      <c r="CZ256" s="16"/>
      <c r="DA256" s="16"/>
      <c r="DB256" s="16"/>
      <c r="DC256" s="16"/>
      <c r="DD256" s="16"/>
      <c r="DE256" s="16">
        <f>IFERROR(__xludf.DUMMYFUNCTION("""COMPUTED_VALUE"""),16.0)</f>
        <v>16</v>
      </c>
      <c r="DF256" s="16"/>
      <c r="DG256" s="16"/>
      <c r="DH256" s="16"/>
      <c r="DI256" s="16"/>
      <c r="DJ256" s="16"/>
      <c r="DK256" s="16"/>
      <c r="DL256" s="16"/>
      <c r="DM256" s="16">
        <f>IFERROR(__xludf.DUMMYFUNCTION("""COMPUTED_VALUE"""),3.0)</f>
        <v>3</v>
      </c>
      <c r="DN256" s="16"/>
      <c r="DO256" s="16"/>
      <c r="DP256" s="16"/>
      <c r="DQ256" s="16"/>
      <c r="DR256" s="16"/>
      <c r="DS256" s="16"/>
      <c r="DT256" s="16"/>
      <c r="DU256" s="16">
        <f>IFERROR(__xludf.DUMMYFUNCTION("""COMPUTED_VALUE"""),2.0)</f>
        <v>2</v>
      </c>
      <c r="DV256" s="16"/>
      <c r="DW256" s="16"/>
      <c r="DX256" s="16"/>
      <c r="DY256" s="16"/>
      <c r="DZ256" s="16"/>
      <c r="EA256" s="16"/>
      <c r="EB256" s="16"/>
      <c r="EC256" s="16">
        <f>IFERROR(__xludf.DUMMYFUNCTION("""COMPUTED_VALUE"""),5.0)</f>
        <v>5</v>
      </c>
      <c r="ED256" s="16"/>
      <c r="EE256" s="16"/>
      <c r="EF256" s="16"/>
      <c r="EG256" s="179"/>
      <c r="EH256" s="179"/>
      <c r="EI256" s="179"/>
      <c r="EJ256" s="179"/>
      <c r="EK256" s="179">
        <f>IFERROR(__xludf.DUMMYFUNCTION("""COMPUTED_VALUE"""),-1.0)</f>
        <v>-1</v>
      </c>
      <c r="EL256" s="179"/>
      <c r="EM256" s="179"/>
      <c r="EN256" s="179"/>
      <c r="EO256" s="16"/>
      <c r="EP256" s="16"/>
      <c r="EQ256" s="16">
        <f>IFERROR(__xludf.DUMMYFUNCTION("""COMPUTED_VALUE"""),4.0)</f>
        <v>4</v>
      </c>
      <c r="ER256" s="16">
        <f>IFERROR(__xludf.DUMMYFUNCTION("""COMPUTED_VALUE"""),2.0)</f>
        <v>2</v>
      </c>
      <c r="ES256" s="16"/>
      <c r="ET256" s="16"/>
      <c r="EU256" s="16"/>
      <c r="EV256" s="16"/>
      <c r="EW256" s="16"/>
      <c r="EX256" s="180"/>
      <c r="EY256" s="180"/>
      <c r="EZ256" s="180"/>
      <c r="FA256" s="180"/>
      <c r="FB256" s="180">
        <f>IFERROR(__xludf.DUMMYFUNCTION("""COMPUTED_VALUE"""),0.1)</f>
        <v>0.1</v>
      </c>
      <c r="FC256" s="180"/>
      <c r="FD256" s="180"/>
      <c r="FE256" s="180"/>
      <c r="FF256" s="180"/>
      <c r="FG256" s="180"/>
      <c r="FH256" s="180"/>
      <c r="FI256" s="180"/>
      <c r="FJ256" s="180">
        <f>IFERROR(__xludf.DUMMYFUNCTION("""COMPUTED_VALUE"""),0.08333333333333333)</f>
        <v>0.08333333333</v>
      </c>
      <c r="FK256" s="180"/>
      <c r="FL256" s="180"/>
      <c r="FM256" s="180"/>
      <c r="FN256" s="16"/>
      <c r="FO256" s="16"/>
      <c r="FP256" s="16"/>
      <c r="FQ256" s="16"/>
      <c r="FR256" s="16">
        <f>IFERROR(__xludf.DUMMYFUNCTION("""COMPUTED_VALUE"""),0.825)</f>
        <v>0.825</v>
      </c>
      <c r="FS256" s="16"/>
      <c r="FT256" s="16"/>
      <c r="FU256" s="16"/>
      <c r="FV256" s="16"/>
      <c r="FW256" s="16"/>
      <c r="FX256" s="16"/>
      <c r="FY256" s="16"/>
      <c r="FZ256" s="16">
        <f>IFERROR(__xludf.DUMMYFUNCTION("""COMPUTED_VALUE"""),1.0)</f>
        <v>1</v>
      </c>
      <c r="GA256" s="16"/>
      <c r="GB256" s="16"/>
      <c r="GC256" s="16"/>
      <c r="GD256" s="16" t="s">
        <v>232</v>
      </c>
    </row>
    <row r="257">
      <c r="A257" s="16">
        <f>IFERROR(__xludf.DUMMYFUNCTION("""COMPUTED_VALUE"""),12727.0)</f>
        <v>12727</v>
      </c>
      <c r="B257" s="16" t="str">
        <f>IFERROR(__xludf.DUMMYFUNCTION("""COMPUTED_VALUE"""),"Daniel Schneemann")</f>
        <v>Daniel Schneemann</v>
      </c>
      <c r="C257" s="16">
        <f>IFERROR(__xludf.DUMMYFUNCTION("""COMPUTED_VALUE"""),0.55)</f>
        <v>0.55</v>
      </c>
      <c r="D257" s="16" t="str">
        <f>IFERROR(__xludf.DUMMYFUNCTION("""COMPUTED_VALUE"""),"L")</f>
        <v>L</v>
      </c>
      <c r="E257" s="16"/>
      <c r="F257" s="16"/>
      <c r="G257" s="16">
        <f>IFERROR(__xludf.DUMMYFUNCTION("""COMPUTED_VALUE"""),193.0)</f>
        <v>193</v>
      </c>
      <c r="H257" s="16">
        <f>IFERROR(__xludf.DUMMYFUNCTION("""COMPUTED_VALUE"""),25.0)</f>
        <v>25</v>
      </c>
      <c r="I257" s="16" t="str">
        <f>IFERROR(__xludf.DUMMYFUNCTION("""COMPUTED_VALUE"""),"1p40")</f>
        <v>1p40</v>
      </c>
      <c r="J257" s="16">
        <f>IFERROR(__xludf.DUMMYFUNCTION("""COMPUTED_VALUE"""),52.0)</f>
        <v>52</v>
      </c>
      <c r="K257" s="16">
        <f>IFERROR(__xludf.DUMMYFUNCTION("""COMPUTED_VALUE"""),44.0)</f>
        <v>44</v>
      </c>
      <c r="L257" s="16">
        <f>IFERROR(__xludf.DUMMYFUNCTION("""COMPUTED_VALUE"""),-2.0)</f>
        <v>-2</v>
      </c>
      <c r="M257" s="16">
        <f>IFERROR(__xludf.DUMMYFUNCTION("""COMPUTED_VALUE"""),-2.0)</f>
        <v>-2</v>
      </c>
      <c r="N257" s="16">
        <f>IFERROR(__xludf.DUMMYFUNCTION("""COMPUTED_VALUE"""),-2.0)</f>
        <v>-2</v>
      </c>
      <c r="O257" s="16">
        <f>IFERROR(__xludf.DUMMYFUNCTION("""COMPUTED_VALUE"""),-2.0)</f>
        <v>-2</v>
      </c>
      <c r="P257" s="16">
        <f>IFERROR(__xludf.DUMMYFUNCTION("""COMPUTED_VALUE"""),5.0)</f>
        <v>5</v>
      </c>
      <c r="Q257" s="16">
        <f>IFERROR(__xludf.DUMMYFUNCTION("""COMPUTED_VALUE"""),17.0)</f>
        <v>17</v>
      </c>
      <c r="R257" s="16">
        <f>IFERROR(__xludf.DUMMYFUNCTION("""COMPUTED_VALUE"""),-1.0)</f>
        <v>-1</v>
      </c>
      <c r="S257" s="16">
        <f>IFERROR(__xludf.DUMMYFUNCTION("""COMPUTED_VALUE"""),2.0)</f>
        <v>2</v>
      </c>
      <c r="T257" s="16">
        <f>IFERROR(__xludf.DUMMYFUNCTION("""COMPUTED_VALUE"""),-1.0)</f>
        <v>-1</v>
      </c>
      <c r="U257" s="16">
        <f>IFERROR(__xludf.DUMMYFUNCTION("""COMPUTED_VALUE"""),2.0)</f>
        <v>2</v>
      </c>
      <c r="V257" s="16">
        <f>IFERROR(__xludf.DUMMYFUNCTION("""COMPUTED_VALUE"""),10.6)</f>
        <v>10.6</v>
      </c>
      <c r="W257" s="16">
        <f>IFERROR(__xludf.DUMMYFUNCTION("""COMPUTED_VALUE"""),14.5)</f>
        <v>14.5</v>
      </c>
      <c r="X257" s="16">
        <f>IFERROR(__xludf.DUMMYFUNCTION("""COMPUTED_VALUE"""),-1.0)</f>
        <v>-1</v>
      </c>
      <c r="Y257" s="16">
        <f>IFERROR(__xludf.DUMMYFUNCTION("""COMPUTED_VALUE"""),-1.0)</f>
        <v>-1</v>
      </c>
      <c r="Z257" s="16">
        <f>IFERROR(__xludf.DUMMYFUNCTION("""COMPUTED_VALUE"""),-2.0)</f>
        <v>-2</v>
      </c>
      <c r="AA257" s="16">
        <f>IFERROR(__xludf.DUMMYFUNCTION("""COMPUTED_VALUE"""),-2.0)</f>
        <v>-2</v>
      </c>
      <c r="AB257" s="16">
        <f>IFERROR(__xludf.DUMMYFUNCTION("""COMPUTED_VALUE"""),15.6)</f>
        <v>15.6</v>
      </c>
      <c r="AC257" s="16">
        <f>IFERROR(__xludf.DUMMYFUNCTION("""COMPUTED_VALUE"""),31.6)</f>
        <v>31.6</v>
      </c>
      <c r="AD257" s="16">
        <f>IFERROR(__xludf.DUMMYFUNCTION("""COMPUTED_VALUE"""),-2.0)</f>
        <v>-2</v>
      </c>
      <c r="AE257" s="16">
        <f>IFERROR(__xludf.DUMMYFUNCTION("""COMPUTED_VALUE"""),0.0)</f>
        <v>0</v>
      </c>
      <c r="AF257" s="16">
        <f>IFERROR(__xludf.DUMMYFUNCTION("""COMPUTED_VALUE"""),-10.0)</f>
        <v>-10</v>
      </c>
      <c r="AG257" s="16">
        <f>IFERROR(__xludf.DUMMYFUNCTION("""COMPUTED_VALUE"""),0.0)</f>
        <v>0</v>
      </c>
      <c r="AH257" s="16">
        <f>IFERROR(__xludf.DUMMYFUNCTION("""COMPUTED_VALUE"""),23.7)</f>
        <v>23.7</v>
      </c>
      <c r="AI257" s="16">
        <f>IFERROR(__xludf.DUMMYFUNCTION("""COMPUTED_VALUE"""),24.4)</f>
        <v>24.4</v>
      </c>
      <c r="AJ257" s="16">
        <f>IFERROR(__xludf.DUMMYFUNCTION("""COMPUTED_VALUE"""),-1.0)</f>
        <v>-1</v>
      </c>
      <c r="AK257" s="16">
        <f>IFERROR(__xludf.DUMMYFUNCTION("""COMPUTED_VALUE"""),-1.0)</f>
        <v>-1</v>
      </c>
      <c r="AL257" s="16">
        <f>IFERROR(__xludf.DUMMYFUNCTION("""COMPUTED_VALUE"""),-5.0)</f>
        <v>-5</v>
      </c>
      <c r="AM257" s="16">
        <f>IFERROR(__xludf.DUMMYFUNCTION("""COMPUTED_VALUE"""),-5.0)</f>
        <v>-5</v>
      </c>
      <c r="AN257" s="16">
        <f>IFERROR(__xludf.DUMMYFUNCTION("""COMPUTED_VALUE"""),2.0)</f>
        <v>2</v>
      </c>
      <c r="AO257" s="16">
        <f>IFERROR(__xludf.DUMMYFUNCTION("""COMPUTED_VALUE"""),0.8)</f>
        <v>0.8</v>
      </c>
      <c r="AP257" s="16">
        <f>IFERROR(__xludf.DUMMYFUNCTION("""COMPUTED_VALUE"""),0.0)</f>
        <v>0</v>
      </c>
      <c r="AQ257" s="16">
        <f>IFERROR(__xludf.DUMMYFUNCTION("""COMPUTED_VALUE"""),-2.0)</f>
        <v>-2</v>
      </c>
      <c r="AR257" s="16">
        <f>IFERROR(__xludf.DUMMYFUNCTION("""COMPUTED_VALUE"""),0.0)</f>
        <v>0</v>
      </c>
      <c r="AS257" s="16">
        <f>IFERROR(__xludf.DUMMYFUNCTION("""COMPUTED_VALUE"""),-4.0)</f>
        <v>-4</v>
      </c>
      <c r="AT257" s="16">
        <f>IFERROR(__xludf.DUMMYFUNCTION("""COMPUTED_VALUE"""),4.0)</f>
        <v>4</v>
      </c>
      <c r="AU257" s="16">
        <f>IFERROR(__xludf.DUMMYFUNCTION("""COMPUTED_VALUE"""),1.0)</f>
        <v>1</v>
      </c>
      <c r="AV257" s="16">
        <f>IFERROR(__xludf.DUMMYFUNCTION("""COMPUTED_VALUE"""),4.0)</f>
        <v>4</v>
      </c>
      <c r="AW257" s="16">
        <f>IFERROR(__xludf.DUMMYFUNCTION("""COMPUTED_VALUE"""),1.0)</f>
        <v>1</v>
      </c>
      <c r="AX257" s="16">
        <f>IFERROR(__xludf.DUMMYFUNCTION("""COMPUTED_VALUE"""),2.0)</f>
        <v>2</v>
      </c>
      <c r="AY257" s="16">
        <f>IFERROR(__xludf.DUMMYFUNCTION("""COMPUTED_VALUE"""),-1.0)</f>
        <v>-1</v>
      </c>
      <c r="AZ257" s="16">
        <f>IFERROR(__xludf.DUMMYFUNCTION("""COMPUTED_VALUE"""),6.0)</f>
        <v>6</v>
      </c>
      <c r="BA257" s="16">
        <f>IFERROR(__xludf.DUMMYFUNCTION("""COMPUTED_VALUE"""),-3.0)</f>
        <v>-3</v>
      </c>
      <c r="BB257" s="16">
        <f>IFERROR(__xludf.DUMMYFUNCTION("""COMPUTED_VALUE"""),5.0)</f>
        <v>5</v>
      </c>
      <c r="BC257" s="16">
        <f>IFERROR(__xludf.DUMMYFUNCTION("""COMPUTED_VALUE"""),5.0)</f>
        <v>5</v>
      </c>
      <c r="BD257" s="16">
        <f>IFERROR(__xludf.DUMMYFUNCTION("""COMPUTED_VALUE"""),1.0)</f>
        <v>1</v>
      </c>
      <c r="BE257" s="16">
        <f>IFERROR(__xludf.DUMMYFUNCTION("""COMPUTED_VALUE"""),1.0)</f>
        <v>1</v>
      </c>
      <c r="BF257" s="16">
        <f>IFERROR(__xludf.DUMMYFUNCTION("""COMPUTED_VALUE"""),1.0)</f>
        <v>1</v>
      </c>
      <c r="BG257" s="16">
        <f>IFERROR(__xludf.DUMMYFUNCTION("""COMPUTED_VALUE"""),1.0)</f>
        <v>1</v>
      </c>
      <c r="BH257" s="16">
        <f>IFERROR(__xludf.DUMMYFUNCTION("""COMPUTED_VALUE"""),-1.0)</f>
        <v>-1</v>
      </c>
      <c r="BI257" s="16">
        <f>IFERROR(__xludf.DUMMYFUNCTION("""COMPUTED_VALUE"""),-1.0)</f>
        <v>-1</v>
      </c>
      <c r="BJ257" s="16">
        <f>IFERROR(__xludf.DUMMYFUNCTION("""COMPUTED_VALUE"""),0.0)</f>
        <v>0</v>
      </c>
      <c r="BK257" s="16">
        <f>IFERROR(__xludf.DUMMYFUNCTION("""COMPUTED_VALUE"""),0.0)</f>
        <v>0</v>
      </c>
      <c r="BL257" s="16">
        <f>IFERROR(__xludf.DUMMYFUNCTION("""COMPUTED_VALUE"""),3.0)</f>
        <v>3</v>
      </c>
      <c r="BM257" s="16">
        <f>IFERROR(__xludf.DUMMYFUNCTION("""COMPUTED_VALUE"""),3.0)</f>
        <v>3</v>
      </c>
      <c r="BN257" s="16">
        <f>IFERROR(__xludf.DUMMYFUNCTION("""COMPUTED_VALUE"""),3.0)</f>
        <v>3</v>
      </c>
      <c r="BO257" s="16">
        <f>IFERROR(__xludf.DUMMYFUNCTION("""COMPUTED_VALUE"""),3.0)</f>
        <v>3</v>
      </c>
      <c r="BP257" s="16">
        <f>IFERROR(__xludf.DUMMYFUNCTION("""COMPUTED_VALUE"""),-1.0)</f>
        <v>-1</v>
      </c>
      <c r="BQ257" s="16">
        <f>IFERROR(__xludf.DUMMYFUNCTION("""COMPUTED_VALUE"""),-1.0)</f>
        <v>-1</v>
      </c>
      <c r="BR257" s="16">
        <f>IFERROR(__xludf.DUMMYFUNCTION("""COMPUTED_VALUE"""),-2.0)</f>
        <v>-2</v>
      </c>
      <c r="BS257" s="16" t="str">
        <f>IFERROR(__xludf.DUMMYFUNCTION("""COMPUTED_VALUE"""),"*3-5,11/12 (15-9)")</f>
        <v>*3-5,11/12 (15-9)</v>
      </c>
      <c r="BT257" s="16" t="str">
        <f>IFERROR(__xludf.DUMMYFUNCTION("""COMPUTED_VALUE"""),"C")</f>
        <v>C</v>
      </c>
      <c r="BU257" s="16">
        <f>IFERROR(__xludf.DUMMYFUNCTION("""COMPUTED_VALUE"""),13.0)</f>
        <v>13</v>
      </c>
      <c r="BV257" s="16">
        <f>IFERROR(__xludf.DUMMYFUNCTION("""COMPUTED_VALUE"""),0.0)</f>
        <v>0</v>
      </c>
      <c r="BW257" s="16">
        <f>IFERROR(__xludf.DUMMYFUNCTION("""COMPUTED_VALUE"""),1.0)</f>
        <v>1</v>
      </c>
      <c r="BX257" s="16">
        <f>IFERROR(__xludf.DUMMYFUNCTION("""COMPUTED_VALUE"""),0.0)</f>
        <v>0</v>
      </c>
      <c r="BY257" s="16">
        <f>IFERROR(__xludf.DUMMYFUNCTION("""COMPUTED_VALUE"""),3.0)</f>
        <v>3</v>
      </c>
      <c r="BZ257" s="16" t="str">
        <f>IFERROR(__xludf.DUMMYFUNCTION("""COMPUTED_VALUE"""),"D")</f>
        <v>D</v>
      </c>
      <c r="CA257" s="16" t="str">
        <f>IFERROR(__xludf.DUMMYFUNCTION("""COMPUTED_VALUE"""),"C")</f>
        <v>C</v>
      </c>
      <c r="CB257" s="16">
        <f>IFERROR(__xludf.DUMMYFUNCTION("""COMPUTED_VALUE"""),0.0)</f>
        <v>0</v>
      </c>
      <c r="CC257" s="16">
        <f>IFERROR(__xludf.DUMMYFUNCTION("""COMPUTED_VALUE"""),0.0)</f>
        <v>0</v>
      </c>
      <c r="CD257" s="16">
        <f>IFERROR(__xludf.DUMMYFUNCTION("""COMPUTED_VALUE"""),0.0)</f>
        <v>0</v>
      </c>
      <c r="CE257" s="16">
        <f>IFERROR(__xludf.DUMMYFUNCTION("""COMPUTED_VALUE"""),0.0)</f>
        <v>0</v>
      </c>
      <c r="CF257" s="16">
        <f>IFERROR(__xludf.DUMMYFUNCTION("""COMPUTED_VALUE"""),1.0)</f>
        <v>1</v>
      </c>
      <c r="CG257" s="16">
        <f>IFERROR(__xludf.DUMMYFUNCTION("""COMPUTED_VALUE"""),-10.0)</f>
        <v>-10</v>
      </c>
      <c r="CH257" s="16">
        <f>IFERROR(__xludf.DUMMYFUNCTION("""COMPUTED_VALUE"""),-10.0)</f>
        <v>-10</v>
      </c>
      <c r="CI257" s="179">
        <f>IFERROR(__xludf.DUMMYFUNCTION("""COMPUTED_VALUE"""),-6.0)</f>
        <v>-6</v>
      </c>
      <c r="CJ257" s="16"/>
      <c r="CK257" s="16"/>
      <c r="CL257" s="16">
        <f>IFERROR(__xludf.DUMMYFUNCTION("""COMPUTED_VALUE"""),408.0)</f>
        <v>408</v>
      </c>
      <c r="CM257" s="16">
        <f>IFERROR(__xludf.DUMMYFUNCTION("""COMPUTED_VALUE"""),314.0)</f>
        <v>314</v>
      </c>
      <c r="CN257" s="16">
        <f>IFERROR(__xludf.DUMMYFUNCTION("""COMPUTED_VALUE"""),442.0)</f>
        <v>442</v>
      </c>
      <c r="CO257" s="16">
        <f>IFERROR(__xludf.DUMMYFUNCTION("""COMPUTED_VALUE"""),403.0)</f>
        <v>403</v>
      </c>
      <c r="CP257" s="16">
        <f>IFERROR(__xludf.DUMMYFUNCTION("""COMPUTED_VALUE"""),403.0)</f>
        <v>403</v>
      </c>
      <c r="CQ257" s="16">
        <f>IFERROR(__xludf.DUMMYFUNCTION("""COMPUTED_VALUE"""),403.0)</f>
        <v>403</v>
      </c>
      <c r="CR257" s="16" t="str">
        <f>IFERROR(__xludf.DUMMYFUNCTION("""COMPUTED_VALUE"""),"ss-4e42 cf-4(0)e3 3b-3e14 rf-4e3 2b-4e8 lf-4e3")</f>
        <v>ss-4e42 cf-4(0)e3 3b-3e14 rf-4e3 2b-4e8 lf-4e3</v>
      </c>
      <c r="CS257" s="16"/>
      <c r="CT257" s="16"/>
      <c r="CU257" s="16">
        <f>IFERROR(__xludf.DUMMYFUNCTION("""COMPUTED_VALUE"""),4.0)</f>
        <v>4</v>
      </c>
      <c r="CV257" s="16">
        <f>IFERROR(__xludf.DUMMYFUNCTION("""COMPUTED_VALUE"""),3.0)</f>
        <v>3</v>
      </c>
      <c r="CW257" s="16">
        <f>IFERROR(__xludf.DUMMYFUNCTION("""COMPUTED_VALUE"""),4.0)</f>
        <v>4</v>
      </c>
      <c r="CX257" s="16">
        <f>IFERROR(__xludf.DUMMYFUNCTION("""COMPUTED_VALUE"""),4.0)</f>
        <v>4</v>
      </c>
      <c r="CY257" s="16">
        <f>IFERROR(__xludf.DUMMYFUNCTION("""COMPUTED_VALUE"""),4.0)</f>
        <v>4</v>
      </c>
      <c r="CZ257" s="16">
        <f>IFERROR(__xludf.DUMMYFUNCTION("""COMPUTED_VALUE"""),4.0)</f>
        <v>4</v>
      </c>
      <c r="DA257" s="16"/>
      <c r="DB257" s="16"/>
      <c r="DC257" s="16">
        <f>IFERROR(__xludf.DUMMYFUNCTION("""COMPUTED_VALUE"""),8.0)</f>
        <v>8</v>
      </c>
      <c r="DD257" s="16">
        <f>IFERROR(__xludf.DUMMYFUNCTION("""COMPUTED_VALUE"""),14.0)</f>
        <v>14</v>
      </c>
      <c r="DE257" s="16">
        <f>IFERROR(__xludf.DUMMYFUNCTION("""COMPUTED_VALUE"""),42.0)</f>
        <v>42</v>
      </c>
      <c r="DF257" s="16">
        <f>IFERROR(__xludf.DUMMYFUNCTION("""COMPUTED_VALUE"""),3.0)</f>
        <v>3</v>
      </c>
      <c r="DG257" s="16">
        <f>IFERROR(__xludf.DUMMYFUNCTION("""COMPUTED_VALUE"""),3.0)</f>
        <v>3</v>
      </c>
      <c r="DH257" s="16">
        <f>IFERROR(__xludf.DUMMYFUNCTION("""COMPUTED_VALUE"""),3.0)</f>
        <v>3</v>
      </c>
      <c r="DI257" s="16"/>
      <c r="DJ257" s="16"/>
      <c r="DK257" s="16">
        <f>IFERROR(__xludf.DUMMYFUNCTION("""COMPUTED_VALUE"""),-2.0)</f>
        <v>-2</v>
      </c>
      <c r="DL257" s="16">
        <f>IFERROR(__xludf.DUMMYFUNCTION("""COMPUTED_VALUE"""),1.0)</f>
        <v>1</v>
      </c>
      <c r="DM257" s="16">
        <f>IFERROR(__xludf.DUMMYFUNCTION("""COMPUTED_VALUE"""),-2.0)</f>
        <v>-2</v>
      </c>
      <c r="DN257" s="16">
        <f>IFERROR(__xludf.DUMMYFUNCTION("""COMPUTED_VALUE"""),-1.0)</f>
        <v>-1</v>
      </c>
      <c r="DO257" s="16">
        <f>IFERROR(__xludf.DUMMYFUNCTION("""COMPUTED_VALUE"""),-2.0)</f>
        <v>-2</v>
      </c>
      <c r="DP257" s="16">
        <f>IFERROR(__xludf.DUMMYFUNCTION("""COMPUTED_VALUE"""),-1.0)</f>
        <v>-1</v>
      </c>
      <c r="DQ257" s="16"/>
      <c r="DR257" s="16"/>
      <c r="DS257" s="16">
        <f>IFERROR(__xludf.DUMMYFUNCTION("""COMPUTED_VALUE"""),3.0)</f>
        <v>3</v>
      </c>
      <c r="DT257" s="16">
        <f>IFERROR(__xludf.DUMMYFUNCTION("""COMPUTED_VALUE"""),1.0)</f>
        <v>1</v>
      </c>
      <c r="DU257" s="16">
        <f>IFERROR(__xludf.DUMMYFUNCTION("""COMPUTED_VALUE"""),-2.0)</f>
        <v>-2</v>
      </c>
      <c r="DV257" s="16">
        <f>IFERROR(__xludf.DUMMYFUNCTION("""COMPUTED_VALUE"""),4.0)</f>
        <v>4</v>
      </c>
      <c r="DW257" s="16">
        <f>IFERROR(__xludf.DUMMYFUNCTION("""COMPUTED_VALUE"""),4.0)</f>
        <v>4</v>
      </c>
      <c r="DX257" s="16">
        <f>IFERROR(__xludf.DUMMYFUNCTION("""COMPUTED_VALUE"""),4.0)</f>
        <v>4</v>
      </c>
      <c r="DY257" s="16"/>
      <c r="DZ257" s="16"/>
      <c r="EA257" s="16">
        <f>IFERROR(__xludf.DUMMYFUNCTION("""COMPUTED_VALUE"""),1.0)</f>
        <v>1</v>
      </c>
      <c r="EB257" s="16">
        <f>IFERROR(__xludf.DUMMYFUNCTION("""COMPUTED_VALUE"""),2.0)</f>
        <v>2</v>
      </c>
      <c r="EC257" s="16">
        <f>IFERROR(__xludf.DUMMYFUNCTION("""COMPUTED_VALUE"""),-4.0)</f>
        <v>-4</v>
      </c>
      <c r="ED257" s="16">
        <f>IFERROR(__xludf.DUMMYFUNCTION("""COMPUTED_VALUE"""),3.0)</f>
        <v>3</v>
      </c>
      <c r="EE257" s="16">
        <f>IFERROR(__xludf.DUMMYFUNCTION("""COMPUTED_VALUE"""),2.0)</f>
        <v>2</v>
      </c>
      <c r="EF257" s="16">
        <f>IFERROR(__xludf.DUMMYFUNCTION("""COMPUTED_VALUE"""),3.0)</f>
        <v>3</v>
      </c>
      <c r="EG257" s="179"/>
      <c r="EH257" s="179"/>
      <c r="EI257" s="179">
        <f>IFERROR(__xludf.DUMMYFUNCTION("""COMPUTED_VALUE"""),-5.0)</f>
        <v>-5</v>
      </c>
      <c r="EJ257" s="179">
        <f>IFERROR(__xludf.DUMMYFUNCTION("""COMPUTED_VALUE"""),-4.0)</f>
        <v>-4</v>
      </c>
      <c r="EK257" s="179">
        <f>IFERROR(__xludf.DUMMYFUNCTION("""COMPUTED_VALUE"""),-10.0)</f>
        <v>-10</v>
      </c>
      <c r="EL257" s="179">
        <f>IFERROR(__xludf.DUMMYFUNCTION("""COMPUTED_VALUE"""),-3.0)</f>
        <v>-3</v>
      </c>
      <c r="EM257" s="179">
        <f>IFERROR(__xludf.DUMMYFUNCTION("""COMPUTED_VALUE"""),-4.0)</f>
        <v>-4</v>
      </c>
      <c r="EN257" s="179">
        <f>IFERROR(__xludf.DUMMYFUNCTION("""COMPUTED_VALUE"""),-3.0)</f>
        <v>-3</v>
      </c>
      <c r="EO257" s="16"/>
      <c r="EP257" s="16">
        <f>IFERROR(__xludf.DUMMYFUNCTION("""COMPUTED_VALUE"""),0.0)</f>
        <v>0</v>
      </c>
      <c r="EQ257" s="16">
        <f>IFERROR(__xludf.DUMMYFUNCTION("""COMPUTED_VALUE"""),4.0)</f>
        <v>4</v>
      </c>
      <c r="ER257" s="16">
        <f>IFERROR(__xludf.DUMMYFUNCTION("""COMPUTED_VALUE"""),-1.0)</f>
        <v>-1</v>
      </c>
      <c r="ES257" s="16"/>
      <c r="ET257" s="16"/>
      <c r="EU257" s="16"/>
      <c r="EV257" s="16"/>
      <c r="EW257" s="16"/>
      <c r="EX257" s="180"/>
      <c r="EY257" s="180"/>
      <c r="EZ257" s="180">
        <f>IFERROR(__xludf.DUMMYFUNCTION("""COMPUTED_VALUE"""),0.3)</f>
        <v>0.3</v>
      </c>
      <c r="FA257" s="180">
        <f>IFERROR(__xludf.DUMMYFUNCTION("""COMPUTED_VALUE"""),0.2)</f>
        <v>0.2</v>
      </c>
      <c r="FB257" s="180">
        <f>IFERROR(__xludf.DUMMYFUNCTION("""COMPUTED_VALUE"""),0.3)</f>
        <v>0.3</v>
      </c>
      <c r="FC257" s="180">
        <f>IFERROR(__xludf.DUMMYFUNCTION("""COMPUTED_VALUE"""),0.55)</f>
        <v>0.55</v>
      </c>
      <c r="FD257" s="180">
        <f>IFERROR(__xludf.DUMMYFUNCTION("""COMPUTED_VALUE"""),0.55)</f>
        <v>0.55</v>
      </c>
      <c r="FE257" s="180">
        <f>IFERROR(__xludf.DUMMYFUNCTION("""COMPUTED_VALUE"""),0.55)</f>
        <v>0.55</v>
      </c>
      <c r="FF257" s="180"/>
      <c r="FG257" s="180"/>
      <c r="FH257" s="180">
        <f>IFERROR(__xludf.DUMMYFUNCTION("""COMPUTED_VALUE"""),0.046296296296296294)</f>
        <v>0.0462962963</v>
      </c>
      <c r="FI257" s="180">
        <f>IFERROR(__xludf.DUMMYFUNCTION("""COMPUTED_VALUE"""),0.16666666666666666)</f>
        <v>0.1666666667</v>
      </c>
      <c r="FJ257" s="180">
        <f>IFERROR(__xludf.DUMMYFUNCTION("""COMPUTED_VALUE"""),0.21296296296296297)</f>
        <v>0.212962963</v>
      </c>
      <c r="FK257" s="180">
        <f>IFERROR(__xludf.DUMMYFUNCTION("""COMPUTED_VALUE"""),0.056)</f>
        <v>0.056</v>
      </c>
      <c r="FL257" s="180">
        <f>IFERROR(__xludf.DUMMYFUNCTION("""COMPUTED_VALUE"""),0.037037037037037035)</f>
        <v>0.03703703704</v>
      </c>
      <c r="FM257" s="180">
        <f>IFERROR(__xludf.DUMMYFUNCTION("""COMPUTED_VALUE"""),0.056)</f>
        <v>0.056</v>
      </c>
      <c r="FN257" s="16"/>
      <c r="FO257" s="16"/>
      <c r="FP257" s="16">
        <f>IFERROR(__xludf.DUMMYFUNCTION("""COMPUTED_VALUE"""),0.6675925925925925)</f>
        <v>0.6675925926</v>
      </c>
      <c r="FQ257" s="16">
        <f>IFERROR(__xludf.DUMMYFUNCTION("""COMPUTED_VALUE"""),0.6666666666666667)</f>
        <v>0.6666666667</v>
      </c>
      <c r="FR257" s="16">
        <f>IFERROR(__xludf.DUMMYFUNCTION("""COMPUTED_VALUE"""),0.5509259259259258)</f>
        <v>0.5509259259</v>
      </c>
      <c r="FS257" s="16">
        <f>IFERROR(__xludf.DUMMYFUNCTION("""COMPUTED_VALUE"""),0.42479999999999996)</f>
        <v>0.4248</v>
      </c>
      <c r="FT257" s="16">
        <f>IFERROR(__xludf.DUMMYFUNCTION("""COMPUTED_VALUE"""),0.4333333333333333)</f>
        <v>0.4333333333</v>
      </c>
      <c r="FU257" s="16">
        <f>IFERROR(__xludf.DUMMYFUNCTION("""COMPUTED_VALUE"""),0.42479999999999996)</f>
        <v>0.4248</v>
      </c>
      <c r="FV257" s="16"/>
      <c r="FW257" s="16"/>
      <c r="FX257" s="16">
        <f>IFERROR(__xludf.DUMMYFUNCTION("""COMPUTED_VALUE"""),-4.0)</f>
        <v>-4</v>
      </c>
      <c r="FY257" s="16">
        <f>IFERROR(__xludf.DUMMYFUNCTION("""COMPUTED_VALUE"""),-4.0)</f>
        <v>-4</v>
      </c>
      <c r="FZ257" s="16">
        <f>IFERROR(__xludf.DUMMYFUNCTION("""COMPUTED_VALUE"""),-6.0)</f>
        <v>-6</v>
      </c>
      <c r="GA257" s="16">
        <f>IFERROR(__xludf.DUMMYFUNCTION("""COMPUTED_VALUE"""),-8.0)</f>
        <v>-8</v>
      </c>
      <c r="GB257" s="16">
        <f>IFERROR(__xludf.DUMMYFUNCTION("""COMPUTED_VALUE"""),-8.0)</f>
        <v>-8</v>
      </c>
      <c r="GC257" s="16">
        <f>IFERROR(__xludf.DUMMYFUNCTION("""COMPUTED_VALUE"""),-8.0)</f>
        <v>-8</v>
      </c>
      <c r="GD257" s="16" t="s">
        <v>176</v>
      </c>
    </row>
    <row r="258">
      <c r="A258" s="16">
        <f>IFERROR(__xludf.DUMMYFUNCTION("""COMPUTED_VALUE"""),13205.0)</f>
        <v>13205</v>
      </c>
      <c r="B258" s="16" t="str">
        <f>IFERROR(__xludf.DUMMYFUNCTION("""COMPUTED_VALUE"""),"Mickey Moniak")</f>
        <v>Mickey Moniak</v>
      </c>
      <c r="C258" s="16">
        <f>IFERROR(__xludf.DUMMYFUNCTION("""COMPUTED_VALUE"""),0.0)</f>
        <v>0</v>
      </c>
      <c r="D258" s="16" t="str">
        <f>IFERROR(__xludf.DUMMYFUNCTION("""COMPUTED_VALUE"""),"L")</f>
        <v>L</v>
      </c>
      <c r="E258" s="16"/>
      <c r="F258" s="16"/>
      <c r="G258" s="16">
        <f>IFERROR(__xludf.DUMMYFUNCTION("""COMPUTED_VALUE"""),392.0)</f>
        <v>392</v>
      </c>
      <c r="H258" s="16">
        <f>IFERROR(__xludf.DUMMYFUNCTION("""COMPUTED_VALUE"""),21.0)</f>
        <v>21</v>
      </c>
      <c r="I258" s="16" t="str">
        <f>IFERROR(__xludf.DUMMYFUNCTION("""COMPUTED_VALUE"""),"1p60")</f>
        <v>1p60</v>
      </c>
      <c r="J258" s="16">
        <f>IFERROR(__xludf.DUMMYFUNCTION("""COMPUTED_VALUE"""),48.0)</f>
        <v>48</v>
      </c>
      <c r="K258" s="16">
        <f>IFERROR(__xludf.DUMMYFUNCTION("""COMPUTED_VALUE"""),33.0)</f>
        <v>33</v>
      </c>
      <c r="L258" s="16">
        <f>IFERROR(__xludf.DUMMYFUNCTION("""COMPUTED_VALUE"""),-2.0)</f>
        <v>-2</v>
      </c>
      <c r="M258" s="16">
        <f>IFERROR(__xludf.DUMMYFUNCTION("""COMPUTED_VALUE"""),-1.0)</f>
        <v>-1</v>
      </c>
      <c r="N258" s="16">
        <f>IFERROR(__xludf.DUMMYFUNCTION("""COMPUTED_VALUE"""),-2.0)</f>
        <v>-2</v>
      </c>
      <c r="O258" s="16">
        <f>IFERROR(__xludf.DUMMYFUNCTION("""COMPUTED_VALUE"""),-1.0)</f>
        <v>-1</v>
      </c>
      <c r="P258" s="16">
        <f>IFERROR(__xludf.DUMMYFUNCTION("""COMPUTED_VALUE"""),0.0)</f>
        <v>0</v>
      </c>
      <c r="Q258" s="16">
        <f>IFERROR(__xludf.DUMMYFUNCTION("""COMPUTED_VALUE"""),2.0)</f>
        <v>2</v>
      </c>
      <c r="R258" s="16">
        <f>IFERROR(__xludf.DUMMYFUNCTION("""COMPUTED_VALUE"""),-3.0)</f>
        <v>-3</v>
      </c>
      <c r="S258" s="16">
        <f>IFERROR(__xludf.DUMMYFUNCTION("""COMPUTED_VALUE"""),-2.0)</f>
        <v>-2</v>
      </c>
      <c r="T258" s="16">
        <f>IFERROR(__xludf.DUMMYFUNCTION("""COMPUTED_VALUE"""),-3.0)</f>
        <v>-3</v>
      </c>
      <c r="U258" s="16">
        <f>IFERROR(__xludf.DUMMYFUNCTION("""COMPUTED_VALUE"""),-2.0)</f>
        <v>-2</v>
      </c>
      <c r="V258" s="16">
        <f>IFERROR(__xludf.DUMMYFUNCTION("""COMPUTED_VALUE"""),10.2)</f>
        <v>10.2</v>
      </c>
      <c r="W258" s="16">
        <f>IFERROR(__xludf.DUMMYFUNCTION("""COMPUTED_VALUE"""),17.7)</f>
        <v>17.7</v>
      </c>
      <c r="X258" s="16">
        <f>IFERROR(__xludf.DUMMYFUNCTION("""COMPUTED_VALUE"""),-1.0)</f>
        <v>-1</v>
      </c>
      <c r="Y258" s="16">
        <f>IFERROR(__xludf.DUMMYFUNCTION("""COMPUTED_VALUE"""),0.0)</f>
        <v>0</v>
      </c>
      <c r="Z258" s="16">
        <f>IFERROR(__xludf.DUMMYFUNCTION("""COMPUTED_VALUE"""),-2.0)</f>
        <v>-2</v>
      </c>
      <c r="AA258" s="16">
        <f>IFERROR(__xludf.DUMMYFUNCTION("""COMPUTED_VALUE"""),0.0)</f>
        <v>0</v>
      </c>
      <c r="AB258" s="16">
        <f>IFERROR(__xludf.DUMMYFUNCTION("""COMPUTED_VALUE"""),12.2)</f>
        <v>12.2</v>
      </c>
      <c r="AC258" s="16">
        <f>IFERROR(__xludf.DUMMYFUNCTION("""COMPUTED_VALUE"""),21.7)</f>
        <v>21.7</v>
      </c>
      <c r="AD258" s="16">
        <f>IFERROR(__xludf.DUMMYFUNCTION("""COMPUTED_VALUE"""),-2.0)</f>
        <v>-2</v>
      </c>
      <c r="AE258" s="16">
        <f>IFERROR(__xludf.DUMMYFUNCTION("""COMPUTED_VALUE"""),-2.0)</f>
        <v>-2</v>
      </c>
      <c r="AF258" s="16">
        <f>IFERROR(__xludf.DUMMYFUNCTION("""COMPUTED_VALUE"""),-10.0)</f>
        <v>-10</v>
      </c>
      <c r="AG258" s="16">
        <f>IFERROR(__xludf.DUMMYFUNCTION("""COMPUTED_VALUE"""),-10.0)</f>
        <v>-10</v>
      </c>
      <c r="AH258" s="16">
        <f>IFERROR(__xludf.DUMMYFUNCTION("""COMPUTED_VALUE"""),16.9)</f>
        <v>16.9</v>
      </c>
      <c r="AI258" s="16">
        <f>IFERROR(__xludf.DUMMYFUNCTION("""COMPUTED_VALUE"""),29.9)</f>
        <v>29.9</v>
      </c>
      <c r="AJ258" s="16">
        <f>IFERROR(__xludf.DUMMYFUNCTION("""COMPUTED_VALUE"""),-1.0)</f>
        <v>-1</v>
      </c>
      <c r="AK258" s="16">
        <f>IFERROR(__xludf.DUMMYFUNCTION("""COMPUTED_VALUE"""),0.0)</f>
        <v>0</v>
      </c>
      <c r="AL258" s="16">
        <f>IFERROR(__xludf.DUMMYFUNCTION("""COMPUTED_VALUE"""),-5.0)</f>
        <v>-5</v>
      </c>
      <c r="AM258" s="16">
        <f>IFERROR(__xludf.DUMMYFUNCTION("""COMPUTED_VALUE"""),0.0)</f>
        <v>0</v>
      </c>
      <c r="AN258" s="16">
        <f>IFERROR(__xludf.DUMMYFUNCTION("""COMPUTED_VALUE"""),2.3)</f>
        <v>2.3</v>
      </c>
      <c r="AO258" s="16">
        <f>IFERROR(__xludf.DUMMYFUNCTION("""COMPUTED_VALUE"""),2.3)</f>
        <v>2.3</v>
      </c>
      <c r="AP258" s="16">
        <f>IFERROR(__xludf.DUMMYFUNCTION("""COMPUTED_VALUE"""),0.0)</f>
        <v>0</v>
      </c>
      <c r="AQ258" s="16">
        <f>IFERROR(__xludf.DUMMYFUNCTION("""COMPUTED_VALUE"""),0.0)</f>
        <v>0</v>
      </c>
      <c r="AR258" s="16">
        <f>IFERROR(__xludf.DUMMYFUNCTION("""COMPUTED_VALUE"""),0.0)</f>
        <v>0</v>
      </c>
      <c r="AS258" s="16">
        <f>IFERROR(__xludf.DUMMYFUNCTION("""COMPUTED_VALUE"""),0.0)</f>
        <v>0</v>
      </c>
      <c r="AT258" s="16">
        <f>IFERROR(__xludf.DUMMYFUNCTION("""COMPUTED_VALUE"""),3.0)</f>
        <v>3</v>
      </c>
      <c r="AU258" s="16">
        <f>IFERROR(__xludf.DUMMYFUNCTION("""COMPUTED_VALUE"""),3.0)</f>
        <v>3</v>
      </c>
      <c r="AV258" s="16">
        <f>IFERROR(__xludf.DUMMYFUNCTION("""COMPUTED_VALUE"""),3.0)</f>
        <v>3</v>
      </c>
      <c r="AW258" s="16">
        <f>IFERROR(__xludf.DUMMYFUNCTION("""COMPUTED_VALUE"""),3.0)</f>
        <v>3</v>
      </c>
      <c r="AX258" s="16">
        <f>IFERROR(__xludf.DUMMYFUNCTION("""COMPUTED_VALUE"""),1.0)</f>
        <v>1</v>
      </c>
      <c r="AY258" s="16">
        <f>IFERROR(__xludf.DUMMYFUNCTION("""COMPUTED_VALUE"""),0.0)</f>
        <v>0</v>
      </c>
      <c r="AZ258" s="16">
        <f>IFERROR(__xludf.DUMMYFUNCTION("""COMPUTED_VALUE"""),3.0)</f>
        <v>3</v>
      </c>
      <c r="BA258" s="16">
        <f>IFERROR(__xludf.DUMMYFUNCTION("""COMPUTED_VALUE"""),0.0)</f>
        <v>0</v>
      </c>
      <c r="BB258" s="16">
        <f>IFERROR(__xludf.DUMMYFUNCTION("""COMPUTED_VALUE"""),5.0)</f>
        <v>5</v>
      </c>
      <c r="BC258" s="16">
        <f>IFERROR(__xludf.DUMMYFUNCTION("""COMPUTED_VALUE"""),5.0)</f>
        <v>5</v>
      </c>
      <c r="BD258" s="16">
        <f>IFERROR(__xludf.DUMMYFUNCTION("""COMPUTED_VALUE"""),1.0)</f>
        <v>1</v>
      </c>
      <c r="BE258" s="16">
        <f>IFERROR(__xludf.DUMMYFUNCTION("""COMPUTED_VALUE"""),1.0)</f>
        <v>1</v>
      </c>
      <c r="BF258" s="16">
        <f>IFERROR(__xludf.DUMMYFUNCTION("""COMPUTED_VALUE"""),1.0)</f>
        <v>1</v>
      </c>
      <c r="BG258" s="16">
        <f>IFERROR(__xludf.DUMMYFUNCTION("""COMPUTED_VALUE"""),1.0)</f>
        <v>1</v>
      </c>
      <c r="BH258" s="16">
        <f>IFERROR(__xludf.DUMMYFUNCTION("""COMPUTED_VALUE"""),-5.0)</f>
        <v>-5</v>
      </c>
      <c r="BI258" s="16">
        <f>IFERROR(__xludf.DUMMYFUNCTION("""COMPUTED_VALUE"""),-5.0)</f>
        <v>-5</v>
      </c>
      <c r="BJ258" s="16">
        <f>IFERROR(__xludf.DUMMYFUNCTION("""COMPUTED_VALUE"""),4.0)</f>
        <v>4</v>
      </c>
      <c r="BK258" s="16">
        <f>IFERROR(__xludf.DUMMYFUNCTION("""COMPUTED_VALUE"""),3.0)</f>
        <v>3</v>
      </c>
      <c r="BL258" s="16">
        <f>IFERROR(__xludf.DUMMYFUNCTION("""COMPUTED_VALUE"""),1.0)</f>
        <v>1</v>
      </c>
      <c r="BM258" s="16">
        <f>IFERROR(__xludf.DUMMYFUNCTION("""COMPUTED_VALUE"""),2.0)</f>
        <v>2</v>
      </c>
      <c r="BN258" s="16">
        <f>IFERROR(__xludf.DUMMYFUNCTION("""COMPUTED_VALUE"""),1.0)</f>
        <v>1</v>
      </c>
      <c r="BO258" s="16">
        <f>IFERROR(__xludf.DUMMYFUNCTION("""COMPUTED_VALUE"""),2.0)</f>
        <v>2</v>
      </c>
      <c r="BP258" s="16">
        <f>IFERROR(__xludf.DUMMYFUNCTION("""COMPUTED_VALUE"""),-6.0)</f>
        <v>-6</v>
      </c>
      <c r="BQ258" s="16">
        <f>IFERROR(__xludf.DUMMYFUNCTION("""COMPUTED_VALUE"""),-2.0)</f>
        <v>-2</v>
      </c>
      <c r="BR258" s="16">
        <f>IFERROR(__xludf.DUMMYFUNCTION("""COMPUTED_VALUE"""),-8.0)</f>
        <v>-8</v>
      </c>
      <c r="BS258" s="16" t="str">
        <f>IFERROR(__xludf.DUMMYFUNCTION("""COMPUTED_VALUE"""),"*2-6,11,12/- (15-12)")</f>
        <v>*2-6,11,12/- (15-12)</v>
      </c>
      <c r="BT258" s="16" t="str">
        <f>IFERROR(__xludf.DUMMYFUNCTION("""COMPUTED_VALUE"""),"B")</f>
        <v>B</v>
      </c>
      <c r="BU258" s="16">
        <f>IFERROR(__xludf.DUMMYFUNCTION("""COMPUTED_VALUE"""),14.0)</f>
        <v>14</v>
      </c>
      <c r="BV258" s="16">
        <f>IFERROR(__xludf.DUMMYFUNCTION("""COMPUTED_VALUE"""),1.0)</f>
        <v>1</v>
      </c>
      <c r="BW258" s="16">
        <f>IFERROR(__xludf.DUMMYFUNCTION("""COMPUTED_VALUE"""),1.0)</f>
        <v>1</v>
      </c>
      <c r="BX258" s="16">
        <f>IFERROR(__xludf.DUMMYFUNCTION("""COMPUTED_VALUE"""),2.0)</f>
        <v>2</v>
      </c>
      <c r="BY258" s="16">
        <f>IFERROR(__xludf.DUMMYFUNCTION("""COMPUTED_VALUE"""),3.0)</f>
        <v>3</v>
      </c>
      <c r="BZ258" s="16" t="str">
        <f>IFERROR(__xludf.DUMMYFUNCTION("""COMPUTED_VALUE"""),"D")</f>
        <v>D</v>
      </c>
      <c r="CA258" s="16" t="str">
        <f>IFERROR(__xludf.DUMMYFUNCTION("""COMPUTED_VALUE"""),"D")</f>
        <v>D</v>
      </c>
      <c r="CB258" s="16">
        <f>IFERROR(__xludf.DUMMYFUNCTION("""COMPUTED_VALUE"""),0.0)</f>
        <v>0</v>
      </c>
      <c r="CC258" s="16">
        <f>IFERROR(__xludf.DUMMYFUNCTION("""COMPUTED_VALUE"""),0.0)</f>
        <v>0</v>
      </c>
      <c r="CD258" s="16">
        <f>IFERROR(__xludf.DUMMYFUNCTION("""COMPUTED_VALUE"""),0.0)</f>
        <v>0</v>
      </c>
      <c r="CE258" s="16">
        <f>IFERROR(__xludf.DUMMYFUNCTION("""COMPUTED_VALUE"""),0.0)</f>
        <v>0</v>
      </c>
      <c r="CF258" s="16">
        <f>IFERROR(__xludf.DUMMYFUNCTION("""COMPUTED_VALUE"""),1.0)</f>
        <v>1</v>
      </c>
      <c r="CG258" s="16">
        <f>IFERROR(__xludf.DUMMYFUNCTION("""COMPUTED_VALUE"""),-17.0)</f>
        <v>-17</v>
      </c>
      <c r="CH258" s="16">
        <f>IFERROR(__xludf.DUMMYFUNCTION("""COMPUTED_VALUE"""),-10.0)</f>
        <v>-10</v>
      </c>
      <c r="CI258" s="179">
        <f>IFERROR(__xludf.DUMMYFUNCTION("""COMPUTED_VALUE"""),-6.0)</f>
        <v>-6</v>
      </c>
      <c r="CJ258" s="16"/>
      <c r="CK258" s="16"/>
      <c r="CL258" s="16"/>
      <c r="CM258" s="16"/>
      <c r="CN258" s="16"/>
      <c r="CO258" s="16">
        <f>IFERROR(__xludf.DUMMYFUNCTION("""COMPUTED_VALUE"""),306.0)</f>
        <v>306</v>
      </c>
      <c r="CP258" s="16">
        <f>IFERROR(__xludf.DUMMYFUNCTION("""COMPUTED_VALUE"""),306.0)</f>
        <v>306</v>
      </c>
      <c r="CQ258" s="16">
        <f>IFERROR(__xludf.DUMMYFUNCTION("""COMPUTED_VALUE"""),306.0)</f>
        <v>306</v>
      </c>
      <c r="CR258" s="16" t="str">
        <f>IFERROR(__xludf.DUMMYFUNCTION("""COMPUTED_VALUE"""),"cf-3(0)e6 rf-3e6 lf-3e6")</f>
        <v>cf-3(0)e6 rf-3e6 lf-3e6</v>
      </c>
      <c r="CS258" s="16"/>
      <c r="CT258" s="16"/>
      <c r="CU258" s="16"/>
      <c r="CV258" s="16"/>
      <c r="CW258" s="16"/>
      <c r="CX258" s="16">
        <f>IFERROR(__xludf.DUMMYFUNCTION("""COMPUTED_VALUE"""),3.0)</f>
        <v>3</v>
      </c>
      <c r="CY258" s="16">
        <f>IFERROR(__xludf.DUMMYFUNCTION("""COMPUTED_VALUE"""),3.0)</f>
        <v>3</v>
      </c>
      <c r="CZ258" s="16">
        <f>IFERROR(__xludf.DUMMYFUNCTION("""COMPUTED_VALUE"""),3.0)</f>
        <v>3</v>
      </c>
      <c r="DA258" s="16"/>
      <c r="DB258" s="16"/>
      <c r="DC258" s="16"/>
      <c r="DD258" s="16"/>
      <c r="DE258" s="16"/>
      <c r="DF258" s="16">
        <f>IFERROR(__xludf.DUMMYFUNCTION("""COMPUTED_VALUE"""),6.0)</f>
        <v>6</v>
      </c>
      <c r="DG258" s="16">
        <f>IFERROR(__xludf.DUMMYFUNCTION("""COMPUTED_VALUE"""),6.0)</f>
        <v>6</v>
      </c>
      <c r="DH258" s="16">
        <f>IFERROR(__xludf.DUMMYFUNCTION("""COMPUTED_VALUE"""),6.0)</f>
        <v>6</v>
      </c>
      <c r="DI258" s="16"/>
      <c r="DJ258" s="16"/>
      <c r="DK258" s="16"/>
      <c r="DL258" s="16"/>
      <c r="DM258" s="16"/>
      <c r="DN258" s="16">
        <f>IFERROR(__xludf.DUMMYFUNCTION("""COMPUTED_VALUE"""),0.0)</f>
        <v>0</v>
      </c>
      <c r="DO258" s="16">
        <f>IFERROR(__xludf.DUMMYFUNCTION("""COMPUTED_VALUE"""),0.0)</f>
        <v>0</v>
      </c>
      <c r="DP258" s="16">
        <f>IFERROR(__xludf.DUMMYFUNCTION("""COMPUTED_VALUE"""),0.0)</f>
        <v>0</v>
      </c>
      <c r="DQ258" s="16"/>
      <c r="DR258" s="16"/>
      <c r="DS258" s="16"/>
      <c r="DT258" s="16"/>
      <c r="DU258" s="16"/>
      <c r="DV258" s="16">
        <f>IFERROR(__xludf.DUMMYFUNCTION("""COMPUTED_VALUE"""),2.0)</f>
        <v>2</v>
      </c>
      <c r="DW258" s="16">
        <f>IFERROR(__xludf.DUMMYFUNCTION("""COMPUTED_VALUE"""),3.0)</f>
        <v>3</v>
      </c>
      <c r="DX258" s="16">
        <f>IFERROR(__xludf.DUMMYFUNCTION("""COMPUTED_VALUE"""),2.0)</f>
        <v>2</v>
      </c>
      <c r="DY258" s="16"/>
      <c r="DZ258" s="16"/>
      <c r="EA258" s="16"/>
      <c r="EB258" s="16"/>
      <c r="EC258" s="16"/>
      <c r="ED258" s="16">
        <f>IFERROR(__xludf.DUMMYFUNCTION("""COMPUTED_VALUE"""),2.0)</f>
        <v>2</v>
      </c>
      <c r="EE258" s="16">
        <f>IFERROR(__xludf.DUMMYFUNCTION("""COMPUTED_VALUE"""),3.0)</f>
        <v>3</v>
      </c>
      <c r="EF258" s="16">
        <f>IFERROR(__xludf.DUMMYFUNCTION("""COMPUTED_VALUE"""),2.0)</f>
        <v>2</v>
      </c>
      <c r="EG258" s="179"/>
      <c r="EH258" s="179"/>
      <c r="EI258" s="179"/>
      <c r="EJ258" s="179"/>
      <c r="EK258" s="179"/>
      <c r="EL258" s="179">
        <f>IFERROR(__xludf.DUMMYFUNCTION("""COMPUTED_VALUE"""),-4.0)</f>
        <v>-4</v>
      </c>
      <c r="EM258" s="179">
        <f>IFERROR(__xludf.DUMMYFUNCTION("""COMPUTED_VALUE"""),-3.0)</f>
        <v>-3</v>
      </c>
      <c r="EN258" s="179">
        <f>IFERROR(__xludf.DUMMYFUNCTION("""COMPUTED_VALUE"""),-4.0)</f>
        <v>-4</v>
      </c>
      <c r="EO258" s="16"/>
      <c r="EP258" s="16">
        <f>IFERROR(__xludf.DUMMYFUNCTION("""COMPUTED_VALUE"""),-2.0)</f>
        <v>-2</v>
      </c>
      <c r="EQ258" s="16">
        <f>IFERROR(__xludf.DUMMYFUNCTION("""COMPUTED_VALUE"""),4.0)</f>
        <v>4</v>
      </c>
      <c r="ER258" s="16">
        <f>IFERROR(__xludf.DUMMYFUNCTION("""COMPUTED_VALUE"""),1.0)</f>
        <v>1</v>
      </c>
      <c r="ES258" s="16"/>
      <c r="ET258" s="16"/>
      <c r="EU258" s="16"/>
      <c r="EV258" s="16"/>
      <c r="EW258" s="16"/>
      <c r="EX258" s="180"/>
      <c r="EY258" s="180"/>
      <c r="EZ258" s="180"/>
      <c r="FA258" s="180"/>
      <c r="FB258" s="180"/>
      <c r="FC258" s="180">
        <f>IFERROR(__xludf.DUMMYFUNCTION("""COMPUTED_VALUE"""),0.3)</f>
        <v>0.3</v>
      </c>
      <c r="FD258" s="180">
        <f>IFERROR(__xludf.DUMMYFUNCTION("""COMPUTED_VALUE"""),0.3)</f>
        <v>0.3</v>
      </c>
      <c r="FE258" s="180">
        <f>IFERROR(__xludf.DUMMYFUNCTION("""COMPUTED_VALUE"""),0.3)</f>
        <v>0.3</v>
      </c>
      <c r="FF258" s="180"/>
      <c r="FG258" s="180"/>
      <c r="FH258" s="180"/>
      <c r="FI258" s="180"/>
      <c r="FJ258" s="180"/>
      <c r="FK258" s="180">
        <f>IFERROR(__xludf.DUMMYFUNCTION("""COMPUTED_VALUE"""),0.106)</f>
        <v>0.106</v>
      </c>
      <c r="FL258" s="180">
        <f>IFERROR(__xludf.DUMMYFUNCTION("""COMPUTED_VALUE"""),0.06944444444444445)</f>
        <v>0.06944444444</v>
      </c>
      <c r="FM258" s="180">
        <f>IFERROR(__xludf.DUMMYFUNCTION("""COMPUTED_VALUE"""),0.106)</f>
        <v>0.106</v>
      </c>
      <c r="FN258" s="16"/>
      <c r="FO258" s="16"/>
      <c r="FP258" s="16"/>
      <c r="FQ258" s="16"/>
      <c r="FR258" s="16"/>
      <c r="FS258" s="16">
        <f>IFERROR(__xludf.DUMMYFUNCTION("""COMPUTED_VALUE"""),0.6258)</f>
        <v>0.6258</v>
      </c>
      <c r="FT258" s="16">
        <f>IFERROR(__xludf.DUMMYFUNCTION("""COMPUTED_VALUE"""),0.6513888888888889)</f>
        <v>0.6513888889</v>
      </c>
      <c r="FU258" s="16">
        <f>IFERROR(__xludf.DUMMYFUNCTION("""COMPUTED_VALUE"""),0.6258)</f>
        <v>0.6258</v>
      </c>
      <c r="FV258" s="16"/>
      <c r="FW258" s="16"/>
      <c r="FX258" s="16"/>
      <c r="FY258" s="16"/>
      <c r="FZ258" s="16"/>
      <c r="GA258" s="16">
        <f>IFERROR(__xludf.DUMMYFUNCTION("""COMPUTED_VALUE"""),-4.0)</f>
        <v>-4</v>
      </c>
      <c r="GB258" s="16">
        <f>IFERROR(__xludf.DUMMYFUNCTION("""COMPUTED_VALUE"""),-2.0)</f>
        <v>-2</v>
      </c>
      <c r="GC258" s="16">
        <f>IFERROR(__xludf.DUMMYFUNCTION("""COMPUTED_VALUE"""),-4.0)</f>
        <v>-4</v>
      </c>
      <c r="GD258" s="16" t="s">
        <v>126</v>
      </c>
    </row>
    <row r="259">
      <c r="A259" s="16">
        <f>IFERROR(__xludf.DUMMYFUNCTION("""COMPUTED_VALUE"""),12836.0)</f>
        <v>12836</v>
      </c>
      <c r="B259" s="16" t="str">
        <f>IFERROR(__xludf.DUMMYFUNCTION("""COMPUTED_VALUE"""),"Gavin Lux")</f>
        <v>Gavin Lux</v>
      </c>
      <c r="C259" s="16">
        <f>IFERROR(__xludf.DUMMYFUNCTION("""COMPUTED_VALUE"""),0.75)</f>
        <v>0.75</v>
      </c>
      <c r="D259" s="16" t="str">
        <f>IFERROR(__xludf.DUMMYFUNCTION("""COMPUTED_VALUE"""),"L")</f>
        <v>L</v>
      </c>
      <c r="E259" s="16"/>
      <c r="F259" s="16"/>
      <c r="G259" s="16">
        <f>IFERROR(__xludf.DUMMYFUNCTION("""COMPUTED_VALUE"""),439.0)</f>
        <v>439</v>
      </c>
      <c r="H259" s="16">
        <f>IFERROR(__xludf.DUMMYFUNCTION("""COMPUTED_VALUE"""),44.0)</f>
        <v>44</v>
      </c>
      <c r="I259" s="16" t="str">
        <f>IFERROR(__xludf.DUMMYFUNCTION("""COMPUTED_VALUE"""),"1p65")</f>
        <v>1p65</v>
      </c>
      <c r="J259" s="16">
        <f>IFERROR(__xludf.DUMMYFUNCTION("""COMPUTED_VALUE"""),48.0)</f>
        <v>48</v>
      </c>
      <c r="K259" s="16">
        <f>IFERROR(__xludf.DUMMYFUNCTION("""COMPUTED_VALUE"""),22.0)</f>
        <v>22</v>
      </c>
      <c r="L259" s="16">
        <f>IFERROR(__xludf.DUMMYFUNCTION("""COMPUTED_VALUE"""),-2.0)</f>
        <v>-2</v>
      </c>
      <c r="M259" s="16">
        <f>IFERROR(__xludf.DUMMYFUNCTION("""COMPUTED_VALUE"""),0.0)</f>
        <v>0</v>
      </c>
      <c r="N259" s="16">
        <f>IFERROR(__xludf.DUMMYFUNCTION("""COMPUTED_VALUE"""),-2.0)</f>
        <v>-2</v>
      </c>
      <c r="O259" s="16">
        <f>IFERROR(__xludf.DUMMYFUNCTION("""COMPUTED_VALUE"""),0.0)</f>
        <v>0</v>
      </c>
      <c r="P259" s="16">
        <f>IFERROR(__xludf.DUMMYFUNCTION("""COMPUTED_VALUE"""),5.0)</f>
        <v>5</v>
      </c>
      <c r="Q259" s="16">
        <f>IFERROR(__xludf.DUMMYFUNCTION("""COMPUTED_VALUE"""),10.0)</f>
        <v>10</v>
      </c>
      <c r="R259" s="16">
        <f>IFERROR(__xludf.DUMMYFUNCTION("""COMPUTED_VALUE"""),-1.0)</f>
        <v>-1</v>
      </c>
      <c r="S259" s="16">
        <f>IFERROR(__xludf.DUMMYFUNCTION("""COMPUTED_VALUE"""),0.0)</f>
        <v>0</v>
      </c>
      <c r="T259" s="16">
        <f>IFERROR(__xludf.DUMMYFUNCTION("""COMPUTED_VALUE"""),-1.0)</f>
        <v>-1</v>
      </c>
      <c r="U259" s="16">
        <f>IFERROR(__xludf.DUMMYFUNCTION("""COMPUTED_VALUE"""),0.0)</f>
        <v>0</v>
      </c>
      <c r="V259" s="16">
        <f>IFERROR(__xludf.DUMMYFUNCTION("""COMPUTED_VALUE"""),4.0)</f>
        <v>4</v>
      </c>
      <c r="W259" s="16">
        <f>IFERROR(__xludf.DUMMYFUNCTION("""COMPUTED_VALUE"""),23.5)</f>
        <v>23.5</v>
      </c>
      <c r="X259" s="16">
        <f>IFERROR(__xludf.DUMMYFUNCTION("""COMPUTED_VALUE"""),-2.0)</f>
        <v>-2</v>
      </c>
      <c r="Y259" s="16">
        <f>IFERROR(__xludf.DUMMYFUNCTION("""COMPUTED_VALUE"""),1.0)</f>
        <v>1</v>
      </c>
      <c r="Z259" s="16">
        <f>IFERROR(__xludf.DUMMYFUNCTION("""COMPUTED_VALUE"""),-4.0)</f>
        <v>-4</v>
      </c>
      <c r="AA259" s="16">
        <f>IFERROR(__xludf.DUMMYFUNCTION("""COMPUTED_VALUE"""),2.0)</f>
        <v>2</v>
      </c>
      <c r="AB259" s="16">
        <f>IFERROR(__xludf.DUMMYFUNCTION("""COMPUTED_VALUE"""),9.9)</f>
        <v>9.9</v>
      </c>
      <c r="AC259" s="16">
        <f>IFERROR(__xludf.DUMMYFUNCTION("""COMPUTED_VALUE"""),34.5)</f>
        <v>34.5</v>
      </c>
      <c r="AD259" s="16">
        <f>IFERROR(__xludf.DUMMYFUNCTION("""COMPUTED_VALUE"""),-2.0)</f>
        <v>-2</v>
      </c>
      <c r="AE259" s="16">
        <f>IFERROR(__xludf.DUMMYFUNCTION("""COMPUTED_VALUE"""),0.0)</f>
        <v>0</v>
      </c>
      <c r="AF259" s="16">
        <f>IFERROR(__xludf.DUMMYFUNCTION("""COMPUTED_VALUE"""),-10.0)</f>
        <v>-10</v>
      </c>
      <c r="AG259" s="16">
        <f>IFERROR(__xludf.DUMMYFUNCTION("""COMPUTED_VALUE"""),0.0)</f>
        <v>0</v>
      </c>
      <c r="AH259" s="16">
        <f>IFERROR(__xludf.DUMMYFUNCTION("""COMPUTED_VALUE"""),4.0)</f>
        <v>4</v>
      </c>
      <c r="AI259" s="16">
        <f>IFERROR(__xludf.DUMMYFUNCTION("""COMPUTED_VALUE"""),33.2)</f>
        <v>33.2</v>
      </c>
      <c r="AJ259" s="16">
        <f>IFERROR(__xludf.DUMMYFUNCTION("""COMPUTED_VALUE"""),-2.0)</f>
        <v>-2</v>
      </c>
      <c r="AK259" s="16">
        <f>IFERROR(__xludf.DUMMYFUNCTION("""COMPUTED_VALUE"""),0.0)</f>
        <v>0</v>
      </c>
      <c r="AL259" s="16">
        <f>IFERROR(__xludf.DUMMYFUNCTION("""COMPUTED_VALUE"""),-10.0)</f>
        <v>-10</v>
      </c>
      <c r="AM259" s="16">
        <f>IFERROR(__xludf.DUMMYFUNCTION("""COMPUTED_VALUE"""),0.0)</f>
        <v>0</v>
      </c>
      <c r="AN259" s="16">
        <f>IFERROR(__xludf.DUMMYFUNCTION("""COMPUTED_VALUE"""),0.0)</f>
        <v>0</v>
      </c>
      <c r="AO259" s="16">
        <f>IFERROR(__xludf.DUMMYFUNCTION("""COMPUTED_VALUE"""),1.0)</f>
        <v>1</v>
      </c>
      <c r="AP259" s="16">
        <f>IFERROR(__xludf.DUMMYFUNCTION("""COMPUTED_VALUE"""),-2.0)</f>
        <v>-2</v>
      </c>
      <c r="AQ259" s="16">
        <f>IFERROR(__xludf.DUMMYFUNCTION("""COMPUTED_VALUE"""),-2.0)</f>
        <v>-2</v>
      </c>
      <c r="AR259" s="16">
        <f>IFERROR(__xludf.DUMMYFUNCTION("""COMPUTED_VALUE"""),-4.0)</f>
        <v>-4</v>
      </c>
      <c r="AS259" s="16">
        <f>IFERROR(__xludf.DUMMYFUNCTION("""COMPUTED_VALUE"""),-4.0)</f>
        <v>-4</v>
      </c>
      <c r="AT259" s="16"/>
      <c r="AU259" s="16">
        <f>IFERROR(__xludf.DUMMYFUNCTION("""COMPUTED_VALUE"""),1.0)</f>
        <v>1</v>
      </c>
      <c r="AV259" s="16">
        <f>IFERROR(__xludf.DUMMYFUNCTION("""COMPUTED_VALUE"""),-3.0)</f>
        <v>-3</v>
      </c>
      <c r="AW259" s="16">
        <f>IFERROR(__xludf.DUMMYFUNCTION("""COMPUTED_VALUE"""),1.0)</f>
        <v>1</v>
      </c>
      <c r="AX259" s="16">
        <f>IFERROR(__xludf.DUMMYFUNCTION("""COMPUTED_VALUE"""),-3.0)</f>
        <v>-3</v>
      </c>
      <c r="AY259" s="16">
        <f>IFERROR(__xludf.DUMMYFUNCTION("""COMPUTED_VALUE"""),-1.0)</f>
        <v>-1</v>
      </c>
      <c r="AZ259" s="16">
        <f>IFERROR(__xludf.DUMMYFUNCTION("""COMPUTED_VALUE"""),-9.0)</f>
        <v>-9</v>
      </c>
      <c r="BA259" s="16">
        <f>IFERROR(__xludf.DUMMYFUNCTION("""COMPUTED_VALUE"""),-3.0)</f>
        <v>-3</v>
      </c>
      <c r="BB259" s="16">
        <f>IFERROR(__xludf.DUMMYFUNCTION("""COMPUTED_VALUE"""),5.0)</f>
        <v>5</v>
      </c>
      <c r="BC259" s="16">
        <f>IFERROR(__xludf.DUMMYFUNCTION("""COMPUTED_VALUE"""),5.0)</f>
        <v>5</v>
      </c>
      <c r="BD259" s="16">
        <f>IFERROR(__xludf.DUMMYFUNCTION("""COMPUTED_VALUE"""),1.0)</f>
        <v>1</v>
      </c>
      <c r="BE259" s="16">
        <f>IFERROR(__xludf.DUMMYFUNCTION("""COMPUTED_VALUE"""),1.0)</f>
        <v>1</v>
      </c>
      <c r="BF259" s="16">
        <f>IFERROR(__xludf.DUMMYFUNCTION("""COMPUTED_VALUE"""),1.0)</f>
        <v>1</v>
      </c>
      <c r="BG259" s="16">
        <f>IFERROR(__xludf.DUMMYFUNCTION("""COMPUTED_VALUE"""),1.0)</f>
        <v>1</v>
      </c>
      <c r="BH259" s="16">
        <f>IFERROR(__xludf.DUMMYFUNCTION("""COMPUTED_VALUE"""),1.0)</f>
        <v>1</v>
      </c>
      <c r="BI259" s="16">
        <f>IFERROR(__xludf.DUMMYFUNCTION("""COMPUTED_VALUE"""),1.0)</f>
        <v>1</v>
      </c>
      <c r="BJ259" s="16">
        <f>IFERROR(__xludf.DUMMYFUNCTION("""COMPUTED_VALUE"""),13.0)</f>
        <v>13</v>
      </c>
      <c r="BK259" s="16">
        <f>IFERROR(__xludf.DUMMYFUNCTION("""COMPUTED_VALUE"""),12.0)</f>
        <v>12</v>
      </c>
      <c r="BL259" s="16">
        <f>IFERROR(__xludf.DUMMYFUNCTION("""COMPUTED_VALUE"""),0.0)</f>
        <v>0</v>
      </c>
      <c r="BM259" s="16">
        <f>IFERROR(__xludf.DUMMYFUNCTION("""COMPUTED_VALUE"""),0.0)</f>
        <v>0</v>
      </c>
      <c r="BN259" s="16">
        <f>IFERROR(__xludf.DUMMYFUNCTION("""COMPUTED_VALUE"""),0.0)</f>
        <v>0</v>
      </c>
      <c r="BO259" s="16">
        <f>IFERROR(__xludf.DUMMYFUNCTION("""COMPUTED_VALUE"""),0.0)</f>
        <v>0</v>
      </c>
      <c r="BP259" s="16">
        <f>IFERROR(__xludf.DUMMYFUNCTION("""COMPUTED_VALUE"""),-13.0)</f>
        <v>-13</v>
      </c>
      <c r="BQ259" s="16">
        <f>IFERROR(__xludf.DUMMYFUNCTION("""COMPUTED_VALUE"""),-1.0)</f>
        <v>-1</v>
      </c>
      <c r="BR259" s="16">
        <f>IFERROR(__xludf.DUMMYFUNCTION("""COMPUTED_VALUE"""),-14.0)</f>
        <v>-14</v>
      </c>
      <c r="BS259" s="16" t="str">
        <f>IFERROR(__xludf.DUMMYFUNCTION("""COMPUTED_VALUE"""),"7/- (14-6)")</f>
        <v>7/- (14-6)</v>
      </c>
      <c r="BT259" s="16" t="str">
        <f>IFERROR(__xludf.DUMMYFUNCTION("""COMPUTED_VALUE"""),"C")</f>
        <v>C</v>
      </c>
      <c r="BU259" s="16">
        <f>IFERROR(__xludf.DUMMYFUNCTION("""COMPUTED_VALUE"""),14.0)</f>
        <v>14</v>
      </c>
      <c r="BV259" s="16">
        <f>IFERROR(__xludf.DUMMYFUNCTION("""COMPUTED_VALUE"""),0.0)</f>
        <v>0</v>
      </c>
      <c r="BW259" s="16">
        <f>IFERROR(__xludf.DUMMYFUNCTION("""COMPUTED_VALUE"""),1.0)</f>
        <v>1</v>
      </c>
      <c r="BX259" s="16">
        <f>IFERROR(__xludf.DUMMYFUNCTION("""COMPUTED_VALUE"""),0.0)</f>
        <v>0</v>
      </c>
      <c r="BY259" s="16">
        <f>IFERROR(__xludf.DUMMYFUNCTION("""COMPUTED_VALUE"""),3.0)</f>
        <v>3</v>
      </c>
      <c r="BZ259" s="16" t="str">
        <f>IFERROR(__xludf.DUMMYFUNCTION("""COMPUTED_VALUE"""),"D")</f>
        <v>D</v>
      </c>
      <c r="CA259" s="16" t="str">
        <f>IFERROR(__xludf.DUMMYFUNCTION("""COMPUTED_VALUE"""),"C")</f>
        <v>C</v>
      </c>
      <c r="CB259" s="16">
        <f>IFERROR(__xludf.DUMMYFUNCTION("""COMPUTED_VALUE"""),0.0)</f>
        <v>0</v>
      </c>
      <c r="CC259" s="16">
        <f>IFERROR(__xludf.DUMMYFUNCTION("""COMPUTED_VALUE"""),0.0)</f>
        <v>0</v>
      </c>
      <c r="CD259" s="16">
        <f>IFERROR(__xludf.DUMMYFUNCTION("""COMPUTED_VALUE"""),0.0)</f>
        <v>0</v>
      </c>
      <c r="CE259" s="16">
        <f>IFERROR(__xludf.DUMMYFUNCTION("""COMPUTED_VALUE"""),0.0)</f>
        <v>0</v>
      </c>
      <c r="CF259" s="16">
        <f>IFERROR(__xludf.DUMMYFUNCTION("""COMPUTED_VALUE"""),1.0)</f>
        <v>1</v>
      </c>
      <c r="CG259" s="16">
        <f>IFERROR(__xludf.DUMMYFUNCTION("""COMPUTED_VALUE"""),-39.0)</f>
        <v>-39</v>
      </c>
      <c r="CH259" s="16">
        <f>IFERROR(__xludf.DUMMYFUNCTION("""COMPUTED_VALUE"""),-4.0)</f>
        <v>-4</v>
      </c>
      <c r="CI259" s="179">
        <f>IFERROR(__xludf.DUMMYFUNCTION("""COMPUTED_VALUE"""),-6.0)</f>
        <v>-6</v>
      </c>
      <c r="CJ259" s="16"/>
      <c r="CK259" s="16"/>
      <c r="CL259" s="16">
        <f>IFERROR(__xludf.DUMMYFUNCTION("""COMPUTED_VALUE"""),312.0)</f>
        <v>312</v>
      </c>
      <c r="CM259" s="16"/>
      <c r="CN259" s="16">
        <f>IFERROR(__xludf.DUMMYFUNCTION("""COMPUTED_VALUE"""),442.0)</f>
        <v>442</v>
      </c>
      <c r="CO259" s="16"/>
      <c r="CP259" s="16"/>
      <c r="CQ259" s="16"/>
      <c r="CR259" s="16" t="str">
        <f>IFERROR(__xludf.DUMMYFUNCTION("""COMPUTED_VALUE"""),"2b-3e12 ss-4e42")</f>
        <v>2b-3e12 ss-4e42</v>
      </c>
      <c r="CS259" s="16"/>
      <c r="CT259" s="16"/>
      <c r="CU259" s="16">
        <f>IFERROR(__xludf.DUMMYFUNCTION("""COMPUTED_VALUE"""),3.0)</f>
        <v>3</v>
      </c>
      <c r="CV259" s="16"/>
      <c r="CW259" s="16">
        <f>IFERROR(__xludf.DUMMYFUNCTION("""COMPUTED_VALUE"""),4.0)</f>
        <v>4</v>
      </c>
      <c r="CX259" s="16"/>
      <c r="CY259" s="16"/>
      <c r="CZ259" s="16"/>
      <c r="DA259" s="16"/>
      <c r="DB259" s="16"/>
      <c r="DC259" s="16">
        <f>IFERROR(__xludf.DUMMYFUNCTION("""COMPUTED_VALUE"""),12.0)</f>
        <v>12</v>
      </c>
      <c r="DD259" s="16"/>
      <c r="DE259" s="16">
        <f>IFERROR(__xludf.DUMMYFUNCTION("""COMPUTED_VALUE"""),42.0)</f>
        <v>42</v>
      </c>
      <c r="DF259" s="16"/>
      <c r="DG259" s="16"/>
      <c r="DH259" s="16"/>
      <c r="DI259" s="16"/>
      <c r="DJ259" s="16"/>
      <c r="DK259" s="16">
        <f>IFERROR(__xludf.DUMMYFUNCTION("""COMPUTED_VALUE"""),0.0)</f>
        <v>0</v>
      </c>
      <c r="DL259" s="16"/>
      <c r="DM259" s="16">
        <f>IFERROR(__xludf.DUMMYFUNCTION("""COMPUTED_VALUE"""),-2.0)</f>
        <v>-2</v>
      </c>
      <c r="DN259" s="16"/>
      <c r="DO259" s="16"/>
      <c r="DP259" s="16"/>
      <c r="DQ259" s="16"/>
      <c r="DR259" s="16"/>
      <c r="DS259" s="16">
        <f>IFERROR(__xludf.DUMMYFUNCTION("""COMPUTED_VALUE"""),2.0)</f>
        <v>2</v>
      </c>
      <c r="DT259" s="16"/>
      <c r="DU259" s="16">
        <f>IFERROR(__xludf.DUMMYFUNCTION("""COMPUTED_VALUE"""),-2.0)</f>
        <v>-2</v>
      </c>
      <c r="DV259" s="16"/>
      <c r="DW259" s="16"/>
      <c r="DX259" s="16"/>
      <c r="DY259" s="16"/>
      <c r="DZ259" s="16"/>
      <c r="EA259" s="16">
        <f>IFERROR(__xludf.DUMMYFUNCTION("""COMPUTED_VALUE"""),2.0)</f>
        <v>2</v>
      </c>
      <c r="EB259" s="16"/>
      <c r="EC259" s="16">
        <f>IFERROR(__xludf.DUMMYFUNCTION("""COMPUTED_VALUE"""),-4.0)</f>
        <v>-4</v>
      </c>
      <c r="ED259" s="16"/>
      <c r="EE259" s="16"/>
      <c r="EF259" s="16"/>
      <c r="EG259" s="179"/>
      <c r="EH259" s="179"/>
      <c r="EI259" s="179">
        <f>IFERROR(__xludf.DUMMYFUNCTION("""COMPUTED_VALUE"""),-4.0)</f>
        <v>-4</v>
      </c>
      <c r="EJ259" s="179"/>
      <c r="EK259" s="179">
        <f>IFERROR(__xludf.DUMMYFUNCTION("""COMPUTED_VALUE"""),-10.0)</f>
        <v>-10</v>
      </c>
      <c r="EL259" s="179"/>
      <c r="EM259" s="179"/>
      <c r="EN259" s="179"/>
      <c r="EO259" s="16"/>
      <c r="EP259" s="16"/>
      <c r="EQ259" s="16">
        <f>IFERROR(__xludf.DUMMYFUNCTION("""COMPUTED_VALUE"""),4.0)</f>
        <v>4</v>
      </c>
      <c r="ER259" s="16">
        <f>IFERROR(__xludf.DUMMYFUNCTION("""COMPUTED_VALUE"""),2.0)</f>
        <v>2</v>
      </c>
      <c r="ES259" s="16"/>
      <c r="ET259" s="16"/>
      <c r="EU259" s="16"/>
      <c r="EV259" s="16"/>
      <c r="EW259" s="16"/>
      <c r="EX259" s="180"/>
      <c r="EY259" s="180"/>
      <c r="EZ259" s="180">
        <f>IFERROR(__xludf.DUMMYFUNCTION("""COMPUTED_VALUE"""),0.2)</f>
        <v>0.2</v>
      </c>
      <c r="FA259" s="180"/>
      <c r="FB259" s="180">
        <f>IFERROR(__xludf.DUMMYFUNCTION("""COMPUTED_VALUE"""),0.3)</f>
        <v>0.3</v>
      </c>
      <c r="FC259" s="180"/>
      <c r="FD259" s="180"/>
      <c r="FE259" s="180"/>
      <c r="FF259" s="180"/>
      <c r="FG259" s="180"/>
      <c r="FH259" s="180">
        <f>IFERROR(__xludf.DUMMYFUNCTION("""COMPUTED_VALUE"""),0.06944444444444445)</f>
        <v>0.06944444444</v>
      </c>
      <c r="FI259" s="180"/>
      <c r="FJ259" s="180">
        <f>IFERROR(__xludf.DUMMYFUNCTION("""COMPUTED_VALUE"""),0.21296296296296297)</f>
        <v>0.212962963</v>
      </c>
      <c r="FK259" s="180"/>
      <c r="FL259" s="180"/>
      <c r="FM259" s="180"/>
      <c r="FN259" s="16"/>
      <c r="FO259" s="16"/>
      <c r="FP259" s="16">
        <f>IFERROR(__xludf.DUMMYFUNCTION("""COMPUTED_VALUE"""),0.7444444444444445)</f>
        <v>0.7444444444</v>
      </c>
      <c r="FQ259" s="16"/>
      <c r="FR259" s="16">
        <f>IFERROR(__xludf.DUMMYFUNCTION("""COMPUTED_VALUE"""),0.5509259259259258)</f>
        <v>0.5509259259</v>
      </c>
      <c r="FS259" s="16"/>
      <c r="FT259" s="16"/>
      <c r="FU259" s="16"/>
      <c r="FV259" s="16"/>
      <c r="FW259" s="16"/>
      <c r="FX259" s="16">
        <f>IFERROR(__xludf.DUMMYFUNCTION("""COMPUTED_VALUE"""),-4.0)</f>
        <v>-4</v>
      </c>
      <c r="FY259" s="16"/>
      <c r="FZ259" s="16">
        <f>IFERROR(__xludf.DUMMYFUNCTION("""COMPUTED_VALUE"""),-6.0)</f>
        <v>-6</v>
      </c>
      <c r="GA259" s="16"/>
      <c r="GB259" s="16"/>
      <c r="GC259" s="16"/>
      <c r="GD259" s="16" t="s">
        <v>1175</v>
      </c>
    </row>
    <row r="260">
      <c r="A260" s="16">
        <f>IFERROR(__xludf.DUMMYFUNCTION("""COMPUTED_VALUE"""),12906.0)</f>
        <v>12906</v>
      </c>
      <c r="B260" s="16" t="str">
        <f>IFERROR(__xludf.DUMMYFUNCTION("""COMPUTED_VALUE"""),"Jake Bauers")</f>
        <v>Jake Bauers</v>
      </c>
      <c r="C260" s="16">
        <f>IFERROR(__xludf.DUMMYFUNCTION("""COMPUTED_VALUE"""),0.0)</f>
        <v>0</v>
      </c>
      <c r="D260" s="16" t="str">
        <f>IFERROR(__xludf.DUMMYFUNCTION("""COMPUTED_VALUE"""),"L")</f>
        <v>L</v>
      </c>
      <c r="E260" s="16"/>
      <c r="F260" s="16"/>
      <c r="G260" s="16">
        <f>IFERROR(__xludf.DUMMYFUNCTION("""COMPUTED_VALUE"""),302.0)</f>
        <v>302</v>
      </c>
      <c r="H260" s="16">
        <f>IFERROR(__xludf.DUMMYFUNCTION("""COMPUTED_VALUE"""),39.0)</f>
        <v>39</v>
      </c>
      <c r="I260" s="16" t="str">
        <f>IFERROR(__xludf.DUMMYFUNCTION("""COMPUTED_VALUE"""),"1p60")</f>
        <v>1p60</v>
      </c>
      <c r="J260" s="16">
        <f>IFERROR(__xludf.DUMMYFUNCTION("""COMPUTED_VALUE"""),38.0)</f>
        <v>38</v>
      </c>
      <c r="K260" s="16">
        <f>IFERROR(__xludf.DUMMYFUNCTION("""COMPUTED_VALUE"""),50.0)</f>
        <v>50</v>
      </c>
      <c r="L260" s="16">
        <f>IFERROR(__xludf.DUMMYFUNCTION("""COMPUTED_VALUE"""),-1.0)</f>
        <v>-1</v>
      </c>
      <c r="M260" s="16">
        <f>IFERROR(__xludf.DUMMYFUNCTION("""COMPUTED_VALUE"""),-2.0)</f>
        <v>-2</v>
      </c>
      <c r="N260" s="16">
        <f>IFERROR(__xludf.DUMMYFUNCTION("""COMPUTED_VALUE"""),-1.0)</f>
        <v>-1</v>
      </c>
      <c r="O260" s="16">
        <f>IFERROR(__xludf.DUMMYFUNCTION("""COMPUTED_VALUE"""),-2.0)</f>
        <v>-2</v>
      </c>
      <c r="P260" s="16">
        <f>IFERROR(__xludf.DUMMYFUNCTION("""COMPUTED_VALUE"""),0.0)</f>
        <v>0</v>
      </c>
      <c r="Q260" s="16">
        <f>IFERROR(__xludf.DUMMYFUNCTION("""COMPUTED_VALUE"""),16.0)</f>
        <v>16</v>
      </c>
      <c r="R260" s="16">
        <f>IFERROR(__xludf.DUMMYFUNCTION("""COMPUTED_VALUE"""),-3.0)</f>
        <v>-3</v>
      </c>
      <c r="S260" s="16">
        <f>IFERROR(__xludf.DUMMYFUNCTION("""COMPUTED_VALUE"""),2.0)</f>
        <v>2</v>
      </c>
      <c r="T260" s="16">
        <f>IFERROR(__xludf.DUMMYFUNCTION("""COMPUTED_VALUE"""),-3.0)</f>
        <v>-3</v>
      </c>
      <c r="U260" s="16">
        <f>IFERROR(__xludf.DUMMYFUNCTION("""COMPUTED_VALUE"""),2.0)</f>
        <v>2</v>
      </c>
      <c r="V260" s="16">
        <f>IFERROR(__xludf.DUMMYFUNCTION("""COMPUTED_VALUE"""),10.3)</f>
        <v>10.3</v>
      </c>
      <c r="W260" s="16">
        <f>IFERROR(__xludf.DUMMYFUNCTION("""COMPUTED_VALUE"""),10.1)</f>
        <v>10.1</v>
      </c>
      <c r="X260" s="16">
        <f>IFERROR(__xludf.DUMMYFUNCTION("""COMPUTED_VALUE"""),-1.0)</f>
        <v>-1</v>
      </c>
      <c r="Y260" s="16">
        <f>IFERROR(__xludf.DUMMYFUNCTION("""COMPUTED_VALUE"""),-2.0)</f>
        <v>-2</v>
      </c>
      <c r="Z260" s="16">
        <f>IFERROR(__xludf.DUMMYFUNCTION("""COMPUTED_VALUE"""),-2.0)</f>
        <v>-2</v>
      </c>
      <c r="AA260" s="16">
        <f>IFERROR(__xludf.DUMMYFUNCTION("""COMPUTED_VALUE"""),-4.0)</f>
        <v>-4</v>
      </c>
      <c r="AB260" s="16">
        <f>IFERROR(__xludf.DUMMYFUNCTION("""COMPUTED_VALUE"""),13.3)</f>
        <v>13.3</v>
      </c>
      <c r="AC260" s="16">
        <f>IFERROR(__xludf.DUMMYFUNCTION("""COMPUTED_VALUE"""),29.1)</f>
        <v>29.1</v>
      </c>
      <c r="AD260" s="16">
        <f>IFERROR(__xludf.DUMMYFUNCTION("""COMPUTED_VALUE"""),-2.0)</f>
        <v>-2</v>
      </c>
      <c r="AE260" s="16">
        <f>IFERROR(__xludf.DUMMYFUNCTION("""COMPUTED_VALUE"""),0.0)</f>
        <v>0</v>
      </c>
      <c r="AF260" s="16">
        <f>IFERROR(__xludf.DUMMYFUNCTION("""COMPUTED_VALUE"""),-10.0)</f>
        <v>-10</v>
      </c>
      <c r="AG260" s="16">
        <f>IFERROR(__xludf.DUMMYFUNCTION("""COMPUTED_VALUE"""),0.0)</f>
        <v>0</v>
      </c>
      <c r="AH260" s="16">
        <f>IFERROR(__xludf.DUMMYFUNCTION("""COMPUTED_VALUE"""),18.5)</f>
        <v>18.5</v>
      </c>
      <c r="AI260" s="16">
        <f>IFERROR(__xludf.DUMMYFUNCTION("""COMPUTED_VALUE"""),19.0)</f>
        <v>19</v>
      </c>
      <c r="AJ260" s="16">
        <f>IFERROR(__xludf.DUMMYFUNCTION("""COMPUTED_VALUE"""),-1.0)</f>
        <v>-1</v>
      </c>
      <c r="AK260" s="16">
        <f>IFERROR(__xludf.DUMMYFUNCTION("""COMPUTED_VALUE"""),-2.0)</f>
        <v>-2</v>
      </c>
      <c r="AL260" s="16">
        <f>IFERROR(__xludf.DUMMYFUNCTION("""COMPUTED_VALUE"""),-5.0)</f>
        <v>-5</v>
      </c>
      <c r="AM260" s="16">
        <f>IFERROR(__xludf.DUMMYFUNCTION("""COMPUTED_VALUE"""),-10.0)</f>
        <v>-10</v>
      </c>
      <c r="AN260" s="16">
        <f>IFERROR(__xludf.DUMMYFUNCTION("""COMPUTED_VALUE"""),2.2)</f>
        <v>2.2</v>
      </c>
      <c r="AO260" s="16">
        <f>IFERROR(__xludf.DUMMYFUNCTION("""COMPUTED_VALUE"""),2.4)</f>
        <v>2.4</v>
      </c>
      <c r="AP260" s="16">
        <f>IFERROR(__xludf.DUMMYFUNCTION("""COMPUTED_VALUE"""),0.0)</f>
        <v>0</v>
      </c>
      <c r="AQ260" s="16">
        <f>IFERROR(__xludf.DUMMYFUNCTION("""COMPUTED_VALUE"""),0.0)</f>
        <v>0</v>
      </c>
      <c r="AR260" s="16">
        <f>IFERROR(__xludf.DUMMYFUNCTION("""COMPUTED_VALUE"""),0.0)</f>
        <v>0</v>
      </c>
      <c r="AS260" s="16">
        <f>IFERROR(__xludf.DUMMYFUNCTION("""COMPUTED_VALUE"""),0.0)</f>
        <v>0</v>
      </c>
      <c r="AT260" s="16">
        <f>IFERROR(__xludf.DUMMYFUNCTION("""COMPUTED_VALUE"""),2.0)</f>
        <v>2</v>
      </c>
      <c r="AU260" s="16">
        <f>IFERROR(__xludf.DUMMYFUNCTION("""COMPUTED_VALUE"""),3.0)</f>
        <v>3</v>
      </c>
      <c r="AV260" s="16">
        <f>IFERROR(__xludf.DUMMYFUNCTION("""COMPUTED_VALUE"""),2.0)</f>
        <v>2</v>
      </c>
      <c r="AW260" s="16">
        <f>IFERROR(__xludf.DUMMYFUNCTION("""COMPUTED_VALUE"""),3.0)</f>
        <v>3</v>
      </c>
      <c r="AX260" s="16">
        <f>IFERROR(__xludf.DUMMYFUNCTION("""COMPUTED_VALUE"""),0.0)</f>
        <v>0</v>
      </c>
      <c r="AY260" s="16">
        <f>IFERROR(__xludf.DUMMYFUNCTION("""COMPUTED_VALUE"""),0.0)</f>
        <v>0</v>
      </c>
      <c r="AZ260" s="16">
        <f>IFERROR(__xludf.DUMMYFUNCTION("""COMPUTED_VALUE"""),0.0)</f>
        <v>0</v>
      </c>
      <c r="BA260" s="16">
        <f>IFERROR(__xludf.DUMMYFUNCTION("""COMPUTED_VALUE"""),0.0)</f>
        <v>0</v>
      </c>
      <c r="BB260" s="16">
        <f>IFERROR(__xludf.DUMMYFUNCTION("""COMPUTED_VALUE"""),5.0)</f>
        <v>5</v>
      </c>
      <c r="BC260" s="16">
        <f>IFERROR(__xludf.DUMMYFUNCTION("""COMPUTED_VALUE"""),5.0)</f>
        <v>5</v>
      </c>
      <c r="BD260" s="16">
        <f>IFERROR(__xludf.DUMMYFUNCTION("""COMPUTED_VALUE"""),1.0)</f>
        <v>1</v>
      </c>
      <c r="BE260" s="16">
        <f>IFERROR(__xludf.DUMMYFUNCTION("""COMPUTED_VALUE"""),1.0)</f>
        <v>1</v>
      </c>
      <c r="BF260" s="16">
        <f>IFERROR(__xludf.DUMMYFUNCTION("""COMPUTED_VALUE"""),1.0)</f>
        <v>1</v>
      </c>
      <c r="BG260" s="16">
        <f>IFERROR(__xludf.DUMMYFUNCTION("""COMPUTED_VALUE"""),1.0)</f>
        <v>1</v>
      </c>
      <c r="BH260" s="16">
        <f>IFERROR(__xludf.DUMMYFUNCTION("""COMPUTED_VALUE"""),-4.0)</f>
        <v>-4</v>
      </c>
      <c r="BI260" s="16">
        <f>IFERROR(__xludf.DUMMYFUNCTION("""COMPUTED_VALUE"""),-4.0)</f>
        <v>-4</v>
      </c>
      <c r="BJ260" s="16">
        <f>IFERROR(__xludf.DUMMYFUNCTION("""COMPUTED_VALUE"""),0.0)</f>
        <v>0</v>
      </c>
      <c r="BK260" s="16">
        <f>IFERROR(__xludf.DUMMYFUNCTION("""COMPUTED_VALUE"""),0.0)</f>
        <v>0</v>
      </c>
      <c r="BL260" s="16">
        <f>IFERROR(__xludf.DUMMYFUNCTION("""COMPUTED_VALUE"""),3.0)</f>
        <v>3</v>
      </c>
      <c r="BM260" s="16">
        <f>IFERROR(__xludf.DUMMYFUNCTION("""COMPUTED_VALUE"""),3.0)</f>
        <v>3</v>
      </c>
      <c r="BN260" s="16">
        <f>IFERROR(__xludf.DUMMYFUNCTION("""COMPUTED_VALUE"""),3.0)</f>
        <v>3</v>
      </c>
      <c r="BO260" s="16">
        <f>IFERROR(__xludf.DUMMYFUNCTION("""COMPUTED_VALUE"""),3.0)</f>
        <v>3</v>
      </c>
      <c r="BP260" s="16">
        <f>IFERROR(__xludf.DUMMYFUNCTION("""COMPUTED_VALUE"""),-4.0)</f>
        <v>-4</v>
      </c>
      <c r="BQ260" s="16">
        <f>IFERROR(__xludf.DUMMYFUNCTION("""COMPUTED_VALUE"""),0.0)</f>
        <v>0</v>
      </c>
      <c r="BR260" s="16">
        <f>IFERROR(__xludf.DUMMYFUNCTION("""COMPUTED_VALUE"""),-4.0)</f>
        <v>-4</v>
      </c>
      <c r="BS260" s="16" t="str">
        <f>IFERROR(__xludf.DUMMYFUNCTION("""COMPUTED_VALUE"""),"*4,5/- (19-13)")</f>
        <v>*4,5/- (19-13)</v>
      </c>
      <c r="BT260" s="16" t="str">
        <f>IFERROR(__xludf.DUMMYFUNCTION("""COMPUTED_VALUE"""),"B")</f>
        <v>B</v>
      </c>
      <c r="BU260" s="16">
        <f>IFERROR(__xludf.DUMMYFUNCTION("""COMPUTED_VALUE"""),12.0)</f>
        <v>12</v>
      </c>
      <c r="BV260" s="16">
        <f>IFERROR(__xludf.DUMMYFUNCTION("""COMPUTED_VALUE"""),1.0)</f>
        <v>1</v>
      </c>
      <c r="BW260" s="16">
        <f>IFERROR(__xludf.DUMMYFUNCTION("""COMPUTED_VALUE"""),0.0)</f>
        <v>0</v>
      </c>
      <c r="BX260" s="16">
        <f>IFERROR(__xludf.DUMMYFUNCTION("""COMPUTED_VALUE"""),2.0)</f>
        <v>2</v>
      </c>
      <c r="BY260" s="16">
        <f>IFERROR(__xludf.DUMMYFUNCTION("""COMPUTED_VALUE"""),0.0)</f>
        <v>0</v>
      </c>
      <c r="BZ260" s="16" t="str">
        <f>IFERROR(__xludf.DUMMYFUNCTION("""COMPUTED_VALUE"""),"D")</f>
        <v>D</v>
      </c>
      <c r="CA260" s="16" t="str">
        <f>IFERROR(__xludf.DUMMYFUNCTION("""COMPUTED_VALUE"""),"D")</f>
        <v>D</v>
      </c>
      <c r="CB260" s="16">
        <f>IFERROR(__xludf.DUMMYFUNCTION("""COMPUTED_VALUE"""),0.0)</f>
        <v>0</v>
      </c>
      <c r="CC260" s="16">
        <f>IFERROR(__xludf.DUMMYFUNCTION("""COMPUTED_VALUE"""),0.0)</f>
        <v>0</v>
      </c>
      <c r="CD260" s="16">
        <f>IFERROR(__xludf.DUMMYFUNCTION("""COMPUTED_VALUE"""),0.0)</f>
        <v>0</v>
      </c>
      <c r="CE260" s="16">
        <f>IFERROR(__xludf.DUMMYFUNCTION("""COMPUTED_VALUE"""),0.0)</f>
        <v>0</v>
      </c>
      <c r="CF260" s="16">
        <f>IFERROR(__xludf.DUMMYFUNCTION("""COMPUTED_VALUE"""),1.0)</f>
        <v>1</v>
      </c>
      <c r="CG260" s="16">
        <f>IFERROR(__xludf.DUMMYFUNCTION("""COMPUTED_VALUE"""),-17.0)</f>
        <v>-17</v>
      </c>
      <c r="CH260" s="16">
        <f>IFERROR(__xludf.DUMMYFUNCTION("""COMPUTED_VALUE"""),-10.0)</f>
        <v>-10</v>
      </c>
      <c r="CI260" s="179">
        <f>IFERROR(__xludf.DUMMYFUNCTION("""COMPUTED_VALUE"""),-6.0)</f>
        <v>-6</v>
      </c>
      <c r="CJ260" s="16"/>
      <c r="CK260" s="16">
        <f>IFERROR(__xludf.DUMMYFUNCTION("""COMPUTED_VALUE"""),213.0)</f>
        <v>213</v>
      </c>
      <c r="CL260" s="16"/>
      <c r="CM260" s="16"/>
      <c r="CN260" s="16"/>
      <c r="CO260" s="16">
        <f>IFERROR(__xludf.DUMMYFUNCTION("""COMPUTED_VALUE"""),411.0)</f>
        <v>411</v>
      </c>
      <c r="CP260" s="16"/>
      <c r="CQ260" s="16">
        <f>IFERROR(__xludf.DUMMYFUNCTION("""COMPUTED_VALUE"""),411.0)</f>
        <v>411</v>
      </c>
      <c r="CR260" s="16" t="str">
        <f>IFERROR(__xludf.DUMMYFUNCTION("""COMPUTED_VALUE"""),"1b-2e13 lf-4(+1)e11 rf-4e11")</f>
        <v>1b-2e13 lf-4(+1)e11 rf-4e11</v>
      </c>
      <c r="CS260" s="16"/>
      <c r="CT260" s="16">
        <f>IFERROR(__xludf.DUMMYFUNCTION("""COMPUTED_VALUE"""),2.0)</f>
        <v>2</v>
      </c>
      <c r="CU260" s="16"/>
      <c r="CV260" s="16"/>
      <c r="CW260" s="16"/>
      <c r="CX260" s="16">
        <f>IFERROR(__xludf.DUMMYFUNCTION("""COMPUTED_VALUE"""),4.0)</f>
        <v>4</v>
      </c>
      <c r="CY260" s="16"/>
      <c r="CZ260" s="16">
        <f>IFERROR(__xludf.DUMMYFUNCTION("""COMPUTED_VALUE"""),4.0)</f>
        <v>4</v>
      </c>
      <c r="DA260" s="16"/>
      <c r="DB260" s="16">
        <f>IFERROR(__xludf.DUMMYFUNCTION("""COMPUTED_VALUE"""),13.0)</f>
        <v>13</v>
      </c>
      <c r="DC260" s="16"/>
      <c r="DD260" s="16"/>
      <c r="DE260" s="16"/>
      <c r="DF260" s="16">
        <f>IFERROR(__xludf.DUMMYFUNCTION("""COMPUTED_VALUE"""),11.0)</f>
        <v>11</v>
      </c>
      <c r="DG260" s="16"/>
      <c r="DH260" s="16">
        <f>IFERROR(__xludf.DUMMYFUNCTION("""COMPUTED_VALUE"""),11.0)</f>
        <v>11</v>
      </c>
      <c r="DI260" s="16"/>
      <c r="DJ260" s="16">
        <f>IFERROR(__xludf.DUMMYFUNCTION("""COMPUTED_VALUE"""),3.0)</f>
        <v>3</v>
      </c>
      <c r="DK260" s="16"/>
      <c r="DL260" s="16"/>
      <c r="DM260" s="16"/>
      <c r="DN260" s="16">
        <f>IFERROR(__xludf.DUMMYFUNCTION("""COMPUTED_VALUE"""),-1.0)</f>
        <v>-1</v>
      </c>
      <c r="DO260" s="16"/>
      <c r="DP260" s="16">
        <f>IFERROR(__xludf.DUMMYFUNCTION("""COMPUTED_VALUE"""),-1.0)</f>
        <v>-1</v>
      </c>
      <c r="DQ260" s="16"/>
      <c r="DR260" s="16">
        <f>IFERROR(__xludf.DUMMYFUNCTION("""COMPUTED_VALUE"""),1.0)</f>
        <v>1</v>
      </c>
      <c r="DS260" s="16"/>
      <c r="DT260" s="16"/>
      <c r="DU260" s="16"/>
      <c r="DV260" s="16">
        <f>IFERROR(__xludf.DUMMYFUNCTION("""COMPUTED_VALUE"""),0.0)</f>
        <v>0</v>
      </c>
      <c r="DW260" s="16"/>
      <c r="DX260" s="16">
        <f>IFERROR(__xludf.DUMMYFUNCTION("""COMPUTED_VALUE"""),0.0)</f>
        <v>0</v>
      </c>
      <c r="DY260" s="16"/>
      <c r="DZ260" s="16">
        <f>IFERROR(__xludf.DUMMYFUNCTION("""COMPUTED_VALUE"""),4.0)</f>
        <v>4</v>
      </c>
      <c r="EA260" s="16"/>
      <c r="EB260" s="16"/>
      <c r="EC260" s="16"/>
      <c r="ED260" s="16">
        <f>IFERROR(__xludf.DUMMYFUNCTION("""COMPUTED_VALUE"""),-1.0)</f>
        <v>-1</v>
      </c>
      <c r="EE260" s="16"/>
      <c r="EF260" s="16">
        <f>IFERROR(__xludf.DUMMYFUNCTION("""COMPUTED_VALUE"""),-1.0)</f>
        <v>-1</v>
      </c>
      <c r="EG260" s="179"/>
      <c r="EH260" s="179">
        <f>IFERROR(__xludf.DUMMYFUNCTION("""COMPUTED_VALUE"""),-2.0)</f>
        <v>-2</v>
      </c>
      <c r="EI260" s="179"/>
      <c r="EJ260" s="179"/>
      <c r="EK260" s="179"/>
      <c r="EL260" s="179">
        <f>IFERROR(__xludf.DUMMYFUNCTION("""COMPUTED_VALUE"""),-7.0)</f>
        <v>-7</v>
      </c>
      <c r="EM260" s="179"/>
      <c r="EN260" s="179">
        <f>IFERROR(__xludf.DUMMYFUNCTION("""COMPUTED_VALUE"""),-7.0)</f>
        <v>-7</v>
      </c>
      <c r="EO260" s="16"/>
      <c r="EP260" s="16">
        <f>IFERROR(__xludf.DUMMYFUNCTION("""COMPUTED_VALUE"""),1.0)</f>
        <v>1</v>
      </c>
      <c r="EQ260" s="16">
        <f>IFERROR(__xludf.DUMMYFUNCTION("""COMPUTED_VALUE"""),4.0)</f>
        <v>4</v>
      </c>
      <c r="ER260" s="16">
        <f>IFERROR(__xludf.DUMMYFUNCTION("""COMPUTED_VALUE"""),1.0)</f>
        <v>1</v>
      </c>
      <c r="ES260" s="16"/>
      <c r="ET260" s="16"/>
      <c r="EU260" s="16"/>
      <c r="EV260" s="16"/>
      <c r="EW260" s="16"/>
      <c r="EX260" s="180"/>
      <c r="EY260" s="180">
        <f>IFERROR(__xludf.DUMMYFUNCTION("""COMPUTED_VALUE"""),0.1)</f>
        <v>0.1</v>
      </c>
      <c r="EZ260" s="180"/>
      <c r="FA260" s="180"/>
      <c r="FB260" s="180"/>
      <c r="FC260" s="180">
        <f>IFERROR(__xludf.DUMMYFUNCTION("""COMPUTED_VALUE"""),0.55)</f>
        <v>0.55</v>
      </c>
      <c r="FD260" s="180"/>
      <c r="FE260" s="180">
        <f>IFERROR(__xludf.DUMMYFUNCTION("""COMPUTED_VALUE"""),0.55)</f>
        <v>0.55</v>
      </c>
      <c r="FF260" s="180"/>
      <c r="FG260" s="180">
        <f>IFERROR(__xludf.DUMMYFUNCTION("""COMPUTED_VALUE"""),0.2361111111111111)</f>
        <v>0.2361111111</v>
      </c>
      <c r="FH260" s="180"/>
      <c r="FI260" s="180"/>
      <c r="FJ260" s="180"/>
      <c r="FK260" s="180">
        <f>IFERROR(__xludf.DUMMYFUNCTION("""COMPUTED_VALUE"""),0.194)</f>
        <v>0.194</v>
      </c>
      <c r="FL260" s="180"/>
      <c r="FM260" s="180">
        <f>IFERROR(__xludf.DUMMYFUNCTION("""COMPUTED_VALUE"""),0.194)</f>
        <v>0.194</v>
      </c>
      <c r="FN260" s="16"/>
      <c r="FO260" s="16">
        <f>IFERROR(__xludf.DUMMYFUNCTION("""COMPUTED_VALUE"""),0.6875)</f>
        <v>0.6875</v>
      </c>
      <c r="FP260" s="16"/>
      <c r="FQ260" s="16"/>
      <c r="FR260" s="16"/>
      <c r="FS260" s="16">
        <f>IFERROR(__xludf.DUMMYFUNCTION("""COMPUTED_VALUE"""),0.36269999999999997)</f>
        <v>0.3627</v>
      </c>
      <c r="FT260" s="16"/>
      <c r="FU260" s="16">
        <f>IFERROR(__xludf.DUMMYFUNCTION("""COMPUTED_VALUE"""),0.36269999999999997)</f>
        <v>0.3627</v>
      </c>
      <c r="FV260" s="16"/>
      <c r="FW260" s="16">
        <f>IFERROR(__xludf.DUMMYFUNCTION("""COMPUTED_VALUE"""),-4.0)</f>
        <v>-4</v>
      </c>
      <c r="FX260" s="16"/>
      <c r="FY260" s="16"/>
      <c r="FZ260" s="16"/>
      <c r="GA260" s="16">
        <f>IFERROR(__xludf.DUMMYFUNCTION("""COMPUTED_VALUE"""),-9.0)</f>
        <v>-9</v>
      </c>
      <c r="GB260" s="16"/>
      <c r="GC260" s="16">
        <f>IFERROR(__xludf.DUMMYFUNCTION("""COMPUTED_VALUE"""),-9.0)</f>
        <v>-9</v>
      </c>
      <c r="GD260" s="16" t="s">
        <v>292</v>
      </c>
    </row>
    <row r="261">
      <c r="A261" s="16">
        <f>IFERROR(__xludf.DUMMYFUNCTION("""COMPUTED_VALUE"""),12985.0)</f>
        <v>12985</v>
      </c>
      <c r="B261" s="16" t="str">
        <f>IFERROR(__xludf.DUMMYFUNCTION("""COMPUTED_VALUE"""),"Jon Berti")</f>
        <v>Jon Berti</v>
      </c>
      <c r="C261" s="16">
        <f>IFERROR(__xludf.DUMMYFUNCTION("""COMPUTED_VALUE"""),1.41)</f>
        <v>1.41</v>
      </c>
      <c r="D261" s="16" t="str">
        <f>IFERROR(__xludf.DUMMYFUNCTION("""COMPUTED_VALUE"""),"R")</f>
        <v>R</v>
      </c>
      <c r="E261" s="16"/>
      <c r="F261" s="16"/>
      <c r="G261" s="16">
        <f>IFERROR(__xludf.DUMMYFUNCTION("""COMPUTED_VALUE"""),66.0)</f>
        <v>66</v>
      </c>
      <c r="H261" s="16">
        <f>IFERROR(__xludf.DUMMYFUNCTION("""COMPUTED_VALUE"""),6.0)</f>
        <v>6</v>
      </c>
      <c r="I261" s="16" t="str">
        <f>IFERROR(__xludf.DUMMYFUNCTION("""COMPUTED_VALUE"""),"6p20")</f>
        <v>6p20</v>
      </c>
      <c r="J261" s="16">
        <f>IFERROR(__xludf.DUMMYFUNCTION("""COMPUTED_VALUE"""),11.0)</f>
        <v>11</v>
      </c>
      <c r="K261" s="16">
        <f>IFERROR(__xludf.DUMMYFUNCTION("""COMPUTED_VALUE"""),21.0)</f>
        <v>21</v>
      </c>
      <c r="L261" s="16">
        <f>IFERROR(__xludf.DUMMYFUNCTION("""COMPUTED_VALUE"""),1.0)</f>
        <v>1</v>
      </c>
      <c r="M261" s="16">
        <f>IFERROR(__xludf.DUMMYFUNCTION("""COMPUTED_VALUE"""),0.0)</f>
        <v>0</v>
      </c>
      <c r="N261" s="16">
        <f>IFERROR(__xludf.DUMMYFUNCTION("""COMPUTED_VALUE"""),1.0)</f>
        <v>1</v>
      </c>
      <c r="O261" s="16">
        <f>IFERROR(__xludf.DUMMYFUNCTION("""COMPUTED_VALUE"""),0.0)</f>
        <v>0</v>
      </c>
      <c r="P261" s="16">
        <f>IFERROR(__xludf.DUMMYFUNCTION("""COMPUTED_VALUE"""),15.0)</f>
        <v>15</v>
      </c>
      <c r="Q261" s="16">
        <f>IFERROR(__xludf.DUMMYFUNCTION("""COMPUTED_VALUE"""),5.0)</f>
        <v>5</v>
      </c>
      <c r="R261" s="16">
        <f>IFERROR(__xludf.DUMMYFUNCTION("""COMPUTED_VALUE"""),2.0)</f>
        <v>2</v>
      </c>
      <c r="S261" s="16">
        <f>IFERROR(__xludf.DUMMYFUNCTION("""COMPUTED_VALUE"""),-1.0)</f>
        <v>-1</v>
      </c>
      <c r="T261" s="16">
        <f>IFERROR(__xludf.DUMMYFUNCTION("""COMPUTED_VALUE"""),2.0)</f>
        <v>2</v>
      </c>
      <c r="U261" s="16">
        <f>IFERROR(__xludf.DUMMYFUNCTION("""COMPUTED_VALUE"""),-1.0)</f>
        <v>-1</v>
      </c>
      <c r="V261" s="16">
        <f>IFERROR(__xludf.DUMMYFUNCTION("""COMPUTED_VALUE"""),26.1)</f>
        <v>26.1</v>
      </c>
      <c r="W261" s="16">
        <f>IFERROR(__xludf.DUMMYFUNCTION("""COMPUTED_VALUE"""),27.6)</f>
        <v>27.6</v>
      </c>
      <c r="X261" s="16">
        <f>IFERROR(__xludf.DUMMYFUNCTION("""COMPUTED_VALUE"""),1.0)</f>
        <v>1</v>
      </c>
      <c r="Y261" s="16">
        <f>IFERROR(__xludf.DUMMYFUNCTION("""COMPUTED_VALUE"""),2.0)</f>
        <v>2</v>
      </c>
      <c r="Z261" s="16">
        <f>IFERROR(__xludf.DUMMYFUNCTION("""COMPUTED_VALUE"""),2.0)</f>
        <v>2</v>
      </c>
      <c r="AA261" s="16">
        <f>IFERROR(__xludf.DUMMYFUNCTION("""COMPUTED_VALUE"""),4.0)</f>
        <v>4</v>
      </c>
      <c r="AB261" s="16">
        <f>IFERROR(__xludf.DUMMYFUNCTION("""COMPUTED_VALUE"""),44.2)</f>
        <v>44.2</v>
      </c>
      <c r="AC261" s="16">
        <f>IFERROR(__xludf.DUMMYFUNCTION("""COMPUTED_VALUE"""),35.5)</f>
        <v>35.5</v>
      </c>
      <c r="AD261" s="16">
        <f>IFERROR(__xludf.DUMMYFUNCTION("""COMPUTED_VALUE"""),2.0)</f>
        <v>2</v>
      </c>
      <c r="AE261" s="16">
        <f>IFERROR(__xludf.DUMMYFUNCTION("""COMPUTED_VALUE"""),1.0)</f>
        <v>1</v>
      </c>
      <c r="AF261" s="16">
        <f>IFERROR(__xludf.DUMMYFUNCTION("""COMPUTED_VALUE"""),10.0)</f>
        <v>10</v>
      </c>
      <c r="AG261" s="16">
        <f>IFERROR(__xludf.DUMMYFUNCTION("""COMPUTED_VALUE"""),5.0)</f>
        <v>5</v>
      </c>
      <c r="AH261" s="16">
        <f>IFERROR(__xludf.DUMMYFUNCTION("""COMPUTED_VALUE"""),26.1)</f>
        <v>26.1</v>
      </c>
      <c r="AI261" s="16">
        <f>IFERROR(__xludf.DUMMYFUNCTION("""COMPUTED_VALUE"""),31.9)</f>
        <v>31.9</v>
      </c>
      <c r="AJ261" s="16">
        <f>IFERROR(__xludf.DUMMYFUNCTION("""COMPUTED_VALUE"""),-1.0)</f>
        <v>-1</v>
      </c>
      <c r="AK261" s="16">
        <f>IFERROR(__xludf.DUMMYFUNCTION("""COMPUTED_VALUE"""),0.0)</f>
        <v>0</v>
      </c>
      <c r="AL261" s="16">
        <f>IFERROR(__xludf.DUMMYFUNCTION("""COMPUTED_VALUE"""),-5.0)</f>
        <v>-5</v>
      </c>
      <c r="AM261" s="16">
        <f>IFERROR(__xludf.DUMMYFUNCTION("""COMPUTED_VALUE"""),0.0)</f>
        <v>0</v>
      </c>
      <c r="AN261" s="16">
        <f>IFERROR(__xludf.DUMMYFUNCTION("""COMPUTED_VALUE"""),0.0)</f>
        <v>0</v>
      </c>
      <c r="AO261" s="16">
        <f>IFERROR(__xludf.DUMMYFUNCTION("""COMPUTED_VALUE"""),1.5)</f>
        <v>1.5</v>
      </c>
      <c r="AP261" s="16">
        <f>IFERROR(__xludf.DUMMYFUNCTION("""COMPUTED_VALUE"""),-2.0)</f>
        <v>-2</v>
      </c>
      <c r="AQ261" s="16">
        <f>IFERROR(__xludf.DUMMYFUNCTION("""COMPUTED_VALUE"""),-1.0)</f>
        <v>-1</v>
      </c>
      <c r="AR261" s="16">
        <f>IFERROR(__xludf.DUMMYFUNCTION("""COMPUTED_VALUE"""),-4.0)</f>
        <v>-4</v>
      </c>
      <c r="AS261" s="16">
        <f>IFERROR(__xludf.DUMMYFUNCTION("""COMPUTED_VALUE"""),-2.0)</f>
        <v>-2</v>
      </c>
      <c r="AT261" s="16"/>
      <c r="AU261" s="16">
        <f>IFERROR(__xludf.DUMMYFUNCTION("""COMPUTED_VALUE"""),1.0)</f>
        <v>1</v>
      </c>
      <c r="AV261" s="16">
        <f>IFERROR(__xludf.DUMMYFUNCTION("""COMPUTED_VALUE"""),-3.0)</f>
        <v>-3</v>
      </c>
      <c r="AW261" s="16">
        <f>IFERROR(__xludf.DUMMYFUNCTION("""COMPUTED_VALUE"""),1.0)</f>
        <v>1</v>
      </c>
      <c r="AX261" s="16">
        <f>IFERROR(__xludf.DUMMYFUNCTION("""COMPUTED_VALUE"""),-3.0)</f>
        <v>-3</v>
      </c>
      <c r="AY261" s="16">
        <f>IFERROR(__xludf.DUMMYFUNCTION("""COMPUTED_VALUE"""),-1.0)</f>
        <v>-1</v>
      </c>
      <c r="AZ261" s="16">
        <f>IFERROR(__xludf.DUMMYFUNCTION("""COMPUTED_VALUE"""),-9.0)</f>
        <v>-9</v>
      </c>
      <c r="BA261" s="16">
        <f>IFERROR(__xludf.DUMMYFUNCTION("""COMPUTED_VALUE"""),-3.0)</f>
        <v>-3</v>
      </c>
      <c r="BB261" s="16">
        <f>IFERROR(__xludf.DUMMYFUNCTION("""COMPUTED_VALUE"""),5.0)</f>
        <v>5</v>
      </c>
      <c r="BC261" s="16">
        <f>IFERROR(__xludf.DUMMYFUNCTION("""COMPUTED_VALUE"""),5.0)</f>
        <v>5</v>
      </c>
      <c r="BD261" s="16">
        <f>IFERROR(__xludf.DUMMYFUNCTION("""COMPUTED_VALUE"""),1.0)</f>
        <v>1</v>
      </c>
      <c r="BE261" s="16">
        <f>IFERROR(__xludf.DUMMYFUNCTION("""COMPUTED_VALUE"""),1.0)</f>
        <v>1</v>
      </c>
      <c r="BF261" s="16">
        <f>IFERROR(__xludf.DUMMYFUNCTION("""COMPUTED_VALUE"""),1.0)</f>
        <v>1</v>
      </c>
      <c r="BG261" s="16">
        <f>IFERROR(__xludf.DUMMYFUNCTION("""COMPUTED_VALUE"""),1.0)</f>
        <v>1</v>
      </c>
      <c r="BH261" s="16">
        <f>IFERROR(__xludf.DUMMYFUNCTION("""COMPUTED_VALUE"""),-7.0)</f>
        <v>-7</v>
      </c>
      <c r="BI261" s="16">
        <f>IFERROR(__xludf.DUMMYFUNCTION("""COMPUTED_VALUE"""),-8.0)</f>
        <v>-8</v>
      </c>
      <c r="BJ261" s="16">
        <f>IFERROR(__xludf.DUMMYFUNCTION("""COMPUTED_VALUE"""),18.0)</f>
        <v>18</v>
      </c>
      <c r="BK261" s="16">
        <f>IFERROR(__xludf.DUMMYFUNCTION("""COMPUTED_VALUE"""),18.0)</f>
        <v>18</v>
      </c>
      <c r="BL261" s="16">
        <f>IFERROR(__xludf.DUMMYFUNCTION("""COMPUTED_VALUE"""),-1.0)</f>
        <v>-1</v>
      </c>
      <c r="BM261" s="16">
        <f>IFERROR(__xludf.DUMMYFUNCTION("""COMPUTED_VALUE"""),-1.0)</f>
        <v>-1</v>
      </c>
      <c r="BN261" s="16">
        <f>IFERROR(__xludf.DUMMYFUNCTION("""COMPUTED_VALUE"""),-2.0)</f>
        <v>-2</v>
      </c>
      <c r="BO261" s="16">
        <f>IFERROR(__xludf.DUMMYFUNCTION("""COMPUTED_VALUE"""),-2.0)</f>
        <v>-2</v>
      </c>
      <c r="BP261" s="16">
        <f>IFERROR(__xludf.DUMMYFUNCTION("""COMPUTED_VALUE"""),0.0)</f>
        <v>0</v>
      </c>
      <c r="BQ261" s="16">
        <f>IFERROR(__xludf.DUMMYFUNCTION("""COMPUTED_VALUE"""),0.0)</f>
        <v>0</v>
      </c>
      <c r="BR261" s="16">
        <f>IFERROR(__xludf.DUMMYFUNCTION("""COMPUTED_VALUE"""),0.0)</f>
        <v>0</v>
      </c>
      <c r="BS261" s="16" t="str">
        <f>IFERROR(__xludf.DUMMYFUNCTION("""COMPUTED_VALUE"""),"*2-5,12/- (19-13)")</f>
        <v>*2-5,12/- (19-13)</v>
      </c>
      <c r="BT261" s="16" t="str">
        <f>IFERROR(__xludf.DUMMYFUNCTION("""COMPUTED_VALUE"""),"B")</f>
        <v>B</v>
      </c>
      <c r="BU261" s="16">
        <f>IFERROR(__xludf.DUMMYFUNCTION("""COMPUTED_VALUE"""),16.0)</f>
        <v>16</v>
      </c>
      <c r="BV261" s="16">
        <f>IFERROR(__xludf.DUMMYFUNCTION("""COMPUTED_VALUE"""),1.0)</f>
        <v>1</v>
      </c>
      <c r="BW261" s="16">
        <f>IFERROR(__xludf.DUMMYFUNCTION("""COMPUTED_VALUE"""),2.0)</f>
        <v>2</v>
      </c>
      <c r="BX261" s="16">
        <f>IFERROR(__xludf.DUMMYFUNCTION("""COMPUTED_VALUE"""),2.0)</f>
        <v>2</v>
      </c>
      <c r="BY261" s="16">
        <f>IFERROR(__xludf.DUMMYFUNCTION("""COMPUTED_VALUE"""),6.0)</f>
        <v>6</v>
      </c>
      <c r="BZ261" s="16" t="str">
        <f>IFERROR(__xludf.DUMMYFUNCTION("""COMPUTED_VALUE"""),"D")</f>
        <v>D</v>
      </c>
      <c r="CA261" s="16" t="str">
        <f>IFERROR(__xludf.DUMMYFUNCTION("""COMPUTED_VALUE"""),"C")</f>
        <v>C</v>
      </c>
      <c r="CB261" s="16">
        <f>IFERROR(__xludf.DUMMYFUNCTION("""COMPUTED_VALUE"""),0.0)</f>
        <v>0</v>
      </c>
      <c r="CC261" s="16">
        <f>IFERROR(__xludf.DUMMYFUNCTION("""COMPUTED_VALUE"""),0.0)</f>
        <v>0</v>
      </c>
      <c r="CD261" s="16">
        <f>IFERROR(__xludf.DUMMYFUNCTION("""COMPUTED_VALUE"""),0.0)</f>
        <v>0</v>
      </c>
      <c r="CE261" s="16">
        <f>IFERROR(__xludf.DUMMYFUNCTION("""COMPUTED_VALUE"""),0.0)</f>
        <v>0</v>
      </c>
      <c r="CF261" s="16">
        <f>IFERROR(__xludf.DUMMYFUNCTION("""COMPUTED_VALUE"""),6.0)</f>
        <v>6</v>
      </c>
      <c r="CG261" s="16">
        <f>IFERROR(__xludf.DUMMYFUNCTION("""COMPUTED_VALUE"""),-4.0)</f>
        <v>-4</v>
      </c>
      <c r="CH261" s="16">
        <f>IFERROR(__xludf.DUMMYFUNCTION("""COMPUTED_VALUE"""),2.0)</f>
        <v>2</v>
      </c>
      <c r="CI261" s="179">
        <f>IFERROR(__xludf.DUMMYFUNCTION("""COMPUTED_VALUE"""),-6.0)</f>
        <v>-6</v>
      </c>
      <c r="CJ261" s="16"/>
      <c r="CK261" s="16"/>
      <c r="CL261" s="16">
        <f>IFERROR(__xludf.DUMMYFUNCTION("""COMPUTED_VALUE"""),322.0)</f>
        <v>322</v>
      </c>
      <c r="CM261" s="16">
        <f>IFERROR(__xludf.DUMMYFUNCTION("""COMPUTED_VALUE"""),328.0)</f>
        <v>328</v>
      </c>
      <c r="CN261" s="16"/>
      <c r="CO261" s="16">
        <f>IFERROR(__xludf.DUMMYFUNCTION("""COMPUTED_VALUE"""),405.0)</f>
        <v>405</v>
      </c>
      <c r="CP261" s="16"/>
      <c r="CQ261" s="16"/>
      <c r="CR261" s="16" t="str">
        <f>IFERROR(__xludf.DUMMYFUNCTION("""COMPUTED_VALUE"""),"3b-3e28 2b-3e22 lf-4(+2)e5")</f>
        <v>3b-3e28 2b-3e22 lf-4(+2)e5</v>
      </c>
      <c r="CS261" s="16"/>
      <c r="CT261" s="16"/>
      <c r="CU261" s="16">
        <f>IFERROR(__xludf.DUMMYFUNCTION("""COMPUTED_VALUE"""),3.0)</f>
        <v>3</v>
      </c>
      <c r="CV261" s="16">
        <f>IFERROR(__xludf.DUMMYFUNCTION("""COMPUTED_VALUE"""),3.0)</f>
        <v>3</v>
      </c>
      <c r="CW261" s="16"/>
      <c r="CX261" s="16">
        <f>IFERROR(__xludf.DUMMYFUNCTION("""COMPUTED_VALUE"""),4.0)</f>
        <v>4</v>
      </c>
      <c r="CY261" s="16"/>
      <c r="CZ261" s="16"/>
      <c r="DA261" s="16"/>
      <c r="DB261" s="16"/>
      <c r="DC261" s="16">
        <f>IFERROR(__xludf.DUMMYFUNCTION("""COMPUTED_VALUE"""),22.0)</f>
        <v>22</v>
      </c>
      <c r="DD261" s="16">
        <f>IFERROR(__xludf.DUMMYFUNCTION("""COMPUTED_VALUE"""),28.0)</f>
        <v>28</v>
      </c>
      <c r="DE261" s="16"/>
      <c r="DF261" s="16">
        <f>IFERROR(__xludf.DUMMYFUNCTION("""COMPUTED_VALUE"""),5.0)</f>
        <v>5</v>
      </c>
      <c r="DG261" s="16"/>
      <c r="DH261" s="16"/>
      <c r="DI261" s="16"/>
      <c r="DJ261" s="16"/>
      <c r="DK261" s="16">
        <f>IFERROR(__xludf.DUMMYFUNCTION("""COMPUTED_VALUE"""),0.0)</f>
        <v>0</v>
      </c>
      <c r="DL261" s="16">
        <f>IFERROR(__xludf.DUMMYFUNCTION("""COMPUTED_VALUE"""),1.0)</f>
        <v>1</v>
      </c>
      <c r="DM261" s="16"/>
      <c r="DN261" s="16">
        <f>IFERROR(__xludf.DUMMYFUNCTION("""COMPUTED_VALUE"""),-1.0)</f>
        <v>-1</v>
      </c>
      <c r="DO261" s="16"/>
      <c r="DP261" s="16"/>
      <c r="DQ261" s="16"/>
      <c r="DR261" s="16"/>
      <c r="DS261" s="16">
        <f>IFERROR(__xludf.DUMMYFUNCTION("""COMPUTED_VALUE"""),0.0)</f>
        <v>0</v>
      </c>
      <c r="DT261" s="16">
        <f>IFERROR(__xludf.DUMMYFUNCTION("""COMPUTED_VALUE"""),-2.0)</f>
        <v>-2</v>
      </c>
      <c r="DU261" s="16"/>
      <c r="DV261" s="16">
        <f>IFERROR(__xludf.DUMMYFUNCTION("""COMPUTED_VALUE"""),2.0)</f>
        <v>2</v>
      </c>
      <c r="DW261" s="16"/>
      <c r="DX261" s="16"/>
      <c r="DY261" s="16"/>
      <c r="DZ261" s="16"/>
      <c r="EA261" s="16">
        <f>IFERROR(__xludf.DUMMYFUNCTION("""COMPUTED_VALUE"""),0.0)</f>
        <v>0</v>
      </c>
      <c r="EB261" s="16">
        <f>IFERROR(__xludf.DUMMYFUNCTION("""COMPUTED_VALUE"""),-1.0)</f>
        <v>-1</v>
      </c>
      <c r="EC261" s="16"/>
      <c r="ED261" s="16">
        <f>IFERROR(__xludf.DUMMYFUNCTION("""COMPUTED_VALUE"""),1.0)</f>
        <v>1</v>
      </c>
      <c r="EE261" s="16"/>
      <c r="EF261" s="16"/>
      <c r="EG261" s="179"/>
      <c r="EH261" s="179"/>
      <c r="EI261" s="179">
        <f>IFERROR(__xludf.DUMMYFUNCTION("""COMPUTED_VALUE"""),-6.0)</f>
        <v>-6</v>
      </c>
      <c r="EJ261" s="179">
        <f>IFERROR(__xludf.DUMMYFUNCTION("""COMPUTED_VALUE"""),-7.0)</f>
        <v>-7</v>
      </c>
      <c r="EK261" s="179"/>
      <c r="EL261" s="179">
        <f>IFERROR(__xludf.DUMMYFUNCTION("""COMPUTED_VALUE"""),-5.0)</f>
        <v>-5</v>
      </c>
      <c r="EM261" s="179"/>
      <c r="EN261" s="179"/>
      <c r="EO261" s="16"/>
      <c r="EP261" s="16">
        <f>IFERROR(__xludf.DUMMYFUNCTION("""COMPUTED_VALUE"""),1.0)</f>
        <v>1</v>
      </c>
      <c r="EQ261" s="16">
        <f>IFERROR(__xludf.DUMMYFUNCTION("""COMPUTED_VALUE"""),-4.0)</f>
        <v>-4</v>
      </c>
      <c r="ER261" s="16">
        <f>IFERROR(__xludf.DUMMYFUNCTION("""COMPUTED_VALUE"""),-4.0)</f>
        <v>-4</v>
      </c>
      <c r="ES261" s="16"/>
      <c r="ET261" s="16"/>
      <c r="EU261" s="16"/>
      <c r="EV261" s="16"/>
      <c r="EW261" s="16"/>
      <c r="EX261" s="180"/>
      <c r="EY261" s="180"/>
      <c r="EZ261" s="180">
        <f>IFERROR(__xludf.DUMMYFUNCTION("""COMPUTED_VALUE"""),0.2)</f>
        <v>0.2</v>
      </c>
      <c r="FA261" s="180">
        <f>IFERROR(__xludf.DUMMYFUNCTION("""COMPUTED_VALUE"""),0.2)</f>
        <v>0.2</v>
      </c>
      <c r="FB261" s="180"/>
      <c r="FC261" s="180">
        <f>IFERROR(__xludf.DUMMYFUNCTION("""COMPUTED_VALUE"""),0.55)</f>
        <v>0.55</v>
      </c>
      <c r="FD261" s="180"/>
      <c r="FE261" s="180"/>
      <c r="FF261" s="180"/>
      <c r="FG261" s="180"/>
      <c r="FH261" s="180">
        <f>IFERROR(__xludf.DUMMYFUNCTION("""COMPUTED_VALUE"""),0.13425925925925927)</f>
        <v>0.1342592593</v>
      </c>
      <c r="FI261" s="180">
        <f>IFERROR(__xludf.DUMMYFUNCTION("""COMPUTED_VALUE"""),0.33796296296296297)</f>
        <v>0.337962963</v>
      </c>
      <c r="FJ261" s="180"/>
      <c r="FK261" s="180">
        <f>IFERROR(__xludf.DUMMYFUNCTION("""COMPUTED_VALUE"""),0.088)</f>
        <v>0.088</v>
      </c>
      <c r="FL261" s="180"/>
      <c r="FM261" s="180"/>
      <c r="FN261" s="16"/>
      <c r="FO261" s="16"/>
      <c r="FP261" s="16">
        <f>IFERROR(__xludf.DUMMYFUNCTION("""COMPUTED_VALUE"""),0.6925925925925926)</f>
        <v>0.6925925926</v>
      </c>
      <c r="FQ261" s="16">
        <f>IFERROR(__xludf.DUMMYFUNCTION("""COMPUTED_VALUE"""),0.5296296296296296)</f>
        <v>0.5296296296</v>
      </c>
      <c r="FR261" s="16"/>
      <c r="FS261" s="16">
        <f>IFERROR(__xludf.DUMMYFUNCTION("""COMPUTED_VALUE"""),0.4104)</f>
        <v>0.4104</v>
      </c>
      <c r="FT261" s="16"/>
      <c r="FU261" s="16"/>
      <c r="FV261" s="16"/>
      <c r="FW261" s="16"/>
      <c r="FX261" s="16">
        <f>IFERROR(__xludf.DUMMYFUNCTION("""COMPUTED_VALUE"""),-4.0)</f>
        <v>-4</v>
      </c>
      <c r="FY261" s="16">
        <f>IFERROR(__xludf.DUMMYFUNCTION("""COMPUTED_VALUE"""),-8.0)</f>
        <v>-8</v>
      </c>
      <c r="FZ261" s="16"/>
      <c r="GA261" s="16">
        <f>IFERROR(__xludf.DUMMYFUNCTION("""COMPUTED_VALUE"""),-9.0)</f>
        <v>-9</v>
      </c>
      <c r="GB261" s="16"/>
      <c r="GC261" s="16"/>
      <c r="GD261" s="16" t="s">
        <v>176</v>
      </c>
    </row>
    <row r="262">
      <c r="A262" s="16">
        <f>IFERROR(__xludf.DUMMYFUNCTION("""COMPUTED_VALUE"""),12930.0)</f>
        <v>12930</v>
      </c>
      <c r="B262" s="16" t="str">
        <f>IFERROR(__xludf.DUMMYFUNCTION("""COMPUTED_VALUE"""),"Jared Triolo")</f>
        <v>Jared Triolo</v>
      </c>
      <c r="C262" s="16">
        <f>IFERROR(__xludf.DUMMYFUNCTION("""COMPUTED_VALUE"""),0.51)</f>
        <v>0.51</v>
      </c>
      <c r="D262" s="16" t="str">
        <f>IFERROR(__xludf.DUMMYFUNCTION("""COMPUTED_VALUE"""),"R")</f>
        <v>R</v>
      </c>
      <c r="E262" s="16"/>
      <c r="F262" s="16"/>
      <c r="G262" s="16">
        <f>IFERROR(__xludf.DUMMYFUNCTION("""COMPUTED_VALUE"""),394.0)</f>
        <v>394</v>
      </c>
      <c r="H262" s="16">
        <f>IFERROR(__xludf.DUMMYFUNCTION("""COMPUTED_VALUE"""),42.0)</f>
        <v>42</v>
      </c>
      <c r="I262" s="16" t="str">
        <f>IFERROR(__xludf.DUMMYFUNCTION("""COMPUTED_VALUE"""),"1p60")</f>
        <v>1p60</v>
      </c>
      <c r="J262" s="16">
        <f>IFERROR(__xludf.DUMMYFUNCTION("""COMPUTED_VALUE"""),33.0)</f>
        <v>33</v>
      </c>
      <c r="K262" s="16">
        <f>IFERROR(__xludf.DUMMYFUNCTION("""COMPUTED_VALUE"""),32.0)</f>
        <v>32</v>
      </c>
      <c r="L262" s="16">
        <f>IFERROR(__xludf.DUMMYFUNCTION("""COMPUTED_VALUE"""),-1.0)</f>
        <v>-1</v>
      </c>
      <c r="M262" s="16">
        <f>IFERROR(__xludf.DUMMYFUNCTION("""COMPUTED_VALUE"""),-1.0)</f>
        <v>-1</v>
      </c>
      <c r="N262" s="16">
        <f>IFERROR(__xludf.DUMMYFUNCTION("""COMPUTED_VALUE"""),-1.0)</f>
        <v>-1</v>
      </c>
      <c r="O262" s="16">
        <f>IFERROR(__xludf.DUMMYFUNCTION("""COMPUTED_VALUE"""),-1.0)</f>
        <v>-1</v>
      </c>
      <c r="P262" s="16">
        <f>IFERROR(__xludf.DUMMYFUNCTION("""COMPUTED_VALUE"""),18.0)</f>
        <v>18</v>
      </c>
      <c r="Q262" s="16">
        <f>IFERROR(__xludf.DUMMYFUNCTION("""COMPUTED_VALUE"""),11.0)</f>
        <v>11</v>
      </c>
      <c r="R262" s="16">
        <f>IFERROR(__xludf.DUMMYFUNCTION("""COMPUTED_VALUE"""),3.0)</f>
        <v>3</v>
      </c>
      <c r="S262" s="16">
        <f>IFERROR(__xludf.DUMMYFUNCTION("""COMPUTED_VALUE"""),1.0)</f>
        <v>1</v>
      </c>
      <c r="T262" s="16">
        <f>IFERROR(__xludf.DUMMYFUNCTION("""COMPUTED_VALUE"""),3.0)</f>
        <v>3</v>
      </c>
      <c r="U262" s="16">
        <f>IFERROR(__xludf.DUMMYFUNCTION("""COMPUTED_VALUE"""),1.0)</f>
        <v>1</v>
      </c>
      <c r="V262" s="16">
        <f>IFERROR(__xludf.DUMMYFUNCTION("""COMPUTED_VALUE"""),10.9)</f>
        <v>10.9</v>
      </c>
      <c r="W262" s="16">
        <f>IFERROR(__xludf.DUMMYFUNCTION("""COMPUTED_VALUE"""),14.6)</f>
        <v>14.6</v>
      </c>
      <c r="X262" s="16">
        <f>IFERROR(__xludf.DUMMYFUNCTION("""COMPUTED_VALUE"""),-1.0)</f>
        <v>-1</v>
      </c>
      <c r="Y262" s="16">
        <f>IFERROR(__xludf.DUMMYFUNCTION("""COMPUTED_VALUE"""),-1.0)</f>
        <v>-1</v>
      </c>
      <c r="Z262" s="16">
        <f>IFERROR(__xludf.DUMMYFUNCTION("""COMPUTED_VALUE"""),-2.0)</f>
        <v>-2</v>
      </c>
      <c r="AA262" s="16">
        <f>IFERROR(__xludf.DUMMYFUNCTION("""COMPUTED_VALUE"""),-2.0)</f>
        <v>-2</v>
      </c>
      <c r="AB262" s="16">
        <f>IFERROR(__xludf.DUMMYFUNCTION("""COMPUTED_VALUE"""),32.0)</f>
        <v>32</v>
      </c>
      <c r="AC262" s="16">
        <f>IFERROR(__xludf.DUMMYFUNCTION("""COMPUTED_VALUE"""),28.6)</f>
        <v>28.6</v>
      </c>
      <c r="AD262" s="16">
        <f>IFERROR(__xludf.DUMMYFUNCTION("""COMPUTED_VALUE"""),0.0)</f>
        <v>0</v>
      </c>
      <c r="AE262" s="16">
        <f>IFERROR(__xludf.DUMMYFUNCTION("""COMPUTED_VALUE"""),0.0)</f>
        <v>0</v>
      </c>
      <c r="AF262" s="16">
        <f>IFERROR(__xludf.DUMMYFUNCTION("""COMPUTED_VALUE"""),0.0)</f>
        <v>0</v>
      </c>
      <c r="AG262" s="16">
        <f>IFERROR(__xludf.DUMMYFUNCTION("""COMPUTED_VALUE"""),0.0)</f>
        <v>0</v>
      </c>
      <c r="AH262" s="16">
        <f>IFERROR(__xludf.DUMMYFUNCTION("""COMPUTED_VALUE"""),15.8)</f>
        <v>15.8</v>
      </c>
      <c r="AI262" s="16">
        <f>IFERROR(__xludf.DUMMYFUNCTION("""COMPUTED_VALUE"""),19.8)</f>
        <v>19.8</v>
      </c>
      <c r="AJ262" s="16">
        <f>IFERROR(__xludf.DUMMYFUNCTION("""COMPUTED_VALUE"""),-1.0)</f>
        <v>-1</v>
      </c>
      <c r="AK262" s="16">
        <f>IFERROR(__xludf.DUMMYFUNCTION("""COMPUTED_VALUE"""),-2.0)</f>
        <v>-2</v>
      </c>
      <c r="AL262" s="16">
        <f>IFERROR(__xludf.DUMMYFUNCTION("""COMPUTED_VALUE"""),-5.0)</f>
        <v>-5</v>
      </c>
      <c r="AM262" s="16">
        <f>IFERROR(__xludf.DUMMYFUNCTION("""COMPUTED_VALUE"""),-10.0)</f>
        <v>-10</v>
      </c>
      <c r="AN262" s="16">
        <f>IFERROR(__xludf.DUMMYFUNCTION("""COMPUTED_VALUE"""),1.6)</f>
        <v>1.6</v>
      </c>
      <c r="AO262" s="16">
        <f>IFERROR(__xludf.DUMMYFUNCTION("""COMPUTED_VALUE"""),1.6)</f>
        <v>1.6</v>
      </c>
      <c r="AP262" s="16">
        <f>IFERROR(__xludf.DUMMYFUNCTION("""COMPUTED_VALUE"""),-1.0)</f>
        <v>-1</v>
      </c>
      <c r="AQ262" s="16">
        <f>IFERROR(__xludf.DUMMYFUNCTION("""COMPUTED_VALUE"""),-1.0)</f>
        <v>-1</v>
      </c>
      <c r="AR262" s="16">
        <f>IFERROR(__xludf.DUMMYFUNCTION("""COMPUTED_VALUE"""),-2.0)</f>
        <v>-2</v>
      </c>
      <c r="AS262" s="16">
        <f>IFERROR(__xludf.DUMMYFUNCTION("""COMPUTED_VALUE"""),-2.0)</f>
        <v>-2</v>
      </c>
      <c r="AT262" s="16"/>
      <c r="AU262" s="16">
        <f>IFERROR(__xludf.DUMMYFUNCTION("""COMPUTED_VALUE"""),2.0)</f>
        <v>2</v>
      </c>
      <c r="AV262" s="16">
        <f>IFERROR(__xludf.DUMMYFUNCTION("""COMPUTED_VALUE"""),-3.0)</f>
        <v>-3</v>
      </c>
      <c r="AW262" s="16">
        <f>IFERROR(__xludf.DUMMYFUNCTION("""COMPUTED_VALUE"""),2.0)</f>
        <v>2</v>
      </c>
      <c r="AX262" s="16">
        <f>IFERROR(__xludf.DUMMYFUNCTION("""COMPUTED_VALUE"""),-3.0)</f>
        <v>-3</v>
      </c>
      <c r="AY262" s="16">
        <f>IFERROR(__xludf.DUMMYFUNCTION("""COMPUTED_VALUE"""),0.0)</f>
        <v>0</v>
      </c>
      <c r="AZ262" s="16">
        <f>IFERROR(__xludf.DUMMYFUNCTION("""COMPUTED_VALUE"""),-9.0)</f>
        <v>-9</v>
      </c>
      <c r="BA262" s="16">
        <f>IFERROR(__xludf.DUMMYFUNCTION("""COMPUTED_VALUE"""),0.0)</f>
        <v>0</v>
      </c>
      <c r="BB262" s="16">
        <f>IFERROR(__xludf.DUMMYFUNCTION("""COMPUTED_VALUE"""),5.0)</f>
        <v>5</v>
      </c>
      <c r="BC262" s="16">
        <f>IFERROR(__xludf.DUMMYFUNCTION("""COMPUTED_VALUE"""),5.0)</f>
        <v>5</v>
      </c>
      <c r="BD262" s="16">
        <f>IFERROR(__xludf.DUMMYFUNCTION("""COMPUTED_VALUE"""),1.0)</f>
        <v>1</v>
      </c>
      <c r="BE262" s="16">
        <f>IFERROR(__xludf.DUMMYFUNCTION("""COMPUTED_VALUE"""),1.0)</f>
        <v>1</v>
      </c>
      <c r="BF262" s="16">
        <f>IFERROR(__xludf.DUMMYFUNCTION("""COMPUTED_VALUE"""),1.0)</f>
        <v>1</v>
      </c>
      <c r="BG262" s="16">
        <f>IFERROR(__xludf.DUMMYFUNCTION("""COMPUTED_VALUE"""),1.0)</f>
        <v>1</v>
      </c>
      <c r="BH262" s="16">
        <f>IFERROR(__xludf.DUMMYFUNCTION("""COMPUTED_VALUE"""),-2.0)</f>
        <v>-2</v>
      </c>
      <c r="BI262" s="16">
        <f>IFERROR(__xludf.DUMMYFUNCTION("""COMPUTED_VALUE"""),-3.0)</f>
        <v>-3</v>
      </c>
      <c r="BJ262" s="16">
        <f>IFERROR(__xludf.DUMMYFUNCTION("""COMPUTED_VALUE"""),6.0)</f>
        <v>6</v>
      </c>
      <c r="BK262" s="16">
        <f>IFERROR(__xludf.DUMMYFUNCTION("""COMPUTED_VALUE"""),6.0)</f>
        <v>6</v>
      </c>
      <c r="BL262" s="16">
        <f>IFERROR(__xludf.DUMMYFUNCTION("""COMPUTED_VALUE"""),1.0)</f>
        <v>1</v>
      </c>
      <c r="BM262" s="16">
        <f>IFERROR(__xludf.DUMMYFUNCTION("""COMPUTED_VALUE"""),1.0)</f>
        <v>1</v>
      </c>
      <c r="BN262" s="16">
        <f>IFERROR(__xludf.DUMMYFUNCTION("""COMPUTED_VALUE"""),1.0)</f>
        <v>1</v>
      </c>
      <c r="BO262" s="16">
        <f>IFERROR(__xludf.DUMMYFUNCTION("""COMPUTED_VALUE"""),1.0)</f>
        <v>1</v>
      </c>
      <c r="BP262" s="16">
        <f>IFERROR(__xludf.DUMMYFUNCTION("""COMPUTED_VALUE"""),-2.0)</f>
        <v>-2</v>
      </c>
      <c r="BQ262" s="16">
        <f>IFERROR(__xludf.DUMMYFUNCTION("""COMPUTED_VALUE"""),-2.0)</f>
        <v>-2</v>
      </c>
      <c r="BR262" s="16">
        <f>IFERROR(__xludf.DUMMYFUNCTION("""COMPUTED_VALUE"""),-4.0)</f>
        <v>-4</v>
      </c>
      <c r="BS262" s="16" t="str">
        <f>IFERROR(__xludf.DUMMYFUNCTION("""COMPUTED_VALUE"""),"*4/- (19-6)")</f>
        <v>*4/- (19-6)</v>
      </c>
      <c r="BT262" s="16" t="str">
        <f>IFERROR(__xludf.DUMMYFUNCTION("""COMPUTED_VALUE"""),"B")</f>
        <v>B</v>
      </c>
      <c r="BU262" s="16">
        <f>IFERROR(__xludf.DUMMYFUNCTION("""COMPUTED_VALUE"""),14.0)</f>
        <v>14</v>
      </c>
      <c r="BV262" s="16">
        <f>IFERROR(__xludf.DUMMYFUNCTION("""COMPUTED_VALUE"""),1.0)</f>
        <v>1</v>
      </c>
      <c r="BW262" s="16">
        <f>IFERROR(__xludf.DUMMYFUNCTION("""COMPUTED_VALUE"""),1.0)</f>
        <v>1</v>
      </c>
      <c r="BX262" s="16">
        <f>IFERROR(__xludf.DUMMYFUNCTION("""COMPUTED_VALUE"""),2.0)</f>
        <v>2</v>
      </c>
      <c r="BY262" s="16">
        <f>IFERROR(__xludf.DUMMYFUNCTION("""COMPUTED_VALUE"""),3.0)</f>
        <v>3</v>
      </c>
      <c r="BZ262" s="16" t="str">
        <f>IFERROR(__xludf.DUMMYFUNCTION("""COMPUTED_VALUE"""),"D")</f>
        <v>D</v>
      </c>
      <c r="CA262" s="16" t="str">
        <f>IFERROR(__xludf.DUMMYFUNCTION("""COMPUTED_VALUE"""),"D")</f>
        <v>D</v>
      </c>
      <c r="CB262" s="16">
        <f>IFERROR(__xludf.DUMMYFUNCTION("""COMPUTED_VALUE"""),0.0)</f>
        <v>0</v>
      </c>
      <c r="CC262" s="16">
        <f>IFERROR(__xludf.DUMMYFUNCTION("""COMPUTED_VALUE"""),0.0)</f>
        <v>0</v>
      </c>
      <c r="CD262" s="16">
        <f>IFERROR(__xludf.DUMMYFUNCTION("""COMPUTED_VALUE"""),0.0)</f>
        <v>0</v>
      </c>
      <c r="CE262" s="16">
        <f>IFERROR(__xludf.DUMMYFUNCTION("""COMPUTED_VALUE"""),0.0)</f>
        <v>0</v>
      </c>
      <c r="CF262" s="16">
        <f>IFERROR(__xludf.DUMMYFUNCTION("""COMPUTED_VALUE"""),1.0)</f>
        <v>1</v>
      </c>
      <c r="CG262" s="16">
        <f>IFERROR(__xludf.DUMMYFUNCTION("""COMPUTED_VALUE"""),-14.0)</f>
        <v>-14</v>
      </c>
      <c r="CH262" s="16">
        <f>IFERROR(__xludf.DUMMYFUNCTION("""COMPUTED_VALUE"""),-12.0)</f>
        <v>-12</v>
      </c>
      <c r="CI262" s="179">
        <f>IFERROR(__xludf.DUMMYFUNCTION("""COMPUTED_VALUE"""),-6.0)</f>
        <v>-6</v>
      </c>
      <c r="CJ262" s="16"/>
      <c r="CK262" s="16">
        <f>IFERROR(__xludf.DUMMYFUNCTION("""COMPUTED_VALUE"""),310.0)</f>
        <v>310</v>
      </c>
      <c r="CL262" s="16">
        <f>IFERROR(__xludf.DUMMYFUNCTION("""COMPUTED_VALUE"""),204.0)</f>
        <v>204</v>
      </c>
      <c r="CM262" s="16">
        <f>IFERROR(__xludf.DUMMYFUNCTION("""COMPUTED_VALUE"""),205.0)</f>
        <v>205</v>
      </c>
      <c r="CN262" s="16">
        <f>IFERROR(__xludf.DUMMYFUNCTION("""COMPUTED_VALUE"""),319.0)</f>
        <v>319</v>
      </c>
      <c r="CO262" s="16"/>
      <c r="CP262" s="16"/>
      <c r="CQ262" s="16">
        <f>IFERROR(__xludf.DUMMYFUNCTION("""COMPUTED_VALUE"""),416.0)</f>
        <v>416</v>
      </c>
      <c r="CR262" s="16" t="str">
        <f>IFERROR(__xludf.DUMMYFUNCTION("""COMPUTED_VALUE"""),"3b-2e5 2b-2e4 ss-3e19 1b-3e10 rf-4(+1)e16")</f>
        <v>3b-2e5 2b-2e4 ss-3e19 1b-3e10 rf-4(+1)e16</v>
      </c>
      <c r="CS262" s="16"/>
      <c r="CT262" s="16">
        <f>IFERROR(__xludf.DUMMYFUNCTION("""COMPUTED_VALUE"""),3.0)</f>
        <v>3</v>
      </c>
      <c r="CU262" s="16">
        <f>IFERROR(__xludf.DUMMYFUNCTION("""COMPUTED_VALUE"""),2.0)</f>
        <v>2</v>
      </c>
      <c r="CV262" s="16">
        <f>IFERROR(__xludf.DUMMYFUNCTION("""COMPUTED_VALUE"""),2.0)</f>
        <v>2</v>
      </c>
      <c r="CW262" s="16">
        <f>IFERROR(__xludf.DUMMYFUNCTION("""COMPUTED_VALUE"""),3.0)</f>
        <v>3</v>
      </c>
      <c r="CX262" s="16"/>
      <c r="CY262" s="16"/>
      <c r="CZ262" s="16">
        <f>IFERROR(__xludf.DUMMYFUNCTION("""COMPUTED_VALUE"""),4.0)</f>
        <v>4</v>
      </c>
      <c r="DA262" s="16"/>
      <c r="DB262" s="16">
        <f>IFERROR(__xludf.DUMMYFUNCTION("""COMPUTED_VALUE"""),10.0)</f>
        <v>10</v>
      </c>
      <c r="DC262" s="16">
        <f>IFERROR(__xludf.DUMMYFUNCTION("""COMPUTED_VALUE"""),4.0)</f>
        <v>4</v>
      </c>
      <c r="DD262" s="16">
        <f>IFERROR(__xludf.DUMMYFUNCTION("""COMPUTED_VALUE"""),5.0)</f>
        <v>5</v>
      </c>
      <c r="DE262" s="16">
        <f>IFERROR(__xludf.DUMMYFUNCTION("""COMPUTED_VALUE"""),19.0)</f>
        <v>19</v>
      </c>
      <c r="DF262" s="16"/>
      <c r="DG262" s="16"/>
      <c r="DH262" s="16">
        <f>IFERROR(__xludf.DUMMYFUNCTION("""COMPUTED_VALUE"""),16.0)</f>
        <v>16</v>
      </c>
      <c r="DI262" s="16"/>
      <c r="DJ262" s="16">
        <f>IFERROR(__xludf.DUMMYFUNCTION("""COMPUTED_VALUE"""),1.0)</f>
        <v>1</v>
      </c>
      <c r="DK262" s="16">
        <f>IFERROR(__xludf.DUMMYFUNCTION("""COMPUTED_VALUE"""),2.0)</f>
        <v>2</v>
      </c>
      <c r="DL262" s="16">
        <f>IFERROR(__xludf.DUMMYFUNCTION("""COMPUTED_VALUE"""),3.0)</f>
        <v>3</v>
      </c>
      <c r="DM262" s="16">
        <f>IFERROR(__xludf.DUMMYFUNCTION("""COMPUTED_VALUE"""),0.0)</f>
        <v>0</v>
      </c>
      <c r="DN262" s="16"/>
      <c r="DO262" s="16"/>
      <c r="DP262" s="16">
        <f>IFERROR(__xludf.DUMMYFUNCTION("""COMPUTED_VALUE"""),-1.0)</f>
        <v>-1</v>
      </c>
      <c r="DQ262" s="16"/>
      <c r="DR262" s="16">
        <f>IFERROR(__xludf.DUMMYFUNCTION("""COMPUTED_VALUE"""),2.0)</f>
        <v>2</v>
      </c>
      <c r="DS262" s="16">
        <f>IFERROR(__xludf.DUMMYFUNCTION("""COMPUTED_VALUE"""),4.0)</f>
        <v>4</v>
      </c>
      <c r="DT262" s="16">
        <f>IFERROR(__xludf.DUMMYFUNCTION("""COMPUTED_VALUE"""),2.0)</f>
        <v>2</v>
      </c>
      <c r="DU262" s="16">
        <f>IFERROR(__xludf.DUMMYFUNCTION("""COMPUTED_VALUE"""),2.0)</f>
        <v>2</v>
      </c>
      <c r="DV262" s="16"/>
      <c r="DW262" s="16"/>
      <c r="DX262" s="16">
        <f>IFERROR(__xludf.DUMMYFUNCTION("""COMPUTED_VALUE"""),-2.0)</f>
        <v>-2</v>
      </c>
      <c r="DY262" s="16"/>
      <c r="DZ262" s="16">
        <f>IFERROR(__xludf.DUMMYFUNCTION("""COMPUTED_VALUE"""),3.0)</f>
        <v>3</v>
      </c>
      <c r="EA262" s="16">
        <f>IFERROR(__xludf.DUMMYFUNCTION("""COMPUTED_VALUE"""),6.0)</f>
        <v>6</v>
      </c>
      <c r="EB262" s="16">
        <f>IFERROR(__xludf.DUMMYFUNCTION("""COMPUTED_VALUE"""),5.0)</f>
        <v>5</v>
      </c>
      <c r="EC262" s="16">
        <f>IFERROR(__xludf.DUMMYFUNCTION("""COMPUTED_VALUE"""),2.0)</f>
        <v>2</v>
      </c>
      <c r="ED262" s="16"/>
      <c r="EE262" s="16"/>
      <c r="EF262" s="16">
        <f>IFERROR(__xludf.DUMMYFUNCTION("""COMPUTED_VALUE"""),-3.0)</f>
        <v>-3</v>
      </c>
      <c r="EG262" s="179"/>
      <c r="EH262" s="179">
        <f>IFERROR(__xludf.DUMMYFUNCTION("""COMPUTED_VALUE"""),-3.0)</f>
        <v>-3</v>
      </c>
      <c r="EI262" s="179">
        <f>IFERROR(__xludf.DUMMYFUNCTION("""COMPUTED_VALUE"""),0.0)</f>
        <v>0</v>
      </c>
      <c r="EJ262" s="179">
        <f>IFERROR(__xludf.DUMMYFUNCTION("""COMPUTED_VALUE"""),-1.0)</f>
        <v>-1</v>
      </c>
      <c r="EK262" s="179">
        <f>IFERROR(__xludf.DUMMYFUNCTION("""COMPUTED_VALUE"""),-4.0)</f>
        <v>-4</v>
      </c>
      <c r="EL262" s="179"/>
      <c r="EM262" s="179"/>
      <c r="EN262" s="179">
        <f>IFERROR(__xludf.DUMMYFUNCTION("""COMPUTED_VALUE"""),-9.0)</f>
        <v>-9</v>
      </c>
      <c r="EO262" s="16"/>
      <c r="EP262" s="16"/>
      <c r="EQ262" s="16">
        <f>IFERROR(__xludf.DUMMYFUNCTION("""COMPUTED_VALUE"""),4.0)</f>
        <v>4</v>
      </c>
      <c r="ER262" s="16">
        <f>IFERROR(__xludf.DUMMYFUNCTION("""COMPUTED_VALUE"""),1.0)</f>
        <v>1</v>
      </c>
      <c r="ES262" s="16"/>
      <c r="ET262" s="16"/>
      <c r="EU262" s="16"/>
      <c r="EV262" s="16"/>
      <c r="EW262" s="16"/>
      <c r="EX262" s="180"/>
      <c r="EY262" s="180">
        <f>IFERROR(__xludf.DUMMYFUNCTION("""COMPUTED_VALUE"""),0.2)</f>
        <v>0.2</v>
      </c>
      <c r="EZ262" s="180">
        <f>IFERROR(__xludf.DUMMYFUNCTION("""COMPUTED_VALUE"""),0.1)</f>
        <v>0.1</v>
      </c>
      <c r="FA262" s="180">
        <f>IFERROR(__xludf.DUMMYFUNCTION("""COMPUTED_VALUE"""),0.1)</f>
        <v>0.1</v>
      </c>
      <c r="FB262" s="180">
        <f>IFERROR(__xludf.DUMMYFUNCTION("""COMPUTED_VALUE"""),0.2)</f>
        <v>0.2</v>
      </c>
      <c r="FC262" s="180"/>
      <c r="FD262" s="180"/>
      <c r="FE262" s="180">
        <f>IFERROR(__xludf.DUMMYFUNCTION("""COMPUTED_VALUE"""),0.55)</f>
        <v>0.55</v>
      </c>
      <c r="FF262" s="180"/>
      <c r="FG262" s="180">
        <f>IFERROR(__xludf.DUMMYFUNCTION("""COMPUTED_VALUE"""),0.18055555555555555)</f>
        <v>0.1805555556</v>
      </c>
      <c r="FH262" s="180">
        <f>IFERROR(__xludf.DUMMYFUNCTION("""COMPUTED_VALUE"""),0.023148148148148147)</f>
        <v>0.02314814815</v>
      </c>
      <c r="FI262" s="180">
        <f>IFERROR(__xludf.DUMMYFUNCTION("""COMPUTED_VALUE"""),0.06018518518518518)</f>
        <v>0.06018518519</v>
      </c>
      <c r="FJ262" s="180">
        <f>IFERROR(__xludf.DUMMYFUNCTION("""COMPUTED_VALUE"""),0.09722222222222222)</f>
        <v>0.09722222222</v>
      </c>
      <c r="FK262" s="180"/>
      <c r="FL262" s="180"/>
      <c r="FM262" s="180">
        <f>IFERROR(__xludf.DUMMYFUNCTION("""COMPUTED_VALUE"""),0.287)</f>
        <v>0.287</v>
      </c>
      <c r="FN262" s="16"/>
      <c r="FO262" s="16">
        <f>IFERROR(__xludf.DUMMYFUNCTION("""COMPUTED_VALUE"""),0.6555555555555556)</f>
        <v>0.6555555556</v>
      </c>
      <c r="FP262" s="16">
        <f>IFERROR(__xludf.DUMMYFUNCTION("""COMPUTED_VALUE"""),0.8791666666666667)</f>
        <v>0.8791666667</v>
      </c>
      <c r="FQ262" s="16">
        <f>IFERROR(__xludf.DUMMYFUNCTION("""COMPUTED_VALUE"""),0.8458333333333333)</f>
        <v>0.8458333333</v>
      </c>
      <c r="FR262" s="16">
        <f>IFERROR(__xludf.DUMMYFUNCTION("""COMPUTED_VALUE"""),0.7222222222222223)</f>
        <v>0.7222222222</v>
      </c>
      <c r="FS262" s="16"/>
      <c r="FT262" s="16"/>
      <c r="FU262" s="16">
        <f>IFERROR(__xludf.DUMMYFUNCTION("""COMPUTED_VALUE"""),0.32085)</f>
        <v>0.32085</v>
      </c>
      <c r="FV262" s="16"/>
      <c r="FW262" s="16">
        <f>IFERROR(__xludf.DUMMYFUNCTION("""COMPUTED_VALUE"""),-4.0)</f>
        <v>-4</v>
      </c>
      <c r="FX262" s="16">
        <f>IFERROR(__xludf.DUMMYFUNCTION("""COMPUTED_VALUE"""),4.0)</f>
        <v>4</v>
      </c>
      <c r="FY262" s="16">
        <f>IFERROR(__xludf.DUMMYFUNCTION("""COMPUTED_VALUE"""),1.0)</f>
        <v>1</v>
      </c>
      <c r="FZ262" s="16">
        <f>IFERROR(__xludf.DUMMYFUNCTION("""COMPUTED_VALUE"""),-4.0)</f>
        <v>-4</v>
      </c>
      <c r="GA262" s="16"/>
      <c r="GB262" s="16"/>
      <c r="GC262" s="16">
        <f>IFERROR(__xludf.DUMMYFUNCTION("""COMPUTED_VALUE"""),-8.0)</f>
        <v>-8</v>
      </c>
      <c r="GD262" s="16" t="s">
        <v>176</v>
      </c>
    </row>
    <row r="263">
      <c r="A263" s="16">
        <f>IFERROR(__xludf.DUMMYFUNCTION("""COMPUTED_VALUE"""),13283.0)</f>
        <v>13283</v>
      </c>
      <c r="B263" s="16" t="str">
        <f>IFERROR(__xludf.DUMMYFUNCTION("""COMPUTED_VALUE"""),"Pedro Pages")</f>
        <v>Pedro Pages</v>
      </c>
      <c r="C263" s="16">
        <f>IFERROR(__xludf.DUMMYFUNCTION("""COMPUTED_VALUE"""),0.64)</f>
        <v>0.64</v>
      </c>
      <c r="D263" s="16" t="str">
        <f>IFERROR(__xludf.DUMMYFUNCTION("""COMPUTED_VALUE"""),"R")</f>
        <v>R</v>
      </c>
      <c r="E263" s="16"/>
      <c r="F263" s="16"/>
      <c r="G263" s="16">
        <f>IFERROR(__xludf.DUMMYFUNCTION("""COMPUTED_VALUE"""),202.0)</f>
        <v>202</v>
      </c>
      <c r="H263" s="16">
        <f>IFERROR(__xludf.DUMMYFUNCTION("""COMPUTED_VALUE"""),13.0)</f>
        <v>13</v>
      </c>
      <c r="I263" s="16" t="str">
        <f>IFERROR(__xludf.DUMMYFUNCTION("""COMPUTED_VALUE"""),"2p30")</f>
        <v>2p30</v>
      </c>
      <c r="J263" s="16">
        <f>IFERROR(__xludf.DUMMYFUNCTION("""COMPUTED_VALUE"""),32.0)</f>
        <v>32</v>
      </c>
      <c r="K263" s="16">
        <f>IFERROR(__xludf.DUMMYFUNCTION("""COMPUTED_VALUE"""),34.0)</f>
        <v>34</v>
      </c>
      <c r="L263" s="16">
        <f>IFERROR(__xludf.DUMMYFUNCTION("""COMPUTED_VALUE"""),-1.0)</f>
        <v>-1</v>
      </c>
      <c r="M263" s="16">
        <f>IFERROR(__xludf.DUMMYFUNCTION("""COMPUTED_VALUE"""),-1.0)</f>
        <v>-1</v>
      </c>
      <c r="N263" s="16">
        <f>IFERROR(__xludf.DUMMYFUNCTION("""COMPUTED_VALUE"""),-1.0)</f>
        <v>-1</v>
      </c>
      <c r="O263" s="16">
        <f>IFERROR(__xludf.DUMMYFUNCTION("""COMPUTED_VALUE"""),-1.0)</f>
        <v>-1</v>
      </c>
      <c r="P263" s="16">
        <f>IFERROR(__xludf.DUMMYFUNCTION("""COMPUTED_VALUE"""),0.0)</f>
        <v>0</v>
      </c>
      <c r="Q263" s="16">
        <f>IFERROR(__xludf.DUMMYFUNCTION("""COMPUTED_VALUE"""),8.0)</f>
        <v>8</v>
      </c>
      <c r="R263" s="16">
        <f>IFERROR(__xludf.DUMMYFUNCTION("""COMPUTED_VALUE"""),-3.0)</f>
        <v>-3</v>
      </c>
      <c r="S263" s="16">
        <f>IFERROR(__xludf.DUMMYFUNCTION("""COMPUTED_VALUE"""),0.0)</f>
        <v>0</v>
      </c>
      <c r="T263" s="16">
        <f>IFERROR(__xludf.DUMMYFUNCTION("""COMPUTED_VALUE"""),-3.0)</f>
        <v>-3</v>
      </c>
      <c r="U263" s="16">
        <f>IFERROR(__xludf.DUMMYFUNCTION("""COMPUTED_VALUE"""),0.0)</f>
        <v>0</v>
      </c>
      <c r="V263" s="16">
        <f>IFERROR(__xludf.DUMMYFUNCTION("""COMPUTED_VALUE"""),24.9)</f>
        <v>24.9</v>
      </c>
      <c r="W263" s="16">
        <f>IFERROR(__xludf.DUMMYFUNCTION("""COMPUTED_VALUE"""),15.3)</f>
        <v>15.3</v>
      </c>
      <c r="X263" s="16">
        <f>IFERROR(__xludf.DUMMYFUNCTION("""COMPUTED_VALUE"""),1.0)</f>
        <v>1</v>
      </c>
      <c r="Y263" s="16">
        <f>IFERROR(__xludf.DUMMYFUNCTION("""COMPUTED_VALUE"""),-1.0)</f>
        <v>-1</v>
      </c>
      <c r="Z263" s="16">
        <f>IFERROR(__xludf.DUMMYFUNCTION("""COMPUTED_VALUE"""),2.0)</f>
        <v>2</v>
      </c>
      <c r="AA263" s="16">
        <f>IFERROR(__xludf.DUMMYFUNCTION("""COMPUTED_VALUE"""),-2.0)</f>
        <v>-2</v>
      </c>
      <c r="AB263" s="16">
        <f>IFERROR(__xludf.DUMMYFUNCTION("""COMPUTED_VALUE"""),24.9)</f>
        <v>24.9</v>
      </c>
      <c r="AC263" s="16">
        <f>IFERROR(__xludf.DUMMYFUNCTION("""COMPUTED_VALUE"""),23.3)</f>
        <v>23.3</v>
      </c>
      <c r="AD263" s="16">
        <f>IFERROR(__xludf.DUMMYFUNCTION("""COMPUTED_VALUE"""),-1.0)</f>
        <v>-1</v>
      </c>
      <c r="AE263" s="16">
        <f>IFERROR(__xludf.DUMMYFUNCTION("""COMPUTED_VALUE"""),-1.0)</f>
        <v>-1</v>
      </c>
      <c r="AF263" s="16">
        <f>IFERROR(__xludf.DUMMYFUNCTION("""COMPUTED_VALUE"""),-5.0)</f>
        <v>-5</v>
      </c>
      <c r="AG263" s="16">
        <f>IFERROR(__xludf.DUMMYFUNCTION("""COMPUTED_VALUE"""),-5.0)</f>
        <v>-5</v>
      </c>
      <c r="AH263" s="16">
        <f>IFERROR(__xludf.DUMMYFUNCTION("""COMPUTED_VALUE"""),37.6)</f>
        <v>37.6</v>
      </c>
      <c r="AI263" s="16">
        <f>IFERROR(__xludf.DUMMYFUNCTION("""COMPUTED_VALUE"""),29.0)</f>
        <v>29</v>
      </c>
      <c r="AJ263" s="16">
        <f>IFERROR(__xludf.DUMMYFUNCTION("""COMPUTED_VALUE"""),0.0)</f>
        <v>0</v>
      </c>
      <c r="AK263" s="16">
        <f>IFERROR(__xludf.DUMMYFUNCTION("""COMPUTED_VALUE"""),0.0)</f>
        <v>0</v>
      </c>
      <c r="AL263" s="16">
        <f>IFERROR(__xludf.DUMMYFUNCTION("""COMPUTED_VALUE"""),0.0)</f>
        <v>0</v>
      </c>
      <c r="AM263" s="16">
        <f>IFERROR(__xludf.DUMMYFUNCTION("""COMPUTED_VALUE"""),0.0)</f>
        <v>0</v>
      </c>
      <c r="AN263" s="16">
        <f>IFERROR(__xludf.DUMMYFUNCTION("""COMPUTED_VALUE"""),2.8)</f>
        <v>2.8</v>
      </c>
      <c r="AO263" s="16">
        <f>IFERROR(__xludf.DUMMYFUNCTION("""COMPUTED_VALUE"""),3.8)</f>
        <v>3.8</v>
      </c>
      <c r="AP263" s="16">
        <f>IFERROR(__xludf.DUMMYFUNCTION("""COMPUTED_VALUE"""),1.0)</f>
        <v>1</v>
      </c>
      <c r="AQ263" s="16">
        <f>IFERROR(__xludf.DUMMYFUNCTION("""COMPUTED_VALUE"""),2.0)</f>
        <v>2</v>
      </c>
      <c r="AR263" s="16">
        <f>IFERROR(__xludf.DUMMYFUNCTION("""COMPUTED_VALUE"""),2.0)</f>
        <v>2</v>
      </c>
      <c r="AS263" s="16">
        <f>IFERROR(__xludf.DUMMYFUNCTION("""COMPUTED_VALUE"""),4.0)</f>
        <v>4</v>
      </c>
      <c r="AT263" s="16"/>
      <c r="AU263" s="16">
        <f>IFERROR(__xludf.DUMMYFUNCTION("""COMPUTED_VALUE"""),6.0)</f>
        <v>6</v>
      </c>
      <c r="AV263" s="16">
        <f>IFERROR(__xludf.DUMMYFUNCTION("""COMPUTED_VALUE"""),-3.0)</f>
        <v>-3</v>
      </c>
      <c r="AW263" s="16">
        <f>IFERROR(__xludf.DUMMYFUNCTION("""COMPUTED_VALUE"""),6.0)</f>
        <v>6</v>
      </c>
      <c r="AX263" s="16">
        <f>IFERROR(__xludf.DUMMYFUNCTION("""COMPUTED_VALUE"""),-3.0)</f>
        <v>-3</v>
      </c>
      <c r="AY263" s="16">
        <f>IFERROR(__xludf.DUMMYFUNCTION("""COMPUTED_VALUE"""),2.0)</f>
        <v>2</v>
      </c>
      <c r="AZ263" s="16">
        <f>IFERROR(__xludf.DUMMYFUNCTION("""COMPUTED_VALUE"""),-9.0)</f>
        <v>-9</v>
      </c>
      <c r="BA263" s="16">
        <f>IFERROR(__xludf.DUMMYFUNCTION("""COMPUTED_VALUE"""),6.0)</f>
        <v>6</v>
      </c>
      <c r="BB263" s="16">
        <f>IFERROR(__xludf.DUMMYFUNCTION("""COMPUTED_VALUE"""),5.0)</f>
        <v>5</v>
      </c>
      <c r="BC263" s="16">
        <f>IFERROR(__xludf.DUMMYFUNCTION("""COMPUTED_VALUE"""),5.0)</f>
        <v>5</v>
      </c>
      <c r="BD263" s="16">
        <f>IFERROR(__xludf.DUMMYFUNCTION("""COMPUTED_VALUE"""),1.0)</f>
        <v>1</v>
      </c>
      <c r="BE263" s="16">
        <f>IFERROR(__xludf.DUMMYFUNCTION("""COMPUTED_VALUE"""),1.0)</f>
        <v>1</v>
      </c>
      <c r="BF263" s="16">
        <f>IFERROR(__xludf.DUMMYFUNCTION("""COMPUTED_VALUE"""),1.0)</f>
        <v>1</v>
      </c>
      <c r="BG263" s="16">
        <f>IFERROR(__xludf.DUMMYFUNCTION("""COMPUTED_VALUE"""),1.0)</f>
        <v>1</v>
      </c>
      <c r="BH263" s="16">
        <f>IFERROR(__xludf.DUMMYFUNCTION("""COMPUTED_VALUE"""),0.0)</f>
        <v>0</v>
      </c>
      <c r="BI263" s="16">
        <f>IFERROR(__xludf.DUMMYFUNCTION("""COMPUTED_VALUE"""),0.0)</f>
        <v>0</v>
      </c>
      <c r="BJ263" s="16">
        <f>IFERROR(__xludf.DUMMYFUNCTION("""COMPUTED_VALUE"""),25.0)</f>
        <v>25</v>
      </c>
      <c r="BK263" s="16">
        <f>IFERROR(__xludf.DUMMYFUNCTION("""COMPUTED_VALUE"""),27.0)</f>
        <v>27</v>
      </c>
      <c r="BL263" s="16">
        <f>IFERROR(__xludf.DUMMYFUNCTION("""COMPUTED_VALUE"""),-2.0)</f>
        <v>-2</v>
      </c>
      <c r="BM263" s="16">
        <f>IFERROR(__xludf.DUMMYFUNCTION("""COMPUTED_VALUE"""),-2.0)</f>
        <v>-2</v>
      </c>
      <c r="BN263" s="16">
        <f>IFERROR(__xludf.DUMMYFUNCTION("""COMPUTED_VALUE"""),-4.0)</f>
        <v>-4</v>
      </c>
      <c r="BO263" s="16">
        <f>IFERROR(__xludf.DUMMYFUNCTION("""COMPUTED_VALUE"""),-4.0)</f>
        <v>-4</v>
      </c>
      <c r="BP263" s="16">
        <f>IFERROR(__xludf.DUMMYFUNCTION("""COMPUTED_VALUE"""),-7.0)</f>
        <v>-7</v>
      </c>
      <c r="BQ263" s="16">
        <f>IFERROR(__xludf.DUMMYFUNCTION("""COMPUTED_VALUE"""),0.0)</f>
        <v>0</v>
      </c>
      <c r="BR263" s="16">
        <f>IFERROR(__xludf.DUMMYFUNCTION("""COMPUTED_VALUE"""),-7.0)</f>
        <v>-7</v>
      </c>
      <c r="BS263" s="16" t="str">
        <f>IFERROR(__xludf.DUMMYFUNCTION("""COMPUTED_VALUE"""),"3/- (20-6)")</f>
        <v>3/- (20-6)</v>
      </c>
      <c r="BT263" s="16" t="str">
        <f>IFERROR(__xludf.DUMMYFUNCTION("""COMPUTED_VALUE"""),"D")</f>
        <v>D</v>
      </c>
      <c r="BU263" s="16">
        <f>IFERROR(__xludf.DUMMYFUNCTION("""COMPUTED_VALUE"""),9.0)</f>
        <v>9</v>
      </c>
      <c r="BV263" s="16">
        <f>IFERROR(__xludf.DUMMYFUNCTION("""COMPUTED_VALUE"""),0.0)</f>
        <v>0</v>
      </c>
      <c r="BW263" s="16">
        <f>IFERROR(__xludf.DUMMYFUNCTION("""COMPUTED_VALUE"""),-1.0)</f>
        <v>-1</v>
      </c>
      <c r="BX263" s="16">
        <f>IFERROR(__xludf.DUMMYFUNCTION("""COMPUTED_VALUE"""),0.0)</f>
        <v>0</v>
      </c>
      <c r="BY263" s="16">
        <f>IFERROR(__xludf.DUMMYFUNCTION("""COMPUTED_VALUE"""),-3.0)</f>
        <v>-3</v>
      </c>
      <c r="BZ263" s="16" t="str">
        <f>IFERROR(__xludf.DUMMYFUNCTION("""COMPUTED_VALUE"""),"D")</f>
        <v>D</v>
      </c>
      <c r="CA263" s="16" t="str">
        <f>IFERROR(__xludf.DUMMYFUNCTION("""COMPUTED_VALUE"""),"D")</f>
        <v>D</v>
      </c>
      <c r="CB263" s="16">
        <f>IFERROR(__xludf.DUMMYFUNCTION("""COMPUTED_VALUE"""),0.0)</f>
        <v>0</v>
      </c>
      <c r="CC263" s="16">
        <f>IFERROR(__xludf.DUMMYFUNCTION("""COMPUTED_VALUE"""),0.0)</f>
        <v>0</v>
      </c>
      <c r="CD263" s="16">
        <f>IFERROR(__xludf.DUMMYFUNCTION("""COMPUTED_VALUE"""),0.0)</f>
        <v>0</v>
      </c>
      <c r="CE263" s="16">
        <f>IFERROR(__xludf.DUMMYFUNCTION("""COMPUTED_VALUE"""),0.0)</f>
        <v>0</v>
      </c>
      <c r="CF263" s="16">
        <f>IFERROR(__xludf.DUMMYFUNCTION("""COMPUTED_VALUE"""),2.0)</f>
        <v>2</v>
      </c>
      <c r="CG263" s="16">
        <f>IFERROR(__xludf.DUMMYFUNCTION("""COMPUTED_VALUE"""),-17.0)</f>
        <v>-17</v>
      </c>
      <c r="CH263" s="16">
        <f>IFERROR(__xludf.DUMMYFUNCTION("""COMPUTED_VALUE"""),-1.0)</f>
        <v>-1</v>
      </c>
      <c r="CI263" s="179">
        <f>IFERROR(__xludf.DUMMYFUNCTION("""COMPUTED_VALUE"""),-6.0)</f>
        <v>-6</v>
      </c>
      <c r="CJ263" s="16">
        <f>IFERROR(__xludf.DUMMYFUNCTION("""COMPUTED_VALUE"""),302.0)</f>
        <v>302</v>
      </c>
      <c r="CK263" s="16">
        <f>IFERROR(__xludf.DUMMYFUNCTION("""COMPUTED_VALUE"""),525.0)</f>
        <v>525</v>
      </c>
      <c r="CL263" s="16"/>
      <c r="CM263" s="16"/>
      <c r="CN263" s="16"/>
      <c r="CO263" s="16"/>
      <c r="CP263" s="16"/>
      <c r="CQ263" s="16"/>
      <c r="CR263" s="16" t="str">
        <f>IFERROR(__xludf.DUMMYFUNCTION("""COMPUTED_VALUE"""),"c-3(0)e2,T-4(pb-1) 1b-5e25")</f>
        <v>c-3(0)e2,T-4(pb-1) 1b-5e25</v>
      </c>
      <c r="CS263" s="16">
        <f>IFERROR(__xludf.DUMMYFUNCTION("""COMPUTED_VALUE"""),3.0)</f>
        <v>3</v>
      </c>
      <c r="CT263" s="16">
        <f>IFERROR(__xludf.DUMMYFUNCTION("""COMPUTED_VALUE"""),5.0)</f>
        <v>5</v>
      </c>
      <c r="CU263" s="16"/>
      <c r="CV263" s="16"/>
      <c r="CW263" s="16"/>
      <c r="CX263" s="16"/>
      <c r="CY263" s="16"/>
      <c r="CZ263" s="16"/>
      <c r="DA263" s="16">
        <f>IFERROR(__xludf.DUMMYFUNCTION("""COMPUTED_VALUE"""),2.0)</f>
        <v>2</v>
      </c>
      <c r="DB263" s="16">
        <f>IFERROR(__xludf.DUMMYFUNCTION("""COMPUTED_VALUE"""),25.0)</f>
        <v>25</v>
      </c>
      <c r="DC263" s="16"/>
      <c r="DD263" s="16"/>
      <c r="DE263" s="16"/>
      <c r="DF263" s="16"/>
      <c r="DG263" s="16"/>
      <c r="DH263" s="16"/>
      <c r="DI263" s="16">
        <f>IFERROR(__xludf.DUMMYFUNCTION("""COMPUTED_VALUE"""),0.0)</f>
        <v>0</v>
      </c>
      <c r="DJ263" s="16">
        <f>IFERROR(__xludf.DUMMYFUNCTION("""COMPUTED_VALUE"""),-2.0)</f>
        <v>-2</v>
      </c>
      <c r="DK263" s="16"/>
      <c r="DL263" s="16"/>
      <c r="DM263" s="16"/>
      <c r="DN263" s="16"/>
      <c r="DO263" s="16"/>
      <c r="DP263" s="16"/>
      <c r="DQ263" s="16">
        <f>IFERROR(__xludf.DUMMYFUNCTION("""COMPUTED_VALUE"""),4.0)</f>
        <v>4</v>
      </c>
      <c r="DR263" s="16">
        <f>IFERROR(__xludf.DUMMYFUNCTION("""COMPUTED_VALUE"""),-2.0)</f>
        <v>-2</v>
      </c>
      <c r="DS263" s="16"/>
      <c r="DT263" s="16"/>
      <c r="DU263" s="16"/>
      <c r="DV263" s="16"/>
      <c r="DW263" s="16"/>
      <c r="DX263" s="16"/>
      <c r="DY263" s="16">
        <f>IFERROR(__xludf.DUMMYFUNCTION("""COMPUTED_VALUE"""),4.0)</f>
        <v>4</v>
      </c>
      <c r="DZ263" s="16">
        <f>IFERROR(__xludf.DUMMYFUNCTION("""COMPUTED_VALUE"""),-4.0)</f>
        <v>-4</v>
      </c>
      <c r="EA263" s="16"/>
      <c r="EB263" s="16"/>
      <c r="EC263" s="16"/>
      <c r="ED263" s="16"/>
      <c r="EE263" s="16"/>
      <c r="EF263" s="16"/>
      <c r="EG263" s="179">
        <f>IFERROR(__xludf.DUMMYFUNCTION("""COMPUTED_VALUE"""),-2.0)</f>
        <v>-2</v>
      </c>
      <c r="EH263" s="179">
        <f>IFERROR(__xludf.DUMMYFUNCTION("""COMPUTED_VALUE"""),-10.0)</f>
        <v>-10</v>
      </c>
      <c r="EI263" s="179"/>
      <c r="EJ263" s="179"/>
      <c r="EK263" s="179"/>
      <c r="EL263" s="179"/>
      <c r="EM263" s="179"/>
      <c r="EN263" s="179"/>
      <c r="EO263" s="16">
        <f>IFERROR(__xludf.DUMMYFUNCTION("""COMPUTED_VALUE"""),0.0)</f>
        <v>0</v>
      </c>
      <c r="EP263" s="16">
        <f>IFERROR(__xludf.DUMMYFUNCTION("""COMPUTED_VALUE"""),0.0)</f>
        <v>0</v>
      </c>
      <c r="EQ263" s="16">
        <f>IFERROR(__xludf.DUMMYFUNCTION("""COMPUTED_VALUE"""),2.0)</f>
        <v>2</v>
      </c>
      <c r="ER263" s="16">
        <f>IFERROR(__xludf.DUMMYFUNCTION("""COMPUTED_VALUE"""),-2.0)</f>
        <v>-2</v>
      </c>
      <c r="ES263" s="16" t="str">
        <f>IFERROR(__xludf.DUMMYFUNCTION("""COMPUTED_VALUE"""),"c-3")</f>
        <v>c-3</v>
      </c>
      <c r="ET263" s="16" t="str">
        <f>IFERROR(__xludf.DUMMYFUNCTION("""COMPUTED_VALUE"""),"0)e2,T-4")</f>
        <v>0)e2,T-4</v>
      </c>
      <c r="EU263" s="16" t="str">
        <f>IFERROR(__xludf.DUMMYFUNCTION("""COMPUTED_VALUE"""),"pb-1) 1b-5e25")</f>
        <v>pb-1) 1b-5e25</v>
      </c>
      <c r="EV263" s="16"/>
      <c r="EW263" s="16">
        <f>IFERROR(__xludf.DUMMYFUNCTION("""COMPUTED_VALUE"""),0.0)</f>
        <v>0</v>
      </c>
      <c r="EX263" s="180">
        <f>IFERROR(__xludf.DUMMYFUNCTION("""COMPUTED_VALUE"""),0.2)</f>
        <v>0.2</v>
      </c>
      <c r="EY263" s="180">
        <f>IFERROR(__xludf.DUMMYFUNCTION("""COMPUTED_VALUE"""),0.4)</f>
        <v>0.4</v>
      </c>
      <c r="EZ263" s="180"/>
      <c r="FA263" s="180"/>
      <c r="FB263" s="180"/>
      <c r="FC263" s="180"/>
      <c r="FD263" s="180"/>
      <c r="FE263" s="180"/>
      <c r="FF263" s="180">
        <f>IFERROR(__xludf.DUMMYFUNCTION("""COMPUTED_VALUE"""),0.024)</f>
        <v>0.024</v>
      </c>
      <c r="FG263" s="180">
        <f>IFERROR(__xludf.DUMMYFUNCTION("""COMPUTED_VALUE"""),0.44907407407407407)</f>
        <v>0.4490740741</v>
      </c>
      <c r="FH263" s="180"/>
      <c r="FI263" s="180"/>
      <c r="FJ263" s="180"/>
      <c r="FK263" s="180"/>
      <c r="FL263" s="180"/>
      <c r="FM263" s="180"/>
      <c r="FN263" s="16">
        <f>IFERROR(__xludf.DUMMYFUNCTION("""COMPUTED_VALUE"""),0.7808)</f>
        <v>0.7808</v>
      </c>
      <c r="FO263" s="16">
        <f>IFERROR(__xludf.DUMMYFUNCTION("""COMPUTED_VALUE"""),0.33055555555555555)</f>
        <v>0.3305555556</v>
      </c>
      <c r="FP263" s="16"/>
      <c r="FQ263" s="16"/>
      <c r="FR263" s="16"/>
      <c r="FS263" s="16"/>
      <c r="FT263" s="16"/>
      <c r="FU263" s="16"/>
      <c r="FV263" s="16">
        <f>IFERROR(__xludf.DUMMYFUNCTION("""COMPUTED_VALUE"""),-1.0)</f>
        <v>-1</v>
      </c>
      <c r="FW263" s="16">
        <f>IFERROR(__xludf.DUMMYFUNCTION("""COMPUTED_VALUE"""),-8.0)</f>
        <v>-8</v>
      </c>
      <c r="FX263" s="16"/>
      <c r="FY263" s="16"/>
      <c r="FZ263" s="16"/>
      <c r="GA263" s="16"/>
      <c r="GB263" s="16"/>
      <c r="GC263" s="16"/>
      <c r="GD263" s="16" t="s">
        <v>176</v>
      </c>
    </row>
    <row r="264">
      <c r="A264" s="16">
        <f>IFERROR(__xludf.DUMMYFUNCTION("""COMPUTED_VALUE"""),13219.0)</f>
        <v>13219</v>
      </c>
      <c r="B264" s="16" t="str">
        <f>IFERROR(__xludf.DUMMYFUNCTION("""COMPUTED_VALUE"""),"Mitch Haniger")</f>
        <v>Mitch Haniger</v>
      </c>
      <c r="C264" s="16">
        <f>IFERROR(__xludf.DUMMYFUNCTION("""COMPUTED_VALUE"""),0.0)</f>
        <v>0</v>
      </c>
      <c r="D264" s="16" t="str">
        <f>IFERROR(__xludf.DUMMYFUNCTION("""COMPUTED_VALUE"""),"R")</f>
        <v>R</v>
      </c>
      <c r="E264" s="16"/>
      <c r="F264" s="16"/>
      <c r="G264" s="16">
        <f>IFERROR(__xludf.DUMMYFUNCTION("""COMPUTED_VALUE"""),380.0)</f>
        <v>380</v>
      </c>
      <c r="H264" s="16">
        <f>IFERROR(__xludf.DUMMYFUNCTION("""COMPUTED_VALUE"""),40.0)</f>
        <v>40</v>
      </c>
      <c r="I264" s="16" t="str">
        <f>IFERROR(__xludf.DUMMYFUNCTION("""COMPUTED_VALUE"""),"1p60")</f>
        <v>1p60</v>
      </c>
      <c r="J264" s="16">
        <f>IFERROR(__xludf.DUMMYFUNCTION("""COMPUTED_VALUE"""),45.0)</f>
        <v>45</v>
      </c>
      <c r="K264" s="16">
        <f>IFERROR(__xludf.DUMMYFUNCTION("""COMPUTED_VALUE"""),36.0)</f>
        <v>36</v>
      </c>
      <c r="L264" s="16">
        <f>IFERROR(__xludf.DUMMYFUNCTION("""COMPUTED_VALUE"""),-2.0)</f>
        <v>-2</v>
      </c>
      <c r="M264" s="16">
        <f>IFERROR(__xludf.DUMMYFUNCTION("""COMPUTED_VALUE"""),-1.0)</f>
        <v>-1</v>
      </c>
      <c r="N264" s="16">
        <f>IFERROR(__xludf.DUMMYFUNCTION("""COMPUTED_VALUE"""),-2.0)</f>
        <v>-2</v>
      </c>
      <c r="O264" s="16">
        <f>IFERROR(__xludf.DUMMYFUNCTION("""COMPUTED_VALUE"""),-1.0)</f>
        <v>-1</v>
      </c>
      <c r="P264" s="16">
        <f>IFERROR(__xludf.DUMMYFUNCTION("""COMPUTED_VALUE"""),6.0)</f>
        <v>6</v>
      </c>
      <c r="Q264" s="16">
        <f>IFERROR(__xludf.DUMMYFUNCTION("""COMPUTED_VALUE"""),16.0)</f>
        <v>16</v>
      </c>
      <c r="R264" s="16">
        <f>IFERROR(__xludf.DUMMYFUNCTION("""COMPUTED_VALUE"""),-1.0)</f>
        <v>-1</v>
      </c>
      <c r="S264" s="16">
        <f>IFERROR(__xludf.DUMMYFUNCTION("""COMPUTED_VALUE"""),2.0)</f>
        <v>2</v>
      </c>
      <c r="T264" s="16">
        <f>IFERROR(__xludf.DUMMYFUNCTION("""COMPUTED_VALUE"""),-1.0)</f>
        <v>-1</v>
      </c>
      <c r="U264" s="16">
        <f>IFERROR(__xludf.DUMMYFUNCTION("""COMPUTED_VALUE"""),2.0)</f>
        <v>2</v>
      </c>
      <c r="V264" s="16">
        <f>IFERROR(__xludf.DUMMYFUNCTION("""COMPUTED_VALUE"""),9.1)</f>
        <v>9.1</v>
      </c>
      <c r="W264" s="16">
        <f>IFERROR(__xludf.DUMMYFUNCTION("""COMPUTED_VALUE"""),14.9)</f>
        <v>14.9</v>
      </c>
      <c r="X264" s="16">
        <f>IFERROR(__xludf.DUMMYFUNCTION("""COMPUTED_VALUE"""),-2.0)</f>
        <v>-2</v>
      </c>
      <c r="Y264" s="16">
        <f>IFERROR(__xludf.DUMMYFUNCTION("""COMPUTED_VALUE"""),-1.0)</f>
        <v>-1</v>
      </c>
      <c r="Z264" s="16">
        <f>IFERROR(__xludf.DUMMYFUNCTION("""COMPUTED_VALUE"""),-4.0)</f>
        <v>-4</v>
      </c>
      <c r="AA264" s="16">
        <f>IFERROR(__xludf.DUMMYFUNCTION("""COMPUTED_VALUE"""),-2.0)</f>
        <v>-2</v>
      </c>
      <c r="AB264" s="16">
        <f>IFERROR(__xludf.DUMMYFUNCTION("""COMPUTED_VALUE"""),16.1)</f>
        <v>16.1</v>
      </c>
      <c r="AC264" s="16">
        <f>IFERROR(__xludf.DUMMYFUNCTION("""COMPUTED_VALUE"""),31.9)</f>
        <v>31.9</v>
      </c>
      <c r="AD264" s="16">
        <f>IFERROR(__xludf.DUMMYFUNCTION("""COMPUTED_VALUE"""),-2.0)</f>
        <v>-2</v>
      </c>
      <c r="AE264" s="16">
        <f>IFERROR(__xludf.DUMMYFUNCTION("""COMPUTED_VALUE"""),0.0)</f>
        <v>0</v>
      </c>
      <c r="AF264" s="16">
        <f>IFERROR(__xludf.DUMMYFUNCTION("""COMPUTED_VALUE"""),-10.0)</f>
        <v>-10</v>
      </c>
      <c r="AG264" s="16">
        <f>IFERROR(__xludf.DUMMYFUNCTION("""COMPUTED_VALUE"""),0.0)</f>
        <v>0</v>
      </c>
      <c r="AH264" s="16">
        <f>IFERROR(__xludf.DUMMYFUNCTION("""COMPUTED_VALUE"""),12.1)</f>
        <v>12.1</v>
      </c>
      <c r="AI264" s="16">
        <f>IFERROR(__xludf.DUMMYFUNCTION("""COMPUTED_VALUE"""),25.1)</f>
        <v>25.1</v>
      </c>
      <c r="AJ264" s="16">
        <f>IFERROR(__xludf.DUMMYFUNCTION("""COMPUTED_VALUE"""),-2.0)</f>
        <v>-2</v>
      </c>
      <c r="AK264" s="16">
        <f>IFERROR(__xludf.DUMMYFUNCTION("""COMPUTED_VALUE"""),-1.0)</f>
        <v>-1</v>
      </c>
      <c r="AL264" s="16">
        <f>IFERROR(__xludf.DUMMYFUNCTION("""COMPUTED_VALUE"""),-10.0)</f>
        <v>-10</v>
      </c>
      <c r="AM264" s="16">
        <f>IFERROR(__xludf.DUMMYFUNCTION("""COMPUTED_VALUE"""),-5.0)</f>
        <v>-5</v>
      </c>
      <c r="AN264" s="16">
        <f>IFERROR(__xludf.DUMMYFUNCTION("""COMPUTED_VALUE"""),1.0)</f>
        <v>1</v>
      </c>
      <c r="AO264" s="16">
        <f>IFERROR(__xludf.DUMMYFUNCTION("""COMPUTED_VALUE"""),2.3)</f>
        <v>2.3</v>
      </c>
      <c r="AP264" s="16">
        <f>IFERROR(__xludf.DUMMYFUNCTION("""COMPUTED_VALUE"""),-2.0)</f>
        <v>-2</v>
      </c>
      <c r="AQ264" s="16">
        <f>IFERROR(__xludf.DUMMYFUNCTION("""COMPUTED_VALUE"""),0.0)</f>
        <v>0</v>
      </c>
      <c r="AR264" s="16">
        <f>IFERROR(__xludf.DUMMYFUNCTION("""COMPUTED_VALUE"""),-4.0)</f>
        <v>-4</v>
      </c>
      <c r="AS264" s="16">
        <f>IFERROR(__xludf.DUMMYFUNCTION("""COMPUTED_VALUE"""),0.0)</f>
        <v>0</v>
      </c>
      <c r="AT264" s="16">
        <f>IFERROR(__xludf.DUMMYFUNCTION("""COMPUTED_VALUE"""),0.0)</f>
        <v>0</v>
      </c>
      <c r="AU264" s="16">
        <f>IFERROR(__xludf.DUMMYFUNCTION("""COMPUTED_VALUE"""),4.0)</f>
        <v>4</v>
      </c>
      <c r="AV264" s="16">
        <f>IFERROR(__xludf.DUMMYFUNCTION("""COMPUTED_VALUE"""),0.0)</f>
        <v>0</v>
      </c>
      <c r="AW264" s="16">
        <f>IFERROR(__xludf.DUMMYFUNCTION("""COMPUTED_VALUE"""),4.0)</f>
        <v>4</v>
      </c>
      <c r="AX264" s="16">
        <f>IFERROR(__xludf.DUMMYFUNCTION("""COMPUTED_VALUE"""),-2.0)</f>
        <v>-2</v>
      </c>
      <c r="AY264" s="16">
        <f>IFERROR(__xludf.DUMMYFUNCTION("""COMPUTED_VALUE"""),1.0)</f>
        <v>1</v>
      </c>
      <c r="AZ264" s="16">
        <f>IFERROR(__xludf.DUMMYFUNCTION("""COMPUTED_VALUE"""),-6.0)</f>
        <v>-6</v>
      </c>
      <c r="BA264" s="16">
        <f>IFERROR(__xludf.DUMMYFUNCTION("""COMPUTED_VALUE"""),3.0)</f>
        <v>3</v>
      </c>
      <c r="BB264" s="16">
        <f>IFERROR(__xludf.DUMMYFUNCTION("""COMPUTED_VALUE"""),5.0)</f>
        <v>5</v>
      </c>
      <c r="BC264" s="16">
        <f>IFERROR(__xludf.DUMMYFUNCTION("""COMPUTED_VALUE"""),5.0)</f>
        <v>5</v>
      </c>
      <c r="BD264" s="16">
        <f>IFERROR(__xludf.DUMMYFUNCTION("""COMPUTED_VALUE"""),1.0)</f>
        <v>1</v>
      </c>
      <c r="BE264" s="16">
        <f>IFERROR(__xludf.DUMMYFUNCTION("""COMPUTED_VALUE"""),1.0)</f>
        <v>1</v>
      </c>
      <c r="BF264" s="16">
        <f>IFERROR(__xludf.DUMMYFUNCTION("""COMPUTED_VALUE"""),1.0)</f>
        <v>1</v>
      </c>
      <c r="BG264" s="16">
        <f>IFERROR(__xludf.DUMMYFUNCTION("""COMPUTED_VALUE"""),1.0)</f>
        <v>1</v>
      </c>
      <c r="BH264" s="16">
        <f>IFERROR(__xludf.DUMMYFUNCTION("""COMPUTED_VALUE"""),-2.0)</f>
        <v>-2</v>
      </c>
      <c r="BI264" s="16">
        <f>IFERROR(__xludf.DUMMYFUNCTION("""COMPUTED_VALUE"""),-2.0)</f>
        <v>-2</v>
      </c>
      <c r="BJ264" s="16">
        <f>IFERROR(__xludf.DUMMYFUNCTION("""COMPUTED_VALUE"""),19.0)</f>
        <v>19</v>
      </c>
      <c r="BK264" s="16">
        <f>IFERROR(__xludf.DUMMYFUNCTION("""COMPUTED_VALUE"""),14.0)</f>
        <v>14</v>
      </c>
      <c r="BL264" s="16">
        <f>IFERROR(__xludf.DUMMYFUNCTION("""COMPUTED_VALUE"""),-1.0)</f>
        <v>-1</v>
      </c>
      <c r="BM264" s="16">
        <f>IFERROR(__xludf.DUMMYFUNCTION("""COMPUTED_VALUE"""),0.0)</f>
        <v>0</v>
      </c>
      <c r="BN264" s="16">
        <f>IFERROR(__xludf.DUMMYFUNCTION("""COMPUTED_VALUE"""),-2.0)</f>
        <v>-2</v>
      </c>
      <c r="BO264" s="16">
        <f>IFERROR(__xludf.DUMMYFUNCTION("""COMPUTED_VALUE"""),0.0)</f>
        <v>0</v>
      </c>
      <c r="BP264" s="16">
        <f>IFERROR(__xludf.DUMMYFUNCTION("""COMPUTED_VALUE"""),-13.0)</f>
        <v>-13</v>
      </c>
      <c r="BQ264" s="16">
        <f>IFERROR(__xludf.DUMMYFUNCTION("""COMPUTED_VALUE"""),1.0)</f>
        <v>1</v>
      </c>
      <c r="BR264" s="16">
        <f>IFERROR(__xludf.DUMMYFUNCTION("""COMPUTED_VALUE"""),-12.0)</f>
        <v>-12</v>
      </c>
      <c r="BS264" s="16" t="str">
        <f>IFERROR(__xludf.DUMMYFUNCTION("""COMPUTED_VALUE"""),"-/- (---)")</f>
        <v>-/- (---)</v>
      </c>
      <c r="BT264" s="16" t="str">
        <f>IFERROR(__xludf.DUMMYFUNCTION("""COMPUTED_VALUE"""),"E")</f>
        <v>E</v>
      </c>
      <c r="BU264" s="16">
        <f>IFERROR(__xludf.DUMMYFUNCTION("""COMPUTED_VALUE"""),10.0)</f>
        <v>10</v>
      </c>
      <c r="BV264" s="16">
        <f>IFERROR(__xludf.DUMMYFUNCTION("""COMPUTED_VALUE"""),0.0)</f>
        <v>0</v>
      </c>
      <c r="BW264" s="16">
        <f>IFERROR(__xludf.DUMMYFUNCTION("""COMPUTED_VALUE"""),0.0)</f>
        <v>0</v>
      </c>
      <c r="BX264" s="16">
        <f>IFERROR(__xludf.DUMMYFUNCTION("""COMPUTED_VALUE"""),0.0)</f>
        <v>0</v>
      </c>
      <c r="BY264" s="16">
        <f>IFERROR(__xludf.DUMMYFUNCTION("""COMPUTED_VALUE"""),0.0)</f>
        <v>0</v>
      </c>
      <c r="BZ264" s="16" t="str">
        <f>IFERROR(__xludf.DUMMYFUNCTION("""COMPUTED_VALUE"""),"D")</f>
        <v>D</v>
      </c>
      <c r="CA264" s="16" t="str">
        <f>IFERROR(__xludf.DUMMYFUNCTION("""COMPUTED_VALUE"""),"D")</f>
        <v>D</v>
      </c>
      <c r="CB264" s="16">
        <f>IFERROR(__xludf.DUMMYFUNCTION("""COMPUTED_VALUE"""),0.0)</f>
        <v>0</v>
      </c>
      <c r="CC264" s="16">
        <f>IFERROR(__xludf.DUMMYFUNCTION("""COMPUTED_VALUE"""),0.0)</f>
        <v>0</v>
      </c>
      <c r="CD264" s="16">
        <f>IFERROR(__xludf.DUMMYFUNCTION("""COMPUTED_VALUE"""),0.0)</f>
        <v>0</v>
      </c>
      <c r="CE264" s="16">
        <f>IFERROR(__xludf.DUMMYFUNCTION("""COMPUTED_VALUE"""),0.0)</f>
        <v>0</v>
      </c>
      <c r="CF264" s="16">
        <f>IFERROR(__xludf.DUMMYFUNCTION("""COMPUTED_VALUE"""),1.0)</f>
        <v>1</v>
      </c>
      <c r="CG264" s="16">
        <f>IFERROR(__xludf.DUMMYFUNCTION("""COMPUTED_VALUE"""),-38.0)</f>
        <v>-38</v>
      </c>
      <c r="CH264" s="16">
        <f>IFERROR(__xludf.DUMMYFUNCTION("""COMPUTED_VALUE"""),-2.0)</f>
        <v>-2</v>
      </c>
      <c r="CI264" s="179">
        <f>IFERROR(__xludf.DUMMYFUNCTION("""COMPUTED_VALUE"""),-6.0)</f>
        <v>-6</v>
      </c>
      <c r="CJ264" s="16"/>
      <c r="CK264" s="16"/>
      <c r="CL264" s="16"/>
      <c r="CM264" s="16"/>
      <c r="CN264" s="16"/>
      <c r="CO264" s="16"/>
      <c r="CP264" s="16"/>
      <c r="CQ264" s="16">
        <f>IFERROR(__xludf.DUMMYFUNCTION("""COMPUTED_VALUE"""),410.0)</f>
        <v>410</v>
      </c>
      <c r="CR264" s="16" t="str">
        <f>IFERROR(__xludf.DUMMYFUNCTION("""COMPUTED_VALUE"""),"rf-4(-1)e10")</f>
        <v>rf-4(-1)e10</v>
      </c>
      <c r="CS264" s="16"/>
      <c r="CT264" s="16"/>
      <c r="CU264" s="16"/>
      <c r="CV264" s="16"/>
      <c r="CW264" s="16"/>
      <c r="CX264" s="16"/>
      <c r="CY264" s="16"/>
      <c r="CZ264" s="16">
        <f>IFERROR(__xludf.DUMMYFUNCTION("""COMPUTED_VALUE"""),4.0)</f>
        <v>4</v>
      </c>
      <c r="DA264" s="16"/>
      <c r="DB264" s="16"/>
      <c r="DC264" s="16"/>
      <c r="DD264" s="16"/>
      <c r="DE264" s="16"/>
      <c r="DF264" s="16"/>
      <c r="DG264" s="16"/>
      <c r="DH264" s="16">
        <f>IFERROR(__xludf.DUMMYFUNCTION("""COMPUTED_VALUE"""),10.0)</f>
        <v>10</v>
      </c>
      <c r="DI264" s="16"/>
      <c r="DJ264" s="16"/>
      <c r="DK264" s="16"/>
      <c r="DL264" s="16"/>
      <c r="DM264" s="16"/>
      <c r="DN264" s="16"/>
      <c r="DO264" s="16"/>
      <c r="DP264" s="16">
        <f>IFERROR(__xludf.DUMMYFUNCTION("""COMPUTED_VALUE"""),-1.0)</f>
        <v>-1</v>
      </c>
      <c r="DQ264" s="16"/>
      <c r="DR264" s="16"/>
      <c r="DS264" s="16"/>
      <c r="DT264" s="16"/>
      <c r="DU264" s="16"/>
      <c r="DV264" s="16"/>
      <c r="DW264" s="16"/>
      <c r="DX264" s="16">
        <f>IFERROR(__xludf.DUMMYFUNCTION("""COMPUTED_VALUE"""),0.0)</f>
        <v>0</v>
      </c>
      <c r="DY264" s="16"/>
      <c r="DZ264" s="16"/>
      <c r="EA264" s="16"/>
      <c r="EB264" s="16"/>
      <c r="EC264" s="16"/>
      <c r="ED264" s="16"/>
      <c r="EE264" s="16"/>
      <c r="EF264" s="16">
        <f>IFERROR(__xludf.DUMMYFUNCTION("""COMPUTED_VALUE"""),-1.0)</f>
        <v>-1</v>
      </c>
      <c r="EG264" s="179"/>
      <c r="EH264" s="179"/>
      <c r="EI264" s="179"/>
      <c r="EJ264" s="179"/>
      <c r="EK264" s="179"/>
      <c r="EL264" s="179"/>
      <c r="EM264" s="179"/>
      <c r="EN264" s="179">
        <f>IFERROR(__xludf.DUMMYFUNCTION("""COMPUTED_VALUE"""),-7.0)</f>
        <v>-7</v>
      </c>
      <c r="EO264" s="16"/>
      <c r="EP264" s="16"/>
      <c r="EQ264" s="16">
        <f>IFERROR(__xludf.DUMMYFUNCTION("""COMPUTED_VALUE"""),4.0)</f>
        <v>4</v>
      </c>
      <c r="ER264" s="16">
        <f>IFERROR(__xludf.DUMMYFUNCTION("""COMPUTED_VALUE"""),1.0)</f>
        <v>1</v>
      </c>
      <c r="ES264" s="16"/>
      <c r="ET264" s="16"/>
      <c r="EU264" s="16"/>
      <c r="EV264" s="16"/>
      <c r="EW264" s="16"/>
      <c r="EX264" s="180"/>
      <c r="EY264" s="180"/>
      <c r="EZ264" s="180"/>
      <c r="FA264" s="180"/>
      <c r="FB264" s="180"/>
      <c r="FC264" s="180"/>
      <c r="FD264" s="180"/>
      <c r="FE264" s="180">
        <f>IFERROR(__xludf.DUMMYFUNCTION("""COMPUTED_VALUE"""),0.55)</f>
        <v>0.55</v>
      </c>
      <c r="FF264" s="180"/>
      <c r="FG264" s="180"/>
      <c r="FH264" s="180"/>
      <c r="FI264" s="180"/>
      <c r="FJ264" s="180"/>
      <c r="FK264" s="180"/>
      <c r="FL264" s="180"/>
      <c r="FM264" s="180">
        <f>IFERROR(__xludf.DUMMYFUNCTION("""COMPUTED_VALUE"""),0.181)</f>
        <v>0.181</v>
      </c>
      <c r="FN264" s="16"/>
      <c r="FO264" s="16"/>
      <c r="FP264" s="16"/>
      <c r="FQ264" s="16"/>
      <c r="FR264" s="16"/>
      <c r="FS264" s="16"/>
      <c r="FT264" s="16"/>
      <c r="FU264" s="16">
        <f>IFERROR(__xludf.DUMMYFUNCTION("""COMPUTED_VALUE"""),0.36854999999999993)</f>
        <v>0.36855</v>
      </c>
      <c r="FV264" s="16"/>
      <c r="FW264" s="16"/>
      <c r="FX264" s="16"/>
      <c r="FY264" s="16"/>
      <c r="FZ264" s="16"/>
      <c r="GA264" s="16"/>
      <c r="GB264" s="16"/>
      <c r="GC264" s="16">
        <f>IFERROR(__xludf.DUMMYFUNCTION("""COMPUTED_VALUE"""),-8.0)</f>
        <v>-8</v>
      </c>
      <c r="GD264" s="16" t="s">
        <v>176</v>
      </c>
    </row>
    <row r="265">
      <c r="A265" s="16">
        <f>IFERROR(__xludf.DUMMYFUNCTION("""COMPUTED_VALUE"""),13025.0)</f>
        <v>13025</v>
      </c>
      <c r="B265" s="16" t="str">
        <f>IFERROR(__xludf.DUMMYFUNCTION("""COMPUTED_VALUE"""),"Jose Siri")</f>
        <v>Jose Siri</v>
      </c>
      <c r="C265" s="16">
        <f>IFERROR(__xludf.DUMMYFUNCTION("""COMPUTED_VALUE"""),0.7)</f>
        <v>0.7</v>
      </c>
      <c r="D265" s="16" t="str">
        <f>IFERROR(__xludf.DUMMYFUNCTION("""COMPUTED_VALUE"""),"R")</f>
        <v>R</v>
      </c>
      <c r="E265" s="16"/>
      <c r="F265" s="16"/>
      <c r="G265" s="16">
        <f>IFERROR(__xludf.DUMMYFUNCTION("""COMPUTED_VALUE"""),402.0)</f>
        <v>402</v>
      </c>
      <c r="H265" s="16">
        <f>IFERROR(__xludf.DUMMYFUNCTION("""COMPUTED_VALUE"""),31.0)</f>
        <v>31</v>
      </c>
      <c r="I265" s="16" t="str">
        <f>IFERROR(__xludf.DUMMYFUNCTION("""COMPUTED_VALUE"""),"1p60")</f>
        <v>1p60</v>
      </c>
      <c r="J265" s="16">
        <f>IFERROR(__xludf.DUMMYFUNCTION("""COMPUTED_VALUE"""),52.0)</f>
        <v>52</v>
      </c>
      <c r="K265" s="16">
        <f>IFERROR(__xludf.DUMMYFUNCTION("""COMPUTED_VALUE"""),59.0)</f>
        <v>59</v>
      </c>
      <c r="L265" s="16">
        <f>IFERROR(__xludf.DUMMYFUNCTION("""COMPUTED_VALUE"""),-2.0)</f>
        <v>-2</v>
      </c>
      <c r="M265" s="16">
        <f>IFERROR(__xludf.DUMMYFUNCTION("""COMPUTED_VALUE"""),-3.0)</f>
        <v>-3</v>
      </c>
      <c r="N265" s="16">
        <f>IFERROR(__xludf.DUMMYFUNCTION("""COMPUTED_VALUE"""),-2.0)</f>
        <v>-2</v>
      </c>
      <c r="O265" s="16">
        <f>IFERROR(__xludf.DUMMYFUNCTION("""COMPUTED_VALUE"""),-3.0)</f>
        <v>-3</v>
      </c>
      <c r="P265" s="16">
        <f>IFERROR(__xludf.DUMMYFUNCTION("""COMPUTED_VALUE"""),11.0)</f>
        <v>11</v>
      </c>
      <c r="Q265" s="16">
        <f>IFERROR(__xludf.DUMMYFUNCTION("""COMPUTED_VALUE"""),6.0)</f>
        <v>6</v>
      </c>
      <c r="R265" s="16">
        <f>IFERROR(__xludf.DUMMYFUNCTION("""COMPUTED_VALUE"""),1.0)</f>
        <v>1</v>
      </c>
      <c r="S265" s="16">
        <f>IFERROR(__xludf.DUMMYFUNCTION("""COMPUTED_VALUE"""),-1.0)</f>
        <v>-1</v>
      </c>
      <c r="T265" s="16">
        <f>IFERROR(__xludf.DUMMYFUNCTION("""COMPUTED_VALUE"""),1.0)</f>
        <v>1</v>
      </c>
      <c r="U265" s="16">
        <f>IFERROR(__xludf.DUMMYFUNCTION("""COMPUTED_VALUE"""),-1.0)</f>
        <v>-1</v>
      </c>
      <c r="V265" s="16">
        <f>IFERROR(__xludf.DUMMYFUNCTION("""COMPUTED_VALUE"""),9.4)</f>
        <v>9.4</v>
      </c>
      <c r="W265" s="16">
        <f>IFERROR(__xludf.DUMMYFUNCTION("""COMPUTED_VALUE"""),7.3)</f>
        <v>7.3</v>
      </c>
      <c r="X265" s="16">
        <f>IFERROR(__xludf.DUMMYFUNCTION("""COMPUTED_VALUE"""),-1.0)</f>
        <v>-1</v>
      </c>
      <c r="Y265" s="16">
        <f>IFERROR(__xludf.DUMMYFUNCTION("""COMPUTED_VALUE"""),-2.0)</f>
        <v>-2</v>
      </c>
      <c r="Z265" s="16">
        <f>IFERROR(__xludf.DUMMYFUNCTION("""COMPUTED_VALUE"""),-2.0)</f>
        <v>-2</v>
      </c>
      <c r="AA265" s="16">
        <f>IFERROR(__xludf.DUMMYFUNCTION("""COMPUTED_VALUE"""),-4.0)</f>
        <v>-4</v>
      </c>
      <c r="AB265" s="16">
        <f>IFERROR(__xludf.DUMMYFUNCTION("""COMPUTED_VALUE"""),24.5)</f>
        <v>24.5</v>
      </c>
      <c r="AC265" s="16">
        <f>IFERROR(__xludf.DUMMYFUNCTION("""COMPUTED_VALUE"""),17.3)</f>
        <v>17.3</v>
      </c>
      <c r="AD265" s="16">
        <f>IFERROR(__xludf.DUMMYFUNCTION("""COMPUTED_VALUE"""),-1.0)</f>
        <v>-1</v>
      </c>
      <c r="AE265" s="16">
        <f>IFERROR(__xludf.DUMMYFUNCTION("""COMPUTED_VALUE"""),-2.0)</f>
        <v>-2</v>
      </c>
      <c r="AF265" s="16">
        <f>IFERROR(__xludf.DUMMYFUNCTION("""COMPUTED_VALUE"""),-5.0)</f>
        <v>-5</v>
      </c>
      <c r="AG265" s="16">
        <f>IFERROR(__xludf.DUMMYFUNCTION("""COMPUTED_VALUE"""),-10.0)</f>
        <v>-10</v>
      </c>
      <c r="AH265" s="16">
        <f>IFERROR(__xludf.DUMMYFUNCTION("""COMPUTED_VALUE"""),23.9)</f>
        <v>23.9</v>
      </c>
      <c r="AI265" s="16">
        <f>IFERROR(__xludf.DUMMYFUNCTION("""COMPUTED_VALUE"""),18.7)</f>
        <v>18.7</v>
      </c>
      <c r="AJ265" s="16">
        <f>IFERROR(__xludf.DUMMYFUNCTION("""COMPUTED_VALUE"""),-1.0)</f>
        <v>-1</v>
      </c>
      <c r="AK265" s="16">
        <f>IFERROR(__xludf.DUMMYFUNCTION("""COMPUTED_VALUE"""),-2.0)</f>
        <v>-2</v>
      </c>
      <c r="AL265" s="16">
        <f>IFERROR(__xludf.DUMMYFUNCTION("""COMPUTED_VALUE"""),-5.0)</f>
        <v>-5</v>
      </c>
      <c r="AM265" s="16">
        <f>IFERROR(__xludf.DUMMYFUNCTION("""COMPUTED_VALUE"""),-10.0)</f>
        <v>-10</v>
      </c>
      <c r="AN265" s="16">
        <f>IFERROR(__xludf.DUMMYFUNCTION("""COMPUTED_VALUE"""),3.4)</f>
        <v>3.4</v>
      </c>
      <c r="AO265" s="16">
        <f>IFERROR(__xludf.DUMMYFUNCTION("""COMPUTED_VALUE"""),3.0)</f>
        <v>3</v>
      </c>
      <c r="AP265" s="16">
        <f>IFERROR(__xludf.DUMMYFUNCTION("""COMPUTED_VALUE"""),1.0)</f>
        <v>1</v>
      </c>
      <c r="AQ265" s="16">
        <f>IFERROR(__xludf.DUMMYFUNCTION("""COMPUTED_VALUE"""),1.0)</f>
        <v>1</v>
      </c>
      <c r="AR265" s="16">
        <f>IFERROR(__xludf.DUMMYFUNCTION("""COMPUTED_VALUE"""),2.0)</f>
        <v>2</v>
      </c>
      <c r="AS265" s="16">
        <f>IFERROR(__xludf.DUMMYFUNCTION("""COMPUTED_VALUE"""),2.0)</f>
        <v>2</v>
      </c>
      <c r="AT265" s="16">
        <f>IFERROR(__xludf.DUMMYFUNCTION("""COMPUTED_VALUE"""),6.0)</f>
        <v>6</v>
      </c>
      <c r="AU265" s="16">
        <f>IFERROR(__xludf.DUMMYFUNCTION("""COMPUTED_VALUE"""),5.0)</f>
        <v>5</v>
      </c>
      <c r="AV265" s="16">
        <f>IFERROR(__xludf.DUMMYFUNCTION("""COMPUTED_VALUE"""),6.0)</f>
        <v>6</v>
      </c>
      <c r="AW265" s="16">
        <f>IFERROR(__xludf.DUMMYFUNCTION("""COMPUTED_VALUE"""),5.0)</f>
        <v>5</v>
      </c>
      <c r="AX265" s="16">
        <f>IFERROR(__xludf.DUMMYFUNCTION("""COMPUTED_VALUE"""),3.0)</f>
        <v>3</v>
      </c>
      <c r="AY265" s="16">
        <f>IFERROR(__xludf.DUMMYFUNCTION("""COMPUTED_VALUE"""),2.0)</f>
        <v>2</v>
      </c>
      <c r="AZ265" s="16">
        <f>IFERROR(__xludf.DUMMYFUNCTION("""COMPUTED_VALUE"""),9.0)</f>
        <v>9</v>
      </c>
      <c r="BA265" s="16">
        <f>IFERROR(__xludf.DUMMYFUNCTION("""COMPUTED_VALUE"""),6.0)</f>
        <v>6</v>
      </c>
      <c r="BB265" s="16">
        <f>IFERROR(__xludf.DUMMYFUNCTION("""COMPUTED_VALUE"""),5.0)</f>
        <v>5</v>
      </c>
      <c r="BC265" s="16">
        <f>IFERROR(__xludf.DUMMYFUNCTION("""COMPUTED_VALUE"""),5.0)</f>
        <v>5</v>
      </c>
      <c r="BD265" s="16">
        <f>IFERROR(__xludf.DUMMYFUNCTION("""COMPUTED_VALUE"""),1.0)</f>
        <v>1</v>
      </c>
      <c r="BE265" s="16">
        <f>IFERROR(__xludf.DUMMYFUNCTION("""COMPUTED_VALUE"""),1.0)</f>
        <v>1</v>
      </c>
      <c r="BF265" s="16">
        <f>IFERROR(__xludf.DUMMYFUNCTION("""COMPUTED_VALUE"""),1.0)</f>
        <v>1</v>
      </c>
      <c r="BG265" s="16">
        <f>IFERROR(__xludf.DUMMYFUNCTION("""COMPUTED_VALUE"""),1.0)</f>
        <v>1</v>
      </c>
      <c r="BH265" s="16">
        <f>IFERROR(__xludf.DUMMYFUNCTION("""COMPUTED_VALUE"""),0.0)</f>
        <v>0</v>
      </c>
      <c r="BI265" s="16">
        <f>IFERROR(__xludf.DUMMYFUNCTION("""COMPUTED_VALUE"""),0.0)</f>
        <v>0</v>
      </c>
      <c r="BJ265" s="16">
        <f>IFERROR(__xludf.DUMMYFUNCTION("""COMPUTED_VALUE"""),6.0)</f>
        <v>6</v>
      </c>
      <c r="BK265" s="16">
        <f>IFERROR(__xludf.DUMMYFUNCTION("""COMPUTED_VALUE"""),7.0)</f>
        <v>7</v>
      </c>
      <c r="BL265" s="16">
        <f>IFERROR(__xludf.DUMMYFUNCTION("""COMPUTED_VALUE"""),1.0)</f>
        <v>1</v>
      </c>
      <c r="BM265" s="16">
        <f>IFERROR(__xludf.DUMMYFUNCTION("""COMPUTED_VALUE"""),1.0)</f>
        <v>1</v>
      </c>
      <c r="BN265" s="16">
        <f>IFERROR(__xludf.DUMMYFUNCTION("""COMPUTED_VALUE"""),1.0)</f>
        <v>1</v>
      </c>
      <c r="BO265" s="16">
        <f>IFERROR(__xludf.DUMMYFUNCTION("""COMPUTED_VALUE"""),1.0)</f>
        <v>1</v>
      </c>
      <c r="BP265" s="16">
        <f>IFERROR(__xludf.DUMMYFUNCTION("""COMPUTED_VALUE"""),2.0)</f>
        <v>2</v>
      </c>
      <c r="BQ265" s="16">
        <f>IFERROR(__xludf.DUMMYFUNCTION("""COMPUTED_VALUE"""),-5.0)</f>
        <v>-5</v>
      </c>
      <c r="BR265" s="16">
        <f>IFERROR(__xludf.DUMMYFUNCTION("""COMPUTED_VALUE"""),-3.0)</f>
        <v>-3</v>
      </c>
      <c r="BS265" s="16" t="str">
        <f>IFERROR(__xludf.DUMMYFUNCTION("""COMPUTED_VALUE"""),"*2-9,11/- (15-13)")</f>
        <v>*2-9,11/- (15-13)</v>
      </c>
      <c r="BT265" s="16" t="str">
        <f>IFERROR(__xludf.DUMMYFUNCTION("""COMPUTED_VALUE"""),"B")</f>
        <v>B</v>
      </c>
      <c r="BU265" s="16">
        <f>IFERROR(__xludf.DUMMYFUNCTION("""COMPUTED_VALUE"""),17.0)</f>
        <v>17</v>
      </c>
      <c r="BV265" s="16">
        <f>IFERROR(__xludf.DUMMYFUNCTION("""COMPUTED_VALUE"""),1.0)</f>
        <v>1</v>
      </c>
      <c r="BW265" s="16">
        <f>IFERROR(__xludf.DUMMYFUNCTION("""COMPUTED_VALUE"""),3.0)</f>
        <v>3</v>
      </c>
      <c r="BX265" s="16">
        <f>IFERROR(__xludf.DUMMYFUNCTION("""COMPUTED_VALUE"""),2.0)</f>
        <v>2</v>
      </c>
      <c r="BY265" s="16">
        <f>IFERROR(__xludf.DUMMYFUNCTION("""COMPUTED_VALUE"""),9.0)</f>
        <v>9</v>
      </c>
      <c r="BZ265" s="16" t="str">
        <f>IFERROR(__xludf.DUMMYFUNCTION("""COMPUTED_VALUE"""),"D")</f>
        <v>D</v>
      </c>
      <c r="CA265" s="16" t="str">
        <f>IFERROR(__xludf.DUMMYFUNCTION("""COMPUTED_VALUE"""),"C")</f>
        <v>C</v>
      </c>
      <c r="CB265" s="16">
        <f>IFERROR(__xludf.DUMMYFUNCTION("""COMPUTED_VALUE"""),0.0)</f>
        <v>0</v>
      </c>
      <c r="CC265" s="16">
        <f>IFERROR(__xludf.DUMMYFUNCTION("""COMPUTED_VALUE"""),0.0)</f>
        <v>0</v>
      </c>
      <c r="CD265" s="16">
        <f>IFERROR(__xludf.DUMMYFUNCTION("""COMPUTED_VALUE"""),0.0)</f>
        <v>0</v>
      </c>
      <c r="CE265" s="16">
        <f>IFERROR(__xludf.DUMMYFUNCTION("""COMPUTED_VALUE"""),0.0)</f>
        <v>0</v>
      </c>
      <c r="CF265" s="16">
        <f>IFERROR(__xludf.DUMMYFUNCTION("""COMPUTED_VALUE"""),1.0)</f>
        <v>1</v>
      </c>
      <c r="CG265" s="16">
        <f>IFERROR(__xludf.DUMMYFUNCTION("""COMPUTED_VALUE"""),0.0)</f>
        <v>0</v>
      </c>
      <c r="CH265" s="16">
        <f>IFERROR(__xludf.DUMMYFUNCTION("""COMPUTED_VALUE"""),-18.0)</f>
        <v>-18</v>
      </c>
      <c r="CI265" s="179">
        <f>IFERROR(__xludf.DUMMYFUNCTION("""COMPUTED_VALUE"""),-6.0)</f>
        <v>-6</v>
      </c>
      <c r="CJ265" s="16"/>
      <c r="CK265" s="16">
        <f>IFERROR(__xludf.DUMMYFUNCTION("""COMPUTED_VALUE"""),525.0)</f>
        <v>525</v>
      </c>
      <c r="CL265" s="16"/>
      <c r="CM265" s="16"/>
      <c r="CN265" s="16"/>
      <c r="CO265" s="16"/>
      <c r="CP265" s="16">
        <f>IFERROR(__xludf.DUMMYFUNCTION("""COMPUTED_VALUE"""),110.0)</f>
        <v>110</v>
      </c>
      <c r="CQ265" s="16"/>
      <c r="CR265" s="16" t="str">
        <f>IFERROR(__xludf.DUMMYFUNCTION("""COMPUTED_VALUE"""),"cf-1(-2)e10 1b-5e25")</f>
        <v>cf-1(-2)e10 1b-5e25</v>
      </c>
      <c r="CS265" s="16"/>
      <c r="CT265" s="16">
        <f>IFERROR(__xludf.DUMMYFUNCTION("""COMPUTED_VALUE"""),5.0)</f>
        <v>5</v>
      </c>
      <c r="CU265" s="16"/>
      <c r="CV265" s="16"/>
      <c r="CW265" s="16"/>
      <c r="CX265" s="16"/>
      <c r="CY265" s="16">
        <f>IFERROR(__xludf.DUMMYFUNCTION("""COMPUTED_VALUE"""),1.0)</f>
        <v>1</v>
      </c>
      <c r="CZ265" s="16"/>
      <c r="DA265" s="16"/>
      <c r="DB265" s="16">
        <f>IFERROR(__xludf.DUMMYFUNCTION("""COMPUTED_VALUE"""),25.0)</f>
        <v>25</v>
      </c>
      <c r="DC265" s="16"/>
      <c r="DD265" s="16"/>
      <c r="DE265" s="16"/>
      <c r="DF265" s="16"/>
      <c r="DG265" s="16">
        <f>IFERROR(__xludf.DUMMYFUNCTION("""COMPUTED_VALUE"""),10.0)</f>
        <v>10</v>
      </c>
      <c r="DH265" s="16"/>
      <c r="DI265" s="16"/>
      <c r="DJ265" s="16">
        <f>IFERROR(__xludf.DUMMYFUNCTION("""COMPUTED_VALUE"""),-2.0)</f>
        <v>-2</v>
      </c>
      <c r="DK265" s="16"/>
      <c r="DL265" s="16"/>
      <c r="DM265" s="16"/>
      <c r="DN265" s="16"/>
      <c r="DO265" s="16">
        <f>IFERROR(__xludf.DUMMYFUNCTION("""COMPUTED_VALUE"""),4.0)</f>
        <v>4</v>
      </c>
      <c r="DP265" s="16"/>
      <c r="DQ265" s="16"/>
      <c r="DR265" s="16">
        <f>IFERROR(__xludf.DUMMYFUNCTION("""COMPUTED_VALUE"""),-2.0)</f>
        <v>-2</v>
      </c>
      <c r="DS265" s="16"/>
      <c r="DT265" s="16"/>
      <c r="DU265" s="16"/>
      <c r="DV265" s="16"/>
      <c r="DW265" s="16">
        <f>IFERROR(__xludf.DUMMYFUNCTION("""COMPUTED_VALUE"""),2.0)</f>
        <v>2</v>
      </c>
      <c r="DX265" s="16"/>
      <c r="DY265" s="16"/>
      <c r="DZ265" s="16">
        <f>IFERROR(__xludf.DUMMYFUNCTION("""COMPUTED_VALUE"""),-4.0)</f>
        <v>-4</v>
      </c>
      <c r="EA265" s="16"/>
      <c r="EB265" s="16"/>
      <c r="EC265" s="16"/>
      <c r="ED265" s="16"/>
      <c r="EE265" s="16">
        <f>IFERROR(__xludf.DUMMYFUNCTION("""COMPUTED_VALUE"""),6.0)</f>
        <v>6</v>
      </c>
      <c r="EF265" s="16"/>
      <c r="EG265" s="179"/>
      <c r="EH265" s="179">
        <f>IFERROR(__xludf.DUMMYFUNCTION("""COMPUTED_VALUE"""),-10.0)</f>
        <v>-10</v>
      </c>
      <c r="EI265" s="179"/>
      <c r="EJ265" s="179"/>
      <c r="EK265" s="179"/>
      <c r="EL265" s="179"/>
      <c r="EM265" s="179">
        <f>IFERROR(__xludf.DUMMYFUNCTION("""COMPUTED_VALUE"""),0.0)</f>
        <v>0</v>
      </c>
      <c r="EN265" s="179"/>
      <c r="EO265" s="16"/>
      <c r="EP265" s="16">
        <f>IFERROR(__xludf.DUMMYFUNCTION("""COMPUTED_VALUE"""),2.0)</f>
        <v>2</v>
      </c>
      <c r="EQ265" s="16">
        <f>IFERROR(__xludf.DUMMYFUNCTION("""COMPUTED_VALUE"""),4.0)</f>
        <v>4</v>
      </c>
      <c r="ER265" s="16">
        <f>IFERROR(__xludf.DUMMYFUNCTION("""COMPUTED_VALUE"""),1.0)</f>
        <v>1</v>
      </c>
      <c r="ES265" s="16"/>
      <c r="ET265" s="16"/>
      <c r="EU265" s="16"/>
      <c r="EV265" s="16"/>
      <c r="EW265" s="16"/>
      <c r="EX265" s="180"/>
      <c r="EY265" s="180">
        <f>IFERROR(__xludf.DUMMYFUNCTION("""COMPUTED_VALUE"""),0.4)</f>
        <v>0.4</v>
      </c>
      <c r="EZ265" s="180"/>
      <c r="FA265" s="180"/>
      <c r="FB265" s="180"/>
      <c r="FC265" s="180"/>
      <c r="FD265" s="180">
        <f>IFERROR(__xludf.DUMMYFUNCTION("""COMPUTED_VALUE"""),0.0)</f>
        <v>0</v>
      </c>
      <c r="FE265" s="180"/>
      <c r="FF265" s="180"/>
      <c r="FG265" s="180">
        <f>IFERROR(__xludf.DUMMYFUNCTION("""COMPUTED_VALUE"""),0.44907407407407407)</f>
        <v>0.4490740741</v>
      </c>
      <c r="FH265" s="180"/>
      <c r="FI265" s="180"/>
      <c r="FJ265" s="180"/>
      <c r="FK265" s="180"/>
      <c r="FL265" s="180">
        <f>IFERROR(__xludf.DUMMYFUNCTION("""COMPUTED_VALUE"""),0.12037037037037036)</f>
        <v>0.1203703704</v>
      </c>
      <c r="FM265" s="180"/>
      <c r="FN265" s="16"/>
      <c r="FO265" s="16">
        <f>IFERROR(__xludf.DUMMYFUNCTION("""COMPUTED_VALUE"""),0.33055555555555555)</f>
        <v>0.3305555556</v>
      </c>
      <c r="FP265" s="16"/>
      <c r="FQ265" s="16"/>
      <c r="FR265" s="16"/>
      <c r="FS265" s="16"/>
      <c r="FT265" s="16">
        <f>IFERROR(__xludf.DUMMYFUNCTION("""COMPUTED_VALUE"""),0.8796296296296297)</f>
        <v>0.8796296296</v>
      </c>
      <c r="FU265" s="16"/>
      <c r="FV265" s="16"/>
      <c r="FW265" s="16">
        <f>IFERROR(__xludf.DUMMYFUNCTION("""COMPUTED_VALUE"""),-8.0)</f>
        <v>-8</v>
      </c>
      <c r="FX265" s="16"/>
      <c r="FY265" s="16"/>
      <c r="FZ265" s="16"/>
      <c r="GA265" s="16"/>
      <c r="GB265" s="16">
        <f>IFERROR(__xludf.DUMMYFUNCTION("""COMPUTED_VALUE"""),2.0)</f>
        <v>2</v>
      </c>
      <c r="GC265" s="16"/>
      <c r="GD265" s="16" t="s">
        <v>176</v>
      </c>
    </row>
    <row r="266">
      <c r="A266" s="16">
        <f>IFERROR(__xludf.DUMMYFUNCTION("""COMPUTED_VALUE"""),12687.0)</f>
        <v>12687</v>
      </c>
      <c r="B266" s="16" t="str">
        <f>IFERROR(__xludf.DUMMYFUNCTION("""COMPUTED_VALUE"""),"Christopher Morel")</f>
        <v>Christopher Morel</v>
      </c>
      <c r="C266" s="16">
        <f>IFERROR(__xludf.DUMMYFUNCTION("""COMPUTED_VALUE"""),0.0)</f>
        <v>0</v>
      </c>
      <c r="D266" s="16" t="str">
        <f>IFERROR(__xludf.DUMMYFUNCTION("""COMPUTED_VALUE"""),"R")</f>
        <v>R</v>
      </c>
      <c r="E266" s="16"/>
      <c r="F266" s="16"/>
      <c r="G266" s="16">
        <f>IFERROR(__xludf.DUMMYFUNCTION("""COMPUTED_VALUE"""),535.0)</f>
        <v>535</v>
      </c>
      <c r="H266" s="16">
        <f>IFERROR(__xludf.DUMMYFUNCTION("""COMPUTED_VALUE"""),61.0)</f>
        <v>61</v>
      </c>
      <c r="I266" s="16" t="str">
        <f>IFERROR(__xludf.DUMMYFUNCTION("""COMPUTED_VALUE"""),"1p70")</f>
        <v>1p70</v>
      </c>
      <c r="J266" s="16">
        <f>IFERROR(__xludf.DUMMYFUNCTION("""COMPUTED_VALUE"""),31.0)</f>
        <v>31</v>
      </c>
      <c r="K266" s="16">
        <f>IFERROR(__xludf.DUMMYFUNCTION("""COMPUTED_VALUE"""),32.0)</f>
        <v>32</v>
      </c>
      <c r="L266" s="16">
        <f>IFERROR(__xludf.DUMMYFUNCTION("""COMPUTED_VALUE"""),0.0)</f>
        <v>0</v>
      </c>
      <c r="M266" s="16">
        <f>IFERROR(__xludf.DUMMYFUNCTION("""COMPUTED_VALUE"""),-1.0)</f>
        <v>-1</v>
      </c>
      <c r="N266" s="16">
        <f>IFERROR(__xludf.DUMMYFUNCTION("""COMPUTED_VALUE"""),0.0)</f>
        <v>0</v>
      </c>
      <c r="O266" s="16">
        <f>IFERROR(__xludf.DUMMYFUNCTION("""COMPUTED_VALUE"""),-1.0)</f>
        <v>-1</v>
      </c>
      <c r="P266" s="16">
        <f>IFERROR(__xludf.DUMMYFUNCTION("""COMPUTED_VALUE"""),11.0)</f>
        <v>11</v>
      </c>
      <c r="Q266" s="16">
        <f>IFERROR(__xludf.DUMMYFUNCTION("""COMPUTED_VALUE"""),13.0)</f>
        <v>13</v>
      </c>
      <c r="R266" s="16">
        <f>IFERROR(__xludf.DUMMYFUNCTION("""COMPUTED_VALUE"""),1.0)</f>
        <v>1</v>
      </c>
      <c r="S266" s="16">
        <f>IFERROR(__xludf.DUMMYFUNCTION("""COMPUTED_VALUE"""),1.0)</f>
        <v>1</v>
      </c>
      <c r="T266" s="16">
        <f>IFERROR(__xludf.DUMMYFUNCTION("""COMPUTED_VALUE"""),1.0)</f>
        <v>1</v>
      </c>
      <c r="U266" s="16">
        <f>IFERROR(__xludf.DUMMYFUNCTION("""COMPUTED_VALUE"""),1.0)</f>
        <v>1</v>
      </c>
      <c r="V266" s="16">
        <f>IFERROR(__xludf.DUMMYFUNCTION("""COMPUTED_VALUE"""),4.4)</f>
        <v>4.4</v>
      </c>
      <c r="W266" s="16">
        <f>IFERROR(__xludf.DUMMYFUNCTION("""COMPUTED_VALUE"""),11.4)</f>
        <v>11.4</v>
      </c>
      <c r="X266" s="16">
        <f>IFERROR(__xludf.DUMMYFUNCTION("""COMPUTED_VALUE"""),-2.0)</f>
        <v>-2</v>
      </c>
      <c r="Y266" s="16">
        <f>IFERROR(__xludf.DUMMYFUNCTION("""COMPUTED_VALUE"""),-2.0)</f>
        <v>-2</v>
      </c>
      <c r="Z266" s="16">
        <f>IFERROR(__xludf.DUMMYFUNCTION("""COMPUTED_VALUE"""),-4.0)</f>
        <v>-4</v>
      </c>
      <c r="AA266" s="16">
        <f>IFERROR(__xludf.DUMMYFUNCTION("""COMPUTED_VALUE"""),-4.0)</f>
        <v>-4</v>
      </c>
      <c r="AB266" s="16">
        <f>IFERROR(__xludf.DUMMYFUNCTION("""COMPUTED_VALUE"""),19.4)</f>
        <v>19.4</v>
      </c>
      <c r="AC266" s="16">
        <f>IFERROR(__xludf.DUMMYFUNCTION("""COMPUTED_VALUE"""),28.4)</f>
        <v>28.4</v>
      </c>
      <c r="AD266" s="16">
        <f>IFERROR(__xludf.DUMMYFUNCTION("""COMPUTED_VALUE"""),-1.0)</f>
        <v>-1</v>
      </c>
      <c r="AE266" s="16">
        <f>IFERROR(__xludf.DUMMYFUNCTION("""COMPUTED_VALUE"""),-1.0)</f>
        <v>-1</v>
      </c>
      <c r="AF266" s="16">
        <f>IFERROR(__xludf.DUMMYFUNCTION("""COMPUTED_VALUE"""),-5.0)</f>
        <v>-5</v>
      </c>
      <c r="AG266" s="16">
        <f>IFERROR(__xludf.DUMMYFUNCTION("""COMPUTED_VALUE"""),-5.0)</f>
        <v>-5</v>
      </c>
      <c r="AH266" s="16">
        <f>IFERROR(__xludf.DUMMYFUNCTION("""COMPUTED_VALUE"""),13.6)</f>
        <v>13.6</v>
      </c>
      <c r="AI266" s="16">
        <f>IFERROR(__xludf.DUMMYFUNCTION("""COMPUTED_VALUE"""),21.1)</f>
        <v>21.1</v>
      </c>
      <c r="AJ266" s="16">
        <f>IFERROR(__xludf.DUMMYFUNCTION("""COMPUTED_VALUE"""),-2.0)</f>
        <v>-2</v>
      </c>
      <c r="AK266" s="16">
        <f>IFERROR(__xludf.DUMMYFUNCTION("""COMPUTED_VALUE"""),-1.0)</f>
        <v>-1</v>
      </c>
      <c r="AL266" s="16">
        <f>IFERROR(__xludf.DUMMYFUNCTION("""COMPUTED_VALUE"""),-10.0)</f>
        <v>-10</v>
      </c>
      <c r="AM266" s="16">
        <f>IFERROR(__xludf.DUMMYFUNCTION("""COMPUTED_VALUE"""),-5.0)</f>
        <v>-5</v>
      </c>
      <c r="AN266" s="16">
        <f>IFERROR(__xludf.DUMMYFUNCTION("""COMPUTED_VALUE"""),2.4)</f>
        <v>2.4</v>
      </c>
      <c r="AO266" s="16">
        <f>IFERROR(__xludf.DUMMYFUNCTION("""COMPUTED_VALUE"""),2.8)</f>
        <v>2.8</v>
      </c>
      <c r="AP266" s="16">
        <f>IFERROR(__xludf.DUMMYFUNCTION("""COMPUTED_VALUE"""),0.0)</f>
        <v>0</v>
      </c>
      <c r="AQ266" s="16">
        <f>IFERROR(__xludf.DUMMYFUNCTION("""COMPUTED_VALUE"""),0.0)</f>
        <v>0</v>
      </c>
      <c r="AR266" s="16">
        <f>IFERROR(__xludf.DUMMYFUNCTION("""COMPUTED_VALUE"""),0.0)</f>
        <v>0</v>
      </c>
      <c r="AS266" s="16">
        <f>IFERROR(__xludf.DUMMYFUNCTION("""COMPUTED_VALUE"""),0.0)</f>
        <v>0</v>
      </c>
      <c r="AT266" s="16"/>
      <c r="AU266" s="16">
        <f>IFERROR(__xludf.DUMMYFUNCTION("""COMPUTED_VALUE"""),4.0)</f>
        <v>4</v>
      </c>
      <c r="AV266" s="16">
        <f>IFERROR(__xludf.DUMMYFUNCTION("""COMPUTED_VALUE"""),3.0)</f>
        <v>3</v>
      </c>
      <c r="AW266" s="16">
        <f>IFERROR(__xludf.DUMMYFUNCTION("""COMPUTED_VALUE"""),4.0)</f>
        <v>4</v>
      </c>
      <c r="AX266" s="16">
        <f>IFERROR(__xludf.DUMMYFUNCTION("""COMPUTED_VALUE"""),1.0)</f>
        <v>1</v>
      </c>
      <c r="AY266" s="16">
        <f>IFERROR(__xludf.DUMMYFUNCTION("""COMPUTED_VALUE"""),1.0)</f>
        <v>1</v>
      </c>
      <c r="AZ266" s="16">
        <f>IFERROR(__xludf.DUMMYFUNCTION("""COMPUTED_VALUE"""),3.0)</f>
        <v>3</v>
      </c>
      <c r="BA266" s="16">
        <f>IFERROR(__xludf.DUMMYFUNCTION("""COMPUTED_VALUE"""),3.0)</f>
        <v>3</v>
      </c>
      <c r="BB266" s="16">
        <f>IFERROR(__xludf.DUMMYFUNCTION("""COMPUTED_VALUE"""),0.0)</f>
        <v>0</v>
      </c>
      <c r="BC266" s="16">
        <f>IFERROR(__xludf.DUMMYFUNCTION("""COMPUTED_VALUE"""),5.0)</f>
        <v>5</v>
      </c>
      <c r="BD266" s="16">
        <f>IFERROR(__xludf.DUMMYFUNCTION("""COMPUTED_VALUE"""),0.0)</f>
        <v>0</v>
      </c>
      <c r="BE266" s="16">
        <f>IFERROR(__xludf.DUMMYFUNCTION("""COMPUTED_VALUE"""),1.0)</f>
        <v>1</v>
      </c>
      <c r="BF266" s="16">
        <f>IFERROR(__xludf.DUMMYFUNCTION("""COMPUTED_VALUE"""),0.0)</f>
        <v>0</v>
      </c>
      <c r="BG266" s="16">
        <f>IFERROR(__xludf.DUMMYFUNCTION("""COMPUTED_VALUE"""),1.0)</f>
        <v>1</v>
      </c>
      <c r="BH266" s="16">
        <f>IFERROR(__xludf.DUMMYFUNCTION("""COMPUTED_VALUE"""),0.0)</f>
        <v>0</v>
      </c>
      <c r="BI266" s="16">
        <f>IFERROR(__xludf.DUMMYFUNCTION("""COMPUTED_VALUE"""),-6.0)</f>
        <v>-6</v>
      </c>
      <c r="BJ266" s="16">
        <f>IFERROR(__xludf.DUMMYFUNCTION("""COMPUTED_VALUE"""),18.0)</f>
        <v>18</v>
      </c>
      <c r="BK266" s="16">
        <f>IFERROR(__xludf.DUMMYFUNCTION("""COMPUTED_VALUE"""),15.0)</f>
        <v>15</v>
      </c>
      <c r="BL266" s="16">
        <f>IFERROR(__xludf.DUMMYFUNCTION("""COMPUTED_VALUE"""),-1.0)</f>
        <v>-1</v>
      </c>
      <c r="BM266" s="16">
        <f>IFERROR(__xludf.DUMMYFUNCTION("""COMPUTED_VALUE"""),-1.0)</f>
        <v>-1</v>
      </c>
      <c r="BN266" s="16">
        <f>IFERROR(__xludf.DUMMYFUNCTION("""COMPUTED_VALUE"""),-2.0)</f>
        <v>-2</v>
      </c>
      <c r="BO266" s="16">
        <f>IFERROR(__xludf.DUMMYFUNCTION("""COMPUTED_VALUE"""),-2.0)</f>
        <v>-2</v>
      </c>
      <c r="BP266" s="16">
        <f>IFERROR(__xludf.DUMMYFUNCTION("""COMPUTED_VALUE"""),-4.0)</f>
        <v>-4</v>
      </c>
      <c r="BQ266" s="16">
        <f>IFERROR(__xludf.DUMMYFUNCTION("""COMPUTED_VALUE"""),-3.0)</f>
        <v>-3</v>
      </c>
      <c r="BR266" s="16">
        <f>IFERROR(__xludf.DUMMYFUNCTION("""COMPUTED_VALUE"""),-7.0)</f>
        <v>-7</v>
      </c>
      <c r="BS266" s="16" t="str">
        <f>IFERROR(__xludf.DUMMYFUNCTION("""COMPUTED_VALUE"""),"*2-6,9/10,12 (15-8)")</f>
        <v>*2-6,9/10,12 (15-8)</v>
      </c>
      <c r="BT266" s="16" t="str">
        <f>IFERROR(__xludf.DUMMYFUNCTION("""COMPUTED_VALUE"""),"C")</f>
        <v>C</v>
      </c>
      <c r="BU266" s="16">
        <f>IFERROR(__xludf.DUMMYFUNCTION("""COMPUTED_VALUE"""),14.0)</f>
        <v>14</v>
      </c>
      <c r="BV266" s="16">
        <f>IFERROR(__xludf.DUMMYFUNCTION("""COMPUTED_VALUE"""),0.0)</f>
        <v>0</v>
      </c>
      <c r="BW266" s="16">
        <f>IFERROR(__xludf.DUMMYFUNCTION("""COMPUTED_VALUE"""),1.0)</f>
        <v>1</v>
      </c>
      <c r="BX266" s="16">
        <f>IFERROR(__xludf.DUMMYFUNCTION("""COMPUTED_VALUE"""),0.0)</f>
        <v>0</v>
      </c>
      <c r="BY266" s="16">
        <f>IFERROR(__xludf.DUMMYFUNCTION("""COMPUTED_VALUE"""),3.0)</f>
        <v>3</v>
      </c>
      <c r="BZ266" s="16" t="str">
        <f>IFERROR(__xludf.DUMMYFUNCTION("""COMPUTED_VALUE"""),"D")</f>
        <v>D</v>
      </c>
      <c r="CA266" s="16" t="str">
        <f>IFERROR(__xludf.DUMMYFUNCTION("""COMPUTED_VALUE"""),"D")</f>
        <v>D</v>
      </c>
      <c r="CB266" s="16">
        <f>IFERROR(__xludf.DUMMYFUNCTION("""COMPUTED_VALUE"""),0.0)</f>
        <v>0</v>
      </c>
      <c r="CC266" s="16">
        <f>IFERROR(__xludf.DUMMYFUNCTION("""COMPUTED_VALUE"""),0.0)</f>
        <v>0</v>
      </c>
      <c r="CD266" s="16">
        <f>IFERROR(__xludf.DUMMYFUNCTION("""COMPUTED_VALUE"""),0.0)</f>
        <v>0</v>
      </c>
      <c r="CE266" s="16">
        <f>IFERROR(__xludf.DUMMYFUNCTION("""COMPUTED_VALUE"""),0.0)</f>
        <v>0</v>
      </c>
      <c r="CF266" s="16">
        <f>IFERROR(__xludf.DUMMYFUNCTION("""COMPUTED_VALUE"""),1.0)</f>
        <v>1</v>
      </c>
      <c r="CG266" s="16">
        <f>IFERROR(__xludf.DUMMYFUNCTION("""COMPUTED_VALUE"""),-17.0)</f>
        <v>-17</v>
      </c>
      <c r="CH266" s="16">
        <f>IFERROR(__xludf.DUMMYFUNCTION("""COMPUTED_VALUE"""),-12.0)</f>
        <v>-12</v>
      </c>
      <c r="CI266" s="179">
        <f>IFERROR(__xludf.DUMMYFUNCTION("""COMPUTED_VALUE"""),-6.0)</f>
        <v>-6</v>
      </c>
      <c r="CJ266" s="16"/>
      <c r="CK266" s="16"/>
      <c r="CL266" s="16">
        <f>IFERROR(__xludf.DUMMYFUNCTION("""COMPUTED_VALUE"""),423.0)</f>
        <v>423</v>
      </c>
      <c r="CM266" s="16">
        <f>IFERROR(__xludf.DUMMYFUNCTION("""COMPUTED_VALUE"""),522.0)</f>
        <v>522</v>
      </c>
      <c r="CN266" s="16"/>
      <c r="CO266" s="16">
        <f>IFERROR(__xludf.DUMMYFUNCTION("""COMPUTED_VALUE"""),417.0)</f>
        <v>417</v>
      </c>
      <c r="CP266" s="16"/>
      <c r="CQ266" s="16"/>
      <c r="CR266" s="16" t="str">
        <f>IFERROR(__xludf.DUMMYFUNCTION("""COMPUTED_VALUE"""),"3b-5e22 2b-4e23 lf-4(-1)e17")</f>
        <v>3b-5e22 2b-4e23 lf-4(-1)e17</v>
      </c>
      <c r="CS266" s="16"/>
      <c r="CT266" s="16"/>
      <c r="CU266" s="16">
        <f>IFERROR(__xludf.DUMMYFUNCTION("""COMPUTED_VALUE"""),4.0)</f>
        <v>4</v>
      </c>
      <c r="CV266" s="16">
        <f>IFERROR(__xludf.DUMMYFUNCTION("""COMPUTED_VALUE"""),5.0)</f>
        <v>5</v>
      </c>
      <c r="CW266" s="16"/>
      <c r="CX266" s="16">
        <f>IFERROR(__xludf.DUMMYFUNCTION("""COMPUTED_VALUE"""),4.0)</f>
        <v>4</v>
      </c>
      <c r="CY266" s="16"/>
      <c r="CZ266" s="16"/>
      <c r="DA266" s="16"/>
      <c r="DB266" s="16"/>
      <c r="DC266" s="16">
        <f>IFERROR(__xludf.DUMMYFUNCTION("""COMPUTED_VALUE"""),23.0)</f>
        <v>23</v>
      </c>
      <c r="DD266" s="16">
        <f>IFERROR(__xludf.DUMMYFUNCTION("""COMPUTED_VALUE"""),22.0)</f>
        <v>22</v>
      </c>
      <c r="DE266" s="16"/>
      <c r="DF266" s="16">
        <f>IFERROR(__xludf.DUMMYFUNCTION("""COMPUTED_VALUE"""),17.0)</f>
        <v>17</v>
      </c>
      <c r="DG266" s="16"/>
      <c r="DH266" s="16"/>
      <c r="DI266" s="16"/>
      <c r="DJ266" s="16"/>
      <c r="DK266" s="16">
        <f>IFERROR(__xludf.DUMMYFUNCTION("""COMPUTED_VALUE"""),-2.0)</f>
        <v>-2</v>
      </c>
      <c r="DL266" s="16">
        <f>IFERROR(__xludf.DUMMYFUNCTION("""COMPUTED_VALUE"""),-2.0)</f>
        <v>-2</v>
      </c>
      <c r="DM266" s="16"/>
      <c r="DN266" s="16">
        <f>IFERROR(__xludf.DUMMYFUNCTION("""COMPUTED_VALUE"""),-1.0)</f>
        <v>-1</v>
      </c>
      <c r="DO266" s="16"/>
      <c r="DP266" s="16"/>
      <c r="DQ266" s="16"/>
      <c r="DR266" s="16"/>
      <c r="DS266" s="16">
        <f>IFERROR(__xludf.DUMMYFUNCTION("""COMPUTED_VALUE"""),0.0)</f>
        <v>0</v>
      </c>
      <c r="DT266" s="16">
        <f>IFERROR(__xludf.DUMMYFUNCTION("""COMPUTED_VALUE"""),-2.0)</f>
        <v>-2</v>
      </c>
      <c r="DU266" s="16"/>
      <c r="DV266" s="16">
        <f>IFERROR(__xludf.DUMMYFUNCTION("""COMPUTED_VALUE"""),-4.0)</f>
        <v>-4</v>
      </c>
      <c r="DW266" s="16"/>
      <c r="DX266" s="16"/>
      <c r="DY266" s="16"/>
      <c r="DZ266" s="16"/>
      <c r="EA266" s="16">
        <f>IFERROR(__xludf.DUMMYFUNCTION("""COMPUTED_VALUE"""),-2.0)</f>
        <v>-2</v>
      </c>
      <c r="EB266" s="16">
        <f>IFERROR(__xludf.DUMMYFUNCTION("""COMPUTED_VALUE"""),-4.0)</f>
        <v>-4</v>
      </c>
      <c r="EC266" s="16"/>
      <c r="ED266" s="16">
        <f>IFERROR(__xludf.DUMMYFUNCTION("""COMPUTED_VALUE"""),-5.0)</f>
        <v>-5</v>
      </c>
      <c r="EE266" s="16"/>
      <c r="EF266" s="16"/>
      <c r="EG266" s="179"/>
      <c r="EH266" s="179"/>
      <c r="EI266" s="179">
        <f>IFERROR(__xludf.DUMMYFUNCTION("""COMPUTED_VALUE"""),-8.0)</f>
        <v>-8</v>
      </c>
      <c r="EJ266" s="179">
        <f>IFERROR(__xludf.DUMMYFUNCTION("""COMPUTED_VALUE"""),-10.0)</f>
        <v>-10</v>
      </c>
      <c r="EK266" s="179"/>
      <c r="EL266" s="179">
        <f>IFERROR(__xludf.DUMMYFUNCTION("""COMPUTED_VALUE"""),-11.0)</f>
        <v>-11</v>
      </c>
      <c r="EM266" s="179"/>
      <c r="EN266" s="179"/>
      <c r="EO266" s="16"/>
      <c r="EP266" s="16">
        <f>IFERROR(__xludf.DUMMYFUNCTION("""COMPUTED_VALUE"""),1.0)</f>
        <v>1</v>
      </c>
      <c r="EQ266" s="16">
        <f>IFERROR(__xludf.DUMMYFUNCTION("""COMPUTED_VALUE"""),4.0)</f>
        <v>4</v>
      </c>
      <c r="ER266" s="16">
        <f>IFERROR(__xludf.DUMMYFUNCTION("""COMPUTED_VALUE"""),3.0)</f>
        <v>3</v>
      </c>
      <c r="ES266" s="16"/>
      <c r="ET266" s="16"/>
      <c r="EU266" s="16"/>
      <c r="EV266" s="16"/>
      <c r="EW266" s="16"/>
      <c r="EX266" s="180"/>
      <c r="EY266" s="180"/>
      <c r="EZ266" s="180">
        <f>IFERROR(__xludf.DUMMYFUNCTION("""COMPUTED_VALUE"""),0.3)</f>
        <v>0.3</v>
      </c>
      <c r="FA266" s="180">
        <f>IFERROR(__xludf.DUMMYFUNCTION("""COMPUTED_VALUE"""),0.4)</f>
        <v>0.4</v>
      </c>
      <c r="FB266" s="180"/>
      <c r="FC266" s="180">
        <f>IFERROR(__xludf.DUMMYFUNCTION("""COMPUTED_VALUE"""),0.55)</f>
        <v>0.55</v>
      </c>
      <c r="FD266" s="180"/>
      <c r="FE266" s="180"/>
      <c r="FF266" s="180"/>
      <c r="FG266" s="180"/>
      <c r="FH266" s="180">
        <f>IFERROR(__xludf.DUMMYFUNCTION("""COMPUTED_VALUE"""),0.1388888888888889)</f>
        <v>0.1388888889</v>
      </c>
      <c r="FI266" s="180">
        <f>IFERROR(__xludf.DUMMYFUNCTION("""COMPUTED_VALUE"""),0.2638888888888889)</f>
        <v>0.2638888889</v>
      </c>
      <c r="FJ266" s="180"/>
      <c r="FK266" s="180">
        <f>IFERROR(__xludf.DUMMYFUNCTION("""COMPUTED_VALUE"""),0.306)</f>
        <v>0.306</v>
      </c>
      <c r="FL266" s="180"/>
      <c r="FM266" s="180"/>
      <c r="FN266" s="16"/>
      <c r="FO266" s="16"/>
      <c r="FP266" s="16">
        <f>IFERROR(__xludf.DUMMYFUNCTION("""COMPUTED_VALUE"""),0.6027777777777777)</f>
        <v>0.6027777778</v>
      </c>
      <c r="FQ266" s="16">
        <f>IFERROR(__xludf.DUMMYFUNCTION("""COMPUTED_VALUE"""),0.4416666666666667)</f>
        <v>0.4416666667</v>
      </c>
      <c r="FR266" s="16"/>
      <c r="FS266" s="16">
        <f>IFERROR(__xludf.DUMMYFUNCTION("""COMPUTED_VALUE"""),0.31229999999999997)</f>
        <v>0.3123</v>
      </c>
      <c r="FT266" s="16"/>
      <c r="FU266" s="16"/>
      <c r="FV266" s="16"/>
      <c r="FW266" s="16"/>
      <c r="FX266" s="16">
        <f>IFERROR(__xludf.DUMMYFUNCTION("""COMPUTED_VALUE"""),-6.0)</f>
        <v>-6</v>
      </c>
      <c r="FY266" s="16">
        <f>IFERROR(__xludf.DUMMYFUNCTION("""COMPUTED_VALUE"""),-8.0)</f>
        <v>-8</v>
      </c>
      <c r="FZ266" s="16"/>
      <c r="GA266" s="16">
        <f>IFERROR(__xludf.DUMMYFUNCTION("""COMPUTED_VALUE"""),-9.0)</f>
        <v>-9</v>
      </c>
      <c r="GB266" s="16"/>
      <c r="GC266" s="16"/>
      <c r="GD266" s="16" t="s">
        <v>176</v>
      </c>
    </row>
    <row r="267">
      <c r="A267" s="16">
        <f>IFERROR(__xludf.DUMMYFUNCTION("""COMPUTED_VALUE"""),12747.0)</f>
        <v>12747</v>
      </c>
      <c r="B267" s="16" t="str">
        <f>IFERROR(__xludf.DUMMYFUNCTION("""COMPUTED_VALUE"""),"Davis Schneider")</f>
        <v>Davis Schneider</v>
      </c>
      <c r="C267" s="16">
        <f>IFERROR(__xludf.DUMMYFUNCTION("""COMPUTED_VALUE"""),0.0)</f>
        <v>0</v>
      </c>
      <c r="D267" s="16" t="str">
        <f>IFERROR(__xludf.DUMMYFUNCTION("""COMPUTED_VALUE"""),"R")</f>
        <v>R</v>
      </c>
      <c r="E267" s="16"/>
      <c r="F267" s="16"/>
      <c r="G267" s="16">
        <f>IFERROR(__xludf.DUMMYFUNCTION("""COMPUTED_VALUE"""),397.0)</f>
        <v>397</v>
      </c>
      <c r="H267" s="16">
        <f>IFERROR(__xludf.DUMMYFUNCTION("""COMPUTED_VALUE"""),47.0)</f>
        <v>47</v>
      </c>
      <c r="I267" s="16" t="str">
        <f>IFERROR(__xludf.DUMMYFUNCTION("""COMPUTED_VALUE"""),"1p60")</f>
        <v>1p60</v>
      </c>
      <c r="J267" s="16">
        <f>IFERROR(__xludf.DUMMYFUNCTION("""COMPUTED_VALUE"""),53.0)</f>
        <v>53</v>
      </c>
      <c r="K267" s="16">
        <f>IFERROR(__xludf.DUMMYFUNCTION("""COMPUTED_VALUE"""),39.0)</f>
        <v>39</v>
      </c>
      <c r="L267" s="16">
        <f>IFERROR(__xludf.DUMMYFUNCTION("""COMPUTED_VALUE"""),-2.0)</f>
        <v>-2</v>
      </c>
      <c r="M267" s="16">
        <f>IFERROR(__xludf.DUMMYFUNCTION("""COMPUTED_VALUE"""),-2.0)</f>
        <v>-2</v>
      </c>
      <c r="N267" s="16">
        <f>IFERROR(__xludf.DUMMYFUNCTION("""COMPUTED_VALUE"""),-2.0)</f>
        <v>-2</v>
      </c>
      <c r="O267" s="16">
        <f>IFERROR(__xludf.DUMMYFUNCTION("""COMPUTED_VALUE"""),-2.0)</f>
        <v>-2</v>
      </c>
      <c r="P267" s="16">
        <f>IFERROR(__xludf.DUMMYFUNCTION("""COMPUTED_VALUE"""),10.0)</f>
        <v>10</v>
      </c>
      <c r="Q267" s="16">
        <f>IFERROR(__xludf.DUMMYFUNCTION("""COMPUTED_VALUE"""),16.0)</f>
        <v>16</v>
      </c>
      <c r="R267" s="16">
        <f>IFERROR(__xludf.DUMMYFUNCTION("""COMPUTED_VALUE"""),1.0)</f>
        <v>1</v>
      </c>
      <c r="S267" s="16">
        <f>IFERROR(__xludf.DUMMYFUNCTION("""COMPUTED_VALUE"""),2.0)</f>
        <v>2</v>
      </c>
      <c r="T267" s="16">
        <f>IFERROR(__xludf.DUMMYFUNCTION("""COMPUTED_VALUE"""),1.0)</f>
        <v>1</v>
      </c>
      <c r="U267" s="16">
        <f>IFERROR(__xludf.DUMMYFUNCTION("""COMPUTED_VALUE"""),2.0)</f>
        <v>2</v>
      </c>
      <c r="V267" s="16">
        <f>IFERROR(__xludf.DUMMYFUNCTION("""COMPUTED_VALUE"""),4.7)</f>
        <v>4.7</v>
      </c>
      <c r="W267" s="16">
        <f>IFERROR(__xludf.DUMMYFUNCTION("""COMPUTED_VALUE"""),10.5)</f>
        <v>10.5</v>
      </c>
      <c r="X267" s="16">
        <f>IFERROR(__xludf.DUMMYFUNCTION("""COMPUTED_VALUE"""),-2.0)</f>
        <v>-2</v>
      </c>
      <c r="Y267" s="16">
        <f>IFERROR(__xludf.DUMMYFUNCTION("""COMPUTED_VALUE"""),-2.0)</f>
        <v>-2</v>
      </c>
      <c r="Z267" s="16">
        <f>IFERROR(__xludf.DUMMYFUNCTION("""COMPUTED_VALUE"""),-4.0)</f>
        <v>-4</v>
      </c>
      <c r="AA267" s="16">
        <f>IFERROR(__xludf.DUMMYFUNCTION("""COMPUTED_VALUE"""),-4.0)</f>
        <v>-4</v>
      </c>
      <c r="AB267" s="16">
        <f>IFERROR(__xludf.DUMMYFUNCTION("""COMPUTED_VALUE"""),17.6)</f>
        <v>17.6</v>
      </c>
      <c r="AC267" s="16">
        <f>IFERROR(__xludf.DUMMYFUNCTION("""COMPUTED_VALUE"""),29.5)</f>
        <v>29.5</v>
      </c>
      <c r="AD267" s="16">
        <f>IFERROR(__xludf.DUMMYFUNCTION("""COMPUTED_VALUE"""),-2.0)</f>
        <v>-2</v>
      </c>
      <c r="AE267" s="16">
        <f>IFERROR(__xludf.DUMMYFUNCTION("""COMPUTED_VALUE"""),0.0)</f>
        <v>0</v>
      </c>
      <c r="AF267" s="16">
        <f>IFERROR(__xludf.DUMMYFUNCTION("""COMPUTED_VALUE"""),-10.0)</f>
        <v>-10</v>
      </c>
      <c r="AG267" s="16">
        <f>IFERROR(__xludf.DUMMYFUNCTION("""COMPUTED_VALUE"""),0.0)</f>
        <v>0</v>
      </c>
      <c r="AH267" s="16">
        <f>IFERROR(__xludf.DUMMYFUNCTION("""COMPUTED_VALUE"""),10.6)</f>
        <v>10.6</v>
      </c>
      <c r="AI267" s="16">
        <f>IFERROR(__xludf.DUMMYFUNCTION("""COMPUTED_VALUE"""),22.3)</f>
        <v>22.3</v>
      </c>
      <c r="AJ267" s="16">
        <f>IFERROR(__xludf.DUMMYFUNCTION("""COMPUTED_VALUE"""),-2.0)</f>
        <v>-2</v>
      </c>
      <c r="AK267" s="16">
        <f>IFERROR(__xludf.DUMMYFUNCTION("""COMPUTED_VALUE"""),-1.0)</f>
        <v>-1</v>
      </c>
      <c r="AL267" s="16">
        <f>IFERROR(__xludf.DUMMYFUNCTION("""COMPUTED_VALUE"""),-10.0)</f>
        <v>-10</v>
      </c>
      <c r="AM267" s="16">
        <f>IFERROR(__xludf.DUMMYFUNCTION("""COMPUTED_VALUE"""),-5.0)</f>
        <v>-5</v>
      </c>
      <c r="AN267" s="16">
        <f>IFERROR(__xludf.DUMMYFUNCTION("""COMPUTED_VALUE"""),1.0)</f>
        <v>1</v>
      </c>
      <c r="AO267" s="16">
        <f>IFERROR(__xludf.DUMMYFUNCTION("""COMPUTED_VALUE"""),2.2)</f>
        <v>2.2</v>
      </c>
      <c r="AP267" s="16">
        <f>IFERROR(__xludf.DUMMYFUNCTION("""COMPUTED_VALUE"""),-2.0)</f>
        <v>-2</v>
      </c>
      <c r="AQ267" s="16">
        <f>IFERROR(__xludf.DUMMYFUNCTION("""COMPUTED_VALUE"""),0.0)</f>
        <v>0</v>
      </c>
      <c r="AR267" s="16">
        <f>IFERROR(__xludf.DUMMYFUNCTION("""COMPUTED_VALUE"""),-4.0)</f>
        <v>-4</v>
      </c>
      <c r="AS267" s="16">
        <f>IFERROR(__xludf.DUMMYFUNCTION("""COMPUTED_VALUE"""),0.0)</f>
        <v>0</v>
      </c>
      <c r="AT267" s="16">
        <f>IFERROR(__xludf.DUMMYFUNCTION("""COMPUTED_VALUE"""),1.0)</f>
        <v>1</v>
      </c>
      <c r="AU267" s="16">
        <f>IFERROR(__xludf.DUMMYFUNCTION("""COMPUTED_VALUE"""),3.0)</f>
        <v>3</v>
      </c>
      <c r="AV267" s="16">
        <f>IFERROR(__xludf.DUMMYFUNCTION("""COMPUTED_VALUE"""),1.0)</f>
        <v>1</v>
      </c>
      <c r="AW267" s="16">
        <f>IFERROR(__xludf.DUMMYFUNCTION("""COMPUTED_VALUE"""),3.0)</f>
        <v>3</v>
      </c>
      <c r="AX267" s="16">
        <f>IFERROR(__xludf.DUMMYFUNCTION("""COMPUTED_VALUE"""),-1.0)</f>
        <v>-1</v>
      </c>
      <c r="AY267" s="16">
        <f>IFERROR(__xludf.DUMMYFUNCTION("""COMPUTED_VALUE"""),0.0)</f>
        <v>0</v>
      </c>
      <c r="AZ267" s="16">
        <f>IFERROR(__xludf.DUMMYFUNCTION("""COMPUTED_VALUE"""),-3.0)</f>
        <v>-3</v>
      </c>
      <c r="BA267" s="16">
        <f>IFERROR(__xludf.DUMMYFUNCTION("""COMPUTED_VALUE"""),0.0)</f>
        <v>0</v>
      </c>
      <c r="BB267" s="16">
        <f>IFERROR(__xludf.DUMMYFUNCTION("""COMPUTED_VALUE"""),5.0)</f>
        <v>5</v>
      </c>
      <c r="BC267" s="16">
        <f>IFERROR(__xludf.DUMMYFUNCTION("""COMPUTED_VALUE"""),5.0)</f>
        <v>5</v>
      </c>
      <c r="BD267" s="16">
        <f>IFERROR(__xludf.DUMMYFUNCTION("""COMPUTED_VALUE"""),1.0)</f>
        <v>1</v>
      </c>
      <c r="BE267" s="16">
        <f>IFERROR(__xludf.DUMMYFUNCTION("""COMPUTED_VALUE"""),1.0)</f>
        <v>1</v>
      </c>
      <c r="BF267" s="16">
        <f>IFERROR(__xludf.DUMMYFUNCTION("""COMPUTED_VALUE"""),1.0)</f>
        <v>1</v>
      </c>
      <c r="BG267" s="16">
        <f>IFERROR(__xludf.DUMMYFUNCTION("""COMPUTED_VALUE"""),1.0)</f>
        <v>1</v>
      </c>
      <c r="BH267" s="16">
        <f>IFERROR(__xludf.DUMMYFUNCTION("""COMPUTED_VALUE"""),0.0)</f>
        <v>0</v>
      </c>
      <c r="BI267" s="16">
        <f>IFERROR(__xludf.DUMMYFUNCTION("""COMPUTED_VALUE"""),0.0)</f>
        <v>0</v>
      </c>
      <c r="BJ267" s="16">
        <f>IFERROR(__xludf.DUMMYFUNCTION("""COMPUTED_VALUE"""),0.0)</f>
        <v>0</v>
      </c>
      <c r="BK267" s="16">
        <f>IFERROR(__xludf.DUMMYFUNCTION("""COMPUTED_VALUE"""),0.0)</f>
        <v>0</v>
      </c>
      <c r="BL267" s="16">
        <f>IFERROR(__xludf.DUMMYFUNCTION("""COMPUTED_VALUE"""),3.0)</f>
        <v>3</v>
      </c>
      <c r="BM267" s="16">
        <f>IFERROR(__xludf.DUMMYFUNCTION("""COMPUTED_VALUE"""),3.0)</f>
        <v>3</v>
      </c>
      <c r="BN267" s="16">
        <f>IFERROR(__xludf.DUMMYFUNCTION("""COMPUTED_VALUE"""),3.0)</f>
        <v>3</v>
      </c>
      <c r="BO267" s="16">
        <f>IFERROR(__xludf.DUMMYFUNCTION("""COMPUTED_VALUE"""),3.0)</f>
        <v>3</v>
      </c>
      <c r="BP267" s="16">
        <f>IFERROR(__xludf.DUMMYFUNCTION("""COMPUTED_VALUE"""),-6.0)</f>
        <v>-6</v>
      </c>
      <c r="BQ267" s="16">
        <f>IFERROR(__xludf.DUMMYFUNCTION("""COMPUTED_VALUE"""),1.0)</f>
        <v>1</v>
      </c>
      <c r="BR267" s="16">
        <f>IFERROR(__xludf.DUMMYFUNCTION("""COMPUTED_VALUE"""),-5.0)</f>
        <v>-5</v>
      </c>
      <c r="BS267" s="16" t="str">
        <f>IFERROR(__xludf.DUMMYFUNCTION("""COMPUTED_VALUE"""),"3/- (20-6)")</f>
        <v>3/- (20-6)</v>
      </c>
      <c r="BT267" s="16" t="str">
        <f>IFERROR(__xludf.DUMMYFUNCTION("""COMPUTED_VALUE"""),"C")</f>
        <v>C</v>
      </c>
      <c r="BU267" s="16">
        <f>IFERROR(__xludf.DUMMYFUNCTION("""COMPUTED_VALUE"""),12.0)</f>
        <v>12</v>
      </c>
      <c r="BV267" s="16">
        <f>IFERROR(__xludf.DUMMYFUNCTION("""COMPUTED_VALUE"""),0.0)</f>
        <v>0</v>
      </c>
      <c r="BW267" s="16">
        <f>IFERROR(__xludf.DUMMYFUNCTION("""COMPUTED_VALUE"""),0.0)</f>
        <v>0</v>
      </c>
      <c r="BX267" s="16">
        <f>IFERROR(__xludf.DUMMYFUNCTION("""COMPUTED_VALUE"""),0.0)</f>
        <v>0</v>
      </c>
      <c r="BY267" s="16">
        <f>IFERROR(__xludf.DUMMYFUNCTION("""COMPUTED_VALUE"""),0.0)</f>
        <v>0</v>
      </c>
      <c r="BZ267" s="16" t="str">
        <f>IFERROR(__xludf.DUMMYFUNCTION("""COMPUTED_VALUE"""),"D")</f>
        <v>D</v>
      </c>
      <c r="CA267" s="16" t="str">
        <f>IFERROR(__xludf.DUMMYFUNCTION("""COMPUTED_VALUE"""),"D")</f>
        <v>D</v>
      </c>
      <c r="CB267" s="16">
        <f>IFERROR(__xludf.DUMMYFUNCTION("""COMPUTED_VALUE"""),0.0)</f>
        <v>0</v>
      </c>
      <c r="CC267" s="16">
        <f>IFERROR(__xludf.DUMMYFUNCTION("""COMPUTED_VALUE"""),0.0)</f>
        <v>0</v>
      </c>
      <c r="CD267" s="16">
        <f>IFERROR(__xludf.DUMMYFUNCTION("""COMPUTED_VALUE"""),0.0)</f>
        <v>0</v>
      </c>
      <c r="CE267" s="16">
        <f>IFERROR(__xludf.DUMMYFUNCTION("""COMPUTED_VALUE"""),0.0)</f>
        <v>0</v>
      </c>
      <c r="CF267" s="16">
        <f>IFERROR(__xludf.DUMMYFUNCTION("""COMPUTED_VALUE"""),1.0)</f>
        <v>1</v>
      </c>
      <c r="CG267" s="16">
        <f>IFERROR(__xludf.DUMMYFUNCTION("""COMPUTED_VALUE"""),-28.0)</f>
        <v>-28</v>
      </c>
      <c r="CH267" s="16">
        <f>IFERROR(__xludf.DUMMYFUNCTION("""COMPUTED_VALUE"""),-5.0)</f>
        <v>-5</v>
      </c>
      <c r="CI267" s="179">
        <f>IFERROR(__xludf.DUMMYFUNCTION("""COMPUTED_VALUE"""),-6.0)</f>
        <v>-6</v>
      </c>
      <c r="CJ267" s="16"/>
      <c r="CK267" s="16"/>
      <c r="CL267" s="16">
        <f>IFERROR(__xludf.DUMMYFUNCTION("""COMPUTED_VALUE"""),304.0)</f>
        <v>304</v>
      </c>
      <c r="CM267" s="16"/>
      <c r="CN267" s="16"/>
      <c r="CO267" s="16">
        <f>IFERROR(__xludf.DUMMYFUNCTION("""COMPUTED_VALUE"""),304.0)</f>
        <v>304</v>
      </c>
      <c r="CP267" s="16"/>
      <c r="CQ267" s="16"/>
      <c r="CR267" s="16" t="str">
        <f>IFERROR(__xludf.DUMMYFUNCTION("""COMPUTED_VALUE"""),"lf-3(0)e4 2b-3e4")</f>
        <v>lf-3(0)e4 2b-3e4</v>
      </c>
      <c r="CS267" s="16"/>
      <c r="CT267" s="16"/>
      <c r="CU267" s="16">
        <f>IFERROR(__xludf.DUMMYFUNCTION("""COMPUTED_VALUE"""),3.0)</f>
        <v>3</v>
      </c>
      <c r="CV267" s="16"/>
      <c r="CW267" s="16"/>
      <c r="CX267" s="16">
        <f>IFERROR(__xludf.DUMMYFUNCTION("""COMPUTED_VALUE"""),3.0)</f>
        <v>3</v>
      </c>
      <c r="CY267" s="16"/>
      <c r="CZ267" s="16"/>
      <c r="DA267" s="16"/>
      <c r="DB267" s="16"/>
      <c r="DC267" s="16">
        <f>IFERROR(__xludf.DUMMYFUNCTION("""COMPUTED_VALUE"""),4.0)</f>
        <v>4</v>
      </c>
      <c r="DD267" s="16"/>
      <c r="DE267" s="16"/>
      <c r="DF267" s="16">
        <f>IFERROR(__xludf.DUMMYFUNCTION("""COMPUTED_VALUE"""),4.0)</f>
        <v>4</v>
      </c>
      <c r="DG267" s="16"/>
      <c r="DH267" s="16"/>
      <c r="DI267" s="16"/>
      <c r="DJ267" s="16"/>
      <c r="DK267" s="16">
        <f>IFERROR(__xludf.DUMMYFUNCTION("""COMPUTED_VALUE"""),0.0)</f>
        <v>0</v>
      </c>
      <c r="DL267" s="16"/>
      <c r="DM267" s="16"/>
      <c r="DN267" s="16">
        <f>IFERROR(__xludf.DUMMYFUNCTION("""COMPUTED_VALUE"""),0.0)</f>
        <v>0</v>
      </c>
      <c r="DO267" s="16"/>
      <c r="DP267" s="16"/>
      <c r="DQ267" s="16"/>
      <c r="DR267" s="16"/>
      <c r="DS267" s="16">
        <f>IFERROR(__xludf.DUMMYFUNCTION("""COMPUTED_VALUE"""),4.0)</f>
        <v>4</v>
      </c>
      <c r="DT267" s="16"/>
      <c r="DU267" s="16"/>
      <c r="DV267" s="16">
        <f>IFERROR(__xludf.DUMMYFUNCTION("""COMPUTED_VALUE"""),2.0)</f>
        <v>2</v>
      </c>
      <c r="DW267" s="16"/>
      <c r="DX267" s="16"/>
      <c r="DY267" s="16"/>
      <c r="DZ267" s="16"/>
      <c r="EA267" s="16">
        <f>IFERROR(__xludf.DUMMYFUNCTION("""COMPUTED_VALUE"""),4.0)</f>
        <v>4</v>
      </c>
      <c r="EB267" s="16"/>
      <c r="EC267" s="16"/>
      <c r="ED267" s="16">
        <f>IFERROR(__xludf.DUMMYFUNCTION("""COMPUTED_VALUE"""),2.0)</f>
        <v>2</v>
      </c>
      <c r="EE267" s="16"/>
      <c r="EF267" s="16"/>
      <c r="EG267" s="179"/>
      <c r="EH267" s="179"/>
      <c r="EI267" s="179">
        <f>IFERROR(__xludf.DUMMYFUNCTION("""COMPUTED_VALUE"""),-2.0)</f>
        <v>-2</v>
      </c>
      <c r="EJ267" s="179"/>
      <c r="EK267" s="179"/>
      <c r="EL267" s="179">
        <f>IFERROR(__xludf.DUMMYFUNCTION("""COMPUTED_VALUE"""),-4.0)</f>
        <v>-4</v>
      </c>
      <c r="EM267" s="179"/>
      <c r="EN267" s="179"/>
      <c r="EO267" s="16"/>
      <c r="EP267" s="16"/>
      <c r="EQ267" s="16">
        <f>IFERROR(__xludf.DUMMYFUNCTION("""COMPUTED_VALUE"""),4.0)</f>
        <v>4</v>
      </c>
      <c r="ER267" s="16">
        <f>IFERROR(__xludf.DUMMYFUNCTION("""COMPUTED_VALUE"""),1.0)</f>
        <v>1</v>
      </c>
      <c r="ES267" s="16"/>
      <c r="ET267" s="16"/>
      <c r="EU267" s="16"/>
      <c r="EV267" s="16"/>
      <c r="EW267" s="16"/>
      <c r="EX267" s="180"/>
      <c r="EY267" s="180"/>
      <c r="EZ267" s="180">
        <f>IFERROR(__xludf.DUMMYFUNCTION("""COMPUTED_VALUE"""),0.2)</f>
        <v>0.2</v>
      </c>
      <c r="FA267" s="180"/>
      <c r="FB267" s="180"/>
      <c r="FC267" s="180">
        <f>IFERROR(__xludf.DUMMYFUNCTION("""COMPUTED_VALUE"""),0.3)</f>
        <v>0.3</v>
      </c>
      <c r="FD267" s="180"/>
      <c r="FE267" s="180"/>
      <c r="FF267" s="180"/>
      <c r="FG267" s="180"/>
      <c r="FH267" s="180">
        <f>IFERROR(__xludf.DUMMYFUNCTION("""COMPUTED_VALUE"""),0.023148148148148147)</f>
        <v>0.02314814815</v>
      </c>
      <c r="FI267" s="180"/>
      <c r="FJ267" s="180"/>
      <c r="FK267" s="180">
        <f>IFERROR(__xludf.DUMMYFUNCTION("""COMPUTED_VALUE"""),0.069)</f>
        <v>0.069</v>
      </c>
      <c r="FL267" s="180"/>
      <c r="FM267" s="180"/>
      <c r="FN267" s="16"/>
      <c r="FO267" s="16"/>
      <c r="FP267" s="16">
        <f>IFERROR(__xludf.DUMMYFUNCTION("""COMPUTED_VALUE"""),0.7814814814814816)</f>
        <v>0.7814814815</v>
      </c>
      <c r="FQ267" s="16"/>
      <c r="FR267" s="16"/>
      <c r="FS267" s="16">
        <f>IFERROR(__xludf.DUMMYFUNCTION("""COMPUTED_VALUE"""),0.6517)</f>
        <v>0.6517</v>
      </c>
      <c r="FT267" s="16"/>
      <c r="FU267" s="16"/>
      <c r="FV267" s="16"/>
      <c r="FW267" s="16"/>
      <c r="FX267" s="16">
        <f>IFERROR(__xludf.DUMMYFUNCTION("""COMPUTED_VALUE"""),-1.0)</f>
        <v>-1</v>
      </c>
      <c r="FY267" s="16"/>
      <c r="FZ267" s="16"/>
      <c r="GA267" s="16">
        <f>IFERROR(__xludf.DUMMYFUNCTION("""COMPUTED_VALUE"""),-4.0)</f>
        <v>-4</v>
      </c>
      <c r="GB267" s="16"/>
      <c r="GC267" s="16"/>
      <c r="GD267" s="16" t="s">
        <v>623</v>
      </c>
    </row>
    <row r="268">
      <c r="A268" s="16">
        <f>IFERROR(__xludf.DUMMYFUNCTION("""COMPUTED_VALUE"""),13264.0)</f>
        <v>13264</v>
      </c>
      <c r="B268" s="16" t="str">
        <f>IFERROR(__xludf.DUMMYFUNCTION("""COMPUTED_VALUE"""),"Orlando Arcia")</f>
        <v>Orlando Arcia</v>
      </c>
      <c r="C268" s="16">
        <f>IFERROR(__xludf.DUMMYFUNCTION("""COMPUTED_VALUE"""),0.14)</f>
        <v>0.14</v>
      </c>
      <c r="D268" s="16" t="str">
        <f>IFERROR(__xludf.DUMMYFUNCTION("""COMPUTED_VALUE"""),"R")</f>
        <v>R</v>
      </c>
      <c r="E268" s="16"/>
      <c r="F268" s="16"/>
      <c r="G268" s="16">
        <f>IFERROR(__xludf.DUMMYFUNCTION("""COMPUTED_VALUE"""),551.0)</f>
        <v>551</v>
      </c>
      <c r="H268" s="16">
        <f>IFERROR(__xludf.DUMMYFUNCTION("""COMPUTED_VALUE"""),41.0)</f>
        <v>41</v>
      </c>
      <c r="I268" s="16" t="str">
        <f>IFERROR(__xludf.DUMMYFUNCTION("""COMPUTED_VALUE"""),"1p70")</f>
        <v>1p70</v>
      </c>
      <c r="J268" s="16">
        <f>IFERROR(__xludf.DUMMYFUNCTION("""COMPUTED_VALUE"""),30.0)</f>
        <v>30</v>
      </c>
      <c r="K268" s="16">
        <f>IFERROR(__xludf.DUMMYFUNCTION("""COMPUTED_VALUE"""),19.0)</f>
        <v>19</v>
      </c>
      <c r="L268" s="16">
        <f>IFERROR(__xludf.DUMMYFUNCTION("""COMPUTED_VALUE"""),0.0)</f>
        <v>0</v>
      </c>
      <c r="M268" s="16">
        <f>IFERROR(__xludf.DUMMYFUNCTION("""COMPUTED_VALUE"""),1.0)</f>
        <v>1</v>
      </c>
      <c r="N268" s="16">
        <f>IFERROR(__xludf.DUMMYFUNCTION("""COMPUTED_VALUE"""),0.0)</f>
        <v>0</v>
      </c>
      <c r="O268" s="16">
        <f>IFERROR(__xludf.DUMMYFUNCTION("""COMPUTED_VALUE"""),1.0)</f>
        <v>1</v>
      </c>
      <c r="P268" s="16">
        <f>IFERROR(__xludf.DUMMYFUNCTION("""COMPUTED_VALUE"""),12.0)</f>
        <v>12</v>
      </c>
      <c r="Q268" s="16">
        <f>IFERROR(__xludf.DUMMYFUNCTION("""COMPUTED_VALUE"""),5.0)</f>
        <v>5</v>
      </c>
      <c r="R268" s="16">
        <f>IFERROR(__xludf.DUMMYFUNCTION("""COMPUTED_VALUE"""),1.0)</f>
        <v>1</v>
      </c>
      <c r="S268" s="16">
        <f>IFERROR(__xludf.DUMMYFUNCTION("""COMPUTED_VALUE"""),-1.0)</f>
        <v>-1</v>
      </c>
      <c r="T268" s="16">
        <f>IFERROR(__xludf.DUMMYFUNCTION("""COMPUTED_VALUE"""),1.0)</f>
        <v>1</v>
      </c>
      <c r="U268" s="16">
        <f>IFERROR(__xludf.DUMMYFUNCTION("""COMPUTED_VALUE"""),-1.0)</f>
        <v>-1</v>
      </c>
      <c r="V268" s="16">
        <f>IFERROR(__xludf.DUMMYFUNCTION("""COMPUTED_VALUE"""),12.7)</f>
        <v>12.7</v>
      </c>
      <c r="W268" s="16">
        <f>IFERROR(__xludf.DUMMYFUNCTION("""COMPUTED_VALUE"""),16.5)</f>
        <v>16.5</v>
      </c>
      <c r="X268" s="16">
        <f>IFERROR(__xludf.DUMMYFUNCTION("""COMPUTED_VALUE"""),-1.0)</f>
        <v>-1</v>
      </c>
      <c r="Y268" s="16">
        <f>IFERROR(__xludf.DUMMYFUNCTION("""COMPUTED_VALUE"""),-1.0)</f>
        <v>-1</v>
      </c>
      <c r="Z268" s="16">
        <f>IFERROR(__xludf.DUMMYFUNCTION("""COMPUTED_VALUE"""),-2.0)</f>
        <v>-2</v>
      </c>
      <c r="AA268" s="16">
        <f>IFERROR(__xludf.DUMMYFUNCTION("""COMPUTED_VALUE"""),-2.0)</f>
        <v>-2</v>
      </c>
      <c r="AB268" s="16">
        <f>IFERROR(__xludf.DUMMYFUNCTION("""COMPUTED_VALUE"""),25.6)</f>
        <v>25.6</v>
      </c>
      <c r="AC268" s="16">
        <f>IFERROR(__xludf.DUMMYFUNCTION("""COMPUTED_VALUE"""),22.5)</f>
        <v>22.5</v>
      </c>
      <c r="AD268" s="16">
        <f>IFERROR(__xludf.DUMMYFUNCTION("""COMPUTED_VALUE"""),-1.0)</f>
        <v>-1</v>
      </c>
      <c r="AE268" s="16">
        <f>IFERROR(__xludf.DUMMYFUNCTION("""COMPUTED_VALUE"""),-1.0)</f>
        <v>-1</v>
      </c>
      <c r="AF268" s="16">
        <f>IFERROR(__xludf.DUMMYFUNCTION("""COMPUTED_VALUE"""),-5.0)</f>
        <v>-5</v>
      </c>
      <c r="AG268" s="16">
        <f>IFERROR(__xludf.DUMMYFUNCTION("""COMPUTED_VALUE"""),-5.0)</f>
        <v>-5</v>
      </c>
      <c r="AH268" s="16">
        <f>IFERROR(__xludf.DUMMYFUNCTION("""COMPUTED_VALUE"""),27.0)</f>
        <v>27</v>
      </c>
      <c r="AI268" s="16">
        <f>IFERROR(__xludf.DUMMYFUNCTION("""COMPUTED_VALUE"""),26.5)</f>
        <v>26.5</v>
      </c>
      <c r="AJ268" s="16">
        <f>IFERROR(__xludf.DUMMYFUNCTION("""COMPUTED_VALUE"""),0.0)</f>
        <v>0</v>
      </c>
      <c r="AK268" s="16">
        <f>IFERROR(__xludf.DUMMYFUNCTION("""COMPUTED_VALUE"""),-1.0)</f>
        <v>-1</v>
      </c>
      <c r="AL268" s="16">
        <f>IFERROR(__xludf.DUMMYFUNCTION("""COMPUTED_VALUE"""),0.0)</f>
        <v>0</v>
      </c>
      <c r="AM268" s="16">
        <f>IFERROR(__xludf.DUMMYFUNCTION("""COMPUTED_VALUE"""),-5.0)</f>
        <v>-5</v>
      </c>
      <c r="AN268" s="16">
        <f>IFERROR(__xludf.DUMMYFUNCTION("""COMPUTED_VALUE"""),1.6)</f>
        <v>1.6</v>
      </c>
      <c r="AO268" s="16">
        <f>IFERROR(__xludf.DUMMYFUNCTION("""COMPUTED_VALUE"""),2.8)</f>
        <v>2.8</v>
      </c>
      <c r="AP268" s="16">
        <f>IFERROR(__xludf.DUMMYFUNCTION("""COMPUTED_VALUE"""),-1.0)</f>
        <v>-1</v>
      </c>
      <c r="AQ268" s="16">
        <f>IFERROR(__xludf.DUMMYFUNCTION("""COMPUTED_VALUE"""),0.0)</f>
        <v>0</v>
      </c>
      <c r="AR268" s="16">
        <f>IFERROR(__xludf.DUMMYFUNCTION("""COMPUTED_VALUE"""),-2.0)</f>
        <v>-2</v>
      </c>
      <c r="AS268" s="16">
        <f>IFERROR(__xludf.DUMMYFUNCTION("""COMPUTED_VALUE"""),0.0)</f>
        <v>0</v>
      </c>
      <c r="AT268" s="16"/>
      <c r="AU268" s="16">
        <f>IFERROR(__xludf.DUMMYFUNCTION("""COMPUTED_VALUE"""),4.0)</f>
        <v>4</v>
      </c>
      <c r="AV268" s="16">
        <f>IFERROR(__xludf.DUMMYFUNCTION("""COMPUTED_VALUE"""),-3.0)</f>
        <v>-3</v>
      </c>
      <c r="AW268" s="16">
        <f>IFERROR(__xludf.DUMMYFUNCTION("""COMPUTED_VALUE"""),4.0)</f>
        <v>4</v>
      </c>
      <c r="AX268" s="16">
        <f>IFERROR(__xludf.DUMMYFUNCTION("""COMPUTED_VALUE"""),-3.0)</f>
        <v>-3</v>
      </c>
      <c r="AY268" s="16">
        <f>IFERROR(__xludf.DUMMYFUNCTION("""COMPUTED_VALUE"""),1.0)</f>
        <v>1</v>
      </c>
      <c r="AZ268" s="16">
        <f>IFERROR(__xludf.DUMMYFUNCTION("""COMPUTED_VALUE"""),-9.0)</f>
        <v>-9</v>
      </c>
      <c r="BA268" s="16">
        <f>IFERROR(__xludf.DUMMYFUNCTION("""COMPUTED_VALUE"""),3.0)</f>
        <v>3</v>
      </c>
      <c r="BB268" s="16">
        <f>IFERROR(__xludf.DUMMYFUNCTION("""COMPUTED_VALUE"""),5.0)</f>
        <v>5</v>
      </c>
      <c r="BC268" s="16">
        <f>IFERROR(__xludf.DUMMYFUNCTION("""COMPUTED_VALUE"""),5.0)</f>
        <v>5</v>
      </c>
      <c r="BD268" s="16">
        <f>IFERROR(__xludf.DUMMYFUNCTION("""COMPUTED_VALUE"""),1.0)</f>
        <v>1</v>
      </c>
      <c r="BE268" s="16">
        <f>IFERROR(__xludf.DUMMYFUNCTION("""COMPUTED_VALUE"""),1.0)</f>
        <v>1</v>
      </c>
      <c r="BF268" s="16">
        <f>IFERROR(__xludf.DUMMYFUNCTION("""COMPUTED_VALUE"""),1.0)</f>
        <v>1</v>
      </c>
      <c r="BG268" s="16">
        <f>IFERROR(__xludf.DUMMYFUNCTION("""COMPUTED_VALUE"""),1.0)</f>
        <v>1</v>
      </c>
      <c r="BH268" s="16">
        <f>IFERROR(__xludf.DUMMYFUNCTION("""COMPUTED_VALUE"""),0.0)</f>
        <v>0</v>
      </c>
      <c r="BI268" s="16">
        <f>IFERROR(__xludf.DUMMYFUNCTION("""COMPUTED_VALUE"""),-10.0)</f>
        <v>-10</v>
      </c>
      <c r="BJ268" s="16">
        <f>IFERROR(__xludf.DUMMYFUNCTION("""COMPUTED_VALUE"""),21.0)</f>
        <v>21</v>
      </c>
      <c r="BK268" s="16">
        <f>IFERROR(__xludf.DUMMYFUNCTION("""COMPUTED_VALUE"""),22.0)</f>
        <v>22</v>
      </c>
      <c r="BL268" s="16">
        <f>IFERROR(__xludf.DUMMYFUNCTION("""COMPUTED_VALUE"""),-2.0)</f>
        <v>-2</v>
      </c>
      <c r="BM268" s="16">
        <f>IFERROR(__xludf.DUMMYFUNCTION("""COMPUTED_VALUE"""),-2.0)</f>
        <v>-2</v>
      </c>
      <c r="BN268" s="16">
        <f>IFERROR(__xludf.DUMMYFUNCTION("""COMPUTED_VALUE"""),-4.0)</f>
        <v>-4</v>
      </c>
      <c r="BO268" s="16">
        <f>IFERROR(__xludf.DUMMYFUNCTION("""COMPUTED_VALUE"""),-4.0)</f>
        <v>-4</v>
      </c>
      <c r="BP268" s="16">
        <f>IFERROR(__xludf.DUMMYFUNCTION("""COMPUTED_VALUE"""),-6.0)</f>
        <v>-6</v>
      </c>
      <c r="BQ268" s="16">
        <f>IFERROR(__xludf.DUMMYFUNCTION("""COMPUTED_VALUE"""),-3.0)</f>
        <v>-3</v>
      </c>
      <c r="BR268" s="16">
        <f>IFERROR(__xludf.DUMMYFUNCTION("""COMPUTED_VALUE"""),-9.0)</f>
        <v>-9</v>
      </c>
      <c r="BS268" s="16" t="str">
        <f>IFERROR(__xludf.DUMMYFUNCTION("""COMPUTED_VALUE"""),"2/- (20-6)")</f>
        <v>2/- (20-6)</v>
      </c>
      <c r="BT268" s="16" t="str">
        <f>IFERROR(__xludf.DUMMYFUNCTION("""COMPUTED_VALUE"""),"E")</f>
        <v>E</v>
      </c>
      <c r="BU268" s="16">
        <f>IFERROR(__xludf.DUMMYFUNCTION("""COMPUTED_VALUE"""),11.0)</f>
        <v>11</v>
      </c>
      <c r="BV268" s="16">
        <f>IFERROR(__xludf.DUMMYFUNCTION("""COMPUTED_VALUE"""),0.0)</f>
        <v>0</v>
      </c>
      <c r="BW268" s="16">
        <f>IFERROR(__xludf.DUMMYFUNCTION("""COMPUTED_VALUE"""),0.0)</f>
        <v>0</v>
      </c>
      <c r="BX268" s="16">
        <f>IFERROR(__xludf.DUMMYFUNCTION("""COMPUTED_VALUE"""),0.0)</f>
        <v>0</v>
      </c>
      <c r="BY268" s="16">
        <f>IFERROR(__xludf.DUMMYFUNCTION("""COMPUTED_VALUE"""),0.0)</f>
        <v>0</v>
      </c>
      <c r="BZ268" s="16" t="str">
        <f>IFERROR(__xludf.DUMMYFUNCTION("""COMPUTED_VALUE"""),"D")</f>
        <v>D</v>
      </c>
      <c r="CA268" s="16" t="str">
        <f>IFERROR(__xludf.DUMMYFUNCTION("""COMPUTED_VALUE"""),"C")</f>
        <v>C</v>
      </c>
      <c r="CB268" s="16">
        <f>IFERROR(__xludf.DUMMYFUNCTION("""COMPUTED_VALUE"""),0.0)</f>
        <v>0</v>
      </c>
      <c r="CC268" s="16">
        <f>IFERROR(__xludf.DUMMYFUNCTION("""COMPUTED_VALUE"""),0.0)</f>
        <v>0</v>
      </c>
      <c r="CD268" s="16">
        <f>IFERROR(__xludf.DUMMYFUNCTION("""COMPUTED_VALUE"""),0.0)</f>
        <v>0</v>
      </c>
      <c r="CE268" s="16">
        <f>IFERROR(__xludf.DUMMYFUNCTION("""COMPUTED_VALUE"""),0.0)</f>
        <v>0</v>
      </c>
      <c r="CF268" s="16">
        <f>IFERROR(__xludf.DUMMYFUNCTION("""COMPUTED_VALUE"""),1.0)</f>
        <v>1</v>
      </c>
      <c r="CG268" s="16">
        <f>IFERROR(__xludf.DUMMYFUNCTION("""COMPUTED_VALUE"""),-20.0)</f>
        <v>-20</v>
      </c>
      <c r="CH268" s="16">
        <f>IFERROR(__xludf.DUMMYFUNCTION("""COMPUTED_VALUE"""),-12.0)</f>
        <v>-12</v>
      </c>
      <c r="CI268" s="179">
        <f>IFERROR(__xludf.DUMMYFUNCTION("""COMPUTED_VALUE"""),-7.0)</f>
        <v>-7</v>
      </c>
      <c r="CJ268" s="16"/>
      <c r="CK268" s="16"/>
      <c r="CL268" s="16"/>
      <c r="CM268" s="16"/>
      <c r="CN268" s="16">
        <f>IFERROR(__xludf.DUMMYFUNCTION("""COMPUTED_VALUE"""),212.0)</f>
        <v>212</v>
      </c>
      <c r="CO268" s="16"/>
      <c r="CP268" s="16"/>
      <c r="CQ268" s="16"/>
      <c r="CR268" s="16" t="str">
        <f>IFERROR(__xludf.DUMMYFUNCTION("""COMPUTED_VALUE"""),"ss-2e12")</f>
        <v>ss-2e12</v>
      </c>
      <c r="CS268" s="16"/>
      <c r="CT268" s="16"/>
      <c r="CU268" s="16"/>
      <c r="CV268" s="16"/>
      <c r="CW268" s="16">
        <f>IFERROR(__xludf.DUMMYFUNCTION("""COMPUTED_VALUE"""),2.0)</f>
        <v>2</v>
      </c>
      <c r="CX268" s="16"/>
      <c r="CY268" s="16"/>
      <c r="CZ268" s="16"/>
      <c r="DA268" s="16"/>
      <c r="DB268" s="16"/>
      <c r="DC268" s="16"/>
      <c r="DD268" s="16"/>
      <c r="DE268" s="16">
        <f>IFERROR(__xludf.DUMMYFUNCTION("""COMPUTED_VALUE"""),12.0)</f>
        <v>12</v>
      </c>
      <c r="DF268" s="16"/>
      <c r="DG268" s="16"/>
      <c r="DH268" s="16"/>
      <c r="DI268" s="16"/>
      <c r="DJ268" s="16"/>
      <c r="DK268" s="16"/>
      <c r="DL268" s="16"/>
      <c r="DM268" s="16">
        <f>IFERROR(__xludf.DUMMYFUNCTION("""COMPUTED_VALUE"""),3.0)</f>
        <v>3</v>
      </c>
      <c r="DN268" s="16"/>
      <c r="DO268" s="16"/>
      <c r="DP268" s="16"/>
      <c r="DQ268" s="16"/>
      <c r="DR268" s="16"/>
      <c r="DS268" s="16"/>
      <c r="DT268" s="16"/>
      <c r="DU268" s="16">
        <f>IFERROR(__xludf.DUMMYFUNCTION("""COMPUTED_VALUE"""),2.0)</f>
        <v>2</v>
      </c>
      <c r="DV268" s="16"/>
      <c r="DW268" s="16"/>
      <c r="DX268" s="16"/>
      <c r="DY268" s="16"/>
      <c r="DZ268" s="16"/>
      <c r="EA268" s="16"/>
      <c r="EB268" s="16"/>
      <c r="EC268" s="16">
        <f>IFERROR(__xludf.DUMMYFUNCTION("""COMPUTED_VALUE"""),5.0)</f>
        <v>5</v>
      </c>
      <c r="ED268" s="16"/>
      <c r="EE268" s="16"/>
      <c r="EF268" s="16"/>
      <c r="EG268" s="179"/>
      <c r="EH268" s="179"/>
      <c r="EI268" s="179"/>
      <c r="EJ268" s="179"/>
      <c r="EK268" s="179">
        <f>IFERROR(__xludf.DUMMYFUNCTION("""COMPUTED_VALUE"""),-2.0)</f>
        <v>-2</v>
      </c>
      <c r="EL268" s="179"/>
      <c r="EM268" s="179"/>
      <c r="EN268" s="179"/>
      <c r="EO268" s="16"/>
      <c r="EP268" s="16"/>
      <c r="EQ268" s="16">
        <f>IFERROR(__xludf.DUMMYFUNCTION("""COMPUTED_VALUE"""),4.0)</f>
        <v>4</v>
      </c>
      <c r="ER268" s="16">
        <f>IFERROR(__xludf.DUMMYFUNCTION("""COMPUTED_VALUE"""),3.0)</f>
        <v>3</v>
      </c>
      <c r="ES268" s="16"/>
      <c r="ET268" s="16"/>
      <c r="EU268" s="16"/>
      <c r="EV268" s="16"/>
      <c r="EW268" s="16"/>
      <c r="EX268" s="180"/>
      <c r="EY268" s="180"/>
      <c r="EZ268" s="180"/>
      <c r="FA268" s="180"/>
      <c r="FB268" s="180">
        <f>IFERROR(__xludf.DUMMYFUNCTION("""COMPUTED_VALUE"""),0.1)</f>
        <v>0.1</v>
      </c>
      <c r="FC268" s="180"/>
      <c r="FD268" s="180"/>
      <c r="FE268" s="180"/>
      <c r="FF268" s="180"/>
      <c r="FG268" s="180"/>
      <c r="FH268" s="180"/>
      <c r="FI268" s="180"/>
      <c r="FJ268" s="180">
        <f>IFERROR(__xludf.DUMMYFUNCTION("""COMPUTED_VALUE"""),0.05555555555555555)</f>
        <v>0.05555555556</v>
      </c>
      <c r="FK268" s="180"/>
      <c r="FL268" s="180"/>
      <c r="FM268" s="180"/>
      <c r="FN268" s="16"/>
      <c r="FO268" s="16"/>
      <c r="FP268" s="16"/>
      <c r="FQ268" s="16"/>
      <c r="FR268" s="16">
        <f>IFERROR(__xludf.DUMMYFUNCTION("""COMPUTED_VALUE"""),0.85)</f>
        <v>0.85</v>
      </c>
      <c r="FS268" s="16"/>
      <c r="FT268" s="16"/>
      <c r="FU268" s="16"/>
      <c r="FV268" s="16"/>
      <c r="FW268" s="16"/>
      <c r="FX268" s="16"/>
      <c r="FY268" s="16"/>
      <c r="FZ268" s="16">
        <f>IFERROR(__xludf.DUMMYFUNCTION("""COMPUTED_VALUE"""),1.0)</f>
        <v>1</v>
      </c>
      <c r="GA268" s="16"/>
      <c r="GB268" s="16"/>
      <c r="GC268" s="16"/>
      <c r="GD268" s="16" t="s">
        <v>176</v>
      </c>
    </row>
    <row r="269">
      <c r="A269" s="16">
        <f>IFERROR(__xludf.DUMMYFUNCTION("""COMPUTED_VALUE"""),13478.0)</f>
        <v>13478</v>
      </c>
      <c r="B269" s="16" t="str">
        <f>IFERROR(__xludf.DUMMYFUNCTION("""COMPUTED_VALUE"""),"Whit Merrifield")</f>
        <v>Whit Merrifield</v>
      </c>
      <c r="C269" s="16">
        <f>IFERROR(__xludf.DUMMYFUNCTION("""COMPUTED_VALUE"""),0.26)</f>
        <v>0.26</v>
      </c>
      <c r="D269" s="16" t="str">
        <f>IFERROR(__xludf.DUMMYFUNCTION("""COMPUTED_VALUE"""),"R")</f>
        <v>R</v>
      </c>
      <c r="E269" s="16"/>
      <c r="F269" s="16"/>
      <c r="G269" s="16">
        <f>IFERROR(__xludf.DUMMYFUNCTION("""COMPUTED_VALUE"""),293.0)</f>
        <v>293</v>
      </c>
      <c r="H269" s="16">
        <f>IFERROR(__xludf.DUMMYFUNCTION("""COMPUTED_VALUE"""),35.0)</f>
        <v>35</v>
      </c>
      <c r="I269" s="16" t="str">
        <f>IFERROR(__xludf.DUMMYFUNCTION("""COMPUTED_VALUE"""),"1p50")</f>
        <v>1p50</v>
      </c>
      <c r="J269" s="16">
        <f>IFERROR(__xludf.DUMMYFUNCTION("""COMPUTED_VALUE"""),3.0)</f>
        <v>3</v>
      </c>
      <c r="K269" s="16">
        <f>IFERROR(__xludf.DUMMYFUNCTION("""COMPUTED_VALUE"""),13.0)</f>
        <v>13</v>
      </c>
      <c r="L269" s="16">
        <f>IFERROR(__xludf.DUMMYFUNCTION("""COMPUTED_VALUE"""),2.0)</f>
        <v>2</v>
      </c>
      <c r="M269" s="16">
        <f>IFERROR(__xludf.DUMMYFUNCTION("""COMPUTED_VALUE"""),1.0)</f>
        <v>1</v>
      </c>
      <c r="N269" s="16">
        <f>IFERROR(__xludf.DUMMYFUNCTION("""COMPUTED_VALUE"""),2.0)</f>
        <v>2</v>
      </c>
      <c r="O269" s="16">
        <f>IFERROR(__xludf.DUMMYFUNCTION("""COMPUTED_VALUE"""),1.0)</f>
        <v>1</v>
      </c>
      <c r="P269" s="16">
        <f>IFERROR(__xludf.DUMMYFUNCTION("""COMPUTED_VALUE"""),14.0)</f>
        <v>14</v>
      </c>
      <c r="Q269" s="16">
        <f>IFERROR(__xludf.DUMMYFUNCTION("""COMPUTED_VALUE"""),15.0)</f>
        <v>15</v>
      </c>
      <c r="R269" s="16">
        <f>IFERROR(__xludf.DUMMYFUNCTION("""COMPUTED_VALUE"""),2.0)</f>
        <v>2</v>
      </c>
      <c r="S269" s="16">
        <f>IFERROR(__xludf.DUMMYFUNCTION("""COMPUTED_VALUE"""),2.0)</f>
        <v>2</v>
      </c>
      <c r="T269" s="16">
        <f>IFERROR(__xludf.DUMMYFUNCTION("""COMPUTED_VALUE"""),2.0)</f>
        <v>2</v>
      </c>
      <c r="U269" s="16">
        <f>IFERROR(__xludf.DUMMYFUNCTION("""COMPUTED_VALUE"""),2.0)</f>
        <v>2</v>
      </c>
      <c r="V269" s="16">
        <f>IFERROR(__xludf.DUMMYFUNCTION("""COMPUTED_VALUE"""),19.2)</f>
        <v>19.2</v>
      </c>
      <c r="W269" s="16">
        <f>IFERROR(__xludf.DUMMYFUNCTION("""COMPUTED_VALUE"""),13.9)</f>
        <v>13.9</v>
      </c>
      <c r="X269" s="16">
        <f>IFERROR(__xludf.DUMMYFUNCTION("""COMPUTED_VALUE"""),0.0)</f>
        <v>0</v>
      </c>
      <c r="Y269" s="16">
        <f>IFERROR(__xludf.DUMMYFUNCTION("""COMPUTED_VALUE"""),-1.0)</f>
        <v>-1</v>
      </c>
      <c r="Z269" s="16">
        <f>IFERROR(__xludf.DUMMYFUNCTION("""COMPUTED_VALUE"""),0.0)</f>
        <v>0</v>
      </c>
      <c r="AA269" s="16">
        <f>IFERROR(__xludf.DUMMYFUNCTION("""COMPUTED_VALUE"""),-2.0)</f>
        <v>-2</v>
      </c>
      <c r="AB269" s="16">
        <f>IFERROR(__xludf.DUMMYFUNCTION("""COMPUTED_VALUE"""),35.2)</f>
        <v>35.2</v>
      </c>
      <c r="AC269" s="16">
        <f>IFERROR(__xludf.DUMMYFUNCTION("""COMPUTED_VALUE"""),30.8)</f>
        <v>30.8</v>
      </c>
      <c r="AD269" s="16">
        <f>IFERROR(__xludf.DUMMYFUNCTION("""COMPUTED_VALUE"""),1.0)</f>
        <v>1</v>
      </c>
      <c r="AE269" s="16">
        <f>IFERROR(__xludf.DUMMYFUNCTION("""COMPUTED_VALUE"""),0.0)</f>
        <v>0</v>
      </c>
      <c r="AF269" s="16">
        <f>IFERROR(__xludf.DUMMYFUNCTION("""COMPUTED_VALUE"""),5.0)</f>
        <v>5</v>
      </c>
      <c r="AG269" s="16">
        <f>IFERROR(__xludf.DUMMYFUNCTION("""COMPUTED_VALUE"""),0.0)</f>
        <v>0</v>
      </c>
      <c r="AH269" s="16">
        <f>IFERROR(__xludf.DUMMYFUNCTION("""COMPUTED_VALUE"""),22.8)</f>
        <v>22.8</v>
      </c>
      <c r="AI269" s="16">
        <f>IFERROR(__xludf.DUMMYFUNCTION("""COMPUTED_VALUE"""),23.1)</f>
        <v>23.1</v>
      </c>
      <c r="AJ269" s="16">
        <f>IFERROR(__xludf.DUMMYFUNCTION("""COMPUTED_VALUE"""),-1.0)</f>
        <v>-1</v>
      </c>
      <c r="AK269" s="16">
        <f>IFERROR(__xludf.DUMMYFUNCTION("""COMPUTED_VALUE"""),-1.0)</f>
        <v>-1</v>
      </c>
      <c r="AL269" s="16">
        <f>IFERROR(__xludf.DUMMYFUNCTION("""COMPUTED_VALUE"""),-5.0)</f>
        <v>-5</v>
      </c>
      <c r="AM269" s="16">
        <f>IFERROR(__xludf.DUMMYFUNCTION("""COMPUTED_VALUE"""),-5.0)</f>
        <v>-5</v>
      </c>
      <c r="AN269" s="16">
        <f>IFERROR(__xludf.DUMMYFUNCTION("""COMPUTED_VALUE"""),1.2)</f>
        <v>1.2</v>
      </c>
      <c r="AO269" s="16">
        <f>IFERROR(__xludf.DUMMYFUNCTION("""COMPUTED_VALUE"""),1.0)</f>
        <v>1</v>
      </c>
      <c r="AP269" s="16">
        <f>IFERROR(__xludf.DUMMYFUNCTION("""COMPUTED_VALUE"""),-1.0)</f>
        <v>-1</v>
      </c>
      <c r="AQ269" s="16">
        <f>IFERROR(__xludf.DUMMYFUNCTION("""COMPUTED_VALUE"""),-2.0)</f>
        <v>-2</v>
      </c>
      <c r="AR269" s="16">
        <f>IFERROR(__xludf.DUMMYFUNCTION("""COMPUTED_VALUE"""),-2.0)</f>
        <v>-2</v>
      </c>
      <c r="AS269" s="16">
        <f>IFERROR(__xludf.DUMMYFUNCTION("""COMPUTED_VALUE"""),-4.0)</f>
        <v>-4</v>
      </c>
      <c r="AT269" s="16">
        <f>IFERROR(__xludf.DUMMYFUNCTION("""COMPUTED_VALUE"""),2.0)</f>
        <v>2</v>
      </c>
      <c r="AU269" s="16"/>
      <c r="AV269" s="16">
        <f>IFERROR(__xludf.DUMMYFUNCTION("""COMPUTED_VALUE"""),2.0)</f>
        <v>2</v>
      </c>
      <c r="AW269" s="16">
        <f>IFERROR(__xludf.DUMMYFUNCTION("""COMPUTED_VALUE"""),-3.0)</f>
        <v>-3</v>
      </c>
      <c r="AX269" s="16">
        <f>IFERROR(__xludf.DUMMYFUNCTION("""COMPUTED_VALUE"""),0.0)</f>
        <v>0</v>
      </c>
      <c r="AY269" s="16">
        <f>IFERROR(__xludf.DUMMYFUNCTION("""COMPUTED_VALUE"""),-3.0)</f>
        <v>-3</v>
      </c>
      <c r="AZ269" s="16">
        <f>IFERROR(__xludf.DUMMYFUNCTION("""COMPUTED_VALUE"""),0.0)</f>
        <v>0</v>
      </c>
      <c r="BA269" s="16">
        <f>IFERROR(__xludf.DUMMYFUNCTION("""COMPUTED_VALUE"""),-9.0)</f>
        <v>-9</v>
      </c>
      <c r="BB269" s="16">
        <f>IFERROR(__xludf.DUMMYFUNCTION("""COMPUTED_VALUE"""),5.0)</f>
        <v>5</v>
      </c>
      <c r="BC269" s="16">
        <f>IFERROR(__xludf.DUMMYFUNCTION("""COMPUTED_VALUE"""),5.0)</f>
        <v>5</v>
      </c>
      <c r="BD269" s="16">
        <f>IFERROR(__xludf.DUMMYFUNCTION("""COMPUTED_VALUE"""),1.0)</f>
        <v>1</v>
      </c>
      <c r="BE269" s="16">
        <f>IFERROR(__xludf.DUMMYFUNCTION("""COMPUTED_VALUE"""),1.0)</f>
        <v>1</v>
      </c>
      <c r="BF269" s="16">
        <f>IFERROR(__xludf.DUMMYFUNCTION("""COMPUTED_VALUE"""),1.0)</f>
        <v>1</v>
      </c>
      <c r="BG269" s="16">
        <f>IFERROR(__xludf.DUMMYFUNCTION("""COMPUTED_VALUE"""),1.0)</f>
        <v>1</v>
      </c>
      <c r="BH269" s="16">
        <f>IFERROR(__xludf.DUMMYFUNCTION("""COMPUTED_VALUE"""),-11.0)</f>
        <v>-11</v>
      </c>
      <c r="BI269" s="16">
        <f>IFERROR(__xludf.DUMMYFUNCTION("""COMPUTED_VALUE"""),-7.0)</f>
        <v>-7</v>
      </c>
      <c r="BJ269" s="16">
        <f>IFERROR(__xludf.DUMMYFUNCTION("""COMPUTED_VALUE"""),16.0)</f>
        <v>16</v>
      </c>
      <c r="BK269" s="16">
        <f>IFERROR(__xludf.DUMMYFUNCTION("""COMPUTED_VALUE"""),17.0)</f>
        <v>17</v>
      </c>
      <c r="BL269" s="16">
        <f>IFERROR(__xludf.DUMMYFUNCTION("""COMPUTED_VALUE"""),-1.0)</f>
        <v>-1</v>
      </c>
      <c r="BM269" s="16">
        <f>IFERROR(__xludf.DUMMYFUNCTION("""COMPUTED_VALUE"""),-1.0)</f>
        <v>-1</v>
      </c>
      <c r="BN269" s="16">
        <f>IFERROR(__xludf.DUMMYFUNCTION("""COMPUTED_VALUE"""),-2.0)</f>
        <v>-2</v>
      </c>
      <c r="BO269" s="16">
        <f>IFERROR(__xludf.DUMMYFUNCTION("""COMPUTED_VALUE"""),-2.0)</f>
        <v>-2</v>
      </c>
      <c r="BP269" s="16">
        <f>IFERROR(__xludf.DUMMYFUNCTION("""COMPUTED_VALUE"""),3.0)</f>
        <v>3</v>
      </c>
      <c r="BQ269" s="16">
        <f>IFERROR(__xludf.DUMMYFUNCTION("""COMPUTED_VALUE"""),-4.0)</f>
        <v>-4</v>
      </c>
      <c r="BR269" s="16">
        <f>IFERROR(__xludf.DUMMYFUNCTION("""COMPUTED_VALUE"""),-1.0)</f>
        <v>-1</v>
      </c>
      <c r="BS269" s="16" t="str">
        <f>IFERROR(__xludf.DUMMYFUNCTION("""COMPUTED_VALUE"""),"*2-5/- (19-13)")</f>
        <v>*2-5/- (19-13)</v>
      </c>
      <c r="BT269" s="16" t="str">
        <f>IFERROR(__xludf.DUMMYFUNCTION("""COMPUTED_VALUE"""),"A")</f>
        <v>A</v>
      </c>
      <c r="BU269" s="16">
        <f>IFERROR(__xludf.DUMMYFUNCTION("""COMPUTED_VALUE"""),15.0)</f>
        <v>15</v>
      </c>
      <c r="BV269" s="16">
        <f>IFERROR(__xludf.DUMMYFUNCTION("""COMPUTED_VALUE"""),2.0)</f>
        <v>2</v>
      </c>
      <c r="BW269" s="16">
        <f>IFERROR(__xludf.DUMMYFUNCTION("""COMPUTED_VALUE"""),2.0)</f>
        <v>2</v>
      </c>
      <c r="BX269" s="16">
        <f>IFERROR(__xludf.DUMMYFUNCTION("""COMPUTED_VALUE"""),4.0)</f>
        <v>4</v>
      </c>
      <c r="BY269" s="16">
        <f>IFERROR(__xludf.DUMMYFUNCTION("""COMPUTED_VALUE"""),6.0)</f>
        <v>6</v>
      </c>
      <c r="BZ269" s="16" t="str">
        <f>IFERROR(__xludf.DUMMYFUNCTION("""COMPUTED_VALUE"""),"B")</f>
        <v>B</v>
      </c>
      <c r="CA269" s="16" t="str">
        <f>IFERROR(__xludf.DUMMYFUNCTION("""COMPUTED_VALUE"""),"C")</f>
        <v>C</v>
      </c>
      <c r="CB269" s="16">
        <f>IFERROR(__xludf.DUMMYFUNCTION("""COMPUTED_VALUE"""),1.0)</f>
        <v>1</v>
      </c>
      <c r="CC269" s="16">
        <f>IFERROR(__xludf.DUMMYFUNCTION("""COMPUTED_VALUE"""),0.0)</f>
        <v>0</v>
      </c>
      <c r="CD269" s="16">
        <f>IFERROR(__xludf.DUMMYFUNCTION("""COMPUTED_VALUE"""),1.0)</f>
        <v>1</v>
      </c>
      <c r="CE269" s="16">
        <f>IFERROR(__xludf.DUMMYFUNCTION("""COMPUTED_VALUE"""),0.0)</f>
        <v>0</v>
      </c>
      <c r="CF269" s="16">
        <f>IFERROR(__xludf.DUMMYFUNCTION("""COMPUTED_VALUE"""),1.0)</f>
        <v>1</v>
      </c>
      <c r="CG269" s="16">
        <f>IFERROR(__xludf.DUMMYFUNCTION("""COMPUTED_VALUE"""),1.0)</f>
        <v>1</v>
      </c>
      <c r="CH269" s="16">
        <f>IFERROR(__xludf.DUMMYFUNCTION("""COMPUTED_VALUE"""),-18.0)</f>
        <v>-18</v>
      </c>
      <c r="CI269" s="179">
        <f>IFERROR(__xludf.DUMMYFUNCTION("""COMPUTED_VALUE"""),-7.0)</f>
        <v>-7</v>
      </c>
      <c r="CJ269" s="16"/>
      <c r="CK269" s="16"/>
      <c r="CL269" s="16">
        <f>IFERROR(__xludf.DUMMYFUNCTION("""COMPUTED_VALUE"""),313.0)</f>
        <v>313</v>
      </c>
      <c r="CM269" s="16">
        <f>IFERROR(__xludf.DUMMYFUNCTION("""COMPUTED_VALUE"""),317.0)</f>
        <v>317</v>
      </c>
      <c r="CN269" s="16"/>
      <c r="CO269" s="16">
        <f>IFERROR(__xludf.DUMMYFUNCTION("""COMPUTED_VALUE"""),402.0)</f>
        <v>402</v>
      </c>
      <c r="CP269" s="16"/>
      <c r="CQ269" s="16"/>
      <c r="CR269" s="16" t="str">
        <f>IFERROR(__xludf.DUMMYFUNCTION("""COMPUTED_VALUE"""),"2b-3e13 lf-4(0)e2 3b-3e17")</f>
        <v>2b-3e13 lf-4(0)e2 3b-3e17</v>
      </c>
      <c r="CS269" s="16"/>
      <c r="CT269" s="16"/>
      <c r="CU269" s="16">
        <f>IFERROR(__xludf.DUMMYFUNCTION("""COMPUTED_VALUE"""),3.0)</f>
        <v>3</v>
      </c>
      <c r="CV269" s="16">
        <f>IFERROR(__xludf.DUMMYFUNCTION("""COMPUTED_VALUE"""),3.0)</f>
        <v>3</v>
      </c>
      <c r="CW269" s="16"/>
      <c r="CX269" s="16">
        <f>IFERROR(__xludf.DUMMYFUNCTION("""COMPUTED_VALUE"""),4.0)</f>
        <v>4</v>
      </c>
      <c r="CY269" s="16"/>
      <c r="CZ269" s="16"/>
      <c r="DA269" s="16"/>
      <c r="DB269" s="16"/>
      <c r="DC269" s="16">
        <f>IFERROR(__xludf.DUMMYFUNCTION("""COMPUTED_VALUE"""),13.0)</f>
        <v>13</v>
      </c>
      <c r="DD269" s="16">
        <f>IFERROR(__xludf.DUMMYFUNCTION("""COMPUTED_VALUE"""),17.0)</f>
        <v>17</v>
      </c>
      <c r="DE269" s="16"/>
      <c r="DF269" s="16">
        <f>IFERROR(__xludf.DUMMYFUNCTION("""COMPUTED_VALUE"""),2.0)</f>
        <v>2</v>
      </c>
      <c r="DG269" s="16"/>
      <c r="DH269" s="16"/>
      <c r="DI269" s="16"/>
      <c r="DJ269" s="16"/>
      <c r="DK269" s="16">
        <f>IFERROR(__xludf.DUMMYFUNCTION("""COMPUTED_VALUE"""),0.0)</f>
        <v>0</v>
      </c>
      <c r="DL269" s="16">
        <f>IFERROR(__xludf.DUMMYFUNCTION("""COMPUTED_VALUE"""),1.0)</f>
        <v>1</v>
      </c>
      <c r="DM269" s="16"/>
      <c r="DN269" s="16">
        <f>IFERROR(__xludf.DUMMYFUNCTION("""COMPUTED_VALUE"""),-1.0)</f>
        <v>-1</v>
      </c>
      <c r="DO269" s="16"/>
      <c r="DP269" s="16"/>
      <c r="DQ269" s="16"/>
      <c r="DR269" s="16"/>
      <c r="DS269" s="16">
        <f>IFERROR(__xludf.DUMMYFUNCTION("""COMPUTED_VALUE"""),2.0)</f>
        <v>2</v>
      </c>
      <c r="DT269" s="16">
        <f>IFERROR(__xludf.DUMMYFUNCTION("""COMPUTED_VALUE"""),0.0)</f>
        <v>0</v>
      </c>
      <c r="DU269" s="16"/>
      <c r="DV269" s="16">
        <f>IFERROR(__xludf.DUMMYFUNCTION("""COMPUTED_VALUE"""),4.0)</f>
        <v>4</v>
      </c>
      <c r="DW269" s="16"/>
      <c r="DX269" s="16"/>
      <c r="DY269" s="16"/>
      <c r="DZ269" s="16"/>
      <c r="EA269" s="16">
        <f>IFERROR(__xludf.DUMMYFUNCTION("""COMPUTED_VALUE"""),2.0)</f>
        <v>2</v>
      </c>
      <c r="EB269" s="16">
        <f>IFERROR(__xludf.DUMMYFUNCTION("""COMPUTED_VALUE"""),1.0)</f>
        <v>1</v>
      </c>
      <c r="EC269" s="16"/>
      <c r="ED269" s="16">
        <f>IFERROR(__xludf.DUMMYFUNCTION("""COMPUTED_VALUE"""),3.0)</f>
        <v>3</v>
      </c>
      <c r="EE269" s="16"/>
      <c r="EF269" s="16"/>
      <c r="EG269" s="179"/>
      <c r="EH269" s="179"/>
      <c r="EI269" s="179">
        <f>IFERROR(__xludf.DUMMYFUNCTION("""COMPUTED_VALUE"""),-5.0)</f>
        <v>-5</v>
      </c>
      <c r="EJ269" s="179">
        <f>IFERROR(__xludf.DUMMYFUNCTION("""COMPUTED_VALUE"""),-6.0)</f>
        <v>-6</v>
      </c>
      <c r="EK269" s="179"/>
      <c r="EL269" s="179">
        <f>IFERROR(__xludf.DUMMYFUNCTION("""COMPUTED_VALUE"""),-4.0)</f>
        <v>-4</v>
      </c>
      <c r="EM269" s="179"/>
      <c r="EN269" s="179"/>
      <c r="EO269" s="16"/>
      <c r="EP269" s="16">
        <f>IFERROR(__xludf.DUMMYFUNCTION("""COMPUTED_VALUE"""),1.0)</f>
        <v>1</v>
      </c>
      <c r="EQ269" s="16">
        <f>IFERROR(__xludf.DUMMYFUNCTION("""COMPUTED_VALUE"""),4.0)</f>
        <v>4</v>
      </c>
      <c r="ER269" s="16">
        <f>IFERROR(__xludf.DUMMYFUNCTION("""COMPUTED_VALUE"""),0.0)</f>
        <v>0</v>
      </c>
      <c r="ES269" s="16"/>
      <c r="ET269" s="16"/>
      <c r="EU269" s="16"/>
      <c r="EV269" s="16"/>
      <c r="EW269" s="16"/>
      <c r="EX269" s="180"/>
      <c r="EY269" s="180"/>
      <c r="EZ269" s="180">
        <f>IFERROR(__xludf.DUMMYFUNCTION("""COMPUTED_VALUE"""),0.2)</f>
        <v>0.2</v>
      </c>
      <c r="FA269" s="180">
        <f>IFERROR(__xludf.DUMMYFUNCTION("""COMPUTED_VALUE"""),0.2)</f>
        <v>0.2</v>
      </c>
      <c r="FB269" s="180"/>
      <c r="FC269" s="180">
        <f>IFERROR(__xludf.DUMMYFUNCTION("""COMPUTED_VALUE"""),0.55)</f>
        <v>0.55</v>
      </c>
      <c r="FD269" s="180"/>
      <c r="FE269" s="180"/>
      <c r="FF269" s="180"/>
      <c r="FG269" s="180"/>
      <c r="FH269" s="180">
        <f>IFERROR(__xludf.DUMMYFUNCTION("""COMPUTED_VALUE"""),0.0787037037037037)</f>
        <v>0.0787037037</v>
      </c>
      <c r="FI269" s="180">
        <f>IFERROR(__xludf.DUMMYFUNCTION("""COMPUTED_VALUE"""),0.2037037037037037)</f>
        <v>0.2037037037</v>
      </c>
      <c r="FJ269" s="180"/>
      <c r="FK269" s="180">
        <f>IFERROR(__xludf.DUMMYFUNCTION("""COMPUTED_VALUE"""),0.037)</f>
        <v>0.037</v>
      </c>
      <c r="FL269" s="180"/>
      <c r="FM269" s="180"/>
      <c r="FN269" s="16"/>
      <c r="FO269" s="16"/>
      <c r="FP269" s="16">
        <f>IFERROR(__xludf.DUMMYFUNCTION("""COMPUTED_VALUE"""),0.737037037037037)</f>
        <v>0.737037037</v>
      </c>
      <c r="FQ269" s="16">
        <f>IFERROR(__xludf.DUMMYFUNCTION("""COMPUTED_VALUE"""),0.6370370370370371)</f>
        <v>0.637037037</v>
      </c>
      <c r="FR269" s="16"/>
      <c r="FS269" s="16">
        <f>IFERROR(__xludf.DUMMYFUNCTION("""COMPUTED_VALUE"""),0.43334999999999996)</f>
        <v>0.43335</v>
      </c>
      <c r="FT269" s="16"/>
      <c r="FU269" s="16"/>
      <c r="FV269" s="16"/>
      <c r="FW269" s="16"/>
      <c r="FX269" s="16">
        <f>IFERROR(__xludf.DUMMYFUNCTION("""COMPUTED_VALUE"""),-4.0)</f>
        <v>-4</v>
      </c>
      <c r="FY269" s="16">
        <f>IFERROR(__xludf.DUMMYFUNCTION("""COMPUTED_VALUE"""),-6.0)</f>
        <v>-6</v>
      </c>
      <c r="FZ269" s="16"/>
      <c r="GA269" s="16">
        <f>IFERROR(__xludf.DUMMYFUNCTION("""COMPUTED_VALUE"""),-9.0)</f>
        <v>-9</v>
      </c>
      <c r="GB269" s="16"/>
      <c r="GC269" s="16"/>
      <c r="GD269" s="16" t="s">
        <v>176</v>
      </c>
    </row>
    <row r="270">
      <c r="A270" s="16">
        <f>IFERROR(__xludf.DUMMYFUNCTION("""COMPUTED_VALUE"""),13136.0)</f>
        <v>13136</v>
      </c>
      <c r="B270" s="16" t="str">
        <f>IFERROR(__xludf.DUMMYFUNCTION("""COMPUTED_VALUE"""),"Luis Robert")</f>
        <v>Luis Robert</v>
      </c>
      <c r="C270" s="16">
        <f>IFERROR(__xludf.DUMMYFUNCTION("""COMPUTED_VALUE"""),0.96)</f>
        <v>0.96</v>
      </c>
      <c r="D270" s="16" t="str">
        <f>IFERROR(__xludf.DUMMYFUNCTION("""COMPUTED_VALUE"""),"R")</f>
        <v>R</v>
      </c>
      <c r="E270" s="16"/>
      <c r="F270" s="16"/>
      <c r="G270" s="16">
        <f>IFERROR(__xludf.DUMMYFUNCTION("""COMPUTED_VALUE"""),393.0)</f>
        <v>393</v>
      </c>
      <c r="H270" s="16">
        <f>IFERROR(__xludf.DUMMYFUNCTION("""COMPUTED_VALUE"""),28.0)</f>
        <v>28</v>
      </c>
      <c r="I270" s="16" t="str">
        <f>IFERROR(__xludf.DUMMYFUNCTION("""COMPUTED_VALUE"""),"4p50")</f>
        <v>4p50</v>
      </c>
      <c r="J270" s="16">
        <f>IFERROR(__xludf.DUMMYFUNCTION("""COMPUTED_VALUE"""),43.0)</f>
        <v>43</v>
      </c>
      <c r="K270" s="16">
        <f>IFERROR(__xludf.DUMMYFUNCTION("""COMPUTED_VALUE"""),48.0)</f>
        <v>48</v>
      </c>
      <c r="L270" s="16">
        <f>IFERROR(__xludf.DUMMYFUNCTION("""COMPUTED_VALUE"""),-1.0)</f>
        <v>-1</v>
      </c>
      <c r="M270" s="16">
        <f>IFERROR(__xludf.DUMMYFUNCTION("""COMPUTED_VALUE"""),-2.0)</f>
        <v>-2</v>
      </c>
      <c r="N270" s="16">
        <f>IFERROR(__xludf.DUMMYFUNCTION("""COMPUTED_VALUE"""),-1.0)</f>
        <v>-1</v>
      </c>
      <c r="O270" s="16">
        <f>IFERROR(__xludf.DUMMYFUNCTION("""COMPUTED_VALUE"""),-2.0)</f>
        <v>-2</v>
      </c>
      <c r="P270" s="16">
        <f>IFERROR(__xludf.DUMMYFUNCTION("""COMPUTED_VALUE"""),14.0)</f>
        <v>14</v>
      </c>
      <c r="Q270" s="16">
        <f>IFERROR(__xludf.DUMMYFUNCTION("""COMPUTED_VALUE"""),3.0)</f>
        <v>3</v>
      </c>
      <c r="R270" s="16">
        <f>IFERROR(__xludf.DUMMYFUNCTION("""COMPUTED_VALUE"""),2.0)</f>
        <v>2</v>
      </c>
      <c r="S270" s="16">
        <f>IFERROR(__xludf.DUMMYFUNCTION("""COMPUTED_VALUE"""),-2.0)</f>
        <v>-2</v>
      </c>
      <c r="T270" s="16">
        <f>IFERROR(__xludf.DUMMYFUNCTION("""COMPUTED_VALUE"""),2.0)</f>
        <v>2</v>
      </c>
      <c r="U270" s="16">
        <f>IFERROR(__xludf.DUMMYFUNCTION("""COMPUTED_VALUE"""),-2.0)</f>
        <v>-2</v>
      </c>
      <c r="V270" s="16">
        <f>IFERROR(__xludf.DUMMYFUNCTION("""COMPUTED_VALUE"""),18.5)</f>
        <v>18.5</v>
      </c>
      <c r="W270" s="16">
        <f>IFERROR(__xludf.DUMMYFUNCTION("""COMPUTED_VALUE"""),16.5)</f>
        <v>16.5</v>
      </c>
      <c r="X270" s="16">
        <f>IFERROR(__xludf.DUMMYFUNCTION("""COMPUTED_VALUE"""),0.0)</f>
        <v>0</v>
      </c>
      <c r="Y270" s="16">
        <f>IFERROR(__xludf.DUMMYFUNCTION("""COMPUTED_VALUE"""),-1.0)</f>
        <v>-1</v>
      </c>
      <c r="Z270" s="16">
        <f>IFERROR(__xludf.DUMMYFUNCTION("""COMPUTED_VALUE"""),0.0)</f>
        <v>0</v>
      </c>
      <c r="AA270" s="16">
        <f>IFERROR(__xludf.DUMMYFUNCTION("""COMPUTED_VALUE"""),-2.0)</f>
        <v>-2</v>
      </c>
      <c r="AB270" s="16">
        <f>IFERROR(__xludf.DUMMYFUNCTION("""COMPUTED_VALUE"""),33.5)</f>
        <v>33.5</v>
      </c>
      <c r="AC270" s="16">
        <f>IFERROR(__xludf.DUMMYFUNCTION("""COMPUTED_VALUE"""),20.5)</f>
        <v>20.5</v>
      </c>
      <c r="AD270" s="16">
        <f>IFERROR(__xludf.DUMMYFUNCTION("""COMPUTED_VALUE"""),0.0)</f>
        <v>0</v>
      </c>
      <c r="AE270" s="16">
        <f>IFERROR(__xludf.DUMMYFUNCTION("""COMPUTED_VALUE"""),-2.0)</f>
        <v>-2</v>
      </c>
      <c r="AF270" s="16">
        <f>IFERROR(__xludf.DUMMYFUNCTION("""COMPUTED_VALUE"""),0.0)</f>
        <v>0</v>
      </c>
      <c r="AG270" s="16">
        <f>IFERROR(__xludf.DUMMYFUNCTION("""COMPUTED_VALUE"""),-10.0)</f>
        <v>-10</v>
      </c>
      <c r="AH270" s="16">
        <f>IFERROR(__xludf.DUMMYFUNCTION("""COMPUTED_VALUE"""),27.3)</f>
        <v>27.3</v>
      </c>
      <c r="AI270" s="16">
        <f>IFERROR(__xludf.DUMMYFUNCTION("""COMPUTED_VALUE"""),31.4)</f>
        <v>31.4</v>
      </c>
      <c r="AJ270" s="16">
        <f>IFERROR(__xludf.DUMMYFUNCTION("""COMPUTED_VALUE"""),0.0)</f>
        <v>0</v>
      </c>
      <c r="AK270" s="16">
        <f>IFERROR(__xludf.DUMMYFUNCTION("""COMPUTED_VALUE"""),0.0)</f>
        <v>0</v>
      </c>
      <c r="AL270" s="16">
        <f>IFERROR(__xludf.DUMMYFUNCTION("""COMPUTED_VALUE"""),0.0)</f>
        <v>0</v>
      </c>
      <c r="AM270" s="16">
        <f>IFERROR(__xludf.DUMMYFUNCTION("""COMPUTED_VALUE"""),0.0)</f>
        <v>0</v>
      </c>
      <c r="AN270" s="16">
        <f>IFERROR(__xludf.DUMMYFUNCTION("""COMPUTED_VALUE"""),2.0)</f>
        <v>2</v>
      </c>
      <c r="AO270" s="16">
        <f>IFERROR(__xludf.DUMMYFUNCTION("""COMPUTED_VALUE"""),3.3)</f>
        <v>3.3</v>
      </c>
      <c r="AP270" s="16">
        <f>IFERROR(__xludf.DUMMYFUNCTION("""COMPUTED_VALUE"""),0.0)</f>
        <v>0</v>
      </c>
      <c r="AQ270" s="16">
        <f>IFERROR(__xludf.DUMMYFUNCTION("""COMPUTED_VALUE"""),1.0)</f>
        <v>1</v>
      </c>
      <c r="AR270" s="16">
        <f>IFERROR(__xludf.DUMMYFUNCTION("""COMPUTED_VALUE"""),0.0)</f>
        <v>0</v>
      </c>
      <c r="AS270" s="16">
        <f>IFERROR(__xludf.DUMMYFUNCTION("""COMPUTED_VALUE"""),2.0)</f>
        <v>2</v>
      </c>
      <c r="AT270" s="16"/>
      <c r="AU270" s="16">
        <f>IFERROR(__xludf.DUMMYFUNCTION("""COMPUTED_VALUE"""),5.0)</f>
        <v>5</v>
      </c>
      <c r="AV270" s="16">
        <f>IFERROR(__xludf.DUMMYFUNCTION("""COMPUTED_VALUE"""),-3.0)</f>
        <v>-3</v>
      </c>
      <c r="AW270" s="16">
        <f>IFERROR(__xludf.DUMMYFUNCTION("""COMPUTED_VALUE"""),5.0)</f>
        <v>5</v>
      </c>
      <c r="AX270" s="16">
        <f>IFERROR(__xludf.DUMMYFUNCTION("""COMPUTED_VALUE"""),-3.0)</f>
        <v>-3</v>
      </c>
      <c r="AY270" s="16">
        <f>IFERROR(__xludf.DUMMYFUNCTION("""COMPUTED_VALUE"""),2.0)</f>
        <v>2</v>
      </c>
      <c r="AZ270" s="16">
        <f>IFERROR(__xludf.DUMMYFUNCTION("""COMPUTED_VALUE"""),-9.0)</f>
        <v>-9</v>
      </c>
      <c r="BA270" s="16">
        <f>IFERROR(__xludf.DUMMYFUNCTION("""COMPUTED_VALUE"""),6.0)</f>
        <v>6</v>
      </c>
      <c r="BB270" s="16">
        <f>IFERROR(__xludf.DUMMYFUNCTION("""COMPUTED_VALUE"""),5.0)</f>
        <v>5</v>
      </c>
      <c r="BC270" s="16">
        <f>IFERROR(__xludf.DUMMYFUNCTION("""COMPUTED_VALUE"""),5.0)</f>
        <v>5</v>
      </c>
      <c r="BD270" s="16">
        <f>IFERROR(__xludf.DUMMYFUNCTION("""COMPUTED_VALUE"""),1.0)</f>
        <v>1</v>
      </c>
      <c r="BE270" s="16">
        <f>IFERROR(__xludf.DUMMYFUNCTION("""COMPUTED_VALUE"""),1.0)</f>
        <v>1</v>
      </c>
      <c r="BF270" s="16">
        <f>IFERROR(__xludf.DUMMYFUNCTION("""COMPUTED_VALUE"""),1.0)</f>
        <v>1</v>
      </c>
      <c r="BG270" s="16">
        <f>IFERROR(__xludf.DUMMYFUNCTION("""COMPUTED_VALUE"""),1.0)</f>
        <v>1</v>
      </c>
      <c r="BH270" s="16">
        <f>IFERROR(__xludf.DUMMYFUNCTION("""COMPUTED_VALUE"""),-11.0)</f>
        <v>-11</v>
      </c>
      <c r="BI270" s="16">
        <f>IFERROR(__xludf.DUMMYFUNCTION("""COMPUTED_VALUE"""),-6.0)</f>
        <v>-6</v>
      </c>
      <c r="BJ270" s="16">
        <f>IFERROR(__xludf.DUMMYFUNCTION("""COMPUTED_VALUE"""),11.0)</f>
        <v>11</v>
      </c>
      <c r="BK270" s="16">
        <f>IFERROR(__xludf.DUMMYFUNCTION("""COMPUTED_VALUE"""),15.0)</f>
        <v>15</v>
      </c>
      <c r="BL270" s="16">
        <f>IFERROR(__xludf.DUMMYFUNCTION("""COMPUTED_VALUE"""),0.0)</f>
        <v>0</v>
      </c>
      <c r="BM270" s="16">
        <f>IFERROR(__xludf.DUMMYFUNCTION("""COMPUTED_VALUE"""),-1.0)</f>
        <v>-1</v>
      </c>
      <c r="BN270" s="16">
        <f>IFERROR(__xludf.DUMMYFUNCTION("""COMPUTED_VALUE"""),0.0)</f>
        <v>0</v>
      </c>
      <c r="BO270" s="16">
        <f>IFERROR(__xludf.DUMMYFUNCTION("""COMPUTED_VALUE"""),-2.0)</f>
        <v>-2</v>
      </c>
      <c r="BP270" s="16">
        <f>IFERROR(__xludf.DUMMYFUNCTION("""COMPUTED_VALUE"""),-1.0)</f>
        <v>-1</v>
      </c>
      <c r="BQ270" s="16">
        <f>IFERROR(__xludf.DUMMYFUNCTION("""COMPUTED_VALUE"""),-4.0)</f>
        <v>-4</v>
      </c>
      <c r="BR270" s="16">
        <f>IFERROR(__xludf.DUMMYFUNCTION("""COMPUTED_VALUE"""),-5.0)</f>
        <v>-5</v>
      </c>
      <c r="BS270" s="16" t="str">
        <f>IFERROR(__xludf.DUMMYFUNCTION("""COMPUTED_VALUE"""),"*3-6/- (19-14)")</f>
        <v>*3-6/- (19-14)</v>
      </c>
      <c r="BT270" s="16" t="str">
        <f>IFERROR(__xludf.DUMMYFUNCTION("""COMPUTED_VALUE"""),"A")</f>
        <v>A</v>
      </c>
      <c r="BU270" s="16">
        <f>IFERROR(__xludf.DUMMYFUNCTION("""COMPUTED_VALUE"""),15.0)</f>
        <v>15</v>
      </c>
      <c r="BV270" s="16">
        <f>IFERROR(__xludf.DUMMYFUNCTION("""COMPUTED_VALUE"""),2.0)</f>
        <v>2</v>
      </c>
      <c r="BW270" s="16">
        <f>IFERROR(__xludf.DUMMYFUNCTION("""COMPUTED_VALUE"""),2.0)</f>
        <v>2</v>
      </c>
      <c r="BX270" s="16">
        <f>IFERROR(__xludf.DUMMYFUNCTION("""COMPUTED_VALUE"""),4.0)</f>
        <v>4</v>
      </c>
      <c r="BY270" s="16">
        <f>IFERROR(__xludf.DUMMYFUNCTION("""COMPUTED_VALUE"""),6.0)</f>
        <v>6</v>
      </c>
      <c r="BZ270" s="16" t="str">
        <f>IFERROR(__xludf.DUMMYFUNCTION("""COMPUTED_VALUE"""),"D")</f>
        <v>D</v>
      </c>
      <c r="CA270" s="16" t="str">
        <f>IFERROR(__xludf.DUMMYFUNCTION("""COMPUTED_VALUE"""),"D")</f>
        <v>D</v>
      </c>
      <c r="CB270" s="16">
        <f>IFERROR(__xludf.DUMMYFUNCTION("""COMPUTED_VALUE"""),0.0)</f>
        <v>0</v>
      </c>
      <c r="CC270" s="16">
        <f>IFERROR(__xludf.DUMMYFUNCTION("""COMPUTED_VALUE"""),0.0)</f>
        <v>0</v>
      </c>
      <c r="CD270" s="16">
        <f>IFERROR(__xludf.DUMMYFUNCTION("""COMPUTED_VALUE"""),0.0)</f>
        <v>0</v>
      </c>
      <c r="CE270" s="16">
        <f>IFERROR(__xludf.DUMMYFUNCTION("""COMPUTED_VALUE"""),0.0)</f>
        <v>0</v>
      </c>
      <c r="CF270" s="16">
        <f>IFERROR(__xludf.DUMMYFUNCTION("""COMPUTED_VALUE"""),4.0)</f>
        <v>4</v>
      </c>
      <c r="CG270" s="16">
        <f>IFERROR(__xludf.DUMMYFUNCTION("""COMPUTED_VALUE"""),-7.0)</f>
        <v>-7</v>
      </c>
      <c r="CH270" s="16">
        <f>IFERROR(__xludf.DUMMYFUNCTION("""COMPUTED_VALUE"""),-9.0)</f>
        <v>-9</v>
      </c>
      <c r="CI270" s="179">
        <f>IFERROR(__xludf.DUMMYFUNCTION("""COMPUTED_VALUE"""),-7.0)</f>
        <v>-7</v>
      </c>
      <c r="CJ270" s="16"/>
      <c r="CK270" s="16"/>
      <c r="CL270" s="16"/>
      <c r="CM270" s="16"/>
      <c r="CN270" s="16"/>
      <c r="CO270" s="16"/>
      <c r="CP270" s="16">
        <f>IFERROR(__xludf.DUMMYFUNCTION("""COMPUTED_VALUE"""),203.0)</f>
        <v>203</v>
      </c>
      <c r="CQ270" s="16"/>
      <c r="CR270" s="16" t="str">
        <f>IFERROR(__xludf.DUMMYFUNCTION("""COMPUTED_VALUE"""),"cf-2(-1)e3")</f>
        <v>cf-2(-1)e3</v>
      </c>
      <c r="CS270" s="16"/>
      <c r="CT270" s="16"/>
      <c r="CU270" s="16"/>
      <c r="CV270" s="16"/>
      <c r="CW270" s="16"/>
      <c r="CX270" s="16"/>
      <c r="CY270" s="16">
        <f>IFERROR(__xludf.DUMMYFUNCTION("""COMPUTED_VALUE"""),2.0)</f>
        <v>2</v>
      </c>
      <c r="CZ270" s="16"/>
      <c r="DA270" s="16"/>
      <c r="DB270" s="16"/>
      <c r="DC270" s="16"/>
      <c r="DD270" s="16"/>
      <c r="DE270" s="16"/>
      <c r="DF270" s="16"/>
      <c r="DG270" s="16">
        <f>IFERROR(__xludf.DUMMYFUNCTION("""COMPUTED_VALUE"""),3.0)</f>
        <v>3</v>
      </c>
      <c r="DH270" s="16"/>
      <c r="DI270" s="16"/>
      <c r="DJ270" s="16"/>
      <c r="DK270" s="16"/>
      <c r="DL270" s="16"/>
      <c r="DM270" s="16"/>
      <c r="DN270" s="16"/>
      <c r="DO270" s="16">
        <f>IFERROR(__xludf.DUMMYFUNCTION("""COMPUTED_VALUE"""),2.0)</f>
        <v>2</v>
      </c>
      <c r="DP270" s="16"/>
      <c r="DQ270" s="16"/>
      <c r="DR270" s="16"/>
      <c r="DS270" s="16"/>
      <c r="DT270" s="16"/>
      <c r="DU270" s="16"/>
      <c r="DV270" s="16"/>
      <c r="DW270" s="16">
        <f>IFERROR(__xludf.DUMMYFUNCTION("""COMPUTED_VALUE"""),4.0)</f>
        <v>4</v>
      </c>
      <c r="DX270" s="16"/>
      <c r="DY270" s="16"/>
      <c r="DZ270" s="16"/>
      <c r="EA270" s="16"/>
      <c r="EB270" s="16"/>
      <c r="EC270" s="16"/>
      <c r="ED270" s="16"/>
      <c r="EE270" s="16">
        <f>IFERROR(__xludf.DUMMYFUNCTION("""COMPUTED_VALUE"""),6.0)</f>
        <v>6</v>
      </c>
      <c r="EF270" s="16"/>
      <c r="EG270" s="179"/>
      <c r="EH270" s="179"/>
      <c r="EI270" s="179"/>
      <c r="EJ270" s="179"/>
      <c r="EK270" s="179"/>
      <c r="EL270" s="179"/>
      <c r="EM270" s="179">
        <f>IFERROR(__xludf.DUMMYFUNCTION("""COMPUTED_VALUE"""),-1.0)</f>
        <v>-1</v>
      </c>
      <c r="EN270" s="179"/>
      <c r="EO270" s="16"/>
      <c r="EP270" s="16">
        <f>IFERROR(__xludf.DUMMYFUNCTION("""COMPUTED_VALUE"""),-2.0)</f>
        <v>-2</v>
      </c>
      <c r="EQ270" s="16">
        <f>IFERROR(__xludf.DUMMYFUNCTION("""COMPUTED_VALUE"""),-1.0)</f>
        <v>-1</v>
      </c>
      <c r="ER270" s="16">
        <f>IFERROR(__xludf.DUMMYFUNCTION("""COMPUTED_VALUE"""),0.0)</f>
        <v>0</v>
      </c>
      <c r="ES270" s="16"/>
      <c r="ET270" s="16"/>
      <c r="EU270" s="16"/>
      <c r="EV270" s="16"/>
      <c r="EW270" s="16"/>
      <c r="EX270" s="180"/>
      <c r="EY270" s="180"/>
      <c r="EZ270" s="180"/>
      <c r="FA270" s="180"/>
      <c r="FB270" s="180"/>
      <c r="FC270" s="180"/>
      <c r="FD270" s="180">
        <f>IFERROR(__xludf.DUMMYFUNCTION("""COMPUTED_VALUE"""),0.15)</f>
        <v>0.15</v>
      </c>
      <c r="FE270" s="180"/>
      <c r="FF270" s="180"/>
      <c r="FG270" s="180"/>
      <c r="FH270" s="180"/>
      <c r="FI270" s="180"/>
      <c r="FJ270" s="180"/>
      <c r="FK270" s="180"/>
      <c r="FL270" s="180">
        <f>IFERROR(__xludf.DUMMYFUNCTION("""COMPUTED_VALUE"""),0.037037037037037035)</f>
        <v>0.03703703704</v>
      </c>
      <c r="FM270" s="180"/>
      <c r="FN270" s="16"/>
      <c r="FO270" s="16"/>
      <c r="FP270" s="16"/>
      <c r="FQ270" s="16"/>
      <c r="FR270" s="16"/>
      <c r="FS270" s="16"/>
      <c r="FT270" s="16">
        <f>IFERROR(__xludf.DUMMYFUNCTION("""COMPUTED_VALUE"""),0.8185185185185185)</f>
        <v>0.8185185185</v>
      </c>
      <c r="FU270" s="16"/>
      <c r="FV270" s="16"/>
      <c r="FW270" s="16"/>
      <c r="FX270" s="16"/>
      <c r="FY270" s="16"/>
      <c r="FZ270" s="16"/>
      <c r="GA270" s="16"/>
      <c r="GB270" s="16">
        <f>IFERROR(__xludf.DUMMYFUNCTION("""COMPUTED_VALUE"""),3.0)</f>
        <v>3</v>
      </c>
      <c r="GC270" s="16"/>
      <c r="GD270" s="16" t="s">
        <v>176</v>
      </c>
    </row>
    <row r="271">
      <c r="A271" s="16">
        <f>IFERROR(__xludf.DUMMYFUNCTION("""COMPUTED_VALUE"""),12837.0)</f>
        <v>12837</v>
      </c>
      <c r="B271" s="16" t="str">
        <f>IFERROR(__xludf.DUMMYFUNCTION("""COMPUTED_VALUE"""),"Gavin Sheets")</f>
        <v>Gavin Sheets</v>
      </c>
      <c r="C271" s="16">
        <f>IFERROR(__xludf.DUMMYFUNCTION("""COMPUTED_VALUE"""),0.0)</f>
        <v>0</v>
      </c>
      <c r="D271" s="16" t="str">
        <f>IFERROR(__xludf.DUMMYFUNCTION("""COMPUTED_VALUE"""),"L")</f>
        <v>L</v>
      </c>
      <c r="E271" s="16"/>
      <c r="F271" s="16"/>
      <c r="G271" s="16">
        <f>IFERROR(__xludf.DUMMYFUNCTION("""COMPUTED_VALUE"""),451.0)</f>
        <v>451</v>
      </c>
      <c r="H271" s="16">
        <f>IFERROR(__xludf.DUMMYFUNCTION("""COMPUTED_VALUE"""),43.0)</f>
        <v>43</v>
      </c>
      <c r="I271" s="16" t="str">
        <f>IFERROR(__xludf.DUMMYFUNCTION("""COMPUTED_VALUE"""),"1p65")</f>
        <v>1p65</v>
      </c>
      <c r="J271" s="16">
        <f>IFERROR(__xludf.DUMMYFUNCTION("""COMPUTED_VALUE"""),29.0)</f>
        <v>29</v>
      </c>
      <c r="K271" s="16">
        <f>IFERROR(__xludf.DUMMYFUNCTION("""COMPUTED_VALUE"""),19.0)</f>
        <v>19</v>
      </c>
      <c r="L271" s="16">
        <f>IFERROR(__xludf.DUMMYFUNCTION("""COMPUTED_VALUE"""),0.0)</f>
        <v>0</v>
      </c>
      <c r="M271" s="16">
        <f>IFERROR(__xludf.DUMMYFUNCTION("""COMPUTED_VALUE"""),1.0)</f>
        <v>1</v>
      </c>
      <c r="N271" s="16">
        <f>IFERROR(__xludf.DUMMYFUNCTION("""COMPUTED_VALUE"""),0.0)</f>
        <v>0</v>
      </c>
      <c r="O271" s="16">
        <f>IFERROR(__xludf.DUMMYFUNCTION("""COMPUTED_VALUE"""),1.0)</f>
        <v>1</v>
      </c>
      <c r="P271" s="16">
        <f>IFERROR(__xludf.DUMMYFUNCTION("""COMPUTED_VALUE"""),4.0)</f>
        <v>4</v>
      </c>
      <c r="Q271" s="16">
        <f>IFERROR(__xludf.DUMMYFUNCTION("""COMPUTED_VALUE"""),10.0)</f>
        <v>10</v>
      </c>
      <c r="R271" s="16">
        <f>IFERROR(__xludf.DUMMYFUNCTION("""COMPUTED_VALUE"""),-2.0)</f>
        <v>-2</v>
      </c>
      <c r="S271" s="16">
        <f>IFERROR(__xludf.DUMMYFUNCTION("""COMPUTED_VALUE"""),0.0)</f>
        <v>0</v>
      </c>
      <c r="T271" s="16">
        <f>IFERROR(__xludf.DUMMYFUNCTION("""COMPUTED_VALUE"""),-2.0)</f>
        <v>-2</v>
      </c>
      <c r="U271" s="16">
        <f>IFERROR(__xludf.DUMMYFUNCTION("""COMPUTED_VALUE"""),0.0)</f>
        <v>0</v>
      </c>
      <c r="V271" s="16">
        <f>IFERROR(__xludf.DUMMYFUNCTION("""COMPUTED_VALUE"""),13.9)</f>
        <v>13.9</v>
      </c>
      <c r="W271" s="16">
        <f>IFERROR(__xludf.DUMMYFUNCTION("""COMPUTED_VALUE"""),19.5)</f>
        <v>19.5</v>
      </c>
      <c r="X271" s="16">
        <f>IFERROR(__xludf.DUMMYFUNCTION("""COMPUTED_VALUE"""),-1.0)</f>
        <v>-1</v>
      </c>
      <c r="Y271" s="16">
        <f>IFERROR(__xludf.DUMMYFUNCTION("""COMPUTED_VALUE"""),0.0)</f>
        <v>0</v>
      </c>
      <c r="Z271" s="16">
        <f>IFERROR(__xludf.DUMMYFUNCTION("""COMPUTED_VALUE"""),-2.0)</f>
        <v>-2</v>
      </c>
      <c r="AA271" s="16">
        <f>IFERROR(__xludf.DUMMYFUNCTION("""COMPUTED_VALUE"""),0.0)</f>
        <v>0</v>
      </c>
      <c r="AB271" s="16">
        <f>IFERROR(__xludf.DUMMYFUNCTION("""COMPUTED_VALUE"""),20.0)</f>
        <v>20</v>
      </c>
      <c r="AC271" s="16">
        <f>IFERROR(__xludf.DUMMYFUNCTION("""COMPUTED_VALUE"""),31.5)</f>
        <v>31.5</v>
      </c>
      <c r="AD271" s="16">
        <f>IFERROR(__xludf.DUMMYFUNCTION("""COMPUTED_VALUE"""),-1.0)</f>
        <v>-1</v>
      </c>
      <c r="AE271" s="16">
        <f>IFERROR(__xludf.DUMMYFUNCTION("""COMPUTED_VALUE"""),0.0)</f>
        <v>0</v>
      </c>
      <c r="AF271" s="16">
        <f>IFERROR(__xludf.DUMMYFUNCTION("""COMPUTED_VALUE"""),-5.0)</f>
        <v>-5</v>
      </c>
      <c r="AG271" s="16">
        <f>IFERROR(__xludf.DUMMYFUNCTION("""COMPUTED_VALUE"""),0.0)</f>
        <v>0</v>
      </c>
      <c r="AH271" s="16">
        <f>IFERROR(__xludf.DUMMYFUNCTION("""COMPUTED_VALUE"""),21.8)</f>
        <v>21.8</v>
      </c>
      <c r="AI271" s="16">
        <f>IFERROR(__xludf.DUMMYFUNCTION("""COMPUTED_VALUE"""),28.1)</f>
        <v>28.1</v>
      </c>
      <c r="AJ271" s="16">
        <f>IFERROR(__xludf.DUMMYFUNCTION("""COMPUTED_VALUE"""),-1.0)</f>
        <v>-1</v>
      </c>
      <c r="AK271" s="16">
        <f>IFERROR(__xludf.DUMMYFUNCTION("""COMPUTED_VALUE"""),-1.0)</f>
        <v>-1</v>
      </c>
      <c r="AL271" s="16">
        <f>IFERROR(__xludf.DUMMYFUNCTION("""COMPUTED_VALUE"""),-5.0)</f>
        <v>-5</v>
      </c>
      <c r="AM271" s="16">
        <f>IFERROR(__xludf.DUMMYFUNCTION("""COMPUTED_VALUE"""),-5.0)</f>
        <v>-5</v>
      </c>
      <c r="AN271" s="16">
        <f>IFERROR(__xludf.DUMMYFUNCTION("""COMPUTED_VALUE"""),1.3)</f>
        <v>1.3</v>
      </c>
      <c r="AO271" s="16">
        <f>IFERROR(__xludf.DUMMYFUNCTION("""COMPUTED_VALUE"""),0.8)</f>
        <v>0.8</v>
      </c>
      <c r="AP271" s="16">
        <f>IFERROR(__xludf.DUMMYFUNCTION("""COMPUTED_VALUE"""),-1.0)</f>
        <v>-1</v>
      </c>
      <c r="AQ271" s="16">
        <f>IFERROR(__xludf.DUMMYFUNCTION("""COMPUTED_VALUE"""),-2.0)</f>
        <v>-2</v>
      </c>
      <c r="AR271" s="16">
        <f>IFERROR(__xludf.DUMMYFUNCTION("""COMPUTED_VALUE"""),-2.0)</f>
        <v>-2</v>
      </c>
      <c r="AS271" s="16">
        <f>IFERROR(__xludf.DUMMYFUNCTION("""COMPUTED_VALUE"""),-4.0)</f>
        <v>-4</v>
      </c>
      <c r="AT271" s="16">
        <f>IFERROR(__xludf.DUMMYFUNCTION("""COMPUTED_VALUE"""),2.0)</f>
        <v>2</v>
      </c>
      <c r="AU271" s="16">
        <f>IFERROR(__xludf.DUMMYFUNCTION("""COMPUTED_VALUE"""),0.0)</f>
        <v>0</v>
      </c>
      <c r="AV271" s="16">
        <f>IFERROR(__xludf.DUMMYFUNCTION("""COMPUTED_VALUE"""),2.0)</f>
        <v>2</v>
      </c>
      <c r="AW271" s="16">
        <f>IFERROR(__xludf.DUMMYFUNCTION("""COMPUTED_VALUE"""),0.0)</f>
        <v>0</v>
      </c>
      <c r="AX271" s="16">
        <f>IFERROR(__xludf.DUMMYFUNCTION("""COMPUTED_VALUE"""),0.0)</f>
        <v>0</v>
      </c>
      <c r="AY271" s="16">
        <f>IFERROR(__xludf.DUMMYFUNCTION("""COMPUTED_VALUE"""),-2.0)</f>
        <v>-2</v>
      </c>
      <c r="AZ271" s="16">
        <f>IFERROR(__xludf.DUMMYFUNCTION("""COMPUTED_VALUE"""),0.0)</f>
        <v>0</v>
      </c>
      <c r="BA271" s="16">
        <f>IFERROR(__xludf.DUMMYFUNCTION("""COMPUTED_VALUE"""),-6.0)</f>
        <v>-6</v>
      </c>
      <c r="BB271" s="16">
        <f>IFERROR(__xludf.DUMMYFUNCTION("""COMPUTED_VALUE"""),5.0)</f>
        <v>5</v>
      </c>
      <c r="BC271" s="16">
        <f>IFERROR(__xludf.DUMMYFUNCTION("""COMPUTED_VALUE"""),5.0)</f>
        <v>5</v>
      </c>
      <c r="BD271" s="16">
        <f>IFERROR(__xludf.DUMMYFUNCTION("""COMPUTED_VALUE"""),1.0)</f>
        <v>1</v>
      </c>
      <c r="BE271" s="16">
        <f>IFERROR(__xludf.DUMMYFUNCTION("""COMPUTED_VALUE"""),1.0)</f>
        <v>1</v>
      </c>
      <c r="BF271" s="16">
        <f>IFERROR(__xludf.DUMMYFUNCTION("""COMPUTED_VALUE"""),1.0)</f>
        <v>1</v>
      </c>
      <c r="BG271" s="16">
        <f>IFERROR(__xludf.DUMMYFUNCTION("""COMPUTED_VALUE"""),1.0)</f>
        <v>1</v>
      </c>
      <c r="BH271" s="16">
        <f>IFERROR(__xludf.DUMMYFUNCTION("""COMPUTED_VALUE"""),1.0)</f>
        <v>1</v>
      </c>
      <c r="BI271" s="16">
        <f>IFERROR(__xludf.DUMMYFUNCTION("""COMPUTED_VALUE"""),1.0)</f>
        <v>1</v>
      </c>
      <c r="BJ271" s="16">
        <f>IFERROR(__xludf.DUMMYFUNCTION("""COMPUTED_VALUE"""),8.0)</f>
        <v>8</v>
      </c>
      <c r="BK271" s="16">
        <f>IFERROR(__xludf.DUMMYFUNCTION("""COMPUTED_VALUE"""),8.0)</f>
        <v>8</v>
      </c>
      <c r="BL271" s="16">
        <f>IFERROR(__xludf.DUMMYFUNCTION("""COMPUTED_VALUE"""),1.0)</f>
        <v>1</v>
      </c>
      <c r="BM271" s="16">
        <f>IFERROR(__xludf.DUMMYFUNCTION("""COMPUTED_VALUE"""),1.0)</f>
        <v>1</v>
      </c>
      <c r="BN271" s="16">
        <f>IFERROR(__xludf.DUMMYFUNCTION("""COMPUTED_VALUE"""),1.0)</f>
        <v>1</v>
      </c>
      <c r="BO271" s="16">
        <f>IFERROR(__xludf.DUMMYFUNCTION("""COMPUTED_VALUE"""),1.0)</f>
        <v>1</v>
      </c>
      <c r="BP271" s="16">
        <f>IFERROR(__xludf.DUMMYFUNCTION("""COMPUTED_VALUE"""),-4.0)</f>
        <v>-4</v>
      </c>
      <c r="BQ271" s="16">
        <f>IFERROR(__xludf.DUMMYFUNCTION("""COMPUTED_VALUE"""),-2.0)</f>
        <v>-2</v>
      </c>
      <c r="BR271" s="16">
        <f>IFERROR(__xludf.DUMMYFUNCTION("""COMPUTED_VALUE"""),-6.0)</f>
        <v>-6</v>
      </c>
      <c r="BS271" s="16" t="str">
        <f>IFERROR(__xludf.DUMMYFUNCTION("""COMPUTED_VALUE"""),"6/11 (13-5)")</f>
        <v>6/11 (13-5)</v>
      </c>
      <c r="BT271" s="16" t="str">
        <f>IFERROR(__xludf.DUMMYFUNCTION("""COMPUTED_VALUE"""),"E")</f>
        <v>E</v>
      </c>
      <c r="BU271" s="16">
        <f>IFERROR(__xludf.DUMMYFUNCTION("""COMPUTED_VALUE"""),10.0)</f>
        <v>10</v>
      </c>
      <c r="BV271" s="16">
        <f>IFERROR(__xludf.DUMMYFUNCTION("""COMPUTED_VALUE"""),0.0)</f>
        <v>0</v>
      </c>
      <c r="BW271" s="16">
        <f>IFERROR(__xludf.DUMMYFUNCTION("""COMPUTED_VALUE"""),0.0)</f>
        <v>0</v>
      </c>
      <c r="BX271" s="16">
        <f>IFERROR(__xludf.DUMMYFUNCTION("""COMPUTED_VALUE"""),0.0)</f>
        <v>0</v>
      </c>
      <c r="BY271" s="16">
        <f>IFERROR(__xludf.DUMMYFUNCTION("""COMPUTED_VALUE"""),0.0)</f>
        <v>0</v>
      </c>
      <c r="BZ271" s="16" t="str">
        <f>IFERROR(__xludf.DUMMYFUNCTION("""COMPUTED_VALUE"""),"D")</f>
        <v>D</v>
      </c>
      <c r="CA271" s="16" t="str">
        <f>IFERROR(__xludf.DUMMYFUNCTION("""COMPUTED_VALUE"""),"D")</f>
        <v>D</v>
      </c>
      <c r="CB271" s="16">
        <f>IFERROR(__xludf.DUMMYFUNCTION("""COMPUTED_VALUE"""),0.0)</f>
        <v>0</v>
      </c>
      <c r="CC271" s="16">
        <f>IFERROR(__xludf.DUMMYFUNCTION("""COMPUTED_VALUE"""),0.0)</f>
        <v>0</v>
      </c>
      <c r="CD271" s="16">
        <f>IFERROR(__xludf.DUMMYFUNCTION("""COMPUTED_VALUE"""),0.0)</f>
        <v>0</v>
      </c>
      <c r="CE271" s="16">
        <f>IFERROR(__xludf.DUMMYFUNCTION("""COMPUTED_VALUE"""),0.0)</f>
        <v>0</v>
      </c>
      <c r="CF271" s="16">
        <f>IFERROR(__xludf.DUMMYFUNCTION("""COMPUTED_VALUE"""),1.0)</f>
        <v>1</v>
      </c>
      <c r="CG271" s="16">
        <f>IFERROR(__xludf.DUMMYFUNCTION("""COMPUTED_VALUE"""),-14.0)</f>
        <v>-14</v>
      </c>
      <c r="CH271" s="16">
        <f>IFERROR(__xludf.DUMMYFUNCTION("""COMPUTED_VALUE"""),-12.0)</f>
        <v>-12</v>
      </c>
      <c r="CI271" s="179">
        <f>IFERROR(__xludf.DUMMYFUNCTION("""COMPUTED_VALUE"""),-7.0)</f>
        <v>-7</v>
      </c>
      <c r="CJ271" s="16"/>
      <c r="CK271" s="16">
        <f>IFERROR(__xludf.DUMMYFUNCTION("""COMPUTED_VALUE"""),404.0)</f>
        <v>404</v>
      </c>
      <c r="CL271" s="16"/>
      <c r="CM271" s="16"/>
      <c r="CN271" s="16"/>
      <c r="CO271" s="16"/>
      <c r="CP271" s="16"/>
      <c r="CQ271" s="16">
        <f>IFERROR(__xludf.DUMMYFUNCTION("""COMPUTED_VALUE"""),504.0)</f>
        <v>504</v>
      </c>
      <c r="CR271" s="16" t="str">
        <f>IFERROR(__xludf.DUMMYFUNCTION("""COMPUTED_VALUE"""),"rf-5(0)e4 1b-4e4")</f>
        <v>rf-5(0)e4 1b-4e4</v>
      </c>
      <c r="CS271" s="16"/>
      <c r="CT271" s="16">
        <f>IFERROR(__xludf.DUMMYFUNCTION("""COMPUTED_VALUE"""),4.0)</f>
        <v>4</v>
      </c>
      <c r="CU271" s="16"/>
      <c r="CV271" s="16"/>
      <c r="CW271" s="16"/>
      <c r="CX271" s="16"/>
      <c r="CY271" s="16"/>
      <c r="CZ271" s="16">
        <f>IFERROR(__xludf.DUMMYFUNCTION("""COMPUTED_VALUE"""),5.0)</f>
        <v>5</v>
      </c>
      <c r="DA271" s="16"/>
      <c r="DB271" s="16">
        <f>IFERROR(__xludf.DUMMYFUNCTION("""COMPUTED_VALUE"""),4.0)</f>
        <v>4</v>
      </c>
      <c r="DC271" s="16"/>
      <c r="DD271" s="16"/>
      <c r="DE271" s="16"/>
      <c r="DF271" s="16"/>
      <c r="DG271" s="16"/>
      <c r="DH271" s="16">
        <f>IFERROR(__xludf.DUMMYFUNCTION("""COMPUTED_VALUE"""),4.0)</f>
        <v>4</v>
      </c>
      <c r="DI271" s="16"/>
      <c r="DJ271" s="16">
        <f>IFERROR(__xludf.DUMMYFUNCTION("""COMPUTED_VALUE"""),0.0)</f>
        <v>0</v>
      </c>
      <c r="DK271" s="16"/>
      <c r="DL271" s="16"/>
      <c r="DM271" s="16"/>
      <c r="DN271" s="16"/>
      <c r="DO271" s="16"/>
      <c r="DP271" s="16">
        <f>IFERROR(__xludf.DUMMYFUNCTION("""COMPUTED_VALUE"""),-3.0)</f>
        <v>-3</v>
      </c>
      <c r="DQ271" s="16"/>
      <c r="DR271" s="16">
        <f>IFERROR(__xludf.DUMMYFUNCTION("""COMPUTED_VALUE"""),4.0)</f>
        <v>4</v>
      </c>
      <c r="DS271" s="16"/>
      <c r="DT271" s="16"/>
      <c r="DU271" s="16"/>
      <c r="DV271" s="16"/>
      <c r="DW271" s="16"/>
      <c r="DX271" s="16">
        <f>IFERROR(__xludf.DUMMYFUNCTION("""COMPUTED_VALUE"""),2.0)</f>
        <v>2</v>
      </c>
      <c r="DY271" s="16"/>
      <c r="DZ271" s="16">
        <f>IFERROR(__xludf.DUMMYFUNCTION("""COMPUTED_VALUE"""),4.0)</f>
        <v>4</v>
      </c>
      <c r="EA271" s="16"/>
      <c r="EB271" s="16"/>
      <c r="EC271" s="16"/>
      <c r="ED271" s="16"/>
      <c r="EE271" s="16"/>
      <c r="EF271" s="16">
        <f>IFERROR(__xludf.DUMMYFUNCTION("""COMPUTED_VALUE"""),-1.0)</f>
        <v>-1</v>
      </c>
      <c r="EG271" s="179"/>
      <c r="EH271" s="179">
        <f>IFERROR(__xludf.DUMMYFUNCTION("""COMPUTED_VALUE"""),-3.0)</f>
        <v>-3</v>
      </c>
      <c r="EI271" s="179"/>
      <c r="EJ271" s="179"/>
      <c r="EK271" s="179"/>
      <c r="EL271" s="179"/>
      <c r="EM271" s="179"/>
      <c r="EN271" s="179">
        <f>IFERROR(__xludf.DUMMYFUNCTION("""COMPUTED_VALUE"""),-8.0)</f>
        <v>-8</v>
      </c>
      <c r="EO271" s="16"/>
      <c r="EP271" s="16"/>
      <c r="EQ271" s="16">
        <f>IFERROR(__xludf.DUMMYFUNCTION("""COMPUTED_VALUE"""),4.0)</f>
        <v>4</v>
      </c>
      <c r="ER271" s="16">
        <f>IFERROR(__xludf.DUMMYFUNCTION("""COMPUTED_VALUE"""),2.0)</f>
        <v>2</v>
      </c>
      <c r="ES271" s="16"/>
      <c r="ET271" s="16"/>
      <c r="EU271" s="16"/>
      <c r="EV271" s="16"/>
      <c r="EW271" s="16"/>
      <c r="EX271" s="180"/>
      <c r="EY271" s="180">
        <f>IFERROR(__xludf.DUMMYFUNCTION("""COMPUTED_VALUE"""),0.3)</f>
        <v>0.3</v>
      </c>
      <c r="EZ271" s="180"/>
      <c r="FA271" s="180"/>
      <c r="FB271" s="180"/>
      <c r="FC271" s="180"/>
      <c r="FD271" s="180"/>
      <c r="FE271" s="180">
        <f>IFERROR(__xludf.DUMMYFUNCTION("""COMPUTED_VALUE"""),0.75)</f>
        <v>0.75</v>
      </c>
      <c r="FF271" s="180"/>
      <c r="FG271" s="180">
        <f>IFERROR(__xludf.DUMMYFUNCTION("""COMPUTED_VALUE"""),0.07407407407407407)</f>
        <v>0.07407407407</v>
      </c>
      <c r="FH271" s="180"/>
      <c r="FI271" s="180"/>
      <c r="FJ271" s="180"/>
      <c r="FK271" s="180"/>
      <c r="FL271" s="180"/>
      <c r="FM271" s="180">
        <f>IFERROR(__xludf.DUMMYFUNCTION("""COMPUTED_VALUE"""),0.069)</f>
        <v>0.069</v>
      </c>
      <c r="FN271" s="16"/>
      <c r="FO271" s="16">
        <f>IFERROR(__xludf.DUMMYFUNCTION("""COMPUTED_VALUE"""),0.6481481481481481)</f>
        <v>0.6481481481</v>
      </c>
      <c r="FP271" s="16"/>
      <c r="FQ271" s="16"/>
      <c r="FR271" s="16"/>
      <c r="FS271" s="16"/>
      <c r="FT271" s="16"/>
      <c r="FU271" s="16">
        <f>IFERROR(__xludf.DUMMYFUNCTION("""COMPUTED_VALUE"""),0.23275)</f>
        <v>0.23275</v>
      </c>
      <c r="FV271" s="16"/>
      <c r="FW271" s="16">
        <f>IFERROR(__xludf.DUMMYFUNCTION("""COMPUTED_VALUE"""),-6.0)</f>
        <v>-6</v>
      </c>
      <c r="FX271" s="16"/>
      <c r="FY271" s="16"/>
      <c r="FZ271" s="16"/>
      <c r="GA271" s="16"/>
      <c r="GB271" s="16"/>
      <c r="GC271" s="16">
        <f>IFERROR(__xludf.DUMMYFUNCTION("""COMPUTED_VALUE"""),-8.0)</f>
        <v>-8</v>
      </c>
      <c r="GD271" s="16" t="s">
        <v>176</v>
      </c>
    </row>
    <row r="272">
      <c r="A272" s="16">
        <f>IFERROR(__xludf.DUMMYFUNCTION("""COMPUTED_VALUE"""),12917.0)</f>
        <v>12917</v>
      </c>
      <c r="B272" s="16" t="str">
        <f>IFERROR(__xludf.DUMMYFUNCTION("""COMPUTED_VALUE"""),"Jake Meyers")</f>
        <v>Jake Meyers</v>
      </c>
      <c r="C272" s="16">
        <f>IFERROR(__xludf.DUMMYFUNCTION("""COMPUTED_VALUE"""),0.96)</f>
        <v>0.96</v>
      </c>
      <c r="D272" s="16" t="str">
        <f>IFERROR(__xludf.DUMMYFUNCTION("""COMPUTED_VALUE"""),"R")</f>
        <v>R</v>
      </c>
      <c r="E272" s="16"/>
      <c r="F272" s="16"/>
      <c r="G272" s="16">
        <f>IFERROR(__xludf.DUMMYFUNCTION("""COMPUTED_VALUE"""),461.0)</f>
        <v>461</v>
      </c>
      <c r="H272" s="16">
        <f>IFERROR(__xludf.DUMMYFUNCTION("""COMPUTED_VALUE"""),35.0)</f>
        <v>35</v>
      </c>
      <c r="I272" s="16" t="str">
        <f>IFERROR(__xludf.DUMMYFUNCTION("""COMPUTED_VALUE"""),"1p70")</f>
        <v>1p70</v>
      </c>
      <c r="J272" s="16">
        <f>IFERROR(__xludf.DUMMYFUNCTION("""COMPUTED_VALUE"""),24.0)</f>
        <v>24</v>
      </c>
      <c r="K272" s="16">
        <f>IFERROR(__xludf.DUMMYFUNCTION("""COMPUTED_VALUE"""),25.0)</f>
        <v>25</v>
      </c>
      <c r="L272" s="16">
        <f>IFERROR(__xludf.DUMMYFUNCTION("""COMPUTED_VALUE"""),0.0)</f>
        <v>0</v>
      </c>
      <c r="M272" s="16">
        <f>IFERROR(__xludf.DUMMYFUNCTION("""COMPUTED_VALUE"""),0.0)</f>
        <v>0</v>
      </c>
      <c r="N272" s="16">
        <f>IFERROR(__xludf.DUMMYFUNCTION("""COMPUTED_VALUE"""),0.0)</f>
        <v>0</v>
      </c>
      <c r="O272" s="16">
        <f>IFERROR(__xludf.DUMMYFUNCTION("""COMPUTED_VALUE"""),0.0)</f>
        <v>0</v>
      </c>
      <c r="P272" s="16">
        <f>IFERROR(__xludf.DUMMYFUNCTION("""COMPUTED_VALUE"""),9.0)</f>
        <v>9</v>
      </c>
      <c r="Q272" s="16">
        <f>IFERROR(__xludf.DUMMYFUNCTION("""COMPUTED_VALUE"""),6.0)</f>
        <v>6</v>
      </c>
      <c r="R272" s="16">
        <f>IFERROR(__xludf.DUMMYFUNCTION("""COMPUTED_VALUE"""),0.0)</f>
        <v>0</v>
      </c>
      <c r="S272" s="16">
        <f>IFERROR(__xludf.DUMMYFUNCTION("""COMPUTED_VALUE"""),-1.0)</f>
        <v>-1</v>
      </c>
      <c r="T272" s="16">
        <f>IFERROR(__xludf.DUMMYFUNCTION("""COMPUTED_VALUE"""),0.0)</f>
        <v>0</v>
      </c>
      <c r="U272" s="16">
        <f>IFERROR(__xludf.DUMMYFUNCTION("""COMPUTED_VALUE"""),-1.0)</f>
        <v>-1</v>
      </c>
      <c r="V272" s="16">
        <f>IFERROR(__xludf.DUMMYFUNCTION("""COMPUTED_VALUE"""),19.3)</f>
        <v>19.3</v>
      </c>
      <c r="W272" s="16">
        <f>IFERROR(__xludf.DUMMYFUNCTION("""COMPUTED_VALUE"""),13.3)</f>
        <v>13.3</v>
      </c>
      <c r="X272" s="16">
        <f>IFERROR(__xludf.DUMMYFUNCTION("""COMPUTED_VALUE"""),0.0)</f>
        <v>0</v>
      </c>
      <c r="Y272" s="16">
        <f>IFERROR(__xludf.DUMMYFUNCTION("""COMPUTED_VALUE"""),-1.0)</f>
        <v>-1</v>
      </c>
      <c r="Z272" s="16">
        <f>IFERROR(__xludf.DUMMYFUNCTION("""COMPUTED_VALUE"""),0.0)</f>
        <v>0</v>
      </c>
      <c r="AA272" s="16">
        <f>IFERROR(__xludf.DUMMYFUNCTION("""COMPUTED_VALUE"""),-2.0)</f>
        <v>-2</v>
      </c>
      <c r="AB272" s="16">
        <f>IFERROR(__xludf.DUMMYFUNCTION("""COMPUTED_VALUE"""),33.3)</f>
        <v>33.3</v>
      </c>
      <c r="AC272" s="16">
        <f>IFERROR(__xludf.DUMMYFUNCTION("""COMPUTED_VALUE"""),24.3)</f>
        <v>24.3</v>
      </c>
      <c r="AD272" s="16">
        <f>IFERROR(__xludf.DUMMYFUNCTION("""COMPUTED_VALUE"""),0.0)</f>
        <v>0</v>
      </c>
      <c r="AE272" s="16">
        <f>IFERROR(__xludf.DUMMYFUNCTION("""COMPUTED_VALUE"""),-1.0)</f>
        <v>-1</v>
      </c>
      <c r="AF272" s="16">
        <f>IFERROR(__xludf.DUMMYFUNCTION("""COMPUTED_VALUE"""),0.0)</f>
        <v>0</v>
      </c>
      <c r="AG272" s="16">
        <f>IFERROR(__xludf.DUMMYFUNCTION("""COMPUTED_VALUE"""),-5.0)</f>
        <v>-5</v>
      </c>
      <c r="AH272" s="16">
        <f>IFERROR(__xludf.DUMMYFUNCTION("""COMPUTED_VALUE"""),32.4)</f>
        <v>32.4</v>
      </c>
      <c r="AI272" s="16">
        <f>IFERROR(__xludf.DUMMYFUNCTION("""COMPUTED_VALUE"""),20.6)</f>
        <v>20.6</v>
      </c>
      <c r="AJ272" s="16">
        <f>IFERROR(__xludf.DUMMYFUNCTION("""COMPUTED_VALUE"""),0.0)</f>
        <v>0</v>
      </c>
      <c r="AK272" s="16">
        <f>IFERROR(__xludf.DUMMYFUNCTION("""COMPUTED_VALUE"""),-1.0)</f>
        <v>-1</v>
      </c>
      <c r="AL272" s="16">
        <f>IFERROR(__xludf.DUMMYFUNCTION("""COMPUTED_VALUE"""),0.0)</f>
        <v>0</v>
      </c>
      <c r="AM272" s="16">
        <f>IFERROR(__xludf.DUMMYFUNCTION("""COMPUTED_VALUE"""),-5.0)</f>
        <v>-5</v>
      </c>
      <c r="AN272" s="16">
        <f>IFERROR(__xludf.DUMMYFUNCTION("""COMPUTED_VALUE"""),1.4)</f>
        <v>1.4</v>
      </c>
      <c r="AO272" s="16">
        <f>IFERROR(__xludf.DUMMYFUNCTION("""COMPUTED_VALUE"""),1.2)</f>
        <v>1.2</v>
      </c>
      <c r="AP272" s="16">
        <f>IFERROR(__xludf.DUMMYFUNCTION("""COMPUTED_VALUE"""),-1.0)</f>
        <v>-1</v>
      </c>
      <c r="AQ272" s="16">
        <f>IFERROR(__xludf.DUMMYFUNCTION("""COMPUTED_VALUE"""),-2.0)</f>
        <v>-2</v>
      </c>
      <c r="AR272" s="16">
        <f>IFERROR(__xludf.DUMMYFUNCTION("""COMPUTED_VALUE"""),-2.0)</f>
        <v>-2</v>
      </c>
      <c r="AS272" s="16">
        <f>IFERROR(__xludf.DUMMYFUNCTION("""COMPUTED_VALUE"""),-4.0)</f>
        <v>-4</v>
      </c>
      <c r="AT272" s="16">
        <f>IFERROR(__xludf.DUMMYFUNCTION("""COMPUTED_VALUE"""),2.0)</f>
        <v>2</v>
      </c>
      <c r="AU272" s="16">
        <f>IFERROR(__xludf.DUMMYFUNCTION("""COMPUTED_VALUE"""),2.0)</f>
        <v>2</v>
      </c>
      <c r="AV272" s="16">
        <f>IFERROR(__xludf.DUMMYFUNCTION("""COMPUTED_VALUE"""),2.0)</f>
        <v>2</v>
      </c>
      <c r="AW272" s="16">
        <f>IFERROR(__xludf.DUMMYFUNCTION("""COMPUTED_VALUE"""),2.0)</f>
        <v>2</v>
      </c>
      <c r="AX272" s="16">
        <f>IFERROR(__xludf.DUMMYFUNCTION("""COMPUTED_VALUE"""),0.0)</f>
        <v>0</v>
      </c>
      <c r="AY272" s="16">
        <f>IFERROR(__xludf.DUMMYFUNCTION("""COMPUTED_VALUE"""),0.0)</f>
        <v>0</v>
      </c>
      <c r="AZ272" s="16">
        <f>IFERROR(__xludf.DUMMYFUNCTION("""COMPUTED_VALUE"""),0.0)</f>
        <v>0</v>
      </c>
      <c r="BA272" s="16">
        <f>IFERROR(__xludf.DUMMYFUNCTION("""COMPUTED_VALUE"""),0.0)</f>
        <v>0</v>
      </c>
      <c r="BB272" s="16">
        <f>IFERROR(__xludf.DUMMYFUNCTION("""COMPUTED_VALUE"""),5.0)</f>
        <v>5</v>
      </c>
      <c r="BC272" s="16">
        <f>IFERROR(__xludf.DUMMYFUNCTION("""COMPUTED_VALUE"""),5.0)</f>
        <v>5</v>
      </c>
      <c r="BD272" s="16">
        <f>IFERROR(__xludf.DUMMYFUNCTION("""COMPUTED_VALUE"""),1.0)</f>
        <v>1</v>
      </c>
      <c r="BE272" s="16">
        <f>IFERROR(__xludf.DUMMYFUNCTION("""COMPUTED_VALUE"""),1.0)</f>
        <v>1</v>
      </c>
      <c r="BF272" s="16">
        <f>IFERROR(__xludf.DUMMYFUNCTION("""COMPUTED_VALUE"""),1.0)</f>
        <v>1</v>
      </c>
      <c r="BG272" s="16">
        <f>IFERROR(__xludf.DUMMYFUNCTION("""COMPUTED_VALUE"""),1.0)</f>
        <v>1</v>
      </c>
      <c r="BH272" s="16">
        <f>IFERROR(__xludf.DUMMYFUNCTION("""COMPUTED_VALUE"""),-2.0)</f>
        <v>-2</v>
      </c>
      <c r="BI272" s="16">
        <f>IFERROR(__xludf.DUMMYFUNCTION("""COMPUTED_VALUE"""),-3.0)</f>
        <v>-3</v>
      </c>
      <c r="BJ272" s="16">
        <f>IFERROR(__xludf.DUMMYFUNCTION("""COMPUTED_VALUE"""),23.0)</f>
        <v>23</v>
      </c>
      <c r="BK272" s="16">
        <f>IFERROR(__xludf.DUMMYFUNCTION("""COMPUTED_VALUE"""),23.0)</f>
        <v>23</v>
      </c>
      <c r="BL272" s="16">
        <f>IFERROR(__xludf.DUMMYFUNCTION("""COMPUTED_VALUE"""),-2.0)</f>
        <v>-2</v>
      </c>
      <c r="BM272" s="16">
        <f>IFERROR(__xludf.DUMMYFUNCTION("""COMPUTED_VALUE"""),-2.0)</f>
        <v>-2</v>
      </c>
      <c r="BN272" s="16">
        <f>IFERROR(__xludf.DUMMYFUNCTION("""COMPUTED_VALUE"""),-4.0)</f>
        <v>-4</v>
      </c>
      <c r="BO272" s="16">
        <f>IFERROR(__xludf.DUMMYFUNCTION("""COMPUTED_VALUE"""),-4.0)</f>
        <v>-4</v>
      </c>
      <c r="BP272" s="16">
        <f>IFERROR(__xludf.DUMMYFUNCTION("""COMPUTED_VALUE"""),-2.0)</f>
        <v>-2</v>
      </c>
      <c r="BQ272" s="16">
        <f>IFERROR(__xludf.DUMMYFUNCTION("""COMPUTED_VALUE"""),-7.0)</f>
        <v>-7</v>
      </c>
      <c r="BR272" s="16">
        <f>IFERROR(__xludf.DUMMYFUNCTION("""COMPUTED_VALUE"""),-9.0)</f>
        <v>-9</v>
      </c>
      <c r="BS272" s="16" t="str">
        <f>IFERROR(__xludf.DUMMYFUNCTION("""COMPUTED_VALUE"""),"*4,5/- (18-11)")</f>
        <v>*4,5/- (18-11)</v>
      </c>
      <c r="BT272" s="16" t="str">
        <f>IFERROR(__xludf.DUMMYFUNCTION("""COMPUTED_VALUE"""),"B")</f>
        <v>B</v>
      </c>
      <c r="BU272" s="16">
        <f>IFERROR(__xludf.DUMMYFUNCTION("""COMPUTED_VALUE"""),15.0)</f>
        <v>15</v>
      </c>
      <c r="BV272" s="16">
        <f>IFERROR(__xludf.DUMMYFUNCTION("""COMPUTED_VALUE"""),1.0)</f>
        <v>1</v>
      </c>
      <c r="BW272" s="16">
        <f>IFERROR(__xludf.DUMMYFUNCTION("""COMPUTED_VALUE"""),2.0)</f>
        <v>2</v>
      </c>
      <c r="BX272" s="16">
        <f>IFERROR(__xludf.DUMMYFUNCTION("""COMPUTED_VALUE"""),2.0)</f>
        <v>2</v>
      </c>
      <c r="BY272" s="16">
        <f>IFERROR(__xludf.DUMMYFUNCTION("""COMPUTED_VALUE"""),6.0)</f>
        <v>6</v>
      </c>
      <c r="BZ272" s="16" t="str">
        <f>IFERROR(__xludf.DUMMYFUNCTION("""COMPUTED_VALUE"""),"B")</f>
        <v>B</v>
      </c>
      <c r="CA272" s="16" t="str">
        <f>IFERROR(__xludf.DUMMYFUNCTION("""COMPUTED_VALUE"""),"D")</f>
        <v>D</v>
      </c>
      <c r="CB272" s="16">
        <f>IFERROR(__xludf.DUMMYFUNCTION("""COMPUTED_VALUE"""),1.0)</f>
        <v>1</v>
      </c>
      <c r="CC272" s="16">
        <f>IFERROR(__xludf.DUMMYFUNCTION("""COMPUTED_VALUE"""),0.0)</f>
        <v>0</v>
      </c>
      <c r="CD272" s="16">
        <f>IFERROR(__xludf.DUMMYFUNCTION("""COMPUTED_VALUE"""),1.0)</f>
        <v>1</v>
      </c>
      <c r="CE272" s="16">
        <f>IFERROR(__xludf.DUMMYFUNCTION("""COMPUTED_VALUE"""),0.0)</f>
        <v>0</v>
      </c>
      <c r="CF272" s="16">
        <f>IFERROR(__xludf.DUMMYFUNCTION("""COMPUTED_VALUE"""),1.0)</f>
        <v>1</v>
      </c>
      <c r="CG272" s="16">
        <f>IFERROR(__xludf.DUMMYFUNCTION("""COMPUTED_VALUE"""),-5.0)</f>
        <v>-5</v>
      </c>
      <c r="CH272" s="16">
        <f>IFERROR(__xludf.DUMMYFUNCTION("""COMPUTED_VALUE"""),-20.0)</f>
        <v>-20</v>
      </c>
      <c r="CI272" s="179">
        <f>IFERROR(__xludf.DUMMYFUNCTION("""COMPUTED_VALUE"""),-7.0)</f>
        <v>-7</v>
      </c>
      <c r="CJ272" s="16"/>
      <c r="CK272" s="16"/>
      <c r="CL272" s="16"/>
      <c r="CM272" s="16"/>
      <c r="CN272" s="16"/>
      <c r="CO272" s="16"/>
      <c r="CP272" s="16">
        <f>IFERROR(__xludf.DUMMYFUNCTION("""COMPUTED_VALUE"""),101.0)</f>
        <v>101</v>
      </c>
      <c r="CQ272" s="16"/>
      <c r="CR272" s="16" t="str">
        <f>IFERROR(__xludf.DUMMYFUNCTION("""COMPUTED_VALUE"""),"cf-1(-2)e1")</f>
        <v>cf-1(-2)e1</v>
      </c>
      <c r="CS272" s="16"/>
      <c r="CT272" s="16"/>
      <c r="CU272" s="16"/>
      <c r="CV272" s="16"/>
      <c r="CW272" s="16"/>
      <c r="CX272" s="16"/>
      <c r="CY272" s="16">
        <f>IFERROR(__xludf.DUMMYFUNCTION("""COMPUTED_VALUE"""),1.0)</f>
        <v>1</v>
      </c>
      <c r="CZ272" s="16"/>
      <c r="DA272" s="16"/>
      <c r="DB272" s="16"/>
      <c r="DC272" s="16"/>
      <c r="DD272" s="16"/>
      <c r="DE272" s="16"/>
      <c r="DF272" s="16"/>
      <c r="DG272" s="16">
        <f>IFERROR(__xludf.DUMMYFUNCTION("""COMPUTED_VALUE"""),1.0)</f>
        <v>1</v>
      </c>
      <c r="DH272" s="16"/>
      <c r="DI272" s="16"/>
      <c r="DJ272" s="16"/>
      <c r="DK272" s="16"/>
      <c r="DL272" s="16"/>
      <c r="DM272" s="16"/>
      <c r="DN272" s="16"/>
      <c r="DO272" s="16">
        <f>IFERROR(__xludf.DUMMYFUNCTION("""COMPUTED_VALUE"""),4.0)</f>
        <v>4</v>
      </c>
      <c r="DP272" s="16"/>
      <c r="DQ272" s="16"/>
      <c r="DR272" s="16"/>
      <c r="DS272" s="16"/>
      <c r="DT272" s="16"/>
      <c r="DU272" s="16"/>
      <c r="DV272" s="16"/>
      <c r="DW272" s="16">
        <f>IFERROR(__xludf.DUMMYFUNCTION("""COMPUTED_VALUE"""),4.0)</f>
        <v>4</v>
      </c>
      <c r="DX272" s="16"/>
      <c r="DY272" s="16"/>
      <c r="DZ272" s="16"/>
      <c r="EA272" s="16"/>
      <c r="EB272" s="16"/>
      <c r="EC272" s="16"/>
      <c r="ED272" s="16"/>
      <c r="EE272" s="16">
        <f>IFERROR(__xludf.DUMMYFUNCTION("""COMPUTED_VALUE"""),8.0)</f>
        <v>8</v>
      </c>
      <c r="EF272" s="16"/>
      <c r="EG272" s="179"/>
      <c r="EH272" s="179"/>
      <c r="EI272" s="179"/>
      <c r="EJ272" s="179"/>
      <c r="EK272" s="179"/>
      <c r="EL272" s="179"/>
      <c r="EM272" s="179">
        <f>IFERROR(__xludf.DUMMYFUNCTION("""COMPUTED_VALUE"""),1.0)</f>
        <v>1</v>
      </c>
      <c r="EN272" s="179"/>
      <c r="EO272" s="16"/>
      <c r="EP272" s="16">
        <f>IFERROR(__xludf.DUMMYFUNCTION("""COMPUTED_VALUE"""),-3.0)</f>
        <v>-3</v>
      </c>
      <c r="EQ272" s="16">
        <f>IFERROR(__xludf.DUMMYFUNCTION("""COMPUTED_VALUE"""),4.0)</f>
        <v>4</v>
      </c>
      <c r="ER272" s="16">
        <f>IFERROR(__xludf.DUMMYFUNCTION("""COMPUTED_VALUE"""),3.0)</f>
        <v>3</v>
      </c>
      <c r="ES272" s="16"/>
      <c r="ET272" s="16"/>
      <c r="EU272" s="16"/>
      <c r="EV272" s="16"/>
      <c r="EW272" s="16"/>
      <c r="EX272" s="180"/>
      <c r="EY272" s="180"/>
      <c r="EZ272" s="180"/>
      <c r="FA272" s="180"/>
      <c r="FB272" s="180"/>
      <c r="FC272" s="180"/>
      <c r="FD272" s="180">
        <f>IFERROR(__xludf.DUMMYFUNCTION("""COMPUTED_VALUE"""),0.0)</f>
        <v>0</v>
      </c>
      <c r="FE272" s="180"/>
      <c r="FF272" s="180"/>
      <c r="FG272" s="180"/>
      <c r="FH272" s="180"/>
      <c r="FI272" s="180"/>
      <c r="FJ272" s="180"/>
      <c r="FK272" s="180"/>
      <c r="FL272" s="180">
        <f>IFERROR(__xludf.DUMMYFUNCTION("""COMPUTED_VALUE"""),0.013888888888888888)</f>
        <v>0.01388888889</v>
      </c>
      <c r="FM272" s="180"/>
      <c r="FN272" s="16"/>
      <c r="FO272" s="16"/>
      <c r="FP272" s="16"/>
      <c r="FQ272" s="16"/>
      <c r="FR272" s="16"/>
      <c r="FS272" s="16"/>
      <c r="FT272" s="16">
        <f>IFERROR(__xludf.DUMMYFUNCTION("""COMPUTED_VALUE"""),0.9861111111111112)</f>
        <v>0.9861111111</v>
      </c>
      <c r="FU272" s="16"/>
      <c r="FV272" s="16"/>
      <c r="FW272" s="16"/>
      <c r="FX272" s="16"/>
      <c r="FY272" s="16"/>
      <c r="FZ272" s="16"/>
      <c r="GA272" s="16"/>
      <c r="GB272" s="16">
        <f>IFERROR(__xludf.DUMMYFUNCTION("""COMPUTED_VALUE"""),11.0)</f>
        <v>11</v>
      </c>
      <c r="GC272" s="16"/>
      <c r="GD272" s="16" t="s">
        <v>1729</v>
      </c>
    </row>
    <row r="273">
      <c r="A273" s="16">
        <f>IFERROR(__xludf.DUMMYFUNCTION("""COMPUTED_VALUE"""),12720.0)</f>
        <v>12720</v>
      </c>
      <c r="B273" s="16" t="str">
        <f>IFERROR(__xludf.DUMMYFUNCTION("""COMPUTED_VALUE"""),"Dairon Blanco")</f>
        <v>Dairon Blanco</v>
      </c>
      <c r="C273" s="16">
        <f>IFERROR(__xludf.DUMMYFUNCTION("""COMPUTED_VALUE"""),0.22)</f>
        <v>0.22</v>
      </c>
      <c r="D273" s="16" t="str">
        <f>IFERROR(__xludf.DUMMYFUNCTION("""COMPUTED_VALUE"""),"R")</f>
        <v>R</v>
      </c>
      <c r="E273" s="16"/>
      <c r="F273" s="16"/>
      <c r="G273" s="16">
        <f>IFERROR(__xludf.DUMMYFUNCTION("""COMPUTED_VALUE"""),120.0)</f>
        <v>120</v>
      </c>
      <c r="H273" s="16">
        <f>IFERROR(__xludf.DUMMYFUNCTION("""COMPUTED_VALUE"""),8.0)</f>
        <v>8</v>
      </c>
      <c r="I273" s="16" t="str">
        <f>IFERROR(__xludf.DUMMYFUNCTION("""COMPUTED_VALUE"""),"1p40")</f>
        <v>1p40</v>
      </c>
      <c r="J273" s="16">
        <f>IFERROR(__xludf.DUMMYFUNCTION("""COMPUTED_VALUE"""),19.0)</f>
        <v>19</v>
      </c>
      <c r="K273" s="16">
        <f>IFERROR(__xludf.DUMMYFUNCTION("""COMPUTED_VALUE"""),38.0)</f>
        <v>38</v>
      </c>
      <c r="L273" s="16">
        <f>IFERROR(__xludf.DUMMYFUNCTION("""COMPUTED_VALUE"""),1.0)</f>
        <v>1</v>
      </c>
      <c r="M273" s="16">
        <f>IFERROR(__xludf.DUMMYFUNCTION("""COMPUTED_VALUE"""),-1.0)</f>
        <v>-1</v>
      </c>
      <c r="N273" s="16">
        <f>IFERROR(__xludf.DUMMYFUNCTION("""COMPUTED_VALUE"""),1.0)</f>
        <v>1</v>
      </c>
      <c r="O273" s="16">
        <f>IFERROR(__xludf.DUMMYFUNCTION("""COMPUTED_VALUE"""),-1.0)</f>
        <v>-1</v>
      </c>
      <c r="P273" s="16">
        <f>IFERROR(__xludf.DUMMYFUNCTION("""COMPUTED_VALUE"""),7.0)</f>
        <v>7</v>
      </c>
      <c r="Q273" s="16">
        <f>IFERROR(__xludf.DUMMYFUNCTION("""COMPUTED_VALUE"""),3.0)</f>
        <v>3</v>
      </c>
      <c r="R273" s="16">
        <f>IFERROR(__xludf.DUMMYFUNCTION("""COMPUTED_VALUE"""),-1.0)</f>
        <v>-1</v>
      </c>
      <c r="S273" s="16">
        <f>IFERROR(__xludf.DUMMYFUNCTION("""COMPUTED_VALUE"""),-2.0)</f>
        <v>-2</v>
      </c>
      <c r="T273" s="16">
        <f>IFERROR(__xludf.DUMMYFUNCTION("""COMPUTED_VALUE"""),-1.0)</f>
        <v>-1</v>
      </c>
      <c r="U273" s="16">
        <f>IFERROR(__xludf.DUMMYFUNCTION("""COMPUTED_VALUE"""),-2.0)</f>
        <v>-2</v>
      </c>
      <c r="V273" s="16">
        <f>IFERROR(__xludf.DUMMYFUNCTION("""COMPUTED_VALUE"""),27.6)</f>
        <v>27.6</v>
      </c>
      <c r="W273" s="16">
        <f>IFERROR(__xludf.DUMMYFUNCTION("""COMPUTED_VALUE"""),17.6)</f>
        <v>17.6</v>
      </c>
      <c r="X273" s="16">
        <f>IFERROR(__xludf.DUMMYFUNCTION("""COMPUTED_VALUE"""),1.0)</f>
        <v>1</v>
      </c>
      <c r="Y273" s="16">
        <f>IFERROR(__xludf.DUMMYFUNCTION("""COMPUTED_VALUE"""),0.0)</f>
        <v>0</v>
      </c>
      <c r="Z273" s="16">
        <f>IFERROR(__xludf.DUMMYFUNCTION("""COMPUTED_VALUE"""),2.0)</f>
        <v>2</v>
      </c>
      <c r="AA273" s="16">
        <f>IFERROR(__xludf.DUMMYFUNCTION("""COMPUTED_VALUE"""),0.0)</f>
        <v>0</v>
      </c>
      <c r="AB273" s="16">
        <f>IFERROR(__xludf.DUMMYFUNCTION("""COMPUTED_VALUE"""),36.7)</f>
        <v>36.7</v>
      </c>
      <c r="AC273" s="16">
        <f>IFERROR(__xludf.DUMMYFUNCTION("""COMPUTED_VALUE"""),22.6)</f>
        <v>22.6</v>
      </c>
      <c r="AD273" s="16">
        <f>IFERROR(__xludf.DUMMYFUNCTION("""COMPUTED_VALUE"""),1.0)</f>
        <v>1</v>
      </c>
      <c r="AE273" s="16">
        <f>IFERROR(__xludf.DUMMYFUNCTION("""COMPUTED_VALUE"""),-1.0)</f>
        <v>-1</v>
      </c>
      <c r="AF273" s="16">
        <f>IFERROR(__xludf.DUMMYFUNCTION("""COMPUTED_VALUE"""),5.0)</f>
        <v>5</v>
      </c>
      <c r="AG273" s="16">
        <f>IFERROR(__xludf.DUMMYFUNCTION("""COMPUTED_VALUE"""),-5.0)</f>
        <v>-5</v>
      </c>
      <c r="AH273" s="16">
        <f>IFERROR(__xludf.DUMMYFUNCTION("""COMPUTED_VALUE"""),45.4)</f>
        <v>45.4</v>
      </c>
      <c r="AI273" s="16">
        <f>IFERROR(__xludf.DUMMYFUNCTION("""COMPUTED_VALUE"""),19.0)</f>
        <v>19</v>
      </c>
      <c r="AJ273" s="16">
        <f>IFERROR(__xludf.DUMMYFUNCTION("""COMPUTED_VALUE"""),1.0)</f>
        <v>1</v>
      </c>
      <c r="AK273" s="16">
        <f>IFERROR(__xludf.DUMMYFUNCTION("""COMPUTED_VALUE"""),-2.0)</f>
        <v>-2</v>
      </c>
      <c r="AL273" s="16">
        <f>IFERROR(__xludf.DUMMYFUNCTION("""COMPUTED_VALUE"""),5.0)</f>
        <v>5</v>
      </c>
      <c r="AM273" s="16">
        <f>IFERROR(__xludf.DUMMYFUNCTION("""COMPUTED_VALUE"""),-10.0)</f>
        <v>-10</v>
      </c>
      <c r="AN273" s="16">
        <f>IFERROR(__xludf.DUMMYFUNCTION("""COMPUTED_VALUE"""),3.6)</f>
        <v>3.6</v>
      </c>
      <c r="AO273" s="16">
        <f>IFERROR(__xludf.DUMMYFUNCTION("""COMPUTED_VALUE"""),0.4)</f>
        <v>0.4</v>
      </c>
      <c r="AP273" s="16">
        <f>IFERROR(__xludf.DUMMYFUNCTION("""COMPUTED_VALUE"""),2.0)</f>
        <v>2</v>
      </c>
      <c r="AQ273" s="16">
        <f>IFERROR(__xludf.DUMMYFUNCTION("""COMPUTED_VALUE"""),-2.0)</f>
        <v>-2</v>
      </c>
      <c r="AR273" s="16">
        <f>IFERROR(__xludf.DUMMYFUNCTION("""COMPUTED_VALUE"""),4.0)</f>
        <v>4</v>
      </c>
      <c r="AS273" s="16">
        <f>IFERROR(__xludf.DUMMYFUNCTION("""COMPUTED_VALUE"""),-4.0)</f>
        <v>-4</v>
      </c>
      <c r="AT273" s="16">
        <f>IFERROR(__xludf.DUMMYFUNCTION("""COMPUTED_VALUE"""),6.0)</f>
        <v>6</v>
      </c>
      <c r="AU273" s="16">
        <f>IFERROR(__xludf.DUMMYFUNCTION("""COMPUTED_VALUE"""),0.0)</f>
        <v>0</v>
      </c>
      <c r="AV273" s="16">
        <f>IFERROR(__xludf.DUMMYFUNCTION("""COMPUTED_VALUE"""),6.0)</f>
        <v>6</v>
      </c>
      <c r="AW273" s="16">
        <f>IFERROR(__xludf.DUMMYFUNCTION("""COMPUTED_VALUE"""),0.0)</f>
        <v>0</v>
      </c>
      <c r="AX273" s="16">
        <f>IFERROR(__xludf.DUMMYFUNCTION("""COMPUTED_VALUE"""),3.0)</f>
        <v>3</v>
      </c>
      <c r="AY273" s="16">
        <f>IFERROR(__xludf.DUMMYFUNCTION("""COMPUTED_VALUE"""),-2.0)</f>
        <v>-2</v>
      </c>
      <c r="AZ273" s="16">
        <f>IFERROR(__xludf.DUMMYFUNCTION("""COMPUTED_VALUE"""),9.0)</f>
        <v>9</v>
      </c>
      <c r="BA273" s="16">
        <f>IFERROR(__xludf.DUMMYFUNCTION("""COMPUTED_VALUE"""),-6.0)</f>
        <v>-6</v>
      </c>
      <c r="BB273" s="16">
        <f>IFERROR(__xludf.DUMMYFUNCTION("""COMPUTED_VALUE"""),5.0)</f>
        <v>5</v>
      </c>
      <c r="BC273" s="16">
        <f>IFERROR(__xludf.DUMMYFUNCTION("""COMPUTED_VALUE"""),5.0)</f>
        <v>5</v>
      </c>
      <c r="BD273" s="16">
        <f>IFERROR(__xludf.DUMMYFUNCTION("""COMPUTED_VALUE"""),1.0)</f>
        <v>1</v>
      </c>
      <c r="BE273" s="16">
        <f>IFERROR(__xludf.DUMMYFUNCTION("""COMPUTED_VALUE"""),1.0)</f>
        <v>1</v>
      </c>
      <c r="BF273" s="16">
        <f>IFERROR(__xludf.DUMMYFUNCTION("""COMPUTED_VALUE"""),1.0)</f>
        <v>1</v>
      </c>
      <c r="BG273" s="16">
        <f>IFERROR(__xludf.DUMMYFUNCTION("""COMPUTED_VALUE"""),1.0)</f>
        <v>1</v>
      </c>
      <c r="BH273" s="16">
        <f>IFERROR(__xludf.DUMMYFUNCTION("""COMPUTED_VALUE"""),-10.0)</f>
        <v>-10</v>
      </c>
      <c r="BI273" s="16">
        <f>IFERROR(__xludf.DUMMYFUNCTION("""COMPUTED_VALUE"""),-10.0)</f>
        <v>-10</v>
      </c>
      <c r="BJ273" s="16">
        <f>IFERROR(__xludf.DUMMYFUNCTION("""COMPUTED_VALUE"""),13.0)</f>
        <v>13</v>
      </c>
      <c r="BK273" s="16">
        <f>IFERROR(__xludf.DUMMYFUNCTION("""COMPUTED_VALUE"""),14.0)</f>
        <v>14</v>
      </c>
      <c r="BL273" s="16">
        <f>IFERROR(__xludf.DUMMYFUNCTION("""COMPUTED_VALUE"""),0.0)</f>
        <v>0</v>
      </c>
      <c r="BM273" s="16">
        <f>IFERROR(__xludf.DUMMYFUNCTION("""COMPUTED_VALUE"""),0.0)</f>
        <v>0</v>
      </c>
      <c r="BN273" s="16">
        <f>IFERROR(__xludf.DUMMYFUNCTION("""COMPUTED_VALUE"""),0.0)</f>
        <v>0</v>
      </c>
      <c r="BO273" s="16">
        <f>IFERROR(__xludf.DUMMYFUNCTION("""COMPUTED_VALUE"""),0.0)</f>
        <v>0</v>
      </c>
      <c r="BP273" s="16">
        <f>IFERROR(__xludf.DUMMYFUNCTION("""COMPUTED_VALUE"""),9.0)</f>
        <v>9</v>
      </c>
      <c r="BQ273" s="16">
        <f>IFERROR(__xludf.DUMMYFUNCTION("""COMPUTED_VALUE"""),-9.0)</f>
        <v>-9</v>
      </c>
      <c r="BR273" s="16">
        <f>IFERROR(__xludf.DUMMYFUNCTION("""COMPUTED_VALUE"""),0.0)</f>
        <v>0</v>
      </c>
      <c r="BS273" s="16" t="str">
        <f>IFERROR(__xludf.DUMMYFUNCTION("""COMPUTED_VALUE"""),"*2-12/- (19-16)")</f>
        <v>*2-12/- (19-16)</v>
      </c>
      <c r="BT273" s="16" t="str">
        <f>IFERROR(__xludf.DUMMYFUNCTION("""COMPUTED_VALUE"""),"AA")</f>
        <v>AA</v>
      </c>
      <c r="BU273" s="16">
        <f>IFERROR(__xludf.DUMMYFUNCTION("""COMPUTED_VALUE"""),17.0)</f>
        <v>17</v>
      </c>
      <c r="BV273" s="16">
        <f>IFERROR(__xludf.DUMMYFUNCTION("""COMPUTED_VALUE"""),3.0)</f>
        <v>3</v>
      </c>
      <c r="BW273" s="16">
        <f>IFERROR(__xludf.DUMMYFUNCTION("""COMPUTED_VALUE"""),3.0)</f>
        <v>3</v>
      </c>
      <c r="BX273" s="16">
        <f>IFERROR(__xludf.DUMMYFUNCTION("""COMPUTED_VALUE"""),6.0)</f>
        <v>6</v>
      </c>
      <c r="BY273" s="16">
        <f>IFERROR(__xludf.DUMMYFUNCTION("""COMPUTED_VALUE"""),9.0)</f>
        <v>9</v>
      </c>
      <c r="BZ273" s="16" t="str">
        <f>IFERROR(__xludf.DUMMYFUNCTION("""COMPUTED_VALUE"""),"A")</f>
        <v>A</v>
      </c>
      <c r="CA273" s="16" t="str">
        <f>IFERROR(__xludf.DUMMYFUNCTION("""COMPUTED_VALUE"""),"D")</f>
        <v>D</v>
      </c>
      <c r="CB273" s="16">
        <f>IFERROR(__xludf.DUMMYFUNCTION("""COMPUTED_VALUE"""),2.0)</f>
        <v>2</v>
      </c>
      <c r="CC273" s="16">
        <f>IFERROR(__xludf.DUMMYFUNCTION("""COMPUTED_VALUE"""),0.0)</f>
        <v>0</v>
      </c>
      <c r="CD273" s="16">
        <f>IFERROR(__xludf.DUMMYFUNCTION("""COMPUTED_VALUE"""),2.0)</f>
        <v>2</v>
      </c>
      <c r="CE273" s="16">
        <f>IFERROR(__xludf.DUMMYFUNCTION("""COMPUTED_VALUE"""),0.0)</f>
        <v>0</v>
      </c>
      <c r="CF273" s="16">
        <f>IFERROR(__xludf.DUMMYFUNCTION("""COMPUTED_VALUE"""),1.0)</f>
        <v>1</v>
      </c>
      <c r="CG273" s="16">
        <f>IFERROR(__xludf.DUMMYFUNCTION("""COMPUTED_VALUE"""),26.0)</f>
        <v>26</v>
      </c>
      <c r="CH273" s="16">
        <f>IFERROR(__xludf.DUMMYFUNCTION("""COMPUTED_VALUE"""),-27.0)</f>
        <v>-27</v>
      </c>
      <c r="CI273" s="179">
        <f>IFERROR(__xludf.DUMMYFUNCTION("""COMPUTED_VALUE"""),-7.0)</f>
        <v>-7</v>
      </c>
      <c r="CJ273" s="16"/>
      <c r="CK273" s="16"/>
      <c r="CL273" s="16"/>
      <c r="CM273" s="16"/>
      <c r="CN273" s="16"/>
      <c r="CO273" s="16">
        <f>IFERROR(__xludf.DUMMYFUNCTION("""COMPUTED_VALUE"""),313.0)</f>
        <v>313</v>
      </c>
      <c r="CP273" s="16">
        <f>IFERROR(__xludf.DUMMYFUNCTION("""COMPUTED_VALUE"""),313.0)</f>
        <v>313</v>
      </c>
      <c r="CQ273" s="16">
        <f>IFERROR(__xludf.DUMMYFUNCTION("""COMPUTED_VALUE"""),313.0)</f>
        <v>313</v>
      </c>
      <c r="CR273" s="16" t="str">
        <f>IFERROR(__xludf.DUMMYFUNCTION("""COMPUTED_VALUE"""),"lf-3(-1)e13 cf-3e13 rf-3e13")</f>
        <v>lf-3(-1)e13 cf-3e13 rf-3e13</v>
      </c>
      <c r="CS273" s="16"/>
      <c r="CT273" s="16"/>
      <c r="CU273" s="16"/>
      <c r="CV273" s="16"/>
      <c r="CW273" s="16"/>
      <c r="CX273" s="16">
        <f>IFERROR(__xludf.DUMMYFUNCTION("""COMPUTED_VALUE"""),3.0)</f>
        <v>3</v>
      </c>
      <c r="CY273" s="16">
        <f>IFERROR(__xludf.DUMMYFUNCTION("""COMPUTED_VALUE"""),3.0)</f>
        <v>3</v>
      </c>
      <c r="CZ273" s="16">
        <f>IFERROR(__xludf.DUMMYFUNCTION("""COMPUTED_VALUE"""),3.0)</f>
        <v>3</v>
      </c>
      <c r="DA273" s="16"/>
      <c r="DB273" s="16"/>
      <c r="DC273" s="16"/>
      <c r="DD273" s="16"/>
      <c r="DE273" s="16"/>
      <c r="DF273" s="16">
        <f>IFERROR(__xludf.DUMMYFUNCTION("""COMPUTED_VALUE"""),13.0)</f>
        <v>13</v>
      </c>
      <c r="DG273" s="16">
        <f>IFERROR(__xludf.DUMMYFUNCTION("""COMPUTED_VALUE"""),13.0)</f>
        <v>13</v>
      </c>
      <c r="DH273" s="16">
        <f>IFERROR(__xludf.DUMMYFUNCTION("""COMPUTED_VALUE"""),13.0)</f>
        <v>13</v>
      </c>
      <c r="DI273" s="16"/>
      <c r="DJ273" s="16"/>
      <c r="DK273" s="16"/>
      <c r="DL273" s="16"/>
      <c r="DM273" s="16"/>
      <c r="DN273" s="16">
        <f>IFERROR(__xludf.DUMMYFUNCTION("""COMPUTED_VALUE"""),0.0)</f>
        <v>0</v>
      </c>
      <c r="DO273" s="16">
        <f>IFERROR(__xludf.DUMMYFUNCTION("""COMPUTED_VALUE"""),0.0)</f>
        <v>0</v>
      </c>
      <c r="DP273" s="16">
        <f>IFERROR(__xludf.DUMMYFUNCTION("""COMPUTED_VALUE"""),0.0)</f>
        <v>0</v>
      </c>
      <c r="DQ273" s="16"/>
      <c r="DR273" s="16"/>
      <c r="DS273" s="16"/>
      <c r="DT273" s="16"/>
      <c r="DU273" s="16"/>
      <c r="DV273" s="16">
        <f>IFERROR(__xludf.DUMMYFUNCTION("""COMPUTED_VALUE"""),-2.0)</f>
        <v>-2</v>
      </c>
      <c r="DW273" s="16">
        <f>IFERROR(__xludf.DUMMYFUNCTION("""COMPUTED_VALUE"""),0.0)</f>
        <v>0</v>
      </c>
      <c r="DX273" s="16">
        <f>IFERROR(__xludf.DUMMYFUNCTION("""COMPUTED_VALUE"""),-2.0)</f>
        <v>-2</v>
      </c>
      <c r="DY273" s="16"/>
      <c r="DZ273" s="16"/>
      <c r="EA273" s="16"/>
      <c r="EB273" s="16"/>
      <c r="EC273" s="16"/>
      <c r="ED273" s="16">
        <f>IFERROR(__xludf.DUMMYFUNCTION("""COMPUTED_VALUE"""),-2.0)</f>
        <v>-2</v>
      </c>
      <c r="EE273" s="16">
        <f>IFERROR(__xludf.DUMMYFUNCTION("""COMPUTED_VALUE"""),0.0)</f>
        <v>0</v>
      </c>
      <c r="EF273" s="16">
        <f>IFERROR(__xludf.DUMMYFUNCTION("""COMPUTED_VALUE"""),-2.0)</f>
        <v>-2</v>
      </c>
      <c r="EG273" s="179"/>
      <c r="EH273" s="179"/>
      <c r="EI273" s="179"/>
      <c r="EJ273" s="179"/>
      <c r="EK273" s="179"/>
      <c r="EL273" s="179">
        <f>IFERROR(__xludf.DUMMYFUNCTION("""COMPUTED_VALUE"""),-9.0)</f>
        <v>-9</v>
      </c>
      <c r="EM273" s="179">
        <f>IFERROR(__xludf.DUMMYFUNCTION("""COMPUTED_VALUE"""),-7.0)</f>
        <v>-7</v>
      </c>
      <c r="EN273" s="179">
        <f>IFERROR(__xludf.DUMMYFUNCTION("""COMPUTED_VALUE"""),-9.0)</f>
        <v>-9</v>
      </c>
      <c r="EO273" s="16"/>
      <c r="EP273" s="16">
        <f>IFERROR(__xludf.DUMMYFUNCTION("""COMPUTED_VALUE"""),1.0)</f>
        <v>1</v>
      </c>
      <c r="EQ273" s="16">
        <f>IFERROR(__xludf.DUMMYFUNCTION("""COMPUTED_VALUE"""),4.0)</f>
        <v>4</v>
      </c>
      <c r="ER273" s="16">
        <f>IFERROR(__xludf.DUMMYFUNCTION("""COMPUTED_VALUE"""),-1.0)</f>
        <v>-1</v>
      </c>
      <c r="ES273" s="16"/>
      <c r="ET273" s="16"/>
      <c r="EU273" s="16"/>
      <c r="EV273" s="16"/>
      <c r="EW273" s="16"/>
      <c r="EX273" s="180"/>
      <c r="EY273" s="180"/>
      <c r="EZ273" s="180"/>
      <c r="FA273" s="180"/>
      <c r="FB273" s="180"/>
      <c r="FC273" s="180">
        <f>IFERROR(__xludf.DUMMYFUNCTION("""COMPUTED_VALUE"""),0.3)</f>
        <v>0.3</v>
      </c>
      <c r="FD273" s="180">
        <f>IFERROR(__xludf.DUMMYFUNCTION("""COMPUTED_VALUE"""),0.3)</f>
        <v>0.3</v>
      </c>
      <c r="FE273" s="180">
        <f>IFERROR(__xludf.DUMMYFUNCTION("""COMPUTED_VALUE"""),0.3)</f>
        <v>0.3</v>
      </c>
      <c r="FF273" s="180"/>
      <c r="FG273" s="180"/>
      <c r="FH273" s="180"/>
      <c r="FI273" s="180"/>
      <c r="FJ273" s="180"/>
      <c r="FK273" s="180">
        <f>IFERROR(__xludf.DUMMYFUNCTION("""COMPUTED_VALUE"""),0.236)</f>
        <v>0.236</v>
      </c>
      <c r="FL273" s="180">
        <f>IFERROR(__xludf.DUMMYFUNCTION("""COMPUTED_VALUE"""),0.1574074074074074)</f>
        <v>0.1574074074</v>
      </c>
      <c r="FM273" s="180">
        <f>IFERROR(__xludf.DUMMYFUNCTION("""COMPUTED_VALUE"""),0.236)</f>
        <v>0.236</v>
      </c>
      <c r="FN273" s="16"/>
      <c r="FO273" s="16"/>
      <c r="FP273" s="16"/>
      <c r="FQ273" s="16"/>
      <c r="FR273" s="16"/>
      <c r="FS273" s="16">
        <f>IFERROR(__xludf.DUMMYFUNCTION("""COMPUTED_VALUE"""),0.5347999999999999)</f>
        <v>0.5348</v>
      </c>
      <c r="FT273" s="16">
        <f>IFERROR(__xludf.DUMMYFUNCTION("""COMPUTED_VALUE"""),0.5898148148148148)</f>
        <v>0.5898148148</v>
      </c>
      <c r="FU273" s="16">
        <f>IFERROR(__xludf.DUMMYFUNCTION("""COMPUTED_VALUE"""),0.5347999999999999)</f>
        <v>0.5348</v>
      </c>
      <c r="FV273" s="16"/>
      <c r="FW273" s="16"/>
      <c r="FX273" s="16"/>
      <c r="FY273" s="16"/>
      <c r="FZ273" s="16"/>
      <c r="GA273" s="16">
        <f>IFERROR(__xludf.DUMMYFUNCTION("""COMPUTED_VALUE"""),-9.0)</f>
        <v>-9</v>
      </c>
      <c r="GB273" s="16">
        <f>IFERROR(__xludf.DUMMYFUNCTION("""COMPUTED_VALUE"""),-7.0)</f>
        <v>-7</v>
      </c>
      <c r="GC273" s="16">
        <f>IFERROR(__xludf.DUMMYFUNCTION("""COMPUTED_VALUE"""),-9.0)</f>
        <v>-9</v>
      </c>
      <c r="GD273" s="16" t="s">
        <v>245</v>
      </c>
    </row>
    <row r="274">
      <c r="A274" s="16">
        <f>IFERROR(__xludf.DUMMYFUNCTION("""COMPUTED_VALUE"""),12962.0)</f>
        <v>12962</v>
      </c>
      <c r="B274" s="16" t="str">
        <f>IFERROR(__xludf.DUMMYFUNCTION("""COMPUTED_VALUE"""),"Jo Adell")</f>
        <v>Jo Adell</v>
      </c>
      <c r="C274" s="16">
        <f>IFERROR(__xludf.DUMMYFUNCTION("""COMPUTED_VALUE"""),0.58)</f>
        <v>0.58</v>
      </c>
      <c r="D274" s="16" t="str">
        <f>IFERROR(__xludf.DUMMYFUNCTION("""COMPUTED_VALUE"""),"R")</f>
        <v>R</v>
      </c>
      <c r="E274" s="16"/>
      <c r="F274" s="16"/>
      <c r="G274" s="16">
        <f>IFERROR(__xludf.DUMMYFUNCTION("""COMPUTED_VALUE"""),405.0)</f>
        <v>405</v>
      </c>
      <c r="H274" s="16">
        <f>IFERROR(__xludf.DUMMYFUNCTION("""COMPUTED_VALUE"""),35.0)</f>
        <v>35</v>
      </c>
      <c r="I274" s="16" t="str">
        <f>IFERROR(__xludf.DUMMYFUNCTION("""COMPUTED_VALUE"""),"3p60")</f>
        <v>3p60</v>
      </c>
      <c r="J274" s="16">
        <f>IFERROR(__xludf.DUMMYFUNCTION("""COMPUTED_VALUE"""),18.0)</f>
        <v>18</v>
      </c>
      <c r="K274" s="16">
        <f>IFERROR(__xludf.DUMMYFUNCTION("""COMPUTED_VALUE"""),40.0)</f>
        <v>40</v>
      </c>
      <c r="L274" s="16">
        <f>IFERROR(__xludf.DUMMYFUNCTION("""COMPUTED_VALUE"""),1.0)</f>
        <v>1</v>
      </c>
      <c r="M274" s="16">
        <f>IFERROR(__xludf.DUMMYFUNCTION("""COMPUTED_VALUE"""),-2.0)</f>
        <v>-2</v>
      </c>
      <c r="N274" s="16">
        <f>IFERROR(__xludf.DUMMYFUNCTION("""COMPUTED_VALUE"""),1.0)</f>
        <v>1</v>
      </c>
      <c r="O274" s="16">
        <f>IFERROR(__xludf.DUMMYFUNCTION("""COMPUTED_VALUE"""),-2.0)</f>
        <v>-2</v>
      </c>
      <c r="P274" s="16">
        <f>IFERROR(__xludf.DUMMYFUNCTION("""COMPUTED_VALUE"""),4.0)</f>
        <v>4</v>
      </c>
      <c r="Q274" s="16">
        <f>IFERROR(__xludf.DUMMYFUNCTION("""COMPUTED_VALUE"""),10.0)</f>
        <v>10</v>
      </c>
      <c r="R274" s="16">
        <f>IFERROR(__xludf.DUMMYFUNCTION("""COMPUTED_VALUE"""),-2.0)</f>
        <v>-2</v>
      </c>
      <c r="S274" s="16">
        <f>IFERROR(__xludf.DUMMYFUNCTION("""COMPUTED_VALUE"""),0.0)</f>
        <v>0</v>
      </c>
      <c r="T274" s="16">
        <f>IFERROR(__xludf.DUMMYFUNCTION("""COMPUTED_VALUE"""),-2.0)</f>
        <v>-2</v>
      </c>
      <c r="U274" s="16">
        <f>IFERROR(__xludf.DUMMYFUNCTION("""COMPUTED_VALUE"""),0.0)</f>
        <v>0</v>
      </c>
      <c r="V274" s="16">
        <f>IFERROR(__xludf.DUMMYFUNCTION("""COMPUTED_VALUE"""),16.9)</f>
        <v>16.9</v>
      </c>
      <c r="W274" s="16">
        <f>IFERROR(__xludf.DUMMYFUNCTION("""COMPUTED_VALUE"""),8.4)</f>
        <v>8.4</v>
      </c>
      <c r="X274" s="16">
        <f>IFERROR(__xludf.DUMMYFUNCTION("""COMPUTED_VALUE"""),0.0)</f>
        <v>0</v>
      </c>
      <c r="Y274" s="16">
        <f>IFERROR(__xludf.DUMMYFUNCTION("""COMPUTED_VALUE"""),-2.0)</f>
        <v>-2</v>
      </c>
      <c r="Z274" s="16">
        <f>IFERROR(__xludf.DUMMYFUNCTION("""COMPUTED_VALUE"""),0.0)</f>
        <v>0</v>
      </c>
      <c r="AA274" s="16">
        <f>IFERROR(__xludf.DUMMYFUNCTION("""COMPUTED_VALUE"""),-4.0)</f>
        <v>-4</v>
      </c>
      <c r="AB274" s="16">
        <f>IFERROR(__xludf.DUMMYFUNCTION("""COMPUTED_VALUE"""),24.9)</f>
        <v>24.9</v>
      </c>
      <c r="AC274" s="16">
        <f>IFERROR(__xludf.DUMMYFUNCTION("""COMPUTED_VALUE"""),22.4)</f>
        <v>22.4</v>
      </c>
      <c r="AD274" s="16">
        <f>IFERROR(__xludf.DUMMYFUNCTION("""COMPUTED_VALUE"""),-1.0)</f>
        <v>-1</v>
      </c>
      <c r="AE274" s="16">
        <f>IFERROR(__xludf.DUMMYFUNCTION("""COMPUTED_VALUE"""),-1.0)</f>
        <v>-1</v>
      </c>
      <c r="AF274" s="16">
        <f>IFERROR(__xludf.DUMMYFUNCTION("""COMPUTED_VALUE"""),-5.0)</f>
        <v>-5</v>
      </c>
      <c r="AG274" s="16">
        <f>IFERROR(__xludf.DUMMYFUNCTION("""COMPUTED_VALUE"""),-5.0)</f>
        <v>-5</v>
      </c>
      <c r="AH274" s="16">
        <f>IFERROR(__xludf.DUMMYFUNCTION("""COMPUTED_VALUE"""),50.5)</f>
        <v>50.5</v>
      </c>
      <c r="AI274" s="16">
        <f>IFERROR(__xludf.DUMMYFUNCTION("""COMPUTED_VALUE"""),16.9)</f>
        <v>16.9</v>
      </c>
      <c r="AJ274" s="16">
        <f>IFERROR(__xludf.DUMMYFUNCTION("""COMPUTED_VALUE"""),2.0)</f>
        <v>2</v>
      </c>
      <c r="AK274" s="16">
        <f>IFERROR(__xludf.DUMMYFUNCTION("""COMPUTED_VALUE"""),-2.0)</f>
        <v>-2</v>
      </c>
      <c r="AL274" s="16">
        <f>IFERROR(__xludf.DUMMYFUNCTION("""COMPUTED_VALUE"""),10.0)</f>
        <v>10</v>
      </c>
      <c r="AM274" s="16">
        <f>IFERROR(__xludf.DUMMYFUNCTION("""COMPUTED_VALUE"""),-10.0)</f>
        <v>-10</v>
      </c>
      <c r="AN274" s="16">
        <f>IFERROR(__xludf.DUMMYFUNCTION("""COMPUTED_VALUE"""),8.6)</f>
        <v>8.6</v>
      </c>
      <c r="AO274" s="16">
        <f>IFERROR(__xludf.DUMMYFUNCTION("""COMPUTED_VALUE"""),2.2)</f>
        <v>2.2</v>
      </c>
      <c r="AP274" s="16">
        <f>IFERROR(__xludf.DUMMYFUNCTION("""COMPUTED_VALUE"""),3.0)</f>
        <v>3</v>
      </c>
      <c r="AQ274" s="16">
        <f>IFERROR(__xludf.DUMMYFUNCTION("""COMPUTED_VALUE"""),0.0)</f>
        <v>0</v>
      </c>
      <c r="AR274" s="16">
        <f>IFERROR(__xludf.DUMMYFUNCTION("""COMPUTED_VALUE"""),6.0)</f>
        <v>6</v>
      </c>
      <c r="AS274" s="16">
        <f>IFERROR(__xludf.DUMMYFUNCTION("""COMPUTED_VALUE"""),0.0)</f>
        <v>0</v>
      </c>
      <c r="AT274" s="16">
        <f>IFERROR(__xludf.DUMMYFUNCTION("""COMPUTED_VALUE"""),8.0)</f>
        <v>8</v>
      </c>
      <c r="AU274" s="16">
        <f>IFERROR(__xludf.DUMMYFUNCTION("""COMPUTED_VALUE"""),4.0)</f>
        <v>4</v>
      </c>
      <c r="AV274" s="16">
        <f>IFERROR(__xludf.DUMMYFUNCTION("""COMPUTED_VALUE"""),8.0)</f>
        <v>8</v>
      </c>
      <c r="AW274" s="16">
        <f>IFERROR(__xludf.DUMMYFUNCTION("""COMPUTED_VALUE"""),4.0)</f>
        <v>4</v>
      </c>
      <c r="AX274" s="16">
        <f>IFERROR(__xludf.DUMMYFUNCTION("""COMPUTED_VALUE"""),3.0)</f>
        <v>3</v>
      </c>
      <c r="AY274" s="16">
        <f>IFERROR(__xludf.DUMMYFUNCTION("""COMPUTED_VALUE"""),1.0)</f>
        <v>1</v>
      </c>
      <c r="AZ274" s="16">
        <f>IFERROR(__xludf.DUMMYFUNCTION("""COMPUTED_VALUE"""),9.0)</f>
        <v>9</v>
      </c>
      <c r="BA274" s="16">
        <f>IFERROR(__xludf.DUMMYFUNCTION("""COMPUTED_VALUE"""),3.0)</f>
        <v>3</v>
      </c>
      <c r="BB274" s="16">
        <f>IFERROR(__xludf.DUMMYFUNCTION("""COMPUTED_VALUE"""),5.0)</f>
        <v>5</v>
      </c>
      <c r="BC274" s="16">
        <f>IFERROR(__xludf.DUMMYFUNCTION("""COMPUTED_VALUE"""),5.0)</f>
        <v>5</v>
      </c>
      <c r="BD274" s="16">
        <f>IFERROR(__xludf.DUMMYFUNCTION("""COMPUTED_VALUE"""),1.0)</f>
        <v>1</v>
      </c>
      <c r="BE274" s="16">
        <f>IFERROR(__xludf.DUMMYFUNCTION("""COMPUTED_VALUE"""),1.0)</f>
        <v>1</v>
      </c>
      <c r="BF274" s="16">
        <f>IFERROR(__xludf.DUMMYFUNCTION("""COMPUTED_VALUE"""),1.0)</f>
        <v>1</v>
      </c>
      <c r="BG274" s="16">
        <f>IFERROR(__xludf.DUMMYFUNCTION("""COMPUTED_VALUE"""),1.0)</f>
        <v>1</v>
      </c>
      <c r="BH274" s="16">
        <f>IFERROR(__xludf.DUMMYFUNCTION("""COMPUTED_VALUE"""),5.0)</f>
        <v>5</v>
      </c>
      <c r="BI274" s="16">
        <f>IFERROR(__xludf.DUMMYFUNCTION("""COMPUTED_VALUE"""),5.0)</f>
        <v>5</v>
      </c>
      <c r="BJ274" s="16">
        <f>IFERROR(__xludf.DUMMYFUNCTION("""COMPUTED_VALUE"""),17.0)</f>
        <v>17</v>
      </c>
      <c r="BK274" s="16">
        <f>IFERROR(__xludf.DUMMYFUNCTION("""COMPUTED_VALUE"""),16.0)</f>
        <v>16</v>
      </c>
      <c r="BL274" s="16">
        <f>IFERROR(__xludf.DUMMYFUNCTION("""COMPUTED_VALUE"""),-1.0)</f>
        <v>-1</v>
      </c>
      <c r="BM274" s="16">
        <f>IFERROR(__xludf.DUMMYFUNCTION("""COMPUTED_VALUE"""),-1.0)</f>
        <v>-1</v>
      </c>
      <c r="BN274" s="16">
        <f>IFERROR(__xludf.DUMMYFUNCTION("""COMPUTED_VALUE"""),-2.0)</f>
        <v>-2</v>
      </c>
      <c r="BO274" s="16">
        <f>IFERROR(__xludf.DUMMYFUNCTION("""COMPUTED_VALUE"""),-2.0)</f>
        <v>-2</v>
      </c>
      <c r="BP274" s="16">
        <f>IFERROR(__xludf.DUMMYFUNCTION("""COMPUTED_VALUE"""),6.0)</f>
        <v>6</v>
      </c>
      <c r="BQ274" s="16">
        <f>IFERROR(__xludf.DUMMYFUNCTION("""COMPUTED_VALUE"""),-6.0)</f>
        <v>-6</v>
      </c>
      <c r="BR274" s="16">
        <f>IFERROR(__xludf.DUMMYFUNCTION("""COMPUTED_VALUE"""),0.0)</f>
        <v>0</v>
      </c>
      <c r="BS274" s="16" t="str">
        <f>IFERROR(__xludf.DUMMYFUNCTION("""COMPUTED_VALUE"""),"*2-9,11/10 (15-11)")</f>
        <v>*2-9,11/10 (15-11)</v>
      </c>
      <c r="BT274" s="16" t="str">
        <f>IFERROR(__xludf.DUMMYFUNCTION("""COMPUTED_VALUE"""),"B")</f>
        <v>B</v>
      </c>
      <c r="BU274" s="16">
        <f>IFERROR(__xludf.DUMMYFUNCTION("""COMPUTED_VALUE"""),14.0)</f>
        <v>14</v>
      </c>
      <c r="BV274" s="16">
        <f>IFERROR(__xludf.DUMMYFUNCTION("""COMPUTED_VALUE"""),1.0)</f>
        <v>1</v>
      </c>
      <c r="BW274" s="16">
        <f>IFERROR(__xludf.DUMMYFUNCTION("""COMPUTED_VALUE"""),1.0)</f>
        <v>1</v>
      </c>
      <c r="BX274" s="16">
        <f>IFERROR(__xludf.DUMMYFUNCTION("""COMPUTED_VALUE"""),2.0)</f>
        <v>2</v>
      </c>
      <c r="BY274" s="16">
        <f>IFERROR(__xludf.DUMMYFUNCTION("""COMPUTED_VALUE"""),3.0)</f>
        <v>3</v>
      </c>
      <c r="BZ274" s="16" t="str">
        <f>IFERROR(__xludf.DUMMYFUNCTION("""COMPUTED_VALUE"""),"D")</f>
        <v>D</v>
      </c>
      <c r="CA274" s="16" t="str">
        <f>IFERROR(__xludf.DUMMYFUNCTION("""COMPUTED_VALUE"""),"D")</f>
        <v>D</v>
      </c>
      <c r="CB274" s="16">
        <f>IFERROR(__xludf.DUMMYFUNCTION("""COMPUTED_VALUE"""),0.0)</f>
        <v>0</v>
      </c>
      <c r="CC274" s="16">
        <f>IFERROR(__xludf.DUMMYFUNCTION("""COMPUTED_VALUE"""),0.0)</f>
        <v>0</v>
      </c>
      <c r="CD274" s="16">
        <f>IFERROR(__xludf.DUMMYFUNCTION("""COMPUTED_VALUE"""),0.0)</f>
        <v>0</v>
      </c>
      <c r="CE274" s="16">
        <f>IFERROR(__xludf.DUMMYFUNCTION("""COMPUTED_VALUE"""),0.0)</f>
        <v>0</v>
      </c>
      <c r="CF274" s="16">
        <f>IFERROR(__xludf.DUMMYFUNCTION("""COMPUTED_VALUE"""),3.0)</f>
        <v>3</v>
      </c>
      <c r="CG274" s="16">
        <f>IFERROR(__xludf.DUMMYFUNCTION("""COMPUTED_VALUE"""),18.0)</f>
        <v>18</v>
      </c>
      <c r="CH274" s="16">
        <f>IFERROR(__xludf.DUMMYFUNCTION("""COMPUTED_VALUE"""),-19.0)</f>
        <v>-19</v>
      </c>
      <c r="CI274" s="179">
        <f>IFERROR(__xludf.DUMMYFUNCTION("""COMPUTED_VALUE"""),-7.0)</f>
        <v>-7</v>
      </c>
      <c r="CJ274" s="16"/>
      <c r="CK274" s="16"/>
      <c r="CL274" s="16"/>
      <c r="CM274" s="16"/>
      <c r="CN274" s="16"/>
      <c r="CO274" s="16"/>
      <c r="CP274" s="16">
        <f>IFERROR(__xludf.DUMMYFUNCTION("""COMPUTED_VALUE"""),406.0)</f>
        <v>406</v>
      </c>
      <c r="CQ274" s="16">
        <f>IFERROR(__xludf.DUMMYFUNCTION("""COMPUTED_VALUE"""),206.0)</f>
        <v>206</v>
      </c>
      <c r="CR274" s="16" t="str">
        <f>IFERROR(__xludf.DUMMYFUNCTION("""COMPUTED_VALUE"""),"rf-2(-1)e6 cf-4e6")</f>
        <v>rf-2(-1)e6 cf-4e6</v>
      </c>
      <c r="CS274" s="16"/>
      <c r="CT274" s="16"/>
      <c r="CU274" s="16"/>
      <c r="CV274" s="16"/>
      <c r="CW274" s="16"/>
      <c r="CX274" s="16"/>
      <c r="CY274" s="16">
        <f>IFERROR(__xludf.DUMMYFUNCTION("""COMPUTED_VALUE"""),4.0)</f>
        <v>4</v>
      </c>
      <c r="CZ274" s="16">
        <f>IFERROR(__xludf.DUMMYFUNCTION("""COMPUTED_VALUE"""),2.0)</f>
        <v>2</v>
      </c>
      <c r="DA274" s="16"/>
      <c r="DB274" s="16"/>
      <c r="DC274" s="16"/>
      <c r="DD274" s="16"/>
      <c r="DE274" s="16"/>
      <c r="DF274" s="16"/>
      <c r="DG274" s="16">
        <f>IFERROR(__xludf.DUMMYFUNCTION("""COMPUTED_VALUE"""),6.0)</f>
        <v>6</v>
      </c>
      <c r="DH274" s="16">
        <f>IFERROR(__xludf.DUMMYFUNCTION("""COMPUTED_VALUE"""),6.0)</f>
        <v>6</v>
      </c>
      <c r="DI274" s="16"/>
      <c r="DJ274" s="16"/>
      <c r="DK274" s="16"/>
      <c r="DL274" s="16"/>
      <c r="DM274" s="16"/>
      <c r="DN274" s="16"/>
      <c r="DO274" s="16">
        <f>IFERROR(__xludf.DUMMYFUNCTION("""COMPUTED_VALUE"""),-2.0)</f>
        <v>-2</v>
      </c>
      <c r="DP274" s="16">
        <f>IFERROR(__xludf.DUMMYFUNCTION("""COMPUTED_VALUE"""),3.0)</f>
        <v>3</v>
      </c>
      <c r="DQ274" s="16"/>
      <c r="DR274" s="16"/>
      <c r="DS274" s="16"/>
      <c r="DT274" s="16"/>
      <c r="DU274" s="16"/>
      <c r="DV274" s="16"/>
      <c r="DW274" s="16">
        <f>IFERROR(__xludf.DUMMYFUNCTION("""COMPUTED_VALUE"""),3.0)</f>
        <v>3</v>
      </c>
      <c r="DX274" s="16">
        <f>IFERROR(__xludf.DUMMYFUNCTION("""COMPUTED_VALUE"""),2.0)</f>
        <v>2</v>
      </c>
      <c r="DY274" s="16"/>
      <c r="DZ274" s="16"/>
      <c r="EA274" s="16"/>
      <c r="EB274" s="16"/>
      <c r="EC274" s="16"/>
      <c r="ED274" s="16"/>
      <c r="EE274" s="16">
        <f>IFERROR(__xludf.DUMMYFUNCTION("""COMPUTED_VALUE"""),1.0)</f>
        <v>1</v>
      </c>
      <c r="EF274" s="16">
        <f>IFERROR(__xludf.DUMMYFUNCTION("""COMPUTED_VALUE"""),5.0)</f>
        <v>5</v>
      </c>
      <c r="EG274" s="179"/>
      <c r="EH274" s="179"/>
      <c r="EI274" s="179"/>
      <c r="EJ274" s="179"/>
      <c r="EK274" s="179"/>
      <c r="EL274" s="179"/>
      <c r="EM274" s="179">
        <f>IFERROR(__xludf.DUMMYFUNCTION("""COMPUTED_VALUE"""),-6.0)</f>
        <v>-6</v>
      </c>
      <c r="EN274" s="179">
        <f>IFERROR(__xludf.DUMMYFUNCTION("""COMPUTED_VALUE"""),-2.0)</f>
        <v>-2</v>
      </c>
      <c r="EO274" s="16"/>
      <c r="EP274" s="16">
        <f>IFERROR(__xludf.DUMMYFUNCTION("""COMPUTED_VALUE"""),-1.0)</f>
        <v>-1</v>
      </c>
      <c r="EQ274" s="16">
        <f>IFERROR(__xludf.DUMMYFUNCTION("""COMPUTED_VALUE"""),1.0)</f>
        <v>1</v>
      </c>
      <c r="ER274" s="16">
        <f>IFERROR(__xludf.DUMMYFUNCTION("""COMPUTED_VALUE"""),1.0)</f>
        <v>1</v>
      </c>
      <c r="ES274" s="16"/>
      <c r="ET274" s="16"/>
      <c r="EU274" s="16"/>
      <c r="EV274" s="16"/>
      <c r="EW274" s="16"/>
      <c r="EX274" s="180"/>
      <c r="EY274" s="180"/>
      <c r="EZ274" s="180"/>
      <c r="FA274" s="180"/>
      <c r="FB274" s="180"/>
      <c r="FC274" s="180"/>
      <c r="FD274" s="180">
        <f>IFERROR(__xludf.DUMMYFUNCTION("""COMPUTED_VALUE"""),0.55)</f>
        <v>0.55</v>
      </c>
      <c r="FE274" s="180">
        <f>IFERROR(__xludf.DUMMYFUNCTION("""COMPUTED_VALUE"""),0.15)</f>
        <v>0.15</v>
      </c>
      <c r="FF274" s="180"/>
      <c r="FG274" s="180"/>
      <c r="FH274" s="180"/>
      <c r="FI274" s="180"/>
      <c r="FJ274" s="180"/>
      <c r="FK274" s="180"/>
      <c r="FL274" s="180">
        <f>IFERROR(__xludf.DUMMYFUNCTION("""COMPUTED_VALUE"""),0.06944444444444445)</f>
        <v>0.06944444444</v>
      </c>
      <c r="FM274" s="180">
        <f>IFERROR(__xludf.DUMMYFUNCTION("""COMPUTED_VALUE"""),0.106)</f>
        <v>0.106</v>
      </c>
      <c r="FN274" s="16"/>
      <c r="FO274" s="16"/>
      <c r="FP274" s="16"/>
      <c r="FQ274" s="16"/>
      <c r="FR274" s="16"/>
      <c r="FS274" s="16"/>
      <c r="FT274" s="16">
        <f>IFERROR(__xludf.DUMMYFUNCTION("""COMPUTED_VALUE"""),0.41874999999999996)</f>
        <v>0.41875</v>
      </c>
      <c r="FU274" s="16">
        <f>IFERROR(__xludf.DUMMYFUNCTION("""COMPUTED_VALUE"""),0.7599)</f>
        <v>0.7599</v>
      </c>
      <c r="FV274" s="16"/>
      <c r="FW274" s="16"/>
      <c r="FX274" s="16"/>
      <c r="FY274" s="16"/>
      <c r="FZ274" s="16"/>
      <c r="GA274" s="16"/>
      <c r="GB274" s="16">
        <f>IFERROR(__xludf.DUMMYFUNCTION("""COMPUTED_VALUE"""),-7.0)</f>
        <v>-7</v>
      </c>
      <c r="GC274" s="16">
        <f>IFERROR(__xludf.DUMMYFUNCTION("""COMPUTED_VALUE"""),0.0)</f>
        <v>0</v>
      </c>
      <c r="GD274" s="16" t="s">
        <v>176</v>
      </c>
    </row>
    <row r="275">
      <c r="A275" s="16">
        <f>IFERROR(__xludf.DUMMYFUNCTION("""COMPUTED_VALUE"""),13454.0)</f>
        <v>13454</v>
      </c>
      <c r="B275" s="16" t="str">
        <f>IFERROR(__xludf.DUMMYFUNCTION("""COMPUTED_VALUE"""),"Tyler Nevin")</f>
        <v>Tyler Nevin</v>
      </c>
      <c r="C275" s="16">
        <f>IFERROR(__xludf.DUMMYFUNCTION("""COMPUTED_VALUE"""),0.0)</f>
        <v>0</v>
      </c>
      <c r="D275" s="16" t="str">
        <f>IFERROR(__xludf.DUMMYFUNCTION("""COMPUTED_VALUE"""),"R")</f>
        <v>R</v>
      </c>
      <c r="E275" s="16"/>
      <c r="F275" s="16"/>
      <c r="G275" s="16">
        <f>IFERROR(__xludf.DUMMYFUNCTION("""COMPUTED_VALUE"""),245.0)</f>
        <v>245</v>
      </c>
      <c r="H275" s="16">
        <f>IFERROR(__xludf.DUMMYFUNCTION("""COMPUTED_VALUE"""),25.0)</f>
        <v>25</v>
      </c>
      <c r="I275" s="16" t="str">
        <f>IFERROR(__xludf.DUMMYFUNCTION("""COMPUTED_VALUE"""),"1p40")</f>
        <v>1p40</v>
      </c>
      <c r="J275" s="16">
        <f>IFERROR(__xludf.DUMMYFUNCTION("""COMPUTED_VALUE"""),21.0)</f>
        <v>21</v>
      </c>
      <c r="K275" s="16">
        <f>IFERROR(__xludf.DUMMYFUNCTION("""COMPUTED_VALUE"""),28.0)</f>
        <v>28</v>
      </c>
      <c r="L275" s="16">
        <f>IFERROR(__xludf.DUMMYFUNCTION("""COMPUTED_VALUE"""),0.0)</f>
        <v>0</v>
      </c>
      <c r="M275" s="16">
        <f>IFERROR(__xludf.DUMMYFUNCTION("""COMPUTED_VALUE"""),0.0)</f>
        <v>0</v>
      </c>
      <c r="N275" s="16">
        <f>IFERROR(__xludf.DUMMYFUNCTION("""COMPUTED_VALUE"""),0.0)</f>
        <v>0</v>
      </c>
      <c r="O275" s="16">
        <f>IFERROR(__xludf.DUMMYFUNCTION("""COMPUTED_VALUE"""),0.0)</f>
        <v>0</v>
      </c>
      <c r="P275" s="16">
        <f>IFERROR(__xludf.DUMMYFUNCTION("""COMPUTED_VALUE"""),12.0)</f>
        <v>12</v>
      </c>
      <c r="Q275" s="16">
        <f>IFERROR(__xludf.DUMMYFUNCTION("""COMPUTED_VALUE"""),11.0)</f>
        <v>11</v>
      </c>
      <c r="R275" s="16">
        <f>IFERROR(__xludf.DUMMYFUNCTION("""COMPUTED_VALUE"""),1.0)</f>
        <v>1</v>
      </c>
      <c r="S275" s="16">
        <f>IFERROR(__xludf.DUMMYFUNCTION("""COMPUTED_VALUE"""),1.0)</f>
        <v>1</v>
      </c>
      <c r="T275" s="16">
        <f>IFERROR(__xludf.DUMMYFUNCTION("""COMPUTED_VALUE"""),1.0)</f>
        <v>1</v>
      </c>
      <c r="U275" s="16">
        <f>IFERROR(__xludf.DUMMYFUNCTION("""COMPUTED_VALUE"""),1.0)</f>
        <v>1</v>
      </c>
      <c r="V275" s="16">
        <f>IFERROR(__xludf.DUMMYFUNCTION("""COMPUTED_VALUE"""),9.6)</f>
        <v>9.6</v>
      </c>
      <c r="W275" s="16">
        <f>IFERROR(__xludf.DUMMYFUNCTION("""COMPUTED_VALUE"""),14.1)</f>
        <v>14.1</v>
      </c>
      <c r="X275" s="16">
        <f>IFERROR(__xludf.DUMMYFUNCTION("""COMPUTED_VALUE"""),-1.0)</f>
        <v>-1</v>
      </c>
      <c r="Y275" s="16">
        <f>IFERROR(__xludf.DUMMYFUNCTION("""COMPUTED_VALUE"""),-1.0)</f>
        <v>-1</v>
      </c>
      <c r="Z275" s="16">
        <f>IFERROR(__xludf.DUMMYFUNCTION("""COMPUTED_VALUE"""),-2.0)</f>
        <v>-2</v>
      </c>
      <c r="AA275" s="16">
        <f>IFERROR(__xludf.DUMMYFUNCTION("""COMPUTED_VALUE"""),-2.0)</f>
        <v>-2</v>
      </c>
      <c r="AB275" s="16">
        <f>IFERROR(__xludf.DUMMYFUNCTION("""COMPUTED_VALUE"""),25.5)</f>
        <v>25.5</v>
      </c>
      <c r="AC275" s="16">
        <f>IFERROR(__xludf.DUMMYFUNCTION("""COMPUTED_VALUE"""),29.1)</f>
        <v>29.1</v>
      </c>
      <c r="AD275" s="16">
        <f>IFERROR(__xludf.DUMMYFUNCTION("""COMPUTED_VALUE"""),-1.0)</f>
        <v>-1</v>
      </c>
      <c r="AE275" s="16">
        <f>IFERROR(__xludf.DUMMYFUNCTION("""COMPUTED_VALUE"""),0.0)</f>
        <v>0</v>
      </c>
      <c r="AF275" s="16">
        <f>IFERROR(__xludf.DUMMYFUNCTION("""COMPUTED_VALUE"""),-5.0)</f>
        <v>-5</v>
      </c>
      <c r="AG275" s="16">
        <f>IFERROR(__xludf.DUMMYFUNCTION("""COMPUTED_VALUE"""),0.0)</f>
        <v>0</v>
      </c>
      <c r="AH275" s="16">
        <f>IFERROR(__xludf.DUMMYFUNCTION("""COMPUTED_VALUE"""),24.2)</f>
        <v>24.2</v>
      </c>
      <c r="AI275" s="16">
        <f>IFERROR(__xludf.DUMMYFUNCTION("""COMPUTED_VALUE"""),23.1)</f>
        <v>23.1</v>
      </c>
      <c r="AJ275" s="16">
        <f>IFERROR(__xludf.DUMMYFUNCTION("""COMPUTED_VALUE"""),-1.0)</f>
        <v>-1</v>
      </c>
      <c r="AK275" s="16">
        <f>IFERROR(__xludf.DUMMYFUNCTION("""COMPUTED_VALUE"""),-1.0)</f>
        <v>-1</v>
      </c>
      <c r="AL275" s="16">
        <f>IFERROR(__xludf.DUMMYFUNCTION("""COMPUTED_VALUE"""),-5.0)</f>
        <v>-5</v>
      </c>
      <c r="AM275" s="16">
        <f>IFERROR(__xludf.DUMMYFUNCTION("""COMPUTED_VALUE"""),-5.0)</f>
        <v>-5</v>
      </c>
      <c r="AN275" s="16">
        <f>IFERROR(__xludf.DUMMYFUNCTION("""COMPUTED_VALUE"""),3.2)</f>
        <v>3.2</v>
      </c>
      <c r="AO275" s="16">
        <f>IFERROR(__xludf.DUMMYFUNCTION("""COMPUTED_VALUE"""),2.8)</f>
        <v>2.8</v>
      </c>
      <c r="AP275" s="16">
        <f>IFERROR(__xludf.DUMMYFUNCTION("""COMPUTED_VALUE"""),1.0)</f>
        <v>1</v>
      </c>
      <c r="AQ275" s="16">
        <f>IFERROR(__xludf.DUMMYFUNCTION("""COMPUTED_VALUE"""),0.0)</f>
        <v>0</v>
      </c>
      <c r="AR275" s="16">
        <f>IFERROR(__xludf.DUMMYFUNCTION("""COMPUTED_VALUE"""),2.0)</f>
        <v>2</v>
      </c>
      <c r="AS275" s="16">
        <f>IFERROR(__xludf.DUMMYFUNCTION("""COMPUTED_VALUE"""),0.0)</f>
        <v>0</v>
      </c>
      <c r="AT275" s="16">
        <f>IFERROR(__xludf.DUMMYFUNCTION("""COMPUTED_VALUE"""),7.0)</f>
        <v>7</v>
      </c>
      <c r="AU275" s="16"/>
      <c r="AV275" s="16">
        <f>IFERROR(__xludf.DUMMYFUNCTION("""COMPUTED_VALUE"""),7.0)</f>
        <v>7</v>
      </c>
      <c r="AW275" s="16">
        <f>IFERROR(__xludf.DUMMYFUNCTION("""COMPUTED_VALUE"""),-3.0)</f>
        <v>-3</v>
      </c>
      <c r="AX275" s="16">
        <f>IFERROR(__xludf.DUMMYFUNCTION("""COMPUTED_VALUE"""),3.0)</f>
        <v>3</v>
      </c>
      <c r="AY275" s="16">
        <f>IFERROR(__xludf.DUMMYFUNCTION("""COMPUTED_VALUE"""),-3.0)</f>
        <v>-3</v>
      </c>
      <c r="AZ275" s="16">
        <f>IFERROR(__xludf.DUMMYFUNCTION("""COMPUTED_VALUE"""),9.0)</f>
        <v>9</v>
      </c>
      <c r="BA275" s="16">
        <f>IFERROR(__xludf.DUMMYFUNCTION("""COMPUTED_VALUE"""),-9.0)</f>
        <v>-9</v>
      </c>
      <c r="BB275" s="16">
        <f>IFERROR(__xludf.DUMMYFUNCTION("""COMPUTED_VALUE"""),5.0)</f>
        <v>5</v>
      </c>
      <c r="BC275" s="16">
        <f>IFERROR(__xludf.DUMMYFUNCTION("""COMPUTED_VALUE"""),5.0)</f>
        <v>5</v>
      </c>
      <c r="BD275" s="16">
        <f>IFERROR(__xludf.DUMMYFUNCTION("""COMPUTED_VALUE"""),1.0)</f>
        <v>1</v>
      </c>
      <c r="BE275" s="16">
        <f>IFERROR(__xludf.DUMMYFUNCTION("""COMPUTED_VALUE"""),1.0)</f>
        <v>1</v>
      </c>
      <c r="BF275" s="16">
        <f>IFERROR(__xludf.DUMMYFUNCTION("""COMPUTED_VALUE"""),1.0)</f>
        <v>1</v>
      </c>
      <c r="BG275" s="16">
        <f>IFERROR(__xludf.DUMMYFUNCTION("""COMPUTED_VALUE"""),1.0)</f>
        <v>1</v>
      </c>
      <c r="BH275" s="16">
        <f>IFERROR(__xludf.DUMMYFUNCTION("""COMPUTED_VALUE"""),0.0)</f>
        <v>0</v>
      </c>
      <c r="BI275" s="16">
        <f>IFERROR(__xludf.DUMMYFUNCTION("""COMPUTED_VALUE"""),-8.0)</f>
        <v>-8</v>
      </c>
      <c r="BJ275" s="16">
        <f>IFERROR(__xludf.DUMMYFUNCTION("""COMPUTED_VALUE"""),13.0)</f>
        <v>13</v>
      </c>
      <c r="BK275" s="16">
        <f>IFERROR(__xludf.DUMMYFUNCTION("""COMPUTED_VALUE"""),14.0)</f>
        <v>14</v>
      </c>
      <c r="BL275" s="16">
        <f>IFERROR(__xludf.DUMMYFUNCTION("""COMPUTED_VALUE"""),0.0)</f>
        <v>0</v>
      </c>
      <c r="BM275" s="16">
        <f>IFERROR(__xludf.DUMMYFUNCTION("""COMPUTED_VALUE"""),0.0)</f>
        <v>0</v>
      </c>
      <c r="BN275" s="16">
        <f>IFERROR(__xludf.DUMMYFUNCTION("""COMPUTED_VALUE"""),0.0)</f>
        <v>0</v>
      </c>
      <c r="BO275" s="16">
        <f>IFERROR(__xludf.DUMMYFUNCTION("""COMPUTED_VALUE"""),0.0)</f>
        <v>0</v>
      </c>
      <c r="BP275" s="16">
        <f>IFERROR(__xludf.DUMMYFUNCTION("""COMPUTED_VALUE"""),3.0)</f>
        <v>3</v>
      </c>
      <c r="BQ275" s="16">
        <f>IFERROR(__xludf.DUMMYFUNCTION("""COMPUTED_VALUE"""),-3.0)</f>
        <v>-3</v>
      </c>
      <c r="BR275" s="16">
        <f>IFERROR(__xludf.DUMMYFUNCTION("""COMPUTED_VALUE"""),0.0)</f>
        <v>0</v>
      </c>
      <c r="BS275" s="16" t="str">
        <f>IFERROR(__xludf.DUMMYFUNCTION("""COMPUTED_VALUE"""),"2/- (20-6)")</f>
        <v>2/- (20-6)</v>
      </c>
      <c r="BT275" s="16" t="str">
        <f>IFERROR(__xludf.DUMMYFUNCTION("""COMPUTED_VALUE"""),"E")</f>
        <v>E</v>
      </c>
      <c r="BU275" s="16">
        <f>IFERROR(__xludf.DUMMYFUNCTION("""COMPUTED_VALUE"""),10.0)</f>
        <v>10</v>
      </c>
      <c r="BV275" s="16">
        <f>IFERROR(__xludf.DUMMYFUNCTION("""COMPUTED_VALUE"""),0.0)</f>
        <v>0</v>
      </c>
      <c r="BW275" s="16">
        <f>IFERROR(__xludf.DUMMYFUNCTION("""COMPUTED_VALUE"""),0.0)</f>
        <v>0</v>
      </c>
      <c r="BX275" s="16">
        <f>IFERROR(__xludf.DUMMYFUNCTION("""COMPUTED_VALUE"""),0.0)</f>
        <v>0</v>
      </c>
      <c r="BY275" s="16">
        <f>IFERROR(__xludf.DUMMYFUNCTION("""COMPUTED_VALUE"""),0.0)</f>
        <v>0</v>
      </c>
      <c r="BZ275" s="16" t="str">
        <f>IFERROR(__xludf.DUMMYFUNCTION("""COMPUTED_VALUE"""),"D")</f>
        <v>D</v>
      </c>
      <c r="CA275" s="16" t="str">
        <f>IFERROR(__xludf.DUMMYFUNCTION("""COMPUTED_VALUE"""),"D")</f>
        <v>D</v>
      </c>
      <c r="CB275" s="16">
        <f>IFERROR(__xludf.DUMMYFUNCTION("""COMPUTED_VALUE"""),0.0)</f>
        <v>0</v>
      </c>
      <c r="CC275" s="16">
        <f>IFERROR(__xludf.DUMMYFUNCTION("""COMPUTED_VALUE"""),0.0)</f>
        <v>0</v>
      </c>
      <c r="CD275" s="16">
        <f>IFERROR(__xludf.DUMMYFUNCTION("""COMPUTED_VALUE"""),0.0)</f>
        <v>0</v>
      </c>
      <c r="CE275" s="16">
        <f>IFERROR(__xludf.DUMMYFUNCTION("""COMPUTED_VALUE"""),0.0)</f>
        <v>0</v>
      </c>
      <c r="CF275" s="16">
        <f>IFERROR(__xludf.DUMMYFUNCTION("""COMPUTED_VALUE"""),1.0)</f>
        <v>1</v>
      </c>
      <c r="CG275" s="16">
        <f>IFERROR(__xludf.DUMMYFUNCTION("""COMPUTED_VALUE"""),1.0)</f>
        <v>1</v>
      </c>
      <c r="CH275" s="16">
        <f>IFERROR(__xludf.DUMMYFUNCTION("""COMPUTED_VALUE"""),-14.0)</f>
        <v>-14</v>
      </c>
      <c r="CI275" s="179">
        <f>IFERROR(__xludf.DUMMYFUNCTION("""COMPUTED_VALUE"""),-7.0)</f>
        <v>-7</v>
      </c>
      <c r="CJ275" s="16"/>
      <c r="CK275" s="16">
        <f>IFERROR(__xludf.DUMMYFUNCTION("""COMPUTED_VALUE"""),414.0)</f>
        <v>414</v>
      </c>
      <c r="CL275" s="16"/>
      <c r="CM275" s="16">
        <f>IFERROR(__xludf.DUMMYFUNCTION("""COMPUTED_VALUE"""),419.0)</f>
        <v>419</v>
      </c>
      <c r="CN275" s="16"/>
      <c r="CO275" s="16">
        <f>IFERROR(__xludf.DUMMYFUNCTION("""COMPUTED_VALUE"""),410.0)</f>
        <v>410</v>
      </c>
      <c r="CP275" s="16"/>
      <c r="CQ275" s="16">
        <f>IFERROR(__xludf.DUMMYFUNCTION("""COMPUTED_VALUE"""),410.0)</f>
        <v>410</v>
      </c>
      <c r="CR275" s="16" t="str">
        <f>IFERROR(__xludf.DUMMYFUNCTION("""COMPUTED_VALUE"""),"1b-4e14 3b-4e19 rf-4(+2)e10 lf-4e10")</f>
        <v>1b-4e14 3b-4e19 rf-4(+2)e10 lf-4e10</v>
      </c>
      <c r="CS275" s="16"/>
      <c r="CT275" s="16">
        <f>IFERROR(__xludf.DUMMYFUNCTION("""COMPUTED_VALUE"""),4.0)</f>
        <v>4</v>
      </c>
      <c r="CU275" s="16"/>
      <c r="CV275" s="16">
        <f>IFERROR(__xludf.DUMMYFUNCTION("""COMPUTED_VALUE"""),4.0)</f>
        <v>4</v>
      </c>
      <c r="CW275" s="16"/>
      <c r="CX275" s="16">
        <f>IFERROR(__xludf.DUMMYFUNCTION("""COMPUTED_VALUE"""),4.0)</f>
        <v>4</v>
      </c>
      <c r="CY275" s="16"/>
      <c r="CZ275" s="16">
        <f>IFERROR(__xludf.DUMMYFUNCTION("""COMPUTED_VALUE"""),4.0)</f>
        <v>4</v>
      </c>
      <c r="DA275" s="16"/>
      <c r="DB275" s="16">
        <f>IFERROR(__xludf.DUMMYFUNCTION("""COMPUTED_VALUE"""),14.0)</f>
        <v>14</v>
      </c>
      <c r="DC275" s="16"/>
      <c r="DD275" s="16">
        <f>IFERROR(__xludf.DUMMYFUNCTION("""COMPUTED_VALUE"""),19.0)</f>
        <v>19</v>
      </c>
      <c r="DE275" s="16"/>
      <c r="DF275" s="16">
        <f>IFERROR(__xludf.DUMMYFUNCTION("""COMPUTED_VALUE"""),10.0)</f>
        <v>10</v>
      </c>
      <c r="DG275" s="16"/>
      <c r="DH275" s="16">
        <f>IFERROR(__xludf.DUMMYFUNCTION("""COMPUTED_VALUE"""),10.0)</f>
        <v>10</v>
      </c>
      <c r="DI275" s="16"/>
      <c r="DJ275" s="16">
        <f>IFERROR(__xludf.DUMMYFUNCTION("""COMPUTED_VALUE"""),0.0)</f>
        <v>0</v>
      </c>
      <c r="DK275" s="16"/>
      <c r="DL275" s="16">
        <f>IFERROR(__xludf.DUMMYFUNCTION("""COMPUTED_VALUE"""),0.0)</f>
        <v>0</v>
      </c>
      <c r="DM275" s="16"/>
      <c r="DN275" s="16">
        <f>IFERROR(__xludf.DUMMYFUNCTION("""COMPUTED_VALUE"""),-1.0)</f>
        <v>-1</v>
      </c>
      <c r="DO275" s="16"/>
      <c r="DP275" s="16">
        <f>IFERROR(__xludf.DUMMYFUNCTION("""COMPUTED_VALUE"""),-1.0)</f>
        <v>-1</v>
      </c>
      <c r="DQ275" s="16"/>
      <c r="DR275" s="16">
        <f>IFERROR(__xludf.DUMMYFUNCTION("""COMPUTED_VALUE"""),1.0)</f>
        <v>1</v>
      </c>
      <c r="DS275" s="16"/>
      <c r="DT275" s="16">
        <f>IFERROR(__xludf.DUMMYFUNCTION("""COMPUTED_VALUE"""),0.0)</f>
        <v>0</v>
      </c>
      <c r="DU275" s="16"/>
      <c r="DV275" s="16">
        <f>IFERROR(__xludf.DUMMYFUNCTION("""COMPUTED_VALUE"""),0.0)</f>
        <v>0</v>
      </c>
      <c r="DW275" s="16"/>
      <c r="DX275" s="16">
        <f>IFERROR(__xludf.DUMMYFUNCTION("""COMPUTED_VALUE"""),0.0)</f>
        <v>0</v>
      </c>
      <c r="DY275" s="16"/>
      <c r="DZ275" s="16">
        <f>IFERROR(__xludf.DUMMYFUNCTION("""COMPUTED_VALUE"""),1.0)</f>
        <v>1</v>
      </c>
      <c r="EA275" s="16"/>
      <c r="EB275" s="16">
        <f>IFERROR(__xludf.DUMMYFUNCTION("""COMPUTED_VALUE"""),0.0)</f>
        <v>0</v>
      </c>
      <c r="EC275" s="16"/>
      <c r="ED275" s="16">
        <f>IFERROR(__xludf.DUMMYFUNCTION("""COMPUTED_VALUE"""),-1.0)</f>
        <v>-1</v>
      </c>
      <c r="EE275" s="16"/>
      <c r="EF275" s="16">
        <f>IFERROR(__xludf.DUMMYFUNCTION("""COMPUTED_VALUE"""),-1.0)</f>
        <v>-1</v>
      </c>
      <c r="EG275" s="179"/>
      <c r="EH275" s="179">
        <f>IFERROR(__xludf.DUMMYFUNCTION("""COMPUTED_VALUE"""),-6.0)</f>
        <v>-6</v>
      </c>
      <c r="EI275" s="179"/>
      <c r="EJ275" s="179">
        <f>IFERROR(__xludf.DUMMYFUNCTION("""COMPUTED_VALUE"""),-7.0)</f>
        <v>-7</v>
      </c>
      <c r="EK275" s="179"/>
      <c r="EL275" s="179">
        <f>IFERROR(__xludf.DUMMYFUNCTION("""COMPUTED_VALUE"""),-8.0)</f>
        <v>-8</v>
      </c>
      <c r="EM275" s="179"/>
      <c r="EN275" s="179">
        <f>IFERROR(__xludf.DUMMYFUNCTION("""COMPUTED_VALUE"""),-8.0)</f>
        <v>-8</v>
      </c>
      <c r="EO275" s="16"/>
      <c r="EP275" s="16">
        <f>IFERROR(__xludf.DUMMYFUNCTION("""COMPUTED_VALUE"""),1.0)</f>
        <v>1</v>
      </c>
      <c r="EQ275" s="16">
        <f>IFERROR(__xludf.DUMMYFUNCTION("""COMPUTED_VALUE"""),4.0)</f>
        <v>4</v>
      </c>
      <c r="ER275" s="16">
        <f>IFERROR(__xludf.DUMMYFUNCTION("""COMPUTED_VALUE"""),-1.0)</f>
        <v>-1</v>
      </c>
      <c r="ES275" s="16"/>
      <c r="ET275" s="16"/>
      <c r="EU275" s="16"/>
      <c r="EV275" s="16"/>
      <c r="EW275" s="16"/>
      <c r="EX275" s="180"/>
      <c r="EY275" s="180">
        <f>IFERROR(__xludf.DUMMYFUNCTION("""COMPUTED_VALUE"""),0.3)</f>
        <v>0.3</v>
      </c>
      <c r="EZ275" s="180"/>
      <c r="FA275" s="180">
        <f>IFERROR(__xludf.DUMMYFUNCTION("""COMPUTED_VALUE"""),0.3)</f>
        <v>0.3</v>
      </c>
      <c r="FB275" s="180"/>
      <c r="FC275" s="180">
        <f>IFERROR(__xludf.DUMMYFUNCTION("""COMPUTED_VALUE"""),0.55)</f>
        <v>0.55</v>
      </c>
      <c r="FD275" s="180"/>
      <c r="FE275" s="180">
        <f>IFERROR(__xludf.DUMMYFUNCTION("""COMPUTED_VALUE"""),0.55)</f>
        <v>0.55</v>
      </c>
      <c r="FF275" s="180"/>
      <c r="FG275" s="180">
        <f>IFERROR(__xludf.DUMMYFUNCTION("""COMPUTED_VALUE"""),0.25)</f>
        <v>0.25</v>
      </c>
      <c r="FH275" s="180"/>
      <c r="FI275" s="180">
        <f>IFERROR(__xludf.DUMMYFUNCTION("""COMPUTED_VALUE"""),0.22685185185185186)</f>
        <v>0.2268518519</v>
      </c>
      <c r="FJ275" s="180"/>
      <c r="FK275" s="180">
        <f>IFERROR(__xludf.DUMMYFUNCTION("""COMPUTED_VALUE"""),0.181)</f>
        <v>0.181</v>
      </c>
      <c r="FL275" s="180"/>
      <c r="FM275" s="180">
        <f>IFERROR(__xludf.DUMMYFUNCTION("""COMPUTED_VALUE"""),0.181)</f>
        <v>0.181</v>
      </c>
      <c r="FN275" s="16"/>
      <c r="FO275" s="16">
        <f>IFERROR(__xludf.DUMMYFUNCTION("""COMPUTED_VALUE"""),0.5249999999999999)</f>
        <v>0.525</v>
      </c>
      <c r="FP275" s="16"/>
      <c r="FQ275" s="16">
        <f>IFERROR(__xludf.DUMMYFUNCTION("""COMPUTED_VALUE"""),0.5412037037037036)</f>
        <v>0.5412037037</v>
      </c>
      <c r="FR275" s="16"/>
      <c r="FS275" s="16">
        <f>IFERROR(__xludf.DUMMYFUNCTION("""COMPUTED_VALUE"""),0.36854999999999993)</f>
        <v>0.36855</v>
      </c>
      <c r="FT275" s="16"/>
      <c r="FU275" s="16">
        <f>IFERROR(__xludf.DUMMYFUNCTION("""COMPUTED_VALUE"""),0.36854999999999993)</f>
        <v>0.36855</v>
      </c>
      <c r="FV275" s="16"/>
      <c r="FW275" s="16">
        <f>IFERROR(__xludf.DUMMYFUNCTION("""COMPUTED_VALUE"""),-8.0)</f>
        <v>-8</v>
      </c>
      <c r="FX275" s="16"/>
      <c r="FY275" s="16">
        <f>IFERROR(__xludf.DUMMYFUNCTION("""COMPUTED_VALUE"""),-8.0)</f>
        <v>-8</v>
      </c>
      <c r="FZ275" s="16"/>
      <c r="GA275" s="16">
        <f>IFERROR(__xludf.DUMMYFUNCTION("""COMPUTED_VALUE"""),-9.0)</f>
        <v>-9</v>
      </c>
      <c r="GB275" s="16"/>
      <c r="GC275" s="16">
        <f>IFERROR(__xludf.DUMMYFUNCTION("""COMPUTED_VALUE"""),-9.0)</f>
        <v>-9</v>
      </c>
      <c r="GD275" s="16" t="s">
        <v>176</v>
      </c>
    </row>
    <row r="276">
      <c r="A276" s="16">
        <f>IFERROR(__xludf.DUMMYFUNCTION("""COMPUTED_VALUE"""),12563.0)</f>
        <v>12563</v>
      </c>
      <c r="B276" s="16" t="str">
        <f>IFERROR(__xludf.DUMMYFUNCTION("""COMPUTED_VALUE"""),"Austin Hays")</f>
        <v>Austin Hays</v>
      </c>
      <c r="C276" s="16">
        <f>IFERROR(__xludf.DUMMYFUNCTION("""COMPUTED_VALUE"""),0.0)</f>
        <v>0</v>
      </c>
      <c r="D276" s="16" t="str">
        <f>IFERROR(__xludf.DUMMYFUNCTION("""COMPUTED_VALUE"""),"R")</f>
        <v>R</v>
      </c>
      <c r="E276" s="16"/>
      <c r="F276" s="16"/>
      <c r="G276" s="16">
        <f>IFERROR(__xludf.DUMMYFUNCTION("""COMPUTED_VALUE"""),235.0)</f>
        <v>235</v>
      </c>
      <c r="H276" s="16">
        <f>IFERROR(__xludf.DUMMYFUNCTION("""COMPUTED_VALUE"""),9.0)</f>
        <v>9</v>
      </c>
      <c r="I276" s="16" t="str">
        <f>IFERROR(__xludf.DUMMYFUNCTION("""COMPUTED_VALUE"""),"4p40")</f>
        <v>4p40</v>
      </c>
      <c r="J276" s="16">
        <f>IFERROR(__xludf.DUMMYFUNCTION("""COMPUTED_VALUE"""),34.0)</f>
        <v>34</v>
      </c>
      <c r="K276" s="16">
        <f>IFERROR(__xludf.DUMMYFUNCTION("""COMPUTED_VALUE"""),21.0)</f>
        <v>21</v>
      </c>
      <c r="L276" s="16">
        <f>IFERROR(__xludf.DUMMYFUNCTION("""COMPUTED_VALUE"""),-1.0)</f>
        <v>-1</v>
      </c>
      <c r="M276" s="16">
        <f>IFERROR(__xludf.DUMMYFUNCTION("""COMPUTED_VALUE"""),0.0)</f>
        <v>0</v>
      </c>
      <c r="N276" s="16">
        <f>IFERROR(__xludf.DUMMYFUNCTION("""COMPUTED_VALUE"""),-1.0)</f>
        <v>-1</v>
      </c>
      <c r="O276" s="16">
        <f>IFERROR(__xludf.DUMMYFUNCTION("""COMPUTED_VALUE"""),0.0)</f>
        <v>0</v>
      </c>
      <c r="P276" s="16">
        <f>IFERROR(__xludf.DUMMYFUNCTION("""COMPUTED_VALUE"""),0.0)</f>
        <v>0</v>
      </c>
      <c r="Q276" s="16">
        <f>IFERROR(__xludf.DUMMYFUNCTION("""COMPUTED_VALUE"""),0.0)</f>
        <v>0</v>
      </c>
      <c r="R276" s="16">
        <f>IFERROR(__xludf.DUMMYFUNCTION("""COMPUTED_VALUE"""),-3.0)</f>
        <v>-3</v>
      </c>
      <c r="S276" s="16">
        <f>IFERROR(__xludf.DUMMYFUNCTION("""COMPUTED_VALUE"""),-2.0)</f>
        <v>-2</v>
      </c>
      <c r="T276" s="16">
        <f>IFERROR(__xludf.DUMMYFUNCTION("""COMPUTED_VALUE"""),-3.0)</f>
        <v>-3</v>
      </c>
      <c r="U276" s="16">
        <f>IFERROR(__xludf.DUMMYFUNCTION("""COMPUTED_VALUE"""),-2.0)</f>
        <v>-2</v>
      </c>
      <c r="V276" s="16">
        <f>IFERROR(__xludf.DUMMYFUNCTION("""COMPUTED_VALUE"""),32.2)</f>
        <v>32.2</v>
      </c>
      <c r="W276" s="16">
        <f>IFERROR(__xludf.DUMMYFUNCTION("""COMPUTED_VALUE"""),20.4)</f>
        <v>20.4</v>
      </c>
      <c r="X276" s="16">
        <f>IFERROR(__xludf.DUMMYFUNCTION("""COMPUTED_VALUE"""),2.0)</f>
        <v>2</v>
      </c>
      <c r="Y276" s="16">
        <f>IFERROR(__xludf.DUMMYFUNCTION("""COMPUTED_VALUE"""),0.0)</f>
        <v>0</v>
      </c>
      <c r="Z276" s="16">
        <f>IFERROR(__xludf.DUMMYFUNCTION("""COMPUTED_VALUE"""),4.0)</f>
        <v>4</v>
      </c>
      <c r="AA276" s="16">
        <f>IFERROR(__xludf.DUMMYFUNCTION("""COMPUTED_VALUE"""),0.0)</f>
        <v>0</v>
      </c>
      <c r="AB276" s="16">
        <f>IFERROR(__xludf.DUMMYFUNCTION("""COMPUTED_VALUE"""),39.2)</f>
        <v>39.2</v>
      </c>
      <c r="AC276" s="16">
        <f>IFERROR(__xludf.DUMMYFUNCTION("""COMPUTED_VALUE"""),27.4)</f>
        <v>27.4</v>
      </c>
      <c r="AD276" s="16">
        <f>IFERROR(__xludf.DUMMYFUNCTION("""COMPUTED_VALUE"""),1.0)</f>
        <v>1</v>
      </c>
      <c r="AE276" s="16">
        <f>IFERROR(__xludf.DUMMYFUNCTION("""COMPUTED_VALUE"""),-1.0)</f>
        <v>-1</v>
      </c>
      <c r="AF276" s="16">
        <f>IFERROR(__xludf.DUMMYFUNCTION("""COMPUTED_VALUE"""),5.0)</f>
        <v>5</v>
      </c>
      <c r="AG276" s="16">
        <f>IFERROR(__xludf.DUMMYFUNCTION("""COMPUTED_VALUE"""),-5.0)</f>
        <v>-5</v>
      </c>
      <c r="AH276" s="16">
        <f>IFERROR(__xludf.DUMMYFUNCTION("""COMPUTED_VALUE"""),49.6)</f>
        <v>49.6</v>
      </c>
      <c r="AI276" s="16">
        <f>IFERROR(__xludf.DUMMYFUNCTION("""COMPUTED_VALUE"""),30.6)</f>
        <v>30.6</v>
      </c>
      <c r="AJ276" s="16">
        <f>IFERROR(__xludf.DUMMYFUNCTION("""COMPUTED_VALUE"""),2.0)</f>
        <v>2</v>
      </c>
      <c r="AK276" s="16">
        <f>IFERROR(__xludf.DUMMYFUNCTION("""COMPUTED_VALUE"""),0.0)</f>
        <v>0</v>
      </c>
      <c r="AL276" s="16">
        <f>IFERROR(__xludf.DUMMYFUNCTION("""COMPUTED_VALUE"""),10.0)</f>
        <v>10</v>
      </c>
      <c r="AM276" s="16">
        <f>IFERROR(__xludf.DUMMYFUNCTION("""COMPUTED_VALUE"""),0.0)</f>
        <v>0</v>
      </c>
      <c r="AN276" s="16">
        <f>IFERROR(__xludf.DUMMYFUNCTION("""COMPUTED_VALUE"""),0.0)</f>
        <v>0</v>
      </c>
      <c r="AO276" s="16">
        <f>IFERROR(__xludf.DUMMYFUNCTION("""COMPUTED_VALUE"""),1.4)</f>
        <v>1.4</v>
      </c>
      <c r="AP276" s="16">
        <f>IFERROR(__xludf.DUMMYFUNCTION("""COMPUTED_VALUE"""),-2.0)</f>
        <v>-2</v>
      </c>
      <c r="AQ276" s="16">
        <f>IFERROR(__xludf.DUMMYFUNCTION("""COMPUTED_VALUE"""),-1.0)</f>
        <v>-1</v>
      </c>
      <c r="AR276" s="16">
        <f>IFERROR(__xludf.DUMMYFUNCTION("""COMPUTED_VALUE"""),-4.0)</f>
        <v>-4</v>
      </c>
      <c r="AS276" s="16">
        <f>IFERROR(__xludf.DUMMYFUNCTION("""COMPUTED_VALUE"""),-2.0)</f>
        <v>-2</v>
      </c>
      <c r="AT276" s="16">
        <f>IFERROR(__xludf.DUMMYFUNCTION("""COMPUTED_VALUE"""),0.0)</f>
        <v>0</v>
      </c>
      <c r="AU276" s="16">
        <f>IFERROR(__xludf.DUMMYFUNCTION("""COMPUTED_VALUE"""),1.0)</f>
        <v>1</v>
      </c>
      <c r="AV276" s="16">
        <f>IFERROR(__xludf.DUMMYFUNCTION("""COMPUTED_VALUE"""),0.0)</f>
        <v>0</v>
      </c>
      <c r="AW276" s="16">
        <f>IFERROR(__xludf.DUMMYFUNCTION("""COMPUTED_VALUE"""),1.0)</f>
        <v>1</v>
      </c>
      <c r="AX276" s="16">
        <f>IFERROR(__xludf.DUMMYFUNCTION("""COMPUTED_VALUE"""),-2.0)</f>
        <v>-2</v>
      </c>
      <c r="AY276" s="16">
        <f>IFERROR(__xludf.DUMMYFUNCTION("""COMPUTED_VALUE"""),-1.0)</f>
        <v>-1</v>
      </c>
      <c r="AZ276" s="16">
        <f>IFERROR(__xludf.DUMMYFUNCTION("""COMPUTED_VALUE"""),-6.0)</f>
        <v>-6</v>
      </c>
      <c r="BA276" s="16">
        <f>IFERROR(__xludf.DUMMYFUNCTION("""COMPUTED_VALUE"""),-3.0)</f>
        <v>-3</v>
      </c>
      <c r="BB276" s="16">
        <f>IFERROR(__xludf.DUMMYFUNCTION("""COMPUTED_VALUE"""),5.0)</f>
        <v>5</v>
      </c>
      <c r="BC276" s="16">
        <f>IFERROR(__xludf.DUMMYFUNCTION("""COMPUTED_VALUE"""),5.0)</f>
        <v>5</v>
      </c>
      <c r="BD276" s="16">
        <f>IFERROR(__xludf.DUMMYFUNCTION("""COMPUTED_VALUE"""),1.0)</f>
        <v>1</v>
      </c>
      <c r="BE276" s="16">
        <f>IFERROR(__xludf.DUMMYFUNCTION("""COMPUTED_VALUE"""),1.0)</f>
        <v>1</v>
      </c>
      <c r="BF276" s="16">
        <f>IFERROR(__xludf.DUMMYFUNCTION("""COMPUTED_VALUE"""),1.0)</f>
        <v>1</v>
      </c>
      <c r="BG276" s="16">
        <f>IFERROR(__xludf.DUMMYFUNCTION("""COMPUTED_VALUE"""),1.0)</f>
        <v>1</v>
      </c>
      <c r="BH276" s="16">
        <f>IFERROR(__xludf.DUMMYFUNCTION("""COMPUTED_VALUE"""),-12.0)</f>
        <v>-12</v>
      </c>
      <c r="BI276" s="16">
        <f>IFERROR(__xludf.DUMMYFUNCTION("""COMPUTED_VALUE"""),-10.0)</f>
        <v>-10</v>
      </c>
      <c r="BJ276" s="16">
        <f>IFERROR(__xludf.DUMMYFUNCTION("""COMPUTED_VALUE"""),4.0)</f>
        <v>4</v>
      </c>
      <c r="BK276" s="16">
        <f>IFERROR(__xludf.DUMMYFUNCTION("""COMPUTED_VALUE"""),4.0)</f>
        <v>4</v>
      </c>
      <c r="BL276" s="16">
        <f>IFERROR(__xludf.DUMMYFUNCTION("""COMPUTED_VALUE"""),1.0)</f>
        <v>1</v>
      </c>
      <c r="BM276" s="16">
        <f>IFERROR(__xludf.DUMMYFUNCTION("""COMPUTED_VALUE"""),1.0)</f>
        <v>1</v>
      </c>
      <c r="BN276" s="16">
        <f>IFERROR(__xludf.DUMMYFUNCTION("""COMPUTED_VALUE"""),1.0)</f>
        <v>1</v>
      </c>
      <c r="BO276" s="16">
        <f>IFERROR(__xludf.DUMMYFUNCTION("""COMPUTED_VALUE"""),1.0)</f>
        <v>1</v>
      </c>
      <c r="BP276" s="16">
        <f>IFERROR(__xludf.DUMMYFUNCTION("""COMPUTED_VALUE"""),-1.0)</f>
        <v>-1</v>
      </c>
      <c r="BQ276" s="16">
        <f>IFERROR(__xludf.DUMMYFUNCTION("""COMPUTED_VALUE"""),-3.0)</f>
        <v>-3</v>
      </c>
      <c r="BR276" s="16">
        <f>IFERROR(__xludf.DUMMYFUNCTION("""COMPUTED_VALUE"""),-4.0)</f>
        <v>-4</v>
      </c>
      <c r="BS276" s="16" t="str">
        <f>IFERROR(__xludf.DUMMYFUNCTION("""COMPUTED_VALUE"""),"4-6/10 (13-6)")</f>
        <v>4-6/10 (13-6)</v>
      </c>
      <c r="BT276" s="16" t="str">
        <f>IFERROR(__xludf.DUMMYFUNCTION("""COMPUTED_VALUE"""),"D")</f>
        <v>D</v>
      </c>
      <c r="BU276" s="16">
        <f>IFERROR(__xludf.DUMMYFUNCTION("""COMPUTED_VALUE"""),13.0)</f>
        <v>13</v>
      </c>
      <c r="BV276" s="16">
        <f>IFERROR(__xludf.DUMMYFUNCTION("""COMPUTED_VALUE"""),0.0)</f>
        <v>0</v>
      </c>
      <c r="BW276" s="16">
        <f>IFERROR(__xludf.DUMMYFUNCTION("""COMPUTED_VALUE"""),1.0)</f>
        <v>1</v>
      </c>
      <c r="BX276" s="16">
        <f>IFERROR(__xludf.DUMMYFUNCTION("""COMPUTED_VALUE"""),0.0)</f>
        <v>0</v>
      </c>
      <c r="BY276" s="16">
        <f>IFERROR(__xludf.DUMMYFUNCTION("""COMPUTED_VALUE"""),3.0)</f>
        <v>3</v>
      </c>
      <c r="BZ276" s="16" t="str">
        <f>IFERROR(__xludf.DUMMYFUNCTION("""COMPUTED_VALUE"""),"D")</f>
        <v>D</v>
      </c>
      <c r="CA276" s="16" t="str">
        <f>IFERROR(__xludf.DUMMYFUNCTION("""COMPUTED_VALUE"""),"C")</f>
        <v>C</v>
      </c>
      <c r="CB276" s="16">
        <f>IFERROR(__xludf.DUMMYFUNCTION("""COMPUTED_VALUE"""),0.0)</f>
        <v>0</v>
      </c>
      <c r="CC276" s="16">
        <f>IFERROR(__xludf.DUMMYFUNCTION("""COMPUTED_VALUE"""),0.0)</f>
        <v>0</v>
      </c>
      <c r="CD276" s="16">
        <f>IFERROR(__xludf.DUMMYFUNCTION("""COMPUTED_VALUE"""),0.0)</f>
        <v>0</v>
      </c>
      <c r="CE276" s="16">
        <f>IFERROR(__xludf.DUMMYFUNCTION("""COMPUTED_VALUE"""),0.0)</f>
        <v>0</v>
      </c>
      <c r="CF276" s="16">
        <f>IFERROR(__xludf.DUMMYFUNCTION("""COMPUTED_VALUE"""),4.0)</f>
        <v>4</v>
      </c>
      <c r="CG276" s="16">
        <f>IFERROR(__xludf.DUMMYFUNCTION("""COMPUTED_VALUE"""),7.0)</f>
        <v>7</v>
      </c>
      <c r="CH276" s="16">
        <f>IFERROR(__xludf.DUMMYFUNCTION("""COMPUTED_VALUE"""),-10.0)</f>
        <v>-10</v>
      </c>
      <c r="CI276" s="179">
        <f>IFERROR(__xludf.DUMMYFUNCTION("""COMPUTED_VALUE"""),-7.0)</f>
        <v>-7</v>
      </c>
      <c r="CJ276" s="16"/>
      <c r="CK276" s="16"/>
      <c r="CL276" s="16"/>
      <c r="CM276" s="16"/>
      <c r="CN276" s="16"/>
      <c r="CO276" s="16">
        <f>IFERROR(__xludf.DUMMYFUNCTION("""COMPUTED_VALUE"""),303.0)</f>
        <v>303</v>
      </c>
      <c r="CP276" s="16"/>
      <c r="CQ276" s="16">
        <f>IFERROR(__xludf.DUMMYFUNCTION("""COMPUTED_VALUE"""),303.0)</f>
        <v>303</v>
      </c>
      <c r="CR276" s="16" t="str">
        <f>IFERROR(__xludf.DUMMYFUNCTION("""COMPUTED_VALUE"""),"lf-3(-1)e3 rf-3e3")</f>
        <v>lf-3(-1)e3 rf-3e3</v>
      </c>
      <c r="CS276" s="16"/>
      <c r="CT276" s="16"/>
      <c r="CU276" s="16"/>
      <c r="CV276" s="16"/>
      <c r="CW276" s="16"/>
      <c r="CX276" s="16">
        <f>IFERROR(__xludf.DUMMYFUNCTION("""COMPUTED_VALUE"""),3.0)</f>
        <v>3</v>
      </c>
      <c r="CY276" s="16"/>
      <c r="CZ276" s="16">
        <f>IFERROR(__xludf.DUMMYFUNCTION("""COMPUTED_VALUE"""),3.0)</f>
        <v>3</v>
      </c>
      <c r="DA276" s="16"/>
      <c r="DB276" s="16"/>
      <c r="DC276" s="16"/>
      <c r="DD276" s="16"/>
      <c r="DE276" s="16"/>
      <c r="DF276" s="16">
        <f>IFERROR(__xludf.DUMMYFUNCTION("""COMPUTED_VALUE"""),3.0)</f>
        <v>3</v>
      </c>
      <c r="DG276" s="16"/>
      <c r="DH276" s="16">
        <f>IFERROR(__xludf.DUMMYFUNCTION("""COMPUTED_VALUE"""),3.0)</f>
        <v>3</v>
      </c>
      <c r="DI276" s="16"/>
      <c r="DJ276" s="16"/>
      <c r="DK276" s="16"/>
      <c r="DL276" s="16"/>
      <c r="DM276" s="16"/>
      <c r="DN276" s="16">
        <f>IFERROR(__xludf.DUMMYFUNCTION("""COMPUTED_VALUE"""),0.0)</f>
        <v>0</v>
      </c>
      <c r="DO276" s="16"/>
      <c r="DP276" s="16">
        <f>IFERROR(__xludf.DUMMYFUNCTION("""COMPUTED_VALUE"""),0.0)</f>
        <v>0</v>
      </c>
      <c r="DQ276" s="16"/>
      <c r="DR276" s="16"/>
      <c r="DS276" s="16"/>
      <c r="DT276" s="16"/>
      <c r="DU276" s="16"/>
      <c r="DV276" s="16">
        <f>IFERROR(__xludf.DUMMYFUNCTION("""COMPUTED_VALUE"""),4.0)</f>
        <v>4</v>
      </c>
      <c r="DW276" s="16"/>
      <c r="DX276" s="16">
        <f>IFERROR(__xludf.DUMMYFUNCTION("""COMPUTED_VALUE"""),4.0)</f>
        <v>4</v>
      </c>
      <c r="DY276" s="16"/>
      <c r="DZ276" s="16"/>
      <c r="EA276" s="16"/>
      <c r="EB276" s="16"/>
      <c r="EC276" s="16"/>
      <c r="ED276" s="16">
        <f>IFERROR(__xludf.DUMMYFUNCTION("""COMPUTED_VALUE"""),4.0)</f>
        <v>4</v>
      </c>
      <c r="EE276" s="16"/>
      <c r="EF276" s="16">
        <f>IFERROR(__xludf.DUMMYFUNCTION("""COMPUTED_VALUE"""),4.0)</f>
        <v>4</v>
      </c>
      <c r="EG276" s="179"/>
      <c r="EH276" s="179"/>
      <c r="EI276" s="179"/>
      <c r="EJ276" s="179"/>
      <c r="EK276" s="179"/>
      <c r="EL276" s="179">
        <f>IFERROR(__xludf.DUMMYFUNCTION("""COMPUTED_VALUE"""),-3.0)</f>
        <v>-3</v>
      </c>
      <c r="EM276" s="179"/>
      <c r="EN276" s="179">
        <f>IFERROR(__xludf.DUMMYFUNCTION("""COMPUTED_VALUE"""),-3.0)</f>
        <v>-3</v>
      </c>
      <c r="EO276" s="16"/>
      <c r="EP276" s="16"/>
      <c r="EQ276" s="16">
        <f>IFERROR(__xludf.DUMMYFUNCTION("""COMPUTED_VALUE"""),-1.0)</f>
        <v>-1</v>
      </c>
      <c r="ER276" s="16">
        <f>IFERROR(__xludf.DUMMYFUNCTION("""COMPUTED_VALUE"""),-1.0)</f>
        <v>-1</v>
      </c>
      <c r="ES276" s="16"/>
      <c r="ET276" s="16"/>
      <c r="EU276" s="16"/>
      <c r="EV276" s="16"/>
      <c r="EW276" s="16"/>
      <c r="EX276" s="180"/>
      <c r="EY276" s="180"/>
      <c r="EZ276" s="180"/>
      <c r="FA276" s="180"/>
      <c r="FB276" s="180"/>
      <c r="FC276" s="180">
        <f>IFERROR(__xludf.DUMMYFUNCTION("""COMPUTED_VALUE"""),0.3)</f>
        <v>0.3</v>
      </c>
      <c r="FD276" s="180"/>
      <c r="FE276" s="180">
        <f>IFERROR(__xludf.DUMMYFUNCTION("""COMPUTED_VALUE"""),0.3)</f>
        <v>0.3</v>
      </c>
      <c r="FF276" s="180"/>
      <c r="FG276" s="180"/>
      <c r="FH276" s="180"/>
      <c r="FI276" s="180"/>
      <c r="FJ276" s="180"/>
      <c r="FK276" s="180">
        <f>IFERROR(__xludf.DUMMYFUNCTION("""COMPUTED_VALUE"""),0.056)</f>
        <v>0.056</v>
      </c>
      <c r="FL276" s="180"/>
      <c r="FM276" s="180">
        <f>IFERROR(__xludf.DUMMYFUNCTION("""COMPUTED_VALUE"""),0.056)</f>
        <v>0.056</v>
      </c>
      <c r="FN276" s="16"/>
      <c r="FO276" s="16"/>
      <c r="FP276" s="16"/>
      <c r="FQ276" s="16"/>
      <c r="FR276" s="16"/>
      <c r="FS276" s="16">
        <f>IFERROR(__xludf.DUMMYFUNCTION("""COMPUTED_VALUE"""),0.6607999999999999)</f>
        <v>0.6608</v>
      </c>
      <c r="FT276" s="16"/>
      <c r="FU276" s="16">
        <f>IFERROR(__xludf.DUMMYFUNCTION("""COMPUTED_VALUE"""),0.6607999999999999)</f>
        <v>0.6608</v>
      </c>
      <c r="FV276" s="16"/>
      <c r="FW276" s="16"/>
      <c r="FX276" s="16"/>
      <c r="FY276" s="16"/>
      <c r="FZ276" s="16"/>
      <c r="GA276" s="16">
        <f>IFERROR(__xludf.DUMMYFUNCTION("""COMPUTED_VALUE"""),-4.0)</f>
        <v>-4</v>
      </c>
      <c r="GB276" s="16"/>
      <c r="GC276" s="16">
        <f>IFERROR(__xludf.DUMMYFUNCTION("""COMPUTED_VALUE"""),-4.0)</f>
        <v>-4</v>
      </c>
      <c r="GD276" s="16" t="s">
        <v>346</v>
      </c>
    </row>
    <row r="277">
      <c r="A277" s="16">
        <f>IFERROR(__xludf.DUMMYFUNCTION("""COMPUTED_VALUE"""),13038.0)</f>
        <v>13038</v>
      </c>
      <c r="B277" s="16" t="str">
        <f>IFERROR(__xludf.DUMMYFUNCTION("""COMPUTED_VALUE"""),"Josh Rojas")</f>
        <v>Josh Rojas</v>
      </c>
      <c r="C277" s="16">
        <f>IFERROR(__xludf.DUMMYFUNCTION("""COMPUTED_VALUE"""),0.8)</f>
        <v>0.8</v>
      </c>
      <c r="D277" s="16" t="str">
        <f>IFERROR(__xludf.DUMMYFUNCTION("""COMPUTED_VALUE"""),"L")</f>
        <v>L</v>
      </c>
      <c r="E277" s="16"/>
      <c r="F277" s="16"/>
      <c r="G277" s="16">
        <f>IFERROR(__xludf.DUMMYFUNCTION("""COMPUTED_VALUE"""),422.0)</f>
        <v>422</v>
      </c>
      <c r="H277" s="16">
        <f>IFERROR(__xludf.DUMMYFUNCTION("""COMPUTED_VALUE"""),46.0)</f>
        <v>46</v>
      </c>
      <c r="I277" s="16" t="str">
        <f>IFERROR(__xludf.DUMMYFUNCTION("""COMPUTED_VALUE"""),"1p65")</f>
        <v>1p65</v>
      </c>
      <c r="J277" s="16">
        <f>IFERROR(__xludf.DUMMYFUNCTION("""COMPUTED_VALUE"""),48.0)</f>
        <v>48</v>
      </c>
      <c r="K277" s="16">
        <f>IFERROR(__xludf.DUMMYFUNCTION("""COMPUTED_VALUE"""),21.0)</f>
        <v>21</v>
      </c>
      <c r="L277" s="16">
        <f>IFERROR(__xludf.DUMMYFUNCTION("""COMPUTED_VALUE"""),-2.0)</f>
        <v>-2</v>
      </c>
      <c r="M277" s="16">
        <f>IFERROR(__xludf.DUMMYFUNCTION("""COMPUTED_VALUE"""),0.0)</f>
        <v>0</v>
      </c>
      <c r="N277" s="16">
        <f>IFERROR(__xludf.DUMMYFUNCTION("""COMPUTED_VALUE"""),-2.0)</f>
        <v>-2</v>
      </c>
      <c r="O277" s="16">
        <f>IFERROR(__xludf.DUMMYFUNCTION("""COMPUTED_VALUE"""),0.0)</f>
        <v>0</v>
      </c>
      <c r="P277" s="16">
        <f>IFERROR(__xludf.DUMMYFUNCTION("""COMPUTED_VALUE"""),11.0)</f>
        <v>11</v>
      </c>
      <c r="Q277" s="16">
        <f>IFERROR(__xludf.DUMMYFUNCTION("""COMPUTED_VALUE"""),11.0)</f>
        <v>11</v>
      </c>
      <c r="R277" s="16">
        <f>IFERROR(__xludf.DUMMYFUNCTION("""COMPUTED_VALUE"""),1.0)</f>
        <v>1</v>
      </c>
      <c r="S277" s="16">
        <f>IFERROR(__xludf.DUMMYFUNCTION("""COMPUTED_VALUE"""),1.0)</f>
        <v>1</v>
      </c>
      <c r="T277" s="16">
        <f>IFERROR(__xludf.DUMMYFUNCTION("""COMPUTED_VALUE"""),1.0)</f>
        <v>1</v>
      </c>
      <c r="U277" s="16">
        <f>IFERROR(__xludf.DUMMYFUNCTION("""COMPUTED_VALUE"""),1.0)</f>
        <v>1</v>
      </c>
      <c r="V277" s="16">
        <f>IFERROR(__xludf.DUMMYFUNCTION("""COMPUTED_VALUE"""),1.3)</f>
        <v>1.3</v>
      </c>
      <c r="W277" s="16">
        <f>IFERROR(__xludf.DUMMYFUNCTION("""COMPUTED_VALUE"""),20.7)</f>
        <v>20.7</v>
      </c>
      <c r="X277" s="16">
        <f>IFERROR(__xludf.DUMMYFUNCTION("""COMPUTED_VALUE"""),-2.0)</f>
        <v>-2</v>
      </c>
      <c r="Y277" s="16">
        <f>IFERROR(__xludf.DUMMYFUNCTION("""COMPUTED_VALUE"""),0.0)</f>
        <v>0</v>
      </c>
      <c r="Z277" s="16">
        <f>IFERROR(__xludf.DUMMYFUNCTION("""COMPUTED_VALUE"""),-4.0)</f>
        <v>-4</v>
      </c>
      <c r="AA277" s="16">
        <f>IFERROR(__xludf.DUMMYFUNCTION("""COMPUTED_VALUE"""),0.0)</f>
        <v>0</v>
      </c>
      <c r="AB277" s="16">
        <f>IFERROR(__xludf.DUMMYFUNCTION("""COMPUTED_VALUE"""),14.3)</f>
        <v>14.3</v>
      </c>
      <c r="AC277" s="16">
        <f>IFERROR(__xludf.DUMMYFUNCTION("""COMPUTED_VALUE"""),33.7)</f>
        <v>33.7</v>
      </c>
      <c r="AD277" s="16">
        <f>IFERROR(__xludf.DUMMYFUNCTION("""COMPUTED_VALUE"""),-2.0)</f>
        <v>-2</v>
      </c>
      <c r="AE277" s="16">
        <f>IFERROR(__xludf.DUMMYFUNCTION("""COMPUTED_VALUE"""),0.0)</f>
        <v>0</v>
      </c>
      <c r="AF277" s="16">
        <f>IFERROR(__xludf.DUMMYFUNCTION("""COMPUTED_VALUE"""),-10.0)</f>
        <v>-10</v>
      </c>
      <c r="AG277" s="16">
        <f>IFERROR(__xludf.DUMMYFUNCTION("""COMPUTED_VALUE"""),0.0)</f>
        <v>0</v>
      </c>
      <c r="AH277" s="16">
        <f>IFERROR(__xludf.DUMMYFUNCTION("""COMPUTED_VALUE"""),1.3)</f>
        <v>1.3</v>
      </c>
      <c r="AI277" s="16">
        <f>IFERROR(__xludf.DUMMYFUNCTION("""COMPUTED_VALUE"""),28.8)</f>
        <v>28.8</v>
      </c>
      <c r="AJ277" s="16">
        <f>IFERROR(__xludf.DUMMYFUNCTION("""COMPUTED_VALUE"""),-2.0)</f>
        <v>-2</v>
      </c>
      <c r="AK277" s="16">
        <f>IFERROR(__xludf.DUMMYFUNCTION("""COMPUTED_VALUE"""),0.0)</f>
        <v>0</v>
      </c>
      <c r="AL277" s="16">
        <f>IFERROR(__xludf.DUMMYFUNCTION("""COMPUTED_VALUE"""),-10.0)</f>
        <v>-10</v>
      </c>
      <c r="AM277" s="16">
        <f>IFERROR(__xludf.DUMMYFUNCTION("""COMPUTED_VALUE"""),0.0)</f>
        <v>0</v>
      </c>
      <c r="AN277" s="16">
        <f>IFERROR(__xludf.DUMMYFUNCTION("""COMPUTED_VALUE"""),0.0)</f>
        <v>0</v>
      </c>
      <c r="AO277" s="16">
        <f>IFERROR(__xludf.DUMMYFUNCTION("""COMPUTED_VALUE"""),0.8)</f>
        <v>0.8</v>
      </c>
      <c r="AP277" s="16">
        <f>IFERROR(__xludf.DUMMYFUNCTION("""COMPUTED_VALUE"""),-2.0)</f>
        <v>-2</v>
      </c>
      <c r="AQ277" s="16">
        <f>IFERROR(__xludf.DUMMYFUNCTION("""COMPUTED_VALUE"""),-2.0)</f>
        <v>-2</v>
      </c>
      <c r="AR277" s="16">
        <f>IFERROR(__xludf.DUMMYFUNCTION("""COMPUTED_VALUE"""),-4.0)</f>
        <v>-4</v>
      </c>
      <c r="AS277" s="16">
        <f>IFERROR(__xludf.DUMMYFUNCTION("""COMPUTED_VALUE"""),-4.0)</f>
        <v>-4</v>
      </c>
      <c r="AT277" s="16"/>
      <c r="AU277" s="16">
        <f>IFERROR(__xludf.DUMMYFUNCTION("""COMPUTED_VALUE"""),0.0)</f>
        <v>0</v>
      </c>
      <c r="AV277" s="16">
        <f>IFERROR(__xludf.DUMMYFUNCTION("""COMPUTED_VALUE"""),-3.0)</f>
        <v>-3</v>
      </c>
      <c r="AW277" s="16">
        <f>IFERROR(__xludf.DUMMYFUNCTION("""COMPUTED_VALUE"""),0.0)</f>
        <v>0</v>
      </c>
      <c r="AX277" s="16">
        <f>IFERROR(__xludf.DUMMYFUNCTION("""COMPUTED_VALUE"""),-3.0)</f>
        <v>-3</v>
      </c>
      <c r="AY277" s="16">
        <f>IFERROR(__xludf.DUMMYFUNCTION("""COMPUTED_VALUE"""),-2.0)</f>
        <v>-2</v>
      </c>
      <c r="AZ277" s="16">
        <f>IFERROR(__xludf.DUMMYFUNCTION("""COMPUTED_VALUE"""),-9.0)</f>
        <v>-9</v>
      </c>
      <c r="BA277" s="16">
        <f>IFERROR(__xludf.DUMMYFUNCTION("""COMPUTED_VALUE"""),-6.0)</f>
        <v>-6</v>
      </c>
      <c r="BB277" s="16">
        <f>IFERROR(__xludf.DUMMYFUNCTION("""COMPUTED_VALUE"""),0.0)</f>
        <v>0</v>
      </c>
      <c r="BC277" s="16">
        <f>IFERROR(__xludf.DUMMYFUNCTION("""COMPUTED_VALUE"""),5.0)</f>
        <v>5</v>
      </c>
      <c r="BD277" s="16">
        <f>IFERROR(__xludf.DUMMYFUNCTION("""COMPUTED_VALUE"""),0.0)</f>
        <v>0</v>
      </c>
      <c r="BE277" s="16">
        <f>IFERROR(__xludf.DUMMYFUNCTION("""COMPUTED_VALUE"""),1.0)</f>
        <v>1</v>
      </c>
      <c r="BF277" s="16">
        <f>IFERROR(__xludf.DUMMYFUNCTION("""COMPUTED_VALUE"""),0.0)</f>
        <v>0</v>
      </c>
      <c r="BG277" s="16">
        <f>IFERROR(__xludf.DUMMYFUNCTION("""COMPUTED_VALUE"""),1.0)</f>
        <v>1</v>
      </c>
      <c r="BH277" s="16">
        <f>IFERROR(__xludf.DUMMYFUNCTION("""COMPUTED_VALUE"""),0.0)</f>
        <v>0</v>
      </c>
      <c r="BI277" s="16">
        <f>IFERROR(__xludf.DUMMYFUNCTION("""COMPUTED_VALUE"""),-3.0)</f>
        <v>-3</v>
      </c>
      <c r="BJ277" s="16">
        <f>IFERROR(__xludf.DUMMYFUNCTION("""COMPUTED_VALUE"""),8.0)</f>
        <v>8</v>
      </c>
      <c r="BK277" s="16">
        <f>IFERROR(__xludf.DUMMYFUNCTION("""COMPUTED_VALUE"""),8.0)</f>
        <v>8</v>
      </c>
      <c r="BL277" s="16">
        <f>IFERROR(__xludf.DUMMYFUNCTION("""COMPUTED_VALUE"""),1.0)</f>
        <v>1</v>
      </c>
      <c r="BM277" s="16">
        <f>IFERROR(__xludf.DUMMYFUNCTION("""COMPUTED_VALUE"""),1.0)</f>
        <v>1</v>
      </c>
      <c r="BN277" s="16">
        <f>IFERROR(__xludf.DUMMYFUNCTION("""COMPUTED_VALUE"""),1.0)</f>
        <v>1</v>
      </c>
      <c r="BO277" s="16">
        <f>IFERROR(__xludf.DUMMYFUNCTION("""COMPUTED_VALUE"""),1.0)</f>
        <v>1</v>
      </c>
      <c r="BP277" s="16">
        <f>IFERROR(__xludf.DUMMYFUNCTION("""COMPUTED_VALUE"""),-11.0)</f>
        <v>-11</v>
      </c>
      <c r="BQ277" s="16">
        <f>IFERROR(__xludf.DUMMYFUNCTION("""COMPUTED_VALUE"""),-1.0)</f>
        <v>-1</v>
      </c>
      <c r="BR277" s="16">
        <f>IFERROR(__xludf.DUMMYFUNCTION("""COMPUTED_VALUE"""),-12.0)</f>
        <v>-12</v>
      </c>
      <c r="BS277" s="16" t="str">
        <f>IFERROR(__xludf.DUMMYFUNCTION("""COMPUTED_VALUE"""),"*5,6/- (16-11)")</f>
        <v>*5,6/- (16-11)</v>
      </c>
      <c r="BT277" s="16" t="str">
        <f>IFERROR(__xludf.DUMMYFUNCTION("""COMPUTED_VALUE"""),"B")</f>
        <v>B</v>
      </c>
      <c r="BU277" s="16">
        <f>IFERROR(__xludf.DUMMYFUNCTION("""COMPUTED_VALUE"""),13.0)</f>
        <v>13</v>
      </c>
      <c r="BV277" s="16">
        <f>IFERROR(__xludf.DUMMYFUNCTION("""COMPUTED_VALUE"""),1.0)</f>
        <v>1</v>
      </c>
      <c r="BW277" s="16">
        <f>IFERROR(__xludf.DUMMYFUNCTION("""COMPUTED_VALUE"""),1.0)</f>
        <v>1</v>
      </c>
      <c r="BX277" s="16">
        <f>IFERROR(__xludf.DUMMYFUNCTION("""COMPUTED_VALUE"""),2.0)</f>
        <v>2</v>
      </c>
      <c r="BY277" s="16">
        <f>IFERROR(__xludf.DUMMYFUNCTION("""COMPUTED_VALUE"""),3.0)</f>
        <v>3</v>
      </c>
      <c r="BZ277" s="16" t="str">
        <f>IFERROR(__xludf.DUMMYFUNCTION("""COMPUTED_VALUE"""),"D")</f>
        <v>D</v>
      </c>
      <c r="CA277" s="16" t="str">
        <f>IFERROR(__xludf.DUMMYFUNCTION("""COMPUTED_VALUE"""),"D")</f>
        <v>D</v>
      </c>
      <c r="CB277" s="16">
        <f>IFERROR(__xludf.DUMMYFUNCTION("""COMPUTED_VALUE"""),0.0)</f>
        <v>0</v>
      </c>
      <c r="CC277" s="16">
        <f>IFERROR(__xludf.DUMMYFUNCTION("""COMPUTED_VALUE"""),0.0)</f>
        <v>0</v>
      </c>
      <c r="CD277" s="16">
        <f>IFERROR(__xludf.DUMMYFUNCTION("""COMPUTED_VALUE"""),0.0)</f>
        <v>0</v>
      </c>
      <c r="CE277" s="16">
        <f>IFERROR(__xludf.DUMMYFUNCTION("""COMPUTED_VALUE"""),0.0)</f>
        <v>0</v>
      </c>
      <c r="CF277" s="16">
        <f>IFERROR(__xludf.DUMMYFUNCTION("""COMPUTED_VALUE"""),1.0)</f>
        <v>1</v>
      </c>
      <c r="CG277" s="16">
        <f>IFERROR(__xludf.DUMMYFUNCTION("""COMPUTED_VALUE"""),-37.0)</f>
        <v>-37</v>
      </c>
      <c r="CH277" s="16">
        <f>IFERROR(__xludf.DUMMYFUNCTION("""COMPUTED_VALUE"""),-7.0)</f>
        <v>-7</v>
      </c>
      <c r="CI277" s="179">
        <f>IFERROR(__xludf.DUMMYFUNCTION("""COMPUTED_VALUE"""),-7.0)</f>
        <v>-7</v>
      </c>
      <c r="CJ277" s="16"/>
      <c r="CK277" s="16">
        <f>IFERROR(__xludf.DUMMYFUNCTION("""COMPUTED_VALUE"""),425.0)</f>
        <v>425</v>
      </c>
      <c r="CL277" s="16">
        <f>IFERROR(__xludf.DUMMYFUNCTION("""COMPUTED_VALUE"""),311.0)</f>
        <v>311</v>
      </c>
      <c r="CM277" s="16">
        <f>IFERROR(__xludf.DUMMYFUNCTION("""COMPUTED_VALUE"""),215.0)</f>
        <v>215</v>
      </c>
      <c r="CN277" s="16"/>
      <c r="CO277" s="16">
        <f>IFERROR(__xludf.DUMMYFUNCTION("""COMPUTED_VALUE"""),408.0)</f>
        <v>408</v>
      </c>
      <c r="CP277" s="16"/>
      <c r="CQ277" s="16"/>
      <c r="CR277" s="16" t="str">
        <f>IFERROR(__xludf.DUMMYFUNCTION("""COMPUTED_VALUE"""),"3b-2e15 2b-3e11 lf-4(+1)e8 1b-4e25")</f>
        <v>3b-2e15 2b-3e11 lf-4(+1)e8 1b-4e25</v>
      </c>
      <c r="CS277" s="16"/>
      <c r="CT277" s="16">
        <f>IFERROR(__xludf.DUMMYFUNCTION("""COMPUTED_VALUE"""),4.0)</f>
        <v>4</v>
      </c>
      <c r="CU277" s="16">
        <f>IFERROR(__xludf.DUMMYFUNCTION("""COMPUTED_VALUE"""),3.0)</f>
        <v>3</v>
      </c>
      <c r="CV277" s="16">
        <f>IFERROR(__xludf.DUMMYFUNCTION("""COMPUTED_VALUE"""),2.0)</f>
        <v>2</v>
      </c>
      <c r="CW277" s="16"/>
      <c r="CX277" s="16">
        <f>IFERROR(__xludf.DUMMYFUNCTION("""COMPUTED_VALUE"""),4.0)</f>
        <v>4</v>
      </c>
      <c r="CY277" s="16"/>
      <c r="CZ277" s="16"/>
      <c r="DA277" s="16"/>
      <c r="DB277" s="16">
        <f>IFERROR(__xludf.DUMMYFUNCTION("""COMPUTED_VALUE"""),25.0)</f>
        <v>25</v>
      </c>
      <c r="DC277" s="16">
        <f>IFERROR(__xludf.DUMMYFUNCTION("""COMPUTED_VALUE"""),11.0)</f>
        <v>11</v>
      </c>
      <c r="DD277" s="16">
        <f>IFERROR(__xludf.DUMMYFUNCTION("""COMPUTED_VALUE"""),15.0)</f>
        <v>15</v>
      </c>
      <c r="DE277" s="16"/>
      <c r="DF277" s="16">
        <f>IFERROR(__xludf.DUMMYFUNCTION("""COMPUTED_VALUE"""),8.0)</f>
        <v>8</v>
      </c>
      <c r="DG277" s="16"/>
      <c r="DH277" s="16"/>
      <c r="DI277" s="16"/>
      <c r="DJ277" s="16">
        <f>IFERROR(__xludf.DUMMYFUNCTION("""COMPUTED_VALUE"""),0.0)</f>
        <v>0</v>
      </c>
      <c r="DK277" s="16">
        <f>IFERROR(__xludf.DUMMYFUNCTION("""COMPUTED_VALUE"""),0.0)</f>
        <v>0</v>
      </c>
      <c r="DL277" s="16">
        <f>IFERROR(__xludf.DUMMYFUNCTION("""COMPUTED_VALUE"""),3.0)</f>
        <v>3</v>
      </c>
      <c r="DM277" s="16"/>
      <c r="DN277" s="16">
        <f>IFERROR(__xludf.DUMMYFUNCTION("""COMPUTED_VALUE"""),-1.0)</f>
        <v>-1</v>
      </c>
      <c r="DO277" s="16"/>
      <c r="DP277" s="16"/>
      <c r="DQ277" s="16"/>
      <c r="DR277" s="16">
        <f>IFERROR(__xludf.DUMMYFUNCTION("""COMPUTED_VALUE"""),-2.0)</f>
        <v>-2</v>
      </c>
      <c r="DS277" s="16">
        <f>IFERROR(__xludf.DUMMYFUNCTION("""COMPUTED_VALUE"""),2.0)</f>
        <v>2</v>
      </c>
      <c r="DT277" s="16">
        <f>IFERROR(__xludf.DUMMYFUNCTION("""COMPUTED_VALUE"""),1.0)</f>
        <v>1</v>
      </c>
      <c r="DU277" s="16"/>
      <c r="DV277" s="16">
        <f>IFERROR(__xludf.DUMMYFUNCTION("""COMPUTED_VALUE"""),0.0)</f>
        <v>0</v>
      </c>
      <c r="DW277" s="16"/>
      <c r="DX277" s="16"/>
      <c r="DY277" s="16"/>
      <c r="DZ277" s="16">
        <f>IFERROR(__xludf.DUMMYFUNCTION("""COMPUTED_VALUE"""),-2.0)</f>
        <v>-2</v>
      </c>
      <c r="EA277" s="16">
        <f>IFERROR(__xludf.DUMMYFUNCTION("""COMPUTED_VALUE"""),2.0)</f>
        <v>2</v>
      </c>
      <c r="EB277" s="16">
        <f>IFERROR(__xludf.DUMMYFUNCTION("""COMPUTED_VALUE"""),4.0)</f>
        <v>4</v>
      </c>
      <c r="EC277" s="16"/>
      <c r="ED277" s="16">
        <f>IFERROR(__xludf.DUMMYFUNCTION("""COMPUTED_VALUE"""),-1.0)</f>
        <v>-1</v>
      </c>
      <c r="EE277" s="16"/>
      <c r="EF277" s="16"/>
      <c r="EG277" s="179"/>
      <c r="EH277" s="179">
        <f>IFERROR(__xludf.DUMMYFUNCTION("""COMPUTED_VALUE"""),-9.0)</f>
        <v>-9</v>
      </c>
      <c r="EI277" s="179">
        <f>IFERROR(__xludf.DUMMYFUNCTION("""COMPUTED_VALUE"""),-5.0)</f>
        <v>-5</v>
      </c>
      <c r="EJ277" s="179">
        <f>IFERROR(__xludf.DUMMYFUNCTION("""COMPUTED_VALUE"""),-3.0)</f>
        <v>-3</v>
      </c>
      <c r="EK277" s="179"/>
      <c r="EL277" s="179">
        <f>IFERROR(__xludf.DUMMYFUNCTION("""COMPUTED_VALUE"""),-8.0)</f>
        <v>-8</v>
      </c>
      <c r="EM277" s="179"/>
      <c r="EN277" s="179"/>
      <c r="EO277" s="16"/>
      <c r="EP277" s="16"/>
      <c r="EQ277" s="16">
        <f>IFERROR(__xludf.DUMMYFUNCTION("""COMPUTED_VALUE"""),4.0)</f>
        <v>4</v>
      </c>
      <c r="ER277" s="16">
        <f>IFERROR(__xludf.DUMMYFUNCTION("""COMPUTED_VALUE"""),2.0)</f>
        <v>2</v>
      </c>
      <c r="ES277" s="16"/>
      <c r="ET277" s="16"/>
      <c r="EU277" s="16"/>
      <c r="EV277" s="16"/>
      <c r="EW277" s="16"/>
      <c r="EX277" s="180"/>
      <c r="EY277" s="180">
        <f>IFERROR(__xludf.DUMMYFUNCTION("""COMPUTED_VALUE"""),0.3)</f>
        <v>0.3</v>
      </c>
      <c r="EZ277" s="180">
        <f>IFERROR(__xludf.DUMMYFUNCTION("""COMPUTED_VALUE"""),0.2)</f>
        <v>0.2</v>
      </c>
      <c r="FA277" s="180">
        <f>IFERROR(__xludf.DUMMYFUNCTION("""COMPUTED_VALUE"""),0.1)</f>
        <v>0.1</v>
      </c>
      <c r="FB277" s="180"/>
      <c r="FC277" s="180">
        <f>IFERROR(__xludf.DUMMYFUNCTION("""COMPUTED_VALUE"""),0.55)</f>
        <v>0.55</v>
      </c>
      <c r="FD277" s="180"/>
      <c r="FE277" s="180"/>
      <c r="FF277" s="180"/>
      <c r="FG277" s="180">
        <f>IFERROR(__xludf.DUMMYFUNCTION("""COMPUTED_VALUE"""),0.44907407407407407)</f>
        <v>0.4490740741</v>
      </c>
      <c r="FH277" s="180">
        <f>IFERROR(__xludf.DUMMYFUNCTION("""COMPUTED_VALUE"""),0.06481481481481481)</f>
        <v>0.06481481481</v>
      </c>
      <c r="FI277" s="180">
        <f>IFERROR(__xludf.DUMMYFUNCTION("""COMPUTED_VALUE"""),0.18055555555555555)</f>
        <v>0.1805555556</v>
      </c>
      <c r="FJ277" s="180"/>
      <c r="FK277" s="180">
        <f>IFERROR(__xludf.DUMMYFUNCTION("""COMPUTED_VALUE"""),0.144)</f>
        <v>0.144</v>
      </c>
      <c r="FL277" s="180"/>
      <c r="FM277" s="180"/>
      <c r="FN277" s="16"/>
      <c r="FO277" s="16">
        <f>IFERROR(__xludf.DUMMYFUNCTION("""COMPUTED_VALUE"""),0.38564814814814813)</f>
        <v>0.3856481481</v>
      </c>
      <c r="FP277" s="16">
        <f>IFERROR(__xludf.DUMMYFUNCTION("""COMPUTED_VALUE"""),0.7481481481481482)</f>
        <v>0.7481481481</v>
      </c>
      <c r="FQ277" s="16">
        <f>IFERROR(__xludf.DUMMYFUNCTION("""COMPUTED_VALUE"""),0.7375)</f>
        <v>0.7375</v>
      </c>
      <c r="FR277" s="16"/>
      <c r="FS277" s="16">
        <f>IFERROR(__xludf.DUMMYFUNCTION("""COMPUTED_VALUE"""),0.38519999999999993)</f>
        <v>0.3852</v>
      </c>
      <c r="FT277" s="16"/>
      <c r="FU277" s="16"/>
      <c r="FV277" s="16"/>
      <c r="FW277" s="16">
        <f>IFERROR(__xludf.DUMMYFUNCTION("""COMPUTED_VALUE"""),-8.0)</f>
        <v>-8</v>
      </c>
      <c r="FX277" s="16">
        <f>IFERROR(__xludf.DUMMYFUNCTION("""COMPUTED_VALUE"""),-4.0)</f>
        <v>-4</v>
      </c>
      <c r="FY277" s="16">
        <f>IFERROR(__xludf.DUMMYFUNCTION("""COMPUTED_VALUE"""),-4.0)</f>
        <v>-4</v>
      </c>
      <c r="FZ277" s="16"/>
      <c r="GA277" s="16">
        <f>IFERROR(__xludf.DUMMYFUNCTION("""COMPUTED_VALUE"""),-8.0)</f>
        <v>-8</v>
      </c>
      <c r="GB277" s="16"/>
      <c r="GC277" s="16"/>
      <c r="GD277" s="16" t="s">
        <v>176</v>
      </c>
    </row>
    <row r="278">
      <c r="A278" s="16">
        <f>IFERROR(__xludf.DUMMYFUNCTION("""COMPUTED_VALUE"""),12828.0)</f>
        <v>12828</v>
      </c>
      <c r="B278" s="16" t="str">
        <f>IFERROR(__xludf.DUMMYFUNCTION("""COMPUTED_VALUE"""),"Gabriel Moreno")</f>
        <v>Gabriel Moreno</v>
      </c>
      <c r="C278" s="16">
        <f>IFERROR(__xludf.DUMMYFUNCTION("""COMPUTED_VALUE"""),2.15)</f>
        <v>2.15</v>
      </c>
      <c r="D278" s="16" t="str">
        <f>IFERROR(__xludf.DUMMYFUNCTION("""COMPUTED_VALUE"""),"R")</f>
        <v>R</v>
      </c>
      <c r="E278" s="16"/>
      <c r="F278" s="16"/>
      <c r="G278" s="16">
        <f>IFERROR(__xludf.DUMMYFUNCTION("""COMPUTED_VALUE"""),305.0)</f>
        <v>305</v>
      </c>
      <c r="H278" s="16">
        <f>IFERROR(__xludf.DUMMYFUNCTION("""COMPUTED_VALUE"""),41.0)</f>
        <v>41</v>
      </c>
      <c r="I278" s="16" t="str">
        <f>IFERROR(__xludf.DUMMYFUNCTION("""COMPUTED_VALUE"""),"5p50")</f>
        <v>5p50</v>
      </c>
      <c r="J278" s="16">
        <f>IFERROR(__xludf.DUMMYFUNCTION("""COMPUTED_VALUE"""),0.0)</f>
        <v>0</v>
      </c>
      <c r="K278" s="16">
        <f>IFERROR(__xludf.DUMMYFUNCTION("""COMPUTED_VALUE"""),12.0)</f>
        <v>12</v>
      </c>
      <c r="L278" s="16">
        <f>IFERROR(__xludf.DUMMYFUNCTION("""COMPUTED_VALUE"""),3.0)</f>
        <v>3</v>
      </c>
      <c r="M278" s="16">
        <f>IFERROR(__xludf.DUMMYFUNCTION("""COMPUTED_VALUE"""),1.0)</f>
        <v>1</v>
      </c>
      <c r="N278" s="16">
        <f>IFERROR(__xludf.DUMMYFUNCTION("""COMPUTED_VALUE"""),3.0)</f>
        <v>3</v>
      </c>
      <c r="O278" s="16">
        <f>IFERROR(__xludf.DUMMYFUNCTION("""COMPUTED_VALUE"""),1.0)</f>
        <v>1</v>
      </c>
      <c r="P278" s="16">
        <f>IFERROR(__xludf.DUMMYFUNCTION("""COMPUTED_VALUE"""),11.0)</f>
        <v>11</v>
      </c>
      <c r="Q278" s="16">
        <f>IFERROR(__xludf.DUMMYFUNCTION("""COMPUTED_VALUE"""),20.0)</f>
        <v>20</v>
      </c>
      <c r="R278" s="16">
        <f>IFERROR(__xludf.DUMMYFUNCTION("""COMPUTED_VALUE"""),1.0)</f>
        <v>1</v>
      </c>
      <c r="S278" s="16">
        <f>IFERROR(__xludf.DUMMYFUNCTION("""COMPUTED_VALUE"""),3.0)</f>
        <v>3</v>
      </c>
      <c r="T278" s="16">
        <f>IFERROR(__xludf.DUMMYFUNCTION("""COMPUTED_VALUE"""),1.0)</f>
        <v>1</v>
      </c>
      <c r="U278" s="16">
        <f>IFERROR(__xludf.DUMMYFUNCTION("""COMPUTED_VALUE"""),3.0)</f>
        <v>3</v>
      </c>
      <c r="V278" s="16">
        <f>IFERROR(__xludf.DUMMYFUNCTION("""COMPUTED_VALUE"""),29.0)</f>
        <v>29</v>
      </c>
      <c r="W278" s="16">
        <f>IFERROR(__xludf.DUMMYFUNCTION("""COMPUTED_VALUE"""),16.6)</f>
        <v>16.6</v>
      </c>
      <c r="X278" s="16">
        <f>IFERROR(__xludf.DUMMYFUNCTION("""COMPUTED_VALUE"""),1.0)</f>
        <v>1</v>
      </c>
      <c r="Y278" s="16">
        <f>IFERROR(__xludf.DUMMYFUNCTION("""COMPUTED_VALUE"""),-1.0)</f>
        <v>-1</v>
      </c>
      <c r="Z278" s="16">
        <f>IFERROR(__xludf.DUMMYFUNCTION("""COMPUTED_VALUE"""),2.0)</f>
        <v>2</v>
      </c>
      <c r="AA278" s="16">
        <f>IFERROR(__xludf.DUMMYFUNCTION("""COMPUTED_VALUE"""),-2.0)</f>
        <v>-2</v>
      </c>
      <c r="AB278" s="16">
        <f>IFERROR(__xludf.DUMMYFUNCTION("""COMPUTED_VALUE"""),41.0)</f>
        <v>41</v>
      </c>
      <c r="AC278" s="16">
        <f>IFERROR(__xludf.DUMMYFUNCTION("""COMPUTED_VALUE"""),37.6)</f>
        <v>37.6</v>
      </c>
      <c r="AD278" s="16">
        <f>IFERROR(__xludf.DUMMYFUNCTION("""COMPUTED_VALUE"""),1.0)</f>
        <v>1</v>
      </c>
      <c r="AE278" s="16">
        <f>IFERROR(__xludf.DUMMYFUNCTION("""COMPUTED_VALUE"""),1.0)</f>
        <v>1</v>
      </c>
      <c r="AF278" s="16">
        <f>IFERROR(__xludf.DUMMYFUNCTION("""COMPUTED_VALUE"""),5.0)</f>
        <v>5</v>
      </c>
      <c r="AG278" s="16">
        <f>IFERROR(__xludf.DUMMYFUNCTION("""COMPUTED_VALUE"""),5.0)</f>
        <v>5</v>
      </c>
      <c r="AH278" s="16">
        <f>IFERROR(__xludf.DUMMYFUNCTION("""COMPUTED_VALUE"""),45.3)</f>
        <v>45.3</v>
      </c>
      <c r="AI278" s="16">
        <f>IFERROR(__xludf.DUMMYFUNCTION("""COMPUTED_VALUE"""),22.5)</f>
        <v>22.5</v>
      </c>
      <c r="AJ278" s="16">
        <f>IFERROR(__xludf.DUMMYFUNCTION("""COMPUTED_VALUE"""),1.0)</f>
        <v>1</v>
      </c>
      <c r="AK278" s="16">
        <f>IFERROR(__xludf.DUMMYFUNCTION("""COMPUTED_VALUE"""),-1.0)</f>
        <v>-1</v>
      </c>
      <c r="AL278" s="16">
        <f>IFERROR(__xludf.DUMMYFUNCTION("""COMPUTED_VALUE"""),5.0)</f>
        <v>5</v>
      </c>
      <c r="AM278" s="16">
        <f>IFERROR(__xludf.DUMMYFUNCTION("""COMPUTED_VALUE"""),-5.0)</f>
        <v>-5</v>
      </c>
      <c r="AN278" s="16">
        <f>IFERROR(__xludf.DUMMYFUNCTION("""COMPUTED_VALUE"""),1.8)</f>
        <v>1.8</v>
      </c>
      <c r="AO278" s="16">
        <f>IFERROR(__xludf.DUMMYFUNCTION("""COMPUTED_VALUE"""),0.5)</f>
        <v>0.5</v>
      </c>
      <c r="AP278" s="16">
        <f>IFERROR(__xludf.DUMMYFUNCTION("""COMPUTED_VALUE"""),-1.0)</f>
        <v>-1</v>
      </c>
      <c r="AQ278" s="16">
        <f>IFERROR(__xludf.DUMMYFUNCTION("""COMPUTED_VALUE"""),-2.0)</f>
        <v>-2</v>
      </c>
      <c r="AR278" s="16">
        <f>IFERROR(__xludf.DUMMYFUNCTION("""COMPUTED_VALUE"""),-2.0)</f>
        <v>-2</v>
      </c>
      <c r="AS278" s="16">
        <f>IFERROR(__xludf.DUMMYFUNCTION("""COMPUTED_VALUE"""),-4.0)</f>
        <v>-4</v>
      </c>
      <c r="AT278" s="16"/>
      <c r="AU278" s="16">
        <f>IFERROR(__xludf.DUMMYFUNCTION("""COMPUTED_VALUE"""),0.0)</f>
        <v>0</v>
      </c>
      <c r="AV278" s="16">
        <f>IFERROR(__xludf.DUMMYFUNCTION("""COMPUTED_VALUE"""),-3.0)</f>
        <v>-3</v>
      </c>
      <c r="AW278" s="16">
        <f>IFERROR(__xludf.DUMMYFUNCTION("""COMPUTED_VALUE"""),0.0)</f>
        <v>0</v>
      </c>
      <c r="AX278" s="16">
        <f>IFERROR(__xludf.DUMMYFUNCTION("""COMPUTED_VALUE"""),-3.0)</f>
        <v>-3</v>
      </c>
      <c r="AY278" s="16">
        <f>IFERROR(__xludf.DUMMYFUNCTION("""COMPUTED_VALUE"""),-2.0)</f>
        <v>-2</v>
      </c>
      <c r="AZ278" s="16">
        <f>IFERROR(__xludf.DUMMYFUNCTION("""COMPUTED_VALUE"""),-9.0)</f>
        <v>-9</v>
      </c>
      <c r="BA278" s="16">
        <f>IFERROR(__xludf.DUMMYFUNCTION("""COMPUTED_VALUE"""),-6.0)</f>
        <v>-6</v>
      </c>
      <c r="BB278" s="16">
        <f>IFERROR(__xludf.DUMMYFUNCTION("""COMPUTED_VALUE"""),5.0)</f>
        <v>5</v>
      </c>
      <c r="BC278" s="16">
        <f>IFERROR(__xludf.DUMMYFUNCTION("""COMPUTED_VALUE"""),5.0)</f>
        <v>5</v>
      </c>
      <c r="BD278" s="16">
        <f>IFERROR(__xludf.DUMMYFUNCTION("""COMPUTED_VALUE"""),1.0)</f>
        <v>1</v>
      </c>
      <c r="BE278" s="16">
        <f>IFERROR(__xludf.DUMMYFUNCTION("""COMPUTED_VALUE"""),1.0)</f>
        <v>1</v>
      </c>
      <c r="BF278" s="16">
        <f>IFERROR(__xludf.DUMMYFUNCTION("""COMPUTED_VALUE"""),1.0)</f>
        <v>1</v>
      </c>
      <c r="BG278" s="16">
        <f>IFERROR(__xludf.DUMMYFUNCTION("""COMPUTED_VALUE"""),1.0)</f>
        <v>1</v>
      </c>
      <c r="BH278" s="16">
        <f>IFERROR(__xludf.DUMMYFUNCTION("""COMPUTED_VALUE"""),10.0)</f>
        <v>10</v>
      </c>
      <c r="BI278" s="16">
        <f>IFERROR(__xludf.DUMMYFUNCTION("""COMPUTED_VALUE"""),9.0)</f>
        <v>9</v>
      </c>
      <c r="BJ278" s="16">
        <f>IFERROR(__xludf.DUMMYFUNCTION("""COMPUTED_VALUE"""),22.0)</f>
        <v>22</v>
      </c>
      <c r="BK278" s="16">
        <f>IFERROR(__xludf.DUMMYFUNCTION("""COMPUTED_VALUE"""),19.0)</f>
        <v>19</v>
      </c>
      <c r="BL278" s="16">
        <f>IFERROR(__xludf.DUMMYFUNCTION("""COMPUTED_VALUE"""),-2.0)</f>
        <v>-2</v>
      </c>
      <c r="BM278" s="16">
        <f>IFERROR(__xludf.DUMMYFUNCTION("""COMPUTED_VALUE"""),-1.0)</f>
        <v>-1</v>
      </c>
      <c r="BN278" s="16">
        <f>IFERROR(__xludf.DUMMYFUNCTION("""COMPUTED_VALUE"""),-4.0)</f>
        <v>-4</v>
      </c>
      <c r="BO278" s="16">
        <f>IFERROR(__xludf.DUMMYFUNCTION("""COMPUTED_VALUE"""),-2.0)</f>
        <v>-2</v>
      </c>
      <c r="BP278" s="16">
        <f>IFERROR(__xludf.DUMMYFUNCTION("""COMPUTED_VALUE"""),2.0)</f>
        <v>2</v>
      </c>
      <c r="BQ278" s="16">
        <f>IFERROR(__xludf.DUMMYFUNCTION("""COMPUTED_VALUE"""),-1.0)</f>
        <v>-1</v>
      </c>
      <c r="BR278" s="16">
        <f>IFERROR(__xludf.DUMMYFUNCTION("""COMPUTED_VALUE"""),1.0)</f>
        <v>1</v>
      </c>
      <c r="BS278" s="16" t="str">
        <f>IFERROR(__xludf.DUMMYFUNCTION("""COMPUTED_VALUE"""),"4/- (15-6)")</f>
        <v>4/- (15-6)</v>
      </c>
      <c r="BT278" s="16" t="str">
        <f>IFERROR(__xludf.DUMMYFUNCTION("""COMPUTED_VALUE"""),"D")</f>
        <v>D</v>
      </c>
      <c r="BU278" s="16">
        <f>IFERROR(__xludf.DUMMYFUNCTION("""COMPUTED_VALUE"""),11.0)</f>
        <v>11</v>
      </c>
      <c r="BV278" s="16">
        <f>IFERROR(__xludf.DUMMYFUNCTION("""COMPUTED_VALUE"""),0.0)</f>
        <v>0</v>
      </c>
      <c r="BW278" s="16">
        <f>IFERROR(__xludf.DUMMYFUNCTION("""COMPUTED_VALUE"""),0.0)</f>
        <v>0</v>
      </c>
      <c r="BX278" s="16">
        <f>IFERROR(__xludf.DUMMYFUNCTION("""COMPUTED_VALUE"""),0.0)</f>
        <v>0</v>
      </c>
      <c r="BY278" s="16">
        <f>IFERROR(__xludf.DUMMYFUNCTION("""COMPUTED_VALUE"""),0.0)</f>
        <v>0</v>
      </c>
      <c r="BZ278" s="16" t="str">
        <f>IFERROR(__xludf.DUMMYFUNCTION("""COMPUTED_VALUE"""),"D")</f>
        <v>D</v>
      </c>
      <c r="CA278" s="16" t="str">
        <f>IFERROR(__xludf.DUMMYFUNCTION("""COMPUTED_VALUE"""),"C")</f>
        <v>C</v>
      </c>
      <c r="CB278" s="16">
        <f>IFERROR(__xludf.DUMMYFUNCTION("""COMPUTED_VALUE"""),0.0)</f>
        <v>0</v>
      </c>
      <c r="CC278" s="16">
        <f>IFERROR(__xludf.DUMMYFUNCTION("""COMPUTED_VALUE"""),0.0)</f>
        <v>0</v>
      </c>
      <c r="CD278" s="16">
        <f>IFERROR(__xludf.DUMMYFUNCTION("""COMPUTED_VALUE"""),0.0)</f>
        <v>0</v>
      </c>
      <c r="CE278" s="16">
        <f>IFERROR(__xludf.DUMMYFUNCTION("""COMPUTED_VALUE"""),0.0)</f>
        <v>0</v>
      </c>
      <c r="CF278" s="16">
        <f>IFERROR(__xludf.DUMMYFUNCTION("""COMPUTED_VALUE"""),5.0)</f>
        <v>5</v>
      </c>
      <c r="CG278" s="16">
        <f>IFERROR(__xludf.DUMMYFUNCTION("""COMPUTED_VALUE"""),2.0)</f>
        <v>2</v>
      </c>
      <c r="CH278" s="16">
        <f>IFERROR(__xludf.DUMMYFUNCTION("""COMPUTED_VALUE"""),-9.0)</f>
        <v>-9</v>
      </c>
      <c r="CI278" s="179">
        <f>IFERROR(__xludf.DUMMYFUNCTION("""COMPUTED_VALUE"""),-8.0)</f>
        <v>-8</v>
      </c>
      <c r="CJ278" s="16">
        <f>IFERROR(__xludf.DUMMYFUNCTION("""COMPUTED_VALUE"""),101.0)</f>
        <v>101</v>
      </c>
      <c r="CK278" s="16"/>
      <c r="CL278" s="16"/>
      <c r="CM278" s="16"/>
      <c r="CN278" s="16"/>
      <c r="CO278" s="16"/>
      <c r="CP278" s="16"/>
      <c r="CQ278" s="16"/>
      <c r="CR278" s="16" t="str">
        <f>IFERROR(__xludf.DUMMYFUNCTION("""COMPUTED_VALUE"""),"c-1(-4)e1,T-4(pb-1)")</f>
        <v>c-1(-4)e1,T-4(pb-1)</v>
      </c>
      <c r="CS278" s="16">
        <f>IFERROR(__xludf.DUMMYFUNCTION("""COMPUTED_VALUE"""),1.0)</f>
        <v>1</v>
      </c>
      <c r="CT278" s="16"/>
      <c r="CU278" s="16"/>
      <c r="CV278" s="16"/>
      <c r="CW278" s="16"/>
      <c r="CX278" s="16"/>
      <c r="CY278" s="16"/>
      <c r="CZ278" s="16"/>
      <c r="DA278" s="16">
        <f>IFERROR(__xludf.DUMMYFUNCTION("""COMPUTED_VALUE"""),1.0)</f>
        <v>1</v>
      </c>
      <c r="DB278" s="16"/>
      <c r="DC278" s="16"/>
      <c r="DD278" s="16"/>
      <c r="DE278" s="16"/>
      <c r="DF278" s="16"/>
      <c r="DG278" s="16"/>
      <c r="DH278" s="16"/>
      <c r="DI278" s="16">
        <f>IFERROR(__xludf.DUMMYFUNCTION("""COMPUTED_VALUE"""),4.0)</f>
        <v>4</v>
      </c>
      <c r="DJ278" s="16"/>
      <c r="DK278" s="16"/>
      <c r="DL278" s="16"/>
      <c r="DM278" s="16"/>
      <c r="DN278" s="16"/>
      <c r="DO278" s="16"/>
      <c r="DP278" s="16"/>
      <c r="DQ278" s="16">
        <f>IFERROR(__xludf.DUMMYFUNCTION("""COMPUTED_VALUE"""),4.0)</f>
        <v>4</v>
      </c>
      <c r="DR278" s="16"/>
      <c r="DS278" s="16"/>
      <c r="DT278" s="16"/>
      <c r="DU278" s="16"/>
      <c r="DV278" s="16"/>
      <c r="DW278" s="16"/>
      <c r="DX278" s="16"/>
      <c r="DY278" s="16">
        <f>IFERROR(__xludf.DUMMYFUNCTION("""COMPUTED_VALUE"""),8.0)</f>
        <v>8</v>
      </c>
      <c r="DZ278" s="16"/>
      <c r="EA278" s="16"/>
      <c r="EB278" s="16"/>
      <c r="EC278" s="16"/>
      <c r="ED278" s="16"/>
      <c r="EE278" s="16"/>
      <c r="EF278" s="16"/>
      <c r="EG278" s="179">
        <f>IFERROR(__xludf.DUMMYFUNCTION("""COMPUTED_VALUE"""),-4.0)</f>
        <v>-4</v>
      </c>
      <c r="EH278" s="179"/>
      <c r="EI278" s="179"/>
      <c r="EJ278" s="179"/>
      <c r="EK278" s="179"/>
      <c r="EL278" s="179"/>
      <c r="EM278" s="179"/>
      <c r="EN278" s="179"/>
      <c r="EO278" s="16">
        <f>IFERROR(__xludf.DUMMYFUNCTION("""COMPUTED_VALUE"""),-4.0)</f>
        <v>-4</v>
      </c>
      <c r="EP278" s="16">
        <f>IFERROR(__xludf.DUMMYFUNCTION("""COMPUTED_VALUE"""),-1.0)</f>
        <v>-1</v>
      </c>
      <c r="EQ278" s="16">
        <f>IFERROR(__xludf.DUMMYFUNCTION("""COMPUTED_VALUE"""),-2.0)</f>
        <v>-2</v>
      </c>
      <c r="ER278" s="16">
        <f>IFERROR(__xludf.DUMMYFUNCTION("""COMPUTED_VALUE"""),0.0)</f>
        <v>0</v>
      </c>
      <c r="ES278" s="16" t="str">
        <f>IFERROR(__xludf.DUMMYFUNCTION("""COMPUTED_VALUE"""),"c-1")</f>
        <v>c-1</v>
      </c>
      <c r="ET278" s="16" t="str">
        <f>IFERROR(__xludf.DUMMYFUNCTION("""COMPUTED_VALUE"""),"-4)e1,T-4")</f>
        <v>-4)e1,T-4</v>
      </c>
      <c r="EU278" s="16" t="str">
        <f>IFERROR(__xludf.DUMMYFUNCTION("""COMPUTED_VALUE"""),"pb-1)")</f>
        <v>pb-1)</v>
      </c>
      <c r="EV278" s="16"/>
      <c r="EW278" s="16">
        <f>IFERROR(__xludf.DUMMYFUNCTION("""COMPUTED_VALUE"""),-4.0)</f>
        <v>-4</v>
      </c>
      <c r="EX278" s="180">
        <f>IFERROR(__xludf.DUMMYFUNCTION("""COMPUTED_VALUE"""),0.0)</f>
        <v>0</v>
      </c>
      <c r="EY278" s="180"/>
      <c r="EZ278" s="180"/>
      <c r="FA278" s="180"/>
      <c r="FB278" s="180"/>
      <c r="FC278" s="180"/>
      <c r="FD278" s="180"/>
      <c r="FE278" s="180"/>
      <c r="FF278" s="180">
        <f>IFERROR(__xludf.DUMMYFUNCTION("""COMPUTED_VALUE"""),0.014)</f>
        <v>0.014</v>
      </c>
      <c r="FG278" s="180"/>
      <c r="FH278" s="180"/>
      <c r="FI278" s="180"/>
      <c r="FJ278" s="180"/>
      <c r="FK278" s="180"/>
      <c r="FL278" s="180"/>
      <c r="FM278" s="180"/>
      <c r="FN278" s="16">
        <f>IFERROR(__xludf.DUMMYFUNCTION("""COMPUTED_VALUE"""),0.986)</f>
        <v>0.986</v>
      </c>
      <c r="FO278" s="16"/>
      <c r="FP278" s="16"/>
      <c r="FQ278" s="16"/>
      <c r="FR278" s="16"/>
      <c r="FS278" s="16"/>
      <c r="FT278" s="16"/>
      <c r="FU278" s="16"/>
      <c r="FV278" s="16">
        <f>IFERROR(__xludf.DUMMYFUNCTION("""COMPUTED_VALUE"""),12.0)</f>
        <v>12</v>
      </c>
      <c r="FW278" s="16"/>
      <c r="FX278" s="16"/>
      <c r="FY278" s="16"/>
      <c r="FZ278" s="16"/>
      <c r="GA278" s="16"/>
      <c r="GB278" s="16"/>
      <c r="GC278" s="16"/>
      <c r="GD278" s="16" t="s">
        <v>289</v>
      </c>
    </row>
    <row r="279">
      <c r="A279" s="16">
        <f>IFERROR(__xludf.DUMMYFUNCTION("""COMPUTED_VALUE"""),13113.0)</f>
        <v>13113</v>
      </c>
      <c r="B279" s="16" t="str">
        <f>IFERROR(__xludf.DUMMYFUNCTION("""COMPUTED_VALUE"""),"Lenyn Sosa")</f>
        <v>Lenyn Sosa</v>
      </c>
      <c r="C279" s="16">
        <f>IFERROR(__xludf.DUMMYFUNCTION("""COMPUTED_VALUE"""),0.0)</f>
        <v>0</v>
      </c>
      <c r="D279" s="16" t="str">
        <f>IFERROR(__xludf.DUMMYFUNCTION("""COMPUTED_VALUE"""),"R")</f>
        <v>R</v>
      </c>
      <c r="E279" s="16"/>
      <c r="F279" s="16"/>
      <c r="G279" s="16">
        <f>IFERROR(__xludf.DUMMYFUNCTION("""COMPUTED_VALUE"""),351.0)</f>
        <v>351</v>
      </c>
      <c r="H279" s="16">
        <f>IFERROR(__xludf.DUMMYFUNCTION("""COMPUTED_VALUE"""),12.0)</f>
        <v>12</v>
      </c>
      <c r="I279" s="16" t="str">
        <f>IFERROR(__xludf.DUMMYFUNCTION("""COMPUTED_VALUE"""),"1p50")</f>
        <v>1p50</v>
      </c>
      <c r="J279" s="16">
        <f>IFERROR(__xludf.DUMMYFUNCTION("""COMPUTED_VALUE"""),18.0)</f>
        <v>18</v>
      </c>
      <c r="K279" s="16">
        <f>IFERROR(__xludf.DUMMYFUNCTION("""COMPUTED_VALUE"""),21.0)</f>
        <v>21</v>
      </c>
      <c r="L279" s="16">
        <f>IFERROR(__xludf.DUMMYFUNCTION("""COMPUTED_VALUE"""),1.0)</f>
        <v>1</v>
      </c>
      <c r="M279" s="16">
        <f>IFERROR(__xludf.DUMMYFUNCTION("""COMPUTED_VALUE"""),0.0)</f>
        <v>0</v>
      </c>
      <c r="N279" s="16">
        <f>IFERROR(__xludf.DUMMYFUNCTION("""COMPUTED_VALUE"""),1.0)</f>
        <v>1</v>
      </c>
      <c r="O279" s="16">
        <f>IFERROR(__xludf.DUMMYFUNCTION("""COMPUTED_VALUE"""),0.0)</f>
        <v>0</v>
      </c>
      <c r="P279" s="16">
        <f>IFERROR(__xludf.DUMMYFUNCTION("""COMPUTED_VALUE"""),0.0)</f>
        <v>0</v>
      </c>
      <c r="Q279" s="16">
        <f>IFERROR(__xludf.DUMMYFUNCTION("""COMPUTED_VALUE"""),0.0)</f>
        <v>0</v>
      </c>
      <c r="R279" s="16">
        <f>IFERROR(__xludf.DUMMYFUNCTION("""COMPUTED_VALUE"""),-3.0)</f>
        <v>-3</v>
      </c>
      <c r="S279" s="16">
        <f>IFERROR(__xludf.DUMMYFUNCTION("""COMPUTED_VALUE"""),-2.0)</f>
        <v>-2</v>
      </c>
      <c r="T279" s="16">
        <f>IFERROR(__xludf.DUMMYFUNCTION("""COMPUTED_VALUE"""),-3.0)</f>
        <v>-3</v>
      </c>
      <c r="U279" s="16">
        <f>IFERROR(__xludf.DUMMYFUNCTION("""COMPUTED_VALUE"""),-2.0)</f>
        <v>-2</v>
      </c>
      <c r="V279" s="16">
        <f>IFERROR(__xludf.DUMMYFUNCTION("""COMPUTED_VALUE"""),32.5)</f>
        <v>32.5</v>
      </c>
      <c r="W279" s="16">
        <f>IFERROR(__xludf.DUMMYFUNCTION("""COMPUTED_VALUE"""),21.5)</f>
        <v>21.5</v>
      </c>
      <c r="X279" s="16">
        <f>IFERROR(__xludf.DUMMYFUNCTION("""COMPUTED_VALUE"""),2.0)</f>
        <v>2</v>
      </c>
      <c r="Y279" s="16">
        <f>IFERROR(__xludf.DUMMYFUNCTION("""COMPUTED_VALUE"""),0.0)</f>
        <v>0</v>
      </c>
      <c r="Z279" s="16">
        <f>IFERROR(__xludf.DUMMYFUNCTION("""COMPUTED_VALUE"""),4.0)</f>
        <v>4</v>
      </c>
      <c r="AA279" s="16">
        <f>IFERROR(__xludf.DUMMYFUNCTION("""COMPUTED_VALUE"""),0.0)</f>
        <v>0</v>
      </c>
      <c r="AB279" s="16">
        <f>IFERROR(__xludf.DUMMYFUNCTION("""COMPUTED_VALUE"""),34.5)</f>
        <v>34.5</v>
      </c>
      <c r="AC279" s="16">
        <f>IFERROR(__xludf.DUMMYFUNCTION("""COMPUTED_VALUE"""),23.5)</f>
        <v>23.5</v>
      </c>
      <c r="AD279" s="16">
        <f>IFERROR(__xludf.DUMMYFUNCTION("""COMPUTED_VALUE"""),0.0)</f>
        <v>0</v>
      </c>
      <c r="AE279" s="16">
        <f>IFERROR(__xludf.DUMMYFUNCTION("""COMPUTED_VALUE"""),-1.0)</f>
        <v>-1</v>
      </c>
      <c r="AF279" s="16">
        <f>IFERROR(__xludf.DUMMYFUNCTION("""COMPUTED_VALUE"""),0.0)</f>
        <v>0</v>
      </c>
      <c r="AG279" s="16">
        <f>IFERROR(__xludf.DUMMYFUNCTION("""COMPUTED_VALUE"""),-5.0)</f>
        <v>-5</v>
      </c>
      <c r="AH279" s="16">
        <f>IFERROR(__xludf.DUMMYFUNCTION("""COMPUTED_VALUE"""),44.8)</f>
        <v>44.8</v>
      </c>
      <c r="AI279" s="16">
        <f>IFERROR(__xludf.DUMMYFUNCTION("""COMPUTED_VALUE"""),23.4)</f>
        <v>23.4</v>
      </c>
      <c r="AJ279" s="16">
        <f>IFERROR(__xludf.DUMMYFUNCTION("""COMPUTED_VALUE"""),1.0)</f>
        <v>1</v>
      </c>
      <c r="AK279" s="16">
        <f>IFERROR(__xludf.DUMMYFUNCTION("""COMPUTED_VALUE"""),-1.0)</f>
        <v>-1</v>
      </c>
      <c r="AL279" s="16">
        <f>IFERROR(__xludf.DUMMYFUNCTION("""COMPUTED_VALUE"""),5.0)</f>
        <v>5</v>
      </c>
      <c r="AM279" s="16">
        <f>IFERROR(__xludf.DUMMYFUNCTION("""COMPUTED_VALUE"""),-5.0)</f>
        <v>-5</v>
      </c>
      <c r="AN279" s="16">
        <f>IFERROR(__xludf.DUMMYFUNCTION("""COMPUTED_VALUE"""),2.4)</f>
        <v>2.4</v>
      </c>
      <c r="AO279" s="16">
        <f>IFERROR(__xludf.DUMMYFUNCTION("""COMPUTED_VALUE"""),0.3)</f>
        <v>0.3</v>
      </c>
      <c r="AP279" s="16">
        <f>IFERROR(__xludf.DUMMYFUNCTION("""COMPUTED_VALUE"""),0.0)</f>
        <v>0</v>
      </c>
      <c r="AQ279" s="16">
        <f>IFERROR(__xludf.DUMMYFUNCTION("""COMPUTED_VALUE"""),-2.0)</f>
        <v>-2</v>
      </c>
      <c r="AR279" s="16">
        <f>IFERROR(__xludf.DUMMYFUNCTION("""COMPUTED_VALUE"""),0.0)</f>
        <v>0</v>
      </c>
      <c r="AS279" s="16">
        <f>IFERROR(__xludf.DUMMYFUNCTION("""COMPUTED_VALUE"""),-4.0)</f>
        <v>-4</v>
      </c>
      <c r="AT279" s="16">
        <f>IFERROR(__xludf.DUMMYFUNCTION("""COMPUTED_VALUE"""),3.0)</f>
        <v>3</v>
      </c>
      <c r="AU279" s="16">
        <f>IFERROR(__xludf.DUMMYFUNCTION("""COMPUTED_VALUE"""),0.0)</f>
        <v>0</v>
      </c>
      <c r="AV279" s="16">
        <f>IFERROR(__xludf.DUMMYFUNCTION("""COMPUTED_VALUE"""),3.0)</f>
        <v>3</v>
      </c>
      <c r="AW279" s="16">
        <f>IFERROR(__xludf.DUMMYFUNCTION("""COMPUTED_VALUE"""),0.0)</f>
        <v>0</v>
      </c>
      <c r="AX279" s="16">
        <f>IFERROR(__xludf.DUMMYFUNCTION("""COMPUTED_VALUE"""),1.0)</f>
        <v>1</v>
      </c>
      <c r="AY279" s="16">
        <f>IFERROR(__xludf.DUMMYFUNCTION("""COMPUTED_VALUE"""),-2.0)</f>
        <v>-2</v>
      </c>
      <c r="AZ279" s="16">
        <f>IFERROR(__xludf.DUMMYFUNCTION("""COMPUTED_VALUE"""),3.0)</f>
        <v>3</v>
      </c>
      <c r="BA279" s="16">
        <f>IFERROR(__xludf.DUMMYFUNCTION("""COMPUTED_VALUE"""),-6.0)</f>
        <v>-6</v>
      </c>
      <c r="BB279" s="16">
        <f>IFERROR(__xludf.DUMMYFUNCTION("""COMPUTED_VALUE"""),5.0)</f>
        <v>5</v>
      </c>
      <c r="BC279" s="16">
        <f>IFERROR(__xludf.DUMMYFUNCTION("""COMPUTED_VALUE"""),5.0)</f>
        <v>5</v>
      </c>
      <c r="BD279" s="16">
        <f>IFERROR(__xludf.DUMMYFUNCTION("""COMPUTED_VALUE"""),1.0)</f>
        <v>1</v>
      </c>
      <c r="BE279" s="16">
        <f>IFERROR(__xludf.DUMMYFUNCTION("""COMPUTED_VALUE"""),1.0)</f>
        <v>1</v>
      </c>
      <c r="BF279" s="16">
        <f>IFERROR(__xludf.DUMMYFUNCTION("""COMPUTED_VALUE"""),1.0)</f>
        <v>1</v>
      </c>
      <c r="BG279" s="16">
        <f>IFERROR(__xludf.DUMMYFUNCTION("""COMPUTED_VALUE"""),1.0)</f>
        <v>1</v>
      </c>
      <c r="BH279" s="16">
        <f>IFERROR(__xludf.DUMMYFUNCTION("""COMPUTED_VALUE"""),-6.0)</f>
        <v>-6</v>
      </c>
      <c r="BI279" s="16">
        <f>IFERROR(__xludf.DUMMYFUNCTION("""COMPUTED_VALUE"""),-6.0)</f>
        <v>-6</v>
      </c>
      <c r="BJ279" s="16">
        <f>IFERROR(__xludf.DUMMYFUNCTION("""COMPUTED_VALUE"""),10.0)</f>
        <v>10</v>
      </c>
      <c r="BK279" s="16">
        <f>IFERROR(__xludf.DUMMYFUNCTION("""COMPUTED_VALUE"""),9.0)</f>
        <v>9</v>
      </c>
      <c r="BL279" s="16">
        <f>IFERROR(__xludf.DUMMYFUNCTION("""COMPUTED_VALUE"""),0.0)</f>
        <v>0</v>
      </c>
      <c r="BM279" s="16">
        <f>IFERROR(__xludf.DUMMYFUNCTION("""COMPUTED_VALUE"""),1.0)</f>
        <v>1</v>
      </c>
      <c r="BN279" s="16">
        <f>IFERROR(__xludf.DUMMYFUNCTION("""COMPUTED_VALUE"""),0.0)</f>
        <v>0</v>
      </c>
      <c r="BO279" s="16">
        <f>IFERROR(__xludf.DUMMYFUNCTION("""COMPUTED_VALUE"""),1.0)</f>
        <v>1</v>
      </c>
      <c r="BP279" s="16">
        <f>IFERROR(__xludf.DUMMYFUNCTION("""COMPUTED_VALUE"""),3.0)</f>
        <v>3</v>
      </c>
      <c r="BQ279" s="16">
        <f>IFERROR(__xludf.DUMMYFUNCTION("""COMPUTED_VALUE"""),-6.0)</f>
        <v>-6</v>
      </c>
      <c r="BR279" s="16">
        <f>IFERROR(__xludf.DUMMYFUNCTION("""COMPUTED_VALUE"""),-3.0)</f>
        <v>-3</v>
      </c>
      <c r="BS279" s="16" t="str">
        <f>IFERROR(__xludf.DUMMYFUNCTION("""COMPUTED_VALUE"""),"5/- (15-6)")</f>
        <v>5/- (15-6)</v>
      </c>
      <c r="BT279" s="16" t="str">
        <f>IFERROR(__xludf.DUMMYFUNCTION("""COMPUTED_VALUE"""),"D")</f>
        <v>D</v>
      </c>
      <c r="BU279" s="16">
        <f>IFERROR(__xludf.DUMMYFUNCTION("""COMPUTED_VALUE"""),12.0)</f>
        <v>12</v>
      </c>
      <c r="BV279" s="16">
        <f>IFERROR(__xludf.DUMMYFUNCTION("""COMPUTED_VALUE"""),0.0)</f>
        <v>0</v>
      </c>
      <c r="BW279" s="16">
        <f>IFERROR(__xludf.DUMMYFUNCTION("""COMPUTED_VALUE"""),0.0)</f>
        <v>0</v>
      </c>
      <c r="BX279" s="16">
        <f>IFERROR(__xludf.DUMMYFUNCTION("""COMPUTED_VALUE"""),0.0)</f>
        <v>0</v>
      </c>
      <c r="BY279" s="16">
        <f>IFERROR(__xludf.DUMMYFUNCTION("""COMPUTED_VALUE"""),0.0)</f>
        <v>0</v>
      </c>
      <c r="BZ279" s="16" t="str">
        <f>IFERROR(__xludf.DUMMYFUNCTION("""COMPUTED_VALUE"""),"D")</f>
        <v>D</v>
      </c>
      <c r="CA279" s="16" t="str">
        <f>IFERROR(__xludf.DUMMYFUNCTION("""COMPUTED_VALUE"""),"D")</f>
        <v>D</v>
      </c>
      <c r="CB279" s="16">
        <f>IFERROR(__xludf.DUMMYFUNCTION("""COMPUTED_VALUE"""),0.0)</f>
        <v>0</v>
      </c>
      <c r="CC279" s="16">
        <f>IFERROR(__xludf.DUMMYFUNCTION("""COMPUTED_VALUE"""),0.0)</f>
        <v>0</v>
      </c>
      <c r="CD279" s="16">
        <f>IFERROR(__xludf.DUMMYFUNCTION("""COMPUTED_VALUE"""),0.0)</f>
        <v>0</v>
      </c>
      <c r="CE279" s="16">
        <f>IFERROR(__xludf.DUMMYFUNCTION("""COMPUTED_VALUE"""),0.0)</f>
        <v>0</v>
      </c>
      <c r="CF279" s="16">
        <f>IFERROR(__xludf.DUMMYFUNCTION("""COMPUTED_VALUE"""),1.0)</f>
        <v>1</v>
      </c>
      <c r="CG279" s="16">
        <f>IFERROR(__xludf.DUMMYFUNCTION("""COMPUTED_VALUE"""),11.0)</f>
        <v>11</v>
      </c>
      <c r="CH279" s="16">
        <f>IFERROR(__xludf.DUMMYFUNCTION("""COMPUTED_VALUE"""),-20.0)</f>
        <v>-20</v>
      </c>
      <c r="CI279" s="179">
        <f>IFERROR(__xludf.DUMMYFUNCTION("""COMPUTED_VALUE"""),-8.0)</f>
        <v>-8</v>
      </c>
      <c r="CJ279" s="16"/>
      <c r="CK279" s="16">
        <f>IFERROR(__xludf.DUMMYFUNCTION("""COMPUTED_VALUE"""),525.0)</f>
        <v>525</v>
      </c>
      <c r="CL279" s="16">
        <f>IFERROR(__xludf.DUMMYFUNCTION("""COMPUTED_VALUE"""),408.0)</f>
        <v>408</v>
      </c>
      <c r="CM279" s="16">
        <f>IFERROR(__xludf.DUMMYFUNCTION("""COMPUTED_VALUE"""),413.0)</f>
        <v>413</v>
      </c>
      <c r="CN279" s="16"/>
      <c r="CO279" s="16"/>
      <c r="CP279" s="16"/>
      <c r="CQ279" s="16"/>
      <c r="CR279" s="16" t="str">
        <f>IFERROR(__xludf.DUMMYFUNCTION("""COMPUTED_VALUE"""),"3b-4e13 2b-4e8 1b-5e25")</f>
        <v>3b-4e13 2b-4e8 1b-5e25</v>
      </c>
      <c r="CS279" s="16"/>
      <c r="CT279" s="16">
        <f>IFERROR(__xludf.DUMMYFUNCTION("""COMPUTED_VALUE"""),5.0)</f>
        <v>5</v>
      </c>
      <c r="CU279" s="16">
        <f>IFERROR(__xludf.DUMMYFUNCTION("""COMPUTED_VALUE"""),4.0)</f>
        <v>4</v>
      </c>
      <c r="CV279" s="16">
        <f>IFERROR(__xludf.DUMMYFUNCTION("""COMPUTED_VALUE"""),4.0)</f>
        <v>4</v>
      </c>
      <c r="CW279" s="16"/>
      <c r="CX279" s="16"/>
      <c r="CY279" s="16"/>
      <c r="CZ279" s="16"/>
      <c r="DA279" s="16"/>
      <c r="DB279" s="16">
        <f>IFERROR(__xludf.DUMMYFUNCTION("""COMPUTED_VALUE"""),25.0)</f>
        <v>25</v>
      </c>
      <c r="DC279" s="16">
        <f>IFERROR(__xludf.DUMMYFUNCTION("""COMPUTED_VALUE"""),8.0)</f>
        <v>8</v>
      </c>
      <c r="DD279" s="16">
        <f>IFERROR(__xludf.DUMMYFUNCTION("""COMPUTED_VALUE"""),13.0)</f>
        <v>13</v>
      </c>
      <c r="DE279" s="16"/>
      <c r="DF279" s="16"/>
      <c r="DG279" s="16"/>
      <c r="DH279" s="16"/>
      <c r="DI279" s="16"/>
      <c r="DJ279" s="16">
        <f>IFERROR(__xludf.DUMMYFUNCTION("""COMPUTED_VALUE"""),-2.0)</f>
        <v>-2</v>
      </c>
      <c r="DK279" s="16">
        <f>IFERROR(__xludf.DUMMYFUNCTION("""COMPUTED_VALUE"""),-2.0)</f>
        <v>-2</v>
      </c>
      <c r="DL279" s="16">
        <f>IFERROR(__xludf.DUMMYFUNCTION("""COMPUTED_VALUE"""),0.0)</f>
        <v>0</v>
      </c>
      <c r="DM279" s="16"/>
      <c r="DN279" s="16"/>
      <c r="DO279" s="16"/>
      <c r="DP279" s="16"/>
      <c r="DQ279" s="16"/>
      <c r="DR279" s="16">
        <f>IFERROR(__xludf.DUMMYFUNCTION("""COMPUTED_VALUE"""),-2.0)</f>
        <v>-2</v>
      </c>
      <c r="DS279" s="16">
        <f>IFERROR(__xludf.DUMMYFUNCTION("""COMPUTED_VALUE"""),3.0)</f>
        <v>3</v>
      </c>
      <c r="DT279" s="16">
        <f>IFERROR(__xludf.DUMMYFUNCTION("""COMPUTED_VALUE"""),1.0)</f>
        <v>1</v>
      </c>
      <c r="DU279" s="16"/>
      <c r="DV279" s="16"/>
      <c r="DW279" s="16"/>
      <c r="DX279" s="16"/>
      <c r="DY279" s="16"/>
      <c r="DZ279" s="16">
        <f>IFERROR(__xludf.DUMMYFUNCTION("""COMPUTED_VALUE"""),-4.0)</f>
        <v>-4</v>
      </c>
      <c r="EA279" s="16">
        <f>IFERROR(__xludf.DUMMYFUNCTION("""COMPUTED_VALUE"""),1.0)</f>
        <v>1</v>
      </c>
      <c r="EB279" s="16">
        <f>IFERROR(__xludf.DUMMYFUNCTION("""COMPUTED_VALUE"""),1.0)</f>
        <v>1</v>
      </c>
      <c r="EC279" s="16"/>
      <c r="ED279" s="16"/>
      <c r="EE279" s="16"/>
      <c r="EF279" s="16"/>
      <c r="EG279" s="179"/>
      <c r="EH279" s="179">
        <f>IFERROR(__xludf.DUMMYFUNCTION("""COMPUTED_VALUE"""),-12.0)</f>
        <v>-12</v>
      </c>
      <c r="EI279" s="179">
        <f>IFERROR(__xludf.DUMMYFUNCTION("""COMPUTED_VALUE"""),-7.0)</f>
        <v>-7</v>
      </c>
      <c r="EJ279" s="179">
        <f>IFERROR(__xludf.DUMMYFUNCTION("""COMPUTED_VALUE"""),-7.0)</f>
        <v>-7</v>
      </c>
      <c r="EK279" s="179"/>
      <c r="EL279" s="179"/>
      <c r="EM279" s="179"/>
      <c r="EN279" s="179"/>
      <c r="EO279" s="16"/>
      <c r="EP279" s="16"/>
      <c r="EQ279" s="16">
        <f>IFERROR(__xludf.DUMMYFUNCTION("""COMPUTED_VALUE"""),4.0)</f>
        <v>4</v>
      </c>
      <c r="ER279" s="16">
        <f>IFERROR(__xludf.DUMMYFUNCTION("""COMPUTED_VALUE"""),0.0)</f>
        <v>0</v>
      </c>
      <c r="ES279" s="16"/>
      <c r="ET279" s="16"/>
      <c r="EU279" s="16"/>
      <c r="EV279" s="16"/>
      <c r="EW279" s="16"/>
      <c r="EX279" s="180"/>
      <c r="EY279" s="180">
        <f>IFERROR(__xludf.DUMMYFUNCTION("""COMPUTED_VALUE"""),0.4)</f>
        <v>0.4</v>
      </c>
      <c r="EZ279" s="180">
        <f>IFERROR(__xludf.DUMMYFUNCTION("""COMPUTED_VALUE"""),0.3)</f>
        <v>0.3</v>
      </c>
      <c r="FA279" s="180">
        <f>IFERROR(__xludf.DUMMYFUNCTION("""COMPUTED_VALUE"""),0.3)</f>
        <v>0.3</v>
      </c>
      <c r="FB279" s="180"/>
      <c r="FC279" s="180"/>
      <c r="FD279" s="180"/>
      <c r="FE279" s="180"/>
      <c r="FF279" s="180"/>
      <c r="FG279" s="180">
        <f>IFERROR(__xludf.DUMMYFUNCTION("""COMPUTED_VALUE"""),0.44907407407407407)</f>
        <v>0.4490740741</v>
      </c>
      <c r="FH279" s="180">
        <f>IFERROR(__xludf.DUMMYFUNCTION("""COMPUTED_VALUE"""),0.046296296296296294)</f>
        <v>0.0462962963</v>
      </c>
      <c r="FI279" s="180">
        <f>IFERROR(__xludf.DUMMYFUNCTION("""COMPUTED_VALUE"""),0.1574074074074074)</f>
        <v>0.1574074074</v>
      </c>
      <c r="FJ279" s="180"/>
      <c r="FK279" s="180"/>
      <c r="FL279" s="180"/>
      <c r="FM279" s="180"/>
      <c r="FN279" s="16"/>
      <c r="FO279" s="16">
        <f>IFERROR(__xludf.DUMMYFUNCTION("""COMPUTED_VALUE"""),0.33055555555555555)</f>
        <v>0.3305555556</v>
      </c>
      <c r="FP279" s="16">
        <f>IFERROR(__xludf.DUMMYFUNCTION("""COMPUTED_VALUE"""),0.6675925925925925)</f>
        <v>0.6675925926</v>
      </c>
      <c r="FQ279" s="16">
        <f>IFERROR(__xludf.DUMMYFUNCTION("""COMPUTED_VALUE"""),0.5898148148148148)</f>
        <v>0.5898148148</v>
      </c>
      <c r="FR279" s="16"/>
      <c r="FS279" s="16"/>
      <c r="FT279" s="16"/>
      <c r="FU279" s="16"/>
      <c r="FV279" s="16"/>
      <c r="FW279" s="16">
        <f>IFERROR(__xludf.DUMMYFUNCTION("""COMPUTED_VALUE"""),-8.0)</f>
        <v>-8</v>
      </c>
      <c r="FX279" s="16">
        <f>IFERROR(__xludf.DUMMYFUNCTION("""COMPUTED_VALUE"""),-4.0)</f>
        <v>-4</v>
      </c>
      <c r="FY279" s="16">
        <f>IFERROR(__xludf.DUMMYFUNCTION("""COMPUTED_VALUE"""),-6.0)</f>
        <v>-6</v>
      </c>
      <c r="FZ279" s="16"/>
      <c r="GA279" s="16"/>
      <c r="GB279" s="16"/>
      <c r="GC279" s="16"/>
      <c r="GD279" s="16" t="s">
        <v>176</v>
      </c>
    </row>
    <row r="280">
      <c r="A280" s="16">
        <f>IFERROR(__xludf.DUMMYFUNCTION("""COMPUTED_VALUE"""),12909.0)</f>
        <v>12909</v>
      </c>
      <c r="B280" s="16" t="str">
        <f>IFERROR(__xludf.DUMMYFUNCTION("""COMPUTED_VALUE"""),"Jake Cave")</f>
        <v>Jake Cave</v>
      </c>
      <c r="C280" s="16">
        <f>IFERROR(__xludf.DUMMYFUNCTION("""COMPUTED_VALUE"""),0.0)</f>
        <v>0</v>
      </c>
      <c r="D280" s="16" t="str">
        <f>IFERROR(__xludf.DUMMYFUNCTION("""COMPUTED_VALUE"""),"L")</f>
        <v>L</v>
      </c>
      <c r="E280" s="16"/>
      <c r="F280" s="16"/>
      <c r="G280" s="16">
        <f>IFERROR(__xludf.DUMMYFUNCTION("""COMPUTED_VALUE"""),323.0)</f>
        <v>323</v>
      </c>
      <c r="H280" s="16">
        <f>IFERROR(__xludf.DUMMYFUNCTION("""COMPUTED_VALUE"""),18.0)</f>
        <v>18</v>
      </c>
      <c r="I280" s="16" t="str">
        <f>IFERROR(__xludf.DUMMYFUNCTION("""COMPUTED_VALUE"""),"1p60")</f>
        <v>1p60</v>
      </c>
      <c r="J280" s="16">
        <f>IFERROR(__xludf.DUMMYFUNCTION("""COMPUTED_VALUE"""),55.0)</f>
        <v>55</v>
      </c>
      <c r="K280" s="16">
        <f>IFERROR(__xludf.DUMMYFUNCTION("""COMPUTED_VALUE"""),34.0)</f>
        <v>34</v>
      </c>
      <c r="L280" s="16">
        <f>IFERROR(__xludf.DUMMYFUNCTION("""COMPUTED_VALUE"""),-2.0)</f>
        <v>-2</v>
      </c>
      <c r="M280" s="16">
        <f>IFERROR(__xludf.DUMMYFUNCTION("""COMPUTED_VALUE"""),-1.0)</f>
        <v>-1</v>
      </c>
      <c r="N280" s="16">
        <f>IFERROR(__xludf.DUMMYFUNCTION("""COMPUTED_VALUE"""),-2.0)</f>
        <v>-2</v>
      </c>
      <c r="O280" s="16">
        <f>IFERROR(__xludf.DUMMYFUNCTION("""COMPUTED_VALUE"""),-1.0)</f>
        <v>-1</v>
      </c>
      <c r="P280" s="16">
        <f>IFERROR(__xludf.DUMMYFUNCTION("""COMPUTED_VALUE"""),0.0)</f>
        <v>0</v>
      </c>
      <c r="Q280" s="16">
        <f>IFERROR(__xludf.DUMMYFUNCTION("""COMPUTED_VALUE"""),2.0)</f>
        <v>2</v>
      </c>
      <c r="R280" s="16">
        <f>IFERROR(__xludf.DUMMYFUNCTION("""COMPUTED_VALUE"""),-3.0)</f>
        <v>-3</v>
      </c>
      <c r="S280" s="16">
        <f>IFERROR(__xludf.DUMMYFUNCTION("""COMPUTED_VALUE"""),-2.0)</f>
        <v>-2</v>
      </c>
      <c r="T280" s="16">
        <f>IFERROR(__xludf.DUMMYFUNCTION("""COMPUTED_VALUE"""),-3.0)</f>
        <v>-3</v>
      </c>
      <c r="U280" s="16">
        <f>IFERROR(__xludf.DUMMYFUNCTION("""COMPUTED_VALUE"""),-2.0)</f>
        <v>-2</v>
      </c>
      <c r="V280" s="16">
        <f>IFERROR(__xludf.DUMMYFUNCTION("""COMPUTED_VALUE"""),0.0)</f>
        <v>0</v>
      </c>
      <c r="W280" s="16">
        <f>IFERROR(__xludf.DUMMYFUNCTION("""COMPUTED_VALUE"""),27.0)</f>
        <v>27</v>
      </c>
      <c r="X280" s="16">
        <f>IFERROR(__xludf.DUMMYFUNCTION("""COMPUTED_VALUE"""),-2.0)</f>
        <v>-2</v>
      </c>
      <c r="Y280" s="16">
        <f>IFERROR(__xludf.DUMMYFUNCTION("""COMPUTED_VALUE"""),1.0)</f>
        <v>1</v>
      </c>
      <c r="Z280" s="16">
        <f>IFERROR(__xludf.DUMMYFUNCTION("""COMPUTED_VALUE"""),-4.0)</f>
        <v>-4</v>
      </c>
      <c r="AA280" s="16">
        <f>IFERROR(__xludf.DUMMYFUNCTION("""COMPUTED_VALUE"""),2.0)</f>
        <v>2</v>
      </c>
      <c r="AB280" s="16">
        <f>IFERROR(__xludf.DUMMYFUNCTION("""COMPUTED_VALUE"""),1.0)</f>
        <v>1</v>
      </c>
      <c r="AC280" s="16">
        <f>IFERROR(__xludf.DUMMYFUNCTION("""COMPUTED_VALUE"""),30.0)</f>
        <v>30</v>
      </c>
      <c r="AD280" s="16">
        <f>IFERROR(__xludf.DUMMYFUNCTION("""COMPUTED_VALUE"""),-3.0)</f>
        <v>-3</v>
      </c>
      <c r="AE280" s="16">
        <f>IFERROR(__xludf.DUMMYFUNCTION("""COMPUTED_VALUE"""),0.0)</f>
        <v>0</v>
      </c>
      <c r="AF280" s="16">
        <f>IFERROR(__xludf.DUMMYFUNCTION("""COMPUTED_VALUE"""),-15.0)</f>
        <v>-15</v>
      </c>
      <c r="AG280" s="16">
        <f>IFERROR(__xludf.DUMMYFUNCTION("""COMPUTED_VALUE"""),0.0)</f>
        <v>0</v>
      </c>
      <c r="AH280" s="16">
        <f>IFERROR(__xludf.DUMMYFUNCTION("""COMPUTED_VALUE"""),0.0)</f>
        <v>0</v>
      </c>
      <c r="AI280" s="16">
        <f>IFERROR(__xludf.DUMMYFUNCTION("""COMPUTED_VALUE"""),43.0)</f>
        <v>43</v>
      </c>
      <c r="AJ280" s="16">
        <f>IFERROR(__xludf.DUMMYFUNCTION("""COMPUTED_VALUE"""),-2.0)</f>
        <v>-2</v>
      </c>
      <c r="AK280" s="16">
        <f>IFERROR(__xludf.DUMMYFUNCTION("""COMPUTED_VALUE"""),1.0)</f>
        <v>1</v>
      </c>
      <c r="AL280" s="16">
        <f>IFERROR(__xludf.DUMMYFUNCTION("""COMPUTED_VALUE"""),-10.0)</f>
        <v>-10</v>
      </c>
      <c r="AM280" s="16">
        <f>IFERROR(__xludf.DUMMYFUNCTION("""COMPUTED_VALUE"""),5.0)</f>
        <v>5</v>
      </c>
      <c r="AN280" s="16">
        <f>IFERROR(__xludf.DUMMYFUNCTION("""COMPUTED_VALUE"""),0.0)</f>
        <v>0</v>
      </c>
      <c r="AO280" s="16">
        <f>IFERROR(__xludf.DUMMYFUNCTION("""COMPUTED_VALUE"""),1.3)</f>
        <v>1.3</v>
      </c>
      <c r="AP280" s="16">
        <f>IFERROR(__xludf.DUMMYFUNCTION("""COMPUTED_VALUE"""),-2.0)</f>
        <v>-2</v>
      </c>
      <c r="AQ280" s="16">
        <f>IFERROR(__xludf.DUMMYFUNCTION("""COMPUTED_VALUE"""),-1.0)</f>
        <v>-1</v>
      </c>
      <c r="AR280" s="16">
        <f>IFERROR(__xludf.DUMMYFUNCTION("""COMPUTED_VALUE"""),-4.0)</f>
        <v>-4</v>
      </c>
      <c r="AS280" s="16">
        <f>IFERROR(__xludf.DUMMYFUNCTION("""COMPUTED_VALUE"""),-2.0)</f>
        <v>-2</v>
      </c>
      <c r="AT280" s="16"/>
      <c r="AU280" s="16">
        <f>IFERROR(__xludf.DUMMYFUNCTION("""COMPUTED_VALUE"""),1.0)</f>
        <v>1</v>
      </c>
      <c r="AV280" s="16">
        <f>IFERROR(__xludf.DUMMYFUNCTION("""COMPUTED_VALUE"""),-3.0)</f>
        <v>-3</v>
      </c>
      <c r="AW280" s="16">
        <f>IFERROR(__xludf.DUMMYFUNCTION("""COMPUTED_VALUE"""),1.0)</f>
        <v>1</v>
      </c>
      <c r="AX280" s="16">
        <f>IFERROR(__xludf.DUMMYFUNCTION("""COMPUTED_VALUE"""),-3.0)</f>
        <v>-3</v>
      </c>
      <c r="AY280" s="16">
        <f>IFERROR(__xludf.DUMMYFUNCTION("""COMPUTED_VALUE"""),-1.0)</f>
        <v>-1</v>
      </c>
      <c r="AZ280" s="16">
        <f>IFERROR(__xludf.DUMMYFUNCTION("""COMPUTED_VALUE"""),-9.0)</f>
        <v>-9</v>
      </c>
      <c r="BA280" s="16">
        <f>IFERROR(__xludf.DUMMYFUNCTION("""COMPUTED_VALUE"""),-3.0)</f>
        <v>-3</v>
      </c>
      <c r="BB280" s="16">
        <f>IFERROR(__xludf.DUMMYFUNCTION("""COMPUTED_VALUE"""),0.0)</f>
        <v>0</v>
      </c>
      <c r="BC280" s="16">
        <f>IFERROR(__xludf.DUMMYFUNCTION("""COMPUTED_VALUE"""),5.0)</f>
        <v>5</v>
      </c>
      <c r="BD280" s="16">
        <f>IFERROR(__xludf.DUMMYFUNCTION("""COMPUTED_VALUE"""),0.0)</f>
        <v>0</v>
      </c>
      <c r="BE280" s="16">
        <f>IFERROR(__xludf.DUMMYFUNCTION("""COMPUTED_VALUE"""),1.0)</f>
        <v>1</v>
      </c>
      <c r="BF280" s="16">
        <f>IFERROR(__xludf.DUMMYFUNCTION("""COMPUTED_VALUE"""),0.0)</f>
        <v>0</v>
      </c>
      <c r="BG280" s="16">
        <f>IFERROR(__xludf.DUMMYFUNCTION("""COMPUTED_VALUE"""),1.0)</f>
        <v>1</v>
      </c>
      <c r="BH280" s="16">
        <f>IFERROR(__xludf.DUMMYFUNCTION("""COMPUTED_VALUE"""),0.0)</f>
        <v>0</v>
      </c>
      <c r="BI280" s="16">
        <f>IFERROR(__xludf.DUMMYFUNCTION("""COMPUTED_VALUE"""),-5.0)</f>
        <v>-5</v>
      </c>
      <c r="BJ280" s="16">
        <f>IFERROR(__xludf.DUMMYFUNCTION("""COMPUTED_VALUE"""),16.0)</f>
        <v>16</v>
      </c>
      <c r="BK280" s="16">
        <f>IFERROR(__xludf.DUMMYFUNCTION("""COMPUTED_VALUE"""),15.0)</f>
        <v>15</v>
      </c>
      <c r="BL280" s="16">
        <f>IFERROR(__xludf.DUMMYFUNCTION("""COMPUTED_VALUE"""),-1.0)</f>
        <v>-1</v>
      </c>
      <c r="BM280" s="16">
        <f>IFERROR(__xludf.DUMMYFUNCTION("""COMPUTED_VALUE"""),-1.0)</f>
        <v>-1</v>
      </c>
      <c r="BN280" s="16">
        <f>IFERROR(__xludf.DUMMYFUNCTION("""COMPUTED_VALUE"""),-2.0)</f>
        <v>-2</v>
      </c>
      <c r="BO280" s="16">
        <f>IFERROR(__xludf.DUMMYFUNCTION("""COMPUTED_VALUE"""),-2.0)</f>
        <v>-2</v>
      </c>
      <c r="BP280" s="16">
        <f>IFERROR(__xludf.DUMMYFUNCTION("""COMPUTED_VALUE"""),-18.0)</f>
        <v>-18</v>
      </c>
      <c r="BQ280" s="16">
        <f>IFERROR(__xludf.DUMMYFUNCTION("""COMPUTED_VALUE"""),-3.0)</f>
        <v>-3</v>
      </c>
      <c r="BR280" s="16">
        <f>IFERROR(__xludf.DUMMYFUNCTION("""COMPUTED_VALUE"""),-21.0)</f>
        <v>-21</v>
      </c>
      <c r="BS280" s="16" t="str">
        <f>IFERROR(__xludf.DUMMYFUNCTION("""COMPUTED_VALUE"""),"*4,5/- (16-6)")</f>
        <v>*4,5/- (16-6)</v>
      </c>
      <c r="BT280" s="16" t="str">
        <f>IFERROR(__xludf.DUMMYFUNCTION("""COMPUTED_VALUE"""),"C")</f>
        <v>C</v>
      </c>
      <c r="BU280" s="16">
        <f>IFERROR(__xludf.DUMMYFUNCTION("""COMPUTED_VALUE"""),13.0)</f>
        <v>13</v>
      </c>
      <c r="BV280" s="16">
        <f>IFERROR(__xludf.DUMMYFUNCTION("""COMPUTED_VALUE"""),0.0)</f>
        <v>0</v>
      </c>
      <c r="BW280" s="16">
        <f>IFERROR(__xludf.DUMMYFUNCTION("""COMPUTED_VALUE"""),1.0)</f>
        <v>1</v>
      </c>
      <c r="BX280" s="16">
        <f>IFERROR(__xludf.DUMMYFUNCTION("""COMPUTED_VALUE"""),0.0)</f>
        <v>0</v>
      </c>
      <c r="BY280" s="16">
        <f>IFERROR(__xludf.DUMMYFUNCTION("""COMPUTED_VALUE"""),3.0)</f>
        <v>3</v>
      </c>
      <c r="BZ280" s="16" t="str">
        <f>IFERROR(__xludf.DUMMYFUNCTION("""COMPUTED_VALUE"""),"D")</f>
        <v>D</v>
      </c>
      <c r="CA280" s="16" t="str">
        <f>IFERROR(__xludf.DUMMYFUNCTION("""COMPUTED_VALUE"""),"C")</f>
        <v>C</v>
      </c>
      <c r="CB280" s="16">
        <f>IFERROR(__xludf.DUMMYFUNCTION("""COMPUTED_VALUE"""),0.0)</f>
        <v>0</v>
      </c>
      <c r="CC280" s="16">
        <f>IFERROR(__xludf.DUMMYFUNCTION("""COMPUTED_VALUE"""),0.0)</f>
        <v>0</v>
      </c>
      <c r="CD280" s="16">
        <f>IFERROR(__xludf.DUMMYFUNCTION("""COMPUTED_VALUE"""),0.0)</f>
        <v>0</v>
      </c>
      <c r="CE280" s="16">
        <f>IFERROR(__xludf.DUMMYFUNCTION("""COMPUTED_VALUE"""),0.0)</f>
        <v>0</v>
      </c>
      <c r="CF280" s="16">
        <f>IFERROR(__xludf.DUMMYFUNCTION("""COMPUTED_VALUE"""),1.0)</f>
        <v>1</v>
      </c>
      <c r="CG280" s="16">
        <f>IFERROR(__xludf.DUMMYFUNCTION("""COMPUTED_VALUE"""),-49.0)</f>
        <v>-49</v>
      </c>
      <c r="CH280" s="16">
        <f>IFERROR(__xludf.DUMMYFUNCTION("""COMPUTED_VALUE"""),-2.0)</f>
        <v>-2</v>
      </c>
      <c r="CI280" s="179">
        <f>IFERROR(__xludf.DUMMYFUNCTION("""COMPUTED_VALUE"""),-8.0)</f>
        <v>-8</v>
      </c>
      <c r="CJ280" s="16"/>
      <c r="CK280" s="16"/>
      <c r="CL280" s="16"/>
      <c r="CM280" s="16"/>
      <c r="CN280" s="16"/>
      <c r="CO280" s="16">
        <f>IFERROR(__xludf.DUMMYFUNCTION("""COMPUTED_VALUE"""),302.0)</f>
        <v>302</v>
      </c>
      <c r="CP280" s="16">
        <f>IFERROR(__xludf.DUMMYFUNCTION("""COMPUTED_VALUE"""),402.0)</f>
        <v>402</v>
      </c>
      <c r="CQ280" s="16">
        <f>IFERROR(__xludf.DUMMYFUNCTION("""COMPUTED_VALUE"""),302.0)</f>
        <v>302</v>
      </c>
      <c r="CR280" s="16" t="str">
        <f>IFERROR(__xludf.DUMMYFUNCTION("""COMPUTED_VALUE"""),"rf-3(-1)e2 lf-3e2 cf-4e2")</f>
        <v>rf-3(-1)e2 lf-3e2 cf-4e2</v>
      </c>
      <c r="CS280" s="16"/>
      <c r="CT280" s="16"/>
      <c r="CU280" s="16"/>
      <c r="CV280" s="16"/>
      <c r="CW280" s="16"/>
      <c r="CX280" s="16">
        <f>IFERROR(__xludf.DUMMYFUNCTION("""COMPUTED_VALUE"""),3.0)</f>
        <v>3</v>
      </c>
      <c r="CY280" s="16">
        <f>IFERROR(__xludf.DUMMYFUNCTION("""COMPUTED_VALUE"""),4.0)</f>
        <v>4</v>
      </c>
      <c r="CZ280" s="16">
        <f>IFERROR(__xludf.DUMMYFUNCTION("""COMPUTED_VALUE"""),3.0)</f>
        <v>3</v>
      </c>
      <c r="DA280" s="16"/>
      <c r="DB280" s="16"/>
      <c r="DC280" s="16"/>
      <c r="DD280" s="16"/>
      <c r="DE280" s="16"/>
      <c r="DF280" s="16">
        <f>IFERROR(__xludf.DUMMYFUNCTION("""COMPUTED_VALUE"""),2.0)</f>
        <v>2</v>
      </c>
      <c r="DG280" s="16">
        <f>IFERROR(__xludf.DUMMYFUNCTION("""COMPUTED_VALUE"""),2.0)</f>
        <v>2</v>
      </c>
      <c r="DH280" s="16">
        <f>IFERROR(__xludf.DUMMYFUNCTION("""COMPUTED_VALUE"""),2.0)</f>
        <v>2</v>
      </c>
      <c r="DI280" s="16"/>
      <c r="DJ280" s="16"/>
      <c r="DK280" s="16"/>
      <c r="DL280" s="16"/>
      <c r="DM280" s="16"/>
      <c r="DN280" s="16">
        <f>IFERROR(__xludf.DUMMYFUNCTION("""COMPUTED_VALUE"""),0.0)</f>
        <v>0</v>
      </c>
      <c r="DO280" s="16">
        <f>IFERROR(__xludf.DUMMYFUNCTION("""COMPUTED_VALUE"""),-2.0)</f>
        <v>-2</v>
      </c>
      <c r="DP280" s="16">
        <f>IFERROR(__xludf.DUMMYFUNCTION("""COMPUTED_VALUE"""),0.0)</f>
        <v>0</v>
      </c>
      <c r="DQ280" s="16"/>
      <c r="DR280" s="16"/>
      <c r="DS280" s="16"/>
      <c r="DT280" s="16"/>
      <c r="DU280" s="16"/>
      <c r="DV280" s="16">
        <f>IFERROR(__xludf.DUMMYFUNCTION("""COMPUTED_VALUE"""),4.0)</f>
        <v>4</v>
      </c>
      <c r="DW280" s="16">
        <f>IFERROR(__xludf.DUMMYFUNCTION("""COMPUTED_VALUE"""),4.0)</f>
        <v>4</v>
      </c>
      <c r="DX280" s="16">
        <f>IFERROR(__xludf.DUMMYFUNCTION("""COMPUTED_VALUE"""),4.0)</f>
        <v>4</v>
      </c>
      <c r="DY280" s="16"/>
      <c r="DZ280" s="16"/>
      <c r="EA280" s="16"/>
      <c r="EB280" s="16"/>
      <c r="EC280" s="16"/>
      <c r="ED280" s="16">
        <f>IFERROR(__xludf.DUMMYFUNCTION("""COMPUTED_VALUE"""),4.0)</f>
        <v>4</v>
      </c>
      <c r="EE280" s="16">
        <f>IFERROR(__xludf.DUMMYFUNCTION("""COMPUTED_VALUE"""),2.0)</f>
        <v>2</v>
      </c>
      <c r="EF280" s="16">
        <f>IFERROR(__xludf.DUMMYFUNCTION("""COMPUTED_VALUE"""),4.0)</f>
        <v>4</v>
      </c>
      <c r="EG280" s="179"/>
      <c r="EH280" s="179"/>
      <c r="EI280" s="179"/>
      <c r="EJ280" s="179"/>
      <c r="EK280" s="179"/>
      <c r="EL280" s="179">
        <f>IFERROR(__xludf.DUMMYFUNCTION("""COMPUTED_VALUE"""),-4.0)</f>
        <v>-4</v>
      </c>
      <c r="EM280" s="179">
        <f>IFERROR(__xludf.DUMMYFUNCTION("""COMPUTED_VALUE"""),-6.0)</f>
        <v>-6</v>
      </c>
      <c r="EN280" s="179">
        <f>IFERROR(__xludf.DUMMYFUNCTION("""COMPUTED_VALUE"""),-4.0)</f>
        <v>-4</v>
      </c>
      <c r="EO280" s="16"/>
      <c r="EP280" s="16"/>
      <c r="EQ280" s="16">
        <f>IFERROR(__xludf.DUMMYFUNCTION("""COMPUTED_VALUE"""),4.0)</f>
        <v>4</v>
      </c>
      <c r="ER280" s="16">
        <f>IFERROR(__xludf.DUMMYFUNCTION("""COMPUTED_VALUE"""),1.0)</f>
        <v>1</v>
      </c>
      <c r="ES280" s="16"/>
      <c r="ET280" s="16"/>
      <c r="EU280" s="16"/>
      <c r="EV280" s="16"/>
      <c r="EW280" s="16"/>
      <c r="EX280" s="180"/>
      <c r="EY280" s="180"/>
      <c r="EZ280" s="180"/>
      <c r="FA280" s="180"/>
      <c r="FB280" s="180"/>
      <c r="FC280" s="180">
        <f>IFERROR(__xludf.DUMMYFUNCTION("""COMPUTED_VALUE"""),0.3)</f>
        <v>0.3</v>
      </c>
      <c r="FD280" s="180">
        <f>IFERROR(__xludf.DUMMYFUNCTION("""COMPUTED_VALUE"""),0.55)</f>
        <v>0.55</v>
      </c>
      <c r="FE280" s="180">
        <f>IFERROR(__xludf.DUMMYFUNCTION("""COMPUTED_VALUE"""),0.3)</f>
        <v>0.3</v>
      </c>
      <c r="FF280" s="180"/>
      <c r="FG280" s="180"/>
      <c r="FH280" s="180"/>
      <c r="FI280" s="180"/>
      <c r="FJ280" s="180"/>
      <c r="FK280" s="180">
        <f>IFERROR(__xludf.DUMMYFUNCTION("""COMPUTED_VALUE"""),0.037)</f>
        <v>0.037</v>
      </c>
      <c r="FL280" s="180">
        <f>IFERROR(__xludf.DUMMYFUNCTION("""COMPUTED_VALUE"""),0.023148148148148147)</f>
        <v>0.02314814815</v>
      </c>
      <c r="FM280" s="180">
        <f>IFERROR(__xludf.DUMMYFUNCTION("""COMPUTED_VALUE"""),0.037)</f>
        <v>0.037</v>
      </c>
      <c r="FN280" s="16"/>
      <c r="FO280" s="16"/>
      <c r="FP280" s="16"/>
      <c r="FQ280" s="16"/>
      <c r="FR280" s="16"/>
      <c r="FS280" s="16">
        <f>IFERROR(__xludf.DUMMYFUNCTION("""COMPUTED_VALUE"""),0.6740999999999999)</f>
        <v>0.6741</v>
      </c>
      <c r="FT280" s="16">
        <f>IFERROR(__xludf.DUMMYFUNCTION("""COMPUTED_VALUE"""),0.43958333333333327)</f>
        <v>0.4395833333</v>
      </c>
      <c r="FU280" s="16">
        <f>IFERROR(__xludf.DUMMYFUNCTION("""COMPUTED_VALUE"""),0.6740999999999999)</f>
        <v>0.6741</v>
      </c>
      <c r="FV280" s="16"/>
      <c r="FW280" s="16"/>
      <c r="FX280" s="16"/>
      <c r="FY280" s="16"/>
      <c r="FZ280" s="16"/>
      <c r="GA280" s="16">
        <f>IFERROR(__xludf.DUMMYFUNCTION("""COMPUTED_VALUE"""),-4.0)</f>
        <v>-4</v>
      </c>
      <c r="GB280" s="16">
        <f>IFERROR(__xludf.DUMMYFUNCTION("""COMPUTED_VALUE"""),-8.0)</f>
        <v>-8</v>
      </c>
      <c r="GC280" s="16">
        <f>IFERROR(__xludf.DUMMYFUNCTION("""COMPUTED_VALUE"""),-4.0)</f>
        <v>-4</v>
      </c>
      <c r="GD280" s="16" t="s">
        <v>245</v>
      </c>
    </row>
    <row r="281">
      <c r="A281" s="16">
        <f>IFERROR(__xludf.DUMMYFUNCTION("""COMPUTED_VALUE"""),12583.0)</f>
        <v>12583</v>
      </c>
      <c r="B281" s="16" t="str">
        <f>IFERROR(__xludf.DUMMYFUNCTION("""COMPUTED_VALUE"""),"Bligh Madris")</f>
        <v>Bligh Madris</v>
      </c>
      <c r="C281" s="16">
        <f>IFERROR(__xludf.DUMMYFUNCTION("""COMPUTED_VALUE"""),0.46)</f>
        <v>0.46</v>
      </c>
      <c r="D281" s="16" t="str">
        <f>IFERROR(__xludf.DUMMYFUNCTION("""COMPUTED_VALUE"""),"L")</f>
        <v>L</v>
      </c>
      <c r="E281" s="16"/>
      <c r="F281" s="16"/>
      <c r="G281" s="16">
        <f>IFERROR(__xludf.DUMMYFUNCTION("""COMPUTED_VALUE"""),67.0)</f>
        <v>67</v>
      </c>
      <c r="H281" s="16">
        <f>IFERROR(__xludf.DUMMYFUNCTION("""COMPUTED_VALUE"""),6.0)</f>
        <v>6</v>
      </c>
      <c r="I281" s="16" t="str">
        <f>IFERROR(__xludf.DUMMYFUNCTION("""COMPUTED_VALUE"""),"1p20")</f>
        <v>1p20</v>
      </c>
      <c r="J281" s="16">
        <f>IFERROR(__xludf.DUMMYFUNCTION("""COMPUTED_VALUE"""),0.0)</f>
        <v>0</v>
      </c>
      <c r="K281" s="16">
        <f>IFERROR(__xludf.DUMMYFUNCTION("""COMPUTED_VALUE"""),36.0)</f>
        <v>36</v>
      </c>
      <c r="L281" s="16">
        <f>IFERROR(__xludf.DUMMYFUNCTION("""COMPUTED_VALUE"""),3.0)</f>
        <v>3</v>
      </c>
      <c r="M281" s="16">
        <f>IFERROR(__xludf.DUMMYFUNCTION("""COMPUTED_VALUE"""),-1.0)</f>
        <v>-1</v>
      </c>
      <c r="N281" s="16">
        <f>IFERROR(__xludf.DUMMYFUNCTION("""COMPUTED_VALUE"""),3.0)</f>
        <v>3</v>
      </c>
      <c r="O281" s="16">
        <f>IFERROR(__xludf.DUMMYFUNCTION("""COMPUTED_VALUE"""),-1.0)</f>
        <v>-1</v>
      </c>
      <c r="P281" s="16">
        <f>IFERROR(__xludf.DUMMYFUNCTION("""COMPUTED_VALUE"""),0.0)</f>
        <v>0</v>
      </c>
      <c r="Q281" s="16">
        <f>IFERROR(__xludf.DUMMYFUNCTION("""COMPUTED_VALUE"""),8.0)</f>
        <v>8</v>
      </c>
      <c r="R281" s="16">
        <f>IFERROR(__xludf.DUMMYFUNCTION("""COMPUTED_VALUE"""),-3.0)</f>
        <v>-3</v>
      </c>
      <c r="S281" s="16">
        <f>IFERROR(__xludf.DUMMYFUNCTION("""COMPUTED_VALUE"""),0.0)</f>
        <v>0</v>
      </c>
      <c r="T281" s="16">
        <f>IFERROR(__xludf.DUMMYFUNCTION("""COMPUTED_VALUE"""),-3.0)</f>
        <v>-3</v>
      </c>
      <c r="U281" s="16">
        <f>IFERROR(__xludf.DUMMYFUNCTION("""COMPUTED_VALUE"""),0.0)</f>
        <v>0</v>
      </c>
      <c r="V281" s="16">
        <f>IFERROR(__xludf.DUMMYFUNCTION("""COMPUTED_VALUE"""),0.0)</f>
        <v>0</v>
      </c>
      <c r="W281" s="16">
        <f>IFERROR(__xludf.DUMMYFUNCTION("""COMPUTED_VALUE"""),26.5)</f>
        <v>26.5</v>
      </c>
      <c r="X281" s="16">
        <f>IFERROR(__xludf.DUMMYFUNCTION("""COMPUTED_VALUE"""),-2.0)</f>
        <v>-2</v>
      </c>
      <c r="Y281" s="16">
        <f>IFERROR(__xludf.DUMMYFUNCTION("""COMPUTED_VALUE"""),1.0)</f>
        <v>1</v>
      </c>
      <c r="Z281" s="16">
        <f>IFERROR(__xludf.DUMMYFUNCTION("""COMPUTED_VALUE"""),-4.0)</f>
        <v>-4</v>
      </c>
      <c r="AA281" s="16">
        <f>IFERROR(__xludf.DUMMYFUNCTION("""COMPUTED_VALUE"""),2.0)</f>
        <v>2</v>
      </c>
      <c r="AB281" s="16">
        <f>IFERROR(__xludf.DUMMYFUNCTION("""COMPUTED_VALUE"""),0.0)</f>
        <v>0</v>
      </c>
      <c r="AC281" s="16">
        <f>IFERROR(__xludf.DUMMYFUNCTION("""COMPUTED_VALUE"""),34.5)</f>
        <v>34.5</v>
      </c>
      <c r="AD281" s="16">
        <f>IFERROR(__xludf.DUMMYFUNCTION("""COMPUTED_VALUE"""),-3.0)</f>
        <v>-3</v>
      </c>
      <c r="AE281" s="16">
        <f>IFERROR(__xludf.DUMMYFUNCTION("""COMPUTED_VALUE"""),0.0)</f>
        <v>0</v>
      </c>
      <c r="AF281" s="16">
        <f>IFERROR(__xludf.DUMMYFUNCTION("""COMPUTED_VALUE"""),-15.0)</f>
        <v>-15</v>
      </c>
      <c r="AG281" s="16">
        <f>IFERROR(__xludf.DUMMYFUNCTION("""COMPUTED_VALUE"""),0.0)</f>
        <v>0</v>
      </c>
      <c r="AH281" s="16">
        <f>IFERROR(__xludf.DUMMYFUNCTION("""COMPUTED_VALUE"""),0.0)</f>
        <v>0</v>
      </c>
      <c r="AI281" s="16">
        <f>IFERROR(__xludf.DUMMYFUNCTION("""COMPUTED_VALUE"""),39.0)</f>
        <v>39</v>
      </c>
      <c r="AJ281" s="16">
        <f>IFERROR(__xludf.DUMMYFUNCTION("""COMPUTED_VALUE"""),-2.0)</f>
        <v>-2</v>
      </c>
      <c r="AK281" s="16">
        <f>IFERROR(__xludf.DUMMYFUNCTION("""COMPUTED_VALUE"""),1.0)</f>
        <v>1</v>
      </c>
      <c r="AL281" s="16">
        <f>IFERROR(__xludf.DUMMYFUNCTION("""COMPUTED_VALUE"""),-10.0)</f>
        <v>-10</v>
      </c>
      <c r="AM281" s="16">
        <f>IFERROR(__xludf.DUMMYFUNCTION("""COMPUTED_VALUE"""),5.0)</f>
        <v>5</v>
      </c>
      <c r="AN281" s="16">
        <f>IFERROR(__xludf.DUMMYFUNCTION("""COMPUTED_VALUE"""),0.0)</f>
        <v>0</v>
      </c>
      <c r="AO281" s="16">
        <f>IFERROR(__xludf.DUMMYFUNCTION("""COMPUTED_VALUE"""),3.0)</f>
        <v>3</v>
      </c>
      <c r="AP281" s="16">
        <f>IFERROR(__xludf.DUMMYFUNCTION("""COMPUTED_VALUE"""),-2.0)</f>
        <v>-2</v>
      </c>
      <c r="AQ281" s="16">
        <f>IFERROR(__xludf.DUMMYFUNCTION("""COMPUTED_VALUE"""),1.0)</f>
        <v>1</v>
      </c>
      <c r="AR281" s="16">
        <f>IFERROR(__xludf.DUMMYFUNCTION("""COMPUTED_VALUE"""),-4.0)</f>
        <v>-4</v>
      </c>
      <c r="AS281" s="16">
        <f>IFERROR(__xludf.DUMMYFUNCTION("""COMPUTED_VALUE"""),2.0)</f>
        <v>2</v>
      </c>
      <c r="AT281" s="16"/>
      <c r="AU281" s="16"/>
      <c r="AV281" s="16">
        <f>IFERROR(__xludf.DUMMYFUNCTION("""COMPUTED_VALUE"""),-3.0)</f>
        <v>-3</v>
      </c>
      <c r="AW281" s="16">
        <f>IFERROR(__xludf.DUMMYFUNCTION("""COMPUTED_VALUE"""),-3.0)</f>
        <v>-3</v>
      </c>
      <c r="AX281" s="16">
        <f>IFERROR(__xludf.DUMMYFUNCTION("""COMPUTED_VALUE"""),-3.0)</f>
        <v>-3</v>
      </c>
      <c r="AY281" s="16">
        <f>IFERROR(__xludf.DUMMYFUNCTION("""COMPUTED_VALUE"""),-3.0)</f>
        <v>-3</v>
      </c>
      <c r="AZ281" s="16">
        <f>IFERROR(__xludf.DUMMYFUNCTION("""COMPUTED_VALUE"""),-9.0)</f>
        <v>-9</v>
      </c>
      <c r="BA281" s="16">
        <f>IFERROR(__xludf.DUMMYFUNCTION("""COMPUTED_VALUE"""),-9.0)</f>
        <v>-9</v>
      </c>
      <c r="BB281" s="16">
        <f>IFERROR(__xludf.DUMMYFUNCTION("""COMPUTED_VALUE"""),0.0)</f>
        <v>0</v>
      </c>
      <c r="BC281" s="16">
        <f>IFERROR(__xludf.DUMMYFUNCTION("""COMPUTED_VALUE"""),5.0)</f>
        <v>5</v>
      </c>
      <c r="BD281" s="16">
        <f>IFERROR(__xludf.DUMMYFUNCTION("""COMPUTED_VALUE"""),0.0)</f>
        <v>0</v>
      </c>
      <c r="BE281" s="16">
        <f>IFERROR(__xludf.DUMMYFUNCTION("""COMPUTED_VALUE"""),1.0)</f>
        <v>1</v>
      </c>
      <c r="BF281" s="16">
        <f>IFERROR(__xludf.DUMMYFUNCTION("""COMPUTED_VALUE"""),0.0)</f>
        <v>0</v>
      </c>
      <c r="BG281" s="16">
        <f>IFERROR(__xludf.DUMMYFUNCTION("""COMPUTED_VALUE"""),1.0)</f>
        <v>1</v>
      </c>
      <c r="BH281" s="16">
        <f>IFERROR(__xludf.DUMMYFUNCTION("""COMPUTED_VALUE"""),0.0)</f>
        <v>0</v>
      </c>
      <c r="BI281" s="16">
        <f>IFERROR(__xludf.DUMMYFUNCTION("""COMPUTED_VALUE"""),4.0)</f>
        <v>4</v>
      </c>
      <c r="BJ281" s="16">
        <f>IFERROR(__xludf.DUMMYFUNCTION("""COMPUTED_VALUE"""),0.0)</f>
        <v>0</v>
      </c>
      <c r="BK281" s="16">
        <f>IFERROR(__xludf.DUMMYFUNCTION("""COMPUTED_VALUE"""),0.0)</f>
        <v>0</v>
      </c>
      <c r="BL281" s="16">
        <f>IFERROR(__xludf.DUMMYFUNCTION("""COMPUTED_VALUE"""),3.0)</f>
        <v>3</v>
      </c>
      <c r="BM281" s="16">
        <f>IFERROR(__xludf.DUMMYFUNCTION("""COMPUTED_VALUE"""),3.0)</f>
        <v>3</v>
      </c>
      <c r="BN281" s="16">
        <f>IFERROR(__xludf.DUMMYFUNCTION("""COMPUTED_VALUE"""),3.0)</f>
        <v>3</v>
      </c>
      <c r="BO281" s="16">
        <f>IFERROR(__xludf.DUMMYFUNCTION("""COMPUTED_VALUE"""),3.0)</f>
        <v>3</v>
      </c>
      <c r="BP281" s="16">
        <f>IFERROR(__xludf.DUMMYFUNCTION("""COMPUTED_VALUE"""),-9.0)</f>
        <v>-9</v>
      </c>
      <c r="BQ281" s="16">
        <f>IFERROR(__xludf.DUMMYFUNCTION("""COMPUTED_VALUE"""),3.0)</f>
        <v>3</v>
      </c>
      <c r="BR281" s="16">
        <f>IFERROR(__xludf.DUMMYFUNCTION("""COMPUTED_VALUE"""),-6.0)</f>
        <v>-6</v>
      </c>
      <c r="BS281" s="16" t="str">
        <f>IFERROR(__xludf.DUMMYFUNCTION("""COMPUTED_VALUE"""),"-/- (---)")</f>
        <v>-/- (---)</v>
      </c>
      <c r="BT281" s="16" t="str">
        <f>IFERROR(__xludf.DUMMYFUNCTION("""COMPUTED_VALUE"""),"E")</f>
        <v>E</v>
      </c>
      <c r="BU281" s="16">
        <f>IFERROR(__xludf.DUMMYFUNCTION("""COMPUTED_VALUE"""),12.0)</f>
        <v>12</v>
      </c>
      <c r="BV281" s="16">
        <f>IFERROR(__xludf.DUMMYFUNCTION("""COMPUTED_VALUE"""),0.0)</f>
        <v>0</v>
      </c>
      <c r="BW281" s="16">
        <f>IFERROR(__xludf.DUMMYFUNCTION("""COMPUTED_VALUE"""),0.0)</f>
        <v>0</v>
      </c>
      <c r="BX281" s="16">
        <f>IFERROR(__xludf.DUMMYFUNCTION("""COMPUTED_VALUE"""),0.0)</f>
        <v>0</v>
      </c>
      <c r="BY281" s="16">
        <f>IFERROR(__xludf.DUMMYFUNCTION("""COMPUTED_VALUE"""),0.0)</f>
        <v>0</v>
      </c>
      <c r="BZ281" s="16" t="str">
        <f>IFERROR(__xludf.DUMMYFUNCTION("""COMPUTED_VALUE"""),"D")</f>
        <v>D</v>
      </c>
      <c r="CA281" s="16" t="str">
        <f>IFERROR(__xludf.DUMMYFUNCTION("""COMPUTED_VALUE"""),"D")</f>
        <v>D</v>
      </c>
      <c r="CB281" s="16">
        <f>IFERROR(__xludf.DUMMYFUNCTION("""COMPUTED_VALUE"""),0.0)</f>
        <v>0</v>
      </c>
      <c r="CC281" s="16">
        <f>IFERROR(__xludf.DUMMYFUNCTION("""COMPUTED_VALUE"""),0.0)</f>
        <v>0</v>
      </c>
      <c r="CD281" s="16">
        <f>IFERROR(__xludf.DUMMYFUNCTION("""COMPUTED_VALUE"""),0.0)</f>
        <v>0</v>
      </c>
      <c r="CE281" s="16">
        <f>IFERROR(__xludf.DUMMYFUNCTION("""COMPUTED_VALUE"""),0.0)</f>
        <v>0</v>
      </c>
      <c r="CF281" s="16">
        <f>IFERROR(__xludf.DUMMYFUNCTION("""COMPUTED_VALUE"""),1.0)</f>
        <v>1</v>
      </c>
      <c r="CG281" s="16">
        <f>IFERROR(__xludf.DUMMYFUNCTION("""COMPUTED_VALUE"""),-39.0)</f>
        <v>-39</v>
      </c>
      <c r="CH281" s="16">
        <f>IFERROR(__xludf.DUMMYFUNCTION("""COMPUTED_VALUE"""),3.0)</f>
        <v>3</v>
      </c>
      <c r="CI281" s="179">
        <f>IFERROR(__xludf.DUMMYFUNCTION("""COMPUTED_VALUE"""),-8.0)</f>
        <v>-8</v>
      </c>
      <c r="CJ281" s="16"/>
      <c r="CK281" s="16">
        <f>IFERROR(__xludf.DUMMYFUNCTION("""COMPUTED_VALUE"""),325.0)</f>
        <v>325</v>
      </c>
      <c r="CL281" s="16"/>
      <c r="CM281" s="16"/>
      <c r="CN281" s="16"/>
      <c r="CO281" s="16"/>
      <c r="CP281" s="16"/>
      <c r="CQ281" s="16">
        <f>IFERROR(__xludf.DUMMYFUNCTION("""COMPUTED_VALUE"""),425.0)</f>
        <v>425</v>
      </c>
      <c r="CR281" s="16" t="str">
        <f>IFERROR(__xludf.DUMMYFUNCTION("""COMPUTED_VALUE"""),"1b-3e25 rf-4(+2)e25")</f>
        <v>1b-3e25 rf-4(+2)e25</v>
      </c>
      <c r="CS281" s="16"/>
      <c r="CT281" s="16">
        <f>IFERROR(__xludf.DUMMYFUNCTION("""COMPUTED_VALUE"""),3.0)</f>
        <v>3</v>
      </c>
      <c r="CU281" s="16"/>
      <c r="CV281" s="16"/>
      <c r="CW281" s="16"/>
      <c r="CX281" s="16"/>
      <c r="CY281" s="16"/>
      <c r="CZ281" s="16">
        <f>IFERROR(__xludf.DUMMYFUNCTION("""COMPUTED_VALUE"""),4.0)</f>
        <v>4</v>
      </c>
      <c r="DA281" s="16"/>
      <c r="DB281" s="16">
        <f>IFERROR(__xludf.DUMMYFUNCTION("""COMPUTED_VALUE"""),25.0)</f>
        <v>25</v>
      </c>
      <c r="DC281" s="16"/>
      <c r="DD281" s="16"/>
      <c r="DE281" s="16"/>
      <c r="DF281" s="16"/>
      <c r="DG281" s="16"/>
      <c r="DH281" s="16">
        <f>IFERROR(__xludf.DUMMYFUNCTION("""COMPUTED_VALUE"""),25.0)</f>
        <v>25</v>
      </c>
      <c r="DI281" s="16"/>
      <c r="DJ281" s="16">
        <f>IFERROR(__xludf.DUMMYFUNCTION("""COMPUTED_VALUE"""),1.0)</f>
        <v>1</v>
      </c>
      <c r="DK281" s="16"/>
      <c r="DL281" s="16"/>
      <c r="DM281" s="16"/>
      <c r="DN281" s="16"/>
      <c r="DO281" s="16"/>
      <c r="DP281" s="16">
        <f>IFERROR(__xludf.DUMMYFUNCTION("""COMPUTED_VALUE"""),-1.0)</f>
        <v>-1</v>
      </c>
      <c r="DQ281" s="16"/>
      <c r="DR281" s="16">
        <f>IFERROR(__xludf.DUMMYFUNCTION("""COMPUTED_VALUE"""),-2.0)</f>
        <v>-2</v>
      </c>
      <c r="DS281" s="16"/>
      <c r="DT281" s="16"/>
      <c r="DU281" s="16"/>
      <c r="DV281" s="16"/>
      <c r="DW281" s="16"/>
      <c r="DX281" s="16">
        <f>IFERROR(__xludf.DUMMYFUNCTION("""COMPUTED_VALUE"""),-4.0)</f>
        <v>-4</v>
      </c>
      <c r="DY281" s="16"/>
      <c r="DZ281" s="16">
        <f>IFERROR(__xludf.DUMMYFUNCTION("""COMPUTED_VALUE"""),-1.0)</f>
        <v>-1</v>
      </c>
      <c r="EA281" s="16"/>
      <c r="EB281" s="16"/>
      <c r="EC281" s="16"/>
      <c r="ED281" s="16"/>
      <c r="EE281" s="16"/>
      <c r="EF281" s="16">
        <f>IFERROR(__xludf.DUMMYFUNCTION("""COMPUTED_VALUE"""),-5.0)</f>
        <v>-5</v>
      </c>
      <c r="EG281" s="179"/>
      <c r="EH281" s="179">
        <f>IFERROR(__xludf.DUMMYFUNCTION("""COMPUTED_VALUE"""),-9.0)</f>
        <v>-9</v>
      </c>
      <c r="EI281" s="179"/>
      <c r="EJ281" s="179"/>
      <c r="EK281" s="179"/>
      <c r="EL281" s="179"/>
      <c r="EM281" s="179"/>
      <c r="EN281" s="179">
        <f>IFERROR(__xludf.DUMMYFUNCTION("""COMPUTED_VALUE"""),-13.0)</f>
        <v>-13</v>
      </c>
      <c r="EO281" s="16"/>
      <c r="EP281" s="16">
        <f>IFERROR(__xludf.DUMMYFUNCTION("""COMPUTED_VALUE"""),-2.0)</f>
        <v>-2</v>
      </c>
      <c r="EQ281" s="16">
        <f>IFERROR(__xludf.DUMMYFUNCTION("""COMPUTED_VALUE"""),4.0)</f>
        <v>4</v>
      </c>
      <c r="ER281" s="16">
        <f>IFERROR(__xludf.DUMMYFUNCTION("""COMPUTED_VALUE"""),-4.0)</f>
        <v>-4</v>
      </c>
      <c r="ES281" s="16"/>
      <c r="ET281" s="16"/>
      <c r="EU281" s="16"/>
      <c r="EV281" s="16"/>
      <c r="EW281" s="16"/>
      <c r="EX281" s="180"/>
      <c r="EY281" s="180">
        <f>IFERROR(__xludf.DUMMYFUNCTION("""COMPUTED_VALUE"""),0.2)</f>
        <v>0.2</v>
      </c>
      <c r="EZ281" s="180"/>
      <c r="FA281" s="180"/>
      <c r="FB281" s="180"/>
      <c r="FC281" s="180"/>
      <c r="FD281" s="180"/>
      <c r="FE281" s="180">
        <f>IFERROR(__xludf.DUMMYFUNCTION("""COMPUTED_VALUE"""),0.55)</f>
        <v>0.55</v>
      </c>
      <c r="FF281" s="180"/>
      <c r="FG281" s="180">
        <f>IFERROR(__xludf.DUMMYFUNCTION("""COMPUTED_VALUE"""),0.44907407407407407)</f>
        <v>0.4490740741</v>
      </c>
      <c r="FH281" s="180"/>
      <c r="FI281" s="180"/>
      <c r="FJ281" s="180"/>
      <c r="FK281" s="180"/>
      <c r="FL281" s="180"/>
      <c r="FM281" s="180">
        <f>IFERROR(__xludf.DUMMYFUNCTION("""COMPUTED_VALUE"""),0.449)</f>
        <v>0.449</v>
      </c>
      <c r="FN281" s="16"/>
      <c r="FO281" s="16">
        <f>IFERROR(__xludf.DUMMYFUNCTION("""COMPUTED_VALUE"""),0.44074074074074077)</f>
        <v>0.4407407407</v>
      </c>
      <c r="FP281" s="16"/>
      <c r="FQ281" s="16"/>
      <c r="FR281" s="16"/>
      <c r="FS281" s="16"/>
      <c r="FT281" s="16"/>
      <c r="FU281" s="16">
        <f>IFERROR(__xludf.DUMMYFUNCTION("""COMPUTED_VALUE"""),0.24794999999999995)</f>
        <v>0.24795</v>
      </c>
      <c r="FV281" s="16"/>
      <c r="FW281" s="16">
        <f>IFERROR(__xludf.DUMMYFUNCTION("""COMPUTED_VALUE"""),-8.0)</f>
        <v>-8</v>
      </c>
      <c r="FX281" s="16"/>
      <c r="FY281" s="16"/>
      <c r="FZ281" s="16"/>
      <c r="GA281" s="16"/>
      <c r="GB281" s="16"/>
      <c r="GC281" s="16">
        <f>IFERROR(__xludf.DUMMYFUNCTION("""COMPUTED_VALUE"""),-6.0)</f>
        <v>-6</v>
      </c>
      <c r="GD281" s="16" t="s">
        <v>176</v>
      </c>
    </row>
    <row r="282">
      <c r="A282" s="16">
        <f>IFERROR(__xludf.DUMMYFUNCTION("""COMPUTED_VALUE"""),13487.0)</f>
        <v>13487</v>
      </c>
      <c r="B282" s="16" t="str">
        <f>IFERROR(__xludf.DUMMYFUNCTION("""COMPUTED_VALUE"""),"Willie Calhoun")</f>
        <v>Willie Calhoun</v>
      </c>
      <c r="C282" s="16">
        <f>IFERROR(__xludf.DUMMYFUNCTION("""COMPUTED_VALUE"""),0.0)</f>
        <v>0</v>
      </c>
      <c r="D282" s="16" t="str">
        <f>IFERROR(__xludf.DUMMYFUNCTION("""COMPUTED_VALUE"""),"L")</f>
        <v>L</v>
      </c>
      <c r="E282" s="16"/>
      <c r="F282" s="16"/>
      <c r="G282" s="16">
        <f>IFERROR(__xludf.DUMMYFUNCTION("""COMPUTED_VALUE"""),229.0)</f>
        <v>229</v>
      </c>
      <c r="H282" s="16">
        <f>IFERROR(__xludf.DUMMYFUNCTION("""COMPUTED_VALUE"""),23.0)</f>
        <v>23</v>
      </c>
      <c r="I282" s="16" t="str">
        <f>IFERROR(__xludf.DUMMYFUNCTION("""COMPUTED_VALUE"""),"1p30")</f>
        <v>1p30</v>
      </c>
      <c r="J282" s="16">
        <f>IFERROR(__xludf.DUMMYFUNCTION("""COMPUTED_VALUE"""),0.0)</f>
        <v>0</v>
      </c>
      <c r="K282" s="16">
        <f>IFERROR(__xludf.DUMMYFUNCTION("""COMPUTED_VALUE"""),4.0)</f>
        <v>4</v>
      </c>
      <c r="L282" s="16">
        <f>IFERROR(__xludf.DUMMYFUNCTION("""COMPUTED_VALUE"""),3.0)</f>
        <v>3</v>
      </c>
      <c r="M282" s="16">
        <f>IFERROR(__xludf.DUMMYFUNCTION("""COMPUTED_VALUE"""),2.0)</f>
        <v>2</v>
      </c>
      <c r="N282" s="16">
        <f>IFERROR(__xludf.DUMMYFUNCTION("""COMPUTED_VALUE"""),3.0)</f>
        <v>3</v>
      </c>
      <c r="O282" s="16">
        <f>IFERROR(__xludf.DUMMYFUNCTION("""COMPUTED_VALUE"""),2.0)</f>
        <v>2</v>
      </c>
      <c r="P282" s="16">
        <f>IFERROR(__xludf.DUMMYFUNCTION("""COMPUTED_VALUE"""),7.0)</f>
        <v>7</v>
      </c>
      <c r="Q282" s="16">
        <f>IFERROR(__xludf.DUMMYFUNCTION("""COMPUTED_VALUE"""),10.0)</f>
        <v>10</v>
      </c>
      <c r="R282" s="16">
        <f>IFERROR(__xludf.DUMMYFUNCTION("""COMPUTED_VALUE"""),-1.0)</f>
        <v>-1</v>
      </c>
      <c r="S282" s="16">
        <f>IFERROR(__xludf.DUMMYFUNCTION("""COMPUTED_VALUE"""),0.0)</f>
        <v>0</v>
      </c>
      <c r="T282" s="16">
        <f>IFERROR(__xludf.DUMMYFUNCTION("""COMPUTED_VALUE"""),-1.0)</f>
        <v>-1</v>
      </c>
      <c r="U282" s="16">
        <f>IFERROR(__xludf.DUMMYFUNCTION("""COMPUTED_VALUE"""),0.0)</f>
        <v>0</v>
      </c>
      <c r="V282" s="16">
        <f>IFERROR(__xludf.DUMMYFUNCTION("""COMPUTED_VALUE"""),11.6)</f>
        <v>11.6</v>
      </c>
      <c r="W282" s="16">
        <f>IFERROR(__xludf.DUMMYFUNCTION("""COMPUTED_VALUE"""),23.3)</f>
        <v>23.3</v>
      </c>
      <c r="X282" s="16">
        <f>IFERROR(__xludf.DUMMYFUNCTION("""COMPUTED_VALUE"""),-1.0)</f>
        <v>-1</v>
      </c>
      <c r="Y282" s="16">
        <f>IFERROR(__xludf.DUMMYFUNCTION("""COMPUTED_VALUE"""),1.0)</f>
        <v>1</v>
      </c>
      <c r="Z282" s="16">
        <f>IFERROR(__xludf.DUMMYFUNCTION("""COMPUTED_VALUE"""),-2.0)</f>
        <v>-2</v>
      </c>
      <c r="AA282" s="16">
        <f>IFERROR(__xludf.DUMMYFUNCTION("""COMPUTED_VALUE"""),2.0)</f>
        <v>2</v>
      </c>
      <c r="AB282" s="16">
        <f>IFERROR(__xludf.DUMMYFUNCTION("""COMPUTED_VALUE"""),19.5)</f>
        <v>19.5</v>
      </c>
      <c r="AC282" s="16">
        <f>IFERROR(__xludf.DUMMYFUNCTION("""COMPUTED_VALUE"""),34.3)</f>
        <v>34.3</v>
      </c>
      <c r="AD282" s="16">
        <f>IFERROR(__xludf.DUMMYFUNCTION("""COMPUTED_VALUE"""),-1.0)</f>
        <v>-1</v>
      </c>
      <c r="AE282" s="16">
        <f>IFERROR(__xludf.DUMMYFUNCTION("""COMPUTED_VALUE"""),0.0)</f>
        <v>0</v>
      </c>
      <c r="AF282" s="16">
        <f>IFERROR(__xludf.DUMMYFUNCTION("""COMPUTED_VALUE"""),-5.0)</f>
        <v>-5</v>
      </c>
      <c r="AG282" s="16">
        <f>IFERROR(__xludf.DUMMYFUNCTION("""COMPUTED_VALUE"""),0.0)</f>
        <v>0</v>
      </c>
      <c r="AH282" s="16">
        <f>IFERROR(__xludf.DUMMYFUNCTION("""COMPUTED_VALUE"""),11.6)</f>
        <v>11.6</v>
      </c>
      <c r="AI282" s="16">
        <f>IFERROR(__xludf.DUMMYFUNCTION("""COMPUTED_VALUE"""),35.7)</f>
        <v>35.7</v>
      </c>
      <c r="AJ282" s="16">
        <f>IFERROR(__xludf.DUMMYFUNCTION("""COMPUTED_VALUE"""),-2.0)</f>
        <v>-2</v>
      </c>
      <c r="AK282" s="16">
        <f>IFERROR(__xludf.DUMMYFUNCTION("""COMPUTED_VALUE"""),0.0)</f>
        <v>0</v>
      </c>
      <c r="AL282" s="16">
        <f>IFERROR(__xludf.DUMMYFUNCTION("""COMPUTED_VALUE"""),-10.0)</f>
        <v>-10</v>
      </c>
      <c r="AM282" s="16">
        <f>IFERROR(__xludf.DUMMYFUNCTION("""COMPUTED_VALUE"""),0.0)</f>
        <v>0</v>
      </c>
      <c r="AN282" s="16">
        <f>IFERROR(__xludf.DUMMYFUNCTION("""COMPUTED_VALUE"""),0.0)</f>
        <v>0</v>
      </c>
      <c r="AO282" s="16">
        <f>IFERROR(__xludf.DUMMYFUNCTION("""COMPUTED_VALUE"""),0.8)</f>
        <v>0.8</v>
      </c>
      <c r="AP282" s="16">
        <f>IFERROR(__xludf.DUMMYFUNCTION("""COMPUTED_VALUE"""),-2.0)</f>
        <v>-2</v>
      </c>
      <c r="AQ282" s="16">
        <f>IFERROR(__xludf.DUMMYFUNCTION("""COMPUTED_VALUE"""),-2.0)</f>
        <v>-2</v>
      </c>
      <c r="AR282" s="16">
        <f>IFERROR(__xludf.DUMMYFUNCTION("""COMPUTED_VALUE"""),-4.0)</f>
        <v>-4</v>
      </c>
      <c r="AS282" s="16">
        <f>IFERROR(__xludf.DUMMYFUNCTION("""COMPUTED_VALUE"""),-4.0)</f>
        <v>-4</v>
      </c>
      <c r="AT282" s="16"/>
      <c r="AU282" s="16">
        <f>IFERROR(__xludf.DUMMYFUNCTION("""COMPUTED_VALUE"""),1.0)</f>
        <v>1</v>
      </c>
      <c r="AV282" s="16">
        <f>IFERROR(__xludf.DUMMYFUNCTION("""COMPUTED_VALUE"""),-3.0)</f>
        <v>-3</v>
      </c>
      <c r="AW282" s="16">
        <f>IFERROR(__xludf.DUMMYFUNCTION("""COMPUTED_VALUE"""),1.0)</f>
        <v>1</v>
      </c>
      <c r="AX282" s="16">
        <f>IFERROR(__xludf.DUMMYFUNCTION("""COMPUTED_VALUE"""),-3.0)</f>
        <v>-3</v>
      </c>
      <c r="AY282" s="16">
        <f>IFERROR(__xludf.DUMMYFUNCTION("""COMPUTED_VALUE"""),-1.0)</f>
        <v>-1</v>
      </c>
      <c r="AZ282" s="16">
        <f>IFERROR(__xludf.DUMMYFUNCTION("""COMPUTED_VALUE"""),-9.0)</f>
        <v>-9</v>
      </c>
      <c r="BA282" s="16">
        <f>IFERROR(__xludf.DUMMYFUNCTION("""COMPUTED_VALUE"""),-3.0)</f>
        <v>-3</v>
      </c>
      <c r="BB282" s="16">
        <f>IFERROR(__xludf.DUMMYFUNCTION("""COMPUTED_VALUE"""),5.0)</f>
        <v>5</v>
      </c>
      <c r="BC282" s="16">
        <f>IFERROR(__xludf.DUMMYFUNCTION("""COMPUTED_VALUE"""),5.0)</f>
        <v>5</v>
      </c>
      <c r="BD282" s="16">
        <f>IFERROR(__xludf.DUMMYFUNCTION("""COMPUTED_VALUE"""),1.0)</f>
        <v>1</v>
      </c>
      <c r="BE282" s="16">
        <f>IFERROR(__xludf.DUMMYFUNCTION("""COMPUTED_VALUE"""),1.0)</f>
        <v>1</v>
      </c>
      <c r="BF282" s="16">
        <f>IFERROR(__xludf.DUMMYFUNCTION("""COMPUTED_VALUE"""),1.0)</f>
        <v>1</v>
      </c>
      <c r="BG282" s="16">
        <f>IFERROR(__xludf.DUMMYFUNCTION("""COMPUTED_VALUE"""),1.0)</f>
        <v>1</v>
      </c>
      <c r="BH282" s="16">
        <f>IFERROR(__xludf.DUMMYFUNCTION("""COMPUTED_VALUE"""),-9.0)</f>
        <v>-9</v>
      </c>
      <c r="BI282" s="16">
        <f>IFERROR(__xludf.DUMMYFUNCTION("""COMPUTED_VALUE"""),-9.0)</f>
        <v>-9</v>
      </c>
      <c r="BJ282" s="16">
        <f>IFERROR(__xludf.DUMMYFUNCTION("""COMPUTED_VALUE"""),16.0)</f>
        <v>16</v>
      </c>
      <c r="BK282" s="16">
        <f>IFERROR(__xludf.DUMMYFUNCTION("""COMPUTED_VALUE"""),15.0)</f>
        <v>15</v>
      </c>
      <c r="BL282" s="16">
        <f>IFERROR(__xludf.DUMMYFUNCTION("""COMPUTED_VALUE"""),-1.0)</f>
        <v>-1</v>
      </c>
      <c r="BM282" s="16">
        <f>IFERROR(__xludf.DUMMYFUNCTION("""COMPUTED_VALUE"""),-1.0)</f>
        <v>-1</v>
      </c>
      <c r="BN282" s="16">
        <f>IFERROR(__xludf.DUMMYFUNCTION("""COMPUTED_VALUE"""),-2.0)</f>
        <v>-2</v>
      </c>
      <c r="BO282" s="16">
        <f>IFERROR(__xludf.DUMMYFUNCTION("""COMPUTED_VALUE"""),-2.0)</f>
        <v>-2</v>
      </c>
      <c r="BP282" s="16">
        <f>IFERROR(__xludf.DUMMYFUNCTION("""COMPUTED_VALUE"""),-7.0)</f>
        <v>-7</v>
      </c>
      <c r="BQ282" s="16">
        <f>IFERROR(__xludf.DUMMYFUNCTION("""COMPUTED_VALUE"""),0.0)</f>
        <v>0</v>
      </c>
      <c r="BR282" s="16">
        <f>IFERROR(__xludf.DUMMYFUNCTION("""COMPUTED_VALUE"""),-7.0)</f>
        <v>-7</v>
      </c>
      <c r="BS282" s="16" t="str">
        <f>IFERROR(__xludf.DUMMYFUNCTION("""COMPUTED_VALUE"""),"2-5/- (3-1)")</f>
        <v>2-5/- (3-1)</v>
      </c>
      <c r="BT282" s="16" t="str">
        <f>IFERROR(__xludf.DUMMYFUNCTION("""COMPUTED_VALUE"""),"E")</f>
        <v>E</v>
      </c>
      <c r="BU282" s="16">
        <f>IFERROR(__xludf.DUMMYFUNCTION("""COMPUTED_VALUE"""),10.0)</f>
        <v>10</v>
      </c>
      <c r="BV282" s="16">
        <f>IFERROR(__xludf.DUMMYFUNCTION("""COMPUTED_VALUE"""),0.0)</f>
        <v>0</v>
      </c>
      <c r="BW282" s="16">
        <f>IFERROR(__xludf.DUMMYFUNCTION("""COMPUTED_VALUE"""),0.0)</f>
        <v>0</v>
      </c>
      <c r="BX282" s="16">
        <f>IFERROR(__xludf.DUMMYFUNCTION("""COMPUTED_VALUE"""),0.0)</f>
        <v>0</v>
      </c>
      <c r="BY282" s="16">
        <f>IFERROR(__xludf.DUMMYFUNCTION("""COMPUTED_VALUE"""),0.0)</f>
        <v>0</v>
      </c>
      <c r="BZ282" s="16" t="str">
        <f>IFERROR(__xludf.DUMMYFUNCTION("""COMPUTED_VALUE"""),"D")</f>
        <v>D</v>
      </c>
      <c r="CA282" s="16" t="str">
        <f>IFERROR(__xludf.DUMMYFUNCTION("""COMPUTED_VALUE"""),"B")</f>
        <v>B</v>
      </c>
      <c r="CB282" s="16">
        <f>IFERROR(__xludf.DUMMYFUNCTION("""COMPUTED_VALUE"""),0.0)</f>
        <v>0</v>
      </c>
      <c r="CC282" s="16">
        <f>IFERROR(__xludf.DUMMYFUNCTION("""COMPUTED_VALUE"""),1.0)</f>
        <v>1</v>
      </c>
      <c r="CD282" s="16">
        <f>IFERROR(__xludf.DUMMYFUNCTION("""COMPUTED_VALUE"""),0.0)</f>
        <v>0</v>
      </c>
      <c r="CE282" s="16">
        <f>IFERROR(__xludf.DUMMYFUNCTION("""COMPUTED_VALUE"""),2.0)</f>
        <v>2</v>
      </c>
      <c r="CF282" s="16">
        <f>IFERROR(__xludf.DUMMYFUNCTION("""COMPUTED_VALUE"""),1.0)</f>
        <v>1</v>
      </c>
      <c r="CG282" s="16">
        <f>IFERROR(__xludf.DUMMYFUNCTION("""COMPUTED_VALUE"""),-29.0)</f>
        <v>-29</v>
      </c>
      <c r="CH282" s="16">
        <f>IFERROR(__xludf.DUMMYFUNCTION("""COMPUTED_VALUE"""),-4.0)</f>
        <v>-4</v>
      </c>
      <c r="CI282" s="179">
        <f>IFERROR(__xludf.DUMMYFUNCTION("""COMPUTED_VALUE"""),-8.0)</f>
        <v>-8</v>
      </c>
      <c r="CJ282" s="16"/>
      <c r="CK282" s="16">
        <f>IFERROR(__xludf.DUMMYFUNCTION("""COMPUTED_VALUE"""),516.0)</f>
        <v>516</v>
      </c>
      <c r="CL282" s="16"/>
      <c r="CM282" s="16"/>
      <c r="CN282" s="16"/>
      <c r="CO282" s="16">
        <f>IFERROR(__xludf.DUMMYFUNCTION("""COMPUTED_VALUE"""),505.0)</f>
        <v>505</v>
      </c>
      <c r="CP282" s="16"/>
      <c r="CQ282" s="16"/>
      <c r="CR282" s="16" t="str">
        <f>IFERROR(__xludf.DUMMYFUNCTION("""COMPUTED_VALUE"""),"1b-5e16 lf-5(+2)e5")</f>
        <v>1b-5e16 lf-5(+2)e5</v>
      </c>
      <c r="CS282" s="16"/>
      <c r="CT282" s="16">
        <f>IFERROR(__xludf.DUMMYFUNCTION("""COMPUTED_VALUE"""),5.0)</f>
        <v>5</v>
      </c>
      <c r="CU282" s="16"/>
      <c r="CV282" s="16"/>
      <c r="CW282" s="16"/>
      <c r="CX282" s="16">
        <f>IFERROR(__xludf.DUMMYFUNCTION("""COMPUTED_VALUE"""),5.0)</f>
        <v>5</v>
      </c>
      <c r="CY282" s="16"/>
      <c r="CZ282" s="16"/>
      <c r="DA282" s="16"/>
      <c r="DB282" s="16">
        <f>IFERROR(__xludf.DUMMYFUNCTION("""COMPUTED_VALUE"""),16.0)</f>
        <v>16</v>
      </c>
      <c r="DC282" s="16"/>
      <c r="DD282" s="16"/>
      <c r="DE282" s="16"/>
      <c r="DF282" s="16">
        <f>IFERROR(__xludf.DUMMYFUNCTION("""COMPUTED_VALUE"""),5.0)</f>
        <v>5</v>
      </c>
      <c r="DG282" s="16"/>
      <c r="DH282" s="16"/>
      <c r="DI282" s="16"/>
      <c r="DJ282" s="16">
        <f>IFERROR(__xludf.DUMMYFUNCTION("""COMPUTED_VALUE"""),-2.0)</f>
        <v>-2</v>
      </c>
      <c r="DK282" s="16"/>
      <c r="DL282" s="16"/>
      <c r="DM282" s="16"/>
      <c r="DN282" s="16">
        <f>IFERROR(__xludf.DUMMYFUNCTION("""COMPUTED_VALUE"""),-3.0)</f>
        <v>-3</v>
      </c>
      <c r="DO282" s="16"/>
      <c r="DP282" s="16"/>
      <c r="DQ282" s="16"/>
      <c r="DR282" s="16">
        <f>IFERROR(__xludf.DUMMYFUNCTION("""COMPUTED_VALUE"""),0.0)</f>
        <v>0</v>
      </c>
      <c r="DS282" s="16"/>
      <c r="DT282" s="16"/>
      <c r="DU282" s="16"/>
      <c r="DV282" s="16">
        <f>IFERROR(__xludf.DUMMYFUNCTION("""COMPUTED_VALUE"""),2.0)</f>
        <v>2</v>
      </c>
      <c r="DW282" s="16"/>
      <c r="DX282" s="16"/>
      <c r="DY282" s="16"/>
      <c r="DZ282" s="16">
        <f>IFERROR(__xludf.DUMMYFUNCTION("""COMPUTED_VALUE"""),-2.0)</f>
        <v>-2</v>
      </c>
      <c r="EA282" s="16"/>
      <c r="EB282" s="16"/>
      <c r="EC282" s="16"/>
      <c r="ED282" s="16">
        <f>IFERROR(__xludf.DUMMYFUNCTION("""COMPUTED_VALUE"""),-1.0)</f>
        <v>-1</v>
      </c>
      <c r="EE282" s="16"/>
      <c r="EF282" s="16"/>
      <c r="EG282" s="179"/>
      <c r="EH282" s="179">
        <f>IFERROR(__xludf.DUMMYFUNCTION("""COMPUTED_VALUE"""),-10.0)</f>
        <v>-10</v>
      </c>
      <c r="EI282" s="179"/>
      <c r="EJ282" s="179"/>
      <c r="EK282" s="179"/>
      <c r="EL282" s="179">
        <f>IFERROR(__xludf.DUMMYFUNCTION("""COMPUTED_VALUE"""),-9.0)</f>
        <v>-9</v>
      </c>
      <c r="EM282" s="179"/>
      <c r="EN282" s="179"/>
      <c r="EO282" s="16"/>
      <c r="EP282" s="16"/>
      <c r="EQ282" s="16">
        <f>IFERROR(__xludf.DUMMYFUNCTION("""COMPUTED_VALUE"""),4.0)</f>
        <v>4</v>
      </c>
      <c r="ER282" s="16">
        <f>IFERROR(__xludf.DUMMYFUNCTION("""COMPUTED_VALUE"""),-2.0)</f>
        <v>-2</v>
      </c>
      <c r="ES282" s="16"/>
      <c r="ET282" s="16"/>
      <c r="EU282" s="16"/>
      <c r="EV282" s="16"/>
      <c r="EW282" s="16"/>
      <c r="EX282" s="180"/>
      <c r="EY282" s="180">
        <f>IFERROR(__xludf.DUMMYFUNCTION("""COMPUTED_VALUE"""),0.4)</f>
        <v>0.4</v>
      </c>
      <c r="EZ282" s="180"/>
      <c r="FA282" s="180"/>
      <c r="FB282" s="180"/>
      <c r="FC282" s="180">
        <f>IFERROR(__xludf.DUMMYFUNCTION("""COMPUTED_VALUE"""),0.75)</f>
        <v>0.75</v>
      </c>
      <c r="FD282" s="180"/>
      <c r="FE282" s="180"/>
      <c r="FF282" s="180"/>
      <c r="FG282" s="180">
        <f>IFERROR(__xludf.DUMMYFUNCTION("""COMPUTED_VALUE"""),0.28703703703703703)</f>
        <v>0.287037037</v>
      </c>
      <c r="FH282" s="180"/>
      <c r="FI282" s="180"/>
      <c r="FJ282" s="180"/>
      <c r="FK282" s="180">
        <f>IFERROR(__xludf.DUMMYFUNCTION("""COMPUTED_VALUE"""),0.088)</f>
        <v>0.088</v>
      </c>
      <c r="FL282" s="180"/>
      <c r="FM282" s="180"/>
      <c r="FN282" s="16"/>
      <c r="FO282" s="16">
        <f>IFERROR(__xludf.DUMMYFUNCTION("""COMPUTED_VALUE"""),0.4277777777777778)</f>
        <v>0.4277777778</v>
      </c>
      <c r="FP282" s="16"/>
      <c r="FQ282" s="16"/>
      <c r="FR282" s="16"/>
      <c r="FS282" s="16">
        <f>IFERROR(__xludf.DUMMYFUNCTION("""COMPUTED_VALUE"""),0.228)</f>
        <v>0.228</v>
      </c>
      <c r="FT282" s="16"/>
      <c r="FU282" s="16"/>
      <c r="FV282" s="16"/>
      <c r="FW282" s="16">
        <f>IFERROR(__xludf.DUMMYFUNCTION("""COMPUTED_VALUE"""),-8.0)</f>
        <v>-8</v>
      </c>
      <c r="FX282" s="16"/>
      <c r="FY282" s="16"/>
      <c r="FZ282" s="16"/>
      <c r="GA282" s="16">
        <f>IFERROR(__xludf.DUMMYFUNCTION("""COMPUTED_VALUE"""),-8.0)</f>
        <v>-8</v>
      </c>
      <c r="GB282" s="16"/>
      <c r="GC282" s="16"/>
      <c r="GD282" s="16" t="s">
        <v>176</v>
      </c>
    </row>
    <row r="283">
      <c r="A283" s="16">
        <f>IFERROR(__xludf.DUMMYFUNCTION("""COMPUTED_VALUE"""),12799.0)</f>
        <v>12799</v>
      </c>
      <c r="B283" s="16" t="str">
        <f>IFERROR(__xludf.DUMMYFUNCTION("""COMPUTED_VALUE"""),"Enrique Hernandez")</f>
        <v>Enrique Hernandez</v>
      </c>
      <c r="C283" s="16">
        <f>IFERROR(__xludf.DUMMYFUNCTION("""COMPUTED_VALUE"""),0.96)</f>
        <v>0.96</v>
      </c>
      <c r="D283" s="16" t="str">
        <f>IFERROR(__xludf.DUMMYFUNCTION("""COMPUTED_VALUE"""),"R")</f>
        <v>R</v>
      </c>
      <c r="E283" s="16"/>
      <c r="F283" s="16"/>
      <c r="G283" s="16">
        <f>IFERROR(__xludf.DUMMYFUNCTION("""COMPUTED_VALUE"""),362.0)</f>
        <v>362</v>
      </c>
      <c r="H283" s="16">
        <f>IFERROR(__xludf.DUMMYFUNCTION("""COMPUTED_VALUE"""),27.0)</f>
        <v>27</v>
      </c>
      <c r="I283" s="16" t="str">
        <f>IFERROR(__xludf.DUMMYFUNCTION("""COMPUTED_VALUE"""),"1p60")</f>
        <v>1p60</v>
      </c>
      <c r="J283" s="16">
        <f>IFERROR(__xludf.DUMMYFUNCTION("""COMPUTED_VALUE"""),17.0)</f>
        <v>17</v>
      </c>
      <c r="K283" s="16">
        <f>IFERROR(__xludf.DUMMYFUNCTION("""COMPUTED_VALUE"""),19.0)</f>
        <v>19</v>
      </c>
      <c r="L283" s="16">
        <f>IFERROR(__xludf.DUMMYFUNCTION("""COMPUTED_VALUE"""),1.0)</f>
        <v>1</v>
      </c>
      <c r="M283" s="16">
        <f>IFERROR(__xludf.DUMMYFUNCTION("""COMPUTED_VALUE"""),1.0)</f>
        <v>1</v>
      </c>
      <c r="N283" s="16">
        <f>IFERROR(__xludf.DUMMYFUNCTION("""COMPUTED_VALUE"""),1.0)</f>
        <v>1</v>
      </c>
      <c r="O283" s="16">
        <f>IFERROR(__xludf.DUMMYFUNCTION("""COMPUTED_VALUE"""),1.0)</f>
        <v>1</v>
      </c>
      <c r="P283" s="16">
        <f>IFERROR(__xludf.DUMMYFUNCTION("""COMPUTED_VALUE"""),3.0)</f>
        <v>3</v>
      </c>
      <c r="Q283" s="16">
        <f>IFERROR(__xludf.DUMMYFUNCTION("""COMPUTED_VALUE"""),9.0)</f>
        <v>9</v>
      </c>
      <c r="R283" s="16">
        <f>IFERROR(__xludf.DUMMYFUNCTION("""COMPUTED_VALUE"""),-2.0)</f>
        <v>-2</v>
      </c>
      <c r="S283" s="16">
        <f>IFERROR(__xludf.DUMMYFUNCTION("""COMPUTED_VALUE"""),0.0)</f>
        <v>0</v>
      </c>
      <c r="T283" s="16">
        <f>IFERROR(__xludf.DUMMYFUNCTION("""COMPUTED_VALUE"""),-2.0)</f>
        <v>-2</v>
      </c>
      <c r="U283" s="16">
        <f>IFERROR(__xludf.DUMMYFUNCTION("""COMPUTED_VALUE"""),0.0)</f>
        <v>0</v>
      </c>
      <c r="V283" s="16">
        <f>IFERROR(__xludf.DUMMYFUNCTION("""COMPUTED_VALUE"""),19.1)</f>
        <v>19.1</v>
      </c>
      <c r="W283" s="16">
        <f>IFERROR(__xludf.DUMMYFUNCTION("""COMPUTED_VALUE"""),18.8)</f>
        <v>18.8</v>
      </c>
      <c r="X283" s="16">
        <f>IFERROR(__xludf.DUMMYFUNCTION("""COMPUTED_VALUE"""),0.0)</f>
        <v>0</v>
      </c>
      <c r="Y283" s="16">
        <f>IFERROR(__xludf.DUMMYFUNCTION("""COMPUTED_VALUE"""),0.0)</f>
        <v>0</v>
      </c>
      <c r="Z283" s="16">
        <f>IFERROR(__xludf.DUMMYFUNCTION("""COMPUTED_VALUE"""),0.0)</f>
        <v>0</v>
      </c>
      <c r="AA283" s="16">
        <f>IFERROR(__xludf.DUMMYFUNCTION("""COMPUTED_VALUE"""),0.0)</f>
        <v>0</v>
      </c>
      <c r="AB283" s="16">
        <f>IFERROR(__xludf.DUMMYFUNCTION("""COMPUTED_VALUE"""),22.1)</f>
        <v>22.1</v>
      </c>
      <c r="AC283" s="16">
        <f>IFERROR(__xludf.DUMMYFUNCTION("""COMPUTED_VALUE"""),27.8)</f>
        <v>27.8</v>
      </c>
      <c r="AD283" s="16">
        <f>IFERROR(__xludf.DUMMYFUNCTION("""COMPUTED_VALUE"""),-1.0)</f>
        <v>-1</v>
      </c>
      <c r="AE283" s="16">
        <f>IFERROR(__xludf.DUMMYFUNCTION("""COMPUTED_VALUE"""),-1.0)</f>
        <v>-1</v>
      </c>
      <c r="AF283" s="16">
        <f>IFERROR(__xludf.DUMMYFUNCTION("""COMPUTED_VALUE"""),-5.0)</f>
        <v>-5</v>
      </c>
      <c r="AG283" s="16">
        <f>IFERROR(__xludf.DUMMYFUNCTION("""COMPUTED_VALUE"""),-5.0)</f>
        <v>-5</v>
      </c>
      <c r="AH283" s="16">
        <f>IFERROR(__xludf.DUMMYFUNCTION("""COMPUTED_VALUE"""),30.5)</f>
        <v>30.5</v>
      </c>
      <c r="AI283" s="16">
        <f>IFERROR(__xludf.DUMMYFUNCTION("""COMPUTED_VALUE"""),28.2)</f>
        <v>28.2</v>
      </c>
      <c r="AJ283" s="16">
        <f>IFERROR(__xludf.DUMMYFUNCTION("""COMPUTED_VALUE"""),0.0)</f>
        <v>0</v>
      </c>
      <c r="AK283" s="16">
        <f>IFERROR(__xludf.DUMMYFUNCTION("""COMPUTED_VALUE"""),-1.0)</f>
        <v>-1</v>
      </c>
      <c r="AL283" s="16">
        <f>IFERROR(__xludf.DUMMYFUNCTION("""COMPUTED_VALUE"""),0.0)</f>
        <v>0</v>
      </c>
      <c r="AM283" s="16">
        <f>IFERROR(__xludf.DUMMYFUNCTION("""COMPUTED_VALUE"""),-5.0)</f>
        <v>-5</v>
      </c>
      <c r="AN283" s="16">
        <f>IFERROR(__xludf.DUMMYFUNCTION("""COMPUTED_VALUE"""),3.2)</f>
        <v>3.2</v>
      </c>
      <c r="AO283" s="16">
        <f>IFERROR(__xludf.DUMMYFUNCTION("""COMPUTED_VALUE"""),1.6)</f>
        <v>1.6</v>
      </c>
      <c r="AP283" s="16">
        <f>IFERROR(__xludf.DUMMYFUNCTION("""COMPUTED_VALUE"""),1.0)</f>
        <v>1</v>
      </c>
      <c r="AQ283" s="16">
        <f>IFERROR(__xludf.DUMMYFUNCTION("""COMPUTED_VALUE"""),-1.0)</f>
        <v>-1</v>
      </c>
      <c r="AR283" s="16">
        <f>IFERROR(__xludf.DUMMYFUNCTION("""COMPUTED_VALUE"""),2.0)</f>
        <v>2</v>
      </c>
      <c r="AS283" s="16">
        <f>IFERROR(__xludf.DUMMYFUNCTION("""COMPUTED_VALUE"""),-2.0)</f>
        <v>-2</v>
      </c>
      <c r="AT283" s="16">
        <f>IFERROR(__xludf.DUMMYFUNCTION("""COMPUTED_VALUE"""),4.0)</f>
        <v>4</v>
      </c>
      <c r="AU283" s="16">
        <f>IFERROR(__xludf.DUMMYFUNCTION("""COMPUTED_VALUE"""),1.0)</f>
        <v>1</v>
      </c>
      <c r="AV283" s="16">
        <f>IFERROR(__xludf.DUMMYFUNCTION("""COMPUTED_VALUE"""),4.0)</f>
        <v>4</v>
      </c>
      <c r="AW283" s="16">
        <f>IFERROR(__xludf.DUMMYFUNCTION("""COMPUTED_VALUE"""),1.0)</f>
        <v>1</v>
      </c>
      <c r="AX283" s="16">
        <f>IFERROR(__xludf.DUMMYFUNCTION("""COMPUTED_VALUE"""),2.0)</f>
        <v>2</v>
      </c>
      <c r="AY283" s="16">
        <f>IFERROR(__xludf.DUMMYFUNCTION("""COMPUTED_VALUE"""),-1.0)</f>
        <v>-1</v>
      </c>
      <c r="AZ283" s="16">
        <f>IFERROR(__xludf.DUMMYFUNCTION("""COMPUTED_VALUE"""),6.0)</f>
        <v>6</v>
      </c>
      <c r="BA283" s="16">
        <f>IFERROR(__xludf.DUMMYFUNCTION("""COMPUTED_VALUE"""),-3.0)</f>
        <v>-3</v>
      </c>
      <c r="BB283" s="16">
        <f>IFERROR(__xludf.DUMMYFUNCTION("""COMPUTED_VALUE"""),5.0)</f>
        <v>5</v>
      </c>
      <c r="BC283" s="16">
        <f>IFERROR(__xludf.DUMMYFUNCTION("""COMPUTED_VALUE"""),5.0)</f>
        <v>5</v>
      </c>
      <c r="BD283" s="16">
        <f>IFERROR(__xludf.DUMMYFUNCTION("""COMPUTED_VALUE"""),1.0)</f>
        <v>1</v>
      </c>
      <c r="BE283" s="16">
        <f>IFERROR(__xludf.DUMMYFUNCTION("""COMPUTED_VALUE"""),1.0)</f>
        <v>1</v>
      </c>
      <c r="BF283" s="16">
        <f>IFERROR(__xludf.DUMMYFUNCTION("""COMPUTED_VALUE"""),1.0)</f>
        <v>1</v>
      </c>
      <c r="BG283" s="16">
        <f>IFERROR(__xludf.DUMMYFUNCTION("""COMPUTED_VALUE"""),1.0)</f>
        <v>1</v>
      </c>
      <c r="BH283" s="16">
        <f>IFERROR(__xludf.DUMMYFUNCTION("""COMPUTED_VALUE"""),-9.0)</f>
        <v>-9</v>
      </c>
      <c r="BI283" s="16">
        <f>IFERROR(__xludf.DUMMYFUNCTION("""COMPUTED_VALUE"""),-9.0)</f>
        <v>-9</v>
      </c>
      <c r="BJ283" s="16">
        <f>IFERROR(__xludf.DUMMYFUNCTION("""COMPUTED_VALUE"""),27.0)</f>
        <v>27</v>
      </c>
      <c r="BK283" s="16">
        <f>IFERROR(__xludf.DUMMYFUNCTION("""COMPUTED_VALUE"""),25.0)</f>
        <v>25</v>
      </c>
      <c r="BL283" s="16">
        <f>IFERROR(__xludf.DUMMYFUNCTION("""COMPUTED_VALUE"""),-2.0)</f>
        <v>-2</v>
      </c>
      <c r="BM283" s="16">
        <f>IFERROR(__xludf.DUMMYFUNCTION("""COMPUTED_VALUE"""),-2.0)</f>
        <v>-2</v>
      </c>
      <c r="BN283" s="16">
        <f>IFERROR(__xludf.DUMMYFUNCTION("""COMPUTED_VALUE"""),-4.0)</f>
        <v>-4</v>
      </c>
      <c r="BO283" s="16">
        <f>IFERROR(__xludf.DUMMYFUNCTION("""COMPUTED_VALUE"""),-4.0)</f>
        <v>-4</v>
      </c>
      <c r="BP283" s="16">
        <f>IFERROR(__xludf.DUMMYFUNCTION("""COMPUTED_VALUE"""),0.0)</f>
        <v>0</v>
      </c>
      <c r="BQ283" s="16">
        <f>IFERROR(__xludf.DUMMYFUNCTION("""COMPUTED_VALUE"""),-4.0)</f>
        <v>-4</v>
      </c>
      <c r="BR283" s="16">
        <f>IFERROR(__xludf.DUMMYFUNCTION("""COMPUTED_VALUE"""),-4.0)</f>
        <v>-4</v>
      </c>
      <c r="BS283" s="16" t="str">
        <f>IFERROR(__xludf.DUMMYFUNCTION("""COMPUTED_VALUE"""),"-/- (---)")</f>
        <v>-/- (---)</v>
      </c>
      <c r="BT283" s="16" t="str">
        <f>IFERROR(__xludf.DUMMYFUNCTION("""COMPUTED_VALUE"""),"E")</f>
        <v>E</v>
      </c>
      <c r="BU283" s="16">
        <f>IFERROR(__xludf.DUMMYFUNCTION("""COMPUTED_VALUE"""),12.0)</f>
        <v>12</v>
      </c>
      <c r="BV283" s="16">
        <f>IFERROR(__xludf.DUMMYFUNCTION("""COMPUTED_VALUE"""),0.0)</f>
        <v>0</v>
      </c>
      <c r="BW283" s="16">
        <f>IFERROR(__xludf.DUMMYFUNCTION("""COMPUTED_VALUE"""),0.0)</f>
        <v>0</v>
      </c>
      <c r="BX283" s="16">
        <f>IFERROR(__xludf.DUMMYFUNCTION("""COMPUTED_VALUE"""),0.0)</f>
        <v>0</v>
      </c>
      <c r="BY283" s="16">
        <f>IFERROR(__xludf.DUMMYFUNCTION("""COMPUTED_VALUE"""),0.0)</f>
        <v>0</v>
      </c>
      <c r="BZ283" s="16" t="str">
        <f>IFERROR(__xludf.DUMMYFUNCTION("""COMPUTED_VALUE"""),"D")</f>
        <v>D</v>
      </c>
      <c r="CA283" s="16" t="str">
        <f>IFERROR(__xludf.DUMMYFUNCTION("""COMPUTED_VALUE"""),"C")</f>
        <v>C</v>
      </c>
      <c r="CB283" s="16">
        <f>IFERROR(__xludf.DUMMYFUNCTION("""COMPUTED_VALUE"""),0.0)</f>
        <v>0</v>
      </c>
      <c r="CC283" s="16">
        <f>IFERROR(__xludf.DUMMYFUNCTION("""COMPUTED_VALUE"""),0.0)</f>
        <v>0</v>
      </c>
      <c r="CD283" s="16">
        <f>IFERROR(__xludf.DUMMYFUNCTION("""COMPUTED_VALUE"""),0.0)</f>
        <v>0</v>
      </c>
      <c r="CE283" s="16">
        <f>IFERROR(__xludf.DUMMYFUNCTION("""COMPUTED_VALUE"""),0.0)</f>
        <v>0</v>
      </c>
      <c r="CF283" s="16">
        <f>IFERROR(__xludf.DUMMYFUNCTION("""COMPUTED_VALUE"""),1.0)</f>
        <v>1</v>
      </c>
      <c r="CG283" s="16">
        <f>IFERROR(__xludf.DUMMYFUNCTION("""COMPUTED_VALUE"""),-1.0)</f>
        <v>-1</v>
      </c>
      <c r="CH283" s="16">
        <f>IFERROR(__xludf.DUMMYFUNCTION("""COMPUTED_VALUE"""),-17.0)</f>
        <v>-17</v>
      </c>
      <c r="CI283" s="179">
        <f>IFERROR(__xludf.DUMMYFUNCTION("""COMPUTED_VALUE"""),-8.0)</f>
        <v>-8</v>
      </c>
      <c r="CJ283" s="16"/>
      <c r="CK283" s="16">
        <f>IFERROR(__xludf.DUMMYFUNCTION("""COMPUTED_VALUE"""),413.0)</f>
        <v>413</v>
      </c>
      <c r="CL283" s="16">
        <f>IFERROR(__xludf.DUMMYFUNCTION("""COMPUTED_VALUE"""),456.0)</f>
        <v>456</v>
      </c>
      <c r="CM283" s="16">
        <f>IFERROR(__xludf.DUMMYFUNCTION("""COMPUTED_VALUE"""),419.0)</f>
        <v>419</v>
      </c>
      <c r="CN283" s="16">
        <f>IFERROR(__xludf.DUMMYFUNCTION("""COMPUTED_VALUE"""),424.0)</f>
        <v>424</v>
      </c>
      <c r="CO283" s="16">
        <f>IFERROR(__xludf.DUMMYFUNCTION("""COMPUTED_VALUE"""),301.0)</f>
        <v>301</v>
      </c>
      <c r="CP283" s="16">
        <f>IFERROR(__xludf.DUMMYFUNCTION("""COMPUTED_VALUE"""),301.0)</f>
        <v>301</v>
      </c>
      <c r="CQ283" s="16"/>
      <c r="CR283" s="16" t="str">
        <f>IFERROR(__xludf.DUMMYFUNCTION("""COMPUTED_VALUE"""),"3b-4e19 1b-4e13 lf-3(0)e1 ss-4e24 2b-4e56 cf-3e1")</f>
        <v>3b-4e19 1b-4e13 lf-3(0)e1 ss-4e24 2b-4e56 cf-3e1</v>
      </c>
      <c r="CS283" s="16"/>
      <c r="CT283" s="16">
        <f>IFERROR(__xludf.DUMMYFUNCTION("""COMPUTED_VALUE"""),4.0)</f>
        <v>4</v>
      </c>
      <c r="CU283" s="16">
        <f>IFERROR(__xludf.DUMMYFUNCTION("""COMPUTED_VALUE"""),4.0)</f>
        <v>4</v>
      </c>
      <c r="CV283" s="16">
        <f>IFERROR(__xludf.DUMMYFUNCTION("""COMPUTED_VALUE"""),4.0)</f>
        <v>4</v>
      </c>
      <c r="CW283" s="16">
        <f>IFERROR(__xludf.DUMMYFUNCTION("""COMPUTED_VALUE"""),4.0)</f>
        <v>4</v>
      </c>
      <c r="CX283" s="16">
        <f>IFERROR(__xludf.DUMMYFUNCTION("""COMPUTED_VALUE"""),3.0)</f>
        <v>3</v>
      </c>
      <c r="CY283" s="16">
        <f>IFERROR(__xludf.DUMMYFUNCTION("""COMPUTED_VALUE"""),3.0)</f>
        <v>3</v>
      </c>
      <c r="CZ283" s="16"/>
      <c r="DA283" s="16"/>
      <c r="DB283" s="16">
        <f>IFERROR(__xludf.DUMMYFUNCTION("""COMPUTED_VALUE"""),13.0)</f>
        <v>13</v>
      </c>
      <c r="DC283" s="16">
        <f>IFERROR(__xludf.DUMMYFUNCTION("""COMPUTED_VALUE"""),56.0)</f>
        <v>56</v>
      </c>
      <c r="DD283" s="16">
        <f>IFERROR(__xludf.DUMMYFUNCTION("""COMPUTED_VALUE"""),19.0)</f>
        <v>19</v>
      </c>
      <c r="DE283" s="16">
        <f>IFERROR(__xludf.DUMMYFUNCTION("""COMPUTED_VALUE"""),24.0)</f>
        <v>24</v>
      </c>
      <c r="DF283" s="16">
        <f>IFERROR(__xludf.DUMMYFUNCTION("""COMPUTED_VALUE"""),1.0)</f>
        <v>1</v>
      </c>
      <c r="DG283" s="16">
        <f>IFERROR(__xludf.DUMMYFUNCTION("""COMPUTED_VALUE"""),1.0)</f>
        <v>1</v>
      </c>
      <c r="DH283" s="16"/>
      <c r="DI283" s="16"/>
      <c r="DJ283" s="16">
        <f>IFERROR(__xludf.DUMMYFUNCTION("""COMPUTED_VALUE"""),0.0)</f>
        <v>0</v>
      </c>
      <c r="DK283" s="16">
        <f>IFERROR(__xludf.DUMMYFUNCTION("""COMPUTED_VALUE"""),-2.0)</f>
        <v>-2</v>
      </c>
      <c r="DL283" s="16">
        <f>IFERROR(__xludf.DUMMYFUNCTION("""COMPUTED_VALUE"""),0.0)</f>
        <v>0</v>
      </c>
      <c r="DM283" s="16">
        <f>IFERROR(__xludf.DUMMYFUNCTION("""COMPUTED_VALUE"""),-2.0)</f>
        <v>-2</v>
      </c>
      <c r="DN283" s="16">
        <f>IFERROR(__xludf.DUMMYFUNCTION("""COMPUTED_VALUE"""),0.0)</f>
        <v>0</v>
      </c>
      <c r="DO283" s="16">
        <f>IFERROR(__xludf.DUMMYFUNCTION("""COMPUTED_VALUE"""),0.0)</f>
        <v>0</v>
      </c>
      <c r="DP283" s="16"/>
      <c r="DQ283" s="16"/>
      <c r="DR283" s="16">
        <f>IFERROR(__xludf.DUMMYFUNCTION("""COMPUTED_VALUE"""),1.0)</f>
        <v>1</v>
      </c>
      <c r="DS283" s="16">
        <f>IFERROR(__xludf.DUMMYFUNCTION("""COMPUTED_VALUE"""),-2.0)</f>
        <v>-2</v>
      </c>
      <c r="DT283" s="16">
        <f>IFERROR(__xludf.DUMMYFUNCTION("""COMPUTED_VALUE"""),0.0)</f>
        <v>0</v>
      </c>
      <c r="DU283" s="16">
        <f>IFERROR(__xludf.DUMMYFUNCTION("""COMPUTED_VALUE"""),0.0)</f>
        <v>0</v>
      </c>
      <c r="DV283" s="16">
        <f>IFERROR(__xludf.DUMMYFUNCTION("""COMPUTED_VALUE"""),4.0)</f>
        <v>4</v>
      </c>
      <c r="DW283" s="16">
        <f>IFERROR(__xludf.DUMMYFUNCTION("""COMPUTED_VALUE"""),4.0)</f>
        <v>4</v>
      </c>
      <c r="DX283" s="16"/>
      <c r="DY283" s="16"/>
      <c r="DZ283" s="16">
        <f>IFERROR(__xludf.DUMMYFUNCTION("""COMPUTED_VALUE"""),1.0)</f>
        <v>1</v>
      </c>
      <c r="EA283" s="16">
        <f>IFERROR(__xludf.DUMMYFUNCTION("""COMPUTED_VALUE"""),-4.0)</f>
        <v>-4</v>
      </c>
      <c r="EB283" s="16">
        <f>IFERROR(__xludf.DUMMYFUNCTION("""COMPUTED_VALUE"""),0.0)</f>
        <v>0</v>
      </c>
      <c r="EC283" s="16">
        <f>IFERROR(__xludf.DUMMYFUNCTION("""COMPUTED_VALUE"""),-2.0)</f>
        <v>-2</v>
      </c>
      <c r="ED283" s="16">
        <f>IFERROR(__xludf.DUMMYFUNCTION("""COMPUTED_VALUE"""),4.0)</f>
        <v>4</v>
      </c>
      <c r="EE283" s="16">
        <f>IFERROR(__xludf.DUMMYFUNCTION("""COMPUTED_VALUE"""),4.0)</f>
        <v>4</v>
      </c>
      <c r="EF283" s="16"/>
      <c r="EG283" s="179"/>
      <c r="EH283" s="179">
        <f>IFERROR(__xludf.DUMMYFUNCTION("""COMPUTED_VALUE"""),-7.0)</f>
        <v>-7</v>
      </c>
      <c r="EI283" s="179">
        <f>IFERROR(__xludf.DUMMYFUNCTION("""COMPUTED_VALUE"""),-12.0)</f>
        <v>-12</v>
      </c>
      <c r="EJ283" s="179">
        <f>IFERROR(__xludf.DUMMYFUNCTION("""COMPUTED_VALUE"""),-8.0)</f>
        <v>-8</v>
      </c>
      <c r="EK283" s="179">
        <f>IFERROR(__xludf.DUMMYFUNCTION("""COMPUTED_VALUE"""),-10.0)</f>
        <v>-10</v>
      </c>
      <c r="EL283" s="179">
        <f>IFERROR(__xludf.DUMMYFUNCTION("""COMPUTED_VALUE"""),-4.0)</f>
        <v>-4</v>
      </c>
      <c r="EM283" s="179">
        <f>IFERROR(__xludf.DUMMYFUNCTION("""COMPUTED_VALUE"""),-4.0)</f>
        <v>-4</v>
      </c>
      <c r="EN283" s="179"/>
      <c r="EO283" s="16"/>
      <c r="EP283" s="16">
        <f>IFERROR(__xludf.DUMMYFUNCTION("""COMPUTED_VALUE"""),1.0)</f>
        <v>1</v>
      </c>
      <c r="EQ283" s="16">
        <f>IFERROR(__xludf.DUMMYFUNCTION("""COMPUTED_VALUE"""),4.0)</f>
        <v>4</v>
      </c>
      <c r="ER283" s="16">
        <f>IFERROR(__xludf.DUMMYFUNCTION("""COMPUTED_VALUE"""),1.0)</f>
        <v>1</v>
      </c>
      <c r="ES283" s="16"/>
      <c r="ET283" s="16"/>
      <c r="EU283" s="16"/>
      <c r="EV283" s="16"/>
      <c r="EW283" s="16"/>
      <c r="EX283" s="180"/>
      <c r="EY283" s="180">
        <f>IFERROR(__xludf.DUMMYFUNCTION("""COMPUTED_VALUE"""),0.3)</f>
        <v>0.3</v>
      </c>
      <c r="EZ283" s="180">
        <f>IFERROR(__xludf.DUMMYFUNCTION("""COMPUTED_VALUE"""),0.3)</f>
        <v>0.3</v>
      </c>
      <c r="FA283" s="180">
        <f>IFERROR(__xludf.DUMMYFUNCTION("""COMPUTED_VALUE"""),0.3)</f>
        <v>0.3</v>
      </c>
      <c r="FB283" s="180">
        <f>IFERROR(__xludf.DUMMYFUNCTION("""COMPUTED_VALUE"""),0.3)</f>
        <v>0.3</v>
      </c>
      <c r="FC283" s="180">
        <f>IFERROR(__xludf.DUMMYFUNCTION("""COMPUTED_VALUE"""),0.3)</f>
        <v>0.3</v>
      </c>
      <c r="FD283" s="180">
        <f>IFERROR(__xludf.DUMMYFUNCTION("""COMPUTED_VALUE"""),0.3)</f>
        <v>0.3</v>
      </c>
      <c r="FE283" s="180"/>
      <c r="FF283" s="180"/>
      <c r="FG283" s="180">
        <f>IFERROR(__xludf.DUMMYFUNCTION("""COMPUTED_VALUE"""),0.2361111111111111)</f>
        <v>0.2361111111</v>
      </c>
      <c r="FH283" s="180">
        <f>IFERROR(__xludf.DUMMYFUNCTION("""COMPUTED_VALUE"""),0.33796296296296297)</f>
        <v>0.337962963</v>
      </c>
      <c r="FI283" s="180">
        <f>IFERROR(__xludf.DUMMYFUNCTION("""COMPUTED_VALUE"""),0.22685185185185186)</f>
        <v>0.2268518519</v>
      </c>
      <c r="FJ283" s="180">
        <f>IFERROR(__xludf.DUMMYFUNCTION("""COMPUTED_VALUE"""),0.125)</f>
        <v>0.125</v>
      </c>
      <c r="FK283" s="180">
        <f>IFERROR(__xludf.DUMMYFUNCTION("""COMPUTED_VALUE"""),0.019)</f>
        <v>0.019</v>
      </c>
      <c r="FL283" s="180">
        <f>IFERROR(__xludf.DUMMYFUNCTION("""COMPUTED_VALUE"""),0.013888888888888888)</f>
        <v>0.01388888889</v>
      </c>
      <c r="FM283" s="180"/>
      <c r="FN283" s="16"/>
      <c r="FO283" s="16">
        <f>IFERROR(__xludf.DUMMYFUNCTION("""COMPUTED_VALUE"""),0.5347222222222221)</f>
        <v>0.5347222222</v>
      </c>
      <c r="FP283" s="16">
        <f>IFERROR(__xludf.DUMMYFUNCTION("""COMPUTED_VALUE"""),0.46342592592592585)</f>
        <v>0.4634259259</v>
      </c>
      <c r="FQ283" s="16">
        <f>IFERROR(__xludf.DUMMYFUNCTION("""COMPUTED_VALUE"""),0.5412037037037036)</f>
        <v>0.5412037037</v>
      </c>
      <c r="FR283" s="16">
        <f>IFERROR(__xludf.DUMMYFUNCTION("""COMPUTED_VALUE"""),0.6124999999999999)</f>
        <v>0.6125</v>
      </c>
      <c r="FS283" s="16">
        <f>IFERROR(__xludf.DUMMYFUNCTION("""COMPUTED_VALUE"""),0.6867)</f>
        <v>0.6867</v>
      </c>
      <c r="FT283" s="16">
        <f>IFERROR(__xludf.DUMMYFUNCTION("""COMPUTED_VALUE"""),0.6902777777777778)</f>
        <v>0.6902777778</v>
      </c>
      <c r="FU283" s="16"/>
      <c r="FV283" s="16"/>
      <c r="FW283" s="16">
        <f>IFERROR(__xludf.DUMMYFUNCTION("""COMPUTED_VALUE"""),-8.0)</f>
        <v>-8</v>
      </c>
      <c r="FX283" s="16">
        <f>IFERROR(__xludf.DUMMYFUNCTION("""COMPUTED_VALUE"""),-8.0)</f>
        <v>-8</v>
      </c>
      <c r="FY283" s="16">
        <f>IFERROR(__xludf.DUMMYFUNCTION("""COMPUTED_VALUE"""),-8.0)</f>
        <v>-8</v>
      </c>
      <c r="FZ283" s="16">
        <f>IFERROR(__xludf.DUMMYFUNCTION("""COMPUTED_VALUE"""),-6.0)</f>
        <v>-6</v>
      </c>
      <c r="GA283" s="16">
        <f>IFERROR(__xludf.DUMMYFUNCTION("""COMPUTED_VALUE"""),-5.0)</f>
        <v>-5</v>
      </c>
      <c r="GB283" s="16">
        <f>IFERROR(__xludf.DUMMYFUNCTION("""COMPUTED_VALUE"""),-5.0)</f>
        <v>-5</v>
      </c>
      <c r="GC283" s="16"/>
      <c r="GD283" s="16" t="s">
        <v>176</v>
      </c>
    </row>
    <row r="284">
      <c r="A284" s="16">
        <f>IFERROR(__xludf.DUMMYFUNCTION("""COMPUTED_VALUE"""),12937.0)</f>
        <v>12937</v>
      </c>
      <c r="B284" s="16" t="str">
        <f>IFERROR(__xludf.DUMMYFUNCTION("""COMPUTED_VALUE"""),"Jasson Dominguez")</f>
        <v>Jasson Dominguez</v>
      </c>
      <c r="C284" s="16">
        <f>IFERROR(__xludf.DUMMYFUNCTION("""COMPUTED_VALUE"""),0.0)</f>
        <v>0</v>
      </c>
      <c r="D284" s="16" t="str">
        <f>IFERROR(__xludf.DUMMYFUNCTION("""COMPUTED_VALUE"""),"S")</f>
        <v>S</v>
      </c>
      <c r="E284" s="16"/>
      <c r="F284" s="16"/>
      <c r="G284" s="16">
        <f>IFERROR(__xludf.DUMMYFUNCTION("""COMPUTED_VALUE"""),56.0)</f>
        <v>56</v>
      </c>
      <c r="H284" s="16">
        <f>IFERROR(__xludf.DUMMYFUNCTION("""COMPUTED_VALUE"""),11.0)</f>
        <v>11</v>
      </c>
      <c r="I284" s="16" t="str">
        <f>IFERROR(__xludf.DUMMYFUNCTION("""COMPUTED_VALUE"""),"6p20")</f>
        <v>6p20</v>
      </c>
      <c r="J284" s="16">
        <f>IFERROR(__xludf.DUMMYFUNCTION("""COMPUTED_VALUE"""),32.0)</f>
        <v>32</v>
      </c>
      <c r="K284" s="16">
        <f>IFERROR(__xludf.DUMMYFUNCTION("""COMPUTED_VALUE"""),39.0)</f>
        <v>39</v>
      </c>
      <c r="L284" s="16">
        <f>IFERROR(__xludf.DUMMYFUNCTION("""COMPUTED_VALUE"""),-1.0)</f>
        <v>-1</v>
      </c>
      <c r="M284" s="16">
        <f>IFERROR(__xludf.DUMMYFUNCTION("""COMPUTED_VALUE"""),-2.0)</f>
        <v>-2</v>
      </c>
      <c r="N284" s="16">
        <f>IFERROR(__xludf.DUMMYFUNCTION("""COMPUTED_VALUE"""),-1.0)</f>
        <v>-1</v>
      </c>
      <c r="O284" s="16">
        <f>IFERROR(__xludf.DUMMYFUNCTION("""COMPUTED_VALUE"""),-2.0)</f>
        <v>-2</v>
      </c>
      <c r="P284" s="16">
        <f>IFERROR(__xludf.DUMMYFUNCTION("""COMPUTED_VALUE"""),38.0)</f>
        <v>38</v>
      </c>
      <c r="Q284" s="16">
        <f>IFERROR(__xludf.DUMMYFUNCTION("""COMPUTED_VALUE"""),20.0)</f>
        <v>20</v>
      </c>
      <c r="R284" s="16">
        <f>IFERROR(__xludf.DUMMYFUNCTION("""COMPUTED_VALUE"""),3.0)</f>
        <v>3</v>
      </c>
      <c r="S284" s="16">
        <f>IFERROR(__xludf.DUMMYFUNCTION("""COMPUTED_VALUE"""),3.0)</f>
        <v>3</v>
      </c>
      <c r="T284" s="16">
        <f>IFERROR(__xludf.DUMMYFUNCTION("""COMPUTED_VALUE"""),3.0)</f>
        <v>3</v>
      </c>
      <c r="U284" s="16">
        <f>IFERROR(__xludf.DUMMYFUNCTION("""COMPUTED_VALUE"""),3.0)</f>
        <v>3</v>
      </c>
      <c r="V284" s="16">
        <f>IFERROR(__xludf.DUMMYFUNCTION("""COMPUTED_VALUE"""),0.0)</f>
        <v>0</v>
      </c>
      <c r="W284" s="16">
        <f>IFERROR(__xludf.DUMMYFUNCTION("""COMPUTED_VALUE"""),10.7)</f>
        <v>10.7</v>
      </c>
      <c r="X284" s="16">
        <f>IFERROR(__xludf.DUMMYFUNCTION("""COMPUTED_VALUE"""),-2.0)</f>
        <v>-2</v>
      </c>
      <c r="Y284" s="16">
        <f>IFERROR(__xludf.DUMMYFUNCTION("""COMPUTED_VALUE"""),-2.0)</f>
        <v>-2</v>
      </c>
      <c r="Z284" s="16">
        <f>IFERROR(__xludf.DUMMYFUNCTION("""COMPUTED_VALUE"""),-4.0)</f>
        <v>-4</v>
      </c>
      <c r="AA284" s="16">
        <f>IFERROR(__xludf.DUMMYFUNCTION("""COMPUTED_VALUE"""),-4.0)</f>
        <v>-4</v>
      </c>
      <c r="AB284" s="16">
        <f>IFERROR(__xludf.DUMMYFUNCTION("""COMPUTED_VALUE"""),38.0)</f>
        <v>38</v>
      </c>
      <c r="AC284" s="16">
        <f>IFERROR(__xludf.DUMMYFUNCTION("""COMPUTED_VALUE"""),30.7)</f>
        <v>30.7</v>
      </c>
      <c r="AD284" s="16">
        <f>IFERROR(__xludf.DUMMYFUNCTION("""COMPUTED_VALUE"""),1.0)</f>
        <v>1</v>
      </c>
      <c r="AE284" s="16">
        <f>IFERROR(__xludf.DUMMYFUNCTION("""COMPUTED_VALUE"""),0.0)</f>
        <v>0</v>
      </c>
      <c r="AF284" s="16">
        <f>IFERROR(__xludf.DUMMYFUNCTION("""COMPUTED_VALUE"""),5.0)</f>
        <v>5</v>
      </c>
      <c r="AG284" s="16">
        <f>IFERROR(__xludf.DUMMYFUNCTION("""COMPUTED_VALUE"""),0.0)</f>
        <v>0</v>
      </c>
      <c r="AH284" s="16">
        <f>IFERROR(__xludf.DUMMYFUNCTION("""COMPUTED_VALUE"""),0.0)</f>
        <v>0</v>
      </c>
      <c r="AI284" s="16">
        <f>IFERROR(__xludf.DUMMYFUNCTION("""COMPUTED_VALUE"""),20.5)</f>
        <v>20.5</v>
      </c>
      <c r="AJ284" s="16">
        <f>IFERROR(__xludf.DUMMYFUNCTION("""COMPUTED_VALUE"""),-2.0)</f>
        <v>-2</v>
      </c>
      <c r="AK284" s="16">
        <f>IFERROR(__xludf.DUMMYFUNCTION("""COMPUTED_VALUE"""),-1.0)</f>
        <v>-1</v>
      </c>
      <c r="AL284" s="16">
        <f>IFERROR(__xludf.DUMMYFUNCTION("""COMPUTED_VALUE"""),-10.0)</f>
        <v>-10</v>
      </c>
      <c r="AM284" s="16">
        <f>IFERROR(__xludf.DUMMYFUNCTION("""COMPUTED_VALUE"""),-5.0)</f>
        <v>-5</v>
      </c>
      <c r="AN284" s="16">
        <f>IFERROR(__xludf.DUMMYFUNCTION("""COMPUTED_VALUE"""),0.0)</f>
        <v>0</v>
      </c>
      <c r="AO284" s="16">
        <f>IFERROR(__xludf.DUMMYFUNCTION("""COMPUTED_VALUE"""),3.3)</f>
        <v>3.3</v>
      </c>
      <c r="AP284" s="16">
        <f>IFERROR(__xludf.DUMMYFUNCTION("""COMPUTED_VALUE"""),-2.0)</f>
        <v>-2</v>
      </c>
      <c r="AQ284" s="16">
        <f>IFERROR(__xludf.DUMMYFUNCTION("""COMPUTED_VALUE"""),1.0)</f>
        <v>1</v>
      </c>
      <c r="AR284" s="16">
        <f>IFERROR(__xludf.DUMMYFUNCTION("""COMPUTED_VALUE"""),-4.0)</f>
        <v>-4</v>
      </c>
      <c r="AS284" s="16">
        <f>IFERROR(__xludf.DUMMYFUNCTION("""COMPUTED_VALUE"""),2.0)</f>
        <v>2</v>
      </c>
      <c r="AT284" s="16"/>
      <c r="AU284" s="16">
        <f>IFERROR(__xludf.DUMMYFUNCTION("""COMPUTED_VALUE"""),5.0)</f>
        <v>5</v>
      </c>
      <c r="AV284" s="16">
        <f>IFERROR(__xludf.DUMMYFUNCTION("""COMPUTED_VALUE"""),-3.0)</f>
        <v>-3</v>
      </c>
      <c r="AW284" s="16">
        <f>IFERROR(__xludf.DUMMYFUNCTION("""COMPUTED_VALUE"""),5.0)</f>
        <v>5</v>
      </c>
      <c r="AX284" s="16">
        <f>IFERROR(__xludf.DUMMYFUNCTION("""COMPUTED_VALUE"""),-3.0)</f>
        <v>-3</v>
      </c>
      <c r="AY284" s="16">
        <f>IFERROR(__xludf.DUMMYFUNCTION("""COMPUTED_VALUE"""),2.0)</f>
        <v>2</v>
      </c>
      <c r="AZ284" s="16">
        <f>IFERROR(__xludf.DUMMYFUNCTION("""COMPUTED_VALUE"""),-9.0)</f>
        <v>-9</v>
      </c>
      <c r="BA284" s="16">
        <f>IFERROR(__xludf.DUMMYFUNCTION("""COMPUTED_VALUE"""),6.0)</f>
        <v>6</v>
      </c>
      <c r="BB284" s="16">
        <f>IFERROR(__xludf.DUMMYFUNCTION("""COMPUTED_VALUE"""),0.0)</f>
        <v>0</v>
      </c>
      <c r="BC284" s="16">
        <f>IFERROR(__xludf.DUMMYFUNCTION("""COMPUTED_VALUE"""),5.0)</f>
        <v>5</v>
      </c>
      <c r="BD284" s="16">
        <f>IFERROR(__xludf.DUMMYFUNCTION("""COMPUTED_VALUE"""),0.0)</f>
        <v>0</v>
      </c>
      <c r="BE284" s="16">
        <f>IFERROR(__xludf.DUMMYFUNCTION("""COMPUTED_VALUE"""),1.0)</f>
        <v>1</v>
      </c>
      <c r="BF284" s="16">
        <f>IFERROR(__xludf.DUMMYFUNCTION("""COMPUTED_VALUE"""),0.0)</f>
        <v>0</v>
      </c>
      <c r="BG284" s="16">
        <f>IFERROR(__xludf.DUMMYFUNCTION("""COMPUTED_VALUE"""),1.0)</f>
        <v>1</v>
      </c>
      <c r="BH284" s="16">
        <f>IFERROR(__xludf.DUMMYFUNCTION("""COMPUTED_VALUE"""),0.0)</f>
        <v>0</v>
      </c>
      <c r="BI284" s="16">
        <f>IFERROR(__xludf.DUMMYFUNCTION("""COMPUTED_VALUE"""),-5.0)</f>
        <v>-5</v>
      </c>
      <c r="BJ284" s="16">
        <f>IFERROR(__xludf.DUMMYFUNCTION("""COMPUTED_VALUE"""),0.0)</f>
        <v>0</v>
      </c>
      <c r="BK284" s="16">
        <f>IFERROR(__xludf.DUMMYFUNCTION("""COMPUTED_VALUE"""),0.0)</f>
        <v>0</v>
      </c>
      <c r="BL284" s="16">
        <f>IFERROR(__xludf.DUMMYFUNCTION("""COMPUTED_VALUE"""),3.0)</f>
        <v>3</v>
      </c>
      <c r="BM284" s="16">
        <f>IFERROR(__xludf.DUMMYFUNCTION("""COMPUTED_VALUE"""),3.0)</f>
        <v>3</v>
      </c>
      <c r="BN284" s="16">
        <f>IFERROR(__xludf.DUMMYFUNCTION("""COMPUTED_VALUE"""),3.0)</f>
        <v>3</v>
      </c>
      <c r="BO284" s="16">
        <f>IFERROR(__xludf.DUMMYFUNCTION("""COMPUTED_VALUE"""),3.0)</f>
        <v>3</v>
      </c>
      <c r="BP284" s="16">
        <f>IFERROR(__xludf.DUMMYFUNCTION("""COMPUTED_VALUE"""),-3.0)</f>
        <v>-3</v>
      </c>
      <c r="BQ284" s="16">
        <f>IFERROR(__xludf.DUMMYFUNCTION("""COMPUTED_VALUE"""),5.0)</f>
        <v>5</v>
      </c>
      <c r="BR284" s="16">
        <f>IFERROR(__xludf.DUMMYFUNCTION("""COMPUTED_VALUE"""),2.0)</f>
        <v>2</v>
      </c>
      <c r="BS284" s="16" t="str">
        <f>IFERROR(__xludf.DUMMYFUNCTION("""COMPUTED_VALUE"""),"*7/- (20-13)")</f>
        <v>*7/- (20-13)</v>
      </c>
      <c r="BT284" s="16" t="str">
        <f>IFERROR(__xludf.DUMMYFUNCTION("""COMPUTED_VALUE"""),"B")</f>
        <v>B</v>
      </c>
      <c r="BU284" s="16">
        <f>IFERROR(__xludf.DUMMYFUNCTION("""COMPUTED_VALUE"""),13.0)</f>
        <v>13</v>
      </c>
      <c r="BV284" s="16">
        <f>IFERROR(__xludf.DUMMYFUNCTION("""COMPUTED_VALUE"""),1.0)</f>
        <v>1</v>
      </c>
      <c r="BW284" s="16">
        <f>IFERROR(__xludf.DUMMYFUNCTION("""COMPUTED_VALUE"""),1.0)</f>
        <v>1</v>
      </c>
      <c r="BX284" s="16">
        <f>IFERROR(__xludf.DUMMYFUNCTION("""COMPUTED_VALUE"""),2.0)</f>
        <v>2</v>
      </c>
      <c r="BY284" s="16">
        <f>IFERROR(__xludf.DUMMYFUNCTION("""COMPUTED_VALUE"""),3.0)</f>
        <v>3</v>
      </c>
      <c r="BZ284" s="16" t="str">
        <f>IFERROR(__xludf.DUMMYFUNCTION("""COMPUTED_VALUE"""),"D")</f>
        <v>D</v>
      </c>
      <c r="CA284" s="16" t="str">
        <f>IFERROR(__xludf.DUMMYFUNCTION("""COMPUTED_VALUE"""),"D")</f>
        <v>D</v>
      </c>
      <c r="CB284" s="16">
        <f>IFERROR(__xludf.DUMMYFUNCTION("""COMPUTED_VALUE"""),0.0)</f>
        <v>0</v>
      </c>
      <c r="CC284" s="16">
        <f>IFERROR(__xludf.DUMMYFUNCTION("""COMPUTED_VALUE"""),0.0)</f>
        <v>0</v>
      </c>
      <c r="CD284" s="16">
        <f>IFERROR(__xludf.DUMMYFUNCTION("""COMPUTED_VALUE"""),0.0)</f>
        <v>0</v>
      </c>
      <c r="CE284" s="16">
        <f>IFERROR(__xludf.DUMMYFUNCTION("""COMPUTED_VALUE"""),0.0)</f>
        <v>0</v>
      </c>
      <c r="CF284" s="16">
        <f>IFERROR(__xludf.DUMMYFUNCTION("""COMPUTED_VALUE"""),6.0)</f>
        <v>6</v>
      </c>
      <c r="CG284" s="16">
        <f>IFERROR(__xludf.DUMMYFUNCTION("""COMPUTED_VALUE"""),-17.0)</f>
        <v>-17</v>
      </c>
      <c r="CH284" s="16">
        <f>IFERROR(__xludf.DUMMYFUNCTION("""COMPUTED_VALUE"""),4.0)</f>
        <v>4</v>
      </c>
      <c r="CI284" s="179">
        <f>IFERROR(__xludf.DUMMYFUNCTION("""COMPUTED_VALUE"""),-8.0)</f>
        <v>-8</v>
      </c>
      <c r="CJ284" s="16"/>
      <c r="CK284" s="16"/>
      <c r="CL284" s="16"/>
      <c r="CM284" s="16"/>
      <c r="CN284" s="16"/>
      <c r="CO284" s="16">
        <f>IFERROR(__xludf.DUMMYFUNCTION("""COMPUTED_VALUE"""),410.0)</f>
        <v>410</v>
      </c>
      <c r="CP284" s="16">
        <f>IFERROR(__xludf.DUMMYFUNCTION("""COMPUTED_VALUE"""),410.0)</f>
        <v>410</v>
      </c>
      <c r="CQ284" s="16"/>
      <c r="CR284" s="16" t="str">
        <f>IFERROR(__xludf.DUMMYFUNCTION("""COMPUTED_VALUE"""),"lf-4(0)e10 cf-4e10")</f>
        <v>lf-4(0)e10 cf-4e10</v>
      </c>
      <c r="CS284" s="16"/>
      <c r="CT284" s="16"/>
      <c r="CU284" s="16"/>
      <c r="CV284" s="16"/>
      <c r="CW284" s="16"/>
      <c r="CX284" s="16">
        <f>IFERROR(__xludf.DUMMYFUNCTION("""COMPUTED_VALUE"""),4.0)</f>
        <v>4</v>
      </c>
      <c r="CY284" s="16">
        <f>IFERROR(__xludf.DUMMYFUNCTION("""COMPUTED_VALUE"""),4.0)</f>
        <v>4</v>
      </c>
      <c r="CZ284" s="16"/>
      <c r="DA284" s="16"/>
      <c r="DB284" s="16"/>
      <c r="DC284" s="16"/>
      <c r="DD284" s="16"/>
      <c r="DE284" s="16"/>
      <c r="DF284" s="16">
        <f>IFERROR(__xludf.DUMMYFUNCTION("""COMPUTED_VALUE"""),10.0)</f>
        <v>10</v>
      </c>
      <c r="DG284" s="16">
        <f>IFERROR(__xludf.DUMMYFUNCTION("""COMPUTED_VALUE"""),10.0)</f>
        <v>10</v>
      </c>
      <c r="DH284" s="16"/>
      <c r="DI284" s="16"/>
      <c r="DJ284" s="16"/>
      <c r="DK284" s="16"/>
      <c r="DL284" s="16"/>
      <c r="DM284" s="16"/>
      <c r="DN284" s="16">
        <f>IFERROR(__xludf.DUMMYFUNCTION("""COMPUTED_VALUE"""),-1.0)</f>
        <v>-1</v>
      </c>
      <c r="DO284" s="16">
        <f>IFERROR(__xludf.DUMMYFUNCTION("""COMPUTED_VALUE"""),-2.0)</f>
        <v>-2</v>
      </c>
      <c r="DP284" s="16"/>
      <c r="DQ284" s="16"/>
      <c r="DR284" s="16"/>
      <c r="DS284" s="16"/>
      <c r="DT284" s="16"/>
      <c r="DU284" s="16"/>
      <c r="DV284" s="16">
        <f>IFERROR(__xludf.DUMMYFUNCTION("""COMPUTED_VALUE"""),0.0)</f>
        <v>0</v>
      </c>
      <c r="DW284" s="16">
        <f>IFERROR(__xludf.DUMMYFUNCTION("""COMPUTED_VALUE"""),2.0)</f>
        <v>2</v>
      </c>
      <c r="DX284" s="16"/>
      <c r="DY284" s="16"/>
      <c r="DZ284" s="16"/>
      <c r="EA284" s="16"/>
      <c r="EB284" s="16"/>
      <c r="EC284" s="16"/>
      <c r="ED284" s="16">
        <f>IFERROR(__xludf.DUMMYFUNCTION("""COMPUTED_VALUE"""),-1.0)</f>
        <v>-1</v>
      </c>
      <c r="EE284" s="16">
        <f>IFERROR(__xludf.DUMMYFUNCTION("""COMPUTED_VALUE"""),0.0)</f>
        <v>0</v>
      </c>
      <c r="EF284" s="16"/>
      <c r="EG284" s="179"/>
      <c r="EH284" s="179"/>
      <c r="EI284" s="179"/>
      <c r="EJ284" s="179"/>
      <c r="EK284" s="179"/>
      <c r="EL284" s="179">
        <f>IFERROR(__xludf.DUMMYFUNCTION("""COMPUTED_VALUE"""),-9.0)</f>
        <v>-9</v>
      </c>
      <c r="EM284" s="179">
        <f>IFERROR(__xludf.DUMMYFUNCTION("""COMPUTED_VALUE"""),-8.0)</f>
        <v>-8</v>
      </c>
      <c r="EN284" s="179"/>
      <c r="EO284" s="16"/>
      <c r="EP284" s="16"/>
      <c r="EQ284" s="16">
        <f>IFERROR(__xludf.DUMMYFUNCTION("""COMPUTED_VALUE"""),-4.0)</f>
        <v>-4</v>
      </c>
      <c r="ER284" s="16">
        <f>IFERROR(__xludf.DUMMYFUNCTION("""COMPUTED_VALUE"""),-4.0)</f>
        <v>-4</v>
      </c>
      <c r="ES284" s="16"/>
      <c r="ET284" s="16"/>
      <c r="EU284" s="16"/>
      <c r="EV284" s="16"/>
      <c r="EW284" s="16"/>
      <c r="EX284" s="180"/>
      <c r="EY284" s="180"/>
      <c r="EZ284" s="180"/>
      <c r="FA284" s="180"/>
      <c r="FB284" s="180"/>
      <c r="FC284" s="180">
        <f>IFERROR(__xludf.DUMMYFUNCTION("""COMPUTED_VALUE"""),0.55)</f>
        <v>0.55</v>
      </c>
      <c r="FD284" s="180">
        <f>IFERROR(__xludf.DUMMYFUNCTION("""COMPUTED_VALUE"""),0.55)</f>
        <v>0.55</v>
      </c>
      <c r="FE284" s="180"/>
      <c r="FF284" s="180"/>
      <c r="FG284" s="180"/>
      <c r="FH284" s="180"/>
      <c r="FI284" s="180"/>
      <c r="FJ284" s="180"/>
      <c r="FK284" s="180">
        <f>IFERROR(__xludf.DUMMYFUNCTION("""COMPUTED_VALUE"""),0.181)</f>
        <v>0.181</v>
      </c>
      <c r="FL284" s="180">
        <f>IFERROR(__xludf.DUMMYFUNCTION("""COMPUTED_VALUE"""),0.12037037037037036)</f>
        <v>0.1203703704</v>
      </c>
      <c r="FM284" s="180"/>
      <c r="FN284" s="16"/>
      <c r="FO284" s="16"/>
      <c r="FP284" s="16"/>
      <c r="FQ284" s="16"/>
      <c r="FR284" s="16"/>
      <c r="FS284" s="16">
        <f>IFERROR(__xludf.DUMMYFUNCTION("""COMPUTED_VALUE"""),0.36854999999999993)</f>
        <v>0.36855</v>
      </c>
      <c r="FT284" s="16">
        <f>IFERROR(__xludf.DUMMYFUNCTION("""COMPUTED_VALUE"""),0.3958333333333333)</f>
        <v>0.3958333333</v>
      </c>
      <c r="FU284" s="16"/>
      <c r="FV284" s="16"/>
      <c r="FW284" s="16"/>
      <c r="FX284" s="16"/>
      <c r="FY284" s="16"/>
      <c r="FZ284" s="16"/>
      <c r="GA284" s="16">
        <f>IFERROR(__xludf.DUMMYFUNCTION("""COMPUTED_VALUE"""),-8.0)</f>
        <v>-8</v>
      </c>
      <c r="GB284" s="16">
        <f>IFERROR(__xludf.DUMMYFUNCTION("""COMPUTED_VALUE"""),-8.0)</f>
        <v>-8</v>
      </c>
      <c r="GC284" s="16"/>
      <c r="GD284" s="16" t="s">
        <v>176</v>
      </c>
    </row>
    <row r="285">
      <c r="A285" s="16">
        <f>IFERROR(__xludf.DUMMYFUNCTION("""COMPUTED_VALUE"""),13082.0)</f>
        <v>13082</v>
      </c>
      <c r="B285" s="16" t="str">
        <f>IFERROR(__xludf.DUMMYFUNCTION("""COMPUTED_VALUE"""),"Kody Clemens")</f>
        <v>Kody Clemens</v>
      </c>
      <c r="C285" s="16">
        <f>IFERROR(__xludf.DUMMYFUNCTION("""COMPUTED_VALUE"""),0.44)</f>
        <v>0.44</v>
      </c>
      <c r="D285" s="16" t="str">
        <f>IFERROR(__xludf.DUMMYFUNCTION("""COMPUTED_VALUE"""),"L")</f>
        <v>L</v>
      </c>
      <c r="E285" s="16"/>
      <c r="F285" s="16"/>
      <c r="G285" s="16">
        <f>IFERROR(__xludf.DUMMYFUNCTION("""COMPUTED_VALUE"""),114.0)</f>
        <v>114</v>
      </c>
      <c r="H285" s="16">
        <f>IFERROR(__xludf.DUMMYFUNCTION("""COMPUTED_VALUE"""),5.0)</f>
        <v>5</v>
      </c>
      <c r="I285" s="16" t="str">
        <f>IFERROR(__xludf.DUMMYFUNCTION("""COMPUTED_VALUE"""),"2p20")</f>
        <v>2p20</v>
      </c>
      <c r="J285" s="16">
        <f>IFERROR(__xludf.DUMMYFUNCTION("""COMPUTED_VALUE"""),14.0)</f>
        <v>14</v>
      </c>
      <c r="K285" s="16">
        <f>IFERROR(__xludf.DUMMYFUNCTION("""COMPUTED_VALUE"""),30.0)</f>
        <v>30</v>
      </c>
      <c r="L285" s="16">
        <f>IFERROR(__xludf.DUMMYFUNCTION("""COMPUTED_VALUE"""),1.0)</f>
        <v>1</v>
      </c>
      <c r="M285" s="16">
        <f>IFERROR(__xludf.DUMMYFUNCTION("""COMPUTED_VALUE"""),-1.0)</f>
        <v>-1</v>
      </c>
      <c r="N285" s="16">
        <f>IFERROR(__xludf.DUMMYFUNCTION("""COMPUTED_VALUE"""),1.0)</f>
        <v>1</v>
      </c>
      <c r="O285" s="16">
        <f>IFERROR(__xludf.DUMMYFUNCTION("""COMPUTED_VALUE"""),-1.0)</f>
        <v>-1</v>
      </c>
      <c r="P285" s="16">
        <f>IFERROR(__xludf.DUMMYFUNCTION("""COMPUTED_VALUE"""),2.0)</f>
        <v>2</v>
      </c>
      <c r="Q285" s="16">
        <f>IFERROR(__xludf.DUMMYFUNCTION("""COMPUTED_VALUE"""),0.0)</f>
        <v>0</v>
      </c>
      <c r="R285" s="16">
        <f>IFERROR(__xludf.DUMMYFUNCTION("""COMPUTED_VALUE"""),-2.0)</f>
        <v>-2</v>
      </c>
      <c r="S285" s="16">
        <f>IFERROR(__xludf.DUMMYFUNCTION("""COMPUTED_VALUE"""),-2.0)</f>
        <v>-2</v>
      </c>
      <c r="T285" s="16">
        <f>IFERROR(__xludf.DUMMYFUNCTION("""COMPUTED_VALUE"""),-2.0)</f>
        <v>-2</v>
      </c>
      <c r="U285" s="16">
        <f>IFERROR(__xludf.DUMMYFUNCTION("""COMPUTED_VALUE"""),-2.0)</f>
        <v>-2</v>
      </c>
      <c r="V285" s="16">
        <f>IFERROR(__xludf.DUMMYFUNCTION("""COMPUTED_VALUE"""),12.8)</f>
        <v>12.8</v>
      </c>
      <c r="W285" s="16">
        <f>IFERROR(__xludf.DUMMYFUNCTION("""COMPUTED_VALUE"""),17.8)</f>
        <v>17.8</v>
      </c>
      <c r="X285" s="16">
        <f>IFERROR(__xludf.DUMMYFUNCTION("""COMPUTED_VALUE"""),-1.0)</f>
        <v>-1</v>
      </c>
      <c r="Y285" s="16">
        <f>IFERROR(__xludf.DUMMYFUNCTION("""COMPUTED_VALUE"""),0.0)</f>
        <v>0</v>
      </c>
      <c r="Z285" s="16">
        <f>IFERROR(__xludf.DUMMYFUNCTION("""COMPUTED_VALUE"""),-2.0)</f>
        <v>-2</v>
      </c>
      <c r="AA285" s="16">
        <f>IFERROR(__xludf.DUMMYFUNCTION("""COMPUTED_VALUE"""),0.0)</f>
        <v>0</v>
      </c>
      <c r="AB285" s="16">
        <f>IFERROR(__xludf.DUMMYFUNCTION("""COMPUTED_VALUE"""),16.8)</f>
        <v>16.8</v>
      </c>
      <c r="AC285" s="16">
        <f>IFERROR(__xludf.DUMMYFUNCTION("""COMPUTED_VALUE"""),19.8)</f>
        <v>19.8</v>
      </c>
      <c r="AD285" s="16">
        <f>IFERROR(__xludf.DUMMYFUNCTION("""COMPUTED_VALUE"""),-2.0)</f>
        <v>-2</v>
      </c>
      <c r="AE285" s="16">
        <f>IFERROR(__xludf.DUMMYFUNCTION("""COMPUTED_VALUE"""),-2.0)</f>
        <v>-2</v>
      </c>
      <c r="AF285" s="16">
        <f>IFERROR(__xludf.DUMMYFUNCTION("""COMPUTED_VALUE"""),-10.0)</f>
        <v>-10</v>
      </c>
      <c r="AG285" s="16">
        <f>IFERROR(__xludf.DUMMYFUNCTION("""COMPUTED_VALUE"""),-10.0)</f>
        <v>-10</v>
      </c>
      <c r="AH285" s="16">
        <f>IFERROR(__xludf.DUMMYFUNCTION("""COMPUTED_VALUE"""),23.3)</f>
        <v>23.3</v>
      </c>
      <c r="AI285" s="16">
        <f>IFERROR(__xludf.DUMMYFUNCTION("""COMPUTED_VALUE"""),44.3)</f>
        <v>44.3</v>
      </c>
      <c r="AJ285" s="16">
        <f>IFERROR(__xludf.DUMMYFUNCTION("""COMPUTED_VALUE"""),-1.0)</f>
        <v>-1</v>
      </c>
      <c r="AK285" s="16">
        <f>IFERROR(__xludf.DUMMYFUNCTION("""COMPUTED_VALUE"""),1.0)</f>
        <v>1</v>
      </c>
      <c r="AL285" s="16">
        <f>IFERROR(__xludf.DUMMYFUNCTION("""COMPUTED_VALUE"""),-5.0)</f>
        <v>-5</v>
      </c>
      <c r="AM285" s="16">
        <f>IFERROR(__xludf.DUMMYFUNCTION("""COMPUTED_VALUE"""),5.0)</f>
        <v>5</v>
      </c>
      <c r="AN285" s="16">
        <f>IFERROR(__xludf.DUMMYFUNCTION("""COMPUTED_VALUE"""),0.0)</f>
        <v>0</v>
      </c>
      <c r="AO285" s="16">
        <f>IFERROR(__xludf.DUMMYFUNCTION("""COMPUTED_VALUE"""),4.2)</f>
        <v>4.2</v>
      </c>
      <c r="AP285" s="16">
        <f>IFERROR(__xludf.DUMMYFUNCTION("""COMPUTED_VALUE"""),-2.0)</f>
        <v>-2</v>
      </c>
      <c r="AQ285" s="16">
        <f>IFERROR(__xludf.DUMMYFUNCTION("""COMPUTED_VALUE"""),2.0)</f>
        <v>2</v>
      </c>
      <c r="AR285" s="16">
        <f>IFERROR(__xludf.DUMMYFUNCTION("""COMPUTED_VALUE"""),-4.0)</f>
        <v>-4</v>
      </c>
      <c r="AS285" s="16">
        <f>IFERROR(__xludf.DUMMYFUNCTION("""COMPUTED_VALUE"""),4.0)</f>
        <v>4</v>
      </c>
      <c r="AT285" s="16"/>
      <c r="AU285" s="16"/>
      <c r="AV285" s="16">
        <f>IFERROR(__xludf.DUMMYFUNCTION("""COMPUTED_VALUE"""),-3.0)</f>
        <v>-3</v>
      </c>
      <c r="AW285" s="16">
        <f>IFERROR(__xludf.DUMMYFUNCTION("""COMPUTED_VALUE"""),5.0)</f>
        <v>5</v>
      </c>
      <c r="AX285" s="16">
        <f>IFERROR(__xludf.DUMMYFUNCTION("""COMPUTED_VALUE"""),-3.0)</f>
        <v>-3</v>
      </c>
      <c r="AY285" s="16">
        <f>IFERROR(__xludf.DUMMYFUNCTION("""COMPUTED_VALUE"""),2.0)</f>
        <v>2</v>
      </c>
      <c r="AZ285" s="16">
        <f>IFERROR(__xludf.DUMMYFUNCTION("""COMPUTED_VALUE"""),-9.0)</f>
        <v>-9</v>
      </c>
      <c r="BA285" s="16">
        <f>IFERROR(__xludf.DUMMYFUNCTION("""COMPUTED_VALUE"""),6.0)</f>
        <v>6</v>
      </c>
      <c r="BB285" s="16">
        <f>IFERROR(__xludf.DUMMYFUNCTION("""COMPUTED_VALUE"""),0.0)</f>
        <v>0</v>
      </c>
      <c r="BC285" s="16">
        <f>IFERROR(__xludf.DUMMYFUNCTION("""COMPUTED_VALUE"""),0.0)</f>
        <v>0</v>
      </c>
      <c r="BD285" s="16">
        <f>IFERROR(__xludf.DUMMYFUNCTION("""COMPUTED_VALUE"""),0.0)</f>
        <v>0</v>
      </c>
      <c r="BE285" s="16">
        <f>IFERROR(__xludf.DUMMYFUNCTION("""COMPUTED_VALUE"""),0.0)</f>
        <v>0</v>
      </c>
      <c r="BF285" s="16">
        <f>IFERROR(__xludf.DUMMYFUNCTION("""COMPUTED_VALUE"""),0.0)</f>
        <v>0</v>
      </c>
      <c r="BG285" s="16">
        <f>IFERROR(__xludf.DUMMYFUNCTION("""COMPUTED_VALUE"""),0.0)</f>
        <v>0</v>
      </c>
      <c r="BH285" s="16">
        <f>IFERROR(__xludf.DUMMYFUNCTION("""COMPUTED_VALUE"""),0.0)</f>
        <v>0</v>
      </c>
      <c r="BI285" s="16">
        <f>IFERROR(__xludf.DUMMYFUNCTION("""COMPUTED_VALUE"""),0.0)</f>
        <v>0</v>
      </c>
      <c r="BJ285" s="16">
        <f>IFERROR(__xludf.DUMMYFUNCTION("""COMPUTED_VALUE"""),14.0)</f>
        <v>14</v>
      </c>
      <c r="BK285" s="16">
        <f>IFERROR(__xludf.DUMMYFUNCTION("""COMPUTED_VALUE"""),14.0)</f>
        <v>14</v>
      </c>
      <c r="BL285" s="16">
        <f>IFERROR(__xludf.DUMMYFUNCTION("""COMPUTED_VALUE"""),0.0)</f>
        <v>0</v>
      </c>
      <c r="BM285" s="16">
        <f>IFERROR(__xludf.DUMMYFUNCTION("""COMPUTED_VALUE"""),0.0)</f>
        <v>0</v>
      </c>
      <c r="BN285" s="16">
        <f>IFERROR(__xludf.DUMMYFUNCTION("""COMPUTED_VALUE"""),0.0)</f>
        <v>0</v>
      </c>
      <c r="BO285" s="16">
        <f>IFERROR(__xludf.DUMMYFUNCTION("""COMPUTED_VALUE"""),0.0)</f>
        <v>0</v>
      </c>
      <c r="BP285" s="16">
        <f>IFERROR(__xludf.DUMMYFUNCTION("""COMPUTED_VALUE"""),-10.0)</f>
        <v>-10</v>
      </c>
      <c r="BQ285" s="16">
        <f>IFERROR(__xludf.DUMMYFUNCTION("""COMPUTED_VALUE"""),0.0)</f>
        <v>0</v>
      </c>
      <c r="BR285" s="16">
        <f>IFERROR(__xludf.DUMMYFUNCTION("""COMPUTED_VALUE"""),-10.0)</f>
        <v>-10</v>
      </c>
      <c r="BS285" s="16" t="str">
        <f>IFERROR(__xludf.DUMMYFUNCTION("""COMPUTED_VALUE"""),"-/- (---)")</f>
        <v>-/- (---)</v>
      </c>
      <c r="BT285" s="16" t="str">
        <f>IFERROR(__xludf.DUMMYFUNCTION("""COMPUTED_VALUE"""),"E")</f>
        <v>E</v>
      </c>
      <c r="BU285" s="16">
        <f>IFERROR(__xludf.DUMMYFUNCTION("""COMPUTED_VALUE"""),13.0)</f>
        <v>13</v>
      </c>
      <c r="BV285" s="16">
        <f>IFERROR(__xludf.DUMMYFUNCTION("""COMPUTED_VALUE"""),0.0)</f>
        <v>0</v>
      </c>
      <c r="BW285" s="16">
        <f>IFERROR(__xludf.DUMMYFUNCTION("""COMPUTED_VALUE"""),1.0)</f>
        <v>1</v>
      </c>
      <c r="BX285" s="16">
        <f>IFERROR(__xludf.DUMMYFUNCTION("""COMPUTED_VALUE"""),0.0)</f>
        <v>0</v>
      </c>
      <c r="BY285" s="16">
        <f>IFERROR(__xludf.DUMMYFUNCTION("""COMPUTED_VALUE"""),3.0)</f>
        <v>3</v>
      </c>
      <c r="BZ285" s="16" t="str">
        <f>IFERROR(__xludf.DUMMYFUNCTION("""COMPUTED_VALUE"""),"D")</f>
        <v>D</v>
      </c>
      <c r="CA285" s="16" t="str">
        <f>IFERROR(__xludf.DUMMYFUNCTION("""COMPUTED_VALUE"""),"C")</f>
        <v>C</v>
      </c>
      <c r="CB285" s="16">
        <f>IFERROR(__xludf.DUMMYFUNCTION("""COMPUTED_VALUE"""),0.0)</f>
        <v>0</v>
      </c>
      <c r="CC285" s="16">
        <f>IFERROR(__xludf.DUMMYFUNCTION("""COMPUTED_VALUE"""),0.0)</f>
        <v>0</v>
      </c>
      <c r="CD285" s="16">
        <f>IFERROR(__xludf.DUMMYFUNCTION("""COMPUTED_VALUE"""),0.0)</f>
        <v>0</v>
      </c>
      <c r="CE285" s="16">
        <f>IFERROR(__xludf.DUMMYFUNCTION("""COMPUTED_VALUE"""),0.0)</f>
        <v>0</v>
      </c>
      <c r="CF285" s="16">
        <f>IFERROR(__xludf.DUMMYFUNCTION("""COMPUTED_VALUE"""),2.0)</f>
        <v>2</v>
      </c>
      <c r="CG285" s="16">
        <f>IFERROR(__xludf.DUMMYFUNCTION("""COMPUTED_VALUE"""),-31.0)</f>
        <v>-31</v>
      </c>
      <c r="CH285" s="16">
        <f>IFERROR(__xludf.DUMMYFUNCTION("""COMPUTED_VALUE"""),2.0)</f>
        <v>2</v>
      </c>
      <c r="CI285" s="179">
        <f>IFERROR(__xludf.DUMMYFUNCTION("""COMPUTED_VALUE"""),-8.0)</f>
        <v>-8</v>
      </c>
      <c r="CJ285" s="16"/>
      <c r="CK285" s="16">
        <f>IFERROR(__xludf.DUMMYFUNCTION("""COMPUTED_VALUE"""),303.0)</f>
        <v>303</v>
      </c>
      <c r="CL285" s="16">
        <f>IFERROR(__xludf.DUMMYFUNCTION("""COMPUTED_VALUE"""),306.0)</f>
        <v>306</v>
      </c>
      <c r="CM285" s="16">
        <f>IFERROR(__xludf.DUMMYFUNCTION("""COMPUTED_VALUE"""),353.0)</f>
        <v>353</v>
      </c>
      <c r="CN285" s="16"/>
      <c r="CO285" s="16">
        <f>IFERROR(__xludf.DUMMYFUNCTION("""COMPUTED_VALUE"""),504.0)</f>
        <v>504</v>
      </c>
      <c r="CP285" s="16"/>
      <c r="CQ285" s="16"/>
      <c r="CR285" s="16" t="str">
        <f>IFERROR(__xludf.DUMMYFUNCTION("""COMPUTED_VALUE"""),"1b-3e3 3b-3e53 2b-3e6 lf-5(+2)e4")</f>
        <v>1b-3e3 3b-3e53 2b-3e6 lf-5(+2)e4</v>
      </c>
      <c r="CS285" s="16"/>
      <c r="CT285" s="16">
        <f>IFERROR(__xludf.DUMMYFUNCTION("""COMPUTED_VALUE"""),3.0)</f>
        <v>3</v>
      </c>
      <c r="CU285" s="16">
        <f>IFERROR(__xludf.DUMMYFUNCTION("""COMPUTED_VALUE"""),3.0)</f>
        <v>3</v>
      </c>
      <c r="CV285" s="16">
        <f>IFERROR(__xludf.DUMMYFUNCTION("""COMPUTED_VALUE"""),3.0)</f>
        <v>3</v>
      </c>
      <c r="CW285" s="16"/>
      <c r="CX285" s="16">
        <f>IFERROR(__xludf.DUMMYFUNCTION("""COMPUTED_VALUE"""),5.0)</f>
        <v>5</v>
      </c>
      <c r="CY285" s="16"/>
      <c r="CZ285" s="16"/>
      <c r="DA285" s="16"/>
      <c r="DB285" s="16">
        <f>IFERROR(__xludf.DUMMYFUNCTION("""COMPUTED_VALUE"""),3.0)</f>
        <v>3</v>
      </c>
      <c r="DC285" s="16">
        <f>IFERROR(__xludf.DUMMYFUNCTION("""COMPUTED_VALUE"""),6.0)</f>
        <v>6</v>
      </c>
      <c r="DD285" s="16">
        <f>IFERROR(__xludf.DUMMYFUNCTION("""COMPUTED_VALUE"""),53.0)</f>
        <v>53</v>
      </c>
      <c r="DE285" s="16"/>
      <c r="DF285" s="16">
        <f>IFERROR(__xludf.DUMMYFUNCTION("""COMPUTED_VALUE"""),4.0)</f>
        <v>4</v>
      </c>
      <c r="DG285" s="16"/>
      <c r="DH285" s="16"/>
      <c r="DI285" s="16"/>
      <c r="DJ285" s="16">
        <f>IFERROR(__xludf.DUMMYFUNCTION("""COMPUTED_VALUE"""),1.0)</f>
        <v>1</v>
      </c>
      <c r="DK285" s="16">
        <f>IFERROR(__xludf.DUMMYFUNCTION("""COMPUTED_VALUE"""),0.0)</f>
        <v>0</v>
      </c>
      <c r="DL285" s="16">
        <f>IFERROR(__xludf.DUMMYFUNCTION("""COMPUTED_VALUE"""),1.0)</f>
        <v>1</v>
      </c>
      <c r="DM285" s="16"/>
      <c r="DN285" s="16">
        <f>IFERROR(__xludf.DUMMYFUNCTION("""COMPUTED_VALUE"""),-3.0)</f>
        <v>-3</v>
      </c>
      <c r="DO285" s="16"/>
      <c r="DP285" s="16"/>
      <c r="DQ285" s="16"/>
      <c r="DR285" s="16">
        <f>IFERROR(__xludf.DUMMYFUNCTION("""COMPUTED_VALUE"""),4.0)</f>
        <v>4</v>
      </c>
      <c r="DS285" s="16">
        <f>IFERROR(__xludf.DUMMYFUNCTION("""COMPUTED_VALUE"""),3.0)</f>
        <v>3</v>
      </c>
      <c r="DT285" s="16">
        <f>IFERROR(__xludf.DUMMYFUNCTION("""COMPUTED_VALUE"""),-2.0)</f>
        <v>-2</v>
      </c>
      <c r="DU285" s="16"/>
      <c r="DV285" s="16">
        <f>IFERROR(__xludf.DUMMYFUNCTION("""COMPUTED_VALUE"""),2.0)</f>
        <v>2</v>
      </c>
      <c r="DW285" s="16"/>
      <c r="DX285" s="16"/>
      <c r="DY285" s="16"/>
      <c r="DZ285" s="16">
        <f>IFERROR(__xludf.DUMMYFUNCTION("""COMPUTED_VALUE"""),5.0)</f>
        <v>5</v>
      </c>
      <c r="EA285" s="16">
        <f>IFERROR(__xludf.DUMMYFUNCTION("""COMPUTED_VALUE"""),3.0)</f>
        <v>3</v>
      </c>
      <c r="EB285" s="16">
        <f>IFERROR(__xludf.DUMMYFUNCTION("""COMPUTED_VALUE"""),-1.0)</f>
        <v>-1</v>
      </c>
      <c r="EC285" s="16"/>
      <c r="ED285" s="16">
        <f>IFERROR(__xludf.DUMMYFUNCTION("""COMPUTED_VALUE"""),-1.0)</f>
        <v>-1</v>
      </c>
      <c r="EE285" s="16"/>
      <c r="EF285" s="16"/>
      <c r="EG285" s="179"/>
      <c r="EH285" s="179">
        <f>IFERROR(__xludf.DUMMYFUNCTION("""COMPUTED_VALUE"""),-3.0)</f>
        <v>-3</v>
      </c>
      <c r="EI285" s="179">
        <f>IFERROR(__xludf.DUMMYFUNCTION("""COMPUTED_VALUE"""),-5.0)</f>
        <v>-5</v>
      </c>
      <c r="EJ285" s="179">
        <f>IFERROR(__xludf.DUMMYFUNCTION("""COMPUTED_VALUE"""),-9.0)</f>
        <v>-9</v>
      </c>
      <c r="EK285" s="179"/>
      <c r="EL285" s="179">
        <f>IFERROR(__xludf.DUMMYFUNCTION("""COMPUTED_VALUE"""),-9.0)</f>
        <v>-9</v>
      </c>
      <c r="EM285" s="179"/>
      <c r="EN285" s="179"/>
      <c r="EO285" s="16"/>
      <c r="EP285" s="16"/>
      <c r="EQ285" s="16">
        <f>IFERROR(__xludf.DUMMYFUNCTION("""COMPUTED_VALUE"""),2.0)</f>
        <v>2</v>
      </c>
      <c r="ER285" s="16">
        <f>IFERROR(__xludf.DUMMYFUNCTION("""COMPUTED_VALUE"""),-4.0)</f>
        <v>-4</v>
      </c>
      <c r="ES285" s="16"/>
      <c r="ET285" s="16"/>
      <c r="EU285" s="16"/>
      <c r="EV285" s="16"/>
      <c r="EW285" s="16"/>
      <c r="EX285" s="180"/>
      <c r="EY285" s="180">
        <f>IFERROR(__xludf.DUMMYFUNCTION("""COMPUTED_VALUE"""),0.2)</f>
        <v>0.2</v>
      </c>
      <c r="EZ285" s="180">
        <f>IFERROR(__xludf.DUMMYFUNCTION("""COMPUTED_VALUE"""),0.2)</f>
        <v>0.2</v>
      </c>
      <c r="FA285" s="180">
        <f>IFERROR(__xludf.DUMMYFUNCTION("""COMPUTED_VALUE"""),0.2)</f>
        <v>0.2</v>
      </c>
      <c r="FB285" s="180"/>
      <c r="FC285" s="180">
        <f>IFERROR(__xludf.DUMMYFUNCTION("""COMPUTED_VALUE"""),0.75)</f>
        <v>0.75</v>
      </c>
      <c r="FD285" s="180"/>
      <c r="FE285" s="180"/>
      <c r="FF285" s="180"/>
      <c r="FG285" s="180">
        <f>IFERROR(__xludf.DUMMYFUNCTION("""COMPUTED_VALUE"""),0.05555555555555555)</f>
        <v>0.05555555556</v>
      </c>
      <c r="FH285" s="180">
        <f>IFERROR(__xludf.DUMMYFUNCTION("""COMPUTED_VALUE"""),0.037037037037037035)</f>
        <v>0.03703703704</v>
      </c>
      <c r="FI285" s="180">
        <f>IFERROR(__xludf.DUMMYFUNCTION("""COMPUTED_VALUE"""),0.6342592592592593)</f>
        <v>0.6342592593</v>
      </c>
      <c r="FJ285" s="180"/>
      <c r="FK285" s="180">
        <f>IFERROR(__xludf.DUMMYFUNCTION("""COMPUTED_VALUE"""),0.069)</f>
        <v>0.069</v>
      </c>
      <c r="FL285" s="180"/>
      <c r="FM285" s="180"/>
      <c r="FN285" s="16"/>
      <c r="FO285" s="16">
        <f>IFERROR(__xludf.DUMMYFUNCTION("""COMPUTED_VALUE"""),0.7555555555555555)</f>
        <v>0.7555555556</v>
      </c>
      <c r="FP285" s="16">
        <f>IFERROR(__xludf.DUMMYFUNCTION("""COMPUTED_VALUE"""),0.7703703703703705)</f>
        <v>0.7703703704</v>
      </c>
      <c r="FQ285" s="16">
        <f>IFERROR(__xludf.DUMMYFUNCTION("""COMPUTED_VALUE"""),0.29259259259259257)</f>
        <v>0.2925925926</v>
      </c>
      <c r="FR285" s="16"/>
      <c r="FS285" s="16">
        <f>IFERROR(__xludf.DUMMYFUNCTION("""COMPUTED_VALUE"""),0.23275)</f>
        <v>0.23275</v>
      </c>
      <c r="FT285" s="16"/>
      <c r="FU285" s="16"/>
      <c r="FV285" s="16"/>
      <c r="FW285" s="16">
        <f>IFERROR(__xludf.DUMMYFUNCTION("""COMPUTED_VALUE"""),-1.0)</f>
        <v>-1</v>
      </c>
      <c r="FX285" s="16">
        <f>IFERROR(__xludf.DUMMYFUNCTION("""COMPUTED_VALUE"""),-1.0)</f>
        <v>-1</v>
      </c>
      <c r="FY285" s="16">
        <f>IFERROR(__xludf.DUMMYFUNCTION("""COMPUTED_VALUE"""),-8.0)</f>
        <v>-8</v>
      </c>
      <c r="FZ285" s="16"/>
      <c r="GA285" s="16">
        <f>IFERROR(__xludf.DUMMYFUNCTION("""COMPUTED_VALUE"""),-8.0)</f>
        <v>-8</v>
      </c>
      <c r="GB285" s="16"/>
      <c r="GC285" s="16"/>
      <c r="GD285" s="16" t="s">
        <v>176</v>
      </c>
    </row>
    <row r="286">
      <c r="A286" s="16">
        <f>IFERROR(__xludf.DUMMYFUNCTION("""COMPUTED_VALUE"""),12578.0)</f>
        <v>12578</v>
      </c>
      <c r="B286" s="16" t="str">
        <f>IFERROR(__xludf.DUMMYFUNCTION("""COMPUTED_VALUE"""),"Ben Rortvedt")</f>
        <v>Ben Rortvedt</v>
      </c>
      <c r="C286" s="16">
        <f>IFERROR(__xludf.DUMMYFUNCTION("""COMPUTED_VALUE"""),0.8)</f>
        <v>0.8</v>
      </c>
      <c r="D286" s="16" t="str">
        <f>IFERROR(__xludf.DUMMYFUNCTION("""COMPUTED_VALUE"""),"L")</f>
        <v>L</v>
      </c>
      <c r="E286" s="16"/>
      <c r="F286" s="16"/>
      <c r="G286" s="16">
        <f>IFERROR(__xludf.DUMMYFUNCTION("""COMPUTED_VALUE"""),290.0)</f>
        <v>290</v>
      </c>
      <c r="H286" s="16">
        <f>IFERROR(__xludf.DUMMYFUNCTION("""COMPUTED_VALUE"""),34.0)</f>
        <v>34</v>
      </c>
      <c r="I286" s="16" t="str">
        <f>IFERROR(__xludf.DUMMYFUNCTION("""COMPUTED_VALUE"""),"2p50")</f>
        <v>2p50</v>
      </c>
      <c r="J286" s="16">
        <f>IFERROR(__xludf.DUMMYFUNCTION("""COMPUTED_VALUE"""),36.0)</f>
        <v>36</v>
      </c>
      <c r="K286" s="16">
        <f>IFERROR(__xludf.DUMMYFUNCTION("""COMPUTED_VALUE"""),33.0)</f>
        <v>33</v>
      </c>
      <c r="L286" s="16">
        <f>IFERROR(__xludf.DUMMYFUNCTION("""COMPUTED_VALUE"""),-1.0)</f>
        <v>-1</v>
      </c>
      <c r="M286" s="16">
        <f>IFERROR(__xludf.DUMMYFUNCTION("""COMPUTED_VALUE"""),-1.0)</f>
        <v>-1</v>
      </c>
      <c r="N286" s="16">
        <f>IFERROR(__xludf.DUMMYFUNCTION("""COMPUTED_VALUE"""),-1.0)</f>
        <v>-1</v>
      </c>
      <c r="O286" s="16">
        <f>IFERROR(__xludf.DUMMYFUNCTION("""COMPUTED_VALUE"""),-1.0)</f>
        <v>-1</v>
      </c>
      <c r="P286" s="16">
        <f>IFERROR(__xludf.DUMMYFUNCTION("""COMPUTED_VALUE"""),13.0)</f>
        <v>13</v>
      </c>
      <c r="Q286" s="16">
        <f>IFERROR(__xludf.DUMMYFUNCTION("""COMPUTED_VALUE"""),13.0)</f>
        <v>13</v>
      </c>
      <c r="R286" s="16">
        <f>IFERROR(__xludf.DUMMYFUNCTION("""COMPUTED_VALUE"""),2.0)</f>
        <v>2</v>
      </c>
      <c r="S286" s="16">
        <f>IFERROR(__xludf.DUMMYFUNCTION("""COMPUTED_VALUE"""),1.0)</f>
        <v>1</v>
      </c>
      <c r="T286" s="16">
        <f>IFERROR(__xludf.DUMMYFUNCTION("""COMPUTED_VALUE"""),2.0)</f>
        <v>2</v>
      </c>
      <c r="U286" s="16">
        <f>IFERROR(__xludf.DUMMYFUNCTION("""COMPUTED_VALUE"""),1.0)</f>
        <v>1</v>
      </c>
      <c r="V286" s="16">
        <f>IFERROR(__xludf.DUMMYFUNCTION("""COMPUTED_VALUE"""),16.5)</f>
        <v>16.5</v>
      </c>
      <c r="W286" s="16">
        <f>IFERROR(__xludf.DUMMYFUNCTION("""COMPUTED_VALUE"""),18.3)</f>
        <v>18.3</v>
      </c>
      <c r="X286" s="16">
        <f>IFERROR(__xludf.DUMMYFUNCTION("""COMPUTED_VALUE"""),0.0)</f>
        <v>0</v>
      </c>
      <c r="Y286" s="16">
        <f>IFERROR(__xludf.DUMMYFUNCTION("""COMPUTED_VALUE"""),0.0)</f>
        <v>0</v>
      </c>
      <c r="Z286" s="16">
        <f>IFERROR(__xludf.DUMMYFUNCTION("""COMPUTED_VALUE"""),0.0)</f>
        <v>0</v>
      </c>
      <c r="AA286" s="16">
        <f>IFERROR(__xludf.DUMMYFUNCTION("""COMPUTED_VALUE"""),0.0)</f>
        <v>0</v>
      </c>
      <c r="AB286" s="16">
        <f>IFERROR(__xludf.DUMMYFUNCTION("""COMPUTED_VALUE"""),32.5)</f>
        <v>32.5</v>
      </c>
      <c r="AC286" s="16">
        <f>IFERROR(__xludf.DUMMYFUNCTION("""COMPUTED_VALUE"""),34.3)</f>
        <v>34.3</v>
      </c>
      <c r="AD286" s="16">
        <f>IFERROR(__xludf.DUMMYFUNCTION("""COMPUTED_VALUE"""),0.0)</f>
        <v>0</v>
      </c>
      <c r="AE286" s="16">
        <f>IFERROR(__xludf.DUMMYFUNCTION("""COMPUTED_VALUE"""),0.0)</f>
        <v>0</v>
      </c>
      <c r="AF286" s="16">
        <f>IFERROR(__xludf.DUMMYFUNCTION("""COMPUTED_VALUE"""),0.0)</f>
        <v>0</v>
      </c>
      <c r="AG286" s="16">
        <f>IFERROR(__xludf.DUMMYFUNCTION("""COMPUTED_VALUE"""),0.0)</f>
        <v>0</v>
      </c>
      <c r="AH286" s="16">
        <f>IFERROR(__xludf.DUMMYFUNCTION("""COMPUTED_VALUE"""),17.3)</f>
        <v>17.3</v>
      </c>
      <c r="AI286" s="16">
        <f>IFERROR(__xludf.DUMMYFUNCTION("""COMPUTED_VALUE"""),28.9)</f>
        <v>28.9</v>
      </c>
      <c r="AJ286" s="16">
        <f>IFERROR(__xludf.DUMMYFUNCTION("""COMPUTED_VALUE"""),-1.0)</f>
        <v>-1</v>
      </c>
      <c r="AK286" s="16">
        <f>IFERROR(__xludf.DUMMYFUNCTION("""COMPUTED_VALUE"""),0.0)</f>
        <v>0</v>
      </c>
      <c r="AL286" s="16">
        <f>IFERROR(__xludf.DUMMYFUNCTION("""COMPUTED_VALUE"""),-5.0)</f>
        <v>-5</v>
      </c>
      <c r="AM286" s="16">
        <f>IFERROR(__xludf.DUMMYFUNCTION("""COMPUTED_VALUE"""),0.0)</f>
        <v>0</v>
      </c>
      <c r="AN286" s="16">
        <f>IFERROR(__xludf.DUMMYFUNCTION("""COMPUTED_VALUE"""),0.0)</f>
        <v>0</v>
      </c>
      <c r="AO286" s="16">
        <f>IFERROR(__xludf.DUMMYFUNCTION("""COMPUTED_VALUE"""),2.3)</f>
        <v>2.3</v>
      </c>
      <c r="AP286" s="16">
        <f>IFERROR(__xludf.DUMMYFUNCTION("""COMPUTED_VALUE"""),-2.0)</f>
        <v>-2</v>
      </c>
      <c r="AQ286" s="16">
        <f>IFERROR(__xludf.DUMMYFUNCTION("""COMPUTED_VALUE"""),0.0)</f>
        <v>0</v>
      </c>
      <c r="AR286" s="16">
        <f>IFERROR(__xludf.DUMMYFUNCTION("""COMPUTED_VALUE"""),-4.0)</f>
        <v>-4</v>
      </c>
      <c r="AS286" s="16">
        <f>IFERROR(__xludf.DUMMYFUNCTION("""COMPUTED_VALUE"""),0.0)</f>
        <v>0</v>
      </c>
      <c r="AT286" s="16"/>
      <c r="AU286" s="16"/>
      <c r="AV286" s="16">
        <f>IFERROR(__xludf.DUMMYFUNCTION("""COMPUTED_VALUE"""),-3.0)</f>
        <v>-3</v>
      </c>
      <c r="AW286" s="16">
        <f>IFERROR(__xludf.DUMMYFUNCTION("""COMPUTED_VALUE"""),-3.0)</f>
        <v>-3</v>
      </c>
      <c r="AX286" s="16">
        <f>IFERROR(__xludf.DUMMYFUNCTION("""COMPUTED_VALUE"""),-3.0)</f>
        <v>-3</v>
      </c>
      <c r="AY286" s="16">
        <f>IFERROR(__xludf.DUMMYFUNCTION("""COMPUTED_VALUE"""),-3.0)</f>
        <v>-3</v>
      </c>
      <c r="AZ286" s="16">
        <f>IFERROR(__xludf.DUMMYFUNCTION("""COMPUTED_VALUE"""),-9.0)</f>
        <v>-9</v>
      </c>
      <c r="BA286" s="16">
        <f>IFERROR(__xludf.DUMMYFUNCTION("""COMPUTED_VALUE"""),-9.0)</f>
        <v>-9</v>
      </c>
      <c r="BB286" s="16">
        <f>IFERROR(__xludf.DUMMYFUNCTION("""COMPUTED_VALUE"""),5.0)</f>
        <v>5</v>
      </c>
      <c r="BC286" s="16">
        <f>IFERROR(__xludf.DUMMYFUNCTION("""COMPUTED_VALUE"""),5.0)</f>
        <v>5</v>
      </c>
      <c r="BD286" s="16">
        <f>IFERROR(__xludf.DUMMYFUNCTION("""COMPUTED_VALUE"""),1.0)</f>
        <v>1</v>
      </c>
      <c r="BE286" s="16">
        <f>IFERROR(__xludf.DUMMYFUNCTION("""COMPUTED_VALUE"""),1.0)</f>
        <v>1</v>
      </c>
      <c r="BF286" s="16">
        <f>IFERROR(__xludf.DUMMYFUNCTION("""COMPUTED_VALUE"""),1.0)</f>
        <v>1</v>
      </c>
      <c r="BG286" s="16">
        <f>IFERROR(__xludf.DUMMYFUNCTION("""COMPUTED_VALUE"""),1.0)</f>
        <v>1</v>
      </c>
      <c r="BH286" s="16">
        <f>IFERROR(__xludf.DUMMYFUNCTION("""COMPUTED_VALUE"""),-7.0)</f>
        <v>-7</v>
      </c>
      <c r="BI286" s="16">
        <f>IFERROR(__xludf.DUMMYFUNCTION("""COMPUTED_VALUE"""),-7.0)</f>
        <v>-7</v>
      </c>
      <c r="BJ286" s="16">
        <f>IFERROR(__xludf.DUMMYFUNCTION("""COMPUTED_VALUE"""),14.0)</f>
        <v>14</v>
      </c>
      <c r="BK286" s="16">
        <f>IFERROR(__xludf.DUMMYFUNCTION("""COMPUTED_VALUE"""),12.0)</f>
        <v>12</v>
      </c>
      <c r="BL286" s="16">
        <f>IFERROR(__xludf.DUMMYFUNCTION("""COMPUTED_VALUE"""),0.0)</f>
        <v>0</v>
      </c>
      <c r="BM286" s="16">
        <f>IFERROR(__xludf.DUMMYFUNCTION("""COMPUTED_VALUE"""),0.0)</f>
        <v>0</v>
      </c>
      <c r="BN286" s="16">
        <f>IFERROR(__xludf.DUMMYFUNCTION("""COMPUTED_VALUE"""),0.0)</f>
        <v>0</v>
      </c>
      <c r="BO286" s="16">
        <f>IFERROR(__xludf.DUMMYFUNCTION("""COMPUTED_VALUE"""),0.0)</f>
        <v>0</v>
      </c>
      <c r="BP286" s="16">
        <f>IFERROR(__xludf.DUMMYFUNCTION("""COMPUTED_VALUE"""),-4.0)</f>
        <v>-4</v>
      </c>
      <c r="BQ286" s="16">
        <f>IFERROR(__xludf.DUMMYFUNCTION("""COMPUTED_VALUE"""),-2.0)</f>
        <v>-2</v>
      </c>
      <c r="BR286" s="16">
        <f>IFERROR(__xludf.DUMMYFUNCTION("""COMPUTED_VALUE"""),-6.0)</f>
        <v>-6</v>
      </c>
      <c r="BS286" s="16" t="str">
        <f>IFERROR(__xludf.DUMMYFUNCTION("""COMPUTED_VALUE"""),"2/- (20-6)")</f>
        <v>2/- (20-6)</v>
      </c>
      <c r="BT286" s="16" t="str">
        <f>IFERROR(__xludf.DUMMYFUNCTION("""COMPUTED_VALUE"""),"E")</f>
        <v>E</v>
      </c>
      <c r="BU286" s="16">
        <f>IFERROR(__xludf.DUMMYFUNCTION("""COMPUTED_VALUE"""),10.0)</f>
        <v>10</v>
      </c>
      <c r="BV286" s="16">
        <f>IFERROR(__xludf.DUMMYFUNCTION("""COMPUTED_VALUE"""),0.0)</f>
        <v>0</v>
      </c>
      <c r="BW286" s="16">
        <f>IFERROR(__xludf.DUMMYFUNCTION("""COMPUTED_VALUE"""),0.0)</f>
        <v>0</v>
      </c>
      <c r="BX286" s="16">
        <f>IFERROR(__xludf.DUMMYFUNCTION("""COMPUTED_VALUE"""),0.0)</f>
        <v>0</v>
      </c>
      <c r="BY286" s="16">
        <f>IFERROR(__xludf.DUMMYFUNCTION("""COMPUTED_VALUE"""),0.0)</f>
        <v>0</v>
      </c>
      <c r="BZ286" s="16" t="str">
        <f>IFERROR(__xludf.DUMMYFUNCTION("""COMPUTED_VALUE"""),"D")</f>
        <v>D</v>
      </c>
      <c r="CA286" s="16" t="str">
        <f>IFERROR(__xludf.DUMMYFUNCTION("""COMPUTED_VALUE"""),"B")</f>
        <v>B</v>
      </c>
      <c r="CB286" s="16">
        <f>IFERROR(__xludf.DUMMYFUNCTION("""COMPUTED_VALUE"""),0.0)</f>
        <v>0</v>
      </c>
      <c r="CC286" s="16">
        <f>IFERROR(__xludf.DUMMYFUNCTION("""COMPUTED_VALUE"""),1.0)</f>
        <v>1</v>
      </c>
      <c r="CD286" s="16">
        <f>IFERROR(__xludf.DUMMYFUNCTION("""COMPUTED_VALUE"""),0.0)</f>
        <v>0</v>
      </c>
      <c r="CE286" s="16">
        <f>IFERROR(__xludf.DUMMYFUNCTION("""COMPUTED_VALUE"""),2.0)</f>
        <v>2</v>
      </c>
      <c r="CF286" s="16">
        <f>IFERROR(__xludf.DUMMYFUNCTION("""COMPUTED_VALUE"""),2.0)</f>
        <v>2</v>
      </c>
      <c r="CG286" s="16">
        <f>IFERROR(__xludf.DUMMYFUNCTION("""COMPUTED_VALUE"""),-16.0)</f>
        <v>-16</v>
      </c>
      <c r="CH286" s="16">
        <f>IFERROR(__xludf.DUMMYFUNCTION("""COMPUTED_VALUE"""),-8.0)</f>
        <v>-8</v>
      </c>
      <c r="CI286" s="179">
        <f>IFERROR(__xludf.DUMMYFUNCTION("""COMPUTED_VALUE"""),-8.0)</f>
        <v>-8</v>
      </c>
      <c r="CJ286" s="16">
        <f>IFERROR(__xludf.DUMMYFUNCTION("""COMPUTED_VALUE"""),303.0)</f>
        <v>303</v>
      </c>
      <c r="CK286" s="16"/>
      <c r="CL286" s="16"/>
      <c r="CM286" s="16"/>
      <c r="CN286" s="16"/>
      <c r="CO286" s="16"/>
      <c r="CP286" s="16"/>
      <c r="CQ286" s="16"/>
      <c r="CR286" s="16" t="str">
        <f>IFERROR(__xludf.DUMMYFUNCTION("""COMPUTED_VALUE"""),"c-3(0)e3,T-13(pb-3)")</f>
        <v>c-3(0)e3,T-13(pb-3)</v>
      </c>
      <c r="CS286" s="16">
        <f>IFERROR(__xludf.DUMMYFUNCTION("""COMPUTED_VALUE"""),3.0)</f>
        <v>3</v>
      </c>
      <c r="CT286" s="16"/>
      <c r="CU286" s="16"/>
      <c r="CV286" s="16"/>
      <c r="CW286" s="16"/>
      <c r="CX286" s="16"/>
      <c r="CY286" s="16"/>
      <c r="CZ286" s="16"/>
      <c r="DA286" s="16">
        <f>IFERROR(__xludf.DUMMYFUNCTION("""COMPUTED_VALUE"""),3.0)</f>
        <v>3</v>
      </c>
      <c r="DB286" s="16"/>
      <c r="DC286" s="16"/>
      <c r="DD286" s="16"/>
      <c r="DE286" s="16"/>
      <c r="DF286" s="16"/>
      <c r="DG286" s="16"/>
      <c r="DH286" s="16"/>
      <c r="DI286" s="16">
        <f>IFERROR(__xludf.DUMMYFUNCTION("""COMPUTED_VALUE"""),0.0)</f>
        <v>0</v>
      </c>
      <c r="DJ286" s="16"/>
      <c r="DK286" s="16"/>
      <c r="DL286" s="16"/>
      <c r="DM286" s="16"/>
      <c r="DN286" s="16"/>
      <c r="DO286" s="16"/>
      <c r="DP286" s="16"/>
      <c r="DQ286" s="16">
        <f>IFERROR(__xludf.DUMMYFUNCTION("""COMPUTED_VALUE"""),3.0)</f>
        <v>3</v>
      </c>
      <c r="DR286" s="16"/>
      <c r="DS286" s="16"/>
      <c r="DT286" s="16"/>
      <c r="DU286" s="16"/>
      <c r="DV286" s="16"/>
      <c r="DW286" s="16"/>
      <c r="DX286" s="16"/>
      <c r="DY286" s="16">
        <f>IFERROR(__xludf.DUMMYFUNCTION("""COMPUTED_VALUE"""),3.0)</f>
        <v>3</v>
      </c>
      <c r="DZ286" s="16"/>
      <c r="EA286" s="16"/>
      <c r="EB286" s="16"/>
      <c r="EC286" s="16"/>
      <c r="ED286" s="16"/>
      <c r="EE286" s="16"/>
      <c r="EF286" s="16"/>
      <c r="EG286" s="179">
        <f>IFERROR(__xludf.DUMMYFUNCTION("""COMPUTED_VALUE"""),-5.0)</f>
        <v>-5</v>
      </c>
      <c r="EH286" s="179"/>
      <c r="EI286" s="179"/>
      <c r="EJ286" s="179"/>
      <c r="EK286" s="179"/>
      <c r="EL286" s="179"/>
      <c r="EM286" s="179"/>
      <c r="EN286" s="179"/>
      <c r="EO286" s="16">
        <f>IFERROR(__xludf.DUMMYFUNCTION("""COMPUTED_VALUE"""),0.0)</f>
        <v>0</v>
      </c>
      <c r="EP286" s="16"/>
      <c r="EQ286" s="16">
        <f>IFERROR(__xludf.DUMMYFUNCTION("""COMPUTED_VALUE"""),2.0)</f>
        <v>2</v>
      </c>
      <c r="ER286" s="16">
        <f>IFERROR(__xludf.DUMMYFUNCTION("""COMPUTED_VALUE"""),0.0)</f>
        <v>0</v>
      </c>
      <c r="ES286" s="16" t="str">
        <f>IFERROR(__xludf.DUMMYFUNCTION("""COMPUTED_VALUE"""),"c-3")</f>
        <v>c-3</v>
      </c>
      <c r="ET286" s="16" t="str">
        <f>IFERROR(__xludf.DUMMYFUNCTION("""COMPUTED_VALUE"""),"0)e3,T-13")</f>
        <v>0)e3,T-13</v>
      </c>
      <c r="EU286" s="16" t="str">
        <f>IFERROR(__xludf.DUMMYFUNCTION("""COMPUTED_VALUE"""),"pb-3)")</f>
        <v>pb-3)</v>
      </c>
      <c r="EV286" s="16"/>
      <c r="EW286" s="16">
        <f>IFERROR(__xludf.DUMMYFUNCTION("""COMPUTED_VALUE"""),0.0)</f>
        <v>0</v>
      </c>
      <c r="EX286" s="180">
        <f>IFERROR(__xludf.DUMMYFUNCTION("""COMPUTED_VALUE"""),0.2)</f>
        <v>0.2</v>
      </c>
      <c r="EY286" s="180"/>
      <c r="EZ286" s="180"/>
      <c r="FA286" s="180"/>
      <c r="FB286" s="180"/>
      <c r="FC286" s="180"/>
      <c r="FD286" s="180"/>
      <c r="FE286" s="180"/>
      <c r="FF286" s="180">
        <f>IFERROR(__xludf.DUMMYFUNCTION("""COMPUTED_VALUE"""),0.038)</f>
        <v>0.038</v>
      </c>
      <c r="FG286" s="180"/>
      <c r="FH286" s="180"/>
      <c r="FI286" s="180"/>
      <c r="FJ286" s="180"/>
      <c r="FK286" s="180"/>
      <c r="FL286" s="180"/>
      <c r="FM286" s="180"/>
      <c r="FN286" s="16">
        <f>IFERROR(__xludf.DUMMYFUNCTION("""COMPUTED_VALUE"""),0.7696000000000001)</f>
        <v>0.7696</v>
      </c>
      <c r="FO286" s="16"/>
      <c r="FP286" s="16"/>
      <c r="FQ286" s="16"/>
      <c r="FR286" s="16"/>
      <c r="FS286" s="16"/>
      <c r="FT286" s="16"/>
      <c r="FU286" s="16"/>
      <c r="FV286" s="16">
        <f>IFERROR(__xludf.DUMMYFUNCTION("""COMPUTED_VALUE"""),-1.0)</f>
        <v>-1</v>
      </c>
      <c r="FW286" s="16"/>
      <c r="FX286" s="16"/>
      <c r="FY286" s="16"/>
      <c r="FZ286" s="16"/>
      <c r="GA286" s="16"/>
      <c r="GB286" s="16"/>
      <c r="GC286" s="16"/>
      <c r="GD286" s="16" t="s">
        <v>176</v>
      </c>
    </row>
    <row r="287">
      <c r="A287" s="16">
        <f>IFERROR(__xludf.DUMMYFUNCTION("""COMPUTED_VALUE"""),12659.0)</f>
        <v>12659</v>
      </c>
      <c r="B287" s="16" t="str">
        <f>IFERROR(__xludf.DUMMYFUNCTION("""COMPUTED_VALUE"""),"Carson Kelly")</f>
        <v>Carson Kelly</v>
      </c>
      <c r="C287" s="16">
        <f>IFERROR(__xludf.DUMMYFUNCTION("""COMPUTED_VALUE"""),0.46)</f>
        <v>0.46</v>
      </c>
      <c r="D287" s="16" t="str">
        <f>IFERROR(__xludf.DUMMYFUNCTION("""COMPUTED_VALUE"""),"R")</f>
        <v>R</v>
      </c>
      <c r="E287" s="16"/>
      <c r="F287" s="16"/>
      <c r="G287" s="16">
        <f>IFERROR(__xludf.DUMMYFUNCTION("""COMPUTED_VALUE"""),281.0)</f>
        <v>281</v>
      </c>
      <c r="H287" s="16">
        <f>IFERROR(__xludf.DUMMYFUNCTION("""COMPUTED_VALUE"""),25.0)</f>
        <v>25</v>
      </c>
      <c r="I287" s="16" t="str">
        <f>IFERROR(__xludf.DUMMYFUNCTION("""COMPUTED_VALUE"""),"2p40")</f>
        <v>2p40</v>
      </c>
      <c r="J287" s="16">
        <f>IFERROR(__xludf.DUMMYFUNCTION("""COMPUTED_VALUE"""),6.0)</f>
        <v>6</v>
      </c>
      <c r="K287" s="16">
        <f>IFERROR(__xludf.DUMMYFUNCTION("""COMPUTED_VALUE"""),13.0)</f>
        <v>13</v>
      </c>
      <c r="L287" s="16">
        <f>IFERROR(__xludf.DUMMYFUNCTION("""COMPUTED_VALUE"""),2.0)</f>
        <v>2</v>
      </c>
      <c r="M287" s="16">
        <f>IFERROR(__xludf.DUMMYFUNCTION("""COMPUTED_VALUE"""),1.0)</f>
        <v>1</v>
      </c>
      <c r="N287" s="16">
        <f>IFERROR(__xludf.DUMMYFUNCTION("""COMPUTED_VALUE"""),2.0)</f>
        <v>2</v>
      </c>
      <c r="O287" s="16">
        <f>IFERROR(__xludf.DUMMYFUNCTION("""COMPUTED_VALUE"""),1.0)</f>
        <v>1</v>
      </c>
      <c r="P287" s="16">
        <f>IFERROR(__xludf.DUMMYFUNCTION("""COMPUTED_VALUE"""),17.0)</f>
        <v>17</v>
      </c>
      <c r="Q287" s="16">
        <f>IFERROR(__xludf.DUMMYFUNCTION("""COMPUTED_VALUE"""),8.0)</f>
        <v>8</v>
      </c>
      <c r="R287" s="16">
        <f>IFERROR(__xludf.DUMMYFUNCTION("""COMPUTED_VALUE"""),3.0)</f>
        <v>3</v>
      </c>
      <c r="S287" s="16">
        <f>IFERROR(__xludf.DUMMYFUNCTION("""COMPUTED_VALUE"""),0.0)</f>
        <v>0</v>
      </c>
      <c r="T287" s="16">
        <f>IFERROR(__xludf.DUMMYFUNCTION("""COMPUTED_VALUE"""),3.0)</f>
        <v>3</v>
      </c>
      <c r="U287" s="16">
        <f>IFERROR(__xludf.DUMMYFUNCTION("""COMPUTED_VALUE"""),0.0)</f>
        <v>0</v>
      </c>
      <c r="V287" s="16">
        <f>IFERROR(__xludf.DUMMYFUNCTION("""COMPUTED_VALUE"""),28.5)</f>
        <v>28.5</v>
      </c>
      <c r="W287" s="16">
        <f>IFERROR(__xludf.DUMMYFUNCTION("""COMPUTED_VALUE"""),16.4)</f>
        <v>16.4</v>
      </c>
      <c r="X287" s="16">
        <f>IFERROR(__xludf.DUMMYFUNCTION("""COMPUTED_VALUE"""),1.0)</f>
        <v>1</v>
      </c>
      <c r="Y287" s="16">
        <f>IFERROR(__xludf.DUMMYFUNCTION("""COMPUTED_VALUE"""),-1.0)</f>
        <v>-1</v>
      </c>
      <c r="Z287" s="16">
        <f>IFERROR(__xludf.DUMMYFUNCTION("""COMPUTED_VALUE"""),2.0)</f>
        <v>2</v>
      </c>
      <c r="AA287" s="16">
        <f>IFERROR(__xludf.DUMMYFUNCTION("""COMPUTED_VALUE"""),-2.0)</f>
        <v>-2</v>
      </c>
      <c r="AB287" s="16">
        <f>IFERROR(__xludf.DUMMYFUNCTION("""COMPUTED_VALUE"""),49.5)</f>
        <v>49.5</v>
      </c>
      <c r="AC287" s="16">
        <f>IFERROR(__xludf.DUMMYFUNCTION("""COMPUTED_VALUE"""),28.4)</f>
        <v>28.4</v>
      </c>
      <c r="AD287" s="16">
        <f>IFERROR(__xludf.DUMMYFUNCTION("""COMPUTED_VALUE"""),2.0)</f>
        <v>2</v>
      </c>
      <c r="AE287" s="16">
        <f>IFERROR(__xludf.DUMMYFUNCTION("""COMPUTED_VALUE"""),-1.0)</f>
        <v>-1</v>
      </c>
      <c r="AF287" s="16">
        <f>IFERROR(__xludf.DUMMYFUNCTION("""COMPUTED_VALUE"""),10.0)</f>
        <v>10</v>
      </c>
      <c r="AG287" s="16">
        <f>IFERROR(__xludf.DUMMYFUNCTION("""COMPUTED_VALUE"""),-5.0)</f>
        <v>-5</v>
      </c>
      <c r="AH287" s="16">
        <f>IFERROR(__xludf.DUMMYFUNCTION("""COMPUTED_VALUE"""),34.0)</f>
        <v>34</v>
      </c>
      <c r="AI287" s="16">
        <f>IFERROR(__xludf.DUMMYFUNCTION("""COMPUTED_VALUE"""),23.6)</f>
        <v>23.6</v>
      </c>
      <c r="AJ287" s="16">
        <f>IFERROR(__xludf.DUMMYFUNCTION("""COMPUTED_VALUE"""),0.0)</f>
        <v>0</v>
      </c>
      <c r="AK287" s="16">
        <f>IFERROR(__xludf.DUMMYFUNCTION("""COMPUTED_VALUE"""),-1.0)</f>
        <v>-1</v>
      </c>
      <c r="AL287" s="16">
        <f>IFERROR(__xludf.DUMMYFUNCTION("""COMPUTED_VALUE"""),0.0)</f>
        <v>0</v>
      </c>
      <c r="AM287" s="16">
        <f>IFERROR(__xludf.DUMMYFUNCTION("""COMPUTED_VALUE"""),-5.0)</f>
        <v>-5</v>
      </c>
      <c r="AN287" s="16">
        <f>IFERROR(__xludf.DUMMYFUNCTION("""COMPUTED_VALUE"""),0.8)</f>
        <v>0.8</v>
      </c>
      <c r="AO287" s="16">
        <f>IFERROR(__xludf.DUMMYFUNCTION("""COMPUTED_VALUE"""),2.0)</f>
        <v>2</v>
      </c>
      <c r="AP287" s="16">
        <f>IFERROR(__xludf.DUMMYFUNCTION("""COMPUTED_VALUE"""),-2.0)</f>
        <v>-2</v>
      </c>
      <c r="AQ287" s="16">
        <f>IFERROR(__xludf.DUMMYFUNCTION("""COMPUTED_VALUE"""),-1.0)</f>
        <v>-1</v>
      </c>
      <c r="AR287" s="16">
        <f>IFERROR(__xludf.DUMMYFUNCTION("""COMPUTED_VALUE"""),-4.0)</f>
        <v>-4</v>
      </c>
      <c r="AS287" s="16">
        <f>IFERROR(__xludf.DUMMYFUNCTION("""COMPUTED_VALUE"""),-2.0)</f>
        <v>-2</v>
      </c>
      <c r="AT287" s="16">
        <f>IFERROR(__xludf.DUMMYFUNCTION("""COMPUTED_VALUE"""),0.0)</f>
        <v>0</v>
      </c>
      <c r="AU287" s="16">
        <f>IFERROR(__xludf.DUMMYFUNCTION("""COMPUTED_VALUE"""),3.0)</f>
        <v>3</v>
      </c>
      <c r="AV287" s="16">
        <f>IFERROR(__xludf.DUMMYFUNCTION("""COMPUTED_VALUE"""),0.0)</f>
        <v>0</v>
      </c>
      <c r="AW287" s="16">
        <f>IFERROR(__xludf.DUMMYFUNCTION("""COMPUTED_VALUE"""),3.0)</f>
        <v>3</v>
      </c>
      <c r="AX287" s="16">
        <f>IFERROR(__xludf.DUMMYFUNCTION("""COMPUTED_VALUE"""),-2.0)</f>
        <v>-2</v>
      </c>
      <c r="AY287" s="16">
        <f>IFERROR(__xludf.DUMMYFUNCTION("""COMPUTED_VALUE"""),0.0)</f>
        <v>0</v>
      </c>
      <c r="AZ287" s="16">
        <f>IFERROR(__xludf.DUMMYFUNCTION("""COMPUTED_VALUE"""),-6.0)</f>
        <v>-6</v>
      </c>
      <c r="BA287" s="16">
        <f>IFERROR(__xludf.DUMMYFUNCTION("""COMPUTED_VALUE"""),0.0)</f>
        <v>0</v>
      </c>
      <c r="BB287" s="16">
        <f>IFERROR(__xludf.DUMMYFUNCTION("""COMPUTED_VALUE"""),5.0)</f>
        <v>5</v>
      </c>
      <c r="BC287" s="16">
        <f>IFERROR(__xludf.DUMMYFUNCTION("""COMPUTED_VALUE"""),5.0)</f>
        <v>5</v>
      </c>
      <c r="BD287" s="16">
        <f>IFERROR(__xludf.DUMMYFUNCTION("""COMPUTED_VALUE"""),1.0)</f>
        <v>1</v>
      </c>
      <c r="BE287" s="16">
        <f>IFERROR(__xludf.DUMMYFUNCTION("""COMPUTED_VALUE"""),1.0)</f>
        <v>1</v>
      </c>
      <c r="BF287" s="16">
        <f>IFERROR(__xludf.DUMMYFUNCTION("""COMPUTED_VALUE"""),1.0)</f>
        <v>1</v>
      </c>
      <c r="BG287" s="16">
        <f>IFERROR(__xludf.DUMMYFUNCTION("""COMPUTED_VALUE"""),1.0)</f>
        <v>1</v>
      </c>
      <c r="BH287" s="16">
        <f>IFERROR(__xludf.DUMMYFUNCTION("""COMPUTED_VALUE"""),-1.0)</f>
        <v>-1</v>
      </c>
      <c r="BI287" s="16">
        <f>IFERROR(__xludf.DUMMYFUNCTION("""COMPUTED_VALUE"""),-1.0)</f>
        <v>-1</v>
      </c>
      <c r="BJ287" s="16">
        <f>IFERROR(__xludf.DUMMYFUNCTION("""COMPUTED_VALUE"""),12.0)</f>
        <v>12</v>
      </c>
      <c r="BK287" s="16">
        <f>IFERROR(__xludf.DUMMYFUNCTION("""COMPUTED_VALUE"""),15.0)</f>
        <v>15</v>
      </c>
      <c r="BL287" s="16">
        <f>IFERROR(__xludf.DUMMYFUNCTION("""COMPUTED_VALUE"""),0.0)</f>
        <v>0</v>
      </c>
      <c r="BM287" s="16">
        <f>IFERROR(__xludf.DUMMYFUNCTION("""COMPUTED_VALUE"""),-1.0)</f>
        <v>-1</v>
      </c>
      <c r="BN287" s="16">
        <f>IFERROR(__xludf.DUMMYFUNCTION("""COMPUTED_VALUE"""),0.0)</f>
        <v>0</v>
      </c>
      <c r="BO287" s="16">
        <f>IFERROR(__xludf.DUMMYFUNCTION("""COMPUTED_VALUE"""),-2.0)</f>
        <v>-2</v>
      </c>
      <c r="BP287" s="16">
        <f>IFERROR(__xludf.DUMMYFUNCTION("""COMPUTED_VALUE"""),5.0)</f>
        <v>5</v>
      </c>
      <c r="BQ287" s="16">
        <f>IFERROR(__xludf.DUMMYFUNCTION("""COMPUTED_VALUE"""),-3.0)</f>
        <v>-3</v>
      </c>
      <c r="BR287" s="16">
        <f>IFERROR(__xludf.DUMMYFUNCTION("""COMPUTED_VALUE"""),2.0)</f>
        <v>2</v>
      </c>
      <c r="BS287" s="16" t="str">
        <f>IFERROR(__xludf.DUMMYFUNCTION("""COMPUTED_VALUE"""),"-/- (---)")</f>
        <v>-/- (---)</v>
      </c>
      <c r="BT287" s="16" t="str">
        <f>IFERROR(__xludf.DUMMYFUNCTION("""COMPUTED_VALUE"""),"E")</f>
        <v>E</v>
      </c>
      <c r="BU287" s="16">
        <f>IFERROR(__xludf.DUMMYFUNCTION("""COMPUTED_VALUE"""),9.0)</f>
        <v>9</v>
      </c>
      <c r="BV287" s="16">
        <f>IFERROR(__xludf.DUMMYFUNCTION("""COMPUTED_VALUE"""),0.0)</f>
        <v>0</v>
      </c>
      <c r="BW287" s="16">
        <f>IFERROR(__xludf.DUMMYFUNCTION("""COMPUTED_VALUE"""),-1.0)</f>
        <v>-1</v>
      </c>
      <c r="BX287" s="16">
        <f>IFERROR(__xludf.DUMMYFUNCTION("""COMPUTED_VALUE"""),0.0)</f>
        <v>0</v>
      </c>
      <c r="BY287" s="16">
        <f>IFERROR(__xludf.DUMMYFUNCTION("""COMPUTED_VALUE"""),-3.0)</f>
        <v>-3</v>
      </c>
      <c r="BZ287" s="16" t="str">
        <f>IFERROR(__xludf.DUMMYFUNCTION("""COMPUTED_VALUE"""),"D")</f>
        <v>D</v>
      </c>
      <c r="CA287" s="16" t="str">
        <f>IFERROR(__xludf.DUMMYFUNCTION("""COMPUTED_VALUE"""),"C")</f>
        <v>C</v>
      </c>
      <c r="CB287" s="16">
        <f>IFERROR(__xludf.DUMMYFUNCTION("""COMPUTED_VALUE"""),0.0)</f>
        <v>0</v>
      </c>
      <c r="CC287" s="16">
        <f>IFERROR(__xludf.DUMMYFUNCTION("""COMPUTED_VALUE"""),0.0)</f>
        <v>0</v>
      </c>
      <c r="CD287" s="16">
        <f>IFERROR(__xludf.DUMMYFUNCTION("""COMPUTED_VALUE"""),0.0)</f>
        <v>0</v>
      </c>
      <c r="CE287" s="16">
        <f>IFERROR(__xludf.DUMMYFUNCTION("""COMPUTED_VALUE"""),0.0)</f>
        <v>0</v>
      </c>
      <c r="CF287" s="16">
        <f>IFERROR(__xludf.DUMMYFUNCTION("""COMPUTED_VALUE"""),2.0)</f>
        <v>2</v>
      </c>
      <c r="CG287" s="16">
        <f>IFERROR(__xludf.DUMMYFUNCTION("""COMPUTED_VALUE"""),8.0)</f>
        <v>8</v>
      </c>
      <c r="CH287" s="16">
        <f>IFERROR(__xludf.DUMMYFUNCTION("""COMPUTED_VALUE"""),-14.0)</f>
        <v>-14</v>
      </c>
      <c r="CI287" s="179">
        <f>IFERROR(__xludf.DUMMYFUNCTION("""COMPUTED_VALUE"""),-8.0)</f>
        <v>-8</v>
      </c>
      <c r="CJ287" s="16">
        <f>IFERROR(__xludf.DUMMYFUNCTION("""COMPUTED_VALUE"""),304.0)</f>
        <v>304</v>
      </c>
      <c r="CK287" s="16"/>
      <c r="CL287" s="16"/>
      <c r="CM287" s="16"/>
      <c r="CN287" s="16"/>
      <c r="CO287" s="16"/>
      <c r="CP287" s="16"/>
      <c r="CQ287" s="16"/>
      <c r="CR287" s="16" t="str">
        <f>IFERROR(__xludf.DUMMYFUNCTION("""COMPUTED_VALUE"""),"c-3(0)e4,T-2(pb-1)")</f>
        <v>c-3(0)e4,T-2(pb-1)</v>
      </c>
      <c r="CS287" s="16">
        <f>IFERROR(__xludf.DUMMYFUNCTION("""COMPUTED_VALUE"""),3.0)</f>
        <v>3</v>
      </c>
      <c r="CT287" s="16"/>
      <c r="CU287" s="16"/>
      <c r="CV287" s="16"/>
      <c r="CW287" s="16"/>
      <c r="CX287" s="16"/>
      <c r="CY287" s="16"/>
      <c r="CZ287" s="16"/>
      <c r="DA287" s="16">
        <f>IFERROR(__xludf.DUMMYFUNCTION("""COMPUTED_VALUE"""),4.0)</f>
        <v>4</v>
      </c>
      <c r="DB287" s="16"/>
      <c r="DC287" s="16"/>
      <c r="DD287" s="16"/>
      <c r="DE287" s="16"/>
      <c r="DF287" s="16"/>
      <c r="DG287" s="16"/>
      <c r="DH287" s="16"/>
      <c r="DI287" s="16">
        <f>IFERROR(__xludf.DUMMYFUNCTION("""COMPUTED_VALUE"""),0.0)</f>
        <v>0</v>
      </c>
      <c r="DJ287" s="16"/>
      <c r="DK287" s="16"/>
      <c r="DL287" s="16"/>
      <c r="DM287" s="16"/>
      <c r="DN287" s="16"/>
      <c r="DO287" s="16"/>
      <c r="DP287" s="16"/>
      <c r="DQ287" s="16">
        <f>IFERROR(__xludf.DUMMYFUNCTION("""COMPUTED_VALUE"""),3.0)</f>
        <v>3</v>
      </c>
      <c r="DR287" s="16"/>
      <c r="DS287" s="16"/>
      <c r="DT287" s="16"/>
      <c r="DU287" s="16"/>
      <c r="DV287" s="16"/>
      <c r="DW287" s="16"/>
      <c r="DX287" s="16"/>
      <c r="DY287" s="16">
        <f>IFERROR(__xludf.DUMMYFUNCTION("""COMPUTED_VALUE"""),3.0)</f>
        <v>3</v>
      </c>
      <c r="DZ287" s="16"/>
      <c r="EA287" s="16"/>
      <c r="EB287" s="16"/>
      <c r="EC287" s="16"/>
      <c r="ED287" s="16"/>
      <c r="EE287" s="16"/>
      <c r="EF287" s="16"/>
      <c r="EG287" s="179">
        <f>IFERROR(__xludf.DUMMYFUNCTION("""COMPUTED_VALUE"""),-5.0)</f>
        <v>-5</v>
      </c>
      <c r="EH287" s="179"/>
      <c r="EI287" s="179"/>
      <c r="EJ287" s="179"/>
      <c r="EK287" s="179"/>
      <c r="EL287" s="179"/>
      <c r="EM287" s="179"/>
      <c r="EN287" s="179"/>
      <c r="EO287" s="16">
        <f>IFERROR(__xludf.DUMMYFUNCTION("""COMPUTED_VALUE"""),0.0)</f>
        <v>0</v>
      </c>
      <c r="EP287" s="16"/>
      <c r="EQ287" s="16">
        <f>IFERROR(__xludf.DUMMYFUNCTION("""COMPUTED_VALUE"""),2.0)</f>
        <v>2</v>
      </c>
      <c r="ER287" s="16">
        <f>IFERROR(__xludf.DUMMYFUNCTION("""COMPUTED_VALUE"""),-1.0)</f>
        <v>-1</v>
      </c>
      <c r="ES287" s="16" t="str">
        <f>IFERROR(__xludf.DUMMYFUNCTION("""COMPUTED_VALUE"""),"c-3")</f>
        <v>c-3</v>
      </c>
      <c r="ET287" s="16" t="str">
        <f>IFERROR(__xludf.DUMMYFUNCTION("""COMPUTED_VALUE"""),"0)e4,T-2")</f>
        <v>0)e4,T-2</v>
      </c>
      <c r="EU287" s="16" t="str">
        <f>IFERROR(__xludf.DUMMYFUNCTION("""COMPUTED_VALUE"""),"pb-1)")</f>
        <v>pb-1)</v>
      </c>
      <c r="EV287" s="16"/>
      <c r="EW287" s="16">
        <f>IFERROR(__xludf.DUMMYFUNCTION("""COMPUTED_VALUE"""),0.0)</f>
        <v>0</v>
      </c>
      <c r="EX287" s="180">
        <f>IFERROR(__xludf.DUMMYFUNCTION("""COMPUTED_VALUE"""),0.2)</f>
        <v>0.2</v>
      </c>
      <c r="EY287" s="180"/>
      <c r="EZ287" s="180"/>
      <c r="FA287" s="180"/>
      <c r="FB287" s="180"/>
      <c r="FC287" s="180"/>
      <c r="FD287" s="180"/>
      <c r="FE287" s="180"/>
      <c r="FF287" s="180">
        <f>IFERROR(__xludf.DUMMYFUNCTION("""COMPUTED_VALUE"""),0.047)</f>
        <v>0.047</v>
      </c>
      <c r="FG287" s="180"/>
      <c r="FH287" s="180"/>
      <c r="FI287" s="180"/>
      <c r="FJ287" s="180"/>
      <c r="FK287" s="180"/>
      <c r="FL287" s="180"/>
      <c r="FM287" s="180"/>
      <c r="FN287" s="16">
        <f>IFERROR(__xludf.DUMMYFUNCTION("""COMPUTED_VALUE"""),0.7624)</f>
        <v>0.7624</v>
      </c>
      <c r="FO287" s="16"/>
      <c r="FP287" s="16"/>
      <c r="FQ287" s="16"/>
      <c r="FR287" s="16"/>
      <c r="FS287" s="16"/>
      <c r="FT287" s="16"/>
      <c r="FU287" s="16"/>
      <c r="FV287" s="16">
        <f>IFERROR(__xludf.DUMMYFUNCTION("""COMPUTED_VALUE"""),-1.0)</f>
        <v>-1</v>
      </c>
      <c r="FW287" s="16"/>
      <c r="FX287" s="16"/>
      <c r="FY287" s="16"/>
      <c r="FZ287" s="16"/>
      <c r="GA287" s="16"/>
      <c r="GB287" s="16"/>
      <c r="GC287" s="16"/>
      <c r="GD287" s="16" t="s">
        <v>272</v>
      </c>
    </row>
    <row r="288">
      <c r="A288" s="16">
        <f>IFERROR(__xludf.DUMMYFUNCTION("""COMPUTED_VALUE"""),12975.0)</f>
        <v>12975</v>
      </c>
      <c r="B288" s="16" t="str">
        <f>IFERROR(__xludf.DUMMYFUNCTION("""COMPUTED_VALUE"""),"Joey Gallo")</f>
        <v>Joey Gallo</v>
      </c>
      <c r="C288" s="16">
        <f>IFERROR(__xludf.DUMMYFUNCTION("""COMPUTED_VALUE"""),0.33)</f>
        <v>0.33</v>
      </c>
      <c r="D288" s="16" t="str">
        <f>IFERROR(__xludf.DUMMYFUNCTION("""COMPUTED_VALUE"""),"L")</f>
        <v>L</v>
      </c>
      <c r="E288" s="16"/>
      <c r="F288" s="16"/>
      <c r="G288" s="16">
        <f>IFERROR(__xludf.DUMMYFUNCTION("""COMPUTED_VALUE"""),223.0)</f>
        <v>223</v>
      </c>
      <c r="H288" s="16">
        <f>IFERROR(__xludf.DUMMYFUNCTION("""COMPUTED_VALUE"""),32.0)</f>
        <v>32</v>
      </c>
      <c r="I288" s="16" t="str">
        <f>IFERROR(__xludf.DUMMYFUNCTION("""COMPUTED_VALUE"""),"5p40")</f>
        <v>5p40</v>
      </c>
      <c r="J288" s="16">
        <f>IFERROR(__xludf.DUMMYFUNCTION("""COMPUTED_VALUE"""),91.0)</f>
        <v>91</v>
      </c>
      <c r="K288" s="16">
        <f>IFERROR(__xludf.DUMMYFUNCTION("""COMPUTED_VALUE"""),49.0)</f>
        <v>49</v>
      </c>
      <c r="L288" s="16">
        <f>IFERROR(__xludf.DUMMYFUNCTION("""COMPUTED_VALUE"""),-3.0)</f>
        <v>-3</v>
      </c>
      <c r="M288" s="16">
        <f>IFERROR(__xludf.DUMMYFUNCTION("""COMPUTED_VALUE"""),-2.0)</f>
        <v>-2</v>
      </c>
      <c r="N288" s="16">
        <f>IFERROR(__xludf.DUMMYFUNCTION("""COMPUTED_VALUE"""),-3.0)</f>
        <v>-3</v>
      </c>
      <c r="O288" s="16">
        <f>IFERROR(__xludf.DUMMYFUNCTION("""COMPUTED_VALUE"""),-2.0)</f>
        <v>-2</v>
      </c>
      <c r="P288" s="16">
        <f>IFERROR(__xludf.DUMMYFUNCTION("""COMPUTED_VALUE"""),0.0)</f>
        <v>0</v>
      </c>
      <c r="Q288" s="16">
        <f>IFERROR(__xludf.DUMMYFUNCTION("""COMPUTED_VALUE"""),23.0)</f>
        <v>23</v>
      </c>
      <c r="R288" s="16">
        <f>IFERROR(__xludf.DUMMYFUNCTION("""COMPUTED_VALUE"""),-3.0)</f>
        <v>-3</v>
      </c>
      <c r="S288" s="16">
        <f>IFERROR(__xludf.DUMMYFUNCTION("""COMPUTED_VALUE"""),3.0)</f>
        <v>3</v>
      </c>
      <c r="T288" s="16">
        <f>IFERROR(__xludf.DUMMYFUNCTION("""COMPUTED_VALUE"""),-3.0)</f>
        <v>-3</v>
      </c>
      <c r="U288" s="16">
        <f>IFERROR(__xludf.DUMMYFUNCTION("""COMPUTED_VALUE"""),3.0)</f>
        <v>3</v>
      </c>
      <c r="V288" s="16">
        <f>IFERROR(__xludf.DUMMYFUNCTION("""COMPUTED_VALUE"""),0.0)</f>
        <v>0</v>
      </c>
      <c r="W288" s="16">
        <f>IFERROR(__xludf.DUMMYFUNCTION("""COMPUTED_VALUE"""),7.3)</f>
        <v>7.3</v>
      </c>
      <c r="X288" s="16">
        <f>IFERROR(__xludf.DUMMYFUNCTION("""COMPUTED_VALUE"""),-2.0)</f>
        <v>-2</v>
      </c>
      <c r="Y288" s="16">
        <f>IFERROR(__xludf.DUMMYFUNCTION("""COMPUTED_VALUE"""),-2.0)</f>
        <v>-2</v>
      </c>
      <c r="Z288" s="16">
        <f>IFERROR(__xludf.DUMMYFUNCTION("""COMPUTED_VALUE"""),-4.0)</f>
        <v>-4</v>
      </c>
      <c r="AA288" s="16">
        <f>IFERROR(__xludf.DUMMYFUNCTION("""COMPUTED_VALUE"""),-4.0)</f>
        <v>-4</v>
      </c>
      <c r="AB288" s="16">
        <f>IFERROR(__xludf.DUMMYFUNCTION("""COMPUTED_VALUE"""),4.0)</f>
        <v>4</v>
      </c>
      <c r="AC288" s="16">
        <f>IFERROR(__xludf.DUMMYFUNCTION("""COMPUTED_VALUE"""),34.3)</f>
        <v>34.3</v>
      </c>
      <c r="AD288" s="16">
        <f>IFERROR(__xludf.DUMMYFUNCTION("""COMPUTED_VALUE"""),-3.0)</f>
        <v>-3</v>
      </c>
      <c r="AE288" s="16">
        <f>IFERROR(__xludf.DUMMYFUNCTION("""COMPUTED_VALUE"""),0.0)</f>
        <v>0</v>
      </c>
      <c r="AF288" s="16">
        <f>IFERROR(__xludf.DUMMYFUNCTION("""COMPUTED_VALUE"""),-15.0)</f>
        <v>-15</v>
      </c>
      <c r="AG288" s="16">
        <f>IFERROR(__xludf.DUMMYFUNCTION("""COMPUTED_VALUE"""),0.0)</f>
        <v>0</v>
      </c>
      <c r="AH288" s="16">
        <f>IFERROR(__xludf.DUMMYFUNCTION("""COMPUTED_VALUE"""),0.0)</f>
        <v>0</v>
      </c>
      <c r="AI288" s="16">
        <f>IFERROR(__xludf.DUMMYFUNCTION("""COMPUTED_VALUE"""),22.5)</f>
        <v>22.5</v>
      </c>
      <c r="AJ288" s="16">
        <f>IFERROR(__xludf.DUMMYFUNCTION("""COMPUTED_VALUE"""),-2.0)</f>
        <v>-2</v>
      </c>
      <c r="AK288" s="16">
        <f>IFERROR(__xludf.DUMMYFUNCTION("""COMPUTED_VALUE"""),-1.0)</f>
        <v>-1</v>
      </c>
      <c r="AL288" s="16">
        <f>IFERROR(__xludf.DUMMYFUNCTION("""COMPUTED_VALUE"""),-10.0)</f>
        <v>-10</v>
      </c>
      <c r="AM288" s="16">
        <f>IFERROR(__xludf.DUMMYFUNCTION("""COMPUTED_VALUE"""),-5.0)</f>
        <v>-5</v>
      </c>
      <c r="AN288" s="16">
        <f>IFERROR(__xludf.DUMMYFUNCTION("""COMPUTED_VALUE"""),0.0)</f>
        <v>0</v>
      </c>
      <c r="AO288" s="16">
        <f>IFERROR(__xludf.DUMMYFUNCTION("""COMPUTED_VALUE"""),4.0)</f>
        <v>4</v>
      </c>
      <c r="AP288" s="16">
        <f>IFERROR(__xludf.DUMMYFUNCTION("""COMPUTED_VALUE"""),-2.0)</f>
        <v>-2</v>
      </c>
      <c r="AQ288" s="16">
        <f>IFERROR(__xludf.DUMMYFUNCTION("""COMPUTED_VALUE"""),2.0)</f>
        <v>2</v>
      </c>
      <c r="AR288" s="16">
        <f>IFERROR(__xludf.DUMMYFUNCTION("""COMPUTED_VALUE"""),-4.0)</f>
        <v>-4</v>
      </c>
      <c r="AS288" s="16">
        <f>IFERROR(__xludf.DUMMYFUNCTION("""COMPUTED_VALUE"""),4.0)</f>
        <v>4</v>
      </c>
      <c r="AT288" s="16"/>
      <c r="AU288" s="16"/>
      <c r="AV288" s="16">
        <f>IFERROR(__xludf.DUMMYFUNCTION("""COMPUTED_VALUE"""),-3.0)</f>
        <v>-3</v>
      </c>
      <c r="AW288" s="16">
        <f>IFERROR(__xludf.DUMMYFUNCTION("""COMPUTED_VALUE"""),7.0)</f>
        <v>7</v>
      </c>
      <c r="AX288" s="16">
        <f>IFERROR(__xludf.DUMMYFUNCTION("""COMPUTED_VALUE"""),-3.0)</f>
        <v>-3</v>
      </c>
      <c r="AY288" s="16">
        <f>IFERROR(__xludf.DUMMYFUNCTION("""COMPUTED_VALUE"""),3.0)</f>
        <v>3</v>
      </c>
      <c r="AZ288" s="16">
        <f>IFERROR(__xludf.DUMMYFUNCTION("""COMPUTED_VALUE"""),-9.0)</f>
        <v>-9</v>
      </c>
      <c r="BA288" s="16">
        <f>IFERROR(__xludf.DUMMYFUNCTION("""COMPUTED_VALUE"""),9.0)</f>
        <v>9</v>
      </c>
      <c r="BB288" s="16">
        <f>IFERROR(__xludf.DUMMYFUNCTION("""COMPUTED_VALUE"""),0.0)</f>
        <v>0</v>
      </c>
      <c r="BC288" s="16">
        <f>IFERROR(__xludf.DUMMYFUNCTION("""COMPUTED_VALUE"""),0.0)</f>
        <v>0</v>
      </c>
      <c r="BD288" s="16">
        <f>IFERROR(__xludf.DUMMYFUNCTION("""COMPUTED_VALUE"""),0.0)</f>
        <v>0</v>
      </c>
      <c r="BE288" s="16">
        <f>IFERROR(__xludf.DUMMYFUNCTION("""COMPUTED_VALUE"""),0.0)</f>
        <v>0</v>
      </c>
      <c r="BF288" s="16">
        <f>IFERROR(__xludf.DUMMYFUNCTION("""COMPUTED_VALUE"""),0.0)</f>
        <v>0</v>
      </c>
      <c r="BG288" s="16">
        <f>IFERROR(__xludf.DUMMYFUNCTION("""COMPUTED_VALUE"""),0.0)</f>
        <v>0</v>
      </c>
      <c r="BH288" s="16">
        <f>IFERROR(__xludf.DUMMYFUNCTION("""COMPUTED_VALUE"""),0.0)</f>
        <v>0</v>
      </c>
      <c r="BI288" s="16">
        <f>IFERROR(__xludf.DUMMYFUNCTION("""COMPUTED_VALUE"""),0.0)</f>
        <v>0</v>
      </c>
      <c r="BJ288" s="16">
        <f>IFERROR(__xludf.DUMMYFUNCTION("""COMPUTED_VALUE"""),0.0)</f>
        <v>0</v>
      </c>
      <c r="BK288" s="16">
        <f>IFERROR(__xludf.DUMMYFUNCTION("""COMPUTED_VALUE"""),0.0)</f>
        <v>0</v>
      </c>
      <c r="BL288" s="16">
        <f>IFERROR(__xludf.DUMMYFUNCTION("""COMPUTED_VALUE"""),3.0)</f>
        <v>3</v>
      </c>
      <c r="BM288" s="16">
        <f>IFERROR(__xludf.DUMMYFUNCTION("""COMPUTED_VALUE"""),3.0)</f>
        <v>3</v>
      </c>
      <c r="BN288" s="16">
        <f>IFERROR(__xludf.DUMMYFUNCTION("""COMPUTED_VALUE"""),3.0)</f>
        <v>3</v>
      </c>
      <c r="BO288" s="16">
        <f>IFERROR(__xludf.DUMMYFUNCTION("""COMPUTED_VALUE"""),3.0)</f>
        <v>3</v>
      </c>
      <c r="BP288" s="16">
        <f>IFERROR(__xludf.DUMMYFUNCTION("""COMPUTED_VALUE"""),-15.0)</f>
        <v>-15</v>
      </c>
      <c r="BQ288" s="16">
        <f>IFERROR(__xludf.DUMMYFUNCTION("""COMPUTED_VALUE"""),6.0)</f>
        <v>6</v>
      </c>
      <c r="BR288" s="16">
        <f>IFERROR(__xludf.DUMMYFUNCTION("""COMPUTED_VALUE"""),-9.0)</f>
        <v>-9</v>
      </c>
      <c r="BS288" s="16" t="str">
        <f>IFERROR(__xludf.DUMMYFUNCTION("""COMPUTED_VALUE"""),"7/- (15-6)")</f>
        <v>7/- (15-6)</v>
      </c>
      <c r="BT288" s="16" t="str">
        <f>IFERROR(__xludf.DUMMYFUNCTION("""COMPUTED_VALUE"""),"C")</f>
        <v>C</v>
      </c>
      <c r="BU288" s="16">
        <f>IFERROR(__xludf.DUMMYFUNCTION("""COMPUTED_VALUE"""),11.0)</f>
        <v>11</v>
      </c>
      <c r="BV288" s="16">
        <f>IFERROR(__xludf.DUMMYFUNCTION("""COMPUTED_VALUE"""),0.0)</f>
        <v>0</v>
      </c>
      <c r="BW288" s="16">
        <f>IFERROR(__xludf.DUMMYFUNCTION("""COMPUTED_VALUE"""),0.0)</f>
        <v>0</v>
      </c>
      <c r="BX288" s="16">
        <f>IFERROR(__xludf.DUMMYFUNCTION("""COMPUTED_VALUE"""),0.0)</f>
        <v>0</v>
      </c>
      <c r="BY288" s="16">
        <f>IFERROR(__xludf.DUMMYFUNCTION("""COMPUTED_VALUE"""),0.0)</f>
        <v>0</v>
      </c>
      <c r="BZ288" s="16" t="str">
        <f>IFERROR(__xludf.DUMMYFUNCTION("""COMPUTED_VALUE"""),"D")</f>
        <v>D</v>
      </c>
      <c r="CA288" s="16" t="str">
        <f>IFERROR(__xludf.DUMMYFUNCTION("""COMPUTED_VALUE"""),"D")</f>
        <v>D</v>
      </c>
      <c r="CB288" s="16">
        <f>IFERROR(__xludf.DUMMYFUNCTION("""COMPUTED_VALUE"""),0.0)</f>
        <v>0</v>
      </c>
      <c r="CC288" s="16">
        <f>IFERROR(__xludf.DUMMYFUNCTION("""COMPUTED_VALUE"""),0.0)</f>
        <v>0</v>
      </c>
      <c r="CD288" s="16">
        <f>IFERROR(__xludf.DUMMYFUNCTION("""COMPUTED_VALUE"""),0.0)</f>
        <v>0</v>
      </c>
      <c r="CE288" s="16">
        <f>IFERROR(__xludf.DUMMYFUNCTION("""COMPUTED_VALUE"""),0.0)</f>
        <v>0</v>
      </c>
      <c r="CF288" s="16">
        <f>IFERROR(__xludf.DUMMYFUNCTION("""COMPUTED_VALUE"""),5.0)</f>
        <v>5</v>
      </c>
      <c r="CG288" s="16">
        <f>IFERROR(__xludf.DUMMYFUNCTION("""COMPUTED_VALUE"""),-45.0)</f>
        <v>-45</v>
      </c>
      <c r="CH288" s="16">
        <f>IFERROR(__xludf.DUMMYFUNCTION("""COMPUTED_VALUE"""),8.0)</f>
        <v>8</v>
      </c>
      <c r="CI288" s="179">
        <f>IFERROR(__xludf.DUMMYFUNCTION("""COMPUTED_VALUE"""),-8.0)</f>
        <v>-8</v>
      </c>
      <c r="CJ288" s="16"/>
      <c r="CK288" s="16">
        <f>IFERROR(__xludf.DUMMYFUNCTION("""COMPUTED_VALUE"""),201.0)</f>
        <v>201</v>
      </c>
      <c r="CL288" s="16"/>
      <c r="CM288" s="16"/>
      <c r="CN288" s="16"/>
      <c r="CO288" s="16">
        <f>IFERROR(__xludf.DUMMYFUNCTION("""COMPUTED_VALUE"""),319.0)</f>
        <v>319</v>
      </c>
      <c r="CP288" s="16"/>
      <c r="CQ288" s="16">
        <f>IFERROR(__xludf.DUMMYFUNCTION("""COMPUTED_VALUE"""),319.0)</f>
        <v>319</v>
      </c>
      <c r="CR288" s="16" t="str">
        <f>IFERROR(__xludf.DUMMYFUNCTION("""COMPUTED_VALUE"""),"1b-2e1 rf-3(-1)e19 lf-3e19")</f>
        <v>1b-2e1 rf-3(-1)e19 lf-3e19</v>
      </c>
      <c r="CS288" s="16"/>
      <c r="CT288" s="16">
        <f>IFERROR(__xludf.DUMMYFUNCTION("""COMPUTED_VALUE"""),2.0)</f>
        <v>2</v>
      </c>
      <c r="CU288" s="16"/>
      <c r="CV288" s="16"/>
      <c r="CW288" s="16"/>
      <c r="CX288" s="16">
        <f>IFERROR(__xludf.DUMMYFUNCTION("""COMPUTED_VALUE"""),3.0)</f>
        <v>3</v>
      </c>
      <c r="CY288" s="16"/>
      <c r="CZ288" s="16">
        <f>IFERROR(__xludf.DUMMYFUNCTION("""COMPUTED_VALUE"""),3.0)</f>
        <v>3</v>
      </c>
      <c r="DA288" s="16"/>
      <c r="DB288" s="16">
        <f>IFERROR(__xludf.DUMMYFUNCTION("""COMPUTED_VALUE"""),1.0)</f>
        <v>1</v>
      </c>
      <c r="DC288" s="16"/>
      <c r="DD288" s="16"/>
      <c r="DE288" s="16"/>
      <c r="DF288" s="16">
        <f>IFERROR(__xludf.DUMMYFUNCTION("""COMPUTED_VALUE"""),19.0)</f>
        <v>19</v>
      </c>
      <c r="DG288" s="16"/>
      <c r="DH288" s="16">
        <f>IFERROR(__xludf.DUMMYFUNCTION("""COMPUTED_VALUE"""),19.0)</f>
        <v>19</v>
      </c>
      <c r="DI288" s="16"/>
      <c r="DJ288" s="16">
        <f>IFERROR(__xludf.DUMMYFUNCTION("""COMPUTED_VALUE"""),3.0)</f>
        <v>3</v>
      </c>
      <c r="DK288" s="16"/>
      <c r="DL288" s="16"/>
      <c r="DM288" s="16"/>
      <c r="DN288" s="16">
        <f>IFERROR(__xludf.DUMMYFUNCTION("""COMPUTED_VALUE"""),0.0)</f>
        <v>0</v>
      </c>
      <c r="DO288" s="16"/>
      <c r="DP288" s="16">
        <f>IFERROR(__xludf.DUMMYFUNCTION("""COMPUTED_VALUE"""),0.0)</f>
        <v>0</v>
      </c>
      <c r="DQ288" s="16"/>
      <c r="DR288" s="16">
        <f>IFERROR(__xludf.DUMMYFUNCTION("""COMPUTED_VALUE"""),4.0)</f>
        <v>4</v>
      </c>
      <c r="DS288" s="16"/>
      <c r="DT288" s="16"/>
      <c r="DU288" s="16"/>
      <c r="DV288" s="16">
        <f>IFERROR(__xludf.DUMMYFUNCTION("""COMPUTED_VALUE"""),-4.0)</f>
        <v>-4</v>
      </c>
      <c r="DW288" s="16"/>
      <c r="DX288" s="16">
        <f>IFERROR(__xludf.DUMMYFUNCTION("""COMPUTED_VALUE"""),-4.0)</f>
        <v>-4</v>
      </c>
      <c r="DY288" s="16"/>
      <c r="DZ288" s="16">
        <f>IFERROR(__xludf.DUMMYFUNCTION("""COMPUTED_VALUE"""),7.0)</f>
        <v>7</v>
      </c>
      <c r="EA288" s="16"/>
      <c r="EB288" s="16"/>
      <c r="EC288" s="16"/>
      <c r="ED288" s="16">
        <f>IFERROR(__xludf.DUMMYFUNCTION("""COMPUTED_VALUE"""),-4.0)</f>
        <v>-4</v>
      </c>
      <c r="EE288" s="16"/>
      <c r="EF288" s="16">
        <f>IFERROR(__xludf.DUMMYFUNCTION("""COMPUTED_VALUE"""),-4.0)</f>
        <v>-4</v>
      </c>
      <c r="EG288" s="179"/>
      <c r="EH288" s="179">
        <f>IFERROR(__xludf.DUMMYFUNCTION("""COMPUTED_VALUE"""),-1.0)</f>
        <v>-1</v>
      </c>
      <c r="EI288" s="179"/>
      <c r="EJ288" s="179"/>
      <c r="EK288" s="179"/>
      <c r="EL288" s="179">
        <f>IFERROR(__xludf.DUMMYFUNCTION("""COMPUTED_VALUE"""),-12.0)</f>
        <v>-12</v>
      </c>
      <c r="EM288" s="179"/>
      <c r="EN288" s="179">
        <f>IFERROR(__xludf.DUMMYFUNCTION("""COMPUTED_VALUE"""),-12.0)</f>
        <v>-12</v>
      </c>
      <c r="EO288" s="16"/>
      <c r="EP288" s="16">
        <f>IFERROR(__xludf.DUMMYFUNCTION("""COMPUTED_VALUE"""),1.9)</f>
        <v>1.9</v>
      </c>
      <c r="EQ288" s="16">
        <f>IFERROR(__xludf.DUMMYFUNCTION("""COMPUTED_VALUE"""),-2.0)</f>
        <v>-2</v>
      </c>
      <c r="ER288" s="16">
        <f>IFERROR(__xludf.DUMMYFUNCTION("""COMPUTED_VALUE"""),-1.0)</f>
        <v>-1</v>
      </c>
      <c r="ES288" s="16"/>
      <c r="ET288" s="16"/>
      <c r="EU288" s="16"/>
      <c r="EV288" s="16"/>
      <c r="EW288" s="16"/>
      <c r="EX288" s="180"/>
      <c r="EY288" s="180">
        <f>IFERROR(__xludf.DUMMYFUNCTION("""COMPUTED_VALUE"""),0.1)</f>
        <v>0.1</v>
      </c>
      <c r="EZ288" s="180"/>
      <c r="FA288" s="180"/>
      <c r="FB288" s="180"/>
      <c r="FC288" s="180">
        <f>IFERROR(__xludf.DUMMYFUNCTION("""COMPUTED_VALUE"""),0.3)</f>
        <v>0.3</v>
      </c>
      <c r="FD288" s="180"/>
      <c r="FE288" s="180">
        <f>IFERROR(__xludf.DUMMYFUNCTION("""COMPUTED_VALUE"""),0.3)</f>
        <v>0.3</v>
      </c>
      <c r="FF288" s="180"/>
      <c r="FG288" s="180">
        <f>IFERROR(__xludf.DUMMYFUNCTION("""COMPUTED_VALUE"""),0.018518518518518517)</f>
        <v>0.01851851852</v>
      </c>
      <c r="FH288" s="180"/>
      <c r="FI288" s="180"/>
      <c r="FJ288" s="180"/>
      <c r="FK288" s="180">
        <f>IFERROR(__xludf.DUMMYFUNCTION("""COMPUTED_VALUE"""),0.343)</f>
        <v>0.343</v>
      </c>
      <c r="FL288" s="180"/>
      <c r="FM288" s="180">
        <f>IFERROR(__xludf.DUMMYFUNCTION("""COMPUTED_VALUE"""),0.343)</f>
        <v>0.343</v>
      </c>
      <c r="FN288" s="16"/>
      <c r="FO288" s="16">
        <f>IFERROR(__xludf.DUMMYFUNCTION("""COMPUTED_VALUE"""),0.8833333333333334)</f>
        <v>0.8833333333</v>
      </c>
      <c r="FP288" s="16"/>
      <c r="FQ288" s="16"/>
      <c r="FR288" s="16"/>
      <c r="FS288" s="16">
        <f>IFERROR(__xludf.DUMMYFUNCTION("""COMPUTED_VALUE"""),0.4599)</f>
        <v>0.4599</v>
      </c>
      <c r="FT288" s="16"/>
      <c r="FU288" s="16">
        <f>IFERROR(__xludf.DUMMYFUNCTION("""COMPUTED_VALUE"""),0.4599)</f>
        <v>0.4599</v>
      </c>
      <c r="FV288" s="16"/>
      <c r="FW288" s="16">
        <f>IFERROR(__xludf.DUMMYFUNCTION("""COMPUTED_VALUE"""),4.0)</f>
        <v>4</v>
      </c>
      <c r="FX288" s="16"/>
      <c r="FY288" s="16"/>
      <c r="FZ288" s="16"/>
      <c r="GA288" s="16">
        <f>IFERROR(__xludf.DUMMYFUNCTION("""COMPUTED_VALUE"""),-9.9)</f>
        <v>-9.9</v>
      </c>
      <c r="GB288" s="16"/>
      <c r="GC288" s="16">
        <f>IFERROR(__xludf.DUMMYFUNCTION("""COMPUTED_VALUE"""),-9.9)</f>
        <v>-9.9</v>
      </c>
      <c r="GD288" s="16" t="s">
        <v>277</v>
      </c>
    </row>
    <row r="289">
      <c r="A289" s="16">
        <f>IFERROR(__xludf.DUMMYFUNCTION("""COMPUTED_VALUE"""),13268.0)</f>
        <v>13268</v>
      </c>
      <c r="B289" s="16" t="str">
        <f>IFERROR(__xludf.DUMMYFUNCTION("""COMPUTED_VALUE"""),"Ozzie Albies")</f>
        <v>Ozzie Albies</v>
      </c>
      <c r="C289" s="16">
        <f>IFERROR(__xludf.DUMMYFUNCTION("""COMPUTED_VALUE"""),1.07)</f>
        <v>1.07</v>
      </c>
      <c r="D289" s="16" t="str">
        <f>IFERROR(__xludf.DUMMYFUNCTION("""COMPUTED_VALUE"""),"S")</f>
        <v>S</v>
      </c>
      <c r="E289" s="16"/>
      <c r="F289" s="16"/>
      <c r="G289" s="16">
        <f>IFERROR(__xludf.DUMMYFUNCTION("""COMPUTED_VALUE"""),399.0)</f>
        <v>399</v>
      </c>
      <c r="H289" s="16">
        <f>IFERROR(__xludf.DUMMYFUNCTION("""COMPUTED_VALUE"""),27.0)</f>
        <v>27</v>
      </c>
      <c r="I289" s="16" t="str">
        <f>IFERROR(__xludf.DUMMYFUNCTION("""COMPUTED_VALUE"""),"4p50")</f>
        <v>4p50</v>
      </c>
      <c r="J289" s="16">
        <f>IFERROR(__xludf.DUMMYFUNCTION("""COMPUTED_VALUE"""),2.0)</f>
        <v>2</v>
      </c>
      <c r="K289" s="16">
        <f>IFERROR(__xludf.DUMMYFUNCTION("""COMPUTED_VALUE"""),11.0)</f>
        <v>11</v>
      </c>
      <c r="L289" s="16">
        <f>IFERROR(__xludf.DUMMYFUNCTION("""COMPUTED_VALUE"""),2.0)</f>
        <v>2</v>
      </c>
      <c r="M289" s="16">
        <f>IFERROR(__xludf.DUMMYFUNCTION("""COMPUTED_VALUE"""),1.0)</f>
        <v>1</v>
      </c>
      <c r="N289" s="16">
        <f>IFERROR(__xludf.DUMMYFUNCTION("""COMPUTED_VALUE"""),2.0)</f>
        <v>2</v>
      </c>
      <c r="O289" s="16">
        <f>IFERROR(__xludf.DUMMYFUNCTION("""COMPUTED_VALUE"""),1.0)</f>
        <v>1</v>
      </c>
      <c r="P289" s="16">
        <f>IFERROR(__xludf.DUMMYFUNCTION("""COMPUTED_VALUE"""),0.0)</f>
        <v>0</v>
      </c>
      <c r="Q289" s="16">
        <f>IFERROR(__xludf.DUMMYFUNCTION("""COMPUTED_VALUE"""),7.0)</f>
        <v>7</v>
      </c>
      <c r="R289" s="16">
        <f>IFERROR(__xludf.DUMMYFUNCTION("""COMPUTED_VALUE"""),-3.0)</f>
        <v>-3</v>
      </c>
      <c r="S289" s="16">
        <f>IFERROR(__xludf.DUMMYFUNCTION("""COMPUTED_VALUE"""),-1.0)</f>
        <v>-1</v>
      </c>
      <c r="T289" s="16">
        <f>IFERROR(__xludf.DUMMYFUNCTION("""COMPUTED_VALUE"""),-3.0)</f>
        <v>-3</v>
      </c>
      <c r="U289" s="16">
        <f>IFERROR(__xludf.DUMMYFUNCTION("""COMPUTED_VALUE"""),-1.0)</f>
        <v>-1</v>
      </c>
      <c r="V289" s="16">
        <f>IFERROR(__xludf.DUMMYFUNCTION("""COMPUTED_VALUE"""),34.0)</f>
        <v>34</v>
      </c>
      <c r="W289" s="16">
        <f>IFERROR(__xludf.DUMMYFUNCTION("""COMPUTED_VALUE"""),15.0)</f>
        <v>15</v>
      </c>
      <c r="X289" s="16">
        <f>IFERROR(__xludf.DUMMYFUNCTION("""COMPUTED_VALUE"""),2.0)</f>
        <v>2</v>
      </c>
      <c r="Y289" s="16">
        <f>IFERROR(__xludf.DUMMYFUNCTION("""COMPUTED_VALUE"""),-1.0)</f>
        <v>-1</v>
      </c>
      <c r="Z289" s="16">
        <f>IFERROR(__xludf.DUMMYFUNCTION("""COMPUTED_VALUE"""),4.0)</f>
        <v>4</v>
      </c>
      <c r="AA289" s="16">
        <f>IFERROR(__xludf.DUMMYFUNCTION("""COMPUTED_VALUE"""),-2.0)</f>
        <v>-2</v>
      </c>
      <c r="AB289" s="16">
        <f>IFERROR(__xludf.DUMMYFUNCTION("""COMPUTED_VALUE"""),37.0)</f>
        <v>37</v>
      </c>
      <c r="AC289" s="16">
        <f>IFERROR(__xludf.DUMMYFUNCTION("""COMPUTED_VALUE"""),25.0)</f>
        <v>25</v>
      </c>
      <c r="AD289" s="16">
        <f>IFERROR(__xludf.DUMMYFUNCTION("""COMPUTED_VALUE"""),1.0)</f>
        <v>1</v>
      </c>
      <c r="AE289" s="16">
        <f>IFERROR(__xludf.DUMMYFUNCTION("""COMPUTED_VALUE"""),-1.0)</f>
        <v>-1</v>
      </c>
      <c r="AF289" s="16">
        <f>IFERROR(__xludf.DUMMYFUNCTION("""COMPUTED_VALUE"""),5.0)</f>
        <v>5</v>
      </c>
      <c r="AG289" s="16">
        <f>IFERROR(__xludf.DUMMYFUNCTION("""COMPUTED_VALUE"""),-5.0)</f>
        <v>-5</v>
      </c>
      <c r="AH289" s="16">
        <f>IFERROR(__xludf.DUMMYFUNCTION("""COMPUTED_VALUE"""),53.7)</f>
        <v>53.7</v>
      </c>
      <c r="AI289" s="16">
        <f>IFERROR(__xludf.DUMMYFUNCTION("""COMPUTED_VALUE"""),24.4)</f>
        <v>24.4</v>
      </c>
      <c r="AJ289" s="16">
        <f>IFERROR(__xludf.DUMMYFUNCTION("""COMPUTED_VALUE"""),2.0)</f>
        <v>2</v>
      </c>
      <c r="AK289" s="16">
        <f>IFERROR(__xludf.DUMMYFUNCTION("""COMPUTED_VALUE"""),-1.0)</f>
        <v>-1</v>
      </c>
      <c r="AL289" s="16">
        <f>IFERROR(__xludf.DUMMYFUNCTION("""COMPUTED_VALUE"""),10.0)</f>
        <v>10</v>
      </c>
      <c r="AM289" s="16">
        <f>IFERROR(__xludf.DUMMYFUNCTION("""COMPUTED_VALUE"""),-5.0)</f>
        <v>-5</v>
      </c>
      <c r="AN289" s="16">
        <f>IFERROR(__xludf.DUMMYFUNCTION("""COMPUTED_VALUE"""),2.8)</f>
        <v>2.8</v>
      </c>
      <c r="AO289" s="16">
        <f>IFERROR(__xludf.DUMMYFUNCTION("""COMPUTED_VALUE"""),0.5)</f>
        <v>0.5</v>
      </c>
      <c r="AP289" s="16">
        <f>IFERROR(__xludf.DUMMYFUNCTION("""COMPUTED_VALUE"""),1.0)</f>
        <v>1</v>
      </c>
      <c r="AQ289" s="16">
        <f>IFERROR(__xludf.DUMMYFUNCTION("""COMPUTED_VALUE"""),-2.0)</f>
        <v>-2</v>
      </c>
      <c r="AR289" s="16">
        <f>IFERROR(__xludf.DUMMYFUNCTION("""COMPUTED_VALUE"""),2.0)</f>
        <v>2</v>
      </c>
      <c r="AS289" s="16">
        <f>IFERROR(__xludf.DUMMYFUNCTION("""COMPUTED_VALUE"""),-4.0)</f>
        <v>-4</v>
      </c>
      <c r="AT289" s="16">
        <f>IFERROR(__xludf.DUMMYFUNCTION("""COMPUTED_VALUE"""),4.0)</f>
        <v>4</v>
      </c>
      <c r="AU289" s="16">
        <f>IFERROR(__xludf.DUMMYFUNCTION("""COMPUTED_VALUE"""),0.0)</f>
        <v>0</v>
      </c>
      <c r="AV289" s="16">
        <f>IFERROR(__xludf.DUMMYFUNCTION("""COMPUTED_VALUE"""),4.0)</f>
        <v>4</v>
      </c>
      <c r="AW289" s="16">
        <f>IFERROR(__xludf.DUMMYFUNCTION("""COMPUTED_VALUE"""),0.0)</f>
        <v>0</v>
      </c>
      <c r="AX289" s="16">
        <f>IFERROR(__xludf.DUMMYFUNCTION("""COMPUTED_VALUE"""),2.0)</f>
        <v>2</v>
      </c>
      <c r="AY289" s="16">
        <f>IFERROR(__xludf.DUMMYFUNCTION("""COMPUTED_VALUE"""),-2.0)</f>
        <v>-2</v>
      </c>
      <c r="AZ289" s="16">
        <f>IFERROR(__xludf.DUMMYFUNCTION("""COMPUTED_VALUE"""),6.0)</f>
        <v>6</v>
      </c>
      <c r="BA289" s="16">
        <f>IFERROR(__xludf.DUMMYFUNCTION("""COMPUTED_VALUE"""),-6.0)</f>
        <v>-6</v>
      </c>
      <c r="BB289" s="16">
        <f>IFERROR(__xludf.DUMMYFUNCTION("""COMPUTED_VALUE"""),5.0)</f>
        <v>5</v>
      </c>
      <c r="BC289" s="16">
        <f>IFERROR(__xludf.DUMMYFUNCTION("""COMPUTED_VALUE"""),5.0)</f>
        <v>5</v>
      </c>
      <c r="BD289" s="16">
        <f>IFERROR(__xludf.DUMMYFUNCTION("""COMPUTED_VALUE"""),1.0)</f>
        <v>1</v>
      </c>
      <c r="BE289" s="16">
        <f>IFERROR(__xludf.DUMMYFUNCTION("""COMPUTED_VALUE"""),1.0)</f>
        <v>1</v>
      </c>
      <c r="BF289" s="16">
        <f>IFERROR(__xludf.DUMMYFUNCTION("""COMPUTED_VALUE"""),1.0)</f>
        <v>1</v>
      </c>
      <c r="BG289" s="16">
        <f>IFERROR(__xludf.DUMMYFUNCTION("""COMPUTED_VALUE"""),1.0)</f>
        <v>1</v>
      </c>
      <c r="BH289" s="16">
        <f>IFERROR(__xludf.DUMMYFUNCTION("""COMPUTED_VALUE"""),13.0)</f>
        <v>13</v>
      </c>
      <c r="BI289" s="16">
        <f>IFERROR(__xludf.DUMMYFUNCTION("""COMPUTED_VALUE"""),12.0)</f>
        <v>12</v>
      </c>
      <c r="BJ289" s="16">
        <f>IFERROR(__xludf.DUMMYFUNCTION("""COMPUTED_VALUE"""),11.0)</f>
        <v>11</v>
      </c>
      <c r="BK289" s="16">
        <f>IFERROR(__xludf.DUMMYFUNCTION("""COMPUTED_VALUE"""),10.0)</f>
        <v>10</v>
      </c>
      <c r="BL289" s="16">
        <f>IFERROR(__xludf.DUMMYFUNCTION("""COMPUTED_VALUE"""),0.0)</f>
        <v>0</v>
      </c>
      <c r="BM289" s="16">
        <f>IFERROR(__xludf.DUMMYFUNCTION("""COMPUTED_VALUE"""),0.0)</f>
        <v>0</v>
      </c>
      <c r="BN289" s="16">
        <f>IFERROR(__xludf.DUMMYFUNCTION("""COMPUTED_VALUE"""),0.0)</f>
        <v>0</v>
      </c>
      <c r="BO289" s="16">
        <f>IFERROR(__xludf.DUMMYFUNCTION("""COMPUTED_VALUE"""),0.0)</f>
        <v>0</v>
      </c>
      <c r="BP289" s="16">
        <f>IFERROR(__xludf.DUMMYFUNCTION("""COMPUTED_VALUE"""),8.0)</f>
        <v>8</v>
      </c>
      <c r="BQ289" s="16">
        <f>IFERROR(__xludf.DUMMYFUNCTION("""COMPUTED_VALUE"""),-6.0)</f>
        <v>-6</v>
      </c>
      <c r="BR289" s="16">
        <f>IFERROR(__xludf.DUMMYFUNCTION("""COMPUTED_VALUE"""),2.0)</f>
        <v>2</v>
      </c>
      <c r="BS289" s="16" t="str">
        <f>IFERROR(__xludf.DUMMYFUNCTION("""COMPUTED_VALUE"""),"*5/- (19-6)")</f>
        <v>*5/- (19-6)</v>
      </c>
      <c r="BT289" s="16" t="str">
        <f>IFERROR(__xludf.DUMMYFUNCTION("""COMPUTED_VALUE"""),"B")</f>
        <v>B</v>
      </c>
      <c r="BU289" s="16">
        <f>IFERROR(__xludf.DUMMYFUNCTION("""COMPUTED_VALUE"""),13.0)</f>
        <v>13</v>
      </c>
      <c r="BV289" s="16">
        <f>IFERROR(__xludf.DUMMYFUNCTION("""COMPUTED_VALUE"""),1.0)</f>
        <v>1</v>
      </c>
      <c r="BW289" s="16">
        <f>IFERROR(__xludf.DUMMYFUNCTION("""COMPUTED_VALUE"""),1.0)</f>
        <v>1</v>
      </c>
      <c r="BX289" s="16">
        <f>IFERROR(__xludf.DUMMYFUNCTION("""COMPUTED_VALUE"""),2.0)</f>
        <v>2</v>
      </c>
      <c r="BY289" s="16">
        <f>IFERROR(__xludf.DUMMYFUNCTION("""COMPUTED_VALUE"""),3.0)</f>
        <v>3</v>
      </c>
      <c r="BZ289" s="16" t="str">
        <f>IFERROR(__xludf.DUMMYFUNCTION("""COMPUTED_VALUE"""),"D")</f>
        <v>D</v>
      </c>
      <c r="CA289" s="16" t="str">
        <f>IFERROR(__xludf.DUMMYFUNCTION("""COMPUTED_VALUE"""),"C")</f>
        <v>C</v>
      </c>
      <c r="CB289" s="16">
        <f>IFERROR(__xludf.DUMMYFUNCTION("""COMPUTED_VALUE"""),0.0)</f>
        <v>0</v>
      </c>
      <c r="CC289" s="16">
        <f>IFERROR(__xludf.DUMMYFUNCTION("""COMPUTED_VALUE"""),0.0)</f>
        <v>0</v>
      </c>
      <c r="CD289" s="16">
        <f>IFERROR(__xludf.DUMMYFUNCTION("""COMPUTED_VALUE"""),0.0)</f>
        <v>0</v>
      </c>
      <c r="CE289" s="16">
        <f>IFERROR(__xludf.DUMMYFUNCTION("""COMPUTED_VALUE"""),0.0)</f>
        <v>0</v>
      </c>
      <c r="CF289" s="16">
        <f>IFERROR(__xludf.DUMMYFUNCTION("""COMPUTED_VALUE"""),4.0)</f>
        <v>4</v>
      </c>
      <c r="CG289" s="16">
        <f>IFERROR(__xludf.DUMMYFUNCTION("""COMPUTED_VALUE"""),27.0)</f>
        <v>27</v>
      </c>
      <c r="CH289" s="16">
        <f>IFERROR(__xludf.DUMMYFUNCTION("""COMPUTED_VALUE"""),-21.0)</f>
        <v>-21</v>
      </c>
      <c r="CI289" s="179">
        <f>IFERROR(__xludf.DUMMYFUNCTION("""COMPUTED_VALUE"""),-9.0)</f>
        <v>-9</v>
      </c>
      <c r="CJ289" s="16"/>
      <c r="CK289" s="16"/>
      <c r="CL289" s="16">
        <f>IFERROR(__xludf.DUMMYFUNCTION("""COMPUTED_VALUE"""),305.0)</f>
        <v>305</v>
      </c>
      <c r="CM289" s="16"/>
      <c r="CN289" s="16"/>
      <c r="CO289" s="16"/>
      <c r="CP289" s="16"/>
      <c r="CQ289" s="16"/>
      <c r="CR289" s="16" t="str">
        <f>IFERROR(__xludf.DUMMYFUNCTION("""COMPUTED_VALUE"""),"2b-3e5")</f>
        <v>2b-3e5</v>
      </c>
      <c r="CS289" s="16"/>
      <c r="CT289" s="16"/>
      <c r="CU289" s="16">
        <f>IFERROR(__xludf.DUMMYFUNCTION("""COMPUTED_VALUE"""),3.0)</f>
        <v>3</v>
      </c>
      <c r="CV289" s="16"/>
      <c r="CW289" s="16"/>
      <c r="CX289" s="16"/>
      <c r="CY289" s="16"/>
      <c r="CZ289" s="16"/>
      <c r="DA289" s="16"/>
      <c r="DB289" s="16"/>
      <c r="DC289" s="16">
        <f>IFERROR(__xludf.DUMMYFUNCTION("""COMPUTED_VALUE"""),5.0)</f>
        <v>5</v>
      </c>
      <c r="DD289" s="16"/>
      <c r="DE289" s="16"/>
      <c r="DF289" s="16"/>
      <c r="DG289" s="16"/>
      <c r="DH289" s="16"/>
      <c r="DI289" s="16"/>
      <c r="DJ289" s="16"/>
      <c r="DK289" s="16">
        <f>IFERROR(__xludf.DUMMYFUNCTION("""COMPUTED_VALUE"""),0.0)</f>
        <v>0</v>
      </c>
      <c r="DL289" s="16"/>
      <c r="DM289" s="16"/>
      <c r="DN289" s="16"/>
      <c r="DO289" s="16"/>
      <c r="DP289" s="16"/>
      <c r="DQ289" s="16"/>
      <c r="DR289" s="16"/>
      <c r="DS289" s="16">
        <f>IFERROR(__xludf.DUMMYFUNCTION("""COMPUTED_VALUE"""),3.0)</f>
        <v>3</v>
      </c>
      <c r="DT289" s="16"/>
      <c r="DU289" s="16"/>
      <c r="DV289" s="16"/>
      <c r="DW289" s="16"/>
      <c r="DX289" s="16"/>
      <c r="DY289" s="16"/>
      <c r="DZ289" s="16"/>
      <c r="EA289" s="16">
        <f>IFERROR(__xludf.DUMMYFUNCTION("""COMPUTED_VALUE"""),3.0)</f>
        <v>3</v>
      </c>
      <c r="EB289" s="16"/>
      <c r="EC289" s="16"/>
      <c r="ED289" s="16"/>
      <c r="EE289" s="16"/>
      <c r="EF289" s="16"/>
      <c r="EG289" s="179"/>
      <c r="EH289" s="179"/>
      <c r="EI289" s="179">
        <f>IFERROR(__xludf.DUMMYFUNCTION("""COMPUTED_VALUE"""),-6.0)</f>
        <v>-6</v>
      </c>
      <c r="EJ289" s="179"/>
      <c r="EK289" s="179"/>
      <c r="EL289" s="179"/>
      <c r="EM289" s="179"/>
      <c r="EN289" s="179"/>
      <c r="EO289" s="16"/>
      <c r="EP289" s="16"/>
      <c r="EQ289" s="16">
        <f>IFERROR(__xludf.DUMMYFUNCTION("""COMPUTED_VALUE"""),-1.0)</f>
        <v>-1</v>
      </c>
      <c r="ER289" s="16">
        <f>IFERROR(__xludf.DUMMYFUNCTION("""COMPUTED_VALUE"""),0.0)</f>
        <v>0</v>
      </c>
      <c r="ES289" s="16"/>
      <c r="ET289" s="16"/>
      <c r="EU289" s="16"/>
      <c r="EV289" s="16"/>
      <c r="EW289" s="16"/>
      <c r="EX289" s="180"/>
      <c r="EY289" s="180"/>
      <c r="EZ289" s="180">
        <f>IFERROR(__xludf.DUMMYFUNCTION("""COMPUTED_VALUE"""),0.2)</f>
        <v>0.2</v>
      </c>
      <c r="FA289" s="180"/>
      <c r="FB289" s="180"/>
      <c r="FC289" s="180"/>
      <c r="FD289" s="180"/>
      <c r="FE289" s="180"/>
      <c r="FF289" s="180"/>
      <c r="FG289" s="180"/>
      <c r="FH289" s="180">
        <f>IFERROR(__xludf.DUMMYFUNCTION("""COMPUTED_VALUE"""),0.032407407407407406)</f>
        <v>0.03240740741</v>
      </c>
      <c r="FI289" s="180"/>
      <c r="FJ289" s="180"/>
      <c r="FK289" s="180"/>
      <c r="FL289" s="180"/>
      <c r="FM289" s="180"/>
      <c r="FN289" s="16"/>
      <c r="FO289" s="16"/>
      <c r="FP289" s="16">
        <f>IFERROR(__xludf.DUMMYFUNCTION("""COMPUTED_VALUE"""),0.7740740740740741)</f>
        <v>0.7740740741</v>
      </c>
      <c r="FQ289" s="16"/>
      <c r="FR289" s="16"/>
      <c r="FS289" s="16"/>
      <c r="FT289" s="16"/>
      <c r="FU289" s="16"/>
      <c r="FV289" s="16"/>
      <c r="FW289" s="16"/>
      <c r="FX289" s="16">
        <f>IFERROR(__xludf.DUMMYFUNCTION("""COMPUTED_VALUE"""),-1.0)</f>
        <v>-1</v>
      </c>
      <c r="FY289" s="16"/>
      <c r="FZ289" s="16"/>
      <c r="GA289" s="16"/>
      <c r="GB289" s="16"/>
      <c r="GC289" s="16"/>
      <c r="GD289" s="16" t="s">
        <v>176</v>
      </c>
    </row>
    <row r="290">
      <c r="A290" s="16">
        <f>IFERROR(__xludf.DUMMYFUNCTION("""COMPUTED_VALUE"""),12847.0)</f>
        <v>12847</v>
      </c>
      <c r="B290" s="16" t="str">
        <f>IFERROR(__xludf.DUMMYFUNCTION("""COMPUTED_VALUE"""),"Gio Urshela")</f>
        <v>Gio Urshela</v>
      </c>
      <c r="C290" s="16">
        <f>IFERROR(__xludf.DUMMYFUNCTION("""COMPUTED_VALUE"""),0.26)</f>
        <v>0.26</v>
      </c>
      <c r="D290" s="16" t="str">
        <f>IFERROR(__xludf.DUMMYFUNCTION("""COMPUTED_VALUE"""),"R")</f>
        <v>R</v>
      </c>
      <c r="E290" s="16"/>
      <c r="F290" s="16"/>
      <c r="G290" s="16">
        <f>IFERROR(__xludf.DUMMYFUNCTION("""COMPUTED_VALUE"""),432.0)</f>
        <v>432</v>
      </c>
      <c r="H290" s="16">
        <f>IFERROR(__xludf.DUMMYFUNCTION("""COMPUTED_VALUE"""),23.0)</f>
        <v>23</v>
      </c>
      <c r="I290" s="16" t="str">
        <f>IFERROR(__xludf.DUMMYFUNCTION("""COMPUTED_VALUE"""),"2p60")</f>
        <v>2p60</v>
      </c>
      <c r="J290" s="16">
        <f>IFERROR(__xludf.DUMMYFUNCTION("""COMPUTED_VALUE"""),13.0)</f>
        <v>13</v>
      </c>
      <c r="K290" s="16">
        <f>IFERROR(__xludf.DUMMYFUNCTION("""COMPUTED_VALUE"""),8.0)</f>
        <v>8</v>
      </c>
      <c r="L290" s="16">
        <f>IFERROR(__xludf.DUMMYFUNCTION("""COMPUTED_VALUE"""),1.0)</f>
        <v>1</v>
      </c>
      <c r="M290" s="16">
        <f>IFERROR(__xludf.DUMMYFUNCTION("""COMPUTED_VALUE"""),2.0)</f>
        <v>2</v>
      </c>
      <c r="N290" s="16">
        <f>IFERROR(__xludf.DUMMYFUNCTION("""COMPUTED_VALUE"""),1.0)</f>
        <v>1</v>
      </c>
      <c r="O290" s="16">
        <f>IFERROR(__xludf.DUMMYFUNCTION("""COMPUTED_VALUE"""),2.0)</f>
        <v>2</v>
      </c>
      <c r="P290" s="16">
        <f>IFERROR(__xludf.DUMMYFUNCTION("""COMPUTED_VALUE"""),10.0)</f>
        <v>10</v>
      </c>
      <c r="Q290" s="16">
        <f>IFERROR(__xludf.DUMMYFUNCTION("""COMPUTED_VALUE"""),0.0)</f>
        <v>0</v>
      </c>
      <c r="R290" s="16">
        <f>IFERROR(__xludf.DUMMYFUNCTION("""COMPUTED_VALUE"""),1.0)</f>
        <v>1</v>
      </c>
      <c r="S290" s="16">
        <f>IFERROR(__xludf.DUMMYFUNCTION("""COMPUTED_VALUE"""),-2.0)</f>
        <v>-2</v>
      </c>
      <c r="T290" s="16">
        <f>IFERROR(__xludf.DUMMYFUNCTION("""COMPUTED_VALUE"""),1.0)</f>
        <v>1</v>
      </c>
      <c r="U290" s="16">
        <f>IFERROR(__xludf.DUMMYFUNCTION("""COMPUTED_VALUE"""),-2.0)</f>
        <v>-2</v>
      </c>
      <c r="V290" s="16">
        <f>IFERROR(__xludf.DUMMYFUNCTION("""COMPUTED_VALUE"""),16.9)</f>
        <v>16.9</v>
      </c>
      <c r="W290" s="16">
        <f>IFERROR(__xludf.DUMMYFUNCTION("""COMPUTED_VALUE"""),25.6)</f>
        <v>25.6</v>
      </c>
      <c r="X290" s="16">
        <f>IFERROR(__xludf.DUMMYFUNCTION("""COMPUTED_VALUE"""),0.0)</f>
        <v>0</v>
      </c>
      <c r="Y290" s="16">
        <f>IFERROR(__xludf.DUMMYFUNCTION("""COMPUTED_VALUE"""),1.0)</f>
        <v>1</v>
      </c>
      <c r="Z290" s="16">
        <f>IFERROR(__xludf.DUMMYFUNCTION("""COMPUTED_VALUE"""),0.0)</f>
        <v>0</v>
      </c>
      <c r="AA290" s="16">
        <f>IFERROR(__xludf.DUMMYFUNCTION("""COMPUTED_VALUE"""),2.0)</f>
        <v>2</v>
      </c>
      <c r="AB290" s="16">
        <f>IFERROR(__xludf.DUMMYFUNCTION("""COMPUTED_VALUE"""),26.9)</f>
        <v>26.9</v>
      </c>
      <c r="AC290" s="16">
        <f>IFERROR(__xludf.DUMMYFUNCTION("""COMPUTED_VALUE"""),25.6)</f>
        <v>25.6</v>
      </c>
      <c r="AD290" s="16">
        <f>IFERROR(__xludf.DUMMYFUNCTION("""COMPUTED_VALUE"""),0.0)</f>
        <v>0</v>
      </c>
      <c r="AE290" s="16">
        <f>IFERROR(__xludf.DUMMYFUNCTION("""COMPUTED_VALUE"""),-1.0)</f>
        <v>-1</v>
      </c>
      <c r="AF290" s="16">
        <f>IFERROR(__xludf.DUMMYFUNCTION("""COMPUTED_VALUE"""),0.0)</f>
        <v>0</v>
      </c>
      <c r="AG290" s="16">
        <f>IFERROR(__xludf.DUMMYFUNCTION("""COMPUTED_VALUE"""),-5.0)</f>
        <v>-5</v>
      </c>
      <c r="AH290" s="16">
        <f>IFERROR(__xludf.DUMMYFUNCTION("""COMPUTED_VALUE"""),25.5)</f>
        <v>25.5</v>
      </c>
      <c r="AI290" s="16">
        <f>IFERROR(__xludf.DUMMYFUNCTION("""COMPUTED_VALUE"""),34.6)</f>
        <v>34.6</v>
      </c>
      <c r="AJ290" s="16">
        <f>IFERROR(__xludf.DUMMYFUNCTION("""COMPUTED_VALUE"""),-1.0)</f>
        <v>-1</v>
      </c>
      <c r="AK290" s="16">
        <f>IFERROR(__xludf.DUMMYFUNCTION("""COMPUTED_VALUE"""),0.0)</f>
        <v>0</v>
      </c>
      <c r="AL290" s="16">
        <f>IFERROR(__xludf.DUMMYFUNCTION("""COMPUTED_VALUE"""),-5.0)</f>
        <v>-5</v>
      </c>
      <c r="AM290" s="16">
        <f>IFERROR(__xludf.DUMMYFUNCTION("""COMPUTED_VALUE"""),0.0)</f>
        <v>0</v>
      </c>
      <c r="AN290" s="16">
        <f>IFERROR(__xludf.DUMMYFUNCTION("""COMPUTED_VALUE"""),2.0)</f>
        <v>2</v>
      </c>
      <c r="AO290" s="16">
        <f>IFERROR(__xludf.DUMMYFUNCTION("""COMPUTED_VALUE"""),1.5)</f>
        <v>1.5</v>
      </c>
      <c r="AP290" s="16">
        <f>IFERROR(__xludf.DUMMYFUNCTION("""COMPUTED_VALUE"""),0.0)</f>
        <v>0</v>
      </c>
      <c r="AQ290" s="16">
        <f>IFERROR(__xludf.DUMMYFUNCTION("""COMPUTED_VALUE"""),-1.0)</f>
        <v>-1</v>
      </c>
      <c r="AR290" s="16">
        <f>IFERROR(__xludf.DUMMYFUNCTION("""COMPUTED_VALUE"""),0.0)</f>
        <v>0</v>
      </c>
      <c r="AS290" s="16">
        <f>IFERROR(__xludf.DUMMYFUNCTION("""COMPUTED_VALUE"""),-2.0)</f>
        <v>-2</v>
      </c>
      <c r="AT290" s="16"/>
      <c r="AU290" s="16">
        <f>IFERROR(__xludf.DUMMYFUNCTION("""COMPUTED_VALUE"""),1.0)</f>
        <v>1</v>
      </c>
      <c r="AV290" s="16">
        <f>IFERROR(__xludf.DUMMYFUNCTION("""COMPUTED_VALUE"""),-3.0)</f>
        <v>-3</v>
      </c>
      <c r="AW290" s="16">
        <f>IFERROR(__xludf.DUMMYFUNCTION("""COMPUTED_VALUE"""),1.0)</f>
        <v>1</v>
      </c>
      <c r="AX290" s="16">
        <f>IFERROR(__xludf.DUMMYFUNCTION("""COMPUTED_VALUE"""),-3.0)</f>
        <v>-3</v>
      </c>
      <c r="AY290" s="16">
        <f>IFERROR(__xludf.DUMMYFUNCTION("""COMPUTED_VALUE"""),-1.0)</f>
        <v>-1</v>
      </c>
      <c r="AZ290" s="16">
        <f>IFERROR(__xludf.DUMMYFUNCTION("""COMPUTED_VALUE"""),-9.0)</f>
        <v>-9</v>
      </c>
      <c r="BA290" s="16">
        <f>IFERROR(__xludf.DUMMYFUNCTION("""COMPUTED_VALUE"""),-3.0)</f>
        <v>-3</v>
      </c>
      <c r="BB290" s="16">
        <f>IFERROR(__xludf.DUMMYFUNCTION("""COMPUTED_VALUE"""),5.0)</f>
        <v>5</v>
      </c>
      <c r="BC290" s="16">
        <f>IFERROR(__xludf.DUMMYFUNCTION("""COMPUTED_VALUE"""),5.0)</f>
        <v>5</v>
      </c>
      <c r="BD290" s="16">
        <f>IFERROR(__xludf.DUMMYFUNCTION("""COMPUTED_VALUE"""),1.0)</f>
        <v>1</v>
      </c>
      <c r="BE290" s="16">
        <f>IFERROR(__xludf.DUMMYFUNCTION("""COMPUTED_VALUE"""),1.0)</f>
        <v>1</v>
      </c>
      <c r="BF290" s="16">
        <f>IFERROR(__xludf.DUMMYFUNCTION("""COMPUTED_VALUE"""),1.0)</f>
        <v>1</v>
      </c>
      <c r="BG290" s="16">
        <f>IFERROR(__xludf.DUMMYFUNCTION("""COMPUTED_VALUE"""),1.0)</f>
        <v>1</v>
      </c>
      <c r="BH290" s="16">
        <f>IFERROR(__xludf.DUMMYFUNCTION("""COMPUTED_VALUE"""),0.0)</f>
        <v>0</v>
      </c>
      <c r="BI290" s="16">
        <f>IFERROR(__xludf.DUMMYFUNCTION("""COMPUTED_VALUE"""),0.0)</f>
        <v>0</v>
      </c>
      <c r="BJ290" s="16">
        <f>IFERROR(__xludf.DUMMYFUNCTION("""COMPUTED_VALUE"""),20.0)</f>
        <v>20</v>
      </c>
      <c r="BK290" s="16">
        <f>IFERROR(__xludf.DUMMYFUNCTION("""COMPUTED_VALUE"""),23.0)</f>
        <v>23</v>
      </c>
      <c r="BL290" s="16">
        <f>IFERROR(__xludf.DUMMYFUNCTION("""COMPUTED_VALUE"""),-2.0)</f>
        <v>-2</v>
      </c>
      <c r="BM290" s="16">
        <f>IFERROR(__xludf.DUMMYFUNCTION("""COMPUTED_VALUE"""),-2.0)</f>
        <v>-2</v>
      </c>
      <c r="BN290" s="16">
        <f>IFERROR(__xludf.DUMMYFUNCTION("""COMPUTED_VALUE"""),-4.0)</f>
        <v>-4</v>
      </c>
      <c r="BO290" s="16">
        <f>IFERROR(__xludf.DUMMYFUNCTION("""COMPUTED_VALUE"""),-4.0)</f>
        <v>-4</v>
      </c>
      <c r="BP290" s="16">
        <f>IFERROR(__xludf.DUMMYFUNCTION("""COMPUTED_VALUE"""),-3.0)</f>
        <v>-3</v>
      </c>
      <c r="BQ290" s="16">
        <f>IFERROR(__xludf.DUMMYFUNCTION("""COMPUTED_VALUE"""),-3.0)</f>
        <v>-3</v>
      </c>
      <c r="BR290" s="16">
        <f>IFERROR(__xludf.DUMMYFUNCTION("""COMPUTED_VALUE"""),-6.0)</f>
        <v>-6</v>
      </c>
      <c r="BS290" s="16" t="str">
        <f>IFERROR(__xludf.DUMMYFUNCTION("""COMPUTED_VALUE"""),"-/- (---)")</f>
        <v>-/- (---)</v>
      </c>
      <c r="BT290" s="16" t="str">
        <f>IFERROR(__xludf.DUMMYFUNCTION("""COMPUTED_VALUE"""),"E")</f>
        <v>E</v>
      </c>
      <c r="BU290" s="16">
        <f>IFERROR(__xludf.DUMMYFUNCTION("""COMPUTED_VALUE"""),10.0)</f>
        <v>10</v>
      </c>
      <c r="BV290" s="16">
        <f>IFERROR(__xludf.DUMMYFUNCTION("""COMPUTED_VALUE"""),0.0)</f>
        <v>0</v>
      </c>
      <c r="BW290" s="16">
        <f>IFERROR(__xludf.DUMMYFUNCTION("""COMPUTED_VALUE"""),0.0)</f>
        <v>0</v>
      </c>
      <c r="BX290" s="16">
        <f>IFERROR(__xludf.DUMMYFUNCTION("""COMPUTED_VALUE"""),0.0)</f>
        <v>0</v>
      </c>
      <c r="BY290" s="16">
        <f>IFERROR(__xludf.DUMMYFUNCTION("""COMPUTED_VALUE"""),0.0)</f>
        <v>0</v>
      </c>
      <c r="BZ290" s="16" t="str">
        <f>IFERROR(__xludf.DUMMYFUNCTION("""COMPUTED_VALUE"""),"D")</f>
        <v>D</v>
      </c>
      <c r="CA290" s="16" t="str">
        <f>IFERROR(__xludf.DUMMYFUNCTION("""COMPUTED_VALUE"""),"C")</f>
        <v>C</v>
      </c>
      <c r="CB290" s="16">
        <f>IFERROR(__xludf.DUMMYFUNCTION("""COMPUTED_VALUE"""),0.0)</f>
        <v>0</v>
      </c>
      <c r="CC290" s="16">
        <f>IFERROR(__xludf.DUMMYFUNCTION("""COMPUTED_VALUE"""),0.0)</f>
        <v>0</v>
      </c>
      <c r="CD290" s="16">
        <f>IFERROR(__xludf.DUMMYFUNCTION("""COMPUTED_VALUE"""),0.0)</f>
        <v>0</v>
      </c>
      <c r="CE290" s="16">
        <f>IFERROR(__xludf.DUMMYFUNCTION("""COMPUTED_VALUE"""),0.0)</f>
        <v>0</v>
      </c>
      <c r="CF290" s="16">
        <f>IFERROR(__xludf.DUMMYFUNCTION("""COMPUTED_VALUE"""),2.0)</f>
        <v>2</v>
      </c>
      <c r="CG290" s="16">
        <f>IFERROR(__xludf.DUMMYFUNCTION("""COMPUTED_VALUE"""),-15.0)</f>
        <v>-15</v>
      </c>
      <c r="CH290" s="16">
        <f>IFERROR(__xludf.DUMMYFUNCTION("""COMPUTED_VALUE"""),-11.0)</f>
        <v>-11</v>
      </c>
      <c r="CI290" s="179">
        <f>IFERROR(__xludf.DUMMYFUNCTION("""COMPUTED_VALUE"""),-9.0)</f>
        <v>-9</v>
      </c>
      <c r="CJ290" s="16"/>
      <c r="CK290" s="16">
        <f>IFERROR(__xludf.DUMMYFUNCTION("""COMPUTED_VALUE"""),305.0)</f>
        <v>305</v>
      </c>
      <c r="CL290" s="16"/>
      <c r="CM290" s="16">
        <f>IFERROR(__xludf.DUMMYFUNCTION("""COMPUTED_VALUE"""),211.0)</f>
        <v>211</v>
      </c>
      <c r="CN290" s="16">
        <f>IFERROR(__xludf.DUMMYFUNCTION("""COMPUTED_VALUE"""),420.0)</f>
        <v>420</v>
      </c>
      <c r="CO290" s="16"/>
      <c r="CP290" s="16"/>
      <c r="CQ290" s="16"/>
      <c r="CR290" s="16" t="str">
        <f>IFERROR(__xludf.DUMMYFUNCTION("""COMPUTED_VALUE"""),"3b-2e11 1b-3e5 ss-4e20")</f>
        <v>3b-2e11 1b-3e5 ss-4e20</v>
      </c>
      <c r="CS290" s="16"/>
      <c r="CT290" s="16">
        <f>IFERROR(__xludf.DUMMYFUNCTION("""COMPUTED_VALUE"""),3.0)</f>
        <v>3</v>
      </c>
      <c r="CU290" s="16"/>
      <c r="CV290" s="16">
        <f>IFERROR(__xludf.DUMMYFUNCTION("""COMPUTED_VALUE"""),2.0)</f>
        <v>2</v>
      </c>
      <c r="CW290" s="16">
        <f>IFERROR(__xludf.DUMMYFUNCTION("""COMPUTED_VALUE"""),4.0)</f>
        <v>4</v>
      </c>
      <c r="CX290" s="16"/>
      <c r="CY290" s="16"/>
      <c r="CZ290" s="16"/>
      <c r="DA290" s="16"/>
      <c r="DB290" s="16">
        <f>IFERROR(__xludf.DUMMYFUNCTION("""COMPUTED_VALUE"""),5.0)</f>
        <v>5</v>
      </c>
      <c r="DC290" s="16"/>
      <c r="DD290" s="16">
        <f>IFERROR(__xludf.DUMMYFUNCTION("""COMPUTED_VALUE"""),11.0)</f>
        <v>11</v>
      </c>
      <c r="DE290" s="16">
        <f>IFERROR(__xludf.DUMMYFUNCTION("""COMPUTED_VALUE"""),20.0)</f>
        <v>20</v>
      </c>
      <c r="DF290" s="16"/>
      <c r="DG290" s="16"/>
      <c r="DH290" s="16"/>
      <c r="DI290" s="16"/>
      <c r="DJ290" s="16">
        <f>IFERROR(__xludf.DUMMYFUNCTION("""COMPUTED_VALUE"""),1.0)</f>
        <v>1</v>
      </c>
      <c r="DK290" s="16"/>
      <c r="DL290" s="16">
        <f>IFERROR(__xludf.DUMMYFUNCTION("""COMPUTED_VALUE"""),3.0)</f>
        <v>3</v>
      </c>
      <c r="DM290" s="16">
        <f>IFERROR(__xludf.DUMMYFUNCTION("""COMPUTED_VALUE"""),-2.0)</f>
        <v>-2</v>
      </c>
      <c r="DN290" s="16"/>
      <c r="DO290" s="16"/>
      <c r="DP290" s="16"/>
      <c r="DQ290" s="16"/>
      <c r="DR290" s="16">
        <f>IFERROR(__xludf.DUMMYFUNCTION("""COMPUTED_VALUE"""),2.0)</f>
        <v>2</v>
      </c>
      <c r="DS290" s="16"/>
      <c r="DT290" s="16">
        <f>IFERROR(__xludf.DUMMYFUNCTION("""COMPUTED_VALUE"""),1.0)</f>
        <v>1</v>
      </c>
      <c r="DU290" s="16">
        <f>IFERROR(__xludf.DUMMYFUNCTION("""COMPUTED_VALUE"""),2.0)</f>
        <v>2</v>
      </c>
      <c r="DV290" s="16"/>
      <c r="DW290" s="16"/>
      <c r="DX290" s="16"/>
      <c r="DY290" s="16"/>
      <c r="DZ290" s="16">
        <f>IFERROR(__xludf.DUMMYFUNCTION("""COMPUTED_VALUE"""),3.0)</f>
        <v>3</v>
      </c>
      <c r="EA290" s="16"/>
      <c r="EB290" s="16">
        <f>IFERROR(__xludf.DUMMYFUNCTION("""COMPUTED_VALUE"""),4.0)</f>
        <v>4</v>
      </c>
      <c r="EC290" s="16">
        <f>IFERROR(__xludf.DUMMYFUNCTION("""COMPUTED_VALUE"""),0.0)</f>
        <v>0</v>
      </c>
      <c r="ED290" s="16"/>
      <c r="EE290" s="16"/>
      <c r="EF290" s="16"/>
      <c r="EG290" s="179"/>
      <c r="EH290" s="179">
        <f>IFERROR(__xludf.DUMMYFUNCTION("""COMPUTED_VALUE"""),-6.0)</f>
        <v>-6</v>
      </c>
      <c r="EI290" s="179"/>
      <c r="EJ290" s="179">
        <f>IFERROR(__xludf.DUMMYFUNCTION("""COMPUTED_VALUE"""),-5.0)</f>
        <v>-5</v>
      </c>
      <c r="EK290" s="179">
        <f>IFERROR(__xludf.DUMMYFUNCTION("""COMPUTED_VALUE"""),-9.0)</f>
        <v>-9</v>
      </c>
      <c r="EL290" s="179"/>
      <c r="EM290" s="179"/>
      <c r="EN290" s="179"/>
      <c r="EO290" s="16"/>
      <c r="EP290" s="16"/>
      <c r="EQ290" s="16">
        <f>IFERROR(__xludf.DUMMYFUNCTION("""COMPUTED_VALUE"""),2.0)</f>
        <v>2</v>
      </c>
      <c r="ER290" s="16">
        <f>IFERROR(__xludf.DUMMYFUNCTION("""COMPUTED_VALUE"""),1.0)</f>
        <v>1</v>
      </c>
      <c r="ES290" s="16"/>
      <c r="ET290" s="16"/>
      <c r="EU290" s="16"/>
      <c r="EV290" s="16"/>
      <c r="EW290" s="16"/>
      <c r="EX290" s="180"/>
      <c r="EY290" s="180">
        <f>IFERROR(__xludf.DUMMYFUNCTION("""COMPUTED_VALUE"""),0.2)</f>
        <v>0.2</v>
      </c>
      <c r="EZ290" s="180"/>
      <c r="FA290" s="180">
        <f>IFERROR(__xludf.DUMMYFUNCTION("""COMPUTED_VALUE"""),0.1)</f>
        <v>0.1</v>
      </c>
      <c r="FB290" s="180">
        <f>IFERROR(__xludf.DUMMYFUNCTION("""COMPUTED_VALUE"""),0.3)</f>
        <v>0.3</v>
      </c>
      <c r="FC290" s="180"/>
      <c r="FD290" s="180"/>
      <c r="FE290" s="180"/>
      <c r="FF290" s="180"/>
      <c r="FG290" s="180">
        <f>IFERROR(__xludf.DUMMYFUNCTION("""COMPUTED_VALUE"""),0.08796296296296297)</f>
        <v>0.08796296296</v>
      </c>
      <c r="FH290" s="180"/>
      <c r="FI290" s="180">
        <f>IFERROR(__xludf.DUMMYFUNCTION("""COMPUTED_VALUE"""),0.13425925925925927)</f>
        <v>0.1342592593</v>
      </c>
      <c r="FJ290" s="180">
        <f>IFERROR(__xludf.DUMMYFUNCTION("""COMPUTED_VALUE"""),0.10185185185185185)</f>
        <v>0.1018518519</v>
      </c>
      <c r="FK290" s="180"/>
      <c r="FL290" s="180"/>
      <c r="FM290" s="180"/>
      <c r="FN290" s="16"/>
      <c r="FO290" s="16">
        <f>IFERROR(__xludf.DUMMYFUNCTION("""COMPUTED_VALUE"""),0.7296296296296296)</f>
        <v>0.7296296296</v>
      </c>
      <c r="FP290" s="16"/>
      <c r="FQ290" s="16">
        <f>IFERROR(__xludf.DUMMYFUNCTION("""COMPUTED_VALUE"""),0.7791666666666667)</f>
        <v>0.7791666667</v>
      </c>
      <c r="FR290" s="16">
        <f>IFERROR(__xludf.DUMMYFUNCTION("""COMPUTED_VALUE"""),0.6287037037037037)</f>
        <v>0.6287037037</v>
      </c>
      <c r="FS290" s="16"/>
      <c r="FT290" s="16"/>
      <c r="FU290" s="16"/>
      <c r="FV290" s="16"/>
      <c r="FW290" s="16">
        <f>IFERROR(__xludf.DUMMYFUNCTION("""COMPUTED_VALUE"""),-4.0)</f>
        <v>-4</v>
      </c>
      <c r="FX290" s="16"/>
      <c r="FY290" s="16">
        <f>IFERROR(__xludf.DUMMYFUNCTION("""COMPUTED_VALUE"""),-1.0)</f>
        <v>-1</v>
      </c>
      <c r="FZ290" s="16">
        <f>IFERROR(__xludf.DUMMYFUNCTION("""COMPUTED_VALUE"""),-6.0)</f>
        <v>-6</v>
      </c>
      <c r="GA290" s="16"/>
      <c r="GB290" s="16"/>
      <c r="GC290" s="16"/>
      <c r="GD290" s="16" t="s">
        <v>176</v>
      </c>
    </row>
    <row r="291">
      <c r="A291" s="16">
        <f>IFERROR(__xludf.DUMMYFUNCTION("""COMPUTED_VALUE"""),12796.0)</f>
        <v>12796</v>
      </c>
      <c r="B291" s="16" t="str">
        <f>IFERROR(__xludf.DUMMYFUNCTION("""COMPUTED_VALUE"""),"Emmanuel Rivera")</f>
        <v>Emmanuel Rivera</v>
      </c>
      <c r="C291" s="16">
        <f>IFERROR(__xludf.DUMMYFUNCTION("""COMPUTED_VALUE"""),0.0)</f>
        <v>0</v>
      </c>
      <c r="D291" s="16" t="str">
        <f>IFERROR(__xludf.DUMMYFUNCTION("""COMPUTED_VALUE"""),"R")</f>
        <v>R</v>
      </c>
      <c r="E291" s="16"/>
      <c r="F291" s="16"/>
      <c r="G291" s="16">
        <f>IFERROR(__xludf.DUMMYFUNCTION("""COMPUTED_VALUE"""),265.0)</f>
        <v>265</v>
      </c>
      <c r="H291" s="16">
        <f>IFERROR(__xludf.DUMMYFUNCTION("""COMPUTED_VALUE"""),26.0)</f>
        <v>26</v>
      </c>
      <c r="I291" s="16" t="str">
        <f>IFERROR(__xludf.DUMMYFUNCTION("""COMPUTED_VALUE"""),"1p60")</f>
        <v>1p60</v>
      </c>
      <c r="J291" s="16">
        <f>IFERROR(__xludf.DUMMYFUNCTION("""COMPUTED_VALUE"""),21.0)</f>
        <v>21</v>
      </c>
      <c r="K291" s="16">
        <f>IFERROR(__xludf.DUMMYFUNCTION("""COMPUTED_VALUE"""),28.0)</f>
        <v>28</v>
      </c>
      <c r="L291" s="16">
        <f>IFERROR(__xludf.DUMMYFUNCTION("""COMPUTED_VALUE"""),0.0)</f>
        <v>0</v>
      </c>
      <c r="M291" s="16">
        <f>IFERROR(__xludf.DUMMYFUNCTION("""COMPUTED_VALUE"""),0.0)</f>
        <v>0</v>
      </c>
      <c r="N291" s="16">
        <f>IFERROR(__xludf.DUMMYFUNCTION("""COMPUTED_VALUE"""),0.0)</f>
        <v>0</v>
      </c>
      <c r="O291" s="16">
        <f>IFERROR(__xludf.DUMMYFUNCTION("""COMPUTED_VALUE"""),0.0)</f>
        <v>0</v>
      </c>
      <c r="P291" s="16">
        <f>IFERROR(__xludf.DUMMYFUNCTION("""COMPUTED_VALUE"""),13.0)</f>
        <v>13</v>
      </c>
      <c r="Q291" s="16">
        <f>IFERROR(__xludf.DUMMYFUNCTION("""COMPUTED_VALUE"""),9.0)</f>
        <v>9</v>
      </c>
      <c r="R291" s="16">
        <f>IFERROR(__xludf.DUMMYFUNCTION("""COMPUTED_VALUE"""),2.0)</f>
        <v>2</v>
      </c>
      <c r="S291" s="16">
        <f>IFERROR(__xludf.DUMMYFUNCTION("""COMPUTED_VALUE"""),0.0)</f>
        <v>0</v>
      </c>
      <c r="T291" s="16">
        <f>IFERROR(__xludf.DUMMYFUNCTION("""COMPUTED_VALUE"""),2.0)</f>
        <v>2</v>
      </c>
      <c r="U291" s="16">
        <f>IFERROR(__xludf.DUMMYFUNCTION("""COMPUTED_VALUE"""),0.0)</f>
        <v>0</v>
      </c>
      <c r="V291" s="16">
        <f>IFERROR(__xludf.DUMMYFUNCTION("""COMPUTED_VALUE"""),17.8)</f>
        <v>17.8</v>
      </c>
      <c r="W291" s="16">
        <f>IFERROR(__xludf.DUMMYFUNCTION("""COMPUTED_VALUE"""),19.3)</f>
        <v>19.3</v>
      </c>
      <c r="X291" s="16">
        <f>IFERROR(__xludf.DUMMYFUNCTION("""COMPUTED_VALUE"""),0.0)</f>
        <v>0</v>
      </c>
      <c r="Y291" s="16">
        <f>IFERROR(__xludf.DUMMYFUNCTION("""COMPUTED_VALUE"""),0.0)</f>
        <v>0</v>
      </c>
      <c r="Z291" s="16">
        <f>IFERROR(__xludf.DUMMYFUNCTION("""COMPUTED_VALUE"""),0.0)</f>
        <v>0</v>
      </c>
      <c r="AA291" s="16">
        <f>IFERROR(__xludf.DUMMYFUNCTION("""COMPUTED_VALUE"""),0.0)</f>
        <v>0</v>
      </c>
      <c r="AB291" s="16">
        <f>IFERROR(__xludf.DUMMYFUNCTION("""COMPUTED_VALUE"""),34.8)</f>
        <v>34.8</v>
      </c>
      <c r="AC291" s="16">
        <f>IFERROR(__xludf.DUMMYFUNCTION("""COMPUTED_VALUE"""),32.3)</f>
        <v>32.3</v>
      </c>
      <c r="AD291" s="16">
        <f>IFERROR(__xludf.DUMMYFUNCTION("""COMPUTED_VALUE"""),1.0)</f>
        <v>1</v>
      </c>
      <c r="AE291" s="16">
        <f>IFERROR(__xludf.DUMMYFUNCTION("""COMPUTED_VALUE"""),0.0)</f>
        <v>0</v>
      </c>
      <c r="AF291" s="16">
        <f>IFERROR(__xludf.DUMMYFUNCTION("""COMPUTED_VALUE"""),5.0)</f>
        <v>5</v>
      </c>
      <c r="AG291" s="16">
        <f>IFERROR(__xludf.DUMMYFUNCTION("""COMPUTED_VALUE"""),0.0)</f>
        <v>0</v>
      </c>
      <c r="AH291" s="16">
        <f>IFERROR(__xludf.DUMMYFUNCTION("""COMPUTED_VALUE"""),23.7)</f>
        <v>23.7</v>
      </c>
      <c r="AI291" s="16">
        <f>IFERROR(__xludf.DUMMYFUNCTION("""COMPUTED_VALUE"""),23.8)</f>
        <v>23.8</v>
      </c>
      <c r="AJ291" s="16">
        <f>IFERROR(__xludf.DUMMYFUNCTION("""COMPUTED_VALUE"""),-1.0)</f>
        <v>-1</v>
      </c>
      <c r="AK291" s="16">
        <f>IFERROR(__xludf.DUMMYFUNCTION("""COMPUTED_VALUE"""),-1.0)</f>
        <v>-1</v>
      </c>
      <c r="AL291" s="16">
        <f>IFERROR(__xludf.DUMMYFUNCTION("""COMPUTED_VALUE"""),-5.0)</f>
        <v>-5</v>
      </c>
      <c r="AM291" s="16">
        <f>IFERROR(__xludf.DUMMYFUNCTION("""COMPUTED_VALUE"""),-5.0)</f>
        <v>-5</v>
      </c>
      <c r="AN291" s="16">
        <f>IFERROR(__xludf.DUMMYFUNCTION("""COMPUTED_VALUE"""),0.2)</f>
        <v>0.2</v>
      </c>
      <c r="AO291" s="16">
        <f>IFERROR(__xludf.DUMMYFUNCTION("""COMPUTED_VALUE"""),0.8)</f>
        <v>0.8</v>
      </c>
      <c r="AP291" s="16">
        <f>IFERROR(__xludf.DUMMYFUNCTION("""COMPUTED_VALUE"""),-2.0)</f>
        <v>-2</v>
      </c>
      <c r="AQ291" s="16">
        <f>IFERROR(__xludf.DUMMYFUNCTION("""COMPUTED_VALUE"""),-2.0)</f>
        <v>-2</v>
      </c>
      <c r="AR291" s="16">
        <f>IFERROR(__xludf.DUMMYFUNCTION("""COMPUTED_VALUE"""),-4.0)</f>
        <v>-4</v>
      </c>
      <c r="AS291" s="16">
        <f>IFERROR(__xludf.DUMMYFUNCTION("""COMPUTED_VALUE"""),-4.0)</f>
        <v>-4</v>
      </c>
      <c r="AT291" s="16">
        <f>IFERROR(__xludf.DUMMYFUNCTION("""COMPUTED_VALUE"""),0.0)</f>
        <v>0</v>
      </c>
      <c r="AU291" s="16">
        <f>IFERROR(__xludf.DUMMYFUNCTION("""COMPUTED_VALUE"""),0.0)</f>
        <v>0</v>
      </c>
      <c r="AV291" s="16">
        <f>IFERROR(__xludf.DUMMYFUNCTION("""COMPUTED_VALUE"""),0.0)</f>
        <v>0</v>
      </c>
      <c r="AW291" s="16">
        <f>IFERROR(__xludf.DUMMYFUNCTION("""COMPUTED_VALUE"""),0.0)</f>
        <v>0</v>
      </c>
      <c r="AX291" s="16">
        <f>IFERROR(__xludf.DUMMYFUNCTION("""COMPUTED_VALUE"""),-2.0)</f>
        <v>-2</v>
      </c>
      <c r="AY291" s="16">
        <f>IFERROR(__xludf.DUMMYFUNCTION("""COMPUTED_VALUE"""),-2.0)</f>
        <v>-2</v>
      </c>
      <c r="AZ291" s="16">
        <f>IFERROR(__xludf.DUMMYFUNCTION("""COMPUTED_VALUE"""),-6.0)</f>
        <v>-6</v>
      </c>
      <c r="BA291" s="16">
        <f>IFERROR(__xludf.DUMMYFUNCTION("""COMPUTED_VALUE"""),-6.0)</f>
        <v>-6</v>
      </c>
      <c r="BB291" s="16">
        <f>IFERROR(__xludf.DUMMYFUNCTION("""COMPUTED_VALUE"""),5.0)</f>
        <v>5</v>
      </c>
      <c r="BC291" s="16">
        <f>IFERROR(__xludf.DUMMYFUNCTION("""COMPUTED_VALUE"""),5.0)</f>
        <v>5</v>
      </c>
      <c r="BD291" s="16">
        <f>IFERROR(__xludf.DUMMYFUNCTION("""COMPUTED_VALUE"""),1.0)</f>
        <v>1</v>
      </c>
      <c r="BE291" s="16">
        <f>IFERROR(__xludf.DUMMYFUNCTION("""COMPUTED_VALUE"""),1.0)</f>
        <v>1</v>
      </c>
      <c r="BF291" s="16">
        <f>IFERROR(__xludf.DUMMYFUNCTION("""COMPUTED_VALUE"""),1.0)</f>
        <v>1</v>
      </c>
      <c r="BG291" s="16">
        <f>IFERROR(__xludf.DUMMYFUNCTION("""COMPUTED_VALUE"""),1.0)</f>
        <v>1</v>
      </c>
      <c r="BH291" s="16">
        <f>IFERROR(__xludf.DUMMYFUNCTION("""COMPUTED_VALUE"""),-6.0)</f>
        <v>-6</v>
      </c>
      <c r="BI291" s="16">
        <f>IFERROR(__xludf.DUMMYFUNCTION("""COMPUTED_VALUE"""),-6.0)</f>
        <v>-6</v>
      </c>
      <c r="BJ291" s="16">
        <f>IFERROR(__xludf.DUMMYFUNCTION("""COMPUTED_VALUE"""),17.0)</f>
        <v>17</v>
      </c>
      <c r="BK291" s="16">
        <f>IFERROR(__xludf.DUMMYFUNCTION("""COMPUTED_VALUE"""),18.0)</f>
        <v>18</v>
      </c>
      <c r="BL291" s="16">
        <f>IFERROR(__xludf.DUMMYFUNCTION("""COMPUTED_VALUE"""),-1.0)</f>
        <v>-1</v>
      </c>
      <c r="BM291" s="16">
        <f>IFERROR(__xludf.DUMMYFUNCTION("""COMPUTED_VALUE"""),-1.0)</f>
        <v>-1</v>
      </c>
      <c r="BN291" s="16">
        <f>IFERROR(__xludf.DUMMYFUNCTION("""COMPUTED_VALUE"""),-2.0)</f>
        <v>-2</v>
      </c>
      <c r="BO291" s="16">
        <f>IFERROR(__xludf.DUMMYFUNCTION("""COMPUTED_VALUE"""),-2.0)</f>
        <v>-2</v>
      </c>
      <c r="BP291" s="16">
        <f>IFERROR(__xludf.DUMMYFUNCTION("""COMPUTED_VALUE"""),-2.0)</f>
        <v>-2</v>
      </c>
      <c r="BQ291" s="16">
        <f>IFERROR(__xludf.DUMMYFUNCTION("""COMPUTED_VALUE"""),-5.0)</f>
        <v>-5</v>
      </c>
      <c r="BR291" s="16">
        <f>IFERROR(__xludf.DUMMYFUNCTION("""COMPUTED_VALUE"""),-7.0)</f>
        <v>-7</v>
      </c>
      <c r="BS291" s="16" t="str">
        <f>IFERROR(__xludf.DUMMYFUNCTION("""COMPUTED_VALUE"""),"2/- (20-6)")</f>
        <v>2/- (20-6)</v>
      </c>
      <c r="BT291" s="16" t="str">
        <f>IFERROR(__xludf.DUMMYFUNCTION("""COMPUTED_VALUE"""),"D")</f>
        <v>D</v>
      </c>
      <c r="BU291" s="16">
        <f>IFERROR(__xludf.DUMMYFUNCTION("""COMPUTED_VALUE"""),11.0)</f>
        <v>11</v>
      </c>
      <c r="BV291" s="16">
        <f>IFERROR(__xludf.DUMMYFUNCTION("""COMPUTED_VALUE"""),0.0)</f>
        <v>0</v>
      </c>
      <c r="BW291" s="16">
        <f>IFERROR(__xludf.DUMMYFUNCTION("""COMPUTED_VALUE"""),0.0)</f>
        <v>0</v>
      </c>
      <c r="BX291" s="16">
        <f>IFERROR(__xludf.DUMMYFUNCTION("""COMPUTED_VALUE"""),0.0)</f>
        <v>0</v>
      </c>
      <c r="BY291" s="16">
        <f>IFERROR(__xludf.DUMMYFUNCTION("""COMPUTED_VALUE"""),0.0)</f>
        <v>0</v>
      </c>
      <c r="BZ291" s="16" t="str">
        <f>IFERROR(__xludf.DUMMYFUNCTION("""COMPUTED_VALUE"""),"D")</f>
        <v>D</v>
      </c>
      <c r="CA291" s="16" t="str">
        <f>IFERROR(__xludf.DUMMYFUNCTION("""COMPUTED_VALUE"""),"D")</f>
        <v>D</v>
      </c>
      <c r="CB291" s="16">
        <f>IFERROR(__xludf.DUMMYFUNCTION("""COMPUTED_VALUE"""),0.0)</f>
        <v>0</v>
      </c>
      <c r="CC291" s="16">
        <f>IFERROR(__xludf.DUMMYFUNCTION("""COMPUTED_VALUE"""),0.0)</f>
        <v>0</v>
      </c>
      <c r="CD291" s="16">
        <f>IFERROR(__xludf.DUMMYFUNCTION("""COMPUTED_VALUE"""),0.0)</f>
        <v>0</v>
      </c>
      <c r="CE291" s="16">
        <f>IFERROR(__xludf.DUMMYFUNCTION("""COMPUTED_VALUE"""),0.0)</f>
        <v>0</v>
      </c>
      <c r="CF291" s="16">
        <f>IFERROR(__xludf.DUMMYFUNCTION("""COMPUTED_VALUE"""),1.0)</f>
        <v>1</v>
      </c>
      <c r="CG291" s="16">
        <f>IFERROR(__xludf.DUMMYFUNCTION("""COMPUTED_VALUE"""),-9.0)</f>
        <v>-9</v>
      </c>
      <c r="CH291" s="16">
        <f>IFERROR(__xludf.DUMMYFUNCTION("""COMPUTED_VALUE"""),-16.0)</f>
        <v>-16</v>
      </c>
      <c r="CI291" s="179">
        <f>IFERROR(__xludf.DUMMYFUNCTION("""COMPUTED_VALUE"""),-9.0)</f>
        <v>-9</v>
      </c>
      <c r="CJ291" s="16"/>
      <c r="CK291" s="16">
        <f>IFERROR(__xludf.DUMMYFUNCTION("""COMPUTED_VALUE"""),308.0)</f>
        <v>308</v>
      </c>
      <c r="CL291" s="16"/>
      <c r="CM291" s="16">
        <f>IFERROR(__xludf.DUMMYFUNCTION("""COMPUTED_VALUE"""),210.0)</f>
        <v>210</v>
      </c>
      <c r="CN291" s="16"/>
      <c r="CO291" s="16"/>
      <c r="CP291" s="16"/>
      <c r="CQ291" s="16"/>
      <c r="CR291" s="16" t="str">
        <f>IFERROR(__xludf.DUMMYFUNCTION("""COMPUTED_VALUE"""),"3b-2e10 1b-3e8")</f>
        <v>3b-2e10 1b-3e8</v>
      </c>
      <c r="CS291" s="16"/>
      <c r="CT291" s="16">
        <f>IFERROR(__xludf.DUMMYFUNCTION("""COMPUTED_VALUE"""),3.0)</f>
        <v>3</v>
      </c>
      <c r="CU291" s="16"/>
      <c r="CV291" s="16">
        <f>IFERROR(__xludf.DUMMYFUNCTION("""COMPUTED_VALUE"""),2.0)</f>
        <v>2</v>
      </c>
      <c r="CW291" s="16"/>
      <c r="CX291" s="16"/>
      <c r="CY291" s="16"/>
      <c r="CZ291" s="16"/>
      <c r="DA291" s="16"/>
      <c r="DB291" s="16">
        <f>IFERROR(__xludf.DUMMYFUNCTION("""COMPUTED_VALUE"""),8.0)</f>
        <v>8</v>
      </c>
      <c r="DC291" s="16"/>
      <c r="DD291" s="16">
        <f>IFERROR(__xludf.DUMMYFUNCTION("""COMPUTED_VALUE"""),10.0)</f>
        <v>10</v>
      </c>
      <c r="DE291" s="16"/>
      <c r="DF291" s="16"/>
      <c r="DG291" s="16"/>
      <c r="DH291" s="16"/>
      <c r="DI291" s="16"/>
      <c r="DJ291" s="16">
        <f>IFERROR(__xludf.DUMMYFUNCTION("""COMPUTED_VALUE"""),1.0)</f>
        <v>1</v>
      </c>
      <c r="DK291" s="16"/>
      <c r="DL291" s="16">
        <f>IFERROR(__xludf.DUMMYFUNCTION("""COMPUTED_VALUE"""),3.0)</f>
        <v>3</v>
      </c>
      <c r="DM291" s="16"/>
      <c r="DN291" s="16"/>
      <c r="DO291" s="16"/>
      <c r="DP291" s="16"/>
      <c r="DQ291" s="16"/>
      <c r="DR291" s="16">
        <f>IFERROR(__xludf.DUMMYFUNCTION("""COMPUTED_VALUE"""),2.0)</f>
        <v>2</v>
      </c>
      <c r="DS291" s="16"/>
      <c r="DT291" s="16">
        <f>IFERROR(__xludf.DUMMYFUNCTION("""COMPUTED_VALUE"""),2.0)</f>
        <v>2</v>
      </c>
      <c r="DU291" s="16"/>
      <c r="DV291" s="16"/>
      <c r="DW291" s="16"/>
      <c r="DX291" s="16"/>
      <c r="DY291" s="16"/>
      <c r="DZ291" s="16">
        <f>IFERROR(__xludf.DUMMYFUNCTION("""COMPUTED_VALUE"""),3.0)</f>
        <v>3</v>
      </c>
      <c r="EA291" s="16"/>
      <c r="EB291" s="16">
        <f>IFERROR(__xludf.DUMMYFUNCTION("""COMPUTED_VALUE"""),5.0)</f>
        <v>5</v>
      </c>
      <c r="EC291" s="16"/>
      <c r="ED291" s="16"/>
      <c r="EE291" s="16"/>
      <c r="EF291" s="16"/>
      <c r="EG291" s="179"/>
      <c r="EH291" s="179">
        <f>IFERROR(__xludf.DUMMYFUNCTION("""COMPUTED_VALUE"""),-6.0)</f>
        <v>-6</v>
      </c>
      <c r="EI291" s="179"/>
      <c r="EJ291" s="179">
        <f>IFERROR(__xludf.DUMMYFUNCTION("""COMPUTED_VALUE"""),-4.0)</f>
        <v>-4</v>
      </c>
      <c r="EK291" s="179"/>
      <c r="EL291" s="179"/>
      <c r="EM291" s="179"/>
      <c r="EN291" s="179"/>
      <c r="EO291" s="16"/>
      <c r="EP291" s="16">
        <f>IFERROR(__xludf.DUMMYFUNCTION("""COMPUTED_VALUE"""),1.0)</f>
        <v>1</v>
      </c>
      <c r="EQ291" s="16">
        <f>IFERROR(__xludf.DUMMYFUNCTION("""COMPUTED_VALUE"""),4.0)</f>
        <v>4</v>
      </c>
      <c r="ER291" s="16">
        <f>IFERROR(__xludf.DUMMYFUNCTION("""COMPUTED_VALUE"""),1.0)</f>
        <v>1</v>
      </c>
      <c r="ES291" s="16"/>
      <c r="ET291" s="16"/>
      <c r="EU291" s="16"/>
      <c r="EV291" s="16"/>
      <c r="EW291" s="16"/>
      <c r="EX291" s="180"/>
      <c r="EY291" s="180">
        <f>IFERROR(__xludf.DUMMYFUNCTION("""COMPUTED_VALUE"""),0.2)</f>
        <v>0.2</v>
      </c>
      <c r="EZ291" s="180"/>
      <c r="FA291" s="180">
        <f>IFERROR(__xludf.DUMMYFUNCTION("""COMPUTED_VALUE"""),0.1)</f>
        <v>0.1</v>
      </c>
      <c r="FB291" s="180"/>
      <c r="FC291" s="180"/>
      <c r="FD291" s="180"/>
      <c r="FE291" s="180"/>
      <c r="FF291" s="180"/>
      <c r="FG291" s="180">
        <f>IFERROR(__xludf.DUMMYFUNCTION("""COMPUTED_VALUE"""),0.14351851851851852)</f>
        <v>0.1435185185</v>
      </c>
      <c r="FH291" s="180"/>
      <c r="FI291" s="180">
        <f>IFERROR(__xludf.DUMMYFUNCTION("""COMPUTED_VALUE"""),0.12037037037037036)</f>
        <v>0.1203703704</v>
      </c>
      <c r="FJ291" s="180"/>
      <c r="FK291" s="180"/>
      <c r="FL291" s="180"/>
      <c r="FM291" s="180"/>
      <c r="FN291" s="16"/>
      <c r="FO291" s="16">
        <f>IFERROR(__xludf.DUMMYFUNCTION("""COMPUTED_VALUE"""),0.6851851851851852)</f>
        <v>0.6851851852</v>
      </c>
      <c r="FP291" s="16"/>
      <c r="FQ291" s="16">
        <f>IFERROR(__xludf.DUMMYFUNCTION("""COMPUTED_VALUE"""),0.7916666666666667)</f>
        <v>0.7916666667</v>
      </c>
      <c r="FR291" s="16"/>
      <c r="FS291" s="16"/>
      <c r="FT291" s="16"/>
      <c r="FU291" s="16"/>
      <c r="FV291" s="16"/>
      <c r="FW291" s="16">
        <f>IFERROR(__xludf.DUMMYFUNCTION("""COMPUTED_VALUE"""),-4.0)</f>
        <v>-4</v>
      </c>
      <c r="FX291" s="16"/>
      <c r="FY291" s="16">
        <f>IFERROR(__xludf.DUMMYFUNCTION("""COMPUTED_VALUE"""),-1.0)</f>
        <v>-1</v>
      </c>
      <c r="FZ291" s="16"/>
      <c r="GA291" s="16"/>
      <c r="GB291" s="16"/>
      <c r="GC291" s="16"/>
      <c r="GD291" s="16" t="s">
        <v>176</v>
      </c>
    </row>
    <row r="292">
      <c r="A292" s="16">
        <f>IFERROR(__xludf.DUMMYFUNCTION("""COMPUTED_VALUE"""),13436.0)</f>
        <v>13436</v>
      </c>
      <c r="B292" s="16" t="str">
        <f>IFERROR(__xludf.DUMMYFUNCTION("""COMPUTED_VALUE"""),"Trevor Story")</f>
        <v>Trevor Story</v>
      </c>
      <c r="C292" s="16">
        <f>IFERROR(__xludf.DUMMYFUNCTION("""COMPUTED_VALUE"""),1.92)</f>
        <v>1.92</v>
      </c>
      <c r="D292" s="16" t="str">
        <f>IFERROR(__xludf.DUMMYFUNCTION("""COMPUTED_VALUE"""),"R")</f>
        <v>R</v>
      </c>
      <c r="E292" s="16"/>
      <c r="F292" s="16"/>
      <c r="G292" s="16">
        <f>IFERROR(__xludf.DUMMYFUNCTION("""COMPUTED_VALUE"""),94.0)</f>
        <v>94</v>
      </c>
      <c r="H292" s="16">
        <f>IFERROR(__xludf.DUMMYFUNCTION("""COMPUTED_VALUE"""),11.0)</f>
        <v>11</v>
      </c>
      <c r="I292" s="16" t="str">
        <f>IFERROR(__xludf.DUMMYFUNCTION("""COMPUTED_VALUE"""),"6p20")</f>
        <v>6p20</v>
      </c>
      <c r="J292" s="16">
        <f>IFERROR(__xludf.DUMMYFUNCTION("""COMPUTED_VALUE"""),54.0)</f>
        <v>54</v>
      </c>
      <c r="K292" s="16">
        <f>IFERROR(__xludf.DUMMYFUNCTION("""COMPUTED_VALUE"""),40.0)</f>
        <v>40</v>
      </c>
      <c r="L292" s="16">
        <f>IFERROR(__xludf.DUMMYFUNCTION("""COMPUTED_VALUE"""),-2.0)</f>
        <v>-2</v>
      </c>
      <c r="M292" s="16">
        <f>IFERROR(__xludf.DUMMYFUNCTION("""COMPUTED_VALUE"""),-2.0)</f>
        <v>-2</v>
      </c>
      <c r="N292" s="16">
        <f>IFERROR(__xludf.DUMMYFUNCTION("""COMPUTED_VALUE"""),-2.0)</f>
        <v>-2</v>
      </c>
      <c r="O292" s="16">
        <f>IFERROR(__xludf.DUMMYFUNCTION("""COMPUTED_VALUE"""),-2.0)</f>
        <v>-2</v>
      </c>
      <c r="P292" s="16">
        <f>IFERROR(__xludf.DUMMYFUNCTION("""COMPUTED_VALUE"""),2.0)</f>
        <v>2</v>
      </c>
      <c r="Q292" s="16">
        <f>IFERROR(__xludf.DUMMYFUNCTION("""COMPUTED_VALUE"""),13.0)</f>
        <v>13</v>
      </c>
      <c r="R292" s="16">
        <f>IFERROR(__xludf.DUMMYFUNCTION("""COMPUTED_VALUE"""),-2.0)</f>
        <v>-2</v>
      </c>
      <c r="S292" s="16">
        <f>IFERROR(__xludf.DUMMYFUNCTION("""COMPUTED_VALUE"""),1.0)</f>
        <v>1</v>
      </c>
      <c r="T292" s="16">
        <f>IFERROR(__xludf.DUMMYFUNCTION("""COMPUTED_VALUE"""),-2.0)</f>
        <v>-2</v>
      </c>
      <c r="U292" s="16">
        <f>IFERROR(__xludf.DUMMYFUNCTION("""COMPUTED_VALUE"""),1.0)</f>
        <v>1</v>
      </c>
      <c r="V292" s="16">
        <f>IFERROR(__xludf.DUMMYFUNCTION("""COMPUTED_VALUE"""),18.5)</f>
        <v>18.5</v>
      </c>
      <c r="W292" s="16">
        <f>IFERROR(__xludf.DUMMYFUNCTION("""COMPUTED_VALUE"""),23.1)</f>
        <v>23.1</v>
      </c>
      <c r="X292" s="16">
        <f>IFERROR(__xludf.DUMMYFUNCTION("""COMPUTED_VALUE"""),0.0)</f>
        <v>0</v>
      </c>
      <c r="Y292" s="16">
        <f>IFERROR(__xludf.DUMMYFUNCTION("""COMPUTED_VALUE"""),1.0)</f>
        <v>1</v>
      </c>
      <c r="Z292" s="16">
        <f>IFERROR(__xludf.DUMMYFUNCTION("""COMPUTED_VALUE"""),0.0)</f>
        <v>0</v>
      </c>
      <c r="AA292" s="16">
        <f>IFERROR(__xludf.DUMMYFUNCTION("""COMPUTED_VALUE"""),2.0)</f>
        <v>2</v>
      </c>
      <c r="AB292" s="16">
        <f>IFERROR(__xludf.DUMMYFUNCTION("""COMPUTED_VALUE"""),22.5)</f>
        <v>22.5</v>
      </c>
      <c r="AC292" s="16">
        <f>IFERROR(__xludf.DUMMYFUNCTION("""COMPUTED_VALUE"""),38.2)</f>
        <v>38.2</v>
      </c>
      <c r="AD292" s="16">
        <f>IFERROR(__xludf.DUMMYFUNCTION("""COMPUTED_VALUE"""),-1.0)</f>
        <v>-1</v>
      </c>
      <c r="AE292" s="16">
        <f>IFERROR(__xludf.DUMMYFUNCTION("""COMPUTED_VALUE"""),1.0)</f>
        <v>1</v>
      </c>
      <c r="AF292" s="16">
        <f>IFERROR(__xludf.DUMMYFUNCTION("""COMPUTED_VALUE"""),-5.0)</f>
        <v>-5</v>
      </c>
      <c r="AG292" s="16">
        <f>IFERROR(__xludf.DUMMYFUNCTION("""COMPUTED_VALUE"""),5.0)</f>
        <v>5</v>
      </c>
      <c r="AH292" s="16">
        <f>IFERROR(__xludf.DUMMYFUNCTION("""COMPUTED_VALUE"""),24.3)</f>
        <v>24.3</v>
      </c>
      <c r="AI292" s="16">
        <f>IFERROR(__xludf.DUMMYFUNCTION("""COMPUTED_VALUE"""),37.5)</f>
        <v>37.5</v>
      </c>
      <c r="AJ292" s="16">
        <f>IFERROR(__xludf.DUMMYFUNCTION("""COMPUTED_VALUE"""),-1.0)</f>
        <v>-1</v>
      </c>
      <c r="AK292" s="16">
        <f>IFERROR(__xludf.DUMMYFUNCTION("""COMPUTED_VALUE"""),1.0)</f>
        <v>1</v>
      </c>
      <c r="AL292" s="16">
        <f>IFERROR(__xludf.DUMMYFUNCTION("""COMPUTED_VALUE"""),-5.0)</f>
        <v>-5</v>
      </c>
      <c r="AM292" s="16">
        <f>IFERROR(__xludf.DUMMYFUNCTION("""COMPUTED_VALUE"""),5.0)</f>
        <v>5</v>
      </c>
      <c r="AN292" s="16">
        <f>IFERROR(__xludf.DUMMYFUNCTION("""COMPUTED_VALUE"""),0.0)</f>
        <v>0</v>
      </c>
      <c r="AO292" s="16">
        <f>IFERROR(__xludf.DUMMYFUNCTION("""COMPUTED_VALUE"""),1.5)</f>
        <v>1.5</v>
      </c>
      <c r="AP292" s="16">
        <f>IFERROR(__xludf.DUMMYFUNCTION("""COMPUTED_VALUE"""),-2.0)</f>
        <v>-2</v>
      </c>
      <c r="AQ292" s="16">
        <f>IFERROR(__xludf.DUMMYFUNCTION("""COMPUTED_VALUE"""),-1.0)</f>
        <v>-1</v>
      </c>
      <c r="AR292" s="16">
        <f>IFERROR(__xludf.DUMMYFUNCTION("""COMPUTED_VALUE"""),-4.0)</f>
        <v>-4</v>
      </c>
      <c r="AS292" s="16">
        <f>IFERROR(__xludf.DUMMYFUNCTION("""COMPUTED_VALUE"""),-2.0)</f>
        <v>-2</v>
      </c>
      <c r="AT292" s="16"/>
      <c r="AU292" s="16">
        <f>IFERROR(__xludf.DUMMYFUNCTION("""COMPUTED_VALUE"""),1.0)</f>
        <v>1</v>
      </c>
      <c r="AV292" s="16">
        <f>IFERROR(__xludf.DUMMYFUNCTION("""COMPUTED_VALUE"""),-3.0)</f>
        <v>-3</v>
      </c>
      <c r="AW292" s="16">
        <f>IFERROR(__xludf.DUMMYFUNCTION("""COMPUTED_VALUE"""),1.0)</f>
        <v>1</v>
      </c>
      <c r="AX292" s="16">
        <f>IFERROR(__xludf.DUMMYFUNCTION("""COMPUTED_VALUE"""),-3.0)</f>
        <v>-3</v>
      </c>
      <c r="AY292" s="16">
        <f>IFERROR(__xludf.DUMMYFUNCTION("""COMPUTED_VALUE"""),-1.0)</f>
        <v>-1</v>
      </c>
      <c r="AZ292" s="16">
        <f>IFERROR(__xludf.DUMMYFUNCTION("""COMPUTED_VALUE"""),-9.0)</f>
        <v>-9</v>
      </c>
      <c r="BA292" s="16">
        <f>IFERROR(__xludf.DUMMYFUNCTION("""COMPUTED_VALUE"""),-3.0)</f>
        <v>-3</v>
      </c>
      <c r="BB292" s="16">
        <f>IFERROR(__xludf.DUMMYFUNCTION("""COMPUTED_VALUE"""),5.0)</f>
        <v>5</v>
      </c>
      <c r="BC292" s="16">
        <f>IFERROR(__xludf.DUMMYFUNCTION("""COMPUTED_VALUE"""),5.0)</f>
        <v>5</v>
      </c>
      <c r="BD292" s="16">
        <f>IFERROR(__xludf.DUMMYFUNCTION("""COMPUTED_VALUE"""),1.0)</f>
        <v>1</v>
      </c>
      <c r="BE292" s="16">
        <f>IFERROR(__xludf.DUMMYFUNCTION("""COMPUTED_VALUE"""),1.0)</f>
        <v>1</v>
      </c>
      <c r="BF292" s="16">
        <f>IFERROR(__xludf.DUMMYFUNCTION("""COMPUTED_VALUE"""),1.0)</f>
        <v>1</v>
      </c>
      <c r="BG292" s="16">
        <f>IFERROR(__xludf.DUMMYFUNCTION("""COMPUTED_VALUE"""),1.0)</f>
        <v>1</v>
      </c>
      <c r="BH292" s="16">
        <f>IFERROR(__xludf.DUMMYFUNCTION("""COMPUTED_VALUE"""),-8.0)</f>
        <v>-8</v>
      </c>
      <c r="BI292" s="16">
        <f>IFERROR(__xludf.DUMMYFUNCTION("""COMPUTED_VALUE"""),-7.0)</f>
        <v>-7</v>
      </c>
      <c r="BJ292" s="16">
        <f>IFERROR(__xludf.DUMMYFUNCTION("""COMPUTED_VALUE"""),18.0)</f>
        <v>18</v>
      </c>
      <c r="BK292" s="16">
        <f>IFERROR(__xludf.DUMMYFUNCTION("""COMPUTED_VALUE"""),16.0)</f>
        <v>16</v>
      </c>
      <c r="BL292" s="16">
        <f>IFERROR(__xludf.DUMMYFUNCTION("""COMPUTED_VALUE"""),-1.0)</f>
        <v>-1</v>
      </c>
      <c r="BM292" s="16">
        <f>IFERROR(__xludf.DUMMYFUNCTION("""COMPUTED_VALUE"""),-1.0)</f>
        <v>-1</v>
      </c>
      <c r="BN292" s="16">
        <f>IFERROR(__xludf.DUMMYFUNCTION("""COMPUTED_VALUE"""),-2.0)</f>
        <v>-2</v>
      </c>
      <c r="BO292" s="16">
        <f>IFERROR(__xludf.DUMMYFUNCTION("""COMPUTED_VALUE"""),-2.0)</f>
        <v>-2</v>
      </c>
      <c r="BP292" s="16">
        <f>IFERROR(__xludf.DUMMYFUNCTION("""COMPUTED_VALUE"""),-11.0)</f>
        <v>-11</v>
      </c>
      <c r="BQ292" s="16">
        <f>IFERROR(__xludf.DUMMYFUNCTION("""COMPUTED_VALUE"""),0.0)</f>
        <v>0</v>
      </c>
      <c r="BR292" s="16">
        <f>IFERROR(__xludf.DUMMYFUNCTION("""COMPUTED_VALUE"""),-11.0)</f>
        <v>-11</v>
      </c>
      <c r="BS292" s="16" t="str">
        <f>IFERROR(__xludf.DUMMYFUNCTION("""COMPUTED_VALUE"""),"*2-12/- (15-13)")</f>
        <v>*2-12/- (15-13)</v>
      </c>
      <c r="BT292" s="16" t="str">
        <f>IFERROR(__xludf.DUMMYFUNCTION("""COMPUTED_VALUE"""),"B")</f>
        <v>B</v>
      </c>
      <c r="BU292" s="16">
        <f>IFERROR(__xludf.DUMMYFUNCTION("""COMPUTED_VALUE"""),15.0)</f>
        <v>15</v>
      </c>
      <c r="BV292" s="16">
        <f>IFERROR(__xludf.DUMMYFUNCTION("""COMPUTED_VALUE"""),1.0)</f>
        <v>1</v>
      </c>
      <c r="BW292" s="16">
        <f>IFERROR(__xludf.DUMMYFUNCTION("""COMPUTED_VALUE"""),2.0)</f>
        <v>2</v>
      </c>
      <c r="BX292" s="16">
        <f>IFERROR(__xludf.DUMMYFUNCTION("""COMPUTED_VALUE"""),2.0)</f>
        <v>2</v>
      </c>
      <c r="BY292" s="16">
        <f>IFERROR(__xludf.DUMMYFUNCTION("""COMPUTED_VALUE"""),6.0)</f>
        <v>6</v>
      </c>
      <c r="BZ292" s="16" t="str">
        <f>IFERROR(__xludf.DUMMYFUNCTION("""COMPUTED_VALUE"""),"D")</f>
        <v>D</v>
      </c>
      <c r="CA292" s="16" t="str">
        <f>IFERROR(__xludf.DUMMYFUNCTION("""COMPUTED_VALUE"""),"D")</f>
        <v>D</v>
      </c>
      <c r="CB292" s="16">
        <f>IFERROR(__xludf.DUMMYFUNCTION("""COMPUTED_VALUE"""),0.0)</f>
        <v>0</v>
      </c>
      <c r="CC292" s="16">
        <f>IFERROR(__xludf.DUMMYFUNCTION("""COMPUTED_VALUE"""),0.0)</f>
        <v>0</v>
      </c>
      <c r="CD292" s="16">
        <f>IFERROR(__xludf.DUMMYFUNCTION("""COMPUTED_VALUE"""),0.0)</f>
        <v>0</v>
      </c>
      <c r="CE292" s="16">
        <f>IFERROR(__xludf.DUMMYFUNCTION("""COMPUTED_VALUE"""),0.0)</f>
        <v>0</v>
      </c>
      <c r="CF292" s="16">
        <f>IFERROR(__xludf.DUMMYFUNCTION("""COMPUTED_VALUE"""),6.0)</f>
        <v>6</v>
      </c>
      <c r="CG292" s="16">
        <f>IFERROR(__xludf.DUMMYFUNCTION("""COMPUTED_VALUE"""),-28.0)</f>
        <v>-28</v>
      </c>
      <c r="CH292" s="16">
        <f>IFERROR(__xludf.DUMMYFUNCTION("""COMPUTED_VALUE"""),5.0)</f>
        <v>5</v>
      </c>
      <c r="CI292" s="179">
        <f>IFERROR(__xludf.DUMMYFUNCTION("""COMPUTED_VALUE"""),-9.0)</f>
        <v>-9</v>
      </c>
      <c r="CJ292" s="16"/>
      <c r="CK292" s="16"/>
      <c r="CL292" s="16"/>
      <c r="CM292" s="16"/>
      <c r="CN292" s="16">
        <f>IFERROR(__xludf.DUMMYFUNCTION("""COMPUTED_VALUE"""),206.0)</f>
        <v>206</v>
      </c>
      <c r="CO292" s="16"/>
      <c r="CP292" s="16"/>
      <c r="CQ292" s="16"/>
      <c r="CR292" s="16" t="str">
        <f>IFERROR(__xludf.DUMMYFUNCTION("""COMPUTED_VALUE"""),"ss-2e6")</f>
        <v>ss-2e6</v>
      </c>
      <c r="CS292" s="16"/>
      <c r="CT292" s="16"/>
      <c r="CU292" s="16"/>
      <c r="CV292" s="16"/>
      <c r="CW292" s="16">
        <f>IFERROR(__xludf.DUMMYFUNCTION("""COMPUTED_VALUE"""),2.0)</f>
        <v>2</v>
      </c>
      <c r="CX292" s="16"/>
      <c r="CY292" s="16"/>
      <c r="CZ292" s="16"/>
      <c r="DA292" s="16"/>
      <c r="DB292" s="16"/>
      <c r="DC292" s="16"/>
      <c r="DD292" s="16"/>
      <c r="DE292" s="16">
        <f>IFERROR(__xludf.DUMMYFUNCTION("""COMPUTED_VALUE"""),6.0)</f>
        <v>6</v>
      </c>
      <c r="DF292" s="16"/>
      <c r="DG292" s="16"/>
      <c r="DH292" s="16"/>
      <c r="DI292" s="16"/>
      <c r="DJ292" s="16"/>
      <c r="DK292" s="16"/>
      <c r="DL292" s="16"/>
      <c r="DM292" s="16">
        <f>IFERROR(__xludf.DUMMYFUNCTION("""COMPUTED_VALUE"""),3.0)</f>
        <v>3</v>
      </c>
      <c r="DN292" s="16"/>
      <c r="DO292" s="16"/>
      <c r="DP292" s="16"/>
      <c r="DQ292" s="16"/>
      <c r="DR292" s="16"/>
      <c r="DS292" s="16"/>
      <c r="DT292" s="16"/>
      <c r="DU292" s="16">
        <f>IFERROR(__xludf.DUMMYFUNCTION("""COMPUTED_VALUE"""),3.0)</f>
        <v>3</v>
      </c>
      <c r="DV292" s="16"/>
      <c r="DW292" s="16"/>
      <c r="DX292" s="16"/>
      <c r="DY292" s="16"/>
      <c r="DZ292" s="16"/>
      <c r="EA292" s="16"/>
      <c r="EB292" s="16"/>
      <c r="EC292" s="16">
        <f>IFERROR(__xludf.DUMMYFUNCTION("""COMPUTED_VALUE"""),6.0)</f>
        <v>6</v>
      </c>
      <c r="ED292" s="16"/>
      <c r="EE292" s="16"/>
      <c r="EF292" s="16"/>
      <c r="EG292" s="179"/>
      <c r="EH292" s="179"/>
      <c r="EI292" s="179"/>
      <c r="EJ292" s="179"/>
      <c r="EK292" s="179">
        <f>IFERROR(__xludf.DUMMYFUNCTION("""COMPUTED_VALUE"""),-3.0)</f>
        <v>-3</v>
      </c>
      <c r="EL292" s="179"/>
      <c r="EM292" s="179"/>
      <c r="EN292" s="179"/>
      <c r="EO292" s="16"/>
      <c r="EP292" s="16">
        <f>IFERROR(__xludf.DUMMYFUNCTION("""COMPUTED_VALUE"""),-2.0)</f>
        <v>-2</v>
      </c>
      <c r="EQ292" s="16">
        <f>IFERROR(__xludf.DUMMYFUNCTION("""COMPUTED_VALUE"""),-4.0)</f>
        <v>-4</v>
      </c>
      <c r="ER292" s="16">
        <f>IFERROR(__xludf.DUMMYFUNCTION("""COMPUTED_VALUE"""),-4.0)</f>
        <v>-4</v>
      </c>
      <c r="ES292" s="16"/>
      <c r="ET292" s="16"/>
      <c r="EU292" s="16"/>
      <c r="EV292" s="16"/>
      <c r="EW292" s="16"/>
      <c r="EX292" s="180"/>
      <c r="EY292" s="180"/>
      <c r="EZ292" s="180"/>
      <c r="FA292" s="180"/>
      <c r="FB292" s="180">
        <f>IFERROR(__xludf.DUMMYFUNCTION("""COMPUTED_VALUE"""),0.1)</f>
        <v>0.1</v>
      </c>
      <c r="FC292" s="180"/>
      <c r="FD292" s="180"/>
      <c r="FE292" s="180"/>
      <c r="FF292" s="180"/>
      <c r="FG292" s="180"/>
      <c r="FH292" s="180"/>
      <c r="FI292" s="180"/>
      <c r="FJ292" s="180">
        <f>IFERROR(__xludf.DUMMYFUNCTION("""COMPUTED_VALUE"""),0.032407407407407406)</f>
        <v>0.03240740741</v>
      </c>
      <c r="FK292" s="180"/>
      <c r="FL292" s="180"/>
      <c r="FM292" s="180"/>
      <c r="FN292" s="16"/>
      <c r="FO292" s="16"/>
      <c r="FP292" s="16"/>
      <c r="FQ292" s="16"/>
      <c r="FR292" s="16">
        <f>IFERROR(__xludf.DUMMYFUNCTION("""COMPUTED_VALUE"""),0.8708333333333333)</f>
        <v>0.8708333333</v>
      </c>
      <c r="FS292" s="16"/>
      <c r="FT292" s="16"/>
      <c r="FU292" s="16"/>
      <c r="FV292" s="16"/>
      <c r="FW292" s="16"/>
      <c r="FX292" s="16"/>
      <c r="FY292" s="16"/>
      <c r="FZ292" s="16">
        <f>IFERROR(__xludf.DUMMYFUNCTION("""COMPUTED_VALUE"""),4.0)</f>
        <v>4</v>
      </c>
      <c r="GA292" s="16"/>
      <c r="GB292" s="16"/>
      <c r="GC292" s="16"/>
      <c r="GD292" s="16" t="s">
        <v>2713</v>
      </c>
    </row>
    <row r="293">
      <c r="A293" s="16">
        <f>IFERROR(__xludf.DUMMYFUNCTION("""COMPUTED_VALUE"""),13251.0)</f>
        <v>13251</v>
      </c>
      <c r="B293" s="16" t="str">
        <f>IFERROR(__xludf.DUMMYFUNCTION("""COMPUTED_VALUE"""),"Nicky Lopez")</f>
        <v>Nicky Lopez</v>
      </c>
      <c r="C293" s="16">
        <f>IFERROR(__xludf.DUMMYFUNCTION("""COMPUTED_VALUE"""),0.13)</f>
        <v>0.13</v>
      </c>
      <c r="D293" s="16" t="str">
        <f>IFERROR(__xludf.DUMMYFUNCTION("""COMPUTED_VALUE"""),"L")</f>
        <v>L</v>
      </c>
      <c r="E293" s="16"/>
      <c r="F293" s="16"/>
      <c r="G293" s="16">
        <f>IFERROR(__xludf.DUMMYFUNCTION("""COMPUTED_VALUE"""),398.0)</f>
        <v>398</v>
      </c>
      <c r="H293" s="16">
        <f>IFERROR(__xludf.DUMMYFUNCTION("""COMPUTED_VALUE"""),37.0)</f>
        <v>37</v>
      </c>
      <c r="I293" s="16" t="str">
        <f>IFERROR(__xludf.DUMMYFUNCTION("""COMPUTED_VALUE"""),"1p60")</f>
        <v>1p60</v>
      </c>
      <c r="J293" s="16">
        <f>IFERROR(__xludf.DUMMYFUNCTION("""COMPUTED_VALUE"""),4.0)</f>
        <v>4</v>
      </c>
      <c r="K293" s="16">
        <f>IFERROR(__xludf.DUMMYFUNCTION("""COMPUTED_VALUE"""),9.0)</f>
        <v>9</v>
      </c>
      <c r="L293" s="16">
        <f>IFERROR(__xludf.DUMMYFUNCTION("""COMPUTED_VALUE"""),2.0)</f>
        <v>2</v>
      </c>
      <c r="M293" s="16">
        <f>IFERROR(__xludf.DUMMYFUNCTION("""COMPUTED_VALUE"""),2.0)</f>
        <v>2</v>
      </c>
      <c r="N293" s="16">
        <f>IFERROR(__xludf.DUMMYFUNCTION("""COMPUTED_VALUE"""),2.0)</f>
        <v>2</v>
      </c>
      <c r="O293" s="16">
        <f>IFERROR(__xludf.DUMMYFUNCTION("""COMPUTED_VALUE"""),2.0)</f>
        <v>2</v>
      </c>
      <c r="P293" s="16">
        <f>IFERROR(__xludf.DUMMYFUNCTION("""COMPUTED_VALUE"""),0.0)</f>
        <v>0</v>
      </c>
      <c r="Q293" s="16">
        <f>IFERROR(__xludf.DUMMYFUNCTION("""COMPUTED_VALUE"""),11.0)</f>
        <v>11</v>
      </c>
      <c r="R293" s="16">
        <f>IFERROR(__xludf.DUMMYFUNCTION("""COMPUTED_VALUE"""),-3.0)</f>
        <v>-3</v>
      </c>
      <c r="S293" s="16">
        <f>IFERROR(__xludf.DUMMYFUNCTION("""COMPUTED_VALUE"""),1.0)</f>
        <v>1</v>
      </c>
      <c r="T293" s="16">
        <f>IFERROR(__xludf.DUMMYFUNCTION("""COMPUTED_VALUE"""),-3.0)</f>
        <v>-3</v>
      </c>
      <c r="U293" s="16">
        <f>IFERROR(__xludf.DUMMYFUNCTION("""COMPUTED_VALUE"""),1.0)</f>
        <v>1</v>
      </c>
      <c r="V293" s="16">
        <f>IFERROR(__xludf.DUMMYFUNCTION("""COMPUTED_VALUE"""),17.6)</f>
        <v>17.6</v>
      </c>
      <c r="W293" s="16">
        <f>IFERROR(__xludf.DUMMYFUNCTION("""COMPUTED_VALUE"""),20.8)</f>
        <v>20.8</v>
      </c>
      <c r="X293" s="16">
        <f>IFERROR(__xludf.DUMMYFUNCTION("""COMPUTED_VALUE"""),0.0)</f>
        <v>0</v>
      </c>
      <c r="Y293" s="16">
        <f>IFERROR(__xludf.DUMMYFUNCTION("""COMPUTED_VALUE"""),0.0)</f>
        <v>0</v>
      </c>
      <c r="Z293" s="16">
        <f>IFERROR(__xludf.DUMMYFUNCTION("""COMPUTED_VALUE"""),0.0)</f>
        <v>0</v>
      </c>
      <c r="AA293" s="16">
        <f>IFERROR(__xludf.DUMMYFUNCTION("""COMPUTED_VALUE"""),0.0)</f>
        <v>0</v>
      </c>
      <c r="AB293" s="16">
        <f>IFERROR(__xludf.DUMMYFUNCTION("""COMPUTED_VALUE"""),19.6)</f>
        <v>19.6</v>
      </c>
      <c r="AC293" s="16">
        <f>IFERROR(__xludf.DUMMYFUNCTION("""COMPUTED_VALUE"""),33.8)</f>
        <v>33.8</v>
      </c>
      <c r="AD293" s="16">
        <f>IFERROR(__xludf.DUMMYFUNCTION("""COMPUTED_VALUE"""),-1.0)</f>
        <v>-1</v>
      </c>
      <c r="AE293" s="16">
        <f>IFERROR(__xludf.DUMMYFUNCTION("""COMPUTED_VALUE"""),0.0)</f>
        <v>0</v>
      </c>
      <c r="AF293" s="16">
        <f>IFERROR(__xludf.DUMMYFUNCTION("""COMPUTED_VALUE"""),-5.0)</f>
        <v>-5</v>
      </c>
      <c r="AG293" s="16">
        <f>IFERROR(__xludf.DUMMYFUNCTION("""COMPUTED_VALUE"""),0.0)</f>
        <v>0</v>
      </c>
      <c r="AH293" s="16">
        <f>IFERROR(__xludf.DUMMYFUNCTION("""COMPUTED_VALUE"""),17.6)</f>
        <v>17.6</v>
      </c>
      <c r="AI293" s="16">
        <f>IFERROR(__xludf.DUMMYFUNCTION("""COMPUTED_VALUE"""),26.8)</f>
        <v>26.8</v>
      </c>
      <c r="AJ293" s="16">
        <f>IFERROR(__xludf.DUMMYFUNCTION("""COMPUTED_VALUE"""),-1.0)</f>
        <v>-1</v>
      </c>
      <c r="AK293" s="16">
        <f>IFERROR(__xludf.DUMMYFUNCTION("""COMPUTED_VALUE"""),-1.0)</f>
        <v>-1</v>
      </c>
      <c r="AL293" s="16">
        <f>IFERROR(__xludf.DUMMYFUNCTION("""COMPUTED_VALUE"""),-5.0)</f>
        <v>-5</v>
      </c>
      <c r="AM293" s="16">
        <f>IFERROR(__xludf.DUMMYFUNCTION("""COMPUTED_VALUE"""),-5.0)</f>
        <v>-5</v>
      </c>
      <c r="AN293" s="16">
        <f>IFERROR(__xludf.DUMMYFUNCTION("""COMPUTED_VALUE"""),0.0)</f>
        <v>0</v>
      </c>
      <c r="AO293" s="16">
        <f>IFERROR(__xludf.DUMMYFUNCTION("""COMPUTED_VALUE"""),0.6)</f>
        <v>0.6</v>
      </c>
      <c r="AP293" s="16">
        <f>IFERROR(__xludf.DUMMYFUNCTION("""COMPUTED_VALUE"""),-2.0)</f>
        <v>-2</v>
      </c>
      <c r="AQ293" s="16">
        <f>IFERROR(__xludf.DUMMYFUNCTION("""COMPUTED_VALUE"""),-2.0)</f>
        <v>-2</v>
      </c>
      <c r="AR293" s="16">
        <f>IFERROR(__xludf.DUMMYFUNCTION("""COMPUTED_VALUE"""),-4.0)</f>
        <v>-4</v>
      </c>
      <c r="AS293" s="16">
        <f>IFERROR(__xludf.DUMMYFUNCTION("""COMPUTED_VALUE"""),-4.0)</f>
        <v>-4</v>
      </c>
      <c r="AT293" s="16"/>
      <c r="AU293" s="16"/>
      <c r="AV293" s="16">
        <f>IFERROR(__xludf.DUMMYFUNCTION("""COMPUTED_VALUE"""),-3.0)</f>
        <v>-3</v>
      </c>
      <c r="AW293" s="16">
        <f>IFERROR(__xludf.DUMMYFUNCTION("""COMPUTED_VALUE"""),-3.0)</f>
        <v>-3</v>
      </c>
      <c r="AX293" s="16">
        <f>IFERROR(__xludf.DUMMYFUNCTION("""COMPUTED_VALUE"""),-3.0)</f>
        <v>-3</v>
      </c>
      <c r="AY293" s="16">
        <f>IFERROR(__xludf.DUMMYFUNCTION("""COMPUTED_VALUE"""),-3.0)</f>
        <v>-3</v>
      </c>
      <c r="AZ293" s="16">
        <f>IFERROR(__xludf.DUMMYFUNCTION("""COMPUTED_VALUE"""),-9.0)</f>
        <v>-9</v>
      </c>
      <c r="BA293" s="16">
        <f>IFERROR(__xludf.DUMMYFUNCTION("""COMPUTED_VALUE"""),-9.0)</f>
        <v>-9</v>
      </c>
      <c r="BB293" s="16">
        <f>IFERROR(__xludf.DUMMYFUNCTION("""COMPUTED_VALUE"""),5.0)</f>
        <v>5</v>
      </c>
      <c r="BC293" s="16">
        <f>IFERROR(__xludf.DUMMYFUNCTION("""COMPUTED_VALUE"""),5.0)</f>
        <v>5</v>
      </c>
      <c r="BD293" s="16">
        <f>IFERROR(__xludf.DUMMYFUNCTION("""COMPUTED_VALUE"""),1.0)</f>
        <v>1</v>
      </c>
      <c r="BE293" s="16">
        <f>IFERROR(__xludf.DUMMYFUNCTION("""COMPUTED_VALUE"""),1.0)</f>
        <v>1</v>
      </c>
      <c r="BF293" s="16">
        <f>IFERROR(__xludf.DUMMYFUNCTION("""COMPUTED_VALUE"""),1.0)</f>
        <v>1</v>
      </c>
      <c r="BG293" s="16">
        <f>IFERROR(__xludf.DUMMYFUNCTION("""COMPUTED_VALUE"""),1.0)</f>
        <v>1</v>
      </c>
      <c r="BH293" s="16">
        <f>IFERROR(__xludf.DUMMYFUNCTION("""COMPUTED_VALUE"""),-1.0)</f>
        <v>-1</v>
      </c>
      <c r="BI293" s="16">
        <f>IFERROR(__xludf.DUMMYFUNCTION("""COMPUTED_VALUE"""),-1.0)</f>
        <v>-1</v>
      </c>
      <c r="BJ293" s="16">
        <f>IFERROR(__xludf.DUMMYFUNCTION("""COMPUTED_VALUE"""),4.0)</f>
        <v>4</v>
      </c>
      <c r="BK293" s="16">
        <f>IFERROR(__xludf.DUMMYFUNCTION("""COMPUTED_VALUE"""),3.0)</f>
        <v>3</v>
      </c>
      <c r="BL293" s="16">
        <f>IFERROR(__xludf.DUMMYFUNCTION("""COMPUTED_VALUE"""),1.0)</f>
        <v>1</v>
      </c>
      <c r="BM293" s="16">
        <f>IFERROR(__xludf.DUMMYFUNCTION("""COMPUTED_VALUE"""),2.0)</f>
        <v>2</v>
      </c>
      <c r="BN293" s="16">
        <f>IFERROR(__xludf.DUMMYFUNCTION("""COMPUTED_VALUE"""),1.0)</f>
        <v>1</v>
      </c>
      <c r="BO293" s="16">
        <f>IFERROR(__xludf.DUMMYFUNCTION("""COMPUTED_VALUE"""),2.0)</f>
        <v>2</v>
      </c>
      <c r="BP293" s="16">
        <f>IFERROR(__xludf.DUMMYFUNCTION("""COMPUTED_VALUE"""),-6.0)</f>
        <v>-6</v>
      </c>
      <c r="BQ293" s="16">
        <f>IFERROR(__xludf.DUMMYFUNCTION("""COMPUTED_VALUE"""),0.0)</f>
        <v>0</v>
      </c>
      <c r="BR293" s="16">
        <f>IFERROR(__xludf.DUMMYFUNCTION("""COMPUTED_VALUE"""),-6.0)</f>
        <v>-6</v>
      </c>
      <c r="BS293" s="16" t="str">
        <f>IFERROR(__xludf.DUMMYFUNCTION("""COMPUTED_VALUE"""),"*2-5,11,12/8,10 (15-5)")</f>
        <v>*2-5,11,12/8,10 (15-5)</v>
      </c>
      <c r="BT293" s="16" t="str">
        <f>IFERROR(__xludf.DUMMYFUNCTION("""COMPUTED_VALUE"""),"D")</f>
        <v>D</v>
      </c>
      <c r="BU293" s="16">
        <f>IFERROR(__xludf.DUMMYFUNCTION("""COMPUTED_VALUE"""),14.0)</f>
        <v>14</v>
      </c>
      <c r="BV293" s="16">
        <f>IFERROR(__xludf.DUMMYFUNCTION("""COMPUTED_VALUE"""),0.0)</f>
        <v>0</v>
      </c>
      <c r="BW293" s="16">
        <f>IFERROR(__xludf.DUMMYFUNCTION("""COMPUTED_VALUE"""),1.0)</f>
        <v>1</v>
      </c>
      <c r="BX293" s="16">
        <f>IFERROR(__xludf.DUMMYFUNCTION("""COMPUTED_VALUE"""),0.0)</f>
        <v>0</v>
      </c>
      <c r="BY293" s="16">
        <f>IFERROR(__xludf.DUMMYFUNCTION("""COMPUTED_VALUE"""),3.0)</f>
        <v>3</v>
      </c>
      <c r="BZ293" s="16" t="str">
        <f>IFERROR(__xludf.DUMMYFUNCTION("""COMPUTED_VALUE"""),"C")</f>
        <v>C</v>
      </c>
      <c r="CA293" s="16" t="str">
        <f>IFERROR(__xludf.DUMMYFUNCTION("""COMPUTED_VALUE"""),"C")</f>
        <v>C</v>
      </c>
      <c r="CB293" s="16">
        <f>IFERROR(__xludf.DUMMYFUNCTION("""COMPUTED_VALUE"""),0.0)</f>
        <v>0</v>
      </c>
      <c r="CC293" s="16">
        <f>IFERROR(__xludf.DUMMYFUNCTION("""COMPUTED_VALUE"""),0.0)</f>
        <v>0</v>
      </c>
      <c r="CD293" s="16">
        <f>IFERROR(__xludf.DUMMYFUNCTION("""COMPUTED_VALUE"""),0.0)</f>
        <v>0</v>
      </c>
      <c r="CE293" s="16">
        <f>IFERROR(__xludf.DUMMYFUNCTION("""COMPUTED_VALUE"""),0.0)</f>
        <v>0</v>
      </c>
      <c r="CF293" s="16">
        <f>IFERROR(__xludf.DUMMYFUNCTION("""COMPUTED_VALUE"""),1.0)</f>
        <v>1</v>
      </c>
      <c r="CG293" s="16">
        <f>IFERROR(__xludf.DUMMYFUNCTION("""COMPUTED_VALUE"""),-22.0)</f>
        <v>-22</v>
      </c>
      <c r="CH293" s="16">
        <f>IFERROR(__xludf.DUMMYFUNCTION("""COMPUTED_VALUE"""),-12.0)</f>
        <v>-12</v>
      </c>
      <c r="CI293" s="179">
        <f>IFERROR(__xludf.DUMMYFUNCTION("""COMPUTED_VALUE"""),-9.0)</f>
        <v>-9</v>
      </c>
      <c r="CJ293" s="16"/>
      <c r="CK293" s="16"/>
      <c r="CL293" s="16">
        <f>IFERROR(__xludf.DUMMYFUNCTION("""COMPUTED_VALUE"""),206.0)</f>
        <v>206</v>
      </c>
      <c r="CM293" s="16"/>
      <c r="CN293" s="16">
        <f>IFERROR(__xludf.DUMMYFUNCTION("""COMPUTED_VALUE"""),304.0)</f>
        <v>304</v>
      </c>
      <c r="CO293" s="16"/>
      <c r="CP293" s="16"/>
      <c r="CQ293" s="16"/>
      <c r="CR293" s="16" t="str">
        <f>IFERROR(__xludf.DUMMYFUNCTION("""COMPUTED_VALUE"""),"ss-3e4 2b-2e6")</f>
        <v>ss-3e4 2b-2e6</v>
      </c>
      <c r="CS293" s="16"/>
      <c r="CT293" s="16"/>
      <c r="CU293" s="16">
        <f>IFERROR(__xludf.DUMMYFUNCTION("""COMPUTED_VALUE"""),2.0)</f>
        <v>2</v>
      </c>
      <c r="CV293" s="16"/>
      <c r="CW293" s="16">
        <f>IFERROR(__xludf.DUMMYFUNCTION("""COMPUTED_VALUE"""),3.0)</f>
        <v>3</v>
      </c>
      <c r="CX293" s="16"/>
      <c r="CY293" s="16"/>
      <c r="CZ293" s="16"/>
      <c r="DA293" s="16"/>
      <c r="DB293" s="16"/>
      <c r="DC293" s="16">
        <f>IFERROR(__xludf.DUMMYFUNCTION("""COMPUTED_VALUE"""),6.0)</f>
        <v>6</v>
      </c>
      <c r="DD293" s="16"/>
      <c r="DE293" s="16">
        <f>IFERROR(__xludf.DUMMYFUNCTION("""COMPUTED_VALUE"""),4.0)</f>
        <v>4</v>
      </c>
      <c r="DF293" s="16"/>
      <c r="DG293" s="16"/>
      <c r="DH293" s="16"/>
      <c r="DI293" s="16"/>
      <c r="DJ293" s="16"/>
      <c r="DK293" s="16">
        <f>IFERROR(__xludf.DUMMYFUNCTION("""COMPUTED_VALUE"""),2.0)</f>
        <v>2</v>
      </c>
      <c r="DL293" s="16"/>
      <c r="DM293" s="16">
        <f>IFERROR(__xludf.DUMMYFUNCTION("""COMPUTED_VALUE"""),0.0)</f>
        <v>0</v>
      </c>
      <c r="DN293" s="16"/>
      <c r="DO293" s="16"/>
      <c r="DP293" s="16"/>
      <c r="DQ293" s="16"/>
      <c r="DR293" s="16"/>
      <c r="DS293" s="16">
        <f>IFERROR(__xludf.DUMMYFUNCTION("""COMPUTED_VALUE"""),3.0)</f>
        <v>3</v>
      </c>
      <c r="DT293" s="16"/>
      <c r="DU293" s="16">
        <f>IFERROR(__xludf.DUMMYFUNCTION("""COMPUTED_VALUE"""),4.0)</f>
        <v>4</v>
      </c>
      <c r="DV293" s="16"/>
      <c r="DW293" s="16"/>
      <c r="DX293" s="16"/>
      <c r="DY293" s="16"/>
      <c r="DZ293" s="16"/>
      <c r="EA293" s="16">
        <f>IFERROR(__xludf.DUMMYFUNCTION("""COMPUTED_VALUE"""),5.0)</f>
        <v>5</v>
      </c>
      <c r="EB293" s="16"/>
      <c r="EC293" s="16">
        <f>IFERROR(__xludf.DUMMYFUNCTION("""COMPUTED_VALUE"""),4.0)</f>
        <v>4</v>
      </c>
      <c r="ED293" s="16"/>
      <c r="EE293" s="16"/>
      <c r="EF293" s="16"/>
      <c r="EG293" s="179"/>
      <c r="EH293" s="179"/>
      <c r="EI293" s="179">
        <f>IFERROR(__xludf.DUMMYFUNCTION("""COMPUTED_VALUE"""),-4.0)</f>
        <v>-4</v>
      </c>
      <c r="EJ293" s="179"/>
      <c r="EK293" s="179">
        <f>IFERROR(__xludf.DUMMYFUNCTION("""COMPUTED_VALUE"""),-5.0)</f>
        <v>-5</v>
      </c>
      <c r="EL293" s="179"/>
      <c r="EM293" s="179"/>
      <c r="EN293" s="179"/>
      <c r="EO293" s="16"/>
      <c r="EP293" s="16"/>
      <c r="EQ293" s="16">
        <f>IFERROR(__xludf.DUMMYFUNCTION("""COMPUTED_VALUE"""),4.0)</f>
        <v>4</v>
      </c>
      <c r="ER293" s="16">
        <f>IFERROR(__xludf.DUMMYFUNCTION("""COMPUTED_VALUE"""),1.0)</f>
        <v>1</v>
      </c>
      <c r="ES293" s="16"/>
      <c r="ET293" s="16"/>
      <c r="EU293" s="16"/>
      <c r="EV293" s="16"/>
      <c r="EW293" s="16"/>
      <c r="EX293" s="180"/>
      <c r="EY293" s="180"/>
      <c r="EZ293" s="180">
        <f>IFERROR(__xludf.DUMMYFUNCTION("""COMPUTED_VALUE"""),0.1)</f>
        <v>0.1</v>
      </c>
      <c r="FA293" s="180"/>
      <c r="FB293" s="180">
        <f>IFERROR(__xludf.DUMMYFUNCTION("""COMPUTED_VALUE"""),0.2)</f>
        <v>0.2</v>
      </c>
      <c r="FC293" s="180"/>
      <c r="FD293" s="180"/>
      <c r="FE293" s="180"/>
      <c r="FF293" s="180"/>
      <c r="FG293" s="180"/>
      <c r="FH293" s="180">
        <f>IFERROR(__xludf.DUMMYFUNCTION("""COMPUTED_VALUE"""),0.037037037037037035)</f>
        <v>0.03703703704</v>
      </c>
      <c r="FI293" s="180"/>
      <c r="FJ293" s="180">
        <f>IFERROR(__xludf.DUMMYFUNCTION("""COMPUTED_VALUE"""),0.018518518518518517)</f>
        <v>0.01851851852</v>
      </c>
      <c r="FK293" s="180"/>
      <c r="FL293" s="180"/>
      <c r="FM293" s="180"/>
      <c r="FN293" s="16"/>
      <c r="FO293" s="16"/>
      <c r="FP293" s="16">
        <f>IFERROR(__xludf.DUMMYFUNCTION("""COMPUTED_VALUE"""),0.8666666666666667)</f>
        <v>0.8666666667</v>
      </c>
      <c r="FQ293" s="16"/>
      <c r="FR293" s="16">
        <f>IFERROR(__xludf.DUMMYFUNCTION("""COMPUTED_VALUE"""),0.7851851851851852)</f>
        <v>0.7851851852</v>
      </c>
      <c r="FS293" s="16"/>
      <c r="FT293" s="16"/>
      <c r="FU293" s="16"/>
      <c r="FV293" s="16"/>
      <c r="FW293" s="16"/>
      <c r="FX293" s="16">
        <f>IFERROR(__xludf.DUMMYFUNCTION("""COMPUTED_VALUE"""),4.0)</f>
        <v>4</v>
      </c>
      <c r="FY293" s="16"/>
      <c r="FZ293" s="16">
        <f>IFERROR(__xludf.DUMMYFUNCTION("""COMPUTED_VALUE"""),-1.0)</f>
        <v>-1</v>
      </c>
      <c r="GA293" s="16"/>
      <c r="GB293" s="16"/>
      <c r="GC293" s="16"/>
      <c r="GD293" s="16" t="s">
        <v>521</v>
      </c>
    </row>
    <row r="294">
      <c r="A294" s="16">
        <f>IFERROR(__xludf.DUMMYFUNCTION("""COMPUTED_VALUE"""),13479.0)</f>
        <v>13479</v>
      </c>
      <c r="B294" s="16" t="str">
        <f>IFERROR(__xludf.DUMMYFUNCTION("""COMPUTED_VALUE"""),"Will Benson")</f>
        <v>Will Benson</v>
      </c>
      <c r="C294" s="16">
        <f>IFERROR(__xludf.DUMMYFUNCTION("""COMPUTED_VALUE"""),0.0)</f>
        <v>0</v>
      </c>
      <c r="D294" s="16" t="str">
        <f>IFERROR(__xludf.DUMMYFUNCTION("""COMPUTED_VALUE"""),"L")</f>
        <v>L</v>
      </c>
      <c r="E294" s="16"/>
      <c r="F294" s="16"/>
      <c r="G294" s="16">
        <f>IFERROR(__xludf.DUMMYFUNCTION("""COMPUTED_VALUE"""),343.0)</f>
        <v>343</v>
      </c>
      <c r="H294" s="16">
        <f>IFERROR(__xludf.DUMMYFUNCTION("""COMPUTED_VALUE"""),40.0)</f>
        <v>40</v>
      </c>
      <c r="I294" s="16" t="str">
        <f>IFERROR(__xludf.DUMMYFUNCTION("""COMPUTED_VALUE"""),"1p60")</f>
        <v>1p60</v>
      </c>
      <c r="J294" s="16">
        <f>IFERROR(__xludf.DUMMYFUNCTION("""COMPUTED_VALUE"""),51.0)</f>
        <v>51</v>
      </c>
      <c r="K294" s="16">
        <f>IFERROR(__xludf.DUMMYFUNCTION("""COMPUTED_VALUE"""),64.0)</f>
        <v>64</v>
      </c>
      <c r="L294" s="16">
        <f>IFERROR(__xludf.DUMMYFUNCTION("""COMPUTED_VALUE"""),-2.0)</f>
        <v>-2</v>
      </c>
      <c r="M294" s="16">
        <f>IFERROR(__xludf.DUMMYFUNCTION("""COMPUTED_VALUE"""),-3.0)</f>
        <v>-3</v>
      </c>
      <c r="N294" s="16">
        <f>IFERROR(__xludf.DUMMYFUNCTION("""COMPUTED_VALUE"""),-2.0)</f>
        <v>-2</v>
      </c>
      <c r="O294" s="16">
        <f>IFERROR(__xludf.DUMMYFUNCTION("""COMPUTED_VALUE"""),-3.0)</f>
        <v>-3</v>
      </c>
      <c r="P294" s="16">
        <f>IFERROR(__xludf.DUMMYFUNCTION("""COMPUTED_VALUE"""),14.0)</f>
        <v>14</v>
      </c>
      <c r="Q294" s="16">
        <f>IFERROR(__xludf.DUMMYFUNCTION("""COMPUTED_VALUE"""),13.0)</f>
        <v>13</v>
      </c>
      <c r="R294" s="16">
        <f>IFERROR(__xludf.DUMMYFUNCTION("""COMPUTED_VALUE"""),2.0)</f>
        <v>2</v>
      </c>
      <c r="S294" s="16">
        <f>IFERROR(__xludf.DUMMYFUNCTION("""COMPUTED_VALUE"""),1.0)</f>
        <v>1</v>
      </c>
      <c r="T294" s="16">
        <f>IFERROR(__xludf.DUMMYFUNCTION("""COMPUTED_VALUE"""),2.0)</f>
        <v>2</v>
      </c>
      <c r="U294" s="16">
        <f>IFERROR(__xludf.DUMMYFUNCTION("""COMPUTED_VALUE"""),1.0)</f>
        <v>1</v>
      </c>
      <c r="V294" s="16">
        <f>IFERROR(__xludf.DUMMYFUNCTION("""COMPUTED_VALUE"""),5.0)</f>
        <v>5</v>
      </c>
      <c r="W294" s="16">
        <f>IFERROR(__xludf.DUMMYFUNCTION("""COMPUTED_VALUE"""),10.0)</f>
        <v>10</v>
      </c>
      <c r="X294" s="16">
        <f>IFERROR(__xludf.DUMMYFUNCTION("""COMPUTED_VALUE"""),-2.0)</f>
        <v>-2</v>
      </c>
      <c r="Y294" s="16">
        <f>IFERROR(__xludf.DUMMYFUNCTION("""COMPUTED_VALUE"""),-2.0)</f>
        <v>-2</v>
      </c>
      <c r="Z294" s="16">
        <f>IFERROR(__xludf.DUMMYFUNCTION("""COMPUTED_VALUE"""),-4.0)</f>
        <v>-4</v>
      </c>
      <c r="AA294" s="16">
        <f>IFERROR(__xludf.DUMMYFUNCTION("""COMPUTED_VALUE"""),-4.0)</f>
        <v>-4</v>
      </c>
      <c r="AB294" s="16">
        <f>IFERROR(__xludf.DUMMYFUNCTION("""COMPUTED_VALUE"""),20.0)</f>
        <v>20</v>
      </c>
      <c r="AC294" s="16">
        <f>IFERROR(__xludf.DUMMYFUNCTION("""COMPUTED_VALUE"""),24.0)</f>
        <v>24</v>
      </c>
      <c r="AD294" s="16">
        <f>IFERROR(__xludf.DUMMYFUNCTION("""COMPUTED_VALUE"""),-1.0)</f>
        <v>-1</v>
      </c>
      <c r="AE294" s="16">
        <f>IFERROR(__xludf.DUMMYFUNCTION("""COMPUTED_VALUE"""),-1.0)</f>
        <v>-1</v>
      </c>
      <c r="AF294" s="16">
        <f>IFERROR(__xludf.DUMMYFUNCTION("""COMPUTED_VALUE"""),-5.0)</f>
        <v>-5</v>
      </c>
      <c r="AG294" s="16">
        <f>IFERROR(__xludf.DUMMYFUNCTION("""COMPUTED_VALUE"""),-5.0)</f>
        <v>-5</v>
      </c>
      <c r="AH294" s="16">
        <f>IFERROR(__xludf.DUMMYFUNCTION("""COMPUTED_VALUE"""),10.4)</f>
        <v>10.4</v>
      </c>
      <c r="AI294" s="16">
        <f>IFERROR(__xludf.DUMMYFUNCTION("""COMPUTED_VALUE"""),26.7)</f>
        <v>26.7</v>
      </c>
      <c r="AJ294" s="16">
        <f>IFERROR(__xludf.DUMMYFUNCTION("""COMPUTED_VALUE"""),-2.0)</f>
        <v>-2</v>
      </c>
      <c r="AK294" s="16">
        <f>IFERROR(__xludf.DUMMYFUNCTION("""COMPUTED_VALUE"""),-1.0)</f>
        <v>-1</v>
      </c>
      <c r="AL294" s="16">
        <f>IFERROR(__xludf.DUMMYFUNCTION("""COMPUTED_VALUE"""),-10.0)</f>
        <v>-10</v>
      </c>
      <c r="AM294" s="16">
        <f>IFERROR(__xludf.DUMMYFUNCTION("""COMPUTED_VALUE"""),-5.0)</f>
        <v>-5</v>
      </c>
      <c r="AN294" s="16">
        <f>IFERROR(__xludf.DUMMYFUNCTION("""COMPUTED_VALUE"""),0.6)</f>
        <v>0.6</v>
      </c>
      <c r="AO294" s="16">
        <f>IFERROR(__xludf.DUMMYFUNCTION("""COMPUTED_VALUE"""),3.2)</f>
        <v>3.2</v>
      </c>
      <c r="AP294" s="16">
        <f>IFERROR(__xludf.DUMMYFUNCTION("""COMPUTED_VALUE"""),-2.0)</f>
        <v>-2</v>
      </c>
      <c r="AQ294" s="16">
        <f>IFERROR(__xludf.DUMMYFUNCTION("""COMPUTED_VALUE"""),1.0)</f>
        <v>1</v>
      </c>
      <c r="AR294" s="16">
        <f>IFERROR(__xludf.DUMMYFUNCTION("""COMPUTED_VALUE"""),-4.0)</f>
        <v>-4</v>
      </c>
      <c r="AS294" s="16">
        <f>IFERROR(__xludf.DUMMYFUNCTION("""COMPUTED_VALUE"""),2.0)</f>
        <v>2</v>
      </c>
      <c r="AT294" s="16"/>
      <c r="AU294" s="16"/>
      <c r="AV294" s="16">
        <f>IFERROR(__xludf.DUMMYFUNCTION("""COMPUTED_VALUE"""),0.0)</f>
        <v>0</v>
      </c>
      <c r="AW294" s="16">
        <f>IFERROR(__xludf.DUMMYFUNCTION("""COMPUTED_VALUE"""),3.0)</f>
        <v>3</v>
      </c>
      <c r="AX294" s="16">
        <f>IFERROR(__xludf.DUMMYFUNCTION("""COMPUTED_VALUE"""),-2.0)</f>
        <v>-2</v>
      </c>
      <c r="AY294" s="16">
        <f>IFERROR(__xludf.DUMMYFUNCTION("""COMPUTED_VALUE"""),0.0)</f>
        <v>0</v>
      </c>
      <c r="AZ294" s="16">
        <f>IFERROR(__xludf.DUMMYFUNCTION("""COMPUTED_VALUE"""),-6.0)</f>
        <v>-6</v>
      </c>
      <c r="BA294" s="16">
        <f>IFERROR(__xludf.DUMMYFUNCTION("""COMPUTED_VALUE"""),0.0)</f>
        <v>0</v>
      </c>
      <c r="BB294" s="16">
        <f>IFERROR(__xludf.DUMMYFUNCTION("""COMPUTED_VALUE"""),0.0)</f>
        <v>0</v>
      </c>
      <c r="BC294" s="16">
        <f>IFERROR(__xludf.DUMMYFUNCTION("""COMPUTED_VALUE"""),0.0)</f>
        <v>0</v>
      </c>
      <c r="BD294" s="16">
        <f>IFERROR(__xludf.DUMMYFUNCTION("""COMPUTED_VALUE"""),0.0)</f>
        <v>0</v>
      </c>
      <c r="BE294" s="16">
        <f>IFERROR(__xludf.DUMMYFUNCTION("""COMPUTED_VALUE"""),0.0)</f>
        <v>0</v>
      </c>
      <c r="BF294" s="16">
        <f>IFERROR(__xludf.DUMMYFUNCTION("""COMPUTED_VALUE"""),0.0)</f>
        <v>0</v>
      </c>
      <c r="BG294" s="16">
        <f>IFERROR(__xludf.DUMMYFUNCTION("""COMPUTED_VALUE"""),0.0)</f>
        <v>0</v>
      </c>
      <c r="BH294" s="16">
        <f>IFERROR(__xludf.DUMMYFUNCTION("""COMPUTED_VALUE"""),0.0)</f>
        <v>0</v>
      </c>
      <c r="BI294" s="16">
        <f>IFERROR(__xludf.DUMMYFUNCTION("""COMPUTED_VALUE"""),0.0)</f>
        <v>0</v>
      </c>
      <c r="BJ294" s="16">
        <f>IFERROR(__xludf.DUMMYFUNCTION("""COMPUTED_VALUE"""),3.0)</f>
        <v>3</v>
      </c>
      <c r="BK294" s="16">
        <f>IFERROR(__xludf.DUMMYFUNCTION("""COMPUTED_VALUE"""),3.0)</f>
        <v>3</v>
      </c>
      <c r="BL294" s="16">
        <f>IFERROR(__xludf.DUMMYFUNCTION("""COMPUTED_VALUE"""),2.0)</f>
        <v>2</v>
      </c>
      <c r="BM294" s="16">
        <f>IFERROR(__xludf.DUMMYFUNCTION("""COMPUTED_VALUE"""),2.0)</f>
        <v>2</v>
      </c>
      <c r="BN294" s="16">
        <f>IFERROR(__xludf.DUMMYFUNCTION("""COMPUTED_VALUE"""),2.0)</f>
        <v>2</v>
      </c>
      <c r="BO294" s="16">
        <f>IFERROR(__xludf.DUMMYFUNCTION("""COMPUTED_VALUE"""),2.0)</f>
        <v>2</v>
      </c>
      <c r="BP294" s="16">
        <f>IFERROR(__xludf.DUMMYFUNCTION("""COMPUTED_VALUE"""),-7.0)</f>
        <v>-7</v>
      </c>
      <c r="BQ294" s="16">
        <f>IFERROR(__xludf.DUMMYFUNCTION("""COMPUTED_VALUE"""),-3.0)</f>
        <v>-3</v>
      </c>
      <c r="BR294" s="16">
        <f>IFERROR(__xludf.DUMMYFUNCTION("""COMPUTED_VALUE"""),-10.0)</f>
        <v>-10</v>
      </c>
      <c r="BS294" s="16" t="str">
        <f>IFERROR(__xludf.DUMMYFUNCTION("""COMPUTED_VALUE"""),"*2-6,12/- (17-14)")</f>
        <v>*2-6,12/- (17-14)</v>
      </c>
      <c r="BT294" s="16" t="str">
        <f>IFERROR(__xludf.DUMMYFUNCTION("""COMPUTED_VALUE"""),"A")</f>
        <v>A</v>
      </c>
      <c r="BU294" s="16">
        <f>IFERROR(__xludf.DUMMYFUNCTION("""COMPUTED_VALUE"""),14.0)</f>
        <v>14</v>
      </c>
      <c r="BV294" s="16">
        <f>IFERROR(__xludf.DUMMYFUNCTION("""COMPUTED_VALUE"""),2.0)</f>
        <v>2</v>
      </c>
      <c r="BW294" s="16">
        <f>IFERROR(__xludf.DUMMYFUNCTION("""COMPUTED_VALUE"""),1.0)</f>
        <v>1</v>
      </c>
      <c r="BX294" s="16">
        <f>IFERROR(__xludf.DUMMYFUNCTION("""COMPUTED_VALUE"""),4.0)</f>
        <v>4</v>
      </c>
      <c r="BY294" s="16">
        <f>IFERROR(__xludf.DUMMYFUNCTION("""COMPUTED_VALUE"""),3.0)</f>
        <v>3</v>
      </c>
      <c r="BZ294" s="16" t="str">
        <f>IFERROR(__xludf.DUMMYFUNCTION("""COMPUTED_VALUE"""),"D")</f>
        <v>D</v>
      </c>
      <c r="CA294" s="16" t="str">
        <f>IFERROR(__xludf.DUMMYFUNCTION("""COMPUTED_VALUE"""),"C")</f>
        <v>C</v>
      </c>
      <c r="CB294" s="16">
        <f>IFERROR(__xludf.DUMMYFUNCTION("""COMPUTED_VALUE"""),0.0)</f>
        <v>0</v>
      </c>
      <c r="CC294" s="16">
        <f>IFERROR(__xludf.DUMMYFUNCTION("""COMPUTED_VALUE"""),0.0)</f>
        <v>0</v>
      </c>
      <c r="CD294" s="16">
        <f>IFERROR(__xludf.DUMMYFUNCTION("""COMPUTED_VALUE"""),0.0)</f>
        <v>0</v>
      </c>
      <c r="CE294" s="16">
        <f>IFERROR(__xludf.DUMMYFUNCTION("""COMPUTED_VALUE"""),0.0)</f>
        <v>0</v>
      </c>
      <c r="CF294" s="16">
        <f>IFERROR(__xludf.DUMMYFUNCTION("""COMPUTED_VALUE"""),1.0)</f>
        <v>1</v>
      </c>
      <c r="CG294" s="16">
        <f>IFERROR(__xludf.DUMMYFUNCTION("""COMPUTED_VALUE"""),-27.0)</f>
        <v>-27</v>
      </c>
      <c r="CH294" s="16">
        <f>IFERROR(__xludf.DUMMYFUNCTION("""COMPUTED_VALUE"""),-12.0)</f>
        <v>-12</v>
      </c>
      <c r="CI294" s="179">
        <f>IFERROR(__xludf.DUMMYFUNCTION("""COMPUTED_VALUE"""),-9.0)</f>
        <v>-9</v>
      </c>
      <c r="CJ294" s="16"/>
      <c r="CK294" s="16"/>
      <c r="CL294" s="16"/>
      <c r="CM294" s="16"/>
      <c r="CN294" s="16"/>
      <c r="CO294" s="16">
        <f>IFERROR(__xludf.DUMMYFUNCTION("""COMPUTED_VALUE"""),303.0)</f>
        <v>303</v>
      </c>
      <c r="CP294" s="16">
        <f>IFERROR(__xludf.DUMMYFUNCTION("""COMPUTED_VALUE"""),303.0)</f>
        <v>303</v>
      </c>
      <c r="CQ294" s="16">
        <f>IFERROR(__xludf.DUMMYFUNCTION("""COMPUTED_VALUE"""),303.0)</f>
        <v>303</v>
      </c>
      <c r="CR294" s="16" t="str">
        <f>IFERROR(__xludf.DUMMYFUNCTION("""COMPUTED_VALUE"""),"lf-3(-1)e3 rf-3e3 cf-3e3")</f>
        <v>lf-3(-1)e3 rf-3e3 cf-3e3</v>
      </c>
      <c r="CS294" s="16"/>
      <c r="CT294" s="16"/>
      <c r="CU294" s="16"/>
      <c r="CV294" s="16"/>
      <c r="CW294" s="16"/>
      <c r="CX294" s="16">
        <f>IFERROR(__xludf.DUMMYFUNCTION("""COMPUTED_VALUE"""),3.0)</f>
        <v>3</v>
      </c>
      <c r="CY294" s="16">
        <f>IFERROR(__xludf.DUMMYFUNCTION("""COMPUTED_VALUE"""),3.0)</f>
        <v>3</v>
      </c>
      <c r="CZ294" s="16">
        <f>IFERROR(__xludf.DUMMYFUNCTION("""COMPUTED_VALUE"""),3.0)</f>
        <v>3</v>
      </c>
      <c r="DA294" s="16"/>
      <c r="DB294" s="16"/>
      <c r="DC294" s="16"/>
      <c r="DD294" s="16"/>
      <c r="DE294" s="16"/>
      <c r="DF294" s="16">
        <f>IFERROR(__xludf.DUMMYFUNCTION("""COMPUTED_VALUE"""),3.0)</f>
        <v>3</v>
      </c>
      <c r="DG294" s="16">
        <f>IFERROR(__xludf.DUMMYFUNCTION("""COMPUTED_VALUE"""),3.0)</f>
        <v>3</v>
      </c>
      <c r="DH294" s="16">
        <f>IFERROR(__xludf.DUMMYFUNCTION("""COMPUTED_VALUE"""),3.0)</f>
        <v>3</v>
      </c>
      <c r="DI294" s="16"/>
      <c r="DJ294" s="16"/>
      <c r="DK294" s="16"/>
      <c r="DL294" s="16"/>
      <c r="DM294" s="16"/>
      <c r="DN294" s="16">
        <f>IFERROR(__xludf.DUMMYFUNCTION("""COMPUTED_VALUE"""),0.0)</f>
        <v>0</v>
      </c>
      <c r="DO294" s="16">
        <f>IFERROR(__xludf.DUMMYFUNCTION("""COMPUTED_VALUE"""),0.0)</f>
        <v>0</v>
      </c>
      <c r="DP294" s="16">
        <f>IFERROR(__xludf.DUMMYFUNCTION("""COMPUTED_VALUE"""),0.0)</f>
        <v>0</v>
      </c>
      <c r="DQ294" s="16"/>
      <c r="DR294" s="16"/>
      <c r="DS294" s="16"/>
      <c r="DT294" s="16"/>
      <c r="DU294" s="16"/>
      <c r="DV294" s="16">
        <f>IFERROR(__xludf.DUMMYFUNCTION("""COMPUTED_VALUE"""),4.0)</f>
        <v>4</v>
      </c>
      <c r="DW294" s="16">
        <f>IFERROR(__xludf.DUMMYFUNCTION("""COMPUTED_VALUE"""),4.0)</f>
        <v>4</v>
      </c>
      <c r="DX294" s="16">
        <f>IFERROR(__xludf.DUMMYFUNCTION("""COMPUTED_VALUE"""),4.0)</f>
        <v>4</v>
      </c>
      <c r="DY294" s="16"/>
      <c r="DZ294" s="16"/>
      <c r="EA294" s="16"/>
      <c r="EB294" s="16"/>
      <c r="EC294" s="16"/>
      <c r="ED294" s="16">
        <f>IFERROR(__xludf.DUMMYFUNCTION("""COMPUTED_VALUE"""),4.0)</f>
        <v>4</v>
      </c>
      <c r="EE294" s="16">
        <f>IFERROR(__xludf.DUMMYFUNCTION("""COMPUTED_VALUE"""),4.0)</f>
        <v>4</v>
      </c>
      <c r="EF294" s="16">
        <f>IFERROR(__xludf.DUMMYFUNCTION("""COMPUTED_VALUE"""),4.0)</f>
        <v>4</v>
      </c>
      <c r="EG294" s="179"/>
      <c r="EH294" s="179"/>
      <c r="EI294" s="179"/>
      <c r="EJ294" s="179"/>
      <c r="EK294" s="179"/>
      <c r="EL294" s="179">
        <f>IFERROR(__xludf.DUMMYFUNCTION("""COMPUTED_VALUE"""),-5.0)</f>
        <v>-5</v>
      </c>
      <c r="EM294" s="179">
        <f>IFERROR(__xludf.DUMMYFUNCTION("""COMPUTED_VALUE"""),-5.0)</f>
        <v>-5</v>
      </c>
      <c r="EN294" s="179">
        <f>IFERROR(__xludf.DUMMYFUNCTION("""COMPUTED_VALUE"""),-5.0)</f>
        <v>-5</v>
      </c>
      <c r="EO294" s="16"/>
      <c r="EP294" s="16"/>
      <c r="EQ294" s="16">
        <f>IFERROR(__xludf.DUMMYFUNCTION("""COMPUTED_VALUE"""),4.0)</f>
        <v>4</v>
      </c>
      <c r="ER294" s="16">
        <f>IFERROR(__xludf.DUMMYFUNCTION("""COMPUTED_VALUE"""),1.0)</f>
        <v>1</v>
      </c>
      <c r="ES294" s="16"/>
      <c r="ET294" s="16"/>
      <c r="EU294" s="16"/>
      <c r="EV294" s="16"/>
      <c r="EW294" s="16"/>
      <c r="EX294" s="180"/>
      <c r="EY294" s="180"/>
      <c r="EZ294" s="180"/>
      <c r="FA294" s="180"/>
      <c r="FB294" s="180"/>
      <c r="FC294" s="180">
        <f>IFERROR(__xludf.DUMMYFUNCTION("""COMPUTED_VALUE"""),0.3)</f>
        <v>0.3</v>
      </c>
      <c r="FD294" s="180">
        <f>IFERROR(__xludf.DUMMYFUNCTION("""COMPUTED_VALUE"""),0.3)</f>
        <v>0.3</v>
      </c>
      <c r="FE294" s="180">
        <f>IFERROR(__xludf.DUMMYFUNCTION("""COMPUTED_VALUE"""),0.3)</f>
        <v>0.3</v>
      </c>
      <c r="FF294" s="180"/>
      <c r="FG294" s="180"/>
      <c r="FH294" s="180"/>
      <c r="FI294" s="180"/>
      <c r="FJ294" s="180"/>
      <c r="FK294" s="180">
        <f>IFERROR(__xludf.DUMMYFUNCTION("""COMPUTED_VALUE"""),0.056)</f>
        <v>0.056</v>
      </c>
      <c r="FL294" s="180">
        <f>IFERROR(__xludf.DUMMYFUNCTION("""COMPUTED_VALUE"""),0.037037037037037035)</f>
        <v>0.03703703704</v>
      </c>
      <c r="FM294" s="180">
        <f>IFERROR(__xludf.DUMMYFUNCTION("""COMPUTED_VALUE"""),0.056)</f>
        <v>0.056</v>
      </c>
      <c r="FN294" s="16"/>
      <c r="FO294" s="16"/>
      <c r="FP294" s="16"/>
      <c r="FQ294" s="16"/>
      <c r="FR294" s="16"/>
      <c r="FS294" s="16">
        <f>IFERROR(__xludf.DUMMYFUNCTION("""COMPUTED_VALUE"""),0.6607999999999999)</f>
        <v>0.6608</v>
      </c>
      <c r="FT294" s="16">
        <f>IFERROR(__xludf.DUMMYFUNCTION("""COMPUTED_VALUE"""),0.674074074074074)</f>
        <v>0.6740740741</v>
      </c>
      <c r="FU294" s="16">
        <f>IFERROR(__xludf.DUMMYFUNCTION("""COMPUTED_VALUE"""),0.6607999999999999)</f>
        <v>0.6608</v>
      </c>
      <c r="FV294" s="16"/>
      <c r="FW294" s="16"/>
      <c r="FX294" s="16"/>
      <c r="FY294" s="16"/>
      <c r="FZ294" s="16"/>
      <c r="GA294" s="16">
        <f>IFERROR(__xludf.DUMMYFUNCTION("""COMPUTED_VALUE"""),-4.0)</f>
        <v>-4</v>
      </c>
      <c r="GB294" s="16">
        <f>IFERROR(__xludf.DUMMYFUNCTION("""COMPUTED_VALUE"""),-4.0)</f>
        <v>-4</v>
      </c>
      <c r="GC294" s="16">
        <f>IFERROR(__xludf.DUMMYFUNCTION("""COMPUTED_VALUE"""),-4.0)</f>
        <v>-4</v>
      </c>
      <c r="GD294" s="16" t="s">
        <v>176</v>
      </c>
    </row>
    <row r="295">
      <c r="A295" s="16">
        <f>IFERROR(__xludf.DUMMYFUNCTION("""COMPUTED_VALUE"""),13445.0)</f>
        <v>13445</v>
      </c>
      <c r="B295" s="16" t="str">
        <f>IFERROR(__xludf.DUMMYFUNCTION("""COMPUTED_VALUE"""),"Ty France")</f>
        <v>Ty France</v>
      </c>
      <c r="C295" s="16">
        <f>IFERROR(__xludf.DUMMYFUNCTION("""COMPUTED_VALUE"""),0.0)</f>
        <v>0</v>
      </c>
      <c r="D295" s="16" t="str">
        <f>IFERROR(__xludf.DUMMYFUNCTION("""COMPUTED_VALUE"""),"R")</f>
        <v>R</v>
      </c>
      <c r="E295" s="16"/>
      <c r="F295" s="16"/>
      <c r="G295" s="16">
        <f>IFERROR(__xludf.DUMMYFUNCTION("""COMPUTED_VALUE"""),479.0)</f>
        <v>479</v>
      </c>
      <c r="H295" s="16">
        <f>IFERROR(__xludf.DUMMYFUNCTION("""COMPUTED_VALUE"""),38.0)</f>
        <v>38</v>
      </c>
      <c r="I295" s="16" t="str">
        <f>IFERROR(__xludf.DUMMYFUNCTION("""COMPUTED_VALUE"""),"1p65")</f>
        <v>1p65</v>
      </c>
      <c r="J295" s="16">
        <f>IFERROR(__xludf.DUMMYFUNCTION("""COMPUTED_VALUE"""),24.0)</f>
        <v>24</v>
      </c>
      <c r="K295" s="16">
        <f>IFERROR(__xludf.DUMMYFUNCTION("""COMPUTED_VALUE"""),20.0)</f>
        <v>20</v>
      </c>
      <c r="L295" s="16">
        <f>IFERROR(__xludf.DUMMYFUNCTION("""COMPUTED_VALUE"""),0.0)</f>
        <v>0</v>
      </c>
      <c r="M295" s="16">
        <f>IFERROR(__xludf.DUMMYFUNCTION("""COMPUTED_VALUE"""),0.0)</f>
        <v>0</v>
      </c>
      <c r="N295" s="16">
        <f>IFERROR(__xludf.DUMMYFUNCTION("""COMPUTED_VALUE"""),0.0)</f>
        <v>0</v>
      </c>
      <c r="O295" s="16">
        <f>IFERROR(__xludf.DUMMYFUNCTION("""COMPUTED_VALUE"""),0.0)</f>
        <v>0</v>
      </c>
      <c r="P295" s="16">
        <f>IFERROR(__xludf.DUMMYFUNCTION("""COMPUTED_VALUE"""),12.0)</f>
        <v>12</v>
      </c>
      <c r="Q295" s="16">
        <f>IFERROR(__xludf.DUMMYFUNCTION("""COMPUTED_VALUE"""),6.0)</f>
        <v>6</v>
      </c>
      <c r="R295" s="16">
        <f>IFERROR(__xludf.DUMMYFUNCTION("""COMPUTED_VALUE"""),1.0)</f>
        <v>1</v>
      </c>
      <c r="S295" s="16">
        <f>IFERROR(__xludf.DUMMYFUNCTION("""COMPUTED_VALUE"""),-1.0)</f>
        <v>-1</v>
      </c>
      <c r="T295" s="16">
        <f>IFERROR(__xludf.DUMMYFUNCTION("""COMPUTED_VALUE"""),1.0)</f>
        <v>1</v>
      </c>
      <c r="U295" s="16">
        <f>IFERROR(__xludf.DUMMYFUNCTION("""COMPUTED_VALUE"""),-1.0)</f>
        <v>-1</v>
      </c>
      <c r="V295" s="16">
        <f>IFERROR(__xludf.DUMMYFUNCTION("""COMPUTED_VALUE"""),15.7)</f>
        <v>15.7</v>
      </c>
      <c r="W295" s="16">
        <f>IFERROR(__xludf.DUMMYFUNCTION("""COMPUTED_VALUE"""),18.5)</f>
        <v>18.5</v>
      </c>
      <c r="X295" s="16">
        <f>IFERROR(__xludf.DUMMYFUNCTION("""COMPUTED_VALUE"""),-1.0)</f>
        <v>-1</v>
      </c>
      <c r="Y295" s="16">
        <f>IFERROR(__xludf.DUMMYFUNCTION("""COMPUTED_VALUE"""),0.0)</f>
        <v>0</v>
      </c>
      <c r="Z295" s="16">
        <f>IFERROR(__xludf.DUMMYFUNCTION("""COMPUTED_VALUE"""),-2.0)</f>
        <v>-2</v>
      </c>
      <c r="AA295" s="16">
        <f>IFERROR(__xludf.DUMMYFUNCTION("""COMPUTED_VALUE"""),0.0)</f>
        <v>0</v>
      </c>
      <c r="AB295" s="16">
        <f>IFERROR(__xludf.DUMMYFUNCTION("""COMPUTED_VALUE"""),33.7)</f>
        <v>33.7</v>
      </c>
      <c r="AC295" s="16">
        <f>IFERROR(__xludf.DUMMYFUNCTION("""COMPUTED_VALUE"""),30.5)</f>
        <v>30.5</v>
      </c>
      <c r="AD295" s="16">
        <f>IFERROR(__xludf.DUMMYFUNCTION("""COMPUTED_VALUE"""),0.0)</f>
        <v>0</v>
      </c>
      <c r="AE295" s="16">
        <f>IFERROR(__xludf.DUMMYFUNCTION("""COMPUTED_VALUE"""),0.0)</f>
        <v>0</v>
      </c>
      <c r="AF295" s="16">
        <f>IFERROR(__xludf.DUMMYFUNCTION("""COMPUTED_VALUE"""),0.0)</f>
        <v>0</v>
      </c>
      <c r="AG295" s="16">
        <f>IFERROR(__xludf.DUMMYFUNCTION("""COMPUTED_VALUE"""),0.0)</f>
        <v>0</v>
      </c>
      <c r="AH295" s="16">
        <f>IFERROR(__xludf.DUMMYFUNCTION("""COMPUTED_VALUE"""),23.9)</f>
        <v>23.9</v>
      </c>
      <c r="AI295" s="16">
        <f>IFERROR(__xludf.DUMMYFUNCTION("""COMPUTED_VALUE"""),27.0)</f>
        <v>27</v>
      </c>
      <c r="AJ295" s="16">
        <f>IFERROR(__xludf.DUMMYFUNCTION("""COMPUTED_VALUE"""),-1.0)</f>
        <v>-1</v>
      </c>
      <c r="AK295" s="16">
        <f>IFERROR(__xludf.DUMMYFUNCTION("""COMPUTED_VALUE"""),-1.0)</f>
        <v>-1</v>
      </c>
      <c r="AL295" s="16">
        <f>IFERROR(__xludf.DUMMYFUNCTION("""COMPUTED_VALUE"""),-5.0)</f>
        <v>-5</v>
      </c>
      <c r="AM295" s="16">
        <f>IFERROR(__xludf.DUMMYFUNCTION("""COMPUTED_VALUE"""),-5.0)</f>
        <v>-5</v>
      </c>
      <c r="AN295" s="16">
        <f>IFERROR(__xludf.DUMMYFUNCTION("""COMPUTED_VALUE"""),1.8)</f>
        <v>1.8</v>
      </c>
      <c r="AO295" s="16">
        <f>IFERROR(__xludf.DUMMYFUNCTION("""COMPUTED_VALUE"""),1.2)</f>
        <v>1.2</v>
      </c>
      <c r="AP295" s="16">
        <f>IFERROR(__xludf.DUMMYFUNCTION("""COMPUTED_VALUE"""),-1.0)</f>
        <v>-1</v>
      </c>
      <c r="AQ295" s="16">
        <f>IFERROR(__xludf.DUMMYFUNCTION("""COMPUTED_VALUE"""),-2.0)</f>
        <v>-2</v>
      </c>
      <c r="AR295" s="16">
        <f>IFERROR(__xludf.DUMMYFUNCTION("""COMPUTED_VALUE"""),-2.0)</f>
        <v>-2</v>
      </c>
      <c r="AS295" s="16">
        <f>IFERROR(__xludf.DUMMYFUNCTION("""COMPUTED_VALUE"""),-4.0)</f>
        <v>-4</v>
      </c>
      <c r="AT295" s="16">
        <f>IFERROR(__xludf.DUMMYFUNCTION("""COMPUTED_VALUE"""),2.0)</f>
        <v>2</v>
      </c>
      <c r="AU295" s="16">
        <f>IFERROR(__xludf.DUMMYFUNCTION("""COMPUTED_VALUE"""),1.0)</f>
        <v>1</v>
      </c>
      <c r="AV295" s="16">
        <f>IFERROR(__xludf.DUMMYFUNCTION("""COMPUTED_VALUE"""),2.0)</f>
        <v>2</v>
      </c>
      <c r="AW295" s="16">
        <f>IFERROR(__xludf.DUMMYFUNCTION("""COMPUTED_VALUE"""),1.0)</f>
        <v>1</v>
      </c>
      <c r="AX295" s="16">
        <f>IFERROR(__xludf.DUMMYFUNCTION("""COMPUTED_VALUE"""),0.0)</f>
        <v>0</v>
      </c>
      <c r="AY295" s="16">
        <f>IFERROR(__xludf.DUMMYFUNCTION("""COMPUTED_VALUE"""),-1.0)</f>
        <v>-1</v>
      </c>
      <c r="AZ295" s="16">
        <f>IFERROR(__xludf.DUMMYFUNCTION("""COMPUTED_VALUE"""),0.0)</f>
        <v>0</v>
      </c>
      <c r="BA295" s="16">
        <f>IFERROR(__xludf.DUMMYFUNCTION("""COMPUTED_VALUE"""),-3.0)</f>
        <v>-3</v>
      </c>
      <c r="BB295" s="16">
        <f>IFERROR(__xludf.DUMMYFUNCTION("""COMPUTED_VALUE"""),5.0)</f>
        <v>5</v>
      </c>
      <c r="BC295" s="16">
        <f>IFERROR(__xludf.DUMMYFUNCTION("""COMPUTED_VALUE"""),5.0)</f>
        <v>5</v>
      </c>
      <c r="BD295" s="16">
        <f>IFERROR(__xludf.DUMMYFUNCTION("""COMPUTED_VALUE"""),1.0)</f>
        <v>1</v>
      </c>
      <c r="BE295" s="16">
        <f>IFERROR(__xludf.DUMMYFUNCTION("""COMPUTED_VALUE"""),1.0)</f>
        <v>1</v>
      </c>
      <c r="BF295" s="16">
        <f>IFERROR(__xludf.DUMMYFUNCTION("""COMPUTED_VALUE"""),1.0)</f>
        <v>1</v>
      </c>
      <c r="BG295" s="16">
        <f>IFERROR(__xludf.DUMMYFUNCTION("""COMPUTED_VALUE"""),1.0)</f>
        <v>1</v>
      </c>
      <c r="BH295" s="16">
        <f>IFERROR(__xludf.DUMMYFUNCTION("""COMPUTED_VALUE"""),1.0)</f>
        <v>1</v>
      </c>
      <c r="BI295" s="16">
        <f>IFERROR(__xludf.DUMMYFUNCTION("""COMPUTED_VALUE"""),2.0)</f>
        <v>2</v>
      </c>
      <c r="BJ295" s="16">
        <f>IFERROR(__xludf.DUMMYFUNCTION("""COMPUTED_VALUE"""),19.0)</f>
        <v>19</v>
      </c>
      <c r="BK295" s="16">
        <f>IFERROR(__xludf.DUMMYFUNCTION("""COMPUTED_VALUE"""),21.0)</f>
        <v>21</v>
      </c>
      <c r="BL295" s="16">
        <f>IFERROR(__xludf.DUMMYFUNCTION("""COMPUTED_VALUE"""),-1.0)</f>
        <v>-1</v>
      </c>
      <c r="BM295" s="16">
        <f>IFERROR(__xludf.DUMMYFUNCTION("""COMPUTED_VALUE"""),-2.0)</f>
        <v>-2</v>
      </c>
      <c r="BN295" s="16">
        <f>IFERROR(__xludf.DUMMYFUNCTION("""COMPUTED_VALUE"""),-2.0)</f>
        <v>-2</v>
      </c>
      <c r="BO295" s="16">
        <f>IFERROR(__xludf.DUMMYFUNCTION("""COMPUTED_VALUE"""),-4.0)</f>
        <v>-4</v>
      </c>
      <c r="BP295" s="16">
        <f>IFERROR(__xludf.DUMMYFUNCTION("""COMPUTED_VALUE"""),-2.0)</f>
        <v>-2</v>
      </c>
      <c r="BQ295" s="16">
        <f>IFERROR(__xludf.DUMMYFUNCTION("""COMPUTED_VALUE"""),-6.0)</f>
        <v>-6</v>
      </c>
      <c r="BR295" s="16">
        <f>IFERROR(__xludf.DUMMYFUNCTION("""COMPUTED_VALUE"""),-8.0)</f>
        <v>-8</v>
      </c>
      <c r="BS295" s="16" t="str">
        <f>IFERROR(__xludf.DUMMYFUNCTION("""COMPUTED_VALUE"""),"3/12 (13-5)")</f>
        <v>3/12 (13-5)</v>
      </c>
      <c r="BT295" s="16" t="str">
        <f>IFERROR(__xludf.DUMMYFUNCTION("""COMPUTED_VALUE"""),"E")</f>
        <v>E</v>
      </c>
      <c r="BU295" s="16">
        <f>IFERROR(__xludf.DUMMYFUNCTION("""COMPUTED_VALUE"""),9.0)</f>
        <v>9</v>
      </c>
      <c r="BV295" s="16">
        <f>IFERROR(__xludf.DUMMYFUNCTION("""COMPUTED_VALUE"""),0.0)</f>
        <v>0</v>
      </c>
      <c r="BW295" s="16">
        <f>IFERROR(__xludf.DUMMYFUNCTION("""COMPUTED_VALUE"""),-1.0)</f>
        <v>-1</v>
      </c>
      <c r="BX295" s="16">
        <f>IFERROR(__xludf.DUMMYFUNCTION("""COMPUTED_VALUE"""),0.0)</f>
        <v>0</v>
      </c>
      <c r="BY295" s="16">
        <f>IFERROR(__xludf.DUMMYFUNCTION("""COMPUTED_VALUE"""),-3.0)</f>
        <v>-3</v>
      </c>
      <c r="BZ295" s="16" t="str">
        <f>IFERROR(__xludf.DUMMYFUNCTION("""COMPUTED_VALUE"""),"D")</f>
        <v>D</v>
      </c>
      <c r="CA295" s="16" t="str">
        <f>IFERROR(__xludf.DUMMYFUNCTION("""COMPUTED_VALUE"""),"D")</f>
        <v>D</v>
      </c>
      <c r="CB295" s="16">
        <f>IFERROR(__xludf.DUMMYFUNCTION("""COMPUTED_VALUE"""),0.0)</f>
        <v>0</v>
      </c>
      <c r="CC295" s="16">
        <f>IFERROR(__xludf.DUMMYFUNCTION("""COMPUTED_VALUE"""),0.0)</f>
        <v>0</v>
      </c>
      <c r="CD295" s="16">
        <f>IFERROR(__xludf.DUMMYFUNCTION("""COMPUTED_VALUE"""),0.0)</f>
        <v>0</v>
      </c>
      <c r="CE295" s="16">
        <f>IFERROR(__xludf.DUMMYFUNCTION("""COMPUTED_VALUE"""),0.0)</f>
        <v>0</v>
      </c>
      <c r="CF295" s="16">
        <f>IFERROR(__xludf.DUMMYFUNCTION("""COMPUTED_VALUE"""),1.0)</f>
        <v>1</v>
      </c>
      <c r="CG295" s="16">
        <f>IFERROR(__xludf.DUMMYFUNCTION("""COMPUTED_VALUE"""),-9.0)</f>
        <v>-9</v>
      </c>
      <c r="CH295" s="16">
        <f>IFERROR(__xludf.DUMMYFUNCTION("""COMPUTED_VALUE"""),-16.0)</f>
        <v>-16</v>
      </c>
      <c r="CI295" s="179">
        <f>IFERROR(__xludf.DUMMYFUNCTION("""COMPUTED_VALUE"""),-9.0)</f>
        <v>-9</v>
      </c>
      <c r="CJ295" s="16"/>
      <c r="CK295" s="16">
        <f>IFERROR(__xludf.DUMMYFUNCTION("""COMPUTED_VALUE"""),406.0)</f>
        <v>406</v>
      </c>
      <c r="CL295" s="16">
        <f>IFERROR(__xludf.DUMMYFUNCTION("""COMPUTED_VALUE"""),441.0)</f>
        <v>441</v>
      </c>
      <c r="CM295" s="16"/>
      <c r="CN295" s="16"/>
      <c r="CO295" s="16"/>
      <c r="CP295" s="16"/>
      <c r="CQ295" s="16"/>
      <c r="CR295" s="16" t="str">
        <f>IFERROR(__xludf.DUMMYFUNCTION("""COMPUTED_VALUE"""),"1b-4e6 2b-4e41")</f>
        <v>1b-4e6 2b-4e41</v>
      </c>
      <c r="CS295" s="16"/>
      <c r="CT295" s="16">
        <f>IFERROR(__xludf.DUMMYFUNCTION("""COMPUTED_VALUE"""),4.0)</f>
        <v>4</v>
      </c>
      <c r="CU295" s="16">
        <f>IFERROR(__xludf.DUMMYFUNCTION("""COMPUTED_VALUE"""),4.0)</f>
        <v>4</v>
      </c>
      <c r="CV295" s="16"/>
      <c r="CW295" s="16"/>
      <c r="CX295" s="16"/>
      <c r="CY295" s="16"/>
      <c r="CZ295" s="16"/>
      <c r="DA295" s="16"/>
      <c r="DB295" s="16">
        <f>IFERROR(__xludf.DUMMYFUNCTION("""COMPUTED_VALUE"""),6.0)</f>
        <v>6</v>
      </c>
      <c r="DC295" s="16">
        <f>IFERROR(__xludf.DUMMYFUNCTION("""COMPUTED_VALUE"""),41.0)</f>
        <v>41</v>
      </c>
      <c r="DD295" s="16"/>
      <c r="DE295" s="16"/>
      <c r="DF295" s="16"/>
      <c r="DG295" s="16"/>
      <c r="DH295" s="16"/>
      <c r="DI295" s="16"/>
      <c r="DJ295" s="16">
        <f>IFERROR(__xludf.DUMMYFUNCTION("""COMPUTED_VALUE"""),0.0)</f>
        <v>0</v>
      </c>
      <c r="DK295" s="16">
        <f>IFERROR(__xludf.DUMMYFUNCTION("""COMPUTED_VALUE"""),-2.0)</f>
        <v>-2</v>
      </c>
      <c r="DL295" s="16"/>
      <c r="DM295" s="16"/>
      <c r="DN295" s="16"/>
      <c r="DO295" s="16"/>
      <c r="DP295" s="16"/>
      <c r="DQ295" s="16"/>
      <c r="DR295" s="16">
        <f>IFERROR(__xludf.DUMMYFUNCTION("""COMPUTED_VALUE"""),2.0)</f>
        <v>2</v>
      </c>
      <c r="DS295" s="16">
        <f>IFERROR(__xludf.DUMMYFUNCTION("""COMPUTED_VALUE"""),-2.0)</f>
        <v>-2</v>
      </c>
      <c r="DT295" s="16"/>
      <c r="DU295" s="16"/>
      <c r="DV295" s="16"/>
      <c r="DW295" s="16"/>
      <c r="DX295" s="16"/>
      <c r="DY295" s="16"/>
      <c r="DZ295" s="16">
        <f>IFERROR(__xludf.DUMMYFUNCTION("""COMPUTED_VALUE"""),2.0)</f>
        <v>2</v>
      </c>
      <c r="EA295" s="16">
        <f>IFERROR(__xludf.DUMMYFUNCTION("""COMPUTED_VALUE"""),-4.0)</f>
        <v>-4</v>
      </c>
      <c r="EB295" s="16"/>
      <c r="EC295" s="16"/>
      <c r="ED295" s="16"/>
      <c r="EE295" s="16"/>
      <c r="EF295" s="16"/>
      <c r="EG295" s="179"/>
      <c r="EH295" s="179">
        <f>IFERROR(__xludf.DUMMYFUNCTION("""COMPUTED_VALUE"""),-7.0)</f>
        <v>-7</v>
      </c>
      <c r="EI295" s="179">
        <f>IFERROR(__xludf.DUMMYFUNCTION("""COMPUTED_VALUE"""),-13.0)</f>
        <v>-13</v>
      </c>
      <c r="EJ295" s="179"/>
      <c r="EK295" s="179"/>
      <c r="EL295" s="179"/>
      <c r="EM295" s="179"/>
      <c r="EN295" s="179"/>
      <c r="EO295" s="16"/>
      <c r="EP295" s="16"/>
      <c r="EQ295" s="16">
        <f>IFERROR(__xludf.DUMMYFUNCTION("""COMPUTED_VALUE"""),4.0)</f>
        <v>4</v>
      </c>
      <c r="ER295" s="16">
        <f>IFERROR(__xludf.DUMMYFUNCTION("""COMPUTED_VALUE"""),2.0)</f>
        <v>2</v>
      </c>
      <c r="ES295" s="16"/>
      <c r="ET295" s="16"/>
      <c r="EU295" s="16"/>
      <c r="EV295" s="16"/>
      <c r="EW295" s="16"/>
      <c r="EX295" s="180"/>
      <c r="EY295" s="180">
        <f>IFERROR(__xludf.DUMMYFUNCTION("""COMPUTED_VALUE"""),0.3)</f>
        <v>0.3</v>
      </c>
      <c r="EZ295" s="180">
        <f>IFERROR(__xludf.DUMMYFUNCTION("""COMPUTED_VALUE"""),0.3)</f>
        <v>0.3</v>
      </c>
      <c r="FA295" s="180"/>
      <c r="FB295" s="180"/>
      <c r="FC295" s="180"/>
      <c r="FD295" s="180"/>
      <c r="FE295" s="180"/>
      <c r="FF295" s="180"/>
      <c r="FG295" s="180">
        <f>IFERROR(__xludf.DUMMYFUNCTION("""COMPUTED_VALUE"""),0.10648148148148148)</f>
        <v>0.1064814815</v>
      </c>
      <c r="FH295" s="180">
        <f>IFERROR(__xludf.DUMMYFUNCTION("""COMPUTED_VALUE"""),0.24537037037037038)</f>
        <v>0.2453703704</v>
      </c>
      <c r="FI295" s="180"/>
      <c r="FJ295" s="180"/>
      <c r="FK295" s="180"/>
      <c r="FL295" s="180"/>
      <c r="FM295" s="180"/>
      <c r="FN295" s="16"/>
      <c r="FO295" s="16">
        <f>IFERROR(__xludf.DUMMYFUNCTION("""COMPUTED_VALUE"""),0.6254629629629629)</f>
        <v>0.625462963</v>
      </c>
      <c r="FP295" s="16">
        <f>IFERROR(__xludf.DUMMYFUNCTION("""COMPUTED_VALUE"""),0.5282407407407407)</f>
        <v>0.5282407407</v>
      </c>
      <c r="FQ295" s="16"/>
      <c r="FR295" s="16"/>
      <c r="FS295" s="16"/>
      <c r="FT295" s="16"/>
      <c r="FU295" s="16"/>
      <c r="FV295" s="16"/>
      <c r="FW295" s="16">
        <f>IFERROR(__xludf.DUMMYFUNCTION("""COMPUTED_VALUE"""),-6.0)</f>
        <v>-6</v>
      </c>
      <c r="FX295" s="16">
        <f>IFERROR(__xludf.DUMMYFUNCTION("""COMPUTED_VALUE"""),-8.0)</f>
        <v>-8</v>
      </c>
      <c r="FY295" s="16"/>
      <c r="FZ295" s="16"/>
      <c r="GA295" s="16"/>
      <c r="GB295" s="16"/>
      <c r="GC295" s="16"/>
      <c r="GD295" s="16" t="s">
        <v>176</v>
      </c>
    </row>
    <row r="296">
      <c r="A296" s="16">
        <f>IFERROR(__xludf.DUMMYFUNCTION("""COMPUTED_VALUE"""),13510.0)</f>
        <v>13510</v>
      </c>
      <c r="B296" s="16" t="str">
        <f>IFERROR(__xludf.DUMMYFUNCTION("""COMPUTED_VALUE"""),"Yuli Gurriel")</f>
        <v>Yuli Gurriel</v>
      </c>
      <c r="C296" s="16">
        <f>IFERROR(__xludf.DUMMYFUNCTION("""COMPUTED_VALUE"""),0.27)</f>
        <v>0.27</v>
      </c>
      <c r="D296" s="16" t="str">
        <f>IFERROR(__xludf.DUMMYFUNCTION("""COMPUTED_VALUE"""),"R")</f>
        <v>R</v>
      </c>
      <c r="E296" s="16"/>
      <c r="F296" s="16"/>
      <c r="G296" s="16">
        <f>IFERROR(__xludf.DUMMYFUNCTION("""COMPUTED_VALUE"""),54.0)</f>
        <v>54</v>
      </c>
      <c r="H296" s="16">
        <f>IFERROR(__xludf.DUMMYFUNCTION("""COMPUTED_VALUE"""),9.0)</f>
        <v>9</v>
      </c>
      <c r="I296" s="16" t="str">
        <f>IFERROR(__xludf.DUMMYFUNCTION("""COMPUTED_VALUE"""),"1p20")</f>
        <v>1p20</v>
      </c>
      <c r="J296" s="16">
        <f>IFERROR(__xludf.DUMMYFUNCTION("""COMPUTED_VALUE"""),33.0)</f>
        <v>33</v>
      </c>
      <c r="K296" s="16">
        <f>IFERROR(__xludf.DUMMYFUNCTION("""COMPUTED_VALUE"""),21.0)</f>
        <v>21</v>
      </c>
      <c r="L296" s="16">
        <f>IFERROR(__xludf.DUMMYFUNCTION("""COMPUTED_VALUE"""),-1.0)</f>
        <v>-1</v>
      </c>
      <c r="M296" s="16">
        <f>IFERROR(__xludf.DUMMYFUNCTION("""COMPUTED_VALUE"""),0.0)</f>
        <v>0</v>
      </c>
      <c r="N296" s="16">
        <f>IFERROR(__xludf.DUMMYFUNCTION("""COMPUTED_VALUE"""),-1.0)</f>
        <v>-1</v>
      </c>
      <c r="O296" s="16">
        <f>IFERROR(__xludf.DUMMYFUNCTION("""COMPUTED_VALUE"""),0.0)</f>
        <v>0</v>
      </c>
      <c r="P296" s="16">
        <f>IFERROR(__xludf.DUMMYFUNCTION("""COMPUTED_VALUE"""),33.0)</f>
        <v>33</v>
      </c>
      <c r="Q296" s="16">
        <f>IFERROR(__xludf.DUMMYFUNCTION("""COMPUTED_VALUE"""),15.0)</f>
        <v>15</v>
      </c>
      <c r="R296" s="16">
        <f>IFERROR(__xludf.DUMMYFUNCTION("""COMPUTED_VALUE"""),3.0)</f>
        <v>3</v>
      </c>
      <c r="S296" s="16">
        <f>IFERROR(__xludf.DUMMYFUNCTION("""COMPUTED_VALUE"""),2.0)</f>
        <v>2</v>
      </c>
      <c r="T296" s="16">
        <f>IFERROR(__xludf.DUMMYFUNCTION("""COMPUTED_VALUE"""),3.0)</f>
        <v>3</v>
      </c>
      <c r="U296" s="16">
        <f>IFERROR(__xludf.DUMMYFUNCTION("""COMPUTED_VALUE"""),2.0)</f>
        <v>2</v>
      </c>
      <c r="V296" s="16">
        <f>IFERROR(__xludf.DUMMYFUNCTION("""COMPUTED_VALUE"""),4.4)</f>
        <v>4.4</v>
      </c>
      <c r="W296" s="16">
        <f>IFERROR(__xludf.DUMMYFUNCTION("""COMPUTED_VALUE"""),23.7)</f>
        <v>23.7</v>
      </c>
      <c r="X296" s="16">
        <f>IFERROR(__xludf.DUMMYFUNCTION("""COMPUTED_VALUE"""),-2.0)</f>
        <v>-2</v>
      </c>
      <c r="Y296" s="16">
        <f>IFERROR(__xludf.DUMMYFUNCTION("""COMPUTED_VALUE"""),1.0)</f>
        <v>1</v>
      </c>
      <c r="Z296" s="16">
        <f>IFERROR(__xludf.DUMMYFUNCTION("""COMPUTED_VALUE"""),-4.0)</f>
        <v>-4</v>
      </c>
      <c r="AA296" s="16">
        <f>IFERROR(__xludf.DUMMYFUNCTION("""COMPUTED_VALUE"""),2.0)</f>
        <v>2</v>
      </c>
      <c r="AB296" s="16">
        <f>IFERROR(__xludf.DUMMYFUNCTION("""COMPUTED_VALUE"""),37.5)</f>
        <v>37.5</v>
      </c>
      <c r="AC296" s="16">
        <f>IFERROR(__xludf.DUMMYFUNCTION("""COMPUTED_VALUE"""),38.7)</f>
        <v>38.7</v>
      </c>
      <c r="AD296" s="16">
        <f>IFERROR(__xludf.DUMMYFUNCTION("""COMPUTED_VALUE"""),1.0)</f>
        <v>1</v>
      </c>
      <c r="AE296" s="16">
        <f>IFERROR(__xludf.DUMMYFUNCTION("""COMPUTED_VALUE"""),1.0)</f>
        <v>1</v>
      </c>
      <c r="AF296" s="16">
        <f>IFERROR(__xludf.DUMMYFUNCTION("""COMPUTED_VALUE"""),5.0)</f>
        <v>5</v>
      </c>
      <c r="AG296" s="16">
        <f>IFERROR(__xludf.DUMMYFUNCTION("""COMPUTED_VALUE"""),5.0)</f>
        <v>5</v>
      </c>
      <c r="AH296" s="16">
        <f>IFERROR(__xludf.DUMMYFUNCTION("""COMPUTED_VALUE"""),7.4)</f>
        <v>7.4</v>
      </c>
      <c r="AI296" s="16">
        <f>IFERROR(__xludf.DUMMYFUNCTION("""COMPUTED_VALUE"""),30.3)</f>
        <v>30.3</v>
      </c>
      <c r="AJ296" s="16">
        <f>IFERROR(__xludf.DUMMYFUNCTION("""COMPUTED_VALUE"""),-2.0)</f>
        <v>-2</v>
      </c>
      <c r="AK296" s="16">
        <f>IFERROR(__xludf.DUMMYFUNCTION("""COMPUTED_VALUE"""),0.0)</f>
        <v>0</v>
      </c>
      <c r="AL296" s="16">
        <f>IFERROR(__xludf.DUMMYFUNCTION("""COMPUTED_VALUE"""),-10.0)</f>
        <v>-10</v>
      </c>
      <c r="AM296" s="16">
        <f>IFERROR(__xludf.DUMMYFUNCTION("""COMPUTED_VALUE"""),0.0)</f>
        <v>0</v>
      </c>
      <c r="AN296" s="16">
        <f>IFERROR(__xludf.DUMMYFUNCTION("""COMPUTED_VALUE"""),0.0)</f>
        <v>0</v>
      </c>
      <c r="AO296" s="16">
        <f>IFERROR(__xludf.DUMMYFUNCTION("""COMPUTED_VALUE"""),0.0)</f>
        <v>0</v>
      </c>
      <c r="AP296" s="16">
        <f>IFERROR(__xludf.DUMMYFUNCTION("""COMPUTED_VALUE"""),-2.0)</f>
        <v>-2</v>
      </c>
      <c r="AQ296" s="16">
        <f>IFERROR(__xludf.DUMMYFUNCTION("""COMPUTED_VALUE"""),-3.0)</f>
        <v>-3</v>
      </c>
      <c r="AR296" s="16">
        <f>IFERROR(__xludf.DUMMYFUNCTION("""COMPUTED_VALUE"""),-4.0)</f>
        <v>-4</v>
      </c>
      <c r="AS296" s="16">
        <f>IFERROR(__xludf.DUMMYFUNCTION("""COMPUTED_VALUE"""),-6.0)</f>
        <v>-6</v>
      </c>
      <c r="AT296" s="16"/>
      <c r="AU296" s="16"/>
      <c r="AV296" s="16">
        <f>IFERROR(__xludf.DUMMYFUNCTION("""COMPUTED_VALUE"""),-3.0)</f>
        <v>-3</v>
      </c>
      <c r="AW296" s="16">
        <f>IFERROR(__xludf.DUMMYFUNCTION("""COMPUTED_VALUE"""),-3.0)</f>
        <v>-3</v>
      </c>
      <c r="AX296" s="16">
        <f>IFERROR(__xludf.DUMMYFUNCTION("""COMPUTED_VALUE"""),-3.0)</f>
        <v>-3</v>
      </c>
      <c r="AY296" s="16">
        <f>IFERROR(__xludf.DUMMYFUNCTION("""COMPUTED_VALUE"""),-3.0)</f>
        <v>-3</v>
      </c>
      <c r="AZ296" s="16">
        <f>IFERROR(__xludf.DUMMYFUNCTION("""COMPUTED_VALUE"""),-9.0)</f>
        <v>-9</v>
      </c>
      <c r="BA296" s="16">
        <f>IFERROR(__xludf.DUMMYFUNCTION("""COMPUTED_VALUE"""),-9.0)</f>
        <v>-9</v>
      </c>
      <c r="BB296" s="16">
        <f>IFERROR(__xludf.DUMMYFUNCTION("""COMPUTED_VALUE"""),5.0)</f>
        <v>5</v>
      </c>
      <c r="BC296" s="16">
        <f>IFERROR(__xludf.DUMMYFUNCTION("""COMPUTED_VALUE"""),5.0)</f>
        <v>5</v>
      </c>
      <c r="BD296" s="16">
        <f>IFERROR(__xludf.DUMMYFUNCTION("""COMPUTED_VALUE"""),1.0)</f>
        <v>1</v>
      </c>
      <c r="BE296" s="16">
        <f>IFERROR(__xludf.DUMMYFUNCTION("""COMPUTED_VALUE"""),1.0)</f>
        <v>1</v>
      </c>
      <c r="BF296" s="16">
        <f>IFERROR(__xludf.DUMMYFUNCTION("""COMPUTED_VALUE"""),1.0)</f>
        <v>1</v>
      </c>
      <c r="BG296" s="16">
        <f>IFERROR(__xludf.DUMMYFUNCTION("""COMPUTED_VALUE"""),1.0)</f>
        <v>1</v>
      </c>
      <c r="BH296" s="16">
        <f>IFERROR(__xludf.DUMMYFUNCTION("""COMPUTED_VALUE"""),0.0)</f>
        <v>0</v>
      </c>
      <c r="BI296" s="16">
        <f>IFERROR(__xludf.DUMMYFUNCTION("""COMPUTED_VALUE"""),4.0)</f>
        <v>4</v>
      </c>
      <c r="BJ296" s="16">
        <f>IFERROR(__xludf.DUMMYFUNCTION("""COMPUTED_VALUE"""),9.0)</f>
        <v>9</v>
      </c>
      <c r="BK296" s="16">
        <f>IFERROR(__xludf.DUMMYFUNCTION("""COMPUTED_VALUE"""),13.0)</f>
        <v>13</v>
      </c>
      <c r="BL296" s="16">
        <f>IFERROR(__xludf.DUMMYFUNCTION("""COMPUTED_VALUE"""),0.0)</f>
        <v>0</v>
      </c>
      <c r="BM296" s="16">
        <f>IFERROR(__xludf.DUMMYFUNCTION("""COMPUTED_VALUE"""),0.0)</f>
        <v>0</v>
      </c>
      <c r="BN296" s="16">
        <f>IFERROR(__xludf.DUMMYFUNCTION("""COMPUTED_VALUE"""),0.0)</f>
        <v>0</v>
      </c>
      <c r="BO296" s="16">
        <f>IFERROR(__xludf.DUMMYFUNCTION("""COMPUTED_VALUE"""),0.0)</f>
        <v>0</v>
      </c>
      <c r="BP296" s="16">
        <f>IFERROR(__xludf.DUMMYFUNCTION("""COMPUTED_VALUE"""),-5.0)</f>
        <v>-5</v>
      </c>
      <c r="BQ296" s="16">
        <f>IFERROR(__xludf.DUMMYFUNCTION("""COMPUTED_VALUE"""),-1.0)</f>
        <v>-1</v>
      </c>
      <c r="BR296" s="16">
        <f>IFERROR(__xludf.DUMMYFUNCTION("""COMPUTED_VALUE"""),-6.0)</f>
        <v>-6</v>
      </c>
      <c r="BS296" s="16" t="str">
        <f>IFERROR(__xludf.DUMMYFUNCTION("""COMPUTED_VALUE"""),"3/- (20-6)")</f>
        <v>3/- (20-6)</v>
      </c>
      <c r="BT296" s="16" t="str">
        <f>IFERROR(__xludf.DUMMYFUNCTION("""COMPUTED_VALUE"""),"D")</f>
        <v>D</v>
      </c>
      <c r="BU296" s="16">
        <f>IFERROR(__xludf.DUMMYFUNCTION("""COMPUTED_VALUE"""),10.0)</f>
        <v>10</v>
      </c>
      <c r="BV296" s="16">
        <f>IFERROR(__xludf.DUMMYFUNCTION("""COMPUTED_VALUE"""),0.0)</f>
        <v>0</v>
      </c>
      <c r="BW296" s="16">
        <f>IFERROR(__xludf.DUMMYFUNCTION("""COMPUTED_VALUE"""),0.0)</f>
        <v>0</v>
      </c>
      <c r="BX296" s="16">
        <f>IFERROR(__xludf.DUMMYFUNCTION("""COMPUTED_VALUE"""),0.0)</f>
        <v>0</v>
      </c>
      <c r="BY296" s="16">
        <f>IFERROR(__xludf.DUMMYFUNCTION("""COMPUTED_VALUE"""),0.0)</f>
        <v>0</v>
      </c>
      <c r="BZ296" s="16" t="str">
        <f>IFERROR(__xludf.DUMMYFUNCTION("""COMPUTED_VALUE"""),"D")</f>
        <v>D</v>
      </c>
      <c r="CA296" s="16" t="str">
        <f>IFERROR(__xludf.DUMMYFUNCTION("""COMPUTED_VALUE"""),"D")</f>
        <v>D</v>
      </c>
      <c r="CB296" s="16">
        <f>IFERROR(__xludf.DUMMYFUNCTION("""COMPUTED_VALUE"""),0.0)</f>
        <v>0</v>
      </c>
      <c r="CC296" s="16">
        <f>IFERROR(__xludf.DUMMYFUNCTION("""COMPUTED_VALUE"""),0.0)</f>
        <v>0</v>
      </c>
      <c r="CD296" s="16">
        <f>IFERROR(__xludf.DUMMYFUNCTION("""COMPUTED_VALUE"""),0.0)</f>
        <v>0</v>
      </c>
      <c r="CE296" s="16">
        <f>IFERROR(__xludf.DUMMYFUNCTION("""COMPUTED_VALUE"""),0.0)</f>
        <v>0</v>
      </c>
      <c r="CF296" s="16">
        <f>IFERROR(__xludf.DUMMYFUNCTION("""COMPUTED_VALUE"""),1.0)</f>
        <v>1</v>
      </c>
      <c r="CG296" s="16">
        <f>IFERROR(__xludf.DUMMYFUNCTION("""COMPUTED_VALUE"""),-19.0)</f>
        <v>-19</v>
      </c>
      <c r="CH296" s="16">
        <f>IFERROR(__xludf.DUMMYFUNCTION("""COMPUTED_VALUE"""),-5.0)</f>
        <v>-5</v>
      </c>
      <c r="CI296" s="179">
        <f>IFERROR(__xludf.DUMMYFUNCTION("""COMPUTED_VALUE"""),-9.0)</f>
        <v>-9</v>
      </c>
      <c r="CJ296" s="16"/>
      <c r="CK296" s="16">
        <f>IFERROR(__xludf.DUMMYFUNCTION("""COMPUTED_VALUE"""),304.0)</f>
        <v>304</v>
      </c>
      <c r="CL296" s="16"/>
      <c r="CM296" s="16"/>
      <c r="CN296" s="16"/>
      <c r="CO296" s="16"/>
      <c r="CP296" s="16"/>
      <c r="CQ296" s="16"/>
      <c r="CR296" s="16" t="str">
        <f>IFERROR(__xludf.DUMMYFUNCTION("""COMPUTED_VALUE"""),"1b-3e4")</f>
        <v>1b-3e4</v>
      </c>
      <c r="CS296" s="16"/>
      <c r="CT296" s="16">
        <f>IFERROR(__xludf.DUMMYFUNCTION("""COMPUTED_VALUE"""),3.0)</f>
        <v>3</v>
      </c>
      <c r="CU296" s="16"/>
      <c r="CV296" s="16"/>
      <c r="CW296" s="16"/>
      <c r="CX296" s="16"/>
      <c r="CY296" s="16"/>
      <c r="CZ296" s="16"/>
      <c r="DA296" s="16"/>
      <c r="DB296" s="16">
        <f>IFERROR(__xludf.DUMMYFUNCTION("""COMPUTED_VALUE"""),4.0)</f>
        <v>4</v>
      </c>
      <c r="DC296" s="16"/>
      <c r="DD296" s="16"/>
      <c r="DE296" s="16"/>
      <c r="DF296" s="16"/>
      <c r="DG296" s="16"/>
      <c r="DH296" s="16"/>
      <c r="DI296" s="16"/>
      <c r="DJ296" s="16">
        <f>IFERROR(__xludf.DUMMYFUNCTION("""COMPUTED_VALUE"""),1.0)</f>
        <v>1</v>
      </c>
      <c r="DK296" s="16"/>
      <c r="DL296" s="16"/>
      <c r="DM296" s="16"/>
      <c r="DN296" s="16"/>
      <c r="DO296" s="16"/>
      <c r="DP296" s="16"/>
      <c r="DQ296" s="16"/>
      <c r="DR296" s="16">
        <f>IFERROR(__xludf.DUMMYFUNCTION("""COMPUTED_VALUE"""),4.0)</f>
        <v>4</v>
      </c>
      <c r="DS296" s="16"/>
      <c r="DT296" s="16"/>
      <c r="DU296" s="16"/>
      <c r="DV296" s="16"/>
      <c r="DW296" s="16"/>
      <c r="DX296" s="16"/>
      <c r="DY296" s="16"/>
      <c r="DZ296" s="16">
        <f>IFERROR(__xludf.DUMMYFUNCTION("""COMPUTED_VALUE"""),5.0)</f>
        <v>5</v>
      </c>
      <c r="EA296" s="16"/>
      <c r="EB296" s="16"/>
      <c r="EC296" s="16"/>
      <c r="ED296" s="16"/>
      <c r="EE296" s="16"/>
      <c r="EF296" s="16"/>
      <c r="EG296" s="179"/>
      <c r="EH296" s="179">
        <f>IFERROR(__xludf.DUMMYFUNCTION("""COMPUTED_VALUE"""),-4.0)</f>
        <v>-4</v>
      </c>
      <c r="EI296" s="179"/>
      <c r="EJ296" s="179"/>
      <c r="EK296" s="179"/>
      <c r="EL296" s="179"/>
      <c r="EM296" s="179"/>
      <c r="EN296" s="179"/>
      <c r="EO296" s="16"/>
      <c r="EP296" s="16">
        <f>IFERROR(__xludf.DUMMYFUNCTION("""COMPUTED_VALUE"""),-2.0)</f>
        <v>-2</v>
      </c>
      <c r="EQ296" s="16">
        <f>IFERROR(__xludf.DUMMYFUNCTION("""COMPUTED_VALUE"""),4.0)</f>
        <v>4</v>
      </c>
      <c r="ER296" s="16">
        <f>IFERROR(__xludf.DUMMYFUNCTION("""COMPUTED_VALUE"""),-4.0)</f>
        <v>-4</v>
      </c>
      <c r="ES296" s="16"/>
      <c r="ET296" s="16"/>
      <c r="EU296" s="16"/>
      <c r="EV296" s="16"/>
      <c r="EW296" s="16"/>
      <c r="EX296" s="180"/>
      <c r="EY296" s="180">
        <f>IFERROR(__xludf.DUMMYFUNCTION("""COMPUTED_VALUE"""),0.2)</f>
        <v>0.2</v>
      </c>
      <c r="EZ296" s="180"/>
      <c r="FA296" s="180"/>
      <c r="FB296" s="180"/>
      <c r="FC296" s="180"/>
      <c r="FD296" s="180"/>
      <c r="FE296" s="180"/>
      <c r="FF296" s="180"/>
      <c r="FG296" s="180">
        <f>IFERROR(__xludf.DUMMYFUNCTION("""COMPUTED_VALUE"""),0.07407407407407407)</f>
        <v>0.07407407407</v>
      </c>
      <c r="FH296" s="180"/>
      <c r="FI296" s="180"/>
      <c r="FJ296" s="180"/>
      <c r="FK296" s="180"/>
      <c r="FL296" s="180"/>
      <c r="FM296" s="180"/>
      <c r="FN296" s="16"/>
      <c r="FO296" s="16">
        <f>IFERROR(__xludf.DUMMYFUNCTION("""COMPUTED_VALUE"""),0.7407407407407408)</f>
        <v>0.7407407407</v>
      </c>
      <c r="FP296" s="16"/>
      <c r="FQ296" s="16"/>
      <c r="FR296" s="16"/>
      <c r="FS296" s="16"/>
      <c r="FT296" s="16"/>
      <c r="FU296" s="16"/>
      <c r="FV296" s="16"/>
      <c r="FW296" s="16">
        <f>IFERROR(__xludf.DUMMYFUNCTION("""COMPUTED_VALUE"""),-4.0)</f>
        <v>-4</v>
      </c>
      <c r="FX296" s="16"/>
      <c r="FY296" s="16"/>
      <c r="FZ296" s="16"/>
      <c r="GA296" s="16"/>
      <c r="GB296" s="16"/>
      <c r="GC296" s="16"/>
      <c r="GD296" s="16" t="s">
        <v>176</v>
      </c>
    </row>
    <row r="297">
      <c r="A297" s="16">
        <f>IFERROR(__xludf.DUMMYFUNCTION("""COMPUTED_VALUE"""),13420.0)</f>
        <v>13420</v>
      </c>
      <c r="B297" s="16" t="str">
        <f>IFERROR(__xludf.DUMMYFUNCTION("""COMPUTED_VALUE"""),"Tommy Edman")</f>
        <v>Tommy Edman</v>
      </c>
      <c r="C297" s="16">
        <f>IFERROR(__xludf.DUMMYFUNCTION("""COMPUTED_VALUE"""),1.71)</f>
        <v>1.71</v>
      </c>
      <c r="D297" s="16" t="str">
        <f>IFERROR(__xludf.DUMMYFUNCTION("""COMPUTED_VALUE"""),"S")</f>
        <v>S</v>
      </c>
      <c r="E297" s="16"/>
      <c r="F297" s="16"/>
      <c r="G297" s="16">
        <f>IFERROR(__xludf.DUMMYFUNCTION("""COMPUTED_VALUE"""),139.0)</f>
        <v>139</v>
      </c>
      <c r="H297" s="16">
        <f>IFERROR(__xludf.DUMMYFUNCTION("""COMPUTED_VALUE"""),11.0)</f>
        <v>11</v>
      </c>
      <c r="I297" s="16" t="str">
        <f>IFERROR(__xludf.DUMMYFUNCTION("""COMPUTED_VALUE"""),"5p20")</f>
        <v>5p20</v>
      </c>
      <c r="J297" s="16">
        <f>IFERROR(__xludf.DUMMYFUNCTION("""COMPUTED_VALUE"""),12.0)</f>
        <v>12</v>
      </c>
      <c r="K297" s="16">
        <f>IFERROR(__xludf.DUMMYFUNCTION("""COMPUTED_VALUE"""),21.0)</f>
        <v>21</v>
      </c>
      <c r="L297" s="16">
        <f>IFERROR(__xludf.DUMMYFUNCTION("""COMPUTED_VALUE"""),1.0)</f>
        <v>1</v>
      </c>
      <c r="M297" s="16">
        <f>IFERROR(__xludf.DUMMYFUNCTION("""COMPUTED_VALUE"""),0.0)</f>
        <v>0</v>
      </c>
      <c r="N297" s="16">
        <f>IFERROR(__xludf.DUMMYFUNCTION("""COMPUTED_VALUE"""),1.0)</f>
        <v>1</v>
      </c>
      <c r="O297" s="16">
        <f>IFERROR(__xludf.DUMMYFUNCTION("""COMPUTED_VALUE"""),0.0)</f>
        <v>0</v>
      </c>
      <c r="P297" s="16">
        <f>IFERROR(__xludf.DUMMYFUNCTION("""COMPUTED_VALUE"""),0.0)</f>
        <v>0</v>
      </c>
      <c r="Q297" s="16">
        <f>IFERROR(__xludf.DUMMYFUNCTION("""COMPUTED_VALUE"""),9.0)</f>
        <v>9</v>
      </c>
      <c r="R297" s="16">
        <f>IFERROR(__xludf.DUMMYFUNCTION("""COMPUTED_VALUE"""),-3.0)</f>
        <v>-3</v>
      </c>
      <c r="S297" s="16">
        <f>IFERROR(__xludf.DUMMYFUNCTION("""COMPUTED_VALUE"""),0.0)</f>
        <v>0</v>
      </c>
      <c r="T297" s="16">
        <f>IFERROR(__xludf.DUMMYFUNCTION("""COMPUTED_VALUE"""),-3.0)</f>
        <v>-3</v>
      </c>
      <c r="U297" s="16">
        <f>IFERROR(__xludf.DUMMYFUNCTION("""COMPUTED_VALUE"""),0.0)</f>
        <v>0</v>
      </c>
      <c r="V297" s="16">
        <f>IFERROR(__xludf.DUMMYFUNCTION("""COMPUTED_VALUE"""),28.9)</f>
        <v>28.9</v>
      </c>
      <c r="W297" s="16">
        <f>IFERROR(__xludf.DUMMYFUNCTION("""COMPUTED_VALUE"""),14.4)</f>
        <v>14.4</v>
      </c>
      <c r="X297" s="16">
        <f>IFERROR(__xludf.DUMMYFUNCTION("""COMPUTED_VALUE"""),1.0)</f>
        <v>1</v>
      </c>
      <c r="Y297" s="16">
        <f>IFERROR(__xludf.DUMMYFUNCTION("""COMPUTED_VALUE"""),-1.0)</f>
        <v>-1</v>
      </c>
      <c r="Z297" s="16">
        <f>IFERROR(__xludf.DUMMYFUNCTION("""COMPUTED_VALUE"""),2.0)</f>
        <v>2</v>
      </c>
      <c r="AA297" s="16">
        <f>IFERROR(__xludf.DUMMYFUNCTION("""COMPUTED_VALUE"""),-2.0)</f>
        <v>-2</v>
      </c>
      <c r="AB297" s="16">
        <f>IFERROR(__xludf.DUMMYFUNCTION("""COMPUTED_VALUE"""),30.9)</f>
        <v>30.9</v>
      </c>
      <c r="AC297" s="16">
        <f>IFERROR(__xludf.DUMMYFUNCTION("""COMPUTED_VALUE"""),25.4)</f>
        <v>25.4</v>
      </c>
      <c r="AD297" s="16">
        <f>IFERROR(__xludf.DUMMYFUNCTION("""COMPUTED_VALUE"""),0.0)</f>
        <v>0</v>
      </c>
      <c r="AE297" s="16">
        <f>IFERROR(__xludf.DUMMYFUNCTION("""COMPUTED_VALUE"""),-1.0)</f>
        <v>-1</v>
      </c>
      <c r="AF297" s="16">
        <f>IFERROR(__xludf.DUMMYFUNCTION("""COMPUTED_VALUE"""),0.0)</f>
        <v>0</v>
      </c>
      <c r="AG297" s="16">
        <f>IFERROR(__xludf.DUMMYFUNCTION("""COMPUTED_VALUE"""),-5.0)</f>
        <v>-5</v>
      </c>
      <c r="AH297" s="16">
        <f>IFERROR(__xludf.DUMMYFUNCTION("""COMPUTED_VALUE"""),71.8)</f>
        <v>71.8</v>
      </c>
      <c r="AI297" s="16">
        <f>IFERROR(__xludf.DUMMYFUNCTION("""COMPUTED_VALUE"""),19.0)</f>
        <v>19</v>
      </c>
      <c r="AJ297" s="16">
        <f>IFERROR(__xludf.DUMMYFUNCTION("""COMPUTED_VALUE"""),3.0)</f>
        <v>3</v>
      </c>
      <c r="AK297" s="16">
        <f>IFERROR(__xludf.DUMMYFUNCTION("""COMPUTED_VALUE"""),-2.0)</f>
        <v>-2</v>
      </c>
      <c r="AL297" s="16">
        <f>IFERROR(__xludf.DUMMYFUNCTION("""COMPUTED_VALUE"""),15.0)</f>
        <v>15</v>
      </c>
      <c r="AM297" s="16">
        <f>IFERROR(__xludf.DUMMYFUNCTION("""COMPUTED_VALUE"""),-10.0)</f>
        <v>-10</v>
      </c>
      <c r="AN297" s="16">
        <f>IFERROR(__xludf.DUMMYFUNCTION("""COMPUTED_VALUE"""),8.6)</f>
        <v>8.6</v>
      </c>
      <c r="AO297" s="16">
        <f>IFERROR(__xludf.DUMMYFUNCTION("""COMPUTED_VALUE"""),1.4)</f>
        <v>1.4</v>
      </c>
      <c r="AP297" s="16">
        <f>IFERROR(__xludf.DUMMYFUNCTION("""COMPUTED_VALUE"""),3.0)</f>
        <v>3</v>
      </c>
      <c r="AQ297" s="16">
        <f>IFERROR(__xludf.DUMMYFUNCTION("""COMPUTED_VALUE"""),-1.0)</f>
        <v>-1</v>
      </c>
      <c r="AR297" s="16">
        <f>IFERROR(__xludf.DUMMYFUNCTION("""COMPUTED_VALUE"""),6.0)</f>
        <v>6</v>
      </c>
      <c r="AS297" s="16">
        <f>IFERROR(__xludf.DUMMYFUNCTION("""COMPUTED_VALUE"""),-2.0)</f>
        <v>-2</v>
      </c>
      <c r="AT297" s="16">
        <f>IFERROR(__xludf.DUMMYFUNCTION("""COMPUTED_VALUE"""),8.0)</f>
        <v>8</v>
      </c>
      <c r="AU297" s="16">
        <f>IFERROR(__xludf.DUMMYFUNCTION("""COMPUTED_VALUE"""),2.0)</f>
        <v>2</v>
      </c>
      <c r="AV297" s="16">
        <f>IFERROR(__xludf.DUMMYFUNCTION("""COMPUTED_VALUE"""),8.0)</f>
        <v>8</v>
      </c>
      <c r="AW297" s="16">
        <f>IFERROR(__xludf.DUMMYFUNCTION("""COMPUTED_VALUE"""),2.0)</f>
        <v>2</v>
      </c>
      <c r="AX297" s="16">
        <f>IFERROR(__xludf.DUMMYFUNCTION("""COMPUTED_VALUE"""),3.0)</f>
        <v>3</v>
      </c>
      <c r="AY297" s="16">
        <f>IFERROR(__xludf.DUMMYFUNCTION("""COMPUTED_VALUE"""),0.0)</f>
        <v>0</v>
      </c>
      <c r="AZ297" s="16">
        <f>IFERROR(__xludf.DUMMYFUNCTION("""COMPUTED_VALUE"""),9.0)</f>
        <v>9</v>
      </c>
      <c r="BA297" s="16">
        <f>IFERROR(__xludf.DUMMYFUNCTION("""COMPUTED_VALUE"""),0.0)</f>
        <v>0</v>
      </c>
      <c r="BB297" s="16">
        <f>IFERROR(__xludf.DUMMYFUNCTION("""COMPUTED_VALUE"""),5.0)</f>
        <v>5</v>
      </c>
      <c r="BC297" s="16">
        <f>IFERROR(__xludf.DUMMYFUNCTION("""COMPUTED_VALUE"""),5.0)</f>
        <v>5</v>
      </c>
      <c r="BD297" s="16">
        <f>IFERROR(__xludf.DUMMYFUNCTION("""COMPUTED_VALUE"""),1.0)</f>
        <v>1</v>
      </c>
      <c r="BE297" s="16">
        <f>IFERROR(__xludf.DUMMYFUNCTION("""COMPUTED_VALUE"""),1.0)</f>
        <v>1</v>
      </c>
      <c r="BF297" s="16">
        <f>IFERROR(__xludf.DUMMYFUNCTION("""COMPUTED_VALUE"""),1.0)</f>
        <v>1</v>
      </c>
      <c r="BG297" s="16">
        <f>IFERROR(__xludf.DUMMYFUNCTION("""COMPUTED_VALUE"""),1.0)</f>
        <v>1</v>
      </c>
      <c r="BH297" s="16">
        <f>IFERROR(__xludf.DUMMYFUNCTION("""COMPUTED_VALUE"""),3.0)</f>
        <v>3</v>
      </c>
      <c r="BI297" s="16">
        <f>IFERROR(__xludf.DUMMYFUNCTION("""COMPUTED_VALUE"""),2.0)</f>
        <v>2</v>
      </c>
      <c r="BJ297" s="16">
        <f>IFERROR(__xludf.DUMMYFUNCTION("""COMPUTED_VALUE"""),10.0)</f>
        <v>10</v>
      </c>
      <c r="BK297" s="16">
        <f>IFERROR(__xludf.DUMMYFUNCTION("""COMPUTED_VALUE"""),9.0)</f>
        <v>9</v>
      </c>
      <c r="BL297" s="16">
        <f>IFERROR(__xludf.DUMMYFUNCTION("""COMPUTED_VALUE"""),0.0)</f>
        <v>0</v>
      </c>
      <c r="BM297" s="16">
        <f>IFERROR(__xludf.DUMMYFUNCTION("""COMPUTED_VALUE"""),1.0)</f>
        <v>1</v>
      </c>
      <c r="BN297" s="16">
        <f>IFERROR(__xludf.DUMMYFUNCTION("""COMPUTED_VALUE"""),0.0)</f>
        <v>0</v>
      </c>
      <c r="BO297" s="16">
        <f>IFERROR(__xludf.DUMMYFUNCTION("""COMPUTED_VALUE"""),1.0)</f>
        <v>1</v>
      </c>
      <c r="BP297" s="16">
        <f>IFERROR(__xludf.DUMMYFUNCTION("""COMPUTED_VALUE"""),9.0)</f>
        <v>9</v>
      </c>
      <c r="BQ297" s="16">
        <f>IFERROR(__xludf.DUMMYFUNCTION("""COMPUTED_VALUE"""),-3.0)</f>
        <v>-3</v>
      </c>
      <c r="BR297" s="16">
        <f>IFERROR(__xludf.DUMMYFUNCTION("""COMPUTED_VALUE"""),6.0)</f>
        <v>6</v>
      </c>
      <c r="BS297" s="16" t="str">
        <f>IFERROR(__xludf.DUMMYFUNCTION("""COMPUTED_VALUE"""),"*4,5/- (20-12)")</f>
        <v>*4,5/- (20-12)</v>
      </c>
      <c r="BT297" s="16" t="str">
        <f>IFERROR(__xludf.DUMMYFUNCTION("""COMPUTED_VALUE"""),"B")</f>
        <v>B</v>
      </c>
      <c r="BU297" s="16">
        <f>IFERROR(__xludf.DUMMYFUNCTION("""COMPUTED_VALUE"""),15.0)</f>
        <v>15</v>
      </c>
      <c r="BV297" s="16">
        <f>IFERROR(__xludf.DUMMYFUNCTION("""COMPUTED_VALUE"""),1.0)</f>
        <v>1</v>
      </c>
      <c r="BW297" s="16">
        <f>IFERROR(__xludf.DUMMYFUNCTION("""COMPUTED_VALUE"""),2.0)</f>
        <v>2</v>
      </c>
      <c r="BX297" s="16">
        <f>IFERROR(__xludf.DUMMYFUNCTION("""COMPUTED_VALUE"""),2.0)</f>
        <v>2</v>
      </c>
      <c r="BY297" s="16">
        <f>IFERROR(__xludf.DUMMYFUNCTION("""COMPUTED_VALUE"""),6.0)</f>
        <v>6</v>
      </c>
      <c r="BZ297" s="16" t="str">
        <f>IFERROR(__xludf.DUMMYFUNCTION("""COMPUTED_VALUE"""),"D")</f>
        <v>D</v>
      </c>
      <c r="CA297" s="16" t="str">
        <f>IFERROR(__xludf.DUMMYFUNCTION("""COMPUTED_VALUE"""),"C")</f>
        <v>C</v>
      </c>
      <c r="CB297" s="16">
        <f>IFERROR(__xludf.DUMMYFUNCTION("""COMPUTED_VALUE"""),0.0)</f>
        <v>0</v>
      </c>
      <c r="CC297" s="16">
        <f>IFERROR(__xludf.DUMMYFUNCTION("""COMPUTED_VALUE"""),0.0)</f>
        <v>0</v>
      </c>
      <c r="CD297" s="16">
        <f>IFERROR(__xludf.DUMMYFUNCTION("""COMPUTED_VALUE"""),0.0)</f>
        <v>0</v>
      </c>
      <c r="CE297" s="16">
        <f>IFERROR(__xludf.DUMMYFUNCTION("""COMPUTED_VALUE"""),0.0)</f>
        <v>0</v>
      </c>
      <c r="CF297" s="16">
        <f>IFERROR(__xludf.DUMMYFUNCTION("""COMPUTED_VALUE"""),5.0)</f>
        <v>5</v>
      </c>
      <c r="CG297" s="16">
        <f>IFERROR(__xludf.DUMMYFUNCTION("""COMPUTED_VALUE"""),31.0)</f>
        <v>31</v>
      </c>
      <c r="CH297" s="16">
        <f>IFERROR(__xludf.DUMMYFUNCTION("""COMPUTED_VALUE"""),-17.0)</f>
        <v>-17</v>
      </c>
      <c r="CI297" s="179">
        <f>IFERROR(__xludf.DUMMYFUNCTION("""COMPUTED_VALUE"""),-9.0)</f>
        <v>-9</v>
      </c>
      <c r="CJ297" s="16"/>
      <c r="CK297" s="16"/>
      <c r="CL297" s="16">
        <f>IFERROR(__xludf.DUMMYFUNCTION("""COMPUTED_VALUE"""),310.0)</f>
        <v>310</v>
      </c>
      <c r="CM297" s="16"/>
      <c r="CN297" s="16">
        <f>IFERROR(__xludf.DUMMYFUNCTION("""COMPUTED_VALUE"""),334.0)</f>
        <v>334</v>
      </c>
      <c r="CO297" s="16"/>
      <c r="CP297" s="16">
        <f>IFERROR(__xludf.DUMMYFUNCTION("""COMPUTED_VALUE"""),208.0)</f>
        <v>208</v>
      </c>
      <c r="CQ297" s="16"/>
      <c r="CR297" s="16" t="str">
        <f>IFERROR(__xludf.DUMMYFUNCTION("""COMPUTED_VALUE"""),"cf-2(+1)e8 ss-3e34 2b-3e10")</f>
        <v>cf-2(+1)e8 ss-3e34 2b-3e10</v>
      </c>
      <c r="CS297" s="16"/>
      <c r="CT297" s="16"/>
      <c r="CU297" s="16">
        <f>IFERROR(__xludf.DUMMYFUNCTION("""COMPUTED_VALUE"""),3.0)</f>
        <v>3</v>
      </c>
      <c r="CV297" s="16"/>
      <c r="CW297" s="16">
        <f>IFERROR(__xludf.DUMMYFUNCTION("""COMPUTED_VALUE"""),3.0)</f>
        <v>3</v>
      </c>
      <c r="CX297" s="16"/>
      <c r="CY297" s="16">
        <f>IFERROR(__xludf.DUMMYFUNCTION("""COMPUTED_VALUE"""),2.0)</f>
        <v>2</v>
      </c>
      <c r="CZ297" s="16"/>
      <c r="DA297" s="16"/>
      <c r="DB297" s="16"/>
      <c r="DC297" s="16">
        <f>IFERROR(__xludf.DUMMYFUNCTION("""COMPUTED_VALUE"""),10.0)</f>
        <v>10</v>
      </c>
      <c r="DD297" s="16"/>
      <c r="DE297" s="16">
        <f>IFERROR(__xludf.DUMMYFUNCTION("""COMPUTED_VALUE"""),34.0)</f>
        <v>34</v>
      </c>
      <c r="DF297" s="16"/>
      <c r="DG297" s="16">
        <f>IFERROR(__xludf.DUMMYFUNCTION("""COMPUTED_VALUE"""),8.0)</f>
        <v>8</v>
      </c>
      <c r="DH297" s="16"/>
      <c r="DI297" s="16"/>
      <c r="DJ297" s="16"/>
      <c r="DK297" s="16">
        <f>IFERROR(__xludf.DUMMYFUNCTION("""COMPUTED_VALUE"""),0.0)</f>
        <v>0</v>
      </c>
      <c r="DL297" s="16"/>
      <c r="DM297" s="16">
        <f>IFERROR(__xludf.DUMMYFUNCTION("""COMPUTED_VALUE"""),0.0)</f>
        <v>0</v>
      </c>
      <c r="DN297" s="16"/>
      <c r="DO297" s="16">
        <f>IFERROR(__xludf.DUMMYFUNCTION("""COMPUTED_VALUE"""),2.0)</f>
        <v>2</v>
      </c>
      <c r="DP297" s="16"/>
      <c r="DQ297" s="16"/>
      <c r="DR297" s="16"/>
      <c r="DS297" s="16">
        <f>IFERROR(__xludf.DUMMYFUNCTION("""COMPUTED_VALUE"""),3.0)</f>
        <v>3</v>
      </c>
      <c r="DT297" s="16"/>
      <c r="DU297" s="16">
        <f>IFERROR(__xludf.DUMMYFUNCTION("""COMPUTED_VALUE"""),-2.0)</f>
        <v>-2</v>
      </c>
      <c r="DV297" s="16"/>
      <c r="DW297" s="16">
        <f>IFERROR(__xludf.DUMMYFUNCTION("""COMPUTED_VALUE"""),2.0)</f>
        <v>2</v>
      </c>
      <c r="DX297" s="16"/>
      <c r="DY297" s="16"/>
      <c r="DZ297" s="16"/>
      <c r="EA297" s="16">
        <f>IFERROR(__xludf.DUMMYFUNCTION("""COMPUTED_VALUE"""),3.0)</f>
        <v>3</v>
      </c>
      <c r="EB297" s="16"/>
      <c r="EC297" s="16">
        <f>IFERROR(__xludf.DUMMYFUNCTION("""COMPUTED_VALUE"""),-2.0)</f>
        <v>-2</v>
      </c>
      <c r="ED297" s="16"/>
      <c r="EE297" s="16">
        <f>IFERROR(__xludf.DUMMYFUNCTION("""COMPUTED_VALUE"""),4.0)</f>
        <v>4</v>
      </c>
      <c r="EF297" s="16"/>
      <c r="EG297" s="179"/>
      <c r="EH297" s="179"/>
      <c r="EI297" s="179">
        <f>IFERROR(__xludf.DUMMYFUNCTION("""COMPUTED_VALUE"""),-6.0)</f>
        <v>-6</v>
      </c>
      <c r="EJ297" s="179"/>
      <c r="EK297" s="179">
        <f>IFERROR(__xludf.DUMMYFUNCTION("""COMPUTED_VALUE"""),-11.0)</f>
        <v>-11</v>
      </c>
      <c r="EL297" s="179"/>
      <c r="EM297" s="179">
        <f>IFERROR(__xludf.DUMMYFUNCTION("""COMPUTED_VALUE"""),-5.0)</f>
        <v>-5</v>
      </c>
      <c r="EN297" s="179"/>
      <c r="EO297" s="16"/>
      <c r="EP297" s="16">
        <f>IFERROR(__xludf.DUMMYFUNCTION("""COMPUTED_VALUE"""),-2.0)</f>
        <v>-2</v>
      </c>
      <c r="EQ297" s="16">
        <f>IFERROR(__xludf.DUMMYFUNCTION("""COMPUTED_VALUE"""),-2.0)</f>
        <v>-2</v>
      </c>
      <c r="ER297" s="16">
        <f>IFERROR(__xludf.DUMMYFUNCTION("""COMPUTED_VALUE"""),-4.0)</f>
        <v>-4</v>
      </c>
      <c r="ES297" s="16"/>
      <c r="ET297" s="16"/>
      <c r="EU297" s="16"/>
      <c r="EV297" s="16"/>
      <c r="EW297" s="16"/>
      <c r="EX297" s="180"/>
      <c r="EY297" s="180"/>
      <c r="EZ297" s="180">
        <f>IFERROR(__xludf.DUMMYFUNCTION("""COMPUTED_VALUE"""),0.2)</f>
        <v>0.2</v>
      </c>
      <c r="FA297" s="180"/>
      <c r="FB297" s="180">
        <f>IFERROR(__xludf.DUMMYFUNCTION("""COMPUTED_VALUE"""),0.2)</f>
        <v>0.2</v>
      </c>
      <c r="FC297" s="180"/>
      <c r="FD297" s="180">
        <f>IFERROR(__xludf.DUMMYFUNCTION("""COMPUTED_VALUE"""),0.15)</f>
        <v>0.15</v>
      </c>
      <c r="FE297" s="180"/>
      <c r="FF297" s="180"/>
      <c r="FG297" s="180"/>
      <c r="FH297" s="180">
        <f>IFERROR(__xludf.DUMMYFUNCTION("""COMPUTED_VALUE"""),0.06018518518518518)</f>
        <v>0.06018518519</v>
      </c>
      <c r="FI297" s="180"/>
      <c r="FJ297" s="180">
        <f>IFERROR(__xludf.DUMMYFUNCTION("""COMPUTED_VALUE"""),0.17592592592592593)</f>
        <v>0.1759259259</v>
      </c>
      <c r="FK297" s="180"/>
      <c r="FL297" s="180">
        <f>IFERROR(__xludf.DUMMYFUNCTION("""COMPUTED_VALUE"""),0.09722222222222222)</f>
        <v>0.09722222222</v>
      </c>
      <c r="FM297" s="180"/>
      <c r="FN297" s="16"/>
      <c r="FO297" s="16"/>
      <c r="FP297" s="16">
        <f>IFERROR(__xludf.DUMMYFUNCTION("""COMPUTED_VALUE"""),0.7518518518518519)</f>
        <v>0.7518518519</v>
      </c>
      <c r="FQ297" s="16"/>
      <c r="FR297" s="16">
        <f>IFERROR(__xludf.DUMMYFUNCTION("""COMPUTED_VALUE"""),0.6592592592592593)</f>
        <v>0.6592592593</v>
      </c>
      <c r="FS297" s="16"/>
      <c r="FT297" s="16">
        <f>IFERROR(__xludf.DUMMYFUNCTION("""COMPUTED_VALUE"""),0.767361111111111)</f>
        <v>0.7673611111</v>
      </c>
      <c r="FU297" s="16"/>
      <c r="FV297" s="16"/>
      <c r="FW297" s="16"/>
      <c r="FX297" s="16">
        <f>IFERROR(__xludf.DUMMYFUNCTION("""COMPUTED_VALUE"""),-1.0)</f>
        <v>-1</v>
      </c>
      <c r="FY297" s="16"/>
      <c r="FZ297" s="16">
        <f>IFERROR(__xludf.DUMMYFUNCTION("""COMPUTED_VALUE"""),-4.0)</f>
        <v>-4</v>
      </c>
      <c r="GA297" s="16"/>
      <c r="GB297" s="16">
        <f>IFERROR(__xludf.DUMMYFUNCTION("""COMPUTED_VALUE"""),1.0)</f>
        <v>1</v>
      </c>
      <c r="GC297" s="16"/>
      <c r="GD297" s="16" t="s">
        <v>176</v>
      </c>
    </row>
    <row r="298">
      <c r="A298" s="16">
        <f>IFERROR(__xludf.DUMMYFUNCTION("""COMPUTED_VALUE"""),12835.0)</f>
        <v>12835</v>
      </c>
      <c r="B298" s="16" t="str">
        <f>IFERROR(__xludf.DUMMYFUNCTION("""COMPUTED_VALUE"""),"Gary Sanchez")</f>
        <v>Gary Sanchez</v>
      </c>
      <c r="C298" s="16">
        <f>IFERROR(__xludf.DUMMYFUNCTION("""COMPUTED_VALUE"""),0.21)</f>
        <v>0.21</v>
      </c>
      <c r="D298" s="16" t="str">
        <f>IFERROR(__xludf.DUMMYFUNCTION("""COMPUTED_VALUE"""),"R")</f>
        <v>R</v>
      </c>
      <c r="E298" s="16"/>
      <c r="F298" s="16"/>
      <c r="G298" s="16">
        <f>IFERROR(__xludf.DUMMYFUNCTION("""COMPUTED_VALUE"""),245.0)</f>
        <v>245</v>
      </c>
      <c r="H298" s="16">
        <f>IFERROR(__xludf.DUMMYFUNCTION("""COMPUTED_VALUE"""),27.0)</f>
        <v>27</v>
      </c>
      <c r="I298" s="16" t="str">
        <f>IFERROR(__xludf.DUMMYFUNCTION("""COMPUTED_VALUE"""),"3p40")</f>
        <v>3p40</v>
      </c>
      <c r="J298" s="16">
        <f>IFERROR(__xludf.DUMMYFUNCTION("""COMPUTED_VALUE"""),31.0)</f>
        <v>31</v>
      </c>
      <c r="K298" s="16">
        <f>IFERROR(__xludf.DUMMYFUNCTION("""COMPUTED_VALUE"""),37.0)</f>
        <v>37</v>
      </c>
      <c r="L298" s="16">
        <f>IFERROR(__xludf.DUMMYFUNCTION("""COMPUTED_VALUE"""),0.0)</f>
        <v>0</v>
      </c>
      <c r="M298" s="16">
        <f>IFERROR(__xludf.DUMMYFUNCTION("""COMPUTED_VALUE"""),-1.0)</f>
        <v>-1</v>
      </c>
      <c r="N298" s="16">
        <f>IFERROR(__xludf.DUMMYFUNCTION("""COMPUTED_VALUE"""),0.0)</f>
        <v>0</v>
      </c>
      <c r="O298" s="16">
        <f>IFERROR(__xludf.DUMMYFUNCTION("""COMPUTED_VALUE"""),-1.0)</f>
        <v>-1</v>
      </c>
      <c r="P298" s="16">
        <f>IFERROR(__xludf.DUMMYFUNCTION("""COMPUTED_VALUE"""),13.0)</f>
        <v>13</v>
      </c>
      <c r="Q298" s="16">
        <f>IFERROR(__xludf.DUMMYFUNCTION("""COMPUTED_VALUE"""),13.0)</f>
        <v>13</v>
      </c>
      <c r="R298" s="16">
        <f>IFERROR(__xludf.DUMMYFUNCTION("""COMPUTED_VALUE"""),2.0)</f>
        <v>2</v>
      </c>
      <c r="S298" s="16">
        <f>IFERROR(__xludf.DUMMYFUNCTION("""COMPUTED_VALUE"""),1.0)</f>
        <v>1</v>
      </c>
      <c r="T298" s="16">
        <f>IFERROR(__xludf.DUMMYFUNCTION("""COMPUTED_VALUE"""),2.0)</f>
        <v>2</v>
      </c>
      <c r="U298" s="16">
        <f>IFERROR(__xludf.DUMMYFUNCTION("""COMPUTED_VALUE"""),1.0)</f>
        <v>1</v>
      </c>
      <c r="V298" s="16">
        <f>IFERROR(__xludf.DUMMYFUNCTION("""COMPUTED_VALUE"""),10.8)</f>
        <v>10.8</v>
      </c>
      <c r="W298" s="16">
        <f>IFERROR(__xludf.DUMMYFUNCTION("""COMPUTED_VALUE"""),14.7)</f>
        <v>14.7</v>
      </c>
      <c r="X298" s="16">
        <f>IFERROR(__xludf.DUMMYFUNCTION("""COMPUTED_VALUE"""),-1.0)</f>
        <v>-1</v>
      </c>
      <c r="Y298" s="16">
        <f>IFERROR(__xludf.DUMMYFUNCTION("""COMPUTED_VALUE"""),-1.0)</f>
        <v>-1</v>
      </c>
      <c r="Z298" s="16">
        <f>IFERROR(__xludf.DUMMYFUNCTION("""COMPUTED_VALUE"""),-2.0)</f>
        <v>-2</v>
      </c>
      <c r="AA298" s="16">
        <f>IFERROR(__xludf.DUMMYFUNCTION("""COMPUTED_VALUE"""),-2.0)</f>
        <v>-2</v>
      </c>
      <c r="AB298" s="16">
        <f>IFERROR(__xludf.DUMMYFUNCTION("""COMPUTED_VALUE"""),27.8)</f>
        <v>27.8</v>
      </c>
      <c r="AC298" s="16">
        <f>IFERROR(__xludf.DUMMYFUNCTION("""COMPUTED_VALUE"""),31.7)</f>
        <v>31.7</v>
      </c>
      <c r="AD298" s="16">
        <f>IFERROR(__xludf.DUMMYFUNCTION("""COMPUTED_VALUE"""),0.0)</f>
        <v>0</v>
      </c>
      <c r="AE298" s="16">
        <f>IFERROR(__xludf.DUMMYFUNCTION("""COMPUTED_VALUE"""),0.0)</f>
        <v>0</v>
      </c>
      <c r="AF298" s="16">
        <f>IFERROR(__xludf.DUMMYFUNCTION("""COMPUTED_VALUE"""),0.0)</f>
        <v>0</v>
      </c>
      <c r="AG298" s="16">
        <f>IFERROR(__xludf.DUMMYFUNCTION("""COMPUTED_VALUE"""),0.0)</f>
        <v>0</v>
      </c>
      <c r="AH298" s="16">
        <f>IFERROR(__xludf.DUMMYFUNCTION("""COMPUTED_VALUE"""),25.2)</f>
        <v>25.2</v>
      </c>
      <c r="AI298" s="16">
        <f>IFERROR(__xludf.DUMMYFUNCTION("""COMPUTED_VALUE"""),23.5)</f>
        <v>23.5</v>
      </c>
      <c r="AJ298" s="16">
        <f>IFERROR(__xludf.DUMMYFUNCTION("""COMPUTED_VALUE"""),-1.0)</f>
        <v>-1</v>
      </c>
      <c r="AK298" s="16">
        <f>IFERROR(__xludf.DUMMYFUNCTION("""COMPUTED_VALUE"""),-1.0)</f>
        <v>-1</v>
      </c>
      <c r="AL298" s="16">
        <f>IFERROR(__xludf.DUMMYFUNCTION("""COMPUTED_VALUE"""),-5.0)</f>
        <v>-5</v>
      </c>
      <c r="AM298" s="16">
        <f>IFERROR(__xludf.DUMMYFUNCTION("""COMPUTED_VALUE"""),-5.0)</f>
        <v>-5</v>
      </c>
      <c r="AN298" s="16">
        <f>IFERROR(__xludf.DUMMYFUNCTION("""COMPUTED_VALUE"""),4.8)</f>
        <v>4.8</v>
      </c>
      <c r="AO298" s="16">
        <f>IFERROR(__xludf.DUMMYFUNCTION("""COMPUTED_VALUE"""),1.2)</f>
        <v>1.2</v>
      </c>
      <c r="AP298" s="16">
        <f>IFERROR(__xludf.DUMMYFUNCTION("""COMPUTED_VALUE"""),3.0)</f>
        <v>3</v>
      </c>
      <c r="AQ298" s="16">
        <f>IFERROR(__xludf.DUMMYFUNCTION("""COMPUTED_VALUE"""),-2.0)</f>
        <v>-2</v>
      </c>
      <c r="AR298" s="16">
        <f>IFERROR(__xludf.DUMMYFUNCTION("""COMPUTED_VALUE"""),6.0)</f>
        <v>6</v>
      </c>
      <c r="AS298" s="16">
        <f>IFERROR(__xludf.DUMMYFUNCTION("""COMPUTED_VALUE"""),-4.0)</f>
        <v>-4</v>
      </c>
      <c r="AT298" s="16">
        <f>IFERROR(__xludf.DUMMYFUNCTION("""COMPUTED_VALUE"""),8.0)</f>
        <v>8</v>
      </c>
      <c r="AU298" s="16">
        <f>IFERROR(__xludf.DUMMYFUNCTION("""COMPUTED_VALUE"""),2.0)</f>
        <v>2</v>
      </c>
      <c r="AV298" s="16">
        <f>IFERROR(__xludf.DUMMYFUNCTION("""COMPUTED_VALUE"""),8.0)</f>
        <v>8</v>
      </c>
      <c r="AW298" s="16">
        <f>IFERROR(__xludf.DUMMYFUNCTION("""COMPUTED_VALUE"""),2.0)</f>
        <v>2</v>
      </c>
      <c r="AX298" s="16">
        <f>IFERROR(__xludf.DUMMYFUNCTION("""COMPUTED_VALUE"""),3.0)</f>
        <v>3</v>
      </c>
      <c r="AY298" s="16">
        <f>IFERROR(__xludf.DUMMYFUNCTION("""COMPUTED_VALUE"""),0.0)</f>
        <v>0</v>
      </c>
      <c r="AZ298" s="16">
        <f>IFERROR(__xludf.DUMMYFUNCTION("""COMPUTED_VALUE"""),9.0)</f>
        <v>9</v>
      </c>
      <c r="BA298" s="16">
        <f>IFERROR(__xludf.DUMMYFUNCTION("""COMPUTED_VALUE"""),0.0)</f>
        <v>0</v>
      </c>
      <c r="BB298" s="16">
        <f>IFERROR(__xludf.DUMMYFUNCTION("""COMPUTED_VALUE"""),5.0)</f>
        <v>5</v>
      </c>
      <c r="BC298" s="16">
        <f>IFERROR(__xludf.DUMMYFUNCTION("""COMPUTED_VALUE"""),5.0)</f>
        <v>5</v>
      </c>
      <c r="BD298" s="16">
        <f>IFERROR(__xludf.DUMMYFUNCTION("""COMPUTED_VALUE"""),1.0)</f>
        <v>1</v>
      </c>
      <c r="BE298" s="16">
        <f>IFERROR(__xludf.DUMMYFUNCTION("""COMPUTED_VALUE"""),1.0)</f>
        <v>1</v>
      </c>
      <c r="BF298" s="16">
        <f>IFERROR(__xludf.DUMMYFUNCTION("""COMPUTED_VALUE"""),1.0)</f>
        <v>1</v>
      </c>
      <c r="BG298" s="16">
        <f>IFERROR(__xludf.DUMMYFUNCTION("""COMPUTED_VALUE"""),1.0)</f>
        <v>1</v>
      </c>
      <c r="BH298" s="16">
        <f>IFERROR(__xludf.DUMMYFUNCTION("""COMPUTED_VALUE"""),1.0)</f>
        <v>1</v>
      </c>
      <c r="BI298" s="16">
        <f>IFERROR(__xludf.DUMMYFUNCTION("""COMPUTED_VALUE"""),1.0)</f>
        <v>1</v>
      </c>
      <c r="BJ298" s="16">
        <f>IFERROR(__xludf.DUMMYFUNCTION("""COMPUTED_VALUE"""),18.0)</f>
        <v>18</v>
      </c>
      <c r="BK298" s="16">
        <f>IFERROR(__xludf.DUMMYFUNCTION("""COMPUTED_VALUE"""),21.0)</f>
        <v>21</v>
      </c>
      <c r="BL298" s="16">
        <f>IFERROR(__xludf.DUMMYFUNCTION("""COMPUTED_VALUE"""),-1.0)</f>
        <v>-1</v>
      </c>
      <c r="BM298" s="16">
        <f>IFERROR(__xludf.DUMMYFUNCTION("""COMPUTED_VALUE"""),-2.0)</f>
        <v>-2</v>
      </c>
      <c r="BN298" s="16">
        <f>IFERROR(__xludf.DUMMYFUNCTION("""COMPUTED_VALUE"""),-2.0)</f>
        <v>-2</v>
      </c>
      <c r="BO298" s="16">
        <f>IFERROR(__xludf.DUMMYFUNCTION("""COMPUTED_VALUE"""),-4.0)</f>
        <v>-4</v>
      </c>
      <c r="BP298" s="16">
        <f>IFERROR(__xludf.DUMMYFUNCTION("""COMPUTED_VALUE"""),6.0)</f>
        <v>6</v>
      </c>
      <c r="BQ298" s="16">
        <f>IFERROR(__xludf.DUMMYFUNCTION("""COMPUTED_VALUE"""),-5.0)</f>
        <v>-5</v>
      </c>
      <c r="BR298" s="16">
        <f>IFERROR(__xludf.DUMMYFUNCTION("""COMPUTED_VALUE"""),1.0)</f>
        <v>1</v>
      </c>
      <c r="BS298" s="16" t="str">
        <f>IFERROR(__xludf.DUMMYFUNCTION("""COMPUTED_VALUE"""),"-/- (---)")</f>
        <v>-/- (---)</v>
      </c>
      <c r="BT298" s="16" t="str">
        <f>IFERROR(__xludf.DUMMYFUNCTION("""COMPUTED_VALUE"""),"E")</f>
        <v>E</v>
      </c>
      <c r="BU298" s="16">
        <f>IFERROR(__xludf.DUMMYFUNCTION("""COMPUTED_VALUE"""),8.0)</f>
        <v>8</v>
      </c>
      <c r="BV298" s="16">
        <f>IFERROR(__xludf.DUMMYFUNCTION("""COMPUTED_VALUE"""),0.0)</f>
        <v>0</v>
      </c>
      <c r="BW298" s="16">
        <f>IFERROR(__xludf.DUMMYFUNCTION("""COMPUTED_VALUE"""),-1.0)</f>
        <v>-1</v>
      </c>
      <c r="BX298" s="16">
        <f>IFERROR(__xludf.DUMMYFUNCTION("""COMPUTED_VALUE"""),0.0)</f>
        <v>0</v>
      </c>
      <c r="BY298" s="16">
        <f>IFERROR(__xludf.DUMMYFUNCTION("""COMPUTED_VALUE"""),-3.0)</f>
        <v>-3</v>
      </c>
      <c r="BZ298" s="16" t="str">
        <f>IFERROR(__xludf.DUMMYFUNCTION("""COMPUTED_VALUE"""),"D")</f>
        <v>D</v>
      </c>
      <c r="CA298" s="16" t="str">
        <f>IFERROR(__xludf.DUMMYFUNCTION("""COMPUTED_VALUE"""),"D")</f>
        <v>D</v>
      </c>
      <c r="CB298" s="16">
        <f>IFERROR(__xludf.DUMMYFUNCTION("""COMPUTED_VALUE"""),0.0)</f>
        <v>0</v>
      </c>
      <c r="CC298" s="16">
        <f>IFERROR(__xludf.DUMMYFUNCTION("""COMPUTED_VALUE"""),0.0)</f>
        <v>0</v>
      </c>
      <c r="CD298" s="16">
        <f>IFERROR(__xludf.DUMMYFUNCTION("""COMPUTED_VALUE"""),0.0)</f>
        <v>0</v>
      </c>
      <c r="CE298" s="16">
        <f>IFERROR(__xludf.DUMMYFUNCTION("""COMPUTED_VALUE"""),0.0)</f>
        <v>0</v>
      </c>
      <c r="CF298" s="16">
        <f>IFERROR(__xludf.DUMMYFUNCTION("""COMPUTED_VALUE"""),3.0)</f>
        <v>3</v>
      </c>
      <c r="CG298" s="16">
        <f>IFERROR(__xludf.DUMMYFUNCTION("""COMPUTED_VALUE"""),9.0)</f>
        <v>9</v>
      </c>
      <c r="CH298" s="16">
        <f>IFERROR(__xludf.DUMMYFUNCTION("""COMPUTED_VALUE"""),-14.0)</f>
        <v>-14</v>
      </c>
      <c r="CI298" s="179">
        <f>IFERROR(__xludf.DUMMYFUNCTION("""COMPUTED_VALUE"""),-9.0)</f>
        <v>-9</v>
      </c>
      <c r="CJ298" s="16">
        <f>IFERROR(__xludf.DUMMYFUNCTION("""COMPUTED_VALUE"""),416.0)</f>
        <v>416</v>
      </c>
      <c r="CK298" s="16">
        <f>IFERROR(__xludf.DUMMYFUNCTION("""COMPUTED_VALUE"""),525.0)</f>
        <v>525</v>
      </c>
      <c r="CL298" s="16"/>
      <c r="CM298" s="16"/>
      <c r="CN298" s="16"/>
      <c r="CO298" s="16"/>
      <c r="CP298" s="16"/>
      <c r="CQ298" s="16"/>
      <c r="CR298" s="16" t="str">
        <f>IFERROR(__xludf.DUMMYFUNCTION("""COMPUTED_VALUE"""),"c-4(-1)e16,T-11(pb-4) 1b-5e25")</f>
        <v>c-4(-1)e16,T-11(pb-4) 1b-5e25</v>
      </c>
      <c r="CS298" s="16">
        <f>IFERROR(__xludf.DUMMYFUNCTION("""COMPUTED_VALUE"""),4.0)</f>
        <v>4</v>
      </c>
      <c r="CT298" s="16">
        <f>IFERROR(__xludf.DUMMYFUNCTION("""COMPUTED_VALUE"""),5.0)</f>
        <v>5</v>
      </c>
      <c r="CU298" s="16"/>
      <c r="CV298" s="16"/>
      <c r="CW298" s="16"/>
      <c r="CX298" s="16"/>
      <c r="CY298" s="16"/>
      <c r="CZ298" s="16"/>
      <c r="DA298" s="16">
        <f>IFERROR(__xludf.DUMMYFUNCTION("""COMPUTED_VALUE"""),16.0)</f>
        <v>16</v>
      </c>
      <c r="DB298" s="16">
        <f>IFERROR(__xludf.DUMMYFUNCTION("""COMPUTED_VALUE"""),25.0)</f>
        <v>25</v>
      </c>
      <c r="DC298" s="16"/>
      <c r="DD298" s="16"/>
      <c r="DE298" s="16"/>
      <c r="DF298" s="16"/>
      <c r="DG298" s="16"/>
      <c r="DH298" s="16"/>
      <c r="DI298" s="16">
        <f>IFERROR(__xludf.DUMMYFUNCTION("""COMPUTED_VALUE"""),-2.0)</f>
        <v>-2</v>
      </c>
      <c r="DJ298" s="16">
        <f>IFERROR(__xludf.DUMMYFUNCTION("""COMPUTED_VALUE"""),-2.0)</f>
        <v>-2</v>
      </c>
      <c r="DK298" s="16"/>
      <c r="DL298" s="16"/>
      <c r="DM298" s="16"/>
      <c r="DN298" s="16"/>
      <c r="DO298" s="16"/>
      <c r="DP298" s="16"/>
      <c r="DQ298" s="16">
        <f>IFERROR(__xludf.DUMMYFUNCTION("""COMPUTED_VALUE"""),-2.0)</f>
        <v>-2</v>
      </c>
      <c r="DR298" s="16">
        <f>IFERROR(__xludf.DUMMYFUNCTION("""COMPUTED_VALUE"""),-2.0)</f>
        <v>-2</v>
      </c>
      <c r="DS298" s="16"/>
      <c r="DT298" s="16"/>
      <c r="DU298" s="16"/>
      <c r="DV298" s="16"/>
      <c r="DW298" s="16"/>
      <c r="DX298" s="16"/>
      <c r="DY298" s="16">
        <f>IFERROR(__xludf.DUMMYFUNCTION("""COMPUTED_VALUE"""),-4.0)</f>
        <v>-4</v>
      </c>
      <c r="DZ298" s="16">
        <f>IFERROR(__xludf.DUMMYFUNCTION("""COMPUTED_VALUE"""),-4.0)</f>
        <v>-4</v>
      </c>
      <c r="EA298" s="16"/>
      <c r="EB298" s="16"/>
      <c r="EC298" s="16"/>
      <c r="ED298" s="16"/>
      <c r="EE298" s="16"/>
      <c r="EF298" s="16"/>
      <c r="EG298" s="179">
        <f>IFERROR(__xludf.DUMMYFUNCTION("""COMPUTED_VALUE"""),-14.0)</f>
        <v>-14</v>
      </c>
      <c r="EH298" s="179">
        <f>IFERROR(__xludf.DUMMYFUNCTION("""COMPUTED_VALUE"""),-13.0)</f>
        <v>-13</v>
      </c>
      <c r="EI298" s="179"/>
      <c r="EJ298" s="179"/>
      <c r="EK298" s="179"/>
      <c r="EL298" s="179"/>
      <c r="EM298" s="179"/>
      <c r="EN298" s="179"/>
      <c r="EO298" s="16">
        <f>IFERROR(__xludf.DUMMYFUNCTION("""COMPUTED_VALUE"""),-1.0)</f>
        <v>-1</v>
      </c>
      <c r="EP298" s="16"/>
      <c r="EQ298" s="16">
        <f>IFERROR(__xludf.DUMMYFUNCTION("""COMPUTED_VALUE"""),1.0)</f>
        <v>1</v>
      </c>
      <c r="ER298" s="16">
        <f>IFERROR(__xludf.DUMMYFUNCTION("""COMPUTED_VALUE"""),-1.0)</f>
        <v>-1</v>
      </c>
      <c r="ES298" s="16" t="str">
        <f>IFERROR(__xludf.DUMMYFUNCTION("""COMPUTED_VALUE"""),"c-4")</f>
        <v>c-4</v>
      </c>
      <c r="ET298" s="16" t="str">
        <f>IFERROR(__xludf.DUMMYFUNCTION("""COMPUTED_VALUE"""),"-1)e16,T-11")</f>
        <v>-1)e16,T-11</v>
      </c>
      <c r="EU298" s="16" t="str">
        <f>IFERROR(__xludf.DUMMYFUNCTION("""COMPUTED_VALUE"""),"pb-4) 1b-5e25")</f>
        <v>pb-4) 1b-5e25</v>
      </c>
      <c r="EV298" s="16"/>
      <c r="EW298" s="16">
        <f>IFERROR(__xludf.DUMMYFUNCTION("""COMPUTED_VALUE"""),-1.0)</f>
        <v>-1</v>
      </c>
      <c r="EX298" s="180">
        <f>IFERROR(__xludf.DUMMYFUNCTION("""COMPUTED_VALUE"""),0.3)</f>
        <v>0.3</v>
      </c>
      <c r="EY298" s="180">
        <f>IFERROR(__xludf.DUMMYFUNCTION("""COMPUTED_VALUE"""),0.4)</f>
        <v>0.4</v>
      </c>
      <c r="EZ298" s="180"/>
      <c r="FA298" s="180"/>
      <c r="FB298" s="180"/>
      <c r="FC298" s="180"/>
      <c r="FD298" s="180"/>
      <c r="FE298" s="180"/>
      <c r="FF298" s="180">
        <f>IFERROR(__xludf.DUMMYFUNCTION("""COMPUTED_VALUE"""),0.192)</f>
        <v>0.192</v>
      </c>
      <c r="FG298" s="180">
        <f>IFERROR(__xludf.DUMMYFUNCTION("""COMPUTED_VALUE"""),0.44907407407407407)</f>
        <v>0.4490740741</v>
      </c>
      <c r="FH298" s="180"/>
      <c r="FI298" s="180"/>
      <c r="FJ298" s="180"/>
      <c r="FK298" s="180"/>
      <c r="FL298" s="180"/>
      <c r="FM298" s="180"/>
      <c r="FN298" s="16">
        <f>IFERROR(__xludf.DUMMYFUNCTION("""COMPUTED_VALUE"""),0.5656)</f>
        <v>0.5656</v>
      </c>
      <c r="FO298" s="16">
        <f>IFERROR(__xludf.DUMMYFUNCTION("""COMPUTED_VALUE"""),0.33055555555555555)</f>
        <v>0.3305555556</v>
      </c>
      <c r="FP298" s="16"/>
      <c r="FQ298" s="16"/>
      <c r="FR298" s="16"/>
      <c r="FS298" s="16"/>
      <c r="FT298" s="16"/>
      <c r="FU298" s="16"/>
      <c r="FV298" s="16">
        <f>IFERROR(__xludf.DUMMYFUNCTION("""COMPUTED_VALUE"""),-5.0)</f>
        <v>-5</v>
      </c>
      <c r="FW298" s="16">
        <f>IFERROR(__xludf.DUMMYFUNCTION("""COMPUTED_VALUE"""),-8.0)</f>
        <v>-8</v>
      </c>
      <c r="FX298" s="16"/>
      <c r="FY298" s="16"/>
      <c r="FZ298" s="16"/>
      <c r="GA298" s="16"/>
      <c r="GB298" s="16"/>
      <c r="GC298" s="16"/>
      <c r="GD298" s="16" t="s">
        <v>245</v>
      </c>
    </row>
    <row r="299">
      <c r="A299" s="16">
        <f>IFERROR(__xludf.DUMMYFUNCTION("""COMPUTED_VALUE"""),13325.0)</f>
        <v>13325</v>
      </c>
      <c r="B299" s="16" t="str">
        <f>IFERROR(__xludf.DUMMYFUNCTION("""COMPUTED_VALUE"""),"Rowdy Tellez")</f>
        <v>Rowdy Tellez</v>
      </c>
      <c r="C299" s="16">
        <f>IFERROR(__xludf.DUMMYFUNCTION("""COMPUTED_VALUE"""),0.0)</f>
        <v>0</v>
      </c>
      <c r="D299" s="16" t="str">
        <f>IFERROR(__xludf.DUMMYFUNCTION("""COMPUTED_VALUE"""),"L")</f>
        <v>L</v>
      </c>
      <c r="E299" s="16"/>
      <c r="F299" s="16"/>
      <c r="G299" s="16">
        <f>IFERROR(__xludf.DUMMYFUNCTION("""COMPUTED_VALUE"""),383.0)</f>
        <v>383</v>
      </c>
      <c r="H299" s="16">
        <f>IFERROR(__xludf.DUMMYFUNCTION("""COMPUTED_VALUE"""),31.0)</f>
        <v>31</v>
      </c>
      <c r="I299" s="16" t="str">
        <f>IFERROR(__xludf.DUMMYFUNCTION("""COMPUTED_VALUE"""),"1p60")</f>
        <v>1p60</v>
      </c>
      <c r="J299" s="16">
        <f>IFERROR(__xludf.DUMMYFUNCTION("""COMPUTED_VALUE"""),53.0)</f>
        <v>53</v>
      </c>
      <c r="K299" s="16">
        <f>IFERROR(__xludf.DUMMYFUNCTION("""COMPUTED_VALUE"""),18.0)</f>
        <v>18</v>
      </c>
      <c r="L299" s="16">
        <f>IFERROR(__xludf.DUMMYFUNCTION("""COMPUTED_VALUE"""),-2.0)</f>
        <v>-2</v>
      </c>
      <c r="M299" s="16">
        <f>IFERROR(__xludf.DUMMYFUNCTION("""COMPUTED_VALUE"""),1.0)</f>
        <v>1</v>
      </c>
      <c r="N299" s="16">
        <f>IFERROR(__xludf.DUMMYFUNCTION("""COMPUTED_VALUE"""),-2.0)</f>
        <v>-2</v>
      </c>
      <c r="O299" s="16">
        <f>IFERROR(__xludf.DUMMYFUNCTION("""COMPUTED_VALUE"""),1.0)</f>
        <v>1</v>
      </c>
      <c r="P299" s="16">
        <f>IFERROR(__xludf.DUMMYFUNCTION("""COMPUTED_VALUE"""),7.0)</f>
        <v>7</v>
      </c>
      <c r="Q299" s="16">
        <f>IFERROR(__xludf.DUMMYFUNCTION("""COMPUTED_VALUE"""),6.0)</f>
        <v>6</v>
      </c>
      <c r="R299" s="16">
        <f>IFERROR(__xludf.DUMMYFUNCTION("""COMPUTED_VALUE"""),-1.0)</f>
        <v>-1</v>
      </c>
      <c r="S299" s="16">
        <f>IFERROR(__xludf.DUMMYFUNCTION("""COMPUTED_VALUE"""),-1.0)</f>
        <v>-1</v>
      </c>
      <c r="T299" s="16">
        <f>IFERROR(__xludf.DUMMYFUNCTION("""COMPUTED_VALUE"""),-1.0)</f>
        <v>-1</v>
      </c>
      <c r="U299" s="16">
        <f>IFERROR(__xludf.DUMMYFUNCTION("""COMPUTED_VALUE"""),-1.0)</f>
        <v>-1</v>
      </c>
      <c r="V299" s="16">
        <f>IFERROR(__xludf.DUMMYFUNCTION("""COMPUTED_VALUE"""),10.3)</f>
        <v>10.3</v>
      </c>
      <c r="W299" s="16">
        <f>IFERROR(__xludf.DUMMYFUNCTION("""COMPUTED_VALUE"""),18.4)</f>
        <v>18.4</v>
      </c>
      <c r="X299" s="16">
        <f>IFERROR(__xludf.DUMMYFUNCTION("""COMPUTED_VALUE"""),-1.0)</f>
        <v>-1</v>
      </c>
      <c r="Y299" s="16">
        <f>IFERROR(__xludf.DUMMYFUNCTION("""COMPUTED_VALUE"""),0.0)</f>
        <v>0</v>
      </c>
      <c r="Z299" s="16">
        <f>IFERROR(__xludf.DUMMYFUNCTION("""COMPUTED_VALUE"""),-2.0)</f>
        <v>-2</v>
      </c>
      <c r="AA299" s="16">
        <f>IFERROR(__xludf.DUMMYFUNCTION("""COMPUTED_VALUE"""),0.0)</f>
        <v>0</v>
      </c>
      <c r="AB299" s="16">
        <f>IFERROR(__xludf.DUMMYFUNCTION("""COMPUTED_VALUE"""),18.3)</f>
        <v>18.3</v>
      </c>
      <c r="AC299" s="16">
        <f>IFERROR(__xludf.DUMMYFUNCTION("""COMPUTED_VALUE"""),25.4)</f>
        <v>25.4</v>
      </c>
      <c r="AD299" s="16">
        <f>IFERROR(__xludf.DUMMYFUNCTION("""COMPUTED_VALUE"""),-2.0)</f>
        <v>-2</v>
      </c>
      <c r="AE299" s="16">
        <f>IFERROR(__xludf.DUMMYFUNCTION("""COMPUTED_VALUE"""),-1.0)</f>
        <v>-1</v>
      </c>
      <c r="AF299" s="16">
        <f>IFERROR(__xludf.DUMMYFUNCTION("""COMPUTED_VALUE"""),-10.0)</f>
        <v>-10</v>
      </c>
      <c r="AG299" s="16">
        <f>IFERROR(__xludf.DUMMYFUNCTION("""COMPUTED_VALUE"""),-5.0)</f>
        <v>-5</v>
      </c>
      <c r="AH299" s="16">
        <f>IFERROR(__xludf.DUMMYFUNCTION("""COMPUTED_VALUE"""),15.4)</f>
        <v>15.4</v>
      </c>
      <c r="AI299" s="16">
        <f>IFERROR(__xludf.DUMMYFUNCTION("""COMPUTED_VALUE"""),29.2)</f>
        <v>29.2</v>
      </c>
      <c r="AJ299" s="16">
        <f>IFERROR(__xludf.DUMMYFUNCTION("""COMPUTED_VALUE"""),-1.0)</f>
        <v>-1</v>
      </c>
      <c r="AK299" s="16">
        <f>IFERROR(__xludf.DUMMYFUNCTION("""COMPUTED_VALUE"""),0.0)</f>
        <v>0</v>
      </c>
      <c r="AL299" s="16">
        <f>IFERROR(__xludf.DUMMYFUNCTION("""COMPUTED_VALUE"""),-5.0)</f>
        <v>-5</v>
      </c>
      <c r="AM299" s="16">
        <f>IFERROR(__xludf.DUMMYFUNCTION("""COMPUTED_VALUE"""),0.0)</f>
        <v>0</v>
      </c>
      <c r="AN299" s="16">
        <f>IFERROR(__xludf.DUMMYFUNCTION("""COMPUTED_VALUE"""),1.5)</f>
        <v>1.5</v>
      </c>
      <c r="AO299" s="16">
        <f>IFERROR(__xludf.DUMMYFUNCTION("""COMPUTED_VALUE"""),2.0)</f>
        <v>2</v>
      </c>
      <c r="AP299" s="16">
        <f>IFERROR(__xludf.DUMMYFUNCTION("""COMPUTED_VALUE"""),-1.0)</f>
        <v>-1</v>
      </c>
      <c r="AQ299" s="16">
        <f>IFERROR(__xludf.DUMMYFUNCTION("""COMPUTED_VALUE"""),-1.0)</f>
        <v>-1</v>
      </c>
      <c r="AR299" s="16">
        <f>IFERROR(__xludf.DUMMYFUNCTION("""COMPUTED_VALUE"""),-2.0)</f>
        <v>-2</v>
      </c>
      <c r="AS299" s="16">
        <f>IFERROR(__xludf.DUMMYFUNCTION("""COMPUTED_VALUE"""),-2.0)</f>
        <v>-2</v>
      </c>
      <c r="AT299" s="16">
        <f>IFERROR(__xludf.DUMMYFUNCTION("""COMPUTED_VALUE"""),2.0)</f>
        <v>2</v>
      </c>
      <c r="AU299" s="16">
        <f>IFERROR(__xludf.DUMMYFUNCTION("""COMPUTED_VALUE"""),3.0)</f>
        <v>3</v>
      </c>
      <c r="AV299" s="16">
        <f>IFERROR(__xludf.DUMMYFUNCTION("""COMPUTED_VALUE"""),2.0)</f>
        <v>2</v>
      </c>
      <c r="AW299" s="16">
        <f>IFERROR(__xludf.DUMMYFUNCTION("""COMPUTED_VALUE"""),3.0)</f>
        <v>3</v>
      </c>
      <c r="AX299" s="16">
        <f>IFERROR(__xludf.DUMMYFUNCTION("""COMPUTED_VALUE"""),0.0)</f>
        <v>0</v>
      </c>
      <c r="AY299" s="16">
        <f>IFERROR(__xludf.DUMMYFUNCTION("""COMPUTED_VALUE"""),0.0)</f>
        <v>0</v>
      </c>
      <c r="AZ299" s="16">
        <f>IFERROR(__xludf.DUMMYFUNCTION("""COMPUTED_VALUE"""),0.0)</f>
        <v>0</v>
      </c>
      <c r="BA299" s="16">
        <f>IFERROR(__xludf.DUMMYFUNCTION("""COMPUTED_VALUE"""),0.0)</f>
        <v>0</v>
      </c>
      <c r="BB299" s="16">
        <f>IFERROR(__xludf.DUMMYFUNCTION("""COMPUTED_VALUE"""),5.0)</f>
        <v>5</v>
      </c>
      <c r="BC299" s="16">
        <f>IFERROR(__xludf.DUMMYFUNCTION("""COMPUTED_VALUE"""),5.0)</f>
        <v>5</v>
      </c>
      <c r="BD299" s="16">
        <f>IFERROR(__xludf.DUMMYFUNCTION("""COMPUTED_VALUE"""),1.0)</f>
        <v>1</v>
      </c>
      <c r="BE299" s="16">
        <f>IFERROR(__xludf.DUMMYFUNCTION("""COMPUTED_VALUE"""),1.0)</f>
        <v>1</v>
      </c>
      <c r="BF299" s="16">
        <f>IFERROR(__xludf.DUMMYFUNCTION("""COMPUTED_VALUE"""),1.0)</f>
        <v>1</v>
      </c>
      <c r="BG299" s="16">
        <f>IFERROR(__xludf.DUMMYFUNCTION("""COMPUTED_VALUE"""),1.0)</f>
        <v>1</v>
      </c>
      <c r="BH299" s="16">
        <f>IFERROR(__xludf.DUMMYFUNCTION("""COMPUTED_VALUE"""),10.0)</f>
        <v>10</v>
      </c>
      <c r="BI299" s="16">
        <f>IFERROR(__xludf.DUMMYFUNCTION("""COMPUTED_VALUE"""),10.0)</f>
        <v>10</v>
      </c>
      <c r="BJ299" s="16">
        <f>IFERROR(__xludf.DUMMYFUNCTION("""COMPUTED_VALUE"""),23.0)</f>
        <v>23</v>
      </c>
      <c r="BK299" s="16">
        <f>IFERROR(__xludf.DUMMYFUNCTION("""COMPUTED_VALUE"""),22.0)</f>
        <v>22</v>
      </c>
      <c r="BL299" s="16">
        <f>IFERROR(__xludf.DUMMYFUNCTION("""COMPUTED_VALUE"""),-2.0)</f>
        <v>-2</v>
      </c>
      <c r="BM299" s="16">
        <f>IFERROR(__xludf.DUMMYFUNCTION("""COMPUTED_VALUE"""),-2.0)</f>
        <v>-2</v>
      </c>
      <c r="BN299" s="16">
        <f>IFERROR(__xludf.DUMMYFUNCTION("""COMPUTED_VALUE"""),-4.0)</f>
        <v>-4</v>
      </c>
      <c r="BO299" s="16">
        <f>IFERROR(__xludf.DUMMYFUNCTION("""COMPUTED_VALUE"""),-4.0)</f>
        <v>-4</v>
      </c>
      <c r="BP299" s="16">
        <f>IFERROR(__xludf.DUMMYFUNCTION("""COMPUTED_VALUE"""),-9.0)</f>
        <v>-9</v>
      </c>
      <c r="BQ299" s="16">
        <f>IFERROR(__xludf.DUMMYFUNCTION("""COMPUTED_VALUE"""),-3.0)</f>
        <v>-3</v>
      </c>
      <c r="BR299" s="16">
        <f>IFERROR(__xludf.DUMMYFUNCTION("""COMPUTED_VALUE"""),-12.0)</f>
        <v>-12</v>
      </c>
      <c r="BS299" s="16" t="str">
        <f>IFERROR(__xludf.DUMMYFUNCTION("""COMPUTED_VALUE"""),"2/- (20-6)")</f>
        <v>2/- (20-6)</v>
      </c>
      <c r="BT299" s="16" t="str">
        <f>IFERROR(__xludf.DUMMYFUNCTION("""COMPUTED_VALUE"""),"E")</f>
        <v>E</v>
      </c>
      <c r="BU299" s="16">
        <f>IFERROR(__xludf.DUMMYFUNCTION("""COMPUTED_VALUE"""),8.0)</f>
        <v>8</v>
      </c>
      <c r="BV299" s="16">
        <f>IFERROR(__xludf.DUMMYFUNCTION("""COMPUTED_VALUE"""),0.0)</f>
        <v>0</v>
      </c>
      <c r="BW299" s="16">
        <f>IFERROR(__xludf.DUMMYFUNCTION("""COMPUTED_VALUE"""),-1.0)</f>
        <v>-1</v>
      </c>
      <c r="BX299" s="16">
        <f>IFERROR(__xludf.DUMMYFUNCTION("""COMPUTED_VALUE"""),0.0)</f>
        <v>0</v>
      </c>
      <c r="BY299" s="16">
        <f>IFERROR(__xludf.DUMMYFUNCTION("""COMPUTED_VALUE"""),-3.0)</f>
        <v>-3</v>
      </c>
      <c r="BZ299" s="16" t="str">
        <f>IFERROR(__xludf.DUMMYFUNCTION("""COMPUTED_VALUE"""),"D")</f>
        <v>D</v>
      </c>
      <c r="CA299" s="16" t="str">
        <f>IFERROR(__xludf.DUMMYFUNCTION("""COMPUTED_VALUE"""),"B")</f>
        <v>B</v>
      </c>
      <c r="CB299" s="16">
        <f>IFERROR(__xludf.DUMMYFUNCTION("""COMPUTED_VALUE"""),0.0)</f>
        <v>0</v>
      </c>
      <c r="CC299" s="16">
        <f>IFERROR(__xludf.DUMMYFUNCTION("""COMPUTED_VALUE"""),1.0)</f>
        <v>1</v>
      </c>
      <c r="CD299" s="16">
        <f>IFERROR(__xludf.DUMMYFUNCTION("""COMPUTED_VALUE"""),0.0)</f>
        <v>0</v>
      </c>
      <c r="CE299" s="16">
        <f>IFERROR(__xludf.DUMMYFUNCTION("""COMPUTED_VALUE"""),2.0)</f>
        <v>2</v>
      </c>
      <c r="CF299" s="16">
        <f>IFERROR(__xludf.DUMMYFUNCTION("""COMPUTED_VALUE"""),1.0)</f>
        <v>1</v>
      </c>
      <c r="CG299" s="16">
        <f>IFERROR(__xludf.DUMMYFUNCTION("""COMPUTED_VALUE"""),-25.0)</f>
        <v>-25</v>
      </c>
      <c r="CH299" s="16">
        <f>IFERROR(__xludf.DUMMYFUNCTION("""COMPUTED_VALUE"""),-10.0)</f>
        <v>-10</v>
      </c>
      <c r="CI299" s="179">
        <f>IFERROR(__xludf.DUMMYFUNCTION("""COMPUTED_VALUE"""),-9.0)</f>
        <v>-9</v>
      </c>
      <c r="CJ299" s="16"/>
      <c r="CK299" s="16">
        <f>IFERROR(__xludf.DUMMYFUNCTION("""COMPUTED_VALUE"""),403.0)</f>
        <v>403</v>
      </c>
      <c r="CL299" s="16"/>
      <c r="CM299" s="16"/>
      <c r="CN299" s="16"/>
      <c r="CO299" s="16"/>
      <c r="CP299" s="16"/>
      <c r="CQ299" s="16"/>
      <c r="CR299" s="16" t="str">
        <f>IFERROR(__xludf.DUMMYFUNCTION("""COMPUTED_VALUE"""),"1b-4e3")</f>
        <v>1b-4e3</v>
      </c>
      <c r="CS299" s="16"/>
      <c r="CT299" s="16">
        <f>IFERROR(__xludf.DUMMYFUNCTION("""COMPUTED_VALUE"""),4.0)</f>
        <v>4</v>
      </c>
      <c r="CU299" s="16"/>
      <c r="CV299" s="16"/>
      <c r="CW299" s="16"/>
      <c r="CX299" s="16"/>
      <c r="CY299" s="16"/>
      <c r="CZ299" s="16"/>
      <c r="DA299" s="16"/>
      <c r="DB299" s="16">
        <f>IFERROR(__xludf.DUMMYFUNCTION("""COMPUTED_VALUE"""),3.0)</f>
        <v>3</v>
      </c>
      <c r="DC299" s="16"/>
      <c r="DD299" s="16"/>
      <c r="DE299" s="16"/>
      <c r="DF299" s="16"/>
      <c r="DG299" s="16"/>
      <c r="DH299" s="16"/>
      <c r="DI299" s="16"/>
      <c r="DJ299" s="16">
        <f>IFERROR(__xludf.DUMMYFUNCTION("""COMPUTED_VALUE"""),0.0)</f>
        <v>0</v>
      </c>
      <c r="DK299" s="16"/>
      <c r="DL299" s="16"/>
      <c r="DM299" s="16"/>
      <c r="DN299" s="16"/>
      <c r="DO299" s="16"/>
      <c r="DP299" s="16"/>
      <c r="DQ299" s="16"/>
      <c r="DR299" s="16">
        <f>IFERROR(__xludf.DUMMYFUNCTION("""COMPUTED_VALUE"""),4.0)</f>
        <v>4</v>
      </c>
      <c r="DS299" s="16"/>
      <c r="DT299" s="16"/>
      <c r="DU299" s="16"/>
      <c r="DV299" s="16"/>
      <c r="DW299" s="16"/>
      <c r="DX299" s="16"/>
      <c r="DY299" s="16"/>
      <c r="DZ299" s="16">
        <f>IFERROR(__xludf.DUMMYFUNCTION("""COMPUTED_VALUE"""),4.0)</f>
        <v>4</v>
      </c>
      <c r="EA299" s="16"/>
      <c r="EB299" s="16"/>
      <c r="EC299" s="16"/>
      <c r="ED299" s="16"/>
      <c r="EE299" s="16"/>
      <c r="EF299" s="16"/>
      <c r="EG299" s="179"/>
      <c r="EH299" s="179">
        <f>IFERROR(__xludf.DUMMYFUNCTION("""COMPUTED_VALUE"""),-5.0)</f>
        <v>-5</v>
      </c>
      <c r="EI299" s="179"/>
      <c r="EJ299" s="179"/>
      <c r="EK299" s="179"/>
      <c r="EL299" s="179"/>
      <c r="EM299" s="179"/>
      <c r="EN299" s="179"/>
      <c r="EO299" s="16"/>
      <c r="EP299" s="16"/>
      <c r="EQ299" s="16">
        <f>IFERROR(__xludf.DUMMYFUNCTION("""COMPUTED_VALUE"""),4.0)</f>
        <v>4</v>
      </c>
      <c r="ER299" s="16">
        <f>IFERROR(__xludf.DUMMYFUNCTION("""COMPUTED_VALUE"""),1.0)</f>
        <v>1</v>
      </c>
      <c r="ES299" s="16"/>
      <c r="ET299" s="16"/>
      <c r="EU299" s="16"/>
      <c r="EV299" s="16"/>
      <c r="EW299" s="16"/>
      <c r="EX299" s="180"/>
      <c r="EY299" s="180">
        <f>IFERROR(__xludf.DUMMYFUNCTION("""COMPUTED_VALUE"""),0.3)</f>
        <v>0.3</v>
      </c>
      <c r="EZ299" s="180"/>
      <c r="FA299" s="180"/>
      <c r="FB299" s="180"/>
      <c r="FC299" s="180"/>
      <c r="FD299" s="180"/>
      <c r="FE299" s="180"/>
      <c r="FF299" s="180"/>
      <c r="FG299" s="180">
        <f>IFERROR(__xludf.DUMMYFUNCTION("""COMPUTED_VALUE"""),0.05555555555555555)</f>
        <v>0.05555555556</v>
      </c>
      <c r="FH299" s="180"/>
      <c r="FI299" s="180"/>
      <c r="FJ299" s="180"/>
      <c r="FK299" s="180"/>
      <c r="FL299" s="180"/>
      <c r="FM299" s="180"/>
      <c r="FN299" s="16"/>
      <c r="FO299" s="16">
        <f>IFERROR(__xludf.DUMMYFUNCTION("""COMPUTED_VALUE"""),0.6611111111111111)</f>
        <v>0.6611111111</v>
      </c>
      <c r="FP299" s="16"/>
      <c r="FQ299" s="16"/>
      <c r="FR299" s="16"/>
      <c r="FS299" s="16"/>
      <c r="FT299" s="16"/>
      <c r="FU299" s="16"/>
      <c r="FV299" s="16"/>
      <c r="FW299" s="16">
        <f>IFERROR(__xludf.DUMMYFUNCTION("""COMPUTED_VALUE"""),-4.0)</f>
        <v>-4</v>
      </c>
      <c r="FX299" s="16"/>
      <c r="FY299" s="16"/>
      <c r="FZ299" s="16"/>
      <c r="GA299" s="16"/>
      <c r="GB299" s="16"/>
      <c r="GC299" s="16"/>
      <c r="GD299" s="16" t="s">
        <v>176</v>
      </c>
    </row>
    <row r="300">
      <c r="A300" s="16">
        <f>IFERROR(__xludf.DUMMYFUNCTION("""COMPUTED_VALUE"""),13127.0)</f>
        <v>13127</v>
      </c>
      <c r="B300" s="16" t="str">
        <f>IFERROR(__xludf.DUMMYFUNCTION("""COMPUTED_VALUE"""),"Luis Campusano")</f>
        <v>Luis Campusano</v>
      </c>
      <c r="C300" s="16">
        <f>IFERROR(__xludf.DUMMYFUNCTION("""COMPUTED_VALUE"""),0.0)</f>
        <v>0</v>
      </c>
      <c r="D300" s="16" t="str">
        <f>IFERROR(__xludf.DUMMYFUNCTION("""COMPUTED_VALUE"""),"R")</f>
        <v>R</v>
      </c>
      <c r="E300" s="16"/>
      <c r="F300" s="16"/>
      <c r="G300" s="16">
        <f>IFERROR(__xludf.DUMMYFUNCTION("""COMPUTED_VALUE"""),277.0)</f>
        <v>277</v>
      </c>
      <c r="H300" s="16">
        <f>IFERROR(__xludf.DUMMYFUNCTION("""COMPUTED_VALUE"""),20.0)</f>
        <v>20</v>
      </c>
      <c r="I300" s="16" t="str">
        <f>IFERROR(__xludf.DUMMYFUNCTION("""COMPUTED_VALUE"""),"2p40")</f>
        <v>2p40</v>
      </c>
      <c r="J300" s="16">
        <f>IFERROR(__xludf.DUMMYFUNCTION("""COMPUTED_VALUE"""),0.0)</f>
        <v>0</v>
      </c>
      <c r="K300" s="16">
        <f>IFERROR(__xludf.DUMMYFUNCTION("""COMPUTED_VALUE"""),7.0)</f>
        <v>7</v>
      </c>
      <c r="L300" s="16">
        <f>IFERROR(__xludf.DUMMYFUNCTION("""COMPUTED_VALUE"""),3.0)</f>
        <v>3</v>
      </c>
      <c r="M300" s="16">
        <f>IFERROR(__xludf.DUMMYFUNCTION("""COMPUTED_VALUE"""),2.0)</f>
        <v>2</v>
      </c>
      <c r="N300" s="16">
        <f>IFERROR(__xludf.DUMMYFUNCTION("""COMPUTED_VALUE"""),3.0)</f>
        <v>3</v>
      </c>
      <c r="O300" s="16">
        <f>IFERROR(__xludf.DUMMYFUNCTION("""COMPUTED_VALUE"""),2.0)</f>
        <v>2</v>
      </c>
      <c r="P300" s="16">
        <f>IFERROR(__xludf.DUMMYFUNCTION("""COMPUTED_VALUE"""),3.0)</f>
        <v>3</v>
      </c>
      <c r="Q300" s="16">
        <f>IFERROR(__xludf.DUMMYFUNCTION("""COMPUTED_VALUE"""),8.0)</f>
        <v>8</v>
      </c>
      <c r="R300" s="16">
        <f>IFERROR(__xludf.DUMMYFUNCTION("""COMPUTED_VALUE"""),-2.0)</f>
        <v>-2</v>
      </c>
      <c r="S300" s="16">
        <f>IFERROR(__xludf.DUMMYFUNCTION("""COMPUTED_VALUE"""),0.0)</f>
        <v>0</v>
      </c>
      <c r="T300" s="16">
        <f>IFERROR(__xludf.DUMMYFUNCTION("""COMPUTED_VALUE"""),-2.0)</f>
        <v>-2</v>
      </c>
      <c r="U300" s="16">
        <f>IFERROR(__xludf.DUMMYFUNCTION("""COMPUTED_VALUE"""),0.0)</f>
        <v>0</v>
      </c>
      <c r="V300" s="16">
        <f>IFERROR(__xludf.DUMMYFUNCTION("""COMPUTED_VALUE"""),5.3)</f>
        <v>5.3</v>
      </c>
      <c r="W300" s="16">
        <f>IFERROR(__xludf.DUMMYFUNCTION("""COMPUTED_VALUE"""),21.1)</f>
        <v>21.1</v>
      </c>
      <c r="X300" s="16">
        <f>IFERROR(__xludf.DUMMYFUNCTION("""COMPUTED_VALUE"""),-2.0)</f>
        <v>-2</v>
      </c>
      <c r="Y300" s="16">
        <f>IFERROR(__xludf.DUMMYFUNCTION("""COMPUTED_VALUE"""),0.0)</f>
        <v>0</v>
      </c>
      <c r="Z300" s="16">
        <f>IFERROR(__xludf.DUMMYFUNCTION("""COMPUTED_VALUE"""),-4.0)</f>
        <v>-4</v>
      </c>
      <c r="AA300" s="16">
        <f>IFERROR(__xludf.DUMMYFUNCTION("""COMPUTED_VALUE"""),0.0)</f>
        <v>0</v>
      </c>
      <c r="AB300" s="16">
        <f>IFERROR(__xludf.DUMMYFUNCTION("""COMPUTED_VALUE"""),9.3)</f>
        <v>9.3</v>
      </c>
      <c r="AC300" s="16">
        <f>IFERROR(__xludf.DUMMYFUNCTION("""COMPUTED_VALUE"""),30.1)</f>
        <v>30.1</v>
      </c>
      <c r="AD300" s="16">
        <f>IFERROR(__xludf.DUMMYFUNCTION("""COMPUTED_VALUE"""),-2.0)</f>
        <v>-2</v>
      </c>
      <c r="AE300" s="16">
        <f>IFERROR(__xludf.DUMMYFUNCTION("""COMPUTED_VALUE"""),0.0)</f>
        <v>0</v>
      </c>
      <c r="AF300" s="16">
        <f>IFERROR(__xludf.DUMMYFUNCTION("""COMPUTED_VALUE"""),-10.0)</f>
        <v>-10</v>
      </c>
      <c r="AG300" s="16">
        <f>IFERROR(__xludf.DUMMYFUNCTION("""COMPUTED_VALUE"""),0.0)</f>
        <v>0</v>
      </c>
      <c r="AH300" s="16">
        <f>IFERROR(__xludf.DUMMYFUNCTION("""COMPUTED_VALUE"""),13.9)</f>
        <v>13.9</v>
      </c>
      <c r="AI300" s="16">
        <f>IFERROR(__xludf.DUMMYFUNCTION("""COMPUTED_VALUE"""),29.5)</f>
        <v>29.5</v>
      </c>
      <c r="AJ300" s="16">
        <f>IFERROR(__xludf.DUMMYFUNCTION("""COMPUTED_VALUE"""),-2.0)</f>
        <v>-2</v>
      </c>
      <c r="AK300" s="16">
        <f>IFERROR(__xludf.DUMMYFUNCTION("""COMPUTED_VALUE"""),0.0)</f>
        <v>0</v>
      </c>
      <c r="AL300" s="16">
        <f>IFERROR(__xludf.DUMMYFUNCTION("""COMPUTED_VALUE"""),-10.0)</f>
        <v>-10</v>
      </c>
      <c r="AM300" s="16">
        <f>IFERROR(__xludf.DUMMYFUNCTION("""COMPUTED_VALUE"""),0.0)</f>
        <v>0</v>
      </c>
      <c r="AN300" s="16">
        <f>IFERROR(__xludf.DUMMYFUNCTION("""COMPUTED_VALUE"""),2.8)</f>
        <v>2.8</v>
      </c>
      <c r="AO300" s="16">
        <f>IFERROR(__xludf.DUMMYFUNCTION("""COMPUTED_VALUE"""),1.0)</f>
        <v>1</v>
      </c>
      <c r="AP300" s="16">
        <f>IFERROR(__xludf.DUMMYFUNCTION("""COMPUTED_VALUE"""),1.0)</f>
        <v>1</v>
      </c>
      <c r="AQ300" s="16">
        <f>IFERROR(__xludf.DUMMYFUNCTION("""COMPUTED_VALUE"""),-2.0)</f>
        <v>-2</v>
      </c>
      <c r="AR300" s="16">
        <f>IFERROR(__xludf.DUMMYFUNCTION("""COMPUTED_VALUE"""),2.0)</f>
        <v>2</v>
      </c>
      <c r="AS300" s="16">
        <f>IFERROR(__xludf.DUMMYFUNCTION("""COMPUTED_VALUE"""),-4.0)</f>
        <v>-4</v>
      </c>
      <c r="AT300" s="16">
        <f>IFERROR(__xludf.DUMMYFUNCTION("""COMPUTED_VALUE"""),5.0)</f>
        <v>5</v>
      </c>
      <c r="AU300" s="16">
        <f>IFERROR(__xludf.DUMMYFUNCTION("""COMPUTED_VALUE"""),1.0)</f>
        <v>1</v>
      </c>
      <c r="AV300" s="16">
        <f>IFERROR(__xludf.DUMMYFUNCTION("""COMPUTED_VALUE"""),5.0)</f>
        <v>5</v>
      </c>
      <c r="AW300" s="16">
        <f>IFERROR(__xludf.DUMMYFUNCTION("""COMPUTED_VALUE"""),1.0)</f>
        <v>1</v>
      </c>
      <c r="AX300" s="16">
        <f>IFERROR(__xludf.DUMMYFUNCTION("""COMPUTED_VALUE"""),3.0)</f>
        <v>3</v>
      </c>
      <c r="AY300" s="16">
        <f>IFERROR(__xludf.DUMMYFUNCTION("""COMPUTED_VALUE"""),-1.0)</f>
        <v>-1</v>
      </c>
      <c r="AZ300" s="16">
        <f>IFERROR(__xludf.DUMMYFUNCTION("""COMPUTED_VALUE"""),9.0)</f>
        <v>9</v>
      </c>
      <c r="BA300" s="16">
        <f>IFERROR(__xludf.DUMMYFUNCTION("""COMPUTED_VALUE"""),-3.0)</f>
        <v>-3</v>
      </c>
      <c r="BB300" s="16">
        <f>IFERROR(__xludf.DUMMYFUNCTION("""COMPUTED_VALUE"""),5.0)</f>
        <v>5</v>
      </c>
      <c r="BC300" s="16">
        <f>IFERROR(__xludf.DUMMYFUNCTION("""COMPUTED_VALUE"""),5.0)</f>
        <v>5</v>
      </c>
      <c r="BD300" s="16">
        <f>IFERROR(__xludf.DUMMYFUNCTION("""COMPUTED_VALUE"""),1.0)</f>
        <v>1</v>
      </c>
      <c r="BE300" s="16">
        <f>IFERROR(__xludf.DUMMYFUNCTION("""COMPUTED_VALUE"""),1.0)</f>
        <v>1</v>
      </c>
      <c r="BF300" s="16">
        <f>IFERROR(__xludf.DUMMYFUNCTION("""COMPUTED_VALUE"""),1.0)</f>
        <v>1</v>
      </c>
      <c r="BG300" s="16">
        <f>IFERROR(__xludf.DUMMYFUNCTION("""COMPUTED_VALUE"""),1.0)</f>
        <v>1</v>
      </c>
      <c r="BH300" s="16">
        <f>IFERROR(__xludf.DUMMYFUNCTION("""COMPUTED_VALUE"""),4.0)</f>
        <v>4</v>
      </c>
      <c r="BI300" s="16">
        <f>IFERROR(__xludf.DUMMYFUNCTION("""COMPUTED_VALUE"""),4.0)</f>
        <v>4</v>
      </c>
      <c r="BJ300" s="16">
        <f>IFERROR(__xludf.DUMMYFUNCTION("""COMPUTED_VALUE"""),28.0)</f>
        <v>28</v>
      </c>
      <c r="BK300" s="16">
        <f>IFERROR(__xludf.DUMMYFUNCTION("""COMPUTED_VALUE"""),27.0)</f>
        <v>27</v>
      </c>
      <c r="BL300" s="16">
        <f>IFERROR(__xludf.DUMMYFUNCTION("""COMPUTED_VALUE"""),-3.0)</f>
        <v>-3</v>
      </c>
      <c r="BM300" s="16">
        <f>IFERROR(__xludf.DUMMYFUNCTION("""COMPUTED_VALUE"""),-2.0)</f>
        <v>-2</v>
      </c>
      <c r="BN300" s="16">
        <f>IFERROR(__xludf.DUMMYFUNCTION("""COMPUTED_VALUE"""),-6.0)</f>
        <v>-6</v>
      </c>
      <c r="BO300" s="16">
        <f>IFERROR(__xludf.DUMMYFUNCTION("""COMPUTED_VALUE"""),-4.0)</f>
        <v>-4</v>
      </c>
      <c r="BP300" s="16">
        <f>IFERROR(__xludf.DUMMYFUNCTION("""COMPUTED_VALUE"""),-3.0)</f>
        <v>-3</v>
      </c>
      <c r="BQ300" s="16">
        <f>IFERROR(__xludf.DUMMYFUNCTION("""COMPUTED_VALUE"""),-2.0)</f>
        <v>-2</v>
      </c>
      <c r="BR300" s="16">
        <f>IFERROR(__xludf.DUMMYFUNCTION("""COMPUTED_VALUE"""),-5.0)</f>
        <v>-5</v>
      </c>
      <c r="BS300" s="16" t="str">
        <f>IFERROR(__xludf.DUMMYFUNCTION("""COMPUTED_VALUE"""),"-/- (---)")</f>
        <v>-/- (---)</v>
      </c>
      <c r="BT300" s="16" t="str">
        <f>IFERROR(__xludf.DUMMYFUNCTION("""COMPUTED_VALUE"""),"E")</f>
        <v>E</v>
      </c>
      <c r="BU300" s="16">
        <f>IFERROR(__xludf.DUMMYFUNCTION("""COMPUTED_VALUE"""),10.0)</f>
        <v>10</v>
      </c>
      <c r="BV300" s="16">
        <f>IFERROR(__xludf.DUMMYFUNCTION("""COMPUTED_VALUE"""),0.0)</f>
        <v>0</v>
      </c>
      <c r="BW300" s="16">
        <f>IFERROR(__xludf.DUMMYFUNCTION("""COMPUTED_VALUE"""),0.0)</f>
        <v>0</v>
      </c>
      <c r="BX300" s="16">
        <f>IFERROR(__xludf.DUMMYFUNCTION("""COMPUTED_VALUE"""),0.0)</f>
        <v>0</v>
      </c>
      <c r="BY300" s="16">
        <f>IFERROR(__xludf.DUMMYFUNCTION("""COMPUTED_VALUE"""),0.0)</f>
        <v>0</v>
      </c>
      <c r="BZ300" s="16" t="str">
        <f>IFERROR(__xludf.DUMMYFUNCTION("""COMPUTED_VALUE"""),"D")</f>
        <v>D</v>
      </c>
      <c r="CA300" s="16" t="str">
        <f>IFERROR(__xludf.DUMMYFUNCTION("""COMPUTED_VALUE"""),"C")</f>
        <v>C</v>
      </c>
      <c r="CB300" s="16">
        <f>IFERROR(__xludf.DUMMYFUNCTION("""COMPUTED_VALUE"""),0.0)</f>
        <v>0</v>
      </c>
      <c r="CC300" s="16">
        <f>IFERROR(__xludf.DUMMYFUNCTION("""COMPUTED_VALUE"""),0.0)</f>
        <v>0</v>
      </c>
      <c r="CD300" s="16">
        <f>IFERROR(__xludf.DUMMYFUNCTION("""COMPUTED_VALUE"""),0.0)</f>
        <v>0</v>
      </c>
      <c r="CE300" s="16">
        <f>IFERROR(__xludf.DUMMYFUNCTION("""COMPUTED_VALUE"""),0.0)</f>
        <v>0</v>
      </c>
      <c r="CF300" s="16">
        <f>IFERROR(__xludf.DUMMYFUNCTION("""COMPUTED_VALUE"""),2.0)</f>
        <v>2</v>
      </c>
      <c r="CG300" s="16">
        <f>IFERROR(__xludf.DUMMYFUNCTION("""COMPUTED_VALUE"""),-17.0)</f>
        <v>-17</v>
      </c>
      <c r="CH300" s="16">
        <f>IFERROR(__xludf.DUMMYFUNCTION("""COMPUTED_VALUE"""),-8.0)</f>
        <v>-8</v>
      </c>
      <c r="CI300" s="179">
        <f>IFERROR(__xludf.DUMMYFUNCTION("""COMPUTED_VALUE"""),-9.0)</f>
        <v>-9</v>
      </c>
      <c r="CJ300" s="16">
        <f>IFERROR(__xludf.DUMMYFUNCTION("""COMPUTED_VALUE"""),406.0)</f>
        <v>406</v>
      </c>
      <c r="CK300" s="16">
        <f>IFERROR(__xludf.DUMMYFUNCTION("""COMPUTED_VALUE"""),530.0)</f>
        <v>530</v>
      </c>
      <c r="CL300" s="16"/>
      <c r="CM300" s="16"/>
      <c r="CN300" s="16"/>
      <c r="CO300" s="16"/>
      <c r="CP300" s="16"/>
      <c r="CQ300" s="16"/>
      <c r="CR300" s="16" t="str">
        <f>IFERROR(__xludf.DUMMYFUNCTION("""COMPUTED_VALUE"""),"c-4(+1)e6,T-1(pb-2) 1b-5e30")</f>
        <v>c-4(+1)e6,T-1(pb-2) 1b-5e30</v>
      </c>
      <c r="CS300" s="16">
        <f>IFERROR(__xludf.DUMMYFUNCTION("""COMPUTED_VALUE"""),4.0)</f>
        <v>4</v>
      </c>
      <c r="CT300" s="16">
        <f>IFERROR(__xludf.DUMMYFUNCTION("""COMPUTED_VALUE"""),5.0)</f>
        <v>5</v>
      </c>
      <c r="CU300" s="16"/>
      <c r="CV300" s="16"/>
      <c r="CW300" s="16"/>
      <c r="CX300" s="16"/>
      <c r="CY300" s="16"/>
      <c r="CZ300" s="16"/>
      <c r="DA300" s="16">
        <f>IFERROR(__xludf.DUMMYFUNCTION("""COMPUTED_VALUE"""),6.0)</f>
        <v>6</v>
      </c>
      <c r="DB300" s="16">
        <f>IFERROR(__xludf.DUMMYFUNCTION("""COMPUTED_VALUE"""),30.0)</f>
        <v>30</v>
      </c>
      <c r="DC300" s="16"/>
      <c r="DD300" s="16"/>
      <c r="DE300" s="16"/>
      <c r="DF300" s="16"/>
      <c r="DG300" s="16"/>
      <c r="DH300" s="16"/>
      <c r="DI300" s="16">
        <f>IFERROR(__xludf.DUMMYFUNCTION("""COMPUTED_VALUE"""),-2.0)</f>
        <v>-2</v>
      </c>
      <c r="DJ300" s="16">
        <f>IFERROR(__xludf.DUMMYFUNCTION("""COMPUTED_VALUE"""),-2.0)</f>
        <v>-2</v>
      </c>
      <c r="DK300" s="16"/>
      <c r="DL300" s="16"/>
      <c r="DM300" s="16"/>
      <c r="DN300" s="16"/>
      <c r="DO300" s="16"/>
      <c r="DP300" s="16"/>
      <c r="DQ300" s="16">
        <f>IFERROR(__xludf.DUMMYFUNCTION("""COMPUTED_VALUE"""),2.0)</f>
        <v>2</v>
      </c>
      <c r="DR300" s="16">
        <f>IFERROR(__xludf.DUMMYFUNCTION("""COMPUTED_VALUE"""),-2.0)</f>
        <v>-2</v>
      </c>
      <c r="DS300" s="16"/>
      <c r="DT300" s="16"/>
      <c r="DU300" s="16"/>
      <c r="DV300" s="16"/>
      <c r="DW300" s="16"/>
      <c r="DX300" s="16"/>
      <c r="DY300" s="16">
        <f>IFERROR(__xludf.DUMMYFUNCTION("""COMPUTED_VALUE"""),0.0)</f>
        <v>0</v>
      </c>
      <c r="DZ300" s="16">
        <f>IFERROR(__xludf.DUMMYFUNCTION("""COMPUTED_VALUE"""),-4.0)</f>
        <v>-4</v>
      </c>
      <c r="EA300" s="16"/>
      <c r="EB300" s="16"/>
      <c r="EC300" s="16"/>
      <c r="ED300" s="16"/>
      <c r="EE300" s="16"/>
      <c r="EF300" s="16"/>
      <c r="EG300" s="179">
        <f>IFERROR(__xludf.DUMMYFUNCTION("""COMPUTED_VALUE"""),-8.0)</f>
        <v>-8</v>
      </c>
      <c r="EH300" s="179">
        <f>IFERROR(__xludf.DUMMYFUNCTION("""COMPUTED_VALUE"""),-13.0)</f>
        <v>-13</v>
      </c>
      <c r="EI300" s="179"/>
      <c r="EJ300" s="179"/>
      <c r="EK300" s="179"/>
      <c r="EL300" s="179"/>
      <c r="EM300" s="179"/>
      <c r="EN300" s="179"/>
      <c r="EO300" s="16">
        <f>IFERROR(__xludf.DUMMYFUNCTION("""COMPUTED_VALUE"""),1.0)</f>
        <v>1</v>
      </c>
      <c r="EP300" s="16"/>
      <c r="EQ300" s="16">
        <f>IFERROR(__xludf.DUMMYFUNCTION("""COMPUTED_VALUE"""),2.0)</f>
        <v>2</v>
      </c>
      <c r="ER300" s="16">
        <f>IFERROR(__xludf.DUMMYFUNCTION("""COMPUTED_VALUE"""),-1.0)</f>
        <v>-1</v>
      </c>
      <c r="ES300" s="16" t="str">
        <f>IFERROR(__xludf.DUMMYFUNCTION("""COMPUTED_VALUE"""),"c-4")</f>
        <v>c-4</v>
      </c>
      <c r="ET300" s="16" t="str">
        <f>IFERROR(__xludf.DUMMYFUNCTION("""COMPUTED_VALUE"""),"+1)e6,T-1")</f>
        <v>+1)e6,T-1</v>
      </c>
      <c r="EU300" s="16" t="str">
        <f>IFERROR(__xludf.DUMMYFUNCTION("""COMPUTED_VALUE"""),"pb-2) 1b-5e30")</f>
        <v>pb-2) 1b-5e30</v>
      </c>
      <c r="EV300" s="16"/>
      <c r="EW300" s="16">
        <f>IFERROR(__xludf.DUMMYFUNCTION("""COMPUTED_VALUE"""),1.0)</f>
        <v>1</v>
      </c>
      <c r="EX300" s="180">
        <f>IFERROR(__xludf.DUMMYFUNCTION("""COMPUTED_VALUE"""),0.3)</f>
        <v>0.3</v>
      </c>
      <c r="EY300" s="180">
        <f>IFERROR(__xludf.DUMMYFUNCTION("""COMPUTED_VALUE"""),0.4)</f>
        <v>0.4</v>
      </c>
      <c r="EZ300" s="180"/>
      <c r="FA300" s="180"/>
      <c r="FB300" s="180"/>
      <c r="FC300" s="180"/>
      <c r="FD300" s="180"/>
      <c r="FE300" s="180"/>
      <c r="FF300" s="180">
        <f>IFERROR(__xludf.DUMMYFUNCTION("""COMPUTED_VALUE"""),0.075)</f>
        <v>0.075</v>
      </c>
      <c r="FG300" s="180">
        <f>IFERROR(__xludf.DUMMYFUNCTION("""COMPUTED_VALUE"""),0.5370370370370371)</f>
        <v>0.537037037</v>
      </c>
      <c r="FH300" s="180"/>
      <c r="FI300" s="180"/>
      <c r="FJ300" s="180"/>
      <c r="FK300" s="180"/>
      <c r="FL300" s="180"/>
      <c r="FM300" s="180"/>
      <c r="FN300" s="16">
        <f>IFERROR(__xludf.DUMMYFUNCTION("""COMPUTED_VALUE"""),0.6475)</f>
        <v>0.6475</v>
      </c>
      <c r="FO300" s="16">
        <f>IFERROR(__xludf.DUMMYFUNCTION("""COMPUTED_VALUE"""),0.27777777777777773)</f>
        <v>0.2777777778</v>
      </c>
      <c r="FP300" s="16"/>
      <c r="FQ300" s="16"/>
      <c r="FR300" s="16"/>
      <c r="FS300" s="16"/>
      <c r="FT300" s="16"/>
      <c r="FU300" s="16"/>
      <c r="FV300" s="16">
        <f>IFERROR(__xludf.DUMMYFUNCTION("""COMPUTED_VALUE"""),-7.0)</f>
        <v>-7</v>
      </c>
      <c r="FW300" s="16">
        <f>IFERROR(__xludf.DUMMYFUNCTION("""COMPUTED_VALUE"""),-8.0)</f>
        <v>-8</v>
      </c>
      <c r="FX300" s="16"/>
      <c r="FY300" s="16"/>
      <c r="FZ300" s="16"/>
      <c r="GA300" s="16"/>
      <c r="GB300" s="16"/>
      <c r="GC300" s="16"/>
      <c r="GD300" s="16" t="s">
        <v>176</v>
      </c>
    </row>
    <row r="301">
      <c r="A301" s="16">
        <f>IFERROR(__xludf.DUMMYFUNCTION("""COMPUTED_VALUE"""),13115.0)</f>
        <v>13115</v>
      </c>
      <c r="B301" s="16" t="str">
        <f>IFERROR(__xludf.DUMMYFUNCTION("""COMPUTED_VALUE"""),"Leo Rivas")</f>
        <v>Leo Rivas</v>
      </c>
      <c r="C301" s="16">
        <f>IFERROR(__xludf.DUMMYFUNCTION("""COMPUTED_VALUE"""),0.61)</f>
        <v>0.61</v>
      </c>
      <c r="D301" s="16" t="str">
        <f>IFERROR(__xludf.DUMMYFUNCTION("""COMPUTED_VALUE"""),"S")</f>
        <v>S</v>
      </c>
      <c r="E301" s="16"/>
      <c r="F301" s="16"/>
      <c r="G301" s="16">
        <f>IFERROR(__xludf.DUMMYFUNCTION("""COMPUTED_VALUE"""),73.0)</f>
        <v>73</v>
      </c>
      <c r="H301" s="16">
        <f>IFERROR(__xludf.DUMMYFUNCTION("""COMPUTED_VALUE"""),10.0)</f>
        <v>10</v>
      </c>
      <c r="I301" s="16" t="str">
        <f>IFERROR(__xludf.DUMMYFUNCTION("""COMPUTED_VALUE"""),"1p20")</f>
        <v>1p20</v>
      </c>
      <c r="J301" s="16">
        <f>IFERROR(__xludf.DUMMYFUNCTION("""COMPUTED_VALUE"""),48.0)</f>
        <v>48</v>
      </c>
      <c r="K301" s="16">
        <f>IFERROR(__xludf.DUMMYFUNCTION("""COMPUTED_VALUE"""),30.0)</f>
        <v>30</v>
      </c>
      <c r="L301" s="16">
        <f>IFERROR(__xludf.DUMMYFUNCTION("""COMPUTED_VALUE"""),-2.0)</f>
        <v>-2</v>
      </c>
      <c r="M301" s="16">
        <f>IFERROR(__xludf.DUMMYFUNCTION("""COMPUTED_VALUE"""),-1.0)</f>
        <v>-1</v>
      </c>
      <c r="N301" s="16">
        <f>IFERROR(__xludf.DUMMYFUNCTION("""COMPUTED_VALUE"""),-2.0)</f>
        <v>-2</v>
      </c>
      <c r="O301" s="16">
        <f>IFERROR(__xludf.DUMMYFUNCTION("""COMPUTED_VALUE"""),-1.0)</f>
        <v>-1</v>
      </c>
      <c r="P301" s="16">
        <f>IFERROR(__xludf.DUMMYFUNCTION("""COMPUTED_VALUE"""),18.0)</f>
        <v>18</v>
      </c>
      <c r="Q301" s="16">
        <f>IFERROR(__xludf.DUMMYFUNCTION("""COMPUTED_VALUE"""),15.0)</f>
        <v>15</v>
      </c>
      <c r="R301" s="16">
        <f>IFERROR(__xludf.DUMMYFUNCTION("""COMPUTED_VALUE"""),3.0)</f>
        <v>3</v>
      </c>
      <c r="S301" s="16">
        <f>IFERROR(__xludf.DUMMYFUNCTION("""COMPUTED_VALUE"""),2.0)</f>
        <v>2</v>
      </c>
      <c r="T301" s="16">
        <f>IFERROR(__xludf.DUMMYFUNCTION("""COMPUTED_VALUE"""),3.0)</f>
        <v>3</v>
      </c>
      <c r="U301" s="16">
        <f>IFERROR(__xludf.DUMMYFUNCTION("""COMPUTED_VALUE"""),2.0)</f>
        <v>2</v>
      </c>
      <c r="V301" s="16">
        <f>IFERROR(__xludf.DUMMYFUNCTION("""COMPUTED_VALUE"""),9.7)</f>
        <v>9.7</v>
      </c>
      <c r="W301" s="16">
        <f>IFERROR(__xludf.DUMMYFUNCTION("""COMPUTED_VALUE"""),21.6)</f>
        <v>21.6</v>
      </c>
      <c r="X301" s="16">
        <f>IFERROR(__xludf.DUMMYFUNCTION("""COMPUTED_VALUE"""),-1.0)</f>
        <v>-1</v>
      </c>
      <c r="Y301" s="16">
        <f>IFERROR(__xludf.DUMMYFUNCTION("""COMPUTED_VALUE"""),0.0)</f>
        <v>0</v>
      </c>
      <c r="Z301" s="16">
        <f>IFERROR(__xludf.DUMMYFUNCTION("""COMPUTED_VALUE"""),-2.0)</f>
        <v>-2</v>
      </c>
      <c r="AA301" s="16">
        <f>IFERROR(__xludf.DUMMYFUNCTION("""COMPUTED_VALUE"""),0.0)</f>
        <v>0</v>
      </c>
      <c r="AB301" s="16">
        <f>IFERROR(__xludf.DUMMYFUNCTION("""COMPUTED_VALUE"""),30.7)</f>
        <v>30.7</v>
      </c>
      <c r="AC301" s="16">
        <f>IFERROR(__xludf.DUMMYFUNCTION("""COMPUTED_VALUE"""),39.6)</f>
        <v>39.6</v>
      </c>
      <c r="AD301" s="16">
        <f>IFERROR(__xludf.DUMMYFUNCTION("""COMPUTED_VALUE"""),0.0)</f>
        <v>0</v>
      </c>
      <c r="AE301" s="16">
        <f>IFERROR(__xludf.DUMMYFUNCTION("""COMPUTED_VALUE"""),1.0)</f>
        <v>1</v>
      </c>
      <c r="AF301" s="16">
        <f>IFERROR(__xludf.DUMMYFUNCTION("""COMPUTED_VALUE"""),0.0)</f>
        <v>0</v>
      </c>
      <c r="AG301" s="16">
        <f>IFERROR(__xludf.DUMMYFUNCTION("""COMPUTED_VALUE"""),5.0)</f>
        <v>5</v>
      </c>
      <c r="AH301" s="16">
        <f>IFERROR(__xludf.DUMMYFUNCTION("""COMPUTED_VALUE"""),9.7)</f>
        <v>9.7</v>
      </c>
      <c r="AI301" s="16">
        <f>IFERROR(__xludf.DUMMYFUNCTION("""COMPUTED_VALUE"""),28.7)</f>
        <v>28.7</v>
      </c>
      <c r="AJ301" s="16">
        <f>IFERROR(__xludf.DUMMYFUNCTION("""COMPUTED_VALUE"""),-2.0)</f>
        <v>-2</v>
      </c>
      <c r="AK301" s="16">
        <f>IFERROR(__xludf.DUMMYFUNCTION("""COMPUTED_VALUE"""),0.0)</f>
        <v>0</v>
      </c>
      <c r="AL301" s="16">
        <f>IFERROR(__xludf.DUMMYFUNCTION("""COMPUTED_VALUE"""),-10.0)</f>
        <v>-10</v>
      </c>
      <c r="AM301" s="16">
        <f>IFERROR(__xludf.DUMMYFUNCTION("""COMPUTED_VALUE"""),0.0)</f>
        <v>0</v>
      </c>
      <c r="AN301" s="16">
        <f>IFERROR(__xludf.DUMMYFUNCTION("""COMPUTED_VALUE"""),0.0)</f>
        <v>0</v>
      </c>
      <c r="AO301" s="16">
        <f>IFERROR(__xludf.DUMMYFUNCTION("""COMPUTED_VALUE"""),0.0)</f>
        <v>0</v>
      </c>
      <c r="AP301" s="16">
        <f>IFERROR(__xludf.DUMMYFUNCTION("""COMPUTED_VALUE"""),-2.0)</f>
        <v>-2</v>
      </c>
      <c r="AQ301" s="16">
        <f>IFERROR(__xludf.DUMMYFUNCTION("""COMPUTED_VALUE"""),-3.0)</f>
        <v>-3</v>
      </c>
      <c r="AR301" s="16">
        <f>IFERROR(__xludf.DUMMYFUNCTION("""COMPUTED_VALUE"""),-4.0)</f>
        <v>-4</v>
      </c>
      <c r="AS301" s="16">
        <f>IFERROR(__xludf.DUMMYFUNCTION("""COMPUTED_VALUE"""),-6.0)</f>
        <v>-6</v>
      </c>
      <c r="AT301" s="16"/>
      <c r="AU301" s="16"/>
      <c r="AV301" s="16">
        <f>IFERROR(__xludf.DUMMYFUNCTION("""COMPUTED_VALUE"""),-3.0)</f>
        <v>-3</v>
      </c>
      <c r="AW301" s="16">
        <f>IFERROR(__xludf.DUMMYFUNCTION("""COMPUTED_VALUE"""),-3.0)</f>
        <v>-3</v>
      </c>
      <c r="AX301" s="16">
        <f>IFERROR(__xludf.DUMMYFUNCTION("""COMPUTED_VALUE"""),-3.0)</f>
        <v>-3</v>
      </c>
      <c r="AY301" s="16">
        <f>IFERROR(__xludf.DUMMYFUNCTION("""COMPUTED_VALUE"""),-3.0)</f>
        <v>-3</v>
      </c>
      <c r="AZ301" s="16">
        <f>IFERROR(__xludf.DUMMYFUNCTION("""COMPUTED_VALUE"""),-9.0)</f>
        <v>-9</v>
      </c>
      <c r="BA301" s="16">
        <f>IFERROR(__xludf.DUMMYFUNCTION("""COMPUTED_VALUE"""),-9.0)</f>
        <v>-9</v>
      </c>
      <c r="BB301" s="16">
        <f>IFERROR(__xludf.DUMMYFUNCTION("""COMPUTED_VALUE"""),5.0)</f>
        <v>5</v>
      </c>
      <c r="BC301" s="16">
        <f>IFERROR(__xludf.DUMMYFUNCTION("""COMPUTED_VALUE"""),5.0)</f>
        <v>5</v>
      </c>
      <c r="BD301" s="16">
        <f>IFERROR(__xludf.DUMMYFUNCTION("""COMPUTED_VALUE"""),1.0)</f>
        <v>1</v>
      </c>
      <c r="BE301" s="16">
        <f>IFERROR(__xludf.DUMMYFUNCTION("""COMPUTED_VALUE"""),1.0)</f>
        <v>1</v>
      </c>
      <c r="BF301" s="16">
        <f>IFERROR(__xludf.DUMMYFUNCTION("""COMPUTED_VALUE"""),1.0)</f>
        <v>1</v>
      </c>
      <c r="BG301" s="16">
        <f>IFERROR(__xludf.DUMMYFUNCTION("""COMPUTED_VALUE"""),1.0)</f>
        <v>1</v>
      </c>
      <c r="BH301" s="16">
        <f>IFERROR(__xludf.DUMMYFUNCTION("""COMPUTED_VALUE"""),3.0)</f>
        <v>3</v>
      </c>
      <c r="BI301" s="16">
        <f>IFERROR(__xludf.DUMMYFUNCTION("""COMPUTED_VALUE"""),4.0)</f>
        <v>4</v>
      </c>
      <c r="BJ301" s="16">
        <f>IFERROR(__xludf.DUMMYFUNCTION("""COMPUTED_VALUE"""),8.0)</f>
        <v>8</v>
      </c>
      <c r="BK301" s="16">
        <f>IFERROR(__xludf.DUMMYFUNCTION("""COMPUTED_VALUE"""),8.0)</f>
        <v>8</v>
      </c>
      <c r="BL301" s="16">
        <f>IFERROR(__xludf.DUMMYFUNCTION("""COMPUTED_VALUE"""),1.0)</f>
        <v>1</v>
      </c>
      <c r="BM301" s="16">
        <f>IFERROR(__xludf.DUMMYFUNCTION("""COMPUTED_VALUE"""),1.0)</f>
        <v>1</v>
      </c>
      <c r="BN301" s="16">
        <f>IFERROR(__xludf.DUMMYFUNCTION("""COMPUTED_VALUE"""),1.0)</f>
        <v>1</v>
      </c>
      <c r="BO301" s="16">
        <f>IFERROR(__xludf.DUMMYFUNCTION("""COMPUTED_VALUE"""),1.0)</f>
        <v>1</v>
      </c>
      <c r="BP301" s="16">
        <f>IFERROR(__xludf.DUMMYFUNCTION("""COMPUTED_VALUE"""),-5.0)</f>
        <v>-5</v>
      </c>
      <c r="BQ301" s="16">
        <f>IFERROR(__xludf.DUMMYFUNCTION("""COMPUTED_VALUE"""),-2.0)</f>
        <v>-2</v>
      </c>
      <c r="BR301" s="16">
        <f>IFERROR(__xludf.DUMMYFUNCTION("""COMPUTED_VALUE"""),-7.0)</f>
        <v>-7</v>
      </c>
      <c r="BS301" s="16" t="str">
        <f>IFERROR(__xludf.DUMMYFUNCTION("""COMPUTED_VALUE"""),"*5/- (20-11)")</f>
        <v>*5/- (20-11)</v>
      </c>
      <c r="BT301" s="16" t="str">
        <f>IFERROR(__xludf.DUMMYFUNCTION("""COMPUTED_VALUE"""),"B")</f>
        <v>B</v>
      </c>
      <c r="BU301" s="16">
        <f>IFERROR(__xludf.DUMMYFUNCTION("""COMPUTED_VALUE"""),16.0)</f>
        <v>16</v>
      </c>
      <c r="BV301" s="16">
        <f>IFERROR(__xludf.DUMMYFUNCTION("""COMPUTED_VALUE"""),1.0)</f>
        <v>1</v>
      </c>
      <c r="BW301" s="16">
        <f>IFERROR(__xludf.DUMMYFUNCTION("""COMPUTED_VALUE"""),2.0)</f>
        <v>2</v>
      </c>
      <c r="BX301" s="16">
        <f>IFERROR(__xludf.DUMMYFUNCTION("""COMPUTED_VALUE"""),2.0)</f>
        <v>2</v>
      </c>
      <c r="BY301" s="16">
        <f>IFERROR(__xludf.DUMMYFUNCTION("""COMPUTED_VALUE"""),6.0)</f>
        <v>6</v>
      </c>
      <c r="BZ301" s="16" t="str">
        <f>IFERROR(__xludf.DUMMYFUNCTION("""COMPUTED_VALUE"""),"B")</f>
        <v>B</v>
      </c>
      <c r="CA301" s="16" t="str">
        <f>IFERROR(__xludf.DUMMYFUNCTION("""COMPUTED_VALUE"""),"D")</f>
        <v>D</v>
      </c>
      <c r="CB301" s="16">
        <f>IFERROR(__xludf.DUMMYFUNCTION("""COMPUTED_VALUE"""),1.0)</f>
        <v>1</v>
      </c>
      <c r="CC301" s="16">
        <f>IFERROR(__xludf.DUMMYFUNCTION("""COMPUTED_VALUE"""),0.0)</f>
        <v>0</v>
      </c>
      <c r="CD301" s="16">
        <f>IFERROR(__xludf.DUMMYFUNCTION("""COMPUTED_VALUE"""),1.0)</f>
        <v>1</v>
      </c>
      <c r="CE301" s="16">
        <f>IFERROR(__xludf.DUMMYFUNCTION("""COMPUTED_VALUE"""),0.0)</f>
        <v>0</v>
      </c>
      <c r="CF301" s="16">
        <f>IFERROR(__xludf.DUMMYFUNCTION("""COMPUTED_VALUE"""),1.0)</f>
        <v>1</v>
      </c>
      <c r="CG301" s="16">
        <f>IFERROR(__xludf.DUMMYFUNCTION("""COMPUTED_VALUE"""),-22.0)</f>
        <v>-22</v>
      </c>
      <c r="CH301" s="16">
        <f>IFERROR(__xludf.DUMMYFUNCTION("""COMPUTED_VALUE"""),-7.0)</f>
        <v>-7</v>
      </c>
      <c r="CI301" s="179">
        <f>IFERROR(__xludf.DUMMYFUNCTION("""COMPUTED_VALUE"""),-9.0)</f>
        <v>-9</v>
      </c>
      <c r="CJ301" s="16"/>
      <c r="CK301" s="16"/>
      <c r="CL301" s="16">
        <f>IFERROR(__xludf.DUMMYFUNCTION("""COMPUTED_VALUE"""),311.0)</f>
        <v>311</v>
      </c>
      <c r="CM301" s="16">
        <f>IFERROR(__xludf.DUMMYFUNCTION("""COMPUTED_VALUE"""),319.0)</f>
        <v>319</v>
      </c>
      <c r="CN301" s="16">
        <f>IFERROR(__xludf.DUMMYFUNCTION("""COMPUTED_VALUE"""),316.0)</f>
        <v>316</v>
      </c>
      <c r="CO301" s="16"/>
      <c r="CP301" s="16"/>
      <c r="CQ301" s="16"/>
      <c r="CR301" s="16" t="str">
        <f>IFERROR(__xludf.DUMMYFUNCTION("""COMPUTED_VALUE"""),"ss-3e16 2b-3e11 3b-3e19")</f>
        <v>ss-3e16 2b-3e11 3b-3e19</v>
      </c>
      <c r="CS301" s="16"/>
      <c r="CT301" s="16"/>
      <c r="CU301" s="16">
        <f>IFERROR(__xludf.DUMMYFUNCTION("""COMPUTED_VALUE"""),3.0)</f>
        <v>3</v>
      </c>
      <c r="CV301" s="16">
        <f>IFERROR(__xludf.DUMMYFUNCTION("""COMPUTED_VALUE"""),3.0)</f>
        <v>3</v>
      </c>
      <c r="CW301" s="16">
        <f>IFERROR(__xludf.DUMMYFUNCTION("""COMPUTED_VALUE"""),3.0)</f>
        <v>3</v>
      </c>
      <c r="CX301" s="16"/>
      <c r="CY301" s="16"/>
      <c r="CZ301" s="16"/>
      <c r="DA301" s="16"/>
      <c r="DB301" s="16"/>
      <c r="DC301" s="16">
        <f>IFERROR(__xludf.DUMMYFUNCTION("""COMPUTED_VALUE"""),11.0)</f>
        <v>11</v>
      </c>
      <c r="DD301" s="16">
        <f>IFERROR(__xludf.DUMMYFUNCTION("""COMPUTED_VALUE"""),19.0)</f>
        <v>19</v>
      </c>
      <c r="DE301" s="16">
        <f>IFERROR(__xludf.DUMMYFUNCTION("""COMPUTED_VALUE"""),16.0)</f>
        <v>16</v>
      </c>
      <c r="DF301" s="16"/>
      <c r="DG301" s="16"/>
      <c r="DH301" s="16"/>
      <c r="DI301" s="16"/>
      <c r="DJ301" s="16"/>
      <c r="DK301" s="16">
        <f>IFERROR(__xludf.DUMMYFUNCTION("""COMPUTED_VALUE"""),0.0)</f>
        <v>0</v>
      </c>
      <c r="DL301" s="16">
        <f>IFERROR(__xludf.DUMMYFUNCTION("""COMPUTED_VALUE"""),1.0)</f>
        <v>1</v>
      </c>
      <c r="DM301" s="16">
        <f>IFERROR(__xludf.DUMMYFUNCTION("""COMPUTED_VALUE"""),0.0)</f>
        <v>0</v>
      </c>
      <c r="DN301" s="16"/>
      <c r="DO301" s="16"/>
      <c r="DP301" s="16"/>
      <c r="DQ301" s="16"/>
      <c r="DR301" s="16"/>
      <c r="DS301" s="16">
        <f>IFERROR(__xludf.DUMMYFUNCTION("""COMPUTED_VALUE"""),2.0)</f>
        <v>2</v>
      </c>
      <c r="DT301" s="16">
        <f>IFERROR(__xludf.DUMMYFUNCTION("""COMPUTED_VALUE"""),0.0)</f>
        <v>0</v>
      </c>
      <c r="DU301" s="16">
        <f>IFERROR(__xludf.DUMMYFUNCTION("""COMPUTED_VALUE"""),2.0)</f>
        <v>2</v>
      </c>
      <c r="DV301" s="16"/>
      <c r="DW301" s="16"/>
      <c r="DX301" s="16"/>
      <c r="DY301" s="16"/>
      <c r="DZ301" s="16"/>
      <c r="EA301" s="16">
        <f>IFERROR(__xludf.DUMMYFUNCTION("""COMPUTED_VALUE"""),2.0)</f>
        <v>2</v>
      </c>
      <c r="EB301" s="16">
        <f>IFERROR(__xludf.DUMMYFUNCTION("""COMPUTED_VALUE"""),1.0)</f>
        <v>1</v>
      </c>
      <c r="EC301" s="16">
        <f>IFERROR(__xludf.DUMMYFUNCTION("""COMPUTED_VALUE"""),2.0)</f>
        <v>2</v>
      </c>
      <c r="ED301" s="16"/>
      <c r="EE301" s="16"/>
      <c r="EF301" s="16"/>
      <c r="EG301" s="179"/>
      <c r="EH301" s="179"/>
      <c r="EI301" s="179">
        <f>IFERROR(__xludf.DUMMYFUNCTION("""COMPUTED_VALUE"""),-7.0)</f>
        <v>-7</v>
      </c>
      <c r="EJ301" s="179">
        <f>IFERROR(__xludf.DUMMYFUNCTION("""COMPUTED_VALUE"""),-8.0)</f>
        <v>-8</v>
      </c>
      <c r="EK301" s="179">
        <f>IFERROR(__xludf.DUMMYFUNCTION("""COMPUTED_VALUE"""),-7.0)</f>
        <v>-7</v>
      </c>
      <c r="EL301" s="179"/>
      <c r="EM301" s="179"/>
      <c r="EN301" s="179"/>
      <c r="EO301" s="16"/>
      <c r="EP301" s="16"/>
      <c r="EQ301" s="16">
        <f>IFERROR(__xludf.DUMMYFUNCTION("""COMPUTED_VALUE"""),4.0)</f>
        <v>4</v>
      </c>
      <c r="ER301" s="16">
        <f>IFERROR(__xludf.DUMMYFUNCTION("""COMPUTED_VALUE"""),-4.0)</f>
        <v>-4</v>
      </c>
      <c r="ES301" s="16"/>
      <c r="ET301" s="16"/>
      <c r="EU301" s="16"/>
      <c r="EV301" s="16"/>
      <c r="EW301" s="16"/>
      <c r="EX301" s="180"/>
      <c r="EY301" s="180"/>
      <c r="EZ301" s="180">
        <f>IFERROR(__xludf.DUMMYFUNCTION("""COMPUTED_VALUE"""),0.2)</f>
        <v>0.2</v>
      </c>
      <c r="FA301" s="180">
        <f>IFERROR(__xludf.DUMMYFUNCTION("""COMPUTED_VALUE"""),0.2)</f>
        <v>0.2</v>
      </c>
      <c r="FB301" s="180">
        <f>IFERROR(__xludf.DUMMYFUNCTION("""COMPUTED_VALUE"""),0.2)</f>
        <v>0.2</v>
      </c>
      <c r="FC301" s="180"/>
      <c r="FD301" s="180"/>
      <c r="FE301" s="180"/>
      <c r="FF301" s="180"/>
      <c r="FG301" s="180"/>
      <c r="FH301" s="180">
        <f>IFERROR(__xludf.DUMMYFUNCTION("""COMPUTED_VALUE"""),0.06481481481481481)</f>
        <v>0.06481481481</v>
      </c>
      <c r="FI301" s="180">
        <f>IFERROR(__xludf.DUMMYFUNCTION("""COMPUTED_VALUE"""),0.22685185185185186)</f>
        <v>0.2268518519</v>
      </c>
      <c r="FJ301" s="180">
        <f>IFERROR(__xludf.DUMMYFUNCTION("""COMPUTED_VALUE"""),0.08333333333333333)</f>
        <v>0.08333333333</v>
      </c>
      <c r="FK301" s="180"/>
      <c r="FL301" s="180"/>
      <c r="FM301" s="180"/>
      <c r="FN301" s="16"/>
      <c r="FO301" s="16"/>
      <c r="FP301" s="16">
        <f>IFERROR(__xludf.DUMMYFUNCTION("""COMPUTED_VALUE"""),0.7481481481481482)</f>
        <v>0.7481481481</v>
      </c>
      <c r="FQ301" s="16">
        <f>IFERROR(__xludf.DUMMYFUNCTION("""COMPUTED_VALUE"""),0.6185185185185186)</f>
        <v>0.6185185185</v>
      </c>
      <c r="FR301" s="16">
        <f>IFERROR(__xludf.DUMMYFUNCTION("""COMPUTED_VALUE"""),0.7333333333333334)</f>
        <v>0.7333333333</v>
      </c>
      <c r="FS301" s="16"/>
      <c r="FT301" s="16"/>
      <c r="FU301" s="16"/>
      <c r="FV301" s="16"/>
      <c r="FW301" s="16"/>
      <c r="FX301" s="16">
        <f>IFERROR(__xludf.DUMMYFUNCTION("""COMPUTED_VALUE"""),-4.0)</f>
        <v>-4</v>
      </c>
      <c r="FY301" s="16">
        <f>IFERROR(__xludf.DUMMYFUNCTION("""COMPUTED_VALUE"""),-6.0)</f>
        <v>-6</v>
      </c>
      <c r="FZ301" s="16">
        <f>IFERROR(__xludf.DUMMYFUNCTION("""COMPUTED_VALUE"""),-4.0)</f>
        <v>-4</v>
      </c>
      <c r="GA301" s="16"/>
      <c r="GB301" s="16"/>
      <c r="GC301" s="16"/>
      <c r="GD301" s="16" t="s">
        <v>306</v>
      </c>
    </row>
    <row r="302">
      <c r="A302" s="16">
        <f>IFERROR(__xludf.DUMMYFUNCTION("""COMPUTED_VALUE"""),12995.0)</f>
        <v>12995</v>
      </c>
      <c r="B302" s="16" t="str">
        <f>IFERROR(__xludf.DUMMYFUNCTION("""COMPUTED_VALUE"""),"Jonny DeLuca")</f>
        <v>Jonny DeLuca</v>
      </c>
      <c r="C302" s="16">
        <f>IFERROR(__xludf.DUMMYFUNCTION("""COMPUTED_VALUE"""),0.29)</f>
        <v>0.29</v>
      </c>
      <c r="D302" s="16" t="str">
        <f>IFERROR(__xludf.DUMMYFUNCTION("""COMPUTED_VALUE"""),"R")</f>
        <v>R</v>
      </c>
      <c r="E302" s="16"/>
      <c r="F302" s="16"/>
      <c r="G302" s="16">
        <f>IFERROR(__xludf.DUMMYFUNCTION("""COMPUTED_VALUE"""),332.0)</f>
        <v>332</v>
      </c>
      <c r="H302" s="16">
        <f>IFERROR(__xludf.DUMMYFUNCTION("""COMPUTED_VALUE"""),24.0)</f>
        <v>24</v>
      </c>
      <c r="I302" s="16" t="str">
        <f>IFERROR(__xludf.DUMMYFUNCTION("""COMPUTED_VALUE"""),"3p50")</f>
        <v>3p50</v>
      </c>
      <c r="J302" s="16">
        <f>IFERROR(__xludf.DUMMYFUNCTION("""COMPUTED_VALUE"""),29.0)</f>
        <v>29</v>
      </c>
      <c r="K302" s="16">
        <f>IFERROR(__xludf.DUMMYFUNCTION("""COMPUTED_VALUE"""),18.0)</f>
        <v>18</v>
      </c>
      <c r="L302" s="16">
        <f>IFERROR(__xludf.DUMMYFUNCTION("""COMPUTED_VALUE"""),0.0)</f>
        <v>0</v>
      </c>
      <c r="M302" s="16">
        <f>IFERROR(__xludf.DUMMYFUNCTION("""COMPUTED_VALUE"""),1.0)</f>
        <v>1</v>
      </c>
      <c r="N302" s="16">
        <f>IFERROR(__xludf.DUMMYFUNCTION("""COMPUTED_VALUE"""),0.0)</f>
        <v>0</v>
      </c>
      <c r="O302" s="16">
        <f>IFERROR(__xludf.DUMMYFUNCTION("""COMPUTED_VALUE"""),1.0)</f>
        <v>1</v>
      </c>
      <c r="P302" s="16">
        <f>IFERROR(__xludf.DUMMYFUNCTION("""COMPUTED_VALUE"""),13.0)</f>
        <v>13</v>
      </c>
      <c r="Q302" s="16">
        <f>IFERROR(__xludf.DUMMYFUNCTION("""COMPUTED_VALUE"""),3.0)</f>
        <v>3</v>
      </c>
      <c r="R302" s="16">
        <f>IFERROR(__xludf.DUMMYFUNCTION("""COMPUTED_VALUE"""),2.0)</f>
        <v>2</v>
      </c>
      <c r="S302" s="16">
        <f>IFERROR(__xludf.DUMMYFUNCTION("""COMPUTED_VALUE"""),-2.0)</f>
        <v>-2</v>
      </c>
      <c r="T302" s="16">
        <f>IFERROR(__xludf.DUMMYFUNCTION("""COMPUTED_VALUE"""),2.0)</f>
        <v>2</v>
      </c>
      <c r="U302" s="16">
        <f>IFERROR(__xludf.DUMMYFUNCTION("""COMPUTED_VALUE"""),-2.0)</f>
        <v>-2</v>
      </c>
      <c r="V302" s="16">
        <f>IFERROR(__xludf.DUMMYFUNCTION("""COMPUTED_VALUE"""),9.8)</f>
        <v>9.8</v>
      </c>
      <c r="W302" s="16">
        <f>IFERROR(__xludf.DUMMYFUNCTION("""COMPUTED_VALUE"""),20.3)</f>
        <v>20.3</v>
      </c>
      <c r="X302" s="16">
        <f>IFERROR(__xludf.DUMMYFUNCTION("""COMPUTED_VALUE"""),-1.0)</f>
        <v>-1</v>
      </c>
      <c r="Y302" s="16">
        <f>IFERROR(__xludf.DUMMYFUNCTION("""COMPUTED_VALUE"""),0.0)</f>
        <v>0</v>
      </c>
      <c r="Z302" s="16">
        <f>IFERROR(__xludf.DUMMYFUNCTION("""COMPUTED_VALUE"""),-2.0)</f>
        <v>-2</v>
      </c>
      <c r="AA302" s="16">
        <f>IFERROR(__xludf.DUMMYFUNCTION("""COMPUTED_VALUE"""),0.0)</f>
        <v>0</v>
      </c>
      <c r="AB302" s="16">
        <f>IFERROR(__xludf.DUMMYFUNCTION("""COMPUTED_VALUE"""),25.8)</f>
        <v>25.8</v>
      </c>
      <c r="AC302" s="16">
        <f>IFERROR(__xludf.DUMMYFUNCTION("""COMPUTED_VALUE"""),26.3)</f>
        <v>26.3</v>
      </c>
      <c r="AD302" s="16">
        <f>IFERROR(__xludf.DUMMYFUNCTION("""COMPUTED_VALUE"""),-1.0)</f>
        <v>-1</v>
      </c>
      <c r="AE302" s="16">
        <f>IFERROR(__xludf.DUMMYFUNCTION("""COMPUTED_VALUE"""),-1.0)</f>
        <v>-1</v>
      </c>
      <c r="AF302" s="16">
        <f>IFERROR(__xludf.DUMMYFUNCTION("""COMPUTED_VALUE"""),-5.0)</f>
        <v>-5</v>
      </c>
      <c r="AG302" s="16">
        <f>IFERROR(__xludf.DUMMYFUNCTION("""COMPUTED_VALUE"""),-5.0)</f>
        <v>-5</v>
      </c>
      <c r="AH302" s="16">
        <f>IFERROR(__xludf.DUMMYFUNCTION("""COMPUTED_VALUE"""),18.8)</f>
        <v>18.8</v>
      </c>
      <c r="AI302" s="16">
        <f>IFERROR(__xludf.DUMMYFUNCTION("""COMPUTED_VALUE"""),30.5)</f>
        <v>30.5</v>
      </c>
      <c r="AJ302" s="16">
        <f>IFERROR(__xludf.DUMMYFUNCTION("""COMPUTED_VALUE"""),-1.0)</f>
        <v>-1</v>
      </c>
      <c r="AK302" s="16">
        <f>IFERROR(__xludf.DUMMYFUNCTION("""COMPUTED_VALUE"""),0.0)</f>
        <v>0</v>
      </c>
      <c r="AL302" s="16">
        <f>IFERROR(__xludf.DUMMYFUNCTION("""COMPUTED_VALUE"""),-5.0)</f>
        <v>-5</v>
      </c>
      <c r="AM302" s="16">
        <f>IFERROR(__xludf.DUMMYFUNCTION("""COMPUTED_VALUE"""),0.0)</f>
        <v>0</v>
      </c>
      <c r="AN302" s="16">
        <f>IFERROR(__xludf.DUMMYFUNCTION("""COMPUTED_VALUE"""),2.0)</f>
        <v>2</v>
      </c>
      <c r="AO302" s="16">
        <f>IFERROR(__xludf.DUMMYFUNCTION("""COMPUTED_VALUE"""),1.0)</f>
        <v>1</v>
      </c>
      <c r="AP302" s="16">
        <f>IFERROR(__xludf.DUMMYFUNCTION("""COMPUTED_VALUE"""),0.0)</f>
        <v>0</v>
      </c>
      <c r="AQ302" s="16">
        <f>IFERROR(__xludf.DUMMYFUNCTION("""COMPUTED_VALUE"""),-2.0)</f>
        <v>-2</v>
      </c>
      <c r="AR302" s="16">
        <f>IFERROR(__xludf.DUMMYFUNCTION("""COMPUTED_VALUE"""),0.0)</f>
        <v>0</v>
      </c>
      <c r="AS302" s="16">
        <f>IFERROR(__xludf.DUMMYFUNCTION("""COMPUTED_VALUE"""),-4.0)</f>
        <v>-4</v>
      </c>
      <c r="AT302" s="16"/>
      <c r="AU302" s="16">
        <f>IFERROR(__xludf.DUMMYFUNCTION("""COMPUTED_VALUE"""),0.0)</f>
        <v>0</v>
      </c>
      <c r="AV302" s="16">
        <f>IFERROR(__xludf.DUMMYFUNCTION("""COMPUTED_VALUE"""),-3.0)</f>
        <v>-3</v>
      </c>
      <c r="AW302" s="16">
        <f>IFERROR(__xludf.DUMMYFUNCTION("""COMPUTED_VALUE"""),0.0)</f>
        <v>0</v>
      </c>
      <c r="AX302" s="16">
        <f>IFERROR(__xludf.DUMMYFUNCTION("""COMPUTED_VALUE"""),-3.0)</f>
        <v>-3</v>
      </c>
      <c r="AY302" s="16">
        <f>IFERROR(__xludf.DUMMYFUNCTION("""COMPUTED_VALUE"""),-2.0)</f>
        <v>-2</v>
      </c>
      <c r="AZ302" s="16">
        <f>IFERROR(__xludf.DUMMYFUNCTION("""COMPUTED_VALUE"""),-9.0)</f>
        <v>-9</v>
      </c>
      <c r="BA302" s="16">
        <f>IFERROR(__xludf.DUMMYFUNCTION("""COMPUTED_VALUE"""),-6.0)</f>
        <v>-6</v>
      </c>
      <c r="BB302" s="16">
        <f>IFERROR(__xludf.DUMMYFUNCTION("""COMPUTED_VALUE"""),5.0)</f>
        <v>5</v>
      </c>
      <c r="BC302" s="16">
        <f>IFERROR(__xludf.DUMMYFUNCTION("""COMPUTED_VALUE"""),5.0)</f>
        <v>5</v>
      </c>
      <c r="BD302" s="16">
        <f>IFERROR(__xludf.DUMMYFUNCTION("""COMPUTED_VALUE"""),1.0)</f>
        <v>1</v>
      </c>
      <c r="BE302" s="16">
        <f>IFERROR(__xludf.DUMMYFUNCTION("""COMPUTED_VALUE"""),1.0)</f>
        <v>1</v>
      </c>
      <c r="BF302" s="16">
        <f>IFERROR(__xludf.DUMMYFUNCTION("""COMPUTED_VALUE"""),1.0)</f>
        <v>1</v>
      </c>
      <c r="BG302" s="16">
        <f>IFERROR(__xludf.DUMMYFUNCTION("""COMPUTED_VALUE"""),1.0)</f>
        <v>1</v>
      </c>
      <c r="BH302" s="16">
        <f>IFERROR(__xludf.DUMMYFUNCTION("""COMPUTED_VALUE"""),-4.0)</f>
        <v>-4</v>
      </c>
      <c r="BI302" s="16">
        <f>IFERROR(__xludf.DUMMYFUNCTION("""COMPUTED_VALUE"""),-10.0)</f>
        <v>-10</v>
      </c>
      <c r="BJ302" s="16">
        <f>IFERROR(__xludf.DUMMYFUNCTION("""COMPUTED_VALUE"""),0.0)</f>
        <v>0</v>
      </c>
      <c r="BK302" s="16">
        <f>IFERROR(__xludf.DUMMYFUNCTION("""COMPUTED_VALUE"""),0.0)</f>
        <v>0</v>
      </c>
      <c r="BL302" s="16">
        <f>IFERROR(__xludf.DUMMYFUNCTION("""COMPUTED_VALUE"""),3.0)</f>
        <v>3</v>
      </c>
      <c r="BM302" s="16">
        <f>IFERROR(__xludf.DUMMYFUNCTION("""COMPUTED_VALUE"""),3.0)</f>
        <v>3</v>
      </c>
      <c r="BN302" s="16">
        <f>IFERROR(__xludf.DUMMYFUNCTION("""COMPUTED_VALUE"""),3.0)</f>
        <v>3</v>
      </c>
      <c r="BO302" s="16">
        <f>IFERROR(__xludf.DUMMYFUNCTION("""COMPUTED_VALUE"""),3.0)</f>
        <v>3</v>
      </c>
      <c r="BP302" s="16">
        <f>IFERROR(__xludf.DUMMYFUNCTION("""COMPUTED_VALUE"""),0.0)</f>
        <v>0</v>
      </c>
      <c r="BQ302" s="16">
        <f>IFERROR(__xludf.DUMMYFUNCTION("""COMPUTED_VALUE"""),-2.0)</f>
        <v>-2</v>
      </c>
      <c r="BR302" s="16">
        <f>IFERROR(__xludf.DUMMYFUNCTION("""COMPUTED_VALUE"""),-2.0)</f>
        <v>-2</v>
      </c>
      <c r="BS302" s="16" t="str">
        <f>IFERROR(__xludf.DUMMYFUNCTION("""COMPUTED_VALUE"""),"*2-5,11,12/- (18-14)")</f>
        <v>*2-5,11,12/- (18-14)</v>
      </c>
      <c r="BT302" s="16" t="str">
        <f>IFERROR(__xludf.DUMMYFUNCTION("""COMPUTED_VALUE"""),"A")</f>
        <v>A</v>
      </c>
      <c r="BU302" s="16">
        <f>IFERROR(__xludf.DUMMYFUNCTION("""COMPUTED_VALUE"""),16.0)</f>
        <v>16</v>
      </c>
      <c r="BV302" s="16">
        <f>IFERROR(__xludf.DUMMYFUNCTION("""COMPUTED_VALUE"""),2.0)</f>
        <v>2</v>
      </c>
      <c r="BW302" s="16">
        <f>IFERROR(__xludf.DUMMYFUNCTION("""COMPUTED_VALUE"""),2.0)</f>
        <v>2</v>
      </c>
      <c r="BX302" s="16">
        <f>IFERROR(__xludf.DUMMYFUNCTION("""COMPUTED_VALUE"""),4.0)</f>
        <v>4</v>
      </c>
      <c r="BY302" s="16">
        <f>IFERROR(__xludf.DUMMYFUNCTION("""COMPUTED_VALUE"""),6.0)</f>
        <v>6</v>
      </c>
      <c r="BZ302" s="16" t="str">
        <f>IFERROR(__xludf.DUMMYFUNCTION("""COMPUTED_VALUE"""),"C")</f>
        <v>C</v>
      </c>
      <c r="CA302" s="16" t="str">
        <f>IFERROR(__xludf.DUMMYFUNCTION("""COMPUTED_VALUE"""),"C")</f>
        <v>C</v>
      </c>
      <c r="CB302" s="16">
        <f>IFERROR(__xludf.DUMMYFUNCTION("""COMPUTED_VALUE"""),0.0)</f>
        <v>0</v>
      </c>
      <c r="CC302" s="16">
        <f>IFERROR(__xludf.DUMMYFUNCTION("""COMPUTED_VALUE"""),0.0)</f>
        <v>0</v>
      </c>
      <c r="CD302" s="16">
        <f>IFERROR(__xludf.DUMMYFUNCTION("""COMPUTED_VALUE"""),0.0)</f>
        <v>0</v>
      </c>
      <c r="CE302" s="16">
        <f>IFERROR(__xludf.DUMMYFUNCTION("""COMPUTED_VALUE"""),0.0)</f>
        <v>0</v>
      </c>
      <c r="CF302" s="16">
        <f>IFERROR(__xludf.DUMMYFUNCTION("""COMPUTED_VALUE"""),3.0)</f>
        <v>3</v>
      </c>
      <c r="CG302" s="16">
        <f>IFERROR(__xludf.DUMMYFUNCTION("""COMPUTED_VALUE"""),-15.0)</f>
        <v>-15</v>
      </c>
      <c r="CH302" s="16">
        <f>IFERROR(__xludf.DUMMYFUNCTION("""COMPUTED_VALUE"""),-12.0)</f>
        <v>-12</v>
      </c>
      <c r="CI302" s="179">
        <f>IFERROR(__xludf.DUMMYFUNCTION("""COMPUTED_VALUE"""),-9.0)</f>
        <v>-9</v>
      </c>
      <c r="CJ302" s="16"/>
      <c r="CK302" s="16"/>
      <c r="CL302" s="16"/>
      <c r="CM302" s="16"/>
      <c r="CN302" s="16"/>
      <c r="CO302" s="16">
        <f>IFERROR(__xludf.DUMMYFUNCTION("""COMPUTED_VALUE"""),204.0)</f>
        <v>204</v>
      </c>
      <c r="CP302" s="16">
        <f>IFERROR(__xludf.DUMMYFUNCTION("""COMPUTED_VALUE"""),204.0)</f>
        <v>204</v>
      </c>
      <c r="CQ302" s="16">
        <f>IFERROR(__xludf.DUMMYFUNCTION("""COMPUTED_VALUE"""),204.0)</f>
        <v>204</v>
      </c>
      <c r="CR302" s="16" t="str">
        <f>IFERROR(__xludf.DUMMYFUNCTION("""COMPUTED_VALUE"""),"rf-2(-1)e4 cf-2e4 lf-2e4")</f>
        <v>rf-2(-1)e4 cf-2e4 lf-2e4</v>
      </c>
      <c r="CS302" s="16"/>
      <c r="CT302" s="16"/>
      <c r="CU302" s="16"/>
      <c r="CV302" s="16"/>
      <c r="CW302" s="16"/>
      <c r="CX302" s="16">
        <f>IFERROR(__xludf.DUMMYFUNCTION("""COMPUTED_VALUE"""),2.0)</f>
        <v>2</v>
      </c>
      <c r="CY302" s="16">
        <f>IFERROR(__xludf.DUMMYFUNCTION("""COMPUTED_VALUE"""),2.0)</f>
        <v>2</v>
      </c>
      <c r="CZ302" s="16">
        <f>IFERROR(__xludf.DUMMYFUNCTION("""COMPUTED_VALUE"""),2.0)</f>
        <v>2</v>
      </c>
      <c r="DA302" s="16"/>
      <c r="DB302" s="16"/>
      <c r="DC302" s="16"/>
      <c r="DD302" s="16"/>
      <c r="DE302" s="16"/>
      <c r="DF302" s="16">
        <f>IFERROR(__xludf.DUMMYFUNCTION("""COMPUTED_VALUE"""),4.0)</f>
        <v>4</v>
      </c>
      <c r="DG302" s="16">
        <f>IFERROR(__xludf.DUMMYFUNCTION("""COMPUTED_VALUE"""),4.0)</f>
        <v>4</v>
      </c>
      <c r="DH302" s="16">
        <f>IFERROR(__xludf.DUMMYFUNCTION("""COMPUTED_VALUE"""),4.0)</f>
        <v>4</v>
      </c>
      <c r="DI302" s="16"/>
      <c r="DJ302" s="16"/>
      <c r="DK302" s="16"/>
      <c r="DL302" s="16"/>
      <c r="DM302" s="16"/>
      <c r="DN302" s="16">
        <f>IFERROR(__xludf.DUMMYFUNCTION("""COMPUTED_VALUE"""),3.0)</f>
        <v>3</v>
      </c>
      <c r="DO302" s="16">
        <f>IFERROR(__xludf.DUMMYFUNCTION("""COMPUTED_VALUE"""),2.0)</f>
        <v>2</v>
      </c>
      <c r="DP302" s="16">
        <f>IFERROR(__xludf.DUMMYFUNCTION("""COMPUTED_VALUE"""),3.0)</f>
        <v>3</v>
      </c>
      <c r="DQ302" s="16"/>
      <c r="DR302" s="16"/>
      <c r="DS302" s="16"/>
      <c r="DT302" s="16"/>
      <c r="DU302" s="16"/>
      <c r="DV302" s="16">
        <f>IFERROR(__xludf.DUMMYFUNCTION("""COMPUTED_VALUE"""),2.0)</f>
        <v>2</v>
      </c>
      <c r="DW302" s="16">
        <f>IFERROR(__xludf.DUMMYFUNCTION("""COMPUTED_VALUE"""),3.0)</f>
        <v>3</v>
      </c>
      <c r="DX302" s="16">
        <f>IFERROR(__xludf.DUMMYFUNCTION("""COMPUTED_VALUE"""),2.0)</f>
        <v>2</v>
      </c>
      <c r="DY302" s="16"/>
      <c r="DZ302" s="16"/>
      <c r="EA302" s="16"/>
      <c r="EB302" s="16"/>
      <c r="EC302" s="16"/>
      <c r="ED302" s="16">
        <f>IFERROR(__xludf.DUMMYFUNCTION("""COMPUTED_VALUE"""),5.0)</f>
        <v>5</v>
      </c>
      <c r="EE302" s="16">
        <f>IFERROR(__xludf.DUMMYFUNCTION("""COMPUTED_VALUE"""),5.0)</f>
        <v>5</v>
      </c>
      <c r="EF302" s="16">
        <f>IFERROR(__xludf.DUMMYFUNCTION("""COMPUTED_VALUE"""),5.0)</f>
        <v>5</v>
      </c>
      <c r="EG302" s="179"/>
      <c r="EH302" s="179"/>
      <c r="EI302" s="179"/>
      <c r="EJ302" s="179"/>
      <c r="EK302" s="179"/>
      <c r="EL302" s="179">
        <f>IFERROR(__xludf.DUMMYFUNCTION("""COMPUTED_VALUE"""),-4.0)</f>
        <v>-4</v>
      </c>
      <c r="EM302" s="179">
        <f>IFERROR(__xludf.DUMMYFUNCTION("""COMPUTED_VALUE"""),-4.0)</f>
        <v>-4</v>
      </c>
      <c r="EN302" s="179">
        <f>IFERROR(__xludf.DUMMYFUNCTION("""COMPUTED_VALUE"""),-4.0)</f>
        <v>-4</v>
      </c>
      <c r="EO302" s="16"/>
      <c r="EP302" s="16">
        <f>IFERROR(__xludf.DUMMYFUNCTION("""COMPUTED_VALUE"""),0.0)</f>
        <v>0</v>
      </c>
      <c r="EQ302" s="16">
        <f>IFERROR(__xludf.DUMMYFUNCTION("""COMPUTED_VALUE"""),1.0)</f>
        <v>1</v>
      </c>
      <c r="ER302" s="16">
        <f>IFERROR(__xludf.DUMMYFUNCTION("""COMPUTED_VALUE"""),0.0)</f>
        <v>0</v>
      </c>
      <c r="ES302" s="16"/>
      <c r="ET302" s="16"/>
      <c r="EU302" s="16"/>
      <c r="EV302" s="16"/>
      <c r="EW302" s="16"/>
      <c r="EX302" s="180"/>
      <c r="EY302" s="180"/>
      <c r="EZ302" s="180"/>
      <c r="FA302" s="180"/>
      <c r="FB302" s="180"/>
      <c r="FC302" s="180">
        <f>IFERROR(__xludf.DUMMYFUNCTION("""COMPUTED_VALUE"""),0.15)</f>
        <v>0.15</v>
      </c>
      <c r="FD302" s="180">
        <f>IFERROR(__xludf.DUMMYFUNCTION("""COMPUTED_VALUE"""),0.15)</f>
        <v>0.15</v>
      </c>
      <c r="FE302" s="180">
        <f>IFERROR(__xludf.DUMMYFUNCTION("""COMPUTED_VALUE"""),0.15)</f>
        <v>0.15</v>
      </c>
      <c r="FF302" s="180"/>
      <c r="FG302" s="180"/>
      <c r="FH302" s="180"/>
      <c r="FI302" s="180"/>
      <c r="FJ302" s="180"/>
      <c r="FK302" s="180">
        <f>IFERROR(__xludf.DUMMYFUNCTION("""COMPUTED_VALUE"""),0.069)</f>
        <v>0.069</v>
      </c>
      <c r="FL302" s="180">
        <f>IFERROR(__xludf.DUMMYFUNCTION("""COMPUTED_VALUE"""),0.046296296296296294)</f>
        <v>0.0462962963</v>
      </c>
      <c r="FM302" s="180">
        <f>IFERROR(__xludf.DUMMYFUNCTION("""COMPUTED_VALUE"""),0.069)</f>
        <v>0.069</v>
      </c>
      <c r="FN302" s="16"/>
      <c r="FO302" s="16"/>
      <c r="FP302" s="16"/>
      <c r="FQ302" s="16"/>
      <c r="FR302" s="16"/>
      <c r="FS302" s="16">
        <f>IFERROR(__xludf.DUMMYFUNCTION("""COMPUTED_VALUE"""),0.79135)</f>
        <v>0.79135</v>
      </c>
      <c r="FT302" s="16">
        <f>IFERROR(__xludf.DUMMYFUNCTION("""COMPUTED_VALUE"""),0.8106481481481481)</f>
        <v>0.8106481481</v>
      </c>
      <c r="FU302" s="16">
        <f>IFERROR(__xludf.DUMMYFUNCTION("""COMPUTED_VALUE"""),0.79135)</f>
        <v>0.79135</v>
      </c>
      <c r="FV302" s="16"/>
      <c r="FW302" s="16"/>
      <c r="FX302" s="16"/>
      <c r="FY302" s="16"/>
      <c r="FZ302" s="16"/>
      <c r="GA302" s="16">
        <f>IFERROR(__xludf.DUMMYFUNCTION("""COMPUTED_VALUE"""),-1.0)</f>
        <v>-1</v>
      </c>
      <c r="GB302" s="16">
        <f>IFERROR(__xludf.DUMMYFUNCTION("""COMPUTED_VALUE"""),1.0)</f>
        <v>1</v>
      </c>
      <c r="GC302" s="16">
        <f>IFERROR(__xludf.DUMMYFUNCTION("""COMPUTED_VALUE"""),-1.0)</f>
        <v>-1</v>
      </c>
      <c r="GD302" s="16" t="s">
        <v>1381</v>
      </c>
    </row>
    <row r="303">
      <c r="A303" s="16">
        <f>IFERROR(__xludf.DUMMYFUNCTION("""COMPUTED_VALUE"""),13028.0)</f>
        <v>13028</v>
      </c>
      <c r="B303" s="16" t="str">
        <f>IFERROR(__xludf.DUMMYFUNCTION("""COMPUTED_VALUE"""),"Jose Tena")</f>
        <v>Jose Tena</v>
      </c>
      <c r="C303" s="16">
        <f>IFERROR(__xludf.DUMMYFUNCTION("""COMPUTED_VALUE"""),0.21)</f>
        <v>0.21</v>
      </c>
      <c r="D303" s="16" t="str">
        <f>IFERROR(__xludf.DUMMYFUNCTION("""COMPUTED_VALUE"""),"L")</f>
        <v>L</v>
      </c>
      <c r="E303" s="16"/>
      <c r="F303" s="16"/>
      <c r="G303" s="16">
        <f>IFERROR(__xludf.DUMMYFUNCTION("""COMPUTED_VALUE"""),161.0)</f>
        <v>161</v>
      </c>
      <c r="H303" s="16">
        <f>IFERROR(__xludf.DUMMYFUNCTION("""COMPUTED_VALUE"""),7.0)</f>
        <v>7</v>
      </c>
      <c r="I303" s="16" t="str">
        <f>IFERROR(__xludf.DUMMYFUNCTION("""COMPUTED_VALUE"""),"1p20")</f>
        <v>1p20</v>
      </c>
      <c r="J303" s="16">
        <f>IFERROR(__xludf.DUMMYFUNCTION("""COMPUTED_VALUE"""),25.0)</f>
        <v>25</v>
      </c>
      <c r="K303" s="16">
        <f>IFERROR(__xludf.DUMMYFUNCTION("""COMPUTED_VALUE"""),28.0)</f>
        <v>28</v>
      </c>
      <c r="L303" s="16">
        <f>IFERROR(__xludf.DUMMYFUNCTION("""COMPUTED_VALUE"""),0.0)</f>
        <v>0</v>
      </c>
      <c r="M303" s="16">
        <f>IFERROR(__xludf.DUMMYFUNCTION("""COMPUTED_VALUE"""),0.0)</f>
        <v>0</v>
      </c>
      <c r="N303" s="16">
        <f>IFERROR(__xludf.DUMMYFUNCTION("""COMPUTED_VALUE"""),0.0)</f>
        <v>0</v>
      </c>
      <c r="O303" s="16">
        <f>IFERROR(__xludf.DUMMYFUNCTION("""COMPUTED_VALUE"""),0.0)</f>
        <v>0</v>
      </c>
      <c r="P303" s="16">
        <f>IFERROR(__xludf.DUMMYFUNCTION("""COMPUTED_VALUE"""),0.0)</f>
        <v>0</v>
      </c>
      <c r="Q303" s="16">
        <f>IFERROR(__xludf.DUMMYFUNCTION("""COMPUTED_VALUE"""),2.0)</f>
        <v>2</v>
      </c>
      <c r="R303" s="16">
        <f>IFERROR(__xludf.DUMMYFUNCTION("""COMPUTED_VALUE"""),-3.0)</f>
        <v>-3</v>
      </c>
      <c r="S303" s="16">
        <f>IFERROR(__xludf.DUMMYFUNCTION("""COMPUTED_VALUE"""),-2.0)</f>
        <v>-2</v>
      </c>
      <c r="T303" s="16">
        <f>IFERROR(__xludf.DUMMYFUNCTION("""COMPUTED_VALUE"""),-3.0)</f>
        <v>-3</v>
      </c>
      <c r="U303" s="16">
        <f>IFERROR(__xludf.DUMMYFUNCTION("""COMPUTED_VALUE"""),-2.0)</f>
        <v>-2</v>
      </c>
      <c r="V303" s="16">
        <f>IFERROR(__xludf.DUMMYFUNCTION("""COMPUTED_VALUE"""),14.9)</f>
        <v>14.9</v>
      </c>
      <c r="W303" s="16">
        <f>IFERROR(__xludf.DUMMYFUNCTION("""COMPUTED_VALUE"""),30.9)</f>
        <v>30.9</v>
      </c>
      <c r="X303" s="16">
        <f>IFERROR(__xludf.DUMMYFUNCTION("""COMPUTED_VALUE"""),-1.0)</f>
        <v>-1</v>
      </c>
      <c r="Y303" s="16">
        <f>IFERROR(__xludf.DUMMYFUNCTION("""COMPUTED_VALUE"""),2.0)</f>
        <v>2</v>
      </c>
      <c r="Z303" s="16">
        <f>IFERROR(__xludf.DUMMYFUNCTION("""COMPUTED_VALUE"""),-2.0)</f>
        <v>-2</v>
      </c>
      <c r="AA303" s="16">
        <f>IFERROR(__xludf.DUMMYFUNCTION("""COMPUTED_VALUE"""),4.0)</f>
        <v>4</v>
      </c>
      <c r="AB303" s="16">
        <f>IFERROR(__xludf.DUMMYFUNCTION("""COMPUTED_VALUE"""),14.9)</f>
        <v>14.9</v>
      </c>
      <c r="AC303" s="16">
        <f>IFERROR(__xludf.DUMMYFUNCTION("""COMPUTED_VALUE"""),32.9)</f>
        <v>32.9</v>
      </c>
      <c r="AD303" s="16">
        <f>IFERROR(__xludf.DUMMYFUNCTION("""COMPUTED_VALUE"""),-2.0)</f>
        <v>-2</v>
      </c>
      <c r="AE303" s="16">
        <f>IFERROR(__xludf.DUMMYFUNCTION("""COMPUTED_VALUE"""),0.0)</f>
        <v>0</v>
      </c>
      <c r="AF303" s="16">
        <f>IFERROR(__xludf.DUMMYFUNCTION("""COMPUTED_VALUE"""),-10.0)</f>
        <v>-10</v>
      </c>
      <c r="AG303" s="16">
        <f>IFERROR(__xludf.DUMMYFUNCTION("""COMPUTED_VALUE"""),0.0)</f>
        <v>0</v>
      </c>
      <c r="AH303" s="16">
        <f>IFERROR(__xludf.DUMMYFUNCTION("""COMPUTED_VALUE"""),20.5)</f>
        <v>20.5</v>
      </c>
      <c r="AI303" s="16">
        <f>IFERROR(__xludf.DUMMYFUNCTION("""COMPUTED_VALUE"""),32.5)</f>
        <v>32.5</v>
      </c>
      <c r="AJ303" s="16">
        <f>IFERROR(__xludf.DUMMYFUNCTION("""COMPUTED_VALUE"""),-1.0)</f>
        <v>-1</v>
      </c>
      <c r="AK303" s="16">
        <f>IFERROR(__xludf.DUMMYFUNCTION("""COMPUTED_VALUE"""),0.0)</f>
        <v>0</v>
      </c>
      <c r="AL303" s="16">
        <f>IFERROR(__xludf.DUMMYFUNCTION("""COMPUTED_VALUE"""),-5.0)</f>
        <v>-5</v>
      </c>
      <c r="AM303" s="16">
        <f>IFERROR(__xludf.DUMMYFUNCTION("""COMPUTED_VALUE"""),0.0)</f>
        <v>0</v>
      </c>
      <c r="AN303" s="16">
        <f>IFERROR(__xludf.DUMMYFUNCTION("""COMPUTED_VALUE"""),0.4)</f>
        <v>0.4</v>
      </c>
      <c r="AO303" s="16">
        <f>IFERROR(__xludf.DUMMYFUNCTION("""COMPUTED_VALUE"""),0.4)</f>
        <v>0.4</v>
      </c>
      <c r="AP303" s="16">
        <f>IFERROR(__xludf.DUMMYFUNCTION("""COMPUTED_VALUE"""),-2.0)</f>
        <v>-2</v>
      </c>
      <c r="AQ303" s="16">
        <f>IFERROR(__xludf.DUMMYFUNCTION("""COMPUTED_VALUE"""),-2.0)</f>
        <v>-2</v>
      </c>
      <c r="AR303" s="16">
        <f>IFERROR(__xludf.DUMMYFUNCTION("""COMPUTED_VALUE"""),-4.0)</f>
        <v>-4</v>
      </c>
      <c r="AS303" s="16">
        <f>IFERROR(__xludf.DUMMYFUNCTION("""COMPUTED_VALUE"""),-4.0)</f>
        <v>-4</v>
      </c>
      <c r="AT303" s="16">
        <f>IFERROR(__xludf.DUMMYFUNCTION("""COMPUTED_VALUE"""),0.0)</f>
        <v>0</v>
      </c>
      <c r="AU303" s="16">
        <f>IFERROR(__xludf.DUMMYFUNCTION("""COMPUTED_VALUE"""),0.0)</f>
        <v>0</v>
      </c>
      <c r="AV303" s="16">
        <f>IFERROR(__xludf.DUMMYFUNCTION("""COMPUTED_VALUE"""),0.0)</f>
        <v>0</v>
      </c>
      <c r="AW303" s="16">
        <f>IFERROR(__xludf.DUMMYFUNCTION("""COMPUTED_VALUE"""),0.0)</f>
        <v>0</v>
      </c>
      <c r="AX303" s="16">
        <f>IFERROR(__xludf.DUMMYFUNCTION("""COMPUTED_VALUE"""),-2.0)</f>
        <v>-2</v>
      </c>
      <c r="AY303" s="16">
        <f>IFERROR(__xludf.DUMMYFUNCTION("""COMPUTED_VALUE"""),-2.0)</f>
        <v>-2</v>
      </c>
      <c r="AZ303" s="16">
        <f>IFERROR(__xludf.DUMMYFUNCTION("""COMPUTED_VALUE"""),-6.0)</f>
        <v>-6</v>
      </c>
      <c r="BA303" s="16">
        <f>IFERROR(__xludf.DUMMYFUNCTION("""COMPUTED_VALUE"""),-6.0)</f>
        <v>-6</v>
      </c>
      <c r="BB303" s="16">
        <f>IFERROR(__xludf.DUMMYFUNCTION("""COMPUTED_VALUE"""),5.0)</f>
        <v>5</v>
      </c>
      <c r="BC303" s="16">
        <f>IFERROR(__xludf.DUMMYFUNCTION("""COMPUTED_VALUE"""),5.0)</f>
        <v>5</v>
      </c>
      <c r="BD303" s="16">
        <f>IFERROR(__xludf.DUMMYFUNCTION("""COMPUTED_VALUE"""),1.0)</f>
        <v>1</v>
      </c>
      <c r="BE303" s="16">
        <f>IFERROR(__xludf.DUMMYFUNCTION("""COMPUTED_VALUE"""),1.0)</f>
        <v>1</v>
      </c>
      <c r="BF303" s="16">
        <f>IFERROR(__xludf.DUMMYFUNCTION("""COMPUTED_VALUE"""),1.0)</f>
        <v>1</v>
      </c>
      <c r="BG303" s="16">
        <f>IFERROR(__xludf.DUMMYFUNCTION("""COMPUTED_VALUE"""),1.0)</f>
        <v>1</v>
      </c>
      <c r="BH303" s="16">
        <f>IFERROR(__xludf.DUMMYFUNCTION("""COMPUTED_VALUE"""),6.0)</f>
        <v>6</v>
      </c>
      <c r="BI303" s="16">
        <f>IFERROR(__xludf.DUMMYFUNCTION("""COMPUTED_VALUE"""),6.0)</f>
        <v>6</v>
      </c>
      <c r="BJ303" s="16">
        <f>IFERROR(__xludf.DUMMYFUNCTION("""COMPUTED_VALUE"""),2.0)</f>
        <v>2</v>
      </c>
      <c r="BK303" s="16">
        <f>IFERROR(__xludf.DUMMYFUNCTION("""COMPUTED_VALUE"""),2.0)</f>
        <v>2</v>
      </c>
      <c r="BL303" s="16">
        <f>IFERROR(__xludf.DUMMYFUNCTION("""COMPUTED_VALUE"""),2.0)</f>
        <v>2</v>
      </c>
      <c r="BM303" s="16">
        <f>IFERROR(__xludf.DUMMYFUNCTION("""COMPUTED_VALUE"""),2.0)</f>
        <v>2</v>
      </c>
      <c r="BN303" s="16">
        <f>IFERROR(__xludf.DUMMYFUNCTION("""COMPUTED_VALUE"""),2.0)</f>
        <v>2</v>
      </c>
      <c r="BO303" s="16">
        <f>IFERROR(__xludf.DUMMYFUNCTION("""COMPUTED_VALUE"""),2.0)</f>
        <v>2</v>
      </c>
      <c r="BP303" s="16">
        <f>IFERROR(__xludf.DUMMYFUNCTION("""COMPUTED_VALUE"""),-8.0)</f>
        <v>-8</v>
      </c>
      <c r="BQ303" s="16">
        <f>IFERROR(__xludf.DUMMYFUNCTION("""COMPUTED_VALUE"""),-1.0)</f>
        <v>-1</v>
      </c>
      <c r="BR303" s="16">
        <f>IFERROR(__xludf.DUMMYFUNCTION("""COMPUTED_VALUE"""),-9.0)</f>
        <v>-9</v>
      </c>
      <c r="BS303" s="16" t="str">
        <f>IFERROR(__xludf.DUMMYFUNCTION("""COMPUTED_VALUE"""),"*4,6/- (19-12)")</f>
        <v>*4,6/- (19-12)</v>
      </c>
      <c r="BT303" s="16" t="str">
        <f>IFERROR(__xludf.DUMMYFUNCTION("""COMPUTED_VALUE"""),"B")</f>
        <v>B</v>
      </c>
      <c r="BU303" s="16">
        <f>IFERROR(__xludf.DUMMYFUNCTION("""COMPUTED_VALUE"""),13.0)</f>
        <v>13</v>
      </c>
      <c r="BV303" s="16">
        <f>IFERROR(__xludf.DUMMYFUNCTION("""COMPUTED_VALUE"""),1.0)</f>
        <v>1</v>
      </c>
      <c r="BW303" s="16">
        <f>IFERROR(__xludf.DUMMYFUNCTION("""COMPUTED_VALUE"""),1.0)</f>
        <v>1</v>
      </c>
      <c r="BX303" s="16">
        <f>IFERROR(__xludf.DUMMYFUNCTION("""COMPUTED_VALUE"""),2.0)</f>
        <v>2</v>
      </c>
      <c r="BY303" s="16">
        <f>IFERROR(__xludf.DUMMYFUNCTION("""COMPUTED_VALUE"""),3.0)</f>
        <v>3</v>
      </c>
      <c r="BZ303" s="16" t="str">
        <f>IFERROR(__xludf.DUMMYFUNCTION("""COMPUTED_VALUE"""),"D")</f>
        <v>D</v>
      </c>
      <c r="CA303" s="16" t="str">
        <f>IFERROR(__xludf.DUMMYFUNCTION("""COMPUTED_VALUE"""),"D")</f>
        <v>D</v>
      </c>
      <c r="CB303" s="16">
        <f>IFERROR(__xludf.DUMMYFUNCTION("""COMPUTED_VALUE"""),0.0)</f>
        <v>0</v>
      </c>
      <c r="CC303" s="16">
        <f>IFERROR(__xludf.DUMMYFUNCTION("""COMPUTED_VALUE"""),0.0)</f>
        <v>0</v>
      </c>
      <c r="CD303" s="16">
        <f>IFERROR(__xludf.DUMMYFUNCTION("""COMPUTED_VALUE"""),0.0)</f>
        <v>0</v>
      </c>
      <c r="CE303" s="16">
        <f>IFERROR(__xludf.DUMMYFUNCTION("""COMPUTED_VALUE"""),0.0)</f>
        <v>0</v>
      </c>
      <c r="CF303" s="16">
        <f>IFERROR(__xludf.DUMMYFUNCTION("""COMPUTED_VALUE"""),1.0)</f>
        <v>1</v>
      </c>
      <c r="CG303" s="16">
        <f>IFERROR(__xludf.DUMMYFUNCTION("""COMPUTED_VALUE"""),-27.0)</f>
        <v>-27</v>
      </c>
      <c r="CH303" s="16">
        <f>IFERROR(__xludf.DUMMYFUNCTION("""COMPUTED_VALUE"""),-5.0)</f>
        <v>-5</v>
      </c>
      <c r="CI303" s="179">
        <f>IFERROR(__xludf.DUMMYFUNCTION("""COMPUTED_VALUE"""),-9.0)</f>
        <v>-9</v>
      </c>
      <c r="CJ303" s="16"/>
      <c r="CK303" s="16"/>
      <c r="CL303" s="16">
        <f>IFERROR(__xludf.DUMMYFUNCTION("""COMPUTED_VALUE"""),412.0)</f>
        <v>412</v>
      </c>
      <c r="CM303" s="16">
        <f>IFERROR(__xludf.DUMMYFUNCTION("""COMPUTED_VALUE"""),447.0)</f>
        <v>447</v>
      </c>
      <c r="CN303" s="16"/>
      <c r="CO303" s="16"/>
      <c r="CP303" s="16"/>
      <c r="CQ303" s="16"/>
      <c r="CR303" s="16" t="str">
        <f>IFERROR(__xludf.DUMMYFUNCTION("""COMPUTED_VALUE"""),"3b-4e47 2b-4e12")</f>
        <v>3b-4e47 2b-4e12</v>
      </c>
      <c r="CS303" s="16"/>
      <c r="CT303" s="16"/>
      <c r="CU303" s="16">
        <f>IFERROR(__xludf.DUMMYFUNCTION("""COMPUTED_VALUE"""),4.0)</f>
        <v>4</v>
      </c>
      <c r="CV303" s="16">
        <f>IFERROR(__xludf.DUMMYFUNCTION("""COMPUTED_VALUE"""),4.0)</f>
        <v>4</v>
      </c>
      <c r="CW303" s="16"/>
      <c r="CX303" s="16"/>
      <c r="CY303" s="16"/>
      <c r="CZ303" s="16"/>
      <c r="DA303" s="16"/>
      <c r="DB303" s="16"/>
      <c r="DC303" s="16">
        <f>IFERROR(__xludf.DUMMYFUNCTION("""COMPUTED_VALUE"""),12.0)</f>
        <v>12</v>
      </c>
      <c r="DD303" s="16">
        <f>IFERROR(__xludf.DUMMYFUNCTION("""COMPUTED_VALUE"""),47.0)</f>
        <v>47</v>
      </c>
      <c r="DE303" s="16"/>
      <c r="DF303" s="16"/>
      <c r="DG303" s="16"/>
      <c r="DH303" s="16"/>
      <c r="DI303" s="16"/>
      <c r="DJ303" s="16"/>
      <c r="DK303" s="16">
        <f>IFERROR(__xludf.DUMMYFUNCTION("""COMPUTED_VALUE"""),-2.0)</f>
        <v>-2</v>
      </c>
      <c r="DL303" s="16">
        <f>IFERROR(__xludf.DUMMYFUNCTION("""COMPUTED_VALUE"""),0.0)</f>
        <v>0</v>
      </c>
      <c r="DM303" s="16"/>
      <c r="DN303" s="16"/>
      <c r="DO303" s="16"/>
      <c r="DP303" s="16"/>
      <c r="DQ303" s="16"/>
      <c r="DR303" s="16"/>
      <c r="DS303" s="16">
        <f>IFERROR(__xludf.DUMMYFUNCTION("""COMPUTED_VALUE"""),2.0)</f>
        <v>2</v>
      </c>
      <c r="DT303" s="16">
        <f>IFERROR(__xludf.DUMMYFUNCTION("""COMPUTED_VALUE"""),-2.0)</f>
        <v>-2</v>
      </c>
      <c r="DU303" s="16"/>
      <c r="DV303" s="16"/>
      <c r="DW303" s="16"/>
      <c r="DX303" s="16"/>
      <c r="DY303" s="16"/>
      <c r="DZ303" s="16"/>
      <c r="EA303" s="16">
        <f>IFERROR(__xludf.DUMMYFUNCTION("""COMPUTED_VALUE"""),0.0)</f>
        <v>0</v>
      </c>
      <c r="EB303" s="16">
        <f>IFERROR(__xludf.DUMMYFUNCTION("""COMPUTED_VALUE"""),-2.0)</f>
        <v>-2</v>
      </c>
      <c r="EC303" s="16"/>
      <c r="ED303" s="16"/>
      <c r="EE303" s="16"/>
      <c r="EF303" s="16"/>
      <c r="EG303" s="179"/>
      <c r="EH303" s="179"/>
      <c r="EI303" s="179">
        <f>IFERROR(__xludf.DUMMYFUNCTION("""COMPUTED_VALUE"""),-9.0)</f>
        <v>-9</v>
      </c>
      <c r="EJ303" s="179">
        <f>IFERROR(__xludf.DUMMYFUNCTION("""COMPUTED_VALUE"""),-11.0)</f>
        <v>-11</v>
      </c>
      <c r="EK303" s="179"/>
      <c r="EL303" s="179"/>
      <c r="EM303" s="179"/>
      <c r="EN303" s="179"/>
      <c r="EO303" s="16"/>
      <c r="EP303" s="16">
        <f>IFERROR(__xludf.DUMMYFUNCTION("""COMPUTED_VALUE"""),4.3)</f>
        <v>4.3</v>
      </c>
      <c r="EQ303" s="16">
        <f>IFERROR(__xludf.DUMMYFUNCTION("""COMPUTED_VALUE"""),4.0)</f>
        <v>4</v>
      </c>
      <c r="ER303" s="16">
        <f>IFERROR(__xludf.DUMMYFUNCTION("""COMPUTED_VALUE"""),-4.0)</f>
        <v>-4</v>
      </c>
      <c r="ES303" s="16"/>
      <c r="ET303" s="16"/>
      <c r="EU303" s="16"/>
      <c r="EV303" s="16"/>
      <c r="EW303" s="16"/>
      <c r="EX303" s="180"/>
      <c r="EY303" s="180"/>
      <c r="EZ303" s="180">
        <f>IFERROR(__xludf.DUMMYFUNCTION("""COMPUTED_VALUE"""),0.3)</f>
        <v>0.3</v>
      </c>
      <c r="FA303" s="180">
        <f>IFERROR(__xludf.DUMMYFUNCTION("""COMPUTED_VALUE"""),0.3)</f>
        <v>0.3</v>
      </c>
      <c r="FB303" s="180"/>
      <c r="FC303" s="180"/>
      <c r="FD303" s="180"/>
      <c r="FE303" s="180"/>
      <c r="FF303" s="180"/>
      <c r="FG303" s="180"/>
      <c r="FH303" s="180">
        <f>IFERROR(__xludf.DUMMYFUNCTION("""COMPUTED_VALUE"""),0.06944444444444445)</f>
        <v>0.06944444444</v>
      </c>
      <c r="FI303" s="180">
        <f>IFERROR(__xludf.DUMMYFUNCTION("""COMPUTED_VALUE"""),0.5648148148148148)</f>
        <v>0.5648148148</v>
      </c>
      <c r="FJ303" s="180"/>
      <c r="FK303" s="180"/>
      <c r="FL303" s="180"/>
      <c r="FM303" s="180"/>
      <c r="FN303" s="16"/>
      <c r="FO303" s="16"/>
      <c r="FP303" s="16">
        <f>IFERROR(__xludf.DUMMYFUNCTION("""COMPUTED_VALUE"""),0.6513888888888889)</f>
        <v>0.6513888889</v>
      </c>
      <c r="FQ303" s="16">
        <f>IFERROR(__xludf.DUMMYFUNCTION("""COMPUTED_VALUE"""),0.30462962962962964)</f>
        <v>0.3046296296</v>
      </c>
      <c r="FR303" s="16"/>
      <c r="FS303" s="16"/>
      <c r="FT303" s="16"/>
      <c r="FU303" s="16"/>
      <c r="FV303" s="16"/>
      <c r="FW303" s="16"/>
      <c r="FX303" s="16">
        <f>IFERROR(__xludf.DUMMYFUNCTION("""COMPUTED_VALUE"""),-4.0)</f>
        <v>-4</v>
      </c>
      <c r="FY303" s="16">
        <f>IFERROR(__xludf.DUMMYFUNCTION("""COMPUTED_VALUE"""),-8.0)</f>
        <v>-8</v>
      </c>
      <c r="FZ303" s="16"/>
      <c r="GA303" s="16"/>
      <c r="GB303" s="16"/>
      <c r="GC303" s="16"/>
      <c r="GD303" s="16" t="s">
        <v>176</v>
      </c>
    </row>
    <row r="304">
      <c r="A304" s="16">
        <f>IFERROR(__xludf.DUMMYFUNCTION("""COMPUTED_VALUE"""),12663.0)</f>
        <v>12663</v>
      </c>
      <c r="B304" s="16" t="str">
        <f>IFERROR(__xludf.DUMMYFUNCTION("""COMPUTED_VALUE"""),"Cavan Biggio")</f>
        <v>Cavan Biggio</v>
      </c>
      <c r="C304" s="16">
        <f>IFERROR(__xludf.DUMMYFUNCTION("""COMPUTED_VALUE"""),0.08)</f>
        <v>0.08</v>
      </c>
      <c r="D304" s="16" t="str">
        <f>IFERROR(__xludf.DUMMYFUNCTION("""COMPUTED_VALUE"""),"L")</f>
        <v>L</v>
      </c>
      <c r="E304" s="16"/>
      <c r="F304" s="16"/>
      <c r="G304" s="16">
        <f>IFERROR(__xludf.DUMMYFUNCTION("""COMPUTED_VALUE"""),188.0)</f>
        <v>188</v>
      </c>
      <c r="H304" s="16">
        <f>IFERROR(__xludf.DUMMYFUNCTION("""COMPUTED_VALUE"""),24.0)</f>
        <v>24</v>
      </c>
      <c r="I304" s="16" t="str">
        <f>IFERROR(__xludf.DUMMYFUNCTION("""COMPUTED_VALUE"""),"1p40")</f>
        <v>1p40</v>
      </c>
      <c r="J304" s="16">
        <f>IFERROR(__xludf.DUMMYFUNCTION("""COMPUTED_VALUE"""),46.0)</f>
        <v>46</v>
      </c>
      <c r="K304" s="16">
        <f>IFERROR(__xludf.DUMMYFUNCTION("""COMPUTED_VALUE"""),44.0)</f>
        <v>44</v>
      </c>
      <c r="L304" s="16">
        <f>IFERROR(__xludf.DUMMYFUNCTION("""COMPUTED_VALUE"""),-2.0)</f>
        <v>-2</v>
      </c>
      <c r="M304" s="16">
        <f>IFERROR(__xludf.DUMMYFUNCTION("""COMPUTED_VALUE"""),-2.0)</f>
        <v>-2</v>
      </c>
      <c r="N304" s="16">
        <f>IFERROR(__xludf.DUMMYFUNCTION("""COMPUTED_VALUE"""),-2.0)</f>
        <v>-2</v>
      </c>
      <c r="O304" s="16">
        <f>IFERROR(__xludf.DUMMYFUNCTION("""COMPUTED_VALUE"""),-2.0)</f>
        <v>-2</v>
      </c>
      <c r="P304" s="16">
        <f>IFERROR(__xludf.DUMMYFUNCTION("""COMPUTED_VALUE"""),12.0)</f>
        <v>12</v>
      </c>
      <c r="Q304" s="16">
        <f>IFERROR(__xludf.DUMMYFUNCTION("""COMPUTED_VALUE"""),14.0)</f>
        <v>14</v>
      </c>
      <c r="R304" s="16">
        <f>IFERROR(__xludf.DUMMYFUNCTION("""COMPUTED_VALUE"""),1.0)</f>
        <v>1</v>
      </c>
      <c r="S304" s="16">
        <f>IFERROR(__xludf.DUMMYFUNCTION("""COMPUTED_VALUE"""),2.0)</f>
        <v>2</v>
      </c>
      <c r="T304" s="16">
        <f>IFERROR(__xludf.DUMMYFUNCTION("""COMPUTED_VALUE"""),1.0)</f>
        <v>1</v>
      </c>
      <c r="U304" s="16">
        <f>IFERROR(__xludf.DUMMYFUNCTION("""COMPUTED_VALUE"""),2.0)</f>
        <v>2</v>
      </c>
      <c r="V304" s="16">
        <f>IFERROR(__xludf.DUMMYFUNCTION("""COMPUTED_VALUE"""),10.1)</f>
        <v>10.1</v>
      </c>
      <c r="W304" s="16">
        <f>IFERROR(__xludf.DUMMYFUNCTION("""COMPUTED_VALUE"""),9.8)</f>
        <v>9.8</v>
      </c>
      <c r="X304" s="16">
        <f>IFERROR(__xludf.DUMMYFUNCTION("""COMPUTED_VALUE"""),-1.0)</f>
        <v>-1</v>
      </c>
      <c r="Y304" s="16">
        <f>IFERROR(__xludf.DUMMYFUNCTION("""COMPUTED_VALUE"""),-2.0)</f>
        <v>-2</v>
      </c>
      <c r="Z304" s="16">
        <f>IFERROR(__xludf.DUMMYFUNCTION("""COMPUTED_VALUE"""),-2.0)</f>
        <v>-2</v>
      </c>
      <c r="AA304" s="16">
        <f>IFERROR(__xludf.DUMMYFUNCTION("""COMPUTED_VALUE"""),-4.0)</f>
        <v>-4</v>
      </c>
      <c r="AB304" s="16">
        <f>IFERROR(__xludf.DUMMYFUNCTION("""COMPUTED_VALUE"""),31.1)</f>
        <v>31.1</v>
      </c>
      <c r="AC304" s="16">
        <f>IFERROR(__xludf.DUMMYFUNCTION("""COMPUTED_VALUE"""),32.8)</f>
        <v>32.8</v>
      </c>
      <c r="AD304" s="16">
        <f>IFERROR(__xludf.DUMMYFUNCTION("""COMPUTED_VALUE"""),0.0)</f>
        <v>0</v>
      </c>
      <c r="AE304" s="16">
        <f>IFERROR(__xludf.DUMMYFUNCTION("""COMPUTED_VALUE"""),0.0)</f>
        <v>0</v>
      </c>
      <c r="AF304" s="16">
        <f>IFERROR(__xludf.DUMMYFUNCTION("""COMPUTED_VALUE"""),0.0)</f>
        <v>0</v>
      </c>
      <c r="AG304" s="16">
        <f>IFERROR(__xludf.DUMMYFUNCTION("""COMPUTED_VALUE"""),0.0)</f>
        <v>0</v>
      </c>
      <c r="AH304" s="16">
        <f>IFERROR(__xludf.DUMMYFUNCTION("""COMPUTED_VALUE"""),13.7)</f>
        <v>13.7</v>
      </c>
      <c r="AI304" s="16">
        <f>IFERROR(__xludf.DUMMYFUNCTION("""COMPUTED_VALUE"""),14.5)</f>
        <v>14.5</v>
      </c>
      <c r="AJ304" s="16">
        <f>IFERROR(__xludf.DUMMYFUNCTION("""COMPUTED_VALUE"""),-2.0)</f>
        <v>-2</v>
      </c>
      <c r="AK304" s="16">
        <f>IFERROR(__xludf.DUMMYFUNCTION("""COMPUTED_VALUE"""),-2.0)</f>
        <v>-2</v>
      </c>
      <c r="AL304" s="16">
        <f>IFERROR(__xludf.DUMMYFUNCTION("""COMPUTED_VALUE"""),-10.0)</f>
        <v>-10</v>
      </c>
      <c r="AM304" s="16">
        <f>IFERROR(__xludf.DUMMYFUNCTION("""COMPUTED_VALUE"""),-10.0)</f>
        <v>-10</v>
      </c>
      <c r="AN304" s="16">
        <f>IFERROR(__xludf.DUMMYFUNCTION("""COMPUTED_VALUE"""),1.2)</f>
        <v>1.2</v>
      </c>
      <c r="AO304" s="16">
        <f>IFERROR(__xludf.DUMMYFUNCTION("""COMPUTED_VALUE"""),1.4)</f>
        <v>1.4</v>
      </c>
      <c r="AP304" s="16">
        <f>IFERROR(__xludf.DUMMYFUNCTION("""COMPUTED_VALUE"""),-1.0)</f>
        <v>-1</v>
      </c>
      <c r="AQ304" s="16">
        <f>IFERROR(__xludf.DUMMYFUNCTION("""COMPUTED_VALUE"""),-1.0)</f>
        <v>-1</v>
      </c>
      <c r="AR304" s="16">
        <f>IFERROR(__xludf.DUMMYFUNCTION("""COMPUTED_VALUE"""),-2.0)</f>
        <v>-2</v>
      </c>
      <c r="AS304" s="16">
        <f>IFERROR(__xludf.DUMMYFUNCTION("""COMPUTED_VALUE"""),-2.0)</f>
        <v>-2</v>
      </c>
      <c r="AT304" s="16"/>
      <c r="AU304" s="16">
        <f>IFERROR(__xludf.DUMMYFUNCTION("""COMPUTED_VALUE"""),2.0)</f>
        <v>2</v>
      </c>
      <c r="AV304" s="16">
        <f>IFERROR(__xludf.DUMMYFUNCTION("""COMPUTED_VALUE"""),-3.0)</f>
        <v>-3</v>
      </c>
      <c r="AW304" s="16">
        <f>IFERROR(__xludf.DUMMYFUNCTION("""COMPUTED_VALUE"""),2.0)</f>
        <v>2</v>
      </c>
      <c r="AX304" s="16">
        <f>IFERROR(__xludf.DUMMYFUNCTION("""COMPUTED_VALUE"""),-3.0)</f>
        <v>-3</v>
      </c>
      <c r="AY304" s="16">
        <f>IFERROR(__xludf.DUMMYFUNCTION("""COMPUTED_VALUE"""),0.0)</f>
        <v>0</v>
      </c>
      <c r="AZ304" s="16">
        <f>IFERROR(__xludf.DUMMYFUNCTION("""COMPUTED_VALUE"""),-9.0)</f>
        <v>-9</v>
      </c>
      <c r="BA304" s="16">
        <f>IFERROR(__xludf.DUMMYFUNCTION("""COMPUTED_VALUE"""),0.0)</f>
        <v>0</v>
      </c>
      <c r="BB304" s="16">
        <f>IFERROR(__xludf.DUMMYFUNCTION("""COMPUTED_VALUE"""),5.0)</f>
        <v>5</v>
      </c>
      <c r="BC304" s="16">
        <f>IFERROR(__xludf.DUMMYFUNCTION("""COMPUTED_VALUE"""),5.0)</f>
        <v>5</v>
      </c>
      <c r="BD304" s="16">
        <f>IFERROR(__xludf.DUMMYFUNCTION("""COMPUTED_VALUE"""),1.0)</f>
        <v>1</v>
      </c>
      <c r="BE304" s="16">
        <f>IFERROR(__xludf.DUMMYFUNCTION("""COMPUTED_VALUE"""),1.0)</f>
        <v>1</v>
      </c>
      <c r="BF304" s="16">
        <f>IFERROR(__xludf.DUMMYFUNCTION("""COMPUTED_VALUE"""),1.0)</f>
        <v>1</v>
      </c>
      <c r="BG304" s="16">
        <f>IFERROR(__xludf.DUMMYFUNCTION("""COMPUTED_VALUE"""),1.0)</f>
        <v>1</v>
      </c>
      <c r="BH304" s="16">
        <f>IFERROR(__xludf.DUMMYFUNCTION("""COMPUTED_VALUE"""),-4.0)</f>
        <v>-4</v>
      </c>
      <c r="BI304" s="16">
        <f>IFERROR(__xludf.DUMMYFUNCTION("""COMPUTED_VALUE"""),-4.0)</f>
        <v>-4</v>
      </c>
      <c r="BJ304" s="16">
        <f>IFERROR(__xludf.DUMMYFUNCTION("""COMPUTED_VALUE"""),0.0)</f>
        <v>0</v>
      </c>
      <c r="BK304" s="16">
        <f>IFERROR(__xludf.DUMMYFUNCTION("""COMPUTED_VALUE"""),0.0)</f>
        <v>0</v>
      </c>
      <c r="BL304" s="16">
        <f>IFERROR(__xludf.DUMMYFUNCTION("""COMPUTED_VALUE"""),3.0)</f>
        <v>3</v>
      </c>
      <c r="BM304" s="16">
        <f>IFERROR(__xludf.DUMMYFUNCTION("""COMPUTED_VALUE"""),3.0)</f>
        <v>3</v>
      </c>
      <c r="BN304" s="16">
        <f>IFERROR(__xludf.DUMMYFUNCTION("""COMPUTED_VALUE"""),3.0)</f>
        <v>3</v>
      </c>
      <c r="BO304" s="16">
        <f>IFERROR(__xludf.DUMMYFUNCTION("""COMPUTED_VALUE"""),3.0)</f>
        <v>3</v>
      </c>
      <c r="BP304" s="16">
        <f>IFERROR(__xludf.DUMMYFUNCTION("""COMPUTED_VALUE"""),-4.0)</f>
        <v>-4</v>
      </c>
      <c r="BQ304" s="16">
        <f>IFERROR(__xludf.DUMMYFUNCTION("""COMPUTED_VALUE"""),-1.0)</f>
        <v>-1</v>
      </c>
      <c r="BR304" s="16">
        <f>IFERROR(__xludf.DUMMYFUNCTION("""COMPUTED_VALUE"""),-5.0)</f>
        <v>-5</v>
      </c>
      <c r="BS304" s="16" t="str">
        <f>IFERROR(__xludf.DUMMYFUNCTION("""COMPUTED_VALUE"""),"2/- (20-6)")</f>
        <v>2/- (20-6)</v>
      </c>
      <c r="BT304" s="16" t="str">
        <f>IFERROR(__xludf.DUMMYFUNCTION("""COMPUTED_VALUE"""),"D")</f>
        <v>D</v>
      </c>
      <c r="BU304" s="16">
        <f>IFERROR(__xludf.DUMMYFUNCTION("""COMPUTED_VALUE"""),14.0)</f>
        <v>14</v>
      </c>
      <c r="BV304" s="16">
        <f>IFERROR(__xludf.DUMMYFUNCTION("""COMPUTED_VALUE"""),0.0)</f>
        <v>0</v>
      </c>
      <c r="BW304" s="16">
        <f>IFERROR(__xludf.DUMMYFUNCTION("""COMPUTED_VALUE"""),1.0)</f>
        <v>1</v>
      </c>
      <c r="BX304" s="16">
        <f>IFERROR(__xludf.DUMMYFUNCTION("""COMPUTED_VALUE"""),0.0)</f>
        <v>0</v>
      </c>
      <c r="BY304" s="16">
        <f>IFERROR(__xludf.DUMMYFUNCTION("""COMPUTED_VALUE"""),3.0)</f>
        <v>3</v>
      </c>
      <c r="BZ304" s="16" t="str">
        <f>IFERROR(__xludf.DUMMYFUNCTION("""COMPUTED_VALUE"""),"C")</f>
        <v>C</v>
      </c>
      <c r="CA304" s="16" t="str">
        <f>IFERROR(__xludf.DUMMYFUNCTION("""COMPUTED_VALUE"""),"D")</f>
        <v>D</v>
      </c>
      <c r="CB304" s="16">
        <f>IFERROR(__xludf.DUMMYFUNCTION("""COMPUTED_VALUE"""),0.0)</f>
        <v>0</v>
      </c>
      <c r="CC304" s="16">
        <f>IFERROR(__xludf.DUMMYFUNCTION("""COMPUTED_VALUE"""),0.0)</f>
        <v>0</v>
      </c>
      <c r="CD304" s="16">
        <f>IFERROR(__xludf.DUMMYFUNCTION("""COMPUTED_VALUE"""),0.0)</f>
        <v>0</v>
      </c>
      <c r="CE304" s="16">
        <f>IFERROR(__xludf.DUMMYFUNCTION("""COMPUTED_VALUE"""),0.0)</f>
        <v>0</v>
      </c>
      <c r="CF304" s="16">
        <f>IFERROR(__xludf.DUMMYFUNCTION("""COMPUTED_VALUE"""),1.0)</f>
        <v>1</v>
      </c>
      <c r="CG304" s="16">
        <f>IFERROR(__xludf.DUMMYFUNCTION("""COMPUTED_VALUE"""),-20.0)</f>
        <v>-20</v>
      </c>
      <c r="CH304" s="16">
        <f>IFERROR(__xludf.DUMMYFUNCTION("""COMPUTED_VALUE"""),-12.0)</f>
        <v>-12</v>
      </c>
      <c r="CI304" s="179">
        <f>IFERROR(__xludf.DUMMYFUNCTION("""COMPUTED_VALUE"""),-10.0)</f>
        <v>-10</v>
      </c>
      <c r="CJ304" s="16"/>
      <c r="CK304" s="16">
        <f>IFERROR(__xludf.DUMMYFUNCTION("""COMPUTED_VALUE"""),430.0)</f>
        <v>430</v>
      </c>
      <c r="CL304" s="16">
        <f>IFERROR(__xludf.DUMMYFUNCTION("""COMPUTED_VALUE"""),314.0)</f>
        <v>314</v>
      </c>
      <c r="CM304" s="16">
        <f>IFERROR(__xludf.DUMMYFUNCTION("""COMPUTED_VALUE"""),435.0)</f>
        <v>435</v>
      </c>
      <c r="CN304" s="16"/>
      <c r="CO304" s="16"/>
      <c r="CP304" s="16"/>
      <c r="CQ304" s="16">
        <f>IFERROR(__xludf.DUMMYFUNCTION("""COMPUTED_VALUE"""),405.0)</f>
        <v>405</v>
      </c>
      <c r="CR304" s="16" t="str">
        <f>IFERROR(__xludf.DUMMYFUNCTION("""COMPUTED_VALUE"""),"2b-3e14 3b-4e35 1b-4e30 rf-4(+1)e5")</f>
        <v>2b-3e14 3b-4e35 1b-4e30 rf-4(+1)e5</v>
      </c>
      <c r="CS304" s="16"/>
      <c r="CT304" s="16">
        <f>IFERROR(__xludf.DUMMYFUNCTION("""COMPUTED_VALUE"""),4.0)</f>
        <v>4</v>
      </c>
      <c r="CU304" s="16">
        <f>IFERROR(__xludf.DUMMYFUNCTION("""COMPUTED_VALUE"""),3.0)</f>
        <v>3</v>
      </c>
      <c r="CV304" s="16">
        <f>IFERROR(__xludf.DUMMYFUNCTION("""COMPUTED_VALUE"""),4.0)</f>
        <v>4</v>
      </c>
      <c r="CW304" s="16"/>
      <c r="CX304" s="16"/>
      <c r="CY304" s="16"/>
      <c r="CZ304" s="16">
        <f>IFERROR(__xludf.DUMMYFUNCTION("""COMPUTED_VALUE"""),4.0)</f>
        <v>4</v>
      </c>
      <c r="DA304" s="16"/>
      <c r="DB304" s="16">
        <f>IFERROR(__xludf.DUMMYFUNCTION("""COMPUTED_VALUE"""),30.0)</f>
        <v>30</v>
      </c>
      <c r="DC304" s="16">
        <f>IFERROR(__xludf.DUMMYFUNCTION("""COMPUTED_VALUE"""),14.0)</f>
        <v>14</v>
      </c>
      <c r="DD304" s="16">
        <f>IFERROR(__xludf.DUMMYFUNCTION("""COMPUTED_VALUE"""),35.0)</f>
        <v>35</v>
      </c>
      <c r="DE304" s="16"/>
      <c r="DF304" s="16"/>
      <c r="DG304" s="16"/>
      <c r="DH304" s="16">
        <f>IFERROR(__xludf.DUMMYFUNCTION("""COMPUTED_VALUE"""),5.0)</f>
        <v>5</v>
      </c>
      <c r="DI304" s="16"/>
      <c r="DJ304" s="16">
        <f>IFERROR(__xludf.DUMMYFUNCTION("""COMPUTED_VALUE"""),0.0)</f>
        <v>0</v>
      </c>
      <c r="DK304" s="16">
        <f>IFERROR(__xludf.DUMMYFUNCTION("""COMPUTED_VALUE"""),0.0)</f>
        <v>0</v>
      </c>
      <c r="DL304" s="16">
        <f>IFERROR(__xludf.DUMMYFUNCTION("""COMPUTED_VALUE"""),0.0)</f>
        <v>0</v>
      </c>
      <c r="DM304" s="16"/>
      <c r="DN304" s="16"/>
      <c r="DO304" s="16"/>
      <c r="DP304" s="16">
        <f>IFERROR(__xludf.DUMMYFUNCTION("""COMPUTED_VALUE"""),-1.0)</f>
        <v>-1</v>
      </c>
      <c r="DQ304" s="16"/>
      <c r="DR304" s="16">
        <f>IFERROR(__xludf.DUMMYFUNCTION("""COMPUTED_VALUE"""),-2.0)</f>
        <v>-2</v>
      </c>
      <c r="DS304" s="16">
        <f>IFERROR(__xludf.DUMMYFUNCTION("""COMPUTED_VALUE"""),2.0)</f>
        <v>2</v>
      </c>
      <c r="DT304" s="16">
        <f>IFERROR(__xludf.DUMMYFUNCTION("""COMPUTED_VALUE"""),-2.0)</f>
        <v>-2</v>
      </c>
      <c r="DU304" s="16"/>
      <c r="DV304" s="16"/>
      <c r="DW304" s="16"/>
      <c r="DX304" s="16">
        <f>IFERROR(__xludf.DUMMYFUNCTION("""COMPUTED_VALUE"""),2.0)</f>
        <v>2</v>
      </c>
      <c r="DY304" s="16"/>
      <c r="DZ304" s="16">
        <f>IFERROR(__xludf.DUMMYFUNCTION("""COMPUTED_VALUE"""),-2.0)</f>
        <v>-2</v>
      </c>
      <c r="EA304" s="16">
        <f>IFERROR(__xludf.DUMMYFUNCTION("""COMPUTED_VALUE"""),2.0)</f>
        <v>2</v>
      </c>
      <c r="EB304" s="16">
        <f>IFERROR(__xludf.DUMMYFUNCTION("""COMPUTED_VALUE"""),-2.0)</f>
        <v>-2</v>
      </c>
      <c r="EC304" s="16"/>
      <c r="ED304" s="16"/>
      <c r="EE304" s="16"/>
      <c r="EF304" s="16">
        <f>IFERROR(__xludf.DUMMYFUNCTION("""COMPUTED_VALUE"""),1.0)</f>
        <v>1</v>
      </c>
      <c r="EG304" s="179"/>
      <c r="EH304" s="179">
        <f>IFERROR(__xludf.DUMMYFUNCTION("""COMPUTED_VALUE"""),-12.0)</f>
        <v>-12</v>
      </c>
      <c r="EI304" s="179">
        <f>IFERROR(__xludf.DUMMYFUNCTION("""COMPUTED_VALUE"""),-8.0)</f>
        <v>-8</v>
      </c>
      <c r="EJ304" s="179">
        <f>IFERROR(__xludf.DUMMYFUNCTION("""COMPUTED_VALUE"""),-12.0)</f>
        <v>-12</v>
      </c>
      <c r="EK304" s="179"/>
      <c r="EL304" s="179"/>
      <c r="EM304" s="179"/>
      <c r="EN304" s="179">
        <f>IFERROR(__xludf.DUMMYFUNCTION("""COMPUTED_VALUE"""),-9.0)</f>
        <v>-9</v>
      </c>
      <c r="EO304" s="16"/>
      <c r="EP304" s="16">
        <f>IFERROR(__xludf.DUMMYFUNCTION("""COMPUTED_VALUE"""),-3.0)</f>
        <v>-3</v>
      </c>
      <c r="EQ304" s="16">
        <f>IFERROR(__xludf.DUMMYFUNCTION("""COMPUTED_VALUE"""),4.0)</f>
        <v>4</v>
      </c>
      <c r="ER304" s="16">
        <f>IFERROR(__xludf.DUMMYFUNCTION("""COMPUTED_VALUE"""),-1.0)</f>
        <v>-1</v>
      </c>
      <c r="ES304" s="16"/>
      <c r="ET304" s="16"/>
      <c r="EU304" s="16"/>
      <c r="EV304" s="16"/>
      <c r="EW304" s="16"/>
      <c r="EX304" s="180"/>
      <c r="EY304" s="180">
        <f>IFERROR(__xludf.DUMMYFUNCTION("""COMPUTED_VALUE"""),0.3)</f>
        <v>0.3</v>
      </c>
      <c r="EZ304" s="180">
        <f>IFERROR(__xludf.DUMMYFUNCTION("""COMPUTED_VALUE"""),0.2)</f>
        <v>0.2</v>
      </c>
      <c r="FA304" s="180">
        <f>IFERROR(__xludf.DUMMYFUNCTION("""COMPUTED_VALUE"""),0.3)</f>
        <v>0.3</v>
      </c>
      <c r="FB304" s="180"/>
      <c r="FC304" s="180"/>
      <c r="FD304" s="180"/>
      <c r="FE304" s="180">
        <f>IFERROR(__xludf.DUMMYFUNCTION("""COMPUTED_VALUE"""),0.55)</f>
        <v>0.55</v>
      </c>
      <c r="FF304" s="180"/>
      <c r="FG304" s="180">
        <f>IFERROR(__xludf.DUMMYFUNCTION("""COMPUTED_VALUE"""),0.5370370370370371)</f>
        <v>0.537037037</v>
      </c>
      <c r="FH304" s="180">
        <f>IFERROR(__xludf.DUMMYFUNCTION("""COMPUTED_VALUE"""),0.08333333333333333)</f>
        <v>0.08333333333</v>
      </c>
      <c r="FI304" s="180">
        <f>IFERROR(__xludf.DUMMYFUNCTION("""COMPUTED_VALUE"""),0.4212962962962963)</f>
        <v>0.4212962963</v>
      </c>
      <c r="FJ304" s="180"/>
      <c r="FK304" s="180"/>
      <c r="FL304" s="180"/>
      <c r="FM304" s="180">
        <f>IFERROR(__xludf.DUMMYFUNCTION("""COMPUTED_VALUE"""),0.088)</f>
        <v>0.088</v>
      </c>
      <c r="FN304" s="16"/>
      <c r="FO304" s="16">
        <f>IFERROR(__xludf.DUMMYFUNCTION("""COMPUTED_VALUE"""),0.324074074074074)</f>
        <v>0.3240740741</v>
      </c>
      <c r="FP304" s="16">
        <f>IFERROR(__xludf.DUMMYFUNCTION("""COMPUTED_VALUE"""),0.7333333333333334)</f>
        <v>0.7333333333</v>
      </c>
      <c r="FQ304" s="16">
        <f>IFERROR(__xludf.DUMMYFUNCTION("""COMPUTED_VALUE"""),0.40509259259259256)</f>
        <v>0.4050925926</v>
      </c>
      <c r="FR304" s="16"/>
      <c r="FS304" s="16"/>
      <c r="FT304" s="16"/>
      <c r="FU304" s="16">
        <f>IFERROR(__xludf.DUMMYFUNCTION("""COMPUTED_VALUE"""),0.4104)</f>
        <v>0.4104</v>
      </c>
      <c r="FV304" s="16"/>
      <c r="FW304" s="16">
        <f>IFERROR(__xludf.DUMMYFUNCTION("""COMPUTED_VALUE"""),-8.0)</f>
        <v>-8</v>
      </c>
      <c r="FX304" s="16">
        <f>IFERROR(__xludf.DUMMYFUNCTION("""COMPUTED_VALUE"""),-4.0)</f>
        <v>-4</v>
      </c>
      <c r="FY304" s="16">
        <f>IFERROR(__xludf.DUMMYFUNCTION("""COMPUTED_VALUE"""),-8.0)</f>
        <v>-8</v>
      </c>
      <c r="FZ304" s="16"/>
      <c r="GA304" s="16"/>
      <c r="GB304" s="16"/>
      <c r="GC304" s="16">
        <f>IFERROR(__xludf.DUMMYFUNCTION("""COMPUTED_VALUE"""),-5.0)</f>
        <v>-5</v>
      </c>
      <c r="GD304" s="16" t="s">
        <v>176</v>
      </c>
    </row>
    <row r="305">
      <c r="A305" s="16">
        <f>IFERROR(__xludf.DUMMYFUNCTION("""COMPUTED_VALUE"""),12797.0)</f>
        <v>12797</v>
      </c>
      <c r="B305" s="16" t="str">
        <f>IFERROR(__xludf.DUMMYFUNCTION("""COMPUTED_VALUE"""),"Enmanuel Valdez")</f>
        <v>Enmanuel Valdez</v>
      </c>
      <c r="C305" s="16">
        <f>IFERROR(__xludf.DUMMYFUNCTION("""COMPUTED_VALUE"""),0.0)</f>
        <v>0</v>
      </c>
      <c r="D305" s="16" t="str">
        <f>IFERROR(__xludf.DUMMYFUNCTION("""COMPUTED_VALUE"""),"L")</f>
        <v>L</v>
      </c>
      <c r="E305" s="16"/>
      <c r="F305" s="16"/>
      <c r="G305" s="16">
        <f>IFERROR(__xludf.DUMMYFUNCTION("""COMPUTED_VALUE"""),201.0)</f>
        <v>201</v>
      </c>
      <c r="H305" s="16">
        <f>IFERROR(__xludf.DUMMYFUNCTION("""COMPUTED_VALUE"""),17.0)</f>
        <v>17</v>
      </c>
      <c r="I305" s="16" t="str">
        <f>IFERROR(__xludf.DUMMYFUNCTION("""COMPUTED_VALUE"""),"1p40")</f>
        <v>1p40</v>
      </c>
      <c r="J305" s="16">
        <f>IFERROR(__xludf.DUMMYFUNCTION("""COMPUTED_VALUE"""),23.0)</f>
        <v>23</v>
      </c>
      <c r="K305" s="16">
        <f>IFERROR(__xludf.DUMMYFUNCTION("""COMPUTED_VALUE"""),28.0)</f>
        <v>28</v>
      </c>
      <c r="L305" s="16">
        <f>IFERROR(__xludf.DUMMYFUNCTION("""COMPUTED_VALUE"""),0.0)</f>
        <v>0</v>
      </c>
      <c r="M305" s="16">
        <f>IFERROR(__xludf.DUMMYFUNCTION("""COMPUTED_VALUE"""),0.0)</f>
        <v>0</v>
      </c>
      <c r="N305" s="16">
        <f>IFERROR(__xludf.DUMMYFUNCTION("""COMPUTED_VALUE"""),0.0)</f>
        <v>0</v>
      </c>
      <c r="O305" s="16">
        <f>IFERROR(__xludf.DUMMYFUNCTION("""COMPUTED_VALUE"""),0.0)</f>
        <v>0</v>
      </c>
      <c r="P305" s="16">
        <f>IFERROR(__xludf.DUMMYFUNCTION("""COMPUTED_VALUE"""),10.0)</f>
        <v>10</v>
      </c>
      <c r="Q305" s="16">
        <f>IFERROR(__xludf.DUMMYFUNCTION("""COMPUTED_VALUE"""),7.0)</f>
        <v>7</v>
      </c>
      <c r="R305" s="16">
        <f>IFERROR(__xludf.DUMMYFUNCTION("""COMPUTED_VALUE"""),1.0)</f>
        <v>1</v>
      </c>
      <c r="S305" s="16">
        <f>IFERROR(__xludf.DUMMYFUNCTION("""COMPUTED_VALUE"""),-1.0)</f>
        <v>-1</v>
      </c>
      <c r="T305" s="16">
        <f>IFERROR(__xludf.DUMMYFUNCTION("""COMPUTED_VALUE"""),1.0)</f>
        <v>1</v>
      </c>
      <c r="U305" s="16">
        <f>IFERROR(__xludf.DUMMYFUNCTION("""COMPUTED_VALUE"""),-1.0)</f>
        <v>-1</v>
      </c>
      <c r="V305" s="16">
        <f>IFERROR(__xludf.DUMMYFUNCTION("""COMPUTED_VALUE"""),0.0)</f>
        <v>0</v>
      </c>
      <c r="W305" s="16">
        <f>IFERROR(__xludf.DUMMYFUNCTION("""COMPUTED_VALUE"""),18.3)</f>
        <v>18.3</v>
      </c>
      <c r="X305" s="16">
        <f>IFERROR(__xludf.DUMMYFUNCTION("""COMPUTED_VALUE"""),-2.0)</f>
        <v>-2</v>
      </c>
      <c r="Y305" s="16">
        <f>IFERROR(__xludf.DUMMYFUNCTION("""COMPUTED_VALUE"""),0.0)</f>
        <v>0</v>
      </c>
      <c r="Z305" s="16">
        <f>IFERROR(__xludf.DUMMYFUNCTION("""COMPUTED_VALUE"""),-4.0)</f>
        <v>-4</v>
      </c>
      <c r="AA305" s="16">
        <f>IFERROR(__xludf.DUMMYFUNCTION("""COMPUTED_VALUE"""),0.0)</f>
        <v>0</v>
      </c>
      <c r="AB305" s="16">
        <f>IFERROR(__xludf.DUMMYFUNCTION("""COMPUTED_VALUE"""),10.0)</f>
        <v>10</v>
      </c>
      <c r="AC305" s="16">
        <f>IFERROR(__xludf.DUMMYFUNCTION("""COMPUTED_VALUE"""),25.3)</f>
        <v>25.3</v>
      </c>
      <c r="AD305" s="16">
        <f>IFERROR(__xludf.DUMMYFUNCTION("""COMPUTED_VALUE"""),-2.0)</f>
        <v>-2</v>
      </c>
      <c r="AE305" s="16">
        <f>IFERROR(__xludf.DUMMYFUNCTION("""COMPUTED_VALUE"""),-1.0)</f>
        <v>-1</v>
      </c>
      <c r="AF305" s="16">
        <f>IFERROR(__xludf.DUMMYFUNCTION("""COMPUTED_VALUE"""),-10.0)</f>
        <v>-10</v>
      </c>
      <c r="AG305" s="16">
        <f>IFERROR(__xludf.DUMMYFUNCTION("""COMPUTED_VALUE"""),-5.0)</f>
        <v>-5</v>
      </c>
      <c r="AH305" s="16">
        <f>IFERROR(__xludf.DUMMYFUNCTION("""COMPUTED_VALUE"""),0.0)</f>
        <v>0</v>
      </c>
      <c r="AI305" s="16">
        <f>IFERROR(__xludf.DUMMYFUNCTION("""COMPUTED_VALUE"""),33.0)</f>
        <v>33</v>
      </c>
      <c r="AJ305" s="16">
        <f>IFERROR(__xludf.DUMMYFUNCTION("""COMPUTED_VALUE"""),-2.0)</f>
        <v>-2</v>
      </c>
      <c r="AK305" s="16">
        <f>IFERROR(__xludf.DUMMYFUNCTION("""COMPUTED_VALUE"""),0.0)</f>
        <v>0</v>
      </c>
      <c r="AL305" s="16">
        <f>IFERROR(__xludf.DUMMYFUNCTION("""COMPUTED_VALUE"""),-10.0)</f>
        <v>-10</v>
      </c>
      <c r="AM305" s="16">
        <f>IFERROR(__xludf.DUMMYFUNCTION("""COMPUTED_VALUE"""),0.0)</f>
        <v>0</v>
      </c>
      <c r="AN305" s="16">
        <f>IFERROR(__xludf.DUMMYFUNCTION("""COMPUTED_VALUE"""),0.0)</f>
        <v>0</v>
      </c>
      <c r="AO305" s="16">
        <f>IFERROR(__xludf.DUMMYFUNCTION("""COMPUTED_VALUE"""),2.2)</f>
        <v>2.2</v>
      </c>
      <c r="AP305" s="16">
        <f>IFERROR(__xludf.DUMMYFUNCTION("""COMPUTED_VALUE"""),-2.0)</f>
        <v>-2</v>
      </c>
      <c r="AQ305" s="16">
        <f>IFERROR(__xludf.DUMMYFUNCTION("""COMPUTED_VALUE"""),0.0)</f>
        <v>0</v>
      </c>
      <c r="AR305" s="16">
        <f>IFERROR(__xludf.DUMMYFUNCTION("""COMPUTED_VALUE"""),-4.0)</f>
        <v>-4</v>
      </c>
      <c r="AS305" s="16">
        <f>IFERROR(__xludf.DUMMYFUNCTION("""COMPUTED_VALUE"""),0.0)</f>
        <v>0</v>
      </c>
      <c r="AT305" s="16"/>
      <c r="AU305" s="16">
        <f>IFERROR(__xludf.DUMMYFUNCTION("""COMPUTED_VALUE"""),4.0)</f>
        <v>4</v>
      </c>
      <c r="AV305" s="16">
        <f>IFERROR(__xludf.DUMMYFUNCTION("""COMPUTED_VALUE"""),-3.0)</f>
        <v>-3</v>
      </c>
      <c r="AW305" s="16">
        <f>IFERROR(__xludf.DUMMYFUNCTION("""COMPUTED_VALUE"""),4.0)</f>
        <v>4</v>
      </c>
      <c r="AX305" s="16">
        <f>IFERROR(__xludf.DUMMYFUNCTION("""COMPUTED_VALUE"""),-3.0)</f>
        <v>-3</v>
      </c>
      <c r="AY305" s="16">
        <f>IFERROR(__xludf.DUMMYFUNCTION("""COMPUTED_VALUE"""),1.0)</f>
        <v>1</v>
      </c>
      <c r="AZ305" s="16">
        <f>IFERROR(__xludf.DUMMYFUNCTION("""COMPUTED_VALUE"""),-9.0)</f>
        <v>-9</v>
      </c>
      <c r="BA305" s="16">
        <f>IFERROR(__xludf.DUMMYFUNCTION("""COMPUTED_VALUE"""),3.0)</f>
        <v>3</v>
      </c>
      <c r="BB305" s="16">
        <f>IFERROR(__xludf.DUMMYFUNCTION("""COMPUTED_VALUE"""),0.0)</f>
        <v>0</v>
      </c>
      <c r="BC305" s="16">
        <f>IFERROR(__xludf.DUMMYFUNCTION("""COMPUTED_VALUE"""),5.0)</f>
        <v>5</v>
      </c>
      <c r="BD305" s="16">
        <f>IFERROR(__xludf.DUMMYFUNCTION("""COMPUTED_VALUE"""),0.0)</f>
        <v>0</v>
      </c>
      <c r="BE305" s="16">
        <f>IFERROR(__xludf.DUMMYFUNCTION("""COMPUTED_VALUE"""),1.0)</f>
        <v>1</v>
      </c>
      <c r="BF305" s="16">
        <f>IFERROR(__xludf.DUMMYFUNCTION("""COMPUTED_VALUE"""),0.0)</f>
        <v>0</v>
      </c>
      <c r="BG305" s="16">
        <f>IFERROR(__xludf.DUMMYFUNCTION("""COMPUTED_VALUE"""),1.0)</f>
        <v>1</v>
      </c>
      <c r="BH305" s="16">
        <f>IFERROR(__xludf.DUMMYFUNCTION("""COMPUTED_VALUE"""),0.0)</f>
        <v>0</v>
      </c>
      <c r="BI305" s="16">
        <f>IFERROR(__xludf.DUMMYFUNCTION("""COMPUTED_VALUE"""),-6.0)</f>
        <v>-6</v>
      </c>
      <c r="BJ305" s="16">
        <f>IFERROR(__xludf.DUMMYFUNCTION("""COMPUTED_VALUE"""),15.0)</f>
        <v>15</v>
      </c>
      <c r="BK305" s="16">
        <f>IFERROR(__xludf.DUMMYFUNCTION("""COMPUTED_VALUE"""),15.0)</f>
        <v>15</v>
      </c>
      <c r="BL305" s="16">
        <f>IFERROR(__xludf.DUMMYFUNCTION("""COMPUTED_VALUE"""),-1.0)</f>
        <v>-1</v>
      </c>
      <c r="BM305" s="16">
        <f>IFERROR(__xludf.DUMMYFUNCTION("""COMPUTED_VALUE"""),-1.0)</f>
        <v>-1</v>
      </c>
      <c r="BN305" s="16">
        <f>IFERROR(__xludf.DUMMYFUNCTION("""COMPUTED_VALUE"""),-2.0)</f>
        <v>-2</v>
      </c>
      <c r="BO305" s="16">
        <f>IFERROR(__xludf.DUMMYFUNCTION("""COMPUTED_VALUE"""),-2.0)</f>
        <v>-2</v>
      </c>
      <c r="BP305" s="16">
        <f>IFERROR(__xludf.DUMMYFUNCTION("""COMPUTED_VALUE"""),-11.0)</f>
        <v>-11</v>
      </c>
      <c r="BQ305" s="16">
        <f>IFERROR(__xludf.DUMMYFUNCTION("""COMPUTED_VALUE"""),-1.0)</f>
        <v>-1</v>
      </c>
      <c r="BR305" s="16">
        <f>IFERROR(__xludf.DUMMYFUNCTION("""COMPUTED_VALUE"""),-12.0)</f>
        <v>-12</v>
      </c>
      <c r="BS305" s="16" t="str">
        <f>IFERROR(__xludf.DUMMYFUNCTION("""COMPUTED_VALUE"""),"4,5/11 (13-5)")</f>
        <v>4,5/11 (13-5)</v>
      </c>
      <c r="BT305" s="16" t="str">
        <f>IFERROR(__xludf.DUMMYFUNCTION("""COMPUTED_VALUE"""),"E")</f>
        <v>E</v>
      </c>
      <c r="BU305" s="16">
        <f>IFERROR(__xludf.DUMMYFUNCTION("""COMPUTED_VALUE"""),12.0)</f>
        <v>12</v>
      </c>
      <c r="BV305" s="16">
        <f>IFERROR(__xludf.DUMMYFUNCTION("""COMPUTED_VALUE"""),0.0)</f>
        <v>0</v>
      </c>
      <c r="BW305" s="16">
        <f>IFERROR(__xludf.DUMMYFUNCTION("""COMPUTED_VALUE"""),0.0)</f>
        <v>0</v>
      </c>
      <c r="BX305" s="16">
        <f>IFERROR(__xludf.DUMMYFUNCTION("""COMPUTED_VALUE"""),0.0)</f>
        <v>0</v>
      </c>
      <c r="BY305" s="16">
        <f>IFERROR(__xludf.DUMMYFUNCTION("""COMPUTED_VALUE"""),0.0)</f>
        <v>0</v>
      </c>
      <c r="BZ305" s="16" t="str">
        <f>IFERROR(__xludf.DUMMYFUNCTION("""COMPUTED_VALUE"""),"D")</f>
        <v>D</v>
      </c>
      <c r="CA305" s="16" t="str">
        <f>IFERROR(__xludf.DUMMYFUNCTION("""COMPUTED_VALUE"""),"C")</f>
        <v>C</v>
      </c>
      <c r="CB305" s="16">
        <f>IFERROR(__xludf.DUMMYFUNCTION("""COMPUTED_VALUE"""),0.0)</f>
        <v>0</v>
      </c>
      <c r="CC305" s="16">
        <f>IFERROR(__xludf.DUMMYFUNCTION("""COMPUTED_VALUE"""),0.0)</f>
        <v>0</v>
      </c>
      <c r="CD305" s="16">
        <f>IFERROR(__xludf.DUMMYFUNCTION("""COMPUTED_VALUE"""),0.0)</f>
        <v>0</v>
      </c>
      <c r="CE305" s="16">
        <f>IFERROR(__xludf.DUMMYFUNCTION("""COMPUTED_VALUE"""),0.0)</f>
        <v>0</v>
      </c>
      <c r="CF305" s="16">
        <f>IFERROR(__xludf.DUMMYFUNCTION("""COMPUTED_VALUE"""),1.0)</f>
        <v>1</v>
      </c>
      <c r="CG305" s="16">
        <f>IFERROR(__xludf.DUMMYFUNCTION("""COMPUTED_VALUE"""),-38.0)</f>
        <v>-38</v>
      </c>
      <c r="CH305" s="16">
        <f>IFERROR(__xludf.DUMMYFUNCTION("""COMPUTED_VALUE"""),-4.0)</f>
        <v>-4</v>
      </c>
      <c r="CI305" s="179">
        <f>IFERROR(__xludf.DUMMYFUNCTION("""COMPUTED_VALUE"""),-10.0)</f>
        <v>-10</v>
      </c>
      <c r="CJ305" s="16"/>
      <c r="CK305" s="16"/>
      <c r="CL305" s="16">
        <f>IFERROR(__xludf.DUMMYFUNCTION("""COMPUTED_VALUE"""),419.0)</f>
        <v>419</v>
      </c>
      <c r="CM305" s="16">
        <f>IFERROR(__xludf.DUMMYFUNCTION("""COMPUTED_VALUE"""),435.0)</f>
        <v>435</v>
      </c>
      <c r="CN305" s="16"/>
      <c r="CO305" s="16">
        <f>IFERROR(__xludf.DUMMYFUNCTION("""COMPUTED_VALUE"""),408.0)</f>
        <v>408</v>
      </c>
      <c r="CP305" s="16"/>
      <c r="CQ305" s="16"/>
      <c r="CR305" s="16" t="str">
        <f>IFERROR(__xludf.DUMMYFUNCTION("""COMPUTED_VALUE"""),"2b-4e19 3b-4e35 lf-4(+1)e8")</f>
        <v>2b-4e19 3b-4e35 lf-4(+1)e8</v>
      </c>
      <c r="CS305" s="16"/>
      <c r="CT305" s="16"/>
      <c r="CU305" s="16">
        <f>IFERROR(__xludf.DUMMYFUNCTION("""COMPUTED_VALUE"""),4.0)</f>
        <v>4</v>
      </c>
      <c r="CV305" s="16">
        <f>IFERROR(__xludf.DUMMYFUNCTION("""COMPUTED_VALUE"""),4.0)</f>
        <v>4</v>
      </c>
      <c r="CW305" s="16"/>
      <c r="CX305" s="16">
        <f>IFERROR(__xludf.DUMMYFUNCTION("""COMPUTED_VALUE"""),4.0)</f>
        <v>4</v>
      </c>
      <c r="CY305" s="16"/>
      <c r="CZ305" s="16"/>
      <c r="DA305" s="16"/>
      <c r="DB305" s="16"/>
      <c r="DC305" s="16">
        <f>IFERROR(__xludf.DUMMYFUNCTION("""COMPUTED_VALUE"""),19.0)</f>
        <v>19</v>
      </c>
      <c r="DD305" s="16">
        <f>IFERROR(__xludf.DUMMYFUNCTION("""COMPUTED_VALUE"""),35.0)</f>
        <v>35</v>
      </c>
      <c r="DE305" s="16"/>
      <c r="DF305" s="16">
        <f>IFERROR(__xludf.DUMMYFUNCTION("""COMPUTED_VALUE"""),8.0)</f>
        <v>8</v>
      </c>
      <c r="DG305" s="16"/>
      <c r="DH305" s="16"/>
      <c r="DI305" s="16"/>
      <c r="DJ305" s="16"/>
      <c r="DK305" s="16">
        <f>IFERROR(__xludf.DUMMYFUNCTION("""COMPUTED_VALUE"""),-2.0)</f>
        <v>-2</v>
      </c>
      <c r="DL305" s="16">
        <f>IFERROR(__xludf.DUMMYFUNCTION("""COMPUTED_VALUE"""),0.0)</f>
        <v>0</v>
      </c>
      <c r="DM305" s="16"/>
      <c r="DN305" s="16">
        <f>IFERROR(__xludf.DUMMYFUNCTION("""COMPUTED_VALUE"""),-1.0)</f>
        <v>-1</v>
      </c>
      <c r="DO305" s="16"/>
      <c r="DP305" s="16"/>
      <c r="DQ305" s="16"/>
      <c r="DR305" s="16"/>
      <c r="DS305" s="16">
        <f>IFERROR(__xludf.DUMMYFUNCTION("""COMPUTED_VALUE"""),2.0)</f>
        <v>2</v>
      </c>
      <c r="DT305" s="16">
        <f>IFERROR(__xludf.DUMMYFUNCTION("""COMPUTED_VALUE"""),-2.0)</f>
        <v>-2</v>
      </c>
      <c r="DU305" s="16"/>
      <c r="DV305" s="16">
        <f>IFERROR(__xludf.DUMMYFUNCTION("""COMPUTED_VALUE"""),0.0)</f>
        <v>0</v>
      </c>
      <c r="DW305" s="16"/>
      <c r="DX305" s="16"/>
      <c r="DY305" s="16"/>
      <c r="DZ305" s="16"/>
      <c r="EA305" s="16">
        <f>IFERROR(__xludf.DUMMYFUNCTION("""COMPUTED_VALUE"""),0.0)</f>
        <v>0</v>
      </c>
      <c r="EB305" s="16">
        <f>IFERROR(__xludf.DUMMYFUNCTION("""COMPUTED_VALUE"""),-2.0)</f>
        <v>-2</v>
      </c>
      <c r="EC305" s="16"/>
      <c r="ED305" s="16">
        <f>IFERROR(__xludf.DUMMYFUNCTION("""COMPUTED_VALUE"""),-1.0)</f>
        <v>-1</v>
      </c>
      <c r="EE305" s="16"/>
      <c r="EF305" s="16"/>
      <c r="EG305" s="179"/>
      <c r="EH305" s="179"/>
      <c r="EI305" s="179">
        <f>IFERROR(__xludf.DUMMYFUNCTION("""COMPUTED_VALUE"""),-10.0)</f>
        <v>-10</v>
      </c>
      <c r="EJ305" s="179">
        <f>IFERROR(__xludf.DUMMYFUNCTION("""COMPUTED_VALUE"""),-12.0)</f>
        <v>-12</v>
      </c>
      <c r="EK305" s="179"/>
      <c r="EL305" s="179">
        <f>IFERROR(__xludf.DUMMYFUNCTION("""COMPUTED_VALUE"""),-11.0)</f>
        <v>-11</v>
      </c>
      <c r="EM305" s="179"/>
      <c r="EN305" s="179"/>
      <c r="EO305" s="16"/>
      <c r="EP305" s="16"/>
      <c r="EQ305" s="16">
        <f>IFERROR(__xludf.DUMMYFUNCTION("""COMPUTED_VALUE"""),4.0)</f>
        <v>4</v>
      </c>
      <c r="ER305" s="16">
        <f>IFERROR(__xludf.DUMMYFUNCTION("""COMPUTED_VALUE"""),-1.0)</f>
        <v>-1</v>
      </c>
      <c r="ES305" s="16"/>
      <c r="ET305" s="16"/>
      <c r="EU305" s="16"/>
      <c r="EV305" s="16"/>
      <c r="EW305" s="16"/>
      <c r="EX305" s="180"/>
      <c r="EY305" s="180"/>
      <c r="EZ305" s="180">
        <f>IFERROR(__xludf.DUMMYFUNCTION("""COMPUTED_VALUE"""),0.3)</f>
        <v>0.3</v>
      </c>
      <c r="FA305" s="180">
        <f>IFERROR(__xludf.DUMMYFUNCTION("""COMPUTED_VALUE"""),0.3)</f>
        <v>0.3</v>
      </c>
      <c r="FB305" s="180"/>
      <c r="FC305" s="180">
        <f>IFERROR(__xludf.DUMMYFUNCTION("""COMPUTED_VALUE"""),0.55)</f>
        <v>0.55</v>
      </c>
      <c r="FD305" s="180"/>
      <c r="FE305" s="180"/>
      <c r="FF305" s="180"/>
      <c r="FG305" s="180"/>
      <c r="FH305" s="180">
        <f>IFERROR(__xludf.DUMMYFUNCTION("""COMPUTED_VALUE"""),0.1111111111111111)</f>
        <v>0.1111111111</v>
      </c>
      <c r="FI305" s="180">
        <f>IFERROR(__xludf.DUMMYFUNCTION("""COMPUTED_VALUE"""),0.4212962962962963)</f>
        <v>0.4212962963</v>
      </c>
      <c r="FJ305" s="180"/>
      <c r="FK305" s="180">
        <f>IFERROR(__xludf.DUMMYFUNCTION("""COMPUTED_VALUE"""),0.144)</f>
        <v>0.144</v>
      </c>
      <c r="FL305" s="180"/>
      <c r="FM305" s="180"/>
      <c r="FN305" s="16"/>
      <c r="FO305" s="16"/>
      <c r="FP305" s="16">
        <f>IFERROR(__xludf.DUMMYFUNCTION("""COMPUTED_VALUE"""),0.6222222222222221)</f>
        <v>0.6222222222</v>
      </c>
      <c r="FQ305" s="16">
        <f>IFERROR(__xludf.DUMMYFUNCTION("""COMPUTED_VALUE"""),0.40509259259259256)</f>
        <v>0.4050925926</v>
      </c>
      <c r="FR305" s="16"/>
      <c r="FS305" s="16">
        <f>IFERROR(__xludf.DUMMYFUNCTION("""COMPUTED_VALUE"""),0.38519999999999993)</f>
        <v>0.3852</v>
      </c>
      <c r="FT305" s="16"/>
      <c r="FU305" s="16"/>
      <c r="FV305" s="16"/>
      <c r="FW305" s="16"/>
      <c r="FX305" s="16">
        <f>IFERROR(__xludf.DUMMYFUNCTION("""COMPUTED_VALUE"""),-6.0)</f>
        <v>-6</v>
      </c>
      <c r="FY305" s="16">
        <f>IFERROR(__xludf.DUMMYFUNCTION("""COMPUTED_VALUE"""),-8.0)</f>
        <v>-8</v>
      </c>
      <c r="FZ305" s="16"/>
      <c r="GA305" s="16">
        <f>IFERROR(__xludf.DUMMYFUNCTION("""COMPUTED_VALUE"""),-8.0)</f>
        <v>-8</v>
      </c>
      <c r="GB305" s="16"/>
      <c r="GC305" s="16"/>
      <c r="GD305" s="16" t="s">
        <v>176</v>
      </c>
    </row>
    <row r="306">
      <c r="A306" s="16">
        <f>IFERROR(__xludf.DUMMYFUNCTION("""COMPUTED_VALUE"""),12764.0)</f>
        <v>12764</v>
      </c>
      <c r="B306" s="16" t="str">
        <f>IFERROR(__xludf.DUMMYFUNCTION("""COMPUTED_VALUE"""),"Dominic Smith")</f>
        <v>Dominic Smith</v>
      </c>
      <c r="C306" s="16">
        <f>IFERROR(__xludf.DUMMYFUNCTION("""COMPUTED_VALUE"""),0.0)</f>
        <v>0</v>
      </c>
      <c r="D306" s="16" t="str">
        <f>IFERROR(__xludf.DUMMYFUNCTION("""COMPUTED_VALUE"""),"L")</f>
        <v>L</v>
      </c>
      <c r="E306" s="16"/>
      <c r="F306" s="16"/>
      <c r="G306" s="16">
        <f>IFERROR(__xludf.DUMMYFUNCTION("""COMPUTED_VALUE"""),275.0)</f>
        <v>275</v>
      </c>
      <c r="H306" s="16">
        <f>IFERROR(__xludf.DUMMYFUNCTION("""COMPUTED_VALUE"""),28.0)</f>
        <v>28</v>
      </c>
      <c r="I306" s="16" t="str">
        <f>IFERROR(__xludf.DUMMYFUNCTION("""COMPUTED_VALUE"""),"1p50")</f>
        <v>1p50</v>
      </c>
      <c r="J306" s="16">
        <f>IFERROR(__xludf.DUMMYFUNCTION("""COMPUTED_VALUE"""),38.0)</f>
        <v>38</v>
      </c>
      <c r="K306" s="16">
        <f>IFERROR(__xludf.DUMMYFUNCTION("""COMPUTED_VALUE"""),27.0)</f>
        <v>27</v>
      </c>
      <c r="L306" s="16">
        <f>IFERROR(__xludf.DUMMYFUNCTION("""COMPUTED_VALUE"""),-1.0)</f>
        <v>-1</v>
      </c>
      <c r="M306" s="16">
        <f>IFERROR(__xludf.DUMMYFUNCTION("""COMPUTED_VALUE"""),0.0)</f>
        <v>0</v>
      </c>
      <c r="N306" s="16">
        <f>IFERROR(__xludf.DUMMYFUNCTION("""COMPUTED_VALUE"""),-1.0)</f>
        <v>-1</v>
      </c>
      <c r="O306" s="16">
        <f>IFERROR(__xludf.DUMMYFUNCTION("""COMPUTED_VALUE"""),0.0)</f>
        <v>0</v>
      </c>
      <c r="P306" s="16">
        <f>IFERROR(__xludf.DUMMYFUNCTION("""COMPUTED_VALUE"""),3.0)</f>
        <v>3</v>
      </c>
      <c r="Q306" s="16">
        <f>IFERROR(__xludf.DUMMYFUNCTION("""COMPUTED_VALUE"""),12.0)</f>
        <v>12</v>
      </c>
      <c r="R306" s="16">
        <f>IFERROR(__xludf.DUMMYFUNCTION("""COMPUTED_VALUE"""),-2.0)</f>
        <v>-2</v>
      </c>
      <c r="S306" s="16">
        <f>IFERROR(__xludf.DUMMYFUNCTION("""COMPUTED_VALUE"""),1.0)</f>
        <v>1</v>
      </c>
      <c r="T306" s="16">
        <f>IFERROR(__xludf.DUMMYFUNCTION("""COMPUTED_VALUE"""),-2.0)</f>
        <v>-2</v>
      </c>
      <c r="U306" s="16">
        <f>IFERROR(__xludf.DUMMYFUNCTION("""COMPUTED_VALUE"""),1.0)</f>
        <v>1</v>
      </c>
      <c r="V306" s="16">
        <f>IFERROR(__xludf.DUMMYFUNCTION("""COMPUTED_VALUE"""),15.2)</f>
        <v>15.2</v>
      </c>
      <c r="W306" s="16">
        <f>IFERROR(__xludf.DUMMYFUNCTION("""COMPUTED_VALUE"""),17.2)</f>
        <v>17.2</v>
      </c>
      <c r="X306" s="16">
        <f>IFERROR(__xludf.DUMMYFUNCTION("""COMPUTED_VALUE"""),-1.0)</f>
        <v>-1</v>
      </c>
      <c r="Y306" s="16">
        <f>IFERROR(__xludf.DUMMYFUNCTION("""COMPUTED_VALUE"""),-1.0)</f>
        <v>-1</v>
      </c>
      <c r="Z306" s="16">
        <f>IFERROR(__xludf.DUMMYFUNCTION("""COMPUTED_VALUE"""),-2.0)</f>
        <v>-2</v>
      </c>
      <c r="AA306" s="16">
        <f>IFERROR(__xludf.DUMMYFUNCTION("""COMPUTED_VALUE"""),-2.0)</f>
        <v>-2</v>
      </c>
      <c r="AB306" s="16">
        <f>IFERROR(__xludf.DUMMYFUNCTION("""COMPUTED_VALUE"""),21.2)</f>
        <v>21.2</v>
      </c>
      <c r="AC306" s="16">
        <f>IFERROR(__xludf.DUMMYFUNCTION("""COMPUTED_VALUE"""),32.2)</f>
        <v>32.2</v>
      </c>
      <c r="AD306" s="16">
        <f>IFERROR(__xludf.DUMMYFUNCTION("""COMPUTED_VALUE"""),-1.0)</f>
        <v>-1</v>
      </c>
      <c r="AE306" s="16">
        <f>IFERROR(__xludf.DUMMYFUNCTION("""COMPUTED_VALUE"""),0.0)</f>
        <v>0</v>
      </c>
      <c r="AF306" s="16">
        <f>IFERROR(__xludf.DUMMYFUNCTION("""COMPUTED_VALUE"""),-5.0)</f>
        <v>-5</v>
      </c>
      <c r="AG306" s="16">
        <f>IFERROR(__xludf.DUMMYFUNCTION("""COMPUTED_VALUE"""),0.0)</f>
        <v>0</v>
      </c>
      <c r="AH306" s="16">
        <f>IFERROR(__xludf.DUMMYFUNCTION("""COMPUTED_VALUE"""),31.7)</f>
        <v>31.7</v>
      </c>
      <c r="AI306" s="16">
        <f>IFERROR(__xludf.DUMMYFUNCTION("""COMPUTED_VALUE"""),29.2)</f>
        <v>29.2</v>
      </c>
      <c r="AJ306" s="16">
        <f>IFERROR(__xludf.DUMMYFUNCTION("""COMPUTED_VALUE"""),0.0)</f>
        <v>0</v>
      </c>
      <c r="AK306" s="16">
        <f>IFERROR(__xludf.DUMMYFUNCTION("""COMPUTED_VALUE"""),0.0)</f>
        <v>0</v>
      </c>
      <c r="AL306" s="16">
        <f>IFERROR(__xludf.DUMMYFUNCTION("""COMPUTED_VALUE"""),0.0)</f>
        <v>0</v>
      </c>
      <c r="AM306" s="16">
        <f>IFERROR(__xludf.DUMMYFUNCTION("""COMPUTED_VALUE"""),0.0)</f>
        <v>0</v>
      </c>
      <c r="AN306" s="16">
        <f>IFERROR(__xludf.DUMMYFUNCTION("""COMPUTED_VALUE"""),1.4)</f>
        <v>1.4</v>
      </c>
      <c r="AO306" s="16">
        <f>IFERROR(__xludf.DUMMYFUNCTION("""COMPUTED_VALUE"""),0.8)</f>
        <v>0.8</v>
      </c>
      <c r="AP306" s="16">
        <f>IFERROR(__xludf.DUMMYFUNCTION("""COMPUTED_VALUE"""),-1.0)</f>
        <v>-1</v>
      </c>
      <c r="AQ306" s="16">
        <f>IFERROR(__xludf.DUMMYFUNCTION("""COMPUTED_VALUE"""),-2.0)</f>
        <v>-2</v>
      </c>
      <c r="AR306" s="16">
        <f>IFERROR(__xludf.DUMMYFUNCTION("""COMPUTED_VALUE"""),-2.0)</f>
        <v>-2</v>
      </c>
      <c r="AS306" s="16">
        <f>IFERROR(__xludf.DUMMYFUNCTION("""COMPUTED_VALUE"""),-4.0)</f>
        <v>-4</v>
      </c>
      <c r="AT306" s="16">
        <f>IFERROR(__xludf.DUMMYFUNCTION("""COMPUTED_VALUE"""),1.0)</f>
        <v>1</v>
      </c>
      <c r="AU306" s="16">
        <f>IFERROR(__xludf.DUMMYFUNCTION("""COMPUTED_VALUE"""),0.0)</f>
        <v>0</v>
      </c>
      <c r="AV306" s="16">
        <f>IFERROR(__xludf.DUMMYFUNCTION("""COMPUTED_VALUE"""),1.0)</f>
        <v>1</v>
      </c>
      <c r="AW306" s="16">
        <f>IFERROR(__xludf.DUMMYFUNCTION("""COMPUTED_VALUE"""),0.0)</f>
        <v>0</v>
      </c>
      <c r="AX306" s="16">
        <f>IFERROR(__xludf.DUMMYFUNCTION("""COMPUTED_VALUE"""),-1.0)</f>
        <v>-1</v>
      </c>
      <c r="AY306" s="16">
        <f>IFERROR(__xludf.DUMMYFUNCTION("""COMPUTED_VALUE"""),-2.0)</f>
        <v>-2</v>
      </c>
      <c r="AZ306" s="16">
        <f>IFERROR(__xludf.DUMMYFUNCTION("""COMPUTED_VALUE"""),-3.0)</f>
        <v>-3</v>
      </c>
      <c r="BA306" s="16">
        <f>IFERROR(__xludf.DUMMYFUNCTION("""COMPUTED_VALUE"""),-6.0)</f>
        <v>-6</v>
      </c>
      <c r="BB306" s="16">
        <f>IFERROR(__xludf.DUMMYFUNCTION("""COMPUTED_VALUE"""),5.0)</f>
        <v>5</v>
      </c>
      <c r="BC306" s="16">
        <f>IFERROR(__xludf.DUMMYFUNCTION("""COMPUTED_VALUE"""),5.0)</f>
        <v>5</v>
      </c>
      <c r="BD306" s="16">
        <f>IFERROR(__xludf.DUMMYFUNCTION("""COMPUTED_VALUE"""),1.0)</f>
        <v>1</v>
      </c>
      <c r="BE306" s="16">
        <f>IFERROR(__xludf.DUMMYFUNCTION("""COMPUTED_VALUE"""),1.0)</f>
        <v>1</v>
      </c>
      <c r="BF306" s="16">
        <f>IFERROR(__xludf.DUMMYFUNCTION("""COMPUTED_VALUE"""),1.0)</f>
        <v>1</v>
      </c>
      <c r="BG306" s="16">
        <f>IFERROR(__xludf.DUMMYFUNCTION("""COMPUTED_VALUE"""),1.0)</f>
        <v>1</v>
      </c>
      <c r="BH306" s="16">
        <f>IFERROR(__xludf.DUMMYFUNCTION("""COMPUTED_VALUE"""),0.0)</f>
        <v>0</v>
      </c>
      <c r="BI306" s="16">
        <f>IFERROR(__xludf.DUMMYFUNCTION("""COMPUTED_VALUE"""),1.0)</f>
        <v>1</v>
      </c>
      <c r="BJ306" s="16">
        <f>IFERROR(__xludf.DUMMYFUNCTION("""COMPUTED_VALUE"""),20.0)</f>
        <v>20</v>
      </c>
      <c r="BK306" s="16">
        <f>IFERROR(__xludf.DUMMYFUNCTION("""COMPUTED_VALUE"""),16.0)</f>
        <v>16</v>
      </c>
      <c r="BL306" s="16">
        <f>IFERROR(__xludf.DUMMYFUNCTION("""COMPUTED_VALUE"""),-2.0)</f>
        <v>-2</v>
      </c>
      <c r="BM306" s="16">
        <f>IFERROR(__xludf.DUMMYFUNCTION("""COMPUTED_VALUE"""),-1.0)</f>
        <v>-1</v>
      </c>
      <c r="BN306" s="16">
        <f>IFERROR(__xludf.DUMMYFUNCTION("""COMPUTED_VALUE"""),-4.0)</f>
        <v>-4</v>
      </c>
      <c r="BO306" s="16">
        <f>IFERROR(__xludf.DUMMYFUNCTION("""COMPUTED_VALUE"""),-2.0)</f>
        <v>-2</v>
      </c>
      <c r="BP306" s="16">
        <f>IFERROR(__xludf.DUMMYFUNCTION("""COMPUTED_VALUE"""),-8.0)</f>
        <v>-8</v>
      </c>
      <c r="BQ306" s="16">
        <f>IFERROR(__xludf.DUMMYFUNCTION("""COMPUTED_VALUE"""),-4.0)</f>
        <v>-4</v>
      </c>
      <c r="BR306" s="16">
        <f>IFERROR(__xludf.DUMMYFUNCTION("""COMPUTED_VALUE"""),-12.0)</f>
        <v>-12</v>
      </c>
      <c r="BS306" s="16" t="str">
        <f>IFERROR(__xludf.DUMMYFUNCTION("""COMPUTED_VALUE"""),"6/12 (13-5)")</f>
        <v>6/12 (13-5)</v>
      </c>
      <c r="BT306" s="16" t="str">
        <f>IFERROR(__xludf.DUMMYFUNCTION("""COMPUTED_VALUE"""),"E")</f>
        <v>E</v>
      </c>
      <c r="BU306" s="16">
        <f>IFERROR(__xludf.DUMMYFUNCTION("""COMPUTED_VALUE"""),10.0)</f>
        <v>10</v>
      </c>
      <c r="BV306" s="16">
        <f>IFERROR(__xludf.DUMMYFUNCTION("""COMPUTED_VALUE"""),0.0)</f>
        <v>0</v>
      </c>
      <c r="BW306" s="16">
        <f>IFERROR(__xludf.DUMMYFUNCTION("""COMPUTED_VALUE"""),0.0)</f>
        <v>0</v>
      </c>
      <c r="BX306" s="16">
        <f>IFERROR(__xludf.DUMMYFUNCTION("""COMPUTED_VALUE"""),0.0)</f>
        <v>0</v>
      </c>
      <c r="BY306" s="16">
        <f>IFERROR(__xludf.DUMMYFUNCTION("""COMPUTED_VALUE"""),0.0)</f>
        <v>0</v>
      </c>
      <c r="BZ306" s="16" t="str">
        <f>IFERROR(__xludf.DUMMYFUNCTION("""COMPUTED_VALUE"""),"D")</f>
        <v>D</v>
      </c>
      <c r="CA306" s="16" t="str">
        <f>IFERROR(__xludf.DUMMYFUNCTION("""COMPUTED_VALUE"""),"D")</f>
        <v>D</v>
      </c>
      <c r="CB306" s="16">
        <f>IFERROR(__xludf.DUMMYFUNCTION("""COMPUTED_VALUE"""),0.0)</f>
        <v>0</v>
      </c>
      <c r="CC306" s="16">
        <f>IFERROR(__xludf.DUMMYFUNCTION("""COMPUTED_VALUE"""),0.0)</f>
        <v>0</v>
      </c>
      <c r="CD306" s="16">
        <f>IFERROR(__xludf.DUMMYFUNCTION("""COMPUTED_VALUE"""),0.0)</f>
        <v>0</v>
      </c>
      <c r="CE306" s="16">
        <f>IFERROR(__xludf.DUMMYFUNCTION("""COMPUTED_VALUE"""),0.0)</f>
        <v>0</v>
      </c>
      <c r="CF306" s="16">
        <f>IFERROR(__xludf.DUMMYFUNCTION("""COMPUTED_VALUE"""),1.0)</f>
        <v>1</v>
      </c>
      <c r="CG306" s="16">
        <f>IFERROR(__xludf.DUMMYFUNCTION("""COMPUTED_VALUE"""),-18.0)</f>
        <v>-18</v>
      </c>
      <c r="CH306" s="16">
        <f>IFERROR(__xludf.DUMMYFUNCTION("""COMPUTED_VALUE"""),-12.0)</f>
        <v>-12</v>
      </c>
      <c r="CI306" s="179">
        <f>IFERROR(__xludf.DUMMYFUNCTION("""COMPUTED_VALUE"""),-10.0)</f>
        <v>-10</v>
      </c>
      <c r="CJ306" s="16"/>
      <c r="CK306" s="16">
        <f>IFERROR(__xludf.DUMMYFUNCTION("""COMPUTED_VALUE"""),316.0)</f>
        <v>316</v>
      </c>
      <c r="CL306" s="16"/>
      <c r="CM306" s="16"/>
      <c r="CN306" s="16"/>
      <c r="CO306" s="16"/>
      <c r="CP306" s="16"/>
      <c r="CQ306" s="16"/>
      <c r="CR306" s="16" t="str">
        <f>IFERROR(__xludf.DUMMYFUNCTION("""COMPUTED_VALUE"""),"1b-3e16")</f>
        <v>1b-3e16</v>
      </c>
      <c r="CS306" s="16"/>
      <c r="CT306" s="16">
        <f>IFERROR(__xludf.DUMMYFUNCTION("""COMPUTED_VALUE"""),3.0)</f>
        <v>3</v>
      </c>
      <c r="CU306" s="16"/>
      <c r="CV306" s="16"/>
      <c r="CW306" s="16"/>
      <c r="CX306" s="16"/>
      <c r="CY306" s="16"/>
      <c r="CZ306" s="16"/>
      <c r="DA306" s="16"/>
      <c r="DB306" s="16">
        <f>IFERROR(__xludf.DUMMYFUNCTION("""COMPUTED_VALUE"""),16.0)</f>
        <v>16</v>
      </c>
      <c r="DC306" s="16"/>
      <c r="DD306" s="16"/>
      <c r="DE306" s="16"/>
      <c r="DF306" s="16"/>
      <c r="DG306" s="16"/>
      <c r="DH306" s="16"/>
      <c r="DI306" s="16"/>
      <c r="DJ306" s="16">
        <f>IFERROR(__xludf.DUMMYFUNCTION("""COMPUTED_VALUE"""),1.0)</f>
        <v>1</v>
      </c>
      <c r="DK306" s="16"/>
      <c r="DL306" s="16"/>
      <c r="DM306" s="16"/>
      <c r="DN306" s="16"/>
      <c r="DO306" s="16"/>
      <c r="DP306" s="16"/>
      <c r="DQ306" s="16"/>
      <c r="DR306" s="16">
        <f>IFERROR(__xludf.DUMMYFUNCTION("""COMPUTED_VALUE"""),0.0)</f>
        <v>0</v>
      </c>
      <c r="DS306" s="16"/>
      <c r="DT306" s="16"/>
      <c r="DU306" s="16"/>
      <c r="DV306" s="16"/>
      <c r="DW306" s="16"/>
      <c r="DX306" s="16"/>
      <c r="DY306" s="16"/>
      <c r="DZ306" s="16">
        <f>IFERROR(__xludf.DUMMYFUNCTION("""COMPUTED_VALUE"""),1.0)</f>
        <v>1</v>
      </c>
      <c r="EA306" s="16"/>
      <c r="EB306" s="16"/>
      <c r="EC306" s="16"/>
      <c r="ED306" s="16"/>
      <c r="EE306" s="16"/>
      <c r="EF306" s="16"/>
      <c r="EG306" s="179"/>
      <c r="EH306" s="179">
        <f>IFERROR(__xludf.DUMMYFUNCTION("""COMPUTED_VALUE"""),-9.0)</f>
        <v>-9</v>
      </c>
      <c r="EI306" s="179"/>
      <c r="EJ306" s="179"/>
      <c r="EK306" s="179"/>
      <c r="EL306" s="179"/>
      <c r="EM306" s="179"/>
      <c r="EN306" s="179"/>
      <c r="EO306" s="16"/>
      <c r="EP306" s="16">
        <f>IFERROR(__xludf.DUMMYFUNCTION("""COMPUTED_VALUE"""),-3.0)</f>
        <v>-3</v>
      </c>
      <c r="EQ306" s="16">
        <f>IFERROR(__xludf.DUMMYFUNCTION("""COMPUTED_VALUE"""),4.0)</f>
        <v>4</v>
      </c>
      <c r="ER306" s="16">
        <f>IFERROR(__xludf.DUMMYFUNCTION("""COMPUTED_VALUE"""),0.0)</f>
        <v>0</v>
      </c>
      <c r="ES306" s="16"/>
      <c r="ET306" s="16"/>
      <c r="EU306" s="16"/>
      <c r="EV306" s="16"/>
      <c r="EW306" s="16"/>
      <c r="EX306" s="180"/>
      <c r="EY306" s="180">
        <f>IFERROR(__xludf.DUMMYFUNCTION("""COMPUTED_VALUE"""),0.2)</f>
        <v>0.2</v>
      </c>
      <c r="EZ306" s="180"/>
      <c r="FA306" s="180"/>
      <c r="FB306" s="180"/>
      <c r="FC306" s="180"/>
      <c r="FD306" s="180"/>
      <c r="FE306" s="180"/>
      <c r="FF306" s="180"/>
      <c r="FG306" s="180">
        <f>IFERROR(__xludf.DUMMYFUNCTION("""COMPUTED_VALUE"""),0.28703703703703703)</f>
        <v>0.287037037</v>
      </c>
      <c r="FH306" s="180"/>
      <c r="FI306" s="180"/>
      <c r="FJ306" s="180"/>
      <c r="FK306" s="180"/>
      <c r="FL306" s="180"/>
      <c r="FM306" s="180"/>
      <c r="FN306" s="16"/>
      <c r="FO306" s="16">
        <f>IFERROR(__xludf.DUMMYFUNCTION("""COMPUTED_VALUE"""),0.5703703703703704)</f>
        <v>0.5703703704</v>
      </c>
      <c r="FP306" s="16"/>
      <c r="FQ306" s="16"/>
      <c r="FR306" s="16"/>
      <c r="FS306" s="16"/>
      <c r="FT306" s="16"/>
      <c r="FU306" s="16"/>
      <c r="FV306" s="16"/>
      <c r="FW306" s="16">
        <f>IFERROR(__xludf.DUMMYFUNCTION("""COMPUTED_VALUE"""),-6.0)</f>
        <v>-6</v>
      </c>
      <c r="FX306" s="16"/>
      <c r="FY306" s="16"/>
      <c r="FZ306" s="16"/>
      <c r="GA306" s="16"/>
      <c r="GB306" s="16"/>
      <c r="GC306" s="16"/>
      <c r="GD306" s="16" t="s">
        <v>176</v>
      </c>
    </row>
    <row r="307">
      <c r="A307" s="16">
        <f>IFERROR(__xludf.DUMMYFUNCTION("""COMPUTED_VALUE"""),12936.0)</f>
        <v>12936</v>
      </c>
      <c r="B307" s="16" t="str">
        <f>IFERROR(__xludf.DUMMYFUNCTION("""COMPUTED_VALUE"""),"Jason Heyward")</f>
        <v>Jason Heyward</v>
      </c>
      <c r="C307" s="16">
        <f>IFERROR(__xludf.DUMMYFUNCTION("""COMPUTED_VALUE"""),0.81)</f>
        <v>0.81</v>
      </c>
      <c r="D307" s="16" t="str">
        <f>IFERROR(__xludf.DUMMYFUNCTION("""COMPUTED_VALUE"""),"L")</f>
        <v>L</v>
      </c>
      <c r="E307" s="16"/>
      <c r="F307" s="16"/>
      <c r="G307" s="16">
        <f>IFERROR(__xludf.DUMMYFUNCTION("""COMPUTED_VALUE"""),228.0)</f>
        <v>228</v>
      </c>
      <c r="H307" s="16">
        <f>IFERROR(__xludf.DUMMYFUNCTION("""COMPUTED_VALUE"""),22.0)</f>
        <v>22</v>
      </c>
      <c r="I307" s="16" t="str">
        <f>IFERROR(__xludf.DUMMYFUNCTION("""COMPUTED_VALUE"""),"4p40")</f>
        <v>4p40</v>
      </c>
      <c r="J307" s="16">
        <f>IFERROR(__xludf.DUMMYFUNCTION("""COMPUTED_VALUE"""),53.0)</f>
        <v>53</v>
      </c>
      <c r="K307" s="16">
        <f>IFERROR(__xludf.DUMMYFUNCTION("""COMPUTED_VALUE"""),18.0)</f>
        <v>18</v>
      </c>
      <c r="L307" s="16">
        <f>IFERROR(__xludf.DUMMYFUNCTION("""COMPUTED_VALUE"""),-2.0)</f>
        <v>-2</v>
      </c>
      <c r="M307" s="16">
        <f>IFERROR(__xludf.DUMMYFUNCTION("""COMPUTED_VALUE"""),1.0)</f>
        <v>1</v>
      </c>
      <c r="N307" s="16">
        <f>IFERROR(__xludf.DUMMYFUNCTION("""COMPUTED_VALUE"""),-2.0)</f>
        <v>-2</v>
      </c>
      <c r="O307" s="16">
        <f>IFERROR(__xludf.DUMMYFUNCTION("""COMPUTED_VALUE"""),1.0)</f>
        <v>1</v>
      </c>
      <c r="P307" s="16">
        <f>IFERROR(__xludf.DUMMYFUNCTION("""COMPUTED_VALUE"""),0.0)</f>
        <v>0</v>
      </c>
      <c r="Q307" s="16">
        <f>IFERROR(__xludf.DUMMYFUNCTION("""COMPUTED_VALUE"""),9.0)</f>
        <v>9</v>
      </c>
      <c r="R307" s="16">
        <f>IFERROR(__xludf.DUMMYFUNCTION("""COMPUTED_VALUE"""),-3.0)</f>
        <v>-3</v>
      </c>
      <c r="S307" s="16">
        <f>IFERROR(__xludf.DUMMYFUNCTION("""COMPUTED_VALUE"""),0.0)</f>
        <v>0</v>
      </c>
      <c r="T307" s="16">
        <f>IFERROR(__xludf.DUMMYFUNCTION("""COMPUTED_VALUE"""),-3.0)</f>
        <v>-3</v>
      </c>
      <c r="U307" s="16">
        <f>IFERROR(__xludf.DUMMYFUNCTION("""COMPUTED_VALUE"""),0.0)</f>
        <v>0</v>
      </c>
      <c r="V307" s="16">
        <f>IFERROR(__xludf.DUMMYFUNCTION("""COMPUTED_VALUE"""),1.0)</f>
        <v>1</v>
      </c>
      <c r="W307" s="16">
        <f>IFERROR(__xludf.DUMMYFUNCTION("""COMPUTED_VALUE"""),13.1)</f>
        <v>13.1</v>
      </c>
      <c r="X307" s="16">
        <f>IFERROR(__xludf.DUMMYFUNCTION("""COMPUTED_VALUE"""),-2.0)</f>
        <v>-2</v>
      </c>
      <c r="Y307" s="16">
        <f>IFERROR(__xludf.DUMMYFUNCTION("""COMPUTED_VALUE"""),-1.0)</f>
        <v>-1</v>
      </c>
      <c r="Z307" s="16">
        <f>IFERROR(__xludf.DUMMYFUNCTION("""COMPUTED_VALUE"""),-4.0)</f>
        <v>-4</v>
      </c>
      <c r="AA307" s="16">
        <f>IFERROR(__xludf.DUMMYFUNCTION("""COMPUTED_VALUE"""),-2.0)</f>
        <v>-2</v>
      </c>
      <c r="AB307" s="16">
        <f>IFERROR(__xludf.DUMMYFUNCTION("""COMPUTED_VALUE"""),5.1)</f>
        <v>5.1</v>
      </c>
      <c r="AC307" s="16">
        <f>IFERROR(__xludf.DUMMYFUNCTION("""COMPUTED_VALUE"""),26.1)</f>
        <v>26.1</v>
      </c>
      <c r="AD307" s="16">
        <f>IFERROR(__xludf.DUMMYFUNCTION("""COMPUTED_VALUE"""),-3.0)</f>
        <v>-3</v>
      </c>
      <c r="AE307" s="16">
        <f>IFERROR(__xludf.DUMMYFUNCTION("""COMPUTED_VALUE"""),-1.0)</f>
        <v>-1</v>
      </c>
      <c r="AF307" s="16">
        <f>IFERROR(__xludf.DUMMYFUNCTION("""COMPUTED_VALUE"""),-15.0)</f>
        <v>-15</v>
      </c>
      <c r="AG307" s="16">
        <f>IFERROR(__xludf.DUMMYFUNCTION("""COMPUTED_VALUE"""),-5.0)</f>
        <v>-5</v>
      </c>
      <c r="AH307" s="16">
        <f>IFERROR(__xludf.DUMMYFUNCTION("""COMPUTED_VALUE"""),4.2)</f>
        <v>4.2</v>
      </c>
      <c r="AI307" s="16">
        <f>IFERROR(__xludf.DUMMYFUNCTION("""COMPUTED_VALUE"""),31.1)</f>
        <v>31.1</v>
      </c>
      <c r="AJ307" s="16">
        <f>IFERROR(__xludf.DUMMYFUNCTION("""COMPUTED_VALUE"""),-2.0)</f>
        <v>-2</v>
      </c>
      <c r="AK307" s="16">
        <f>IFERROR(__xludf.DUMMYFUNCTION("""COMPUTED_VALUE"""),0.0)</f>
        <v>0</v>
      </c>
      <c r="AL307" s="16">
        <f>IFERROR(__xludf.DUMMYFUNCTION("""COMPUTED_VALUE"""),-10.0)</f>
        <v>-10</v>
      </c>
      <c r="AM307" s="16">
        <f>IFERROR(__xludf.DUMMYFUNCTION("""COMPUTED_VALUE"""),0.0)</f>
        <v>0</v>
      </c>
      <c r="AN307" s="16">
        <f>IFERROR(__xludf.DUMMYFUNCTION("""COMPUTED_VALUE"""),1.0)</f>
        <v>1</v>
      </c>
      <c r="AO307" s="16">
        <f>IFERROR(__xludf.DUMMYFUNCTION("""COMPUTED_VALUE"""),3.2)</f>
        <v>3.2</v>
      </c>
      <c r="AP307" s="16">
        <f>IFERROR(__xludf.DUMMYFUNCTION("""COMPUTED_VALUE"""),-2.0)</f>
        <v>-2</v>
      </c>
      <c r="AQ307" s="16">
        <f>IFERROR(__xludf.DUMMYFUNCTION("""COMPUTED_VALUE"""),1.0)</f>
        <v>1</v>
      </c>
      <c r="AR307" s="16">
        <f>IFERROR(__xludf.DUMMYFUNCTION("""COMPUTED_VALUE"""),-4.0)</f>
        <v>-4</v>
      </c>
      <c r="AS307" s="16">
        <f>IFERROR(__xludf.DUMMYFUNCTION("""COMPUTED_VALUE"""),2.0)</f>
        <v>2</v>
      </c>
      <c r="AT307" s="16"/>
      <c r="AU307" s="16">
        <f>IFERROR(__xludf.DUMMYFUNCTION("""COMPUTED_VALUE"""),5.0)</f>
        <v>5</v>
      </c>
      <c r="AV307" s="16">
        <f>IFERROR(__xludf.DUMMYFUNCTION("""COMPUTED_VALUE"""),0.0)</f>
        <v>0</v>
      </c>
      <c r="AW307" s="16">
        <f>IFERROR(__xludf.DUMMYFUNCTION("""COMPUTED_VALUE"""),5.0)</f>
        <v>5</v>
      </c>
      <c r="AX307" s="16">
        <f>IFERROR(__xludf.DUMMYFUNCTION("""COMPUTED_VALUE"""),-2.0)</f>
        <v>-2</v>
      </c>
      <c r="AY307" s="16">
        <f>IFERROR(__xludf.DUMMYFUNCTION("""COMPUTED_VALUE"""),2.0)</f>
        <v>2</v>
      </c>
      <c r="AZ307" s="16">
        <f>IFERROR(__xludf.DUMMYFUNCTION("""COMPUTED_VALUE"""),-6.0)</f>
        <v>-6</v>
      </c>
      <c r="BA307" s="16">
        <f>IFERROR(__xludf.DUMMYFUNCTION("""COMPUTED_VALUE"""),6.0)</f>
        <v>6</v>
      </c>
      <c r="BB307" s="16">
        <f>IFERROR(__xludf.DUMMYFUNCTION("""COMPUTED_VALUE"""),0.0)</f>
        <v>0</v>
      </c>
      <c r="BC307" s="16">
        <f>IFERROR(__xludf.DUMMYFUNCTION("""COMPUTED_VALUE"""),5.0)</f>
        <v>5</v>
      </c>
      <c r="BD307" s="16">
        <f>IFERROR(__xludf.DUMMYFUNCTION("""COMPUTED_VALUE"""),0.0)</f>
        <v>0</v>
      </c>
      <c r="BE307" s="16">
        <f>IFERROR(__xludf.DUMMYFUNCTION("""COMPUTED_VALUE"""),1.0)</f>
        <v>1</v>
      </c>
      <c r="BF307" s="16">
        <f>IFERROR(__xludf.DUMMYFUNCTION("""COMPUTED_VALUE"""),0.0)</f>
        <v>0</v>
      </c>
      <c r="BG307" s="16">
        <f>IFERROR(__xludf.DUMMYFUNCTION("""COMPUTED_VALUE"""),1.0)</f>
        <v>1</v>
      </c>
      <c r="BH307" s="16">
        <f>IFERROR(__xludf.DUMMYFUNCTION("""COMPUTED_VALUE"""),0.0)</f>
        <v>0</v>
      </c>
      <c r="BI307" s="16">
        <f>IFERROR(__xludf.DUMMYFUNCTION("""COMPUTED_VALUE"""),-1.0)</f>
        <v>-1</v>
      </c>
      <c r="BJ307" s="16">
        <f>IFERROR(__xludf.DUMMYFUNCTION("""COMPUTED_VALUE"""),9.0)</f>
        <v>9</v>
      </c>
      <c r="BK307" s="16">
        <f>IFERROR(__xludf.DUMMYFUNCTION("""COMPUTED_VALUE"""),7.0)</f>
        <v>7</v>
      </c>
      <c r="BL307" s="16">
        <f>IFERROR(__xludf.DUMMYFUNCTION("""COMPUTED_VALUE"""),0.0)</f>
        <v>0</v>
      </c>
      <c r="BM307" s="16">
        <f>IFERROR(__xludf.DUMMYFUNCTION("""COMPUTED_VALUE"""),1.0)</f>
        <v>1</v>
      </c>
      <c r="BN307" s="16">
        <f>IFERROR(__xludf.DUMMYFUNCTION("""COMPUTED_VALUE"""),0.0)</f>
        <v>0</v>
      </c>
      <c r="BO307" s="16">
        <f>IFERROR(__xludf.DUMMYFUNCTION("""COMPUTED_VALUE"""),1.0)</f>
        <v>1</v>
      </c>
      <c r="BP307" s="16">
        <f>IFERROR(__xludf.DUMMYFUNCTION("""COMPUTED_VALUE"""),-16.0)</f>
        <v>-16</v>
      </c>
      <c r="BQ307" s="16">
        <f>IFERROR(__xludf.DUMMYFUNCTION("""COMPUTED_VALUE"""),4.0)</f>
        <v>4</v>
      </c>
      <c r="BR307" s="16">
        <f>IFERROR(__xludf.DUMMYFUNCTION("""COMPUTED_VALUE"""),-12.0)</f>
        <v>-12</v>
      </c>
      <c r="BS307" s="16" t="str">
        <f>IFERROR(__xludf.DUMMYFUNCTION("""COMPUTED_VALUE"""),"*5/- (20-6)")</f>
        <v>*5/- (20-6)</v>
      </c>
      <c r="BT307" s="16" t="str">
        <f>IFERROR(__xludf.DUMMYFUNCTION("""COMPUTED_VALUE"""),"B")</f>
        <v>B</v>
      </c>
      <c r="BU307" s="16">
        <f>IFERROR(__xludf.DUMMYFUNCTION("""COMPUTED_VALUE"""),12.0)</f>
        <v>12</v>
      </c>
      <c r="BV307" s="16">
        <f>IFERROR(__xludf.DUMMYFUNCTION("""COMPUTED_VALUE"""),1.0)</f>
        <v>1</v>
      </c>
      <c r="BW307" s="16">
        <f>IFERROR(__xludf.DUMMYFUNCTION("""COMPUTED_VALUE"""),0.0)</f>
        <v>0</v>
      </c>
      <c r="BX307" s="16">
        <f>IFERROR(__xludf.DUMMYFUNCTION("""COMPUTED_VALUE"""),2.0)</f>
        <v>2</v>
      </c>
      <c r="BY307" s="16">
        <f>IFERROR(__xludf.DUMMYFUNCTION("""COMPUTED_VALUE"""),0.0)</f>
        <v>0</v>
      </c>
      <c r="BZ307" s="16" t="str">
        <f>IFERROR(__xludf.DUMMYFUNCTION("""COMPUTED_VALUE"""),"D")</f>
        <v>D</v>
      </c>
      <c r="CA307" s="16" t="str">
        <f>IFERROR(__xludf.DUMMYFUNCTION("""COMPUTED_VALUE"""),"C")</f>
        <v>C</v>
      </c>
      <c r="CB307" s="16">
        <f>IFERROR(__xludf.DUMMYFUNCTION("""COMPUTED_VALUE"""),0.0)</f>
        <v>0</v>
      </c>
      <c r="CC307" s="16">
        <f>IFERROR(__xludf.DUMMYFUNCTION("""COMPUTED_VALUE"""),0.0)</f>
        <v>0</v>
      </c>
      <c r="CD307" s="16">
        <f>IFERROR(__xludf.DUMMYFUNCTION("""COMPUTED_VALUE"""),0.0)</f>
        <v>0</v>
      </c>
      <c r="CE307" s="16">
        <f>IFERROR(__xludf.DUMMYFUNCTION("""COMPUTED_VALUE"""),0.0)</f>
        <v>0</v>
      </c>
      <c r="CF307" s="16">
        <f>IFERROR(__xludf.DUMMYFUNCTION("""COMPUTED_VALUE"""),4.0)</f>
        <v>4</v>
      </c>
      <c r="CG307" s="16">
        <f>IFERROR(__xludf.DUMMYFUNCTION("""COMPUTED_VALUE"""),-44.0)</f>
        <v>-44</v>
      </c>
      <c r="CH307" s="16">
        <f>IFERROR(__xludf.DUMMYFUNCTION("""COMPUTED_VALUE"""),4.0)</f>
        <v>4</v>
      </c>
      <c r="CI307" s="179">
        <f>IFERROR(__xludf.DUMMYFUNCTION("""COMPUTED_VALUE"""),-10.0)</f>
        <v>-10</v>
      </c>
      <c r="CJ307" s="16"/>
      <c r="CK307" s="16"/>
      <c r="CL307" s="16"/>
      <c r="CM307" s="16"/>
      <c r="CN307" s="16"/>
      <c r="CO307" s="16">
        <f>IFERROR(__xludf.DUMMYFUNCTION("""COMPUTED_VALUE"""),305.0)</f>
        <v>305</v>
      </c>
      <c r="CP307" s="16">
        <f>IFERROR(__xludf.DUMMYFUNCTION("""COMPUTED_VALUE"""),305.0)</f>
        <v>305</v>
      </c>
      <c r="CQ307" s="16">
        <f>IFERROR(__xludf.DUMMYFUNCTION("""COMPUTED_VALUE"""),205.0)</f>
        <v>205</v>
      </c>
      <c r="CR307" s="16" t="str">
        <f>IFERROR(__xludf.DUMMYFUNCTION("""COMPUTED_VALUE"""),"rf-2(-2)e5 lf-3e5 cf-3e5")</f>
        <v>rf-2(-2)e5 lf-3e5 cf-3e5</v>
      </c>
      <c r="CS307" s="16"/>
      <c r="CT307" s="16"/>
      <c r="CU307" s="16"/>
      <c r="CV307" s="16"/>
      <c r="CW307" s="16"/>
      <c r="CX307" s="16">
        <f>IFERROR(__xludf.DUMMYFUNCTION("""COMPUTED_VALUE"""),3.0)</f>
        <v>3</v>
      </c>
      <c r="CY307" s="16">
        <f>IFERROR(__xludf.DUMMYFUNCTION("""COMPUTED_VALUE"""),3.0)</f>
        <v>3</v>
      </c>
      <c r="CZ307" s="16">
        <f>IFERROR(__xludf.DUMMYFUNCTION("""COMPUTED_VALUE"""),2.0)</f>
        <v>2</v>
      </c>
      <c r="DA307" s="16"/>
      <c r="DB307" s="16"/>
      <c r="DC307" s="16"/>
      <c r="DD307" s="16"/>
      <c r="DE307" s="16"/>
      <c r="DF307" s="16">
        <f>IFERROR(__xludf.DUMMYFUNCTION("""COMPUTED_VALUE"""),5.0)</f>
        <v>5</v>
      </c>
      <c r="DG307" s="16">
        <f>IFERROR(__xludf.DUMMYFUNCTION("""COMPUTED_VALUE"""),5.0)</f>
        <v>5</v>
      </c>
      <c r="DH307" s="16">
        <f>IFERROR(__xludf.DUMMYFUNCTION("""COMPUTED_VALUE"""),5.0)</f>
        <v>5</v>
      </c>
      <c r="DI307" s="16"/>
      <c r="DJ307" s="16"/>
      <c r="DK307" s="16"/>
      <c r="DL307" s="16"/>
      <c r="DM307" s="16"/>
      <c r="DN307" s="16">
        <f>IFERROR(__xludf.DUMMYFUNCTION("""COMPUTED_VALUE"""),0.0)</f>
        <v>0</v>
      </c>
      <c r="DO307" s="16">
        <f>IFERROR(__xludf.DUMMYFUNCTION("""COMPUTED_VALUE"""),0.0)</f>
        <v>0</v>
      </c>
      <c r="DP307" s="16">
        <f>IFERROR(__xludf.DUMMYFUNCTION("""COMPUTED_VALUE"""),3.0)</f>
        <v>3</v>
      </c>
      <c r="DQ307" s="16"/>
      <c r="DR307" s="16"/>
      <c r="DS307" s="16"/>
      <c r="DT307" s="16"/>
      <c r="DU307" s="16"/>
      <c r="DV307" s="16">
        <f>IFERROR(__xludf.DUMMYFUNCTION("""COMPUTED_VALUE"""),2.0)</f>
        <v>2</v>
      </c>
      <c r="DW307" s="16">
        <f>IFERROR(__xludf.DUMMYFUNCTION("""COMPUTED_VALUE"""),3.0)</f>
        <v>3</v>
      </c>
      <c r="DX307" s="16">
        <f>IFERROR(__xludf.DUMMYFUNCTION("""COMPUTED_VALUE"""),2.0)</f>
        <v>2</v>
      </c>
      <c r="DY307" s="16"/>
      <c r="DZ307" s="16"/>
      <c r="EA307" s="16"/>
      <c r="EB307" s="16"/>
      <c r="EC307" s="16"/>
      <c r="ED307" s="16">
        <f>IFERROR(__xludf.DUMMYFUNCTION("""COMPUTED_VALUE"""),2.0)</f>
        <v>2</v>
      </c>
      <c r="EE307" s="16">
        <f>IFERROR(__xludf.DUMMYFUNCTION("""COMPUTED_VALUE"""),3.0)</f>
        <v>3</v>
      </c>
      <c r="EF307" s="16">
        <f>IFERROR(__xludf.DUMMYFUNCTION("""COMPUTED_VALUE"""),5.0)</f>
        <v>5</v>
      </c>
      <c r="EG307" s="179"/>
      <c r="EH307" s="179"/>
      <c r="EI307" s="179"/>
      <c r="EJ307" s="179"/>
      <c r="EK307" s="179"/>
      <c r="EL307" s="179">
        <f>IFERROR(__xludf.DUMMYFUNCTION("""COMPUTED_VALUE"""),-8.0)</f>
        <v>-8</v>
      </c>
      <c r="EM307" s="179">
        <f>IFERROR(__xludf.DUMMYFUNCTION("""COMPUTED_VALUE"""),-7.0)</f>
        <v>-7</v>
      </c>
      <c r="EN307" s="179">
        <f>IFERROR(__xludf.DUMMYFUNCTION("""COMPUTED_VALUE"""),-5.0)</f>
        <v>-5</v>
      </c>
      <c r="EO307" s="16"/>
      <c r="EP307" s="16">
        <f>IFERROR(__xludf.DUMMYFUNCTION("""COMPUTED_VALUE"""),-4.0)</f>
        <v>-4</v>
      </c>
      <c r="EQ307" s="16">
        <f>IFERROR(__xludf.DUMMYFUNCTION("""COMPUTED_VALUE"""),-1.0)</f>
        <v>-1</v>
      </c>
      <c r="ER307" s="16">
        <f>IFERROR(__xludf.DUMMYFUNCTION("""COMPUTED_VALUE"""),-1.0)</f>
        <v>-1</v>
      </c>
      <c r="ES307" s="16"/>
      <c r="ET307" s="16"/>
      <c r="EU307" s="16"/>
      <c r="EV307" s="16"/>
      <c r="EW307" s="16"/>
      <c r="EX307" s="180"/>
      <c r="EY307" s="180"/>
      <c r="EZ307" s="180"/>
      <c r="FA307" s="180"/>
      <c r="FB307" s="180"/>
      <c r="FC307" s="180">
        <f>IFERROR(__xludf.DUMMYFUNCTION("""COMPUTED_VALUE"""),0.3)</f>
        <v>0.3</v>
      </c>
      <c r="FD307" s="180">
        <f>IFERROR(__xludf.DUMMYFUNCTION("""COMPUTED_VALUE"""),0.3)</f>
        <v>0.3</v>
      </c>
      <c r="FE307" s="180">
        <f>IFERROR(__xludf.DUMMYFUNCTION("""COMPUTED_VALUE"""),0.15)</f>
        <v>0.15</v>
      </c>
      <c r="FF307" s="180"/>
      <c r="FG307" s="180"/>
      <c r="FH307" s="180"/>
      <c r="FI307" s="180"/>
      <c r="FJ307" s="180"/>
      <c r="FK307" s="180">
        <f>IFERROR(__xludf.DUMMYFUNCTION("""COMPUTED_VALUE"""),0.088)</f>
        <v>0.088</v>
      </c>
      <c r="FL307" s="180">
        <f>IFERROR(__xludf.DUMMYFUNCTION("""COMPUTED_VALUE"""),0.06018518518518518)</f>
        <v>0.06018518519</v>
      </c>
      <c r="FM307" s="180">
        <f>IFERROR(__xludf.DUMMYFUNCTION("""COMPUTED_VALUE"""),0.088)</f>
        <v>0.088</v>
      </c>
      <c r="FN307" s="16"/>
      <c r="FO307" s="16"/>
      <c r="FP307" s="16"/>
      <c r="FQ307" s="16"/>
      <c r="FR307" s="16"/>
      <c r="FS307" s="16">
        <f>IFERROR(__xludf.DUMMYFUNCTION("""COMPUTED_VALUE"""),0.6384)</f>
        <v>0.6384</v>
      </c>
      <c r="FT307" s="16">
        <f>IFERROR(__xludf.DUMMYFUNCTION("""COMPUTED_VALUE"""),0.6578703703703703)</f>
        <v>0.6578703704</v>
      </c>
      <c r="FU307" s="16">
        <f>IFERROR(__xludf.DUMMYFUNCTION("""COMPUTED_VALUE"""),0.7752)</f>
        <v>0.7752</v>
      </c>
      <c r="FV307" s="16"/>
      <c r="FW307" s="16"/>
      <c r="FX307" s="16"/>
      <c r="FY307" s="16"/>
      <c r="FZ307" s="16"/>
      <c r="GA307" s="16">
        <f>IFERROR(__xludf.DUMMYFUNCTION("""COMPUTED_VALUE"""),-2.0)</f>
        <v>-2</v>
      </c>
      <c r="GB307" s="16">
        <f>IFERROR(__xludf.DUMMYFUNCTION("""COMPUTED_VALUE"""),0.0)</f>
        <v>0</v>
      </c>
      <c r="GC307" s="16">
        <f>IFERROR(__xludf.DUMMYFUNCTION("""COMPUTED_VALUE"""),3.0)</f>
        <v>3</v>
      </c>
      <c r="GD307" s="16" t="s">
        <v>176</v>
      </c>
    </row>
    <row r="308">
      <c r="A308" s="16">
        <f>IFERROR(__xludf.DUMMYFUNCTION("""COMPUTED_VALUE"""),13096.0)</f>
        <v>13096</v>
      </c>
      <c r="B308" s="16" t="str">
        <f>IFERROR(__xludf.DUMMYFUNCTION("""COMPUTED_VALUE"""),"Kyle Isbel")</f>
        <v>Kyle Isbel</v>
      </c>
      <c r="C308" s="16">
        <f>IFERROR(__xludf.DUMMYFUNCTION("""COMPUTED_VALUE"""),1.23)</f>
        <v>1.23</v>
      </c>
      <c r="D308" s="16" t="str">
        <f>IFERROR(__xludf.DUMMYFUNCTION("""COMPUTED_VALUE"""),"L")</f>
        <v>L</v>
      </c>
      <c r="E308" s="16"/>
      <c r="F308" s="16"/>
      <c r="G308" s="16">
        <f>IFERROR(__xludf.DUMMYFUNCTION("""COMPUTED_VALUE"""),384.0)</f>
        <v>384</v>
      </c>
      <c r="H308" s="16">
        <f>IFERROR(__xludf.DUMMYFUNCTION("""COMPUTED_VALUE"""),27.0)</f>
        <v>27</v>
      </c>
      <c r="I308" s="16" t="str">
        <f>IFERROR(__xludf.DUMMYFUNCTION("""COMPUTED_VALUE"""),"1p60")</f>
        <v>1p60</v>
      </c>
      <c r="J308" s="16">
        <f>IFERROR(__xludf.DUMMYFUNCTION("""COMPUTED_VALUE"""),48.0)</f>
        <v>48</v>
      </c>
      <c r="K308" s="16">
        <f>IFERROR(__xludf.DUMMYFUNCTION("""COMPUTED_VALUE"""),16.0)</f>
        <v>16</v>
      </c>
      <c r="L308" s="16">
        <f>IFERROR(__xludf.DUMMYFUNCTION("""COMPUTED_VALUE"""),-2.0)</f>
        <v>-2</v>
      </c>
      <c r="M308" s="16">
        <f>IFERROR(__xludf.DUMMYFUNCTION("""COMPUTED_VALUE"""),1.0)</f>
        <v>1</v>
      </c>
      <c r="N308" s="16">
        <f>IFERROR(__xludf.DUMMYFUNCTION("""COMPUTED_VALUE"""),-2.0)</f>
        <v>-2</v>
      </c>
      <c r="O308" s="16">
        <f>IFERROR(__xludf.DUMMYFUNCTION("""COMPUTED_VALUE"""),1.0)</f>
        <v>1</v>
      </c>
      <c r="P308" s="16">
        <f>IFERROR(__xludf.DUMMYFUNCTION("""COMPUTED_VALUE"""),2.0)</f>
        <v>2</v>
      </c>
      <c r="Q308" s="16">
        <f>IFERROR(__xludf.DUMMYFUNCTION("""COMPUTED_VALUE"""),5.0)</f>
        <v>5</v>
      </c>
      <c r="R308" s="16">
        <f>IFERROR(__xludf.DUMMYFUNCTION("""COMPUTED_VALUE"""),-2.0)</f>
        <v>-2</v>
      </c>
      <c r="S308" s="16">
        <f>IFERROR(__xludf.DUMMYFUNCTION("""COMPUTED_VALUE"""),-1.0)</f>
        <v>-1</v>
      </c>
      <c r="T308" s="16">
        <f>IFERROR(__xludf.DUMMYFUNCTION("""COMPUTED_VALUE"""),-2.0)</f>
        <v>-2</v>
      </c>
      <c r="U308" s="16">
        <f>IFERROR(__xludf.DUMMYFUNCTION("""COMPUTED_VALUE"""),-1.0)</f>
        <v>-1</v>
      </c>
      <c r="V308" s="16">
        <f>IFERROR(__xludf.DUMMYFUNCTION("""COMPUTED_VALUE"""),5.3)</f>
        <v>5.3</v>
      </c>
      <c r="W308" s="16">
        <f>IFERROR(__xludf.DUMMYFUNCTION("""COMPUTED_VALUE"""),19.2)</f>
        <v>19.2</v>
      </c>
      <c r="X308" s="16">
        <f>IFERROR(__xludf.DUMMYFUNCTION("""COMPUTED_VALUE"""),-2.0)</f>
        <v>-2</v>
      </c>
      <c r="Y308" s="16">
        <f>IFERROR(__xludf.DUMMYFUNCTION("""COMPUTED_VALUE"""),0.0)</f>
        <v>0</v>
      </c>
      <c r="Z308" s="16">
        <f>IFERROR(__xludf.DUMMYFUNCTION("""COMPUTED_VALUE"""),-4.0)</f>
        <v>-4</v>
      </c>
      <c r="AA308" s="16">
        <f>IFERROR(__xludf.DUMMYFUNCTION("""COMPUTED_VALUE"""),0.0)</f>
        <v>0</v>
      </c>
      <c r="AB308" s="16">
        <f>IFERROR(__xludf.DUMMYFUNCTION("""COMPUTED_VALUE"""),10.3)</f>
        <v>10.3</v>
      </c>
      <c r="AC308" s="16">
        <f>IFERROR(__xludf.DUMMYFUNCTION("""COMPUTED_VALUE"""),27.2)</f>
        <v>27.2</v>
      </c>
      <c r="AD308" s="16">
        <f>IFERROR(__xludf.DUMMYFUNCTION("""COMPUTED_VALUE"""),-2.0)</f>
        <v>-2</v>
      </c>
      <c r="AE308" s="16">
        <f>IFERROR(__xludf.DUMMYFUNCTION("""COMPUTED_VALUE"""),-1.0)</f>
        <v>-1</v>
      </c>
      <c r="AF308" s="16">
        <f>IFERROR(__xludf.DUMMYFUNCTION("""COMPUTED_VALUE"""),-10.0)</f>
        <v>-10</v>
      </c>
      <c r="AG308" s="16">
        <f>IFERROR(__xludf.DUMMYFUNCTION("""COMPUTED_VALUE"""),-5.0)</f>
        <v>-5</v>
      </c>
      <c r="AH308" s="16">
        <f>IFERROR(__xludf.DUMMYFUNCTION("""COMPUTED_VALUE"""),12.5)</f>
        <v>12.5</v>
      </c>
      <c r="AI308" s="16">
        <f>IFERROR(__xludf.DUMMYFUNCTION("""COMPUTED_VALUE"""),31.5)</f>
        <v>31.5</v>
      </c>
      <c r="AJ308" s="16">
        <f>IFERROR(__xludf.DUMMYFUNCTION("""COMPUTED_VALUE"""),-2.0)</f>
        <v>-2</v>
      </c>
      <c r="AK308" s="16">
        <f>IFERROR(__xludf.DUMMYFUNCTION("""COMPUTED_VALUE"""),0.0)</f>
        <v>0</v>
      </c>
      <c r="AL308" s="16">
        <f>IFERROR(__xludf.DUMMYFUNCTION("""COMPUTED_VALUE"""),-10.0)</f>
        <v>-10</v>
      </c>
      <c r="AM308" s="16">
        <f>IFERROR(__xludf.DUMMYFUNCTION("""COMPUTED_VALUE"""),0.0)</f>
        <v>0</v>
      </c>
      <c r="AN308" s="16">
        <f>IFERROR(__xludf.DUMMYFUNCTION("""COMPUTED_VALUE"""),0.0)</f>
        <v>0</v>
      </c>
      <c r="AO308" s="16">
        <f>IFERROR(__xludf.DUMMYFUNCTION("""COMPUTED_VALUE"""),1.0)</f>
        <v>1</v>
      </c>
      <c r="AP308" s="16">
        <f>IFERROR(__xludf.DUMMYFUNCTION("""COMPUTED_VALUE"""),-2.0)</f>
        <v>-2</v>
      </c>
      <c r="AQ308" s="16">
        <f>IFERROR(__xludf.DUMMYFUNCTION("""COMPUTED_VALUE"""),-2.0)</f>
        <v>-2</v>
      </c>
      <c r="AR308" s="16">
        <f>IFERROR(__xludf.DUMMYFUNCTION("""COMPUTED_VALUE"""),-4.0)</f>
        <v>-4</v>
      </c>
      <c r="AS308" s="16">
        <f>IFERROR(__xludf.DUMMYFUNCTION("""COMPUTED_VALUE"""),-4.0)</f>
        <v>-4</v>
      </c>
      <c r="AT308" s="16"/>
      <c r="AU308" s="16">
        <f>IFERROR(__xludf.DUMMYFUNCTION("""COMPUTED_VALUE"""),1.0)</f>
        <v>1</v>
      </c>
      <c r="AV308" s="16">
        <f>IFERROR(__xludf.DUMMYFUNCTION("""COMPUTED_VALUE"""),-3.0)</f>
        <v>-3</v>
      </c>
      <c r="AW308" s="16">
        <f>IFERROR(__xludf.DUMMYFUNCTION("""COMPUTED_VALUE"""),1.0)</f>
        <v>1</v>
      </c>
      <c r="AX308" s="16">
        <f>IFERROR(__xludf.DUMMYFUNCTION("""COMPUTED_VALUE"""),-3.0)</f>
        <v>-3</v>
      </c>
      <c r="AY308" s="16">
        <f>IFERROR(__xludf.DUMMYFUNCTION("""COMPUTED_VALUE"""),-1.0)</f>
        <v>-1</v>
      </c>
      <c r="AZ308" s="16">
        <f>IFERROR(__xludf.DUMMYFUNCTION("""COMPUTED_VALUE"""),-9.0)</f>
        <v>-9</v>
      </c>
      <c r="BA308" s="16">
        <f>IFERROR(__xludf.DUMMYFUNCTION("""COMPUTED_VALUE"""),-3.0)</f>
        <v>-3</v>
      </c>
      <c r="BB308" s="16">
        <f>IFERROR(__xludf.DUMMYFUNCTION("""COMPUTED_VALUE"""),5.0)</f>
        <v>5</v>
      </c>
      <c r="BC308" s="16">
        <f>IFERROR(__xludf.DUMMYFUNCTION("""COMPUTED_VALUE"""),5.0)</f>
        <v>5</v>
      </c>
      <c r="BD308" s="16">
        <f>IFERROR(__xludf.DUMMYFUNCTION("""COMPUTED_VALUE"""),1.0)</f>
        <v>1</v>
      </c>
      <c r="BE308" s="16">
        <f>IFERROR(__xludf.DUMMYFUNCTION("""COMPUTED_VALUE"""),1.0)</f>
        <v>1</v>
      </c>
      <c r="BF308" s="16">
        <f>IFERROR(__xludf.DUMMYFUNCTION("""COMPUTED_VALUE"""),1.0)</f>
        <v>1</v>
      </c>
      <c r="BG308" s="16">
        <f>IFERROR(__xludf.DUMMYFUNCTION("""COMPUTED_VALUE"""),1.0)</f>
        <v>1</v>
      </c>
      <c r="BH308" s="16">
        <f>IFERROR(__xludf.DUMMYFUNCTION("""COMPUTED_VALUE"""),0.0)</f>
        <v>0</v>
      </c>
      <c r="BI308" s="16">
        <f>IFERROR(__xludf.DUMMYFUNCTION("""COMPUTED_VALUE"""),4.0)</f>
        <v>4</v>
      </c>
      <c r="BJ308" s="16">
        <f>IFERROR(__xludf.DUMMYFUNCTION("""COMPUTED_VALUE"""),5.0)</f>
        <v>5</v>
      </c>
      <c r="BK308" s="16">
        <f>IFERROR(__xludf.DUMMYFUNCTION("""COMPUTED_VALUE"""),5.0)</f>
        <v>5</v>
      </c>
      <c r="BL308" s="16">
        <f>IFERROR(__xludf.DUMMYFUNCTION("""COMPUTED_VALUE"""),1.0)</f>
        <v>1</v>
      </c>
      <c r="BM308" s="16">
        <f>IFERROR(__xludf.DUMMYFUNCTION("""COMPUTED_VALUE"""),1.0)</f>
        <v>1</v>
      </c>
      <c r="BN308" s="16">
        <f>IFERROR(__xludf.DUMMYFUNCTION("""COMPUTED_VALUE"""),1.0)</f>
        <v>1</v>
      </c>
      <c r="BO308" s="16">
        <f>IFERROR(__xludf.DUMMYFUNCTION("""COMPUTED_VALUE"""),1.0)</f>
        <v>1</v>
      </c>
      <c r="BP308" s="16">
        <f>IFERROR(__xludf.DUMMYFUNCTION("""COMPUTED_VALUE"""),-13.0)</f>
        <v>-13</v>
      </c>
      <c r="BQ308" s="16">
        <f>IFERROR(__xludf.DUMMYFUNCTION("""COMPUTED_VALUE"""),-2.0)</f>
        <v>-2</v>
      </c>
      <c r="BR308" s="16">
        <f>IFERROR(__xludf.DUMMYFUNCTION("""COMPUTED_VALUE"""),-15.0)</f>
        <v>-15</v>
      </c>
      <c r="BS308" s="16" t="str">
        <f>IFERROR(__xludf.DUMMYFUNCTION("""COMPUTED_VALUE"""),"*4,5/- (19-12)")</f>
        <v>*4,5/- (19-12)</v>
      </c>
      <c r="BT308" s="16" t="str">
        <f>IFERROR(__xludf.DUMMYFUNCTION("""COMPUTED_VALUE"""),"B")</f>
        <v>B</v>
      </c>
      <c r="BU308" s="16">
        <f>IFERROR(__xludf.DUMMYFUNCTION("""COMPUTED_VALUE"""),15.0)</f>
        <v>15</v>
      </c>
      <c r="BV308" s="16">
        <f>IFERROR(__xludf.DUMMYFUNCTION("""COMPUTED_VALUE"""),1.0)</f>
        <v>1</v>
      </c>
      <c r="BW308" s="16">
        <f>IFERROR(__xludf.DUMMYFUNCTION("""COMPUTED_VALUE"""),2.0)</f>
        <v>2</v>
      </c>
      <c r="BX308" s="16">
        <f>IFERROR(__xludf.DUMMYFUNCTION("""COMPUTED_VALUE"""),2.0)</f>
        <v>2</v>
      </c>
      <c r="BY308" s="16">
        <f>IFERROR(__xludf.DUMMYFUNCTION("""COMPUTED_VALUE"""),6.0)</f>
        <v>6</v>
      </c>
      <c r="BZ308" s="16" t="str">
        <f>IFERROR(__xludf.DUMMYFUNCTION("""COMPUTED_VALUE"""),"A")</f>
        <v>A</v>
      </c>
      <c r="CA308" s="16" t="str">
        <f>IFERROR(__xludf.DUMMYFUNCTION("""COMPUTED_VALUE"""),"C")</f>
        <v>C</v>
      </c>
      <c r="CB308" s="16">
        <f>IFERROR(__xludf.DUMMYFUNCTION("""COMPUTED_VALUE"""),2.0)</f>
        <v>2</v>
      </c>
      <c r="CC308" s="16">
        <f>IFERROR(__xludf.DUMMYFUNCTION("""COMPUTED_VALUE"""),0.0)</f>
        <v>0</v>
      </c>
      <c r="CD308" s="16">
        <f>IFERROR(__xludf.DUMMYFUNCTION("""COMPUTED_VALUE"""),2.0)</f>
        <v>2</v>
      </c>
      <c r="CE308" s="16">
        <f>IFERROR(__xludf.DUMMYFUNCTION("""COMPUTED_VALUE"""),0.0)</f>
        <v>0</v>
      </c>
      <c r="CF308" s="16">
        <f>IFERROR(__xludf.DUMMYFUNCTION("""COMPUTED_VALUE"""),1.0)</f>
        <v>1</v>
      </c>
      <c r="CG308" s="16">
        <f>IFERROR(__xludf.DUMMYFUNCTION("""COMPUTED_VALUE"""),-39.0)</f>
        <v>-39</v>
      </c>
      <c r="CH308" s="16">
        <f>IFERROR(__xludf.DUMMYFUNCTION("""COMPUTED_VALUE"""),-10.0)</f>
        <v>-10</v>
      </c>
      <c r="CI308" s="179">
        <f>IFERROR(__xludf.DUMMYFUNCTION("""COMPUTED_VALUE"""),-10.0)</f>
        <v>-10</v>
      </c>
      <c r="CJ308" s="16"/>
      <c r="CK308" s="16"/>
      <c r="CL308" s="16"/>
      <c r="CM308" s="16"/>
      <c r="CN308" s="16"/>
      <c r="CO308" s="16"/>
      <c r="CP308" s="16">
        <f>IFERROR(__xludf.DUMMYFUNCTION("""COMPUTED_VALUE"""),105.0)</f>
        <v>105</v>
      </c>
      <c r="CQ308" s="16"/>
      <c r="CR308" s="16" t="str">
        <f>IFERROR(__xludf.DUMMYFUNCTION("""COMPUTED_VALUE"""),"cf-1(-1)e5")</f>
        <v>cf-1(-1)e5</v>
      </c>
      <c r="CS308" s="16"/>
      <c r="CT308" s="16"/>
      <c r="CU308" s="16"/>
      <c r="CV308" s="16"/>
      <c r="CW308" s="16"/>
      <c r="CX308" s="16"/>
      <c r="CY308" s="16">
        <f>IFERROR(__xludf.DUMMYFUNCTION("""COMPUTED_VALUE"""),1.0)</f>
        <v>1</v>
      </c>
      <c r="CZ308" s="16"/>
      <c r="DA308" s="16"/>
      <c r="DB308" s="16"/>
      <c r="DC308" s="16"/>
      <c r="DD308" s="16"/>
      <c r="DE308" s="16"/>
      <c r="DF308" s="16"/>
      <c r="DG308" s="16">
        <f>IFERROR(__xludf.DUMMYFUNCTION("""COMPUTED_VALUE"""),5.0)</f>
        <v>5</v>
      </c>
      <c r="DH308" s="16"/>
      <c r="DI308" s="16"/>
      <c r="DJ308" s="16"/>
      <c r="DK308" s="16"/>
      <c r="DL308" s="16"/>
      <c r="DM308" s="16"/>
      <c r="DN308" s="16"/>
      <c r="DO308" s="16">
        <f>IFERROR(__xludf.DUMMYFUNCTION("""COMPUTED_VALUE"""),4.0)</f>
        <v>4</v>
      </c>
      <c r="DP308" s="16"/>
      <c r="DQ308" s="16"/>
      <c r="DR308" s="16"/>
      <c r="DS308" s="16"/>
      <c r="DT308" s="16"/>
      <c r="DU308" s="16"/>
      <c r="DV308" s="16"/>
      <c r="DW308" s="16">
        <f>IFERROR(__xludf.DUMMYFUNCTION("""COMPUTED_VALUE"""),3.0)</f>
        <v>3</v>
      </c>
      <c r="DX308" s="16"/>
      <c r="DY308" s="16"/>
      <c r="DZ308" s="16"/>
      <c r="EA308" s="16"/>
      <c r="EB308" s="16"/>
      <c r="EC308" s="16"/>
      <c r="ED308" s="16"/>
      <c r="EE308" s="16">
        <f>IFERROR(__xludf.DUMMYFUNCTION("""COMPUTED_VALUE"""),7.0)</f>
        <v>7</v>
      </c>
      <c r="EF308" s="16"/>
      <c r="EG308" s="179"/>
      <c r="EH308" s="179"/>
      <c r="EI308" s="179"/>
      <c r="EJ308" s="179"/>
      <c r="EK308" s="179"/>
      <c r="EL308" s="179"/>
      <c r="EM308" s="179">
        <f>IFERROR(__xludf.DUMMYFUNCTION("""COMPUTED_VALUE"""),-3.0)</f>
        <v>-3</v>
      </c>
      <c r="EN308" s="179"/>
      <c r="EO308" s="16"/>
      <c r="EP308" s="16">
        <f>IFERROR(__xludf.DUMMYFUNCTION("""COMPUTED_VALUE"""),-2.0)</f>
        <v>-2</v>
      </c>
      <c r="EQ308" s="16">
        <f>IFERROR(__xludf.DUMMYFUNCTION("""COMPUTED_VALUE"""),4.0)</f>
        <v>4</v>
      </c>
      <c r="ER308" s="16">
        <f>IFERROR(__xludf.DUMMYFUNCTION("""COMPUTED_VALUE"""),1.0)</f>
        <v>1</v>
      </c>
      <c r="ES308" s="16"/>
      <c r="ET308" s="16"/>
      <c r="EU308" s="16"/>
      <c r="EV308" s="16"/>
      <c r="EW308" s="16"/>
      <c r="EX308" s="180"/>
      <c r="EY308" s="180"/>
      <c r="EZ308" s="180"/>
      <c r="FA308" s="180"/>
      <c r="FB308" s="180"/>
      <c r="FC308" s="180"/>
      <c r="FD308" s="180">
        <f>IFERROR(__xludf.DUMMYFUNCTION("""COMPUTED_VALUE"""),0.0)</f>
        <v>0</v>
      </c>
      <c r="FE308" s="180"/>
      <c r="FF308" s="180"/>
      <c r="FG308" s="180"/>
      <c r="FH308" s="180"/>
      <c r="FI308" s="180"/>
      <c r="FJ308" s="180"/>
      <c r="FK308" s="180"/>
      <c r="FL308" s="180">
        <f>IFERROR(__xludf.DUMMYFUNCTION("""COMPUTED_VALUE"""),0.06018518518518518)</f>
        <v>0.06018518519</v>
      </c>
      <c r="FM308" s="180"/>
      <c r="FN308" s="16"/>
      <c r="FO308" s="16"/>
      <c r="FP308" s="16"/>
      <c r="FQ308" s="16"/>
      <c r="FR308" s="16"/>
      <c r="FS308" s="16"/>
      <c r="FT308" s="16">
        <f>IFERROR(__xludf.DUMMYFUNCTION("""COMPUTED_VALUE"""),0.9398148148148148)</f>
        <v>0.9398148148</v>
      </c>
      <c r="FU308" s="16"/>
      <c r="FV308" s="16"/>
      <c r="FW308" s="16"/>
      <c r="FX308" s="16"/>
      <c r="FY308" s="16"/>
      <c r="FZ308" s="16"/>
      <c r="GA308" s="16"/>
      <c r="GB308" s="16">
        <f>IFERROR(__xludf.DUMMYFUNCTION("""COMPUTED_VALUE"""),8.0)</f>
        <v>8</v>
      </c>
      <c r="GC308" s="16"/>
      <c r="GD308" s="16" t="s">
        <v>176</v>
      </c>
    </row>
    <row r="309">
      <c r="A309" s="16">
        <f>IFERROR(__xludf.DUMMYFUNCTION("""COMPUTED_VALUE"""),13231.0)</f>
        <v>13231</v>
      </c>
      <c r="B309" s="16" t="str">
        <f>IFERROR(__xludf.DUMMYFUNCTION("""COMPUTED_VALUE"""),"Nelson Velazquez")</f>
        <v>Nelson Velazquez</v>
      </c>
      <c r="C309" s="16">
        <f>IFERROR(__xludf.DUMMYFUNCTION("""COMPUTED_VALUE"""),0.0)</f>
        <v>0</v>
      </c>
      <c r="D309" s="16" t="str">
        <f>IFERROR(__xludf.DUMMYFUNCTION("""COMPUTED_VALUE"""),"R")</f>
        <v>R</v>
      </c>
      <c r="E309" s="16"/>
      <c r="F309" s="16"/>
      <c r="G309" s="16">
        <f>IFERROR(__xludf.DUMMYFUNCTION("""COMPUTED_VALUE"""),205.0)</f>
        <v>205</v>
      </c>
      <c r="H309" s="16">
        <f>IFERROR(__xludf.DUMMYFUNCTION("""COMPUTED_VALUE"""),19.0)</f>
        <v>19</v>
      </c>
      <c r="I309" s="16" t="str">
        <f>IFERROR(__xludf.DUMMYFUNCTION("""COMPUTED_VALUE"""),"1p30")</f>
        <v>1p30</v>
      </c>
      <c r="J309" s="16">
        <f>IFERROR(__xludf.DUMMYFUNCTION("""COMPUTED_VALUE"""),35.0)</f>
        <v>35</v>
      </c>
      <c r="K309" s="16">
        <f>IFERROR(__xludf.DUMMYFUNCTION("""COMPUTED_VALUE"""),32.0)</f>
        <v>32</v>
      </c>
      <c r="L309" s="16">
        <f>IFERROR(__xludf.DUMMYFUNCTION("""COMPUTED_VALUE"""),-1.0)</f>
        <v>-1</v>
      </c>
      <c r="M309" s="16">
        <f>IFERROR(__xludf.DUMMYFUNCTION("""COMPUTED_VALUE"""),-1.0)</f>
        <v>-1</v>
      </c>
      <c r="N309" s="16">
        <f>IFERROR(__xludf.DUMMYFUNCTION("""COMPUTED_VALUE"""),-1.0)</f>
        <v>-1</v>
      </c>
      <c r="O309" s="16">
        <f>IFERROR(__xludf.DUMMYFUNCTION("""COMPUTED_VALUE"""),-1.0)</f>
        <v>-1</v>
      </c>
      <c r="P309" s="16">
        <f>IFERROR(__xludf.DUMMYFUNCTION("""COMPUTED_VALUE"""),16.0)</f>
        <v>16</v>
      </c>
      <c r="Q309" s="16">
        <f>IFERROR(__xludf.DUMMYFUNCTION("""COMPUTED_VALUE"""),7.0)</f>
        <v>7</v>
      </c>
      <c r="R309" s="16">
        <f>IFERROR(__xludf.DUMMYFUNCTION("""COMPUTED_VALUE"""),2.0)</f>
        <v>2</v>
      </c>
      <c r="S309" s="16">
        <f>IFERROR(__xludf.DUMMYFUNCTION("""COMPUTED_VALUE"""),-1.0)</f>
        <v>-1</v>
      </c>
      <c r="T309" s="16">
        <f>IFERROR(__xludf.DUMMYFUNCTION("""COMPUTED_VALUE"""),2.0)</f>
        <v>2</v>
      </c>
      <c r="U309" s="16">
        <f>IFERROR(__xludf.DUMMYFUNCTION("""COMPUTED_VALUE"""),-1.0)</f>
        <v>-1</v>
      </c>
      <c r="V309" s="16">
        <f>IFERROR(__xludf.DUMMYFUNCTION("""COMPUTED_VALUE"""),18.2)</f>
        <v>18.2</v>
      </c>
      <c r="W309" s="16">
        <f>IFERROR(__xludf.DUMMYFUNCTION("""COMPUTED_VALUE"""),7.9)</f>
        <v>7.9</v>
      </c>
      <c r="X309" s="16">
        <f>IFERROR(__xludf.DUMMYFUNCTION("""COMPUTED_VALUE"""),0.0)</f>
        <v>0</v>
      </c>
      <c r="Y309" s="16">
        <f>IFERROR(__xludf.DUMMYFUNCTION("""COMPUTED_VALUE"""),-2.0)</f>
        <v>-2</v>
      </c>
      <c r="Z309" s="16">
        <f>IFERROR(__xludf.DUMMYFUNCTION("""COMPUTED_VALUE"""),0.0)</f>
        <v>0</v>
      </c>
      <c r="AA309" s="16">
        <f>IFERROR(__xludf.DUMMYFUNCTION("""COMPUTED_VALUE"""),-4.0)</f>
        <v>-4</v>
      </c>
      <c r="AB309" s="16">
        <f>IFERROR(__xludf.DUMMYFUNCTION("""COMPUTED_VALUE"""),37.2)</f>
        <v>37.2</v>
      </c>
      <c r="AC309" s="16">
        <f>IFERROR(__xludf.DUMMYFUNCTION("""COMPUTED_VALUE"""),17.9)</f>
        <v>17.9</v>
      </c>
      <c r="AD309" s="16">
        <f>IFERROR(__xludf.DUMMYFUNCTION("""COMPUTED_VALUE"""),1.0)</f>
        <v>1</v>
      </c>
      <c r="AE309" s="16">
        <f>IFERROR(__xludf.DUMMYFUNCTION("""COMPUTED_VALUE"""),-2.0)</f>
        <v>-2</v>
      </c>
      <c r="AF309" s="16">
        <f>IFERROR(__xludf.DUMMYFUNCTION("""COMPUTED_VALUE"""),5.0)</f>
        <v>5</v>
      </c>
      <c r="AG309" s="16">
        <f>IFERROR(__xludf.DUMMYFUNCTION("""COMPUTED_VALUE"""),-10.0)</f>
        <v>-10</v>
      </c>
      <c r="AH309" s="16">
        <f>IFERROR(__xludf.DUMMYFUNCTION("""COMPUTED_VALUE"""),36.7)</f>
        <v>36.7</v>
      </c>
      <c r="AI309" s="16">
        <f>IFERROR(__xludf.DUMMYFUNCTION("""COMPUTED_VALUE"""),21.0)</f>
        <v>21</v>
      </c>
      <c r="AJ309" s="16">
        <f>IFERROR(__xludf.DUMMYFUNCTION("""COMPUTED_VALUE"""),0.0)</f>
        <v>0</v>
      </c>
      <c r="AK309" s="16">
        <f>IFERROR(__xludf.DUMMYFUNCTION("""COMPUTED_VALUE"""),-1.0)</f>
        <v>-1</v>
      </c>
      <c r="AL309" s="16">
        <f>IFERROR(__xludf.DUMMYFUNCTION("""COMPUTED_VALUE"""),0.0)</f>
        <v>0</v>
      </c>
      <c r="AM309" s="16">
        <f>IFERROR(__xludf.DUMMYFUNCTION("""COMPUTED_VALUE"""),-5.0)</f>
        <v>-5</v>
      </c>
      <c r="AN309" s="16">
        <f>IFERROR(__xludf.DUMMYFUNCTION("""COMPUTED_VALUE"""),3.0)</f>
        <v>3</v>
      </c>
      <c r="AO309" s="16">
        <f>IFERROR(__xludf.DUMMYFUNCTION("""COMPUTED_VALUE"""),3.8)</f>
        <v>3.8</v>
      </c>
      <c r="AP309" s="16">
        <f>IFERROR(__xludf.DUMMYFUNCTION("""COMPUTED_VALUE"""),1.0)</f>
        <v>1</v>
      </c>
      <c r="AQ309" s="16">
        <f>IFERROR(__xludf.DUMMYFUNCTION("""COMPUTED_VALUE"""),2.0)</f>
        <v>2</v>
      </c>
      <c r="AR309" s="16">
        <f>IFERROR(__xludf.DUMMYFUNCTION("""COMPUTED_VALUE"""),2.0)</f>
        <v>2</v>
      </c>
      <c r="AS309" s="16">
        <f>IFERROR(__xludf.DUMMYFUNCTION("""COMPUTED_VALUE"""),4.0)</f>
        <v>4</v>
      </c>
      <c r="AT309" s="16"/>
      <c r="AU309" s="16"/>
      <c r="AV309" s="16">
        <f>IFERROR(__xludf.DUMMYFUNCTION("""COMPUTED_VALUE"""),-3.0)</f>
        <v>-3</v>
      </c>
      <c r="AW309" s="16">
        <f>IFERROR(__xludf.DUMMYFUNCTION("""COMPUTED_VALUE"""),6.0)</f>
        <v>6</v>
      </c>
      <c r="AX309" s="16">
        <f>IFERROR(__xludf.DUMMYFUNCTION("""COMPUTED_VALUE"""),-3.0)</f>
        <v>-3</v>
      </c>
      <c r="AY309" s="16">
        <f>IFERROR(__xludf.DUMMYFUNCTION("""COMPUTED_VALUE"""),2.0)</f>
        <v>2</v>
      </c>
      <c r="AZ309" s="16">
        <f>IFERROR(__xludf.DUMMYFUNCTION("""COMPUTED_VALUE"""),-9.0)</f>
        <v>-9</v>
      </c>
      <c r="BA309" s="16">
        <f>IFERROR(__xludf.DUMMYFUNCTION("""COMPUTED_VALUE"""),6.0)</f>
        <v>6</v>
      </c>
      <c r="BB309" s="16">
        <f>IFERROR(__xludf.DUMMYFUNCTION("""COMPUTED_VALUE"""),5.0)</f>
        <v>5</v>
      </c>
      <c r="BC309" s="16">
        <f>IFERROR(__xludf.DUMMYFUNCTION("""COMPUTED_VALUE"""),0.0)</f>
        <v>0</v>
      </c>
      <c r="BD309" s="16">
        <f>IFERROR(__xludf.DUMMYFUNCTION("""COMPUTED_VALUE"""),1.0)</f>
        <v>1</v>
      </c>
      <c r="BE309" s="16">
        <f>IFERROR(__xludf.DUMMYFUNCTION("""COMPUTED_VALUE"""),0.0)</f>
        <v>0</v>
      </c>
      <c r="BF309" s="16">
        <f>IFERROR(__xludf.DUMMYFUNCTION("""COMPUTED_VALUE"""),1.0)</f>
        <v>1</v>
      </c>
      <c r="BG309" s="16">
        <f>IFERROR(__xludf.DUMMYFUNCTION("""COMPUTED_VALUE"""),0.0)</f>
        <v>0</v>
      </c>
      <c r="BH309" s="16">
        <f>IFERROR(__xludf.DUMMYFUNCTION("""COMPUTED_VALUE"""),0.0)</f>
        <v>0</v>
      </c>
      <c r="BI309" s="16">
        <f>IFERROR(__xludf.DUMMYFUNCTION("""COMPUTED_VALUE"""),0.0)</f>
        <v>0</v>
      </c>
      <c r="BJ309" s="16">
        <f>IFERROR(__xludf.DUMMYFUNCTION("""COMPUTED_VALUE"""),16.0)</f>
        <v>16</v>
      </c>
      <c r="BK309" s="16">
        <f>IFERROR(__xludf.DUMMYFUNCTION("""COMPUTED_VALUE"""),20.0)</f>
        <v>20</v>
      </c>
      <c r="BL309" s="16">
        <f>IFERROR(__xludf.DUMMYFUNCTION("""COMPUTED_VALUE"""),-1.0)</f>
        <v>-1</v>
      </c>
      <c r="BM309" s="16">
        <f>IFERROR(__xludf.DUMMYFUNCTION("""COMPUTED_VALUE"""),-2.0)</f>
        <v>-2</v>
      </c>
      <c r="BN309" s="16">
        <f>IFERROR(__xludf.DUMMYFUNCTION("""COMPUTED_VALUE"""),-2.0)</f>
        <v>-2</v>
      </c>
      <c r="BO309" s="16">
        <f>IFERROR(__xludf.DUMMYFUNCTION("""COMPUTED_VALUE"""),-4.0)</f>
        <v>-4</v>
      </c>
      <c r="BP309" s="16">
        <f>IFERROR(__xludf.DUMMYFUNCTION("""COMPUTED_VALUE"""),0.0)</f>
        <v>0</v>
      </c>
      <c r="BQ309" s="16">
        <f>IFERROR(__xludf.DUMMYFUNCTION("""COMPUTED_VALUE"""),-5.0)</f>
        <v>-5</v>
      </c>
      <c r="BR309" s="16">
        <f>IFERROR(__xludf.DUMMYFUNCTION("""COMPUTED_VALUE"""),-5.0)</f>
        <v>-5</v>
      </c>
      <c r="BS309" s="16" t="str">
        <f>IFERROR(__xludf.DUMMYFUNCTION("""COMPUTED_VALUE"""),"3/- (20-6)")</f>
        <v>3/- (20-6)</v>
      </c>
      <c r="BT309" s="16" t="str">
        <f>IFERROR(__xludf.DUMMYFUNCTION("""COMPUTED_VALUE"""),"D")</f>
        <v>D</v>
      </c>
      <c r="BU309" s="16">
        <f>IFERROR(__xludf.DUMMYFUNCTION("""COMPUTED_VALUE"""),12.0)</f>
        <v>12</v>
      </c>
      <c r="BV309" s="16">
        <f>IFERROR(__xludf.DUMMYFUNCTION("""COMPUTED_VALUE"""),0.0)</f>
        <v>0</v>
      </c>
      <c r="BW309" s="16">
        <f>IFERROR(__xludf.DUMMYFUNCTION("""COMPUTED_VALUE"""),0.0)</f>
        <v>0</v>
      </c>
      <c r="BX309" s="16">
        <f>IFERROR(__xludf.DUMMYFUNCTION("""COMPUTED_VALUE"""),0.0)</f>
        <v>0</v>
      </c>
      <c r="BY309" s="16">
        <f>IFERROR(__xludf.DUMMYFUNCTION("""COMPUTED_VALUE"""),0.0)</f>
        <v>0</v>
      </c>
      <c r="BZ309" s="16" t="str">
        <f>IFERROR(__xludf.DUMMYFUNCTION("""COMPUTED_VALUE"""),"D")</f>
        <v>D</v>
      </c>
      <c r="CA309" s="16" t="str">
        <f>IFERROR(__xludf.DUMMYFUNCTION("""COMPUTED_VALUE"""),"D")</f>
        <v>D</v>
      </c>
      <c r="CB309" s="16">
        <f>IFERROR(__xludf.DUMMYFUNCTION("""COMPUTED_VALUE"""),0.0)</f>
        <v>0</v>
      </c>
      <c r="CC309" s="16">
        <f>IFERROR(__xludf.DUMMYFUNCTION("""COMPUTED_VALUE"""),0.0)</f>
        <v>0</v>
      </c>
      <c r="CD309" s="16">
        <f>IFERROR(__xludf.DUMMYFUNCTION("""COMPUTED_VALUE"""),0.0)</f>
        <v>0</v>
      </c>
      <c r="CE309" s="16">
        <f>IFERROR(__xludf.DUMMYFUNCTION("""COMPUTED_VALUE"""),0.0)</f>
        <v>0</v>
      </c>
      <c r="CF309" s="16">
        <f>IFERROR(__xludf.DUMMYFUNCTION("""COMPUTED_VALUE"""),1.0)</f>
        <v>1</v>
      </c>
      <c r="CG309" s="16">
        <f>IFERROR(__xludf.DUMMYFUNCTION("""COMPUTED_VALUE"""),-2.0)</f>
        <v>-2</v>
      </c>
      <c r="CH309" s="16">
        <f>IFERROR(__xludf.DUMMYFUNCTION("""COMPUTED_VALUE"""),-15.0)</f>
        <v>-15</v>
      </c>
      <c r="CI309" s="179">
        <f>IFERROR(__xludf.DUMMYFUNCTION("""COMPUTED_VALUE"""),-10.0)</f>
        <v>-10</v>
      </c>
      <c r="CJ309" s="16"/>
      <c r="CK309" s="16"/>
      <c r="CL309" s="16"/>
      <c r="CM309" s="16"/>
      <c r="CN309" s="16"/>
      <c r="CO309" s="16">
        <f>IFERROR(__xludf.DUMMYFUNCTION("""COMPUTED_VALUE"""),410.0)</f>
        <v>410</v>
      </c>
      <c r="CP309" s="16"/>
      <c r="CQ309" s="16">
        <f>IFERROR(__xludf.DUMMYFUNCTION("""COMPUTED_VALUE"""),410.0)</f>
        <v>410</v>
      </c>
      <c r="CR309" s="16" t="str">
        <f>IFERROR(__xludf.DUMMYFUNCTION("""COMPUTED_VALUE"""),"rf-4(+2)e10 lf-4e10")</f>
        <v>rf-4(+2)e10 lf-4e10</v>
      </c>
      <c r="CS309" s="16"/>
      <c r="CT309" s="16"/>
      <c r="CU309" s="16"/>
      <c r="CV309" s="16"/>
      <c r="CW309" s="16"/>
      <c r="CX309" s="16">
        <f>IFERROR(__xludf.DUMMYFUNCTION("""COMPUTED_VALUE"""),4.0)</f>
        <v>4</v>
      </c>
      <c r="CY309" s="16"/>
      <c r="CZ309" s="16">
        <f>IFERROR(__xludf.DUMMYFUNCTION("""COMPUTED_VALUE"""),4.0)</f>
        <v>4</v>
      </c>
      <c r="DA309" s="16"/>
      <c r="DB309" s="16"/>
      <c r="DC309" s="16"/>
      <c r="DD309" s="16"/>
      <c r="DE309" s="16"/>
      <c r="DF309" s="16">
        <f>IFERROR(__xludf.DUMMYFUNCTION("""COMPUTED_VALUE"""),10.0)</f>
        <v>10</v>
      </c>
      <c r="DG309" s="16"/>
      <c r="DH309" s="16">
        <f>IFERROR(__xludf.DUMMYFUNCTION("""COMPUTED_VALUE"""),10.0)</f>
        <v>10</v>
      </c>
      <c r="DI309" s="16"/>
      <c r="DJ309" s="16"/>
      <c r="DK309" s="16"/>
      <c r="DL309" s="16"/>
      <c r="DM309" s="16"/>
      <c r="DN309" s="16">
        <f>IFERROR(__xludf.DUMMYFUNCTION("""COMPUTED_VALUE"""),-1.0)</f>
        <v>-1</v>
      </c>
      <c r="DO309" s="16"/>
      <c r="DP309" s="16">
        <f>IFERROR(__xludf.DUMMYFUNCTION("""COMPUTED_VALUE"""),-1.0)</f>
        <v>-1</v>
      </c>
      <c r="DQ309" s="16"/>
      <c r="DR309" s="16"/>
      <c r="DS309" s="16"/>
      <c r="DT309" s="16"/>
      <c r="DU309" s="16"/>
      <c r="DV309" s="16">
        <f>IFERROR(__xludf.DUMMYFUNCTION("""COMPUTED_VALUE"""),0.0)</f>
        <v>0</v>
      </c>
      <c r="DW309" s="16"/>
      <c r="DX309" s="16">
        <f>IFERROR(__xludf.DUMMYFUNCTION("""COMPUTED_VALUE"""),0.0)</f>
        <v>0</v>
      </c>
      <c r="DY309" s="16"/>
      <c r="DZ309" s="16"/>
      <c r="EA309" s="16"/>
      <c r="EB309" s="16"/>
      <c r="EC309" s="16"/>
      <c r="ED309" s="16">
        <f>IFERROR(__xludf.DUMMYFUNCTION("""COMPUTED_VALUE"""),-1.0)</f>
        <v>-1</v>
      </c>
      <c r="EE309" s="16"/>
      <c r="EF309" s="16">
        <f>IFERROR(__xludf.DUMMYFUNCTION("""COMPUTED_VALUE"""),-1.0)</f>
        <v>-1</v>
      </c>
      <c r="EG309" s="179"/>
      <c r="EH309" s="179"/>
      <c r="EI309" s="179"/>
      <c r="EJ309" s="179"/>
      <c r="EK309" s="179"/>
      <c r="EL309" s="179">
        <f>IFERROR(__xludf.DUMMYFUNCTION("""COMPUTED_VALUE"""),-11.0)</f>
        <v>-11</v>
      </c>
      <c r="EM309" s="179"/>
      <c r="EN309" s="179">
        <f>IFERROR(__xludf.DUMMYFUNCTION("""COMPUTED_VALUE"""),-11.0)</f>
        <v>-11</v>
      </c>
      <c r="EO309" s="16"/>
      <c r="EP309" s="16">
        <f>IFERROR(__xludf.DUMMYFUNCTION("""COMPUTED_VALUE"""),1.0)</f>
        <v>1</v>
      </c>
      <c r="EQ309" s="16">
        <f>IFERROR(__xludf.DUMMYFUNCTION("""COMPUTED_VALUE"""),4.0)</f>
        <v>4</v>
      </c>
      <c r="ER309" s="16">
        <f>IFERROR(__xludf.DUMMYFUNCTION("""COMPUTED_VALUE"""),-2.0)</f>
        <v>-2</v>
      </c>
      <c r="ES309" s="16"/>
      <c r="ET309" s="16"/>
      <c r="EU309" s="16"/>
      <c r="EV309" s="16"/>
      <c r="EW309" s="16"/>
      <c r="EX309" s="180"/>
      <c r="EY309" s="180"/>
      <c r="EZ309" s="180"/>
      <c r="FA309" s="180"/>
      <c r="FB309" s="180"/>
      <c r="FC309" s="180">
        <f>IFERROR(__xludf.DUMMYFUNCTION("""COMPUTED_VALUE"""),0.55)</f>
        <v>0.55</v>
      </c>
      <c r="FD309" s="180"/>
      <c r="FE309" s="180">
        <f>IFERROR(__xludf.DUMMYFUNCTION("""COMPUTED_VALUE"""),0.55)</f>
        <v>0.55</v>
      </c>
      <c r="FF309" s="180"/>
      <c r="FG309" s="180"/>
      <c r="FH309" s="180"/>
      <c r="FI309" s="180"/>
      <c r="FJ309" s="180"/>
      <c r="FK309" s="180">
        <f>IFERROR(__xludf.DUMMYFUNCTION("""COMPUTED_VALUE"""),0.181)</f>
        <v>0.181</v>
      </c>
      <c r="FL309" s="180"/>
      <c r="FM309" s="180">
        <f>IFERROR(__xludf.DUMMYFUNCTION("""COMPUTED_VALUE"""),0.181)</f>
        <v>0.181</v>
      </c>
      <c r="FN309" s="16"/>
      <c r="FO309" s="16"/>
      <c r="FP309" s="16"/>
      <c r="FQ309" s="16"/>
      <c r="FR309" s="16"/>
      <c r="FS309" s="16">
        <f>IFERROR(__xludf.DUMMYFUNCTION("""COMPUTED_VALUE"""),0.36854999999999993)</f>
        <v>0.36855</v>
      </c>
      <c r="FT309" s="16"/>
      <c r="FU309" s="16">
        <f>IFERROR(__xludf.DUMMYFUNCTION("""COMPUTED_VALUE"""),0.36854999999999993)</f>
        <v>0.36855</v>
      </c>
      <c r="FV309" s="16"/>
      <c r="FW309" s="16"/>
      <c r="FX309" s="16"/>
      <c r="FY309" s="16"/>
      <c r="FZ309" s="16"/>
      <c r="GA309" s="16">
        <f>IFERROR(__xludf.DUMMYFUNCTION("""COMPUTED_VALUE"""),-9.0)</f>
        <v>-9</v>
      </c>
      <c r="GB309" s="16"/>
      <c r="GC309" s="16">
        <f>IFERROR(__xludf.DUMMYFUNCTION("""COMPUTED_VALUE"""),-9.0)</f>
        <v>-9</v>
      </c>
      <c r="GD309" s="16" t="s">
        <v>176</v>
      </c>
    </row>
    <row r="310">
      <c r="A310" s="16">
        <f>IFERROR(__xludf.DUMMYFUNCTION("""COMPUTED_VALUE"""),12614.0)</f>
        <v>12614</v>
      </c>
      <c r="B310" s="16" t="str">
        <f>IFERROR(__xludf.DUMMYFUNCTION("""COMPUTED_VALUE"""),"Brett Baty")</f>
        <v>Brett Baty</v>
      </c>
      <c r="C310" s="16">
        <f>IFERROR(__xludf.DUMMYFUNCTION("""COMPUTED_VALUE"""),0.31)</f>
        <v>0.31</v>
      </c>
      <c r="D310" s="16" t="str">
        <f>IFERROR(__xludf.DUMMYFUNCTION("""COMPUTED_VALUE"""),"L")</f>
        <v>L</v>
      </c>
      <c r="E310" s="16"/>
      <c r="F310" s="16"/>
      <c r="G310" s="16">
        <f>IFERROR(__xludf.DUMMYFUNCTION("""COMPUTED_VALUE"""),153.0)</f>
        <v>153</v>
      </c>
      <c r="H310" s="16">
        <f>IFERROR(__xludf.DUMMYFUNCTION("""COMPUTED_VALUE"""),16.0)</f>
        <v>16</v>
      </c>
      <c r="I310" s="16" t="str">
        <f>IFERROR(__xludf.DUMMYFUNCTION("""COMPUTED_VALUE"""),"1p30")</f>
        <v>1p30</v>
      </c>
      <c r="J310" s="16">
        <f>IFERROR(__xludf.DUMMYFUNCTION("""COMPUTED_VALUE"""),39.0)</f>
        <v>39</v>
      </c>
      <c r="K310" s="16">
        <f>IFERROR(__xludf.DUMMYFUNCTION("""COMPUTED_VALUE"""),26.0)</f>
        <v>26</v>
      </c>
      <c r="L310" s="16">
        <f>IFERROR(__xludf.DUMMYFUNCTION("""COMPUTED_VALUE"""),-1.0)</f>
        <v>-1</v>
      </c>
      <c r="M310" s="16">
        <f>IFERROR(__xludf.DUMMYFUNCTION("""COMPUTED_VALUE"""),0.0)</f>
        <v>0</v>
      </c>
      <c r="N310" s="16">
        <f>IFERROR(__xludf.DUMMYFUNCTION("""COMPUTED_VALUE"""),-1.0)</f>
        <v>-1</v>
      </c>
      <c r="O310" s="16">
        <f>IFERROR(__xludf.DUMMYFUNCTION("""COMPUTED_VALUE"""),0.0)</f>
        <v>0</v>
      </c>
      <c r="P310" s="16">
        <f>IFERROR(__xludf.DUMMYFUNCTION("""COMPUTED_VALUE"""),5.0)</f>
        <v>5</v>
      </c>
      <c r="Q310" s="16">
        <f>IFERROR(__xludf.DUMMYFUNCTION("""COMPUTED_VALUE"""),11.0)</f>
        <v>11</v>
      </c>
      <c r="R310" s="16">
        <f>IFERROR(__xludf.DUMMYFUNCTION("""COMPUTED_VALUE"""),-1.0)</f>
        <v>-1</v>
      </c>
      <c r="S310" s="16">
        <f>IFERROR(__xludf.DUMMYFUNCTION("""COMPUTED_VALUE"""),1.0)</f>
        <v>1</v>
      </c>
      <c r="T310" s="16">
        <f>IFERROR(__xludf.DUMMYFUNCTION("""COMPUTED_VALUE"""),-1.0)</f>
        <v>-1</v>
      </c>
      <c r="U310" s="16">
        <f>IFERROR(__xludf.DUMMYFUNCTION("""COMPUTED_VALUE"""),1.0)</f>
        <v>1</v>
      </c>
      <c r="V310" s="16">
        <f>IFERROR(__xludf.DUMMYFUNCTION("""COMPUTED_VALUE"""),9.6)</f>
        <v>9.6</v>
      </c>
      <c r="W310" s="16">
        <f>IFERROR(__xludf.DUMMYFUNCTION("""COMPUTED_VALUE"""),21.1)</f>
        <v>21.1</v>
      </c>
      <c r="X310" s="16">
        <f>IFERROR(__xludf.DUMMYFUNCTION("""COMPUTED_VALUE"""),-1.0)</f>
        <v>-1</v>
      </c>
      <c r="Y310" s="16">
        <f>IFERROR(__xludf.DUMMYFUNCTION("""COMPUTED_VALUE"""),0.0)</f>
        <v>0</v>
      </c>
      <c r="Z310" s="16">
        <f>IFERROR(__xludf.DUMMYFUNCTION("""COMPUTED_VALUE"""),-2.0)</f>
        <v>-2</v>
      </c>
      <c r="AA310" s="16">
        <f>IFERROR(__xludf.DUMMYFUNCTION("""COMPUTED_VALUE"""),0.0)</f>
        <v>0</v>
      </c>
      <c r="AB310" s="16">
        <f>IFERROR(__xludf.DUMMYFUNCTION("""COMPUTED_VALUE"""),15.6)</f>
        <v>15.6</v>
      </c>
      <c r="AC310" s="16">
        <f>IFERROR(__xludf.DUMMYFUNCTION("""COMPUTED_VALUE"""),33.1)</f>
        <v>33.1</v>
      </c>
      <c r="AD310" s="16">
        <f>IFERROR(__xludf.DUMMYFUNCTION("""COMPUTED_VALUE"""),-2.0)</f>
        <v>-2</v>
      </c>
      <c r="AE310" s="16">
        <f>IFERROR(__xludf.DUMMYFUNCTION("""COMPUTED_VALUE"""),0.0)</f>
        <v>0</v>
      </c>
      <c r="AF310" s="16">
        <f>IFERROR(__xludf.DUMMYFUNCTION("""COMPUTED_VALUE"""),-10.0)</f>
        <v>-10</v>
      </c>
      <c r="AG310" s="16">
        <f>IFERROR(__xludf.DUMMYFUNCTION("""COMPUTED_VALUE"""),0.0)</f>
        <v>0</v>
      </c>
      <c r="AH310" s="16">
        <f>IFERROR(__xludf.DUMMYFUNCTION("""COMPUTED_VALUE"""),16.7)</f>
        <v>16.7</v>
      </c>
      <c r="AI310" s="16">
        <f>IFERROR(__xludf.DUMMYFUNCTION("""COMPUTED_VALUE"""),24.0)</f>
        <v>24</v>
      </c>
      <c r="AJ310" s="16">
        <f>IFERROR(__xludf.DUMMYFUNCTION("""COMPUTED_VALUE"""),-1.0)</f>
        <v>-1</v>
      </c>
      <c r="AK310" s="16">
        <f>IFERROR(__xludf.DUMMYFUNCTION("""COMPUTED_VALUE"""),-1.0)</f>
        <v>-1</v>
      </c>
      <c r="AL310" s="16">
        <f>IFERROR(__xludf.DUMMYFUNCTION("""COMPUTED_VALUE"""),-5.0)</f>
        <v>-5</v>
      </c>
      <c r="AM310" s="16">
        <f>IFERROR(__xludf.DUMMYFUNCTION("""COMPUTED_VALUE"""),-5.0)</f>
        <v>-5</v>
      </c>
      <c r="AN310" s="16">
        <f>IFERROR(__xludf.DUMMYFUNCTION("""COMPUTED_VALUE"""),2.3)</f>
        <v>2.3</v>
      </c>
      <c r="AO310" s="16">
        <f>IFERROR(__xludf.DUMMYFUNCTION("""COMPUTED_VALUE"""),0.9)</f>
        <v>0.9</v>
      </c>
      <c r="AP310" s="16">
        <f>IFERROR(__xludf.DUMMYFUNCTION("""COMPUTED_VALUE"""),0.0)</f>
        <v>0</v>
      </c>
      <c r="AQ310" s="16">
        <f>IFERROR(__xludf.DUMMYFUNCTION("""COMPUTED_VALUE"""),-2.0)</f>
        <v>-2</v>
      </c>
      <c r="AR310" s="16">
        <f>IFERROR(__xludf.DUMMYFUNCTION("""COMPUTED_VALUE"""),0.0)</f>
        <v>0</v>
      </c>
      <c r="AS310" s="16">
        <f>IFERROR(__xludf.DUMMYFUNCTION("""COMPUTED_VALUE"""),-4.0)</f>
        <v>-4</v>
      </c>
      <c r="AT310" s="16">
        <f>IFERROR(__xludf.DUMMYFUNCTION("""COMPUTED_VALUE"""),3.0)</f>
        <v>3</v>
      </c>
      <c r="AU310" s="16">
        <f>IFERROR(__xludf.DUMMYFUNCTION("""COMPUTED_VALUE"""),1.0)</f>
        <v>1</v>
      </c>
      <c r="AV310" s="16">
        <f>IFERROR(__xludf.DUMMYFUNCTION("""COMPUTED_VALUE"""),3.0)</f>
        <v>3</v>
      </c>
      <c r="AW310" s="16">
        <f>IFERROR(__xludf.DUMMYFUNCTION("""COMPUTED_VALUE"""),1.0)</f>
        <v>1</v>
      </c>
      <c r="AX310" s="16">
        <f>IFERROR(__xludf.DUMMYFUNCTION("""COMPUTED_VALUE"""),1.0)</f>
        <v>1</v>
      </c>
      <c r="AY310" s="16">
        <f>IFERROR(__xludf.DUMMYFUNCTION("""COMPUTED_VALUE"""),-1.0)</f>
        <v>-1</v>
      </c>
      <c r="AZ310" s="16">
        <f>IFERROR(__xludf.DUMMYFUNCTION("""COMPUTED_VALUE"""),3.0)</f>
        <v>3</v>
      </c>
      <c r="BA310" s="16">
        <f>IFERROR(__xludf.DUMMYFUNCTION("""COMPUTED_VALUE"""),-3.0)</f>
        <v>-3</v>
      </c>
      <c r="BB310" s="16">
        <f>IFERROR(__xludf.DUMMYFUNCTION("""COMPUTED_VALUE"""),5.0)</f>
        <v>5</v>
      </c>
      <c r="BC310" s="16">
        <f>IFERROR(__xludf.DUMMYFUNCTION("""COMPUTED_VALUE"""),5.0)</f>
        <v>5</v>
      </c>
      <c r="BD310" s="16">
        <f>IFERROR(__xludf.DUMMYFUNCTION("""COMPUTED_VALUE"""),1.0)</f>
        <v>1</v>
      </c>
      <c r="BE310" s="16">
        <f>IFERROR(__xludf.DUMMYFUNCTION("""COMPUTED_VALUE"""),1.0)</f>
        <v>1</v>
      </c>
      <c r="BF310" s="16">
        <f>IFERROR(__xludf.DUMMYFUNCTION("""COMPUTED_VALUE"""),1.0)</f>
        <v>1</v>
      </c>
      <c r="BG310" s="16">
        <f>IFERROR(__xludf.DUMMYFUNCTION("""COMPUTED_VALUE"""),1.0)</f>
        <v>1</v>
      </c>
      <c r="BH310" s="16">
        <f>IFERROR(__xludf.DUMMYFUNCTION("""COMPUTED_VALUE"""),-5.0)</f>
        <v>-5</v>
      </c>
      <c r="BI310" s="16">
        <f>IFERROR(__xludf.DUMMYFUNCTION("""COMPUTED_VALUE"""),-10.0)</f>
        <v>-10</v>
      </c>
      <c r="BJ310" s="16">
        <f>IFERROR(__xludf.DUMMYFUNCTION("""COMPUTED_VALUE"""),15.0)</f>
        <v>15</v>
      </c>
      <c r="BK310" s="16">
        <f>IFERROR(__xludf.DUMMYFUNCTION("""COMPUTED_VALUE"""),14.0)</f>
        <v>14</v>
      </c>
      <c r="BL310" s="16">
        <f>IFERROR(__xludf.DUMMYFUNCTION("""COMPUTED_VALUE"""),-1.0)</f>
        <v>-1</v>
      </c>
      <c r="BM310" s="16">
        <f>IFERROR(__xludf.DUMMYFUNCTION("""COMPUTED_VALUE"""),0.0)</f>
        <v>0</v>
      </c>
      <c r="BN310" s="16">
        <f>IFERROR(__xludf.DUMMYFUNCTION("""COMPUTED_VALUE"""),-2.0)</f>
        <v>-2</v>
      </c>
      <c r="BO310" s="16">
        <f>IFERROR(__xludf.DUMMYFUNCTION("""COMPUTED_VALUE"""),0.0)</f>
        <v>0</v>
      </c>
      <c r="BP310" s="16">
        <f>IFERROR(__xludf.DUMMYFUNCTION("""COMPUTED_VALUE"""),-5.0)</f>
        <v>-5</v>
      </c>
      <c r="BQ310" s="16">
        <f>IFERROR(__xludf.DUMMYFUNCTION("""COMPUTED_VALUE"""),-2.0)</f>
        <v>-2</v>
      </c>
      <c r="BR310" s="16">
        <f>IFERROR(__xludf.DUMMYFUNCTION("""COMPUTED_VALUE"""),-7.0)</f>
        <v>-7</v>
      </c>
      <c r="BS310" s="16" t="str">
        <f>IFERROR(__xludf.DUMMYFUNCTION("""COMPUTED_VALUE"""),"-/- (---)")</f>
        <v>-/- (---)</v>
      </c>
      <c r="BT310" s="16" t="str">
        <f>IFERROR(__xludf.DUMMYFUNCTION("""COMPUTED_VALUE"""),"E")</f>
        <v>E</v>
      </c>
      <c r="BU310" s="16">
        <f>IFERROR(__xludf.DUMMYFUNCTION("""COMPUTED_VALUE"""),11.0)</f>
        <v>11</v>
      </c>
      <c r="BV310" s="16">
        <f>IFERROR(__xludf.DUMMYFUNCTION("""COMPUTED_VALUE"""),0.0)</f>
        <v>0</v>
      </c>
      <c r="BW310" s="16">
        <f>IFERROR(__xludf.DUMMYFUNCTION("""COMPUTED_VALUE"""),0.0)</f>
        <v>0</v>
      </c>
      <c r="BX310" s="16">
        <f>IFERROR(__xludf.DUMMYFUNCTION("""COMPUTED_VALUE"""),0.0)</f>
        <v>0</v>
      </c>
      <c r="BY310" s="16">
        <f>IFERROR(__xludf.DUMMYFUNCTION("""COMPUTED_VALUE"""),0.0)</f>
        <v>0</v>
      </c>
      <c r="BZ310" s="16" t="str">
        <f>IFERROR(__xludf.DUMMYFUNCTION("""COMPUTED_VALUE"""),"D")</f>
        <v>D</v>
      </c>
      <c r="CA310" s="16" t="str">
        <f>IFERROR(__xludf.DUMMYFUNCTION("""COMPUTED_VALUE"""),"D")</f>
        <v>D</v>
      </c>
      <c r="CB310" s="16">
        <f>IFERROR(__xludf.DUMMYFUNCTION("""COMPUTED_VALUE"""),0.0)</f>
        <v>0</v>
      </c>
      <c r="CC310" s="16">
        <f>IFERROR(__xludf.DUMMYFUNCTION("""COMPUTED_VALUE"""),0.0)</f>
        <v>0</v>
      </c>
      <c r="CD310" s="16">
        <f>IFERROR(__xludf.DUMMYFUNCTION("""COMPUTED_VALUE"""),0.0)</f>
        <v>0</v>
      </c>
      <c r="CE310" s="16">
        <f>IFERROR(__xludf.DUMMYFUNCTION("""COMPUTED_VALUE"""),0.0)</f>
        <v>0</v>
      </c>
      <c r="CF310" s="16">
        <f>IFERROR(__xludf.DUMMYFUNCTION("""COMPUTED_VALUE"""),1.0)</f>
        <v>1</v>
      </c>
      <c r="CG310" s="16">
        <f>IFERROR(__xludf.DUMMYFUNCTION("""COMPUTED_VALUE"""),-17.0)</f>
        <v>-17</v>
      </c>
      <c r="CH310" s="16">
        <f>IFERROR(__xludf.DUMMYFUNCTION("""COMPUTED_VALUE"""),-10.0)</f>
        <v>-10</v>
      </c>
      <c r="CI310" s="179">
        <f>IFERROR(__xludf.DUMMYFUNCTION("""COMPUTED_VALUE"""),-10.0)</f>
        <v>-10</v>
      </c>
      <c r="CJ310" s="16"/>
      <c r="CK310" s="16"/>
      <c r="CL310" s="16"/>
      <c r="CM310" s="16">
        <f>IFERROR(__xludf.DUMMYFUNCTION("""COMPUTED_VALUE"""),408.0)</f>
        <v>408</v>
      </c>
      <c r="CN310" s="16"/>
      <c r="CO310" s="16"/>
      <c r="CP310" s="16"/>
      <c r="CQ310" s="16"/>
      <c r="CR310" s="16" t="str">
        <f>IFERROR(__xludf.DUMMYFUNCTION("""COMPUTED_VALUE"""),"3b-4e8")</f>
        <v>3b-4e8</v>
      </c>
      <c r="CS310" s="16"/>
      <c r="CT310" s="16"/>
      <c r="CU310" s="16"/>
      <c r="CV310" s="16">
        <f>IFERROR(__xludf.DUMMYFUNCTION("""COMPUTED_VALUE"""),4.0)</f>
        <v>4</v>
      </c>
      <c r="CW310" s="16"/>
      <c r="CX310" s="16"/>
      <c r="CY310" s="16"/>
      <c r="CZ310" s="16"/>
      <c r="DA310" s="16"/>
      <c r="DB310" s="16"/>
      <c r="DC310" s="16"/>
      <c r="DD310" s="16">
        <f>IFERROR(__xludf.DUMMYFUNCTION("""COMPUTED_VALUE"""),8.0)</f>
        <v>8</v>
      </c>
      <c r="DE310" s="16"/>
      <c r="DF310" s="16"/>
      <c r="DG310" s="16"/>
      <c r="DH310" s="16"/>
      <c r="DI310" s="16"/>
      <c r="DJ310" s="16"/>
      <c r="DK310" s="16"/>
      <c r="DL310" s="16">
        <f>IFERROR(__xludf.DUMMYFUNCTION("""COMPUTED_VALUE"""),0.0)</f>
        <v>0</v>
      </c>
      <c r="DM310" s="16"/>
      <c r="DN310" s="16"/>
      <c r="DO310" s="16"/>
      <c r="DP310" s="16"/>
      <c r="DQ310" s="16"/>
      <c r="DR310" s="16"/>
      <c r="DS310" s="16"/>
      <c r="DT310" s="16">
        <f>IFERROR(__xludf.DUMMYFUNCTION("""COMPUTED_VALUE"""),2.0)</f>
        <v>2</v>
      </c>
      <c r="DU310" s="16"/>
      <c r="DV310" s="16"/>
      <c r="DW310" s="16"/>
      <c r="DX310" s="16"/>
      <c r="DY310" s="16"/>
      <c r="DZ310" s="16"/>
      <c r="EA310" s="16"/>
      <c r="EB310" s="16">
        <f>IFERROR(__xludf.DUMMYFUNCTION("""COMPUTED_VALUE"""),2.0)</f>
        <v>2</v>
      </c>
      <c r="EC310" s="16"/>
      <c r="ED310" s="16"/>
      <c r="EE310" s="16"/>
      <c r="EF310" s="16"/>
      <c r="EG310" s="179"/>
      <c r="EH310" s="179"/>
      <c r="EI310" s="179"/>
      <c r="EJ310" s="179">
        <f>IFERROR(__xludf.DUMMYFUNCTION("""COMPUTED_VALUE"""),-8.0)</f>
        <v>-8</v>
      </c>
      <c r="EK310" s="179"/>
      <c r="EL310" s="179"/>
      <c r="EM310" s="179"/>
      <c r="EN310" s="179"/>
      <c r="EO310" s="16"/>
      <c r="EP310" s="16">
        <f>IFERROR(__xludf.DUMMYFUNCTION("""COMPUTED_VALUE"""),2.0)</f>
        <v>2</v>
      </c>
      <c r="EQ310" s="16">
        <f>IFERROR(__xludf.DUMMYFUNCTION("""COMPUTED_VALUE"""),4.0)</f>
        <v>4</v>
      </c>
      <c r="ER310" s="16">
        <f>IFERROR(__xludf.DUMMYFUNCTION("""COMPUTED_VALUE"""),-2.0)</f>
        <v>-2</v>
      </c>
      <c r="ES310" s="16"/>
      <c r="ET310" s="16"/>
      <c r="EU310" s="16"/>
      <c r="EV310" s="16"/>
      <c r="EW310" s="16"/>
      <c r="EX310" s="180"/>
      <c r="EY310" s="180"/>
      <c r="EZ310" s="180"/>
      <c r="FA310" s="180">
        <f>IFERROR(__xludf.DUMMYFUNCTION("""COMPUTED_VALUE"""),0.3)</f>
        <v>0.3</v>
      </c>
      <c r="FB310" s="180"/>
      <c r="FC310" s="180"/>
      <c r="FD310" s="180"/>
      <c r="FE310" s="180"/>
      <c r="FF310" s="180"/>
      <c r="FG310" s="180"/>
      <c r="FH310" s="180"/>
      <c r="FI310" s="180">
        <f>IFERROR(__xludf.DUMMYFUNCTION("""COMPUTED_VALUE"""),0.09722222222222222)</f>
        <v>0.09722222222</v>
      </c>
      <c r="FJ310" s="180"/>
      <c r="FK310" s="180"/>
      <c r="FL310" s="180"/>
      <c r="FM310" s="180"/>
      <c r="FN310" s="16"/>
      <c r="FO310" s="16"/>
      <c r="FP310" s="16"/>
      <c r="FQ310" s="16">
        <f>IFERROR(__xludf.DUMMYFUNCTION("""COMPUTED_VALUE"""),0.6319444444444444)</f>
        <v>0.6319444444</v>
      </c>
      <c r="FR310" s="16"/>
      <c r="FS310" s="16"/>
      <c r="FT310" s="16"/>
      <c r="FU310" s="16"/>
      <c r="FV310" s="16"/>
      <c r="FW310" s="16"/>
      <c r="FX310" s="16"/>
      <c r="FY310" s="16">
        <f>IFERROR(__xludf.DUMMYFUNCTION("""COMPUTED_VALUE"""),-6.0)</f>
        <v>-6</v>
      </c>
      <c r="FZ310" s="16"/>
      <c r="GA310" s="16"/>
      <c r="GB310" s="16"/>
      <c r="GC310" s="16"/>
      <c r="GD310" s="16" t="s">
        <v>176</v>
      </c>
    </row>
    <row r="311">
      <c r="A311" s="16">
        <f>IFERROR(__xludf.DUMMYFUNCTION("""COMPUTED_VALUE"""),13099.0)</f>
        <v>13099</v>
      </c>
      <c r="B311" s="16" t="str">
        <f>IFERROR(__xludf.DUMMYFUNCTION("""COMPUTED_VALUE"""),"Kyle McCann")</f>
        <v>Kyle McCann</v>
      </c>
      <c r="C311" s="16">
        <f>IFERROR(__xludf.DUMMYFUNCTION("""COMPUTED_VALUE"""),0.37)</f>
        <v>0.37</v>
      </c>
      <c r="D311" s="16" t="str">
        <f>IFERROR(__xludf.DUMMYFUNCTION("""COMPUTED_VALUE"""),"L")</f>
        <v>L</v>
      </c>
      <c r="E311" s="16"/>
      <c r="F311" s="16"/>
      <c r="G311" s="16">
        <f>IFERROR(__xludf.DUMMYFUNCTION("""COMPUTED_VALUE"""),140.0)</f>
        <v>140</v>
      </c>
      <c r="H311" s="16">
        <f>IFERROR(__xludf.DUMMYFUNCTION("""COMPUTED_VALUE"""),16.0)</f>
        <v>16</v>
      </c>
      <c r="I311" s="16" t="str">
        <f>IFERROR(__xludf.DUMMYFUNCTION("""COMPUTED_VALUE"""),"2p30")</f>
        <v>2p30</v>
      </c>
      <c r="J311" s="16">
        <f>IFERROR(__xludf.DUMMYFUNCTION("""COMPUTED_VALUE"""),52.0)</f>
        <v>52</v>
      </c>
      <c r="K311" s="16">
        <f>IFERROR(__xludf.DUMMYFUNCTION("""COMPUTED_VALUE"""),56.0)</f>
        <v>56</v>
      </c>
      <c r="L311" s="16">
        <f>IFERROR(__xludf.DUMMYFUNCTION("""COMPUTED_VALUE"""),-2.0)</f>
        <v>-2</v>
      </c>
      <c r="M311" s="16">
        <f>IFERROR(__xludf.DUMMYFUNCTION("""COMPUTED_VALUE"""),-3.0)</f>
        <v>-3</v>
      </c>
      <c r="N311" s="16">
        <f>IFERROR(__xludf.DUMMYFUNCTION("""COMPUTED_VALUE"""),-2.0)</f>
        <v>-2</v>
      </c>
      <c r="O311" s="16">
        <f>IFERROR(__xludf.DUMMYFUNCTION("""COMPUTED_VALUE"""),-3.0)</f>
        <v>-3</v>
      </c>
      <c r="P311" s="16">
        <f>IFERROR(__xludf.DUMMYFUNCTION("""COMPUTED_VALUE"""),7.0)</f>
        <v>7</v>
      </c>
      <c r="Q311" s="16">
        <f>IFERROR(__xludf.DUMMYFUNCTION("""COMPUTED_VALUE"""),11.0)</f>
        <v>11</v>
      </c>
      <c r="R311" s="16">
        <f>IFERROR(__xludf.DUMMYFUNCTION("""COMPUTED_VALUE"""),-1.0)</f>
        <v>-1</v>
      </c>
      <c r="S311" s="16">
        <f>IFERROR(__xludf.DUMMYFUNCTION("""COMPUTED_VALUE"""),1.0)</f>
        <v>1</v>
      </c>
      <c r="T311" s="16">
        <f>IFERROR(__xludf.DUMMYFUNCTION("""COMPUTED_VALUE"""),-1.0)</f>
        <v>-1</v>
      </c>
      <c r="U311" s="16">
        <f>IFERROR(__xludf.DUMMYFUNCTION("""COMPUTED_VALUE"""),1.0)</f>
        <v>1</v>
      </c>
      <c r="V311" s="16">
        <f>IFERROR(__xludf.DUMMYFUNCTION("""COMPUTED_VALUE"""),0.0)</f>
        <v>0</v>
      </c>
      <c r="W311" s="16">
        <f>IFERROR(__xludf.DUMMYFUNCTION("""COMPUTED_VALUE"""),20.0)</f>
        <v>20</v>
      </c>
      <c r="X311" s="16">
        <f>IFERROR(__xludf.DUMMYFUNCTION("""COMPUTED_VALUE"""),-2.0)</f>
        <v>-2</v>
      </c>
      <c r="Y311" s="16">
        <f>IFERROR(__xludf.DUMMYFUNCTION("""COMPUTED_VALUE"""),0.0)</f>
        <v>0</v>
      </c>
      <c r="Z311" s="16">
        <f>IFERROR(__xludf.DUMMYFUNCTION("""COMPUTED_VALUE"""),-4.0)</f>
        <v>-4</v>
      </c>
      <c r="AA311" s="16">
        <f>IFERROR(__xludf.DUMMYFUNCTION("""COMPUTED_VALUE"""),0.0)</f>
        <v>0</v>
      </c>
      <c r="AB311" s="16">
        <f>IFERROR(__xludf.DUMMYFUNCTION("""COMPUTED_VALUE"""),9.0)</f>
        <v>9</v>
      </c>
      <c r="AC311" s="16">
        <f>IFERROR(__xludf.DUMMYFUNCTION("""COMPUTED_VALUE"""),33.0)</f>
        <v>33</v>
      </c>
      <c r="AD311" s="16">
        <f>IFERROR(__xludf.DUMMYFUNCTION("""COMPUTED_VALUE"""),-2.0)</f>
        <v>-2</v>
      </c>
      <c r="AE311" s="16">
        <f>IFERROR(__xludf.DUMMYFUNCTION("""COMPUTED_VALUE"""),0.0)</f>
        <v>0</v>
      </c>
      <c r="AF311" s="16">
        <f>IFERROR(__xludf.DUMMYFUNCTION("""COMPUTED_VALUE"""),-10.0)</f>
        <v>-10</v>
      </c>
      <c r="AG311" s="16">
        <f>IFERROR(__xludf.DUMMYFUNCTION("""COMPUTED_VALUE"""),0.0)</f>
        <v>0</v>
      </c>
      <c r="AH311" s="16">
        <f>IFERROR(__xludf.DUMMYFUNCTION("""COMPUTED_VALUE"""),0.0)</f>
        <v>0</v>
      </c>
      <c r="AI311" s="16">
        <f>IFERROR(__xludf.DUMMYFUNCTION("""COMPUTED_VALUE"""),27.6)</f>
        <v>27.6</v>
      </c>
      <c r="AJ311" s="16">
        <f>IFERROR(__xludf.DUMMYFUNCTION("""COMPUTED_VALUE"""),-2.0)</f>
        <v>-2</v>
      </c>
      <c r="AK311" s="16">
        <f>IFERROR(__xludf.DUMMYFUNCTION("""COMPUTED_VALUE"""),-1.0)</f>
        <v>-1</v>
      </c>
      <c r="AL311" s="16">
        <f>IFERROR(__xludf.DUMMYFUNCTION("""COMPUTED_VALUE"""),-10.0)</f>
        <v>-10</v>
      </c>
      <c r="AM311" s="16">
        <f>IFERROR(__xludf.DUMMYFUNCTION("""COMPUTED_VALUE"""),-5.0)</f>
        <v>-5</v>
      </c>
      <c r="AN311" s="16">
        <f>IFERROR(__xludf.DUMMYFUNCTION("""COMPUTED_VALUE"""),0.0)</f>
        <v>0</v>
      </c>
      <c r="AO311" s="16">
        <f>IFERROR(__xludf.DUMMYFUNCTION("""COMPUTED_VALUE"""),2.3)</f>
        <v>2.3</v>
      </c>
      <c r="AP311" s="16">
        <f>IFERROR(__xludf.DUMMYFUNCTION("""COMPUTED_VALUE"""),-2.0)</f>
        <v>-2</v>
      </c>
      <c r="AQ311" s="16">
        <f>IFERROR(__xludf.DUMMYFUNCTION("""COMPUTED_VALUE"""),0.0)</f>
        <v>0</v>
      </c>
      <c r="AR311" s="16">
        <f>IFERROR(__xludf.DUMMYFUNCTION("""COMPUTED_VALUE"""),-4.0)</f>
        <v>-4</v>
      </c>
      <c r="AS311" s="16">
        <f>IFERROR(__xludf.DUMMYFUNCTION("""COMPUTED_VALUE"""),0.0)</f>
        <v>0</v>
      </c>
      <c r="AT311" s="16"/>
      <c r="AU311" s="16">
        <f>IFERROR(__xludf.DUMMYFUNCTION("""COMPUTED_VALUE"""),5.0)</f>
        <v>5</v>
      </c>
      <c r="AV311" s="16">
        <f>IFERROR(__xludf.DUMMYFUNCTION("""COMPUTED_VALUE"""),-3.0)</f>
        <v>-3</v>
      </c>
      <c r="AW311" s="16">
        <f>IFERROR(__xludf.DUMMYFUNCTION("""COMPUTED_VALUE"""),5.0)</f>
        <v>5</v>
      </c>
      <c r="AX311" s="16">
        <f>IFERROR(__xludf.DUMMYFUNCTION("""COMPUTED_VALUE"""),-3.0)</f>
        <v>-3</v>
      </c>
      <c r="AY311" s="16">
        <f>IFERROR(__xludf.DUMMYFUNCTION("""COMPUTED_VALUE"""),2.0)</f>
        <v>2</v>
      </c>
      <c r="AZ311" s="16">
        <f>IFERROR(__xludf.DUMMYFUNCTION("""COMPUTED_VALUE"""),-9.0)</f>
        <v>-9</v>
      </c>
      <c r="BA311" s="16">
        <f>IFERROR(__xludf.DUMMYFUNCTION("""COMPUTED_VALUE"""),6.0)</f>
        <v>6</v>
      </c>
      <c r="BB311" s="16">
        <f>IFERROR(__xludf.DUMMYFUNCTION("""COMPUTED_VALUE"""),0.0)</f>
        <v>0</v>
      </c>
      <c r="BC311" s="16">
        <f>IFERROR(__xludf.DUMMYFUNCTION("""COMPUTED_VALUE"""),5.0)</f>
        <v>5</v>
      </c>
      <c r="BD311" s="16">
        <f>IFERROR(__xludf.DUMMYFUNCTION("""COMPUTED_VALUE"""),0.0)</f>
        <v>0</v>
      </c>
      <c r="BE311" s="16">
        <f>IFERROR(__xludf.DUMMYFUNCTION("""COMPUTED_VALUE"""),1.0)</f>
        <v>1</v>
      </c>
      <c r="BF311" s="16">
        <f>IFERROR(__xludf.DUMMYFUNCTION("""COMPUTED_VALUE"""),0.0)</f>
        <v>0</v>
      </c>
      <c r="BG311" s="16">
        <f>IFERROR(__xludf.DUMMYFUNCTION("""COMPUTED_VALUE"""),1.0)</f>
        <v>1</v>
      </c>
      <c r="BH311" s="16">
        <f>IFERROR(__xludf.DUMMYFUNCTION("""COMPUTED_VALUE"""),0.0)</f>
        <v>0</v>
      </c>
      <c r="BI311" s="16">
        <f>IFERROR(__xludf.DUMMYFUNCTION("""COMPUTED_VALUE"""),-8.0)</f>
        <v>-8</v>
      </c>
      <c r="BJ311" s="16">
        <f>IFERROR(__xludf.DUMMYFUNCTION("""COMPUTED_VALUE"""),9.0)</f>
        <v>9</v>
      </c>
      <c r="BK311" s="16">
        <f>IFERROR(__xludf.DUMMYFUNCTION("""COMPUTED_VALUE"""),6.0)</f>
        <v>6</v>
      </c>
      <c r="BL311" s="16">
        <f>IFERROR(__xludf.DUMMYFUNCTION("""COMPUTED_VALUE"""),0.0)</f>
        <v>0</v>
      </c>
      <c r="BM311" s="16">
        <f>IFERROR(__xludf.DUMMYFUNCTION("""COMPUTED_VALUE"""),1.0)</f>
        <v>1</v>
      </c>
      <c r="BN311" s="16">
        <f>IFERROR(__xludf.DUMMYFUNCTION("""COMPUTED_VALUE"""),0.0)</f>
        <v>0</v>
      </c>
      <c r="BO311" s="16">
        <f>IFERROR(__xludf.DUMMYFUNCTION("""COMPUTED_VALUE"""),1.0)</f>
        <v>1</v>
      </c>
      <c r="BP311" s="16">
        <f>IFERROR(__xludf.DUMMYFUNCTION("""COMPUTED_VALUE"""),-14.0)</f>
        <v>-14</v>
      </c>
      <c r="BQ311" s="16">
        <f>IFERROR(__xludf.DUMMYFUNCTION("""COMPUTED_VALUE"""),1.0)</f>
        <v>1</v>
      </c>
      <c r="BR311" s="16">
        <f>IFERROR(__xludf.DUMMYFUNCTION("""COMPUTED_VALUE"""),-13.0)</f>
        <v>-13</v>
      </c>
      <c r="BS311" s="16" t="str">
        <f>IFERROR(__xludf.DUMMYFUNCTION("""COMPUTED_VALUE"""),"-/- (---)")</f>
        <v>-/- (---)</v>
      </c>
      <c r="BT311" s="16" t="str">
        <f>IFERROR(__xludf.DUMMYFUNCTION("""COMPUTED_VALUE"""),"E")</f>
        <v>E</v>
      </c>
      <c r="BU311" s="16">
        <f>IFERROR(__xludf.DUMMYFUNCTION("""COMPUTED_VALUE"""),8.0)</f>
        <v>8</v>
      </c>
      <c r="BV311" s="16">
        <f>IFERROR(__xludf.DUMMYFUNCTION("""COMPUTED_VALUE"""),0.0)</f>
        <v>0</v>
      </c>
      <c r="BW311" s="16">
        <f>IFERROR(__xludf.DUMMYFUNCTION("""COMPUTED_VALUE"""),-1.0)</f>
        <v>-1</v>
      </c>
      <c r="BX311" s="16">
        <f>IFERROR(__xludf.DUMMYFUNCTION("""COMPUTED_VALUE"""),0.0)</f>
        <v>0</v>
      </c>
      <c r="BY311" s="16">
        <f>IFERROR(__xludf.DUMMYFUNCTION("""COMPUTED_VALUE"""),-3.0)</f>
        <v>-3</v>
      </c>
      <c r="BZ311" s="16" t="str">
        <f>IFERROR(__xludf.DUMMYFUNCTION("""COMPUTED_VALUE"""),"D")</f>
        <v>D</v>
      </c>
      <c r="CA311" s="16" t="str">
        <f>IFERROR(__xludf.DUMMYFUNCTION("""COMPUTED_VALUE"""),"D")</f>
        <v>D</v>
      </c>
      <c r="CB311" s="16">
        <f>IFERROR(__xludf.DUMMYFUNCTION("""COMPUTED_VALUE"""),0.0)</f>
        <v>0</v>
      </c>
      <c r="CC311" s="16">
        <f>IFERROR(__xludf.DUMMYFUNCTION("""COMPUTED_VALUE"""),0.0)</f>
        <v>0</v>
      </c>
      <c r="CD311" s="16">
        <f>IFERROR(__xludf.DUMMYFUNCTION("""COMPUTED_VALUE"""),0.0)</f>
        <v>0</v>
      </c>
      <c r="CE311" s="16">
        <f>IFERROR(__xludf.DUMMYFUNCTION("""COMPUTED_VALUE"""),0.0)</f>
        <v>0</v>
      </c>
      <c r="CF311" s="16">
        <f>IFERROR(__xludf.DUMMYFUNCTION("""COMPUTED_VALUE"""),2.0)</f>
        <v>2</v>
      </c>
      <c r="CG311" s="16">
        <f>IFERROR(__xludf.DUMMYFUNCTION("""COMPUTED_VALUE"""),-40.0)</f>
        <v>-40</v>
      </c>
      <c r="CH311" s="16">
        <f>IFERROR(__xludf.DUMMYFUNCTION("""COMPUTED_VALUE"""),1.0)</f>
        <v>1</v>
      </c>
      <c r="CI311" s="179">
        <f>IFERROR(__xludf.DUMMYFUNCTION("""COMPUTED_VALUE"""),-10.0)</f>
        <v>-10</v>
      </c>
      <c r="CJ311" s="16">
        <f>IFERROR(__xludf.DUMMYFUNCTION("""COMPUTED_VALUE"""),404.0)</f>
        <v>404</v>
      </c>
      <c r="CK311" s="16"/>
      <c r="CL311" s="16"/>
      <c r="CM311" s="16"/>
      <c r="CN311" s="16"/>
      <c r="CO311" s="16"/>
      <c r="CP311" s="16"/>
      <c r="CQ311" s="16"/>
      <c r="CR311" s="16" t="str">
        <f>IFERROR(__xludf.DUMMYFUNCTION("""COMPUTED_VALUE"""),"c-4(+2)e4,T-11(pb-5)")</f>
        <v>c-4(+2)e4,T-11(pb-5)</v>
      </c>
      <c r="CS311" s="16">
        <f>IFERROR(__xludf.DUMMYFUNCTION("""COMPUTED_VALUE"""),4.0)</f>
        <v>4</v>
      </c>
      <c r="CT311" s="16"/>
      <c r="CU311" s="16"/>
      <c r="CV311" s="16"/>
      <c r="CW311" s="16"/>
      <c r="CX311" s="16"/>
      <c r="CY311" s="16"/>
      <c r="CZ311" s="16"/>
      <c r="DA311" s="16">
        <f>IFERROR(__xludf.DUMMYFUNCTION("""COMPUTED_VALUE"""),4.0)</f>
        <v>4</v>
      </c>
      <c r="DB311" s="16"/>
      <c r="DC311" s="16"/>
      <c r="DD311" s="16"/>
      <c r="DE311" s="16"/>
      <c r="DF311" s="16"/>
      <c r="DG311" s="16"/>
      <c r="DH311" s="16"/>
      <c r="DI311" s="16">
        <f>IFERROR(__xludf.DUMMYFUNCTION("""COMPUTED_VALUE"""),-2.0)</f>
        <v>-2</v>
      </c>
      <c r="DJ311" s="16"/>
      <c r="DK311" s="16"/>
      <c r="DL311" s="16"/>
      <c r="DM311" s="16"/>
      <c r="DN311" s="16"/>
      <c r="DO311" s="16"/>
      <c r="DP311" s="16"/>
      <c r="DQ311" s="16">
        <f>IFERROR(__xludf.DUMMYFUNCTION("""COMPUTED_VALUE"""),3.0)</f>
        <v>3</v>
      </c>
      <c r="DR311" s="16"/>
      <c r="DS311" s="16"/>
      <c r="DT311" s="16"/>
      <c r="DU311" s="16"/>
      <c r="DV311" s="16"/>
      <c r="DW311" s="16"/>
      <c r="DX311" s="16"/>
      <c r="DY311" s="16">
        <f>IFERROR(__xludf.DUMMYFUNCTION("""COMPUTED_VALUE"""),1.0)</f>
        <v>1</v>
      </c>
      <c r="DZ311" s="16"/>
      <c r="EA311" s="16"/>
      <c r="EB311" s="16"/>
      <c r="EC311" s="16"/>
      <c r="ED311" s="16"/>
      <c r="EE311" s="16"/>
      <c r="EF311" s="16"/>
      <c r="EG311" s="179">
        <f>IFERROR(__xludf.DUMMYFUNCTION("""COMPUTED_VALUE"""),-7.0)</f>
        <v>-7</v>
      </c>
      <c r="EH311" s="179"/>
      <c r="EI311" s="179"/>
      <c r="EJ311" s="179"/>
      <c r="EK311" s="179"/>
      <c r="EL311" s="179"/>
      <c r="EM311" s="179"/>
      <c r="EN311" s="179"/>
      <c r="EO311" s="16">
        <f>IFERROR(__xludf.DUMMYFUNCTION("""COMPUTED_VALUE"""),2.0)</f>
        <v>2</v>
      </c>
      <c r="EP311" s="16"/>
      <c r="EQ311" s="16">
        <f>IFERROR(__xludf.DUMMYFUNCTION("""COMPUTED_VALUE"""),2.0)</f>
        <v>2</v>
      </c>
      <c r="ER311" s="16">
        <f>IFERROR(__xludf.DUMMYFUNCTION("""COMPUTED_VALUE"""),-2.0)</f>
        <v>-2</v>
      </c>
      <c r="ES311" s="16" t="str">
        <f>IFERROR(__xludf.DUMMYFUNCTION("""COMPUTED_VALUE"""),"c-4")</f>
        <v>c-4</v>
      </c>
      <c r="ET311" s="16" t="str">
        <f>IFERROR(__xludf.DUMMYFUNCTION("""COMPUTED_VALUE"""),"+2)e4,T-11")</f>
        <v>+2)e4,T-11</v>
      </c>
      <c r="EU311" s="16" t="str">
        <f>IFERROR(__xludf.DUMMYFUNCTION("""COMPUTED_VALUE"""),"pb-5)")</f>
        <v>pb-5)</v>
      </c>
      <c r="EV311" s="16"/>
      <c r="EW311" s="16">
        <f>IFERROR(__xludf.DUMMYFUNCTION("""COMPUTED_VALUE"""),2.0)</f>
        <v>2</v>
      </c>
      <c r="EX311" s="180">
        <f>IFERROR(__xludf.DUMMYFUNCTION("""COMPUTED_VALUE"""),0.3)</f>
        <v>0.3</v>
      </c>
      <c r="EY311" s="180"/>
      <c r="EZ311" s="180"/>
      <c r="FA311" s="180"/>
      <c r="FB311" s="180"/>
      <c r="FC311" s="180"/>
      <c r="FD311" s="180"/>
      <c r="FE311" s="180"/>
      <c r="FF311" s="180">
        <f>IFERROR(__xludf.DUMMYFUNCTION("""COMPUTED_VALUE"""),0.047)</f>
        <v>0.047</v>
      </c>
      <c r="FG311" s="180"/>
      <c r="FH311" s="180"/>
      <c r="FI311" s="180"/>
      <c r="FJ311" s="180"/>
      <c r="FK311" s="180"/>
      <c r="FL311" s="180"/>
      <c r="FM311" s="180"/>
      <c r="FN311" s="16">
        <f>IFERROR(__xludf.DUMMYFUNCTION("""COMPUTED_VALUE"""),0.6670999999999999)</f>
        <v>0.6671</v>
      </c>
      <c r="FO311" s="16"/>
      <c r="FP311" s="16"/>
      <c r="FQ311" s="16"/>
      <c r="FR311" s="16"/>
      <c r="FS311" s="16"/>
      <c r="FT311" s="16"/>
      <c r="FU311" s="16"/>
      <c r="FV311" s="16">
        <f>IFERROR(__xludf.DUMMYFUNCTION("""COMPUTED_VALUE"""),-6.0)</f>
        <v>-6</v>
      </c>
      <c r="FW311" s="16"/>
      <c r="FX311" s="16"/>
      <c r="FY311" s="16"/>
      <c r="FZ311" s="16"/>
      <c r="GA311" s="16"/>
      <c r="GB311" s="16"/>
      <c r="GC311" s="16"/>
      <c r="GD311" s="16" t="s">
        <v>215</v>
      </c>
    </row>
    <row r="312">
      <c r="A312" s="16">
        <f>IFERROR(__xludf.DUMMYFUNCTION("""COMPUTED_VALUE"""),13500.0)</f>
        <v>13500</v>
      </c>
      <c r="B312" s="16" t="str">
        <f>IFERROR(__xludf.DUMMYFUNCTION("""COMPUTED_VALUE"""),"Yasmani Grandal")</f>
        <v>Yasmani Grandal</v>
      </c>
      <c r="C312" s="16">
        <f>IFERROR(__xludf.DUMMYFUNCTION("""COMPUTED_VALUE"""),0.43)</f>
        <v>0.43</v>
      </c>
      <c r="D312" s="16" t="str">
        <f>IFERROR(__xludf.DUMMYFUNCTION("""COMPUTED_VALUE"""),"S")</f>
        <v>S</v>
      </c>
      <c r="E312" s="16"/>
      <c r="F312" s="16"/>
      <c r="G312" s="16">
        <f>IFERROR(__xludf.DUMMYFUNCTION("""COMPUTED_VALUE"""),215.0)</f>
        <v>215</v>
      </c>
      <c r="H312" s="16">
        <f>IFERROR(__xludf.DUMMYFUNCTION("""COMPUTED_VALUE"""),24.0)</f>
        <v>24</v>
      </c>
      <c r="I312" s="16" t="str">
        <f>IFERROR(__xludf.DUMMYFUNCTION("""COMPUTED_VALUE"""),"4p40")</f>
        <v>4p40</v>
      </c>
      <c r="J312" s="16">
        <f>IFERROR(__xludf.DUMMYFUNCTION("""COMPUTED_VALUE"""),27.0)</f>
        <v>27</v>
      </c>
      <c r="K312" s="16">
        <f>IFERROR(__xludf.DUMMYFUNCTION("""COMPUTED_VALUE"""),14.0)</f>
        <v>14</v>
      </c>
      <c r="L312" s="16">
        <f>IFERROR(__xludf.DUMMYFUNCTION("""COMPUTED_VALUE"""),0.0)</f>
        <v>0</v>
      </c>
      <c r="M312" s="16">
        <f>IFERROR(__xludf.DUMMYFUNCTION("""COMPUTED_VALUE"""),1.0)</f>
        <v>1</v>
      </c>
      <c r="N312" s="16">
        <f>IFERROR(__xludf.DUMMYFUNCTION("""COMPUTED_VALUE"""),0.0)</f>
        <v>0</v>
      </c>
      <c r="O312" s="16">
        <f>IFERROR(__xludf.DUMMYFUNCTION("""COMPUTED_VALUE"""),1.0)</f>
        <v>1</v>
      </c>
      <c r="P312" s="16">
        <f>IFERROR(__xludf.DUMMYFUNCTION("""COMPUTED_VALUE"""),6.0)</f>
        <v>6</v>
      </c>
      <c r="Q312" s="16">
        <f>IFERROR(__xludf.DUMMYFUNCTION("""COMPUTED_VALUE"""),14.0)</f>
        <v>14</v>
      </c>
      <c r="R312" s="16">
        <f>IFERROR(__xludf.DUMMYFUNCTION("""COMPUTED_VALUE"""),-1.0)</f>
        <v>-1</v>
      </c>
      <c r="S312" s="16">
        <f>IFERROR(__xludf.DUMMYFUNCTION("""COMPUTED_VALUE"""),2.0)</f>
        <v>2</v>
      </c>
      <c r="T312" s="16">
        <f>IFERROR(__xludf.DUMMYFUNCTION("""COMPUTED_VALUE"""),-1.0)</f>
        <v>-1</v>
      </c>
      <c r="U312" s="16">
        <f>IFERROR(__xludf.DUMMYFUNCTION("""COMPUTED_VALUE"""),2.0)</f>
        <v>2</v>
      </c>
      <c r="V312" s="16">
        <f>IFERROR(__xludf.DUMMYFUNCTION("""COMPUTED_VALUE"""),19.3)</f>
        <v>19.3</v>
      </c>
      <c r="W312" s="16">
        <f>IFERROR(__xludf.DUMMYFUNCTION("""COMPUTED_VALUE"""),12.0)</f>
        <v>12</v>
      </c>
      <c r="X312" s="16">
        <f>IFERROR(__xludf.DUMMYFUNCTION("""COMPUTED_VALUE"""),0.0)</f>
        <v>0</v>
      </c>
      <c r="Y312" s="16">
        <f>IFERROR(__xludf.DUMMYFUNCTION("""COMPUTED_VALUE"""),-2.0)</f>
        <v>-2</v>
      </c>
      <c r="Z312" s="16">
        <f>IFERROR(__xludf.DUMMYFUNCTION("""COMPUTED_VALUE"""),0.0)</f>
        <v>0</v>
      </c>
      <c r="AA312" s="16">
        <f>IFERROR(__xludf.DUMMYFUNCTION("""COMPUTED_VALUE"""),-4.0)</f>
        <v>-4</v>
      </c>
      <c r="AB312" s="16">
        <f>IFERROR(__xludf.DUMMYFUNCTION("""COMPUTED_VALUE"""),25.3)</f>
        <v>25.3</v>
      </c>
      <c r="AC312" s="16">
        <f>IFERROR(__xludf.DUMMYFUNCTION("""COMPUTED_VALUE"""),26.0)</f>
        <v>26</v>
      </c>
      <c r="AD312" s="16">
        <f>IFERROR(__xludf.DUMMYFUNCTION("""COMPUTED_VALUE"""),-1.0)</f>
        <v>-1</v>
      </c>
      <c r="AE312" s="16">
        <f>IFERROR(__xludf.DUMMYFUNCTION("""COMPUTED_VALUE"""),-1.0)</f>
        <v>-1</v>
      </c>
      <c r="AF312" s="16">
        <f>IFERROR(__xludf.DUMMYFUNCTION("""COMPUTED_VALUE"""),-5.0)</f>
        <v>-5</v>
      </c>
      <c r="AG312" s="16">
        <f>IFERROR(__xludf.DUMMYFUNCTION("""COMPUTED_VALUE"""),-5.0)</f>
        <v>-5</v>
      </c>
      <c r="AH312" s="16">
        <f>IFERROR(__xludf.DUMMYFUNCTION("""COMPUTED_VALUE"""),24.9)</f>
        <v>24.9</v>
      </c>
      <c r="AI312" s="16">
        <f>IFERROR(__xludf.DUMMYFUNCTION("""COMPUTED_VALUE"""),27.9)</f>
        <v>27.9</v>
      </c>
      <c r="AJ312" s="16">
        <f>IFERROR(__xludf.DUMMYFUNCTION("""COMPUTED_VALUE"""),-1.0)</f>
        <v>-1</v>
      </c>
      <c r="AK312" s="16">
        <f>IFERROR(__xludf.DUMMYFUNCTION("""COMPUTED_VALUE"""),-1.0)</f>
        <v>-1</v>
      </c>
      <c r="AL312" s="16">
        <f>IFERROR(__xludf.DUMMYFUNCTION("""COMPUTED_VALUE"""),-5.0)</f>
        <v>-5</v>
      </c>
      <c r="AM312" s="16">
        <f>IFERROR(__xludf.DUMMYFUNCTION("""COMPUTED_VALUE"""),-5.0)</f>
        <v>-5</v>
      </c>
      <c r="AN312" s="16">
        <f>IFERROR(__xludf.DUMMYFUNCTION("""COMPUTED_VALUE"""),0.0)</f>
        <v>0</v>
      </c>
      <c r="AO312" s="16">
        <f>IFERROR(__xludf.DUMMYFUNCTION("""COMPUTED_VALUE"""),4.2)</f>
        <v>4.2</v>
      </c>
      <c r="AP312" s="16">
        <f>IFERROR(__xludf.DUMMYFUNCTION("""COMPUTED_VALUE"""),-2.0)</f>
        <v>-2</v>
      </c>
      <c r="AQ312" s="16">
        <f>IFERROR(__xludf.DUMMYFUNCTION("""COMPUTED_VALUE"""),2.0)</f>
        <v>2</v>
      </c>
      <c r="AR312" s="16">
        <f>IFERROR(__xludf.DUMMYFUNCTION("""COMPUTED_VALUE"""),-4.0)</f>
        <v>-4</v>
      </c>
      <c r="AS312" s="16">
        <f>IFERROR(__xludf.DUMMYFUNCTION("""COMPUTED_VALUE"""),4.0)</f>
        <v>4</v>
      </c>
      <c r="AT312" s="16"/>
      <c r="AU312" s="16">
        <f>IFERROR(__xludf.DUMMYFUNCTION("""COMPUTED_VALUE"""),7.0)</f>
        <v>7</v>
      </c>
      <c r="AV312" s="16">
        <f>IFERROR(__xludf.DUMMYFUNCTION("""COMPUTED_VALUE"""),-3.0)</f>
        <v>-3</v>
      </c>
      <c r="AW312" s="16">
        <f>IFERROR(__xludf.DUMMYFUNCTION("""COMPUTED_VALUE"""),7.0)</f>
        <v>7</v>
      </c>
      <c r="AX312" s="16">
        <f>IFERROR(__xludf.DUMMYFUNCTION("""COMPUTED_VALUE"""),-3.0)</f>
        <v>-3</v>
      </c>
      <c r="AY312" s="16">
        <f>IFERROR(__xludf.DUMMYFUNCTION("""COMPUTED_VALUE"""),3.0)</f>
        <v>3</v>
      </c>
      <c r="AZ312" s="16">
        <f>IFERROR(__xludf.DUMMYFUNCTION("""COMPUTED_VALUE"""),-9.0)</f>
        <v>-9</v>
      </c>
      <c r="BA312" s="16">
        <f>IFERROR(__xludf.DUMMYFUNCTION("""COMPUTED_VALUE"""),9.0)</f>
        <v>9</v>
      </c>
      <c r="BB312" s="16">
        <f>IFERROR(__xludf.DUMMYFUNCTION("""COMPUTED_VALUE"""),5.0)</f>
        <v>5</v>
      </c>
      <c r="BC312" s="16">
        <f>IFERROR(__xludf.DUMMYFUNCTION("""COMPUTED_VALUE"""),5.0)</f>
        <v>5</v>
      </c>
      <c r="BD312" s="16">
        <f>IFERROR(__xludf.DUMMYFUNCTION("""COMPUTED_VALUE"""),1.0)</f>
        <v>1</v>
      </c>
      <c r="BE312" s="16">
        <f>IFERROR(__xludf.DUMMYFUNCTION("""COMPUTED_VALUE"""),1.0)</f>
        <v>1</v>
      </c>
      <c r="BF312" s="16">
        <f>IFERROR(__xludf.DUMMYFUNCTION("""COMPUTED_VALUE"""),1.0)</f>
        <v>1</v>
      </c>
      <c r="BG312" s="16">
        <f>IFERROR(__xludf.DUMMYFUNCTION("""COMPUTED_VALUE"""),1.0)</f>
        <v>1</v>
      </c>
      <c r="BH312" s="16">
        <f>IFERROR(__xludf.DUMMYFUNCTION("""COMPUTED_VALUE"""),-2.0)</f>
        <v>-2</v>
      </c>
      <c r="BI312" s="16">
        <f>IFERROR(__xludf.DUMMYFUNCTION("""COMPUTED_VALUE"""),-2.0)</f>
        <v>-2</v>
      </c>
      <c r="BJ312" s="16">
        <f>IFERROR(__xludf.DUMMYFUNCTION("""COMPUTED_VALUE"""),24.0)</f>
        <v>24</v>
      </c>
      <c r="BK312" s="16">
        <f>IFERROR(__xludf.DUMMYFUNCTION("""COMPUTED_VALUE"""),21.0)</f>
        <v>21</v>
      </c>
      <c r="BL312" s="16">
        <f>IFERROR(__xludf.DUMMYFUNCTION("""COMPUTED_VALUE"""),-2.0)</f>
        <v>-2</v>
      </c>
      <c r="BM312" s="16">
        <f>IFERROR(__xludf.DUMMYFUNCTION("""COMPUTED_VALUE"""),-2.0)</f>
        <v>-2</v>
      </c>
      <c r="BN312" s="16">
        <f>IFERROR(__xludf.DUMMYFUNCTION("""COMPUTED_VALUE"""),-4.0)</f>
        <v>-4</v>
      </c>
      <c r="BO312" s="16">
        <f>IFERROR(__xludf.DUMMYFUNCTION("""COMPUTED_VALUE"""),-4.0)</f>
        <v>-4</v>
      </c>
      <c r="BP312" s="16">
        <f>IFERROR(__xludf.DUMMYFUNCTION("""COMPUTED_VALUE"""),-9.0)</f>
        <v>-9</v>
      </c>
      <c r="BQ312" s="16">
        <f>IFERROR(__xludf.DUMMYFUNCTION("""COMPUTED_VALUE"""),3.0)</f>
        <v>3</v>
      </c>
      <c r="BR312" s="16">
        <f>IFERROR(__xludf.DUMMYFUNCTION("""COMPUTED_VALUE"""),-6.0)</f>
        <v>-6</v>
      </c>
      <c r="BS312" s="16" t="str">
        <f>IFERROR(__xludf.DUMMYFUNCTION("""COMPUTED_VALUE"""),"2/- (20-6)")</f>
        <v>2/- (20-6)</v>
      </c>
      <c r="BT312" s="16" t="str">
        <f>IFERROR(__xludf.DUMMYFUNCTION("""COMPUTED_VALUE"""),"E")</f>
        <v>E</v>
      </c>
      <c r="BU312" s="16">
        <f>IFERROR(__xludf.DUMMYFUNCTION("""COMPUTED_VALUE"""),8.0)</f>
        <v>8</v>
      </c>
      <c r="BV312" s="16">
        <f>IFERROR(__xludf.DUMMYFUNCTION("""COMPUTED_VALUE"""),0.0)</f>
        <v>0</v>
      </c>
      <c r="BW312" s="16">
        <f>IFERROR(__xludf.DUMMYFUNCTION("""COMPUTED_VALUE"""),-1.0)</f>
        <v>-1</v>
      </c>
      <c r="BX312" s="16">
        <f>IFERROR(__xludf.DUMMYFUNCTION("""COMPUTED_VALUE"""),0.0)</f>
        <v>0</v>
      </c>
      <c r="BY312" s="16">
        <f>IFERROR(__xludf.DUMMYFUNCTION("""COMPUTED_VALUE"""),-3.0)</f>
        <v>-3</v>
      </c>
      <c r="BZ312" s="16" t="str">
        <f>IFERROR(__xludf.DUMMYFUNCTION("""COMPUTED_VALUE"""),"C")</f>
        <v>C</v>
      </c>
      <c r="CA312" s="16" t="str">
        <f>IFERROR(__xludf.DUMMYFUNCTION("""COMPUTED_VALUE"""),"D")</f>
        <v>D</v>
      </c>
      <c r="CB312" s="16">
        <f>IFERROR(__xludf.DUMMYFUNCTION("""COMPUTED_VALUE"""),0.0)</f>
        <v>0</v>
      </c>
      <c r="CC312" s="16">
        <f>IFERROR(__xludf.DUMMYFUNCTION("""COMPUTED_VALUE"""),0.0)</f>
        <v>0</v>
      </c>
      <c r="CD312" s="16">
        <f>IFERROR(__xludf.DUMMYFUNCTION("""COMPUTED_VALUE"""),0.0)</f>
        <v>0</v>
      </c>
      <c r="CE312" s="16">
        <f>IFERROR(__xludf.DUMMYFUNCTION("""COMPUTED_VALUE"""),0.0)</f>
        <v>0</v>
      </c>
      <c r="CF312" s="16">
        <f>IFERROR(__xludf.DUMMYFUNCTION("""COMPUTED_VALUE"""),4.0)</f>
        <v>4</v>
      </c>
      <c r="CG312" s="16">
        <f>IFERROR(__xludf.DUMMYFUNCTION("""COMPUTED_VALUE"""),-27.0)</f>
        <v>-27</v>
      </c>
      <c r="CH312" s="16">
        <f>IFERROR(__xludf.DUMMYFUNCTION("""COMPUTED_VALUE"""),-1.0)</f>
        <v>-1</v>
      </c>
      <c r="CI312" s="179">
        <f>IFERROR(__xludf.DUMMYFUNCTION("""COMPUTED_VALUE"""),-10.0)</f>
        <v>-10</v>
      </c>
      <c r="CJ312" s="16">
        <f>IFERROR(__xludf.DUMMYFUNCTION("""COMPUTED_VALUE"""),310.0)</f>
        <v>310</v>
      </c>
      <c r="CK312" s="16">
        <f>IFERROR(__xludf.DUMMYFUNCTION("""COMPUTED_VALUE"""),424.0)</f>
        <v>424</v>
      </c>
      <c r="CL312" s="16"/>
      <c r="CM312" s="16"/>
      <c r="CN312" s="16"/>
      <c r="CO312" s="16"/>
      <c r="CP312" s="16"/>
      <c r="CQ312" s="16"/>
      <c r="CR312" s="16" t="str">
        <f>IFERROR(__xludf.DUMMYFUNCTION("""COMPUTED_VALUE"""),"c-3(+3)e10,T-6(pb-3) 1b-4e24")</f>
        <v>c-3(+3)e10,T-6(pb-3) 1b-4e24</v>
      </c>
      <c r="CS312" s="16">
        <f>IFERROR(__xludf.DUMMYFUNCTION("""COMPUTED_VALUE"""),3.0)</f>
        <v>3</v>
      </c>
      <c r="CT312" s="16">
        <f>IFERROR(__xludf.DUMMYFUNCTION("""COMPUTED_VALUE"""),4.0)</f>
        <v>4</v>
      </c>
      <c r="CU312" s="16"/>
      <c r="CV312" s="16"/>
      <c r="CW312" s="16"/>
      <c r="CX312" s="16"/>
      <c r="CY312" s="16"/>
      <c r="CZ312" s="16"/>
      <c r="DA312" s="16">
        <f>IFERROR(__xludf.DUMMYFUNCTION("""COMPUTED_VALUE"""),10.0)</f>
        <v>10</v>
      </c>
      <c r="DB312" s="16">
        <f>IFERROR(__xludf.DUMMYFUNCTION("""COMPUTED_VALUE"""),24.0)</f>
        <v>24</v>
      </c>
      <c r="DC312" s="16"/>
      <c r="DD312" s="16"/>
      <c r="DE312" s="16"/>
      <c r="DF312" s="16"/>
      <c r="DG312" s="16"/>
      <c r="DH312" s="16"/>
      <c r="DI312" s="16">
        <f>IFERROR(__xludf.DUMMYFUNCTION("""COMPUTED_VALUE"""),0.0)</f>
        <v>0</v>
      </c>
      <c r="DJ312" s="16">
        <f>IFERROR(__xludf.DUMMYFUNCTION("""COMPUTED_VALUE"""),0.0)</f>
        <v>0</v>
      </c>
      <c r="DK312" s="16"/>
      <c r="DL312" s="16"/>
      <c r="DM312" s="16"/>
      <c r="DN312" s="16"/>
      <c r="DO312" s="16"/>
      <c r="DP312" s="16"/>
      <c r="DQ312" s="16">
        <f>IFERROR(__xludf.DUMMYFUNCTION("""COMPUTED_VALUE"""),0.0)</f>
        <v>0</v>
      </c>
      <c r="DR312" s="16">
        <f>IFERROR(__xludf.DUMMYFUNCTION("""COMPUTED_VALUE"""),-2.0)</f>
        <v>-2</v>
      </c>
      <c r="DS312" s="16"/>
      <c r="DT312" s="16"/>
      <c r="DU312" s="16"/>
      <c r="DV312" s="16"/>
      <c r="DW312" s="16"/>
      <c r="DX312" s="16"/>
      <c r="DY312" s="16">
        <f>IFERROR(__xludf.DUMMYFUNCTION("""COMPUTED_VALUE"""),0.0)</f>
        <v>0</v>
      </c>
      <c r="DZ312" s="16">
        <f>IFERROR(__xludf.DUMMYFUNCTION("""COMPUTED_VALUE"""),-2.0)</f>
        <v>-2</v>
      </c>
      <c r="EA312" s="16"/>
      <c r="EB312" s="16"/>
      <c r="EC312" s="16"/>
      <c r="ED312" s="16"/>
      <c r="EE312" s="16"/>
      <c r="EF312" s="16"/>
      <c r="EG312" s="179">
        <f>IFERROR(__xludf.DUMMYFUNCTION("""COMPUTED_VALUE"""),-7.0)</f>
        <v>-7</v>
      </c>
      <c r="EH312" s="179">
        <f>IFERROR(__xludf.DUMMYFUNCTION("""COMPUTED_VALUE"""),-12.0)</f>
        <v>-12</v>
      </c>
      <c r="EI312" s="179"/>
      <c r="EJ312" s="179"/>
      <c r="EK312" s="179"/>
      <c r="EL312" s="179"/>
      <c r="EM312" s="179"/>
      <c r="EN312" s="179"/>
      <c r="EO312" s="16">
        <f>IFERROR(__xludf.DUMMYFUNCTION("""COMPUTED_VALUE"""),3.0)</f>
        <v>3</v>
      </c>
      <c r="EP312" s="16"/>
      <c r="EQ312" s="16">
        <f>IFERROR(__xludf.DUMMYFUNCTION("""COMPUTED_VALUE"""),-1.0)</f>
        <v>-1</v>
      </c>
      <c r="ER312" s="16">
        <f>IFERROR(__xludf.DUMMYFUNCTION("""COMPUTED_VALUE"""),-1.0)</f>
        <v>-1</v>
      </c>
      <c r="ES312" s="16" t="str">
        <f>IFERROR(__xludf.DUMMYFUNCTION("""COMPUTED_VALUE"""),"c-3")</f>
        <v>c-3</v>
      </c>
      <c r="ET312" s="16" t="str">
        <f>IFERROR(__xludf.DUMMYFUNCTION("""COMPUTED_VALUE"""),"+3)e10,T-6")</f>
        <v>+3)e10,T-6</v>
      </c>
      <c r="EU312" s="16" t="str">
        <f>IFERROR(__xludf.DUMMYFUNCTION("""COMPUTED_VALUE"""),"pb-3) 1b-4e24")</f>
        <v>pb-3) 1b-4e24</v>
      </c>
      <c r="EV312" s="16"/>
      <c r="EW312" s="16">
        <f>IFERROR(__xludf.DUMMYFUNCTION("""COMPUTED_VALUE"""),3.0)</f>
        <v>3</v>
      </c>
      <c r="EX312" s="180">
        <f>IFERROR(__xludf.DUMMYFUNCTION("""COMPUTED_VALUE"""),0.2)</f>
        <v>0.2</v>
      </c>
      <c r="EY312" s="180">
        <f>IFERROR(__xludf.DUMMYFUNCTION("""COMPUTED_VALUE"""),0.3)</f>
        <v>0.3</v>
      </c>
      <c r="EZ312" s="180"/>
      <c r="FA312" s="180"/>
      <c r="FB312" s="180"/>
      <c r="FC312" s="180"/>
      <c r="FD312" s="180"/>
      <c r="FE312" s="180"/>
      <c r="FF312" s="180">
        <f>IFERROR(__xludf.DUMMYFUNCTION("""COMPUTED_VALUE"""),0.121)</f>
        <v>0.121</v>
      </c>
      <c r="FG312" s="180">
        <f>IFERROR(__xludf.DUMMYFUNCTION("""COMPUTED_VALUE"""),0.4305555555555556)</f>
        <v>0.4305555556</v>
      </c>
      <c r="FH312" s="180"/>
      <c r="FI312" s="180"/>
      <c r="FJ312" s="180"/>
      <c r="FK312" s="180"/>
      <c r="FL312" s="180"/>
      <c r="FM312" s="180"/>
      <c r="FN312" s="16">
        <f>IFERROR(__xludf.DUMMYFUNCTION("""COMPUTED_VALUE"""),0.7032)</f>
        <v>0.7032</v>
      </c>
      <c r="FO312" s="16">
        <f>IFERROR(__xludf.DUMMYFUNCTION("""COMPUTED_VALUE"""),0.3986111111111111)</f>
        <v>0.3986111111</v>
      </c>
      <c r="FP312" s="16"/>
      <c r="FQ312" s="16"/>
      <c r="FR312" s="16"/>
      <c r="FS312" s="16"/>
      <c r="FT312" s="16"/>
      <c r="FU312" s="16"/>
      <c r="FV312" s="16">
        <f>IFERROR(__xludf.DUMMYFUNCTION("""COMPUTED_VALUE"""),-7.0)</f>
        <v>-7</v>
      </c>
      <c r="FW312" s="16">
        <f>IFERROR(__xludf.DUMMYFUNCTION("""COMPUTED_VALUE"""),-8.0)</f>
        <v>-8</v>
      </c>
      <c r="FX312" s="16"/>
      <c r="FY312" s="16"/>
      <c r="FZ312" s="16"/>
      <c r="GA312" s="16"/>
      <c r="GB312" s="16"/>
      <c r="GC312" s="16"/>
      <c r="GD312" s="16" t="s">
        <v>176</v>
      </c>
    </row>
    <row r="313">
      <c r="A313" s="16">
        <f>IFERROR(__xludf.DUMMYFUNCTION("""COMPUTED_VALUE"""),12534.0)</f>
        <v>12534</v>
      </c>
      <c r="B313" s="16" t="str">
        <f>IFERROR(__xludf.DUMMYFUNCTION("""COMPUTED_VALUE"""),"Andres Chaparro")</f>
        <v>Andres Chaparro</v>
      </c>
      <c r="C313" s="16">
        <f>IFERROR(__xludf.DUMMYFUNCTION("""COMPUTED_VALUE"""),0.0)</f>
        <v>0</v>
      </c>
      <c r="D313" s="16" t="str">
        <f>IFERROR(__xludf.DUMMYFUNCTION("""COMPUTED_VALUE"""),"R")</f>
        <v>R</v>
      </c>
      <c r="E313" s="16"/>
      <c r="F313" s="16"/>
      <c r="G313" s="16">
        <f>IFERROR(__xludf.DUMMYFUNCTION("""COMPUTED_VALUE"""),121.0)</f>
        <v>121</v>
      </c>
      <c r="H313" s="16">
        <f>IFERROR(__xludf.DUMMYFUNCTION("""COMPUTED_VALUE"""),7.0)</f>
        <v>7</v>
      </c>
      <c r="I313" s="16" t="str">
        <f>IFERROR(__xludf.DUMMYFUNCTION("""COMPUTED_VALUE"""),"1p20")</f>
        <v>1p20</v>
      </c>
      <c r="J313" s="16">
        <f>IFERROR(__xludf.DUMMYFUNCTION("""COMPUTED_VALUE"""),18.0)</f>
        <v>18</v>
      </c>
      <c r="K313" s="16">
        <f>IFERROR(__xludf.DUMMYFUNCTION("""COMPUTED_VALUE"""),12.0)</f>
        <v>12</v>
      </c>
      <c r="L313" s="16">
        <f>IFERROR(__xludf.DUMMYFUNCTION("""COMPUTED_VALUE"""),1.0)</f>
        <v>1</v>
      </c>
      <c r="M313" s="16">
        <f>IFERROR(__xludf.DUMMYFUNCTION("""COMPUTED_VALUE"""),1.0)</f>
        <v>1</v>
      </c>
      <c r="N313" s="16">
        <f>IFERROR(__xludf.DUMMYFUNCTION("""COMPUTED_VALUE"""),1.0)</f>
        <v>1</v>
      </c>
      <c r="O313" s="16">
        <f>IFERROR(__xludf.DUMMYFUNCTION("""COMPUTED_VALUE"""),1.0)</f>
        <v>1</v>
      </c>
      <c r="P313" s="16">
        <f>IFERROR(__xludf.DUMMYFUNCTION("""COMPUTED_VALUE"""),10.0)</f>
        <v>10</v>
      </c>
      <c r="Q313" s="16">
        <f>IFERROR(__xludf.DUMMYFUNCTION("""COMPUTED_VALUE"""),0.0)</f>
        <v>0</v>
      </c>
      <c r="R313" s="16">
        <f>IFERROR(__xludf.DUMMYFUNCTION("""COMPUTED_VALUE"""),1.0)</f>
        <v>1</v>
      </c>
      <c r="S313" s="16">
        <f>IFERROR(__xludf.DUMMYFUNCTION("""COMPUTED_VALUE"""),-2.0)</f>
        <v>-2</v>
      </c>
      <c r="T313" s="16">
        <f>IFERROR(__xludf.DUMMYFUNCTION("""COMPUTED_VALUE"""),1.0)</f>
        <v>1</v>
      </c>
      <c r="U313" s="16">
        <f>IFERROR(__xludf.DUMMYFUNCTION("""COMPUTED_VALUE"""),-2.0)</f>
        <v>-2</v>
      </c>
      <c r="V313" s="16">
        <f>IFERROR(__xludf.DUMMYFUNCTION("""COMPUTED_VALUE"""),20.6)</f>
        <v>20.6</v>
      </c>
      <c r="W313" s="16">
        <f>IFERROR(__xludf.DUMMYFUNCTION("""COMPUTED_VALUE"""),13.6)</f>
        <v>13.6</v>
      </c>
      <c r="X313" s="16">
        <f>IFERROR(__xludf.DUMMYFUNCTION("""COMPUTED_VALUE"""),0.0)</f>
        <v>0</v>
      </c>
      <c r="Y313" s="16">
        <f>IFERROR(__xludf.DUMMYFUNCTION("""COMPUTED_VALUE"""),-1.0)</f>
        <v>-1</v>
      </c>
      <c r="Z313" s="16">
        <f>IFERROR(__xludf.DUMMYFUNCTION("""COMPUTED_VALUE"""),0.0)</f>
        <v>0</v>
      </c>
      <c r="AA313" s="16">
        <f>IFERROR(__xludf.DUMMYFUNCTION("""COMPUTED_VALUE"""),-2.0)</f>
        <v>-2</v>
      </c>
      <c r="AB313" s="16">
        <f>IFERROR(__xludf.DUMMYFUNCTION("""COMPUTED_VALUE"""),37.6)</f>
        <v>37.6</v>
      </c>
      <c r="AC313" s="16">
        <f>IFERROR(__xludf.DUMMYFUNCTION("""COMPUTED_VALUE"""),20.6)</f>
        <v>20.6</v>
      </c>
      <c r="AD313" s="16">
        <f>IFERROR(__xludf.DUMMYFUNCTION("""COMPUTED_VALUE"""),1.0)</f>
        <v>1</v>
      </c>
      <c r="AE313" s="16">
        <f>IFERROR(__xludf.DUMMYFUNCTION("""COMPUTED_VALUE"""),-2.0)</f>
        <v>-2</v>
      </c>
      <c r="AF313" s="16">
        <f>IFERROR(__xludf.DUMMYFUNCTION("""COMPUTED_VALUE"""),5.0)</f>
        <v>5</v>
      </c>
      <c r="AG313" s="16">
        <f>IFERROR(__xludf.DUMMYFUNCTION("""COMPUTED_VALUE"""),-10.0)</f>
        <v>-10</v>
      </c>
      <c r="AH313" s="16">
        <f>IFERROR(__xludf.DUMMYFUNCTION("""COMPUTED_VALUE"""),47.8)</f>
        <v>47.8</v>
      </c>
      <c r="AI313" s="16">
        <f>IFERROR(__xludf.DUMMYFUNCTION("""COMPUTED_VALUE"""),30.1)</f>
        <v>30.1</v>
      </c>
      <c r="AJ313" s="16">
        <f>IFERROR(__xludf.DUMMYFUNCTION("""COMPUTED_VALUE"""),1.0)</f>
        <v>1</v>
      </c>
      <c r="AK313" s="16">
        <f>IFERROR(__xludf.DUMMYFUNCTION("""COMPUTED_VALUE"""),0.0)</f>
        <v>0</v>
      </c>
      <c r="AL313" s="16">
        <f>IFERROR(__xludf.DUMMYFUNCTION("""COMPUTED_VALUE"""),5.0)</f>
        <v>5</v>
      </c>
      <c r="AM313" s="16">
        <f>IFERROR(__xludf.DUMMYFUNCTION("""COMPUTED_VALUE"""),0.0)</f>
        <v>0</v>
      </c>
      <c r="AN313" s="16">
        <f>IFERROR(__xludf.DUMMYFUNCTION("""COMPUTED_VALUE"""),3.3)</f>
        <v>3.3</v>
      </c>
      <c r="AO313" s="16">
        <f>IFERROR(__xludf.DUMMYFUNCTION("""COMPUTED_VALUE"""),1.5)</f>
        <v>1.5</v>
      </c>
      <c r="AP313" s="16">
        <f>IFERROR(__xludf.DUMMYFUNCTION("""COMPUTED_VALUE"""),1.0)</f>
        <v>1</v>
      </c>
      <c r="AQ313" s="16">
        <f>IFERROR(__xludf.DUMMYFUNCTION("""COMPUTED_VALUE"""),-1.0)</f>
        <v>-1</v>
      </c>
      <c r="AR313" s="16">
        <f>IFERROR(__xludf.DUMMYFUNCTION("""COMPUTED_VALUE"""),2.0)</f>
        <v>2</v>
      </c>
      <c r="AS313" s="16">
        <f>IFERROR(__xludf.DUMMYFUNCTION("""COMPUTED_VALUE"""),-2.0)</f>
        <v>-2</v>
      </c>
      <c r="AT313" s="16"/>
      <c r="AU313" s="16"/>
      <c r="AV313" s="16">
        <f>IFERROR(__xludf.DUMMYFUNCTION("""COMPUTED_VALUE"""),6.0)</f>
        <v>6</v>
      </c>
      <c r="AW313" s="16">
        <f>IFERROR(__xludf.DUMMYFUNCTION("""COMPUTED_VALUE"""),1.0)</f>
        <v>1</v>
      </c>
      <c r="AX313" s="16">
        <f>IFERROR(__xludf.DUMMYFUNCTION("""COMPUTED_VALUE"""),3.0)</f>
        <v>3</v>
      </c>
      <c r="AY313" s="16">
        <f>IFERROR(__xludf.DUMMYFUNCTION("""COMPUTED_VALUE"""),-1.0)</f>
        <v>-1</v>
      </c>
      <c r="AZ313" s="16">
        <f>IFERROR(__xludf.DUMMYFUNCTION("""COMPUTED_VALUE"""),9.0)</f>
        <v>9</v>
      </c>
      <c r="BA313" s="16">
        <f>IFERROR(__xludf.DUMMYFUNCTION("""COMPUTED_VALUE"""),-3.0)</f>
        <v>-3</v>
      </c>
      <c r="BB313" s="16">
        <f>IFERROR(__xludf.DUMMYFUNCTION("""COMPUTED_VALUE"""),0.0)</f>
        <v>0</v>
      </c>
      <c r="BC313" s="16">
        <f>IFERROR(__xludf.DUMMYFUNCTION("""COMPUTED_VALUE"""),0.0)</f>
        <v>0</v>
      </c>
      <c r="BD313" s="16">
        <f>IFERROR(__xludf.DUMMYFUNCTION("""COMPUTED_VALUE"""),0.0)</f>
        <v>0</v>
      </c>
      <c r="BE313" s="16">
        <f>IFERROR(__xludf.DUMMYFUNCTION("""COMPUTED_VALUE"""),0.0)</f>
        <v>0</v>
      </c>
      <c r="BF313" s="16">
        <f>IFERROR(__xludf.DUMMYFUNCTION("""COMPUTED_VALUE"""),0.0)</f>
        <v>0</v>
      </c>
      <c r="BG313" s="16">
        <f>IFERROR(__xludf.DUMMYFUNCTION("""COMPUTED_VALUE"""),0.0)</f>
        <v>0</v>
      </c>
      <c r="BH313" s="16">
        <f>IFERROR(__xludf.DUMMYFUNCTION("""COMPUTED_VALUE"""),0.0)</f>
        <v>0</v>
      </c>
      <c r="BI313" s="16">
        <f>IFERROR(__xludf.DUMMYFUNCTION("""COMPUTED_VALUE"""),0.0)</f>
        <v>0</v>
      </c>
      <c r="BJ313" s="16">
        <f>IFERROR(__xludf.DUMMYFUNCTION("""COMPUTED_VALUE"""),16.0)</f>
        <v>16</v>
      </c>
      <c r="BK313" s="16">
        <f>IFERROR(__xludf.DUMMYFUNCTION("""COMPUTED_VALUE"""),18.0)</f>
        <v>18</v>
      </c>
      <c r="BL313" s="16">
        <f>IFERROR(__xludf.DUMMYFUNCTION("""COMPUTED_VALUE"""),-1.0)</f>
        <v>-1</v>
      </c>
      <c r="BM313" s="16">
        <f>IFERROR(__xludf.DUMMYFUNCTION("""COMPUTED_VALUE"""),-1.0)</f>
        <v>-1</v>
      </c>
      <c r="BN313" s="16">
        <f>IFERROR(__xludf.DUMMYFUNCTION("""COMPUTED_VALUE"""),-2.0)</f>
        <v>-2</v>
      </c>
      <c r="BO313" s="16">
        <f>IFERROR(__xludf.DUMMYFUNCTION("""COMPUTED_VALUE"""),-2.0)</f>
        <v>-2</v>
      </c>
      <c r="BP313" s="16">
        <f>IFERROR(__xludf.DUMMYFUNCTION("""COMPUTED_VALUE"""),7.0)</f>
        <v>7</v>
      </c>
      <c r="BQ313" s="16">
        <f>IFERROR(__xludf.DUMMYFUNCTION("""COMPUTED_VALUE"""),-7.0)</f>
        <v>-7</v>
      </c>
      <c r="BR313" s="16">
        <f>IFERROR(__xludf.DUMMYFUNCTION("""COMPUTED_VALUE"""),0.0)</f>
        <v>0</v>
      </c>
      <c r="BS313" s="16" t="str">
        <f>IFERROR(__xludf.DUMMYFUNCTION("""COMPUTED_VALUE"""),"3-6/9 (13-7)")</f>
        <v>3-6/9 (13-7)</v>
      </c>
      <c r="BT313" s="16" t="str">
        <f>IFERROR(__xludf.DUMMYFUNCTION("""COMPUTED_VALUE"""),"E")</f>
        <v>E</v>
      </c>
      <c r="BU313" s="16">
        <f>IFERROR(__xludf.DUMMYFUNCTION("""COMPUTED_VALUE"""),10.0)</f>
        <v>10</v>
      </c>
      <c r="BV313" s="16">
        <f>IFERROR(__xludf.DUMMYFUNCTION("""COMPUTED_VALUE"""),0.0)</f>
        <v>0</v>
      </c>
      <c r="BW313" s="16">
        <f>IFERROR(__xludf.DUMMYFUNCTION("""COMPUTED_VALUE"""),0.0)</f>
        <v>0</v>
      </c>
      <c r="BX313" s="16">
        <f>IFERROR(__xludf.DUMMYFUNCTION("""COMPUTED_VALUE"""),0.0)</f>
        <v>0</v>
      </c>
      <c r="BY313" s="16">
        <f>IFERROR(__xludf.DUMMYFUNCTION("""COMPUTED_VALUE"""),0.0)</f>
        <v>0</v>
      </c>
      <c r="BZ313" s="16" t="str">
        <f>IFERROR(__xludf.DUMMYFUNCTION("""COMPUTED_VALUE"""),"D")</f>
        <v>D</v>
      </c>
      <c r="CA313" s="16" t="str">
        <f>IFERROR(__xludf.DUMMYFUNCTION("""COMPUTED_VALUE"""),"C")</f>
        <v>C</v>
      </c>
      <c r="CB313" s="16">
        <f>IFERROR(__xludf.DUMMYFUNCTION("""COMPUTED_VALUE"""),0.0)</f>
        <v>0</v>
      </c>
      <c r="CC313" s="16">
        <f>IFERROR(__xludf.DUMMYFUNCTION("""COMPUTED_VALUE"""),0.0)</f>
        <v>0</v>
      </c>
      <c r="CD313" s="16">
        <f>IFERROR(__xludf.DUMMYFUNCTION("""COMPUTED_VALUE"""),0.0)</f>
        <v>0</v>
      </c>
      <c r="CE313" s="16">
        <f>IFERROR(__xludf.DUMMYFUNCTION("""COMPUTED_VALUE"""),0.0)</f>
        <v>0</v>
      </c>
      <c r="CF313" s="16">
        <f>IFERROR(__xludf.DUMMYFUNCTION("""COMPUTED_VALUE"""),1.0)</f>
        <v>1</v>
      </c>
      <c r="CG313" s="16">
        <f>IFERROR(__xludf.DUMMYFUNCTION("""COMPUTED_VALUE"""),21.0)</f>
        <v>21</v>
      </c>
      <c r="CH313" s="16">
        <f>IFERROR(__xludf.DUMMYFUNCTION("""COMPUTED_VALUE"""),-20.0)</f>
        <v>-20</v>
      </c>
      <c r="CI313" s="179">
        <f>IFERROR(__xludf.DUMMYFUNCTION("""COMPUTED_VALUE"""),-10.0)</f>
        <v>-10</v>
      </c>
      <c r="CJ313" s="16"/>
      <c r="CK313" s="16">
        <f>IFERROR(__xludf.DUMMYFUNCTION("""COMPUTED_VALUE"""),405.0)</f>
        <v>405</v>
      </c>
      <c r="CL313" s="16"/>
      <c r="CM313" s="16"/>
      <c r="CN313" s="16"/>
      <c r="CO313" s="16"/>
      <c r="CP313" s="16"/>
      <c r="CQ313" s="16"/>
      <c r="CR313" s="16" t="str">
        <f>IFERROR(__xludf.DUMMYFUNCTION("""COMPUTED_VALUE"""),"1b-4e5")</f>
        <v>1b-4e5</v>
      </c>
      <c r="CS313" s="16"/>
      <c r="CT313" s="16">
        <f>IFERROR(__xludf.DUMMYFUNCTION("""COMPUTED_VALUE"""),4.0)</f>
        <v>4</v>
      </c>
      <c r="CU313" s="16"/>
      <c r="CV313" s="16"/>
      <c r="CW313" s="16"/>
      <c r="CX313" s="16"/>
      <c r="CY313" s="16"/>
      <c r="CZ313" s="16"/>
      <c r="DA313" s="16"/>
      <c r="DB313" s="16">
        <f>IFERROR(__xludf.DUMMYFUNCTION("""COMPUTED_VALUE"""),5.0)</f>
        <v>5</v>
      </c>
      <c r="DC313" s="16"/>
      <c r="DD313" s="16"/>
      <c r="DE313" s="16"/>
      <c r="DF313" s="16"/>
      <c r="DG313" s="16"/>
      <c r="DH313" s="16"/>
      <c r="DI313" s="16"/>
      <c r="DJ313" s="16">
        <f>IFERROR(__xludf.DUMMYFUNCTION("""COMPUTED_VALUE"""),0.0)</f>
        <v>0</v>
      </c>
      <c r="DK313" s="16"/>
      <c r="DL313" s="16"/>
      <c r="DM313" s="16"/>
      <c r="DN313" s="16"/>
      <c r="DO313" s="16"/>
      <c r="DP313" s="16"/>
      <c r="DQ313" s="16"/>
      <c r="DR313" s="16">
        <f>IFERROR(__xludf.DUMMYFUNCTION("""COMPUTED_VALUE"""),2.0)</f>
        <v>2</v>
      </c>
      <c r="DS313" s="16"/>
      <c r="DT313" s="16"/>
      <c r="DU313" s="16"/>
      <c r="DV313" s="16"/>
      <c r="DW313" s="16"/>
      <c r="DX313" s="16"/>
      <c r="DY313" s="16"/>
      <c r="DZ313" s="16">
        <f>IFERROR(__xludf.DUMMYFUNCTION("""COMPUTED_VALUE"""),2.0)</f>
        <v>2</v>
      </c>
      <c r="EA313" s="16"/>
      <c r="EB313" s="16"/>
      <c r="EC313" s="16"/>
      <c r="ED313" s="16"/>
      <c r="EE313" s="16"/>
      <c r="EF313" s="16"/>
      <c r="EG313" s="179"/>
      <c r="EH313" s="179">
        <f>IFERROR(__xludf.DUMMYFUNCTION("""COMPUTED_VALUE"""),-8.0)</f>
        <v>-8</v>
      </c>
      <c r="EI313" s="179"/>
      <c r="EJ313" s="179"/>
      <c r="EK313" s="179"/>
      <c r="EL313" s="179"/>
      <c r="EM313" s="179"/>
      <c r="EN313" s="179"/>
      <c r="EO313" s="16"/>
      <c r="EP313" s="16">
        <f>IFERROR(__xludf.DUMMYFUNCTION("""COMPUTED_VALUE"""),1.0)</f>
        <v>1</v>
      </c>
      <c r="EQ313" s="16">
        <f>IFERROR(__xludf.DUMMYFUNCTION("""COMPUTED_VALUE"""),4.0)</f>
        <v>4</v>
      </c>
      <c r="ER313" s="16">
        <f>IFERROR(__xludf.DUMMYFUNCTION("""COMPUTED_VALUE"""),-4.0)</f>
        <v>-4</v>
      </c>
      <c r="ES313" s="16"/>
      <c r="ET313" s="16"/>
      <c r="EU313" s="16"/>
      <c r="EV313" s="16"/>
      <c r="EW313" s="16"/>
      <c r="EX313" s="180"/>
      <c r="EY313" s="180">
        <f>IFERROR(__xludf.DUMMYFUNCTION("""COMPUTED_VALUE"""),0.3)</f>
        <v>0.3</v>
      </c>
      <c r="EZ313" s="180"/>
      <c r="FA313" s="180"/>
      <c r="FB313" s="180"/>
      <c r="FC313" s="180"/>
      <c r="FD313" s="180"/>
      <c r="FE313" s="180"/>
      <c r="FF313" s="180"/>
      <c r="FG313" s="180">
        <f>IFERROR(__xludf.DUMMYFUNCTION("""COMPUTED_VALUE"""),0.08796296296296297)</f>
        <v>0.08796296296</v>
      </c>
      <c r="FH313" s="180"/>
      <c r="FI313" s="180"/>
      <c r="FJ313" s="180"/>
      <c r="FK313" s="180"/>
      <c r="FL313" s="180"/>
      <c r="FM313" s="180"/>
      <c r="FN313" s="16"/>
      <c r="FO313" s="16">
        <f>IFERROR(__xludf.DUMMYFUNCTION("""COMPUTED_VALUE"""),0.6384259259259258)</f>
        <v>0.6384259259</v>
      </c>
      <c r="FP313" s="16"/>
      <c r="FQ313" s="16"/>
      <c r="FR313" s="16"/>
      <c r="FS313" s="16"/>
      <c r="FT313" s="16"/>
      <c r="FU313" s="16"/>
      <c r="FV313" s="16"/>
      <c r="FW313" s="16">
        <f>IFERROR(__xludf.DUMMYFUNCTION("""COMPUTED_VALUE"""),-6.0)</f>
        <v>-6</v>
      </c>
      <c r="FX313" s="16"/>
      <c r="FY313" s="16"/>
      <c r="FZ313" s="16"/>
      <c r="GA313" s="16"/>
      <c r="GB313" s="16"/>
      <c r="GC313" s="16"/>
      <c r="GD313" s="16" t="s">
        <v>521</v>
      </c>
    </row>
    <row r="314">
      <c r="A314" s="16">
        <f>IFERROR(__xludf.DUMMYFUNCTION("""COMPUTED_VALUE"""),12582.0)</f>
        <v>12582</v>
      </c>
      <c r="B314" s="16" t="str">
        <f>IFERROR(__xludf.DUMMYFUNCTION("""COMPUTED_VALUE"""),"Blaze Alexander")</f>
        <v>Blaze Alexander</v>
      </c>
      <c r="C314" s="16">
        <f>IFERROR(__xludf.DUMMYFUNCTION("""COMPUTED_VALUE"""),0.0)</f>
        <v>0</v>
      </c>
      <c r="D314" s="16" t="str">
        <f>IFERROR(__xludf.DUMMYFUNCTION("""COMPUTED_VALUE"""),"R")</f>
        <v>R</v>
      </c>
      <c r="E314" s="16"/>
      <c r="F314" s="16"/>
      <c r="G314" s="16">
        <f>IFERROR(__xludf.DUMMYFUNCTION("""COMPUTED_VALUE"""),166.0)</f>
        <v>166</v>
      </c>
      <c r="H314" s="16">
        <f>IFERROR(__xludf.DUMMYFUNCTION("""COMPUTED_VALUE"""),15.0)</f>
        <v>15</v>
      </c>
      <c r="I314" s="16" t="str">
        <f>IFERROR(__xludf.DUMMYFUNCTION("""COMPUTED_VALUE"""),"1p30")</f>
        <v>1p30</v>
      </c>
      <c r="J314" s="16">
        <f>IFERROR(__xludf.DUMMYFUNCTION("""COMPUTED_VALUE"""),38.0)</f>
        <v>38</v>
      </c>
      <c r="K314" s="16">
        <f>IFERROR(__xludf.DUMMYFUNCTION("""COMPUTED_VALUE"""),28.0)</f>
        <v>28</v>
      </c>
      <c r="L314" s="16">
        <f>IFERROR(__xludf.DUMMYFUNCTION("""COMPUTED_VALUE"""),-1.0)</f>
        <v>-1</v>
      </c>
      <c r="M314" s="16">
        <f>IFERROR(__xludf.DUMMYFUNCTION("""COMPUTED_VALUE"""),0.0)</f>
        <v>0</v>
      </c>
      <c r="N314" s="16">
        <f>IFERROR(__xludf.DUMMYFUNCTION("""COMPUTED_VALUE"""),-1.0)</f>
        <v>-1</v>
      </c>
      <c r="O314" s="16">
        <f>IFERROR(__xludf.DUMMYFUNCTION("""COMPUTED_VALUE"""),0.0)</f>
        <v>0</v>
      </c>
      <c r="P314" s="16">
        <f>IFERROR(__xludf.DUMMYFUNCTION("""COMPUTED_VALUE"""),9.0)</f>
        <v>9</v>
      </c>
      <c r="Q314" s="16">
        <f>IFERROR(__xludf.DUMMYFUNCTION("""COMPUTED_VALUE"""),9.0)</f>
        <v>9</v>
      </c>
      <c r="R314" s="16">
        <f>IFERROR(__xludf.DUMMYFUNCTION("""COMPUTED_VALUE"""),0.0)</f>
        <v>0</v>
      </c>
      <c r="S314" s="16">
        <f>IFERROR(__xludf.DUMMYFUNCTION("""COMPUTED_VALUE"""),0.0)</f>
        <v>0</v>
      </c>
      <c r="T314" s="16">
        <f>IFERROR(__xludf.DUMMYFUNCTION("""COMPUTED_VALUE"""),0.0)</f>
        <v>0</v>
      </c>
      <c r="U314" s="16">
        <f>IFERROR(__xludf.DUMMYFUNCTION("""COMPUTED_VALUE"""),0.0)</f>
        <v>0</v>
      </c>
      <c r="V314" s="16">
        <f>IFERROR(__xludf.DUMMYFUNCTION("""COMPUTED_VALUE"""),25.7)</f>
        <v>25.7</v>
      </c>
      <c r="W314" s="16">
        <f>IFERROR(__xludf.DUMMYFUNCTION("""COMPUTED_VALUE"""),15.2)</f>
        <v>15.2</v>
      </c>
      <c r="X314" s="16">
        <f>IFERROR(__xludf.DUMMYFUNCTION("""COMPUTED_VALUE"""),1.0)</f>
        <v>1</v>
      </c>
      <c r="Y314" s="16">
        <f>IFERROR(__xludf.DUMMYFUNCTION("""COMPUTED_VALUE"""),-1.0)</f>
        <v>-1</v>
      </c>
      <c r="Z314" s="16">
        <f>IFERROR(__xludf.DUMMYFUNCTION("""COMPUTED_VALUE"""),2.0)</f>
        <v>2</v>
      </c>
      <c r="AA314" s="16">
        <f>IFERROR(__xludf.DUMMYFUNCTION("""COMPUTED_VALUE"""),-2.0)</f>
        <v>-2</v>
      </c>
      <c r="AB314" s="16">
        <f>IFERROR(__xludf.DUMMYFUNCTION("""COMPUTED_VALUE"""),38.7)</f>
        <v>38.7</v>
      </c>
      <c r="AC314" s="16">
        <f>IFERROR(__xludf.DUMMYFUNCTION("""COMPUTED_VALUE"""),28.2)</f>
        <v>28.2</v>
      </c>
      <c r="AD314" s="16">
        <f>IFERROR(__xludf.DUMMYFUNCTION("""COMPUTED_VALUE"""),1.0)</f>
        <v>1</v>
      </c>
      <c r="AE314" s="16">
        <f>IFERROR(__xludf.DUMMYFUNCTION("""COMPUTED_VALUE"""),-1.0)</f>
        <v>-1</v>
      </c>
      <c r="AF314" s="16">
        <f>IFERROR(__xludf.DUMMYFUNCTION("""COMPUTED_VALUE"""),5.0)</f>
        <v>5</v>
      </c>
      <c r="AG314" s="16">
        <f>IFERROR(__xludf.DUMMYFUNCTION("""COMPUTED_VALUE"""),-5.0)</f>
        <v>-5</v>
      </c>
      <c r="AH314" s="16">
        <f>IFERROR(__xludf.DUMMYFUNCTION("""COMPUTED_VALUE"""),36.8)</f>
        <v>36.8</v>
      </c>
      <c r="AI314" s="16">
        <f>IFERROR(__xludf.DUMMYFUNCTION("""COMPUTED_VALUE"""),21.4)</f>
        <v>21.4</v>
      </c>
      <c r="AJ314" s="16">
        <f>IFERROR(__xludf.DUMMYFUNCTION("""COMPUTED_VALUE"""),0.0)</f>
        <v>0</v>
      </c>
      <c r="AK314" s="16">
        <f>IFERROR(__xludf.DUMMYFUNCTION("""COMPUTED_VALUE"""),-1.0)</f>
        <v>-1</v>
      </c>
      <c r="AL314" s="16">
        <f>IFERROR(__xludf.DUMMYFUNCTION("""COMPUTED_VALUE"""),0.0)</f>
        <v>0</v>
      </c>
      <c r="AM314" s="16">
        <f>IFERROR(__xludf.DUMMYFUNCTION("""COMPUTED_VALUE"""),-5.0)</f>
        <v>-5</v>
      </c>
      <c r="AN314" s="16">
        <f>IFERROR(__xludf.DUMMYFUNCTION("""COMPUTED_VALUE"""),1.1)</f>
        <v>1.1</v>
      </c>
      <c r="AO314" s="16">
        <f>IFERROR(__xludf.DUMMYFUNCTION("""COMPUTED_VALUE"""),2.0)</f>
        <v>2</v>
      </c>
      <c r="AP314" s="16">
        <f>IFERROR(__xludf.DUMMYFUNCTION("""COMPUTED_VALUE"""),-2.0)</f>
        <v>-2</v>
      </c>
      <c r="AQ314" s="16">
        <f>IFERROR(__xludf.DUMMYFUNCTION("""COMPUTED_VALUE"""),-1.0)</f>
        <v>-1</v>
      </c>
      <c r="AR314" s="16">
        <f>IFERROR(__xludf.DUMMYFUNCTION("""COMPUTED_VALUE"""),-4.0)</f>
        <v>-4</v>
      </c>
      <c r="AS314" s="16">
        <f>IFERROR(__xludf.DUMMYFUNCTION("""COMPUTED_VALUE"""),-2.0)</f>
        <v>-2</v>
      </c>
      <c r="AT314" s="16">
        <f>IFERROR(__xludf.DUMMYFUNCTION("""COMPUTED_VALUE"""),2.0)</f>
        <v>2</v>
      </c>
      <c r="AU314" s="16"/>
      <c r="AV314" s="16">
        <f>IFERROR(__xludf.DUMMYFUNCTION("""COMPUTED_VALUE"""),2.0)</f>
        <v>2</v>
      </c>
      <c r="AW314" s="16">
        <f>IFERROR(__xludf.DUMMYFUNCTION("""COMPUTED_VALUE"""),-3.0)</f>
        <v>-3</v>
      </c>
      <c r="AX314" s="16">
        <f>IFERROR(__xludf.DUMMYFUNCTION("""COMPUTED_VALUE"""),0.0)</f>
        <v>0</v>
      </c>
      <c r="AY314" s="16">
        <f>IFERROR(__xludf.DUMMYFUNCTION("""COMPUTED_VALUE"""),-3.0)</f>
        <v>-3</v>
      </c>
      <c r="AZ314" s="16">
        <f>IFERROR(__xludf.DUMMYFUNCTION("""COMPUTED_VALUE"""),0.0)</f>
        <v>0</v>
      </c>
      <c r="BA314" s="16">
        <f>IFERROR(__xludf.DUMMYFUNCTION("""COMPUTED_VALUE"""),-9.0)</f>
        <v>-9</v>
      </c>
      <c r="BB314" s="16">
        <f>IFERROR(__xludf.DUMMYFUNCTION("""COMPUTED_VALUE"""),5.0)</f>
        <v>5</v>
      </c>
      <c r="BC314" s="16">
        <f>IFERROR(__xludf.DUMMYFUNCTION("""COMPUTED_VALUE"""),5.0)</f>
        <v>5</v>
      </c>
      <c r="BD314" s="16">
        <f>IFERROR(__xludf.DUMMYFUNCTION("""COMPUTED_VALUE"""),1.0)</f>
        <v>1</v>
      </c>
      <c r="BE314" s="16">
        <f>IFERROR(__xludf.DUMMYFUNCTION("""COMPUTED_VALUE"""),1.0)</f>
        <v>1</v>
      </c>
      <c r="BF314" s="16">
        <f>IFERROR(__xludf.DUMMYFUNCTION("""COMPUTED_VALUE"""),1.0)</f>
        <v>1</v>
      </c>
      <c r="BG314" s="16">
        <f>IFERROR(__xludf.DUMMYFUNCTION("""COMPUTED_VALUE"""),1.0)</f>
        <v>1</v>
      </c>
      <c r="BH314" s="16">
        <f>IFERROR(__xludf.DUMMYFUNCTION("""COMPUTED_VALUE"""),-6.0)</f>
        <v>-6</v>
      </c>
      <c r="BI314" s="16">
        <f>IFERROR(__xludf.DUMMYFUNCTION("""COMPUTED_VALUE"""),-6.0)</f>
        <v>-6</v>
      </c>
      <c r="BJ314" s="16">
        <f>IFERROR(__xludf.DUMMYFUNCTION("""COMPUTED_VALUE"""),2.0)</f>
        <v>2</v>
      </c>
      <c r="BK314" s="16">
        <f>IFERROR(__xludf.DUMMYFUNCTION("""COMPUTED_VALUE"""),2.0)</f>
        <v>2</v>
      </c>
      <c r="BL314" s="16">
        <f>IFERROR(__xludf.DUMMYFUNCTION("""COMPUTED_VALUE"""),2.0)</f>
        <v>2</v>
      </c>
      <c r="BM314" s="16">
        <f>IFERROR(__xludf.DUMMYFUNCTION("""COMPUTED_VALUE"""),2.0)</f>
        <v>2</v>
      </c>
      <c r="BN314" s="16">
        <f>IFERROR(__xludf.DUMMYFUNCTION("""COMPUTED_VALUE"""),2.0)</f>
        <v>2</v>
      </c>
      <c r="BO314" s="16">
        <f>IFERROR(__xludf.DUMMYFUNCTION("""COMPUTED_VALUE"""),2.0)</f>
        <v>2</v>
      </c>
      <c r="BP314" s="16">
        <f>IFERROR(__xludf.DUMMYFUNCTION("""COMPUTED_VALUE"""),2.0)</f>
        <v>2</v>
      </c>
      <c r="BQ314" s="16">
        <f>IFERROR(__xludf.DUMMYFUNCTION("""COMPUTED_VALUE"""),-4.0)</f>
        <v>-4</v>
      </c>
      <c r="BR314" s="16">
        <f>IFERROR(__xludf.DUMMYFUNCTION("""COMPUTED_VALUE"""),-2.0)</f>
        <v>-2</v>
      </c>
      <c r="BS314" s="16" t="str">
        <f>IFERROR(__xludf.DUMMYFUNCTION("""COMPUTED_VALUE"""),"*6/- (17-6)")</f>
        <v>*6/- (17-6)</v>
      </c>
      <c r="BT314" s="16" t="str">
        <f>IFERROR(__xludf.DUMMYFUNCTION("""COMPUTED_VALUE"""),"C")</f>
        <v>C</v>
      </c>
      <c r="BU314" s="16">
        <f>IFERROR(__xludf.DUMMYFUNCTION("""COMPUTED_VALUE"""),14.0)</f>
        <v>14</v>
      </c>
      <c r="BV314" s="16">
        <f>IFERROR(__xludf.DUMMYFUNCTION("""COMPUTED_VALUE"""),0.0)</f>
        <v>0</v>
      </c>
      <c r="BW314" s="16">
        <f>IFERROR(__xludf.DUMMYFUNCTION("""COMPUTED_VALUE"""),1.0)</f>
        <v>1</v>
      </c>
      <c r="BX314" s="16">
        <f>IFERROR(__xludf.DUMMYFUNCTION("""COMPUTED_VALUE"""),0.0)</f>
        <v>0</v>
      </c>
      <c r="BY314" s="16">
        <f>IFERROR(__xludf.DUMMYFUNCTION("""COMPUTED_VALUE"""),3.0)</f>
        <v>3</v>
      </c>
      <c r="BZ314" s="16" t="str">
        <f>IFERROR(__xludf.DUMMYFUNCTION("""COMPUTED_VALUE"""),"D")</f>
        <v>D</v>
      </c>
      <c r="CA314" s="16" t="str">
        <f>IFERROR(__xludf.DUMMYFUNCTION("""COMPUTED_VALUE"""),"D")</f>
        <v>D</v>
      </c>
      <c r="CB314" s="16">
        <f>IFERROR(__xludf.DUMMYFUNCTION("""COMPUTED_VALUE"""),0.0)</f>
        <v>0</v>
      </c>
      <c r="CC314" s="16">
        <f>IFERROR(__xludf.DUMMYFUNCTION("""COMPUTED_VALUE"""),0.0)</f>
        <v>0</v>
      </c>
      <c r="CD314" s="16">
        <f>IFERROR(__xludf.DUMMYFUNCTION("""COMPUTED_VALUE"""),0.0)</f>
        <v>0</v>
      </c>
      <c r="CE314" s="16">
        <f>IFERROR(__xludf.DUMMYFUNCTION("""COMPUTED_VALUE"""),0.0)</f>
        <v>0</v>
      </c>
      <c r="CF314" s="16">
        <f>IFERROR(__xludf.DUMMYFUNCTION("""COMPUTED_VALUE"""),1.0)</f>
        <v>1</v>
      </c>
      <c r="CG314" s="16">
        <f>IFERROR(__xludf.DUMMYFUNCTION("""COMPUTED_VALUE"""),5.0)</f>
        <v>5</v>
      </c>
      <c r="CH314" s="16">
        <f>IFERROR(__xludf.DUMMYFUNCTION("""COMPUTED_VALUE"""),-20.0)</f>
        <v>-20</v>
      </c>
      <c r="CI314" s="179">
        <f>IFERROR(__xludf.DUMMYFUNCTION("""COMPUTED_VALUE"""),-11.0)</f>
        <v>-11</v>
      </c>
      <c r="CJ314" s="16"/>
      <c r="CK314" s="16"/>
      <c r="CL314" s="16">
        <f>IFERROR(__xludf.DUMMYFUNCTION("""COMPUTED_VALUE"""),312.0)</f>
        <v>312</v>
      </c>
      <c r="CM314" s="16">
        <f>IFERROR(__xludf.DUMMYFUNCTION("""COMPUTED_VALUE"""),427.0)</f>
        <v>427</v>
      </c>
      <c r="CN314" s="16">
        <f>IFERROR(__xludf.DUMMYFUNCTION("""COMPUTED_VALUE"""),442.0)</f>
        <v>442</v>
      </c>
      <c r="CO314" s="16"/>
      <c r="CP314" s="16"/>
      <c r="CQ314" s="16"/>
      <c r="CR314" s="16" t="str">
        <f>IFERROR(__xludf.DUMMYFUNCTION("""COMPUTED_VALUE"""),"ss-4e42 2b-3e12 3b-4e27")</f>
        <v>ss-4e42 2b-3e12 3b-4e27</v>
      </c>
      <c r="CS314" s="16"/>
      <c r="CT314" s="16"/>
      <c r="CU314" s="16">
        <f>IFERROR(__xludf.DUMMYFUNCTION("""COMPUTED_VALUE"""),3.0)</f>
        <v>3</v>
      </c>
      <c r="CV314" s="16">
        <f>IFERROR(__xludf.DUMMYFUNCTION("""COMPUTED_VALUE"""),4.0)</f>
        <v>4</v>
      </c>
      <c r="CW314" s="16">
        <f>IFERROR(__xludf.DUMMYFUNCTION("""COMPUTED_VALUE"""),4.0)</f>
        <v>4</v>
      </c>
      <c r="CX314" s="16"/>
      <c r="CY314" s="16"/>
      <c r="CZ314" s="16"/>
      <c r="DA314" s="16"/>
      <c r="DB314" s="16"/>
      <c r="DC314" s="16">
        <f>IFERROR(__xludf.DUMMYFUNCTION("""COMPUTED_VALUE"""),12.0)</f>
        <v>12</v>
      </c>
      <c r="DD314" s="16">
        <f>IFERROR(__xludf.DUMMYFUNCTION("""COMPUTED_VALUE"""),27.0)</f>
        <v>27</v>
      </c>
      <c r="DE314" s="16">
        <f>IFERROR(__xludf.DUMMYFUNCTION("""COMPUTED_VALUE"""),42.0)</f>
        <v>42</v>
      </c>
      <c r="DF314" s="16"/>
      <c r="DG314" s="16"/>
      <c r="DH314" s="16"/>
      <c r="DI314" s="16"/>
      <c r="DJ314" s="16"/>
      <c r="DK314" s="16">
        <f>IFERROR(__xludf.DUMMYFUNCTION("""COMPUTED_VALUE"""),0.0)</f>
        <v>0</v>
      </c>
      <c r="DL314" s="16">
        <f>IFERROR(__xludf.DUMMYFUNCTION("""COMPUTED_VALUE"""),0.0)</f>
        <v>0</v>
      </c>
      <c r="DM314" s="16">
        <f>IFERROR(__xludf.DUMMYFUNCTION("""COMPUTED_VALUE"""),-2.0)</f>
        <v>-2</v>
      </c>
      <c r="DN314" s="16"/>
      <c r="DO314" s="16"/>
      <c r="DP314" s="16"/>
      <c r="DQ314" s="16"/>
      <c r="DR314" s="16"/>
      <c r="DS314" s="16">
        <f>IFERROR(__xludf.DUMMYFUNCTION("""COMPUTED_VALUE"""),2.0)</f>
        <v>2</v>
      </c>
      <c r="DT314" s="16">
        <f>IFERROR(__xludf.DUMMYFUNCTION("""COMPUTED_VALUE"""),-2.0)</f>
        <v>-2</v>
      </c>
      <c r="DU314" s="16">
        <f>IFERROR(__xludf.DUMMYFUNCTION("""COMPUTED_VALUE"""),-2.0)</f>
        <v>-2</v>
      </c>
      <c r="DV314" s="16"/>
      <c r="DW314" s="16"/>
      <c r="DX314" s="16"/>
      <c r="DY314" s="16"/>
      <c r="DZ314" s="16"/>
      <c r="EA314" s="16">
        <f>IFERROR(__xludf.DUMMYFUNCTION("""COMPUTED_VALUE"""),2.0)</f>
        <v>2</v>
      </c>
      <c r="EB314" s="16">
        <f>IFERROR(__xludf.DUMMYFUNCTION("""COMPUTED_VALUE"""),-2.0)</f>
        <v>-2</v>
      </c>
      <c r="EC314" s="16">
        <f>IFERROR(__xludf.DUMMYFUNCTION("""COMPUTED_VALUE"""),-4.0)</f>
        <v>-4</v>
      </c>
      <c r="ED314" s="16"/>
      <c r="EE314" s="16"/>
      <c r="EF314" s="16"/>
      <c r="EG314" s="179"/>
      <c r="EH314" s="179"/>
      <c r="EI314" s="179">
        <f>IFERROR(__xludf.DUMMYFUNCTION("""COMPUTED_VALUE"""),-9.0)</f>
        <v>-9</v>
      </c>
      <c r="EJ314" s="179">
        <f>IFERROR(__xludf.DUMMYFUNCTION("""COMPUTED_VALUE"""),-13.0)</f>
        <v>-13</v>
      </c>
      <c r="EK314" s="179">
        <f>IFERROR(__xludf.DUMMYFUNCTION("""COMPUTED_VALUE"""),-15.0)</f>
        <v>-15</v>
      </c>
      <c r="EL314" s="179"/>
      <c r="EM314" s="179"/>
      <c r="EN314" s="179"/>
      <c r="EO314" s="16"/>
      <c r="EP314" s="16"/>
      <c r="EQ314" s="16">
        <f>IFERROR(__xludf.DUMMYFUNCTION("""COMPUTED_VALUE"""),4.0)</f>
        <v>4</v>
      </c>
      <c r="ER314" s="16">
        <f>IFERROR(__xludf.DUMMYFUNCTION("""COMPUTED_VALUE"""),-2.0)</f>
        <v>-2</v>
      </c>
      <c r="ES314" s="16"/>
      <c r="ET314" s="16"/>
      <c r="EU314" s="16"/>
      <c r="EV314" s="16"/>
      <c r="EW314" s="16"/>
      <c r="EX314" s="180"/>
      <c r="EY314" s="180"/>
      <c r="EZ314" s="180">
        <f>IFERROR(__xludf.DUMMYFUNCTION("""COMPUTED_VALUE"""),0.2)</f>
        <v>0.2</v>
      </c>
      <c r="FA314" s="180">
        <f>IFERROR(__xludf.DUMMYFUNCTION("""COMPUTED_VALUE"""),0.3)</f>
        <v>0.3</v>
      </c>
      <c r="FB314" s="180">
        <f>IFERROR(__xludf.DUMMYFUNCTION("""COMPUTED_VALUE"""),0.3)</f>
        <v>0.3</v>
      </c>
      <c r="FC314" s="180"/>
      <c r="FD314" s="180"/>
      <c r="FE314" s="180"/>
      <c r="FF314" s="180"/>
      <c r="FG314" s="180"/>
      <c r="FH314" s="180">
        <f>IFERROR(__xludf.DUMMYFUNCTION("""COMPUTED_VALUE"""),0.06944444444444445)</f>
        <v>0.06944444444</v>
      </c>
      <c r="FI314" s="180">
        <f>IFERROR(__xludf.DUMMYFUNCTION("""COMPUTED_VALUE"""),0.32407407407407407)</f>
        <v>0.3240740741</v>
      </c>
      <c r="FJ314" s="180">
        <f>IFERROR(__xludf.DUMMYFUNCTION("""COMPUTED_VALUE"""),0.21296296296296297)</f>
        <v>0.212962963</v>
      </c>
      <c r="FK314" s="180"/>
      <c r="FL314" s="180"/>
      <c r="FM314" s="180"/>
      <c r="FN314" s="16"/>
      <c r="FO314" s="16"/>
      <c r="FP314" s="16">
        <f>IFERROR(__xludf.DUMMYFUNCTION("""COMPUTED_VALUE"""),0.7444444444444445)</f>
        <v>0.7444444444</v>
      </c>
      <c r="FQ314" s="16">
        <f>IFERROR(__xludf.DUMMYFUNCTION("""COMPUTED_VALUE"""),0.4731481481481481)</f>
        <v>0.4731481481</v>
      </c>
      <c r="FR314" s="16">
        <f>IFERROR(__xludf.DUMMYFUNCTION("""COMPUTED_VALUE"""),0.5509259259259258)</f>
        <v>0.5509259259</v>
      </c>
      <c r="FS314" s="16"/>
      <c r="FT314" s="16"/>
      <c r="FU314" s="16"/>
      <c r="FV314" s="16"/>
      <c r="FW314" s="16"/>
      <c r="FX314" s="16">
        <f>IFERROR(__xludf.DUMMYFUNCTION("""COMPUTED_VALUE"""),-4.0)</f>
        <v>-4</v>
      </c>
      <c r="FY314" s="16">
        <f>IFERROR(__xludf.DUMMYFUNCTION("""COMPUTED_VALUE"""),-8.0)</f>
        <v>-8</v>
      </c>
      <c r="FZ314" s="16">
        <f>IFERROR(__xludf.DUMMYFUNCTION("""COMPUTED_VALUE"""),-6.0)</f>
        <v>-6</v>
      </c>
      <c r="GA314" s="16"/>
      <c r="GB314" s="16"/>
      <c r="GC314" s="16"/>
      <c r="GD314" s="16" t="s">
        <v>212</v>
      </c>
    </row>
    <row r="315">
      <c r="A315" s="16">
        <f>IFERROR(__xludf.DUMMYFUNCTION("""COMPUTED_VALUE"""),13517.0)</f>
        <v>13517</v>
      </c>
      <c r="B315" s="16" t="str">
        <f>IFERROR(__xludf.DUMMYFUNCTION("""COMPUTED_VALUE"""),"Zach McKinstry")</f>
        <v>Zach McKinstry</v>
      </c>
      <c r="C315" s="16">
        <f>IFERROR(__xludf.DUMMYFUNCTION("""COMPUTED_VALUE"""),0.43)</f>
        <v>0.43</v>
      </c>
      <c r="D315" s="16" t="str">
        <f>IFERROR(__xludf.DUMMYFUNCTION("""COMPUTED_VALUE"""),"L")</f>
        <v>L</v>
      </c>
      <c r="E315" s="16"/>
      <c r="F315" s="16"/>
      <c r="G315" s="16">
        <f>IFERROR(__xludf.DUMMYFUNCTION("""COMPUTED_VALUE"""),297.0)</f>
        <v>297</v>
      </c>
      <c r="H315" s="16">
        <f>IFERROR(__xludf.DUMMYFUNCTION("""COMPUTED_VALUE"""),24.0)</f>
        <v>24</v>
      </c>
      <c r="I315" s="16" t="str">
        <f>IFERROR(__xludf.DUMMYFUNCTION("""COMPUTED_VALUE"""),"1p60")</f>
        <v>1p60</v>
      </c>
      <c r="J315" s="16">
        <f>IFERROR(__xludf.DUMMYFUNCTION("""COMPUTED_VALUE"""),14.0)</f>
        <v>14</v>
      </c>
      <c r="K315" s="16">
        <f>IFERROR(__xludf.DUMMYFUNCTION("""COMPUTED_VALUE"""),22.0)</f>
        <v>22</v>
      </c>
      <c r="L315" s="16">
        <f>IFERROR(__xludf.DUMMYFUNCTION("""COMPUTED_VALUE"""),1.0)</f>
        <v>1</v>
      </c>
      <c r="M315" s="16">
        <f>IFERROR(__xludf.DUMMYFUNCTION("""COMPUTED_VALUE"""),0.0)</f>
        <v>0</v>
      </c>
      <c r="N315" s="16">
        <f>IFERROR(__xludf.DUMMYFUNCTION("""COMPUTED_VALUE"""),1.0)</f>
        <v>1</v>
      </c>
      <c r="O315" s="16">
        <f>IFERROR(__xludf.DUMMYFUNCTION("""COMPUTED_VALUE"""),0.0)</f>
        <v>0</v>
      </c>
      <c r="P315" s="16">
        <f>IFERROR(__xludf.DUMMYFUNCTION("""COMPUTED_VALUE"""),5.0)</f>
        <v>5</v>
      </c>
      <c r="Q315" s="16">
        <f>IFERROR(__xludf.DUMMYFUNCTION("""COMPUTED_VALUE"""),7.0)</f>
        <v>7</v>
      </c>
      <c r="R315" s="16">
        <f>IFERROR(__xludf.DUMMYFUNCTION("""COMPUTED_VALUE"""),-1.0)</f>
        <v>-1</v>
      </c>
      <c r="S315" s="16">
        <f>IFERROR(__xludf.DUMMYFUNCTION("""COMPUTED_VALUE"""),-1.0)</f>
        <v>-1</v>
      </c>
      <c r="T315" s="16">
        <f>IFERROR(__xludf.DUMMYFUNCTION("""COMPUTED_VALUE"""),-1.0)</f>
        <v>-1</v>
      </c>
      <c r="U315" s="16">
        <f>IFERROR(__xludf.DUMMYFUNCTION("""COMPUTED_VALUE"""),-1.0)</f>
        <v>-1</v>
      </c>
      <c r="V315" s="16">
        <f>IFERROR(__xludf.DUMMYFUNCTION("""COMPUTED_VALUE"""),2.4)</f>
        <v>2.4</v>
      </c>
      <c r="W315" s="16">
        <f>IFERROR(__xludf.DUMMYFUNCTION("""COMPUTED_VALUE"""),17.1)</f>
        <v>17.1</v>
      </c>
      <c r="X315" s="16">
        <f>IFERROR(__xludf.DUMMYFUNCTION("""COMPUTED_VALUE"""),-2.0)</f>
        <v>-2</v>
      </c>
      <c r="Y315" s="16">
        <f>IFERROR(__xludf.DUMMYFUNCTION("""COMPUTED_VALUE"""),-1.0)</f>
        <v>-1</v>
      </c>
      <c r="Z315" s="16">
        <f>IFERROR(__xludf.DUMMYFUNCTION("""COMPUTED_VALUE"""),-4.0)</f>
        <v>-4</v>
      </c>
      <c r="AA315" s="16">
        <f>IFERROR(__xludf.DUMMYFUNCTION("""COMPUTED_VALUE"""),-2.0)</f>
        <v>-2</v>
      </c>
      <c r="AB315" s="16">
        <f>IFERROR(__xludf.DUMMYFUNCTION("""COMPUTED_VALUE"""),9.4)</f>
        <v>9.4</v>
      </c>
      <c r="AC315" s="16">
        <f>IFERROR(__xludf.DUMMYFUNCTION("""COMPUTED_VALUE"""),26.2)</f>
        <v>26.2</v>
      </c>
      <c r="AD315" s="16">
        <f>IFERROR(__xludf.DUMMYFUNCTION("""COMPUTED_VALUE"""),-2.0)</f>
        <v>-2</v>
      </c>
      <c r="AE315" s="16">
        <f>IFERROR(__xludf.DUMMYFUNCTION("""COMPUTED_VALUE"""),-1.0)</f>
        <v>-1</v>
      </c>
      <c r="AF315" s="16">
        <f>IFERROR(__xludf.DUMMYFUNCTION("""COMPUTED_VALUE"""),-10.0)</f>
        <v>-10</v>
      </c>
      <c r="AG315" s="16">
        <f>IFERROR(__xludf.DUMMYFUNCTION("""COMPUTED_VALUE"""),-5.0)</f>
        <v>-5</v>
      </c>
      <c r="AH315" s="16">
        <f>IFERROR(__xludf.DUMMYFUNCTION("""COMPUTED_VALUE"""),4.4)</f>
        <v>4.4</v>
      </c>
      <c r="AI315" s="16">
        <f>IFERROR(__xludf.DUMMYFUNCTION("""COMPUTED_VALUE"""),36.9)</f>
        <v>36.9</v>
      </c>
      <c r="AJ315" s="16">
        <f>IFERROR(__xludf.DUMMYFUNCTION("""COMPUTED_VALUE"""),-2.0)</f>
        <v>-2</v>
      </c>
      <c r="AK315" s="16">
        <f>IFERROR(__xludf.DUMMYFUNCTION("""COMPUTED_VALUE"""),0.0)</f>
        <v>0</v>
      </c>
      <c r="AL315" s="16">
        <f>IFERROR(__xludf.DUMMYFUNCTION("""COMPUTED_VALUE"""),-10.0)</f>
        <v>-10</v>
      </c>
      <c r="AM315" s="16">
        <f>IFERROR(__xludf.DUMMYFUNCTION("""COMPUTED_VALUE"""),0.0)</f>
        <v>0</v>
      </c>
      <c r="AN315" s="16">
        <f>IFERROR(__xludf.DUMMYFUNCTION("""COMPUTED_VALUE"""),0.0)</f>
        <v>0</v>
      </c>
      <c r="AO315" s="16">
        <f>IFERROR(__xludf.DUMMYFUNCTION("""COMPUTED_VALUE"""),3.0)</f>
        <v>3</v>
      </c>
      <c r="AP315" s="16">
        <f>IFERROR(__xludf.DUMMYFUNCTION("""COMPUTED_VALUE"""),-2.0)</f>
        <v>-2</v>
      </c>
      <c r="AQ315" s="16">
        <f>IFERROR(__xludf.DUMMYFUNCTION("""COMPUTED_VALUE"""),1.0)</f>
        <v>1</v>
      </c>
      <c r="AR315" s="16">
        <f>IFERROR(__xludf.DUMMYFUNCTION("""COMPUTED_VALUE"""),-4.0)</f>
        <v>-4</v>
      </c>
      <c r="AS315" s="16">
        <f>IFERROR(__xludf.DUMMYFUNCTION("""COMPUTED_VALUE"""),2.0)</f>
        <v>2</v>
      </c>
      <c r="AT315" s="16"/>
      <c r="AU315" s="16"/>
      <c r="AV315" s="16">
        <f>IFERROR(__xludf.DUMMYFUNCTION("""COMPUTED_VALUE"""),-3.0)</f>
        <v>-3</v>
      </c>
      <c r="AW315" s="16">
        <f>IFERROR(__xludf.DUMMYFUNCTION("""COMPUTED_VALUE"""),-3.0)</f>
        <v>-3</v>
      </c>
      <c r="AX315" s="16">
        <f>IFERROR(__xludf.DUMMYFUNCTION("""COMPUTED_VALUE"""),-3.0)</f>
        <v>-3</v>
      </c>
      <c r="AY315" s="16">
        <f>IFERROR(__xludf.DUMMYFUNCTION("""COMPUTED_VALUE"""),-3.0)</f>
        <v>-3</v>
      </c>
      <c r="AZ315" s="16">
        <f>IFERROR(__xludf.DUMMYFUNCTION("""COMPUTED_VALUE"""),-9.0)</f>
        <v>-9</v>
      </c>
      <c r="BA315" s="16">
        <f>IFERROR(__xludf.DUMMYFUNCTION("""COMPUTED_VALUE"""),-9.0)</f>
        <v>-9</v>
      </c>
      <c r="BB315" s="16">
        <f>IFERROR(__xludf.DUMMYFUNCTION("""COMPUTED_VALUE"""),0.0)</f>
        <v>0</v>
      </c>
      <c r="BC315" s="16">
        <f>IFERROR(__xludf.DUMMYFUNCTION("""COMPUTED_VALUE"""),5.0)</f>
        <v>5</v>
      </c>
      <c r="BD315" s="16">
        <f>IFERROR(__xludf.DUMMYFUNCTION("""COMPUTED_VALUE"""),0.0)</f>
        <v>0</v>
      </c>
      <c r="BE315" s="16">
        <f>IFERROR(__xludf.DUMMYFUNCTION("""COMPUTED_VALUE"""),1.0)</f>
        <v>1</v>
      </c>
      <c r="BF315" s="16">
        <f>IFERROR(__xludf.DUMMYFUNCTION("""COMPUTED_VALUE"""),0.0)</f>
        <v>0</v>
      </c>
      <c r="BG315" s="16">
        <f>IFERROR(__xludf.DUMMYFUNCTION("""COMPUTED_VALUE"""),1.0)</f>
        <v>1</v>
      </c>
      <c r="BH315" s="16">
        <f>IFERROR(__xludf.DUMMYFUNCTION("""COMPUTED_VALUE"""),0.0)</f>
        <v>0</v>
      </c>
      <c r="BI315" s="16">
        <f>IFERROR(__xludf.DUMMYFUNCTION("""COMPUTED_VALUE"""),0.0)</f>
        <v>0</v>
      </c>
      <c r="BJ315" s="16">
        <f>IFERROR(__xludf.DUMMYFUNCTION("""COMPUTED_VALUE"""),5.0)</f>
        <v>5</v>
      </c>
      <c r="BK315" s="16">
        <f>IFERROR(__xludf.DUMMYFUNCTION("""COMPUTED_VALUE"""),5.0)</f>
        <v>5</v>
      </c>
      <c r="BL315" s="16">
        <f>IFERROR(__xludf.DUMMYFUNCTION("""COMPUTED_VALUE"""),1.0)</f>
        <v>1</v>
      </c>
      <c r="BM315" s="16">
        <f>IFERROR(__xludf.DUMMYFUNCTION("""COMPUTED_VALUE"""),1.0)</f>
        <v>1</v>
      </c>
      <c r="BN315" s="16">
        <f>IFERROR(__xludf.DUMMYFUNCTION("""COMPUTED_VALUE"""),1.0)</f>
        <v>1</v>
      </c>
      <c r="BO315" s="16">
        <f>IFERROR(__xludf.DUMMYFUNCTION("""COMPUTED_VALUE"""),1.0)</f>
        <v>1</v>
      </c>
      <c r="BP315" s="16">
        <f>IFERROR(__xludf.DUMMYFUNCTION("""COMPUTED_VALUE"""),-10.0)</f>
        <v>-10</v>
      </c>
      <c r="BQ315" s="16">
        <f>IFERROR(__xludf.DUMMYFUNCTION("""COMPUTED_VALUE"""),-3.0)</f>
        <v>-3</v>
      </c>
      <c r="BR315" s="16">
        <f>IFERROR(__xludf.DUMMYFUNCTION("""COMPUTED_VALUE"""),-13.0)</f>
        <v>-13</v>
      </c>
      <c r="BS315" s="16" t="str">
        <f>IFERROR(__xludf.DUMMYFUNCTION("""COMPUTED_VALUE"""),"*4,6/- (20-13)")</f>
        <v>*4,6/- (20-13)</v>
      </c>
      <c r="BT315" s="16" t="str">
        <f>IFERROR(__xludf.DUMMYFUNCTION("""COMPUTED_VALUE"""),"A")</f>
        <v>A</v>
      </c>
      <c r="BU315" s="16">
        <f>IFERROR(__xludf.DUMMYFUNCTION("""COMPUTED_VALUE"""),15.0)</f>
        <v>15</v>
      </c>
      <c r="BV315" s="16">
        <f>IFERROR(__xludf.DUMMYFUNCTION("""COMPUTED_VALUE"""),2.0)</f>
        <v>2</v>
      </c>
      <c r="BW315" s="16">
        <f>IFERROR(__xludf.DUMMYFUNCTION("""COMPUTED_VALUE"""),2.0)</f>
        <v>2</v>
      </c>
      <c r="BX315" s="16">
        <f>IFERROR(__xludf.DUMMYFUNCTION("""COMPUTED_VALUE"""),4.0)</f>
        <v>4</v>
      </c>
      <c r="BY315" s="16">
        <f>IFERROR(__xludf.DUMMYFUNCTION("""COMPUTED_VALUE"""),6.0)</f>
        <v>6</v>
      </c>
      <c r="BZ315" s="16" t="str">
        <f>IFERROR(__xludf.DUMMYFUNCTION("""COMPUTED_VALUE"""),"D")</f>
        <v>D</v>
      </c>
      <c r="CA315" s="16" t="str">
        <f>IFERROR(__xludf.DUMMYFUNCTION("""COMPUTED_VALUE"""),"C")</f>
        <v>C</v>
      </c>
      <c r="CB315" s="16">
        <f>IFERROR(__xludf.DUMMYFUNCTION("""COMPUTED_VALUE"""),0.0)</f>
        <v>0</v>
      </c>
      <c r="CC315" s="16">
        <f>IFERROR(__xludf.DUMMYFUNCTION("""COMPUTED_VALUE"""),0.0)</f>
        <v>0</v>
      </c>
      <c r="CD315" s="16">
        <f>IFERROR(__xludf.DUMMYFUNCTION("""COMPUTED_VALUE"""),0.0)</f>
        <v>0</v>
      </c>
      <c r="CE315" s="16">
        <f>IFERROR(__xludf.DUMMYFUNCTION("""COMPUTED_VALUE"""),0.0)</f>
        <v>0</v>
      </c>
      <c r="CF315" s="16">
        <f>IFERROR(__xludf.DUMMYFUNCTION("""COMPUTED_VALUE"""),1.0)</f>
        <v>1</v>
      </c>
      <c r="CG315" s="16">
        <f>IFERROR(__xludf.DUMMYFUNCTION("""COMPUTED_VALUE"""),-36.0)</f>
        <v>-36</v>
      </c>
      <c r="CH315" s="16">
        <f>IFERROR(__xludf.DUMMYFUNCTION("""COMPUTED_VALUE"""),-13.0)</f>
        <v>-13</v>
      </c>
      <c r="CI315" s="179">
        <f>IFERROR(__xludf.DUMMYFUNCTION("""COMPUTED_VALUE"""),-11.0)</f>
        <v>-11</v>
      </c>
      <c r="CJ315" s="16"/>
      <c r="CK315" s="16"/>
      <c r="CL315" s="16">
        <f>IFERROR(__xludf.DUMMYFUNCTION("""COMPUTED_VALUE"""),311.0)</f>
        <v>311</v>
      </c>
      <c r="CM315" s="16">
        <f>IFERROR(__xludf.DUMMYFUNCTION("""COMPUTED_VALUE"""),332.0)</f>
        <v>332</v>
      </c>
      <c r="CN315" s="16">
        <f>IFERROR(__xludf.DUMMYFUNCTION("""COMPUTED_VALUE"""),423.0)</f>
        <v>423</v>
      </c>
      <c r="CO315" s="16">
        <f>IFERROR(__xludf.DUMMYFUNCTION("""COMPUTED_VALUE"""),303.0)</f>
        <v>303</v>
      </c>
      <c r="CP315" s="16"/>
      <c r="CQ315" s="16">
        <f>IFERROR(__xludf.DUMMYFUNCTION("""COMPUTED_VALUE"""),303.0)</f>
        <v>303</v>
      </c>
      <c r="CR315" s="16" t="str">
        <f>IFERROR(__xludf.DUMMYFUNCTION("""COMPUTED_VALUE"""),"ss-4e23 3b-3e32 2b-3e11 lf-3(-1)e3 rf-3e3")</f>
        <v>ss-4e23 3b-3e32 2b-3e11 lf-3(-1)e3 rf-3e3</v>
      </c>
      <c r="CS315" s="16"/>
      <c r="CT315" s="16"/>
      <c r="CU315" s="16">
        <f>IFERROR(__xludf.DUMMYFUNCTION("""COMPUTED_VALUE"""),3.0)</f>
        <v>3</v>
      </c>
      <c r="CV315" s="16">
        <f>IFERROR(__xludf.DUMMYFUNCTION("""COMPUTED_VALUE"""),3.0)</f>
        <v>3</v>
      </c>
      <c r="CW315" s="16">
        <f>IFERROR(__xludf.DUMMYFUNCTION("""COMPUTED_VALUE"""),4.0)</f>
        <v>4</v>
      </c>
      <c r="CX315" s="16">
        <f>IFERROR(__xludf.DUMMYFUNCTION("""COMPUTED_VALUE"""),3.0)</f>
        <v>3</v>
      </c>
      <c r="CY315" s="16"/>
      <c r="CZ315" s="16">
        <f>IFERROR(__xludf.DUMMYFUNCTION("""COMPUTED_VALUE"""),3.0)</f>
        <v>3</v>
      </c>
      <c r="DA315" s="16"/>
      <c r="DB315" s="16"/>
      <c r="DC315" s="16">
        <f>IFERROR(__xludf.DUMMYFUNCTION("""COMPUTED_VALUE"""),11.0)</f>
        <v>11</v>
      </c>
      <c r="DD315" s="16">
        <f>IFERROR(__xludf.DUMMYFUNCTION("""COMPUTED_VALUE"""),32.0)</f>
        <v>32</v>
      </c>
      <c r="DE315" s="16">
        <f>IFERROR(__xludf.DUMMYFUNCTION("""COMPUTED_VALUE"""),23.0)</f>
        <v>23</v>
      </c>
      <c r="DF315" s="16">
        <f>IFERROR(__xludf.DUMMYFUNCTION("""COMPUTED_VALUE"""),3.0)</f>
        <v>3</v>
      </c>
      <c r="DG315" s="16"/>
      <c r="DH315" s="16">
        <f>IFERROR(__xludf.DUMMYFUNCTION("""COMPUTED_VALUE"""),3.0)</f>
        <v>3</v>
      </c>
      <c r="DI315" s="16"/>
      <c r="DJ315" s="16"/>
      <c r="DK315" s="16">
        <f>IFERROR(__xludf.DUMMYFUNCTION("""COMPUTED_VALUE"""),0.0)</f>
        <v>0</v>
      </c>
      <c r="DL315" s="16">
        <f>IFERROR(__xludf.DUMMYFUNCTION("""COMPUTED_VALUE"""),1.0)</f>
        <v>1</v>
      </c>
      <c r="DM315" s="16">
        <f>IFERROR(__xludf.DUMMYFUNCTION("""COMPUTED_VALUE"""),-2.0)</f>
        <v>-2</v>
      </c>
      <c r="DN315" s="16">
        <f>IFERROR(__xludf.DUMMYFUNCTION("""COMPUTED_VALUE"""),0.0)</f>
        <v>0</v>
      </c>
      <c r="DO315" s="16"/>
      <c r="DP315" s="16">
        <f>IFERROR(__xludf.DUMMYFUNCTION("""COMPUTED_VALUE"""),0.0)</f>
        <v>0</v>
      </c>
      <c r="DQ315" s="16"/>
      <c r="DR315" s="16"/>
      <c r="DS315" s="16">
        <f>IFERROR(__xludf.DUMMYFUNCTION("""COMPUTED_VALUE"""),2.0)</f>
        <v>2</v>
      </c>
      <c r="DT315" s="16">
        <f>IFERROR(__xludf.DUMMYFUNCTION("""COMPUTED_VALUE"""),-2.0)</f>
        <v>-2</v>
      </c>
      <c r="DU315" s="16">
        <f>IFERROR(__xludf.DUMMYFUNCTION("""COMPUTED_VALUE"""),0.0)</f>
        <v>0</v>
      </c>
      <c r="DV315" s="16">
        <f>IFERROR(__xludf.DUMMYFUNCTION("""COMPUTED_VALUE"""),4.0)</f>
        <v>4</v>
      </c>
      <c r="DW315" s="16"/>
      <c r="DX315" s="16">
        <f>IFERROR(__xludf.DUMMYFUNCTION("""COMPUTED_VALUE"""),4.0)</f>
        <v>4</v>
      </c>
      <c r="DY315" s="16"/>
      <c r="DZ315" s="16"/>
      <c r="EA315" s="16">
        <f>IFERROR(__xludf.DUMMYFUNCTION("""COMPUTED_VALUE"""),2.0)</f>
        <v>2</v>
      </c>
      <c r="EB315" s="16">
        <f>IFERROR(__xludf.DUMMYFUNCTION("""COMPUTED_VALUE"""),-1.0)</f>
        <v>-1</v>
      </c>
      <c r="EC315" s="16">
        <f>IFERROR(__xludf.DUMMYFUNCTION("""COMPUTED_VALUE"""),-2.0)</f>
        <v>-2</v>
      </c>
      <c r="ED315" s="16">
        <f>IFERROR(__xludf.DUMMYFUNCTION("""COMPUTED_VALUE"""),4.0)</f>
        <v>4</v>
      </c>
      <c r="EE315" s="16"/>
      <c r="EF315" s="16">
        <f>IFERROR(__xludf.DUMMYFUNCTION("""COMPUTED_VALUE"""),4.0)</f>
        <v>4</v>
      </c>
      <c r="EG315" s="179"/>
      <c r="EH315" s="179"/>
      <c r="EI315" s="179">
        <f>IFERROR(__xludf.DUMMYFUNCTION("""COMPUTED_VALUE"""),-9.0)</f>
        <v>-9</v>
      </c>
      <c r="EJ315" s="179">
        <f>IFERROR(__xludf.DUMMYFUNCTION("""COMPUTED_VALUE"""),-12.0)</f>
        <v>-12</v>
      </c>
      <c r="EK315" s="179">
        <f>IFERROR(__xludf.DUMMYFUNCTION("""COMPUTED_VALUE"""),-13.0)</f>
        <v>-13</v>
      </c>
      <c r="EL315" s="179">
        <f>IFERROR(__xludf.DUMMYFUNCTION("""COMPUTED_VALUE"""),-7.0)</f>
        <v>-7</v>
      </c>
      <c r="EM315" s="179"/>
      <c r="EN315" s="179">
        <f>IFERROR(__xludf.DUMMYFUNCTION("""COMPUTED_VALUE"""),-7.0)</f>
        <v>-7</v>
      </c>
      <c r="EO315" s="16"/>
      <c r="EP315" s="16">
        <f>IFERROR(__xludf.DUMMYFUNCTION("""COMPUTED_VALUE"""),2.0)</f>
        <v>2</v>
      </c>
      <c r="EQ315" s="16">
        <f>IFERROR(__xludf.DUMMYFUNCTION("""COMPUTED_VALUE"""),4.0)</f>
        <v>4</v>
      </c>
      <c r="ER315" s="16">
        <f>IFERROR(__xludf.DUMMYFUNCTION("""COMPUTED_VALUE"""),1.0)</f>
        <v>1</v>
      </c>
      <c r="ES315" s="16"/>
      <c r="ET315" s="16"/>
      <c r="EU315" s="16"/>
      <c r="EV315" s="16"/>
      <c r="EW315" s="16"/>
      <c r="EX315" s="180"/>
      <c r="EY315" s="180"/>
      <c r="EZ315" s="180">
        <f>IFERROR(__xludf.DUMMYFUNCTION("""COMPUTED_VALUE"""),0.2)</f>
        <v>0.2</v>
      </c>
      <c r="FA315" s="180">
        <f>IFERROR(__xludf.DUMMYFUNCTION("""COMPUTED_VALUE"""),0.2)</f>
        <v>0.2</v>
      </c>
      <c r="FB315" s="180">
        <f>IFERROR(__xludf.DUMMYFUNCTION("""COMPUTED_VALUE"""),0.3)</f>
        <v>0.3</v>
      </c>
      <c r="FC315" s="180">
        <f>IFERROR(__xludf.DUMMYFUNCTION("""COMPUTED_VALUE"""),0.3)</f>
        <v>0.3</v>
      </c>
      <c r="FD315" s="180"/>
      <c r="FE315" s="180">
        <f>IFERROR(__xludf.DUMMYFUNCTION("""COMPUTED_VALUE"""),0.3)</f>
        <v>0.3</v>
      </c>
      <c r="FF315" s="180"/>
      <c r="FG315" s="180"/>
      <c r="FH315" s="180">
        <f>IFERROR(__xludf.DUMMYFUNCTION("""COMPUTED_VALUE"""),0.06481481481481481)</f>
        <v>0.06481481481</v>
      </c>
      <c r="FI315" s="180">
        <f>IFERROR(__xludf.DUMMYFUNCTION("""COMPUTED_VALUE"""),0.38425925925925924)</f>
        <v>0.3842592593</v>
      </c>
      <c r="FJ315" s="180">
        <f>IFERROR(__xludf.DUMMYFUNCTION("""COMPUTED_VALUE"""),0.12037037037037036)</f>
        <v>0.1203703704</v>
      </c>
      <c r="FK315" s="180">
        <f>IFERROR(__xludf.DUMMYFUNCTION("""COMPUTED_VALUE"""),0.056)</f>
        <v>0.056</v>
      </c>
      <c r="FL315" s="180"/>
      <c r="FM315" s="180">
        <f>IFERROR(__xludf.DUMMYFUNCTION("""COMPUTED_VALUE"""),0.056)</f>
        <v>0.056</v>
      </c>
      <c r="FN315" s="16"/>
      <c r="FO315" s="16"/>
      <c r="FP315" s="16">
        <f>IFERROR(__xludf.DUMMYFUNCTION("""COMPUTED_VALUE"""),0.7481481481481482)</f>
        <v>0.7481481481</v>
      </c>
      <c r="FQ315" s="16">
        <f>IFERROR(__xludf.DUMMYFUNCTION("""COMPUTED_VALUE"""),0.4925925925925926)</f>
        <v>0.4925925926</v>
      </c>
      <c r="FR315" s="16">
        <f>IFERROR(__xludf.DUMMYFUNCTION("""COMPUTED_VALUE"""),0.6157407407407407)</f>
        <v>0.6157407407</v>
      </c>
      <c r="FS315" s="16">
        <f>IFERROR(__xludf.DUMMYFUNCTION("""COMPUTED_VALUE"""),0.6607999999999999)</f>
        <v>0.6608</v>
      </c>
      <c r="FT315" s="16"/>
      <c r="FU315" s="16">
        <f>IFERROR(__xludf.DUMMYFUNCTION("""COMPUTED_VALUE"""),0.6607999999999999)</f>
        <v>0.6608</v>
      </c>
      <c r="FV315" s="16"/>
      <c r="FW315" s="16"/>
      <c r="FX315" s="16">
        <f>IFERROR(__xludf.DUMMYFUNCTION("""COMPUTED_VALUE"""),-4.0)</f>
        <v>-4</v>
      </c>
      <c r="FY315" s="16">
        <f>IFERROR(__xludf.DUMMYFUNCTION("""COMPUTED_VALUE"""),-8.0)</f>
        <v>-8</v>
      </c>
      <c r="FZ315" s="16">
        <f>IFERROR(__xludf.DUMMYFUNCTION("""COMPUTED_VALUE"""),-6.0)</f>
        <v>-6</v>
      </c>
      <c r="GA315" s="16">
        <f>IFERROR(__xludf.DUMMYFUNCTION("""COMPUTED_VALUE"""),-6.0)</f>
        <v>-6</v>
      </c>
      <c r="GB315" s="16"/>
      <c r="GC315" s="16">
        <f>IFERROR(__xludf.DUMMYFUNCTION("""COMPUTED_VALUE"""),-6.0)</f>
        <v>-6</v>
      </c>
      <c r="GD315" s="16" t="s">
        <v>176</v>
      </c>
    </row>
    <row r="316">
      <c r="A316" s="16">
        <f>IFERROR(__xludf.DUMMYFUNCTION("""COMPUTED_VALUE"""),12824.0)</f>
        <v>12824</v>
      </c>
      <c r="B316" s="16" t="str">
        <f>IFERROR(__xludf.DUMMYFUNCTION("""COMPUTED_VALUE"""),"Freddy Fermin")</f>
        <v>Freddy Fermin</v>
      </c>
      <c r="C316" s="16">
        <f>IFERROR(__xludf.DUMMYFUNCTION("""COMPUTED_VALUE"""),2.36)</f>
        <v>2.36</v>
      </c>
      <c r="D316" s="16" t="str">
        <f>IFERROR(__xludf.DUMMYFUNCTION("""COMPUTED_VALUE"""),"R")</f>
        <v>R</v>
      </c>
      <c r="E316" s="16"/>
      <c r="F316" s="16"/>
      <c r="G316" s="16">
        <f>IFERROR(__xludf.DUMMYFUNCTION("""COMPUTED_VALUE"""),339.0)</f>
        <v>339</v>
      </c>
      <c r="H316" s="16">
        <f>IFERROR(__xludf.DUMMYFUNCTION("""COMPUTED_VALUE"""),23.0)</f>
        <v>23</v>
      </c>
      <c r="I316" s="16" t="str">
        <f>IFERROR(__xludf.DUMMYFUNCTION("""COMPUTED_VALUE"""),"2p50")</f>
        <v>2p50</v>
      </c>
      <c r="J316" s="16">
        <f>IFERROR(__xludf.DUMMYFUNCTION("""COMPUTED_VALUE"""),10.0)</f>
        <v>10</v>
      </c>
      <c r="K316" s="16">
        <f>IFERROR(__xludf.DUMMYFUNCTION("""COMPUTED_VALUE"""),16.0)</f>
        <v>16</v>
      </c>
      <c r="L316" s="16">
        <f>IFERROR(__xludf.DUMMYFUNCTION("""COMPUTED_VALUE"""),1.0)</f>
        <v>1</v>
      </c>
      <c r="M316" s="16">
        <f>IFERROR(__xludf.DUMMYFUNCTION("""COMPUTED_VALUE"""),1.0)</f>
        <v>1</v>
      </c>
      <c r="N316" s="16">
        <f>IFERROR(__xludf.DUMMYFUNCTION("""COMPUTED_VALUE"""),1.0)</f>
        <v>1</v>
      </c>
      <c r="O316" s="16">
        <f>IFERROR(__xludf.DUMMYFUNCTION("""COMPUTED_VALUE"""),1.0)</f>
        <v>1</v>
      </c>
      <c r="P316" s="16">
        <f>IFERROR(__xludf.DUMMYFUNCTION("""COMPUTED_VALUE"""),8.0)</f>
        <v>8</v>
      </c>
      <c r="Q316" s="16">
        <f>IFERROR(__xludf.DUMMYFUNCTION("""COMPUTED_VALUE"""),4.0)</f>
        <v>4</v>
      </c>
      <c r="R316" s="16">
        <f>IFERROR(__xludf.DUMMYFUNCTION("""COMPUTED_VALUE"""),0.0)</f>
        <v>0</v>
      </c>
      <c r="S316" s="16">
        <f>IFERROR(__xludf.DUMMYFUNCTION("""COMPUTED_VALUE"""),-2.0)</f>
        <v>-2</v>
      </c>
      <c r="T316" s="16">
        <f>IFERROR(__xludf.DUMMYFUNCTION("""COMPUTED_VALUE"""),0.0)</f>
        <v>0</v>
      </c>
      <c r="U316" s="16">
        <f>IFERROR(__xludf.DUMMYFUNCTION("""COMPUTED_VALUE"""),-2.0)</f>
        <v>-2</v>
      </c>
      <c r="V316" s="16">
        <f>IFERROR(__xludf.DUMMYFUNCTION("""COMPUTED_VALUE"""),28.9)</f>
        <v>28.9</v>
      </c>
      <c r="W316" s="16">
        <f>IFERROR(__xludf.DUMMYFUNCTION("""COMPUTED_VALUE"""),23.4)</f>
        <v>23.4</v>
      </c>
      <c r="X316" s="16">
        <f>IFERROR(__xludf.DUMMYFUNCTION("""COMPUTED_VALUE"""),1.0)</f>
        <v>1</v>
      </c>
      <c r="Y316" s="16">
        <f>IFERROR(__xludf.DUMMYFUNCTION("""COMPUTED_VALUE"""),1.0)</f>
        <v>1</v>
      </c>
      <c r="Z316" s="16">
        <f>IFERROR(__xludf.DUMMYFUNCTION("""COMPUTED_VALUE"""),2.0)</f>
        <v>2</v>
      </c>
      <c r="AA316" s="16">
        <f>IFERROR(__xludf.DUMMYFUNCTION("""COMPUTED_VALUE"""),2.0)</f>
        <v>2</v>
      </c>
      <c r="AB316" s="16">
        <f>IFERROR(__xludf.DUMMYFUNCTION("""COMPUTED_VALUE"""),37.9)</f>
        <v>37.9</v>
      </c>
      <c r="AC316" s="16">
        <f>IFERROR(__xludf.DUMMYFUNCTION("""COMPUTED_VALUE"""),28.4)</f>
        <v>28.4</v>
      </c>
      <c r="AD316" s="16">
        <f>IFERROR(__xludf.DUMMYFUNCTION("""COMPUTED_VALUE"""),1.0)</f>
        <v>1</v>
      </c>
      <c r="AE316" s="16">
        <f>IFERROR(__xludf.DUMMYFUNCTION("""COMPUTED_VALUE"""),-1.0)</f>
        <v>-1</v>
      </c>
      <c r="AF316" s="16">
        <f>IFERROR(__xludf.DUMMYFUNCTION("""COMPUTED_VALUE"""),5.0)</f>
        <v>5</v>
      </c>
      <c r="AG316" s="16">
        <f>IFERROR(__xludf.DUMMYFUNCTION("""COMPUTED_VALUE"""),-5.0)</f>
        <v>-5</v>
      </c>
      <c r="AH316" s="16">
        <f>IFERROR(__xludf.DUMMYFUNCTION("""COMPUTED_VALUE"""),39.9)</f>
        <v>39.9</v>
      </c>
      <c r="AI316" s="16">
        <f>IFERROR(__xludf.DUMMYFUNCTION("""COMPUTED_VALUE"""),27.0)</f>
        <v>27</v>
      </c>
      <c r="AJ316" s="16">
        <f>IFERROR(__xludf.DUMMYFUNCTION("""COMPUTED_VALUE"""),1.0)</f>
        <v>1</v>
      </c>
      <c r="AK316" s="16">
        <f>IFERROR(__xludf.DUMMYFUNCTION("""COMPUTED_VALUE"""),-1.0)</f>
        <v>-1</v>
      </c>
      <c r="AL316" s="16">
        <f>IFERROR(__xludf.DUMMYFUNCTION("""COMPUTED_VALUE"""),5.0)</f>
        <v>5</v>
      </c>
      <c r="AM316" s="16">
        <f>IFERROR(__xludf.DUMMYFUNCTION("""COMPUTED_VALUE"""),-5.0)</f>
        <v>-5</v>
      </c>
      <c r="AN316" s="16">
        <f>IFERROR(__xludf.DUMMYFUNCTION("""COMPUTED_VALUE"""),0.0)</f>
        <v>0</v>
      </c>
      <c r="AO316" s="16">
        <f>IFERROR(__xludf.DUMMYFUNCTION("""COMPUTED_VALUE"""),1.2)</f>
        <v>1.2</v>
      </c>
      <c r="AP316" s="16">
        <f>IFERROR(__xludf.DUMMYFUNCTION("""COMPUTED_VALUE"""),-2.0)</f>
        <v>-2</v>
      </c>
      <c r="AQ316" s="16">
        <f>IFERROR(__xludf.DUMMYFUNCTION("""COMPUTED_VALUE"""),-2.0)</f>
        <v>-2</v>
      </c>
      <c r="AR316" s="16">
        <f>IFERROR(__xludf.DUMMYFUNCTION("""COMPUTED_VALUE"""),-4.0)</f>
        <v>-4</v>
      </c>
      <c r="AS316" s="16">
        <f>IFERROR(__xludf.DUMMYFUNCTION("""COMPUTED_VALUE"""),-4.0)</f>
        <v>-4</v>
      </c>
      <c r="AT316" s="16"/>
      <c r="AU316" s="16">
        <f>IFERROR(__xludf.DUMMYFUNCTION("""COMPUTED_VALUE"""),2.0)</f>
        <v>2</v>
      </c>
      <c r="AV316" s="16">
        <f>IFERROR(__xludf.DUMMYFUNCTION("""COMPUTED_VALUE"""),-3.0)</f>
        <v>-3</v>
      </c>
      <c r="AW316" s="16">
        <f>IFERROR(__xludf.DUMMYFUNCTION("""COMPUTED_VALUE"""),2.0)</f>
        <v>2</v>
      </c>
      <c r="AX316" s="16">
        <f>IFERROR(__xludf.DUMMYFUNCTION("""COMPUTED_VALUE"""),-3.0)</f>
        <v>-3</v>
      </c>
      <c r="AY316" s="16">
        <f>IFERROR(__xludf.DUMMYFUNCTION("""COMPUTED_VALUE"""),0.0)</f>
        <v>0</v>
      </c>
      <c r="AZ316" s="16">
        <f>IFERROR(__xludf.DUMMYFUNCTION("""COMPUTED_VALUE"""),-9.0)</f>
        <v>-9</v>
      </c>
      <c r="BA316" s="16">
        <f>IFERROR(__xludf.DUMMYFUNCTION("""COMPUTED_VALUE"""),0.0)</f>
        <v>0</v>
      </c>
      <c r="BB316" s="16">
        <f>IFERROR(__xludf.DUMMYFUNCTION("""COMPUTED_VALUE"""),5.0)</f>
        <v>5</v>
      </c>
      <c r="BC316" s="16">
        <f>IFERROR(__xludf.DUMMYFUNCTION("""COMPUTED_VALUE"""),5.0)</f>
        <v>5</v>
      </c>
      <c r="BD316" s="16">
        <f>IFERROR(__xludf.DUMMYFUNCTION("""COMPUTED_VALUE"""),1.0)</f>
        <v>1</v>
      </c>
      <c r="BE316" s="16">
        <f>IFERROR(__xludf.DUMMYFUNCTION("""COMPUTED_VALUE"""),1.0)</f>
        <v>1</v>
      </c>
      <c r="BF316" s="16">
        <f>IFERROR(__xludf.DUMMYFUNCTION("""COMPUTED_VALUE"""),1.0)</f>
        <v>1</v>
      </c>
      <c r="BG316" s="16">
        <f>IFERROR(__xludf.DUMMYFUNCTION("""COMPUTED_VALUE"""),1.0)</f>
        <v>1</v>
      </c>
      <c r="BH316" s="16">
        <f>IFERROR(__xludf.DUMMYFUNCTION("""COMPUTED_VALUE"""),2.0)</f>
        <v>2</v>
      </c>
      <c r="BI316" s="16">
        <f>IFERROR(__xludf.DUMMYFUNCTION("""COMPUTED_VALUE"""),2.0)</f>
        <v>2</v>
      </c>
      <c r="BJ316" s="16">
        <f>IFERROR(__xludf.DUMMYFUNCTION("""COMPUTED_VALUE"""),21.0)</f>
        <v>21</v>
      </c>
      <c r="BK316" s="16">
        <f>IFERROR(__xludf.DUMMYFUNCTION("""COMPUTED_VALUE"""),22.0)</f>
        <v>22</v>
      </c>
      <c r="BL316" s="16">
        <f>IFERROR(__xludf.DUMMYFUNCTION("""COMPUTED_VALUE"""),-2.0)</f>
        <v>-2</v>
      </c>
      <c r="BM316" s="16">
        <f>IFERROR(__xludf.DUMMYFUNCTION("""COMPUTED_VALUE"""),-2.0)</f>
        <v>-2</v>
      </c>
      <c r="BN316" s="16">
        <f>IFERROR(__xludf.DUMMYFUNCTION("""COMPUTED_VALUE"""),-4.0)</f>
        <v>-4</v>
      </c>
      <c r="BO316" s="16">
        <f>IFERROR(__xludf.DUMMYFUNCTION("""COMPUTED_VALUE"""),-4.0)</f>
        <v>-4</v>
      </c>
      <c r="BP316" s="16">
        <f>IFERROR(__xludf.DUMMYFUNCTION("""COMPUTED_VALUE"""),-2.0)</f>
        <v>-2</v>
      </c>
      <c r="BQ316" s="16">
        <f>IFERROR(__xludf.DUMMYFUNCTION("""COMPUTED_VALUE"""),-5.0)</f>
        <v>-5</v>
      </c>
      <c r="BR316" s="16">
        <f>IFERROR(__xludf.DUMMYFUNCTION("""COMPUTED_VALUE"""),-7.0)</f>
        <v>-7</v>
      </c>
      <c r="BS316" s="16" t="str">
        <f>IFERROR(__xludf.DUMMYFUNCTION("""COMPUTED_VALUE"""),"2/- (20-6)")</f>
        <v>2/- (20-6)</v>
      </c>
      <c r="BT316" s="16" t="str">
        <f>IFERROR(__xludf.DUMMYFUNCTION("""COMPUTED_VALUE"""),"E")</f>
        <v>E</v>
      </c>
      <c r="BU316" s="16">
        <f>IFERROR(__xludf.DUMMYFUNCTION("""COMPUTED_VALUE"""),11.0)</f>
        <v>11</v>
      </c>
      <c r="BV316" s="16">
        <f>IFERROR(__xludf.DUMMYFUNCTION("""COMPUTED_VALUE"""),0.0)</f>
        <v>0</v>
      </c>
      <c r="BW316" s="16">
        <f>IFERROR(__xludf.DUMMYFUNCTION("""COMPUTED_VALUE"""),0.0)</f>
        <v>0</v>
      </c>
      <c r="BX316" s="16">
        <f>IFERROR(__xludf.DUMMYFUNCTION("""COMPUTED_VALUE"""),0.0)</f>
        <v>0</v>
      </c>
      <c r="BY316" s="16">
        <f>IFERROR(__xludf.DUMMYFUNCTION("""COMPUTED_VALUE"""),0.0)</f>
        <v>0</v>
      </c>
      <c r="BZ316" s="16" t="str">
        <f>IFERROR(__xludf.DUMMYFUNCTION("""COMPUTED_VALUE"""),"B")</f>
        <v>B</v>
      </c>
      <c r="CA316" s="16" t="str">
        <f>IFERROR(__xludf.DUMMYFUNCTION("""COMPUTED_VALUE"""),"C")</f>
        <v>C</v>
      </c>
      <c r="CB316" s="16">
        <f>IFERROR(__xludf.DUMMYFUNCTION("""COMPUTED_VALUE"""),1.0)</f>
        <v>1</v>
      </c>
      <c r="CC316" s="16">
        <f>IFERROR(__xludf.DUMMYFUNCTION("""COMPUTED_VALUE"""),0.0)</f>
        <v>0</v>
      </c>
      <c r="CD316" s="16">
        <f>IFERROR(__xludf.DUMMYFUNCTION("""COMPUTED_VALUE"""),1.0)</f>
        <v>1</v>
      </c>
      <c r="CE316" s="16">
        <f>IFERROR(__xludf.DUMMYFUNCTION("""COMPUTED_VALUE"""),0.0)</f>
        <v>0</v>
      </c>
      <c r="CF316" s="16">
        <f>IFERROR(__xludf.DUMMYFUNCTION("""COMPUTED_VALUE"""),2.0)</f>
        <v>2</v>
      </c>
      <c r="CG316" s="16">
        <f>IFERROR(__xludf.DUMMYFUNCTION("""COMPUTED_VALUE"""),-3.0)</f>
        <v>-3</v>
      </c>
      <c r="CH316" s="16">
        <f>IFERROR(__xludf.DUMMYFUNCTION("""COMPUTED_VALUE"""),-16.0)</f>
        <v>-16</v>
      </c>
      <c r="CI316" s="179">
        <f>IFERROR(__xludf.DUMMYFUNCTION("""COMPUTED_VALUE"""),-11.0)</f>
        <v>-11</v>
      </c>
      <c r="CJ316" s="16">
        <f>IFERROR(__xludf.DUMMYFUNCTION("""COMPUTED_VALUE"""),206.0)</f>
        <v>206</v>
      </c>
      <c r="CK316" s="16"/>
      <c r="CL316" s="16"/>
      <c r="CM316" s="16"/>
      <c r="CN316" s="16"/>
      <c r="CO316" s="16"/>
      <c r="CP316" s="16"/>
      <c r="CQ316" s="16"/>
      <c r="CR316" s="16" t="str">
        <f>IFERROR(__xludf.DUMMYFUNCTION("""COMPUTED_VALUE"""),"c-2(-4)e6,T-8(pb-2)")</f>
        <v>c-2(-4)e6,T-8(pb-2)</v>
      </c>
      <c r="CS316" s="16">
        <f>IFERROR(__xludf.DUMMYFUNCTION("""COMPUTED_VALUE"""),2.0)</f>
        <v>2</v>
      </c>
      <c r="CT316" s="16"/>
      <c r="CU316" s="16"/>
      <c r="CV316" s="16"/>
      <c r="CW316" s="16"/>
      <c r="CX316" s="16"/>
      <c r="CY316" s="16"/>
      <c r="CZ316" s="16"/>
      <c r="DA316" s="16">
        <f>IFERROR(__xludf.DUMMYFUNCTION("""COMPUTED_VALUE"""),6.0)</f>
        <v>6</v>
      </c>
      <c r="DB316" s="16"/>
      <c r="DC316" s="16"/>
      <c r="DD316" s="16"/>
      <c r="DE316" s="16"/>
      <c r="DF316" s="16"/>
      <c r="DG316" s="16"/>
      <c r="DH316" s="16"/>
      <c r="DI316" s="16">
        <f>IFERROR(__xludf.DUMMYFUNCTION("""COMPUTED_VALUE"""),2.0)</f>
        <v>2</v>
      </c>
      <c r="DJ316" s="16"/>
      <c r="DK316" s="16"/>
      <c r="DL316" s="16"/>
      <c r="DM316" s="16"/>
      <c r="DN316" s="16"/>
      <c r="DO316" s="16"/>
      <c r="DP316" s="16"/>
      <c r="DQ316" s="16">
        <f>IFERROR(__xludf.DUMMYFUNCTION("""COMPUTED_VALUE"""),2.0)</f>
        <v>2</v>
      </c>
      <c r="DR316" s="16"/>
      <c r="DS316" s="16"/>
      <c r="DT316" s="16"/>
      <c r="DU316" s="16"/>
      <c r="DV316" s="16"/>
      <c r="DW316" s="16"/>
      <c r="DX316" s="16"/>
      <c r="DY316" s="16">
        <f>IFERROR(__xludf.DUMMYFUNCTION("""COMPUTED_VALUE"""),4.0)</f>
        <v>4</v>
      </c>
      <c r="DZ316" s="16"/>
      <c r="EA316" s="16"/>
      <c r="EB316" s="16"/>
      <c r="EC316" s="16"/>
      <c r="ED316" s="16"/>
      <c r="EE316" s="16"/>
      <c r="EF316" s="16"/>
      <c r="EG316" s="179">
        <f>IFERROR(__xludf.DUMMYFUNCTION("""COMPUTED_VALUE"""),-11.0)</f>
        <v>-11</v>
      </c>
      <c r="EH316" s="179"/>
      <c r="EI316" s="179"/>
      <c r="EJ316" s="179"/>
      <c r="EK316" s="179"/>
      <c r="EL316" s="179"/>
      <c r="EM316" s="179"/>
      <c r="EN316" s="179"/>
      <c r="EO316" s="16">
        <f>IFERROR(__xludf.DUMMYFUNCTION("""COMPUTED_VALUE"""),-4.0)</f>
        <v>-4</v>
      </c>
      <c r="EP316" s="16"/>
      <c r="EQ316" s="16">
        <f>IFERROR(__xludf.DUMMYFUNCTION("""COMPUTED_VALUE"""),2.0)</f>
        <v>2</v>
      </c>
      <c r="ER316" s="16">
        <f>IFERROR(__xludf.DUMMYFUNCTION("""COMPUTED_VALUE"""),0.0)</f>
        <v>0</v>
      </c>
      <c r="ES316" s="16" t="str">
        <f>IFERROR(__xludf.DUMMYFUNCTION("""COMPUTED_VALUE"""),"c-2")</f>
        <v>c-2</v>
      </c>
      <c r="ET316" s="16" t="str">
        <f>IFERROR(__xludf.DUMMYFUNCTION("""COMPUTED_VALUE"""),"-4)e6,T-8")</f>
        <v>-4)e6,T-8</v>
      </c>
      <c r="EU316" s="16" t="str">
        <f>IFERROR(__xludf.DUMMYFUNCTION("""COMPUTED_VALUE"""),"pb-2)")</f>
        <v>pb-2)</v>
      </c>
      <c r="EV316" s="16"/>
      <c r="EW316" s="16">
        <f>IFERROR(__xludf.DUMMYFUNCTION("""COMPUTED_VALUE"""),-4.0)</f>
        <v>-4</v>
      </c>
      <c r="EX316" s="180">
        <f>IFERROR(__xludf.DUMMYFUNCTION("""COMPUTED_VALUE"""),0.1)</f>
        <v>0.1</v>
      </c>
      <c r="EY316" s="180"/>
      <c r="EZ316" s="180"/>
      <c r="FA316" s="180"/>
      <c r="FB316" s="180"/>
      <c r="FC316" s="180"/>
      <c r="FD316" s="180"/>
      <c r="FE316" s="180"/>
      <c r="FF316" s="180">
        <f>IFERROR(__xludf.DUMMYFUNCTION("""COMPUTED_VALUE"""),0.075)</f>
        <v>0.075</v>
      </c>
      <c r="FG316" s="180"/>
      <c r="FH316" s="180"/>
      <c r="FI316" s="180"/>
      <c r="FJ316" s="180"/>
      <c r="FK316" s="180"/>
      <c r="FL316" s="180"/>
      <c r="FM316" s="180"/>
      <c r="FN316" s="16">
        <f>IFERROR(__xludf.DUMMYFUNCTION("""COMPUTED_VALUE"""),0.8325)</f>
        <v>0.8325</v>
      </c>
      <c r="FO316" s="16"/>
      <c r="FP316" s="16"/>
      <c r="FQ316" s="16"/>
      <c r="FR316" s="16"/>
      <c r="FS316" s="16"/>
      <c r="FT316" s="16"/>
      <c r="FU316" s="16"/>
      <c r="FV316" s="16">
        <f>IFERROR(__xludf.DUMMYFUNCTION("""COMPUTED_VALUE"""),5.0)</f>
        <v>5</v>
      </c>
      <c r="FW316" s="16"/>
      <c r="FX316" s="16"/>
      <c r="FY316" s="16"/>
      <c r="FZ316" s="16"/>
      <c r="GA316" s="16"/>
      <c r="GB316" s="16"/>
      <c r="GC316" s="16"/>
      <c r="GD316" s="16" t="s">
        <v>232</v>
      </c>
    </row>
    <row r="317">
      <c r="A317" s="16">
        <f>IFERROR(__xludf.DUMMYFUNCTION("""COMPUTED_VALUE"""),12760.0)</f>
        <v>12760</v>
      </c>
      <c r="B317" s="16" t="str">
        <f>IFERROR(__xludf.DUMMYFUNCTION("""COMPUTED_VALUE"""),"DJ Stewart")</f>
        <v>DJ Stewart</v>
      </c>
      <c r="C317" s="16">
        <f>IFERROR(__xludf.DUMMYFUNCTION("""COMPUTED_VALUE"""),0.0)</f>
        <v>0</v>
      </c>
      <c r="D317" s="16" t="str">
        <f>IFERROR(__xludf.DUMMYFUNCTION("""COMPUTED_VALUE"""),"L")</f>
        <v>L</v>
      </c>
      <c r="E317" s="16"/>
      <c r="F317" s="16"/>
      <c r="G317" s="16">
        <f>IFERROR(__xludf.DUMMYFUNCTION("""COMPUTED_VALUE"""),158.0)</f>
        <v>158</v>
      </c>
      <c r="H317" s="16">
        <f>IFERROR(__xludf.DUMMYFUNCTION("""COMPUTED_VALUE"""),31.0)</f>
        <v>31</v>
      </c>
      <c r="I317" s="16" t="str">
        <f>IFERROR(__xludf.DUMMYFUNCTION("""COMPUTED_VALUE"""),"1p40")</f>
        <v>1p40</v>
      </c>
      <c r="J317" s="16">
        <f>IFERROR(__xludf.DUMMYFUNCTION("""COMPUTED_VALUE"""),45.0)</f>
        <v>45</v>
      </c>
      <c r="K317" s="16">
        <f>IFERROR(__xludf.DUMMYFUNCTION("""COMPUTED_VALUE"""),28.0)</f>
        <v>28</v>
      </c>
      <c r="L317" s="16">
        <f>IFERROR(__xludf.DUMMYFUNCTION("""COMPUTED_VALUE"""),-2.0)</f>
        <v>-2</v>
      </c>
      <c r="M317" s="16">
        <f>IFERROR(__xludf.DUMMYFUNCTION("""COMPUTED_VALUE"""),0.0)</f>
        <v>0</v>
      </c>
      <c r="N317" s="16">
        <f>IFERROR(__xludf.DUMMYFUNCTION("""COMPUTED_VALUE"""),-2.0)</f>
        <v>-2</v>
      </c>
      <c r="O317" s="16">
        <f>IFERROR(__xludf.DUMMYFUNCTION("""COMPUTED_VALUE"""),0.0)</f>
        <v>0</v>
      </c>
      <c r="P317" s="16">
        <f>IFERROR(__xludf.DUMMYFUNCTION("""COMPUTED_VALUE"""),22.0)</f>
        <v>22</v>
      </c>
      <c r="Q317" s="16">
        <f>IFERROR(__xludf.DUMMYFUNCTION("""COMPUTED_VALUE"""),25.0)</f>
        <v>25</v>
      </c>
      <c r="R317" s="16">
        <f>IFERROR(__xludf.DUMMYFUNCTION("""COMPUTED_VALUE"""),3.0)</f>
        <v>3</v>
      </c>
      <c r="S317" s="16">
        <f>IFERROR(__xludf.DUMMYFUNCTION("""COMPUTED_VALUE"""),3.0)</f>
        <v>3</v>
      </c>
      <c r="T317" s="16">
        <f>IFERROR(__xludf.DUMMYFUNCTION("""COMPUTED_VALUE"""),3.0)</f>
        <v>3</v>
      </c>
      <c r="U317" s="16">
        <f>IFERROR(__xludf.DUMMYFUNCTION("""COMPUTED_VALUE"""),3.0)</f>
        <v>3</v>
      </c>
      <c r="V317" s="16">
        <f>IFERROR(__xludf.DUMMYFUNCTION("""COMPUTED_VALUE"""),0.0)</f>
        <v>0</v>
      </c>
      <c r="W317" s="16">
        <f>IFERROR(__xludf.DUMMYFUNCTION("""COMPUTED_VALUE"""),7.2)</f>
        <v>7.2</v>
      </c>
      <c r="X317" s="16">
        <f>IFERROR(__xludf.DUMMYFUNCTION("""COMPUTED_VALUE"""),-2.0)</f>
        <v>-2</v>
      </c>
      <c r="Y317" s="16">
        <f>IFERROR(__xludf.DUMMYFUNCTION("""COMPUTED_VALUE"""),-2.0)</f>
        <v>-2</v>
      </c>
      <c r="Z317" s="16">
        <f>IFERROR(__xludf.DUMMYFUNCTION("""COMPUTED_VALUE"""),-4.0)</f>
        <v>-4</v>
      </c>
      <c r="AA317" s="16">
        <f>IFERROR(__xludf.DUMMYFUNCTION("""COMPUTED_VALUE"""),-4.0)</f>
        <v>-4</v>
      </c>
      <c r="AB317" s="16">
        <f>IFERROR(__xludf.DUMMYFUNCTION("""COMPUTED_VALUE"""),27.0)</f>
        <v>27</v>
      </c>
      <c r="AC317" s="16">
        <f>IFERROR(__xludf.DUMMYFUNCTION("""COMPUTED_VALUE"""),37.2)</f>
        <v>37.2</v>
      </c>
      <c r="AD317" s="16">
        <f>IFERROR(__xludf.DUMMYFUNCTION("""COMPUTED_VALUE"""),0.0)</f>
        <v>0</v>
      </c>
      <c r="AE317" s="16">
        <f>IFERROR(__xludf.DUMMYFUNCTION("""COMPUTED_VALUE"""),1.0)</f>
        <v>1</v>
      </c>
      <c r="AF317" s="16">
        <f>IFERROR(__xludf.DUMMYFUNCTION("""COMPUTED_VALUE"""),0.0)</f>
        <v>0</v>
      </c>
      <c r="AG317" s="16">
        <f>IFERROR(__xludf.DUMMYFUNCTION("""COMPUTED_VALUE"""),5.0)</f>
        <v>5</v>
      </c>
      <c r="AH317" s="16">
        <f>IFERROR(__xludf.DUMMYFUNCTION("""COMPUTED_VALUE"""),0.0)</f>
        <v>0</v>
      </c>
      <c r="AI317" s="16">
        <f>IFERROR(__xludf.DUMMYFUNCTION("""COMPUTED_VALUE"""),12.0)</f>
        <v>12</v>
      </c>
      <c r="AJ317" s="16">
        <f>IFERROR(__xludf.DUMMYFUNCTION("""COMPUTED_VALUE"""),-2.0)</f>
        <v>-2</v>
      </c>
      <c r="AK317" s="16">
        <f>IFERROR(__xludf.DUMMYFUNCTION("""COMPUTED_VALUE"""),-2.0)</f>
        <v>-2</v>
      </c>
      <c r="AL317" s="16">
        <f>IFERROR(__xludf.DUMMYFUNCTION("""COMPUTED_VALUE"""),-10.0)</f>
        <v>-10</v>
      </c>
      <c r="AM317" s="16">
        <f>IFERROR(__xludf.DUMMYFUNCTION("""COMPUTED_VALUE"""),-10.0)</f>
        <v>-10</v>
      </c>
      <c r="AN317" s="16">
        <f>IFERROR(__xludf.DUMMYFUNCTION("""COMPUTED_VALUE"""),0.0)</f>
        <v>0</v>
      </c>
      <c r="AO317" s="16">
        <f>IFERROR(__xludf.DUMMYFUNCTION("""COMPUTED_VALUE"""),1.6)</f>
        <v>1.6</v>
      </c>
      <c r="AP317" s="16">
        <f>IFERROR(__xludf.DUMMYFUNCTION("""COMPUTED_VALUE"""),-2.0)</f>
        <v>-2</v>
      </c>
      <c r="AQ317" s="16">
        <f>IFERROR(__xludf.DUMMYFUNCTION("""COMPUTED_VALUE"""),-1.0)</f>
        <v>-1</v>
      </c>
      <c r="AR317" s="16">
        <f>IFERROR(__xludf.DUMMYFUNCTION("""COMPUTED_VALUE"""),-4.0)</f>
        <v>-4</v>
      </c>
      <c r="AS317" s="16">
        <f>IFERROR(__xludf.DUMMYFUNCTION("""COMPUTED_VALUE"""),-2.0)</f>
        <v>-2</v>
      </c>
      <c r="AT317" s="16"/>
      <c r="AU317" s="16">
        <f>IFERROR(__xludf.DUMMYFUNCTION("""COMPUTED_VALUE"""),2.0)</f>
        <v>2</v>
      </c>
      <c r="AV317" s="16">
        <f>IFERROR(__xludf.DUMMYFUNCTION("""COMPUTED_VALUE"""),-3.0)</f>
        <v>-3</v>
      </c>
      <c r="AW317" s="16">
        <f>IFERROR(__xludf.DUMMYFUNCTION("""COMPUTED_VALUE"""),2.0)</f>
        <v>2</v>
      </c>
      <c r="AX317" s="16">
        <f>IFERROR(__xludf.DUMMYFUNCTION("""COMPUTED_VALUE"""),-3.0)</f>
        <v>-3</v>
      </c>
      <c r="AY317" s="16">
        <f>IFERROR(__xludf.DUMMYFUNCTION("""COMPUTED_VALUE"""),0.0)</f>
        <v>0</v>
      </c>
      <c r="AZ317" s="16">
        <f>IFERROR(__xludf.DUMMYFUNCTION("""COMPUTED_VALUE"""),-9.0)</f>
        <v>-9</v>
      </c>
      <c r="BA317" s="16">
        <f>IFERROR(__xludf.DUMMYFUNCTION("""COMPUTED_VALUE"""),0.0)</f>
        <v>0</v>
      </c>
      <c r="BB317" s="16">
        <f>IFERROR(__xludf.DUMMYFUNCTION("""COMPUTED_VALUE"""),0.0)</f>
        <v>0</v>
      </c>
      <c r="BC317" s="16">
        <f>IFERROR(__xludf.DUMMYFUNCTION("""COMPUTED_VALUE"""),5.0)</f>
        <v>5</v>
      </c>
      <c r="BD317" s="16">
        <f>IFERROR(__xludf.DUMMYFUNCTION("""COMPUTED_VALUE"""),0.0)</f>
        <v>0</v>
      </c>
      <c r="BE317" s="16">
        <f>IFERROR(__xludf.DUMMYFUNCTION("""COMPUTED_VALUE"""),1.0)</f>
        <v>1</v>
      </c>
      <c r="BF317" s="16">
        <f>IFERROR(__xludf.DUMMYFUNCTION("""COMPUTED_VALUE"""),0.0)</f>
        <v>0</v>
      </c>
      <c r="BG317" s="16">
        <f>IFERROR(__xludf.DUMMYFUNCTION("""COMPUTED_VALUE"""),1.0)</f>
        <v>1</v>
      </c>
      <c r="BH317" s="16">
        <f>IFERROR(__xludf.DUMMYFUNCTION("""COMPUTED_VALUE"""),0.0)</f>
        <v>0</v>
      </c>
      <c r="BI317" s="16">
        <f>IFERROR(__xludf.DUMMYFUNCTION("""COMPUTED_VALUE"""),-3.0)</f>
        <v>-3</v>
      </c>
      <c r="BJ317" s="16">
        <f>IFERROR(__xludf.DUMMYFUNCTION("""COMPUTED_VALUE"""),15.0)</f>
        <v>15</v>
      </c>
      <c r="BK317" s="16">
        <f>IFERROR(__xludf.DUMMYFUNCTION("""COMPUTED_VALUE"""),16.0)</f>
        <v>16</v>
      </c>
      <c r="BL317" s="16">
        <f>IFERROR(__xludf.DUMMYFUNCTION("""COMPUTED_VALUE"""),-1.0)</f>
        <v>-1</v>
      </c>
      <c r="BM317" s="16">
        <f>IFERROR(__xludf.DUMMYFUNCTION("""COMPUTED_VALUE"""),-1.0)</f>
        <v>-1</v>
      </c>
      <c r="BN317" s="16">
        <f>IFERROR(__xludf.DUMMYFUNCTION("""COMPUTED_VALUE"""),-2.0)</f>
        <v>-2</v>
      </c>
      <c r="BO317" s="16">
        <f>IFERROR(__xludf.DUMMYFUNCTION("""COMPUTED_VALUE"""),-2.0)</f>
        <v>-2</v>
      </c>
      <c r="BP317" s="16">
        <f>IFERROR(__xludf.DUMMYFUNCTION("""COMPUTED_VALUE"""),-9.0)</f>
        <v>-9</v>
      </c>
      <c r="BQ317" s="16">
        <f>IFERROR(__xludf.DUMMYFUNCTION("""COMPUTED_VALUE"""),-1.0)</f>
        <v>-1</v>
      </c>
      <c r="BR317" s="16">
        <f>IFERROR(__xludf.DUMMYFUNCTION("""COMPUTED_VALUE"""),-10.0)</f>
        <v>-10</v>
      </c>
      <c r="BS317" s="16" t="str">
        <f>IFERROR(__xludf.DUMMYFUNCTION("""COMPUTED_VALUE"""),"2/- (20-6)")</f>
        <v>2/- (20-6)</v>
      </c>
      <c r="BT317" s="16" t="str">
        <f>IFERROR(__xludf.DUMMYFUNCTION("""COMPUTED_VALUE"""),"E")</f>
        <v>E</v>
      </c>
      <c r="BU317" s="16">
        <f>IFERROR(__xludf.DUMMYFUNCTION("""COMPUTED_VALUE"""),11.0)</f>
        <v>11</v>
      </c>
      <c r="BV317" s="16">
        <f>IFERROR(__xludf.DUMMYFUNCTION("""COMPUTED_VALUE"""),0.0)</f>
        <v>0</v>
      </c>
      <c r="BW317" s="16">
        <f>IFERROR(__xludf.DUMMYFUNCTION("""COMPUTED_VALUE"""),0.0)</f>
        <v>0</v>
      </c>
      <c r="BX317" s="16">
        <f>IFERROR(__xludf.DUMMYFUNCTION("""COMPUTED_VALUE"""),0.0)</f>
        <v>0</v>
      </c>
      <c r="BY317" s="16">
        <f>IFERROR(__xludf.DUMMYFUNCTION("""COMPUTED_VALUE"""),0.0)</f>
        <v>0</v>
      </c>
      <c r="BZ317" s="16" t="str">
        <f>IFERROR(__xludf.DUMMYFUNCTION("""COMPUTED_VALUE"""),"D")</f>
        <v>D</v>
      </c>
      <c r="CA317" s="16" t="str">
        <f>IFERROR(__xludf.DUMMYFUNCTION("""COMPUTED_VALUE"""),"D")</f>
        <v>D</v>
      </c>
      <c r="CB317" s="16">
        <f>IFERROR(__xludf.DUMMYFUNCTION("""COMPUTED_VALUE"""),0.0)</f>
        <v>0</v>
      </c>
      <c r="CC317" s="16">
        <f>IFERROR(__xludf.DUMMYFUNCTION("""COMPUTED_VALUE"""),0.0)</f>
        <v>0</v>
      </c>
      <c r="CD317" s="16">
        <f>IFERROR(__xludf.DUMMYFUNCTION("""COMPUTED_VALUE"""),0.0)</f>
        <v>0</v>
      </c>
      <c r="CE317" s="16">
        <f>IFERROR(__xludf.DUMMYFUNCTION("""COMPUTED_VALUE"""),0.0)</f>
        <v>0</v>
      </c>
      <c r="CF317" s="16">
        <f>IFERROR(__xludf.DUMMYFUNCTION("""COMPUTED_VALUE"""),1.0)</f>
        <v>1</v>
      </c>
      <c r="CG317" s="16">
        <f>IFERROR(__xludf.DUMMYFUNCTION("""COMPUTED_VALUE"""),-28.0)</f>
        <v>-28</v>
      </c>
      <c r="CH317" s="16">
        <f>IFERROR(__xludf.DUMMYFUNCTION("""COMPUTED_VALUE"""),-9.0)</f>
        <v>-9</v>
      </c>
      <c r="CI317" s="179">
        <f>IFERROR(__xludf.DUMMYFUNCTION("""COMPUTED_VALUE"""),-11.0)</f>
        <v>-11</v>
      </c>
      <c r="CJ317" s="16"/>
      <c r="CK317" s="16">
        <f>IFERROR(__xludf.DUMMYFUNCTION("""COMPUTED_VALUE"""),408.0)</f>
        <v>408</v>
      </c>
      <c r="CL317" s="16"/>
      <c r="CM317" s="16"/>
      <c r="CN317" s="16"/>
      <c r="CO317" s="16">
        <f>IFERROR(__xludf.DUMMYFUNCTION("""COMPUTED_VALUE"""),404.0)</f>
        <v>404</v>
      </c>
      <c r="CP317" s="16"/>
      <c r="CQ317" s="16">
        <f>IFERROR(__xludf.DUMMYFUNCTION("""COMPUTED_VALUE"""),404.0)</f>
        <v>404</v>
      </c>
      <c r="CR317" s="16" t="str">
        <f>IFERROR(__xludf.DUMMYFUNCTION("""COMPUTED_VALUE"""),"rf-4(+2)e4 lf-4e4 1b-4e8")</f>
        <v>rf-4(+2)e4 lf-4e4 1b-4e8</v>
      </c>
      <c r="CS317" s="16"/>
      <c r="CT317" s="16">
        <f>IFERROR(__xludf.DUMMYFUNCTION("""COMPUTED_VALUE"""),4.0)</f>
        <v>4</v>
      </c>
      <c r="CU317" s="16"/>
      <c r="CV317" s="16"/>
      <c r="CW317" s="16"/>
      <c r="CX317" s="16">
        <f>IFERROR(__xludf.DUMMYFUNCTION("""COMPUTED_VALUE"""),4.0)</f>
        <v>4</v>
      </c>
      <c r="CY317" s="16"/>
      <c r="CZ317" s="16">
        <f>IFERROR(__xludf.DUMMYFUNCTION("""COMPUTED_VALUE"""),4.0)</f>
        <v>4</v>
      </c>
      <c r="DA317" s="16"/>
      <c r="DB317" s="16">
        <f>IFERROR(__xludf.DUMMYFUNCTION("""COMPUTED_VALUE"""),8.0)</f>
        <v>8</v>
      </c>
      <c r="DC317" s="16"/>
      <c r="DD317" s="16"/>
      <c r="DE317" s="16"/>
      <c r="DF317" s="16">
        <f>IFERROR(__xludf.DUMMYFUNCTION("""COMPUTED_VALUE"""),4.0)</f>
        <v>4</v>
      </c>
      <c r="DG317" s="16"/>
      <c r="DH317" s="16">
        <f>IFERROR(__xludf.DUMMYFUNCTION("""COMPUTED_VALUE"""),4.0)</f>
        <v>4</v>
      </c>
      <c r="DI317" s="16"/>
      <c r="DJ317" s="16">
        <f>IFERROR(__xludf.DUMMYFUNCTION("""COMPUTED_VALUE"""),0.0)</f>
        <v>0</v>
      </c>
      <c r="DK317" s="16"/>
      <c r="DL317" s="16"/>
      <c r="DM317" s="16"/>
      <c r="DN317" s="16">
        <f>IFERROR(__xludf.DUMMYFUNCTION("""COMPUTED_VALUE"""),-1.0)</f>
        <v>-1</v>
      </c>
      <c r="DO317" s="16"/>
      <c r="DP317" s="16">
        <f>IFERROR(__xludf.DUMMYFUNCTION("""COMPUTED_VALUE"""),-1.0)</f>
        <v>-1</v>
      </c>
      <c r="DQ317" s="16"/>
      <c r="DR317" s="16">
        <f>IFERROR(__xludf.DUMMYFUNCTION("""COMPUTED_VALUE"""),2.0)</f>
        <v>2</v>
      </c>
      <c r="DS317" s="16"/>
      <c r="DT317" s="16"/>
      <c r="DU317" s="16"/>
      <c r="DV317" s="16">
        <f>IFERROR(__xludf.DUMMYFUNCTION("""COMPUTED_VALUE"""),2.0)</f>
        <v>2</v>
      </c>
      <c r="DW317" s="16"/>
      <c r="DX317" s="16">
        <f>IFERROR(__xludf.DUMMYFUNCTION("""COMPUTED_VALUE"""),2.0)</f>
        <v>2</v>
      </c>
      <c r="DY317" s="16"/>
      <c r="DZ317" s="16">
        <f>IFERROR(__xludf.DUMMYFUNCTION("""COMPUTED_VALUE"""),2.0)</f>
        <v>2</v>
      </c>
      <c r="EA317" s="16"/>
      <c r="EB317" s="16"/>
      <c r="EC317" s="16"/>
      <c r="ED317" s="16">
        <f>IFERROR(__xludf.DUMMYFUNCTION("""COMPUTED_VALUE"""),1.0)</f>
        <v>1</v>
      </c>
      <c r="EE317" s="16"/>
      <c r="EF317" s="16">
        <f>IFERROR(__xludf.DUMMYFUNCTION("""COMPUTED_VALUE"""),1.0)</f>
        <v>1</v>
      </c>
      <c r="EG317" s="179"/>
      <c r="EH317" s="179">
        <f>IFERROR(__xludf.DUMMYFUNCTION("""COMPUTED_VALUE"""),-9.0)</f>
        <v>-9</v>
      </c>
      <c r="EI317" s="179"/>
      <c r="EJ317" s="179"/>
      <c r="EK317" s="179"/>
      <c r="EL317" s="179">
        <f>IFERROR(__xludf.DUMMYFUNCTION("""COMPUTED_VALUE"""),-10.0)</f>
        <v>-10</v>
      </c>
      <c r="EM317" s="179"/>
      <c r="EN317" s="179">
        <f>IFERROR(__xludf.DUMMYFUNCTION("""COMPUTED_VALUE"""),-10.0)</f>
        <v>-10</v>
      </c>
      <c r="EO317" s="16"/>
      <c r="EP317" s="16">
        <f>IFERROR(__xludf.DUMMYFUNCTION("""COMPUTED_VALUE"""),-3.0)</f>
        <v>-3</v>
      </c>
      <c r="EQ317" s="16">
        <f>IFERROR(__xludf.DUMMYFUNCTION("""COMPUTED_VALUE"""),4.0)</f>
        <v>4</v>
      </c>
      <c r="ER317" s="16">
        <f>IFERROR(__xludf.DUMMYFUNCTION("""COMPUTED_VALUE"""),-1.0)</f>
        <v>-1</v>
      </c>
      <c r="ES317" s="16"/>
      <c r="ET317" s="16"/>
      <c r="EU317" s="16"/>
      <c r="EV317" s="16"/>
      <c r="EW317" s="16"/>
      <c r="EX317" s="180"/>
      <c r="EY317" s="180">
        <f>IFERROR(__xludf.DUMMYFUNCTION("""COMPUTED_VALUE"""),0.3)</f>
        <v>0.3</v>
      </c>
      <c r="EZ317" s="180"/>
      <c r="FA317" s="180"/>
      <c r="FB317" s="180"/>
      <c r="FC317" s="180">
        <f>IFERROR(__xludf.DUMMYFUNCTION("""COMPUTED_VALUE"""),0.55)</f>
        <v>0.55</v>
      </c>
      <c r="FD317" s="180"/>
      <c r="FE317" s="180">
        <f>IFERROR(__xludf.DUMMYFUNCTION("""COMPUTED_VALUE"""),0.55)</f>
        <v>0.55</v>
      </c>
      <c r="FF317" s="180"/>
      <c r="FG317" s="180">
        <f>IFERROR(__xludf.DUMMYFUNCTION("""COMPUTED_VALUE"""),0.14351851851851852)</f>
        <v>0.1435185185</v>
      </c>
      <c r="FH317" s="180"/>
      <c r="FI317" s="180"/>
      <c r="FJ317" s="180"/>
      <c r="FK317" s="180">
        <f>IFERROR(__xludf.DUMMYFUNCTION("""COMPUTED_VALUE"""),0.069)</f>
        <v>0.069</v>
      </c>
      <c r="FL317" s="180"/>
      <c r="FM317" s="180">
        <f>IFERROR(__xludf.DUMMYFUNCTION("""COMPUTED_VALUE"""),0.069)</f>
        <v>0.069</v>
      </c>
      <c r="FN317" s="16"/>
      <c r="FO317" s="16">
        <f>IFERROR(__xludf.DUMMYFUNCTION("""COMPUTED_VALUE"""),0.599537037037037)</f>
        <v>0.599537037</v>
      </c>
      <c r="FP317" s="16"/>
      <c r="FQ317" s="16"/>
      <c r="FR317" s="16"/>
      <c r="FS317" s="16">
        <f>IFERROR(__xludf.DUMMYFUNCTION("""COMPUTED_VALUE"""),0.41895)</f>
        <v>0.41895</v>
      </c>
      <c r="FT317" s="16"/>
      <c r="FU317" s="16">
        <f>IFERROR(__xludf.DUMMYFUNCTION("""COMPUTED_VALUE"""),0.41895)</f>
        <v>0.41895</v>
      </c>
      <c r="FV317" s="16"/>
      <c r="FW317" s="16">
        <f>IFERROR(__xludf.DUMMYFUNCTION("""COMPUTED_VALUE"""),-6.0)</f>
        <v>-6</v>
      </c>
      <c r="FX317" s="16"/>
      <c r="FY317" s="16"/>
      <c r="FZ317" s="16"/>
      <c r="GA317" s="16">
        <f>IFERROR(__xludf.DUMMYFUNCTION("""COMPUTED_VALUE"""),-5.0)</f>
        <v>-5</v>
      </c>
      <c r="GB317" s="16"/>
      <c r="GC317" s="16">
        <f>IFERROR(__xludf.DUMMYFUNCTION("""COMPUTED_VALUE"""),-5.0)</f>
        <v>-5</v>
      </c>
      <c r="GD317" s="16" t="s">
        <v>176</v>
      </c>
    </row>
    <row r="318">
      <c r="A318" s="16">
        <f>IFERROR(__xludf.DUMMYFUNCTION("""COMPUTED_VALUE"""),12498.0)</f>
        <v>12498</v>
      </c>
      <c r="B318" s="16" t="str">
        <f>IFERROR(__xludf.DUMMYFUNCTION("""COMPUTED_VALUE"""),"Abraham Toro")</f>
        <v>Abraham Toro</v>
      </c>
      <c r="C318" s="16">
        <f>IFERROR(__xludf.DUMMYFUNCTION("""COMPUTED_VALUE"""),0.48)</f>
        <v>0.48</v>
      </c>
      <c r="D318" s="16" t="str">
        <f>IFERROR(__xludf.DUMMYFUNCTION("""COMPUTED_VALUE"""),"S")</f>
        <v>S</v>
      </c>
      <c r="E318" s="16"/>
      <c r="F318" s="16"/>
      <c r="G318" s="16">
        <f>IFERROR(__xludf.DUMMYFUNCTION("""COMPUTED_VALUE"""),337.0)</f>
        <v>337</v>
      </c>
      <c r="H318" s="16">
        <f>IFERROR(__xludf.DUMMYFUNCTION("""COMPUTED_VALUE"""),20.0)</f>
        <v>20</v>
      </c>
      <c r="I318" s="16" t="str">
        <f>IFERROR(__xludf.DUMMYFUNCTION("""COMPUTED_VALUE"""),"2p50")</f>
        <v>2p50</v>
      </c>
      <c r="J318" s="16">
        <f>IFERROR(__xludf.DUMMYFUNCTION("""COMPUTED_VALUE"""),2.0)</f>
        <v>2</v>
      </c>
      <c r="K318" s="16">
        <f>IFERROR(__xludf.DUMMYFUNCTION("""COMPUTED_VALUE"""),16.0)</f>
        <v>16</v>
      </c>
      <c r="L318" s="16">
        <f>IFERROR(__xludf.DUMMYFUNCTION("""COMPUTED_VALUE"""),2.0)</f>
        <v>2</v>
      </c>
      <c r="M318" s="16">
        <f>IFERROR(__xludf.DUMMYFUNCTION("""COMPUTED_VALUE"""),1.0)</f>
        <v>1</v>
      </c>
      <c r="N318" s="16">
        <f>IFERROR(__xludf.DUMMYFUNCTION("""COMPUTED_VALUE"""),2.0)</f>
        <v>2</v>
      </c>
      <c r="O318" s="16">
        <f>IFERROR(__xludf.DUMMYFUNCTION("""COMPUTED_VALUE"""),1.0)</f>
        <v>1</v>
      </c>
      <c r="P318" s="16">
        <f>IFERROR(__xludf.DUMMYFUNCTION("""COMPUTED_VALUE"""),0.0)</f>
        <v>0</v>
      </c>
      <c r="Q318" s="16">
        <f>IFERROR(__xludf.DUMMYFUNCTION("""COMPUTED_VALUE"""),4.0)</f>
        <v>4</v>
      </c>
      <c r="R318" s="16">
        <f>IFERROR(__xludf.DUMMYFUNCTION("""COMPUTED_VALUE"""),-3.0)</f>
        <v>-3</v>
      </c>
      <c r="S318" s="16">
        <f>IFERROR(__xludf.DUMMYFUNCTION("""COMPUTED_VALUE"""),-2.0)</f>
        <v>-2</v>
      </c>
      <c r="T318" s="16">
        <f>IFERROR(__xludf.DUMMYFUNCTION("""COMPUTED_VALUE"""),-3.0)</f>
        <v>-3</v>
      </c>
      <c r="U318" s="16">
        <f>IFERROR(__xludf.DUMMYFUNCTION("""COMPUTED_VALUE"""),-2.0)</f>
        <v>-2</v>
      </c>
      <c r="V318" s="16">
        <f>IFERROR(__xludf.DUMMYFUNCTION("""COMPUTED_VALUE"""),26.8)</f>
        <v>26.8</v>
      </c>
      <c r="W318" s="16">
        <f>IFERROR(__xludf.DUMMYFUNCTION("""COMPUTED_VALUE"""),18.5)</f>
        <v>18.5</v>
      </c>
      <c r="X318" s="16">
        <f>IFERROR(__xludf.DUMMYFUNCTION("""COMPUTED_VALUE"""),1.0)</f>
        <v>1</v>
      </c>
      <c r="Y318" s="16">
        <f>IFERROR(__xludf.DUMMYFUNCTION("""COMPUTED_VALUE"""),0.0)</f>
        <v>0</v>
      </c>
      <c r="Z318" s="16">
        <f>IFERROR(__xludf.DUMMYFUNCTION("""COMPUTED_VALUE"""),2.0)</f>
        <v>2</v>
      </c>
      <c r="AA318" s="16">
        <f>IFERROR(__xludf.DUMMYFUNCTION("""COMPUTED_VALUE"""),0.0)</f>
        <v>0</v>
      </c>
      <c r="AB318" s="16">
        <f>IFERROR(__xludf.DUMMYFUNCTION("""COMPUTED_VALUE"""),29.8)</f>
        <v>29.8</v>
      </c>
      <c r="AC318" s="16">
        <f>IFERROR(__xludf.DUMMYFUNCTION("""COMPUTED_VALUE"""),25.5)</f>
        <v>25.5</v>
      </c>
      <c r="AD318" s="16">
        <f>IFERROR(__xludf.DUMMYFUNCTION("""COMPUTED_VALUE"""),0.0)</f>
        <v>0</v>
      </c>
      <c r="AE318" s="16">
        <f>IFERROR(__xludf.DUMMYFUNCTION("""COMPUTED_VALUE"""),-1.0)</f>
        <v>-1</v>
      </c>
      <c r="AF318" s="16">
        <f>IFERROR(__xludf.DUMMYFUNCTION("""COMPUTED_VALUE"""),0.0)</f>
        <v>0</v>
      </c>
      <c r="AG318" s="16">
        <f>IFERROR(__xludf.DUMMYFUNCTION("""COMPUTED_VALUE"""),-5.0)</f>
        <v>-5</v>
      </c>
      <c r="AH318" s="16">
        <f>IFERROR(__xludf.DUMMYFUNCTION("""COMPUTED_VALUE"""),47.3)</f>
        <v>47.3</v>
      </c>
      <c r="AI318" s="16">
        <f>IFERROR(__xludf.DUMMYFUNCTION("""COMPUTED_VALUE"""),23.2)</f>
        <v>23.2</v>
      </c>
      <c r="AJ318" s="16">
        <f>IFERROR(__xludf.DUMMYFUNCTION("""COMPUTED_VALUE"""),1.0)</f>
        <v>1</v>
      </c>
      <c r="AK318" s="16">
        <f>IFERROR(__xludf.DUMMYFUNCTION("""COMPUTED_VALUE"""),-1.0)</f>
        <v>-1</v>
      </c>
      <c r="AL318" s="16">
        <f>IFERROR(__xludf.DUMMYFUNCTION("""COMPUTED_VALUE"""),5.0)</f>
        <v>5</v>
      </c>
      <c r="AM318" s="16">
        <f>IFERROR(__xludf.DUMMYFUNCTION("""COMPUTED_VALUE"""),-5.0)</f>
        <v>-5</v>
      </c>
      <c r="AN318" s="16">
        <f>IFERROR(__xludf.DUMMYFUNCTION("""COMPUTED_VALUE"""),2.8)</f>
        <v>2.8</v>
      </c>
      <c r="AO318" s="16">
        <f>IFERROR(__xludf.DUMMYFUNCTION("""COMPUTED_VALUE"""),0.3)</f>
        <v>0.3</v>
      </c>
      <c r="AP318" s="16">
        <f>IFERROR(__xludf.DUMMYFUNCTION("""COMPUTED_VALUE"""),1.0)</f>
        <v>1</v>
      </c>
      <c r="AQ318" s="16">
        <f>IFERROR(__xludf.DUMMYFUNCTION("""COMPUTED_VALUE"""),-2.0)</f>
        <v>-2</v>
      </c>
      <c r="AR318" s="16">
        <f>IFERROR(__xludf.DUMMYFUNCTION("""COMPUTED_VALUE"""),2.0)</f>
        <v>2</v>
      </c>
      <c r="AS318" s="16">
        <f>IFERROR(__xludf.DUMMYFUNCTION("""COMPUTED_VALUE"""),-4.0)</f>
        <v>-4</v>
      </c>
      <c r="AT318" s="16"/>
      <c r="AU318" s="16">
        <f>IFERROR(__xludf.DUMMYFUNCTION("""COMPUTED_VALUE"""),0.0)</f>
        <v>0</v>
      </c>
      <c r="AV318" s="16">
        <f>IFERROR(__xludf.DUMMYFUNCTION("""COMPUTED_VALUE"""),-3.0)</f>
        <v>-3</v>
      </c>
      <c r="AW318" s="16">
        <f>IFERROR(__xludf.DUMMYFUNCTION("""COMPUTED_VALUE"""),0.0)</f>
        <v>0</v>
      </c>
      <c r="AX318" s="16">
        <f>IFERROR(__xludf.DUMMYFUNCTION("""COMPUTED_VALUE"""),-3.0)</f>
        <v>-3</v>
      </c>
      <c r="AY318" s="16">
        <f>IFERROR(__xludf.DUMMYFUNCTION("""COMPUTED_VALUE"""),-2.0)</f>
        <v>-2</v>
      </c>
      <c r="AZ318" s="16">
        <f>IFERROR(__xludf.DUMMYFUNCTION("""COMPUTED_VALUE"""),-9.0)</f>
        <v>-9</v>
      </c>
      <c r="BA318" s="16">
        <f>IFERROR(__xludf.DUMMYFUNCTION("""COMPUTED_VALUE"""),-6.0)</f>
        <v>-6</v>
      </c>
      <c r="BB318" s="16">
        <f>IFERROR(__xludf.DUMMYFUNCTION("""COMPUTED_VALUE"""),5.0)</f>
        <v>5</v>
      </c>
      <c r="BC318" s="16">
        <f>IFERROR(__xludf.DUMMYFUNCTION("""COMPUTED_VALUE"""),5.0)</f>
        <v>5</v>
      </c>
      <c r="BD318" s="16">
        <f>IFERROR(__xludf.DUMMYFUNCTION("""COMPUTED_VALUE"""),1.0)</f>
        <v>1</v>
      </c>
      <c r="BE318" s="16">
        <f>IFERROR(__xludf.DUMMYFUNCTION("""COMPUTED_VALUE"""),1.0)</f>
        <v>1</v>
      </c>
      <c r="BF318" s="16">
        <f>IFERROR(__xludf.DUMMYFUNCTION("""COMPUTED_VALUE"""),1.0)</f>
        <v>1</v>
      </c>
      <c r="BG318" s="16">
        <f>IFERROR(__xludf.DUMMYFUNCTION("""COMPUTED_VALUE"""),1.0)</f>
        <v>1</v>
      </c>
      <c r="BH318" s="16">
        <f>IFERROR(__xludf.DUMMYFUNCTION("""COMPUTED_VALUE"""),8.0)</f>
        <v>8</v>
      </c>
      <c r="BI318" s="16">
        <f>IFERROR(__xludf.DUMMYFUNCTION("""COMPUTED_VALUE"""),8.0)</f>
        <v>8</v>
      </c>
      <c r="BJ318" s="16">
        <f>IFERROR(__xludf.DUMMYFUNCTION("""COMPUTED_VALUE"""),8.0)</f>
        <v>8</v>
      </c>
      <c r="BK318" s="16">
        <f>IFERROR(__xludf.DUMMYFUNCTION("""COMPUTED_VALUE"""),7.0)</f>
        <v>7</v>
      </c>
      <c r="BL318" s="16">
        <f>IFERROR(__xludf.DUMMYFUNCTION("""COMPUTED_VALUE"""),1.0)</f>
        <v>1</v>
      </c>
      <c r="BM318" s="16">
        <f>IFERROR(__xludf.DUMMYFUNCTION("""COMPUTED_VALUE"""),1.0)</f>
        <v>1</v>
      </c>
      <c r="BN318" s="16">
        <f>IFERROR(__xludf.DUMMYFUNCTION("""COMPUTED_VALUE"""),1.0)</f>
        <v>1</v>
      </c>
      <c r="BO318" s="16">
        <f>IFERROR(__xludf.DUMMYFUNCTION("""COMPUTED_VALUE"""),1.0)</f>
        <v>1</v>
      </c>
      <c r="BP318" s="16">
        <f>IFERROR(__xludf.DUMMYFUNCTION("""COMPUTED_VALUE"""),1.0)</f>
        <v>1</v>
      </c>
      <c r="BQ318" s="16">
        <f>IFERROR(__xludf.DUMMYFUNCTION("""COMPUTED_VALUE"""),-5.0)</f>
        <v>-5</v>
      </c>
      <c r="BR318" s="16">
        <f>IFERROR(__xludf.DUMMYFUNCTION("""COMPUTED_VALUE"""),-4.0)</f>
        <v>-4</v>
      </c>
      <c r="BS318" s="16" t="str">
        <f>IFERROR(__xludf.DUMMYFUNCTION("""COMPUTED_VALUE"""),"5,6/- (13-6)")</f>
        <v>5,6/- (13-6)</v>
      </c>
      <c r="BT318" s="16" t="str">
        <f>IFERROR(__xludf.DUMMYFUNCTION("""COMPUTED_VALUE"""),"C")</f>
        <v>C</v>
      </c>
      <c r="BU318" s="16">
        <f>IFERROR(__xludf.DUMMYFUNCTION("""COMPUTED_VALUE"""),13.0)</f>
        <v>13</v>
      </c>
      <c r="BV318" s="16">
        <f>IFERROR(__xludf.DUMMYFUNCTION("""COMPUTED_VALUE"""),0.0)</f>
        <v>0</v>
      </c>
      <c r="BW318" s="16">
        <f>IFERROR(__xludf.DUMMYFUNCTION("""COMPUTED_VALUE"""),1.0)</f>
        <v>1</v>
      </c>
      <c r="BX318" s="16">
        <f>IFERROR(__xludf.DUMMYFUNCTION("""COMPUTED_VALUE"""),0.0)</f>
        <v>0</v>
      </c>
      <c r="BY318" s="16">
        <f>IFERROR(__xludf.DUMMYFUNCTION("""COMPUTED_VALUE"""),3.0)</f>
        <v>3</v>
      </c>
      <c r="BZ318" s="16" t="str">
        <f>IFERROR(__xludf.DUMMYFUNCTION("""COMPUTED_VALUE"""),"D")</f>
        <v>D</v>
      </c>
      <c r="CA318" s="16" t="str">
        <f>IFERROR(__xludf.DUMMYFUNCTION("""COMPUTED_VALUE"""),"C")</f>
        <v>C</v>
      </c>
      <c r="CB318" s="16">
        <f>IFERROR(__xludf.DUMMYFUNCTION("""COMPUTED_VALUE"""),0.0)</f>
        <v>0</v>
      </c>
      <c r="CC318" s="16">
        <f>IFERROR(__xludf.DUMMYFUNCTION("""COMPUTED_VALUE"""),0.0)</f>
        <v>0</v>
      </c>
      <c r="CD318" s="16">
        <f>IFERROR(__xludf.DUMMYFUNCTION("""COMPUTED_VALUE"""),0.0)</f>
        <v>0</v>
      </c>
      <c r="CE318" s="16">
        <f>IFERROR(__xludf.DUMMYFUNCTION("""COMPUTED_VALUE"""),0.0)</f>
        <v>0</v>
      </c>
      <c r="CF318" s="16">
        <f>IFERROR(__xludf.DUMMYFUNCTION("""COMPUTED_VALUE"""),2.0)</f>
        <v>2</v>
      </c>
      <c r="CG318" s="16">
        <f>IFERROR(__xludf.DUMMYFUNCTION("""COMPUTED_VALUE"""),1.0)</f>
        <v>1</v>
      </c>
      <c r="CH318" s="16">
        <f>IFERROR(__xludf.DUMMYFUNCTION("""COMPUTED_VALUE"""),-19.0)</f>
        <v>-19</v>
      </c>
      <c r="CI318" s="179">
        <f>IFERROR(__xludf.DUMMYFUNCTION("""COMPUTED_VALUE"""),-11.0)</f>
        <v>-11</v>
      </c>
      <c r="CJ318" s="16"/>
      <c r="CK318" s="16">
        <f>IFERROR(__xludf.DUMMYFUNCTION("""COMPUTED_VALUE"""),408.0)</f>
        <v>408</v>
      </c>
      <c r="CL318" s="16">
        <f>IFERROR(__xludf.DUMMYFUNCTION("""COMPUTED_VALUE"""),405.0)</f>
        <v>405</v>
      </c>
      <c r="CM318" s="16">
        <f>IFERROR(__xludf.DUMMYFUNCTION("""COMPUTED_VALUE"""),417.0)</f>
        <v>417</v>
      </c>
      <c r="CN318" s="16"/>
      <c r="CO318" s="16">
        <f>IFERROR(__xludf.DUMMYFUNCTION("""COMPUTED_VALUE"""),425.0)</f>
        <v>425</v>
      </c>
      <c r="CP318" s="16"/>
      <c r="CQ318" s="16"/>
      <c r="CR318" s="16" t="str">
        <f>IFERROR(__xludf.DUMMYFUNCTION("""COMPUTED_VALUE"""),"3b-4e17 2b-4e5 1b-4e8 lf-4(+2)e25")</f>
        <v>3b-4e17 2b-4e5 1b-4e8 lf-4(+2)e25</v>
      </c>
      <c r="CS318" s="16"/>
      <c r="CT318" s="16">
        <f>IFERROR(__xludf.DUMMYFUNCTION("""COMPUTED_VALUE"""),4.0)</f>
        <v>4</v>
      </c>
      <c r="CU318" s="16">
        <f>IFERROR(__xludf.DUMMYFUNCTION("""COMPUTED_VALUE"""),4.0)</f>
        <v>4</v>
      </c>
      <c r="CV318" s="16">
        <f>IFERROR(__xludf.DUMMYFUNCTION("""COMPUTED_VALUE"""),4.0)</f>
        <v>4</v>
      </c>
      <c r="CW318" s="16"/>
      <c r="CX318" s="16">
        <f>IFERROR(__xludf.DUMMYFUNCTION("""COMPUTED_VALUE"""),4.0)</f>
        <v>4</v>
      </c>
      <c r="CY318" s="16"/>
      <c r="CZ318" s="16"/>
      <c r="DA318" s="16"/>
      <c r="DB318" s="16">
        <f>IFERROR(__xludf.DUMMYFUNCTION("""COMPUTED_VALUE"""),8.0)</f>
        <v>8</v>
      </c>
      <c r="DC318" s="16">
        <f>IFERROR(__xludf.DUMMYFUNCTION("""COMPUTED_VALUE"""),5.0)</f>
        <v>5</v>
      </c>
      <c r="DD318" s="16">
        <f>IFERROR(__xludf.DUMMYFUNCTION("""COMPUTED_VALUE"""),17.0)</f>
        <v>17</v>
      </c>
      <c r="DE318" s="16"/>
      <c r="DF318" s="16">
        <f>IFERROR(__xludf.DUMMYFUNCTION("""COMPUTED_VALUE"""),25.0)</f>
        <v>25</v>
      </c>
      <c r="DG318" s="16"/>
      <c r="DH318" s="16"/>
      <c r="DI318" s="16"/>
      <c r="DJ318" s="16">
        <f>IFERROR(__xludf.DUMMYFUNCTION("""COMPUTED_VALUE"""),0.0)</f>
        <v>0</v>
      </c>
      <c r="DK318" s="16">
        <f>IFERROR(__xludf.DUMMYFUNCTION("""COMPUTED_VALUE"""),-2.0)</f>
        <v>-2</v>
      </c>
      <c r="DL318" s="16">
        <f>IFERROR(__xludf.DUMMYFUNCTION("""COMPUTED_VALUE"""),0.0)</f>
        <v>0</v>
      </c>
      <c r="DM318" s="16"/>
      <c r="DN318" s="16">
        <f>IFERROR(__xludf.DUMMYFUNCTION("""COMPUTED_VALUE"""),-1.0)</f>
        <v>-1</v>
      </c>
      <c r="DO318" s="16"/>
      <c r="DP318" s="16"/>
      <c r="DQ318" s="16"/>
      <c r="DR318" s="16">
        <f>IFERROR(__xludf.DUMMYFUNCTION("""COMPUTED_VALUE"""),2.0)</f>
        <v>2</v>
      </c>
      <c r="DS318" s="16">
        <f>IFERROR(__xludf.DUMMYFUNCTION("""COMPUTED_VALUE"""),3.0)</f>
        <v>3</v>
      </c>
      <c r="DT318" s="16">
        <f>IFERROR(__xludf.DUMMYFUNCTION("""COMPUTED_VALUE"""),0.0)</f>
        <v>0</v>
      </c>
      <c r="DU318" s="16"/>
      <c r="DV318" s="16">
        <f>IFERROR(__xludf.DUMMYFUNCTION("""COMPUTED_VALUE"""),-4.0)</f>
        <v>-4</v>
      </c>
      <c r="DW318" s="16"/>
      <c r="DX318" s="16"/>
      <c r="DY318" s="16"/>
      <c r="DZ318" s="16">
        <f>IFERROR(__xludf.DUMMYFUNCTION("""COMPUTED_VALUE"""),2.0)</f>
        <v>2</v>
      </c>
      <c r="EA318" s="16">
        <f>IFERROR(__xludf.DUMMYFUNCTION("""COMPUTED_VALUE"""),1.0)</f>
        <v>1</v>
      </c>
      <c r="EB318" s="16">
        <f>IFERROR(__xludf.DUMMYFUNCTION("""COMPUTED_VALUE"""),0.0)</f>
        <v>0</v>
      </c>
      <c r="EC318" s="16"/>
      <c r="ED318" s="16">
        <f>IFERROR(__xludf.DUMMYFUNCTION("""COMPUTED_VALUE"""),-5.0)</f>
        <v>-5</v>
      </c>
      <c r="EE318" s="16"/>
      <c r="EF318" s="16"/>
      <c r="EG318" s="179"/>
      <c r="EH318" s="179">
        <f>IFERROR(__xludf.DUMMYFUNCTION("""COMPUTED_VALUE"""),-9.0)</f>
        <v>-9</v>
      </c>
      <c r="EI318" s="179">
        <f>IFERROR(__xludf.DUMMYFUNCTION("""COMPUTED_VALUE"""),-10.0)</f>
        <v>-10</v>
      </c>
      <c r="EJ318" s="179">
        <f>IFERROR(__xludf.DUMMYFUNCTION("""COMPUTED_VALUE"""),-11.0)</f>
        <v>-11</v>
      </c>
      <c r="EK318" s="179"/>
      <c r="EL318" s="179">
        <f>IFERROR(__xludf.DUMMYFUNCTION("""COMPUTED_VALUE"""),-16.0)</f>
        <v>-16</v>
      </c>
      <c r="EM318" s="179"/>
      <c r="EN318" s="179"/>
      <c r="EO318" s="16"/>
      <c r="EP318" s="16"/>
      <c r="EQ318" s="16">
        <f>IFERROR(__xludf.DUMMYFUNCTION("""COMPUTED_VALUE"""),2.0)</f>
        <v>2</v>
      </c>
      <c r="ER318" s="16">
        <f>IFERROR(__xludf.DUMMYFUNCTION("""COMPUTED_VALUE"""),0.0)</f>
        <v>0</v>
      </c>
      <c r="ES318" s="16"/>
      <c r="ET318" s="16"/>
      <c r="EU318" s="16"/>
      <c r="EV318" s="16"/>
      <c r="EW318" s="16"/>
      <c r="EX318" s="180"/>
      <c r="EY318" s="180">
        <f>IFERROR(__xludf.DUMMYFUNCTION("""COMPUTED_VALUE"""),0.3)</f>
        <v>0.3</v>
      </c>
      <c r="EZ318" s="180">
        <f>IFERROR(__xludf.DUMMYFUNCTION("""COMPUTED_VALUE"""),0.3)</f>
        <v>0.3</v>
      </c>
      <c r="FA318" s="180">
        <f>IFERROR(__xludf.DUMMYFUNCTION("""COMPUTED_VALUE"""),0.3)</f>
        <v>0.3</v>
      </c>
      <c r="FB318" s="180"/>
      <c r="FC318" s="180">
        <f>IFERROR(__xludf.DUMMYFUNCTION("""COMPUTED_VALUE"""),0.55)</f>
        <v>0.55</v>
      </c>
      <c r="FD318" s="180"/>
      <c r="FE318" s="180"/>
      <c r="FF318" s="180"/>
      <c r="FG318" s="180">
        <f>IFERROR(__xludf.DUMMYFUNCTION("""COMPUTED_VALUE"""),0.14351851851851852)</f>
        <v>0.1435185185</v>
      </c>
      <c r="FH318" s="180">
        <f>IFERROR(__xludf.DUMMYFUNCTION("""COMPUTED_VALUE"""),0.032407407407407406)</f>
        <v>0.03240740741</v>
      </c>
      <c r="FI318" s="180">
        <f>IFERROR(__xludf.DUMMYFUNCTION("""COMPUTED_VALUE"""),0.2037037037037037)</f>
        <v>0.2037037037</v>
      </c>
      <c r="FJ318" s="180"/>
      <c r="FK318" s="180">
        <f>IFERROR(__xludf.DUMMYFUNCTION("""COMPUTED_VALUE"""),0.449)</f>
        <v>0.449</v>
      </c>
      <c r="FL318" s="180"/>
      <c r="FM318" s="180"/>
      <c r="FN318" s="16"/>
      <c r="FO318" s="16">
        <f>IFERROR(__xludf.DUMMYFUNCTION("""COMPUTED_VALUE"""),0.599537037037037)</f>
        <v>0.599537037</v>
      </c>
      <c r="FP318" s="16">
        <f>IFERROR(__xludf.DUMMYFUNCTION("""COMPUTED_VALUE"""),0.6773148148148147)</f>
        <v>0.6773148148</v>
      </c>
      <c r="FQ318" s="16">
        <f>IFERROR(__xludf.DUMMYFUNCTION("""COMPUTED_VALUE"""),0.5574074074074074)</f>
        <v>0.5574074074</v>
      </c>
      <c r="FR318" s="16"/>
      <c r="FS318" s="16">
        <f>IFERROR(__xludf.DUMMYFUNCTION("""COMPUTED_VALUE"""),0.24794999999999995)</f>
        <v>0.24795</v>
      </c>
      <c r="FT318" s="16"/>
      <c r="FU318" s="16"/>
      <c r="FV318" s="16"/>
      <c r="FW318" s="16">
        <f>IFERROR(__xludf.DUMMYFUNCTION("""COMPUTED_VALUE"""),-6.0)</f>
        <v>-6</v>
      </c>
      <c r="FX318" s="16">
        <f>IFERROR(__xludf.DUMMYFUNCTION("""COMPUTED_VALUE"""),-4.0)</f>
        <v>-4</v>
      </c>
      <c r="FY318" s="16">
        <f>IFERROR(__xludf.DUMMYFUNCTION("""COMPUTED_VALUE"""),-6.0)</f>
        <v>-6</v>
      </c>
      <c r="FZ318" s="16"/>
      <c r="GA318" s="16">
        <f>IFERROR(__xludf.DUMMYFUNCTION("""COMPUTED_VALUE"""),-8.0)</f>
        <v>-8</v>
      </c>
      <c r="GB318" s="16"/>
      <c r="GC318" s="16"/>
      <c r="GD318" s="16" t="s">
        <v>176</v>
      </c>
    </row>
    <row r="319">
      <c r="A319" s="16">
        <f>IFERROR(__xludf.DUMMYFUNCTION("""COMPUTED_VALUE"""),12738.0)</f>
        <v>12738</v>
      </c>
      <c r="B319" s="16" t="str">
        <f>IFERROR(__xludf.DUMMYFUNCTION("""COMPUTED_VALUE"""),"David Dahl")</f>
        <v>David Dahl</v>
      </c>
      <c r="C319" s="16">
        <f>IFERROR(__xludf.DUMMYFUNCTION("""COMPUTED_VALUE"""),0.84)</f>
        <v>0.84</v>
      </c>
      <c r="D319" s="16" t="str">
        <f>IFERROR(__xludf.DUMMYFUNCTION("""COMPUTED_VALUE"""),"L")</f>
        <v>L</v>
      </c>
      <c r="E319" s="16"/>
      <c r="F319" s="16"/>
      <c r="G319" s="16">
        <f>IFERROR(__xludf.DUMMYFUNCTION("""COMPUTED_VALUE"""),58.0)</f>
        <v>58</v>
      </c>
      <c r="H319" s="16">
        <f>IFERROR(__xludf.DUMMYFUNCTION("""COMPUTED_VALUE"""),3.0)</f>
        <v>3</v>
      </c>
      <c r="I319" s="16" t="str">
        <f>IFERROR(__xludf.DUMMYFUNCTION("""COMPUTED_VALUE"""),"1p20")</f>
        <v>1p20</v>
      </c>
      <c r="J319" s="16">
        <f>IFERROR(__xludf.DUMMYFUNCTION("""COMPUTED_VALUE"""),42.0)</f>
        <v>42</v>
      </c>
      <c r="K319" s="16">
        <f>IFERROR(__xludf.DUMMYFUNCTION("""COMPUTED_VALUE"""),50.0)</f>
        <v>50</v>
      </c>
      <c r="L319" s="16">
        <f>IFERROR(__xludf.DUMMYFUNCTION("""COMPUTED_VALUE"""),-1.0)</f>
        <v>-1</v>
      </c>
      <c r="M319" s="16">
        <f>IFERROR(__xludf.DUMMYFUNCTION("""COMPUTED_VALUE"""),-2.0)</f>
        <v>-2</v>
      </c>
      <c r="N319" s="16">
        <f>IFERROR(__xludf.DUMMYFUNCTION("""COMPUTED_VALUE"""),-1.0)</f>
        <v>-1</v>
      </c>
      <c r="O319" s="16">
        <f>IFERROR(__xludf.DUMMYFUNCTION("""COMPUTED_VALUE"""),-2.0)</f>
        <v>-2</v>
      </c>
      <c r="P319" s="16">
        <f>IFERROR(__xludf.DUMMYFUNCTION("""COMPUTED_VALUE"""),0.0)</f>
        <v>0</v>
      </c>
      <c r="Q319" s="16">
        <f>IFERROR(__xludf.DUMMYFUNCTION("""COMPUTED_VALUE"""),2.0)</f>
        <v>2</v>
      </c>
      <c r="R319" s="16">
        <f>IFERROR(__xludf.DUMMYFUNCTION("""COMPUTED_VALUE"""),-3.0)</f>
        <v>-3</v>
      </c>
      <c r="S319" s="16">
        <f>IFERROR(__xludf.DUMMYFUNCTION("""COMPUTED_VALUE"""),-2.0)</f>
        <v>-2</v>
      </c>
      <c r="T319" s="16">
        <f>IFERROR(__xludf.DUMMYFUNCTION("""COMPUTED_VALUE"""),-3.0)</f>
        <v>-3</v>
      </c>
      <c r="U319" s="16">
        <f>IFERROR(__xludf.DUMMYFUNCTION("""COMPUTED_VALUE"""),-2.0)</f>
        <v>-2</v>
      </c>
      <c r="V319" s="16">
        <f>IFERROR(__xludf.DUMMYFUNCTION("""COMPUTED_VALUE"""),8.6)</f>
        <v>8.6</v>
      </c>
      <c r="W319" s="16">
        <f>IFERROR(__xludf.DUMMYFUNCTION("""COMPUTED_VALUE"""),12.9)</f>
        <v>12.9</v>
      </c>
      <c r="X319" s="16">
        <f>IFERROR(__xludf.DUMMYFUNCTION("""COMPUTED_VALUE"""),-2.0)</f>
        <v>-2</v>
      </c>
      <c r="Y319" s="16">
        <f>IFERROR(__xludf.DUMMYFUNCTION("""COMPUTED_VALUE"""),-1.0)</f>
        <v>-1</v>
      </c>
      <c r="Z319" s="16">
        <f>IFERROR(__xludf.DUMMYFUNCTION("""COMPUTED_VALUE"""),-4.0)</f>
        <v>-4</v>
      </c>
      <c r="AA319" s="16">
        <f>IFERROR(__xludf.DUMMYFUNCTION("""COMPUTED_VALUE"""),-2.0)</f>
        <v>-2</v>
      </c>
      <c r="AB319" s="16">
        <f>IFERROR(__xludf.DUMMYFUNCTION("""COMPUTED_VALUE"""),8.6)</f>
        <v>8.6</v>
      </c>
      <c r="AC319" s="16">
        <f>IFERROR(__xludf.DUMMYFUNCTION("""COMPUTED_VALUE"""),14.9)</f>
        <v>14.9</v>
      </c>
      <c r="AD319" s="16">
        <f>IFERROR(__xludf.DUMMYFUNCTION("""COMPUTED_VALUE"""),-2.0)</f>
        <v>-2</v>
      </c>
      <c r="AE319" s="16">
        <f>IFERROR(__xludf.DUMMYFUNCTION("""COMPUTED_VALUE"""),-2.0)</f>
        <v>-2</v>
      </c>
      <c r="AF319" s="16">
        <f>IFERROR(__xludf.DUMMYFUNCTION("""COMPUTED_VALUE"""),-10.0)</f>
        <v>-10</v>
      </c>
      <c r="AG319" s="16">
        <f>IFERROR(__xludf.DUMMYFUNCTION("""COMPUTED_VALUE"""),-10.0)</f>
        <v>-10</v>
      </c>
      <c r="AH319" s="16">
        <f>IFERROR(__xludf.DUMMYFUNCTION("""COMPUTED_VALUE"""),8.6)</f>
        <v>8.6</v>
      </c>
      <c r="AI319" s="16">
        <f>IFERROR(__xludf.DUMMYFUNCTION("""COMPUTED_VALUE"""),29.7)</f>
        <v>29.7</v>
      </c>
      <c r="AJ319" s="16">
        <f>IFERROR(__xludf.DUMMYFUNCTION("""COMPUTED_VALUE"""),-2.0)</f>
        <v>-2</v>
      </c>
      <c r="AK319" s="16">
        <f>IFERROR(__xludf.DUMMYFUNCTION("""COMPUTED_VALUE"""),0.0)</f>
        <v>0</v>
      </c>
      <c r="AL319" s="16">
        <f>IFERROR(__xludf.DUMMYFUNCTION("""COMPUTED_VALUE"""),-10.0)</f>
        <v>-10</v>
      </c>
      <c r="AM319" s="16">
        <f>IFERROR(__xludf.DUMMYFUNCTION("""COMPUTED_VALUE"""),0.0)</f>
        <v>0</v>
      </c>
      <c r="AN319" s="16">
        <f>IFERROR(__xludf.DUMMYFUNCTION("""COMPUTED_VALUE"""),0.0)</f>
        <v>0</v>
      </c>
      <c r="AO319" s="16">
        <f>IFERROR(__xludf.DUMMYFUNCTION("""COMPUTED_VALUE"""),4.8)</f>
        <v>4.8</v>
      </c>
      <c r="AP319" s="16">
        <f>IFERROR(__xludf.DUMMYFUNCTION("""COMPUTED_VALUE"""),-2.0)</f>
        <v>-2</v>
      </c>
      <c r="AQ319" s="16">
        <f>IFERROR(__xludf.DUMMYFUNCTION("""COMPUTED_VALUE"""),2.0)</f>
        <v>2</v>
      </c>
      <c r="AR319" s="16">
        <f>IFERROR(__xludf.DUMMYFUNCTION("""COMPUTED_VALUE"""),-4.0)</f>
        <v>-4</v>
      </c>
      <c r="AS319" s="16">
        <f>IFERROR(__xludf.DUMMYFUNCTION("""COMPUTED_VALUE"""),4.0)</f>
        <v>4</v>
      </c>
      <c r="AT319" s="16"/>
      <c r="AU319" s="16">
        <f>IFERROR(__xludf.DUMMYFUNCTION("""COMPUTED_VALUE"""),6.0)</f>
        <v>6</v>
      </c>
      <c r="AV319" s="16">
        <f>IFERROR(__xludf.DUMMYFUNCTION("""COMPUTED_VALUE"""),-3.0)</f>
        <v>-3</v>
      </c>
      <c r="AW319" s="16">
        <f>IFERROR(__xludf.DUMMYFUNCTION("""COMPUTED_VALUE"""),6.0)</f>
        <v>6</v>
      </c>
      <c r="AX319" s="16">
        <f>IFERROR(__xludf.DUMMYFUNCTION("""COMPUTED_VALUE"""),-3.0)</f>
        <v>-3</v>
      </c>
      <c r="AY319" s="16">
        <f>IFERROR(__xludf.DUMMYFUNCTION("""COMPUTED_VALUE"""),2.0)</f>
        <v>2</v>
      </c>
      <c r="AZ319" s="16">
        <f>IFERROR(__xludf.DUMMYFUNCTION("""COMPUTED_VALUE"""),-9.0)</f>
        <v>-9</v>
      </c>
      <c r="BA319" s="16">
        <f>IFERROR(__xludf.DUMMYFUNCTION("""COMPUTED_VALUE"""),6.0)</f>
        <v>6</v>
      </c>
      <c r="BB319" s="16">
        <f>IFERROR(__xludf.DUMMYFUNCTION("""COMPUTED_VALUE"""),5.0)</f>
        <v>5</v>
      </c>
      <c r="BC319" s="16">
        <f>IFERROR(__xludf.DUMMYFUNCTION("""COMPUTED_VALUE"""),5.0)</f>
        <v>5</v>
      </c>
      <c r="BD319" s="16">
        <f>IFERROR(__xludf.DUMMYFUNCTION("""COMPUTED_VALUE"""),1.0)</f>
        <v>1</v>
      </c>
      <c r="BE319" s="16">
        <f>IFERROR(__xludf.DUMMYFUNCTION("""COMPUTED_VALUE"""),1.0)</f>
        <v>1</v>
      </c>
      <c r="BF319" s="16">
        <f>IFERROR(__xludf.DUMMYFUNCTION("""COMPUTED_VALUE"""),1.0)</f>
        <v>1</v>
      </c>
      <c r="BG319" s="16">
        <f>IFERROR(__xludf.DUMMYFUNCTION("""COMPUTED_VALUE"""),1.0)</f>
        <v>1</v>
      </c>
      <c r="BH319" s="16">
        <f>IFERROR(__xludf.DUMMYFUNCTION("""COMPUTED_VALUE"""),-6.0)</f>
        <v>-6</v>
      </c>
      <c r="BI319" s="16">
        <f>IFERROR(__xludf.DUMMYFUNCTION("""COMPUTED_VALUE"""),-3.0)</f>
        <v>-3</v>
      </c>
      <c r="BJ319" s="16">
        <f>IFERROR(__xludf.DUMMYFUNCTION("""COMPUTED_VALUE"""),0.0)</f>
        <v>0</v>
      </c>
      <c r="BK319" s="16">
        <f>IFERROR(__xludf.DUMMYFUNCTION("""COMPUTED_VALUE"""),0.0)</f>
        <v>0</v>
      </c>
      <c r="BL319" s="16">
        <f>IFERROR(__xludf.DUMMYFUNCTION("""COMPUTED_VALUE"""),3.0)</f>
        <v>3</v>
      </c>
      <c r="BM319" s="16">
        <f>IFERROR(__xludf.DUMMYFUNCTION("""COMPUTED_VALUE"""),3.0)</f>
        <v>3</v>
      </c>
      <c r="BN319" s="16">
        <f>IFERROR(__xludf.DUMMYFUNCTION("""COMPUTED_VALUE"""),3.0)</f>
        <v>3</v>
      </c>
      <c r="BO319" s="16">
        <f>IFERROR(__xludf.DUMMYFUNCTION("""COMPUTED_VALUE"""),3.0)</f>
        <v>3</v>
      </c>
      <c r="BP319" s="16">
        <f>IFERROR(__xludf.DUMMYFUNCTION("""COMPUTED_VALUE"""),-11.0)</f>
        <v>-11</v>
      </c>
      <c r="BQ319" s="16">
        <f>IFERROR(__xludf.DUMMYFUNCTION("""COMPUTED_VALUE"""),1.0)</f>
        <v>1</v>
      </c>
      <c r="BR319" s="16">
        <f>IFERROR(__xludf.DUMMYFUNCTION("""COMPUTED_VALUE"""),-10.0)</f>
        <v>-10</v>
      </c>
      <c r="BS319" s="16" t="str">
        <f>IFERROR(__xludf.DUMMYFUNCTION("""COMPUTED_VALUE"""),"-/- (---)")</f>
        <v>-/- (---)</v>
      </c>
      <c r="BT319" s="16" t="str">
        <f>IFERROR(__xludf.DUMMYFUNCTION("""COMPUTED_VALUE"""),"E")</f>
        <v>E</v>
      </c>
      <c r="BU319" s="16">
        <f>IFERROR(__xludf.DUMMYFUNCTION("""COMPUTED_VALUE"""),12.0)</f>
        <v>12</v>
      </c>
      <c r="BV319" s="16">
        <f>IFERROR(__xludf.DUMMYFUNCTION("""COMPUTED_VALUE"""),0.0)</f>
        <v>0</v>
      </c>
      <c r="BW319" s="16">
        <f>IFERROR(__xludf.DUMMYFUNCTION("""COMPUTED_VALUE"""),0.0)</f>
        <v>0</v>
      </c>
      <c r="BX319" s="16">
        <f>IFERROR(__xludf.DUMMYFUNCTION("""COMPUTED_VALUE"""),0.0)</f>
        <v>0</v>
      </c>
      <c r="BY319" s="16">
        <f>IFERROR(__xludf.DUMMYFUNCTION("""COMPUTED_VALUE"""),0.0)</f>
        <v>0</v>
      </c>
      <c r="BZ319" s="16" t="str">
        <f>IFERROR(__xludf.DUMMYFUNCTION("""COMPUTED_VALUE"""),"D")</f>
        <v>D</v>
      </c>
      <c r="CA319" s="16" t="str">
        <f>IFERROR(__xludf.DUMMYFUNCTION("""COMPUTED_VALUE"""),"D")</f>
        <v>D</v>
      </c>
      <c r="CB319" s="16">
        <f>IFERROR(__xludf.DUMMYFUNCTION("""COMPUTED_VALUE"""),0.0)</f>
        <v>0</v>
      </c>
      <c r="CC319" s="16">
        <f>IFERROR(__xludf.DUMMYFUNCTION("""COMPUTED_VALUE"""),0.0)</f>
        <v>0</v>
      </c>
      <c r="CD319" s="16">
        <f>IFERROR(__xludf.DUMMYFUNCTION("""COMPUTED_VALUE"""),0.0)</f>
        <v>0</v>
      </c>
      <c r="CE319" s="16">
        <f>IFERROR(__xludf.DUMMYFUNCTION("""COMPUTED_VALUE"""),0.0)</f>
        <v>0</v>
      </c>
      <c r="CF319" s="16">
        <f>IFERROR(__xludf.DUMMYFUNCTION("""COMPUTED_VALUE"""),1.0)</f>
        <v>1</v>
      </c>
      <c r="CG319" s="16">
        <f>IFERROR(__xludf.DUMMYFUNCTION("""COMPUTED_VALUE"""),-37.0)</f>
        <v>-37</v>
      </c>
      <c r="CH319" s="16">
        <f>IFERROR(__xludf.DUMMYFUNCTION("""COMPUTED_VALUE"""),-2.0)</f>
        <v>-2</v>
      </c>
      <c r="CI319" s="179">
        <f>IFERROR(__xludf.DUMMYFUNCTION("""COMPUTED_VALUE"""),-11.0)</f>
        <v>-11</v>
      </c>
      <c r="CJ319" s="16"/>
      <c r="CK319" s="16"/>
      <c r="CL319" s="16"/>
      <c r="CM319" s="16"/>
      <c r="CN319" s="16"/>
      <c r="CO319" s="16">
        <f>IFERROR(__xludf.DUMMYFUNCTION("""COMPUTED_VALUE"""),405.0)</f>
        <v>405</v>
      </c>
      <c r="CP319" s="16"/>
      <c r="CQ319" s="16">
        <f>IFERROR(__xludf.DUMMYFUNCTION("""COMPUTED_VALUE"""),405.0)</f>
        <v>405</v>
      </c>
      <c r="CR319" s="16" t="str">
        <f>IFERROR(__xludf.DUMMYFUNCTION("""COMPUTED_VALUE"""),"lf-4(0)e5 rf-4e5")</f>
        <v>lf-4(0)e5 rf-4e5</v>
      </c>
      <c r="CS319" s="16"/>
      <c r="CT319" s="16"/>
      <c r="CU319" s="16"/>
      <c r="CV319" s="16"/>
      <c r="CW319" s="16"/>
      <c r="CX319" s="16">
        <f>IFERROR(__xludf.DUMMYFUNCTION("""COMPUTED_VALUE"""),4.0)</f>
        <v>4</v>
      </c>
      <c r="CY319" s="16"/>
      <c r="CZ319" s="16">
        <f>IFERROR(__xludf.DUMMYFUNCTION("""COMPUTED_VALUE"""),4.0)</f>
        <v>4</v>
      </c>
      <c r="DA319" s="16"/>
      <c r="DB319" s="16"/>
      <c r="DC319" s="16"/>
      <c r="DD319" s="16"/>
      <c r="DE319" s="16"/>
      <c r="DF319" s="16">
        <f>IFERROR(__xludf.DUMMYFUNCTION("""COMPUTED_VALUE"""),5.0)</f>
        <v>5</v>
      </c>
      <c r="DG319" s="16"/>
      <c r="DH319" s="16">
        <f>IFERROR(__xludf.DUMMYFUNCTION("""COMPUTED_VALUE"""),5.0)</f>
        <v>5</v>
      </c>
      <c r="DI319" s="16"/>
      <c r="DJ319" s="16"/>
      <c r="DK319" s="16"/>
      <c r="DL319" s="16"/>
      <c r="DM319" s="16"/>
      <c r="DN319" s="16">
        <f>IFERROR(__xludf.DUMMYFUNCTION("""COMPUTED_VALUE"""),-1.0)</f>
        <v>-1</v>
      </c>
      <c r="DO319" s="16"/>
      <c r="DP319" s="16">
        <f>IFERROR(__xludf.DUMMYFUNCTION("""COMPUTED_VALUE"""),-1.0)</f>
        <v>-1</v>
      </c>
      <c r="DQ319" s="16"/>
      <c r="DR319" s="16"/>
      <c r="DS319" s="16"/>
      <c r="DT319" s="16"/>
      <c r="DU319" s="16"/>
      <c r="DV319" s="16">
        <f>IFERROR(__xludf.DUMMYFUNCTION("""COMPUTED_VALUE"""),2.0)</f>
        <v>2</v>
      </c>
      <c r="DW319" s="16"/>
      <c r="DX319" s="16">
        <f>IFERROR(__xludf.DUMMYFUNCTION("""COMPUTED_VALUE"""),2.0)</f>
        <v>2</v>
      </c>
      <c r="DY319" s="16"/>
      <c r="DZ319" s="16"/>
      <c r="EA319" s="16"/>
      <c r="EB319" s="16"/>
      <c r="EC319" s="16"/>
      <c r="ED319" s="16">
        <f>IFERROR(__xludf.DUMMYFUNCTION("""COMPUTED_VALUE"""),1.0)</f>
        <v>1</v>
      </c>
      <c r="EE319" s="16"/>
      <c r="EF319" s="16">
        <f>IFERROR(__xludf.DUMMYFUNCTION("""COMPUTED_VALUE"""),1.0)</f>
        <v>1</v>
      </c>
      <c r="EG319" s="179"/>
      <c r="EH319" s="179"/>
      <c r="EI319" s="179"/>
      <c r="EJ319" s="179"/>
      <c r="EK319" s="179"/>
      <c r="EL319" s="179">
        <f>IFERROR(__xludf.DUMMYFUNCTION("""COMPUTED_VALUE"""),-10.0)</f>
        <v>-10</v>
      </c>
      <c r="EM319" s="179"/>
      <c r="EN319" s="179">
        <f>IFERROR(__xludf.DUMMYFUNCTION("""COMPUTED_VALUE"""),-10.0)</f>
        <v>-10</v>
      </c>
      <c r="EO319" s="16"/>
      <c r="EP319" s="16"/>
      <c r="EQ319" s="16">
        <f>IFERROR(__xludf.DUMMYFUNCTION("""COMPUTED_VALUE"""),4.0)</f>
        <v>4</v>
      </c>
      <c r="ER319" s="16">
        <f>IFERROR(__xludf.DUMMYFUNCTION("""COMPUTED_VALUE"""),-4.0)</f>
        <v>-4</v>
      </c>
      <c r="ES319" s="16"/>
      <c r="ET319" s="16"/>
      <c r="EU319" s="16"/>
      <c r="EV319" s="16"/>
      <c r="EW319" s="16"/>
      <c r="EX319" s="180"/>
      <c r="EY319" s="180"/>
      <c r="EZ319" s="180"/>
      <c r="FA319" s="180"/>
      <c r="FB319" s="180"/>
      <c r="FC319" s="180">
        <f>IFERROR(__xludf.DUMMYFUNCTION("""COMPUTED_VALUE"""),0.55)</f>
        <v>0.55</v>
      </c>
      <c r="FD319" s="180"/>
      <c r="FE319" s="180">
        <f>IFERROR(__xludf.DUMMYFUNCTION("""COMPUTED_VALUE"""),0.55)</f>
        <v>0.55</v>
      </c>
      <c r="FF319" s="180"/>
      <c r="FG319" s="180"/>
      <c r="FH319" s="180"/>
      <c r="FI319" s="180"/>
      <c r="FJ319" s="180"/>
      <c r="FK319" s="180">
        <f>IFERROR(__xludf.DUMMYFUNCTION("""COMPUTED_VALUE"""),0.088)</f>
        <v>0.088</v>
      </c>
      <c r="FL319" s="180"/>
      <c r="FM319" s="180">
        <f>IFERROR(__xludf.DUMMYFUNCTION("""COMPUTED_VALUE"""),0.088)</f>
        <v>0.088</v>
      </c>
      <c r="FN319" s="16"/>
      <c r="FO319" s="16"/>
      <c r="FP319" s="16"/>
      <c r="FQ319" s="16"/>
      <c r="FR319" s="16"/>
      <c r="FS319" s="16">
        <f>IFERROR(__xludf.DUMMYFUNCTION("""COMPUTED_VALUE"""),0.4104)</f>
        <v>0.4104</v>
      </c>
      <c r="FT319" s="16"/>
      <c r="FU319" s="16">
        <f>IFERROR(__xludf.DUMMYFUNCTION("""COMPUTED_VALUE"""),0.4104)</f>
        <v>0.4104</v>
      </c>
      <c r="FV319" s="16"/>
      <c r="FW319" s="16"/>
      <c r="FX319" s="16"/>
      <c r="FY319" s="16"/>
      <c r="FZ319" s="16"/>
      <c r="GA319" s="16">
        <f>IFERROR(__xludf.DUMMYFUNCTION("""COMPUTED_VALUE"""),-8.0)</f>
        <v>-8</v>
      </c>
      <c r="GB319" s="16"/>
      <c r="GC319" s="16">
        <f>IFERROR(__xludf.DUMMYFUNCTION("""COMPUTED_VALUE"""),-8.0)</f>
        <v>-8</v>
      </c>
      <c r="GD319" s="16" t="s">
        <v>176</v>
      </c>
    </row>
    <row r="320">
      <c r="A320" s="16">
        <f>IFERROR(__xludf.DUMMYFUNCTION("""COMPUTED_VALUE"""),12788.0)</f>
        <v>12788</v>
      </c>
      <c r="B320" s="16" t="str">
        <f>IFERROR(__xludf.DUMMYFUNCTION("""COMPUTED_VALUE"""),"Elias Diaz")</f>
        <v>Elias Diaz</v>
      </c>
      <c r="C320" s="16">
        <f>IFERROR(__xludf.DUMMYFUNCTION("""COMPUTED_VALUE"""),1.07)</f>
        <v>1.07</v>
      </c>
      <c r="D320" s="16" t="str">
        <f>IFERROR(__xludf.DUMMYFUNCTION("""COMPUTED_VALUE"""),"R")</f>
        <v>R</v>
      </c>
      <c r="E320" s="16"/>
      <c r="F320" s="16"/>
      <c r="G320" s="16">
        <f>IFERROR(__xludf.DUMMYFUNCTION("""COMPUTED_VALUE"""),325.0)</f>
        <v>325</v>
      </c>
      <c r="H320" s="16">
        <f>IFERROR(__xludf.DUMMYFUNCTION("""COMPUTED_VALUE"""),20.0)</f>
        <v>20</v>
      </c>
      <c r="I320" s="16" t="str">
        <f>IFERROR(__xludf.DUMMYFUNCTION("""COMPUTED_VALUE"""),"3p50")</f>
        <v>3p50</v>
      </c>
      <c r="J320" s="16">
        <f>IFERROR(__xludf.DUMMYFUNCTION("""COMPUTED_VALUE"""),19.0)</f>
        <v>19</v>
      </c>
      <c r="K320" s="16">
        <f>IFERROR(__xludf.DUMMYFUNCTION("""COMPUTED_VALUE"""),17.0)</f>
        <v>17</v>
      </c>
      <c r="L320" s="16">
        <f>IFERROR(__xludf.DUMMYFUNCTION("""COMPUTED_VALUE"""),1.0)</f>
        <v>1</v>
      </c>
      <c r="M320" s="16">
        <f>IFERROR(__xludf.DUMMYFUNCTION("""COMPUTED_VALUE"""),1.0)</f>
        <v>1</v>
      </c>
      <c r="N320" s="16">
        <f>IFERROR(__xludf.DUMMYFUNCTION("""COMPUTED_VALUE"""),1.0)</f>
        <v>1</v>
      </c>
      <c r="O320" s="16">
        <f>IFERROR(__xludf.DUMMYFUNCTION("""COMPUTED_VALUE"""),1.0)</f>
        <v>1</v>
      </c>
      <c r="P320" s="16">
        <f>IFERROR(__xludf.DUMMYFUNCTION("""COMPUTED_VALUE"""),1.0)</f>
        <v>1</v>
      </c>
      <c r="Q320" s="16">
        <f>IFERROR(__xludf.DUMMYFUNCTION("""COMPUTED_VALUE"""),4.0)</f>
        <v>4</v>
      </c>
      <c r="R320" s="16">
        <f>IFERROR(__xludf.DUMMYFUNCTION("""COMPUTED_VALUE"""),-2.0)</f>
        <v>-2</v>
      </c>
      <c r="S320" s="16">
        <f>IFERROR(__xludf.DUMMYFUNCTION("""COMPUTED_VALUE"""),-2.0)</f>
        <v>-2</v>
      </c>
      <c r="T320" s="16">
        <f>IFERROR(__xludf.DUMMYFUNCTION("""COMPUTED_VALUE"""),-2.0)</f>
        <v>-2</v>
      </c>
      <c r="U320" s="16">
        <f>IFERROR(__xludf.DUMMYFUNCTION("""COMPUTED_VALUE"""),-2.0)</f>
        <v>-2</v>
      </c>
      <c r="V320" s="16">
        <f>IFERROR(__xludf.DUMMYFUNCTION("""COMPUTED_VALUE"""),23.4)</f>
        <v>23.4</v>
      </c>
      <c r="W320" s="16">
        <f>IFERROR(__xludf.DUMMYFUNCTION("""COMPUTED_VALUE"""),26.0)</f>
        <v>26</v>
      </c>
      <c r="X320" s="16">
        <f>IFERROR(__xludf.DUMMYFUNCTION("""COMPUTED_VALUE"""),1.0)</f>
        <v>1</v>
      </c>
      <c r="Y320" s="16">
        <f>IFERROR(__xludf.DUMMYFUNCTION("""COMPUTED_VALUE"""),1.0)</f>
        <v>1</v>
      </c>
      <c r="Z320" s="16">
        <f>IFERROR(__xludf.DUMMYFUNCTION("""COMPUTED_VALUE"""),2.0)</f>
        <v>2</v>
      </c>
      <c r="AA320" s="16">
        <f>IFERROR(__xludf.DUMMYFUNCTION("""COMPUTED_VALUE"""),2.0)</f>
        <v>2</v>
      </c>
      <c r="AB320" s="16">
        <f>IFERROR(__xludf.DUMMYFUNCTION("""COMPUTED_VALUE"""),27.4)</f>
        <v>27.4</v>
      </c>
      <c r="AC320" s="16">
        <f>IFERROR(__xludf.DUMMYFUNCTION("""COMPUTED_VALUE"""),33.0)</f>
        <v>33</v>
      </c>
      <c r="AD320" s="16">
        <f>IFERROR(__xludf.DUMMYFUNCTION("""COMPUTED_VALUE"""),0.0)</f>
        <v>0</v>
      </c>
      <c r="AE320" s="16">
        <f>IFERROR(__xludf.DUMMYFUNCTION("""COMPUTED_VALUE"""),0.0)</f>
        <v>0</v>
      </c>
      <c r="AF320" s="16">
        <f>IFERROR(__xludf.DUMMYFUNCTION("""COMPUTED_VALUE"""),0.0)</f>
        <v>0</v>
      </c>
      <c r="AG320" s="16">
        <f>IFERROR(__xludf.DUMMYFUNCTION("""COMPUTED_VALUE"""),0.0)</f>
        <v>0</v>
      </c>
      <c r="AH320" s="16">
        <f>IFERROR(__xludf.DUMMYFUNCTION("""COMPUTED_VALUE"""),35.7)</f>
        <v>35.7</v>
      </c>
      <c r="AI320" s="16">
        <f>IFERROR(__xludf.DUMMYFUNCTION("""COMPUTED_VALUE"""),35.8)</f>
        <v>35.8</v>
      </c>
      <c r="AJ320" s="16">
        <f>IFERROR(__xludf.DUMMYFUNCTION("""COMPUTED_VALUE"""),0.0)</f>
        <v>0</v>
      </c>
      <c r="AK320" s="16">
        <f>IFERROR(__xludf.DUMMYFUNCTION("""COMPUTED_VALUE"""),0.0)</f>
        <v>0</v>
      </c>
      <c r="AL320" s="16">
        <f>IFERROR(__xludf.DUMMYFUNCTION("""COMPUTED_VALUE"""),0.0)</f>
        <v>0</v>
      </c>
      <c r="AM320" s="16">
        <f>IFERROR(__xludf.DUMMYFUNCTION("""COMPUTED_VALUE"""),0.0)</f>
        <v>0</v>
      </c>
      <c r="AN320" s="16">
        <f>IFERROR(__xludf.DUMMYFUNCTION("""COMPUTED_VALUE"""),2.3)</f>
        <v>2.3</v>
      </c>
      <c r="AO320" s="16">
        <f>IFERROR(__xludf.DUMMYFUNCTION("""COMPUTED_VALUE"""),0.6)</f>
        <v>0.6</v>
      </c>
      <c r="AP320" s="16">
        <f>IFERROR(__xludf.DUMMYFUNCTION("""COMPUTED_VALUE"""),0.0)</f>
        <v>0</v>
      </c>
      <c r="AQ320" s="16">
        <f>IFERROR(__xludf.DUMMYFUNCTION("""COMPUTED_VALUE"""),-2.0)</f>
        <v>-2</v>
      </c>
      <c r="AR320" s="16">
        <f>IFERROR(__xludf.DUMMYFUNCTION("""COMPUTED_VALUE"""),0.0)</f>
        <v>0</v>
      </c>
      <c r="AS320" s="16">
        <f>IFERROR(__xludf.DUMMYFUNCTION("""COMPUTED_VALUE"""),-4.0)</f>
        <v>-4</v>
      </c>
      <c r="AT320" s="16"/>
      <c r="AU320" s="16">
        <f>IFERROR(__xludf.DUMMYFUNCTION("""COMPUTED_VALUE"""),1.0)</f>
        <v>1</v>
      </c>
      <c r="AV320" s="16">
        <f>IFERROR(__xludf.DUMMYFUNCTION("""COMPUTED_VALUE"""),-3.0)</f>
        <v>-3</v>
      </c>
      <c r="AW320" s="16">
        <f>IFERROR(__xludf.DUMMYFUNCTION("""COMPUTED_VALUE"""),1.0)</f>
        <v>1</v>
      </c>
      <c r="AX320" s="16">
        <f>IFERROR(__xludf.DUMMYFUNCTION("""COMPUTED_VALUE"""),-3.0)</f>
        <v>-3</v>
      </c>
      <c r="AY320" s="16">
        <f>IFERROR(__xludf.DUMMYFUNCTION("""COMPUTED_VALUE"""),-1.0)</f>
        <v>-1</v>
      </c>
      <c r="AZ320" s="16">
        <f>IFERROR(__xludf.DUMMYFUNCTION("""COMPUTED_VALUE"""),-9.0)</f>
        <v>-9</v>
      </c>
      <c r="BA320" s="16">
        <f>IFERROR(__xludf.DUMMYFUNCTION("""COMPUTED_VALUE"""),-3.0)</f>
        <v>-3</v>
      </c>
      <c r="BB320" s="16">
        <f>IFERROR(__xludf.DUMMYFUNCTION("""COMPUTED_VALUE"""),5.0)</f>
        <v>5</v>
      </c>
      <c r="BC320" s="16">
        <f>IFERROR(__xludf.DUMMYFUNCTION("""COMPUTED_VALUE"""),5.0)</f>
        <v>5</v>
      </c>
      <c r="BD320" s="16">
        <f>IFERROR(__xludf.DUMMYFUNCTION("""COMPUTED_VALUE"""),1.0)</f>
        <v>1</v>
      </c>
      <c r="BE320" s="16">
        <f>IFERROR(__xludf.DUMMYFUNCTION("""COMPUTED_VALUE"""),1.0)</f>
        <v>1</v>
      </c>
      <c r="BF320" s="16">
        <f>IFERROR(__xludf.DUMMYFUNCTION("""COMPUTED_VALUE"""),1.0)</f>
        <v>1</v>
      </c>
      <c r="BG320" s="16">
        <f>IFERROR(__xludf.DUMMYFUNCTION("""COMPUTED_VALUE"""),1.0)</f>
        <v>1</v>
      </c>
      <c r="BH320" s="16">
        <f>IFERROR(__xludf.DUMMYFUNCTION("""COMPUTED_VALUE"""),-5.0)</f>
        <v>-5</v>
      </c>
      <c r="BI320" s="16">
        <f>IFERROR(__xludf.DUMMYFUNCTION("""COMPUTED_VALUE"""),-5.0)</f>
        <v>-5</v>
      </c>
      <c r="BJ320" s="16">
        <f>IFERROR(__xludf.DUMMYFUNCTION("""COMPUTED_VALUE"""),32.0)</f>
        <v>32</v>
      </c>
      <c r="BK320" s="16">
        <f>IFERROR(__xludf.DUMMYFUNCTION("""COMPUTED_VALUE"""),30.0)</f>
        <v>30</v>
      </c>
      <c r="BL320" s="16">
        <f>IFERROR(__xludf.DUMMYFUNCTION("""COMPUTED_VALUE"""),-3.0)</f>
        <v>-3</v>
      </c>
      <c r="BM320" s="16">
        <f>IFERROR(__xludf.DUMMYFUNCTION("""COMPUTED_VALUE"""),-3.0)</f>
        <v>-3</v>
      </c>
      <c r="BN320" s="16">
        <f>IFERROR(__xludf.DUMMYFUNCTION("""COMPUTED_VALUE"""),-6.0)</f>
        <v>-6</v>
      </c>
      <c r="BO320" s="16">
        <f>IFERROR(__xludf.DUMMYFUNCTION("""COMPUTED_VALUE"""),-6.0)</f>
        <v>-6</v>
      </c>
      <c r="BP320" s="16">
        <f>IFERROR(__xludf.DUMMYFUNCTION("""COMPUTED_VALUE"""),-5.0)</f>
        <v>-5</v>
      </c>
      <c r="BQ320" s="16">
        <f>IFERROR(__xludf.DUMMYFUNCTION("""COMPUTED_VALUE"""),-5.0)</f>
        <v>-5</v>
      </c>
      <c r="BR320" s="16">
        <f>IFERROR(__xludf.DUMMYFUNCTION("""COMPUTED_VALUE"""),-10.0)</f>
        <v>-10</v>
      </c>
      <c r="BS320" s="16" t="str">
        <f>IFERROR(__xludf.DUMMYFUNCTION("""COMPUTED_VALUE"""),"-/- (---)")</f>
        <v>-/- (---)</v>
      </c>
      <c r="BT320" s="16" t="str">
        <f>IFERROR(__xludf.DUMMYFUNCTION("""COMPUTED_VALUE"""),"E")</f>
        <v>E</v>
      </c>
      <c r="BU320" s="16">
        <f>IFERROR(__xludf.DUMMYFUNCTION("""COMPUTED_VALUE"""),9.0)</f>
        <v>9</v>
      </c>
      <c r="BV320" s="16">
        <f>IFERROR(__xludf.DUMMYFUNCTION("""COMPUTED_VALUE"""),0.0)</f>
        <v>0</v>
      </c>
      <c r="BW320" s="16">
        <f>IFERROR(__xludf.DUMMYFUNCTION("""COMPUTED_VALUE"""),-1.0)</f>
        <v>-1</v>
      </c>
      <c r="BX320" s="16">
        <f>IFERROR(__xludf.DUMMYFUNCTION("""COMPUTED_VALUE"""),0.0)</f>
        <v>0</v>
      </c>
      <c r="BY320" s="16">
        <f>IFERROR(__xludf.DUMMYFUNCTION("""COMPUTED_VALUE"""),-3.0)</f>
        <v>-3</v>
      </c>
      <c r="BZ320" s="16" t="str">
        <f>IFERROR(__xludf.DUMMYFUNCTION("""COMPUTED_VALUE"""),"D")</f>
        <v>D</v>
      </c>
      <c r="CA320" s="16" t="str">
        <f>IFERROR(__xludf.DUMMYFUNCTION("""COMPUTED_VALUE"""),"C")</f>
        <v>C</v>
      </c>
      <c r="CB320" s="16">
        <f>IFERROR(__xludf.DUMMYFUNCTION("""COMPUTED_VALUE"""),0.0)</f>
        <v>0</v>
      </c>
      <c r="CC320" s="16">
        <f>IFERROR(__xludf.DUMMYFUNCTION("""COMPUTED_VALUE"""),0.0)</f>
        <v>0</v>
      </c>
      <c r="CD320" s="16">
        <f>IFERROR(__xludf.DUMMYFUNCTION("""COMPUTED_VALUE"""),0.0)</f>
        <v>0</v>
      </c>
      <c r="CE320" s="16">
        <f>IFERROR(__xludf.DUMMYFUNCTION("""COMPUTED_VALUE"""),0.0)</f>
        <v>0</v>
      </c>
      <c r="CF320" s="16">
        <f>IFERROR(__xludf.DUMMYFUNCTION("""COMPUTED_VALUE"""),3.0)</f>
        <v>3</v>
      </c>
      <c r="CG320" s="16">
        <f>IFERROR(__xludf.DUMMYFUNCTION("""COMPUTED_VALUE"""),-13.0)</f>
        <v>-13</v>
      </c>
      <c r="CH320" s="16">
        <f>IFERROR(__xludf.DUMMYFUNCTION("""COMPUTED_VALUE"""),-11.0)</f>
        <v>-11</v>
      </c>
      <c r="CI320" s="179">
        <f>IFERROR(__xludf.DUMMYFUNCTION("""COMPUTED_VALUE"""),-11.0)</f>
        <v>-11</v>
      </c>
      <c r="CJ320" s="16">
        <f>IFERROR(__xludf.DUMMYFUNCTION("""COMPUTED_VALUE"""),201.0)</f>
        <v>201</v>
      </c>
      <c r="CK320" s="16"/>
      <c r="CL320" s="16"/>
      <c r="CM320" s="16"/>
      <c r="CN320" s="16"/>
      <c r="CO320" s="16"/>
      <c r="CP320" s="16"/>
      <c r="CQ320" s="16"/>
      <c r="CR320" s="16" t="str">
        <f>IFERROR(__xludf.DUMMYFUNCTION("""COMPUTED_VALUE"""),"c-2(-1)e1,T-8(pb-0)")</f>
        <v>c-2(-1)e1,T-8(pb-0)</v>
      </c>
      <c r="CS320" s="16">
        <f>IFERROR(__xludf.DUMMYFUNCTION("""COMPUTED_VALUE"""),2.0)</f>
        <v>2</v>
      </c>
      <c r="CT320" s="16"/>
      <c r="CU320" s="16"/>
      <c r="CV320" s="16"/>
      <c r="CW320" s="16"/>
      <c r="CX320" s="16"/>
      <c r="CY320" s="16"/>
      <c r="CZ320" s="16"/>
      <c r="DA320" s="16">
        <f>IFERROR(__xludf.DUMMYFUNCTION("""COMPUTED_VALUE"""),1.0)</f>
        <v>1</v>
      </c>
      <c r="DB320" s="16"/>
      <c r="DC320" s="16"/>
      <c r="DD320" s="16"/>
      <c r="DE320" s="16"/>
      <c r="DF320" s="16"/>
      <c r="DG320" s="16"/>
      <c r="DH320" s="16"/>
      <c r="DI320" s="16">
        <f>IFERROR(__xludf.DUMMYFUNCTION("""COMPUTED_VALUE"""),2.0)</f>
        <v>2</v>
      </c>
      <c r="DJ320" s="16"/>
      <c r="DK320" s="16"/>
      <c r="DL320" s="16"/>
      <c r="DM320" s="16"/>
      <c r="DN320" s="16"/>
      <c r="DO320" s="16"/>
      <c r="DP320" s="16"/>
      <c r="DQ320" s="16">
        <f>IFERROR(__xludf.DUMMYFUNCTION("""COMPUTED_VALUE"""),4.0)</f>
        <v>4</v>
      </c>
      <c r="DR320" s="16"/>
      <c r="DS320" s="16"/>
      <c r="DT320" s="16"/>
      <c r="DU320" s="16"/>
      <c r="DV320" s="16"/>
      <c r="DW320" s="16"/>
      <c r="DX320" s="16"/>
      <c r="DY320" s="16">
        <f>IFERROR(__xludf.DUMMYFUNCTION("""COMPUTED_VALUE"""),6.0)</f>
        <v>6</v>
      </c>
      <c r="DZ320" s="16"/>
      <c r="EA320" s="16"/>
      <c r="EB320" s="16"/>
      <c r="EC320" s="16"/>
      <c r="ED320" s="16"/>
      <c r="EE320" s="16"/>
      <c r="EF320" s="16"/>
      <c r="EG320" s="179">
        <f>IFERROR(__xludf.DUMMYFUNCTION("""COMPUTED_VALUE"""),-6.0)</f>
        <v>-6</v>
      </c>
      <c r="EH320" s="179"/>
      <c r="EI320" s="179"/>
      <c r="EJ320" s="179"/>
      <c r="EK320" s="179"/>
      <c r="EL320" s="179"/>
      <c r="EM320" s="179"/>
      <c r="EN320" s="179"/>
      <c r="EO320" s="16">
        <f>IFERROR(__xludf.DUMMYFUNCTION("""COMPUTED_VALUE"""),-1.0)</f>
        <v>-1</v>
      </c>
      <c r="EP320" s="16">
        <f>IFERROR(__xludf.DUMMYFUNCTION("""COMPUTED_VALUE"""),-1.0)</f>
        <v>-1</v>
      </c>
      <c r="EQ320" s="16">
        <f>IFERROR(__xludf.DUMMYFUNCTION("""COMPUTED_VALUE"""),1.0)</f>
        <v>1</v>
      </c>
      <c r="ER320" s="16">
        <f>IFERROR(__xludf.DUMMYFUNCTION("""COMPUTED_VALUE"""),0.0)</f>
        <v>0</v>
      </c>
      <c r="ES320" s="16" t="str">
        <f>IFERROR(__xludf.DUMMYFUNCTION("""COMPUTED_VALUE"""),"c-2")</f>
        <v>c-2</v>
      </c>
      <c r="ET320" s="16" t="str">
        <f>IFERROR(__xludf.DUMMYFUNCTION("""COMPUTED_VALUE"""),"-1)e1,T-8")</f>
        <v>-1)e1,T-8</v>
      </c>
      <c r="EU320" s="16" t="str">
        <f>IFERROR(__xludf.DUMMYFUNCTION("""COMPUTED_VALUE"""),"pb-0)")</f>
        <v>pb-0)</v>
      </c>
      <c r="EV320" s="16"/>
      <c r="EW320" s="16">
        <f>IFERROR(__xludf.DUMMYFUNCTION("""COMPUTED_VALUE"""),-1.0)</f>
        <v>-1</v>
      </c>
      <c r="EX320" s="180">
        <f>IFERROR(__xludf.DUMMYFUNCTION("""COMPUTED_VALUE"""),0.1)</f>
        <v>0.1</v>
      </c>
      <c r="EY320" s="180"/>
      <c r="EZ320" s="180"/>
      <c r="FA320" s="180"/>
      <c r="FB320" s="180"/>
      <c r="FC320" s="180"/>
      <c r="FD320" s="180"/>
      <c r="FE320" s="180"/>
      <c r="FF320" s="180">
        <f>IFERROR(__xludf.DUMMYFUNCTION("""COMPUTED_VALUE"""),0.014)</f>
        <v>0.014</v>
      </c>
      <c r="FG320" s="180"/>
      <c r="FH320" s="180"/>
      <c r="FI320" s="180"/>
      <c r="FJ320" s="180"/>
      <c r="FK320" s="180"/>
      <c r="FL320" s="180"/>
      <c r="FM320" s="180"/>
      <c r="FN320" s="16">
        <f>IFERROR(__xludf.DUMMYFUNCTION("""COMPUTED_VALUE"""),0.8874)</f>
        <v>0.8874</v>
      </c>
      <c r="FO320" s="16"/>
      <c r="FP320" s="16"/>
      <c r="FQ320" s="16"/>
      <c r="FR320" s="16"/>
      <c r="FS320" s="16"/>
      <c r="FT320" s="16"/>
      <c r="FU320" s="16"/>
      <c r="FV320" s="16">
        <f>IFERROR(__xludf.DUMMYFUNCTION("""COMPUTED_VALUE"""),5.0)</f>
        <v>5</v>
      </c>
      <c r="FW320" s="16"/>
      <c r="FX320" s="16"/>
      <c r="FY320" s="16"/>
      <c r="FZ320" s="16"/>
      <c r="GA320" s="16"/>
      <c r="GB320" s="16"/>
      <c r="GC320" s="16"/>
      <c r="GD320" s="16" t="s">
        <v>346</v>
      </c>
    </row>
    <row r="321">
      <c r="A321" s="16">
        <f>IFERROR(__xludf.DUMMYFUNCTION("""COMPUTED_VALUE"""),13007.0)</f>
        <v>13007</v>
      </c>
      <c r="B321" s="16" t="str">
        <f>IFERROR(__xludf.DUMMYFUNCTION("""COMPUTED_VALUE"""),"Jorge Polanco")</f>
        <v>Jorge Polanco</v>
      </c>
      <c r="C321" s="16">
        <f>IFERROR(__xludf.DUMMYFUNCTION("""COMPUTED_VALUE"""),0.48)</f>
        <v>0.48</v>
      </c>
      <c r="D321" s="16" t="str">
        <f>IFERROR(__xludf.DUMMYFUNCTION("""COMPUTED_VALUE"""),"S")</f>
        <v>S</v>
      </c>
      <c r="E321" s="16"/>
      <c r="F321" s="16"/>
      <c r="G321" s="16">
        <f>IFERROR(__xludf.DUMMYFUNCTION("""COMPUTED_VALUE"""),417.0)</f>
        <v>417</v>
      </c>
      <c r="H321" s="16">
        <f>IFERROR(__xludf.DUMMYFUNCTION("""COMPUTED_VALUE"""),46.0)</f>
        <v>46</v>
      </c>
      <c r="I321" s="16" t="str">
        <f>IFERROR(__xludf.DUMMYFUNCTION("""COMPUTED_VALUE"""),"2p60")</f>
        <v>2p60</v>
      </c>
      <c r="J321" s="16">
        <f>IFERROR(__xludf.DUMMYFUNCTION("""COMPUTED_VALUE"""),22.0)</f>
        <v>22</v>
      </c>
      <c r="K321" s="16">
        <f>IFERROR(__xludf.DUMMYFUNCTION("""COMPUTED_VALUE"""),46.0)</f>
        <v>46</v>
      </c>
      <c r="L321" s="16">
        <f>IFERROR(__xludf.DUMMYFUNCTION("""COMPUTED_VALUE"""),0.0)</f>
        <v>0</v>
      </c>
      <c r="M321" s="16">
        <f>IFERROR(__xludf.DUMMYFUNCTION("""COMPUTED_VALUE"""),-2.0)</f>
        <v>-2</v>
      </c>
      <c r="N321" s="16">
        <f>IFERROR(__xludf.DUMMYFUNCTION("""COMPUTED_VALUE"""),0.0)</f>
        <v>0</v>
      </c>
      <c r="O321" s="16">
        <f>IFERROR(__xludf.DUMMYFUNCTION("""COMPUTED_VALUE"""),-2.0)</f>
        <v>-2</v>
      </c>
      <c r="P321" s="16">
        <f>IFERROR(__xludf.DUMMYFUNCTION("""COMPUTED_VALUE"""),1.0)</f>
        <v>1</v>
      </c>
      <c r="Q321" s="16">
        <f>IFERROR(__xludf.DUMMYFUNCTION("""COMPUTED_VALUE"""),14.0)</f>
        <v>14</v>
      </c>
      <c r="R321" s="16">
        <f>IFERROR(__xludf.DUMMYFUNCTION("""COMPUTED_VALUE"""),-2.0)</f>
        <v>-2</v>
      </c>
      <c r="S321" s="16">
        <f>IFERROR(__xludf.DUMMYFUNCTION("""COMPUTED_VALUE"""),2.0)</f>
        <v>2</v>
      </c>
      <c r="T321" s="16">
        <f>IFERROR(__xludf.DUMMYFUNCTION("""COMPUTED_VALUE"""),-2.0)</f>
        <v>-2</v>
      </c>
      <c r="U321" s="16">
        <f>IFERROR(__xludf.DUMMYFUNCTION("""COMPUTED_VALUE"""),2.0)</f>
        <v>2</v>
      </c>
      <c r="V321" s="16">
        <f>IFERROR(__xludf.DUMMYFUNCTION("""COMPUTED_VALUE"""),23.5)</f>
        <v>23.5</v>
      </c>
      <c r="W321" s="16">
        <f>IFERROR(__xludf.DUMMYFUNCTION("""COMPUTED_VALUE"""),10.4)</f>
        <v>10.4</v>
      </c>
      <c r="X321" s="16">
        <f>IFERROR(__xludf.DUMMYFUNCTION("""COMPUTED_VALUE"""),1.0)</f>
        <v>1</v>
      </c>
      <c r="Y321" s="16">
        <f>IFERROR(__xludf.DUMMYFUNCTION("""COMPUTED_VALUE"""),-2.0)</f>
        <v>-2</v>
      </c>
      <c r="Z321" s="16">
        <f>IFERROR(__xludf.DUMMYFUNCTION("""COMPUTED_VALUE"""),2.0)</f>
        <v>2</v>
      </c>
      <c r="AA321" s="16">
        <f>IFERROR(__xludf.DUMMYFUNCTION("""COMPUTED_VALUE"""),-4.0)</f>
        <v>-4</v>
      </c>
      <c r="AB321" s="16">
        <f>IFERROR(__xludf.DUMMYFUNCTION("""COMPUTED_VALUE"""),26.5)</f>
        <v>26.5</v>
      </c>
      <c r="AC321" s="16">
        <f>IFERROR(__xludf.DUMMYFUNCTION("""COMPUTED_VALUE"""),26.4)</f>
        <v>26.4</v>
      </c>
      <c r="AD321" s="16">
        <f>IFERROR(__xludf.DUMMYFUNCTION("""COMPUTED_VALUE"""),-1.0)</f>
        <v>-1</v>
      </c>
      <c r="AE321" s="16">
        <f>IFERROR(__xludf.DUMMYFUNCTION("""COMPUTED_VALUE"""),-1.0)</f>
        <v>-1</v>
      </c>
      <c r="AF321" s="16">
        <f>IFERROR(__xludf.DUMMYFUNCTION("""COMPUTED_VALUE"""),-5.0)</f>
        <v>-5</v>
      </c>
      <c r="AG321" s="16">
        <f>IFERROR(__xludf.DUMMYFUNCTION("""COMPUTED_VALUE"""),-5.0)</f>
        <v>-5</v>
      </c>
      <c r="AH321" s="16">
        <f>IFERROR(__xludf.DUMMYFUNCTION("""COMPUTED_VALUE"""),29.9)</f>
        <v>29.9</v>
      </c>
      <c r="AI321" s="16">
        <f>IFERROR(__xludf.DUMMYFUNCTION("""COMPUTED_VALUE"""),17.9)</f>
        <v>17.9</v>
      </c>
      <c r="AJ321" s="16">
        <f>IFERROR(__xludf.DUMMYFUNCTION("""COMPUTED_VALUE"""),0.0)</f>
        <v>0</v>
      </c>
      <c r="AK321" s="16">
        <f>IFERROR(__xludf.DUMMYFUNCTION("""COMPUTED_VALUE"""),-2.0)</f>
        <v>-2</v>
      </c>
      <c r="AL321" s="16">
        <f>IFERROR(__xludf.DUMMYFUNCTION("""COMPUTED_VALUE"""),0.0)</f>
        <v>0</v>
      </c>
      <c r="AM321" s="16">
        <f>IFERROR(__xludf.DUMMYFUNCTION("""COMPUTED_VALUE"""),-10.0)</f>
        <v>-10</v>
      </c>
      <c r="AN321" s="16">
        <f>IFERROR(__xludf.DUMMYFUNCTION("""COMPUTED_VALUE"""),1.8)</f>
        <v>1.8</v>
      </c>
      <c r="AO321" s="16">
        <f>IFERROR(__xludf.DUMMYFUNCTION("""COMPUTED_VALUE"""),2.5)</f>
        <v>2.5</v>
      </c>
      <c r="AP321" s="16">
        <f>IFERROR(__xludf.DUMMYFUNCTION("""COMPUTED_VALUE"""),-1.0)</f>
        <v>-1</v>
      </c>
      <c r="AQ321" s="16">
        <f>IFERROR(__xludf.DUMMYFUNCTION("""COMPUTED_VALUE"""),0.0)</f>
        <v>0</v>
      </c>
      <c r="AR321" s="16">
        <f>IFERROR(__xludf.DUMMYFUNCTION("""COMPUTED_VALUE"""),-2.0)</f>
        <v>-2</v>
      </c>
      <c r="AS321" s="16">
        <f>IFERROR(__xludf.DUMMYFUNCTION("""COMPUTED_VALUE"""),0.0)</f>
        <v>0</v>
      </c>
      <c r="AT321" s="16">
        <f>IFERROR(__xludf.DUMMYFUNCTION("""COMPUTED_VALUE"""),3.0)</f>
        <v>3</v>
      </c>
      <c r="AU321" s="16">
        <f>IFERROR(__xludf.DUMMYFUNCTION("""COMPUTED_VALUE"""),5.0)</f>
        <v>5</v>
      </c>
      <c r="AV321" s="16">
        <f>IFERROR(__xludf.DUMMYFUNCTION("""COMPUTED_VALUE"""),3.0)</f>
        <v>3</v>
      </c>
      <c r="AW321" s="16">
        <f>IFERROR(__xludf.DUMMYFUNCTION("""COMPUTED_VALUE"""),5.0)</f>
        <v>5</v>
      </c>
      <c r="AX321" s="16">
        <f>IFERROR(__xludf.DUMMYFUNCTION("""COMPUTED_VALUE"""),1.0)</f>
        <v>1</v>
      </c>
      <c r="AY321" s="16">
        <f>IFERROR(__xludf.DUMMYFUNCTION("""COMPUTED_VALUE"""),2.0)</f>
        <v>2</v>
      </c>
      <c r="AZ321" s="16">
        <f>IFERROR(__xludf.DUMMYFUNCTION("""COMPUTED_VALUE"""),3.0)</f>
        <v>3</v>
      </c>
      <c r="BA321" s="16">
        <f>IFERROR(__xludf.DUMMYFUNCTION("""COMPUTED_VALUE"""),6.0)</f>
        <v>6</v>
      </c>
      <c r="BB321" s="16">
        <f>IFERROR(__xludf.DUMMYFUNCTION("""COMPUTED_VALUE"""),5.0)</f>
        <v>5</v>
      </c>
      <c r="BC321" s="16">
        <f>IFERROR(__xludf.DUMMYFUNCTION("""COMPUTED_VALUE"""),5.0)</f>
        <v>5</v>
      </c>
      <c r="BD321" s="16">
        <f>IFERROR(__xludf.DUMMYFUNCTION("""COMPUTED_VALUE"""),1.0)</f>
        <v>1</v>
      </c>
      <c r="BE321" s="16">
        <f>IFERROR(__xludf.DUMMYFUNCTION("""COMPUTED_VALUE"""),1.0)</f>
        <v>1</v>
      </c>
      <c r="BF321" s="16">
        <f>IFERROR(__xludf.DUMMYFUNCTION("""COMPUTED_VALUE"""),1.0)</f>
        <v>1</v>
      </c>
      <c r="BG321" s="16">
        <f>IFERROR(__xludf.DUMMYFUNCTION("""COMPUTED_VALUE"""),1.0)</f>
        <v>1</v>
      </c>
      <c r="BH321" s="16">
        <f>IFERROR(__xludf.DUMMYFUNCTION("""COMPUTED_VALUE"""),-6.0)</f>
        <v>-6</v>
      </c>
      <c r="BI321" s="16">
        <f>IFERROR(__xludf.DUMMYFUNCTION("""COMPUTED_VALUE"""),-5.0)</f>
        <v>-5</v>
      </c>
      <c r="BJ321" s="16">
        <f>IFERROR(__xludf.DUMMYFUNCTION("""COMPUTED_VALUE"""),28.0)</f>
        <v>28</v>
      </c>
      <c r="BK321" s="16">
        <f>IFERROR(__xludf.DUMMYFUNCTION("""COMPUTED_VALUE"""),21.0)</f>
        <v>21</v>
      </c>
      <c r="BL321" s="16">
        <f>IFERROR(__xludf.DUMMYFUNCTION("""COMPUTED_VALUE"""),-3.0)</f>
        <v>-3</v>
      </c>
      <c r="BM321" s="16">
        <f>IFERROR(__xludf.DUMMYFUNCTION("""COMPUTED_VALUE"""),-2.0)</f>
        <v>-2</v>
      </c>
      <c r="BN321" s="16">
        <f>IFERROR(__xludf.DUMMYFUNCTION("""COMPUTED_VALUE"""),-6.0)</f>
        <v>-6</v>
      </c>
      <c r="BO321" s="16">
        <f>IFERROR(__xludf.DUMMYFUNCTION("""COMPUTED_VALUE"""),-4.0)</f>
        <v>-4</v>
      </c>
      <c r="BP321" s="16">
        <f>IFERROR(__xludf.DUMMYFUNCTION("""COMPUTED_VALUE"""),-4.0)</f>
        <v>-4</v>
      </c>
      <c r="BQ321" s="16">
        <f>IFERROR(__xludf.DUMMYFUNCTION("""COMPUTED_VALUE"""),-4.0)</f>
        <v>-4</v>
      </c>
      <c r="BR321" s="16">
        <f>IFERROR(__xludf.DUMMYFUNCTION("""COMPUTED_VALUE"""),-8.0)</f>
        <v>-8</v>
      </c>
      <c r="BS321" s="16" t="str">
        <f>IFERROR(__xludf.DUMMYFUNCTION("""COMPUTED_VALUE"""),"4,5/- (13-6)")</f>
        <v>4,5/- (13-6)</v>
      </c>
      <c r="BT321" s="16" t="str">
        <f>IFERROR(__xludf.DUMMYFUNCTION("""COMPUTED_VALUE"""),"D")</f>
        <v>D</v>
      </c>
      <c r="BU321" s="16">
        <f>IFERROR(__xludf.DUMMYFUNCTION("""COMPUTED_VALUE"""),11.0)</f>
        <v>11</v>
      </c>
      <c r="BV321" s="16">
        <f>IFERROR(__xludf.DUMMYFUNCTION("""COMPUTED_VALUE"""),0.0)</f>
        <v>0</v>
      </c>
      <c r="BW321" s="16">
        <f>IFERROR(__xludf.DUMMYFUNCTION("""COMPUTED_VALUE"""),0.0)</f>
        <v>0</v>
      </c>
      <c r="BX321" s="16">
        <f>IFERROR(__xludf.DUMMYFUNCTION("""COMPUTED_VALUE"""),0.0)</f>
        <v>0</v>
      </c>
      <c r="BY321" s="16">
        <f>IFERROR(__xludf.DUMMYFUNCTION("""COMPUTED_VALUE"""),0.0)</f>
        <v>0</v>
      </c>
      <c r="BZ321" s="16" t="str">
        <f>IFERROR(__xludf.DUMMYFUNCTION("""COMPUTED_VALUE"""),"C")</f>
        <v>C</v>
      </c>
      <c r="CA321" s="16" t="str">
        <f>IFERROR(__xludf.DUMMYFUNCTION("""COMPUTED_VALUE"""),"D")</f>
        <v>D</v>
      </c>
      <c r="CB321" s="16">
        <f>IFERROR(__xludf.DUMMYFUNCTION("""COMPUTED_VALUE"""),0.0)</f>
        <v>0</v>
      </c>
      <c r="CC321" s="16">
        <f>IFERROR(__xludf.DUMMYFUNCTION("""COMPUTED_VALUE"""),0.0)</f>
        <v>0</v>
      </c>
      <c r="CD321" s="16">
        <f>IFERROR(__xludf.DUMMYFUNCTION("""COMPUTED_VALUE"""),0.0)</f>
        <v>0</v>
      </c>
      <c r="CE321" s="16">
        <f>IFERROR(__xludf.DUMMYFUNCTION("""COMPUTED_VALUE"""),0.0)</f>
        <v>0</v>
      </c>
      <c r="CF321" s="16">
        <f>IFERROR(__xludf.DUMMYFUNCTION("""COMPUTED_VALUE"""),2.0)</f>
        <v>2</v>
      </c>
      <c r="CG321" s="16">
        <f>IFERROR(__xludf.DUMMYFUNCTION("""COMPUTED_VALUE"""),-9.0)</f>
        <v>-9</v>
      </c>
      <c r="CH321" s="16">
        <f>IFERROR(__xludf.DUMMYFUNCTION("""COMPUTED_VALUE"""),-16.0)</f>
        <v>-16</v>
      </c>
      <c r="CI321" s="179">
        <f>IFERROR(__xludf.DUMMYFUNCTION("""COMPUTED_VALUE"""),-11.0)</f>
        <v>-11</v>
      </c>
      <c r="CJ321" s="16"/>
      <c r="CK321" s="16"/>
      <c r="CL321" s="16">
        <f>IFERROR(__xludf.DUMMYFUNCTION("""COMPUTED_VALUE"""),411.0)</f>
        <v>411</v>
      </c>
      <c r="CM321" s="16"/>
      <c r="CN321" s="16"/>
      <c r="CO321" s="16"/>
      <c r="CP321" s="16"/>
      <c r="CQ321" s="16"/>
      <c r="CR321" s="16" t="str">
        <f>IFERROR(__xludf.DUMMYFUNCTION("""COMPUTED_VALUE"""),"2b-4e11")</f>
        <v>2b-4e11</v>
      </c>
      <c r="CS321" s="16"/>
      <c r="CT321" s="16"/>
      <c r="CU321" s="16">
        <f>IFERROR(__xludf.DUMMYFUNCTION("""COMPUTED_VALUE"""),4.0)</f>
        <v>4</v>
      </c>
      <c r="CV321" s="16"/>
      <c r="CW321" s="16"/>
      <c r="CX321" s="16"/>
      <c r="CY321" s="16"/>
      <c r="CZ321" s="16"/>
      <c r="DA321" s="16"/>
      <c r="DB321" s="16"/>
      <c r="DC321" s="16">
        <f>IFERROR(__xludf.DUMMYFUNCTION("""COMPUTED_VALUE"""),11.0)</f>
        <v>11</v>
      </c>
      <c r="DD321" s="16"/>
      <c r="DE321" s="16"/>
      <c r="DF321" s="16"/>
      <c r="DG321" s="16"/>
      <c r="DH321" s="16"/>
      <c r="DI321" s="16"/>
      <c r="DJ321" s="16"/>
      <c r="DK321" s="16">
        <f>IFERROR(__xludf.DUMMYFUNCTION("""COMPUTED_VALUE"""),-2.0)</f>
        <v>-2</v>
      </c>
      <c r="DL321" s="16"/>
      <c r="DM321" s="16"/>
      <c r="DN321" s="16"/>
      <c r="DO321" s="16"/>
      <c r="DP321" s="16"/>
      <c r="DQ321" s="16"/>
      <c r="DR321" s="16"/>
      <c r="DS321" s="16">
        <f>IFERROR(__xludf.DUMMYFUNCTION("""COMPUTED_VALUE"""),2.0)</f>
        <v>2</v>
      </c>
      <c r="DT321" s="16"/>
      <c r="DU321" s="16"/>
      <c r="DV321" s="16"/>
      <c r="DW321" s="16"/>
      <c r="DX321" s="16"/>
      <c r="DY321" s="16"/>
      <c r="DZ321" s="16"/>
      <c r="EA321" s="16">
        <f>IFERROR(__xludf.DUMMYFUNCTION("""COMPUTED_VALUE"""),0.0)</f>
        <v>0</v>
      </c>
      <c r="EB321" s="16"/>
      <c r="EC321" s="16"/>
      <c r="ED321" s="16"/>
      <c r="EE321" s="16"/>
      <c r="EF321" s="16"/>
      <c r="EG321" s="179"/>
      <c r="EH321" s="179"/>
      <c r="EI321" s="179">
        <f>IFERROR(__xludf.DUMMYFUNCTION("""COMPUTED_VALUE"""),-11.0)</f>
        <v>-11</v>
      </c>
      <c r="EJ321" s="179"/>
      <c r="EK321" s="179"/>
      <c r="EL321" s="179"/>
      <c r="EM321" s="179"/>
      <c r="EN321" s="179"/>
      <c r="EO321" s="16"/>
      <c r="EP321" s="16">
        <f>IFERROR(__xludf.DUMMYFUNCTION("""COMPUTED_VALUE"""),-2.0)</f>
        <v>-2</v>
      </c>
      <c r="EQ321" s="16">
        <f>IFERROR(__xludf.DUMMYFUNCTION("""COMPUTED_VALUE"""),2.0)</f>
        <v>2</v>
      </c>
      <c r="ER321" s="16">
        <f>IFERROR(__xludf.DUMMYFUNCTION("""COMPUTED_VALUE"""),1.0)</f>
        <v>1</v>
      </c>
      <c r="ES321" s="16"/>
      <c r="ET321" s="16"/>
      <c r="EU321" s="16"/>
      <c r="EV321" s="16"/>
      <c r="EW321" s="16"/>
      <c r="EX321" s="180"/>
      <c r="EY321" s="180"/>
      <c r="EZ321" s="180">
        <f>IFERROR(__xludf.DUMMYFUNCTION("""COMPUTED_VALUE"""),0.3)</f>
        <v>0.3</v>
      </c>
      <c r="FA321" s="180"/>
      <c r="FB321" s="180"/>
      <c r="FC321" s="180"/>
      <c r="FD321" s="180"/>
      <c r="FE321" s="180"/>
      <c r="FF321" s="180"/>
      <c r="FG321" s="180"/>
      <c r="FH321" s="180">
        <f>IFERROR(__xludf.DUMMYFUNCTION("""COMPUTED_VALUE"""),0.06481481481481481)</f>
        <v>0.06481481481</v>
      </c>
      <c r="FI321" s="180"/>
      <c r="FJ321" s="180"/>
      <c r="FK321" s="180"/>
      <c r="FL321" s="180"/>
      <c r="FM321" s="180"/>
      <c r="FN321" s="16"/>
      <c r="FO321" s="16"/>
      <c r="FP321" s="16">
        <f>IFERROR(__xludf.DUMMYFUNCTION("""COMPUTED_VALUE"""),0.6546296296296297)</f>
        <v>0.6546296296</v>
      </c>
      <c r="FQ321" s="16"/>
      <c r="FR321" s="16"/>
      <c r="FS321" s="16"/>
      <c r="FT321" s="16"/>
      <c r="FU321" s="16"/>
      <c r="FV321" s="16"/>
      <c r="FW321" s="16"/>
      <c r="FX321" s="16">
        <f>IFERROR(__xludf.DUMMYFUNCTION("""COMPUTED_VALUE"""),-4.0)</f>
        <v>-4</v>
      </c>
      <c r="FY321" s="16"/>
      <c r="FZ321" s="16"/>
      <c r="GA321" s="16"/>
      <c r="GB321" s="16"/>
      <c r="GC321" s="16"/>
      <c r="GD321" s="16" t="s">
        <v>126</v>
      </c>
    </row>
    <row r="322">
      <c r="A322" s="16">
        <f>IFERROR(__xludf.DUMMYFUNCTION("""COMPUTED_VALUE"""),13016.0)</f>
        <v>13016</v>
      </c>
      <c r="B322" s="16" t="str">
        <f>IFERROR(__xludf.DUMMYFUNCTION("""COMPUTED_VALUE"""),"Jose Caballero")</f>
        <v>Jose Caballero</v>
      </c>
      <c r="C322" s="16">
        <f>IFERROR(__xludf.DUMMYFUNCTION("""COMPUTED_VALUE"""),0.96)</f>
        <v>0.96</v>
      </c>
      <c r="D322" s="16" t="str">
        <f>IFERROR(__xludf.DUMMYFUNCTION("""COMPUTED_VALUE"""),"R")</f>
        <v>R</v>
      </c>
      <c r="E322" s="16"/>
      <c r="F322" s="16"/>
      <c r="G322" s="16">
        <f>IFERROR(__xludf.DUMMYFUNCTION("""COMPUTED_VALUE"""),441.0)</f>
        <v>441</v>
      </c>
      <c r="H322" s="16">
        <f>IFERROR(__xludf.DUMMYFUNCTION("""COMPUTED_VALUE"""),27.0)</f>
        <v>27</v>
      </c>
      <c r="I322" s="16" t="str">
        <f>IFERROR(__xludf.DUMMYFUNCTION("""COMPUTED_VALUE"""),"1p65")</f>
        <v>1p65</v>
      </c>
      <c r="J322" s="16">
        <f>IFERROR(__xludf.DUMMYFUNCTION("""COMPUTED_VALUE"""),54.0)</f>
        <v>54</v>
      </c>
      <c r="K322" s="16">
        <f>IFERROR(__xludf.DUMMYFUNCTION("""COMPUTED_VALUE"""),28.0)</f>
        <v>28</v>
      </c>
      <c r="L322" s="16">
        <f>IFERROR(__xludf.DUMMYFUNCTION("""COMPUTED_VALUE"""),-2.0)</f>
        <v>-2</v>
      </c>
      <c r="M322" s="16">
        <f>IFERROR(__xludf.DUMMYFUNCTION("""COMPUTED_VALUE"""),0.0)</f>
        <v>0</v>
      </c>
      <c r="N322" s="16">
        <f>IFERROR(__xludf.DUMMYFUNCTION("""COMPUTED_VALUE"""),-2.0)</f>
        <v>-2</v>
      </c>
      <c r="O322" s="16">
        <f>IFERROR(__xludf.DUMMYFUNCTION("""COMPUTED_VALUE"""),0.0)</f>
        <v>0</v>
      </c>
      <c r="P322" s="16">
        <f>IFERROR(__xludf.DUMMYFUNCTION("""COMPUTED_VALUE"""),6.0)</f>
        <v>6</v>
      </c>
      <c r="Q322" s="16">
        <f>IFERROR(__xludf.DUMMYFUNCTION("""COMPUTED_VALUE"""),3.0)</f>
        <v>3</v>
      </c>
      <c r="R322" s="16">
        <f>IFERROR(__xludf.DUMMYFUNCTION("""COMPUTED_VALUE"""),-1.0)</f>
        <v>-1</v>
      </c>
      <c r="S322" s="16">
        <f>IFERROR(__xludf.DUMMYFUNCTION("""COMPUTED_VALUE"""),-2.0)</f>
        <v>-2</v>
      </c>
      <c r="T322" s="16">
        <f>IFERROR(__xludf.DUMMYFUNCTION("""COMPUTED_VALUE"""),-1.0)</f>
        <v>-1</v>
      </c>
      <c r="U322" s="16">
        <f>IFERROR(__xludf.DUMMYFUNCTION("""COMPUTED_VALUE"""),-2.0)</f>
        <v>-2</v>
      </c>
      <c r="V322" s="16">
        <f>IFERROR(__xludf.DUMMYFUNCTION("""COMPUTED_VALUE"""),16.5)</f>
        <v>16.5</v>
      </c>
      <c r="W322" s="16">
        <f>IFERROR(__xludf.DUMMYFUNCTION("""COMPUTED_VALUE"""),19.8)</f>
        <v>19.8</v>
      </c>
      <c r="X322" s="16">
        <f>IFERROR(__xludf.DUMMYFUNCTION("""COMPUTED_VALUE"""),0.0)</f>
        <v>0</v>
      </c>
      <c r="Y322" s="16">
        <f>IFERROR(__xludf.DUMMYFUNCTION("""COMPUTED_VALUE"""),0.0)</f>
        <v>0</v>
      </c>
      <c r="Z322" s="16">
        <f>IFERROR(__xludf.DUMMYFUNCTION("""COMPUTED_VALUE"""),0.0)</f>
        <v>0</v>
      </c>
      <c r="AA322" s="16">
        <f>IFERROR(__xludf.DUMMYFUNCTION("""COMPUTED_VALUE"""),0.0)</f>
        <v>0</v>
      </c>
      <c r="AB322" s="16">
        <f>IFERROR(__xludf.DUMMYFUNCTION("""COMPUTED_VALUE"""),26.5)</f>
        <v>26.5</v>
      </c>
      <c r="AC322" s="16">
        <f>IFERROR(__xludf.DUMMYFUNCTION("""COMPUTED_VALUE"""),26.8)</f>
        <v>26.8</v>
      </c>
      <c r="AD322" s="16">
        <f>IFERROR(__xludf.DUMMYFUNCTION("""COMPUTED_VALUE"""),-1.0)</f>
        <v>-1</v>
      </c>
      <c r="AE322" s="16">
        <f>IFERROR(__xludf.DUMMYFUNCTION("""COMPUTED_VALUE"""),-1.0)</f>
        <v>-1</v>
      </c>
      <c r="AF322" s="16">
        <f>IFERROR(__xludf.DUMMYFUNCTION("""COMPUTED_VALUE"""),-5.0)</f>
        <v>-5</v>
      </c>
      <c r="AG322" s="16">
        <f>IFERROR(__xludf.DUMMYFUNCTION("""COMPUTED_VALUE"""),-5.0)</f>
        <v>-5</v>
      </c>
      <c r="AH322" s="16">
        <f>IFERROR(__xludf.DUMMYFUNCTION("""COMPUTED_VALUE"""),27.7)</f>
        <v>27.7</v>
      </c>
      <c r="AI322" s="16">
        <f>IFERROR(__xludf.DUMMYFUNCTION("""COMPUTED_VALUE"""),27.0)</f>
        <v>27</v>
      </c>
      <c r="AJ322" s="16">
        <f>IFERROR(__xludf.DUMMYFUNCTION("""COMPUTED_VALUE"""),0.0)</f>
        <v>0</v>
      </c>
      <c r="AK322" s="16">
        <f>IFERROR(__xludf.DUMMYFUNCTION("""COMPUTED_VALUE"""),-1.0)</f>
        <v>-1</v>
      </c>
      <c r="AL322" s="16">
        <f>IFERROR(__xludf.DUMMYFUNCTION("""COMPUTED_VALUE"""),0.0)</f>
        <v>0</v>
      </c>
      <c r="AM322" s="16">
        <f>IFERROR(__xludf.DUMMYFUNCTION("""COMPUTED_VALUE"""),-5.0)</f>
        <v>-5</v>
      </c>
      <c r="AN322" s="16">
        <f>IFERROR(__xludf.DUMMYFUNCTION("""COMPUTED_VALUE"""),0.2)</f>
        <v>0.2</v>
      </c>
      <c r="AO322" s="16">
        <f>IFERROR(__xludf.DUMMYFUNCTION("""COMPUTED_VALUE"""),1.0)</f>
        <v>1</v>
      </c>
      <c r="AP322" s="16">
        <f>IFERROR(__xludf.DUMMYFUNCTION("""COMPUTED_VALUE"""),-2.0)</f>
        <v>-2</v>
      </c>
      <c r="AQ322" s="16">
        <f>IFERROR(__xludf.DUMMYFUNCTION("""COMPUTED_VALUE"""),-2.0)</f>
        <v>-2</v>
      </c>
      <c r="AR322" s="16">
        <f>IFERROR(__xludf.DUMMYFUNCTION("""COMPUTED_VALUE"""),-4.0)</f>
        <v>-4</v>
      </c>
      <c r="AS322" s="16">
        <f>IFERROR(__xludf.DUMMYFUNCTION("""COMPUTED_VALUE"""),-4.0)</f>
        <v>-4</v>
      </c>
      <c r="AT322" s="16">
        <f>IFERROR(__xludf.DUMMYFUNCTION("""COMPUTED_VALUE"""),0.0)</f>
        <v>0</v>
      </c>
      <c r="AU322" s="16">
        <f>IFERROR(__xludf.DUMMYFUNCTION("""COMPUTED_VALUE"""),0.0)</f>
        <v>0</v>
      </c>
      <c r="AV322" s="16">
        <f>IFERROR(__xludf.DUMMYFUNCTION("""COMPUTED_VALUE"""),0.0)</f>
        <v>0</v>
      </c>
      <c r="AW322" s="16">
        <f>IFERROR(__xludf.DUMMYFUNCTION("""COMPUTED_VALUE"""),0.0)</f>
        <v>0</v>
      </c>
      <c r="AX322" s="16">
        <f>IFERROR(__xludf.DUMMYFUNCTION("""COMPUTED_VALUE"""),-2.0)</f>
        <v>-2</v>
      </c>
      <c r="AY322" s="16">
        <f>IFERROR(__xludf.DUMMYFUNCTION("""COMPUTED_VALUE"""),-2.0)</f>
        <v>-2</v>
      </c>
      <c r="AZ322" s="16">
        <f>IFERROR(__xludf.DUMMYFUNCTION("""COMPUTED_VALUE"""),-6.0)</f>
        <v>-6</v>
      </c>
      <c r="BA322" s="16">
        <f>IFERROR(__xludf.DUMMYFUNCTION("""COMPUTED_VALUE"""),-6.0)</f>
        <v>-6</v>
      </c>
      <c r="BB322" s="16">
        <f>IFERROR(__xludf.DUMMYFUNCTION("""COMPUTED_VALUE"""),5.0)</f>
        <v>5</v>
      </c>
      <c r="BC322" s="16">
        <f>IFERROR(__xludf.DUMMYFUNCTION("""COMPUTED_VALUE"""),5.0)</f>
        <v>5</v>
      </c>
      <c r="BD322" s="16">
        <f>IFERROR(__xludf.DUMMYFUNCTION("""COMPUTED_VALUE"""),1.0)</f>
        <v>1</v>
      </c>
      <c r="BE322" s="16">
        <f>IFERROR(__xludf.DUMMYFUNCTION("""COMPUTED_VALUE"""),1.0)</f>
        <v>1</v>
      </c>
      <c r="BF322" s="16">
        <f>IFERROR(__xludf.DUMMYFUNCTION("""COMPUTED_VALUE"""),1.0)</f>
        <v>1</v>
      </c>
      <c r="BG322" s="16">
        <f>IFERROR(__xludf.DUMMYFUNCTION("""COMPUTED_VALUE"""),1.0)</f>
        <v>1</v>
      </c>
      <c r="BH322" s="16">
        <f>IFERROR(__xludf.DUMMYFUNCTION("""COMPUTED_VALUE"""),-3.0)</f>
        <v>-3</v>
      </c>
      <c r="BI322" s="16">
        <f>IFERROR(__xludf.DUMMYFUNCTION("""COMPUTED_VALUE"""),-3.0)</f>
        <v>-3</v>
      </c>
      <c r="BJ322" s="16">
        <f>IFERROR(__xludf.DUMMYFUNCTION("""COMPUTED_VALUE"""),6.0)</f>
        <v>6</v>
      </c>
      <c r="BK322" s="16">
        <f>IFERROR(__xludf.DUMMYFUNCTION("""COMPUTED_VALUE"""),10.0)</f>
        <v>10</v>
      </c>
      <c r="BL322" s="16">
        <f>IFERROR(__xludf.DUMMYFUNCTION("""COMPUTED_VALUE"""),1.0)</f>
        <v>1</v>
      </c>
      <c r="BM322" s="16">
        <f>IFERROR(__xludf.DUMMYFUNCTION("""COMPUTED_VALUE"""),0.0)</f>
        <v>0</v>
      </c>
      <c r="BN322" s="16">
        <f>IFERROR(__xludf.DUMMYFUNCTION("""COMPUTED_VALUE"""),1.0)</f>
        <v>1</v>
      </c>
      <c r="BO322" s="16">
        <f>IFERROR(__xludf.DUMMYFUNCTION("""COMPUTED_VALUE"""),0.0)</f>
        <v>0</v>
      </c>
      <c r="BP322" s="16">
        <f>IFERROR(__xludf.DUMMYFUNCTION("""COMPUTED_VALUE"""),-6.0)</f>
        <v>-6</v>
      </c>
      <c r="BQ322" s="16">
        <f>IFERROR(__xludf.DUMMYFUNCTION("""COMPUTED_VALUE"""),-7.0)</f>
        <v>-7</v>
      </c>
      <c r="BR322" s="16">
        <f>IFERROR(__xludf.DUMMYFUNCTION("""COMPUTED_VALUE"""),-13.0)</f>
        <v>-13</v>
      </c>
      <c r="BS322" s="16" t="str">
        <f>IFERROR(__xludf.DUMMYFUNCTION("""COMPUTED_VALUE"""),"*2-7,12/- (18-16)")</f>
        <v>*2-7,12/- (18-16)</v>
      </c>
      <c r="BT322" s="16" t="str">
        <f>IFERROR(__xludf.DUMMYFUNCTION("""COMPUTED_VALUE"""),"AA")</f>
        <v>AA</v>
      </c>
      <c r="BU322" s="16">
        <f>IFERROR(__xludf.DUMMYFUNCTION("""COMPUTED_VALUE"""),16.0)</f>
        <v>16</v>
      </c>
      <c r="BV322" s="16">
        <f>IFERROR(__xludf.DUMMYFUNCTION("""COMPUTED_VALUE"""),3.0)</f>
        <v>3</v>
      </c>
      <c r="BW322" s="16">
        <f>IFERROR(__xludf.DUMMYFUNCTION("""COMPUTED_VALUE"""),2.0)</f>
        <v>2</v>
      </c>
      <c r="BX322" s="16">
        <f>IFERROR(__xludf.DUMMYFUNCTION("""COMPUTED_VALUE"""),6.0)</f>
        <v>6</v>
      </c>
      <c r="BY322" s="16">
        <f>IFERROR(__xludf.DUMMYFUNCTION("""COMPUTED_VALUE"""),6.0)</f>
        <v>6</v>
      </c>
      <c r="BZ322" s="16" t="str">
        <f>IFERROR(__xludf.DUMMYFUNCTION("""COMPUTED_VALUE"""),"C")</f>
        <v>C</v>
      </c>
      <c r="CA322" s="16" t="str">
        <f>IFERROR(__xludf.DUMMYFUNCTION("""COMPUTED_VALUE"""),"C")</f>
        <v>C</v>
      </c>
      <c r="CB322" s="16">
        <f>IFERROR(__xludf.DUMMYFUNCTION("""COMPUTED_VALUE"""),0.0)</f>
        <v>0</v>
      </c>
      <c r="CC322" s="16">
        <f>IFERROR(__xludf.DUMMYFUNCTION("""COMPUTED_VALUE"""),0.0)</f>
        <v>0</v>
      </c>
      <c r="CD322" s="16">
        <f>IFERROR(__xludf.DUMMYFUNCTION("""COMPUTED_VALUE"""),0.0)</f>
        <v>0</v>
      </c>
      <c r="CE322" s="16">
        <f>IFERROR(__xludf.DUMMYFUNCTION("""COMPUTED_VALUE"""),0.0)</f>
        <v>0</v>
      </c>
      <c r="CF322" s="16">
        <f>IFERROR(__xludf.DUMMYFUNCTION("""COMPUTED_VALUE"""),1.0)</f>
        <v>1</v>
      </c>
      <c r="CG322" s="16">
        <f>IFERROR(__xludf.DUMMYFUNCTION("""COMPUTED_VALUE"""),-16.0)</f>
        <v>-16</v>
      </c>
      <c r="CH322" s="16">
        <f>IFERROR(__xludf.DUMMYFUNCTION("""COMPUTED_VALUE"""),-21.0)</f>
        <v>-21</v>
      </c>
      <c r="CI322" s="179">
        <f>IFERROR(__xludf.DUMMYFUNCTION("""COMPUTED_VALUE"""),-11.0)</f>
        <v>-11</v>
      </c>
      <c r="CJ322" s="16"/>
      <c r="CK322" s="16"/>
      <c r="CL322" s="16">
        <f>IFERROR(__xludf.DUMMYFUNCTION("""COMPUTED_VALUE"""),216.0)</f>
        <v>216</v>
      </c>
      <c r="CM322" s="16">
        <f>IFERROR(__xludf.DUMMYFUNCTION("""COMPUTED_VALUE"""),206.0)</f>
        <v>206</v>
      </c>
      <c r="CN322" s="16">
        <f>IFERROR(__xludf.DUMMYFUNCTION("""COMPUTED_VALUE"""),218.0)</f>
        <v>218</v>
      </c>
      <c r="CO322" s="16"/>
      <c r="CP322" s="16"/>
      <c r="CQ322" s="16"/>
      <c r="CR322" s="16" t="str">
        <f>IFERROR(__xludf.DUMMYFUNCTION("""COMPUTED_VALUE"""),"ss-2e18 3b-2e6 2b-2e16")</f>
        <v>ss-2e18 3b-2e6 2b-2e16</v>
      </c>
      <c r="CS322" s="16"/>
      <c r="CT322" s="16"/>
      <c r="CU322" s="16">
        <f>IFERROR(__xludf.DUMMYFUNCTION("""COMPUTED_VALUE"""),2.0)</f>
        <v>2</v>
      </c>
      <c r="CV322" s="16">
        <f>IFERROR(__xludf.DUMMYFUNCTION("""COMPUTED_VALUE"""),2.0)</f>
        <v>2</v>
      </c>
      <c r="CW322" s="16">
        <f>IFERROR(__xludf.DUMMYFUNCTION("""COMPUTED_VALUE"""),2.0)</f>
        <v>2</v>
      </c>
      <c r="CX322" s="16"/>
      <c r="CY322" s="16"/>
      <c r="CZ322" s="16"/>
      <c r="DA322" s="16"/>
      <c r="DB322" s="16"/>
      <c r="DC322" s="16">
        <f>IFERROR(__xludf.DUMMYFUNCTION("""COMPUTED_VALUE"""),16.0)</f>
        <v>16</v>
      </c>
      <c r="DD322" s="16">
        <f>IFERROR(__xludf.DUMMYFUNCTION("""COMPUTED_VALUE"""),6.0)</f>
        <v>6</v>
      </c>
      <c r="DE322" s="16">
        <f>IFERROR(__xludf.DUMMYFUNCTION("""COMPUTED_VALUE"""),18.0)</f>
        <v>18</v>
      </c>
      <c r="DF322" s="16"/>
      <c r="DG322" s="16"/>
      <c r="DH322" s="16"/>
      <c r="DI322" s="16"/>
      <c r="DJ322" s="16"/>
      <c r="DK322" s="16">
        <f>IFERROR(__xludf.DUMMYFUNCTION("""COMPUTED_VALUE"""),2.0)</f>
        <v>2</v>
      </c>
      <c r="DL322" s="16">
        <f>IFERROR(__xludf.DUMMYFUNCTION("""COMPUTED_VALUE"""),3.0)</f>
        <v>3</v>
      </c>
      <c r="DM322" s="16">
        <f>IFERROR(__xludf.DUMMYFUNCTION("""COMPUTED_VALUE"""),3.0)</f>
        <v>3</v>
      </c>
      <c r="DN322" s="16"/>
      <c r="DO322" s="16"/>
      <c r="DP322" s="16"/>
      <c r="DQ322" s="16"/>
      <c r="DR322" s="16"/>
      <c r="DS322" s="16">
        <f>IFERROR(__xludf.DUMMYFUNCTION("""COMPUTED_VALUE"""),2.0)</f>
        <v>2</v>
      </c>
      <c r="DT322" s="16">
        <f>IFERROR(__xludf.DUMMYFUNCTION("""COMPUTED_VALUE"""),2.0)</f>
        <v>2</v>
      </c>
      <c r="DU322" s="16">
        <f>IFERROR(__xludf.DUMMYFUNCTION("""COMPUTED_VALUE"""),2.0)</f>
        <v>2</v>
      </c>
      <c r="DV322" s="16"/>
      <c r="DW322" s="16"/>
      <c r="DX322" s="16"/>
      <c r="DY322" s="16"/>
      <c r="DZ322" s="16"/>
      <c r="EA322" s="16">
        <f>IFERROR(__xludf.DUMMYFUNCTION("""COMPUTED_VALUE"""),4.0)</f>
        <v>4</v>
      </c>
      <c r="EB322" s="16">
        <f>IFERROR(__xludf.DUMMYFUNCTION("""COMPUTED_VALUE"""),5.0)</f>
        <v>5</v>
      </c>
      <c r="EC322" s="16">
        <f>IFERROR(__xludf.DUMMYFUNCTION("""COMPUTED_VALUE"""),5.0)</f>
        <v>5</v>
      </c>
      <c r="ED322" s="16"/>
      <c r="EE322" s="16"/>
      <c r="EF322" s="16"/>
      <c r="EG322" s="179"/>
      <c r="EH322" s="179"/>
      <c r="EI322" s="179">
        <f>IFERROR(__xludf.DUMMYFUNCTION("""COMPUTED_VALUE"""),-7.0)</f>
        <v>-7</v>
      </c>
      <c r="EJ322" s="179">
        <f>IFERROR(__xludf.DUMMYFUNCTION("""COMPUTED_VALUE"""),-6.0)</f>
        <v>-6</v>
      </c>
      <c r="EK322" s="179">
        <f>IFERROR(__xludf.DUMMYFUNCTION("""COMPUTED_VALUE"""),-6.0)</f>
        <v>-6</v>
      </c>
      <c r="EL322" s="179"/>
      <c r="EM322" s="179"/>
      <c r="EN322" s="179"/>
      <c r="EO322" s="16"/>
      <c r="EP322" s="16"/>
      <c r="EQ322" s="16">
        <f>IFERROR(__xludf.DUMMYFUNCTION("""COMPUTED_VALUE"""),4.0)</f>
        <v>4</v>
      </c>
      <c r="ER322" s="16">
        <f>IFERROR(__xludf.DUMMYFUNCTION("""COMPUTED_VALUE"""),2.0)</f>
        <v>2</v>
      </c>
      <c r="ES322" s="16"/>
      <c r="ET322" s="16"/>
      <c r="EU322" s="16"/>
      <c r="EV322" s="16"/>
      <c r="EW322" s="16"/>
      <c r="EX322" s="180"/>
      <c r="EY322" s="180"/>
      <c r="EZ322" s="180">
        <f>IFERROR(__xludf.DUMMYFUNCTION("""COMPUTED_VALUE"""),0.1)</f>
        <v>0.1</v>
      </c>
      <c r="FA322" s="180">
        <f>IFERROR(__xludf.DUMMYFUNCTION("""COMPUTED_VALUE"""),0.1)</f>
        <v>0.1</v>
      </c>
      <c r="FB322" s="180">
        <f>IFERROR(__xludf.DUMMYFUNCTION("""COMPUTED_VALUE"""),0.1)</f>
        <v>0.1</v>
      </c>
      <c r="FC322" s="180"/>
      <c r="FD322" s="180"/>
      <c r="FE322" s="180"/>
      <c r="FF322" s="180"/>
      <c r="FG322" s="180"/>
      <c r="FH322" s="180">
        <f>IFERROR(__xludf.DUMMYFUNCTION("""COMPUTED_VALUE"""),0.09722222222222222)</f>
        <v>0.09722222222</v>
      </c>
      <c r="FI322" s="180">
        <f>IFERROR(__xludf.DUMMYFUNCTION("""COMPUTED_VALUE"""),0.07407407407407407)</f>
        <v>0.07407407407</v>
      </c>
      <c r="FJ322" s="180">
        <f>IFERROR(__xludf.DUMMYFUNCTION("""COMPUTED_VALUE"""),0.09259259259259259)</f>
        <v>0.09259259259</v>
      </c>
      <c r="FK322" s="180"/>
      <c r="FL322" s="180"/>
      <c r="FM322" s="180"/>
      <c r="FN322" s="16"/>
      <c r="FO322" s="16"/>
      <c r="FP322" s="16">
        <f>IFERROR(__xludf.DUMMYFUNCTION("""COMPUTED_VALUE"""),0.8125)</f>
        <v>0.8125</v>
      </c>
      <c r="FQ322" s="16">
        <f>IFERROR(__xludf.DUMMYFUNCTION("""COMPUTED_VALUE"""),0.8333333333333334)</f>
        <v>0.8333333333</v>
      </c>
      <c r="FR322" s="16">
        <f>IFERROR(__xludf.DUMMYFUNCTION("""COMPUTED_VALUE"""),0.8166666666666668)</f>
        <v>0.8166666667</v>
      </c>
      <c r="FS322" s="16"/>
      <c r="FT322" s="16"/>
      <c r="FU322" s="16"/>
      <c r="FV322" s="16"/>
      <c r="FW322" s="16"/>
      <c r="FX322" s="16">
        <f>IFERROR(__xludf.DUMMYFUNCTION("""COMPUTED_VALUE"""),1.0)</f>
        <v>1</v>
      </c>
      <c r="FY322" s="16">
        <f>IFERROR(__xludf.DUMMYFUNCTION("""COMPUTED_VALUE"""),1.0)</f>
        <v>1</v>
      </c>
      <c r="FZ322" s="16">
        <f>IFERROR(__xludf.DUMMYFUNCTION("""COMPUTED_VALUE"""),1.0)</f>
        <v>1</v>
      </c>
      <c r="GA322" s="16"/>
      <c r="GB322" s="16"/>
      <c r="GC322" s="16"/>
      <c r="GD322" s="16" t="s">
        <v>1381</v>
      </c>
    </row>
    <row r="323">
      <c r="A323" s="16">
        <f>IFERROR(__xludf.DUMMYFUNCTION("""COMPUTED_VALUE"""),13394.0)</f>
        <v>13394</v>
      </c>
      <c r="B323" s="16" t="str">
        <f>IFERROR(__xludf.DUMMYFUNCTION("""COMPUTED_VALUE"""),"Stuart Fairchild")</f>
        <v>Stuart Fairchild</v>
      </c>
      <c r="C323" s="16">
        <f>IFERROR(__xludf.DUMMYFUNCTION("""COMPUTED_VALUE"""),0.74)</f>
        <v>0.74</v>
      </c>
      <c r="D323" s="16" t="str">
        <f>IFERROR(__xludf.DUMMYFUNCTION("""COMPUTED_VALUE"""),"R")</f>
        <v>R</v>
      </c>
      <c r="E323" s="16"/>
      <c r="F323" s="16"/>
      <c r="G323" s="16">
        <f>IFERROR(__xludf.DUMMYFUNCTION("""COMPUTED_VALUE"""),209.0)</f>
        <v>209</v>
      </c>
      <c r="H323" s="16">
        <f>IFERROR(__xludf.DUMMYFUNCTION("""COMPUTED_VALUE"""),17.0)</f>
        <v>17</v>
      </c>
      <c r="I323" s="16" t="str">
        <f>IFERROR(__xludf.DUMMYFUNCTION("""COMPUTED_VALUE"""),"4p50")</f>
        <v>4p50</v>
      </c>
      <c r="J323" s="16">
        <f>IFERROR(__xludf.DUMMYFUNCTION("""COMPUTED_VALUE"""),27.0)</f>
        <v>27</v>
      </c>
      <c r="K323" s="16">
        <f>IFERROR(__xludf.DUMMYFUNCTION("""COMPUTED_VALUE"""),36.0)</f>
        <v>36</v>
      </c>
      <c r="L323" s="16">
        <f>IFERROR(__xludf.DUMMYFUNCTION("""COMPUTED_VALUE"""),0.0)</f>
        <v>0</v>
      </c>
      <c r="M323" s="16">
        <f>IFERROR(__xludf.DUMMYFUNCTION("""COMPUTED_VALUE"""),-1.0)</f>
        <v>-1</v>
      </c>
      <c r="N323" s="16">
        <f>IFERROR(__xludf.DUMMYFUNCTION("""COMPUTED_VALUE"""),0.0)</f>
        <v>0</v>
      </c>
      <c r="O323" s="16">
        <f>IFERROR(__xludf.DUMMYFUNCTION("""COMPUTED_VALUE"""),-1.0)</f>
        <v>-1</v>
      </c>
      <c r="P323" s="16">
        <f>IFERROR(__xludf.DUMMYFUNCTION("""COMPUTED_VALUE"""),14.0)</f>
        <v>14</v>
      </c>
      <c r="Q323" s="16">
        <f>IFERROR(__xludf.DUMMYFUNCTION("""COMPUTED_VALUE"""),1.0)</f>
        <v>1</v>
      </c>
      <c r="R323" s="16">
        <f>IFERROR(__xludf.DUMMYFUNCTION("""COMPUTED_VALUE"""),2.0)</f>
        <v>2</v>
      </c>
      <c r="S323" s="16">
        <f>IFERROR(__xludf.DUMMYFUNCTION("""COMPUTED_VALUE"""),-2.0)</f>
        <v>-2</v>
      </c>
      <c r="T323" s="16">
        <f>IFERROR(__xludf.DUMMYFUNCTION("""COMPUTED_VALUE"""),2.0)</f>
        <v>2</v>
      </c>
      <c r="U323" s="16">
        <f>IFERROR(__xludf.DUMMYFUNCTION("""COMPUTED_VALUE"""),-2.0)</f>
        <v>-2</v>
      </c>
      <c r="V323" s="16">
        <f>IFERROR(__xludf.DUMMYFUNCTION("""COMPUTED_VALUE"""),16.9)</f>
        <v>16.9</v>
      </c>
      <c r="W323" s="16">
        <f>IFERROR(__xludf.DUMMYFUNCTION("""COMPUTED_VALUE"""),9.6)</f>
        <v>9.6</v>
      </c>
      <c r="X323" s="16">
        <f>IFERROR(__xludf.DUMMYFUNCTION("""COMPUTED_VALUE"""),0.0)</f>
        <v>0</v>
      </c>
      <c r="Y323" s="16">
        <f>IFERROR(__xludf.DUMMYFUNCTION("""COMPUTED_VALUE"""),-2.0)</f>
        <v>-2</v>
      </c>
      <c r="Z323" s="16">
        <f>IFERROR(__xludf.DUMMYFUNCTION("""COMPUTED_VALUE"""),0.0)</f>
        <v>0</v>
      </c>
      <c r="AA323" s="16">
        <f>IFERROR(__xludf.DUMMYFUNCTION("""COMPUTED_VALUE"""),-4.0)</f>
        <v>-4</v>
      </c>
      <c r="AB323" s="16">
        <f>IFERROR(__xludf.DUMMYFUNCTION("""COMPUTED_VALUE"""),35.0)</f>
        <v>35</v>
      </c>
      <c r="AC323" s="16">
        <f>IFERROR(__xludf.DUMMYFUNCTION("""COMPUTED_VALUE"""),14.6)</f>
        <v>14.6</v>
      </c>
      <c r="AD323" s="16">
        <f>IFERROR(__xludf.DUMMYFUNCTION("""COMPUTED_VALUE"""),1.0)</f>
        <v>1</v>
      </c>
      <c r="AE323" s="16">
        <f>IFERROR(__xludf.DUMMYFUNCTION("""COMPUTED_VALUE"""),-2.0)</f>
        <v>-2</v>
      </c>
      <c r="AF323" s="16">
        <f>IFERROR(__xludf.DUMMYFUNCTION("""COMPUTED_VALUE"""),5.0)</f>
        <v>5</v>
      </c>
      <c r="AG323" s="16">
        <f>IFERROR(__xludf.DUMMYFUNCTION("""COMPUTED_VALUE"""),-10.0)</f>
        <v>-10</v>
      </c>
      <c r="AH323" s="16">
        <f>IFERROR(__xludf.DUMMYFUNCTION("""COMPUTED_VALUE"""),25.9)</f>
        <v>25.9</v>
      </c>
      <c r="AI323" s="16">
        <f>IFERROR(__xludf.DUMMYFUNCTION("""COMPUTED_VALUE"""),21.6)</f>
        <v>21.6</v>
      </c>
      <c r="AJ323" s="16">
        <f>IFERROR(__xludf.DUMMYFUNCTION("""COMPUTED_VALUE"""),-1.0)</f>
        <v>-1</v>
      </c>
      <c r="AK323" s="16">
        <f>IFERROR(__xludf.DUMMYFUNCTION("""COMPUTED_VALUE"""),-1.0)</f>
        <v>-1</v>
      </c>
      <c r="AL323" s="16">
        <f>IFERROR(__xludf.DUMMYFUNCTION("""COMPUTED_VALUE"""),-5.0)</f>
        <v>-5</v>
      </c>
      <c r="AM323" s="16">
        <f>IFERROR(__xludf.DUMMYFUNCTION("""COMPUTED_VALUE"""),-5.0)</f>
        <v>-5</v>
      </c>
      <c r="AN323" s="16">
        <f>IFERROR(__xludf.DUMMYFUNCTION("""COMPUTED_VALUE"""),3.0)</f>
        <v>3</v>
      </c>
      <c r="AO323" s="16">
        <f>IFERROR(__xludf.DUMMYFUNCTION("""COMPUTED_VALUE"""),2.2)</f>
        <v>2.2</v>
      </c>
      <c r="AP323" s="16">
        <f>IFERROR(__xludf.DUMMYFUNCTION("""COMPUTED_VALUE"""),1.0)</f>
        <v>1</v>
      </c>
      <c r="AQ323" s="16">
        <f>IFERROR(__xludf.DUMMYFUNCTION("""COMPUTED_VALUE"""),0.0)</f>
        <v>0</v>
      </c>
      <c r="AR323" s="16">
        <f>IFERROR(__xludf.DUMMYFUNCTION("""COMPUTED_VALUE"""),2.0)</f>
        <v>2</v>
      </c>
      <c r="AS323" s="16">
        <f>IFERROR(__xludf.DUMMYFUNCTION("""COMPUTED_VALUE"""),0.0)</f>
        <v>0</v>
      </c>
      <c r="AT323" s="16">
        <f>IFERROR(__xludf.DUMMYFUNCTION("""COMPUTED_VALUE"""),3.0)</f>
        <v>3</v>
      </c>
      <c r="AU323" s="16"/>
      <c r="AV323" s="16">
        <f>IFERROR(__xludf.DUMMYFUNCTION("""COMPUTED_VALUE"""),3.0)</f>
        <v>3</v>
      </c>
      <c r="AW323" s="16">
        <f>IFERROR(__xludf.DUMMYFUNCTION("""COMPUTED_VALUE"""),1.0)</f>
        <v>1</v>
      </c>
      <c r="AX323" s="16">
        <f>IFERROR(__xludf.DUMMYFUNCTION("""COMPUTED_VALUE"""),1.0)</f>
        <v>1</v>
      </c>
      <c r="AY323" s="16">
        <f>IFERROR(__xludf.DUMMYFUNCTION("""COMPUTED_VALUE"""),-1.0)</f>
        <v>-1</v>
      </c>
      <c r="AZ323" s="16">
        <f>IFERROR(__xludf.DUMMYFUNCTION("""COMPUTED_VALUE"""),3.0)</f>
        <v>3</v>
      </c>
      <c r="BA323" s="16">
        <f>IFERROR(__xludf.DUMMYFUNCTION("""COMPUTED_VALUE"""),-3.0)</f>
        <v>-3</v>
      </c>
      <c r="BB323" s="16">
        <f>IFERROR(__xludf.DUMMYFUNCTION("""COMPUTED_VALUE"""),5.0)</f>
        <v>5</v>
      </c>
      <c r="BC323" s="16">
        <f>IFERROR(__xludf.DUMMYFUNCTION("""COMPUTED_VALUE"""),0.0)</f>
        <v>0</v>
      </c>
      <c r="BD323" s="16">
        <f>IFERROR(__xludf.DUMMYFUNCTION("""COMPUTED_VALUE"""),1.0)</f>
        <v>1</v>
      </c>
      <c r="BE323" s="16">
        <f>IFERROR(__xludf.DUMMYFUNCTION("""COMPUTED_VALUE"""),0.0)</f>
        <v>0</v>
      </c>
      <c r="BF323" s="16">
        <f>IFERROR(__xludf.DUMMYFUNCTION("""COMPUTED_VALUE"""),1.0)</f>
        <v>1</v>
      </c>
      <c r="BG323" s="16">
        <f>IFERROR(__xludf.DUMMYFUNCTION("""COMPUTED_VALUE"""),0.0)</f>
        <v>0</v>
      </c>
      <c r="BH323" s="16">
        <f>IFERROR(__xludf.DUMMYFUNCTION("""COMPUTED_VALUE"""),7.0)</f>
        <v>7</v>
      </c>
      <c r="BI323" s="16">
        <f>IFERROR(__xludf.DUMMYFUNCTION("""COMPUTED_VALUE"""),0.0)</f>
        <v>0</v>
      </c>
      <c r="BJ323" s="16">
        <f>IFERROR(__xludf.DUMMYFUNCTION("""COMPUTED_VALUE"""),0.0)</f>
        <v>0</v>
      </c>
      <c r="BK323" s="16">
        <f>IFERROR(__xludf.DUMMYFUNCTION("""COMPUTED_VALUE"""),0.0)</f>
        <v>0</v>
      </c>
      <c r="BL323" s="16">
        <f>IFERROR(__xludf.DUMMYFUNCTION("""COMPUTED_VALUE"""),3.0)</f>
        <v>3</v>
      </c>
      <c r="BM323" s="16">
        <f>IFERROR(__xludf.DUMMYFUNCTION("""COMPUTED_VALUE"""),3.0)</f>
        <v>3</v>
      </c>
      <c r="BN323" s="16">
        <f>IFERROR(__xludf.DUMMYFUNCTION("""COMPUTED_VALUE"""),3.0)</f>
        <v>3</v>
      </c>
      <c r="BO323" s="16">
        <f>IFERROR(__xludf.DUMMYFUNCTION("""COMPUTED_VALUE"""),3.0)</f>
        <v>3</v>
      </c>
      <c r="BP323" s="16">
        <f>IFERROR(__xludf.DUMMYFUNCTION("""COMPUTED_VALUE"""),8.0)</f>
        <v>8</v>
      </c>
      <c r="BQ323" s="16">
        <f>IFERROR(__xludf.DUMMYFUNCTION("""COMPUTED_VALUE"""),-6.0)</f>
        <v>-6</v>
      </c>
      <c r="BR323" s="16">
        <f>IFERROR(__xludf.DUMMYFUNCTION("""COMPUTED_VALUE"""),2.0)</f>
        <v>2</v>
      </c>
      <c r="BS323" s="16" t="str">
        <f>IFERROR(__xludf.DUMMYFUNCTION("""COMPUTED_VALUE"""),"*2-5,12/- (19-14)")</f>
        <v>*2-5,12/- (19-14)</v>
      </c>
      <c r="BT323" s="16" t="str">
        <f>IFERROR(__xludf.DUMMYFUNCTION("""COMPUTED_VALUE"""),"A")</f>
        <v>A</v>
      </c>
      <c r="BU323" s="16">
        <f>IFERROR(__xludf.DUMMYFUNCTION("""COMPUTED_VALUE"""),15.0)</f>
        <v>15</v>
      </c>
      <c r="BV323" s="16">
        <f>IFERROR(__xludf.DUMMYFUNCTION("""COMPUTED_VALUE"""),2.0)</f>
        <v>2</v>
      </c>
      <c r="BW323" s="16">
        <f>IFERROR(__xludf.DUMMYFUNCTION("""COMPUTED_VALUE"""),2.0)</f>
        <v>2</v>
      </c>
      <c r="BX323" s="16">
        <f>IFERROR(__xludf.DUMMYFUNCTION("""COMPUTED_VALUE"""),4.0)</f>
        <v>4</v>
      </c>
      <c r="BY323" s="16">
        <f>IFERROR(__xludf.DUMMYFUNCTION("""COMPUTED_VALUE"""),6.0)</f>
        <v>6</v>
      </c>
      <c r="BZ323" s="16" t="str">
        <f>IFERROR(__xludf.DUMMYFUNCTION("""COMPUTED_VALUE"""),"C")</f>
        <v>C</v>
      </c>
      <c r="CA323" s="16" t="str">
        <f>IFERROR(__xludf.DUMMYFUNCTION("""COMPUTED_VALUE"""),"D")</f>
        <v>D</v>
      </c>
      <c r="CB323" s="16">
        <f>IFERROR(__xludf.DUMMYFUNCTION("""COMPUTED_VALUE"""),0.0)</f>
        <v>0</v>
      </c>
      <c r="CC323" s="16">
        <f>IFERROR(__xludf.DUMMYFUNCTION("""COMPUTED_VALUE"""),0.0)</f>
        <v>0</v>
      </c>
      <c r="CD323" s="16">
        <f>IFERROR(__xludf.DUMMYFUNCTION("""COMPUTED_VALUE"""),0.0)</f>
        <v>0</v>
      </c>
      <c r="CE323" s="16">
        <f>IFERROR(__xludf.DUMMYFUNCTION("""COMPUTED_VALUE"""),0.0)</f>
        <v>0</v>
      </c>
      <c r="CF323" s="16">
        <f>IFERROR(__xludf.DUMMYFUNCTION("""COMPUTED_VALUE"""),4.0)</f>
        <v>4</v>
      </c>
      <c r="CG323" s="16">
        <f>IFERROR(__xludf.DUMMYFUNCTION("""COMPUTED_VALUE"""),11.0)</f>
        <v>11</v>
      </c>
      <c r="CH323" s="16">
        <f>IFERROR(__xludf.DUMMYFUNCTION("""COMPUTED_VALUE"""),-22.0)</f>
        <v>-22</v>
      </c>
      <c r="CI323" s="179">
        <f>IFERROR(__xludf.DUMMYFUNCTION("""COMPUTED_VALUE"""),-12.0)</f>
        <v>-12</v>
      </c>
      <c r="CJ323" s="16"/>
      <c r="CK323" s="16"/>
      <c r="CL323" s="16"/>
      <c r="CM323" s="16"/>
      <c r="CN323" s="16"/>
      <c r="CO323" s="16">
        <f>IFERROR(__xludf.DUMMYFUNCTION("""COMPUTED_VALUE"""),203.0)</f>
        <v>203</v>
      </c>
      <c r="CP323" s="16">
        <f>IFERROR(__xludf.DUMMYFUNCTION("""COMPUTED_VALUE"""),203.0)</f>
        <v>203</v>
      </c>
      <c r="CQ323" s="16">
        <f>IFERROR(__xludf.DUMMYFUNCTION("""COMPUTED_VALUE"""),203.0)</f>
        <v>203</v>
      </c>
      <c r="CR323" s="16" t="str">
        <f>IFERROR(__xludf.DUMMYFUNCTION("""COMPUTED_VALUE"""),"cf-2(-1)e3 rf-2e3 lf-2e3")</f>
        <v>cf-2(-1)e3 rf-2e3 lf-2e3</v>
      </c>
      <c r="CS323" s="16"/>
      <c r="CT323" s="16"/>
      <c r="CU323" s="16"/>
      <c r="CV323" s="16"/>
      <c r="CW323" s="16"/>
      <c r="CX323" s="16">
        <f>IFERROR(__xludf.DUMMYFUNCTION("""COMPUTED_VALUE"""),2.0)</f>
        <v>2</v>
      </c>
      <c r="CY323" s="16">
        <f>IFERROR(__xludf.DUMMYFUNCTION("""COMPUTED_VALUE"""),2.0)</f>
        <v>2</v>
      </c>
      <c r="CZ323" s="16">
        <f>IFERROR(__xludf.DUMMYFUNCTION("""COMPUTED_VALUE"""),2.0)</f>
        <v>2</v>
      </c>
      <c r="DA323" s="16"/>
      <c r="DB323" s="16"/>
      <c r="DC323" s="16"/>
      <c r="DD323" s="16"/>
      <c r="DE323" s="16"/>
      <c r="DF323" s="16">
        <f>IFERROR(__xludf.DUMMYFUNCTION("""COMPUTED_VALUE"""),3.0)</f>
        <v>3</v>
      </c>
      <c r="DG323" s="16">
        <f>IFERROR(__xludf.DUMMYFUNCTION("""COMPUTED_VALUE"""),3.0)</f>
        <v>3</v>
      </c>
      <c r="DH323" s="16">
        <f>IFERROR(__xludf.DUMMYFUNCTION("""COMPUTED_VALUE"""),3.0)</f>
        <v>3</v>
      </c>
      <c r="DI323" s="16"/>
      <c r="DJ323" s="16"/>
      <c r="DK323" s="16"/>
      <c r="DL323" s="16"/>
      <c r="DM323" s="16"/>
      <c r="DN323" s="16">
        <f>IFERROR(__xludf.DUMMYFUNCTION("""COMPUTED_VALUE"""),3.0)</f>
        <v>3</v>
      </c>
      <c r="DO323" s="16">
        <f>IFERROR(__xludf.DUMMYFUNCTION("""COMPUTED_VALUE"""),2.0)</f>
        <v>2</v>
      </c>
      <c r="DP323" s="16">
        <f>IFERROR(__xludf.DUMMYFUNCTION("""COMPUTED_VALUE"""),3.0)</f>
        <v>3</v>
      </c>
      <c r="DQ323" s="16"/>
      <c r="DR323" s="16"/>
      <c r="DS323" s="16"/>
      <c r="DT323" s="16"/>
      <c r="DU323" s="16"/>
      <c r="DV323" s="16">
        <f>IFERROR(__xludf.DUMMYFUNCTION("""COMPUTED_VALUE"""),4.0)</f>
        <v>4</v>
      </c>
      <c r="DW323" s="16">
        <f>IFERROR(__xludf.DUMMYFUNCTION("""COMPUTED_VALUE"""),4.0)</f>
        <v>4</v>
      </c>
      <c r="DX323" s="16">
        <f>IFERROR(__xludf.DUMMYFUNCTION("""COMPUTED_VALUE"""),4.0)</f>
        <v>4</v>
      </c>
      <c r="DY323" s="16"/>
      <c r="DZ323" s="16"/>
      <c r="EA323" s="16"/>
      <c r="EB323" s="16"/>
      <c r="EC323" s="16"/>
      <c r="ED323" s="16">
        <f>IFERROR(__xludf.DUMMYFUNCTION("""COMPUTED_VALUE"""),7.0)</f>
        <v>7</v>
      </c>
      <c r="EE323" s="16">
        <f>IFERROR(__xludf.DUMMYFUNCTION("""COMPUTED_VALUE"""),6.0)</f>
        <v>6</v>
      </c>
      <c r="EF323" s="16">
        <f>IFERROR(__xludf.DUMMYFUNCTION("""COMPUTED_VALUE"""),7.0)</f>
        <v>7</v>
      </c>
      <c r="EG323" s="179"/>
      <c r="EH323" s="179"/>
      <c r="EI323" s="179"/>
      <c r="EJ323" s="179"/>
      <c r="EK323" s="179"/>
      <c r="EL323" s="179">
        <f>IFERROR(__xludf.DUMMYFUNCTION("""COMPUTED_VALUE"""),-5.0)</f>
        <v>-5</v>
      </c>
      <c r="EM323" s="179">
        <f>IFERROR(__xludf.DUMMYFUNCTION("""COMPUTED_VALUE"""),-6.0)</f>
        <v>-6</v>
      </c>
      <c r="EN323" s="179">
        <f>IFERROR(__xludf.DUMMYFUNCTION("""COMPUTED_VALUE"""),-5.0)</f>
        <v>-5</v>
      </c>
      <c r="EO323" s="16"/>
      <c r="EP323" s="16"/>
      <c r="EQ323" s="16">
        <f>IFERROR(__xludf.DUMMYFUNCTION("""COMPUTED_VALUE"""),-1.0)</f>
        <v>-1</v>
      </c>
      <c r="ER323" s="16">
        <f>IFERROR(__xludf.DUMMYFUNCTION("""COMPUTED_VALUE"""),0.0)</f>
        <v>0</v>
      </c>
      <c r="ES323" s="16"/>
      <c r="ET323" s="16"/>
      <c r="EU323" s="16"/>
      <c r="EV323" s="16"/>
      <c r="EW323" s="16"/>
      <c r="EX323" s="180"/>
      <c r="EY323" s="180"/>
      <c r="EZ323" s="180"/>
      <c r="FA323" s="180"/>
      <c r="FB323" s="180"/>
      <c r="FC323" s="180">
        <f>IFERROR(__xludf.DUMMYFUNCTION("""COMPUTED_VALUE"""),0.15)</f>
        <v>0.15</v>
      </c>
      <c r="FD323" s="180">
        <f>IFERROR(__xludf.DUMMYFUNCTION("""COMPUTED_VALUE"""),0.15)</f>
        <v>0.15</v>
      </c>
      <c r="FE323" s="180">
        <f>IFERROR(__xludf.DUMMYFUNCTION("""COMPUTED_VALUE"""),0.15)</f>
        <v>0.15</v>
      </c>
      <c r="FF323" s="180"/>
      <c r="FG323" s="180"/>
      <c r="FH323" s="180"/>
      <c r="FI323" s="180"/>
      <c r="FJ323" s="180"/>
      <c r="FK323" s="180">
        <f>IFERROR(__xludf.DUMMYFUNCTION("""COMPUTED_VALUE"""),0.056)</f>
        <v>0.056</v>
      </c>
      <c r="FL323" s="180">
        <f>IFERROR(__xludf.DUMMYFUNCTION("""COMPUTED_VALUE"""),0.037037037037037035)</f>
        <v>0.03703703704</v>
      </c>
      <c r="FM323" s="180">
        <f>IFERROR(__xludf.DUMMYFUNCTION("""COMPUTED_VALUE"""),0.056)</f>
        <v>0.056</v>
      </c>
      <c r="FN323" s="16"/>
      <c r="FO323" s="16"/>
      <c r="FP323" s="16"/>
      <c r="FQ323" s="16"/>
      <c r="FR323" s="16"/>
      <c r="FS323" s="16">
        <f>IFERROR(__xludf.DUMMYFUNCTION("""COMPUTED_VALUE"""),0.8023999999999999)</f>
        <v>0.8024</v>
      </c>
      <c r="FT323" s="16">
        <f>IFERROR(__xludf.DUMMYFUNCTION("""COMPUTED_VALUE"""),0.8185185185185185)</f>
        <v>0.8185185185</v>
      </c>
      <c r="FU323" s="16">
        <f>IFERROR(__xludf.DUMMYFUNCTION("""COMPUTED_VALUE"""),0.8023999999999999)</f>
        <v>0.8024</v>
      </c>
      <c r="FV323" s="16"/>
      <c r="FW323" s="16"/>
      <c r="FX323" s="16"/>
      <c r="FY323" s="16"/>
      <c r="FZ323" s="16"/>
      <c r="GA323" s="16">
        <f>IFERROR(__xludf.DUMMYFUNCTION("""COMPUTED_VALUE"""),1.0)</f>
        <v>1</v>
      </c>
      <c r="GB323" s="16">
        <f>IFERROR(__xludf.DUMMYFUNCTION("""COMPUTED_VALUE"""),1.0)</f>
        <v>1</v>
      </c>
      <c r="GC323" s="16">
        <f>IFERROR(__xludf.DUMMYFUNCTION("""COMPUTED_VALUE"""),1.0)</f>
        <v>1</v>
      </c>
      <c r="GD323" s="16" t="s">
        <v>176</v>
      </c>
    </row>
    <row r="324">
      <c r="A324" s="16">
        <f>IFERROR(__xludf.DUMMYFUNCTION("""COMPUTED_VALUE"""),13450.0)</f>
        <v>13450</v>
      </c>
      <c r="B324" s="16" t="str">
        <f>IFERROR(__xludf.DUMMYFUNCTION("""COMPUTED_VALUE"""),"Tyler Freeman")</f>
        <v>Tyler Freeman</v>
      </c>
      <c r="C324" s="16">
        <f>IFERROR(__xludf.DUMMYFUNCTION("""COMPUTED_VALUE"""),0.41)</f>
        <v>0.41</v>
      </c>
      <c r="D324" s="16" t="str">
        <f>IFERROR(__xludf.DUMMYFUNCTION("""COMPUTED_VALUE"""),"R")</f>
        <v>R</v>
      </c>
      <c r="E324" s="16"/>
      <c r="F324" s="16"/>
      <c r="G324" s="16">
        <f>IFERROR(__xludf.DUMMYFUNCTION("""COMPUTED_VALUE"""),330.0)</f>
        <v>330</v>
      </c>
      <c r="H324" s="16">
        <f>IFERROR(__xludf.DUMMYFUNCTION("""COMPUTED_VALUE"""),28.0)</f>
        <v>28</v>
      </c>
      <c r="I324" s="16" t="str">
        <f>IFERROR(__xludf.DUMMYFUNCTION("""COMPUTED_VALUE"""),"1p60")</f>
        <v>1p60</v>
      </c>
      <c r="J324" s="16">
        <f>IFERROR(__xludf.DUMMYFUNCTION("""COMPUTED_VALUE"""),8.0)</f>
        <v>8</v>
      </c>
      <c r="K324" s="16">
        <f>IFERROR(__xludf.DUMMYFUNCTION("""COMPUTED_VALUE"""),5.0)</f>
        <v>5</v>
      </c>
      <c r="L324" s="16">
        <f>IFERROR(__xludf.DUMMYFUNCTION("""COMPUTED_VALUE"""),2.0)</f>
        <v>2</v>
      </c>
      <c r="M324" s="16">
        <f>IFERROR(__xludf.DUMMYFUNCTION("""COMPUTED_VALUE"""),2.0)</f>
        <v>2</v>
      </c>
      <c r="N324" s="16">
        <f>IFERROR(__xludf.DUMMYFUNCTION("""COMPUTED_VALUE"""),2.0)</f>
        <v>2</v>
      </c>
      <c r="O324" s="16">
        <f>IFERROR(__xludf.DUMMYFUNCTION("""COMPUTED_VALUE"""),2.0)</f>
        <v>2</v>
      </c>
      <c r="P324" s="16">
        <f>IFERROR(__xludf.DUMMYFUNCTION("""COMPUTED_VALUE"""),11.0)</f>
        <v>11</v>
      </c>
      <c r="Q324" s="16">
        <f>IFERROR(__xludf.DUMMYFUNCTION("""COMPUTED_VALUE"""),6.0)</f>
        <v>6</v>
      </c>
      <c r="R324" s="16">
        <f>IFERROR(__xludf.DUMMYFUNCTION("""COMPUTED_VALUE"""),1.0)</f>
        <v>1</v>
      </c>
      <c r="S324" s="16">
        <f>IFERROR(__xludf.DUMMYFUNCTION("""COMPUTED_VALUE"""),-1.0)</f>
        <v>-1</v>
      </c>
      <c r="T324" s="16">
        <f>IFERROR(__xludf.DUMMYFUNCTION("""COMPUTED_VALUE"""),1.0)</f>
        <v>1</v>
      </c>
      <c r="U324" s="16">
        <f>IFERROR(__xludf.DUMMYFUNCTION("""COMPUTED_VALUE"""),-1.0)</f>
        <v>-1</v>
      </c>
      <c r="V324" s="16">
        <f>IFERROR(__xludf.DUMMYFUNCTION("""COMPUTED_VALUE"""),7.4)</f>
        <v>7.4</v>
      </c>
      <c r="W324" s="16">
        <f>IFERROR(__xludf.DUMMYFUNCTION("""COMPUTED_VALUE"""),14.8)</f>
        <v>14.8</v>
      </c>
      <c r="X324" s="16">
        <f>IFERROR(__xludf.DUMMYFUNCTION("""COMPUTED_VALUE"""),-2.0)</f>
        <v>-2</v>
      </c>
      <c r="Y324" s="16">
        <f>IFERROR(__xludf.DUMMYFUNCTION("""COMPUTED_VALUE"""),-1.0)</f>
        <v>-1</v>
      </c>
      <c r="Z324" s="16">
        <f>IFERROR(__xludf.DUMMYFUNCTION("""COMPUTED_VALUE"""),-4.0)</f>
        <v>-4</v>
      </c>
      <c r="AA324" s="16">
        <f>IFERROR(__xludf.DUMMYFUNCTION("""COMPUTED_VALUE"""),-2.0)</f>
        <v>-2</v>
      </c>
      <c r="AB324" s="16">
        <f>IFERROR(__xludf.DUMMYFUNCTION("""COMPUTED_VALUE"""),29.4)</f>
        <v>29.4</v>
      </c>
      <c r="AC324" s="16">
        <f>IFERROR(__xludf.DUMMYFUNCTION("""COMPUTED_VALUE"""),31.8)</f>
        <v>31.8</v>
      </c>
      <c r="AD324" s="16">
        <f>IFERROR(__xludf.DUMMYFUNCTION("""COMPUTED_VALUE"""),0.0)</f>
        <v>0</v>
      </c>
      <c r="AE324" s="16">
        <f>IFERROR(__xludf.DUMMYFUNCTION("""COMPUTED_VALUE"""),0.0)</f>
        <v>0</v>
      </c>
      <c r="AF324" s="16">
        <f>IFERROR(__xludf.DUMMYFUNCTION("""COMPUTED_VALUE"""),0.0)</f>
        <v>0</v>
      </c>
      <c r="AG324" s="16">
        <f>IFERROR(__xludf.DUMMYFUNCTION("""COMPUTED_VALUE"""),0.0)</f>
        <v>0</v>
      </c>
      <c r="AH324" s="16">
        <f>IFERROR(__xludf.DUMMYFUNCTION("""COMPUTED_VALUE"""),13.7)</f>
        <v>13.7</v>
      </c>
      <c r="AI324" s="16">
        <f>IFERROR(__xludf.DUMMYFUNCTION("""COMPUTED_VALUE"""),20.1)</f>
        <v>20.1</v>
      </c>
      <c r="AJ324" s="16">
        <f>IFERROR(__xludf.DUMMYFUNCTION("""COMPUTED_VALUE"""),-2.0)</f>
        <v>-2</v>
      </c>
      <c r="AK324" s="16">
        <f>IFERROR(__xludf.DUMMYFUNCTION("""COMPUTED_VALUE"""),-1.0)</f>
        <v>-1</v>
      </c>
      <c r="AL324" s="16">
        <f>IFERROR(__xludf.DUMMYFUNCTION("""COMPUTED_VALUE"""),-10.0)</f>
        <v>-10</v>
      </c>
      <c r="AM324" s="16">
        <f>IFERROR(__xludf.DUMMYFUNCTION("""COMPUTED_VALUE"""),-5.0)</f>
        <v>-5</v>
      </c>
      <c r="AN324" s="16">
        <f>IFERROR(__xludf.DUMMYFUNCTION("""COMPUTED_VALUE"""),0.2)</f>
        <v>0.2</v>
      </c>
      <c r="AO324" s="16">
        <f>IFERROR(__xludf.DUMMYFUNCTION("""COMPUTED_VALUE"""),1.0)</f>
        <v>1</v>
      </c>
      <c r="AP324" s="16">
        <f>IFERROR(__xludf.DUMMYFUNCTION("""COMPUTED_VALUE"""),-2.0)</f>
        <v>-2</v>
      </c>
      <c r="AQ324" s="16">
        <f>IFERROR(__xludf.DUMMYFUNCTION("""COMPUTED_VALUE"""),-2.0)</f>
        <v>-2</v>
      </c>
      <c r="AR324" s="16">
        <f>IFERROR(__xludf.DUMMYFUNCTION("""COMPUTED_VALUE"""),-4.0)</f>
        <v>-4</v>
      </c>
      <c r="AS324" s="16">
        <f>IFERROR(__xludf.DUMMYFUNCTION("""COMPUTED_VALUE"""),-4.0)</f>
        <v>-4</v>
      </c>
      <c r="AT324" s="16">
        <f>IFERROR(__xludf.DUMMYFUNCTION("""COMPUTED_VALUE"""),0.0)</f>
        <v>0</v>
      </c>
      <c r="AU324" s="16">
        <f>IFERROR(__xludf.DUMMYFUNCTION("""COMPUTED_VALUE"""),1.0)</f>
        <v>1</v>
      </c>
      <c r="AV324" s="16">
        <f>IFERROR(__xludf.DUMMYFUNCTION("""COMPUTED_VALUE"""),0.0)</f>
        <v>0</v>
      </c>
      <c r="AW324" s="16">
        <f>IFERROR(__xludf.DUMMYFUNCTION("""COMPUTED_VALUE"""),1.0)</f>
        <v>1</v>
      </c>
      <c r="AX324" s="16">
        <f>IFERROR(__xludf.DUMMYFUNCTION("""COMPUTED_VALUE"""),-2.0)</f>
        <v>-2</v>
      </c>
      <c r="AY324" s="16">
        <f>IFERROR(__xludf.DUMMYFUNCTION("""COMPUTED_VALUE"""),-1.0)</f>
        <v>-1</v>
      </c>
      <c r="AZ324" s="16">
        <f>IFERROR(__xludf.DUMMYFUNCTION("""COMPUTED_VALUE"""),-6.0)</f>
        <v>-6</v>
      </c>
      <c r="BA324" s="16">
        <f>IFERROR(__xludf.DUMMYFUNCTION("""COMPUTED_VALUE"""),-3.0)</f>
        <v>-3</v>
      </c>
      <c r="BB324" s="16">
        <f>IFERROR(__xludf.DUMMYFUNCTION("""COMPUTED_VALUE"""),5.0)</f>
        <v>5</v>
      </c>
      <c r="BC324" s="16">
        <f>IFERROR(__xludf.DUMMYFUNCTION("""COMPUTED_VALUE"""),5.0)</f>
        <v>5</v>
      </c>
      <c r="BD324" s="16">
        <f>IFERROR(__xludf.DUMMYFUNCTION("""COMPUTED_VALUE"""),1.0)</f>
        <v>1</v>
      </c>
      <c r="BE324" s="16">
        <f>IFERROR(__xludf.DUMMYFUNCTION("""COMPUTED_VALUE"""),1.0)</f>
        <v>1</v>
      </c>
      <c r="BF324" s="16">
        <f>IFERROR(__xludf.DUMMYFUNCTION("""COMPUTED_VALUE"""),1.0)</f>
        <v>1</v>
      </c>
      <c r="BG324" s="16">
        <f>IFERROR(__xludf.DUMMYFUNCTION("""COMPUTED_VALUE"""),1.0)</f>
        <v>1</v>
      </c>
      <c r="BH324" s="16">
        <f>IFERROR(__xludf.DUMMYFUNCTION("""COMPUTED_VALUE"""),0.0)</f>
        <v>0</v>
      </c>
      <c r="BI324" s="16">
        <f>IFERROR(__xludf.DUMMYFUNCTION("""COMPUTED_VALUE"""),3.0)</f>
        <v>3</v>
      </c>
      <c r="BJ324" s="16">
        <f>IFERROR(__xludf.DUMMYFUNCTION("""COMPUTED_VALUE"""),26.0)</f>
        <v>26</v>
      </c>
      <c r="BK324" s="16">
        <f>IFERROR(__xludf.DUMMYFUNCTION("""COMPUTED_VALUE"""),27.0)</f>
        <v>27</v>
      </c>
      <c r="BL324" s="16">
        <f>IFERROR(__xludf.DUMMYFUNCTION("""COMPUTED_VALUE"""),-2.0)</f>
        <v>-2</v>
      </c>
      <c r="BM324" s="16">
        <f>IFERROR(__xludf.DUMMYFUNCTION("""COMPUTED_VALUE"""),-2.0)</f>
        <v>-2</v>
      </c>
      <c r="BN324" s="16">
        <f>IFERROR(__xludf.DUMMYFUNCTION("""COMPUTED_VALUE"""),-4.0)</f>
        <v>-4</v>
      </c>
      <c r="BO324" s="16">
        <f>IFERROR(__xludf.DUMMYFUNCTION("""COMPUTED_VALUE"""),-4.0)</f>
        <v>-4</v>
      </c>
      <c r="BP324" s="16">
        <f>IFERROR(__xludf.DUMMYFUNCTION("""COMPUTED_VALUE"""),-6.0)</f>
        <v>-6</v>
      </c>
      <c r="BQ324" s="16">
        <f>IFERROR(__xludf.DUMMYFUNCTION("""COMPUTED_VALUE"""),-5.0)</f>
        <v>-5</v>
      </c>
      <c r="BR324" s="16">
        <f>IFERROR(__xludf.DUMMYFUNCTION("""COMPUTED_VALUE"""),-11.0)</f>
        <v>-11</v>
      </c>
      <c r="BS324" s="16" t="str">
        <f>IFERROR(__xludf.DUMMYFUNCTION("""COMPUTED_VALUE"""),"*2-8/- (15-13)")</f>
        <v>*2-8/- (15-13)</v>
      </c>
      <c r="BT324" s="16" t="str">
        <f>IFERROR(__xludf.DUMMYFUNCTION("""COMPUTED_VALUE"""),"B")</f>
        <v>B</v>
      </c>
      <c r="BU324" s="16">
        <f>IFERROR(__xludf.DUMMYFUNCTION("""COMPUTED_VALUE"""),14.0)</f>
        <v>14</v>
      </c>
      <c r="BV324" s="16">
        <f>IFERROR(__xludf.DUMMYFUNCTION("""COMPUTED_VALUE"""),1.0)</f>
        <v>1</v>
      </c>
      <c r="BW324" s="16">
        <f>IFERROR(__xludf.DUMMYFUNCTION("""COMPUTED_VALUE"""),1.0)</f>
        <v>1</v>
      </c>
      <c r="BX324" s="16">
        <f>IFERROR(__xludf.DUMMYFUNCTION("""COMPUTED_VALUE"""),2.0)</f>
        <v>2</v>
      </c>
      <c r="BY324" s="16">
        <f>IFERROR(__xludf.DUMMYFUNCTION("""COMPUTED_VALUE"""),3.0)</f>
        <v>3</v>
      </c>
      <c r="BZ324" s="16" t="str">
        <f>IFERROR(__xludf.DUMMYFUNCTION("""COMPUTED_VALUE"""),"C")</f>
        <v>C</v>
      </c>
      <c r="CA324" s="16" t="str">
        <f>IFERROR(__xludf.DUMMYFUNCTION("""COMPUTED_VALUE"""),"C")</f>
        <v>C</v>
      </c>
      <c r="CB324" s="16">
        <f>IFERROR(__xludf.DUMMYFUNCTION("""COMPUTED_VALUE"""),0.0)</f>
        <v>0</v>
      </c>
      <c r="CC324" s="16">
        <f>IFERROR(__xludf.DUMMYFUNCTION("""COMPUTED_VALUE"""),0.0)</f>
        <v>0</v>
      </c>
      <c r="CD324" s="16">
        <f>IFERROR(__xludf.DUMMYFUNCTION("""COMPUTED_VALUE"""),0.0)</f>
        <v>0</v>
      </c>
      <c r="CE324" s="16">
        <f>IFERROR(__xludf.DUMMYFUNCTION("""COMPUTED_VALUE"""),0.0)</f>
        <v>0</v>
      </c>
      <c r="CF324" s="16">
        <f>IFERROR(__xludf.DUMMYFUNCTION("""COMPUTED_VALUE"""),1.0)</f>
        <v>1</v>
      </c>
      <c r="CG324" s="16">
        <f>IFERROR(__xludf.DUMMYFUNCTION("""COMPUTED_VALUE"""),-24.0)</f>
        <v>-24</v>
      </c>
      <c r="CH324" s="16">
        <f>IFERROR(__xludf.DUMMYFUNCTION("""COMPUTED_VALUE"""),-16.0)</f>
        <v>-16</v>
      </c>
      <c r="CI324" s="179">
        <f>IFERROR(__xludf.DUMMYFUNCTION("""COMPUTED_VALUE"""),-12.0)</f>
        <v>-12</v>
      </c>
      <c r="CJ324" s="16"/>
      <c r="CK324" s="16"/>
      <c r="CL324" s="16">
        <f>IFERROR(__xludf.DUMMYFUNCTION("""COMPUTED_VALUE"""),310.0)</f>
        <v>310</v>
      </c>
      <c r="CM324" s="16">
        <f>IFERROR(__xludf.DUMMYFUNCTION("""COMPUTED_VALUE"""),414.0)</f>
        <v>414</v>
      </c>
      <c r="CN324" s="16">
        <f>IFERROR(__xludf.DUMMYFUNCTION("""COMPUTED_VALUE"""),368.0)</f>
        <v>368</v>
      </c>
      <c r="CO324" s="16"/>
      <c r="CP324" s="16">
        <f>IFERROR(__xludf.DUMMYFUNCTION("""COMPUTED_VALUE"""),402.0)</f>
        <v>402</v>
      </c>
      <c r="CQ324" s="16"/>
      <c r="CR324" s="16" t="str">
        <f>IFERROR(__xludf.DUMMYFUNCTION("""COMPUTED_VALUE"""),"cf-4(-1)e2 ss-3e68 2b-3e10 3b-4e14")</f>
        <v>cf-4(-1)e2 ss-3e68 2b-3e10 3b-4e14</v>
      </c>
      <c r="CS324" s="16"/>
      <c r="CT324" s="16"/>
      <c r="CU324" s="16">
        <f>IFERROR(__xludf.DUMMYFUNCTION("""COMPUTED_VALUE"""),3.0)</f>
        <v>3</v>
      </c>
      <c r="CV324" s="16">
        <f>IFERROR(__xludf.DUMMYFUNCTION("""COMPUTED_VALUE"""),4.0)</f>
        <v>4</v>
      </c>
      <c r="CW324" s="16">
        <f>IFERROR(__xludf.DUMMYFUNCTION("""COMPUTED_VALUE"""),3.0)</f>
        <v>3</v>
      </c>
      <c r="CX324" s="16"/>
      <c r="CY324" s="16">
        <f>IFERROR(__xludf.DUMMYFUNCTION("""COMPUTED_VALUE"""),4.0)</f>
        <v>4</v>
      </c>
      <c r="CZ324" s="16"/>
      <c r="DA324" s="16"/>
      <c r="DB324" s="16"/>
      <c r="DC324" s="16">
        <f>IFERROR(__xludf.DUMMYFUNCTION("""COMPUTED_VALUE"""),10.0)</f>
        <v>10</v>
      </c>
      <c r="DD324" s="16">
        <f>IFERROR(__xludf.DUMMYFUNCTION("""COMPUTED_VALUE"""),14.0)</f>
        <v>14</v>
      </c>
      <c r="DE324" s="16">
        <f>IFERROR(__xludf.DUMMYFUNCTION("""COMPUTED_VALUE"""),68.0)</f>
        <v>68</v>
      </c>
      <c r="DF324" s="16"/>
      <c r="DG324" s="16">
        <f>IFERROR(__xludf.DUMMYFUNCTION("""COMPUTED_VALUE"""),2.0)</f>
        <v>2</v>
      </c>
      <c r="DH324" s="16"/>
      <c r="DI324" s="16"/>
      <c r="DJ324" s="16"/>
      <c r="DK324" s="16">
        <f>IFERROR(__xludf.DUMMYFUNCTION("""COMPUTED_VALUE"""),0.0)</f>
        <v>0</v>
      </c>
      <c r="DL324" s="16">
        <f>IFERROR(__xludf.DUMMYFUNCTION("""COMPUTED_VALUE"""),0.0)</f>
        <v>0</v>
      </c>
      <c r="DM324" s="16">
        <f>IFERROR(__xludf.DUMMYFUNCTION("""COMPUTED_VALUE"""),0.0)</f>
        <v>0</v>
      </c>
      <c r="DN324" s="16"/>
      <c r="DO324" s="16">
        <f>IFERROR(__xludf.DUMMYFUNCTION("""COMPUTED_VALUE"""),-2.0)</f>
        <v>-2</v>
      </c>
      <c r="DP324" s="16"/>
      <c r="DQ324" s="16"/>
      <c r="DR324" s="16"/>
      <c r="DS324" s="16">
        <f>IFERROR(__xludf.DUMMYFUNCTION("""COMPUTED_VALUE"""),3.0)</f>
        <v>3</v>
      </c>
      <c r="DT324" s="16">
        <f>IFERROR(__xludf.DUMMYFUNCTION("""COMPUTED_VALUE"""),1.0)</f>
        <v>1</v>
      </c>
      <c r="DU324" s="16">
        <f>IFERROR(__xludf.DUMMYFUNCTION("""COMPUTED_VALUE"""),-2.0)</f>
        <v>-2</v>
      </c>
      <c r="DV324" s="16"/>
      <c r="DW324" s="16">
        <f>IFERROR(__xludf.DUMMYFUNCTION("""COMPUTED_VALUE"""),4.0)</f>
        <v>4</v>
      </c>
      <c r="DX324" s="16"/>
      <c r="DY324" s="16"/>
      <c r="DZ324" s="16"/>
      <c r="EA324" s="16">
        <f>IFERROR(__xludf.DUMMYFUNCTION("""COMPUTED_VALUE"""),3.0)</f>
        <v>3</v>
      </c>
      <c r="EB324" s="16">
        <f>IFERROR(__xludf.DUMMYFUNCTION("""COMPUTED_VALUE"""),1.0)</f>
        <v>1</v>
      </c>
      <c r="EC324" s="16">
        <f>IFERROR(__xludf.DUMMYFUNCTION("""COMPUTED_VALUE"""),-2.0)</f>
        <v>-2</v>
      </c>
      <c r="ED324" s="16"/>
      <c r="EE324" s="16">
        <f>IFERROR(__xludf.DUMMYFUNCTION("""COMPUTED_VALUE"""),2.0)</f>
        <v>2</v>
      </c>
      <c r="EF324" s="16"/>
      <c r="EG324" s="179"/>
      <c r="EH324" s="179"/>
      <c r="EI324" s="179">
        <f>IFERROR(__xludf.DUMMYFUNCTION("""COMPUTED_VALUE"""),-9.0)</f>
        <v>-9</v>
      </c>
      <c r="EJ324" s="179">
        <f>IFERROR(__xludf.DUMMYFUNCTION("""COMPUTED_VALUE"""),-11.0)</f>
        <v>-11</v>
      </c>
      <c r="EK324" s="179">
        <f>IFERROR(__xludf.DUMMYFUNCTION("""COMPUTED_VALUE"""),-14.0)</f>
        <v>-14</v>
      </c>
      <c r="EL324" s="179"/>
      <c r="EM324" s="179">
        <f>IFERROR(__xludf.DUMMYFUNCTION("""COMPUTED_VALUE"""),-10.0)</f>
        <v>-10</v>
      </c>
      <c r="EN324" s="179"/>
      <c r="EO324" s="16"/>
      <c r="EP324" s="16">
        <f>IFERROR(__xludf.DUMMYFUNCTION("""COMPUTED_VALUE"""),0.0)</f>
        <v>0</v>
      </c>
      <c r="EQ324" s="16">
        <f>IFERROR(__xludf.DUMMYFUNCTION("""COMPUTED_VALUE"""),4.0)</f>
        <v>4</v>
      </c>
      <c r="ER324" s="16">
        <f>IFERROR(__xludf.DUMMYFUNCTION("""COMPUTED_VALUE"""),1.0)</f>
        <v>1</v>
      </c>
      <c r="ES324" s="16"/>
      <c r="ET324" s="16"/>
      <c r="EU324" s="16"/>
      <c r="EV324" s="16"/>
      <c r="EW324" s="16"/>
      <c r="EX324" s="180"/>
      <c r="EY324" s="180"/>
      <c r="EZ324" s="180">
        <f>IFERROR(__xludf.DUMMYFUNCTION("""COMPUTED_VALUE"""),0.2)</f>
        <v>0.2</v>
      </c>
      <c r="FA324" s="180">
        <f>IFERROR(__xludf.DUMMYFUNCTION("""COMPUTED_VALUE"""),0.3)</f>
        <v>0.3</v>
      </c>
      <c r="FB324" s="180">
        <f>IFERROR(__xludf.DUMMYFUNCTION("""COMPUTED_VALUE"""),0.2)</f>
        <v>0.2</v>
      </c>
      <c r="FC324" s="180"/>
      <c r="FD324" s="180">
        <f>IFERROR(__xludf.DUMMYFUNCTION("""COMPUTED_VALUE"""),0.55)</f>
        <v>0.55</v>
      </c>
      <c r="FE324" s="180"/>
      <c r="FF324" s="180"/>
      <c r="FG324" s="180"/>
      <c r="FH324" s="180">
        <f>IFERROR(__xludf.DUMMYFUNCTION("""COMPUTED_VALUE"""),0.06018518518518518)</f>
        <v>0.06018518519</v>
      </c>
      <c r="FI324" s="180">
        <f>IFERROR(__xludf.DUMMYFUNCTION("""COMPUTED_VALUE"""),0.16666666666666666)</f>
        <v>0.1666666667</v>
      </c>
      <c r="FJ324" s="180">
        <f>IFERROR(__xludf.DUMMYFUNCTION("""COMPUTED_VALUE"""),0.35185185185185186)</f>
        <v>0.3518518519</v>
      </c>
      <c r="FK324" s="180"/>
      <c r="FL324" s="180">
        <f>IFERROR(__xludf.DUMMYFUNCTION("""COMPUTED_VALUE"""),0.023148148148148147)</f>
        <v>0.02314814815</v>
      </c>
      <c r="FM324" s="180"/>
      <c r="FN324" s="16"/>
      <c r="FO324" s="16"/>
      <c r="FP324" s="16">
        <f>IFERROR(__xludf.DUMMYFUNCTION("""COMPUTED_VALUE"""),0.7518518518518519)</f>
        <v>0.7518518519</v>
      </c>
      <c r="FQ324" s="16">
        <f>IFERROR(__xludf.DUMMYFUNCTION("""COMPUTED_VALUE"""),0.5833333333333334)</f>
        <v>0.5833333333</v>
      </c>
      <c r="FR324" s="16">
        <f>IFERROR(__xludf.DUMMYFUNCTION("""COMPUTED_VALUE"""),0.5185185185185185)</f>
        <v>0.5185185185</v>
      </c>
      <c r="FS324" s="16"/>
      <c r="FT324" s="16">
        <f>IFERROR(__xludf.DUMMYFUNCTION("""COMPUTED_VALUE"""),0.43958333333333327)</f>
        <v>0.4395833333</v>
      </c>
      <c r="FU324" s="16"/>
      <c r="FV324" s="16"/>
      <c r="FW324" s="16"/>
      <c r="FX324" s="16">
        <f>IFERROR(__xludf.DUMMYFUNCTION("""COMPUTED_VALUE"""),-1.0)</f>
        <v>-1</v>
      </c>
      <c r="FY324" s="16">
        <f>IFERROR(__xludf.DUMMYFUNCTION("""COMPUTED_VALUE"""),-6.0)</f>
        <v>-6</v>
      </c>
      <c r="FZ324" s="16">
        <f>IFERROR(__xludf.DUMMYFUNCTION("""COMPUTED_VALUE"""),-8.0)</f>
        <v>-8</v>
      </c>
      <c r="GA324" s="16"/>
      <c r="GB324" s="16">
        <f>IFERROR(__xludf.DUMMYFUNCTION("""COMPUTED_VALUE"""),-8.0)</f>
        <v>-8</v>
      </c>
      <c r="GC324" s="16"/>
      <c r="GD324" s="16" t="s">
        <v>176</v>
      </c>
    </row>
    <row r="325">
      <c r="A325" s="16">
        <f>IFERROR(__xludf.DUMMYFUNCTION("""COMPUTED_VALUE"""),12877.0)</f>
        <v>12877</v>
      </c>
      <c r="B325" s="16" t="str">
        <f>IFERROR(__xludf.DUMMYFUNCTION("""COMPUTED_VALUE"""),"Hunter Goodman")</f>
        <v>Hunter Goodman</v>
      </c>
      <c r="C325" s="16">
        <f>IFERROR(__xludf.DUMMYFUNCTION("""COMPUTED_VALUE"""),0.0)</f>
        <v>0</v>
      </c>
      <c r="D325" s="16" t="str">
        <f>IFERROR(__xludf.DUMMYFUNCTION("""COMPUTED_VALUE"""),"R")</f>
        <v>R</v>
      </c>
      <c r="E325" s="16"/>
      <c r="F325" s="16"/>
      <c r="G325" s="16">
        <f>IFERROR(__xludf.DUMMYFUNCTION("""COMPUTED_VALUE"""),211.0)</f>
        <v>211</v>
      </c>
      <c r="H325" s="16">
        <f>IFERROR(__xludf.DUMMYFUNCTION("""COMPUTED_VALUE"""),8.0)</f>
        <v>8</v>
      </c>
      <c r="I325" s="16" t="str">
        <f>IFERROR(__xludf.DUMMYFUNCTION("""COMPUTED_VALUE"""),"2p40")</f>
        <v>2p40</v>
      </c>
      <c r="J325" s="16">
        <f>IFERROR(__xludf.DUMMYFUNCTION("""COMPUTED_VALUE"""),43.0)</f>
        <v>43</v>
      </c>
      <c r="K325" s="16">
        <f>IFERROR(__xludf.DUMMYFUNCTION("""COMPUTED_VALUE"""),32.0)</f>
        <v>32</v>
      </c>
      <c r="L325" s="16">
        <f>IFERROR(__xludf.DUMMYFUNCTION("""COMPUTED_VALUE"""),-1.0)</f>
        <v>-1</v>
      </c>
      <c r="M325" s="16">
        <f>IFERROR(__xludf.DUMMYFUNCTION("""COMPUTED_VALUE"""),-1.0)</f>
        <v>-1</v>
      </c>
      <c r="N325" s="16">
        <f>IFERROR(__xludf.DUMMYFUNCTION("""COMPUTED_VALUE"""),-1.0)</f>
        <v>-1</v>
      </c>
      <c r="O325" s="16">
        <f>IFERROR(__xludf.DUMMYFUNCTION("""COMPUTED_VALUE"""),-1.0)</f>
        <v>-1</v>
      </c>
      <c r="P325" s="16">
        <f>IFERROR(__xludf.DUMMYFUNCTION("""COMPUTED_VALUE"""),0.0)</f>
        <v>0</v>
      </c>
      <c r="Q325" s="16">
        <f>IFERROR(__xludf.DUMMYFUNCTION("""COMPUTED_VALUE"""),0.0)</f>
        <v>0</v>
      </c>
      <c r="R325" s="16">
        <f>IFERROR(__xludf.DUMMYFUNCTION("""COMPUTED_VALUE"""),-3.0)</f>
        <v>-3</v>
      </c>
      <c r="S325" s="16">
        <f>IFERROR(__xludf.DUMMYFUNCTION("""COMPUTED_VALUE"""),-2.0)</f>
        <v>-2</v>
      </c>
      <c r="T325" s="16">
        <f>IFERROR(__xludf.DUMMYFUNCTION("""COMPUTED_VALUE"""),-3.0)</f>
        <v>-3</v>
      </c>
      <c r="U325" s="16">
        <f>IFERROR(__xludf.DUMMYFUNCTION("""COMPUTED_VALUE"""),-2.0)</f>
        <v>-2</v>
      </c>
      <c r="V325" s="16">
        <f>IFERROR(__xludf.DUMMYFUNCTION("""COMPUTED_VALUE"""),12.1)</f>
        <v>12.1</v>
      </c>
      <c r="W325" s="16">
        <f>IFERROR(__xludf.DUMMYFUNCTION("""COMPUTED_VALUE"""),7.0)</f>
        <v>7</v>
      </c>
      <c r="X325" s="16">
        <f>IFERROR(__xludf.DUMMYFUNCTION("""COMPUTED_VALUE"""),-1.0)</f>
        <v>-1</v>
      </c>
      <c r="Y325" s="16">
        <f>IFERROR(__xludf.DUMMYFUNCTION("""COMPUTED_VALUE"""),-2.0)</f>
        <v>-2</v>
      </c>
      <c r="Z325" s="16">
        <f>IFERROR(__xludf.DUMMYFUNCTION("""COMPUTED_VALUE"""),-2.0)</f>
        <v>-2</v>
      </c>
      <c r="AA325" s="16">
        <f>IFERROR(__xludf.DUMMYFUNCTION("""COMPUTED_VALUE"""),-4.0)</f>
        <v>-4</v>
      </c>
      <c r="AB325" s="16">
        <f>IFERROR(__xludf.DUMMYFUNCTION("""COMPUTED_VALUE"""),15.1)</f>
        <v>15.1</v>
      </c>
      <c r="AC325" s="16">
        <f>IFERROR(__xludf.DUMMYFUNCTION("""COMPUTED_VALUE"""),10.0)</f>
        <v>10</v>
      </c>
      <c r="AD325" s="16">
        <f>IFERROR(__xludf.DUMMYFUNCTION("""COMPUTED_VALUE"""),-2.0)</f>
        <v>-2</v>
      </c>
      <c r="AE325" s="16">
        <f>IFERROR(__xludf.DUMMYFUNCTION("""COMPUTED_VALUE"""),-3.0)</f>
        <v>-3</v>
      </c>
      <c r="AF325" s="16">
        <f>IFERROR(__xludf.DUMMYFUNCTION("""COMPUTED_VALUE"""),-10.0)</f>
        <v>-10</v>
      </c>
      <c r="AG325" s="16">
        <f>IFERROR(__xludf.DUMMYFUNCTION("""COMPUTED_VALUE"""),-15.0)</f>
        <v>-15</v>
      </c>
      <c r="AH325" s="16">
        <f>IFERROR(__xludf.DUMMYFUNCTION("""COMPUTED_VALUE"""),35.3)</f>
        <v>35.3</v>
      </c>
      <c r="AI325" s="16">
        <f>IFERROR(__xludf.DUMMYFUNCTION("""COMPUTED_VALUE"""),21.8)</f>
        <v>21.8</v>
      </c>
      <c r="AJ325" s="16">
        <f>IFERROR(__xludf.DUMMYFUNCTION("""COMPUTED_VALUE"""),0.0)</f>
        <v>0</v>
      </c>
      <c r="AK325" s="16">
        <f>IFERROR(__xludf.DUMMYFUNCTION("""COMPUTED_VALUE"""),-1.0)</f>
        <v>-1</v>
      </c>
      <c r="AL325" s="16">
        <f>IFERROR(__xludf.DUMMYFUNCTION("""COMPUTED_VALUE"""),0.0)</f>
        <v>0</v>
      </c>
      <c r="AM325" s="16">
        <f>IFERROR(__xludf.DUMMYFUNCTION("""COMPUTED_VALUE"""),-5.0)</f>
        <v>-5</v>
      </c>
      <c r="AN325" s="16">
        <f>IFERROR(__xludf.DUMMYFUNCTION("""COMPUTED_VALUE"""),6.0)</f>
        <v>6</v>
      </c>
      <c r="AO325" s="16">
        <f>IFERROR(__xludf.DUMMYFUNCTION("""COMPUTED_VALUE"""),4.2)</f>
        <v>4.2</v>
      </c>
      <c r="AP325" s="16">
        <f>IFERROR(__xludf.DUMMYFUNCTION("""COMPUTED_VALUE"""),3.0)</f>
        <v>3</v>
      </c>
      <c r="AQ325" s="16">
        <f>IFERROR(__xludf.DUMMYFUNCTION("""COMPUTED_VALUE"""),2.0)</f>
        <v>2</v>
      </c>
      <c r="AR325" s="16">
        <f>IFERROR(__xludf.DUMMYFUNCTION("""COMPUTED_VALUE"""),6.0)</f>
        <v>6</v>
      </c>
      <c r="AS325" s="16">
        <f>IFERROR(__xludf.DUMMYFUNCTION("""COMPUTED_VALUE"""),4.0)</f>
        <v>4</v>
      </c>
      <c r="AT325" s="16"/>
      <c r="AU325" s="16"/>
      <c r="AV325" s="16">
        <f>IFERROR(__xludf.DUMMYFUNCTION("""COMPUTED_VALUE"""),8.0)</f>
        <v>8</v>
      </c>
      <c r="AW325" s="16">
        <f>IFERROR(__xludf.DUMMYFUNCTION("""COMPUTED_VALUE"""),7.0)</f>
        <v>7</v>
      </c>
      <c r="AX325" s="16">
        <f>IFERROR(__xludf.DUMMYFUNCTION("""COMPUTED_VALUE"""),3.0)</f>
        <v>3</v>
      </c>
      <c r="AY325" s="16">
        <f>IFERROR(__xludf.DUMMYFUNCTION("""COMPUTED_VALUE"""),3.0)</f>
        <v>3</v>
      </c>
      <c r="AZ325" s="16">
        <f>IFERROR(__xludf.DUMMYFUNCTION("""COMPUTED_VALUE"""),9.0)</f>
        <v>9</v>
      </c>
      <c r="BA325" s="16">
        <f>IFERROR(__xludf.DUMMYFUNCTION("""COMPUTED_VALUE"""),9.0)</f>
        <v>9</v>
      </c>
      <c r="BB325" s="16">
        <f>IFERROR(__xludf.DUMMYFUNCTION("""COMPUTED_VALUE"""),0.0)</f>
        <v>0</v>
      </c>
      <c r="BC325" s="16">
        <f>IFERROR(__xludf.DUMMYFUNCTION("""COMPUTED_VALUE"""),0.0)</f>
        <v>0</v>
      </c>
      <c r="BD325" s="16">
        <f>IFERROR(__xludf.DUMMYFUNCTION("""COMPUTED_VALUE"""),0.0)</f>
        <v>0</v>
      </c>
      <c r="BE325" s="16">
        <f>IFERROR(__xludf.DUMMYFUNCTION("""COMPUTED_VALUE"""),0.0)</f>
        <v>0</v>
      </c>
      <c r="BF325" s="16">
        <f>IFERROR(__xludf.DUMMYFUNCTION("""COMPUTED_VALUE"""),0.0)</f>
        <v>0</v>
      </c>
      <c r="BG325" s="16">
        <f>IFERROR(__xludf.DUMMYFUNCTION("""COMPUTED_VALUE"""),0.0)</f>
        <v>0</v>
      </c>
      <c r="BH325" s="16">
        <f>IFERROR(__xludf.DUMMYFUNCTION("""COMPUTED_VALUE"""),0.0)</f>
        <v>0</v>
      </c>
      <c r="BI325" s="16">
        <f>IFERROR(__xludf.DUMMYFUNCTION("""COMPUTED_VALUE"""),0.0)</f>
        <v>0</v>
      </c>
      <c r="BJ325" s="16">
        <f>IFERROR(__xludf.DUMMYFUNCTION("""COMPUTED_VALUE"""),19.0)</f>
        <v>19</v>
      </c>
      <c r="BK325" s="16">
        <f>IFERROR(__xludf.DUMMYFUNCTION("""COMPUTED_VALUE"""),19.0)</f>
        <v>19</v>
      </c>
      <c r="BL325" s="16">
        <f>IFERROR(__xludf.DUMMYFUNCTION("""COMPUTED_VALUE"""),-1.0)</f>
        <v>-1</v>
      </c>
      <c r="BM325" s="16">
        <f>IFERROR(__xludf.DUMMYFUNCTION("""COMPUTED_VALUE"""),-1.0)</f>
        <v>-1</v>
      </c>
      <c r="BN325" s="16">
        <f>IFERROR(__xludf.DUMMYFUNCTION("""COMPUTED_VALUE"""),-2.0)</f>
        <v>-2</v>
      </c>
      <c r="BO325" s="16">
        <f>IFERROR(__xludf.DUMMYFUNCTION("""COMPUTED_VALUE"""),-2.0)</f>
        <v>-2</v>
      </c>
      <c r="BP325" s="16">
        <f>IFERROR(__xludf.DUMMYFUNCTION("""COMPUTED_VALUE"""),-2.0)</f>
        <v>-2</v>
      </c>
      <c r="BQ325" s="16">
        <f>IFERROR(__xludf.DUMMYFUNCTION("""COMPUTED_VALUE"""),-5.0)</f>
        <v>-5</v>
      </c>
      <c r="BR325" s="16">
        <f>IFERROR(__xludf.DUMMYFUNCTION("""COMPUTED_VALUE"""),-7.0)</f>
        <v>-7</v>
      </c>
      <c r="BS325" s="16" t="str">
        <f>IFERROR(__xludf.DUMMYFUNCTION("""COMPUTED_VALUE"""),"2-5/10 (13-6)")</f>
        <v>2-5/10 (13-6)</v>
      </c>
      <c r="BT325" s="16" t="str">
        <f>IFERROR(__xludf.DUMMYFUNCTION("""COMPUTED_VALUE"""),"E")</f>
        <v>E</v>
      </c>
      <c r="BU325" s="16">
        <f>IFERROR(__xludf.DUMMYFUNCTION("""COMPUTED_VALUE"""),11.0)</f>
        <v>11</v>
      </c>
      <c r="BV325" s="16">
        <f>IFERROR(__xludf.DUMMYFUNCTION("""COMPUTED_VALUE"""),0.0)</f>
        <v>0</v>
      </c>
      <c r="BW325" s="16">
        <f>IFERROR(__xludf.DUMMYFUNCTION("""COMPUTED_VALUE"""),0.0)</f>
        <v>0</v>
      </c>
      <c r="BX325" s="16">
        <f>IFERROR(__xludf.DUMMYFUNCTION("""COMPUTED_VALUE"""),0.0)</f>
        <v>0</v>
      </c>
      <c r="BY325" s="16">
        <f>IFERROR(__xludf.DUMMYFUNCTION("""COMPUTED_VALUE"""),0.0)</f>
        <v>0</v>
      </c>
      <c r="BZ325" s="16" t="str">
        <f>IFERROR(__xludf.DUMMYFUNCTION("""COMPUTED_VALUE"""),"D")</f>
        <v>D</v>
      </c>
      <c r="CA325" s="16" t="str">
        <f>IFERROR(__xludf.DUMMYFUNCTION("""COMPUTED_VALUE"""),"D")</f>
        <v>D</v>
      </c>
      <c r="CB325" s="16">
        <f>IFERROR(__xludf.DUMMYFUNCTION("""COMPUTED_VALUE"""),0.0)</f>
        <v>0</v>
      </c>
      <c r="CC325" s="16">
        <f>IFERROR(__xludf.DUMMYFUNCTION("""COMPUTED_VALUE"""),0.0)</f>
        <v>0</v>
      </c>
      <c r="CD325" s="16">
        <f>IFERROR(__xludf.DUMMYFUNCTION("""COMPUTED_VALUE"""),0.0)</f>
        <v>0</v>
      </c>
      <c r="CE325" s="16">
        <f>IFERROR(__xludf.DUMMYFUNCTION("""COMPUTED_VALUE"""),0.0)</f>
        <v>0</v>
      </c>
      <c r="CF325" s="16">
        <f>IFERROR(__xludf.DUMMYFUNCTION("""COMPUTED_VALUE"""),2.0)</f>
        <v>2</v>
      </c>
      <c r="CG325" s="16">
        <f>IFERROR(__xludf.DUMMYFUNCTION("""COMPUTED_VALUE"""),-3.0)</f>
        <v>-3</v>
      </c>
      <c r="CH325" s="16">
        <f>IFERROR(__xludf.DUMMYFUNCTION("""COMPUTED_VALUE"""),-16.0)</f>
        <v>-16</v>
      </c>
      <c r="CI325" s="179">
        <f>IFERROR(__xludf.DUMMYFUNCTION("""COMPUTED_VALUE"""),-12.0)</f>
        <v>-12</v>
      </c>
      <c r="CJ325" s="16">
        <f>IFERROR(__xludf.DUMMYFUNCTION("""COMPUTED_VALUE"""),304.0)</f>
        <v>304</v>
      </c>
      <c r="CK325" s="16">
        <f>IFERROR(__xludf.DUMMYFUNCTION("""COMPUTED_VALUE"""),414.0)</f>
        <v>414</v>
      </c>
      <c r="CL325" s="16"/>
      <c r="CM325" s="16"/>
      <c r="CN325" s="16"/>
      <c r="CO325" s="16">
        <f>IFERROR(__xludf.DUMMYFUNCTION("""COMPUTED_VALUE"""),414.0)</f>
        <v>414</v>
      </c>
      <c r="CP325" s="16"/>
      <c r="CQ325" s="16">
        <f>IFERROR(__xludf.DUMMYFUNCTION("""COMPUTED_VALUE"""),414.0)</f>
        <v>414</v>
      </c>
      <c r="CR325" s="16" t="str">
        <f>IFERROR(__xludf.DUMMYFUNCTION("""COMPUTED_VALUE"""),"c-3(+2)e4,T-5(pb-6) rf-4(+1)e14 lf-4e14 1b-4e14")</f>
        <v>c-3(+2)e4,T-5(pb-6) rf-4(+1)e14 lf-4e14 1b-4e14</v>
      </c>
      <c r="CS325" s="16">
        <f>IFERROR(__xludf.DUMMYFUNCTION("""COMPUTED_VALUE"""),3.0)</f>
        <v>3</v>
      </c>
      <c r="CT325" s="16">
        <f>IFERROR(__xludf.DUMMYFUNCTION("""COMPUTED_VALUE"""),4.0)</f>
        <v>4</v>
      </c>
      <c r="CU325" s="16"/>
      <c r="CV325" s="16"/>
      <c r="CW325" s="16"/>
      <c r="CX325" s="16">
        <f>IFERROR(__xludf.DUMMYFUNCTION("""COMPUTED_VALUE"""),4.0)</f>
        <v>4</v>
      </c>
      <c r="CY325" s="16"/>
      <c r="CZ325" s="16">
        <f>IFERROR(__xludf.DUMMYFUNCTION("""COMPUTED_VALUE"""),4.0)</f>
        <v>4</v>
      </c>
      <c r="DA325" s="16">
        <f>IFERROR(__xludf.DUMMYFUNCTION("""COMPUTED_VALUE"""),4.0)</f>
        <v>4</v>
      </c>
      <c r="DB325" s="16">
        <f>IFERROR(__xludf.DUMMYFUNCTION("""COMPUTED_VALUE"""),14.0)</f>
        <v>14</v>
      </c>
      <c r="DC325" s="16"/>
      <c r="DD325" s="16"/>
      <c r="DE325" s="16"/>
      <c r="DF325" s="16">
        <f>IFERROR(__xludf.DUMMYFUNCTION("""COMPUTED_VALUE"""),14.0)</f>
        <v>14</v>
      </c>
      <c r="DG325" s="16"/>
      <c r="DH325" s="16">
        <f>IFERROR(__xludf.DUMMYFUNCTION("""COMPUTED_VALUE"""),14.0)</f>
        <v>14</v>
      </c>
      <c r="DI325" s="16">
        <f>IFERROR(__xludf.DUMMYFUNCTION("""COMPUTED_VALUE"""),0.0)</f>
        <v>0</v>
      </c>
      <c r="DJ325" s="16">
        <f>IFERROR(__xludf.DUMMYFUNCTION("""COMPUTED_VALUE"""),0.0)</f>
        <v>0</v>
      </c>
      <c r="DK325" s="16"/>
      <c r="DL325" s="16"/>
      <c r="DM325" s="16"/>
      <c r="DN325" s="16">
        <f>IFERROR(__xludf.DUMMYFUNCTION("""COMPUTED_VALUE"""),-1.0)</f>
        <v>-1</v>
      </c>
      <c r="DO325" s="16"/>
      <c r="DP325" s="16">
        <f>IFERROR(__xludf.DUMMYFUNCTION("""COMPUTED_VALUE"""),-1.0)</f>
        <v>-1</v>
      </c>
      <c r="DQ325" s="16">
        <f>IFERROR(__xludf.DUMMYFUNCTION("""COMPUTED_VALUE"""),3.0)</f>
        <v>3</v>
      </c>
      <c r="DR325" s="16">
        <f>IFERROR(__xludf.DUMMYFUNCTION("""COMPUTED_VALUE"""),1.0)</f>
        <v>1</v>
      </c>
      <c r="DS325" s="16"/>
      <c r="DT325" s="16"/>
      <c r="DU325" s="16"/>
      <c r="DV325" s="16">
        <f>IFERROR(__xludf.DUMMYFUNCTION("""COMPUTED_VALUE"""),-2.0)</f>
        <v>-2</v>
      </c>
      <c r="DW325" s="16"/>
      <c r="DX325" s="16">
        <f>IFERROR(__xludf.DUMMYFUNCTION("""COMPUTED_VALUE"""),-2.0)</f>
        <v>-2</v>
      </c>
      <c r="DY325" s="16">
        <f>IFERROR(__xludf.DUMMYFUNCTION("""COMPUTED_VALUE"""),3.0)</f>
        <v>3</v>
      </c>
      <c r="DZ325" s="16">
        <f>IFERROR(__xludf.DUMMYFUNCTION("""COMPUTED_VALUE"""),1.0)</f>
        <v>1</v>
      </c>
      <c r="EA325" s="16"/>
      <c r="EB325" s="16"/>
      <c r="EC325" s="16"/>
      <c r="ED325" s="16">
        <f>IFERROR(__xludf.DUMMYFUNCTION("""COMPUTED_VALUE"""),-3.0)</f>
        <v>-3</v>
      </c>
      <c r="EE325" s="16"/>
      <c r="EF325" s="16">
        <f>IFERROR(__xludf.DUMMYFUNCTION("""COMPUTED_VALUE"""),-3.0)</f>
        <v>-3</v>
      </c>
      <c r="EG325" s="179">
        <f>IFERROR(__xludf.DUMMYFUNCTION("""COMPUTED_VALUE"""),-7.0)</f>
        <v>-7</v>
      </c>
      <c r="EH325" s="179">
        <f>IFERROR(__xludf.DUMMYFUNCTION("""COMPUTED_VALUE"""),-11.0)</f>
        <v>-11</v>
      </c>
      <c r="EI325" s="179"/>
      <c r="EJ325" s="179"/>
      <c r="EK325" s="179"/>
      <c r="EL325" s="179">
        <f>IFERROR(__xludf.DUMMYFUNCTION("""COMPUTED_VALUE"""),-15.0)</f>
        <v>-15</v>
      </c>
      <c r="EM325" s="179"/>
      <c r="EN325" s="179">
        <f>IFERROR(__xludf.DUMMYFUNCTION("""COMPUTED_VALUE"""),-15.0)</f>
        <v>-15</v>
      </c>
      <c r="EO325" s="16">
        <f>IFERROR(__xludf.DUMMYFUNCTION("""COMPUTED_VALUE"""),2.0)</f>
        <v>2</v>
      </c>
      <c r="EP325" s="16">
        <f>IFERROR(__xludf.DUMMYFUNCTION("""COMPUTED_VALUE"""),0.0)</f>
        <v>0</v>
      </c>
      <c r="EQ325" s="16">
        <f>IFERROR(__xludf.DUMMYFUNCTION("""COMPUTED_VALUE"""),2.0)</f>
        <v>2</v>
      </c>
      <c r="ER325" s="16">
        <f>IFERROR(__xludf.DUMMYFUNCTION("""COMPUTED_VALUE"""),-1.0)</f>
        <v>-1</v>
      </c>
      <c r="ES325" s="16" t="str">
        <f>IFERROR(__xludf.DUMMYFUNCTION("""COMPUTED_VALUE"""),"c-3")</f>
        <v>c-3</v>
      </c>
      <c r="ET325" s="16" t="str">
        <f>IFERROR(__xludf.DUMMYFUNCTION("""COMPUTED_VALUE"""),"+2)e4,T-5")</f>
        <v>+2)e4,T-5</v>
      </c>
      <c r="EU325" s="16" t="str">
        <f>IFERROR(__xludf.DUMMYFUNCTION("""COMPUTED_VALUE"""),"pb-6) rf-4")</f>
        <v>pb-6) rf-4</v>
      </c>
      <c r="EV325" s="16" t="str">
        <f>IFERROR(__xludf.DUMMYFUNCTION("""COMPUTED_VALUE"""),"+1)e14 lf-4e14 1b-4e14")</f>
        <v>+1)e14 lf-4e14 1b-4e14</v>
      </c>
      <c r="EW325" s="16">
        <f>IFERROR(__xludf.DUMMYFUNCTION("""COMPUTED_VALUE"""),2.0)</f>
        <v>2</v>
      </c>
      <c r="EX325" s="180">
        <f>IFERROR(__xludf.DUMMYFUNCTION("""COMPUTED_VALUE"""),0.2)</f>
        <v>0.2</v>
      </c>
      <c r="EY325" s="180">
        <f>IFERROR(__xludf.DUMMYFUNCTION("""COMPUTED_VALUE"""),0.3)</f>
        <v>0.3</v>
      </c>
      <c r="EZ325" s="180"/>
      <c r="FA325" s="180"/>
      <c r="FB325" s="180"/>
      <c r="FC325" s="180">
        <f>IFERROR(__xludf.DUMMYFUNCTION("""COMPUTED_VALUE"""),0.55)</f>
        <v>0.55</v>
      </c>
      <c r="FD325" s="180"/>
      <c r="FE325" s="180">
        <f>IFERROR(__xludf.DUMMYFUNCTION("""COMPUTED_VALUE"""),0.55)</f>
        <v>0.55</v>
      </c>
      <c r="FF325" s="180">
        <f>IFERROR(__xludf.DUMMYFUNCTION("""COMPUTED_VALUE"""),0.047)</f>
        <v>0.047</v>
      </c>
      <c r="FG325" s="180">
        <f>IFERROR(__xludf.DUMMYFUNCTION("""COMPUTED_VALUE"""),0.25)</f>
        <v>0.25</v>
      </c>
      <c r="FH325" s="180"/>
      <c r="FI325" s="180"/>
      <c r="FJ325" s="180"/>
      <c r="FK325" s="180">
        <f>IFERROR(__xludf.DUMMYFUNCTION("""COMPUTED_VALUE"""),0.25)</f>
        <v>0.25</v>
      </c>
      <c r="FL325" s="180"/>
      <c r="FM325" s="180">
        <f>IFERROR(__xludf.DUMMYFUNCTION("""COMPUTED_VALUE"""),0.25)</f>
        <v>0.25</v>
      </c>
      <c r="FN325" s="16">
        <f>IFERROR(__xludf.DUMMYFUNCTION("""COMPUTED_VALUE"""),0.7624)</f>
        <v>0.7624</v>
      </c>
      <c r="FO325" s="16">
        <f>IFERROR(__xludf.DUMMYFUNCTION("""COMPUTED_VALUE"""),0.5249999999999999)</f>
        <v>0.525</v>
      </c>
      <c r="FP325" s="16"/>
      <c r="FQ325" s="16"/>
      <c r="FR325" s="16"/>
      <c r="FS325" s="16">
        <f>IFERROR(__xludf.DUMMYFUNCTION("""COMPUTED_VALUE"""),0.33749999999999997)</f>
        <v>0.3375</v>
      </c>
      <c r="FT325" s="16"/>
      <c r="FU325" s="16">
        <f>IFERROR(__xludf.DUMMYFUNCTION("""COMPUTED_VALUE"""),0.33749999999999997)</f>
        <v>0.3375</v>
      </c>
      <c r="FV325" s="16">
        <f>IFERROR(__xludf.DUMMYFUNCTION("""COMPUTED_VALUE"""),-3.0)</f>
        <v>-3</v>
      </c>
      <c r="FW325" s="16">
        <f>IFERROR(__xludf.DUMMYFUNCTION("""COMPUTED_VALUE"""),-8.0)</f>
        <v>-8</v>
      </c>
      <c r="FX325" s="16"/>
      <c r="FY325" s="16"/>
      <c r="FZ325" s="16"/>
      <c r="GA325" s="16">
        <f>IFERROR(__xludf.DUMMYFUNCTION("""COMPUTED_VALUE"""),-8.0)</f>
        <v>-8</v>
      </c>
      <c r="GB325" s="16"/>
      <c r="GC325" s="16">
        <f>IFERROR(__xludf.DUMMYFUNCTION("""COMPUTED_VALUE"""),-8.0)</f>
        <v>-8</v>
      </c>
      <c r="GD325" s="16" t="s">
        <v>306</v>
      </c>
    </row>
    <row r="326">
      <c r="A326" s="16">
        <f>IFERROR(__xludf.DUMMYFUNCTION("""COMPUTED_VALUE"""),12561.0)</f>
        <v>12561</v>
      </c>
      <c r="B326" s="16" t="str">
        <f>IFERROR(__xludf.DUMMYFUNCTION("""COMPUTED_VALUE"""),"Austin Barnes")</f>
        <v>Austin Barnes</v>
      </c>
      <c r="C326" s="16">
        <f>IFERROR(__xludf.DUMMYFUNCTION("""COMPUTED_VALUE"""),0.78)</f>
        <v>0.78</v>
      </c>
      <c r="D326" s="16" t="str">
        <f>IFERROR(__xludf.DUMMYFUNCTION("""COMPUTED_VALUE"""),"R")</f>
        <v>R</v>
      </c>
      <c r="E326" s="16"/>
      <c r="F326" s="16"/>
      <c r="G326" s="16">
        <f>IFERROR(__xludf.DUMMYFUNCTION("""COMPUTED_VALUE"""),140.0)</f>
        <v>140</v>
      </c>
      <c r="H326" s="16">
        <f>IFERROR(__xludf.DUMMYFUNCTION("""COMPUTED_VALUE"""),14.0)</f>
        <v>14</v>
      </c>
      <c r="I326" s="16" t="str">
        <f>IFERROR(__xludf.DUMMYFUNCTION("""COMPUTED_VALUE"""),"3p30")</f>
        <v>3p30</v>
      </c>
      <c r="J326" s="16">
        <f>IFERROR(__xludf.DUMMYFUNCTION("""COMPUTED_VALUE"""),7.0)</f>
        <v>7</v>
      </c>
      <c r="K326" s="16">
        <f>IFERROR(__xludf.DUMMYFUNCTION("""COMPUTED_VALUE"""),32.0)</f>
        <v>32</v>
      </c>
      <c r="L326" s="16">
        <f>IFERROR(__xludf.DUMMYFUNCTION("""COMPUTED_VALUE"""),2.0)</f>
        <v>2</v>
      </c>
      <c r="M326" s="16">
        <f>IFERROR(__xludf.DUMMYFUNCTION("""COMPUTED_VALUE"""),-1.0)</f>
        <v>-1</v>
      </c>
      <c r="N326" s="16">
        <f>IFERROR(__xludf.DUMMYFUNCTION("""COMPUTED_VALUE"""),2.0)</f>
        <v>2</v>
      </c>
      <c r="O326" s="16">
        <f>IFERROR(__xludf.DUMMYFUNCTION("""COMPUTED_VALUE"""),-1.0)</f>
        <v>-1</v>
      </c>
      <c r="P326" s="16">
        <f>IFERROR(__xludf.DUMMYFUNCTION("""COMPUTED_VALUE"""),12.0)</f>
        <v>12</v>
      </c>
      <c r="Q326" s="16">
        <f>IFERROR(__xludf.DUMMYFUNCTION("""COMPUTED_VALUE"""),12.0)</f>
        <v>12</v>
      </c>
      <c r="R326" s="16">
        <f>IFERROR(__xludf.DUMMYFUNCTION("""COMPUTED_VALUE"""),1.0)</f>
        <v>1</v>
      </c>
      <c r="S326" s="16">
        <f>IFERROR(__xludf.DUMMYFUNCTION("""COMPUTED_VALUE"""),1.0)</f>
        <v>1</v>
      </c>
      <c r="T326" s="16">
        <f>IFERROR(__xludf.DUMMYFUNCTION("""COMPUTED_VALUE"""),1.0)</f>
        <v>1</v>
      </c>
      <c r="U326" s="16">
        <f>IFERROR(__xludf.DUMMYFUNCTION("""COMPUTED_VALUE"""),1.0)</f>
        <v>1</v>
      </c>
      <c r="V326" s="16">
        <f>IFERROR(__xludf.DUMMYFUNCTION("""COMPUTED_VALUE"""),36.5)</f>
        <v>36.5</v>
      </c>
      <c r="W326" s="16">
        <f>IFERROR(__xludf.DUMMYFUNCTION("""COMPUTED_VALUE"""),20.8)</f>
        <v>20.8</v>
      </c>
      <c r="X326" s="16">
        <f>IFERROR(__xludf.DUMMYFUNCTION("""COMPUTED_VALUE"""),2.0)</f>
        <v>2</v>
      </c>
      <c r="Y326" s="16">
        <f>IFERROR(__xludf.DUMMYFUNCTION("""COMPUTED_VALUE"""),0.0)</f>
        <v>0</v>
      </c>
      <c r="Z326" s="16">
        <f>IFERROR(__xludf.DUMMYFUNCTION("""COMPUTED_VALUE"""),4.0)</f>
        <v>4</v>
      </c>
      <c r="AA326" s="16">
        <f>IFERROR(__xludf.DUMMYFUNCTION("""COMPUTED_VALUE"""),0.0)</f>
        <v>0</v>
      </c>
      <c r="AB326" s="16">
        <f>IFERROR(__xludf.DUMMYFUNCTION("""COMPUTED_VALUE"""),48.5)</f>
        <v>48.5</v>
      </c>
      <c r="AC326" s="16">
        <f>IFERROR(__xludf.DUMMYFUNCTION("""COMPUTED_VALUE"""),32.8)</f>
        <v>32.8</v>
      </c>
      <c r="AD326" s="16">
        <f>IFERROR(__xludf.DUMMYFUNCTION("""COMPUTED_VALUE"""),2.0)</f>
        <v>2</v>
      </c>
      <c r="AE326" s="16">
        <f>IFERROR(__xludf.DUMMYFUNCTION("""COMPUTED_VALUE"""),0.0)</f>
        <v>0</v>
      </c>
      <c r="AF326" s="16">
        <f>IFERROR(__xludf.DUMMYFUNCTION("""COMPUTED_VALUE"""),10.0)</f>
        <v>10</v>
      </c>
      <c r="AG326" s="16">
        <f>IFERROR(__xludf.DUMMYFUNCTION("""COMPUTED_VALUE"""),0.0)</f>
        <v>0</v>
      </c>
      <c r="AH326" s="16">
        <f>IFERROR(__xludf.DUMMYFUNCTION("""COMPUTED_VALUE"""),41.2)</f>
        <v>41.2</v>
      </c>
      <c r="AI326" s="16">
        <f>IFERROR(__xludf.DUMMYFUNCTION("""COMPUTED_VALUE"""),26.8)</f>
        <v>26.8</v>
      </c>
      <c r="AJ326" s="16">
        <f>IFERROR(__xludf.DUMMYFUNCTION("""COMPUTED_VALUE"""),1.0)</f>
        <v>1</v>
      </c>
      <c r="AK326" s="16">
        <f>IFERROR(__xludf.DUMMYFUNCTION("""COMPUTED_VALUE"""),-1.0)</f>
        <v>-1</v>
      </c>
      <c r="AL326" s="16">
        <f>IFERROR(__xludf.DUMMYFUNCTION("""COMPUTED_VALUE"""),5.0)</f>
        <v>5</v>
      </c>
      <c r="AM326" s="16">
        <f>IFERROR(__xludf.DUMMYFUNCTION("""COMPUTED_VALUE"""),-5.0)</f>
        <v>-5</v>
      </c>
      <c r="AN326" s="16">
        <f>IFERROR(__xludf.DUMMYFUNCTION("""COMPUTED_VALUE"""),0.0)</f>
        <v>0</v>
      </c>
      <c r="AO326" s="16">
        <f>IFERROR(__xludf.DUMMYFUNCTION("""COMPUTED_VALUE"""),2.0)</f>
        <v>2</v>
      </c>
      <c r="AP326" s="16">
        <f>IFERROR(__xludf.DUMMYFUNCTION("""COMPUTED_VALUE"""),-2.0)</f>
        <v>-2</v>
      </c>
      <c r="AQ326" s="16">
        <f>IFERROR(__xludf.DUMMYFUNCTION("""COMPUTED_VALUE"""),-1.0)</f>
        <v>-1</v>
      </c>
      <c r="AR326" s="16">
        <f>IFERROR(__xludf.DUMMYFUNCTION("""COMPUTED_VALUE"""),-4.0)</f>
        <v>-4</v>
      </c>
      <c r="AS326" s="16">
        <f>IFERROR(__xludf.DUMMYFUNCTION("""COMPUTED_VALUE"""),-2.0)</f>
        <v>-2</v>
      </c>
      <c r="AT326" s="16"/>
      <c r="AU326" s="16"/>
      <c r="AV326" s="16">
        <f>IFERROR(__xludf.DUMMYFUNCTION("""COMPUTED_VALUE"""),-3.0)</f>
        <v>-3</v>
      </c>
      <c r="AW326" s="16">
        <f>IFERROR(__xludf.DUMMYFUNCTION("""COMPUTED_VALUE"""),-3.0)</f>
        <v>-3</v>
      </c>
      <c r="AX326" s="16">
        <f>IFERROR(__xludf.DUMMYFUNCTION("""COMPUTED_VALUE"""),-3.0)</f>
        <v>-3</v>
      </c>
      <c r="AY326" s="16">
        <f>IFERROR(__xludf.DUMMYFUNCTION("""COMPUTED_VALUE"""),-3.0)</f>
        <v>-3</v>
      </c>
      <c r="AZ326" s="16">
        <f>IFERROR(__xludf.DUMMYFUNCTION("""COMPUTED_VALUE"""),-9.0)</f>
        <v>-9</v>
      </c>
      <c r="BA326" s="16">
        <f>IFERROR(__xludf.DUMMYFUNCTION("""COMPUTED_VALUE"""),-9.0)</f>
        <v>-9</v>
      </c>
      <c r="BB326" s="16">
        <f>IFERROR(__xludf.DUMMYFUNCTION("""COMPUTED_VALUE"""),5.0)</f>
        <v>5</v>
      </c>
      <c r="BC326" s="16">
        <f>IFERROR(__xludf.DUMMYFUNCTION("""COMPUTED_VALUE"""),5.0)</f>
        <v>5</v>
      </c>
      <c r="BD326" s="16">
        <f>IFERROR(__xludf.DUMMYFUNCTION("""COMPUTED_VALUE"""),1.0)</f>
        <v>1</v>
      </c>
      <c r="BE326" s="16">
        <f>IFERROR(__xludf.DUMMYFUNCTION("""COMPUTED_VALUE"""),1.0)</f>
        <v>1</v>
      </c>
      <c r="BF326" s="16">
        <f>IFERROR(__xludf.DUMMYFUNCTION("""COMPUTED_VALUE"""),1.0)</f>
        <v>1</v>
      </c>
      <c r="BG326" s="16">
        <f>IFERROR(__xludf.DUMMYFUNCTION("""COMPUTED_VALUE"""),1.0)</f>
        <v>1</v>
      </c>
      <c r="BH326" s="16">
        <f>IFERROR(__xludf.DUMMYFUNCTION("""COMPUTED_VALUE"""),-2.0)</f>
        <v>-2</v>
      </c>
      <c r="BI326" s="16">
        <f>IFERROR(__xludf.DUMMYFUNCTION("""COMPUTED_VALUE"""),-2.0)</f>
        <v>-2</v>
      </c>
      <c r="BJ326" s="16">
        <f>IFERROR(__xludf.DUMMYFUNCTION("""COMPUTED_VALUE"""),15.0)</f>
        <v>15</v>
      </c>
      <c r="BK326" s="16">
        <f>IFERROR(__xludf.DUMMYFUNCTION("""COMPUTED_VALUE"""),15.0)</f>
        <v>15</v>
      </c>
      <c r="BL326" s="16">
        <f>IFERROR(__xludf.DUMMYFUNCTION("""COMPUTED_VALUE"""),-1.0)</f>
        <v>-1</v>
      </c>
      <c r="BM326" s="16">
        <f>IFERROR(__xludf.DUMMYFUNCTION("""COMPUTED_VALUE"""),-1.0)</f>
        <v>-1</v>
      </c>
      <c r="BN326" s="16">
        <f>IFERROR(__xludf.DUMMYFUNCTION("""COMPUTED_VALUE"""),-2.0)</f>
        <v>-2</v>
      </c>
      <c r="BO326" s="16">
        <f>IFERROR(__xludf.DUMMYFUNCTION("""COMPUTED_VALUE"""),-2.0)</f>
        <v>-2</v>
      </c>
      <c r="BP326" s="16">
        <f>IFERROR(__xludf.DUMMYFUNCTION("""COMPUTED_VALUE"""),3.0)</f>
        <v>3</v>
      </c>
      <c r="BQ326" s="16">
        <f>IFERROR(__xludf.DUMMYFUNCTION("""COMPUTED_VALUE"""),-5.0)</f>
        <v>-5</v>
      </c>
      <c r="BR326" s="16">
        <f>IFERROR(__xludf.DUMMYFUNCTION("""COMPUTED_VALUE"""),-2.0)</f>
        <v>-2</v>
      </c>
      <c r="BS326" s="16" t="str">
        <f>IFERROR(__xludf.DUMMYFUNCTION("""COMPUTED_VALUE"""),"3/- (20-6)")</f>
        <v>3/- (20-6)</v>
      </c>
      <c r="BT326" s="16" t="str">
        <f>IFERROR(__xludf.DUMMYFUNCTION("""COMPUTED_VALUE"""),"C")</f>
        <v>C</v>
      </c>
      <c r="BU326" s="16">
        <f>IFERROR(__xludf.DUMMYFUNCTION("""COMPUTED_VALUE"""),11.0)</f>
        <v>11</v>
      </c>
      <c r="BV326" s="16">
        <f>IFERROR(__xludf.DUMMYFUNCTION("""COMPUTED_VALUE"""),0.0)</f>
        <v>0</v>
      </c>
      <c r="BW326" s="16">
        <f>IFERROR(__xludf.DUMMYFUNCTION("""COMPUTED_VALUE"""),0.0)</f>
        <v>0</v>
      </c>
      <c r="BX326" s="16">
        <f>IFERROR(__xludf.DUMMYFUNCTION("""COMPUTED_VALUE"""),0.0)</f>
        <v>0</v>
      </c>
      <c r="BY326" s="16">
        <f>IFERROR(__xludf.DUMMYFUNCTION("""COMPUTED_VALUE"""),0.0)</f>
        <v>0</v>
      </c>
      <c r="BZ326" s="16" t="str">
        <f>IFERROR(__xludf.DUMMYFUNCTION("""COMPUTED_VALUE"""),"C")</f>
        <v>C</v>
      </c>
      <c r="CA326" s="16" t="str">
        <f>IFERROR(__xludf.DUMMYFUNCTION("""COMPUTED_VALUE"""),"C")</f>
        <v>C</v>
      </c>
      <c r="CB326" s="16">
        <f>IFERROR(__xludf.DUMMYFUNCTION("""COMPUTED_VALUE"""),0.0)</f>
        <v>0</v>
      </c>
      <c r="CC326" s="16">
        <f>IFERROR(__xludf.DUMMYFUNCTION("""COMPUTED_VALUE"""),0.0)</f>
        <v>0</v>
      </c>
      <c r="CD326" s="16">
        <f>IFERROR(__xludf.DUMMYFUNCTION("""COMPUTED_VALUE"""),0.0)</f>
        <v>0</v>
      </c>
      <c r="CE326" s="16">
        <f>IFERROR(__xludf.DUMMYFUNCTION("""COMPUTED_VALUE"""),0.0)</f>
        <v>0</v>
      </c>
      <c r="CF326" s="16">
        <f>IFERROR(__xludf.DUMMYFUNCTION("""COMPUTED_VALUE"""),3.0)</f>
        <v>3</v>
      </c>
      <c r="CG326" s="16">
        <f>IFERROR(__xludf.DUMMYFUNCTION("""COMPUTED_VALUE"""),8.0)</f>
        <v>8</v>
      </c>
      <c r="CH326" s="16">
        <f>IFERROR(__xludf.DUMMYFUNCTION("""COMPUTED_VALUE"""),-17.0)</f>
        <v>-17</v>
      </c>
      <c r="CI326" s="179">
        <f>IFERROR(__xludf.DUMMYFUNCTION("""COMPUTED_VALUE"""),-12.0)</f>
        <v>-12</v>
      </c>
      <c r="CJ326" s="16">
        <f>IFERROR(__xludf.DUMMYFUNCTION("""COMPUTED_VALUE"""),312.0)</f>
        <v>312</v>
      </c>
      <c r="CK326" s="16"/>
      <c r="CL326" s="16">
        <f>IFERROR(__xludf.DUMMYFUNCTION("""COMPUTED_VALUE"""),441.0)</f>
        <v>441</v>
      </c>
      <c r="CM326" s="16"/>
      <c r="CN326" s="16"/>
      <c r="CO326" s="16"/>
      <c r="CP326" s="16"/>
      <c r="CQ326" s="16"/>
      <c r="CR326" s="16" t="str">
        <f>IFERROR(__xludf.DUMMYFUNCTION("""COMPUTED_VALUE"""),"c-3(+3)e12,T-5(pb-0) 2b-4e41")</f>
        <v>c-3(+3)e12,T-5(pb-0) 2b-4e41</v>
      </c>
      <c r="CS326" s="16">
        <f>IFERROR(__xludf.DUMMYFUNCTION("""COMPUTED_VALUE"""),3.0)</f>
        <v>3</v>
      </c>
      <c r="CT326" s="16"/>
      <c r="CU326" s="16">
        <f>IFERROR(__xludf.DUMMYFUNCTION("""COMPUTED_VALUE"""),4.0)</f>
        <v>4</v>
      </c>
      <c r="CV326" s="16"/>
      <c r="CW326" s="16"/>
      <c r="CX326" s="16"/>
      <c r="CY326" s="16"/>
      <c r="CZ326" s="16"/>
      <c r="DA326" s="16">
        <f>IFERROR(__xludf.DUMMYFUNCTION("""COMPUTED_VALUE"""),12.0)</f>
        <v>12</v>
      </c>
      <c r="DB326" s="16"/>
      <c r="DC326" s="16">
        <f>IFERROR(__xludf.DUMMYFUNCTION("""COMPUTED_VALUE"""),41.0)</f>
        <v>41</v>
      </c>
      <c r="DD326" s="16"/>
      <c r="DE326" s="16"/>
      <c r="DF326" s="16"/>
      <c r="DG326" s="16"/>
      <c r="DH326" s="16"/>
      <c r="DI326" s="16">
        <f>IFERROR(__xludf.DUMMYFUNCTION("""COMPUTED_VALUE"""),0.0)</f>
        <v>0</v>
      </c>
      <c r="DJ326" s="16"/>
      <c r="DK326" s="16">
        <f>IFERROR(__xludf.DUMMYFUNCTION("""COMPUTED_VALUE"""),-2.0)</f>
        <v>-2</v>
      </c>
      <c r="DL326" s="16"/>
      <c r="DM326" s="16"/>
      <c r="DN326" s="16"/>
      <c r="DO326" s="16"/>
      <c r="DP326" s="16"/>
      <c r="DQ326" s="16">
        <f>IFERROR(__xludf.DUMMYFUNCTION("""COMPUTED_VALUE"""),-2.0)</f>
        <v>-2</v>
      </c>
      <c r="DR326" s="16"/>
      <c r="DS326" s="16">
        <f>IFERROR(__xludf.DUMMYFUNCTION("""COMPUTED_VALUE"""),-2.0)</f>
        <v>-2</v>
      </c>
      <c r="DT326" s="16"/>
      <c r="DU326" s="16"/>
      <c r="DV326" s="16"/>
      <c r="DW326" s="16"/>
      <c r="DX326" s="16"/>
      <c r="DY326" s="16">
        <f>IFERROR(__xludf.DUMMYFUNCTION("""COMPUTED_VALUE"""),-2.0)</f>
        <v>-2</v>
      </c>
      <c r="DZ326" s="16"/>
      <c r="EA326" s="16">
        <f>IFERROR(__xludf.DUMMYFUNCTION("""COMPUTED_VALUE"""),-4.0)</f>
        <v>-4</v>
      </c>
      <c r="EB326" s="16"/>
      <c r="EC326" s="16"/>
      <c r="ED326" s="16"/>
      <c r="EE326" s="16"/>
      <c r="EF326" s="16"/>
      <c r="EG326" s="179">
        <f>IFERROR(__xludf.DUMMYFUNCTION("""COMPUTED_VALUE"""),-11.0)</f>
        <v>-11</v>
      </c>
      <c r="EH326" s="179"/>
      <c r="EI326" s="179">
        <f>IFERROR(__xludf.DUMMYFUNCTION("""COMPUTED_VALUE"""),-16.0)</f>
        <v>-16</v>
      </c>
      <c r="EJ326" s="179"/>
      <c r="EK326" s="179"/>
      <c r="EL326" s="179"/>
      <c r="EM326" s="179"/>
      <c r="EN326" s="179"/>
      <c r="EO326" s="16">
        <f>IFERROR(__xludf.DUMMYFUNCTION("""COMPUTED_VALUE"""),3.0)</f>
        <v>3</v>
      </c>
      <c r="EP326" s="16">
        <f>IFERROR(__xludf.DUMMYFUNCTION("""COMPUTED_VALUE"""),0.0)</f>
        <v>0</v>
      </c>
      <c r="EQ326" s="16">
        <f>IFERROR(__xludf.DUMMYFUNCTION("""COMPUTED_VALUE"""),1.0)</f>
        <v>1</v>
      </c>
      <c r="ER326" s="16">
        <f>IFERROR(__xludf.DUMMYFUNCTION("""COMPUTED_VALUE"""),-2.0)</f>
        <v>-2</v>
      </c>
      <c r="ES326" s="16" t="str">
        <f>IFERROR(__xludf.DUMMYFUNCTION("""COMPUTED_VALUE"""),"c-3")</f>
        <v>c-3</v>
      </c>
      <c r="ET326" s="16" t="str">
        <f>IFERROR(__xludf.DUMMYFUNCTION("""COMPUTED_VALUE"""),"+3)e12,T-5")</f>
        <v>+3)e12,T-5</v>
      </c>
      <c r="EU326" s="16" t="str">
        <f>IFERROR(__xludf.DUMMYFUNCTION("""COMPUTED_VALUE"""),"pb-0) 2b-4e41")</f>
        <v>pb-0) 2b-4e41</v>
      </c>
      <c r="EV326" s="16"/>
      <c r="EW326" s="16">
        <f>IFERROR(__xludf.DUMMYFUNCTION("""COMPUTED_VALUE"""),3.0)</f>
        <v>3</v>
      </c>
      <c r="EX326" s="180">
        <f>IFERROR(__xludf.DUMMYFUNCTION("""COMPUTED_VALUE"""),0.2)</f>
        <v>0.2</v>
      </c>
      <c r="EY326" s="180"/>
      <c r="EZ326" s="180">
        <f>IFERROR(__xludf.DUMMYFUNCTION("""COMPUTED_VALUE"""),0.3)</f>
        <v>0.3</v>
      </c>
      <c r="FA326" s="180"/>
      <c r="FB326" s="180"/>
      <c r="FC326" s="180"/>
      <c r="FD326" s="180"/>
      <c r="FE326" s="180"/>
      <c r="FF326" s="180">
        <f>IFERROR(__xludf.DUMMYFUNCTION("""COMPUTED_VALUE"""),0.144)</f>
        <v>0.144</v>
      </c>
      <c r="FG326" s="180"/>
      <c r="FH326" s="180">
        <f>IFERROR(__xludf.DUMMYFUNCTION("""COMPUTED_VALUE"""),0.24537037037037038)</f>
        <v>0.2453703704</v>
      </c>
      <c r="FI326" s="180"/>
      <c r="FJ326" s="180"/>
      <c r="FK326" s="180"/>
      <c r="FL326" s="180"/>
      <c r="FM326" s="180"/>
      <c r="FN326" s="16">
        <f>IFERROR(__xludf.DUMMYFUNCTION("""COMPUTED_VALUE"""),0.6848000000000001)</f>
        <v>0.6848</v>
      </c>
      <c r="FO326" s="16"/>
      <c r="FP326" s="16">
        <f>IFERROR(__xludf.DUMMYFUNCTION("""COMPUTED_VALUE"""),0.5282407407407407)</f>
        <v>0.5282407407</v>
      </c>
      <c r="FQ326" s="16"/>
      <c r="FR326" s="16"/>
      <c r="FS326" s="16"/>
      <c r="FT326" s="16"/>
      <c r="FU326" s="16"/>
      <c r="FV326" s="16">
        <f>IFERROR(__xludf.DUMMYFUNCTION("""COMPUTED_VALUE"""),-7.0)</f>
        <v>-7</v>
      </c>
      <c r="FW326" s="16"/>
      <c r="FX326" s="16">
        <f>IFERROR(__xludf.DUMMYFUNCTION("""COMPUTED_VALUE"""),-8.0)</f>
        <v>-8</v>
      </c>
      <c r="FY326" s="16"/>
      <c r="FZ326" s="16"/>
      <c r="GA326" s="16"/>
      <c r="GB326" s="16"/>
      <c r="GC326" s="16"/>
      <c r="GD326" s="16" t="s">
        <v>415</v>
      </c>
    </row>
    <row r="327">
      <c r="A327" s="16">
        <f>IFERROR(__xludf.DUMMYFUNCTION("""COMPUTED_VALUE"""),12723.0)</f>
        <v>12723</v>
      </c>
      <c r="B327" s="16" t="str">
        <f>IFERROR(__xludf.DUMMYFUNCTION("""COMPUTED_VALUE"""),"Dane Myers")</f>
        <v>Dane Myers</v>
      </c>
      <c r="C327" s="16">
        <f>IFERROR(__xludf.DUMMYFUNCTION("""COMPUTED_VALUE"""),0.8)</f>
        <v>0.8</v>
      </c>
      <c r="D327" s="16" t="str">
        <f>IFERROR(__xludf.DUMMYFUNCTION("""COMPUTED_VALUE"""),"R")</f>
        <v>R</v>
      </c>
      <c r="E327" s="16"/>
      <c r="F327" s="16"/>
      <c r="G327" s="16">
        <f>IFERROR(__xludf.DUMMYFUNCTION("""COMPUTED_VALUE"""),95.0)</f>
        <v>95</v>
      </c>
      <c r="H327" s="16">
        <f>IFERROR(__xludf.DUMMYFUNCTION("""COMPUTED_VALUE"""),8.0)</f>
        <v>8</v>
      </c>
      <c r="I327" s="16" t="str">
        <f>IFERROR(__xludf.DUMMYFUNCTION("""COMPUTED_VALUE"""),"6p20")</f>
        <v>6p20</v>
      </c>
      <c r="J327" s="16">
        <f>IFERROR(__xludf.DUMMYFUNCTION("""COMPUTED_VALUE"""),46.0)</f>
        <v>46</v>
      </c>
      <c r="K327" s="16">
        <f>IFERROR(__xludf.DUMMYFUNCTION("""COMPUTED_VALUE"""),50.0)</f>
        <v>50</v>
      </c>
      <c r="L327" s="16">
        <f>IFERROR(__xludf.DUMMYFUNCTION("""COMPUTED_VALUE"""),-2.0)</f>
        <v>-2</v>
      </c>
      <c r="M327" s="16">
        <f>IFERROR(__xludf.DUMMYFUNCTION("""COMPUTED_VALUE"""),-2.0)</f>
        <v>-2</v>
      </c>
      <c r="N327" s="16">
        <f>IFERROR(__xludf.DUMMYFUNCTION("""COMPUTED_VALUE"""),-2.0)</f>
        <v>-2</v>
      </c>
      <c r="O327" s="16">
        <f>IFERROR(__xludf.DUMMYFUNCTION("""COMPUTED_VALUE"""),-2.0)</f>
        <v>-2</v>
      </c>
      <c r="P327" s="16">
        <f>IFERROR(__xludf.DUMMYFUNCTION("""COMPUTED_VALUE"""),5.0)</f>
        <v>5</v>
      </c>
      <c r="Q327" s="16">
        <f>IFERROR(__xludf.DUMMYFUNCTION("""COMPUTED_VALUE"""),12.0)</f>
        <v>12</v>
      </c>
      <c r="R327" s="16">
        <f>IFERROR(__xludf.DUMMYFUNCTION("""COMPUTED_VALUE"""),-1.0)</f>
        <v>-1</v>
      </c>
      <c r="S327" s="16">
        <f>IFERROR(__xludf.DUMMYFUNCTION("""COMPUTED_VALUE"""),1.0)</f>
        <v>1</v>
      </c>
      <c r="T327" s="16">
        <f>IFERROR(__xludf.DUMMYFUNCTION("""COMPUTED_VALUE"""),-1.0)</f>
        <v>-1</v>
      </c>
      <c r="U327" s="16">
        <f>IFERROR(__xludf.DUMMYFUNCTION("""COMPUTED_VALUE"""),1.0)</f>
        <v>1</v>
      </c>
      <c r="V327" s="16">
        <f>IFERROR(__xludf.DUMMYFUNCTION("""COMPUTED_VALUE"""),24.5)</f>
        <v>24.5</v>
      </c>
      <c r="W327" s="16">
        <f>IFERROR(__xludf.DUMMYFUNCTION("""COMPUTED_VALUE"""),16.0)</f>
        <v>16</v>
      </c>
      <c r="X327" s="16">
        <f>IFERROR(__xludf.DUMMYFUNCTION("""COMPUTED_VALUE"""),1.0)</f>
        <v>1</v>
      </c>
      <c r="Y327" s="16">
        <f>IFERROR(__xludf.DUMMYFUNCTION("""COMPUTED_VALUE"""),-1.0)</f>
        <v>-1</v>
      </c>
      <c r="Z327" s="16">
        <f>IFERROR(__xludf.DUMMYFUNCTION("""COMPUTED_VALUE"""),2.0)</f>
        <v>2</v>
      </c>
      <c r="AA327" s="16">
        <f>IFERROR(__xludf.DUMMYFUNCTION("""COMPUTED_VALUE"""),-2.0)</f>
        <v>-2</v>
      </c>
      <c r="AB327" s="16">
        <f>IFERROR(__xludf.DUMMYFUNCTION("""COMPUTED_VALUE"""),35.5)</f>
        <v>35.5</v>
      </c>
      <c r="AC327" s="16">
        <f>IFERROR(__xludf.DUMMYFUNCTION("""COMPUTED_VALUE"""),34.0)</f>
        <v>34</v>
      </c>
      <c r="AD327" s="16">
        <f>IFERROR(__xludf.DUMMYFUNCTION("""COMPUTED_VALUE"""),1.0)</f>
        <v>1</v>
      </c>
      <c r="AE327" s="16">
        <f>IFERROR(__xludf.DUMMYFUNCTION("""COMPUTED_VALUE"""),0.0)</f>
        <v>0</v>
      </c>
      <c r="AF327" s="16">
        <f>IFERROR(__xludf.DUMMYFUNCTION("""COMPUTED_VALUE"""),5.0)</f>
        <v>5</v>
      </c>
      <c r="AG327" s="16">
        <f>IFERROR(__xludf.DUMMYFUNCTION("""COMPUTED_VALUE"""),0.0)</f>
        <v>0</v>
      </c>
      <c r="AH327" s="16">
        <f>IFERROR(__xludf.DUMMYFUNCTION("""COMPUTED_VALUE"""),48.2)</f>
        <v>48.2</v>
      </c>
      <c r="AI327" s="16">
        <f>IFERROR(__xludf.DUMMYFUNCTION("""COMPUTED_VALUE"""),19.2)</f>
        <v>19.2</v>
      </c>
      <c r="AJ327" s="16">
        <f>IFERROR(__xludf.DUMMYFUNCTION("""COMPUTED_VALUE"""),1.0)</f>
        <v>1</v>
      </c>
      <c r="AK327" s="16">
        <f>IFERROR(__xludf.DUMMYFUNCTION("""COMPUTED_VALUE"""),-2.0)</f>
        <v>-2</v>
      </c>
      <c r="AL327" s="16">
        <f>IFERROR(__xludf.DUMMYFUNCTION("""COMPUTED_VALUE"""),5.0)</f>
        <v>5</v>
      </c>
      <c r="AM327" s="16">
        <f>IFERROR(__xludf.DUMMYFUNCTION("""COMPUTED_VALUE"""),-10.0)</f>
        <v>-10</v>
      </c>
      <c r="AN327" s="16">
        <f>IFERROR(__xludf.DUMMYFUNCTION("""COMPUTED_VALUE"""),2.0)</f>
        <v>2</v>
      </c>
      <c r="AO327" s="16">
        <f>IFERROR(__xludf.DUMMYFUNCTION("""COMPUTED_VALUE"""),1.0)</f>
        <v>1</v>
      </c>
      <c r="AP327" s="16">
        <f>IFERROR(__xludf.DUMMYFUNCTION("""COMPUTED_VALUE"""),0.0)</f>
        <v>0</v>
      </c>
      <c r="AQ327" s="16">
        <f>IFERROR(__xludf.DUMMYFUNCTION("""COMPUTED_VALUE"""),-2.0)</f>
        <v>-2</v>
      </c>
      <c r="AR327" s="16">
        <f>IFERROR(__xludf.DUMMYFUNCTION("""COMPUTED_VALUE"""),0.0)</f>
        <v>0</v>
      </c>
      <c r="AS327" s="16">
        <f>IFERROR(__xludf.DUMMYFUNCTION("""COMPUTED_VALUE"""),-4.0)</f>
        <v>-4</v>
      </c>
      <c r="AT327" s="16">
        <f>IFERROR(__xludf.DUMMYFUNCTION("""COMPUTED_VALUE"""),4.0)</f>
        <v>4</v>
      </c>
      <c r="AU327" s="16">
        <f>IFERROR(__xludf.DUMMYFUNCTION("""COMPUTED_VALUE"""),2.0)</f>
        <v>2</v>
      </c>
      <c r="AV327" s="16">
        <f>IFERROR(__xludf.DUMMYFUNCTION("""COMPUTED_VALUE"""),4.0)</f>
        <v>4</v>
      </c>
      <c r="AW327" s="16">
        <f>IFERROR(__xludf.DUMMYFUNCTION("""COMPUTED_VALUE"""),2.0)</f>
        <v>2</v>
      </c>
      <c r="AX327" s="16">
        <f>IFERROR(__xludf.DUMMYFUNCTION("""COMPUTED_VALUE"""),2.0)</f>
        <v>2</v>
      </c>
      <c r="AY327" s="16">
        <f>IFERROR(__xludf.DUMMYFUNCTION("""COMPUTED_VALUE"""),0.0)</f>
        <v>0</v>
      </c>
      <c r="AZ327" s="16">
        <f>IFERROR(__xludf.DUMMYFUNCTION("""COMPUTED_VALUE"""),6.0)</f>
        <v>6</v>
      </c>
      <c r="BA327" s="16">
        <f>IFERROR(__xludf.DUMMYFUNCTION("""COMPUTED_VALUE"""),0.0)</f>
        <v>0</v>
      </c>
      <c r="BB327" s="16">
        <f>IFERROR(__xludf.DUMMYFUNCTION("""COMPUTED_VALUE"""),5.0)</f>
        <v>5</v>
      </c>
      <c r="BC327" s="16">
        <f>IFERROR(__xludf.DUMMYFUNCTION("""COMPUTED_VALUE"""),5.0)</f>
        <v>5</v>
      </c>
      <c r="BD327" s="16">
        <f>IFERROR(__xludf.DUMMYFUNCTION("""COMPUTED_VALUE"""),1.0)</f>
        <v>1</v>
      </c>
      <c r="BE327" s="16">
        <f>IFERROR(__xludf.DUMMYFUNCTION("""COMPUTED_VALUE"""),1.0)</f>
        <v>1</v>
      </c>
      <c r="BF327" s="16">
        <f>IFERROR(__xludf.DUMMYFUNCTION("""COMPUTED_VALUE"""),1.0)</f>
        <v>1</v>
      </c>
      <c r="BG327" s="16">
        <f>IFERROR(__xludf.DUMMYFUNCTION("""COMPUTED_VALUE"""),1.0)</f>
        <v>1</v>
      </c>
      <c r="BH327" s="16">
        <f>IFERROR(__xludf.DUMMYFUNCTION("""COMPUTED_VALUE"""),4.0)</f>
        <v>4</v>
      </c>
      <c r="BI327" s="16">
        <f>IFERROR(__xludf.DUMMYFUNCTION("""COMPUTED_VALUE"""),4.0)</f>
        <v>4</v>
      </c>
      <c r="BJ327" s="16">
        <f>IFERROR(__xludf.DUMMYFUNCTION("""COMPUTED_VALUE"""),0.0)</f>
        <v>0</v>
      </c>
      <c r="BK327" s="16">
        <f>IFERROR(__xludf.DUMMYFUNCTION("""COMPUTED_VALUE"""),0.0)</f>
        <v>0</v>
      </c>
      <c r="BL327" s="16">
        <f>IFERROR(__xludf.DUMMYFUNCTION("""COMPUTED_VALUE"""),3.0)</f>
        <v>3</v>
      </c>
      <c r="BM327" s="16">
        <f>IFERROR(__xludf.DUMMYFUNCTION("""COMPUTED_VALUE"""),3.0)</f>
        <v>3</v>
      </c>
      <c r="BN327" s="16">
        <f>IFERROR(__xludf.DUMMYFUNCTION("""COMPUTED_VALUE"""),3.0)</f>
        <v>3</v>
      </c>
      <c r="BO327" s="16">
        <f>IFERROR(__xludf.DUMMYFUNCTION("""COMPUTED_VALUE"""),3.0)</f>
        <v>3</v>
      </c>
      <c r="BP327" s="16">
        <f>IFERROR(__xludf.DUMMYFUNCTION("""COMPUTED_VALUE"""),6.0)</f>
        <v>6</v>
      </c>
      <c r="BQ327" s="16">
        <f>IFERROR(__xludf.DUMMYFUNCTION("""COMPUTED_VALUE"""),-2.0)</f>
        <v>-2</v>
      </c>
      <c r="BR327" s="16">
        <f>IFERROR(__xludf.DUMMYFUNCTION("""COMPUTED_VALUE"""),4.0)</f>
        <v>4</v>
      </c>
      <c r="BS327" s="16" t="str">
        <f>IFERROR(__xludf.DUMMYFUNCTION("""COMPUTED_VALUE"""),"*5,6/- (19-13)")</f>
        <v>*5,6/- (19-13)</v>
      </c>
      <c r="BT327" s="16" t="str">
        <f>IFERROR(__xludf.DUMMYFUNCTION("""COMPUTED_VALUE"""),"B")</f>
        <v>B</v>
      </c>
      <c r="BU327" s="16">
        <f>IFERROR(__xludf.DUMMYFUNCTION("""COMPUTED_VALUE"""),14.0)</f>
        <v>14</v>
      </c>
      <c r="BV327" s="16">
        <f>IFERROR(__xludf.DUMMYFUNCTION("""COMPUTED_VALUE"""),1.0)</f>
        <v>1</v>
      </c>
      <c r="BW327" s="16">
        <f>IFERROR(__xludf.DUMMYFUNCTION("""COMPUTED_VALUE"""),1.0)</f>
        <v>1</v>
      </c>
      <c r="BX327" s="16">
        <f>IFERROR(__xludf.DUMMYFUNCTION("""COMPUTED_VALUE"""),2.0)</f>
        <v>2</v>
      </c>
      <c r="BY327" s="16">
        <f>IFERROR(__xludf.DUMMYFUNCTION("""COMPUTED_VALUE"""),3.0)</f>
        <v>3</v>
      </c>
      <c r="BZ327" s="16" t="str">
        <f>IFERROR(__xludf.DUMMYFUNCTION("""COMPUTED_VALUE"""),"D")</f>
        <v>D</v>
      </c>
      <c r="CA327" s="16" t="str">
        <f>IFERROR(__xludf.DUMMYFUNCTION("""COMPUTED_VALUE"""),"D")</f>
        <v>D</v>
      </c>
      <c r="CB327" s="16">
        <f>IFERROR(__xludf.DUMMYFUNCTION("""COMPUTED_VALUE"""),0.0)</f>
        <v>0</v>
      </c>
      <c r="CC327" s="16">
        <f>IFERROR(__xludf.DUMMYFUNCTION("""COMPUTED_VALUE"""),0.0)</f>
        <v>0</v>
      </c>
      <c r="CD327" s="16">
        <f>IFERROR(__xludf.DUMMYFUNCTION("""COMPUTED_VALUE"""),0.0)</f>
        <v>0</v>
      </c>
      <c r="CE327" s="16">
        <f>IFERROR(__xludf.DUMMYFUNCTION("""COMPUTED_VALUE"""),0.0)</f>
        <v>0</v>
      </c>
      <c r="CF327" s="16">
        <f>IFERROR(__xludf.DUMMYFUNCTION("""COMPUTED_VALUE"""),6.0)</f>
        <v>6</v>
      </c>
      <c r="CG327" s="16">
        <f>IFERROR(__xludf.DUMMYFUNCTION("""COMPUTED_VALUE"""),19.0)</f>
        <v>19</v>
      </c>
      <c r="CH327" s="16">
        <f>IFERROR(__xludf.DUMMYFUNCTION("""COMPUTED_VALUE"""),-13.0)</f>
        <v>-13</v>
      </c>
      <c r="CI327" s="179">
        <f>IFERROR(__xludf.DUMMYFUNCTION("""COMPUTED_VALUE"""),-12.0)</f>
        <v>-12</v>
      </c>
      <c r="CJ327" s="16"/>
      <c r="CK327" s="16"/>
      <c r="CL327" s="16"/>
      <c r="CM327" s="16"/>
      <c r="CN327" s="16"/>
      <c r="CO327" s="16">
        <f>IFERROR(__xludf.DUMMYFUNCTION("""COMPUTED_VALUE"""),413.0)</f>
        <v>413</v>
      </c>
      <c r="CP327" s="16">
        <f>IFERROR(__xludf.DUMMYFUNCTION("""COMPUTED_VALUE"""),413.0)</f>
        <v>413</v>
      </c>
      <c r="CQ327" s="16">
        <f>IFERROR(__xludf.DUMMYFUNCTION("""COMPUTED_VALUE"""),313.0)</f>
        <v>313</v>
      </c>
      <c r="CR327" s="16" t="str">
        <f>IFERROR(__xludf.DUMMYFUNCTION("""COMPUTED_VALUE"""),"rf-3(-2)e13 lf-4e13 cf-4e13")</f>
        <v>rf-3(-2)e13 lf-4e13 cf-4e13</v>
      </c>
      <c r="CS327" s="16"/>
      <c r="CT327" s="16"/>
      <c r="CU327" s="16"/>
      <c r="CV327" s="16"/>
      <c r="CW327" s="16"/>
      <c r="CX327" s="16">
        <f>IFERROR(__xludf.DUMMYFUNCTION("""COMPUTED_VALUE"""),4.0)</f>
        <v>4</v>
      </c>
      <c r="CY327" s="16">
        <f>IFERROR(__xludf.DUMMYFUNCTION("""COMPUTED_VALUE"""),4.0)</f>
        <v>4</v>
      </c>
      <c r="CZ327" s="16">
        <f>IFERROR(__xludf.DUMMYFUNCTION("""COMPUTED_VALUE"""),3.0)</f>
        <v>3</v>
      </c>
      <c r="DA327" s="16"/>
      <c r="DB327" s="16"/>
      <c r="DC327" s="16"/>
      <c r="DD327" s="16"/>
      <c r="DE327" s="16"/>
      <c r="DF327" s="16">
        <f>IFERROR(__xludf.DUMMYFUNCTION("""COMPUTED_VALUE"""),13.0)</f>
        <v>13</v>
      </c>
      <c r="DG327" s="16">
        <f>IFERROR(__xludf.DUMMYFUNCTION("""COMPUTED_VALUE"""),13.0)</f>
        <v>13</v>
      </c>
      <c r="DH327" s="16">
        <f>IFERROR(__xludf.DUMMYFUNCTION("""COMPUTED_VALUE"""),13.0)</f>
        <v>13</v>
      </c>
      <c r="DI327" s="16"/>
      <c r="DJ327" s="16"/>
      <c r="DK327" s="16"/>
      <c r="DL327" s="16"/>
      <c r="DM327" s="16"/>
      <c r="DN327" s="16">
        <f>IFERROR(__xludf.DUMMYFUNCTION("""COMPUTED_VALUE"""),-1.0)</f>
        <v>-1</v>
      </c>
      <c r="DO327" s="16">
        <f>IFERROR(__xludf.DUMMYFUNCTION("""COMPUTED_VALUE"""),-2.0)</f>
        <v>-2</v>
      </c>
      <c r="DP327" s="16">
        <f>IFERROR(__xludf.DUMMYFUNCTION("""COMPUTED_VALUE"""),0.0)</f>
        <v>0</v>
      </c>
      <c r="DQ327" s="16"/>
      <c r="DR327" s="16"/>
      <c r="DS327" s="16"/>
      <c r="DT327" s="16"/>
      <c r="DU327" s="16"/>
      <c r="DV327" s="16">
        <f>IFERROR(__xludf.DUMMYFUNCTION("""COMPUTED_VALUE"""),-2.0)</f>
        <v>-2</v>
      </c>
      <c r="DW327" s="16">
        <f>IFERROR(__xludf.DUMMYFUNCTION("""COMPUTED_VALUE"""),0.0)</f>
        <v>0</v>
      </c>
      <c r="DX327" s="16">
        <f>IFERROR(__xludf.DUMMYFUNCTION("""COMPUTED_VALUE"""),-2.0)</f>
        <v>-2</v>
      </c>
      <c r="DY327" s="16"/>
      <c r="DZ327" s="16"/>
      <c r="EA327" s="16"/>
      <c r="EB327" s="16"/>
      <c r="EC327" s="16"/>
      <c r="ED327" s="16">
        <f>IFERROR(__xludf.DUMMYFUNCTION("""COMPUTED_VALUE"""),-3.0)</f>
        <v>-3</v>
      </c>
      <c r="EE327" s="16">
        <f>IFERROR(__xludf.DUMMYFUNCTION("""COMPUTED_VALUE"""),-2.0)</f>
        <v>-2</v>
      </c>
      <c r="EF327" s="16">
        <f>IFERROR(__xludf.DUMMYFUNCTION("""COMPUTED_VALUE"""),-2.0)</f>
        <v>-2</v>
      </c>
      <c r="EG327" s="179"/>
      <c r="EH327" s="179"/>
      <c r="EI327" s="179"/>
      <c r="EJ327" s="179"/>
      <c r="EK327" s="179"/>
      <c r="EL327" s="179">
        <f>IFERROR(__xludf.DUMMYFUNCTION("""COMPUTED_VALUE"""),-15.0)</f>
        <v>-15</v>
      </c>
      <c r="EM327" s="179">
        <f>IFERROR(__xludf.DUMMYFUNCTION("""COMPUTED_VALUE"""),-14.0)</f>
        <v>-14</v>
      </c>
      <c r="EN327" s="179">
        <f>IFERROR(__xludf.DUMMYFUNCTION("""COMPUTED_VALUE"""),-14.0)</f>
        <v>-14</v>
      </c>
      <c r="EO327" s="16"/>
      <c r="EP327" s="16">
        <f>IFERROR(__xludf.DUMMYFUNCTION("""COMPUTED_VALUE"""),-1.0)</f>
        <v>-1</v>
      </c>
      <c r="EQ327" s="16">
        <f>IFERROR(__xludf.DUMMYFUNCTION("""COMPUTED_VALUE"""),-4.0)</f>
        <v>-4</v>
      </c>
      <c r="ER327" s="16">
        <f>IFERROR(__xludf.DUMMYFUNCTION("""COMPUTED_VALUE"""),-4.0)</f>
        <v>-4</v>
      </c>
      <c r="ES327" s="16"/>
      <c r="ET327" s="16"/>
      <c r="EU327" s="16"/>
      <c r="EV327" s="16"/>
      <c r="EW327" s="16"/>
      <c r="EX327" s="180"/>
      <c r="EY327" s="180"/>
      <c r="EZ327" s="180"/>
      <c r="FA327" s="180"/>
      <c r="FB327" s="180"/>
      <c r="FC327" s="180">
        <f>IFERROR(__xludf.DUMMYFUNCTION("""COMPUTED_VALUE"""),0.55)</f>
        <v>0.55</v>
      </c>
      <c r="FD327" s="180">
        <f>IFERROR(__xludf.DUMMYFUNCTION("""COMPUTED_VALUE"""),0.55)</f>
        <v>0.55</v>
      </c>
      <c r="FE327" s="180">
        <f>IFERROR(__xludf.DUMMYFUNCTION("""COMPUTED_VALUE"""),0.3)</f>
        <v>0.3</v>
      </c>
      <c r="FF327" s="180"/>
      <c r="FG327" s="180"/>
      <c r="FH327" s="180"/>
      <c r="FI327" s="180"/>
      <c r="FJ327" s="180"/>
      <c r="FK327" s="180">
        <f>IFERROR(__xludf.DUMMYFUNCTION("""COMPUTED_VALUE"""),0.236)</f>
        <v>0.236</v>
      </c>
      <c r="FL327" s="180">
        <f>IFERROR(__xludf.DUMMYFUNCTION("""COMPUTED_VALUE"""),0.1574074074074074)</f>
        <v>0.1574074074</v>
      </c>
      <c r="FM327" s="180">
        <f>IFERROR(__xludf.DUMMYFUNCTION("""COMPUTED_VALUE"""),0.236)</f>
        <v>0.236</v>
      </c>
      <c r="FN327" s="16"/>
      <c r="FO327" s="16"/>
      <c r="FP327" s="16"/>
      <c r="FQ327" s="16"/>
      <c r="FR327" s="16"/>
      <c r="FS327" s="16">
        <f>IFERROR(__xludf.DUMMYFUNCTION("""COMPUTED_VALUE"""),0.3438)</f>
        <v>0.3438</v>
      </c>
      <c r="FT327" s="16">
        <f>IFERROR(__xludf.DUMMYFUNCTION("""COMPUTED_VALUE"""),0.3791666666666666)</f>
        <v>0.3791666667</v>
      </c>
      <c r="FU327" s="16">
        <f>IFERROR(__xludf.DUMMYFUNCTION("""COMPUTED_VALUE"""),0.5347999999999999)</f>
        <v>0.5348</v>
      </c>
      <c r="FV327" s="16"/>
      <c r="FW327" s="16"/>
      <c r="FX327" s="16"/>
      <c r="FY327" s="16"/>
      <c r="FZ327" s="16"/>
      <c r="GA327" s="16">
        <f>IFERROR(__xludf.DUMMYFUNCTION("""COMPUTED_VALUE"""),-7.0)</f>
        <v>-7</v>
      </c>
      <c r="GB327" s="16">
        <f>IFERROR(__xludf.DUMMYFUNCTION("""COMPUTED_VALUE"""),-7.0)</f>
        <v>-7</v>
      </c>
      <c r="GC327" s="16">
        <f>IFERROR(__xludf.DUMMYFUNCTION("""COMPUTED_VALUE"""),-7.0)</f>
        <v>-7</v>
      </c>
      <c r="GD327" s="16" t="s">
        <v>176</v>
      </c>
    </row>
    <row r="328">
      <c r="A328" s="16">
        <f>IFERROR(__xludf.DUMMYFUNCTION("""COMPUTED_VALUE"""),13168.0)</f>
        <v>13168</v>
      </c>
      <c r="B328" s="16" t="str">
        <f>IFERROR(__xludf.DUMMYFUNCTION("""COMPUTED_VALUE"""),"Matt Carpenter")</f>
        <v>Matt Carpenter</v>
      </c>
      <c r="C328" s="16">
        <f>IFERROR(__xludf.DUMMYFUNCTION("""COMPUTED_VALUE"""),0.0)</f>
        <v>0</v>
      </c>
      <c r="D328" s="16" t="str">
        <f>IFERROR(__xludf.DUMMYFUNCTION("""COMPUTED_VALUE"""),"L")</f>
        <v>L</v>
      </c>
      <c r="E328" s="16"/>
      <c r="F328" s="16"/>
      <c r="G328" s="16">
        <f>IFERROR(__xludf.DUMMYFUNCTION("""COMPUTED_VALUE"""),137.0)</f>
        <v>137</v>
      </c>
      <c r="H328" s="16">
        <f>IFERROR(__xludf.DUMMYFUNCTION("""COMPUTED_VALUE"""),15.0)</f>
        <v>15</v>
      </c>
      <c r="I328" s="16" t="str">
        <f>IFERROR(__xludf.DUMMYFUNCTION("""COMPUTED_VALUE"""),"4p30")</f>
        <v>4p30</v>
      </c>
      <c r="J328" s="16">
        <f>IFERROR(__xludf.DUMMYFUNCTION("""COMPUTED_VALUE"""),32.0)</f>
        <v>32</v>
      </c>
      <c r="K328" s="16">
        <f>IFERROR(__xludf.DUMMYFUNCTION("""COMPUTED_VALUE"""),48.0)</f>
        <v>48</v>
      </c>
      <c r="L328" s="16">
        <f>IFERROR(__xludf.DUMMYFUNCTION("""COMPUTED_VALUE"""),-1.0)</f>
        <v>-1</v>
      </c>
      <c r="M328" s="16">
        <f>IFERROR(__xludf.DUMMYFUNCTION("""COMPUTED_VALUE"""),-2.0)</f>
        <v>-2</v>
      </c>
      <c r="N328" s="16">
        <f>IFERROR(__xludf.DUMMYFUNCTION("""COMPUTED_VALUE"""),-1.0)</f>
        <v>-1</v>
      </c>
      <c r="O328" s="16">
        <f>IFERROR(__xludf.DUMMYFUNCTION("""COMPUTED_VALUE"""),-2.0)</f>
        <v>-2</v>
      </c>
      <c r="P328" s="16">
        <f>IFERROR(__xludf.DUMMYFUNCTION("""COMPUTED_VALUE"""),4.0)</f>
        <v>4</v>
      </c>
      <c r="Q328" s="16">
        <f>IFERROR(__xludf.DUMMYFUNCTION("""COMPUTED_VALUE"""),12.0)</f>
        <v>12</v>
      </c>
      <c r="R328" s="16">
        <f>IFERROR(__xludf.DUMMYFUNCTION("""COMPUTED_VALUE"""),-2.0)</f>
        <v>-2</v>
      </c>
      <c r="S328" s="16">
        <f>IFERROR(__xludf.DUMMYFUNCTION("""COMPUTED_VALUE"""),1.0)</f>
        <v>1</v>
      </c>
      <c r="T328" s="16">
        <f>IFERROR(__xludf.DUMMYFUNCTION("""COMPUTED_VALUE"""),-2.0)</f>
        <v>-2</v>
      </c>
      <c r="U328" s="16">
        <f>IFERROR(__xludf.DUMMYFUNCTION("""COMPUTED_VALUE"""),1.0)</f>
        <v>1</v>
      </c>
      <c r="V328" s="16">
        <f>IFERROR(__xludf.DUMMYFUNCTION("""COMPUTED_VALUE"""),9.4)</f>
        <v>9.4</v>
      </c>
      <c r="W328" s="16">
        <f>IFERROR(__xludf.DUMMYFUNCTION("""COMPUTED_VALUE"""),19.3)</f>
        <v>19.3</v>
      </c>
      <c r="X328" s="16">
        <f>IFERROR(__xludf.DUMMYFUNCTION("""COMPUTED_VALUE"""),-1.0)</f>
        <v>-1</v>
      </c>
      <c r="Y328" s="16">
        <f>IFERROR(__xludf.DUMMYFUNCTION("""COMPUTED_VALUE"""),0.0)</f>
        <v>0</v>
      </c>
      <c r="Z328" s="16">
        <f>IFERROR(__xludf.DUMMYFUNCTION("""COMPUTED_VALUE"""),-2.0)</f>
        <v>-2</v>
      </c>
      <c r="AA328" s="16">
        <f>IFERROR(__xludf.DUMMYFUNCTION("""COMPUTED_VALUE"""),0.0)</f>
        <v>0</v>
      </c>
      <c r="AB328" s="16">
        <f>IFERROR(__xludf.DUMMYFUNCTION("""COMPUTED_VALUE"""),16.4)</f>
        <v>16.4</v>
      </c>
      <c r="AC328" s="16">
        <f>IFERROR(__xludf.DUMMYFUNCTION("""COMPUTED_VALUE"""),34.3)</f>
        <v>34.3</v>
      </c>
      <c r="AD328" s="16">
        <f>IFERROR(__xludf.DUMMYFUNCTION("""COMPUTED_VALUE"""),-2.0)</f>
        <v>-2</v>
      </c>
      <c r="AE328" s="16">
        <f>IFERROR(__xludf.DUMMYFUNCTION("""COMPUTED_VALUE"""),0.0)</f>
        <v>0</v>
      </c>
      <c r="AF328" s="16">
        <f>IFERROR(__xludf.DUMMYFUNCTION("""COMPUTED_VALUE"""),-10.0)</f>
        <v>-10</v>
      </c>
      <c r="AG328" s="16">
        <f>IFERROR(__xludf.DUMMYFUNCTION("""COMPUTED_VALUE"""),0.0)</f>
        <v>0</v>
      </c>
      <c r="AH328" s="16">
        <f>IFERROR(__xludf.DUMMYFUNCTION("""COMPUTED_VALUE"""),9.4)</f>
        <v>9.4</v>
      </c>
      <c r="AI328" s="16">
        <f>IFERROR(__xludf.DUMMYFUNCTION("""COMPUTED_VALUE"""),31.1)</f>
        <v>31.1</v>
      </c>
      <c r="AJ328" s="16">
        <f>IFERROR(__xludf.DUMMYFUNCTION("""COMPUTED_VALUE"""),-2.0)</f>
        <v>-2</v>
      </c>
      <c r="AK328" s="16">
        <f>IFERROR(__xludf.DUMMYFUNCTION("""COMPUTED_VALUE"""),0.0)</f>
        <v>0</v>
      </c>
      <c r="AL328" s="16">
        <f>IFERROR(__xludf.DUMMYFUNCTION("""COMPUTED_VALUE"""),-10.0)</f>
        <v>-10</v>
      </c>
      <c r="AM328" s="16">
        <f>IFERROR(__xludf.DUMMYFUNCTION("""COMPUTED_VALUE"""),0.0)</f>
        <v>0</v>
      </c>
      <c r="AN328" s="16">
        <f>IFERROR(__xludf.DUMMYFUNCTION("""COMPUTED_VALUE"""),0.0)</f>
        <v>0</v>
      </c>
      <c r="AO328" s="16">
        <f>IFERROR(__xludf.DUMMYFUNCTION("""COMPUTED_VALUE"""),2.0)</f>
        <v>2</v>
      </c>
      <c r="AP328" s="16">
        <f>IFERROR(__xludf.DUMMYFUNCTION("""COMPUTED_VALUE"""),-2.0)</f>
        <v>-2</v>
      </c>
      <c r="AQ328" s="16">
        <f>IFERROR(__xludf.DUMMYFUNCTION("""COMPUTED_VALUE"""),-1.0)</f>
        <v>-1</v>
      </c>
      <c r="AR328" s="16">
        <f>IFERROR(__xludf.DUMMYFUNCTION("""COMPUTED_VALUE"""),-4.0)</f>
        <v>-4</v>
      </c>
      <c r="AS328" s="16">
        <f>IFERROR(__xludf.DUMMYFUNCTION("""COMPUTED_VALUE"""),-2.0)</f>
        <v>-2</v>
      </c>
      <c r="AT328" s="16"/>
      <c r="AU328" s="16">
        <f>IFERROR(__xludf.DUMMYFUNCTION("""COMPUTED_VALUE"""),2.0)</f>
        <v>2</v>
      </c>
      <c r="AV328" s="16">
        <f>IFERROR(__xludf.DUMMYFUNCTION("""COMPUTED_VALUE"""),-3.0)</f>
        <v>-3</v>
      </c>
      <c r="AW328" s="16">
        <f>IFERROR(__xludf.DUMMYFUNCTION("""COMPUTED_VALUE"""),2.0)</f>
        <v>2</v>
      </c>
      <c r="AX328" s="16">
        <f>IFERROR(__xludf.DUMMYFUNCTION("""COMPUTED_VALUE"""),-3.0)</f>
        <v>-3</v>
      </c>
      <c r="AY328" s="16">
        <f>IFERROR(__xludf.DUMMYFUNCTION("""COMPUTED_VALUE"""),0.0)</f>
        <v>0</v>
      </c>
      <c r="AZ328" s="16">
        <f>IFERROR(__xludf.DUMMYFUNCTION("""COMPUTED_VALUE"""),-9.0)</f>
        <v>-9</v>
      </c>
      <c r="BA328" s="16">
        <f>IFERROR(__xludf.DUMMYFUNCTION("""COMPUTED_VALUE"""),0.0)</f>
        <v>0</v>
      </c>
      <c r="BB328" s="16">
        <f>IFERROR(__xludf.DUMMYFUNCTION("""COMPUTED_VALUE"""),5.0)</f>
        <v>5</v>
      </c>
      <c r="BC328" s="16">
        <f>IFERROR(__xludf.DUMMYFUNCTION("""COMPUTED_VALUE"""),5.0)</f>
        <v>5</v>
      </c>
      <c r="BD328" s="16">
        <f>IFERROR(__xludf.DUMMYFUNCTION("""COMPUTED_VALUE"""),1.0)</f>
        <v>1</v>
      </c>
      <c r="BE328" s="16">
        <f>IFERROR(__xludf.DUMMYFUNCTION("""COMPUTED_VALUE"""),1.0)</f>
        <v>1</v>
      </c>
      <c r="BF328" s="16">
        <f>IFERROR(__xludf.DUMMYFUNCTION("""COMPUTED_VALUE"""),1.0)</f>
        <v>1</v>
      </c>
      <c r="BG328" s="16">
        <f>IFERROR(__xludf.DUMMYFUNCTION("""COMPUTED_VALUE"""),1.0)</f>
        <v>1</v>
      </c>
      <c r="BH328" s="16">
        <f>IFERROR(__xludf.DUMMYFUNCTION("""COMPUTED_VALUE"""),-7.0)</f>
        <v>-7</v>
      </c>
      <c r="BI328" s="16">
        <f>IFERROR(__xludf.DUMMYFUNCTION("""COMPUTED_VALUE"""),-9.0)</f>
        <v>-9</v>
      </c>
      <c r="BJ328" s="16">
        <f>IFERROR(__xludf.DUMMYFUNCTION("""COMPUTED_VALUE"""),0.0)</f>
        <v>0</v>
      </c>
      <c r="BK328" s="16">
        <f>IFERROR(__xludf.DUMMYFUNCTION("""COMPUTED_VALUE"""),0.0)</f>
        <v>0</v>
      </c>
      <c r="BL328" s="16">
        <f>IFERROR(__xludf.DUMMYFUNCTION("""COMPUTED_VALUE"""),3.0)</f>
        <v>3</v>
      </c>
      <c r="BM328" s="16">
        <f>IFERROR(__xludf.DUMMYFUNCTION("""COMPUTED_VALUE"""),3.0)</f>
        <v>3</v>
      </c>
      <c r="BN328" s="16">
        <f>IFERROR(__xludf.DUMMYFUNCTION("""COMPUTED_VALUE"""),3.0)</f>
        <v>3</v>
      </c>
      <c r="BO328" s="16">
        <f>IFERROR(__xludf.DUMMYFUNCTION("""COMPUTED_VALUE"""),3.0)</f>
        <v>3</v>
      </c>
      <c r="BP328" s="16">
        <f>IFERROR(__xludf.DUMMYFUNCTION("""COMPUTED_VALUE"""),-9.0)</f>
        <v>-9</v>
      </c>
      <c r="BQ328" s="16">
        <f>IFERROR(__xludf.DUMMYFUNCTION("""COMPUTED_VALUE"""),2.0)</f>
        <v>2</v>
      </c>
      <c r="BR328" s="16">
        <f>IFERROR(__xludf.DUMMYFUNCTION("""COMPUTED_VALUE"""),-7.0)</f>
        <v>-7</v>
      </c>
      <c r="BS328" s="16" t="str">
        <f>IFERROR(__xludf.DUMMYFUNCTION("""COMPUTED_VALUE"""),"2-10/- (3-1)")</f>
        <v>2-10/- (3-1)</v>
      </c>
      <c r="BT328" s="16" t="str">
        <f>IFERROR(__xludf.DUMMYFUNCTION("""COMPUTED_VALUE"""),"E")</f>
        <v>E</v>
      </c>
      <c r="BU328" s="16">
        <f>IFERROR(__xludf.DUMMYFUNCTION("""COMPUTED_VALUE"""),9.0)</f>
        <v>9</v>
      </c>
      <c r="BV328" s="16">
        <f>IFERROR(__xludf.DUMMYFUNCTION("""COMPUTED_VALUE"""),0.0)</f>
        <v>0</v>
      </c>
      <c r="BW328" s="16">
        <f>IFERROR(__xludf.DUMMYFUNCTION("""COMPUTED_VALUE"""),-1.0)</f>
        <v>-1</v>
      </c>
      <c r="BX328" s="16">
        <f>IFERROR(__xludf.DUMMYFUNCTION("""COMPUTED_VALUE"""),0.0)</f>
        <v>0</v>
      </c>
      <c r="BY328" s="16">
        <f>IFERROR(__xludf.DUMMYFUNCTION("""COMPUTED_VALUE"""),-3.0)</f>
        <v>-3</v>
      </c>
      <c r="BZ328" s="16" t="str">
        <f>IFERROR(__xludf.DUMMYFUNCTION("""COMPUTED_VALUE"""),"D")</f>
        <v>D</v>
      </c>
      <c r="CA328" s="16" t="str">
        <f>IFERROR(__xludf.DUMMYFUNCTION("""COMPUTED_VALUE"""),"D")</f>
        <v>D</v>
      </c>
      <c r="CB328" s="16">
        <f>IFERROR(__xludf.DUMMYFUNCTION("""COMPUTED_VALUE"""),0.0)</f>
        <v>0</v>
      </c>
      <c r="CC328" s="16">
        <f>IFERROR(__xludf.DUMMYFUNCTION("""COMPUTED_VALUE"""),0.0)</f>
        <v>0</v>
      </c>
      <c r="CD328" s="16">
        <f>IFERROR(__xludf.DUMMYFUNCTION("""COMPUTED_VALUE"""),0.0)</f>
        <v>0</v>
      </c>
      <c r="CE328" s="16">
        <f>IFERROR(__xludf.DUMMYFUNCTION("""COMPUTED_VALUE"""),0.0)</f>
        <v>0</v>
      </c>
      <c r="CF328" s="16">
        <f>IFERROR(__xludf.DUMMYFUNCTION("""COMPUTED_VALUE"""),4.0)</f>
        <v>4</v>
      </c>
      <c r="CG328" s="16">
        <f>IFERROR(__xludf.DUMMYFUNCTION("""COMPUTED_VALUE"""),-34.0)</f>
        <v>-34</v>
      </c>
      <c r="CH328" s="16">
        <f>IFERROR(__xludf.DUMMYFUNCTION("""COMPUTED_VALUE"""),1.0)</f>
        <v>1</v>
      </c>
      <c r="CI328" s="179">
        <f>IFERROR(__xludf.DUMMYFUNCTION("""COMPUTED_VALUE"""),-12.0)</f>
        <v>-12</v>
      </c>
      <c r="CJ328" s="16"/>
      <c r="CK328" s="16">
        <f>IFERROR(__xludf.DUMMYFUNCTION("""COMPUTED_VALUE"""),505.0)</f>
        <v>505</v>
      </c>
      <c r="CL328" s="16">
        <f>IFERROR(__xludf.DUMMYFUNCTION("""COMPUTED_VALUE"""),541.0)</f>
        <v>541</v>
      </c>
      <c r="CM328" s="16">
        <f>IFERROR(__xludf.DUMMYFUNCTION("""COMPUTED_VALUE"""),565.0)</f>
        <v>565</v>
      </c>
      <c r="CN328" s="16"/>
      <c r="CO328" s="16"/>
      <c r="CP328" s="16"/>
      <c r="CQ328" s="16"/>
      <c r="CR328" s="16" t="str">
        <f>IFERROR(__xludf.DUMMYFUNCTION("""COMPUTED_VALUE"""),"1b-5e5 2b-5e41 3b-5e65")</f>
        <v>1b-5e5 2b-5e41 3b-5e65</v>
      </c>
      <c r="CS328" s="16"/>
      <c r="CT328" s="16">
        <f>IFERROR(__xludf.DUMMYFUNCTION("""COMPUTED_VALUE"""),5.0)</f>
        <v>5</v>
      </c>
      <c r="CU328" s="16">
        <f>IFERROR(__xludf.DUMMYFUNCTION("""COMPUTED_VALUE"""),5.0)</f>
        <v>5</v>
      </c>
      <c r="CV328" s="16">
        <f>IFERROR(__xludf.DUMMYFUNCTION("""COMPUTED_VALUE"""),5.0)</f>
        <v>5</v>
      </c>
      <c r="CW328" s="16"/>
      <c r="CX328" s="16"/>
      <c r="CY328" s="16"/>
      <c r="CZ328" s="16"/>
      <c r="DA328" s="16"/>
      <c r="DB328" s="16">
        <f>IFERROR(__xludf.DUMMYFUNCTION("""COMPUTED_VALUE"""),5.0)</f>
        <v>5</v>
      </c>
      <c r="DC328" s="16">
        <f>IFERROR(__xludf.DUMMYFUNCTION("""COMPUTED_VALUE"""),41.0)</f>
        <v>41</v>
      </c>
      <c r="DD328" s="16">
        <f>IFERROR(__xludf.DUMMYFUNCTION("""COMPUTED_VALUE"""),65.0)</f>
        <v>65</v>
      </c>
      <c r="DE328" s="16"/>
      <c r="DF328" s="16"/>
      <c r="DG328" s="16"/>
      <c r="DH328" s="16"/>
      <c r="DI328" s="16"/>
      <c r="DJ328" s="16">
        <f>IFERROR(__xludf.DUMMYFUNCTION("""COMPUTED_VALUE"""),-2.0)</f>
        <v>-2</v>
      </c>
      <c r="DK328" s="16">
        <f>IFERROR(__xludf.DUMMYFUNCTION("""COMPUTED_VALUE"""),-4.0)</f>
        <v>-4</v>
      </c>
      <c r="DL328" s="16">
        <f>IFERROR(__xludf.DUMMYFUNCTION("""COMPUTED_VALUE"""),-2.0)</f>
        <v>-2</v>
      </c>
      <c r="DM328" s="16"/>
      <c r="DN328" s="16"/>
      <c r="DO328" s="16"/>
      <c r="DP328" s="16"/>
      <c r="DQ328" s="16"/>
      <c r="DR328" s="16">
        <f>IFERROR(__xludf.DUMMYFUNCTION("""COMPUTED_VALUE"""),2.0)</f>
        <v>2</v>
      </c>
      <c r="DS328" s="16">
        <f>IFERROR(__xludf.DUMMYFUNCTION("""COMPUTED_VALUE"""),-2.0)</f>
        <v>-2</v>
      </c>
      <c r="DT328" s="16">
        <f>IFERROR(__xludf.DUMMYFUNCTION("""COMPUTED_VALUE"""),-2.0)</f>
        <v>-2</v>
      </c>
      <c r="DU328" s="16"/>
      <c r="DV328" s="16"/>
      <c r="DW328" s="16"/>
      <c r="DX328" s="16"/>
      <c r="DY328" s="16"/>
      <c r="DZ328" s="16">
        <f>IFERROR(__xludf.DUMMYFUNCTION("""COMPUTED_VALUE"""),0.0)</f>
        <v>0</v>
      </c>
      <c r="EA328" s="16">
        <f>IFERROR(__xludf.DUMMYFUNCTION("""COMPUTED_VALUE"""),-6.0)</f>
        <v>-6</v>
      </c>
      <c r="EB328" s="16">
        <f>IFERROR(__xludf.DUMMYFUNCTION("""COMPUTED_VALUE"""),-4.0)</f>
        <v>-4</v>
      </c>
      <c r="EC328" s="16"/>
      <c r="ED328" s="16"/>
      <c r="EE328" s="16"/>
      <c r="EF328" s="16"/>
      <c r="EG328" s="179"/>
      <c r="EH328" s="179">
        <f>IFERROR(__xludf.DUMMYFUNCTION("""COMPUTED_VALUE"""),-12.0)</f>
        <v>-12</v>
      </c>
      <c r="EI328" s="179">
        <f>IFERROR(__xludf.DUMMYFUNCTION("""COMPUTED_VALUE"""),-18.0)</f>
        <v>-18</v>
      </c>
      <c r="EJ328" s="179">
        <f>IFERROR(__xludf.DUMMYFUNCTION("""COMPUTED_VALUE"""),-16.0)</f>
        <v>-16</v>
      </c>
      <c r="EK328" s="179"/>
      <c r="EL328" s="179"/>
      <c r="EM328" s="179"/>
      <c r="EN328" s="179"/>
      <c r="EO328" s="16"/>
      <c r="EP328" s="16"/>
      <c r="EQ328" s="16">
        <f>IFERROR(__xludf.DUMMYFUNCTION("""COMPUTED_VALUE"""),-1.0)</f>
        <v>-1</v>
      </c>
      <c r="ER328" s="16">
        <f>IFERROR(__xludf.DUMMYFUNCTION("""COMPUTED_VALUE"""),-2.0)</f>
        <v>-2</v>
      </c>
      <c r="ES328" s="16"/>
      <c r="ET328" s="16"/>
      <c r="EU328" s="16"/>
      <c r="EV328" s="16"/>
      <c r="EW328" s="16"/>
      <c r="EX328" s="180"/>
      <c r="EY328" s="180">
        <f>IFERROR(__xludf.DUMMYFUNCTION("""COMPUTED_VALUE"""),0.4)</f>
        <v>0.4</v>
      </c>
      <c r="EZ328" s="180">
        <f>IFERROR(__xludf.DUMMYFUNCTION("""COMPUTED_VALUE"""),0.4)</f>
        <v>0.4</v>
      </c>
      <c r="FA328" s="180">
        <f>IFERROR(__xludf.DUMMYFUNCTION("""COMPUTED_VALUE"""),0.4)</f>
        <v>0.4</v>
      </c>
      <c r="FB328" s="180"/>
      <c r="FC328" s="180"/>
      <c r="FD328" s="180"/>
      <c r="FE328" s="180"/>
      <c r="FF328" s="180"/>
      <c r="FG328" s="180">
        <f>IFERROR(__xludf.DUMMYFUNCTION("""COMPUTED_VALUE"""),0.08796296296296297)</f>
        <v>0.08796296296</v>
      </c>
      <c r="FH328" s="180">
        <f>IFERROR(__xludf.DUMMYFUNCTION("""COMPUTED_VALUE"""),0.24537037037037038)</f>
        <v>0.2453703704</v>
      </c>
      <c r="FI328" s="180">
        <f>IFERROR(__xludf.DUMMYFUNCTION("""COMPUTED_VALUE"""),0.7407407407407407)</f>
        <v>0.7407407407</v>
      </c>
      <c r="FJ328" s="180"/>
      <c r="FK328" s="180"/>
      <c r="FL328" s="180"/>
      <c r="FM328" s="180"/>
      <c r="FN328" s="16"/>
      <c r="FO328" s="16">
        <f>IFERROR(__xludf.DUMMYFUNCTION("""COMPUTED_VALUE"""),0.5472222222222222)</f>
        <v>0.5472222222</v>
      </c>
      <c r="FP328" s="16">
        <f>IFERROR(__xludf.DUMMYFUNCTION("""COMPUTED_VALUE"""),0.4527777777777778)</f>
        <v>0.4527777778</v>
      </c>
      <c r="FQ328" s="16">
        <f>IFERROR(__xludf.DUMMYFUNCTION("""COMPUTED_VALUE"""),0.15555555555555559)</f>
        <v>0.1555555556</v>
      </c>
      <c r="FR328" s="16"/>
      <c r="FS328" s="16"/>
      <c r="FT328" s="16"/>
      <c r="FU328" s="16"/>
      <c r="FV328" s="16"/>
      <c r="FW328" s="16">
        <f>IFERROR(__xludf.DUMMYFUNCTION("""COMPUTED_VALUE"""),-8.0)</f>
        <v>-8</v>
      </c>
      <c r="FX328" s="16">
        <f>IFERROR(__xludf.DUMMYFUNCTION("""COMPUTED_VALUE"""),-8.0)</f>
        <v>-8</v>
      </c>
      <c r="FY328" s="16">
        <f>IFERROR(__xludf.DUMMYFUNCTION("""COMPUTED_VALUE"""),-8.0)</f>
        <v>-8</v>
      </c>
      <c r="FZ328" s="16"/>
      <c r="GA328" s="16"/>
      <c r="GB328" s="16"/>
      <c r="GC328" s="16"/>
      <c r="GD328" s="16" t="s">
        <v>176</v>
      </c>
    </row>
    <row r="329">
      <c r="A329" s="16">
        <f>IFERROR(__xludf.DUMMYFUNCTION("""COMPUTED_VALUE"""),12853.0)</f>
        <v>12853</v>
      </c>
      <c r="B329" s="16" t="str">
        <f>IFERROR(__xludf.DUMMYFUNCTION("""COMPUTED_VALUE"""),"Grant McCray")</f>
        <v>Grant McCray</v>
      </c>
      <c r="C329" s="16">
        <f>IFERROR(__xludf.DUMMYFUNCTION("""COMPUTED_VALUE"""),0.0)</f>
        <v>0</v>
      </c>
      <c r="D329" s="16" t="str">
        <f>IFERROR(__xludf.DUMMYFUNCTION("""COMPUTED_VALUE"""),"L")</f>
        <v>L</v>
      </c>
      <c r="E329" s="16"/>
      <c r="F329" s="16"/>
      <c r="G329" s="16">
        <f>IFERROR(__xludf.DUMMYFUNCTION("""COMPUTED_VALUE"""),124.0)</f>
        <v>124</v>
      </c>
      <c r="H329" s="16">
        <f>IFERROR(__xludf.DUMMYFUNCTION("""COMPUTED_VALUE"""),6.0)</f>
        <v>6</v>
      </c>
      <c r="I329" s="16" t="str">
        <f>IFERROR(__xludf.DUMMYFUNCTION("""COMPUTED_VALUE"""),"1p20")</f>
        <v>1p20</v>
      </c>
      <c r="J329" s="16">
        <f>IFERROR(__xludf.DUMMYFUNCTION("""COMPUTED_VALUE"""),91.0)</f>
        <v>91</v>
      </c>
      <c r="K329" s="16">
        <f>IFERROR(__xludf.DUMMYFUNCTION("""COMPUTED_VALUE"""),62.0)</f>
        <v>62</v>
      </c>
      <c r="L329" s="16">
        <f>IFERROR(__xludf.DUMMYFUNCTION("""COMPUTED_VALUE"""),-3.0)</f>
        <v>-3</v>
      </c>
      <c r="M329" s="16">
        <f>IFERROR(__xludf.DUMMYFUNCTION("""COMPUTED_VALUE"""),-3.0)</f>
        <v>-3</v>
      </c>
      <c r="N329" s="16">
        <f>IFERROR(__xludf.DUMMYFUNCTION("""COMPUTED_VALUE"""),-3.0)</f>
        <v>-3</v>
      </c>
      <c r="O329" s="16">
        <f>IFERROR(__xludf.DUMMYFUNCTION("""COMPUTED_VALUE"""),-3.0)</f>
        <v>-3</v>
      </c>
      <c r="P329" s="16">
        <f>IFERROR(__xludf.DUMMYFUNCTION("""COMPUTED_VALUE"""),1.0)</f>
        <v>1</v>
      </c>
      <c r="Q329" s="16">
        <f>IFERROR(__xludf.DUMMYFUNCTION("""COMPUTED_VALUE"""),0.0)</f>
        <v>0</v>
      </c>
      <c r="R329" s="16">
        <f>IFERROR(__xludf.DUMMYFUNCTION("""COMPUTED_VALUE"""),-2.0)</f>
        <v>-2</v>
      </c>
      <c r="S329" s="16">
        <f>IFERROR(__xludf.DUMMYFUNCTION("""COMPUTED_VALUE"""),-2.0)</f>
        <v>-2</v>
      </c>
      <c r="T329" s="16">
        <f>IFERROR(__xludf.DUMMYFUNCTION("""COMPUTED_VALUE"""),-2.0)</f>
        <v>-2</v>
      </c>
      <c r="U329" s="16">
        <f>IFERROR(__xludf.DUMMYFUNCTION("""COMPUTED_VALUE"""),-2.0)</f>
        <v>-2</v>
      </c>
      <c r="V329" s="16">
        <f>IFERROR(__xludf.DUMMYFUNCTION("""COMPUTED_VALUE"""),3.9)</f>
        <v>3.9</v>
      </c>
      <c r="W329" s="16">
        <f>IFERROR(__xludf.DUMMYFUNCTION("""COMPUTED_VALUE"""),14.2)</f>
        <v>14.2</v>
      </c>
      <c r="X329" s="16">
        <f>IFERROR(__xludf.DUMMYFUNCTION("""COMPUTED_VALUE"""),-2.0)</f>
        <v>-2</v>
      </c>
      <c r="Y329" s="16">
        <f>IFERROR(__xludf.DUMMYFUNCTION("""COMPUTED_VALUE"""),-1.0)</f>
        <v>-1</v>
      </c>
      <c r="Z329" s="16">
        <f>IFERROR(__xludf.DUMMYFUNCTION("""COMPUTED_VALUE"""),-4.0)</f>
        <v>-4</v>
      </c>
      <c r="AA329" s="16">
        <f>IFERROR(__xludf.DUMMYFUNCTION("""COMPUTED_VALUE"""),-2.0)</f>
        <v>-2</v>
      </c>
      <c r="AB329" s="16">
        <f>IFERROR(__xludf.DUMMYFUNCTION("""COMPUTED_VALUE"""),4.9)</f>
        <v>4.9</v>
      </c>
      <c r="AC329" s="16">
        <f>IFERROR(__xludf.DUMMYFUNCTION("""COMPUTED_VALUE"""),14.2)</f>
        <v>14.2</v>
      </c>
      <c r="AD329" s="16">
        <f>IFERROR(__xludf.DUMMYFUNCTION("""COMPUTED_VALUE"""),-3.0)</f>
        <v>-3</v>
      </c>
      <c r="AE329" s="16">
        <f>IFERROR(__xludf.DUMMYFUNCTION("""COMPUTED_VALUE"""),-2.0)</f>
        <v>-2</v>
      </c>
      <c r="AF329" s="16">
        <f>IFERROR(__xludf.DUMMYFUNCTION("""COMPUTED_VALUE"""),-15.0)</f>
        <v>-15</v>
      </c>
      <c r="AG329" s="16">
        <f>IFERROR(__xludf.DUMMYFUNCTION("""COMPUTED_VALUE"""),-10.0)</f>
        <v>-10</v>
      </c>
      <c r="AH329" s="16">
        <f>IFERROR(__xludf.DUMMYFUNCTION("""COMPUTED_VALUE"""),6.9)</f>
        <v>6.9</v>
      </c>
      <c r="AI329" s="16">
        <f>IFERROR(__xludf.DUMMYFUNCTION("""COMPUTED_VALUE"""),31.9)</f>
        <v>31.9</v>
      </c>
      <c r="AJ329" s="16">
        <f>IFERROR(__xludf.DUMMYFUNCTION("""COMPUTED_VALUE"""),-2.0)</f>
        <v>-2</v>
      </c>
      <c r="AK329" s="16">
        <f>IFERROR(__xludf.DUMMYFUNCTION("""COMPUTED_VALUE"""),0.0)</f>
        <v>0</v>
      </c>
      <c r="AL329" s="16">
        <f>IFERROR(__xludf.DUMMYFUNCTION("""COMPUTED_VALUE"""),-10.0)</f>
        <v>-10</v>
      </c>
      <c r="AM329" s="16">
        <f>IFERROR(__xludf.DUMMYFUNCTION("""COMPUTED_VALUE"""),0.0)</f>
        <v>0</v>
      </c>
      <c r="AN329" s="16">
        <f>IFERROR(__xludf.DUMMYFUNCTION("""COMPUTED_VALUE"""),1.0)</f>
        <v>1</v>
      </c>
      <c r="AO329" s="16">
        <f>IFERROR(__xludf.DUMMYFUNCTION("""COMPUTED_VALUE"""),3.4)</f>
        <v>3.4</v>
      </c>
      <c r="AP329" s="16">
        <f>IFERROR(__xludf.DUMMYFUNCTION("""COMPUTED_VALUE"""),-2.0)</f>
        <v>-2</v>
      </c>
      <c r="AQ329" s="16">
        <f>IFERROR(__xludf.DUMMYFUNCTION("""COMPUTED_VALUE"""),1.0)</f>
        <v>1</v>
      </c>
      <c r="AR329" s="16">
        <f>IFERROR(__xludf.DUMMYFUNCTION("""COMPUTED_VALUE"""),-4.0)</f>
        <v>-4</v>
      </c>
      <c r="AS329" s="16">
        <f>IFERROR(__xludf.DUMMYFUNCTION("""COMPUTED_VALUE"""),2.0)</f>
        <v>2</v>
      </c>
      <c r="AT329" s="16">
        <f>IFERROR(__xludf.DUMMYFUNCTION("""COMPUTED_VALUE"""),2.0)</f>
        <v>2</v>
      </c>
      <c r="AU329" s="16">
        <f>IFERROR(__xludf.DUMMYFUNCTION("""COMPUTED_VALUE"""),7.0)</f>
        <v>7</v>
      </c>
      <c r="AV329" s="16">
        <f>IFERROR(__xludf.DUMMYFUNCTION("""COMPUTED_VALUE"""),2.0)</f>
        <v>2</v>
      </c>
      <c r="AW329" s="16">
        <f>IFERROR(__xludf.DUMMYFUNCTION("""COMPUTED_VALUE"""),7.0)</f>
        <v>7</v>
      </c>
      <c r="AX329" s="16">
        <f>IFERROR(__xludf.DUMMYFUNCTION("""COMPUTED_VALUE"""),0.0)</f>
        <v>0</v>
      </c>
      <c r="AY329" s="16">
        <f>IFERROR(__xludf.DUMMYFUNCTION("""COMPUTED_VALUE"""),3.0)</f>
        <v>3</v>
      </c>
      <c r="AZ329" s="16">
        <f>IFERROR(__xludf.DUMMYFUNCTION("""COMPUTED_VALUE"""),0.0)</f>
        <v>0</v>
      </c>
      <c r="BA329" s="16">
        <f>IFERROR(__xludf.DUMMYFUNCTION("""COMPUTED_VALUE"""),9.0)</f>
        <v>9</v>
      </c>
      <c r="BB329" s="16">
        <f>IFERROR(__xludf.DUMMYFUNCTION("""COMPUTED_VALUE"""),5.0)</f>
        <v>5</v>
      </c>
      <c r="BC329" s="16">
        <f>IFERROR(__xludf.DUMMYFUNCTION("""COMPUTED_VALUE"""),5.0)</f>
        <v>5</v>
      </c>
      <c r="BD329" s="16">
        <f>IFERROR(__xludf.DUMMYFUNCTION("""COMPUTED_VALUE"""),1.0)</f>
        <v>1</v>
      </c>
      <c r="BE329" s="16">
        <f>IFERROR(__xludf.DUMMYFUNCTION("""COMPUTED_VALUE"""),1.0)</f>
        <v>1</v>
      </c>
      <c r="BF329" s="16">
        <f>IFERROR(__xludf.DUMMYFUNCTION("""COMPUTED_VALUE"""),1.0)</f>
        <v>1</v>
      </c>
      <c r="BG329" s="16">
        <f>IFERROR(__xludf.DUMMYFUNCTION("""COMPUTED_VALUE"""),1.0)</f>
        <v>1</v>
      </c>
      <c r="BH329" s="16">
        <f>IFERROR(__xludf.DUMMYFUNCTION("""COMPUTED_VALUE"""),-1.0)</f>
        <v>-1</v>
      </c>
      <c r="BI329" s="16">
        <f>IFERROR(__xludf.DUMMYFUNCTION("""COMPUTED_VALUE"""),-5.0)</f>
        <v>-5</v>
      </c>
      <c r="BJ329" s="16">
        <f>IFERROR(__xludf.DUMMYFUNCTION("""COMPUTED_VALUE"""),2.0)</f>
        <v>2</v>
      </c>
      <c r="BK329" s="16">
        <f>IFERROR(__xludf.DUMMYFUNCTION("""COMPUTED_VALUE"""),17.0)</f>
        <v>17</v>
      </c>
      <c r="BL329" s="16">
        <f>IFERROR(__xludf.DUMMYFUNCTION("""COMPUTED_VALUE"""),2.0)</f>
        <v>2</v>
      </c>
      <c r="BM329" s="16">
        <f>IFERROR(__xludf.DUMMYFUNCTION("""COMPUTED_VALUE"""),-1.0)</f>
        <v>-1</v>
      </c>
      <c r="BN329" s="16">
        <f>IFERROR(__xludf.DUMMYFUNCTION("""COMPUTED_VALUE"""),2.0)</f>
        <v>2</v>
      </c>
      <c r="BO329" s="16">
        <f>IFERROR(__xludf.DUMMYFUNCTION("""COMPUTED_VALUE"""),-2.0)</f>
        <v>-2</v>
      </c>
      <c r="BP329" s="16">
        <f>IFERROR(__xludf.DUMMYFUNCTION("""COMPUTED_VALUE"""),-11.0)</f>
        <v>-11</v>
      </c>
      <c r="BQ329" s="16">
        <f>IFERROR(__xludf.DUMMYFUNCTION("""COMPUTED_VALUE"""),-4.0)</f>
        <v>-4</v>
      </c>
      <c r="BR329" s="16">
        <f>IFERROR(__xludf.DUMMYFUNCTION("""COMPUTED_VALUE"""),-15.0)</f>
        <v>-15</v>
      </c>
      <c r="BS329" s="16" t="str">
        <f>IFERROR(__xludf.DUMMYFUNCTION("""COMPUTED_VALUE"""),"*7/- (20-13)")</f>
        <v>*7/- (20-13)</v>
      </c>
      <c r="BT329" s="16" t="str">
        <f>IFERROR(__xludf.DUMMYFUNCTION("""COMPUTED_VALUE"""),"B")</f>
        <v>B</v>
      </c>
      <c r="BU329" s="16">
        <f>IFERROR(__xludf.DUMMYFUNCTION("""COMPUTED_VALUE"""),16.0)</f>
        <v>16</v>
      </c>
      <c r="BV329" s="16">
        <f>IFERROR(__xludf.DUMMYFUNCTION("""COMPUTED_VALUE"""),1.0)</f>
        <v>1</v>
      </c>
      <c r="BW329" s="16">
        <f>IFERROR(__xludf.DUMMYFUNCTION("""COMPUTED_VALUE"""),2.0)</f>
        <v>2</v>
      </c>
      <c r="BX329" s="16">
        <f>IFERROR(__xludf.DUMMYFUNCTION("""COMPUTED_VALUE"""),2.0)</f>
        <v>2</v>
      </c>
      <c r="BY329" s="16">
        <f>IFERROR(__xludf.DUMMYFUNCTION("""COMPUTED_VALUE"""),6.0)</f>
        <v>6</v>
      </c>
      <c r="BZ329" s="16" t="str">
        <f>IFERROR(__xludf.DUMMYFUNCTION("""COMPUTED_VALUE"""),"D")</f>
        <v>D</v>
      </c>
      <c r="CA329" s="16" t="str">
        <f>IFERROR(__xludf.DUMMYFUNCTION("""COMPUTED_VALUE"""),"D")</f>
        <v>D</v>
      </c>
      <c r="CB329" s="16">
        <f>IFERROR(__xludf.DUMMYFUNCTION("""COMPUTED_VALUE"""),0.0)</f>
        <v>0</v>
      </c>
      <c r="CC329" s="16">
        <f>IFERROR(__xludf.DUMMYFUNCTION("""COMPUTED_VALUE"""),0.0)</f>
        <v>0</v>
      </c>
      <c r="CD329" s="16">
        <f>IFERROR(__xludf.DUMMYFUNCTION("""COMPUTED_VALUE"""),0.0)</f>
        <v>0</v>
      </c>
      <c r="CE329" s="16">
        <f>IFERROR(__xludf.DUMMYFUNCTION("""COMPUTED_VALUE"""),0.0)</f>
        <v>0</v>
      </c>
      <c r="CF329" s="16">
        <f>IFERROR(__xludf.DUMMYFUNCTION("""COMPUTED_VALUE"""),1.0)</f>
        <v>1</v>
      </c>
      <c r="CG329" s="16">
        <f>IFERROR(__xludf.DUMMYFUNCTION("""COMPUTED_VALUE"""),-35.0)</f>
        <v>-35</v>
      </c>
      <c r="CH329" s="16">
        <f>IFERROR(__xludf.DUMMYFUNCTION("""COMPUTED_VALUE"""),-7.0)</f>
        <v>-7</v>
      </c>
      <c r="CI329" s="179">
        <f>IFERROR(__xludf.DUMMYFUNCTION("""COMPUTED_VALUE"""),-12.0)</f>
        <v>-12</v>
      </c>
      <c r="CJ329" s="16"/>
      <c r="CK329" s="16"/>
      <c r="CL329" s="16"/>
      <c r="CM329" s="16"/>
      <c r="CN329" s="16"/>
      <c r="CO329" s="16"/>
      <c r="CP329" s="16">
        <f>IFERROR(__xludf.DUMMYFUNCTION("""COMPUTED_VALUE"""),309.0)</f>
        <v>309</v>
      </c>
      <c r="CQ329" s="16"/>
      <c r="CR329" s="16" t="str">
        <f>IFERROR(__xludf.DUMMYFUNCTION("""COMPUTED_VALUE"""),"cf-3(0)e9")</f>
        <v>cf-3(0)e9</v>
      </c>
      <c r="CS329" s="16"/>
      <c r="CT329" s="16"/>
      <c r="CU329" s="16"/>
      <c r="CV329" s="16"/>
      <c r="CW329" s="16"/>
      <c r="CX329" s="16"/>
      <c r="CY329" s="16">
        <f>IFERROR(__xludf.DUMMYFUNCTION("""COMPUTED_VALUE"""),3.0)</f>
        <v>3</v>
      </c>
      <c r="CZ329" s="16"/>
      <c r="DA329" s="16"/>
      <c r="DB329" s="16"/>
      <c r="DC329" s="16"/>
      <c r="DD329" s="16"/>
      <c r="DE329" s="16"/>
      <c r="DF329" s="16"/>
      <c r="DG329" s="16">
        <f>IFERROR(__xludf.DUMMYFUNCTION("""COMPUTED_VALUE"""),9.0)</f>
        <v>9</v>
      </c>
      <c r="DH329" s="16"/>
      <c r="DI329" s="16"/>
      <c r="DJ329" s="16"/>
      <c r="DK329" s="16"/>
      <c r="DL329" s="16"/>
      <c r="DM329" s="16"/>
      <c r="DN329" s="16"/>
      <c r="DO329" s="16">
        <f>IFERROR(__xludf.DUMMYFUNCTION("""COMPUTED_VALUE"""),0.0)</f>
        <v>0</v>
      </c>
      <c r="DP329" s="16"/>
      <c r="DQ329" s="16"/>
      <c r="DR329" s="16"/>
      <c r="DS329" s="16"/>
      <c r="DT329" s="16"/>
      <c r="DU329" s="16"/>
      <c r="DV329" s="16"/>
      <c r="DW329" s="16">
        <f>IFERROR(__xludf.DUMMYFUNCTION("""COMPUTED_VALUE"""),2.0)</f>
        <v>2</v>
      </c>
      <c r="DX329" s="16"/>
      <c r="DY329" s="16"/>
      <c r="DZ329" s="16"/>
      <c r="EA329" s="16"/>
      <c r="EB329" s="16"/>
      <c r="EC329" s="16"/>
      <c r="ED329" s="16"/>
      <c r="EE329" s="16">
        <f>IFERROR(__xludf.DUMMYFUNCTION("""COMPUTED_VALUE"""),2.0)</f>
        <v>2</v>
      </c>
      <c r="EF329" s="16"/>
      <c r="EG329" s="179"/>
      <c r="EH329" s="179"/>
      <c r="EI329" s="179"/>
      <c r="EJ329" s="179"/>
      <c r="EK329" s="179"/>
      <c r="EL329" s="179"/>
      <c r="EM329" s="179">
        <f>IFERROR(__xludf.DUMMYFUNCTION("""COMPUTED_VALUE"""),-10.0)</f>
        <v>-10</v>
      </c>
      <c r="EN329" s="179"/>
      <c r="EO329" s="16"/>
      <c r="EP329" s="16">
        <f>IFERROR(__xludf.DUMMYFUNCTION("""COMPUTED_VALUE"""),2.0)</f>
        <v>2</v>
      </c>
      <c r="EQ329" s="16">
        <f>IFERROR(__xludf.DUMMYFUNCTION("""COMPUTED_VALUE"""),4.0)</f>
        <v>4</v>
      </c>
      <c r="ER329" s="16">
        <f>IFERROR(__xludf.DUMMYFUNCTION("""COMPUTED_VALUE"""),-4.0)</f>
        <v>-4</v>
      </c>
      <c r="ES329" s="16"/>
      <c r="ET329" s="16"/>
      <c r="EU329" s="16"/>
      <c r="EV329" s="16"/>
      <c r="EW329" s="16"/>
      <c r="EX329" s="180"/>
      <c r="EY329" s="180"/>
      <c r="EZ329" s="180"/>
      <c r="FA329" s="180"/>
      <c r="FB329" s="180"/>
      <c r="FC329" s="180"/>
      <c r="FD329" s="180">
        <f>IFERROR(__xludf.DUMMYFUNCTION("""COMPUTED_VALUE"""),0.3)</f>
        <v>0.3</v>
      </c>
      <c r="FE329" s="180"/>
      <c r="FF329" s="180"/>
      <c r="FG329" s="180"/>
      <c r="FH329" s="180"/>
      <c r="FI329" s="180"/>
      <c r="FJ329" s="180"/>
      <c r="FK329" s="180"/>
      <c r="FL329" s="180">
        <f>IFERROR(__xludf.DUMMYFUNCTION("""COMPUTED_VALUE"""),0.10185185185185185)</f>
        <v>0.1018518519</v>
      </c>
      <c r="FM329" s="180"/>
      <c r="FN329" s="16"/>
      <c r="FO329" s="16"/>
      <c r="FP329" s="16"/>
      <c r="FQ329" s="16"/>
      <c r="FR329" s="16"/>
      <c r="FS329" s="16"/>
      <c r="FT329" s="16">
        <f>IFERROR(__xludf.DUMMYFUNCTION("""COMPUTED_VALUE"""),0.6287037037037037)</f>
        <v>0.6287037037</v>
      </c>
      <c r="FU329" s="16"/>
      <c r="FV329" s="16"/>
      <c r="FW329" s="16"/>
      <c r="FX329" s="16"/>
      <c r="FY329" s="16"/>
      <c r="FZ329" s="16"/>
      <c r="GA329" s="16"/>
      <c r="GB329" s="16">
        <f>IFERROR(__xludf.DUMMYFUNCTION("""COMPUTED_VALUE"""),-8.0)</f>
        <v>-8</v>
      </c>
      <c r="GC329" s="16"/>
      <c r="GD329" s="16" t="s">
        <v>176</v>
      </c>
    </row>
    <row r="330">
      <c r="A330" s="16">
        <f>IFERROR(__xludf.DUMMYFUNCTION("""COMPUTED_VALUE"""),12616.0)</f>
        <v>12616</v>
      </c>
      <c r="B330" s="16" t="str">
        <f>IFERROR(__xludf.DUMMYFUNCTION("""COMPUTED_VALUE"""),"Brett Wisely")</f>
        <v>Brett Wisely</v>
      </c>
      <c r="C330" s="16">
        <f>IFERROR(__xludf.DUMMYFUNCTION("""COMPUTED_VALUE"""),0.53)</f>
        <v>0.53</v>
      </c>
      <c r="D330" s="16" t="str">
        <f>IFERROR(__xludf.DUMMYFUNCTION("""COMPUTED_VALUE"""),"L")</f>
        <v>L</v>
      </c>
      <c r="E330" s="16"/>
      <c r="F330" s="16"/>
      <c r="G330" s="16">
        <f>IFERROR(__xludf.DUMMYFUNCTION("""COMPUTED_VALUE"""),252.0)</f>
        <v>252</v>
      </c>
      <c r="H330" s="16">
        <f>IFERROR(__xludf.DUMMYFUNCTION("""COMPUTED_VALUE"""),13.0)</f>
        <v>13</v>
      </c>
      <c r="I330" s="16" t="str">
        <f>IFERROR(__xludf.DUMMYFUNCTION("""COMPUTED_VALUE"""),"1p40")</f>
        <v>1p40</v>
      </c>
      <c r="J330" s="16">
        <f>IFERROR(__xludf.DUMMYFUNCTION("""COMPUTED_VALUE"""),50.0)</f>
        <v>50</v>
      </c>
      <c r="K330" s="16">
        <f>IFERROR(__xludf.DUMMYFUNCTION("""COMPUTED_VALUE"""),22.0)</f>
        <v>22</v>
      </c>
      <c r="L330" s="16">
        <f>IFERROR(__xludf.DUMMYFUNCTION("""COMPUTED_VALUE"""),-2.0)</f>
        <v>-2</v>
      </c>
      <c r="M330" s="16">
        <f>IFERROR(__xludf.DUMMYFUNCTION("""COMPUTED_VALUE"""),0.0)</f>
        <v>0</v>
      </c>
      <c r="N330" s="16">
        <f>IFERROR(__xludf.DUMMYFUNCTION("""COMPUTED_VALUE"""),-2.0)</f>
        <v>-2</v>
      </c>
      <c r="O330" s="16">
        <f>IFERROR(__xludf.DUMMYFUNCTION("""COMPUTED_VALUE"""),0.0)</f>
        <v>0</v>
      </c>
      <c r="P330" s="16">
        <f>IFERROR(__xludf.DUMMYFUNCTION("""COMPUTED_VALUE"""),0.0)</f>
        <v>0</v>
      </c>
      <c r="Q330" s="16">
        <f>IFERROR(__xludf.DUMMYFUNCTION("""COMPUTED_VALUE"""),2.0)</f>
        <v>2</v>
      </c>
      <c r="R330" s="16">
        <f>IFERROR(__xludf.DUMMYFUNCTION("""COMPUTED_VALUE"""),-3.0)</f>
        <v>-3</v>
      </c>
      <c r="S330" s="16">
        <f>IFERROR(__xludf.DUMMYFUNCTION("""COMPUTED_VALUE"""),-2.0)</f>
        <v>-2</v>
      </c>
      <c r="T330" s="16">
        <f>IFERROR(__xludf.DUMMYFUNCTION("""COMPUTED_VALUE"""),-3.0)</f>
        <v>-3</v>
      </c>
      <c r="U330" s="16">
        <f>IFERROR(__xludf.DUMMYFUNCTION("""COMPUTED_VALUE"""),-2.0)</f>
        <v>-2</v>
      </c>
      <c r="V330" s="16">
        <f>IFERROR(__xludf.DUMMYFUNCTION("""COMPUTED_VALUE"""),31.4)</f>
        <v>31.4</v>
      </c>
      <c r="W330" s="16">
        <f>IFERROR(__xludf.DUMMYFUNCTION("""COMPUTED_VALUE"""),16.0)</f>
        <v>16</v>
      </c>
      <c r="X330" s="16">
        <f>IFERROR(__xludf.DUMMYFUNCTION("""COMPUTED_VALUE"""),2.0)</f>
        <v>2</v>
      </c>
      <c r="Y330" s="16">
        <f>IFERROR(__xludf.DUMMYFUNCTION("""COMPUTED_VALUE"""),-1.0)</f>
        <v>-1</v>
      </c>
      <c r="Z330" s="16">
        <f>IFERROR(__xludf.DUMMYFUNCTION("""COMPUTED_VALUE"""),4.0)</f>
        <v>4</v>
      </c>
      <c r="AA330" s="16">
        <f>IFERROR(__xludf.DUMMYFUNCTION("""COMPUTED_VALUE"""),-2.0)</f>
        <v>-2</v>
      </c>
      <c r="AB330" s="16">
        <f>IFERROR(__xludf.DUMMYFUNCTION("""COMPUTED_VALUE"""),33.3)</f>
        <v>33.3</v>
      </c>
      <c r="AC330" s="16">
        <f>IFERROR(__xludf.DUMMYFUNCTION("""COMPUTED_VALUE"""),20.0)</f>
        <v>20</v>
      </c>
      <c r="AD330" s="16">
        <f>IFERROR(__xludf.DUMMYFUNCTION("""COMPUTED_VALUE"""),0.0)</f>
        <v>0</v>
      </c>
      <c r="AE330" s="16">
        <f>IFERROR(__xludf.DUMMYFUNCTION("""COMPUTED_VALUE"""),-2.0)</f>
        <v>-2</v>
      </c>
      <c r="AF330" s="16">
        <f>IFERROR(__xludf.DUMMYFUNCTION("""COMPUTED_VALUE"""),0.0)</f>
        <v>0</v>
      </c>
      <c r="AG330" s="16">
        <f>IFERROR(__xludf.DUMMYFUNCTION("""COMPUTED_VALUE"""),-10.0)</f>
        <v>-10</v>
      </c>
      <c r="AH330" s="16">
        <f>IFERROR(__xludf.DUMMYFUNCTION("""COMPUTED_VALUE"""),53.0)</f>
        <v>53</v>
      </c>
      <c r="AI330" s="16">
        <f>IFERROR(__xludf.DUMMYFUNCTION("""COMPUTED_VALUE"""),25.8)</f>
        <v>25.8</v>
      </c>
      <c r="AJ330" s="16">
        <f>IFERROR(__xludf.DUMMYFUNCTION("""COMPUTED_VALUE"""),2.0)</f>
        <v>2</v>
      </c>
      <c r="AK330" s="16">
        <f>IFERROR(__xludf.DUMMYFUNCTION("""COMPUTED_VALUE"""),-1.0)</f>
        <v>-1</v>
      </c>
      <c r="AL330" s="16">
        <f>IFERROR(__xludf.DUMMYFUNCTION("""COMPUTED_VALUE"""),10.0)</f>
        <v>10</v>
      </c>
      <c r="AM330" s="16">
        <f>IFERROR(__xludf.DUMMYFUNCTION("""COMPUTED_VALUE"""),-5.0)</f>
        <v>-5</v>
      </c>
      <c r="AN330" s="16">
        <f>IFERROR(__xludf.DUMMYFUNCTION("""COMPUTED_VALUE"""),2.8)</f>
        <v>2.8</v>
      </c>
      <c r="AO330" s="16">
        <f>IFERROR(__xludf.DUMMYFUNCTION("""COMPUTED_VALUE"""),2.0)</f>
        <v>2</v>
      </c>
      <c r="AP330" s="16">
        <f>IFERROR(__xludf.DUMMYFUNCTION("""COMPUTED_VALUE"""),1.0)</f>
        <v>1</v>
      </c>
      <c r="AQ330" s="16">
        <f>IFERROR(__xludf.DUMMYFUNCTION("""COMPUTED_VALUE"""),-1.0)</f>
        <v>-1</v>
      </c>
      <c r="AR330" s="16">
        <f>IFERROR(__xludf.DUMMYFUNCTION("""COMPUTED_VALUE"""),2.0)</f>
        <v>2</v>
      </c>
      <c r="AS330" s="16">
        <f>IFERROR(__xludf.DUMMYFUNCTION("""COMPUTED_VALUE"""),-2.0)</f>
        <v>-2</v>
      </c>
      <c r="AT330" s="16">
        <f>IFERROR(__xludf.DUMMYFUNCTION("""COMPUTED_VALUE"""),5.0)</f>
        <v>5</v>
      </c>
      <c r="AU330" s="16"/>
      <c r="AV330" s="16">
        <f>IFERROR(__xludf.DUMMYFUNCTION("""COMPUTED_VALUE"""),5.0)</f>
        <v>5</v>
      </c>
      <c r="AW330" s="16">
        <f>IFERROR(__xludf.DUMMYFUNCTION("""COMPUTED_VALUE"""),-3.0)</f>
        <v>-3</v>
      </c>
      <c r="AX330" s="16">
        <f>IFERROR(__xludf.DUMMYFUNCTION("""COMPUTED_VALUE"""),3.0)</f>
        <v>3</v>
      </c>
      <c r="AY330" s="16">
        <f>IFERROR(__xludf.DUMMYFUNCTION("""COMPUTED_VALUE"""),-3.0)</f>
        <v>-3</v>
      </c>
      <c r="AZ330" s="16">
        <f>IFERROR(__xludf.DUMMYFUNCTION("""COMPUTED_VALUE"""),9.0)</f>
        <v>9</v>
      </c>
      <c r="BA330" s="16">
        <f>IFERROR(__xludf.DUMMYFUNCTION("""COMPUTED_VALUE"""),-9.0)</f>
        <v>-9</v>
      </c>
      <c r="BB330" s="16">
        <f>IFERROR(__xludf.DUMMYFUNCTION("""COMPUTED_VALUE"""),5.0)</f>
        <v>5</v>
      </c>
      <c r="BC330" s="16">
        <f>IFERROR(__xludf.DUMMYFUNCTION("""COMPUTED_VALUE"""),5.0)</f>
        <v>5</v>
      </c>
      <c r="BD330" s="16">
        <f>IFERROR(__xludf.DUMMYFUNCTION("""COMPUTED_VALUE"""),1.0)</f>
        <v>1</v>
      </c>
      <c r="BE330" s="16">
        <f>IFERROR(__xludf.DUMMYFUNCTION("""COMPUTED_VALUE"""),1.0)</f>
        <v>1</v>
      </c>
      <c r="BF330" s="16">
        <f>IFERROR(__xludf.DUMMYFUNCTION("""COMPUTED_VALUE"""),1.0)</f>
        <v>1</v>
      </c>
      <c r="BG330" s="16">
        <f>IFERROR(__xludf.DUMMYFUNCTION("""COMPUTED_VALUE"""),1.0)</f>
        <v>1</v>
      </c>
      <c r="BH330" s="16">
        <f>IFERROR(__xludf.DUMMYFUNCTION("""COMPUTED_VALUE"""),8.0)</f>
        <v>8</v>
      </c>
      <c r="BI330" s="16">
        <f>IFERROR(__xludf.DUMMYFUNCTION("""COMPUTED_VALUE"""),8.0)</f>
        <v>8</v>
      </c>
      <c r="BJ330" s="16">
        <f>IFERROR(__xludf.DUMMYFUNCTION("""COMPUTED_VALUE"""),9.0)</f>
        <v>9</v>
      </c>
      <c r="BK330" s="16">
        <f>IFERROR(__xludf.DUMMYFUNCTION("""COMPUTED_VALUE"""),8.0)</f>
        <v>8</v>
      </c>
      <c r="BL330" s="16">
        <f>IFERROR(__xludf.DUMMYFUNCTION("""COMPUTED_VALUE"""),0.0)</f>
        <v>0</v>
      </c>
      <c r="BM330" s="16">
        <f>IFERROR(__xludf.DUMMYFUNCTION("""COMPUTED_VALUE"""),1.0)</f>
        <v>1</v>
      </c>
      <c r="BN330" s="16">
        <f>IFERROR(__xludf.DUMMYFUNCTION("""COMPUTED_VALUE"""),0.0)</f>
        <v>0</v>
      </c>
      <c r="BO330" s="16">
        <f>IFERROR(__xludf.DUMMYFUNCTION("""COMPUTED_VALUE"""),1.0)</f>
        <v>1</v>
      </c>
      <c r="BP330" s="16">
        <f>IFERROR(__xludf.DUMMYFUNCTION("""COMPUTED_VALUE"""),4.0)</f>
        <v>4</v>
      </c>
      <c r="BQ330" s="16">
        <f>IFERROR(__xludf.DUMMYFUNCTION("""COMPUTED_VALUE"""),-8.0)</f>
        <v>-8</v>
      </c>
      <c r="BR330" s="16">
        <f>IFERROR(__xludf.DUMMYFUNCTION("""COMPUTED_VALUE"""),-4.0)</f>
        <v>-4</v>
      </c>
      <c r="BS330" s="16" t="str">
        <f>IFERROR(__xludf.DUMMYFUNCTION("""COMPUTED_VALUE"""),"2-5/9,10 (13-4)")</f>
        <v>2-5/9,10 (13-4)</v>
      </c>
      <c r="BT330" s="16" t="str">
        <f>IFERROR(__xludf.DUMMYFUNCTION("""COMPUTED_VALUE"""),"D")</f>
        <v>D</v>
      </c>
      <c r="BU330" s="16">
        <f>IFERROR(__xludf.DUMMYFUNCTION("""COMPUTED_VALUE"""),13.0)</f>
        <v>13</v>
      </c>
      <c r="BV330" s="16">
        <f>IFERROR(__xludf.DUMMYFUNCTION("""COMPUTED_VALUE"""),0.0)</f>
        <v>0</v>
      </c>
      <c r="BW330" s="16">
        <f>IFERROR(__xludf.DUMMYFUNCTION("""COMPUTED_VALUE"""),1.0)</f>
        <v>1</v>
      </c>
      <c r="BX330" s="16">
        <f>IFERROR(__xludf.DUMMYFUNCTION("""COMPUTED_VALUE"""),0.0)</f>
        <v>0</v>
      </c>
      <c r="BY330" s="16">
        <f>IFERROR(__xludf.DUMMYFUNCTION("""COMPUTED_VALUE"""),3.0)</f>
        <v>3</v>
      </c>
      <c r="BZ330" s="16" t="str">
        <f>IFERROR(__xludf.DUMMYFUNCTION("""COMPUTED_VALUE"""),"B")</f>
        <v>B</v>
      </c>
      <c r="CA330" s="16" t="str">
        <f>IFERROR(__xludf.DUMMYFUNCTION("""COMPUTED_VALUE"""),"D")</f>
        <v>D</v>
      </c>
      <c r="CB330" s="16">
        <f>IFERROR(__xludf.DUMMYFUNCTION("""COMPUTED_VALUE"""),1.0)</f>
        <v>1</v>
      </c>
      <c r="CC330" s="16">
        <f>IFERROR(__xludf.DUMMYFUNCTION("""COMPUTED_VALUE"""),0.0)</f>
        <v>0</v>
      </c>
      <c r="CD330" s="16">
        <f>IFERROR(__xludf.DUMMYFUNCTION("""COMPUTED_VALUE"""),1.0)</f>
        <v>1</v>
      </c>
      <c r="CE330" s="16">
        <f>IFERROR(__xludf.DUMMYFUNCTION("""COMPUTED_VALUE"""),0.0)</f>
        <v>0</v>
      </c>
      <c r="CF330" s="16">
        <f>IFERROR(__xludf.DUMMYFUNCTION("""COMPUTED_VALUE"""),1.0)</f>
        <v>1</v>
      </c>
      <c r="CG330" s="16">
        <f>IFERROR(__xludf.DUMMYFUNCTION("""COMPUTED_VALUE"""),21.0)</f>
        <v>21</v>
      </c>
      <c r="CH330" s="16">
        <f>IFERROR(__xludf.DUMMYFUNCTION("""COMPUTED_VALUE"""),-28.0)</f>
        <v>-28</v>
      </c>
      <c r="CI330" s="179">
        <f>IFERROR(__xludf.DUMMYFUNCTION("""COMPUTED_VALUE"""),-12.0)</f>
        <v>-12</v>
      </c>
      <c r="CJ330" s="16"/>
      <c r="CK330" s="16">
        <f>IFERROR(__xludf.DUMMYFUNCTION("""COMPUTED_VALUE"""),424.0)</f>
        <v>424</v>
      </c>
      <c r="CL330" s="16">
        <f>IFERROR(__xludf.DUMMYFUNCTION("""COMPUTED_VALUE"""),308.0)</f>
        <v>308</v>
      </c>
      <c r="CM330" s="16">
        <f>IFERROR(__xludf.DUMMYFUNCTION("""COMPUTED_VALUE"""),411.0)</f>
        <v>411</v>
      </c>
      <c r="CN330" s="16">
        <f>IFERROR(__xludf.DUMMYFUNCTION("""COMPUTED_VALUE"""),305.0)</f>
        <v>305</v>
      </c>
      <c r="CO330" s="16"/>
      <c r="CP330" s="16">
        <f>IFERROR(__xludf.DUMMYFUNCTION("""COMPUTED_VALUE"""),311.0)</f>
        <v>311</v>
      </c>
      <c r="CQ330" s="16"/>
      <c r="CR330" s="16" t="str">
        <f>IFERROR(__xludf.DUMMYFUNCTION("""COMPUTED_VALUE"""),"ss-3e5 2b-3e8 3b-4e11 1b-4e24 cf-3(+1)e11")</f>
        <v>ss-3e5 2b-3e8 3b-4e11 1b-4e24 cf-3(+1)e11</v>
      </c>
      <c r="CS330" s="16"/>
      <c r="CT330" s="16">
        <f>IFERROR(__xludf.DUMMYFUNCTION("""COMPUTED_VALUE"""),4.0)</f>
        <v>4</v>
      </c>
      <c r="CU330" s="16">
        <f>IFERROR(__xludf.DUMMYFUNCTION("""COMPUTED_VALUE"""),3.0)</f>
        <v>3</v>
      </c>
      <c r="CV330" s="16">
        <f>IFERROR(__xludf.DUMMYFUNCTION("""COMPUTED_VALUE"""),4.0)</f>
        <v>4</v>
      </c>
      <c r="CW330" s="16">
        <f>IFERROR(__xludf.DUMMYFUNCTION("""COMPUTED_VALUE"""),3.0)</f>
        <v>3</v>
      </c>
      <c r="CX330" s="16"/>
      <c r="CY330" s="16">
        <f>IFERROR(__xludf.DUMMYFUNCTION("""COMPUTED_VALUE"""),3.0)</f>
        <v>3</v>
      </c>
      <c r="CZ330" s="16"/>
      <c r="DA330" s="16"/>
      <c r="DB330" s="16">
        <f>IFERROR(__xludf.DUMMYFUNCTION("""COMPUTED_VALUE"""),24.0)</f>
        <v>24</v>
      </c>
      <c r="DC330" s="16">
        <f>IFERROR(__xludf.DUMMYFUNCTION("""COMPUTED_VALUE"""),8.0)</f>
        <v>8</v>
      </c>
      <c r="DD330" s="16">
        <f>IFERROR(__xludf.DUMMYFUNCTION("""COMPUTED_VALUE"""),11.0)</f>
        <v>11</v>
      </c>
      <c r="DE330" s="16">
        <f>IFERROR(__xludf.DUMMYFUNCTION("""COMPUTED_VALUE"""),5.0)</f>
        <v>5</v>
      </c>
      <c r="DF330" s="16"/>
      <c r="DG330" s="16">
        <f>IFERROR(__xludf.DUMMYFUNCTION("""COMPUTED_VALUE"""),11.0)</f>
        <v>11</v>
      </c>
      <c r="DH330" s="16"/>
      <c r="DI330" s="16"/>
      <c r="DJ330" s="16">
        <f>IFERROR(__xludf.DUMMYFUNCTION("""COMPUTED_VALUE"""),0.0)</f>
        <v>0</v>
      </c>
      <c r="DK330" s="16">
        <f>IFERROR(__xludf.DUMMYFUNCTION("""COMPUTED_VALUE"""),0.0)</f>
        <v>0</v>
      </c>
      <c r="DL330" s="16">
        <f>IFERROR(__xludf.DUMMYFUNCTION("""COMPUTED_VALUE"""),0.0)</f>
        <v>0</v>
      </c>
      <c r="DM330" s="16">
        <f>IFERROR(__xludf.DUMMYFUNCTION("""COMPUTED_VALUE"""),0.0)</f>
        <v>0</v>
      </c>
      <c r="DN330" s="16"/>
      <c r="DO330" s="16">
        <f>IFERROR(__xludf.DUMMYFUNCTION("""COMPUTED_VALUE"""),0.0)</f>
        <v>0</v>
      </c>
      <c r="DP330" s="16"/>
      <c r="DQ330" s="16"/>
      <c r="DR330" s="16">
        <f>IFERROR(__xludf.DUMMYFUNCTION("""COMPUTED_VALUE"""),-2.0)</f>
        <v>-2</v>
      </c>
      <c r="DS330" s="16">
        <f>IFERROR(__xludf.DUMMYFUNCTION("""COMPUTED_VALUE"""),3.0)</f>
        <v>3</v>
      </c>
      <c r="DT330" s="16">
        <f>IFERROR(__xludf.DUMMYFUNCTION("""COMPUTED_VALUE"""),1.0)</f>
        <v>1</v>
      </c>
      <c r="DU330" s="16">
        <f>IFERROR(__xludf.DUMMYFUNCTION("""COMPUTED_VALUE"""),3.0)</f>
        <v>3</v>
      </c>
      <c r="DV330" s="16"/>
      <c r="DW330" s="16">
        <f>IFERROR(__xludf.DUMMYFUNCTION("""COMPUTED_VALUE"""),2.0)</f>
        <v>2</v>
      </c>
      <c r="DX330" s="16"/>
      <c r="DY330" s="16"/>
      <c r="DZ330" s="16">
        <f>IFERROR(__xludf.DUMMYFUNCTION("""COMPUTED_VALUE"""),-2.0)</f>
        <v>-2</v>
      </c>
      <c r="EA330" s="16">
        <f>IFERROR(__xludf.DUMMYFUNCTION("""COMPUTED_VALUE"""),3.0)</f>
        <v>3</v>
      </c>
      <c r="EB330" s="16">
        <f>IFERROR(__xludf.DUMMYFUNCTION("""COMPUTED_VALUE"""),1.0)</f>
        <v>1</v>
      </c>
      <c r="EC330" s="16">
        <f>IFERROR(__xludf.DUMMYFUNCTION("""COMPUTED_VALUE"""),3.0)</f>
        <v>3</v>
      </c>
      <c r="ED330" s="16"/>
      <c r="EE330" s="16">
        <f>IFERROR(__xludf.DUMMYFUNCTION("""COMPUTED_VALUE"""),2.0)</f>
        <v>2</v>
      </c>
      <c r="EF330" s="16"/>
      <c r="EG330" s="179"/>
      <c r="EH330" s="179">
        <f>IFERROR(__xludf.DUMMYFUNCTION("""COMPUTED_VALUE"""),-14.0)</f>
        <v>-14</v>
      </c>
      <c r="EI330" s="179">
        <f>IFERROR(__xludf.DUMMYFUNCTION("""COMPUTED_VALUE"""),-9.0)</f>
        <v>-9</v>
      </c>
      <c r="EJ330" s="179">
        <f>IFERROR(__xludf.DUMMYFUNCTION("""COMPUTED_VALUE"""),-11.0)</f>
        <v>-11</v>
      </c>
      <c r="EK330" s="179">
        <f>IFERROR(__xludf.DUMMYFUNCTION("""COMPUTED_VALUE"""),-9.0)</f>
        <v>-9</v>
      </c>
      <c r="EL330" s="179"/>
      <c r="EM330" s="179">
        <f>IFERROR(__xludf.DUMMYFUNCTION("""COMPUTED_VALUE"""),-10.0)</f>
        <v>-10</v>
      </c>
      <c r="EN330" s="179"/>
      <c r="EO330" s="16"/>
      <c r="EP330" s="16"/>
      <c r="EQ330" s="16">
        <f>IFERROR(__xludf.DUMMYFUNCTION("""COMPUTED_VALUE"""),4.0)</f>
        <v>4</v>
      </c>
      <c r="ER330" s="16">
        <f>IFERROR(__xludf.DUMMYFUNCTION("""COMPUTED_VALUE"""),-1.0)</f>
        <v>-1</v>
      </c>
      <c r="ES330" s="16"/>
      <c r="ET330" s="16"/>
      <c r="EU330" s="16"/>
      <c r="EV330" s="16"/>
      <c r="EW330" s="16"/>
      <c r="EX330" s="180"/>
      <c r="EY330" s="180">
        <f>IFERROR(__xludf.DUMMYFUNCTION("""COMPUTED_VALUE"""),0.3)</f>
        <v>0.3</v>
      </c>
      <c r="EZ330" s="180">
        <f>IFERROR(__xludf.DUMMYFUNCTION("""COMPUTED_VALUE"""),0.2)</f>
        <v>0.2</v>
      </c>
      <c r="FA330" s="180">
        <f>IFERROR(__xludf.DUMMYFUNCTION("""COMPUTED_VALUE"""),0.3)</f>
        <v>0.3</v>
      </c>
      <c r="FB330" s="180">
        <f>IFERROR(__xludf.DUMMYFUNCTION("""COMPUTED_VALUE"""),0.2)</f>
        <v>0.2</v>
      </c>
      <c r="FC330" s="180"/>
      <c r="FD330" s="180">
        <f>IFERROR(__xludf.DUMMYFUNCTION("""COMPUTED_VALUE"""),0.3)</f>
        <v>0.3</v>
      </c>
      <c r="FE330" s="180"/>
      <c r="FF330" s="180"/>
      <c r="FG330" s="180">
        <f>IFERROR(__xludf.DUMMYFUNCTION("""COMPUTED_VALUE"""),0.4305555555555556)</f>
        <v>0.4305555556</v>
      </c>
      <c r="FH330" s="180">
        <f>IFERROR(__xludf.DUMMYFUNCTION("""COMPUTED_VALUE"""),0.046296296296296294)</f>
        <v>0.0462962963</v>
      </c>
      <c r="FI330" s="180">
        <f>IFERROR(__xludf.DUMMYFUNCTION("""COMPUTED_VALUE"""),0.13425925925925927)</f>
        <v>0.1342592593</v>
      </c>
      <c r="FJ330" s="180">
        <f>IFERROR(__xludf.DUMMYFUNCTION("""COMPUTED_VALUE"""),0.023148148148148147)</f>
        <v>0.02314814815</v>
      </c>
      <c r="FK330" s="180"/>
      <c r="FL330" s="180">
        <f>IFERROR(__xludf.DUMMYFUNCTION("""COMPUTED_VALUE"""),0.13425925925925927)</f>
        <v>0.1342592593</v>
      </c>
      <c r="FM330" s="180"/>
      <c r="FN330" s="16"/>
      <c r="FO330" s="16">
        <f>IFERROR(__xludf.DUMMYFUNCTION("""COMPUTED_VALUE"""),0.3986111111111111)</f>
        <v>0.3986111111</v>
      </c>
      <c r="FP330" s="16">
        <f>IFERROR(__xludf.DUMMYFUNCTION("""COMPUTED_VALUE"""),0.7629629629629631)</f>
        <v>0.762962963</v>
      </c>
      <c r="FQ330" s="16">
        <f>IFERROR(__xludf.DUMMYFUNCTION("""COMPUTED_VALUE"""),0.6060185185185184)</f>
        <v>0.6060185185</v>
      </c>
      <c r="FR330" s="16">
        <f>IFERROR(__xludf.DUMMYFUNCTION("""COMPUTED_VALUE"""),0.7814814814814816)</f>
        <v>0.7814814815</v>
      </c>
      <c r="FS330" s="16"/>
      <c r="FT330" s="16">
        <f>IFERROR(__xludf.DUMMYFUNCTION("""COMPUTED_VALUE"""),0.6060185185185184)</f>
        <v>0.6060185185</v>
      </c>
      <c r="FU330" s="16"/>
      <c r="FV330" s="16"/>
      <c r="FW330" s="16">
        <f>IFERROR(__xludf.DUMMYFUNCTION("""COMPUTED_VALUE"""),-8.0)</f>
        <v>-8</v>
      </c>
      <c r="FX330" s="16">
        <f>IFERROR(__xludf.DUMMYFUNCTION("""COMPUTED_VALUE"""),-1.0)</f>
        <v>-1</v>
      </c>
      <c r="FY330" s="16">
        <f>IFERROR(__xludf.DUMMYFUNCTION("""COMPUTED_VALUE"""),-6.0)</f>
        <v>-6</v>
      </c>
      <c r="FZ330" s="16">
        <f>IFERROR(__xludf.DUMMYFUNCTION("""COMPUTED_VALUE"""),-1.0)</f>
        <v>-1</v>
      </c>
      <c r="GA330" s="16"/>
      <c r="GB330" s="16">
        <f>IFERROR(__xludf.DUMMYFUNCTION("""COMPUTED_VALUE"""),-6.0)</f>
        <v>-6</v>
      </c>
      <c r="GC330" s="16"/>
      <c r="GD330" s="16" t="s">
        <v>289</v>
      </c>
    </row>
    <row r="331">
      <c r="A331" s="16">
        <f>IFERROR(__xludf.DUMMYFUNCTION("""COMPUTED_VALUE"""),13218.0)</f>
        <v>13218</v>
      </c>
      <c r="B331" s="16" t="str">
        <f>IFERROR(__xludf.DUMMYFUNCTION("""COMPUTED_VALUE"""),"Mitch Garver")</f>
        <v>Mitch Garver</v>
      </c>
      <c r="C331" s="16">
        <f>IFERROR(__xludf.DUMMYFUNCTION("""COMPUTED_VALUE"""),0.0)</f>
        <v>0</v>
      </c>
      <c r="D331" s="16" t="str">
        <f>IFERROR(__xludf.DUMMYFUNCTION("""COMPUTED_VALUE"""),"R")</f>
        <v>R</v>
      </c>
      <c r="E331" s="16"/>
      <c r="F331" s="16"/>
      <c r="G331" s="16">
        <f>IFERROR(__xludf.DUMMYFUNCTION("""COMPUTED_VALUE"""),367.0)</f>
        <v>367</v>
      </c>
      <c r="H331" s="16">
        <f>IFERROR(__xludf.DUMMYFUNCTION("""COMPUTED_VALUE"""),53.0)</f>
        <v>53</v>
      </c>
      <c r="I331" s="16" t="str">
        <f>IFERROR(__xludf.DUMMYFUNCTION("""COMPUTED_VALUE"""),"2p60")</f>
        <v>2p60</v>
      </c>
      <c r="J331" s="16">
        <f>IFERROR(__xludf.DUMMYFUNCTION("""COMPUTED_VALUE"""),29.0)</f>
        <v>29</v>
      </c>
      <c r="K331" s="16">
        <f>IFERROR(__xludf.DUMMYFUNCTION("""COMPUTED_VALUE"""),49.0)</f>
        <v>49</v>
      </c>
      <c r="L331" s="16">
        <f>IFERROR(__xludf.DUMMYFUNCTION("""COMPUTED_VALUE"""),0.0)</f>
        <v>0</v>
      </c>
      <c r="M331" s="16">
        <f>IFERROR(__xludf.DUMMYFUNCTION("""COMPUTED_VALUE"""),-2.0)</f>
        <v>-2</v>
      </c>
      <c r="N331" s="16">
        <f>IFERROR(__xludf.DUMMYFUNCTION("""COMPUTED_VALUE"""),0.0)</f>
        <v>0</v>
      </c>
      <c r="O331" s="16">
        <f>IFERROR(__xludf.DUMMYFUNCTION("""COMPUTED_VALUE"""),-2.0)</f>
        <v>-2</v>
      </c>
      <c r="P331" s="16">
        <f>IFERROR(__xludf.DUMMYFUNCTION("""COMPUTED_VALUE"""),21.0)</f>
        <v>21</v>
      </c>
      <c r="Q331" s="16">
        <f>IFERROR(__xludf.DUMMYFUNCTION("""COMPUTED_VALUE"""),17.0)</f>
        <v>17</v>
      </c>
      <c r="R331" s="16">
        <f>IFERROR(__xludf.DUMMYFUNCTION("""COMPUTED_VALUE"""),3.0)</f>
        <v>3</v>
      </c>
      <c r="S331" s="16">
        <f>IFERROR(__xludf.DUMMYFUNCTION("""COMPUTED_VALUE"""),2.0)</f>
        <v>2</v>
      </c>
      <c r="T331" s="16">
        <f>IFERROR(__xludf.DUMMYFUNCTION("""COMPUTED_VALUE"""),3.0)</f>
        <v>3</v>
      </c>
      <c r="U331" s="16">
        <f>IFERROR(__xludf.DUMMYFUNCTION("""COMPUTED_VALUE"""),2.0)</f>
        <v>2</v>
      </c>
      <c r="V331" s="16">
        <f>IFERROR(__xludf.DUMMYFUNCTION("""COMPUTED_VALUE"""),8.8)</f>
        <v>8.8</v>
      </c>
      <c r="W331" s="16">
        <f>IFERROR(__xludf.DUMMYFUNCTION("""COMPUTED_VALUE"""),3.1)</f>
        <v>3.1</v>
      </c>
      <c r="X331" s="16">
        <f>IFERROR(__xludf.DUMMYFUNCTION("""COMPUTED_VALUE"""),-2.0)</f>
        <v>-2</v>
      </c>
      <c r="Y331" s="16">
        <f>IFERROR(__xludf.DUMMYFUNCTION("""COMPUTED_VALUE"""),-3.0)</f>
        <v>-3</v>
      </c>
      <c r="Z331" s="16">
        <f>IFERROR(__xludf.DUMMYFUNCTION("""COMPUTED_VALUE"""),-4.0)</f>
        <v>-4</v>
      </c>
      <c r="AA331" s="16">
        <f>IFERROR(__xludf.DUMMYFUNCTION("""COMPUTED_VALUE"""),-6.0)</f>
        <v>-6</v>
      </c>
      <c r="AB331" s="16">
        <f>IFERROR(__xludf.DUMMYFUNCTION("""COMPUTED_VALUE"""),33.8)</f>
        <v>33.8</v>
      </c>
      <c r="AC331" s="16">
        <f>IFERROR(__xludf.DUMMYFUNCTION("""COMPUTED_VALUE"""),24.1)</f>
        <v>24.1</v>
      </c>
      <c r="AD331" s="16">
        <f>IFERROR(__xludf.DUMMYFUNCTION("""COMPUTED_VALUE"""),0.0)</f>
        <v>0</v>
      </c>
      <c r="AE331" s="16">
        <f>IFERROR(__xludf.DUMMYFUNCTION("""COMPUTED_VALUE"""),-1.0)</f>
        <v>-1</v>
      </c>
      <c r="AF331" s="16">
        <f>IFERROR(__xludf.DUMMYFUNCTION("""COMPUTED_VALUE"""),0.0)</f>
        <v>0</v>
      </c>
      <c r="AG331" s="16">
        <f>IFERROR(__xludf.DUMMYFUNCTION("""COMPUTED_VALUE"""),-5.0)</f>
        <v>-5</v>
      </c>
      <c r="AH331" s="16">
        <f>IFERROR(__xludf.DUMMYFUNCTION("""COMPUTED_VALUE"""),26.3)</f>
        <v>26.3</v>
      </c>
      <c r="AI331" s="16">
        <f>IFERROR(__xludf.DUMMYFUNCTION("""COMPUTED_VALUE"""),9.3)</f>
        <v>9.3</v>
      </c>
      <c r="AJ331" s="16">
        <f>IFERROR(__xludf.DUMMYFUNCTION("""COMPUTED_VALUE"""),0.0)</f>
        <v>0</v>
      </c>
      <c r="AK331" s="16">
        <f>IFERROR(__xludf.DUMMYFUNCTION("""COMPUTED_VALUE"""),-2.0)</f>
        <v>-2</v>
      </c>
      <c r="AL331" s="16">
        <f>IFERROR(__xludf.DUMMYFUNCTION("""COMPUTED_VALUE"""),0.0)</f>
        <v>0</v>
      </c>
      <c r="AM331" s="16">
        <f>IFERROR(__xludf.DUMMYFUNCTION("""COMPUTED_VALUE"""),-10.0)</f>
        <v>-10</v>
      </c>
      <c r="AN331" s="16">
        <f>IFERROR(__xludf.DUMMYFUNCTION("""COMPUTED_VALUE"""),4.4)</f>
        <v>4.4</v>
      </c>
      <c r="AO331" s="16">
        <f>IFERROR(__xludf.DUMMYFUNCTION("""COMPUTED_VALUE"""),1.6)</f>
        <v>1.6</v>
      </c>
      <c r="AP331" s="16">
        <f>IFERROR(__xludf.DUMMYFUNCTION("""COMPUTED_VALUE"""),2.0)</f>
        <v>2</v>
      </c>
      <c r="AQ331" s="16">
        <f>IFERROR(__xludf.DUMMYFUNCTION("""COMPUTED_VALUE"""),-1.0)</f>
        <v>-1</v>
      </c>
      <c r="AR331" s="16">
        <f>IFERROR(__xludf.DUMMYFUNCTION("""COMPUTED_VALUE"""),4.0)</f>
        <v>4</v>
      </c>
      <c r="AS331" s="16">
        <f>IFERROR(__xludf.DUMMYFUNCTION("""COMPUTED_VALUE"""),-2.0)</f>
        <v>-2</v>
      </c>
      <c r="AT331" s="16"/>
      <c r="AU331" s="16"/>
      <c r="AV331" s="16">
        <f>IFERROR(__xludf.DUMMYFUNCTION("""COMPUTED_VALUE"""),7.0)</f>
        <v>7</v>
      </c>
      <c r="AW331" s="16">
        <f>IFERROR(__xludf.DUMMYFUNCTION("""COMPUTED_VALUE"""),2.0)</f>
        <v>2</v>
      </c>
      <c r="AX331" s="16">
        <f>IFERROR(__xludf.DUMMYFUNCTION("""COMPUTED_VALUE"""),3.0)</f>
        <v>3</v>
      </c>
      <c r="AY331" s="16">
        <f>IFERROR(__xludf.DUMMYFUNCTION("""COMPUTED_VALUE"""),0.0)</f>
        <v>0</v>
      </c>
      <c r="AZ331" s="16">
        <f>IFERROR(__xludf.DUMMYFUNCTION("""COMPUTED_VALUE"""),9.0)</f>
        <v>9</v>
      </c>
      <c r="BA331" s="16">
        <f>IFERROR(__xludf.DUMMYFUNCTION("""COMPUTED_VALUE"""),0.0)</f>
        <v>0</v>
      </c>
      <c r="BB331" s="16">
        <f>IFERROR(__xludf.DUMMYFUNCTION("""COMPUTED_VALUE"""),0.0)</f>
        <v>0</v>
      </c>
      <c r="BC331" s="16">
        <f>IFERROR(__xludf.DUMMYFUNCTION("""COMPUTED_VALUE"""),0.0)</f>
        <v>0</v>
      </c>
      <c r="BD331" s="16">
        <f>IFERROR(__xludf.DUMMYFUNCTION("""COMPUTED_VALUE"""),0.0)</f>
        <v>0</v>
      </c>
      <c r="BE331" s="16">
        <f>IFERROR(__xludf.DUMMYFUNCTION("""COMPUTED_VALUE"""),0.0)</f>
        <v>0</v>
      </c>
      <c r="BF331" s="16">
        <f>IFERROR(__xludf.DUMMYFUNCTION("""COMPUTED_VALUE"""),0.0)</f>
        <v>0</v>
      </c>
      <c r="BG331" s="16">
        <f>IFERROR(__xludf.DUMMYFUNCTION("""COMPUTED_VALUE"""),0.0)</f>
        <v>0</v>
      </c>
      <c r="BH331" s="16">
        <f>IFERROR(__xludf.DUMMYFUNCTION("""COMPUTED_VALUE"""),0.0)</f>
        <v>0</v>
      </c>
      <c r="BI331" s="16">
        <f>IFERROR(__xludf.DUMMYFUNCTION("""COMPUTED_VALUE"""),0.0)</f>
        <v>0</v>
      </c>
      <c r="BJ331" s="16">
        <f>IFERROR(__xludf.DUMMYFUNCTION("""COMPUTED_VALUE"""),15.0)</f>
        <v>15</v>
      </c>
      <c r="BK331" s="16">
        <f>IFERROR(__xludf.DUMMYFUNCTION("""COMPUTED_VALUE"""),12.0)</f>
        <v>12</v>
      </c>
      <c r="BL331" s="16">
        <f>IFERROR(__xludf.DUMMYFUNCTION("""COMPUTED_VALUE"""),-1.0)</f>
        <v>-1</v>
      </c>
      <c r="BM331" s="16">
        <f>IFERROR(__xludf.DUMMYFUNCTION("""COMPUTED_VALUE"""),0.0)</f>
        <v>0</v>
      </c>
      <c r="BN331" s="16">
        <f>IFERROR(__xludf.DUMMYFUNCTION("""COMPUTED_VALUE"""),-2.0)</f>
        <v>-2</v>
      </c>
      <c r="BO331" s="16">
        <f>IFERROR(__xludf.DUMMYFUNCTION("""COMPUTED_VALUE"""),0.0)</f>
        <v>0</v>
      </c>
      <c r="BP331" s="16">
        <f>IFERROR(__xludf.DUMMYFUNCTION("""COMPUTED_VALUE"""),5.0)</f>
        <v>5</v>
      </c>
      <c r="BQ331" s="16">
        <f>IFERROR(__xludf.DUMMYFUNCTION("""COMPUTED_VALUE"""),-7.0)</f>
        <v>-7</v>
      </c>
      <c r="BR331" s="16">
        <f>IFERROR(__xludf.DUMMYFUNCTION("""COMPUTED_VALUE"""),-2.0)</f>
        <v>-2</v>
      </c>
      <c r="BS331" s="16" t="str">
        <f>IFERROR(__xludf.DUMMYFUNCTION("""COMPUTED_VALUE"""),"-/- (---)")</f>
        <v>-/- (---)</v>
      </c>
      <c r="BT331" s="16" t="str">
        <f>IFERROR(__xludf.DUMMYFUNCTION("""COMPUTED_VALUE"""),"E")</f>
        <v>E</v>
      </c>
      <c r="BU331" s="16">
        <f>IFERROR(__xludf.DUMMYFUNCTION("""COMPUTED_VALUE"""),10.0)</f>
        <v>10</v>
      </c>
      <c r="BV331" s="16">
        <f>IFERROR(__xludf.DUMMYFUNCTION("""COMPUTED_VALUE"""),0.0)</f>
        <v>0</v>
      </c>
      <c r="BW331" s="16">
        <f>IFERROR(__xludf.DUMMYFUNCTION("""COMPUTED_VALUE"""),0.0)</f>
        <v>0</v>
      </c>
      <c r="BX331" s="16">
        <f>IFERROR(__xludf.DUMMYFUNCTION("""COMPUTED_VALUE"""),0.0)</f>
        <v>0</v>
      </c>
      <c r="BY331" s="16">
        <f>IFERROR(__xludf.DUMMYFUNCTION("""COMPUTED_VALUE"""),0.0)</f>
        <v>0</v>
      </c>
      <c r="BZ331" s="16" t="str">
        <f>IFERROR(__xludf.DUMMYFUNCTION("""COMPUTED_VALUE"""),"D")</f>
        <v>D</v>
      </c>
      <c r="CA331" s="16" t="str">
        <f>IFERROR(__xludf.DUMMYFUNCTION("""COMPUTED_VALUE"""),"D")</f>
        <v>D</v>
      </c>
      <c r="CB331" s="16">
        <f>IFERROR(__xludf.DUMMYFUNCTION("""COMPUTED_VALUE"""),0.0)</f>
        <v>0</v>
      </c>
      <c r="CC331" s="16">
        <f>IFERROR(__xludf.DUMMYFUNCTION("""COMPUTED_VALUE"""),0.0)</f>
        <v>0</v>
      </c>
      <c r="CD331" s="16">
        <f>IFERROR(__xludf.DUMMYFUNCTION("""COMPUTED_VALUE"""),0.0)</f>
        <v>0</v>
      </c>
      <c r="CE331" s="16">
        <f>IFERROR(__xludf.DUMMYFUNCTION("""COMPUTED_VALUE"""),0.0)</f>
        <v>0</v>
      </c>
      <c r="CF331" s="16">
        <f>IFERROR(__xludf.DUMMYFUNCTION("""COMPUTED_VALUE"""),2.0)</f>
        <v>2</v>
      </c>
      <c r="CG331" s="16">
        <f>IFERROR(__xludf.DUMMYFUNCTION("""COMPUTED_VALUE"""),10.0)</f>
        <v>10</v>
      </c>
      <c r="CH331" s="16">
        <f>IFERROR(__xludf.DUMMYFUNCTION("""COMPUTED_VALUE"""),-23.0)</f>
        <v>-23</v>
      </c>
      <c r="CI331" s="179">
        <f>IFERROR(__xludf.DUMMYFUNCTION("""COMPUTED_VALUE"""),-12.0)</f>
        <v>-12</v>
      </c>
      <c r="CJ331" s="16">
        <f>IFERROR(__xludf.DUMMYFUNCTION("""COMPUTED_VALUE"""),403.0)</f>
        <v>403</v>
      </c>
      <c r="CK331" s="16"/>
      <c r="CL331" s="16"/>
      <c r="CM331" s="16"/>
      <c r="CN331" s="16"/>
      <c r="CO331" s="16"/>
      <c r="CP331" s="16"/>
      <c r="CQ331" s="16"/>
      <c r="CR331" s="16" t="str">
        <f>IFERROR(__xludf.DUMMYFUNCTION("""COMPUTED_VALUE"""),"c-4(+1)e3,T-3(pb-0)")</f>
        <v>c-4(+1)e3,T-3(pb-0)</v>
      </c>
      <c r="CS331" s="16">
        <f>IFERROR(__xludf.DUMMYFUNCTION("""COMPUTED_VALUE"""),4.0)</f>
        <v>4</v>
      </c>
      <c r="CT331" s="16"/>
      <c r="CU331" s="16"/>
      <c r="CV331" s="16"/>
      <c r="CW331" s="16"/>
      <c r="CX331" s="16"/>
      <c r="CY331" s="16"/>
      <c r="CZ331" s="16"/>
      <c r="DA331" s="16">
        <f>IFERROR(__xludf.DUMMYFUNCTION("""COMPUTED_VALUE"""),3.0)</f>
        <v>3</v>
      </c>
      <c r="DB331" s="16"/>
      <c r="DC331" s="16"/>
      <c r="DD331" s="16"/>
      <c r="DE331" s="16"/>
      <c r="DF331" s="16"/>
      <c r="DG331" s="16"/>
      <c r="DH331" s="16"/>
      <c r="DI331" s="16">
        <f>IFERROR(__xludf.DUMMYFUNCTION("""COMPUTED_VALUE"""),-2.0)</f>
        <v>-2</v>
      </c>
      <c r="DJ331" s="16"/>
      <c r="DK331" s="16"/>
      <c r="DL331" s="16"/>
      <c r="DM331" s="16"/>
      <c r="DN331" s="16"/>
      <c r="DO331" s="16"/>
      <c r="DP331" s="16"/>
      <c r="DQ331" s="16">
        <f>IFERROR(__xludf.DUMMYFUNCTION("""COMPUTED_VALUE"""),3.0)</f>
        <v>3</v>
      </c>
      <c r="DR331" s="16"/>
      <c r="DS331" s="16"/>
      <c r="DT331" s="16"/>
      <c r="DU331" s="16"/>
      <c r="DV331" s="16"/>
      <c r="DW331" s="16"/>
      <c r="DX331" s="16"/>
      <c r="DY331" s="16">
        <f>IFERROR(__xludf.DUMMYFUNCTION("""COMPUTED_VALUE"""),1.0)</f>
        <v>1</v>
      </c>
      <c r="DZ331" s="16"/>
      <c r="EA331" s="16"/>
      <c r="EB331" s="16"/>
      <c r="EC331" s="16"/>
      <c r="ED331" s="16"/>
      <c r="EE331" s="16"/>
      <c r="EF331" s="16"/>
      <c r="EG331" s="179">
        <f>IFERROR(__xludf.DUMMYFUNCTION("""COMPUTED_VALUE"""),-10.0)</f>
        <v>-10</v>
      </c>
      <c r="EH331" s="179"/>
      <c r="EI331" s="179"/>
      <c r="EJ331" s="179"/>
      <c r="EK331" s="179"/>
      <c r="EL331" s="179"/>
      <c r="EM331" s="179"/>
      <c r="EN331" s="179"/>
      <c r="EO331" s="16">
        <f>IFERROR(__xludf.DUMMYFUNCTION("""COMPUTED_VALUE"""),1.0)</f>
        <v>1</v>
      </c>
      <c r="EP331" s="16">
        <f>IFERROR(__xludf.DUMMYFUNCTION("""COMPUTED_VALUE"""),1.0)</f>
        <v>1</v>
      </c>
      <c r="EQ331" s="16">
        <f>IFERROR(__xludf.DUMMYFUNCTION("""COMPUTED_VALUE"""),2.0)</f>
        <v>2</v>
      </c>
      <c r="ER331" s="16">
        <f>IFERROR(__xludf.DUMMYFUNCTION("""COMPUTED_VALUE"""),1.0)</f>
        <v>1</v>
      </c>
      <c r="ES331" s="16" t="str">
        <f>IFERROR(__xludf.DUMMYFUNCTION("""COMPUTED_VALUE"""),"c-4")</f>
        <v>c-4</v>
      </c>
      <c r="ET331" s="16" t="str">
        <f>IFERROR(__xludf.DUMMYFUNCTION("""COMPUTED_VALUE"""),"+1)e3,T-3")</f>
        <v>+1)e3,T-3</v>
      </c>
      <c r="EU331" s="16" t="str">
        <f>IFERROR(__xludf.DUMMYFUNCTION("""COMPUTED_VALUE"""),"pb-0)")</f>
        <v>pb-0)</v>
      </c>
      <c r="EV331" s="16"/>
      <c r="EW331" s="16">
        <f>IFERROR(__xludf.DUMMYFUNCTION("""COMPUTED_VALUE"""),1.0)</f>
        <v>1</v>
      </c>
      <c r="EX331" s="180">
        <f>IFERROR(__xludf.DUMMYFUNCTION("""COMPUTED_VALUE"""),0.3)</f>
        <v>0.3</v>
      </c>
      <c r="EY331" s="180"/>
      <c r="EZ331" s="180"/>
      <c r="FA331" s="180"/>
      <c r="FB331" s="180"/>
      <c r="FC331" s="180"/>
      <c r="FD331" s="180"/>
      <c r="FE331" s="180"/>
      <c r="FF331" s="180">
        <f>IFERROR(__xludf.DUMMYFUNCTION("""COMPUTED_VALUE"""),0.038)</f>
        <v>0.038</v>
      </c>
      <c r="FG331" s="180"/>
      <c r="FH331" s="180"/>
      <c r="FI331" s="180"/>
      <c r="FJ331" s="180"/>
      <c r="FK331" s="180"/>
      <c r="FL331" s="180"/>
      <c r="FM331" s="180"/>
      <c r="FN331" s="16">
        <f>IFERROR(__xludf.DUMMYFUNCTION("""COMPUTED_VALUE"""),0.6733999999999999)</f>
        <v>0.6734</v>
      </c>
      <c r="FO331" s="16"/>
      <c r="FP331" s="16"/>
      <c r="FQ331" s="16"/>
      <c r="FR331" s="16"/>
      <c r="FS331" s="16"/>
      <c r="FT331" s="16"/>
      <c r="FU331" s="16"/>
      <c r="FV331" s="16">
        <f>IFERROR(__xludf.DUMMYFUNCTION("""COMPUTED_VALUE"""),-5.0)</f>
        <v>-5</v>
      </c>
      <c r="FW331" s="16"/>
      <c r="FX331" s="16"/>
      <c r="FY331" s="16"/>
      <c r="FZ331" s="16"/>
      <c r="GA331" s="16"/>
      <c r="GB331" s="16"/>
      <c r="GC331" s="16"/>
      <c r="GD331" s="16" t="s">
        <v>277</v>
      </c>
    </row>
    <row r="332">
      <c r="A332" s="16">
        <f>IFERROR(__xludf.DUMMYFUNCTION("""COMPUTED_VALUE"""),12505.0)</f>
        <v>12505</v>
      </c>
      <c r="B332" s="16" t="str">
        <f>IFERROR(__xludf.DUMMYFUNCTION("""COMPUTED_VALUE"""),"Addison Barger")</f>
        <v>Addison Barger</v>
      </c>
      <c r="C332" s="16">
        <f>IFERROR(__xludf.DUMMYFUNCTION("""COMPUTED_VALUE"""),0.31)</f>
        <v>0.31</v>
      </c>
      <c r="D332" s="16" t="str">
        <f>IFERROR(__xludf.DUMMYFUNCTION("""COMPUTED_VALUE"""),"L")</f>
        <v>L</v>
      </c>
      <c r="E332" s="16"/>
      <c r="F332" s="16"/>
      <c r="G332" s="16">
        <f>IFERROR(__xludf.DUMMYFUNCTION("""COMPUTED_VALUE"""),208.0)</f>
        <v>208</v>
      </c>
      <c r="H332" s="16">
        <f>IFERROR(__xludf.DUMMYFUNCTION("""COMPUTED_VALUE"""),14.0)</f>
        <v>14</v>
      </c>
      <c r="I332" s="16" t="str">
        <f>IFERROR(__xludf.DUMMYFUNCTION("""COMPUTED_VALUE"""),"1p40")</f>
        <v>1p40</v>
      </c>
      <c r="J332" s="16">
        <f>IFERROR(__xludf.DUMMYFUNCTION("""COMPUTED_VALUE"""),56.0)</f>
        <v>56</v>
      </c>
      <c r="K332" s="16">
        <f>IFERROR(__xludf.DUMMYFUNCTION("""COMPUTED_VALUE"""),29.0)</f>
        <v>29</v>
      </c>
      <c r="L332" s="16">
        <f>IFERROR(__xludf.DUMMYFUNCTION("""COMPUTED_VALUE"""),-2.0)</f>
        <v>-2</v>
      </c>
      <c r="M332" s="16">
        <f>IFERROR(__xludf.DUMMYFUNCTION("""COMPUTED_VALUE"""),0.0)</f>
        <v>0</v>
      </c>
      <c r="N332" s="16">
        <f>IFERROR(__xludf.DUMMYFUNCTION("""COMPUTED_VALUE"""),-2.0)</f>
        <v>-2</v>
      </c>
      <c r="O332" s="16">
        <f>IFERROR(__xludf.DUMMYFUNCTION("""COMPUTED_VALUE"""),0.0)</f>
        <v>0</v>
      </c>
      <c r="P332" s="16">
        <f>IFERROR(__xludf.DUMMYFUNCTION("""COMPUTED_VALUE"""),0.0)</f>
        <v>0</v>
      </c>
      <c r="Q332" s="16">
        <f>IFERROR(__xludf.DUMMYFUNCTION("""COMPUTED_VALUE"""),5.0)</f>
        <v>5</v>
      </c>
      <c r="R332" s="16">
        <f>IFERROR(__xludf.DUMMYFUNCTION("""COMPUTED_VALUE"""),-3.0)</f>
        <v>-3</v>
      </c>
      <c r="S332" s="16">
        <f>IFERROR(__xludf.DUMMYFUNCTION("""COMPUTED_VALUE"""),-1.0)</f>
        <v>-1</v>
      </c>
      <c r="T332" s="16">
        <f>IFERROR(__xludf.DUMMYFUNCTION("""COMPUTED_VALUE"""),-3.0)</f>
        <v>-3</v>
      </c>
      <c r="U332" s="16">
        <f>IFERROR(__xludf.DUMMYFUNCTION("""COMPUTED_VALUE"""),-1.0)</f>
        <v>-1</v>
      </c>
      <c r="V332" s="16">
        <f>IFERROR(__xludf.DUMMYFUNCTION("""COMPUTED_VALUE"""),7.8)</f>
        <v>7.8</v>
      </c>
      <c r="W332" s="16">
        <f>IFERROR(__xludf.DUMMYFUNCTION("""COMPUTED_VALUE"""),12.1)</f>
        <v>12.1</v>
      </c>
      <c r="X332" s="16">
        <f>IFERROR(__xludf.DUMMYFUNCTION("""COMPUTED_VALUE"""),-2.0)</f>
        <v>-2</v>
      </c>
      <c r="Y332" s="16">
        <f>IFERROR(__xludf.DUMMYFUNCTION("""COMPUTED_VALUE"""),-2.0)</f>
        <v>-2</v>
      </c>
      <c r="Z332" s="16">
        <f>IFERROR(__xludf.DUMMYFUNCTION("""COMPUTED_VALUE"""),-4.0)</f>
        <v>-4</v>
      </c>
      <c r="AA332" s="16">
        <f>IFERROR(__xludf.DUMMYFUNCTION("""COMPUTED_VALUE"""),-4.0)</f>
        <v>-4</v>
      </c>
      <c r="AB332" s="16">
        <f>IFERROR(__xludf.DUMMYFUNCTION("""COMPUTED_VALUE"""),8.8)</f>
        <v>8.8</v>
      </c>
      <c r="AC332" s="16">
        <f>IFERROR(__xludf.DUMMYFUNCTION("""COMPUTED_VALUE"""),18.1)</f>
        <v>18.1</v>
      </c>
      <c r="AD332" s="16">
        <f>IFERROR(__xludf.DUMMYFUNCTION("""COMPUTED_VALUE"""),-2.0)</f>
        <v>-2</v>
      </c>
      <c r="AE332" s="16">
        <f>IFERROR(__xludf.DUMMYFUNCTION("""COMPUTED_VALUE"""),-2.0)</f>
        <v>-2</v>
      </c>
      <c r="AF332" s="16">
        <f>IFERROR(__xludf.DUMMYFUNCTION("""COMPUTED_VALUE"""),-10.0)</f>
        <v>-10</v>
      </c>
      <c r="AG332" s="16">
        <f>IFERROR(__xludf.DUMMYFUNCTION("""COMPUTED_VALUE"""),-10.0)</f>
        <v>-10</v>
      </c>
      <c r="AH332" s="16">
        <f>IFERROR(__xludf.DUMMYFUNCTION("""COMPUTED_VALUE"""),14.4)</f>
        <v>14.4</v>
      </c>
      <c r="AI332" s="16">
        <f>IFERROR(__xludf.DUMMYFUNCTION("""COMPUTED_VALUE"""),26.7)</f>
        <v>26.7</v>
      </c>
      <c r="AJ332" s="16">
        <f>IFERROR(__xludf.DUMMYFUNCTION("""COMPUTED_VALUE"""),-2.0)</f>
        <v>-2</v>
      </c>
      <c r="AK332" s="16">
        <f>IFERROR(__xludf.DUMMYFUNCTION("""COMPUTED_VALUE"""),-1.0)</f>
        <v>-1</v>
      </c>
      <c r="AL332" s="16">
        <f>IFERROR(__xludf.DUMMYFUNCTION("""COMPUTED_VALUE"""),-10.0)</f>
        <v>-10</v>
      </c>
      <c r="AM332" s="16">
        <f>IFERROR(__xludf.DUMMYFUNCTION("""COMPUTED_VALUE"""),-5.0)</f>
        <v>-5</v>
      </c>
      <c r="AN332" s="16">
        <f>IFERROR(__xludf.DUMMYFUNCTION("""COMPUTED_VALUE"""),0.0)</f>
        <v>0</v>
      </c>
      <c r="AO332" s="16">
        <f>IFERROR(__xludf.DUMMYFUNCTION("""COMPUTED_VALUE"""),3.0)</f>
        <v>3</v>
      </c>
      <c r="AP332" s="16">
        <f>IFERROR(__xludf.DUMMYFUNCTION("""COMPUTED_VALUE"""),-2.0)</f>
        <v>-2</v>
      </c>
      <c r="AQ332" s="16">
        <f>IFERROR(__xludf.DUMMYFUNCTION("""COMPUTED_VALUE"""),1.0)</f>
        <v>1</v>
      </c>
      <c r="AR332" s="16">
        <f>IFERROR(__xludf.DUMMYFUNCTION("""COMPUTED_VALUE"""),-4.0)</f>
        <v>-4</v>
      </c>
      <c r="AS332" s="16">
        <f>IFERROR(__xludf.DUMMYFUNCTION("""COMPUTED_VALUE"""),2.0)</f>
        <v>2</v>
      </c>
      <c r="AT332" s="16"/>
      <c r="AU332" s="16">
        <f>IFERROR(__xludf.DUMMYFUNCTION("""COMPUTED_VALUE"""),5.0)</f>
        <v>5</v>
      </c>
      <c r="AV332" s="16">
        <f>IFERROR(__xludf.DUMMYFUNCTION("""COMPUTED_VALUE"""),-3.0)</f>
        <v>-3</v>
      </c>
      <c r="AW332" s="16">
        <f>IFERROR(__xludf.DUMMYFUNCTION("""COMPUTED_VALUE"""),5.0)</f>
        <v>5</v>
      </c>
      <c r="AX332" s="16">
        <f>IFERROR(__xludf.DUMMYFUNCTION("""COMPUTED_VALUE"""),-3.0)</f>
        <v>-3</v>
      </c>
      <c r="AY332" s="16">
        <f>IFERROR(__xludf.DUMMYFUNCTION("""COMPUTED_VALUE"""),2.0)</f>
        <v>2</v>
      </c>
      <c r="AZ332" s="16">
        <f>IFERROR(__xludf.DUMMYFUNCTION("""COMPUTED_VALUE"""),-9.0)</f>
        <v>-9</v>
      </c>
      <c r="BA332" s="16">
        <f>IFERROR(__xludf.DUMMYFUNCTION("""COMPUTED_VALUE"""),6.0)</f>
        <v>6</v>
      </c>
      <c r="BB332" s="16">
        <f>IFERROR(__xludf.DUMMYFUNCTION("""COMPUTED_VALUE"""),0.0)</f>
        <v>0</v>
      </c>
      <c r="BC332" s="16">
        <f>IFERROR(__xludf.DUMMYFUNCTION("""COMPUTED_VALUE"""),5.0)</f>
        <v>5</v>
      </c>
      <c r="BD332" s="16">
        <f>IFERROR(__xludf.DUMMYFUNCTION("""COMPUTED_VALUE"""),0.0)</f>
        <v>0</v>
      </c>
      <c r="BE332" s="16">
        <f>IFERROR(__xludf.DUMMYFUNCTION("""COMPUTED_VALUE"""),1.0)</f>
        <v>1</v>
      </c>
      <c r="BF332" s="16">
        <f>IFERROR(__xludf.DUMMYFUNCTION("""COMPUTED_VALUE"""),0.0)</f>
        <v>0</v>
      </c>
      <c r="BG332" s="16">
        <f>IFERROR(__xludf.DUMMYFUNCTION("""COMPUTED_VALUE"""),1.0)</f>
        <v>1</v>
      </c>
      <c r="BH332" s="16">
        <f>IFERROR(__xludf.DUMMYFUNCTION("""COMPUTED_VALUE"""),0.0)</f>
        <v>0</v>
      </c>
      <c r="BI332" s="16">
        <f>IFERROR(__xludf.DUMMYFUNCTION("""COMPUTED_VALUE"""),8.0)</f>
        <v>8</v>
      </c>
      <c r="BJ332" s="16">
        <f>IFERROR(__xludf.DUMMYFUNCTION("""COMPUTED_VALUE"""),1.0)</f>
        <v>1</v>
      </c>
      <c r="BK332" s="16">
        <f>IFERROR(__xludf.DUMMYFUNCTION("""COMPUTED_VALUE"""),0.0)</f>
        <v>0</v>
      </c>
      <c r="BL332" s="16">
        <f>IFERROR(__xludf.DUMMYFUNCTION("""COMPUTED_VALUE"""),2.0)</f>
        <v>2</v>
      </c>
      <c r="BM332" s="16">
        <f>IFERROR(__xludf.DUMMYFUNCTION("""COMPUTED_VALUE"""),3.0)</f>
        <v>3</v>
      </c>
      <c r="BN332" s="16">
        <f>IFERROR(__xludf.DUMMYFUNCTION("""COMPUTED_VALUE"""),2.0)</f>
        <v>2</v>
      </c>
      <c r="BO332" s="16">
        <f>IFERROR(__xludf.DUMMYFUNCTION("""COMPUTED_VALUE"""),3.0)</f>
        <v>3</v>
      </c>
      <c r="BP332" s="16">
        <f>IFERROR(__xludf.DUMMYFUNCTION("""COMPUTED_VALUE"""),-14.0)</f>
        <v>-14</v>
      </c>
      <c r="BQ332" s="16">
        <f>IFERROR(__xludf.DUMMYFUNCTION("""COMPUTED_VALUE"""),1.0)</f>
        <v>1</v>
      </c>
      <c r="BR332" s="16">
        <f>IFERROR(__xludf.DUMMYFUNCTION("""COMPUTED_VALUE"""),-13.0)</f>
        <v>-13</v>
      </c>
      <c r="BS332" s="16" t="str">
        <f>IFERROR(__xludf.DUMMYFUNCTION("""COMPUTED_VALUE"""),"3/- (20-6)")</f>
        <v>3/- (20-6)</v>
      </c>
      <c r="BT332" s="16" t="str">
        <f>IFERROR(__xludf.DUMMYFUNCTION("""COMPUTED_VALUE"""),"D")</f>
        <v>D</v>
      </c>
      <c r="BU332" s="16">
        <f>IFERROR(__xludf.DUMMYFUNCTION("""COMPUTED_VALUE"""),13.0)</f>
        <v>13</v>
      </c>
      <c r="BV332" s="16">
        <f>IFERROR(__xludf.DUMMYFUNCTION("""COMPUTED_VALUE"""),0.0)</f>
        <v>0</v>
      </c>
      <c r="BW332" s="16">
        <f>IFERROR(__xludf.DUMMYFUNCTION("""COMPUTED_VALUE"""),1.0)</f>
        <v>1</v>
      </c>
      <c r="BX332" s="16">
        <f>IFERROR(__xludf.DUMMYFUNCTION("""COMPUTED_VALUE"""),0.0)</f>
        <v>0</v>
      </c>
      <c r="BY332" s="16">
        <f>IFERROR(__xludf.DUMMYFUNCTION("""COMPUTED_VALUE"""),3.0)</f>
        <v>3</v>
      </c>
      <c r="BZ332" s="16" t="str">
        <f>IFERROR(__xludf.DUMMYFUNCTION("""COMPUTED_VALUE"""),"D")</f>
        <v>D</v>
      </c>
      <c r="CA332" s="16" t="str">
        <f>IFERROR(__xludf.DUMMYFUNCTION("""COMPUTED_VALUE"""),"D")</f>
        <v>D</v>
      </c>
      <c r="CB332" s="16">
        <f>IFERROR(__xludf.DUMMYFUNCTION("""COMPUTED_VALUE"""),0.0)</f>
        <v>0</v>
      </c>
      <c r="CC332" s="16">
        <f>IFERROR(__xludf.DUMMYFUNCTION("""COMPUTED_VALUE"""),0.0)</f>
        <v>0</v>
      </c>
      <c r="CD332" s="16">
        <f>IFERROR(__xludf.DUMMYFUNCTION("""COMPUTED_VALUE"""),0.0)</f>
        <v>0</v>
      </c>
      <c r="CE332" s="16">
        <f>IFERROR(__xludf.DUMMYFUNCTION("""COMPUTED_VALUE"""),0.0)</f>
        <v>0</v>
      </c>
      <c r="CF332" s="16">
        <f>IFERROR(__xludf.DUMMYFUNCTION("""COMPUTED_VALUE"""),1.0)</f>
        <v>1</v>
      </c>
      <c r="CG332" s="16">
        <f>IFERROR(__xludf.DUMMYFUNCTION("""COMPUTED_VALUE"""),-40.0)</f>
        <v>-40</v>
      </c>
      <c r="CH332" s="16">
        <f>IFERROR(__xludf.DUMMYFUNCTION("""COMPUTED_VALUE"""),-8.0)</f>
        <v>-8</v>
      </c>
      <c r="CI332" s="179">
        <f>IFERROR(__xludf.DUMMYFUNCTION("""COMPUTED_VALUE"""),-12.0)</f>
        <v>-12</v>
      </c>
      <c r="CJ332" s="16"/>
      <c r="CK332" s="16"/>
      <c r="CL332" s="16"/>
      <c r="CM332" s="16">
        <f>IFERROR(__xludf.DUMMYFUNCTION("""COMPUTED_VALUE"""),333.0)</f>
        <v>333</v>
      </c>
      <c r="CN332" s="16"/>
      <c r="CO332" s="16">
        <f>IFERROR(__xludf.DUMMYFUNCTION("""COMPUTED_VALUE"""),406.0)</f>
        <v>406</v>
      </c>
      <c r="CP332" s="16"/>
      <c r="CQ332" s="16">
        <f>IFERROR(__xludf.DUMMYFUNCTION("""COMPUTED_VALUE"""),406.0)</f>
        <v>406</v>
      </c>
      <c r="CR332" s="16" t="str">
        <f>IFERROR(__xludf.DUMMYFUNCTION("""COMPUTED_VALUE"""),"3b-3e33 rf-4(-2)e6 lf-4e6")</f>
        <v>3b-3e33 rf-4(-2)e6 lf-4e6</v>
      </c>
      <c r="CS332" s="16"/>
      <c r="CT332" s="16"/>
      <c r="CU332" s="16"/>
      <c r="CV332" s="16">
        <f>IFERROR(__xludf.DUMMYFUNCTION("""COMPUTED_VALUE"""),3.0)</f>
        <v>3</v>
      </c>
      <c r="CW332" s="16"/>
      <c r="CX332" s="16">
        <f>IFERROR(__xludf.DUMMYFUNCTION("""COMPUTED_VALUE"""),4.0)</f>
        <v>4</v>
      </c>
      <c r="CY332" s="16"/>
      <c r="CZ332" s="16">
        <f>IFERROR(__xludf.DUMMYFUNCTION("""COMPUTED_VALUE"""),4.0)</f>
        <v>4</v>
      </c>
      <c r="DA332" s="16"/>
      <c r="DB332" s="16"/>
      <c r="DC332" s="16"/>
      <c r="DD332" s="16">
        <f>IFERROR(__xludf.DUMMYFUNCTION("""COMPUTED_VALUE"""),33.0)</f>
        <v>33</v>
      </c>
      <c r="DE332" s="16"/>
      <c r="DF332" s="16">
        <f>IFERROR(__xludf.DUMMYFUNCTION("""COMPUTED_VALUE"""),6.0)</f>
        <v>6</v>
      </c>
      <c r="DG332" s="16"/>
      <c r="DH332" s="16">
        <f>IFERROR(__xludf.DUMMYFUNCTION("""COMPUTED_VALUE"""),6.0)</f>
        <v>6</v>
      </c>
      <c r="DI332" s="16"/>
      <c r="DJ332" s="16"/>
      <c r="DK332" s="16"/>
      <c r="DL332" s="16">
        <f>IFERROR(__xludf.DUMMYFUNCTION("""COMPUTED_VALUE"""),1.0)</f>
        <v>1</v>
      </c>
      <c r="DM332" s="16"/>
      <c r="DN332" s="16">
        <f>IFERROR(__xludf.DUMMYFUNCTION("""COMPUTED_VALUE"""),-1.0)</f>
        <v>-1</v>
      </c>
      <c r="DO332" s="16"/>
      <c r="DP332" s="16">
        <f>IFERROR(__xludf.DUMMYFUNCTION("""COMPUTED_VALUE"""),-1.0)</f>
        <v>-1</v>
      </c>
      <c r="DQ332" s="16"/>
      <c r="DR332" s="16"/>
      <c r="DS332" s="16"/>
      <c r="DT332" s="16">
        <f>IFERROR(__xludf.DUMMYFUNCTION("""COMPUTED_VALUE"""),-2.0)</f>
        <v>-2</v>
      </c>
      <c r="DU332" s="16"/>
      <c r="DV332" s="16">
        <f>IFERROR(__xludf.DUMMYFUNCTION("""COMPUTED_VALUE"""),2.0)</f>
        <v>2</v>
      </c>
      <c r="DW332" s="16"/>
      <c r="DX332" s="16">
        <f>IFERROR(__xludf.DUMMYFUNCTION("""COMPUTED_VALUE"""),2.0)</f>
        <v>2</v>
      </c>
      <c r="DY332" s="16"/>
      <c r="DZ332" s="16"/>
      <c r="EA332" s="16"/>
      <c r="EB332" s="16">
        <f>IFERROR(__xludf.DUMMYFUNCTION("""COMPUTED_VALUE"""),-1.0)</f>
        <v>-1</v>
      </c>
      <c r="EC332" s="16"/>
      <c r="ED332" s="16">
        <f>IFERROR(__xludf.DUMMYFUNCTION("""COMPUTED_VALUE"""),1.0)</f>
        <v>1</v>
      </c>
      <c r="EE332" s="16"/>
      <c r="EF332" s="16">
        <f>IFERROR(__xludf.DUMMYFUNCTION("""COMPUTED_VALUE"""),1.0)</f>
        <v>1</v>
      </c>
      <c r="EG332" s="179"/>
      <c r="EH332" s="179"/>
      <c r="EI332" s="179"/>
      <c r="EJ332" s="179">
        <f>IFERROR(__xludf.DUMMYFUNCTION("""COMPUTED_VALUE"""),-13.0)</f>
        <v>-13</v>
      </c>
      <c r="EK332" s="179"/>
      <c r="EL332" s="179">
        <f>IFERROR(__xludf.DUMMYFUNCTION("""COMPUTED_VALUE"""),-11.0)</f>
        <v>-11</v>
      </c>
      <c r="EM332" s="179"/>
      <c r="EN332" s="179">
        <f>IFERROR(__xludf.DUMMYFUNCTION("""COMPUTED_VALUE"""),-11.0)</f>
        <v>-11</v>
      </c>
      <c r="EO332" s="16"/>
      <c r="EP332" s="16"/>
      <c r="EQ332" s="16">
        <f>IFERROR(__xludf.DUMMYFUNCTION("""COMPUTED_VALUE"""),4.0)</f>
        <v>4</v>
      </c>
      <c r="ER332" s="16">
        <f>IFERROR(__xludf.DUMMYFUNCTION("""COMPUTED_VALUE"""),-1.0)</f>
        <v>-1</v>
      </c>
      <c r="ES332" s="16"/>
      <c r="ET332" s="16"/>
      <c r="EU332" s="16"/>
      <c r="EV332" s="16"/>
      <c r="EW332" s="16"/>
      <c r="EX332" s="180"/>
      <c r="EY332" s="180"/>
      <c r="EZ332" s="180"/>
      <c r="FA332" s="180">
        <f>IFERROR(__xludf.DUMMYFUNCTION("""COMPUTED_VALUE"""),0.2)</f>
        <v>0.2</v>
      </c>
      <c r="FB332" s="180"/>
      <c r="FC332" s="180">
        <f>IFERROR(__xludf.DUMMYFUNCTION("""COMPUTED_VALUE"""),0.55)</f>
        <v>0.55</v>
      </c>
      <c r="FD332" s="180"/>
      <c r="FE332" s="180">
        <f>IFERROR(__xludf.DUMMYFUNCTION("""COMPUTED_VALUE"""),0.55)</f>
        <v>0.55</v>
      </c>
      <c r="FF332" s="180"/>
      <c r="FG332" s="180"/>
      <c r="FH332" s="180"/>
      <c r="FI332" s="180">
        <f>IFERROR(__xludf.DUMMYFUNCTION("""COMPUTED_VALUE"""),0.39814814814814814)</f>
        <v>0.3981481481</v>
      </c>
      <c r="FJ332" s="180"/>
      <c r="FK332" s="180">
        <f>IFERROR(__xludf.DUMMYFUNCTION("""COMPUTED_VALUE"""),0.106)</f>
        <v>0.106</v>
      </c>
      <c r="FL332" s="180"/>
      <c r="FM332" s="180">
        <f>IFERROR(__xludf.DUMMYFUNCTION("""COMPUTED_VALUE"""),0.106)</f>
        <v>0.106</v>
      </c>
      <c r="FN332" s="16"/>
      <c r="FO332" s="16"/>
      <c r="FP332" s="16"/>
      <c r="FQ332" s="16">
        <f>IFERROR(__xludf.DUMMYFUNCTION("""COMPUTED_VALUE"""),0.4814814814814815)</f>
        <v>0.4814814815</v>
      </c>
      <c r="FR332" s="16"/>
      <c r="FS332" s="16">
        <f>IFERROR(__xludf.DUMMYFUNCTION("""COMPUTED_VALUE"""),0.4023)</f>
        <v>0.4023</v>
      </c>
      <c r="FT332" s="16"/>
      <c r="FU332" s="16">
        <f>IFERROR(__xludf.DUMMYFUNCTION("""COMPUTED_VALUE"""),0.4023)</f>
        <v>0.4023</v>
      </c>
      <c r="FV332" s="16"/>
      <c r="FW332" s="16"/>
      <c r="FX332" s="16"/>
      <c r="FY332" s="16">
        <f>IFERROR(__xludf.DUMMYFUNCTION("""COMPUTED_VALUE"""),-8.0)</f>
        <v>-8</v>
      </c>
      <c r="FZ332" s="16"/>
      <c r="GA332" s="16">
        <f>IFERROR(__xludf.DUMMYFUNCTION("""COMPUTED_VALUE"""),-8.0)</f>
        <v>-8</v>
      </c>
      <c r="GB332" s="16"/>
      <c r="GC332" s="16">
        <f>IFERROR(__xludf.DUMMYFUNCTION("""COMPUTED_VALUE"""),-8.0)</f>
        <v>-8</v>
      </c>
      <c r="GD332" s="16" t="s">
        <v>176</v>
      </c>
    </row>
    <row r="333">
      <c r="A333" s="16">
        <f>IFERROR(__xludf.DUMMYFUNCTION("""COMPUTED_VALUE"""),13275.0)</f>
        <v>13275</v>
      </c>
      <c r="B333" s="16" t="str">
        <f>IFERROR(__xludf.DUMMYFUNCTION("""COMPUTED_VALUE"""),"Patrick Wisdom")</f>
        <v>Patrick Wisdom</v>
      </c>
      <c r="C333" s="16">
        <f>IFERROR(__xludf.DUMMYFUNCTION("""COMPUTED_VALUE"""),0.0)</f>
        <v>0</v>
      </c>
      <c r="D333" s="16" t="str">
        <f>IFERROR(__xludf.DUMMYFUNCTION("""COMPUTED_VALUE"""),"R")</f>
        <v>R</v>
      </c>
      <c r="E333" s="16"/>
      <c r="F333" s="16"/>
      <c r="G333" s="16">
        <f>IFERROR(__xludf.DUMMYFUNCTION("""COMPUTED_VALUE"""),158.0)</f>
        <v>158</v>
      </c>
      <c r="H333" s="16">
        <f>IFERROR(__xludf.DUMMYFUNCTION("""COMPUTED_VALUE"""),10.0)</f>
        <v>10</v>
      </c>
      <c r="I333" s="16" t="str">
        <f>IFERROR(__xludf.DUMMYFUNCTION("""COMPUTED_VALUE"""),"2p40")</f>
        <v>2p40</v>
      </c>
      <c r="J333" s="16">
        <f>IFERROR(__xludf.DUMMYFUNCTION("""COMPUTED_VALUE"""),55.0)</f>
        <v>55</v>
      </c>
      <c r="K333" s="16">
        <f>IFERROR(__xludf.DUMMYFUNCTION("""COMPUTED_VALUE"""),39.0)</f>
        <v>39</v>
      </c>
      <c r="L333" s="16">
        <f>IFERROR(__xludf.DUMMYFUNCTION("""COMPUTED_VALUE"""),-2.0)</f>
        <v>-2</v>
      </c>
      <c r="M333" s="16">
        <f>IFERROR(__xludf.DUMMYFUNCTION("""COMPUTED_VALUE"""),-2.0)</f>
        <v>-2</v>
      </c>
      <c r="N333" s="16">
        <f>IFERROR(__xludf.DUMMYFUNCTION("""COMPUTED_VALUE"""),-2.0)</f>
        <v>-2</v>
      </c>
      <c r="O333" s="16">
        <f>IFERROR(__xludf.DUMMYFUNCTION("""COMPUTED_VALUE"""),-2.0)</f>
        <v>-2</v>
      </c>
      <c r="P333" s="16">
        <f>IFERROR(__xludf.DUMMYFUNCTION("""COMPUTED_VALUE"""),2.0)</f>
        <v>2</v>
      </c>
      <c r="Q333" s="16">
        <f>IFERROR(__xludf.DUMMYFUNCTION("""COMPUTED_VALUE"""),8.0)</f>
        <v>8</v>
      </c>
      <c r="R333" s="16">
        <f>IFERROR(__xludf.DUMMYFUNCTION("""COMPUTED_VALUE"""),-2.0)</f>
        <v>-2</v>
      </c>
      <c r="S333" s="16">
        <f>IFERROR(__xludf.DUMMYFUNCTION("""COMPUTED_VALUE"""),0.0)</f>
        <v>0</v>
      </c>
      <c r="T333" s="16">
        <f>IFERROR(__xludf.DUMMYFUNCTION("""COMPUTED_VALUE"""),-2.0)</f>
        <v>-2</v>
      </c>
      <c r="U333" s="16">
        <f>IFERROR(__xludf.DUMMYFUNCTION("""COMPUTED_VALUE"""),0.0)</f>
        <v>0</v>
      </c>
      <c r="V333" s="16">
        <f>IFERROR(__xludf.DUMMYFUNCTION("""COMPUTED_VALUE"""),7.8)</f>
        <v>7.8</v>
      </c>
      <c r="W333" s="16">
        <f>IFERROR(__xludf.DUMMYFUNCTION("""COMPUTED_VALUE"""),3.3)</f>
        <v>3.3</v>
      </c>
      <c r="X333" s="16">
        <f>IFERROR(__xludf.DUMMYFUNCTION("""COMPUTED_VALUE"""),-2.0)</f>
        <v>-2</v>
      </c>
      <c r="Y333" s="16">
        <f>IFERROR(__xludf.DUMMYFUNCTION("""COMPUTED_VALUE"""),-3.0)</f>
        <v>-3</v>
      </c>
      <c r="Z333" s="16">
        <f>IFERROR(__xludf.DUMMYFUNCTION("""COMPUTED_VALUE"""),-4.0)</f>
        <v>-4</v>
      </c>
      <c r="AA333" s="16">
        <f>IFERROR(__xludf.DUMMYFUNCTION("""COMPUTED_VALUE"""),-6.0)</f>
        <v>-6</v>
      </c>
      <c r="AB333" s="16">
        <f>IFERROR(__xludf.DUMMYFUNCTION("""COMPUTED_VALUE"""),14.8)</f>
        <v>14.8</v>
      </c>
      <c r="AC333" s="16">
        <f>IFERROR(__xludf.DUMMYFUNCTION("""COMPUTED_VALUE"""),16.4)</f>
        <v>16.4</v>
      </c>
      <c r="AD333" s="16">
        <f>IFERROR(__xludf.DUMMYFUNCTION("""COMPUTED_VALUE"""),-2.0)</f>
        <v>-2</v>
      </c>
      <c r="AE333" s="16">
        <f>IFERROR(__xludf.DUMMYFUNCTION("""COMPUTED_VALUE"""),-2.0)</f>
        <v>-2</v>
      </c>
      <c r="AF333" s="16">
        <f>IFERROR(__xludf.DUMMYFUNCTION("""COMPUTED_VALUE"""),-10.0)</f>
        <v>-10</v>
      </c>
      <c r="AG333" s="16">
        <f>IFERROR(__xludf.DUMMYFUNCTION("""COMPUTED_VALUE"""),-10.0)</f>
        <v>-10</v>
      </c>
      <c r="AH333" s="16">
        <f>IFERROR(__xludf.DUMMYFUNCTION("""COMPUTED_VALUE"""),25.6)</f>
        <v>25.6</v>
      </c>
      <c r="AI333" s="16">
        <f>IFERROR(__xludf.DUMMYFUNCTION("""COMPUTED_VALUE"""),13.2)</f>
        <v>13.2</v>
      </c>
      <c r="AJ333" s="16">
        <f>IFERROR(__xludf.DUMMYFUNCTION("""COMPUTED_VALUE"""),-1.0)</f>
        <v>-1</v>
      </c>
      <c r="AK333" s="16">
        <f>IFERROR(__xludf.DUMMYFUNCTION("""COMPUTED_VALUE"""),-2.0)</f>
        <v>-2</v>
      </c>
      <c r="AL333" s="16">
        <f>IFERROR(__xludf.DUMMYFUNCTION("""COMPUTED_VALUE"""),-5.0)</f>
        <v>-5</v>
      </c>
      <c r="AM333" s="16">
        <f>IFERROR(__xludf.DUMMYFUNCTION("""COMPUTED_VALUE"""),-10.0)</f>
        <v>-10</v>
      </c>
      <c r="AN333" s="16">
        <f>IFERROR(__xludf.DUMMYFUNCTION("""COMPUTED_VALUE"""),4.4)</f>
        <v>4.4</v>
      </c>
      <c r="AO333" s="16">
        <f>IFERROR(__xludf.DUMMYFUNCTION("""COMPUTED_VALUE"""),3.3)</f>
        <v>3.3</v>
      </c>
      <c r="AP333" s="16">
        <f>IFERROR(__xludf.DUMMYFUNCTION("""COMPUTED_VALUE"""),2.0)</f>
        <v>2</v>
      </c>
      <c r="AQ333" s="16">
        <f>IFERROR(__xludf.DUMMYFUNCTION("""COMPUTED_VALUE"""),1.0)</f>
        <v>1</v>
      </c>
      <c r="AR333" s="16">
        <f>IFERROR(__xludf.DUMMYFUNCTION("""COMPUTED_VALUE"""),4.0)</f>
        <v>4</v>
      </c>
      <c r="AS333" s="16">
        <f>IFERROR(__xludf.DUMMYFUNCTION("""COMPUTED_VALUE"""),2.0)</f>
        <v>2</v>
      </c>
      <c r="AT333" s="16"/>
      <c r="AU333" s="16"/>
      <c r="AV333" s="16">
        <f>IFERROR(__xludf.DUMMYFUNCTION("""COMPUTED_VALUE"""),8.0)</f>
        <v>8</v>
      </c>
      <c r="AW333" s="16">
        <f>IFERROR(__xludf.DUMMYFUNCTION("""COMPUTED_VALUE"""),5.0)</f>
        <v>5</v>
      </c>
      <c r="AX333" s="16">
        <f>IFERROR(__xludf.DUMMYFUNCTION("""COMPUTED_VALUE"""),3.0)</f>
        <v>3</v>
      </c>
      <c r="AY333" s="16">
        <f>IFERROR(__xludf.DUMMYFUNCTION("""COMPUTED_VALUE"""),2.0)</f>
        <v>2</v>
      </c>
      <c r="AZ333" s="16">
        <f>IFERROR(__xludf.DUMMYFUNCTION("""COMPUTED_VALUE"""),9.0)</f>
        <v>9</v>
      </c>
      <c r="BA333" s="16">
        <f>IFERROR(__xludf.DUMMYFUNCTION("""COMPUTED_VALUE"""),6.0)</f>
        <v>6</v>
      </c>
      <c r="BB333" s="16">
        <f>IFERROR(__xludf.DUMMYFUNCTION("""COMPUTED_VALUE"""),0.0)</f>
        <v>0</v>
      </c>
      <c r="BC333" s="16">
        <f>IFERROR(__xludf.DUMMYFUNCTION("""COMPUTED_VALUE"""),0.0)</f>
        <v>0</v>
      </c>
      <c r="BD333" s="16">
        <f>IFERROR(__xludf.DUMMYFUNCTION("""COMPUTED_VALUE"""),0.0)</f>
        <v>0</v>
      </c>
      <c r="BE333" s="16">
        <f>IFERROR(__xludf.DUMMYFUNCTION("""COMPUTED_VALUE"""),0.0)</f>
        <v>0</v>
      </c>
      <c r="BF333" s="16">
        <f>IFERROR(__xludf.DUMMYFUNCTION("""COMPUTED_VALUE"""),0.0)</f>
        <v>0</v>
      </c>
      <c r="BG333" s="16">
        <f>IFERROR(__xludf.DUMMYFUNCTION("""COMPUTED_VALUE"""),0.0)</f>
        <v>0</v>
      </c>
      <c r="BH333" s="16">
        <f>IFERROR(__xludf.DUMMYFUNCTION("""COMPUTED_VALUE"""),0.0)</f>
        <v>0</v>
      </c>
      <c r="BI333" s="16">
        <f>IFERROR(__xludf.DUMMYFUNCTION("""COMPUTED_VALUE"""),0.0)</f>
        <v>0</v>
      </c>
      <c r="BJ333" s="16">
        <f>IFERROR(__xludf.DUMMYFUNCTION("""COMPUTED_VALUE"""),1.0)</f>
        <v>1</v>
      </c>
      <c r="BK333" s="16">
        <f>IFERROR(__xludf.DUMMYFUNCTION("""COMPUTED_VALUE"""),1.0)</f>
        <v>1</v>
      </c>
      <c r="BL333" s="16">
        <f>IFERROR(__xludf.DUMMYFUNCTION("""COMPUTED_VALUE"""),2.0)</f>
        <v>2</v>
      </c>
      <c r="BM333" s="16">
        <f>IFERROR(__xludf.DUMMYFUNCTION("""COMPUTED_VALUE"""),2.0)</f>
        <v>2</v>
      </c>
      <c r="BN333" s="16">
        <f>IFERROR(__xludf.DUMMYFUNCTION("""COMPUTED_VALUE"""),2.0)</f>
        <v>2</v>
      </c>
      <c r="BO333" s="16">
        <f>IFERROR(__xludf.DUMMYFUNCTION("""COMPUTED_VALUE"""),2.0)</f>
        <v>2</v>
      </c>
      <c r="BP333" s="16">
        <f>IFERROR(__xludf.DUMMYFUNCTION("""COMPUTED_VALUE"""),-2.0)</f>
        <v>-2</v>
      </c>
      <c r="BQ333" s="16">
        <f>IFERROR(__xludf.DUMMYFUNCTION("""COMPUTED_VALUE"""),-4.0)</f>
        <v>-4</v>
      </c>
      <c r="BR333" s="16">
        <f>IFERROR(__xludf.DUMMYFUNCTION("""COMPUTED_VALUE"""),-6.0)</f>
        <v>-6</v>
      </c>
      <c r="BS333" s="16" t="str">
        <f>IFERROR(__xludf.DUMMYFUNCTION("""COMPUTED_VALUE"""),"*7/- (20-13)")</f>
        <v>*7/- (20-13)</v>
      </c>
      <c r="BT333" s="16" t="str">
        <f>IFERROR(__xludf.DUMMYFUNCTION("""COMPUTED_VALUE"""),"B")</f>
        <v>B</v>
      </c>
      <c r="BU333" s="16">
        <f>IFERROR(__xludf.DUMMYFUNCTION("""COMPUTED_VALUE"""),13.0)</f>
        <v>13</v>
      </c>
      <c r="BV333" s="16">
        <f>IFERROR(__xludf.DUMMYFUNCTION("""COMPUTED_VALUE"""),1.0)</f>
        <v>1</v>
      </c>
      <c r="BW333" s="16">
        <f>IFERROR(__xludf.DUMMYFUNCTION("""COMPUTED_VALUE"""),1.0)</f>
        <v>1</v>
      </c>
      <c r="BX333" s="16">
        <f>IFERROR(__xludf.DUMMYFUNCTION("""COMPUTED_VALUE"""),2.0)</f>
        <v>2</v>
      </c>
      <c r="BY333" s="16">
        <f>IFERROR(__xludf.DUMMYFUNCTION("""COMPUTED_VALUE"""),3.0)</f>
        <v>3</v>
      </c>
      <c r="BZ333" s="16" t="str">
        <f>IFERROR(__xludf.DUMMYFUNCTION("""COMPUTED_VALUE"""),"D")</f>
        <v>D</v>
      </c>
      <c r="CA333" s="16" t="str">
        <f>IFERROR(__xludf.DUMMYFUNCTION("""COMPUTED_VALUE"""),"D")</f>
        <v>D</v>
      </c>
      <c r="CB333" s="16">
        <f>IFERROR(__xludf.DUMMYFUNCTION("""COMPUTED_VALUE"""),0.0)</f>
        <v>0</v>
      </c>
      <c r="CC333" s="16">
        <f>IFERROR(__xludf.DUMMYFUNCTION("""COMPUTED_VALUE"""),0.0)</f>
        <v>0</v>
      </c>
      <c r="CD333" s="16">
        <f>IFERROR(__xludf.DUMMYFUNCTION("""COMPUTED_VALUE"""),0.0)</f>
        <v>0</v>
      </c>
      <c r="CE333" s="16">
        <f>IFERROR(__xludf.DUMMYFUNCTION("""COMPUTED_VALUE"""),0.0)</f>
        <v>0</v>
      </c>
      <c r="CF333" s="16">
        <f>IFERROR(__xludf.DUMMYFUNCTION("""COMPUTED_VALUE"""),2.0)</f>
        <v>2</v>
      </c>
      <c r="CG333" s="16">
        <f>IFERROR(__xludf.DUMMYFUNCTION("""COMPUTED_VALUE"""),-8.0)</f>
        <v>-8</v>
      </c>
      <c r="CH333" s="16">
        <f>IFERROR(__xludf.DUMMYFUNCTION("""COMPUTED_VALUE"""),-18.0)</f>
        <v>-18</v>
      </c>
      <c r="CI333" s="179">
        <f>IFERROR(__xludf.DUMMYFUNCTION("""COMPUTED_VALUE"""),-13.0)</f>
        <v>-13</v>
      </c>
      <c r="CJ333" s="16"/>
      <c r="CK333" s="16">
        <f>IFERROR(__xludf.DUMMYFUNCTION("""COMPUTED_VALUE"""),410.0)</f>
        <v>410</v>
      </c>
      <c r="CL333" s="16">
        <f>IFERROR(__xludf.DUMMYFUNCTION("""COMPUTED_VALUE"""),441.0)</f>
        <v>441</v>
      </c>
      <c r="CM333" s="16">
        <f>IFERROR(__xludf.DUMMYFUNCTION("""COMPUTED_VALUE"""),362.0)</f>
        <v>362</v>
      </c>
      <c r="CN333" s="16"/>
      <c r="CO333" s="16">
        <f>IFERROR(__xludf.DUMMYFUNCTION("""COMPUTED_VALUE"""),411.0)</f>
        <v>411</v>
      </c>
      <c r="CP333" s="16"/>
      <c r="CQ333" s="16">
        <f>IFERROR(__xludf.DUMMYFUNCTION("""COMPUTED_VALUE"""),411.0)</f>
        <v>411</v>
      </c>
      <c r="CR333" s="16" t="str">
        <f>IFERROR(__xludf.DUMMYFUNCTION("""COMPUTED_VALUE"""),"1b-4e10 3b-3e62 lf-4(0)e11 rf-4e11 2b-4e41")</f>
        <v>1b-4e10 3b-3e62 lf-4(0)e11 rf-4e11 2b-4e41</v>
      </c>
      <c r="CS333" s="16"/>
      <c r="CT333" s="16">
        <f>IFERROR(__xludf.DUMMYFUNCTION("""COMPUTED_VALUE"""),4.0)</f>
        <v>4</v>
      </c>
      <c r="CU333" s="16">
        <f>IFERROR(__xludf.DUMMYFUNCTION("""COMPUTED_VALUE"""),4.0)</f>
        <v>4</v>
      </c>
      <c r="CV333" s="16">
        <f>IFERROR(__xludf.DUMMYFUNCTION("""COMPUTED_VALUE"""),3.0)</f>
        <v>3</v>
      </c>
      <c r="CW333" s="16"/>
      <c r="CX333" s="16">
        <f>IFERROR(__xludf.DUMMYFUNCTION("""COMPUTED_VALUE"""),4.0)</f>
        <v>4</v>
      </c>
      <c r="CY333" s="16"/>
      <c r="CZ333" s="16">
        <f>IFERROR(__xludf.DUMMYFUNCTION("""COMPUTED_VALUE"""),4.0)</f>
        <v>4</v>
      </c>
      <c r="DA333" s="16"/>
      <c r="DB333" s="16">
        <f>IFERROR(__xludf.DUMMYFUNCTION("""COMPUTED_VALUE"""),10.0)</f>
        <v>10</v>
      </c>
      <c r="DC333" s="16">
        <f>IFERROR(__xludf.DUMMYFUNCTION("""COMPUTED_VALUE"""),41.0)</f>
        <v>41</v>
      </c>
      <c r="DD333" s="16">
        <f>IFERROR(__xludf.DUMMYFUNCTION("""COMPUTED_VALUE"""),62.0)</f>
        <v>62</v>
      </c>
      <c r="DE333" s="16"/>
      <c r="DF333" s="16">
        <f>IFERROR(__xludf.DUMMYFUNCTION("""COMPUTED_VALUE"""),11.0)</f>
        <v>11</v>
      </c>
      <c r="DG333" s="16"/>
      <c r="DH333" s="16">
        <f>IFERROR(__xludf.DUMMYFUNCTION("""COMPUTED_VALUE"""),11.0)</f>
        <v>11</v>
      </c>
      <c r="DI333" s="16"/>
      <c r="DJ333" s="16">
        <f>IFERROR(__xludf.DUMMYFUNCTION("""COMPUTED_VALUE"""),0.0)</f>
        <v>0</v>
      </c>
      <c r="DK333" s="16">
        <f>IFERROR(__xludf.DUMMYFUNCTION("""COMPUTED_VALUE"""),-2.0)</f>
        <v>-2</v>
      </c>
      <c r="DL333" s="16">
        <f>IFERROR(__xludf.DUMMYFUNCTION("""COMPUTED_VALUE"""),1.0)</f>
        <v>1</v>
      </c>
      <c r="DM333" s="16"/>
      <c r="DN333" s="16">
        <f>IFERROR(__xludf.DUMMYFUNCTION("""COMPUTED_VALUE"""),-1.0)</f>
        <v>-1</v>
      </c>
      <c r="DO333" s="16"/>
      <c r="DP333" s="16">
        <f>IFERROR(__xludf.DUMMYFUNCTION("""COMPUTED_VALUE"""),-1.0)</f>
        <v>-1</v>
      </c>
      <c r="DQ333" s="16"/>
      <c r="DR333" s="16">
        <f>IFERROR(__xludf.DUMMYFUNCTION("""COMPUTED_VALUE"""),2.0)</f>
        <v>2</v>
      </c>
      <c r="DS333" s="16">
        <f>IFERROR(__xludf.DUMMYFUNCTION("""COMPUTED_VALUE"""),-2.0)</f>
        <v>-2</v>
      </c>
      <c r="DT333" s="16">
        <f>IFERROR(__xludf.DUMMYFUNCTION("""COMPUTED_VALUE"""),-2.0)</f>
        <v>-2</v>
      </c>
      <c r="DU333" s="16"/>
      <c r="DV333" s="16">
        <f>IFERROR(__xludf.DUMMYFUNCTION("""COMPUTED_VALUE"""),0.0)</f>
        <v>0</v>
      </c>
      <c r="DW333" s="16"/>
      <c r="DX333" s="16">
        <f>IFERROR(__xludf.DUMMYFUNCTION("""COMPUTED_VALUE"""),0.0)</f>
        <v>0</v>
      </c>
      <c r="DY333" s="16"/>
      <c r="DZ333" s="16">
        <f>IFERROR(__xludf.DUMMYFUNCTION("""COMPUTED_VALUE"""),2.0)</f>
        <v>2</v>
      </c>
      <c r="EA333" s="16">
        <f>IFERROR(__xludf.DUMMYFUNCTION("""COMPUTED_VALUE"""),-4.0)</f>
        <v>-4</v>
      </c>
      <c r="EB333" s="16">
        <f>IFERROR(__xludf.DUMMYFUNCTION("""COMPUTED_VALUE"""),-1.0)</f>
        <v>-1</v>
      </c>
      <c r="EC333" s="16"/>
      <c r="ED333" s="16">
        <f>IFERROR(__xludf.DUMMYFUNCTION("""COMPUTED_VALUE"""),-1.0)</f>
        <v>-1</v>
      </c>
      <c r="EE333" s="16"/>
      <c r="EF333" s="16">
        <f>IFERROR(__xludf.DUMMYFUNCTION("""COMPUTED_VALUE"""),-1.0)</f>
        <v>-1</v>
      </c>
      <c r="EG333" s="179"/>
      <c r="EH333" s="179">
        <f>IFERROR(__xludf.DUMMYFUNCTION("""COMPUTED_VALUE"""),-11.0)</f>
        <v>-11</v>
      </c>
      <c r="EI333" s="179">
        <f>IFERROR(__xludf.DUMMYFUNCTION("""COMPUTED_VALUE"""),-17.0)</f>
        <v>-17</v>
      </c>
      <c r="EJ333" s="179">
        <f>IFERROR(__xludf.DUMMYFUNCTION("""COMPUTED_VALUE"""),-14.0)</f>
        <v>-14</v>
      </c>
      <c r="EK333" s="179"/>
      <c r="EL333" s="179">
        <f>IFERROR(__xludf.DUMMYFUNCTION("""COMPUTED_VALUE"""),-14.0)</f>
        <v>-14</v>
      </c>
      <c r="EM333" s="179"/>
      <c r="EN333" s="179">
        <f>IFERROR(__xludf.DUMMYFUNCTION("""COMPUTED_VALUE"""),-14.0)</f>
        <v>-14</v>
      </c>
      <c r="EO333" s="16"/>
      <c r="EP333" s="16"/>
      <c r="EQ333" s="16">
        <f>IFERROR(__xludf.DUMMYFUNCTION("""COMPUTED_VALUE"""),2.0)</f>
        <v>2</v>
      </c>
      <c r="ER333" s="16">
        <f>IFERROR(__xludf.DUMMYFUNCTION("""COMPUTED_VALUE"""),-1.0)</f>
        <v>-1</v>
      </c>
      <c r="ES333" s="16"/>
      <c r="ET333" s="16"/>
      <c r="EU333" s="16"/>
      <c r="EV333" s="16"/>
      <c r="EW333" s="16"/>
      <c r="EX333" s="180"/>
      <c r="EY333" s="180">
        <f>IFERROR(__xludf.DUMMYFUNCTION("""COMPUTED_VALUE"""),0.3)</f>
        <v>0.3</v>
      </c>
      <c r="EZ333" s="180">
        <f>IFERROR(__xludf.DUMMYFUNCTION("""COMPUTED_VALUE"""),0.3)</f>
        <v>0.3</v>
      </c>
      <c r="FA333" s="180">
        <f>IFERROR(__xludf.DUMMYFUNCTION("""COMPUTED_VALUE"""),0.2)</f>
        <v>0.2</v>
      </c>
      <c r="FB333" s="180"/>
      <c r="FC333" s="180">
        <f>IFERROR(__xludf.DUMMYFUNCTION("""COMPUTED_VALUE"""),0.55)</f>
        <v>0.55</v>
      </c>
      <c r="FD333" s="180"/>
      <c r="FE333" s="180">
        <f>IFERROR(__xludf.DUMMYFUNCTION("""COMPUTED_VALUE"""),0.55)</f>
        <v>0.55</v>
      </c>
      <c r="FF333" s="180"/>
      <c r="FG333" s="180">
        <f>IFERROR(__xludf.DUMMYFUNCTION("""COMPUTED_VALUE"""),0.18055555555555555)</f>
        <v>0.1805555556</v>
      </c>
      <c r="FH333" s="180">
        <f>IFERROR(__xludf.DUMMYFUNCTION("""COMPUTED_VALUE"""),0.24537037037037038)</f>
        <v>0.2453703704</v>
      </c>
      <c r="FI333" s="180">
        <f>IFERROR(__xludf.DUMMYFUNCTION("""COMPUTED_VALUE"""),0.7407407407407407)</f>
        <v>0.7407407407</v>
      </c>
      <c r="FJ333" s="180"/>
      <c r="FK333" s="180">
        <f>IFERROR(__xludf.DUMMYFUNCTION("""COMPUTED_VALUE"""),0.194)</f>
        <v>0.194</v>
      </c>
      <c r="FL333" s="180"/>
      <c r="FM333" s="180">
        <f>IFERROR(__xludf.DUMMYFUNCTION("""COMPUTED_VALUE"""),0.194)</f>
        <v>0.194</v>
      </c>
      <c r="FN333" s="16"/>
      <c r="FO333" s="16">
        <f>IFERROR(__xludf.DUMMYFUNCTION("""COMPUTED_VALUE"""),0.5736111111111111)</f>
        <v>0.5736111111</v>
      </c>
      <c r="FP333" s="16">
        <f>IFERROR(__xludf.DUMMYFUNCTION("""COMPUTED_VALUE"""),0.5282407407407407)</f>
        <v>0.5282407407</v>
      </c>
      <c r="FQ333" s="16">
        <f>IFERROR(__xludf.DUMMYFUNCTION("""COMPUTED_VALUE"""),0.20740740740740746)</f>
        <v>0.2074074074</v>
      </c>
      <c r="FR333" s="16"/>
      <c r="FS333" s="16">
        <f>IFERROR(__xludf.DUMMYFUNCTION("""COMPUTED_VALUE"""),0.36269999999999997)</f>
        <v>0.3627</v>
      </c>
      <c r="FT333" s="16"/>
      <c r="FU333" s="16">
        <f>IFERROR(__xludf.DUMMYFUNCTION("""COMPUTED_VALUE"""),0.36269999999999997)</f>
        <v>0.3627</v>
      </c>
      <c r="FV333" s="16"/>
      <c r="FW333" s="16">
        <f>IFERROR(__xludf.DUMMYFUNCTION("""COMPUTED_VALUE"""),-6.0)</f>
        <v>-6</v>
      </c>
      <c r="FX333" s="16">
        <f>IFERROR(__xludf.DUMMYFUNCTION("""COMPUTED_VALUE"""),-8.0)</f>
        <v>-8</v>
      </c>
      <c r="FY333" s="16">
        <f>IFERROR(__xludf.DUMMYFUNCTION("""COMPUTED_VALUE"""),-8.0)</f>
        <v>-8</v>
      </c>
      <c r="FZ333" s="16"/>
      <c r="GA333" s="16">
        <f>IFERROR(__xludf.DUMMYFUNCTION("""COMPUTED_VALUE"""),-8.0)</f>
        <v>-8</v>
      </c>
      <c r="GB333" s="16"/>
      <c r="GC333" s="16">
        <f>IFERROR(__xludf.DUMMYFUNCTION("""COMPUTED_VALUE"""),-8.0)</f>
        <v>-8</v>
      </c>
      <c r="GD333" s="16" t="s">
        <v>176</v>
      </c>
    </row>
    <row r="334">
      <c r="A334" s="16">
        <f>IFERROR(__xludf.DUMMYFUNCTION("""COMPUTED_VALUE"""),13515.0)</f>
        <v>13515</v>
      </c>
      <c r="B334" s="16" t="str">
        <f>IFERROR(__xludf.DUMMYFUNCTION("""COMPUTED_VALUE"""),"Zach Dezenzo")</f>
        <v>Zach Dezenzo</v>
      </c>
      <c r="C334" s="16">
        <f>IFERROR(__xludf.DUMMYFUNCTION("""COMPUTED_VALUE"""),0.0)</f>
        <v>0</v>
      </c>
      <c r="D334" s="16" t="str">
        <f>IFERROR(__xludf.DUMMYFUNCTION("""COMPUTED_VALUE"""),"R")</f>
        <v>R</v>
      </c>
      <c r="E334" s="16"/>
      <c r="F334" s="16"/>
      <c r="G334" s="16">
        <f>IFERROR(__xludf.DUMMYFUNCTION("""COMPUTED_VALUE"""),62.0)</f>
        <v>62</v>
      </c>
      <c r="H334" s="16">
        <f>IFERROR(__xludf.DUMMYFUNCTION("""COMPUTED_VALUE"""),3.0)</f>
        <v>3</v>
      </c>
      <c r="I334" s="16" t="str">
        <f>IFERROR(__xludf.DUMMYFUNCTION("""COMPUTED_VALUE"""),"1p20")</f>
        <v>1p20</v>
      </c>
      <c r="J334" s="16">
        <f>IFERROR(__xludf.DUMMYFUNCTION("""COMPUTED_VALUE"""),58.0)</f>
        <v>58</v>
      </c>
      <c r="K334" s="16">
        <f>IFERROR(__xludf.DUMMYFUNCTION("""COMPUTED_VALUE"""),43.0)</f>
        <v>43</v>
      </c>
      <c r="L334" s="16">
        <f>IFERROR(__xludf.DUMMYFUNCTION("""COMPUTED_VALUE"""),-2.0)</f>
        <v>-2</v>
      </c>
      <c r="M334" s="16">
        <f>IFERROR(__xludf.DUMMYFUNCTION("""COMPUTED_VALUE"""),-2.0)</f>
        <v>-2</v>
      </c>
      <c r="N334" s="16">
        <f>IFERROR(__xludf.DUMMYFUNCTION("""COMPUTED_VALUE"""),-2.0)</f>
        <v>-2</v>
      </c>
      <c r="O334" s="16">
        <f>IFERROR(__xludf.DUMMYFUNCTION("""COMPUTED_VALUE"""),-2.0)</f>
        <v>-2</v>
      </c>
      <c r="P334" s="16">
        <f>IFERROR(__xludf.DUMMYFUNCTION("""COMPUTED_VALUE"""),1.0)</f>
        <v>1</v>
      </c>
      <c r="Q334" s="16">
        <f>IFERROR(__xludf.DUMMYFUNCTION("""COMPUTED_VALUE"""),2.0)</f>
        <v>2</v>
      </c>
      <c r="R334" s="16">
        <f>IFERROR(__xludf.DUMMYFUNCTION("""COMPUTED_VALUE"""),-2.0)</f>
        <v>-2</v>
      </c>
      <c r="S334" s="16">
        <f>IFERROR(__xludf.DUMMYFUNCTION("""COMPUTED_VALUE"""),-2.0)</f>
        <v>-2</v>
      </c>
      <c r="T334" s="16">
        <f>IFERROR(__xludf.DUMMYFUNCTION("""COMPUTED_VALUE"""),-2.0)</f>
        <v>-2</v>
      </c>
      <c r="U334" s="16">
        <f>IFERROR(__xludf.DUMMYFUNCTION("""COMPUTED_VALUE"""),-2.0)</f>
        <v>-2</v>
      </c>
      <c r="V334" s="16">
        <f>IFERROR(__xludf.DUMMYFUNCTION("""COMPUTED_VALUE"""),14.0)</f>
        <v>14</v>
      </c>
      <c r="W334" s="16">
        <f>IFERROR(__xludf.DUMMYFUNCTION("""COMPUTED_VALUE"""),23.8)</f>
        <v>23.8</v>
      </c>
      <c r="X334" s="16">
        <f>IFERROR(__xludf.DUMMYFUNCTION("""COMPUTED_VALUE"""),-1.0)</f>
        <v>-1</v>
      </c>
      <c r="Y334" s="16">
        <f>IFERROR(__xludf.DUMMYFUNCTION("""COMPUTED_VALUE"""),1.0)</f>
        <v>1</v>
      </c>
      <c r="Z334" s="16">
        <f>IFERROR(__xludf.DUMMYFUNCTION("""COMPUTED_VALUE"""),-2.0)</f>
        <v>-2</v>
      </c>
      <c r="AA334" s="16">
        <f>IFERROR(__xludf.DUMMYFUNCTION("""COMPUTED_VALUE"""),2.0)</f>
        <v>2</v>
      </c>
      <c r="AB334" s="16">
        <f>IFERROR(__xludf.DUMMYFUNCTION("""COMPUTED_VALUE"""),15.0)</f>
        <v>15</v>
      </c>
      <c r="AC334" s="16">
        <f>IFERROR(__xludf.DUMMYFUNCTION("""COMPUTED_VALUE"""),25.8)</f>
        <v>25.8</v>
      </c>
      <c r="AD334" s="16">
        <f>IFERROR(__xludf.DUMMYFUNCTION("""COMPUTED_VALUE"""),-2.0)</f>
        <v>-2</v>
      </c>
      <c r="AE334" s="16">
        <f>IFERROR(__xludf.DUMMYFUNCTION("""COMPUTED_VALUE"""),-1.0)</f>
        <v>-1</v>
      </c>
      <c r="AF334" s="16">
        <f>IFERROR(__xludf.DUMMYFUNCTION("""COMPUTED_VALUE"""),-10.0)</f>
        <v>-10</v>
      </c>
      <c r="AG334" s="16">
        <f>IFERROR(__xludf.DUMMYFUNCTION("""COMPUTED_VALUE"""),-5.0)</f>
        <v>-5</v>
      </c>
      <c r="AH334" s="16">
        <f>IFERROR(__xludf.DUMMYFUNCTION("""COMPUTED_VALUE"""),16.7)</f>
        <v>16.7</v>
      </c>
      <c r="AI334" s="16">
        <f>IFERROR(__xludf.DUMMYFUNCTION("""COMPUTED_VALUE"""),35.8)</f>
        <v>35.8</v>
      </c>
      <c r="AJ334" s="16">
        <f>IFERROR(__xludf.DUMMYFUNCTION("""COMPUTED_VALUE"""),-1.0)</f>
        <v>-1</v>
      </c>
      <c r="AK334" s="16">
        <f>IFERROR(__xludf.DUMMYFUNCTION("""COMPUTED_VALUE"""),0.0)</f>
        <v>0</v>
      </c>
      <c r="AL334" s="16">
        <f>IFERROR(__xludf.DUMMYFUNCTION("""COMPUTED_VALUE"""),-5.0)</f>
        <v>-5</v>
      </c>
      <c r="AM334" s="16">
        <f>IFERROR(__xludf.DUMMYFUNCTION("""COMPUTED_VALUE"""),0.0)</f>
        <v>0</v>
      </c>
      <c r="AN334" s="16">
        <f>IFERROR(__xludf.DUMMYFUNCTION("""COMPUTED_VALUE"""),0.9)</f>
        <v>0.9</v>
      </c>
      <c r="AO334" s="16">
        <f>IFERROR(__xludf.DUMMYFUNCTION("""COMPUTED_VALUE"""),2.3)</f>
        <v>2.3</v>
      </c>
      <c r="AP334" s="16">
        <f>IFERROR(__xludf.DUMMYFUNCTION("""COMPUTED_VALUE"""),-2.0)</f>
        <v>-2</v>
      </c>
      <c r="AQ334" s="16">
        <f>IFERROR(__xludf.DUMMYFUNCTION("""COMPUTED_VALUE"""),0.0)</f>
        <v>0</v>
      </c>
      <c r="AR334" s="16">
        <f>IFERROR(__xludf.DUMMYFUNCTION("""COMPUTED_VALUE"""),-4.0)</f>
        <v>-4</v>
      </c>
      <c r="AS334" s="16">
        <f>IFERROR(__xludf.DUMMYFUNCTION("""COMPUTED_VALUE"""),0.0)</f>
        <v>0</v>
      </c>
      <c r="AT334" s="16">
        <f>IFERROR(__xludf.DUMMYFUNCTION("""COMPUTED_VALUE"""),1.0)</f>
        <v>1</v>
      </c>
      <c r="AU334" s="16">
        <f>IFERROR(__xludf.DUMMYFUNCTION("""COMPUTED_VALUE"""),4.0)</f>
        <v>4</v>
      </c>
      <c r="AV334" s="16">
        <f>IFERROR(__xludf.DUMMYFUNCTION("""COMPUTED_VALUE"""),1.0)</f>
        <v>1</v>
      </c>
      <c r="AW334" s="16">
        <f>IFERROR(__xludf.DUMMYFUNCTION("""COMPUTED_VALUE"""),4.0)</f>
        <v>4</v>
      </c>
      <c r="AX334" s="16">
        <f>IFERROR(__xludf.DUMMYFUNCTION("""COMPUTED_VALUE"""),-1.0)</f>
        <v>-1</v>
      </c>
      <c r="AY334" s="16">
        <f>IFERROR(__xludf.DUMMYFUNCTION("""COMPUTED_VALUE"""),1.0)</f>
        <v>1</v>
      </c>
      <c r="AZ334" s="16">
        <f>IFERROR(__xludf.DUMMYFUNCTION("""COMPUTED_VALUE"""),-3.0)</f>
        <v>-3</v>
      </c>
      <c r="BA334" s="16">
        <f>IFERROR(__xludf.DUMMYFUNCTION("""COMPUTED_VALUE"""),3.0)</f>
        <v>3</v>
      </c>
      <c r="BB334" s="16">
        <f>IFERROR(__xludf.DUMMYFUNCTION("""COMPUTED_VALUE"""),5.0)</f>
        <v>5</v>
      </c>
      <c r="BC334" s="16">
        <f>IFERROR(__xludf.DUMMYFUNCTION("""COMPUTED_VALUE"""),5.0)</f>
        <v>5</v>
      </c>
      <c r="BD334" s="16">
        <f>IFERROR(__xludf.DUMMYFUNCTION("""COMPUTED_VALUE"""),1.0)</f>
        <v>1</v>
      </c>
      <c r="BE334" s="16">
        <f>IFERROR(__xludf.DUMMYFUNCTION("""COMPUTED_VALUE"""),1.0)</f>
        <v>1</v>
      </c>
      <c r="BF334" s="16">
        <f>IFERROR(__xludf.DUMMYFUNCTION("""COMPUTED_VALUE"""),1.0)</f>
        <v>1</v>
      </c>
      <c r="BG334" s="16">
        <f>IFERROR(__xludf.DUMMYFUNCTION("""COMPUTED_VALUE"""),1.0)</f>
        <v>1</v>
      </c>
      <c r="BH334" s="16">
        <f>IFERROR(__xludf.DUMMYFUNCTION("""COMPUTED_VALUE"""),4.0)</f>
        <v>4</v>
      </c>
      <c r="BI334" s="16">
        <f>IFERROR(__xludf.DUMMYFUNCTION("""COMPUTED_VALUE"""),4.0)</f>
        <v>4</v>
      </c>
      <c r="BJ334" s="16">
        <f>IFERROR(__xludf.DUMMYFUNCTION("""COMPUTED_VALUE"""),27.0)</f>
        <v>27</v>
      </c>
      <c r="BK334" s="16">
        <f>IFERROR(__xludf.DUMMYFUNCTION("""COMPUTED_VALUE"""),23.0)</f>
        <v>23</v>
      </c>
      <c r="BL334" s="16">
        <f>IFERROR(__xludf.DUMMYFUNCTION("""COMPUTED_VALUE"""),-2.0)</f>
        <v>-2</v>
      </c>
      <c r="BM334" s="16">
        <f>IFERROR(__xludf.DUMMYFUNCTION("""COMPUTED_VALUE"""),-2.0)</f>
        <v>-2</v>
      </c>
      <c r="BN334" s="16">
        <f>IFERROR(__xludf.DUMMYFUNCTION("""COMPUTED_VALUE"""),-4.0)</f>
        <v>-4</v>
      </c>
      <c r="BO334" s="16">
        <f>IFERROR(__xludf.DUMMYFUNCTION("""COMPUTED_VALUE"""),-4.0)</f>
        <v>-4</v>
      </c>
      <c r="BP334" s="16">
        <f>IFERROR(__xludf.DUMMYFUNCTION("""COMPUTED_VALUE"""),-12.0)</f>
        <v>-12</v>
      </c>
      <c r="BQ334" s="16">
        <f>IFERROR(__xludf.DUMMYFUNCTION("""COMPUTED_VALUE"""),-4.0)</f>
        <v>-4</v>
      </c>
      <c r="BR334" s="16">
        <f>IFERROR(__xludf.DUMMYFUNCTION("""COMPUTED_VALUE"""),-16.0)</f>
        <v>-16</v>
      </c>
      <c r="BS334" s="16" t="str">
        <f>IFERROR(__xludf.DUMMYFUNCTION("""COMPUTED_VALUE"""),"-/- (---)")</f>
        <v>-/- (---)</v>
      </c>
      <c r="BT334" s="16" t="str">
        <f>IFERROR(__xludf.DUMMYFUNCTION("""COMPUTED_VALUE"""),"E")</f>
        <v>E</v>
      </c>
      <c r="BU334" s="16">
        <f>IFERROR(__xludf.DUMMYFUNCTION("""COMPUTED_VALUE"""),12.0)</f>
        <v>12</v>
      </c>
      <c r="BV334" s="16">
        <f>IFERROR(__xludf.DUMMYFUNCTION("""COMPUTED_VALUE"""),0.0)</f>
        <v>0</v>
      </c>
      <c r="BW334" s="16">
        <f>IFERROR(__xludf.DUMMYFUNCTION("""COMPUTED_VALUE"""),0.0)</f>
        <v>0</v>
      </c>
      <c r="BX334" s="16">
        <f>IFERROR(__xludf.DUMMYFUNCTION("""COMPUTED_VALUE"""),0.0)</f>
        <v>0</v>
      </c>
      <c r="BY334" s="16">
        <f>IFERROR(__xludf.DUMMYFUNCTION("""COMPUTED_VALUE"""),0.0)</f>
        <v>0</v>
      </c>
      <c r="BZ334" s="16" t="str">
        <f>IFERROR(__xludf.DUMMYFUNCTION("""COMPUTED_VALUE"""),"D")</f>
        <v>D</v>
      </c>
      <c r="CA334" s="16" t="str">
        <f>IFERROR(__xludf.DUMMYFUNCTION("""COMPUTED_VALUE"""),"D")</f>
        <v>D</v>
      </c>
      <c r="CB334" s="16">
        <f>IFERROR(__xludf.DUMMYFUNCTION("""COMPUTED_VALUE"""),0.0)</f>
        <v>0</v>
      </c>
      <c r="CC334" s="16">
        <f>IFERROR(__xludf.DUMMYFUNCTION("""COMPUTED_VALUE"""),0.0)</f>
        <v>0</v>
      </c>
      <c r="CD334" s="16">
        <f>IFERROR(__xludf.DUMMYFUNCTION("""COMPUTED_VALUE"""),0.0)</f>
        <v>0</v>
      </c>
      <c r="CE334" s="16">
        <f>IFERROR(__xludf.DUMMYFUNCTION("""COMPUTED_VALUE"""),0.0)</f>
        <v>0</v>
      </c>
      <c r="CF334" s="16">
        <f>IFERROR(__xludf.DUMMYFUNCTION("""COMPUTED_VALUE"""),1.0)</f>
        <v>1</v>
      </c>
      <c r="CG334" s="16">
        <f>IFERROR(__xludf.DUMMYFUNCTION("""COMPUTED_VALUE"""),-31.0)</f>
        <v>-31</v>
      </c>
      <c r="CH334" s="16">
        <f>IFERROR(__xludf.DUMMYFUNCTION("""COMPUTED_VALUE"""),-7.0)</f>
        <v>-7</v>
      </c>
      <c r="CI334" s="179">
        <f>IFERROR(__xludf.DUMMYFUNCTION("""COMPUTED_VALUE"""),-13.0)</f>
        <v>-13</v>
      </c>
      <c r="CJ334" s="16"/>
      <c r="CK334" s="16">
        <f>IFERROR(__xludf.DUMMYFUNCTION("""COMPUTED_VALUE"""),414.0)</f>
        <v>414</v>
      </c>
      <c r="CL334" s="16"/>
      <c r="CM334" s="16">
        <f>IFERROR(__xludf.DUMMYFUNCTION("""COMPUTED_VALUE"""),519.0)</f>
        <v>519</v>
      </c>
      <c r="CN334" s="16"/>
      <c r="CO334" s="16"/>
      <c r="CP334" s="16"/>
      <c r="CQ334" s="16"/>
      <c r="CR334" s="16" t="str">
        <f>IFERROR(__xludf.DUMMYFUNCTION("""COMPUTED_VALUE"""),"1b-4e14 3b-5e19")</f>
        <v>1b-4e14 3b-5e19</v>
      </c>
      <c r="CS334" s="16"/>
      <c r="CT334" s="16">
        <f>IFERROR(__xludf.DUMMYFUNCTION("""COMPUTED_VALUE"""),4.0)</f>
        <v>4</v>
      </c>
      <c r="CU334" s="16"/>
      <c r="CV334" s="16">
        <f>IFERROR(__xludf.DUMMYFUNCTION("""COMPUTED_VALUE"""),5.0)</f>
        <v>5</v>
      </c>
      <c r="CW334" s="16"/>
      <c r="CX334" s="16"/>
      <c r="CY334" s="16"/>
      <c r="CZ334" s="16"/>
      <c r="DA334" s="16"/>
      <c r="DB334" s="16">
        <f>IFERROR(__xludf.DUMMYFUNCTION("""COMPUTED_VALUE"""),14.0)</f>
        <v>14</v>
      </c>
      <c r="DC334" s="16"/>
      <c r="DD334" s="16">
        <f>IFERROR(__xludf.DUMMYFUNCTION("""COMPUTED_VALUE"""),19.0)</f>
        <v>19</v>
      </c>
      <c r="DE334" s="16"/>
      <c r="DF334" s="16"/>
      <c r="DG334" s="16"/>
      <c r="DH334" s="16"/>
      <c r="DI334" s="16"/>
      <c r="DJ334" s="16">
        <f>IFERROR(__xludf.DUMMYFUNCTION("""COMPUTED_VALUE"""),0.0)</f>
        <v>0</v>
      </c>
      <c r="DK334" s="16"/>
      <c r="DL334" s="16">
        <f>IFERROR(__xludf.DUMMYFUNCTION("""COMPUTED_VALUE"""),-2.0)</f>
        <v>-2</v>
      </c>
      <c r="DM334" s="16"/>
      <c r="DN334" s="16"/>
      <c r="DO334" s="16"/>
      <c r="DP334" s="16"/>
      <c r="DQ334" s="16"/>
      <c r="DR334" s="16">
        <f>IFERROR(__xludf.DUMMYFUNCTION("""COMPUTED_VALUE"""),1.0)</f>
        <v>1</v>
      </c>
      <c r="DS334" s="16"/>
      <c r="DT334" s="16">
        <f>IFERROR(__xludf.DUMMYFUNCTION("""COMPUTED_VALUE"""),0.0)</f>
        <v>0</v>
      </c>
      <c r="DU334" s="16"/>
      <c r="DV334" s="16"/>
      <c r="DW334" s="16"/>
      <c r="DX334" s="16"/>
      <c r="DY334" s="16"/>
      <c r="DZ334" s="16">
        <f>IFERROR(__xludf.DUMMYFUNCTION("""COMPUTED_VALUE"""),1.0)</f>
        <v>1</v>
      </c>
      <c r="EA334" s="16"/>
      <c r="EB334" s="16">
        <f>IFERROR(__xludf.DUMMYFUNCTION("""COMPUTED_VALUE"""),-2.0)</f>
        <v>-2</v>
      </c>
      <c r="EC334" s="16"/>
      <c r="ED334" s="16"/>
      <c r="EE334" s="16"/>
      <c r="EF334" s="16"/>
      <c r="EG334" s="179"/>
      <c r="EH334" s="179">
        <f>IFERROR(__xludf.DUMMYFUNCTION("""COMPUTED_VALUE"""),-12.0)</f>
        <v>-12</v>
      </c>
      <c r="EI334" s="179"/>
      <c r="EJ334" s="179">
        <f>IFERROR(__xludf.DUMMYFUNCTION("""COMPUTED_VALUE"""),-15.0)</f>
        <v>-15</v>
      </c>
      <c r="EK334" s="179"/>
      <c r="EL334" s="179"/>
      <c r="EM334" s="179"/>
      <c r="EN334" s="179"/>
      <c r="EO334" s="16"/>
      <c r="EP334" s="16">
        <f>IFERROR(__xludf.DUMMYFUNCTION("""COMPUTED_VALUE"""),0.0)</f>
        <v>0</v>
      </c>
      <c r="EQ334" s="16">
        <f>IFERROR(__xludf.DUMMYFUNCTION("""COMPUTED_VALUE"""),4.0)</f>
        <v>4</v>
      </c>
      <c r="ER334" s="16">
        <f>IFERROR(__xludf.DUMMYFUNCTION("""COMPUTED_VALUE"""),-4.0)</f>
        <v>-4</v>
      </c>
      <c r="ES334" s="16"/>
      <c r="ET334" s="16"/>
      <c r="EU334" s="16"/>
      <c r="EV334" s="16"/>
      <c r="EW334" s="16"/>
      <c r="EX334" s="180"/>
      <c r="EY334" s="180">
        <f>IFERROR(__xludf.DUMMYFUNCTION("""COMPUTED_VALUE"""),0.3)</f>
        <v>0.3</v>
      </c>
      <c r="EZ334" s="180"/>
      <c r="FA334" s="180">
        <f>IFERROR(__xludf.DUMMYFUNCTION("""COMPUTED_VALUE"""),0.4)</f>
        <v>0.4</v>
      </c>
      <c r="FB334" s="180"/>
      <c r="FC334" s="180"/>
      <c r="FD334" s="180"/>
      <c r="FE334" s="180"/>
      <c r="FF334" s="180"/>
      <c r="FG334" s="180">
        <f>IFERROR(__xludf.DUMMYFUNCTION("""COMPUTED_VALUE"""),0.25)</f>
        <v>0.25</v>
      </c>
      <c r="FH334" s="180"/>
      <c r="FI334" s="180">
        <f>IFERROR(__xludf.DUMMYFUNCTION("""COMPUTED_VALUE"""),0.22685185185185186)</f>
        <v>0.2268518519</v>
      </c>
      <c r="FJ334" s="180"/>
      <c r="FK334" s="180"/>
      <c r="FL334" s="180"/>
      <c r="FM334" s="180"/>
      <c r="FN334" s="16"/>
      <c r="FO334" s="16">
        <f>IFERROR(__xludf.DUMMYFUNCTION("""COMPUTED_VALUE"""),0.5249999999999999)</f>
        <v>0.525</v>
      </c>
      <c r="FP334" s="16"/>
      <c r="FQ334" s="16">
        <f>IFERROR(__xludf.DUMMYFUNCTION("""COMPUTED_VALUE"""),0.46388888888888885)</f>
        <v>0.4638888889</v>
      </c>
      <c r="FR334" s="16"/>
      <c r="FS334" s="16"/>
      <c r="FT334" s="16"/>
      <c r="FU334" s="16"/>
      <c r="FV334" s="16"/>
      <c r="FW334" s="16">
        <f>IFERROR(__xludf.DUMMYFUNCTION("""COMPUTED_VALUE"""),-8.0)</f>
        <v>-8</v>
      </c>
      <c r="FX334" s="16"/>
      <c r="FY334" s="16">
        <f>IFERROR(__xludf.DUMMYFUNCTION("""COMPUTED_VALUE"""),-8.0)</f>
        <v>-8</v>
      </c>
      <c r="FZ334" s="16"/>
      <c r="GA334" s="16"/>
      <c r="GB334" s="16"/>
      <c r="GC334" s="16"/>
      <c r="GD334" s="16" t="s">
        <v>176</v>
      </c>
    </row>
    <row r="335">
      <c r="A335" s="16">
        <f>IFERROR(__xludf.DUMMYFUNCTION("""COMPUTED_VALUE"""),13471.0)</f>
        <v>13471</v>
      </c>
      <c r="B335" s="16" t="str">
        <f>IFERROR(__xludf.DUMMYFUNCTION("""COMPUTED_VALUE"""),"Vidal Brujan")</f>
        <v>Vidal Brujan</v>
      </c>
      <c r="C335" s="16">
        <f>IFERROR(__xludf.DUMMYFUNCTION("""COMPUTED_VALUE"""),0.52)</f>
        <v>0.52</v>
      </c>
      <c r="D335" s="16" t="str">
        <f>IFERROR(__xludf.DUMMYFUNCTION("""COMPUTED_VALUE"""),"S")</f>
        <v>S</v>
      </c>
      <c r="E335" s="16"/>
      <c r="F335" s="16"/>
      <c r="G335" s="16">
        <f>IFERROR(__xludf.DUMMYFUNCTION("""COMPUTED_VALUE"""),248.0)</f>
        <v>248</v>
      </c>
      <c r="H335" s="16">
        <f>IFERROR(__xludf.DUMMYFUNCTION("""COMPUTED_VALUE"""),25.0)</f>
        <v>25</v>
      </c>
      <c r="I335" s="16" t="str">
        <f>IFERROR(__xludf.DUMMYFUNCTION("""COMPUTED_VALUE"""),"2p50")</f>
        <v>2p50</v>
      </c>
      <c r="J335" s="16">
        <f>IFERROR(__xludf.DUMMYFUNCTION("""COMPUTED_VALUE"""),26.0)</f>
        <v>26</v>
      </c>
      <c r="K335" s="16">
        <f>IFERROR(__xludf.DUMMYFUNCTION("""COMPUTED_VALUE"""),16.0)</f>
        <v>16</v>
      </c>
      <c r="L335" s="16">
        <f>IFERROR(__xludf.DUMMYFUNCTION("""COMPUTED_VALUE"""),0.0)</f>
        <v>0</v>
      </c>
      <c r="M335" s="16">
        <f>IFERROR(__xludf.DUMMYFUNCTION("""COMPUTED_VALUE"""),1.0)</f>
        <v>1</v>
      </c>
      <c r="N335" s="16">
        <f>IFERROR(__xludf.DUMMYFUNCTION("""COMPUTED_VALUE"""),0.0)</f>
        <v>0</v>
      </c>
      <c r="O335" s="16">
        <f>IFERROR(__xludf.DUMMYFUNCTION("""COMPUTED_VALUE"""),1.0)</f>
        <v>1</v>
      </c>
      <c r="P335" s="16">
        <f>IFERROR(__xludf.DUMMYFUNCTION("""COMPUTED_VALUE"""),13.0)</f>
        <v>13</v>
      </c>
      <c r="Q335" s="16">
        <f>IFERROR(__xludf.DUMMYFUNCTION("""COMPUTED_VALUE"""),6.0)</f>
        <v>6</v>
      </c>
      <c r="R335" s="16">
        <f>IFERROR(__xludf.DUMMYFUNCTION("""COMPUTED_VALUE"""),2.0)</f>
        <v>2</v>
      </c>
      <c r="S335" s="16">
        <f>IFERROR(__xludf.DUMMYFUNCTION("""COMPUTED_VALUE"""),-1.0)</f>
        <v>-1</v>
      </c>
      <c r="T335" s="16">
        <f>IFERROR(__xludf.DUMMYFUNCTION("""COMPUTED_VALUE"""),2.0)</f>
        <v>2</v>
      </c>
      <c r="U335" s="16">
        <f>IFERROR(__xludf.DUMMYFUNCTION("""COMPUTED_VALUE"""),-1.0)</f>
        <v>-1</v>
      </c>
      <c r="V335" s="16">
        <f>IFERROR(__xludf.DUMMYFUNCTION("""COMPUTED_VALUE"""),12.3)</f>
        <v>12.3</v>
      </c>
      <c r="W335" s="16">
        <f>IFERROR(__xludf.DUMMYFUNCTION("""COMPUTED_VALUE"""),18.0)</f>
        <v>18</v>
      </c>
      <c r="X335" s="16">
        <f>IFERROR(__xludf.DUMMYFUNCTION("""COMPUTED_VALUE"""),-1.0)</f>
        <v>-1</v>
      </c>
      <c r="Y335" s="16">
        <f>IFERROR(__xludf.DUMMYFUNCTION("""COMPUTED_VALUE"""),0.0)</f>
        <v>0</v>
      </c>
      <c r="Z335" s="16">
        <f>IFERROR(__xludf.DUMMYFUNCTION("""COMPUTED_VALUE"""),-2.0)</f>
        <v>-2</v>
      </c>
      <c r="AA335" s="16">
        <f>IFERROR(__xludf.DUMMYFUNCTION("""COMPUTED_VALUE"""),0.0)</f>
        <v>0</v>
      </c>
      <c r="AB335" s="16">
        <f>IFERROR(__xludf.DUMMYFUNCTION("""COMPUTED_VALUE"""),28.3)</f>
        <v>28.3</v>
      </c>
      <c r="AC335" s="16">
        <f>IFERROR(__xludf.DUMMYFUNCTION("""COMPUTED_VALUE"""),27.0)</f>
        <v>27</v>
      </c>
      <c r="AD335" s="16">
        <f>IFERROR(__xludf.DUMMYFUNCTION("""COMPUTED_VALUE"""),0.0)</f>
        <v>0</v>
      </c>
      <c r="AE335" s="16">
        <f>IFERROR(__xludf.DUMMYFUNCTION("""COMPUTED_VALUE"""),-1.0)</f>
        <v>-1</v>
      </c>
      <c r="AF335" s="16">
        <f>IFERROR(__xludf.DUMMYFUNCTION("""COMPUTED_VALUE"""),0.0)</f>
        <v>0</v>
      </c>
      <c r="AG335" s="16">
        <f>IFERROR(__xludf.DUMMYFUNCTION("""COMPUTED_VALUE"""),-5.0)</f>
        <v>-5</v>
      </c>
      <c r="AH335" s="16">
        <f>IFERROR(__xludf.DUMMYFUNCTION("""COMPUTED_VALUE"""),24.3)</f>
        <v>24.3</v>
      </c>
      <c r="AI335" s="16">
        <f>IFERROR(__xludf.DUMMYFUNCTION("""COMPUTED_VALUE"""),30.9)</f>
        <v>30.9</v>
      </c>
      <c r="AJ335" s="16">
        <f>IFERROR(__xludf.DUMMYFUNCTION("""COMPUTED_VALUE"""),-1.0)</f>
        <v>-1</v>
      </c>
      <c r="AK335" s="16">
        <f>IFERROR(__xludf.DUMMYFUNCTION("""COMPUTED_VALUE"""),0.0)</f>
        <v>0</v>
      </c>
      <c r="AL335" s="16">
        <f>IFERROR(__xludf.DUMMYFUNCTION("""COMPUTED_VALUE"""),-5.0)</f>
        <v>-5</v>
      </c>
      <c r="AM335" s="16">
        <f>IFERROR(__xludf.DUMMYFUNCTION("""COMPUTED_VALUE"""),0.0)</f>
        <v>0</v>
      </c>
      <c r="AN335" s="16">
        <f>IFERROR(__xludf.DUMMYFUNCTION("""COMPUTED_VALUE"""),0.0)</f>
        <v>0</v>
      </c>
      <c r="AO335" s="16">
        <f>IFERROR(__xludf.DUMMYFUNCTION("""COMPUTED_VALUE"""),2.2)</f>
        <v>2.2</v>
      </c>
      <c r="AP335" s="16">
        <f>IFERROR(__xludf.DUMMYFUNCTION("""COMPUTED_VALUE"""),-2.0)</f>
        <v>-2</v>
      </c>
      <c r="AQ335" s="16">
        <f>IFERROR(__xludf.DUMMYFUNCTION("""COMPUTED_VALUE"""),0.0)</f>
        <v>0</v>
      </c>
      <c r="AR335" s="16">
        <f>IFERROR(__xludf.DUMMYFUNCTION("""COMPUTED_VALUE"""),-4.0)</f>
        <v>-4</v>
      </c>
      <c r="AS335" s="16">
        <f>IFERROR(__xludf.DUMMYFUNCTION("""COMPUTED_VALUE"""),0.0)</f>
        <v>0</v>
      </c>
      <c r="AT335" s="16"/>
      <c r="AU335" s="16"/>
      <c r="AV335" s="16">
        <f>IFERROR(__xludf.DUMMYFUNCTION("""COMPUTED_VALUE"""),-3.0)</f>
        <v>-3</v>
      </c>
      <c r="AW335" s="16">
        <f>IFERROR(__xludf.DUMMYFUNCTION("""COMPUTED_VALUE"""),-3.0)</f>
        <v>-3</v>
      </c>
      <c r="AX335" s="16">
        <f>IFERROR(__xludf.DUMMYFUNCTION("""COMPUTED_VALUE"""),-3.0)</f>
        <v>-3</v>
      </c>
      <c r="AY335" s="16">
        <f>IFERROR(__xludf.DUMMYFUNCTION("""COMPUTED_VALUE"""),-3.0)</f>
        <v>-3</v>
      </c>
      <c r="AZ335" s="16">
        <f>IFERROR(__xludf.DUMMYFUNCTION("""COMPUTED_VALUE"""),-9.0)</f>
        <v>-9</v>
      </c>
      <c r="BA335" s="16">
        <f>IFERROR(__xludf.DUMMYFUNCTION("""COMPUTED_VALUE"""),-9.0)</f>
        <v>-9</v>
      </c>
      <c r="BB335" s="16">
        <f>IFERROR(__xludf.DUMMYFUNCTION("""COMPUTED_VALUE"""),0.0)</f>
        <v>0</v>
      </c>
      <c r="BC335" s="16">
        <f>IFERROR(__xludf.DUMMYFUNCTION("""COMPUTED_VALUE"""),5.0)</f>
        <v>5</v>
      </c>
      <c r="BD335" s="16">
        <f>IFERROR(__xludf.DUMMYFUNCTION("""COMPUTED_VALUE"""),0.0)</f>
        <v>0</v>
      </c>
      <c r="BE335" s="16">
        <f>IFERROR(__xludf.DUMMYFUNCTION("""COMPUTED_VALUE"""),1.0)</f>
        <v>1</v>
      </c>
      <c r="BF335" s="16">
        <f>IFERROR(__xludf.DUMMYFUNCTION("""COMPUTED_VALUE"""),0.0)</f>
        <v>0</v>
      </c>
      <c r="BG335" s="16">
        <f>IFERROR(__xludf.DUMMYFUNCTION("""COMPUTED_VALUE"""),1.0)</f>
        <v>1</v>
      </c>
      <c r="BH335" s="16">
        <f>IFERROR(__xludf.DUMMYFUNCTION("""COMPUTED_VALUE"""),0.0)</f>
        <v>0</v>
      </c>
      <c r="BI335" s="16">
        <f>IFERROR(__xludf.DUMMYFUNCTION("""COMPUTED_VALUE"""),-8.0)</f>
        <v>-8</v>
      </c>
      <c r="BJ335" s="16">
        <f>IFERROR(__xludf.DUMMYFUNCTION("""COMPUTED_VALUE"""),13.0)</f>
        <v>13</v>
      </c>
      <c r="BK335" s="16">
        <f>IFERROR(__xludf.DUMMYFUNCTION("""COMPUTED_VALUE"""),15.0)</f>
        <v>15</v>
      </c>
      <c r="BL335" s="16">
        <f>IFERROR(__xludf.DUMMYFUNCTION("""COMPUTED_VALUE"""),0.0)</f>
        <v>0</v>
      </c>
      <c r="BM335" s="16">
        <f>IFERROR(__xludf.DUMMYFUNCTION("""COMPUTED_VALUE"""),-1.0)</f>
        <v>-1</v>
      </c>
      <c r="BN335" s="16">
        <f>IFERROR(__xludf.DUMMYFUNCTION("""COMPUTED_VALUE"""),0.0)</f>
        <v>0</v>
      </c>
      <c r="BO335" s="16">
        <f>IFERROR(__xludf.DUMMYFUNCTION("""COMPUTED_VALUE"""),-2.0)</f>
        <v>-2</v>
      </c>
      <c r="BP335" s="16">
        <f>IFERROR(__xludf.DUMMYFUNCTION("""COMPUTED_VALUE"""),-5.0)</f>
        <v>-5</v>
      </c>
      <c r="BQ335" s="16">
        <f>IFERROR(__xludf.DUMMYFUNCTION("""COMPUTED_VALUE"""),-4.0)</f>
        <v>-4</v>
      </c>
      <c r="BR335" s="16">
        <f>IFERROR(__xludf.DUMMYFUNCTION("""COMPUTED_VALUE"""),-9.0)</f>
        <v>-9</v>
      </c>
      <c r="BS335" s="16" t="str">
        <f>IFERROR(__xludf.DUMMYFUNCTION("""COMPUTED_VALUE"""),"*2-6,9-11/7,8 (15-7)")</f>
        <v>*2-6,9-11/7,8 (15-7)</v>
      </c>
      <c r="BT335" s="16" t="str">
        <f>IFERROR(__xludf.DUMMYFUNCTION("""COMPUTED_VALUE"""),"D")</f>
        <v>D</v>
      </c>
      <c r="BU335" s="16">
        <f>IFERROR(__xludf.DUMMYFUNCTION("""COMPUTED_VALUE"""),14.0)</f>
        <v>14</v>
      </c>
      <c r="BV335" s="16">
        <f>IFERROR(__xludf.DUMMYFUNCTION("""COMPUTED_VALUE"""),0.0)</f>
        <v>0</v>
      </c>
      <c r="BW335" s="16">
        <f>IFERROR(__xludf.DUMMYFUNCTION("""COMPUTED_VALUE"""),1.0)</f>
        <v>1</v>
      </c>
      <c r="BX335" s="16">
        <f>IFERROR(__xludf.DUMMYFUNCTION("""COMPUTED_VALUE"""),0.0)</f>
        <v>0</v>
      </c>
      <c r="BY335" s="16">
        <f>IFERROR(__xludf.DUMMYFUNCTION("""COMPUTED_VALUE"""),3.0)</f>
        <v>3</v>
      </c>
      <c r="BZ335" s="16" t="str">
        <f>IFERROR(__xludf.DUMMYFUNCTION("""COMPUTED_VALUE"""),"D")</f>
        <v>D</v>
      </c>
      <c r="CA335" s="16" t="str">
        <f>IFERROR(__xludf.DUMMYFUNCTION("""COMPUTED_VALUE"""),"B")</f>
        <v>B</v>
      </c>
      <c r="CB335" s="16">
        <f>IFERROR(__xludf.DUMMYFUNCTION("""COMPUTED_VALUE"""),0.0)</f>
        <v>0</v>
      </c>
      <c r="CC335" s="16">
        <f>IFERROR(__xludf.DUMMYFUNCTION("""COMPUTED_VALUE"""),1.0)</f>
        <v>1</v>
      </c>
      <c r="CD335" s="16">
        <f>IFERROR(__xludf.DUMMYFUNCTION("""COMPUTED_VALUE"""),0.0)</f>
        <v>0</v>
      </c>
      <c r="CE335" s="16">
        <f>IFERROR(__xludf.DUMMYFUNCTION("""COMPUTED_VALUE"""),2.0)</f>
        <v>2</v>
      </c>
      <c r="CF335" s="16">
        <f>IFERROR(__xludf.DUMMYFUNCTION("""COMPUTED_VALUE"""),2.0)</f>
        <v>2</v>
      </c>
      <c r="CG335" s="16">
        <f>IFERROR(__xludf.DUMMYFUNCTION("""COMPUTED_VALUE"""),-18.0)</f>
        <v>-18</v>
      </c>
      <c r="CH335" s="16">
        <f>IFERROR(__xludf.DUMMYFUNCTION("""COMPUTED_VALUE"""),-15.0)</f>
        <v>-15</v>
      </c>
      <c r="CI335" s="179">
        <f>IFERROR(__xludf.DUMMYFUNCTION("""COMPUTED_VALUE"""),-13.0)</f>
        <v>-13</v>
      </c>
      <c r="CJ335" s="16"/>
      <c r="CK335" s="16">
        <f>IFERROR(__xludf.DUMMYFUNCTION("""COMPUTED_VALUE"""),430.0)</f>
        <v>430</v>
      </c>
      <c r="CL335" s="16">
        <f>IFERROR(__xludf.DUMMYFUNCTION("""COMPUTED_VALUE"""),308.0)</f>
        <v>308</v>
      </c>
      <c r="CM335" s="16">
        <f>IFERROR(__xludf.DUMMYFUNCTION("""COMPUTED_VALUE"""),465.0)</f>
        <v>465</v>
      </c>
      <c r="CN335" s="16">
        <f>IFERROR(__xludf.DUMMYFUNCTION("""COMPUTED_VALUE"""),418.0)</f>
        <v>418</v>
      </c>
      <c r="CO335" s="16">
        <f>IFERROR(__xludf.DUMMYFUNCTION("""COMPUTED_VALUE"""),412.0)</f>
        <v>412</v>
      </c>
      <c r="CP335" s="16">
        <f>IFERROR(__xludf.DUMMYFUNCTION("""COMPUTED_VALUE"""),412.0)</f>
        <v>412</v>
      </c>
      <c r="CQ335" s="16">
        <f>IFERROR(__xludf.DUMMYFUNCTION("""COMPUTED_VALUE"""),412.0)</f>
        <v>412</v>
      </c>
      <c r="CR335" s="16" t="str">
        <f>IFERROR(__xludf.DUMMYFUNCTION("""COMPUTED_VALUE"""),"2b-3e8 ss-4e18 cf-4(0)e12 3b-4e65 rf-4e12 lf-4e12 1b-4e30")</f>
        <v>2b-3e8 ss-4e18 cf-4(0)e12 3b-4e65 rf-4e12 lf-4e12 1b-4e30</v>
      </c>
      <c r="CS335" s="16"/>
      <c r="CT335" s="16">
        <f>IFERROR(__xludf.DUMMYFUNCTION("""COMPUTED_VALUE"""),4.0)</f>
        <v>4</v>
      </c>
      <c r="CU335" s="16">
        <f>IFERROR(__xludf.DUMMYFUNCTION("""COMPUTED_VALUE"""),3.0)</f>
        <v>3</v>
      </c>
      <c r="CV335" s="16">
        <f>IFERROR(__xludf.DUMMYFUNCTION("""COMPUTED_VALUE"""),4.0)</f>
        <v>4</v>
      </c>
      <c r="CW335" s="16">
        <f>IFERROR(__xludf.DUMMYFUNCTION("""COMPUTED_VALUE"""),4.0)</f>
        <v>4</v>
      </c>
      <c r="CX335" s="16">
        <f>IFERROR(__xludf.DUMMYFUNCTION("""COMPUTED_VALUE"""),4.0)</f>
        <v>4</v>
      </c>
      <c r="CY335" s="16">
        <f>IFERROR(__xludf.DUMMYFUNCTION("""COMPUTED_VALUE"""),4.0)</f>
        <v>4</v>
      </c>
      <c r="CZ335" s="16">
        <f>IFERROR(__xludf.DUMMYFUNCTION("""COMPUTED_VALUE"""),4.0)</f>
        <v>4</v>
      </c>
      <c r="DA335" s="16"/>
      <c r="DB335" s="16">
        <f>IFERROR(__xludf.DUMMYFUNCTION("""COMPUTED_VALUE"""),30.0)</f>
        <v>30</v>
      </c>
      <c r="DC335" s="16">
        <f>IFERROR(__xludf.DUMMYFUNCTION("""COMPUTED_VALUE"""),8.0)</f>
        <v>8</v>
      </c>
      <c r="DD335" s="16">
        <f>IFERROR(__xludf.DUMMYFUNCTION("""COMPUTED_VALUE"""),65.0)</f>
        <v>65</v>
      </c>
      <c r="DE335" s="16">
        <f>IFERROR(__xludf.DUMMYFUNCTION("""COMPUTED_VALUE"""),18.0)</f>
        <v>18</v>
      </c>
      <c r="DF335" s="16">
        <f>IFERROR(__xludf.DUMMYFUNCTION("""COMPUTED_VALUE"""),12.0)</f>
        <v>12</v>
      </c>
      <c r="DG335" s="16">
        <f>IFERROR(__xludf.DUMMYFUNCTION("""COMPUTED_VALUE"""),12.0)</f>
        <v>12</v>
      </c>
      <c r="DH335" s="16">
        <f>IFERROR(__xludf.DUMMYFUNCTION("""COMPUTED_VALUE"""),12.0)</f>
        <v>12</v>
      </c>
      <c r="DI335" s="16"/>
      <c r="DJ335" s="16">
        <f>IFERROR(__xludf.DUMMYFUNCTION("""COMPUTED_VALUE"""),0.0)</f>
        <v>0</v>
      </c>
      <c r="DK335" s="16">
        <f>IFERROR(__xludf.DUMMYFUNCTION("""COMPUTED_VALUE"""),0.0)</f>
        <v>0</v>
      </c>
      <c r="DL335" s="16">
        <f>IFERROR(__xludf.DUMMYFUNCTION("""COMPUTED_VALUE"""),0.0)</f>
        <v>0</v>
      </c>
      <c r="DM335" s="16">
        <f>IFERROR(__xludf.DUMMYFUNCTION("""COMPUTED_VALUE"""),-2.0)</f>
        <v>-2</v>
      </c>
      <c r="DN335" s="16">
        <f>IFERROR(__xludf.DUMMYFUNCTION("""COMPUTED_VALUE"""),-1.0)</f>
        <v>-1</v>
      </c>
      <c r="DO335" s="16">
        <f>IFERROR(__xludf.DUMMYFUNCTION("""COMPUTED_VALUE"""),-2.0)</f>
        <v>-2</v>
      </c>
      <c r="DP335" s="16">
        <f>IFERROR(__xludf.DUMMYFUNCTION("""COMPUTED_VALUE"""),-1.0)</f>
        <v>-1</v>
      </c>
      <c r="DQ335" s="16"/>
      <c r="DR335" s="16">
        <f>IFERROR(__xludf.DUMMYFUNCTION("""COMPUTED_VALUE"""),-2.0)</f>
        <v>-2</v>
      </c>
      <c r="DS335" s="16">
        <f>IFERROR(__xludf.DUMMYFUNCTION("""COMPUTED_VALUE"""),3.0)</f>
        <v>3</v>
      </c>
      <c r="DT335" s="16">
        <f>IFERROR(__xludf.DUMMYFUNCTION("""COMPUTED_VALUE"""),-2.0)</f>
        <v>-2</v>
      </c>
      <c r="DU335" s="16">
        <f>IFERROR(__xludf.DUMMYFUNCTION("""COMPUTED_VALUE"""),2.0)</f>
        <v>2</v>
      </c>
      <c r="DV335" s="16">
        <f>IFERROR(__xludf.DUMMYFUNCTION("""COMPUTED_VALUE"""),-2.0)</f>
        <v>-2</v>
      </c>
      <c r="DW335" s="16">
        <f>IFERROR(__xludf.DUMMYFUNCTION("""COMPUTED_VALUE"""),0.0)</f>
        <v>0</v>
      </c>
      <c r="DX335" s="16">
        <f>IFERROR(__xludf.DUMMYFUNCTION("""COMPUTED_VALUE"""),-2.0)</f>
        <v>-2</v>
      </c>
      <c r="DY335" s="16"/>
      <c r="DZ335" s="16">
        <f>IFERROR(__xludf.DUMMYFUNCTION("""COMPUTED_VALUE"""),-2.0)</f>
        <v>-2</v>
      </c>
      <c r="EA335" s="16">
        <f>IFERROR(__xludf.DUMMYFUNCTION("""COMPUTED_VALUE"""),3.0)</f>
        <v>3</v>
      </c>
      <c r="EB335" s="16">
        <f>IFERROR(__xludf.DUMMYFUNCTION("""COMPUTED_VALUE"""),-2.0)</f>
        <v>-2</v>
      </c>
      <c r="EC335" s="16">
        <f>IFERROR(__xludf.DUMMYFUNCTION("""COMPUTED_VALUE"""),0.0)</f>
        <v>0</v>
      </c>
      <c r="ED335" s="16">
        <f>IFERROR(__xludf.DUMMYFUNCTION("""COMPUTED_VALUE"""),-3.0)</f>
        <v>-3</v>
      </c>
      <c r="EE335" s="16">
        <f>IFERROR(__xludf.DUMMYFUNCTION("""COMPUTED_VALUE"""),-2.0)</f>
        <v>-2</v>
      </c>
      <c r="EF335" s="16">
        <f>IFERROR(__xludf.DUMMYFUNCTION("""COMPUTED_VALUE"""),-3.0)</f>
        <v>-3</v>
      </c>
      <c r="EG335" s="179"/>
      <c r="EH335" s="179">
        <f>IFERROR(__xludf.DUMMYFUNCTION("""COMPUTED_VALUE"""),-15.0)</f>
        <v>-15</v>
      </c>
      <c r="EI335" s="179">
        <f>IFERROR(__xludf.DUMMYFUNCTION("""COMPUTED_VALUE"""),-10.0)</f>
        <v>-10</v>
      </c>
      <c r="EJ335" s="179">
        <f>IFERROR(__xludf.DUMMYFUNCTION("""COMPUTED_VALUE"""),-15.0)</f>
        <v>-15</v>
      </c>
      <c r="EK335" s="179">
        <f>IFERROR(__xludf.DUMMYFUNCTION("""COMPUTED_VALUE"""),-13.0)</f>
        <v>-13</v>
      </c>
      <c r="EL335" s="179">
        <f>IFERROR(__xludf.DUMMYFUNCTION("""COMPUTED_VALUE"""),-16.0)</f>
        <v>-16</v>
      </c>
      <c r="EM335" s="179">
        <f>IFERROR(__xludf.DUMMYFUNCTION("""COMPUTED_VALUE"""),-15.0)</f>
        <v>-15</v>
      </c>
      <c r="EN335" s="179">
        <f>IFERROR(__xludf.DUMMYFUNCTION("""COMPUTED_VALUE"""),-16.0)</f>
        <v>-16</v>
      </c>
      <c r="EO335" s="16"/>
      <c r="EP335" s="16"/>
      <c r="EQ335" s="16">
        <f>IFERROR(__xludf.DUMMYFUNCTION("""COMPUTED_VALUE"""),2.0)</f>
        <v>2</v>
      </c>
      <c r="ER335" s="16">
        <f>IFERROR(__xludf.DUMMYFUNCTION("""COMPUTED_VALUE"""),0.0)</f>
        <v>0</v>
      </c>
      <c r="ES335" s="16"/>
      <c r="ET335" s="16"/>
      <c r="EU335" s="16"/>
      <c r="EV335" s="16"/>
      <c r="EW335" s="16"/>
      <c r="EX335" s="180"/>
      <c r="EY335" s="180">
        <f>IFERROR(__xludf.DUMMYFUNCTION("""COMPUTED_VALUE"""),0.3)</f>
        <v>0.3</v>
      </c>
      <c r="EZ335" s="180">
        <f>IFERROR(__xludf.DUMMYFUNCTION("""COMPUTED_VALUE"""),0.2)</f>
        <v>0.2</v>
      </c>
      <c r="FA335" s="180">
        <f>IFERROR(__xludf.DUMMYFUNCTION("""COMPUTED_VALUE"""),0.3)</f>
        <v>0.3</v>
      </c>
      <c r="FB335" s="180">
        <f>IFERROR(__xludf.DUMMYFUNCTION("""COMPUTED_VALUE"""),0.3)</f>
        <v>0.3</v>
      </c>
      <c r="FC335" s="180">
        <f>IFERROR(__xludf.DUMMYFUNCTION("""COMPUTED_VALUE"""),0.55)</f>
        <v>0.55</v>
      </c>
      <c r="FD335" s="180">
        <f>IFERROR(__xludf.DUMMYFUNCTION("""COMPUTED_VALUE"""),0.55)</f>
        <v>0.55</v>
      </c>
      <c r="FE335" s="180">
        <f>IFERROR(__xludf.DUMMYFUNCTION("""COMPUTED_VALUE"""),0.55)</f>
        <v>0.55</v>
      </c>
      <c r="FF335" s="180"/>
      <c r="FG335" s="180">
        <f>IFERROR(__xludf.DUMMYFUNCTION("""COMPUTED_VALUE"""),0.5370370370370371)</f>
        <v>0.537037037</v>
      </c>
      <c r="FH335" s="180">
        <f>IFERROR(__xludf.DUMMYFUNCTION("""COMPUTED_VALUE"""),0.046296296296296294)</f>
        <v>0.0462962963</v>
      </c>
      <c r="FI335" s="180">
        <f>IFERROR(__xludf.DUMMYFUNCTION("""COMPUTED_VALUE"""),0.7407407407407407)</f>
        <v>0.7407407407</v>
      </c>
      <c r="FJ335" s="180">
        <f>IFERROR(__xludf.DUMMYFUNCTION("""COMPUTED_VALUE"""),0.09259259259259259)</f>
        <v>0.09259259259</v>
      </c>
      <c r="FK335" s="180">
        <f>IFERROR(__xludf.DUMMYFUNCTION("""COMPUTED_VALUE"""),0.218)</f>
        <v>0.218</v>
      </c>
      <c r="FL335" s="180">
        <f>IFERROR(__xludf.DUMMYFUNCTION("""COMPUTED_VALUE"""),0.14351851851851852)</f>
        <v>0.1435185185</v>
      </c>
      <c r="FM335" s="180">
        <f>IFERROR(__xludf.DUMMYFUNCTION("""COMPUTED_VALUE"""),0.218)</f>
        <v>0.218</v>
      </c>
      <c r="FN335" s="16"/>
      <c r="FO335" s="16">
        <f>IFERROR(__xludf.DUMMYFUNCTION("""COMPUTED_VALUE"""),0.324074074074074)</f>
        <v>0.3240740741</v>
      </c>
      <c r="FP335" s="16">
        <f>IFERROR(__xludf.DUMMYFUNCTION("""COMPUTED_VALUE"""),0.7629629629629631)</f>
        <v>0.762962963</v>
      </c>
      <c r="FQ335" s="16">
        <f>IFERROR(__xludf.DUMMYFUNCTION("""COMPUTED_VALUE"""),0.1814814814814815)</f>
        <v>0.1814814815</v>
      </c>
      <c r="FR335" s="16">
        <f>IFERROR(__xludf.DUMMYFUNCTION("""COMPUTED_VALUE"""),0.6351851851851852)</f>
        <v>0.6351851852</v>
      </c>
      <c r="FS335" s="16">
        <f>IFERROR(__xludf.DUMMYFUNCTION("""COMPUTED_VALUE"""),0.3519)</f>
        <v>0.3519</v>
      </c>
      <c r="FT335" s="16">
        <f>IFERROR(__xludf.DUMMYFUNCTION("""COMPUTED_VALUE"""),0.38541666666666663)</f>
        <v>0.3854166667</v>
      </c>
      <c r="FU335" s="16">
        <f>IFERROR(__xludf.DUMMYFUNCTION("""COMPUTED_VALUE"""),0.3519)</f>
        <v>0.3519</v>
      </c>
      <c r="FV335" s="16"/>
      <c r="FW335" s="16">
        <f>IFERROR(__xludf.DUMMYFUNCTION("""COMPUTED_VALUE"""),-8.0)</f>
        <v>-8</v>
      </c>
      <c r="FX335" s="16">
        <f>IFERROR(__xludf.DUMMYFUNCTION("""COMPUTED_VALUE"""),-1.0)</f>
        <v>-1</v>
      </c>
      <c r="FY335" s="16">
        <f>IFERROR(__xludf.DUMMYFUNCTION("""COMPUTED_VALUE"""),-8.0)</f>
        <v>-8</v>
      </c>
      <c r="FZ335" s="16">
        <f>IFERROR(__xludf.DUMMYFUNCTION("""COMPUTED_VALUE"""),-6.0)</f>
        <v>-6</v>
      </c>
      <c r="GA335" s="16">
        <f>IFERROR(__xludf.DUMMYFUNCTION("""COMPUTED_VALUE"""),-8.0)</f>
        <v>-8</v>
      </c>
      <c r="GB335" s="16">
        <f>IFERROR(__xludf.DUMMYFUNCTION("""COMPUTED_VALUE"""),-8.0)</f>
        <v>-8</v>
      </c>
      <c r="GC335" s="16">
        <f>IFERROR(__xludf.DUMMYFUNCTION("""COMPUTED_VALUE"""),-8.0)</f>
        <v>-8</v>
      </c>
      <c r="GD335" s="16" t="s">
        <v>176</v>
      </c>
    </row>
    <row r="336">
      <c r="A336" s="16">
        <f>IFERROR(__xludf.DUMMYFUNCTION("""COMPUTED_VALUE"""),13237.0)</f>
        <v>13237</v>
      </c>
      <c r="B336" s="16" t="str">
        <f>IFERROR(__xludf.DUMMYFUNCTION("""COMPUTED_VALUE"""),"Nick Fortes")</f>
        <v>Nick Fortes</v>
      </c>
      <c r="C336" s="16">
        <f>IFERROR(__xludf.DUMMYFUNCTION("""COMPUTED_VALUE"""),0.0)</f>
        <v>0</v>
      </c>
      <c r="D336" s="16" t="str">
        <f>IFERROR(__xludf.DUMMYFUNCTION("""COMPUTED_VALUE"""),"R")</f>
        <v>R</v>
      </c>
      <c r="E336" s="16"/>
      <c r="F336" s="16"/>
      <c r="G336" s="16">
        <f>IFERROR(__xludf.DUMMYFUNCTION("""COMPUTED_VALUE"""),308.0)</f>
        <v>308</v>
      </c>
      <c r="H336" s="16">
        <f>IFERROR(__xludf.DUMMYFUNCTION("""COMPUTED_VALUE"""),11.0)</f>
        <v>11</v>
      </c>
      <c r="I336" s="16" t="str">
        <f>IFERROR(__xludf.DUMMYFUNCTION("""COMPUTED_VALUE"""),"2p50")</f>
        <v>2p50</v>
      </c>
      <c r="J336" s="16">
        <f>IFERROR(__xludf.DUMMYFUNCTION("""COMPUTED_VALUE"""),3.0)</f>
        <v>3</v>
      </c>
      <c r="K336" s="16">
        <f>IFERROR(__xludf.DUMMYFUNCTION("""COMPUTED_VALUE"""),2.0)</f>
        <v>2</v>
      </c>
      <c r="L336" s="16">
        <f>IFERROR(__xludf.DUMMYFUNCTION("""COMPUTED_VALUE"""),2.0)</f>
        <v>2</v>
      </c>
      <c r="M336" s="16">
        <f>IFERROR(__xludf.DUMMYFUNCTION("""COMPUTED_VALUE"""),2.0)</f>
        <v>2</v>
      </c>
      <c r="N336" s="16">
        <f>IFERROR(__xludf.DUMMYFUNCTION("""COMPUTED_VALUE"""),2.0)</f>
        <v>2</v>
      </c>
      <c r="O336" s="16">
        <f>IFERROR(__xludf.DUMMYFUNCTION("""COMPUTED_VALUE"""),2.0)</f>
        <v>2</v>
      </c>
      <c r="P336" s="16">
        <f>IFERROR(__xludf.DUMMYFUNCTION("""COMPUTED_VALUE"""),0.0)</f>
        <v>0</v>
      </c>
      <c r="Q336" s="16">
        <f>IFERROR(__xludf.DUMMYFUNCTION("""COMPUTED_VALUE"""),0.0)</f>
        <v>0</v>
      </c>
      <c r="R336" s="16">
        <f>IFERROR(__xludf.DUMMYFUNCTION("""COMPUTED_VALUE"""),-3.0)</f>
        <v>-3</v>
      </c>
      <c r="S336" s="16">
        <f>IFERROR(__xludf.DUMMYFUNCTION("""COMPUTED_VALUE"""),-2.0)</f>
        <v>-2</v>
      </c>
      <c r="T336" s="16">
        <f>IFERROR(__xludf.DUMMYFUNCTION("""COMPUTED_VALUE"""),-3.0)</f>
        <v>-3</v>
      </c>
      <c r="U336" s="16">
        <f>IFERROR(__xludf.DUMMYFUNCTION("""COMPUTED_VALUE"""),-2.0)</f>
        <v>-2</v>
      </c>
      <c r="V336" s="16">
        <f>IFERROR(__xludf.DUMMYFUNCTION("""COMPUTED_VALUE"""),12.6)</f>
        <v>12.6</v>
      </c>
      <c r="W336" s="16">
        <f>IFERROR(__xludf.DUMMYFUNCTION("""COMPUTED_VALUE"""),20.3)</f>
        <v>20.3</v>
      </c>
      <c r="X336" s="16">
        <f>IFERROR(__xludf.DUMMYFUNCTION("""COMPUTED_VALUE"""),-1.0)</f>
        <v>-1</v>
      </c>
      <c r="Y336" s="16">
        <f>IFERROR(__xludf.DUMMYFUNCTION("""COMPUTED_VALUE"""),0.0)</f>
        <v>0</v>
      </c>
      <c r="Z336" s="16">
        <f>IFERROR(__xludf.DUMMYFUNCTION("""COMPUTED_VALUE"""),-2.0)</f>
        <v>-2</v>
      </c>
      <c r="AA336" s="16">
        <f>IFERROR(__xludf.DUMMYFUNCTION("""COMPUTED_VALUE"""),0.0)</f>
        <v>0</v>
      </c>
      <c r="AB336" s="16">
        <f>IFERROR(__xludf.DUMMYFUNCTION("""COMPUTED_VALUE"""),15.6)</f>
        <v>15.6</v>
      </c>
      <c r="AC336" s="16">
        <f>IFERROR(__xludf.DUMMYFUNCTION("""COMPUTED_VALUE"""),23.3)</f>
        <v>23.3</v>
      </c>
      <c r="AD336" s="16">
        <f>IFERROR(__xludf.DUMMYFUNCTION("""COMPUTED_VALUE"""),-2.0)</f>
        <v>-2</v>
      </c>
      <c r="AE336" s="16">
        <f>IFERROR(__xludf.DUMMYFUNCTION("""COMPUTED_VALUE"""),-1.0)</f>
        <v>-1</v>
      </c>
      <c r="AF336" s="16">
        <f>IFERROR(__xludf.DUMMYFUNCTION("""COMPUTED_VALUE"""),-10.0)</f>
        <v>-10</v>
      </c>
      <c r="AG336" s="16">
        <f>IFERROR(__xludf.DUMMYFUNCTION("""COMPUTED_VALUE"""),-5.0)</f>
        <v>-5</v>
      </c>
      <c r="AH336" s="16">
        <f>IFERROR(__xludf.DUMMYFUNCTION("""COMPUTED_VALUE"""),27.5)</f>
        <v>27.5</v>
      </c>
      <c r="AI336" s="16">
        <f>IFERROR(__xludf.DUMMYFUNCTION("""COMPUTED_VALUE"""),33.0)</f>
        <v>33</v>
      </c>
      <c r="AJ336" s="16">
        <f>IFERROR(__xludf.DUMMYFUNCTION("""COMPUTED_VALUE"""),0.0)</f>
        <v>0</v>
      </c>
      <c r="AK336" s="16">
        <f>IFERROR(__xludf.DUMMYFUNCTION("""COMPUTED_VALUE"""),0.0)</f>
        <v>0</v>
      </c>
      <c r="AL336" s="16">
        <f>IFERROR(__xludf.DUMMYFUNCTION("""COMPUTED_VALUE"""),0.0)</f>
        <v>0</v>
      </c>
      <c r="AM336" s="16">
        <f>IFERROR(__xludf.DUMMYFUNCTION("""COMPUTED_VALUE"""),0.0)</f>
        <v>0</v>
      </c>
      <c r="AN336" s="16">
        <f>IFERROR(__xludf.DUMMYFUNCTION("""COMPUTED_VALUE"""),2.0)</f>
        <v>2</v>
      </c>
      <c r="AO336" s="16">
        <f>IFERROR(__xludf.DUMMYFUNCTION("""COMPUTED_VALUE"""),3.0)</f>
        <v>3</v>
      </c>
      <c r="AP336" s="16">
        <f>IFERROR(__xludf.DUMMYFUNCTION("""COMPUTED_VALUE"""),0.0)</f>
        <v>0</v>
      </c>
      <c r="AQ336" s="16">
        <f>IFERROR(__xludf.DUMMYFUNCTION("""COMPUTED_VALUE"""),1.0)</f>
        <v>1</v>
      </c>
      <c r="AR336" s="16">
        <f>IFERROR(__xludf.DUMMYFUNCTION("""COMPUTED_VALUE"""),0.0)</f>
        <v>0</v>
      </c>
      <c r="AS336" s="16">
        <f>IFERROR(__xludf.DUMMYFUNCTION("""COMPUTED_VALUE"""),2.0)</f>
        <v>2</v>
      </c>
      <c r="AT336" s="16"/>
      <c r="AU336" s="16"/>
      <c r="AV336" s="16">
        <f>IFERROR(__xludf.DUMMYFUNCTION("""COMPUTED_VALUE"""),-3.0)</f>
        <v>-3</v>
      </c>
      <c r="AW336" s="16">
        <f>IFERROR(__xludf.DUMMYFUNCTION("""COMPUTED_VALUE"""),-3.0)</f>
        <v>-3</v>
      </c>
      <c r="AX336" s="16">
        <f>IFERROR(__xludf.DUMMYFUNCTION("""COMPUTED_VALUE"""),-3.0)</f>
        <v>-3</v>
      </c>
      <c r="AY336" s="16">
        <f>IFERROR(__xludf.DUMMYFUNCTION("""COMPUTED_VALUE"""),-3.0)</f>
        <v>-3</v>
      </c>
      <c r="AZ336" s="16">
        <f>IFERROR(__xludf.DUMMYFUNCTION("""COMPUTED_VALUE"""),-9.0)</f>
        <v>-9</v>
      </c>
      <c r="BA336" s="16">
        <f>IFERROR(__xludf.DUMMYFUNCTION("""COMPUTED_VALUE"""),-9.0)</f>
        <v>-9</v>
      </c>
      <c r="BB336" s="16">
        <f>IFERROR(__xludf.DUMMYFUNCTION("""COMPUTED_VALUE"""),5.0)</f>
        <v>5</v>
      </c>
      <c r="BC336" s="16">
        <f>IFERROR(__xludf.DUMMYFUNCTION("""COMPUTED_VALUE"""),5.0)</f>
        <v>5</v>
      </c>
      <c r="BD336" s="16">
        <f>IFERROR(__xludf.DUMMYFUNCTION("""COMPUTED_VALUE"""),1.0)</f>
        <v>1</v>
      </c>
      <c r="BE336" s="16">
        <f>IFERROR(__xludf.DUMMYFUNCTION("""COMPUTED_VALUE"""),1.0)</f>
        <v>1</v>
      </c>
      <c r="BF336" s="16">
        <f>IFERROR(__xludf.DUMMYFUNCTION("""COMPUTED_VALUE"""),1.0)</f>
        <v>1</v>
      </c>
      <c r="BG336" s="16">
        <f>IFERROR(__xludf.DUMMYFUNCTION("""COMPUTED_VALUE"""),1.0)</f>
        <v>1</v>
      </c>
      <c r="BH336" s="16">
        <f>IFERROR(__xludf.DUMMYFUNCTION("""COMPUTED_VALUE"""),2.0)</f>
        <v>2</v>
      </c>
      <c r="BI336" s="16">
        <f>IFERROR(__xludf.DUMMYFUNCTION("""COMPUTED_VALUE"""),7.0)</f>
        <v>7</v>
      </c>
      <c r="BJ336" s="16">
        <f>IFERROR(__xludf.DUMMYFUNCTION("""COMPUTED_VALUE"""),15.0)</f>
        <v>15</v>
      </c>
      <c r="BK336" s="16">
        <f>IFERROR(__xludf.DUMMYFUNCTION("""COMPUTED_VALUE"""),15.0)</f>
        <v>15</v>
      </c>
      <c r="BL336" s="16">
        <f>IFERROR(__xludf.DUMMYFUNCTION("""COMPUTED_VALUE"""),-1.0)</f>
        <v>-1</v>
      </c>
      <c r="BM336" s="16">
        <f>IFERROR(__xludf.DUMMYFUNCTION("""COMPUTED_VALUE"""),-1.0)</f>
        <v>-1</v>
      </c>
      <c r="BN336" s="16">
        <f>IFERROR(__xludf.DUMMYFUNCTION("""COMPUTED_VALUE"""),-2.0)</f>
        <v>-2</v>
      </c>
      <c r="BO336" s="16">
        <f>IFERROR(__xludf.DUMMYFUNCTION("""COMPUTED_VALUE"""),-2.0)</f>
        <v>-2</v>
      </c>
      <c r="BP336" s="16">
        <f>IFERROR(__xludf.DUMMYFUNCTION("""COMPUTED_VALUE"""),-7.0)</f>
        <v>-7</v>
      </c>
      <c r="BQ336" s="16">
        <f>IFERROR(__xludf.DUMMYFUNCTION("""COMPUTED_VALUE"""),-3.0)</f>
        <v>-3</v>
      </c>
      <c r="BR336" s="16">
        <f>IFERROR(__xludf.DUMMYFUNCTION("""COMPUTED_VALUE"""),-10.0)</f>
        <v>-10</v>
      </c>
      <c r="BS336" s="16" t="str">
        <f>IFERROR(__xludf.DUMMYFUNCTION("""COMPUTED_VALUE"""),"5,6/- (3-1)")</f>
        <v>5,6/- (3-1)</v>
      </c>
      <c r="BT336" s="16" t="str">
        <f>IFERROR(__xludf.DUMMYFUNCTION("""COMPUTED_VALUE"""),"E")</f>
        <v>E</v>
      </c>
      <c r="BU336" s="16">
        <f>IFERROR(__xludf.DUMMYFUNCTION("""COMPUTED_VALUE"""),10.0)</f>
        <v>10</v>
      </c>
      <c r="BV336" s="16">
        <f>IFERROR(__xludf.DUMMYFUNCTION("""COMPUTED_VALUE"""),0.0)</f>
        <v>0</v>
      </c>
      <c r="BW336" s="16">
        <f>IFERROR(__xludf.DUMMYFUNCTION("""COMPUTED_VALUE"""),0.0)</f>
        <v>0</v>
      </c>
      <c r="BX336" s="16">
        <f>IFERROR(__xludf.DUMMYFUNCTION("""COMPUTED_VALUE"""),0.0)</f>
        <v>0</v>
      </c>
      <c r="BY336" s="16">
        <f>IFERROR(__xludf.DUMMYFUNCTION("""COMPUTED_VALUE"""),0.0)</f>
        <v>0</v>
      </c>
      <c r="BZ336" s="16" t="str">
        <f>IFERROR(__xludf.DUMMYFUNCTION("""COMPUTED_VALUE"""),"A")</f>
        <v>A</v>
      </c>
      <c r="CA336" s="16" t="str">
        <f>IFERROR(__xludf.DUMMYFUNCTION("""COMPUTED_VALUE"""),"B")</f>
        <v>B</v>
      </c>
      <c r="CB336" s="16">
        <f>IFERROR(__xludf.DUMMYFUNCTION("""COMPUTED_VALUE"""),2.0)</f>
        <v>2</v>
      </c>
      <c r="CC336" s="16">
        <f>IFERROR(__xludf.DUMMYFUNCTION("""COMPUTED_VALUE"""),1.0)</f>
        <v>1</v>
      </c>
      <c r="CD336" s="16">
        <f>IFERROR(__xludf.DUMMYFUNCTION("""COMPUTED_VALUE"""),2.0)</f>
        <v>2</v>
      </c>
      <c r="CE336" s="16">
        <f>IFERROR(__xludf.DUMMYFUNCTION("""COMPUTED_VALUE"""),2.0)</f>
        <v>2</v>
      </c>
      <c r="CF336" s="16">
        <f>IFERROR(__xludf.DUMMYFUNCTION("""COMPUTED_VALUE"""),2.0)</f>
        <v>2</v>
      </c>
      <c r="CG336" s="16">
        <f>IFERROR(__xludf.DUMMYFUNCTION("""COMPUTED_VALUE"""),-23.0)</f>
        <v>-23</v>
      </c>
      <c r="CH336" s="16">
        <f>IFERROR(__xludf.DUMMYFUNCTION("""COMPUTED_VALUE"""),-13.0)</f>
        <v>-13</v>
      </c>
      <c r="CI336" s="179">
        <f>IFERROR(__xludf.DUMMYFUNCTION("""COMPUTED_VALUE"""),-13.0)</f>
        <v>-13</v>
      </c>
      <c r="CJ336" s="16">
        <f>IFERROR(__xludf.DUMMYFUNCTION("""COMPUTED_VALUE"""),204.0)</f>
        <v>204</v>
      </c>
      <c r="CK336" s="16"/>
      <c r="CL336" s="16"/>
      <c r="CM336" s="16"/>
      <c r="CN336" s="16"/>
      <c r="CO336" s="16"/>
      <c r="CP336" s="16"/>
      <c r="CQ336" s="16"/>
      <c r="CR336" s="16" t="str">
        <f>IFERROR(__xludf.DUMMYFUNCTION("""COMPUTED_VALUE"""),"c-2(0)e4,T-8(pb-1)")</f>
        <v>c-2(0)e4,T-8(pb-1)</v>
      </c>
      <c r="CS336" s="16">
        <f>IFERROR(__xludf.DUMMYFUNCTION("""COMPUTED_VALUE"""),2.0)</f>
        <v>2</v>
      </c>
      <c r="CT336" s="16"/>
      <c r="CU336" s="16"/>
      <c r="CV336" s="16"/>
      <c r="CW336" s="16"/>
      <c r="CX336" s="16"/>
      <c r="CY336" s="16"/>
      <c r="CZ336" s="16"/>
      <c r="DA336" s="16">
        <f>IFERROR(__xludf.DUMMYFUNCTION("""COMPUTED_VALUE"""),4.0)</f>
        <v>4</v>
      </c>
      <c r="DB336" s="16"/>
      <c r="DC336" s="16"/>
      <c r="DD336" s="16"/>
      <c r="DE336" s="16"/>
      <c r="DF336" s="16"/>
      <c r="DG336" s="16"/>
      <c r="DH336" s="16"/>
      <c r="DI336" s="16">
        <f>IFERROR(__xludf.DUMMYFUNCTION("""COMPUTED_VALUE"""),2.0)</f>
        <v>2</v>
      </c>
      <c r="DJ336" s="16"/>
      <c r="DK336" s="16"/>
      <c r="DL336" s="16"/>
      <c r="DM336" s="16"/>
      <c r="DN336" s="16"/>
      <c r="DO336" s="16"/>
      <c r="DP336" s="16"/>
      <c r="DQ336" s="16">
        <f>IFERROR(__xludf.DUMMYFUNCTION("""COMPUTED_VALUE"""),3.0)</f>
        <v>3</v>
      </c>
      <c r="DR336" s="16"/>
      <c r="DS336" s="16"/>
      <c r="DT336" s="16"/>
      <c r="DU336" s="16"/>
      <c r="DV336" s="16"/>
      <c r="DW336" s="16"/>
      <c r="DX336" s="16"/>
      <c r="DY336" s="16">
        <f>IFERROR(__xludf.DUMMYFUNCTION("""COMPUTED_VALUE"""),5.0)</f>
        <v>5</v>
      </c>
      <c r="DZ336" s="16"/>
      <c r="EA336" s="16"/>
      <c r="EB336" s="16"/>
      <c r="EC336" s="16"/>
      <c r="ED336" s="16"/>
      <c r="EE336" s="16"/>
      <c r="EF336" s="16"/>
      <c r="EG336" s="179">
        <f>IFERROR(__xludf.DUMMYFUNCTION("""COMPUTED_VALUE"""),-8.0)</f>
        <v>-8</v>
      </c>
      <c r="EH336" s="179"/>
      <c r="EI336" s="179"/>
      <c r="EJ336" s="179"/>
      <c r="EK336" s="179"/>
      <c r="EL336" s="179"/>
      <c r="EM336" s="179"/>
      <c r="EN336" s="179"/>
      <c r="EO336" s="16">
        <f>IFERROR(__xludf.DUMMYFUNCTION("""COMPUTED_VALUE"""),0.0)</f>
        <v>0</v>
      </c>
      <c r="EP336" s="16"/>
      <c r="EQ336" s="16">
        <f>IFERROR(__xludf.DUMMYFUNCTION("""COMPUTED_VALUE"""),2.0)</f>
        <v>2</v>
      </c>
      <c r="ER336" s="16">
        <f>IFERROR(__xludf.DUMMYFUNCTION("""COMPUTED_VALUE"""),0.0)</f>
        <v>0</v>
      </c>
      <c r="ES336" s="16" t="str">
        <f>IFERROR(__xludf.DUMMYFUNCTION("""COMPUTED_VALUE"""),"c-2")</f>
        <v>c-2</v>
      </c>
      <c r="ET336" s="16" t="str">
        <f>IFERROR(__xludf.DUMMYFUNCTION("""COMPUTED_VALUE"""),"0)e4,T-8")</f>
        <v>0)e4,T-8</v>
      </c>
      <c r="EU336" s="16" t="str">
        <f>IFERROR(__xludf.DUMMYFUNCTION("""COMPUTED_VALUE"""),"pb-1)")</f>
        <v>pb-1)</v>
      </c>
      <c r="EV336" s="16"/>
      <c r="EW336" s="16">
        <f>IFERROR(__xludf.DUMMYFUNCTION("""COMPUTED_VALUE"""),0.0)</f>
        <v>0</v>
      </c>
      <c r="EX336" s="180">
        <f>IFERROR(__xludf.DUMMYFUNCTION("""COMPUTED_VALUE"""),0.1)</f>
        <v>0.1</v>
      </c>
      <c r="EY336" s="180"/>
      <c r="EZ336" s="180"/>
      <c r="FA336" s="180"/>
      <c r="FB336" s="180"/>
      <c r="FC336" s="180"/>
      <c r="FD336" s="180"/>
      <c r="FE336" s="180"/>
      <c r="FF336" s="180">
        <f>IFERROR(__xludf.DUMMYFUNCTION("""COMPUTED_VALUE"""),0.047)</f>
        <v>0.047</v>
      </c>
      <c r="FG336" s="180"/>
      <c r="FH336" s="180"/>
      <c r="FI336" s="180"/>
      <c r="FJ336" s="180"/>
      <c r="FK336" s="180"/>
      <c r="FL336" s="180"/>
      <c r="FM336" s="180"/>
      <c r="FN336" s="16">
        <f>IFERROR(__xludf.DUMMYFUNCTION("""COMPUTED_VALUE"""),0.8577)</f>
        <v>0.8577</v>
      </c>
      <c r="FO336" s="16"/>
      <c r="FP336" s="16"/>
      <c r="FQ336" s="16"/>
      <c r="FR336" s="16"/>
      <c r="FS336" s="16"/>
      <c r="FT336" s="16"/>
      <c r="FU336" s="16"/>
      <c r="FV336" s="16">
        <f>IFERROR(__xludf.DUMMYFUNCTION("""COMPUTED_VALUE"""),4.0)</f>
        <v>4</v>
      </c>
      <c r="FW336" s="16"/>
      <c r="FX336" s="16"/>
      <c r="FY336" s="16"/>
      <c r="FZ336" s="16"/>
      <c r="GA336" s="16"/>
      <c r="GB336" s="16"/>
      <c r="GC336" s="16"/>
      <c r="GD336" s="16" t="s">
        <v>176</v>
      </c>
    </row>
    <row r="337">
      <c r="A337" s="16">
        <f>IFERROR(__xludf.DUMMYFUNCTION("""COMPUTED_VALUE"""),12753.0)</f>
        <v>12753</v>
      </c>
      <c r="B337" s="16" t="str">
        <f>IFERROR(__xludf.DUMMYFUNCTION("""COMPUTED_VALUE"""),"Derek Hill")</f>
        <v>Derek Hill</v>
      </c>
      <c r="C337" s="16">
        <f>IFERROR(__xludf.DUMMYFUNCTION("""COMPUTED_VALUE"""),0.0)</f>
        <v>0</v>
      </c>
      <c r="D337" s="16" t="str">
        <f>IFERROR(__xludf.DUMMYFUNCTION("""COMPUTED_VALUE"""),"R")</f>
        <v>R</v>
      </c>
      <c r="E337" s="16"/>
      <c r="F337" s="16"/>
      <c r="G337" s="16">
        <f>IFERROR(__xludf.DUMMYFUNCTION("""COMPUTED_VALUE"""),162.0)</f>
        <v>162</v>
      </c>
      <c r="H337" s="16">
        <f>IFERROR(__xludf.DUMMYFUNCTION("""COMPUTED_VALUE"""),5.0)</f>
        <v>5</v>
      </c>
      <c r="I337" s="16" t="str">
        <f>IFERROR(__xludf.DUMMYFUNCTION("""COMPUTED_VALUE"""),"1p30")</f>
        <v>1p30</v>
      </c>
      <c r="J337" s="16">
        <f>IFERROR(__xludf.DUMMYFUNCTION("""COMPUTED_VALUE"""),42.0)</f>
        <v>42</v>
      </c>
      <c r="K337" s="16">
        <f>IFERROR(__xludf.DUMMYFUNCTION("""COMPUTED_VALUE"""),48.0)</f>
        <v>48</v>
      </c>
      <c r="L337" s="16">
        <f>IFERROR(__xludf.DUMMYFUNCTION("""COMPUTED_VALUE"""),-1.0)</f>
        <v>-1</v>
      </c>
      <c r="M337" s="16">
        <f>IFERROR(__xludf.DUMMYFUNCTION("""COMPUTED_VALUE"""),-2.0)</f>
        <v>-2</v>
      </c>
      <c r="N337" s="16">
        <f>IFERROR(__xludf.DUMMYFUNCTION("""COMPUTED_VALUE"""),-1.0)</f>
        <v>-1</v>
      </c>
      <c r="O337" s="16">
        <f>IFERROR(__xludf.DUMMYFUNCTION("""COMPUTED_VALUE"""),-2.0)</f>
        <v>-2</v>
      </c>
      <c r="P337" s="16">
        <f>IFERROR(__xludf.DUMMYFUNCTION("""COMPUTED_VALUE"""),0.0)</f>
        <v>0</v>
      </c>
      <c r="Q337" s="16">
        <f>IFERROR(__xludf.DUMMYFUNCTION("""COMPUTED_VALUE"""),0.0)</f>
        <v>0</v>
      </c>
      <c r="R337" s="16">
        <f>IFERROR(__xludf.DUMMYFUNCTION("""COMPUTED_VALUE"""),-3.0)</f>
        <v>-3</v>
      </c>
      <c r="S337" s="16">
        <f>IFERROR(__xludf.DUMMYFUNCTION("""COMPUTED_VALUE"""),-2.0)</f>
        <v>-2</v>
      </c>
      <c r="T337" s="16">
        <f>IFERROR(__xludf.DUMMYFUNCTION("""COMPUTED_VALUE"""),-3.0)</f>
        <v>-3</v>
      </c>
      <c r="U337" s="16">
        <f>IFERROR(__xludf.DUMMYFUNCTION("""COMPUTED_VALUE"""),-2.0)</f>
        <v>-2</v>
      </c>
      <c r="V337" s="16">
        <f>IFERROR(__xludf.DUMMYFUNCTION("""COMPUTED_VALUE"""),31.6)</f>
        <v>31.6</v>
      </c>
      <c r="W337" s="16">
        <f>IFERROR(__xludf.DUMMYFUNCTION("""COMPUTED_VALUE"""),14.4)</f>
        <v>14.4</v>
      </c>
      <c r="X337" s="16">
        <f>IFERROR(__xludf.DUMMYFUNCTION("""COMPUTED_VALUE"""),2.0)</f>
        <v>2</v>
      </c>
      <c r="Y337" s="16">
        <f>IFERROR(__xludf.DUMMYFUNCTION("""COMPUTED_VALUE"""),-1.0)</f>
        <v>-1</v>
      </c>
      <c r="Z337" s="16">
        <f>IFERROR(__xludf.DUMMYFUNCTION("""COMPUTED_VALUE"""),4.0)</f>
        <v>4</v>
      </c>
      <c r="AA337" s="16">
        <f>IFERROR(__xludf.DUMMYFUNCTION("""COMPUTED_VALUE"""),-2.0)</f>
        <v>-2</v>
      </c>
      <c r="AB337" s="16">
        <f>IFERROR(__xludf.DUMMYFUNCTION("""COMPUTED_VALUE"""),34.7)</f>
        <v>34.7</v>
      </c>
      <c r="AC337" s="16">
        <f>IFERROR(__xludf.DUMMYFUNCTION("""COMPUTED_VALUE"""),17.5)</f>
        <v>17.5</v>
      </c>
      <c r="AD337" s="16">
        <f>IFERROR(__xludf.DUMMYFUNCTION("""COMPUTED_VALUE"""),0.0)</f>
        <v>0</v>
      </c>
      <c r="AE337" s="16">
        <f>IFERROR(__xludf.DUMMYFUNCTION("""COMPUTED_VALUE"""),-2.0)</f>
        <v>-2</v>
      </c>
      <c r="AF337" s="16">
        <f>IFERROR(__xludf.DUMMYFUNCTION("""COMPUTED_VALUE"""),0.0)</f>
        <v>0</v>
      </c>
      <c r="AG337" s="16">
        <f>IFERROR(__xludf.DUMMYFUNCTION("""COMPUTED_VALUE"""),-10.0)</f>
        <v>-10</v>
      </c>
      <c r="AH337" s="16">
        <f>IFERROR(__xludf.DUMMYFUNCTION("""COMPUTED_VALUE"""),69.7)</f>
        <v>69.7</v>
      </c>
      <c r="AI337" s="16">
        <f>IFERROR(__xludf.DUMMYFUNCTION("""COMPUTED_VALUE"""),19.6)</f>
        <v>19.6</v>
      </c>
      <c r="AJ337" s="16">
        <f>IFERROR(__xludf.DUMMYFUNCTION("""COMPUTED_VALUE"""),3.0)</f>
        <v>3</v>
      </c>
      <c r="AK337" s="16">
        <f>IFERROR(__xludf.DUMMYFUNCTION("""COMPUTED_VALUE"""),-2.0)</f>
        <v>-2</v>
      </c>
      <c r="AL337" s="16">
        <f>IFERROR(__xludf.DUMMYFUNCTION("""COMPUTED_VALUE"""),15.0)</f>
        <v>15</v>
      </c>
      <c r="AM337" s="16">
        <f>IFERROR(__xludf.DUMMYFUNCTION("""COMPUTED_VALUE"""),-10.0)</f>
        <v>-10</v>
      </c>
      <c r="AN337" s="16">
        <f>IFERROR(__xludf.DUMMYFUNCTION("""COMPUTED_VALUE"""),10.0)</f>
        <v>10</v>
      </c>
      <c r="AO337" s="16">
        <f>IFERROR(__xludf.DUMMYFUNCTION("""COMPUTED_VALUE"""),0.9)</f>
        <v>0.9</v>
      </c>
      <c r="AP337" s="16">
        <f>IFERROR(__xludf.DUMMYFUNCTION("""COMPUTED_VALUE"""),3.0)</f>
        <v>3</v>
      </c>
      <c r="AQ337" s="16">
        <f>IFERROR(__xludf.DUMMYFUNCTION("""COMPUTED_VALUE"""),-2.0)</f>
        <v>-2</v>
      </c>
      <c r="AR337" s="16">
        <f>IFERROR(__xludf.DUMMYFUNCTION("""COMPUTED_VALUE"""),6.0)</f>
        <v>6</v>
      </c>
      <c r="AS337" s="16">
        <f>IFERROR(__xludf.DUMMYFUNCTION("""COMPUTED_VALUE"""),-4.0)</f>
        <v>-4</v>
      </c>
      <c r="AT337" s="16">
        <f>IFERROR(__xludf.DUMMYFUNCTION("""COMPUTED_VALUE"""),8.0)</f>
        <v>8</v>
      </c>
      <c r="AU337" s="16">
        <f>IFERROR(__xludf.DUMMYFUNCTION("""COMPUTED_VALUE"""),0.0)</f>
        <v>0</v>
      </c>
      <c r="AV337" s="16">
        <f>IFERROR(__xludf.DUMMYFUNCTION("""COMPUTED_VALUE"""),8.0)</f>
        <v>8</v>
      </c>
      <c r="AW337" s="16">
        <f>IFERROR(__xludf.DUMMYFUNCTION("""COMPUTED_VALUE"""),0.0)</f>
        <v>0</v>
      </c>
      <c r="AX337" s="16">
        <f>IFERROR(__xludf.DUMMYFUNCTION("""COMPUTED_VALUE"""),3.0)</f>
        <v>3</v>
      </c>
      <c r="AY337" s="16">
        <f>IFERROR(__xludf.DUMMYFUNCTION("""COMPUTED_VALUE"""),-2.0)</f>
        <v>-2</v>
      </c>
      <c r="AZ337" s="16">
        <f>IFERROR(__xludf.DUMMYFUNCTION("""COMPUTED_VALUE"""),9.0)</f>
        <v>9</v>
      </c>
      <c r="BA337" s="16">
        <f>IFERROR(__xludf.DUMMYFUNCTION("""COMPUTED_VALUE"""),-6.0)</f>
        <v>-6</v>
      </c>
      <c r="BB337" s="16">
        <f>IFERROR(__xludf.DUMMYFUNCTION("""COMPUTED_VALUE"""),5.0)</f>
        <v>5</v>
      </c>
      <c r="BC337" s="16">
        <f>IFERROR(__xludf.DUMMYFUNCTION("""COMPUTED_VALUE"""),5.0)</f>
        <v>5</v>
      </c>
      <c r="BD337" s="16">
        <f>IFERROR(__xludf.DUMMYFUNCTION("""COMPUTED_VALUE"""),1.0)</f>
        <v>1</v>
      </c>
      <c r="BE337" s="16">
        <f>IFERROR(__xludf.DUMMYFUNCTION("""COMPUTED_VALUE"""),1.0)</f>
        <v>1</v>
      </c>
      <c r="BF337" s="16">
        <f>IFERROR(__xludf.DUMMYFUNCTION("""COMPUTED_VALUE"""),1.0)</f>
        <v>1</v>
      </c>
      <c r="BG337" s="16">
        <f>IFERROR(__xludf.DUMMYFUNCTION("""COMPUTED_VALUE"""),1.0)</f>
        <v>1</v>
      </c>
      <c r="BH337" s="16">
        <f>IFERROR(__xludf.DUMMYFUNCTION("""COMPUTED_VALUE"""),-7.0)</f>
        <v>-7</v>
      </c>
      <c r="BI337" s="16">
        <f>IFERROR(__xludf.DUMMYFUNCTION("""COMPUTED_VALUE"""),-7.0)</f>
        <v>-7</v>
      </c>
      <c r="BJ337" s="16">
        <f>IFERROR(__xludf.DUMMYFUNCTION("""COMPUTED_VALUE"""),5.0)</f>
        <v>5</v>
      </c>
      <c r="BK337" s="16">
        <f>IFERROR(__xludf.DUMMYFUNCTION("""COMPUTED_VALUE"""),8.0)</f>
        <v>8</v>
      </c>
      <c r="BL337" s="16">
        <f>IFERROR(__xludf.DUMMYFUNCTION("""COMPUTED_VALUE"""),1.0)</f>
        <v>1</v>
      </c>
      <c r="BM337" s="16">
        <f>IFERROR(__xludf.DUMMYFUNCTION("""COMPUTED_VALUE"""),1.0)</f>
        <v>1</v>
      </c>
      <c r="BN337" s="16">
        <f>IFERROR(__xludf.DUMMYFUNCTION("""COMPUTED_VALUE"""),1.0)</f>
        <v>1</v>
      </c>
      <c r="BO337" s="16">
        <f>IFERROR(__xludf.DUMMYFUNCTION("""COMPUTED_VALUE"""),1.0)</f>
        <v>1</v>
      </c>
      <c r="BP337" s="16">
        <f>IFERROR(__xludf.DUMMYFUNCTION("""COMPUTED_VALUE"""),9.0)</f>
        <v>9</v>
      </c>
      <c r="BQ337" s="16">
        <f>IFERROR(__xludf.DUMMYFUNCTION("""COMPUTED_VALUE"""),-11.0)</f>
        <v>-11</v>
      </c>
      <c r="BR337" s="16">
        <f>IFERROR(__xludf.DUMMYFUNCTION("""COMPUTED_VALUE"""),-2.0)</f>
        <v>-2</v>
      </c>
      <c r="BS337" s="16" t="str">
        <f>IFERROR(__xludf.DUMMYFUNCTION("""COMPUTED_VALUE"""),"*2-5,11,12/- (18-13)")</f>
        <v>*2-5,11,12/- (18-13)</v>
      </c>
      <c r="BT337" s="16" t="str">
        <f>IFERROR(__xludf.DUMMYFUNCTION("""COMPUTED_VALUE"""),"B")</f>
        <v>B</v>
      </c>
      <c r="BU337" s="16">
        <f>IFERROR(__xludf.DUMMYFUNCTION("""COMPUTED_VALUE"""),16.0)</f>
        <v>16</v>
      </c>
      <c r="BV337" s="16">
        <f>IFERROR(__xludf.DUMMYFUNCTION("""COMPUTED_VALUE"""),1.0)</f>
        <v>1</v>
      </c>
      <c r="BW337" s="16">
        <f>IFERROR(__xludf.DUMMYFUNCTION("""COMPUTED_VALUE"""),2.0)</f>
        <v>2</v>
      </c>
      <c r="BX337" s="16">
        <f>IFERROR(__xludf.DUMMYFUNCTION("""COMPUTED_VALUE"""),2.0)</f>
        <v>2</v>
      </c>
      <c r="BY337" s="16">
        <f>IFERROR(__xludf.DUMMYFUNCTION("""COMPUTED_VALUE"""),6.0)</f>
        <v>6</v>
      </c>
      <c r="BZ337" s="16" t="str">
        <f>IFERROR(__xludf.DUMMYFUNCTION("""COMPUTED_VALUE"""),"B")</f>
        <v>B</v>
      </c>
      <c r="CA337" s="16" t="str">
        <f>IFERROR(__xludf.DUMMYFUNCTION("""COMPUTED_VALUE"""),"C")</f>
        <v>C</v>
      </c>
      <c r="CB337" s="16">
        <f>IFERROR(__xludf.DUMMYFUNCTION("""COMPUTED_VALUE"""),1.0)</f>
        <v>1</v>
      </c>
      <c r="CC337" s="16">
        <f>IFERROR(__xludf.DUMMYFUNCTION("""COMPUTED_VALUE"""),0.0)</f>
        <v>0</v>
      </c>
      <c r="CD337" s="16">
        <f>IFERROR(__xludf.DUMMYFUNCTION("""COMPUTED_VALUE"""),1.0)</f>
        <v>1</v>
      </c>
      <c r="CE337" s="16">
        <f>IFERROR(__xludf.DUMMYFUNCTION("""COMPUTED_VALUE"""),0.0)</f>
        <v>0</v>
      </c>
      <c r="CF337" s="16">
        <f>IFERROR(__xludf.DUMMYFUNCTION("""COMPUTED_VALUE"""),1.0)</f>
        <v>1</v>
      </c>
      <c r="CG337" s="16">
        <f>IFERROR(__xludf.DUMMYFUNCTION("""COMPUTED_VALUE"""),32.0)</f>
        <v>32</v>
      </c>
      <c r="CH337" s="16">
        <f>IFERROR(__xludf.DUMMYFUNCTION("""COMPUTED_VALUE"""),-34.0)</f>
        <v>-34</v>
      </c>
      <c r="CI337" s="179">
        <f>IFERROR(__xludf.DUMMYFUNCTION("""COMPUTED_VALUE"""),-13.0)</f>
        <v>-13</v>
      </c>
      <c r="CJ337" s="16"/>
      <c r="CK337" s="16"/>
      <c r="CL337" s="16"/>
      <c r="CM337" s="16"/>
      <c r="CN337" s="16"/>
      <c r="CO337" s="16">
        <f>IFERROR(__xludf.DUMMYFUNCTION("""COMPUTED_VALUE"""),204.0)</f>
        <v>204</v>
      </c>
      <c r="CP337" s="16">
        <f>IFERROR(__xludf.DUMMYFUNCTION("""COMPUTED_VALUE"""),204.0)</f>
        <v>204</v>
      </c>
      <c r="CQ337" s="16">
        <f>IFERROR(__xludf.DUMMYFUNCTION("""COMPUTED_VALUE"""),304.0)</f>
        <v>304</v>
      </c>
      <c r="CR337" s="16" t="str">
        <f>IFERROR(__xludf.DUMMYFUNCTION("""COMPUTED_VALUE"""),"cf-2(-1)e4 lf-2e4 rf-3e4")</f>
        <v>cf-2(-1)e4 lf-2e4 rf-3e4</v>
      </c>
      <c r="CS337" s="16"/>
      <c r="CT337" s="16"/>
      <c r="CU337" s="16"/>
      <c r="CV337" s="16"/>
      <c r="CW337" s="16"/>
      <c r="CX337" s="16">
        <f>IFERROR(__xludf.DUMMYFUNCTION("""COMPUTED_VALUE"""),2.0)</f>
        <v>2</v>
      </c>
      <c r="CY337" s="16">
        <f>IFERROR(__xludf.DUMMYFUNCTION("""COMPUTED_VALUE"""),2.0)</f>
        <v>2</v>
      </c>
      <c r="CZ337" s="16">
        <f>IFERROR(__xludf.DUMMYFUNCTION("""COMPUTED_VALUE"""),3.0)</f>
        <v>3</v>
      </c>
      <c r="DA337" s="16"/>
      <c r="DB337" s="16"/>
      <c r="DC337" s="16"/>
      <c r="DD337" s="16"/>
      <c r="DE337" s="16"/>
      <c r="DF337" s="16">
        <f>IFERROR(__xludf.DUMMYFUNCTION("""COMPUTED_VALUE"""),4.0)</f>
        <v>4</v>
      </c>
      <c r="DG337" s="16">
        <f>IFERROR(__xludf.DUMMYFUNCTION("""COMPUTED_VALUE"""),4.0)</f>
        <v>4</v>
      </c>
      <c r="DH337" s="16">
        <f>IFERROR(__xludf.DUMMYFUNCTION("""COMPUTED_VALUE"""),4.0)</f>
        <v>4</v>
      </c>
      <c r="DI337" s="16"/>
      <c r="DJ337" s="16"/>
      <c r="DK337" s="16"/>
      <c r="DL337" s="16"/>
      <c r="DM337" s="16"/>
      <c r="DN337" s="16">
        <f>IFERROR(__xludf.DUMMYFUNCTION("""COMPUTED_VALUE"""),3.0)</f>
        <v>3</v>
      </c>
      <c r="DO337" s="16">
        <f>IFERROR(__xludf.DUMMYFUNCTION("""COMPUTED_VALUE"""),2.0)</f>
        <v>2</v>
      </c>
      <c r="DP337" s="16">
        <f>IFERROR(__xludf.DUMMYFUNCTION("""COMPUTED_VALUE"""),0.0)</f>
        <v>0</v>
      </c>
      <c r="DQ337" s="16"/>
      <c r="DR337" s="16"/>
      <c r="DS337" s="16"/>
      <c r="DT337" s="16"/>
      <c r="DU337" s="16"/>
      <c r="DV337" s="16">
        <f>IFERROR(__xludf.DUMMYFUNCTION("""COMPUTED_VALUE"""),2.0)</f>
        <v>2</v>
      </c>
      <c r="DW337" s="16">
        <f>IFERROR(__xludf.DUMMYFUNCTION("""COMPUTED_VALUE"""),3.0)</f>
        <v>3</v>
      </c>
      <c r="DX337" s="16">
        <f>IFERROR(__xludf.DUMMYFUNCTION("""COMPUTED_VALUE"""),2.0)</f>
        <v>2</v>
      </c>
      <c r="DY337" s="16"/>
      <c r="DZ337" s="16"/>
      <c r="EA337" s="16"/>
      <c r="EB337" s="16"/>
      <c r="EC337" s="16"/>
      <c r="ED337" s="16">
        <f>IFERROR(__xludf.DUMMYFUNCTION("""COMPUTED_VALUE"""),5.0)</f>
        <v>5</v>
      </c>
      <c r="EE337" s="16">
        <f>IFERROR(__xludf.DUMMYFUNCTION("""COMPUTED_VALUE"""),5.0)</f>
        <v>5</v>
      </c>
      <c r="EF337" s="16">
        <f>IFERROR(__xludf.DUMMYFUNCTION("""COMPUTED_VALUE"""),2.0)</f>
        <v>2</v>
      </c>
      <c r="EG337" s="179"/>
      <c r="EH337" s="179"/>
      <c r="EI337" s="179"/>
      <c r="EJ337" s="179"/>
      <c r="EK337" s="179"/>
      <c r="EL337" s="179">
        <f>IFERROR(__xludf.DUMMYFUNCTION("""COMPUTED_VALUE"""),-8.0)</f>
        <v>-8</v>
      </c>
      <c r="EM337" s="179">
        <f>IFERROR(__xludf.DUMMYFUNCTION("""COMPUTED_VALUE"""),-8.0)</f>
        <v>-8</v>
      </c>
      <c r="EN337" s="179">
        <f>IFERROR(__xludf.DUMMYFUNCTION("""COMPUTED_VALUE"""),-11.0)</f>
        <v>-11</v>
      </c>
      <c r="EO337" s="16"/>
      <c r="EP337" s="16">
        <f>IFERROR(__xludf.DUMMYFUNCTION("""COMPUTED_VALUE"""),-2.0)</f>
        <v>-2</v>
      </c>
      <c r="EQ337" s="16">
        <f>IFERROR(__xludf.DUMMYFUNCTION("""COMPUTED_VALUE"""),4.0)</f>
        <v>4</v>
      </c>
      <c r="ER337" s="16">
        <f>IFERROR(__xludf.DUMMYFUNCTION("""COMPUTED_VALUE"""),-2.0)</f>
        <v>-2</v>
      </c>
      <c r="ES337" s="16"/>
      <c r="ET337" s="16"/>
      <c r="EU337" s="16"/>
      <c r="EV337" s="16"/>
      <c r="EW337" s="16"/>
      <c r="EX337" s="180"/>
      <c r="EY337" s="180"/>
      <c r="EZ337" s="180"/>
      <c r="FA337" s="180"/>
      <c r="FB337" s="180"/>
      <c r="FC337" s="180">
        <f>IFERROR(__xludf.DUMMYFUNCTION("""COMPUTED_VALUE"""),0.15)</f>
        <v>0.15</v>
      </c>
      <c r="FD337" s="180">
        <f>IFERROR(__xludf.DUMMYFUNCTION("""COMPUTED_VALUE"""),0.15)</f>
        <v>0.15</v>
      </c>
      <c r="FE337" s="180">
        <f>IFERROR(__xludf.DUMMYFUNCTION("""COMPUTED_VALUE"""),0.3)</f>
        <v>0.3</v>
      </c>
      <c r="FF337" s="180"/>
      <c r="FG337" s="180"/>
      <c r="FH337" s="180"/>
      <c r="FI337" s="180"/>
      <c r="FJ337" s="180"/>
      <c r="FK337" s="180">
        <f>IFERROR(__xludf.DUMMYFUNCTION("""COMPUTED_VALUE"""),0.069)</f>
        <v>0.069</v>
      </c>
      <c r="FL337" s="180">
        <f>IFERROR(__xludf.DUMMYFUNCTION("""COMPUTED_VALUE"""),0.046296296296296294)</f>
        <v>0.0462962963</v>
      </c>
      <c r="FM337" s="180">
        <f>IFERROR(__xludf.DUMMYFUNCTION("""COMPUTED_VALUE"""),0.069)</f>
        <v>0.069</v>
      </c>
      <c r="FN337" s="16"/>
      <c r="FO337" s="16"/>
      <c r="FP337" s="16"/>
      <c r="FQ337" s="16"/>
      <c r="FR337" s="16"/>
      <c r="FS337" s="16">
        <f>IFERROR(__xludf.DUMMYFUNCTION("""COMPUTED_VALUE"""),0.79135)</f>
        <v>0.79135</v>
      </c>
      <c r="FT337" s="16">
        <f>IFERROR(__xludf.DUMMYFUNCTION("""COMPUTED_VALUE"""),0.8106481481481481)</f>
        <v>0.8106481481</v>
      </c>
      <c r="FU337" s="16">
        <f>IFERROR(__xludf.DUMMYFUNCTION("""COMPUTED_VALUE"""),0.6517)</f>
        <v>0.6517</v>
      </c>
      <c r="FV337" s="16"/>
      <c r="FW337" s="16"/>
      <c r="FX337" s="16"/>
      <c r="FY337" s="16"/>
      <c r="FZ337" s="16"/>
      <c r="GA337" s="16">
        <f>IFERROR(__xludf.DUMMYFUNCTION("""COMPUTED_VALUE"""),1.0)</f>
        <v>1</v>
      </c>
      <c r="GB337" s="16">
        <f>IFERROR(__xludf.DUMMYFUNCTION("""COMPUTED_VALUE"""),3.0)</f>
        <v>3</v>
      </c>
      <c r="GC337" s="16">
        <f>IFERROR(__xludf.DUMMYFUNCTION("""COMPUTED_VALUE"""),-2.0)</f>
        <v>-2</v>
      </c>
      <c r="GD337" s="16" t="s">
        <v>212</v>
      </c>
    </row>
    <row r="338">
      <c r="A338" s="16">
        <f>IFERROR(__xludf.DUMMYFUNCTION("""COMPUTED_VALUE"""),12778.0)</f>
        <v>12778</v>
      </c>
      <c r="B338" s="16" t="str">
        <f>IFERROR(__xludf.DUMMYFUNCTION("""COMPUTED_VALUE"""),"Edouard Julien")</f>
        <v>Edouard Julien</v>
      </c>
      <c r="C338" s="16">
        <f>IFERROR(__xludf.DUMMYFUNCTION("""COMPUTED_VALUE"""),0.0)</f>
        <v>0</v>
      </c>
      <c r="D338" s="16" t="str">
        <f>IFERROR(__xludf.DUMMYFUNCTION("""COMPUTED_VALUE"""),"L")</f>
        <v>L</v>
      </c>
      <c r="E338" s="16"/>
      <c r="F338" s="16"/>
      <c r="G338" s="16">
        <f>IFERROR(__xludf.DUMMYFUNCTION("""COMPUTED_VALUE"""),266.0)</f>
        <v>266</v>
      </c>
      <c r="H338" s="16">
        <f>IFERROR(__xludf.DUMMYFUNCTION("""COMPUTED_VALUE"""),33.0)</f>
        <v>33</v>
      </c>
      <c r="I338" s="16" t="str">
        <f>IFERROR(__xludf.DUMMYFUNCTION("""COMPUTED_VALUE"""),"1p50")</f>
        <v>1p50</v>
      </c>
      <c r="J338" s="16">
        <f>IFERROR(__xludf.DUMMYFUNCTION("""COMPUTED_VALUE"""),51.0)</f>
        <v>51</v>
      </c>
      <c r="K338" s="16">
        <f>IFERROR(__xludf.DUMMYFUNCTION("""COMPUTED_VALUE"""),45.0)</f>
        <v>45</v>
      </c>
      <c r="L338" s="16">
        <f>IFERROR(__xludf.DUMMYFUNCTION("""COMPUTED_VALUE"""),-2.0)</f>
        <v>-2</v>
      </c>
      <c r="M338" s="16">
        <f>IFERROR(__xludf.DUMMYFUNCTION("""COMPUTED_VALUE"""),-2.0)</f>
        <v>-2</v>
      </c>
      <c r="N338" s="16">
        <f>IFERROR(__xludf.DUMMYFUNCTION("""COMPUTED_VALUE"""),-2.0)</f>
        <v>-2</v>
      </c>
      <c r="O338" s="16">
        <f>IFERROR(__xludf.DUMMYFUNCTION("""COMPUTED_VALUE"""),-2.0)</f>
        <v>-2</v>
      </c>
      <c r="P338" s="16">
        <f>IFERROR(__xludf.DUMMYFUNCTION("""COMPUTED_VALUE"""),12.0)</f>
        <v>12</v>
      </c>
      <c r="Q338" s="16">
        <f>IFERROR(__xludf.DUMMYFUNCTION("""COMPUTED_VALUE"""),14.0)</f>
        <v>14</v>
      </c>
      <c r="R338" s="16">
        <f>IFERROR(__xludf.DUMMYFUNCTION("""COMPUTED_VALUE"""),1.0)</f>
        <v>1</v>
      </c>
      <c r="S338" s="16">
        <f>IFERROR(__xludf.DUMMYFUNCTION("""COMPUTED_VALUE"""),2.0)</f>
        <v>2</v>
      </c>
      <c r="T338" s="16">
        <f>IFERROR(__xludf.DUMMYFUNCTION("""COMPUTED_VALUE"""),1.0)</f>
        <v>1</v>
      </c>
      <c r="U338" s="16">
        <f>IFERROR(__xludf.DUMMYFUNCTION("""COMPUTED_VALUE"""),2.0)</f>
        <v>2</v>
      </c>
      <c r="V338" s="16">
        <f>IFERROR(__xludf.DUMMYFUNCTION("""COMPUTED_VALUE"""),7.3)</f>
        <v>7.3</v>
      </c>
      <c r="W338" s="16">
        <f>IFERROR(__xludf.DUMMYFUNCTION("""COMPUTED_VALUE"""),11.3)</f>
        <v>11.3</v>
      </c>
      <c r="X338" s="16">
        <f>IFERROR(__xludf.DUMMYFUNCTION("""COMPUTED_VALUE"""),-2.0)</f>
        <v>-2</v>
      </c>
      <c r="Y338" s="16">
        <f>IFERROR(__xludf.DUMMYFUNCTION("""COMPUTED_VALUE"""),-2.0)</f>
        <v>-2</v>
      </c>
      <c r="Z338" s="16">
        <f>IFERROR(__xludf.DUMMYFUNCTION("""COMPUTED_VALUE"""),-4.0)</f>
        <v>-4</v>
      </c>
      <c r="AA338" s="16">
        <f>IFERROR(__xludf.DUMMYFUNCTION("""COMPUTED_VALUE"""),-4.0)</f>
        <v>-4</v>
      </c>
      <c r="AB338" s="16">
        <f>IFERROR(__xludf.DUMMYFUNCTION("""COMPUTED_VALUE"""),21.4)</f>
        <v>21.4</v>
      </c>
      <c r="AC338" s="16">
        <f>IFERROR(__xludf.DUMMYFUNCTION("""COMPUTED_VALUE"""),27.3)</f>
        <v>27.3</v>
      </c>
      <c r="AD338" s="16">
        <f>IFERROR(__xludf.DUMMYFUNCTION("""COMPUTED_VALUE"""),-1.0)</f>
        <v>-1</v>
      </c>
      <c r="AE338" s="16">
        <f>IFERROR(__xludf.DUMMYFUNCTION("""COMPUTED_VALUE"""),-1.0)</f>
        <v>-1</v>
      </c>
      <c r="AF338" s="16">
        <f>IFERROR(__xludf.DUMMYFUNCTION("""COMPUTED_VALUE"""),-5.0)</f>
        <v>-5</v>
      </c>
      <c r="AG338" s="16">
        <f>IFERROR(__xludf.DUMMYFUNCTION("""COMPUTED_VALUE"""),-5.0)</f>
        <v>-5</v>
      </c>
      <c r="AH338" s="16">
        <f>IFERROR(__xludf.DUMMYFUNCTION("""COMPUTED_VALUE"""),17.0)</f>
        <v>17</v>
      </c>
      <c r="AI338" s="16">
        <f>IFERROR(__xludf.DUMMYFUNCTION("""COMPUTED_VALUE"""),15.8)</f>
        <v>15.8</v>
      </c>
      <c r="AJ338" s="16">
        <f>IFERROR(__xludf.DUMMYFUNCTION("""COMPUTED_VALUE"""),-1.0)</f>
        <v>-1</v>
      </c>
      <c r="AK338" s="16">
        <f>IFERROR(__xludf.DUMMYFUNCTION("""COMPUTED_VALUE"""),-2.0)</f>
        <v>-2</v>
      </c>
      <c r="AL338" s="16">
        <f>IFERROR(__xludf.DUMMYFUNCTION("""COMPUTED_VALUE"""),-5.0)</f>
        <v>-5</v>
      </c>
      <c r="AM338" s="16">
        <f>IFERROR(__xludf.DUMMYFUNCTION("""COMPUTED_VALUE"""),-10.0)</f>
        <v>-10</v>
      </c>
      <c r="AN338" s="16">
        <f>IFERROR(__xludf.DUMMYFUNCTION("""COMPUTED_VALUE"""),2.5)</f>
        <v>2.5</v>
      </c>
      <c r="AO338" s="16">
        <f>IFERROR(__xludf.DUMMYFUNCTION("""COMPUTED_VALUE"""),1.1)</f>
        <v>1.1</v>
      </c>
      <c r="AP338" s="16">
        <f>IFERROR(__xludf.DUMMYFUNCTION("""COMPUTED_VALUE"""),0.0)</f>
        <v>0</v>
      </c>
      <c r="AQ338" s="16">
        <f>IFERROR(__xludf.DUMMYFUNCTION("""COMPUTED_VALUE"""),-2.0)</f>
        <v>-2</v>
      </c>
      <c r="AR338" s="16">
        <f>IFERROR(__xludf.DUMMYFUNCTION("""COMPUTED_VALUE"""),0.0)</f>
        <v>0</v>
      </c>
      <c r="AS338" s="16">
        <f>IFERROR(__xludf.DUMMYFUNCTION("""COMPUTED_VALUE"""),-4.0)</f>
        <v>-4</v>
      </c>
      <c r="AT338" s="16"/>
      <c r="AU338" s="16">
        <f>IFERROR(__xludf.DUMMYFUNCTION("""COMPUTED_VALUE"""),2.0)</f>
        <v>2</v>
      </c>
      <c r="AV338" s="16">
        <f>IFERROR(__xludf.DUMMYFUNCTION("""COMPUTED_VALUE"""),3.0)</f>
        <v>3</v>
      </c>
      <c r="AW338" s="16">
        <f>IFERROR(__xludf.DUMMYFUNCTION("""COMPUTED_VALUE"""),2.0)</f>
        <v>2</v>
      </c>
      <c r="AX338" s="16">
        <f>IFERROR(__xludf.DUMMYFUNCTION("""COMPUTED_VALUE"""),1.0)</f>
        <v>1</v>
      </c>
      <c r="AY338" s="16">
        <f>IFERROR(__xludf.DUMMYFUNCTION("""COMPUTED_VALUE"""),0.0)</f>
        <v>0</v>
      </c>
      <c r="AZ338" s="16">
        <f>IFERROR(__xludf.DUMMYFUNCTION("""COMPUTED_VALUE"""),3.0)</f>
        <v>3</v>
      </c>
      <c r="BA338" s="16">
        <f>IFERROR(__xludf.DUMMYFUNCTION("""COMPUTED_VALUE"""),0.0)</f>
        <v>0</v>
      </c>
      <c r="BB338" s="16">
        <f>IFERROR(__xludf.DUMMYFUNCTION("""COMPUTED_VALUE"""),0.0)</f>
        <v>0</v>
      </c>
      <c r="BC338" s="16">
        <f>IFERROR(__xludf.DUMMYFUNCTION("""COMPUTED_VALUE"""),5.0)</f>
        <v>5</v>
      </c>
      <c r="BD338" s="16">
        <f>IFERROR(__xludf.DUMMYFUNCTION("""COMPUTED_VALUE"""),0.0)</f>
        <v>0</v>
      </c>
      <c r="BE338" s="16">
        <f>IFERROR(__xludf.DUMMYFUNCTION("""COMPUTED_VALUE"""),1.0)</f>
        <v>1</v>
      </c>
      <c r="BF338" s="16">
        <f>IFERROR(__xludf.DUMMYFUNCTION("""COMPUTED_VALUE"""),0.0)</f>
        <v>0</v>
      </c>
      <c r="BG338" s="16">
        <f>IFERROR(__xludf.DUMMYFUNCTION("""COMPUTED_VALUE"""),1.0)</f>
        <v>1</v>
      </c>
      <c r="BH338" s="16">
        <f>IFERROR(__xludf.DUMMYFUNCTION("""COMPUTED_VALUE"""),0.0)</f>
        <v>0</v>
      </c>
      <c r="BI338" s="16">
        <f>IFERROR(__xludf.DUMMYFUNCTION("""COMPUTED_VALUE"""),-7.0)</f>
        <v>-7</v>
      </c>
      <c r="BJ338" s="16">
        <f>IFERROR(__xludf.DUMMYFUNCTION("""COMPUTED_VALUE"""),2.0)</f>
        <v>2</v>
      </c>
      <c r="BK338" s="16">
        <f>IFERROR(__xludf.DUMMYFUNCTION("""COMPUTED_VALUE"""),2.0)</f>
        <v>2</v>
      </c>
      <c r="BL338" s="16">
        <f>IFERROR(__xludf.DUMMYFUNCTION("""COMPUTED_VALUE"""),2.0)</f>
        <v>2</v>
      </c>
      <c r="BM338" s="16">
        <f>IFERROR(__xludf.DUMMYFUNCTION("""COMPUTED_VALUE"""),2.0)</f>
        <v>2</v>
      </c>
      <c r="BN338" s="16">
        <f>IFERROR(__xludf.DUMMYFUNCTION("""COMPUTED_VALUE"""),2.0)</f>
        <v>2</v>
      </c>
      <c r="BO338" s="16">
        <f>IFERROR(__xludf.DUMMYFUNCTION("""COMPUTED_VALUE"""),2.0)</f>
        <v>2</v>
      </c>
      <c r="BP338" s="16">
        <f>IFERROR(__xludf.DUMMYFUNCTION("""COMPUTED_VALUE"""),-2.0)</f>
        <v>-2</v>
      </c>
      <c r="BQ338" s="16">
        <f>IFERROR(__xludf.DUMMYFUNCTION("""COMPUTED_VALUE"""),-4.0)</f>
        <v>-4</v>
      </c>
      <c r="BR338" s="16">
        <f>IFERROR(__xludf.DUMMYFUNCTION("""COMPUTED_VALUE"""),-6.0)</f>
        <v>-6</v>
      </c>
      <c r="BS338" s="16" t="str">
        <f>IFERROR(__xludf.DUMMYFUNCTION("""COMPUTED_VALUE"""),"*4/- (20-6)")</f>
        <v>*4/- (20-6)</v>
      </c>
      <c r="BT338" s="16" t="str">
        <f>IFERROR(__xludf.DUMMYFUNCTION("""COMPUTED_VALUE"""),"B")</f>
        <v>B</v>
      </c>
      <c r="BU338" s="16">
        <f>IFERROR(__xludf.DUMMYFUNCTION("""COMPUTED_VALUE"""),12.0)</f>
        <v>12</v>
      </c>
      <c r="BV338" s="16">
        <f>IFERROR(__xludf.DUMMYFUNCTION("""COMPUTED_VALUE"""),1.0)</f>
        <v>1</v>
      </c>
      <c r="BW338" s="16">
        <f>IFERROR(__xludf.DUMMYFUNCTION("""COMPUTED_VALUE"""),0.0)</f>
        <v>0</v>
      </c>
      <c r="BX338" s="16">
        <f>IFERROR(__xludf.DUMMYFUNCTION("""COMPUTED_VALUE"""),2.0)</f>
        <v>2</v>
      </c>
      <c r="BY338" s="16">
        <f>IFERROR(__xludf.DUMMYFUNCTION("""COMPUTED_VALUE"""),0.0)</f>
        <v>0</v>
      </c>
      <c r="BZ338" s="16" t="str">
        <f>IFERROR(__xludf.DUMMYFUNCTION("""COMPUTED_VALUE"""),"D")</f>
        <v>D</v>
      </c>
      <c r="CA338" s="16" t="str">
        <f>IFERROR(__xludf.DUMMYFUNCTION("""COMPUTED_VALUE"""),"D")</f>
        <v>D</v>
      </c>
      <c r="CB338" s="16">
        <f>IFERROR(__xludf.DUMMYFUNCTION("""COMPUTED_VALUE"""),0.0)</f>
        <v>0</v>
      </c>
      <c r="CC338" s="16">
        <f>IFERROR(__xludf.DUMMYFUNCTION("""COMPUTED_VALUE"""),0.0)</f>
        <v>0</v>
      </c>
      <c r="CD338" s="16">
        <f>IFERROR(__xludf.DUMMYFUNCTION("""COMPUTED_VALUE"""),0.0)</f>
        <v>0</v>
      </c>
      <c r="CE338" s="16">
        <f>IFERROR(__xludf.DUMMYFUNCTION("""COMPUTED_VALUE"""),0.0)</f>
        <v>0</v>
      </c>
      <c r="CF338" s="16">
        <f>IFERROR(__xludf.DUMMYFUNCTION("""COMPUTED_VALUE"""),1.0)</f>
        <v>1</v>
      </c>
      <c r="CG338" s="16">
        <f>IFERROR(__xludf.DUMMYFUNCTION("""COMPUTED_VALUE"""),-10.0)</f>
        <v>-10</v>
      </c>
      <c r="CH338" s="16">
        <f>IFERROR(__xludf.DUMMYFUNCTION("""COMPUTED_VALUE"""),-20.0)</f>
        <v>-20</v>
      </c>
      <c r="CI338" s="179">
        <f>IFERROR(__xludf.DUMMYFUNCTION("""COMPUTED_VALUE"""),-13.0)</f>
        <v>-13</v>
      </c>
      <c r="CJ338" s="16"/>
      <c r="CK338" s="16">
        <f>IFERROR(__xludf.DUMMYFUNCTION("""COMPUTED_VALUE"""),530.0)</f>
        <v>530</v>
      </c>
      <c r="CL338" s="16">
        <f>IFERROR(__xludf.DUMMYFUNCTION("""COMPUTED_VALUE"""),412.0)</f>
        <v>412</v>
      </c>
      <c r="CM338" s="16"/>
      <c r="CN338" s="16"/>
      <c r="CO338" s="16"/>
      <c r="CP338" s="16"/>
      <c r="CQ338" s="16"/>
      <c r="CR338" s="16" t="str">
        <f>IFERROR(__xludf.DUMMYFUNCTION("""COMPUTED_VALUE"""),"2b-4e12 1b-5e30")</f>
        <v>2b-4e12 1b-5e30</v>
      </c>
      <c r="CS338" s="16"/>
      <c r="CT338" s="16">
        <f>IFERROR(__xludf.DUMMYFUNCTION("""COMPUTED_VALUE"""),5.0)</f>
        <v>5</v>
      </c>
      <c r="CU338" s="16">
        <f>IFERROR(__xludf.DUMMYFUNCTION("""COMPUTED_VALUE"""),4.0)</f>
        <v>4</v>
      </c>
      <c r="CV338" s="16"/>
      <c r="CW338" s="16"/>
      <c r="CX338" s="16"/>
      <c r="CY338" s="16"/>
      <c r="CZ338" s="16"/>
      <c r="DA338" s="16"/>
      <c r="DB338" s="16">
        <f>IFERROR(__xludf.DUMMYFUNCTION("""COMPUTED_VALUE"""),30.0)</f>
        <v>30</v>
      </c>
      <c r="DC338" s="16">
        <f>IFERROR(__xludf.DUMMYFUNCTION("""COMPUTED_VALUE"""),12.0)</f>
        <v>12</v>
      </c>
      <c r="DD338" s="16"/>
      <c r="DE338" s="16"/>
      <c r="DF338" s="16"/>
      <c r="DG338" s="16"/>
      <c r="DH338" s="16"/>
      <c r="DI338" s="16"/>
      <c r="DJ338" s="16">
        <f>IFERROR(__xludf.DUMMYFUNCTION("""COMPUTED_VALUE"""),-2.0)</f>
        <v>-2</v>
      </c>
      <c r="DK338" s="16">
        <f>IFERROR(__xludf.DUMMYFUNCTION("""COMPUTED_VALUE"""),-2.0)</f>
        <v>-2</v>
      </c>
      <c r="DL338" s="16"/>
      <c r="DM338" s="16"/>
      <c r="DN338" s="16"/>
      <c r="DO338" s="16"/>
      <c r="DP338" s="16"/>
      <c r="DQ338" s="16"/>
      <c r="DR338" s="16">
        <f>IFERROR(__xludf.DUMMYFUNCTION("""COMPUTED_VALUE"""),-2.0)</f>
        <v>-2</v>
      </c>
      <c r="DS338" s="16">
        <f>IFERROR(__xludf.DUMMYFUNCTION("""COMPUTED_VALUE"""),2.0)</f>
        <v>2</v>
      </c>
      <c r="DT338" s="16"/>
      <c r="DU338" s="16"/>
      <c r="DV338" s="16"/>
      <c r="DW338" s="16"/>
      <c r="DX338" s="16"/>
      <c r="DY338" s="16"/>
      <c r="DZ338" s="16">
        <f>IFERROR(__xludf.DUMMYFUNCTION("""COMPUTED_VALUE"""),-4.0)</f>
        <v>-4</v>
      </c>
      <c r="EA338" s="16">
        <f>IFERROR(__xludf.DUMMYFUNCTION("""COMPUTED_VALUE"""),0.0)</f>
        <v>0</v>
      </c>
      <c r="EB338" s="16"/>
      <c r="EC338" s="16"/>
      <c r="ED338" s="16"/>
      <c r="EE338" s="16"/>
      <c r="EF338" s="16"/>
      <c r="EG338" s="179"/>
      <c r="EH338" s="179">
        <f>IFERROR(__xludf.DUMMYFUNCTION("""COMPUTED_VALUE"""),-17.0)</f>
        <v>-17</v>
      </c>
      <c r="EI338" s="179">
        <f>IFERROR(__xludf.DUMMYFUNCTION("""COMPUTED_VALUE"""),-13.0)</f>
        <v>-13</v>
      </c>
      <c r="EJ338" s="179"/>
      <c r="EK338" s="179"/>
      <c r="EL338" s="179"/>
      <c r="EM338" s="179"/>
      <c r="EN338" s="179"/>
      <c r="EO338" s="16"/>
      <c r="EP338" s="16"/>
      <c r="EQ338" s="16">
        <f>IFERROR(__xludf.DUMMYFUNCTION("""COMPUTED_VALUE"""),4.0)</f>
        <v>4</v>
      </c>
      <c r="ER338" s="16">
        <f>IFERROR(__xludf.DUMMYFUNCTION("""COMPUTED_VALUE"""),0.0)</f>
        <v>0</v>
      </c>
      <c r="ES338" s="16"/>
      <c r="ET338" s="16"/>
      <c r="EU338" s="16"/>
      <c r="EV338" s="16"/>
      <c r="EW338" s="16"/>
      <c r="EX338" s="180"/>
      <c r="EY338" s="180">
        <f>IFERROR(__xludf.DUMMYFUNCTION("""COMPUTED_VALUE"""),0.4)</f>
        <v>0.4</v>
      </c>
      <c r="EZ338" s="180">
        <f>IFERROR(__xludf.DUMMYFUNCTION("""COMPUTED_VALUE"""),0.3)</f>
        <v>0.3</v>
      </c>
      <c r="FA338" s="180"/>
      <c r="FB338" s="180"/>
      <c r="FC338" s="180"/>
      <c r="FD338" s="180"/>
      <c r="FE338" s="180"/>
      <c r="FF338" s="180"/>
      <c r="FG338" s="180">
        <f>IFERROR(__xludf.DUMMYFUNCTION("""COMPUTED_VALUE"""),0.5370370370370371)</f>
        <v>0.537037037</v>
      </c>
      <c r="FH338" s="180">
        <f>IFERROR(__xludf.DUMMYFUNCTION("""COMPUTED_VALUE"""),0.06944444444444445)</f>
        <v>0.06944444444</v>
      </c>
      <c r="FI338" s="180"/>
      <c r="FJ338" s="180"/>
      <c r="FK338" s="180"/>
      <c r="FL338" s="180"/>
      <c r="FM338" s="180"/>
      <c r="FN338" s="16"/>
      <c r="FO338" s="16">
        <f>IFERROR(__xludf.DUMMYFUNCTION("""COMPUTED_VALUE"""),0.27777777777777773)</f>
        <v>0.2777777778</v>
      </c>
      <c r="FP338" s="16">
        <f>IFERROR(__xludf.DUMMYFUNCTION("""COMPUTED_VALUE"""),0.6513888888888889)</f>
        <v>0.6513888889</v>
      </c>
      <c r="FQ338" s="16"/>
      <c r="FR338" s="16"/>
      <c r="FS338" s="16"/>
      <c r="FT338" s="16"/>
      <c r="FU338" s="16"/>
      <c r="FV338" s="16"/>
      <c r="FW338" s="16">
        <f>IFERROR(__xludf.DUMMYFUNCTION("""COMPUTED_VALUE"""),-8.0)</f>
        <v>-8</v>
      </c>
      <c r="FX338" s="16">
        <f>IFERROR(__xludf.DUMMYFUNCTION("""COMPUTED_VALUE"""),-4.0)</f>
        <v>-4</v>
      </c>
      <c r="FY338" s="16"/>
      <c r="FZ338" s="16"/>
      <c r="GA338" s="16"/>
      <c r="GB338" s="16"/>
      <c r="GC338" s="16"/>
      <c r="GD338" s="16" t="s">
        <v>176</v>
      </c>
    </row>
    <row r="339">
      <c r="A339" s="16">
        <f>IFERROR(__xludf.DUMMYFUNCTION("""COMPUTED_VALUE"""),12577.0)</f>
        <v>12577</v>
      </c>
      <c r="B339" s="16" t="str">
        <f>IFERROR(__xludf.DUMMYFUNCTION("""COMPUTED_VALUE"""),"Ben Rice")</f>
        <v>Ben Rice</v>
      </c>
      <c r="C339" s="16">
        <f>IFERROR(__xludf.DUMMYFUNCTION("""COMPUTED_VALUE"""),0.0)</f>
        <v>0</v>
      </c>
      <c r="D339" s="16" t="str">
        <f>IFERROR(__xludf.DUMMYFUNCTION("""COMPUTED_VALUE"""),"L")</f>
        <v>L</v>
      </c>
      <c r="E339" s="16"/>
      <c r="F339" s="16"/>
      <c r="G339" s="16">
        <f>IFERROR(__xludf.DUMMYFUNCTION("""COMPUTED_VALUE"""),152.0)</f>
        <v>152</v>
      </c>
      <c r="H339" s="16">
        <f>IFERROR(__xludf.DUMMYFUNCTION("""COMPUTED_VALUE"""),20.0)</f>
        <v>20</v>
      </c>
      <c r="I339" s="16" t="str">
        <f>IFERROR(__xludf.DUMMYFUNCTION("""COMPUTED_VALUE"""),"1p30")</f>
        <v>1p30</v>
      </c>
      <c r="J339" s="16">
        <f>IFERROR(__xludf.DUMMYFUNCTION("""COMPUTED_VALUE"""),28.0)</f>
        <v>28</v>
      </c>
      <c r="K339" s="16">
        <f>IFERROR(__xludf.DUMMYFUNCTION("""COMPUTED_VALUE"""),38.0)</f>
        <v>38</v>
      </c>
      <c r="L339" s="16">
        <f>IFERROR(__xludf.DUMMYFUNCTION("""COMPUTED_VALUE"""),0.0)</f>
        <v>0</v>
      </c>
      <c r="M339" s="16">
        <f>IFERROR(__xludf.DUMMYFUNCTION("""COMPUTED_VALUE"""),-1.0)</f>
        <v>-1</v>
      </c>
      <c r="N339" s="16">
        <f>IFERROR(__xludf.DUMMYFUNCTION("""COMPUTED_VALUE"""),0.0)</f>
        <v>0</v>
      </c>
      <c r="O339" s="16">
        <f>IFERROR(__xludf.DUMMYFUNCTION("""COMPUTED_VALUE"""),-1.0)</f>
        <v>-1</v>
      </c>
      <c r="P339" s="16">
        <f>IFERROR(__xludf.DUMMYFUNCTION("""COMPUTED_VALUE"""),26.0)</f>
        <v>26</v>
      </c>
      <c r="Q339" s="16">
        <f>IFERROR(__xludf.DUMMYFUNCTION("""COMPUTED_VALUE"""),12.0)</f>
        <v>12</v>
      </c>
      <c r="R339" s="16">
        <f>IFERROR(__xludf.DUMMYFUNCTION("""COMPUTED_VALUE"""),3.0)</f>
        <v>3</v>
      </c>
      <c r="S339" s="16">
        <f>IFERROR(__xludf.DUMMYFUNCTION("""COMPUTED_VALUE"""),1.0)</f>
        <v>1</v>
      </c>
      <c r="T339" s="16">
        <f>IFERROR(__xludf.DUMMYFUNCTION("""COMPUTED_VALUE"""),3.0)</f>
        <v>3</v>
      </c>
      <c r="U339" s="16">
        <f>IFERROR(__xludf.DUMMYFUNCTION("""COMPUTED_VALUE"""),1.0)</f>
        <v>1</v>
      </c>
      <c r="V339" s="16">
        <f>IFERROR(__xludf.DUMMYFUNCTION("""COMPUTED_VALUE"""),1.8)</f>
        <v>1.8</v>
      </c>
      <c r="W339" s="16">
        <f>IFERROR(__xludf.DUMMYFUNCTION("""COMPUTED_VALUE"""),6.6)</f>
        <v>6.6</v>
      </c>
      <c r="X339" s="16">
        <f>IFERROR(__xludf.DUMMYFUNCTION("""COMPUTED_VALUE"""),-2.0)</f>
        <v>-2</v>
      </c>
      <c r="Y339" s="16">
        <f>IFERROR(__xludf.DUMMYFUNCTION("""COMPUTED_VALUE"""),-2.0)</f>
        <v>-2</v>
      </c>
      <c r="Z339" s="16">
        <f>IFERROR(__xludf.DUMMYFUNCTION("""COMPUTED_VALUE"""),-4.0)</f>
        <v>-4</v>
      </c>
      <c r="AA339" s="16">
        <f>IFERROR(__xludf.DUMMYFUNCTION("""COMPUTED_VALUE"""),-4.0)</f>
        <v>-4</v>
      </c>
      <c r="AB339" s="16">
        <f>IFERROR(__xludf.DUMMYFUNCTION("""COMPUTED_VALUE"""),28.8)</f>
        <v>28.8</v>
      </c>
      <c r="AC339" s="16">
        <f>IFERROR(__xludf.DUMMYFUNCTION("""COMPUTED_VALUE"""),19.6)</f>
        <v>19.6</v>
      </c>
      <c r="AD339" s="16">
        <f>IFERROR(__xludf.DUMMYFUNCTION("""COMPUTED_VALUE"""),0.0)</f>
        <v>0</v>
      </c>
      <c r="AE339" s="16">
        <f>IFERROR(__xludf.DUMMYFUNCTION("""COMPUTED_VALUE"""),-2.0)</f>
        <v>-2</v>
      </c>
      <c r="AF339" s="16">
        <f>IFERROR(__xludf.DUMMYFUNCTION("""COMPUTED_VALUE"""),0.0)</f>
        <v>0</v>
      </c>
      <c r="AG339" s="16">
        <f>IFERROR(__xludf.DUMMYFUNCTION("""COMPUTED_VALUE"""),-10.0)</f>
        <v>-10</v>
      </c>
      <c r="AH339" s="16">
        <f>IFERROR(__xludf.DUMMYFUNCTION("""COMPUTED_VALUE"""),7.0)</f>
        <v>7</v>
      </c>
      <c r="AI339" s="16">
        <f>IFERROR(__xludf.DUMMYFUNCTION("""COMPUTED_VALUE"""),20.0)</f>
        <v>20</v>
      </c>
      <c r="AJ339" s="16">
        <f>IFERROR(__xludf.DUMMYFUNCTION("""COMPUTED_VALUE"""),-2.0)</f>
        <v>-2</v>
      </c>
      <c r="AK339" s="16">
        <f>IFERROR(__xludf.DUMMYFUNCTION("""COMPUTED_VALUE"""),-2.0)</f>
        <v>-2</v>
      </c>
      <c r="AL339" s="16">
        <f>IFERROR(__xludf.DUMMYFUNCTION("""COMPUTED_VALUE"""),-10.0)</f>
        <v>-10</v>
      </c>
      <c r="AM339" s="16">
        <f>IFERROR(__xludf.DUMMYFUNCTION("""COMPUTED_VALUE"""),-10.0)</f>
        <v>-10</v>
      </c>
      <c r="AN339" s="16">
        <f>IFERROR(__xludf.DUMMYFUNCTION("""COMPUTED_VALUE"""),1.8)</f>
        <v>1.8</v>
      </c>
      <c r="AO339" s="16">
        <f>IFERROR(__xludf.DUMMYFUNCTION("""COMPUTED_VALUE"""),3.4)</f>
        <v>3.4</v>
      </c>
      <c r="AP339" s="16">
        <f>IFERROR(__xludf.DUMMYFUNCTION("""COMPUTED_VALUE"""),-1.0)</f>
        <v>-1</v>
      </c>
      <c r="AQ339" s="16">
        <f>IFERROR(__xludf.DUMMYFUNCTION("""COMPUTED_VALUE"""),1.0)</f>
        <v>1</v>
      </c>
      <c r="AR339" s="16">
        <f>IFERROR(__xludf.DUMMYFUNCTION("""COMPUTED_VALUE"""),-2.0)</f>
        <v>-2</v>
      </c>
      <c r="AS339" s="16">
        <f>IFERROR(__xludf.DUMMYFUNCTION("""COMPUTED_VALUE"""),2.0)</f>
        <v>2</v>
      </c>
      <c r="AT339" s="16"/>
      <c r="AU339" s="16"/>
      <c r="AV339" s="16">
        <f>IFERROR(__xludf.DUMMYFUNCTION("""COMPUTED_VALUE"""),1.0)</f>
        <v>1</v>
      </c>
      <c r="AW339" s="16">
        <f>IFERROR(__xludf.DUMMYFUNCTION("""COMPUTED_VALUE"""),5.0)</f>
        <v>5</v>
      </c>
      <c r="AX339" s="16">
        <f>IFERROR(__xludf.DUMMYFUNCTION("""COMPUTED_VALUE"""),-1.0)</f>
        <v>-1</v>
      </c>
      <c r="AY339" s="16">
        <f>IFERROR(__xludf.DUMMYFUNCTION("""COMPUTED_VALUE"""),2.0)</f>
        <v>2</v>
      </c>
      <c r="AZ339" s="16">
        <f>IFERROR(__xludf.DUMMYFUNCTION("""COMPUTED_VALUE"""),-3.0)</f>
        <v>-3</v>
      </c>
      <c r="BA339" s="16">
        <f>IFERROR(__xludf.DUMMYFUNCTION("""COMPUTED_VALUE"""),6.0)</f>
        <v>6</v>
      </c>
      <c r="BB339" s="16">
        <f>IFERROR(__xludf.DUMMYFUNCTION("""COMPUTED_VALUE"""),0.0)</f>
        <v>0</v>
      </c>
      <c r="BC339" s="16">
        <f>IFERROR(__xludf.DUMMYFUNCTION("""COMPUTED_VALUE"""),0.0)</f>
        <v>0</v>
      </c>
      <c r="BD339" s="16">
        <f>IFERROR(__xludf.DUMMYFUNCTION("""COMPUTED_VALUE"""),0.0)</f>
        <v>0</v>
      </c>
      <c r="BE339" s="16">
        <f>IFERROR(__xludf.DUMMYFUNCTION("""COMPUTED_VALUE"""),0.0)</f>
        <v>0</v>
      </c>
      <c r="BF339" s="16">
        <f>IFERROR(__xludf.DUMMYFUNCTION("""COMPUTED_VALUE"""),0.0)</f>
        <v>0</v>
      </c>
      <c r="BG339" s="16">
        <f>IFERROR(__xludf.DUMMYFUNCTION("""COMPUTED_VALUE"""),0.0)</f>
        <v>0</v>
      </c>
      <c r="BH339" s="16">
        <f>IFERROR(__xludf.DUMMYFUNCTION("""COMPUTED_VALUE"""),0.0)</f>
        <v>0</v>
      </c>
      <c r="BI339" s="16">
        <f>IFERROR(__xludf.DUMMYFUNCTION("""COMPUTED_VALUE"""),0.0)</f>
        <v>0</v>
      </c>
      <c r="BJ339" s="16">
        <f>IFERROR(__xludf.DUMMYFUNCTION("""COMPUTED_VALUE"""),5.0)</f>
        <v>5</v>
      </c>
      <c r="BK339" s="16">
        <f>IFERROR(__xludf.DUMMYFUNCTION("""COMPUTED_VALUE"""),8.0)</f>
        <v>8</v>
      </c>
      <c r="BL339" s="16">
        <f>IFERROR(__xludf.DUMMYFUNCTION("""COMPUTED_VALUE"""),1.0)</f>
        <v>1</v>
      </c>
      <c r="BM339" s="16">
        <f>IFERROR(__xludf.DUMMYFUNCTION("""COMPUTED_VALUE"""),1.0)</f>
        <v>1</v>
      </c>
      <c r="BN339" s="16">
        <f>IFERROR(__xludf.DUMMYFUNCTION("""COMPUTED_VALUE"""),1.0)</f>
        <v>1</v>
      </c>
      <c r="BO339" s="16">
        <f>IFERROR(__xludf.DUMMYFUNCTION("""COMPUTED_VALUE"""),1.0)</f>
        <v>1</v>
      </c>
      <c r="BP339" s="16">
        <f>IFERROR(__xludf.DUMMYFUNCTION("""COMPUTED_VALUE"""),-2.0)</f>
        <v>-2</v>
      </c>
      <c r="BQ339" s="16">
        <f>IFERROR(__xludf.DUMMYFUNCTION("""COMPUTED_VALUE"""),-2.0)</f>
        <v>-2</v>
      </c>
      <c r="BR339" s="16">
        <f>IFERROR(__xludf.DUMMYFUNCTION("""COMPUTED_VALUE"""),-4.0)</f>
        <v>-4</v>
      </c>
      <c r="BS339" s="16" t="str">
        <f>IFERROR(__xludf.DUMMYFUNCTION("""COMPUTED_VALUE"""),"2-6,11,12/- (3-1)")</f>
        <v>2-6,11,12/- (3-1)</v>
      </c>
      <c r="BT339" s="16" t="str">
        <f>IFERROR(__xludf.DUMMYFUNCTION("""COMPUTED_VALUE"""),"E")</f>
        <v>E</v>
      </c>
      <c r="BU339" s="16">
        <f>IFERROR(__xludf.DUMMYFUNCTION("""COMPUTED_VALUE"""),10.0)</f>
        <v>10</v>
      </c>
      <c r="BV339" s="16">
        <f>IFERROR(__xludf.DUMMYFUNCTION("""COMPUTED_VALUE"""),0.0)</f>
        <v>0</v>
      </c>
      <c r="BW339" s="16">
        <f>IFERROR(__xludf.DUMMYFUNCTION("""COMPUTED_VALUE"""),0.0)</f>
        <v>0</v>
      </c>
      <c r="BX339" s="16">
        <f>IFERROR(__xludf.DUMMYFUNCTION("""COMPUTED_VALUE"""),0.0)</f>
        <v>0</v>
      </c>
      <c r="BY339" s="16">
        <f>IFERROR(__xludf.DUMMYFUNCTION("""COMPUTED_VALUE"""),0.0)</f>
        <v>0</v>
      </c>
      <c r="BZ339" s="16" t="str">
        <f>IFERROR(__xludf.DUMMYFUNCTION("""COMPUTED_VALUE"""),"D")</f>
        <v>D</v>
      </c>
      <c r="CA339" s="16" t="str">
        <f>IFERROR(__xludf.DUMMYFUNCTION("""COMPUTED_VALUE"""),"D")</f>
        <v>D</v>
      </c>
      <c r="CB339" s="16">
        <f>IFERROR(__xludf.DUMMYFUNCTION("""COMPUTED_VALUE"""),0.0)</f>
        <v>0</v>
      </c>
      <c r="CC339" s="16">
        <f>IFERROR(__xludf.DUMMYFUNCTION("""COMPUTED_VALUE"""),0.0)</f>
        <v>0</v>
      </c>
      <c r="CD339" s="16">
        <f>IFERROR(__xludf.DUMMYFUNCTION("""COMPUTED_VALUE"""),0.0)</f>
        <v>0</v>
      </c>
      <c r="CE339" s="16">
        <f>IFERROR(__xludf.DUMMYFUNCTION("""COMPUTED_VALUE"""),0.0)</f>
        <v>0</v>
      </c>
      <c r="CF339" s="16">
        <f>IFERROR(__xludf.DUMMYFUNCTION("""COMPUTED_VALUE"""),1.0)</f>
        <v>1</v>
      </c>
      <c r="CG339" s="16">
        <f>IFERROR(__xludf.DUMMYFUNCTION("""COMPUTED_VALUE"""),-15.0)</f>
        <v>-15</v>
      </c>
      <c r="CH339" s="16">
        <f>IFERROR(__xludf.DUMMYFUNCTION("""COMPUTED_VALUE"""),-15.0)</f>
        <v>-15</v>
      </c>
      <c r="CI339" s="179">
        <f>IFERROR(__xludf.DUMMYFUNCTION("""COMPUTED_VALUE"""),-13.0)</f>
        <v>-13</v>
      </c>
      <c r="CJ339" s="16">
        <f>IFERROR(__xludf.DUMMYFUNCTION("""COMPUTED_VALUE"""),402.0)</f>
        <v>402</v>
      </c>
      <c r="CK339" s="16">
        <f>IFERROR(__xludf.DUMMYFUNCTION("""COMPUTED_VALUE"""),408.0)</f>
        <v>408</v>
      </c>
      <c r="CL339" s="16"/>
      <c r="CM339" s="16"/>
      <c r="CN339" s="16"/>
      <c r="CO339" s="16"/>
      <c r="CP339" s="16"/>
      <c r="CQ339" s="16"/>
      <c r="CR339" s="16" t="str">
        <f>IFERROR(__xludf.DUMMYFUNCTION("""COMPUTED_VALUE"""),"1b-4e8 c-4(+2)e2,T-2(pb-0)")</f>
        <v>1b-4e8 c-4(+2)e2,T-2(pb-0)</v>
      </c>
      <c r="CS339" s="16">
        <f>IFERROR(__xludf.DUMMYFUNCTION("""COMPUTED_VALUE"""),4.0)</f>
        <v>4</v>
      </c>
      <c r="CT339" s="16">
        <f>IFERROR(__xludf.DUMMYFUNCTION("""COMPUTED_VALUE"""),4.0)</f>
        <v>4</v>
      </c>
      <c r="CU339" s="16"/>
      <c r="CV339" s="16"/>
      <c r="CW339" s="16"/>
      <c r="CX339" s="16"/>
      <c r="CY339" s="16"/>
      <c r="CZ339" s="16"/>
      <c r="DA339" s="16">
        <f>IFERROR(__xludf.DUMMYFUNCTION("""COMPUTED_VALUE"""),2.0)</f>
        <v>2</v>
      </c>
      <c r="DB339" s="16">
        <f>IFERROR(__xludf.DUMMYFUNCTION("""COMPUTED_VALUE"""),8.0)</f>
        <v>8</v>
      </c>
      <c r="DC339" s="16"/>
      <c r="DD339" s="16"/>
      <c r="DE339" s="16"/>
      <c r="DF339" s="16"/>
      <c r="DG339" s="16"/>
      <c r="DH339" s="16"/>
      <c r="DI339" s="16">
        <f>IFERROR(__xludf.DUMMYFUNCTION("""COMPUTED_VALUE"""),-2.0)</f>
        <v>-2</v>
      </c>
      <c r="DJ339" s="16">
        <f>IFERROR(__xludf.DUMMYFUNCTION("""COMPUTED_VALUE"""),0.0)</f>
        <v>0</v>
      </c>
      <c r="DK339" s="16"/>
      <c r="DL339" s="16"/>
      <c r="DM339" s="16"/>
      <c r="DN339" s="16"/>
      <c r="DO339" s="16"/>
      <c r="DP339" s="16"/>
      <c r="DQ339" s="16">
        <f>IFERROR(__xludf.DUMMYFUNCTION("""COMPUTED_VALUE"""),4.0)</f>
        <v>4</v>
      </c>
      <c r="DR339" s="16">
        <f>IFERROR(__xludf.DUMMYFUNCTION("""COMPUTED_VALUE"""),2.0)</f>
        <v>2</v>
      </c>
      <c r="DS339" s="16"/>
      <c r="DT339" s="16"/>
      <c r="DU339" s="16"/>
      <c r="DV339" s="16"/>
      <c r="DW339" s="16"/>
      <c r="DX339" s="16"/>
      <c r="DY339" s="16">
        <f>IFERROR(__xludf.DUMMYFUNCTION("""COMPUTED_VALUE"""),2.0)</f>
        <v>2</v>
      </c>
      <c r="DZ339" s="16">
        <f>IFERROR(__xludf.DUMMYFUNCTION("""COMPUTED_VALUE"""),2.0)</f>
        <v>2</v>
      </c>
      <c r="EA339" s="16"/>
      <c r="EB339" s="16"/>
      <c r="EC339" s="16"/>
      <c r="ED339" s="16"/>
      <c r="EE339" s="16"/>
      <c r="EF339" s="16"/>
      <c r="EG339" s="179">
        <f>IFERROR(__xludf.DUMMYFUNCTION("""COMPUTED_VALUE"""),-11.0)</f>
        <v>-11</v>
      </c>
      <c r="EH339" s="179">
        <f>IFERROR(__xludf.DUMMYFUNCTION("""COMPUTED_VALUE"""),-11.0)</f>
        <v>-11</v>
      </c>
      <c r="EI339" s="179"/>
      <c r="EJ339" s="179"/>
      <c r="EK339" s="179"/>
      <c r="EL339" s="179"/>
      <c r="EM339" s="179"/>
      <c r="EN339" s="179"/>
      <c r="EO339" s="16"/>
      <c r="EP339" s="16">
        <f>IFERROR(__xludf.DUMMYFUNCTION("""COMPUTED_VALUE"""),-1.0)</f>
        <v>-1</v>
      </c>
      <c r="EQ339" s="16">
        <f>IFERROR(__xludf.DUMMYFUNCTION("""COMPUTED_VALUE"""),4.0)</f>
        <v>4</v>
      </c>
      <c r="ER339" s="16">
        <f>IFERROR(__xludf.DUMMYFUNCTION("""COMPUTED_VALUE"""),-2.0)</f>
        <v>-2</v>
      </c>
      <c r="ES339" s="16" t="str">
        <f>IFERROR(__xludf.DUMMYFUNCTION("""COMPUTED_VALUE"""),"1b-4e8 c-4")</f>
        <v>1b-4e8 c-4</v>
      </c>
      <c r="ET339" s="16" t="str">
        <f>IFERROR(__xludf.DUMMYFUNCTION("""COMPUTED_VALUE"""),"+2)e2,T-2")</f>
        <v>+2)e2,T-2</v>
      </c>
      <c r="EU339" s="16" t="str">
        <f>IFERROR(__xludf.DUMMYFUNCTION("""COMPUTED_VALUE"""),"pb-0)")</f>
        <v>pb-0)</v>
      </c>
      <c r="EV339" s="16"/>
      <c r="EW339" s="16"/>
      <c r="EX339" s="180">
        <f>IFERROR(__xludf.DUMMYFUNCTION("""COMPUTED_VALUE"""),0.3)</f>
        <v>0.3</v>
      </c>
      <c r="EY339" s="180">
        <f>IFERROR(__xludf.DUMMYFUNCTION("""COMPUTED_VALUE"""),0.3)</f>
        <v>0.3</v>
      </c>
      <c r="EZ339" s="180"/>
      <c r="FA339" s="180"/>
      <c r="FB339" s="180"/>
      <c r="FC339" s="180"/>
      <c r="FD339" s="180"/>
      <c r="FE339" s="180"/>
      <c r="FF339" s="180">
        <f>IFERROR(__xludf.DUMMYFUNCTION("""COMPUTED_VALUE"""),0.024)</f>
        <v>0.024</v>
      </c>
      <c r="FG339" s="180">
        <f>IFERROR(__xludf.DUMMYFUNCTION("""COMPUTED_VALUE"""),0.14351851851851852)</f>
        <v>0.1435185185</v>
      </c>
      <c r="FH339" s="180"/>
      <c r="FI339" s="180"/>
      <c r="FJ339" s="180"/>
      <c r="FK339" s="180"/>
      <c r="FL339" s="180"/>
      <c r="FM339" s="180"/>
      <c r="FN339" s="16">
        <f>IFERROR(__xludf.DUMMYFUNCTION("""COMPUTED_VALUE"""),0.6831999999999999)</f>
        <v>0.6832</v>
      </c>
      <c r="FO339" s="16">
        <f>IFERROR(__xludf.DUMMYFUNCTION("""COMPUTED_VALUE"""),0.599537037037037)</f>
        <v>0.599537037</v>
      </c>
      <c r="FP339" s="16"/>
      <c r="FQ339" s="16"/>
      <c r="FR339" s="16"/>
      <c r="FS339" s="16"/>
      <c r="FT339" s="16"/>
      <c r="FU339" s="16"/>
      <c r="FV339" s="16">
        <f>IFERROR(__xludf.DUMMYFUNCTION("""COMPUTED_VALUE"""),-4.0)</f>
        <v>-4</v>
      </c>
      <c r="FW339" s="16">
        <f>IFERROR(__xludf.DUMMYFUNCTION("""COMPUTED_VALUE"""),-6.0)</f>
        <v>-6</v>
      </c>
      <c r="FX339" s="16"/>
      <c r="FY339" s="16"/>
      <c r="FZ339" s="16"/>
      <c r="GA339" s="16"/>
      <c r="GB339" s="16"/>
      <c r="GC339" s="16"/>
      <c r="GD339" s="16" t="s">
        <v>126</v>
      </c>
    </row>
    <row r="340">
      <c r="A340" s="16">
        <f>IFERROR(__xludf.DUMMYFUNCTION("""COMPUTED_VALUE"""),13037.0)</f>
        <v>13037</v>
      </c>
      <c r="B340" s="16" t="str">
        <f>IFERROR(__xludf.DUMMYFUNCTION("""COMPUTED_VALUE"""),"Josh Palacios")</f>
        <v>Josh Palacios</v>
      </c>
      <c r="C340" s="16">
        <f>IFERROR(__xludf.DUMMYFUNCTION("""COMPUTED_VALUE"""),0.0)</f>
        <v>0</v>
      </c>
      <c r="D340" s="16" t="str">
        <f>IFERROR(__xludf.DUMMYFUNCTION("""COMPUTED_VALUE"""),"L")</f>
        <v>L</v>
      </c>
      <c r="E340" s="16"/>
      <c r="F340" s="16"/>
      <c r="G340" s="16">
        <f>IFERROR(__xludf.DUMMYFUNCTION("""COMPUTED_VALUE"""),67.0)</f>
        <v>67</v>
      </c>
      <c r="H340" s="16">
        <f>IFERROR(__xludf.DUMMYFUNCTION("""COMPUTED_VALUE"""),10.0)</f>
        <v>10</v>
      </c>
      <c r="I340" s="16" t="str">
        <f>IFERROR(__xludf.DUMMYFUNCTION("""COMPUTED_VALUE"""),"2p20")</f>
        <v>2p20</v>
      </c>
      <c r="J340" s="16">
        <f>IFERROR(__xludf.DUMMYFUNCTION("""COMPUTED_VALUE"""),0.0)</f>
        <v>0</v>
      </c>
      <c r="K340" s="16">
        <f>IFERROR(__xludf.DUMMYFUNCTION("""COMPUTED_VALUE"""),12.0)</f>
        <v>12</v>
      </c>
      <c r="L340" s="16">
        <f>IFERROR(__xludf.DUMMYFUNCTION("""COMPUTED_VALUE"""),3.0)</f>
        <v>3</v>
      </c>
      <c r="M340" s="16">
        <f>IFERROR(__xludf.DUMMYFUNCTION("""COMPUTED_VALUE"""),1.0)</f>
        <v>1</v>
      </c>
      <c r="N340" s="16">
        <f>IFERROR(__xludf.DUMMYFUNCTION("""COMPUTED_VALUE"""),3.0)</f>
        <v>3</v>
      </c>
      <c r="O340" s="16">
        <f>IFERROR(__xludf.DUMMYFUNCTION("""COMPUTED_VALUE"""),1.0)</f>
        <v>1</v>
      </c>
      <c r="P340" s="16">
        <f>IFERROR(__xludf.DUMMYFUNCTION("""COMPUTED_VALUE"""),0.0)</f>
        <v>0</v>
      </c>
      <c r="Q340" s="16">
        <f>IFERROR(__xludf.DUMMYFUNCTION("""COMPUTED_VALUE"""),23.0)</f>
        <v>23</v>
      </c>
      <c r="R340" s="16">
        <f>IFERROR(__xludf.DUMMYFUNCTION("""COMPUTED_VALUE"""),-3.0)</f>
        <v>-3</v>
      </c>
      <c r="S340" s="16">
        <f>IFERROR(__xludf.DUMMYFUNCTION("""COMPUTED_VALUE"""),3.0)</f>
        <v>3</v>
      </c>
      <c r="T340" s="16">
        <f>IFERROR(__xludf.DUMMYFUNCTION("""COMPUTED_VALUE"""),-3.0)</f>
        <v>-3</v>
      </c>
      <c r="U340" s="16">
        <f>IFERROR(__xludf.DUMMYFUNCTION("""COMPUTED_VALUE"""),3.0)</f>
        <v>3</v>
      </c>
      <c r="V340" s="16">
        <f>IFERROR(__xludf.DUMMYFUNCTION("""COMPUTED_VALUE"""),6.3)</f>
        <v>6.3</v>
      </c>
      <c r="W340" s="16">
        <f>IFERROR(__xludf.DUMMYFUNCTION("""COMPUTED_VALUE"""),12.7)</f>
        <v>12.7</v>
      </c>
      <c r="X340" s="16">
        <f>IFERROR(__xludf.DUMMYFUNCTION("""COMPUTED_VALUE"""),-2.0)</f>
        <v>-2</v>
      </c>
      <c r="Y340" s="16">
        <f>IFERROR(__xludf.DUMMYFUNCTION("""COMPUTED_VALUE"""),-1.0)</f>
        <v>-1</v>
      </c>
      <c r="Z340" s="16">
        <f>IFERROR(__xludf.DUMMYFUNCTION("""COMPUTED_VALUE"""),-4.0)</f>
        <v>-4</v>
      </c>
      <c r="AA340" s="16">
        <f>IFERROR(__xludf.DUMMYFUNCTION("""COMPUTED_VALUE"""),-2.0)</f>
        <v>-2</v>
      </c>
      <c r="AB340" s="16">
        <f>IFERROR(__xludf.DUMMYFUNCTION("""COMPUTED_VALUE"""),9.3)</f>
        <v>9.3</v>
      </c>
      <c r="AC340" s="16">
        <f>IFERROR(__xludf.DUMMYFUNCTION("""COMPUTED_VALUE"""),38.7)</f>
        <v>38.7</v>
      </c>
      <c r="AD340" s="16">
        <f>IFERROR(__xludf.DUMMYFUNCTION("""COMPUTED_VALUE"""),-2.0)</f>
        <v>-2</v>
      </c>
      <c r="AE340" s="16">
        <f>IFERROR(__xludf.DUMMYFUNCTION("""COMPUTED_VALUE"""),1.0)</f>
        <v>1</v>
      </c>
      <c r="AF340" s="16">
        <f>IFERROR(__xludf.DUMMYFUNCTION("""COMPUTED_VALUE"""),-10.0)</f>
        <v>-10</v>
      </c>
      <c r="AG340" s="16">
        <f>IFERROR(__xludf.DUMMYFUNCTION("""COMPUTED_VALUE"""),5.0)</f>
        <v>5</v>
      </c>
      <c r="AH340" s="16">
        <f>IFERROR(__xludf.DUMMYFUNCTION("""COMPUTED_VALUE"""),6.3)</f>
        <v>6.3</v>
      </c>
      <c r="AI340" s="16">
        <f>IFERROR(__xludf.DUMMYFUNCTION("""COMPUTED_VALUE"""),18.9)</f>
        <v>18.9</v>
      </c>
      <c r="AJ340" s="16">
        <f>IFERROR(__xludf.DUMMYFUNCTION("""COMPUTED_VALUE"""),-2.0)</f>
        <v>-2</v>
      </c>
      <c r="AK340" s="16">
        <f>IFERROR(__xludf.DUMMYFUNCTION("""COMPUTED_VALUE"""),-2.0)</f>
        <v>-2</v>
      </c>
      <c r="AL340" s="16">
        <f>IFERROR(__xludf.DUMMYFUNCTION("""COMPUTED_VALUE"""),-10.0)</f>
        <v>-10</v>
      </c>
      <c r="AM340" s="16">
        <f>IFERROR(__xludf.DUMMYFUNCTION("""COMPUTED_VALUE"""),-10.0)</f>
        <v>-10</v>
      </c>
      <c r="AN340" s="16">
        <f>IFERROR(__xludf.DUMMYFUNCTION("""COMPUTED_VALUE"""),0.0)</f>
        <v>0</v>
      </c>
      <c r="AO340" s="16">
        <f>IFERROR(__xludf.DUMMYFUNCTION("""COMPUTED_VALUE"""),1.6)</f>
        <v>1.6</v>
      </c>
      <c r="AP340" s="16">
        <f>IFERROR(__xludf.DUMMYFUNCTION("""COMPUTED_VALUE"""),-2.0)</f>
        <v>-2</v>
      </c>
      <c r="AQ340" s="16">
        <f>IFERROR(__xludf.DUMMYFUNCTION("""COMPUTED_VALUE"""),-1.0)</f>
        <v>-1</v>
      </c>
      <c r="AR340" s="16">
        <f>IFERROR(__xludf.DUMMYFUNCTION("""COMPUTED_VALUE"""),-4.0)</f>
        <v>-4</v>
      </c>
      <c r="AS340" s="16">
        <f>IFERROR(__xludf.DUMMYFUNCTION("""COMPUTED_VALUE"""),-2.0)</f>
        <v>-2</v>
      </c>
      <c r="AT340" s="16"/>
      <c r="AU340" s="16">
        <f>IFERROR(__xludf.DUMMYFUNCTION("""COMPUTED_VALUE"""),3.0)</f>
        <v>3</v>
      </c>
      <c r="AV340" s="16">
        <f>IFERROR(__xludf.DUMMYFUNCTION("""COMPUTED_VALUE"""),-3.0)</f>
        <v>-3</v>
      </c>
      <c r="AW340" s="16">
        <f>IFERROR(__xludf.DUMMYFUNCTION("""COMPUTED_VALUE"""),3.0)</f>
        <v>3</v>
      </c>
      <c r="AX340" s="16">
        <f>IFERROR(__xludf.DUMMYFUNCTION("""COMPUTED_VALUE"""),-3.0)</f>
        <v>-3</v>
      </c>
      <c r="AY340" s="16">
        <f>IFERROR(__xludf.DUMMYFUNCTION("""COMPUTED_VALUE"""),0.0)</f>
        <v>0</v>
      </c>
      <c r="AZ340" s="16">
        <f>IFERROR(__xludf.DUMMYFUNCTION("""COMPUTED_VALUE"""),-9.0)</f>
        <v>-9</v>
      </c>
      <c r="BA340" s="16">
        <f>IFERROR(__xludf.DUMMYFUNCTION("""COMPUTED_VALUE"""),0.0)</f>
        <v>0</v>
      </c>
      <c r="BB340" s="16">
        <f>IFERROR(__xludf.DUMMYFUNCTION("""COMPUTED_VALUE"""),5.0)</f>
        <v>5</v>
      </c>
      <c r="BC340" s="16">
        <f>IFERROR(__xludf.DUMMYFUNCTION("""COMPUTED_VALUE"""),5.0)</f>
        <v>5</v>
      </c>
      <c r="BD340" s="16">
        <f>IFERROR(__xludf.DUMMYFUNCTION("""COMPUTED_VALUE"""),1.0)</f>
        <v>1</v>
      </c>
      <c r="BE340" s="16">
        <f>IFERROR(__xludf.DUMMYFUNCTION("""COMPUTED_VALUE"""),1.0)</f>
        <v>1</v>
      </c>
      <c r="BF340" s="16">
        <f>IFERROR(__xludf.DUMMYFUNCTION("""COMPUTED_VALUE"""),1.0)</f>
        <v>1</v>
      </c>
      <c r="BG340" s="16">
        <f>IFERROR(__xludf.DUMMYFUNCTION("""COMPUTED_VALUE"""),1.0)</f>
        <v>1</v>
      </c>
      <c r="BH340" s="16">
        <f>IFERROR(__xludf.DUMMYFUNCTION("""COMPUTED_VALUE"""),4.0)</f>
        <v>4</v>
      </c>
      <c r="BI340" s="16">
        <f>IFERROR(__xludf.DUMMYFUNCTION("""COMPUTED_VALUE"""),3.0)</f>
        <v>3</v>
      </c>
      <c r="BJ340" s="16">
        <f>IFERROR(__xludf.DUMMYFUNCTION("""COMPUTED_VALUE"""),11.0)</f>
        <v>11</v>
      </c>
      <c r="BK340" s="16">
        <f>IFERROR(__xludf.DUMMYFUNCTION("""COMPUTED_VALUE"""),8.0)</f>
        <v>8</v>
      </c>
      <c r="BL340" s="16">
        <f>IFERROR(__xludf.DUMMYFUNCTION("""COMPUTED_VALUE"""),0.0)</f>
        <v>0</v>
      </c>
      <c r="BM340" s="16">
        <f>IFERROR(__xludf.DUMMYFUNCTION("""COMPUTED_VALUE"""),1.0)</f>
        <v>1</v>
      </c>
      <c r="BN340" s="16">
        <f>IFERROR(__xludf.DUMMYFUNCTION("""COMPUTED_VALUE"""),0.0)</f>
        <v>0</v>
      </c>
      <c r="BO340" s="16">
        <f>IFERROR(__xludf.DUMMYFUNCTION("""COMPUTED_VALUE"""),1.0)</f>
        <v>1</v>
      </c>
      <c r="BP340" s="16">
        <f>IFERROR(__xludf.DUMMYFUNCTION("""COMPUTED_VALUE"""),-10.0)</f>
        <v>-10</v>
      </c>
      <c r="BQ340" s="16">
        <f>IFERROR(__xludf.DUMMYFUNCTION("""COMPUTED_VALUE"""),3.0)</f>
        <v>3</v>
      </c>
      <c r="BR340" s="16">
        <f>IFERROR(__xludf.DUMMYFUNCTION("""COMPUTED_VALUE"""),-7.0)</f>
        <v>-7</v>
      </c>
      <c r="BS340" s="16" t="str">
        <f>IFERROR(__xludf.DUMMYFUNCTION("""COMPUTED_VALUE"""),"3/- (20-6)")</f>
        <v>3/- (20-6)</v>
      </c>
      <c r="BT340" s="16" t="str">
        <f>IFERROR(__xludf.DUMMYFUNCTION("""COMPUTED_VALUE"""),"D")</f>
        <v>D</v>
      </c>
      <c r="BU340" s="16">
        <f>IFERROR(__xludf.DUMMYFUNCTION("""COMPUTED_VALUE"""),14.0)</f>
        <v>14</v>
      </c>
      <c r="BV340" s="16">
        <f>IFERROR(__xludf.DUMMYFUNCTION("""COMPUTED_VALUE"""),0.0)</f>
        <v>0</v>
      </c>
      <c r="BW340" s="16">
        <f>IFERROR(__xludf.DUMMYFUNCTION("""COMPUTED_VALUE"""),1.0)</f>
        <v>1</v>
      </c>
      <c r="BX340" s="16">
        <f>IFERROR(__xludf.DUMMYFUNCTION("""COMPUTED_VALUE"""),0.0)</f>
        <v>0</v>
      </c>
      <c r="BY340" s="16">
        <f>IFERROR(__xludf.DUMMYFUNCTION("""COMPUTED_VALUE"""),3.0)</f>
        <v>3</v>
      </c>
      <c r="BZ340" s="16" t="str">
        <f>IFERROR(__xludf.DUMMYFUNCTION("""COMPUTED_VALUE"""),"D")</f>
        <v>D</v>
      </c>
      <c r="CA340" s="16" t="str">
        <f>IFERROR(__xludf.DUMMYFUNCTION("""COMPUTED_VALUE"""),"C")</f>
        <v>C</v>
      </c>
      <c r="CB340" s="16">
        <f>IFERROR(__xludf.DUMMYFUNCTION("""COMPUTED_VALUE"""),0.0)</f>
        <v>0</v>
      </c>
      <c r="CC340" s="16">
        <f>IFERROR(__xludf.DUMMYFUNCTION("""COMPUTED_VALUE"""),0.0)</f>
        <v>0</v>
      </c>
      <c r="CD340" s="16">
        <f>IFERROR(__xludf.DUMMYFUNCTION("""COMPUTED_VALUE"""),0.0)</f>
        <v>0</v>
      </c>
      <c r="CE340" s="16">
        <f>IFERROR(__xludf.DUMMYFUNCTION("""COMPUTED_VALUE"""),0.0)</f>
        <v>0</v>
      </c>
      <c r="CF340" s="16">
        <f>IFERROR(__xludf.DUMMYFUNCTION("""COMPUTED_VALUE"""),2.0)</f>
        <v>2</v>
      </c>
      <c r="CG340" s="16">
        <f>IFERROR(__xludf.DUMMYFUNCTION("""COMPUTED_VALUE"""),-36.0)</f>
        <v>-36</v>
      </c>
      <c r="CH340" s="16">
        <f>IFERROR(__xludf.DUMMYFUNCTION("""COMPUTED_VALUE"""),-3.0)</f>
        <v>-3</v>
      </c>
      <c r="CI340" s="179">
        <f>IFERROR(__xludf.DUMMYFUNCTION("""COMPUTED_VALUE"""),-13.0)</f>
        <v>-13</v>
      </c>
      <c r="CJ340" s="16"/>
      <c r="CK340" s="16"/>
      <c r="CL340" s="16"/>
      <c r="CM340" s="16"/>
      <c r="CN340" s="16"/>
      <c r="CO340" s="16">
        <f>IFERROR(__xludf.DUMMYFUNCTION("""COMPUTED_VALUE"""),305.0)</f>
        <v>305</v>
      </c>
      <c r="CP340" s="16">
        <f>IFERROR(__xludf.DUMMYFUNCTION("""COMPUTED_VALUE"""),405.0)</f>
        <v>405</v>
      </c>
      <c r="CQ340" s="16">
        <f>IFERROR(__xludf.DUMMYFUNCTION("""COMPUTED_VALUE"""),305.0)</f>
        <v>305</v>
      </c>
      <c r="CR340" s="16" t="str">
        <f>IFERROR(__xludf.DUMMYFUNCTION("""COMPUTED_VALUE"""),"rf-3(0)e5 lf-3e5 cf-4e5")</f>
        <v>rf-3(0)e5 lf-3e5 cf-4e5</v>
      </c>
      <c r="CS340" s="16"/>
      <c r="CT340" s="16"/>
      <c r="CU340" s="16"/>
      <c r="CV340" s="16"/>
      <c r="CW340" s="16"/>
      <c r="CX340" s="16">
        <f>IFERROR(__xludf.DUMMYFUNCTION("""COMPUTED_VALUE"""),3.0)</f>
        <v>3</v>
      </c>
      <c r="CY340" s="16">
        <f>IFERROR(__xludf.DUMMYFUNCTION("""COMPUTED_VALUE"""),4.0)</f>
        <v>4</v>
      </c>
      <c r="CZ340" s="16">
        <f>IFERROR(__xludf.DUMMYFUNCTION("""COMPUTED_VALUE"""),3.0)</f>
        <v>3</v>
      </c>
      <c r="DA340" s="16"/>
      <c r="DB340" s="16"/>
      <c r="DC340" s="16"/>
      <c r="DD340" s="16"/>
      <c r="DE340" s="16"/>
      <c r="DF340" s="16">
        <f>IFERROR(__xludf.DUMMYFUNCTION("""COMPUTED_VALUE"""),5.0)</f>
        <v>5</v>
      </c>
      <c r="DG340" s="16">
        <f>IFERROR(__xludf.DUMMYFUNCTION("""COMPUTED_VALUE"""),5.0)</f>
        <v>5</v>
      </c>
      <c r="DH340" s="16">
        <f>IFERROR(__xludf.DUMMYFUNCTION("""COMPUTED_VALUE"""),5.0)</f>
        <v>5</v>
      </c>
      <c r="DI340" s="16"/>
      <c r="DJ340" s="16"/>
      <c r="DK340" s="16"/>
      <c r="DL340" s="16"/>
      <c r="DM340" s="16"/>
      <c r="DN340" s="16">
        <f>IFERROR(__xludf.DUMMYFUNCTION("""COMPUTED_VALUE"""),0.0)</f>
        <v>0</v>
      </c>
      <c r="DO340" s="16">
        <f>IFERROR(__xludf.DUMMYFUNCTION("""COMPUTED_VALUE"""),-2.0)</f>
        <v>-2</v>
      </c>
      <c r="DP340" s="16">
        <f>IFERROR(__xludf.DUMMYFUNCTION("""COMPUTED_VALUE"""),0.0)</f>
        <v>0</v>
      </c>
      <c r="DQ340" s="16"/>
      <c r="DR340" s="16"/>
      <c r="DS340" s="16"/>
      <c r="DT340" s="16"/>
      <c r="DU340" s="16"/>
      <c r="DV340" s="16">
        <f>IFERROR(__xludf.DUMMYFUNCTION("""COMPUTED_VALUE"""),2.0)</f>
        <v>2</v>
      </c>
      <c r="DW340" s="16">
        <f>IFERROR(__xludf.DUMMYFUNCTION("""COMPUTED_VALUE"""),3.0)</f>
        <v>3</v>
      </c>
      <c r="DX340" s="16">
        <f>IFERROR(__xludf.DUMMYFUNCTION("""COMPUTED_VALUE"""),2.0)</f>
        <v>2</v>
      </c>
      <c r="DY340" s="16"/>
      <c r="DZ340" s="16"/>
      <c r="EA340" s="16"/>
      <c r="EB340" s="16"/>
      <c r="EC340" s="16"/>
      <c r="ED340" s="16">
        <f>IFERROR(__xludf.DUMMYFUNCTION("""COMPUTED_VALUE"""),2.0)</f>
        <v>2</v>
      </c>
      <c r="EE340" s="16">
        <f>IFERROR(__xludf.DUMMYFUNCTION("""COMPUTED_VALUE"""),1.0)</f>
        <v>1</v>
      </c>
      <c r="EF340" s="16">
        <f>IFERROR(__xludf.DUMMYFUNCTION("""COMPUTED_VALUE"""),2.0)</f>
        <v>2</v>
      </c>
      <c r="EG340" s="179"/>
      <c r="EH340" s="179"/>
      <c r="EI340" s="179"/>
      <c r="EJ340" s="179"/>
      <c r="EK340" s="179"/>
      <c r="EL340" s="179">
        <f>IFERROR(__xludf.DUMMYFUNCTION("""COMPUTED_VALUE"""),-11.0)</f>
        <v>-11</v>
      </c>
      <c r="EM340" s="179">
        <f>IFERROR(__xludf.DUMMYFUNCTION("""COMPUTED_VALUE"""),-12.0)</f>
        <v>-12</v>
      </c>
      <c r="EN340" s="179">
        <f>IFERROR(__xludf.DUMMYFUNCTION("""COMPUTED_VALUE"""),-11.0)</f>
        <v>-11</v>
      </c>
      <c r="EO340" s="16"/>
      <c r="EP340" s="16"/>
      <c r="EQ340" s="16">
        <f>IFERROR(__xludf.DUMMYFUNCTION("""COMPUTED_VALUE"""),2.0)</f>
        <v>2</v>
      </c>
      <c r="ER340" s="16">
        <f>IFERROR(__xludf.DUMMYFUNCTION("""COMPUTED_VALUE"""),-4.0)</f>
        <v>-4</v>
      </c>
      <c r="ES340" s="16"/>
      <c r="ET340" s="16"/>
      <c r="EU340" s="16"/>
      <c r="EV340" s="16"/>
      <c r="EW340" s="16"/>
      <c r="EX340" s="180"/>
      <c r="EY340" s="180"/>
      <c r="EZ340" s="180"/>
      <c r="FA340" s="180"/>
      <c r="FB340" s="180"/>
      <c r="FC340" s="180">
        <f>IFERROR(__xludf.DUMMYFUNCTION("""COMPUTED_VALUE"""),0.3)</f>
        <v>0.3</v>
      </c>
      <c r="FD340" s="180">
        <f>IFERROR(__xludf.DUMMYFUNCTION("""COMPUTED_VALUE"""),0.55)</f>
        <v>0.55</v>
      </c>
      <c r="FE340" s="180">
        <f>IFERROR(__xludf.DUMMYFUNCTION("""COMPUTED_VALUE"""),0.3)</f>
        <v>0.3</v>
      </c>
      <c r="FF340" s="180"/>
      <c r="FG340" s="180"/>
      <c r="FH340" s="180"/>
      <c r="FI340" s="180"/>
      <c r="FJ340" s="180"/>
      <c r="FK340" s="180">
        <f>IFERROR(__xludf.DUMMYFUNCTION("""COMPUTED_VALUE"""),0.088)</f>
        <v>0.088</v>
      </c>
      <c r="FL340" s="180">
        <f>IFERROR(__xludf.DUMMYFUNCTION("""COMPUTED_VALUE"""),0.06018518518518518)</f>
        <v>0.06018518519</v>
      </c>
      <c r="FM340" s="180">
        <f>IFERROR(__xludf.DUMMYFUNCTION("""COMPUTED_VALUE"""),0.088)</f>
        <v>0.088</v>
      </c>
      <c r="FN340" s="16"/>
      <c r="FO340" s="16"/>
      <c r="FP340" s="16"/>
      <c r="FQ340" s="16"/>
      <c r="FR340" s="16"/>
      <c r="FS340" s="16">
        <f>IFERROR(__xludf.DUMMYFUNCTION("""COMPUTED_VALUE"""),0.6384)</f>
        <v>0.6384</v>
      </c>
      <c r="FT340" s="16">
        <f>IFERROR(__xludf.DUMMYFUNCTION("""COMPUTED_VALUE"""),0.4229166666666666)</f>
        <v>0.4229166667</v>
      </c>
      <c r="FU340" s="16">
        <f>IFERROR(__xludf.DUMMYFUNCTION("""COMPUTED_VALUE"""),0.6384)</f>
        <v>0.6384</v>
      </c>
      <c r="FV340" s="16"/>
      <c r="FW340" s="16"/>
      <c r="FX340" s="16"/>
      <c r="FY340" s="16"/>
      <c r="FZ340" s="16"/>
      <c r="GA340" s="16">
        <f>IFERROR(__xludf.DUMMYFUNCTION("""COMPUTED_VALUE"""),-6.0)</f>
        <v>-6</v>
      </c>
      <c r="GB340" s="16">
        <f>IFERROR(__xludf.DUMMYFUNCTION("""COMPUTED_VALUE"""),-8.0)</f>
        <v>-8</v>
      </c>
      <c r="GC340" s="16">
        <f>IFERROR(__xludf.DUMMYFUNCTION("""COMPUTED_VALUE"""),-6.0)</f>
        <v>-6</v>
      </c>
      <c r="GD340" s="16" t="s">
        <v>361</v>
      </c>
    </row>
    <row r="341">
      <c r="A341" s="16">
        <f>IFERROR(__xludf.DUMMYFUNCTION("""COMPUTED_VALUE"""),13327.0)</f>
        <v>13327</v>
      </c>
      <c r="B341" s="16" t="str">
        <f>IFERROR(__xludf.DUMMYFUNCTION("""COMPUTED_VALUE"""),"Ryan Bliss")</f>
        <v>Ryan Bliss</v>
      </c>
      <c r="C341" s="16">
        <f>IFERROR(__xludf.DUMMYFUNCTION("""COMPUTED_VALUE"""),0.98)</f>
        <v>0.98</v>
      </c>
      <c r="D341" s="16" t="str">
        <f>IFERROR(__xludf.DUMMYFUNCTION("""COMPUTED_VALUE"""),"R")</f>
        <v>R</v>
      </c>
      <c r="E341" s="16"/>
      <c r="F341" s="16"/>
      <c r="G341" s="16">
        <f>IFERROR(__xludf.DUMMYFUNCTION("""COMPUTED_VALUE"""),63.0)</f>
        <v>63</v>
      </c>
      <c r="H341" s="16">
        <f>IFERROR(__xludf.DUMMYFUNCTION("""COMPUTED_VALUE"""),5.0)</f>
        <v>5</v>
      </c>
      <c r="I341" s="16" t="str">
        <f>IFERROR(__xludf.DUMMYFUNCTION("""COMPUTED_VALUE"""),"1p20")</f>
        <v>1p20</v>
      </c>
      <c r="J341" s="16">
        <f>IFERROR(__xludf.DUMMYFUNCTION("""COMPUTED_VALUE"""),50.0)</f>
        <v>50</v>
      </c>
      <c r="K341" s="16">
        <f>IFERROR(__xludf.DUMMYFUNCTION("""COMPUTED_VALUE"""),37.0)</f>
        <v>37</v>
      </c>
      <c r="L341" s="16">
        <f>IFERROR(__xludf.DUMMYFUNCTION("""COMPUTED_VALUE"""),-2.0)</f>
        <v>-2</v>
      </c>
      <c r="M341" s="16">
        <f>IFERROR(__xludf.DUMMYFUNCTION("""COMPUTED_VALUE"""),-1.0)</f>
        <v>-1</v>
      </c>
      <c r="N341" s="16">
        <f>IFERROR(__xludf.DUMMYFUNCTION("""COMPUTED_VALUE"""),-2.0)</f>
        <v>-2</v>
      </c>
      <c r="O341" s="16">
        <f>IFERROR(__xludf.DUMMYFUNCTION("""COMPUTED_VALUE"""),-1.0)</f>
        <v>-1</v>
      </c>
      <c r="P341" s="16">
        <f>IFERROR(__xludf.DUMMYFUNCTION("""COMPUTED_VALUE"""),16.0)</f>
        <v>16</v>
      </c>
      <c r="Q341" s="16">
        <f>IFERROR(__xludf.DUMMYFUNCTION("""COMPUTED_VALUE"""),0.0)</f>
        <v>0</v>
      </c>
      <c r="R341" s="16">
        <f>IFERROR(__xludf.DUMMYFUNCTION("""COMPUTED_VALUE"""),2.0)</f>
        <v>2</v>
      </c>
      <c r="S341" s="16">
        <f>IFERROR(__xludf.DUMMYFUNCTION("""COMPUTED_VALUE"""),-2.0)</f>
        <v>-2</v>
      </c>
      <c r="T341" s="16">
        <f>IFERROR(__xludf.DUMMYFUNCTION("""COMPUTED_VALUE"""),2.0)</f>
        <v>2</v>
      </c>
      <c r="U341" s="16">
        <f>IFERROR(__xludf.DUMMYFUNCTION("""COMPUTED_VALUE"""),-2.0)</f>
        <v>-2</v>
      </c>
      <c r="V341" s="16">
        <f>IFERROR(__xludf.DUMMYFUNCTION("""COMPUTED_VALUE"""),15.9)</f>
        <v>15.9</v>
      </c>
      <c r="W341" s="16">
        <f>IFERROR(__xludf.DUMMYFUNCTION("""COMPUTED_VALUE"""),17.2)</f>
        <v>17.2</v>
      </c>
      <c r="X341" s="16">
        <f>IFERROR(__xludf.DUMMYFUNCTION("""COMPUTED_VALUE"""),-1.0)</f>
        <v>-1</v>
      </c>
      <c r="Y341" s="16">
        <f>IFERROR(__xludf.DUMMYFUNCTION("""COMPUTED_VALUE"""),-1.0)</f>
        <v>-1</v>
      </c>
      <c r="Z341" s="16">
        <f>IFERROR(__xludf.DUMMYFUNCTION("""COMPUTED_VALUE"""),-2.0)</f>
        <v>-2</v>
      </c>
      <c r="AA341" s="16">
        <f>IFERROR(__xludf.DUMMYFUNCTION("""COMPUTED_VALUE"""),-2.0)</f>
        <v>-2</v>
      </c>
      <c r="AB341" s="16">
        <f>IFERROR(__xludf.DUMMYFUNCTION("""COMPUTED_VALUE"""),34.9)</f>
        <v>34.9</v>
      </c>
      <c r="AC341" s="16">
        <f>IFERROR(__xludf.DUMMYFUNCTION("""COMPUTED_VALUE"""),20.2)</f>
        <v>20.2</v>
      </c>
      <c r="AD341" s="16">
        <f>IFERROR(__xludf.DUMMYFUNCTION("""COMPUTED_VALUE"""),1.0)</f>
        <v>1</v>
      </c>
      <c r="AE341" s="16">
        <f>IFERROR(__xludf.DUMMYFUNCTION("""COMPUTED_VALUE"""),-2.0)</f>
        <v>-2</v>
      </c>
      <c r="AF341" s="16">
        <f>IFERROR(__xludf.DUMMYFUNCTION("""COMPUTED_VALUE"""),5.0)</f>
        <v>5</v>
      </c>
      <c r="AG341" s="16">
        <f>IFERROR(__xludf.DUMMYFUNCTION("""COMPUTED_VALUE"""),-10.0)</f>
        <v>-10</v>
      </c>
      <c r="AH341" s="16">
        <f>IFERROR(__xludf.DUMMYFUNCTION("""COMPUTED_VALUE"""),35.3)</f>
        <v>35.3</v>
      </c>
      <c r="AI341" s="16">
        <f>IFERROR(__xludf.DUMMYFUNCTION("""COMPUTED_VALUE"""),28.3)</f>
        <v>28.3</v>
      </c>
      <c r="AJ341" s="16">
        <f>IFERROR(__xludf.DUMMYFUNCTION("""COMPUTED_VALUE"""),0.0)</f>
        <v>0</v>
      </c>
      <c r="AK341" s="16">
        <f>IFERROR(__xludf.DUMMYFUNCTION("""COMPUTED_VALUE"""),-1.0)</f>
        <v>-1</v>
      </c>
      <c r="AL341" s="16">
        <f>IFERROR(__xludf.DUMMYFUNCTION("""COMPUTED_VALUE"""),0.0)</f>
        <v>0</v>
      </c>
      <c r="AM341" s="16">
        <f>IFERROR(__xludf.DUMMYFUNCTION("""COMPUTED_VALUE"""),-5.0)</f>
        <v>-5</v>
      </c>
      <c r="AN341" s="16">
        <f>IFERROR(__xludf.DUMMYFUNCTION("""COMPUTED_VALUE"""),2.3)</f>
        <v>2.3</v>
      </c>
      <c r="AO341" s="16">
        <f>IFERROR(__xludf.DUMMYFUNCTION("""COMPUTED_VALUE"""),1.3)</f>
        <v>1.3</v>
      </c>
      <c r="AP341" s="16">
        <f>IFERROR(__xludf.DUMMYFUNCTION("""COMPUTED_VALUE"""),0.0)</f>
        <v>0</v>
      </c>
      <c r="AQ341" s="16">
        <f>IFERROR(__xludf.DUMMYFUNCTION("""COMPUTED_VALUE"""),-1.0)</f>
        <v>-1</v>
      </c>
      <c r="AR341" s="16">
        <f>IFERROR(__xludf.DUMMYFUNCTION("""COMPUTED_VALUE"""),0.0)</f>
        <v>0</v>
      </c>
      <c r="AS341" s="16">
        <f>IFERROR(__xludf.DUMMYFUNCTION("""COMPUTED_VALUE"""),-2.0)</f>
        <v>-2</v>
      </c>
      <c r="AT341" s="16">
        <f>IFERROR(__xludf.DUMMYFUNCTION("""COMPUTED_VALUE"""),4.0)</f>
        <v>4</v>
      </c>
      <c r="AU341" s="16">
        <f>IFERROR(__xludf.DUMMYFUNCTION("""COMPUTED_VALUE"""),1.0)</f>
        <v>1</v>
      </c>
      <c r="AV341" s="16">
        <f>IFERROR(__xludf.DUMMYFUNCTION("""COMPUTED_VALUE"""),4.0)</f>
        <v>4</v>
      </c>
      <c r="AW341" s="16">
        <f>IFERROR(__xludf.DUMMYFUNCTION("""COMPUTED_VALUE"""),1.0)</f>
        <v>1</v>
      </c>
      <c r="AX341" s="16">
        <f>IFERROR(__xludf.DUMMYFUNCTION("""COMPUTED_VALUE"""),2.0)</f>
        <v>2</v>
      </c>
      <c r="AY341" s="16">
        <f>IFERROR(__xludf.DUMMYFUNCTION("""COMPUTED_VALUE"""),-1.0)</f>
        <v>-1</v>
      </c>
      <c r="AZ341" s="16">
        <f>IFERROR(__xludf.DUMMYFUNCTION("""COMPUTED_VALUE"""),6.0)</f>
        <v>6</v>
      </c>
      <c r="BA341" s="16">
        <f>IFERROR(__xludf.DUMMYFUNCTION("""COMPUTED_VALUE"""),-3.0)</f>
        <v>-3</v>
      </c>
      <c r="BB341" s="16">
        <f>IFERROR(__xludf.DUMMYFUNCTION("""COMPUTED_VALUE"""),5.0)</f>
        <v>5</v>
      </c>
      <c r="BC341" s="16">
        <f>IFERROR(__xludf.DUMMYFUNCTION("""COMPUTED_VALUE"""),5.0)</f>
        <v>5</v>
      </c>
      <c r="BD341" s="16">
        <f>IFERROR(__xludf.DUMMYFUNCTION("""COMPUTED_VALUE"""),1.0)</f>
        <v>1</v>
      </c>
      <c r="BE341" s="16">
        <f>IFERROR(__xludf.DUMMYFUNCTION("""COMPUTED_VALUE"""),1.0)</f>
        <v>1</v>
      </c>
      <c r="BF341" s="16">
        <f>IFERROR(__xludf.DUMMYFUNCTION("""COMPUTED_VALUE"""),1.0)</f>
        <v>1</v>
      </c>
      <c r="BG341" s="16">
        <f>IFERROR(__xludf.DUMMYFUNCTION("""COMPUTED_VALUE"""),1.0)</f>
        <v>1</v>
      </c>
      <c r="BH341" s="16">
        <f>IFERROR(__xludf.DUMMYFUNCTION("""COMPUTED_VALUE"""),-4.0)</f>
        <v>-4</v>
      </c>
      <c r="BI341" s="16">
        <f>IFERROR(__xludf.DUMMYFUNCTION("""COMPUTED_VALUE"""),-6.0)</f>
        <v>-6</v>
      </c>
      <c r="BJ341" s="16">
        <f>IFERROR(__xludf.DUMMYFUNCTION("""COMPUTED_VALUE"""),9.0)</f>
        <v>9</v>
      </c>
      <c r="BK341" s="16">
        <f>IFERROR(__xludf.DUMMYFUNCTION("""COMPUTED_VALUE"""),12.0)</f>
        <v>12</v>
      </c>
      <c r="BL341" s="16">
        <f>IFERROR(__xludf.DUMMYFUNCTION("""COMPUTED_VALUE"""),0.0)</f>
        <v>0</v>
      </c>
      <c r="BM341" s="16">
        <f>IFERROR(__xludf.DUMMYFUNCTION("""COMPUTED_VALUE"""),0.0)</f>
        <v>0</v>
      </c>
      <c r="BN341" s="16">
        <f>IFERROR(__xludf.DUMMYFUNCTION("""COMPUTED_VALUE"""),0.0)</f>
        <v>0</v>
      </c>
      <c r="BO341" s="16">
        <f>IFERROR(__xludf.DUMMYFUNCTION("""COMPUTED_VALUE"""),0.0)</f>
        <v>0</v>
      </c>
      <c r="BP341" s="16">
        <f>IFERROR(__xludf.DUMMYFUNCTION("""COMPUTED_VALUE"""),3.0)</f>
        <v>3</v>
      </c>
      <c r="BQ341" s="16">
        <f>IFERROR(__xludf.DUMMYFUNCTION("""COMPUTED_VALUE"""),-8.0)</f>
        <v>-8</v>
      </c>
      <c r="BR341" s="16">
        <f>IFERROR(__xludf.DUMMYFUNCTION("""COMPUTED_VALUE"""),-5.0)</f>
        <v>-5</v>
      </c>
      <c r="BS341" s="16" t="str">
        <f>IFERROR(__xludf.DUMMYFUNCTION("""COMPUTED_VALUE"""),"*2-12/- (15-13)")</f>
        <v>*2-12/- (15-13)</v>
      </c>
      <c r="BT341" s="16" t="str">
        <f>IFERROR(__xludf.DUMMYFUNCTION("""COMPUTED_VALUE"""),"B")</f>
        <v>B</v>
      </c>
      <c r="BU341" s="16">
        <f>IFERROR(__xludf.DUMMYFUNCTION("""COMPUTED_VALUE"""),15.0)</f>
        <v>15</v>
      </c>
      <c r="BV341" s="16">
        <f>IFERROR(__xludf.DUMMYFUNCTION("""COMPUTED_VALUE"""),1.0)</f>
        <v>1</v>
      </c>
      <c r="BW341" s="16">
        <f>IFERROR(__xludf.DUMMYFUNCTION("""COMPUTED_VALUE"""),2.0)</f>
        <v>2</v>
      </c>
      <c r="BX341" s="16">
        <f>IFERROR(__xludf.DUMMYFUNCTION("""COMPUTED_VALUE"""),2.0)</f>
        <v>2</v>
      </c>
      <c r="BY341" s="16">
        <f>IFERROR(__xludf.DUMMYFUNCTION("""COMPUTED_VALUE"""),6.0)</f>
        <v>6</v>
      </c>
      <c r="BZ341" s="16" t="str">
        <f>IFERROR(__xludf.DUMMYFUNCTION("""COMPUTED_VALUE"""),"B")</f>
        <v>B</v>
      </c>
      <c r="CA341" s="16" t="str">
        <f>IFERROR(__xludf.DUMMYFUNCTION("""COMPUTED_VALUE"""),"D")</f>
        <v>D</v>
      </c>
      <c r="CB341" s="16">
        <f>IFERROR(__xludf.DUMMYFUNCTION("""COMPUTED_VALUE"""),1.0)</f>
        <v>1</v>
      </c>
      <c r="CC341" s="16">
        <f>IFERROR(__xludf.DUMMYFUNCTION("""COMPUTED_VALUE"""),0.0)</f>
        <v>0</v>
      </c>
      <c r="CD341" s="16">
        <f>IFERROR(__xludf.DUMMYFUNCTION("""COMPUTED_VALUE"""),1.0)</f>
        <v>1</v>
      </c>
      <c r="CE341" s="16">
        <f>IFERROR(__xludf.DUMMYFUNCTION("""COMPUTED_VALUE"""),0.0)</f>
        <v>0</v>
      </c>
      <c r="CF341" s="16">
        <f>IFERROR(__xludf.DUMMYFUNCTION("""COMPUTED_VALUE"""),1.0)</f>
        <v>1</v>
      </c>
      <c r="CG341" s="16">
        <f>IFERROR(__xludf.DUMMYFUNCTION("""COMPUTED_VALUE"""),10.0)</f>
        <v>10</v>
      </c>
      <c r="CH341" s="16">
        <f>IFERROR(__xludf.DUMMYFUNCTION("""COMPUTED_VALUE"""),-24.0)</f>
        <v>-24</v>
      </c>
      <c r="CI341" s="179">
        <f>IFERROR(__xludf.DUMMYFUNCTION("""COMPUTED_VALUE"""),-13.0)</f>
        <v>-13</v>
      </c>
      <c r="CJ341" s="16"/>
      <c r="CK341" s="16"/>
      <c r="CL341" s="16">
        <f>IFERROR(__xludf.DUMMYFUNCTION("""COMPUTED_VALUE"""),308.0)</f>
        <v>308</v>
      </c>
      <c r="CM341" s="16"/>
      <c r="CN341" s="16"/>
      <c r="CO341" s="16"/>
      <c r="CP341" s="16"/>
      <c r="CQ341" s="16"/>
      <c r="CR341" s="16" t="str">
        <f>IFERROR(__xludf.DUMMYFUNCTION("""COMPUTED_VALUE"""),"2b-3e8")</f>
        <v>2b-3e8</v>
      </c>
      <c r="CS341" s="16"/>
      <c r="CT341" s="16"/>
      <c r="CU341" s="16">
        <f>IFERROR(__xludf.DUMMYFUNCTION("""COMPUTED_VALUE"""),3.0)</f>
        <v>3</v>
      </c>
      <c r="CV341" s="16"/>
      <c r="CW341" s="16"/>
      <c r="CX341" s="16"/>
      <c r="CY341" s="16"/>
      <c r="CZ341" s="16"/>
      <c r="DA341" s="16"/>
      <c r="DB341" s="16"/>
      <c r="DC341" s="16">
        <f>IFERROR(__xludf.DUMMYFUNCTION("""COMPUTED_VALUE"""),8.0)</f>
        <v>8</v>
      </c>
      <c r="DD341" s="16"/>
      <c r="DE341" s="16"/>
      <c r="DF341" s="16"/>
      <c r="DG341" s="16"/>
      <c r="DH341" s="16"/>
      <c r="DI341" s="16"/>
      <c r="DJ341" s="16"/>
      <c r="DK341" s="16">
        <f>IFERROR(__xludf.DUMMYFUNCTION("""COMPUTED_VALUE"""),0.0)</f>
        <v>0</v>
      </c>
      <c r="DL341" s="16"/>
      <c r="DM341" s="16"/>
      <c r="DN341" s="16"/>
      <c r="DO341" s="16"/>
      <c r="DP341" s="16"/>
      <c r="DQ341" s="16"/>
      <c r="DR341" s="16"/>
      <c r="DS341" s="16">
        <f>IFERROR(__xludf.DUMMYFUNCTION("""COMPUTED_VALUE"""),3.0)</f>
        <v>3</v>
      </c>
      <c r="DT341" s="16"/>
      <c r="DU341" s="16"/>
      <c r="DV341" s="16"/>
      <c r="DW341" s="16"/>
      <c r="DX341" s="16"/>
      <c r="DY341" s="16"/>
      <c r="DZ341" s="16"/>
      <c r="EA341" s="16">
        <f>IFERROR(__xludf.DUMMYFUNCTION("""COMPUTED_VALUE"""),3.0)</f>
        <v>3</v>
      </c>
      <c r="EB341" s="16"/>
      <c r="EC341" s="16"/>
      <c r="ED341" s="16"/>
      <c r="EE341" s="16"/>
      <c r="EF341" s="16"/>
      <c r="EG341" s="179"/>
      <c r="EH341" s="179"/>
      <c r="EI341" s="179">
        <f>IFERROR(__xludf.DUMMYFUNCTION("""COMPUTED_VALUE"""),-10.0)</f>
        <v>-10</v>
      </c>
      <c r="EJ341" s="179"/>
      <c r="EK341" s="179"/>
      <c r="EL341" s="179"/>
      <c r="EM341" s="179"/>
      <c r="EN341" s="179"/>
      <c r="EO341" s="16"/>
      <c r="EP341" s="16">
        <f>IFERROR(__xludf.DUMMYFUNCTION("""COMPUTED_VALUE"""),1.0)</f>
        <v>1</v>
      </c>
      <c r="EQ341" s="16">
        <f>IFERROR(__xludf.DUMMYFUNCTION("""COMPUTED_VALUE"""),4.0)</f>
        <v>4</v>
      </c>
      <c r="ER341" s="16">
        <f>IFERROR(__xludf.DUMMYFUNCTION("""COMPUTED_VALUE"""),-4.0)</f>
        <v>-4</v>
      </c>
      <c r="ES341" s="16"/>
      <c r="ET341" s="16"/>
      <c r="EU341" s="16"/>
      <c r="EV341" s="16"/>
      <c r="EW341" s="16"/>
      <c r="EX341" s="180"/>
      <c r="EY341" s="180"/>
      <c r="EZ341" s="180">
        <f>IFERROR(__xludf.DUMMYFUNCTION("""COMPUTED_VALUE"""),0.2)</f>
        <v>0.2</v>
      </c>
      <c r="FA341" s="180"/>
      <c r="FB341" s="180"/>
      <c r="FC341" s="180"/>
      <c r="FD341" s="180"/>
      <c r="FE341" s="180"/>
      <c r="FF341" s="180"/>
      <c r="FG341" s="180"/>
      <c r="FH341" s="180">
        <f>IFERROR(__xludf.DUMMYFUNCTION("""COMPUTED_VALUE"""),0.046296296296296294)</f>
        <v>0.0462962963</v>
      </c>
      <c r="FI341" s="180"/>
      <c r="FJ341" s="180"/>
      <c r="FK341" s="180"/>
      <c r="FL341" s="180"/>
      <c r="FM341" s="180"/>
      <c r="FN341" s="16"/>
      <c r="FO341" s="16"/>
      <c r="FP341" s="16">
        <f>IFERROR(__xludf.DUMMYFUNCTION("""COMPUTED_VALUE"""),0.7629629629629631)</f>
        <v>0.762962963</v>
      </c>
      <c r="FQ341" s="16"/>
      <c r="FR341" s="16"/>
      <c r="FS341" s="16"/>
      <c r="FT341" s="16"/>
      <c r="FU341" s="16"/>
      <c r="FV341" s="16"/>
      <c r="FW341" s="16"/>
      <c r="FX341" s="16">
        <f>IFERROR(__xludf.DUMMYFUNCTION("""COMPUTED_VALUE"""),-1.0)</f>
        <v>-1</v>
      </c>
      <c r="FY341" s="16"/>
      <c r="FZ341" s="16"/>
      <c r="GA341" s="16"/>
      <c r="GB341" s="16"/>
      <c r="GC341" s="16"/>
      <c r="GD341" s="16" t="s">
        <v>176</v>
      </c>
    </row>
    <row r="342">
      <c r="A342" s="16">
        <f>IFERROR(__xludf.DUMMYFUNCTION("""COMPUTED_VALUE"""),12762.0)</f>
        <v>12762</v>
      </c>
      <c r="B342" s="16" t="str">
        <f>IFERROR(__xludf.DUMMYFUNCTION("""COMPUTED_VALUE"""),"Dominic Canzone")</f>
        <v>Dominic Canzone</v>
      </c>
      <c r="C342" s="16">
        <f>IFERROR(__xludf.DUMMYFUNCTION("""COMPUTED_VALUE"""),0.19)</f>
        <v>0.19</v>
      </c>
      <c r="D342" s="16" t="str">
        <f>IFERROR(__xludf.DUMMYFUNCTION("""COMPUTED_VALUE"""),"L")</f>
        <v>L</v>
      </c>
      <c r="E342" s="16"/>
      <c r="F342" s="16"/>
      <c r="G342" s="16">
        <f>IFERROR(__xludf.DUMMYFUNCTION("""COMPUTED_VALUE"""),168.0)</f>
        <v>168</v>
      </c>
      <c r="H342" s="16">
        <f>IFERROR(__xludf.DUMMYFUNCTION("""COMPUTED_VALUE"""),18.0)</f>
        <v>18</v>
      </c>
      <c r="I342" s="16" t="str">
        <f>IFERROR(__xludf.DUMMYFUNCTION("""COMPUTED_VALUE"""),"4p30")</f>
        <v>4p30</v>
      </c>
      <c r="J342" s="16">
        <f>IFERROR(__xludf.DUMMYFUNCTION("""COMPUTED_VALUE"""),54.0)</f>
        <v>54</v>
      </c>
      <c r="K342" s="16">
        <f>IFERROR(__xludf.DUMMYFUNCTION("""COMPUTED_VALUE"""),36.0)</f>
        <v>36</v>
      </c>
      <c r="L342" s="16">
        <f>IFERROR(__xludf.DUMMYFUNCTION("""COMPUTED_VALUE"""),-2.0)</f>
        <v>-2</v>
      </c>
      <c r="M342" s="16">
        <f>IFERROR(__xludf.DUMMYFUNCTION("""COMPUTED_VALUE"""),-1.0)</f>
        <v>-1</v>
      </c>
      <c r="N342" s="16">
        <f>IFERROR(__xludf.DUMMYFUNCTION("""COMPUTED_VALUE"""),-2.0)</f>
        <v>-2</v>
      </c>
      <c r="O342" s="16">
        <f>IFERROR(__xludf.DUMMYFUNCTION("""COMPUTED_VALUE"""),-1.0)</f>
        <v>-1</v>
      </c>
      <c r="P342" s="16">
        <f>IFERROR(__xludf.DUMMYFUNCTION("""COMPUTED_VALUE"""),7.0)</f>
        <v>7</v>
      </c>
      <c r="Q342" s="16">
        <f>IFERROR(__xludf.DUMMYFUNCTION("""COMPUTED_VALUE"""),9.0)</f>
        <v>9</v>
      </c>
      <c r="R342" s="16">
        <f>IFERROR(__xludf.DUMMYFUNCTION("""COMPUTED_VALUE"""),-1.0)</f>
        <v>-1</v>
      </c>
      <c r="S342" s="16">
        <f>IFERROR(__xludf.DUMMYFUNCTION("""COMPUTED_VALUE"""),0.0)</f>
        <v>0</v>
      </c>
      <c r="T342" s="16">
        <f>IFERROR(__xludf.DUMMYFUNCTION("""COMPUTED_VALUE"""),-1.0)</f>
        <v>-1</v>
      </c>
      <c r="U342" s="16">
        <f>IFERROR(__xludf.DUMMYFUNCTION("""COMPUTED_VALUE"""),0.0)</f>
        <v>0</v>
      </c>
      <c r="V342" s="16">
        <f>IFERROR(__xludf.DUMMYFUNCTION("""COMPUTED_VALUE"""),0.0)</f>
        <v>0</v>
      </c>
      <c r="W342" s="16">
        <f>IFERROR(__xludf.DUMMYFUNCTION("""COMPUTED_VALUE"""),13.7)</f>
        <v>13.7</v>
      </c>
      <c r="X342" s="16">
        <f>IFERROR(__xludf.DUMMYFUNCTION("""COMPUTED_VALUE"""),-2.0)</f>
        <v>-2</v>
      </c>
      <c r="Y342" s="16">
        <f>IFERROR(__xludf.DUMMYFUNCTION("""COMPUTED_VALUE"""),-1.0)</f>
        <v>-1</v>
      </c>
      <c r="Z342" s="16">
        <f>IFERROR(__xludf.DUMMYFUNCTION("""COMPUTED_VALUE"""),-4.0)</f>
        <v>-4</v>
      </c>
      <c r="AA342" s="16">
        <f>IFERROR(__xludf.DUMMYFUNCTION("""COMPUTED_VALUE"""),-2.0)</f>
        <v>-2</v>
      </c>
      <c r="AB342" s="16">
        <f>IFERROR(__xludf.DUMMYFUNCTION("""COMPUTED_VALUE"""),7.0)</f>
        <v>7</v>
      </c>
      <c r="AC342" s="16">
        <f>IFERROR(__xludf.DUMMYFUNCTION("""COMPUTED_VALUE"""),22.7)</f>
        <v>22.7</v>
      </c>
      <c r="AD342" s="16">
        <f>IFERROR(__xludf.DUMMYFUNCTION("""COMPUTED_VALUE"""),-2.0)</f>
        <v>-2</v>
      </c>
      <c r="AE342" s="16">
        <f>IFERROR(__xludf.DUMMYFUNCTION("""COMPUTED_VALUE"""),-1.0)</f>
        <v>-1</v>
      </c>
      <c r="AF342" s="16">
        <f>IFERROR(__xludf.DUMMYFUNCTION("""COMPUTED_VALUE"""),-10.0)</f>
        <v>-10</v>
      </c>
      <c r="AG342" s="16">
        <f>IFERROR(__xludf.DUMMYFUNCTION("""COMPUTED_VALUE"""),-5.0)</f>
        <v>-5</v>
      </c>
      <c r="AH342" s="16">
        <f>IFERROR(__xludf.DUMMYFUNCTION("""COMPUTED_VALUE"""),0.0)</f>
        <v>0</v>
      </c>
      <c r="AI342" s="16">
        <f>IFERROR(__xludf.DUMMYFUNCTION("""COMPUTED_VALUE"""),29.8)</f>
        <v>29.8</v>
      </c>
      <c r="AJ342" s="16">
        <f>IFERROR(__xludf.DUMMYFUNCTION("""COMPUTED_VALUE"""),-2.0)</f>
        <v>-2</v>
      </c>
      <c r="AK342" s="16">
        <f>IFERROR(__xludf.DUMMYFUNCTION("""COMPUTED_VALUE"""),0.0)</f>
        <v>0</v>
      </c>
      <c r="AL342" s="16">
        <f>IFERROR(__xludf.DUMMYFUNCTION("""COMPUTED_VALUE"""),-10.0)</f>
        <v>-10</v>
      </c>
      <c r="AM342" s="16">
        <f>IFERROR(__xludf.DUMMYFUNCTION("""COMPUTED_VALUE"""),0.0)</f>
        <v>0</v>
      </c>
      <c r="AN342" s="16">
        <f>IFERROR(__xludf.DUMMYFUNCTION("""COMPUTED_VALUE"""),0.0)</f>
        <v>0</v>
      </c>
      <c r="AO342" s="16">
        <f>IFERROR(__xludf.DUMMYFUNCTION("""COMPUTED_VALUE"""),4.2)</f>
        <v>4.2</v>
      </c>
      <c r="AP342" s="16">
        <f>IFERROR(__xludf.DUMMYFUNCTION("""COMPUTED_VALUE"""),-2.0)</f>
        <v>-2</v>
      </c>
      <c r="AQ342" s="16">
        <f>IFERROR(__xludf.DUMMYFUNCTION("""COMPUTED_VALUE"""),2.0)</f>
        <v>2</v>
      </c>
      <c r="AR342" s="16">
        <f>IFERROR(__xludf.DUMMYFUNCTION("""COMPUTED_VALUE"""),-4.0)</f>
        <v>-4</v>
      </c>
      <c r="AS342" s="16">
        <f>IFERROR(__xludf.DUMMYFUNCTION("""COMPUTED_VALUE"""),4.0)</f>
        <v>4</v>
      </c>
      <c r="AT342" s="16"/>
      <c r="AU342" s="16">
        <f>IFERROR(__xludf.DUMMYFUNCTION("""COMPUTED_VALUE"""),7.0)</f>
        <v>7</v>
      </c>
      <c r="AV342" s="16">
        <f>IFERROR(__xludf.DUMMYFUNCTION("""COMPUTED_VALUE"""),-3.0)</f>
        <v>-3</v>
      </c>
      <c r="AW342" s="16">
        <f>IFERROR(__xludf.DUMMYFUNCTION("""COMPUTED_VALUE"""),7.0)</f>
        <v>7</v>
      </c>
      <c r="AX342" s="16">
        <f>IFERROR(__xludf.DUMMYFUNCTION("""COMPUTED_VALUE"""),-3.0)</f>
        <v>-3</v>
      </c>
      <c r="AY342" s="16">
        <f>IFERROR(__xludf.DUMMYFUNCTION("""COMPUTED_VALUE"""),3.0)</f>
        <v>3</v>
      </c>
      <c r="AZ342" s="16">
        <f>IFERROR(__xludf.DUMMYFUNCTION("""COMPUTED_VALUE"""),-9.0)</f>
        <v>-9</v>
      </c>
      <c r="BA342" s="16">
        <f>IFERROR(__xludf.DUMMYFUNCTION("""COMPUTED_VALUE"""),9.0)</f>
        <v>9</v>
      </c>
      <c r="BB342" s="16">
        <f>IFERROR(__xludf.DUMMYFUNCTION("""COMPUTED_VALUE"""),0.0)</f>
        <v>0</v>
      </c>
      <c r="BC342" s="16">
        <f>IFERROR(__xludf.DUMMYFUNCTION("""COMPUTED_VALUE"""),5.0)</f>
        <v>5</v>
      </c>
      <c r="BD342" s="16">
        <f>IFERROR(__xludf.DUMMYFUNCTION("""COMPUTED_VALUE"""),0.0)</f>
        <v>0</v>
      </c>
      <c r="BE342" s="16">
        <f>IFERROR(__xludf.DUMMYFUNCTION("""COMPUTED_VALUE"""),1.0)</f>
        <v>1</v>
      </c>
      <c r="BF342" s="16">
        <f>IFERROR(__xludf.DUMMYFUNCTION("""COMPUTED_VALUE"""),0.0)</f>
        <v>0</v>
      </c>
      <c r="BG342" s="16">
        <f>IFERROR(__xludf.DUMMYFUNCTION("""COMPUTED_VALUE"""),1.0)</f>
        <v>1</v>
      </c>
      <c r="BH342" s="16">
        <f>IFERROR(__xludf.DUMMYFUNCTION("""COMPUTED_VALUE"""),0.0)</f>
        <v>0</v>
      </c>
      <c r="BI342" s="16">
        <f>IFERROR(__xludf.DUMMYFUNCTION("""COMPUTED_VALUE"""),-3.0)</f>
        <v>-3</v>
      </c>
      <c r="BJ342" s="16">
        <f>IFERROR(__xludf.DUMMYFUNCTION("""COMPUTED_VALUE"""),21.0)</f>
        <v>21</v>
      </c>
      <c r="BK342" s="16">
        <f>IFERROR(__xludf.DUMMYFUNCTION("""COMPUTED_VALUE"""),20.0)</f>
        <v>20</v>
      </c>
      <c r="BL342" s="16">
        <f>IFERROR(__xludf.DUMMYFUNCTION("""COMPUTED_VALUE"""),-2.0)</f>
        <v>-2</v>
      </c>
      <c r="BM342" s="16">
        <f>IFERROR(__xludf.DUMMYFUNCTION("""COMPUTED_VALUE"""),-2.0)</f>
        <v>-2</v>
      </c>
      <c r="BN342" s="16">
        <f>IFERROR(__xludf.DUMMYFUNCTION("""COMPUTED_VALUE"""),-4.0)</f>
        <v>-4</v>
      </c>
      <c r="BO342" s="16">
        <f>IFERROR(__xludf.DUMMYFUNCTION("""COMPUTED_VALUE"""),-4.0)</f>
        <v>-4</v>
      </c>
      <c r="BP342" s="16">
        <f>IFERROR(__xludf.DUMMYFUNCTION("""COMPUTED_VALUE"""),-16.0)</f>
        <v>-16</v>
      </c>
      <c r="BQ342" s="16">
        <f>IFERROR(__xludf.DUMMYFUNCTION("""COMPUTED_VALUE"""),1.0)</f>
        <v>1</v>
      </c>
      <c r="BR342" s="16">
        <f>IFERROR(__xludf.DUMMYFUNCTION("""COMPUTED_VALUE"""),-15.0)</f>
        <v>-15</v>
      </c>
      <c r="BS342" s="16" t="str">
        <f>IFERROR(__xludf.DUMMYFUNCTION("""COMPUTED_VALUE"""),"2/- (20-6)")</f>
        <v>2/- (20-6)</v>
      </c>
      <c r="BT342" s="16" t="str">
        <f>IFERROR(__xludf.DUMMYFUNCTION("""COMPUTED_VALUE"""),"E")</f>
        <v>E</v>
      </c>
      <c r="BU342" s="16">
        <f>IFERROR(__xludf.DUMMYFUNCTION("""COMPUTED_VALUE"""),11.0)</f>
        <v>11</v>
      </c>
      <c r="BV342" s="16">
        <f>IFERROR(__xludf.DUMMYFUNCTION("""COMPUTED_VALUE"""),0.0)</f>
        <v>0</v>
      </c>
      <c r="BW342" s="16">
        <f>IFERROR(__xludf.DUMMYFUNCTION("""COMPUTED_VALUE"""),0.0)</f>
        <v>0</v>
      </c>
      <c r="BX342" s="16">
        <f>IFERROR(__xludf.DUMMYFUNCTION("""COMPUTED_VALUE"""),0.0)</f>
        <v>0</v>
      </c>
      <c r="BY342" s="16">
        <f>IFERROR(__xludf.DUMMYFUNCTION("""COMPUTED_VALUE"""),0.0)</f>
        <v>0</v>
      </c>
      <c r="BZ342" s="16" t="str">
        <f>IFERROR(__xludf.DUMMYFUNCTION("""COMPUTED_VALUE"""),"D")</f>
        <v>D</v>
      </c>
      <c r="CA342" s="16" t="str">
        <f>IFERROR(__xludf.DUMMYFUNCTION("""COMPUTED_VALUE"""),"D")</f>
        <v>D</v>
      </c>
      <c r="CB342" s="16">
        <f>IFERROR(__xludf.DUMMYFUNCTION("""COMPUTED_VALUE"""),0.0)</f>
        <v>0</v>
      </c>
      <c r="CC342" s="16">
        <f>IFERROR(__xludf.DUMMYFUNCTION("""COMPUTED_VALUE"""),0.0)</f>
        <v>0</v>
      </c>
      <c r="CD342" s="16">
        <f>IFERROR(__xludf.DUMMYFUNCTION("""COMPUTED_VALUE"""),0.0)</f>
        <v>0</v>
      </c>
      <c r="CE342" s="16">
        <f>IFERROR(__xludf.DUMMYFUNCTION("""COMPUTED_VALUE"""),0.0)</f>
        <v>0</v>
      </c>
      <c r="CF342" s="16">
        <f>IFERROR(__xludf.DUMMYFUNCTION("""COMPUTED_VALUE"""),4.0)</f>
        <v>4</v>
      </c>
      <c r="CG342" s="16">
        <f>IFERROR(__xludf.DUMMYFUNCTION("""COMPUTED_VALUE"""),-44.0)</f>
        <v>-44</v>
      </c>
      <c r="CH342" s="16">
        <f>IFERROR(__xludf.DUMMYFUNCTION("""COMPUTED_VALUE"""),2.0)</f>
        <v>2</v>
      </c>
      <c r="CI342" s="179">
        <f>IFERROR(__xludf.DUMMYFUNCTION("""COMPUTED_VALUE"""),-13.0)</f>
        <v>-13</v>
      </c>
      <c r="CJ342" s="16"/>
      <c r="CK342" s="16"/>
      <c r="CL342" s="16"/>
      <c r="CM342" s="16"/>
      <c r="CN342" s="16"/>
      <c r="CO342" s="16">
        <f>IFERROR(__xludf.DUMMYFUNCTION("""COMPUTED_VALUE"""),301.0)</f>
        <v>301</v>
      </c>
      <c r="CP342" s="16"/>
      <c r="CQ342" s="16">
        <f>IFERROR(__xludf.DUMMYFUNCTION("""COMPUTED_VALUE"""),401.0)</f>
        <v>401</v>
      </c>
      <c r="CR342" s="16" t="str">
        <f>IFERROR(__xludf.DUMMYFUNCTION("""COMPUTED_VALUE"""),"rf-4(+2)e1 lf-3e1")</f>
        <v>rf-4(+2)e1 lf-3e1</v>
      </c>
      <c r="CS342" s="16"/>
      <c r="CT342" s="16"/>
      <c r="CU342" s="16"/>
      <c r="CV342" s="16"/>
      <c r="CW342" s="16"/>
      <c r="CX342" s="16">
        <f>IFERROR(__xludf.DUMMYFUNCTION("""COMPUTED_VALUE"""),3.0)</f>
        <v>3</v>
      </c>
      <c r="CY342" s="16"/>
      <c r="CZ342" s="16">
        <f>IFERROR(__xludf.DUMMYFUNCTION("""COMPUTED_VALUE"""),4.0)</f>
        <v>4</v>
      </c>
      <c r="DA342" s="16"/>
      <c r="DB342" s="16"/>
      <c r="DC342" s="16"/>
      <c r="DD342" s="16"/>
      <c r="DE342" s="16"/>
      <c r="DF342" s="16">
        <f>IFERROR(__xludf.DUMMYFUNCTION("""COMPUTED_VALUE"""),1.0)</f>
        <v>1</v>
      </c>
      <c r="DG342" s="16"/>
      <c r="DH342" s="16">
        <f>IFERROR(__xludf.DUMMYFUNCTION("""COMPUTED_VALUE"""),1.0)</f>
        <v>1</v>
      </c>
      <c r="DI342" s="16"/>
      <c r="DJ342" s="16"/>
      <c r="DK342" s="16"/>
      <c r="DL342" s="16"/>
      <c r="DM342" s="16"/>
      <c r="DN342" s="16">
        <f>IFERROR(__xludf.DUMMYFUNCTION("""COMPUTED_VALUE"""),0.0)</f>
        <v>0</v>
      </c>
      <c r="DO342" s="16"/>
      <c r="DP342" s="16">
        <f>IFERROR(__xludf.DUMMYFUNCTION("""COMPUTED_VALUE"""),-1.0)</f>
        <v>-1</v>
      </c>
      <c r="DQ342" s="16"/>
      <c r="DR342" s="16"/>
      <c r="DS342" s="16"/>
      <c r="DT342" s="16"/>
      <c r="DU342" s="16"/>
      <c r="DV342" s="16">
        <f>IFERROR(__xludf.DUMMYFUNCTION("""COMPUTED_VALUE"""),4.0)</f>
        <v>4</v>
      </c>
      <c r="DW342" s="16"/>
      <c r="DX342" s="16">
        <f>IFERROR(__xludf.DUMMYFUNCTION("""COMPUTED_VALUE"""),4.0)</f>
        <v>4</v>
      </c>
      <c r="DY342" s="16"/>
      <c r="DZ342" s="16"/>
      <c r="EA342" s="16"/>
      <c r="EB342" s="16"/>
      <c r="EC342" s="16"/>
      <c r="ED342" s="16">
        <f>IFERROR(__xludf.DUMMYFUNCTION("""COMPUTED_VALUE"""),4.0)</f>
        <v>4</v>
      </c>
      <c r="EE342" s="16"/>
      <c r="EF342" s="16">
        <f>IFERROR(__xludf.DUMMYFUNCTION("""COMPUTED_VALUE"""),3.0)</f>
        <v>3</v>
      </c>
      <c r="EG342" s="179"/>
      <c r="EH342" s="179"/>
      <c r="EI342" s="179"/>
      <c r="EJ342" s="179"/>
      <c r="EK342" s="179"/>
      <c r="EL342" s="179">
        <f>IFERROR(__xludf.DUMMYFUNCTION("""COMPUTED_VALUE"""),-9.0)</f>
        <v>-9</v>
      </c>
      <c r="EM342" s="179"/>
      <c r="EN342" s="179">
        <f>IFERROR(__xludf.DUMMYFUNCTION("""COMPUTED_VALUE"""),-10.0)</f>
        <v>-10</v>
      </c>
      <c r="EO342" s="16"/>
      <c r="EP342" s="16">
        <f>IFERROR(__xludf.DUMMYFUNCTION("""COMPUTED_VALUE"""),1.0)</f>
        <v>1</v>
      </c>
      <c r="EQ342" s="16">
        <f>IFERROR(__xludf.DUMMYFUNCTION("""COMPUTED_VALUE"""),-1.0)</f>
        <v>-1</v>
      </c>
      <c r="ER342" s="16">
        <f>IFERROR(__xludf.DUMMYFUNCTION("""COMPUTED_VALUE"""),-2.0)</f>
        <v>-2</v>
      </c>
      <c r="ES342" s="16"/>
      <c r="ET342" s="16"/>
      <c r="EU342" s="16"/>
      <c r="EV342" s="16"/>
      <c r="EW342" s="16"/>
      <c r="EX342" s="180"/>
      <c r="EY342" s="180"/>
      <c r="EZ342" s="180"/>
      <c r="FA342" s="180"/>
      <c r="FB342" s="180"/>
      <c r="FC342" s="180">
        <f>IFERROR(__xludf.DUMMYFUNCTION("""COMPUTED_VALUE"""),0.3)</f>
        <v>0.3</v>
      </c>
      <c r="FD342" s="180"/>
      <c r="FE342" s="180">
        <f>IFERROR(__xludf.DUMMYFUNCTION("""COMPUTED_VALUE"""),0.55)</f>
        <v>0.55</v>
      </c>
      <c r="FF342" s="180"/>
      <c r="FG342" s="180"/>
      <c r="FH342" s="180"/>
      <c r="FI342" s="180"/>
      <c r="FJ342" s="180"/>
      <c r="FK342" s="180">
        <f>IFERROR(__xludf.DUMMYFUNCTION("""COMPUTED_VALUE"""),0.019)</f>
        <v>0.019</v>
      </c>
      <c r="FL342" s="180"/>
      <c r="FM342" s="180">
        <f>IFERROR(__xludf.DUMMYFUNCTION("""COMPUTED_VALUE"""),0.019)</f>
        <v>0.019</v>
      </c>
      <c r="FN342" s="16"/>
      <c r="FO342" s="16"/>
      <c r="FP342" s="16"/>
      <c r="FQ342" s="16"/>
      <c r="FR342" s="16"/>
      <c r="FS342" s="16">
        <f>IFERROR(__xludf.DUMMYFUNCTION("""COMPUTED_VALUE"""),0.6867)</f>
        <v>0.6867</v>
      </c>
      <c r="FT342" s="16"/>
      <c r="FU342" s="16">
        <f>IFERROR(__xludf.DUMMYFUNCTION("""COMPUTED_VALUE"""),0.44144999999999995)</f>
        <v>0.44145</v>
      </c>
      <c r="FV342" s="16"/>
      <c r="FW342" s="16"/>
      <c r="FX342" s="16"/>
      <c r="FY342" s="16"/>
      <c r="FZ342" s="16"/>
      <c r="GA342" s="16">
        <f>IFERROR(__xludf.DUMMYFUNCTION("""COMPUTED_VALUE"""),-5.0)</f>
        <v>-5</v>
      </c>
      <c r="GB342" s="16"/>
      <c r="GC342" s="16">
        <f>IFERROR(__xludf.DUMMYFUNCTION("""COMPUTED_VALUE"""),-9.0)</f>
        <v>-9</v>
      </c>
      <c r="GD342" s="16" t="s">
        <v>1465</v>
      </c>
    </row>
    <row r="343">
      <c r="A343" s="16">
        <f>IFERROR(__xludf.DUMMYFUNCTION("""COMPUTED_VALUE"""),13310.0)</f>
        <v>13310</v>
      </c>
      <c r="B343" s="16" t="str">
        <f>IFERROR(__xludf.DUMMYFUNCTION("""COMPUTED_VALUE"""),"Richie Palacios")</f>
        <v>Richie Palacios</v>
      </c>
      <c r="C343" s="16">
        <f>IFERROR(__xludf.DUMMYFUNCTION("""COMPUTED_VALUE"""),0.99)</f>
        <v>0.99</v>
      </c>
      <c r="D343" s="16" t="str">
        <f>IFERROR(__xludf.DUMMYFUNCTION("""COMPUTED_VALUE"""),"L")</f>
        <v>L</v>
      </c>
      <c r="E343" s="16"/>
      <c r="F343" s="16"/>
      <c r="G343" s="16">
        <f>IFERROR(__xludf.DUMMYFUNCTION("""COMPUTED_VALUE"""),264.0)</f>
        <v>264</v>
      </c>
      <c r="H343" s="16">
        <f>IFERROR(__xludf.DUMMYFUNCTION("""COMPUTED_VALUE"""),45.0)</f>
        <v>45</v>
      </c>
      <c r="I343" s="16" t="str">
        <f>IFERROR(__xludf.DUMMYFUNCTION("""COMPUTED_VALUE"""),"4p50")</f>
        <v>4p50</v>
      </c>
      <c r="J343" s="16">
        <f>IFERROR(__xludf.DUMMYFUNCTION("""COMPUTED_VALUE"""),35.0)</f>
        <v>35</v>
      </c>
      <c r="K343" s="16">
        <f>IFERROR(__xludf.DUMMYFUNCTION("""COMPUTED_VALUE"""),20.0)</f>
        <v>20</v>
      </c>
      <c r="L343" s="16">
        <f>IFERROR(__xludf.DUMMYFUNCTION("""COMPUTED_VALUE"""),-1.0)</f>
        <v>-1</v>
      </c>
      <c r="M343" s="16">
        <f>IFERROR(__xludf.DUMMYFUNCTION("""COMPUTED_VALUE"""),0.0)</f>
        <v>0</v>
      </c>
      <c r="N343" s="16">
        <f>IFERROR(__xludf.DUMMYFUNCTION("""COMPUTED_VALUE"""),-1.0)</f>
        <v>-1</v>
      </c>
      <c r="O343" s="16">
        <f>IFERROR(__xludf.DUMMYFUNCTION("""COMPUTED_VALUE"""),0.0)</f>
        <v>0</v>
      </c>
      <c r="P343" s="16">
        <f>IFERROR(__xludf.DUMMYFUNCTION("""COMPUTED_VALUE"""),12.0)</f>
        <v>12</v>
      </c>
      <c r="Q343" s="16">
        <f>IFERROR(__xludf.DUMMYFUNCTION("""COMPUTED_VALUE"""),21.0)</f>
        <v>21</v>
      </c>
      <c r="R343" s="16">
        <f>IFERROR(__xludf.DUMMYFUNCTION("""COMPUTED_VALUE"""),1.0)</f>
        <v>1</v>
      </c>
      <c r="S343" s="16">
        <f>IFERROR(__xludf.DUMMYFUNCTION("""COMPUTED_VALUE"""),3.0)</f>
        <v>3</v>
      </c>
      <c r="T343" s="16">
        <f>IFERROR(__xludf.DUMMYFUNCTION("""COMPUTED_VALUE"""),1.0)</f>
        <v>1</v>
      </c>
      <c r="U343" s="16">
        <f>IFERROR(__xludf.DUMMYFUNCTION("""COMPUTED_VALUE"""),3.0)</f>
        <v>3</v>
      </c>
      <c r="V343" s="16">
        <f>IFERROR(__xludf.DUMMYFUNCTION("""COMPUTED_VALUE"""),15.8)</f>
        <v>15.8</v>
      </c>
      <c r="W343" s="16">
        <f>IFERROR(__xludf.DUMMYFUNCTION("""COMPUTED_VALUE"""),15.0)</f>
        <v>15</v>
      </c>
      <c r="X343" s="16">
        <f>IFERROR(__xludf.DUMMYFUNCTION("""COMPUTED_VALUE"""),-1.0)</f>
        <v>-1</v>
      </c>
      <c r="Y343" s="16">
        <f>IFERROR(__xludf.DUMMYFUNCTION("""COMPUTED_VALUE"""),-1.0)</f>
        <v>-1</v>
      </c>
      <c r="Z343" s="16">
        <f>IFERROR(__xludf.DUMMYFUNCTION("""COMPUTED_VALUE"""),-2.0)</f>
        <v>-2</v>
      </c>
      <c r="AA343" s="16">
        <f>IFERROR(__xludf.DUMMYFUNCTION("""COMPUTED_VALUE"""),-2.0)</f>
        <v>-2</v>
      </c>
      <c r="AB343" s="16">
        <f>IFERROR(__xludf.DUMMYFUNCTION("""COMPUTED_VALUE"""),31.8)</f>
        <v>31.8</v>
      </c>
      <c r="AC343" s="16">
        <f>IFERROR(__xludf.DUMMYFUNCTION("""COMPUTED_VALUE"""),40.0)</f>
        <v>40</v>
      </c>
      <c r="AD343" s="16">
        <f>IFERROR(__xludf.DUMMYFUNCTION("""COMPUTED_VALUE"""),0.0)</f>
        <v>0</v>
      </c>
      <c r="AE343" s="16">
        <f>IFERROR(__xludf.DUMMYFUNCTION("""COMPUTED_VALUE"""),1.0)</f>
        <v>1</v>
      </c>
      <c r="AF343" s="16">
        <f>IFERROR(__xludf.DUMMYFUNCTION("""COMPUTED_VALUE"""),0.0)</f>
        <v>0</v>
      </c>
      <c r="AG343" s="16">
        <f>IFERROR(__xludf.DUMMYFUNCTION("""COMPUTED_VALUE"""),5.0)</f>
        <v>5</v>
      </c>
      <c r="AH343" s="16">
        <f>IFERROR(__xludf.DUMMYFUNCTION("""COMPUTED_VALUE"""),18.3)</f>
        <v>18.3</v>
      </c>
      <c r="AI343" s="16">
        <f>IFERROR(__xludf.DUMMYFUNCTION("""COMPUTED_VALUE"""),16.7)</f>
        <v>16.7</v>
      </c>
      <c r="AJ343" s="16">
        <f>IFERROR(__xludf.DUMMYFUNCTION("""COMPUTED_VALUE"""),-1.0)</f>
        <v>-1</v>
      </c>
      <c r="AK343" s="16">
        <f>IFERROR(__xludf.DUMMYFUNCTION("""COMPUTED_VALUE"""),-2.0)</f>
        <v>-2</v>
      </c>
      <c r="AL343" s="16">
        <f>IFERROR(__xludf.DUMMYFUNCTION("""COMPUTED_VALUE"""),-5.0)</f>
        <v>-5</v>
      </c>
      <c r="AM343" s="16">
        <f>IFERROR(__xludf.DUMMYFUNCTION("""COMPUTED_VALUE"""),-10.0)</f>
        <v>-10</v>
      </c>
      <c r="AN343" s="16">
        <f>IFERROR(__xludf.DUMMYFUNCTION("""COMPUTED_VALUE"""),0.0)</f>
        <v>0</v>
      </c>
      <c r="AO343" s="16">
        <f>IFERROR(__xludf.DUMMYFUNCTION("""COMPUTED_VALUE"""),0.3)</f>
        <v>0.3</v>
      </c>
      <c r="AP343" s="16">
        <f>IFERROR(__xludf.DUMMYFUNCTION("""COMPUTED_VALUE"""),-2.0)</f>
        <v>-2</v>
      </c>
      <c r="AQ343" s="16">
        <f>IFERROR(__xludf.DUMMYFUNCTION("""COMPUTED_VALUE"""),-2.0)</f>
        <v>-2</v>
      </c>
      <c r="AR343" s="16">
        <f>IFERROR(__xludf.DUMMYFUNCTION("""COMPUTED_VALUE"""),-4.0)</f>
        <v>-4</v>
      </c>
      <c r="AS343" s="16">
        <f>IFERROR(__xludf.DUMMYFUNCTION("""COMPUTED_VALUE"""),-4.0)</f>
        <v>-4</v>
      </c>
      <c r="AT343" s="16"/>
      <c r="AU343" s="16">
        <f>IFERROR(__xludf.DUMMYFUNCTION("""COMPUTED_VALUE"""),0.0)</f>
        <v>0</v>
      </c>
      <c r="AV343" s="16">
        <f>IFERROR(__xludf.DUMMYFUNCTION("""COMPUTED_VALUE"""),-3.0)</f>
        <v>-3</v>
      </c>
      <c r="AW343" s="16">
        <f>IFERROR(__xludf.DUMMYFUNCTION("""COMPUTED_VALUE"""),0.0)</f>
        <v>0</v>
      </c>
      <c r="AX343" s="16">
        <f>IFERROR(__xludf.DUMMYFUNCTION("""COMPUTED_VALUE"""),-3.0)</f>
        <v>-3</v>
      </c>
      <c r="AY343" s="16">
        <f>IFERROR(__xludf.DUMMYFUNCTION("""COMPUTED_VALUE"""),-2.0)</f>
        <v>-2</v>
      </c>
      <c r="AZ343" s="16">
        <f>IFERROR(__xludf.DUMMYFUNCTION("""COMPUTED_VALUE"""),-9.0)</f>
        <v>-9</v>
      </c>
      <c r="BA343" s="16">
        <f>IFERROR(__xludf.DUMMYFUNCTION("""COMPUTED_VALUE"""),-6.0)</f>
        <v>-6</v>
      </c>
      <c r="BB343" s="16">
        <f>IFERROR(__xludf.DUMMYFUNCTION("""COMPUTED_VALUE"""),5.0)</f>
        <v>5</v>
      </c>
      <c r="BC343" s="16">
        <f>IFERROR(__xludf.DUMMYFUNCTION("""COMPUTED_VALUE"""),5.0)</f>
        <v>5</v>
      </c>
      <c r="BD343" s="16">
        <f>IFERROR(__xludf.DUMMYFUNCTION("""COMPUTED_VALUE"""),1.0)</f>
        <v>1</v>
      </c>
      <c r="BE343" s="16">
        <f>IFERROR(__xludf.DUMMYFUNCTION("""COMPUTED_VALUE"""),1.0)</f>
        <v>1</v>
      </c>
      <c r="BF343" s="16">
        <f>IFERROR(__xludf.DUMMYFUNCTION("""COMPUTED_VALUE"""),1.0)</f>
        <v>1</v>
      </c>
      <c r="BG343" s="16">
        <f>IFERROR(__xludf.DUMMYFUNCTION("""COMPUTED_VALUE"""),1.0)</f>
        <v>1</v>
      </c>
      <c r="BH343" s="16">
        <f>IFERROR(__xludf.DUMMYFUNCTION("""COMPUTED_VALUE"""),-2.0)</f>
        <v>-2</v>
      </c>
      <c r="BI343" s="16">
        <f>IFERROR(__xludf.DUMMYFUNCTION("""COMPUTED_VALUE"""),-2.0)</f>
        <v>-2</v>
      </c>
      <c r="BJ343" s="16">
        <f>IFERROR(__xludf.DUMMYFUNCTION("""COMPUTED_VALUE"""),12.0)</f>
        <v>12</v>
      </c>
      <c r="BK343" s="16">
        <f>IFERROR(__xludf.DUMMYFUNCTION("""COMPUTED_VALUE"""),10.0)</f>
        <v>10</v>
      </c>
      <c r="BL343" s="16">
        <f>IFERROR(__xludf.DUMMYFUNCTION("""COMPUTED_VALUE"""),0.0)</f>
        <v>0</v>
      </c>
      <c r="BM343" s="16">
        <f>IFERROR(__xludf.DUMMYFUNCTION("""COMPUTED_VALUE"""),0.0)</f>
        <v>0</v>
      </c>
      <c r="BN343" s="16">
        <f>IFERROR(__xludf.DUMMYFUNCTION("""COMPUTED_VALUE"""),0.0)</f>
        <v>0</v>
      </c>
      <c r="BO343" s="16">
        <f>IFERROR(__xludf.DUMMYFUNCTION("""COMPUTED_VALUE"""),0.0)</f>
        <v>0</v>
      </c>
      <c r="BP343" s="16">
        <f>IFERROR(__xludf.DUMMYFUNCTION("""COMPUTED_VALUE"""),-6.0)</f>
        <v>-6</v>
      </c>
      <c r="BQ343" s="16">
        <f>IFERROR(__xludf.DUMMYFUNCTION("""COMPUTED_VALUE"""),-2.0)</f>
        <v>-2</v>
      </c>
      <c r="BR343" s="16">
        <f>IFERROR(__xludf.DUMMYFUNCTION("""COMPUTED_VALUE"""),-8.0)</f>
        <v>-8</v>
      </c>
      <c r="BS343" s="16" t="str">
        <f>IFERROR(__xludf.DUMMYFUNCTION("""COMPUTED_VALUE"""),"*5,6/- (19-13)")</f>
        <v>*5,6/- (19-13)</v>
      </c>
      <c r="BT343" s="16" t="str">
        <f>IFERROR(__xludf.DUMMYFUNCTION("""COMPUTED_VALUE"""),"A")</f>
        <v>A</v>
      </c>
      <c r="BU343" s="16">
        <f>IFERROR(__xludf.DUMMYFUNCTION("""COMPUTED_VALUE"""),15.0)</f>
        <v>15</v>
      </c>
      <c r="BV343" s="16">
        <f>IFERROR(__xludf.DUMMYFUNCTION("""COMPUTED_VALUE"""),2.0)</f>
        <v>2</v>
      </c>
      <c r="BW343" s="16">
        <f>IFERROR(__xludf.DUMMYFUNCTION("""COMPUTED_VALUE"""),2.0)</f>
        <v>2</v>
      </c>
      <c r="BX343" s="16">
        <f>IFERROR(__xludf.DUMMYFUNCTION("""COMPUTED_VALUE"""),4.0)</f>
        <v>4</v>
      </c>
      <c r="BY343" s="16">
        <f>IFERROR(__xludf.DUMMYFUNCTION("""COMPUTED_VALUE"""),6.0)</f>
        <v>6</v>
      </c>
      <c r="BZ343" s="16" t="str">
        <f>IFERROR(__xludf.DUMMYFUNCTION("""COMPUTED_VALUE"""),"D")</f>
        <v>D</v>
      </c>
      <c r="CA343" s="16" t="str">
        <f>IFERROR(__xludf.DUMMYFUNCTION("""COMPUTED_VALUE"""),"C")</f>
        <v>C</v>
      </c>
      <c r="CB343" s="16">
        <f>IFERROR(__xludf.DUMMYFUNCTION("""COMPUTED_VALUE"""),0.0)</f>
        <v>0</v>
      </c>
      <c r="CC343" s="16">
        <f>IFERROR(__xludf.DUMMYFUNCTION("""COMPUTED_VALUE"""),0.0)</f>
        <v>0</v>
      </c>
      <c r="CD343" s="16">
        <f>IFERROR(__xludf.DUMMYFUNCTION("""COMPUTED_VALUE"""),0.0)</f>
        <v>0</v>
      </c>
      <c r="CE343" s="16">
        <f>IFERROR(__xludf.DUMMYFUNCTION("""COMPUTED_VALUE"""),0.0)</f>
        <v>0</v>
      </c>
      <c r="CF343" s="16">
        <f>IFERROR(__xludf.DUMMYFUNCTION("""COMPUTED_VALUE"""),4.0)</f>
        <v>4</v>
      </c>
      <c r="CG343" s="16">
        <f>IFERROR(__xludf.DUMMYFUNCTION("""COMPUTED_VALUE"""),-19.0)</f>
        <v>-19</v>
      </c>
      <c r="CH343" s="16">
        <f>IFERROR(__xludf.DUMMYFUNCTION("""COMPUTED_VALUE"""),-13.0)</f>
        <v>-13</v>
      </c>
      <c r="CI343" s="179">
        <f>IFERROR(__xludf.DUMMYFUNCTION("""COMPUTED_VALUE"""),-13.0)</f>
        <v>-13</v>
      </c>
      <c r="CJ343" s="16"/>
      <c r="CK343" s="16"/>
      <c r="CL343" s="16">
        <f>IFERROR(__xludf.DUMMYFUNCTION("""COMPUTED_VALUE"""),227.0)</f>
        <v>227</v>
      </c>
      <c r="CM343" s="16">
        <f>IFERROR(__xludf.DUMMYFUNCTION("""COMPUTED_VALUE"""),465.0)</f>
        <v>465</v>
      </c>
      <c r="CN343" s="16">
        <f>IFERROR(__xludf.DUMMYFUNCTION("""COMPUTED_VALUE"""),548.0)</f>
        <v>548</v>
      </c>
      <c r="CO343" s="16">
        <f>IFERROR(__xludf.DUMMYFUNCTION("""COMPUTED_VALUE"""),305.0)</f>
        <v>305</v>
      </c>
      <c r="CP343" s="16"/>
      <c r="CQ343" s="16">
        <f>IFERROR(__xludf.DUMMYFUNCTION("""COMPUTED_VALUE"""),305.0)</f>
        <v>305</v>
      </c>
      <c r="CR343" s="16" t="str">
        <f>IFERROR(__xludf.DUMMYFUNCTION("""COMPUTED_VALUE"""),"lf-3(+1)e5 2b-2e27 rf-3e5 3b-4e65 ss-5e48")</f>
        <v>lf-3(+1)e5 2b-2e27 rf-3e5 3b-4e65 ss-5e48</v>
      </c>
      <c r="CS343" s="16"/>
      <c r="CT343" s="16"/>
      <c r="CU343" s="16">
        <f>IFERROR(__xludf.DUMMYFUNCTION("""COMPUTED_VALUE"""),2.0)</f>
        <v>2</v>
      </c>
      <c r="CV343" s="16">
        <f>IFERROR(__xludf.DUMMYFUNCTION("""COMPUTED_VALUE"""),4.0)</f>
        <v>4</v>
      </c>
      <c r="CW343" s="16">
        <f>IFERROR(__xludf.DUMMYFUNCTION("""COMPUTED_VALUE"""),5.0)</f>
        <v>5</v>
      </c>
      <c r="CX343" s="16">
        <f>IFERROR(__xludf.DUMMYFUNCTION("""COMPUTED_VALUE"""),3.0)</f>
        <v>3</v>
      </c>
      <c r="CY343" s="16"/>
      <c r="CZ343" s="16">
        <f>IFERROR(__xludf.DUMMYFUNCTION("""COMPUTED_VALUE"""),3.0)</f>
        <v>3</v>
      </c>
      <c r="DA343" s="16"/>
      <c r="DB343" s="16"/>
      <c r="DC343" s="16">
        <f>IFERROR(__xludf.DUMMYFUNCTION("""COMPUTED_VALUE"""),27.0)</f>
        <v>27</v>
      </c>
      <c r="DD343" s="16">
        <f>IFERROR(__xludf.DUMMYFUNCTION("""COMPUTED_VALUE"""),65.0)</f>
        <v>65</v>
      </c>
      <c r="DE343" s="16">
        <f>IFERROR(__xludf.DUMMYFUNCTION("""COMPUTED_VALUE"""),48.0)</f>
        <v>48</v>
      </c>
      <c r="DF343" s="16">
        <f>IFERROR(__xludf.DUMMYFUNCTION("""COMPUTED_VALUE"""),5.0)</f>
        <v>5</v>
      </c>
      <c r="DG343" s="16"/>
      <c r="DH343" s="16">
        <f>IFERROR(__xludf.DUMMYFUNCTION("""COMPUTED_VALUE"""),5.0)</f>
        <v>5</v>
      </c>
      <c r="DI343" s="16"/>
      <c r="DJ343" s="16"/>
      <c r="DK343" s="16">
        <f>IFERROR(__xludf.DUMMYFUNCTION("""COMPUTED_VALUE"""),2.0)</f>
        <v>2</v>
      </c>
      <c r="DL343" s="16">
        <f>IFERROR(__xludf.DUMMYFUNCTION("""COMPUTED_VALUE"""),0.0)</f>
        <v>0</v>
      </c>
      <c r="DM343" s="16">
        <f>IFERROR(__xludf.DUMMYFUNCTION("""COMPUTED_VALUE"""),-4.0)</f>
        <v>-4</v>
      </c>
      <c r="DN343" s="16">
        <f>IFERROR(__xludf.DUMMYFUNCTION("""COMPUTED_VALUE"""),0.0)</f>
        <v>0</v>
      </c>
      <c r="DO343" s="16"/>
      <c r="DP343" s="16">
        <f>IFERROR(__xludf.DUMMYFUNCTION("""COMPUTED_VALUE"""),0.0)</f>
        <v>0</v>
      </c>
      <c r="DQ343" s="16"/>
      <c r="DR343" s="16"/>
      <c r="DS343" s="16">
        <f>IFERROR(__xludf.DUMMYFUNCTION("""COMPUTED_VALUE"""),-2.0)</f>
        <v>-2</v>
      </c>
      <c r="DT343" s="16">
        <f>IFERROR(__xludf.DUMMYFUNCTION("""COMPUTED_VALUE"""),-2.0)</f>
        <v>-2</v>
      </c>
      <c r="DU343" s="16">
        <f>IFERROR(__xludf.DUMMYFUNCTION("""COMPUTED_VALUE"""),-2.0)</f>
        <v>-2</v>
      </c>
      <c r="DV343" s="16">
        <f>IFERROR(__xludf.DUMMYFUNCTION("""COMPUTED_VALUE"""),2.0)</f>
        <v>2</v>
      </c>
      <c r="DW343" s="16"/>
      <c r="DX343" s="16">
        <f>IFERROR(__xludf.DUMMYFUNCTION("""COMPUTED_VALUE"""),2.0)</f>
        <v>2</v>
      </c>
      <c r="DY343" s="16"/>
      <c r="DZ343" s="16"/>
      <c r="EA343" s="16">
        <f>IFERROR(__xludf.DUMMYFUNCTION("""COMPUTED_VALUE"""),0.0)</f>
        <v>0</v>
      </c>
      <c r="EB343" s="16">
        <f>IFERROR(__xludf.DUMMYFUNCTION("""COMPUTED_VALUE"""),-2.0)</f>
        <v>-2</v>
      </c>
      <c r="EC343" s="16">
        <f>IFERROR(__xludf.DUMMYFUNCTION("""COMPUTED_VALUE"""),-6.0)</f>
        <v>-6</v>
      </c>
      <c r="ED343" s="16">
        <f>IFERROR(__xludf.DUMMYFUNCTION("""COMPUTED_VALUE"""),2.0)</f>
        <v>2</v>
      </c>
      <c r="EE343" s="16"/>
      <c r="EF343" s="16">
        <f>IFERROR(__xludf.DUMMYFUNCTION("""COMPUTED_VALUE"""),2.0)</f>
        <v>2</v>
      </c>
      <c r="EG343" s="179"/>
      <c r="EH343" s="179"/>
      <c r="EI343" s="179">
        <f>IFERROR(__xludf.DUMMYFUNCTION("""COMPUTED_VALUE"""),-13.0)</f>
        <v>-13</v>
      </c>
      <c r="EJ343" s="179">
        <f>IFERROR(__xludf.DUMMYFUNCTION("""COMPUTED_VALUE"""),-15.0)</f>
        <v>-15</v>
      </c>
      <c r="EK343" s="179">
        <f>IFERROR(__xludf.DUMMYFUNCTION("""COMPUTED_VALUE"""),-19.0)</f>
        <v>-19</v>
      </c>
      <c r="EL343" s="179">
        <f>IFERROR(__xludf.DUMMYFUNCTION("""COMPUTED_VALUE"""),-11.0)</f>
        <v>-11</v>
      </c>
      <c r="EM343" s="179"/>
      <c r="EN343" s="179">
        <f>IFERROR(__xludf.DUMMYFUNCTION("""COMPUTED_VALUE"""),-11.0)</f>
        <v>-11</v>
      </c>
      <c r="EO343" s="16"/>
      <c r="EP343" s="16">
        <f>IFERROR(__xludf.DUMMYFUNCTION("""COMPUTED_VALUE"""),1.0)</f>
        <v>1</v>
      </c>
      <c r="EQ343" s="16">
        <f>IFERROR(__xludf.DUMMYFUNCTION("""COMPUTED_VALUE"""),-1.0)</f>
        <v>-1</v>
      </c>
      <c r="ER343" s="16">
        <f>IFERROR(__xludf.DUMMYFUNCTION("""COMPUTED_VALUE"""),0.0)</f>
        <v>0</v>
      </c>
      <c r="ES343" s="16"/>
      <c r="ET343" s="16"/>
      <c r="EU343" s="16"/>
      <c r="EV343" s="16"/>
      <c r="EW343" s="16"/>
      <c r="EX343" s="180"/>
      <c r="EY343" s="180"/>
      <c r="EZ343" s="180">
        <f>IFERROR(__xludf.DUMMYFUNCTION("""COMPUTED_VALUE"""),0.1)</f>
        <v>0.1</v>
      </c>
      <c r="FA343" s="180">
        <f>IFERROR(__xludf.DUMMYFUNCTION("""COMPUTED_VALUE"""),0.3)</f>
        <v>0.3</v>
      </c>
      <c r="FB343" s="180">
        <f>IFERROR(__xludf.DUMMYFUNCTION("""COMPUTED_VALUE"""),0.4)</f>
        <v>0.4</v>
      </c>
      <c r="FC343" s="180">
        <f>IFERROR(__xludf.DUMMYFUNCTION("""COMPUTED_VALUE"""),0.3)</f>
        <v>0.3</v>
      </c>
      <c r="FD343" s="180"/>
      <c r="FE343" s="180">
        <f>IFERROR(__xludf.DUMMYFUNCTION("""COMPUTED_VALUE"""),0.3)</f>
        <v>0.3</v>
      </c>
      <c r="FF343" s="180"/>
      <c r="FG343" s="180"/>
      <c r="FH343" s="180">
        <f>IFERROR(__xludf.DUMMYFUNCTION("""COMPUTED_VALUE"""),0.16203703703703703)</f>
        <v>0.162037037</v>
      </c>
      <c r="FI343" s="180">
        <f>IFERROR(__xludf.DUMMYFUNCTION("""COMPUTED_VALUE"""),0.7407407407407407)</f>
        <v>0.7407407407</v>
      </c>
      <c r="FJ343" s="180">
        <f>IFERROR(__xludf.DUMMYFUNCTION("""COMPUTED_VALUE"""),0.24537037037037038)</f>
        <v>0.2453703704</v>
      </c>
      <c r="FK343" s="180">
        <f>IFERROR(__xludf.DUMMYFUNCTION("""COMPUTED_VALUE"""),0.088)</f>
        <v>0.088</v>
      </c>
      <c r="FL343" s="180"/>
      <c r="FM343" s="180">
        <f>IFERROR(__xludf.DUMMYFUNCTION("""COMPUTED_VALUE"""),0.088)</f>
        <v>0.088</v>
      </c>
      <c r="FN343" s="16"/>
      <c r="FO343" s="16"/>
      <c r="FP343" s="16">
        <f>IFERROR(__xludf.DUMMYFUNCTION("""COMPUTED_VALUE"""),0.7541666666666668)</f>
        <v>0.7541666667</v>
      </c>
      <c r="FQ343" s="16">
        <f>IFERROR(__xludf.DUMMYFUNCTION("""COMPUTED_VALUE"""),0.1814814814814815)</f>
        <v>0.1814814815</v>
      </c>
      <c r="FR343" s="16">
        <f>IFERROR(__xludf.DUMMYFUNCTION("""COMPUTED_VALUE"""),0.4527777777777778)</f>
        <v>0.4527777778</v>
      </c>
      <c r="FS343" s="16">
        <f>IFERROR(__xludf.DUMMYFUNCTION("""COMPUTED_VALUE"""),0.6384)</f>
        <v>0.6384</v>
      </c>
      <c r="FT343" s="16"/>
      <c r="FU343" s="16">
        <f>IFERROR(__xludf.DUMMYFUNCTION("""COMPUTED_VALUE"""),0.6384)</f>
        <v>0.6384</v>
      </c>
      <c r="FV343" s="16"/>
      <c r="FW343" s="16"/>
      <c r="FX343" s="16">
        <f>IFERROR(__xludf.DUMMYFUNCTION("""COMPUTED_VALUE"""),-1.0)</f>
        <v>-1</v>
      </c>
      <c r="FY343" s="16">
        <f>IFERROR(__xludf.DUMMYFUNCTION("""COMPUTED_VALUE"""),-8.0)</f>
        <v>-8</v>
      </c>
      <c r="FZ343" s="16">
        <f>IFERROR(__xludf.DUMMYFUNCTION("""COMPUTED_VALUE"""),-8.0)</f>
        <v>-8</v>
      </c>
      <c r="GA343" s="16">
        <f>IFERROR(__xludf.DUMMYFUNCTION("""COMPUTED_VALUE"""),-7.0)</f>
        <v>-7</v>
      </c>
      <c r="GB343" s="16"/>
      <c r="GC343" s="16">
        <f>IFERROR(__xludf.DUMMYFUNCTION("""COMPUTED_VALUE"""),-7.0)</f>
        <v>-7</v>
      </c>
      <c r="GD343" s="16" t="s">
        <v>176</v>
      </c>
    </row>
    <row r="344">
      <c r="A344" s="16">
        <f>IFERROR(__xludf.DUMMYFUNCTION("""COMPUTED_VALUE"""),12976.0)</f>
        <v>12976</v>
      </c>
      <c r="B344" s="16" t="str">
        <f>IFERROR(__xludf.DUMMYFUNCTION("""COMPUTED_VALUE"""),"Joey Loperfido")</f>
        <v>Joey Loperfido</v>
      </c>
      <c r="C344" s="16">
        <f>IFERROR(__xludf.DUMMYFUNCTION("""COMPUTED_VALUE"""),0.33)</f>
        <v>0.33</v>
      </c>
      <c r="D344" s="16" t="str">
        <f>IFERROR(__xludf.DUMMYFUNCTION("""COMPUTED_VALUE"""),"L")</f>
        <v>L</v>
      </c>
      <c r="E344" s="16"/>
      <c r="F344" s="16"/>
      <c r="G344" s="16">
        <f>IFERROR(__xludf.DUMMYFUNCTION("""COMPUTED_VALUE"""),243.0)</f>
        <v>243</v>
      </c>
      <c r="H344" s="16">
        <f>IFERROR(__xludf.DUMMYFUNCTION("""COMPUTED_VALUE"""),13.0)</f>
        <v>13</v>
      </c>
      <c r="I344" s="16" t="str">
        <f>IFERROR(__xludf.DUMMYFUNCTION("""COMPUTED_VALUE"""),"1p40")</f>
        <v>1p40</v>
      </c>
      <c r="J344" s="16">
        <f>IFERROR(__xludf.DUMMYFUNCTION("""COMPUTED_VALUE"""),47.0)</f>
        <v>47</v>
      </c>
      <c r="K344" s="16">
        <f>IFERROR(__xludf.DUMMYFUNCTION("""COMPUTED_VALUE"""),55.0)</f>
        <v>55</v>
      </c>
      <c r="L344" s="16">
        <f>IFERROR(__xludf.DUMMYFUNCTION("""COMPUTED_VALUE"""),-2.0)</f>
        <v>-2</v>
      </c>
      <c r="M344" s="16">
        <f>IFERROR(__xludf.DUMMYFUNCTION("""COMPUTED_VALUE"""),-3.0)</f>
        <v>-3</v>
      </c>
      <c r="N344" s="16">
        <f>IFERROR(__xludf.DUMMYFUNCTION("""COMPUTED_VALUE"""),-2.0)</f>
        <v>-2</v>
      </c>
      <c r="O344" s="16">
        <f>IFERROR(__xludf.DUMMYFUNCTION("""COMPUTED_VALUE"""),-3.0)</f>
        <v>-3</v>
      </c>
      <c r="P344" s="16">
        <f>IFERROR(__xludf.DUMMYFUNCTION("""COMPUTED_VALUE"""),9.0)</f>
        <v>9</v>
      </c>
      <c r="Q344" s="16">
        <f>IFERROR(__xludf.DUMMYFUNCTION("""COMPUTED_VALUE"""),0.0)</f>
        <v>0</v>
      </c>
      <c r="R344" s="16">
        <f>IFERROR(__xludf.DUMMYFUNCTION("""COMPUTED_VALUE"""),0.0)</f>
        <v>0</v>
      </c>
      <c r="S344" s="16">
        <f>IFERROR(__xludf.DUMMYFUNCTION("""COMPUTED_VALUE"""),-2.0)</f>
        <v>-2</v>
      </c>
      <c r="T344" s="16">
        <f>IFERROR(__xludf.DUMMYFUNCTION("""COMPUTED_VALUE"""),0.0)</f>
        <v>0</v>
      </c>
      <c r="U344" s="16">
        <f>IFERROR(__xludf.DUMMYFUNCTION("""COMPUTED_VALUE"""),-2.0)</f>
        <v>-2</v>
      </c>
      <c r="V344" s="16">
        <f>IFERROR(__xludf.DUMMYFUNCTION("""COMPUTED_VALUE"""),7.8)</f>
        <v>7.8</v>
      </c>
      <c r="W344" s="16">
        <f>IFERROR(__xludf.DUMMYFUNCTION("""COMPUTED_VALUE"""),18.4)</f>
        <v>18.4</v>
      </c>
      <c r="X344" s="16">
        <f>IFERROR(__xludf.DUMMYFUNCTION("""COMPUTED_VALUE"""),-2.0)</f>
        <v>-2</v>
      </c>
      <c r="Y344" s="16">
        <f>IFERROR(__xludf.DUMMYFUNCTION("""COMPUTED_VALUE"""),0.0)</f>
        <v>0</v>
      </c>
      <c r="Z344" s="16">
        <f>IFERROR(__xludf.DUMMYFUNCTION("""COMPUTED_VALUE"""),-4.0)</f>
        <v>-4</v>
      </c>
      <c r="AA344" s="16">
        <f>IFERROR(__xludf.DUMMYFUNCTION("""COMPUTED_VALUE"""),0.0)</f>
        <v>0</v>
      </c>
      <c r="AB344" s="16">
        <f>IFERROR(__xludf.DUMMYFUNCTION("""COMPUTED_VALUE"""),19.8)</f>
        <v>19.8</v>
      </c>
      <c r="AC344" s="16">
        <f>IFERROR(__xludf.DUMMYFUNCTION("""COMPUTED_VALUE"""),21.4)</f>
        <v>21.4</v>
      </c>
      <c r="AD344" s="16">
        <f>IFERROR(__xludf.DUMMYFUNCTION("""COMPUTED_VALUE"""),-1.0)</f>
        <v>-1</v>
      </c>
      <c r="AE344" s="16">
        <f>IFERROR(__xludf.DUMMYFUNCTION("""COMPUTED_VALUE"""),-2.0)</f>
        <v>-2</v>
      </c>
      <c r="AF344" s="16">
        <f>IFERROR(__xludf.DUMMYFUNCTION("""COMPUTED_VALUE"""),-5.0)</f>
        <v>-5</v>
      </c>
      <c r="AG344" s="16">
        <f>IFERROR(__xludf.DUMMYFUNCTION("""COMPUTED_VALUE"""),-10.0)</f>
        <v>-10</v>
      </c>
      <c r="AH344" s="16">
        <f>IFERROR(__xludf.DUMMYFUNCTION("""COMPUTED_VALUE"""),11.4)</f>
        <v>11.4</v>
      </c>
      <c r="AI344" s="16">
        <f>IFERROR(__xludf.DUMMYFUNCTION("""COMPUTED_VALUE"""),42.0)</f>
        <v>42</v>
      </c>
      <c r="AJ344" s="16">
        <f>IFERROR(__xludf.DUMMYFUNCTION("""COMPUTED_VALUE"""),-2.0)</f>
        <v>-2</v>
      </c>
      <c r="AK344" s="16">
        <f>IFERROR(__xludf.DUMMYFUNCTION("""COMPUTED_VALUE"""),1.0)</f>
        <v>1</v>
      </c>
      <c r="AL344" s="16">
        <f>IFERROR(__xludf.DUMMYFUNCTION("""COMPUTED_VALUE"""),-10.0)</f>
        <v>-10</v>
      </c>
      <c r="AM344" s="16">
        <f>IFERROR(__xludf.DUMMYFUNCTION("""COMPUTED_VALUE"""),5.0)</f>
        <v>5</v>
      </c>
      <c r="AN344" s="16">
        <f>IFERROR(__xludf.DUMMYFUNCTION("""COMPUTED_VALUE"""),1.2)</f>
        <v>1.2</v>
      </c>
      <c r="AO344" s="16">
        <f>IFERROR(__xludf.DUMMYFUNCTION("""COMPUTED_VALUE"""),3.2)</f>
        <v>3.2</v>
      </c>
      <c r="AP344" s="16">
        <f>IFERROR(__xludf.DUMMYFUNCTION("""COMPUTED_VALUE"""),-1.0)</f>
        <v>-1</v>
      </c>
      <c r="AQ344" s="16">
        <f>IFERROR(__xludf.DUMMYFUNCTION("""COMPUTED_VALUE"""),1.0)</f>
        <v>1</v>
      </c>
      <c r="AR344" s="16">
        <f>IFERROR(__xludf.DUMMYFUNCTION("""COMPUTED_VALUE"""),-2.0)</f>
        <v>-2</v>
      </c>
      <c r="AS344" s="16">
        <f>IFERROR(__xludf.DUMMYFUNCTION("""COMPUTED_VALUE"""),2.0)</f>
        <v>2</v>
      </c>
      <c r="AT344" s="16">
        <f>IFERROR(__xludf.DUMMYFUNCTION("""COMPUTED_VALUE"""),2.0)</f>
        <v>2</v>
      </c>
      <c r="AU344" s="16"/>
      <c r="AV344" s="16">
        <f>IFERROR(__xludf.DUMMYFUNCTION("""COMPUTED_VALUE"""),2.0)</f>
        <v>2</v>
      </c>
      <c r="AW344" s="16">
        <f>IFERROR(__xludf.DUMMYFUNCTION("""COMPUTED_VALUE"""),-3.0)</f>
        <v>-3</v>
      </c>
      <c r="AX344" s="16">
        <f>IFERROR(__xludf.DUMMYFUNCTION("""COMPUTED_VALUE"""),0.0)</f>
        <v>0</v>
      </c>
      <c r="AY344" s="16">
        <f>IFERROR(__xludf.DUMMYFUNCTION("""COMPUTED_VALUE"""),-3.0)</f>
        <v>-3</v>
      </c>
      <c r="AZ344" s="16">
        <f>IFERROR(__xludf.DUMMYFUNCTION("""COMPUTED_VALUE"""),0.0)</f>
        <v>0</v>
      </c>
      <c r="BA344" s="16">
        <f>IFERROR(__xludf.DUMMYFUNCTION("""COMPUTED_VALUE"""),-9.0)</f>
        <v>-9</v>
      </c>
      <c r="BB344" s="16">
        <f>IFERROR(__xludf.DUMMYFUNCTION("""COMPUTED_VALUE"""),5.0)</f>
        <v>5</v>
      </c>
      <c r="BC344" s="16">
        <f>IFERROR(__xludf.DUMMYFUNCTION("""COMPUTED_VALUE"""),5.0)</f>
        <v>5</v>
      </c>
      <c r="BD344" s="16">
        <f>IFERROR(__xludf.DUMMYFUNCTION("""COMPUTED_VALUE"""),1.0)</f>
        <v>1</v>
      </c>
      <c r="BE344" s="16">
        <f>IFERROR(__xludf.DUMMYFUNCTION("""COMPUTED_VALUE"""),1.0)</f>
        <v>1</v>
      </c>
      <c r="BF344" s="16">
        <f>IFERROR(__xludf.DUMMYFUNCTION("""COMPUTED_VALUE"""),1.0)</f>
        <v>1</v>
      </c>
      <c r="BG344" s="16">
        <f>IFERROR(__xludf.DUMMYFUNCTION("""COMPUTED_VALUE"""),1.0)</f>
        <v>1</v>
      </c>
      <c r="BH344" s="16">
        <f>IFERROR(__xludf.DUMMYFUNCTION("""COMPUTED_VALUE"""),3.0)</f>
        <v>3</v>
      </c>
      <c r="BI344" s="16">
        <f>IFERROR(__xludf.DUMMYFUNCTION("""COMPUTED_VALUE"""),3.0)</f>
        <v>3</v>
      </c>
      <c r="BJ344" s="16">
        <f>IFERROR(__xludf.DUMMYFUNCTION("""COMPUTED_VALUE"""),6.0)</f>
        <v>6</v>
      </c>
      <c r="BK344" s="16">
        <f>IFERROR(__xludf.DUMMYFUNCTION("""COMPUTED_VALUE"""),8.0)</f>
        <v>8</v>
      </c>
      <c r="BL344" s="16">
        <f>IFERROR(__xludf.DUMMYFUNCTION("""COMPUTED_VALUE"""),1.0)</f>
        <v>1</v>
      </c>
      <c r="BM344" s="16">
        <f>IFERROR(__xludf.DUMMYFUNCTION("""COMPUTED_VALUE"""),1.0)</f>
        <v>1</v>
      </c>
      <c r="BN344" s="16">
        <f>IFERROR(__xludf.DUMMYFUNCTION("""COMPUTED_VALUE"""),1.0)</f>
        <v>1</v>
      </c>
      <c r="BO344" s="16">
        <f>IFERROR(__xludf.DUMMYFUNCTION("""COMPUTED_VALUE"""),1.0)</f>
        <v>1</v>
      </c>
      <c r="BP344" s="16">
        <f>IFERROR(__xludf.DUMMYFUNCTION("""COMPUTED_VALUE"""),-6.0)</f>
        <v>-6</v>
      </c>
      <c r="BQ344" s="16">
        <f>IFERROR(__xludf.DUMMYFUNCTION("""COMPUTED_VALUE"""),-6.0)</f>
        <v>-6</v>
      </c>
      <c r="BR344" s="16">
        <f>IFERROR(__xludf.DUMMYFUNCTION("""COMPUTED_VALUE"""),-12.0)</f>
        <v>-12</v>
      </c>
      <c r="BS344" s="16" t="str">
        <f>IFERROR(__xludf.DUMMYFUNCTION("""COMPUTED_VALUE"""),"*2-6/- (15-12)")</f>
        <v>*2-6/- (15-12)</v>
      </c>
      <c r="BT344" s="16" t="str">
        <f>IFERROR(__xludf.DUMMYFUNCTION("""COMPUTED_VALUE"""),"C")</f>
        <v>C</v>
      </c>
      <c r="BU344" s="16">
        <f>IFERROR(__xludf.DUMMYFUNCTION("""COMPUTED_VALUE"""),13.0)</f>
        <v>13</v>
      </c>
      <c r="BV344" s="16">
        <f>IFERROR(__xludf.DUMMYFUNCTION("""COMPUTED_VALUE"""),0.0)</f>
        <v>0</v>
      </c>
      <c r="BW344" s="16">
        <f>IFERROR(__xludf.DUMMYFUNCTION("""COMPUTED_VALUE"""),1.0)</f>
        <v>1</v>
      </c>
      <c r="BX344" s="16">
        <f>IFERROR(__xludf.DUMMYFUNCTION("""COMPUTED_VALUE"""),0.0)</f>
        <v>0</v>
      </c>
      <c r="BY344" s="16">
        <f>IFERROR(__xludf.DUMMYFUNCTION("""COMPUTED_VALUE"""),3.0)</f>
        <v>3</v>
      </c>
      <c r="BZ344" s="16" t="str">
        <f>IFERROR(__xludf.DUMMYFUNCTION("""COMPUTED_VALUE"""),"D")</f>
        <v>D</v>
      </c>
      <c r="CA344" s="16" t="str">
        <f>IFERROR(__xludf.DUMMYFUNCTION("""COMPUTED_VALUE"""),"C")</f>
        <v>C</v>
      </c>
      <c r="CB344" s="16">
        <f>IFERROR(__xludf.DUMMYFUNCTION("""COMPUTED_VALUE"""),0.0)</f>
        <v>0</v>
      </c>
      <c r="CC344" s="16">
        <f>IFERROR(__xludf.DUMMYFUNCTION("""COMPUTED_VALUE"""),0.0)</f>
        <v>0</v>
      </c>
      <c r="CD344" s="16">
        <f>IFERROR(__xludf.DUMMYFUNCTION("""COMPUTED_VALUE"""),0.0)</f>
        <v>0</v>
      </c>
      <c r="CE344" s="16">
        <f>IFERROR(__xludf.DUMMYFUNCTION("""COMPUTED_VALUE"""),0.0)</f>
        <v>0</v>
      </c>
      <c r="CF344" s="16">
        <f>IFERROR(__xludf.DUMMYFUNCTION("""COMPUTED_VALUE"""),1.0)</f>
        <v>1</v>
      </c>
      <c r="CG344" s="16">
        <f>IFERROR(__xludf.DUMMYFUNCTION("""COMPUTED_VALUE"""),-21.0)</f>
        <v>-21</v>
      </c>
      <c r="CH344" s="16">
        <f>IFERROR(__xludf.DUMMYFUNCTION("""COMPUTED_VALUE"""),-15.0)</f>
        <v>-15</v>
      </c>
      <c r="CI344" s="179">
        <f>IFERROR(__xludf.DUMMYFUNCTION("""COMPUTED_VALUE"""),-13.0)</f>
        <v>-13</v>
      </c>
      <c r="CJ344" s="16"/>
      <c r="CK344" s="16">
        <f>IFERROR(__xludf.DUMMYFUNCTION("""COMPUTED_VALUE"""),413.0)</f>
        <v>413</v>
      </c>
      <c r="CL344" s="16"/>
      <c r="CM344" s="16"/>
      <c r="CN344" s="16"/>
      <c r="CO344" s="16">
        <f>IFERROR(__xludf.DUMMYFUNCTION("""COMPUTED_VALUE"""),302.0)</f>
        <v>302</v>
      </c>
      <c r="CP344" s="16">
        <f>IFERROR(__xludf.DUMMYFUNCTION("""COMPUTED_VALUE"""),402.0)</f>
        <v>402</v>
      </c>
      <c r="CQ344" s="16">
        <f>IFERROR(__xludf.DUMMYFUNCTION("""COMPUTED_VALUE"""),402.0)</f>
        <v>402</v>
      </c>
      <c r="CR344" s="16" t="str">
        <f>IFERROR(__xludf.DUMMYFUNCTION("""COMPUTED_VALUE"""),"lf-3(-1)e2 cf-4e2 rf-4e2 1b-4e13")</f>
        <v>lf-3(-1)e2 cf-4e2 rf-4e2 1b-4e13</v>
      </c>
      <c r="CS344" s="16"/>
      <c r="CT344" s="16">
        <f>IFERROR(__xludf.DUMMYFUNCTION("""COMPUTED_VALUE"""),4.0)</f>
        <v>4</v>
      </c>
      <c r="CU344" s="16"/>
      <c r="CV344" s="16"/>
      <c r="CW344" s="16"/>
      <c r="CX344" s="16">
        <f>IFERROR(__xludf.DUMMYFUNCTION("""COMPUTED_VALUE"""),3.0)</f>
        <v>3</v>
      </c>
      <c r="CY344" s="16">
        <f>IFERROR(__xludf.DUMMYFUNCTION("""COMPUTED_VALUE"""),4.0)</f>
        <v>4</v>
      </c>
      <c r="CZ344" s="16">
        <f>IFERROR(__xludf.DUMMYFUNCTION("""COMPUTED_VALUE"""),4.0)</f>
        <v>4</v>
      </c>
      <c r="DA344" s="16"/>
      <c r="DB344" s="16">
        <f>IFERROR(__xludf.DUMMYFUNCTION("""COMPUTED_VALUE"""),13.0)</f>
        <v>13</v>
      </c>
      <c r="DC344" s="16"/>
      <c r="DD344" s="16"/>
      <c r="DE344" s="16"/>
      <c r="DF344" s="16">
        <f>IFERROR(__xludf.DUMMYFUNCTION("""COMPUTED_VALUE"""),2.0)</f>
        <v>2</v>
      </c>
      <c r="DG344" s="16">
        <f>IFERROR(__xludf.DUMMYFUNCTION("""COMPUTED_VALUE"""),2.0)</f>
        <v>2</v>
      </c>
      <c r="DH344" s="16">
        <f>IFERROR(__xludf.DUMMYFUNCTION("""COMPUTED_VALUE"""),2.0)</f>
        <v>2</v>
      </c>
      <c r="DI344" s="16"/>
      <c r="DJ344" s="16">
        <f>IFERROR(__xludf.DUMMYFUNCTION("""COMPUTED_VALUE"""),0.0)</f>
        <v>0</v>
      </c>
      <c r="DK344" s="16"/>
      <c r="DL344" s="16"/>
      <c r="DM344" s="16"/>
      <c r="DN344" s="16">
        <f>IFERROR(__xludf.DUMMYFUNCTION("""COMPUTED_VALUE"""),0.0)</f>
        <v>0</v>
      </c>
      <c r="DO344" s="16">
        <f>IFERROR(__xludf.DUMMYFUNCTION("""COMPUTED_VALUE"""),-2.0)</f>
        <v>-2</v>
      </c>
      <c r="DP344" s="16">
        <f>IFERROR(__xludf.DUMMYFUNCTION("""COMPUTED_VALUE"""),-1.0)</f>
        <v>-1</v>
      </c>
      <c r="DQ344" s="16"/>
      <c r="DR344" s="16">
        <f>IFERROR(__xludf.DUMMYFUNCTION("""COMPUTED_VALUE"""),1.0)</f>
        <v>1</v>
      </c>
      <c r="DS344" s="16"/>
      <c r="DT344" s="16"/>
      <c r="DU344" s="16"/>
      <c r="DV344" s="16">
        <f>IFERROR(__xludf.DUMMYFUNCTION("""COMPUTED_VALUE"""),4.0)</f>
        <v>4</v>
      </c>
      <c r="DW344" s="16">
        <f>IFERROR(__xludf.DUMMYFUNCTION("""COMPUTED_VALUE"""),4.0)</f>
        <v>4</v>
      </c>
      <c r="DX344" s="16">
        <f>IFERROR(__xludf.DUMMYFUNCTION("""COMPUTED_VALUE"""),4.0)</f>
        <v>4</v>
      </c>
      <c r="DY344" s="16"/>
      <c r="DZ344" s="16">
        <f>IFERROR(__xludf.DUMMYFUNCTION("""COMPUTED_VALUE"""),1.0)</f>
        <v>1</v>
      </c>
      <c r="EA344" s="16"/>
      <c r="EB344" s="16"/>
      <c r="EC344" s="16"/>
      <c r="ED344" s="16">
        <f>IFERROR(__xludf.DUMMYFUNCTION("""COMPUTED_VALUE"""),4.0)</f>
        <v>4</v>
      </c>
      <c r="EE344" s="16">
        <f>IFERROR(__xludf.DUMMYFUNCTION("""COMPUTED_VALUE"""),2.0)</f>
        <v>2</v>
      </c>
      <c r="EF344" s="16">
        <f>IFERROR(__xludf.DUMMYFUNCTION("""COMPUTED_VALUE"""),3.0)</f>
        <v>3</v>
      </c>
      <c r="EG344" s="179"/>
      <c r="EH344" s="179">
        <f>IFERROR(__xludf.DUMMYFUNCTION("""COMPUTED_VALUE"""),-12.0)</f>
        <v>-12</v>
      </c>
      <c r="EI344" s="179"/>
      <c r="EJ344" s="179"/>
      <c r="EK344" s="179"/>
      <c r="EL344" s="179">
        <f>IFERROR(__xludf.DUMMYFUNCTION("""COMPUTED_VALUE"""),-9.0)</f>
        <v>-9</v>
      </c>
      <c r="EM344" s="179">
        <f>IFERROR(__xludf.DUMMYFUNCTION("""COMPUTED_VALUE"""),-11.0)</f>
        <v>-11</v>
      </c>
      <c r="EN344" s="179">
        <f>IFERROR(__xludf.DUMMYFUNCTION("""COMPUTED_VALUE"""),-10.0)</f>
        <v>-10</v>
      </c>
      <c r="EO344" s="16"/>
      <c r="EP344" s="16"/>
      <c r="EQ344" s="16">
        <f>IFERROR(__xludf.DUMMYFUNCTION("""COMPUTED_VALUE"""),4.0)</f>
        <v>4</v>
      </c>
      <c r="ER344" s="16">
        <f>IFERROR(__xludf.DUMMYFUNCTION("""COMPUTED_VALUE"""),-1.0)</f>
        <v>-1</v>
      </c>
      <c r="ES344" s="16"/>
      <c r="ET344" s="16"/>
      <c r="EU344" s="16"/>
      <c r="EV344" s="16"/>
      <c r="EW344" s="16"/>
      <c r="EX344" s="180"/>
      <c r="EY344" s="180">
        <f>IFERROR(__xludf.DUMMYFUNCTION("""COMPUTED_VALUE"""),0.3)</f>
        <v>0.3</v>
      </c>
      <c r="EZ344" s="180"/>
      <c r="FA344" s="180"/>
      <c r="FB344" s="180"/>
      <c r="FC344" s="180">
        <f>IFERROR(__xludf.DUMMYFUNCTION("""COMPUTED_VALUE"""),0.3)</f>
        <v>0.3</v>
      </c>
      <c r="FD344" s="180">
        <f>IFERROR(__xludf.DUMMYFUNCTION("""COMPUTED_VALUE"""),0.55)</f>
        <v>0.55</v>
      </c>
      <c r="FE344" s="180">
        <f>IFERROR(__xludf.DUMMYFUNCTION("""COMPUTED_VALUE"""),0.55)</f>
        <v>0.55</v>
      </c>
      <c r="FF344" s="180"/>
      <c r="FG344" s="180">
        <f>IFERROR(__xludf.DUMMYFUNCTION("""COMPUTED_VALUE"""),0.2361111111111111)</f>
        <v>0.2361111111</v>
      </c>
      <c r="FH344" s="180"/>
      <c r="FI344" s="180"/>
      <c r="FJ344" s="180"/>
      <c r="FK344" s="180">
        <f>IFERROR(__xludf.DUMMYFUNCTION("""COMPUTED_VALUE"""),0.037)</f>
        <v>0.037</v>
      </c>
      <c r="FL344" s="180">
        <f>IFERROR(__xludf.DUMMYFUNCTION("""COMPUTED_VALUE"""),0.023148148148148147)</f>
        <v>0.02314814815</v>
      </c>
      <c r="FM344" s="180">
        <f>IFERROR(__xludf.DUMMYFUNCTION("""COMPUTED_VALUE"""),0.037)</f>
        <v>0.037</v>
      </c>
      <c r="FN344" s="16"/>
      <c r="FO344" s="16">
        <f>IFERROR(__xludf.DUMMYFUNCTION("""COMPUTED_VALUE"""),0.5347222222222221)</f>
        <v>0.5347222222</v>
      </c>
      <c r="FP344" s="16"/>
      <c r="FQ344" s="16"/>
      <c r="FR344" s="16"/>
      <c r="FS344" s="16">
        <f>IFERROR(__xludf.DUMMYFUNCTION("""COMPUTED_VALUE"""),0.6740999999999999)</f>
        <v>0.6741</v>
      </c>
      <c r="FT344" s="16">
        <f>IFERROR(__xludf.DUMMYFUNCTION("""COMPUTED_VALUE"""),0.43958333333333327)</f>
        <v>0.4395833333</v>
      </c>
      <c r="FU344" s="16">
        <f>IFERROR(__xludf.DUMMYFUNCTION("""COMPUTED_VALUE"""),0.43334999999999996)</f>
        <v>0.43335</v>
      </c>
      <c r="FV344" s="16"/>
      <c r="FW344" s="16">
        <f>IFERROR(__xludf.DUMMYFUNCTION("""COMPUTED_VALUE"""),-8.0)</f>
        <v>-8</v>
      </c>
      <c r="FX344" s="16"/>
      <c r="FY344" s="16"/>
      <c r="FZ344" s="16"/>
      <c r="GA344" s="16">
        <f>IFERROR(__xludf.DUMMYFUNCTION("""COMPUTED_VALUE"""),-4.0)</f>
        <v>-4</v>
      </c>
      <c r="GB344" s="16">
        <f>IFERROR(__xludf.DUMMYFUNCTION("""COMPUTED_VALUE"""),-8.0)</f>
        <v>-8</v>
      </c>
      <c r="GC344" s="16">
        <f>IFERROR(__xludf.DUMMYFUNCTION("""COMPUTED_VALUE"""),-8.0)</f>
        <v>-8</v>
      </c>
      <c r="GD344" s="16" t="s">
        <v>200</v>
      </c>
    </row>
    <row r="345">
      <c r="A345" s="16">
        <f>IFERROR(__xludf.DUMMYFUNCTION("""COMPUTED_VALUE"""),12531.0)</f>
        <v>12531</v>
      </c>
      <c r="B345" s="16" t="str">
        <f>IFERROR(__xludf.DUMMYFUNCTION("""COMPUTED_VALUE"""),"Alika Williams")</f>
        <v>Alika Williams</v>
      </c>
      <c r="C345" s="16">
        <f>IFERROR(__xludf.DUMMYFUNCTION("""COMPUTED_VALUE"""),0.0)</f>
        <v>0</v>
      </c>
      <c r="D345" s="16" t="str">
        <f>IFERROR(__xludf.DUMMYFUNCTION("""COMPUTED_VALUE"""),"R")</f>
        <v>R</v>
      </c>
      <c r="E345" s="16"/>
      <c r="F345" s="16"/>
      <c r="G345" s="16">
        <f>IFERROR(__xludf.DUMMYFUNCTION("""COMPUTED_VALUE"""),87.0)</f>
        <v>87</v>
      </c>
      <c r="H345" s="16">
        <f>IFERROR(__xludf.DUMMYFUNCTION("""COMPUTED_VALUE"""),3.0)</f>
        <v>3</v>
      </c>
      <c r="I345" s="16" t="str">
        <f>IFERROR(__xludf.DUMMYFUNCTION("""COMPUTED_VALUE"""),"2p20")</f>
        <v>2p20</v>
      </c>
      <c r="J345" s="16">
        <f>IFERROR(__xludf.DUMMYFUNCTION("""COMPUTED_VALUE"""),27.0)</f>
        <v>27</v>
      </c>
      <c r="K345" s="16">
        <f>IFERROR(__xludf.DUMMYFUNCTION("""COMPUTED_VALUE"""),27.0)</f>
        <v>27</v>
      </c>
      <c r="L345" s="16">
        <f>IFERROR(__xludf.DUMMYFUNCTION("""COMPUTED_VALUE"""),0.0)</f>
        <v>0</v>
      </c>
      <c r="M345" s="16">
        <f>IFERROR(__xludf.DUMMYFUNCTION("""COMPUTED_VALUE"""),0.0)</f>
        <v>0</v>
      </c>
      <c r="N345" s="16">
        <f>IFERROR(__xludf.DUMMYFUNCTION("""COMPUTED_VALUE"""),0.0)</f>
        <v>0</v>
      </c>
      <c r="O345" s="16">
        <f>IFERROR(__xludf.DUMMYFUNCTION("""COMPUTED_VALUE"""),0.0)</f>
        <v>0</v>
      </c>
      <c r="P345" s="16">
        <f>IFERROR(__xludf.DUMMYFUNCTION("""COMPUTED_VALUE"""),0.0)</f>
        <v>0</v>
      </c>
      <c r="Q345" s="16">
        <f>IFERROR(__xludf.DUMMYFUNCTION("""COMPUTED_VALUE"""),0.0)</f>
        <v>0</v>
      </c>
      <c r="R345" s="16">
        <f>IFERROR(__xludf.DUMMYFUNCTION("""COMPUTED_VALUE"""),-3.0)</f>
        <v>-3</v>
      </c>
      <c r="S345" s="16">
        <f>IFERROR(__xludf.DUMMYFUNCTION("""COMPUTED_VALUE"""),-2.0)</f>
        <v>-2</v>
      </c>
      <c r="T345" s="16">
        <f>IFERROR(__xludf.DUMMYFUNCTION("""COMPUTED_VALUE"""),-3.0)</f>
        <v>-3</v>
      </c>
      <c r="U345" s="16">
        <f>IFERROR(__xludf.DUMMYFUNCTION("""COMPUTED_VALUE"""),-2.0)</f>
        <v>-2</v>
      </c>
      <c r="V345" s="16">
        <f>IFERROR(__xludf.DUMMYFUNCTION("""COMPUTED_VALUE"""),23.1)</f>
        <v>23.1</v>
      </c>
      <c r="W345" s="16">
        <f>IFERROR(__xludf.DUMMYFUNCTION("""COMPUTED_VALUE"""),11.8)</f>
        <v>11.8</v>
      </c>
      <c r="X345" s="16">
        <f>IFERROR(__xludf.DUMMYFUNCTION("""COMPUTED_VALUE"""),1.0)</f>
        <v>1</v>
      </c>
      <c r="Y345" s="16">
        <f>IFERROR(__xludf.DUMMYFUNCTION("""COMPUTED_VALUE"""),-2.0)</f>
        <v>-2</v>
      </c>
      <c r="Z345" s="16">
        <f>IFERROR(__xludf.DUMMYFUNCTION("""COMPUTED_VALUE"""),2.0)</f>
        <v>2</v>
      </c>
      <c r="AA345" s="16">
        <f>IFERROR(__xludf.DUMMYFUNCTION("""COMPUTED_VALUE"""),-4.0)</f>
        <v>-4</v>
      </c>
      <c r="AB345" s="16">
        <f>IFERROR(__xludf.DUMMYFUNCTION("""COMPUTED_VALUE"""),25.1)</f>
        <v>25.1</v>
      </c>
      <c r="AC345" s="16">
        <f>IFERROR(__xludf.DUMMYFUNCTION("""COMPUTED_VALUE"""),13.8)</f>
        <v>13.8</v>
      </c>
      <c r="AD345" s="16">
        <f>IFERROR(__xludf.DUMMYFUNCTION("""COMPUTED_VALUE"""),-1.0)</f>
        <v>-1</v>
      </c>
      <c r="AE345" s="16">
        <f>IFERROR(__xludf.DUMMYFUNCTION("""COMPUTED_VALUE"""),-2.0)</f>
        <v>-2</v>
      </c>
      <c r="AF345" s="16">
        <f>IFERROR(__xludf.DUMMYFUNCTION("""COMPUTED_VALUE"""),-5.0)</f>
        <v>-5</v>
      </c>
      <c r="AG345" s="16">
        <f>IFERROR(__xludf.DUMMYFUNCTION("""COMPUTED_VALUE"""),-10.0)</f>
        <v>-10</v>
      </c>
      <c r="AH345" s="16">
        <f>IFERROR(__xludf.DUMMYFUNCTION("""COMPUTED_VALUE"""),52.5)</f>
        <v>52.5</v>
      </c>
      <c r="AI345" s="16">
        <f>IFERROR(__xludf.DUMMYFUNCTION("""COMPUTED_VALUE"""),18.9)</f>
        <v>18.9</v>
      </c>
      <c r="AJ345" s="16">
        <f>IFERROR(__xludf.DUMMYFUNCTION("""COMPUTED_VALUE"""),2.0)</f>
        <v>2</v>
      </c>
      <c r="AK345" s="16">
        <f>IFERROR(__xludf.DUMMYFUNCTION("""COMPUTED_VALUE"""),-2.0)</f>
        <v>-2</v>
      </c>
      <c r="AL345" s="16">
        <f>IFERROR(__xludf.DUMMYFUNCTION("""COMPUTED_VALUE"""),10.0)</f>
        <v>10</v>
      </c>
      <c r="AM345" s="16">
        <f>IFERROR(__xludf.DUMMYFUNCTION("""COMPUTED_VALUE"""),-10.0)</f>
        <v>-10</v>
      </c>
      <c r="AN345" s="16">
        <f>IFERROR(__xludf.DUMMYFUNCTION("""COMPUTED_VALUE"""),0.0)</f>
        <v>0</v>
      </c>
      <c r="AO345" s="16">
        <f>IFERROR(__xludf.DUMMYFUNCTION("""COMPUTED_VALUE"""),0.0)</f>
        <v>0</v>
      </c>
      <c r="AP345" s="16">
        <f>IFERROR(__xludf.DUMMYFUNCTION("""COMPUTED_VALUE"""),-2.0)</f>
        <v>-2</v>
      </c>
      <c r="AQ345" s="16">
        <f>IFERROR(__xludf.DUMMYFUNCTION("""COMPUTED_VALUE"""),-3.0)</f>
        <v>-3</v>
      </c>
      <c r="AR345" s="16">
        <f>IFERROR(__xludf.DUMMYFUNCTION("""COMPUTED_VALUE"""),-4.0)</f>
        <v>-4</v>
      </c>
      <c r="AS345" s="16">
        <f>IFERROR(__xludf.DUMMYFUNCTION("""COMPUTED_VALUE"""),-6.0)</f>
        <v>-6</v>
      </c>
      <c r="AT345" s="16"/>
      <c r="AU345" s="16"/>
      <c r="AV345" s="16">
        <f>IFERROR(__xludf.DUMMYFUNCTION("""COMPUTED_VALUE"""),2.0)</f>
        <v>2</v>
      </c>
      <c r="AW345" s="16">
        <f>IFERROR(__xludf.DUMMYFUNCTION("""COMPUTED_VALUE"""),8.0)</f>
        <v>8</v>
      </c>
      <c r="AX345" s="16">
        <f>IFERROR(__xludf.DUMMYFUNCTION("""COMPUTED_VALUE"""),0.0)</f>
        <v>0</v>
      </c>
      <c r="AY345" s="16">
        <f>IFERROR(__xludf.DUMMYFUNCTION("""COMPUTED_VALUE"""),3.0)</f>
        <v>3</v>
      </c>
      <c r="AZ345" s="16">
        <f>IFERROR(__xludf.DUMMYFUNCTION("""COMPUTED_VALUE"""),0.0)</f>
        <v>0</v>
      </c>
      <c r="BA345" s="16">
        <f>IFERROR(__xludf.DUMMYFUNCTION("""COMPUTED_VALUE"""),9.0)</f>
        <v>9</v>
      </c>
      <c r="BB345" s="16">
        <f>IFERROR(__xludf.DUMMYFUNCTION("""COMPUTED_VALUE"""),5.0)</f>
        <v>5</v>
      </c>
      <c r="BC345" s="16">
        <f>IFERROR(__xludf.DUMMYFUNCTION("""COMPUTED_VALUE"""),5.0)</f>
        <v>5</v>
      </c>
      <c r="BD345" s="16">
        <f>IFERROR(__xludf.DUMMYFUNCTION("""COMPUTED_VALUE"""),1.0)</f>
        <v>1</v>
      </c>
      <c r="BE345" s="16">
        <f>IFERROR(__xludf.DUMMYFUNCTION("""COMPUTED_VALUE"""),1.0)</f>
        <v>1</v>
      </c>
      <c r="BF345" s="16">
        <f>IFERROR(__xludf.DUMMYFUNCTION("""COMPUTED_VALUE"""),1.0)</f>
        <v>1</v>
      </c>
      <c r="BG345" s="16">
        <f>IFERROR(__xludf.DUMMYFUNCTION("""COMPUTED_VALUE"""),1.0)</f>
        <v>1</v>
      </c>
      <c r="BH345" s="16">
        <f>IFERROR(__xludf.DUMMYFUNCTION("""COMPUTED_VALUE"""),0.0)</f>
        <v>0</v>
      </c>
      <c r="BI345" s="16">
        <f>IFERROR(__xludf.DUMMYFUNCTION("""COMPUTED_VALUE"""),-2.0)</f>
        <v>-2</v>
      </c>
      <c r="BJ345" s="16">
        <f>IFERROR(__xludf.DUMMYFUNCTION("""COMPUTED_VALUE"""),0.0)</f>
        <v>0</v>
      </c>
      <c r="BK345" s="16">
        <f>IFERROR(__xludf.DUMMYFUNCTION("""COMPUTED_VALUE"""),0.0)</f>
        <v>0</v>
      </c>
      <c r="BL345" s="16">
        <f>IFERROR(__xludf.DUMMYFUNCTION("""COMPUTED_VALUE"""),3.0)</f>
        <v>3</v>
      </c>
      <c r="BM345" s="16">
        <f>IFERROR(__xludf.DUMMYFUNCTION("""COMPUTED_VALUE"""),3.0)</f>
        <v>3</v>
      </c>
      <c r="BN345" s="16">
        <f>IFERROR(__xludf.DUMMYFUNCTION("""COMPUTED_VALUE"""),3.0)</f>
        <v>3</v>
      </c>
      <c r="BO345" s="16">
        <f>IFERROR(__xludf.DUMMYFUNCTION("""COMPUTED_VALUE"""),3.0)</f>
        <v>3</v>
      </c>
      <c r="BP345" s="16">
        <f>IFERROR(__xludf.DUMMYFUNCTION("""COMPUTED_VALUE"""),1.0)</f>
        <v>1</v>
      </c>
      <c r="BQ345" s="16">
        <f>IFERROR(__xludf.DUMMYFUNCTION("""COMPUTED_VALUE"""),-4.0)</f>
        <v>-4</v>
      </c>
      <c r="BR345" s="16">
        <f>IFERROR(__xludf.DUMMYFUNCTION("""COMPUTED_VALUE"""),-3.0)</f>
        <v>-3</v>
      </c>
      <c r="BS345" s="16" t="str">
        <f>IFERROR(__xludf.DUMMYFUNCTION("""COMPUTED_VALUE"""),"3/- (20-6)")</f>
        <v>3/- (20-6)</v>
      </c>
      <c r="BT345" s="16" t="str">
        <f>IFERROR(__xludf.DUMMYFUNCTION("""COMPUTED_VALUE"""),"D")</f>
        <v>D</v>
      </c>
      <c r="BU345" s="16">
        <f>IFERROR(__xludf.DUMMYFUNCTION("""COMPUTED_VALUE"""),14.0)</f>
        <v>14</v>
      </c>
      <c r="BV345" s="16">
        <f>IFERROR(__xludf.DUMMYFUNCTION("""COMPUTED_VALUE"""),0.0)</f>
        <v>0</v>
      </c>
      <c r="BW345" s="16">
        <f>IFERROR(__xludf.DUMMYFUNCTION("""COMPUTED_VALUE"""),1.0)</f>
        <v>1</v>
      </c>
      <c r="BX345" s="16">
        <f>IFERROR(__xludf.DUMMYFUNCTION("""COMPUTED_VALUE"""),0.0)</f>
        <v>0</v>
      </c>
      <c r="BY345" s="16">
        <f>IFERROR(__xludf.DUMMYFUNCTION("""COMPUTED_VALUE"""),3.0)</f>
        <v>3</v>
      </c>
      <c r="BZ345" s="16" t="str">
        <f>IFERROR(__xludf.DUMMYFUNCTION("""COMPUTED_VALUE"""),"A")</f>
        <v>A</v>
      </c>
      <c r="CA345" s="16" t="str">
        <f>IFERROR(__xludf.DUMMYFUNCTION("""COMPUTED_VALUE"""),"D")</f>
        <v>D</v>
      </c>
      <c r="CB345" s="16">
        <f>IFERROR(__xludf.DUMMYFUNCTION("""COMPUTED_VALUE"""),2.0)</f>
        <v>2</v>
      </c>
      <c r="CC345" s="16">
        <f>IFERROR(__xludf.DUMMYFUNCTION("""COMPUTED_VALUE"""),0.0)</f>
        <v>0</v>
      </c>
      <c r="CD345" s="16">
        <f>IFERROR(__xludf.DUMMYFUNCTION("""COMPUTED_VALUE"""),2.0)</f>
        <v>2</v>
      </c>
      <c r="CE345" s="16">
        <f>IFERROR(__xludf.DUMMYFUNCTION("""COMPUTED_VALUE"""),0.0)</f>
        <v>0</v>
      </c>
      <c r="CF345" s="16">
        <f>IFERROR(__xludf.DUMMYFUNCTION("""COMPUTED_VALUE"""),2.0)</f>
        <v>2</v>
      </c>
      <c r="CG345" s="16">
        <f>IFERROR(__xludf.DUMMYFUNCTION("""COMPUTED_VALUE"""),4.0)</f>
        <v>4</v>
      </c>
      <c r="CH345" s="16">
        <f>IFERROR(__xludf.DUMMYFUNCTION("""COMPUTED_VALUE"""),-19.0)</f>
        <v>-19</v>
      </c>
      <c r="CI345" s="179">
        <f>IFERROR(__xludf.DUMMYFUNCTION("""COMPUTED_VALUE"""),-14.0)</f>
        <v>-14</v>
      </c>
      <c r="CJ345" s="16"/>
      <c r="CK345" s="16"/>
      <c r="CL345" s="16">
        <f>IFERROR(__xludf.DUMMYFUNCTION("""COMPUTED_VALUE"""),310.0)</f>
        <v>310</v>
      </c>
      <c r="CM345" s="16"/>
      <c r="CN345" s="16">
        <f>IFERROR(__xludf.DUMMYFUNCTION("""COMPUTED_VALUE"""),314.0)</f>
        <v>314</v>
      </c>
      <c r="CO345" s="16"/>
      <c r="CP345" s="16"/>
      <c r="CQ345" s="16"/>
      <c r="CR345" s="16" t="str">
        <f>IFERROR(__xludf.DUMMYFUNCTION("""COMPUTED_VALUE"""),"2b-3e10 ss-3e14")</f>
        <v>2b-3e10 ss-3e14</v>
      </c>
      <c r="CS345" s="16"/>
      <c r="CT345" s="16"/>
      <c r="CU345" s="16">
        <f>IFERROR(__xludf.DUMMYFUNCTION("""COMPUTED_VALUE"""),3.0)</f>
        <v>3</v>
      </c>
      <c r="CV345" s="16"/>
      <c r="CW345" s="16">
        <f>IFERROR(__xludf.DUMMYFUNCTION("""COMPUTED_VALUE"""),3.0)</f>
        <v>3</v>
      </c>
      <c r="CX345" s="16"/>
      <c r="CY345" s="16"/>
      <c r="CZ345" s="16"/>
      <c r="DA345" s="16"/>
      <c r="DB345" s="16"/>
      <c r="DC345" s="16">
        <f>IFERROR(__xludf.DUMMYFUNCTION("""COMPUTED_VALUE"""),10.0)</f>
        <v>10</v>
      </c>
      <c r="DD345" s="16"/>
      <c r="DE345" s="16">
        <f>IFERROR(__xludf.DUMMYFUNCTION("""COMPUTED_VALUE"""),14.0)</f>
        <v>14</v>
      </c>
      <c r="DF345" s="16"/>
      <c r="DG345" s="16"/>
      <c r="DH345" s="16"/>
      <c r="DI345" s="16"/>
      <c r="DJ345" s="16"/>
      <c r="DK345" s="16">
        <f>IFERROR(__xludf.DUMMYFUNCTION("""COMPUTED_VALUE"""),0.0)</f>
        <v>0</v>
      </c>
      <c r="DL345" s="16"/>
      <c r="DM345" s="16">
        <f>IFERROR(__xludf.DUMMYFUNCTION("""COMPUTED_VALUE"""),0.0)</f>
        <v>0</v>
      </c>
      <c r="DN345" s="16"/>
      <c r="DO345" s="16"/>
      <c r="DP345" s="16"/>
      <c r="DQ345" s="16"/>
      <c r="DR345" s="16"/>
      <c r="DS345" s="16">
        <f>IFERROR(__xludf.DUMMYFUNCTION("""COMPUTED_VALUE"""),3.0)</f>
        <v>3</v>
      </c>
      <c r="DT345" s="16"/>
      <c r="DU345" s="16">
        <f>IFERROR(__xludf.DUMMYFUNCTION("""COMPUTED_VALUE"""),2.0)</f>
        <v>2</v>
      </c>
      <c r="DV345" s="16"/>
      <c r="DW345" s="16"/>
      <c r="DX345" s="16"/>
      <c r="DY345" s="16"/>
      <c r="DZ345" s="16"/>
      <c r="EA345" s="16">
        <f>IFERROR(__xludf.DUMMYFUNCTION("""COMPUTED_VALUE"""),3.0)</f>
        <v>3</v>
      </c>
      <c r="EB345" s="16"/>
      <c r="EC345" s="16">
        <f>IFERROR(__xludf.DUMMYFUNCTION("""COMPUTED_VALUE"""),2.0)</f>
        <v>2</v>
      </c>
      <c r="ED345" s="16"/>
      <c r="EE345" s="16"/>
      <c r="EF345" s="16"/>
      <c r="EG345" s="179"/>
      <c r="EH345" s="179"/>
      <c r="EI345" s="179">
        <f>IFERROR(__xludf.DUMMYFUNCTION("""COMPUTED_VALUE"""),-11.0)</f>
        <v>-11</v>
      </c>
      <c r="EJ345" s="179"/>
      <c r="EK345" s="179">
        <f>IFERROR(__xludf.DUMMYFUNCTION("""COMPUTED_VALUE"""),-12.0)</f>
        <v>-12</v>
      </c>
      <c r="EL345" s="179"/>
      <c r="EM345" s="179"/>
      <c r="EN345" s="179"/>
      <c r="EO345" s="16"/>
      <c r="EP345" s="16">
        <f>IFERROR(__xludf.DUMMYFUNCTION("""COMPUTED_VALUE"""),1.0)</f>
        <v>1</v>
      </c>
      <c r="EQ345" s="16">
        <f>IFERROR(__xludf.DUMMYFUNCTION("""COMPUTED_VALUE"""),2.0)</f>
        <v>2</v>
      </c>
      <c r="ER345" s="16">
        <f>IFERROR(__xludf.DUMMYFUNCTION("""COMPUTED_VALUE"""),-4.0)</f>
        <v>-4</v>
      </c>
      <c r="ES345" s="16"/>
      <c r="ET345" s="16"/>
      <c r="EU345" s="16"/>
      <c r="EV345" s="16"/>
      <c r="EW345" s="16"/>
      <c r="EX345" s="180"/>
      <c r="EY345" s="180"/>
      <c r="EZ345" s="180">
        <f>IFERROR(__xludf.DUMMYFUNCTION("""COMPUTED_VALUE"""),0.2)</f>
        <v>0.2</v>
      </c>
      <c r="FA345" s="180"/>
      <c r="FB345" s="180">
        <f>IFERROR(__xludf.DUMMYFUNCTION("""COMPUTED_VALUE"""),0.2)</f>
        <v>0.2</v>
      </c>
      <c r="FC345" s="180"/>
      <c r="FD345" s="180"/>
      <c r="FE345" s="180"/>
      <c r="FF345" s="180"/>
      <c r="FG345" s="180"/>
      <c r="FH345" s="180">
        <f>IFERROR(__xludf.DUMMYFUNCTION("""COMPUTED_VALUE"""),0.06018518518518518)</f>
        <v>0.06018518519</v>
      </c>
      <c r="FI345" s="180"/>
      <c r="FJ345" s="180">
        <f>IFERROR(__xludf.DUMMYFUNCTION("""COMPUTED_VALUE"""),0.07407407407407407)</f>
        <v>0.07407407407</v>
      </c>
      <c r="FK345" s="180"/>
      <c r="FL345" s="180"/>
      <c r="FM345" s="180"/>
      <c r="FN345" s="16"/>
      <c r="FO345" s="16"/>
      <c r="FP345" s="16">
        <f>IFERROR(__xludf.DUMMYFUNCTION("""COMPUTED_VALUE"""),0.7518518518518519)</f>
        <v>0.7518518519</v>
      </c>
      <c r="FQ345" s="16"/>
      <c r="FR345" s="16">
        <f>IFERROR(__xludf.DUMMYFUNCTION("""COMPUTED_VALUE"""),0.7407407407407408)</f>
        <v>0.7407407407</v>
      </c>
      <c r="FS345" s="16"/>
      <c r="FT345" s="16"/>
      <c r="FU345" s="16"/>
      <c r="FV345" s="16"/>
      <c r="FW345" s="16"/>
      <c r="FX345" s="16">
        <f>IFERROR(__xludf.DUMMYFUNCTION("""COMPUTED_VALUE"""),-1.0)</f>
        <v>-1</v>
      </c>
      <c r="FY345" s="16"/>
      <c r="FZ345" s="16">
        <f>IFERROR(__xludf.DUMMYFUNCTION("""COMPUTED_VALUE"""),-4.0)</f>
        <v>-4</v>
      </c>
      <c r="GA345" s="16"/>
      <c r="GB345" s="16"/>
      <c r="GC345" s="16"/>
      <c r="GD345" s="16" t="s">
        <v>212</v>
      </c>
    </row>
    <row r="346">
      <c r="A346" s="16">
        <f>IFERROR(__xludf.DUMMYFUNCTION("""COMPUTED_VALUE"""),12772.0)</f>
        <v>12772</v>
      </c>
      <c r="B346" s="16" t="str">
        <f>IFERROR(__xludf.DUMMYFUNCTION("""COMPUTED_VALUE"""),"Dylan Crews")</f>
        <v>Dylan Crews</v>
      </c>
      <c r="C346" s="16">
        <f>IFERROR(__xludf.DUMMYFUNCTION("""COMPUTED_VALUE"""),1.32)</f>
        <v>1.32</v>
      </c>
      <c r="D346" s="16" t="str">
        <f>IFERROR(__xludf.DUMMYFUNCTION("""COMPUTED_VALUE"""),"R")</f>
        <v>R</v>
      </c>
      <c r="E346" s="16"/>
      <c r="F346" s="16"/>
      <c r="G346" s="16">
        <f>IFERROR(__xludf.DUMMYFUNCTION("""COMPUTED_VALUE"""),119.0)</f>
        <v>119</v>
      </c>
      <c r="H346" s="16">
        <f>IFERROR(__xludf.DUMMYFUNCTION("""COMPUTED_VALUE"""),11.0)</f>
        <v>11</v>
      </c>
      <c r="I346" s="16" t="str">
        <f>IFERROR(__xludf.DUMMYFUNCTION("""COMPUTED_VALUE"""),"1p20")</f>
        <v>1p20</v>
      </c>
      <c r="J346" s="16">
        <f>IFERROR(__xludf.DUMMYFUNCTION("""COMPUTED_VALUE"""),22.0)</f>
        <v>22</v>
      </c>
      <c r="K346" s="16">
        <f>IFERROR(__xludf.DUMMYFUNCTION("""COMPUTED_VALUE"""),15.0)</f>
        <v>15</v>
      </c>
      <c r="L346" s="16">
        <f>IFERROR(__xludf.DUMMYFUNCTION("""COMPUTED_VALUE"""),0.0)</f>
        <v>0</v>
      </c>
      <c r="M346" s="16">
        <f>IFERROR(__xludf.DUMMYFUNCTION("""COMPUTED_VALUE"""),1.0)</f>
        <v>1</v>
      </c>
      <c r="N346" s="16">
        <f>IFERROR(__xludf.DUMMYFUNCTION("""COMPUTED_VALUE"""),0.0)</f>
        <v>0</v>
      </c>
      <c r="O346" s="16">
        <f>IFERROR(__xludf.DUMMYFUNCTION("""COMPUTED_VALUE"""),1.0)</f>
        <v>1</v>
      </c>
      <c r="P346" s="16">
        <f>IFERROR(__xludf.DUMMYFUNCTION("""COMPUTED_VALUE"""),12.0)</f>
        <v>12</v>
      </c>
      <c r="Q346" s="16">
        <f>IFERROR(__xludf.DUMMYFUNCTION("""COMPUTED_VALUE"""),9.0)</f>
        <v>9</v>
      </c>
      <c r="R346" s="16">
        <f>IFERROR(__xludf.DUMMYFUNCTION("""COMPUTED_VALUE"""),1.0)</f>
        <v>1</v>
      </c>
      <c r="S346" s="16">
        <f>IFERROR(__xludf.DUMMYFUNCTION("""COMPUTED_VALUE"""),0.0)</f>
        <v>0</v>
      </c>
      <c r="T346" s="16">
        <f>IFERROR(__xludf.DUMMYFUNCTION("""COMPUTED_VALUE"""),1.0)</f>
        <v>1</v>
      </c>
      <c r="U346" s="16">
        <f>IFERROR(__xludf.DUMMYFUNCTION("""COMPUTED_VALUE"""),0.0)</f>
        <v>0</v>
      </c>
      <c r="V346" s="16">
        <f>IFERROR(__xludf.DUMMYFUNCTION("""COMPUTED_VALUE"""),19.2)</f>
        <v>19.2</v>
      </c>
      <c r="W346" s="16">
        <f>IFERROR(__xludf.DUMMYFUNCTION("""COMPUTED_VALUE"""),14.9)</f>
        <v>14.9</v>
      </c>
      <c r="X346" s="16">
        <f>IFERROR(__xludf.DUMMYFUNCTION("""COMPUTED_VALUE"""),0.0)</f>
        <v>0</v>
      </c>
      <c r="Y346" s="16">
        <f>IFERROR(__xludf.DUMMYFUNCTION("""COMPUTED_VALUE"""),-1.0)</f>
        <v>-1</v>
      </c>
      <c r="Z346" s="16">
        <f>IFERROR(__xludf.DUMMYFUNCTION("""COMPUTED_VALUE"""),0.0)</f>
        <v>0</v>
      </c>
      <c r="AA346" s="16">
        <f>IFERROR(__xludf.DUMMYFUNCTION("""COMPUTED_VALUE"""),-2.0)</f>
        <v>-2</v>
      </c>
      <c r="AB346" s="16">
        <f>IFERROR(__xludf.DUMMYFUNCTION("""COMPUTED_VALUE"""),33.2)</f>
        <v>33.2</v>
      </c>
      <c r="AC346" s="16">
        <f>IFERROR(__xludf.DUMMYFUNCTION("""COMPUTED_VALUE"""),25.9)</f>
        <v>25.9</v>
      </c>
      <c r="AD346" s="16">
        <f>IFERROR(__xludf.DUMMYFUNCTION("""COMPUTED_VALUE"""),0.0)</f>
        <v>0</v>
      </c>
      <c r="AE346" s="16">
        <f>IFERROR(__xludf.DUMMYFUNCTION("""COMPUTED_VALUE"""),-1.0)</f>
        <v>-1</v>
      </c>
      <c r="AF346" s="16">
        <f>IFERROR(__xludf.DUMMYFUNCTION("""COMPUTED_VALUE"""),0.0)</f>
        <v>0</v>
      </c>
      <c r="AG346" s="16">
        <f>IFERROR(__xludf.DUMMYFUNCTION("""COMPUTED_VALUE"""),-5.0)</f>
        <v>-5</v>
      </c>
      <c r="AH346" s="16">
        <f>IFERROR(__xludf.DUMMYFUNCTION("""COMPUTED_VALUE"""),32.4)</f>
        <v>32.4</v>
      </c>
      <c r="AI346" s="16">
        <f>IFERROR(__xludf.DUMMYFUNCTION("""COMPUTED_VALUE"""),22.4)</f>
        <v>22.4</v>
      </c>
      <c r="AJ346" s="16">
        <f>IFERROR(__xludf.DUMMYFUNCTION("""COMPUTED_VALUE"""),0.0)</f>
        <v>0</v>
      </c>
      <c r="AK346" s="16">
        <f>IFERROR(__xludf.DUMMYFUNCTION("""COMPUTED_VALUE"""),-1.0)</f>
        <v>-1</v>
      </c>
      <c r="AL346" s="16">
        <f>IFERROR(__xludf.DUMMYFUNCTION("""COMPUTED_VALUE"""),0.0)</f>
        <v>0</v>
      </c>
      <c r="AM346" s="16">
        <f>IFERROR(__xludf.DUMMYFUNCTION("""COMPUTED_VALUE"""),-5.0)</f>
        <v>-5</v>
      </c>
      <c r="AN346" s="16">
        <f>IFERROR(__xludf.DUMMYFUNCTION("""COMPUTED_VALUE"""),2.8)</f>
        <v>2.8</v>
      </c>
      <c r="AO346" s="16">
        <f>IFERROR(__xludf.DUMMYFUNCTION("""COMPUTED_VALUE"""),0.4)</f>
        <v>0.4</v>
      </c>
      <c r="AP346" s="16">
        <f>IFERROR(__xludf.DUMMYFUNCTION("""COMPUTED_VALUE"""),1.0)</f>
        <v>1</v>
      </c>
      <c r="AQ346" s="16">
        <f>IFERROR(__xludf.DUMMYFUNCTION("""COMPUTED_VALUE"""),-2.0)</f>
        <v>-2</v>
      </c>
      <c r="AR346" s="16">
        <f>IFERROR(__xludf.DUMMYFUNCTION("""COMPUTED_VALUE"""),2.0)</f>
        <v>2</v>
      </c>
      <c r="AS346" s="16">
        <f>IFERROR(__xludf.DUMMYFUNCTION("""COMPUTED_VALUE"""),-4.0)</f>
        <v>-4</v>
      </c>
      <c r="AT346" s="16">
        <f>IFERROR(__xludf.DUMMYFUNCTION("""COMPUTED_VALUE"""),4.0)</f>
        <v>4</v>
      </c>
      <c r="AU346" s="16">
        <f>IFERROR(__xludf.DUMMYFUNCTION("""COMPUTED_VALUE"""),0.0)</f>
        <v>0</v>
      </c>
      <c r="AV346" s="16">
        <f>IFERROR(__xludf.DUMMYFUNCTION("""COMPUTED_VALUE"""),4.0)</f>
        <v>4</v>
      </c>
      <c r="AW346" s="16">
        <f>IFERROR(__xludf.DUMMYFUNCTION("""COMPUTED_VALUE"""),0.0)</f>
        <v>0</v>
      </c>
      <c r="AX346" s="16">
        <f>IFERROR(__xludf.DUMMYFUNCTION("""COMPUTED_VALUE"""),2.0)</f>
        <v>2</v>
      </c>
      <c r="AY346" s="16">
        <f>IFERROR(__xludf.DUMMYFUNCTION("""COMPUTED_VALUE"""),-2.0)</f>
        <v>-2</v>
      </c>
      <c r="AZ346" s="16">
        <f>IFERROR(__xludf.DUMMYFUNCTION("""COMPUTED_VALUE"""),6.0)</f>
        <v>6</v>
      </c>
      <c r="BA346" s="16">
        <f>IFERROR(__xludf.DUMMYFUNCTION("""COMPUTED_VALUE"""),-6.0)</f>
        <v>-6</v>
      </c>
      <c r="BB346" s="16">
        <f>IFERROR(__xludf.DUMMYFUNCTION("""COMPUTED_VALUE"""),5.0)</f>
        <v>5</v>
      </c>
      <c r="BC346" s="16">
        <f>IFERROR(__xludf.DUMMYFUNCTION("""COMPUTED_VALUE"""),5.0)</f>
        <v>5</v>
      </c>
      <c r="BD346" s="16">
        <f>IFERROR(__xludf.DUMMYFUNCTION("""COMPUTED_VALUE"""),1.0)</f>
        <v>1</v>
      </c>
      <c r="BE346" s="16">
        <f>IFERROR(__xludf.DUMMYFUNCTION("""COMPUTED_VALUE"""),1.0)</f>
        <v>1</v>
      </c>
      <c r="BF346" s="16">
        <f>IFERROR(__xludf.DUMMYFUNCTION("""COMPUTED_VALUE"""),1.0)</f>
        <v>1</v>
      </c>
      <c r="BG346" s="16">
        <f>IFERROR(__xludf.DUMMYFUNCTION("""COMPUTED_VALUE"""),1.0)</f>
        <v>1</v>
      </c>
      <c r="BH346" s="16">
        <f>IFERROR(__xludf.DUMMYFUNCTION("""COMPUTED_VALUE"""),-9.0)</f>
        <v>-9</v>
      </c>
      <c r="BI346" s="16">
        <f>IFERROR(__xludf.DUMMYFUNCTION("""COMPUTED_VALUE"""),-7.0)</f>
        <v>-7</v>
      </c>
      <c r="BJ346" s="16">
        <f>IFERROR(__xludf.DUMMYFUNCTION("""COMPUTED_VALUE"""),22.0)</f>
        <v>22</v>
      </c>
      <c r="BK346" s="16">
        <f>IFERROR(__xludf.DUMMYFUNCTION("""COMPUTED_VALUE"""),23.0)</f>
        <v>23</v>
      </c>
      <c r="BL346" s="16">
        <f>IFERROR(__xludf.DUMMYFUNCTION("""COMPUTED_VALUE"""),-2.0)</f>
        <v>-2</v>
      </c>
      <c r="BM346" s="16">
        <f>IFERROR(__xludf.DUMMYFUNCTION("""COMPUTED_VALUE"""),-2.0)</f>
        <v>-2</v>
      </c>
      <c r="BN346" s="16">
        <f>IFERROR(__xludf.DUMMYFUNCTION("""COMPUTED_VALUE"""),-4.0)</f>
        <v>-4</v>
      </c>
      <c r="BO346" s="16">
        <f>IFERROR(__xludf.DUMMYFUNCTION("""COMPUTED_VALUE"""),-4.0)</f>
        <v>-4</v>
      </c>
      <c r="BP346" s="16">
        <f>IFERROR(__xludf.DUMMYFUNCTION("""COMPUTED_VALUE"""),3.0)</f>
        <v>3</v>
      </c>
      <c r="BQ346" s="16">
        <f>IFERROR(__xludf.DUMMYFUNCTION("""COMPUTED_VALUE"""),-7.0)</f>
        <v>-7</v>
      </c>
      <c r="BR346" s="16">
        <f>IFERROR(__xludf.DUMMYFUNCTION("""COMPUTED_VALUE"""),-4.0)</f>
        <v>-4</v>
      </c>
      <c r="BS346" s="16" t="str">
        <f>IFERROR(__xludf.DUMMYFUNCTION("""COMPUTED_VALUE"""),"*2-6,9/- (19-15)")</f>
        <v>*2-6,9/- (19-15)</v>
      </c>
      <c r="BT346" s="16" t="str">
        <f>IFERROR(__xludf.DUMMYFUNCTION("""COMPUTED_VALUE"""),"A")</f>
        <v>A</v>
      </c>
      <c r="BU346" s="16">
        <f>IFERROR(__xludf.DUMMYFUNCTION("""COMPUTED_VALUE"""),16.0)</f>
        <v>16</v>
      </c>
      <c r="BV346" s="16">
        <f>IFERROR(__xludf.DUMMYFUNCTION("""COMPUTED_VALUE"""),2.0)</f>
        <v>2</v>
      </c>
      <c r="BW346" s="16">
        <f>IFERROR(__xludf.DUMMYFUNCTION("""COMPUTED_VALUE"""),2.0)</f>
        <v>2</v>
      </c>
      <c r="BX346" s="16">
        <f>IFERROR(__xludf.DUMMYFUNCTION("""COMPUTED_VALUE"""),4.0)</f>
        <v>4</v>
      </c>
      <c r="BY346" s="16">
        <f>IFERROR(__xludf.DUMMYFUNCTION("""COMPUTED_VALUE"""),6.0)</f>
        <v>6</v>
      </c>
      <c r="BZ346" s="16" t="str">
        <f>IFERROR(__xludf.DUMMYFUNCTION("""COMPUTED_VALUE"""),"D")</f>
        <v>D</v>
      </c>
      <c r="CA346" s="16" t="str">
        <f>IFERROR(__xludf.DUMMYFUNCTION("""COMPUTED_VALUE"""),"C")</f>
        <v>C</v>
      </c>
      <c r="CB346" s="16">
        <f>IFERROR(__xludf.DUMMYFUNCTION("""COMPUTED_VALUE"""),0.0)</f>
        <v>0</v>
      </c>
      <c r="CC346" s="16">
        <f>IFERROR(__xludf.DUMMYFUNCTION("""COMPUTED_VALUE"""),0.0)</f>
        <v>0</v>
      </c>
      <c r="CD346" s="16">
        <f>IFERROR(__xludf.DUMMYFUNCTION("""COMPUTED_VALUE"""),0.0)</f>
        <v>0</v>
      </c>
      <c r="CE346" s="16">
        <f>IFERROR(__xludf.DUMMYFUNCTION("""COMPUTED_VALUE"""),0.0)</f>
        <v>0</v>
      </c>
      <c r="CF346" s="16">
        <f>IFERROR(__xludf.DUMMYFUNCTION("""COMPUTED_VALUE"""),1.0)</f>
        <v>1</v>
      </c>
      <c r="CG346" s="16">
        <f>IFERROR(__xludf.DUMMYFUNCTION("""COMPUTED_VALUE"""),6.0)</f>
        <v>6</v>
      </c>
      <c r="CH346" s="16">
        <f>IFERROR(__xludf.DUMMYFUNCTION("""COMPUTED_VALUE"""),-24.0)</f>
        <v>-24</v>
      </c>
      <c r="CI346" s="179">
        <f>IFERROR(__xludf.DUMMYFUNCTION("""COMPUTED_VALUE"""),-14.0)</f>
        <v>-14</v>
      </c>
      <c r="CJ346" s="16"/>
      <c r="CK346" s="16"/>
      <c r="CL346" s="16"/>
      <c r="CM346" s="16"/>
      <c r="CN346" s="16"/>
      <c r="CO346" s="16"/>
      <c r="CP346" s="16">
        <f>IFERROR(__xludf.DUMMYFUNCTION("""COMPUTED_VALUE"""),301.0)</f>
        <v>301</v>
      </c>
      <c r="CQ346" s="16">
        <f>IFERROR(__xludf.DUMMYFUNCTION("""COMPUTED_VALUE"""),201.0)</f>
        <v>201</v>
      </c>
      <c r="CR346" s="16" t="str">
        <f>IFERROR(__xludf.DUMMYFUNCTION("""COMPUTED_VALUE"""),"rf-2(-2)e1 cf-3e1")</f>
        <v>rf-2(-2)e1 cf-3e1</v>
      </c>
      <c r="CS346" s="16"/>
      <c r="CT346" s="16"/>
      <c r="CU346" s="16"/>
      <c r="CV346" s="16"/>
      <c r="CW346" s="16"/>
      <c r="CX346" s="16"/>
      <c r="CY346" s="16">
        <f>IFERROR(__xludf.DUMMYFUNCTION("""COMPUTED_VALUE"""),3.0)</f>
        <v>3</v>
      </c>
      <c r="CZ346" s="16">
        <f>IFERROR(__xludf.DUMMYFUNCTION("""COMPUTED_VALUE"""),2.0)</f>
        <v>2</v>
      </c>
      <c r="DA346" s="16"/>
      <c r="DB346" s="16"/>
      <c r="DC346" s="16"/>
      <c r="DD346" s="16"/>
      <c r="DE346" s="16"/>
      <c r="DF346" s="16"/>
      <c r="DG346" s="16">
        <f>IFERROR(__xludf.DUMMYFUNCTION("""COMPUTED_VALUE"""),1.0)</f>
        <v>1</v>
      </c>
      <c r="DH346" s="16">
        <f>IFERROR(__xludf.DUMMYFUNCTION("""COMPUTED_VALUE"""),1.0)</f>
        <v>1</v>
      </c>
      <c r="DI346" s="16"/>
      <c r="DJ346" s="16"/>
      <c r="DK346" s="16"/>
      <c r="DL346" s="16"/>
      <c r="DM346" s="16"/>
      <c r="DN346" s="16"/>
      <c r="DO346" s="16">
        <f>IFERROR(__xludf.DUMMYFUNCTION("""COMPUTED_VALUE"""),0.0)</f>
        <v>0</v>
      </c>
      <c r="DP346" s="16">
        <f>IFERROR(__xludf.DUMMYFUNCTION("""COMPUTED_VALUE"""),3.0)</f>
        <v>3</v>
      </c>
      <c r="DQ346" s="16"/>
      <c r="DR346" s="16"/>
      <c r="DS346" s="16"/>
      <c r="DT346" s="16"/>
      <c r="DU346" s="16"/>
      <c r="DV346" s="16"/>
      <c r="DW346" s="16">
        <f>IFERROR(__xludf.DUMMYFUNCTION("""COMPUTED_VALUE"""),4.0)</f>
        <v>4</v>
      </c>
      <c r="DX346" s="16">
        <f>IFERROR(__xludf.DUMMYFUNCTION("""COMPUTED_VALUE"""),4.0)</f>
        <v>4</v>
      </c>
      <c r="DY346" s="16"/>
      <c r="DZ346" s="16"/>
      <c r="EA346" s="16"/>
      <c r="EB346" s="16"/>
      <c r="EC346" s="16"/>
      <c r="ED346" s="16"/>
      <c r="EE346" s="16">
        <f>IFERROR(__xludf.DUMMYFUNCTION("""COMPUTED_VALUE"""),4.0)</f>
        <v>4</v>
      </c>
      <c r="EF346" s="16">
        <f>IFERROR(__xludf.DUMMYFUNCTION("""COMPUTED_VALUE"""),7.0)</f>
        <v>7</v>
      </c>
      <c r="EG346" s="179"/>
      <c r="EH346" s="179"/>
      <c r="EI346" s="179"/>
      <c r="EJ346" s="179"/>
      <c r="EK346" s="179"/>
      <c r="EL346" s="179"/>
      <c r="EM346" s="179">
        <f>IFERROR(__xludf.DUMMYFUNCTION("""COMPUTED_VALUE"""),-10.0)</f>
        <v>-10</v>
      </c>
      <c r="EN346" s="179">
        <f>IFERROR(__xludf.DUMMYFUNCTION("""COMPUTED_VALUE"""),-7.0)</f>
        <v>-7</v>
      </c>
      <c r="EO346" s="16"/>
      <c r="EP346" s="16">
        <f>IFERROR(__xludf.DUMMYFUNCTION("""COMPUTED_VALUE"""),0.0)</f>
        <v>0</v>
      </c>
      <c r="EQ346" s="16">
        <f>IFERROR(__xludf.DUMMYFUNCTION("""COMPUTED_VALUE"""),4.0)</f>
        <v>4</v>
      </c>
      <c r="ER346" s="16">
        <f>IFERROR(__xludf.DUMMYFUNCTION("""COMPUTED_VALUE"""),-4.0)</f>
        <v>-4</v>
      </c>
      <c r="ES346" s="16"/>
      <c r="ET346" s="16"/>
      <c r="EU346" s="16"/>
      <c r="EV346" s="16"/>
      <c r="EW346" s="16"/>
      <c r="EX346" s="180"/>
      <c r="EY346" s="180"/>
      <c r="EZ346" s="180"/>
      <c r="FA346" s="180"/>
      <c r="FB346" s="180"/>
      <c r="FC346" s="180"/>
      <c r="FD346" s="180">
        <f>IFERROR(__xludf.DUMMYFUNCTION("""COMPUTED_VALUE"""),0.3)</f>
        <v>0.3</v>
      </c>
      <c r="FE346" s="180">
        <f>IFERROR(__xludf.DUMMYFUNCTION("""COMPUTED_VALUE"""),0.15)</f>
        <v>0.15</v>
      </c>
      <c r="FF346" s="180"/>
      <c r="FG346" s="180"/>
      <c r="FH346" s="180"/>
      <c r="FI346" s="180"/>
      <c r="FJ346" s="180"/>
      <c r="FK346" s="180"/>
      <c r="FL346" s="180">
        <f>IFERROR(__xludf.DUMMYFUNCTION("""COMPUTED_VALUE"""),0.013888888888888888)</f>
        <v>0.01388888889</v>
      </c>
      <c r="FM346" s="180">
        <f>IFERROR(__xludf.DUMMYFUNCTION("""COMPUTED_VALUE"""),0.019)</f>
        <v>0.019</v>
      </c>
      <c r="FN346" s="16"/>
      <c r="FO346" s="16"/>
      <c r="FP346" s="16"/>
      <c r="FQ346" s="16"/>
      <c r="FR346" s="16"/>
      <c r="FS346" s="16"/>
      <c r="FT346" s="16">
        <f>IFERROR(__xludf.DUMMYFUNCTION("""COMPUTED_VALUE"""),0.6902777777777778)</f>
        <v>0.6902777778</v>
      </c>
      <c r="FU346" s="16">
        <f>IFERROR(__xludf.DUMMYFUNCTION("""COMPUTED_VALUE"""),0.83385)</f>
        <v>0.83385</v>
      </c>
      <c r="FV346" s="16"/>
      <c r="FW346" s="16"/>
      <c r="FX346" s="16"/>
      <c r="FY346" s="16"/>
      <c r="FZ346" s="16"/>
      <c r="GA346" s="16"/>
      <c r="GB346" s="16">
        <f>IFERROR(__xludf.DUMMYFUNCTION("""COMPUTED_VALUE"""),-4.0)</f>
        <v>-4</v>
      </c>
      <c r="GC346" s="16">
        <f>IFERROR(__xludf.DUMMYFUNCTION("""COMPUTED_VALUE"""),1.0)</f>
        <v>1</v>
      </c>
      <c r="GD346" s="16" t="s">
        <v>176</v>
      </c>
    </row>
    <row r="347">
      <c r="A347" s="16">
        <f>IFERROR(__xludf.DUMMYFUNCTION("""COMPUTED_VALUE"""),12977.0)</f>
        <v>12977</v>
      </c>
      <c r="B347" s="16" t="str">
        <f>IFERROR(__xludf.DUMMYFUNCTION("""COMPUTED_VALUE"""),"Joey Meneses")</f>
        <v>Joey Meneses</v>
      </c>
      <c r="C347" s="16">
        <f>IFERROR(__xludf.DUMMYFUNCTION("""COMPUTED_VALUE"""),0.0)</f>
        <v>0</v>
      </c>
      <c r="D347" s="16" t="str">
        <f>IFERROR(__xludf.DUMMYFUNCTION("""COMPUTED_VALUE"""),"R")</f>
        <v>R</v>
      </c>
      <c r="E347" s="16"/>
      <c r="F347" s="16"/>
      <c r="G347" s="16">
        <f>IFERROR(__xludf.DUMMYFUNCTION("""COMPUTED_VALUE"""),281.0)</f>
        <v>281</v>
      </c>
      <c r="H347" s="16">
        <f>IFERROR(__xludf.DUMMYFUNCTION("""COMPUTED_VALUE"""),21.0)</f>
        <v>21</v>
      </c>
      <c r="I347" s="16" t="str">
        <f>IFERROR(__xludf.DUMMYFUNCTION("""COMPUTED_VALUE"""),"1p40")</f>
        <v>1p40</v>
      </c>
      <c r="J347" s="16">
        <f>IFERROR(__xludf.DUMMYFUNCTION("""COMPUTED_VALUE"""),29.0)</f>
        <v>29</v>
      </c>
      <c r="K347" s="16">
        <f>IFERROR(__xludf.DUMMYFUNCTION("""COMPUTED_VALUE"""),15.0)</f>
        <v>15</v>
      </c>
      <c r="L347" s="16">
        <f>IFERROR(__xludf.DUMMYFUNCTION("""COMPUTED_VALUE"""),0.0)</f>
        <v>0</v>
      </c>
      <c r="M347" s="16">
        <f>IFERROR(__xludf.DUMMYFUNCTION("""COMPUTED_VALUE"""),1.0)</f>
        <v>1</v>
      </c>
      <c r="N347" s="16">
        <f>IFERROR(__xludf.DUMMYFUNCTION("""COMPUTED_VALUE"""),0.0)</f>
        <v>0</v>
      </c>
      <c r="O347" s="16">
        <f>IFERROR(__xludf.DUMMYFUNCTION("""COMPUTED_VALUE"""),1.0)</f>
        <v>1</v>
      </c>
      <c r="P347" s="16">
        <f>IFERROR(__xludf.DUMMYFUNCTION("""COMPUTED_VALUE"""),3.0)</f>
        <v>3</v>
      </c>
      <c r="Q347" s="16">
        <f>IFERROR(__xludf.DUMMYFUNCTION("""COMPUTED_VALUE"""),7.0)</f>
        <v>7</v>
      </c>
      <c r="R347" s="16">
        <f>IFERROR(__xludf.DUMMYFUNCTION("""COMPUTED_VALUE"""),-2.0)</f>
        <v>-2</v>
      </c>
      <c r="S347" s="16">
        <f>IFERROR(__xludf.DUMMYFUNCTION("""COMPUTED_VALUE"""),-1.0)</f>
        <v>-1</v>
      </c>
      <c r="T347" s="16">
        <f>IFERROR(__xludf.DUMMYFUNCTION("""COMPUTED_VALUE"""),-2.0)</f>
        <v>-2</v>
      </c>
      <c r="U347" s="16">
        <f>IFERROR(__xludf.DUMMYFUNCTION("""COMPUTED_VALUE"""),-1.0)</f>
        <v>-1</v>
      </c>
      <c r="V347" s="16">
        <f>IFERROR(__xludf.DUMMYFUNCTION("""COMPUTED_VALUE"""),14.1)</f>
        <v>14.1</v>
      </c>
      <c r="W347" s="16">
        <f>IFERROR(__xludf.DUMMYFUNCTION("""COMPUTED_VALUE"""),19.9)</f>
        <v>19.9</v>
      </c>
      <c r="X347" s="16">
        <f>IFERROR(__xludf.DUMMYFUNCTION("""COMPUTED_VALUE"""),-1.0)</f>
        <v>-1</v>
      </c>
      <c r="Y347" s="16">
        <f>IFERROR(__xludf.DUMMYFUNCTION("""COMPUTED_VALUE"""),0.0)</f>
        <v>0</v>
      </c>
      <c r="Z347" s="16">
        <f>IFERROR(__xludf.DUMMYFUNCTION("""COMPUTED_VALUE"""),-2.0)</f>
        <v>-2</v>
      </c>
      <c r="AA347" s="16">
        <f>IFERROR(__xludf.DUMMYFUNCTION("""COMPUTED_VALUE"""),0.0)</f>
        <v>0</v>
      </c>
      <c r="AB347" s="16">
        <f>IFERROR(__xludf.DUMMYFUNCTION("""COMPUTED_VALUE"""),21.1)</f>
        <v>21.1</v>
      </c>
      <c r="AC347" s="16">
        <f>IFERROR(__xludf.DUMMYFUNCTION("""COMPUTED_VALUE"""),30.9)</f>
        <v>30.9</v>
      </c>
      <c r="AD347" s="16">
        <f>IFERROR(__xludf.DUMMYFUNCTION("""COMPUTED_VALUE"""),-1.0)</f>
        <v>-1</v>
      </c>
      <c r="AE347" s="16">
        <f>IFERROR(__xludf.DUMMYFUNCTION("""COMPUTED_VALUE"""),0.0)</f>
        <v>0</v>
      </c>
      <c r="AF347" s="16">
        <f>IFERROR(__xludf.DUMMYFUNCTION("""COMPUTED_VALUE"""),-5.0)</f>
        <v>-5</v>
      </c>
      <c r="AG347" s="16">
        <f>IFERROR(__xludf.DUMMYFUNCTION("""COMPUTED_VALUE"""),0.0)</f>
        <v>0</v>
      </c>
      <c r="AH347" s="16">
        <f>IFERROR(__xludf.DUMMYFUNCTION("""COMPUTED_VALUE"""),21.6)</f>
        <v>21.6</v>
      </c>
      <c r="AI347" s="16">
        <f>IFERROR(__xludf.DUMMYFUNCTION("""COMPUTED_VALUE"""),30.0)</f>
        <v>30</v>
      </c>
      <c r="AJ347" s="16">
        <f>IFERROR(__xludf.DUMMYFUNCTION("""COMPUTED_VALUE"""),-1.0)</f>
        <v>-1</v>
      </c>
      <c r="AK347" s="16">
        <f>IFERROR(__xludf.DUMMYFUNCTION("""COMPUTED_VALUE"""),0.0)</f>
        <v>0</v>
      </c>
      <c r="AL347" s="16">
        <f>IFERROR(__xludf.DUMMYFUNCTION("""COMPUTED_VALUE"""),-5.0)</f>
        <v>-5</v>
      </c>
      <c r="AM347" s="16">
        <f>IFERROR(__xludf.DUMMYFUNCTION("""COMPUTED_VALUE"""),0.0)</f>
        <v>0</v>
      </c>
      <c r="AN347" s="16">
        <f>IFERROR(__xludf.DUMMYFUNCTION("""COMPUTED_VALUE"""),2.5)</f>
        <v>2.5</v>
      </c>
      <c r="AO347" s="16">
        <f>IFERROR(__xludf.DUMMYFUNCTION("""COMPUTED_VALUE"""),2.0)</f>
        <v>2</v>
      </c>
      <c r="AP347" s="16">
        <f>IFERROR(__xludf.DUMMYFUNCTION("""COMPUTED_VALUE"""),0.0)</f>
        <v>0</v>
      </c>
      <c r="AQ347" s="16">
        <f>IFERROR(__xludf.DUMMYFUNCTION("""COMPUTED_VALUE"""),-1.0)</f>
        <v>-1</v>
      </c>
      <c r="AR347" s="16">
        <f>IFERROR(__xludf.DUMMYFUNCTION("""COMPUTED_VALUE"""),0.0)</f>
        <v>0</v>
      </c>
      <c r="AS347" s="16">
        <f>IFERROR(__xludf.DUMMYFUNCTION("""COMPUTED_VALUE"""),-2.0)</f>
        <v>-2</v>
      </c>
      <c r="AT347" s="16"/>
      <c r="AU347" s="16"/>
      <c r="AV347" s="16">
        <f>IFERROR(__xludf.DUMMYFUNCTION("""COMPUTED_VALUE"""),-3.0)</f>
        <v>-3</v>
      </c>
      <c r="AW347" s="16">
        <f>IFERROR(__xludf.DUMMYFUNCTION("""COMPUTED_VALUE"""),-3.0)</f>
        <v>-3</v>
      </c>
      <c r="AX347" s="16">
        <f>IFERROR(__xludf.DUMMYFUNCTION("""COMPUTED_VALUE"""),-3.0)</f>
        <v>-3</v>
      </c>
      <c r="AY347" s="16">
        <f>IFERROR(__xludf.DUMMYFUNCTION("""COMPUTED_VALUE"""),-3.0)</f>
        <v>-3</v>
      </c>
      <c r="AZ347" s="16">
        <f>IFERROR(__xludf.DUMMYFUNCTION("""COMPUTED_VALUE"""),-9.0)</f>
        <v>-9</v>
      </c>
      <c r="BA347" s="16">
        <f>IFERROR(__xludf.DUMMYFUNCTION("""COMPUTED_VALUE"""),-9.0)</f>
        <v>-9</v>
      </c>
      <c r="BB347" s="16">
        <f>IFERROR(__xludf.DUMMYFUNCTION("""COMPUTED_VALUE"""),5.0)</f>
        <v>5</v>
      </c>
      <c r="BC347" s="16">
        <f>IFERROR(__xludf.DUMMYFUNCTION("""COMPUTED_VALUE"""),5.0)</f>
        <v>5</v>
      </c>
      <c r="BD347" s="16">
        <f>IFERROR(__xludf.DUMMYFUNCTION("""COMPUTED_VALUE"""),1.0)</f>
        <v>1</v>
      </c>
      <c r="BE347" s="16">
        <f>IFERROR(__xludf.DUMMYFUNCTION("""COMPUTED_VALUE"""),1.0)</f>
        <v>1</v>
      </c>
      <c r="BF347" s="16">
        <f>IFERROR(__xludf.DUMMYFUNCTION("""COMPUTED_VALUE"""),1.0)</f>
        <v>1</v>
      </c>
      <c r="BG347" s="16">
        <f>IFERROR(__xludf.DUMMYFUNCTION("""COMPUTED_VALUE"""),1.0)</f>
        <v>1</v>
      </c>
      <c r="BH347" s="16">
        <f>IFERROR(__xludf.DUMMYFUNCTION("""COMPUTED_VALUE"""),8.0)</f>
        <v>8</v>
      </c>
      <c r="BI347" s="16">
        <f>IFERROR(__xludf.DUMMYFUNCTION("""COMPUTED_VALUE"""),8.0)</f>
        <v>8</v>
      </c>
      <c r="BJ347" s="16">
        <f>IFERROR(__xludf.DUMMYFUNCTION("""COMPUTED_VALUE"""),22.0)</f>
        <v>22</v>
      </c>
      <c r="BK347" s="16">
        <f>IFERROR(__xludf.DUMMYFUNCTION("""COMPUTED_VALUE"""),21.0)</f>
        <v>21</v>
      </c>
      <c r="BL347" s="16">
        <f>IFERROR(__xludf.DUMMYFUNCTION("""COMPUTED_VALUE"""),-2.0)</f>
        <v>-2</v>
      </c>
      <c r="BM347" s="16">
        <f>IFERROR(__xludf.DUMMYFUNCTION("""COMPUTED_VALUE"""),-2.0)</f>
        <v>-2</v>
      </c>
      <c r="BN347" s="16">
        <f>IFERROR(__xludf.DUMMYFUNCTION("""COMPUTED_VALUE"""),-4.0)</f>
        <v>-4</v>
      </c>
      <c r="BO347" s="16">
        <f>IFERROR(__xludf.DUMMYFUNCTION("""COMPUTED_VALUE"""),-4.0)</f>
        <v>-4</v>
      </c>
      <c r="BP347" s="16">
        <f>IFERROR(__xludf.DUMMYFUNCTION("""COMPUTED_VALUE"""),-9.0)</f>
        <v>-9</v>
      </c>
      <c r="BQ347" s="16">
        <f>IFERROR(__xludf.DUMMYFUNCTION("""COMPUTED_VALUE"""),-5.0)</f>
        <v>-5</v>
      </c>
      <c r="BR347" s="16">
        <f>IFERROR(__xludf.DUMMYFUNCTION("""COMPUTED_VALUE"""),-14.0)</f>
        <v>-14</v>
      </c>
      <c r="BS347" s="16" t="str">
        <f>IFERROR(__xludf.DUMMYFUNCTION("""COMPUTED_VALUE"""),"2/- (20-6)")</f>
        <v>2/- (20-6)</v>
      </c>
      <c r="BT347" s="16" t="str">
        <f>IFERROR(__xludf.DUMMYFUNCTION("""COMPUTED_VALUE"""),"D")</f>
        <v>D</v>
      </c>
      <c r="BU347" s="16">
        <f>IFERROR(__xludf.DUMMYFUNCTION("""COMPUTED_VALUE"""),11.0)</f>
        <v>11</v>
      </c>
      <c r="BV347" s="16">
        <f>IFERROR(__xludf.DUMMYFUNCTION("""COMPUTED_VALUE"""),0.0)</f>
        <v>0</v>
      </c>
      <c r="BW347" s="16">
        <f>IFERROR(__xludf.DUMMYFUNCTION("""COMPUTED_VALUE"""),0.0)</f>
        <v>0</v>
      </c>
      <c r="BX347" s="16">
        <f>IFERROR(__xludf.DUMMYFUNCTION("""COMPUTED_VALUE"""),0.0)</f>
        <v>0</v>
      </c>
      <c r="BY347" s="16">
        <f>IFERROR(__xludf.DUMMYFUNCTION("""COMPUTED_VALUE"""),0.0)</f>
        <v>0</v>
      </c>
      <c r="BZ347" s="16" t="str">
        <f>IFERROR(__xludf.DUMMYFUNCTION("""COMPUTED_VALUE"""),"D")</f>
        <v>D</v>
      </c>
      <c r="CA347" s="16" t="str">
        <f>IFERROR(__xludf.DUMMYFUNCTION("""COMPUTED_VALUE"""),"B")</f>
        <v>B</v>
      </c>
      <c r="CB347" s="16">
        <f>IFERROR(__xludf.DUMMYFUNCTION("""COMPUTED_VALUE"""),0.0)</f>
        <v>0</v>
      </c>
      <c r="CC347" s="16">
        <f>IFERROR(__xludf.DUMMYFUNCTION("""COMPUTED_VALUE"""),1.0)</f>
        <v>1</v>
      </c>
      <c r="CD347" s="16">
        <f>IFERROR(__xludf.DUMMYFUNCTION("""COMPUTED_VALUE"""),0.0)</f>
        <v>0</v>
      </c>
      <c r="CE347" s="16">
        <f>IFERROR(__xludf.DUMMYFUNCTION("""COMPUTED_VALUE"""),2.0)</f>
        <v>2</v>
      </c>
      <c r="CF347" s="16">
        <f>IFERROR(__xludf.DUMMYFUNCTION("""COMPUTED_VALUE"""),1.0)</f>
        <v>1</v>
      </c>
      <c r="CG347" s="16">
        <f>IFERROR(__xludf.DUMMYFUNCTION("""COMPUTED_VALUE"""),-26.0)</f>
        <v>-26</v>
      </c>
      <c r="CH347" s="16">
        <f>IFERROR(__xludf.DUMMYFUNCTION("""COMPUTED_VALUE"""),-14.0)</f>
        <v>-14</v>
      </c>
      <c r="CI347" s="179">
        <f>IFERROR(__xludf.DUMMYFUNCTION("""COMPUTED_VALUE"""),-14.0)</f>
        <v>-14</v>
      </c>
      <c r="CJ347" s="16"/>
      <c r="CK347" s="16">
        <f>IFERROR(__xludf.DUMMYFUNCTION("""COMPUTED_VALUE"""),407.0)</f>
        <v>407</v>
      </c>
      <c r="CL347" s="16"/>
      <c r="CM347" s="16"/>
      <c r="CN347" s="16"/>
      <c r="CO347" s="16"/>
      <c r="CP347" s="16"/>
      <c r="CQ347" s="16"/>
      <c r="CR347" s="16" t="str">
        <f>IFERROR(__xludf.DUMMYFUNCTION("""COMPUTED_VALUE"""),"1b-4e7")</f>
        <v>1b-4e7</v>
      </c>
      <c r="CS347" s="16"/>
      <c r="CT347" s="16">
        <f>IFERROR(__xludf.DUMMYFUNCTION("""COMPUTED_VALUE"""),4.0)</f>
        <v>4</v>
      </c>
      <c r="CU347" s="16"/>
      <c r="CV347" s="16"/>
      <c r="CW347" s="16"/>
      <c r="CX347" s="16"/>
      <c r="CY347" s="16"/>
      <c r="CZ347" s="16"/>
      <c r="DA347" s="16"/>
      <c r="DB347" s="16">
        <f>IFERROR(__xludf.DUMMYFUNCTION("""COMPUTED_VALUE"""),7.0)</f>
        <v>7</v>
      </c>
      <c r="DC347" s="16"/>
      <c r="DD347" s="16"/>
      <c r="DE347" s="16"/>
      <c r="DF347" s="16"/>
      <c r="DG347" s="16"/>
      <c r="DH347" s="16"/>
      <c r="DI347" s="16"/>
      <c r="DJ347" s="16">
        <f>IFERROR(__xludf.DUMMYFUNCTION("""COMPUTED_VALUE"""),0.0)</f>
        <v>0</v>
      </c>
      <c r="DK347" s="16"/>
      <c r="DL347" s="16"/>
      <c r="DM347" s="16"/>
      <c r="DN347" s="16"/>
      <c r="DO347" s="16"/>
      <c r="DP347" s="16"/>
      <c r="DQ347" s="16"/>
      <c r="DR347" s="16">
        <f>IFERROR(__xludf.DUMMYFUNCTION("""COMPUTED_VALUE"""),2.0)</f>
        <v>2</v>
      </c>
      <c r="DS347" s="16"/>
      <c r="DT347" s="16"/>
      <c r="DU347" s="16"/>
      <c r="DV347" s="16"/>
      <c r="DW347" s="16"/>
      <c r="DX347" s="16"/>
      <c r="DY347" s="16"/>
      <c r="DZ347" s="16">
        <f>IFERROR(__xludf.DUMMYFUNCTION("""COMPUTED_VALUE"""),2.0)</f>
        <v>2</v>
      </c>
      <c r="EA347" s="16"/>
      <c r="EB347" s="16"/>
      <c r="EC347" s="16"/>
      <c r="ED347" s="16"/>
      <c r="EE347" s="16"/>
      <c r="EF347" s="16"/>
      <c r="EG347" s="179"/>
      <c r="EH347" s="179">
        <f>IFERROR(__xludf.DUMMYFUNCTION("""COMPUTED_VALUE"""),-12.0)</f>
        <v>-12</v>
      </c>
      <c r="EI347" s="179"/>
      <c r="EJ347" s="179"/>
      <c r="EK347" s="179"/>
      <c r="EL347" s="179"/>
      <c r="EM347" s="179"/>
      <c r="EN347" s="179"/>
      <c r="EO347" s="16"/>
      <c r="EP347" s="16">
        <f>IFERROR(__xludf.DUMMYFUNCTION("""COMPUTED_VALUE"""),2.8)</f>
        <v>2.8</v>
      </c>
      <c r="EQ347" s="16">
        <f>IFERROR(__xludf.DUMMYFUNCTION("""COMPUTED_VALUE"""),4.0)</f>
        <v>4</v>
      </c>
      <c r="ER347" s="16">
        <f>IFERROR(__xludf.DUMMYFUNCTION("""COMPUTED_VALUE"""),-1.0)</f>
        <v>-1</v>
      </c>
      <c r="ES347" s="16"/>
      <c r="ET347" s="16"/>
      <c r="EU347" s="16"/>
      <c r="EV347" s="16"/>
      <c r="EW347" s="16"/>
      <c r="EX347" s="180"/>
      <c r="EY347" s="180">
        <f>IFERROR(__xludf.DUMMYFUNCTION("""COMPUTED_VALUE"""),0.3)</f>
        <v>0.3</v>
      </c>
      <c r="EZ347" s="180"/>
      <c r="FA347" s="180"/>
      <c r="FB347" s="180"/>
      <c r="FC347" s="180"/>
      <c r="FD347" s="180"/>
      <c r="FE347" s="180"/>
      <c r="FF347" s="180"/>
      <c r="FG347" s="180">
        <f>IFERROR(__xludf.DUMMYFUNCTION("""COMPUTED_VALUE"""),0.125)</f>
        <v>0.125</v>
      </c>
      <c r="FH347" s="180"/>
      <c r="FI347" s="180"/>
      <c r="FJ347" s="180"/>
      <c r="FK347" s="180"/>
      <c r="FL347" s="180"/>
      <c r="FM347" s="180"/>
      <c r="FN347" s="16"/>
      <c r="FO347" s="16">
        <f>IFERROR(__xludf.DUMMYFUNCTION("""COMPUTED_VALUE"""),0.6124999999999999)</f>
        <v>0.6125</v>
      </c>
      <c r="FP347" s="16"/>
      <c r="FQ347" s="16"/>
      <c r="FR347" s="16"/>
      <c r="FS347" s="16"/>
      <c r="FT347" s="16"/>
      <c r="FU347" s="16"/>
      <c r="FV347" s="16"/>
      <c r="FW347" s="16">
        <f>IFERROR(__xludf.DUMMYFUNCTION("""COMPUTED_VALUE"""),-6.0)</f>
        <v>-6</v>
      </c>
      <c r="FX347" s="16"/>
      <c r="FY347" s="16"/>
      <c r="FZ347" s="16"/>
      <c r="GA347" s="16"/>
      <c r="GB347" s="16"/>
      <c r="GC347" s="16"/>
      <c r="GD347" s="16" t="s">
        <v>176</v>
      </c>
    </row>
    <row r="348">
      <c r="A348" s="16">
        <f>IFERROR(__xludf.DUMMYFUNCTION("""COMPUTED_VALUE"""),12885.0)</f>
        <v>12885</v>
      </c>
      <c r="B348" s="16" t="str">
        <f>IFERROR(__xludf.DUMMYFUNCTION("""COMPUTED_VALUE"""),"Ildemaro Vargas")</f>
        <v>Ildemaro Vargas</v>
      </c>
      <c r="C348" s="16">
        <f>IFERROR(__xludf.DUMMYFUNCTION("""COMPUTED_VALUE"""),0.0)</f>
        <v>0</v>
      </c>
      <c r="D348" s="16" t="str">
        <f>IFERROR(__xludf.DUMMYFUNCTION("""COMPUTED_VALUE"""),"S")</f>
        <v>S</v>
      </c>
      <c r="E348" s="16"/>
      <c r="F348" s="16"/>
      <c r="G348" s="16">
        <f>IFERROR(__xludf.DUMMYFUNCTION("""COMPUTED_VALUE"""),272.0)</f>
        <v>272</v>
      </c>
      <c r="H348" s="16">
        <f>IFERROR(__xludf.DUMMYFUNCTION("""COMPUTED_VALUE"""),19.0)</f>
        <v>19</v>
      </c>
      <c r="I348" s="16" t="str">
        <f>IFERROR(__xludf.DUMMYFUNCTION("""COMPUTED_VALUE"""),"1p50")</f>
        <v>1p50</v>
      </c>
      <c r="J348" s="16">
        <f>IFERROR(__xludf.DUMMYFUNCTION("""COMPUTED_VALUE"""),0.0)</f>
        <v>0</v>
      </c>
      <c r="K348" s="16">
        <f>IFERROR(__xludf.DUMMYFUNCTION("""COMPUTED_VALUE"""),0.0)</f>
        <v>0</v>
      </c>
      <c r="L348" s="16">
        <f>IFERROR(__xludf.DUMMYFUNCTION("""COMPUTED_VALUE"""),3.0)</f>
        <v>3</v>
      </c>
      <c r="M348" s="16">
        <f>IFERROR(__xludf.DUMMYFUNCTION("""COMPUTED_VALUE"""),3.0)</f>
        <v>3</v>
      </c>
      <c r="N348" s="16">
        <f>IFERROR(__xludf.DUMMYFUNCTION("""COMPUTED_VALUE"""),3.0)</f>
        <v>3</v>
      </c>
      <c r="O348" s="16">
        <f>IFERROR(__xludf.DUMMYFUNCTION("""COMPUTED_VALUE"""),3.0)</f>
        <v>3</v>
      </c>
      <c r="P348" s="16">
        <f>IFERROR(__xludf.DUMMYFUNCTION("""COMPUTED_VALUE"""),1.0)</f>
        <v>1</v>
      </c>
      <c r="Q348" s="16">
        <f>IFERROR(__xludf.DUMMYFUNCTION("""COMPUTED_VALUE"""),7.0)</f>
        <v>7</v>
      </c>
      <c r="R348" s="16">
        <f>IFERROR(__xludf.DUMMYFUNCTION("""COMPUTED_VALUE"""),-2.0)</f>
        <v>-2</v>
      </c>
      <c r="S348" s="16">
        <f>IFERROR(__xludf.DUMMYFUNCTION("""COMPUTED_VALUE"""),-1.0)</f>
        <v>-1</v>
      </c>
      <c r="T348" s="16">
        <f>IFERROR(__xludf.DUMMYFUNCTION("""COMPUTED_VALUE"""),-2.0)</f>
        <v>-2</v>
      </c>
      <c r="U348" s="16">
        <f>IFERROR(__xludf.DUMMYFUNCTION("""COMPUTED_VALUE"""),-1.0)</f>
        <v>-1</v>
      </c>
      <c r="V348" s="16">
        <f>IFERROR(__xludf.DUMMYFUNCTION("""COMPUTED_VALUE"""),25.4)</f>
        <v>25.4</v>
      </c>
      <c r="W348" s="16">
        <f>IFERROR(__xludf.DUMMYFUNCTION("""COMPUTED_VALUE"""),17.5)</f>
        <v>17.5</v>
      </c>
      <c r="X348" s="16">
        <f>IFERROR(__xludf.DUMMYFUNCTION("""COMPUTED_VALUE"""),1.0)</f>
        <v>1</v>
      </c>
      <c r="Y348" s="16">
        <f>IFERROR(__xludf.DUMMYFUNCTION("""COMPUTED_VALUE"""),0.0)</f>
        <v>0</v>
      </c>
      <c r="Z348" s="16">
        <f>IFERROR(__xludf.DUMMYFUNCTION("""COMPUTED_VALUE"""),2.0)</f>
        <v>2</v>
      </c>
      <c r="AA348" s="16">
        <f>IFERROR(__xludf.DUMMYFUNCTION("""COMPUTED_VALUE"""),0.0)</f>
        <v>0</v>
      </c>
      <c r="AB348" s="16">
        <f>IFERROR(__xludf.DUMMYFUNCTION("""COMPUTED_VALUE"""),28.4)</f>
        <v>28.4</v>
      </c>
      <c r="AC348" s="16">
        <f>IFERROR(__xludf.DUMMYFUNCTION("""COMPUTED_VALUE"""),26.5)</f>
        <v>26.5</v>
      </c>
      <c r="AD348" s="16">
        <f>IFERROR(__xludf.DUMMYFUNCTION("""COMPUTED_VALUE"""),0.0)</f>
        <v>0</v>
      </c>
      <c r="AE348" s="16">
        <f>IFERROR(__xludf.DUMMYFUNCTION("""COMPUTED_VALUE"""),-1.0)</f>
        <v>-1</v>
      </c>
      <c r="AF348" s="16">
        <f>IFERROR(__xludf.DUMMYFUNCTION("""COMPUTED_VALUE"""),0.0)</f>
        <v>0</v>
      </c>
      <c r="AG348" s="16">
        <f>IFERROR(__xludf.DUMMYFUNCTION("""COMPUTED_VALUE"""),-5.0)</f>
        <v>-5</v>
      </c>
      <c r="AH348" s="16">
        <f>IFERROR(__xludf.DUMMYFUNCTION("""COMPUTED_VALUE"""),37.0)</f>
        <v>37</v>
      </c>
      <c r="AI348" s="16">
        <f>IFERROR(__xludf.DUMMYFUNCTION("""COMPUTED_VALUE"""),24.4)</f>
        <v>24.4</v>
      </c>
      <c r="AJ348" s="16">
        <f>IFERROR(__xludf.DUMMYFUNCTION("""COMPUTED_VALUE"""),0.0)</f>
        <v>0</v>
      </c>
      <c r="AK348" s="16">
        <f>IFERROR(__xludf.DUMMYFUNCTION("""COMPUTED_VALUE"""),-1.0)</f>
        <v>-1</v>
      </c>
      <c r="AL348" s="16">
        <f>IFERROR(__xludf.DUMMYFUNCTION("""COMPUTED_VALUE"""),0.0)</f>
        <v>0</v>
      </c>
      <c r="AM348" s="16">
        <f>IFERROR(__xludf.DUMMYFUNCTION("""COMPUTED_VALUE"""),-5.0)</f>
        <v>-5</v>
      </c>
      <c r="AN348" s="16">
        <f>IFERROR(__xludf.DUMMYFUNCTION("""COMPUTED_VALUE"""),0.0)</f>
        <v>0</v>
      </c>
      <c r="AO348" s="16">
        <f>IFERROR(__xludf.DUMMYFUNCTION("""COMPUTED_VALUE"""),1.5)</f>
        <v>1.5</v>
      </c>
      <c r="AP348" s="16">
        <f>IFERROR(__xludf.DUMMYFUNCTION("""COMPUTED_VALUE"""),-2.0)</f>
        <v>-2</v>
      </c>
      <c r="AQ348" s="16">
        <f>IFERROR(__xludf.DUMMYFUNCTION("""COMPUTED_VALUE"""),-1.0)</f>
        <v>-1</v>
      </c>
      <c r="AR348" s="16">
        <f>IFERROR(__xludf.DUMMYFUNCTION("""COMPUTED_VALUE"""),-4.0)</f>
        <v>-4</v>
      </c>
      <c r="AS348" s="16">
        <f>IFERROR(__xludf.DUMMYFUNCTION("""COMPUTED_VALUE"""),-2.0)</f>
        <v>-2</v>
      </c>
      <c r="AT348" s="16"/>
      <c r="AU348" s="16"/>
      <c r="AV348" s="16">
        <f>IFERROR(__xludf.DUMMYFUNCTION("""COMPUTED_VALUE"""),-3.0)</f>
        <v>-3</v>
      </c>
      <c r="AW348" s="16">
        <f>IFERROR(__xludf.DUMMYFUNCTION("""COMPUTED_VALUE"""),-3.0)</f>
        <v>-3</v>
      </c>
      <c r="AX348" s="16">
        <f>IFERROR(__xludf.DUMMYFUNCTION("""COMPUTED_VALUE"""),-3.0)</f>
        <v>-3</v>
      </c>
      <c r="AY348" s="16">
        <f>IFERROR(__xludf.DUMMYFUNCTION("""COMPUTED_VALUE"""),-3.0)</f>
        <v>-3</v>
      </c>
      <c r="AZ348" s="16">
        <f>IFERROR(__xludf.DUMMYFUNCTION("""COMPUTED_VALUE"""),-9.0)</f>
        <v>-9</v>
      </c>
      <c r="BA348" s="16">
        <f>IFERROR(__xludf.DUMMYFUNCTION("""COMPUTED_VALUE"""),-9.0)</f>
        <v>-9</v>
      </c>
      <c r="BB348" s="16">
        <f>IFERROR(__xludf.DUMMYFUNCTION("""COMPUTED_VALUE"""),5.0)</f>
        <v>5</v>
      </c>
      <c r="BC348" s="16">
        <f>IFERROR(__xludf.DUMMYFUNCTION("""COMPUTED_VALUE"""),5.0)</f>
        <v>5</v>
      </c>
      <c r="BD348" s="16">
        <f>IFERROR(__xludf.DUMMYFUNCTION("""COMPUTED_VALUE"""),1.0)</f>
        <v>1</v>
      </c>
      <c r="BE348" s="16">
        <f>IFERROR(__xludf.DUMMYFUNCTION("""COMPUTED_VALUE"""),1.0)</f>
        <v>1</v>
      </c>
      <c r="BF348" s="16">
        <f>IFERROR(__xludf.DUMMYFUNCTION("""COMPUTED_VALUE"""),1.0)</f>
        <v>1</v>
      </c>
      <c r="BG348" s="16">
        <f>IFERROR(__xludf.DUMMYFUNCTION("""COMPUTED_VALUE"""),1.0)</f>
        <v>1</v>
      </c>
      <c r="BH348" s="16">
        <f>IFERROR(__xludf.DUMMYFUNCTION("""COMPUTED_VALUE"""),8.0)</f>
        <v>8</v>
      </c>
      <c r="BI348" s="16">
        <f>IFERROR(__xludf.DUMMYFUNCTION("""COMPUTED_VALUE"""),8.0)</f>
        <v>8</v>
      </c>
      <c r="BJ348" s="16">
        <f>IFERROR(__xludf.DUMMYFUNCTION("""COMPUTED_VALUE"""),25.0)</f>
        <v>25</v>
      </c>
      <c r="BK348" s="16">
        <f>IFERROR(__xludf.DUMMYFUNCTION("""COMPUTED_VALUE"""),23.0)</f>
        <v>23</v>
      </c>
      <c r="BL348" s="16">
        <f>IFERROR(__xludf.DUMMYFUNCTION("""COMPUTED_VALUE"""),-2.0)</f>
        <v>-2</v>
      </c>
      <c r="BM348" s="16">
        <f>IFERROR(__xludf.DUMMYFUNCTION("""COMPUTED_VALUE"""),-2.0)</f>
        <v>-2</v>
      </c>
      <c r="BN348" s="16">
        <f>IFERROR(__xludf.DUMMYFUNCTION("""COMPUTED_VALUE"""),-4.0)</f>
        <v>-4</v>
      </c>
      <c r="BO348" s="16">
        <f>IFERROR(__xludf.DUMMYFUNCTION("""COMPUTED_VALUE"""),-4.0)</f>
        <v>-4</v>
      </c>
      <c r="BP348" s="16">
        <f>IFERROR(__xludf.DUMMYFUNCTION("""COMPUTED_VALUE"""),-4.0)</f>
        <v>-4</v>
      </c>
      <c r="BQ348" s="16">
        <f>IFERROR(__xludf.DUMMYFUNCTION("""COMPUTED_VALUE"""),-5.0)</f>
        <v>-5</v>
      </c>
      <c r="BR348" s="16">
        <f>IFERROR(__xludf.DUMMYFUNCTION("""COMPUTED_VALUE"""),-9.0)</f>
        <v>-9</v>
      </c>
      <c r="BS348" s="16" t="str">
        <f>IFERROR(__xludf.DUMMYFUNCTION("""COMPUTED_VALUE"""),"*3-6/- (16-12)")</f>
        <v>*3-6/- (16-12)</v>
      </c>
      <c r="BT348" s="16" t="str">
        <f>IFERROR(__xludf.DUMMYFUNCTION("""COMPUTED_VALUE"""),"B")</f>
        <v>B</v>
      </c>
      <c r="BU348" s="16">
        <f>IFERROR(__xludf.DUMMYFUNCTION("""COMPUTED_VALUE"""),13.0)</f>
        <v>13</v>
      </c>
      <c r="BV348" s="16">
        <f>IFERROR(__xludf.DUMMYFUNCTION("""COMPUTED_VALUE"""),1.0)</f>
        <v>1</v>
      </c>
      <c r="BW348" s="16">
        <f>IFERROR(__xludf.DUMMYFUNCTION("""COMPUTED_VALUE"""),1.0)</f>
        <v>1</v>
      </c>
      <c r="BX348" s="16">
        <f>IFERROR(__xludf.DUMMYFUNCTION("""COMPUTED_VALUE"""),2.0)</f>
        <v>2</v>
      </c>
      <c r="BY348" s="16">
        <f>IFERROR(__xludf.DUMMYFUNCTION("""COMPUTED_VALUE"""),3.0)</f>
        <v>3</v>
      </c>
      <c r="BZ348" s="16" t="str">
        <f>IFERROR(__xludf.DUMMYFUNCTION("""COMPUTED_VALUE"""),"C")</f>
        <v>C</v>
      </c>
      <c r="CA348" s="16" t="str">
        <f>IFERROR(__xludf.DUMMYFUNCTION("""COMPUTED_VALUE"""),"B")</f>
        <v>B</v>
      </c>
      <c r="CB348" s="16">
        <f>IFERROR(__xludf.DUMMYFUNCTION("""COMPUTED_VALUE"""),0.0)</f>
        <v>0</v>
      </c>
      <c r="CC348" s="16">
        <f>IFERROR(__xludf.DUMMYFUNCTION("""COMPUTED_VALUE"""),1.0)</f>
        <v>1</v>
      </c>
      <c r="CD348" s="16">
        <f>IFERROR(__xludf.DUMMYFUNCTION("""COMPUTED_VALUE"""),0.0)</f>
        <v>0</v>
      </c>
      <c r="CE348" s="16">
        <f>IFERROR(__xludf.DUMMYFUNCTION("""COMPUTED_VALUE"""),2.0)</f>
        <v>2</v>
      </c>
      <c r="CF348" s="16">
        <f>IFERROR(__xludf.DUMMYFUNCTION("""COMPUTED_VALUE"""),1.0)</f>
        <v>1</v>
      </c>
      <c r="CG348" s="16">
        <f>IFERROR(__xludf.DUMMYFUNCTION("""COMPUTED_VALUE"""),-13.0)</f>
        <v>-13</v>
      </c>
      <c r="CH348" s="16">
        <f>IFERROR(__xludf.DUMMYFUNCTION("""COMPUTED_VALUE"""),-22.0)</f>
        <v>-22</v>
      </c>
      <c r="CI348" s="179">
        <f>IFERROR(__xludf.DUMMYFUNCTION("""COMPUTED_VALUE"""),-14.0)</f>
        <v>-14</v>
      </c>
      <c r="CJ348" s="16"/>
      <c r="CK348" s="16">
        <f>IFERROR(__xludf.DUMMYFUNCTION("""COMPUTED_VALUE"""),425.0)</f>
        <v>425</v>
      </c>
      <c r="CL348" s="16">
        <f>IFERROR(__xludf.DUMMYFUNCTION("""COMPUTED_VALUE"""),303.0)</f>
        <v>303</v>
      </c>
      <c r="CM348" s="16">
        <f>IFERROR(__xludf.DUMMYFUNCTION("""COMPUTED_VALUE"""),219.0)</f>
        <v>219</v>
      </c>
      <c r="CN348" s="16">
        <f>IFERROR(__xludf.DUMMYFUNCTION("""COMPUTED_VALUE"""),427.0)</f>
        <v>427</v>
      </c>
      <c r="CO348" s="16">
        <f>IFERROR(__xludf.DUMMYFUNCTION("""COMPUTED_VALUE"""),518.0)</f>
        <v>518</v>
      </c>
      <c r="CP348" s="16"/>
      <c r="CQ348" s="16"/>
      <c r="CR348" s="16" t="str">
        <f>IFERROR(__xludf.DUMMYFUNCTION("""COMPUTED_VALUE"""),"3b-2e19 2b-3e3 lf-5(0)e18 ss-4e27 1b-4e25")</f>
        <v>3b-2e19 2b-3e3 lf-5(0)e18 ss-4e27 1b-4e25</v>
      </c>
      <c r="CS348" s="16"/>
      <c r="CT348" s="16">
        <f>IFERROR(__xludf.DUMMYFUNCTION("""COMPUTED_VALUE"""),4.0)</f>
        <v>4</v>
      </c>
      <c r="CU348" s="16">
        <f>IFERROR(__xludf.DUMMYFUNCTION("""COMPUTED_VALUE"""),3.0)</f>
        <v>3</v>
      </c>
      <c r="CV348" s="16">
        <f>IFERROR(__xludf.DUMMYFUNCTION("""COMPUTED_VALUE"""),2.0)</f>
        <v>2</v>
      </c>
      <c r="CW348" s="16">
        <f>IFERROR(__xludf.DUMMYFUNCTION("""COMPUTED_VALUE"""),4.0)</f>
        <v>4</v>
      </c>
      <c r="CX348" s="16">
        <f>IFERROR(__xludf.DUMMYFUNCTION("""COMPUTED_VALUE"""),5.0)</f>
        <v>5</v>
      </c>
      <c r="CY348" s="16"/>
      <c r="CZ348" s="16"/>
      <c r="DA348" s="16"/>
      <c r="DB348" s="16">
        <f>IFERROR(__xludf.DUMMYFUNCTION("""COMPUTED_VALUE"""),25.0)</f>
        <v>25</v>
      </c>
      <c r="DC348" s="16">
        <f>IFERROR(__xludf.DUMMYFUNCTION("""COMPUTED_VALUE"""),3.0)</f>
        <v>3</v>
      </c>
      <c r="DD348" s="16">
        <f>IFERROR(__xludf.DUMMYFUNCTION("""COMPUTED_VALUE"""),19.0)</f>
        <v>19</v>
      </c>
      <c r="DE348" s="16">
        <f>IFERROR(__xludf.DUMMYFUNCTION("""COMPUTED_VALUE"""),27.0)</f>
        <v>27</v>
      </c>
      <c r="DF348" s="16">
        <f>IFERROR(__xludf.DUMMYFUNCTION("""COMPUTED_VALUE"""),18.0)</f>
        <v>18</v>
      </c>
      <c r="DG348" s="16"/>
      <c r="DH348" s="16"/>
      <c r="DI348" s="16"/>
      <c r="DJ348" s="16">
        <f>IFERROR(__xludf.DUMMYFUNCTION("""COMPUTED_VALUE"""),0.0)</f>
        <v>0</v>
      </c>
      <c r="DK348" s="16">
        <f>IFERROR(__xludf.DUMMYFUNCTION("""COMPUTED_VALUE"""),0.0)</f>
        <v>0</v>
      </c>
      <c r="DL348" s="16">
        <f>IFERROR(__xludf.DUMMYFUNCTION("""COMPUTED_VALUE"""),3.0)</f>
        <v>3</v>
      </c>
      <c r="DM348" s="16">
        <f>IFERROR(__xludf.DUMMYFUNCTION("""COMPUTED_VALUE"""),-2.0)</f>
        <v>-2</v>
      </c>
      <c r="DN348" s="16">
        <f>IFERROR(__xludf.DUMMYFUNCTION("""COMPUTED_VALUE"""),-3.0)</f>
        <v>-3</v>
      </c>
      <c r="DO348" s="16"/>
      <c r="DP348" s="16"/>
      <c r="DQ348" s="16"/>
      <c r="DR348" s="16">
        <f>IFERROR(__xludf.DUMMYFUNCTION("""COMPUTED_VALUE"""),-2.0)</f>
        <v>-2</v>
      </c>
      <c r="DS348" s="16">
        <f>IFERROR(__xludf.DUMMYFUNCTION("""COMPUTED_VALUE"""),4.0)</f>
        <v>4</v>
      </c>
      <c r="DT348" s="16">
        <f>IFERROR(__xludf.DUMMYFUNCTION("""COMPUTED_VALUE"""),0.0)</f>
        <v>0</v>
      </c>
      <c r="DU348" s="16">
        <f>IFERROR(__xludf.DUMMYFUNCTION("""COMPUTED_VALUE"""),-2.0)</f>
        <v>-2</v>
      </c>
      <c r="DV348" s="16">
        <f>IFERROR(__xludf.DUMMYFUNCTION("""COMPUTED_VALUE"""),-4.0)</f>
        <v>-4</v>
      </c>
      <c r="DW348" s="16"/>
      <c r="DX348" s="16"/>
      <c r="DY348" s="16"/>
      <c r="DZ348" s="16">
        <f>IFERROR(__xludf.DUMMYFUNCTION("""COMPUTED_VALUE"""),-2.0)</f>
        <v>-2</v>
      </c>
      <c r="EA348" s="16">
        <f>IFERROR(__xludf.DUMMYFUNCTION("""COMPUTED_VALUE"""),4.0)</f>
        <v>4</v>
      </c>
      <c r="EB348" s="16">
        <f>IFERROR(__xludf.DUMMYFUNCTION("""COMPUTED_VALUE"""),3.0)</f>
        <v>3</v>
      </c>
      <c r="EC348" s="16">
        <f>IFERROR(__xludf.DUMMYFUNCTION("""COMPUTED_VALUE"""),-4.0)</f>
        <v>-4</v>
      </c>
      <c r="ED348" s="16">
        <f>IFERROR(__xludf.DUMMYFUNCTION("""COMPUTED_VALUE"""),-7.0)</f>
        <v>-7</v>
      </c>
      <c r="EE348" s="16"/>
      <c r="EF348" s="16"/>
      <c r="EG348" s="179"/>
      <c r="EH348" s="179">
        <f>IFERROR(__xludf.DUMMYFUNCTION("""COMPUTED_VALUE"""),-16.0)</f>
        <v>-16</v>
      </c>
      <c r="EI348" s="179">
        <f>IFERROR(__xludf.DUMMYFUNCTION("""COMPUTED_VALUE"""),-10.0)</f>
        <v>-10</v>
      </c>
      <c r="EJ348" s="179">
        <f>IFERROR(__xludf.DUMMYFUNCTION("""COMPUTED_VALUE"""),-11.0)</f>
        <v>-11</v>
      </c>
      <c r="EK348" s="179">
        <f>IFERROR(__xludf.DUMMYFUNCTION("""COMPUTED_VALUE"""),-18.0)</f>
        <v>-18</v>
      </c>
      <c r="EL348" s="179">
        <f>IFERROR(__xludf.DUMMYFUNCTION("""COMPUTED_VALUE"""),-21.0)</f>
        <v>-21</v>
      </c>
      <c r="EM348" s="179"/>
      <c r="EN348" s="179"/>
      <c r="EO348" s="16"/>
      <c r="EP348" s="16">
        <f>IFERROR(__xludf.DUMMYFUNCTION("""COMPUTED_VALUE"""),-1.0)</f>
        <v>-1</v>
      </c>
      <c r="EQ348" s="16">
        <f>IFERROR(__xludf.DUMMYFUNCTION("""COMPUTED_VALUE"""),4.0)</f>
        <v>4</v>
      </c>
      <c r="ER348" s="16">
        <f>IFERROR(__xludf.DUMMYFUNCTION("""COMPUTED_VALUE"""),0.0)</f>
        <v>0</v>
      </c>
      <c r="ES348" s="16"/>
      <c r="ET348" s="16"/>
      <c r="EU348" s="16"/>
      <c r="EV348" s="16"/>
      <c r="EW348" s="16"/>
      <c r="EX348" s="180"/>
      <c r="EY348" s="180">
        <f>IFERROR(__xludf.DUMMYFUNCTION("""COMPUTED_VALUE"""),0.3)</f>
        <v>0.3</v>
      </c>
      <c r="EZ348" s="180">
        <f>IFERROR(__xludf.DUMMYFUNCTION("""COMPUTED_VALUE"""),0.2)</f>
        <v>0.2</v>
      </c>
      <c r="FA348" s="180">
        <f>IFERROR(__xludf.DUMMYFUNCTION("""COMPUTED_VALUE"""),0.1)</f>
        <v>0.1</v>
      </c>
      <c r="FB348" s="180">
        <f>IFERROR(__xludf.DUMMYFUNCTION("""COMPUTED_VALUE"""),0.3)</f>
        <v>0.3</v>
      </c>
      <c r="FC348" s="180">
        <f>IFERROR(__xludf.DUMMYFUNCTION("""COMPUTED_VALUE"""),0.75)</f>
        <v>0.75</v>
      </c>
      <c r="FD348" s="180"/>
      <c r="FE348" s="180"/>
      <c r="FF348" s="180"/>
      <c r="FG348" s="180">
        <f>IFERROR(__xludf.DUMMYFUNCTION("""COMPUTED_VALUE"""),0.44907407407407407)</f>
        <v>0.4490740741</v>
      </c>
      <c r="FH348" s="180">
        <f>IFERROR(__xludf.DUMMYFUNCTION("""COMPUTED_VALUE"""),0.018518518518518517)</f>
        <v>0.01851851852</v>
      </c>
      <c r="FI348" s="180">
        <f>IFERROR(__xludf.DUMMYFUNCTION("""COMPUTED_VALUE"""),0.22685185185185186)</f>
        <v>0.2268518519</v>
      </c>
      <c r="FJ348" s="180">
        <f>IFERROR(__xludf.DUMMYFUNCTION("""COMPUTED_VALUE"""),0.1388888888888889)</f>
        <v>0.1388888889</v>
      </c>
      <c r="FK348" s="180">
        <f>IFERROR(__xludf.DUMMYFUNCTION("""COMPUTED_VALUE"""),0.324)</f>
        <v>0.324</v>
      </c>
      <c r="FL348" s="180"/>
      <c r="FM348" s="180"/>
      <c r="FN348" s="16"/>
      <c r="FO348" s="16">
        <f>IFERROR(__xludf.DUMMYFUNCTION("""COMPUTED_VALUE"""),0.38564814814814813)</f>
        <v>0.3856481481</v>
      </c>
      <c r="FP348" s="16">
        <f>IFERROR(__xludf.DUMMYFUNCTION("""COMPUTED_VALUE"""),0.7851851851851852)</f>
        <v>0.7851851852</v>
      </c>
      <c r="FQ348" s="16">
        <f>IFERROR(__xludf.DUMMYFUNCTION("""COMPUTED_VALUE"""),0.6958333333333333)</f>
        <v>0.6958333333</v>
      </c>
      <c r="FR348" s="16">
        <f>IFERROR(__xludf.DUMMYFUNCTION("""COMPUTED_VALUE"""),0.6027777777777777)</f>
        <v>0.6027777778</v>
      </c>
      <c r="FS348" s="16">
        <f>IFERROR(__xludf.DUMMYFUNCTION("""COMPUTED_VALUE"""),0.16899999999999998)</f>
        <v>0.169</v>
      </c>
      <c r="FT348" s="16"/>
      <c r="FU348" s="16"/>
      <c r="FV348" s="16"/>
      <c r="FW348" s="16">
        <f>IFERROR(__xludf.DUMMYFUNCTION("""COMPUTED_VALUE"""),-8.0)</f>
        <v>-8</v>
      </c>
      <c r="FX348" s="16">
        <f>IFERROR(__xludf.DUMMYFUNCTION("""COMPUTED_VALUE"""),-1.0)</f>
        <v>-1</v>
      </c>
      <c r="FY348" s="16">
        <f>IFERROR(__xludf.DUMMYFUNCTION("""COMPUTED_VALUE"""),-4.0)</f>
        <v>-4</v>
      </c>
      <c r="FZ348" s="16">
        <f>IFERROR(__xludf.DUMMYFUNCTION("""COMPUTED_VALUE"""),-6.0)</f>
        <v>-6</v>
      </c>
      <c r="GA348" s="16">
        <f>IFERROR(__xludf.DUMMYFUNCTION("""COMPUTED_VALUE"""),-7.0)</f>
        <v>-7</v>
      </c>
      <c r="GB348" s="16"/>
      <c r="GC348" s="16"/>
      <c r="GD348" s="16" t="s">
        <v>126</v>
      </c>
    </row>
    <row r="349">
      <c r="A349" s="16">
        <f>IFERROR(__xludf.DUMMYFUNCTION("""COMPUTED_VALUE"""),12766.0)</f>
        <v>12766</v>
      </c>
      <c r="B349" s="16" t="str">
        <f>IFERROR(__xludf.DUMMYFUNCTION("""COMPUTED_VALUE"""),"Drew Millas")</f>
        <v>Drew Millas</v>
      </c>
      <c r="C349" s="16">
        <f>IFERROR(__xludf.DUMMYFUNCTION("""COMPUTED_VALUE"""),1.12)</f>
        <v>1.12</v>
      </c>
      <c r="D349" s="16" t="str">
        <f>IFERROR(__xludf.DUMMYFUNCTION("""COMPUTED_VALUE"""),"S")</f>
        <v>S</v>
      </c>
      <c r="E349" s="16"/>
      <c r="F349" s="16"/>
      <c r="G349" s="16">
        <f>IFERROR(__xludf.DUMMYFUNCTION("""COMPUTED_VALUE"""),57.0)</f>
        <v>57</v>
      </c>
      <c r="H349" s="16">
        <f>IFERROR(__xludf.DUMMYFUNCTION("""COMPUTED_VALUE"""),5.0)</f>
        <v>5</v>
      </c>
      <c r="I349" s="16" t="str">
        <f>IFERROR(__xludf.DUMMYFUNCTION("""COMPUTED_VALUE"""),"2p20")</f>
        <v>2p20</v>
      </c>
      <c r="J349" s="16">
        <f>IFERROR(__xludf.DUMMYFUNCTION("""COMPUTED_VALUE"""),55.0)</f>
        <v>55</v>
      </c>
      <c r="K349" s="16">
        <f>IFERROR(__xludf.DUMMYFUNCTION("""COMPUTED_VALUE"""),19.0)</f>
        <v>19</v>
      </c>
      <c r="L349" s="16">
        <f>IFERROR(__xludf.DUMMYFUNCTION("""COMPUTED_VALUE"""),-2.0)</f>
        <v>-2</v>
      </c>
      <c r="M349" s="16">
        <f>IFERROR(__xludf.DUMMYFUNCTION("""COMPUTED_VALUE"""),1.0)</f>
        <v>1</v>
      </c>
      <c r="N349" s="16">
        <f>IFERROR(__xludf.DUMMYFUNCTION("""COMPUTED_VALUE"""),-2.0)</f>
        <v>-2</v>
      </c>
      <c r="O349" s="16">
        <f>IFERROR(__xludf.DUMMYFUNCTION("""COMPUTED_VALUE"""),1.0)</f>
        <v>1</v>
      </c>
      <c r="P349" s="16">
        <f>IFERROR(__xludf.DUMMYFUNCTION("""COMPUTED_VALUE"""),16.0)</f>
        <v>16</v>
      </c>
      <c r="Q349" s="16">
        <f>IFERROR(__xludf.DUMMYFUNCTION("""COMPUTED_VALUE"""),4.0)</f>
        <v>4</v>
      </c>
      <c r="R349" s="16">
        <f>IFERROR(__xludf.DUMMYFUNCTION("""COMPUTED_VALUE"""),2.0)</f>
        <v>2</v>
      </c>
      <c r="S349" s="16">
        <f>IFERROR(__xludf.DUMMYFUNCTION("""COMPUTED_VALUE"""),-2.0)</f>
        <v>-2</v>
      </c>
      <c r="T349" s="16">
        <f>IFERROR(__xludf.DUMMYFUNCTION("""COMPUTED_VALUE"""),2.0)</f>
        <v>2</v>
      </c>
      <c r="U349" s="16">
        <f>IFERROR(__xludf.DUMMYFUNCTION("""COMPUTED_VALUE"""),-2.0)</f>
        <v>-2</v>
      </c>
      <c r="V349" s="16">
        <f>IFERROR(__xludf.DUMMYFUNCTION("""COMPUTED_VALUE"""),12.2)</f>
        <v>12.2</v>
      </c>
      <c r="W349" s="16">
        <f>IFERROR(__xludf.DUMMYFUNCTION("""COMPUTED_VALUE"""),25.5)</f>
        <v>25.5</v>
      </c>
      <c r="X349" s="16">
        <f>IFERROR(__xludf.DUMMYFUNCTION("""COMPUTED_VALUE"""),-1.0)</f>
        <v>-1</v>
      </c>
      <c r="Y349" s="16">
        <f>IFERROR(__xludf.DUMMYFUNCTION("""COMPUTED_VALUE"""),1.0)</f>
        <v>1</v>
      </c>
      <c r="Z349" s="16">
        <f>IFERROR(__xludf.DUMMYFUNCTION("""COMPUTED_VALUE"""),-2.0)</f>
        <v>-2</v>
      </c>
      <c r="AA349" s="16">
        <f>IFERROR(__xludf.DUMMYFUNCTION("""COMPUTED_VALUE"""),2.0)</f>
        <v>2</v>
      </c>
      <c r="AB349" s="16">
        <f>IFERROR(__xludf.DUMMYFUNCTION("""COMPUTED_VALUE"""),28.2)</f>
        <v>28.2</v>
      </c>
      <c r="AC349" s="16">
        <f>IFERROR(__xludf.DUMMYFUNCTION("""COMPUTED_VALUE"""),29.5)</f>
        <v>29.5</v>
      </c>
      <c r="AD349" s="16">
        <f>IFERROR(__xludf.DUMMYFUNCTION("""COMPUTED_VALUE"""),0.0)</f>
        <v>0</v>
      </c>
      <c r="AE349" s="16">
        <f>IFERROR(__xludf.DUMMYFUNCTION("""COMPUTED_VALUE"""),0.0)</f>
        <v>0</v>
      </c>
      <c r="AF349" s="16">
        <f>IFERROR(__xludf.DUMMYFUNCTION("""COMPUTED_VALUE"""),0.0)</f>
        <v>0</v>
      </c>
      <c r="AG349" s="16">
        <f>IFERROR(__xludf.DUMMYFUNCTION("""COMPUTED_VALUE"""),0.0)</f>
        <v>0</v>
      </c>
      <c r="AH349" s="16">
        <f>IFERROR(__xludf.DUMMYFUNCTION("""COMPUTED_VALUE"""),12.2)</f>
        <v>12.2</v>
      </c>
      <c r="AI349" s="16">
        <f>IFERROR(__xludf.DUMMYFUNCTION("""COMPUTED_VALUE"""),27.8)</f>
        <v>27.8</v>
      </c>
      <c r="AJ349" s="16">
        <f>IFERROR(__xludf.DUMMYFUNCTION("""COMPUTED_VALUE"""),-2.0)</f>
        <v>-2</v>
      </c>
      <c r="AK349" s="16">
        <f>IFERROR(__xludf.DUMMYFUNCTION("""COMPUTED_VALUE"""),-1.0)</f>
        <v>-1</v>
      </c>
      <c r="AL349" s="16">
        <f>IFERROR(__xludf.DUMMYFUNCTION("""COMPUTED_VALUE"""),-10.0)</f>
        <v>-10</v>
      </c>
      <c r="AM349" s="16">
        <f>IFERROR(__xludf.DUMMYFUNCTION("""COMPUTED_VALUE"""),-5.0)</f>
        <v>-5</v>
      </c>
      <c r="AN349" s="16">
        <f>IFERROR(__xludf.DUMMYFUNCTION("""COMPUTED_VALUE"""),0.0)</f>
        <v>0</v>
      </c>
      <c r="AO349" s="16">
        <f>IFERROR(__xludf.DUMMYFUNCTION("""COMPUTED_VALUE"""),0.8)</f>
        <v>0.8</v>
      </c>
      <c r="AP349" s="16">
        <f>IFERROR(__xludf.DUMMYFUNCTION("""COMPUTED_VALUE"""),-2.0)</f>
        <v>-2</v>
      </c>
      <c r="AQ349" s="16">
        <f>IFERROR(__xludf.DUMMYFUNCTION("""COMPUTED_VALUE"""),-2.0)</f>
        <v>-2</v>
      </c>
      <c r="AR349" s="16">
        <f>IFERROR(__xludf.DUMMYFUNCTION("""COMPUTED_VALUE"""),-4.0)</f>
        <v>-4</v>
      </c>
      <c r="AS349" s="16">
        <f>IFERROR(__xludf.DUMMYFUNCTION("""COMPUTED_VALUE"""),-4.0)</f>
        <v>-4</v>
      </c>
      <c r="AT349" s="16"/>
      <c r="AU349" s="16">
        <f>IFERROR(__xludf.DUMMYFUNCTION("""COMPUTED_VALUE"""),1.0)</f>
        <v>1</v>
      </c>
      <c r="AV349" s="16">
        <f>IFERROR(__xludf.DUMMYFUNCTION("""COMPUTED_VALUE"""),-3.0)</f>
        <v>-3</v>
      </c>
      <c r="AW349" s="16">
        <f>IFERROR(__xludf.DUMMYFUNCTION("""COMPUTED_VALUE"""),1.0)</f>
        <v>1</v>
      </c>
      <c r="AX349" s="16">
        <f>IFERROR(__xludf.DUMMYFUNCTION("""COMPUTED_VALUE"""),-3.0)</f>
        <v>-3</v>
      </c>
      <c r="AY349" s="16">
        <f>IFERROR(__xludf.DUMMYFUNCTION("""COMPUTED_VALUE"""),-1.0)</f>
        <v>-1</v>
      </c>
      <c r="AZ349" s="16">
        <f>IFERROR(__xludf.DUMMYFUNCTION("""COMPUTED_VALUE"""),-9.0)</f>
        <v>-9</v>
      </c>
      <c r="BA349" s="16">
        <f>IFERROR(__xludf.DUMMYFUNCTION("""COMPUTED_VALUE"""),-3.0)</f>
        <v>-3</v>
      </c>
      <c r="BB349" s="16">
        <f>IFERROR(__xludf.DUMMYFUNCTION("""COMPUTED_VALUE"""),5.0)</f>
        <v>5</v>
      </c>
      <c r="BC349" s="16">
        <f>IFERROR(__xludf.DUMMYFUNCTION("""COMPUTED_VALUE"""),5.0)</f>
        <v>5</v>
      </c>
      <c r="BD349" s="16">
        <f>IFERROR(__xludf.DUMMYFUNCTION("""COMPUTED_VALUE"""),1.0)</f>
        <v>1</v>
      </c>
      <c r="BE349" s="16">
        <f>IFERROR(__xludf.DUMMYFUNCTION("""COMPUTED_VALUE"""),1.0)</f>
        <v>1</v>
      </c>
      <c r="BF349" s="16">
        <f>IFERROR(__xludf.DUMMYFUNCTION("""COMPUTED_VALUE"""),1.0)</f>
        <v>1</v>
      </c>
      <c r="BG349" s="16">
        <f>IFERROR(__xludf.DUMMYFUNCTION("""COMPUTED_VALUE"""),1.0)</f>
        <v>1</v>
      </c>
      <c r="BH349" s="16">
        <f>IFERROR(__xludf.DUMMYFUNCTION("""COMPUTED_VALUE"""),-7.0)</f>
        <v>-7</v>
      </c>
      <c r="BI349" s="16">
        <f>IFERROR(__xludf.DUMMYFUNCTION("""COMPUTED_VALUE"""),-8.0)</f>
        <v>-8</v>
      </c>
      <c r="BJ349" s="16">
        <f>IFERROR(__xludf.DUMMYFUNCTION("""COMPUTED_VALUE"""),11.0)</f>
        <v>11</v>
      </c>
      <c r="BK349" s="16">
        <f>IFERROR(__xludf.DUMMYFUNCTION("""COMPUTED_VALUE"""),14.0)</f>
        <v>14</v>
      </c>
      <c r="BL349" s="16">
        <f>IFERROR(__xludf.DUMMYFUNCTION("""COMPUTED_VALUE"""),0.0)</f>
        <v>0</v>
      </c>
      <c r="BM349" s="16">
        <f>IFERROR(__xludf.DUMMYFUNCTION("""COMPUTED_VALUE"""),0.0)</f>
        <v>0</v>
      </c>
      <c r="BN349" s="16">
        <f>IFERROR(__xludf.DUMMYFUNCTION("""COMPUTED_VALUE"""),0.0)</f>
        <v>0</v>
      </c>
      <c r="BO349" s="16">
        <f>IFERROR(__xludf.DUMMYFUNCTION("""COMPUTED_VALUE"""),0.0)</f>
        <v>0</v>
      </c>
      <c r="BP349" s="16">
        <f>IFERROR(__xludf.DUMMYFUNCTION("""COMPUTED_VALUE"""),-7.0)</f>
        <v>-7</v>
      </c>
      <c r="BQ349" s="16">
        <f>IFERROR(__xludf.DUMMYFUNCTION("""COMPUTED_VALUE"""),-3.0)</f>
        <v>-3</v>
      </c>
      <c r="BR349" s="16">
        <f>IFERROR(__xludf.DUMMYFUNCTION("""COMPUTED_VALUE"""),-10.0)</f>
        <v>-10</v>
      </c>
      <c r="BS349" s="16" t="str">
        <f>IFERROR(__xludf.DUMMYFUNCTION("""COMPUTED_VALUE"""),"*6/- (20-13)")</f>
        <v>*6/- (20-13)</v>
      </c>
      <c r="BT349" s="16" t="str">
        <f>IFERROR(__xludf.DUMMYFUNCTION("""COMPUTED_VALUE"""),"B")</f>
        <v>B</v>
      </c>
      <c r="BU349" s="16">
        <f>IFERROR(__xludf.DUMMYFUNCTION("""COMPUTED_VALUE"""),13.0)</f>
        <v>13</v>
      </c>
      <c r="BV349" s="16">
        <f>IFERROR(__xludf.DUMMYFUNCTION("""COMPUTED_VALUE"""),1.0)</f>
        <v>1</v>
      </c>
      <c r="BW349" s="16">
        <f>IFERROR(__xludf.DUMMYFUNCTION("""COMPUTED_VALUE"""),1.0)</f>
        <v>1</v>
      </c>
      <c r="BX349" s="16">
        <f>IFERROR(__xludf.DUMMYFUNCTION("""COMPUTED_VALUE"""),2.0)</f>
        <v>2</v>
      </c>
      <c r="BY349" s="16">
        <f>IFERROR(__xludf.DUMMYFUNCTION("""COMPUTED_VALUE"""),3.0)</f>
        <v>3</v>
      </c>
      <c r="BZ349" s="16" t="str">
        <f>IFERROR(__xludf.DUMMYFUNCTION("""COMPUTED_VALUE"""),"C")</f>
        <v>C</v>
      </c>
      <c r="CA349" s="16" t="str">
        <f>IFERROR(__xludf.DUMMYFUNCTION("""COMPUTED_VALUE"""),"D")</f>
        <v>D</v>
      </c>
      <c r="CB349" s="16">
        <f>IFERROR(__xludf.DUMMYFUNCTION("""COMPUTED_VALUE"""),0.0)</f>
        <v>0</v>
      </c>
      <c r="CC349" s="16">
        <f>IFERROR(__xludf.DUMMYFUNCTION("""COMPUTED_VALUE"""),0.0)</f>
        <v>0</v>
      </c>
      <c r="CD349" s="16">
        <f>IFERROR(__xludf.DUMMYFUNCTION("""COMPUTED_VALUE"""),0.0)</f>
        <v>0</v>
      </c>
      <c r="CE349" s="16">
        <f>IFERROR(__xludf.DUMMYFUNCTION("""COMPUTED_VALUE"""),0.0)</f>
        <v>0</v>
      </c>
      <c r="CF349" s="16">
        <f>IFERROR(__xludf.DUMMYFUNCTION("""COMPUTED_VALUE"""),2.0)</f>
        <v>2</v>
      </c>
      <c r="CG349" s="16">
        <f>IFERROR(__xludf.DUMMYFUNCTION("""COMPUTED_VALUE"""),-24.0)</f>
        <v>-24</v>
      </c>
      <c r="CH349" s="16">
        <f>IFERROR(__xludf.DUMMYFUNCTION("""COMPUTED_VALUE"""),-10.0)</f>
        <v>-10</v>
      </c>
      <c r="CI349" s="179">
        <f>IFERROR(__xludf.DUMMYFUNCTION("""COMPUTED_VALUE"""),-14.0)</f>
        <v>-14</v>
      </c>
      <c r="CJ349" s="16">
        <f>IFERROR(__xludf.DUMMYFUNCTION("""COMPUTED_VALUE"""),302.0)</f>
        <v>302</v>
      </c>
      <c r="CK349" s="16"/>
      <c r="CL349" s="16"/>
      <c r="CM349" s="16"/>
      <c r="CN349" s="16"/>
      <c r="CO349" s="16"/>
      <c r="CP349" s="16"/>
      <c r="CQ349" s="16"/>
      <c r="CR349" s="16" t="str">
        <f>IFERROR(__xludf.DUMMYFUNCTION("""COMPUTED_VALUE"""),"c-3(-1)e2,T-7(pb-1)")</f>
        <v>c-3(-1)e2,T-7(pb-1)</v>
      </c>
      <c r="CS349" s="16">
        <f>IFERROR(__xludf.DUMMYFUNCTION("""COMPUTED_VALUE"""),3.0)</f>
        <v>3</v>
      </c>
      <c r="CT349" s="16"/>
      <c r="CU349" s="16"/>
      <c r="CV349" s="16"/>
      <c r="CW349" s="16"/>
      <c r="CX349" s="16"/>
      <c r="CY349" s="16"/>
      <c r="CZ349" s="16"/>
      <c r="DA349" s="16">
        <f>IFERROR(__xludf.DUMMYFUNCTION("""COMPUTED_VALUE"""),2.0)</f>
        <v>2</v>
      </c>
      <c r="DB349" s="16"/>
      <c r="DC349" s="16"/>
      <c r="DD349" s="16"/>
      <c r="DE349" s="16"/>
      <c r="DF349" s="16"/>
      <c r="DG349" s="16"/>
      <c r="DH349" s="16"/>
      <c r="DI349" s="16">
        <f>IFERROR(__xludf.DUMMYFUNCTION("""COMPUTED_VALUE"""),0.0)</f>
        <v>0</v>
      </c>
      <c r="DJ349" s="16"/>
      <c r="DK349" s="16"/>
      <c r="DL349" s="16"/>
      <c r="DM349" s="16"/>
      <c r="DN349" s="16"/>
      <c r="DO349" s="16"/>
      <c r="DP349" s="16"/>
      <c r="DQ349" s="16">
        <f>IFERROR(__xludf.DUMMYFUNCTION("""COMPUTED_VALUE"""),4.0)</f>
        <v>4</v>
      </c>
      <c r="DR349" s="16"/>
      <c r="DS349" s="16"/>
      <c r="DT349" s="16"/>
      <c r="DU349" s="16"/>
      <c r="DV349" s="16"/>
      <c r="DW349" s="16"/>
      <c r="DX349" s="16"/>
      <c r="DY349" s="16">
        <f>IFERROR(__xludf.DUMMYFUNCTION("""COMPUTED_VALUE"""),4.0)</f>
        <v>4</v>
      </c>
      <c r="DZ349" s="16"/>
      <c r="EA349" s="16"/>
      <c r="EB349" s="16"/>
      <c r="EC349" s="16"/>
      <c r="ED349" s="16"/>
      <c r="EE349" s="16"/>
      <c r="EF349" s="16"/>
      <c r="EG349" s="179">
        <f>IFERROR(__xludf.DUMMYFUNCTION("""COMPUTED_VALUE"""),-11.0)</f>
        <v>-11</v>
      </c>
      <c r="EH349" s="179"/>
      <c r="EI349" s="179"/>
      <c r="EJ349" s="179"/>
      <c r="EK349" s="179"/>
      <c r="EL349" s="179"/>
      <c r="EM349" s="179"/>
      <c r="EN349" s="179"/>
      <c r="EO349" s="16">
        <f>IFERROR(__xludf.DUMMYFUNCTION("""COMPUTED_VALUE"""),-1.0)</f>
        <v>-1</v>
      </c>
      <c r="EP349" s="16">
        <f>IFERROR(__xludf.DUMMYFUNCTION("""COMPUTED_VALUE"""),4.6)</f>
        <v>4.6</v>
      </c>
      <c r="EQ349" s="16">
        <f>IFERROR(__xludf.DUMMYFUNCTION("""COMPUTED_VALUE"""),2.0)</f>
        <v>2</v>
      </c>
      <c r="ER349" s="16">
        <f>IFERROR(__xludf.DUMMYFUNCTION("""COMPUTED_VALUE"""),-4.0)</f>
        <v>-4</v>
      </c>
      <c r="ES349" s="16" t="str">
        <f>IFERROR(__xludf.DUMMYFUNCTION("""COMPUTED_VALUE"""),"c-3")</f>
        <v>c-3</v>
      </c>
      <c r="ET349" s="16" t="str">
        <f>IFERROR(__xludf.DUMMYFUNCTION("""COMPUTED_VALUE"""),"-1)e2,T-7")</f>
        <v>-1)e2,T-7</v>
      </c>
      <c r="EU349" s="16" t="str">
        <f>IFERROR(__xludf.DUMMYFUNCTION("""COMPUTED_VALUE"""),"pb-1)")</f>
        <v>pb-1)</v>
      </c>
      <c r="EV349" s="16"/>
      <c r="EW349" s="16">
        <f>IFERROR(__xludf.DUMMYFUNCTION("""COMPUTED_VALUE"""),-1.0)</f>
        <v>-1</v>
      </c>
      <c r="EX349" s="180">
        <f>IFERROR(__xludf.DUMMYFUNCTION("""COMPUTED_VALUE"""),0.2)</f>
        <v>0.2</v>
      </c>
      <c r="EY349" s="180"/>
      <c r="EZ349" s="180"/>
      <c r="FA349" s="180"/>
      <c r="FB349" s="180"/>
      <c r="FC349" s="180"/>
      <c r="FD349" s="180"/>
      <c r="FE349" s="180"/>
      <c r="FF349" s="180">
        <f>IFERROR(__xludf.DUMMYFUNCTION("""COMPUTED_VALUE"""),0.024)</f>
        <v>0.024</v>
      </c>
      <c r="FG349" s="180"/>
      <c r="FH349" s="180"/>
      <c r="FI349" s="180"/>
      <c r="FJ349" s="180"/>
      <c r="FK349" s="180"/>
      <c r="FL349" s="180"/>
      <c r="FM349" s="180"/>
      <c r="FN349" s="16">
        <f>IFERROR(__xludf.DUMMYFUNCTION("""COMPUTED_VALUE"""),0.7808)</f>
        <v>0.7808</v>
      </c>
      <c r="FO349" s="16"/>
      <c r="FP349" s="16"/>
      <c r="FQ349" s="16"/>
      <c r="FR349" s="16"/>
      <c r="FS349" s="16"/>
      <c r="FT349" s="16"/>
      <c r="FU349" s="16"/>
      <c r="FV349" s="16">
        <f>IFERROR(__xludf.DUMMYFUNCTION("""COMPUTED_VALUE"""),0.0)</f>
        <v>0</v>
      </c>
      <c r="FW349" s="16"/>
      <c r="FX349" s="16"/>
      <c r="FY349" s="16"/>
      <c r="FZ349" s="16"/>
      <c r="GA349" s="16"/>
      <c r="GB349" s="16"/>
      <c r="GC349" s="16"/>
      <c r="GD349" s="16" t="s">
        <v>232</v>
      </c>
    </row>
    <row r="350">
      <c r="A350" s="16">
        <f>IFERROR(__xludf.DUMMYFUNCTION("""COMPUTED_VALUE"""),13514.0)</f>
        <v>13514</v>
      </c>
      <c r="B350" s="16" t="str">
        <f>IFERROR(__xludf.DUMMYFUNCTION("""COMPUTED_VALUE"""),"Zach DeLoach")</f>
        <v>Zach DeLoach</v>
      </c>
      <c r="C350" s="16">
        <f>IFERROR(__xludf.DUMMYFUNCTION("""COMPUTED_VALUE"""),0.0)</f>
        <v>0</v>
      </c>
      <c r="D350" s="16" t="str">
        <f>IFERROR(__xludf.DUMMYFUNCTION("""COMPUTED_VALUE"""),"L")</f>
        <v>L</v>
      </c>
      <c r="E350" s="16"/>
      <c r="F350" s="16"/>
      <c r="G350" s="16">
        <f>IFERROR(__xludf.DUMMYFUNCTION("""COMPUTED_VALUE"""),67.0)</f>
        <v>67</v>
      </c>
      <c r="H350" s="16">
        <f>IFERROR(__xludf.DUMMYFUNCTION("""COMPUTED_VALUE"""),8.0)</f>
        <v>8</v>
      </c>
      <c r="I350" s="16" t="str">
        <f>IFERROR(__xludf.DUMMYFUNCTION("""COMPUTED_VALUE"""),"1p20")</f>
        <v>1p20</v>
      </c>
      <c r="J350" s="16">
        <f>IFERROR(__xludf.DUMMYFUNCTION("""COMPUTED_VALUE"""),48.0)</f>
        <v>48</v>
      </c>
      <c r="K350" s="16">
        <f>IFERROR(__xludf.DUMMYFUNCTION("""COMPUTED_VALUE"""),30.0)</f>
        <v>30</v>
      </c>
      <c r="L350" s="16">
        <f>IFERROR(__xludf.DUMMYFUNCTION("""COMPUTED_VALUE"""),-2.0)</f>
        <v>-2</v>
      </c>
      <c r="M350" s="16">
        <f>IFERROR(__xludf.DUMMYFUNCTION("""COMPUTED_VALUE"""),-1.0)</f>
        <v>-1</v>
      </c>
      <c r="N350" s="16">
        <f>IFERROR(__xludf.DUMMYFUNCTION("""COMPUTED_VALUE"""),-2.0)</f>
        <v>-2</v>
      </c>
      <c r="O350" s="16">
        <f>IFERROR(__xludf.DUMMYFUNCTION("""COMPUTED_VALUE"""),-1.0)</f>
        <v>-1</v>
      </c>
      <c r="P350" s="16">
        <f>IFERROR(__xludf.DUMMYFUNCTION("""COMPUTED_VALUE"""),11.0)</f>
        <v>11</v>
      </c>
      <c r="Q350" s="16">
        <f>IFERROR(__xludf.DUMMYFUNCTION("""COMPUTED_VALUE"""),15.0)</f>
        <v>15</v>
      </c>
      <c r="R350" s="16">
        <f>IFERROR(__xludf.DUMMYFUNCTION("""COMPUTED_VALUE"""),1.0)</f>
        <v>1</v>
      </c>
      <c r="S350" s="16">
        <f>IFERROR(__xludf.DUMMYFUNCTION("""COMPUTED_VALUE"""),2.0)</f>
        <v>2</v>
      </c>
      <c r="T350" s="16">
        <f>IFERROR(__xludf.DUMMYFUNCTION("""COMPUTED_VALUE"""),1.0)</f>
        <v>1</v>
      </c>
      <c r="U350" s="16">
        <f>IFERROR(__xludf.DUMMYFUNCTION("""COMPUTED_VALUE"""),2.0)</f>
        <v>2</v>
      </c>
      <c r="V350" s="16">
        <f>IFERROR(__xludf.DUMMYFUNCTION("""COMPUTED_VALUE"""),10.9)</f>
        <v>10.9</v>
      </c>
      <c r="W350" s="16">
        <f>IFERROR(__xludf.DUMMYFUNCTION("""COMPUTED_VALUE"""),14.6)</f>
        <v>14.6</v>
      </c>
      <c r="X350" s="16">
        <f>IFERROR(__xludf.DUMMYFUNCTION("""COMPUTED_VALUE"""),-1.0)</f>
        <v>-1</v>
      </c>
      <c r="Y350" s="16">
        <f>IFERROR(__xludf.DUMMYFUNCTION("""COMPUTED_VALUE"""),-1.0)</f>
        <v>-1</v>
      </c>
      <c r="Z350" s="16">
        <f>IFERROR(__xludf.DUMMYFUNCTION("""COMPUTED_VALUE"""),-2.0)</f>
        <v>-2</v>
      </c>
      <c r="AA350" s="16">
        <f>IFERROR(__xludf.DUMMYFUNCTION("""COMPUTED_VALUE"""),-2.0)</f>
        <v>-2</v>
      </c>
      <c r="AB350" s="16">
        <f>IFERROR(__xludf.DUMMYFUNCTION("""COMPUTED_VALUE"""),22.0)</f>
        <v>22</v>
      </c>
      <c r="AC350" s="16">
        <f>IFERROR(__xludf.DUMMYFUNCTION("""COMPUTED_VALUE"""),29.6)</f>
        <v>29.6</v>
      </c>
      <c r="AD350" s="16">
        <f>IFERROR(__xludf.DUMMYFUNCTION("""COMPUTED_VALUE"""),-1.0)</f>
        <v>-1</v>
      </c>
      <c r="AE350" s="16">
        <f>IFERROR(__xludf.DUMMYFUNCTION("""COMPUTED_VALUE"""),0.0)</f>
        <v>0</v>
      </c>
      <c r="AF350" s="16">
        <f>IFERROR(__xludf.DUMMYFUNCTION("""COMPUTED_VALUE"""),-5.0)</f>
        <v>-5</v>
      </c>
      <c r="AG350" s="16">
        <f>IFERROR(__xludf.DUMMYFUNCTION("""COMPUTED_VALUE"""),0.0)</f>
        <v>0</v>
      </c>
      <c r="AH350" s="16">
        <f>IFERROR(__xludf.DUMMYFUNCTION("""COMPUTED_VALUE"""),15.9)</f>
        <v>15.9</v>
      </c>
      <c r="AI350" s="16">
        <f>IFERROR(__xludf.DUMMYFUNCTION("""COMPUTED_VALUE"""),28.3)</f>
        <v>28.3</v>
      </c>
      <c r="AJ350" s="16">
        <f>IFERROR(__xludf.DUMMYFUNCTION("""COMPUTED_VALUE"""),-1.0)</f>
        <v>-1</v>
      </c>
      <c r="AK350" s="16">
        <f>IFERROR(__xludf.DUMMYFUNCTION("""COMPUTED_VALUE"""),-1.0)</f>
        <v>-1</v>
      </c>
      <c r="AL350" s="16">
        <f>IFERROR(__xludf.DUMMYFUNCTION("""COMPUTED_VALUE"""),-5.0)</f>
        <v>-5</v>
      </c>
      <c r="AM350" s="16">
        <f>IFERROR(__xludf.DUMMYFUNCTION("""COMPUTED_VALUE"""),-5.0)</f>
        <v>-5</v>
      </c>
      <c r="AN350" s="16">
        <f>IFERROR(__xludf.DUMMYFUNCTION("""COMPUTED_VALUE"""),0.0)</f>
        <v>0</v>
      </c>
      <c r="AO350" s="16">
        <f>IFERROR(__xludf.DUMMYFUNCTION("""COMPUTED_VALUE"""),0.8)</f>
        <v>0.8</v>
      </c>
      <c r="AP350" s="16">
        <f>IFERROR(__xludf.DUMMYFUNCTION("""COMPUTED_VALUE"""),-2.0)</f>
        <v>-2</v>
      </c>
      <c r="AQ350" s="16">
        <f>IFERROR(__xludf.DUMMYFUNCTION("""COMPUTED_VALUE"""),-2.0)</f>
        <v>-2</v>
      </c>
      <c r="AR350" s="16">
        <f>IFERROR(__xludf.DUMMYFUNCTION("""COMPUTED_VALUE"""),-4.0)</f>
        <v>-4</v>
      </c>
      <c r="AS350" s="16">
        <f>IFERROR(__xludf.DUMMYFUNCTION("""COMPUTED_VALUE"""),-4.0)</f>
        <v>-4</v>
      </c>
      <c r="AT350" s="16"/>
      <c r="AU350" s="16">
        <f>IFERROR(__xludf.DUMMYFUNCTION("""COMPUTED_VALUE"""),0.0)</f>
        <v>0</v>
      </c>
      <c r="AV350" s="16">
        <f>IFERROR(__xludf.DUMMYFUNCTION("""COMPUTED_VALUE"""),-3.0)</f>
        <v>-3</v>
      </c>
      <c r="AW350" s="16">
        <f>IFERROR(__xludf.DUMMYFUNCTION("""COMPUTED_VALUE"""),0.0)</f>
        <v>0</v>
      </c>
      <c r="AX350" s="16">
        <f>IFERROR(__xludf.DUMMYFUNCTION("""COMPUTED_VALUE"""),-3.0)</f>
        <v>-3</v>
      </c>
      <c r="AY350" s="16">
        <f>IFERROR(__xludf.DUMMYFUNCTION("""COMPUTED_VALUE"""),-2.0)</f>
        <v>-2</v>
      </c>
      <c r="AZ350" s="16">
        <f>IFERROR(__xludf.DUMMYFUNCTION("""COMPUTED_VALUE"""),-9.0)</f>
        <v>-9</v>
      </c>
      <c r="BA350" s="16">
        <f>IFERROR(__xludf.DUMMYFUNCTION("""COMPUTED_VALUE"""),-6.0)</f>
        <v>-6</v>
      </c>
      <c r="BB350" s="16">
        <f>IFERROR(__xludf.DUMMYFUNCTION("""COMPUTED_VALUE"""),5.0)</f>
        <v>5</v>
      </c>
      <c r="BC350" s="16">
        <f>IFERROR(__xludf.DUMMYFUNCTION("""COMPUTED_VALUE"""),5.0)</f>
        <v>5</v>
      </c>
      <c r="BD350" s="16">
        <f>IFERROR(__xludf.DUMMYFUNCTION("""COMPUTED_VALUE"""),1.0)</f>
        <v>1</v>
      </c>
      <c r="BE350" s="16">
        <f>IFERROR(__xludf.DUMMYFUNCTION("""COMPUTED_VALUE"""),1.0)</f>
        <v>1</v>
      </c>
      <c r="BF350" s="16">
        <f>IFERROR(__xludf.DUMMYFUNCTION("""COMPUTED_VALUE"""),1.0)</f>
        <v>1</v>
      </c>
      <c r="BG350" s="16">
        <f>IFERROR(__xludf.DUMMYFUNCTION("""COMPUTED_VALUE"""),1.0)</f>
        <v>1</v>
      </c>
      <c r="BH350" s="16">
        <f>IFERROR(__xludf.DUMMYFUNCTION("""COMPUTED_VALUE"""),1.0)</f>
        <v>1</v>
      </c>
      <c r="BI350" s="16">
        <f>IFERROR(__xludf.DUMMYFUNCTION("""COMPUTED_VALUE"""),1.0)</f>
        <v>1</v>
      </c>
      <c r="BJ350" s="16">
        <f>IFERROR(__xludf.DUMMYFUNCTION("""COMPUTED_VALUE"""),0.0)</f>
        <v>0</v>
      </c>
      <c r="BK350" s="16">
        <f>IFERROR(__xludf.DUMMYFUNCTION("""COMPUTED_VALUE"""),0.0)</f>
        <v>0</v>
      </c>
      <c r="BL350" s="16">
        <f>IFERROR(__xludf.DUMMYFUNCTION("""COMPUTED_VALUE"""),3.0)</f>
        <v>3</v>
      </c>
      <c r="BM350" s="16">
        <f>IFERROR(__xludf.DUMMYFUNCTION("""COMPUTED_VALUE"""),3.0)</f>
        <v>3</v>
      </c>
      <c r="BN350" s="16">
        <f>IFERROR(__xludf.DUMMYFUNCTION("""COMPUTED_VALUE"""),3.0)</f>
        <v>3</v>
      </c>
      <c r="BO350" s="16">
        <f>IFERROR(__xludf.DUMMYFUNCTION("""COMPUTED_VALUE"""),3.0)</f>
        <v>3</v>
      </c>
      <c r="BP350" s="16">
        <f>IFERROR(__xludf.DUMMYFUNCTION("""COMPUTED_VALUE"""),-5.0)</f>
        <v>-5</v>
      </c>
      <c r="BQ350" s="16">
        <f>IFERROR(__xludf.DUMMYFUNCTION("""COMPUTED_VALUE"""),-1.0)</f>
        <v>-1</v>
      </c>
      <c r="BR350" s="16">
        <f>IFERROR(__xludf.DUMMYFUNCTION("""COMPUTED_VALUE"""),-6.0)</f>
        <v>-6</v>
      </c>
      <c r="BS350" s="16" t="str">
        <f>IFERROR(__xludf.DUMMYFUNCTION("""COMPUTED_VALUE"""),"2-11/- (3-1)")</f>
        <v>2-11/- (3-1)</v>
      </c>
      <c r="BT350" s="16" t="str">
        <f>IFERROR(__xludf.DUMMYFUNCTION("""COMPUTED_VALUE"""),"E")</f>
        <v>E</v>
      </c>
      <c r="BU350" s="16">
        <f>IFERROR(__xludf.DUMMYFUNCTION("""COMPUTED_VALUE"""),12.0)</f>
        <v>12</v>
      </c>
      <c r="BV350" s="16">
        <f>IFERROR(__xludf.DUMMYFUNCTION("""COMPUTED_VALUE"""),0.0)</f>
        <v>0</v>
      </c>
      <c r="BW350" s="16">
        <f>IFERROR(__xludf.DUMMYFUNCTION("""COMPUTED_VALUE"""),0.0)</f>
        <v>0</v>
      </c>
      <c r="BX350" s="16">
        <f>IFERROR(__xludf.DUMMYFUNCTION("""COMPUTED_VALUE"""),0.0)</f>
        <v>0</v>
      </c>
      <c r="BY350" s="16">
        <f>IFERROR(__xludf.DUMMYFUNCTION("""COMPUTED_VALUE"""),0.0)</f>
        <v>0</v>
      </c>
      <c r="BZ350" s="16" t="str">
        <f>IFERROR(__xludf.DUMMYFUNCTION("""COMPUTED_VALUE"""),"D")</f>
        <v>D</v>
      </c>
      <c r="CA350" s="16" t="str">
        <f>IFERROR(__xludf.DUMMYFUNCTION("""COMPUTED_VALUE"""),"D")</f>
        <v>D</v>
      </c>
      <c r="CB350" s="16">
        <f>IFERROR(__xludf.DUMMYFUNCTION("""COMPUTED_VALUE"""),0.0)</f>
        <v>0</v>
      </c>
      <c r="CC350" s="16">
        <f>IFERROR(__xludf.DUMMYFUNCTION("""COMPUTED_VALUE"""),0.0)</f>
        <v>0</v>
      </c>
      <c r="CD350" s="16">
        <f>IFERROR(__xludf.DUMMYFUNCTION("""COMPUTED_VALUE"""),0.0)</f>
        <v>0</v>
      </c>
      <c r="CE350" s="16">
        <f>IFERROR(__xludf.DUMMYFUNCTION("""COMPUTED_VALUE"""),0.0)</f>
        <v>0</v>
      </c>
      <c r="CF350" s="16">
        <f>IFERROR(__xludf.DUMMYFUNCTION("""COMPUTED_VALUE"""),1.0)</f>
        <v>1</v>
      </c>
      <c r="CG350" s="16">
        <f>IFERROR(__xludf.DUMMYFUNCTION("""COMPUTED_VALUE"""),-22.0)</f>
        <v>-22</v>
      </c>
      <c r="CH350" s="16">
        <f>IFERROR(__xludf.DUMMYFUNCTION("""COMPUTED_VALUE"""),-12.0)</f>
        <v>-12</v>
      </c>
      <c r="CI350" s="179">
        <f>IFERROR(__xludf.DUMMYFUNCTION("""COMPUTED_VALUE"""),-15.0)</f>
        <v>-15</v>
      </c>
      <c r="CJ350" s="16"/>
      <c r="CK350" s="16"/>
      <c r="CL350" s="16"/>
      <c r="CM350" s="16"/>
      <c r="CN350" s="16"/>
      <c r="CO350" s="16">
        <f>IFERROR(__xludf.DUMMYFUNCTION("""COMPUTED_VALUE"""),402.0)</f>
        <v>402</v>
      </c>
      <c r="CP350" s="16">
        <f>IFERROR(__xludf.DUMMYFUNCTION("""COMPUTED_VALUE"""),402.0)</f>
        <v>402</v>
      </c>
      <c r="CQ350" s="16">
        <f>IFERROR(__xludf.DUMMYFUNCTION("""COMPUTED_VALUE"""),402.0)</f>
        <v>402</v>
      </c>
      <c r="CR350" s="16" t="str">
        <f>IFERROR(__xludf.DUMMYFUNCTION("""COMPUTED_VALUE"""),"rf-4(0)e2 lf-4e2 cf-4e2")</f>
        <v>rf-4(0)e2 lf-4e2 cf-4e2</v>
      </c>
      <c r="CS350" s="16"/>
      <c r="CT350" s="16"/>
      <c r="CU350" s="16"/>
      <c r="CV350" s="16"/>
      <c r="CW350" s="16"/>
      <c r="CX350" s="16">
        <f>IFERROR(__xludf.DUMMYFUNCTION("""COMPUTED_VALUE"""),4.0)</f>
        <v>4</v>
      </c>
      <c r="CY350" s="16">
        <f>IFERROR(__xludf.DUMMYFUNCTION("""COMPUTED_VALUE"""),4.0)</f>
        <v>4</v>
      </c>
      <c r="CZ350" s="16">
        <f>IFERROR(__xludf.DUMMYFUNCTION("""COMPUTED_VALUE"""),4.0)</f>
        <v>4</v>
      </c>
      <c r="DA350" s="16"/>
      <c r="DB350" s="16"/>
      <c r="DC350" s="16"/>
      <c r="DD350" s="16"/>
      <c r="DE350" s="16"/>
      <c r="DF350" s="16">
        <f>IFERROR(__xludf.DUMMYFUNCTION("""COMPUTED_VALUE"""),2.0)</f>
        <v>2</v>
      </c>
      <c r="DG350" s="16">
        <f>IFERROR(__xludf.DUMMYFUNCTION("""COMPUTED_VALUE"""),2.0)</f>
        <v>2</v>
      </c>
      <c r="DH350" s="16">
        <f>IFERROR(__xludf.DUMMYFUNCTION("""COMPUTED_VALUE"""),2.0)</f>
        <v>2</v>
      </c>
      <c r="DI350" s="16"/>
      <c r="DJ350" s="16"/>
      <c r="DK350" s="16"/>
      <c r="DL350" s="16"/>
      <c r="DM350" s="16"/>
      <c r="DN350" s="16">
        <f>IFERROR(__xludf.DUMMYFUNCTION("""COMPUTED_VALUE"""),-1.0)</f>
        <v>-1</v>
      </c>
      <c r="DO350" s="16">
        <f>IFERROR(__xludf.DUMMYFUNCTION("""COMPUTED_VALUE"""),-2.0)</f>
        <v>-2</v>
      </c>
      <c r="DP350" s="16">
        <f>IFERROR(__xludf.DUMMYFUNCTION("""COMPUTED_VALUE"""),-1.0)</f>
        <v>-1</v>
      </c>
      <c r="DQ350" s="16"/>
      <c r="DR350" s="16"/>
      <c r="DS350" s="16"/>
      <c r="DT350" s="16"/>
      <c r="DU350" s="16"/>
      <c r="DV350" s="16">
        <f>IFERROR(__xludf.DUMMYFUNCTION("""COMPUTED_VALUE"""),4.0)</f>
        <v>4</v>
      </c>
      <c r="DW350" s="16">
        <f>IFERROR(__xludf.DUMMYFUNCTION("""COMPUTED_VALUE"""),4.0)</f>
        <v>4</v>
      </c>
      <c r="DX350" s="16">
        <f>IFERROR(__xludf.DUMMYFUNCTION("""COMPUTED_VALUE"""),4.0)</f>
        <v>4</v>
      </c>
      <c r="DY350" s="16"/>
      <c r="DZ350" s="16"/>
      <c r="EA350" s="16"/>
      <c r="EB350" s="16"/>
      <c r="EC350" s="16"/>
      <c r="ED350" s="16">
        <f>IFERROR(__xludf.DUMMYFUNCTION("""COMPUTED_VALUE"""),3.0)</f>
        <v>3</v>
      </c>
      <c r="EE350" s="16">
        <f>IFERROR(__xludf.DUMMYFUNCTION("""COMPUTED_VALUE"""),2.0)</f>
        <v>2</v>
      </c>
      <c r="EF350" s="16">
        <f>IFERROR(__xludf.DUMMYFUNCTION("""COMPUTED_VALUE"""),3.0)</f>
        <v>3</v>
      </c>
      <c r="EG350" s="179"/>
      <c r="EH350" s="179"/>
      <c r="EI350" s="179"/>
      <c r="EJ350" s="179"/>
      <c r="EK350" s="179"/>
      <c r="EL350" s="179">
        <f>IFERROR(__xludf.DUMMYFUNCTION("""COMPUTED_VALUE"""),-12.0)</f>
        <v>-12</v>
      </c>
      <c r="EM350" s="179">
        <f>IFERROR(__xludf.DUMMYFUNCTION("""COMPUTED_VALUE"""),-13.0)</f>
        <v>-13</v>
      </c>
      <c r="EN350" s="179">
        <f>IFERROR(__xludf.DUMMYFUNCTION("""COMPUTED_VALUE"""),-12.0)</f>
        <v>-12</v>
      </c>
      <c r="EO350" s="16"/>
      <c r="EP350" s="16"/>
      <c r="EQ350" s="16">
        <f>IFERROR(__xludf.DUMMYFUNCTION("""COMPUTED_VALUE"""),4.0)</f>
        <v>4</v>
      </c>
      <c r="ER350" s="16">
        <f>IFERROR(__xludf.DUMMYFUNCTION("""COMPUTED_VALUE"""),-4.0)</f>
        <v>-4</v>
      </c>
      <c r="ES350" s="16"/>
      <c r="ET350" s="16"/>
      <c r="EU350" s="16"/>
      <c r="EV350" s="16"/>
      <c r="EW350" s="16"/>
      <c r="EX350" s="180"/>
      <c r="EY350" s="180"/>
      <c r="EZ350" s="180"/>
      <c r="FA350" s="180"/>
      <c r="FB350" s="180"/>
      <c r="FC350" s="180">
        <f>IFERROR(__xludf.DUMMYFUNCTION("""COMPUTED_VALUE"""),0.55)</f>
        <v>0.55</v>
      </c>
      <c r="FD350" s="180">
        <f>IFERROR(__xludf.DUMMYFUNCTION("""COMPUTED_VALUE"""),0.55)</f>
        <v>0.55</v>
      </c>
      <c r="FE350" s="180">
        <f>IFERROR(__xludf.DUMMYFUNCTION("""COMPUTED_VALUE"""),0.55)</f>
        <v>0.55</v>
      </c>
      <c r="FF350" s="180"/>
      <c r="FG350" s="180"/>
      <c r="FH350" s="180"/>
      <c r="FI350" s="180"/>
      <c r="FJ350" s="180"/>
      <c r="FK350" s="180">
        <f>IFERROR(__xludf.DUMMYFUNCTION("""COMPUTED_VALUE"""),0.037)</f>
        <v>0.037</v>
      </c>
      <c r="FL350" s="180">
        <f>IFERROR(__xludf.DUMMYFUNCTION("""COMPUTED_VALUE"""),0.023148148148148147)</f>
        <v>0.02314814815</v>
      </c>
      <c r="FM350" s="180">
        <f>IFERROR(__xludf.DUMMYFUNCTION("""COMPUTED_VALUE"""),0.037)</f>
        <v>0.037</v>
      </c>
      <c r="FN350" s="16"/>
      <c r="FO350" s="16"/>
      <c r="FP350" s="16"/>
      <c r="FQ350" s="16"/>
      <c r="FR350" s="16"/>
      <c r="FS350" s="16">
        <f>IFERROR(__xludf.DUMMYFUNCTION("""COMPUTED_VALUE"""),0.43334999999999996)</f>
        <v>0.43335</v>
      </c>
      <c r="FT350" s="16">
        <f>IFERROR(__xludf.DUMMYFUNCTION("""COMPUTED_VALUE"""),0.43958333333333327)</f>
        <v>0.4395833333</v>
      </c>
      <c r="FU350" s="16">
        <f>IFERROR(__xludf.DUMMYFUNCTION("""COMPUTED_VALUE"""),0.43334999999999996)</f>
        <v>0.43335</v>
      </c>
      <c r="FV350" s="16"/>
      <c r="FW350" s="16"/>
      <c r="FX350" s="16"/>
      <c r="FY350" s="16"/>
      <c r="FZ350" s="16"/>
      <c r="GA350" s="16">
        <f>IFERROR(__xludf.DUMMYFUNCTION("""COMPUTED_VALUE"""),-8.0)</f>
        <v>-8</v>
      </c>
      <c r="GB350" s="16">
        <f>IFERROR(__xludf.DUMMYFUNCTION("""COMPUTED_VALUE"""),-8.0)</f>
        <v>-8</v>
      </c>
      <c r="GC350" s="16">
        <f>IFERROR(__xludf.DUMMYFUNCTION("""COMPUTED_VALUE"""),-8.0)</f>
        <v>-8</v>
      </c>
      <c r="GD350" s="16" t="s">
        <v>176</v>
      </c>
    </row>
    <row r="351">
      <c r="A351" s="16">
        <f>IFERROR(__xludf.DUMMYFUNCTION("""COMPUTED_VALUE"""),13440.0)</f>
        <v>13440</v>
      </c>
      <c r="B351" s="16" t="str">
        <f>IFERROR(__xludf.DUMMYFUNCTION("""COMPUTED_VALUE"""),"Trey Sweeney")</f>
        <v>Trey Sweeney</v>
      </c>
      <c r="C351" s="16">
        <f>IFERROR(__xludf.DUMMYFUNCTION("""COMPUTED_VALUE"""),1.03)</f>
        <v>1.03</v>
      </c>
      <c r="D351" s="16" t="str">
        <f>IFERROR(__xludf.DUMMYFUNCTION("""COMPUTED_VALUE"""),"L")</f>
        <v>L</v>
      </c>
      <c r="E351" s="16"/>
      <c r="F351" s="16"/>
      <c r="G351" s="16">
        <f>IFERROR(__xludf.DUMMYFUNCTION("""COMPUTED_VALUE"""),110.0)</f>
        <v>110</v>
      </c>
      <c r="H351" s="16">
        <f>IFERROR(__xludf.DUMMYFUNCTION("""COMPUTED_VALUE"""),7.0)</f>
        <v>7</v>
      </c>
      <c r="I351" s="16" t="str">
        <f>IFERROR(__xludf.DUMMYFUNCTION("""COMPUTED_VALUE"""),"1p20")</f>
        <v>1p20</v>
      </c>
      <c r="J351" s="16">
        <f>IFERROR(__xludf.DUMMYFUNCTION("""COMPUTED_VALUE"""),47.0)</f>
        <v>47</v>
      </c>
      <c r="K351" s="16">
        <f>IFERROR(__xludf.DUMMYFUNCTION("""COMPUTED_VALUE"""),29.0)</f>
        <v>29</v>
      </c>
      <c r="L351" s="16">
        <f>IFERROR(__xludf.DUMMYFUNCTION("""COMPUTED_VALUE"""),-2.0)</f>
        <v>-2</v>
      </c>
      <c r="M351" s="16">
        <f>IFERROR(__xludf.DUMMYFUNCTION("""COMPUTED_VALUE"""),0.0)</f>
        <v>0</v>
      </c>
      <c r="N351" s="16">
        <f>IFERROR(__xludf.DUMMYFUNCTION("""COMPUTED_VALUE"""),-2.0)</f>
        <v>-2</v>
      </c>
      <c r="O351" s="16">
        <f>IFERROR(__xludf.DUMMYFUNCTION("""COMPUTED_VALUE"""),0.0)</f>
        <v>0</v>
      </c>
      <c r="P351" s="16">
        <f>IFERROR(__xludf.DUMMYFUNCTION("""COMPUTED_VALUE"""),14.0)</f>
        <v>14</v>
      </c>
      <c r="Q351" s="16">
        <f>IFERROR(__xludf.DUMMYFUNCTION("""COMPUTED_VALUE"""),0.0)</f>
        <v>0</v>
      </c>
      <c r="R351" s="16">
        <f>IFERROR(__xludf.DUMMYFUNCTION("""COMPUTED_VALUE"""),2.0)</f>
        <v>2</v>
      </c>
      <c r="S351" s="16">
        <f>IFERROR(__xludf.DUMMYFUNCTION("""COMPUTED_VALUE"""),-2.0)</f>
        <v>-2</v>
      </c>
      <c r="T351" s="16">
        <f>IFERROR(__xludf.DUMMYFUNCTION("""COMPUTED_VALUE"""),2.0)</f>
        <v>2</v>
      </c>
      <c r="U351" s="16">
        <f>IFERROR(__xludf.DUMMYFUNCTION("""COMPUTED_VALUE"""),-2.0)</f>
        <v>-2</v>
      </c>
      <c r="V351" s="16">
        <f>IFERROR(__xludf.DUMMYFUNCTION("""COMPUTED_VALUE"""),16.0)</f>
        <v>16</v>
      </c>
      <c r="W351" s="16">
        <f>IFERROR(__xludf.DUMMYFUNCTION("""COMPUTED_VALUE"""),13.9)</f>
        <v>13.9</v>
      </c>
      <c r="X351" s="16">
        <f>IFERROR(__xludf.DUMMYFUNCTION("""COMPUTED_VALUE"""),-1.0)</f>
        <v>-1</v>
      </c>
      <c r="Y351" s="16">
        <f>IFERROR(__xludf.DUMMYFUNCTION("""COMPUTED_VALUE"""),-1.0)</f>
        <v>-1</v>
      </c>
      <c r="Z351" s="16">
        <f>IFERROR(__xludf.DUMMYFUNCTION("""COMPUTED_VALUE"""),-2.0)</f>
        <v>-2</v>
      </c>
      <c r="AA351" s="16">
        <f>IFERROR(__xludf.DUMMYFUNCTION("""COMPUTED_VALUE"""),-2.0)</f>
        <v>-2</v>
      </c>
      <c r="AB351" s="16">
        <f>IFERROR(__xludf.DUMMYFUNCTION("""COMPUTED_VALUE"""),32.0)</f>
        <v>32</v>
      </c>
      <c r="AC351" s="16">
        <f>IFERROR(__xludf.DUMMYFUNCTION("""COMPUTED_VALUE"""),15.9)</f>
        <v>15.9</v>
      </c>
      <c r="AD351" s="16">
        <f>IFERROR(__xludf.DUMMYFUNCTION("""COMPUTED_VALUE"""),0.0)</f>
        <v>0</v>
      </c>
      <c r="AE351" s="16">
        <f>IFERROR(__xludf.DUMMYFUNCTION("""COMPUTED_VALUE"""),-2.0)</f>
        <v>-2</v>
      </c>
      <c r="AF351" s="16">
        <f>IFERROR(__xludf.DUMMYFUNCTION("""COMPUTED_VALUE"""),0.0)</f>
        <v>0</v>
      </c>
      <c r="AG351" s="16">
        <f>IFERROR(__xludf.DUMMYFUNCTION("""COMPUTED_VALUE"""),-10.0)</f>
        <v>-10</v>
      </c>
      <c r="AH351" s="16">
        <f>IFERROR(__xludf.DUMMYFUNCTION("""COMPUTED_VALUE"""),26.9)</f>
        <v>26.9</v>
      </c>
      <c r="AI351" s="16">
        <f>IFERROR(__xludf.DUMMYFUNCTION("""COMPUTED_VALUE"""),25.9)</f>
        <v>25.9</v>
      </c>
      <c r="AJ351" s="16">
        <f>IFERROR(__xludf.DUMMYFUNCTION("""COMPUTED_VALUE"""),0.0)</f>
        <v>0</v>
      </c>
      <c r="AK351" s="16">
        <f>IFERROR(__xludf.DUMMYFUNCTION("""COMPUTED_VALUE"""),-1.0)</f>
        <v>-1</v>
      </c>
      <c r="AL351" s="16">
        <f>IFERROR(__xludf.DUMMYFUNCTION("""COMPUTED_VALUE"""),0.0)</f>
        <v>0</v>
      </c>
      <c r="AM351" s="16">
        <f>IFERROR(__xludf.DUMMYFUNCTION("""COMPUTED_VALUE"""),-5.0)</f>
        <v>-5</v>
      </c>
      <c r="AN351" s="16">
        <f>IFERROR(__xludf.DUMMYFUNCTION("""COMPUTED_VALUE"""),2.8)</f>
        <v>2.8</v>
      </c>
      <c r="AO351" s="16">
        <f>IFERROR(__xludf.DUMMYFUNCTION("""COMPUTED_VALUE"""),2.5)</f>
        <v>2.5</v>
      </c>
      <c r="AP351" s="16">
        <f>IFERROR(__xludf.DUMMYFUNCTION("""COMPUTED_VALUE"""),1.0)</f>
        <v>1</v>
      </c>
      <c r="AQ351" s="16">
        <f>IFERROR(__xludf.DUMMYFUNCTION("""COMPUTED_VALUE"""),0.0)</f>
        <v>0</v>
      </c>
      <c r="AR351" s="16">
        <f>IFERROR(__xludf.DUMMYFUNCTION("""COMPUTED_VALUE"""),2.0)</f>
        <v>2</v>
      </c>
      <c r="AS351" s="16">
        <f>IFERROR(__xludf.DUMMYFUNCTION("""COMPUTED_VALUE"""),0.0)</f>
        <v>0</v>
      </c>
      <c r="AT351" s="16">
        <f>IFERROR(__xludf.DUMMYFUNCTION("""COMPUTED_VALUE"""),4.0)</f>
        <v>4</v>
      </c>
      <c r="AU351" s="16">
        <f>IFERROR(__xludf.DUMMYFUNCTION("""COMPUTED_VALUE"""),3.0)</f>
        <v>3</v>
      </c>
      <c r="AV351" s="16">
        <f>IFERROR(__xludf.DUMMYFUNCTION("""COMPUTED_VALUE"""),4.0)</f>
        <v>4</v>
      </c>
      <c r="AW351" s="16">
        <f>IFERROR(__xludf.DUMMYFUNCTION("""COMPUTED_VALUE"""),3.0)</f>
        <v>3</v>
      </c>
      <c r="AX351" s="16">
        <f>IFERROR(__xludf.DUMMYFUNCTION("""COMPUTED_VALUE"""),2.0)</f>
        <v>2</v>
      </c>
      <c r="AY351" s="16">
        <f>IFERROR(__xludf.DUMMYFUNCTION("""COMPUTED_VALUE"""),0.0)</f>
        <v>0</v>
      </c>
      <c r="AZ351" s="16">
        <f>IFERROR(__xludf.DUMMYFUNCTION("""COMPUTED_VALUE"""),6.0)</f>
        <v>6</v>
      </c>
      <c r="BA351" s="16">
        <f>IFERROR(__xludf.DUMMYFUNCTION("""COMPUTED_VALUE"""),0.0)</f>
        <v>0</v>
      </c>
      <c r="BB351" s="16">
        <f>IFERROR(__xludf.DUMMYFUNCTION("""COMPUTED_VALUE"""),5.0)</f>
        <v>5</v>
      </c>
      <c r="BC351" s="16">
        <f>IFERROR(__xludf.DUMMYFUNCTION("""COMPUTED_VALUE"""),5.0)</f>
        <v>5</v>
      </c>
      <c r="BD351" s="16">
        <f>IFERROR(__xludf.DUMMYFUNCTION("""COMPUTED_VALUE"""),1.0)</f>
        <v>1</v>
      </c>
      <c r="BE351" s="16">
        <f>IFERROR(__xludf.DUMMYFUNCTION("""COMPUTED_VALUE"""),1.0)</f>
        <v>1</v>
      </c>
      <c r="BF351" s="16">
        <f>IFERROR(__xludf.DUMMYFUNCTION("""COMPUTED_VALUE"""),1.0)</f>
        <v>1</v>
      </c>
      <c r="BG351" s="16">
        <f>IFERROR(__xludf.DUMMYFUNCTION("""COMPUTED_VALUE"""),1.0)</f>
        <v>1</v>
      </c>
      <c r="BH351" s="16">
        <f>IFERROR(__xludf.DUMMYFUNCTION("""COMPUTED_VALUE"""),6.0)</f>
        <v>6</v>
      </c>
      <c r="BI351" s="16">
        <f>IFERROR(__xludf.DUMMYFUNCTION("""COMPUTED_VALUE"""),6.0)</f>
        <v>6</v>
      </c>
      <c r="BJ351" s="16">
        <f>IFERROR(__xludf.DUMMYFUNCTION("""COMPUTED_VALUE"""),18.0)</f>
        <v>18</v>
      </c>
      <c r="BK351" s="16">
        <f>IFERROR(__xludf.DUMMYFUNCTION("""COMPUTED_VALUE"""),22.0)</f>
        <v>22</v>
      </c>
      <c r="BL351" s="16">
        <f>IFERROR(__xludf.DUMMYFUNCTION("""COMPUTED_VALUE"""),-1.0)</f>
        <v>-1</v>
      </c>
      <c r="BM351" s="16">
        <f>IFERROR(__xludf.DUMMYFUNCTION("""COMPUTED_VALUE"""),-2.0)</f>
        <v>-2</v>
      </c>
      <c r="BN351" s="16">
        <f>IFERROR(__xludf.DUMMYFUNCTION("""COMPUTED_VALUE"""),-2.0)</f>
        <v>-2</v>
      </c>
      <c r="BO351" s="16">
        <f>IFERROR(__xludf.DUMMYFUNCTION("""COMPUTED_VALUE"""),-4.0)</f>
        <v>-4</v>
      </c>
      <c r="BP351" s="16">
        <f>IFERROR(__xludf.DUMMYFUNCTION("""COMPUTED_VALUE"""),2.0)</f>
        <v>2</v>
      </c>
      <c r="BQ351" s="16">
        <f>IFERROR(__xludf.DUMMYFUNCTION("""COMPUTED_VALUE"""),-7.0)</f>
        <v>-7</v>
      </c>
      <c r="BR351" s="16">
        <f>IFERROR(__xludf.DUMMYFUNCTION("""COMPUTED_VALUE"""),-5.0)</f>
        <v>-5</v>
      </c>
      <c r="BS351" s="16" t="str">
        <f>IFERROR(__xludf.DUMMYFUNCTION("""COMPUTED_VALUE"""),"4/- (20-6)")</f>
        <v>4/- (20-6)</v>
      </c>
      <c r="BT351" s="16" t="str">
        <f>IFERROR(__xludf.DUMMYFUNCTION("""COMPUTED_VALUE"""),"D")</f>
        <v>D</v>
      </c>
      <c r="BU351" s="16">
        <f>IFERROR(__xludf.DUMMYFUNCTION("""COMPUTED_VALUE"""),11.0)</f>
        <v>11</v>
      </c>
      <c r="BV351" s="16">
        <f>IFERROR(__xludf.DUMMYFUNCTION("""COMPUTED_VALUE"""),0.0)</f>
        <v>0</v>
      </c>
      <c r="BW351" s="16">
        <f>IFERROR(__xludf.DUMMYFUNCTION("""COMPUTED_VALUE"""),0.0)</f>
        <v>0</v>
      </c>
      <c r="BX351" s="16">
        <f>IFERROR(__xludf.DUMMYFUNCTION("""COMPUTED_VALUE"""),0.0)</f>
        <v>0</v>
      </c>
      <c r="BY351" s="16">
        <f>IFERROR(__xludf.DUMMYFUNCTION("""COMPUTED_VALUE"""),0.0)</f>
        <v>0</v>
      </c>
      <c r="BZ351" s="16" t="str">
        <f>IFERROR(__xludf.DUMMYFUNCTION("""COMPUTED_VALUE"""),"D")</f>
        <v>D</v>
      </c>
      <c r="CA351" s="16" t="str">
        <f>IFERROR(__xludf.DUMMYFUNCTION("""COMPUTED_VALUE"""),"D")</f>
        <v>D</v>
      </c>
      <c r="CB351" s="16">
        <f>IFERROR(__xludf.DUMMYFUNCTION("""COMPUTED_VALUE"""),0.0)</f>
        <v>0</v>
      </c>
      <c r="CC351" s="16">
        <f>IFERROR(__xludf.DUMMYFUNCTION("""COMPUTED_VALUE"""),0.0)</f>
        <v>0</v>
      </c>
      <c r="CD351" s="16">
        <f>IFERROR(__xludf.DUMMYFUNCTION("""COMPUTED_VALUE"""),0.0)</f>
        <v>0</v>
      </c>
      <c r="CE351" s="16">
        <f>IFERROR(__xludf.DUMMYFUNCTION("""COMPUTED_VALUE"""),0.0)</f>
        <v>0</v>
      </c>
      <c r="CF351" s="16">
        <f>IFERROR(__xludf.DUMMYFUNCTION("""COMPUTED_VALUE"""),1.0)</f>
        <v>1</v>
      </c>
      <c r="CG351" s="16">
        <f>IFERROR(__xludf.DUMMYFUNCTION("""COMPUTED_VALUE"""),5.0)</f>
        <v>5</v>
      </c>
      <c r="CH351" s="16">
        <f>IFERROR(__xludf.DUMMYFUNCTION("""COMPUTED_VALUE"""),-22.0)</f>
        <v>-22</v>
      </c>
      <c r="CI351" s="179">
        <f>IFERROR(__xludf.DUMMYFUNCTION("""COMPUTED_VALUE"""),-15.0)</f>
        <v>-15</v>
      </c>
      <c r="CJ351" s="16"/>
      <c r="CK351" s="16"/>
      <c r="CL351" s="16"/>
      <c r="CM351" s="16"/>
      <c r="CN351" s="16">
        <f>IFERROR(__xludf.DUMMYFUNCTION("""COMPUTED_VALUE"""),320.0)</f>
        <v>320</v>
      </c>
      <c r="CO351" s="16"/>
      <c r="CP351" s="16"/>
      <c r="CQ351" s="16"/>
      <c r="CR351" s="16" t="str">
        <f>IFERROR(__xludf.DUMMYFUNCTION("""COMPUTED_VALUE"""),"ss-3e20")</f>
        <v>ss-3e20</v>
      </c>
      <c r="CS351" s="16"/>
      <c r="CT351" s="16"/>
      <c r="CU351" s="16"/>
      <c r="CV351" s="16"/>
      <c r="CW351" s="16">
        <f>IFERROR(__xludf.DUMMYFUNCTION("""COMPUTED_VALUE"""),3.0)</f>
        <v>3</v>
      </c>
      <c r="CX351" s="16"/>
      <c r="CY351" s="16"/>
      <c r="CZ351" s="16"/>
      <c r="DA351" s="16"/>
      <c r="DB351" s="16"/>
      <c r="DC351" s="16"/>
      <c r="DD351" s="16"/>
      <c r="DE351" s="16">
        <f>IFERROR(__xludf.DUMMYFUNCTION("""COMPUTED_VALUE"""),20.0)</f>
        <v>20</v>
      </c>
      <c r="DF351" s="16"/>
      <c r="DG351" s="16"/>
      <c r="DH351" s="16"/>
      <c r="DI351" s="16"/>
      <c r="DJ351" s="16"/>
      <c r="DK351" s="16"/>
      <c r="DL351" s="16"/>
      <c r="DM351" s="16">
        <f>IFERROR(__xludf.DUMMYFUNCTION("""COMPUTED_VALUE"""),0.0)</f>
        <v>0</v>
      </c>
      <c r="DN351" s="16"/>
      <c r="DO351" s="16"/>
      <c r="DP351" s="16"/>
      <c r="DQ351" s="16"/>
      <c r="DR351" s="16"/>
      <c r="DS351" s="16"/>
      <c r="DT351" s="16"/>
      <c r="DU351" s="16">
        <f>IFERROR(__xludf.DUMMYFUNCTION("""COMPUTED_VALUE"""),2.0)</f>
        <v>2</v>
      </c>
      <c r="DV351" s="16"/>
      <c r="DW351" s="16"/>
      <c r="DX351" s="16"/>
      <c r="DY351" s="16"/>
      <c r="DZ351" s="16"/>
      <c r="EA351" s="16"/>
      <c r="EB351" s="16"/>
      <c r="EC351" s="16">
        <f>IFERROR(__xludf.DUMMYFUNCTION("""COMPUTED_VALUE"""),2.0)</f>
        <v>2</v>
      </c>
      <c r="ED351" s="16"/>
      <c r="EE351" s="16"/>
      <c r="EF351" s="16"/>
      <c r="EG351" s="179"/>
      <c r="EH351" s="179"/>
      <c r="EI351" s="179"/>
      <c r="EJ351" s="179"/>
      <c r="EK351" s="179">
        <f>IFERROR(__xludf.DUMMYFUNCTION("""COMPUTED_VALUE"""),-13.0)</f>
        <v>-13</v>
      </c>
      <c r="EL351" s="179"/>
      <c r="EM351" s="179"/>
      <c r="EN351" s="179"/>
      <c r="EO351" s="16"/>
      <c r="EP351" s="16">
        <f>IFERROR(__xludf.DUMMYFUNCTION("""COMPUTED_VALUE"""),-2.0)</f>
        <v>-2</v>
      </c>
      <c r="EQ351" s="16">
        <f>IFERROR(__xludf.DUMMYFUNCTION("""COMPUTED_VALUE"""),4.0)</f>
        <v>4</v>
      </c>
      <c r="ER351" s="16">
        <f>IFERROR(__xludf.DUMMYFUNCTION("""COMPUTED_VALUE"""),-4.0)</f>
        <v>-4</v>
      </c>
      <c r="ES351" s="16"/>
      <c r="ET351" s="16"/>
      <c r="EU351" s="16"/>
      <c r="EV351" s="16"/>
      <c r="EW351" s="16"/>
      <c r="EX351" s="180"/>
      <c r="EY351" s="180"/>
      <c r="EZ351" s="180"/>
      <c r="FA351" s="180"/>
      <c r="FB351" s="180">
        <f>IFERROR(__xludf.DUMMYFUNCTION("""COMPUTED_VALUE"""),0.2)</f>
        <v>0.2</v>
      </c>
      <c r="FC351" s="180"/>
      <c r="FD351" s="180"/>
      <c r="FE351" s="180"/>
      <c r="FF351" s="180"/>
      <c r="FG351" s="180"/>
      <c r="FH351" s="180"/>
      <c r="FI351" s="180"/>
      <c r="FJ351" s="180">
        <f>IFERROR(__xludf.DUMMYFUNCTION("""COMPUTED_VALUE"""),0.10185185185185185)</f>
        <v>0.1018518519</v>
      </c>
      <c r="FK351" s="180"/>
      <c r="FL351" s="180"/>
      <c r="FM351" s="180"/>
      <c r="FN351" s="16"/>
      <c r="FO351" s="16"/>
      <c r="FP351" s="16"/>
      <c r="FQ351" s="16"/>
      <c r="FR351" s="16">
        <f>IFERROR(__xludf.DUMMYFUNCTION("""COMPUTED_VALUE"""),0.7185185185185186)</f>
        <v>0.7185185185</v>
      </c>
      <c r="FS351" s="16"/>
      <c r="FT351" s="16"/>
      <c r="FU351" s="16"/>
      <c r="FV351" s="16"/>
      <c r="FW351" s="16"/>
      <c r="FX351" s="16"/>
      <c r="FY351" s="16"/>
      <c r="FZ351" s="16">
        <f>IFERROR(__xludf.DUMMYFUNCTION("""COMPUTED_VALUE"""),-4.0)</f>
        <v>-4</v>
      </c>
      <c r="GA351" s="16"/>
      <c r="GB351" s="16"/>
      <c r="GC351" s="16"/>
      <c r="GD351" s="16" t="s">
        <v>176</v>
      </c>
    </row>
    <row r="352">
      <c r="A352" s="16">
        <f>IFERROR(__xludf.DUMMYFUNCTION("""COMPUTED_VALUE"""),13080.0)</f>
        <v>13080</v>
      </c>
      <c r="B352" s="16" t="str">
        <f>IFERROR(__xludf.DUMMYFUNCTION("""COMPUTED_VALUE"""),"Kevin Pillar")</f>
        <v>Kevin Pillar</v>
      </c>
      <c r="C352" s="16">
        <f>IFERROR(__xludf.DUMMYFUNCTION("""COMPUTED_VALUE"""),0.37)</f>
        <v>0.37</v>
      </c>
      <c r="D352" s="16" t="str">
        <f>IFERROR(__xludf.DUMMYFUNCTION("""COMPUTED_VALUE"""),"R")</f>
        <v>R</v>
      </c>
      <c r="E352" s="16"/>
      <c r="F352" s="16"/>
      <c r="G352" s="16">
        <f>IFERROR(__xludf.DUMMYFUNCTION("""COMPUTED_VALUE"""),284.0)</f>
        <v>284</v>
      </c>
      <c r="H352" s="16">
        <f>IFERROR(__xludf.DUMMYFUNCTION("""COMPUTED_VALUE"""),16.0)</f>
        <v>16</v>
      </c>
      <c r="I352" s="16" t="str">
        <f>IFERROR(__xludf.DUMMYFUNCTION("""COMPUTED_VALUE"""),"1p50")</f>
        <v>1p50</v>
      </c>
      <c r="J352" s="16">
        <f>IFERROR(__xludf.DUMMYFUNCTION("""COMPUTED_VALUE"""),14.0)</f>
        <v>14</v>
      </c>
      <c r="K352" s="16">
        <f>IFERROR(__xludf.DUMMYFUNCTION("""COMPUTED_VALUE"""),29.0)</f>
        <v>29</v>
      </c>
      <c r="L352" s="16">
        <f>IFERROR(__xludf.DUMMYFUNCTION("""COMPUTED_VALUE"""),1.0)</f>
        <v>1</v>
      </c>
      <c r="M352" s="16">
        <f>IFERROR(__xludf.DUMMYFUNCTION("""COMPUTED_VALUE"""),0.0)</f>
        <v>0</v>
      </c>
      <c r="N352" s="16">
        <f>IFERROR(__xludf.DUMMYFUNCTION("""COMPUTED_VALUE"""),1.0)</f>
        <v>1</v>
      </c>
      <c r="O352" s="16">
        <f>IFERROR(__xludf.DUMMYFUNCTION("""COMPUTED_VALUE"""),0.0)</f>
        <v>0</v>
      </c>
      <c r="P352" s="16">
        <f>IFERROR(__xludf.DUMMYFUNCTION("""COMPUTED_VALUE"""),0.0)</f>
        <v>0</v>
      </c>
      <c r="Q352" s="16">
        <f>IFERROR(__xludf.DUMMYFUNCTION("""COMPUTED_VALUE"""),5.0)</f>
        <v>5</v>
      </c>
      <c r="R352" s="16">
        <f>IFERROR(__xludf.DUMMYFUNCTION("""COMPUTED_VALUE"""),-3.0)</f>
        <v>-3</v>
      </c>
      <c r="S352" s="16">
        <f>IFERROR(__xludf.DUMMYFUNCTION("""COMPUTED_VALUE"""),-1.0)</f>
        <v>-1</v>
      </c>
      <c r="T352" s="16">
        <f>IFERROR(__xludf.DUMMYFUNCTION("""COMPUTED_VALUE"""),-3.0)</f>
        <v>-3</v>
      </c>
      <c r="U352" s="16">
        <f>IFERROR(__xludf.DUMMYFUNCTION("""COMPUTED_VALUE"""),-1.0)</f>
        <v>-1</v>
      </c>
      <c r="V352" s="16">
        <f>IFERROR(__xludf.DUMMYFUNCTION("""COMPUTED_VALUE"""),31.9)</f>
        <v>31.9</v>
      </c>
      <c r="W352" s="16">
        <f>IFERROR(__xludf.DUMMYFUNCTION("""COMPUTED_VALUE"""),6.1)</f>
        <v>6.1</v>
      </c>
      <c r="X352" s="16">
        <f>IFERROR(__xludf.DUMMYFUNCTION("""COMPUTED_VALUE"""),2.0)</f>
        <v>2</v>
      </c>
      <c r="Y352" s="16">
        <f>IFERROR(__xludf.DUMMYFUNCTION("""COMPUTED_VALUE"""),-2.0)</f>
        <v>-2</v>
      </c>
      <c r="Z352" s="16">
        <f>IFERROR(__xludf.DUMMYFUNCTION("""COMPUTED_VALUE"""),4.0)</f>
        <v>4</v>
      </c>
      <c r="AA352" s="16">
        <f>IFERROR(__xludf.DUMMYFUNCTION("""COMPUTED_VALUE"""),-4.0)</f>
        <v>-4</v>
      </c>
      <c r="AB352" s="16">
        <f>IFERROR(__xludf.DUMMYFUNCTION("""COMPUTED_VALUE"""),38.9)</f>
        <v>38.9</v>
      </c>
      <c r="AC352" s="16">
        <f>IFERROR(__xludf.DUMMYFUNCTION("""COMPUTED_VALUE"""),18.1)</f>
        <v>18.1</v>
      </c>
      <c r="AD352" s="16">
        <f>IFERROR(__xludf.DUMMYFUNCTION("""COMPUTED_VALUE"""),1.0)</f>
        <v>1</v>
      </c>
      <c r="AE352" s="16">
        <f>IFERROR(__xludf.DUMMYFUNCTION("""COMPUTED_VALUE"""),-2.0)</f>
        <v>-2</v>
      </c>
      <c r="AF352" s="16">
        <f>IFERROR(__xludf.DUMMYFUNCTION("""COMPUTED_VALUE"""),5.0)</f>
        <v>5</v>
      </c>
      <c r="AG352" s="16">
        <f>IFERROR(__xludf.DUMMYFUNCTION("""COMPUTED_VALUE"""),-10.0)</f>
        <v>-10</v>
      </c>
      <c r="AH352" s="16">
        <f>IFERROR(__xludf.DUMMYFUNCTION("""COMPUTED_VALUE"""),51.8)</f>
        <v>51.8</v>
      </c>
      <c r="AI352" s="16">
        <f>IFERROR(__xludf.DUMMYFUNCTION("""COMPUTED_VALUE"""),12.3)</f>
        <v>12.3</v>
      </c>
      <c r="AJ352" s="16">
        <f>IFERROR(__xludf.DUMMYFUNCTION("""COMPUTED_VALUE"""),2.0)</f>
        <v>2</v>
      </c>
      <c r="AK352" s="16">
        <f>IFERROR(__xludf.DUMMYFUNCTION("""COMPUTED_VALUE"""),-2.0)</f>
        <v>-2</v>
      </c>
      <c r="AL352" s="16">
        <f>IFERROR(__xludf.DUMMYFUNCTION("""COMPUTED_VALUE"""),10.0)</f>
        <v>10</v>
      </c>
      <c r="AM352" s="16">
        <f>IFERROR(__xludf.DUMMYFUNCTION("""COMPUTED_VALUE"""),-10.0)</f>
        <v>-10</v>
      </c>
      <c r="AN352" s="16">
        <f>IFERROR(__xludf.DUMMYFUNCTION("""COMPUTED_VALUE"""),1.3)</f>
        <v>1.3</v>
      </c>
      <c r="AO352" s="16">
        <f>IFERROR(__xludf.DUMMYFUNCTION("""COMPUTED_VALUE"""),1.8)</f>
        <v>1.8</v>
      </c>
      <c r="AP352" s="16">
        <f>IFERROR(__xludf.DUMMYFUNCTION("""COMPUTED_VALUE"""),-1.0)</f>
        <v>-1</v>
      </c>
      <c r="AQ352" s="16">
        <f>IFERROR(__xludf.DUMMYFUNCTION("""COMPUTED_VALUE"""),-1.0)</f>
        <v>-1</v>
      </c>
      <c r="AR352" s="16">
        <f>IFERROR(__xludf.DUMMYFUNCTION("""COMPUTED_VALUE"""),-2.0)</f>
        <v>-2</v>
      </c>
      <c r="AS352" s="16">
        <f>IFERROR(__xludf.DUMMYFUNCTION("""COMPUTED_VALUE"""),-2.0)</f>
        <v>-2</v>
      </c>
      <c r="AT352" s="16">
        <f>IFERROR(__xludf.DUMMYFUNCTION("""COMPUTED_VALUE"""),1.0)</f>
        <v>1</v>
      </c>
      <c r="AU352" s="16">
        <f>IFERROR(__xludf.DUMMYFUNCTION("""COMPUTED_VALUE"""),2.0)</f>
        <v>2</v>
      </c>
      <c r="AV352" s="16">
        <f>IFERROR(__xludf.DUMMYFUNCTION("""COMPUTED_VALUE"""),1.0)</f>
        <v>1</v>
      </c>
      <c r="AW352" s="16">
        <f>IFERROR(__xludf.DUMMYFUNCTION("""COMPUTED_VALUE"""),2.0)</f>
        <v>2</v>
      </c>
      <c r="AX352" s="16">
        <f>IFERROR(__xludf.DUMMYFUNCTION("""COMPUTED_VALUE"""),-1.0)</f>
        <v>-1</v>
      </c>
      <c r="AY352" s="16">
        <f>IFERROR(__xludf.DUMMYFUNCTION("""COMPUTED_VALUE"""),0.0)</f>
        <v>0</v>
      </c>
      <c r="AZ352" s="16">
        <f>IFERROR(__xludf.DUMMYFUNCTION("""COMPUTED_VALUE"""),-3.0)</f>
        <v>-3</v>
      </c>
      <c r="BA352" s="16">
        <f>IFERROR(__xludf.DUMMYFUNCTION("""COMPUTED_VALUE"""),0.0)</f>
        <v>0</v>
      </c>
      <c r="BB352" s="16">
        <f>IFERROR(__xludf.DUMMYFUNCTION("""COMPUTED_VALUE"""),5.0)</f>
        <v>5</v>
      </c>
      <c r="BC352" s="16">
        <f>IFERROR(__xludf.DUMMYFUNCTION("""COMPUTED_VALUE"""),5.0)</f>
        <v>5</v>
      </c>
      <c r="BD352" s="16">
        <f>IFERROR(__xludf.DUMMYFUNCTION("""COMPUTED_VALUE"""),1.0)</f>
        <v>1</v>
      </c>
      <c r="BE352" s="16">
        <f>IFERROR(__xludf.DUMMYFUNCTION("""COMPUTED_VALUE"""),1.0)</f>
        <v>1</v>
      </c>
      <c r="BF352" s="16">
        <f>IFERROR(__xludf.DUMMYFUNCTION("""COMPUTED_VALUE"""),1.0)</f>
        <v>1</v>
      </c>
      <c r="BG352" s="16">
        <f>IFERROR(__xludf.DUMMYFUNCTION("""COMPUTED_VALUE"""),1.0)</f>
        <v>1</v>
      </c>
      <c r="BH352" s="16">
        <f>IFERROR(__xludf.DUMMYFUNCTION("""COMPUTED_VALUE"""),8.0)</f>
        <v>8</v>
      </c>
      <c r="BI352" s="16">
        <f>IFERROR(__xludf.DUMMYFUNCTION("""COMPUTED_VALUE"""),8.0)</f>
        <v>8</v>
      </c>
      <c r="BJ352" s="16">
        <f>IFERROR(__xludf.DUMMYFUNCTION("""COMPUTED_VALUE"""),23.0)</f>
        <v>23</v>
      </c>
      <c r="BK352" s="16">
        <f>IFERROR(__xludf.DUMMYFUNCTION("""COMPUTED_VALUE"""),23.0)</f>
        <v>23</v>
      </c>
      <c r="BL352" s="16">
        <f>IFERROR(__xludf.DUMMYFUNCTION("""COMPUTED_VALUE"""),-2.0)</f>
        <v>-2</v>
      </c>
      <c r="BM352" s="16">
        <f>IFERROR(__xludf.DUMMYFUNCTION("""COMPUTED_VALUE"""),-2.0)</f>
        <v>-2</v>
      </c>
      <c r="BN352" s="16">
        <f>IFERROR(__xludf.DUMMYFUNCTION("""COMPUTED_VALUE"""),-4.0)</f>
        <v>-4</v>
      </c>
      <c r="BO352" s="16">
        <f>IFERROR(__xludf.DUMMYFUNCTION("""COMPUTED_VALUE"""),-4.0)</f>
        <v>-4</v>
      </c>
      <c r="BP352" s="16">
        <f>IFERROR(__xludf.DUMMYFUNCTION("""COMPUTED_VALUE"""),0.0)</f>
        <v>0</v>
      </c>
      <c r="BQ352" s="16">
        <f>IFERROR(__xludf.DUMMYFUNCTION("""COMPUTED_VALUE"""),-9.0)</f>
        <v>-9</v>
      </c>
      <c r="BR352" s="16">
        <f>IFERROR(__xludf.DUMMYFUNCTION("""COMPUTED_VALUE"""),-9.0)</f>
        <v>-9</v>
      </c>
      <c r="BS352" s="16" t="str">
        <f>IFERROR(__xludf.DUMMYFUNCTION("""COMPUTED_VALUE"""),"*2-5,12/- (19-13)")</f>
        <v>*2-5,12/- (19-13)</v>
      </c>
      <c r="BT352" s="16" t="str">
        <f>IFERROR(__xludf.DUMMYFUNCTION("""COMPUTED_VALUE"""),"B")</f>
        <v>B</v>
      </c>
      <c r="BU352" s="16">
        <f>IFERROR(__xludf.DUMMYFUNCTION("""COMPUTED_VALUE"""),14.0)</f>
        <v>14</v>
      </c>
      <c r="BV352" s="16">
        <f>IFERROR(__xludf.DUMMYFUNCTION("""COMPUTED_VALUE"""),1.0)</f>
        <v>1</v>
      </c>
      <c r="BW352" s="16">
        <f>IFERROR(__xludf.DUMMYFUNCTION("""COMPUTED_VALUE"""),1.0)</f>
        <v>1</v>
      </c>
      <c r="BX352" s="16">
        <f>IFERROR(__xludf.DUMMYFUNCTION("""COMPUTED_VALUE"""),2.0)</f>
        <v>2</v>
      </c>
      <c r="BY352" s="16">
        <f>IFERROR(__xludf.DUMMYFUNCTION("""COMPUTED_VALUE"""),3.0)</f>
        <v>3</v>
      </c>
      <c r="BZ352" s="16" t="str">
        <f>IFERROR(__xludf.DUMMYFUNCTION("""COMPUTED_VALUE"""),"D")</f>
        <v>D</v>
      </c>
      <c r="CA352" s="16" t="str">
        <f>IFERROR(__xludf.DUMMYFUNCTION("""COMPUTED_VALUE"""),"D")</f>
        <v>D</v>
      </c>
      <c r="CB352" s="16">
        <f>IFERROR(__xludf.DUMMYFUNCTION("""COMPUTED_VALUE"""),0.0)</f>
        <v>0</v>
      </c>
      <c r="CC352" s="16">
        <f>IFERROR(__xludf.DUMMYFUNCTION("""COMPUTED_VALUE"""),0.0)</f>
        <v>0</v>
      </c>
      <c r="CD352" s="16">
        <f>IFERROR(__xludf.DUMMYFUNCTION("""COMPUTED_VALUE"""),0.0)</f>
        <v>0</v>
      </c>
      <c r="CE352" s="16">
        <f>IFERROR(__xludf.DUMMYFUNCTION("""COMPUTED_VALUE"""),0.0)</f>
        <v>0</v>
      </c>
      <c r="CF352" s="16">
        <f>IFERROR(__xludf.DUMMYFUNCTION("""COMPUTED_VALUE"""),1.0)</f>
        <v>1</v>
      </c>
      <c r="CG352" s="16">
        <f>IFERROR(__xludf.DUMMYFUNCTION("""COMPUTED_VALUE"""),9.0)</f>
        <v>9</v>
      </c>
      <c r="CH352" s="16">
        <f>IFERROR(__xludf.DUMMYFUNCTION("""COMPUTED_VALUE"""),-30.0)</f>
        <v>-30</v>
      </c>
      <c r="CI352" s="179">
        <f>IFERROR(__xludf.DUMMYFUNCTION("""COMPUTED_VALUE"""),-15.0)</f>
        <v>-15</v>
      </c>
      <c r="CJ352" s="16"/>
      <c r="CK352" s="16"/>
      <c r="CL352" s="16"/>
      <c r="CM352" s="16"/>
      <c r="CN352" s="16"/>
      <c r="CO352" s="16">
        <f>IFERROR(__xludf.DUMMYFUNCTION("""COMPUTED_VALUE"""),202.0)</f>
        <v>202</v>
      </c>
      <c r="CP352" s="16">
        <f>IFERROR(__xludf.DUMMYFUNCTION("""COMPUTED_VALUE"""),202.0)</f>
        <v>202</v>
      </c>
      <c r="CQ352" s="16">
        <f>IFERROR(__xludf.DUMMYFUNCTION("""COMPUTED_VALUE"""),202.0)</f>
        <v>202</v>
      </c>
      <c r="CR352" s="16" t="str">
        <f>IFERROR(__xludf.DUMMYFUNCTION("""COMPUTED_VALUE"""),"cf-2(-2)e2 lf-2e2 rf-2e2")</f>
        <v>cf-2(-2)e2 lf-2e2 rf-2e2</v>
      </c>
      <c r="CS352" s="16"/>
      <c r="CT352" s="16"/>
      <c r="CU352" s="16"/>
      <c r="CV352" s="16"/>
      <c r="CW352" s="16"/>
      <c r="CX352" s="16">
        <f>IFERROR(__xludf.DUMMYFUNCTION("""COMPUTED_VALUE"""),2.0)</f>
        <v>2</v>
      </c>
      <c r="CY352" s="16">
        <f>IFERROR(__xludf.DUMMYFUNCTION("""COMPUTED_VALUE"""),2.0)</f>
        <v>2</v>
      </c>
      <c r="CZ352" s="16">
        <f>IFERROR(__xludf.DUMMYFUNCTION("""COMPUTED_VALUE"""),2.0)</f>
        <v>2</v>
      </c>
      <c r="DA352" s="16"/>
      <c r="DB352" s="16"/>
      <c r="DC352" s="16"/>
      <c r="DD352" s="16"/>
      <c r="DE352" s="16"/>
      <c r="DF352" s="16">
        <f>IFERROR(__xludf.DUMMYFUNCTION("""COMPUTED_VALUE"""),2.0)</f>
        <v>2</v>
      </c>
      <c r="DG352" s="16">
        <f>IFERROR(__xludf.DUMMYFUNCTION("""COMPUTED_VALUE"""),2.0)</f>
        <v>2</v>
      </c>
      <c r="DH352" s="16">
        <f>IFERROR(__xludf.DUMMYFUNCTION("""COMPUTED_VALUE"""),2.0)</f>
        <v>2</v>
      </c>
      <c r="DI352" s="16"/>
      <c r="DJ352" s="16"/>
      <c r="DK352" s="16"/>
      <c r="DL352" s="16"/>
      <c r="DM352" s="16"/>
      <c r="DN352" s="16">
        <f>IFERROR(__xludf.DUMMYFUNCTION("""COMPUTED_VALUE"""),3.0)</f>
        <v>3</v>
      </c>
      <c r="DO352" s="16">
        <f>IFERROR(__xludf.DUMMYFUNCTION("""COMPUTED_VALUE"""),2.0)</f>
        <v>2</v>
      </c>
      <c r="DP352" s="16">
        <f>IFERROR(__xludf.DUMMYFUNCTION("""COMPUTED_VALUE"""),3.0)</f>
        <v>3</v>
      </c>
      <c r="DQ352" s="16"/>
      <c r="DR352" s="16"/>
      <c r="DS352" s="16"/>
      <c r="DT352" s="16"/>
      <c r="DU352" s="16"/>
      <c r="DV352" s="16">
        <f>IFERROR(__xludf.DUMMYFUNCTION("""COMPUTED_VALUE"""),4.0)</f>
        <v>4</v>
      </c>
      <c r="DW352" s="16">
        <f>IFERROR(__xludf.DUMMYFUNCTION("""COMPUTED_VALUE"""),4.0)</f>
        <v>4</v>
      </c>
      <c r="DX352" s="16">
        <f>IFERROR(__xludf.DUMMYFUNCTION("""COMPUTED_VALUE"""),4.0)</f>
        <v>4</v>
      </c>
      <c r="DY352" s="16"/>
      <c r="DZ352" s="16"/>
      <c r="EA352" s="16"/>
      <c r="EB352" s="16"/>
      <c r="EC352" s="16"/>
      <c r="ED352" s="16">
        <f>IFERROR(__xludf.DUMMYFUNCTION("""COMPUTED_VALUE"""),7.0)</f>
        <v>7</v>
      </c>
      <c r="EE352" s="16">
        <f>IFERROR(__xludf.DUMMYFUNCTION("""COMPUTED_VALUE"""),6.0)</f>
        <v>6</v>
      </c>
      <c r="EF352" s="16">
        <f>IFERROR(__xludf.DUMMYFUNCTION("""COMPUTED_VALUE"""),7.0)</f>
        <v>7</v>
      </c>
      <c r="EG352" s="179"/>
      <c r="EH352" s="179"/>
      <c r="EI352" s="179"/>
      <c r="EJ352" s="179"/>
      <c r="EK352" s="179"/>
      <c r="EL352" s="179">
        <f>IFERROR(__xludf.DUMMYFUNCTION("""COMPUTED_VALUE"""),-8.0)</f>
        <v>-8</v>
      </c>
      <c r="EM352" s="179">
        <f>IFERROR(__xludf.DUMMYFUNCTION("""COMPUTED_VALUE"""),-9.0)</f>
        <v>-9</v>
      </c>
      <c r="EN352" s="179">
        <f>IFERROR(__xludf.DUMMYFUNCTION("""COMPUTED_VALUE"""),-8.0)</f>
        <v>-8</v>
      </c>
      <c r="EO352" s="16"/>
      <c r="EP352" s="16">
        <f>IFERROR(__xludf.DUMMYFUNCTION("""COMPUTED_VALUE"""),1.0)</f>
        <v>1</v>
      </c>
      <c r="EQ352" s="16">
        <f>IFERROR(__xludf.DUMMYFUNCTION("""COMPUTED_VALUE"""),4.0)</f>
        <v>4</v>
      </c>
      <c r="ER352" s="16">
        <f>IFERROR(__xludf.DUMMYFUNCTION("""COMPUTED_VALUE"""),0.0)</f>
        <v>0</v>
      </c>
      <c r="ES352" s="16"/>
      <c r="ET352" s="16"/>
      <c r="EU352" s="16"/>
      <c r="EV352" s="16"/>
      <c r="EW352" s="16"/>
      <c r="EX352" s="180"/>
      <c r="EY352" s="180"/>
      <c r="EZ352" s="180"/>
      <c r="FA352" s="180"/>
      <c r="FB352" s="180"/>
      <c r="FC352" s="180">
        <f>IFERROR(__xludf.DUMMYFUNCTION("""COMPUTED_VALUE"""),0.15)</f>
        <v>0.15</v>
      </c>
      <c r="FD352" s="180">
        <f>IFERROR(__xludf.DUMMYFUNCTION("""COMPUTED_VALUE"""),0.15)</f>
        <v>0.15</v>
      </c>
      <c r="FE352" s="180">
        <f>IFERROR(__xludf.DUMMYFUNCTION("""COMPUTED_VALUE"""),0.15)</f>
        <v>0.15</v>
      </c>
      <c r="FF352" s="180"/>
      <c r="FG352" s="180"/>
      <c r="FH352" s="180"/>
      <c r="FI352" s="180"/>
      <c r="FJ352" s="180"/>
      <c r="FK352" s="180">
        <f>IFERROR(__xludf.DUMMYFUNCTION("""COMPUTED_VALUE"""),0.037)</f>
        <v>0.037</v>
      </c>
      <c r="FL352" s="180">
        <f>IFERROR(__xludf.DUMMYFUNCTION("""COMPUTED_VALUE"""),0.023148148148148147)</f>
        <v>0.02314814815</v>
      </c>
      <c r="FM352" s="180">
        <f>IFERROR(__xludf.DUMMYFUNCTION("""COMPUTED_VALUE"""),0.037)</f>
        <v>0.037</v>
      </c>
      <c r="FN352" s="16"/>
      <c r="FO352" s="16"/>
      <c r="FP352" s="16"/>
      <c r="FQ352" s="16"/>
      <c r="FR352" s="16"/>
      <c r="FS352" s="16">
        <f>IFERROR(__xludf.DUMMYFUNCTION("""COMPUTED_VALUE"""),0.81855)</f>
        <v>0.81855</v>
      </c>
      <c r="FT352" s="16">
        <f>IFERROR(__xludf.DUMMYFUNCTION("""COMPUTED_VALUE"""),0.830324074074074)</f>
        <v>0.8303240741</v>
      </c>
      <c r="FU352" s="16">
        <f>IFERROR(__xludf.DUMMYFUNCTION("""COMPUTED_VALUE"""),0.81855)</f>
        <v>0.81855</v>
      </c>
      <c r="FV352" s="16"/>
      <c r="FW352" s="16"/>
      <c r="FX352" s="16"/>
      <c r="FY352" s="16"/>
      <c r="FZ352" s="16"/>
      <c r="GA352" s="16">
        <f>IFERROR(__xludf.DUMMYFUNCTION("""COMPUTED_VALUE"""),0.0)</f>
        <v>0</v>
      </c>
      <c r="GB352" s="16">
        <f>IFERROR(__xludf.DUMMYFUNCTION("""COMPUTED_VALUE"""),0.0)</f>
        <v>0</v>
      </c>
      <c r="GC352" s="16">
        <f>IFERROR(__xludf.DUMMYFUNCTION("""COMPUTED_VALUE"""),0.0)</f>
        <v>0</v>
      </c>
      <c r="GD352" s="16" t="s">
        <v>272</v>
      </c>
    </row>
    <row r="353">
      <c r="A353" s="16">
        <f>IFERROR(__xludf.DUMMYFUNCTION("""COMPUTED_VALUE"""),12556.0)</f>
        <v>12556</v>
      </c>
      <c r="B353" s="16" t="str">
        <f>IFERROR(__xludf.DUMMYFUNCTION("""COMPUTED_VALUE"""),"Anthony Rizzo")</f>
        <v>Anthony Rizzo</v>
      </c>
      <c r="C353" s="16">
        <f>IFERROR(__xludf.DUMMYFUNCTION("""COMPUTED_VALUE"""),0.15)</f>
        <v>0.15</v>
      </c>
      <c r="D353" s="16" t="str">
        <f>IFERROR(__xludf.DUMMYFUNCTION("""COMPUTED_VALUE"""),"L")</f>
        <v>L</v>
      </c>
      <c r="E353" s="16"/>
      <c r="F353" s="16"/>
      <c r="G353" s="16">
        <f>IFERROR(__xludf.DUMMYFUNCTION("""COMPUTED_VALUE"""),337.0)</f>
        <v>337</v>
      </c>
      <c r="H353" s="16">
        <f>IFERROR(__xludf.DUMMYFUNCTION("""COMPUTED_VALUE"""),27.0)</f>
        <v>27</v>
      </c>
      <c r="I353" s="16" t="str">
        <f>IFERROR(__xludf.DUMMYFUNCTION("""COMPUTED_VALUE"""),"4p50")</f>
        <v>4p50</v>
      </c>
      <c r="J353" s="16">
        <f>IFERROR(__xludf.DUMMYFUNCTION("""COMPUTED_VALUE"""),18.0)</f>
        <v>18</v>
      </c>
      <c r="K353" s="16">
        <f>IFERROR(__xludf.DUMMYFUNCTION("""COMPUTED_VALUE"""),11.0)</f>
        <v>11</v>
      </c>
      <c r="L353" s="16">
        <f>IFERROR(__xludf.DUMMYFUNCTION("""COMPUTED_VALUE"""),1.0)</f>
        <v>1</v>
      </c>
      <c r="M353" s="16">
        <f>IFERROR(__xludf.DUMMYFUNCTION("""COMPUTED_VALUE"""),1.0)</f>
        <v>1</v>
      </c>
      <c r="N353" s="16">
        <f>IFERROR(__xludf.DUMMYFUNCTION("""COMPUTED_VALUE"""),1.0)</f>
        <v>1</v>
      </c>
      <c r="O353" s="16">
        <f>IFERROR(__xludf.DUMMYFUNCTION("""COMPUTED_VALUE"""),1.0)</f>
        <v>1</v>
      </c>
      <c r="P353" s="16">
        <f>IFERROR(__xludf.DUMMYFUNCTION("""COMPUTED_VALUE"""),3.0)</f>
        <v>3</v>
      </c>
      <c r="Q353" s="16">
        <f>IFERROR(__xludf.DUMMYFUNCTION("""COMPUTED_VALUE"""),7.0)</f>
        <v>7</v>
      </c>
      <c r="R353" s="16">
        <f>IFERROR(__xludf.DUMMYFUNCTION("""COMPUTED_VALUE"""),-2.0)</f>
        <v>-2</v>
      </c>
      <c r="S353" s="16">
        <f>IFERROR(__xludf.DUMMYFUNCTION("""COMPUTED_VALUE"""),-1.0)</f>
        <v>-1</v>
      </c>
      <c r="T353" s="16">
        <f>IFERROR(__xludf.DUMMYFUNCTION("""COMPUTED_VALUE"""),-2.0)</f>
        <v>-2</v>
      </c>
      <c r="U353" s="16">
        <f>IFERROR(__xludf.DUMMYFUNCTION("""COMPUTED_VALUE"""),-1.0)</f>
        <v>-1</v>
      </c>
      <c r="V353" s="16">
        <f>IFERROR(__xludf.DUMMYFUNCTION("""COMPUTED_VALUE"""),18.1)</f>
        <v>18.1</v>
      </c>
      <c r="W353" s="16">
        <f>IFERROR(__xludf.DUMMYFUNCTION("""COMPUTED_VALUE"""),18.1)</f>
        <v>18.1</v>
      </c>
      <c r="X353" s="16">
        <f>IFERROR(__xludf.DUMMYFUNCTION("""COMPUTED_VALUE"""),0.0)</f>
        <v>0</v>
      </c>
      <c r="Y353" s="16">
        <f>IFERROR(__xludf.DUMMYFUNCTION("""COMPUTED_VALUE"""),0.0)</f>
        <v>0</v>
      </c>
      <c r="Z353" s="16">
        <f>IFERROR(__xludf.DUMMYFUNCTION("""COMPUTED_VALUE"""),0.0)</f>
        <v>0</v>
      </c>
      <c r="AA353" s="16">
        <f>IFERROR(__xludf.DUMMYFUNCTION("""COMPUTED_VALUE"""),0.0)</f>
        <v>0</v>
      </c>
      <c r="AB353" s="16">
        <f>IFERROR(__xludf.DUMMYFUNCTION("""COMPUTED_VALUE"""),27.1)</f>
        <v>27.1</v>
      </c>
      <c r="AC353" s="16">
        <f>IFERROR(__xludf.DUMMYFUNCTION("""COMPUTED_VALUE"""),31.1)</f>
        <v>31.1</v>
      </c>
      <c r="AD353" s="16">
        <f>IFERROR(__xludf.DUMMYFUNCTION("""COMPUTED_VALUE"""),0.0)</f>
        <v>0</v>
      </c>
      <c r="AE353" s="16">
        <f>IFERROR(__xludf.DUMMYFUNCTION("""COMPUTED_VALUE"""),0.0)</f>
        <v>0</v>
      </c>
      <c r="AF353" s="16">
        <f>IFERROR(__xludf.DUMMYFUNCTION("""COMPUTED_VALUE"""),0.0)</f>
        <v>0</v>
      </c>
      <c r="AG353" s="16">
        <f>IFERROR(__xludf.DUMMYFUNCTION("""COMPUTED_VALUE"""),0.0)</f>
        <v>0</v>
      </c>
      <c r="AH353" s="16">
        <f>IFERROR(__xludf.DUMMYFUNCTION("""COMPUTED_VALUE"""),18.3)</f>
        <v>18.3</v>
      </c>
      <c r="AI353" s="16">
        <f>IFERROR(__xludf.DUMMYFUNCTION("""COMPUTED_VALUE"""),26.7)</f>
        <v>26.7</v>
      </c>
      <c r="AJ353" s="16">
        <f>IFERROR(__xludf.DUMMYFUNCTION("""COMPUTED_VALUE"""),-1.0)</f>
        <v>-1</v>
      </c>
      <c r="AK353" s="16">
        <f>IFERROR(__xludf.DUMMYFUNCTION("""COMPUTED_VALUE"""),-1.0)</f>
        <v>-1</v>
      </c>
      <c r="AL353" s="16">
        <f>IFERROR(__xludf.DUMMYFUNCTION("""COMPUTED_VALUE"""),-5.0)</f>
        <v>-5</v>
      </c>
      <c r="AM353" s="16">
        <f>IFERROR(__xludf.DUMMYFUNCTION("""COMPUTED_VALUE"""),-5.0)</f>
        <v>-5</v>
      </c>
      <c r="AN353" s="16">
        <f>IFERROR(__xludf.DUMMYFUNCTION("""COMPUTED_VALUE"""),0.0)</f>
        <v>0</v>
      </c>
      <c r="AO353" s="16">
        <f>IFERROR(__xludf.DUMMYFUNCTION("""COMPUTED_VALUE"""),2.0)</f>
        <v>2</v>
      </c>
      <c r="AP353" s="16">
        <f>IFERROR(__xludf.DUMMYFUNCTION("""COMPUTED_VALUE"""),-2.0)</f>
        <v>-2</v>
      </c>
      <c r="AQ353" s="16">
        <f>IFERROR(__xludf.DUMMYFUNCTION("""COMPUTED_VALUE"""),-1.0)</f>
        <v>-1</v>
      </c>
      <c r="AR353" s="16">
        <f>IFERROR(__xludf.DUMMYFUNCTION("""COMPUTED_VALUE"""),-4.0)</f>
        <v>-4</v>
      </c>
      <c r="AS353" s="16">
        <f>IFERROR(__xludf.DUMMYFUNCTION("""COMPUTED_VALUE"""),-2.0)</f>
        <v>-2</v>
      </c>
      <c r="AT353" s="16"/>
      <c r="AU353" s="16">
        <f>IFERROR(__xludf.DUMMYFUNCTION("""COMPUTED_VALUE"""),1.0)</f>
        <v>1</v>
      </c>
      <c r="AV353" s="16">
        <f>IFERROR(__xludf.DUMMYFUNCTION("""COMPUTED_VALUE"""),-3.0)</f>
        <v>-3</v>
      </c>
      <c r="AW353" s="16">
        <f>IFERROR(__xludf.DUMMYFUNCTION("""COMPUTED_VALUE"""),1.0)</f>
        <v>1</v>
      </c>
      <c r="AX353" s="16">
        <f>IFERROR(__xludf.DUMMYFUNCTION("""COMPUTED_VALUE"""),-3.0)</f>
        <v>-3</v>
      </c>
      <c r="AY353" s="16">
        <f>IFERROR(__xludf.DUMMYFUNCTION("""COMPUTED_VALUE"""),-1.0)</f>
        <v>-1</v>
      </c>
      <c r="AZ353" s="16">
        <f>IFERROR(__xludf.DUMMYFUNCTION("""COMPUTED_VALUE"""),-9.0)</f>
        <v>-9</v>
      </c>
      <c r="BA353" s="16">
        <f>IFERROR(__xludf.DUMMYFUNCTION("""COMPUTED_VALUE"""),-3.0)</f>
        <v>-3</v>
      </c>
      <c r="BB353" s="16">
        <f>IFERROR(__xludf.DUMMYFUNCTION("""COMPUTED_VALUE"""),5.0)</f>
        <v>5</v>
      </c>
      <c r="BC353" s="16">
        <f>IFERROR(__xludf.DUMMYFUNCTION("""COMPUTED_VALUE"""),5.0)</f>
        <v>5</v>
      </c>
      <c r="BD353" s="16">
        <f>IFERROR(__xludf.DUMMYFUNCTION("""COMPUTED_VALUE"""),1.0)</f>
        <v>1</v>
      </c>
      <c r="BE353" s="16">
        <f>IFERROR(__xludf.DUMMYFUNCTION("""COMPUTED_VALUE"""),1.0)</f>
        <v>1</v>
      </c>
      <c r="BF353" s="16">
        <f>IFERROR(__xludf.DUMMYFUNCTION("""COMPUTED_VALUE"""),1.0)</f>
        <v>1</v>
      </c>
      <c r="BG353" s="16">
        <f>IFERROR(__xludf.DUMMYFUNCTION("""COMPUTED_VALUE"""),1.0)</f>
        <v>1</v>
      </c>
      <c r="BH353" s="16">
        <f>IFERROR(__xludf.DUMMYFUNCTION("""COMPUTED_VALUE"""),-2.0)</f>
        <v>-2</v>
      </c>
      <c r="BI353" s="16">
        <f>IFERROR(__xludf.DUMMYFUNCTION("""COMPUTED_VALUE"""),-2.0)</f>
        <v>-2</v>
      </c>
      <c r="BJ353" s="16">
        <f>IFERROR(__xludf.DUMMYFUNCTION("""COMPUTED_VALUE"""),16.0)</f>
        <v>16</v>
      </c>
      <c r="BK353" s="16">
        <f>IFERROR(__xludf.DUMMYFUNCTION("""COMPUTED_VALUE"""),15.0)</f>
        <v>15</v>
      </c>
      <c r="BL353" s="16">
        <f>IFERROR(__xludf.DUMMYFUNCTION("""COMPUTED_VALUE"""),-1.0)</f>
        <v>-1</v>
      </c>
      <c r="BM353" s="16">
        <f>IFERROR(__xludf.DUMMYFUNCTION("""COMPUTED_VALUE"""),-1.0)</f>
        <v>-1</v>
      </c>
      <c r="BN353" s="16">
        <f>IFERROR(__xludf.DUMMYFUNCTION("""COMPUTED_VALUE"""),-2.0)</f>
        <v>-2</v>
      </c>
      <c r="BO353" s="16">
        <f>IFERROR(__xludf.DUMMYFUNCTION("""COMPUTED_VALUE"""),-2.0)</f>
        <v>-2</v>
      </c>
      <c r="BP353" s="16">
        <f>IFERROR(__xludf.DUMMYFUNCTION("""COMPUTED_VALUE"""),-7.0)</f>
        <v>-7</v>
      </c>
      <c r="BQ353" s="16">
        <f>IFERROR(__xludf.DUMMYFUNCTION("""COMPUTED_VALUE"""),-3.0)</f>
        <v>-3</v>
      </c>
      <c r="BR353" s="16">
        <f>IFERROR(__xludf.DUMMYFUNCTION("""COMPUTED_VALUE"""),-10.0)</f>
        <v>-10</v>
      </c>
      <c r="BS353" s="16" t="str">
        <f>IFERROR(__xludf.DUMMYFUNCTION("""COMPUTED_VALUE"""),"-/- (---)")</f>
        <v>-/- (---)</v>
      </c>
      <c r="BT353" s="16" t="str">
        <f>IFERROR(__xludf.DUMMYFUNCTION("""COMPUTED_VALUE"""),"E")</f>
        <v>E</v>
      </c>
      <c r="BU353" s="16">
        <f>IFERROR(__xludf.DUMMYFUNCTION("""COMPUTED_VALUE"""),9.0)</f>
        <v>9</v>
      </c>
      <c r="BV353" s="16">
        <f>IFERROR(__xludf.DUMMYFUNCTION("""COMPUTED_VALUE"""),0.0)</f>
        <v>0</v>
      </c>
      <c r="BW353" s="16">
        <f>IFERROR(__xludf.DUMMYFUNCTION("""COMPUTED_VALUE"""),-1.0)</f>
        <v>-1</v>
      </c>
      <c r="BX353" s="16">
        <f>IFERROR(__xludf.DUMMYFUNCTION("""COMPUTED_VALUE"""),0.0)</f>
        <v>0</v>
      </c>
      <c r="BY353" s="16">
        <f>IFERROR(__xludf.DUMMYFUNCTION("""COMPUTED_VALUE"""),-3.0)</f>
        <v>-3</v>
      </c>
      <c r="BZ353" s="16" t="str">
        <f>IFERROR(__xludf.DUMMYFUNCTION("""COMPUTED_VALUE"""),"D")</f>
        <v>D</v>
      </c>
      <c r="CA353" s="16" t="str">
        <f>IFERROR(__xludf.DUMMYFUNCTION("""COMPUTED_VALUE"""),"C")</f>
        <v>C</v>
      </c>
      <c r="CB353" s="16">
        <f>IFERROR(__xludf.DUMMYFUNCTION("""COMPUTED_VALUE"""),0.0)</f>
        <v>0</v>
      </c>
      <c r="CC353" s="16">
        <f>IFERROR(__xludf.DUMMYFUNCTION("""COMPUTED_VALUE"""),0.0)</f>
        <v>0</v>
      </c>
      <c r="CD353" s="16">
        <f>IFERROR(__xludf.DUMMYFUNCTION("""COMPUTED_VALUE"""),0.0)</f>
        <v>0</v>
      </c>
      <c r="CE353" s="16">
        <f>IFERROR(__xludf.DUMMYFUNCTION("""COMPUTED_VALUE"""),0.0)</f>
        <v>0</v>
      </c>
      <c r="CF353" s="16">
        <f>IFERROR(__xludf.DUMMYFUNCTION("""COMPUTED_VALUE"""),4.0)</f>
        <v>4</v>
      </c>
      <c r="CG353" s="16">
        <f>IFERROR(__xludf.DUMMYFUNCTION("""COMPUTED_VALUE"""),-20.0)</f>
        <v>-20</v>
      </c>
      <c r="CH353" s="16">
        <f>IFERROR(__xludf.DUMMYFUNCTION("""COMPUTED_VALUE"""),-11.0)</f>
        <v>-11</v>
      </c>
      <c r="CI353" s="179">
        <f>IFERROR(__xludf.DUMMYFUNCTION("""COMPUTED_VALUE"""),-15.0)</f>
        <v>-15</v>
      </c>
      <c r="CJ353" s="16"/>
      <c r="CK353" s="16">
        <f>IFERROR(__xludf.DUMMYFUNCTION("""COMPUTED_VALUE"""),305.0)</f>
        <v>305</v>
      </c>
      <c r="CL353" s="16"/>
      <c r="CM353" s="16"/>
      <c r="CN353" s="16"/>
      <c r="CO353" s="16"/>
      <c r="CP353" s="16"/>
      <c r="CQ353" s="16"/>
      <c r="CR353" s="16" t="str">
        <f>IFERROR(__xludf.DUMMYFUNCTION("""COMPUTED_VALUE"""),"1b-3e5")</f>
        <v>1b-3e5</v>
      </c>
      <c r="CS353" s="16"/>
      <c r="CT353" s="16">
        <f>IFERROR(__xludf.DUMMYFUNCTION("""COMPUTED_VALUE"""),3.0)</f>
        <v>3</v>
      </c>
      <c r="CU353" s="16"/>
      <c r="CV353" s="16"/>
      <c r="CW353" s="16"/>
      <c r="CX353" s="16"/>
      <c r="CY353" s="16"/>
      <c r="CZ353" s="16"/>
      <c r="DA353" s="16"/>
      <c r="DB353" s="16">
        <f>IFERROR(__xludf.DUMMYFUNCTION("""COMPUTED_VALUE"""),5.0)</f>
        <v>5</v>
      </c>
      <c r="DC353" s="16"/>
      <c r="DD353" s="16"/>
      <c r="DE353" s="16"/>
      <c r="DF353" s="16"/>
      <c r="DG353" s="16"/>
      <c r="DH353" s="16"/>
      <c r="DI353" s="16"/>
      <c r="DJ353" s="16">
        <f>IFERROR(__xludf.DUMMYFUNCTION("""COMPUTED_VALUE"""),1.0)</f>
        <v>1</v>
      </c>
      <c r="DK353" s="16"/>
      <c r="DL353" s="16"/>
      <c r="DM353" s="16"/>
      <c r="DN353" s="16"/>
      <c r="DO353" s="16"/>
      <c r="DP353" s="16"/>
      <c r="DQ353" s="16"/>
      <c r="DR353" s="16">
        <f>IFERROR(__xludf.DUMMYFUNCTION("""COMPUTED_VALUE"""),2.0)</f>
        <v>2</v>
      </c>
      <c r="DS353" s="16"/>
      <c r="DT353" s="16"/>
      <c r="DU353" s="16"/>
      <c r="DV353" s="16"/>
      <c r="DW353" s="16"/>
      <c r="DX353" s="16"/>
      <c r="DY353" s="16"/>
      <c r="DZ353" s="16">
        <f>IFERROR(__xludf.DUMMYFUNCTION("""COMPUTED_VALUE"""),3.0)</f>
        <v>3</v>
      </c>
      <c r="EA353" s="16"/>
      <c r="EB353" s="16"/>
      <c r="EC353" s="16"/>
      <c r="ED353" s="16"/>
      <c r="EE353" s="16"/>
      <c r="EF353" s="16"/>
      <c r="EG353" s="179"/>
      <c r="EH353" s="179">
        <f>IFERROR(__xludf.DUMMYFUNCTION("""COMPUTED_VALUE"""),-12.0)</f>
        <v>-12</v>
      </c>
      <c r="EI353" s="179"/>
      <c r="EJ353" s="179"/>
      <c r="EK353" s="179"/>
      <c r="EL353" s="179"/>
      <c r="EM353" s="179"/>
      <c r="EN353" s="179"/>
      <c r="EO353" s="16"/>
      <c r="EP353" s="16"/>
      <c r="EQ353" s="16">
        <f>IFERROR(__xludf.DUMMYFUNCTION("""COMPUTED_VALUE"""),-1.0)</f>
        <v>-1</v>
      </c>
      <c r="ER353" s="16">
        <f>IFERROR(__xludf.DUMMYFUNCTION("""COMPUTED_VALUE"""),0.0)</f>
        <v>0</v>
      </c>
      <c r="ES353" s="16"/>
      <c r="ET353" s="16"/>
      <c r="EU353" s="16"/>
      <c r="EV353" s="16"/>
      <c r="EW353" s="16"/>
      <c r="EX353" s="180"/>
      <c r="EY353" s="180">
        <f>IFERROR(__xludf.DUMMYFUNCTION("""COMPUTED_VALUE"""),0.2)</f>
        <v>0.2</v>
      </c>
      <c r="EZ353" s="180"/>
      <c r="FA353" s="180"/>
      <c r="FB353" s="180"/>
      <c r="FC353" s="180"/>
      <c r="FD353" s="180"/>
      <c r="FE353" s="180"/>
      <c r="FF353" s="180"/>
      <c r="FG353" s="180">
        <f>IFERROR(__xludf.DUMMYFUNCTION("""COMPUTED_VALUE"""),0.08796296296296297)</f>
        <v>0.08796296296</v>
      </c>
      <c r="FH353" s="180"/>
      <c r="FI353" s="180"/>
      <c r="FJ353" s="180"/>
      <c r="FK353" s="180"/>
      <c r="FL353" s="180"/>
      <c r="FM353" s="180"/>
      <c r="FN353" s="16"/>
      <c r="FO353" s="16">
        <f>IFERROR(__xludf.DUMMYFUNCTION("""COMPUTED_VALUE"""),0.7296296296296296)</f>
        <v>0.7296296296</v>
      </c>
      <c r="FP353" s="16"/>
      <c r="FQ353" s="16"/>
      <c r="FR353" s="16"/>
      <c r="FS353" s="16"/>
      <c r="FT353" s="16"/>
      <c r="FU353" s="16"/>
      <c r="FV353" s="16"/>
      <c r="FW353" s="16">
        <f>IFERROR(__xludf.DUMMYFUNCTION("""COMPUTED_VALUE"""),-4.0)</f>
        <v>-4</v>
      </c>
      <c r="FX353" s="16"/>
      <c r="FY353" s="16"/>
      <c r="FZ353" s="16"/>
      <c r="GA353" s="16"/>
      <c r="GB353" s="16"/>
      <c r="GC353" s="16"/>
      <c r="GD353" s="16" t="s">
        <v>176</v>
      </c>
    </row>
    <row r="354">
      <c r="A354" s="16">
        <f>IFERROR(__xludf.DUMMYFUNCTION("""COMPUTED_VALUE"""),13198.0)</f>
        <v>13198</v>
      </c>
      <c r="B354" s="16" t="str">
        <f>IFERROR(__xludf.DUMMYFUNCTION("""COMPUTED_VALUE"""),"Michael Siani")</f>
        <v>Michael Siani</v>
      </c>
      <c r="C354" s="16">
        <f>IFERROR(__xludf.DUMMYFUNCTION("""COMPUTED_VALUE"""),0.61)</f>
        <v>0.61</v>
      </c>
      <c r="D354" s="16" t="str">
        <f>IFERROR(__xludf.DUMMYFUNCTION("""COMPUTED_VALUE"""),"L")</f>
        <v>L</v>
      </c>
      <c r="E354" s="16"/>
      <c r="F354" s="16"/>
      <c r="G354" s="16">
        <f>IFERROR(__xludf.DUMMYFUNCTION("""COMPUTED_VALUE"""),298.0)</f>
        <v>298</v>
      </c>
      <c r="H354" s="16">
        <f>IFERROR(__xludf.DUMMYFUNCTION("""COMPUTED_VALUE"""),21.0)</f>
        <v>21</v>
      </c>
      <c r="I354" s="16" t="str">
        <f>IFERROR(__xludf.DUMMYFUNCTION("""COMPUTED_VALUE"""),"2p60")</f>
        <v>2p60</v>
      </c>
      <c r="J354" s="16">
        <f>IFERROR(__xludf.DUMMYFUNCTION("""COMPUTED_VALUE"""),38.0)</f>
        <v>38</v>
      </c>
      <c r="K354" s="16">
        <f>IFERROR(__xludf.DUMMYFUNCTION("""COMPUTED_VALUE"""),36.0)</f>
        <v>36</v>
      </c>
      <c r="L354" s="16">
        <f>IFERROR(__xludf.DUMMYFUNCTION("""COMPUTED_VALUE"""),-1.0)</f>
        <v>-1</v>
      </c>
      <c r="M354" s="16">
        <f>IFERROR(__xludf.DUMMYFUNCTION("""COMPUTED_VALUE"""),-1.0)</f>
        <v>-1</v>
      </c>
      <c r="N354" s="16">
        <f>IFERROR(__xludf.DUMMYFUNCTION("""COMPUTED_VALUE"""),-1.0)</f>
        <v>-1</v>
      </c>
      <c r="O354" s="16">
        <f>IFERROR(__xludf.DUMMYFUNCTION("""COMPUTED_VALUE"""),-1.0)</f>
        <v>-1</v>
      </c>
      <c r="P354" s="16">
        <f>IFERROR(__xludf.DUMMYFUNCTION("""COMPUTED_VALUE"""),9.0)</f>
        <v>9</v>
      </c>
      <c r="Q354" s="16">
        <f>IFERROR(__xludf.DUMMYFUNCTION("""COMPUTED_VALUE"""),3.0)</f>
        <v>3</v>
      </c>
      <c r="R354" s="16">
        <f>IFERROR(__xludf.DUMMYFUNCTION("""COMPUTED_VALUE"""),0.0)</f>
        <v>0</v>
      </c>
      <c r="S354" s="16">
        <f>IFERROR(__xludf.DUMMYFUNCTION("""COMPUTED_VALUE"""),-2.0)</f>
        <v>-2</v>
      </c>
      <c r="T354" s="16">
        <f>IFERROR(__xludf.DUMMYFUNCTION("""COMPUTED_VALUE"""),0.0)</f>
        <v>0</v>
      </c>
      <c r="U354" s="16">
        <f>IFERROR(__xludf.DUMMYFUNCTION("""COMPUTED_VALUE"""),-2.0)</f>
        <v>-2</v>
      </c>
      <c r="V354" s="16">
        <f>IFERROR(__xludf.DUMMYFUNCTION("""COMPUTED_VALUE"""),12.5)</f>
        <v>12.5</v>
      </c>
      <c r="W354" s="16">
        <f>IFERROR(__xludf.DUMMYFUNCTION("""COMPUTED_VALUE"""),23.0)</f>
        <v>23</v>
      </c>
      <c r="X354" s="16">
        <f>IFERROR(__xludf.DUMMYFUNCTION("""COMPUTED_VALUE"""),-1.0)</f>
        <v>-1</v>
      </c>
      <c r="Y354" s="16">
        <f>IFERROR(__xludf.DUMMYFUNCTION("""COMPUTED_VALUE"""),1.0)</f>
        <v>1</v>
      </c>
      <c r="Z354" s="16">
        <f>IFERROR(__xludf.DUMMYFUNCTION("""COMPUTED_VALUE"""),-2.0)</f>
        <v>-2</v>
      </c>
      <c r="AA354" s="16">
        <f>IFERROR(__xludf.DUMMYFUNCTION("""COMPUTED_VALUE"""),2.0)</f>
        <v>2</v>
      </c>
      <c r="AB354" s="16">
        <f>IFERROR(__xludf.DUMMYFUNCTION("""COMPUTED_VALUE"""),23.5)</f>
        <v>23.5</v>
      </c>
      <c r="AC354" s="16">
        <f>IFERROR(__xludf.DUMMYFUNCTION("""COMPUTED_VALUE"""),28.0)</f>
        <v>28</v>
      </c>
      <c r="AD354" s="16">
        <f>IFERROR(__xludf.DUMMYFUNCTION("""COMPUTED_VALUE"""),-1.0)</f>
        <v>-1</v>
      </c>
      <c r="AE354" s="16">
        <f>IFERROR(__xludf.DUMMYFUNCTION("""COMPUTED_VALUE"""),-1.0)</f>
        <v>-1</v>
      </c>
      <c r="AF354" s="16">
        <f>IFERROR(__xludf.DUMMYFUNCTION("""COMPUTED_VALUE"""),-5.0)</f>
        <v>-5</v>
      </c>
      <c r="AG354" s="16">
        <f>IFERROR(__xludf.DUMMYFUNCTION("""COMPUTED_VALUE"""),-5.0)</f>
        <v>-5</v>
      </c>
      <c r="AH354" s="16">
        <f>IFERROR(__xludf.DUMMYFUNCTION("""COMPUTED_VALUE"""),22.3)</f>
        <v>22.3</v>
      </c>
      <c r="AI354" s="16">
        <f>IFERROR(__xludf.DUMMYFUNCTION("""COMPUTED_VALUE"""),27.4)</f>
        <v>27.4</v>
      </c>
      <c r="AJ354" s="16">
        <f>IFERROR(__xludf.DUMMYFUNCTION("""COMPUTED_VALUE"""),-1.0)</f>
        <v>-1</v>
      </c>
      <c r="AK354" s="16">
        <f>IFERROR(__xludf.DUMMYFUNCTION("""COMPUTED_VALUE"""),-1.0)</f>
        <v>-1</v>
      </c>
      <c r="AL354" s="16">
        <f>IFERROR(__xludf.DUMMYFUNCTION("""COMPUTED_VALUE"""),-5.0)</f>
        <v>-5</v>
      </c>
      <c r="AM354" s="16">
        <f>IFERROR(__xludf.DUMMYFUNCTION("""COMPUTED_VALUE"""),-5.0)</f>
        <v>-5</v>
      </c>
      <c r="AN354" s="16">
        <f>IFERROR(__xludf.DUMMYFUNCTION("""COMPUTED_VALUE"""),2.2)</f>
        <v>2.2</v>
      </c>
      <c r="AO354" s="16">
        <f>IFERROR(__xludf.DUMMYFUNCTION("""COMPUTED_VALUE"""),1.0)</f>
        <v>1</v>
      </c>
      <c r="AP354" s="16">
        <f>IFERROR(__xludf.DUMMYFUNCTION("""COMPUTED_VALUE"""),0.0)</f>
        <v>0</v>
      </c>
      <c r="AQ354" s="16">
        <f>IFERROR(__xludf.DUMMYFUNCTION("""COMPUTED_VALUE"""),-2.0)</f>
        <v>-2</v>
      </c>
      <c r="AR354" s="16">
        <f>IFERROR(__xludf.DUMMYFUNCTION("""COMPUTED_VALUE"""),0.0)</f>
        <v>0</v>
      </c>
      <c r="AS354" s="16">
        <f>IFERROR(__xludf.DUMMYFUNCTION("""COMPUTED_VALUE"""),-4.0)</f>
        <v>-4</v>
      </c>
      <c r="AT354" s="16"/>
      <c r="AU354" s="16"/>
      <c r="AV354" s="16">
        <f>IFERROR(__xludf.DUMMYFUNCTION("""COMPUTED_VALUE"""),-3.0)</f>
        <v>-3</v>
      </c>
      <c r="AW354" s="16">
        <f>IFERROR(__xludf.DUMMYFUNCTION("""COMPUTED_VALUE"""),-3.0)</f>
        <v>-3</v>
      </c>
      <c r="AX354" s="16">
        <f>IFERROR(__xludf.DUMMYFUNCTION("""COMPUTED_VALUE"""),-3.0)</f>
        <v>-3</v>
      </c>
      <c r="AY354" s="16">
        <f>IFERROR(__xludf.DUMMYFUNCTION("""COMPUTED_VALUE"""),-3.0)</f>
        <v>-3</v>
      </c>
      <c r="AZ354" s="16">
        <f>IFERROR(__xludf.DUMMYFUNCTION("""COMPUTED_VALUE"""),-9.0)</f>
        <v>-9</v>
      </c>
      <c r="BA354" s="16">
        <f>IFERROR(__xludf.DUMMYFUNCTION("""COMPUTED_VALUE"""),-9.0)</f>
        <v>-9</v>
      </c>
      <c r="BB354" s="16">
        <f>IFERROR(__xludf.DUMMYFUNCTION("""COMPUTED_VALUE"""),5.0)</f>
        <v>5</v>
      </c>
      <c r="BC354" s="16">
        <f>IFERROR(__xludf.DUMMYFUNCTION("""COMPUTED_VALUE"""),5.0)</f>
        <v>5</v>
      </c>
      <c r="BD354" s="16">
        <f>IFERROR(__xludf.DUMMYFUNCTION("""COMPUTED_VALUE"""),1.0)</f>
        <v>1</v>
      </c>
      <c r="BE354" s="16">
        <f>IFERROR(__xludf.DUMMYFUNCTION("""COMPUTED_VALUE"""),1.0)</f>
        <v>1</v>
      </c>
      <c r="BF354" s="16">
        <f>IFERROR(__xludf.DUMMYFUNCTION("""COMPUTED_VALUE"""),1.0)</f>
        <v>1</v>
      </c>
      <c r="BG354" s="16">
        <f>IFERROR(__xludf.DUMMYFUNCTION("""COMPUTED_VALUE"""),1.0)</f>
        <v>1</v>
      </c>
      <c r="BH354" s="16">
        <f>IFERROR(__xludf.DUMMYFUNCTION("""COMPUTED_VALUE"""),-6.0)</f>
        <v>-6</v>
      </c>
      <c r="BI354" s="16">
        <f>IFERROR(__xludf.DUMMYFUNCTION("""COMPUTED_VALUE"""),-12.0)</f>
        <v>-12</v>
      </c>
      <c r="BJ354" s="16">
        <f>IFERROR(__xludf.DUMMYFUNCTION("""COMPUTED_VALUE"""),2.0)</f>
        <v>2</v>
      </c>
      <c r="BK354" s="16">
        <f>IFERROR(__xludf.DUMMYFUNCTION("""COMPUTED_VALUE"""),2.0)</f>
        <v>2</v>
      </c>
      <c r="BL354" s="16">
        <f>IFERROR(__xludf.DUMMYFUNCTION("""COMPUTED_VALUE"""),2.0)</f>
        <v>2</v>
      </c>
      <c r="BM354" s="16">
        <f>IFERROR(__xludf.DUMMYFUNCTION("""COMPUTED_VALUE"""),2.0)</f>
        <v>2</v>
      </c>
      <c r="BN354" s="16">
        <f>IFERROR(__xludf.DUMMYFUNCTION("""COMPUTED_VALUE"""),2.0)</f>
        <v>2</v>
      </c>
      <c r="BO354" s="16">
        <f>IFERROR(__xludf.DUMMYFUNCTION("""COMPUTED_VALUE"""),2.0)</f>
        <v>2</v>
      </c>
      <c r="BP354" s="16">
        <f>IFERROR(__xludf.DUMMYFUNCTION("""COMPUTED_VALUE"""),-4.0)</f>
        <v>-4</v>
      </c>
      <c r="BQ354" s="16">
        <f>IFERROR(__xludf.DUMMYFUNCTION("""COMPUTED_VALUE"""),-6.0)</f>
        <v>-6</v>
      </c>
      <c r="BR354" s="16">
        <f>IFERROR(__xludf.DUMMYFUNCTION("""COMPUTED_VALUE"""),-10.0)</f>
        <v>-10</v>
      </c>
      <c r="BS354" s="16" t="str">
        <f>IFERROR(__xludf.DUMMYFUNCTION("""COMPUTED_VALUE"""),"*2-5,12/- (19-14)")</f>
        <v>*2-5,12/- (19-14)</v>
      </c>
      <c r="BT354" s="16" t="str">
        <f>IFERROR(__xludf.DUMMYFUNCTION("""COMPUTED_VALUE"""),"A")</f>
        <v>A</v>
      </c>
      <c r="BU354" s="16">
        <f>IFERROR(__xludf.DUMMYFUNCTION("""COMPUTED_VALUE"""),16.0)</f>
        <v>16</v>
      </c>
      <c r="BV354" s="16">
        <f>IFERROR(__xludf.DUMMYFUNCTION("""COMPUTED_VALUE"""),2.0)</f>
        <v>2</v>
      </c>
      <c r="BW354" s="16">
        <f>IFERROR(__xludf.DUMMYFUNCTION("""COMPUTED_VALUE"""),2.0)</f>
        <v>2</v>
      </c>
      <c r="BX354" s="16">
        <f>IFERROR(__xludf.DUMMYFUNCTION("""COMPUTED_VALUE"""),4.0)</f>
        <v>4</v>
      </c>
      <c r="BY354" s="16">
        <f>IFERROR(__xludf.DUMMYFUNCTION("""COMPUTED_VALUE"""),6.0)</f>
        <v>6</v>
      </c>
      <c r="BZ354" s="16" t="str">
        <f>IFERROR(__xludf.DUMMYFUNCTION("""COMPUTED_VALUE"""),"A")</f>
        <v>A</v>
      </c>
      <c r="CA354" s="16" t="str">
        <f>IFERROR(__xludf.DUMMYFUNCTION("""COMPUTED_VALUE"""),"C")</f>
        <v>C</v>
      </c>
      <c r="CB354" s="16">
        <f>IFERROR(__xludf.DUMMYFUNCTION("""COMPUTED_VALUE"""),2.0)</f>
        <v>2</v>
      </c>
      <c r="CC354" s="16">
        <f>IFERROR(__xludf.DUMMYFUNCTION("""COMPUTED_VALUE"""),0.0)</f>
        <v>0</v>
      </c>
      <c r="CD354" s="16">
        <f>IFERROR(__xludf.DUMMYFUNCTION("""COMPUTED_VALUE"""),2.0)</f>
        <v>2</v>
      </c>
      <c r="CE354" s="16">
        <f>IFERROR(__xludf.DUMMYFUNCTION("""COMPUTED_VALUE"""),0.0)</f>
        <v>0</v>
      </c>
      <c r="CF354" s="16">
        <f>IFERROR(__xludf.DUMMYFUNCTION("""COMPUTED_VALUE"""),2.0)</f>
        <v>2</v>
      </c>
      <c r="CG354" s="16">
        <f>IFERROR(__xludf.DUMMYFUNCTION("""COMPUTED_VALUE"""),-19.0)</f>
        <v>-19</v>
      </c>
      <c r="CH354" s="16">
        <f>IFERROR(__xludf.DUMMYFUNCTION("""COMPUTED_VALUE"""),-21.0)</f>
        <v>-21</v>
      </c>
      <c r="CI354" s="179">
        <f>IFERROR(__xludf.DUMMYFUNCTION("""COMPUTED_VALUE"""),-15.0)</f>
        <v>-15</v>
      </c>
      <c r="CJ354" s="16"/>
      <c r="CK354" s="16"/>
      <c r="CL354" s="16"/>
      <c r="CM354" s="16"/>
      <c r="CN354" s="16"/>
      <c r="CO354" s="16">
        <f>IFERROR(__xludf.DUMMYFUNCTION("""COMPUTED_VALUE"""),200.0)</f>
        <v>200</v>
      </c>
      <c r="CP354" s="16">
        <f>IFERROR(__xludf.DUMMYFUNCTION("""COMPUTED_VALUE"""),100.0)</f>
        <v>100</v>
      </c>
      <c r="CQ354" s="16">
        <f>IFERROR(__xludf.DUMMYFUNCTION("""COMPUTED_VALUE"""),200.0)</f>
        <v>200</v>
      </c>
      <c r="CR354" s="16" t="str">
        <f>IFERROR(__xludf.DUMMYFUNCTION("""COMPUTED_VALUE"""),"cf-1(-1)e0 lf-2e0 rf-2e0")</f>
        <v>cf-1(-1)e0 lf-2e0 rf-2e0</v>
      </c>
      <c r="CS354" s="16"/>
      <c r="CT354" s="16"/>
      <c r="CU354" s="16"/>
      <c r="CV354" s="16"/>
      <c r="CW354" s="16"/>
      <c r="CX354" s="16">
        <f>IFERROR(__xludf.DUMMYFUNCTION("""COMPUTED_VALUE"""),2.0)</f>
        <v>2</v>
      </c>
      <c r="CY354" s="16">
        <f>IFERROR(__xludf.DUMMYFUNCTION("""COMPUTED_VALUE"""),1.0)</f>
        <v>1</v>
      </c>
      <c r="CZ354" s="16">
        <f>IFERROR(__xludf.DUMMYFUNCTION("""COMPUTED_VALUE"""),2.0)</f>
        <v>2</v>
      </c>
      <c r="DA354" s="16"/>
      <c r="DB354" s="16"/>
      <c r="DC354" s="16"/>
      <c r="DD354" s="16"/>
      <c r="DE354" s="16"/>
      <c r="DF354" s="16">
        <f>IFERROR(__xludf.DUMMYFUNCTION("""COMPUTED_VALUE"""),0.0)</f>
        <v>0</v>
      </c>
      <c r="DG354" s="16">
        <f>IFERROR(__xludf.DUMMYFUNCTION("""COMPUTED_VALUE"""),0.0)</f>
        <v>0</v>
      </c>
      <c r="DH354" s="16">
        <f>IFERROR(__xludf.DUMMYFUNCTION("""COMPUTED_VALUE"""),0.0)</f>
        <v>0</v>
      </c>
      <c r="DI354" s="16"/>
      <c r="DJ354" s="16"/>
      <c r="DK354" s="16"/>
      <c r="DL354" s="16"/>
      <c r="DM354" s="16"/>
      <c r="DN354" s="16">
        <f>IFERROR(__xludf.DUMMYFUNCTION("""COMPUTED_VALUE"""),3.0)</f>
        <v>3</v>
      </c>
      <c r="DO354" s="16">
        <f>IFERROR(__xludf.DUMMYFUNCTION("""COMPUTED_VALUE"""),4.0)</f>
        <v>4</v>
      </c>
      <c r="DP354" s="16">
        <f>IFERROR(__xludf.DUMMYFUNCTION("""COMPUTED_VALUE"""),3.0)</f>
        <v>3</v>
      </c>
      <c r="DQ354" s="16"/>
      <c r="DR354" s="16"/>
      <c r="DS354" s="16"/>
      <c r="DT354" s="16"/>
      <c r="DU354" s="16"/>
      <c r="DV354" s="16">
        <f>IFERROR(__xludf.DUMMYFUNCTION("""COMPUTED_VALUE"""),4.0)</f>
        <v>4</v>
      </c>
      <c r="DW354" s="16">
        <f>IFERROR(__xludf.DUMMYFUNCTION("""COMPUTED_VALUE"""),4.0)</f>
        <v>4</v>
      </c>
      <c r="DX354" s="16">
        <f>IFERROR(__xludf.DUMMYFUNCTION("""COMPUTED_VALUE"""),4.0)</f>
        <v>4</v>
      </c>
      <c r="DY354" s="16"/>
      <c r="DZ354" s="16"/>
      <c r="EA354" s="16"/>
      <c r="EB354" s="16"/>
      <c r="EC354" s="16"/>
      <c r="ED354" s="16">
        <f>IFERROR(__xludf.DUMMYFUNCTION("""COMPUTED_VALUE"""),7.0)</f>
        <v>7</v>
      </c>
      <c r="EE354" s="16">
        <f>IFERROR(__xludf.DUMMYFUNCTION("""COMPUTED_VALUE"""),8.0)</f>
        <v>8</v>
      </c>
      <c r="EF354" s="16">
        <f>IFERROR(__xludf.DUMMYFUNCTION("""COMPUTED_VALUE"""),7.0)</f>
        <v>7</v>
      </c>
      <c r="EG354" s="179"/>
      <c r="EH354" s="179"/>
      <c r="EI354" s="179"/>
      <c r="EJ354" s="179"/>
      <c r="EK354" s="179"/>
      <c r="EL354" s="179">
        <f>IFERROR(__xludf.DUMMYFUNCTION("""COMPUTED_VALUE"""),-8.0)</f>
        <v>-8</v>
      </c>
      <c r="EM354" s="179">
        <f>IFERROR(__xludf.DUMMYFUNCTION("""COMPUTED_VALUE"""),-7.0)</f>
        <v>-7</v>
      </c>
      <c r="EN354" s="179">
        <f>IFERROR(__xludf.DUMMYFUNCTION("""COMPUTED_VALUE"""),-8.0)</f>
        <v>-8</v>
      </c>
      <c r="EO354" s="16"/>
      <c r="EP354" s="16">
        <f>IFERROR(__xludf.DUMMYFUNCTION("""COMPUTED_VALUE"""),0.0)</f>
        <v>0</v>
      </c>
      <c r="EQ354" s="16">
        <f>IFERROR(__xludf.DUMMYFUNCTION("""COMPUTED_VALUE"""),2.0)</f>
        <v>2</v>
      </c>
      <c r="ER354" s="16">
        <f>IFERROR(__xludf.DUMMYFUNCTION("""COMPUTED_VALUE"""),1.0)</f>
        <v>1</v>
      </c>
      <c r="ES354" s="16"/>
      <c r="ET354" s="16"/>
      <c r="EU354" s="16"/>
      <c r="EV354" s="16"/>
      <c r="EW354" s="16"/>
      <c r="EX354" s="180"/>
      <c r="EY354" s="180"/>
      <c r="EZ354" s="180"/>
      <c r="FA354" s="180"/>
      <c r="FB354" s="180"/>
      <c r="FC354" s="180">
        <f>IFERROR(__xludf.DUMMYFUNCTION("""COMPUTED_VALUE"""),0.15)</f>
        <v>0.15</v>
      </c>
      <c r="FD354" s="180">
        <f>IFERROR(__xludf.DUMMYFUNCTION("""COMPUTED_VALUE"""),0.0)</f>
        <v>0</v>
      </c>
      <c r="FE354" s="180">
        <f>IFERROR(__xludf.DUMMYFUNCTION("""COMPUTED_VALUE"""),0.15)</f>
        <v>0.15</v>
      </c>
      <c r="FF354" s="180"/>
      <c r="FG354" s="180"/>
      <c r="FH354" s="180"/>
      <c r="FI354" s="180"/>
      <c r="FJ354" s="180"/>
      <c r="FK354" s="180">
        <f>IFERROR(__xludf.DUMMYFUNCTION("""COMPUTED_VALUE"""),0.0)</f>
        <v>0</v>
      </c>
      <c r="FL354" s="180">
        <f>IFERROR(__xludf.DUMMYFUNCTION("""COMPUTED_VALUE"""),0.0)</f>
        <v>0</v>
      </c>
      <c r="FM354" s="180">
        <f>IFERROR(__xludf.DUMMYFUNCTION("""COMPUTED_VALUE"""),0.0)</f>
        <v>0</v>
      </c>
      <c r="FN354" s="16"/>
      <c r="FO354" s="16"/>
      <c r="FP354" s="16"/>
      <c r="FQ354" s="16"/>
      <c r="FR354" s="16"/>
      <c r="FS354" s="16">
        <f>IFERROR(__xludf.DUMMYFUNCTION("""COMPUTED_VALUE"""),0.85)</f>
        <v>0.85</v>
      </c>
      <c r="FT354" s="16">
        <f>IFERROR(__xludf.DUMMYFUNCTION("""COMPUTED_VALUE"""),1.0)</f>
        <v>1</v>
      </c>
      <c r="FU354" s="16">
        <f>IFERROR(__xludf.DUMMYFUNCTION("""COMPUTED_VALUE"""),0.85)</f>
        <v>0.85</v>
      </c>
      <c r="FV354" s="16"/>
      <c r="FW354" s="16"/>
      <c r="FX354" s="16"/>
      <c r="FY354" s="16"/>
      <c r="FZ354" s="16"/>
      <c r="GA354" s="16">
        <f>IFERROR(__xludf.DUMMYFUNCTION("""COMPUTED_VALUE"""),1.0)</f>
        <v>1</v>
      </c>
      <c r="GB354" s="16">
        <f>IFERROR(__xludf.DUMMYFUNCTION("""COMPUTED_VALUE"""),8.0)</f>
        <v>8</v>
      </c>
      <c r="GC354" s="16">
        <f>IFERROR(__xludf.DUMMYFUNCTION("""COMPUTED_VALUE"""),1.0)</f>
        <v>1</v>
      </c>
      <c r="GD354" s="16" t="s">
        <v>245</v>
      </c>
    </row>
    <row r="355">
      <c r="A355" s="16">
        <f>IFERROR(__xludf.DUMMYFUNCTION("""COMPUTED_VALUE"""),13000.0)</f>
        <v>13000</v>
      </c>
      <c r="B355" s="16" t="str">
        <f>IFERROR(__xludf.DUMMYFUNCTION("""COMPUTED_VALUE"""),"Jordan Walker")</f>
        <v>Jordan Walker</v>
      </c>
      <c r="C355" s="16">
        <f>IFERROR(__xludf.DUMMYFUNCTION("""COMPUTED_VALUE"""),0.0)</f>
        <v>0</v>
      </c>
      <c r="D355" s="16" t="str">
        <f>IFERROR(__xludf.DUMMYFUNCTION("""COMPUTED_VALUE"""),"R")</f>
        <v>R</v>
      </c>
      <c r="E355" s="16"/>
      <c r="F355" s="16"/>
      <c r="G355" s="16">
        <f>IFERROR(__xludf.DUMMYFUNCTION("""COMPUTED_VALUE"""),164.0)</f>
        <v>164</v>
      </c>
      <c r="H355" s="16">
        <f>IFERROR(__xludf.DUMMYFUNCTION("""COMPUTED_VALUE"""),10.0)</f>
        <v>10</v>
      </c>
      <c r="I355" s="16" t="str">
        <f>IFERROR(__xludf.DUMMYFUNCTION("""COMPUTED_VALUE"""),"1p30")</f>
        <v>1p30</v>
      </c>
      <c r="J355" s="16">
        <f>IFERROR(__xludf.DUMMYFUNCTION("""COMPUTED_VALUE"""),15.0)</f>
        <v>15</v>
      </c>
      <c r="K355" s="16">
        <f>IFERROR(__xludf.DUMMYFUNCTION("""COMPUTED_VALUE"""),45.0)</f>
        <v>45</v>
      </c>
      <c r="L355" s="16">
        <f>IFERROR(__xludf.DUMMYFUNCTION("""COMPUTED_VALUE"""),1.0)</f>
        <v>1</v>
      </c>
      <c r="M355" s="16">
        <f>IFERROR(__xludf.DUMMYFUNCTION("""COMPUTED_VALUE"""),-2.0)</f>
        <v>-2</v>
      </c>
      <c r="N355" s="16">
        <f>IFERROR(__xludf.DUMMYFUNCTION("""COMPUTED_VALUE"""),1.0)</f>
        <v>1</v>
      </c>
      <c r="O355" s="16">
        <f>IFERROR(__xludf.DUMMYFUNCTION("""COMPUTED_VALUE"""),-2.0)</f>
        <v>-2</v>
      </c>
      <c r="P355" s="16">
        <f>IFERROR(__xludf.DUMMYFUNCTION("""COMPUTED_VALUE"""),22.0)</f>
        <v>22</v>
      </c>
      <c r="Q355" s="16">
        <f>IFERROR(__xludf.DUMMYFUNCTION("""COMPUTED_VALUE"""),0.0)</f>
        <v>0</v>
      </c>
      <c r="R355" s="16">
        <f>IFERROR(__xludf.DUMMYFUNCTION("""COMPUTED_VALUE"""),3.0)</f>
        <v>3</v>
      </c>
      <c r="S355" s="16">
        <f>IFERROR(__xludf.DUMMYFUNCTION("""COMPUTED_VALUE"""),-2.0)</f>
        <v>-2</v>
      </c>
      <c r="T355" s="16">
        <f>IFERROR(__xludf.DUMMYFUNCTION("""COMPUTED_VALUE"""),3.0)</f>
        <v>3</v>
      </c>
      <c r="U355" s="16">
        <f>IFERROR(__xludf.DUMMYFUNCTION("""COMPUTED_VALUE"""),-2.0)</f>
        <v>-2</v>
      </c>
      <c r="V355" s="16">
        <f>IFERROR(__xludf.DUMMYFUNCTION("""COMPUTED_VALUE"""),11.6)</f>
        <v>11.6</v>
      </c>
      <c r="W355" s="16">
        <f>IFERROR(__xludf.DUMMYFUNCTION("""COMPUTED_VALUE"""),12.3)</f>
        <v>12.3</v>
      </c>
      <c r="X355" s="16">
        <f>IFERROR(__xludf.DUMMYFUNCTION("""COMPUTED_VALUE"""),-1.0)</f>
        <v>-1</v>
      </c>
      <c r="Y355" s="16">
        <f>IFERROR(__xludf.DUMMYFUNCTION("""COMPUTED_VALUE"""),-2.0)</f>
        <v>-2</v>
      </c>
      <c r="Z355" s="16">
        <f>IFERROR(__xludf.DUMMYFUNCTION("""COMPUTED_VALUE"""),-2.0)</f>
        <v>-2</v>
      </c>
      <c r="AA355" s="16">
        <f>IFERROR(__xludf.DUMMYFUNCTION("""COMPUTED_VALUE"""),-4.0)</f>
        <v>-4</v>
      </c>
      <c r="AB355" s="16">
        <f>IFERROR(__xludf.DUMMYFUNCTION("""COMPUTED_VALUE"""),35.7)</f>
        <v>35.7</v>
      </c>
      <c r="AC355" s="16">
        <f>IFERROR(__xludf.DUMMYFUNCTION("""COMPUTED_VALUE"""),14.3)</f>
        <v>14.3</v>
      </c>
      <c r="AD355" s="16">
        <f>IFERROR(__xludf.DUMMYFUNCTION("""COMPUTED_VALUE"""),1.0)</f>
        <v>1</v>
      </c>
      <c r="AE355" s="16">
        <f>IFERROR(__xludf.DUMMYFUNCTION("""COMPUTED_VALUE"""),-2.0)</f>
        <v>-2</v>
      </c>
      <c r="AF355" s="16">
        <f>IFERROR(__xludf.DUMMYFUNCTION("""COMPUTED_VALUE"""),5.0)</f>
        <v>5</v>
      </c>
      <c r="AG355" s="16">
        <f>IFERROR(__xludf.DUMMYFUNCTION("""COMPUTED_VALUE"""),-10.0)</f>
        <v>-10</v>
      </c>
      <c r="AH355" s="16">
        <f>IFERROR(__xludf.DUMMYFUNCTION("""COMPUTED_VALUE"""),28.0)</f>
        <v>28</v>
      </c>
      <c r="AI355" s="16">
        <f>IFERROR(__xludf.DUMMYFUNCTION("""COMPUTED_VALUE"""),25.3)</f>
        <v>25.3</v>
      </c>
      <c r="AJ355" s="16">
        <f>IFERROR(__xludf.DUMMYFUNCTION("""COMPUTED_VALUE"""),0.0)</f>
        <v>0</v>
      </c>
      <c r="AK355" s="16">
        <f>IFERROR(__xludf.DUMMYFUNCTION("""COMPUTED_VALUE"""),-1.0)</f>
        <v>-1</v>
      </c>
      <c r="AL355" s="16">
        <f>IFERROR(__xludf.DUMMYFUNCTION("""COMPUTED_VALUE"""),0.0)</f>
        <v>0</v>
      </c>
      <c r="AM355" s="16">
        <f>IFERROR(__xludf.DUMMYFUNCTION("""COMPUTED_VALUE"""),-5.0)</f>
        <v>-5</v>
      </c>
      <c r="AN355" s="16">
        <f>IFERROR(__xludf.DUMMYFUNCTION("""COMPUTED_VALUE"""),2.8)</f>
        <v>2.8</v>
      </c>
      <c r="AO355" s="16">
        <f>IFERROR(__xludf.DUMMYFUNCTION("""COMPUTED_VALUE"""),1.4)</f>
        <v>1.4</v>
      </c>
      <c r="AP355" s="16">
        <f>IFERROR(__xludf.DUMMYFUNCTION("""COMPUTED_VALUE"""),1.0)</f>
        <v>1</v>
      </c>
      <c r="AQ355" s="16">
        <f>IFERROR(__xludf.DUMMYFUNCTION("""COMPUTED_VALUE"""),-1.0)</f>
        <v>-1</v>
      </c>
      <c r="AR355" s="16">
        <f>IFERROR(__xludf.DUMMYFUNCTION("""COMPUTED_VALUE"""),2.0)</f>
        <v>2</v>
      </c>
      <c r="AS355" s="16">
        <f>IFERROR(__xludf.DUMMYFUNCTION("""COMPUTED_VALUE"""),-2.0)</f>
        <v>-2</v>
      </c>
      <c r="AT355" s="16"/>
      <c r="AU355" s="16">
        <f>IFERROR(__xludf.DUMMYFUNCTION("""COMPUTED_VALUE"""),2.0)</f>
        <v>2</v>
      </c>
      <c r="AV355" s="16">
        <f>IFERROR(__xludf.DUMMYFUNCTION("""COMPUTED_VALUE"""),4.0)</f>
        <v>4</v>
      </c>
      <c r="AW355" s="16">
        <f>IFERROR(__xludf.DUMMYFUNCTION("""COMPUTED_VALUE"""),2.0)</f>
        <v>2</v>
      </c>
      <c r="AX355" s="16">
        <f>IFERROR(__xludf.DUMMYFUNCTION("""COMPUTED_VALUE"""),2.0)</f>
        <v>2</v>
      </c>
      <c r="AY355" s="16">
        <f>IFERROR(__xludf.DUMMYFUNCTION("""COMPUTED_VALUE"""),0.0)</f>
        <v>0</v>
      </c>
      <c r="AZ355" s="16">
        <f>IFERROR(__xludf.DUMMYFUNCTION("""COMPUTED_VALUE"""),6.0)</f>
        <v>6</v>
      </c>
      <c r="BA355" s="16">
        <f>IFERROR(__xludf.DUMMYFUNCTION("""COMPUTED_VALUE"""),0.0)</f>
        <v>0</v>
      </c>
      <c r="BB355" s="16">
        <f>IFERROR(__xludf.DUMMYFUNCTION("""COMPUTED_VALUE"""),0.0)</f>
        <v>0</v>
      </c>
      <c r="BC355" s="16">
        <f>IFERROR(__xludf.DUMMYFUNCTION("""COMPUTED_VALUE"""),5.0)</f>
        <v>5</v>
      </c>
      <c r="BD355" s="16">
        <f>IFERROR(__xludf.DUMMYFUNCTION("""COMPUTED_VALUE"""),0.0)</f>
        <v>0</v>
      </c>
      <c r="BE355" s="16">
        <f>IFERROR(__xludf.DUMMYFUNCTION("""COMPUTED_VALUE"""),1.0)</f>
        <v>1</v>
      </c>
      <c r="BF355" s="16">
        <f>IFERROR(__xludf.DUMMYFUNCTION("""COMPUTED_VALUE"""),0.0)</f>
        <v>0</v>
      </c>
      <c r="BG355" s="16">
        <f>IFERROR(__xludf.DUMMYFUNCTION("""COMPUTED_VALUE"""),1.0)</f>
        <v>1</v>
      </c>
      <c r="BH355" s="16">
        <f>IFERROR(__xludf.DUMMYFUNCTION("""COMPUTED_VALUE"""),0.0)</f>
        <v>0</v>
      </c>
      <c r="BI355" s="16">
        <f>IFERROR(__xludf.DUMMYFUNCTION("""COMPUTED_VALUE"""),2.0)</f>
        <v>2</v>
      </c>
      <c r="BJ355" s="16">
        <f>IFERROR(__xludf.DUMMYFUNCTION("""COMPUTED_VALUE"""),14.0)</f>
        <v>14</v>
      </c>
      <c r="BK355" s="16">
        <f>IFERROR(__xludf.DUMMYFUNCTION("""COMPUTED_VALUE"""),20.0)</f>
        <v>20</v>
      </c>
      <c r="BL355" s="16">
        <f>IFERROR(__xludf.DUMMYFUNCTION("""COMPUTED_VALUE"""),0.0)</f>
        <v>0</v>
      </c>
      <c r="BM355" s="16">
        <f>IFERROR(__xludf.DUMMYFUNCTION("""COMPUTED_VALUE"""),-2.0)</f>
        <v>-2</v>
      </c>
      <c r="BN355" s="16">
        <f>IFERROR(__xludf.DUMMYFUNCTION("""COMPUTED_VALUE"""),0.0)</f>
        <v>0</v>
      </c>
      <c r="BO355" s="16">
        <f>IFERROR(__xludf.DUMMYFUNCTION("""COMPUTED_VALUE"""),-4.0)</f>
        <v>-4</v>
      </c>
      <c r="BP355" s="16">
        <f>IFERROR(__xludf.DUMMYFUNCTION("""COMPUTED_VALUE"""),7.0)</f>
        <v>7</v>
      </c>
      <c r="BQ355" s="16">
        <f>IFERROR(__xludf.DUMMYFUNCTION("""COMPUTED_VALUE"""),-11.0)</f>
        <v>-11</v>
      </c>
      <c r="BR355" s="16">
        <f>IFERROR(__xludf.DUMMYFUNCTION("""COMPUTED_VALUE"""),-4.0)</f>
        <v>-4</v>
      </c>
      <c r="BS355" s="16" t="str">
        <f>IFERROR(__xludf.DUMMYFUNCTION("""COMPUTED_VALUE"""),"2/- (20-6)")</f>
        <v>2/- (20-6)</v>
      </c>
      <c r="BT355" s="16" t="str">
        <f>IFERROR(__xludf.DUMMYFUNCTION("""COMPUTED_VALUE"""),"E")</f>
        <v>E</v>
      </c>
      <c r="BU355" s="16">
        <f>IFERROR(__xludf.DUMMYFUNCTION("""COMPUTED_VALUE"""),13.0)</f>
        <v>13</v>
      </c>
      <c r="BV355" s="16">
        <f>IFERROR(__xludf.DUMMYFUNCTION("""COMPUTED_VALUE"""),0.0)</f>
        <v>0</v>
      </c>
      <c r="BW355" s="16">
        <f>IFERROR(__xludf.DUMMYFUNCTION("""COMPUTED_VALUE"""),1.0)</f>
        <v>1</v>
      </c>
      <c r="BX355" s="16">
        <f>IFERROR(__xludf.DUMMYFUNCTION("""COMPUTED_VALUE"""),0.0)</f>
        <v>0</v>
      </c>
      <c r="BY355" s="16">
        <f>IFERROR(__xludf.DUMMYFUNCTION("""COMPUTED_VALUE"""),3.0)</f>
        <v>3</v>
      </c>
      <c r="BZ355" s="16" t="str">
        <f>IFERROR(__xludf.DUMMYFUNCTION("""COMPUTED_VALUE"""),"D")</f>
        <v>D</v>
      </c>
      <c r="CA355" s="16" t="str">
        <f>IFERROR(__xludf.DUMMYFUNCTION("""COMPUTED_VALUE"""),"D")</f>
        <v>D</v>
      </c>
      <c r="CB355" s="16">
        <f>IFERROR(__xludf.DUMMYFUNCTION("""COMPUTED_VALUE"""),0.0)</f>
        <v>0</v>
      </c>
      <c r="CC355" s="16">
        <f>IFERROR(__xludf.DUMMYFUNCTION("""COMPUTED_VALUE"""),0.0)</f>
        <v>0</v>
      </c>
      <c r="CD355" s="16">
        <f>IFERROR(__xludf.DUMMYFUNCTION("""COMPUTED_VALUE"""),0.0)</f>
        <v>0</v>
      </c>
      <c r="CE355" s="16">
        <f>IFERROR(__xludf.DUMMYFUNCTION("""COMPUTED_VALUE"""),0.0)</f>
        <v>0</v>
      </c>
      <c r="CF355" s="16">
        <f>IFERROR(__xludf.DUMMYFUNCTION("""COMPUTED_VALUE"""),1.0)</f>
        <v>1</v>
      </c>
      <c r="CG355" s="16">
        <f>IFERROR(__xludf.DUMMYFUNCTION("""COMPUTED_VALUE"""),15.0)</f>
        <v>15</v>
      </c>
      <c r="CH355" s="16">
        <f>IFERROR(__xludf.DUMMYFUNCTION("""COMPUTED_VALUE"""),-28.0)</f>
        <v>-28</v>
      </c>
      <c r="CI355" s="179">
        <f>IFERROR(__xludf.DUMMYFUNCTION("""COMPUTED_VALUE"""),-15.0)</f>
        <v>-15</v>
      </c>
      <c r="CJ355" s="16"/>
      <c r="CK355" s="16"/>
      <c r="CL355" s="16"/>
      <c r="CM355" s="16"/>
      <c r="CN355" s="16"/>
      <c r="CO355" s="16"/>
      <c r="CP355" s="16"/>
      <c r="CQ355" s="16">
        <f>IFERROR(__xludf.DUMMYFUNCTION("""COMPUTED_VALUE"""),504.0)</f>
        <v>504</v>
      </c>
      <c r="CR355" s="16" t="str">
        <f>IFERROR(__xludf.DUMMYFUNCTION("""COMPUTED_VALUE"""),"rf-5(-2)e4")</f>
        <v>rf-5(-2)e4</v>
      </c>
      <c r="CS355" s="16"/>
      <c r="CT355" s="16"/>
      <c r="CU355" s="16"/>
      <c r="CV355" s="16"/>
      <c r="CW355" s="16"/>
      <c r="CX355" s="16"/>
      <c r="CY355" s="16"/>
      <c r="CZ355" s="16">
        <f>IFERROR(__xludf.DUMMYFUNCTION("""COMPUTED_VALUE"""),5.0)</f>
        <v>5</v>
      </c>
      <c r="DA355" s="16"/>
      <c r="DB355" s="16"/>
      <c r="DC355" s="16"/>
      <c r="DD355" s="16"/>
      <c r="DE355" s="16"/>
      <c r="DF355" s="16"/>
      <c r="DG355" s="16"/>
      <c r="DH355" s="16">
        <f>IFERROR(__xludf.DUMMYFUNCTION("""COMPUTED_VALUE"""),4.0)</f>
        <v>4</v>
      </c>
      <c r="DI355" s="16"/>
      <c r="DJ355" s="16"/>
      <c r="DK355" s="16"/>
      <c r="DL355" s="16"/>
      <c r="DM355" s="16"/>
      <c r="DN355" s="16"/>
      <c r="DO355" s="16"/>
      <c r="DP355" s="16">
        <f>IFERROR(__xludf.DUMMYFUNCTION("""COMPUTED_VALUE"""),-3.0)</f>
        <v>-3</v>
      </c>
      <c r="DQ355" s="16"/>
      <c r="DR355" s="16"/>
      <c r="DS355" s="16"/>
      <c r="DT355" s="16"/>
      <c r="DU355" s="16"/>
      <c r="DV355" s="16"/>
      <c r="DW355" s="16"/>
      <c r="DX355" s="16">
        <f>IFERROR(__xludf.DUMMYFUNCTION("""COMPUTED_VALUE"""),2.0)</f>
        <v>2</v>
      </c>
      <c r="DY355" s="16"/>
      <c r="DZ355" s="16"/>
      <c r="EA355" s="16"/>
      <c r="EB355" s="16"/>
      <c r="EC355" s="16"/>
      <c r="ED355" s="16"/>
      <c r="EE355" s="16"/>
      <c r="EF355" s="16">
        <f>IFERROR(__xludf.DUMMYFUNCTION("""COMPUTED_VALUE"""),-1.0)</f>
        <v>-1</v>
      </c>
      <c r="EG355" s="179"/>
      <c r="EH355" s="179"/>
      <c r="EI355" s="179"/>
      <c r="EJ355" s="179"/>
      <c r="EK355" s="179"/>
      <c r="EL355" s="179"/>
      <c r="EM355" s="179"/>
      <c r="EN355" s="179">
        <f>IFERROR(__xludf.DUMMYFUNCTION("""COMPUTED_VALUE"""),-16.0)</f>
        <v>-16</v>
      </c>
      <c r="EO355" s="16"/>
      <c r="EP355" s="16"/>
      <c r="EQ355" s="16">
        <f>IFERROR(__xludf.DUMMYFUNCTION("""COMPUTED_VALUE"""),4.0)</f>
        <v>4</v>
      </c>
      <c r="ER355" s="16">
        <f>IFERROR(__xludf.DUMMYFUNCTION("""COMPUTED_VALUE"""),-2.0)</f>
        <v>-2</v>
      </c>
      <c r="ES355" s="16"/>
      <c r="ET355" s="16"/>
      <c r="EU355" s="16"/>
      <c r="EV355" s="16"/>
      <c r="EW355" s="16"/>
      <c r="EX355" s="180"/>
      <c r="EY355" s="180"/>
      <c r="EZ355" s="180"/>
      <c r="FA355" s="180"/>
      <c r="FB355" s="180"/>
      <c r="FC355" s="180"/>
      <c r="FD355" s="180"/>
      <c r="FE355" s="180">
        <f>IFERROR(__xludf.DUMMYFUNCTION("""COMPUTED_VALUE"""),0.75)</f>
        <v>0.75</v>
      </c>
      <c r="FF355" s="180"/>
      <c r="FG355" s="180"/>
      <c r="FH355" s="180"/>
      <c r="FI355" s="180"/>
      <c r="FJ355" s="180"/>
      <c r="FK355" s="180"/>
      <c r="FL355" s="180"/>
      <c r="FM355" s="180">
        <f>IFERROR(__xludf.DUMMYFUNCTION("""COMPUTED_VALUE"""),0.069)</f>
        <v>0.069</v>
      </c>
      <c r="FN355" s="16"/>
      <c r="FO355" s="16"/>
      <c r="FP355" s="16"/>
      <c r="FQ355" s="16"/>
      <c r="FR355" s="16"/>
      <c r="FS355" s="16"/>
      <c r="FT355" s="16"/>
      <c r="FU355" s="16">
        <f>IFERROR(__xludf.DUMMYFUNCTION("""COMPUTED_VALUE"""),0.23275)</f>
        <v>0.23275</v>
      </c>
      <c r="FV355" s="16"/>
      <c r="FW355" s="16"/>
      <c r="FX355" s="16"/>
      <c r="FY355" s="16"/>
      <c r="FZ355" s="16"/>
      <c r="GA355" s="16"/>
      <c r="GB355" s="16"/>
      <c r="GC355" s="16">
        <f>IFERROR(__xludf.DUMMYFUNCTION("""COMPUTED_VALUE"""),-8.0)</f>
        <v>-8</v>
      </c>
      <c r="GD355" s="16" t="s">
        <v>176</v>
      </c>
    </row>
    <row r="356">
      <c r="A356" s="16">
        <f>IFERROR(__xludf.DUMMYFUNCTION("""COMPUTED_VALUE"""),13272.0)</f>
        <v>13272</v>
      </c>
      <c r="B356" s="16" t="str">
        <f>IFERROR(__xludf.DUMMYFUNCTION("""COMPUTED_VALUE"""),"Patrick Bailey")</f>
        <v>Patrick Bailey</v>
      </c>
      <c r="C356" s="16">
        <f>IFERROR(__xludf.DUMMYFUNCTION("""COMPUTED_VALUE"""),1.17)</f>
        <v>1.17</v>
      </c>
      <c r="D356" s="16" t="str">
        <f>IFERROR(__xludf.DUMMYFUNCTION("""COMPUTED_VALUE"""),"S")</f>
        <v>S</v>
      </c>
      <c r="E356" s="16"/>
      <c r="F356" s="16"/>
      <c r="G356" s="16">
        <f>IFERROR(__xludf.DUMMYFUNCTION("""COMPUTED_VALUE"""),401.0)</f>
        <v>401</v>
      </c>
      <c r="H356" s="16">
        <f>IFERROR(__xludf.DUMMYFUNCTION("""COMPUTED_VALUE"""),39.0)</f>
        <v>39</v>
      </c>
      <c r="I356" s="16" t="str">
        <f>IFERROR(__xludf.DUMMYFUNCTION("""COMPUTED_VALUE"""),"3p60")</f>
        <v>3p60</v>
      </c>
      <c r="J356" s="16">
        <f>IFERROR(__xludf.DUMMYFUNCTION("""COMPUTED_VALUE"""),49.0)</f>
        <v>49</v>
      </c>
      <c r="K356" s="16">
        <f>IFERROR(__xludf.DUMMYFUNCTION("""COMPUTED_VALUE"""),19.0)</f>
        <v>19</v>
      </c>
      <c r="L356" s="16">
        <f>IFERROR(__xludf.DUMMYFUNCTION("""COMPUTED_VALUE"""),-2.0)</f>
        <v>-2</v>
      </c>
      <c r="M356" s="16">
        <f>IFERROR(__xludf.DUMMYFUNCTION("""COMPUTED_VALUE"""),1.0)</f>
        <v>1</v>
      </c>
      <c r="N356" s="16">
        <f>IFERROR(__xludf.DUMMYFUNCTION("""COMPUTED_VALUE"""),-2.0)</f>
        <v>-2</v>
      </c>
      <c r="O356" s="16">
        <f>IFERROR(__xludf.DUMMYFUNCTION("""COMPUTED_VALUE"""),1.0)</f>
        <v>1</v>
      </c>
      <c r="P356" s="16">
        <f>IFERROR(__xludf.DUMMYFUNCTION("""COMPUTED_VALUE"""),7.0)</f>
        <v>7</v>
      </c>
      <c r="Q356" s="16">
        <f>IFERROR(__xludf.DUMMYFUNCTION("""COMPUTED_VALUE"""),10.0)</f>
        <v>10</v>
      </c>
      <c r="R356" s="16">
        <f>IFERROR(__xludf.DUMMYFUNCTION("""COMPUTED_VALUE"""),-1.0)</f>
        <v>-1</v>
      </c>
      <c r="S356" s="16">
        <f>IFERROR(__xludf.DUMMYFUNCTION("""COMPUTED_VALUE"""),0.0)</f>
        <v>0</v>
      </c>
      <c r="T356" s="16">
        <f>IFERROR(__xludf.DUMMYFUNCTION("""COMPUTED_VALUE"""),-1.0)</f>
        <v>-1</v>
      </c>
      <c r="U356" s="16">
        <f>IFERROR(__xludf.DUMMYFUNCTION("""COMPUTED_VALUE"""),0.0)</f>
        <v>0</v>
      </c>
      <c r="V356" s="16">
        <f>IFERROR(__xludf.DUMMYFUNCTION("""COMPUTED_VALUE"""),7.5)</f>
        <v>7.5</v>
      </c>
      <c r="W356" s="16">
        <f>IFERROR(__xludf.DUMMYFUNCTION("""COMPUTED_VALUE"""),20.9)</f>
        <v>20.9</v>
      </c>
      <c r="X356" s="16">
        <f>IFERROR(__xludf.DUMMYFUNCTION("""COMPUTED_VALUE"""),-2.0)</f>
        <v>-2</v>
      </c>
      <c r="Y356" s="16">
        <f>IFERROR(__xludf.DUMMYFUNCTION("""COMPUTED_VALUE"""),0.0)</f>
        <v>0</v>
      </c>
      <c r="Z356" s="16">
        <f>IFERROR(__xludf.DUMMYFUNCTION("""COMPUTED_VALUE"""),-4.0)</f>
        <v>-4</v>
      </c>
      <c r="AA356" s="16">
        <f>IFERROR(__xludf.DUMMYFUNCTION("""COMPUTED_VALUE"""),0.0)</f>
        <v>0</v>
      </c>
      <c r="AB356" s="16">
        <f>IFERROR(__xludf.DUMMYFUNCTION("""COMPUTED_VALUE"""),14.5)</f>
        <v>14.5</v>
      </c>
      <c r="AC356" s="16">
        <f>IFERROR(__xludf.DUMMYFUNCTION("""COMPUTED_VALUE"""),30.9)</f>
        <v>30.9</v>
      </c>
      <c r="AD356" s="16">
        <f>IFERROR(__xludf.DUMMYFUNCTION("""COMPUTED_VALUE"""),-2.0)</f>
        <v>-2</v>
      </c>
      <c r="AE356" s="16">
        <f>IFERROR(__xludf.DUMMYFUNCTION("""COMPUTED_VALUE"""),0.0)</f>
        <v>0</v>
      </c>
      <c r="AF356" s="16">
        <f>IFERROR(__xludf.DUMMYFUNCTION("""COMPUTED_VALUE"""),-10.0)</f>
        <v>-10</v>
      </c>
      <c r="AG356" s="16">
        <f>IFERROR(__xludf.DUMMYFUNCTION("""COMPUTED_VALUE"""),0.0)</f>
        <v>0</v>
      </c>
      <c r="AH356" s="16">
        <f>IFERROR(__xludf.DUMMYFUNCTION("""COMPUTED_VALUE"""),8.5)</f>
        <v>8.5</v>
      </c>
      <c r="AI356" s="16">
        <f>IFERROR(__xludf.DUMMYFUNCTION("""COMPUTED_VALUE"""),26.9)</f>
        <v>26.9</v>
      </c>
      <c r="AJ356" s="16">
        <f>IFERROR(__xludf.DUMMYFUNCTION("""COMPUTED_VALUE"""),-2.0)</f>
        <v>-2</v>
      </c>
      <c r="AK356" s="16">
        <f>IFERROR(__xludf.DUMMYFUNCTION("""COMPUTED_VALUE"""),-1.0)</f>
        <v>-1</v>
      </c>
      <c r="AL356" s="16">
        <f>IFERROR(__xludf.DUMMYFUNCTION("""COMPUTED_VALUE"""),-10.0)</f>
        <v>-10</v>
      </c>
      <c r="AM356" s="16">
        <f>IFERROR(__xludf.DUMMYFUNCTION("""COMPUTED_VALUE"""),-5.0)</f>
        <v>-5</v>
      </c>
      <c r="AN356" s="16">
        <f>IFERROR(__xludf.DUMMYFUNCTION("""COMPUTED_VALUE"""),0.0)</f>
        <v>0</v>
      </c>
      <c r="AO356" s="16">
        <f>IFERROR(__xludf.DUMMYFUNCTION("""COMPUTED_VALUE"""),1.0)</f>
        <v>1</v>
      </c>
      <c r="AP356" s="16">
        <f>IFERROR(__xludf.DUMMYFUNCTION("""COMPUTED_VALUE"""),-2.0)</f>
        <v>-2</v>
      </c>
      <c r="AQ356" s="16">
        <f>IFERROR(__xludf.DUMMYFUNCTION("""COMPUTED_VALUE"""),-2.0)</f>
        <v>-2</v>
      </c>
      <c r="AR356" s="16">
        <f>IFERROR(__xludf.DUMMYFUNCTION("""COMPUTED_VALUE"""),-4.0)</f>
        <v>-4</v>
      </c>
      <c r="AS356" s="16">
        <f>IFERROR(__xludf.DUMMYFUNCTION("""COMPUTED_VALUE"""),-4.0)</f>
        <v>-4</v>
      </c>
      <c r="AT356" s="16"/>
      <c r="AU356" s="16">
        <f>IFERROR(__xludf.DUMMYFUNCTION("""COMPUTED_VALUE"""),2.0)</f>
        <v>2</v>
      </c>
      <c r="AV356" s="16">
        <f>IFERROR(__xludf.DUMMYFUNCTION("""COMPUTED_VALUE"""),-3.0)</f>
        <v>-3</v>
      </c>
      <c r="AW356" s="16">
        <f>IFERROR(__xludf.DUMMYFUNCTION("""COMPUTED_VALUE"""),2.0)</f>
        <v>2</v>
      </c>
      <c r="AX356" s="16">
        <f>IFERROR(__xludf.DUMMYFUNCTION("""COMPUTED_VALUE"""),-3.0)</f>
        <v>-3</v>
      </c>
      <c r="AY356" s="16">
        <f>IFERROR(__xludf.DUMMYFUNCTION("""COMPUTED_VALUE"""),0.0)</f>
        <v>0</v>
      </c>
      <c r="AZ356" s="16">
        <f>IFERROR(__xludf.DUMMYFUNCTION("""COMPUTED_VALUE"""),-9.0)</f>
        <v>-9</v>
      </c>
      <c r="BA356" s="16">
        <f>IFERROR(__xludf.DUMMYFUNCTION("""COMPUTED_VALUE"""),0.0)</f>
        <v>0</v>
      </c>
      <c r="BB356" s="16">
        <f>IFERROR(__xludf.DUMMYFUNCTION("""COMPUTED_VALUE"""),5.0)</f>
        <v>5</v>
      </c>
      <c r="BC356" s="16">
        <f>IFERROR(__xludf.DUMMYFUNCTION("""COMPUTED_VALUE"""),5.0)</f>
        <v>5</v>
      </c>
      <c r="BD356" s="16">
        <f>IFERROR(__xludf.DUMMYFUNCTION("""COMPUTED_VALUE"""),1.0)</f>
        <v>1</v>
      </c>
      <c r="BE356" s="16">
        <f>IFERROR(__xludf.DUMMYFUNCTION("""COMPUTED_VALUE"""),1.0)</f>
        <v>1</v>
      </c>
      <c r="BF356" s="16">
        <f>IFERROR(__xludf.DUMMYFUNCTION("""COMPUTED_VALUE"""),1.0)</f>
        <v>1</v>
      </c>
      <c r="BG356" s="16">
        <f>IFERROR(__xludf.DUMMYFUNCTION("""COMPUTED_VALUE"""),1.0)</f>
        <v>1</v>
      </c>
      <c r="BH356" s="16">
        <f>IFERROR(__xludf.DUMMYFUNCTION("""COMPUTED_VALUE"""),-2.0)</f>
        <v>-2</v>
      </c>
      <c r="BI356" s="16">
        <f>IFERROR(__xludf.DUMMYFUNCTION("""COMPUTED_VALUE"""),-2.0)</f>
        <v>-2</v>
      </c>
      <c r="BJ356" s="16">
        <f>IFERROR(__xludf.DUMMYFUNCTION("""COMPUTED_VALUE"""),16.0)</f>
        <v>16</v>
      </c>
      <c r="BK356" s="16">
        <f>IFERROR(__xludf.DUMMYFUNCTION("""COMPUTED_VALUE"""),19.0)</f>
        <v>19</v>
      </c>
      <c r="BL356" s="16">
        <f>IFERROR(__xludf.DUMMYFUNCTION("""COMPUTED_VALUE"""),-1.0)</f>
        <v>-1</v>
      </c>
      <c r="BM356" s="16">
        <f>IFERROR(__xludf.DUMMYFUNCTION("""COMPUTED_VALUE"""),-1.0)</f>
        <v>-1</v>
      </c>
      <c r="BN356" s="16">
        <f>IFERROR(__xludf.DUMMYFUNCTION("""COMPUTED_VALUE"""),-2.0)</f>
        <v>-2</v>
      </c>
      <c r="BO356" s="16">
        <f>IFERROR(__xludf.DUMMYFUNCTION("""COMPUTED_VALUE"""),-2.0)</f>
        <v>-2</v>
      </c>
      <c r="BP356" s="16">
        <f>IFERROR(__xludf.DUMMYFUNCTION("""COMPUTED_VALUE"""),-14.0)</f>
        <v>-14</v>
      </c>
      <c r="BQ356" s="16">
        <f>IFERROR(__xludf.DUMMYFUNCTION("""COMPUTED_VALUE"""),-2.0)</f>
        <v>-2</v>
      </c>
      <c r="BR356" s="16">
        <f>IFERROR(__xludf.DUMMYFUNCTION("""COMPUTED_VALUE"""),-16.0)</f>
        <v>-16</v>
      </c>
      <c r="BS356" s="16" t="str">
        <f>IFERROR(__xludf.DUMMYFUNCTION("""COMPUTED_VALUE"""),"2/- (20-6)")</f>
        <v>2/- (20-6)</v>
      </c>
      <c r="BT356" s="16" t="str">
        <f>IFERROR(__xludf.DUMMYFUNCTION("""COMPUTED_VALUE"""),"C")</f>
        <v>C</v>
      </c>
      <c r="BU356" s="16">
        <f>IFERROR(__xludf.DUMMYFUNCTION("""COMPUTED_VALUE"""),10.0)</f>
        <v>10</v>
      </c>
      <c r="BV356" s="16">
        <f>IFERROR(__xludf.DUMMYFUNCTION("""COMPUTED_VALUE"""),0.0)</f>
        <v>0</v>
      </c>
      <c r="BW356" s="16">
        <f>IFERROR(__xludf.DUMMYFUNCTION("""COMPUTED_VALUE"""),0.0)</f>
        <v>0</v>
      </c>
      <c r="BX356" s="16">
        <f>IFERROR(__xludf.DUMMYFUNCTION("""COMPUTED_VALUE"""),0.0)</f>
        <v>0</v>
      </c>
      <c r="BY356" s="16">
        <f>IFERROR(__xludf.DUMMYFUNCTION("""COMPUTED_VALUE"""),0.0)</f>
        <v>0</v>
      </c>
      <c r="BZ356" s="16" t="str">
        <f>IFERROR(__xludf.DUMMYFUNCTION("""COMPUTED_VALUE"""),"D")</f>
        <v>D</v>
      </c>
      <c r="CA356" s="16" t="str">
        <f>IFERROR(__xludf.DUMMYFUNCTION("""COMPUTED_VALUE"""),"C")</f>
        <v>C</v>
      </c>
      <c r="CB356" s="16">
        <f>IFERROR(__xludf.DUMMYFUNCTION("""COMPUTED_VALUE"""),0.0)</f>
        <v>0</v>
      </c>
      <c r="CC356" s="16">
        <f>IFERROR(__xludf.DUMMYFUNCTION("""COMPUTED_VALUE"""),0.0)</f>
        <v>0</v>
      </c>
      <c r="CD356" s="16">
        <f>IFERROR(__xludf.DUMMYFUNCTION("""COMPUTED_VALUE"""),0.0)</f>
        <v>0</v>
      </c>
      <c r="CE356" s="16">
        <f>IFERROR(__xludf.DUMMYFUNCTION("""COMPUTED_VALUE"""),0.0)</f>
        <v>0</v>
      </c>
      <c r="CF356" s="16">
        <f>IFERROR(__xludf.DUMMYFUNCTION("""COMPUTED_VALUE"""),3.0)</f>
        <v>3</v>
      </c>
      <c r="CG356" s="16">
        <f>IFERROR(__xludf.DUMMYFUNCTION("""COMPUTED_VALUE"""),-41.0)</f>
        <v>-41</v>
      </c>
      <c r="CH356" s="16">
        <f>IFERROR(__xludf.DUMMYFUNCTION("""COMPUTED_VALUE"""),-9.0)</f>
        <v>-9</v>
      </c>
      <c r="CI356" s="179">
        <f>IFERROR(__xludf.DUMMYFUNCTION("""COMPUTED_VALUE"""),-15.0)</f>
        <v>-15</v>
      </c>
      <c r="CJ356" s="16">
        <f>IFERROR(__xludf.DUMMYFUNCTION("""COMPUTED_VALUE"""),102.0)</f>
        <v>102</v>
      </c>
      <c r="CK356" s="16"/>
      <c r="CL356" s="16"/>
      <c r="CM356" s="16"/>
      <c r="CN356" s="16"/>
      <c r="CO356" s="16"/>
      <c r="CP356" s="16"/>
      <c r="CQ356" s="16"/>
      <c r="CR356" s="16" t="str">
        <f>IFERROR(__xludf.DUMMYFUNCTION("""COMPUTED_VALUE"""),"c-1(-2)e2,T-3(pb-4)")</f>
        <v>c-1(-2)e2,T-3(pb-4)</v>
      </c>
      <c r="CS356" s="16">
        <f>IFERROR(__xludf.DUMMYFUNCTION("""COMPUTED_VALUE"""),1.0)</f>
        <v>1</v>
      </c>
      <c r="CT356" s="16"/>
      <c r="CU356" s="16"/>
      <c r="CV356" s="16"/>
      <c r="CW356" s="16"/>
      <c r="CX356" s="16"/>
      <c r="CY356" s="16"/>
      <c r="CZ356" s="16"/>
      <c r="DA356" s="16">
        <f>IFERROR(__xludf.DUMMYFUNCTION("""COMPUTED_VALUE"""),2.0)</f>
        <v>2</v>
      </c>
      <c r="DB356" s="16"/>
      <c r="DC356" s="16"/>
      <c r="DD356" s="16"/>
      <c r="DE356" s="16"/>
      <c r="DF356" s="16"/>
      <c r="DG356" s="16"/>
      <c r="DH356" s="16"/>
      <c r="DI356" s="16">
        <f>IFERROR(__xludf.DUMMYFUNCTION("""COMPUTED_VALUE"""),4.0)</f>
        <v>4</v>
      </c>
      <c r="DJ356" s="16"/>
      <c r="DK356" s="16"/>
      <c r="DL356" s="16"/>
      <c r="DM356" s="16"/>
      <c r="DN356" s="16"/>
      <c r="DO356" s="16"/>
      <c r="DP356" s="16"/>
      <c r="DQ356" s="16">
        <f>IFERROR(__xludf.DUMMYFUNCTION("""COMPUTED_VALUE"""),4.0)</f>
        <v>4</v>
      </c>
      <c r="DR356" s="16"/>
      <c r="DS356" s="16"/>
      <c r="DT356" s="16"/>
      <c r="DU356" s="16"/>
      <c r="DV356" s="16"/>
      <c r="DW356" s="16"/>
      <c r="DX356" s="16"/>
      <c r="DY356" s="16">
        <f>IFERROR(__xludf.DUMMYFUNCTION("""COMPUTED_VALUE"""),8.0)</f>
        <v>8</v>
      </c>
      <c r="DZ356" s="16"/>
      <c r="EA356" s="16"/>
      <c r="EB356" s="16"/>
      <c r="EC356" s="16"/>
      <c r="ED356" s="16"/>
      <c r="EE356" s="16"/>
      <c r="EF356" s="16"/>
      <c r="EG356" s="179">
        <f>IFERROR(__xludf.DUMMYFUNCTION("""COMPUTED_VALUE"""),-9.0)</f>
        <v>-9</v>
      </c>
      <c r="EH356" s="179"/>
      <c r="EI356" s="179"/>
      <c r="EJ356" s="179"/>
      <c r="EK356" s="179"/>
      <c r="EL356" s="179"/>
      <c r="EM356" s="179"/>
      <c r="EN356" s="179"/>
      <c r="EO356" s="16">
        <f>IFERROR(__xludf.DUMMYFUNCTION("""COMPUTED_VALUE"""),-2.0)</f>
        <v>-2</v>
      </c>
      <c r="EP356" s="16"/>
      <c r="EQ356" s="16">
        <f>IFERROR(__xludf.DUMMYFUNCTION("""COMPUTED_VALUE"""),1.0)</f>
        <v>1</v>
      </c>
      <c r="ER356" s="16">
        <f>IFERROR(__xludf.DUMMYFUNCTION("""COMPUTED_VALUE"""),1.0)</f>
        <v>1</v>
      </c>
      <c r="ES356" s="16" t="str">
        <f>IFERROR(__xludf.DUMMYFUNCTION("""COMPUTED_VALUE"""),"c-1")</f>
        <v>c-1</v>
      </c>
      <c r="ET356" s="16" t="str">
        <f>IFERROR(__xludf.DUMMYFUNCTION("""COMPUTED_VALUE"""),"-2)e2,T-3")</f>
        <v>-2)e2,T-3</v>
      </c>
      <c r="EU356" s="16" t="str">
        <f>IFERROR(__xludf.DUMMYFUNCTION("""COMPUTED_VALUE"""),"pb-4)")</f>
        <v>pb-4)</v>
      </c>
      <c r="EV356" s="16"/>
      <c r="EW356" s="16">
        <f>IFERROR(__xludf.DUMMYFUNCTION("""COMPUTED_VALUE"""),-2.0)</f>
        <v>-2</v>
      </c>
      <c r="EX356" s="180">
        <f>IFERROR(__xludf.DUMMYFUNCTION("""COMPUTED_VALUE"""),0.0)</f>
        <v>0</v>
      </c>
      <c r="EY356" s="180"/>
      <c r="EZ356" s="180"/>
      <c r="FA356" s="180"/>
      <c r="FB356" s="180"/>
      <c r="FC356" s="180"/>
      <c r="FD356" s="180"/>
      <c r="FE356" s="180"/>
      <c r="FF356" s="180">
        <f>IFERROR(__xludf.DUMMYFUNCTION("""COMPUTED_VALUE"""),0.024)</f>
        <v>0.024</v>
      </c>
      <c r="FG356" s="180"/>
      <c r="FH356" s="180"/>
      <c r="FI356" s="180"/>
      <c r="FJ356" s="180"/>
      <c r="FK356" s="180"/>
      <c r="FL356" s="180"/>
      <c r="FM356" s="180"/>
      <c r="FN356" s="16">
        <f>IFERROR(__xludf.DUMMYFUNCTION("""COMPUTED_VALUE"""),0.976)</f>
        <v>0.976</v>
      </c>
      <c r="FO356" s="16"/>
      <c r="FP356" s="16"/>
      <c r="FQ356" s="16"/>
      <c r="FR356" s="16"/>
      <c r="FS356" s="16"/>
      <c r="FT356" s="16"/>
      <c r="FU356" s="16"/>
      <c r="FV356" s="16">
        <f>IFERROR(__xludf.DUMMYFUNCTION("""COMPUTED_VALUE"""),10.0)</f>
        <v>10</v>
      </c>
      <c r="FW356" s="16"/>
      <c r="FX356" s="16"/>
      <c r="FY356" s="16"/>
      <c r="FZ356" s="16"/>
      <c r="GA356" s="16"/>
      <c r="GB356" s="16"/>
      <c r="GC356" s="16"/>
      <c r="GD356" s="16" t="s">
        <v>176</v>
      </c>
    </row>
    <row r="357">
      <c r="A357" s="16">
        <f>IFERROR(__xludf.DUMMYFUNCTION("""COMPUTED_VALUE"""),12864.0)</f>
        <v>12864</v>
      </c>
      <c r="B357" s="16" t="str">
        <f>IFERROR(__xludf.DUMMYFUNCTION("""COMPUTED_VALUE"""),"Harold Ramirez")</f>
        <v>Harold Ramirez</v>
      </c>
      <c r="C357" s="16">
        <f>IFERROR(__xludf.DUMMYFUNCTION("""COMPUTED_VALUE"""),0.0)</f>
        <v>0</v>
      </c>
      <c r="D357" s="16" t="str">
        <f>IFERROR(__xludf.DUMMYFUNCTION("""COMPUTED_VALUE"""),"R")</f>
        <v>R</v>
      </c>
      <c r="E357" s="16"/>
      <c r="F357" s="16"/>
      <c r="G357" s="16">
        <f>IFERROR(__xludf.DUMMYFUNCTION("""COMPUTED_VALUE"""),238.0)</f>
        <v>238</v>
      </c>
      <c r="H357" s="16">
        <f>IFERROR(__xludf.DUMMYFUNCTION("""COMPUTED_VALUE"""),5.0)</f>
        <v>5</v>
      </c>
      <c r="I357" s="16" t="str">
        <f>IFERROR(__xludf.DUMMYFUNCTION("""COMPUTED_VALUE"""),"1p40")</f>
        <v>1p40</v>
      </c>
      <c r="J357" s="16">
        <f>IFERROR(__xludf.DUMMYFUNCTION("""COMPUTED_VALUE"""),15.0)</f>
        <v>15</v>
      </c>
      <c r="K357" s="16">
        <f>IFERROR(__xludf.DUMMYFUNCTION("""COMPUTED_VALUE"""),20.0)</f>
        <v>20</v>
      </c>
      <c r="L357" s="16">
        <f>IFERROR(__xludf.DUMMYFUNCTION("""COMPUTED_VALUE"""),1.0)</f>
        <v>1</v>
      </c>
      <c r="M357" s="16">
        <f>IFERROR(__xludf.DUMMYFUNCTION("""COMPUTED_VALUE"""),0.0)</f>
        <v>0</v>
      </c>
      <c r="N357" s="16">
        <f>IFERROR(__xludf.DUMMYFUNCTION("""COMPUTED_VALUE"""),1.0)</f>
        <v>1</v>
      </c>
      <c r="O357" s="16">
        <f>IFERROR(__xludf.DUMMYFUNCTION("""COMPUTED_VALUE"""),0.0)</f>
        <v>0</v>
      </c>
      <c r="P357" s="16">
        <f>IFERROR(__xludf.DUMMYFUNCTION("""COMPUTED_VALUE"""),0.0)</f>
        <v>0</v>
      </c>
      <c r="Q357" s="16">
        <f>IFERROR(__xludf.DUMMYFUNCTION("""COMPUTED_VALUE"""),0.0)</f>
        <v>0</v>
      </c>
      <c r="R357" s="16">
        <f>IFERROR(__xludf.DUMMYFUNCTION("""COMPUTED_VALUE"""),-3.0)</f>
        <v>-3</v>
      </c>
      <c r="S357" s="16">
        <f>IFERROR(__xludf.DUMMYFUNCTION("""COMPUTED_VALUE"""),-2.0)</f>
        <v>-2</v>
      </c>
      <c r="T357" s="16">
        <f>IFERROR(__xludf.DUMMYFUNCTION("""COMPUTED_VALUE"""),-3.0)</f>
        <v>-3</v>
      </c>
      <c r="U357" s="16">
        <f>IFERROR(__xludf.DUMMYFUNCTION("""COMPUTED_VALUE"""),-2.0)</f>
        <v>-2</v>
      </c>
      <c r="V357" s="16">
        <f>IFERROR(__xludf.DUMMYFUNCTION("""COMPUTED_VALUE"""),30.4)</f>
        <v>30.4</v>
      </c>
      <c r="W357" s="16">
        <f>IFERROR(__xludf.DUMMYFUNCTION("""COMPUTED_VALUE"""),22.9)</f>
        <v>22.9</v>
      </c>
      <c r="X357" s="16">
        <f>IFERROR(__xludf.DUMMYFUNCTION("""COMPUTED_VALUE"""),2.0)</f>
        <v>2</v>
      </c>
      <c r="Y357" s="16">
        <f>IFERROR(__xludf.DUMMYFUNCTION("""COMPUTED_VALUE"""),1.0)</f>
        <v>1</v>
      </c>
      <c r="Z357" s="16">
        <f>IFERROR(__xludf.DUMMYFUNCTION("""COMPUTED_VALUE"""),4.0)</f>
        <v>4</v>
      </c>
      <c r="AA357" s="16">
        <f>IFERROR(__xludf.DUMMYFUNCTION("""COMPUTED_VALUE"""),2.0)</f>
        <v>2</v>
      </c>
      <c r="AB357" s="16">
        <f>IFERROR(__xludf.DUMMYFUNCTION("""COMPUTED_VALUE"""),32.3)</f>
        <v>32.3</v>
      </c>
      <c r="AC357" s="16">
        <f>IFERROR(__xludf.DUMMYFUNCTION("""COMPUTED_VALUE"""),24.9)</f>
        <v>24.9</v>
      </c>
      <c r="AD357" s="16">
        <f>IFERROR(__xludf.DUMMYFUNCTION("""COMPUTED_VALUE"""),0.0)</f>
        <v>0</v>
      </c>
      <c r="AE357" s="16">
        <f>IFERROR(__xludf.DUMMYFUNCTION("""COMPUTED_VALUE"""),-1.0)</f>
        <v>-1</v>
      </c>
      <c r="AF357" s="16">
        <f>IFERROR(__xludf.DUMMYFUNCTION("""COMPUTED_VALUE"""),0.0)</f>
        <v>0</v>
      </c>
      <c r="AG357" s="16">
        <f>IFERROR(__xludf.DUMMYFUNCTION("""COMPUTED_VALUE"""),-5.0)</f>
        <v>-5</v>
      </c>
      <c r="AH357" s="16">
        <f>IFERROR(__xludf.DUMMYFUNCTION("""COMPUTED_VALUE"""),33.0)</f>
        <v>33</v>
      </c>
      <c r="AI357" s="16">
        <f>IFERROR(__xludf.DUMMYFUNCTION("""COMPUTED_VALUE"""),26.2)</f>
        <v>26.2</v>
      </c>
      <c r="AJ357" s="16">
        <f>IFERROR(__xludf.DUMMYFUNCTION("""COMPUTED_VALUE"""),0.0)</f>
        <v>0</v>
      </c>
      <c r="AK357" s="16">
        <f>IFERROR(__xludf.DUMMYFUNCTION("""COMPUTED_VALUE"""),-1.0)</f>
        <v>-1</v>
      </c>
      <c r="AL357" s="16">
        <f>IFERROR(__xludf.DUMMYFUNCTION("""COMPUTED_VALUE"""),0.0)</f>
        <v>0</v>
      </c>
      <c r="AM357" s="16">
        <f>IFERROR(__xludf.DUMMYFUNCTION("""COMPUTED_VALUE"""),-5.0)</f>
        <v>-5</v>
      </c>
      <c r="AN357" s="16">
        <f>IFERROR(__xludf.DUMMYFUNCTION("""COMPUTED_VALUE"""),0.9)</f>
        <v>0.9</v>
      </c>
      <c r="AO357" s="16">
        <f>IFERROR(__xludf.DUMMYFUNCTION("""COMPUTED_VALUE"""),0.0)</f>
        <v>0</v>
      </c>
      <c r="AP357" s="16">
        <f>IFERROR(__xludf.DUMMYFUNCTION("""COMPUTED_VALUE"""),-2.0)</f>
        <v>-2</v>
      </c>
      <c r="AQ357" s="16">
        <f>IFERROR(__xludf.DUMMYFUNCTION("""COMPUTED_VALUE"""),-3.0)</f>
        <v>-3</v>
      </c>
      <c r="AR357" s="16">
        <f>IFERROR(__xludf.DUMMYFUNCTION("""COMPUTED_VALUE"""),-4.0)</f>
        <v>-4</v>
      </c>
      <c r="AS357" s="16">
        <f>IFERROR(__xludf.DUMMYFUNCTION("""COMPUTED_VALUE"""),-6.0)</f>
        <v>-6</v>
      </c>
      <c r="AT357" s="16">
        <f>IFERROR(__xludf.DUMMYFUNCTION("""COMPUTED_VALUE"""),0.0)</f>
        <v>0</v>
      </c>
      <c r="AU357" s="16"/>
      <c r="AV357" s="16">
        <f>IFERROR(__xludf.DUMMYFUNCTION("""COMPUTED_VALUE"""),0.0)</f>
        <v>0</v>
      </c>
      <c r="AW357" s="16">
        <f>IFERROR(__xludf.DUMMYFUNCTION("""COMPUTED_VALUE"""),-3.0)</f>
        <v>-3</v>
      </c>
      <c r="AX357" s="16">
        <f>IFERROR(__xludf.DUMMYFUNCTION("""COMPUTED_VALUE"""),-2.0)</f>
        <v>-2</v>
      </c>
      <c r="AY357" s="16">
        <f>IFERROR(__xludf.DUMMYFUNCTION("""COMPUTED_VALUE"""),-3.0)</f>
        <v>-3</v>
      </c>
      <c r="AZ357" s="16">
        <f>IFERROR(__xludf.DUMMYFUNCTION("""COMPUTED_VALUE"""),-6.0)</f>
        <v>-6</v>
      </c>
      <c r="BA357" s="16">
        <f>IFERROR(__xludf.DUMMYFUNCTION("""COMPUTED_VALUE"""),-9.0)</f>
        <v>-9</v>
      </c>
      <c r="BB357" s="16">
        <f>IFERROR(__xludf.DUMMYFUNCTION("""COMPUTED_VALUE"""),5.0)</f>
        <v>5</v>
      </c>
      <c r="BC357" s="16">
        <f>IFERROR(__xludf.DUMMYFUNCTION("""COMPUTED_VALUE"""),5.0)</f>
        <v>5</v>
      </c>
      <c r="BD357" s="16">
        <f>IFERROR(__xludf.DUMMYFUNCTION("""COMPUTED_VALUE"""),1.0)</f>
        <v>1</v>
      </c>
      <c r="BE357" s="16">
        <f>IFERROR(__xludf.DUMMYFUNCTION("""COMPUTED_VALUE"""),1.0)</f>
        <v>1</v>
      </c>
      <c r="BF357" s="16">
        <f>IFERROR(__xludf.DUMMYFUNCTION("""COMPUTED_VALUE"""),1.0)</f>
        <v>1</v>
      </c>
      <c r="BG357" s="16">
        <f>IFERROR(__xludf.DUMMYFUNCTION("""COMPUTED_VALUE"""),1.0)</f>
        <v>1</v>
      </c>
      <c r="BH357" s="16">
        <f>IFERROR(__xludf.DUMMYFUNCTION("""COMPUTED_VALUE"""),8.0)</f>
        <v>8</v>
      </c>
      <c r="BI357" s="16">
        <f>IFERROR(__xludf.DUMMYFUNCTION("""COMPUTED_VALUE"""),8.0)</f>
        <v>8</v>
      </c>
      <c r="BJ357" s="16">
        <f>IFERROR(__xludf.DUMMYFUNCTION("""COMPUTED_VALUE"""),4.0)</f>
        <v>4</v>
      </c>
      <c r="BK357" s="16">
        <f>IFERROR(__xludf.DUMMYFUNCTION("""COMPUTED_VALUE"""),4.0)</f>
        <v>4</v>
      </c>
      <c r="BL357" s="16">
        <f>IFERROR(__xludf.DUMMYFUNCTION("""COMPUTED_VALUE"""),1.0)</f>
        <v>1</v>
      </c>
      <c r="BM357" s="16">
        <f>IFERROR(__xludf.DUMMYFUNCTION("""COMPUTED_VALUE"""),1.0)</f>
        <v>1</v>
      </c>
      <c r="BN357" s="16">
        <f>IFERROR(__xludf.DUMMYFUNCTION("""COMPUTED_VALUE"""),1.0)</f>
        <v>1</v>
      </c>
      <c r="BO357" s="16">
        <f>IFERROR(__xludf.DUMMYFUNCTION("""COMPUTED_VALUE"""),1.0)</f>
        <v>1</v>
      </c>
      <c r="BP357" s="16">
        <f>IFERROR(__xludf.DUMMYFUNCTION("""COMPUTED_VALUE"""),-2.0)</f>
        <v>-2</v>
      </c>
      <c r="BQ357" s="16">
        <f>IFERROR(__xludf.DUMMYFUNCTION("""COMPUTED_VALUE"""),-7.0)</f>
        <v>-7</v>
      </c>
      <c r="BR357" s="16">
        <f>IFERROR(__xludf.DUMMYFUNCTION("""COMPUTED_VALUE"""),-9.0)</f>
        <v>-9</v>
      </c>
      <c r="BS357" s="16" t="str">
        <f>IFERROR(__xludf.DUMMYFUNCTION("""COMPUTED_VALUE"""),"*5,6/- (17-12)")</f>
        <v>*5,6/- (17-12)</v>
      </c>
      <c r="BT357" s="16" t="str">
        <f>IFERROR(__xludf.DUMMYFUNCTION("""COMPUTED_VALUE"""),"B")</f>
        <v>B</v>
      </c>
      <c r="BU357" s="16">
        <f>IFERROR(__xludf.DUMMYFUNCTION("""COMPUTED_VALUE"""),13.0)</f>
        <v>13</v>
      </c>
      <c r="BV357" s="16">
        <f>IFERROR(__xludf.DUMMYFUNCTION("""COMPUTED_VALUE"""),1.0)</f>
        <v>1</v>
      </c>
      <c r="BW357" s="16">
        <f>IFERROR(__xludf.DUMMYFUNCTION("""COMPUTED_VALUE"""),1.0)</f>
        <v>1</v>
      </c>
      <c r="BX357" s="16">
        <f>IFERROR(__xludf.DUMMYFUNCTION("""COMPUTED_VALUE"""),2.0)</f>
        <v>2</v>
      </c>
      <c r="BY357" s="16">
        <f>IFERROR(__xludf.DUMMYFUNCTION("""COMPUTED_VALUE"""),3.0)</f>
        <v>3</v>
      </c>
      <c r="BZ357" s="16" t="str">
        <f>IFERROR(__xludf.DUMMYFUNCTION("""COMPUTED_VALUE"""),"D")</f>
        <v>D</v>
      </c>
      <c r="CA357" s="16" t="str">
        <f>IFERROR(__xludf.DUMMYFUNCTION("""COMPUTED_VALUE"""),"C")</f>
        <v>C</v>
      </c>
      <c r="CB357" s="16">
        <f>IFERROR(__xludf.DUMMYFUNCTION("""COMPUTED_VALUE"""),0.0)</f>
        <v>0</v>
      </c>
      <c r="CC357" s="16">
        <f>IFERROR(__xludf.DUMMYFUNCTION("""COMPUTED_VALUE"""),0.0)</f>
        <v>0</v>
      </c>
      <c r="CD357" s="16">
        <f>IFERROR(__xludf.DUMMYFUNCTION("""COMPUTED_VALUE"""),0.0)</f>
        <v>0</v>
      </c>
      <c r="CE357" s="16">
        <f>IFERROR(__xludf.DUMMYFUNCTION("""COMPUTED_VALUE"""),0.0)</f>
        <v>0</v>
      </c>
      <c r="CF357" s="16">
        <f>IFERROR(__xludf.DUMMYFUNCTION("""COMPUTED_VALUE"""),1.0)</f>
        <v>1</v>
      </c>
      <c r="CG357" s="16">
        <f>IFERROR(__xludf.DUMMYFUNCTION("""COMPUTED_VALUE"""),-6.0)</f>
        <v>-6</v>
      </c>
      <c r="CH357" s="16">
        <f>IFERROR(__xludf.DUMMYFUNCTION("""COMPUTED_VALUE"""),-23.0)</f>
        <v>-23</v>
      </c>
      <c r="CI357" s="179">
        <f>IFERROR(__xludf.DUMMYFUNCTION("""COMPUTED_VALUE"""),-15.0)</f>
        <v>-15</v>
      </c>
      <c r="CJ357" s="16"/>
      <c r="CK357" s="16"/>
      <c r="CL357" s="16"/>
      <c r="CM357" s="16"/>
      <c r="CN357" s="16"/>
      <c r="CO357" s="16">
        <f>IFERROR(__xludf.DUMMYFUNCTION("""COMPUTED_VALUE"""),504.0)</f>
        <v>504</v>
      </c>
      <c r="CP357" s="16"/>
      <c r="CQ357" s="16">
        <f>IFERROR(__xludf.DUMMYFUNCTION("""COMPUTED_VALUE"""),504.0)</f>
        <v>504</v>
      </c>
      <c r="CR357" s="16" t="str">
        <f>IFERROR(__xludf.DUMMYFUNCTION("""COMPUTED_VALUE"""),"lf-5(+3)e4 rf-5e4")</f>
        <v>lf-5(+3)e4 rf-5e4</v>
      </c>
      <c r="CS357" s="16"/>
      <c r="CT357" s="16"/>
      <c r="CU357" s="16"/>
      <c r="CV357" s="16"/>
      <c r="CW357" s="16"/>
      <c r="CX357" s="16">
        <f>IFERROR(__xludf.DUMMYFUNCTION("""COMPUTED_VALUE"""),5.0)</f>
        <v>5</v>
      </c>
      <c r="CY357" s="16"/>
      <c r="CZ357" s="16">
        <f>IFERROR(__xludf.DUMMYFUNCTION("""COMPUTED_VALUE"""),5.0)</f>
        <v>5</v>
      </c>
      <c r="DA357" s="16"/>
      <c r="DB357" s="16"/>
      <c r="DC357" s="16"/>
      <c r="DD357" s="16"/>
      <c r="DE357" s="16"/>
      <c r="DF357" s="16">
        <f>IFERROR(__xludf.DUMMYFUNCTION("""COMPUTED_VALUE"""),4.0)</f>
        <v>4</v>
      </c>
      <c r="DG357" s="16"/>
      <c r="DH357" s="16">
        <f>IFERROR(__xludf.DUMMYFUNCTION("""COMPUTED_VALUE"""),4.0)</f>
        <v>4</v>
      </c>
      <c r="DI357" s="16"/>
      <c r="DJ357" s="16"/>
      <c r="DK357" s="16"/>
      <c r="DL357" s="16"/>
      <c r="DM357" s="16"/>
      <c r="DN357" s="16">
        <f>IFERROR(__xludf.DUMMYFUNCTION("""COMPUTED_VALUE"""),-3.0)</f>
        <v>-3</v>
      </c>
      <c r="DO357" s="16"/>
      <c r="DP357" s="16">
        <f>IFERROR(__xludf.DUMMYFUNCTION("""COMPUTED_VALUE"""),-3.0)</f>
        <v>-3</v>
      </c>
      <c r="DQ357" s="16"/>
      <c r="DR357" s="16"/>
      <c r="DS357" s="16"/>
      <c r="DT357" s="16"/>
      <c r="DU357" s="16"/>
      <c r="DV357" s="16">
        <f>IFERROR(__xludf.DUMMYFUNCTION("""COMPUTED_VALUE"""),2.0)</f>
        <v>2</v>
      </c>
      <c r="DW357" s="16"/>
      <c r="DX357" s="16">
        <f>IFERROR(__xludf.DUMMYFUNCTION("""COMPUTED_VALUE"""),2.0)</f>
        <v>2</v>
      </c>
      <c r="DY357" s="16"/>
      <c r="DZ357" s="16"/>
      <c r="EA357" s="16"/>
      <c r="EB357" s="16"/>
      <c r="EC357" s="16"/>
      <c r="ED357" s="16">
        <f>IFERROR(__xludf.DUMMYFUNCTION("""COMPUTED_VALUE"""),-1.0)</f>
        <v>-1</v>
      </c>
      <c r="EE357" s="16"/>
      <c r="EF357" s="16">
        <f>IFERROR(__xludf.DUMMYFUNCTION("""COMPUTED_VALUE"""),-1.0)</f>
        <v>-1</v>
      </c>
      <c r="EG357" s="179"/>
      <c r="EH357" s="179"/>
      <c r="EI357" s="179"/>
      <c r="EJ357" s="179"/>
      <c r="EK357" s="179"/>
      <c r="EL357" s="179">
        <f>IFERROR(__xludf.DUMMYFUNCTION("""COMPUTED_VALUE"""),-16.0)</f>
        <v>-16</v>
      </c>
      <c r="EM357" s="179"/>
      <c r="EN357" s="179">
        <f>IFERROR(__xludf.DUMMYFUNCTION("""COMPUTED_VALUE"""),-16.0)</f>
        <v>-16</v>
      </c>
      <c r="EO357" s="16"/>
      <c r="EP357" s="16">
        <f>IFERROR(__xludf.DUMMYFUNCTION("""COMPUTED_VALUE"""),4.0)</f>
        <v>4</v>
      </c>
      <c r="EQ357" s="16">
        <f>IFERROR(__xludf.DUMMYFUNCTION("""COMPUTED_VALUE"""),4.0)</f>
        <v>4</v>
      </c>
      <c r="ER357" s="16">
        <f>IFERROR(__xludf.DUMMYFUNCTION("""COMPUTED_VALUE"""),-1.0)</f>
        <v>-1</v>
      </c>
      <c r="ES357" s="16"/>
      <c r="ET357" s="16"/>
      <c r="EU357" s="16"/>
      <c r="EV357" s="16"/>
      <c r="EW357" s="16"/>
      <c r="EX357" s="180"/>
      <c r="EY357" s="180"/>
      <c r="EZ357" s="180"/>
      <c r="FA357" s="180"/>
      <c r="FB357" s="180"/>
      <c r="FC357" s="180">
        <f>IFERROR(__xludf.DUMMYFUNCTION("""COMPUTED_VALUE"""),0.75)</f>
        <v>0.75</v>
      </c>
      <c r="FD357" s="180"/>
      <c r="FE357" s="180">
        <f>IFERROR(__xludf.DUMMYFUNCTION("""COMPUTED_VALUE"""),0.75)</f>
        <v>0.75</v>
      </c>
      <c r="FF357" s="180"/>
      <c r="FG357" s="180"/>
      <c r="FH357" s="180"/>
      <c r="FI357" s="180"/>
      <c r="FJ357" s="180"/>
      <c r="FK357" s="180">
        <f>IFERROR(__xludf.DUMMYFUNCTION("""COMPUTED_VALUE"""),0.069)</f>
        <v>0.069</v>
      </c>
      <c r="FL357" s="180"/>
      <c r="FM357" s="180">
        <f>IFERROR(__xludf.DUMMYFUNCTION("""COMPUTED_VALUE"""),0.069)</f>
        <v>0.069</v>
      </c>
      <c r="FN357" s="16"/>
      <c r="FO357" s="16"/>
      <c r="FP357" s="16"/>
      <c r="FQ357" s="16"/>
      <c r="FR357" s="16"/>
      <c r="FS357" s="16">
        <f>IFERROR(__xludf.DUMMYFUNCTION("""COMPUTED_VALUE"""),0.23275)</f>
        <v>0.23275</v>
      </c>
      <c r="FT357" s="16"/>
      <c r="FU357" s="16">
        <f>IFERROR(__xludf.DUMMYFUNCTION("""COMPUTED_VALUE"""),0.23275)</f>
        <v>0.23275</v>
      </c>
      <c r="FV357" s="16"/>
      <c r="FW357" s="16"/>
      <c r="FX357" s="16"/>
      <c r="FY357" s="16"/>
      <c r="FZ357" s="16"/>
      <c r="GA357" s="16">
        <f>IFERROR(__xludf.DUMMYFUNCTION("""COMPUTED_VALUE"""),-12.0)</f>
        <v>-12</v>
      </c>
      <c r="GB357" s="16"/>
      <c r="GC357" s="16">
        <f>IFERROR(__xludf.DUMMYFUNCTION("""COMPUTED_VALUE"""),-12.0)</f>
        <v>-12</v>
      </c>
      <c r="GD357" s="16" t="s">
        <v>176</v>
      </c>
    </row>
    <row r="358">
      <c r="A358" s="16">
        <f>IFERROR(__xludf.DUMMYFUNCTION("""COMPUTED_VALUE"""),13006.0)</f>
        <v>13006</v>
      </c>
      <c r="B358" s="16" t="str">
        <f>IFERROR(__xludf.DUMMYFUNCTION("""COMPUTED_VALUE"""),"Jorge Mateo")</f>
        <v>Jorge Mateo</v>
      </c>
      <c r="C358" s="16">
        <f>IFERROR(__xludf.DUMMYFUNCTION("""COMPUTED_VALUE"""),1.25)</f>
        <v>1.25</v>
      </c>
      <c r="D358" s="16" t="str">
        <f>IFERROR(__xludf.DUMMYFUNCTION("""COMPUTED_VALUE"""),"R")</f>
        <v>R</v>
      </c>
      <c r="E358" s="16"/>
      <c r="F358" s="16"/>
      <c r="G358" s="16">
        <f>IFERROR(__xludf.DUMMYFUNCTION("""COMPUTED_VALUE"""),192.0)</f>
        <v>192</v>
      </c>
      <c r="H358" s="16">
        <f>IFERROR(__xludf.DUMMYFUNCTION("""COMPUTED_VALUE"""),10.0)</f>
        <v>10</v>
      </c>
      <c r="I358" s="16" t="str">
        <f>IFERROR(__xludf.DUMMYFUNCTION("""COMPUTED_VALUE"""),"5p30")</f>
        <v>5p30</v>
      </c>
      <c r="J358" s="16">
        <f>IFERROR(__xludf.DUMMYFUNCTION("""COMPUTED_VALUE"""),29.0)</f>
        <v>29</v>
      </c>
      <c r="K358" s="16">
        <f>IFERROR(__xludf.DUMMYFUNCTION("""COMPUTED_VALUE"""),24.0)</f>
        <v>24</v>
      </c>
      <c r="L358" s="16">
        <f>IFERROR(__xludf.DUMMYFUNCTION("""COMPUTED_VALUE"""),0.0)</f>
        <v>0</v>
      </c>
      <c r="M358" s="16">
        <f>IFERROR(__xludf.DUMMYFUNCTION("""COMPUTED_VALUE"""),0.0)</f>
        <v>0</v>
      </c>
      <c r="N358" s="16">
        <f>IFERROR(__xludf.DUMMYFUNCTION("""COMPUTED_VALUE"""),0.0)</f>
        <v>0</v>
      </c>
      <c r="O358" s="16">
        <f>IFERROR(__xludf.DUMMYFUNCTION("""COMPUTED_VALUE"""),0.0)</f>
        <v>0</v>
      </c>
      <c r="P358" s="16">
        <f>IFERROR(__xludf.DUMMYFUNCTION("""COMPUTED_VALUE"""),3.0)</f>
        <v>3</v>
      </c>
      <c r="Q358" s="16">
        <f>IFERROR(__xludf.DUMMYFUNCTION("""COMPUTED_VALUE"""),2.0)</f>
        <v>2</v>
      </c>
      <c r="R358" s="16">
        <f>IFERROR(__xludf.DUMMYFUNCTION("""COMPUTED_VALUE"""),-2.0)</f>
        <v>-2</v>
      </c>
      <c r="S358" s="16">
        <f>IFERROR(__xludf.DUMMYFUNCTION("""COMPUTED_VALUE"""),-2.0)</f>
        <v>-2</v>
      </c>
      <c r="T358" s="16">
        <f>IFERROR(__xludf.DUMMYFUNCTION("""COMPUTED_VALUE"""),-2.0)</f>
        <v>-2</v>
      </c>
      <c r="U358" s="16">
        <f>IFERROR(__xludf.DUMMYFUNCTION("""COMPUTED_VALUE"""),-2.0)</f>
        <v>-2</v>
      </c>
      <c r="V358" s="16">
        <f>IFERROR(__xludf.DUMMYFUNCTION("""COMPUTED_VALUE"""),23.5)</f>
        <v>23.5</v>
      </c>
      <c r="W358" s="16">
        <f>IFERROR(__xludf.DUMMYFUNCTION("""COMPUTED_VALUE"""),14.3)</f>
        <v>14.3</v>
      </c>
      <c r="X358" s="16">
        <f>IFERROR(__xludf.DUMMYFUNCTION("""COMPUTED_VALUE"""),1.0)</f>
        <v>1</v>
      </c>
      <c r="Y358" s="16">
        <f>IFERROR(__xludf.DUMMYFUNCTION("""COMPUTED_VALUE"""),-1.0)</f>
        <v>-1</v>
      </c>
      <c r="Z358" s="16">
        <f>IFERROR(__xludf.DUMMYFUNCTION("""COMPUTED_VALUE"""),2.0)</f>
        <v>2</v>
      </c>
      <c r="AA358" s="16">
        <f>IFERROR(__xludf.DUMMYFUNCTION("""COMPUTED_VALUE"""),-2.0)</f>
        <v>-2</v>
      </c>
      <c r="AB358" s="16">
        <f>IFERROR(__xludf.DUMMYFUNCTION("""COMPUTED_VALUE"""),27.5)</f>
        <v>27.5</v>
      </c>
      <c r="AC358" s="16">
        <f>IFERROR(__xludf.DUMMYFUNCTION("""COMPUTED_VALUE"""),17.3)</f>
        <v>17.3</v>
      </c>
      <c r="AD358" s="16">
        <f>IFERROR(__xludf.DUMMYFUNCTION("""COMPUTED_VALUE"""),0.0)</f>
        <v>0</v>
      </c>
      <c r="AE358" s="16">
        <f>IFERROR(__xludf.DUMMYFUNCTION("""COMPUTED_VALUE"""),-2.0)</f>
        <v>-2</v>
      </c>
      <c r="AF358" s="16">
        <f>IFERROR(__xludf.DUMMYFUNCTION("""COMPUTED_VALUE"""),0.0)</f>
        <v>0</v>
      </c>
      <c r="AG358" s="16">
        <f>IFERROR(__xludf.DUMMYFUNCTION("""COMPUTED_VALUE"""),-10.0)</f>
        <v>-10</v>
      </c>
      <c r="AH358" s="16">
        <f>IFERROR(__xludf.DUMMYFUNCTION("""COMPUTED_VALUE"""),48.0)</f>
        <v>48</v>
      </c>
      <c r="AI358" s="16">
        <f>IFERROR(__xludf.DUMMYFUNCTION("""COMPUTED_VALUE"""),24.6)</f>
        <v>24.6</v>
      </c>
      <c r="AJ358" s="16">
        <f>IFERROR(__xludf.DUMMYFUNCTION("""COMPUTED_VALUE"""),1.0)</f>
        <v>1</v>
      </c>
      <c r="AK358" s="16">
        <f>IFERROR(__xludf.DUMMYFUNCTION("""COMPUTED_VALUE"""),-1.0)</f>
        <v>-1</v>
      </c>
      <c r="AL358" s="16">
        <f>IFERROR(__xludf.DUMMYFUNCTION("""COMPUTED_VALUE"""),5.0)</f>
        <v>5</v>
      </c>
      <c r="AM358" s="16">
        <f>IFERROR(__xludf.DUMMYFUNCTION("""COMPUTED_VALUE"""),-5.0)</f>
        <v>-5</v>
      </c>
      <c r="AN358" s="16">
        <f>IFERROR(__xludf.DUMMYFUNCTION("""COMPUTED_VALUE"""),2.2)</f>
        <v>2.2</v>
      </c>
      <c r="AO358" s="16">
        <f>IFERROR(__xludf.DUMMYFUNCTION("""COMPUTED_VALUE"""),0.4)</f>
        <v>0.4</v>
      </c>
      <c r="AP358" s="16">
        <f>IFERROR(__xludf.DUMMYFUNCTION("""COMPUTED_VALUE"""),0.0)</f>
        <v>0</v>
      </c>
      <c r="AQ358" s="16">
        <f>IFERROR(__xludf.DUMMYFUNCTION("""COMPUTED_VALUE"""),-2.0)</f>
        <v>-2</v>
      </c>
      <c r="AR358" s="16">
        <f>IFERROR(__xludf.DUMMYFUNCTION("""COMPUTED_VALUE"""),0.0)</f>
        <v>0</v>
      </c>
      <c r="AS358" s="16">
        <f>IFERROR(__xludf.DUMMYFUNCTION("""COMPUTED_VALUE"""),-4.0)</f>
        <v>-4</v>
      </c>
      <c r="AT358" s="16">
        <f>IFERROR(__xludf.DUMMYFUNCTION("""COMPUTED_VALUE"""),5.0)</f>
        <v>5</v>
      </c>
      <c r="AU358" s="16">
        <f>IFERROR(__xludf.DUMMYFUNCTION("""COMPUTED_VALUE"""),1.0)</f>
        <v>1</v>
      </c>
      <c r="AV358" s="16">
        <f>IFERROR(__xludf.DUMMYFUNCTION("""COMPUTED_VALUE"""),5.0)</f>
        <v>5</v>
      </c>
      <c r="AW358" s="16">
        <f>IFERROR(__xludf.DUMMYFUNCTION("""COMPUTED_VALUE"""),1.0)</f>
        <v>1</v>
      </c>
      <c r="AX358" s="16">
        <f>IFERROR(__xludf.DUMMYFUNCTION("""COMPUTED_VALUE"""),3.0)</f>
        <v>3</v>
      </c>
      <c r="AY358" s="16">
        <f>IFERROR(__xludf.DUMMYFUNCTION("""COMPUTED_VALUE"""),-1.0)</f>
        <v>-1</v>
      </c>
      <c r="AZ358" s="16">
        <f>IFERROR(__xludf.DUMMYFUNCTION("""COMPUTED_VALUE"""),9.0)</f>
        <v>9</v>
      </c>
      <c r="BA358" s="16">
        <f>IFERROR(__xludf.DUMMYFUNCTION("""COMPUTED_VALUE"""),-3.0)</f>
        <v>-3</v>
      </c>
      <c r="BB358" s="16">
        <f>IFERROR(__xludf.DUMMYFUNCTION("""COMPUTED_VALUE"""),5.0)</f>
        <v>5</v>
      </c>
      <c r="BC358" s="16">
        <f>IFERROR(__xludf.DUMMYFUNCTION("""COMPUTED_VALUE"""),5.0)</f>
        <v>5</v>
      </c>
      <c r="BD358" s="16">
        <f>IFERROR(__xludf.DUMMYFUNCTION("""COMPUTED_VALUE"""),1.0)</f>
        <v>1</v>
      </c>
      <c r="BE358" s="16">
        <f>IFERROR(__xludf.DUMMYFUNCTION("""COMPUTED_VALUE"""),1.0)</f>
        <v>1</v>
      </c>
      <c r="BF358" s="16">
        <f>IFERROR(__xludf.DUMMYFUNCTION("""COMPUTED_VALUE"""),1.0)</f>
        <v>1</v>
      </c>
      <c r="BG358" s="16">
        <f>IFERROR(__xludf.DUMMYFUNCTION("""COMPUTED_VALUE"""),1.0)</f>
        <v>1</v>
      </c>
      <c r="BH358" s="16">
        <f>IFERROR(__xludf.DUMMYFUNCTION("""COMPUTED_VALUE"""),-3.0)</f>
        <v>-3</v>
      </c>
      <c r="BI358" s="16">
        <f>IFERROR(__xludf.DUMMYFUNCTION("""COMPUTED_VALUE"""),-4.0)</f>
        <v>-4</v>
      </c>
      <c r="BJ358" s="16">
        <f>IFERROR(__xludf.DUMMYFUNCTION("""COMPUTED_VALUE"""),13.0)</f>
        <v>13</v>
      </c>
      <c r="BK358" s="16">
        <f>IFERROR(__xludf.DUMMYFUNCTION("""COMPUTED_VALUE"""),12.0)</f>
        <v>12</v>
      </c>
      <c r="BL358" s="16">
        <f>IFERROR(__xludf.DUMMYFUNCTION("""COMPUTED_VALUE"""),0.0)</f>
        <v>0</v>
      </c>
      <c r="BM358" s="16">
        <f>IFERROR(__xludf.DUMMYFUNCTION("""COMPUTED_VALUE"""),0.0)</f>
        <v>0</v>
      </c>
      <c r="BN358" s="16">
        <f>IFERROR(__xludf.DUMMYFUNCTION("""COMPUTED_VALUE"""),0.0)</f>
        <v>0</v>
      </c>
      <c r="BO358" s="16">
        <f>IFERROR(__xludf.DUMMYFUNCTION("""COMPUTED_VALUE"""),0.0)</f>
        <v>0</v>
      </c>
      <c r="BP358" s="16">
        <f>IFERROR(__xludf.DUMMYFUNCTION("""COMPUTED_VALUE"""),4.0)</f>
        <v>4</v>
      </c>
      <c r="BQ358" s="16">
        <f>IFERROR(__xludf.DUMMYFUNCTION("""COMPUTED_VALUE"""),-8.0)</f>
        <v>-8</v>
      </c>
      <c r="BR358" s="16">
        <f>IFERROR(__xludf.DUMMYFUNCTION("""COMPUTED_VALUE"""),-4.0)</f>
        <v>-4</v>
      </c>
      <c r="BS358" s="16" t="str">
        <f>IFERROR(__xludf.DUMMYFUNCTION("""COMPUTED_VALUE"""),"*3-6/- (19-15)")</f>
        <v>*3-6/- (19-15)</v>
      </c>
      <c r="BT358" s="16" t="str">
        <f>IFERROR(__xludf.DUMMYFUNCTION("""COMPUTED_VALUE"""),"A")</f>
        <v>A</v>
      </c>
      <c r="BU358" s="16">
        <f>IFERROR(__xludf.DUMMYFUNCTION("""COMPUTED_VALUE"""),17.0)</f>
        <v>17</v>
      </c>
      <c r="BV358" s="16">
        <f>IFERROR(__xludf.DUMMYFUNCTION("""COMPUTED_VALUE"""),2.0)</f>
        <v>2</v>
      </c>
      <c r="BW358" s="16">
        <f>IFERROR(__xludf.DUMMYFUNCTION("""COMPUTED_VALUE"""),3.0)</f>
        <v>3</v>
      </c>
      <c r="BX358" s="16">
        <f>IFERROR(__xludf.DUMMYFUNCTION("""COMPUTED_VALUE"""),4.0)</f>
        <v>4</v>
      </c>
      <c r="BY358" s="16">
        <f>IFERROR(__xludf.DUMMYFUNCTION("""COMPUTED_VALUE"""),9.0)</f>
        <v>9</v>
      </c>
      <c r="BZ358" s="16" t="str">
        <f>IFERROR(__xludf.DUMMYFUNCTION("""COMPUTED_VALUE"""),"C")</f>
        <v>C</v>
      </c>
      <c r="CA358" s="16" t="str">
        <f>IFERROR(__xludf.DUMMYFUNCTION("""COMPUTED_VALUE"""),"C")</f>
        <v>C</v>
      </c>
      <c r="CB358" s="16">
        <f>IFERROR(__xludf.DUMMYFUNCTION("""COMPUTED_VALUE"""),0.0)</f>
        <v>0</v>
      </c>
      <c r="CC358" s="16">
        <f>IFERROR(__xludf.DUMMYFUNCTION("""COMPUTED_VALUE"""),0.0)</f>
        <v>0</v>
      </c>
      <c r="CD358" s="16">
        <f>IFERROR(__xludf.DUMMYFUNCTION("""COMPUTED_VALUE"""),0.0)</f>
        <v>0</v>
      </c>
      <c r="CE358" s="16">
        <f>IFERROR(__xludf.DUMMYFUNCTION("""COMPUTED_VALUE"""),0.0)</f>
        <v>0</v>
      </c>
      <c r="CF358" s="16">
        <f>IFERROR(__xludf.DUMMYFUNCTION("""COMPUTED_VALUE"""),5.0)</f>
        <v>5</v>
      </c>
      <c r="CG358" s="16">
        <f>IFERROR(__xludf.DUMMYFUNCTION("""COMPUTED_VALUE"""),15.0)</f>
        <v>15</v>
      </c>
      <c r="CH358" s="16">
        <f>IFERROR(__xludf.DUMMYFUNCTION("""COMPUTED_VALUE"""),-25.0)</f>
        <v>-25</v>
      </c>
      <c r="CI358" s="179">
        <f>IFERROR(__xludf.DUMMYFUNCTION("""COMPUTED_VALUE"""),-16.0)</f>
        <v>-16</v>
      </c>
      <c r="CJ358" s="16"/>
      <c r="CK358" s="16"/>
      <c r="CL358" s="16">
        <f>IFERROR(__xludf.DUMMYFUNCTION("""COMPUTED_VALUE"""),213.0)</f>
        <v>213</v>
      </c>
      <c r="CM358" s="16"/>
      <c r="CN358" s="16">
        <f>IFERROR(__xludf.DUMMYFUNCTION("""COMPUTED_VALUE"""),218.0)</f>
        <v>218</v>
      </c>
      <c r="CO358" s="16"/>
      <c r="CP358" s="16">
        <f>IFERROR(__xludf.DUMMYFUNCTION("""COMPUTED_VALUE"""),412.0)</f>
        <v>412</v>
      </c>
      <c r="CQ358" s="16"/>
      <c r="CR358" s="16" t="str">
        <f>IFERROR(__xludf.DUMMYFUNCTION("""COMPUTED_VALUE"""),"2b-2e13 ss-2e18 cf-4(0)e12")</f>
        <v>2b-2e13 ss-2e18 cf-4(0)e12</v>
      </c>
      <c r="CS358" s="16"/>
      <c r="CT358" s="16"/>
      <c r="CU358" s="16">
        <f>IFERROR(__xludf.DUMMYFUNCTION("""COMPUTED_VALUE"""),2.0)</f>
        <v>2</v>
      </c>
      <c r="CV358" s="16"/>
      <c r="CW358" s="16">
        <f>IFERROR(__xludf.DUMMYFUNCTION("""COMPUTED_VALUE"""),2.0)</f>
        <v>2</v>
      </c>
      <c r="CX358" s="16"/>
      <c r="CY358" s="16">
        <f>IFERROR(__xludf.DUMMYFUNCTION("""COMPUTED_VALUE"""),4.0)</f>
        <v>4</v>
      </c>
      <c r="CZ358" s="16"/>
      <c r="DA358" s="16"/>
      <c r="DB358" s="16"/>
      <c r="DC358" s="16">
        <f>IFERROR(__xludf.DUMMYFUNCTION("""COMPUTED_VALUE"""),13.0)</f>
        <v>13</v>
      </c>
      <c r="DD358" s="16"/>
      <c r="DE358" s="16">
        <f>IFERROR(__xludf.DUMMYFUNCTION("""COMPUTED_VALUE"""),18.0)</f>
        <v>18</v>
      </c>
      <c r="DF358" s="16"/>
      <c r="DG358" s="16">
        <f>IFERROR(__xludf.DUMMYFUNCTION("""COMPUTED_VALUE"""),12.0)</f>
        <v>12</v>
      </c>
      <c r="DH358" s="16"/>
      <c r="DI358" s="16"/>
      <c r="DJ358" s="16"/>
      <c r="DK358" s="16">
        <f>IFERROR(__xludf.DUMMYFUNCTION("""COMPUTED_VALUE"""),2.0)</f>
        <v>2</v>
      </c>
      <c r="DL358" s="16"/>
      <c r="DM358" s="16">
        <f>IFERROR(__xludf.DUMMYFUNCTION("""COMPUTED_VALUE"""),3.0)</f>
        <v>3</v>
      </c>
      <c r="DN358" s="16"/>
      <c r="DO358" s="16">
        <f>IFERROR(__xludf.DUMMYFUNCTION("""COMPUTED_VALUE"""),-2.0)</f>
        <v>-2</v>
      </c>
      <c r="DP358" s="16"/>
      <c r="DQ358" s="16"/>
      <c r="DR358" s="16"/>
      <c r="DS358" s="16">
        <f>IFERROR(__xludf.DUMMYFUNCTION("""COMPUTED_VALUE"""),2.0)</f>
        <v>2</v>
      </c>
      <c r="DT358" s="16"/>
      <c r="DU358" s="16">
        <f>IFERROR(__xludf.DUMMYFUNCTION("""COMPUTED_VALUE"""),2.0)</f>
        <v>2</v>
      </c>
      <c r="DV358" s="16"/>
      <c r="DW358" s="16">
        <f>IFERROR(__xludf.DUMMYFUNCTION("""COMPUTED_VALUE"""),0.0)</f>
        <v>0</v>
      </c>
      <c r="DX358" s="16"/>
      <c r="DY358" s="16"/>
      <c r="DZ358" s="16"/>
      <c r="EA358" s="16">
        <f>IFERROR(__xludf.DUMMYFUNCTION("""COMPUTED_VALUE"""),4.0)</f>
        <v>4</v>
      </c>
      <c r="EB358" s="16"/>
      <c r="EC358" s="16">
        <f>IFERROR(__xludf.DUMMYFUNCTION("""COMPUTED_VALUE"""),5.0)</f>
        <v>5</v>
      </c>
      <c r="ED358" s="16"/>
      <c r="EE358" s="16">
        <f>IFERROR(__xludf.DUMMYFUNCTION("""COMPUTED_VALUE"""),-2.0)</f>
        <v>-2</v>
      </c>
      <c r="EF358" s="16"/>
      <c r="EG358" s="179"/>
      <c r="EH358" s="179"/>
      <c r="EI358" s="179">
        <f>IFERROR(__xludf.DUMMYFUNCTION("""COMPUTED_VALUE"""),-12.0)</f>
        <v>-12</v>
      </c>
      <c r="EJ358" s="179"/>
      <c r="EK358" s="179">
        <f>IFERROR(__xludf.DUMMYFUNCTION("""COMPUTED_VALUE"""),-11.0)</f>
        <v>-11</v>
      </c>
      <c r="EL358" s="179"/>
      <c r="EM358" s="179">
        <f>IFERROR(__xludf.DUMMYFUNCTION("""COMPUTED_VALUE"""),-18.0)</f>
        <v>-18</v>
      </c>
      <c r="EN358" s="179"/>
      <c r="EO358" s="16"/>
      <c r="EP358" s="16">
        <f>IFERROR(__xludf.DUMMYFUNCTION("""COMPUTED_VALUE"""),-1.0)</f>
        <v>-1</v>
      </c>
      <c r="EQ358" s="16">
        <f>IFERROR(__xludf.DUMMYFUNCTION("""COMPUTED_VALUE"""),-2.0)</f>
        <v>-2</v>
      </c>
      <c r="ER358" s="16">
        <f>IFERROR(__xludf.DUMMYFUNCTION("""COMPUTED_VALUE"""),-2.0)</f>
        <v>-2</v>
      </c>
      <c r="ES358" s="16"/>
      <c r="ET358" s="16"/>
      <c r="EU358" s="16"/>
      <c r="EV358" s="16"/>
      <c r="EW358" s="16"/>
      <c r="EX358" s="180"/>
      <c r="EY358" s="180"/>
      <c r="EZ358" s="180">
        <f>IFERROR(__xludf.DUMMYFUNCTION("""COMPUTED_VALUE"""),0.1)</f>
        <v>0.1</v>
      </c>
      <c r="FA358" s="180"/>
      <c r="FB358" s="180">
        <f>IFERROR(__xludf.DUMMYFUNCTION("""COMPUTED_VALUE"""),0.1)</f>
        <v>0.1</v>
      </c>
      <c r="FC358" s="180"/>
      <c r="FD358" s="180">
        <f>IFERROR(__xludf.DUMMYFUNCTION("""COMPUTED_VALUE"""),0.55)</f>
        <v>0.55</v>
      </c>
      <c r="FE358" s="180"/>
      <c r="FF358" s="180"/>
      <c r="FG358" s="180"/>
      <c r="FH358" s="180">
        <f>IFERROR(__xludf.DUMMYFUNCTION("""COMPUTED_VALUE"""),0.0787037037037037)</f>
        <v>0.0787037037</v>
      </c>
      <c r="FI358" s="180"/>
      <c r="FJ358" s="180">
        <f>IFERROR(__xludf.DUMMYFUNCTION("""COMPUTED_VALUE"""),0.09259259259259259)</f>
        <v>0.09259259259</v>
      </c>
      <c r="FK358" s="180"/>
      <c r="FL358" s="180">
        <f>IFERROR(__xludf.DUMMYFUNCTION("""COMPUTED_VALUE"""),0.14351851851851852)</f>
        <v>0.1435185185</v>
      </c>
      <c r="FM358" s="180"/>
      <c r="FN358" s="16"/>
      <c r="FO358" s="16"/>
      <c r="FP358" s="16">
        <f>IFERROR(__xludf.DUMMYFUNCTION("""COMPUTED_VALUE"""),0.8291666666666667)</f>
        <v>0.8291666667</v>
      </c>
      <c r="FQ358" s="16"/>
      <c r="FR358" s="16">
        <f>IFERROR(__xludf.DUMMYFUNCTION("""COMPUTED_VALUE"""),0.8166666666666668)</f>
        <v>0.8166666667</v>
      </c>
      <c r="FS358" s="16"/>
      <c r="FT358" s="16">
        <f>IFERROR(__xludf.DUMMYFUNCTION("""COMPUTED_VALUE"""),0.38541666666666663)</f>
        <v>0.3854166667</v>
      </c>
      <c r="FU358" s="16"/>
      <c r="FV358" s="16"/>
      <c r="FW358" s="16"/>
      <c r="FX358" s="16">
        <f>IFERROR(__xludf.DUMMYFUNCTION("""COMPUTED_VALUE"""),1.0)</f>
        <v>1</v>
      </c>
      <c r="FY358" s="16"/>
      <c r="FZ358" s="16">
        <f>IFERROR(__xludf.DUMMYFUNCTION("""COMPUTED_VALUE"""),1.0)</f>
        <v>1</v>
      </c>
      <c r="GA358" s="16"/>
      <c r="GB358" s="16">
        <f>IFERROR(__xludf.DUMMYFUNCTION("""COMPUTED_VALUE"""),-7.0)</f>
        <v>-7</v>
      </c>
      <c r="GC358" s="16"/>
      <c r="GD358" s="16" t="s">
        <v>176</v>
      </c>
    </row>
    <row r="359">
      <c r="A359" s="16">
        <f>IFERROR(__xludf.DUMMYFUNCTION("""COMPUTED_VALUE"""),12497.0)</f>
        <v>12497</v>
      </c>
      <c r="B359" s="16" t="str">
        <f>IFERROR(__xludf.DUMMYFUNCTION("""COMPUTED_VALUE"""),"Aaron Schunk")</f>
        <v>Aaron Schunk</v>
      </c>
      <c r="C359" s="16">
        <f>IFERROR(__xludf.DUMMYFUNCTION("""COMPUTED_VALUE"""),0.35)</f>
        <v>0.35</v>
      </c>
      <c r="D359" s="16" t="str">
        <f>IFERROR(__xludf.DUMMYFUNCTION("""COMPUTED_VALUE"""),"R")</f>
        <v>R</v>
      </c>
      <c r="E359" s="16"/>
      <c r="F359" s="16"/>
      <c r="G359" s="16">
        <f>IFERROR(__xludf.DUMMYFUNCTION("""COMPUTED_VALUE"""),94.0)</f>
        <v>94</v>
      </c>
      <c r="H359" s="16">
        <f>IFERROR(__xludf.DUMMYFUNCTION("""COMPUTED_VALUE"""),4.0)</f>
        <v>4</v>
      </c>
      <c r="I359" s="16" t="str">
        <f>IFERROR(__xludf.DUMMYFUNCTION("""COMPUTED_VALUE"""),"1p20")</f>
        <v>1p20</v>
      </c>
      <c r="J359" s="16">
        <f>IFERROR(__xludf.DUMMYFUNCTION("""COMPUTED_VALUE"""),58.0)</f>
        <v>58</v>
      </c>
      <c r="K359" s="16">
        <f>IFERROR(__xludf.DUMMYFUNCTION("""COMPUTED_VALUE"""),36.0)</f>
        <v>36</v>
      </c>
      <c r="L359" s="16">
        <f>IFERROR(__xludf.DUMMYFUNCTION("""COMPUTED_VALUE"""),-2.0)</f>
        <v>-2</v>
      </c>
      <c r="M359" s="16">
        <f>IFERROR(__xludf.DUMMYFUNCTION("""COMPUTED_VALUE"""),-1.0)</f>
        <v>-1</v>
      </c>
      <c r="N359" s="16">
        <f>IFERROR(__xludf.DUMMYFUNCTION("""COMPUTED_VALUE"""),-2.0)</f>
        <v>-2</v>
      </c>
      <c r="O359" s="16">
        <f>IFERROR(__xludf.DUMMYFUNCTION("""COMPUTED_VALUE"""),-1.0)</f>
        <v>-1</v>
      </c>
      <c r="P359" s="16">
        <f>IFERROR(__xludf.DUMMYFUNCTION("""COMPUTED_VALUE"""),0.0)</f>
        <v>0</v>
      </c>
      <c r="Q359" s="16">
        <f>IFERROR(__xludf.DUMMYFUNCTION("""COMPUTED_VALUE"""),0.0)</f>
        <v>0</v>
      </c>
      <c r="R359" s="16">
        <f>IFERROR(__xludf.DUMMYFUNCTION("""COMPUTED_VALUE"""),-3.0)</f>
        <v>-3</v>
      </c>
      <c r="S359" s="16">
        <f>IFERROR(__xludf.DUMMYFUNCTION("""COMPUTED_VALUE"""),-2.0)</f>
        <v>-2</v>
      </c>
      <c r="T359" s="16">
        <f>IFERROR(__xludf.DUMMYFUNCTION("""COMPUTED_VALUE"""),-3.0)</f>
        <v>-3</v>
      </c>
      <c r="U359" s="16">
        <f>IFERROR(__xludf.DUMMYFUNCTION("""COMPUTED_VALUE"""),-2.0)</f>
        <v>-2</v>
      </c>
      <c r="V359" s="16">
        <f>IFERROR(__xludf.DUMMYFUNCTION("""COMPUTED_VALUE"""),15.7)</f>
        <v>15.7</v>
      </c>
      <c r="W359" s="16">
        <f>IFERROR(__xludf.DUMMYFUNCTION("""COMPUTED_VALUE"""),22.8)</f>
        <v>22.8</v>
      </c>
      <c r="X359" s="16">
        <f>IFERROR(__xludf.DUMMYFUNCTION("""COMPUTED_VALUE"""),-1.0)</f>
        <v>-1</v>
      </c>
      <c r="Y359" s="16">
        <f>IFERROR(__xludf.DUMMYFUNCTION("""COMPUTED_VALUE"""),1.0)</f>
        <v>1</v>
      </c>
      <c r="Z359" s="16">
        <f>IFERROR(__xludf.DUMMYFUNCTION("""COMPUTED_VALUE"""),-2.0)</f>
        <v>-2</v>
      </c>
      <c r="AA359" s="16">
        <f>IFERROR(__xludf.DUMMYFUNCTION("""COMPUTED_VALUE"""),2.0)</f>
        <v>2</v>
      </c>
      <c r="AB359" s="16">
        <f>IFERROR(__xludf.DUMMYFUNCTION("""COMPUTED_VALUE"""),15.7)</f>
        <v>15.7</v>
      </c>
      <c r="AC359" s="16">
        <f>IFERROR(__xludf.DUMMYFUNCTION("""COMPUTED_VALUE"""),22.8)</f>
        <v>22.8</v>
      </c>
      <c r="AD359" s="16">
        <f>IFERROR(__xludf.DUMMYFUNCTION("""COMPUTED_VALUE"""),-2.0)</f>
        <v>-2</v>
      </c>
      <c r="AE359" s="16">
        <f>IFERROR(__xludf.DUMMYFUNCTION("""COMPUTED_VALUE"""),-1.0)</f>
        <v>-1</v>
      </c>
      <c r="AF359" s="16">
        <f>IFERROR(__xludf.DUMMYFUNCTION("""COMPUTED_VALUE"""),-10.0)</f>
        <v>-10</v>
      </c>
      <c r="AG359" s="16">
        <f>IFERROR(__xludf.DUMMYFUNCTION("""COMPUTED_VALUE"""),-5.0)</f>
        <v>-5</v>
      </c>
      <c r="AH359" s="16">
        <f>IFERROR(__xludf.DUMMYFUNCTION("""COMPUTED_VALUE"""),18.1)</f>
        <v>18.1</v>
      </c>
      <c r="AI359" s="16">
        <f>IFERROR(__xludf.DUMMYFUNCTION("""COMPUTED_VALUE"""),25.6)</f>
        <v>25.6</v>
      </c>
      <c r="AJ359" s="16">
        <f>IFERROR(__xludf.DUMMYFUNCTION("""COMPUTED_VALUE"""),-1.0)</f>
        <v>-1</v>
      </c>
      <c r="AK359" s="16">
        <f>IFERROR(__xludf.DUMMYFUNCTION("""COMPUTED_VALUE"""),-1.0)</f>
        <v>-1</v>
      </c>
      <c r="AL359" s="16">
        <f>IFERROR(__xludf.DUMMYFUNCTION("""COMPUTED_VALUE"""),-5.0)</f>
        <v>-5</v>
      </c>
      <c r="AM359" s="16">
        <f>IFERROR(__xludf.DUMMYFUNCTION("""COMPUTED_VALUE"""),-5.0)</f>
        <v>-5</v>
      </c>
      <c r="AN359" s="16">
        <f>IFERROR(__xludf.DUMMYFUNCTION("""COMPUTED_VALUE"""),0.5)</f>
        <v>0.5</v>
      </c>
      <c r="AO359" s="16">
        <f>IFERROR(__xludf.DUMMYFUNCTION("""COMPUTED_VALUE"""),0.5)</f>
        <v>0.5</v>
      </c>
      <c r="AP359" s="16">
        <f>IFERROR(__xludf.DUMMYFUNCTION("""COMPUTED_VALUE"""),-2.0)</f>
        <v>-2</v>
      </c>
      <c r="AQ359" s="16">
        <f>IFERROR(__xludf.DUMMYFUNCTION("""COMPUTED_VALUE"""),-2.0)</f>
        <v>-2</v>
      </c>
      <c r="AR359" s="16">
        <f>IFERROR(__xludf.DUMMYFUNCTION("""COMPUTED_VALUE"""),-4.0)</f>
        <v>-4</v>
      </c>
      <c r="AS359" s="16">
        <f>IFERROR(__xludf.DUMMYFUNCTION("""COMPUTED_VALUE"""),-4.0)</f>
        <v>-4</v>
      </c>
      <c r="AT359" s="16">
        <f>IFERROR(__xludf.DUMMYFUNCTION("""COMPUTED_VALUE"""),1.0)</f>
        <v>1</v>
      </c>
      <c r="AU359" s="16">
        <f>IFERROR(__xludf.DUMMYFUNCTION("""COMPUTED_VALUE"""),1.0)</f>
        <v>1</v>
      </c>
      <c r="AV359" s="16">
        <f>IFERROR(__xludf.DUMMYFUNCTION("""COMPUTED_VALUE"""),1.0)</f>
        <v>1</v>
      </c>
      <c r="AW359" s="16">
        <f>IFERROR(__xludf.DUMMYFUNCTION("""COMPUTED_VALUE"""),1.0)</f>
        <v>1</v>
      </c>
      <c r="AX359" s="16">
        <f>IFERROR(__xludf.DUMMYFUNCTION("""COMPUTED_VALUE"""),-1.0)</f>
        <v>-1</v>
      </c>
      <c r="AY359" s="16">
        <f>IFERROR(__xludf.DUMMYFUNCTION("""COMPUTED_VALUE"""),-1.0)</f>
        <v>-1</v>
      </c>
      <c r="AZ359" s="16">
        <f>IFERROR(__xludf.DUMMYFUNCTION("""COMPUTED_VALUE"""),-3.0)</f>
        <v>-3</v>
      </c>
      <c r="BA359" s="16">
        <f>IFERROR(__xludf.DUMMYFUNCTION("""COMPUTED_VALUE"""),-3.0)</f>
        <v>-3</v>
      </c>
      <c r="BB359" s="16">
        <f>IFERROR(__xludf.DUMMYFUNCTION("""COMPUTED_VALUE"""),5.0)</f>
        <v>5</v>
      </c>
      <c r="BC359" s="16">
        <f>IFERROR(__xludf.DUMMYFUNCTION("""COMPUTED_VALUE"""),5.0)</f>
        <v>5</v>
      </c>
      <c r="BD359" s="16">
        <f>IFERROR(__xludf.DUMMYFUNCTION("""COMPUTED_VALUE"""),1.0)</f>
        <v>1</v>
      </c>
      <c r="BE359" s="16">
        <f>IFERROR(__xludf.DUMMYFUNCTION("""COMPUTED_VALUE"""),1.0)</f>
        <v>1</v>
      </c>
      <c r="BF359" s="16">
        <f>IFERROR(__xludf.DUMMYFUNCTION("""COMPUTED_VALUE"""),1.0)</f>
        <v>1</v>
      </c>
      <c r="BG359" s="16">
        <f>IFERROR(__xludf.DUMMYFUNCTION("""COMPUTED_VALUE"""),1.0)</f>
        <v>1</v>
      </c>
      <c r="BH359" s="16">
        <f>IFERROR(__xludf.DUMMYFUNCTION("""COMPUTED_VALUE"""),-9.0)</f>
        <v>-9</v>
      </c>
      <c r="BI359" s="16">
        <f>IFERROR(__xludf.DUMMYFUNCTION("""COMPUTED_VALUE"""),-9.0)</f>
        <v>-9</v>
      </c>
      <c r="BJ359" s="16">
        <f>IFERROR(__xludf.DUMMYFUNCTION("""COMPUTED_VALUE"""),0.0)</f>
        <v>0</v>
      </c>
      <c r="BK359" s="16">
        <f>IFERROR(__xludf.DUMMYFUNCTION("""COMPUTED_VALUE"""),0.0)</f>
        <v>0</v>
      </c>
      <c r="BL359" s="16">
        <f>IFERROR(__xludf.DUMMYFUNCTION("""COMPUTED_VALUE"""),3.0)</f>
        <v>3</v>
      </c>
      <c r="BM359" s="16">
        <f>IFERROR(__xludf.DUMMYFUNCTION("""COMPUTED_VALUE"""),3.0)</f>
        <v>3</v>
      </c>
      <c r="BN359" s="16">
        <f>IFERROR(__xludf.DUMMYFUNCTION("""COMPUTED_VALUE"""),3.0)</f>
        <v>3</v>
      </c>
      <c r="BO359" s="16">
        <f>IFERROR(__xludf.DUMMYFUNCTION("""COMPUTED_VALUE"""),3.0)</f>
        <v>3</v>
      </c>
      <c r="BP359" s="16">
        <f>IFERROR(__xludf.DUMMYFUNCTION("""COMPUTED_VALUE"""),-8.0)</f>
        <v>-8</v>
      </c>
      <c r="BQ359" s="16">
        <f>IFERROR(__xludf.DUMMYFUNCTION("""COMPUTED_VALUE"""),-3.0)</f>
        <v>-3</v>
      </c>
      <c r="BR359" s="16">
        <f>IFERROR(__xludf.DUMMYFUNCTION("""COMPUTED_VALUE"""),-11.0)</f>
        <v>-11</v>
      </c>
      <c r="BS359" s="16" t="str">
        <f>IFERROR(__xludf.DUMMYFUNCTION("""COMPUTED_VALUE"""),"2-9/- (3-1)")</f>
        <v>2-9/- (3-1)</v>
      </c>
      <c r="BT359" s="16" t="str">
        <f>IFERROR(__xludf.DUMMYFUNCTION("""COMPUTED_VALUE"""),"E")</f>
        <v>E</v>
      </c>
      <c r="BU359" s="16">
        <f>IFERROR(__xludf.DUMMYFUNCTION("""COMPUTED_VALUE"""),13.0)</f>
        <v>13</v>
      </c>
      <c r="BV359" s="16">
        <f>IFERROR(__xludf.DUMMYFUNCTION("""COMPUTED_VALUE"""),0.0)</f>
        <v>0</v>
      </c>
      <c r="BW359" s="16">
        <f>IFERROR(__xludf.DUMMYFUNCTION("""COMPUTED_VALUE"""),1.0)</f>
        <v>1</v>
      </c>
      <c r="BX359" s="16">
        <f>IFERROR(__xludf.DUMMYFUNCTION("""COMPUTED_VALUE"""),0.0)</f>
        <v>0</v>
      </c>
      <c r="BY359" s="16">
        <f>IFERROR(__xludf.DUMMYFUNCTION("""COMPUTED_VALUE"""),3.0)</f>
        <v>3</v>
      </c>
      <c r="BZ359" s="16" t="str">
        <f>IFERROR(__xludf.DUMMYFUNCTION("""COMPUTED_VALUE"""),"D")</f>
        <v>D</v>
      </c>
      <c r="CA359" s="16" t="str">
        <f>IFERROR(__xludf.DUMMYFUNCTION("""COMPUTED_VALUE"""),"C")</f>
        <v>C</v>
      </c>
      <c r="CB359" s="16">
        <f>IFERROR(__xludf.DUMMYFUNCTION("""COMPUTED_VALUE"""),0.0)</f>
        <v>0</v>
      </c>
      <c r="CC359" s="16">
        <f>IFERROR(__xludf.DUMMYFUNCTION("""COMPUTED_VALUE"""),0.0)</f>
        <v>0</v>
      </c>
      <c r="CD359" s="16">
        <f>IFERROR(__xludf.DUMMYFUNCTION("""COMPUTED_VALUE"""),0.0)</f>
        <v>0</v>
      </c>
      <c r="CE359" s="16">
        <f>IFERROR(__xludf.DUMMYFUNCTION("""COMPUTED_VALUE"""),0.0)</f>
        <v>0</v>
      </c>
      <c r="CF359" s="16">
        <f>IFERROR(__xludf.DUMMYFUNCTION("""COMPUTED_VALUE"""),1.0)</f>
        <v>1</v>
      </c>
      <c r="CG359" s="16">
        <f>IFERROR(__xludf.DUMMYFUNCTION("""COMPUTED_VALUE"""),-25.0)</f>
        <v>-25</v>
      </c>
      <c r="CH359" s="16">
        <f>IFERROR(__xludf.DUMMYFUNCTION("""COMPUTED_VALUE"""),-14.0)</f>
        <v>-14</v>
      </c>
      <c r="CI359" s="179">
        <f>IFERROR(__xludf.DUMMYFUNCTION("""COMPUTED_VALUE"""),-16.0)</f>
        <v>-16</v>
      </c>
      <c r="CJ359" s="16"/>
      <c r="CK359" s="16"/>
      <c r="CL359" s="16">
        <f>IFERROR(__xludf.DUMMYFUNCTION("""COMPUTED_VALUE"""),412.0)</f>
        <v>412</v>
      </c>
      <c r="CM359" s="16">
        <f>IFERROR(__xludf.DUMMYFUNCTION("""COMPUTED_VALUE"""),412.0)</f>
        <v>412</v>
      </c>
      <c r="CN359" s="16">
        <f>IFERROR(__xludf.DUMMYFUNCTION("""COMPUTED_VALUE"""),410.0)</f>
        <v>410</v>
      </c>
      <c r="CO359" s="16"/>
      <c r="CP359" s="16"/>
      <c r="CQ359" s="16"/>
      <c r="CR359" s="16" t="str">
        <f>IFERROR(__xludf.DUMMYFUNCTION("""COMPUTED_VALUE"""),"2b-4e12 3b-4e12 ss-4e10")</f>
        <v>2b-4e12 3b-4e12 ss-4e10</v>
      </c>
      <c r="CS359" s="16"/>
      <c r="CT359" s="16"/>
      <c r="CU359" s="16">
        <f>IFERROR(__xludf.DUMMYFUNCTION("""COMPUTED_VALUE"""),4.0)</f>
        <v>4</v>
      </c>
      <c r="CV359" s="16">
        <f>IFERROR(__xludf.DUMMYFUNCTION("""COMPUTED_VALUE"""),4.0)</f>
        <v>4</v>
      </c>
      <c r="CW359" s="16">
        <f>IFERROR(__xludf.DUMMYFUNCTION("""COMPUTED_VALUE"""),4.0)</f>
        <v>4</v>
      </c>
      <c r="CX359" s="16"/>
      <c r="CY359" s="16"/>
      <c r="CZ359" s="16"/>
      <c r="DA359" s="16"/>
      <c r="DB359" s="16"/>
      <c r="DC359" s="16">
        <f>IFERROR(__xludf.DUMMYFUNCTION("""COMPUTED_VALUE"""),12.0)</f>
        <v>12</v>
      </c>
      <c r="DD359" s="16">
        <f>IFERROR(__xludf.DUMMYFUNCTION("""COMPUTED_VALUE"""),12.0)</f>
        <v>12</v>
      </c>
      <c r="DE359" s="16">
        <f>IFERROR(__xludf.DUMMYFUNCTION("""COMPUTED_VALUE"""),10.0)</f>
        <v>10</v>
      </c>
      <c r="DF359" s="16"/>
      <c r="DG359" s="16"/>
      <c r="DH359" s="16"/>
      <c r="DI359" s="16"/>
      <c r="DJ359" s="16"/>
      <c r="DK359" s="16">
        <f>IFERROR(__xludf.DUMMYFUNCTION("""COMPUTED_VALUE"""),-2.0)</f>
        <v>-2</v>
      </c>
      <c r="DL359" s="16">
        <f>IFERROR(__xludf.DUMMYFUNCTION("""COMPUTED_VALUE"""),0.0)</f>
        <v>0</v>
      </c>
      <c r="DM359" s="16">
        <f>IFERROR(__xludf.DUMMYFUNCTION("""COMPUTED_VALUE"""),-2.0)</f>
        <v>-2</v>
      </c>
      <c r="DN359" s="16"/>
      <c r="DO359" s="16"/>
      <c r="DP359" s="16"/>
      <c r="DQ359" s="16"/>
      <c r="DR359" s="16"/>
      <c r="DS359" s="16">
        <f>IFERROR(__xludf.DUMMYFUNCTION("""COMPUTED_VALUE"""),2.0)</f>
        <v>2</v>
      </c>
      <c r="DT359" s="16">
        <f>IFERROR(__xludf.DUMMYFUNCTION("""COMPUTED_VALUE"""),1.0)</f>
        <v>1</v>
      </c>
      <c r="DU359" s="16">
        <f>IFERROR(__xludf.DUMMYFUNCTION("""COMPUTED_VALUE"""),3.0)</f>
        <v>3</v>
      </c>
      <c r="DV359" s="16"/>
      <c r="DW359" s="16"/>
      <c r="DX359" s="16"/>
      <c r="DY359" s="16"/>
      <c r="DZ359" s="16"/>
      <c r="EA359" s="16">
        <f>IFERROR(__xludf.DUMMYFUNCTION("""COMPUTED_VALUE"""),0.0)</f>
        <v>0</v>
      </c>
      <c r="EB359" s="16">
        <f>IFERROR(__xludf.DUMMYFUNCTION("""COMPUTED_VALUE"""),1.0)</f>
        <v>1</v>
      </c>
      <c r="EC359" s="16">
        <f>IFERROR(__xludf.DUMMYFUNCTION("""COMPUTED_VALUE"""),1.0)</f>
        <v>1</v>
      </c>
      <c r="ED359" s="16"/>
      <c r="EE359" s="16"/>
      <c r="EF359" s="16"/>
      <c r="EG359" s="179"/>
      <c r="EH359" s="179"/>
      <c r="EI359" s="179">
        <f>IFERROR(__xludf.DUMMYFUNCTION("""COMPUTED_VALUE"""),-16.0)</f>
        <v>-16</v>
      </c>
      <c r="EJ359" s="179">
        <f>IFERROR(__xludf.DUMMYFUNCTION("""COMPUTED_VALUE"""),-15.0)</f>
        <v>-15</v>
      </c>
      <c r="EK359" s="179">
        <f>IFERROR(__xludf.DUMMYFUNCTION("""COMPUTED_VALUE"""),-15.0)</f>
        <v>-15</v>
      </c>
      <c r="EL359" s="179"/>
      <c r="EM359" s="179"/>
      <c r="EN359" s="179"/>
      <c r="EO359" s="16"/>
      <c r="EP359" s="16"/>
      <c r="EQ359" s="16">
        <f>IFERROR(__xludf.DUMMYFUNCTION("""COMPUTED_VALUE"""),4.0)</f>
        <v>4</v>
      </c>
      <c r="ER359" s="16">
        <f>IFERROR(__xludf.DUMMYFUNCTION("""COMPUTED_VALUE"""),-4.0)</f>
        <v>-4</v>
      </c>
      <c r="ES359" s="16"/>
      <c r="ET359" s="16"/>
      <c r="EU359" s="16"/>
      <c r="EV359" s="16"/>
      <c r="EW359" s="16"/>
      <c r="EX359" s="180"/>
      <c r="EY359" s="180"/>
      <c r="EZ359" s="180">
        <f>IFERROR(__xludf.DUMMYFUNCTION("""COMPUTED_VALUE"""),0.3)</f>
        <v>0.3</v>
      </c>
      <c r="FA359" s="180">
        <f>IFERROR(__xludf.DUMMYFUNCTION("""COMPUTED_VALUE"""),0.3)</f>
        <v>0.3</v>
      </c>
      <c r="FB359" s="180">
        <f>IFERROR(__xludf.DUMMYFUNCTION("""COMPUTED_VALUE"""),0.3)</f>
        <v>0.3</v>
      </c>
      <c r="FC359" s="180"/>
      <c r="FD359" s="180"/>
      <c r="FE359" s="180"/>
      <c r="FF359" s="180"/>
      <c r="FG359" s="180"/>
      <c r="FH359" s="180">
        <f>IFERROR(__xludf.DUMMYFUNCTION("""COMPUTED_VALUE"""),0.06944444444444445)</f>
        <v>0.06944444444</v>
      </c>
      <c r="FI359" s="180">
        <f>IFERROR(__xludf.DUMMYFUNCTION("""COMPUTED_VALUE"""),0.14351851851851852)</f>
        <v>0.1435185185</v>
      </c>
      <c r="FJ359" s="180">
        <f>IFERROR(__xludf.DUMMYFUNCTION("""COMPUTED_VALUE"""),0.05092592592592592)</f>
        <v>0.05092592593</v>
      </c>
      <c r="FK359" s="180"/>
      <c r="FL359" s="180"/>
      <c r="FM359" s="180"/>
      <c r="FN359" s="16"/>
      <c r="FO359" s="16"/>
      <c r="FP359" s="16">
        <f>IFERROR(__xludf.DUMMYFUNCTION("""COMPUTED_VALUE"""),0.6513888888888889)</f>
        <v>0.6513888889</v>
      </c>
      <c r="FQ359" s="16">
        <f>IFERROR(__xludf.DUMMYFUNCTION("""COMPUTED_VALUE"""),0.599537037037037)</f>
        <v>0.599537037</v>
      </c>
      <c r="FR359" s="16">
        <f>IFERROR(__xludf.DUMMYFUNCTION("""COMPUTED_VALUE"""),0.6643518518518519)</f>
        <v>0.6643518519</v>
      </c>
      <c r="FS359" s="16"/>
      <c r="FT359" s="16"/>
      <c r="FU359" s="16"/>
      <c r="FV359" s="16"/>
      <c r="FW359" s="16"/>
      <c r="FX359" s="16">
        <f>IFERROR(__xludf.DUMMYFUNCTION("""COMPUTED_VALUE"""),-4.0)</f>
        <v>-4</v>
      </c>
      <c r="FY359" s="16">
        <f>IFERROR(__xludf.DUMMYFUNCTION("""COMPUTED_VALUE"""),-6.0)</f>
        <v>-6</v>
      </c>
      <c r="FZ359" s="16">
        <f>IFERROR(__xludf.DUMMYFUNCTION("""COMPUTED_VALUE"""),-4.0)</f>
        <v>-4</v>
      </c>
      <c r="GA359" s="16"/>
      <c r="GB359" s="16"/>
      <c r="GC359" s="16"/>
      <c r="GD359" s="16" t="s">
        <v>176</v>
      </c>
    </row>
    <row r="360">
      <c r="A360" s="16">
        <f>IFERROR(__xludf.DUMMYFUNCTION("""COMPUTED_VALUE"""),12501.0)</f>
        <v>12501</v>
      </c>
      <c r="B360" s="16" t="str">
        <f>IFERROR(__xludf.DUMMYFUNCTION("""COMPUTED_VALUE"""),"Adam Frazier")</f>
        <v>Adam Frazier</v>
      </c>
      <c r="C360" s="16">
        <f>IFERROR(__xludf.DUMMYFUNCTION("""COMPUTED_VALUE"""),0.18)</f>
        <v>0.18</v>
      </c>
      <c r="D360" s="16" t="str">
        <f>IFERROR(__xludf.DUMMYFUNCTION("""COMPUTED_VALUE"""),"L")</f>
        <v>L</v>
      </c>
      <c r="E360" s="16"/>
      <c r="F360" s="16"/>
      <c r="G360" s="16">
        <f>IFERROR(__xludf.DUMMYFUNCTION("""COMPUTED_VALUE"""),262.0)</f>
        <v>262</v>
      </c>
      <c r="H360" s="16">
        <f>IFERROR(__xludf.DUMMYFUNCTION("""COMPUTED_VALUE"""),22.0)</f>
        <v>22</v>
      </c>
      <c r="I360" s="16" t="str">
        <f>IFERROR(__xludf.DUMMYFUNCTION("""COMPUTED_VALUE"""),"1p50")</f>
        <v>1p50</v>
      </c>
      <c r="J360" s="16">
        <f>IFERROR(__xludf.DUMMYFUNCTION("""COMPUTED_VALUE"""),2.0)</f>
        <v>2</v>
      </c>
      <c r="K360" s="16">
        <f>IFERROR(__xludf.DUMMYFUNCTION("""COMPUTED_VALUE"""),21.0)</f>
        <v>21</v>
      </c>
      <c r="L360" s="16">
        <f>IFERROR(__xludf.DUMMYFUNCTION("""COMPUTED_VALUE"""),2.0)</f>
        <v>2</v>
      </c>
      <c r="M360" s="16">
        <f>IFERROR(__xludf.DUMMYFUNCTION("""COMPUTED_VALUE"""),0.0)</f>
        <v>0</v>
      </c>
      <c r="N360" s="16">
        <f>IFERROR(__xludf.DUMMYFUNCTION("""COMPUTED_VALUE"""),2.0)</f>
        <v>2</v>
      </c>
      <c r="O360" s="16">
        <f>IFERROR(__xludf.DUMMYFUNCTION("""COMPUTED_VALUE"""),0.0)</f>
        <v>0</v>
      </c>
      <c r="P360" s="16">
        <f>IFERROR(__xludf.DUMMYFUNCTION("""COMPUTED_VALUE"""),0.0)</f>
        <v>0</v>
      </c>
      <c r="Q360" s="16">
        <f>IFERROR(__xludf.DUMMYFUNCTION("""COMPUTED_VALUE"""),8.0)</f>
        <v>8</v>
      </c>
      <c r="R360" s="16">
        <f>IFERROR(__xludf.DUMMYFUNCTION("""COMPUTED_VALUE"""),-3.0)</f>
        <v>-3</v>
      </c>
      <c r="S360" s="16">
        <f>IFERROR(__xludf.DUMMYFUNCTION("""COMPUTED_VALUE"""),0.0)</f>
        <v>0</v>
      </c>
      <c r="T360" s="16">
        <f>IFERROR(__xludf.DUMMYFUNCTION("""COMPUTED_VALUE"""),-3.0)</f>
        <v>-3</v>
      </c>
      <c r="U360" s="16">
        <f>IFERROR(__xludf.DUMMYFUNCTION("""COMPUTED_VALUE"""),0.0)</f>
        <v>0</v>
      </c>
      <c r="V360" s="16">
        <f>IFERROR(__xludf.DUMMYFUNCTION("""COMPUTED_VALUE"""),6.8)</f>
        <v>6.8</v>
      </c>
      <c r="W360" s="16">
        <f>IFERROR(__xludf.DUMMYFUNCTION("""COMPUTED_VALUE"""),11.1)</f>
        <v>11.1</v>
      </c>
      <c r="X360" s="16">
        <f>IFERROR(__xludf.DUMMYFUNCTION("""COMPUTED_VALUE"""),-2.0)</f>
        <v>-2</v>
      </c>
      <c r="Y360" s="16">
        <f>IFERROR(__xludf.DUMMYFUNCTION("""COMPUTED_VALUE"""),-2.0)</f>
        <v>-2</v>
      </c>
      <c r="Z360" s="16">
        <f>IFERROR(__xludf.DUMMYFUNCTION("""COMPUTED_VALUE"""),-4.0)</f>
        <v>-4</v>
      </c>
      <c r="AA360" s="16">
        <f>IFERROR(__xludf.DUMMYFUNCTION("""COMPUTED_VALUE"""),-4.0)</f>
        <v>-4</v>
      </c>
      <c r="AB360" s="16">
        <f>IFERROR(__xludf.DUMMYFUNCTION("""COMPUTED_VALUE"""),12.8)</f>
        <v>12.8</v>
      </c>
      <c r="AC360" s="16">
        <f>IFERROR(__xludf.DUMMYFUNCTION("""COMPUTED_VALUE"""),25.2)</f>
        <v>25.2</v>
      </c>
      <c r="AD360" s="16">
        <f>IFERROR(__xludf.DUMMYFUNCTION("""COMPUTED_VALUE"""),-2.0)</f>
        <v>-2</v>
      </c>
      <c r="AE360" s="16">
        <f>IFERROR(__xludf.DUMMYFUNCTION("""COMPUTED_VALUE"""),-1.0)</f>
        <v>-1</v>
      </c>
      <c r="AF360" s="16">
        <f>IFERROR(__xludf.DUMMYFUNCTION("""COMPUTED_VALUE"""),-10.0)</f>
        <v>-10</v>
      </c>
      <c r="AG360" s="16">
        <f>IFERROR(__xludf.DUMMYFUNCTION("""COMPUTED_VALUE"""),-5.0)</f>
        <v>-5</v>
      </c>
      <c r="AH360" s="16">
        <f>IFERROR(__xludf.DUMMYFUNCTION("""COMPUTED_VALUE"""),6.8)</f>
        <v>6.8</v>
      </c>
      <c r="AI360" s="16">
        <f>IFERROR(__xludf.DUMMYFUNCTION("""COMPUTED_VALUE"""),24.6)</f>
        <v>24.6</v>
      </c>
      <c r="AJ360" s="16">
        <f>IFERROR(__xludf.DUMMYFUNCTION("""COMPUTED_VALUE"""),-2.0)</f>
        <v>-2</v>
      </c>
      <c r="AK360" s="16">
        <f>IFERROR(__xludf.DUMMYFUNCTION("""COMPUTED_VALUE"""),-1.0)</f>
        <v>-1</v>
      </c>
      <c r="AL360" s="16">
        <f>IFERROR(__xludf.DUMMYFUNCTION("""COMPUTED_VALUE"""),-10.0)</f>
        <v>-10</v>
      </c>
      <c r="AM360" s="16">
        <f>IFERROR(__xludf.DUMMYFUNCTION("""COMPUTED_VALUE"""),-5.0)</f>
        <v>-5</v>
      </c>
      <c r="AN360" s="16">
        <f>IFERROR(__xludf.DUMMYFUNCTION("""COMPUTED_VALUE"""),0.0)</f>
        <v>0</v>
      </c>
      <c r="AO360" s="16">
        <f>IFERROR(__xludf.DUMMYFUNCTION("""COMPUTED_VALUE"""),3.3)</f>
        <v>3.3</v>
      </c>
      <c r="AP360" s="16">
        <f>IFERROR(__xludf.DUMMYFUNCTION("""COMPUTED_VALUE"""),-2.0)</f>
        <v>-2</v>
      </c>
      <c r="AQ360" s="16">
        <f>IFERROR(__xludf.DUMMYFUNCTION("""COMPUTED_VALUE"""),1.0)</f>
        <v>1</v>
      </c>
      <c r="AR360" s="16">
        <f>IFERROR(__xludf.DUMMYFUNCTION("""COMPUTED_VALUE"""),-4.0)</f>
        <v>-4</v>
      </c>
      <c r="AS360" s="16">
        <f>IFERROR(__xludf.DUMMYFUNCTION("""COMPUTED_VALUE"""),2.0)</f>
        <v>2</v>
      </c>
      <c r="AT360" s="16"/>
      <c r="AU360" s="16"/>
      <c r="AV360" s="16">
        <f>IFERROR(__xludf.DUMMYFUNCTION("""COMPUTED_VALUE"""),-3.0)</f>
        <v>-3</v>
      </c>
      <c r="AW360" s="16">
        <f>IFERROR(__xludf.DUMMYFUNCTION("""COMPUTED_VALUE"""),-3.0)</f>
        <v>-3</v>
      </c>
      <c r="AX360" s="16">
        <f>IFERROR(__xludf.DUMMYFUNCTION("""COMPUTED_VALUE"""),-3.0)</f>
        <v>-3</v>
      </c>
      <c r="AY360" s="16">
        <f>IFERROR(__xludf.DUMMYFUNCTION("""COMPUTED_VALUE"""),-3.0)</f>
        <v>-3</v>
      </c>
      <c r="AZ360" s="16">
        <f>IFERROR(__xludf.DUMMYFUNCTION("""COMPUTED_VALUE"""),-9.0)</f>
        <v>-9</v>
      </c>
      <c r="BA360" s="16">
        <f>IFERROR(__xludf.DUMMYFUNCTION("""COMPUTED_VALUE"""),-9.0)</f>
        <v>-9</v>
      </c>
      <c r="BB360" s="16">
        <f>IFERROR(__xludf.DUMMYFUNCTION("""COMPUTED_VALUE"""),5.0)</f>
        <v>5</v>
      </c>
      <c r="BC360" s="16">
        <f>IFERROR(__xludf.DUMMYFUNCTION("""COMPUTED_VALUE"""),5.0)</f>
        <v>5</v>
      </c>
      <c r="BD360" s="16">
        <f>IFERROR(__xludf.DUMMYFUNCTION("""COMPUTED_VALUE"""),1.0)</f>
        <v>1</v>
      </c>
      <c r="BE360" s="16">
        <f>IFERROR(__xludf.DUMMYFUNCTION("""COMPUTED_VALUE"""),1.0)</f>
        <v>1</v>
      </c>
      <c r="BF360" s="16">
        <f>IFERROR(__xludf.DUMMYFUNCTION("""COMPUTED_VALUE"""),1.0)</f>
        <v>1</v>
      </c>
      <c r="BG360" s="16">
        <f>IFERROR(__xludf.DUMMYFUNCTION("""COMPUTED_VALUE"""),1.0)</f>
        <v>1</v>
      </c>
      <c r="BH360" s="16">
        <f>IFERROR(__xludf.DUMMYFUNCTION("""COMPUTED_VALUE"""),8.0)</f>
        <v>8</v>
      </c>
      <c r="BI360" s="16">
        <f>IFERROR(__xludf.DUMMYFUNCTION("""COMPUTED_VALUE"""),8.0)</f>
        <v>8</v>
      </c>
      <c r="BJ360" s="16">
        <f>IFERROR(__xludf.DUMMYFUNCTION("""COMPUTED_VALUE"""),0.0)</f>
        <v>0</v>
      </c>
      <c r="BK360" s="16">
        <f>IFERROR(__xludf.DUMMYFUNCTION("""COMPUTED_VALUE"""),0.0)</f>
        <v>0</v>
      </c>
      <c r="BL360" s="16">
        <f>IFERROR(__xludf.DUMMYFUNCTION("""COMPUTED_VALUE"""),3.0)</f>
        <v>3</v>
      </c>
      <c r="BM360" s="16">
        <f>IFERROR(__xludf.DUMMYFUNCTION("""COMPUTED_VALUE"""),3.0)</f>
        <v>3</v>
      </c>
      <c r="BN360" s="16">
        <f>IFERROR(__xludf.DUMMYFUNCTION("""COMPUTED_VALUE"""),3.0)</f>
        <v>3</v>
      </c>
      <c r="BO360" s="16">
        <f>IFERROR(__xludf.DUMMYFUNCTION("""COMPUTED_VALUE"""),3.0)</f>
        <v>3</v>
      </c>
      <c r="BP360" s="16">
        <f>IFERROR(__xludf.DUMMYFUNCTION("""COMPUTED_VALUE"""),-8.0)</f>
        <v>-8</v>
      </c>
      <c r="BQ360" s="16">
        <f>IFERROR(__xludf.DUMMYFUNCTION("""COMPUTED_VALUE"""),-2.0)</f>
        <v>-2</v>
      </c>
      <c r="BR360" s="16">
        <f>IFERROR(__xludf.DUMMYFUNCTION("""COMPUTED_VALUE"""),-10.0)</f>
        <v>-10</v>
      </c>
      <c r="BS360" s="16" t="str">
        <f>IFERROR(__xludf.DUMMYFUNCTION("""COMPUTED_VALUE"""),"3/- (20-6)")</f>
        <v>3/- (20-6)</v>
      </c>
      <c r="BT360" s="16" t="str">
        <f>IFERROR(__xludf.DUMMYFUNCTION("""COMPUTED_VALUE"""),"C")</f>
        <v>C</v>
      </c>
      <c r="BU360" s="16">
        <f>IFERROR(__xludf.DUMMYFUNCTION("""COMPUTED_VALUE"""),13.0)</f>
        <v>13</v>
      </c>
      <c r="BV360" s="16">
        <f>IFERROR(__xludf.DUMMYFUNCTION("""COMPUTED_VALUE"""),0.0)</f>
        <v>0</v>
      </c>
      <c r="BW360" s="16">
        <f>IFERROR(__xludf.DUMMYFUNCTION("""COMPUTED_VALUE"""),1.0)</f>
        <v>1</v>
      </c>
      <c r="BX360" s="16">
        <f>IFERROR(__xludf.DUMMYFUNCTION("""COMPUTED_VALUE"""),0.0)</f>
        <v>0</v>
      </c>
      <c r="BY360" s="16">
        <f>IFERROR(__xludf.DUMMYFUNCTION("""COMPUTED_VALUE"""),3.0)</f>
        <v>3</v>
      </c>
      <c r="BZ360" s="16" t="str">
        <f>IFERROR(__xludf.DUMMYFUNCTION("""COMPUTED_VALUE"""),"B")</f>
        <v>B</v>
      </c>
      <c r="CA360" s="16" t="str">
        <f>IFERROR(__xludf.DUMMYFUNCTION("""COMPUTED_VALUE"""),"C")</f>
        <v>C</v>
      </c>
      <c r="CB360" s="16">
        <f>IFERROR(__xludf.DUMMYFUNCTION("""COMPUTED_VALUE"""),1.0)</f>
        <v>1</v>
      </c>
      <c r="CC360" s="16">
        <f>IFERROR(__xludf.DUMMYFUNCTION("""COMPUTED_VALUE"""),0.0)</f>
        <v>0</v>
      </c>
      <c r="CD360" s="16">
        <f>IFERROR(__xludf.DUMMYFUNCTION("""COMPUTED_VALUE"""),1.0)</f>
        <v>1</v>
      </c>
      <c r="CE360" s="16">
        <f>IFERROR(__xludf.DUMMYFUNCTION("""COMPUTED_VALUE"""),0.0)</f>
        <v>0</v>
      </c>
      <c r="CF360" s="16">
        <f>IFERROR(__xludf.DUMMYFUNCTION("""COMPUTED_VALUE"""),1.0)</f>
        <v>1</v>
      </c>
      <c r="CG360" s="16">
        <f>IFERROR(__xludf.DUMMYFUNCTION("""COMPUTED_VALUE"""),-34.0)</f>
        <v>-34</v>
      </c>
      <c r="CH360" s="16">
        <f>IFERROR(__xludf.DUMMYFUNCTION("""COMPUTED_VALUE"""),-17.0)</f>
        <v>-17</v>
      </c>
      <c r="CI360" s="179">
        <f>IFERROR(__xludf.DUMMYFUNCTION("""COMPUTED_VALUE"""),-16.0)</f>
        <v>-16</v>
      </c>
      <c r="CJ360" s="16"/>
      <c r="CK360" s="16">
        <f>IFERROR(__xludf.DUMMYFUNCTION("""COMPUTED_VALUE"""),430.0)</f>
        <v>430</v>
      </c>
      <c r="CL360" s="16">
        <f>IFERROR(__xludf.DUMMYFUNCTION("""COMPUTED_VALUE"""),311.0)</f>
        <v>311</v>
      </c>
      <c r="CM360" s="16">
        <f>IFERROR(__xludf.DUMMYFUNCTION("""COMPUTED_VALUE"""),441.0)</f>
        <v>441</v>
      </c>
      <c r="CN360" s="16"/>
      <c r="CO360" s="16">
        <f>IFERROR(__xludf.DUMMYFUNCTION("""COMPUTED_VALUE"""),403.0)</f>
        <v>403</v>
      </c>
      <c r="CP360" s="16"/>
      <c r="CQ360" s="16">
        <f>IFERROR(__xludf.DUMMYFUNCTION("""COMPUTED_VALUE"""),303.0)</f>
        <v>303</v>
      </c>
      <c r="CR360" s="16" t="str">
        <f>IFERROR(__xludf.DUMMYFUNCTION("""COMPUTED_VALUE"""),"2b-3e11 rf-3(+1)e3 lf-4e3 3b-4e41 1b-4e30")</f>
        <v>2b-3e11 rf-3(+1)e3 lf-4e3 3b-4e41 1b-4e30</v>
      </c>
      <c r="CS360" s="16"/>
      <c r="CT360" s="16">
        <f>IFERROR(__xludf.DUMMYFUNCTION("""COMPUTED_VALUE"""),4.0)</f>
        <v>4</v>
      </c>
      <c r="CU360" s="16">
        <f>IFERROR(__xludf.DUMMYFUNCTION("""COMPUTED_VALUE"""),3.0)</f>
        <v>3</v>
      </c>
      <c r="CV360" s="16">
        <f>IFERROR(__xludf.DUMMYFUNCTION("""COMPUTED_VALUE"""),4.0)</f>
        <v>4</v>
      </c>
      <c r="CW360" s="16"/>
      <c r="CX360" s="16">
        <f>IFERROR(__xludf.DUMMYFUNCTION("""COMPUTED_VALUE"""),4.0)</f>
        <v>4</v>
      </c>
      <c r="CY360" s="16"/>
      <c r="CZ360" s="16">
        <f>IFERROR(__xludf.DUMMYFUNCTION("""COMPUTED_VALUE"""),3.0)</f>
        <v>3</v>
      </c>
      <c r="DA360" s="16"/>
      <c r="DB360" s="16">
        <f>IFERROR(__xludf.DUMMYFUNCTION("""COMPUTED_VALUE"""),30.0)</f>
        <v>30</v>
      </c>
      <c r="DC360" s="16">
        <f>IFERROR(__xludf.DUMMYFUNCTION("""COMPUTED_VALUE"""),11.0)</f>
        <v>11</v>
      </c>
      <c r="DD360" s="16">
        <f>IFERROR(__xludf.DUMMYFUNCTION("""COMPUTED_VALUE"""),41.0)</f>
        <v>41</v>
      </c>
      <c r="DE360" s="16"/>
      <c r="DF360" s="16">
        <f>IFERROR(__xludf.DUMMYFUNCTION("""COMPUTED_VALUE"""),3.0)</f>
        <v>3</v>
      </c>
      <c r="DG360" s="16"/>
      <c r="DH360" s="16">
        <f>IFERROR(__xludf.DUMMYFUNCTION("""COMPUTED_VALUE"""),3.0)</f>
        <v>3</v>
      </c>
      <c r="DI360" s="16"/>
      <c r="DJ360" s="16">
        <f>IFERROR(__xludf.DUMMYFUNCTION("""COMPUTED_VALUE"""),0.0)</f>
        <v>0</v>
      </c>
      <c r="DK360" s="16">
        <f>IFERROR(__xludf.DUMMYFUNCTION("""COMPUTED_VALUE"""),0.0)</f>
        <v>0</v>
      </c>
      <c r="DL360" s="16">
        <f>IFERROR(__xludf.DUMMYFUNCTION("""COMPUTED_VALUE"""),0.0)</f>
        <v>0</v>
      </c>
      <c r="DM360" s="16"/>
      <c r="DN360" s="16">
        <f>IFERROR(__xludf.DUMMYFUNCTION("""COMPUTED_VALUE"""),-1.0)</f>
        <v>-1</v>
      </c>
      <c r="DO360" s="16"/>
      <c r="DP360" s="16">
        <f>IFERROR(__xludf.DUMMYFUNCTION("""COMPUTED_VALUE"""),0.0)</f>
        <v>0</v>
      </c>
      <c r="DQ360" s="16"/>
      <c r="DR360" s="16">
        <f>IFERROR(__xludf.DUMMYFUNCTION("""COMPUTED_VALUE"""),-2.0)</f>
        <v>-2</v>
      </c>
      <c r="DS360" s="16">
        <f>IFERROR(__xludf.DUMMYFUNCTION("""COMPUTED_VALUE"""),2.0)</f>
        <v>2</v>
      </c>
      <c r="DT360" s="16">
        <f>IFERROR(__xludf.DUMMYFUNCTION("""COMPUTED_VALUE"""),-2.0)</f>
        <v>-2</v>
      </c>
      <c r="DU360" s="16"/>
      <c r="DV360" s="16">
        <f>IFERROR(__xludf.DUMMYFUNCTION("""COMPUTED_VALUE"""),4.0)</f>
        <v>4</v>
      </c>
      <c r="DW360" s="16"/>
      <c r="DX360" s="16">
        <f>IFERROR(__xludf.DUMMYFUNCTION("""COMPUTED_VALUE"""),4.0)</f>
        <v>4</v>
      </c>
      <c r="DY360" s="16"/>
      <c r="DZ360" s="16">
        <f>IFERROR(__xludf.DUMMYFUNCTION("""COMPUTED_VALUE"""),-2.0)</f>
        <v>-2</v>
      </c>
      <c r="EA360" s="16">
        <f>IFERROR(__xludf.DUMMYFUNCTION("""COMPUTED_VALUE"""),2.0)</f>
        <v>2</v>
      </c>
      <c r="EB360" s="16">
        <f>IFERROR(__xludf.DUMMYFUNCTION("""COMPUTED_VALUE"""),-2.0)</f>
        <v>-2</v>
      </c>
      <c r="EC360" s="16"/>
      <c r="ED360" s="16">
        <f>IFERROR(__xludf.DUMMYFUNCTION("""COMPUTED_VALUE"""),3.0)</f>
        <v>3</v>
      </c>
      <c r="EE360" s="16"/>
      <c r="EF360" s="16">
        <f>IFERROR(__xludf.DUMMYFUNCTION("""COMPUTED_VALUE"""),4.0)</f>
        <v>4</v>
      </c>
      <c r="EG360" s="179"/>
      <c r="EH360" s="179">
        <f>IFERROR(__xludf.DUMMYFUNCTION("""COMPUTED_VALUE"""),-18.0)</f>
        <v>-18</v>
      </c>
      <c r="EI360" s="179">
        <f>IFERROR(__xludf.DUMMYFUNCTION("""COMPUTED_VALUE"""),-14.0)</f>
        <v>-14</v>
      </c>
      <c r="EJ360" s="179">
        <f>IFERROR(__xludf.DUMMYFUNCTION("""COMPUTED_VALUE"""),-18.0)</f>
        <v>-18</v>
      </c>
      <c r="EK360" s="179"/>
      <c r="EL360" s="179">
        <f>IFERROR(__xludf.DUMMYFUNCTION("""COMPUTED_VALUE"""),-13.0)</f>
        <v>-13</v>
      </c>
      <c r="EM360" s="179"/>
      <c r="EN360" s="179">
        <f>IFERROR(__xludf.DUMMYFUNCTION("""COMPUTED_VALUE"""),-12.0)</f>
        <v>-12</v>
      </c>
      <c r="EO360" s="16"/>
      <c r="EP360" s="16">
        <f>IFERROR(__xludf.DUMMYFUNCTION("""COMPUTED_VALUE"""),-3.0)</f>
        <v>-3</v>
      </c>
      <c r="EQ360" s="16">
        <f>IFERROR(__xludf.DUMMYFUNCTION("""COMPUTED_VALUE"""),4.0)</f>
        <v>4</v>
      </c>
      <c r="ER360" s="16">
        <f>IFERROR(__xludf.DUMMYFUNCTION("""COMPUTED_VALUE"""),0.0)</f>
        <v>0</v>
      </c>
      <c r="ES360" s="16"/>
      <c r="ET360" s="16"/>
      <c r="EU360" s="16"/>
      <c r="EV360" s="16"/>
      <c r="EW360" s="16"/>
      <c r="EX360" s="180"/>
      <c r="EY360" s="180">
        <f>IFERROR(__xludf.DUMMYFUNCTION("""COMPUTED_VALUE"""),0.3)</f>
        <v>0.3</v>
      </c>
      <c r="EZ360" s="180">
        <f>IFERROR(__xludf.DUMMYFUNCTION("""COMPUTED_VALUE"""),0.2)</f>
        <v>0.2</v>
      </c>
      <c r="FA360" s="180">
        <f>IFERROR(__xludf.DUMMYFUNCTION("""COMPUTED_VALUE"""),0.3)</f>
        <v>0.3</v>
      </c>
      <c r="FB360" s="180"/>
      <c r="FC360" s="180">
        <f>IFERROR(__xludf.DUMMYFUNCTION("""COMPUTED_VALUE"""),0.55)</f>
        <v>0.55</v>
      </c>
      <c r="FD360" s="180"/>
      <c r="FE360" s="180">
        <f>IFERROR(__xludf.DUMMYFUNCTION("""COMPUTED_VALUE"""),0.3)</f>
        <v>0.3</v>
      </c>
      <c r="FF360" s="180"/>
      <c r="FG360" s="180">
        <f>IFERROR(__xludf.DUMMYFUNCTION("""COMPUTED_VALUE"""),0.5370370370370371)</f>
        <v>0.537037037</v>
      </c>
      <c r="FH360" s="180">
        <f>IFERROR(__xludf.DUMMYFUNCTION("""COMPUTED_VALUE"""),0.06481481481481481)</f>
        <v>0.06481481481</v>
      </c>
      <c r="FI360" s="180">
        <f>IFERROR(__xludf.DUMMYFUNCTION("""COMPUTED_VALUE"""),0.49074074074074076)</f>
        <v>0.4907407407</v>
      </c>
      <c r="FJ360" s="180"/>
      <c r="FK360" s="180">
        <f>IFERROR(__xludf.DUMMYFUNCTION("""COMPUTED_VALUE"""),0.056)</f>
        <v>0.056</v>
      </c>
      <c r="FL360" s="180"/>
      <c r="FM360" s="180">
        <f>IFERROR(__xludf.DUMMYFUNCTION("""COMPUTED_VALUE"""),0.056)</f>
        <v>0.056</v>
      </c>
      <c r="FN360" s="16"/>
      <c r="FO360" s="16">
        <f>IFERROR(__xludf.DUMMYFUNCTION("""COMPUTED_VALUE"""),0.324074074074074)</f>
        <v>0.3240740741</v>
      </c>
      <c r="FP360" s="16">
        <f>IFERROR(__xludf.DUMMYFUNCTION("""COMPUTED_VALUE"""),0.7481481481481482)</f>
        <v>0.7481481481</v>
      </c>
      <c r="FQ360" s="16">
        <f>IFERROR(__xludf.DUMMYFUNCTION("""COMPUTED_VALUE"""),0.3564814814814815)</f>
        <v>0.3564814815</v>
      </c>
      <c r="FR360" s="16"/>
      <c r="FS360" s="16">
        <f>IFERROR(__xludf.DUMMYFUNCTION("""COMPUTED_VALUE"""),0.42479999999999996)</f>
        <v>0.4248</v>
      </c>
      <c r="FT360" s="16"/>
      <c r="FU360" s="16">
        <f>IFERROR(__xludf.DUMMYFUNCTION("""COMPUTED_VALUE"""),0.6607999999999999)</f>
        <v>0.6608</v>
      </c>
      <c r="FV360" s="16"/>
      <c r="FW360" s="16">
        <f>IFERROR(__xludf.DUMMYFUNCTION("""COMPUTED_VALUE"""),-8.0)</f>
        <v>-8</v>
      </c>
      <c r="FX360" s="16">
        <f>IFERROR(__xludf.DUMMYFUNCTION("""COMPUTED_VALUE"""),-4.0)</f>
        <v>-4</v>
      </c>
      <c r="FY360" s="16">
        <f>IFERROR(__xludf.DUMMYFUNCTION("""COMPUTED_VALUE"""),-8.0)</f>
        <v>-8</v>
      </c>
      <c r="FZ360" s="16"/>
      <c r="GA360" s="16">
        <f>IFERROR(__xludf.DUMMYFUNCTION("""COMPUTED_VALUE"""),-5.0)</f>
        <v>-5</v>
      </c>
      <c r="GB360" s="16"/>
      <c r="GC360" s="16">
        <f>IFERROR(__xludf.DUMMYFUNCTION("""COMPUTED_VALUE"""),-1.0)</f>
        <v>-1</v>
      </c>
      <c r="GD360" s="16" t="s">
        <v>176</v>
      </c>
    </row>
    <row r="361">
      <c r="A361" s="16">
        <f>IFERROR(__xludf.DUMMYFUNCTION("""COMPUTED_VALUE"""),13174.0)</f>
        <v>13174</v>
      </c>
      <c r="B361" s="16" t="str">
        <f>IFERROR(__xludf.DUMMYFUNCTION("""COMPUTED_VALUE"""),"Matt Thaiss")</f>
        <v>Matt Thaiss</v>
      </c>
      <c r="C361" s="16">
        <f>IFERROR(__xludf.DUMMYFUNCTION("""COMPUTED_VALUE"""),0.56)</f>
        <v>0.56</v>
      </c>
      <c r="D361" s="16" t="str">
        <f>IFERROR(__xludf.DUMMYFUNCTION("""COMPUTED_VALUE"""),"L")</f>
        <v>L</v>
      </c>
      <c r="E361" s="16"/>
      <c r="F361" s="16"/>
      <c r="G361" s="16">
        <f>IFERROR(__xludf.DUMMYFUNCTION("""COMPUTED_VALUE"""),157.0)</f>
        <v>157</v>
      </c>
      <c r="H361" s="16">
        <f>IFERROR(__xludf.DUMMYFUNCTION("""COMPUTED_VALUE"""),28.0)</f>
        <v>28</v>
      </c>
      <c r="I361" s="16" t="str">
        <f>IFERROR(__xludf.DUMMYFUNCTION("""COMPUTED_VALUE"""),"2p30")</f>
        <v>2p30</v>
      </c>
      <c r="J361" s="16">
        <f>IFERROR(__xludf.DUMMYFUNCTION("""COMPUTED_VALUE"""),84.0)</f>
        <v>84</v>
      </c>
      <c r="K361" s="16">
        <f>IFERROR(__xludf.DUMMYFUNCTION("""COMPUTED_VALUE"""),33.0)</f>
        <v>33</v>
      </c>
      <c r="L361" s="16">
        <f>IFERROR(__xludf.DUMMYFUNCTION("""COMPUTED_VALUE"""),-3.0)</f>
        <v>-3</v>
      </c>
      <c r="M361" s="16">
        <f>IFERROR(__xludf.DUMMYFUNCTION("""COMPUTED_VALUE"""),-1.0)</f>
        <v>-1</v>
      </c>
      <c r="N361" s="16">
        <f>IFERROR(__xludf.DUMMYFUNCTION("""COMPUTED_VALUE"""),-3.0)</f>
        <v>-3</v>
      </c>
      <c r="O361" s="16">
        <f>IFERROR(__xludf.DUMMYFUNCTION("""COMPUTED_VALUE"""),-1.0)</f>
        <v>-1</v>
      </c>
      <c r="P361" s="16">
        <f>IFERROR(__xludf.DUMMYFUNCTION("""COMPUTED_VALUE"""),3.0)</f>
        <v>3</v>
      </c>
      <c r="Q361" s="16">
        <f>IFERROR(__xludf.DUMMYFUNCTION("""COMPUTED_VALUE"""),29.0)</f>
        <v>29</v>
      </c>
      <c r="R361" s="16">
        <f>IFERROR(__xludf.DUMMYFUNCTION("""COMPUTED_VALUE"""),-2.0)</f>
        <v>-2</v>
      </c>
      <c r="S361" s="16">
        <f>IFERROR(__xludf.DUMMYFUNCTION("""COMPUTED_VALUE"""),3.0)</f>
        <v>3</v>
      </c>
      <c r="T361" s="16">
        <f>IFERROR(__xludf.DUMMYFUNCTION("""COMPUTED_VALUE"""),-2.0)</f>
        <v>-2</v>
      </c>
      <c r="U361" s="16">
        <f>IFERROR(__xludf.DUMMYFUNCTION("""COMPUTED_VALUE"""),3.0)</f>
        <v>3</v>
      </c>
      <c r="V361" s="16">
        <f>IFERROR(__xludf.DUMMYFUNCTION("""COMPUTED_VALUE"""),10.4)</f>
        <v>10.4</v>
      </c>
      <c r="W361" s="16">
        <f>IFERROR(__xludf.DUMMYFUNCTION("""COMPUTED_VALUE"""),10.4)</f>
        <v>10.4</v>
      </c>
      <c r="X361" s="16">
        <f>IFERROR(__xludf.DUMMYFUNCTION("""COMPUTED_VALUE"""),-1.0)</f>
        <v>-1</v>
      </c>
      <c r="Y361" s="16">
        <f>IFERROR(__xludf.DUMMYFUNCTION("""COMPUTED_VALUE"""),-2.0)</f>
        <v>-2</v>
      </c>
      <c r="Z361" s="16">
        <f>IFERROR(__xludf.DUMMYFUNCTION("""COMPUTED_VALUE"""),-2.0)</f>
        <v>-2</v>
      </c>
      <c r="AA361" s="16">
        <f>IFERROR(__xludf.DUMMYFUNCTION("""COMPUTED_VALUE"""),-4.0)</f>
        <v>-4</v>
      </c>
      <c r="AB361" s="16">
        <f>IFERROR(__xludf.DUMMYFUNCTION("""COMPUTED_VALUE"""),13.4)</f>
        <v>13.4</v>
      </c>
      <c r="AC361" s="16">
        <f>IFERROR(__xludf.DUMMYFUNCTION("""COMPUTED_VALUE"""),39.5)</f>
        <v>39.5</v>
      </c>
      <c r="AD361" s="16">
        <f>IFERROR(__xludf.DUMMYFUNCTION("""COMPUTED_VALUE"""),-2.0)</f>
        <v>-2</v>
      </c>
      <c r="AE361" s="16">
        <f>IFERROR(__xludf.DUMMYFUNCTION("""COMPUTED_VALUE"""),1.0)</f>
        <v>1</v>
      </c>
      <c r="AF361" s="16">
        <f>IFERROR(__xludf.DUMMYFUNCTION("""COMPUTED_VALUE"""),-10.0)</f>
        <v>-10</v>
      </c>
      <c r="AG361" s="16">
        <f>IFERROR(__xludf.DUMMYFUNCTION("""COMPUTED_VALUE"""),5.0)</f>
        <v>5</v>
      </c>
      <c r="AH361" s="16">
        <f>IFERROR(__xludf.DUMMYFUNCTION("""COMPUTED_VALUE"""),16.6)</f>
        <v>16.6</v>
      </c>
      <c r="AI361" s="16">
        <f>IFERROR(__xludf.DUMMYFUNCTION("""COMPUTED_VALUE"""),23.6)</f>
        <v>23.6</v>
      </c>
      <c r="AJ361" s="16">
        <f>IFERROR(__xludf.DUMMYFUNCTION("""COMPUTED_VALUE"""),-1.0)</f>
        <v>-1</v>
      </c>
      <c r="AK361" s="16">
        <f>IFERROR(__xludf.DUMMYFUNCTION("""COMPUTED_VALUE"""),-1.0)</f>
        <v>-1</v>
      </c>
      <c r="AL361" s="16">
        <f>IFERROR(__xludf.DUMMYFUNCTION("""COMPUTED_VALUE"""),-5.0)</f>
        <v>-5</v>
      </c>
      <c r="AM361" s="16">
        <f>IFERROR(__xludf.DUMMYFUNCTION("""COMPUTED_VALUE"""),-5.0)</f>
        <v>-5</v>
      </c>
      <c r="AN361" s="16">
        <f>IFERROR(__xludf.DUMMYFUNCTION("""COMPUTED_VALUE"""),0.0)</f>
        <v>0</v>
      </c>
      <c r="AO361" s="16">
        <f>IFERROR(__xludf.DUMMYFUNCTION("""COMPUTED_VALUE"""),2.6)</f>
        <v>2.6</v>
      </c>
      <c r="AP361" s="16">
        <f>IFERROR(__xludf.DUMMYFUNCTION("""COMPUTED_VALUE"""),-2.0)</f>
        <v>-2</v>
      </c>
      <c r="AQ361" s="16">
        <f>IFERROR(__xludf.DUMMYFUNCTION("""COMPUTED_VALUE"""),0.0)</f>
        <v>0</v>
      </c>
      <c r="AR361" s="16">
        <f>IFERROR(__xludf.DUMMYFUNCTION("""COMPUTED_VALUE"""),-4.0)</f>
        <v>-4</v>
      </c>
      <c r="AS361" s="16">
        <f>IFERROR(__xludf.DUMMYFUNCTION("""COMPUTED_VALUE"""),0.0)</f>
        <v>0</v>
      </c>
      <c r="AT361" s="16"/>
      <c r="AU361" s="16"/>
      <c r="AV361" s="16">
        <f>IFERROR(__xludf.DUMMYFUNCTION("""COMPUTED_VALUE"""),-3.0)</f>
        <v>-3</v>
      </c>
      <c r="AW361" s="16">
        <f>IFERROR(__xludf.DUMMYFUNCTION("""COMPUTED_VALUE"""),-3.0)</f>
        <v>-3</v>
      </c>
      <c r="AX361" s="16">
        <f>IFERROR(__xludf.DUMMYFUNCTION("""COMPUTED_VALUE"""),-3.0)</f>
        <v>-3</v>
      </c>
      <c r="AY361" s="16">
        <f>IFERROR(__xludf.DUMMYFUNCTION("""COMPUTED_VALUE"""),-3.0)</f>
        <v>-3</v>
      </c>
      <c r="AZ361" s="16">
        <f>IFERROR(__xludf.DUMMYFUNCTION("""COMPUTED_VALUE"""),-9.0)</f>
        <v>-9</v>
      </c>
      <c r="BA361" s="16">
        <f>IFERROR(__xludf.DUMMYFUNCTION("""COMPUTED_VALUE"""),-9.0)</f>
        <v>-9</v>
      </c>
      <c r="BB361" s="16">
        <f>IFERROR(__xludf.DUMMYFUNCTION("""COMPUTED_VALUE"""),5.0)</f>
        <v>5</v>
      </c>
      <c r="BC361" s="16">
        <f>IFERROR(__xludf.DUMMYFUNCTION("""COMPUTED_VALUE"""),5.0)</f>
        <v>5</v>
      </c>
      <c r="BD361" s="16">
        <f>IFERROR(__xludf.DUMMYFUNCTION("""COMPUTED_VALUE"""),1.0)</f>
        <v>1</v>
      </c>
      <c r="BE361" s="16">
        <f>IFERROR(__xludf.DUMMYFUNCTION("""COMPUTED_VALUE"""),1.0)</f>
        <v>1</v>
      </c>
      <c r="BF361" s="16">
        <f>IFERROR(__xludf.DUMMYFUNCTION("""COMPUTED_VALUE"""),1.0)</f>
        <v>1</v>
      </c>
      <c r="BG361" s="16">
        <f>IFERROR(__xludf.DUMMYFUNCTION("""COMPUTED_VALUE"""),1.0)</f>
        <v>1</v>
      </c>
      <c r="BH361" s="16">
        <f>IFERROR(__xludf.DUMMYFUNCTION("""COMPUTED_VALUE"""),6.0)</f>
        <v>6</v>
      </c>
      <c r="BI361" s="16">
        <f>IFERROR(__xludf.DUMMYFUNCTION("""COMPUTED_VALUE"""),5.0)</f>
        <v>5</v>
      </c>
      <c r="BJ361" s="16">
        <f>IFERROR(__xludf.DUMMYFUNCTION("""COMPUTED_VALUE"""),4.0)</f>
        <v>4</v>
      </c>
      <c r="BK361" s="16">
        <f>IFERROR(__xludf.DUMMYFUNCTION("""COMPUTED_VALUE"""),5.0)</f>
        <v>5</v>
      </c>
      <c r="BL361" s="16">
        <f>IFERROR(__xludf.DUMMYFUNCTION("""COMPUTED_VALUE"""),1.0)</f>
        <v>1</v>
      </c>
      <c r="BM361" s="16">
        <f>IFERROR(__xludf.DUMMYFUNCTION("""COMPUTED_VALUE"""),1.0)</f>
        <v>1</v>
      </c>
      <c r="BN361" s="16">
        <f>IFERROR(__xludf.DUMMYFUNCTION("""COMPUTED_VALUE"""),1.0)</f>
        <v>1</v>
      </c>
      <c r="BO361" s="16">
        <f>IFERROR(__xludf.DUMMYFUNCTION("""COMPUTED_VALUE"""),1.0)</f>
        <v>1</v>
      </c>
      <c r="BP361" s="16">
        <f>IFERROR(__xludf.DUMMYFUNCTION("""COMPUTED_VALUE"""),-12.0)</f>
        <v>-12</v>
      </c>
      <c r="BQ361" s="16">
        <f>IFERROR(__xludf.DUMMYFUNCTION("""COMPUTED_VALUE"""),-1.0)</f>
        <v>-1</v>
      </c>
      <c r="BR361" s="16">
        <f>IFERROR(__xludf.DUMMYFUNCTION("""COMPUTED_VALUE"""),-13.0)</f>
        <v>-13</v>
      </c>
      <c r="BS361" s="16" t="str">
        <f>IFERROR(__xludf.DUMMYFUNCTION("""COMPUTED_VALUE"""),"3/- (20-6)")</f>
        <v>3/- (20-6)</v>
      </c>
      <c r="BT361" s="16" t="str">
        <f>IFERROR(__xludf.DUMMYFUNCTION("""COMPUTED_VALUE"""),"C")</f>
        <v>C</v>
      </c>
      <c r="BU361" s="16">
        <f>IFERROR(__xludf.DUMMYFUNCTION("""COMPUTED_VALUE"""),9.0)</f>
        <v>9</v>
      </c>
      <c r="BV361" s="16">
        <f>IFERROR(__xludf.DUMMYFUNCTION("""COMPUTED_VALUE"""),0.0)</f>
        <v>0</v>
      </c>
      <c r="BW361" s="16">
        <f>IFERROR(__xludf.DUMMYFUNCTION("""COMPUTED_VALUE"""),-1.0)</f>
        <v>-1</v>
      </c>
      <c r="BX361" s="16">
        <f>IFERROR(__xludf.DUMMYFUNCTION("""COMPUTED_VALUE"""),0.0)</f>
        <v>0</v>
      </c>
      <c r="BY361" s="16">
        <f>IFERROR(__xludf.DUMMYFUNCTION("""COMPUTED_VALUE"""),-3.0)</f>
        <v>-3</v>
      </c>
      <c r="BZ361" s="16" t="str">
        <f>IFERROR(__xludf.DUMMYFUNCTION("""COMPUTED_VALUE"""),"D")</f>
        <v>D</v>
      </c>
      <c r="CA361" s="16" t="str">
        <f>IFERROR(__xludf.DUMMYFUNCTION("""COMPUTED_VALUE"""),"D")</f>
        <v>D</v>
      </c>
      <c r="CB361" s="16">
        <f>IFERROR(__xludf.DUMMYFUNCTION("""COMPUTED_VALUE"""),0.0)</f>
        <v>0</v>
      </c>
      <c r="CC361" s="16">
        <f>IFERROR(__xludf.DUMMYFUNCTION("""COMPUTED_VALUE"""),0.0)</f>
        <v>0</v>
      </c>
      <c r="CD361" s="16">
        <f>IFERROR(__xludf.DUMMYFUNCTION("""COMPUTED_VALUE"""),0.0)</f>
        <v>0</v>
      </c>
      <c r="CE361" s="16">
        <f>IFERROR(__xludf.DUMMYFUNCTION("""COMPUTED_VALUE"""),0.0)</f>
        <v>0</v>
      </c>
      <c r="CF361" s="16">
        <f>IFERROR(__xludf.DUMMYFUNCTION("""COMPUTED_VALUE"""),2.0)</f>
        <v>2</v>
      </c>
      <c r="CG361" s="16">
        <f>IFERROR(__xludf.DUMMYFUNCTION("""COMPUTED_VALUE"""),-33.0)</f>
        <v>-33</v>
      </c>
      <c r="CH361" s="16">
        <f>IFERROR(__xludf.DUMMYFUNCTION("""COMPUTED_VALUE"""),-9.0)</f>
        <v>-9</v>
      </c>
      <c r="CI361" s="179">
        <f>IFERROR(__xludf.DUMMYFUNCTION("""COMPUTED_VALUE"""),-16.0)</f>
        <v>-16</v>
      </c>
      <c r="CJ361" s="16">
        <f>IFERROR(__xludf.DUMMYFUNCTION("""COMPUTED_VALUE"""),304.0)</f>
        <v>304</v>
      </c>
      <c r="CK361" s="16"/>
      <c r="CL361" s="16"/>
      <c r="CM361" s="16"/>
      <c r="CN361" s="16"/>
      <c r="CO361" s="16"/>
      <c r="CP361" s="16"/>
      <c r="CQ361" s="16"/>
      <c r="CR361" s="16" t="str">
        <f>IFERROR(__xludf.DUMMYFUNCTION("""COMPUTED_VALUE"""),"c-3(+1)e4,T-15(pb-0)")</f>
        <v>c-3(+1)e4,T-15(pb-0)</v>
      </c>
      <c r="CS361" s="16">
        <f>IFERROR(__xludf.DUMMYFUNCTION("""COMPUTED_VALUE"""),3.0)</f>
        <v>3</v>
      </c>
      <c r="CT361" s="16"/>
      <c r="CU361" s="16"/>
      <c r="CV361" s="16"/>
      <c r="CW361" s="16"/>
      <c r="CX361" s="16"/>
      <c r="CY361" s="16"/>
      <c r="CZ361" s="16"/>
      <c r="DA361" s="16">
        <f>IFERROR(__xludf.DUMMYFUNCTION("""COMPUTED_VALUE"""),4.0)</f>
        <v>4</v>
      </c>
      <c r="DB361" s="16"/>
      <c r="DC361" s="16"/>
      <c r="DD361" s="16"/>
      <c r="DE361" s="16"/>
      <c r="DF361" s="16"/>
      <c r="DG361" s="16"/>
      <c r="DH361" s="16"/>
      <c r="DI361" s="16">
        <f>IFERROR(__xludf.DUMMYFUNCTION("""COMPUTED_VALUE"""),0.0)</f>
        <v>0</v>
      </c>
      <c r="DJ361" s="16"/>
      <c r="DK361" s="16"/>
      <c r="DL361" s="16"/>
      <c r="DM361" s="16"/>
      <c r="DN361" s="16"/>
      <c r="DO361" s="16"/>
      <c r="DP361" s="16"/>
      <c r="DQ361" s="16">
        <f>IFERROR(__xludf.DUMMYFUNCTION("""COMPUTED_VALUE"""),3.0)</f>
        <v>3</v>
      </c>
      <c r="DR361" s="16"/>
      <c r="DS361" s="16"/>
      <c r="DT361" s="16"/>
      <c r="DU361" s="16"/>
      <c r="DV361" s="16"/>
      <c r="DW361" s="16"/>
      <c r="DX361" s="16"/>
      <c r="DY361" s="16">
        <f>IFERROR(__xludf.DUMMYFUNCTION("""COMPUTED_VALUE"""),3.0)</f>
        <v>3</v>
      </c>
      <c r="DZ361" s="16"/>
      <c r="EA361" s="16"/>
      <c r="EB361" s="16"/>
      <c r="EC361" s="16"/>
      <c r="ED361" s="16"/>
      <c r="EE361" s="16"/>
      <c r="EF361" s="16"/>
      <c r="EG361" s="179">
        <f>IFERROR(__xludf.DUMMYFUNCTION("""COMPUTED_VALUE"""),-12.0)</f>
        <v>-12</v>
      </c>
      <c r="EH361" s="179"/>
      <c r="EI361" s="179"/>
      <c r="EJ361" s="179"/>
      <c r="EK361" s="179"/>
      <c r="EL361" s="179"/>
      <c r="EM361" s="179"/>
      <c r="EN361" s="179"/>
      <c r="EO361" s="16">
        <f>IFERROR(__xludf.DUMMYFUNCTION("""COMPUTED_VALUE"""),1.0)</f>
        <v>1</v>
      </c>
      <c r="EP361" s="16">
        <f>IFERROR(__xludf.DUMMYFUNCTION("""COMPUTED_VALUE"""),2.0)</f>
        <v>2</v>
      </c>
      <c r="EQ361" s="16">
        <f>IFERROR(__xludf.DUMMYFUNCTION("""COMPUTED_VALUE"""),2.0)</f>
        <v>2</v>
      </c>
      <c r="ER361" s="16">
        <f>IFERROR(__xludf.DUMMYFUNCTION("""COMPUTED_VALUE"""),-2.0)</f>
        <v>-2</v>
      </c>
      <c r="ES361" s="16" t="str">
        <f>IFERROR(__xludf.DUMMYFUNCTION("""COMPUTED_VALUE"""),"c-3")</f>
        <v>c-3</v>
      </c>
      <c r="ET361" s="16" t="str">
        <f>IFERROR(__xludf.DUMMYFUNCTION("""COMPUTED_VALUE"""),"+1)e4,T-15")</f>
        <v>+1)e4,T-15</v>
      </c>
      <c r="EU361" s="16" t="str">
        <f>IFERROR(__xludf.DUMMYFUNCTION("""COMPUTED_VALUE"""),"pb-0)")</f>
        <v>pb-0)</v>
      </c>
      <c r="EV361" s="16"/>
      <c r="EW361" s="16">
        <f>IFERROR(__xludf.DUMMYFUNCTION("""COMPUTED_VALUE"""),1.0)</f>
        <v>1</v>
      </c>
      <c r="EX361" s="180">
        <f>IFERROR(__xludf.DUMMYFUNCTION("""COMPUTED_VALUE"""),0.2)</f>
        <v>0.2</v>
      </c>
      <c r="EY361" s="180"/>
      <c r="EZ361" s="180"/>
      <c r="FA361" s="180"/>
      <c r="FB361" s="180"/>
      <c r="FC361" s="180"/>
      <c r="FD361" s="180"/>
      <c r="FE361" s="180"/>
      <c r="FF361" s="180">
        <f>IFERROR(__xludf.DUMMYFUNCTION("""COMPUTED_VALUE"""),0.047)</f>
        <v>0.047</v>
      </c>
      <c r="FG361" s="180"/>
      <c r="FH361" s="180"/>
      <c r="FI361" s="180"/>
      <c r="FJ361" s="180"/>
      <c r="FK361" s="180"/>
      <c r="FL361" s="180"/>
      <c r="FM361" s="180"/>
      <c r="FN361" s="16">
        <f>IFERROR(__xludf.DUMMYFUNCTION("""COMPUTED_VALUE"""),0.7624)</f>
        <v>0.7624</v>
      </c>
      <c r="FO361" s="16"/>
      <c r="FP361" s="16"/>
      <c r="FQ361" s="16"/>
      <c r="FR361" s="16"/>
      <c r="FS361" s="16"/>
      <c r="FT361" s="16"/>
      <c r="FU361" s="16"/>
      <c r="FV361" s="16">
        <f>IFERROR(__xludf.DUMMYFUNCTION("""COMPUTED_VALUE"""),-2.0)</f>
        <v>-2</v>
      </c>
      <c r="FW361" s="16"/>
      <c r="FX361" s="16"/>
      <c r="FY361" s="16"/>
      <c r="FZ361" s="16"/>
      <c r="GA361" s="16"/>
      <c r="GB361" s="16"/>
      <c r="GC361" s="16"/>
      <c r="GD361" s="16" t="s">
        <v>200</v>
      </c>
    </row>
    <row r="362">
      <c r="A362" s="16">
        <f>IFERROR(__xludf.DUMMYFUNCTION("""COMPUTED_VALUE"""),12680.0)</f>
        <v>12680</v>
      </c>
      <c r="B362" s="16" t="str">
        <f>IFERROR(__xludf.DUMMYFUNCTION("""COMPUTED_VALUE"""),"Chris Taylor")</f>
        <v>Chris Taylor</v>
      </c>
      <c r="C362" s="16">
        <f>IFERROR(__xludf.DUMMYFUNCTION("""COMPUTED_VALUE"""),0.0)</f>
        <v>0</v>
      </c>
      <c r="D362" s="16" t="str">
        <f>IFERROR(__xludf.DUMMYFUNCTION("""COMPUTED_VALUE"""),"R")</f>
        <v>R</v>
      </c>
      <c r="E362" s="16"/>
      <c r="F362" s="16"/>
      <c r="G362" s="16">
        <f>IFERROR(__xludf.DUMMYFUNCTION("""COMPUTED_VALUE"""),213.0)</f>
        <v>213</v>
      </c>
      <c r="H362" s="16">
        <f>IFERROR(__xludf.DUMMYFUNCTION("""COMPUTED_VALUE"""),28.0)</f>
        <v>28</v>
      </c>
      <c r="I362" s="16" t="str">
        <f>IFERROR(__xludf.DUMMYFUNCTION("""COMPUTED_VALUE"""),"2p40")</f>
        <v>2p40</v>
      </c>
      <c r="J362" s="16">
        <f>IFERROR(__xludf.DUMMYFUNCTION("""COMPUTED_VALUE"""),43.0)</f>
        <v>43</v>
      </c>
      <c r="K362" s="16">
        <f>IFERROR(__xludf.DUMMYFUNCTION("""COMPUTED_VALUE"""),42.0)</f>
        <v>42</v>
      </c>
      <c r="L362" s="16">
        <f>IFERROR(__xludf.DUMMYFUNCTION("""COMPUTED_VALUE"""),-1.0)</f>
        <v>-1</v>
      </c>
      <c r="M362" s="16">
        <f>IFERROR(__xludf.DUMMYFUNCTION("""COMPUTED_VALUE"""),-2.0)</f>
        <v>-2</v>
      </c>
      <c r="N362" s="16">
        <f>IFERROR(__xludf.DUMMYFUNCTION("""COMPUTED_VALUE"""),-1.0)</f>
        <v>-1</v>
      </c>
      <c r="O362" s="16">
        <f>IFERROR(__xludf.DUMMYFUNCTION("""COMPUTED_VALUE"""),-2.0)</f>
        <v>-2</v>
      </c>
      <c r="P362" s="16">
        <f>IFERROR(__xludf.DUMMYFUNCTION("""COMPUTED_VALUE"""),21.0)</f>
        <v>21</v>
      </c>
      <c r="Q362" s="16">
        <f>IFERROR(__xludf.DUMMYFUNCTION("""COMPUTED_VALUE"""),14.0)</f>
        <v>14</v>
      </c>
      <c r="R362" s="16">
        <f>IFERROR(__xludf.DUMMYFUNCTION("""COMPUTED_VALUE"""),3.0)</f>
        <v>3</v>
      </c>
      <c r="S362" s="16">
        <f>IFERROR(__xludf.DUMMYFUNCTION("""COMPUTED_VALUE"""),2.0)</f>
        <v>2</v>
      </c>
      <c r="T362" s="16">
        <f>IFERROR(__xludf.DUMMYFUNCTION("""COMPUTED_VALUE"""),3.0)</f>
        <v>3</v>
      </c>
      <c r="U362" s="16">
        <f>IFERROR(__xludf.DUMMYFUNCTION("""COMPUTED_VALUE"""),2.0)</f>
        <v>2</v>
      </c>
      <c r="V362" s="16">
        <f>IFERROR(__xludf.DUMMYFUNCTION("""COMPUTED_VALUE"""),6.3)</f>
        <v>6.3</v>
      </c>
      <c r="W362" s="16">
        <f>IFERROR(__xludf.DUMMYFUNCTION("""COMPUTED_VALUE"""),13.4)</f>
        <v>13.4</v>
      </c>
      <c r="X362" s="16">
        <f>IFERROR(__xludf.DUMMYFUNCTION("""COMPUTED_VALUE"""),-2.0)</f>
        <v>-2</v>
      </c>
      <c r="Y362" s="16">
        <f>IFERROR(__xludf.DUMMYFUNCTION("""COMPUTED_VALUE"""),-1.0)</f>
        <v>-1</v>
      </c>
      <c r="Z362" s="16">
        <f>IFERROR(__xludf.DUMMYFUNCTION("""COMPUTED_VALUE"""),-4.0)</f>
        <v>-4</v>
      </c>
      <c r="AA362" s="16">
        <f>IFERROR(__xludf.DUMMYFUNCTION("""COMPUTED_VALUE"""),-2.0)</f>
        <v>-2</v>
      </c>
      <c r="AB362" s="16">
        <f>IFERROR(__xludf.DUMMYFUNCTION("""COMPUTED_VALUE"""),29.4)</f>
        <v>29.4</v>
      </c>
      <c r="AC362" s="16">
        <f>IFERROR(__xludf.DUMMYFUNCTION("""COMPUTED_VALUE"""),29.4)</f>
        <v>29.4</v>
      </c>
      <c r="AD362" s="16">
        <f>IFERROR(__xludf.DUMMYFUNCTION("""COMPUTED_VALUE"""),0.0)</f>
        <v>0</v>
      </c>
      <c r="AE362" s="16">
        <f>IFERROR(__xludf.DUMMYFUNCTION("""COMPUTED_VALUE"""),0.0)</f>
        <v>0</v>
      </c>
      <c r="AF362" s="16">
        <f>IFERROR(__xludf.DUMMYFUNCTION("""COMPUTED_VALUE"""),0.0)</f>
        <v>0</v>
      </c>
      <c r="AG362" s="16">
        <f>IFERROR(__xludf.DUMMYFUNCTION("""COMPUTED_VALUE"""),0.0)</f>
        <v>0</v>
      </c>
      <c r="AH362" s="16">
        <f>IFERROR(__xludf.DUMMYFUNCTION("""COMPUTED_VALUE"""),16.1)</f>
        <v>16.1</v>
      </c>
      <c r="AI362" s="16">
        <f>IFERROR(__xludf.DUMMYFUNCTION("""COMPUTED_VALUE"""),19.1)</f>
        <v>19.1</v>
      </c>
      <c r="AJ362" s="16">
        <f>IFERROR(__xludf.DUMMYFUNCTION("""COMPUTED_VALUE"""),-1.0)</f>
        <v>-1</v>
      </c>
      <c r="AK362" s="16">
        <f>IFERROR(__xludf.DUMMYFUNCTION("""COMPUTED_VALUE"""),-2.0)</f>
        <v>-2</v>
      </c>
      <c r="AL362" s="16">
        <f>IFERROR(__xludf.DUMMYFUNCTION("""COMPUTED_VALUE"""),-5.0)</f>
        <v>-5</v>
      </c>
      <c r="AM362" s="16">
        <f>IFERROR(__xludf.DUMMYFUNCTION("""COMPUTED_VALUE"""),-10.0)</f>
        <v>-10</v>
      </c>
      <c r="AN362" s="16">
        <f>IFERROR(__xludf.DUMMYFUNCTION("""COMPUTED_VALUE"""),2.0)</f>
        <v>2</v>
      </c>
      <c r="AO362" s="16">
        <f>IFERROR(__xludf.DUMMYFUNCTION("""COMPUTED_VALUE"""),0.7)</f>
        <v>0.7</v>
      </c>
      <c r="AP362" s="16">
        <f>IFERROR(__xludf.DUMMYFUNCTION("""COMPUTED_VALUE"""),0.0)</f>
        <v>0</v>
      </c>
      <c r="AQ362" s="16">
        <f>IFERROR(__xludf.DUMMYFUNCTION("""COMPUTED_VALUE"""),-2.0)</f>
        <v>-2</v>
      </c>
      <c r="AR362" s="16">
        <f>IFERROR(__xludf.DUMMYFUNCTION("""COMPUTED_VALUE"""),0.0)</f>
        <v>0</v>
      </c>
      <c r="AS362" s="16">
        <f>IFERROR(__xludf.DUMMYFUNCTION("""COMPUTED_VALUE"""),-4.0)</f>
        <v>-4</v>
      </c>
      <c r="AT362" s="16"/>
      <c r="AU362" s="16">
        <f>IFERROR(__xludf.DUMMYFUNCTION("""COMPUTED_VALUE"""),1.0)</f>
        <v>1</v>
      </c>
      <c r="AV362" s="16">
        <f>IFERROR(__xludf.DUMMYFUNCTION("""COMPUTED_VALUE"""),-3.0)</f>
        <v>-3</v>
      </c>
      <c r="AW362" s="16">
        <f>IFERROR(__xludf.DUMMYFUNCTION("""COMPUTED_VALUE"""),1.0)</f>
        <v>1</v>
      </c>
      <c r="AX362" s="16">
        <f>IFERROR(__xludf.DUMMYFUNCTION("""COMPUTED_VALUE"""),-3.0)</f>
        <v>-3</v>
      </c>
      <c r="AY362" s="16">
        <f>IFERROR(__xludf.DUMMYFUNCTION("""COMPUTED_VALUE"""),-1.0)</f>
        <v>-1</v>
      </c>
      <c r="AZ362" s="16">
        <f>IFERROR(__xludf.DUMMYFUNCTION("""COMPUTED_VALUE"""),-9.0)</f>
        <v>-9</v>
      </c>
      <c r="BA362" s="16">
        <f>IFERROR(__xludf.DUMMYFUNCTION("""COMPUTED_VALUE"""),-3.0)</f>
        <v>-3</v>
      </c>
      <c r="BB362" s="16">
        <f>IFERROR(__xludf.DUMMYFUNCTION("""COMPUTED_VALUE"""),5.0)</f>
        <v>5</v>
      </c>
      <c r="BC362" s="16">
        <f>IFERROR(__xludf.DUMMYFUNCTION("""COMPUTED_VALUE"""),5.0)</f>
        <v>5</v>
      </c>
      <c r="BD362" s="16">
        <f>IFERROR(__xludf.DUMMYFUNCTION("""COMPUTED_VALUE"""),1.0)</f>
        <v>1</v>
      </c>
      <c r="BE362" s="16">
        <f>IFERROR(__xludf.DUMMYFUNCTION("""COMPUTED_VALUE"""),1.0)</f>
        <v>1</v>
      </c>
      <c r="BF362" s="16">
        <f>IFERROR(__xludf.DUMMYFUNCTION("""COMPUTED_VALUE"""),1.0)</f>
        <v>1</v>
      </c>
      <c r="BG362" s="16">
        <f>IFERROR(__xludf.DUMMYFUNCTION("""COMPUTED_VALUE"""),1.0)</f>
        <v>1</v>
      </c>
      <c r="BH362" s="16">
        <f>IFERROR(__xludf.DUMMYFUNCTION("""COMPUTED_VALUE"""),4.0)</f>
        <v>4</v>
      </c>
      <c r="BI362" s="16">
        <f>IFERROR(__xludf.DUMMYFUNCTION("""COMPUTED_VALUE"""),5.0)</f>
        <v>5</v>
      </c>
      <c r="BJ362" s="16">
        <f>IFERROR(__xludf.DUMMYFUNCTION("""COMPUTED_VALUE"""),15.0)</f>
        <v>15</v>
      </c>
      <c r="BK362" s="16">
        <f>IFERROR(__xludf.DUMMYFUNCTION("""COMPUTED_VALUE"""),13.0)</f>
        <v>13</v>
      </c>
      <c r="BL362" s="16">
        <f>IFERROR(__xludf.DUMMYFUNCTION("""COMPUTED_VALUE"""),-1.0)</f>
        <v>-1</v>
      </c>
      <c r="BM362" s="16">
        <f>IFERROR(__xludf.DUMMYFUNCTION("""COMPUTED_VALUE"""),0.0)</f>
        <v>0</v>
      </c>
      <c r="BN362" s="16">
        <f>IFERROR(__xludf.DUMMYFUNCTION("""COMPUTED_VALUE"""),-2.0)</f>
        <v>-2</v>
      </c>
      <c r="BO362" s="16">
        <f>IFERROR(__xludf.DUMMYFUNCTION("""COMPUTED_VALUE"""),0.0)</f>
        <v>0</v>
      </c>
      <c r="BP362" s="16">
        <f>IFERROR(__xludf.DUMMYFUNCTION("""COMPUTED_VALUE"""),-4.0)</f>
        <v>-4</v>
      </c>
      <c r="BQ362" s="16">
        <f>IFERROR(__xludf.DUMMYFUNCTION("""COMPUTED_VALUE"""),-5.0)</f>
        <v>-5</v>
      </c>
      <c r="BR362" s="16">
        <f>IFERROR(__xludf.DUMMYFUNCTION("""COMPUTED_VALUE"""),-9.0)</f>
        <v>-9</v>
      </c>
      <c r="BS362" s="16" t="str">
        <f>IFERROR(__xludf.DUMMYFUNCTION("""COMPUTED_VALUE"""),"*6/- (19-6)")</f>
        <v>*6/- (19-6)</v>
      </c>
      <c r="BT362" s="16" t="str">
        <f>IFERROR(__xludf.DUMMYFUNCTION("""COMPUTED_VALUE"""),"B")</f>
        <v>B</v>
      </c>
      <c r="BU362" s="16">
        <f>IFERROR(__xludf.DUMMYFUNCTION("""COMPUTED_VALUE"""),14.0)</f>
        <v>14</v>
      </c>
      <c r="BV362" s="16">
        <f>IFERROR(__xludf.DUMMYFUNCTION("""COMPUTED_VALUE"""),1.0)</f>
        <v>1</v>
      </c>
      <c r="BW362" s="16">
        <f>IFERROR(__xludf.DUMMYFUNCTION("""COMPUTED_VALUE"""),1.0)</f>
        <v>1</v>
      </c>
      <c r="BX362" s="16">
        <f>IFERROR(__xludf.DUMMYFUNCTION("""COMPUTED_VALUE"""),2.0)</f>
        <v>2</v>
      </c>
      <c r="BY362" s="16">
        <f>IFERROR(__xludf.DUMMYFUNCTION("""COMPUTED_VALUE"""),3.0)</f>
        <v>3</v>
      </c>
      <c r="BZ362" s="16" t="str">
        <f>IFERROR(__xludf.DUMMYFUNCTION("""COMPUTED_VALUE"""),"D")</f>
        <v>D</v>
      </c>
      <c r="CA362" s="16" t="str">
        <f>IFERROR(__xludf.DUMMYFUNCTION("""COMPUTED_VALUE"""),"D")</f>
        <v>D</v>
      </c>
      <c r="CB362" s="16">
        <f>IFERROR(__xludf.DUMMYFUNCTION("""COMPUTED_VALUE"""),0.0)</f>
        <v>0</v>
      </c>
      <c r="CC362" s="16">
        <f>IFERROR(__xludf.DUMMYFUNCTION("""COMPUTED_VALUE"""),0.0)</f>
        <v>0</v>
      </c>
      <c r="CD362" s="16">
        <f>IFERROR(__xludf.DUMMYFUNCTION("""COMPUTED_VALUE"""),0.0)</f>
        <v>0</v>
      </c>
      <c r="CE362" s="16">
        <f>IFERROR(__xludf.DUMMYFUNCTION("""COMPUTED_VALUE"""),0.0)</f>
        <v>0</v>
      </c>
      <c r="CF362" s="16">
        <f>IFERROR(__xludf.DUMMYFUNCTION("""COMPUTED_VALUE"""),2.0)</f>
        <v>2</v>
      </c>
      <c r="CG362" s="16">
        <f>IFERROR(__xludf.DUMMYFUNCTION("""COMPUTED_VALUE"""),-17.0)</f>
        <v>-17</v>
      </c>
      <c r="CH362" s="16">
        <f>IFERROR(__xludf.DUMMYFUNCTION("""COMPUTED_VALUE"""),-18.0)</f>
        <v>-18</v>
      </c>
      <c r="CI362" s="179">
        <f>IFERROR(__xludf.DUMMYFUNCTION("""COMPUTED_VALUE"""),-16.0)</f>
        <v>-16</v>
      </c>
      <c r="CJ362" s="16"/>
      <c r="CK362" s="16"/>
      <c r="CL362" s="16">
        <f>IFERROR(__xludf.DUMMYFUNCTION("""COMPUTED_VALUE"""),412.0)</f>
        <v>412</v>
      </c>
      <c r="CM362" s="16">
        <f>IFERROR(__xludf.DUMMYFUNCTION("""COMPUTED_VALUE"""),406.0)</f>
        <v>406</v>
      </c>
      <c r="CN362" s="16"/>
      <c r="CO362" s="16">
        <f>IFERROR(__xludf.DUMMYFUNCTION("""COMPUTED_VALUE"""),305.0)</f>
        <v>305</v>
      </c>
      <c r="CP362" s="16">
        <f>IFERROR(__xludf.DUMMYFUNCTION("""COMPUTED_VALUE"""),405.0)</f>
        <v>405</v>
      </c>
      <c r="CQ362" s="16"/>
      <c r="CR362" s="16" t="str">
        <f>IFERROR(__xludf.DUMMYFUNCTION("""COMPUTED_VALUE"""),"lf-3(0)e5 3b-4e6 2b-4e12 cf-4e5")</f>
        <v>lf-3(0)e5 3b-4e6 2b-4e12 cf-4e5</v>
      </c>
      <c r="CS362" s="16"/>
      <c r="CT362" s="16"/>
      <c r="CU362" s="16">
        <f>IFERROR(__xludf.DUMMYFUNCTION("""COMPUTED_VALUE"""),4.0)</f>
        <v>4</v>
      </c>
      <c r="CV362" s="16">
        <f>IFERROR(__xludf.DUMMYFUNCTION("""COMPUTED_VALUE"""),4.0)</f>
        <v>4</v>
      </c>
      <c r="CW362" s="16"/>
      <c r="CX362" s="16">
        <f>IFERROR(__xludf.DUMMYFUNCTION("""COMPUTED_VALUE"""),3.0)</f>
        <v>3</v>
      </c>
      <c r="CY362" s="16">
        <f>IFERROR(__xludf.DUMMYFUNCTION("""COMPUTED_VALUE"""),4.0)</f>
        <v>4</v>
      </c>
      <c r="CZ362" s="16"/>
      <c r="DA362" s="16"/>
      <c r="DB362" s="16"/>
      <c r="DC362" s="16">
        <f>IFERROR(__xludf.DUMMYFUNCTION("""COMPUTED_VALUE"""),12.0)</f>
        <v>12</v>
      </c>
      <c r="DD362" s="16">
        <f>IFERROR(__xludf.DUMMYFUNCTION("""COMPUTED_VALUE"""),6.0)</f>
        <v>6</v>
      </c>
      <c r="DE362" s="16"/>
      <c r="DF362" s="16">
        <f>IFERROR(__xludf.DUMMYFUNCTION("""COMPUTED_VALUE"""),5.0)</f>
        <v>5</v>
      </c>
      <c r="DG362" s="16">
        <f>IFERROR(__xludf.DUMMYFUNCTION("""COMPUTED_VALUE"""),5.0)</f>
        <v>5</v>
      </c>
      <c r="DH362" s="16"/>
      <c r="DI362" s="16"/>
      <c r="DJ362" s="16"/>
      <c r="DK362" s="16">
        <f>IFERROR(__xludf.DUMMYFUNCTION("""COMPUTED_VALUE"""),-2.0)</f>
        <v>-2</v>
      </c>
      <c r="DL362" s="16">
        <f>IFERROR(__xludf.DUMMYFUNCTION("""COMPUTED_VALUE"""),0.0)</f>
        <v>0</v>
      </c>
      <c r="DM362" s="16"/>
      <c r="DN362" s="16">
        <f>IFERROR(__xludf.DUMMYFUNCTION("""COMPUTED_VALUE"""),0.0)</f>
        <v>0</v>
      </c>
      <c r="DO362" s="16">
        <f>IFERROR(__xludf.DUMMYFUNCTION("""COMPUTED_VALUE"""),-2.0)</f>
        <v>-2</v>
      </c>
      <c r="DP362" s="16"/>
      <c r="DQ362" s="16"/>
      <c r="DR362" s="16"/>
      <c r="DS362" s="16">
        <f>IFERROR(__xludf.DUMMYFUNCTION("""COMPUTED_VALUE"""),2.0)</f>
        <v>2</v>
      </c>
      <c r="DT362" s="16">
        <f>IFERROR(__xludf.DUMMYFUNCTION("""COMPUTED_VALUE"""),2.0)</f>
        <v>2</v>
      </c>
      <c r="DU362" s="16"/>
      <c r="DV362" s="16">
        <f>IFERROR(__xludf.DUMMYFUNCTION("""COMPUTED_VALUE"""),2.0)</f>
        <v>2</v>
      </c>
      <c r="DW362" s="16">
        <f>IFERROR(__xludf.DUMMYFUNCTION("""COMPUTED_VALUE"""),3.0)</f>
        <v>3</v>
      </c>
      <c r="DX362" s="16"/>
      <c r="DY362" s="16"/>
      <c r="DZ362" s="16"/>
      <c r="EA362" s="16">
        <f>IFERROR(__xludf.DUMMYFUNCTION("""COMPUTED_VALUE"""),0.0)</f>
        <v>0</v>
      </c>
      <c r="EB362" s="16">
        <f>IFERROR(__xludf.DUMMYFUNCTION("""COMPUTED_VALUE"""),2.0)</f>
        <v>2</v>
      </c>
      <c r="EC362" s="16"/>
      <c r="ED362" s="16">
        <f>IFERROR(__xludf.DUMMYFUNCTION("""COMPUTED_VALUE"""),2.0)</f>
        <v>2</v>
      </c>
      <c r="EE362" s="16">
        <f>IFERROR(__xludf.DUMMYFUNCTION("""COMPUTED_VALUE"""),1.0)</f>
        <v>1</v>
      </c>
      <c r="EF362" s="16"/>
      <c r="EG362" s="179"/>
      <c r="EH362" s="179"/>
      <c r="EI362" s="179">
        <f>IFERROR(__xludf.DUMMYFUNCTION("""COMPUTED_VALUE"""),-16.0)</f>
        <v>-16</v>
      </c>
      <c r="EJ362" s="179">
        <f>IFERROR(__xludf.DUMMYFUNCTION("""COMPUTED_VALUE"""),-14.0)</f>
        <v>-14</v>
      </c>
      <c r="EK362" s="179"/>
      <c r="EL362" s="179">
        <f>IFERROR(__xludf.DUMMYFUNCTION("""COMPUTED_VALUE"""),-14.0)</f>
        <v>-14</v>
      </c>
      <c r="EM362" s="179">
        <f>IFERROR(__xludf.DUMMYFUNCTION("""COMPUTED_VALUE"""),-15.0)</f>
        <v>-15</v>
      </c>
      <c r="EN362" s="179"/>
      <c r="EO362" s="16"/>
      <c r="EP362" s="16">
        <f>IFERROR(__xludf.DUMMYFUNCTION("""COMPUTED_VALUE"""),1.0)</f>
        <v>1</v>
      </c>
      <c r="EQ362" s="16">
        <f>IFERROR(__xludf.DUMMYFUNCTION("""COMPUTED_VALUE"""),2.0)</f>
        <v>2</v>
      </c>
      <c r="ER362" s="16">
        <f>IFERROR(__xludf.DUMMYFUNCTION("""COMPUTED_VALUE"""),-1.0)</f>
        <v>-1</v>
      </c>
      <c r="ES362" s="16"/>
      <c r="ET362" s="16"/>
      <c r="EU362" s="16"/>
      <c r="EV362" s="16"/>
      <c r="EW362" s="16"/>
      <c r="EX362" s="180"/>
      <c r="EY362" s="180"/>
      <c r="EZ362" s="180">
        <f>IFERROR(__xludf.DUMMYFUNCTION("""COMPUTED_VALUE"""),0.3)</f>
        <v>0.3</v>
      </c>
      <c r="FA362" s="180">
        <f>IFERROR(__xludf.DUMMYFUNCTION("""COMPUTED_VALUE"""),0.3)</f>
        <v>0.3</v>
      </c>
      <c r="FB362" s="180"/>
      <c r="FC362" s="180">
        <f>IFERROR(__xludf.DUMMYFUNCTION("""COMPUTED_VALUE"""),0.3)</f>
        <v>0.3</v>
      </c>
      <c r="FD362" s="180">
        <f>IFERROR(__xludf.DUMMYFUNCTION("""COMPUTED_VALUE"""),0.55)</f>
        <v>0.55</v>
      </c>
      <c r="FE362" s="180"/>
      <c r="FF362" s="180"/>
      <c r="FG362" s="180"/>
      <c r="FH362" s="180">
        <f>IFERROR(__xludf.DUMMYFUNCTION("""COMPUTED_VALUE"""),0.06944444444444445)</f>
        <v>0.06944444444</v>
      </c>
      <c r="FI362" s="180">
        <f>IFERROR(__xludf.DUMMYFUNCTION("""COMPUTED_VALUE"""),0.07407407407407407)</f>
        <v>0.07407407407</v>
      </c>
      <c r="FJ362" s="180"/>
      <c r="FK362" s="180">
        <f>IFERROR(__xludf.DUMMYFUNCTION("""COMPUTED_VALUE"""),0.088)</f>
        <v>0.088</v>
      </c>
      <c r="FL362" s="180">
        <f>IFERROR(__xludf.DUMMYFUNCTION("""COMPUTED_VALUE"""),0.06018518518518518)</f>
        <v>0.06018518519</v>
      </c>
      <c r="FM362" s="180"/>
      <c r="FN362" s="16"/>
      <c r="FO362" s="16"/>
      <c r="FP362" s="16">
        <f>IFERROR(__xludf.DUMMYFUNCTION("""COMPUTED_VALUE"""),0.6513888888888889)</f>
        <v>0.6513888889</v>
      </c>
      <c r="FQ362" s="16">
        <f>IFERROR(__xludf.DUMMYFUNCTION("""COMPUTED_VALUE"""),0.6481481481481481)</f>
        <v>0.6481481481</v>
      </c>
      <c r="FR362" s="16"/>
      <c r="FS362" s="16">
        <f>IFERROR(__xludf.DUMMYFUNCTION("""COMPUTED_VALUE"""),0.6384)</f>
        <v>0.6384</v>
      </c>
      <c r="FT362" s="16">
        <f>IFERROR(__xludf.DUMMYFUNCTION("""COMPUTED_VALUE"""),0.4229166666666666)</f>
        <v>0.4229166667</v>
      </c>
      <c r="FU362" s="16"/>
      <c r="FV362" s="16"/>
      <c r="FW362" s="16"/>
      <c r="FX362" s="16">
        <f>IFERROR(__xludf.DUMMYFUNCTION("""COMPUTED_VALUE"""),-4.0)</f>
        <v>-4</v>
      </c>
      <c r="FY362" s="16">
        <f>IFERROR(__xludf.DUMMYFUNCTION("""COMPUTED_VALUE"""),-6.0)</f>
        <v>-6</v>
      </c>
      <c r="FZ362" s="16"/>
      <c r="GA362" s="16">
        <f>IFERROR(__xludf.DUMMYFUNCTION("""COMPUTED_VALUE"""),-7.0)</f>
        <v>-7</v>
      </c>
      <c r="GB362" s="16">
        <f>IFERROR(__xludf.DUMMYFUNCTION("""COMPUTED_VALUE"""),-9.0)</f>
        <v>-9</v>
      </c>
      <c r="GC362" s="16"/>
      <c r="GD362" s="16" t="s">
        <v>176</v>
      </c>
    </row>
    <row r="363">
      <c r="A363" s="16">
        <f>IFERROR(__xludf.DUMMYFUNCTION("""COMPUTED_VALUE"""),13239.0)</f>
        <v>13239</v>
      </c>
      <c r="B363" s="16" t="str">
        <f>IFERROR(__xludf.DUMMYFUNCTION("""COMPUTED_VALUE"""),"Nick Gordon")</f>
        <v>Nick Gordon</v>
      </c>
      <c r="C363" s="16">
        <f>IFERROR(__xludf.DUMMYFUNCTION("""COMPUTED_VALUE"""),0.0)</f>
        <v>0</v>
      </c>
      <c r="D363" s="16" t="str">
        <f>IFERROR(__xludf.DUMMYFUNCTION("""COMPUTED_VALUE"""),"L")</f>
        <v>L</v>
      </c>
      <c r="E363" s="16"/>
      <c r="F363" s="16"/>
      <c r="G363" s="16">
        <f>IFERROR(__xludf.DUMMYFUNCTION("""COMPUTED_VALUE"""),260.0)</f>
        <v>260</v>
      </c>
      <c r="H363" s="16">
        <f>IFERROR(__xludf.DUMMYFUNCTION("""COMPUTED_VALUE"""),11.0)</f>
        <v>11</v>
      </c>
      <c r="I363" s="16" t="str">
        <f>IFERROR(__xludf.DUMMYFUNCTION("""COMPUTED_VALUE"""),"1p50")</f>
        <v>1p50</v>
      </c>
      <c r="J363" s="16">
        <f>IFERROR(__xludf.DUMMYFUNCTION("""COMPUTED_VALUE"""),19.0)</f>
        <v>19</v>
      </c>
      <c r="K363" s="16">
        <f>IFERROR(__xludf.DUMMYFUNCTION("""COMPUTED_VALUE"""),29.0)</f>
        <v>29</v>
      </c>
      <c r="L363" s="16">
        <f>IFERROR(__xludf.DUMMYFUNCTION("""COMPUTED_VALUE"""),1.0)</f>
        <v>1</v>
      </c>
      <c r="M363" s="16">
        <f>IFERROR(__xludf.DUMMYFUNCTION("""COMPUTED_VALUE"""),0.0)</f>
        <v>0</v>
      </c>
      <c r="N363" s="16">
        <f>IFERROR(__xludf.DUMMYFUNCTION("""COMPUTED_VALUE"""),1.0)</f>
        <v>1</v>
      </c>
      <c r="O363" s="16">
        <f>IFERROR(__xludf.DUMMYFUNCTION("""COMPUTED_VALUE"""),0.0)</f>
        <v>0</v>
      </c>
      <c r="P363" s="16">
        <f>IFERROR(__xludf.DUMMYFUNCTION("""COMPUTED_VALUE"""),0.0)</f>
        <v>0</v>
      </c>
      <c r="Q363" s="16">
        <f>IFERROR(__xludf.DUMMYFUNCTION("""COMPUTED_VALUE"""),0.0)</f>
        <v>0</v>
      </c>
      <c r="R363" s="16">
        <f>IFERROR(__xludf.DUMMYFUNCTION("""COMPUTED_VALUE"""),-3.0)</f>
        <v>-3</v>
      </c>
      <c r="S363" s="16">
        <f>IFERROR(__xludf.DUMMYFUNCTION("""COMPUTED_VALUE"""),-2.0)</f>
        <v>-2</v>
      </c>
      <c r="T363" s="16">
        <f>IFERROR(__xludf.DUMMYFUNCTION("""COMPUTED_VALUE"""),-3.0)</f>
        <v>-3</v>
      </c>
      <c r="U363" s="16">
        <f>IFERROR(__xludf.DUMMYFUNCTION("""COMPUTED_VALUE"""),-2.0)</f>
        <v>-2</v>
      </c>
      <c r="V363" s="16">
        <f>IFERROR(__xludf.DUMMYFUNCTION("""COMPUTED_VALUE"""),8.6)</f>
        <v>8.6</v>
      </c>
      <c r="W363" s="16">
        <f>IFERROR(__xludf.DUMMYFUNCTION("""COMPUTED_VALUE"""),17.9)</f>
        <v>17.9</v>
      </c>
      <c r="X363" s="16">
        <f>IFERROR(__xludf.DUMMYFUNCTION("""COMPUTED_VALUE"""),-2.0)</f>
        <v>-2</v>
      </c>
      <c r="Y363" s="16">
        <f>IFERROR(__xludf.DUMMYFUNCTION("""COMPUTED_VALUE"""),0.0)</f>
        <v>0</v>
      </c>
      <c r="Z363" s="16">
        <f>IFERROR(__xludf.DUMMYFUNCTION("""COMPUTED_VALUE"""),-4.0)</f>
        <v>-4</v>
      </c>
      <c r="AA363" s="16">
        <f>IFERROR(__xludf.DUMMYFUNCTION("""COMPUTED_VALUE"""),0.0)</f>
        <v>0</v>
      </c>
      <c r="AB363" s="16">
        <f>IFERROR(__xludf.DUMMYFUNCTION("""COMPUTED_VALUE"""),9.6)</f>
        <v>9.6</v>
      </c>
      <c r="AC363" s="16">
        <f>IFERROR(__xludf.DUMMYFUNCTION("""COMPUTED_VALUE"""),18.9)</f>
        <v>18.9</v>
      </c>
      <c r="AD363" s="16">
        <f>IFERROR(__xludf.DUMMYFUNCTION("""COMPUTED_VALUE"""),-2.0)</f>
        <v>-2</v>
      </c>
      <c r="AE363" s="16">
        <f>IFERROR(__xludf.DUMMYFUNCTION("""COMPUTED_VALUE"""),-2.0)</f>
        <v>-2</v>
      </c>
      <c r="AF363" s="16">
        <f>IFERROR(__xludf.DUMMYFUNCTION("""COMPUTED_VALUE"""),-10.0)</f>
        <v>-10</v>
      </c>
      <c r="AG363" s="16">
        <f>IFERROR(__xludf.DUMMYFUNCTION("""COMPUTED_VALUE"""),-10.0)</f>
        <v>-10</v>
      </c>
      <c r="AH363" s="16">
        <f>IFERROR(__xludf.DUMMYFUNCTION("""COMPUTED_VALUE"""),16.3)</f>
        <v>16.3</v>
      </c>
      <c r="AI363" s="16">
        <f>IFERROR(__xludf.DUMMYFUNCTION("""COMPUTED_VALUE"""),27.0)</f>
        <v>27</v>
      </c>
      <c r="AJ363" s="16">
        <f>IFERROR(__xludf.DUMMYFUNCTION("""COMPUTED_VALUE"""),-1.0)</f>
        <v>-1</v>
      </c>
      <c r="AK363" s="16">
        <f>IFERROR(__xludf.DUMMYFUNCTION("""COMPUTED_VALUE"""),-1.0)</f>
        <v>-1</v>
      </c>
      <c r="AL363" s="16">
        <f>IFERROR(__xludf.DUMMYFUNCTION("""COMPUTED_VALUE"""),-5.0)</f>
        <v>-5</v>
      </c>
      <c r="AM363" s="16">
        <f>IFERROR(__xludf.DUMMYFUNCTION("""COMPUTED_VALUE"""),-5.0)</f>
        <v>-5</v>
      </c>
      <c r="AN363" s="16">
        <f>IFERROR(__xludf.DUMMYFUNCTION("""COMPUTED_VALUE"""),1.5)</f>
        <v>1.5</v>
      </c>
      <c r="AO363" s="16">
        <f>IFERROR(__xludf.DUMMYFUNCTION("""COMPUTED_VALUE"""),1.8)</f>
        <v>1.8</v>
      </c>
      <c r="AP363" s="16">
        <f>IFERROR(__xludf.DUMMYFUNCTION("""COMPUTED_VALUE"""),-1.0)</f>
        <v>-1</v>
      </c>
      <c r="AQ363" s="16">
        <f>IFERROR(__xludf.DUMMYFUNCTION("""COMPUTED_VALUE"""),-1.0)</f>
        <v>-1</v>
      </c>
      <c r="AR363" s="16">
        <f>IFERROR(__xludf.DUMMYFUNCTION("""COMPUTED_VALUE"""),-2.0)</f>
        <v>-2</v>
      </c>
      <c r="AS363" s="16">
        <f>IFERROR(__xludf.DUMMYFUNCTION("""COMPUTED_VALUE"""),-2.0)</f>
        <v>-2</v>
      </c>
      <c r="AT363" s="16">
        <f>IFERROR(__xludf.DUMMYFUNCTION("""COMPUTED_VALUE"""),2.0)</f>
        <v>2</v>
      </c>
      <c r="AU363" s="16">
        <f>IFERROR(__xludf.DUMMYFUNCTION("""COMPUTED_VALUE"""),2.0)</f>
        <v>2</v>
      </c>
      <c r="AV363" s="16">
        <f>IFERROR(__xludf.DUMMYFUNCTION("""COMPUTED_VALUE"""),2.0)</f>
        <v>2</v>
      </c>
      <c r="AW363" s="16">
        <f>IFERROR(__xludf.DUMMYFUNCTION("""COMPUTED_VALUE"""),2.0)</f>
        <v>2</v>
      </c>
      <c r="AX363" s="16">
        <f>IFERROR(__xludf.DUMMYFUNCTION("""COMPUTED_VALUE"""),0.0)</f>
        <v>0</v>
      </c>
      <c r="AY363" s="16">
        <f>IFERROR(__xludf.DUMMYFUNCTION("""COMPUTED_VALUE"""),0.0)</f>
        <v>0</v>
      </c>
      <c r="AZ363" s="16">
        <f>IFERROR(__xludf.DUMMYFUNCTION("""COMPUTED_VALUE"""),0.0)</f>
        <v>0</v>
      </c>
      <c r="BA363" s="16">
        <f>IFERROR(__xludf.DUMMYFUNCTION("""COMPUTED_VALUE"""),0.0)</f>
        <v>0</v>
      </c>
      <c r="BB363" s="16">
        <f>IFERROR(__xludf.DUMMYFUNCTION("""COMPUTED_VALUE"""),5.0)</f>
        <v>5</v>
      </c>
      <c r="BC363" s="16">
        <f>IFERROR(__xludf.DUMMYFUNCTION("""COMPUTED_VALUE"""),5.0)</f>
        <v>5</v>
      </c>
      <c r="BD363" s="16">
        <f>IFERROR(__xludf.DUMMYFUNCTION("""COMPUTED_VALUE"""),1.0)</f>
        <v>1</v>
      </c>
      <c r="BE363" s="16">
        <f>IFERROR(__xludf.DUMMYFUNCTION("""COMPUTED_VALUE"""),1.0)</f>
        <v>1</v>
      </c>
      <c r="BF363" s="16">
        <f>IFERROR(__xludf.DUMMYFUNCTION("""COMPUTED_VALUE"""),1.0)</f>
        <v>1</v>
      </c>
      <c r="BG363" s="16">
        <f>IFERROR(__xludf.DUMMYFUNCTION("""COMPUTED_VALUE"""),1.0)</f>
        <v>1</v>
      </c>
      <c r="BH363" s="16">
        <f>IFERROR(__xludf.DUMMYFUNCTION("""COMPUTED_VALUE"""),2.0)</f>
        <v>2</v>
      </c>
      <c r="BI363" s="16">
        <f>IFERROR(__xludf.DUMMYFUNCTION("""COMPUTED_VALUE"""),2.0)</f>
        <v>2</v>
      </c>
      <c r="BJ363" s="16">
        <f>IFERROR(__xludf.DUMMYFUNCTION("""COMPUTED_VALUE"""),16.0)</f>
        <v>16</v>
      </c>
      <c r="BK363" s="16">
        <f>IFERROR(__xludf.DUMMYFUNCTION("""COMPUTED_VALUE"""),16.0)</f>
        <v>16</v>
      </c>
      <c r="BL363" s="16">
        <f>IFERROR(__xludf.DUMMYFUNCTION("""COMPUTED_VALUE"""),-1.0)</f>
        <v>-1</v>
      </c>
      <c r="BM363" s="16">
        <f>IFERROR(__xludf.DUMMYFUNCTION("""COMPUTED_VALUE"""),-1.0)</f>
        <v>-1</v>
      </c>
      <c r="BN363" s="16">
        <f>IFERROR(__xludf.DUMMYFUNCTION("""COMPUTED_VALUE"""),-2.0)</f>
        <v>-2</v>
      </c>
      <c r="BO363" s="16">
        <f>IFERROR(__xludf.DUMMYFUNCTION("""COMPUTED_VALUE"""),-2.0)</f>
        <v>-2</v>
      </c>
      <c r="BP363" s="16">
        <f>IFERROR(__xludf.DUMMYFUNCTION("""COMPUTED_VALUE"""),-8.0)</f>
        <v>-8</v>
      </c>
      <c r="BQ363" s="16">
        <f>IFERROR(__xludf.DUMMYFUNCTION("""COMPUTED_VALUE"""),-6.0)</f>
        <v>-6</v>
      </c>
      <c r="BR363" s="16">
        <f>IFERROR(__xludf.DUMMYFUNCTION("""COMPUTED_VALUE"""),-14.0)</f>
        <v>-14</v>
      </c>
      <c r="BS363" s="16" t="str">
        <f>IFERROR(__xludf.DUMMYFUNCTION("""COMPUTED_VALUE"""),"*2-8,12/9-11 (15-8)")</f>
        <v>*2-8,12/9-11 (15-8)</v>
      </c>
      <c r="BT363" s="16" t="str">
        <f>IFERROR(__xludf.DUMMYFUNCTION("""COMPUTED_VALUE"""),"C")</f>
        <v>C</v>
      </c>
      <c r="BU363" s="16">
        <f>IFERROR(__xludf.DUMMYFUNCTION("""COMPUTED_VALUE"""),13.0)</f>
        <v>13</v>
      </c>
      <c r="BV363" s="16">
        <f>IFERROR(__xludf.DUMMYFUNCTION("""COMPUTED_VALUE"""),0.0)</f>
        <v>0</v>
      </c>
      <c r="BW363" s="16">
        <f>IFERROR(__xludf.DUMMYFUNCTION("""COMPUTED_VALUE"""),1.0)</f>
        <v>1</v>
      </c>
      <c r="BX363" s="16">
        <f>IFERROR(__xludf.DUMMYFUNCTION("""COMPUTED_VALUE"""),0.0)</f>
        <v>0</v>
      </c>
      <c r="BY363" s="16">
        <f>IFERROR(__xludf.DUMMYFUNCTION("""COMPUTED_VALUE"""),3.0)</f>
        <v>3</v>
      </c>
      <c r="BZ363" s="16" t="str">
        <f>IFERROR(__xludf.DUMMYFUNCTION("""COMPUTED_VALUE"""),"D")</f>
        <v>D</v>
      </c>
      <c r="CA363" s="16" t="str">
        <f>IFERROR(__xludf.DUMMYFUNCTION("""COMPUTED_VALUE"""),"D")</f>
        <v>D</v>
      </c>
      <c r="CB363" s="16">
        <f>IFERROR(__xludf.DUMMYFUNCTION("""COMPUTED_VALUE"""),0.0)</f>
        <v>0</v>
      </c>
      <c r="CC363" s="16">
        <f>IFERROR(__xludf.DUMMYFUNCTION("""COMPUTED_VALUE"""),0.0)</f>
        <v>0</v>
      </c>
      <c r="CD363" s="16">
        <f>IFERROR(__xludf.DUMMYFUNCTION("""COMPUTED_VALUE"""),0.0)</f>
        <v>0</v>
      </c>
      <c r="CE363" s="16">
        <f>IFERROR(__xludf.DUMMYFUNCTION("""COMPUTED_VALUE"""),0.0)</f>
        <v>0</v>
      </c>
      <c r="CF363" s="16">
        <f>IFERROR(__xludf.DUMMYFUNCTION("""COMPUTED_VALUE"""),1.0)</f>
        <v>1</v>
      </c>
      <c r="CG363" s="16">
        <f>IFERROR(__xludf.DUMMYFUNCTION("""COMPUTED_VALUE"""),-24.0)</f>
        <v>-24</v>
      </c>
      <c r="CH363" s="16">
        <f>IFERROR(__xludf.DUMMYFUNCTION("""COMPUTED_VALUE"""),-20.0)</f>
        <v>-20</v>
      </c>
      <c r="CI363" s="179">
        <f>IFERROR(__xludf.DUMMYFUNCTION("""COMPUTED_VALUE"""),-16.0)</f>
        <v>-16</v>
      </c>
      <c r="CJ363" s="16"/>
      <c r="CK363" s="16"/>
      <c r="CL363" s="16">
        <f>IFERROR(__xludf.DUMMYFUNCTION("""COMPUTED_VALUE"""),408.0)</f>
        <v>408</v>
      </c>
      <c r="CM363" s="16"/>
      <c r="CN363" s="16"/>
      <c r="CO363" s="16">
        <f>IFERROR(__xludf.DUMMYFUNCTION("""COMPUTED_VALUE"""),308.0)</f>
        <v>308</v>
      </c>
      <c r="CP363" s="16">
        <f>IFERROR(__xludf.DUMMYFUNCTION("""COMPUTED_VALUE"""),408.0)</f>
        <v>408</v>
      </c>
      <c r="CQ363" s="16"/>
      <c r="CR363" s="16" t="str">
        <f>IFERROR(__xludf.DUMMYFUNCTION("""COMPUTED_VALUE"""),"lf-3(+2)e8 cf-4e8 2b-4e8")</f>
        <v>lf-3(+2)e8 cf-4e8 2b-4e8</v>
      </c>
      <c r="CS363" s="16"/>
      <c r="CT363" s="16"/>
      <c r="CU363" s="16">
        <f>IFERROR(__xludf.DUMMYFUNCTION("""COMPUTED_VALUE"""),4.0)</f>
        <v>4</v>
      </c>
      <c r="CV363" s="16"/>
      <c r="CW363" s="16"/>
      <c r="CX363" s="16">
        <f>IFERROR(__xludf.DUMMYFUNCTION("""COMPUTED_VALUE"""),3.0)</f>
        <v>3</v>
      </c>
      <c r="CY363" s="16">
        <f>IFERROR(__xludf.DUMMYFUNCTION("""COMPUTED_VALUE"""),4.0)</f>
        <v>4</v>
      </c>
      <c r="CZ363" s="16"/>
      <c r="DA363" s="16"/>
      <c r="DB363" s="16"/>
      <c r="DC363" s="16">
        <f>IFERROR(__xludf.DUMMYFUNCTION("""COMPUTED_VALUE"""),8.0)</f>
        <v>8</v>
      </c>
      <c r="DD363" s="16"/>
      <c r="DE363" s="16"/>
      <c r="DF363" s="16">
        <f>IFERROR(__xludf.DUMMYFUNCTION("""COMPUTED_VALUE"""),8.0)</f>
        <v>8</v>
      </c>
      <c r="DG363" s="16">
        <f>IFERROR(__xludf.DUMMYFUNCTION("""COMPUTED_VALUE"""),8.0)</f>
        <v>8</v>
      </c>
      <c r="DH363" s="16"/>
      <c r="DI363" s="16"/>
      <c r="DJ363" s="16"/>
      <c r="DK363" s="16">
        <f>IFERROR(__xludf.DUMMYFUNCTION("""COMPUTED_VALUE"""),-2.0)</f>
        <v>-2</v>
      </c>
      <c r="DL363" s="16"/>
      <c r="DM363" s="16"/>
      <c r="DN363" s="16">
        <f>IFERROR(__xludf.DUMMYFUNCTION("""COMPUTED_VALUE"""),0.0)</f>
        <v>0</v>
      </c>
      <c r="DO363" s="16">
        <f>IFERROR(__xludf.DUMMYFUNCTION("""COMPUTED_VALUE"""),-2.0)</f>
        <v>-2</v>
      </c>
      <c r="DP363" s="16"/>
      <c r="DQ363" s="16"/>
      <c r="DR363" s="16"/>
      <c r="DS363" s="16">
        <f>IFERROR(__xludf.DUMMYFUNCTION("""COMPUTED_VALUE"""),3.0)</f>
        <v>3</v>
      </c>
      <c r="DT363" s="16"/>
      <c r="DU363" s="16"/>
      <c r="DV363" s="16">
        <f>IFERROR(__xludf.DUMMYFUNCTION("""COMPUTED_VALUE"""),0.0)</f>
        <v>0</v>
      </c>
      <c r="DW363" s="16">
        <f>IFERROR(__xludf.DUMMYFUNCTION("""COMPUTED_VALUE"""),2.0)</f>
        <v>2</v>
      </c>
      <c r="DX363" s="16"/>
      <c r="DY363" s="16"/>
      <c r="DZ363" s="16"/>
      <c r="EA363" s="16">
        <f>IFERROR(__xludf.DUMMYFUNCTION("""COMPUTED_VALUE"""),1.0)</f>
        <v>1</v>
      </c>
      <c r="EB363" s="16"/>
      <c r="EC363" s="16"/>
      <c r="ED363" s="16">
        <f>IFERROR(__xludf.DUMMYFUNCTION("""COMPUTED_VALUE"""),0.0)</f>
        <v>0</v>
      </c>
      <c r="EE363" s="16">
        <f>IFERROR(__xludf.DUMMYFUNCTION("""COMPUTED_VALUE"""),0.0)</f>
        <v>0</v>
      </c>
      <c r="EF363" s="16"/>
      <c r="EG363" s="179"/>
      <c r="EH363" s="179"/>
      <c r="EI363" s="179">
        <f>IFERROR(__xludf.DUMMYFUNCTION("""COMPUTED_VALUE"""),-15.0)</f>
        <v>-15</v>
      </c>
      <c r="EJ363" s="179"/>
      <c r="EK363" s="179"/>
      <c r="EL363" s="179">
        <f>IFERROR(__xludf.DUMMYFUNCTION("""COMPUTED_VALUE"""),-16.0)</f>
        <v>-16</v>
      </c>
      <c r="EM363" s="179">
        <f>IFERROR(__xludf.DUMMYFUNCTION("""COMPUTED_VALUE"""),-16.0)</f>
        <v>-16</v>
      </c>
      <c r="EN363" s="179"/>
      <c r="EO363" s="16"/>
      <c r="EP363" s="16">
        <f>IFERROR(__xludf.DUMMYFUNCTION("""COMPUTED_VALUE"""),0.0)</f>
        <v>0</v>
      </c>
      <c r="EQ363" s="16">
        <f>IFERROR(__xludf.DUMMYFUNCTION("""COMPUTED_VALUE"""),4.0)</f>
        <v>4</v>
      </c>
      <c r="ER363" s="16">
        <f>IFERROR(__xludf.DUMMYFUNCTION("""COMPUTED_VALUE"""),0.0)</f>
        <v>0</v>
      </c>
      <c r="ES363" s="16"/>
      <c r="ET363" s="16"/>
      <c r="EU363" s="16"/>
      <c r="EV363" s="16"/>
      <c r="EW363" s="16"/>
      <c r="EX363" s="180"/>
      <c r="EY363" s="180"/>
      <c r="EZ363" s="180">
        <f>IFERROR(__xludf.DUMMYFUNCTION("""COMPUTED_VALUE"""),0.3)</f>
        <v>0.3</v>
      </c>
      <c r="FA363" s="180"/>
      <c r="FB363" s="180"/>
      <c r="FC363" s="180">
        <f>IFERROR(__xludf.DUMMYFUNCTION("""COMPUTED_VALUE"""),0.3)</f>
        <v>0.3</v>
      </c>
      <c r="FD363" s="180">
        <f>IFERROR(__xludf.DUMMYFUNCTION("""COMPUTED_VALUE"""),0.55)</f>
        <v>0.55</v>
      </c>
      <c r="FE363" s="180"/>
      <c r="FF363" s="180"/>
      <c r="FG363" s="180"/>
      <c r="FH363" s="180">
        <f>IFERROR(__xludf.DUMMYFUNCTION("""COMPUTED_VALUE"""),0.046296296296296294)</f>
        <v>0.0462962963</v>
      </c>
      <c r="FI363" s="180"/>
      <c r="FJ363" s="180"/>
      <c r="FK363" s="180">
        <f>IFERROR(__xludf.DUMMYFUNCTION("""COMPUTED_VALUE"""),0.144)</f>
        <v>0.144</v>
      </c>
      <c r="FL363" s="180">
        <f>IFERROR(__xludf.DUMMYFUNCTION("""COMPUTED_VALUE"""),0.09722222222222222)</f>
        <v>0.09722222222</v>
      </c>
      <c r="FM363" s="180"/>
      <c r="FN363" s="16"/>
      <c r="FO363" s="16"/>
      <c r="FP363" s="16">
        <f>IFERROR(__xludf.DUMMYFUNCTION("""COMPUTED_VALUE"""),0.6675925925925925)</f>
        <v>0.6675925926</v>
      </c>
      <c r="FQ363" s="16"/>
      <c r="FR363" s="16"/>
      <c r="FS363" s="16">
        <f>IFERROR(__xludf.DUMMYFUNCTION("""COMPUTED_VALUE"""),0.5992)</f>
        <v>0.5992</v>
      </c>
      <c r="FT363" s="16">
        <f>IFERROR(__xludf.DUMMYFUNCTION("""COMPUTED_VALUE"""),0.40624999999999994)</f>
        <v>0.40625</v>
      </c>
      <c r="FU363" s="16"/>
      <c r="FV363" s="16"/>
      <c r="FW363" s="16"/>
      <c r="FX363" s="16">
        <f>IFERROR(__xludf.DUMMYFUNCTION("""COMPUTED_VALUE"""),-4.0)</f>
        <v>-4</v>
      </c>
      <c r="FY363" s="16"/>
      <c r="FZ363" s="16"/>
      <c r="GA363" s="16">
        <f>IFERROR(__xludf.DUMMYFUNCTION("""COMPUTED_VALUE"""),-6.0)</f>
        <v>-6</v>
      </c>
      <c r="GB363" s="16">
        <f>IFERROR(__xludf.DUMMYFUNCTION("""COMPUTED_VALUE"""),-8.0)</f>
        <v>-8</v>
      </c>
      <c r="GC363" s="16"/>
      <c r="GD363" s="16" t="s">
        <v>176</v>
      </c>
    </row>
    <row r="364">
      <c r="A364" s="16">
        <f>IFERROR(__xludf.DUMMYFUNCTION("""COMPUTED_VALUE"""),12814.0)</f>
        <v>12814</v>
      </c>
      <c r="B364" s="16" t="str">
        <f>IFERROR(__xludf.DUMMYFUNCTION("""COMPUTED_VALUE"""),"Ezequiel Duran")</f>
        <v>Ezequiel Duran</v>
      </c>
      <c r="C364" s="16">
        <f>IFERROR(__xludf.DUMMYFUNCTION("""COMPUTED_VALUE"""),0.0)</f>
        <v>0</v>
      </c>
      <c r="D364" s="16" t="str">
        <f>IFERROR(__xludf.DUMMYFUNCTION("""COMPUTED_VALUE"""),"R")</f>
        <v>R</v>
      </c>
      <c r="E364" s="16"/>
      <c r="F364" s="16"/>
      <c r="G364" s="16">
        <f>IFERROR(__xludf.DUMMYFUNCTION("""COMPUTED_VALUE"""),268.0)</f>
        <v>268</v>
      </c>
      <c r="H364" s="16">
        <f>IFERROR(__xludf.DUMMYFUNCTION("""COMPUTED_VALUE"""),14.0)</f>
        <v>14</v>
      </c>
      <c r="I364" s="16" t="str">
        <f>IFERROR(__xludf.DUMMYFUNCTION("""COMPUTED_VALUE"""),"1p50")</f>
        <v>1p50</v>
      </c>
      <c r="J364" s="16">
        <f>IFERROR(__xludf.DUMMYFUNCTION("""COMPUTED_VALUE"""),27.0)</f>
        <v>27</v>
      </c>
      <c r="K364" s="16">
        <f>IFERROR(__xludf.DUMMYFUNCTION("""COMPUTED_VALUE"""),20.0)</f>
        <v>20</v>
      </c>
      <c r="L364" s="16">
        <f>IFERROR(__xludf.DUMMYFUNCTION("""COMPUTED_VALUE"""),0.0)</f>
        <v>0</v>
      </c>
      <c r="M364" s="16">
        <f>IFERROR(__xludf.DUMMYFUNCTION("""COMPUTED_VALUE"""),0.0)</f>
        <v>0</v>
      </c>
      <c r="N364" s="16">
        <f>IFERROR(__xludf.DUMMYFUNCTION("""COMPUTED_VALUE"""),0.0)</f>
        <v>0</v>
      </c>
      <c r="O364" s="16">
        <f>IFERROR(__xludf.DUMMYFUNCTION("""COMPUTED_VALUE"""),0.0)</f>
        <v>0</v>
      </c>
      <c r="P364" s="16">
        <f>IFERROR(__xludf.DUMMYFUNCTION("""COMPUTED_VALUE"""),3.0)</f>
        <v>3</v>
      </c>
      <c r="Q364" s="16">
        <f>IFERROR(__xludf.DUMMYFUNCTION("""COMPUTED_VALUE"""),2.0)</f>
        <v>2</v>
      </c>
      <c r="R364" s="16">
        <f>IFERROR(__xludf.DUMMYFUNCTION("""COMPUTED_VALUE"""),-2.0)</f>
        <v>-2</v>
      </c>
      <c r="S364" s="16">
        <f>IFERROR(__xludf.DUMMYFUNCTION("""COMPUTED_VALUE"""),-2.0)</f>
        <v>-2</v>
      </c>
      <c r="T364" s="16">
        <f>IFERROR(__xludf.DUMMYFUNCTION("""COMPUTED_VALUE"""),-2.0)</f>
        <v>-2</v>
      </c>
      <c r="U364" s="16">
        <f>IFERROR(__xludf.DUMMYFUNCTION("""COMPUTED_VALUE"""),-2.0)</f>
        <v>-2</v>
      </c>
      <c r="V364" s="16">
        <f>IFERROR(__xludf.DUMMYFUNCTION("""COMPUTED_VALUE"""),22.2)</f>
        <v>22.2</v>
      </c>
      <c r="W364" s="16">
        <f>IFERROR(__xludf.DUMMYFUNCTION("""COMPUTED_VALUE"""),23.4)</f>
        <v>23.4</v>
      </c>
      <c r="X364" s="16">
        <f>IFERROR(__xludf.DUMMYFUNCTION("""COMPUTED_VALUE"""),0.0)</f>
        <v>0</v>
      </c>
      <c r="Y364" s="16">
        <f>IFERROR(__xludf.DUMMYFUNCTION("""COMPUTED_VALUE"""),1.0)</f>
        <v>1</v>
      </c>
      <c r="Z364" s="16">
        <f>IFERROR(__xludf.DUMMYFUNCTION("""COMPUTED_VALUE"""),0.0)</f>
        <v>0</v>
      </c>
      <c r="AA364" s="16">
        <f>IFERROR(__xludf.DUMMYFUNCTION("""COMPUTED_VALUE"""),2.0)</f>
        <v>2</v>
      </c>
      <c r="AB364" s="16">
        <f>IFERROR(__xludf.DUMMYFUNCTION("""COMPUTED_VALUE"""),27.2)</f>
        <v>27.2</v>
      </c>
      <c r="AC364" s="16">
        <f>IFERROR(__xludf.DUMMYFUNCTION("""COMPUTED_VALUE"""),27.5)</f>
        <v>27.5</v>
      </c>
      <c r="AD364" s="16">
        <f>IFERROR(__xludf.DUMMYFUNCTION("""COMPUTED_VALUE"""),0.0)</f>
        <v>0</v>
      </c>
      <c r="AE364" s="16">
        <f>IFERROR(__xludf.DUMMYFUNCTION("""COMPUTED_VALUE"""),-1.0)</f>
        <v>-1</v>
      </c>
      <c r="AF364" s="16">
        <f>IFERROR(__xludf.DUMMYFUNCTION("""COMPUTED_VALUE"""),0.0)</f>
        <v>0</v>
      </c>
      <c r="AG364" s="16">
        <f>IFERROR(__xludf.DUMMYFUNCTION("""COMPUTED_VALUE"""),-5.0)</f>
        <v>-5</v>
      </c>
      <c r="AH364" s="16">
        <f>IFERROR(__xludf.DUMMYFUNCTION("""COMPUTED_VALUE"""),23.7)</f>
        <v>23.7</v>
      </c>
      <c r="AI364" s="16">
        <f>IFERROR(__xludf.DUMMYFUNCTION("""COMPUTED_VALUE"""),28.0)</f>
        <v>28</v>
      </c>
      <c r="AJ364" s="16">
        <f>IFERROR(__xludf.DUMMYFUNCTION("""COMPUTED_VALUE"""),-1.0)</f>
        <v>-1</v>
      </c>
      <c r="AK364" s="16">
        <f>IFERROR(__xludf.DUMMYFUNCTION("""COMPUTED_VALUE"""),-1.0)</f>
        <v>-1</v>
      </c>
      <c r="AL364" s="16">
        <f>IFERROR(__xludf.DUMMYFUNCTION("""COMPUTED_VALUE"""),-5.0)</f>
        <v>-5</v>
      </c>
      <c r="AM364" s="16">
        <f>IFERROR(__xludf.DUMMYFUNCTION("""COMPUTED_VALUE"""),-5.0)</f>
        <v>-5</v>
      </c>
      <c r="AN364" s="16">
        <f>IFERROR(__xludf.DUMMYFUNCTION("""COMPUTED_VALUE"""),0.0)</f>
        <v>0</v>
      </c>
      <c r="AO364" s="16">
        <f>IFERROR(__xludf.DUMMYFUNCTION("""COMPUTED_VALUE"""),0.2)</f>
        <v>0.2</v>
      </c>
      <c r="AP364" s="16">
        <f>IFERROR(__xludf.DUMMYFUNCTION("""COMPUTED_VALUE"""),-2.0)</f>
        <v>-2</v>
      </c>
      <c r="AQ364" s="16">
        <f>IFERROR(__xludf.DUMMYFUNCTION("""COMPUTED_VALUE"""),-2.0)</f>
        <v>-2</v>
      </c>
      <c r="AR364" s="16">
        <f>IFERROR(__xludf.DUMMYFUNCTION("""COMPUTED_VALUE"""),-4.0)</f>
        <v>-4</v>
      </c>
      <c r="AS364" s="16">
        <f>IFERROR(__xludf.DUMMYFUNCTION("""COMPUTED_VALUE"""),-4.0)</f>
        <v>-4</v>
      </c>
      <c r="AT364" s="16"/>
      <c r="AU364" s="16">
        <f>IFERROR(__xludf.DUMMYFUNCTION("""COMPUTED_VALUE"""),0.0)</f>
        <v>0</v>
      </c>
      <c r="AV364" s="16">
        <f>IFERROR(__xludf.DUMMYFUNCTION("""COMPUTED_VALUE"""),-3.0)</f>
        <v>-3</v>
      </c>
      <c r="AW364" s="16">
        <f>IFERROR(__xludf.DUMMYFUNCTION("""COMPUTED_VALUE"""),0.0)</f>
        <v>0</v>
      </c>
      <c r="AX364" s="16">
        <f>IFERROR(__xludf.DUMMYFUNCTION("""COMPUTED_VALUE"""),-3.0)</f>
        <v>-3</v>
      </c>
      <c r="AY364" s="16">
        <f>IFERROR(__xludf.DUMMYFUNCTION("""COMPUTED_VALUE"""),-2.0)</f>
        <v>-2</v>
      </c>
      <c r="AZ364" s="16">
        <f>IFERROR(__xludf.DUMMYFUNCTION("""COMPUTED_VALUE"""),-9.0)</f>
        <v>-9</v>
      </c>
      <c r="BA364" s="16">
        <f>IFERROR(__xludf.DUMMYFUNCTION("""COMPUTED_VALUE"""),-6.0)</f>
        <v>-6</v>
      </c>
      <c r="BB364" s="16">
        <f>IFERROR(__xludf.DUMMYFUNCTION("""COMPUTED_VALUE"""),5.0)</f>
        <v>5</v>
      </c>
      <c r="BC364" s="16">
        <f>IFERROR(__xludf.DUMMYFUNCTION("""COMPUTED_VALUE"""),5.0)</f>
        <v>5</v>
      </c>
      <c r="BD364" s="16">
        <f>IFERROR(__xludf.DUMMYFUNCTION("""COMPUTED_VALUE"""),1.0)</f>
        <v>1</v>
      </c>
      <c r="BE364" s="16">
        <f>IFERROR(__xludf.DUMMYFUNCTION("""COMPUTED_VALUE"""),1.0)</f>
        <v>1</v>
      </c>
      <c r="BF364" s="16">
        <f>IFERROR(__xludf.DUMMYFUNCTION("""COMPUTED_VALUE"""),1.0)</f>
        <v>1</v>
      </c>
      <c r="BG364" s="16">
        <f>IFERROR(__xludf.DUMMYFUNCTION("""COMPUTED_VALUE"""),1.0)</f>
        <v>1</v>
      </c>
      <c r="BH364" s="16">
        <f>IFERROR(__xludf.DUMMYFUNCTION("""COMPUTED_VALUE"""),2.0)</f>
        <v>2</v>
      </c>
      <c r="BI364" s="16">
        <f>IFERROR(__xludf.DUMMYFUNCTION("""COMPUTED_VALUE"""),2.0)</f>
        <v>2</v>
      </c>
      <c r="BJ364" s="16">
        <f>IFERROR(__xludf.DUMMYFUNCTION("""COMPUTED_VALUE"""),18.0)</f>
        <v>18</v>
      </c>
      <c r="BK364" s="16">
        <f>IFERROR(__xludf.DUMMYFUNCTION("""COMPUTED_VALUE"""),16.0)</f>
        <v>16</v>
      </c>
      <c r="BL364" s="16">
        <f>IFERROR(__xludf.DUMMYFUNCTION("""COMPUTED_VALUE"""),-1.0)</f>
        <v>-1</v>
      </c>
      <c r="BM364" s="16">
        <f>IFERROR(__xludf.DUMMYFUNCTION("""COMPUTED_VALUE"""),-1.0)</f>
        <v>-1</v>
      </c>
      <c r="BN364" s="16">
        <f>IFERROR(__xludf.DUMMYFUNCTION("""COMPUTED_VALUE"""),-2.0)</f>
        <v>-2</v>
      </c>
      <c r="BO364" s="16">
        <f>IFERROR(__xludf.DUMMYFUNCTION("""COMPUTED_VALUE"""),-2.0)</f>
        <v>-2</v>
      </c>
      <c r="BP364" s="16">
        <f>IFERROR(__xludf.DUMMYFUNCTION("""COMPUTED_VALUE"""),-8.0)</f>
        <v>-8</v>
      </c>
      <c r="BQ364" s="16">
        <f>IFERROR(__xludf.DUMMYFUNCTION("""COMPUTED_VALUE"""),-7.0)</f>
        <v>-7</v>
      </c>
      <c r="BR364" s="16">
        <f>IFERROR(__xludf.DUMMYFUNCTION("""COMPUTED_VALUE"""),-15.0)</f>
        <v>-15</v>
      </c>
      <c r="BS364" s="16" t="str">
        <f>IFERROR(__xludf.DUMMYFUNCTION("""COMPUTED_VALUE"""),"4,6/8,10 (13-3)")</f>
        <v>4,6/8,10 (13-3)</v>
      </c>
      <c r="BT364" s="16" t="str">
        <f>IFERROR(__xludf.DUMMYFUNCTION("""COMPUTED_VALUE"""),"E")</f>
        <v>E</v>
      </c>
      <c r="BU364" s="16">
        <f>IFERROR(__xludf.DUMMYFUNCTION("""COMPUTED_VALUE"""),14.0)</f>
        <v>14</v>
      </c>
      <c r="BV364" s="16">
        <f>IFERROR(__xludf.DUMMYFUNCTION("""COMPUTED_VALUE"""),0.0)</f>
        <v>0</v>
      </c>
      <c r="BW364" s="16">
        <f>IFERROR(__xludf.DUMMYFUNCTION("""COMPUTED_VALUE"""),1.0)</f>
        <v>1</v>
      </c>
      <c r="BX364" s="16">
        <f>IFERROR(__xludf.DUMMYFUNCTION("""COMPUTED_VALUE"""),0.0)</f>
        <v>0</v>
      </c>
      <c r="BY364" s="16">
        <f>IFERROR(__xludf.DUMMYFUNCTION("""COMPUTED_VALUE"""),3.0)</f>
        <v>3</v>
      </c>
      <c r="BZ364" s="16" t="str">
        <f>IFERROR(__xludf.DUMMYFUNCTION("""COMPUTED_VALUE"""),"D")</f>
        <v>D</v>
      </c>
      <c r="CA364" s="16" t="str">
        <f>IFERROR(__xludf.DUMMYFUNCTION("""COMPUTED_VALUE"""),"D")</f>
        <v>D</v>
      </c>
      <c r="CB364" s="16">
        <f>IFERROR(__xludf.DUMMYFUNCTION("""COMPUTED_VALUE"""),0.0)</f>
        <v>0</v>
      </c>
      <c r="CC364" s="16">
        <f>IFERROR(__xludf.DUMMYFUNCTION("""COMPUTED_VALUE"""),0.0)</f>
        <v>0</v>
      </c>
      <c r="CD364" s="16">
        <f>IFERROR(__xludf.DUMMYFUNCTION("""COMPUTED_VALUE"""),0.0)</f>
        <v>0</v>
      </c>
      <c r="CE364" s="16">
        <f>IFERROR(__xludf.DUMMYFUNCTION("""COMPUTED_VALUE"""),0.0)</f>
        <v>0</v>
      </c>
      <c r="CF364" s="16">
        <f>IFERROR(__xludf.DUMMYFUNCTION("""COMPUTED_VALUE"""),1.0)</f>
        <v>1</v>
      </c>
      <c r="CG364" s="16">
        <f>IFERROR(__xludf.DUMMYFUNCTION("""COMPUTED_VALUE"""),-21.0)</f>
        <v>-21</v>
      </c>
      <c r="CH364" s="16">
        <f>IFERROR(__xludf.DUMMYFUNCTION("""COMPUTED_VALUE"""),-21.0)</f>
        <v>-21</v>
      </c>
      <c r="CI364" s="179">
        <f>IFERROR(__xludf.DUMMYFUNCTION("""COMPUTED_VALUE"""),-16.0)</f>
        <v>-16</v>
      </c>
      <c r="CJ364" s="16"/>
      <c r="CK364" s="16">
        <f>IFERROR(__xludf.DUMMYFUNCTION("""COMPUTED_VALUE"""),414.0)</f>
        <v>414</v>
      </c>
      <c r="CL364" s="16">
        <f>IFERROR(__xludf.DUMMYFUNCTION("""COMPUTED_VALUE"""),313.0)</f>
        <v>313</v>
      </c>
      <c r="CM364" s="16">
        <f>IFERROR(__xludf.DUMMYFUNCTION("""COMPUTED_VALUE"""),312.0)</f>
        <v>312</v>
      </c>
      <c r="CN364" s="16">
        <f>IFERROR(__xludf.DUMMYFUNCTION("""COMPUTED_VALUE"""),327.0)</f>
        <v>327</v>
      </c>
      <c r="CO364" s="16">
        <f>IFERROR(__xludf.DUMMYFUNCTION("""COMPUTED_VALUE"""),419.0)</f>
        <v>419</v>
      </c>
      <c r="CP364" s="16"/>
      <c r="CQ364" s="16">
        <f>IFERROR(__xludf.DUMMYFUNCTION("""COMPUTED_VALUE"""),419.0)</f>
        <v>419</v>
      </c>
      <c r="CR364" s="16" t="str">
        <f>IFERROR(__xludf.DUMMYFUNCTION("""COMPUTED_VALUE"""),"3b-3e12 lf-4(-2)e19 1b-4e14 ss-3e27 2b-3e13 rf-4e19")</f>
        <v>3b-3e12 lf-4(-2)e19 1b-4e14 ss-3e27 2b-3e13 rf-4e19</v>
      </c>
      <c r="CS364" s="16"/>
      <c r="CT364" s="16">
        <f>IFERROR(__xludf.DUMMYFUNCTION("""COMPUTED_VALUE"""),4.0)</f>
        <v>4</v>
      </c>
      <c r="CU364" s="16">
        <f>IFERROR(__xludf.DUMMYFUNCTION("""COMPUTED_VALUE"""),3.0)</f>
        <v>3</v>
      </c>
      <c r="CV364" s="16">
        <f>IFERROR(__xludf.DUMMYFUNCTION("""COMPUTED_VALUE"""),3.0)</f>
        <v>3</v>
      </c>
      <c r="CW364" s="16">
        <f>IFERROR(__xludf.DUMMYFUNCTION("""COMPUTED_VALUE"""),3.0)</f>
        <v>3</v>
      </c>
      <c r="CX364" s="16">
        <f>IFERROR(__xludf.DUMMYFUNCTION("""COMPUTED_VALUE"""),4.0)</f>
        <v>4</v>
      </c>
      <c r="CY364" s="16"/>
      <c r="CZ364" s="16">
        <f>IFERROR(__xludf.DUMMYFUNCTION("""COMPUTED_VALUE"""),4.0)</f>
        <v>4</v>
      </c>
      <c r="DA364" s="16"/>
      <c r="DB364" s="16">
        <f>IFERROR(__xludf.DUMMYFUNCTION("""COMPUTED_VALUE"""),14.0)</f>
        <v>14</v>
      </c>
      <c r="DC364" s="16">
        <f>IFERROR(__xludf.DUMMYFUNCTION("""COMPUTED_VALUE"""),13.0)</f>
        <v>13</v>
      </c>
      <c r="DD364" s="16">
        <f>IFERROR(__xludf.DUMMYFUNCTION("""COMPUTED_VALUE"""),12.0)</f>
        <v>12</v>
      </c>
      <c r="DE364" s="16">
        <f>IFERROR(__xludf.DUMMYFUNCTION("""COMPUTED_VALUE"""),27.0)</f>
        <v>27</v>
      </c>
      <c r="DF364" s="16">
        <f>IFERROR(__xludf.DUMMYFUNCTION("""COMPUTED_VALUE"""),19.0)</f>
        <v>19</v>
      </c>
      <c r="DG364" s="16"/>
      <c r="DH364" s="16">
        <f>IFERROR(__xludf.DUMMYFUNCTION("""COMPUTED_VALUE"""),19.0)</f>
        <v>19</v>
      </c>
      <c r="DI364" s="16"/>
      <c r="DJ364" s="16">
        <f>IFERROR(__xludf.DUMMYFUNCTION("""COMPUTED_VALUE"""),0.0)</f>
        <v>0</v>
      </c>
      <c r="DK364" s="16">
        <f>IFERROR(__xludf.DUMMYFUNCTION("""COMPUTED_VALUE"""),0.0)</f>
        <v>0</v>
      </c>
      <c r="DL364" s="16">
        <f>IFERROR(__xludf.DUMMYFUNCTION("""COMPUTED_VALUE"""),1.0)</f>
        <v>1</v>
      </c>
      <c r="DM364" s="16">
        <f>IFERROR(__xludf.DUMMYFUNCTION("""COMPUTED_VALUE"""),0.0)</f>
        <v>0</v>
      </c>
      <c r="DN364" s="16">
        <f>IFERROR(__xludf.DUMMYFUNCTION("""COMPUTED_VALUE"""),-1.0)</f>
        <v>-1</v>
      </c>
      <c r="DO364" s="16"/>
      <c r="DP364" s="16">
        <f>IFERROR(__xludf.DUMMYFUNCTION("""COMPUTED_VALUE"""),-1.0)</f>
        <v>-1</v>
      </c>
      <c r="DQ364" s="16"/>
      <c r="DR364" s="16">
        <f>IFERROR(__xludf.DUMMYFUNCTION("""COMPUTED_VALUE"""),1.0)</f>
        <v>1</v>
      </c>
      <c r="DS364" s="16">
        <f>IFERROR(__xludf.DUMMYFUNCTION("""COMPUTED_VALUE"""),2.0)</f>
        <v>2</v>
      </c>
      <c r="DT364" s="16">
        <f>IFERROR(__xludf.DUMMYFUNCTION("""COMPUTED_VALUE"""),1.0)</f>
        <v>1</v>
      </c>
      <c r="DU364" s="16">
        <f>IFERROR(__xludf.DUMMYFUNCTION("""COMPUTED_VALUE"""),-2.0)</f>
        <v>-2</v>
      </c>
      <c r="DV364" s="16">
        <f>IFERROR(__xludf.DUMMYFUNCTION("""COMPUTED_VALUE"""),-4.0)</f>
        <v>-4</v>
      </c>
      <c r="DW364" s="16"/>
      <c r="DX364" s="16">
        <f>IFERROR(__xludf.DUMMYFUNCTION("""COMPUTED_VALUE"""),-4.0)</f>
        <v>-4</v>
      </c>
      <c r="DY364" s="16"/>
      <c r="DZ364" s="16">
        <f>IFERROR(__xludf.DUMMYFUNCTION("""COMPUTED_VALUE"""),1.0)</f>
        <v>1</v>
      </c>
      <c r="EA364" s="16">
        <f>IFERROR(__xludf.DUMMYFUNCTION("""COMPUTED_VALUE"""),2.0)</f>
        <v>2</v>
      </c>
      <c r="EB364" s="16">
        <f>IFERROR(__xludf.DUMMYFUNCTION("""COMPUTED_VALUE"""),2.0)</f>
        <v>2</v>
      </c>
      <c r="EC364" s="16">
        <f>IFERROR(__xludf.DUMMYFUNCTION("""COMPUTED_VALUE"""),-2.0)</f>
        <v>-2</v>
      </c>
      <c r="ED364" s="16">
        <f>IFERROR(__xludf.DUMMYFUNCTION("""COMPUTED_VALUE"""),-5.0)</f>
        <v>-5</v>
      </c>
      <c r="EE364" s="16"/>
      <c r="EF364" s="16">
        <f>IFERROR(__xludf.DUMMYFUNCTION("""COMPUTED_VALUE"""),-5.0)</f>
        <v>-5</v>
      </c>
      <c r="EG364" s="179"/>
      <c r="EH364" s="179">
        <f>IFERROR(__xludf.DUMMYFUNCTION("""COMPUTED_VALUE"""),-15.0)</f>
        <v>-15</v>
      </c>
      <c r="EI364" s="179">
        <f>IFERROR(__xludf.DUMMYFUNCTION("""COMPUTED_VALUE"""),-14.0)</f>
        <v>-14</v>
      </c>
      <c r="EJ364" s="179">
        <f>IFERROR(__xludf.DUMMYFUNCTION("""COMPUTED_VALUE"""),-14.0)</f>
        <v>-14</v>
      </c>
      <c r="EK364" s="179">
        <f>IFERROR(__xludf.DUMMYFUNCTION("""COMPUTED_VALUE"""),-18.0)</f>
        <v>-18</v>
      </c>
      <c r="EL364" s="179">
        <f>IFERROR(__xludf.DUMMYFUNCTION("""COMPUTED_VALUE"""),-21.0)</f>
        <v>-21</v>
      </c>
      <c r="EM364" s="179"/>
      <c r="EN364" s="179">
        <f>IFERROR(__xludf.DUMMYFUNCTION("""COMPUTED_VALUE"""),-21.0)</f>
        <v>-21</v>
      </c>
      <c r="EO364" s="16"/>
      <c r="EP364" s="16">
        <f>IFERROR(__xludf.DUMMYFUNCTION("""COMPUTED_VALUE"""),0.0)</f>
        <v>0</v>
      </c>
      <c r="EQ364" s="16">
        <f>IFERROR(__xludf.DUMMYFUNCTION("""COMPUTED_VALUE"""),4.0)</f>
        <v>4</v>
      </c>
      <c r="ER364" s="16">
        <f>IFERROR(__xludf.DUMMYFUNCTION("""COMPUTED_VALUE"""),0.0)</f>
        <v>0</v>
      </c>
      <c r="ES364" s="16"/>
      <c r="ET364" s="16"/>
      <c r="EU364" s="16"/>
      <c r="EV364" s="16"/>
      <c r="EW364" s="16"/>
      <c r="EX364" s="180"/>
      <c r="EY364" s="180">
        <f>IFERROR(__xludf.DUMMYFUNCTION("""COMPUTED_VALUE"""),0.3)</f>
        <v>0.3</v>
      </c>
      <c r="EZ364" s="180">
        <f>IFERROR(__xludf.DUMMYFUNCTION("""COMPUTED_VALUE"""),0.2)</f>
        <v>0.2</v>
      </c>
      <c r="FA364" s="180">
        <f>IFERROR(__xludf.DUMMYFUNCTION("""COMPUTED_VALUE"""),0.2)</f>
        <v>0.2</v>
      </c>
      <c r="FB364" s="180">
        <f>IFERROR(__xludf.DUMMYFUNCTION("""COMPUTED_VALUE"""),0.2)</f>
        <v>0.2</v>
      </c>
      <c r="FC364" s="180">
        <f>IFERROR(__xludf.DUMMYFUNCTION("""COMPUTED_VALUE"""),0.55)</f>
        <v>0.55</v>
      </c>
      <c r="FD364" s="180"/>
      <c r="FE364" s="180">
        <f>IFERROR(__xludf.DUMMYFUNCTION("""COMPUTED_VALUE"""),0.55)</f>
        <v>0.55</v>
      </c>
      <c r="FF364" s="180"/>
      <c r="FG364" s="180">
        <f>IFERROR(__xludf.DUMMYFUNCTION("""COMPUTED_VALUE"""),0.25)</f>
        <v>0.25</v>
      </c>
      <c r="FH364" s="180">
        <f>IFERROR(__xludf.DUMMYFUNCTION("""COMPUTED_VALUE"""),0.0787037037037037)</f>
        <v>0.0787037037</v>
      </c>
      <c r="FI364" s="180">
        <f>IFERROR(__xludf.DUMMYFUNCTION("""COMPUTED_VALUE"""),0.14351851851851852)</f>
        <v>0.1435185185</v>
      </c>
      <c r="FJ364" s="180">
        <f>IFERROR(__xludf.DUMMYFUNCTION("""COMPUTED_VALUE"""),0.1388888888888889)</f>
        <v>0.1388888889</v>
      </c>
      <c r="FK364" s="180">
        <f>IFERROR(__xludf.DUMMYFUNCTION("""COMPUTED_VALUE"""),0.343)</f>
        <v>0.343</v>
      </c>
      <c r="FL364" s="180"/>
      <c r="FM364" s="180">
        <f>IFERROR(__xludf.DUMMYFUNCTION("""COMPUTED_VALUE"""),0.343)</f>
        <v>0.343</v>
      </c>
      <c r="FN364" s="16"/>
      <c r="FO364" s="16">
        <f>IFERROR(__xludf.DUMMYFUNCTION("""COMPUTED_VALUE"""),0.5249999999999999)</f>
        <v>0.525</v>
      </c>
      <c r="FP364" s="16">
        <f>IFERROR(__xludf.DUMMYFUNCTION("""COMPUTED_VALUE"""),0.737037037037037)</f>
        <v>0.737037037</v>
      </c>
      <c r="FQ364" s="16">
        <f>IFERROR(__xludf.DUMMYFUNCTION("""COMPUTED_VALUE"""),0.6851851851851852)</f>
        <v>0.6851851852</v>
      </c>
      <c r="FR364" s="16">
        <f>IFERROR(__xludf.DUMMYFUNCTION("""COMPUTED_VALUE"""),0.688888888888889)</f>
        <v>0.6888888889</v>
      </c>
      <c r="FS364" s="16">
        <f>IFERROR(__xludf.DUMMYFUNCTION("""COMPUTED_VALUE"""),0.29564999999999997)</f>
        <v>0.29565</v>
      </c>
      <c r="FT364" s="16"/>
      <c r="FU364" s="16">
        <f>IFERROR(__xludf.DUMMYFUNCTION("""COMPUTED_VALUE"""),0.29564999999999997)</f>
        <v>0.29565</v>
      </c>
      <c r="FV364" s="16"/>
      <c r="FW364" s="16">
        <f>IFERROR(__xludf.DUMMYFUNCTION("""COMPUTED_VALUE"""),-8.0)</f>
        <v>-8</v>
      </c>
      <c r="FX364" s="16">
        <f>IFERROR(__xludf.DUMMYFUNCTION("""COMPUTED_VALUE"""),-4.0)</f>
        <v>-4</v>
      </c>
      <c r="FY364" s="16">
        <f>IFERROR(__xludf.DUMMYFUNCTION("""COMPUTED_VALUE"""),-4.0)</f>
        <v>-4</v>
      </c>
      <c r="FZ364" s="16">
        <f>IFERROR(__xludf.DUMMYFUNCTION("""COMPUTED_VALUE"""),-4.0)</f>
        <v>-4</v>
      </c>
      <c r="GA364" s="16">
        <f>IFERROR(__xludf.DUMMYFUNCTION("""COMPUTED_VALUE"""),-8.0)</f>
        <v>-8</v>
      </c>
      <c r="GB364" s="16"/>
      <c r="GC364" s="16">
        <f>IFERROR(__xludf.DUMMYFUNCTION("""COMPUTED_VALUE"""),-8.0)</f>
        <v>-8</v>
      </c>
      <c r="GD364" s="16" t="s">
        <v>333</v>
      </c>
    </row>
    <row r="365">
      <c r="A365" s="16">
        <f>IFERROR(__xludf.DUMMYFUNCTION("""COMPUTED_VALUE"""),13439.0)</f>
        <v>13439</v>
      </c>
      <c r="B365" s="16" t="str">
        <f>IFERROR(__xludf.DUMMYFUNCTION("""COMPUTED_VALUE"""),"Trey Lipscomb")</f>
        <v>Trey Lipscomb</v>
      </c>
      <c r="C365" s="16">
        <f>IFERROR(__xludf.DUMMYFUNCTION("""COMPUTED_VALUE"""),0.0)</f>
        <v>0</v>
      </c>
      <c r="D365" s="16" t="str">
        <f>IFERROR(__xludf.DUMMYFUNCTION("""COMPUTED_VALUE"""),"R")</f>
        <v>R</v>
      </c>
      <c r="E365" s="16"/>
      <c r="F365" s="16"/>
      <c r="G365" s="16">
        <f>IFERROR(__xludf.DUMMYFUNCTION("""COMPUTED_VALUE"""),190.0)</f>
        <v>190</v>
      </c>
      <c r="H365" s="16">
        <f>IFERROR(__xludf.DUMMYFUNCTION("""COMPUTED_VALUE"""),16.0)</f>
        <v>16</v>
      </c>
      <c r="I365" s="16" t="str">
        <f>IFERROR(__xludf.DUMMYFUNCTION("""COMPUTED_VALUE"""),"1p30")</f>
        <v>1p30</v>
      </c>
      <c r="J365" s="16">
        <f>IFERROR(__xludf.DUMMYFUNCTION("""COMPUTED_VALUE"""),13.0)</f>
        <v>13</v>
      </c>
      <c r="K365" s="16">
        <f>IFERROR(__xludf.DUMMYFUNCTION("""COMPUTED_VALUE"""),18.0)</f>
        <v>18</v>
      </c>
      <c r="L365" s="16">
        <f>IFERROR(__xludf.DUMMYFUNCTION("""COMPUTED_VALUE"""),1.0)</f>
        <v>1</v>
      </c>
      <c r="M365" s="16">
        <f>IFERROR(__xludf.DUMMYFUNCTION("""COMPUTED_VALUE"""),1.0)</f>
        <v>1</v>
      </c>
      <c r="N365" s="16">
        <f>IFERROR(__xludf.DUMMYFUNCTION("""COMPUTED_VALUE"""),1.0)</f>
        <v>1</v>
      </c>
      <c r="O365" s="16">
        <f>IFERROR(__xludf.DUMMYFUNCTION("""COMPUTED_VALUE"""),1.0)</f>
        <v>1</v>
      </c>
      <c r="P365" s="16">
        <f>IFERROR(__xludf.DUMMYFUNCTION("""COMPUTED_VALUE"""),0.0)</f>
        <v>0</v>
      </c>
      <c r="Q365" s="16">
        <f>IFERROR(__xludf.DUMMYFUNCTION("""COMPUTED_VALUE"""),15.0)</f>
        <v>15</v>
      </c>
      <c r="R365" s="16">
        <f>IFERROR(__xludf.DUMMYFUNCTION("""COMPUTED_VALUE"""),-3.0)</f>
        <v>-3</v>
      </c>
      <c r="S365" s="16">
        <f>IFERROR(__xludf.DUMMYFUNCTION("""COMPUTED_VALUE"""),2.0)</f>
        <v>2</v>
      </c>
      <c r="T365" s="16">
        <f>IFERROR(__xludf.DUMMYFUNCTION("""COMPUTED_VALUE"""),-3.0)</f>
        <v>-3</v>
      </c>
      <c r="U365" s="16">
        <f>IFERROR(__xludf.DUMMYFUNCTION("""COMPUTED_VALUE"""),2.0)</f>
        <v>2</v>
      </c>
      <c r="V365" s="16">
        <f>IFERROR(__xludf.DUMMYFUNCTION("""COMPUTED_VALUE"""),1.8)</f>
        <v>1.8</v>
      </c>
      <c r="W365" s="16">
        <f>IFERROR(__xludf.DUMMYFUNCTION("""COMPUTED_VALUE"""),19.7)</f>
        <v>19.7</v>
      </c>
      <c r="X365" s="16">
        <f>IFERROR(__xludf.DUMMYFUNCTION("""COMPUTED_VALUE"""),-2.0)</f>
        <v>-2</v>
      </c>
      <c r="Y365" s="16">
        <f>IFERROR(__xludf.DUMMYFUNCTION("""COMPUTED_VALUE"""),0.0)</f>
        <v>0</v>
      </c>
      <c r="Z365" s="16">
        <f>IFERROR(__xludf.DUMMYFUNCTION("""COMPUTED_VALUE"""),-4.0)</f>
        <v>-4</v>
      </c>
      <c r="AA365" s="16">
        <f>IFERROR(__xludf.DUMMYFUNCTION("""COMPUTED_VALUE"""),0.0)</f>
        <v>0</v>
      </c>
      <c r="AB365" s="16">
        <f>IFERROR(__xludf.DUMMYFUNCTION("""COMPUTED_VALUE"""),3.8)</f>
        <v>3.8</v>
      </c>
      <c r="AC365" s="16">
        <f>IFERROR(__xludf.DUMMYFUNCTION("""COMPUTED_VALUE"""),36.7)</f>
        <v>36.7</v>
      </c>
      <c r="AD365" s="16">
        <f>IFERROR(__xludf.DUMMYFUNCTION("""COMPUTED_VALUE"""),-3.0)</f>
        <v>-3</v>
      </c>
      <c r="AE365" s="16">
        <f>IFERROR(__xludf.DUMMYFUNCTION("""COMPUTED_VALUE"""),1.0)</f>
        <v>1</v>
      </c>
      <c r="AF365" s="16">
        <f>IFERROR(__xludf.DUMMYFUNCTION("""COMPUTED_VALUE"""),-15.0)</f>
        <v>-15</v>
      </c>
      <c r="AG365" s="16">
        <f>IFERROR(__xludf.DUMMYFUNCTION("""COMPUTED_VALUE"""),5.0)</f>
        <v>5</v>
      </c>
      <c r="AH365" s="16">
        <f>IFERROR(__xludf.DUMMYFUNCTION("""COMPUTED_VALUE"""),1.8)</f>
        <v>1.8</v>
      </c>
      <c r="AI365" s="16">
        <f>IFERROR(__xludf.DUMMYFUNCTION("""COMPUTED_VALUE"""),23.9)</f>
        <v>23.9</v>
      </c>
      <c r="AJ365" s="16">
        <f>IFERROR(__xludf.DUMMYFUNCTION("""COMPUTED_VALUE"""),-2.0)</f>
        <v>-2</v>
      </c>
      <c r="AK365" s="16">
        <f>IFERROR(__xludf.DUMMYFUNCTION("""COMPUTED_VALUE"""),-1.0)</f>
        <v>-1</v>
      </c>
      <c r="AL365" s="16">
        <f>IFERROR(__xludf.DUMMYFUNCTION("""COMPUTED_VALUE"""),-10.0)</f>
        <v>-10</v>
      </c>
      <c r="AM365" s="16">
        <f>IFERROR(__xludf.DUMMYFUNCTION("""COMPUTED_VALUE"""),-5.0)</f>
        <v>-5</v>
      </c>
      <c r="AN365" s="16">
        <f>IFERROR(__xludf.DUMMYFUNCTION("""COMPUTED_VALUE"""),0.0)</f>
        <v>0</v>
      </c>
      <c r="AO365" s="16">
        <f>IFERROR(__xludf.DUMMYFUNCTION("""COMPUTED_VALUE"""),1.4)</f>
        <v>1.4</v>
      </c>
      <c r="AP365" s="16">
        <f>IFERROR(__xludf.DUMMYFUNCTION("""COMPUTED_VALUE"""),-2.0)</f>
        <v>-2</v>
      </c>
      <c r="AQ365" s="16">
        <f>IFERROR(__xludf.DUMMYFUNCTION("""COMPUTED_VALUE"""),-1.0)</f>
        <v>-1</v>
      </c>
      <c r="AR365" s="16">
        <f>IFERROR(__xludf.DUMMYFUNCTION("""COMPUTED_VALUE"""),-4.0)</f>
        <v>-4</v>
      </c>
      <c r="AS365" s="16">
        <f>IFERROR(__xludf.DUMMYFUNCTION("""COMPUTED_VALUE"""),-2.0)</f>
        <v>-2</v>
      </c>
      <c r="AT365" s="16"/>
      <c r="AU365" s="16"/>
      <c r="AV365" s="16">
        <f>IFERROR(__xludf.DUMMYFUNCTION("""COMPUTED_VALUE"""),-3.0)</f>
        <v>-3</v>
      </c>
      <c r="AW365" s="16">
        <f>IFERROR(__xludf.DUMMYFUNCTION("""COMPUTED_VALUE"""),-3.0)</f>
        <v>-3</v>
      </c>
      <c r="AX365" s="16">
        <f>IFERROR(__xludf.DUMMYFUNCTION("""COMPUTED_VALUE"""),-3.0)</f>
        <v>-3</v>
      </c>
      <c r="AY365" s="16">
        <f>IFERROR(__xludf.DUMMYFUNCTION("""COMPUTED_VALUE"""),-3.0)</f>
        <v>-3</v>
      </c>
      <c r="AZ365" s="16">
        <f>IFERROR(__xludf.DUMMYFUNCTION("""COMPUTED_VALUE"""),-9.0)</f>
        <v>-9</v>
      </c>
      <c r="BA365" s="16">
        <f>IFERROR(__xludf.DUMMYFUNCTION("""COMPUTED_VALUE"""),-9.0)</f>
        <v>-9</v>
      </c>
      <c r="BB365" s="16">
        <f>IFERROR(__xludf.DUMMYFUNCTION("""COMPUTED_VALUE"""),5.0)</f>
        <v>5</v>
      </c>
      <c r="BC365" s="16">
        <f>IFERROR(__xludf.DUMMYFUNCTION("""COMPUTED_VALUE"""),5.0)</f>
        <v>5</v>
      </c>
      <c r="BD365" s="16">
        <f>IFERROR(__xludf.DUMMYFUNCTION("""COMPUTED_VALUE"""),1.0)</f>
        <v>1</v>
      </c>
      <c r="BE365" s="16">
        <f>IFERROR(__xludf.DUMMYFUNCTION("""COMPUTED_VALUE"""),1.0)</f>
        <v>1</v>
      </c>
      <c r="BF365" s="16">
        <f>IFERROR(__xludf.DUMMYFUNCTION("""COMPUTED_VALUE"""),1.0)</f>
        <v>1</v>
      </c>
      <c r="BG365" s="16">
        <f>IFERROR(__xludf.DUMMYFUNCTION("""COMPUTED_VALUE"""),1.0)</f>
        <v>1</v>
      </c>
      <c r="BH365" s="16">
        <f>IFERROR(__xludf.DUMMYFUNCTION("""COMPUTED_VALUE"""),0.0)</f>
        <v>0</v>
      </c>
      <c r="BI365" s="16">
        <f>IFERROR(__xludf.DUMMYFUNCTION("""COMPUTED_VALUE"""),-9.0)</f>
        <v>-9</v>
      </c>
      <c r="BJ365" s="16">
        <f>IFERROR(__xludf.DUMMYFUNCTION("""COMPUTED_VALUE"""),27.0)</f>
        <v>27</v>
      </c>
      <c r="BK365" s="16">
        <f>IFERROR(__xludf.DUMMYFUNCTION("""COMPUTED_VALUE"""),20.0)</f>
        <v>20</v>
      </c>
      <c r="BL365" s="16">
        <f>IFERROR(__xludf.DUMMYFUNCTION("""COMPUTED_VALUE"""),-2.0)</f>
        <v>-2</v>
      </c>
      <c r="BM365" s="16">
        <f>IFERROR(__xludf.DUMMYFUNCTION("""COMPUTED_VALUE"""),-2.0)</f>
        <v>-2</v>
      </c>
      <c r="BN365" s="16">
        <f>IFERROR(__xludf.DUMMYFUNCTION("""COMPUTED_VALUE"""),-4.0)</f>
        <v>-4</v>
      </c>
      <c r="BO365" s="16">
        <f>IFERROR(__xludf.DUMMYFUNCTION("""COMPUTED_VALUE"""),-4.0)</f>
        <v>-4</v>
      </c>
      <c r="BP365" s="16">
        <f>IFERROR(__xludf.DUMMYFUNCTION("""COMPUTED_VALUE"""),-15.0)</f>
        <v>-15</v>
      </c>
      <c r="BQ365" s="16">
        <f>IFERROR(__xludf.DUMMYFUNCTION("""COMPUTED_VALUE"""),-2.0)</f>
        <v>-2</v>
      </c>
      <c r="BR365" s="16">
        <f>IFERROR(__xludf.DUMMYFUNCTION("""COMPUTED_VALUE"""),-17.0)</f>
        <v>-17</v>
      </c>
      <c r="BS365" s="16" t="str">
        <f>IFERROR(__xludf.DUMMYFUNCTION("""COMPUTED_VALUE"""),"*2-5,12/- (19-13)")</f>
        <v>*2-5,12/- (19-13)</v>
      </c>
      <c r="BT365" s="16" t="str">
        <f>IFERROR(__xludf.DUMMYFUNCTION("""COMPUTED_VALUE"""),"A")</f>
        <v>A</v>
      </c>
      <c r="BU365" s="16">
        <f>IFERROR(__xludf.DUMMYFUNCTION("""COMPUTED_VALUE"""),13.0)</f>
        <v>13</v>
      </c>
      <c r="BV365" s="16">
        <f>IFERROR(__xludf.DUMMYFUNCTION("""COMPUTED_VALUE"""),2.0)</f>
        <v>2</v>
      </c>
      <c r="BW365" s="16">
        <f>IFERROR(__xludf.DUMMYFUNCTION("""COMPUTED_VALUE"""),1.0)</f>
        <v>1</v>
      </c>
      <c r="BX365" s="16">
        <f>IFERROR(__xludf.DUMMYFUNCTION("""COMPUTED_VALUE"""),4.0)</f>
        <v>4</v>
      </c>
      <c r="BY365" s="16">
        <f>IFERROR(__xludf.DUMMYFUNCTION("""COMPUTED_VALUE"""),3.0)</f>
        <v>3</v>
      </c>
      <c r="BZ365" s="16" t="str">
        <f>IFERROR(__xludf.DUMMYFUNCTION("""COMPUTED_VALUE"""),"D")</f>
        <v>D</v>
      </c>
      <c r="CA365" s="16" t="str">
        <f>IFERROR(__xludf.DUMMYFUNCTION("""COMPUTED_VALUE"""),"C")</f>
        <v>C</v>
      </c>
      <c r="CB365" s="16">
        <f>IFERROR(__xludf.DUMMYFUNCTION("""COMPUTED_VALUE"""),0.0)</f>
        <v>0</v>
      </c>
      <c r="CC365" s="16">
        <f>IFERROR(__xludf.DUMMYFUNCTION("""COMPUTED_VALUE"""),0.0)</f>
        <v>0</v>
      </c>
      <c r="CD365" s="16">
        <f>IFERROR(__xludf.DUMMYFUNCTION("""COMPUTED_VALUE"""),0.0)</f>
        <v>0</v>
      </c>
      <c r="CE365" s="16">
        <f>IFERROR(__xludf.DUMMYFUNCTION("""COMPUTED_VALUE"""),0.0)</f>
        <v>0</v>
      </c>
      <c r="CF365" s="16">
        <f>IFERROR(__xludf.DUMMYFUNCTION("""COMPUTED_VALUE"""),1.0)</f>
        <v>1</v>
      </c>
      <c r="CG365" s="16">
        <f>IFERROR(__xludf.DUMMYFUNCTION("""COMPUTED_VALUE"""),-47.0)</f>
        <v>-47</v>
      </c>
      <c r="CH365" s="16">
        <f>IFERROR(__xludf.DUMMYFUNCTION("""COMPUTED_VALUE"""),-11.0)</f>
        <v>-11</v>
      </c>
      <c r="CI365" s="179">
        <f>IFERROR(__xludf.DUMMYFUNCTION("""COMPUTED_VALUE"""),-16.0)</f>
        <v>-16</v>
      </c>
      <c r="CJ365" s="16"/>
      <c r="CK365" s="16">
        <f>IFERROR(__xludf.DUMMYFUNCTION("""COMPUTED_VALUE"""),430.0)</f>
        <v>430</v>
      </c>
      <c r="CL365" s="16">
        <f>IFERROR(__xludf.DUMMYFUNCTION("""COMPUTED_VALUE"""),471.0)</f>
        <v>471</v>
      </c>
      <c r="CM365" s="16">
        <f>IFERROR(__xludf.DUMMYFUNCTION("""COMPUTED_VALUE"""),222.0)</f>
        <v>222</v>
      </c>
      <c r="CN365" s="16"/>
      <c r="CO365" s="16"/>
      <c r="CP365" s="16"/>
      <c r="CQ365" s="16"/>
      <c r="CR365" s="16" t="str">
        <f>IFERROR(__xludf.DUMMYFUNCTION("""COMPUTED_VALUE"""),"3b-2e22 1b-4e30 2b-4e71")</f>
        <v>3b-2e22 1b-4e30 2b-4e71</v>
      </c>
      <c r="CS365" s="16"/>
      <c r="CT365" s="16">
        <f>IFERROR(__xludf.DUMMYFUNCTION("""COMPUTED_VALUE"""),4.0)</f>
        <v>4</v>
      </c>
      <c r="CU365" s="16">
        <f>IFERROR(__xludf.DUMMYFUNCTION("""COMPUTED_VALUE"""),4.0)</f>
        <v>4</v>
      </c>
      <c r="CV365" s="16">
        <f>IFERROR(__xludf.DUMMYFUNCTION("""COMPUTED_VALUE"""),2.0)</f>
        <v>2</v>
      </c>
      <c r="CW365" s="16"/>
      <c r="CX365" s="16"/>
      <c r="CY365" s="16"/>
      <c r="CZ365" s="16"/>
      <c r="DA365" s="16"/>
      <c r="DB365" s="16">
        <f>IFERROR(__xludf.DUMMYFUNCTION("""COMPUTED_VALUE"""),30.0)</f>
        <v>30</v>
      </c>
      <c r="DC365" s="16">
        <f>IFERROR(__xludf.DUMMYFUNCTION("""COMPUTED_VALUE"""),71.0)</f>
        <v>71</v>
      </c>
      <c r="DD365" s="16">
        <f>IFERROR(__xludf.DUMMYFUNCTION("""COMPUTED_VALUE"""),22.0)</f>
        <v>22</v>
      </c>
      <c r="DE365" s="16"/>
      <c r="DF365" s="16"/>
      <c r="DG365" s="16"/>
      <c r="DH365" s="16"/>
      <c r="DI365" s="16"/>
      <c r="DJ365" s="16">
        <f>IFERROR(__xludf.DUMMYFUNCTION("""COMPUTED_VALUE"""),0.0)</f>
        <v>0</v>
      </c>
      <c r="DK365" s="16">
        <f>IFERROR(__xludf.DUMMYFUNCTION("""COMPUTED_VALUE"""),-2.0)</f>
        <v>-2</v>
      </c>
      <c r="DL365" s="16">
        <f>IFERROR(__xludf.DUMMYFUNCTION("""COMPUTED_VALUE"""),3.0)</f>
        <v>3</v>
      </c>
      <c r="DM365" s="16"/>
      <c r="DN365" s="16"/>
      <c r="DO365" s="16"/>
      <c r="DP365" s="16"/>
      <c r="DQ365" s="16"/>
      <c r="DR365" s="16">
        <f>IFERROR(__xludf.DUMMYFUNCTION("""COMPUTED_VALUE"""),-2.0)</f>
        <v>-2</v>
      </c>
      <c r="DS365" s="16">
        <f>IFERROR(__xludf.DUMMYFUNCTION("""COMPUTED_VALUE"""),-2.0)</f>
        <v>-2</v>
      </c>
      <c r="DT365" s="16">
        <f>IFERROR(__xludf.DUMMYFUNCTION("""COMPUTED_VALUE"""),-2.0)</f>
        <v>-2</v>
      </c>
      <c r="DU365" s="16"/>
      <c r="DV365" s="16"/>
      <c r="DW365" s="16"/>
      <c r="DX365" s="16"/>
      <c r="DY365" s="16"/>
      <c r="DZ365" s="16">
        <f>IFERROR(__xludf.DUMMYFUNCTION("""COMPUTED_VALUE"""),-2.0)</f>
        <v>-2</v>
      </c>
      <c r="EA365" s="16">
        <f>IFERROR(__xludf.DUMMYFUNCTION("""COMPUTED_VALUE"""),-4.0)</f>
        <v>-4</v>
      </c>
      <c r="EB365" s="16">
        <f>IFERROR(__xludf.DUMMYFUNCTION("""COMPUTED_VALUE"""),1.0)</f>
        <v>1</v>
      </c>
      <c r="EC365" s="16"/>
      <c r="ED365" s="16"/>
      <c r="EE365" s="16"/>
      <c r="EF365" s="16"/>
      <c r="EG365" s="179"/>
      <c r="EH365" s="179">
        <f>IFERROR(__xludf.DUMMYFUNCTION("""COMPUTED_VALUE"""),-18.0)</f>
        <v>-18</v>
      </c>
      <c r="EI365" s="179">
        <f>IFERROR(__xludf.DUMMYFUNCTION("""COMPUTED_VALUE"""),-20.0)</f>
        <v>-20</v>
      </c>
      <c r="EJ365" s="179">
        <f>IFERROR(__xludf.DUMMYFUNCTION("""COMPUTED_VALUE"""),-15.0)</f>
        <v>-15</v>
      </c>
      <c r="EK365" s="179"/>
      <c r="EL365" s="179"/>
      <c r="EM365" s="179"/>
      <c r="EN365" s="179"/>
      <c r="EO365" s="16"/>
      <c r="EP365" s="16">
        <f>IFERROR(__xludf.DUMMYFUNCTION("""COMPUTED_VALUE"""),2.5)</f>
        <v>2.5</v>
      </c>
      <c r="EQ365" s="16">
        <f>IFERROR(__xludf.DUMMYFUNCTION("""COMPUTED_VALUE"""),4.0)</f>
        <v>4</v>
      </c>
      <c r="ER365" s="16">
        <f>IFERROR(__xludf.DUMMYFUNCTION("""COMPUTED_VALUE"""),-2.0)</f>
        <v>-2</v>
      </c>
      <c r="ES365" s="16"/>
      <c r="ET365" s="16"/>
      <c r="EU365" s="16"/>
      <c r="EV365" s="16"/>
      <c r="EW365" s="16"/>
      <c r="EX365" s="180"/>
      <c r="EY365" s="180">
        <f>IFERROR(__xludf.DUMMYFUNCTION("""COMPUTED_VALUE"""),0.3)</f>
        <v>0.3</v>
      </c>
      <c r="EZ365" s="180">
        <f>IFERROR(__xludf.DUMMYFUNCTION("""COMPUTED_VALUE"""),0.3)</f>
        <v>0.3</v>
      </c>
      <c r="FA365" s="180">
        <f>IFERROR(__xludf.DUMMYFUNCTION("""COMPUTED_VALUE"""),0.1)</f>
        <v>0.1</v>
      </c>
      <c r="FB365" s="180"/>
      <c r="FC365" s="180"/>
      <c r="FD365" s="180"/>
      <c r="FE365" s="180"/>
      <c r="FF365" s="180"/>
      <c r="FG365" s="180">
        <f>IFERROR(__xludf.DUMMYFUNCTION("""COMPUTED_VALUE"""),0.5370370370370371)</f>
        <v>0.537037037</v>
      </c>
      <c r="FH365" s="180">
        <f>IFERROR(__xludf.DUMMYFUNCTION("""COMPUTED_VALUE"""),0.42592592592592593)</f>
        <v>0.4259259259</v>
      </c>
      <c r="FI365" s="180">
        <f>IFERROR(__xludf.DUMMYFUNCTION("""COMPUTED_VALUE"""),0.2638888888888889)</f>
        <v>0.2638888889</v>
      </c>
      <c r="FJ365" s="180"/>
      <c r="FK365" s="180"/>
      <c r="FL365" s="180"/>
      <c r="FM365" s="180"/>
      <c r="FN365" s="16"/>
      <c r="FO365" s="16">
        <f>IFERROR(__xludf.DUMMYFUNCTION("""COMPUTED_VALUE"""),0.324074074074074)</f>
        <v>0.3240740741</v>
      </c>
      <c r="FP365" s="16">
        <f>IFERROR(__xludf.DUMMYFUNCTION("""COMPUTED_VALUE"""),0.40185185185185185)</f>
        <v>0.4018518519</v>
      </c>
      <c r="FQ365" s="16">
        <f>IFERROR(__xludf.DUMMYFUNCTION("""COMPUTED_VALUE"""),0.6625000000000001)</f>
        <v>0.6625</v>
      </c>
      <c r="FR365" s="16"/>
      <c r="FS365" s="16"/>
      <c r="FT365" s="16"/>
      <c r="FU365" s="16"/>
      <c r="FV365" s="16"/>
      <c r="FW365" s="16">
        <f>IFERROR(__xludf.DUMMYFUNCTION("""COMPUTED_VALUE"""),-8.0)</f>
        <v>-8</v>
      </c>
      <c r="FX365" s="16">
        <f>IFERROR(__xludf.DUMMYFUNCTION("""COMPUTED_VALUE"""),-8.0)</f>
        <v>-8</v>
      </c>
      <c r="FY365" s="16">
        <f>IFERROR(__xludf.DUMMYFUNCTION("""COMPUTED_VALUE"""),-4.0)</f>
        <v>-4</v>
      </c>
      <c r="FZ365" s="16"/>
      <c r="GA365" s="16"/>
      <c r="GB365" s="16"/>
      <c r="GC365" s="16"/>
      <c r="GD365" s="16" t="s">
        <v>176</v>
      </c>
    </row>
    <row r="366">
      <c r="A366" s="16">
        <f>IFERROR(__xludf.DUMMYFUNCTION("""COMPUTED_VALUE"""),12585.0)</f>
        <v>12585</v>
      </c>
      <c r="B366" s="16" t="str">
        <f>IFERROR(__xludf.DUMMYFUNCTION("""COMPUTED_VALUE"""),"Bo Naylor")</f>
        <v>Bo Naylor</v>
      </c>
      <c r="C366" s="16">
        <f>IFERROR(__xludf.DUMMYFUNCTION("""COMPUTED_VALUE"""),0.31)</f>
        <v>0.31</v>
      </c>
      <c r="D366" s="16" t="str">
        <f>IFERROR(__xludf.DUMMYFUNCTION("""COMPUTED_VALUE"""),"L")</f>
        <v>L</v>
      </c>
      <c r="E366" s="16"/>
      <c r="F366" s="16"/>
      <c r="G366" s="16">
        <f>IFERROR(__xludf.DUMMYFUNCTION("""COMPUTED_VALUE"""),354.0)</f>
        <v>354</v>
      </c>
      <c r="H366" s="16">
        <f>IFERROR(__xludf.DUMMYFUNCTION("""COMPUTED_VALUE"""),29.0)</f>
        <v>29</v>
      </c>
      <c r="I366" s="16" t="str">
        <f>IFERROR(__xludf.DUMMYFUNCTION("""COMPUTED_VALUE"""),"2p60")</f>
        <v>2p60</v>
      </c>
      <c r="J366" s="16">
        <f>IFERROR(__xludf.DUMMYFUNCTION("""COMPUTED_VALUE"""),39.0)</f>
        <v>39</v>
      </c>
      <c r="K366" s="16">
        <f>IFERROR(__xludf.DUMMYFUNCTION("""COMPUTED_VALUE"""),45.0)</f>
        <v>45</v>
      </c>
      <c r="L366" s="16">
        <f>IFERROR(__xludf.DUMMYFUNCTION("""COMPUTED_VALUE"""),-1.0)</f>
        <v>-1</v>
      </c>
      <c r="M366" s="16">
        <f>IFERROR(__xludf.DUMMYFUNCTION("""COMPUTED_VALUE"""),-2.0)</f>
        <v>-2</v>
      </c>
      <c r="N366" s="16">
        <f>IFERROR(__xludf.DUMMYFUNCTION("""COMPUTED_VALUE"""),-1.0)</f>
        <v>-1</v>
      </c>
      <c r="O366" s="16">
        <f>IFERROR(__xludf.DUMMYFUNCTION("""COMPUTED_VALUE"""),-2.0)</f>
        <v>-2</v>
      </c>
      <c r="P366" s="16">
        <f>IFERROR(__xludf.DUMMYFUNCTION("""COMPUTED_VALUE"""),3.0)</f>
        <v>3</v>
      </c>
      <c r="Q366" s="16">
        <f>IFERROR(__xludf.DUMMYFUNCTION("""COMPUTED_VALUE"""),7.0)</f>
        <v>7</v>
      </c>
      <c r="R366" s="16">
        <f>IFERROR(__xludf.DUMMYFUNCTION("""COMPUTED_VALUE"""),-2.0)</f>
        <v>-2</v>
      </c>
      <c r="S366" s="16">
        <f>IFERROR(__xludf.DUMMYFUNCTION("""COMPUTED_VALUE"""),-1.0)</f>
        <v>-1</v>
      </c>
      <c r="T366" s="16">
        <f>IFERROR(__xludf.DUMMYFUNCTION("""COMPUTED_VALUE"""),-2.0)</f>
        <v>-2</v>
      </c>
      <c r="U366" s="16">
        <f>IFERROR(__xludf.DUMMYFUNCTION("""COMPUTED_VALUE"""),-1.0)</f>
        <v>-1</v>
      </c>
      <c r="V366" s="16">
        <f>IFERROR(__xludf.DUMMYFUNCTION("""COMPUTED_VALUE"""),11.6)</f>
        <v>11.6</v>
      </c>
      <c r="W366" s="16">
        <f>IFERROR(__xludf.DUMMYFUNCTION("""COMPUTED_VALUE"""),11.8)</f>
        <v>11.8</v>
      </c>
      <c r="X366" s="16">
        <f>IFERROR(__xludf.DUMMYFUNCTION("""COMPUTED_VALUE"""),-1.0)</f>
        <v>-1</v>
      </c>
      <c r="Y366" s="16">
        <f>IFERROR(__xludf.DUMMYFUNCTION("""COMPUTED_VALUE"""),-2.0)</f>
        <v>-2</v>
      </c>
      <c r="Z366" s="16">
        <f>IFERROR(__xludf.DUMMYFUNCTION("""COMPUTED_VALUE"""),-2.0)</f>
        <v>-2</v>
      </c>
      <c r="AA366" s="16">
        <f>IFERROR(__xludf.DUMMYFUNCTION("""COMPUTED_VALUE"""),-4.0)</f>
        <v>-4</v>
      </c>
      <c r="AB366" s="16">
        <f>IFERROR(__xludf.DUMMYFUNCTION("""COMPUTED_VALUE"""),15.6)</f>
        <v>15.6</v>
      </c>
      <c r="AC366" s="16">
        <f>IFERROR(__xludf.DUMMYFUNCTION("""COMPUTED_VALUE"""),19.8)</f>
        <v>19.8</v>
      </c>
      <c r="AD366" s="16">
        <f>IFERROR(__xludf.DUMMYFUNCTION("""COMPUTED_VALUE"""),-2.0)</f>
        <v>-2</v>
      </c>
      <c r="AE366" s="16">
        <f>IFERROR(__xludf.DUMMYFUNCTION("""COMPUTED_VALUE"""),-2.0)</f>
        <v>-2</v>
      </c>
      <c r="AF366" s="16">
        <f>IFERROR(__xludf.DUMMYFUNCTION("""COMPUTED_VALUE"""),-10.0)</f>
        <v>-10</v>
      </c>
      <c r="AG366" s="16">
        <f>IFERROR(__xludf.DUMMYFUNCTION("""COMPUTED_VALUE"""),-10.0)</f>
        <v>-10</v>
      </c>
      <c r="AH366" s="16">
        <f>IFERROR(__xludf.DUMMYFUNCTION("""COMPUTED_VALUE"""),20.9)</f>
        <v>20.9</v>
      </c>
      <c r="AI366" s="16">
        <f>IFERROR(__xludf.DUMMYFUNCTION("""COMPUTED_VALUE"""),20.0)</f>
        <v>20</v>
      </c>
      <c r="AJ366" s="16">
        <f>IFERROR(__xludf.DUMMYFUNCTION("""COMPUTED_VALUE"""),-1.0)</f>
        <v>-1</v>
      </c>
      <c r="AK366" s="16">
        <f>IFERROR(__xludf.DUMMYFUNCTION("""COMPUTED_VALUE"""),-2.0)</f>
        <v>-2</v>
      </c>
      <c r="AL366" s="16">
        <f>IFERROR(__xludf.DUMMYFUNCTION("""COMPUTED_VALUE"""),-5.0)</f>
        <v>-5</v>
      </c>
      <c r="AM366" s="16">
        <f>IFERROR(__xludf.DUMMYFUNCTION("""COMPUTED_VALUE"""),-10.0)</f>
        <v>-10</v>
      </c>
      <c r="AN366" s="16">
        <f>IFERROR(__xludf.DUMMYFUNCTION("""COMPUTED_VALUE"""),1.8)</f>
        <v>1.8</v>
      </c>
      <c r="AO366" s="16">
        <f>IFERROR(__xludf.DUMMYFUNCTION("""COMPUTED_VALUE"""),2.2)</f>
        <v>2.2</v>
      </c>
      <c r="AP366" s="16">
        <f>IFERROR(__xludf.DUMMYFUNCTION("""COMPUTED_VALUE"""),-1.0)</f>
        <v>-1</v>
      </c>
      <c r="AQ366" s="16">
        <f>IFERROR(__xludf.DUMMYFUNCTION("""COMPUTED_VALUE"""),0.0)</f>
        <v>0</v>
      </c>
      <c r="AR366" s="16">
        <f>IFERROR(__xludf.DUMMYFUNCTION("""COMPUTED_VALUE"""),-2.0)</f>
        <v>-2</v>
      </c>
      <c r="AS366" s="16">
        <f>IFERROR(__xludf.DUMMYFUNCTION("""COMPUTED_VALUE"""),0.0)</f>
        <v>0</v>
      </c>
      <c r="AT366" s="16">
        <f>IFERROR(__xludf.DUMMYFUNCTION("""COMPUTED_VALUE"""),3.0)</f>
        <v>3</v>
      </c>
      <c r="AU366" s="16">
        <f>IFERROR(__xludf.DUMMYFUNCTION("""COMPUTED_VALUE"""),4.0)</f>
        <v>4</v>
      </c>
      <c r="AV366" s="16">
        <f>IFERROR(__xludf.DUMMYFUNCTION("""COMPUTED_VALUE"""),3.0)</f>
        <v>3</v>
      </c>
      <c r="AW366" s="16">
        <f>IFERROR(__xludf.DUMMYFUNCTION("""COMPUTED_VALUE"""),4.0)</f>
        <v>4</v>
      </c>
      <c r="AX366" s="16">
        <f>IFERROR(__xludf.DUMMYFUNCTION("""COMPUTED_VALUE"""),1.0)</f>
        <v>1</v>
      </c>
      <c r="AY366" s="16">
        <f>IFERROR(__xludf.DUMMYFUNCTION("""COMPUTED_VALUE"""),1.0)</f>
        <v>1</v>
      </c>
      <c r="AZ366" s="16">
        <f>IFERROR(__xludf.DUMMYFUNCTION("""COMPUTED_VALUE"""),3.0)</f>
        <v>3</v>
      </c>
      <c r="BA366" s="16">
        <f>IFERROR(__xludf.DUMMYFUNCTION("""COMPUTED_VALUE"""),3.0)</f>
        <v>3</v>
      </c>
      <c r="BB366" s="16">
        <f>IFERROR(__xludf.DUMMYFUNCTION("""COMPUTED_VALUE"""),5.0)</f>
        <v>5</v>
      </c>
      <c r="BC366" s="16">
        <f>IFERROR(__xludf.DUMMYFUNCTION("""COMPUTED_VALUE"""),5.0)</f>
        <v>5</v>
      </c>
      <c r="BD366" s="16">
        <f>IFERROR(__xludf.DUMMYFUNCTION("""COMPUTED_VALUE"""),1.0)</f>
        <v>1</v>
      </c>
      <c r="BE366" s="16">
        <f>IFERROR(__xludf.DUMMYFUNCTION("""COMPUTED_VALUE"""),1.0)</f>
        <v>1</v>
      </c>
      <c r="BF366" s="16">
        <f>IFERROR(__xludf.DUMMYFUNCTION("""COMPUTED_VALUE"""),1.0)</f>
        <v>1</v>
      </c>
      <c r="BG366" s="16">
        <f>IFERROR(__xludf.DUMMYFUNCTION("""COMPUTED_VALUE"""),1.0)</f>
        <v>1</v>
      </c>
      <c r="BH366" s="16">
        <f>IFERROR(__xludf.DUMMYFUNCTION("""COMPUTED_VALUE"""),-4.0)</f>
        <v>-4</v>
      </c>
      <c r="BI366" s="16">
        <f>IFERROR(__xludf.DUMMYFUNCTION("""COMPUTED_VALUE"""),-6.0)</f>
        <v>-6</v>
      </c>
      <c r="BJ366" s="16">
        <f>IFERROR(__xludf.DUMMYFUNCTION("""COMPUTED_VALUE"""),3.0)</f>
        <v>3</v>
      </c>
      <c r="BK366" s="16">
        <f>IFERROR(__xludf.DUMMYFUNCTION("""COMPUTED_VALUE"""),3.0)</f>
        <v>3</v>
      </c>
      <c r="BL366" s="16">
        <f>IFERROR(__xludf.DUMMYFUNCTION("""COMPUTED_VALUE"""),2.0)</f>
        <v>2</v>
      </c>
      <c r="BM366" s="16">
        <f>IFERROR(__xludf.DUMMYFUNCTION("""COMPUTED_VALUE"""),2.0)</f>
        <v>2</v>
      </c>
      <c r="BN366" s="16">
        <f>IFERROR(__xludf.DUMMYFUNCTION("""COMPUTED_VALUE"""),2.0)</f>
        <v>2</v>
      </c>
      <c r="BO366" s="16">
        <f>IFERROR(__xludf.DUMMYFUNCTION("""COMPUTED_VALUE"""),2.0)</f>
        <v>2</v>
      </c>
      <c r="BP366" s="16">
        <f>IFERROR(__xludf.DUMMYFUNCTION("""COMPUTED_VALUE"""),-4.0)</f>
        <v>-4</v>
      </c>
      <c r="BQ366" s="16">
        <f>IFERROR(__xludf.DUMMYFUNCTION("""COMPUTED_VALUE"""),-5.0)</f>
        <v>-5</v>
      </c>
      <c r="BR366" s="16">
        <f>IFERROR(__xludf.DUMMYFUNCTION("""COMPUTED_VALUE"""),-9.0)</f>
        <v>-9</v>
      </c>
      <c r="BS366" s="16" t="str">
        <f>IFERROR(__xludf.DUMMYFUNCTION("""COMPUTED_VALUE"""),"*3-6/- (15-11)")</f>
        <v>*3-6/- (15-11)</v>
      </c>
      <c r="BT366" s="16" t="str">
        <f>IFERROR(__xludf.DUMMYFUNCTION("""COMPUTED_VALUE"""),"C")</f>
        <v>C</v>
      </c>
      <c r="BU366" s="16">
        <f>IFERROR(__xludf.DUMMYFUNCTION("""COMPUTED_VALUE"""),12.0)</f>
        <v>12</v>
      </c>
      <c r="BV366" s="16">
        <f>IFERROR(__xludf.DUMMYFUNCTION("""COMPUTED_VALUE"""),0.0)</f>
        <v>0</v>
      </c>
      <c r="BW366" s="16">
        <f>IFERROR(__xludf.DUMMYFUNCTION("""COMPUTED_VALUE"""),0.0)</f>
        <v>0</v>
      </c>
      <c r="BX366" s="16">
        <f>IFERROR(__xludf.DUMMYFUNCTION("""COMPUTED_VALUE"""),0.0)</f>
        <v>0</v>
      </c>
      <c r="BY366" s="16">
        <f>IFERROR(__xludf.DUMMYFUNCTION("""COMPUTED_VALUE"""),0.0)</f>
        <v>0</v>
      </c>
      <c r="BZ366" s="16" t="str">
        <f>IFERROR(__xludf.DUMMYFUNCTION("""COMPUTED_VALUE"""),"D")</f>
        <v>D</v>
      </c>
      <c r="CA366" s="16" t="str">
        <f>IFERROR(__xludf.DUMMYFUNCTION("""COMPUTED_VALUE"""),"D")</f>
        <v>D</v>
      </c>
      <c r="CB366" s="16">
        <f>IFERROR(__xludf.DUMMYFUNCTION("""COMPUTED_VALUE"""),0.0)</f>
        <v>0</v>
      </c>
      <c r="CC366" s="16">
        <f>IFERROR(__xludf.DUMMYFUNCTION("""COMPUTED_VALUE"""),0.0)</f>
        <v>0</v>
      </c>
      <c r="CD366" s="16">
        <f>IFERROR(__xludf.DUMMYFUNCTION("""COMPUTED_VALUE"""),0.0)</f>
        <v>0</v>
      </c>
      <c r="CE366" s="16">
        <f>IFERROR(__xludf.DUMMYFUNCTION("""COMPUTED_VALUE"""),0.0)</f>
        <v>0</v>
      </c>
      <c r="CF366" s="16">
        <f>IFERROR(__xludf.DUMMYFUNCTION("""COMPUTED_VALUE"""),2.0)</f>
        <v>2</v>
      </c>
      <c r="CG366" s="16">
        <f>IFERROR(__xludf.DUMMYFUNCTION("""COMPUTED_VALUE"""),-16.0)</f>
        <v>-16</v>
      </c>
      <c r="CH366" s="16">
        <f>IFERROR(__xludf.DUMMYFUNCTION("""COMPUTED_VALUE"""),-21.0)</f>
        <v>-21</v>
      </c>
      <c r="CI366" s="179">
        <f>IFERROR(__xludf.DUMMYFUNCTION("""COMPUTED_VALUE"""),-17.0)</f>
        <v>-17</v>
      </c>
      <c r="CJ366" s="16">
        <f>IFERROR(__xludf.DUMMYFUNCTION("""COMPUTED_VALUE"""),303.0)</f>
        <v>303</v>
      </c>
      <c r="CK366" s="16"/>
      <c r="CL366" s="16"/>
      <c r="CM366" s="16"/>
      <c r="CN366" s="16"/>
      <c r="CO366" s="16"/>
      <c r="CP366" s="16"/>
      <c r="CQ366" s="16"/>
      <c r="CR366" s="16" t="str">
        <f>IFERROR(__xludf.DUMMYFUNCTION("""COMPUTED_VALUE"""),"c-3(-1)e3,T-8(pb-2)")</f>
        <v>c-3(-1)e3,T-8(pb-2)</v>
      </c>
      <c r="CS366" s="16">
        <f>IFERROR(__xludf.DUMMYFUNCTION("""COMPUTED_VALUE"""),3.0)</f>
        <v>3</v>
      </c>
      <c r="CT366" s="16"/>
      <c r="CU366" s="16"/>
      <c r="CV366" s="16"/>
      <c r="CW366" s="16"/>
      <c r="CX366" s="16"/>
      <c r="CY366" s="16"/>
      <c r="CZ366" s="16"/>
      <c r="DA366" s="16">
        <f>IFERROR(__xludf.DUMMYFUNCTION("""COMPUTED_VALUE"""),3.0)</f>
        <v>3</v>
      </c>
      <c r="DB366" s="16"/>
      <c r="DC366" s="16"/>
      <c r="DD366" s="16"/>
      <c r="DE366" s="16"/>
      <c r="DF366" s="16"/>
      <c r="DG366" s="16"/>
      <c r="DH366" s="16"/>
      <c r="DI366" s="16">
        <f>IFERROR(__xludf.DUMMYFUNCTION("""COMPUTED_VALUE"""),0.0)</f>
        <v>0</v>
      </c>
      <c r="DJ366" s="16"/>
      <c r="DK366" s="16"/>
      <c r="DL366" s="16"/>
      <c r="DM366" s="16"/>
      <c r="DN366" s="16"/>
      <c r="DO366" s="16"/>
      <c r="DP366" s="16"/>
      <c r="DQ366" s="16">
        <f>IFERROR(__xludf.DUMMYFUNCTION("""COMPUTED_VALUE"""),3.0)</f>
        <v>3</v>
      </c>
      <c r="DR366" s="16"/>
      <c r="DS366" s="16"/>
      <c r="DT366" s="16"/>
      <c r="DU366" s="16"/>
      <c r="DV366" s="16"/>
      <c r="DW366" s="16"/>
      <c r="DX366" s="16"/>
      <c r="DY366" s="16">
        <f>IFERROR(__xludf.DUMMYFUNCTION("""COMPUTED_VALUE"""),3.0)</f>
        <v>3</v>
      </c>
      <c r="DZ366" s="16"/>
      <c r="EA366" s="16"/>
      <c r="EB366" s="16"/>
      <c r="EC366" s="16"/>
      <c r="ED366" s="16"/>
      <c r="EE366" s="16"/>
      <c r="EF366" s="16"/>
      <c r="EG366" s="179">
        <f>IFERROR(__xludf.DUMMYFUNCTION("""COMPUTED_VALUE"""),-15.0)</f>
        <v>-15</v>
      </c>
      <c r="EH366" s="179"/>
      <c r="EI366" s="179"/>
      <c r="EJ366" s="179"/>
      <c r="EK366" s="179"/>
      <c r="EL366" s="179"/>
      <c r="EM366" s="179"/>
      <c r="EN366" s="179"/>
      <c r="EO366" s="16">
        <f>IFERROR(__xludf.DUMMYFUNCTION("""COMPUTED_VALUE"""),-1.0)</f>
        <v>-1</v>
      </c>
      <c r="EP366" s="16">
        <f>IFERROR(__xludf.DUMMYFUNCTION("""COMPUTED_VALUE"""),1.0)</f>
        <v>1</v>
      </c>
      <c r="EQ366" s="16">
        <f>IFERROR(__xludf.DUMMYFUNCTION("""COMPUTED_VALUE"""),2.0)</f>
        <v>2</v>
      </c>
      <c r="ER366" s="16">
        <f>IFERROR(__xludf.DUMMYFUNCTION("""COMPUTED_VALUE"""),1.0)</f>
        <v>1</v>
      </c>
      <c r="ES366" s="16" t="str">
        <f>IFERROR(__xludf.DUMMYFUNCTION("""COMPUTED_VALUE"""),"c-3")</f>
        <v>c-3</v>
      </c>
      <c r="ET366" s="16" t="str">
        <f>IFERROR(__xludf.DUMMYFUNCTION("""COMPUTED_VALUE"""),"-1)e3,T-8")</f>
        <v>-1)e3,T-8</v>
      </c>
      <c r="EU366" s="16" t="str">
        <f>IFERROR(__xludf.DUMMYFUNCTION("""COMPUTED_VALUE"""),"pb-2)")</f>
        <v>pb-2)</v>
      </c>
      <c r="EV366" s="16"/>
      <c r="EW366" s="16">
        <f>IFERROR(__xludf.DUMMYFUNCTION("""COMPUTED_VALUE"""),-1.0)</f>
        <v>-1</v>
      </c>
      <c r="EX366" s="180">
        <f>IFERROR(__xludf.DUMMYFUNCTION("""COMPUTED_VALUE"""),0.2)</f>
        <v>0.2</v>
      </c>
      <c r="EY366" s="180"/>
      <c r="EZ366" s="180"/>
      <c r="FA366" s="180"/>
      <c r="FB366" s="180"/>
      <c r="FC366" s="180"/>
      <c r="FD366" s="180"/>
      <c r="FE366" s="180"/>
      <c r="FF366" s="180">
        <f>IFERROR(__xludf.DUMMYFUNCTION("""COMPUTED_VALUE"""),0.038)</f>
        <v>0.038</v>
      </c>
      <c r="FG366" s="180"/>
      <c r="FH366" s="180"/>
      <c r="FI366" s="180"/>
      <c r="FJ366" s="180"/>
      <c r="FK366" s="180"/>
      <c r="FL366" s="180"/>
      <c r="FM366" s="180"/>
      <c r="FN366" s="16">
        <f>IFERROR(__xludf.DUMMYFUNCTION("""COMPUTED_VALUE"""),0.7696000000000001)</f>
        <v>0.7696</v>
      </c>
      <c r="FO366" s="16"/>
      <c r="FP366" s="16"/>
      <c r="FQ366" s="16"/>
      <c r="FR366" s="16"/>
      <c r="FS366" s="16"/>
      <c r="FT366" s="16"/>
      <c r="FU366" s="16"/>
      <c r="FV366" s="16">
        <f>IFERROR(__xludf.DUMMYFUNCTION("""COMPUTED_VALUE"""),0.0)</f>
        <v>0</v>
      </c>
      <c r="FW366" s="16"/>
      <c r="FX366" s="16"/>
      <c r="FY366" s="16"/>
      <c r="FZ366" s="16"/>
      <c r="GA366" s="16"/>
      <c r="GB366" s="16"/>
      <c r="GC366" s="16"/>
      <c r="GD366" s="16" t="s">
        <v>176</v>
      </c>
    </row>
    <row r="367">
      <c r="A367" s="16">
        <f>IFERROR(__xludf.DUMMYFUNCTION("""COMPUTED_VALUE"""),13138.0)</f>
        <v>13138</v>
      </c>
      <c r="B367" s="16" t="str">
        <f>IFERROR(__xludf.DUMMYFUNCTION("""COMPUTED_VALUE"""),"Luis Torrens")</f>
        <v>Luis Torrens</v>
      </c>
      <c r="C367" s="16">
        <f>IFERROR(__xludf.DUMMYFUNCTION("""COMPUTED_VALUE"""),1.56)</f>
        <v>1.56</v>
      </c>
      <c r="D367" s="16" t="str">
        <f>IFERROR(__xludf.DUMMYFUNCTION("""COMPUTED_VALUE"""),"R")</f>
        <v>R</v>
      </c>
      <c r="E367" s="16"/>
      <c r="F367" s="16"/>
      <c r="G367" s="16">
        <f>IFERROR(__xludf.DUMMYFUNCTION("""COMPUTED_VALUE"""),118.0)</f>
        <v>118</v>
      </c>
      <c r="H367" s="16">
        <f>IFERROR(__xludf.DUMMYFUNCTION("""COMPUTED_VALUE"""),9.0)</f>
        <v>9</v>
      </c>
      <c r="I367" s="16" t="str">
        <f>IFERROR(__xludf.DUMMYFUNCTION("""COMPUTED_VALUE"""),"2p30")</f>
        <v>2p30</v>
      </c>
      <c r="J367" s="16">
        <f>IFERROR(__xludf.DUMMYFUNCTION("""COMPUTED_VALUE"""),21.0)</f>
        <v>21</v>
      </c>
      <c r="K367" s="16">
        <f>IFERROR(__xludf.DUMMYFUNCTION("""COMPUTED_VALUE"""),22.0)</f>
        <v>22</v>
      </c>
      <c r="L367" s="16">
        <f>IFERROR(__xludf.DUMMYFUNCTION("""COMPUTED_VALUE"""),0.0)</f>
        <v>0</v>
      </c>
      <c r="M367" s="16">
        <f>IFERROR(__xludf.DUMMYFUNCTION("""COMPUTED_VALUE"""),0.0)</f>
        <v>0</v>
      </c>
      <c r="N367" s="16">
        <f>IFERROR(__xludf.DUMMYFUNCTION("""COMPUTED_VALUE"""),0.0)</f>
        <v>0</v>
      </c>
      <c r="O367" s="16">
        <f>IFERROR(__xludf.DUMMYFUNCTION("""COMPUTED_VALUE"""),0.0)</f>
        <v>0</v>
      </c>
      <c r="P367" s="16">
        <f>IFERROR(__xludf.DUMMYFUNCTION("""COMPUTED_VALUE"""),17.0)</f>
        <v>17</v>
      </c>
      <c r="Q367" s="16">
        <f>IFERROR(__xludf.DUMMYFUNCTION("""COMPUTED_VALUE"""),2.0)</f>
        <v>2</v>
      </c>
      <c r="R367" s="16">
        <f>IFERROR(__xludf.DUMMYFUNCTION("""COMPUTED_VALUE"""),3.0)</f>
        <v>3</v>
      </c>
      <c r="S367" s="16">
        <f>IFERROR(__xludf.DUMMYFUNCTION("""COMPUTED_VALUE"""),-2.0)</f>
        <v>-2</v>
      </c>
      <c r="T367" s="16">
        <f>IFERROR(__xludf.DUMMYFUNCTION("""COMPUTED_VALUE"""),3.0)</f>
        <v>3</v>
      </c>
      <c r="U367" s="16">
        <f>IFERROR(__xludf.DUMMYFUNCTION("""COMPUTED_VALUE"""),-2.0)</f>
        <v>-2</v>
      </c>
      <c r="V367" s="16">
        <f>IFERROR(__xludf.DUMMYFUNCTION("""COMPUTED_VALUE"""),11.0)</f>
        <v>11</v>
      </c>
      <c r="W367" s="16">
        <f>IFERROR(__xludf.DUMMYFUNCTION("""COMPUTED_VALUE"""),20.9)</f>
        <v>20.9</v>
      </c>
      <c r="X367" s="16">
        <f>IFERROR(__xludf.DUMMYFUNCTION("""COMPUTED_VALUE"""),-1.0)</f>
        <v>-1</v>
      </c>
      <c r="Y367" s="16">
        <f>IFERROR(__xludf.DUMMYFUNCTION("""COMPUTED_VALUE"""),0.0)</f>
        <v>0</v>
      </c>
      <c r="Z367" s="16">
        <f>IFERROR(__xludf.DUMMYFUNCTION("""COMPUTED_VALUE"""),-2.0)</f>
        <v>-2</v>
      </c>
      <c r="AA367" s="16">
        <f>IFERROR(__xludf.DUMMYFUNCTION("""COMPUTED_VALUE"""),0.0)</f>
        <v>0</v>
      </c>
      <c r="AB367" s="16">
        <f>IFERROR(__xludf.DUMMYFUNCTION("""COMPUTED_VALUE"""),31.0)</f>
        <v>31</v>
      </c>
      <c r="AC367" s="16">
        <f>IFERROR(__xludf.DUMMYFUNCTION("""COMPUTED_VALUE"""),26.0)</f>
        <v>26</v>
      </c>
      <c r="AD367" s="16">
        <f>IFERROR(__xludf.DUMMYFUNCTION("""COMPUTED_VALUE"""),0.0)</f>
        <v>0</v>
      </c>
      <c r="AE367" s="16">
        <f>IFERROR(__xludf.DUMMYFUNCTION("""COMPUTED_VALUE"""),-1.0)</f>
        <v>-1</v>
      </c>
      <c r="AF367" s="16">
        <f>IFERROR(__xludf.DUMMYFUNCTION("""COMPUTED_VALUE"""),0.0)</f>
        <v>0</v>
      </c>
      <c r="AG367" s="16">
        <f>IFERROR(__xludf.DUMMYFUNCTION("""COMPUTED_VALUE"""),-5.0)</f>
        <v>-5</v>
      </c>
      <c r="AH367" s="16">
        <f>IFERROR(__xludf.DUMMYFUNCTION("""COMPUTED_VALUE"""),23.5)</f>
        <v>23.5</v>
      </c>
      <c r="AI367" s="16">
        <f>IFERROR(__xludf.DUMMYFUNCTION("""COMPUTED_VALUE"""),32.0)</f>
        <v>32</v>
      </c>
      <c r="AJ367" s="16">
        <f>IFERROR(__xludf.DUMMYFUNCTION("""COMPUTED_VALUE"""),-1.0)</f>
        <v>-1</v>
      </c>
      <c r="AK367" s="16">
        <f>IFERROR(__xludf.DUMMYFUNCTION("""COMPUTED_VALUE"""),0.0)</f>
        <v>0</v>
      </c>
      <c r="AL367" s="16">
        <f>IFERROR(__xludf.DUMMYFUNCTION("""COMPUTED_VALUE"""),-5.0)</f>
        <v>-5</v>
      </c>
      <c r="AM367" s="16">
        <f>IFERROR(__xludf.DUMMYFUNCTION("""COMPUTED_VALUE"""),0.0)</f>
        <v>0</v>
      </c>
      <c r="AN367" s="16">
        <f>IFERROR(__xludf.DUMMYFUNCTION("""COMPUTED_VALUE"""),2.6)</f>
        <v>2.6</v>
      </c>
      <c r="AO367" s="16">
        <f>IFERROR(__xludf.DUMMYFUNCTION("""COMPUTED_VALUE"""),0.4)</f>
        <v>0.4</v>
      </c>
      <c r="AP367" s="16">
        <f>IFERROR(__xludf.DUMMYFUNCTION("""COMPUTED_VALUE"""),0.0)</f>
        <v>0</v>
      </c>
      <c r="AQ367" s="16">
        <f>IFERROR(__xludf.DUMMYFUNCTION("""COMPUTED_VALUE"""),-2.0)</f>
        <v>-2</v>
      </c>
      <c r="AR367" s="16">
        <f>IFERROR(__xludf.DUMMYFUNCTION("""COMPUTED_VALUE"""),0.0)</f>
        <v>0</v>
      </c>
      <c r="AS367" s="16">
        <f>IFERROR(__xludf.DUMMYFUNCTION("""COMPUTED_VALUE"""),-4.0)</f>
        <v>-4</v>
      </c>
      <c r="AT367" s="16">
        <f>IFERROR(__xludf.DUMMYFUNCTION("""COMPUTED_VALUE"""),4.0)</f>
        <v>4</v>
      </c>
      <c r="AU367" s="16">
        <f>IFERROR(__xludf.DUMMYFUNCTION("""COMPUTED_VALUE"""),0.0)</f>
        <v>0</v>
      </c>
      <c r="AV367" s="16">
        <f>IFERROR(__xludf.DUMMYFUNCTION("""COMPUTED_VALUE"""),4.0)</f>
        <v>4</v>
      </c>
      <c r="AW367" s="16">
        <f>IFERROR(__xludf.DUMMYFUNCTION("""COMPUTED_VALUE"""),0.0)</f>
        <v>0</v>
      </c>
      <c r="AX367" s="16">
        <f>IFERROR(__xludf.DUMMYFUNCTION("""COMPUTED_VALUE"""),2.0)</f>
        <v>2</v>
      </c>
      <c r="AY367" s="16">
        <f>IFERROR(__xludf.DUMMYFUNCTION("""COMPUTED_VALUE"""),-2.0)</f>
        <v>-2</v>
      </c>
      <c r="AZ367" s="16">
        <f>IFERROR(__xludf.DUMMYFUNCTION("""COMPUTED_VALUE"""),6.0)</f>
        <v>6</v>
      </c>
      <c r="BA367" s="16">
        <f>IFERROR(__xludf.DUMMYFUNCTION("""COMPUTED_VALUE"""),-6.0)</f>
        <v>-6</v>
      </c>
      <c r="BB367" s="16">
        <f>IFERROR(__xludf.DUMMYFUNCTION("""COMPUTED_VALUE"""),5.0)</f>
        <v>5</v>
      </c>
      <c r="BC367" s="16">
        <f>IFERROR(__xludf.DUMMYFUNCTION("""COMPUTED_VALUE"""),5.0)</f>
        <v>5</v>
      </c>
      <c r="BD367" s="16">
        <f>IFERROR(__xludf.DUMMYFUNCTION("""COMPUTED_VALUE"""),1.0)</f>
        <v>1</v>
      </c>
      <c r="BE367" s="16">
        <f>IFERROR(__xludf.DUMMYFUNCTION("""COMPUTED_VALUE"""),1.0)</f>
        <v>1</v>
      </c>
      <c r="BF367" s="16">
        <f>IFERROR(__xludf.DUMMYFUNCTION("""COMPUTED_VALUE"""),1.0)</f>
        <v>1</v>
      </c>
      <c r="BG367" s="16">
        <f>IFERROR(__xludf.DUMMYFUNCTION("""COMPUTED_VALUE"""),1.0)</f>
        <v>1</v>
      </c>
      <c r="BH367" s="16">
        <f>IFERROR(__xludf.DUMMYFUNCTION("""COMPUTED_VALUE"""),2.0)</f>
        <v>2</v>
      </c>
      <c r="BI367" s="16">
        <f>IFERROR(__xludf.DUMMYFUNCTION("""COMPUTED_VALUE"""),3.0)</f>
        <v>3</v>
      </c>
      <c r="BJ367" s="16">
        <f>IFERROR(__xludf.DUMMYFUNCTION("""COMPUTED_VALUE"""),26.0)</f>
        <v>26</v>
      </c>
      <c r="BK367" s="16">
        <f>IFERROR(__xludf.DUMMYFUNCTION("""COMPUTED_VALUE"""),30.0)</f>
        <v>30</v>
      </c>
      <c r="BL367" s="16">
        <f>IFERROR(__xludf.DUMMYFUNCTION("""COMPUTED_VALUE"""),-2.0)</f>
        <v>-2</v>
      </c>
      <c r="BM367" s="16">
        <f>IFERROR(__xludf.DUMMYFUNCTION("""COMPUTED_VALUE"""),-3.0)</f>
        <v>-3</v>
      </c>
      <c r="BN367" s="16">
        <f>IFERROR(__xludf.DUMMYFUNCTION("""COMPUTED_VALUE"""),-4.0)</f>
        <v>-4</v>
      </c>
      <c r="BO367" s="16">
        <f>IFERROR(__xludf.DUMMYFUNCTION("""COMPUTED_VALUE"""),-6.0)</f>
        <v>-6</v>
      </c>
      <c r="BP367" s="16">
        <f>IFERROR(__xludf.DUMMYFUNCTION("""COMPUTED_VALUE"""),2.0)</f>
        <v>2</v>
      </c>
      <c r="BQ367" s="16">
        <f>IFERROR(__xludf.DUMMYFUNCTION("""COMPUTED_VALUE"""),-9.0)</f>
        <v>-9</v>
      </c>
      <c r="BR367" s="16">
        <f>IFERROR(__xludf.DUMMYFUNCTION("""COMPUTED_VALUE"""),-7.0)</f>
        <v>-7</v>
      </c>
      <c r="BS367" s="16" t="str">
        <f>IFERROR(__xludf.DUMMYFUNCTION("""COMPUTED_VALUE"""),"2-7,12/- (3-1)")</f>
        <v>2-7,12/- (3-1)</v>
      </c>
      <c r="BT367" s="16" t="str">
        <f>IFERROR(__xludf.DUMMYFUNCTION("""COMPUTED_VALUE"""),"E")</f>
        <v>E</v>
      </c>
      <c r="BU367" s="16">
        <f>IFERROR(__xludf.DUMMYFUNCTION("""COMPUTED_VALUE"""),10.0)</f>
        <v>10</v>
      </c>
      <c r="BV367" s="16">
        <f>IFERROR(__xludf.DUMMYFUNCTION("""COMPUTED_VALUE"""),0.0)</f>
        <v>0</v>
      </c>
      <c r="BW367" s="16">
        <f>IFERROR(__xludf.DUMMYFUNCTION("""COMPUTED_VALUE"""),0.0)</f>
        <v>0</v>
      </c>
      <c r="BX367" s="16">
        <f>IFERROR(__xludf.DUMMYFUNCTION("""COMPUTED_VALUE"""),0.0)</f>
        <v>0</v>
      </c>
      <c r="BY367" s="16">
        <f>IFERROR(__xludf.DUMMYFUNCTION("""COMPUTED_VALUE"""),0.0)</f>
        <v>0</v>
      </c>
      <c r="BZ367" s="16" t="str">
        <f>IFERROR(__xludf.DUMMYFUNCTION("""COMPUTED_VALUE"""),"D")</f>
        <v>D</v>
      </c>
      <c r="CA367" s="16" t="str">
        <f>IFERROR(__xludf.DUMMYFUNCTION("""COMPUTED_VALUE"""),"D")</f>
        <v>D</v>
      </c>
      <c r="CB367" s="16">
        <f>IFERROR(__xludf.DUMMYFUNCTION("""COMPUTED_VALUE"""),0.0)</f>
        <v>0</v>
      </c>
      <c r="CC367" s="16">
        <f>IFERROR(__xludf.DUMMYFUNCTION("""COMPUTED_VALUE"""),0.0)</f>
        <v>0</v>
      </c>
      <c r="CD367" s="16">
        <f>IFERROR(__xludf.DUMMYFUNCTION("""COMPUTED_VALUE"""),0.0)</f>
        <v>0</v>
      </c>
      <c r="CE367" s="16">
        <f>IFERROR(__xludf.DUMMYFUNCTION("""COMPUTED_VALUE"""),0.0)</f>
        <v>0</v>
      </c>
      <c r="CF367" s="16">
        <f>IFERROR(__xludf.DUMMYFUNCTION("""COMPUTED_VALUE"""),2.0)</f>
        <v>2</v>
      </c>
      <c r="CG367" s="16">
        <f>IFERROR(__xludf.DUMMYFUNCTION("""COMPUTED_VALUE"""),-1.0)</f>
        <v>-1</v>
      </c>
      <c r="CH367" s="16">
        <f>IFERROR(__xludf.DUMMYFUNCTION("""COMPUTED_VALUE"""),-22.0)</f>
        <v>-22</v>
      </c>
      <c r="CI367" s="179">
        <f>IFERROR(__xludf.DUMMYFUNCTION("""COMPUTED_VALUE"""),-17.0)</f>
        <v>-17</v>
      </c>
      <c r="CJ367" s="16">
        <f>IFERROR(__xludf.DUMMYFUNCTION("""COMPUTED_VALUE"""),301.0)</f>
        <v>301</v>
      </c>
      <c r="CK367" s="16"/>
      <c r="CL367" s="16"/>
      <c r="CM367" s="16"/>
      <c r="CN367" s="16"/>
      <c r="CO367" s="16"/>
      <c r="CP367" s="16"/>
      <c r="CQ367" s="16"/>
      <c r="CR367" s="16" t="str">
        <f>IFERROR(__xludf.DUMMYFUNCTION("""COMPUTED_VALUE"""),"c-3(-2)e1,T-4(pb-3)")</f>
        <v>c-3(-2)e1,T-4(pb-3)</v>
      </c>
      <c r="CS367" s="16">
        <f>IFERROR(__xludf.DUMMYFUNCTION("""COMPUTED_VALUE"""),3.0)</f>
        <v>3</v>
      </c>
      <c r="CT367" s="16"/>
      <c r="CU367" s="16"/>
      <c r="CV367" s="16"/>
      <c r="CW367" s="16"/>
      <c r="CX367" s="16"/>
      <c r="CY367" s="16"/>
      <c r="CZ367" s="16"/>
      <c r="DA367" s="16">
        <f>IFERROR(__xludf.DUMMYFUNCTION("""COMPUTED_VALUE"""),1.0)</f>
        <v>1</v>
      </c>
      <c r="DB367" s="16"/>
      <c r="DC367" s="16"/>
      <c r="DD367" s="16"/>
      <c r="DE367" s="16"/>
      <c r="DF367" s="16"/>
      <c r="DG367" s="16"/>
      <c r="DH367" s="16"/>
      <c r="DI367" s="16">
        <f>IFERROR(__xludf.DUMMYFUNCTION("""COMPUTED_VALUE"""),0.0)</f>
        <v>0</v>
      </c>
      <c r="DJ367" s="16"/>
      <c r="DK367" s="16"/>
      <c r="DL367" s="16"/>
      <c r="DM367" s="16"/>
      <c r="DN367" s="16"/>
      <c r="DO367" s="16"/>
      <c r="DP367" s="16"/>
      <c r="DQ367" s="16">
        <f>IFERROR(__xludf.DUMMYFUNCTION("""COMPUTED_VALUE"""),4.0)</f>
        <v>4</v>
      </c>
      <c r="DR367" s="16"/>
      <c r="DS367" s="16"/>
      <c r="DT367" s="16"/>
      <c r="DU367" s="16"/>
      <c r="DV367" s="16"/>
      <c r="DW367" s="16"/>
      <c r="DX367" s="16"/>
      <c r="DY367" s="16">
        <f>IFERROR(__xludf.DUMMYFUNCTION("""COMPUTED_VALUE"""),4.0)</f>
        <v>4</v>
      </c>
      <c r="DZ367" s="16"/>
      <c r="EA367" s="16"/>
      <c r="EB367" s="16"/>
      <c r="EC367" s="16"/>
      <c r="ED367" s="16"/>
      <c r="EE367" s="16"/>
      <c r="EF367" s="16"/>
      <c r="EG367" s="179">
        <f>IFERROR(__xludf.DUMMYFUNCTION("""COMPUTED_VALUE"""),-15.0)</f>
        <v>-15</v>
      </c>
      <c r="EH367" s="179"/>
      <c r="EI367" s="179"/>
      <c r="EJ367" s="179"/>
      <c r="EK367" s="179"/>
      <c r="EL367" s="179"/>
      <c r="EM367" s="179"/>
      <c r="EN367" s="179"/>
      <c r="EO367" s="16">
        <f>IFERROR(__xludf.DUMMYFUNCTION("""COMPUTED_VALUE"""),-2.0)</f>
        <v>-2</v>
      </c>
      <c r="EP367" s="16">
        <f>IFERROR(__xludf.DUMMYFUNCTION("""COMPUTED_VALUE"""),-1.0)</f>
        <v>-1</v>
      </c>
      <c r="EQ367" s="16">
        <f>IFERROR(__xludf.DUMMYFUNCTION("""COMPUTED_VALUE"""),2.0)</f>
        <v>2</v>
      </c>
      <c r="ER367" s="16">
        <f>IFERROR(__xludf.DUMMYFUNCTION("""COMPUTED_VALUE"""),-2.0)</f>
        <v>-2</v>
      </c>
      <c r="ES367" s="16" t="str">
        <f>IFERROR(__xludf.DUMMYFUNCTION("""COMPUTED_VALUE"""),"c-3")</f>
        <v>c-3</v>
      </c>
      <c r="ET367" s="16" t="str">
        <f>IFERROR(__xludf.DUMMYFUNCTION("""COMPUTED_VALUE"""),"-2)e1,T-4")</f>
        <v>-2)e1,T-4</v>
      </c>
      <c r="EU367" s="16" t="str">
        <f>IFERROR(__xludf.DUMMYFUNCTION("""COMPUTED_VALUE"""),"pb-3)")</f>
        <v>pb-3)</v>
      </c>
      <c r="EV367" s="16"/>
      <c r="EW367" s="16">
        <f>IFERROR(__xludf.DUMMYFUNCTION("""COMPUTED_VALUE"""),-2.0)</f>
        <v>-2</v>
      </c>
      <c r="EX367" s="180">
        <f>IFERROR(__xludf.DUMMYFUNCTION("""COMPUTED_VALUE"""),0.2)</f>
        <v>0.2</v>
      </c>
      <c r="EY367" s="180"/>
      <c r="EZ367" s="180"/>
      <c r="FA367" s="180"/>
      <c r="FB367" s="180"/>
      <c r="FC367" s="180"/>
      <c r="FD367" s="180"/>
      <c r="FE367" s="180"/>
      <c r="FF367" s="180">
        <f>IFERROR(__xludf.DUMMYFUNCTION("""COMPUTED_VALUE"""),0.014)</f>
        <v>0.014</v>
      </c>
      <c r="FG367" s="180"/>
      <c r="FH367" s="180"/>
      <c r="FI367" s="180"/>
      <c r="FJ367" s="180"/>
      <c r="FK367" s="180"/>
      <c r="FL367" s="180"/>
      <c r="FM367" s="180"/>
      <c r="FN367" s="16">
        <f>IFERROR(__xludf.DUMMYFUNCTION("""COMPUTED_VALUE"""),0.7888000000000001)</f>
        <v>0.7888</v>
      </c>
      <c r="FO367" s="16"/>
      <c r="FP367" s="16"/>
      <c r="FQ367" s="16"/>
      <c r="FR367" s="16"/>
      <c r="FS367" s="16"/>
      <c r="FT367" s="16"/>
      <c r="FU367" s="16"/>
      <c r="FV367" s="16">
        <f>IFERROR(__xludf.DUMMYFUNCTION("""COMPUTED_VALUE"""),1.0)</f>
        <v>1</v>
      </c>
      <c r="FW367" s="16"/>
      <c r="FX367" s="16"/>
      <c r="FY367" s="16"/>
      <c r="FZ367" s="16"/>
      <c r="GA367" s="16"/>
      <c r="GB367" s="16"/>
      <c r="GC367" s="16"/>
      <c r="GD367" s="16" t="s">
        <v>346</v>
      </c>
    </row>
    <row r="368">
      <c r="A368" s="16">
        <f>IFERROR(__xludf.DUMMYFUNCTION("""COMPUTED_VALUE"""),12894.0)</f>
        <v>12894</v>
      </c>
      <c r="B368" s="16" t="str">
        <f>IFERROR(__xludf.DUMMYFUNCTION("""COMPUTED_VALUE"""),"Jack Suwinski")</f>
        <v>Jack Suwinski</v>
      </c>
      <c r="C368" s="16">
        <f>IFERROR(__xludf.DUMMYFUNCTION("""COMPUTED_VALUE"""),0.0)</f>
        <v>0</v>
      </c>
      <c r="D368" s="16" t="str">
        <f>IFERROR(__xludf.DUMMYFUNCTION("""COMPUTED_VALUE"""),"L")</f>
        <v>L</v>
      </c>
      <c r="E368" s="16"/>
      <c r="F368" s="16"/>
      <c r="G368" s="16">
        <f>IFERROR(__xludf.DUMMYFUNCTION("""COMPUTED_VALUE"""),247.0)</f>
        <v>247</v>
      </c>
      <c r="H368" s="16">
        <f>IFERROR(__xludf.DUMMYFUNCTION("""COMPUTED_VALUE"""),27.0)</f>
        <v>27</v>
      </c>
      <c r="I368" s="16" t="str">
        <f>IFERROR(__xludf.DUMMYFUNCTION("""COMPUTED_VALUE"""),"1p40")</f>
        <v>1p40</v>
      </c>
      <c r="J368" s="16">
        <f>IFERROR(__xludf.DUMMYFUNCTION("""COMPUTED_VALUE"""),54.0)</f>
        <v>54</v>
      </c>
      <c r="K368" s="16">
        <f>IFERROR(__xludf.DUMMYFUNCTION("""COMPUTED_VALUE"""),35.0)</f>
        <v>35</v>
      </c>
      <c r="L368" s="16">
        <f>IFERROR(__xludf.DUMMYFUNCTION("""COMPUTED_VALUE"""),-2.0)</f>
        <v>-2</v>
      </c>
      <c r="M368" s="16">
        <f>IFERROR(__xludf.DUMMYFUNCTION("""COMPUTED_VALUE"""),-1.0)</f>
        <v>-1</v>
      </c>
      <c r="N368" s="16">
        <f>IFERROR(__xludf.DUMMYFUNCTION("""COMPUTED_VALUE"""),-2.0)</f>
        <v>-2</v>
      </c>
      <c r="O368" s="16">
        <f>IFERROR(__xludf.DUMMYFUNCTION("""COMPUTED_VALUE"""),-1.0)</f>
        <v>-1</v>
      </c>
      <c r="P368" s="16">
        <f>IFERROR(__xludf.DUMMYFUNCTION("""COMPUTED_VALUE"""),4.0)</f>
        <v>4</v>
      </c>
      <c r="Q368" s="16">
        <f>IFERROR(__xludf.DUMMYFUNCTION("""COMPUTED_VALUE"""),11.0)</f>
        <v>11</v>
      </c>
      <c r="R368" s="16">
        <f>IFERROR(__xludf.DUMMYFUNCTION("""COMPUTED_VALUE"""),-2.0)</f>
        <v>-2</v>
      </c>
      <c r="S368" s="16">
        <f>IFERROR(__xludf.DUMMYFUNCTION("""COMPUTED_VALUE"""),1.0)</f>
        <v>1</v>
      </c>
      <c r="T368" s="16">
        <f>IFERROR(__xludf.DUMMYFUNCTION("""COMPUTED_VALUE"""),-2.0)</f>
        <v>-2</v>
      </c>
      <c r="U368" s="16">
        <f>IFERROR(__xludf.DUMMYFUNCTION("""COMPUTED_VALUE"""),1.0)</f>
        <v>1</v>
      </c>
      <c r="V368" s="16">
        <f>IFERROR(__xludf.DUMMYFUNCTION("""COMPUTED_VALUE"""),5.9)</f>
        <v>5.9</v>
      </c>
      <c r="W368" s="16">
        <f>IFERROR(__xludf.DUMMYFUNCTION("""COMPUTED_VALUE"""),6.0)</f>
        <v>6</v>
      </c>
      <c r="X368" s="16">
        <f>IFERROR(__xludf.DUMMYFUNCTION("""COMPUTED_VALUE"""),-2.0)</f>
        <v>-2</v>
      </c>
      <c r="Y368" s="16">
        <f>IFERROR(__xludf.DUMMYFUNCTION("""COMPUTED_VALUE"""),-2.0)</f>
        <v>-2</v>
      </c>
      <c r="Z368" s="16">
        <f>IFERROR(__xludf.DUMMYFUNCTION("""COMPUTED_VALUE"""),-4.0)</f>
        <v>-4</v>
      </c>
      <c r="AA368" s="16">
        <f>IFERROR(__xludf.DUMMYFUNCTION("""COMPUTED_VALUE"""),-4.0)</f>
        <v>-4</v>
      </c>
      <c r="AB368" s="16">
        <f>IFERROR(__xludf.DUMMYFUNCTION("""COMPUTED_VALUE"""),10.9)</f>
        <v>10.9</v>
      </c>
      <c r="AC368" s="16">
        <f>IFERROR(__xludf.DUMMYFUNCTION("""COMPUTED_VALUE"""),18.1)</f>
        <v>18.1</v>
      </c>
      <c r="AD368" s="16">
        <f>IFERROR(__xludf.DUMMYFUNCTION("""COMPUTED_VALUE"""),-2.0)</f>
        <v>-2</v>
      </c>
      <c r="AE368" s="16">
        <f>IFERROR(__xludf.DUMMYFUNCTION("""COMPUTED_VALUE"""),-2.0)</f>
        <v>-2</v>
      </c>
      <c r="AF368" s="16">
        <f>IFERROR(__xludf.DUMMYFUNCTION("""COMPUTED_VALUE"""),-10.0)</f>
        <v>-10</v>
      </c>
      <c r="AG368" s="16">
        <f>IFERROR(__xludf.DUMMYFUNCTION("""COMPUTED_VALUE"""),-10.0)</f>
        <v>-10</v>
      </c>
      <c r="AH368" s="16">
        <f>IFERROR(__xludf.DUMMYFUNCTION("""COMPUTED_VALUE"""),13.2)</f>
        <v>13.2</v>
      </c>
      <c r="AI368" s="16">
        <f>IFERROR(__xludf.DUMMYFUNCTION("""COMPUTED_VALUE"""),14.8)</f>
        <v>14.8</v>
      </c>
      <c r="AJ368" s="16">
        <f>IFERROR(__xludf.DUMMYFUNCTION("""COMPUTED_VALUE"""),-2.0)</f>
        <v>-2</v>
      </c>
      <c r="AK368" s="16">
        <f>IFERROR(__xludf.DUMMYFUNCTION("""COMPUTED_VALUE"""),-2.0)</f>
        <v>-2</v>
      </c>
      <c r="AL368" s="16">
        <f>IFERROR(__xludf.DUMMYFUNCTION("""COMPUTED_VALUE"""),-10.0)</f>
        <v>-10</v>
      </c>
      <c r="AM368" s="16">
        <f>IFERROR(__xludf.DUMMYFUNCTION("""COMPUTED_VALUE"""),-10.0)</f>
        <v>-10</v>
      </c>
      <c r="AN368" s="16">
        <f>IFERROR(__xludf.DUMMYFUNCTION("""COMPUTED_VALUE"""),2.0)</f>
        <v>2</v>
      </c>
      <c r="AO368" s="16">
        <f>IFERROR(__xludf.DUMMYFUNCTION("""COMPUTED_VALUE"""),2.5)</f>
        <v>2.5</v>
      </c>
      <c r="AP368" s="16">
        <f>IFERROR(__xludf.DUMMYFUNCTION("""COMPUTED_VALUE"""),0.0)</f>
        <v>0</v>
      </c>
      <c r="AQ368" s="16">
        <f>IFERROR(__xludf.DUMMYFUNCTION("""COMPUTED_VALUE"""),0.0)</f>
        <v>0</v>
      </c>
      <c r="AR368" s="16">
        <f>IFERROR(__xludf.DUMMYFUNCTION("""COMPUTED_VALUE"""),0.0)</f>
        <v>0</v>
      </c>
      <c r="AS368" s="16">
        <f>IFERROR(__xludf.DUMMYFUNCTION("""COMPUTED_VALUE"""),0.0)</f>
        <v>0</v>
      </c>
      <c r="AT368" s="16">
        <f>IFERROR(__xludf.DUMMYFUNCTION("""COMPUTED_VALUE"""),3.0)</f>
        <v>3</v>
      </c>
      <c r="AU368" s="16">
        <f>IFERROR(__xludf.DUMMYFUNCTION("""COMPUTED_VALUE"""),3.0)</f>
        <v>3</v>
      </c>
      <c r="AV368" s="16">
        <f>IFERROR(__xludf.DUMMYFUNCTION("""COMPUTED_VALUE"""),3.0)</f>
        <v>3</v>
      </c>
      <c r="AW368" s="16">
        <f>IFERROR(__xludf.DUMMYFUNCTION("""COMPUTED_VALUE"""),3.0)</f>
        <v>3</v>
      </c>
      <c r="AX368" s="16">
        <f>IFERROR(__xludf.DUMMYFUNCTION("""COMPUTED_VALUE"""),1.0)</f>
        <v>1</v>
      </c>
      <c r="AY368" s="16">
        <f>IFERROR(__xludf.DUMMYFUNCTION("""COMPUTED_VALUE"""),0.0)</f>
        <v>0</v>
      </c>
      <c r="AZ368" s="16">
        <f>IFERROR(__xludf.DUMMYFUNCTION("""COMPUTED_VALUE"""),3.0)</f>
        <v>3</v>
      </c>
      <c r="BA368" s="16">
        <f>IFERROR(__xludf.DUMMYFUNCTION("""COMPUTED_VALUE"""),0.0)</f>
        <v>0</v>
      </c>
      <c r="BB368" s="16">
        <f>IFERROR(__xludf.DUMMYFUNCTION("""COMPUTED_VALUE"""),5.0)</f>
        <v>5</v>
      </c>
      <c r="BC368" s="16">
        <f>IFERROR(__xludf.DUMMYFUNCTION("""COMPUTED_VALUE"""),5.0)</f>
        <v>5</v>
      </c>
      <c r="BD368" s="16">
        <f>IFERROR(__xludf.DUMMYFUNCTION("""COMPUTED_VALUE"""),1.0)</f>
        <v>1</v>
      </c>
      <c r="BE368" s="16">
        <f>IFERROR(__xludf.DUMMYFUNCTION("""COMPUTED_VALUE"""),1.0)</f>
        <v>1</v>
      </c>
      <c r="BF368" s="16">
        <f>IFERROR(__xludf.DUMMYFUNCTION("""COMPUTED_VALUE"""),1.0)</f>
        <v>1</v>
      </c>
      <c r="BG368" s="16">
        <f>IFERROR(__xludf.DUMMYFUNCTION("""COMPUTED_VALUE"""),1.0)</f>
        <v>1</v>
      </c>
      <c r="BH368" s="16">
        <f>IFERROR(__xludf.DUMMYFUNCTION("""COMPUTED_VALUE"""),-1.0)</f>
        <v>-1</v>
      </c>
      <c r="BI368" s="16">
        <f>IFERROR(__xludf.DUMMYFUNCTION("""COMPUTED_VALUE"""),-1.0)</f>
        <v>-1</v>
      </c>
      <c r="BJ368" s="16">
        <f>IFERROR(__xludf.DUMMYFUNCTION("""COMPUTED_VALUE"""),8.0)</f>
        <v>8</v>
      </c>
      <c r="BK368" s="16">
        <f>IFERROR(__xludf.DUMMYFUNCTION("""COMPUTED_VALUE"""),6.0)</f>
        <v>6</v>
      </c>
      <c r="BL368" s="16">
        <f>IFERROR(__xludf.DUMMYFUNCTION("""COMPUTED_VALUE"""),1.0)</f>
        <v>1</v>
      </c>
      <c r="BM368" s="16">
        <f>IFERROR(__xludf.DUMMYFUNCTION("""COMPUTED_VALUE"""),1.0)</f>
        <v>1</v>
      </c>
      <c r="BN368" s="16">
        <f>IFERROR(__xludf.DUMMYFUNCTION("""COMPUTED_VALUE"""),1.0)</f>
        <v>1</v>
      </c>
      <c r="BO368" s="16">
        <f>IFERROR(__xludf.DUMMYFUNCTION("""COMPUTED_VALUE"""),1.0)</f>
        <v>1</v>
      </c>
      <c r="BP368" s="16">
        <f>IFERROR(__xludf.DUMMYFUNCTION("""COMPUTED_VALUE"""),-7.0)</f>
        <v>-7</v>
      </c>
      <c r="BQ368" s="16">
        <f>IFERROR(__xludf.DUMMYFUNCTION("""COMPUTED_VALUE"""),-4.0)</f>
        <v>-4</v>
      </c>
      <c r="BR368" s="16">
        <f>IFERROR(__xludf.DUMMYFUNCTION("""COMPUTED_VALUE"""),-11.0)</f>
        <v>-11</v>
      </c>
      <c r="BS368" s="16" t="str">
        <f>IFERROR(__xludf.DUMMYFUNCTION("""COMPUTED_VALUE"""),"*4,5/- (19-12)")</f>
        <v>*4,5/- (19-12)</v>
      </c>
      <c r="BT368" s="16" t="str">
        <f>IFERROR(__xludf.DUMMYFUNCTION("""COMPUTED_VALUE"""),"B")</f>
        <v>B</v>
      </c>
      <c r="BU368" s="16">
        <f>IFERROR(__xludf.DUMMYFUNCTION("""COMPUTED_VALUE"""),15.0)</f>
        <v>15</v>
      </c>
      <c r="BV368" s="16">
        <f>IFERROR(__xludf.DUMMYFUNCTION("""COMPUTED_VALUE"""),1.0)</f>
        <v>1</v>
      </c>
      <c r="BW368" s="16">
        <f>IFERROR(__xludf.DUMMYFUNCTION("""COMPUTED_VALUE"""),2.0)</f>
        <v>2</v>
      </c>
      <c r="BX368" s="16">
        <f>IFERROR(__xludf.DUMMYFUNCTION("""COMPUTED_VALUE"""),2.0)</f>
        <v>2</v>
      </c>
      <c r="BY368" s="16">
        <f>IFERROR(__xludf.DUMMYFUNCTION("""COMPUTED_VALUE"""),6.0)</f>
        <v>6</v>
      </c>
      <c r="BZ368" s="16" t="str">
        <f>IFERROR(__xludf.DUMMYFUNCTION("""COMPUTED_VALUE"""),"D")</f>
        <v>D</v>
      </c>
      <c r="CA368" s="16" t="str">
        <f>IFERROR(__xludf.DUMMYFUNCTION("""COMPUTED_VALUE"""),"C")</f>
        <v>C</v>
      </c>
      <c r="CB368" s="16">
        <f>IFERROR(__xludf.DUMMYFUNCTION("""COMPUTED_VALUE"""),0.0)</f>
        <v>0</v>
      </c>
      <c r="CC368" s="16">
        <f>IFERROR(__xludf.DUMMYFUNCTION("""COMPUTED_VALUE"""),0.0)</f>
        <v>0</v>
      </c>
      <c r="CD368" s="16">
        <f>IFERROR(__xludf.DUMMYFUNCTION("""COMPUTED_VALUE"""),0.0)</f>
        <v>0</v>
      </c>
      <c r="CE368" s="16">
        <f>IFERROR(__xludf.DUMMYFUNCTION("""COMPUTED_VALUE"""),0.0)</f>
        <v>0</v>
      </c>
      <c r="CF368" s="16">
        <f>IFERROR(__xludf.DUMMYFUNCTION("""COMPUTED_VALUE"""),1.0)</f>
        <v>1</v>
      </c>
      <c r="CG368" s="16">
        <f>IFERROR(__xludf.DUMMYFUNCTION("""COMPUTED_VALUE"""),-23.0)</f>
        <v>-23</v>
      </c>
      <c r="CH368" s="16">
        <f>IFERROR(__xludf.DUMMYFUNCTION("""COMPUTED_VALUE"""),-22.0)</f>
        <v>-22</v>
      </c>
      <c r="CI368" s="179">
        <f>IFERROR(__xludf.DUMMYFUNCTION("""COMPUTED_VALUE"""),-17.0)</f>
        <v>-17</v>
      </c>
      <c r="CJ368" s="16"/>
      <c r="CK368" s="16"/>
      <c r="CL368" s="16"/>
      <c r="CM368" s="16"/>
      <c r="CN368" s="16"/>
      <c r="CO368" s="16">
        <f>IFERROR(__xludf.DUMMYFUNCTION("""COMPUTED_VALUE"""),402.0)</f>
        <v>402</v>
      </c>
      <c r="CP368" s="16">
        <f>IFERROR(__xludf.DUMMYFUNCTION("""COMPUTED_VALUE"""),402.0)</f>
        <v>402</v>
      </c>
      <c r="CQ368" s="16">
        <f>IFERROR(__xludf.DUMMYFUNCTION("""COMPUTED_VALUE"""),402.0)</f>
        <v>402</v>
      </c>
      <c r="CR368" s="16" t="str">
        <f>IFERROR(__xludf.DUMMYFUNCTION("""COMPUTED_VALUE"""),"cf-4(-1)e2 lf-4e2 rf-4e2")</f>
        <v>cf-4(-1)e2 lf-4e2 rf-4e2</v>
      </c>
      <c r="CS368" s="16"/>
      <c r="CT368" s="16"/>
      <c r="CU368" s="16"/>
      <c r="CV368" s="16"/>
      <c r="CW368" s="16"/>
      <c r="CX368" s="16">
        <f>IFERROR(__xludf.DUMMYFUNCTION("""COMPUTED_VALUE"""),4.0)</f>
        <v>4</v>
      </c>
      <c r="CY368" s="16">
        <f>IFERROR(__xludf.DUMMYFUNCTION("""COMPUTED_VALUE"""),4.0)</f>
        <v>4</v>
      </c>
      <c r="CZ368" s="16">
        <f>IFERROR(__xludf.DUMMYFUNCTION("""COMPUTED_VALUE"""),4.0)</f>
        <v>4</v>
      </c>
      <c r="DA368" s="16"/>
      <c r="DB368" s="16"/>
      <c r="DC368" s="16"/>
      <c r="DD368" s="16"/>
      <c r="DE368" s="16"/>
      <c r="DF368" s="16">
        <f>IFERROR(__xludf.DUMMYFUNCTION("""COMPUTED_VALUE"""),2.0)</f>
        <v>2</v>
      </c>
      <c r="DG368" s="16">
        <f>IFERROR(__xludf.DUMMYFUNCTION("""COMPUTED_VALUE"""),2.0)</f>
        <v>2</v>
      </c>
      <c r="DH368" s="16">
        <f>IFERROR(__xludf.DUMMYFUNCTION("""COMPUTED_VALUE"""),2.0)</f>
        <v>2</v>
      </c>
      <c r="DI368" s="16"/>
      <c r="DJ368" s="16"/>
      <c r="DK368" s="16"/>
      <c r="DL368" s="16"/>
      <c r="DM368" s="16"/>
      <c r="DN368" s="16">
        <f>IFERROR(__xludf.DUMMYFUNCTION("""COMPUTED_VALUE"""),-1.0)</f>
        <v>-1</v>
      </c>
      <c r="DO368" s="16">
        <f>IFERROR(__xludf.DUMMYFUNCTION("""COMPUTED_VALUE"""),-2.0)</f>
        <v>-2</v>
      </c>
      <c r="DP368" s="16">
        <f>IFERROR(__xludf.DUMMYFUNCTION("""COMPUTED_VALUE"""),-1.0)</f>
        <v>-1</v>
      </c>
      <c r="DQ368" s="16"/>
      <c r="DR368" s="16"/>
      <c r="DS368" s="16"/>
      <c r="DT368" s="16"/>
      <c r="DU368" s="16"/>
      <c r="DV368" s="16">
        <f>IFERROR(__xludf.DUMMYFUNCTION("""COMPUTED_VALUE"""),4.0)</f>
        <v>4</v>
      </c>
      <c r="DW368" s="16">
        <f>IFERROR(__xludf.DUMMYFUNCTION("""COMPUTED_VALUE"""),4.0)</f>
        <v>4</v>
      </c>
      <c r="DX368" s="16">
        <f>IFERROR(__xludf.DUMMYFUNCTION("""COMPUTED_VALUE"""),4.0)</f>
        <v>4</v>
      </c>
      <c r="DY368" s="16"/>
      <c r="DZ368" s="16"/>
      <c r="EA368" s="16"/>
      <c r="EB368" s="16"/>
      <c r="EC368" s="16"/>
      <c r="ED368" s="16">
        <f>IFERROR(__xludf.DUMMYFUNCTION("""COMPUTED_VALUE"""),3.0)</f>
        <v>3</v>
      </c>
      <c r="EE368" s="16">
        <f>IFERROR(__xludf.DUMMYFUNCTION("""COMPUTED_VALUE"""),2.0)</f>
        <v>2</v>
      </c>
      <c r="EF368" s="16">
        <f>IFERROR(__xludf.DUMMYFUNCTION("""COMPUTED_VALUE"""),3.0)</f>
        <v>3</v>
      </c>
      <c r="EG368" s="179"/>
      <c r="EH368" s="179"/>
      <c r="EI368" s="179"/>
      <c r="EJ368" s="179"/>
      <c r="EK368" s="179"/>
      <c r="EL368" s="179">
        <f>IFERROR(__xludf.DUMMYFUNCTION("""COMPUTED_VALUE"""),-14.0)</f>
        <v>-14</v>
      </c>
      <c r="EM368" s="179">
        <f>IFERROR(__xludf.DUMMYFUNCTION("""COMPUTED_VALUE"""),-15.0)</f>
        <v>-15</v>
      </c>
      <c r="EN368" s="179">
        <f>IFERROR(__xludf.DUMMYFUNCTION("""COMPUTED_VALUE"""),-14.0)</f>
        <v>-14</v>
      </c>
      <c r="EO368" s="16"/>
      <c r="EP368" s="16">
        <f>IFERROR(__xludf.DUMMYFUNCTION("""COMPUTED_VALUE"""),1.0)</f>
        <v>1</v>
      </c>
      <c r="EQ368" s="16">
        <f>IFERROR(__xludf.DUMMYFUNCTION("""COMPUTED_VALUE"""),4.0)</f>
        <v>4</v>
      </c>
      <c r="ER368" s="16">
        <f>IFERROR(__xludf.DUMMYFUNCTION("""COMPUTED_VALUE"""),-1.0)</f>
        <v>-1</v>
      </c>
      <c r="ES368" s="16"/>
      <c r="ET368" s="16"/>
      <c r="EU368" s="16"/>
      <c r="EV368" s="16"/>
      <c r="EW368" s="16"/>
      <c r="EX368" s="180"/>
      <c r="EY368" s="180"/>
      <c r="EZ368" s="180"/>
      <c r="FA368" s="180"/>
      <c r="FB368" s="180"/>
      <c r="FC368" s="180">
        <f>IFERROR(__xludf.DUMMYFUNCTION("""COMPUTED_VALUE"""),0.55)</f>
        <v>0.55</v>
      </c>
      <c r="FD368" s="180">
        <f>IFERROR(__xludf.DUMMYFUNCTION("""COMPUTED_VALUE"""),0.55)</f>
        <v>0.55</v>
      </c>
      <c r="FE368" s="180">
        <f>IFERROR(__xludf.DUMMYFUNCTION("""COMPUTED_VALUE"""),0.55)</f>
        <v>0.55</v>
      </c>
      <c r="FF368" s="180"/>
      <c r="FG368" s="180"/>
      <c r="FH368" s="180"/>
      <c r="FI368" s="180"/>
      <c r="FJ368" s="180"/>
      <c r="FK368" s="180">
        <f>IFERROR(__xludf.DUMMYFUNCTION("""COMPUTED_VALUE"""),0.037)</f>
        <v>0.037</v>
      </c>
      <c r="FL368" s="180">
        <f>IFERROR(__xludf.DUMMYFUNCTION("""COMPUTED_VALUE"""),0.023148148148148147)</f>
        <v>0.02314814815</v>
      </c>
      <c r="FM368" s="180">
        <f>IFERROR(__xludf.DUMMYFUNCTION("""COMPUTED_VALUE"""),0.037)</f>
        <v>0.037</v>
      </c>
      <c r="FN368" s="16"/>
      <c r="FO368" s="16"/>
      <c r="FP368" s="16"/>
      <c r="FQ368" s="16"/>
      <c r="FR368" s="16"/>
      <c r="FS368" s="16">
        <f>IFERROR(__xludf.DUMMYFUNCTION("""COMPUTED_VALUE"""),0.43334999999999996)</f>
        <v>0.43335</v>
      </c>
      <c r="FT368" s="16">
        <f>IFERROR(__xludf.DUMMYFUNCTION("""COMPUTED_VALUE"""),0.43958333333333327)</f>
        <v>0.4395833333</v>
      </c>
      <c r="FU368" s="16">
        <f>IFERROR(__xludf.DUMMYFUNCTION("""COMPUTED_VALUE"""),0.43334999999999996)</f>
        <v>0.43335</v>
      </c>
      <c r="FV368" s="16"/>
      <c r="FW368" s="16"/>
      <c r="FX368" s="16"/>
      <c r="FY368" s="16"/>
      <c r="FZ368" s="16"/>
      <c r="GA368" s="16">
        <f>IFERROR(__xludf.DUMMYFUNCTION("""COMPUTED_VALUE"""),-9.0)</f>
        <v>-9</v>
      </c>
      <c r="GB368" s="16">
        <f>IFERROR(__xludf.DUMMYFUNCTION("""COMPUTED_VALUE"""),-9.0)</f>
        <v>-9</v>
      </c>
      <c r="GC368" s="16">
        <f>IFERROR(__xludf.DUMMYFUNCTION("""COMPUTED_VALUE"""),-9.0)</f>
        <v>-9</v>
      </c>
      <c r="GD368" s="16" t="s">
        <v>176</v>
      </c>
    </row>
    <row r="369">
      <c r="A369" s="16">
        <f>IFERROR(__xludf.DUMMYFUNCTION("""COMPUTED_VALUE"""),13042.0)</f>
        <v>13042</v>
      </c>
      <c r="B369" s="16" t="str">
        <f>IFERROR(__xludf.DUMMYFUNCTION("""COMPUTED_VALUE"""),"JP Crawford")</f>
        <v>JP Crawford</v>
      </c>
      <c r="C369" s="16">
        <f>IFERROR(__xludf.DUMMYFUNCTION("""COMPUTED_VALUE"""),1.74)</f>
        <v>1.74</v>
      </c>
      <c r="D369" s="16" t="str">
        <f>IFERROR(__xludf.DUMMYFUNCTION("""COMPUTED_VALUE"""),"L")</f>
        <v>L</v>
      </c>
      <c r="E369" s="16"/>
      <c r="F369" s="16"/>
      <c r="G369" s="16">
        <f>IFERROR(__xludf.DUMMYFUNCTION("""COMPUTED_VALUE"""),392.0)</f>
        <v>392</v>
      </c>
      <c r="H369" s="16">
        <f>IFERROR(__xludf.DUMMYFUNCTION("""COMPUTED_VALUE"""),52.0)</f>
        <v>52</v>
      </c>
      <c r="I369" s="16" t="str">
        <f>IFERROR(__xludf.DUMMYFUNCTION("""COMPUTED_VALUE"""),"4p50")</f>
        <v>4p50</v>
      </c>
      <c r="J369" s="16">
        <f>IFERROR(__xludf.DUMMYFUNCTION("""COMPUTED_VALUE"""),8.0)</f>
        <v>8</v>
      </c>
      <c r="K369" s="16">
        <f>IFERROR(__xludf.DUMMYFUNCTION("""COMPUTED_VALUE"""),32.0)</f>
        <v>32</v>
      </c>
      <c r="L369" s="16">
        <f>IFERROR(__xludf.DUMMYFUNCTION("""COMPUTED_VALUE"""),2.0)</f>
        <v>2</v>
      </c>
      <c r="M369" s="16">
        <f>IFERROR(__xludf.DUMMYFUNCTION("""COMPUTED_VALUE"""),-1.0)</f>
        <v>-1</v>
      </c>
      <c r="N369" s="16">
        <f>IFERROR(__xludf.DUMMYFUNCTION("""COMPUTED_VALUE"""),2.0)</f>
        <v>2</v>
      </c>
      <c r="O369" s="16">
        <f>IFERROR(__xludf.DUMMYFUNCTION("""COMPUTED_VALUE"""),-1.0)</f>
        <v>-1</v>
      </c>
      <c r="P369" s="16">
        <f>IFERROR(__xludf.DUMMYFUNCTION("""COMPUTED_VALUE"""),11.0)</f>
        <v>11</v>
      </c>
      <c r="Q369" s="16">
        <f>IFERROR(__xludf.DUMMYFUNCTION("""COMPUTED_VALUE"""),17.0)</f>
        <v>17</v>
      </c>
      <c r="R369" s="16">
        <f>IFERROR(__xludf.DUMMYFUNCTION("""COMPUTED_VALUE"""),1.0)</f>
        <v>1</v>
      </c>
      <c r="S369" s="16">
        <f>IFERROR(__xludf.DUMMYFUNCTION("""COMPUTED_VALUE"""),2.0)</f>
        <v>2</v>
      </c>
      <c r="T369" s="16">
        <f>IFERROR(__xludf.DUMMYFUNCTION("""COMPUTED_VALUE"""),1.0)</f>
        <v>1</v>
      </c>
      <c r="U369" s="16">
        <f>IFERROR(__xludf.DUMMYFUNCTION("""COMPUTED_VALUE"""),2.0)</f>
        <v>2</v>
      </c>
      <c r="V369" s="16">
        <f>IFERROR(__xludf.DUMMYFUNCTION("""COMPUTED_VALUE"""),21.5)</f>
        <v>21.5</v>
      </c>
      <c r="W369" s="16">
        <f>IFERROR(__xludf.DUMMYFUNCTION("""COMPUTED_VALUE"""),7.7)</f>
        <v>7.7</v>
      </c>
      <c r="X369" s="16">
        <f>IFERROR(__xludf.DUMMYFUNCTION("""COMPUTED_VALUE"""),0.0)</f>
        <v>0</v>
      </c>
      <c r="Y369" s="16">
        <f>IFERROR(__xludf.DUMMYFUNCTION("""COMPUTED_VALUE"""),-2.0)</f>
        <v>-2</v>
      </c>
      <c r="Z369" s="16">
        <f>IFERROR(__xludf.DUMMYFUNCTION("""COMPUTED_VALUE"""),0.0)</f>
        <v>0</v>
      </c>
      <c r="AA369" s="16">
        <f>IFERROR(__xludf.DUMMYFUNCTION("""COMPUTED_VALUE"""),-4.0)</f>
        <v>-4</v>
      </c>
      <c r="AB369" s="16">
        <f>IFERROR(__xludf.DUMMYFUNCTION("""COMPUTED_VALUE"""),35.5)</f>
        <v>35.5</v>
      </c>
      <c r="AC369" s="16">
        <f>IFERROR(__xludf.DUMMYFUNCTION("""COMPUTED_VALUE"""),27.7)</f>
        <v>27.7</v>
      </c>
      <c r="AD369" s="16">
        <f>IFERROR(__xludf.DUMMYFUNCTION("""COMPUTED_VALUE"""),1.0)</f>
        <v>1</v>
      </c>
      <c r="AE369" s="16">
        <f>IFERROR(__xludf.DUMMYFUNCTION("""COMPUTED_VALUE"""),-1.0)</f>
        <v>-1</v>
      </c>
      <c r="AF369" s="16">
        <f>IFERROR(__xludf.DUMMYFUNCTION("""COMPUTED_VALUE"""),5.0)</f>
        <v>5</v>
      </c>
      <c r="AG369" s="16">
        <f>IFERROR(__xludf.DUMMYFUNCTION("""COMPUTED_VALUE"""),-5.0)</f>
        <v>-5</v>
      </c>
      <c r="AH369" s="16">
        <f>IFERROR(__xludf.DUMMYFUNCTION("""COMPUTED_VALUE"""),30.8)</f>
        <v>30.8</v>
      </c>
      <c r="AI369" s="16">
        <f>IFERROR(__xludf.DUMMYFUNCTION("""COMPUTED_VALUE"""),11.8)</f>
        <v>11.8</v>
      </c>
      <c r="AJ369" s="16">
        <f>IFERROR(__xludf.DUMMYFUNCTION("""COMPUTED_VALUE"""),0.0)</f>
        <v>0</v>
      </c>
      <c r="AK369" s="16">
        <f>IFERROR(__xludf.DUMMYFUNCTION("""COMPUTED_VALUE"""),-2.0)</f>
        <v>-2</v>
      </c>
      <c r="AL369" s="16">
        <f>IFERROR(__xludf.DUMMYFUNCTION("""COMPUTED_VALUE"""),0.0)</f>
        <v>0</v>
      </c>
      <c r="AM369" s="16">
        <f>IFERROR(__xludf.DUMMYFUNCTION("""COMPUTED_VALUE"""),-10.0)</f>
        <v>-10</v>
      </c>
      <c r="AN369" s="16">
        <f>IFERROR(__xludf.DUMMYFUNCTION("""COMPUTED_VALUE"""),2.0)</f>
        <v>2</v>
      </c>
      <c r="AO369" s="16">
        <f>IFERROR(__xludf.DUMMYFUNCTION("""COMPUTED_VALUE"""),0.2)</f>
        <v>0.2</v>
      </c>
      <c r="AP369" s="16">
        <f>IFERROR(__xludf.DUMMYFUNCTION("""COMPUTED_VALUE"""),0.0)</f>
        <v>0</v>
      </c>
      <c r="AQ369" s="16">
        <f>IFERROR(__xludf.DUMMYFUNCTION("""COMPUTED_VALUE"""),-2.0)</f>
        <v>-2</v>
      </c>
      <c r="AR369" s="16">
        <f>IFERROR(__xludf.DUMMYFUNCTION("""COMPUTED_VALUE"""),0.0)</f>
        <v>0</v>
      </c>
      <c r="AS369" s="16">
        <f>IFERROR(__xludf.DUMMYFUNCTION("""COMPUTED_VALUE"""),-4.0)</f>
        <v>-4</v>
      </c>
      <c r="AT369" s="16">
        <f>IFERROR(__xludf.DUMMYFUNCTION("""COMPUTED_VALUE"""),4.0)</f>
        <v>4</v>
      </c>
      <c r="AU369" s="16">
        <f>IFERROR(__xludf.DUMMYFUNCTION("""COMPUTED_VALUE"""),0.0)</f>
        <v>0</v>
      </c>
      <c r="AV369" s="16">
        <f>IFERROR(__xludf.DUMMYFUNCTION("""COMPUTED_VALUE"""),4.0)</f>
        <v>4</v>
      </c>
      <c r="AW369" s="16">
        <f>IFERROR(__xludf.DUMMYFUNCTION("""COMPUTED_VALUE"""),0.0)</f>
        <v>0</v>
      </c>
      <c r="AX369" s="16">
        <f>IFERROR(__xludf.DUMMYFUNCTION("""COMPUTED_VALUE"""),2.0)</f>
        <v>2</v>
      </c>
      <c r="AY369" s="16">
        <f>IFERROR(__xludf.DUMMYFUNCTION("""COMPUTED_VALUE"""),-2.0)</f>
        <v>-2</v>
      </c>
      <c r="AZ369" s="16">
        <f>IFERROR(__xludf.DUMMYFUNCTION("""COMPUTED_VALUE"""),6.0)</f>
        <v>6</v>
      </c>
      <c r="BA369" s="16">
        <f>IFERROR(__xludf.DUMMYFUNCTION("""COMPUTED_VALUE"""),-6.0)</f>
        <v>-6</v>
      </c>
      <c r="BB369" s="16">
        <f>IFERROR(__xludf.DUMMYFUNCTION("""COMPUTED_VALUE"""),5.0)</f>
        <v>5</v>
      </c>
      <c r="BC369" s="16">
        <f>IFERROR(__xludf.DUMMYFUNCTION("""COMPUTED_VALUE"""),5.0)</f>
        <v>5</v>
      </c>
      <c r="BD369" s="16">
        <f>IFERROR(__xludf.DUMMYFUNCTION("""COMPUTED_VALUE"""),1.0)</f>
        <v>1</v>
      </c>
      <c r="BE369" s="16">
        <f>IFERROR(__xludf.DUMMYFUNCTION("""COMPUTED_VALUE"""),1.0)</f>
        <v>1</v>
      </c>
      <c r="BF369" s="16">
        <f>IFERROR(__xludf.DUMMYFUNCTION("""COMPUTED_VALUE"""),1.0)</f>
        <v>1</v>
      </c>
      <c r="BG369" s="16">
        <f>IFERROR(__xludf.DUMMYFUNCTION("""COMPUTED_VALUE"""),1.0)</f>
        <v>1</v>
      </c>
      <c r="BH369" s="16">
        <f>IFERROR(__xludf.DUMMYFUNCTION("""COMPUTED_VALUE"""),-5.0)</f>
        <v>-5</v>
      </c>
      <c r="BI369" s="16">
        <f>IFERROR(__xludf.DUMMYFUNCTION("""COMPUTED_VALUE"""),-2.0)</f>
        <v>-2</v>
      </c>
      <c r="BJ369" s="16">
        <f>IFERROR(__xludf.DUMMYFUNCTION("""COMPUTED_VALUE"""),4.0)</f>
        <v>4</v>
      </c>
      <c r="BK369" s="16">
        <f>IFERROR(__xludf.DUMMYFUNCTION("""COMPUTED_VALUE"""),4.0)</f>
        <v>4</v>
      </c>
      <c r="BL369" s="16">
        <f>IFERROR(__xludf.DUMMYFUNCTION("""COMPUTED_VALUE"""),1.0)</f>
        <v>1</v>
      </c>
      <c r="BM369" s="16">
        <f>IFERROR(__xludf.DUMMYFUNCTION("""COMPUTED_VALUE"""),1.0)</f>
        <v>1</v>
      </c>
      <c r="BN369" s="16">
        <f>IFERROR(__xludf.DUMMYFUNCTION("""COMPUTED_VALUE"""),1.0)</f>
        <v>1</v>
      </c>
      <c r="BO369" s="16">
        <f>IFERROR(__xludf.DUMMYFUNCTION("""COMPUTED_VALUE"""),1.0)</f>
        <v>1</v>
      </c>
      <c r="BP369" s="16">
        <f>IFERROR(__xludf.DUMMYFUNCTION("""COMPUTED_VALUE"""),8.0)</f>
        <v>8</v>
      </c>
      <c r="BQ369" s="16">
        <f>IFERROR(__xludf.DUMMYFUNCTION("""COMPUTED_VALUE"""),-6.0)</f>
        <v>-6</v>
      </c>
      <c r="BR369" s="16">
        <f>IFERROR(__xludf.DUMMYFUNCTION("""COMPUTED_VALUE"""),2.0)</f>
        <v>2</v>
      </c>
      <c r="BS369" s="16" t="str">
        <f>IFERROR(__xludf.DUMMYFUNCTION("""COMPUTED_VALUE"""),"3/- (20-6)")</f>
        <v>3/- (20-6)</v>
      </c>
      <c r="BT369" s="16" t="str">
        <f>IFERROR(__xludf.DUMMYFUNCTION("""COMPUTED_VALUE"""),"C")</f>
        <v>C</v>
      </c>
      <c r="BU369" s="16">
        <f>IFERROR(__xludf.DUMMYFUNCTION("""COMPUTED_VALUE"""),12.0)</f>
        <v>12</v>
      </c>
      <c r="BV369" s="16">
        <f>IFERROR(__xludf.DUMMYFUNCTION("""COMPUTED_VALUE"""),0.0)</f>
        <v>0</v>
      </c>
      <c r="BW369" s="16">
        <f>IFERROR(__xludf.DUMMYFUNCTION("""COMPUTED_VALUE"""),0.0)</f>
        <v>0</v>
      </c>
      <c r="BX369" s="16">
        <f>IFERROR(__xludf.DUMMYFUNCTION("""COMPUTED_VALUE"""),0.0)</f>
        <v>0</v>
      </c>
      <c r="BY369" s="16">
        <f>IFERROR(__xludf.DUMMYFUNCTION("""COMPUTED_VALUE"""),0.0)</f>
        <v>0</v>
      </c>
      <c r="BZ369" s="16" t="str">
        <f>IFERROR(__xludf.DUMMYFUNCTION("""COMPUTED_VALUE"""),"D")</f>
        <v>D</v>
      </c>
      <c r="CA369" s="16" t="str">
        <f>IFERROR(__xludf.DUMMYFUNCTION("""COMPUTED_VALUE"""),"D")</f>
        <v>D</v>
      </c>
      <c r="CB369" s="16">
        <f>IFERROR(__xludf.DUMMYFUNCTION("""COMPUTED_VALUE"""),0.0)</f>
        <v>0</v>
      </c>
      <c r="CC369" s="16">
        <f>IFERROR(__xludf.DUMMYFUNCTION("""COMPUTED_VALUE"""),0.0)</f>
        <v>0</v>
      </c>
      <c r="CD369" s="16">
        <f>IFERROR(__xludf.DUMMYFUNCTION("""COMPUTED_VALUE"""),0.0)</f>
        <v>0</v>
      </c>
      <c r="CE369" s="16">
        <f>IFERROR(__xludf.DUMMYFUNCTION("""COMPUTED_VALUE"""),0.0)</f>
        <v>0</v>
      </c>
      <c r="CF369" s="16">
        <f>IFERROR(__xludf.DUMMYFUNCTION("""COMPUTED_VALUE"""),4.0)</f>
        <v>4</v>
      </c>
      <c r="CG369" s="16">
        <f>IFERROR(__xludf.DUMMYFUNCTION("""COMPUTED_VALUE"""),16.0)</f>
        <v>16</v>
      </c>
      <c r="CH369" s="16">
        <f>IFERROR(__xludf.DUMMYFUNCTION("""COMPUTED_VALUE"""),-26.0)</f>
        <v>-26</v>
      </c>
      <c r="CI369" s="179">
        <f>IFERROR(__xludf.DUMMYFUNCTION("""COMPUTED_VALUE"""),-17.0)</f>
        <v>-17</v>
      </c>
      <c r="CJ369" s="16"/>
      <c r="CK369" s="16"/>
      <c r="CL369" s="16"/>
      <c r="CM369" s="16"/>
      <c r="CN369" s="16">
        <f>IFERROR(__xludf.DUMMYFUNCTION("""COMPUTED_VALUE"""),205.0)</f>
        <v>205</v>
      </c>
      <c r="CO369" s="16"/>
      <c r="CP369" s="16"/>
      <c r="CQ369" s="16"/>
      <c r="CR369" s="16" t="str">
        <f>IFERROR(__xludf.DUMMYFUNCTION("""COMPUTED_VALUE"""),"ss-2e5")</f>
        <v>ss-2e5</v>
      </c>
      <c r="CS369" s="16"/>
      <c r="CT369" s="16"/>
      <c r="CU369" s="16"/>
      <c r="CV369" s="16"/>
      <c r="CW369" s="16">
        <f>IFERROR(__xludf.DUMMYFUNCTION("""COMPUTED_VALUE"""),2.0)</f>
        <v>2</v>
      </c>
      <c r="CX369" s="16"/>
      <c r="CY369" s="16"/>
      <c r="CZ369" s="16"/>
      <c r="DA369" s="16"/>
      <c r="DB369" s="16"/>
      <c r="DC369" s="16"/>
      <c r="DD369" s="16"/>
      <c r="DE369" s="16">
        <f>IFERROR(__xludf.DUMMYFUNCTION("""COMPUTED_VALUE"""),5.0)</f>
        <v>5</v>
      </c>
      <c r="DF369" s="16"/>
      <c r="DG369" s="16"/>
      <c r="DH369" s="16"/>
      <c r="DI369" s="16"/>
      <c r="DJ369" s="16"/>
      <c r="DK369" s="16"/>
      <c r="DL369" s="16"/>
      <c r="DM369" s="16">
        <f>IFERROR(__xludf.DUMMYFUNCTION("""COMPUTED_VALUE"""),3.0)</f>
        <v>3</v>
      </c>
      <c r="DN369" s="16"/>
      <c r="DO369" s="16"/>
      <c r="DP369" s="16"/>
      <c r="DQ369" s="16"/>
      <c r="DR369" s="16"/>
      <c r="DS369" s="16"/>
      <c r="DT369" s="16"/>
      <c r="DU369" s="16">
        <f>IFERROR(__xludf.DUMMYFUNCTION("""COMPUTED_VALUE"""),3.0)</f>
        <v>3</v>
      </c>
      <c r="DV369" s="16"/>
      <c r="DW369" s="16"/>
      <c r="DX369" s="16"/>
      <c r="DY369" s="16"/>
      <c r="DZ369" s="16"/>
      <c r="EA369" s="16"/>
      <c r="EB369" s="16"/>
      <c r="EC369" s="16">
        <f>IFERROR(__xludf.DUMMYFUNCTION("""COMPUTED_VALUE"""),6.0)</f>
        <v>6</v>
      </c>
      <c r="ED369" s="16"/>
      <c r="EE369" s="16"/>
      <c r="EF369" s="16"/>
      <c r="EG369" s="179"/>
      <c r="EH369" s="179"/>
      <c r="EI369" s="179"/>
      <c r="EJ369" s="179"/>
      <c r="EK369" s="179">
        <f>IFERROR(__xludf.DUMMYFUNCTION("""COMPUTED_VALUE"""),-11.0)</f>
        <v>-11</v>
      </c>
      <c r="EL369" s="179"/>
      <c r="EM369" s="179"/>
      <c r="EN369" s="179"/>
      <c r="EO369" s="16"/>
      <c r="EP369" s="16">
        <f>IFERROR(__xludf.DUMMYFUNCTION("""COMPUTED_VALUE"""),-1.0)</f>
        <v>-1</v>
      </c>
      <c r="EQ369" s="16">
        <f>IFERROR(__xludf.DUMMYFUNCTION("""COMPUTED_VALUE"""),-1.0)</f>
        <v>-1</v>
      </c>
      <c r="ER369" s="16">
        <f>IFERROR(__xludf.DUMMYFUNCTION("""COMPUTED_VALUE"""),0.0)</f>
        <v>0</v>
      </c>
      <c r="ES369" s="16"/>
      <c r="ET369" s="16"/>
      <c r="EU369" s="16"/>
      <c r="EV369" s="16"/>
      <c r="EW369" s="16"/>
      <c r="EX369" s="180"/>
      <c r="EY369" s="180"/>
      <c r="EZ369" s="180"/>
      <c r="FA369" s="180"/>
      <c r="FB369" s="180">
        <f>IFERROR(__xludf.DUMMYFUNCTION("""COMPUTED_VALUE"""),0.1)</f>
        <v>0.1</v>
      </c>
      <c r="FC369" s="180"/>
      <c r="FD369" s="180"/>
      <c r="FE369" s="180"/>
      <c r="FF369" s="180"/>
      <c r="FG369" s="180"/>
      <c r="FH369" s="180"/>
      <c r="FI369" s="180"/>
      <c r="FJ369" s="180">
        <f>IFERROR(__xludf.DUMMYFUNCTION("""COMPUTED_VALUE"""),0.023148148148148147)</f>
        <v>0.02314814815</v>
      </c>
      <c r="FK369" s="180"/>
      <c r="FL369" s="180"/>
      <c r="FM369" s="180"/>
      <c r="FN369" s="16"/>
      <c r="FO369" s="16"/>
      <c r="FP369" s="16"/>
      <c r="FQ369" s="16"/>
      <c r="FR369" s="16">
        <f>IFERROR(__xludf.DUMMYFUNCTION("""COMPUTED_VALUE"""),0.8791666666666667)</f>
        <v>0.8791666667</v>
      </c>
      <c r="FS369" s="16"/>
      <c r="FT369" s="16"/>
      <c r="FU369" s="16"/>
      <c r="FV369" s="16"/>
      <c r="FW369" s="16"/>
      <c r="FX369" s="16"/>
      <c r="FY369" s="16"/>
      <c r="FZ369" s="16">
        <f>IFERROR(__xludf.DUMMYFUNCTION("""COMPUTED_VALUE"""),4.0)</f>
        <v>4</v>
      </c>
      <c r="GA369" s="16"/>
      <c r="GB369" s="16"/>
      <c r="GC369" s="16"/>
      <c r="GD369" s="16" t="s">
        <v>176</v>
      </c>
    </row>
    <row r="370">
      <c r="A370" s="16">
        <f>IFERROR(__xludf.DUMMYFUNCTION("""COMPUTED_VALUE"""),13114.0)</f>
        <v>13114</v>
      </c>
      <c r="B370" s="16" t="str">
        <f>IFERROR(__xludf.DUMMYFUNCTION("""COMPUTED_VALUE"""),"Leo Jimenez")</f>
        <v>Leo Jimenez</v>
      </c>
      <c r="C370" s="16">
        <f>IFERROR(__xludf.DUMMYFUNCTION("""COMPUTED_VALUE"""),0.74)</f>
        <v>0.74</v>
      </c>
      <c r="D370" s="16" t="str">
        <f>IFERROR(__xludf.DUMMYFUNCTION("""COMPUTED_VALUE"""),"R")</f>
        <v>R</v>
      </c>
      <c r="E370" s="16"/>
      <c r="F370" s="16"/>
      <c r="G370" s="16">
        <f>IFERROR(__xludf.DUMMYFUNCTION("""COMPUTED_VALUE"""),179.0)</f>
        <v>179</v>
      </c>
      <c r="H370" s="16">
        <f>IFERROR(__xludf.DUMMYFUNCTION("""COMPUTED_VALUE"""),12.0)</f>
        <v>12</v>
      </c>
      <c r="I370" s="16" t="str">
        <f>IFERROR(__xludf.DUMMYFUNCTION("""COMPUTED_VALUE"""),"1p30")</f>
        <v>1p30</v>
      </c>
      <c r="J370" s="16">
        <f>IFERROR(__xludf.DUMMYFUNCTION("""COMPUTED_VALUE"""),46.0)</f>
        <v>46</v>
      </c>
      <c r="K370" s="16">
        <f>IFERROR(__xludf.DUMMYFUNCTION("""COMPUTED_VALUE"""),29.0)</f>
        <v>29</v>
      </c>
      <c r="L370" s="16">
        <f>IFERROR(__xludf.DUMMYFUNCTION("""COMPUTED_VALUE"""),-2.0)</f>
        <v>-2</v>
      </c>
      <c r="M370" s="16">
        <f>IFERROR(__xludf.DUMMYFUNCTION("""COMPUTED_VALUE"""),0.0)</f>
        <v>0</v>
      </c>
      <c r="N370" s="16">
        <f>IFERROR(__xludf.DUMMYFUNCTION("""COMPUTED_VALUE"""),-2.0)</f>
        <v>-2</v>
      </c>
      <c r="O370" s="16">
        <f>IFERROR(__xludf.DUMMYFUNCTION("""COMPUTED_VALUE"""),0.0)</f>
        <v>0</v>
      </c>
      <c r="P370" s="16">
        <f>IFERROR(__xludf.DUMMYFUNCTION("""COMPUTED_VALUE"""),6.0)</f>
        <v>6</v>
      </c>
      <c r="Q370" s="16">
        <f>IFERROR(__xludf.DUMMYFUNCTION("""COMPUTED_VALUE"""),4.0)</f>
        <v>4</v>
      </c>
      <c r="R370" s="16">
        <f>IFERROR(__xludf.DUMMYFUNCTION("""COMPUTED_VALUE"""),-1.0)</f>
        <v>-1</v>
      </c>
      <c r="S370" s="16">
        <f>IFERROR(__xludf.DUMMYFUNCTION("""COMPUTED_VALUE"""),-2.0)</f>
        <v>-2</v>
      </c>
      <c r="T370" s="16">
        <f>IFERROR(__xludf.DUMMYFUNCTION("""COMPUTED_VALUE"""),-1.0)</f>
        <v>-1</v>
      </c>
      <c r="U370" s="16">
        <f>IFERROR(__xludf.DUMMYFUNCTION("""COMPUTED_VALUE"""),-2.0)</f>
        <v>-2</v>
      </c>
      <c r="V370" s="16">
        <f>IFERROR(__xludf.DUMMYFUNCTION("""COMPUTED_VALUE"""),22.0)</f>
        <v>22</v>
      </c>
      <c r="W370" s="16">
        <f>IFERROR(__xludf.DUMMYFUNCTION("""COMPUTED_VALUE"""),12.9)</f>
        <v>12.9</v>
      </c>
      <c r="X370" s="16">
        <f>IFERROR(__xludf.DUMMYFUNCTION("""COMPUTED_VALUE"""),0.0)</f>
        <v>0</v>
      </c>
      <c r="Y370" s="16">
        <f>IFERROR(__xludf.DUMMYFUNCTION("""COMPUTED_VALUE"""),-1.0)</f>
        <v>-1</v>
      </c>
      <c r="Z370" s="16">
        <f>IFERROR(__xludf.DUMMYFUNCTION("""COMPUTED_VALUE"""),0.0)</f>
        <v>0</v>
      </c>
      <c r="AA370" s="16">
        <f>IFERROR(__xludf.DUMMYFUNCTION("""COMPUTED_VALUE"""),-2.0)</f>
        <v>-2</v>
      </c>
      <c r="AB370" s="16">
        <f>IFERROR(__xludf.DUMMYFUNCTION("""COMPUTED_VALUE"""),45.0)</f>
        <v>45</v>
      </c>
      <c r="AC370" s="16">
        <f>IFERROR(__xludf.DUMMYFUNCTION("""COMPUTED_VALUE"""),34.0)</f>
        <v>34</v>
      </c>
      <c r="AD370" s="16">
        <f>IFERROR(__xludf.DUMMYFUNCTION("""COMPUTED_VALUE"""),2.0)</f>
        <v>2</v>
      </c>
      <c r="AE370" s="16">
        <f>IFERROR(__xludf.DUMMYFUNCTION("""COMPUTED_VALUE"""),0.0)</f>
        <v>0</v>
      </c>
      <c r="AF370" s="16">
        <f>IFERROR(__xludf.DUMMYFUNCTION("""COMPUTED_VALUE"""),10.0)</f>
        <v>10</v>
      </c>
      <c r="AG370" s="16">
        <f>IFERROR(__xludf.DUMMYFUNCTION("""COMPUTED_VALUE"""),0.0)</f>
        <v>0</v>
      </c>
      <c r="AH370" s="16">
        <f>IFERROR(__xludf.DUMMYFUNCTION("""COMPUTED_VALUE"""),34.2)</f>
        <v>34.2</v>
      </c>
      <c r="AI370" s="16">
        <f>IFERROR(__xludf.DUMMYFUNCTION("""COMPUTED_VALUE"""),19.8)</f>
        <v>19.8</v>
      </c>
      <c r="AJ370" s="16">
        <f>IFERROR(__xludf.DUMMYFUNCTION("""COMPUTED_VALUE"""),0.0)</f>
        <v>0</v>
      </c>
      <c r="AK370" s="16">
        <f>IFERROR(__xludf.DUMMYFUNCTION("""COMPUTED_VALUE"""),-2.0)</f>
        <v>-2</v>
      </c>
      <c r="AL370" s="16">
        <f>IFERROR(__xludf.DUMMYFUNCTION("""COMPUTED_VALUE"""),0.0)</f>
        <v>0</v>
      </c>
      <c r="AM370" s="16">
        <f>IFERROR(__xludf.DUMMYFUNCTION("""COMPUTED_VALUE"""),-10.0)</f>
        <v>-10</v>
      </c>
      <c r="AN370" s="16">
        <f>IFERROR(__xludf.DUMMYFUNCTION("""COMPUTED_VALUE"""),0.3)</f>
        <v>0.3</v>
      </c>
      <c r="AO370" s="16">
        <f>IFERROR(__xludf.DUMMYFUNCTION("""COMPUTED_VALUE"""),1.0)</f>
        <v>1</v>
      </c>
      <c r="AP370" s="16">
        <f>IFERROR(__xludf.DUMMYFUNCTION("""COMPUTED_VALUE"""),-2.0)</f>
        <v>-2</v>
      </c>
      <c r="AQ370" s="16">
        <f>IFERROR(__xludf.DUMMYFUNCTION("""COMPUTED_VALUE"""),-2.0)</f>
        <v>-2</v>
      </c>
      <c r="AR370" s="16">
        <f>IFERROR(__xludf.DUMMYFUNCTION("""COMPUTED_VALUE"""),-4.0)</f>
        <v>-4</v>
      </c>
      <c r="AS370" s="16">
        <f>IFERROR(__xludf.DUMMYFUNCTION("""COMPUTED_VALUE"""),-4.0)</f>
        <v>-4</v>
      </c>
      <c r="AT370" s="16">
        <f>IFERROR(__xludf.DUMMYFUNCTION("""COMPUTED_VALUE"""),0.0)</f>
        <v>0</v>
      </c>
      <c r="AU370" s="16">
        <f>IFERROR(__xludf.DUMMYFUNCTION("""COMPUTED_VALUE"""),1.0)</f>
        <v>1</v>
      </c>
      <c r="AV370" s="16">
        <f>IFERROR(__xludf.DUMMYFUNCTION("""COMPUTED_VALUE"""),0.0)</f>
        <v>0</v>
      </c>
      <c r="AW370" s="16">
        <f>IFERROR(__xludf.DUMMYFUNCTION("""COMPUTED_VALUE"""),1.0)</f>
        <v>1</v>
      </c>
      <c r="AX370" s="16">
        <f>IFERROR(__xludf.DUMMYFUNCTION("""COMPUTED_VALUE"""),-2.0)</f>
        <v>-2</v>
      </c>
      <c r="AY370" s="16">
        <f>IFERROR(__xludf.DUMMYFUNCTION("""COMPUTED_VALUE"""),-1.0)</f>
        <v>-1</v>
      </c>
      <c r="AZ370" s="16">
        <f>IFERROR(__xludf.DUMMYFUNCTION("""COMPUTED_VALUE"""),-6.0)</f>
        <v>-6</v>
      </c>
      <c r="BA370" s="16">
        <f>IFERROR(__xludf.DUMMYFUNCTION("""COMPUTED_VALUE"""),-3.0)</f>
        <v>-3</v>
      </c>
      <c r="BB370" s="16">
        <f>IFERROR(__xludf.DUMMYFUNCTION("""COMPUTED_VALUE"""),5.0)</f>
        <v>5</v>
      </c>
      <c r="BC370" s="16">
        <f>IFERROR(__xludf.DUMMYFUNCTION("""COMPUTED_VALUE"""),5.0)</f>
        <v>5</v>
      </c>
      <c r="BD370" s="16">
        <f>IFERROR(__xludf.DUMMYFUNCTION("""COMPUTED_VALUE"""),1.0)</f>
        <v>1</v>
      </c>
      <c r="BE370" s="16">
        <f>IFERROR(__xludf.DUMMYFUNCTION("""COMPUTED_VALUE"""),1.0)</f>
        <v>1</v>
      </c>
      <c r="BF370" s="16">
        <f>IFERROR(__xludf.DUMMYFUNCTION("""COMPUTED_VALUE"""),1.0)</f>
        <v>1</v>
      </c>
      <c r="BG370" s="16">
        <f>IFERROR(__xludf.DUMMYFUNCTION("""COMPUTED_VALUE"""),1.0)</f>
        <v>1</v>
      </c>
      <c r="BH370" s="16">
        <f>IFERROR(__xludf.DUMMYFUNCTION("""COMPUTED_VALUE"""),1.0)</f>
        <v>1</v>
      </c>
      <c r="BI370" s="16">
        <f>IFERROR(__xludf.DUMMYFUNCTION("""COMPUTED_VALUE"""),1.0)</f>
        <v>1</v>
      </c>
      <c r="BJ370" s="16">
        <f>IFERROR(__xludf.DUMMYFUNCTION("""COMPUTED_VALUE"""),9.0)</f>
        <v>9</v>
      </c>
      <c r="BK370" s="16">
        <f>IFERROR(__xludf.DUMMYFUNCTION("""COMPUTED_VALUE"""),20.0)</f>
        <v>20</v>
      </c>
      <c r="BL370" s="16">
        <f>IFERROR(__xludf.DUMMYFUNCTION("""COMPUTED_VALUE"""),0.0)</f>
        <v>0</v>
      </c>
      <c r="BM370" s="16">
        <f>IFERROR(__xludf.DUMMYFUNCTION("""COMPUTED_VALUE"""),-2.0)</f>
        <v>-2</v>
      </c>
      <c r="BN370" s="16">
        <f>IFERROR(__xludf.DUMMYFUNCTION("""COMPUTED_VALUE"""),0.0)</f>
        <v>0</v>
      </c>
      <c r="BO370" s="16">
        <f>IFERROR(__xludf.DUMMYFUNCTION("""COMPUTED_VALUE"""),-4.0)</f>
        <v>-4</v>
      </c>
      <c r="BP370" s="16">
        <f>IFERROR(__xludf.DUMMYFUNCTION("""COMPUTED_VALUE"""),-4.0)</f>
        <v>-4</v>
      </c>
      <c r="BQ370" s="16">
        <f>IFERROR(__xludf.DUMMYFUNCTION("""COMPUTED_VALUE"""),-9.0)</f>
        <v>-9</v>
      </c>
      <c r="BR370" s="16">
        <f>IFERROR(__xludf.DUMMYFUNCTION("""COMPUTED_VALUE"""),-13.0)</f>
        <v>-13</v>
      </c>
      <c r="BS370" s="16" t="str">
        <f>IFERROR(__xludf.DUMMYFUNCTION("""COMPUTED_VALUE"""),"-/- (---)")</f>
        <v>-/- (---)</v>
      </c>
      <c r="BT370" s="16" t="str">
        <f>IFERROR(__xludf.DUMMYFUNCTION("""COMPUTED_VALUE"""),"E")</f>
        <v>E</v>
      </c>
      <c r="BU370" s="16">
        <f>IFERROR(__xludf.DUMMYFUNCTION("""COMPUTED_VALUE"""),12.0)</f>
        <v>12</v>
      </c>
      <c r="BV370" s="16">
        <f>IFERROR(__xludf.DUMMYFUNCTION("""COMPUTED_VALUE"""),0.0)</f>
        <v>0</v>
      </c>
      <c r="BW370" s="16">
        <f>IFERROR(__xludf.DUMMYFUNCTION("""COMPUTED_VALUE"""),0.0)</f>
        <v>0</v>
      </c>
      <c r="BX370" s="16">
        <f>IFERROR(__xludf.DUMMYFUNCTION("""COMPUTED_VALUE"""),0.0)</f>
        <v>0</v>
      </c>
      <c r="BY370" s="16">
        <f>IFERROR(__xludf.DUMMYFUNCTION("""COMPUTED_VALUE"""),0.0)</f>
        <v>0</v>
      </c>
      <c r="BZ370" s="16" t="str">
        <f>IFERROR(__xludf.DUMMYFUNCTION("""COMPUTED_VALUE"""),"D")</f>
        <v>D</v>
      </c>
      <c r="CA370" s="16" t="str">
        <f>IFERROR(__xludf.DUMMYFUNCTION("""COMPUTED_VALUE"""),"C")</f>
        <v>C</v>
      </c>
      <c r="CB370" s="16">
        <f>IFERROR(__xludf.DUMMYFUNCTION("""COMPUTED_VALUE"""),0.0)</f>
        <v>0</v>
      </c>
      <c r="CC370" s="16">
        <f>IFERROR(__xludf.DUMMYFUNCTION("""COMPUTED_VALUE"""),0.0)</f>
        <v>0</v>
      </c>
      <c r="CD370" s="16">
        <f>IFERROR(__xludf.DUMMYFUNCTION("""COMPUTED_VALUE"""),0.0)</f>
        <v>0</v>
      </c>
      <c r="CE370" s="16">
        <f>IFERROR(__xludf.DUMMYFUNCTION("""COMPUTED_VALUE"""),0.0)</f>
        <v>0</v>
      </c>
      <c r="CF370" s="16">
        <f>IFERROR(__xludf.DUMMYFUNCTION("""COMPUTED_VALUE"""),1.0)</f>
        <v>1</v>
      </c>
      <c r="CG370" s="16">
        <f>IFERROR(__xludf.DUMMYFUNCTION("""COMPUTED_VALUE"""),-2.0)</f>
        <v>-2</v>
      </c>
      <c r="CH370" s="16">
        <f>IFERROR(__xludf.DUMMYFUNCTION("""COMPUTED_VALUE"""),-24.0)</f>
        <v>-24</v>
      </c>
      <c r="CI370" s="179">
        <f>IFERROR(__xludf.DUMMYFUNCTION("""COMPUTED_VALUE"""),-17.0)</f>
        <v>-17</v>
      </c>
      <c r="CJ370" s="16"/>
      <c r="CK370" s="16"/>
      <c r="CL370" s="16">
        <f>IFERROR(__xludf.DUMMYFUNCTION("""COMPUTED_VALUE"""),317.0)</f>
        <v>317</v>
      </c>
      <c r="CM370" s="16"/>
      <c r="CN370" s="16">
        <f>IFERROR(__xludf.DUMMYFUNCTION("""COMPUTED_VALUE"""),308.0)</f>
        <v>308</v>
      </c>
      <c r="CO370" s="16"/>
      <c r="CP370" s="16"/>
      <c r="CQ370" s="16"/>
      <c r="CR370" s="16" t="str">
        <f>IFERROR(__xludf.DUMMYFUNCTION("""COMPUTED_VALUE"""),"ss-3e8 2b-3e17")</f>
        <v>ss-3e8 2b-3e17</v>
      </c>
      <c r="CS370" s="16"/>
      <c r="CT370" s="16"/>
      <c r="CU370" s="16">
        <f>IFERROR(__xludf.DUMMYFUNCTION("""COMPUTED_VALUE"""),3.0)</f>
        <v>3</v>
      </c>
      <c r="CV370" s="16"/>
      <c r="CW370" s="16">
        <f>IFERROR(__xludf.DUMMYFUNCTION("""COMPUTED_VALUE"""),3.0)</f>
        <v>3</v>
      </c>
      <c r="CX370" s="16"/>
      <c r="CY370" s="16"/>
      <c r="CZ370" s="16"/>
      <c r="DA370" s="16"/>
      <c r="DB370" s="16"/>
      <c r="DC370" s="16">
        <f>IFERROR(__xludf.DUMMYFUNCTION("""COMPUTED_VALUE"""),17.0)</f>
        <v>17</v>
      </c>
      <c r="DD370" s="16"/>
      <c r="DE370" s="16">
        <f>IFERROR(__xludf.DUMMYFUNCTION("""COMPUTED_VALUE"""),8.0)</f>
        <v>8</v>
      </c>
      <c r="DF370" s="16"/>
      <c r="DG370" s="16"/>
      <c r="DH370" s="16"/>
      <c r="DI370" s="16"/>
      <c r="DJ370" s="16"/>
      <c r="DK370" s="16">
        <f>IFERROR(__xludf.DUMMYFUNCTION("""COMPUTED_VALUE"""),0.0)</f>
        <v>0</v>
      </c>
      <c r="DL370" s="16"/>
      <c r="DM370" s="16">
        <f>IFERROR(__xludf.DUMMYFUNCTION("""COMPUTED_VALUE"""),0.0)</f>
        <v>0</v>
      </c>
      <c r="DN370" s="16"/>
      <c r="DO370" s="16"/>
      <c r="DP370" s="16"/>
      <c r="DQ370" s="16"/>
      <c r="DR370" s="16"/>
      <c r="DS370" s="16">
        <f>IFERROR(__xludf.DUMMYFUNCTION("""COMPUTED_VALUE"""),2.0)</f>
        <v>2</v>
      </c>
      <c r="DT370" s="16"/>
      <c r="DU370" s="16">
        <f>IFERROR(__xludf.DUMMYFUNCTION("""COMPUTED_VALUE"""),3.0)</f>
        <v>3</v>
      </c>
      <c r="DV370" s="16"/>
      <c r="DW370" s="16"/>
      <c r="DX370" s="16"/>
      <c r="DY370" s="16"/>
      <c r="DZ370" s="16"/>
      <c r="EA370" s="16">
        <f>IFERROR(__xludf.DUMMYFUNCTION("""COMPUTED_VALUE"""),2.0)</f>
        <v>2</v>
      </c>
      <c r="EB370" s="16"/>
      <c r="EC370" s="16">
        <f>IFERROR(__xludf.DUMMYFUNCTION("""COMPUTED_VALUE"""),3.0)</f>
        <v>3</v>
      </c>
      <c r="ED370" s="16"/>
      <c r="EE370" s="16"/>
      <c r="EF370" s="16"/>
      <c r="EG370" s="179"/>
      <c r="EH370" s="179"/>
      <c r="EI370" s="179">
        <f>IFERROR(__xludf.DUMMYFUNCTION("""COMPUTED_VALUE"""),-15.0)</f>
        <v>-15</v>
      </c>
      <c r="EJ370" s="179"/>
      <c r="EK370" s="179">
        <f>IFERROR(__xludf.DUMMYFUNCTION("""COMPUTED_VALUE"""),-14.0)</f>
        <v>-14</v>
      </c>
      <c r="EL370" s="179"/>
      <c r="EM370" s="179"/>
      <c r="EN370" s="179"/>
      <c r="EO370" s="16"/>
      <c r="EP370" s="16">
        <f>IFERROR(__xludf.DUMMYFUNCTION("""COMPUTED_VALUE"""),2.0)</f>
        <v>2</v>
      </c>
      <c r="EQ370" s="16">
        <f>IFERROR(__xludf.DUMMYFUNCTION("""COMPUTED_VALUE"""),4.0)</f>
        <v>4</v>
      </c>
      <c r="ER370" s="16">
        <f>IFERROR(__xludf.DUMMYFUNCTION("""COMPUTED_VALUE"""),-2.0)</f>
        <v>-2</v>
      </c>
      <c r="ES370" s="16"/>
      <c r="ET370" s="16"/>
      <c r="EU370" s="16"/>
      <c r="EV370" s="16"/>
      <c r="EW370" s="16"/>
      <c r="EX370" s="180"/>
      <c r="EY370" s="180"/>
      <c r="EZ370" s="180">
        <f>IFERROR(__xludf.DUMMYFUNCTION("""COMPUTED_VALUE"""),0.2)</f>
        <v>0.2</v>
      </c>
      <c r="FA370" s="180"/>
      <c r="FB370" s="180">
        <f>IFERROR(__xludf.DUMMYFUNCTION("""COMPUTED_VALUE"""),0.2)</f>
        <v>0.2</v>
      </c>
      <c r="FC370" s="180"/>
      <c r="FD370" s="180"/>
      <c r="FE370" s="180"/>
      <c r="FF370" s="180"/>
      <c r="FG370" s="180"/>
      <c r="FH370" s="180">
        <f>IFERROR(__xludf.DUMMYFUNCTION("""COMPUTED_VALUE"""),0.10185185185185185)</f>
        <v>0.1018518519</v>
      </c>
      <c r="FI370" s="180"/>
      <c r="FJ370" s="180">
        <f>IFERROR(__xludf.DUMMYFUNCTION("""COMPUTED_VALUE"""),0.046296296296296294)</f>
        <v>0.0462962963</v>
      </c>
      <c r="FK370" s="180"/>
      <c r="FL370" s="180"/>
      <c r="FM370" s="180"/>
      <c r="FN370" s="16"/>
      <c r="FO370" s="16"/>
      <c r="FP370" s="16">
        <f>IFERROR(__xludf.DUMMYFUNCTION("""COMPUTED_VALUE"""),0.7185185185185186)</f>
        <v>0.7185185185</v>
      </c>
      <c r="FQ370" s="16"/>
      <c r="FR370" s="16">
        <f>IFERROR(__xludf.DUMMYFUNCTION("""COMPUTED_VALUE"""),0.7629629629629631)</f>
        <v>0.762962963</v>
      </c>
      <c r="FS370" s="16"/>
      <c r="FT370" s="16"/>
      <c r="FU370" s="16"/>
      <c r="FV370" s="16"/>
      <c r="FW370" s="16"/>
      <c r="FX370" s="16">
        <f>IFERROR(__xludf.DUMMYFUNCTION("""COMPUTED_VALUE"""),-4.0)</f>
        <v>-4</v>
      </c>
      <c r="FY370" s="16"/>
      <c r="FZ370" s="16">
        <f>IFERROR(__xludf.DUMMYFUNCTION("""COMPUTED_VALUE"""),-1.0)</f>
        <v>-1</v>
      </c>
      <c r="GA370" s="16"/>
      <c r="GB370" s="16"/>
      <c r="GC370" s="16"/>
      <c r="GD370" s="16" t="s">
        <v>333</v>
      </c>
    </row>
    <row r="371">
      <c r="A371" s="16">
        <f>IFERROR(__xludf.DUMMYFUNCTION("""COMPUTED_VALUE"""),13018.0)</f>
        <v>13018</v>
      </c>
      <c r="B371" s="16" t="str">
        <f>IFERROR(__xludf.DUMMYFUNCTION("""COMPUTED_VALUE"""),"Jose Herrera")</f>
        <v>Jose Herrera</v>
      </c>
      <c r="C371" s="16">
        <f>IFERROR(__xludf.DUMMYFUNCTION("""COMPUTED_VALUE"""),0.0)</f>
        <v>0</v>
      </c>
      <c r="D371" s="16" t="str">
        <f>IFERROR(__xludf.DUMMYFUNCTION("""COMPUTED_VALUE"""),"S")</f>
        <v>S</v>
      </c>
      <c r="E371" s="16"/>
      <c r="F371" s="16"/>
      <c r="G371" s="16">
        <f>IFERROR(__xludf.DUMMYFUNCTION("""COMPUTED_VALUE"""),97.0)</f>
        <v>97</v>
      </c>
      <c r="H371" s="16">
        <f>IFERROR(__xludf.DUMMYFUNCTION("""COMPUTED_VALUE"""),9.0)</f>
        <v>9</v>
      </c>
      <c r="I371" s="16" t="str">
        <f>IFERROR(__xludf.DUMMYFUNCTION("""COMPUTED_VALUE"""),"2p20")</f>
        <v>2p20</v>
      </c>
      <c r="J371" s="16">
        <f>IFERROR(__xludf.DUMMYFUNCTION("""COMPUTED_VALUE"""),38.0)</f>
        <v>38</v>
      </c>
      <c r="K371" s="16">
        <f>IFERROR(__xludf.DUMMYFUNCTION("""COMPUTED_VALUE"""),27.0)</f>
        <v>27</v>
      </c>
      <c r="L371" s="16">
        <f>IFERROR(__xludf.DUMMYFUNCTION("""COMPUTED_VALUE"""),-1.0)</f>
        <v>-1</v>
      </c>
      <c r="M371" s="16">
        <f>IFERROR(__xludf.DUMMYFUNCTION("""COMPUTED_VALUE"""),0.0)</f>
        <v>0</v>
      </c>
      <c r="N371" s="16">
        <f>IFERROR(__xludf.DUMMYFUNCTION("""COMPUTED_VALUE"""),-1.0)</f>
        <v>-1</v>
      </c>
      <c r="O371" s="16">
        <f>IFERROR(__xludf.DUMMYFUNCTION("""COMPUTED_VALUE"""),0.0)</f>
        <v>0</v>
      </c>
      <c r="P371" s="16">
        <f>IFERROR(__xludf.DUMMYFUNCTION("""COMPUTED_VALUE"""),3.0)</f>
        <v>3</v>
      </c>
      <c r="Q371" s="16">
        <f>IFERROR(__xludf.DUMMYFUNCTION("""COMPUTED_VALUE"""),11.0)</f>
        <v>11</v>
      </c>
      <c r="R371" s="16">
        <f>IFERROR(__xludf.DUMMYFUNCTION("""COMPUTED_VALUE"""),-2.0)</f>
        <v>-2</v>
      </c>
      <c r="S371" s="16">
        <f>IFERROR(__xludf.DUMMYFUNCTION("""COMPUTED_VALUE"""),1.0)</f>
        <v>1</v>
      </c>
      <c r="T371" s="16">
        <f>IFERROR(__xludf.DUMMYFUNCTION("""COMPUTED_VALUE"""),-2.0)</f>
        <v>-2</v>
      </c>
      <c r="U371" s="16">
        <f>IFERROR(__xludf.DUMMYFUNCTION("""COMPUTED_VALUE"""),1.0)</f>
        <v>1</v>
      </c>
      <c r="V371" s="16">
        <f>IFERROR(__xludf.DUMMYFUNCTION("""COMPUTED_VALUE"""),13.8)</f>
        <v>13.8</v>
      </c>
      <c r="W371" s="16">
        <f>IFERROR(__xludf.DUMMYFUNCTION("""COMPUTED_VALUE"""),17.0)</f>
        <v>17</v>
      </c>
      <c r="X371" s="16">
        <f>IFERROR(__xludf.DUMMYFUNCTION("""COMPUTED_VALUE"""),-1.0)</f>
        <v>-1</v>
      </c>
      <c r="Y371" s="16">
        <f>IFERROR(__xludf.DUMMYFUNCTION("""COMPUTED_VALUE"""),-1.0)</f>
        <v>-1</v>
      </c>
      <c r="Z371" s="16">
        <f>IFERROR(__xludf.DUMMYFUNCTION("""COMPUTED_VALUE"""),-2.0)</f>
        <v>-2</v>
      </c>
      <c r="AA371" s="16">
        <f>IFERROR(__xludf.DUMMYFUNCTION("""COMPUTED_VALUE"""),-2.0)</f>
        <v>-2</v>
      </c>
      <c r="AB371" s="16">
        <f>IFERROR(__xludf.DUMMYFUNCTION("""COMPUTED_VALUE"""),16.8)</f>
        <v>16.8</v>
      </c>
      <c r="AC371" s="16">
        <f>IFERROR(__xludf.DUMMYFUNCTION("""COMPUTED_VALUE"""),28.0)</f>
        <v>28</v>
      </c>
      <c r="AD371" s="16">
        <f>IFERROR(__xludf.DUMMYFUNCTION("""COMPUTED_VALUE"""),-2.0)</f>
        <v>-2</v>
      </c>
      <c r="AE371" s="16">
        <f>IFERROR(__xludf.DUMMYFUNCTION("""COMPUTED_VALUE"""),-1.0)</f>
        <v>-1</v>
      </c>
      <c r="AF371" s="16">
        <f>IFERROR(__xludf.DUMMYFUNCTION("""COMPUTED_VALUE"""),-10.0)</f>
        <v>-10</v>
      </c>
      <c r="AG371" s="16">
        <f>IFERROR(__xludf.DUMMYFUNCTION("""COMPUTED_VALUE"""),-5.0)</f>
        <v>-5</v>
      </c>
      <c r="AH371" s="16">
        <f>IFERROR(__xludf.DUMMYFUNCTION("""COMPUTED_VALUE"""),20.8)</f>
        <v>20.8</v>
      </c>
      <c r="AI371" s="16">
        <f>IFERROR(__xludf.DUMMYFUNCTION("""COMPUTED_VALUE"""),32.0)</f>
        <v>32</v>
      </c>
      <c r="AJ371" s="16">
        <f>IFERROR(__xludf.DUMMYFUNCTION("""COMPUTED_VALUE"""),-1.0)</f>
        <v>-1</v>
      </c>
      <c r="AK371" s="16">
        <f>IFERROR(__xludf.DUMMYFUNCTION("""COMPUTED_VALUE"""),0.0)</f>
        <v>0</v>
      </c>
      <c r="AL371" s="16">
        <f>IFERROR(__xludf.DUMMYFUNCTION("""COMPUTED_VALUE"""),-5.0)</f>
        <v>-5</v>
      </c>
      <c r="AM371" s="16">
        <f>IFERROR(__xludf.DUMMYFUNCTION("""COMPUTED_VALUE"""),0.0)</f>
        <v>0</v>
      </c>
      <c r="AN371" s="16">
        <f>IFERROR(__xludf.DUMMYFUNCTION("""COMPUTED_VALUE"""),0.0)</f>
        <v>0</v>
      </c>
      <c r="AO371" s="16">
        <f>IFERROR(__xludf.DUMMYFUNCTION("""COMPUTED_VALUE"""),3.1)</f>
        <v>3.1</v>
      </c>
      <c r="AP371" s="16">
        <f>IFERROR(__xludf.DUMMYFUNCTION("""COMPUTED_VALUE"""),-2.0)</f>
        <v>-2</v>
      </c>
      <c r="AQ371" s="16">
        <f>IFERROR(__xludf.DUMMYFUNCTION("""COMPUTED_VALUE"""),1.0)</f>
        <v>1</v>
      </c>
      <c r="AR371" s="16">
        <f>IFERROR(__xludf.DUMMYFUNCTION("""COMPUTED_VALUE"""),-4.0)</f>
        <v>-4</v>
      </c>
      <c r="AS371" s="16">
        <f>IFERROR(__xludf.DUMMYFUNCTION("""COMPUTED_VALUE"""),2.0)</f>
        <v>2</v>
      </c>
      <c r="AT371" s="16"/>
      <c r="AU371" s="16"/>
      <c r="AV371" s="16">
        <f>IFERROR(__xludf.DUMMYFUNCTION("""COMPUTED_VALUE"""),-3.0)</f>
        <v>-3</v>
      </c>
      <c r="AW371" s="16">
        <f>IFERROR(__xludf.DUMMYFUNCTION("""COMPUTED_VALUE"""),-3.0)</f>
        <v>-3</v>
      </c>
      <c r="AX371" s="16">
        <f>IFERROR(__xludf.DUMMYFUNCTION("""COMPUTED_VALUE"""),-3.0)</f>
        <v>-3</v>
      </c>
      <c r="AY371" s="16">
        <f>IFERROR(__xludf.DUMMYFUNCTION("""COMPUTED_VALUE"""),-3.0)</f>
        <v>-3</v>
      </c>
      <c r="AZ371" s="16">
        <f>IFERROR(__xludf.DUMMYFUNCTION("""COMPUTED_VALUE"""),-9.0)</f>
        <v>-9</v>
      </c>
      <c r="BA371" s="16">
        <f>IFERROR(__xludf.DUMMYFUNCTION("""COMPUTED_VALUE"""),-9.0)</f>
        <v>-9</v>
      </c>
      <c r="BB371" s="16">
        <f>IFERROR(__xludf.DUMMYFUNCTION("""COMPUTED_VALUE"""),5.0)</f>
        <v>5</v>
      </c>
      <c r="BC371" s="16">
        <f>IFERROR(__xludf.DUMMYFUNCTION("""COMPUTED_VALUE"""),5.0)</f>
        <v>5</v>
      </c>
      <c r="BD371" s="16">
        <f>IFERROR(__xludf.DUMMYFUNCTION("""COMPUTED_VALUE"""),1.0)</f>
        <v>1</v>
      </c>
      <c r="BE371" s="16">
        <f>IFERROR(__xludf.DUMMYFUNCTION("""COMPUTED_VALUE"""),1.0)</f>
        <v>1</v>
      </c>
      <c r="BF371" s="16">
        <f>IFERROR(__xludf.DUMMYFUNCTION("""COMPUTED_VALUE"""),1.0)</f>
        <v>1</v>
      </c>
      <c r="BG371" s="16">
        <f>IFERROR(__xludf.DUMMYFUNCTION("""COMPUTED_VALUE"""),1.0)</f>
        <v>1</v>
      </c>
      <c r="BH371" s="16">
        <f>IFERROR(__xludf.DUMMYFUNCTION("""COMPUTED_VALUE"""),4.0)</f>
        <v>4</v>
      </c>
      <c r="BI371" s="16">
        <f>IFERROR(__xludf.DUMMYFUNCTION("""COMPUTED_VALUE"""),4.0)</f>
        <v>4</v>
      </c>
      <c r="BJ371" s="16">
        <f>IFERROR(__xludf.DUMMYFUNCTION("""COMPUTED_VALUE"""),6.0)</f>
        <v>6</v>
      </c>
      <c r="BK371" s="16">
        <f>IFERROR(__xludf.DUMMYFUNCTION("""COMPUTED_VALUE"""),5.0)</f>
        <v>5</v>
      </c>
      <c r="BL371" s="16">
        <f>IFERROR(__xludf.DUMMYFUNCTION("""COMPUTED_VALUE"""),1.0)</f>
        <v>1</v>
      </c>
      <c r="BM371" s="16">
        <f>IFERROR(__xludf.DUMMYFUNCTION("""COMPUTED_VALUE"""),1.0)</f>
        <v>1</v>
      </c>
      <c r="BN371" s="16">
        <f>IFERROR(__xludf.DUMMYFUNCTION("""COMPUTED_VALUE"""),1.0)</f>
        <v>1</v>
      </c>
      <c r="BO371" s="16">
        <f>IFERROR(__xludf.DUMMYFUNCTION("""COMPUTED_VALUE"""),1.0)</f>
        <v>1</v>
      </c>
      <c r="BP371" s="16">
        <f>IFERROR(__xludf.DUMMYFUNCTION("""COMPUTED_VALUE"""),-10.0)</f>
        <v>-10</v>
      </c>
      <c r="BQ371" s="16">
        <f>IFERROR(__xludf.DUMMYFUNCTION("""COMPUTED_VALUE"""),-1.0)</f>
        <v>-1</v>
      </c>
      <c r="BR371" s="16">
        <f>IFERROR(__xludf.DUMMYFUNCTION("""COMPUTED_VALUE"""),-11.0)</f>
        <v>-11</v>
      </c>
      <c r="BS371" s="16" t="str">
        <f>IFERROR(__xludf.DUMMYFUNCTION("""COMPUTED_VALUE"""),"-/- (---)")</f>
        <v>-/- (---)</v>
      </c>
      <c r="BT371" s="16" t="str">
        <f>IFERROR(__xludf.DUMMYFUNCTION("""COMPUTED_VALUE"""),"E")</f>
        <v>E</v>
      </c>
      <c r="BU371" s="16">
        <f>IFERROR(__xludf.DUMMYFUNCTION("""COMPUTED_VALUE"""),9.0)</f>
        <v>9</v>
      </c>
      <c r="BV371" s="16">
        <f>IFERROR(__xludf.DUMMYFUNCTION("""COMPUTED_VALUE"""),0.0)</f>
        <v>0</v>
      </c>
      <c r="BW371" s="16">
        <f>IFERROR(__xludf.DUMMYFUNCTION("""COMPUTED_VALUE"""),-1.0)</f>
        <v>-1</v>
      </c>
      <c r="BX371" s="16">
        <f>IFERROR(__xludf.DUMMYFUNCTION("""COMPUTED_VALUE"""),0.0)</f>
        <v>0</v>
      </c>
      <c r="BY371" s="16">
        <f>IFERROR(__xludf.DUMMYFUNCTION("""COMPUTED_VALUE"""),-3.0)</f>
        <v>-3</v>
      </c>
      <c r="BZ371" s="16" t="str">
        <f>IFERROR(__xludf.DUMMYFUNCTION("""COMPUTED_VALUE"""),"A")</f>
        <v>A</v>
      </c>
      <c r="CA371" s="16" t="str">
        <f>IFERROR(__xludf.DUMMYFUNCTION("""COMPUTED_VALUE"""),"D")</f>
        <v>D</v>
      </c>
      <c r="CB371" s="16">
        <f>IFERROR(__xludf.DUMMYFUNCTION("""COMPUTED_VALUE"""),2.0)</f>
        <v>2</v>
      </c>
      <c r="CC371" s="16">
        <f>IFERROR(__xludf.DUMMYFUNCTION("""COMPUTED_VALUE"""),0.0)</f>
        <v>0</v>
      </c>
      <c r="CD371" s="16">
        <f>IFERROR(__xludf.DUMMYFUNCTION("""COMPUTED_VALUE"""),2.0)</f>
        <v>2</v>
      </c>
      <c r="CE371" s="16">
        <f>IFERROR(__xludf.DUMMYFUNCTION("""COMPUTED_VALUE"""),0.0)</f>
        <v>0</v>
      </c>
      <c r="CF371" s="16">
        <f>IFERROR(__xludf.DUMMYFUNCTION("""COMPUTED_VALUE"""),2.0)</f>
        <v>2</v>
      </c>
      <c r="CG371" s="16">
        <f>IFERROR(__xludf.DUMMYFUNCTION("""COMPUTED_VALUE"""),-31.0)</f>
        <v>-31</v>
      </c>
      <c r="CH371" s="16">
        <f>IFERROR(__xludf.DUMMYFUNCTION("""COMPUTED_VALUE"""),-11.0)</f>
        <v>-11</v>
      </c>
      <c r="CI371" s="179">
        <f>IFERROR(__xludf.DUMMYFUNCTION("""COMPUTED_VALUE"""),-18.0)</f>
        <v>-18</v>
      </c>
      <c r="CJ371" s="16">
        <f>IFERROR(__xludf.DUMMYFUNCTION("""COMPUTED_VALUE"""),404.0)</f>
        <v>404</v>
      </c>
      <c r="CK371" s="16"/>
      <c r="CL371" s="16"/>
      <c r="CM371" s="16">
        <f>IFERROR(__xludf.DUMMYFUNCTION("""COMPUTED_VALUE"""),565.0)</f>
        <v>565</v>
      </c>
      <c r="CN371" s="16"/>
      <c r="CO371" s="16"/>
      <c r="CP371" s="16"/>
      <c r="CQ371" s="16"/>
      <c r="CR371" s="16" t="str">
        <f>IFERROR(__xludf.DUMMYFUNCTION("""COMPUTED_VALUE"""),"c-4(+1)e4,T-1(pb-3) 3b-5e65")</f>
        <v>c-4(+1)e4,T-1(pb-3) 3b-5e65</v>
      </c>
      <c r="CS371" s="16">
        <f>IFERROR(__xludf.DUMMYFUNCTION("""COMPUTED_VALUE"""),4.0)</f>
        <v>4</v>
      </c>
      <c r="CT371" s="16"/>
      <c r="CU371" s="16"/>
      <c r="CV371" s="16">
        <f>IFERROR(__xludf.DUMMYFUNCTION("""COMPUTED_VALUE"""),5.0)</f>
        <v>5</v>
      </c>
      <c r="CW371" s="16"/>
      <c r="CX371" s="16"/>
      <c r="CY371" s="16"/>
      <c r="CZ371" s="16"/>
      <c r="DA371" s="16">
        <f>IFERROR(__xludf.DUMMYFUNCTION("""COMPUTED_VALUE"""),4.0)</f>
        <v>4</v>
      </c>
      <c r="DB371" s="16"/>
      <c r="DC371" s="16"/>
      <c r="DD371" s="16">
        <f>IFERROR(__xludf.DUMMYFUNCTION("""COMPUTED_VALUE"""),65.0)</f>
        <v>65</v>
      </c>
      <c r="DE371" s="16"/>
      <c r="DF371" s="16"/>
      <c r="DG371" s="16"/>
      <c r="DH371" s="16"/>
      <c r="DI371" s="16">
        <f>IFERROR(__xludf.DUMMYFUNCTION("""COMPUTED_VALUE"""),-2.0)</f>
        <v>-2</v>
      </c>
      <c r="DJ371" s="16"/>
      <c r="DK371" s="16"/>
      <c r="DL371" s="16">
        <f>IFERROR(__xludf.DUMMYFUNCTION("""COMPUTED_VALUE"""),-2.0)</f>
        <v>-2</v>
      </c>
      <c r="DM371" s="16"/>
      <c r="DN371" s="16"/>
      <c r="DO371" s="16"/>
      <c r="DP371" s="16"/>
      <c r="DQ371" s="16">
        <f>IFERROR(__xludf.DUMMYFUNCTION("""COMPUTED_VALUE"""),3.0)</f>
        <v>3</v>
      </c>
      <c r="DR371" s="16"/>
      <c r="DS371" s="16"/>
      <c r="DT371" s="16">
        <f>IFERROR(__xludf.DUMMYFUNCTION("""COMPUTED_VALUE"""),-2.0)</f>
        <v>-2</v>
      </c>
      <c r="DU371" s="16"/>
      <c r="DV371" s="16"/>
      <c r="DW371" s="16"/>
      <c r="DX371" s="16"/>
      <c r="DY371" s="16">
        <f>IFERROR(__xludf.DUMMYFUNCTION("""COMPUTED_VALUE"""),1.0)</f>
        <v>1</v>
      </c>
      <c r="DZ371" s="16"/>
      <c r="EA371" s="16"/>
      <c r="EB371" s="16">
        <f>IFERROR(__xludf.DUMMYFUNCTION("""COMPUTED_VALUE"""),-4.0)</f>
        <v>-4</v>
      </c>
      <c r="EC371" s="16"/>
      <c r="ED371" s="16"/>
      <c r="EE371" s="16"/>
      <c r="EF371" s="16"/>
      <c r="EG371" s="179">
        <f>IFERROR(__xludf.DUMMYFUNCTION("""COMPUTED_VALUE"""),-16.0)</f>
        <v>-16</v>
      </c>
      <c r="EH371" s="179"/>
      <c r="EI371" s="179"/>
      <c r="EJ371" s="179">
        <f>IFERROR(__xludf.DUMMYFUNCTION("""COMPUTED_VALUE"""),-22.0)</f>
        <v>-22</v>
      </c>
      <c r="EK371" s="179"/>
      <c r="EL371" s="179"/>
      <c r="EM371" s="179"/>
      <c r="EN371" s="179"/>
      <c r="EO371" s="16">
        <f>IFERROR(__xludf.DUMMYFUNCTION("""COMPUTED_VALUE"""),1.0)</f>
        <v>1</v>
      </c>
      <c r="EP371" s="16"/>
      <c r="EQ371" s="16">
        <f>IFERROR(__xludf.DUMMYFUNCTION("""COMPUTED_VALUE"""),2.0)</f>
        <v>2</v>
      </c>
      <c r="ER371" s="16">
        <f>IFERROR(__xludf.DUMMYFUNCTION("""COMPUTED_VALUE"""),-4.0)</f>
        <v>-4</v>
      </c>
      <c r="ES371" s="16" t="str">
        <f>IFERROR(__xludf.DUMMYFUNCTION("""COMPUTED_VALUE"""),"c-4")</f>
        <v>c-4</v>
      </c>
      <c r="ET371" s="16" t="str">
        <f>IFERROR(__xludf.DUMMYFUNCTION("""COMPUTED_VALUE"""),"+1)e4,T-1")</f>
        <v>+1)e4,T-1</v>
      </c>
      <c r="EU371" s="16" t="str">
        <f>IFERROR(__xludf.DUMMYFUNCTION("""COMPUTED_VALUE"""),"pb-3) 3b-5e65")</f>
        <v>pb-3) 3b-5e65</v>
      </c>
      <c r="EV371" s="16"/>
      <c r="EW371" s="16">
        <f>IFERROR(__xludf.DUMMYFUNCTION("""COMPUTED_VALUE"""),1.0)</f>
        <v>1</v>
      </c>
      <c r="EX371" s="180">
        <f>IFERROR(__xludf.DUMMYFUNCTION("""COMPUTED_VALUE"""),0.3)</f>
        <v>0.3</v>
      </c>
      <c r="EY371" s="180"/>
      <c r="EZ371" s="180"/>
      <c r="FA371" s="180">
        <f>IFERROR(__xludf.DUMMYFUNCTION("""COMPUTED_VALUE"""),0.4)</f>
        <v>0.4</v>
      </c>
      <c r="FB371" s="180"/>
      <c r="FC371" s="180"/>
      <c r="FD371" s="180"/>
      <c r="FE371" s="180"/>
      <c r="FF371" s="180">
        <f>IFERROR(__xludf.DUMMYFUNCTION("""COMPUTED_VALUE"""),0.047)</f>
        <v>0.047</v>
      </c>
      <c r="FG371" s="180"/>
      <c r="FH371" s="180"/>
      <c r="FI371" s="180">
        <f>IFERROR(__xludf.DUMMYFUNCTION("""COMPUTED_VALUE"""),0.7407407407407407)</f>
        <v>0.7407407407</v>
      </c>
      <c r="FJ371" s="180"/>
      <c r="FK371" s="180"/>
      <c r="FL371" s="180"/>
      <c r="FM371" s="180"/>
      <c r="FN371" s="16">
        <f>IFERROR(__xludf.DUMMYFUNCTION("""COMPUTED_VALUE"""),0.6670999999999999)</f>
        <v>0.6671</v>
      </c>
      <c r="FO371" s="16"/>
      <c r="FP371" s="16"/>
      <c r="FQ371" s="16">
        <f>IFERROR(__xludf.DUMMYFUNCTION("""COMPUTED_VALUE"""),0.15555555555555559)</f>
        <v>0.1555555556</v>
      </c>
      <c r="FR371" s="16"/>
      <c r="FS371" s="16"/>
      <c r="FT371" s="16"/>
      <c r="FU371" s="16"/>
      <c r="FV371" s="16">
        <f>IFERROR(__xludf.DUMMYFUNCTION("""COMPUTED_VALUE"""),-5.0)</f>
        <v>-5</v>
      </c>
      <c r="FW371" s="16"/>
      <c r="FX371" s="16"/>
      <c r="FY371" s="16">
        <f>IFERROR(__xludf.DUMMYFUNCTION("""COMPUTED_VALUE"""),-8.0)</f>
        <v>-8</v>
      </c>
      <c r="FZ371" s="16"/>
      <c r="GA371" s="16"/>
      <c r="GB371" s="16"/>
      <c r="GC371" s="16"/>
      <c r="GD371" s="16" t="s">
        <v>333</v>
      </c>
    </row>
    <row r="372">
      <c r="A372" s="16">
        <f>IFERROR(__xludf.DUMMYFUNCTION("""COMPUTED_VALUE"""),12790.0)</f>
        <v>12790</v>
      </c>
      <c r="B372" s="16" t="str">
        <f>IFERROR(__xludf.DUMMYFUNCTION("""COMPUTED_VALUE"""),"Eloy Jimenez")</f>
        <v>Eloy Jimenez</v>
      </c>
      <c r="C372" s="16">
        <f>IFERROR(__xludf.DUMMYFUNCTION("""COMPUTED_VALUE"""),0.0)</f>
        <v>0</v>
      </c>
      <c r="D372" s="16" t="str">
        <f>IFERROR(__xludf.DUMMYFUNCTION("""COMPUTED_VALUE"""),"R")</f>
        <v>R</v>
      </c>
      <c r="E372" s="16"/>
      <c r="F372" s="16"/>
      <c r="G372" s="16">
        <f>IFERROR(__xludf.DUMMYFUNCTION("""COMPUTED_VALUE"""),324.0)</f>
        <v>324</v>
      </c>
      <c r="H372" s="16">
        <f>IFERROR(__xludf.DUMMYFUNCTION("""COMPUTED_VALUE"""),22.0)</f>
        <v>22</v>
      </c>
      <c r="I372" s="16" t="str">
        <f>IFERROR(__xludf.DUMMYFUNCTION("""COMPUTED_VALUE"""),"3p50")</f>
        <v>3p50</v>
      </c>
      <c r="J372" s="16">
        <f>IFERROR(__xludf.DUMMYFUNCTION("""COMPUTED_VALUE"""),14.0)</f>
        <v>14</v>
      </c>
      <c r="K372" s="16">
        <f>IFERROR(__xludf.DUMMYFUNCTION("""COMPUTED_VALUE"""),20.0)</f>
        <v>20</v>
      </c>
      <c r="L372" s="16">
        <f>IFERROR(__xludf.DUMMYFUNCTION("""COMPUTED_VALUE"""),1.0)</f>
        <v>1</v>
      </c>
      <c r="M372" s="16">
        <f>IFERROR(__xludf.DUMMYFUNCTION("""COMPUTED_VALUE"""),0.0)</f>
        <v>0</v>
      </c>
      <c r="N372" s="16">
        <f>IFERROR(__xludf.DUMMYFUNCTION("""COMPUTED_VALUE"""),1.0)</f>
        <v>1</v>
      </c>
      <c r="O372" s="16">
        <f>IFERROR(__xludf.DUMMYFUNCTION("""COMPUTED_VALUE"""),0.0)</f>
        <v>0</v>
      </c>
      <c r="P372" s="16">
        <f>IFERROR(__xludf.DUMMYFUNCTION("""COMPUTED_VALUE"""),3.0)</f>
        <v>3</v>
      </c>
      <c r="Q372" s="16">
        <f>IFERROR(__xludf.DUMMYFUNCTION("""COMPUTED_VALUE"""),6.0)</f>
        <v>6</v>
      </c>
      <c r="R372" s="16">
        <f>IFERROR(__xludf.DUMMYFUNCTION("""COMPUTED_VALUE"""),-2.0)</f>
        <v>-2</v>
      </c>
      <c r="S372" s="16">
        <f>IFERROR(__xludf.DUMMYFUNCTION("""COMPUTED_VALUE"""),-1.0)</f>
        <v>-1</v>
      </c>
      <c r="T372" s="16">
        <f>IFERROR(__xludf.DUMMYFUNCTION("""COMPUTED_VALUE"""),-2.0)</f>
        <v>-2</v>
      </c>
      <c r="U372" s="16">
        <f>IFERROR(__xludf.DUMMYFUNCTION("""COMPUTED_VALUE"""),-1.0)</f>
        <v>-1</v>
      </c>
      <c r="V372" s="16">
        <f>IFERROR(__xludf.DUMMYFUNCTION("""COMPUTED_VALUE"""),21.1)</f>
        <v>21.1</v>
      </c>
      <c r="W372" s="16">
        <f>IFERROR(__xludf.DUMMYFUNCTION("""COMPUTED_VALUE"""),21.0)</f>
        <v>21</v>
      </c>
      <c r="X372" s="16">
        <f>IFERROR(__xludf.DUMMYFUNCTION("""COMPUTED_VALUE"""),0.0)</f>
        <v>0</v>
      </c>
      <c r="Y372" s="16">
        <f>IFERROR(__xludf.DUMMYFUNCTION("""COMPUTED_VALUE"""),0.0)</f>
        <v>0</v>
      </c>
      <c r="Z372" s="16">
        <f>IFERROR(__xludf.DUMMYFUNCTION("""COMPUTED_VALUE"""),0.0)</f>
        <v>0</v>
      </c>
      <c r="AA372" s="16">
        <f>IFERROR(__xludf.DUMMYFUNCTION("""COMPUTED_VALUE"""),0.0)</f>
        <v>0</v>
      </c>
      <c r="AB372" s="16">
        <f>IFERROR(__xludf.DUMMYFUNCTION("""COMPUTED_VALUE"""),25.1)</f>
        <v>25.1</v>
      </c>
      <c r="AC372" s="16">
        <f>IFERROR(__xludf.DUMMYFUNCTION("""COMPUTED_VALUE"""),28.0)</f>
        <v>28</v>
      </c>
      <c r="AD372" s="16">
        <f>IFERROR(__xludf.DUMMYFUNCTION("""COMPUTED_VALUE"""),-1.0)</f>
        <v>-1</v>
      </c>
      <c r="AE372" s="16">
        <f>IFERROR(__xludf.DUMMYFUNCTION("""COMPUTED_VALUE"""),-1.0)</f>
        <v>-1</v>
      </c>
      <c r="AF372" s="16">
        <f>IFERROR(__xludf.DUMMYFUNCTION("""COMPUTED_VALUE"""),-5.0)</f>
        <v>-5</v>
      </c>
      <c r="AG372" s="16">
        <f>IFERROR(__xludf.DUMMYFUNCTION("""COMPUTED_VALUE"""),-5.0)</f>
        <v>-5</v>
      </c>
      <c r="AH372" s="16">
        <f>IFERROR(__xludf.DUMMYFUNCTION("""COMPUTED_VALUE"""),27.1)</f>
        <v>27.1</v>
      </c>
      <c r="AI372" s="16">
        <f>IFERROR(__xludf.DUMMYFUNCTION("""COMPUTED_VALUE"""),27.9)</f>
        <v>27.9</v>
      </c>
      <c r="AJ372" s="16">
        <f>IFERROR(__xludf.DUMMYFUNCTION("""COMPUTED_VALUE"""),0.0)</f>
        <v>0</v>
      </c>
      <c r="AK372" s="16">
        <f>IFERROR(__xludf.DUMMYFUNCTION("""COMPUTED_VALUE"""),-1.0)</f>
        <v>-1</v>
      </c>
      <c r="AL372" s="16">
        <f>IFERROR(__xludf.DUMMYFUNCTION("""COMPUTED_VALUE"""),0.0)</f>
        <v>0</v>
      </c>
      <c r="AM372" s="16">
        <f>IFERROR(__xludf.DUMMYFUNCTION("""COMPUTED_VALUE"""),-5.0)</f>
        <v>-5</v>
      </c>
      <c r="AN372" s="16">
        <f>IFERROR(__xludf.DUMMYFUNCTION("""COMPUTED_VALUE"""),0.0)</f>
        <v>0</v>
      </c>
      <c r="AO372" s="16">
        <f>IFERROR(__xludf.DUMMYFUNCTION("""COMPUTED_VALUE"""),1.5)</f>
        <v>1.5</v>
      </c>
      <c r="AP372" s="16">
        <f>IFERROR(__xludf.DUMMYFUNCTION("""COMPUTED_VALUE"""),-2.0)</f>
        <v>-2</v>
      </c>
      <c r="AQ372" s="16">
        <f>IFERROR(__xludf.DUMMYFUNCTION("""COMPUTED_VALUE"""),-1.0)</f>
        <v>-1</v>
      </c>
      <c r="AR372" s="16">
        <f>IFERROR(__xludf.DUMMYFUNCTION("""COMPUTED_VALUE"""),-4.0)</f>
        <v>-4</v>
      </c>
      <c r="AS372" s="16">
        <f>IFERROR(__xludf.DUMMYFUNCTION("""COMPUTED_VALUE"""),-2.0)</f>
        <v>-2</v>
      </c>
      <c r="AT372" s="16"/>
      <c r="AU372" s="16">
        <f>IFERROR(__xludf.DUMMYFUNCTION("""COMPUTED_VALUE"""),2.0)</f>
        <v>2</v>
      </c>
      <c r="AV372" s="16">
        <f>IFERROR(__xludf.DUMMYFUNCTION("""COMPUTED_VALUE"""),-3.0)</f>
        <v>-3</v>
      </c>
      <c r="AW372" s="16">
        <f>IFERROR(__xludf.DUMMYFUNCTION("""COMPUTED_VALUE"""),2.0)</f>
        <v>2</v>
      </c>
      <c r="AX372" s="16">
        <f>IFERROR(__xludf.DUMMYFUNCTION("""COMPUTED_VALUE"""),-3.0)</f>
        <v>-3</v>
      </c>
      <c r="AY372" s="16">
        <f>IFERROR(__xludf.DUMMYFUNCTION("""COMPUTED_VALUE"""),0.0)</f>
        <v>0</v>
      </c>
      <c r="AZ372" s="16">
        <f>IFERROR(__xludf.DUMMYFUNCTION("""COMPUTED_VALUE"""),-9.0)</f>
        <v>-9</v>
      </c>
      <c r="BA372" s="16">
        <f>IFERROR(__xludf.DUMMYFUNCTION("""COMPUTED_VALUE"""),0.0)</f>
        <v>0</v>
      </c>
      <c r="BB372" s="16">
        <f>IFERROR(__xludf.DUMMYFUNCTION("""COMPUTED_VALUE"""),5.0)</f>
        <v>5</v>
      </c>
      <c r="BC372" s="16">
        <f>IFERROR(__xludf.DUMMYFUNCTION("""COMPUTED_VALUE"""),5.0)</f>
        <v>5</v>
      </c>
      <c r="BD372" s="16">
        <f>IFERROR(__xludf.DUMMYFUNCTION("""COMPUTED_VALUE"""),1.0)</f>
        <v>1</v>
      </c>
      <c r="BE372" s="16">
        <f>IFERROR(__xludf.DUMMYFUNCTION("""COMPUTED_VALUE"""),1.0)</f>
        <v>1</v>
      </c>
      <c r="BF372" s="16">
        <f>IFERROR(__xludf.DUMMYFUNCTION("""COMPUTED_VALUE"""),1.0)</f>
        <v>1</v>
      </c>
      <c r="BG372" s="16">
        <f>IFERROR(__xludf.DUMMYFUNCTION("""COMPUTED_VALUE"""),1.0)</f>
        <v>1</v>
      </c>
      <c r="BH372" s="16">
        <f>IFERROR(__xludf.DUMMYFUNCTION("""COMPUTED_VALUE"""),-13.0)</f>
        <v>-13</v>
      </c>
      <c r="BI372" s="16">
        <f>IFERROR(__xludf.DUMMYFUNCTION("""COMPUTED_VALUE"""),-14.0)</f>
        <v>-14</v>
      </c>
      <c r="BJ372" s="16">
        <f>IFERROR(__xludf.DUMMYFUNCTION("""COMPUTED_VALUE"""),28.0)</f>
        <v>28</v>
      </c>
      <c r="BK372" s="16">
        <f>IFERROR(__xludf.DUMMYFUNCTION("""COMPUTED_VALUE"""),27.0)</f>
        <v>27</v>
      </c>
      <c r="BL372" s="16">
        <f>IFERROR(__xludf.DUMMYFUNCTION("""COMPUTED_VALUE"""),-3.0)</f>
        <v>-3</v>
      </c>
      <c r="BM372" s="16">
        <f>IFERROR(__xludf.DUMMYFUNCTION("""COMPUTED_VALUE"""),-2.0)</f>
        <v>-2</v>
      </c>
      <c r="BN372" s="16">
        <f>IFERROR(__xludf.DUMMYFUNCTION("""COMPUTED_VALUE"""),-6.0)</f>
        <v>-6</v>
      </c>
      <c r="BO372" s="16">
        <f>IFERROR(__xludf.DUMMYFUNCTION("""COMPUTED_VALUE"""),-4.0)</f>
        <v>-4</v>
      </c>
      <c r="BP372" s="16">
        <f>IFERROR(__xludf.DUMMYFUNCTION("""COMPUTED_VALUE"""),-9.0)</f>
        <v>-9</v>
      </c>
      <c r="BQ372" s="16">
        <f>IFERROR(__xludf.DUMMYFUNCTION("""COMPUTED_VALUE"""),-5.0)</f>
        <v>-5</v>
      </c>
      <c r="BR372" s="16">
        <f>IFERROR(__xludf.DUMMYFUNCTION("""COMPUTED_VALUE"""),-14.0)</f>
        <v>-14</v>
      </c>
      <c r="BS372" s="16" t="str">
        <f>IFERROR(__xludf.DUMMYFUNCTION("""COMPUTED_VALUE"""),"2/- (20-6)")</f>
        <v>2/- (20-6)</v>
      </c>
      <c r="BT372" s="16" t="str">
        <f>IFERROR(__xludf.DUMMYFUNCTION("""COMPUTED_VALUE"""),"D")</f>
        <v>D</v>
      </c>
      <c r="BU372" s="16">
        <f>IFERROR(__xludf.DUMMYFUNCTION("""COMPUTED_VALUE"""),9.0)</f>
        <v>9</v>
      </c>
      <c r="BV372" s="16">
        <f>IFERROR(__xludf.DUMMYFUNCTION("""COMPUTED_VALUE"""),0.0)</f>
        <v>0</v>
      </c>
      <c r="BW372" s="16">
        <f>IFERROR(__xludf.DUMMYFUNCTION("""COMPUTED_VALUE"""),-1.0)</f>
        <v>-1</v>
      </c>
      <c r="BX372" s="16">
        <f>IFERROR(__xludf.DUMMYFUNCTION("""COMPUTED_VALUE"""),0.0)</f>
        <v>0</v>
      </c>
      <c r="BY372" s="16">
        <f>IFERROR(__xludf.DUMMYFUNCTION("""COMPUTED_VALUE"""),-3.0)</f>
        <v>-3</v>
      </c>
      <c r="BZ372" s="16" t="str">
        <f>IFERROR(__xludf.DUMMYFUNCTION("""COMPUTED_VALUE"""),"D")</f>
        <v>D</v>
      </c>
      <c r="CA372" s="16" t="str">
        <f>IFERROR(__xludf.DUMMYFUNCTION("""COMPUTED_VALUE"""),"C")</f>
        <v>C</v>
      </c>
      <c r="CB372" s="16">
        <f>IFERROR(__xludf.DUMMYFUNCTION("""COMPUTED_VALUE"""),0.0)</f>
        <v>0</v>
      </c>
      <c r="CC372" s="16">
        <f>IFERROR(__xludf.DUMMYFUNCTION("""COMPUTED_VALUE"""),0.0)</f>
        <v>0</v>
      </c>
      <c r="CD372" s="16">
        <f>IFERROR(__xludf.DUMMYFUNCTION("""COMPUTED_VALUE"""),0.0)</f>
        <v>0</v>
      </c>
      <c r="CE372" s="16">
        <f>IFERROR(__xludf.DUMMYFUNCTION("""COMPUTED_VALUE"""),0.0)</f>
        <v>0</v>
      </c>
      <c r="CF372" s="16">
        <f>IFERROR(__xludf.DUMMYFUNCTION("""COMPUTED_VALUE"""),3.0)</f>
        <v>3</v>
      </c>
      <c r="CG372" s="16">
        <f>IFERROR(__xludf.DUMMYFUNCTION("""COMPUTED_VALUE"""),-24.0)</f>
        <v>-24</v>
      </c>
      <c r="CH372" s="16">
        <f>IFERROR(__xludf.DUMMYFUNCTION("""COMPUTED_VALUE"""),-16.0)</f>
        <v>-16</v>
      </c>
      <c r="CI372" s="179">
        <f>IFERROR(__xludf.DUMMYFUNCTION("""COMPUTED_VALUE"""),-18.0)</f>
        <v>-18</v>
      </c>
      <c r="CJ372" s="16"/>
      <c r="CK372" s="16"/>
      <c r="CL372" s="16"/>
      <c r="CM372" s="16"/>
      <c r="CN372" s="16"/>
      <c r="CO372" s="16"/>
      <c r="CP372" s="16"/>
      <c r="CQ372" s="16">
        <f>IFERROR(__xludf.DUMMYFUNCTION("""COMPUTED_VALUE"""),503.0)</f>
        <v>503</v>
      </c>
      <c r="CR372" s="16" t="str">
        <f>IFERROR(__xludf.DUMMYFUNCTION("""COMPUTED_VALUE"""),"rf-5(+2)e3")</f>
        <v>rf-5(+2)e3</v>
      </c>
      <c r="CS372" s="16"/>
      <c r="CT372" s="16"/>
      <c r="CU372" s="16"/>
      <c r="CV372" s="16"/>
      <c r="CW372" s="16"/>
      <c r="CX372" s="16"/>
      <c r="CY372" s="16"/>
      <c r="CZ372" s="16">
        <f>IFERROR(__xludf.DUMMYFUNCTION("""COMPUTED_VALUE"""),5.0)</f>
        <v>5</v>
      </c>
      <c r="DA372" s="16"/>
      <c r="DB372" s="16"/>
      <c r="DC372" s="16"/>
      <c r="DD372" s="16"/>
      <c r="DE372" s="16"/>
      <c r="DF372" s="16"/>
      <c r="DG372" s="16"/>
      <c r="DH372" s="16">
        <f>IFERROR(__xludf.DUMMYFUNCTION("""COMPUTED_VALUE"""),3.0)</f>
        <v>3</v>
      </c>
      <c r="DI372" s="16"/>
      <c r="DJ372" s="16"/>
      <c r="DK372" s="16"/>
      <c r="DL372" s="16"/>
      <c r="DM372" s="16"/>
      <c r="DN372" s="16"/>
      <c r="DO372" s="16"/>
      <c r="DP372" s="16">
        <f>IFERROR(__xludf.DUMMYFUNCTION("""COMPUTED_VALUE"""),-3.0)</f>
        <v>-3</v>
      </c>
      <c r="DQ372" s="16"/>
      <c r="DR372" s="16"/>
      <c r="DS372" s="16"/>
      <c r="DT372" s="16"/>
      <c r="DU372" s="16"/>
      <c r="DV372" s="16"/>
      <c r="DW372" s="16"/>
      <c r="DX372" s="16">
        <f>IFERROR(__xludf.DUMMYFUNCTION("""COMPUTED_VALUE"""),4.0)</f>
        <v>4</v>
      </c>
      <c r="DY372" s="16"/>
      <c r="DZ372" s="16"/>
      <c r="EA372" s="16"/>
      <c r="EB372" s="16"/>
      <c r="EC372" s="16"/>
      <c r="ED372" s="16"/>
      <c r="EE372" s="16"/>
      <c r="EF372" s="16">
        <f>IFERROR(__xludf.DUMMYFUNCTION("""COMPUTED_VALUE"""),1.0)</f>
        <v>1</v>
      </c>
      <c r="EG372" s="179"/>
      <c r="EH372" s="179"/>
      <c r="EI372" s="179"/>
      <c r="EJ372" s="179"/>
      <c r="EK372" s="179"/>
      <c r="EL372" s="179"/>
      <c r="EM372" s="179"/>
      <c r="EN372" s="179">
        <f>IFERROR(__xludf.DUMMYFUNCTION("""COMPUTED_VALUE"""),-17.0)</f>
        <v>-17</v>
      </c>
      <c r="EO372" s="16"/>
      <c r="EP372" s="16">
        <f>IFERROR(__xludf.DUMMYFUNCTION("""COMPUTED_VALUE"""),-2.0)</f>
        <v>-2</v>
      </c>
      <c r="EQ372" s="16">
        <f>IFERROR(__xludf.DUMMYFUNCTION("""COMPUTED_VALUE"""),1.0)</f>
        <v>1</v>
      </c>
      <c r="ER372" s="16">
        <f>IFERROR(__xludf.DUMMYFUNCTION("""COMPUTED_VALUE"""),0.0)</f>
        <v>0</v>
      </c>
      <c r="ES372" s="16"/>
      <c r="ET372" s="16"/>
      <c r="EU372" s="16"/>
      <c r="EV372" s="16"/>
      <c r="EW372" s="16"/>
      <c r="EX372" s="180"/>
      <c r="EY372" s="180"/>
      <c r="EZ372" s="180"/>
      <c r="FA372" s="180"/>
      <c r="FB372" s="180"/>
      <c r="FC372" s="180"/>
      <c r="FD372" s="180"/>
      <c r="FE372" s="180">
        <f>IFERROR(__xludf.DUMMYFUNCTION("""COMPUTED_VALUE"""),0.75)</f>
        <v>0.75</v>
      </c>
      <c r="FF372" s="180"/>
      <c r="FG372" s="180"/>
      <c r="FH372" s="180"/>
      <c r="FI372" s="180"/>
      <c r="FJ372" s="180"/>
      <c r="FK372" s="180"/>
      <c r="FL372" s="180"/>
      <c r="FM372" s="180">
        <f>IFERROR(__xludf.DUMMYFUNCTION("""COMPUTED_VALUE"""),0.056)</f>
        <v>0.056</v>
      </c>
      <c r="FN372" s="16"/>
      <c r="FO372" s="16"/>
      <c r="FP372" s="16"/>
      <c r="FQ372" s="16"/>
      <c r="FR372" s="16"/>
      <c r="FS372" s="16"/>
      <c r="FT372" s="16"/>
      <c r="FU372" s="16">
        <f>IFERROR(__xludf.DUMMYFUNCTION("""COMPUTED_VALUE"""),0.236)</f>
        <v>0.236</v>
      </c>
      <c r="FV372" s="16"/>
      <c r="FW372" s="16"/>
      <c r="FX372" s="16"/>
      <c r="FY372" s="16"/>
      <c r="FZ372" s="16"/>
      <c r="GA372" s="16"/>
      <c r="GB372" s="16"/>
      <c r="GC372" s="16">
        <f>IFERROR(__xludf.DUMMYFUNCTION("""COMPUTED_VALUE"""),-6.0)</f>
        <v>-6</v>
      </c>
      <c r="GD372" s="16" t="s">
        <v>176</v>
      </c>
    </row>
    <row r="373">
      <c r="A373" s="16">
        <f>IFERROR(__xludf.DUMMYFUNCTION("""COMPUTED_VALUE"""),13320.0)</f>
        <v>13320</v>
      </c>
      <c r="B373" s="16" t="str">
        <f>IFERROR(__xludf.DUMMYFUNCTION("""COMPUTED_VALUE"""),"Romy Gonzalez")</f>
        <v>Romy Gonzalez</v>
      </c>
      <c r="C373" s="16">
        <f>IFERROR(__xludf.DUMMYFUNCTION("""COMPUTED_VALUE"""),0.73)</f>
        <v>0.73</v>
      </c>
      <c r="D373" s="16" t="str">
        <f>IFERROR(__xludf.DUMMYFUNCTION("""COMPUTED_VALUE"""),"R")</f>
        <v>R</v>
      </c>
      <c r="E373" s="16"/>
      <c r="F373" s="16"/>
      <c r="G373" s="16">
        <f>IFERROR(__xludf.DUMMYFUNCTION("""COMPUTED_VALUE"""),199.0)</f>
        <v>199</v>
      </c>
      <c r="H373" s="16">
        <f>IFERROR(__xludf.DUMMYFUNCTION("""COMPUTED_VALUE"""),12.0)</f>
        <v>12</v>
      </c>
      <c r="I373" s="16" t="str">
        <f>IFERROR(__xludf.DUMMYFUNCTION("""COMPUTED_VALUE"""),"3p40")</f>
        <v>3p40</v>
      </c>
      <c r="J373" s="16">
        <f>IFERROR(__xludf.DUMMYFUNCTION("""COMPUTED_VALUE"""),35.0)</f>
        <v>35</v>
      </c>
      <c r="K373" s="16">
        <f>IFERROR(__xludf.DUMMYFUNCTION("""COMPUTED_VALUE"""),29.0)</f>
        <v>29</v>
      </c>
      <c r="L373" s="16">
        <f>IFERROR(__xludf.DUMMYFUNCTION("""COMPUTED_VALUE"""),-1.0)</f>
        <v>-1</v>
      </c>
      <c r="M373" s="16">
        <f>IFERROR(__xludf.DUMMYFUNCTION("""COMPUTED_VALUE"""),0.0)</f>
        <v>0</v>
      </c>
      <c r="N373" s="16">
        <f>IFERROR(__xludf.DUMMYFUNCTION("""COMPUTED_VALUE"""),-1.0)</f>
        <v>-1</v>
      </c>
      <c r="O373" s="16">
        <f>IFERROR(__xludf.DUMMYFUNCTION("""COMPUTED_VALUE"""),0.0)</f>
        <v>0</v>
      </c>
      <c r="P373" s="16">
        <f>IFERROR(__xludf.DUMMYFUNCTION("""COMPUTED_VALUE"""),10.0)</f>
        <v>10</v>
      </c>
      <c r="Q373" s="16">
        <f>IFERROR(__xludf.DUMMYFUNCTION("""COMPUTED_VALUE"""),0.0)</f>
        <v>0</v>
      </c>
      <c r="R373" s="16">
        <f>IFERROR(__xludf.DUMMYFUNCTION("""COMPUTED_VALUE"""),1.0)</f>
        <v>1</v>
      </c>
      <c r="S373" s="16">
        <f>IFERROR(__xludf.DUMMYFUNCTION("""COMPUTED_VALUE"""),-2.0)</f>
        <v>-2</v>
      </c>
      <c r="T373" s="16">
        <f>IFERROR(__xludf.DUMMYFUNCTION("""COMPUTED_VALUE"""),1.0)</f>
        <v>1</v>
      </c>
      <c r="U373" s="16">
        <f>IFERROR(__xludf.DUMMYFUNCTION("""COMPUTED_VALUE"""),-2.0)</f>
        <v>-2</v>
      </c>
      <c r="V373" s="16">
        <f>IFERROR(__xludf.DUMMYFUNCTION("""COMPUTED_VALUE"""),29.0)</f>
        <v>29</v>
      </c>
      <c r="W373" s="16">
        <f>IFERROR(__xludf.DUMMYFUNCTION("""COMPUTED_VALUE"""),18.4)</f>
        <v>18.4</v>
      </c>
      <c r="X373" s="16">
        <f>IFERROR(__xludf.DUMMYFUNCTION("""COMPUTED_VALUE"""),1.0)</f>
        <v>1</v>
      </c>
      <c r="Y373" s="16">
        <f>IFERROR(__xludf.DUMMYFUNCTION("""COMPUTED_VALUE"""),0.0)</f>
        <v>0</v>
      </c>
      <c r="Z373" s="16">
        <f>IFERROR(__xludf.DUMMYFUNCTION("""COMPUTED_VALUE"""),2.0)</f>
        <v>2</v>
      </c>
      <c r="AA373" s="16">
        <f>IFERROR(__xludf.DUMMYFUNCTION("""COMPUTED_VALUE"""),0.0)</f>
        <v>0</v>
      </c>
      <c r="AB373" s="16">
        <f>IFERROR(__xludf.DUMMYFUNCTION("""COMPUTED_VALUE"""),40.0)</f>
        <v>40</v>
      </c>
      <c r="AC373" s="16">
        <f>IFERROR(__xludf.DUMMYFUNCTION("""COMPUTED_VALUE"""),19.4)</f>
        <v>19.4</v>
      </c>
      <c r="AD373" s="16">
        <f>IFERROR(__xludf.DUMMYFUNCTION("""COMPUTED_VALUE"""),1.0)</f>
        <v>1</v>
      </c>
      <c r="AE373" s="16">
        <f>IFERROR(__xludf.DUMMYFUNCTION("""COMPUTED_VALUE"""),-2.0)</f>
        <v>-2</v>
      </c>
      <c r="AF373" s="16">
        <f>IFERROR(__xludf.DUMMYFUNCTION("""COMPUTED_VALUE"""),5.0)</f>
        <v>5</v>
      </c>
      <c r="AG373" s="16">
        <f>IFERROR(__xludf.DUMMYFUNCTION("""COMPUTED_VALUE"""),-10.0)</f>
        <v>-10</v>
      </c>
      <c r="AH373" s="16">
        <f>IFERROR(__xludf.DUMMYFUNCTION("""COMPUTED_VALUE"""),46.5)</f>
        <v>46.5</v>
      </c>
      <c r="AI373" s="16">
        <f>IFERROR(__xludf.DUMMYFUNCTION("""COMPUTED_VALUE"""),24.8)</f>
        <v>24.8</v>
      </c>
      <c r="AJ373" s="16">
        <f>IFERROR(__xludf.DUMMYFUNCTION("""COMPUTED_VALUE"""),1.0)</f>
        <v>1</v>
      </c>
      <c r="AK373" s="16">
        <f>IFERROR(__xludf.DUMMYFUNCTION("""COMPUTED_VALUE"""),-1.0)</f>
        <v>-1</v>
      </c>
      <c r="AL373" s="16">
        <f>IFERROR(__xludf.DUMMYFUNCTION("""COMPUTED_VALUE"""),5.0)</f>
        <v>5</v>
      </c>
      <c r="AM373" s="16">
        <f>IFERROR(__xludf.DUMMYFUNCTION("""COMPUTED_VALUE"""),-5.0)</f>
        <v>-5</v>
      </c>
      <c r="AN373" s="16">
        <f>IFERROR(__xludf.DUMMYFUNCTION("""COMPUTED_VALUE"""),3.8)</f>
        <v>3.8</v>
      </c>
      <c r="AO373" s="16">
        <f>IFERROR(__xludf.DUMMYFUNCTION("""COMPUTED_VALUE"""),0.0)</f>
        <v>0</v>
      </c>
      <c r="AP373" s="16">
        <f>IFERROR(__xludf.DUMMYFUNCTION("""COMPUTED_VALUE"""),2.0)</f>
        <v>2</v>
      </c>
      <c r="AQ373" s="16">
        <f>IFERROR(__xludf.DUMMYFUNCTION("""COMPUTED_VALUE"""),-3.0)</f>
        <v>-3</v>
      </c>
      <c r="AR373" s="16">
        <f>IFERROR(__xludf.DUMMYFUNCTION("""COMPUTED_VALUE"""),4.0)</f>
        <v>4</v>
      </c>
      <c r="AS373" s="16">
        <f>IFERROR(__xludf.DUMMYFUNCTION("""COMPUTED_VALUE"""),-6.0)</f>
        <v>-6</v>
      </c>
      <c r="AT373" s="16">
        <f>IFERROR(__xludf.DUMMYFUNCTION("""COMPUTED_VALUE"""),7.0)</f>
        <v>7</v>
      </c>
      <c r="AU373" s="16"/>
      <c r="AV373" s="16">
        <f>IFERROR(__xludf.DUMMYFUNCTION("""COMPUTED_VALUE"""),7.0)</f>
        <v>7</v>
      </c>
      <c r="AW373" s="16">
        <f>IFERROR(__xludf.DUMMYFUNCTION("""COMPUTED_VALUE"""),-3.0)</f>
        <v>-3</v>
      </c>
      <c r="AX373" s="16">
        <f>IFERROR(__xludf.DUMMYFUNCTION("""COMPUTED_VALUE"""),3.0)</f>
        <v>3</v>
      </c>
      <c r="AY373" s="16">
        <f>IFERROR(__xludf.DUMMYFUNCTION("""COMPUTED_VALUE"""),-3.0)</f>
        <v>-3</v>
      </c>
      <c r="AZ373" s="16">
        <f>IFERROR(__xludf.DUMMYFUNCTION("""COMPUTED_VALUE"""),9.0)</f>
        <v>9</v>
      </c>
      <c r="BA373" s="16">
        <f>IFERROR(__xludf.DUMMYFUNCTION("""COMPUTED_VALUE"""),-9.0)</f>
        <v>-9</v>
      </c>
      <c r="BB373" s="16">
        <f>IFERROR(__xludf.DUMMYFUNCTION("""COMPUTED_VALUE"""),5.0)</f>
        <v>5</v>
      </c>
      <c r="BC373" s="16">
        <f>IFERROR(__xludf.DUMMYFUNCTION("""COMPUTED_VALUE"""),5.0)</f>
        <v>5</v>
      </c>
      <c r="BD373" s="16">
        <f>IFERROR(__xludf.DUMMYFUNCTION("""COMPUTED_VALUE"""),1.0)</f>
        <v>1</v>
      </c>
      <c r="BE373" s="16">
        <f>IFERROR(__xludf.DUMMYFUNCTION("""COMPUTED_VALUE"""),1.0)</f>
        <v>1</v>
      </c>
      <c r="BF373" s="16">
        <f>IFERROR(__xludf.DUMMYFUNCTION("""COMPUTED_VALUE"""),1.0)</f>
        <v>1</v>
      </c>
      <c r="BG373" s="16">
        <f>IFERROR(__xludf.DUMMYFUNCTION("""COMPUTED_VALUE"""),1.0)</f>
        <v>1</v>
      </c>
      <c r="BH373" s="16">
        <f>IFERROR(__xludf.DUMMYFUNCTION("""COMPUTED_VALUE"""),-12.0)</f>
        <v>-12</v>
      </c>
      <c r="BI373" s="16">
        <f>IFERROR(__xludf.DUMMYFUNCTION("""COMPUTED_VALUE"""),-12.0)</f>
        <v>-12</v>
      </c>
      <c r="BJ373" s="16">
        <f>IFERROR(__xludf.DUMMYFUNCTION("""COMPUTED_VALUE"""),15.0)</f>
        <v>15</v>
      </c>
      <c r="BK373" s="16">
        <f>IFERROR(__xludf.DUMMYFUNCTION("""COMPUTED_VALUE"""),20.0)</f>
        <v>20</v>
      </c>
      <c r="BL373" s="16">
        <f>IFERROR(__xludf.DUMMYFUNCTION("""COMPUTED_VALUE"""),-1.0)</f>
        <v>-1</v>
      </c>
      <c r="BM373" s="16">
        <f>IFERROR(__xludf.DUMMYFUNCTION("""COMPUTED_VALUE"""),-2.0)</f>
        <v>-2</v>
      </c>
      <c r="BN373" s="16">
        <f>IFERROR(__xludf.DUMMYFUNCTION("""COMPUTED_VALUE"""),-2.0)</f>
        <v>-2</v>
      </c>
      <c r="BO373" s="16">
        <f>IFERROR(__xludf.DUMMYFUNCTION("""COMPUTED_VALUE"""),-4.0)</f>
        <v>-4</v>
      </c>
      <c r="BP373" s="16">
        <f>IFERROR(__xludf.DUMMYFUNCTION("""COMPUTED_VALUE"""),8.0)</f>
        <v>8</v>
      </c>
      <c r="BQ373" s="16">
        <f>IFERROR(__xludf.DUMMYFUNCTION("""COMPUTED_VALUE"""),-12.0)</f>
        <v>-12</v>
      </c>
      <c r="BR373" s="16">
        <f>IFERROR(__xludf.DUMMYFUNCTION("""COMPUTED_VALUE"""),-4.0)</f>
        <v>-4</v>
      </c>
      <c r="BS373" s="16" t="str">
        <f>IFERROR(__xludf.DUMMYFUNCTION("""COMPUTED_VALUE"""),"*2-5,11,12/- (19-13)")</f>
        <v>*2-5,11,12/- (19-13)</v>
      </c>
      <c r="BT373" s="16" t="str">
        <f>IFERROR(__xludf.DUMMYFUNCTION("""COMPUTED_VALUE"""),"A")</f>
        <v>A</v>
      </c>
      <c r="BU373" s="16">
        <f>IFERROR(__xludf.DUMMYFUNCTION("""COMPUTED_VALUE"""),15.0)</f>
        <v>15</v>
      </c>
      <c r="BV373" s="16">
        <f>IFERROR(__xludf.DUMMYFUNCTION("""COMPUTED_VALUE"""),2.0)</f>
        <v>2</v>
      </c>
      <c r="BW373" s="16">
        <f>IFERROR(__xludf.DUMMYFUNCTION("""COMPUTED_VALUE"""),2.0)</f>
        <v>2</v>
      </c>
      <c r="BX373" s="16">
        <f>IFERROR(__xludf.DUMMYFUNCTION("""COMPUTED_VALUE"""),4.0)</f>
        <v>4</v>
      </c>
      <c r="BY373" s="16">
        <f>IFERROR(__xludf.DUMMYFUNCTION("""COMPUTED_VALUE"""),6.0)</f>
        <v>6</v>
      </c>
      <c r="BZ373" s="16" t="str">
        <f>IFERROR(__xludf.DUMMYFUNCTION("""COMPUTED_VALUE"""),"D")</f>
        <v>D</v>
      </c>
      <c r="CA373" s="16" t="str">
        <f>IFERROR(__xludf.DUMMYFUNCTION("""COMPUTED_VALUE"""),"D")</f>
        <v>D</v>
      </c>
      <c r="CB373" s="16">
        <f>IFERROR(__xludf.DUMMYFUNCTION("""COMPUTED_VALUE"""),0.0)</f>
        <v>0</v>
      </c>
      <c r="CC373" s="16">
        <f>IFERROR(__xludf.DUMMYFUNCTION("""COMPUTED_VALUE"""),0.0)</f>
        <v>0</v>
      </c>
      <c r="CD373" s="16">
        <f>IFERROR(__xludf.DUMMYFUNCTION("""COMPUTED_VALUE"""),0.0)</f>
        <v>0</v>
      </c>
      <c r="CE373" s="16">
        <f>IFERROR(__xludf.DUMMYFUNCTION("""COMPUTED_VALUE"""),0.0)</f>
        <v>0</v>
      </c>
      <c r="CF373" s="16">
        <f>IFERROR(__xludf.DUMMYFUNCTION("""COMPUTED_VALUE"""),3.0)</f>
        <v>3</v>
      </c>
      <c r="CG373" s="16">
        <f>IFERROR(__xludf.DUMMYFUNCTION("""COMPUTED_VALUE"""),24.0)</f>
        <v>24</v>
      </c>
      <c r="CH373" s="16">
        <f>IFERROR(__xludf.DUMMYFUNCTION("""COMPUTED_VALUE"""),-35.0)</f>
        <v>-35</v>
      </c>
      <c r="CI373" s="179">
        <f>IFERROR(__xludf.DUMMYFUNCTION("""COMPUTED_VALUE"""),-18.0)</f>
        <v>-18</v>
      </c>
      <c r="CJ373" s="16"/>
      <c r="CK373" s="16">
        <f>IFERROR(__xludf.DUMMYFUNCTION("""COMPUTED_VALUE"""),425.0)</f>
        <v>425</v>
      </c>
      <c r="CL373" s="16">
        <f>IFERROR(__xludf.DUMMYFUNCTION("""COMPUTED_VALUE"""),322.0)</f>
        <v>322</v>
      </c>
      <c r="CM373" s="16">
        <f>IFERROR(__xludf.DUMMYFUNCTION("""COMPUTED_VALUE"""),456.0)</f>
        <v>456</v>
      </c>
      <c r="CN373" s="16">
        <f>IFERROR(__xludf.DUMMYFUNCTION("""COMPUTED_VALUE"""),420.0)</f>
        <v>420</v>
      </c>
      <c r="CO373" s="16">
        <f>IFERROR(__xludf.DUMMYFUNCTION("""COMPUTED_VALUE"""),418.0)</f>
        <v>418</v>
      </c>
      <c r="CP373" s="16">
        <f>IFERROR(__xludf.DUMMYFUNCTION("""COMPUTED_VALUE"""),418.0)</f>
        <v>418</v>
      </c>
      <c r="CQ373" s="16">
        <f>IFERROR(__xludf.DUMMYFUNCTION("""COMPUTED_VALUE"""),418.0)</f>
        <v>418</v>
      </c>
      <c r="CR373" s="16" t="str">
        <f>IFERROR(__xludf.DUMMYFUNCTION("""COMPUTED_VALUE"""),"2b-3e22 1b-4e25 3b-4e56 ss-4e20 cf-4(+1)e18 rf-4e18 lf-4e18")</f>
        <v>2b-3e22 1b-4e25 3b-4e56 ss-4e20 cf-4(+1)e18 rf-4e18 lf-4e18</v>
      </c>
      <c r="CS373" s="16"/>
      <c r="CT373" s="16">
        <f>IFERROR(__xludf.DUMMYFUNCTION("""COMPUTED_VALUE"""),4.0)</f>
        <v>4</v>
      </c>
      <c r="CU373" s="16">
        <f>IFERROR(__xludf.DUMMYFUNCTION("""COMPUTED_VALUE"""),3.0)</f>
        <v>3</v>
      </c>
      <c r="CV373" s="16">
        <f>IFERROR(__xludf.DUMMYFUNCTION("""COMPUTED_VALUE"""),4.0)</f>
        <v>4</v>
      </c>
      <c r="CW373" s="16">
        <f>IFERROR(__xludf.DUMMYFUNCTION("""COMPUTED_VALUE"""),4.0)</f>
        <v>4</v>
      </c>
      <c r="CX373" s="16">
        <f>IFERROR(__xludf.DUMMYFUNCTION("""COMPUTED_VALUE"""),4.0)</f>
        <v>4</v>
      </c>
      <c r="CY373" s="16">
        <f>IFERROR(__xludf.DUMMYFUNCTION("""COMPUTED_VALUE"""),4.0)</f>
        <v>4</v>
      </c>
      <c r="CZ373" s="16">
        <f>IFERROR(__xludf.DUMMYFUNCTION("""COMPUTED_VALUE"""),4.0)</f>
        <v>4</v>
      </c>
      <c r="DA373" s="16"/>
      <c r="DB373" s="16">
        <f>IFERROR(__xludf.DUMMYFUNCTION("""COMPUTED_VALUE"""),25.0)</f>
        <v>25</v>
      </c>
      <c r="DC373" s="16">
        <f>IFERROR(__xludf.DUMMYFUNCTION("""COMPUTED_VALUE"""),22.0)</f>
        <v>22</v>
      </c>
      <c r="DD373" s="16">
        <f>IFERROR(__xludf.DUMMYFUNCTION("""COMPUTED_VALUE"""),56.0)</f>
        <v>56</v>
      </c>
      <c r="DE373" s="16">
        <f>IFERROR(__xludf.DUMMYFUNCTION("""COMPUTED_VALUE"""),20.0)</f>
        <v>20</v>
      </c>
      <c r="DF373" s="16">
        <f>IFERROR(__xludf.DUMMYFUNCTION("""COMPUTED_VALUE"""),18.0)</f>
        <v>18</v>
      </c>
      <c r="DG373" s="16">
        <f>IFERROR(__xludf.DUMMYFUNCTION("""COMPUTED_VALUE"""),18.0)</f>
        <v>18</v>
      </c>
      <c r="DH373" s="16">
        <f>IFERROR(__xludf.DUMMYFUNCTION("""COMPUTED_VALUE"""),18.0)</f>
        <v>18</v>
      </c>
      <c r="DI373" s="16"/>
      <c r="DJ373" s="16">
        <f>IFERROR(__xludf.DUMMYFUNCTION("""COMPUTED_VALUE"""),0.0)</f>
        <v>0</v>
      </c>
      <c r="DK373" s="16">
        <f>IFERROR(__xludf.DUMMYFUNCTION("""COMPUTED_VALUE"""),0.0)</f>
        <v>0</v>
      </c>
      <c r="DL373" s="16">
        <f>IFERROR(__xludf.DUMMYFUNCTION("""COMPUTED_VALUE"""),0.0)</f>
        <v>0</v>
      </c>
      <c r="DM373" s="16">
        <f>IFERROR(__xludf.DUMMYFUNCTION("""COMPUTED_VALUE"""),-2.0)</f>
        <v>-2</v>
      </c>
      <c r="DN373" s="16">
        <f>IFERROR(__xludf.DUMMYFUNCTION("""COMPUTED_VALUE"""),-1.0)</f>
        <v>-1</v>
      </c>
      <c r="DO373" s="16">
        <f>IFERROR(__xludf.DUMMYFUNCTION("""COMPUTED_VALUE"""),-2.0)</f>
        <v>-2</v>
      </c>
      <c r="DP373" s="16">
        <f>IFERROR(__xludf.DUMMYFUNCTION("""COMPUTED_VALUE"""),-1.0)</f>
        <v>-1</v>
      </c>
      <c r="DQ373" s="16"/>
      <c r="DR373" s="16">
        <f>IFERROR(__xludf.DUMMYFUNCTION("""COMPUTED_VALUE"""),-2.0)</f>
        <v>-2</v>
      </c>
      <c r="DS373" s="16">
        <f>IFERROR(__xludf.DUMMYFUNCTION("""COMPUTED_VALUE"""),0.0)</f>
        <v>0</v>
      </c>
      <c r="DT373" s="16">
        <f>IFERROR(__xludf.DUMMYFUNCTION("""COMPUTED_VALUE"""),-2.0)</f>
        <v>-2</v>
      </c>
      <c r="DU373" s="16">
        <f>IFERROR(__xludf.DUMMYFUNCTION("""COMPUTED_VALUE"""),2.0)</f>
        <v>2</v>
      </c>
      <c r="DV373" s="16">
        <f>IFERROR(__xludf.DUMMYFUNCTION("""COMPUTED_VALUE"""),-4.0)</f>
        <v>-4</v>
      </c>
      <c r="DW373" s="16">
        <f>IFERROR(__xludf.DUMMYFUNCTION("""COMPUTED_VALUE"""),-2.0)</f>
        <v>-2</v>
      </c>
      <c r="DX373" s="16">
        <f>IFERROR(__xludf.DUMMYFUNCTION("""COMPUTED_VALUE"""),-4.0)</f>
        <v>-4</v>
      </c>
      <c r="DY373" s="16"/>
      <c r="DZ373" s="16">
        <f>IFERROR(__xludf.DUMMYFUNCTION("""COMPUTED_VALUE"""),-2.0)</f>
        <v>-2</v>
      </c>
      <c r="EA373" s="16">
        <f>IFERROR(__xludf.DUMMYFUNCTION("""COMPUTED_VALUE"""),0.0)</f>
        <v>0</v>
      </c>
      <c r="EB373" s="16">
        <f>IFERROR(__xludf.DUMMYFUNCTION("""COMPUTED_VALUE"""),-2.0)</f>
        <v>-2</v>
      </c>
      <c r="EC373" s="16">
        <f>IFERROR(__xludf.DUMMYFUNCTION("""COMPUTED_VALUE"""),0.0)</f>
        <v>0</v>
      </c>
      <c r="ED373" s="16">
        <f>IFERROR(__xludf.DUMMYFUNCTION("""COMPUTED_VALUE"""),-5.0)</f>
        <v>-5</v>
      </c>
      <c r="EE373" s="16">
        <f>IFERROR(__xludf.DUMMYFUNCTION("""COMPUTED_VALUE"""),-4.0)</f>
        <v>-4</v>
      </c>
      <c r="EF373" s="16">
        <f>IFERROR(__xludf.DUMMYFUNCTION("""COMPUTED_VALUE"""),-5.0)</f>
        <v>-5</v>
      </c>
      <c r="EG373" s="179"/>
      <c r="EH373" s="179">
        <f>IFERROR(__xludf.DUMMYFUNCTION("""COMPUTED_VALUE"""),-20.0)</f>
        <v>-20</v>
      </c>
      <c r="EI373" s="179">
        <f>IFERROR(__xludf.DUMMYFUNCTION("""COMPUTED_VALUE"""),-18.0)</f>
        <v>-18</v>
      </c>
      <c r="EJ373" s="179">
        <f>IFERROR(__xludf.DUMMYFUNCTION("""COMPUTED_VALUE"""),-20.0)</f>
        <v>-20</v>
      </c>
      <c r="EK373" s="179">
        <f>IFERROR(__xludf.DUMMYFUNCTION("""COMPUTED_VALUE"""),-18.0)</f>
        <v>-18</v>
      </c>
      <c r="EL373" s="179">
        <f>IFERROR(__xludf.DUMMYFUNCTION("""COMPUTED_VALUE"""),-23.0)</f>
        <v>-23</v>
      </c>
      <c r="EM373" s="179">
        <f>IFERROR(__xludf.DUMMYFUNCTION("""COMPUTED_VALUE"""),-22.0)</f>
        <v>-22</v>
      </c>
      <c r="EN373" s="179">
        <f>IFERROR(__xludf.DUMMYFUNCTION("""COMPUTED_VALUE"""),-23.0)</f>
        <v>-23</v>
      </c>
      <c r="EO373" s="16"/>
      <c r="EP373" s="16">
        <f>IFERROR(__xludf.DUMMYFUNCTION("""COMPUTED_VALUE"""),-4.0)</f>
        <v>-4</v>
      </c>
      <c r="EQ373" s="16">
        <f>IFERROR(__xludf.DUMMYFUNCTION("""COMPUTED_VALUE"""),1.0)</f>
        <v>1</v>
      </c>
      <c r="ER373" s="16">
        <f>IFERROR(__xludf.DUMMYFUNCTION("""COMPUTED_VALUE"""),-1.0)</f>
        <v>-1</v>
      </c>
      <c r="ES373" s="16"/>
      <c r="ET373" s="16"/>
      <c r="EU373" s="16"/>
      <c r="EV373" s="16"/>
      <c r="EW373" s="16"/>
      <c r="EX373" s="180"/>
      <c r="EY373" s="180">
        <f>IFERROR(__xludf.DUMMYFUNCTION("""COMPUTED_VALUE"""),0.3)</f>
        <v>0.3</v>
      </c>
      <c r="EZ373" s="180">
        <f>IFERROR(__xludf.DUMMYFUNCTION("""COMPUTED_VALUE"""),0.2)</f>
        <v>0.2</v>
      </c>
      <c r="FA373" s="180">
        <f>IFERROR(__xludf.DUMMYFUNCTION("""COMPUTED_VALUE"""),0.3)</f>
        <v>0.3</v>
      </c>
      <c r="FB373" s="180">
        <f>IFERROR(__xludf.DUMMYFUNCTION("""COMPUTED_VALUE"""),0.3)</f>
        <v>0.3</v>
      </c>
      <c r="FC373" s="180">
        <f>IFERROR(__xludf.DUMMYFUNCTION("""COMPUTED_VALUE"""),0.55)</f>
        <v>0.55</v>
      </c>
      <c r="FD373" s="180">
        <f>IFERROR(__xludf.DUMMYFUNCTION("""COMPUTED_VALUE"""),0.55)</f>
        <v>0.55</v>
      </c>
      <c r="FE373" s="180">
        <f>IFERROR(__xludf.DUMMYFUNCTION("""COMPUTED_VALUE"""),0.55)</f>
        <v>0.55</v>
      </c>
      <c r="FF373" s="180"/>
      <c r="FG373" s="180">
        <f>IFERROR(__xludf.DUMMYFUNCTION("""COMPUTED_VALUE"""),0.44907407407407407)</f>
        <v>0.4490740741</v>
      </c>
      <c r="FH373" s="180">
        <f>IFERROR(__xludf.DUMMYFUNCTION("""COMPUTED_VALUE"""),0.13425925925925927)</f>
        <v>0.1342592593</v>
      </c>
      <c r="FI373" s="180">
        <f>IFERROR(__xludf.DUMMYFUNCTION("""COMPUTED_VALUE"""),0.6018518518518519)</f>
        <v>0.6018518519</v>
      </c>
      <c r="FJ373" s="180">
        <f>IFERROR(__xludf.DUMMYFUNCTION("""COMPUTED_VALUE"""),0.10185185185185185)</f>
        <v>0.1018518519</v>
      </c>
      <c r="FK373" s="180">
        <f>IFERROR(__xludf.DUMMYFUNCTION("""COMPUTED_VALUE"""),0.324)</f>
        <v>0.324</v>
      </c>
      <c r="FL373" s="180">
        <f>IFERROR(__xludf.DUMMYFUNCTION("""COMPUTED_VALUE"""),0.2175925925925926)</f>
        <v>0.2175925926</v>
      </c>
      <c r="FM373" s="180">
        <f>IFERROR(__xludf.DUMMYFUNCTION("""COMPUTED_VALUE"""),0.324)</f>
        <v>0.324</v>
      </c>
      <c r="FN373" s="16"/>
      <c r="FO373" s="16">
        <f>IFERROR(__xludf.DUMMYFUNCTION("""COMPUTED_VALUE"""),0.38564814814814813)</f>
        <v>0.3856481481</v>
      </c>
      <c r="FP373" s="16">
        <f>IFERROR(__xludf.DUMMYFUNCTION("""COMPUTED_VALUE"""),0.6925925925925926)</f>
        <v>0.6925925926</v>
      </c>
      <c r="FQ373" s="16">
        <f>IFERROR(__xludf.DUMMYFUNCTION("""COMPUTED_VALUE"""),0.2787037037037037)</f>
        <v>0.2787037037</v>
      </c>
      <c r="FR373" s="16">
        <f>IFERROR(__xludf.DUMMYFUNCTION("""COMPUTED_VALUE"""),0.6287037037037037)</f>
        <v>0.6287037037</v>
      </c>
      <c r="FS373" s="16">
        <f>IFERROR(__xludf.DUMMYFUNCTION("""COMPUTED_VALUE"""),0.3041999999999999)</f>
        <v>0.3042</v>
      </c>
      <c r="FT373" s="16">
        <f>IFERROR(__xludf.DUMMYFUNCTION("""COMPUTED_VALUE"""),0.3520833333333333)</f>
        <v>0.3520833333</v>
      </c>
      <c r="FU373" s="16">
        <f>IFERROR(__xludf.DUMMYFUNCTION("""COMPUTED_VALUE"""),0.3041999999999999)</f>
        <v>0.3042</v>
      </c>
      <c r="FV373" s="16"/>
      <c r="FW373" s="16">
        <f>IFERROR(__xludf.DUMMYFUNCTION("""COMPUTED_VALUE"""),-8.0)</f>
        <v>-8</v>
      </c>
      <c r="FX373" s="16">
        <f>IFERROR(__xludf.DUMMYFUNCTION("""COMPUTED_VALUE"""),-4.0)</f>
        <v>-4</v>
      </c>
      <c r="FY373" s="16">
        <f>IFERROR(__xludf.DUMMYFUNCTION("""COMPUTED_VALUE"""),-8.0)</f>
        <v>-8</v>
      </c>
      <c r="FZ373" s="16">
        <f>IFERROR(__xludf.DUMMYFUNCTION("""COMPUTED_VALUE"""),-6.0)</f>
        <v>-6</v>
      </c>
      <c r="GA373" s="16">
        <f>IFERROR(__xludf.DUMMYFUNCTION("""COMPUTED_VALUE"""),-4.0)</f>
        <v>-4</v>
      </c>
      <c r="GB373" s="16">
        <f>IFERROR(__xludf.DUMMYFUNCTION("""COMPUTED_VALUE"""),-4.0)</f>
        <v>-4</v>
      </c>
      <c r="GC373" s="16">
        <f>IFERROR(__xludf.DUMMYFUNCTION("""COMPUTED_VALUE"""),-4.0)</f>
        <v>-4</v>
      </c>
      <c r="GD373" s="16" t="s">
        <v>346</v>
      </c>
    </row>
    <row r="374">
      <c r="A374" s="16">
        <f>IFERROR(__xludf.DUMMYFUNCTION("""COMPUTED_VALUE"""),13250.0)</f>
        <v>13250</v>
      </c>
      <c r="B374" s="16" t="str">
        <f>IFERROR(__xludf.DUMMYFUNCTION("""COMPUTED_VALUE"""),"Nick Sogard")</f>
        <v>Nick Sogard</v>
      </c>
      <c r="C374" s="16">
        <f>IFERROR(__xludf.DUMMYFUNCTION("""COMPUTED_VALUE"""),0.61)</f>
        <v>0.61</v>
      </c>
      <c r="D374" s="16" t="str">
        <f>IFERROR(__xludf.DUMMYFUNCTION("""COMPUTED_VALUE"""),"S")</f>
        <v>S</v>
      </c>
      <c r="E374" s="16"/>
      <c r="F374" s="16"/>
      <c r="G374" s="16">
        <f>IFERROR(__xludf.DUMMYFUNCTION("""COMPUTED_VALUE"""),77.0)</f>
        <v>77</v>
      </c>
      <c r="H374" s="16">
        <f>IFERROR(__xludf.DUMMYFUNCTION("""COMPUTED_VALUE"""),7.0)</f>
        <v>7</v>
      </c>
      <c r="I374" s="16" t="str">
        <f>IFERROR(__xludf.DUMMYFUNCTION("""COMPUTED_VALUE"""),"1p20")</f>
        <v>1p20</v>
      </c>
      <c r="J374" s="16">
        <f>IFERROR(__xludf.DUMMYFUNCTION("""COMPUTED_VALUE"""),35.0)</f>
        <v>35</v>
      </c>
      <c r="K374" s="16">
        <f>IFERROR(__xludf.DUMMYFUNCTION("""COMPUTED_VALUE"""),41.0)</f>
        <v>41</v>
      </c>
      <c r="L374" s="16">
        <f>IFERROR(__xludf.DUMMYFUNCTION("""COMPUTED_VALUE"""),-1.0)</f>
        <v>-1</v>
      </c>
      <c r="M374" s="16">
        <f>IFERROR(__xludf.DUMMYFUNCTION("""COMPUTED_VALUE"""),-2.0)</f>
        <v>-2</v>
      </c>
      <c r="N374" s="16">
        <f>IFERROR(__xludf.DUMMYFUNCTION("""COMPUTED_VALUE"""),-1.0)</f>
        <v>-1</v>
      </c>
      <c r="O374" s="16">
        <f>IFERROR(__xludf.DUMMYFUNCTION("""COMPUTED_VALUE"""),-2.0)</f>
        <v>-2</v>
      </c>
      <c r="P374" s="16">
        <f>IFERROR(__xludf.DUMMYFUNCTION("""COMPUTED_VALUE"""),15.0)</f>
        <v>15</v>
      </c>
      <c r="Q374" s="16">
        <f>IFERROR(__xludf.DUMMYFUNCTION("""COMPUTED_VALUE"""),7.0)</f>
        <v>7</v>
      </c>
      <c r="R374" s="16">
        <f>IFERROR(__xludf.DUMMYFUNCTION("""COMPUTED_VALUE"""),2.0)</f>
        <v>2</v>
      </c>
      <c r="S374" s="16">
        <f>IFERROR(__xludf.DUMMYFUNCTION("""COMPUTED_VALUE"""),-1.0)</f>
        <v>-1</v>
      </c>
      <c r="T374" s="16">
        <f>IFERROR(__xludf.DUMMYFUNCTION("""COMPUTED_VALUE"""),2.0)</f>
        <v>2</v>
      </c>
      <c r="U374" s="16">
        <f>IFERROR(__xludf.DUMMYFUNCTION("""COMPUTED_VALUE"""),-1.0)</f>
        <v>-1</v>
      </c>
      <c r="V374" s="16">
        <f>IFERROR(__xludf.DUMMYFUNCTION("""COMPUTED_VALUE"""),19.0)</f>
        <v>19</v>
      </c>
      <c r="W374" s="16">
        <f>IFERROR(__xludf.DUMMYFUNCTION("""COMPUTED_VALUE"""),27.0)</f>
        <v>27</v>
      </c>
      <c r="X374" s="16">
        <f>IFERROR(__xludf.DUMMYFUNCTION("""COMPUTED_VALUE"""),0.0)</f>
        <v>0</v>
      </c>
      <c r="Y374" s="16">
        <f>IFERROR(__xludf.DUMMYFUNCTION("""COMPUTED_VALUE"""),1.0)</f>
        <v>1</v>
      </c>
      <c r="Z374" s="16">
        <f>IFERROR(__xludf.DUMMYFUNCTION("""COMPUTED_VALUE"""),0.0)</f>
        <v>0</v>
      </c>
      <c r="AA374" s="16">
        <f>IFERROR(__xludf.DUMMYFUNCTION("""COMPUTED_VALUE"""),2.0)</f>
        <v>2</v>
      </c>
      <c r="AB374" s="16">
        <f>IFERROR(__xludf.DUMMYFUNCTION("""COMPUTED_VALUE"""),34.0)</f>
        <v>34</v>
      </c>
      <c r="AC374" s="16">
        <f>IFERROR(__xludf.DUMMYFUNCTION("""COMPUTED_VALUE"""),34.0)</f>
        <v>34</v>
      </c>
      <c r="AD374" s="16">
        <f>IFERROR(__xludf.DUMMYFUNCTION("""COMPUTED_VALUE"""),0.0)</f>
        <v>0</v>
      </c>
      <c r="AE374" s="16">
        <f>IFERROR(__xludf.DUMMYFUNCTION("""COMPUTED_VALUE"""),0.0)</f>
        <v>0</v>
      </c>
      <c r="AF374" s="16">
        <f>IFERROR(__xludf.DUMMYFUNCTION("""COMPUTED_VALUE"""),0.0)</f>
        <v>0</v>
      </c>
      <c r="AG374" s="16">
        <f>IFERROR(__xludf.DUMMYFUNCTION("""COMPUTED_VALUE"""),0.0)</f>
        <v>0</v>
      </c>
      <c r="AH374" s="16">
        <f>IFERROR(__xludf.DUMMYFUNCTION("""COMPUTED_VALUE"""),25.6)</f>
        <v>25.6</v>
      </c>
      <c r="AI374" s="16">
        <f>IFERROR(__xludf.DUMMYFUNCTION("""COMPUTED_VALUE"""),31.6)</f>
        <v>31.6</v>
      </c>
      <c r="AJ374" s="16">
        <f>IFERROR(__xludf.DUMMYFUNCTION("""COMPUTED_VALUE"""),-1.0)</f>
        <v>-1</v>
      </c>
      <c r="AK374" s="16">
        <f>IFERROR(__xludf.DUMMYFUNCTION("""COMPUTED_VALUE"""),0.0)</f>
        <v>0</v>
      </c>
      <c r="AL374" s="16">
        <f>IFERROR(__xludf.DUMMYFUNCTION("""COMPUTED_VALUE"""),-5.0)</f>
        <v>-5</v>
      </c>
      <c r="AM374" s="16">
        <f>IFERROR(__xludf.DUMMYFUNCTION("""COMPUTED_VALUE"""),0.0)</f>
        <v>0</v>
      </c>
      <c r="AN374" s="16">
        <f>IFERROR(__xludf.DUMMYFUNCTION("""COMPUTED_VALUE"""),0.0)</f>
        <v>0</v>
      </c>
      <c r="AO374" s="16">
        <f>IFERROR(__xludf.DUMMYFUNCTION("""COMPUTED_VALUE"""),0.0)</f>
        <v>0</v>
      </c>
      <c r="AP374" s="16">
        <f>IFERROR(__xludf.DUMMYFUNCTION("""COMPUTED_VALUE"""),-2.0)</f>
        <v>-2</v>
      </c>
      <c r="AQ374" s="16">
        <f>IFERROR(__xludf.DUMMYFUNCTION("""COMPUTED_VALUE"""),-3.0)</f>
        <v>-3</v>
      </c>
      <c r="AR374" s="16">
        <f>IFERROR(__xludf.DUMMYFUNCTION("""COMPUTED_VALUE"""),-4.0)</f>
        <v>-4</v>
      </c>
      <c r="AS374" s="16">
        <f>IFERROR(__xludf.DUMMYFUNCTION("""COMPUTED_VALUE"""),-6.0)</f>
        <v>-6</v>
      </c>
      <c r="AT374" s="16"/>
      <c r="AU374" s="16"/>
      <c r="AV374" s="16">
        <f>IFERROR(__xludf.DUMMYFUNCTION("""COMPUTED_VALUE"""),-3.0)</f>
        <v>-3</v>
      </c>
      <c r="AW374" s="16">
        <f>IFERROR(__xludf.DUMMYFUNCTION("""COMPUTED_VALUE"""),-3.0)</f>
        <v>-3</v>
      </c>
      <c r="AX374" s="16">
        <f>IFERROR(__xludf.DUMMYFUNCTION("""COMPUTED_VALUE"""),-3.0)</f>
        <v>-3</v>
      </c>
      <c r="AY374" s="16">
        <f>IFERROR(__xludf.DUMMYFUNCTION("""COMPUTED_VALUE"""),-3.0)</f>
        <v>-3</v>
      </c>
      <c r="AZ374" s="16">
        <f>IFERROR(__xludf.DUMMYFUNCTION("""COMPUTED_VALUE"""),-9.0)</f>
        <v>-9</v>
      </c>
      <c r="BA374" s="16">
        <f>IFERROR(__xludf.DUMMYFUNCTION("""COMPUTED_VALUE"""),-9.0)</f>
        <v>-9</v>
      </c>
      <c r="BB374" s="16">
        <f>IFERROR(__xludf.DUMMYFUNCTION("""COMPUTED_VALUE"""),5.0)</f>
        <v>5</v>
      </c>
      <c r="BC374" s="16">
        <f>IFERROR(__xludf.DUMMYFUNCTION("""COMPUTED_VALUE"""),5.0)</f>
        <v>5</v>
      </c>
      <c r="BD374" s="16">
        <f>IFERROR(__xludf.DUMMYFUNCTION("""COMPUTED_VALUE"""),1.0)</f>
        <v>1</v>
      </c>
      <c r="BE374" s="16">
        <f>IFERROR(__xludf.DUMMYFUNCTION("""COMPUTED_VALUE"""),1.0)</f>
        <v>1</v>
      </c>
      <c r="BF374" s="16">
        <f>IFERROR(__xludf.DUMMYFUNCTION("""COMPUTED_VALUE"""),1.0)</f>
        <v>1</v>
      </c>
      <c r="BG374" s="16">
        <f>IFERROR(__xludf.DUMMYFUNCTION("""COMPUTED_VALUE"""),1.0)</f>
        <v>1</v>
      </c>
      <c r="BH374" s="16">
        <f>IFERROR(__xludf.DUMMYFUNCTION("""COMPUTED_VALUE"""),4.0)</f>
        <v>4</v>
      </c>
      <c r="BI374" s="16">
        <f>IFERROR(__xludf.DUMMYFUNCTION("""COMPUTED_VALUE"""),4.0)</f>
        <v>4</v>
      </c>
      <c r="BJ374" s="16">
        <f>IFERROR(__xludf.DUMMYFUNCTION("""COMPUTED_VALUE"""),27.0)</f>
        <v>27</v>
      </c>
      <c r="BK374" s="16">
        <f>IFERROR(__xludf.DUMMYFUNCTION("""COMPUTED_VALUE"""),25.0)</f>
        <v>25</v>
      </c>
      <c r="BL374" s="16">
        <f>IFERROR(__xludf.DUMMYFUNCTION("""COMPUTED_VALUE"""),-2.0)</f>
        <v>-2</v>
      </c>
      <c r="BM374" s="16">
        <f>IFERROR(__xludf.DUMMYFUNCTION("""COMPUTED_VALUE"""),-2.0)</f>
        <v>-2</v>
      </c>
      <c r="BN374" s="16">
        <f>IFERROR(__xludf.DUMMYFUNCTION("""COMPUTED_VALUE"""),-4.0)</f>
        <v>-4</v>
      </c>
      <c r="BO374" s="16">
        <f>IFERROR(__xludf.DUMMYFUNCTION("""COMPUTED_VALUE"""),-4.0)</f>
        <v>-4</v>
      </c>
      <c r="BP374" s="16">
        <f>IFERROR(__xludf.DUMMYFUNCTION("""COMPUTED_VALUE"""),-6.0)</f>
        <v>-6</v>
      </c>
      <c r="BQ374" s="16">
        <f>IFERROR(__xludf.DUMMYFUNCTION("""COMPUTED_VALUE"""),-9.0)</f>
        <v>-9</v>
      </c>
      <c r="BR374" s="16">
        <f>IFERROR(__xludf.DUMMYFUNCTION("""COMPUTED_VALUE"""),-15.0)</f>
        <v>-15</v>
      </c>
      <c r="BS374" s="16" t="str">
        <f>IFERROR(__xludf.DUMMYFUNCTION("""COMPUTED_VALUE"""),"*5/- (20-11)")</f>
        <v>*5/- (20-11)</v>
      </c>
      <c r="BT374" s="16" t="str">
        <f>IFERROR(__xludf.DUMMYFUNCTION("""COMPUTED_VALUE"""),"B")</f>
        <v>B</v>
      </c>
      <c r="BU374" s="16">
        <f>IFERROR(__xludf.DUMMYFUNCTION("""COMPUTED_VALUE"""),13.0)</f>
        <v>13</v>
      </c>
      <c r="BV374" s="16">
        <f>IFERROR(__xludf.DUMMYFUNCTION("""COMPUTED_VALUE"""),1.0)</f>
        <v>1</v>
      </c>
      <c r="BW374" s="16">
        <f>IFERROR(__xludf.DUMMYFUNCTION("""COMPUTED_VALUE"""),1.0)</f>
        <v>1</v>
      </c>
      <c r="BX374" s="16">
        <f>IFERROR(__xludf.DUMMYFUNCTION("""COMPUTED_VALUE"""),2.0)</f>
        <v>2</v>
      </c>
      <c r="BY374" s="16">
        <f>IFERROR(__xludf.DUMMYFUNCTION("""COMPUTED_VALUE"""),3.0)</f>
        <v>3</v>
      </c>
      <c r="BZ374" s="16" t="str">
        <f>IFERROR(__xludf.DUMMYFUNCTION("""COMPUTED_VALUE"""),"D")</f>
        <v>D</v>
      </c>
      <c r="CA374" s="16" t="str">
        <f>IFERROR(__xludf.DUMMYFUNCTION("""COMPUTED_VALUE"""),"D")</f>
        <v>D</v>
      </c>
      <c r="CB374" s="16">
        <f>IFERROR(__xludf.DUMMYFUNCTION("""COMPUTED_VALUE"""),0.0)</f>
        <v>0</v>
      </c>
      <c r="CC374" s="16">
        <f>IFERROR(__xludf.DUMMYFUNCTION("""COMPUTED_VALUE"""),0.0)</f>
        <v>0</v>
      </c>
      <c r="CD374" s="16">
        <f>IFERROR(__xludf.DUMMYFUNCTION("""COMPUTED_VALUE"""),0.0)</f>
        <v>0</v>
      </c>
      <c r="CE374" s="16">
        <f>IFERROR(__xludf.DUMMYFUNCTION("""COMPUTED_VALUE"""),0.0)</f>
        <v>0</v>
      </c>
      <c r="CF374" s="16">
        <f>IFERROR(__xludf.DUMMYFUNCTION("""COMPUTED_VALUE"""),1.0)</f>
        <v>1</v>
      </c>
      <c r="CG374" s="16">
        <f>IFERROR(__xludf.DUMMYFUNCTION("""COMPUTED_VALUE"""),-20.0)</f>
        <v>-20</v>
      </c>
      <c r="CH374" s="16">
        <f>IFERROR(__xludf.DUMMYFUNCTION("""COMPUTED_VALUE"""),-19.0)</f>
        <v>-19</v>
      </c>
      <c r="CI374" s="179">
        <f>IFERROR(__xludf.DUMMYFUNCTION("""COMPUTED_VALUE"""),-18.0)</f>
        <v>-18</v>
      </c>
      <c r="CJ374" s="16"/>
      <c r="CK374" s="16"/>
      <c r="CL374" s="16">
        <f>IFERROR(__xludf.DUMMYFUNCTION("""COMPUTED_VALUE"""),306.0)</f>
        <v>306</v>
      </c>
      <c r="CM374" s="16">
        <f>IFERROR(__xludf.DUMMYFUNCTION("""COMPUTED_VALUE"""),408.0)</f>
        <v>408</v>
      </c>
      <c r="CN374" s="16">
        <f>IFERROR(__xludf.DUMMYFUNCTION("""COMPUTED_VALUE"""),428.0)</f>
        <v>428</v>
      </c>
      <c r="CO374" s="16"/>
      <c r="CP374" s="16"/>
      <c r="CQ374" s="16"/>
      <c r="CR374" s="16" t="str">
        <f>IFERROR(__xludf.DUMMYFUNCTION("""COMPUTED_VALUE"""),"2b-3e6 3b-4e8 ss-4e28")</f>
        <v>2b-3e6 3b-4e8 ss-4e28</v>
      </c>
      <c r="CS374" s="16"/>
      <c r="CT374" s="16"/>
      <c r="CU374" s="16">
        <f>IFERROR(__xludf.DUMMYFUNCTION("""COMPUTED_VALUE"""),3.0)</f>
        <v>3</v>
      </c>
      <c r="CV374" s="16">
        <f>IFERROR(__xludf.DUMMYFUNCTION("""COMPUTED_VALUE"""),4.0)</f>
        <v>4</v>
      </c>
      <c r="CW374" s="16">
        <f>IFERROR(__xludf.DUMMYFUNCTION("""COMPUTED_VALUE"""),4.0)</f>
        <v>4</v>
      </c>
      <c r="CX374" s="16"/>
      <c r="CY374" s="16"/>
      <c r="CZ374" s="16"/>
      <c r="DA374" s="16"/>
      <c r="DB374" s="16"/>
      <c r="DC374" s="16">
        <f>IFERROR(__xludf.DUMMYFUNCTION("""COMPUTED_VALUE"""),6.0)</f>
        <v>6</v>
      </c>
      <c r="DD374" s="16">
        <f>IFERROR(__xludf.DUMMYFUNCTION("""COMPUTED_VALUE"""),8.0)</f>
        <v>8</v>
      </c>
      <c r="DE374" s="16">
        <f>IFERROR(__xludf.DUMMYFUNCTION("""COMPUTED_VALUE"""),28.0)</f>
        <v>28</v>
      </c>
      <c r="DF374" s="16"/>
      <c r="DG374" s="16"/>
      <c r="DH374" s="16"/>
      <c r="DI374" s="16"/>
      <c r="DJ374" s="16"/>
      <c r="DK374" s="16">
        <f>IFERROR(__xludf.DUMMYFUNCTION("""COMPUTED_VALUE"""),0.0)</f>
        <v>0</v>
      </c>
      <c r="DL374" s="16">
        <f>IFERROR(__xludf.DUMMYFUNCTION("""COMPUTED_VALUE"""),0.0)</f>
        <v>0</v>
      </c>
      <c r="DM374" s="16">
        <f>IFERROR(__xludf.DUMMYFUNCTION("""COMPUTED_VALUE"""),-2.0)</f>
        <v>-2</v>
      </c>
      <c r="DN374" s="16"/>
      <c r="DO374" s="16"/>
      <c r="DP374" s="16"/>
      <c r="DQ374" s="16"/>
      <c r="DR374" s="16"/>
      <c r="DS374" s="16">
        <f>IFERROR(__xludf.DUMMYFUNCTION("""COMPUTED_VALUE"""),3.0)</f>
        <v>3</v>
      </c>
      <c r="DT374" s="16">
        <f>IFERROR(__xludf.DUMMYFUNCTION("""COMPUTED_VALUE"""),2.0)</f>
        <v>2</v>
      </c>
      <c r="DU374" s="16">
        <f>IFERROR(__xludf.DUMMYFUNCTION("""COMPUTED_VALUE"""),-2.0)</f>
        <v>-2</v>
      </c>
      <c r="DV374" s="16"/>
      <c r="DW374" s="16"/>
      <c r="DX374" s="16"/>
      <c r="DY374" s="16"/>
      <c r="DZ374" s="16"/>
      <c r="EA374" s="16">
        <f>IFERROR(__xludf.DUMMYFUNCTION("""COMPUTED_VALUE"""),3.0)</f>
        <v>3</v>
      </c>
      <c r="EB374" s="16">
        <f>IFERROR(__xludf.DUMMYFUNCTION("""COMPUTED_VALUE"""),2.0)</f>
        <v>2</v>
      </c>
      <c r="EC374" s="16">
        <f>IFERROR(__xludf.DUMMYFUNCTION("""COMPUTED_VALUE"""),-4.0)</f>
        <v>-4</v>
      </c>
      <c r="ED374" s="16"/>
      <c r="EE374" s="16"/>
      <c r="EF374" s="16"/>
      <c r="EG374" s="179"/>
      <c r="EH374" s="179"/>
      <c r="EI374" s="179">
        <f>IFERROR(__xludf.DUMMYFUNCTION("""COMPUTED_VALUE"""),-15.0)</f>
        <v>-15</v>
      </c>
      <c r="EJ374" s="179">
        <f>IFERROR(__xludf.DUMMYFUNCTION("""COMPUTED_VALUE"""),-16.0)</f>
        <v>-16</v>
      </c>
      <c r="EK374" s="179">
        <f>IFERROR(__xludf.DUMMYFUNCTION("""COMPUTED_VALUE"""),-22.0)</f>
        <v>-22</v>
      </c>
      <c r="EL374" s="179"/>
      <c r="EM374" s="179"/>
      <c r="EN374" s="179"/>
      <c r="EO374" s="16"/>
      <c r="EP374" s="16">
        <f>IFERROR(__xludf.DUMMYFUNCTION("""COMPUTED_VALUE"""),-3.0)</f>
        <v>-3</v>
      </c>
      <c r="EQ374" s="16">
        <f>IFERROR(__xludf.DUMMYFUNCTION("""COMPUTED_VALUE"""),4.0)</f>
        <v>4</v>
      </c>
      <c r="ER374" s="16">
        <f>IFERROR(__xludf.DUMMYFUNCTION("""COMPUTED_VALUE"""),-4.0)</f>
        <v>-4</v>
      </c>
      <c r="ES374" s="16"/>
      <c r="ET374" s="16"/>
      <c r="EU374" s="16"/>
      <c r="EV374" s="16"/>
      <c r="EW374" s="16"/>
      <c r="EX374" s="180"/>
      <c r="EY374" s="180"/>
      <c r="EZ374" s="180">
        <f>IFERROR(__xludf.DUMMYFUNCTION("""COMPUTED_VALUE"""),0.2)</f>
        <v>0.2</v>
      </c>
      <c r="FA374" s="180">
        <f>IFERROR(__xludf.DUMMYFUNCTION("""COMPUTED_VALUE"""),0.3)</f>
        <v>0.3</v>
      </c>
      <c r="FB374" s="180">
        <f>IFERROR(__xludf.DUMMYFUNCTION("""COMPUTED_VALUE"""),0.3)</f>
        <v>0.3</v>
      </c>
      <c r="FC374" s="180"/>
      <c r="FD374" s="180"/>
      <c r="FE374" s="180"/>
      <c r="FF374" s="180"/>
      <c r="FG374" s="180"/>
      <c r="FH374" s="180">
        <f>IFERROR(__xludf.DUMMYFUNCTION("""COMPUTED_VALUE"""),0.037037037037037035)</f>
        <v>0.03703703704</v>
      </c>
      <c r="FI374" s="180">
        <f>IFERROR(__xludf.DUMMYFUNCTION("""COMPUTED_VALUE"""),0.09722222222222222)</f>
        <v>0.09722222222</v>
      </c>
      <c r="FJ374" s="180">
        <f>IFERROR(__xludf.DUMMYFUNCTION("""COMPUTED_VALUE"""),0.14351851851851852)</f>
        <v>0.1435185185</v>
      </c>
      <c r="FK374" s="180"/>
      <c r="FL374" s="180"/>
      <c r="FM374" s="180"/>
      <c r="FN374" s="16"/>
      <c r="FO374" s="16"/>
      <c r="FP374" s="16">
        <f>IFERROR(__xludf.DUMMYFUNCTION("""COMPUTED_VALUE"""),0.7703703703703705)</f>
        <v>0.7703703704</v>
      </c>
      <c r="FQ374" s="16">
        <f>IFERROR(__xludf.DUMMYFUNCTION("""COMPUTED_VALUE"""),0.6319444444444444)</f>
        <v>0.6319444444</v>
      </c>
      <c r="FR374" s="16">
        <f>IFERROR(__xludf.DUMMYFUNCTION("""COMPUTED_VALUE"""),0.599537037037037)</f>
        <v>0.599537037</v>
      </c>
      <c r="FS374" s="16"/>
      <c r="FT374" s="16"/>
      <c r="FU374" s="16"/>
      <c r="FV374" s="16"/>
      <c r="FW374" s="16"/>
      <c r="FX374" s="16">
        <f>IFERROR(__xludf.DUMMYFUNCTION("""COMPUTED_VALUE"""),-1.0)</f>
        <v>-1</v>
      </c>
      <c r="FY374" s="16">
        <f>IFERROR(__xludf.DUMMYFUNCTION("""COMPUTED_VALUE"""),-6.0)</f>
        <v>-6</v>
      </c>
      <c r="FZ374" s="16">
        <f>IFERROR(__xludf.DUMMYFUNCTION("""COMPUTED_VALUE"""),-6.0)</f>
        <v>-6</v>
      </c>
      <c r="GA374" s="16"/>
      <c r="GB374" s="16"/>
      <c r="GC374" s="16"/>
      <c r="GD374" s="16" t="s">
        <v>176</v>
      </c>
    </row>
    <row r="375">
      <c r="A375" s="16">
        <f>IFERROR(__xludf.DUMMYFUNCTION("""COMPUTED_VALUE"""),13249.0)</f>
        <v>13249</v>
      </c>
      <c r="B375" s="16" t="str">
        <f>IFERROR(__xludf.DUMMYFUNCTION("""COMPUTED_VALUE"""),"Nick Senzel")</f>
        <v>Nick Senzel</v>
      </c>
      <c r="C375" s="16">
        <f>IFERROR(__xludf.DUMMYFUNCTION("""COMPUTED_VALUE"""),0.0)</f>
        <v>0</v>
      </c>
      <c r="D375" s="16" t="str">
        <f>IFERROR(__xludf.DUMMYFUNCTION("""COMPUTED_VALUE"""),"R")</f>
        <v>R</v>
      </c>
      <c r="E375" s="16"/>
      <c r="F375" s="16"/>
      <c r="G375" s="16">
        <f>IFERROR(__xludf.DUMMYFUNCTION("""COMPUTED_VALUE"""),236.0)</f>
        <v>236</v>
      </c>
      <c r="H375" s="16">
        <f>IFERROR(__xludf.DUMMYFUNCTION("""COMPUTED_VALUE"""),28.0)</f>
        <v>28</v>
      </c>
      <c r="I375" s="16" t="str">
        <f>IFERROR(__xludf.DUMMYFUNCTION("""COMPUTED_VALUE"""),"2p40")</f>
        <v>2p40</v>
      </c>
      <c r="J375" s="16">
        <f>IFERROR(__xludf.DUMMYFUNCTION("""COMPUTED_VALUE"""),5.0)</f>
        <v>5</v>
      </c>
      <c r="K375" s="16">
        <f>IFERROR(__xludf.DUMMYFUNCTION("""COMPUTED_VALUE"""),32.0)</f>
        <v>32</v>
      </c>
      <c r="L375" s="16">
        <f>IFERROR(__xludf.DUMMYFUNCTION("""COMPUTED_VALUE"""),2.0)</f>
        <v>2</v>
      </c>
      <c r="M375" s="16">
        <f>IFERROR(__xludf.DUMMYFUNCTION("""COMPUTED_VALUE"""),-1.0)</f>
        <v>-1</v>
      </c>
      <c r="N375" s="16">
        <f>IFERROR(__xludf.DUMMYFUNCTION("""COMPUTED_VALUE"""),2.0)</f>
        <v>2</v>
      </c>
      <c r="O375" s="16">
        <f>IFERROR(__xludf.DUMMYFUNCTION("""COMPUTED_VALUE"""),-1.0)</f>
        <v>-1</v>
      </c>
      <c r="P375" s="16">
        <f>IFERROR(__xludf.DUMMYFUNCTION("""COMPUTED_VALUE"""),14.0)</f>
        <v>14</v>
      </c>
      <c r="Q375" s="16">
        <f>IFERROR(__xludf.DUMMYFUNCTION("""COMPUTED_VALUE"""),14.0)</f>
        <v>14</v>
      </c>
      <c r="R375" s="16">
        <f>IFERROR(__xludf.DUMMYFUNCTION("""COMPUTED_VALUE"""),2.0)</f>
        <v>2</v>
      </c>
      <c r="S375" s="16">
        <f>IFERROR(__xludf.DUMMYFUNCTION("""COMPUTED_VALUE"""),2.0)</f>
        <v>2</v>
      </c>
      <c r="T375" s="16">
        <f>IFERROR(__xludf.DUMMYFUNCTION("""COMPUTED_VALUE"""),2.0)</f>
        <v>2</v>
      </c>
      <c r="U375" s="16">
        <f>IFERROR(__xludf.DUMMYFUNCTION("""COMPUTED_VALUE"""),2.0)</f>
        <v>2</v>
      </c>
      <c r="V375" s="16">
        <f>IFERROR(__xludf.DUMMYFUNCTION("""COMPUTED_VALUE"""),7.9)</f>
        <v>7.9</v>
      </c>
      <c r="W375" s="16">
        <f>IFERROR(__xludf.DUMMYFUNCTION("""COMPUTED_VALUE"""),11.8)</f>
        <v>11.8</v>
      </c>
      <c r="X375" s="16">
        <f>IFERROR(__xludf.DUMMYFUNCTION("""COMPUTED_VALUE"""),-2.0)</f>
        <v>-2</v>
      </c>
      <c r="Y375" s="16">
        <f>IFERROR(__xludf.DUMMYFUNCTION("""COMPUTED_VALUE"""),-2.0)</f>
        <v>-2</v>
      </c>
      <c r="Z375" s="16">
        <f>IFERROR(__xludf.DUMMYFUNCTION("""COMPUTED_VALUE"""),-4.0)</f>
        <v>-4</v>
      </c>
      <c r="AA375" s="16">
        <f>IFERROR(__xludf.DUMMYFUNCTION("""COMPUTED_VALUE"""),-4.0)</f>
        <v>-4</v>
      </c>
      <c r="AB375" s="16">
        <f>IFERROR(__xludf.DUMMYFUNCTION("""COMPUTED_VALUE"""),23.0)</f>
        <v>23</v>
      </c>
      <c r="AC375" s="16">
        <f>IFERROR(__xludf.DUMMYFUNCTION("""COMPUTED_VALUE"""),26.8)</f>
        <v>26.8</v>
      </c>
      <c r="AD375" s="16">
        <f>IFERROR(__xludf.DUMMYFUNCTION("""COMPUTED_VALUE"""),-1.0)</f>
        <v>-1</v>
      </c>
      <c r="AE375" s="16">
        <f>IFERROR(__xludf.DUMMYFUNCTION("""COMPUTED_VALUE"""),-1.0)</f>
        <v>-1</v>
      </c>
      <c r="AF375" s="16">
        <f>IFERROR(__xludf.DUMMYFUNCTION("""COMPUTED_VALUE"""),-5.0)</f>
        <v>-5</v>
      </c>
      <c r="AG375" s="16">
        <f>IFERROR(__xludf.DUMMYFUNCTION("""COMPUTED_VALUE"""),-5.0)</f>
        <v>-5</v>
      </c>
      <c r="AH375" s="16">
        <f>IFERROR(__xludf.DUMMYFUNCTION("""COMPUTED_VALUE"""),20.8)</f>
        <v>20.8</v>
      </c>
      <c r="AI375" s="16">
        <f>IFERROR(__xludf.DUMMYFUNCTION("""COMPUTED_VALUE"""),18.1)</f>
        <v>18.1</v>
      </c>
      <c r="AJ375" s="16">
        <f>IFERROR(__xludf.DUMMYFUNCTION("""COMPUTED_VALUE"""),-1.0)</f>
        <v>-1</v>
      </c>
      <c r="AK375" s="16">
        <f>IFERROR(__xludf.DUMMYFUNCTION("""COMPUTED_VALUE"""),-2.0)</f>
        <v>-2</v>
      </c>
      <c r="AL375" s="16">
        <f>IFERROR(__xludf.DUMMYFUNCTION("""COMPUTED_VALUE"""),-5.0)</f>
        <v>-5</v>
      </c>
      <c r="AM375" s="16">
        <f>IFERROR(__xludf.DUMMYFUNCTION("""COMPUTED_VALUE"""),-10.0)</f>
        <v>-10</v>
      </c>
      <c r="AN375" s="16">
        <f>IFERROR(__xludf.DUMMYFUNCTION("""COMPUTED_VALUE"""),3.2)</f>
        <v>3.2</v>
      </c>
      <c r="AO375" s="16">
        <f>IFERROR(__xludf.DUMMYFUNCTION("""COMPUTED_VALUE"""),0.8)</f>
        <v>0.8</v>
      </c>
      <c r="AP375" s="16">
        <f>IFERROR(__xludf.DUMMYFUNCTION("""COMPUTED_VALUE"""),1.0)</f>
        <v>1</v>
      </c>
      <c r="AQ375" s="16">
        <f>IFERROR(__xludf.DUMMYFUNCTION("""COMPUTED_VALUE"""),-2.0)</f>
        <v>-2</v>
      </c>
      <c r="AR375" s="16">
        <f>IFERROR(__xludf.DUMMYFUNCTION("""COMPUTED_VALUE"""),2.0)</f>
        <v>2</v>
      </c>
      <c r="AS375" s="16">
        <f>IFERROR(__xludf.DUMMYFUNCTION("""COMPUTED_VALUE"""),-4.0)</f>
        <v>-4</v>
      </c>
      <c r="AT375" s="16"/>
      <c r="AU375" s="16">
        <f>IFERROR(__xludf.DUMMYFUNCTION("""COMPUTED_VALUE"""),1.0)</f>
        <v>1</v>
      </c>
      <c r="AV375" s="16">
        <f>IFERROR(__xludf.DUMMYFUNCTION("""COMPUTED_VALUE"""),5.0)</f>
        <v>5</v>
      </c>
      <c r="AW375" s="16">
        <f>IFERROR(__xludf.DUMMYFUNCTION("""COMPUTED_VALUE"""),1.0)</f>
        <v>1</v>
      </c>
      <c r="AX375" s="16">
        <f>IFERROR(__xludf.DUMMYFUNCTION("""COMPUTED_VALUE"""),3.0)</f>
        <v>3</v>
      </c>
      <c r="AY375" s="16">
        <f>IFERROR(__xludf.DUMMYFUNCTION("""COMPUTED_VALUE"""),-1.0)</f>
        <v>-1</v>
      </c>
      <c r="AZ375" s="16">
        <f>IFERROR(__xludf.DUMMYFUNCTION("""COMPUTED_VALUE"""),9.0)</f>
        <v>9</v>
      </c>
      <c r="BA375" s="16">
        <f>IFERROR(__xludf.DUMMYFUNCTION("""COMPUTED_VALUE"""),-3.0)</f>
        <v>-3</v>
      </c>
      <c r="BB375" s="16">
        <f>IFERROR(__xludf.DUMMYFUNCTION("""COMPUTED_VALUE"""),0.0)</f>
        <v>0</v>
      </c>
      <c r="BC375" s="16">
        <f>IFERROR(__xludf.DUMMYFUNCTION("""COMPUTED_VALUE"""),5.0)</f>
        <v>5</v>
      </c>
      <c r="BD375" s="16">
        <f>IFERROR(__xludf.DUMMYFUNCTION("""COMPUTED_VALUE"""),0.0)</f>
        <v>0</v>
      </c>
      <c r="BE375" s="16">
        <f>IFERROR(__xludf.DUMMYFUNCTION("""COMPUTED_VALUE"""),1.0)</f>
        <v>1</v>
      </c>
      <c r="BF375" s="16">
        <f>IFERROR(__xludf.DUMMYFUNCTION("""COMPUTED_VALUE"""),0.0)</f>
        <v>0</v>
      </c>
      <c r="BG375" s="16">
        <f>IFERROR(__xludf.DUMMYFUNCTION("""COMPUTED_VALUE"""),1.0)</f>
        <v>1</v>
      </c>
      <c r="BH375" s="16">
        <f>IFERROR(__xludf.DUMMYFUNCTION("""COMPUTED_VALUE"""),0.0)</f>
        <v>0</v>
      </c>
      <c r="BI375" s="16">
        <f>IFERROR(__xludf.DUMMYFUNCTION("""COMPUTED_VALUE"""),-4.0)</f>
        <v>-4</v>
      </c>
      <c r="BJ375" s="16">
        <f>IFERROR(__xludf.DUMMYFUNCTION("""COMPUTED_VALUE"""),16.0)</f>
        <v>16</v>
      </c>
      <c r="BK375" s="16">
        <f>IFERROR(__xludf.DUMMYFUNCTION("""COMPUTED_VALUE"""),16.0)</f>
        <v>16</v>
      </c>
      <c r="BL375" s="16">
        <f>IFERROR(__xludf.DUMMYFUNCTION("""COMPUTED_VALUE"""),-1.0)</f>
        <v>-1</v>
      </c>
      <c r="BM375" s="16">
        <f>IFERROR(__xludf.DUMMYFUNCTION("""COMPUTED_VALUE"""),-1.0)</f>
        <v>-1</v>
      </c>
      <c r="BN375" s="16">
        <f>IFERROR(__xludf.DUMMYFUNCTION("""COMPUTED_VALUE"""),-2.0)</f>
        <v>-2</v>
      </c>
      <c r="BO375" s="16">
        <f>IFERROR(__xludf.DUMMYFUNCTION("""COMPUTED_VALUE"""),-2.0)</f>
        <v>-2</v>
      </c>
      <c r="BP375" s="16">
        <f>IFERROR(__xludf.DUMMYFUNCTION("""COMPUTED_VALUE"""),3.0)</f>
        <v>3</v>
      </c>
      <c r="BQ375" s="16">
        <f>IFERROR(__xludf.DUMMYFUNCTION("""COMPUTED_VALUE"""),-7.0)</f>
        <v>-7</v>
      </c>
      <c r="BR375" s="16">
        <f>IFERROR(__xludf.DUMMYFUNCTION("""COMPUTED_VALUE"""),-4.0)</f>
        <v>-4</v>
      </c>
      <c r="BS375" s="16" t="str">
        <f>IFERROR(__xludf.DUMMYFUNCTION("""COMPUTED_VALUE"""),"2-5/8-12 (13-1)")</f>
        <v>2-5/8-12 (13-1)</v>
      </c>
      <c r="BT375" s="16" t="str">
        <f>IFERROR(__xludf.DUMMYFUNCTION("""COMPUTED_VALUE"""),"D")</f>
        <v>D</v>
      </c>
      <c r="BU375" s="16">
        <f>IFERROR(__xludf.DUMMYFUNCTION("""COMPUTED_VALUE"""),13.0)</f>
        <v>13</v>
      </c>
      <c r="BV375" s="16">
        <f>IFERROR(__xludf.DUMMYFUNCTION("""COMPUTED_VALUE"""),0.0)</f>
        <v>0</v>
      </c>
      <c r="BW375" s="16">
        <f>IFERROR(__xludf.DUMMYFUNCTION("""COMPUTED_VALUE"""),1.0)</f>
        <v>1</v>
      </c>
      <c r="BX375" s="16">
        <f>IFERROR(__xludf.DUMMYFUNCTION("""COMPUTED_VALUE"""),0.0)</f>
        <v>0</v>
      </c>
      <c r="BY375" s="16">
        <f>IFERROR(__xludf.DUMMYFUNCTION("""COMPUTED_VALUE"""),3.0)</f>
        <v>3</v>
      </c>
      <c r="BZ375" s="16" t="str">
        <f>IFERROR(__xludf.DUMMYFUNCTION("""COMPUTED_VALUE"""),"D")</f>
        <v>D</v>
      </c>
      <c r="CA375" s="16" t="str">
        <f>IFERROR(__xludf.DUMMYFUNCTION("""COMPUTED_VALUE"""),"D")</f>
        <v>D</v>
      </c>
      <c r="CB375" s="16">
        <f>IFERROR(__xludf.DUMMYFUNCTION("""COMPUTED_VALUE"""),0.0)</f>
        <v>0</v>
      </c>
      <c r="CC375" s="16">
        <f>IFERROR(__xludf.DUMMYFUNCTION("""COMPUTED_VALUE"""),0.0)</f>
        <v>0</v>
      </c>
      <c r="CD375" s="16">
        <f>IFERROR(__xludf.DUMMYFUNCTION("""COMPUTED_VALUE"""),0.0)</f>
        <v>0</v>
      </c>
      <c r="CE375" s="16">
        <f>IFERROR(__xludf.DUMMYFUNCTION("""COMPUTED_VALUE"""),0.0)</f>
        <v>0</v>
      </c>
      <c r="CF375" s="16">
        <f>IFERROR(__xludf.DUMMYFUNCTION("""COMPUTED_VALUE"""),2.0)</f>
        <v>2</v>
      </c>
      <c r="CG375" s="16">
        <f>IFERROR(__xludf.DUMMYFUNCTION("""COMPUTED_VALUE"""),-1.0)</f>
        <v>-1</v>
      </c>
      <c r="CH375" s="16">
        <f>IFERROR(__xludf.DUMMYFUNCTION("""COMPUTED_VALUE"""),-26.0)</f>
        <v>-26</v>
      </c>
      <c r="CI375" s="179">
        <f>IFERROR(__xludf.DUMMYFUNCTION("""COMPUTED_VALUE"""),-18.0)</f>
        <v>-18</v>
      </c>
      <c r="CJ375" s="16"/>
      <c r="CK375" s="16"/>
      <c r="CL375" s="16"/>
      <c r="CM375" s="16">
        <f>IFERROR(__xludf.DUMMYFUNCTION("""COMPUTED_VALUE"""),419.0)</f>
        <v>419</v>
      </c>
      <c r="CN375" s="16"/>
      <c r="CO375" s="16"/>
      <c r="CP375" s="16"/>
      <c r="CQ375" s="16">
        <f>IFERROR(__xludf.DUMMYFUNCTION("""COMPUTED_VALUE"""),404.0)</f>
        <v>404</v>
      </c>
      <c r="CR375" s="16" t="str">
        <f>IFERROR(__xludf.DUMMYFUNCTION("""COMPUTED_VALUE"""),"3b-4e19 rf-4(0)e4")</f>
        <v>3b-4e19 rf-4(0)e4</v>
      </c>
      <c r="CS375" s="16"/>
      <c r="CT375" s="16"/>
      <c r="CU375" s="16"/>
      <c r="CV375" s="16">
        <f>IFERROR(__xludf.DUMMYFUNCTION("""COMPUTED_VALUE"""),4.0)</f>
        <v>4</v>
      </c>
      <c r="CW375" s="16"/>
      <c r="CX375" s="16"/>
      <c r="CY375" s="16"/>
      <c r="CZ375" s="16">
        <f>IFERROR(__xludf.DUMMYFUNCTION("""COMPUTED_VALUE"""),4.0)</f>
        <v>4</v>
      </c>
      <c r="DA375" s="16"/>
      <c r="DB375" s="16"/>
      <c r="DC375" s="16"/>
      <c r="DD375" s="16">
        <f>IFERROR(__xludf.DUMMYFUNCTION("""COMPUTED_VALUE"""),19.0)</f>
        <v>19</v>
      </c>
      <c r="DE375" s="16"/>
      <c r="DF375" s="16"/>
      <c r="DG375" s="16"/>
      <c r="DH375" s="16">
        <f>IFERROR(__xludf.DUMMYFUNCTION("""COMPUTED_VALUE"""),4.0)</f>
        <v>4</v>
      </c>
      <c r="DI375" s="16"/>
      <c r="DJ375" s="16"/>
      <c r="DK375" s="16"/>
      <c r="DL375" s="16">
        <f>IFERROR(__xludf.DUMMYFUNCTION("""COMPUTED_VALUE"""),0.0)</f>
        <v>0</v>
      </c>
      <c r="DM375" s="16"/>
      <c r="DN375" s="16"/>
      <c r="DO375" s="16"/>
      <c r="DP375" s="16">
        <f>IFERROR(__xludf.DUMMYFUNCTION("""COMPUTED_VALUE"""),-1.0)</f>
        <v>-1</v>
      </c>
      <c r="DQ375" s="16"/>
      <c r="DR375" s="16"/>
      <c r="DS375" s="16"/>
      <c r="DT375" s="16">
        <f>IFERROR(__xludf.DUMMYFUNCTION("""COMPUTED_VALUE"""),0.0)</f>
        <v>0</v>
      </c>
      <c r="DU375" s="16"/>
      <c r="DV375" s="16"/>
      <c r="DW375" s="16"/>
      <c r="DX375" s="16">
        <f>IFERROR(__xludf.DUMMYFUNCTION("""COMPUTED_VALUE"""),2.0)</f>
        <v>2</v>
      </c>
      <c r="DY375" s="16"/>
      <c r="DZ375" s="16"/>
      <c r="EA375" s="16"/>
      <c r="EB375" s="16">
        <f>IFERROR(__xludf.DUMMYFUNCTION("""COMPUTED_VALUE"""),0.0)</f>
        <v>0</v>
      </c>
      <c r="EC375" s="16"/>
      <c r="ED375" s="16"/>
      <c r="EE375" s="16"/>
      <c r="EF375" s="16">
        <f>IFERROR(__xludf.DUMMYFUNCTION("""COMPUTED_VALUE"""),1.0)</f>
        <v>1</v>
      </c>
      <c r="EG375" s="179"/>
      <c r="EH375" s="179"/>
      <c r="EI375" s="179"/>
      <c r="EJ375" s="179">
        <f>IFERROR(__xludf.DUMMYFUNCTION("""COMPUTED_VALUE"""),-18.0)</f>
        <v>-18</v>
      </c>
      <c r="EK375" s="179"/>
      <c r="EL375" s="179"/>
      <c r="EM375" s="179"/>
      <c r="EN375" s="179">
        <f>IFERROR(__xludf.DUMMYFUNCTION("""COMPUTED_VALUE"""),-17.0)</f>
        <v>-17</v>
      </c>
      <c r="EO375" s="16"/>
      <c r="EP375" s="16"/>
      <c r="EQ375" s="16">
        <f>IFERROR(__xludf.DUMMYFUNCTION("""COMPUTED_VALUE"""),2.0)</f>
        <v>2</v>
      </c>
      <c r="ER375" s="16">
        <f>IFERROR(__xludf.DUMMYFUNCTION("""COMPUTED_VALUE"""),-1.0)</f>
        <v>-1</v>
      </c>
      <c r="ES375" s="16"/>
      <c r="ET375" s="16"/>
      <c r="EU375" s="16"/>
      <c r="EV375" s="16"/>
      <c r="EW375" s="16"/>
      <c r="EX375" s="180"/>
      <c r="EY375" s="180"/>
      <c r="EZ375" s="180"/>
      <c r="FA375" s="180">
        <f>IFERROR(__xludf.DUMMYFUNCTION("""COMPUTED_VALUE"""),0.3)</f>
        <v>0.3</v>
      </c>
      <c r="FB375" s="180"/>
      <c r="FC375" s="180"/>
      <c r="FD375" s="180"/>
      <c r="FE375" s="180">
        <f>IFERROR(__xludf.DUMMYFUNCTION("""COMPUTED_VALUE"""),0.55)</f>
        <v>0.55</v>
      </c>
      <c r="FF375" s="180"/>
      <c r="FG375" s="180"/>
      <c r="FH375" s="180"/>
      <c r="FI375" s="180">
        <f>IFERROR(__xludf.DUMMYFUNCTION("""COMPUTED_VALUE"""),0.22685185185185186)</f>
        <v>0.2268518519</v>
      </c>
      <c r="FJ375" s="180"/>
      <c r="FK375" s="180"/>
      <c r="FL375" s="180"/>
      <c r="FM375" s="180">
        <f>IFERROR(__xludf.DUMMYFUNCTION("""COMPUTED_VALUE"""),0.069)</f>
        <v>0.069</v>
      </c>
      <c r="FN375" s="16"/>
      <c r="FO375" s="16"/>
      <c r="FP375" s="16"/>
      <c r="FQ375" s="16">
        <f>IFERROR(__xludf.DUMMYFUNCTION("""COMPUTED_VALUE"""),0.5412037037037036)</f>
        <v>0.5412037037</v>
      </c>
      <c r="FR375" s="16"/>
      <c r="FS375" s="16"/>
      <c r="FT375" s="16"/>
      <c r="FU375" s="16">
        <f>IFERROR(__xludf.DUMMYFUNCTION("""COMPUTED_VALUE"""),0.41895)</f>
        <v>0.41895</v>
      </c>
      <c r="FV375" s="16"/>
      <c r="FW375" s="16"/>
      <c r="FX375" s="16"/>
      <c r="FY375" s="16">
        <f>IFERROR(__xludf.DUMMYFUNCTION("""COMPUTED_VALUE"""),-8.0)</f>
        <v>-8</v>
      </c>
      <c r="FZ375" s="16"/>
      <c r="GA375" s="16"/>
      <c r="GB375" s="16"/>
      <c r="GC375" s="16">
        <f>IFERROR(__xludf.DUMMYFUNCTION("""COMPUTED_VALUE"""),-8.0)</f>
        <v>-8</v>
      </c>
      <c r="GD375" s="16" t="s">
        <v>176</v>
      </c>
    </row>
    <row r="376">
      <c r="A376" s="16">
        <f>IFERROR(__xludf.DUMMYFUNCTION("""COMPUTED_VALUE"""),12681.0)</f>
        <v>12681</v>
      </c>
      <c r="B376" s="16" t="str">
        <f>IFERROR(__xludf.DUMMYFUNCTION("""COMPUTED_VALUE"""),"Christian Bethancourt")</f>
        <v>Christian Bethancourt</v>
      </c>
      <c r="C376" s="16">
        <f>IFERROR(__xludf.DUMMYFUNCTION("""COMPUTED_VALUE"""),0.59)</f>
        <v>0.59</v>
      </c>
      <c r="D376" s="16" t="str">
        <f>IFERROR(__xludf.DUMMYFUNCTION("""COMPUTED_VALUE"""),"R")</f>
        <v>R</v>
      </c>
      <c r="E376" s="16"/>
      <c r="F376" s="16"/>
      <c r="G376" s="16">
        <f>IFERROR(__xludf.DUMMYFUNCTION("""COMPUTED_VALUE"""),139.0)</f>
        <v>139</v>
      </c>
      <c r="H376" s="16">
        <f>IFERROR(__xludf.DUMMYFUNCTION("""COMPUTED_VALUE"""),5.0)</f>
        <v>5</v>
      </c>
      <c r="I376" s="16" t="str">
        <f>IFERROR(__xludf.DUMMYFUNCTION("""COMPUTED_VALUE"""),"2p30")</f>
        <v>2p30</v>
      </c>
      <c r="J376" s="16">
        <f>IFERROR(__xludf.DUMMYFUNCTION("""COMPUTED_VALUE"""),29.0)</f>
        <v>29</v>
      </c>
      <c r="K376" s="16">
        <f>IFERROR(__xludf.DUMMYFUNCTION("""COMPUTED_VALUE"""),28.0)</f>
        <v>28</v>
      </c>
      <c r="L376" s="16">
        <f>IFERROR(__xludf.DUMMYFUNCTION("""COMPUTED_VALUE"""),0.0)</f>
        <v>0</v>
      </c>
      <c r="M376" s="16">
        <f>IFERROR(__xludf.DUMMYFUNCTION("""COMPUTED_VALUE"""),0.0)</f>
        <v>0</v>
      </c>
      <c r="N376" s="16">
        <f>IFERROR(__xludf.DUMMYFUNCTION("""COMPUTED_VALUE"""),0.0)</f>
        <v>0</v>
      </c>
      <c r="O376" s="16">
        <f>IFERROR(__xludf.DUMMYFUNCTION("""COMPUTED_VALUE"""),0.0)</f>
        <v>0</v>
      </c>
      <c r="P376" s="16">
        <f>IFERROR(__xludf.DUMMYFUNCTION("""COMPUTED_VALUE"""),0.0)</f>
        <v>0</v>
      </c>
      <c r="Q376" s="16">
        <f>IFERROR(__xludf.DUMMYFUNCTION("""COMPUTED_VALUE"""),0.0)</f>
        <v>0</v>
      </c>
      <c r="R376" s="16">
        <f>IFERROR(__xludf.DUMMYFUNCTION("""COMPUTED_VALUE"""),-3.0)</f>
        <v>-3</v>
      </c>
      <c r="S376" s="16">
        <f>IFERROR(__xludf.DUMMYFUNCTION("""COMPUTED_VALUE"""),-2.0)</f>
        <v>-2</v>
      </c>
      <c r="T376" s="16">
        <f>IFERROR(__xludf.DUMMYFUNCTION("""COMPUTED_VALUE"""),-3.0)</f>
        <v>-3</v>
      </c>
      <c r="U376" s="16">
        <f>IFERROR(__xludf.DUMMYFUNCTION("""COMPUTED_VALUE"""),-2.0)</f>
        <v>-2</v>
      </c>
      <c r="V376" s="16">
        <f>IFERROR(__xludf.DUMMYFUNCTION("""COMPUTED_VALUE"""),19.0)</f>
        <v>19</v>
      </c>
      <c r="W376" s="16">
        <f>IFERROR(__xludf.DUMMYFUNCTION("""COMPUTED_VALUE"""),10.1)</f>
        <v>10.1</v>
      </c>
      <c r="X376" s="16">
        <f>IFERROR(__xludf.DUMMYFUNCTION("""COMPUTED_VALUE"""),0.0)</f>
        <v>0</v>
      </c>
      <c r="Y376" s="16">
        <f>IFERROR(__xludf.DUMMYFUNCTION("""COMPUTED_VALUE"""),-2.0)</f>
        <v>-2</v>
      </c>
      <c r="Z376" s="16">
        <f>IFERROR(__xludf.DUMMYFUNCTION("""COMPUTED_VALUE"""),0.0)</f>
        <v>0</v>
      </c>
      <c r="AA376" s="16">
        <f>IFERROR(__xludf.DUMMYFUNCTION("""COMPUTED_VALUE"""),-4.0)</f>
        <v>-4</v>
      </c>
      <c r="AB376" s="16">
        <f>IFERROR(__xludf.DUMMYFUNCTION("""COMPUTED_VALUE"""),21.0)</f>
        <v>21</v>
      </c>
      <c r="AC376" s="16">
        <f>IFERROR(__xludf.DUMMYFUNCTION("""COMPUTED_VALUE"""),12.1)</f>
        <v>12.1</v>
      </c>
      <c r="AD376" s="16">
        <f>IFERROR(__xludf.DUMMYFUNCTION("""COMPUTED_VALUE"""),-1.0)</f>
        <v>-1</v>
      </c>
      <c r="AE376" s="16">
        <f>IFERROR(__xludf.DUMMYFUNCTION("""COMPUTED_VALUE"""),-3.0)</f>
        <v>-3</v>
      </c>
      <c r="AF376" s="16">
        <f>IFERROR(__xludf.DUMMYFUNCTION("""COMPUTED_VALUE"""),-5.0)</f>
        <v>-5</v>
      </c>
      <c r="AG376" s="16">
        <f>IFERROR(__xludf.DUMMYFUNCTION("""COMPUTED_VALUE"""),-15.0)</f>
        <v>-15</v>
      </c>
      <c r="AH376" s="16">
        <f>IFERROR(__xludf.DUMMYFUNCTION("""COMPUTED_VALUE"""),38.2)</f>
        <v>38.2</v>
      </c>
      <c r="AI376" s="16">
        <f>IFERROR(__xludf.DUMMYFUNCTION("""COMPUTED_VALUE"""),18.7)</f>
        <v>18.7</v>
      </c>
      <c r="AJ376" s="16">
        <f>IFERROR(__xludf.DUMMYFUNCTION("""COMPUTED_VALUE"""),1.0)</f>
        <v>1</v>
      </c>
      <c r="AK376" s="16">
        <f>IFERROR(__xludf.DUMMYFUNCTION("""COMPUTED_VALUE"""),-2.0)</f>
        <v>-2</v>
      </c>
      <c r="AL376" s="16">
        <f>IFERROR(__xludf.DUMMYFUNCTION("""COMPUTED_VALUE"""),5.0)</f>
        <v>5</v>
      </c>
      <c r="AM376" s="16">
        <f>IFERROR(__xludf.DUMMYFUNCTION("""COMPUTED_VALUE"""),-10.0)</f>
        <v>-10</v>
      </c>
      <c r="AN376" s="16">
        <f>IFERROR(__xludf.DUMMYFUNCTION("""COMPUTED_VALUE"""),2.8)</f>
        <v>2.8</v>
      </c>
      <c r="AO376" s="16">
        <f>IFERROR(__xludf.DUMMYFUNCTION("""COMPUTED_VALUE"""),2.2)</f>
        <v>2.2</v>
      </c>
      <c r="AP376" s="16">
        <f>IFERROR(__xludf.DUMMYFUNCTION("""COMPUTED_VALUE"""),1.0)</f>
        <v>1</v>
      </c>
      <c r="AQ376" s="16">
        <f>IFERROR(__xludf.DUMMYFUNCTION("""COMPUTED_VALUE"""),0.0)</f>
        <v>0</v>
      </c>
      <c r="AR376" s="16">
        <f>IFERROR(__xludf.DUMMYFUNCTION("""COMPUTED_VALUE"""),2.0)</f>
        <v>2</v>
      </c>
      <c r="AS376" s="16">
        <f>IFERROR(__xludf.DUMMYFUNCTION("""COMPUTED_VALUE"""),0.0)</f>
        <v>0</v>
      </c>
      <c r="AT376" s="16">
        <f>IFERROR(__xludf.DUMMYFUNCTION("""COMPUTED_VALUE"""),5.0)</f>
        <v>5</v>
      </c>
      <c r="AU376" s="16">
        <f>IFERROR(__xludf.DUMMYFUNCTION("""COMPUTED_VALUE"""),4.0)</f>
        <v>4</v>
      </c>
      <c r="AV376" s="16">
        <f>IFERROR(__xludf.DUMMYFUNCTION("""COMPUTED_VALUE"""),5.0)</f>
        <v>5</v>
      </c>
      <c r="AW376" s="16">
        <f>IFERROR(__xludf.DUMMYFUNCTION("""COMPUTED_VALUE"""),4.0)</f>
        <v>4</v>
      </c>
      <c r="AX376" s="16">
        <f>IFERROR(__xludf.DUMMYFUNCTION("""COMPUTED_VALUE"""),3.0)</f>
        <v>3</v>
      </c>
      <c r="AY376" s="16">
        <f>IFERROR(__xludf.DUMMYFUNCTION("""COMPUTED_VALUE"""),1.0)</f>
        <v>1</v>
      </c>
      <c r="AZ376" s="16">
        <f>IFERROR(__xludf.DUMMYFUNCTION("""COMPUTED_VALUE"""),9.0)</f>
        <v>9</v>
      </c>
      <c r="BA376" s="16">
        <f>IFERROR(__xludf.DUMMYFUNCTION("""COMPUTED_VALUE"""),3.0)</f>
        <v>3</v>
      </c>
      <c r="BB376" s="16">
        <f>IFERROR(__xludf.DUMMYFUNCTION("""COMPUTED_VALUE"""),5.0)</f>
        <v>5</v>
      </c>
      <c r="BC376" s="16">
        <f>IFERROR(__xludf.DUMMYFUNCTION("""COMPUTED_VALUE"""),5.0)</f>
        <v>5</v>
      </c>
      <c r="BD376" s="16">
        <f>IFERROR(__xludf.DUMMYFUNCTION("""COMPUTED_VALUE"""),1.0)</f>
        <v>1</v>
      </c>
      <c r="BE376" s="16">
        <f>IFERROR(__xludf.DUMMYFUNCTION("""COMPUTED_VALUE"""),1.0)</f>
        <v>1</v>
      </c>
      <c r="BF376" s="16">
        <f>IFERROR(__xludf.DUMMYFUNCTION("""COMPUTED_VALUE"""),1.0)</f>
        <v>1</v>
      </c>
      <c r="BG376" s="16">
        <f>IFERROR(__xludf.DUMMYFUNCTION("""COMPUTED_VALUE"""),1.0)</f>
        <v>1</v>
      </c>
      <c r="BH376" s="16">
        <f>IFERROR(__xludf.DUMMYFUNCTION("""COMPUTED_VALUE"""),2.0)</f>
        <v>2</v>
      </c>
      <c r="BI376" s="16">
        <f>IFERROR(__xludf.DUMMYFUNCTION("""COMPUTED_VALUE"""),2.0)</f>
        <v>2</v>
      </c>
      <c r="BJ376" s="16">
        <f>IFERROR(__xludf.DUMMYFUNCTION("""COMPUTED_VALUE"""),10.0)</f>
        <v>10</v>
      </c>
      <c r="BK376" s="16">
        <f>IFERROR(__xludf.DUMMYFUNCTION("""COMPUTED_VALUE"""),10.0)</f>
        <v>10</v>
      </c>
      <c r="BL376" s="16">
        <f>IFERROR(__xludf.DUMMYFUNCTION("""COMPUTED_VALUE"""),0.0)</f>
        <v>0</v>
      </c>
      <c r="BM376" s="16">
        <f>IFERROR(__xludf.DUMMYFUNCTION("""COMPUTED_VALUE"""),0.0)</f>
        <v>0</v>
      </c>
      <c r="BN376" s="16">
        <f>IFERROR(__xludf.DUMMYFUNCTION("""COMPUTED_VALUE"""),0.0)</f>
        <v>0</v>
      </c>
      <c r="BO376" s="16">
        <f>IFERROR(__xludf.DUMMYFUNCTION("""COMPUTED_VALUE"""),0.0)</f>
        <v>0</v>
      </c>
      <c r="BP376" s="16">
        <f>IFERROR(__xludf.DUMMYFUNCTION("""COMPUTED_VALUE"""),2.0)</f>
        <v>2</v>
      </c>
      <c r="BQ376" s="16">
        <f>IFERROR(__xludf.DUMMYFUNCTION("""COMPUTED_VALUE"""),-7.0)</f>
        <v>-7</v>
      </c>
      <c r="BR376" s="16">
        <f>IFERROR(__xludf.DUMMYFUNCTION("""COMPUTED_VALUE"""),-5.0)</f>
        <v>-5</v>
      </c>
      <c r="BS376" s="16" t="str">
        <f>IFERROR(__xludf.DUMMYFUNCTION("""COMPUTED_VALUE"""),"*5/- (20-11)")</f>
        <v>*5/- (20-11)</v>
      </c>
      <c r="BT376" s="16" t="str">
        <f>IFERROR(__xludf.DUMMYFUNCTION("""COMPUTED_VALUE"""),"C")</f>
        <v>C</v>
      </c>
      <c r="BU376" s="16">
        <f>IFERROR(__xludf.DUMMYFUNCTION("""COMPUTED_VALUE"""),11.0)</f>
        <v>11</v>
      </c>
      <c r="BV376" s="16">
        <f>IFERROR(__xludf.DUMMYFUNCTION("""COMPUTED_VALUE"""),0.0)</f>
        <v>0</v>
      </c>
      <c r="BW376" s="16">
        <f>IFERROR(__xludf.DUMMYFUNCTION("""COMPUTED_VALUE"""),0.0)</f>
        <v>0</v>
      </c>
      <c r="BX376" s="16">
        <f>IFERROR(__xludf.DUMMYFUNCTION("""COMPUTED_VALUE"""),0.0)</f>
        <v>0</v>
      </c>
      <c r="BY376" s="16">
        <f>IFERROR(__xludf.DUMMYFUNCTION("""COMPUTED_VALUE"""),0.0)</f>
        <v>0</v>
      </c>
      <c r="BZ376" s="16" t="str">
        <f>IFERROR(__xludf.DUMMYFUNCTION("""COMPUTED_VALUE"""),"B")</f>
        <v>B</v>
      </c>
      <c r="CA376" s="16" t="str">
        <f>IFERROR(__xludf.DUMMYFUNCTION("""COMPUTED_VALUE"""),"C")</f>
        <v>C</v>
      </c>
      <c r="CB376" s="16">
        <f>IFERROR(__xludf.DUMMYFUNCTION("""COMPUTED_VALUE"""),1.0)</f>
        <v>1</v>
      </c>
      <c r="CC376" s="16">
        <f>IFERROR(__xludf.DUMMYFUNCTION("""COMPUTED_VALUE"""),0.0)</f>
        <v>0</v>
      </c>
      <c r="CD376" s="16">
        <f>IFERROR(__xludf.DUMMYFUNCTION("""COMPUTED_VALUE"""),1.0)</f>
        <v>1</v>
      </c>
      <c r="CE376" s="16">
        <f>IFERROR(__xludf.DUMMYFUNCTION("""COMPUTED_VALUE"""),0.0)</f>
        <v>0</v>
      </c>
      <c r="CF376" s="16">
        <f>IFERROR(__xludf.DUMMYFUNCTION("""COMPUTED_VALUE"""),2.0)</f>
        <v>2</v>
      </c>
      <c r="CG376" s="16">
        <f>IFERROR(__xludf.DUMMYFUNCTION("""COMPUTED_VALUE"""),9.0)</f>
        <v>9</v>
      </c>
      <c r="CH376" s="16">
        <f>IFERROR(__xludf.DUMMYFUNCTION("""COMPUTED_VALUE"""),-27.0)</f>
        <v>-27</v>
      </c>
      <c r="CI376" s="179">
        <f>IFERROR(__xludf.DUMMYFUNCTION("""COMPUTED_VALUE"""),-18.0)</f>
        <v>-18</v>
      </c>
      <c r="CJ376" s="16">
        <f>IFERROR(__xludf.DUMMYFUNCTION("""COMPUTED_VALUE"""),301.0)</f>
        <v>301</v>
      </c>
      <c r="CK376" s="16"/>
      <c r="CL376" s="16"/>
      <c r="CM376" s="16"/>
      <c r="CN376" s="16"/>
      <c r="CO376" s="16"/>
      <c r="CP376" s="16"/>
      <c r="CQ376" s="16"/>
      <c r="CR376" s="16" t="str">
        <f>IFERROR(__xludf.DUMMYFUNCTION("""COMPUTED_VALUE"""),"c-3(-2)e1,T-16(pb-0)")</f>
        <v>c-3(-2)e1,T-16(pb-0)</v>
      </c>
      <c r="CS376" s="16">
        <f>IFERROR(__xludf.DUMMYFUNCTION("""COMPUTED_VALUE"""),3.0)</f>
        <v>3</v>
      </c>
      <c r="CT376" s="16"/>
      <c r="CU376" s="16"/>
      <c r="CV376" s="16"/>
      <c r="CW376" s="16"/>
      <c r="CX376" s="16"/>
      <c r="CY376" s="16"/>
      <c r="CZ376" s="16"/>
      <c r="DA376" s="16">
        <f>IFERROR(__xludf.DUMMYFUNCTION("""COMPUTED_VALUE"""),1.0)</f>
        <v>1</v>
      </c>
      <c r="DB376" s="16"/>
      <c r="DC376" s="16"/>
      <c r="DD376" s="16"/>
      <c r="DE376" s="16"/>
      <c r="DF376" s="16"/>
      <c r="DG376" s="16"/>
      <c r="DH376" s="16"/>
      <c r="DI376" s="16">
        <f>IFERROR(__xludf.DUMMYFUNCTION("""COMPUTED_VALUE"""),0.0)</f>
        <v>0</v>
      </c>
      <c r="DJ376" s="16"/>
      <c r="DK376" s="16"/>
      <c r="DL376" s="16"/>
      <c r="DM376" s="16"/>
      <c r="DN376" s="16"/>
      <c r="DO376" s="16"/>
      <c r="DP376" s="16"/>
      <c r="DQ376" s="16">
        <f>IFERROR(__xludf.DUMMYFUNCTION("""COMPUTED_VALUE"""),4.0)</f>
        <v>4</v>
      </c>
      <c r="DR376" s="16"/>
      <c r="DS376" s="16"/>
      <c r="DT376" s="16"/>
      <c r="DU376" s="16"/>
      <c r="DV376" s="16"/>
      <c r="DW376" s="16"/>
      <c r="DX376" s="16"/>
      <c r="DY376" s="16">
        <f>IFERROR(__xludf.DUMMYFUNCTION("""COMPUTED_VALUE"""),4.0)</f>
        <v>4</v>
      </c>
      <c r="DZ376" s="16"/>
      <c r="EA376" s="16"/>
      <c r="EB376" s="16"/>
      <c r="EC376" s="16"/>
      <c r="ED376" s="16"/>
      <c r="EE376" s="16"/>
      <c r="EF376" s="16"/>
      <c r="EG376" s="179">
        <f>IFERROR(__xludf.DUMMYFUNCTION("""COMPUTED_VALUE"""),-16.0)</f>
        <v>-16</v>
      </c>
      <c r="EH376" s="179"/>
      <c r="EI376" s="179"/>
      <c r="EJ376" s="179"/>
      <c r="EK376" s="179"/>
      <c r="EL376" s="179"/>
      <c r="EM376" s="179"/>
      <c r="EN376" s="179"/>
      <c r="EO376" s="16">
        <f>IFERROR(__xludf.DUMMYFUNCTION("""COMPUTED_VALUE"""),-2.0)</f>
        <v>-2</v>
      </c>
      <c r="EP376" s="16">
        <f>IFERROR(__xludf.DUMMYFUNCTION("""COMPUTED_VALUE"""),-1.0)</f>
        <v>-1</v>
      </c>
      <c r="EQ376" s="16">
        <f>IFERROR(__xludf.DUMMYFUNCTION("""COMPUTED_VALUE"""),2.0)</f>
        <v>2</v>
      </c>
      <c r="ER376" s="16">
        <f>IFERROR(__xludf.DUMMYFUNCTION("""COMPUTED_VALUE"""),-2.0)</f>
        <v>-2</v>
      </c>
      <c r="ES376" s="16" t="str">
        <f>IFERROR(__xludf.DUMMYFUNCTION("""COMPUTED_VALUE"""),"c-3")</f>
        <v>c-3</v>
      </c>
      <c r="ET376" s="16" t="str">
        <f>IFERROR(__xludf.DUMMYFUNCTION("""COMPUTED_VALUE"""),"-2)e1,T-16")</f>
        <v>-2)e1,T-16</v>
      </c>
      <c r="EU376" s="16" t="str">
        <f>IFERROR(__xludf.DUMMYFUNCTION("""COMPUTED_VALUE"""),"pb-0)")</f>
        <v>pb-0)</v>
      </c>
      <c r="EV376" s="16"/>
      <c r="EW376" s="16">
        <f>IFERROR(__xludf.DUMMYFUNCTION("""COMPUTED_VALUE"""),-2.0)</f>
        <v>-2</v>
      </c>
      <c r="EX376" s="180">
        <f>IFERROR(__xludf.DUMMYFUNCTION("""COMPUTED_VALUE"""),0.2)</f>
        <v>0.2</v>
      </c>
      <c r="EY376" s="180"/>
      <c r="EZ376" s="180"/>
      <c r="FA376" s="180"/>
      <c r="FB376" s="180"/>
      <c r="FC376" s="180"/>
      <c r="FD376" s="180"/>
      <c r="FE376" s="180"/>
      <c r="FF376" s="180">
        <f>IFERROR(__xludf.DUMMYFUNCTION("""COMPUTED_VALUE"""),0.014)</f>
        <v>0.014</v>
      </c>
      <c r="FG376" s="180"/>
      <c r="FH376" s="180"/>
      <c r="FI376" s="180"/>
      <c r="FJ376" s="180"/>
      <c r="FK376" s="180"/>
      <c r="FL376" s="180"/>
      <c r="FM376" s="180"/>
      <c r="FN376" s="16">
        <f>IFERROR(__xludf.DUMMYFUNCTION("""COMPUTED_VALUE"""),0.7888000000000001)</f>
        <v>0.7888</v>
      </c>
      <c r="FO376" s="16"/>
      <c r="FP376" s="16"/>
      <c r="FQ376" s="16"/>
      <c r="FR376" s="16"/>
      <c r="FS376" s="16"/>
      <c r="FT376" s="16"/>
      <c r="FU376" s="16"/>
      <c r="FV376" s="16">
        <f>IFERROR(__xludf.DUMMYFUNCTION("""COMPUTED_VALUE"""),1.0)</f>
        <v>1</v>
      </c>
      <c r="FW376" s="16"/>
      <c r="FX376" s="16"/>
      <c r="FY376" s="16"/>
      <c r="FZ376" s="16"/>
      <c r="GA376" s="16"/>
      <c r="GB376" s="16"/>
      <c r="GC376" s="16"/>
      <c r="GD376" s="16" t="s">
        <v>176</v>
      </c>
    </row>
    <row r="377">
      <c r="A377" s="16">
        <f>IFERROR(__xludf.DUMMYFUNCTION("""COMPUTED_VALUE"""),13244.0)</f>
        <v>13244</v>
      </c>
      <c r="B377" s="16" t="str">
        <f>IFERROR(__xludf.DUMMYFUNCTION("""COMPUTED_VALUE"""),"Nick Martini")</f>
        <v>Nick Martini</v>
      </c>
      <c r="C377" s="16">
        <f>IFERROR(__xludf.DUMMYFUNCTION("""COMPUTED_VALUE"""),0.0)</f>
        <v>0</v>
      </c>
      <c r="D377" s="16" t="str">
        <f>IFERROR(__xludf.DUMMYFUNCTION("""COMPUTED_VALUE"""),"L")</f>
        <v>L</v>
      </c>
      <c r="E377" s="16"/>
      <c r="F377" s="16"/>
      <c r="G377" s="16">
        <f>IFERROR(__xludf.DUMMYFUNCTION("""COMPUTED_VALUE"""),146.0)</f>
        <v>146</v>
      </c>
      <c r="H377" s="16">
        <f>IFERROR(__xludf.DUMMYFUNCTION("""COMPUTED_VALUE"""),9.0)</f>
        <v>9</v>
      </c>
      <c r="I377" s="16" t="str">
        <f>IFERROR(__xludf.DUMMYFUNCTION("""COMPUTED_VALUE"""),"5p30")</f>
        <v>5p30</v>
      </c>
      <c r="J377" s="16">
        <f>IFERROR(__xludf.DUMMYFUNCTION("""COMPUTED_VALUE"""),23.0)</f>
        <v>23</v>
      </c>
      <c r="K377" s="16">
        <f>IFERROR(__xludf.DUMMYFUNCTION("""COMPUTED_VALUE"""),27.0)</f>
        <v>27</v>
      </c>
      <c r="L377" s="16">
        <f>IFERROR(__xludf.DUMMYFUNCTION("""COMPUTED_VALUE"""),0.0)</f>
        <v>0</v>
      </c>
      <c r="M377" s="16">
        <f>IFERROR(__xludf.DUMMYFUNCTION("""COMPUTED_VALUE"""),0.0)</f>
        <v>0</v>
      </c>
      <c r="N377" s="16">
        <f>IFERROR(__xludf.DUMMYFUNCTION("""COMPUTED_VALUE"""),0.0)</f>
        <v>0</v>
      </c>
      <c r="O377" s="16">
        <f>IFERROR(__xludf.DUMMYFUNCTION("""COMPUTED_VALUE"""),0.0)</f>
        <v>0</v>
      </c>
      <c r="P377" s="16">
        <f>IFERROR(__xludf.DUMMYFUNCTION("""COMPUTED_VALUE"""),0.0)</f>
        <v>0</v>
      </c>
      <c r="Q377" s="16">
        <f>IFERROR(__xludf.DUMMYFUNCTION("""COMPUTED_VALUE"""),6.0)</f>
        <v>6</v>
      </c>
      <c r="R377" s="16">
        <f>IFERROR(__xludf.DUMMYFUNCTION("""COMPUTED_VALUE"""),-3.0)</f>
        <v>-3</v>
      </c>
      <c r="S377" s="16">
        <f>IFERROR(__xludf.DUMMYFUNCTION("""COMPUTED_VALUE"""),-1.0)</f>
        <v>-1</v>
      </c>
      <c r="T377" s="16">
        <f>IFERROR(__xludf.DUMMYFUNCTION("""COMPUTED_VALUE"""),-3.0)</f>
        <v>-3</v>
      </c>
      <c r="U377" s="16">
        <f>IFERROR(__xludf.DUMMYFUNCTION("""COMPUTED_VALUE"""),-1.0)</f>
        <v>-1</v>
      </c>
      <c r="V377" s="16">
        <f>IFERROR(__xludf.DUMMYFUNCTION("""COMPUTED_VALUE"""),7.9)</f>
        <v>7.9</v>
      </c>
      <c r="W377" s="16">
        <f>IFERROR(__xludf.DUMMYFUNCTION("""COMPUTED_VALUE"""),13.5)</f>
        <v>13.5</v>
      </c>
      <c r="X377" s="16">
        <f>IFERROR(__xludf.DUMMYFUNCTION("""COMPUTED_VALUE"""),-2.0)</f>
        <v>-2</v>
      </c>
      <c r="Y377" s="16">
        <f>IFERROR(__xludf.DUMMYFUNCTION("""COMPUTED_VALUE"""),-1.0)</f>
        <v>-1</v>
      </c>
      <c r="Z377" s="16">
        <f>IFERROR(__xludf.DUMMYFUNCTION("""COMPUTED_VALUE"""),-4.0)</f>
        <v>-4</v>
      </c>
      <c r="AA377" s="16">
        <f>IFERROR(__xludf.DUMMYFUNCTION("""COMPUTED_VALUE"""),-2.0)</f>
        <v>-2</v>
      </c>
      <c r="AB377" s="16">
        <f>IFERROR(__xludf.DUMMYFUNCTION("""COMPUTED_VALUE"""),13.9)</f>
        <v>13.9</v>
      </c>
      <c r="AC377" s="16">
        <f>IFERROR(__xludf.DUMMYFUNCTION("""COMPUTED_VALUE"""),25.4)</f>
        <v>25.4</v>
      </c>
      <c r="AD377" s="16">
        <f>IFERROR(__xludf.DUMMYFUNCTION("""COMPUTED_VALUE"""),-2.0)</f>
        <v>-2</v>
      </c>
      <c r="AE377" s="16">
        <f>IFERROR(__xludf.DUMMYFUNCTION("""COMPUTED_VALUE"""),-1.0)</f>
        <v>-1</v>
      </c>
      <c r="AF377" s="16">
        <f>IFERROR(__xludf.DUMMYFUNCTION("""COMPUTED_VALUE"""),-10.0)</f>
        <v>-10</v>
      </c>
      <c r="AG377" s="16">
        <f>IFERROR(__xludf.DUMMYFUNCTION("""COMPUTED_VALUE"""),-5.0)</f>
        <v>-5</v>
      </c>
      <c r="AH377" s="16">
        <f>IFERROR(__xludf.DUMMYFUNCTION("""COMPUTED_VALUE"""),21.6)</f>
        <v>21.6</v>
      </c>
      <c r="AI377" s="16">
        <f>IFERROR(__xludf.DUMMYFUNCTION("""COMPUTED_VALUE"""),22.5)</f>
        <v>22.5</v>
      </c>
      <c r="AJ377" s="16">
        <f>IFERROR(__xludf.DUMMYFUNCTION("""COMPUTED_VALUE"""),-1.0)</f>
        <v>-1</v>
      </c>
      <c r="AK377" s="16">
        <f>IFERROR(__xludf.DUMMYFUNCTION("""COMPUTED_VALUE"""),-1.0)</f>
        <v>-1</v>
      </c>
      <c r="AL377" s="16">
        <f>IFERROR(__xludf.DUMMYFUNCTION("""COMPUTED_VALUE"""),-5.0)</f>
        <v>-5</v>
      </c>
      <c r="AM377" s="16">
        <f>IFERROR(__xludf.DUMMYFUNCTION("""COMPUTED_VALUE"""),-5.0)</f>
        <v>-5</v>
      </c>
      <c r="AN377" s="16">
        <f>IFERROR(__xludf.DUMMYFUNCTION("""COMPUTED_VALUE"""),2.0)</f>
        <v>2</v>
      </c>
      <c r="AO377" s="16">
        <f>IFERROR(__xludf.DUMMYFUNCTION("""COMPUTED_VALUE"""),1.9)</f>
        <v>1.9</v>
      </c>
      <c r="AP377" s="16">
        <f>IFERROR(__xludf.DUMMYFUNCTION("""COMPUTED_VALUE"""),0.0)</f>
        <v>0</v>
      </c>
      <c r="AQ377" s="16">
        <f>IFERROR(__xludf.DUMMYFUNCTION("""COMPUTED_VALUE"""),-1.0)</f>
        <v>-1</v>
      </c>
      <c r="AR377" s="16">
        <f>IFERROR(__xludf.DUMMYFUNCTION("""COMPUTED_VALUE"""),0.0)</f>
        <v>0</v>
      </c>
      <c r="AS377" s="16">
        <f>IFERROR(__xludf.DUMMYFUNCTION("""COMPUTED_VALUE"""),-2.0)</f>
        <v>-2</v>
      </c>
      <c r="AT377" s="16">
        <f>IFERROR(__xludf.DUMMYFUNCTION("""COMPUTED_VALUE"""),2.0)</f>
        <v>2</v>
      </c>
      <c r="AU377" s="16">
        <f>IFERROR(__xludf.DUMMYFUNCTION("""COMPUTED_VALUE"""),2.0)</f>
        <v>2</v>
      </c>
      <c r="AV377" s="16">
        <f>IFERROR(__xludf.DUMMYFUNCTION("""COMPUTED_VALUE"""),2.0)</f>
        <v>2</v>
      </c>
      <c r="AW377" s="16">
        <f>IFERROR(__xludf.DUMMYFUNCTION("""COMPUTED_VALUE"""),2.0)</f>
        <v>2</v>
      </c>
      <c r="AX377" s="16">
        <f>IFERROR(__xludf.DUMMYFUNCTION("""COMPUTED_VALUE"""),0.0)</f>
        <v>0</v>
      </c>
      <c r="AY377" s="16">
        <f>IFERROR(__xludf.DUMMYFUNCTION("""COMPUTED_VALUE"""),0.0)</f>
        <v>0</v>
      </c>
      <c r="AZ377" s="16">
        <f>IFERROR(__xludf.DUMMYFUNCTION("""COMPUTED_VALUE"""),0.0)</f>
        <v>0</v>
      </c>
      <c r="BA377" s="16">
        <f>IFERROR(__xludf.DUMMYFUNCTION("""COMPUTED_VALUE"""),0.0)</f>
        <v>0</v>
      </c>
      <c r="BB377" s="16">
        <f>IFERROR(__xludf.DUMMYFUNCTION("""COMPUTED_VALUE"""),5.0)</f>
        <v>5</v>
      </c>
      <c r="BC377" s="16">
        <f>IFERROR(__xludf.DUMMYFUNCTION("""COMPUTED_VALUE"""),5.0)</f>
        <v>5</v>
      </c>
      <c r="BD377" s="16">
        <f>IFERROR(__xludf.DUMMYFUNCTION("""COMPUTED_VALUE"""),1.0)</f>
        <v>1</v>
      </c>
      <c r="BE377" s="16">
        <f>IFERROR(__xludf.DUMMYFUNCTION("""COMPUTED_VALUE"""),1.0)</f>
        <v>1</v>
      </c>
      <c r="BF377" s="16">
        <f>IFERROR(__xludf.DUMMYFUNCTION("""COMPUTED_VALUE"""),1.0)</f>
        <v>1</v>
      </c>
      <c r="BG377" s="16">
        <f>IFERROR(__xludf.DUMMYFUNCTION("""COMPUTED_VALUE"""),1.0)</f>
        <v>1</v>
      </c>
      <c r="BH377" s="16">
        <f>IFERROR(__xludf.DUMMYFUNCTION("""COMPUTED_VALUE"""),6.0)</f>
        <v>6</v>
      </c>
      <c r="BI377" s="16">
        <f>IFERROR(__xludf.DUMMYFUNCTION("""COMPUTED_VALUE"""),6.0)</f>
        <v>6</v>
      </c>
      <c r="BJ377" s="16">
        <f>IFERROR(__xludf.DUMMYFUNCTION("""COMPUTED_VALUE"""),2.0)</f>
        <v>2</v>
      </c>
      <c r="BK377" s="16">
        <f>IFERROR(__xludf.DUMMYFUNCTION("""COMPUTED_VALUE"""),2.0)</f>
        <v>2</v>
      </c>
      <c r="BL377" s="16">
        <f>IFERROR(__xludf.DUMMYFUNCTION("""COMPUTED_VALUE"""),2.0)</f>
        <v>2</v>
      </c>
      <c r="BM377" s="16">
        <f>IFERROR(__xludf.DUMMYFUNCTION("""COMPUTED_VALUE"""),2.0)</f>
        <v>2</v>
      </c>
      <c r="BN377" s="16">
        <f>IFERROR(__xludf.DUMMYFUNCTION("""COMPUTED_VALUE"""),2.0)</f>
        <v>2</v>
      </c>
      <c r="BO377" s="16">
        <f>IFERROR(__xludf.DUMMYFUNCTION("""COMPUTED_VALUE"""),2.0)</f>
        <v>2</v>
      </c>
      <c r="BP377" s="16">
        <f>IFERROR(__xludf.DUMMYFUNCTION("""COMPUTED_VALUE"""),-5.0)</f>
        <v>-5</v>
      </c>
      <c r="BQ377" s="16">
        <f>IFERROR(__xludf.DUMMYFUNCTION("""COMPUTED_VALUE"""),-2.0)</f>
        <v>-2</v>
      </c>
      <c r="BR377" s="16">
        <f>IFERROR(__xludf.DUMMYFUNCTION("""COMPUTED_VALUE"""),-7.0)</f>
        <v>-7</v>
      </c>
      <c r="BS377" s="16" t="str">
        <f>IFERROR(__xludf.DUMMYFUNCTION("""COMPUTED_VALUE"""),"*3-6/2,7-12 (15-3)")</f>
        <v>*3-6/2,7-12 (15-3)</v>
      </c>
      <c r="BT377" s="16" t="str">
        <f>IFERROR(__xludf.DUMMYFUNCTION("""COMPUTED_VALUE"""),"D")</f>
        <v>D</v>
      </c>
      <c r="BU377" s="16">
        <f>IFERROR(__xludf.DUMMYFUNCTION("""COMPUTED_VALUE"""),12.0)</f>
        <v>12</v>
      </c>
      <c r="BV377" s="16">
        <f>IFERROR(__xludf.DUMMYFUNCTION("""COMPUTED_VALUE"""),0.0)</f>
        <v>0</v>
      </c>
      <c r="BW377" s="16">
        <f>IFERROR(__xludf.DUMMYFUNCTION("""COMPUTED_VALUE"""),0.0)</f>
        <v>0</v>
      </c>
      <c r="BX377" s="16">
        <f>IFERROR(__xludf.DUMMYFUNCTION("""COMPUTED_VALUE"""),0.0)</f>
        <v>0</v>
      </c>
      <c r="BY377" s="16">
        <f>IFERROR(__xludf.DUMMYFUNCTION("""COMPUTED_VALUE"""),0.0)</f>
        <v>0</v>
      </c>
      <c r="BZ377" s="16" t="str">
        <f>IFERROR(__xludf.DUMMYFUNCTION("""COMPUTED_VALUE"""),"D")</f>
        <v>D</v>
      </c>
      <c r="CA377" s="16" t="str">
        <f>IFERROR(__xludf.DUMMYFUNCTION("""COMPUTED_VALUE"""),"D")</f>
        <v>D</v>
      </c>
      <c r="CB377" s="16">
        <f>IFERROR(__xludf.DUMMYFUNCTION("""COMPUTED_VALUE"""),0.0)</f>
        <v>0</v>
      </c>
      <c r="CC377" s="16">
        <f>IFERROR(__xludf.DUMMYFUNCTION("""COMPUTED_VALUE"""),0.0)</f>
        <v>0</v>
      </c>
      <c r="CD377" s="16">
        <f>IFERROR(__xludf.DUMMYFUNCTION("""COMPUTED_VALUE"""),0.0)</f>
        <v>0</v>
      </c>
      <c r="CE377" s="16">
        <f>IFERROR(__xludf.DUMMYFUNCTION("""COMPUTED_VALUE"""),0.0)</f>
        <v>0</v>
      </c>
      <c r="CF377" s="16">
        <f>IFERROR(__xludf.DUMMYFUNCTION("""COMPUTED_VALUE"""),5.0)</f>
        <v>5</v>
      </c>
      <c r="CG377" s="16">
        <f>IFERROR(__xludf.DUMMYFUNCTION("""COMPUTED_VALUE"""),-19.0)</f>
        <v>-19</v>
      </c>
      <c r="CH377" s="16">
        <f>IFERROR(__xludf.DUMMYFUNCTION("""COMPUTED_VALUE"""),-12.0)</f>
        <v>-12</v>
      </c>
      <c r="CI377" s="179">
        <f>IFERROR(__xludf.DUMMYFUNCTION("""COMPUTED_VALUE"""),-18.0)</f>
        <v>-18</v>
      </c>
      <c r="CJ377" s="16"/>
      <c r="CK377" s="16"/>
      <c r="CL377" s="16"/>
      <c r="CM377" s="16"/>
      <c r="CN377" s="16"/>
      <c r="CO377" s="16">
        <f>IFERROR(__xludf.DUMMYFUNCTION("""COMPUTED_VALUE"""),403.0)</f>
        <v>403</v>
      </c>
      <c r="CP377" s="16"/>
      <c r="CQ377" s="16">
        <f>IFERROR(__xludf.DUMMYFUNCTION("""COMPUTED_VALUE"""),403.0)</f>
        <v>403</v>
      </c>
      <c r="CR377" s="16" t="str">
        <f>IFERROR(__xludf.DUMMYFUNCTION("""COMPUTED_VALUE"""),"lf-4(+1)e3 rf-4e3")</f>
        <v>lf-4(+1)e3 rf-4e3</v>
      </c>
      <c r="CS377" s="16"/>
      <c r="CT377" s="16"/>
      <c r="CU377" s="16"/>
      <c r="CV377" s="16"/>
      <c r="CW377" s="16"/>
      <c r="CX377" s="16">
        <f>IFERROR(__xludf.DUMMYFUNCTION("""COMPUTED_VALUE"""),4.0)</f>
        <v>4</v>
      </c>
      <c r="CY377" s="16"/>
      <c r="CZ377" s="16">
        <f>IFERROR(__xludf.DUMMYFUNCTION("""COMPUTED_VALUE"""),4.0)</f>
        <v>4</v>
      </c>
      <c r="DA377" s="16"/>
      <c r="DB377" s="16"/>
      <c r="DC377" s="16"/>
      <c r="DD377" s="16"/>
      <c r="DE377" s="16"/>
      <c r="DF377" s="16">
        <f>IFERROR(__xludf.DUMMYFUNCTION("""COMPUTED_VALUE"""),3.0)</f>
        <v>3</v>
      </c>
      <c r="DG377" s="16"/>
      <c r="DH377" s="16">
        <f>IFERROR(__xludf.DUMMYFUNCTION("""COMPUTED_VALUE"""),3.0)</f>
        <v>3</v>
      </c>
      <c r="DI377" s="16"/>
      <c r="DJ377" s="16"/>
      <c r="DK377" s="16"/>
      <c r="DL377" s="16"/>
      <c r="DM377" s="16"/>
      <c r="DN377" s="16">
        <f>IFERROR(__xludf.DUMMYFUNCTION("""COMPUTED_VALUE"""),-1.0)</f>
        <v>-1</v>
      </c>
      <c r="DO377" s="16"/>
      <c r="DP377" s="16">
        <f>IFERROR(__xludf.DUMMYFUNCTION("""COMPUTED_VALUE"""),-1.0)</f>
        <v>-1</v>
      </c>
      <c r="DQ377" s="16"/>
      <c r="DR377" s="16"/>
      <c r="DS377" s="16"/>
      <c r="DT377" s="16"/>
      <c r="DU377" s="16"/>
      <c r="DV377" s="16">
        <f>IFERROR(__xludf.DUMMYFUNCTION("""COMPUTED_VALUE"""),4.0)</f>
        <v>4</v>
      </c>
      <c r="DW377" s="16"/>
      <c r="DX377" s="16">
        <f>IFERROR(__xludf.DUMMYFUNCTION("""COMPUTED_VALUE"""),4.0)</f>
        <v>4</v>
      </c>
      <c r="DY377" s="16"/>
      <c r="DZ377" s="16"/>
      <c r="EA377" s="16"/>
      <c r="EB377" s="16"/>
      <c r="EC377" s="16"/>
      <c r="ED377" s="16">
        <f>IFERROR(__xludf.DUMMYFUNCTION("""COMPUTED_VALUE"""),3.0)</f>
        <v>3</v>
      </c>
      <c r="EE377" s="16"/>
      <c r="EF377" s="16">
        <f>IFERROR(__xludf.DUMMYFUNCTION("""COMPUTED_VALUE"""),3.0)</f>
        <v>3</v>
      </c>
      <c r="EG377" s="179"/>
      <c r="EH377" s="179"/>
      <c r="EI377" s="179"/>
      <c r="EJ377" s="179"/>
      <c r="EK377" s="179"/>
      <c r="EL377" s="179">
        <f>IFERROR(__xludf.DUMMYFUNCTION("""COMPUTED_VALUE"""),-15.0)</f>
        <v>-15</v>
      </c>
      <c r="EM377" s="179"/>
      <c r="EN377" s="179">
        <f>IFERROR(__xludf.DUMMYFUNCTION("""COMPUTED_VALUE"""),-15.0)</f>
        <v>-15</v>
      </c>
      <c r="EO377" s="16"/>
      <c r="EP377" s="16">
        <f>IFERROR(__xludf.DUMMYFUNCTION("""COMPUTED_VALUE"""),-1.0)</f>
        <v>-1</v>
      </c>
      <c r="EQ377" s="16">
        <f>IFERROR(__xludf.DUMMYFUNCTION("""COMPUTED_VALUE"""),-2.0)</f>
        <v>-2</v>
      </c>
      <c r="ER377" s="16">
        <f>IFERROR(__xludf.DUMMYFUNCTION("""COMPUTED_VALUE"""),-2.0)</f>
        <v>-2</v>
      </c>
      <c r="ES377" s="16"/>
      <c r="ET377" s="16"/>
      <c r="EU377" s="16"/>
      <c r="EV377" s="16"/>
      <c r="EW377" s="16"/>
      <c r="EX377" s="180"/>
      <c r="EY377" s="180"/>
      <c r="EZ377" s="180"/>
      <c r="FA377" s="180"/>
      <c r="FB377" s="180"/>
      <c r="FC377" s="180">
        <f>IFERROR(__xludf.DUMMYFUNCTION("""COMPUTED_VALUE"""),0.55)</f>
        <v>0.55</v>
      </c>
      <c r="FD377" s="180"/>
      <c r="FE377" s="180">
        <f>IFERROR(__xludf.DUMMYFUNCTION("""COMPUTED_VALUE"""),0.55)</f>
        <v>0.55</v>
      </c>
      <c r="FF377" s="180"/>
      <c r="FG377" s="180"/>
      <c r="FH377" s="180"/>
      <c r="FI377" s="180"/>
      <c r="FJ377" s="180"/>
      <c r="FK377" s="180">
        <f>IFERROR(__xludf.DUMMYFUNCTION("""COMPUTED_VALUE"""),0.056)</f>
        <v>0.056</v>
      </c>
      <c r="FL377" s="180"/>
      <c r="FM377" s="180">
        <f>IFERROR(__xludf.DUMMYFUNCTION("""COMPUTED_VALUE"""),0.056)</f>
        <v>0.056</v>
      </c>
      <c r="FN377" s="16"/>
      <c r="FO377" s="16"/>
      <c r="FP377" s="16"/>
      <c r="FQ377" s="16"/>
      <c r="FR377" s="16"/>
      <c r="FS377" s="16">
        <f>IFERROR(__xludf.DUMMYFUNCTION("""COMPUTED_VALUE"""),0.42479999999999996)</f>
        <v>0.4248</v>
      </c>
      <c r="FT377" s="16"/>
      <c r="FU377" s="16">
        <f>IFERROR(__xludf.DUMMYFUNCTION("""COMPUTED_VALUE"""),0.42479999999999996)</f>
        <v>0.4248</v>
      </c>
      <c r="FV377" s="16"/>
      <c r="FW377" s="16"/>
      <c r="FX377" s="16"/>
      <c r="FY377" s="16"/>
      <c r="FZ377" s="16"/>
      <c r="GA377" s="16">
        <f>IFERROR(__xludf.DUMMYFUNCTION("""COMPUTED_VALUE"""),-7.0)</f>
        <v>-7</v>
      </c>
      <c r="GB377" s="16"/>
      <c r="GC377" s="16">
        <f>IFERROR(__xludf.DUMMYFUNCTION("""COMPUTED_VALUE"""),-7.0)</f>
        <v>-7</v>
      </c>
      <c r="GD377" s="16" t="s">
        <v>176</v>
      </c>
    </row>
    <row r="378">
      <c r="A378" s="16">
        <f>IFERROR(__xludf.DUMMYFUNCTION("""COMPUTED_VALUE"""),13258.0)</f>
        <v>13258</v>
      </c>
      <c r="B378" s="16" t="str">
        <f>IFERROR(__xludf.DUMMYFUNCTION("""COMPUTED_VALUE"""),"Nolan Jones")</f>
        <v>Nolan Jones</v>
      </c>
      <c r="C378" s="16">
        <f>IFERROR(__xludf.DUMMYFUNCTION("""COMPUTED_VALUE"""),0.0)</f>
        <v>0</v>
      </c>
      <c r="D378" s="16" t="str">
        <f>IFERROR(__xludf.DUMMYFUNCTION("""COMPUTED_VALUE"""),"L")</f>
        <v>L</v>
      </c>
      <c r="E378" s="16"/>
      <c r="F378" s="16"/>
      <c r="G378" s="16">
        <f>IFERROR(__xludf.DUMMYFUNCTION("""COMPUTED_VALUE"""),256.0)</f>
        <v>256</v>
      </c>
      <c r="H378" s="16">
        <f>IFERROR(__xludf.DUMMYFUNCTION("""COMPUTED_VALUE"""),36.0)</f>
        <v>36</v>
      </c>
      <c r="I378" s="16" t="str">
        <f>IFERROR(__xludf.DUMMYFUNCTION("""COMPUTED_VALUE"""),"5p40")</f>
        <v>5p40</v>
      </c>
      <c r="J378" s="16">
        <f>IFERROR(__xludf.DUMMYFUNCTION("""COMPUTED_VALUE"""),48.0)</f>
        <v>48</v>
      </c>
      <c r="K378" s="16">
        <f>IFERROR(__xludf.DUMMYFUNCTION("""COMPUTED_VALUE"""),39.0)</f>
        <v>39</v>
      </c>
      <c r="L378" s="16">
        <f>IFERROR(__xludf.DUMMYFUNCTION("""COMPUTED_VALUE"""),-2.0)</f>
        <v>-2</v>
      </c>
      <c r="M378" s="16">
        <f>IFERROR(__xludf.DUMMYFUNCTION("""COMPUTED_VALUE"""),-2.0)</f>
        <v>-2</v>
      </c>
      <c r="N378" s="16">
        <f>IFERROR(__xludf.DUMMYFUNCTION("""COMPUTED_VALUE"""),-2.0)</f>
        <v>-2</v>
      </c>
      <c r="O378" s="16">
        <f>IFERROR(__xludf.DUMMYFUNCTION("""COMPUTED_VALUE"""),-2.0)</f>
        <v>-2</v>
      </c>
      <c r="P378" s="16">
        <f>IFERROR(__xludf.DUMMYFUNCTION("""COMPUTED_VALUE"""),11.0)</f>
        <v>11</v>
      </c>
      <c r="Q378" s="16">
        <f>IFERROR(__xludf.DUMMYFUNCTION("""COMPUTED_VALUE"""),18.0)</f>
        <v>18</v>
      </c>
      <c r="R378" s="16">
        <f>IFERROR(__xludf.DUMMYFUNCTION("""COMPUTED_VALUE"""),1.0)</f>
        <v>1</v>
      </c>
      <c r="S378" s="16">
        <f>IFERROR(__xludf.DUMMYFUNCTION("""COMPUTED_VALUE"""),3.0)</f>
        <v>3</v>
      </c>
      <c r="T378" s="16">
        <f>IFERROR(__xludf.DUMMYFUNCTION("""COMPUTED_VALUE"""),1.0)</f>
        <v>1</v>
      </c>
      <c r="U378" s="16">
        <f>IFERROR(__xludf.DUMMYFUNCTION("""COMPUTED_VALUE"""),3.0)</f>
        <v>3</v>
      </c>
      <c r="V378" s="16">
        <f>IFERROR(__xludf.DUMMYFUNCTION("""COMPUTED_VALUE"""),11.7)</f>
        <v>11.7</v>
      </c>
      <c r="W378" s="16">
        <f>IFERROR(__xludf.DUMMYFUNCTION("""COMPUTED_VALUE"""),15.3)</f>
        <v>15.3</v>
      </c>
      <c r="X378" s="16">
        <f>IFERROR(__xludf.DUMMYFUNCTION("""COMPUTED_VALUE"""),-1.0)</f>
        <v>-1</v>
      </c>
      <c r="Y378" s="16">
        <f>IFERROR(__xludf.DUMMYFUNCTION("""COMPUTED_VALUE"""),-1.0)</f>
        <v>-1</v>
      </c>
      <c r="Z378" s="16">
        <f>IFERROR(__xludf.DUMMYFUNCTION("""COMPUTED_VALUE"""),-2.0)</f>
        <v>-2</v>
      </c>
      <c r="AA378" s="16">
        <f>IFERROR(__xludf.DUMMYFUNCTION("""COMPUTED_VALUE"""),-2.0)</f>
        <v>-2</v>
      </c>
      <c r="AB378" s="16">
        <f>IFERROR(__xludf.DUMMYFUNCTION("""COMPUTED_VALUE"""),23.7)</f>
        <v>23.7</v>
      </c>
      <c r="AC378" s="16">
        <f>IFERROR(__xludf.DUMMYFUNCTION("""COMPUTED_VALUE"""),34.3)</f>
        <v>34.3</v>
      </c>
      <c r="AD378" s="16">
        <f>IFERROR(__xludf.DUMMYFUNCTION("""COMPUTED_VALUE"""),-1.0)</f>
        <v>-1</v>
      </c>
      <c r="AE378" s="16">
        <f>IFERROR(__xludf.DUMMYFUNCTION("""COMPUTED_VALUE"""),0.0)</f>
        <v>0</v>
      </c>
      <c r="AF378" s="16">
        <f>IFERROR(__xludf.DUMMYFUNCTION("""COMPUTED_VALUE"""),-5.0)</f>
        <v>-5</v>
      </c>
      <c r="AG378" s="16">
        <f>IFERROR(__xludf.DUMMYFUNCTION("""COMPUTED_VALUE"""),0.0)</f>
        <v>0</v>
      </c>
      <c r="AH378" s="16">
        <f>IFERROR(__xludf.DUMMYFUNCTION("""COMPUTED_VALUE"""),18.5)</f>
        <v>18.5</v>
      </c>
      <c r="AI378" s="16">
        <f>IFERROR(__xludf.DUMMYFUNCTION("""COMPUTED_VALUE"""),29.5)</f>
        <v>29.5</v>
      </c>
      <c r="AJ378" s="16">
        <f>IFERROR(__xludf.DUMMYFUNCTION("""COMPUTED_VALUE"""),-1.0)</f>
        <v>-1</v>
      </c>
      <c r="AK378" s="16">
        <f>IFERROR(__xludf.DUMMYFUNCTION("""COMPUTED_VALUE"""),0.0)</f>
        <v>0</v>
      </c>
      <c r="AL378" s="16">
        <f>IFERROR(__xludf.DUMMYFUNCTION("""COMPUTED_VALUE"""),-5.0)</f>
        <v>-5</v>
      </c>
      <c r="AM378" s="16">
        <f>IFERROR(__xludf.DUMMYFUNCTION("""COMPUTED_VALUE"""),0.0)</f>
        <v>0</v>
      </c>
      <c r="AN378" s="16">
        <f>IFERROR(__xludf.DUMMYFUNCTION("""COMPUTED_VALUE"""),2.2)</f>
        <v>2.2</v>
      </c>
      <c r="AO378" s="16">
        <f>IFERROR(__xludf.DUMMYFUNCTION("""COMPUTED_VALUE"""),2.2)</f>
        <v>2.2</v>
      </c>
      <c r="AP378" s="16">
        <f>IFERROR(__xludf.DUMMYFUNCTION("""COMPUTED_VALUE"""),0.0)</f>
        <v>0</v>
      </c>
      <c r="AQ378" s="16">
        <f>IFERROR(__xludf.DUMMYFUNCTION("""COMPUTED_VALUE"""),0.0)</f>
        <v>0</v>
      </c>
      <c r="AR378" s="16">
        <f>IFERROR(__xludf.DUMMYFUNCTION("""COMPUTED_VALUE"""),0.0)</f>
        <v>0</v>
      </c>
      <c r="AS378" s="16">
        <f>IFERROR(__xludf.DUMMYFUNCTION("""COMPUTED_VALUE"""),0.0)</f>
        <v>0</v>
      </c>
      <c r="AT378" s="16"/>
      <c r="AU378" s="16"/>
      <c r="AV378" s="16">
        <f>IFERROR(__xludf.DUMMYFUNCTION("""COMPUTED_VALUE"""),-3.0)</f>
        <v>-3</v>
      </c>
      <c r="AW378" s="16">
        <f>IFERROR(__xludf.DUMMYFUNCTION("""COMPUTED_VALUE"""),-3.0)</f>
        <v>-3</v>
      </c>
      <c r="AX378" s="16">
        <f>IFERROR(__xludf.DUMMYFUNCTION("""COMPUTED_VALUE"""),-3.0)</f>
        <v>-3</v>
      </c>
      <c r="AY378" s="16">
        <f>IFERROR(__xludf.DUMMYFUNCTION("""COMPUTED_VALUE"""),-3.0)</f>
        <v>-3</v>
      </c>
      <c r="AZ378" s="16">
        <f>IFERROR(__xludf.DUMMYFUNCTION("""COMPUTED_VALUE"""),-9.0)</f>
        <v>-9</v>
      </c>
      <c r="BA378" s="16">
        <f>IFERROR(__xludf.DUMMYFUNCTION("""COMPUTED_VALUE"""),-9.0)</f>
        <v>-9</v>
      </c>
      <c r="BB378" s="16">
        <f>IFERROR(__xludf.DUMMYFUNCTION("""COMPUTED_VALUE"""),5.0)</f>
        <v>5</v>
      </c>
      <c r="BC378" s="16">
        <f>IFERROR(__xludf.DUMMYFUNCTION("""COMPUTED_VALUE"""),5.0)</f>
        <v>5</v>
      </c>
      <c r="BD378" s="16">
        <f>IFERROR(__xludf.DUMMYFUNCTION("""COMPUTED_VALUE"""),1.0)</f>
        <v>1</v>
      </c>
      <c r="BE378" s="16">
        <f>IFERROR(__xludf.DUMMYFUNCTION("""COMPUTED_VALUE"""),1.0)</f>
        <v>1</v>
      </c>
      <c r="BF378" s="16">
        <f>IFERROR(__xludf.DUMMYFUNCTION("""COMPUTED_VALUE"""),1.0)</f>
        <v>1</v>
      </c>
      <c r="BG378" s="16">
        <f>IFERROR(__xludf.DUMMYFUNCTION("""COMPUTED_VALUE"""),1.0)</f>
        <v>1</v>
      </c>
      <c r="BH378" s="16">
        <f>IFERROR(__xludf.DUMMYFUNCTION("""COMPUTED_VALUE"""),6.0)</f>
        <v>6</v>
      </c>
      <c r="BI378" s="16">
        <f>IFERROR(__xludf.DUMMYFUNCTION("""COMPUTED_VALUE"""),5.0)</f>
        <v>5</v>
      </c>
      <c r="BJ378" s="16">
        <f>IFERROR(__xludf.DUMMYFUNCTION("""COMPUTED_VALUE"""),23.0)</f>
        <v>23</v>
      </c>
      <c r="BK378" s="16">
        <f>IFERROR(__xludf.DUMMYFUNCTION("""COMPUTED_VALUE"""),21.0)</f>
        <v>21</v>
      </c>
      <c r="BL378" s="16">
        <f>IFERROR(__xludf.DUMMYFUNCTION("""COMPUTED_VALUE"""),-2.0)</f>
        <v>-2</v>
      </c>
      <c r="BM378" s="16">
        <f>IFERROR(__xludf.DUMMYFUNCTION("""COMPUTED_VALUE"""),-2.0)</f>
        <v>-2</v>
      </c>
      <c r="BN378" s="16">
        <f>IFERROR(__xludf.DUMMYFUNCTION("""COMPUTED_VALUE"""),-4.0)</f>
        <v>-4</v>
      </c>
      <c r="BO378" s="16">
        <f>IFERROR(__xludf.DUMMYFUNCTION("""COMPUTED_VALUE"""),-4.0)</f>
        <v>-4</v>
      </c>
      <c r="BP378" s="16">
        <f>IFERROR(__xludf.DUMMYFUNCTION("""COMPUTED_VALUE"""),-8.0)</f>
        <v>-8</v>
      </c>
      <c r="BQ378" s="16">
        <f>IFERROR(__xludf.DUMMYFUNCTION("""COMPUTED_VALUE"""),-4.0)</f>
        <v>-4</v>
      </c>
      <c r="BR378" s="16">
        <f>IFERROR(__xludf.DUMMYFUNCTION("""COMPUTED_VALUE"""),-12.0)</f>
        <v>-12</v>
      </c>
      <c r="BS378" s="16" t="str">
        <f>IFERROR(__xludf.DUMMYFUNCTION("""COMPUTED_VALUE"""),"*3-7/10 (15-8)")</f>
        <v>*3-7/10 (15-8)</v>
      </c>
      <c r="BT378" s="16" t="str">
        <f>IFERROR(__xludf.DUMMYFUNCTION("""COMPUTED_VALUE"""),"C")</f>
        <v>C</v>
      </c>
      <c r="BU378" s="16">
        <f>IFERROR(__xludf.DUMMYFUNCTION("""COMPUTED_VALUE"""),14.0)</f>
        <v>14</v>
      </c>
      <c r="BV378" s="16">
        <f>IFERROR(__xludf.DUMMYFUNCTION("""COMPUTED_VALUE"""),0.0)</f>
        <v>0</v>
      </c>
      <c r="BW378" s="16">
        <f>IFERROR(__xludf.DUMMYFUNCTION("""COMPUTED_VALUE"""),1.0)</f>
        <v>1</v>
      </c>
      <c r="BX378" s="16">
        <f>IFERROR(__xludf.DUMMYFUNCTION("""COMPUTED_VALUE"""),0.0)</f>
        <v>0</v>
      </c>
      <c r="BY378" s="16">
        <f>IFERROR(__xludf.DUMMYFUNCTION("""COMPUTED_VALUE"""),3.0)</f>
        <v>3</v>
      </c>
      <c r="BZ378" s="16" t="str">
        <f>IFERROR(__xludf.DUMMYFUNCTION("""COMPUTED_VALUE"""),"D")</f>
        <v>D</v>
      </c>
      <c r="CA378" s="16" t="str">
        <f>IFERROR(__xludf.DUMMYFUNCTION("""COMPUTED_VALUE"""),"D")</f>
        <v>D</v>
      </c>
      <c r="CB378" s="16">
        <f>IFERROR(__xludf.DUMMYFUNCTION("""COMPUTED_VALUE"""),0.0)</f>
        <v>0</v>
      </c>
      <c r="CC378" s="16">
        <f>IFERROR(__xludf.DUMMYFUNCTION("""COMPUTED_VALUE"""),0.0)</f>
        <v>0</v>
      </c>
      <c r="CD378" s="16">
        <f>IFERROR(__xludf.DUMMYFUNCTION("""COMPUTED_VALUE"""),0.0)</f>
        <v>0</v>
      </c>
      <c r="CE378" s="16">
        <f>IFERROR(__xludf.DUMMYFUNCTION("""COMPUTED_VALUE"""),0.0)</f>
        <v>0</v>
      </c>
      <c r="CF378" s="16">
        <f>IFERROR(__xludf.DUMMYFUNCTION("""COMPUTED_VALUE"""),5.0)</f>
        <v>5</v>
      </c>
      <c r="CG378" s="16">
        <f>IFERROR(__xludf.DUMMYFUNCTION("""COMPUTED_VALUE"""),-25.0)</f>
        <v>-25</v>
      </c>
      <c r="CH378" s="16">
        <f>IFERROR(__xludf.DUMMYFUNCTION("""COMPUTED_VALUE"""),-13.0)</f>
        <v>-13</v>
      </c>
      <c r="CI378" s="179">
        <f>IFERROR(__xludf.DUMMYFUNCTION("""COMPUTED_VALUE"""),-18.0)</f>
        <v>-18</v>
      </c>
      <c r="CJ378" s="16"/>
      <c r="CK378" s="16"/>
      <c r="CL378" s="16"/>
      <c r="CM378" s="16"/>
      <c r="CN378" s="16"/>
      <c r="CO378" s="16">
        <f>IFERROR(__xludf.DUMMYFUNCTION("""COMPUTED_VALUE"""),512.0)</f>
        <v>512</v>
      </c>
      <c r="CP378" s="16"/>
      <c r="CQ378" s="16"/>
      <c r="CR378" s="16" t="str">
        <f>IFERROR(__xludf.DUMMYFUNCTION("""COMPUTED_VALUE"""),"lf-5(-3)e12")</f>
        <v>lf-5(-3)e12</v>
      </c>
      <c r="CS378" s="16"/>
      <c r="CT378" s="16"/>
      <c r="CU378" s="16"/>
      <c r="CV378" s="16"/>
      <c r="CW378" s="16"/>
      <c r="CX378" s="16">
        <f>IFERROR(__xludf.DUMMYFUNCTION("""COMPUTED_VALUE"""),5.0)</f>
        <v>5</v>
      </c>
      <c r="CY378" s="16"/>
      <c r="CZ378" s="16"/>
      <c r="DA378" s="16"/>
      <c r="DB378" s="16"/>
      <c r="DC378" s="16"/>
      <c r="DD378" s="16"/>
      <c r="DE378" s="16"/>
      <c r="DF378" s="16">
        <f>IFERROR(__xludf.DUMMYFUNCTION("""COMPUTED_VALUE"""),12.0)</f>
        <v>12</v>
      </c>
      <c r="DG378" s="16"/>
      <c r="DH378" s="16"/>
      <c r="DI378" s="16"/>
      <c r="DJ378" s="16"/>
      <c r="DK378" s="16"/>
      <c r="DL378" s="16"/>
      <c r="DM378" s="16"/>
      <c r="DN378" s="16">
        <f>IFERROR(__xludf.DUMMYFUNCTION("""COMPUTED_VALUE"""),-3.0)</f>
        <v>-3</v>
      </c>
      <c r="DO378" s="16"/>
      <c r="DP378" s="16"/>
      <c r="DQ378" s="16"/>
      <c r="DR378" s="16"/>
      <c r="DS378" s="16"/>
      <c r="DT378" s="16"/>
      <c r="DU378" s="16"/>
      <c r="DV378" s="16">
        <f>IFERROR(__xludf.DUMMYFUNCTION("""COMPUTED_VALUE"""),-2.0)</f>
        <v>-2</v>
      </c>
      <c r="DW378" s="16"/>
      <c r="DX378" s="16"/>
      <c r="DY378" s="16"/>
      <c r="DZ378" s="16"/>
      <c r="EA378" s="16"/>
      <c r="EB378" s="16"/>
      <c r="EC378" s="16"/>
      <c r="ED378" s="16">
        <f>IFERROR(__xludf.DUMMYFUNCTION("""COMPUTED_VALUE"""),-5.0)</f>
        <v>-5</v>
      </c>
      <c r="EE378" s="16"/>
      <c r="EF378" s="16"/>
      <c r="EG378" s="179"/>
      <c r="EH378" s="179"/>
      <c r="EI378" s="179"/>
      <c r="EJ378" s="179"/>
      <c r="EK378" s="179"/>
      <c r="EL378" s="179">
        <f>IFERROR(__xludf.DUMMYFUNCTION("""COMPUTED_VALUE"""),-23.0)</f>
        <v>-23</v>
      </c>
      <c r="EM378" s="179"/>
      <c r="EN378" s="179"/>
      <c r="EO378" s="16"/>
      <c r="EP378" s="16">
        <f>IFERROR(__xludf.DUMMYFUNCTION("""COMPUTED_VALUE"""),1.0)</f>
        <v>1</v>
      </c>
      <c r="EQ378" s="16">
        <f>IFERROR(__xludf.DUMMYFUNCTION("""COMPUTED_VALUE"""),-2.0)</f>
        <v>-2</v>
      </c>
      <c r="ER378" s="16">
        <f>IFERROR(__xludf.DUMMYFUNCTION("""COMPUTED_VALUE"""),-1.0)</f>
        <v>-1</v>
      </c>
      <c r="ES378" s="16"/>
      <c r="ET378" s="16"/>
      <c r="EU378" s="16"/>
      <c r="EV378" s="16"/>
      <c r="EW378" s="16"/>
      <c r="EX378" s="180"/>
      <c r="EY378" s="180"/>
      <c r="EZ378" s="180"/>
      <c r="FA378" s="180"/>
      <c r="FB378" s="180"/>
      <c r="FC378" s="180">
        <f>IFERROR(__xludf.DUMMYFUNCTION("""COMPUTED_VALUE"""),0.75)</f>
        <v>0.75</v>
      </c>
      <c r="FD378" s="180"/>
      <c r="FE378" s="180"/>
      <c r="FF378" s="180"/>
      <c r="FG378" s="180"/>
      <c r="FH378" s="180"/>
      <c r="FI378" s="180"/>
      <c r="FJ378" s="180"/>
      <c r="FK378" s="180">
        <f>IFERROR(__xludf.DUMMYFUNCTION("""COMPUTED_VALUE"""),0.218)</f>
        <v>0.218</v>
      </c>
      <c r="FL378" s="180"/>
      <c r="FM378" s="180"/>
      <c r="FN378" s="16"/>
      <c r="FO378" s="16"/>
      <c r="FP378" s="16"/>
      <c r="FQ378" s="16"/>
      <c r="FR378" s="16"/>
      <c r="FS378" s="16">
        <f>IFERROR(__xludf.DUMMYFUNCTION("""COMPUTED_VALUE"""),0.1955)</f>
        <v>0.1955</v>
      </c>
      <c r="FT378" s="16"/>
      <c r="FU378" s="16"/>
      <c r="FV378" s="16"/>
      <c r="FW378" s="16"/>
      <c r="FX378" s="16"/>
      <c r="FY378" s="16"/>
      <c r="FZ378" s="16"/>
      <c r="GA378" s="16">
        <f>IFERROR(__xludf.DUMMYFUNCTION("""COMPUTED_VALUE"""),-9.0)</f>
        <v>-9</v>
      </c>
      <c r="GB378" s="16"/>
      <c r="GC378" s="16"/>
      <c r="GD378" s="16" t="s">
        <v>176</v>
      </c>
    </row>
    <row r="379">
      <c r="A379" s="16">
        <f>IFERROR(__xludf.DUMMYFUNCTION("""COMPUTED_VALUE"""),12918.0)</f>
        <v>12918</v>
      </c>
      <c r="B379" s="16" t="str">
        <f>IFERROR(__xludf.DUMMYFUNCTION("""COMPUTED_VALUE"""),"Jake Rogers")</f>
        <v>Jake Rogers</v>
      </c>
      <c r="C379" s="16">
        <f>IFERROR(__xludf.DUMMYFUNCTION("""COMPUTED_VALUE"""),0.52)</f>
        <v>0.52</v>
      </c>
      <c r="D379" s="16" t="str">
        <f>IFERROR(__xludf.DUMMYFUNCTION("""COMPUTED_VALUE"""),"R")</f>
        <v>R</v>
      </c>
      <c r="E379" s="16"/>
      <c r="F379" s="16"/>
      <c r="G379" s="16">
        <f>IFERROR(__xludf.DUMMYFUNCTION("""COMPUTED_VALUE"""),310.0)</f>
        <v>310</v>
      </c>
      <c r="H379" s="16">
        <f>IFERROR(__xludf.DUMMYFUNCTION("""COMPUTED_VALUE"""),22.0)</f>
        <v>22</v>
      </c>
      <c r="I379" s="16" t="str">
        <f>IFERROR(__xludf.DUMMYFUNCTION("""COMPUTED_VALUE"""),"2p50")</f>
        <v>2p50</v>
      </c>
      <c r="J379" s="16">
        <f>IFERROR(__xludf.DUMMYFUNCTION("""COMPUTED_VALUE"""),38.0)</f>
        <v>38</v>
      </c>
      <c r="K379" s="16">
        <f>IFERROR(__xludf.DUMMYFUNCTION("""COMPUTED_VALUE"""),39.0)</f>
        <v>39</v>
      </c>
      <c r="L379" s="16">
        <f>IFERROR(__xludf.DUMMYFUNCTION("""COMPUTED_VALUE"""),-1.0)</f>
        <v>-1</v>
      </c>
      <c r="M379" s="16">
        <f>IFERROR(__xludf.DUMMYFUNCTION("""COMPUTED_VALUE"""),-2.0)</f>
        <v>-2</v>
      </c>
      <c r="N379" s="16">
        <f>IFERROR(__xludf.DUMMYFUNCTION("""COMPUTED_VALUE"""),-1.0)</f>
        <v>-1</v>
      </c>
      <c r="O379" s="16">
        <f>IFERROR(__xludf.DUMMYFUNCTION("""COMPUTED_VALUE"""),-2.0)</f>
        <v>-2</v>
      </c>
      <c r="P379" s="16">
        <f>IFERROR(__xludf.DUMMYFUNCTION("""COMPUTED_VALUE"""),12.0)</f>
        <v>12</v>
      </c>
      <c r="Q379" s="16">
        <f>IFERROR(__xludf.DUMMYFUNCTION("""COMPUTED_VALUE"""),3.0)</f>
        <v>3</v>
      </c>
      <c r="R379" s="16">
        <f>IFERROR(__xludf.DUMMYFUNCTION("""COMPUTED_VALUE"""),1.0)</f>
        <v>1</v>
      </c>
      <c r="S379" s="16">
        <f>IFERROR(__xludf.DUMMYFUNCTION("""COMPUTED_VALUE"""),-2.0)</f>
        <v>-2</v>
      </c>
      <c r="T379" s="16">
        <f>IFERROR(__xludf.DUMMYFUNCTION("""COMPUTED_VALUE"""),1.0)</f>
        <v>1</v>
      </c>
      <c r="U379" s="16">
        <f>IFERROR(__xludf.DUMMYFUNCTION("""COMPUTED_VALUE"""),-2.0)</f>
        <v>-2</v>
      </c>
      <c r="V379" s="16">
        <f>IFERROR(__xludf.DUMMYFUNCTION("""COMPUTED_VALUE"""),4.9)</f>
        <v>4.9</v>
      </c>
      <c r="W379" s="16">
        <f>IFERROR(__xludf.DUMMYFUNCTION("""COMPUTED_VALUE"""),12.3)</f>
        <v>12.3</v>
      </c>
      <c r="X379" s="16">
        <f>IFERROR(__xludf.DUMMYFUNCTION("""COMPUTED_VALUE"""),-2.0)</f>
        <v>-2</v>
      </c>
      <c r="Y379" s="16">
        <f>IFERROR(__xludf.DUMMYFUNCTION("""COMPUTED_VALUE"""),-2.0)</f>
        <v>-2</v>
      </c>
      <c r="Z379" s="16">
        <f>IFERROR(__xludf.DUMMYFUNCTION("""COMPUTED_VALUE"""),-4.0)</f>
        <v>-4</v>
      </c>
      <c r="AA379" s="16">
        <f>IFERROR(__xludf.DUMMYFUNCTION("""COMPUTED_VALUE"""),-4.0)</f>
        <v>-4</v>
      </c>
      <c r="AB379" s="16">
        <f>IFERROR(__xludf.DUMMYFUNCTION("""COMPUTED_VALUE"""),18.9)</f>
        <v>18.9</v>
      </c>
      <c r="AC379" s="16">
        <f>IFERROR(__xludf.DUMMYFUNCTION("""COMPUTED_VALUE"""),17.3)</f>
        <v>17.3</v>
      </c>
      <c r="AD379" s="16">
        <f>IFERROR(__xludf.DUMMYFUNCTION("""COMPUTED_VALUE"""),-1.0)</f>
        <v>-1</v>
      </c>
      <c r="AE379" s="16">
        <f>IFERROR(__xludf.DUMMYFUNCTION("""COMPUTED_VALUE"""),-2.0)</f>
        <v>-2</v>
      </c>
      <c r="AF379" s="16">
        <f>IFERROR(__xludf.DUMMYFUNCTION("""COMPUTED_VALUE"""),-5.0)</f>
        <v>-5</v>
      </c>
      <c r="AG379" s="16">
        <f>IFERROR(__xludf.DUMMYFUNCTION("""COMPUTED_VALUE"""),-10.0)</f>
        <v>-10</v>
      </c>
      <c r="AH379" s="16">
        <f>IFERROR(__xludf.DUMMYFUNCTION("""COMPUTED_VALUE"""),12.9)</f>
        <v>12.9</v>
      </c>
      <c r="AI379" s="16">
        <f>IFERROR(__xludf.DUMMYFUNCTION("""COMPUTED_VALUE"""),27.7)</f>
        <v>27.7</v>
      </c>
      <c r="AJ379" s="16">
        <f>IFERROR(__xludf.DUMMYFUNCTION("""COMPUTED_VALUE"""),-2.0)</f>
        <v>-2</v>
      </c>
      <c r="AK379" s="16">
        <f>IFERROR(__xludf.DUMMYFUNCTION("""COMPUTED_VALUE"""),-1.0)</f>
        <v>-1</v>
      </c>
      <c r="AL379" s="16">
        <f>IFERROR(__xludf.DUMMYFUNCTION("""COMPUTED_VALUE"""),-10.0)</f>
        <v>-10</v>
      </c>
      <c r="AM379" s="16">
        <f>IFERROR(__xludf.DUMMYFUNCTION("""COMPUTED_VALUE"""),-5.0)</f>
        <v>-5</v>
      </c>
      <c r="AN379" s="16">
        <f>IFERROR(__xludf.DUMMYFUNCTION("""COMPUTED_VALUE"""),2.2)</f>
        <v>2.2</v>
      </c>
      <c r="AO379" s="16">
        <f>IFERROR(__xludf.DUMMYFUNCTION("""COMPUTED_VALUE"""),2.8)</f>
        <v>2.8</v>
      </c>
      <c r="AP379" s="16">
        <f>IFERROR(__xludf.DUMMYFUNCTION("""COMPUTED_VALUE"""),0.0)</f>
        <v>0</v>
      </c>
      <c r="AQ379" s="16">
        <f>IFERROR(__xludf.DUMMYFUNCTION("""COMPUTED_VALUE"""),0.0)</f>
        <v>0</v>
      </c>
      <c r="AR379" s="16">
        <f>IFERROR(__xludf.DUMMYFUNCTION("""COMPUTED_VALUE"""),0.0)</f>
        <v>0</v>
      </c>
      <c r="AS379" s="16">
        <f>IFERROR(__xludf.DUMMYFUNCTION("""COMPUTED_VALUE"""),0.0)</f>
        <v>0</v>
      </c>
      <c r="AT379" s="16"/>
      <c r="AU379" s="16">
        <f>IFERROR(__xludf.DUMMYFUNCTION("""COMPUTED_VALUE"""),5.0)</f>
        <v>5</v>
      </c>
      <c r="AV379" s="16">
        <f>IFERROR(__xludf.DUMMYFUNCTION("""COMPUTED_VALUE"""),-3.0)</f>
        <v>-3</v>
      </c>
      <c r="AW379" s="16">
        <f>IFERROR(__xludf.DUMMYFUNCTION("""COMPUTED_VALUE"""),5.0)</f>
        <v>5</v>
      </c>
      <c r="AX379" s="16">
        <f>IFERROR(__xludf.DUMMYFUNCTION("""COMPUTED_VALUE"""),-3.0)</f>
        <v>-3</v>
      </c>
      <c r="AY379" s="16">
        <f>IFERROR(__xludf.DUMMYFUNCTION("""COMPUTED_VALUE"""),2.0)</f>
        <v>2</v>
      </c>
      <c r="AZ379" s="16">
        <f>IFERROR(__xludf.DUMMYFUNCTION("""COMPUTED_VALUE"""),-9.0)</f>
        <v>-9</v>
      </c>
      <c r="BA379" s="16">
        <f>IFERROR(__xludf.DUMMYFUNCTION("""COMPUTED_VALUE"""),6.0)</f>
        <v>6</v>
      </c>
      <c r="BB379" s="16">
        <f>IFERROR(__xludf.DUMMYFUNCTION("""COMPUTED_VALUE"""),5.0)</f>
        <v>5</v>
      </c>
      <c r="BC379" s="16">
        <f>IFERROR(__xludf.DUMMYFUNCTION("""COMPUTED_VALUE"""),5.0)</f>
        <v>5</v>
      </c>
      <c r="BD379" s="16">
        <f>IFERROR(__xludf.DUMMYFUNCTION("""COMPUTED_VALUE"""),1.0)</f>
        <v>1</v>
      </c>
      <c r="BE379" s="16">
        <f>IFERROR(__xludf.DUMMYFUNCTION("""COMPUTED_VALUE"""),1.0)</f>
        <v>1</v>
      </c>
      <c r="BF379" s="16">
        <f>IFERROR(__xludf.DUMMYFUNCTION("""COMPUTED_VALUE"""),1.0)</f>
        <v>1</v>
      </c>
      <c r="BG379" s="16">
        <f>IFERROR(__xludf.DUMMYFUNCTION("""COMPUTED_VALUE"""),1.0)</f>
        <v>1</v>
      </c>
      <c r="BH379" s="16">
        <f>IFERROR(__xludf.DUMMYFUNCTION("""COMPUTED_VALUE"""),0.0)</f>
        <v>0</v>
      </c>
      <c r="BI379" s="16">
        <f>IFERROR(__xludf.DUMMYFUNCTION("""COMPUTED_VALUE"""),3.0)</f>
        <v>3</v>
      </c>
      <c r="BJ379" s="16">
        <f>IFERROR(__xludf.DUMMYFUNCTION("""COMPUTED_VALUE"""),14.0)</f>
        <v>14</v>
      </c>
      <c r="BK379" s="16">
        <f>IFERROR(__xludf.DUMMYFUNCTION("""COMPUTED_VALUE"""),15.0)</f>
        <v>15</v>
      </c>
      <c r="BL379" s="16">
        <f>IFERROR(__xludf.DUMMYFUNCTION("""COMPUTED_VALUE"""),0.0)</f>
        <v>0</v>
      </c>
      <c r="BM379" s="16">
        <f>IFERROR(__xludf.DUMMYFUNCTION("""COMPUTED_VALUE"""),-1.0)</f>
        <v>-1</v>
      </c>
      <c r="BN379" s="16">
        <f>IFERROR(__xludf.DUMMYFUNCTION("""COMPUTED_VALUE"""),0.0)</f>
        <v>0</v>
      </c>
      <c r="BO379" s="16">
        <f>IFERROR(__xludf.DUMMYFUNCTION("""COMPUTED_VALUE"""),-2.0)</f>
        <v>-2</v>
      </c>
      <c r="BP379" s="16">
        <f>IFERROR(__xludf.DUMMYFUNCTION("""COMPUTED_VALUE"""),-7.0)</f>
        <v>-7</v>
      </c>
      <c r="BQ379" s="16">
        <f>IFERROR(__xludf.DUMMYFUNCTION("""COMPUTED_VALUE"""),-7.0)</f>
        <v>-7</v>
      </c>
      <c r="BR379" s="16">
        <f>IFERROR(__xludf.DUMMYFUNCTION("""COMPUTED_VALUE"""),-14.0)</f>
        <v>-14</v>
      </c>
      <c r="BS379" s="16" t="str">
        <f>IFERROR(__xludf.DUMMYFUNCTION("""COMPUTED_VALUE"""),"2/- (20-6)")</f>
        <v>2/- (20-6)</v>
      </c>
      <c r="BT379" s="16" t="str">
        <f>IFERROR(__xludf.DUMMYFUNCTION("""COMPUTED_VALUE"""),"E")</f>
        <v>E</v>
      </c>
      <c r="BU379" s="16">
        <f>IFERROR(__xludf.DUMMYFUNCTION("""COMPUTED_VALUE"""),12.0)</f>
        <v>12</v>
      </c>
      <c r="BV379" s="16">
        <f>IFERROR(__xludf.DUMMYFUNCTION("""COMPUTED_VALUE"""),0.0)</f>
        <v>0</v>
      </c>
      <c r="BW379" s="16">
        <f>IFERROR(__xludf.DUMMYFUNCTION("""COMPUTED_VALUE"""),0.0)</f>
        <v>0</v>
      </c>
      <c r="BX379" s="16">
        <f>IFERROR(__xludf.DUMMYFUNCTION("""COMPUTED_VALUE"""),0.0)</f>
        <v>0</v>
      </c>
      <c r="BY379" s="16">
        <f>IFERROR(__xludf.DUMMYFUNCTION("""COMPUTED_VALUE"""),0.0)</f>
        <v>0</v>
      </c>
      <c r="BZ379" s="16" t="str">
        <f>IFERROR(__xludf.DUMMYFUNCTION("""COMPUTED_VALUE"""),"D")</f>
        <v>D</v>
      </c>
      <c r="CA379" s="16" t="str">
        <f>IFERROR(__xludf.DUMMYFUNCTION("""COMPUTED_VALUE"""),"D")</f>
        <v>D</v>
      </c>
      <c r="CB379" s="16">
        <f>IFERROR(__xludf.DUMMYFUNCTION("""COMPUTED_VALUE"""),0.0)</f>
        <v>0</v>
      </c>
      <c r="CC379" s="16">
        <f>IFERROR(__xludf.DUMMYFUNCTION("""COMPUTED_VALUE"""),0.0)</f>
        <v>0</v>
      </c>
      <c r="CD379" s="16">
        <f>IFERROR(__xludf.DUMMYFUNCTION("""COMPUTED_VALUE"""),0.0)</f>
        <v>0</v>
      </c>
      <c r="CE379" s="16">
        <f>IFERROR(__xludf.DUMMYFUNCTION("""COMPUTED_VALUE"""),0.0)</f>
        <v>0</v>
      </c>
      <c r="CF379" s="16">
        <f>IFERROR(__xludf.DUMMYFUNCTION("""COMPUTED_VALUE"""),2.0)</f>
        <v>2</v>
      </c>
      <c r="CG379" s="16">
        <f>IFERROR(__xludf.DUMMYFUNCTION("""COMPUTED_VALUE"""),-27.0)</f>
        <v>-27</v>
      </c>
      <c r="CH379" s="16">
        <f>IFERROR(__xludf.DUMMYFUNCTION("""COMPUTED_VALUE"""),-18.0)</f>
        <v>-18</v>
      </c>
      <c r="CI379" s="179">
        <f>IFERROR(__xludf.DUMMYFUNCTION("""COMPUTED_VALUE"""),-18.0)</f>
        <v>-18</v>
      </c>
      <c r="CJ379" s="16">
        <f>IFERROR(__xludf.DUMMYFUNCTION("""COMPUTED_VALUE"""),101.0)</f>
        <v>101</v>
      </c>
      <c r="CK379" s="16"/>
      <c r="CL379" s="16"/>
      <c r="CM379" s="16"/>
      <c r="CN379" s="16"/>
      <c r="CO379" s="16"/>
      <c r="CP379" s="16"/>
      <c r="CQ379" s="16"/>
      <c r="CR379" s="16" t="str">
        <f>IFERROR(__xludf.DUMMYFUNCTION("""COMPUTED_VALUE"""),"c-1(-2)e1,T-7(pb-0)")</f>
        <v>c-1(-2)e1,T-7(pb-0)</v>
      </c>
      <c r="CS379" s="16">
        <f>IFERROR(__xludf.DUMMYFUNCTION("""COMPUTED_VALUE"""),1.0)</f>
        <v>1</v>
      </c>
      <c r="CT379" s="16"/>
      <c r="CU379" s="16"/>
      <c r="CV379" s="16"/>
      <c r="CW379" s="16"/>
      <c r="CX379" s="16"/>
      <c r="CY379" s="16"/>
      <c r="CZ379" s="16"/>
      <c r="DA379" s="16">
        <f>IFERROR(__xludf.DUMMYFUNCTION("""COMPUTED_VALUE"""),1.0)</f>
        <v>1</v>
      </c>
      <c r="DB379" s="16"/>
      <c r="DC379" s="16"/>
      <c r="DD379" s="16"/>
      <c r="DE379" s="16"/>
      <c r="DF379" s="16"/>
      <c r="DG379" s="16"/>
      <c r="DH379" s="16"/>
      <c r="DI379" s="16">
        <f>IFERROR(__xludf.DUMMYFUNCTION("""COMPUTED_VALUE"""),4.0)</f>
        <v>4</v>
      </c>
      <c r="DJ379" s="16"/>
      <c r="DK379" s="16"/>
      <c r="DL379" s="16"/>
      <c r="DM379" s="16"/>
      <c r="DN379" s="16"/>
      <c r="DO379" s="16"/>
      <c r="DP379" s="16"/>
      <c r="DQ379" s="16">
        <f>IFERROR(__xludf.DUMMYFUNCTION("""COMPUTED_VALUE"""),4.0)</f>
        <v>4</v>
      </c>
      <c r="DR379" s="16"/>
      <c r="DS379" s="16"/>
      <c r="DT379" s="16"/>
      <c r="DU379" s="16"/>
      <c r="DV379" s="16"/>
      <c r="DW379" s="16"/>
      <c r="DX379" s="16"/>
      <c r="DY379" s="16">
        <f>IFERROR(__xludf.DUMMYFUNCTION("""COMPUTED_VALUE"""),8.0)</f>
        <v>8</v>
      </c>
      <c r="DZ379" s="16"/>
      <c r="EA379" s="16"/>
      <c r="EB379" s="16"/>
      <c r="EC379" s="16"/>
      <c r="ED379" s="16"/>
      <c r="EE379" s="16"/>
      <c r="EF379" s="16"/>
      <c r="EG379" s="179">
        <f>IFERROR(__xludf.DUMMYFUNCTION("""COMPUTED_VALUE"""),-12.0)</f>
        <v>-12</v>
      </c>
      <c r="EH379" s="179"/>
      <c r="EI379" s="179"/>
      <c r="EJ379" s="179"/>
      <c r="EK379" s="179"/>
      <c r="EL379" s="179"/>
      <c r="EM379" s="179"/>
      <c r="EN379" s="179"/>
      <c r="EO379" s="16">
        <f>IFERROR(__xludf.DUMMYFUNCTION("""COMPUTED_VALUE"""),-2.0)</f>
        <v>-2</v>
      </c>
      <c r="EP379" s="16">
        <f>IFERROR(__xludf.DUMMYFUNCTION("""COMPUTED_VALUE"""),1.0)</f>
        <v>1</v>
      </c>
      <c r="EQ379" s="16">
        <f>IFERROR(__xludf.DUMMYFUNCTION("""COMPUTED_VALUE"""),2.0)</f>
        <v>2</v>
      </c>
      <c r="ER379" s="16">
        <f>IFERROR(__xludf.DUMMYFUNCTION("""COMPUTED_VALUE"""),0.0)</f>
        <v>0</v>
      </c>
      <c r="ES379" s="16" t="str">
        <f>IFERROR(__xludf.DUMMYFUNCTION("""COMPUTED_VALUE"""),"c-1")</f>
        <v>c-1</v>
      </c>
      <c r="ET379" s="16" t="str">
        <f>IFERROR(__xludf.DUMMYFUNCTION("""COMPUTED_VALUE"""),"-2)e1,T-7")</f>
        <v>-2)e1,T-7</v>
      </c>
      <c r="EU379" s="16" t="str">
        <f>IFERROR(__xludf.DUMMYFUNCTION("""COMPUTED_VALUE"""),"pb-0)")</f>
        <v>pb-0)</v>
      </c>
      <c r="EV379" s="16"/>
      <c r="EW379" s="16">
        <f>IFERROR(__xludf.DUMMYFUNCTION("""COMPUTED_VALUE"""),-2.0)</f>
        <v>-2</v>
      </c>
      <c r="EX379" s="180">
        <f>IFERROR(__xludf.DUMMYFUNCTION("""COMPUTED_VALUE"""),0.0)</f>
        <v>0</v>
      </c>
      <c r="EY379" s="180"/>
      <c r="EZ379" s="180"/>
      <c r="FA379" s="180"/>
      <c r="FB379" s="180"/>
      <c r="FC379" s="180"/>
      <c r="FD379" s="180"/>
      <c r="FE379" s="180"/>
      <c r="FF379" s="180">
        <f>IFERROR(__xludf.DUMMYFUNCTION("""COMPUTED_VALUE"""),0.014)</f>
        <v>0.014</v>
      </c>
      <c r="FG379" s="180"/>
      <c r="FH379" s="180"/>
      <c r="FI379" s="180"/>
      <c r="FJ379" s="180"/>
      <c r="FK379" s="180"/>
      <c r="FL379" s="180"/>
      <c r="FM379" s="180"/>
      <c r="FN379" s="16">
        <f>IFERROR(__xludf.DUMMYFUNCTION("""COMPUTED_VALUE"""),0.986)</f>
        <v>0.986</v>
      </c>
      <c r="FO379" s="16"/>
      <c r="FP379" s="16"/>
      <c r="FQ379" s="16"/>
      <c r="FR379" s="16"/>
      <c r="FS379" s="16"/>
      <c r="FT379" s="16"/>
      <c r="FU379" s="16"/>
      <c r="FV379" s="16">
        <f>IFERROR(__xludf.DUMMYFUNCTION("""COMPUTED_VALUE"""),10.0)</f>
        <v>10</v>
      </c>
      <c r="FW379" s="16"/>
      <c r="FX379" s="16"/>
      <c r="FY379" s="16"/>
      <c r="FZ379" s="16"/>
      <c r="GA379" s="16"/>
      <c r="GB379" s="16"/>
      <c r="GC379" s="16"/>
      <c r="GD379" s="16" t="s">
        <v>176</v>
      </c>
    </row>
    <row r="380">
      <c r="A380" s="16">
        <f>IFERROR(__xludf.DUMMYFUNCTION("""COMPUTED_VALUE"""),12832.0)</f>
        <v>12832</v>
      </c>
      <c r="B380" s="16" t="str">
        <f>IFERROR(__xludf.DUMMYFUNCTION("""COMPUTED_VALUE"""),"Garrett Hampson")</f>
        <v>Garrett Hampson</v>
      </c>
      <c r="C380" s="16">
        <f>IFERROR(__xludf.DUMMYFUNCTION("""COMPUTED_VALUE"""),0.5)</f>
        <v>0.5</v>
      </c>
      <c r="D380" s="16" t="str">
        <f>IFERROR(__xludf.DUMMYFUNCTION("""COMPUTED_VALUE"""),"R")</f>
        <v>R</v>
      </c>
      <c r="E380" s="16"/>
      <c r="F380" s="16"/>
      <c r="G380" s="16">
        <f>IFERROR(__xludf.DUMMYFUNCTION("""COMPUTED_VALUE"""),213.0)</f>
        <v>213</v>
      </c>
      <c r="H380" s="16">
        <f>IFERROR(__xludf.DUMMYFUNCTION("""COMPUTED_VALUE"""),14.0)</f>
        <v>14</v>
      </c>
      <c r="I380" s="16" t="str">
        <f>IFERROR(__xludf.DUMMYFUNCTION("""COMPUTED_VALUE"""),"1p50")</f>
        <v>1p50</v>
      </c>
      <c r="J380" s="16">
        <f>IFERROR(__xludf.DUMMYFUNCTION("""COMPUTED_VALUE"""),31.0)</f>
        <v>31</v>
      </c>
      <c r="K380" s="16">
        <f>IFERROR(__xludf.DUMMYFUNCTION("""COMPUTED_VALUE"""),31.0)</f>
        <v>31</v>
      </c>
      <c r="L380" s="16">
        <f>IFERROR(__xludf.DUMMYFUNCTION("""COMPUTED_VALUE"""),0.0)</f>
        <v>0</v>
      </c>
      <c r="M380" s="16">
        <f>IFERROR(__xludf.DUMMYFUNCTION("""COMPUTED_VALUE"""),-1.0)</f>
        <v>-1</v>
      </c>
      <c r="N380" s="16">
        <f>IFERROR(__xludf.DUMMYFUNCTION("""COMPUTED_VALUE"""),0.0)</f>
        <v>0</v>
      </c>
      <c r="O380" s="16">
        <f>IFERROR(__xludf.DUMMYFUNCTION("""COMPUTED_VALUE"""),-1.0)</f>
        <v>-1</v>
      </c>
      <c r="P380" s="16">
        <f>IFERROR(__xludf.DUMMYFUNCTION("""COMPUTED_VALUE"""),7.0)</f>
        <v>7</v>
      </c>
      <c r="Q380" s="16">
        <f>IFERROR(__xludf.DUMMYFUNCTION("""COMPUTED_VALUE"""),3.0)</f>
        <v>3</v>
      </c>
      <c r="R380" s="16">
        <f>IFERROR(__xludf.DUMMYFUNCTION("""COMPUTED_VALUE"""),-1.0)</f>
        <v>-1</v>
      </c>
      <c r="S380" s="16">
        <f>IFERROR(__xludf.DUMMYFUNCTION("""COMPUTED_VALUE"""),-2.0)</f>
        <v>-2</v>
      </c>
      <c r="T380" s="16">
        <f>IFERROR(__xludf.DUMMYFUNCTION("""COMPUTED_VALUE"""),-1.0)</f>
        <v>-1</v>
      </c>
      <c r="U380" s="16">
        <f>IFERROR(__xludf.DUMMYFUNCTION("""COMPUTED_VALUE"""),-2.0)</f>
        <v>-2</v>
      </c>
      <c r="V380" s="16">
        <f>IFERROR(__xludf.DUMMYFUNCTION("""COMPUTED_VALUE"""),16.1)</f>
        <v>16.1</v>
      </c>
      <c r="W380" s="16">
        <f>IFERROR(__xludf.DUMMYFUNCTION("""COMPUTED_VALUE"""),19.4)</f>
        <v>19.4</v>
      </c>
      <c r="X380" s="16">
        <f>IFERROR(__xludf.DUMMYFUNCTION("""COMPUTED_VALUE"""),-1.0)</f>
        <v>-1</v>
      </c>
      <c r="Y380" s="16">
        <f>IFERROR(__xludf.DUMMYFUNCTION("""COMPUTED_VALUE"""),0.0)</f>
        <v>0</v>
      </c>
      <c r="Z380" s="16">
        <f>IFERROR(__xludf.DUMMYFUNCTION("""COMPUTED_VALUE"""),-2.0)</f>
        <v>-2</v>
      </c>
      <c r="AA380" s="16">
        <f>IFERROR(__xludf.DUMMYFUNCTION("""COMPUTED_VALUE"""),0.0)</f>
        <v>0</v>
      </c>
      <c r="AB380" s="16">
        <f>IFERROR(__xludf.DUMMYFUNCTION("""COMPUTED_VALUE"""),23.1)</f>
        <v>23.1</v>
      </c>
      <c r="AC380" s="16">
        <f>IFERROR(__xludf.DUMMYFUNCTION("""COMPUTED_VALUE"""),22.4)</f>
        <v>22.4</v>
      </c>
      <c r="AD380" s="16">
        <f>IFERROR(__xludf.DUMMYFUNCTION("""COMPUTED_VALUE"""),-1.0)</f>
        <v>-1</v>
      </c>
      <c r="AE380" s="16">
        <f>IFERROR(__xludf.DUMMYFUNCTION("""COMPUTED_VALUE"""),-1.0)</f>
        <v>-1</v>
      </c>
      <c r="AF380" s="16">
        <f>IFERROR(__xludf.DUMMYFUNCTION("""COMPUTED_VALUE"""),-5.0)</f>
        <v>-5</v>
      </c>
      <c r="AG380" s="16">
        <f>IFERROR(__xludf.DUMMYFUNCTION("""COMPUTED_VALUE"""),-5.0)</f>
        <v>-5</v>
      </c>
      <c r="AH380" s="16">
        <f>IFERROR(__xludf.DUMMYFUNCTION("""COMPUTED_VALUE"""),29.2)</f>
        <v>29.2</v>
      </c>
      <c r="AI380" s="16">
        <f>IFERROR(__xludf.DUMMYFUNCTION("""COMPUTED_VALUE"""),22.6)</f>
        <v>22.6</v>
      </c>
      <c r="AJ380" s="16">
        <f>IFERROR(__xludf.DUMMYFUNCTION("""COMPUTED_VALUE"""),0.0)</f>
        <v>0</v>
      </c>
      <c r="AK380" s="16">
        <f>IFERROR(__xludf.DUMMYFUNCTION("""COMPUTED_VALUE"""),-1.0)</f>
        <v>-1</v>
      </c>
      <c r="AL380" s="16">
        <f>IFERROR(__xludf.DUMMYFUNCTION("""COMPUTED_VALUE"""),0.0)</f>
        <v>0</v>
      </c>
      <c r="AM380" s="16">
        <f>IFERROR(__xludf.DUMMYFUNCTION("""COMPUTED_VALUE"""),-5.0)</f>
        <v>-5</v>
      </c>
      <c r="AN380" s="16">
        <f>IFERROR(__xludf.DUMMYFUNCTION("""COMPUTED_VALUE"""),0.0)</f>
        <v>0</v>
      </c>
      <c r="AO380" s="16">
        <f>IFERROR(__xludf.DUMMYFUNCTION("""COMPUTED_VALUE"""),0.0)</f>
        <v>0</v>
      </c>
      <c r="AP380" s="16">
        <f>IFERROR(__xludf.DUMMYFUNCTION("""COMPUTED_VALUE"""),-2.0)</f>
        <v>-2</v>
      </c>
      <c r="AQ380" s="16">
        <f>IFERROR(__xludf.DUMMYFUNCTION("""COMPUTED_VALUE"""),-3.0)</f>
        <v>-3</v>
      </c>
      <c r="AR380" s="16">
        <f>IFERROR(__xludf.DUMMYFUNCTION("""COMPUTED_VALUE"""),-4.0)</f>
        <v>-4</v>
      </c>
      <c r="AS380" s="16">
        <f>IFERROR(__xludf.DUMMYFUNCTION("""COMPUTED_VALUE"""),-6.0)</f>
        <v>-6</v>
      </c>
      <c r="AT380" s="16"/>
      <c r="AU380" s="16"/>
      <c r="AV380" s="16">
        <f>IFERROR(__xludf.DUMMYFUNCTION("""COMPUTED_VALUE"""),-3.0)</f>
        <v>-3</v>
      </c>
      <c r="AW380" s="16">
        <f>IFERROR(__xludf.DUMMYFUNCTION("""COMPUTED_VALUE"""),-3.0)</f>
        <v>-3</v>
      </c>
      <c r="AX380" s="16">
        <f>IFERROR(__xludf.DUMMYFUNCTION("""COMPUTED_VALUE"""),-3.0)</f>
        <v>-3</v>
      </c>
      <c r="AY380" s="16">
        <f>IFERROR(__xludf.DUMMYFUNCTION("""COMPUTED_VALUE"""),-3.0)</f>
        <v>-3</v>
      </c>
      <c r="AZ380" s="16">
        <f>IFERROR(__xludf.DUMMYFUNCTION("""COMPUTED_VALUE"""),-9.0)</f>
        <v>-9</v>
      </c>
      <c r="BA380" s="16">
        <f>IFERROR(__xludf.DUMMYFUNCTION("""COMPUTED_VALUE"""),-9.0)</f>
        <v>-9</v>
      </c>
      <c r="BB380" s="16">
        <f>IFERROR(__xludf.DUMMYFUNCTION("""COMPUTED_VALUE"""),5.0)</f>
        <v>5</v>
      </c>
      <c r="BC380" s="16">
        <f>IFERROR(__xludf.DUMMYFUNCTION("""COMPUTED_VALUE"""),5.0)</f>
        <v>5</v>
      </c>
      <c r="BD380" s="16">
        <f>IFERROR(__xludf.DUMMYFUNCTION("""COMPUTED_VALUE"""),1.0)</f>
        <v>1</v>
      </c>
      <c r="BE380" s="16">
        <f>IFERROR(__xludf.DUMMYFUNCTION("""COMPUTED_VALUE"""),1.0)</f>
        <v>1</v>
      </c>
      <c r="BF380" s="16">
        <f>IFERROR(__xludf.DUMMYFUNCTION("""COMPUTED_VALUE"""),1.0)</f>
        <v>1</v>
      </c>
      <c r="BG380" s="16">
        <f>IFERROR(__xludf.DUMMYFUNCTION("""COMPUTED_VALUE"""),1.0)</f>
        <v>1</v>
      </c>
      <c r="BH380" s="16">
        <f>IFERROR(__xludf.DUMMYFUNCTION("""COMPUTED_VALUE"""),1.0)</f>
        <v>1</v>
      </c>
      <c r="BI380" s="16">
        <f>IFERROR(__xludf.DUMMYFUNCTION("""COMPUTED_VALUE"""),1.0)</f>
        <v>1</v>
      </c>
      <c r="BJ380" s="16">
        <f>IFERROR(__xludf.DUMMYFUNCTION("""COMPUTED_VALUE"""),9.0)</f>
        <v>9</v>
      </c>
      <c r="BK380" s="16">
        <f>IFERROR(__xludf.DUMMYFUNCTION("""COMPUTED_VALUE"""),10.0)</f>
        <v>10</v>
      </c>
      <c r="BL380" s="16">
        <f>IFERROR(__xludf.DUMMYFUNCTION("""COMPUTED_VALUE"""),0.0)</f>
        <v>0</v>
      </c>
      <c r="BM380" s="16">
        <f>IFERROR(__xludf.DUMMYFUNCTION("""COMPUTED_VALUE"""),0.0)</f>
        <v>0</v>
      </c>
      <c r="BN380" s="16">
        <f>IFERROR(__xludf.DUMMYFUNCTION("""COMPUTED_VALUE"""),0.0)</f>
        <v>0</v>
      </c>
      <c r="BO380" s="16">
        <f>IFERROR(__xludf.DUMMYFUNCTION("""COMPUTED_VALUE"""),0.0)</f>
        <v>0</v>
      </c>
      <c r="BP380" s="16">
        <f>IFERROR(__xludf.DUMMYFUNCTION("""COMPUTED_VALUE"""),-7.0)</f>
        <v>-7</v>
      </c>
      <c r="BQ380" s="16">
        <f>IFERROR(__xludf.DUMMYFUNCTION("""COMPUTED_VALUE"""),-10.0)</f>
        <v>-10</v>
      </c>
      <c r="BR380" s="16">
        <f>IFERROR(__xludf.DUMMYFUNCTION("""COMPUTED_VALUE"""),-17.0)</f>
        <v>-17</v>
      </c>
      <c r="BS380" s="16" t="str">
        <f>IFERROR(__xludf.DUMMYFUNCTION("""COMPUTED_VALUE"""),"*5,6/- (18-12)")</f>
        <v>*5,6/- (18-12)</v>
      </c>
      <c r="BT380" s="16" t="str">
        <f>IFERROR(__xludf.DUMMYFUNCTION("""COMPUTED_VALUE"""),"B")</f>
        <v>B</v>
      </c>
      <c r="BU380" s="16">
        <f>IFERROR(__xludf.DUMMYFUNCTION("""COMPUTED_VALUE"""),17.0)</f>
        <v>17</v>
      </c>
      <c r="BV380" s="16">
        <f>IFERROR(__xludf.DUMMYFUNCTION("""COMPUTED_VALUE"""),1.0)</f>
        <v>1</v>
      </c>
      <c r="BW380" s="16">
        <f>IFERROR(__xludf.DUMMYFUNCTION("""COMPUTED_VALUE"""),3.0)</f>
        <v>3</v>
      </c>
      <c r="BX380" s="16">
        <f>IFERROR(__xludf.DUMMYFUNCTION("""COMPUTED_VALUE"""),2.0)</f>
        <v>2</v>
      </c>
      <c r="BY380" s="16">
        <f>IFERROR(__xludf.DUMMYFUNCTION("""COMPUTED_VALUE"""),9.0)</f>
        <v>9</v>
      </c>
      <c r="BZ380" s="16" t="str">
        <f>IFERROR(__xludf.DUMMYFUNCTION("""COMPUTED_VALUE"""),"B")</f>
        <v>B</v>
      </c>
      <c r="CA380" s="16" t="str">
        <f>IFERROR(__xludf.DUMMYFUNCTION("""COMPUTED_VALUE"""),"D")</f>
        <v>D</v>
      </c>
      <c r="CB380" s="16">
        <f>IFERROR(__xludf.DUMMYFUNCTION("""COMPUTED_VALUE"""),1.0)</f>
        <v>1</v>
      </c>
      <c r="CC380" s="16">
        <f>IFERROR(__xludf.DUMMYFUNCTION("""COMPUTED_VALUE"""),0.0)</f>
        <v>0</v>
      </c>
      <c r="CD380" s="16">
        <f>IFERROR(__xludf.DUMMYFUNCTION("""COMPUTED_VALUE"""),1.0)</f>
        <v>1</v>
      </c>
      <c r="CE380" s="16">
        <f>IFERROR(__xludf.DUMMYFUNCTION("""COMPUTED_VALUE"""),0.0)</f>
        <v>0</v>
      </c>
      <c r="CF380" s="16">
        <f>IFERROR(__xludf.DUMMYFUNCTION("""COMPUTED_VALUE"""),1.0)</f>
        <v>1</v>
      </c>
      <c r="CG380" s="16">
        <f>IFERROR(__xludf.DUMMYFUNCTION("""COMPUTED_VALUE"""),-20.0)</f>
        <v>-20</v>
      </c>
      <c r="CH380" s="16">
        <f>IFERROR(__xludf.DUMMYFUNCTION("""COMPUTED_VALUE"""),-27.0)</f>
        <v>-27</v>
      </c>
      <c r="CI380" s="179">
        <f>IFERROR(__xludf.DUMMYFUNCTION("""COMPUTED_VALUE"""),-18.0)</f>
        <v>-18</v>
      </c>
      <c r="CJ380" s="16"/>
      <c r="CK380" s="16">
        <f>IFERROR(__xludf.DUMMYFUNCTION("""COMPUTED_VALUE"""),425.0)</f>
        <v>425</v>
      </c>
      <c r="CL380" s="16">
        <f>IFERROR(__xludf.DUMMYFUNCTION("""COMPUTED_VALUE"""),315.0)</f>
        <v>315</v>
      </c>
      <c r="CM380" s="16">
        <f>IFERROR(__xludf.DUMMYFUNCTION("""COMPUTED_VALUE"""),411.0)</f>
        <v>411</v>
      </c>
      <c r="CN380" s="16">
        <f>IFERROR(__xludf.DUMMYFUNCTION("""COMPUTED_VALUE"""),412.0)</f>
        <v>412</v>
      </c>
      <c r="CO380" s="16">
        <f>IFERROR(__xludf.DUMMYFUNCTION("""COMPUTED_VALUE"""),307.0)</f>
        <v>307</v>
      </c>
      <c r="CP380" s="16">
        <f>IFERROR(__xludf.DUMMYFUNCTION("""COMPUTED_VALUE"""),307.0)</f>
        <v>307</v>
      </c>
      <c r="CQ380" s="16">
        <f>IFERROR(__xludf.DUMMYFUNCTION("""COMPUTED_VALUE"""),307.0)</f>
        <v>307</v>
      </c>
      <c r="CR380" s="16" t="str">
        <f>IFERROR(__xludf.DUMMYFUNCTION("""COMPUTED_VALUE"""),"cf-3(0)e7 2b-3e15 lf-3e7 rf-3e7 1b-4e25 3b-4e11 ss-4e12")</f>
        <v>cf-3(0)e7 2b-3e15 lf-3e7 rf-3e7 1b-4e25 3b-4e11 ss-4e12</v>
      </c>
      <c r="CS380" s="16"/>
      <c r="CT380" s="16">
        <f>IFERROR(__xludf.DUMMYFUNCTION("""COMPUTED_VALUE"""),4.0)</f>
        <v>4</v>
      </c>
      <c r="CU380" s="16">
        <f>IFERROR(__xludf.DUMMYFUNCTION("""COMPUTED_VALUE"""),3.0)</f>
        <v>3</v>
      </c>
      <c r="CV380" s="16">
        <f>IFERROR(__xludf.DUMMYFUNCTION("""COMPUTED_VALUE"""),4.0)</f>
        <v>4</v>
      </c>
      <c r="CW380" s="16">
        <f>IFERROR(__xludf.DUMMYFUNCTION("""COMPUTED_VALUE"""),4.0)</f>
        <v>4</v>
      </c>
      <c r="CX380" s="16">
        <f>IFERROR(__xludf.DUMMYFUNCTION("""COMPUTED_VALUE"""),3.0)</f>
        <v>3</v>
      </c>
      <c r="CY380" s="16">
        <f>IFERROR(__xludf.DUMMYFUNCTION("""COMPUTED_VALUE"""),3.0)</f>
        <v>3</v>
      </c>
      <c r="CZ380" s="16">
        <f>IFERROR(__xludf.DUMMYFUNCTION("""COMPUTED_VALUE"""),3.0)</f>
        <v>3</v>
      </c>
      <c r="DA380" s="16"/>
      <c r="DB380" s="16">
        <f>IFERROR(__xludf.DUMMYFUNCTION("""COMPUTED_VALUE"""),25.0)</f>
        <v>25</v>
      </c>
      <c r="DC380" s="16">
        <f>IFERROR(__xludf.DUMMYFUNCTION("""COMPUTED_VALUE"""),15.0)</f>
        <v>15</v>
      </c>
      <c r="DD380" s="16">
        <f>IFERROR(__xludf.DUMMYFUNCTION("""COMPUTED_VALUE"""),11.0)</f>
        <v>11</v>
      </c>
      <c r="DE380" s="16">
        <f>IFERROR(__xludf.DUMMYFUNCTION("""COMPUTED_VALUE"""),12.0)</f>
        <v>12</v>
      </c>
      <c r="DF380" s="16">
        <f>IFERROR(__xludf.DUMMYFUNCTION("""COMPUTED_VALUE"""),7.0)</f>
        <v>7</v>
      </c>
      <c r="DG380" s="16">
        <f>IFERROR(__xludf.DUMMYFUNCTION("""COMPUTED_VALUE"""),7.0)</f>
        <v>7</v>
      </c>
      <c r="DH380" s="16">
        <f>IFERROR(__xludf.DUMMYFUNCTION("""COMPUTED_VALUE"""),7.0)</f>
        <v>7</v>
      </c>
      <c r="DI380" s="16"/>
      <c r="DJ380" s="16">
        <f>IFERROR(__xludf.DUMMYFUNCTION("""COMPUTED_VALUE"""),0.0)</f>
        <v>0</v>
      </c>
      <c r="DK380" s="16">
        <f>IFERROR(__xludf.DUMMYFUNCTION("""COMPUTED_VALUE"""),0.0)</f>
        <v>0</v>
      </c>
      <c r="DL380" s="16">
        <f>IFERROR(__xludf.DUMMYFUNCTION("""COMPUTED_VALUE"""),0.0)</f>
        <v>0</v>
      </c>
      <c r="DM380" s="16">
        <f>IFERROR(__xludf.DUMMYFUNCTION("""COMPUTED_VALUE"""),-2.0)</f>
        <v>-2</v>
      </c>
      <c r="DN380" s="16">
        <f>IFERROR(__xludf.DUMMYFUNCTION("""COMPUTED_VALUE"""),0.0)</f>
        <v>0</v>
      </c>
      <c r="DO380" s="16">
        <f>IFERROR(__xludf.DUMMYFUNCTION("""COMPUTED_VALUE"""),0.0)</f>
        <v>0</v>
      </c>
      <c r="DP380" s="16">
        <f>IFERROR(__xludf.DUMMYFUNCTION("""COMPUTED_VALUE"""),0.0)</f>
        <v>0</v>
      </c>
      <c r="DQ380" s="16"/>
      <c r="DR380" s="16">
        <f>IFERROR(__xludf.DUMMYFUNCTION("""COMPUTED_VALUE"""),-2.0)</f>
        <v>-2</v>
      </c>
      <c r="DS380" s="16">
        <f>IFERROR(__xludf.DUMMYFUNCTION("""COMPUTED_VALUE"""),2.0)</f>
        <v>2</v>
      </c>
      <c r="DT380" s="16">
        <f>IFERROR(__xludf.DUMMYFUNCTION("""COMPUTED_VALUE"""),1.0)</f>
        <v>1</v>
      </c>
      <c r="DU380" s="16">
        <f>IFERROR(__xludf.DUMMYFUNCTION("""COMPUTED_VALUE"""),2.0)</f>
        <v>2</v>
      </c>
      <c r="DV380" s="16">
        <f>IFERROR(__xludf.DUMMYFUNCTION("""COMPUTED_VALUE"""),2.0)</f>
        <v>2</v>
      </c>
      <c r="DW380" s="16">
        <f>IFERROR(__xludf.DUMMYFUNCTION("""COMPUTED_VALUE"""),3.0)</f>
        <v>3</v>
      </c>
      <c r="DX380" s="16">
        <f>IFERROR(__xludf.DUMMYFUNCTION("""COMPUTED_VALUE"""),2.0)</f>
        <v>2</v>
      </c>
      <c r="DY380" s="16"/>
      <c r="DZ380" s="16">
        <f>IFERROR(__xludf.DUMMYFUNCTION("""COMPUTED_VALUE"""),-2.0)</f>
        <v>-2</v>
      </c>
      <c r="EA380" s="16">
        <f>IFERROR(__xludf.DUMMYFUNCTION("""COMPUTED_VALUE"""),2.0)</f>
        <v>2</v>
      </c>
      <c r="EB380" s="16">
        <f>IFERROR(__xludf.DUMMYFUNCTION("""COMPUTED_VALUE"""),1.0)</f>
        <v>1</v>
      </c>
      <c r="EC380" s="16">
        <f>IFERROR(__xludf.DUMMYFUNCTION("""COMPUTED_VALUE"""),0.0)</f>
        <v>0</v>
      </c>
      <c r="ED380" s="16">
        <f>IFERROR(__xludf.DUMMYFUNCTION("""COMPUTED_VALUE"""),2.0)</f>
        <v>2</v>
      </c>
      <c r="EE380" s="16">
        <f>IFERROR(__xludf.DUMMYFUNCTION("""COMPUTED_VALUE"""),3.0)</f>
        <v>3</v>
      </c>
      <c r="EF380" s="16">
        <f>IFERROR(__xludf.DUMMYFUNCTION("""COMPUTED_VALUE"""),2.0)</f>
        <v>2</v>
      </c>
      <c r="EG380" s="179"/>
      <c r="EH380" s="179">
        <f>IFERROR(__xludf.DUMMYFUNCTION("""COMPUTED_VALUE"""),-20.0)</f>
        <v>-20</v>
      </c>
      <c r="EI380" s="179">
        <f>IFERROR(__xludf.DUMMYFUNCTION("""COMPUTED_VALUE"""),-16.0)</f>
        <v>-16</v>
      </c>
      <c r="EJ380" s="179">
        <f>IFERROR(__xludf.DUMMYFUNCTION("""COMPUTED_VALUE"""),-17.0)</f>
        <v>-17</v>
      </c>
      <c r="EK380" s="179">
        <f>IFERROR(__xludf.DUMMYFUNCTION("""COMPUTED_VALUE"""),-18.0)</f>
        <v>-18</v>
      </c>
      <c r="EL380" s="179">
        <f>IFERROR(__xludf.DUMMYFUNCTION("""COMPUTED_VALUE"""),-16.0)</f>
        <v>-16</v>
      </c>
      <c r="EM380" s="179">
        <f>IFERROR(__xludf.DUMMYFUNCTION("""COMPUTED_VALUE"""),-15.0)</f>
        <v>-15</v>
      </c>
      <c r="EN380" s="179">
        <f>IFERROR(__xludf.DUMMYFUNCTION("""COMPUTED_VALUE"""),-16.0)</f>
        <v>-16</v>
      </c>
      <c r="EO380" s="16"/>
      <c r="EP380" s="16">
        <f>IFERROR(__xludf.DUMMYFUNCTION("""COMPUTED_VALUE"""),0.0)</f>
        <v>0</v>
      </c>
      <c r="EQ380" s="16">
        <f>IFERROR(__xludf.DUMMYFUNCTION("""COMPUTED_VALUE"""),4.0)</f>
        <v>4</v>
      </c>
      <c r="ER380" s="16">
        <f>IFERROR(__xludf.DUMMYFUNCTION("""COMPUTED_VALUE"""),0.0)</f>
        <v>0</v>
      </c>
      <c r="ES380" s="16"/>
      <c r="ET380" s="16"/>
      <c r="EU380" s="16"/>
      <c r="EV380" s="16"/>
      <c r="EW380" s="16"/>
      <c r="EX380" s="180"/>
      <c r="EY380" s="180">
        <f>IFERROR(__xludf.DUMMYFUNCTION("""COMPUTED_VALUE"""),0.3)</f>
        <v>0.3</v>
      </c>
      <c r="EZ380" s="180">
        <f>IFERROR(__xludf.DUMMYFUNCTION("""COMPUTED_VALUE"""),0.2)</f>
        <v>0.2</v>
      </c>
      <c r="FA380" s="180">
        <f>IFERROR(__xludf.DUMMYFUNCTION("""COMPUTED_VALUE"""),0.3)</f>
        <v>0.3</v>
      </c>
      <c r="FB380" s="180">
        <f>IFERROR(__xludf.DUMMYFUNCTION("""COMPUTED_VALUE"""),0.3)</f>
        <v>0.3</v>
      </c>
      <c r="FC380" s="180">
        <f>IFERROR(__xludf.DUMMYFUNCTION("""COMPUTED_VALUE"""),0.3)</f>
        <v>0.3</v>
      </c>
      <c r="FD380" s="180">
        <f>IFERROR(__xludf.DUMMYFUNCTION("""COMPUTED_VALUE"""),0.3)</f>
        <v>0.3</v>
      </c>
      <c r="FE380" s="180">
        <f>IFERROR(__xludf.DUMMYFUNCTION("""COMPUTED_VALUE"""),0.3)</f>
        <v>0.3</v>
      </c>
      <c r="FF380" s="180"/>
      <c r="FG380" s="180">
        <f>IFERROR(__xludf.DUMMYFUNCTION("""COMPUTED_VALUE"""),0.44907407407407407)</f>
        <v>0.4490740741</v>
      </c>
      <c r="FH380" s="180">
        <f>IFERROR(__xludf.DUMMYFUNCTION("""COMPUTED_VALUE"""),0.09259259259259259)</f>
        <v>0.09259259259</v>
      </c>
      <c r="FI380" s="180">
        <f>IFERROR(__xludf.DUMMYFUNCTION("""COMPUTED_VALUE"""),0.13425925925925927)</f>
        <v>0.1342592593</v>
      </c>
      <c r="FJ380" s="180">
        <f>IFERROR(__xludf.DUMMYFUNCTION("""COMPUTED_VALUE"""),0.05555555555555555)</f>
        <v>0.05555555556</v>
      </c>
      <c r="FK380" s="180">
        <f>IFERROR(__xludf.DUMMYFUNCTION("""COMPUTED_VALUE"""),0.125)</f>
        <v>0.125</v>
      </c>
      <c r="FL380" s="180">
        <f>IFERROR(__xludf.DUMMYFUNCTION("""COMPUTED_VALUE"""),0.08333333333333333)</f>
        <v>0.08333333333</v>
      </c>
      <c r="FM380" s="180">
        <f>IFERROR(__xludf.DUMMYFUNCTION("""COMPUTED_VALUE"""),0.125)</f>
        <v>0.125</v>
      </c>
      <c r="FN380" s="16"/>
      <c r="FO380" s="16">
        <f>IFERROR(__xludf.DUMMYFUNCTION("""COMPUTED_VALUE"""),0.38564814814814813)</f>
        <v>0.3856481481</v>
      </c>
      <c r="FP380" s="16">
        <f>IFERROR(__xludf.DUMMYFUNCTION("""COMPUTED_VALUE"""),0.725925925925926)</f>
        <v>0.7259259259</v>
      </c>
      <c r="FQ380" s="16">
        <f>IFERROR(__xludf.DUMMYFUNCTION("""COMPUTED_VALUE"""),0.6060185185185184)</f>
        <v>0.6060185185</v>
      </c>
      <c r="FR380" s="16">
        <f>IFERROR(__xludf.DUMMYFUNCTION("""COMPUTED_VALUE"""),0.6611111111111111)</f>
        <v>0.6611111111</v>
      </c>
      <c r="FS380" s="16">
        <f>IFERROR(__xludf.DUMMYFUNCTION("""COMPUTED_VALUE"""),0.6124999999999999)</f>
        <v>0.6125</v>
      </c>
      <c r="FT380" s="16">
        <f>IFERROR(__xludf.DUMMYFUNCTION("""COMPUTED_VALUE"""),0.6416666666666666)</f>
        <v>0.6416666667</v>
      </c>
      <c r="FU380" s="16">
        <f>IFERROR(__xludf.DUMMYFUNCTION("""COMPUTED_VALUE"""),0.6124999999999999)</f>
        <v>0.6125</v>
      </c>
      <c r="FV380" s="16"/>
      <c r="FW380" s="16">
        <f>IFERROR(__xludf.DUMMYFUNCTION("""COMPUTED_VALUE"""),-8.0)</f>
        <v>-8</v>
      </c>
      <c r="FX380" s="16">
        <f>IFERROR(__xludf.DUMMYFUNCTION("""COMPUTED_VALUE"""),-4.0)</f>
        <v>-4</v>
      </c>
      <c r="FY380" s="16">
        <f>IFERROR(__xludf.DUMMYFUNCTION("""COMPUTED_VALUE"""),-6.0)</f>
        <v>-6</v>
      </c>
      <c r="FZ380" s="16">
        <f>IFERROR(__xludf.DUMMYFUNCTION("""COMPUTED_VALUE"""),-4.0)</f>
        <v>-4</v>
      </c>
      <c r="GA380" s="16">
        <f>IFERROR(__xludf.DUMMYFUNCTION("""COMPUTED_VALUE"""),-6.0)</f>
        <v>-6</v>
      </c>
      <c r="GB380" s="16">
        <f>IFERROR(__xludf.DUMMYFUNCTION("""COMPUTED_VALUE"""),-6.0)</f>
        <v>-6</v>
      </c>
      <c r="GC380" s="16">
        <f>IFERROR(__xludf.DUMMYFUNCTION("""COMPUTED_VALUE"""),-6.0)</f>
        <v>-6</v>
      </c>
      <c r="GD380" s="16" t="s">
        <v>176</v>
      </c>
    </row>
    <row r="381">
      <c r="A381" s="16">
        <f>IFERROR(__xludf.DUMMYFUNCTION("""COMPUTED_VALUE"""),13253.0)</f>
        <v>13253</v>
      </c>
      <c r="B381" s="16" t="str">
        <f>IFERROR(__xludf.DUMMYFUNCTION("""COMPUTED_VALUE"""),"Niko Kavadas")</f>
        <v>Niko Kavadas</v>
      </c>
      <c r="C381" s="16">
        <f>IFERROR(__xludf.DUMMYFUNCTION("""COMPUTED_VALUE"""),0.0)</f>
        <v>0</v>
      </c>
      <c r="D381" s="16" t="str">
        <f>IFERROR(__xludf.DUMMYFUNCTION("""COMPUTED_VALUE"""),"L")</f>
        <v>L</v>
      </c>
      <c r="E381" s="16"/>
      <c r="F381" s="16"/>
      <c r="G381" s="16">
        <f>IFERROR(__xludf.DUMMYFUNCTION("""COMPUTED_VALUE"""),93.0)</f>
        <v>93</v>
      </c>
      <c r="H381" s="16">
        <f>IFERROR(__xludf.DUMMYFUNCTION("""COMPUTED_VALUE"""),11.0)</f>
        <v>11</v>
      </c>
      <c r="I381" s="16" t="str">
        <f>IFERROR(__xludf.DUMMYFUNCTION("""COMPUTED_VALUE"""),"1p20")</f>
        <v>1p20</v>
      </c>
      <c r="J381" s="16">
        <f>IFERROR(__xludf.DUMMYFUNCTION("""COMPUTED_VALUE"""),50.0)</f>
        <v>50</v>
      </c>
      <c r="K381" s="16">
        <f>IFERROR(__xludf.DUMMYFUNCTION("""COMPUTED_VALUE"""),58.0)</f>
        <v>58</v>
      </c>
      <c r="L381" s="16">
        <f>IFERROR(__xludf.DUMMYFUNCTION("""COMPUTED_VALUE"""),-2.0)</f>
        <v>-2</v>
      </c>
      <c r="M381" s="16">
        <f>IFERROR(__xludf.DUMMYFUNCTION("""COMPUTED_VALUE"""),-3.0)</f>
        <v>-3</v>
      </c>
      <c r="N381" s="16">
        <f>IFERROR(__xludf.DUMMYFUNCTION("""COMPUTED_VALUE"""),-2.0)</f>
        <v>-2</v>
      </c>
      <c r="O381" s="16">
        <f>IFERROR(__xludf.DUMMYFUNCTION("""COMPUTED_VALUE"""),-3.0)</f>
        <v>-3</v>
      </c>
      <c r="P381" s="16">
        <f>IFERROR(__xludf.DUMMYFUNCTION("""COMPUTED_VALUE"""),9.0)</f>
        <v>9</v>
      </c>
      <c r="Q381" s="16">
        <f>IFERROR(__xludf.DUMMYFUNCTION("""COMPUTED_VALUE"""),13.0)</f>
        <v>13</v>
      </c>
      <c r="R381" s="16">
        <f>IFERROR(__xludf.DUMMYFUNCTION("""COMPUTED_VALUE"""),0.0)</f>
        <v>0</v>
      </c>
      <c r="S381" s="16">
        <f>IFERROR(__xludf.DUMMYFUNCTION("""COMPUTED_VALUE"""),1.0)</f>
        <v>1</v>
      </c>
      <c r="T381" s="16">
        <f>IFERROR(__xludf.DUMMYFUNCTION("""COMPUTED_VALUE"""),0.0)</f>
        <v>0</v>
      </c>
      <c r="U381" s="16">
        <f>IFERROR(__xludf.DUMMYFUNCTION("""COMPUTED_VALUE"""),1.0)</f>
        <v>1</v>
      </c>
      <c r="V381" s="16">
        <f>IFERROR(__xludf.DUMMYFUNCTION("""COMPUTED_VALUE"""),3.7)</f>
        <v>3.7</v>
      </c>
      <c r="W381" s="16">
        <f>IFERROR(__xludf.DUMMYFUNCTION("""COMPUTED_VALUE"""),7.1)</f>
        <v>7.1</v>
      </c>
      <c r="X381" s="16">
        <f>IFERROR(__xludf.DUMMYFUNCTION("""COMPUTED_VALUE"""),-2.0)</f>
        <v>-2</v>
      </c>
      <c r="Y381" s="16">
        <f>IFERROR(__xludf.DUMMYFUNCTION("""COMPUTED_VALUE"""),-2.0)</f>
        <v>-2</v>
      </c>
      <c r="Z381" s="16">
        <f>IFERROR(__xludf.DUMMYFUNCTION("""COMPUTED_VALUE"""),-4.0)</f>
        <v>-4</v>
      </c>
      <c r="AA381" s="16">
        <f>IFERROR(__xludf.DUMMYFUNCTION("""COMPUTED_VALUE"""),-4.0)</f>
        <v>-4</v>
      </c>
      <c r="AB381" s="16">
        <f>IFERROR(__xludf.DUMMYFUNCTION("""COMPUTED_VALUE"""),17.7)</f>
        <v>17.7</v>
      </c>
      <c r="AC381" s="16">
        <f>IFERROR(__xludf.DUMMYFUNCTION("""COMPUTED_VALUE"""),25.1)</f>
        <v>25.1</v>
      </c>
      <c r="AD381" s="16">
        <f>IFERROR(__xludf.DUMMYFUNCTION("""COMPUTED_VALUE"""),-2.0)</f>
        <v>-2</v>
      </c>
      <c r="AE381" s="16">
        <f>IFERROR(__xludf.DUMMYFUNCTION("""COMPUTED_VALUE"""),-1.0)</f>
        <v>-1</v>
      </c>
      <c r="AF381" s="16">
        <f>IFERROR(__xludf.DUMMYFUNCTION("""COMPUTED_VALUE"""),-10.0)</f>
        <v>-10</v>
      </c>
      <c r="AG381" s="16">
        <f>IFERROR(__xludf.DUMMYFUNCTION("""COMPUTED_VALUE"""),-5.0)</f>
        <v>-5</v>
      </c>
      <c r="AH381" s="16">
        <f>IFERROR(__xludf.DUMMYFUNCTION("""COMPUTED_VALUE"""),8.0)</f>
        <v>8</v>
      </c>
      <c r="AI381" s="16">
        <f>IFERROR(__xludf.DUMMYFUNCTION("""COMPUTED_VALUE"""),15.5)</f>
        <v>15.5</v>
      </c>
      <c r="AJ381" s="16">
        <f>IFERROR(__xludf.DUMMYFUNCTION("""COMPUTED_VALUE"""),-2.0)</f>
        <v>-2</v>
      </c>
      <c r="AK381" s="16">
        <f>IFERROR(__xludf.DUMMYFUNCTION("""COMPUTED_VALUE"""),-2.0)</f>
        <v>-2</v>
      </c>
      <c r="AL381" s="16">
        <f>IFERROR(__xludf.DUMMYFUNCTION("""COMPUTED_VALUE"""),-10.0)</f>
        <v>-10</v>
      </c>
      <c r="AM381" s="16">
        <f>IFERROR(__xludf.DUMMYFUNCTION("""COMPUTED_VALUE"""),-10.0)</f>
        <v>-10</v>
      </c>
      <c r="AN381" s="16">
        <f>IFERROR(__xludf.DUMMYFUNCTION("""COMPUTED_VALUE"""),1.5)</f>
        <v>1.5</v>
      </c>
      <c r="AO381" s="16">
        <f>IFERROR(__xludf.DUMMYFUNCTION("""COMPUTED_VALUE"""),2.8)</f>
        <v>2.8</v>
      </c>
      <c r="AP381" s="16">
        <f>IFERROR(__xludf.DUMMYFUNCTION("""COMPUTED_VALUE"""),-1.0)</f>
        <v>-1</v>
      </c>
      <c r="AQ381" s="16">
        <f>IFERROR(__xludf.DUMMYFUNCTION("""COMPUTED_VALUE"""),0.0)</f>
        <v>0</v>
      </c>
      <c r="AR381" s="16">
        <f>IFERROR(__xludf.DUMMYFUNCTION("""COMPUTED_VALUE"""),-2.0)</f>
        <v>-2</v>
      </c>
      <c r="AS381" s="16">
        <f>IFERROR(__xludf.DUMMYFUNCTION("""COMPUTED_VALUE"""),0.0)</f>
        <v>0</v>
      </c>
      <c r="AT381" s="16"/>
      <c r="AU381" s="16">
        <f>IFERROR(__xludf.DUMMYFUNCTION("""COMPUTED_VALUE"""),4.0)</f>
        <v>4</v>
      </c>
      <c r="AV381" s="16">
        <f>IFERROR(__xludf.DUMMYFUNCTION("""COMPUTED_VALUE"""),2.0)</f>
        <v>2</v>
      </c>
      <c r="AW381" s="16">
        <f>IFERROR(__xludf.DUMMYFUNCTION("""COMPUTED_VALUE"""),4.0)</f>
        <v>4</v>
      </c>
      <c r="AX381" s="16">
        <f>IFERROR(__xludf.DUMMYFUNCTION("""COMPUTED_VALUE"""),0.0)</f>
        <v>0</v>
      </c>
      <c r="AY381" s="16">
        <f>IFERROR(__xludf.DUMMYFUNCTION("""COMPUTED_VALUE"""),1.0)</f>
        <v>1</v>
      </c>
      <c r="AZ381" s="16">
        <f>IFERROR(__xludf.DUMMYFUNCTION("""COMPUTED_VALUE"""),0.0)</f>
        <v>0</v>
      </c>
      <c r="BA381" s="16">
        <f>IFERROR(__xludf.DUMMYFUNCTION("""COMPUTED_VALUE"""),3.0)</f>
        <v>3</v>
      </c>
      <c r="BB381" s="16">
        <f>IFERROR(__xludf.DUMMYFUNCTION("""COMPUTED_VALUE"""),0.0)</f>
        <v>0</v>
      </c>
      <c r="BC381" s="16">
        <f>IFERROR(__xludf.DUMMYFUNCTION("""COMPUTED_VALUE"""),5.0)</f>
        <v>5</v>
      </c>
      <c r="BD381" s="16">
        <f>IFERROR(__xludf.DUMMYFUNCTION("""COMPUTED_VALUE"""),0.0)</f>
        <v>0</v>
      </c>
      <c r="BE381" s="16">
        <f>IFERROR(__xludf.DUMMYFUNCTION("""COMPUTED_VALUE"""),1.0)</f>
        <v>1</v>
      </c>
      <c r="BF381" s="16">
        <f>IFERROR(__xludf.DUMMYFUNCTION("""COMPUTED_VALUE"""),0.0)</f>
        <v>0</v>
      </c>
      <c r="BG381" s="16">
        <f>IFERROR(__xludf.DUMMYFUNCTION("""COMPUTED_VALUE"""),1.0)</f>
        <v>1</v>
      </c>
      <c r="BH381" s="16">
        <f>IFERROR(__xludf.DUMMYFUNCTION("""COMPUTED_VALUE"""),0.0)</f>
        <v>0</v>
      </c>
      <c r="BI381" s="16">
        <f>IFERROR(__xludf.DUMMYFUNCTION("""COMPUTED_VALUE"""),-2.0)</f>
        <v>-2</v>
      </c>
      <c r="BJ381" s="16">
        <f>IFERROR(__xludf.DUMMYFUNCTION("""COMPUTED_VALUE"""),0.0)</f>
        <v>0</v>
      </c>
      <c r="BK381" s="16">
        <f>IFERROR(__xludf.DUMMYFUNCTION("""COMPUTED_VALUE"""),0.0)</f>
        <v>0</v>
      </c>
      <c r="BL381" s="16">
        <f>IFERROR(__xludf.DUMMYFUNCTION("""COMPUTED_VALUE"""),3.0)</f>
        <v>3</v>
      </c>
      <c r="BM381" s="16">
        <f>IFERROR(__xludf.DUMMYFUNCTION("""COMPUTED_VALUE"""),3.0)</f>
        <v>3</v>
      </c>
      <c r="BN381" s="16">
        <f>IFERROR(__xludf.DUMMYFUNCTION("""COMPUTED_VALUE"""),3.0)</f>
        <v>3</v>
      </c>
      <c r="BO381" s="16">
        <f>IFERROR(__xludf.DUMMYFUNCTION("""COMPUTED_VALUE"""),3.0)</f>
        <v>3</v>
      </c>
      <c r="BP381" s="16">
        <f>IFERROR(__xludf.DUMMYFUNCTION("""COMPUTED_VALUE"""),-6.0)</f>
        <v>-6</v>
      </c>
      <c r="BQ381" s="16">
        <f>IFERROR(__xludf.DUMMYFUNCTION("""COMPUTED_VALUE"""),-2.0)</f>
        <v>-2</v>
      </c>
      <c r="BR381" s="16">
        <f>IFERROR(__xludf.DUMMYFUNCTION("""COMPUTED_VALUE"""),-8.0)</f>
        <v>-8</v>
      </c>
      <c r="BS381" s="16" t="str">
        <f>IFERROR(__xludf.DUMMYFUNCTION("""COMPUTED_VALUE"""),"3/- (20-6)")</f>
        <v>3/- (20-6)</v>
      </c>
      <c r="BT381" s="16" t="str">
        <f>IFERROR(__xludf.DUMMYFUNCTION("""COMPUTED_VALUE"""),"D")</f>
        <v>D</v>
      </c>
      <c r="BU381" s="16">
        <f>IFERROR(__xludf.DUMMYFUNCTION("""COMPUTED_VALUE"""),8.0)</f>
        <v>8</v>
      </c>
      <c r="BV381" s="16">
        <f>IFERROR(__xludf.DUMMYFUNCTION("""COMPUTED_VALUE"""),0.0)</f>
        <v>0</v>
      </c>
      <c r="BW381" s="16">
        <f>IFERROR(__xludf.DUMMYFUNCTION("""COMPUTED_VALUE"""),-1.0)</f>
        <v>-1</v>
      </c>
      <c r="BX381" s="16">
        <f>IFERROR(__xludf.DUMMYFUNCTION("""COMPUTED_VALUE"""),0.0)</f>
        <v>0</v>
      </c>
      <c r="BY381" s="16">
        <f>IFERROR(__xludf.DUMMYFUNCTION("""COMPUTED_VALUE"""),-3.0)</f>
        <v>-3</v>
      </c>
      <c r="BZ381" s="16" t="str">
        <f>IFERROR(__xludf.DUMMYFUNCTION("""COMPUTED_VALUE"""),"D")</f>
        <v>D</v>
      </c>
      <c r="CA381" s="16" t="str">
        <f>IFERROR(__xludf.DUMMYFUNCTION("""COMPUTED_VALUE"""),"D")</f>
        <v>D</v>
      </c>
      <c r="CB381" s="16">
        <f>IFERROR(__xludf.DUMMYFUNCTION("""COMPUTED_VALUE"""),0.0)</f>
        <v>0</v>
      </c>
      <c r="CC381" s="16">
        <f>IFERROR(__xludf.DUMMYFUNCTION("""COMPUTED_VALUE"""),0.0)</f>
        <v>0</v>
      </c>
      <c r="CD381" s="16">
        <f>IFERROR(__xludf.DUMMYFUNCTION("""COMPUTED_VALUE"""),0.0)</f>
        <v>0</v>
      </c>
      <c r="CE381" s="16">
        <f>IFERROR(__xludf.DUMMYFUNCTION("""COMPUTED_VALUE"""),0.0)</f>
        <v>0</v>
      </c>
      <c r="CF381" s="16">
        <f>IFERROR(__xludf.DUMMYFUNCTION("""COMPUTED_VALUE"""),1.0)</f>
        <v>1</v>
      </c>
      <c r="CG381" s="16">
        <f>IFERROR(__xludf.DUMMYFUNCTION("""COMPUTED_VALUE"""),-25.0)</f>
        <v>-25</v>
      </c>
      <c r="CH381" s="16">
        <f>IFERROR(__xludf.DUMMYFUNCTION("""COMPUTED_VALUE"""),-14.0)</f>
        <v>-14</v>
      </c>
      <c r="CI381" s="179">
        <f>IFERROR(__xludf.DUMMYFUNCTION("""COMPUTED_VALUE"""),-18.0)</f>
        <v>-18</v>
      </c>
      <c r="CJ381" s="16"/>
      <c r="CK381" s="16">
        <f>IFERROR(__xludf.DUMMYFUNCTION("""COMPUTED_VALUE"""),410.0)</f>
        <v>410</v>
      </c>
      <c r="CL381" s="16"/>
      <c r="CM381" s="16"/>
      <c r="CN381" s="16"/>
      <c r="CO381" s="16"/>
      <c r="CP381" s="16"/>
      <c r="CQ381" s="16"/>
      <c r="CR381" s="16" t="str">
        <f>IFERROR(__xludf.DUMMYFUNCTION("""COMPUTED_VALUE"""),"1b-4e10")</f>
        <v>1b-4e10</v>
      </c>
      <c r="CS381" s="16"/>
      <c r="CT381" s="16">
        <f>IFERROR(__xludf.DUMMYFUNCTION("""COMPUTED_VALUE"""),4.0)</f>
        <v>4</v>
      </c>
      <c r="CU381" s="16"/>
      <c r="CV381" s="16"/>
      <c r="CW381" s="16"/>
      <c r="CX381" s="16"/>
      <c r="CY381" s="16"/>
      <c r="CZ381" s="16"/>
      <c r="DA381" s="16"/>
      <c r="DB381" s="16">
        <f>IFERROR(__xludf.DUMMYFUNCTION("""COMPUTED_VALUE"""),10.0)</f>
        <v>10</v>
      </c>
      <c r="DC381" s="16"/>
      <c r="DD381" s="16"/>
      <c r="DE381" s="16"/>
      <c r="DF381" s="16"/>
      <c r="DG381" s="16"/>
      <c r="DH381" s="16"/>
      <c r="DI381" s="16"/>
      <c r="DJ381" s="16">
        <f>IFERROR(__xludf.DUMMYFUNCTION("""COMPUTED_VALUE"""),0.0)</f>
        <v>0</v>
      </c>
      <c r="DK381" s="16"/>
      <c r="DL381" s="16"/>
      <c r="DM381" s="16"/>
      <c r="DN381" s="16"/>
      <c r="DO381" s="16"/>
      <c r="DP381" s="16"/>
      <c r="DQ381" s="16"/>
      <c r="DR381" s="16">
        <f>IFERROR(__xludf.DUMMYFUNCTION("""COMPUTED_VALUE"""),2.0)</f>
        <v>2</v>
      </c>
      <c r="DS381" s="16"/>
      <c r="DT381" s="16"/>
      <c r="DU381" s="16"/>
      <c r="DV381" s="16"/>
      <c r="DW381" s="16"/>
      <c r="DX381" s="16"/>
      <c r="DY381" s="16"/>
      <c r="DZ381" s="16">
        <f>IFERROR(__xludf.DUMMYFUNCTION("""COMPUTED_VALUE"""),2.0)</f>
        <v>2</v>
      </c>
      <c r="EA381" s="16"/>
      <c r="EB381" s="16"/>
      <c r="EC381" s="16"/>
      <c r="ED381" s="16"/>
      <c r="EE381" s="16"/>
      <c r="EF381" s="16"/>
      <c r="EG381" s="179"/>
      <c r="EH381" s="179">
        <f>IFERROR(__xludf.DUMMYFUNCTION("""COMPUTED_VALUE"""),-16.0)</f>
        <v>-16</v>
      </c>
      <c r="EI381" s="179"/>
      <c r="EJ381" s="179"/>
      <c r="EK381" s="179"/>
      <c r="EL381" s="179"/>
      <c r="EM381" s="179"/>
      <c r="EN381" s="179"/>
      <c r="EO381" s="16"/>
      <c r="EP381" s="16">
        <f>IFERROR(__xludf.DUMMYFUNCTION("""COMPUTED_VALUE"""),-1.0)</f>
        <v>-1</v>
      </c>
      <c r="EQ381" s="16">
        <f>IFERROR(__xludf.DUMMYFUNCTION("""COMPUTED_VALUE"""),4.0)</f>
        <v>4</v>
      </c>
      <c r="ER381" s="16">
        <f>IFERROR(__xludf.DUMMYFUNCTION("""COMPUTED_VALUE"""),-4.0)</f>
        <v>-4</v>
      </c>
      <c r="ES381" s="16"/>
      <c r="ET381" s="16"/>
      <c r="EU381" s="16"/>
      <c r="EV381" s="16"/>
      <c r="EW381" s="16"/>
      <c r="EX381" s="180"/>
      <c r="EY381" s="180">
        <f>IFERROR(__xludf.DUMMYFUNCTION("""COMPUTED_VALUE"""),0.3)</f>
        <v>0.3</v>
      </c>
      <c r="EZ381" s="180"/>
      <c r="FA381" s="180"/>
      <c r="FB381" s="180"/>
      <c r="FC381" s="180"/>
      <c r="FD381" s="180"/>
      <c r="FE381" s="180"/>
      <c r="FF381" s="180"/>
      <c r="FG381" s="180">
        <f>IFERROR(__xludf.DUMMYFUNCTION("""COMPUTED_VALUE"""),0.18055555555555555)</f>
        <v>0.1805555556</v>
      </c>
      <c r="FH381" s="180"/>
      <c r="FI381" s="180"/>
      <c r="FJ381" s="180"/>
      <c r="FK381" s="180"/>
      <c r="FL381" s="180"/>
      <c r="FM381" s="180"/>
      <c r="FN381" s="16"/>
      <c r="FO381" s="16">
        <f>IFERROR(__xludf.DUMMYFUNCTION("""COMPUTED_VALUE"""),0.5736111111111111)</f>
        <v>0.5736111111</v>
      </c>
      <c r="FP381" s="16"/>
      <c r="FQ381" s="16"/>
      <c r="FR381" s="16"/>
      <c r="FS381" s="16"/>
      <c r="FT381" s="16"/>
      <c r="FU381" s="16"/>
      <c r="FV381" s="16"/>
      <c r="FW381" s="16">
        <f>IFERROR(__xludf.DUMMYFUNCTION("""COMPUTED_VALUE"""),-6.0)</f>
        <v>-6</v>
      </c>
      <c r="FX381" s="16"/>
      <c r="FY381" s="16"/>
      <c r="FZ381" s="16"/>
      <c r="GA381" s="16"/>
      <c r="GB381" s="16"/>
      <c r="GC381" s="16"/>
      <c r="GD381" s="16" t="s">
        <v>176</v>
      </c>
    </row>
    <row r="382">
      <c r="A382" s="16">
        <f>IFERROR(__xludf.DUMMYFUNCTION("""COMPUTED_VALUE"""),13029.0)</f>
        <v>13029</v>
      </c>
      <c r="B382" s="16" t="str">
        <f>IFERROR(__xludf.DUMMYFUNCTION("""COMPUTED_VALUE"""),"Jose Trevino")</f>
        <v>Jose Trevino</v>
      </c>
      <c r="C382" s="16">
        <f>IFERROR(__xludf.DUMMYFUNCTION("""COMPUTED_VALUE"""),0.44)</f>
        <v>0.44</v>
      </c>
      <c r="D382" s="16" t="str">
        <f>IFERROR(__xludf.DUMMYFUNCTION("""COMPUTED_VALUE"""),"R")</f>
        <v>R</v>
      </c>
      <c r="E382" s="16"/>
      <c r="F382" s="16"/>
      <c r="G382" s="16">
        <f>IFERROR(__xludf.DUMMYFUNCTION("""COMPUTED_VALUE"""),209.0)</f>
        <v>209</v>
      </c>
      <c r="H382" s="16">
        <f>IFERROR(__xludf.DUMMYFUNCTION("""COMPUTED_VALUE"""),20.0)</f>
        <v>20</v>
      </c>
      <c r="I382" s="16" t="str">
        <f>IFERROR(__xludf.DUMMYFUNCTION("""COMPUTED_VALUE"""),"4p40")</f>
        <v>4p40</v>
      </c>
      <c r="J382" s="16">
        <f>IFERROR(__xludf.DUMMYFUNCTION("""COMPUTED_VALUE"""),10.0)</f>
        <v>10</v>
      </c>
      <c r="K382" s="16">
        <f>IFERROR(__xludf.DUMMYFUNCTION("""COMPUTED_VALUE"""),16.0)</f>
        <v>16</v>
      </c>
      <c r="L382" s="16">
        <f>IFERROR(__xludf.DUMMYFUNCTION("""COMPUTED_VALUE"""),1.0)</f>
        <v>1</v>
      </c>
      <c r="M382" s="16">
        <f>IFERROR(__xludf.DUMMYFUNCTION("""COMPUTED_VALUE"""),1.0)</f>
        <v>1</v>
      </c>
      <c r="N382" s="16">
        <f>IFERROR(__xludf.DUMMYFUNCTION("""COMPUTED_VALUE"""),1.0)</f>
        <v>1</v>
      </c>
      <c r="O382" s="16">
        <f>IFERROR(__xludf.DUMMYFUNCTION("""COMPUTED_VALUE"""),1.0)</f>
        <v>1</v>
      </c>
      <c r="P382" s="16">
        <f>IFERROR(__xludf.DUMMYFUNCTION("""COMPUTED_VALUE"""),14.0)</f>
        <v>14</v>
      </c>
      <c r="Q382" s="16">
        <f>IFERROR(__xludf.DUMMYFUNCTION("""COMPUTED_VALUE"""),8.0)</f>
        <v>8</v>
      </c>
      <c r="R382" s="16">
        <f>IFERROR(__xludf.DUMMYFUNCTION("""COMPUTED_VALUE"""),2.0)</f>
        <v>2</v>
      </c>
      <c r="S382" s="16">
        <f>IFERROR(__xludf.DUMMYFUNCTION("""COMPUTED_VALUE"""),0.0)</f>
        <v>0</v>
      </c>
      <c r="T382" s="16">
        <f>IFERROR(__xludf.DUMMYFUNCTION("""COMPUTED_VALUE"""),2.0)</f>
        <v>2</v>
      </c>
      <c r="U382" s="16">
        <f>IFERROR(__xludf.DUMMYFUNCTION("""COMPUTED_VALUE"""),0.0)</f>
        <v>0</v>
      </c>
      <c r="V382" s="16">
        <f>IFERROR(__xludf.DUMMYFUNCTION("""COMPUTED_VALUE"""),10.6)</f>
        <v>10.6</v>
      </c>
      <c r="W382" s="16">
        <f>IFERROR(__xludf.DUMMYFUNCTION("""COMPUTED_VALUE"""),15.0)</f>
        <v>15</v>
      </c>
      <c r="X382" s="16">
        <f>IFERROR(__xludf.DUMMYFUNCTION("""COMPUTED_VALUE"""),-1.0)</f>
        <v>-1</v>
      </c>
      <c r="Y382" s="16">
        <f>IFERROR(__xludf.DUMMYFUNCTION("""COMPUTED_VALUE"""),-1.0)</f>
        <v>-1</v>
      </c>
      <c r="Z382" s="16">
        <f>IFERROR(__xludf.DUMMYFUNCTION("""COMPUTED_VALUE"""),-2.0)</f>
        <v>-2</v>
      </c>
      <c r="AA382" s="16">
        <f>IFERROR(__xludf.DUMMYFUNCTION("""COMPUTED_VALUE"""),-2.0)</f>
        <v>-2</v>
      </c>
      <c r="AB382" s="16">
        <f>IFERROR(__xludf.DUMMYFUNCTION("""COMPUTED_VALUE"""),26.6)</f>
        <v>26.6</v>
      </c>
      <c r="AC382" s="16">
        <f>IFERROR(__xludf.DUMMYFUNCTION("""COMPUTED_VALUE"""),25.0)</f>
        <v>25</v>
      </c>
      <c r="AD382" s="16">
        <f>IFERROR(__xludf.DUMMYFUNCTION("""COMPUTED_VALUE"""),-1.0)</f>
        <v>-1</v>
      </c>
      <c r="AE382" s="16">
        <f>IFERROR(__xludf.DUMMYFUNCTION("""COMPUTED_VALUE"""),-1.0)</f>
        <v>-1</v>
      </c>
      <c r="AF382" s="16">
        <f>IFERROR(__xludf.DUMMYFUNCTION("""COMPUTED_VALUE"""),-5.0)</f>
        <v>-5</v>
      </c>
      <c r="AG382" s="16">
        <f>IFERROR(__xludf.DUMMYFUNCTION("""COMPUTED_VALUE"""),-5.0)</f>
        <v>-5</v>
      </c>
      <c r="AH382" s="16">
        <f>IFERROR(__xludf.DUMMYFUNCTION("""COMPUTED_VALUE"""),19.6)</f>
        <v>19.6</v>
      </c>
      <c r="AI382" s="16">
        <f>IFERROR(__xludf.DUMMYFUNCTION("""COMPUTED_VALUE"""),21.0)</f>
        <v>21</v>
      </c>
      <c r="AJ382" s="16">
        <f>IFERROR(__xludf.DUMMYFUNCTION("""COMPUTED_VALUE"""),-1.0)</f>
        <v>-1</v>
      </c>
      <c r="AK382" s="16">
        <f>IFERROR(__xludf.DUMMYFUNCTION("""COMPUTED_VALUE"""),-1.0)</f>
        <v>-1</v>
      </c>
      <c r="AL382" s="16">
        <f>IFERROR(__xludf.DUMMYFUNCTION("""COMPUTED_VALUE"""),-5.0)</f>
        <v>-5</v>
      </c>
      <c r="AM382" s="16">
        <f>IFERROR(__xludf.DUMMYFUNCTION("""COMPUTED_VALUE"""),-5.0)</f>
        <v>-5</v>
      </c>
      <c r="AN382" s="16">
        <f>IFERROR(__xludf.DUMMYFUNCTION("""COMPUTED_VALUE"""),3.0)</f>
        <v>3</v>
      </c>
      <c r="AO382" s="16">
        <f>IFERROR(__xludf.DUMMYFUNCTION("""COMPUTED_VALUE"""),2.0)</f>
        <v>2</v>
      </c>
      <c r="AP382" s="16">
        <f>IFERROR(__xludf.DUMMYFUNCTION("""COMPUTED_VALUE"""),1.0)</f>
        <v>1</v>
      </c>
      <c r="AQ382" s="16">
        <f>IFERROR(__xludf.DUMMYFUNCTION("""COMPUTED_VALUE"""),-1.0)</f>
        <v>-1</v>
      </c>
      <c r="AR382" s="16">
        <f>IFERROR(__xludf.DUMMYFUNCTION("""COMPUTED_VALUE"""),2.0)</f>
        <v>2</v>
      </c>
      <c r="AS382" s="16">
        <f>IFERROR(__xludf.DUMMYFUNCTION("""COMPUTED_VALUE"""),-2.0)</f>
        <v>-2</v>
      </c>
      <c r="AT382" s="16">
        <f>IFERROR(__xludf.DUMMYFUNCTION("""COMPUTED_VALUE"""),4.0)</f>
        <v>4</v>
      </c>
      <c r="AU382" s="16">
        <f>IFERROR(__xludf.DUMMYFUNCTION("""COMPUTED_VALUE"""),3.0)</f>
        <v>3</v>
      </c>
      <c r="AV382" s="16">
        <f>IFERROR(__xludf.DUMMYFUNCTION("""COMPUTED_VALUE"""),4.0)</f>
        <v>4</v>
      </c>
      <c r="AW382" s="16">
        <f>IFERROR(__xludf.DUMMYFUNCTION("""COMPUTED_VALUE"""),3.0)</f>
        <v>3</v>
      </c>
      <c r="AX382" s="16">
        <f>IFERROR(__xludf.DUMMYFUNCTION("""COMPUTED_VALUE"""),2.0)</f>
        <v>2</v>
      </c>
      <c r="AY382" s="16">
        <f>IFERROR(__xludf.DUMMYFUNCTION("""COMPUTED_VALUE"""),0.0)</f>
        <v>0</v>
      </c>
      <c r="AZ382" s="16">
        <f>IFERROR(__xludf.DUMMYFUNCTION("""COMPUTED_VALUE"""),6.0)</f>
        <v>6</v>
      </c>
      <c r="BA382" s="16">
        <f>IFERROR(__xludf.DUMMYFUNCTION("""COMPUTED_VALUE"""),0.0)</f>
        <v>0</v>
      </c>
      <c r="BB382" s="16">
        <f>IFERROR(__xludf.DUMMYFUNCTION("""COMPUTED_VALUE"""),5.0)</f>
        <v>5</v>
      </c>
      <c r="BC382" s="16">
        <f>IFERROR(__xludf.DUMMYFUNCTION("""COMPUTED_VALUE"""),5.0)</f>
        <v>5</v>
      </c>
      <c r="BD382" s="16">
        <f>IFERROR(__xludf.DUMMYFUNCTION("""COMPUTED_VALUE"""),1.0)</f>
        <v>1</v>
      </c>
      <c r="BE382" s="16">
        <f>IFERROR(__xludf.DUMMYFUNCTION("""COMPUTED_VALUE"""),1.0)</f>
        <v>1</v>
      </c>
      <c r="BF382" s="16">
        <f>IFERROR(__xludf.DUMMYFUNCTION("""COMPUTED_VALUE"""),1.0)</f>
        <v>1</v>
      </c>
      <c r="BG382" s="16">
        <f>IFERROR(__xludf.DUMMYFUNCTION("""COMPUTED_VALUE"""),1.0)</f>
        <v>1</v>
      </c>
      <c r="BH382" s="16">
        <f>IFERROR(__xludf.DUMMYFUNCTION("""COMPUTED_VALUE"""),2.0)</f>
        <v>2</v>
      </c>
      <c r="BI382" s="16">
        <f>IFERROR(__xludf.DUMMYFUNCTION("""COMPUTED_VALUE"""),2.0)</f>
        <v>2</v>
      </c>
      <c r="BJ382" s="16">
        <f>IFERROR(__xludf.DUMMYFUNCTION("""COMPUTED_VALUE"""),28.0)</f>
        <v>28</v>
      </c>
      <c r="BK382" s="16">
        <f>IFERROR(__xludf.DUMMYFUNCTION("""COMPUTED_VALUE"""),30.0)</f>
        <v>30</v>
      </c>
      <c r="BL382" s="16">
        <f>IFERROR(__xludf.DUMMYFUNCTION("""COMPUTED_VALUE"""),-3.0)</f>
        <v>-3</v>
      </c>
      <c r="BM382" s="16">
        <f>IFERROR(__xludf.DUMMYFUNCTION("""COMPUTED_VALUE"""),-3.0)</f>
        <v>-3</v>
      </c>
      <c r="BN382" s="16">
        <f>IFERROR(__xludf.DUMMYFUNCTION("""COMPUTED_VALUE"""),-6.0)</f>
        <v>-6</v>
      </c>
      <c r="BO382" s="16">
        <f>IFERROR(__xludf.DUMMYFUNCTION("""COMPUTED_VALUE"""),-6.0)</f>
        <v>-6</v>
      </c>
      <c r="BP382" s="16">
        <f>IFERROR(__xludf.DUMMYFUNCTION("""COMPUTED_VALUE"""),1.0)</f>
        <v>1</v>
      </c>
      <c r="BQ382" s="16">
        <f>IFERROR(__xludf.DUMMYFUNCTION("""COMPUTED_VALUE"""),-5.0)</f>
        <v>-5</v>
      </c>
      <c r="BR382" s="16">
        <f>IFERROR(__xludf.DUMMYFUNCTION("""COMPUTED_VALUE"""),-4.0)</f>
        <v>-4</v>
      </c>
      <c r="BS382" s="16" t="str">
        <f>IFERROR(__xludf.DUMMYFUNCTION("""COMPUTED_VALUE"""),"2/- (20-6)")</f>
        <v>2/- (20-6)</v>
      </c>
      <c r="BT382" s="16" t="str">
        <f>IFERROR(__xludf.DUMMYFUNCTION("""COMPUTED_VALUE"""),"E")</f>
        <v>E</v>
      </c>
      <c r="BU382" s="16">
        <f>IFERROR(__xludf.DUMMYFUNCTION("""COMPUTED_VALUE"""),9.0)</f>
        <v>9</v>
      </c>
      <c r="BV382" s="16">
        <f>IFERROR(__xludf.DUMMYFUNCTION("""COMPUTED_VALUE"""),0.0)</f>
        <v>0</v>
      </c>
      <c r="BW382" s="16">
        <f>IFERROR(__xludf.DUMMYFUNCTION("""COMPUTED_VALUE"""),-1.0)</f>
        <v>-1</v>
      </c>
      <c r="BX382" s="16">
        <f>IFERROR(__xludf.DUMMYFUNCTION("""COMPUTED_VALUE"""),0.0)</f>
        <v>0</v>
      </c>
      <c r="BY382" s="16">
        <f>IFERROR(__xludf.DUMMYFUNCTION("""COMPUTED_VALUE"""),-3.0)</f>
        <v>-3</v>
      </c>
      <c r="BZ382" s="16" t="str">
        <f>IFERROR(__xludf.DUMMYFUNCTION("""COMPUTED_VALUE"""),"D")</f>
        <v>D</v>
      </c>
      <c r="CA382" s="16" t="str">
        <f>IFERROR(__xludf.DUMMYFUNCTION("""COMPUTED_VALUE"""),"C")</f>
        <v>C</v>
      </c>
      <c r="CB382" s="16">
        <f>IFERROR(__xludf.DUMMYFUNCTION("""COMPUTED_VALUE"""),0.0)</f>
        <v>0</v>
      </c>
      <c r="CC382" s="16">
        <f>IFERROR(__xludf.DUMMYFUNCTION("""COMPUTED_VALUE"""),0.0)</f>
        <v>0</v>
      </c>
      <c r="CD382" s="16">
        <f>IFERROR(__xludf.DUMMYFUNCTION("""COMPUTED_VALUE"""),0.0)</f>
        <v>0</v>
      </c>
      <c r="CE382" s="16">
        <f>IFERROR(__xludf.DUMMYFUNCTION("""COMPUTED_VALUE"""),0.0)</f>
        <v>0</v>
      </c>
      <c r="CF382" s="16">
        <f>IFERROR(__xludf.DUMMYFUNCTION("""COMPUTED_VALUE"""),4.0)</f>
        <v>4</v>
      </c>
      <c r="CG382" s="16">
        <f>IFERROR(__xludf.DUMMYFUNCTION("""COMPUTED_VALUE"""),-6.0)</f>
        <v>-6</v>
      </c>
      <c r="CH382" s="16">
        <f>IFERROR(__xludf.DUMMYFUNCTION("""COMPUTED_VALUE"""),-18.0)</f>
        <v>-18</v>
      </c>
      <c r="CI382" s="179">
        <f>IFERROR(__xludf.DUMMYFUNCTION("""COMPUTED_VALUE"""),-18.0)</f>
        <v>-18</v>
      </c>
      <c r="CJ382" s="16">
        <f>IFERROR(__xludf.DUMMYFUNCTION("""COMPUTED_VALUE"""),203.0)</f>
        <v>203</v>
      </c>
      <c r="CK382" s="16"/>
      <c r="CL382" s="16"/>
      <c r="CM382" s="16"/>
      <c r="CN382" s="16"/>
      <c r="CO382" s="16"/>
      <c r="CP382" s="16"/>
      <c r="CQ382" s="16"/>
      <c r="CR382" s="16" t="str">
        <f>IFERROR(__xludf.DUMMYFUNCTION("""COMPUTED_VALUE"""),"c-2(+2)e3,T-10(pb-4)")</f>
        <v>c-2(+2)e3,T-10(pb-4)</v>
      </c>
      <c r="CS382" s="16">
        <f>IFERROR(__xludf.DUMMYFUNCTION("""COMPUTED_VALUE"""),2.0)</f>
        <v>2</v>
      </c>
      <c r="CT382" s="16"/>
      <c r="CU382" s="16"/>
      <c r="CV382" s="16"/>
      <c r="CW382" s="16"/>
      <c r="CX382" s="16"/>
      <c r="CY382" s="16"/>
      <c r="CZ382" s="16"/>
      <c r="DA382" s="16">
        <f>IFERROR(__xludf.DUMMYFUNCTION("""COMPUTED_VALUE"""),3.0)</f>
        <v>3</v>
      </c>
      <c r="DB382" s="16"/>
      <c r="DC382" s="16"/>
      <c r="DD382" s="16"/>
      <c r="DE382" s="16"/>
      <c r="DF382" s="16"/>
      <c r="DG382" s="16"/>
      <c r="DH382" s="16"/>
      <c r="DI382" s="16">
        <f>IFERROR(__xludf.DUMMYFUNCTION("""COMPUTED_VALUE"""),2.0)</f>
        <v>2</v>
      </c>
      <c r="DJ382" s="16"/>
      <c r="DK382" s="16"/>
      <c r="DL382" s="16"/>
      <c r="DM382" s="16"/>
      <c r="DN382" s="16"/>
      <c r="DO382" s="16"/>
      <c r="DP382" s="16"/>
      <c r="DQ382" s="16">
        <f>IFERROR(__xludf.DUMMYFUNCTION("""COMPUTED_VALUE"""),3.0)</f>
        <v>3</v>
      </c>
      <c r="DR382" s="16"/>
      <c r="DS382" s="16"/>
      <c r="DT382" s="16"/>
      <c r="DU382" s="16"/>
      <c r="DV382" s="16"/>
      <c r="DW382" s="16"/>
      <c r="DX382" s="16"/>
      <c r="DY382" s="16">
        <f>IFERROR(__xludf.DUMMYFUNCTION("""COMPUTED_VALUE"""),5.0)</f>
        <v>5</v>
      </c>
      <c r="DZ382" s="16"/>
      <c r="EA382" s="16"/>
      <c r="EB382" s="16"/>
      <c r="EC382" s="16"/>
      <c r="ED382" s="16"/>
      <c r="EE382" s="16"/>
      <c r="EF382" s="16"/>
      <c r="EG382" s="179">
        <f>IFERROR(__xludf.DUMMYFUNCTION("""COMPUTED_VALUE"""),-11.0)</f>
        <v>-11</v>
      </c>
      <c r="EH382" s="179"/>
      <c r="EI382" s="179"/>
      <c r="EJ382" s="179"/>
      <c r="EK382" s="179"/>
      <c r="EL382" s="179"/>
      <c r="EM382" s="179"/>
      <c r="EN382" s="179"/>
      <c r="EO382" s="16">
        <f>IFERROR(__xludf.DUMMYFUNCTION("""COMPUTED_VALUE"""),2.0)</f>
        <v>2</v>
      </c>
      <c r="EP382" s="16">
        <f>IFERROR(__xludf.DUMMYFUNCTION("""COMPUTED_VALUE"""),0.0)</f>
        <v>0</v>
      </c>
      <c r="EQ382" s="16">
        <f>IFERROR(__xludf.DUMMYFUNCTION("""COMPUTED_VALUE"""),-1.0)</f>
        <v>-1</v>
      </c>
      <c r="ER382" s="16">
        <f>IFERROR(__xludf.DUMMYFUNCTION("""COMPUTED_VALUE"""),-1.0)</f>
        <v>-1</v>
      </c>
      <c r="ES382" s="16" t="str">
        <f>IFERROR(__xludf.DUMMYFUNCTION("""COMPUTED_VALUE"""),"c-2")</f>
        <v>c-2</v>
      </c>
      <c r="ET382" s="16" t="str">
        <f>IFERROR(__xludf.DUMMYFUNCTION("""COMPUTED_VALUE"""),"+2)e3,T-10")</f>
        <v>+2)e3,T-10</v>
      </c>
      <c r="EU382" s="16" t="str">
        <f>IFERROR(__xludf.DUMMYFUNCTION("""COMPUTED_VALUE"""),"pb-4)")</f>
        <v>pb-4)</v>
      </c>
      <c r="EV382" s="16"/>
      <c r="EW382" s="16">
        <f>IFERROR(__xludf.DUMMYFUNCTION("""COMPUTED_VALUE"""),2.0)</f>
        <v>2</v>
      </c>
      <c r="EX382" s="180">
        <f>IFERROR(__xludf.DUMMYFUNCTION("""COMPUTED_VALUE"""),0.1)</f>
        <v>0.1</v>
      </c>
      <c r="EY382" s="180"/>
      <c r="EZ382" s="180"/>
      <c r="FA382" s="180"/>
      <c r="FB382" s="180"/>
      <c r="FC382" s="180"/>
      <c r="FD382" s="180"/>
      <c r="FE382" s="180"/>
      <c r="FF382" s="180">
        <f>IFERROR(__xludf.DUMMYFUNCTION("""COMPUTED_VALUE"""),0.038)</f>
        <v>0.038</v>
      </c>
      <c r="FG382" s="180"/>
      <c r="FH382" s="180"/>
      <c r="FI382" s="180"/>
      <c r="FJ382" s="180"/>
      <c r="FK382" s="180"/>
      <c r="FL382" s="180"/>
      <c r="FM382" s="180"/>
      <c r="FN382" s="16">
        <f>IFERROR(__xludf.DUMMYFUNCTION("""COMPUTED_VALUE"""),0.8658)</f>
        <v>0.8658</v>
      </c>
      <c r="FO382" s="16"/>
      <c r="FP382" s="16"/>
      <c r="FQ382" s="16"/>
      <c r="FR382" s="16"/>
      <c r="FS382" s="16"/>
      <c r="FT382" s="16"/>
      <c r="FU382" s="16"/>
      <c r="FV382" s="16">
        <f>IFERROR(__xludf.DUMMYFUNCTION("""COMPUTED_VALUE"""),2.0)</f>
        <v>2</v>
      </c>
      <c r="FW382" s="16"/>
      <c r="FX382" s="16"/>
      <c r="FY382" s="16"/>
      <c r="FZ382" s="16"/>
      <c r="GA382" s="16"/>
      <c r="GB382" s="16"/>
      <c r="GC382" s="16"/>
      <c r="GD382" s="16" t="s">
        <v>176</v>
      </c>
    </row>
    <row r="383">
      <c r="A383" s="16">
        <f>IFERROR(__xludf.DUMMYFUNCTION("""COMPUTED_VALUE"""),13132.0)</f>
        <v>13132</v>
      </c>
      <c r="B383" s="16" t="str">
        <f>IFERROR(__xludf.DUMMYFUNCTION("""COMPUTED_VALUE"""),"Luis Matos")</f>
        <v>Luis Matos</v>
      </c>
      <c r="C383" s="16">
        <f>IFERROR(__xludf.DUMMYFUNCTION("""COMPUTED_VALUE"""),0.0)</f>
        <v>0</v>
      </c>
      <c r="D383" s="16" t="str">
        <f>IFERROR(__xludf.DUMMYFUNCTION("""COMPUTED_VALUE"""),"R")</f>
        <v>R</v>
      </c>
      <c r="E383" s="16"/>
      <c r="F383" s="16"/>
      <c r="G383" s="16">
        <f>IFERROR(__xludf.DUMMYFUNCTION("""COMPUTED_VALUE"""),150.0)</f>
        <v>150</v>
      </c>
      <c r="H383" s="16">
        <f>IFERROR(__xludf.DUMMYFUNCTION("""COMPUTED_VALUE"""),5.0)</f>
        <v>5</v>
      </c>
      <c r="I383" s="16" t="str">
        <f>IFERROR(__xludf.DUMMYFUNCTION("""COMPUTED_VALUE"""),"1p20")</f>
        <v>1p20</v>
      </c>
      <c r="J383" s="16">
        <f>IFERROR(__xludf.DUMMYFUNCTION("""COMPUTED_VALUE"""),24.0)</f>
        <v>24</v>
      </c>
      <c r="K383" s="16">
        <f>IFERROR(__xludf.DUMMYFUNCTION("""COMPUTED_VALUE"""),1.0)</f>
        <v>1</v>
      </c>
      <c r="L383" s="16">
        <f>IFERROR(__xludf.DUMMYFUNCTION("""COMPUTED_VALUE"""),0.0)</f>
        <v>0</v>
      </c>
      <c r="M383" s="16">
        <f>IFERROR(__xludf.DUMMYFUNCTION("""COMPUTED_VALUE"""),2.0)</f>
        <v>2</v>
      </c>
      <c r="N383" s="16">
        <f>IFERROR(__xludf.DUMMYFUNCTION("""COMPUTED_VALUE"""),0.0)</f>
        <v>0</v>
      </c>
      <c r="O383" s="16">
        <f>IFERROR(__xludf.DUMMYFUNCTION("""COMPUTED_VALUE"""),2.0)</f>
        <v>2</v>
      </c>
      <c r="P383" s="16">
        <f>IFERROR(__xludf.DUMMYFUNCTION("""COMPUTED_VALUE"""),0.0)</f>
        <v>0</v>
      </c>
      <c r="Q383" s="16">
        <f>IFERROR(__xludf.DUMMYFUNCTION("""COMPUTED_VALUE"""),0.0)</f>
        <v>0</v>
      </c>
      <c r="R383" s="16">
        <f>IFERROR(__xludf.DUMMYFUNCTION("""COMPUTED_VALUE"""),-3.0)</f>
        <v>-3</v>
      </c>
      <c r="S383" s="16">
        <f>IFERROR(__xludf.DUMMYFUNCTION("""COMPUTED_VALUE"""),-2.0)</f>
        <v>-2</v>
      </c>
      <c r="T383" s="16">
        <f>IFERROR(__xludf.DUMMYFUNCTION("""COMPUTED_VALUE"""),-3.0)</f>
        <v>-3</v>
      </c>
      <c r="U383" s="16">
        <f>IFERROR(__xludf.DUMMYFUNCTION("""COMPUTED_VALUE"""),-2.0)</f>
        <v>-2</v>
      </c>
      <c r="V383" s="16">
        <f>IFERROR(__xludf.DUMMYFUNCTION("""COMPUTED_VALUE"""),11.6)</f>
        <v>11.6</v>
      </c>
      <c r="W383" s="16">
        <f>IFERROR(__xludf.DUMMYFUNCTION("""COMPUTED_VALUE"""),15.4)</f>
        <v>15.4</v>
      </c>
      <c r="X383" s="16">
        <f>IFERROR(__xludf.DUMMYFUNCTION("""COMPUTED_VALUE"""),-1.0)</f>
        <v>-1</v>
      </c>
      <c r="Y383" s="16">
        <f>IFERROR(__xludf.DUMMYFUNCTION("""COMPUTED_VALUE"""),-1.0)</f>
        <v>-1</v>
      </c>
      <c r="Z383" s="16">
        <f>IFERROR(__xludf.DUMMYFUNCTION("""COMPUTED_VALUE"""),-2.0)</f>
        <v>-2</v>
      </c>
      <c r="AA383" s="16">
        <f>IFERROR(__xludf.DUMMYFUNCTION("""COMPUTED_VALUE"""),-2.0)</f>
        <v>-2</v>
      </c>
      <c r="AB383" s="16">
        <f>IFERROR(__xludf.DUMMYFUNCTION("""COMPUTED_VALUE"""),11.6)</f>
        <v>11.6</v>
      </c>
      <c r="AC383" s="16">
        <f>IFERROR(__xludf.DUMMYFUNCTION("""COMPUTED_VALUE"""),15.4)</f>
        <v>15.4</v>
      </c>
      <c r="AD383" s="16">
        <f>IFERROR(__xludf.DUMMYFUNCTION("""COMPUTED_VALUE"""),-2.0)</f>
        <v>-2</v>
      </c>
      <c r="AE383" s="16">
        <f>IFERROR(__xludf.DUMMYFUNCTION("""COMPUTED_VALUE"""),-2.0)</f>
        <v>-2</v>
      </c>
      <c r="AF383" s="16">
        <f>IFERROR(__xludf.DUMMYFUNCTION("""COMPUTED_VALUE"""),-10.0)</f>
        <v>-10</v>
      </c>
      <c r="AG383" s="16">
        <f>IFERROR(__xludf.DUMMYFUNCTION("""COMPUTED_VALUE"""),-10.0)</f>
        <v>-10</v>
      </c>
      <c r="AH383" s="16">
        <f>IFERROR(__xludf.DUMMYFUNCTION("""COMPUTED_VALUE"""),28.8)</f>
        <v>28.8</v>
      </c>
      <c r="AI383" s="16">
        <f>IFERROR(__xludf.DUMMYFUNCTION("""COMPUTED_VALUE"""),20.6)</f>
        <v>20.6</v>
      </c>
      <c r="AJ383" s="16">
        <f>IFERROR(__xludf.DUMMYFUNCTION("""COMPUTED_VALUE"""),0.0)</f>
        <v>0</v>
      </c>
      <c r="AK383" s="16">
        <f>IFERROR(__xludf.DUMMYFUNCTION("""COMPUTED_VALUE"""),-1.0)</f>
        <v>-1</v>
      </c>
      <c r="AL383" s="16">
        <f>IFERROR(__xludf.DUMMYFUNCTION("""COMPUTED_VALUE"""),0.0)</f>
        <v>0</v>
      </c>
      <c r="AM383" s="16">
        <f>IFERROR(__xludf.DUMMYFUNCTION("""COMPUTED_VALUE"""),-5.0)</f>
        <v>-5</v>
      </c>
      <c r="AN383" s="16">
        <f>IFERROR(__xludf.DUMMYFUNCTION("""COMPUTED_VALUE"""),3.3)</f>
        <v>3.3</v>
      </c>
      <c r="AO383" s="16">
        <f>IFERROR(__xludf.DUMMYFUNCTION("""COMPUTED_VALUE"""),1.8)</f>
        <v>1.8</v>
      </c>
      <c r="AP383" s="16">
        <f>IFERROR(__xludf.DUMMYFUNCTION("""COMPUTED_VALUE"""),1.0)</f>
        <v>1</v>
      </c>
      <c r="AQ383" s="16">
        <f>IFERROR(__xludf.DUMMYFUNCTION("""COMPUTED_VALUE"""),-1.0)</f>
        <v>-1</v>
      </c>
      <c r="AR383" s="16">
        <f>IFERROR(__xludf.DUMMYFUNCTION("""COMPUTED_VALUE"""),2.0)</f>
        <v>2</v>
      </c>
      <c r="AS383" s="16">
        <f>IFERROR(__xludf.DUMMYFUNCTION("""COMPUTED_VALUE"""),-2.0)</f>
        <v>-2</v>
      </c>
      <c r="AT383" s="16">
        <f>IFERROR(__xludf.DUMMYFUNCTION("""COMPUTED_VALUE"""),6.0)</f>
        <v>6</v>
      </c>
      <c r="AU383" s="16">
        <f>IFERROR(__xludf.DUMMYFUNCTION("""COMPUTED_VALUE"""),3.0)</f>
        <v>3</v>
      </c>
      <c r="AV383" s="16">
        <f>IFERROR(__xludf.DUMMYFUNCTION("""COMPUTED_VALUE"""),6.0)</f>
        <v>6</v>
      </c>
      <c r="AW383" s="16">
        <f>IFERROR(__xludf.DUMMYFUNCTION("""COMPUTED_VALUE"""),3.0)</f>
        <v>3</v>
      </c>
      <c r="AX383" s="16">
        <f>IFERROR(__xludf.DUMMYFUNCTION("""COMPUTED_VALUE"""),3.0)</f>
        <v>3</v>
      </c>
      <c r="AY383" s="16">
        <f>IFERROR(__xludf.DUMMYFUNCTION("""COMPUTED_VALUE"""),0.0)</f>
        <v>0</v>
      </c>
      <c r="AZ383" s="16">
        <f>IFERROR(__xludf.DUMMYFUNCTION("""COMPUTED_VALUE"""),9.0)</f>
        <v>9</v>
      </c>
      <c r="BA383" s="16">
        <f>IFERROR(__xludf.DUMMYFUNCTION("""COMPUTED_VALUE"""),0.0)</f>
        <v>0</v>
      </c>
      <c r="BB383" s="16">
        <f>IFERROR(__xludf.DUMMYFUNCTION("""COMPUTED_VALUE"""),5.0)</f>
        <v>5</v>
      </c>
      <c r="BC383" s="16">
        <f>IFERROR(__xludf.DUMMYFUNCTION("""COMPUTED_VALUE"""),5.0)</f>
        <v>5</v>
      </c>
      <c r="BD383" s="16">
        <f>IFERROR(__xludf.DUMMYFUNCTION("""COMPUTED_VALUE"""),1.0)</f>
        <v>1</v>
      </c>
      <c r="BE383" s="16">
        <f>IFERROR(__xludf.DUMMYFUNCTION("""COMPUTED_VALUE"""),1.0)</f>
        <v>1</v>
      </c>
      <c r="BF383" s="16">
        <f>IFERROR(__xludf.DUMMYFUNCTION("""COMPUTED_VALUE"""),1.0)</f>
        <v>1</v>
      </c>
      <c r="BG383" s="16">
        <f>IFERROR(__xludf.DUMMYFUNCTION("""COMPUTED_VALUE"""),1.0)</f>
        <v>1</v>
      </c>
      <c r="BH383" s="16">
        <f>IFERROR(__xludf.DUMMYFUNCTION("""COMPUTED_VALUE"""),5.0)</f>
        <v>5</v>
      </c>
      <c r="BI383" s="16">
        <f>IFERROR(__xludf.DUMMYFUNCTION("""COMPUTED_VALUE"""),6.0)</f>
        <v>6</v>
      </c>
      <c r="BJ383" s="16">
        <f>IFERROR(__xludf.DUMMYFUNCTION("""COMPUTED_VALUE"""),25.0)</f>
        <v>25</v>
      </c>
      <c r="BK383" s="16">
        <f>IFERROR(__xludf.DUMMYFUNCTION("""COMPUTED_VALUE"""),25.0)</f>
        <v>25</v>
      </c>
      <c r="BL383" s="16">
        <f>IFERROR(__xludf.DUMMYFUNCTION("""COMPUTED_VALUE"""),-2.0)</f>
        <v>-2</v>
      </c>
      <c r="BM383" s="16">
        <f>IFERROR(__xludf.DUMMYFUNCTION("""COMPUTED_VALUE"""),-2.0)</f>
        <v>-2</v>
      </c>
      <c r="BN383" s="16">
        <f>IFERROR(__xludf.DUMMYFUNCTION("""COMPUTED_VALUE"""),-4.0)</f>
        <v>-4</v>
      </c>
      <c r="BO383" s="16">
        <f>IFERROR(__xludf.DUMMYFUNCTION("""COMPUTED_VALUE"""),-4.0)</f>
        <v>-4</v>
      </c>
      <c r="BP383" s="16">
        <f>IFERROR(__xludf.DUMMYFUNCTION("""COMPUTED_VALUE"""),-3.0)</f>
        <v>-3</v>
      </c>
      <c r="BQ383" s="16">
        <f>IFERROR(__xludf.DUMMYFUNCTION("""COMPUTED_VALUE"""),-6.0)</f>
        <v>-6</v>
      </c>
      <c r="BR383" s="16">
        <f>IFERROR(__xludf.DUMMYFUNCTION("""COMPUTED_VALUE"""),-9.0)</f>
        <v>-9</v>
      </c>
      <c r="BS383" s="16" t="str">
        <f>IFERROR(__xludf.DUMMYFUNCTION("""COMPUTED_VALUE"""),"-/- (---)")</f>
        <v>-/- (---)</v>
      </c>
      <c r="BT383" s="16" t="str">
        <f>IFERROR(__xludf.DUMMYFUNCTION("""COMPUTED_VALUE"""),"E")</f>
        <v>E</v>
      </c>
      <c r="BU383" s="16">
        <f>IFERROR(__xludf.DUMMYFUNCTION("""COMPUTED_VALUE"""),13.0)</f>
        <v>13</v>
      </c>
      <c r="BV383" s="16">
        <f>IFERROR(__xludf.DUMMYFUNCTION("""COMPUTED_VALUE"""),0.0)</f>
        <v>0</v>
      </c>
      <c r="BW383" s="16">
        <f>IFERROR(__xludf.DUMMYFUNCTION("""COMPUTED_VALUE"""),1.0)</f>
        <v>1</v>
      </c>
      <c r="BX383" s="16">
        <f>IFERROR(__xludf.DUMMYFUNCTION("""COMPUTED_VALUE"""),0.0)</f>
        <v>0</v>
      </c>
      <c r="BY383" s="16">
        <f>IFERROR(__xludf.DUMMYFUNCTION("""COMPUTED_VALUE"""),3.0)</f>
        <v>3</v>
      </c>
      <c r="BZ383" s="16" t="str">
        <f>IFERROR(__xludf.DUMMYFUNCTION("""COMPUTED_VALUE"""),"D")</f>
        <v>D</v>
      </c>
      <c r="CA383" s="16" t="str">
        <f>IFERROR(__xludf.DUMMYFUNCTION("""COMPUTED_VALUE"""),"D")</f>
        <v>D</v>
      </c>
      <c r="CB383" s="16">
        <f>IFERROR(__xludf.DUMMYFUNCTION("""COMPUTED_VALUE"""),0.0)</f>
        <v>0</v>
      </c>
      <c r="CC383" s="16">
        <f>IFERROR(__xludf.DUMMYFUNCTION("""COMPUTED_VALUE"""),0.0)</f>
        <v>0</v>
      </c>
      <c r="CD383" s="16">
        <f>IFERROR(__xludf.DUMMYFUNCTION("""COMPUTED_VALUE"""),0.0)</f>
        <v>0</v>
      </c>
      <c r="CE383" s="16">
        <f>IFERROR(__xludf.DUMMYFUNCTION("""COMPUTED_VALUE"""),0.0)</f>
        <v>0</v>
      </c>
      <c r="CF383" s="16">
        <f>IFERROR(__xludf.DUMMYFUNCTION("""COMPUTED_VALUE"""),1.0)</f>
        <v>1</v>
      </c>
      <c r="CG383" s="16">
        <f>IFERROR(__xludf.DUMMYFUNCTION("""COMPUTED_VALUE"""),-7.0)</f>
        <v>-7</v>
      </c>
      <c r="CH383" s="16">
        <f>IFERROR(__xludf.DUMMYFUNCTION("""COMPUTED_VALUE"""),-22.0)</f>
        <v>-22</v>
      </c>
      <c r="CI383" s="179">
        <f>IFERROR(__xludf.DUMMYFUNCTION("""COMPUTED_VALUE"""),-18.0)</f>
        <v>-18</v>
      </c>
      <c r="CJ383" s="16"/>
      <c r="CK383" s="16"/>
      <c r="CL383" s="16"/>
      <c r="CM383" s="16"/>
      <c r="CN383" s="16"/>
      <c r="CO383" s="16">
        <f>IFERROR(__xludf.DUMMYFUNCTION("""COMPUTED_VALUE"""),404.0)</f>
        <v>404</v>
      </c>
      <c r="CP383" s="16">
        <f>IFERROR(__xludf.DUMMYFUNCTION("""COMPUTED_VALUE"""),404.0)</f>
        <v>404</v>
      </c>
      <c r="CQ383" s="16">
        <f>IFERROR(__xludf.DUMMYFUNCTION("""COMPUTED_VALUE"""),404.0)</f>
        <v>404</v>
      </c>
      <c r="CR383" s="16" t="str">
        <f>IFERROR(__xludf.DUMMYFUNCTION("""COMPUTED_VALUE"""),"cf-4(-1)e4 rf-4e4 lf-4e4")</f>
        <v>cf-4(-1)e4 rf-4e4 lf-4e4</v>
      </c>
      <c r="CS383" s="16"/>
      <c r="CT383" s="16"/>
      <c r="CU383" s="16"/>
      <c r="CV383" s="16"/>
      <c r="CW383" s="16"/>
      <c r="CX383" s="16">
        <f>IFERROR(__xludf.DUMMYFUNCTION("""COMPUTED_VALUE"""),4.0)</f>
        <v>4</v>
      </c>
      <c r="CY383" s="16">
        <f>IFERROR(__xludf.DUMMYFUNCTION("""COMPUTED_VALUE"""),4.0)</f>
        <v>4</v>
      </c>
      <c r="CZ383" s="16">
        <f>IFERROR(__xludf.DUMMYFUNCTION("""COMPUTED_VALUE"""),4.0)</f>
        <v>4</v>
      </c>
      <c r="DA383" s="16"/>
      <c r="DB383" s="16"/>
      <c r="DC383" s="16"/>
      <c r="DD383" s="16"/>
      <c r="DE383" s="16"/>
      <c r="DF383" s="16">
        <f>IFERROR(__xludf.DUMMYFUNCTION("""COMPUTED_VALUE"""),4.0)</f>
        <v>4</v>
      </c>
      <c r="DG383" s="16">
        <f>IFERROR(__xludf.DUMMYFUNCTION("""COMPUTED_VALUE"""),4.0)</f>
        <v>4</v>
      </c>
      <c r="DH383" s="16">
        <f>IFERROR(__xludf.DUMMYFUNCTION("""COMPUTED_VALUE"""),4.0)</f>
        <v>4</v>
      </c>
      <c r="DI383" s="16"/>
      <c r="DJ383" s="16"/>
      <c r="DK383" s="16"/>
      <c r="DL383" s="16"/>
      <c r="DM383" s="16"/>
      <c r="DN383" s="16">
        <f>IFERROR(__xludf.DUMMYFUNCTION("""COMPUTED_VALUE"""),-1.0)</f>
        <v>-1</v>
      </c>
      <c r="DO383" s="16">
        <f>IFERROR(__xludf.DUMMYFUNCTION("""COMPUTED_VALUE"""),-2.0)</f>
        <v>-2</v>
      </c>
      <c r="DP383" s="16">
        <f>IFERROR(__xludf.DUMMYFUNCTION("""COMPUTED_VALUE"""),-1.0)</f>
        <v>-1</v>
      </c>
      <c r="DQ383" s="16"/>
      <c r="DR383" s="16"/>
      <c r="DS383" s="16"/>
      <c r="DT383" s="16"/>
      <c r="DU383" s="16"/>
      <c r="DV383" s="16">
        <f>IFERROR(__xludf.DUMMYFUNCTION("""COMPUTED_VALUE"""),2.0)</f>
        <v>2</v>
      </c>
      <c r="DW383" s="16">
        <f>IFERROR(__xludf.DUMMYFUNCTION("""COMPUTED_VALUE"""),3.0)</f>
        <v>3</v>
      </c>
      <c r="DX383" s="16">
        <f>IFERROR(__xludf.DUMMYFUNCTION("""COMPUTED_VALUE"""),2.0)</f>
        <v>2</v>
      </c>
      <c r="DY383" s="16"/>
      <c r="DZ383" s="16"/>
      <c r="EA383" s="16"/>
      <c r="EB383" s="16"/>
      <c r="EC383" s="16"/>
      <c r="ED383" s="16">
        <f>IFERROR(__xludf.DUMMYFUNCTION("""COMPUTED_VALUE"""),1.0)</f>
        <v>1</v>
      </c>
      <c r="EE383" s="16">
        <f>IFERROR(__xludf.DUMMYFUNCTION("""COMPUTED_VALUE"""),1.0)</f>
        <v>1</v>
      </c>
      <c r="EF383" s="16">
        <f>IFERROR(__xludf.DUMMYFUNCTION("""COMPUTED_VALUE"""),1.0)</f>
        <v>1</v>
      </c>
      <c r="EG383" s="179"/>
      <c r="EH383" s="179"/>
      <c r="EI383" s="179"/>
      <c r="EJ383" s="179"/>
      <c r="EK383" s="179"/>
      <c r="EL383" s="179">
        <f>IFERROR(__xludf.DUMMYFUNCTION("""COMPUTED_VALUE"""),-17.0)</f>
        <v>-17</v>
      </c>
      <c r="EM383" s="179">
        <f>IFERROR(__xludf.DUMMYFUNCTION("""COMPUTED_VALUE"""),-17.0)</f>
        <v>-17</v>
      </c>
      <c r="EN383" s="179">
        <f>IFERROR(__xludf.DUMMYFUNCTION("""COMPUTED_VALUE"""),-17.0)</f>
        <v>-17</v>
      </c>
      <c r="EO383" s="16"/>
      <c r="EP383" s="16"/>
      <c r="EQ383" s="16">
        <f>IFERROR(__xludf.DUMMYFUNCTION("""COMPUTED_VALUE"""),4.0)</f>
        <v>4</v>
      </c>
      <c r="ER383" s="16">
        <f>IFERROR(__xludf.DUMMYFUNCTION("""COMPUTED_VALUE"""),-4.0)</f>
        <v>-4</v>
      </c>
      <c r="ES383" s="16"/>
      <c r="ET383" s="16"/>
      <c r="EU383" s="16"/>
      <c r="EV383" s="16"/>
      <c r="EW383" s="16"/>
      <c r="EX383" s="180"/>
      <c r="EY383" s="180"/>
      <c r="EZ383" s="180"/>
      <c r="FA383" s="180"/>
      <c r="FB383" s="180"/>
      <c r="FC383" s="180">
        <f>IFERROR(__xludf.DUMMYFUNCTION("""COMPUTED_VALUE"""),0.55)</f>
        <v>0.55</v>
      </c>
      <c r="FD383" s="180">
        <f>IFERROR(__xludf.DUMMYFUNCTION("""COMPUTED_VALUE"""),0.55)</f>
        <v>0.55</v>
      </c>
      <c r="FE383" s="180">
        <f>IFERROR(__xludf.DUMMYFUNCTION("""COMPUTED_VALUE"""),0.55)</f>
        <v>0.55</v>
      </c>
      <c r="FF383" s="180"/>
      <c r="FG383" s="180"/>
      <c r="FH383" s="180"/>
      <c r="FI383" s="180"/>
      <c r="FJ383" s="180"/>
      <c r="FK383" s="180">
        <f>IFERROR(__xludf.DUMMYFUNCTION("""COMPUTED_VALUE"""),0.069)</f>
        <v>0.069</v>
      </c>
      <c r="FL383" s="180">
        <f>IFERROR(__xludf.DUMMYFUNCTION("""COMPUTED_VALUE"""),0.046296296296296294)</f>
        <v>0.0462962963</v>
      </c>
      <c r="FM383" s="180">
        <f>IFERROR(__xludf.DUMMYFUNCTION("""COMPUTED_VALUE"""),0.069)</f>
        <v>0.069</v>
      </c>
      <c r="FN383" s="16"/>
      <c r="FO383" s="16"/>
      <c r="FP383" s="16"/>
      <c r="FQ383" s="16"/>
      <c r="FR383" s="16"/>
      <c r="FS383" s="16">
        <f>IFERROR(__xludf.DUMMYFUNCTION("""COMPUTED_VALUE"""),0.41895)</f>
        <v>0.41895</v>
      </c>
      <c r="FT383" s="16">
        <f>IFERROR(__xludf.DUMMYFUNCTION("""COMPUTED_VALUE"""),0.42916666666666664)</f>
        <v>0.4291666667</v>
      </c>
      <c r="FU383" s="16">
        <f>IFERROR(__xludf.DUMMYFUNCTION("""COMPUTED_VALUE"""),0.41895)</f>
        <v>0.41895</v>
      </c>
      <c r="FV383" s="16"/>
      <c r="FW383" s="16"/>
      <c r="FX383" s="16"/>
      <c r="FY383" s="16"/>
      <c r="FZ383" s="16"/>
      <c r="GA383" s="16">
        <f>IFERROR(__xludf.DUMMYFUNCTION("""COMPUTED_VALUE"""),-8.0)</f>
        <v>-8</v>
      </c>
      <c r="GB383" s="16">
        <f>IFERROR(__xludf.DUMMYFUNCTION("""COMPUTED_VALUE"""),-8.0)</f>
        <v>-8</v>
      </c>
      <c r="GC383" s="16">
        <f>IFERROR(__xludf.DUMMYFUNCTION("""COMPUTED_VALUE"""),-8.0)</f>
        <v>-8</v>
      </c>
      <c r="GD383" s="16" t="s">
        <v>176</v>
      </c>
    </row>
    <row r="384">
      <c r="A384" s="16">
        <f>IFERROR(__xludf.DUMMYFUNCTION("""COMPUTED_VALUE"""),13069.0)</f>
        <v>13069</v>
      </c>
      <c r="B384" s="16" t="str">
        <f>IFERROR(__xludf.DUMMYFUNCTION("""COMPUTED_VALUE"""),"Keibert Ruiz")</f>
        <v>Keibert Ruiz</v>
      </c>
      <c r="C384" s="16">
        <f>IFERROR(__xludf.DUMMYFUNCTION("""COMPUTED_VALUE"""),0.22)</f>
        <v>0.22</v>
      </c>
      <c r="D384" s="16" t="str">
        <f>IFERROR(__xludf.DUMMYFUNCTION("""COMPUTED_VALUE"""),"S")</f>
        <v>S</v>
      </c>
      <c r="E384" s="16"/>
      <c r="F384" s="16"/>
      <c r="G384" s="16">
        <f>IFERROR(__xludf.DUMMYFUNCTION("""COMPUTED_VALUE"""),459.0)</f>
        <v>459</v>
      </c>
      <c r="H384" s="16">
        <f>IFERROR(__xludf.DUMMYFUNCTION("""COMPUTED_VALUE"""),16.0)</f>
        <v>16</v>
      </c>
      <c r="I384" s="16" t="str">
        <f>IFERROR(__xludf.DUMMYFUNCTION("""COMPUTED_VALUE"""),"2p60")</f>
        <v>2p60</v>
      </c>
      <c r="J384" s="16">
        <f>IFERROR(__xludf.DUMMYFUNCTION("""COMPUTED_VALUE"""),0.0)</f>
        <v>0</v>
      </c>
      <c r="K384" s="16">
        <f>IFERROR(__xludf.DUMMYFUNCTION("""COMPUTED_VALUE"""),0.0)</f>
        <v>0</v>
      </c>
      <c r="L384" s="16">
        <f>IFERROR(__xludf.DUMMYFUNCTION("""COMPUTED_VALUE"""),3.0)</f>
        <v>3</v>
      </c>
      <c r="M384" s="16">
        <f>IFERROR(__xludf.DUMMYFUNCTION("""COMPUTED_VALUE"""),3.0)</f>
        <v>3</v>
      </c>
      <c r="N384" s="16">
        <f>IFERROR(__xludf.DUMMYFUNCTION("""COMPUTED_VALUE"""),3.0)</f>
        <v>3</v>
      </c>
      <c r="O384" s="16">
        <f>IFERROR(__xludf.DUMMYFUNCTION("""COMPUTED_VALUE"""),3.0)</f>
        <v>3</v>
      </c>
      <c r="P384" s="16">
        <f>IFERROR(__xludf.DUMMYFUNCTION("""COMPUTED_VALUE"""),0.0)</f>
        <v>0</v>
      </c>
      <c r="Q384" s="16">
        <f>IFERROR(__xludf.DUMMYFUNCTION("""COMPUTED_VALUE"""),0.0)</f>
        <v>0</v>
      </c>
      <c r="R384" s="16">
        <f>IFERROR(__xludf.DUMMYFUNCTION("""COMPUTED_VALUE"""),-3.0)</f>
        <v>-3</v>
      </c>
      <c r="S384" s="16">
        <f>IFERROR(__xludf.DUMMYFUNCTION("""COMPUTED_VALUE"""),-2.0)</f>
        <v>-2</v>
      </c>
      <c r="T384" s="16">
        <f>IFERROR(__xludf.DUMMYFUNCTION("""COMPUTED_VALUE"""),-3.0)</f>
        <v>-3</v>
      </c>
      <c r="U384" s="16">
        <f>IFERROR(__xludf.DUMMYFUNCTION("""COMPUTED_VALUE"""),-2.0)</f>
        <v>-2</v>
      </c>
      <c r="V384" s="16">
        <f>IFERROR(__xludf.DUMMYFUNCTION("""COMPUTED_VALUE"""),18.6)</f>
        <v>18.6</v>
      </c>
      <c r="W384" s="16">
        <f>IFERROR(__xludf.DUMMYFUNCTION("""COMPUTED_VALUE"""),18.1)</f>
        <v>18.1</v>
      </c>
      <c r="X384" s="16">
        <f>IFERROR(__xludf.DUMMYFUNCTION("""COMPUTED_VALUE"""),0.0)</f>
        <v>0</v>
      </c>
      <c r="Y384" s="16">
        <f>IFERROR(__xludf.DUMMYFUNCTION("""COMPUTED_VALUE"""),0.0)</f>
        <v>0</v>
      </c>
      <c r="Z384" s="16">
        <f>IFERROR(__xludf.DUMMYFUNCTION("""COMPUTED_VALUE"""),0.0)</f>
        <v>0</v>
      </c>
      <c r="AA384" s="16">
        <f>IFERROR(__xludf.DUMMYFUNCTION("""COMPUTED_VALUE"""),0.0)</f>
        <v>0</v>
      </c>
      <c r="AB384" s="16">
        <f>IFERROR(__xludf.DUMMYFUNCTION("""COMPUTED_VALUE"""),20.7)</f>
        <v>20.7</v>
      </c>
      <c r="AC384" s="16">
        <f>IFERROR(__xludf.DUMMYFUNCTION("""COMPUTED_VALUE"""),20.1)</f>
        <v>20.1</v>
      </c>
      <c r="AD384" s="16">
        <f>IFERROR(__xludf.DUMMYFUNCTION("""COMPUTED_VALUE"""),-1.0)</f>
        <v>-1</v>
      </c>
      <c r="AE384" s="16">
        <f>IFERROR(__xludf.DUMMYFUNCTION("""COMPUTED_VALUE"""),-2.0)</f>
        <v>-2</v>
      </c>
      <c r="AF384" s="16">
        <f>IFERROR(__xludf.DUMMYFUNCTION("""COMPUTED_VALUE"""),-5.0)</f>
        <v>-5</v>
      </c>
      <c r="AG384" s="16">
        <f>IFERROR(__xludf.DUMMYFUNCTION("""COMPUTED_VALUE"""),-10.0)</f>
        <v>-10</v>
      </c>
      <c r="AH384" s="16">
        <f>IFERROR(__xludf.DUMMYFUNCTION("""COMPUTED_VALUE"""),25.0)</f>
        <v>25</v>
      </c>
      <c r="AI384" s="16">
        <f>IFERROR(__xludf.DUMMYFUNCTION("""COMPUTED_VALUE"""),27.4)</f>
        <v>27.4</v>
      </c>
      <c r="AJ384" s="16">
        <f>IFERROR(__xludf.DUMMYFUNCTION("""COMPUTED_VALUE"""),-1.0)</f>
        <v>-1</v>
      </c>
      <c r="AK384" s="16">
        <f>IFERROR(__xludf.DUMMYFUNCTION("""COMPUTED_VALUE"""),-1.0)</f>
        <v>-1</v>
      </c>
      <c r="AL384" s="16">
        <f>IFERROR(__xludf.DUMMYFUNCTION("""COMPUTED_VALUE"""),-5.0)</f>
        <v>-5</v>
      </c>
      <c r="AM384" s="16">
        <f>IFERROR(__xludf.DUMMYFUNCTION("""COMPUTED_VALUE"""),-5.0)</f>
        <v>-5</v>
      </c>
      <c r="AN384" s="16">
        <f>IFERROR(__xludf.DUMMYFUNCTION("""COMPUTED_VALUE"""),0.2)</f>
        <v>0.2</v>
      </c>
      <c r="AO384" s="16">
        <f>IFERROR(__xludf.DUMMYFUNCTION("""COMPUTED_VALUE"""),2.0)</f>
        <v>2</v>
      </c>
      <c r="AP384" s="16">
        <f>IFERROR(__xludf.DUMMYFUNCTION("""COMPUTED_VALUE"""),-2.0)</f>
        <v>-2</v>
      </c>
      <c r="AQ384" s="16">
        <f>IFERROR(__xludf.DUMMYFUNCTION("""COMPUTED_VALUE"""),-1.0)</f>
        <v>-1</v>
      </c>
      <c r="AR384" s="16">
        <f>IFERROR(__xludf.DUMMYFUNCTION("""COMPUTED_VALUE"""),-4.0)</f>
        <v>-4</v>
      </c>
      <c r="AS384" s="16">
        <f>IFERROR(__xludf.DUMMYFUNCTION("""COMPUTED_VALUE"""),-2.0)</f>
        <v>-2</v>
      </c>
      <c r="AT384" s="16">
        <f>IFERROR(__xludf.DUMMYFUNCTION("""COMPUTED_VALUE"""),0.0)</f>
        <v>0</v>
      </c>
      <c r="AU384" s="16">
        <f>IFERROR(__xludf.DUMMYFUNCTION("""COMPUTED_VALUE"""),2.0)</f>
        <v>2</v>
      </c>
      <c r="AV384" s="16">
        <f>IFERROR(__xludf.DUMMYFUNCTION("""COMPUTED_VALUE"""),0.0)</f>
        <v>0</v>
      </c>
      <c r="AW384" s="16">
        <f>IFERROR(__xludf.DUMMYFUNCTION("""COMPUTED_VALUE"""),2.0)</f>
        <v>2</v>
      </c>
      <c r="AX384" s="16">
        <f>IFERROR(__xludf.DUMMYFUNCTION("""COMPUTED_VALUE"""),-2.0)</f>
        <v>-2</v>
      </c>
      <c r="AY384" s="16">
        <f>IFERROR(__xludf.DUMMYFUNCTION("""COMPUTED_VALUE"""),0.0)</f>
        <v>0</v>
      </c>
      <c r="AZ384" s="16">
        <f>IFERROR(__xludf.DUMMYFUNCTION("""COMPUTED_VALUE"""),-6.0)</f>
        <v>-6</v>
      </c>
      <c r="BA384" s="16">
        <f>IFERROR(__xludf.DUMMYFUNCTION("""COMPUTED_VALUE"""),0.0)</f>
        <v>0</v>
      </c>
      <c r="BB384" s="16">
        <f>IFERROR(__xludf.DUMMYFUNCTION("""COMPUTED_VALUE"""),5.0)</f>
        <v>5</v>
      </c>
      <c r="BC384" s="16">
        <f>IFERROR(__xludf.DUMMYFUNCTION("""COMPUTED_VALUE"""),5.0)</f>
        <v>5</v>
      </c>
      <c r="BD384" s="16">
        <f>IFERROR(__xludf.DUMMYFUNCTION("""COMPUTED_VALUE"""),1.0)</f>
        <v>1</v>
      </c>
      <c r="BE384" s="16">
        <f>IFERROR(__xludf.DUMMYFUNCTION("""COMPUTED_VALUE"""),1.0)</f>
        <v>1</v>
      </c>
      <c r="BF384" s="16">
        <f>IFERROR(__xludf.DUMMYFUNCTION("""COMPUTED_VALUE"""),1.0)</f>
        <v>1</v>
      </c>
      <c r="BG384" s="16">
        <f>IFERROR(__xludf.DUMMYFUNCTION("""COMPUTED_VALUE"""),1.0)</f>
        <v>1</v>
      </c>
      <c r="BH384" s="16">
        <f>IFERROR(__xludf.DUMMYFUNCTION("""COMPUTED_VALUE"""),1.0)</f>
        <v>1</v>
      </c>
      <c r="BI384" s="16">
        <f>IFERROR(__xludf.DUMMYFUNCTION("""COMPUTED_VALUE"""),1.0)</f>
        <v>1</v>
      </c>
      <c r="BJ384" s="16">
        <f>IFERROR(__xludf.DUMMYFUNCTION("""COMPUTED_VALUE"""),22.0)</f>
        <v>22</v>
      </c>
      <c r="BK384" s="16">
        <f>IFERROR(__xludf.DUMMYFUNCTION("""COMPUTED_VALUE"""),22.0)</f>
        <v>22</v>
      </c>
      <c r="BL384" s="16">
        <f>IFERROR(__xludf.DUMMYFUNCTION("""COMPUTED_VALUE"""),-2.0)</f>
        <v>-2</v>
      </c>
      <c r="BM384" s="16">
        <f>IFERROR(__xludf.DUMMYFUNCTION("""COMPUTED_VALUE"""),-2.0)</f>
        <v>-2</v>
      </c>
      <c r="BN384" s="16">
        <f>IFERROR(__xludf.DUMMYFUNCTION("""COMPUTED_VALUE"""),-4.0)</f>
        <v>-4</v>
      </c>
      <c r="BO384" s="16">
        <f>IFERROR(__xludf.DUMMYFUNCTION("""COMPUTED_VALUE"""),-4.0)</f>
        <v>-4</v>
      </c>
      <c r="BP384" s="16">
        <f>IFERROR(__xludf.DUMMYFUNCTION("""COMPUTED_VALUE"""),-7.0)</f>
        <v>-7</v>
      </c>
      <c r="BQ384" s="16">
        <f>IFERROR(__xludf.DUMMYFUNCTION("""COMPUTED_VALUE"""),-4.0)</f>
        <v>-4</v>
      </c>
      <c r="BR384" s="16">
        <f>IFERROR(__xludf.DUMMYFUNCTION("""COMPUTED_VALUE"""),-11.0)</f>
        <v>-11</v>
      </c>
      <c r="BS384" s="16" t="str">
        <f>IFERROR(__xludf.DUMMYFUNCTION("""COMPUTED_VALUE"""),"4/- (15-6)")</f>
        <v>4/- (15-6)</v>
      </c>
      <c r="BT384" s="16" t="str">
        <f>IFERROR(__xludf.DUMMYFUNCTION("""COMPUTED_VALUE"""),"D")</f>
        <v>D</v>
      </c>
      <c r="BU384" s="16">
        <f>IFERROR(__xludf.DUMMYFUNCTION("""COMPUTED_VALUE"""),9.0)</f>
        <v>9</v>
      </c>
      <c r="BV384" s="16">
        <f>IFERROR(__xludf.DUMMYFUNCTION("""COMPUTED_VALUE"""),0.0)</f>
        <v>0</v>
      </c>
      <c r="BW384" s="16">
        <f>IFERROR(__xludf.DUMMYFUNCTION("""COMPUTED_VALUE"""),-1.0)</f>
        <v>-1</v>
      </c>
      <c r="BX384" s="16">
        <f>IFERROR(__xludf.DUMMYFUNCTION("""COMPUTED_VALUE"""),0.0)</f>
        <v>0</v>
      </c>
      <c r="BY384" s="16">
        <f>IFERROR(__xludf.DUMMYFUNCTION("""COMPUTED_VALUE"""),-3.0)</f>
        <v>-3</v>
      </c>
      <c r="BZ384" s="16" t="str">
        <f>IFERROR(__xludf.DUMMYFUNCTION("""COMPUTED_VALUE"""),"D")</f>
        <v>D</v>
      </c>
      <c r="CA384" s="16" t="str">
        <f>IFERROR(__xludf.DUMMYFUNCTION("""COMPUTED_VALUE"""),"C")</f>
        <v>C</v>
      </c>
      <c r="CB384" s="16">
        <f>IFERROR(__xludf.DUMMYFUNCTION("""COMPUTED_VALUE"""),0.0)</f>
        <v>0</v>
      </c>
      <c r="CC384" s="16">
        <f>IFERROR(__xludf.DUMMYFUNCTION("""COMPUTED_VALUE"""),0.0)</f>
        <v>0</v>
      </c>
      <c r="CD384" s="16">
        <f>IFERROR(__xludf.DUMMYFUNCTION("""COMPUTED_VALUE"""),0.0)</f>
        <v>0</v>
      </c>
      <c r="CE384" s="16">
        <f>IFERROR(__xludf.DUMMYFUNCTION("""COMPUTED_VALUE"""),0.0)</f>
        <v>0</v>
      </c>
      <c r="CF384" s="16">
        <f>IFERROR(__xludf.DUMMYFUNCTION("""COMPUTED_VALUE"""),2.0)</f>
        <v>2</v>
      </c>
      <c r="CG384" s="16">
        <f>IFERROR(__xludf.DUMMYFUNCTION("""COMPUTED_VALUE"""),-23.0)</f>
        <v>-23</v>
      </c>
      <c r="CH384" s="16">
        <f>IFERROR(__xludf.DUMMYFUNCTION("""COMPUTED_VALUE"""),-19.0)</f>
        <v>-19</v>
      </c>
      <c r="CI384" s="179">
        <f>IFERROR(__xludf.DUMMYFUNCTION("""COMPUTED_VALUE"""),-18.0)</f>
        <v>-18</v>
      </c>
      <c r="CJ384" s="16">
        <f>IFERROR(__xludf.DUMMYFUNCTION("""COMPUTED_VALUE"""),402.0)</f>
        <v>402</v>
      </c>
      <c r="CK384" s="16"/>
      <c r="CL384" s="16"/>
      <c r="CM384" s="16"/>
      <c r="CN384" s="16"/>
      <c r="CO384" s="16"/>
      <c r="CP384" s="16"/>
      <c r="CQ384" s="16"/>
      <c r="CR384" s="16" t="str">
        <f>IFERROR(__xludf.DUMMYFUNCTION("""COMPUTED_VALUE"""),"c-4(0)e2,T-1(pb-0)")</f>
        <v>c-4(0)e2,T-1(pb-0)</v>
      </c>
      <c r="CS384" s="16">
        <f>IFERROR(__xludf.DUMMYFUNCTION("""COMPUTED_VALUE"""),4.0)</f>
        <v>4</v>
      </c>
      <c r="CT384" s="16"/>
      <c r="CU384" s="16"/>
      <c r="CV384" s="16"/>
      <c r="CW384" s="16"/>
      <c r="CX384" s="16"/>
      <c r="CY384" s="16"/>
      <c r="CZ384" s="16"/>
      <c r="DA384" s="16">
        <f>IFERROR(__xludf.DUMMYFUNCTION("""COMPUTED_VALUE"""),2.0)</f>
        <v>2</v>
      </c>
      <c r="DB384" s="16"/>
      <c r="DC384" s="16"/>
      <c r="DD384" s="16"/>
      <c r="DE384" s="16"/>
      <c r="DF384" s="16"/>
      <c r="DG384" s="16"/>
      <c r="DH384" s="16"/>
      <c r="DI384" s="16">
        <f>IFERROR(__xludf.DUMMYFUNCTION("""COMPUTED_VALUE"""),-2.0)</f>
        <v>-2</v>
      </c>
      <c r="DJ384" s="16"/>
      <c r="DK384" s="16"/>
      <c r="DL384" s="16"/>
      <c r="DM384" s="16"/>
      <c r="DN384" s="16"/>
      <c r="DO384" s="16"/>
      <c r="DP384" s="16"/>
      <c r="DQ384" s="16">
        <f>IFERROR(__xludf.DUMMYFUNCTION("""COMPUTED_VALUE"""),4.0)</f>
        <v>4</v>
      </c>
      <c r="DR384" s="16"/>
      <c r="DS384" s="16"/>
      <c r="DT384" s="16"/>
      <c r="DU384" s="16"/>
      <c r="DV384" s="16"/>
      <c r="DW384" s="16"/>
      <c r="DX384" s="16"/>
      <c r="DY384" s="16">
        <f>IFERROR(__xludf.DUMMYFUNCTION("""COMPUTED_VALUE"""),2.0)</f>
        <v>2</v>
      </c>
      <c r="DZ384" s="16"/>
      <c r="EA384" s="16"/>
      <c r="EB384" s="16"/>
      <c r="EC384" s="16"/>
      <c r="ED384" s="16"/>
      <c r="EE384" s="16"/>
      <c r="EF384" s="16"/>
      <c r="EG384" s="179">
        <f>IFERROR(__xludf.DUMMYFUNCTION("""COMPUTED_VALUE"""),-16.0)</f>
        <v>-16</v>
      </c>
      <c r="EH384" s="179"/>
      <c r="EI384" s="179"/>
      <c r="EJ384" s="179"/>
      <c r="EK384" s="179"/>
      <c r="EL384" s="179"/>
      <c r="EM384" s="179"/>
      <c r="EN384" s="179"/>
      <c r="EO384" s="16">
        <f>IFERROR(__xludf.DUMMYFUNCTION("""COMPUTED_VALUE"""),0.0)</f>
        <v>0</v>
      </c>
      <c r="EP384" s="16"/>
      <c r="EQ384" s="16">
        <f>IFERROR(__xludf.DUMMYFUNCTION("""COMPUTED_VALUE"""),2.0)</f>
        <v>2</v>
      </c>
      <c r="ER384" s="16">
        <f>IFERROR(__xludf.DUMMYFUNCTION("""COMPUTED_VALUE"""),1.0)</f>
        <v>1</v>
      </c>
      <c r="ES384" s="16" t="str">
        <f>IFERROR(__xludf.DUMMYFUNCTION("""COMPUTED_VALUE"""),"c-4")</f>
        <v>c-4</v>
      </c>
      <c r="ET384" s="16" t="str">
        <f>IFERROR(__xludf.DUMMYFUNCTION("""COMPUTED_VALUE"""),"0)e2,T-1")</f>
        <v>0)e2,T-1</v>
      </c>
      <c r="EU384" s="16" t="str">
        <f>IFERROR(__xludf.DUMMYFUNCTION("""COMPUTED_VALUE"""),"pb-0)")</f>
        <v>pb-0)</v>
      </c>
      <c r="EV384" s="16"/>
      <c r="EW384" s="16">
        <f>IFERROR(__xludf.DUMMYFUNCTION("""COMPUTED_VALUE"""),0.0)</f>
        <v>0</v>
      </c>
      <c r="EX384" s="180">
        <f>IFERROR(__xludf.DUMMYFUNCTION("""COMPUTED_VALUE"""),0.3)</f>
        <v>0.3</v>
      </c>
      <c r="EY384" s="180"/>
      <c r="EZ384" s="180"/>
      <c r="FA384" s="180"/>
      <c r="FB384" s="180"/>
      <c r="FC384" s="180"/>
      <c r="FD384" s="180"/>
      <c r="FE384" s="180"/>
      <c r="FF384" s="180">
        <f>IFERROR(__xludf.DUMMYFUNCTION("""COMPUTED_VALUE"""),0.024)</f>
        <v>0.024</v>
      </c>
      <c r="FG384" s="180"/>
      <c r="FH384" s="180"/>
      <c r="FI384" s="180"/>
      <c r="FJ384" s="180"/>
      <c r="FK384" s="180"/>
      <c r="FL384" s="180"/>
      <c r="FM384" s="180"/>
      <c r="FN384" s="16">
        <f>IFERROR(__xludf.DUMMYFUNCTION("""COMPUTED_VALUE"""),0.6831999999999999)</f>
        <v>0.6832</v>
      </c>
      <c r="FO384" s="16"/>
      <c r="FP384" s="16"/>
      <c r="FQ384" s="16"/>
      <c r="FR384" s="16"/>
      <c r="FS384" s="16"/>
      <c r="FT384" s="16"/>
      <c r="FU384" s="16"/>
      <c r="FV384" s="16">
        <f>IFERROR(__xludf.DUMMYFUNCTION("""COMPUTED_VALUE"""),-4.0)</f>
        <v>-4</v>
      </c>
      <c r="FW384" s="16"/>
      <c r="FX384" s="16"/>
      <c r="FY384" s="16"/>
      <c r="FZ384" s="16"/>
      <c r="GA384" s="16"/>
      <c r="GB384" s="16"/>
      <c r="GC384" s="16"/>
      <c r="GD384" s="16" t="s">
        <v>176</v>
      </c>
    </row>
    <row r="385">
      <c r="A385" s="16">
        <f>IFERROR(__xludf.DUMMYFUNCTION("""COMPUTED_VALUE"""),12827.0)</f>
        <v>12827</v>
      </c>
      <c r="B385" s="16" t="str">
        <f>IFERROR(__xludf.DUMMYFUNCTION("""COMPUTED_VALUE"""),"Gabriel Arias")</f>
        <v>Gabriel Arias</v>
      </c>
      <c r="C385" s="16">
        <f>IFERROR(__xludf.DUMMYFUNCTION("""COMPUTED_VALUE"""),0.0)</f>
        <v>0</v>
      </c>
      <c r="D385" s="16" t="str">
        <f>IFERROR(__xludf.DUMMYFUNCTION("""COMPUTED_VALUE"""),"R")</f>
        <v>R</v>
      </c>
      <c r="E385" s="16"/>
      <c r="F385" s="16"/>
      <c r="G385" s="16">
        <f>IFERROR(__xludf.DUMMYFUNCTION("""COMPUTED_VALUE"""),153.0)</f>
        <v>153</v>
      </c>
      <c r="H385" s="16">
        <f>IFERROR(__xludf.DUMMYFUNCTION("""COMPUTED_VALUE"""),6.0)</f>
        <v>6</v>
      </c>
      <c r="I385" s="16" t="str">
        <f>IFERROR(__xludf.DUMMYFUNCTION("""COMPUTED_VALUE"""),"1p30")</f>
        <v>1p30</v>
      </c>
      <c r="J385" s="16">
        <f>IFERROR(__xludf.DUMMYFUNCTION("""COMPUTED_VALUE"""),48.0)</f>
        <v>48</v>
      </c>
      <c r="K385" s="16">
        <f>IFERROR(__xludf.DUMMYFUNCTION("""COMPUTED_VALUE"""),45.0)</f>
        <v>45</v>
      </c>
      <c r="L385" s="16">
        <f>IFERROR(__xludf.DUMMYFUNCTION("""COMPUTED_VALUE"""),-2.0)</f>
        <v>-2</v>
      </c>
      <c r="M385" s="16">
        <f>IFERROR(__xludf.DUMMYFUNCTION("""COMPUTED_VALUE"""),-2.0)</f>
        <v>-2</v>
      </c>
      <c r="N385" s="16">
        <f>IFERROR(__xludf.DUMMYFUNCTION("""COMPUTED_VALUE"""),-2.0)</f>
        <v>-2</v>
      </c>
      <c r="O385" s="16">
        <f>IFERROR(__xludf.DUMMYFUNCTION("""COMPUTED_VALUE"""),-2.0)</f>
        <v>-2</v>
      </c>
      <c r="P385" s="16">
        <f>IFERROR(__xludf.DUMMYFUNCTION("""COMPUTED_VALUE"""),0.0)</f>
        <v>0</v>
      </c>
      <c r="Q385" s="16">
        <f>IFERROR(__xludf.DUMMYFUNCTION("""COMPUTED_VALUE"""),0.0)</f>
        <v>0</v>
      </c>
      <c r="R385" s="16">
        <f>IFERROR(__xludf.DUMMYFUNCTION("""COMPUTED_VALUE"""),-3.0)</f>
        <v>-3</v>
      </c>
      <c r="S385" s="16">
        <f>IFERROR(__xludf.DUMMYFUNCTION("""COMPUTED_VALUE"""),-2.0)</f>
        <v>-2</v>
      </c>
      <c r="T385" s="16">
        <f>IFERROR(__xludf.DUMMYFUNCTION("""COMPUTED_VALUE"""),-3.0)</f>
        <v>-3</v>
      </c>
      <c r="U385" s="16">
        <f>IFERROR(__xludf.DUMMYFUNCTION("""COMPUTED_VALUE"""),-2.0)</f>
        <v>-2</v>
      </c>
      <c r="V385" s="16">
        <f>IFERROR(__xludf.DUMMYFUNCTION("""COMPUTED_VALUE"""),23.3)</f>
        <v>23.3</v>
      </c>
      <c r="W385" s="16">
        <f>IFERROR(__xludf.DUMMYFUNCTION("""COMPUTED_VALUE"""),14.4)</f>
        <v>14.4</v>
      </c>
      <c r="X385" s="16">
        <f>IFERROR(__xludf.DUMMYFUNCTION("""COMPUTED_VALUE"""),1.0)</f>
        <v>1</v>
      </c>
      <c r="Y385" s="16">
        <f>IFERROR(__xludf.DUMMYFUNCTION("""COMPUTED_VALUE"""),-1.0)</f>
        <v>-1</v>
      </c>
      <c r="Z385" s="16">
        <f>IFERROR(__xludf.DUMMYFUNCTION("""COMPUTED_VALUE"""),2.0)</f>
        <v>2</v>
      </c>
      <c r="AA385" s="16">
        <f>IFERROR(__xludf.DUMMYFUNCTION("""COMPUTED_VALUE"""),-2.0)</f>
        <v>-2</v>
      </c>
      <c r="AB385" s="16">
        <f>IFERROR(__xludf.DUMMYFUNCTION("""COMPUTED_VALUE"""),24.3)</f>
        <v>24.3</v>
      </c>
      <c r="AC385" s="16">
        <f>IFERROR(__xludf.DUMMYFUNCTION("""COMPUTED_VALUE"""),15.4)</f>
        <v>15.4</v>
      </c>
      <c r="AD385" s="16">
        <f>IFERROR(__xludf.DUMMYFUNCTION("""COMPUTED_VALUE"""),-1.0)</f>
        <v>-1</v>
      </c>
      <c r="AE385" s="16">
        <f>IFERROR(__xludf.DUMMYFUNCTION("""COMPUTED_VALUE"""),-2.0)</f>
        <v>-2</v>
      </c>
      <c r="AF385" s="16">
        <f>IFERROR(__xludf.DUMMYFUNCTION("""COMPUTED_VALUE"""),-5.0)</f>
        <v>-5</v>
      </c>
      <c r="AG385" s="16">
        <f>IFERROR(__xludf.DUMMYFUNCTION("""COMPUTED_VALUE"""),-10.0)</f>
        <v>-10</v>
      </c>
      <c r="AH385" s="16">
        <f>IFERROR(__xludf.DUMMYFUNCTION("""COMPUTED_VALUE"""),33.9)</f>
        <v>33.9</v>
      </c>
      <c r="AI385" s="16">
        <f>IFERROR(__xludf.DUMMYFUNCTION("""COMPUTED_VALUE"""),33.7)</f>
        <v>33.7</v>
      </c>
      <c r="AJ385" s="16">
        <f>IFERROR(__xludf.DUMMYFUNCTION("""COMPUTED_VALUE"""),0.0)</f>
        <v>0</v>
      </c>
      <c r="AK385" s="16">
        <f>IFERROR(__xludf.DUMMYFUNCTION("""COMPUTED_VALUE"""),0.0)</f>
        <v>0</v>
      </c>
      <c r="AL385" s="16">
        <f>IFERROR(__xludf.DUMMYFUNCTION("""COMPUTED_VALUE"""),0.0)</f>
        <v>0</v>
      </c>
      <c r="AM385" s="16">
        <f>IFERROR(__xludf.DUMMYFUNCTION("""COMPUTED_VALUE"""),0.0)</f>
        <v>0</v>
      </c>
      <c r="AN385" s="16">
        <f>IFERROR(__xludf.DUMMYFUNCTION("""COMPUTED_VALUE"""),2.0)</f>
        <v>2</v>
      </c>
      <c r="AO385" s="16">
        <f>IFERROR(__xludf.DUMMYFUNCTION("""COMPUTED_VALUE"""),2.3)</f>
        <v>2.3</v>
      </c>
      <c r="AP385" s="16">
        <f>IFERROR(__xludf.DUMMYFUNCTION("""COMPUTED_VALUE"""),0.0)</f>
        <v>0</v>
      </c>
      <c r="AQ385" s="16">
        <f>IFERROR(__xludf.DUMMYFUNCTION("""COMPUTED_VALUE"""),0.0)</f>
        <v>0</v>
      </c>
      <c r="AR385" s="16">
        <f>IFERROR(__xludf.DUMMYFUNCTION("""COMPUTED_VALUE"""),0.0)</f>
        <v>0</v>
      </c>
      <c r="AS385" s="16">
        <f>IFERROR(__xludf.DUMMYFUNCTION("""COMPUTED_VALUE"""),0.0)</f>
        <v>0</v>
      </c>
      <c r="AT385" s="16">
        <f>IFERROR(__xludf.DUMMYFUNCTION("""COMPUTED_VALUE"""),3.0)</f>
        <v>3</v>
      </c>
      <c r="AU385" s="16"/>
      <c r="AV385" s="16">
        <f>IFERROR(__xludf.DUMMYFUNCTION("""COMPUTED_VALUE"""),3.0)</f>
        <v>3</v>
      </c>
      <c r="AW385" s="16">
        <f>IFERROR(__xludf.DUMMYFUNCTION("""COMPUTED_VALUE"""),-3.0)</f>
        <v>-3</v>
      </c>
      <c r="AX385" s="16">
        <f>IFERROR(__xludf.DUMMYFUNCTION("""COMPUTED_VALUE"""),1.0)</f>
        <v>1</v>
      </c>
      <c r="AY385" s="16">
        <f>IFERROR(__xludf.DUMMYFUNCTION("""COMPUTED_VALUE"""),-3.0)</f>
        <v>-3</v>
      </c>
      <c r="AZ385" s="16">
        <f>IFERROR(__xludf.DUMMYFUNCTION("""COMPUTED_VALUE"""),3.0)</f>
        <v>3</v>
      </c>
      <c r="BA385" s="16">
        <f>IFERROR(__xludf.DUMMYFUNCTION("""COMPUTED_VALUE"""),-9.0)</f>
        <v>-9</v>
      </c>
      <c r="BB385" s="16">
        <f>IFERROR(__xludf.DUMMYFUNCTION("""COMPUTED_VALUE"""),5.0)</f>
        <v>5</v>
      </c>
      <c r="BC385" s="16">
        <f>IFERROR(__xludf.DUMMYFUNCTION("""COMPUTED_VALUE"""),5.0)</f>
        <v>5</v>
      </c>
      <c r="BD385" s="16">
        <f>IFERROR(__xludf.DUMMYFUNCTION("""COMPUTED_VALUE"""),1.0)</f>
        <v>1</v>
      </c>
      <c r="BE385" s="16">
        <f>IFERROR(__xludf.DUMMYFUNCTION("""COMPUTED_VALUE"""),1.0)</f>
        <v>1</v>
      </c>
      <c r="BF385" s="16">
        <f>IFERROR(__xludf.DUMMYFUNCTION("""COMPUTED_VALUE"""),1.0)</f>
        <v>1</v>
      </c>
      <c r="BG385" s="16">
        <f>IFERROR(__xludf.DUMMYFUNCTION("""COMPUTED_VALUE"""),1.0)</f>
        <v>1</v>
      </c>
      <c r="BH385" s="16">
        <f>IFERROR(__xludf.DUMMYFUNCTION("""COMPUTED_VALUE"""),1.0)</f>
        <v>1</v>
      </c>
      <c r="BI385" s="16">
        <f>IFERROR(__xludf.DUMMYFUNCTION("""COMPUTED_VALUE"""),0.0)</f>
        <v>0</v>
      </c>
      <c r="BJ385" s="16">
        <f>IFERROR(__xludf.DUMMYFUNCTION("""COMPUTED_VALUE"""),19.0)</f>
        <v>19</v>
      </c>
      <c r="BK385" s="16">
        <f>IFERROR(__xludf.DUMMYFUNCTION("""COMPUTED_VALUE"""),21.0)</f>
        <v>21</v>
      </c>
      <c r="BL385" s="16">
        <f>IFERROR(__xludf.DUMMYFUNCTION("""COMPUTED_VALUE"""),-1.0)</f>
        <v>-1</v>
      </c>
      <c r="BM385" s="16">
        <f>IFERROR(__xludf.DUMMYFUNCTION("""COMPUTED_VALUE"""),-2.0)</f>
        <v>-2</v>
      </c>
      <c r="BN385" s="16">
        <f>IFERROR(__xludf.DUMMYFUNCTION("""COMPUTED_VALUE"""),-2.0)</f>
        <v>-2</v>
      </c>
      <c r="BO385" s="16">
        <f>IFERROR(__xludf.DUMMYFUNCTION("""COMPUTED_VALUE"""),-4.0)</f>
        <v>-4</v>
      </c>
      <c r="BP385" s="16">
        <f>IFERROR(__xludf.DUMMYFUNCTION("""COMPUTED_VALUE"""),-4.0)</f>
        <v>-4</v>
      </c>
      <c r="BQ385" s="16">
        <f>IFERROR(__xludf.DUMMYFUNCTION("""COMPUTED_VALUE"""),-11.0)</f>
        <v>-11</v>
      </c>
      <c r="BR385" s="16">
        <f>IFERROR(__xludf.DUMMYFUNCTION("""COMPUTED_VALUE"""),-15.0)</f>
        <v>-15</v>
      </c>
      <c r="BS385" s="16" t="str">
        <f>IFERROR(__xludf.DUMMYFUNCTION("""COMPUTED_VALUE"""),"*3-6/- (17-13)")</f>
        <v>*3-6/- (17-13)</v>
      </c>
      <c r="BT385" s="16" t="str">
        <f>IFERROR(__xludf.DUMMYFUNCTION("""COMPUTED_VALUE"""),"B")</f>
        <v>B</v>
      </c>
      <c r="BU385" s="16">
        <f>IFERROR(__xludf.DUMMYFUNCTION("""COMPUTED_VALUE"""),13.0)</f>
        <v>13</v>
      </c>
      <c r="BV385" s="16">
        <f>IFERROR(__xludf.DUMMYFUNCTION("""COMPUTED_VALUE"""),1.0)</f>
        <v>1</v>
      </c>
      <c r="BW385" s="16">
        <f>IFERROR(__xludf.DUMMYFUNCTION("""COMPUTED_VALUE"""),1.0)</f>
        <v>1</v>
      </c>
      <c r="BX385" s="16">
        <f>IFERROR(__xludf.DUMMYFUNCTION("""COMPUTED_VALUE"""),2.0)</f>
        <v>2</v>
      </c>
      <c r="BY385" s="16">
        <f>IFERROR(__xludf.DUMMYFUNCTION("""COMPUTED_VALUE"""),3.0)</f>
        <v>3</v>
      </c>
      <c r="BZ385" s="16" t="str">
        <f>IFERROR(__xludf.DUMMYFUNCTION("""COMPUTED_VALUE"""),"D")</f>
        <v>D</v>
      </c>
      <c r="CA385" s="16" t="str">
        <f>IFERROR(__xludf.DUMMYFUNCTION("""COMPUTED_VALUE"""),"D")</f>
        <v>D</v>
      </c>
      <c r="CB385" s="16">
        <f>IFERROR(__xludf.DUMMYFUNCTION("""COMPUTED_VALUE"""),0.0)</f>
        <v>0</v>
      </c>
      <c r="CC385" s="16">
        <f>IFERROR(__xludf.DUMMYFUNCTION("""COMPUTED_VALUE"""),0.0)</f>
        <v>0</v>
      </c>
      <c r="CD385" s="16">
        <f>IFERROR(__xludf.DUMMYFUNCTION("""COMPUTED_VALUE"""),0.0)</f>
        <v>0</v>
      </c>
      <c r="CE385" s="16">
        <f>IFERROR(__xludf.DUMMYFUNCTION("""COMPUTED_VALUE"""),0.0)</f>
        <v>0</v>
      </c>
      <c r="CF385" s="16">
        <f>IFERROR(__xludf.DUMMYFUNCTION("""COMPUTED_VALUE"""),1.0)</f>
        <v>1</v>
      </c>
      <c r="CG385" s="16">
        <f>IFERROR(__xludf.DUMMYFUNCTION("""COMPUTED_VALUE"""),-6.0)</f>
        <v>-6</v>
      </c>
      <c r="CH385" s="16">
        <f>IFERROR(__xludf.DUMMYFUNCTION("""COMPUTED_VALUE"""),-28.0)</f>
        <v>-28</v>
      </c>
      <c r="CI385" s="179">
        <f>IFERROR(__xludf.DUMMYFUNCTION("""COMPUTED_VALUE"""),-19.0)</f>
        <v>-19</v>
      </c>
      <c r="CJ385" s="16"/>
      <c r="CK385" s="16">
        <f>IFERROR(__xludf.DUMMYFUNCTION("""COMPUTED_VALUE"""),305.0)</f>
        <v>305</v>
      </c>
      <c r="CL385" s="16">
        <f>IFERROR(__xludf.DUMMYFUNCTION("""COMPUTED_VALUE"""),371.0)</f>
        <v>371</v>
      </c>
      <c r="CM385" s="16">
        <f>IFERROR(__xludf.DUMMYFUNCTION("""COMPUTED_VALUE"""),218.0)</f>
        <v>218</v>
      </c>
      <c r="CN385" s="16">
        <f>IFERROR(__xludf.DUMMYFUNCTION("""COMPUTED_VALUE"""),312.0)</f>
        <v>312</v>
      </c>
      <c r="CO385" s="16">
        <f>IFERROR(__xludf.DUMMYFUNCTION("""COMPUTED_VALUE"""),424.0)</f>
        <v>424</v>
      </c>
      <c r="CP385" s="16">
        <f>IFERROR(__xludf.DUMMYFUNCTION("""COMPUTED_VALUE"""),424.0)</f>
        <v>424</v>
      </c>
      <c r="CQ385" s="16">
        <f>IFERROR(__xludf.DUMMYFUNCTION("""COMPUTED_VALUE"""),424.0)</f>
        <v>424</v>
      </c>
      <c r="CR385" s="16" t="str">
        <f>IFERROR(__xludf.DUMMYFUNCTION("""COMPUTED_VALUE"""),"3b-2e18 ss-3e12 2b-3e71 1b-3e5 lf-4(-2)e24 cf-4e24 rf-4e24")</f>
        <v>3b-2e18 ss-3e12 2b-3e71 1b-3e5 lf-4(-2)e24 cf-4e24 rf-4e24</v>
      </c>
      <c r="CS385" s="16"/>
      <c r="CT385" s="16">
        <f>IFERROR(__xludf.DUMMYFUNCTION("""COMPUTED_VALUE"""),3.0)</f>
        <v>3</v>
      </c>
      <c r="CU385" s="16">
        <f>IFERROR(__xludf.DUMMYFUNCTION("""COMPUTED_VALUE"""),3.0)</f>
        <v>3</v>
      </c>
      <c r="CV385" s="16">
        <f>IFERROR(__xludf.DUMMYFUNCTION("""COMPUTED_VALUE"""),2.0)</f>
        <v>2</v>
      </c>
      <c r="CW385" s="16">
        <f>IFERROR(__xludf.DUMMYFUNCTION("""COMPUTED_VALUE"""),3.0)</f>
        <v>3</v>
      </c>
      <c r="CX385" s="16">
        <f>IFERROR(__xludf.DUMMYFUNCTION("""COMPUTED_VALUE"""),4.0)</f>
        <v>4</v>
      </c>
      <c r="CY385" s="16">
        <f>IFERROR(__xludf.DUMMYFUNCTION("""COMPUTED_VALUE"""),4.0)</f>
        <v>4</v>
      </c>
      <c r="CZ385" s="16">
        <f>IFERROR(__xludf.DUMMYFUNCTION("""COMPUTED_VALUE"""),4.0)</f>
        <v>4</v>
      </c>
      <c r="DA385" s="16"/>
      <c r="DB385" s="16">
        <f>IFERROR(__xludf.DUMMYFUNCTION("""COMPUTED_VALUE"""),5.0)</f>
        <v>5</v>
      </c>
      <c r="DC385" s="16">
        <f>IFERROR(__xludf.DUMMYFUNCTION("""COMPUTED_VALUE"""),71.0)</f>
        <v>71</v>
      </c>
      <c r="DD385" s="16">
        <f>IFERROR(__xludf.DUMMYFUNCTION("""COMPUTED_VALUE"""),18.0)</f>
        <v>18</v>
      </c>
      <c r="DE385" s="16">
        <f>IFERROR(__xludf.DUMMYFUNCTION("""COMPUTED_VALUE"""),12.0)</f>
        <v>12</v>
      </c>
      <c r="DF385" s="16">
        <f>IFERROR(__xludf.DUMMYFUNCTION("""COMPUTED_VALUE"""),24.0)</f>
        <v>24</v>
      </c>
      <c r="DG385" s="16">
        <f>IFERROR(__xludf.DUMMYFUNCTION("""COMPUTED_VALUE"""),24.0)</f>
        <v>24</v>
      </c>
      <c r="DH385" s="16">
        <f>IFERROR(__xludf.DUMMYFUNCTION("""COMPUTED_VALUE"""),24.0)</f>
        <v>24</v>
      </c>
      <c r="DI385" s="16"/>
      <c r="DJ385" s="16">
        <f>IFERROR(__xludf.DUMMYFUNCTION("""COMPUTED_VALUE"""),1.0)</f>
        <v>1</v>
      </c>
      <c r="DK385" s="16">
        <f>IFERROR(__xludf.DUMMYFUNCTION("""COMPUTED_VALUE"""),0.0)</f>
        <v>0</v>
      </c>
      <c r="DL385" s="16">
        <f>IFERROR(__xludf.DUMMYFUNCTION("""COMPUTED_VALUE"""),3.0)</f>
        <v>3</v>
      </c>
      <c r="DM385" s="16">
        <f>IFERROR(__xludf.DUMMYFUNCTION("""COMPUTED_VALUE"""),0.0)</f>
        <v>0</v>
      </c>
      <c r="DN385" s="16">
        <f>IFERROR(__xludf.DUMMYFUNCTION("""COMPUTED_VALUE"""),-1.0)</f>
        <v>-1</v>
      </c>
      <c r="DO385" s="16">
        <f>IFERROR(__xludf.DUMMYFUNCTION("""COMPUTED_VALUE"""),-2.0)</f>
        <v>-2</v>
      </c>
      <c r="DP385" s="16">
        <f>IFERROR(__xludf.DUMMYFUNCTION("""COMPUTED_VALUE"""),-1.0)</f>
        <v>-1</v>
      </c>
      <c r="DQ385" s="16"/>
      <c r="DR385" s="16">
        <f>IFERROR(__xludf.DUMMYFUNCTION("""COMPUTED_VALUE"""),2.0)</f>
        <v>2</v>
      </c>
      <c r="DS385" s="16">
        <f>IFERROR(__xludf.DUMMYFUNCTION("""COMPUTED_VALUE"""),-2.0)</f>
        <v>-2</v>
      </c>
      <c r="DT385" s="16">
        <f>IFERROR(__xludf.DUMMYFUNCTION("""COMPUTED_VALUE"""),0.0)</f>
        <v>0</v>
      </c>
      <c r="DU385" s="16">
        <f>IFERROR(__xludf.DUMMYFUNCTION("""COMPUTED_VALUE"""),2.0)</f>
        <v>2</v>
      </c>
      <c r="DV385" s="16">
        <f>IFERROR(__xludf.DUMMYFUNCTION("""COMPUTED_VALUE"""),-4.0)</f>
        <v>-4</v>
      </c>
      <c r="DW385" s="16">
        <f>IFERROR(__xludf.DUMMYFUNCTION("""COMPUTED_VALUE"""),-2.0)</f>
        <v>-2</v>
      </c>
      <c r="DX385" s="16">
        <f>IFERROR(__xludf.DUMMYFUNCTION("""COMPUTED_VALUE"""),-4.0)</f>
        <v>-4</v>
      </c>
      <c r="DY385" s="16"/>
      <c r="DZ385" s="16">
        <f>IFERROR(__xludf.DUMMYFUNCTION("""COMPUTED_VALUE"""),3.0)</f>
        <v>3</v>
      </c>
      <c r="EA385" s="16">
        <f>IFERROR(__xludf.DUMMYFUNCTION("""COMPUTED_VALUE"""),-2.0)</f>
        <v>-2</v>
      </c>
      <c r="EB385" s="16">
        <f>IFERROR(__xludf.DUMMYFUNCTION("""COMPUTED_VALUE"""),3.0)</f>
        <v>3</v>
      </c>
      <c r="EC385" s="16">
        <f>IFERROR(__xludf.DUMMYFUNCTION("""COMPUTED_VALUE"""),2.0)</f>
        <v>2</v>
      </c>
      <c r="ED385" s="16">
        <f>IFERROR(__xludf.DUMMYFUNCTION("""COMPUTED_VALUE"""),-5.0)</f>
        <v>-5</v>
      </c>
      <c r="EE385" s="16">
        <f>IFERROR(__xludf.DUMMYFUNCTION("""COMPUTED_VALUE"""),-4.0)</f>
        <v>-4</v>
      </c>
      <c r="EF385" s="16">
        <f>IFERROR(__xludf.DUMMYFUNCTION("""COMPUTED_VALUE"""),-5.0)</f>
        <v>-5</v>
      </c>
      <c r="EG385" s="179"/>
      <c r="EH385" s="179">
        <f>IFERROR(__xludf.DUMMYFUNCTION("""COMPUTED_VALUE"""),-16.0)</f>
        <v>-16</v>
      </c>
      <c r="EI385" s="179">
        <f>IFERROR(__xludf.DUMMYFUNCTION("""COMPUTED_VALUE"""),-21.0)</f>
        <v>-21</v>
      </c>
      <c r="EJ385" s="179">
        <f>IFERROR(__xludf.DUMMYFUNCTION("""COMPUTED_VALUE"""),-16.0)</f>
        <v>-16</v>
      </c>
      <c r="EK385" s="179">
        <f>IFERROR(__xludf.DUMMYFUNCTION("""COMPUTED_VALUE"""),-17.0)</f>
        <v>-17</v>
      </c>
      <c r="EL385" s="179">
        <f>IFERROR(__xludf.DUMMYFUNCTION("""COMPUTED_VALUE"""),-24.0)</f>
        <v>-24</v>
      </c>
      <c r="EM385" s="179">
        <f>IFERROR(__xludf.DUMMYFUNCTION("""COMPUTED_VALUE"""),-23.0)</f>
        <v>-23</v>
      </c>
      <c r="EN385" s="179">
        <f>IFERROR(__xludf.DUMMYFUNCTION("""COMPUTED_VALUE"""),-24.0)</f>
        <v>-24</v>
      </c>
      <c r="EO385" s="16"/>
      <c r="EP385" s="16"/>
      <c r="EQ385" s="16">
        <f>IFERROR(__xludf.DUMMYFUNCTION("""COMPUTED_VALUE"""),4.0)</f>
        <v>4</v>
      </c>
      <c r="ER385" s="16">
        <f>IFERROR(__xludf.DUMMYFUNCTION("""COMPUTED_VALUE"""),-2.0)</f>
        <v>-2</v>
      </c>
      <c r="ES385" s="16"/>
      <c r="ET385" s="16"/>
      <c r="EU385" s="16"/>
      <c r="EV385" s="16"/>
      <c r="EW385" s="16"/>
      <c r="EX385" s="180"/>
      <c r="EY385" s="180">
        <f>IFERROR(__xludf.DUMMYFUNCTION("""COMPUTED_VALUE"""),0.2)</f>
        <v>0.2</v>
      </c>
      <c r="EZ385" s="180">
        <f>IFERROR(__xludf.DUMMYFUNCTION("""COMPUTED_VALUE"""),0.2)</f>
        <v>0.2</v>
      </c>
      <c r="FA385" s="180">
        <f>IFERROR(__xludf.DUMMYFUNCTION("""COMPUTED_VALUE"""),0.1)</f>
        <v>0.1</v>
      </c>
      <c r="FB385" s="180">
        <f>IFERROR(__xludf.DUMMYFUNCTION("""COMPUTED_VALUE"""),0.2)</f>
        <v>0.2</v>
      </c>
      <c r="FC385" s="180">
        <f>IFERROR(__xludf.DUMMYFUNCTION("""COMPUTED_VALUE"""),0.55)</f>
        <v>0.55</v>
      </c>
      <c r="FD385" s="180">
        <f>IFERROR(__xludf.DUMMYFUNCTION("""COMPUTED_VALUE"""),0.55)</f>
        <v>0.55</v>
      </c>
      <c r="FE385" s="180">
        <f>IFERROR(__xludf.DUMMYFUNCTION("""COMPUTED_VALUE"""),0.55)</f>
        <v>0.55</v>
      </c>
      <c r="FF385" s="180"/>
      <c r="FG385" s="180">
        <f>IFERROR(__xludf.DUMMYFUNCTION("""COMPUTED_VALUE"""),0.08796296296296297)</f>
        <v>0.08796296296</v>
      </c>
      <c r="FH385" s="180">
        <f>IFERROR(__xludf.DUMMYFUNCTION("""COMPUTED_VALUE"""),0.42592592592592593)</f>
        <v>0.4259259259</v>
      </c>
      <c r="FI385" s="180">
        <f>IFERROR(__xludf.DUMMYFUNCTION("""COMPUTED_VALUE"""),0.2175925925925926)</f>
        <v>0.2175925926</v>
      </c>
      <c r="FJ385" s="180">
        <f>IFERROR(__xludf.DUMMYFUNCTION("""COMPUTED_VALUE"""),0.05555555555555555)</f>
        <v>0.05555555556</v>
      </c>
      <c r="FK385" s="180">
        <f>IFERROR(__xludf.DUMMYFUNCTION("""COMPUTED_VALUE"""),0.431)</f>
        <v>0.431</v>
      </c>
      <c r="FL385" s="180">
        <f>IFERROR(__xludf.DUMMYFUNCTION("""COMPUTED_VALUE"""),0.28703703703703703)</f>
        <v>0.287037037</v>
      </c>
      <c r="FM385" s="180">
        <f>IFERROR(__xludf.DUMMYFUNCTION("""COMPUTED_VALUE"""),0.431)</f>
        <v>0.431</v>
      </c>
      <c r="FN385" s="16"/>
      <c r="FO385" s="16">
        <f>IFERROR(__xludf.DUMMYFUNCTION("""COMPUTED_VALUE"""),0.7296296296296296)</f>
        <v>0.7296296296</v>
      </c>
      <c r="FP385" s="16">
        <f>IFERROR(__xludf.DUMMYFUNCTION("""COMPUTED_VALUE"""),0.45925925925925926)</f>
        <v>0.4592592593</v>
      </c>
      <c r="FQ385" s="16">
        <f>IFERROR(__xludf.DUMMYFUNCTION("""COMPUTED_VALUE"""),0.7041666666666667)</f>
        <v>0.7041666667</v>
      </c>
      <c r="FR385" s="16">
        <f>IFERROR(__xludf.DUMMYFUNCTION("""COMPUTED_VALUE"""),0.7555555555555555)</f>
        <v>0.7555555556</v>
      </c>
      <c r="FS385" s="16">
        <f>IFERROR(__xludf.DUMMYFUNCTION("""COMPUTED_VALUE"""),0.25604999999999994)</f>
        <v>0.25605</v>
      </c>
      <c r="FT385" s="16">
        <f>IFERROR(__xludf.DUMMYFUNCTION("""COMPUTED_VALUE"""),0.3208333333333333)</f>
        <v>0.3208333333</v>
      </c>
      <c r="FU385" s="16">
        <f>IFERROR(__xludf.DUMMYFUNCTION("""COMPUTED_VALUE"""),0.25604999999999994)</f>
        <v>0.25605</v>
      </c>
      <c r="FV385" s="16"/>
      <c r="FW385" s="16">
        <f>IFERROR(__xludf.DUMMYFUNCTION("""COMPUTED_VALUE"""),-4.0)</f>
        <v>-4</v>
      </c>
      <c r="FX385" s="16">
        <f>IFERROR(__xludf.DUMMYFUNCTION("""COMPUTED_VALUE"""),-8.0)</f>
        <v>-8</v>
      </c>
      <c r="FY385" s="16">
        <f>IFERROR(__xludf.DUMMYFUNCTION("""COMPUTED_VALUE"""),-4.0)</f>
        <v>-4</v>
      </c>
      <c r="FZ385" s="16">
        <f>IFERROR(__xludf.DUMMYFUNCTION("""COMPUTED_VALUE"""),-1.0)</f>
        <v>-1</v>
      </c>
      <c r="GA385" s="16">
        <f>IFERROR(__xludf.DUMMYFUNCTION("""COMPUTED_VALUE"""),-8.0)</f>
        <v>-8</v>
      </c>
      <c r="GB385" s="16">
        <f>IFERROR(__xludf.DUMMYFUNCTION("""COMPUTED_VALUE"""),-8.0)</f>
        <v>-8</v>
      </c>
      <c r="GC385" s="16">
        <f>IFERROR(__xludf.DUMMYFUNCTION("""COMPUTED_VALUE"""),-8.0)</f>
        <v>-8</v>
      </c>
      <c r="GD385" s="16" t="s">
        <v>1729</v>
      </c>
    </row>
    <row r="386">
      <c r="A386" s="16">
        <f>IFERROR(__xludf.DUMMYFUNCTION("""COMPUTED_VALUE"""),13359.0)</f>
        <v>13359</v>
      </c>
      <c r="B386" s="16" t="str">
        <f>IFERROR(__xludf.DUMMYFUNCTION("""COMPUTED_VALUE"""),"Sean Bouchard")</f>
        <v>Sean Bouchard</v>
      </c>
      <c r="C386" s="16">
        <f>IFERROR(__xludf.DUMMYFUNCTION("""COMPUTED_VALUE"""),0.0)</f>
        <v>0</v>
      </c>
      <c r="D386" s="16" t="str">
        <f>IFERROR(__xludf.DUMMYFUNCTION("""COMPUTED_VALUE"""),"R")</f>
        <v>R</v>
      </c>
      <c r="E386" s="16"/>
      <c r="F386" s="16"/>
      <c r="G386" s="16">
        <f>IFERROR(__xludf.DUMMYFUNCTION("""COMPUTED_VALUE"""),91.0)</f>
        <v>91</v>
      </c>
      <c r="H386" s="16">
        <f>IFERROR(__xludf.DUMMYFUNCTION("""COMPUTED_VALUE"""),12.0)</f>
        <v>12</v>
      </c>
      <c r="I386" s="16" t="str">
        <f>IFERROR(__xludf.DUMMYFUNCTION("""COMPUTED_VALUE"""),"1p20")</f>
        <v>1p20</v>
      </c>
      <c r="J386" s="16">
        <f>IFERROR(__xludf.DUMMYFUNCTION("""COMPUTED_VALUE"""),49.0)</f>
        <v>49</v>
      </c>
      <c r="K386" s="16">
        <f>IFERROR(__xludf.DUMMYFUNCTION("""COMPUTED_VALUE"""),38.0)</f>
        <v>38</v>
      </c>
      <c r="L386" s="16">
        <f>IFERROR(__xludf.DUMMYFUNCTION("""COMPUTED_VALUE"""),-2.0)</f>
        <v>-2</v>
      </c>
      <c r="M386" s="16">
        <f>IFERROR(__xludf.DUMMYFUNCTION("""COMPUTED_VALUE"""),-1.0)</f>
        <v>-1</v>
      </c>
      <c r="N386" s="16">
        <f>IFERROR(__xludf.DUMMYFUNCTION("""COMPUTED_VALUE"""),-2.0)</f>
        <v>-2</v>
      </c>
      <c r="O386" s="16">
        <f>IFERROR(__xludf.DUMMYFUNCTION("""COMPUTED_VALUE"""),-1.0)</f>
        <v>-1</v>
      </c>
      <c r="P386" s="16">
        <f>IFERROR(__xludf.DUMMYFUNCTION("""COMPUTED_VALUE"""),16.0)</f>
        <v>16</v>
      </c>
      <c r="Q386" s="16">
        <f>IFERROR(__xludf.DUMMYFUNCTION("""COMPUTED_VALUE"""),17.0)</f>
        <v>17</v>
      </c>
      <c r="R386" s="16">
        <f>IFERROR(__xludf.DUMMYFUNCTION("""COMPUTED_VALUE"""),2.0)</f>
        <v>2</v>
      </c>
      <c r="S386" s="16">
        <f>IFERROR(__xludf.DUMMYFUNCTION("""COMPUTED_VALUE"""),2.0)</f>
        <v>2</v>
      </c>
      <c r="T386" s="16">
        <f>IFERROR(__xludf.DUMMYFUNCTION("""COMPUTED_VALUE"""),2.0)</f>
        <v>2</v>
      </c>
      <c r="U386" s="16">
        <f>IFERROR(__xludf.DUMMYFUNCTION("""COMPUTED_VALUE"""),2.0)</f>
        <v>2</v>
      </c>
      <c r="V386" s="16">
        <f>IFERROR(__xludf.DUMMYFUNCTION("""COMPUTED_VALUE"""),10.9)</f>
        <v>10.9</v>
      </c>
      <c r="W386" s="16">
        <f>IFERROR(__xludf.DUMMYFUNCTION("""COMPUTED_VALUE"""),8.8)</f>
        <v>8.8</v>
      </c>
      <c r="X386" s="16">
        <f>IFERROR(__xludf.DUMMYFUNCTION("""COMPUTED_VALUE"""),-1.0)</f>
        <v>-1</v>
      </c>
      <c r="Y386" s="16">
        <f>IFERROR(__xludf.DUMMYFUNCTION("""COMPUTED_VALUE"""),-2.0)</f>
        <v>-2</v>
      </c>
      <c r="Z386" s="16">
        <f>IFERROR(__xludf.DUMMYFUNCTION("""COMPUTED_VALUE"""),-2.0)</f>
        <v>-2</v>
      </c>
      <c r="AA386" s="16">
        <f>IFERROR(__xludf.DUMMYFUNCTION("""COMPUTED_VALUE"""),-4.0)</f>
        <v>-4</v>
      </c>
      <c r="AB386" s="16">
        <f>IFERROR(__xludf.DUMMYFUNCTION("""COMPUTED_VALUE"""),32.0)</f>
        <v>32</v>
      </c>
      <c r="AC386" s="16">
        <f>IFERROR(__xludf.DUMMYFUNCTION("""COMPUTED_VALUE"""),30.8)</f>
        <v>30.8</v>
      </c>
      <c r="AD386" s="16">
        <f>IFERROR(__xludf.DUMMYFUNCTION("""COMPUTED_VALUE"""),0.0)</f>
        <v>0</v>
      </c>
      <c r="AE386" s="16">
        <f>IFERROR(__xludf.DUMMYFUNCTION("""COMPUTED_VALUE"""),0.0)</f>
        <v>0</v>
      </c>
      <c r="AF386" s="16">
        <f>IFERROR(__xludf.DUMMYFUNCTION("""COMPUTED_VALUE"""),0.0)</f>
        <v>0</v>
      </c>
      <c r="AG386" s="16">
        <f>IFERROR(__xludf.DUMMYFUNCTION("""COMPUTED_VALUE"""),0.0)</f>
        <v>0</v>
      </c>
      <c r="AH386" s="16">
        <f>IFERROR(__xludf.DUMMYFUNCTION("""COMPUTED_VALUE"""),24.9)</f>
        <v>24.9</v>
      </c>
      <c r="AI386" s="16">
        <f>IFERROR(__xludf.DUMMYFUNCTION("""COMPUTED_VALUE"""),17.5)</f>
        <v>17.5</v>
      </c>
      <c r="AJ386" s="16">
        <f>IFERROR(__xludf.DUMMYFUNCTION("""COMPUTED_VALUE"""),-1.0)</f>
        <v>-1</v>
      </c>
      <c r="AK386" s="16">
        <f>IFERROR(__xludf.DUMMYFUNCTION("""COMPUTED_VALUE"""),-2.0)</f>
        <v>-2</v>
      </c>
      <c r="AL386" s="16">
        <f>IFERROR(__xludf.DUMMYFUNCTION("""COMPUTED_VALUE"""),-5.0)</f>
        <v>-5</v>
      </c>
      <c r="AM386" s="16">
        <f>IFERROR(__xludf.DUMMYFUNCTION("""COMPUTED_VALUE"""),-10.0)</f>
        <v>-10</v>
      </c>
      <c r="AN386" s="16">
        <f>IFERROR(__xludf.DUMMYFUNCTION("""COMPUTED_VALUE"""),1.6)</f>
        <v>1.6</v>
      </c>
      <c r="AO386" s="16">
        <f>IFERROR(__xludf.DUMMYFUNCTION("""COMPUTED_VALUE"""),0.0)</f>
        <v>0</v>
      </c>
      <c r="AP386" s="16">
        <f>IFERROR(__xludf.DUMMYFUNCTION("""COMPUTED_VALUE"""),-1.0)</f>
        <v>-1</v>
      </c>
      <c r="AQ386" s="16">
        <f>IFERROR(__xludf.DUMMYFUNCTION("""COMPUTED_VALUE"""),-3.0)</f>
        <v>-3</v>
      </c>
      <c r="AR386" s="16">
        <f>IFERROR(__xludf.DUMMYFUNCTION("""COMPUTED_VALUE"""),-2.0)</f>
        <v>-2</v>
      </c>
      <c r="AS386" s="16">
        <f>IFERROR(__xludf.DUMMYFUNCTION("""COMPUTED_VALUE"""),-6.0)</f>
        <v>-6</v>
      </c>
      <c r="AT386" s="16"/>
      <c r="AU386" s="16"/>
      <c r="AV386" s="16">
        <f>IFERROR(__xludf.DUMMYFUNCTION("""COMPUTED_VALUE"""),2.0)</f>
        <v>2</v>
      </c>
      <c r="AW386" s="16">
        <f>IFERROR(__xludf.DUMMYFUNCTION("""COMPUTED_VALUE"""),-3.0)</f>
        <v>-3</v>
      </c>
      <c r="AX386" s="16">
        <f>IFERROR(__xludf.DUMMYFUNCTION("""COMPUTED_VALUE"""),0.0)</f>
        <v>0</v>
      </c>
      <c r="AY386" s="16">
        <f>IFERROR(__xludf.DUMMYFUNCTION("""COMPUTED_VALUE"""),-3.0)</f>
        <v>-3</v>
      </c>
      <c r="AZ386" s="16">
        <f>IFERROR(__xludf.DUMMYFUNCTION("""COMPUTED_VALUE"""),0.0)</f>
        <v>0</v>
      </c>
      <c r="BA386" s="16">
        <f>IFERROR(__xludf.DUMMYFUNCTION("""COMPUTED_VALUE"""),-9.0)</f>
        <v>-9</v>
      </c>
      <c r="BB386" s="16">
        <f>IFERROR(__xludf.DUMMYFUNCTION("""COMPUTED_VALUE"""),0.0)</f>
        <v>0</v>
      </c>
      <c r="BC386" s="16">
        <f>IFERROR(__xludf.DUMMYFUNCTION("""COMPUTED_VALUE"""),0.0)</f>
        <v>0</v>
      </c>
      <c r="BD386" s="16">
        <f>IFERROR(__xludf.DUMMYFUNCTION("""COMPUTED_VALUE"""),0.0)</f>
        <v>0</v>
      </c>
      <c r="BE386" s="16">
        <f>IFERROR(__xludf.DUMMYFUNCTION("""COMPUTED_VALUE"""),0.0)</f>
        <v>0</v>
      </c>
      <c r="BF386" s="16">
        <f>IFERROR(__xludf.DUMMYFUNCTION("""COMPUTED_VALUE"""),0.0)</f>
        <v>0</v>
      </c>
      <c r="BG386" s="16">
        <f>IFERROR(__xludf.DUMMYFUNCTION("""COMPUTED_VALUE"""),0.0)</f>
        <v>0</v>
      </c>
      <c r="BH386" s="16">
        <f>IFERROR(__xludf.DUMMYFUNCTION("""COMPUTED_VALUE"""),0.0)</f>
        <v>0</v>
      </c>
      <c r="BI386" s="16">
        <f>IFERROR(__xludf.DUMMYFUNCTION("""COMPUTED_VALUE"""),0.0)</f>
        <v>0</v>
      </c>
      <c r="BJ386" s="16">
        <f>IFERROR(__xludf.DUMMYFUNCTION("""COMPUTED_VALUE"""),0.0)</f>
        <v>0</v>
      </c>
      <c r="BK386" s="16">
        <f>IFERROR(__xludf.DUMMYFUNCTION("""COMPUTED_VALUE"""),0.0)</f>
        <v>0</v>
      </c>
      <c r="BL386" s="16">
        <f>IFERROR(__xludf.DUMMYFUNCTION("""COMPUTED_VALUE"""),3.0)</f>
        <v>3</v>
      </c>
      <c r="BM386" s="16">
        <f>IFERROR(__xludf.DUMMYFUNCTION("""COMPUTED_VALUE"""),3.0)</f>
        <v>3</v>
      </c>
      <c r="BN386" s="16">
        <f>IFERROR(__xludf.DUMMYFUNCTION("""COMPUTED_VALUE"""),3.0)</f>
        <v>3</v>
      </c>
      <c r="BO386" s="16">
        <f>IFERROR(__xludf.DUMMYFUNCTION("""COMPUTED_VALUE"""),3.0)</f>
        <v>3</v>
      </c>
      <c r="BP386" s="16">
        <f>IFERROR(__xludf.DUMMYFUNCTION("""COMPUTED_VALUE"""),0.0)</f>
        <v>0</v>
      </c>
      <c r="BQ386" s="16">
        <f>IFERROR(__xludf.DUMMYFUNCTION("""COMPUTED_VALUE"""),-6.0)</f>
        <v>-6</v>
      </c>
      <c r="BR386" s="16">
        <f>IFERROR(__xludf.DUMMYFUNCTION("""COMPUTED_VALUE"""),-6.0)</f>
        <v>-6</v>
      </c>
      <c r="BS386" s="16" t="str">
        <f>IFERROR(__xludf.DUMMYFUNCTION("""COMPUTED_VALUE"""),"*6/- (20-12)")</f>
        <v>*6/- (20-12)</v>
      </c>
      <c r="BT386" s="16" t="str">
        <f>IFERROR(__xludf.DUMMYFUNCTION("""COMPUTED_VALUE"""),"B")</f>
        <v>B</v>
      </c>
      <c r="BU386" s="16">
        <f>IFERROR(__xludf.DUMMYFUNCTION("""COMPUTED_VALUE"""),14.0)</f>
        <v>14</v>
      </c>
      <c r="BV386" s="16">
        <f>IFERROR(__xludf.DUMMYFUNCTION("""COMPUTED_VALUE"""),1.0)</f>
        <v>1</v>
      </c>
      <c r="BW386" s="16">
        <f>IFERROR(__xludf.DUMMYFUNCTION("""COMPUTED_VALUE"""),1.0)</f>
        <v>1</v>
      </c>
      <c r="BX386" s="16">
        <f>IFERROR(__xludf.DUMMYFUNCTION("""COMPUTED_VALUE"""),2.0)</f>
        <v>2</v>
      </c>
      <c r="BY386" s="16">
        <f>IFERROR(__xludf.DUMMYFUNCTION("""COMPUTED_VALUE"""),3.0)</f>
        <v>3</v>
      </c>
      <c r="BZ386" s="16" t="str">
        <f>IFERROR(__xludf.DUMMYFUNCTION("""COMPUTED_VALUE"""),"D")</f>
        <v>D</v>
      </c>
      <c r="CA386" s="16" t="str">
        <f>IFERROR(__xludf.DUMMYFUNCTION("""COMPUTED_VALUE"""),"D")</f>
        <v>D</v>
      </c>
      <c r="CB386" s="16">
        <f>IFERROR(__xludf.DUMMYFUNCTION("""COMPUTED_VALUE"""),0.0)</f>
        <v>0</v>
      </c>
      <c r="CC386" s="16">
        <f>IFERROR(__xludf.DUMMYFUNCTION("""COMPUTED_VALUE"""),0.0)</f>
        <v>0</v>
      </c>
      <c r="CD386" s="16">
        <f>IFERROR(__xludf.DUMMYFUNCTION("""COMPUTED_VALUE"""),0.0)</f>
        <v>0</v>
      </c>
      <c r="CE386" s="16">
        <f>IFERROR(__xludf.DUMMYFUNCTION("""COMPUTED_VALUE"""),0.0)</f>
        <v>0</v>
      </c>
      <c r="CF386" s="16">
        <f>IFERROR(__xludf.DUMMYFUNCTION("""COMPUTED_VALUE"""),1.0)</f>
        <v>1</v>
      </c>
      <c r="CG386" s="16">
        <f>IFERROR(__xludf.DUMMYFUNCTION("""COMPUTED_VALUE"""),-6.0)</f>
        <v>-6</v>
      </c>
      <c r="CH386" s="16">
        <f>IFERROR(__xludf.DUMMYFUNCTION("""COMPUTED_VALUE"""),-25.0)</f>
        <v>-25</v>
      </c>
      <c r="CI386" s="179">
        <f>IFERROR(__xludf.DUMMYFUNCTION("""COMPUTED_VALUE"""),-19.0)</f>
        <v>-19</v>
      </c>
      <c r="CJ386" s="16"/>
      <c r="CK386" s="16"/>
      <c r="CL386" s="16"/>
      <c r="CM386" s="16"/>
      <c r="CN386" s="16"/>
      <c r="CO386" s="16">
        <f>IFERROR(__xludf.DUMMYFUNCTION("""COMPUTED_VALUE"""),418.0)</f>
        <v>418</v>
      </c>
      <c r="CP386" s="16"/>
      <c r="CQ386" s="16">
        <f>IFERROR(__xludf.DUMMYFUNCTION("""COMPUTED_VALUE"""),418.0)</f>
        <v>418</v>
      </c>
      <c r="CR386" s="16" t="str">
        <f>IFERROR(__xludf.DUMMYFUNCTION("""COMPUTED_VALUE"""),"rf-4(+1)e18 lf-4e18")</f>
        <v>rf-4(+1)e18 lf-4e18</v>
      </c>
      <c r="CS386" s="16"/>
      <c r="CT386" s="16"/>
      <c r="CU386" s="16"/>
      <c r="CV386" s="16"/>
      <c r="CW386" s="16"/>
      <c r="CX386" s="16">
        <f>IFERROR(__xludf.DUMMYFUNCTION("""COMPUTED_VALUE"""),4.0)</f>
        <v>4</v>
      </c>
      <c r="CY386" s="16"/>
      <c r="CZ386" s="16">
        <f>IFERROR(__xludf.DUMMYFUNCTION("""COMPUTED_VALUE"""),4.0)</f>
        <v>4</v>
      </c>
      <c r="DA386" s="16"/>
      <c r="DB386" s="16"/>
      <c r="DC386" s="16"/>
      <c r="DD386" s="16"/>
      <c r="DE386" s="16"/>
      <c r="DF386" s="16">
        <f>IFERROR(__xludf.DUMMYFUNCTION("""COMPUTED_VALUE"""),18.0)</f>
        <v>18</v>
      </c>
      <c r="DG386" s="16"/>
      <c r="DH386" s="16">
        <f>IFERROR(__xludf.DUMMYFUNCTION("""COMPUTED_VALUE"""),18.0)</f>
        <v>18</v>
      </c>
      <c r="DI386" s="16"/>
      <c r="DJ386" s="16"/>
      <c r="DK386" s="16"/>
      <c r="DL386" s="16"/>
      <c r="DM386" s="16"/>
      <c r="DN386" s="16">
        <f>IFERROR(__xludf.DUMMYFUNCTION("""COMPUTED_VALUE"""),-1.0)</f>
        <v>-1</v>
      </c>
      <c r="DO386" s="16"/>
      <c r="DP386" s="16">
        <f>IFERROR(__xludf.DUMMYFUNCTION("""COMPUTED_VALUE"""),-1.0)</f>
        <v>-1</v>
      </c>
      <c r="DQ386" s="16"/>
      <c r="DR386" s="16"/>
      <c r="DS386" s="16"/>
      <c r="DT386" s="16"/>
      <c r="DU386" s="16"/>
      <c r="DV386" s="16">
        <f>IFERROR(__xludf.DUMMYFUNCTION("""COMPUTED_VALUE"""),-4.0)</f>
        <v>-4</v>
      </c>
      <c r="DW386" s="16"/>
      <c r="DX386" s="16">
        <f>IFERROR(__xludf.DUMMYFUNCTION("""COMPUTED_VALUE"""),-4.0)</f>
        <v>-4</v>
      </c>
      <c r="DY386" s="16"/>
      <c r="DZ386" s="16"/>
      <c r="EA386" s="16"/>
      <c r="EB386" s="16"/>
      <c r="EC386" s="16"/>
      <c r="ED386" s="16">
        <f>IFERROR(__xludf.DUMMYFUNCTION("""COMPUTED_VALUE"""),-5.0)</f>
        <v>-5</v>
      </c>
      <c r="EE386" s="16"/>
      <c r="EF386" s="16">
        <f>IFERROR(__xludf.DUMMYFUNCTION("""COMPUTED_VALUE"""),-5.0)</f>
        <v>-5</v>
      </c>
      <c r="EG386" s="179"/>
      <c r="EH386" s="179"/>
      <c r="EI386" s="179"/>
      <c r="EJ386" s="179"/>
      <c r="EK386" s="179"/>
      <c r="EL386" s="179">
        <f>IFERROR(__xludf.DUMMYFUNCTION("""COMPUTED_VALUE"""),-24.0)</f>
        <v>-24</v>
      </c>
      <c r="EM386" s="179"/>
      <c r="EN386" s="179">
        <f>IFERROR(__xludf.DUMMYFUNCTION("""COMPUTED_VALUE"""),-24.0)</f>
        <v>-24</v>
      </c>
      <c r="EO386" s="16"/>
      <c r="EP386" s="16">
        <f>IFERROR(__xludf.DUMMYFUNCTION("""COMPUTED_VALUE"""),-2.0)</f>
        <v>-2</v>
      </c>
      <c r="EQ386" s="16">
        <f>IFERROR(__xludf.DUMMYFUNCTION("""COMPUTED_VALUE"""),4.0)</f>
        <v>4</v>
      </c>
      <c r="ER386" s="16">
        <f>IFERROR(__xludf.DUMMYFUNCTION("""COMPUTED_VALUE"""),-4.0)</f>
        <v>-4</v>
      </c>
      <c r="ES386" s="16"/>
      <c r="ET386" s="16"/>
      <c r="EU386" s="16"/>
      <c r="EV386" s="16"/>
      <c r="EW386" s="16"/>
      <c r="EX386" s="180"/>
      <c r="EY386" s="180"/>
      <c r="EZ386" s="180"/>
      <c r="FA386" s="180"/>
      <c r="FB386" s="180"/>
      <c r="FC386" s="180">
        <f>IFERROR(__xludf.DUMMYFUNCTION("""COMPUTED_VALUE"""),0.55)</f>
        <v>0.55</v>
      </c>
      <c r="FD386" s="180"/>
      <c r="FE386" s="180">
        <f>IFERROR(__xludf.DUMMYFUNCTION("""COMPUTED_VALUE"""),0.55)</f>
        <v>0.55</v>
      </c>
      <c r="FF386" s="180"/>
      <c r="FG386" s="180"/>
      <c r="FH386" s="180"/>
      <c r="FI386" s="180"/>
      <c r="FJ386" s="180"/>
      <c r="FK386" s="180">
        <f>IFERROR(__xludf.DUMMYFUNCTION("""COMPUTED_VALUE"""),0.324)</f>
        <v>0.324</v>
      </c>
      <c r="FL386" s="180"/>
      <c r="FM386" s="180">
        <f>IFERROR(__xludf.DUMMYFUNCTION("""COMPUTED_VALUE"""),0.324)</f>
        <v>0.324</v>
      </c>
      <c r="FN386" s="16"/>
      <c r="FO386" s="16"/>
      <c r="FP386" s="16"/>
      <c r="FQ386" s="16"/>
      <c r="FR386" s="16"/>
      <c r="FS386" s="16">
        <f>IFERROR(__xludf.DUMMYFUNCTION("""COMPUTED_VALUE"""),0.3041999999999999)</f>
        <v>0.3042</v>
      </c>
      <c r="FT386" s="16"/>
      <c r="FU386" s="16">
        <f>IFERROR(__xludf.DUMMYFUNCTION("""COMPUTED_VALUE"""),0.3041999999999999)</f>
        <v>0.3042</v>
      </c>
      <c r="FV386" s="16"/>
      <c r="FW386" s="16"/>
      <c r="FX386" s="16"/>
      <c r="FY386" s="16"/>
      <c r="FZ386" s="16"/>
      <c r="GA386" s="16">
        <f>IFERROR(__xludf.DUMMYFUNCTION("""COMPUTED_VALUE"""),-6.0)</f>
        <v>-6</v>
      </c>
      <c r="GB386" s="16"/>
      <c r="GC386" s="16">
        <f>IFERROR(__xludf.DUMMYFUNCTION("""COMPUTED_VALUE"""),-6.0)</f>
        <v>-6</v>
      </c>
      <c r="GD386" s="16" t="s">
        <v>176</v>
      </c>
    </row>
    <row r="387">
      <c r="A387" s="16">
        <f>IFERROR(__xludf.DUMMYFUNCTION("""COMPUTED_VALUE"""),12555.0)</f>
        <v>12555</v>
      </c>
      <c r="B387" s="16" t="str">
        <f>IFERROR(__xludf.DUMMYFUNCTION("""COMPUTED_VALUE"""),"Anthony Rendon")</f>
        <v>Anthony Rendon</v>
      </c>
      <c r="C387" s="16">
        <f>IFERROR(__xludf.DUMMYFUNCTION("""COMPUTED_VALUE"""),0.44)</f>
        <v>0.44</v>
      </c>
      <c r="D387" s="16" t="str">
        <f>IFERROR(__xludf.DUMMYFUNCTION("""COMPUTED_VALUE"""),"R")</f>
        <v>R</v>
      </c>
      <c r="E387" s="16"/>
      <c r="F387" s="16"/>
      <c r="G387" s="16">
        <f>IFERROR(__xludf.DUMMYFUNCTION("""COMPUTED_VALUE"""),206.0)</f>
        <v>206</v>
      </c>
      <c r="H387" s="16">
        <f>IFERROR(__xludf.DUMMYFUNCTION("""COMPUTED_VALUE"""),23.0)</f>
        <v>23</v>
      </c>
      <c r="I387" s="16" t="str">
        <f>IFERROR(__xludf.DUMMYFUNCTION("""COMPUTED_VALUE"""),"5p30")</f>
        <v>5p30</v>
      </c>
      <c r="J387" s="16">
        <f>IFERROR(__xludf.DUMMYFUNCTION("""COMPUTED_VALUE"""),8.0)</f>
        <v>8</v>
      </c>
      <c r="K387" s="16">
        <f>IFERROR(__xludf.DUMMYFUNCTION("""COMPUTED_VALUE"""),7.0)</f>
        <v>7</v>
      </c>
      <c r="L387" s="16">
        <f>IFERROR(__xludf.DUMMYFUNCTION("""COMPUTED_VALUE"""),2.0)</f>
        <v>2</v>
      </c>
      <c r="M387" s="16">
        <f>IFERROR(__xludf.DUMMYFUNCTION("""COMPUTED_VALUE"""),2.0)</f>
        <v>2</v>
      </c>
      <c r="N387" s="16">
        <f>IFERROR(__xludf.DUMMYFUNCTION("""COMPUTED_VALUE"""),2.0)</f>
        <v>2</v>
      </c>
      <c r="O387" s="16">
        <f>IFERROR(__xludf.DUMMYFUNCTION("""COMPUTED_VALUE"""),2.0)</f>
        <v>2</v>
      </c>
      <c r="P387" s="16">
        <f>IFERROR(__xludf.DUMMYFUNCTION("""COMPUTED_VALUE"""),17.0)</f>
        <v>17</v>
      </c>
      <c r="Q387" s="16">
        <f>IFERROR(__xludf.DUMMYFUNCTION("""COMPUTED_VALUE"""),13.0)</f>
        <v>13</v>
      </c>
      <c r="R387" s="16">
        <f>IFERROR(__xludf.DUMMYFUNCTION("""COMPUTED_VALUE"""),3.0)</f>
        <v>3</v>
      </c>
      <c r="S387" s="16">
        <f>IFERROR(__xludf.DUMMYFUNCTION("""COMPUTED_VALUE"""),1.0)</f>
        <v>1</v>
      </c>
      <c r="T387" s="16">
        <f>IFERROR(__xludf.DUMMYFUNCTION("""COMPUTED_VALUE"""),3.0)</f>
        <v>3</v>
      </c>
      <c r="U387" s="16">
        <f>IFERROR(__xludf.DUMMYFUNCTION("""COMPUTED_VALUE"""),1.0)</f>
        <v>1</v>
      </c>
      <c r="V387" s="16">
        <f>IFERROR(__xludf.DUMMYFUNCTION("""COMPUTED_VALUE"""),17.9)</f>
        <v>17.9</v>
      </c>
      <c r="W387" s="16">
        <f>IFERROR(__xludf.DUMMYFUNCTION("""COMPUTED_VALUE"""),14.6)</f>
        <v>14.6</v>
      </c>
      <c r="X387" s="16">
        <f>IFERROR(__xludf.DUMMYFUNCTION("""COMPUTED_VALUE"""),0.0)</f>
        <v>0</v>
      </c>
      <c r="Y387" s="16">
        <f>IFERROR(__xludf.DUMMYFUNCTION("""COMPUTED_VALUE"""),-1.0)</f>
        <v>-1</v>
      </c>
      <c r="Z387" s="16">
        <f>IFERROR(__xludf.DUMMYFUNCTION("""COMPUTED_VALUE"""),0.0)</f>
        <v>0</v>
      </c>
      <c r="AA387" s="16">
        <f>IFERROR(__xludf.DUMMYFUNCTION("""COMPUTED_VALUE"""),-2.0)</f>
        <v>-2</v>
      </c>
      <c r="AB387" s="16">
        <f>IFERROR(__xludf.DUMMYFUNCTION("""COMPUTED_VALUE"""),40.0)</f>
        <v>40</v>
      </c>
      <c r="AC387" s="16">
        <f>IFERROR(__xludf.DUMMYFUNCTION("""COMPUTED_VALUE"""),32.7)</f>
        <v>32.7</v>
      </c>
      <c r="AD387" s="16">
        <f>IFERROR(__xludf.DUMMYFUNCTION("""COMPUTED_VALUE"""),1.0)</f>
        <v>1</v>
      </c>
      <c r="AE387" s="16">
        <f>IFERROR(__xludf.DUMMYFUNCTION("""COMPUTED_VALUE"""),0.0)</f>
        <v>0</v>
      </c>
      <c r="AF387" s="16">
        <f>IFERROR(__xludf.DUMMYFUNCTION("""COMPUTED_VALUE"""),5.0)</f>
        <v>5</v>
      </c>
      <c r="AG387" s="16">
        <f>IFERROR(__xludf.DUMMYFUNCTION("""COMPUTED_VALUE"""),0.0)</f>
        <v>0</v>
      </c>
      <c r="AH387" s="16">
        <f>IFERROR(__xludf.DUMMYFUNCTION("""COMPUTED_VALUE"""),17.9)</f>
        <v>17.9</v>
      </c>
      <c r="AI387" s="16">
        <f>IFERROR(__xludf.DUMMYFUNCTION("""COMPUTED_VALUE"""),20.3)</f>
        <v>20.3</v>
      </c>
      <c r="AJ387" s="16">
        <f>IFERROR(__xludf.DUMMYFUNCTION("""COMPUTED_VALUE"""),-1.0)</f>
        <v>-1</v>
      </c>
      <c r="AK387" s="16">
        <f>IFERROR(__xludf.DUMMYFUNCTION("""COMPUTED_VALUE"""),-1.0)</f>
        <v>-1</v>
      </c>
      <c r="AL387" s="16">
        <f>IFERROR(__xludf.DUMMYFUNCTION("""COMPUTED_VALUE"""),-5.0)</f>
        <v>-5</v>
      </c>
      <c r="AM387" s="16">
        <f>IFERROR(__xludf.DUMMYFUNCTION("""COMPUTED_VALUE"""),-5.0)</f>
        <v>-5</v>
      </c>
      <c r="AN387" s="16">
        <f>IFERROR(__xludf.DUMMYFUNCTION("""COMPUTED_VALUE"""),0.0)</f>
        <v>0</v>
      </c>
      <c r="AO387" s="16">
        <f>IFERROR(__xludf.DUMMYFUNCTION("""COMPUTED_VALUE"""),0.0)</f>
        <v>0</v>
      </c>
      <c r="AP387" s="16">
        <f>IFERROR(__xludf.DUMMYFUNCTION("""COMPUTED_VALUE"""),-2.0)</f>
        <v>-2</v>
      </c>
      <c r="AQ387" s="16">
        <f>IFERROR(__xludf.DUMMYFUNCTION("""COMPUTED_VALUE"""),-3.0)</f>
        <v>-3</v>
      </c>
      <c r="AR387" s="16">
        <f>IFERROR(__xludf.DUMMYFUNCTION("""COMPUTED_VALUE"""),-4.0)</f>
        <v>-4</v>
      </c>
      <c r="AS387" s="16">
        <f>IFERROR(__xludf.DUMMYFUNCTION("""COMPUTED_VALUE"""),-6.0)</f>
        <v>-6</v>
      </c>
      <c r="AT387" s="16"/>
      <c r="AU387" s="16"/>
      <c r="AV387" s="16">
        <f>IFERROR(__xludf.DUMMYFUNCTION("""COMPUTED_VALUE"""),-3.0)</f>
        <v>-3</v>
      </c>
      <c r="AW387" s="16">
        <f>IFERROR(__xludf.DUMMYFUNCTION("""COMPUTED_VALUE"""),-3.0)</f>
        <v>-3</v>
      </c>
      <c r="AX387" s="16">
        <f>IFERROR(__xludf.DUMMYFUNCTION("""COMPUTED_VALUE"""),-3.0)</f>
        <v>-3</v>
      </c>
      <c r="AY387" s="16">
        <f>IFERROR(__xludf.DUMMYFUNCTION("""COMPUTED_VALUE"""),-3.0)</f>
        <v>-3</v>
      </c>
      <c r="AZ387" s="16">
        <f>IFERROR(__xludf.DUMMYFUNCTION("""COMPUTED_VALUE"""),-9.0)</f>
        <v>-9</v>
      </c>
      <c r="BA387" s="16">
        <f>IFERROR(__xludf.DUMMYFUNCTION("""COMPUTED_VALUE"""),-9.0)</f>
        <v>-9</v>
      </c>
      <c r="BB387" s="16">
        <f>IFERROR(__xludf.DUMMYFUNCTION("""COMPUTED_VALUE"""),5.0)</f>
        <v>5</v>
      </c>
      <c r="BC387" s="16">
        <f>IFERROR(__xludf.DUMMYFUNCTION("""COMPUTED_VALUE"""),5.0)</f>
        <v>5</v>
      </c>
      <c r="BD387" s="16">
        <f>IFERROR(__xludf.DUMMYFUNCTION("""COMPUTED_VALUE"""),1.0)</f>
        <v>1</v>
      </c>
      <c r="BE387" s="16">
        <f>IFERROR(__xludf.DUMMYFUNCTION("""COMPUTED_VALUE"""),1.0)</f>
        <v>1</v>
      </c>
      <c r="BF387" s="16">
        <f>IFERROR(__xludf.DUMMYFUNCTION("""COMPUTED_VALUE"""),1.0)</f>
        <v>1</v>
      </c>
      <c r="BG387" s="16">
        <f>IFERROR(__xludf.DUMMYFUNCTION("""COMPUTED_VALUE"""),1.0)</f>
        <v>1</v>
      </c>
      <c r="BH387" s="16">
        <f>IFERROR(__xludf.DUMMYFUNCTION("""COMPUTED_VALUE"""),-4.0)</f>
        <v>-4</v>
      </c>
      <c r="BI387" s="16">
        <f>IFERROR(__xludf.DUMMYFUNCTION("""COMPUTED_VALUE"""),-4.0)</f>
        <v>-4</v>
      </c>
      <c r="BJ387" s="16">
        <f>IFERROR(__xludf.DUMMYFUNCTION("""COMPUTED_VALUE"""),11.0)</f>
        <v>11</v>
      </c>
      <c r="BK387" s="16">
        <f>IFERROR(__xludf.DUMMYFUNCTION("""COMPUTED_VALUE"""),12.0)</f>
        <v>12</v>
      </c>
      <c r="BL387" s="16">
        <f>IFERROR(__xludf.DUMMYFUNCTION("""COMPUTED_VALUE"""),0.0)</f>
        <v>0</v>
      </c>
      <c r="BM387" s="16">
        <f>IFERROR(__xludf.DUMMYFUNCTION("""COMPUTED_VALUE"""),0.0)</f>
        <v>0</v>
      </c>
      <c r="BN387" s="16">
        <f>IFERROR(__xludf.DUMMYFUNCTION("""COMPUTED_VALUE"""),0.0)</f>
        <v>0</v>
      </c>
      <c r="BO387" s="16">
        <f>IFERROR(__xludf.DUMMYFUNCTION("""COMPUTED_VALUE"""),0.0)</f>
        <v>0</v>
      </c>
      <c r="BP387" s="16">
        <f>IFERROR(__xludf.DUMMYFUNCTION("""COMPUTED_VALUE"""),1.0)</f>
        <v>1</v>
      </c>
      <c r="BQ387" s="16">
        <f>IFERROR(__xludf.DUMMYFUNCTION("""COMPUTED_VALUE"""),-4.0)</f>
        <v>-4</v>
      </c>
      <c r="BR387" s="16">
        <f>IFERROR(__xludf.DUMMYFUNCTION("""COMPUTED_VALUE"""),-3.0)</f>
        <v>-3</v>
      </c>
      <c r="BS387" s="16" t="str">
        <f>IFERROR(__xludf.DUMMYFUNCTION("""COMPUTED_VALUE"""),"*6/- (19-11)")</f>
        <v>*6/- (19-11)</v>
      </c>
      <c r="BT387" s="16" t="str">
        <f>IFERROR(__xludf.DUMMYFUNCTION("""COMPUTED_VALUE"""),"B")</f>
        <v>B</v>
      </c>
      <c r="BU387" s="16">
        <f>IFERROR(__xludf.DUMMYFUNCTION("""COMPUTED_VALUE"""),11.0)</f>
        <v>11</v>
      </c>
      <c r="BV387" s="16">
        <f>IFERROR(__xludf.DUMMYFUNCTION("""COMPUTED_VALUE"""),1.0)</f>
        <v>1</v>
      </c>
      <c r="BW387" s="16">
        <f>IFERROR(__xludf.DUMMYFUNCTION("""COMPUTED_VALUE"""),0.0)</f>
        <v>0</v>
      </c>
      <c r="BX387" s="16">
        <f>IFERROR(__xludf.DUMMYFUNCTION("""COMPUTED_VALUE"""),2.0)</f>
        <v>2</v>
      </c>
      <c r="BY387" s="16">
        <f>IFERROR(__xludf.DUMMYFUNCTION("""COMPUTED_VALUE"""),0.0)</f>
        <v>0</v>
      </c>
      <c r="BZ387" s="16" t="str">
        <f>IFERROR(__xludf.DUMMYFUNCTION("""COMPUTED_VALUE"""),"D")</f>
        <v>D</v>
      </c>
      <c r="CA387" s="16" t="str">
        <f>IFERROR(__xludf.DUMMYFUNCTION("""COMPUTED_VALUE"""),"C")</f>
        <v>C</v>
      </c>
      <c r="CB387" s="16">
        <f>IFERROR(__xludf.DUMMYFUNCTION("""COMPUTED_VALUE"""),0.0)</f>
        <v>0</v>
      </c>
      <c r="CC387" s="16">
        <f>IFERROR(__xludf.DUMMYFUNCTION("""COMPUTED_VALUE"""),0.0)</f>
        <v>0</v>
      </c>
      <c r="CD387" s="16">
        <f>IFERROR(__xludf.DUMMYFUNCTION("""COMPUTED_VALUE"""),0.0)</f>
        <v>0</v>
      </c>
      <c r="CE387" s="16">
        <f>IFERROR(__xludf.DUMMYFUNCTION("""COMPUTED_VALUE"""),0.0)</f>
        <v>0</v>
      </c>
      <c r="CF387" s="16">
        <f>IFERROR(__xludf.DUMMYFUNCTION("""COMPUTED_VALUE"""),5.0)</f>
        <v>5</v>
      </c>
      <c r="CG387" s="16">
        <f>IFERROR(__xludf.DUMMYFUNCTION("""COMPUTED_VALUE"""),-7.0)</f>
        <v>-7</v>
      </c>
      <c r="CH387" s="16">
        <f>IFERROR(__xludf.DUMMYFUNCTION("""COMPUTED_VALUE"""),-18.0)</f>
        <v>-18</v>
      </c>
      <c r="CI387" s="179">
        <f>IFERROR(__xludf.DUMMYFUNCTION("""COMPUTED_VALUE"""),-19.0)</f>
        <v>-19</v>
      </c>
      <c r="CJ387" s="16"/>
      <c r="CK387" s="16"/>
      <c r="CL387" s="16"/>
      <c r="CM387" s="16">
        <f>IFERROR(__xludf.DUMMYFUNCTION("""COMPUTED_VALUE"""),317.0)</f>
        <v>317</v>
      </c>
      <c r="CN387" s="16"/>
      <c r="CO387" s="16"/>
      <c r="CP387" s="16"/>
      <c r="CQ387" s="16"/>
      <c r="CR387" s="16" t="str">
        <f>IFERROR(__xludf.DUMMYFUNCTION("""COMPUTED_VALUE"""),"3b-3e17")</f>
        <v>3b-3e17</v>
      </c>
      <c r="CS387" s="16"/>
      <c r="CT387" s="16"/>
      <c r="CU387" s="16"/>
      <c r="CV387" s="16">
        <f>IFERROR(__xludf.DUMMYFUNCTION("""COMPUTED_VALUE"""),3.0)</f>
        <v>3</v>
      </c>
      <c r="CW387" s="16"/>
      <c r="CX387" s="16"/>
      <c r="CY387" s="16"/>
      <c r="CZ387" s="16"/>
      <c r="DA387" s="16"/>
      <c r="DB387" s="16"/>
      <c r="DC387" s="16"/>
      <c r="DD387" s="16">
        <f>IFERROR(__xludf.DUMMYFUNCTION("""COMPUTED_VALUE"""),17.0)</f>
        <v>17</v>
      </c>
      <c r="DE387" s="16"/>
      <c r="DF387" s="16"/>
      <c r="DG387" s="16"/>
      <c r="DH387" s="16"/>
      <c r="DI387" s="16"/>
      <c r="DJ387" s="16"/>
      <c r="DK387" s="16"/>
      <c r="DL387" s="16">
        <f>IFERROR(__xludf.DUMMYFUNCTION("""COMPUTED_VALUE"""),1.0)</f>
        <v>1</v>
      </c>
      <c r="DM387" s="16"/>
      <c r="DN387" s="16"/>
      <c r="DO387" s="16"/>
      <c r="DP387" s="16"/>
      <c r="DQ387" s="16"/>
      <c r="DR387" s="16"/>
      <c r="DS387" s="16"/>
      <c r="DT387" s="16">
        <f>IFERROR(__xludf.DUMMYFUNCTION("""COMPUTED_VALUE"""),0.0)</f>
        <v>0</v>
      </c>
      <c r="DU387" s="16"/>
      <c r="DV387" s="16"/>
      <c r="DW387" s="16"/>
      <c r="DX387" s="16"/>
      <c r="DY387" s="16"/>
      <c r="DZ387" s="16"/>
      <c r="EA387" s="16"/>
      <c r="EB387" s="16">
        <f>IFERROR(__xludf.DUMMYFUNCTION("""COMPUTED_VALUE"""),1.0)</f>
        <v>1</v>
      </c>
      <c r="EC387" s="16"/>
      <c r="ED387" s="16"/>
      <c r="EE387" s="16"/>
      <c r="EF387" s="16"/>
      <c r="EG387" s="179"/>
      <c r="EH387" s="179"/>
      <c r="EI387" s="179"/>
      <c r="EJ387" s="179">
        <f>IFERROR(__xludf.DUMMYFUNCTION("""COMPUTED_VALUE"""),-18.0)</f>
        <v>-18</v>
      </c>
      <c r="EK387" s="179"/>
      <c r="EL387" s="179"/>
      <c r="EM387" s="179"/>
      <c r="EN387" s="179"/>
      <c r="EO387" s="16"/>
      <c r="EP387" s="16"/>
      <c r="EQ387" s="16">
        <f>IFERROR(__xludf.DUMMYFUNCTION("""COMPUTED_VALUE"""),-2.0)</f>
        <v>-2</v>
      </c>
      <c r="ER387" s="16">
        <f>IFERROR(__xludf.DUMMYFUNCTION("""COMPUTED_VALUE"""),-2.0)</f>
        <v>-2</v>
      </c>
      <c r="ES387" s="16"/>
      <c r="ET387" s="16"/>
      <c r="EU387" s="16"/>
      <c r="EV387" s="16"/>
      <c r="EW387" s="16"/>
      <c r="EX387" s="180"/>
      <c r="EY387" s="180"/>
      <c r="EZ387" s="180"/>
      <c r="FA387" s="180">
        <f>IFERROR(__xludf.DUMMYFUNCTION("""COMPUTED_VALUE"""),0.2)</f>
        <v>0.2</v>
      </c>
      <c r="FB387" s="180"/>
      <c r="FC387" s="180"/>
      <c r="FD387" s="180"/>
      <c r="FE387" s="180"/>
      <c r="FF387" s="180"/>
      <c r="FG387" s="180"/>
      <c r="FH387" s="180"/>
      <c r="FI387" s="180">
        <f>IFERROR(__xludf.DUMMYFUNCTION("""COMPUTED_VALUE"""),0.2037037037037037)</f>
        <v>0.2037037037</v>
      </c>
      <c r="FJ387" s="180"/>
      <c r="FK387" s="180"/>
      <c r="FL387" s="180"/>
      <c r="FM387" s="180"/>
      <c r="FN387" s="16"/>
      <c r="FO387" s="16"/>
      <c r="FP387" s="16"/>
      <c r="FQ387" s="16">
        <f>IFERROR(__xludf.DUMMYFUNCTION("""COMPUTED_VALUE"""),0.6370370370370371)</f>
        <v>0.637037037</v>
      </c>
      <c r="FR387" s="16"/>
      <c r="FS387" s="16"/>
      <c r="FT387" s="16"/>
      <c r="FU387" s="16"/>
      <c r="FV387" s="16"/>
      <c r="FW387" s="16"/>
      <c r="FX387" s="16"/>
      <c r="FY387" s="16">
        <f>IFERROR(__xludf.DUMMYFUNCTION("""COMPUTED_VALUE"""),-6.0)</f>
        <v>-6</v>
      </c>
      <c r="FZ387" s="16"/>
      <c r="GA387" s="16"/>
      <c r="GB387" s="16"/>
      <c r="GC387" s="16"/>
      <c r="GD387" s="16" t="s">
        <v>176</v>
      </c>
    </row>
    <row r="388">
      <c r="A388" s="16">
        <f>IFERROR(__xludf.DUMMYFUNCTION("""COMPUTED_VALUE"""),13149.0)</f>
        <v>13149</v>
      </c>
      <c r="B388" s="16" t="str">
        <f>IFERROR(__xludf.DUMMYFUNCTION("""COMPUTED_VALUE"""),"Manuel Margot")</f>
        <v>Manuel Margot</v>
      </c>
      <c r="C388" s="16">
        <f>IFERROR(__xludf.DUMMYFUNCTION("""COMPUTED_VALUE"""),0.0)</f>
        <v>0</v>
      </c>
      <c r="D388" s="16" t="str">
        <f>IFERROR(__xludf.DUMMYFUNCTION("""COMPUTED_VALUE"""),"R")</f>
        <v>R</v>
      </c>
      <c r="E388" s="16"/>
      <c r="F388" s="16"/>
      <c r="G388" s="16">
        <f>IFERROR(__xludf.DUMMYFUNCTION("""COMPUTED_VALUE"""),315.0)</f>
        <v>315</v>
      </c>
      <c r="H388" s="16">
        <f>IFERROR(__xludf.DUMMYFUNCTION("""COMPUTED_VALUE"""),21.0)</f>
        <v>21</v>
      </c>
      <c r="I388" s="16" t="str">
        <f>IFERROR(__xludf.DUMMYFUNCTION("""COMPUTED_VALUE"""),"1p60")</f>
        <v>1p60</v>
      </c>
      <c r="J388" s="16">
        <f>IFERROR(__xludf.DUMMYFUNCTION("""COMPUTED_VALUE"""),7.0)</f>
        <v>7</v>
      </c>
      <c r="K388" s="16">
        <f>IFERROR(__xludf.DUMMYFUNCTION("""COMPUTED_VALUE"""),12.0)</f>
        <v>12</v>
      </c>
      <c r="L388" s="16">
        <f>IFERROR(__xludf.DUMMYFUNCTION("""COMPUTED_VALUE"""),2.0)</f>
        <v>2</v>
      </c>
      <c r="M388" s="16">
        <f>IFERROR(__xludf.DUMMYFUNCTION("""COMPUTED_VALUE"""),1.0)</f>
        <v>1</v>
      </c>
      <c r="N388" s="16">
        <f>IFERROR(__xludf.DUMMYFUNCTION("""COMPUTED_VALUE"""),2.0)</f>
        <v>2</v>
      </c>
      <c r="O388" s="16">
        <f>IFERROR(__xludf.DUMMYFUNCTION("""COMPUTED_VALUE"""),1.0)</f>
        <v>1</v>
      </c>
      <c r="P388" s="16">
        <f>IFERROR(__xludf.DUMMYFUNCTION("""COMPUTED_VALUE"""),8.0)</f>
        <v>8</v>
      </c>
      <c r="Q388" s="16">
        <f>IFERROR(__xludf.DUMMYFUNCTION("""COMPUTED_VALUE"""),2.0)</f>
        <v>2</v>
      </c>
      <c r="R388" s="16">
        <f>IFERROR(__xludf.DUMMYFUNCTION("""COMPUTED_VALUE"""),0.0)</f>
        <v>0</v>
      </c>
      <c r="S388" s="16">
        <f>IFERROR(__xludf.DUMMYFUNCTION("""COMPUTED_VALUE"""),-2.0)</f>
        <v>-2</v>
      </c>
      <c r="T388" s="16">
        <f>IFERROR(__xludf.DUMMYFUNCTION("""COMPUTED_VALUE"""),0.0)</f>
        <v>0</v>
      </c>
      <c r="U388" s="16">
        <f>IFERROR(__xludf.DUMMYFUNCTION("""COMPUTED_VALUE"""),-2.0)</f>
        <v>-2</v>
      </c>
      <c r="V388" s="16">
        <f>IFERROR(__xludf.DUMMYFUNCTION("""COMPUTED_VALUE"""),25.3)</f>
        <v>25.3</v>
      </c>
      <c r="W388" s="16">
        <f>IFERROR(__xludf.DUMMYFUNCTION("""COMPUTED_VALUE"""),14.8)</f>
        <v>14.8</v>
      </c>
      <c r="X388" s="16">
        <f>IFERROR(__xludf.DUMMYFUNCTION("""COMPUTED_VALUE"""),1.0)</f>
        <v>1</v>
      </c>
      <c r="Y388" s="16">
        <f>IFERROR(__xludf.DUMMYFUNCTION("""COMPUTED_VALUE"""),-1.0)</f>
        <v>-1</v>
      </c>
      <c r="Z388" s="16">
        <f>IFERROR(__xludf.DUMMYFUNCTION("""COMPUTED_VALUE"""),2.0)</f>
        <v>2</v>
      </c>
      <c r="AA388" s="16">
        <f>IFERROR(__xludf.DUMMYFUNCTION("""COMPUTED_VALUE"""),-2.0)</f>
        <v>-2</v>
      </c>
      <c r="AB388" s="16">
        <f>IFERROR(__xludf.DUMMYFUNCTION("""COMPUTED_VALUE"""),35.3)</f>
        <v>35.3</v>
      </c>
      <c r="AC388" s="16">
        <f>IFERROR(__xludf.DUMMYFUNCTION("""COMPUTED_VALUE"""),18.8)</f>
        <v>18.8</v>
      </c>
      <c r="AD388" s="16">
        <f>IFERROR(__xludf.DUMMYFUNCTION("""COMPUTED_VALUE"""),1.0)</f>
        <v>1</v>
      </c>
      <c r="AE388" s="16">
        <f>IFERROR(__xludf.DUMMYFUNCTION("""COMPUTED_VALUE"""),-2.0)</f>
        <v>-2</v>
      </c>
      <c r="AF388" s="16">
        <f>IFERROR(__xludf.DUMMYFUNCTION("""COMPUTED_VALUE"""),5.0)</f>
        <v>5</v>
      </c>
      <c r="AG388" s="16">
        <f>IFERROR(__xludf.DUMMYFUNCTION("""COMPUTED_VALUE"""),-10.0)</f>
        <v>-10</v>
      </c>
      <c r="AH388" s="16">
        <f>IFERROR(__xludf.DUMMYFUNCTION("""COMPUTED_VALUE"""),34.0)</f>
        <v>34</v>
      </c>
      <c r="AI388" s="16">
        <f>IFERROR(__xludf.DUMMYFUNCTION("""COMPUTED_VALUE"""),24.0)</f>
        <v>24</v>
      </c>
      <c r="AJ388" s="16">
        <f>IFERROR(__xludf.DUMMYFUNCTION("""COMPUTED_VALUE"""),0.0)</f>
        <v>0</v>
      </c>
      <c r="AK388" s="16">
        <f>IFERROR(__xludf.DUMMYFUNCTION("""COMPUTED_VALUE"""),-1.0)</f>
        <v>-1</v>
      </c>
      <c r="AL388" s="16">
        <f>IFERROR(__xludf.DUMMYFUNCTION("""COMPUTED_VALUE"""),0.0)</f>
        <v>0</v>
      </c>
      <c r="AM388" s="16">
        <f>IFERROR(__xludf.DUMMYFUNCTION("""COMPUTED_VALUE"""),-5.0)</f>
        <v>-5</v>
      </c>
      <c r="AN388" s="16">
        <f>IFERROR(__xludf.DUMMYFUNCTION("""COMPUTED_VALUE"""),0.5)</f>
        <v>0.5</v>
      </c>
      <c r="AO388" s="16">
        <f>IFERROR(__xludf.DUMMYFUNCTION("""COMPUTED_VALUE"""),1.3)</f>
        <v>1.3</v>
      </c>
      <c r="AP388" s="16">
        <f>IFERROR(__xludf.DUMMYFUNCTION("""COMPUTED_VALUE"""),-2.0)</f>
        <v>-2</v>
      </c>
      <c r="AQ388" s="16">
        <f>IFERROR(__xludf.DUMMYFUNCTION("""COMPUTED_VALUE"""),-1.0)</f>
        <v>-1</v>
      </c>
      <c r="AR388" s="16">
        <f>IFERROR(__xludf.DUMMYFUNCTION("""COMPUTED_VALUE"""),-4.0)</f>
        <v>-4</v>
      </c>
      <c r="AS388" s="16">
        <f>IFERROR(__xludf.DUMMYFUNCTION("""COMPUTED_VALUE"""),-2.0)</f>
        <v>-2</v>
      </c>
      <c r="AT388" s="16">
        <f>IFERROR(__xludf.DUMMYFUNCTION("""COMPUTED_VALUE"""),0.0)</f>
        <v>0</v>
      </c>
      <c r="AU388" s="16"/>
      <c r="AV388" s="16">
        <f>IFERROR(__xludf.DUMMYFUNCTION("""COMPUTED_VALUE"""),0.0)</f>
        <v>0</v>
      </c>
      <c r="AW388" s="16">
        <f>IFERROR(__xludf.DUMMYFUNCTION("""COMPUTED_VALUE"""),-3.0)</f>
        <v>-3</v>
      </c>
      <c r="AX388" s="16">
        <f>IFERROR(__xludf.DUMMYFUNCTION("""COMPUTED_VALUE"""),-2.0)</f>
        <v>-2</v>
      </c>
      <c r="AY388" s="16">
        <f>IFERROR(__xludf.DUMMYFUNCTION("""COMPUTED_VALUE"""),-3.0)</f>
        <v>-3</v>
      </c>
      <c r="AZ388" s="16">
        <f>IFERROR(__xludf.DUMMYFUNCTION("""COMPUTED_VALUE"""),-6.0)</f>
        <v>-6</v>
      </c>
      <c r="BA388" s="16">
        <f>IFERROR(__xludf.DUMMYFUNCTION("""COMPUTED_VALUE"""),-9.0)</f>
        <v>-9</v>
      </c>
      <c r="BB388" s="16">
        <f>IFERROR(__xludf.DUMMYFUNCTION("""COMPUTED_VALUE"""),5.0)</f>
        <v>5</v>
      </c>
      <c r="BC388" s="16">
        <f>IFERROR(__xludf.DUMMYFUNCTION("""COMPUTED_VALUE"""),5.0)</f>
        <v>5</v>
      </c>
      <c r="BD388" s="16">
        <f>IFERROR(__xludf.DUMMYFUNCTION("""COMPUTED_VALUE"""),1.0)</f>
        <v>1</v>
      </c>
      <c r="BE388" s="16">
        <f>IFERROR(__xludf.DUMMYFUNCTION("""COMPUTED_VALUE"""),1.0)</f>
        <v>1</v>
      </c>
      <c r="BF388" s="16">
        <f>IFERROR(__xludf.DUMMYFUNCTION("""COMPUTED_VALUE"""),1.0)</f>
        <v>1</v>
      </c>
      <c r="BG388" s="16">
        <f>IFERROR(__xludf.DUMMYFUNCTION("""COMPUTED_VALUE"""),1.0)</f>
        <v>1</v>
      </c>
      <c r="BH388" s="16">
        <f>IFERROR(__xludf.DUMMYFUNCTION("""COMPUTED_VALUE"""),0.0)</f>
        <v>0</v>
      </c>
      <c r="BI388" s="16">
        <f>IFERROR(__xludf.DUMMYFUNCTION("""COMPUTED_VALUE"""),0.0)</f>
        <v>0</v>
      </c>
      <c r="BJ388" s="16">
        <f>IFERROR(__xludf.DUMMYFUNCTION("""COMPUTED_VALUE"""),21.0)</f>
        <v>21</v>
      </c>
      <c r="BK388" s="16">
        <f>IFERROR(__xludf.DUMMYFUNCTION("""COMPUTED_VALUE"""),23.0)</f>
        <v>23</v>
      </c>
      <c r="BL388" s="16">
        <f>IFERROR(__xludf.DUMMYFUNCTION("""COMPUTED_VALUE"""),-2.0)</f>
        <v>-2</v>
      </c>
      <c r="BM388" s="16">
        <f>IFERROR(__xludf.DUMMYFUNCTION("""COMPUTED_VALUE"""),-2.0)</f>
        <v>-2</v>
      </c>
      <c r="BN388" s="16">
        <f>IFERROR(__xludf.DUMMYFUNCTION("""COMPUTED_VALUE"""),-4.0)</f>
        <v>-4</v>
      </c>
      <c r="BO388" s="16">
        <f>IFERROR(__xludf.DUMMYFUNCTION("""COMPUTED_VALUE"""),-4.0)</f>
        <v>-4</v>
      </c>
      <c r="BP388" s="16">
        <f>IFERROR(__xludf.DUMMYFUNCTION("""COMPUTED_VALUE"""),-1.0)</f>
        <v>-1</v>
      </c>
      <c r="BQ388" s="16">
        <f>IFERROR(__xludf.DUMMYFUNCTION("""COMPUTED_VALUE"""),-10.0)</f>
        <v>-10</v>
      </c>
      <c r="BR388" s="16">
        <f>IFERROR(__xludf.DUMMYFUNCTION("""COMPUTED_VALUE"""),-11.0)</f>
        <v>-11</v>
      </c>
      <c r="BS388" s="16" t="str">
        <f>IFERROR(__xludf.DUMMYFUNCTION("""COMPUTED_VALUE"""),"3/- (20-6)")</f>
        <v>3/- (20-6)</v>
      </c>
      <c r="BT388" s="16" t="str">
        <f>IFERROR(__xludf.DUMMYFUNCTION("""COMPUTED_VALUE"""),"C")</f>
        <v>C</v>
      </c>
      <c r="BU388" s="16">
        <f>IFERROR(__xludf.DUMMYFUNCTION("""COMPUTED_VALUE"""),14.0)</f>
        <v>14</v>
      </c>
      <c r="BV388" s="16">
        <f>IFERROR(__xludf.DUMMYFUNCTION("""COMPUTED_VALUE"""),0.0)</f>
        <v>0</v>
      </c>
      <c r="BW388" s="16">
        <f>IFERROR(__xludf.DUMMYFUNCTION("""COMPUTED_VALUE"""),1.0)</f>
        <v>1</v>
      </c>
      <c r="BX388" s="16">
        <f>IFERROR(__xludf.DUMMYFUNCTION("""COMPUTED_VALUE"""),0.0)</f>
        <v>0</v>
      </c>
      <c r="BY388" s="16">
        <f>IFERROR(__xludf.DUMMYFUNCTION("""COMPUTED_VALUE"""),3.0)</f>
        <v>3</v>
      </c>
      <c r="BZ388" s="16" t="str">
        <f>IFERROR(__xludf.DUMMYFUNCTION("""COMPUTED_VALUE"""),"D")</f>
        <v>D</v>
      </c>
      <c r="CA388" s="16" t="str">
        <f>IFERROR(__xludf.DUMMYFUNCTION("""COMPUTED_VALUE"""),"C")</f>
        <v>C</v>
      </c>
      <c r="CB388" s="16">
        <f>IFERROR(__xludf.DUMMYFUNCTION("""COMPUTED_VALUE"""),0.0)</f>
        <v>0</v>
      </c>
      <c r="CC388" s="16">
        <f>IFERROR(__xludf.DUMMYFUNCTION("""COMPUTED_VALUE"""),0.0)</f>
        <v>0</v>
      </c>
      <c r="CD388" s="16">
        <f>IFERROR(__xludf.DUMMYFUNCTION("""COMPUTED_VALUE"""),0.0)</f>
        <v>0</v>
      </c>
      <c r="CE388" s="16">
        <f>IFERROR(__xludf.DUMMYFUNCTION("""COMPUTED_VALUE"""),0.0)</f>
        <v>0</v>
      </c>
      <c r="CF388" s="16">
        <f>IFERROR(__xludf.DUMMYFUNCTION("""COMPUTED_VALUE"""),1.0)</f>
        <v>1</v>
      </c>
      <c r="CG388" s="16">
        <f>IFERROR(__xludf.DUMMYFUNCTION("""COMPUTED_VALUE"""),-4.0)</f>
        <v>-4</v>
      </c>
      <c r="CH388" s="16">
        <f>IFERROR(__xludf.DUMMYFUNCTION("""COMPUTED_VALUE"""),-32.0)</f>
        <v>-32</v>
      </c>
      <c r="CI388" s="179">
        <f>IFERROR(__xludf.DUMMYFUNCTION("""COMPUTED_VALUE"""),-19.0)</f>
        <v>-19</v>
      </c>
      <c r="CJ388" s="16"/>
      <c r="CK388" s="16"/>
      <c r="CL388" s="16"/>
      <c r="CM388" s="16"/>
      <c r="CN388" s="16"/>
      <c r="CO388" s="16">
        <f>IFERROR(__xludf.DUMMYFUNCTION("""COMPUTED_VALUE"""),406.0)</f>
        <v>406</v>
      </c>
      <c r="CP388" s="16">
        <f>IFERROR(__xludf.DUMMYFUNCTION("""COMPUTED_VALUE"""),406.0)</f>
        <v>406</v>
      </c>
      <c r="CQ388" s="16">
        <f>IFERROR(__xludf.DUMMYFUNCTION("""COMPUTED_VALUE"""),406.0)</f>
        <v>406</v>
      </c>
      <c r="CR388" s="16" t="str">
        <f>IFERROR(__xludf.DUMMYFUNCTION("""COMPUTED_VALUE"""),"lf-4(-1)e6 rf-4e6 cf-4e6")</f>
        <v>lf-4(-1)e6 rf-4e6 cf-4e6</v>
      </c>
      <c r="CS388" s="16"/>
      <c r="CT388" s="16"/>
      <c r="CU388" s="16"/>
      <c r="CV388" s="16"/>
      <c r="CW388" s="16"/>
      <c r="CX388" s="16">
        <f>IFERROR(__xludf.DUMMYFUNCTION("""COMPUTED_VALUE"""),4.0)</f>
        <v>4</v>
      </c>
      <c r="CY388" s="16">
        <f>IFERROR(__xludf.DUMMYFUNCTION("""COMPUTED_VALUE"""),4.0)</f>
        <v>4</v>
      </c>
      <c r="CZ388" s="16">
        <f>IFERROR(__xludf.DUMMYFUNCTION("""COMPUTED_VALUE"""),4.0)</f>
        <v>4</v>
      </c>
      <c r="DA388" s="16"/>
      <c r="DB388" s="16"/>
      <c r="DC388" s="16"/>
      <c r="DD388" s="16"/>
      <c r="DE388" s="16"/>
      <c r="DF388" s="16">
        <f>IFERROR(__xludf.DUMMYFUNCTION("""COMPUTED_VALUE"""),6.0)</f>
        <v>6</v>
      </c>
      <c r="DG388" s="16">
        <f>IFERROR(__xludf.DUMMYFUNCTION("""COMPUTED_VALUE"""),6.0)</f>
        <v>6</v>
      </c>
      <c r="DH388" s="16">
        <f>IFERROR(__xludf.DUMMYFUNCTION("""COMPUTED_VALUE"""),6.0)</f>
        <v>6</v>
      </c>
      <c r="DI388" s="16"/>
      <c r="DJ388" s="16"/>
      <c r="DK388" s="16"/>
      <c r="DL388" s="16"/>
      <c r="DM388" s="16"/>
      <c r="DN388" s="16">
        <f>IFERROR(__xludf.DUMMYFUNCTION("""COMPUTED_VALUE"""),-1.0)</f>
        <v>-1</v>
      </c>
      <c r="DO388" s="16">
        <f>IFERROR(__xludf.DUMMYFUNCTION("""COMPUTED_VALUE"""),-2.0)</f>
        <v>-2</v>
      </c>
      <c r="DP388" s="16">
        <f>IFERROR(__xludf.DUMMYFUNCTION("""COMPUTED_VALUE"""),-1.0)</f>
        <v>-1</v>
      </c>
      <c r="DQ388" s="16"/>
      <c r="DR388" s="16"/>
      <c r="DS388" s="16"/>
      <c r="DT388" s="16"/>
      <c r="DU388" s="16"/>
      <c r="DV388" s="16">
        <f>IFERROR(__xludf.DUMMYFUNCTION("""COMPUTED_VALUE"""),2.0)</f>
        <v>2</v>
      </c>
      <c r="DW388" s="16">
        <f>IFERROR(__xludf.DUMMYFUNCTION("""COMPUTED_VALUE"""),3.0)</f>
        <v>3</v>
      </c>
      <c r="DX388" s="16">
        <f>IFERROR(__xludf.DUMMYFUNCTION("""COMPUTED_VALUE"""),2.0)</f>
        <v>2</v>
      </c>
      <c r="DY388" s="16"/>
      <c r="DZ388" s="16"/>
      <c r="EA388" s="16"/>
      <c r="EB388" s="16"/>
      <c r="EC388" s="16"/>
      <c r="ED388" s="16">
        <f>IFERROR(__xludf.DUMMYFUNCTION("""COMPUTED_VALUE"""),1.0)</f>
        <v>1</v>
      </c>
      <c r="EE388" s="16">
        <f>IFERROR(__xludf.DUMMYFUNCTION("""COMPUTED_VALUE"""),1.0)</f>
        <v>1</v>
      </c>
      <c r="EF388" s="16">
        <f>IFERROR(__xludf.DUMMYFUNCTION("""COMPUTED_VALUE"""),1.0)</f>
        <v>1</v>
      </c>
      <c r="EG388" s="179"/>
      <c r="EH388" s="179"/>
      <c r="EI388" s="179"/>
      <c r="EJ388" s="179"/>
      <c r="EK388" s="179"/>
      <c r="EL388" s="179">
        <f>IFERROR(__xludf.DUMMYFUNCTION("""COMPUTED_VALUE"""),-18.0)</f>
        <v>-18</v>
      </c>
      <c r="EM388" s="179">
        <f>IFERROR(__xludf.DUMMYFUNCTION("""COMPUTED_VALUE"""),-18.0)</f>
        <v>-18</v>
      </c>
      <c r="EN388" s="179">
        <f>IFERROR(__xludf.DUMMYFUNCTION("""COMPUTED_VALUE"""),-18.0)</f>
        <v>-18</v>
      </c>
      <c r="EO388" s="16"/>
      <c r="EP388" s="16">
        <f>IFERROR(__xludf.DUMMYFUNCTION("""COMPUTED_VALUE"""),-2.0)</f>
        <v>-2</v>
      </c>
      <c r="EQ388" s="16">
        <f>IFERROR(__xludf.DUMMYFUNCTION("""COMPUTED_VALUE"""),4.0)</f>
        <v>4</v>
      </c>
      <c r="ER388" s="16">
        <f>IFERROR(__xludf.DUMMYFUNCTION("""COMPUTED_VALUE"""),1.0)</f>
        <v>1</v>
      </c>
      <c r="ES388" s="16"/>
      <c r="ET388" s="16"/>
      <c r="EU388" s="16"/>
      <c r="EV388" s="16"/>
      <c r="EW388" s="16"/>
      <c r="EX388" s="180"/>
      <c r="EY388" s="180"/>
      <c r="EZ388" s="180"/>
      <c r="FA388" s="180"/>
      <c r="FB388" s="180"/>
      <c r="FC388" s="180">
        <f>IFERROR(__xludf.DUMMYFUNCTION("""COMPUTED_VALUE"""),0.55)</f>
        <v>0.55</v>
      </c>
      <c r="FD388" s="180">
        <f>IFERROR(__xludf.DUMMYFUNCTION("""COMPUTED_VALUE"""),0.55)</f>
        <v>0.55</v>
      </c>
      <c r="FE388" s="180">
        <f>IFERROR(__xludf.DUMMYFUNCTION("""COMPUTED_VALUE"""),0.55)</f>
        <v>0.55</v>
      </c>
      <c r="FF388" s="180"/>
      <c r="FG388" s="180"/>
      <c r="FH388" s="180"/>
      <c r="FI388" s="180"/>
      <c r="FJ388" s="180"/>
      <c r="FK388" s="180">
        <f>IFERROR(__xludf.DUMMYFUNCTION("""COMPUTED_VALUE"""),0.106)</f>
        <v>0.106</v>
      </c>
      <c r="FL388" s="180">
        <f>IFERROR(__xludf.DUMMYFUNCTION("""COMPUTED_VALUE"""),0.06944444444444445)</f>
        <v>0.06944444444</v>
      </c>
      <c r="FM388" s="180">
        <f>IFERROR(__xludf.DUMMYFUNCTION("""COMPUTED_VALUE"""),0.106)</f>
        <v>0.106</v>
      </c>
      <c r="FN388" s="16"/>
      <c r="FO388" s="16"/>
      <c r="FP388" s="16"/>
      <c r="FQ388" s="16"/>
      <c r="FR388" s="16"/>
      <c r="FS388" s="16">
        <f>IFERROR(__xludf.DUMMYFUNCTION("""COMPUTED_VALUE"""),0.4023)</f>
        <v>0.4023</v>
      </c>
      <c r="FT388" s="16">
        <f>IFERROR(__xludf.DUMMYFUNCTION("""COMPUTED_VALUE"""),0.41874999999999996)</f>
        <v>0.41875</v>
      </c>
      <c r="FU388" s="16">
        <f>IFERROR(__xludf.DUMMYFUNCTION("""COMPUTED_VALUE"""),0.4023)</f>
        <v>0.4023</v>
      </c>
      <c r="FV388" s="16"/>
      <c r="FW388" s="16"/>
      <c r="FX388" s="16"/>
      <c r="FY388" s="16"/>
      <c r="FZ388" s="16"/>
      <c r="GA388" s="16">
        <f>IFERROR(__xludf.DUMMYFUNCTION("""COMPUTED_VALUE"""),-6.0)</f>
        <v>-6</v>
      </c>
      <c r="GB388" s="16">
        <f>IFERROR(__xludf.DUMMYFUNCTION("""COMPUTED_VALUE"""),-6.0)</f>
        <v>-6</v>
      </c>
      <c r="GC388" s="16">
        <f>IFERROR(__xludf.DUMMYFUNCTION("""COMPUTED_VALUE"""),-6.0)</f>
        <v>-6</v>
      </c>
      <c r="GD388" s="16" t="s">
        <v>176</v>
      </c>
    </row>
    <row r="389">
      <c r="A389" s="16">
        <f>IFERROR(__xludf.DUMMYFUNCTION("""COMPUTED_VALUE"""),12615.0)</f>
        <v>12615</v>
      </c>
      <c r="B389" s="16" t="str">
        <f>IFERROR(__xludf.DUMMYFUNCTION("""COMPUTED_VALUE"""),"Brett Harris")</f>
        <v>Brett Harris</v>
      </c>
      <c r="C389" s="16">
        <f>IFERROR(__xludf.DUMMYFUNCTION("""COMPUTED_VALUE"""),0.0)</f>
        <v>0</v>
      </c>
      <c r="D389" s="16" t="str">
        <f>IFERROR(__xludf.DUMMYFUNCTION("""COMPUTED_VALUE"""),"R")</f>
        <v>R</v>
      </c>
      <c r="E389" s="16"/>
      <c r="F389" s="16"/>
      <c r="G389" s="16">
        <f>IFERROR(__xludf.DUMMYFUNCTION("""COMPUTED_VALUE"""),103.0)</f>
        <v>103</v>
      </c>
      <c r="H389" s="16">
        <f>IFERROR(__xludf.DUMMYFUNCTION("""COMPUTED_VALUE"""),17.0)</f>
        <v>17</v>
      </c>
      <c r="I389" s="16" t="str">
        <f>IFERROR(__xludf.DUMMYFUNCTION("""COMPUTED_VALUE"""),"1p20")</f>
        <v>1p20</v>
      </c>
      <c r="J389" s="16">
        <f>IFERROR(__xludf.DUMMYFUNCTION("""COMPUTED_VALUE"""),31.0)</f>
        <v>31</v>
      </c>
      <c r="K389" s="16">
        <f>IFERROR(__xludf.DUMMYFUNCTION("""COMPUTED_VALUE"""),14.0)</f>
        <v>14</v>
      </c>
      <c r="L389" s="16">
        <f>IFERROR(__xludf.DUMMYFUNCTION("""COMPUTED_VALUE"""),0.0)</f>
        <v>0</v>
      </c>
      <c r="M389" s="16">
        <f>IFERROR(__xludf.DUMMYFUNCTION("""COMPUTED_VALUE"""),1.0)</f>
        <v>1</v>
      </c>
      <c r="N389" s="16">
        <f>IFERROR(__xludf.DUMMYFUNCTION("""COMPUTED_VALUE"""),0.0)</f>
        <v>0</v>
      </c>
      <c r="O389" s="16">
        <f>IFERROR(__xludf.DUMMYFUNCTION("""COMPUTED_VALUE"""),1.0)</f>
        <v>1</v>
      </c>
      <c r="P389" s="16">
        <f>IFERROR(__xludf.DUMMYFUNCTION("""COMPUTED_VALUE"""),16.0)</f>
        <v>16</v>
      </c>
      <c r="Q389" s="16">
        <f>IFERROR(__xludf.DUMMYFUNCTION("""COMPUTED_VALUE"""),24.0)</f>
        <v>24</v>
      </c>
      <c r="R389" s="16">
        <f>IFERROR(__xludf.DUMMYFUNCTION("""COMPUTED_VALUE"""),2.0)</f>
        <v>2</v>
      </c>
      <c r="S389" s="16">
        <f>IFERROR(__xludf.DUMMYFUNCTION("""COMPUTED_VALUE"""),3.0)</f>
        <v>3</v>
      </c>
      <c r="T389" s="16">
        <f>IFERROR(__xludf.DUMMYFUNCTION("""COMPUTED_VALUE"""),2.0)</f>
        <v>2</v>
      </c>
      <c r="U389" s="16">
        <f>IFERROR(__xludf.DUMMYFUNCTION("""COMPUTED_VALUE"""),3.0)</f>
        <v>3</v>
      </c>
      <c r="V389" s="16">
        <f>IFERROR(__xludf.DUMMYFUNCTION("""COMPUTED_VALUE"""),0.3)</f>
        <v>0.3</v>
      </c>
      <c r="W389" s="16">
        <f>IFERROR(__xludf.DUMMYFUNCTION("""COMPUTED_VALUE"""),1.9)</f>
        <v>1.9</v>
      </c>
      <c r="X389" s="16">
        <f>IFERROR(__xludf.DUMMYFUNCTION("""COMPUTED_VALUE"""),-2.0)</f>
        <v>-2</v>
      </c>
      <c r="Y389" s="16">
        <f>IFERROR(__xludf.DUMMYFUNCTION("""COMPUTED_VALUE"""),-3.0)</f>
        <v>-3</v>
      </c>
      <c r="Z389" s="16">
        <f>IFERROR(__xludf.DUMMYFUNCTION("""COMPUTED_VALUE"""),-4.0)</f>
        <v>-4</v>
      </c>
      <c r="AA389" s="16">
        <f>IFERROR(__xludf.DUMMYFUNCTION("""COMPUTED_VALUE"""),-6.0)</f>
        <v>-6</v>
      </c>
      <c r="AB389" s="16">
        <f>IFERROR(__xludf.DUMMYFUNCTION("""COMPUTED_VALUE"""),20.4)</f>
        <v>20.4</v>
      </c>
      <c r="AC389" s="16">
        <f>IFERROR(__xludf.DUMMYFUNCTION("""COMPUTED_VALUE"""),29.9)</f>
        <v>29.9</v>
      </c>
      <c r="AD389" s="16">
        <f>IFERROR(__xludf.DUMMYFUNCTION("""COMPUTED_VALUE"""),-1.0)</f>
        <v>-1</v>
      </c>
      <c r="AE389" s="16">
        <f>IFERROR(__xludf.DUMMYFUNCTION("""COMPUTED_VALUE"""),0.0)</f>
        <v>0</v>
      </c>
      <c r="AF389" s="16">
        <f>IFERROR(__xludf.DUMMYFUNCTION("""COMPUTED_VALUE"""),-5.0)</f>
        <v>-5</v>
      </c>
      <c r="AG389" s="16">
        <f>IFERROR(__xludf.DUMMYFUNCTION("""COMPUTED_VALUE"""),0.0)</f>
        <v>0</v>
      </c>
      <c r="AH389" s="16">
        <f>IFERROR(__xludf.DUMMYFUNCTION("""COMPUTED_VALUE"""),1.4)</f>
        <v>1.4</v>
      </c>
      <c r="AI389" s="16">
        <f>IFERROR(__xludf.DUMMYFUNCTION("""COMPUTED_VALUE"""),7.6)</f>
        <v>7.6</v>
      </c>
      <c r="AJ389" s="16">
        <f>IFERROR(__xludf.DUMMYFUNCTION("""COMPUTED_VALUE"""),-2.0)</f>
        <v>-2</v>
      </c>
      <c r="AK389" s="16">
        <f>IFERROR(__xludf.DUMMYFUNCTION("""COMPUTED_VALUE"""),-2.0)</f>
        <v>-2</v>
      </c>
      <c r="AL389" s="16">
        <f>IFERROR(__xludf.DUMMYFUNCTION("""COMPUTED_VALUE"""),-10.0)</f>
        <v>-10</v>
      </c>
      <c r="AM389" s="16">
        <f>IFERROR(__xludf.DUMMYFUNCTION("""COMPUTED_VALUE"""),-10.0)</f>
        <v>-10</v>
      </c>
      <c r="AN389" s="16">
        <f>IFERROR(__xludf.DUMMYFUNCTION("""COMPUTED_VALUE"""),0.3)</f>
        <v>0.3</v>
      </c>
      <c r="AO389" s="16">
        <f>IFERROR(__xludf.DUMMYFUNCTION("""COMPUTED_VALUE"""),1.9)</f>
        <v>1.9</v>
      </c>
      <c r="AP389" s="16">
        <f>IFERROR(__xludf.DUMMYFUNCTION("""COMPUTED_VALUE"""),-2.0)</f>
        <v>-2</v>
      </c>
      <c r="AQ389" s="16">
        <f>IFERROR(__xludf.DUMMYFUNCTION("""COMPUTED_VALUE"""),-1.0)</f>
        <v>-1</v>
      </c>
      <c r="AR389" s="16">
        <f>IFERROR(__xludf.DUMMYFUNCTION("""COMPUTED_VALUE"""),-4.0)</f>
        <v>-4</v>
      </c>
      <c r="AS389" s="16">
        <f>IFERROR(__xludf.DUMMYFUNCTION("""COMPUTED_VALUE"""),-2.0)</f>
        <v>-2</v>
      </c>
      <c r="AT389" s="16"/>
      <c r="AU389" s="16"/>
      <c r="AV389" s="16">
        <f>IFERROR(__xludf.DUMMYFUNCTION("""COMPUTED_VALUE"""),0.0)</f>
        <v>0</v>
      </c>
      <c r="AW389" s="16">
        <f>IFERROR(__xludf.DUMMYFUNCTION("""COMPUTED_VALUE"""),3.0)</f>
        <v>3</v>
      </c>
      <c r="AX389" s="16">
        <f>IFERROR(__xludf.DUMMYFUNCTION("""COMPUTED_VALUE"""),-2.0)</f>
        <v>-2</v>
      </c>
      <c r="AY389" s="16">
        <f>IFERROR(__xludf.DUMMYFUNCTION("""COMPUTED_VALUE"""),0.0)</f>
        <v>0</v>
      </c>
      <c r="AZ389" s="16">
        <f>IFERROR(__xludf.DUMMYFUNCTION("""COMPUTED_VALUE"""),-6.0)</f>
        <v>-6</v>
      </c>
      <c r="BA389" s="16">
        <f>IFERROR(__xludf.DUMMYFUNCTION("""COMPUTED_VALUE"""),0.0)</f>
        <v>0</v>
      </c>
      <c r="BB389" s="16">
        <f>IFERROR(__xludf.DUMMYFUNCTION("""COMPUTED_VALUE"""),0.0)</f>
        <v>0</v>
      </c>
      <c r="BC389" s="16">
        <f>IFERROR(__xludf.DUMMYFUNCTION("""COMPUTED_VALUE"""),0.0)</f>
        <v>0</v>
      </c>
      <c r="BD389" s="16">
        <f>IFERROR(__xludf.DUMMYFUNCTION("""COMPUTED_VALUE"""),0.0)</f>
        <v>0</v>
      </c>
      <c r="BE389" s="16">
        <f>IFERROR(__xludf.DUMMYFUNCTION("""COMPUTED_VALUE"""),0.0)</f>
        <v>0</v>
      </c>
      <c r="BF389" s="16">
        <f>IFERROR(__xludf.DUMMYFUNCTION("""COMPUTED_VALUE"""),0.0)</f>
        <v>0</v>
      </c>
      <c r="BG389" s="16">
        <f>IFERROR(__xludf.DUMMYFUNCTION("""COMPUTED_VALUE"""),0.0)</f>
        <v>0</v>
      </c>
      <c r="BH389" s="16">
        <f>IFERROR(__xludf.DUMMYFUNCTION("""COMPUTED_VALUE"""),0.0)</f>
        <v>0</v>
      </c>
      <c r="BI389" s="16">
        <f>IFERROR(__xludf.DUMMYFUNCTION("""COMPUTED_VALUE"""),0.0)</f>
        <v>0</v>
      </c>
      <c r="BJ389" s="16">
        <f>IFERROR(__xludf.DUMMYFUNCTION("""COMPUTED_VALUE"""),18.0)</f>
        <v>18</v>
      </c>
      <c r="BK389" s="16">
        <f>IFERROR(__xludf.DUMMYFUNCTION("""COMPUTED_VALUE"""),16.0)</f>
        <v>16</v>
      </c>
      <c r="BL389" s="16">
        <f>IFERROR(__xludf.DUMMYFUNCTION("""COMPUTED_VALUE"""),-1.0)</f>
        <v>-1</v>
      </c>
      <c r="BM389" s="16">
        <f>IFERROR(__xludf.DUMMYFUNCTION("""COMPUTED_VALUE"""),-1.0)</f>
        <v>-1</v>
      </c>
      <c r="BN389" s="16">
        <f>IFERROR(__xludf.DUMMYFUNCTION("""COMPUTED_VALUE"""),-2.0)</f>
        <v>-2</v>
      </c>
      <c r="BO389" s="16">
        <f>IFERROR(__xludf.DUMMYFUNCTION("""COMPUTED_VALUE"""),-2.0)</f>
        <v>-2</v>
      </c>
      <c r="BP389" s="16">
        <f>IFERROR(__xludf.DUMMYFUNCTION("""COMPUTED_VALUE"""),-8.0)</f>
        <v>-8</v>
      </c>
      <c r="BQ389" s="16">
        <f>IFERROR(__xludf.DUMMYFUNCTION("""COMPUTED_VALUE"""),-3.0)</f>
        <v>-3</v>
      </c>
      <c r="BR389" s="16">
        <f>IFERROR(__xludf.DUMMYFUNCTION("""COMPUTED_VALUE"""),-11.0)</f>
        <v>-11</v>
      </c>
      <c r="BS389" s="16" t="str">
        <f>IFERROR(__xludf.DUMMYFUNCTION("""COMPUTED_VALUE"""),"2-12/- (3-1)")</f>
        <v>2-12/- (3-1)</v>
      </c>
      <c r="BT389" s="16" t="str">
        <f>IFERROR(__xludf.DUMMYFUNCTION("""COMPUTED_VALUE"""),"E")</f>
        <v>E</v>
      </c>
      <c r="BU389" s="16">
        <f>IFERROR(__xludf.DUMMYFUNCTION("""COMPUTED_VALUE"""),11.0)</f>
        <v>11</v>
      </c>
      <c r="BV389" s="16">
        <f>IFERROR(__xludf.DUMMYFUNCTION("""COMPUTED_VALUE"""),0.0)</f>
        <v>0</v>
      </c>
      <c r="BW389" s="16">
        <f>IFERROR(__xludf.DUMMYFUNCTION("""COMPUTED_VALUE"""),0.0)</f>
        <v>0</v>
      </c>
      <c r="BX389" s="16">
        <f>IFERROR(__xludf.DUMMYFUNCTION("""COMPUTED_VALUE"""),0.0)</f>
        <v>0</v>
      </c>
      <c r="BY389" s="16">
        <f>IFERROR(__xludf.DUMMYFUNCTION("""COMPUTED_VALUE"""),0.0)</f>
        <v>0</v>
      </c>
      <c r="BZ389" s="16" t="str">
        <f>IFERROR(__xludf.DUMMYFUNCTION("""COMPUTED_VALUE"""),"D")</f>
        <v>D</v>
      </c>
      <c r="CA389" s="16" t="str">
        <f>IFERROR(__xludf.DUMMYFUNCTION("""COMPUTED_VALUE"""),"C")</f>
        <v>C</v>
      </c>
      <c r="CB389" s="16">
        <f>IFERROR(__xludf.DUMMYFUNCTION("""COMPUTED_VALUE"""),0.0)</f>
        <v>0</v>
      </c>
      <c r="CC389" s="16">
        <f>IFERROR(__xludf.DUMMYFUNCTION("""COMPUTED_VALUE"""),0.0)</f>
        <v>0</v>
      </c>
      <c r="CD389" s="16">
        <f>IFERROR(__xludf.DUMMYFUNCTION("""COMPUTED_VALUE"""),0.0)</f>
        <v>0</v>
      </c>
      <c r="CE389" s="16">
        <f>IFERROR(__xludf.DUMMYFUNCTION("""COMPUTED_VALUE"""),0.0)</f>
        <v>0</v>
      </c>
      <c r="CF389" s="16">
        <f>IFERROR(__xludf.DUMMYFUNCTION("""COMPUTED_VALUE"""),1.0)</f>
        <v>1</v>
      </c>
      <c r="CG389" s="16">
        <f>IFERROR(__xludf.DUMMYFUNCTION("""COMPUTED_VALUE"""),-29.0)</f>
        <v>-29</v>
      </c>
      <c r="CH389" s="16">
        <f>IFERROR(__xludf.DUMMYFUNCTION("""COMPUTED_VALUE"""),-16.0)</f>
        <v>-16</v>
      </c>
      <c r="CI389" s="179">
        <f>IFERROR(__xludf.DUMMYFUNCTION("""COMPUTED_VALUE"""),-19.0)</f>
        <v>-19</v>
      </c>
      <c r="CJ389" s="16"/>
      <c r="CK389" s="16"/>
      <c r="CL389" s="16"/>
      <c r="CM389" s="16">
        <f>IFERROR(__xludf.DUMMYFUNCTION("""COMPUTED_VALUE"""),315.0)</f>
        <v>315</v>
      </c>
      <c r="CN389" s="16"/>
      <c r="CO389" s="16"/>
      <c r="CP389" s="16"/>
      <c r="CQ389" s="16"/>
      <c r="CR389" s="16" t="str">
        <f>IFERROR(__xludf.DUMMYFUNCTION("""COMPUTED_VALUE"""),"3b-3e15")</f>
        <v>3b-3e15</v>
      </c>
      <c r="CS389" s="16"/>
      <c r="CT389" s="16"/>
      <c r="CU389" s="16"/>
      <c r="CV389" s="16">
        <f>IFERROR(__xludf.DUMMYFUNCTION("""COMPUTED_VALUE"""),3.0)</f>
        <v>3</v>
      </c>
      <c r="CW389" s="16"/>
      <c r="CX389" s="16"/>
      <c r="CY389" s="16"/>
      <c r="CZ389" s="16"/>
      <c r="DA389" s="16"/>
      <c r="DB389" s="16"/>
      <c r="DC389" s="16"/>
      <c r="DD389" s="16">
        <f>IFERROR(__xludf.DUMMYFUNCTION("""COMPUTED_VALUE"""),15.0)</f>
        <v>15</v>
      </c>
      <c r="DE389" s="16"/>
      <c r="DF389" s="16"/>
      <c r="DG389" s="16"/>
      <c r="DH389" s="16"/>
      <c r="DI389" s="16"/>
      <c r="DJ389" s="16"/>
      <c r="DK389" s="16"/>
      <c r="DL389" s="16">
        <f>IFERROR(__xludf.DUMMYFUNCTION("""COMPUTED_VALUE"""),1.0)</f>
        <v>1</v>
      </c>
      <c r="DM389" s="16"/>
      <c r="DN389" s="16"/>
      <c r="DO389" s="16"/>
      <c r="DP389" s="16"/>
      <c r="DQ389" s="16"/>
      <c r="DR389" s="16"/>
      <c r="DS389" s="16"/>
      <c r="DT389" s="16">
        <f>IFERROR(__xludf.DUMMYFUNCTION("""COMPUTED_VALUE"""),1.0)</f>
        <v>1</v>
      </c>
      <c r="DU389" s="16"/>
      <c r="DV389" s="16"/>
      <c r="DW389" s="16"/>
      <c r="DX389" s="16"/>
      <c r="DY389" s="16"/>
      <c r="DZ389" s="16"/>
      <c r="EA389" s="16"/>
      <c r="EB389" s="16">
        <f>IFERROR(__xludf.DUMMYFUNCTION("""COMPUTED_VALUE"""),2.0)</f>
        <v>2</v>
      </c>
      <c r="EC389" s="16"/>
      <c r="ED389" s="16"/>
      <c r="EE389" s="16"/>
      <c r="EF389" s="16"/>
      <c r="EG389" s="179"/>
      <c r="EH389" s="179"/>
      <c r="EI389" s="179"/>
      <c r="EJ389" s="179">
        <f>IFERROR(__xludf.DUMMYFUNCTION("""COMPUTED_VALUE"""),-17.0)</f>
        <v>-17</v>
      </c>
      <c r="EK389" s="179"/>
      <c r="EL389" s="179"/>
      <c r="EM389" s="179"/>
      <c r="EN389" s="179"/>
      <c r="EO389" s="16"/>
      <c r="EP389" s="16"/>
      <c r="EQ389" s="16">
        <f>IFERROR(__xludf.DUMMYFUNCTION("""COMPUTED_VALUE"""),4.0)</f>
        <v>4</v>
      </c>
      <c r="ER389" s="16">
        <f>IFERROR(__xludf.DUMMYFUNCTION("""COMPUTED_VALUE"""),-4.0)</f>
        <v>-4</v>
      </c>
      <c r="ES389" s="16"/>
      <c r="ET389" s="16"/>
      <c r="EU389" s="16"/>
      <c r="EV389" s="16"/>
      <c r="EW389" s="16"/>
      <c r="EX389" s="180"/>
      <c r="EY389" s="180"/>
      <c r="EZ389" s="180"/>
      <c r="FA389" s="180">
        <f>IFERROR(__xludf.DUMMYFUNCTION("""COMPUTED_VALUE"""),0.2)</f>
        <v>0.2</v>
      </c>
      <c r="FB389" s="180"/>
      <c r="FC389" s="180"/>
      <c r="FD389" s="180"/>
      <c r="FE389" s="180"/>
      <c r="FF389" s="180"/>
      <c r="FG389" s="180"/>
      <c r="FH389" s="180"/>
      <c r="FI389" s="180">
        <f>IFERROR(__xludf.DUMMYFUNCTION("""COMPUTED_VALUE"""),0.18055555555555555)</f>
        <v>0.1805555556</v>
      </c>
      <c r="FJ389" s="180"/>
      <c r="FK389" s="180"/>
      <c r="FL389" s="180"/>
      <c r="FM389" s="180"/>
      <c r="FN389" s="16"/>
      <c r="FO389" s="16"/>
      <c r="FP389" s="16"/>
      <c r="FQ389" s="16">
        <f>IFERROR(__xludf.DUMMYFUNCTION("""COMPUTED_VALUE"""),0.6555555555555556)</f>
        <v>0.6555555556</v>
      </c>
      <c r="FR389" s="16"/>
      <c r="FS389" s="16"/>
      <c r="FT389" s="16"/>
      <c r="FU389" s="16"/>
      <c r="FV389" s="16"/>
      <c r="FW389" s="16"/>
      <c r="FX389" s="16"/>
      <c r="FY389" s="16">
        <f>IFERROR(__xludf.DUMMYFUNCTION("""COMPUTED_VALUE"""),-4.0)</f>
        <v>-4</v>
      </c>
      <c r="FZ389" s="16"/>
      <c r="GA389" s="16"/>
      <c r="GB389" s="16"/>
      <c r="GC389" s="16"/>
      <c r="GD389" s="16" t="s">
        <v>176</v>
      </c>
    </row>
    <row r="390">
      <c r="A390" s="16">
        <f>IFERROR(__xludf.DUMMYFUNCTION("""COMPUTED_VALUE"""),12719.0)</f>
        <v>12719</v>
      </c>
      <c r="B390" s="16" t="str">
        <f>IFERROR(__xludf.DUMMYFUNCTION("""COMPUTED_VALUE"""),"Curtis Mead")</f>
        <v>Curtis Mead</v>
      </c>
      <c r="C390" s="16">
        <f>IFERROR(__xludf.DUMMYFUNCTION("""COMPUTED_VALUE"""),0.0)</f>
        <v>0</v>
      </c>
      <c r="D390" s="16" t="str">
        <f>IFERROR(__xludf.DUMMYFUNCTION("""COMPUTED_VALUE"""),"R")</f>
        <v>R</v>
      </c>
      <c r="E390" s="16"/>
      <c r="F390" s="16"/>
      <c r="G390" s="16">
        <f>IFERROR(__xludf.DUMMYFUNCTION("""COMPUTED_VALUE"""),122.0)</f>
        <v>122</v>
      </c>
      <c r="H390" s="16">
        <f>IFERROR(__xludf.DUMMYFUNCTION("""COMPUTED_VALUE"""),6.0)</f>
        <v>6</v>
      </c>
      <c r="I390" s="16" t="str">
        <f>IFERROR(__xludf.DUMMYFUNCTION("""COMPUTED_VALUE"""),"1p20")</f>
        <v>1p20</v>
      </c>
      <c r="J390" s="16">
        <f>IFERROR(__xludf.DUMMYFUNCTION("""COMPUTED_VALUE"""),21.0)</f>
        <v>21</v>
      </c>
      <c r="K390" s="16">
        <f>IFERROR(__xludf.DUMMYFUNCTION("""COMPUTED_VALUE"""),27.0)</f>
        <v>27</v>
      </c>
      <c r="L390" s="16">
        <f>IFERROR(__xludf.DUMMYFUNCTION("""COMPUTED_VALUE"""),0.0)</f>
        <v>0</v>
      </c>
      <c r="M390" s="16">
        <f>IFERROR(__xludf.DUMMYFUNCTION("""COMPUTED_VALUE"""),0.0)</f>
        <v>0</v>
      </c>
      <c r="N390" s="16">
        <f>IFERROR(__xludf.DUMMYFUNCTION("""COMPUTED_VALUE"""),0.0)</f>
        <v>0</v>
      </c>
      <c r="O390" s="16">
        <f>IFERROR(__xludf.DUMMYFUNCTION("""COMPUTED_VALUE"""),0.0)</f>
        <v>0</v>
      </c>
      <c r="P390" s="16">
        <f>IFERROR(__xludf.DUMMYFUNCTION("""COMPUTED_VALUE"""),5.0)</f>
        <v>5</v>
      </c>
      <c r="Q390" s="16">
        <f>IFERROR(__xludf.DUMMYFUNCTION("""COMPUTED_VALUE"""),0.0)</f>
        <v>0</v>
      </c>
      <c r="R390" s="16">
        <f>IFERROR(__xludf.DUMMYFUNCTION("""COMPUTED_VALUE"""),-1.0)</f>
        <v>-1</v>
      </c>
      <c r="S390" s="16">
        <f>IFERROR(__xludf.DUMMYFUNCTION("""COMPUTED_VALUE"""),-2.0)</f>
        <v>-2</v>
      </c>
      <c r="T390" s="16">
        <f>IFERROR(__xludf.DUMMYFUNCTION("""COMPUTED_VALUE"""),-1.0)</f>
        <v>-1</v>
      </c>
      <c r="U390" s="16">
        <f>IFERROR(__xludf.DUMMYFUNCTION("""COMPUTED_VALUE"""),-2.0)</f>
        <v>-2</v>
      </c>
      <c r="V390" s="16">
        <f>IFERROR(__xludf.DUMMYFUNCTION("""COMPUTED_VALUE"""),36.9)</f>
        <v>36.9</v>
      </c>
      <c r="W390" s="16">
        <f>IFERROR(__xludf.DUMMYFUNCTION("""COMPUTED_VALUE"""),13.9)</f>
        <v>13.9</v>
      </c>
      <c r="X390" s="16">
        <f>IFERROR(__xludf.DUMMYFUNCTION("""COMPUTED_VALUE"""),2.0)</f>
        <v>2</v>
      </c>
      <c r="Y390" s="16">
        <f>IFERROR(__xludf.DUMMYFUNCTION("""COMPUTED_VALUE"""),-1.0)</f>
        <v>-1</v>
      </c>
      <c r="Z390" s="16">
        <f>IFERROR(__xludf.DUMMYFUNCTION("""COMPUTED_VALUE"""),4.0)</f>
        <v>4</v>
      </c>
      <c r="AA390" s="16">
        <f>IFERROR(__xludf.DUMMYFUNCTION("""COMPUTED_VALUE"""),-2.0)</f>
        <v>-2</v>
      </c>
      <c r="AB390" s="16">
        <f>IFERROR(__xludf.DUMMYFUNCTION("""COMPUTED_VALUE"""),44.9)</f>
        <v>44.9</v>
      </c>
      <c r="AC390" s="16">
        <f>IFERROR(__xludf.DUMMYFUNCTION("""COMPUTED_VALUE"""),16.9)</f>
        <v>16.9</v>
      </c>
      <c r="AD390" s="16">
        <f>IFERROR(__xludf.DUMMYFUNCTION("""COMPUTED_VALUE"""),2.0)</f>
        <v>2</v>
      </c>
      <c r="AE390" s="16">
        <f>IFERROR(__xludf.DUMMYFUNCTION("""COMPUTED_VALUE"""),-2.0)</f>
        <v>-2</v>
      </c>
      <c r="AF390" s="16">
        <f>IFERROR(__xludf.DUMMYFUNCTION("""COMPUTED_VALUE"""),10.0)</f>
        <v>10</v>
      </c>
      <c r="AG390" s="16">
        <f>IFERROR(__xludf.DUMMYFUNCTION("""COMPUTED_VALUE"""),-10.0)</f>
        <v>-10</v>
      </c>
      <c r="AH390" s="16">
        <f>IFERROR(__xludf.DUMMYFUNCTION("""COMPUTED_VALUE"""),40.2)</f>
        <v>40.2</v>
      </c>
      <c r="AI390" s="16">
        <f>IFERROR(__xludf.DUMMYFUNCTION("""COMPUTED_VALUE"""),22.3)</f>
        <v>22.3</v>
      </c>
      <c r="AJ390" s="16">
        <f>IFERROR(__xludf.DUMMYFUNCTION("""COMPUTED_VALUE"""),1.0)</f>
        <v>1</v>
      </c>
      <c r="AK390" s="16">
        <f>IFERROR(__xludf.DUMMYFUNCTION("""COMPUTED_VALUE"""),-1.0)</f>
        <v>-1</v>
      </c>
      <c r="AL390" s="16">
        <f>IFERROR(__xludf.DUMMYFUNCTION("""COMPUTED_VALUE"""),5.0)</f>
        <v>5</v>
      </c>
      <c r="AM390" s="16">
        <f>IFERROR(__xludf.DUMMYFUNCTION("""COMPUTED_VALUE"""),-5.0)</f>
        <v>-5</v>
      </c>
      <c r="AN390" s="16">
        <f>IFERROR(__xludf.DUMMYFUNCTION("""COMPUTED_VALUE"""),0.0)</f>
        <v>0</v>
      </c>
      <c r="AO390" s="16">
        <f>IFERROR(__xludf.DUMMYFUNCTION("""COMPUTED_VALUE"""),2.8)</f>
        <v>2.8</v>
      </c>
      <c r="AP390" s="16">
        <f>IFERROR(__xludf.DUMMYFUNCTION("""COMPUTED_VALUE"""),-2.0)</f>
        <v>-2</v>
      </c>
      <c r="AQ390" s="16">
        <f>IFERROR(__xludf.DUMMYFUNCTION("""COMPUTED_VALUE"""),0.0)</f>
        <v>0</v>
      </c>
      <c r="AR390" s="16">
        <f>IFERROR(__xludf.DUMMYFUNCTION("""COMPUTED_VALUE"""),-4.0)</f>
        <v>-4</v>
      </c>
      <c r="AS390" s="16">
        <f>IFERROR(__xludf.DUMMYFUNCTION("""COMPUTED_VALUE"""),0.0)</f>
        <v>0</v>
      </c>
      <c r="AT390" s="16"/>
      <c r="AU390" s="16"/>
      <c r="AV390" s="16">
        <f>IFERROR(__xludf.DUMMYFUNCTION("""COMPUTED_VALUE"""),-3.0)</f>
        <v>-3</v>
      </c>
      <c r="AW390" s="16">
        <f>IFERROR(__xludf.DUMMYFUNCTION("""COMPUTED_VALUE"""),-3.0)</f>
        <v>-3</v>
      </c>
      <c r="AX390" s="16">
        <f>IFERROR(__xludf.DUMMYFUNCTION("""COMPUTED_VALUE"""),-3.0)</f>
        <v>-3</v>
      </c>
      <c r="AY390" s="16">
        <f>IFERROR(__xludf.DUMMYFUNCTION("""COMPUTED_VALUE"""),-3.0)</f>
        <v>-3</v>
      </c>
      <c r="AZ390" s="16">
        <f>IFERROR(__xludf.DUMMYFUNCTION("""COMPUTED_VALUE"""),-9.0)</f>
        <v>-9</v>
      </c>
      <c r="BA390" s="16">
        <f>IFERROR(__xludf.DUMMYFUNCTION("""COMPUTED_VALUE"""),-9.0)</f>
        <v>-9</v>
      </c>
      <c r="BB390" s="16">
        <f>IFERROR(__xludf.DUMMYFUNCTION("""COMPUTED_VALUE"""),5.0)</f>
        <v>5</v>
      </c>
      <c r="BC390" s="16">
        <f>IFERROR(__xludf.DUMMYFUNCTION("""COMPUTED_VALUE"""),5.0)</f>
        <v>5</v>
      </c>
      <c r="BD390" s="16">
        <f>IFERROR(__xludf.DUMMYFUNCTION("""COMPUTED_VALUE"""),1.0)</f>
        <v>1</v>
      </c>
      <c r="BE390" s="16">
        <f>IFERROR(__xludf.DUMMYFUNCTION("""COMPUTED_VALUE"""),1.0)</f>
        <v>1</v>
      </c>
      <c r="BF390" s="16">
        <f>IFERROR(__xludf.DUMMYFUNCTION("""COMPUTED_VALUE"""),1.0)</f>
        <v>1</v>
      </c>
      <c r="BG390" s="16">
        <f>IFERROR(__xludf.DUMMYFUNCTION("""COMPUTED_VALUE"""),1.0)</f>
        <v>1</v>
      </c>
      <c r="BH390" s="16">
        <f>IFERROR(__xludf.DUMMYFUNCTION("""COMPUTED_VALUE"""),-10.0)</f>
        <v>-10</v>
      </c>
      <c r="BI390" s="16">
        <f>IFERROR(__xludf.DUMMYFUNCTION("""COMPUTED_VALUE"""),-8.0)</f>
        <v>-8</v>
      </c>
      <c r="BJ390" s="16">
        <f>IFERROR(__xludf.DUMMYFUNCTION("""COMPUTED_VALUE"""),12.0)</f>
        <v>12</v>
      </c>
      <c r="BK390" s="16">
        <f>IFERROR(__xludf.DUMMYFUNCTION("""COMPUTED_VALUE"""),12.0)</f>
        <v>12</v>
      </c>
      <c r="BL390" s="16">
        <f>IFERROR(__xludf.DUMMYFUNCTION("""COMPUTED_VALUE"""),0.0)</f>
        <v>0</v>
      </c>
      <c r="BM390" s="16">
        <f>IFERROR(__xludf.DUMMYFUNCTION("""COMPUTED_VALUE"""),0.0)</f>
        <v>0</v>
      </c>
      <c r="BN390" s="16">
        <f>IFERROR(__xludf.DUMMYFUNCTION("""COMPUTED_VALUE"""),0.0)</f>
        <v>0</v>
      </c>
      <c r="BO390" s="16">
        <f>IFERROR(__xludf.DUMMYFUNCTION("""COMPUTED_VALUE"""),0.0)</f>
        <v>0</v>
      </c>
      <c r="BP390" s="16">
        <f>IFERROR(__xludf.DUMMYFUNCTION("""COMPUTED_VALUE"""),0.0)</f>
        <v>0</v>
      </c>
      <c r="BQ390" s="16">
        <f>IFERROR(__xludf.DUMMYFUNCTION("""COMPUTED_VALUE"""),-8.0)</f>
        <v>-8</v>
      </c>
      <c r="BR390" s="16">
        <f>IFERROR(__xludf.DUMMYFUNCTION("""COMPUTED_VALUE"""),-8.0)</f>
        <v>-8</v>
      </c>
      <c r="BS390" s="16" t="str">
        <f>IFERROR(__xludf.DUMMYFUNCTION("""COMPUTED_VALUE"""),"3/- (20-6)")</f>
        <v>3/- (20-6)</v>
      </c>
      <c r="BT390" s="16" t="str">
        <f>IFERROR(__xludf.DUMMYFUNCTION("""COMPUTED_VALUE"""),"D")</f>
        <v>D</v>
      </c>
      <c r="BU390" s="16">
        <f>IFERROR(__xludf.DUMMYFUNCTION("""COMPUTED_VALUE"""),11.0)</f>
        <v>11</v>
      </c>
      <c r="BV390" s="16">
        <f>IFERROR(__xludf.DUMMYFUNCTION("""COMPUTED_VALUE"""),0.0)</f>
        <v>0</v>
      </c>
      <c r="BW390" s="16">
        <f>IFERROR(__xludf.DUMMYFUNCTION("""COMPUTED_VALUE"""),0.0)</f>
        <v>0</v>
      </c>
      <c r="BX390" s="16">
        <f>IFERROR(__xludf.DUMMYFUNCTION("""COMPUTED_VALUE"""),0.0)</f>
        <v>0</v>
      </c>
      <c r="BY390" s="16">
        <f>IFERROR(__xludf.DUMMYFUNCTION("""COMPUTED_VALUE"""),0.0)</f>
        <v>0</v>
      </c>
      <c r="BZ390" s="16" t="str">
        <f>IFERROR(__xludf.DUMMYFUNCTION("""COMPUTED_VALUE"""),"D")</f>
        <v>D</v>
      </c>
      <c r="CA390" s="16" t="str">
        <f>IFERROR(__xludf.DUMMYFUNCTION("""COMPUTED_VALUE"""),"D")</f>
        <v>D</v>
      </c>
      <c r="CB390" s="16">
        <f>IFERROR(__xludf.DUMMYFUNCTION("""COMPUTED_VALUE"""),0.0)</f>
        <v>0</v>
      </c>
      <c r="CC390" s="16">
        <f>IFERROR(__xludf.DUMMYFUNCTION("""COMPUTED_VALUE"""),0.0)</f>
        <v>0</v>
      </c>
      <c r="CD390" s="16">
        <f>IFERROR(__xludf.DUMMYFUNCTION("""COMPUTED_VALUE"""),0.0)</f>
        <v>0</v>
      </c>
      <c r="CE390" s="16">
        <f>IFERROR(__xludf.DUMMYFUNCTION("""COMPUTED_VALUE"""),0.0)</f>
        <v>0</v>
      </c>
      <c r="CF390" s="16">
        <f>IFERROR(__xludf.DUMMYFUNCTION("""COMPUTED_VALUE"""),1.0)</f>
        <v>1</v>
      </c>
      <c r="CG390" s="16">
        <f>IFERROR(__xludf.DUMMYFUNCTION("""COMPUTED_VALUE"""),6.0)</f>
        <v>6</v>
      </c>
      <c r="CH390" s="16">
        <f>IFERROR(__xludf.DUMMYFUNCTION("""COMPUTED_VALUE"""),-27.0)</f>
        <v>-27</v>
      </c>
      <c r="CI390" s="179">
        <f>IFERROR(__xludf.DUMMYFUNCTION("""COMPUTED_VALUE"""),-19.0)</f>
        <v>-19</v>
      </c>
      <c r="CJ390" s="16"/>
      <c r="CK390" s="16">
        <f>IFERROR(__xludf.DUMMYFUNCTION("""COMPUTED_VALUE"""),530.0)</f>
        <v>530</v>
      </c>
      <c r="CL390" s="16">
        <f>IFERROR(__xludf.DUMMYFUNCTION("""COMPUTED_VALUE"""),418.0)</f>
        <v>418</v>
      </c>
      <c r="CM390" s="16">
        <f>IFERROR(__xludf.DUMMYFUNCTION("""COMPUTED_VALUE"""),427.0)</f>
        <v>427</v>
      </c>
      <c r="CN390" s="16"/>
      <c r="CO390" s="16"/>
      <c r="CP390" s="16"/>
      <c r="CQ390" s="16"/>
      <c r="CR390" s="16" t="str">
        <f>IFERROR(__xludf.DUMMYFUNCTION("""COMPUTED_VALUE"""),"2b-4e18 3b-4e27 1b-5e30")</f>
        <v>2b-4e18 3b-4e27 1b-5e30</v>
      </c>
      <c r="CS390" s="16"/>
      <c r="CT390" s="16">
        <f>IFERROR(__xludf.DUMMYFUNCTION("""COMPUTED_VALUE"""),5.0)</f>
        <v>5</v>
      </c>
      <c r="CU390" s="16">
        <f>IFERROR(__xludf.DUMMYFUNCTION("""COMPUTED_VALUE"""),4.0)</f>
        <v>4</v>
      </c>
      <c r="CV390" s="16">
        <f>IFERROR(__xludf.DUMMYFUNCTION("""COMPUTED_VALUE"""),4.0)</f>
        <v>4</v>
      </c>
      <c r="CW390" s="16"/>
      <c r="CX390" s="16"/>
      <c r="CY390" s="16"/>
      <c r="CZ390" s="16"/>
      <c r="DA390" s="16"/>
      <c r="DB390" s="16">
        <f>IFERROR(__xludf.DUMMYFUNCTION("""COMPUTED_VALUE"""),30.0)</f>
        <v>30</v>
      </c>
      <c r="DC390" s="16">
        <f>IFERROR(__xludf.DUMMYFUNCTION("""COMPUTED_VALUE"""),18.0)</f>
        <v>18</v>
      </c>
      <c r="DD390" s="16">
        <f>IFERROR(__xludf.DUMMYFUNCTION("""COMPUTED_VALUE"""),27.0)</f>
        <v>27</v>
      </c>
      <c r="DE390" s="16"/>
      <c r="DF390" s="16"/>
      <c r="DG390" s="16"/>
      <c r="DH390" s="16"/>
      <c r="DI390" s="16"/>
      <c r="DJ390" s="16">
        <f>IFERROR(__xludf.DUMMYFUNCTION("""COMPUTED_VALUE"""),-2.0)</f>
        <v>-2</v>
      </c>
      <c r="DK390" s="16">
        <f>IFERROR(__xludf.DUMMYFUNCTION("""COMPUTED_VALUE"""),-2.0)</f>
        <v>-2</v>
      </c>
      <c r="DL390" s="16">
        <f>IFERROR(__xludf.DUMMYFUNCTION("""COMPUTED_VALUE"""),0.0)</f>
        <v>0</v>
      </c>
      <c r="DM390" s="16"/>
      <c r="DN390" s="16"/>
      <c r="DO390" s="16"/>
      <c r="DP390" s="16"/>
      <c r="DQ390" s="16"/>
      <c r="DR390" s="16">
        <f>IFERROR(__xludf.DUMMYFUNCTION("""COMPUTED_VALUE"""),-2.0)</f>
        <v>-2</v>
      </c>
      <c r="DS390" s="16">
        <f>IFERROR(__xludf.DUMMYFUNCTION("""COMPUTED_VALUE"""),2.0)</f>
        <v>2</v>
      </c>
      <c r="DT390" s="16">
        <f>IFERROR(__xludf.DUMMYFUNCTION("""COMPUTED_VALUE"""),-2.0)</f>
        <v>-2</v>
      </c>
      <c r="DU390" s="16"/>
      <c r="DV390" s="16"/>
      <c r="DW390" s="16"/>
      <c r="DX390" s="16"/>
      <c r="DY390" s="16"/>
      <c r="DZ390" s="16">
        <f>IFERROR(__xludf.DUMMYFUNCTION("""COMPUTED_VALUE"""),-4.0)</f>
        <v>-4</v>
      </c>
      <c r="EA390" s="16">
        <f>IFERROR(__xludf.DUMMYFUNCTION("""COMPUTED_VALUE"""),0.0)</f>
        <v>0</v>
      </c>
      <c r="EB390" s="16">
        <f>IFERROR(__xludf.DUMMYFUNCTION("""COMPUTED_VALUE"""),-2.0)</f>
        <v>-2</v>
      </c>
      <c r="EC390" s="16"/>
      <c r="ED390" s="16"/>
      <c r="EE390" s="16"/>
      <c r="EF390" s="16"/>
      <c r="EG390" s="179"/>
      <c r="EH390" s="179">
        <f>IFERROR(__xludf.DUMMYFUNCTION("""COMPUTED_VALUE"""),-23.0)</f>
        <v>-23</v>
      </c>
      <c r="EI390" s="179">
        <f>IFERROR(__xludf.DUMMYFUNCTION("""COMPUTED_VALUE"""),-19.0)</f>
        <v>-19</v>
      </c>
      <c r="EJ390" s="179">
        <f>IFERROR(__xludf.DUMMYFUNCTION("""COMPUTED_VALUE"""),-21.0)</f>
        <v>-21</v>
      </c>
      <c r="EK390" s="179"/>
      <c r="EL390" s="179"/>
      <c r="EM390" s="179"/>
      <c r="EN390" s="179"/>
      <c r="EO390" s="16"/>
      <c r="EP390" s="16"/>
      <c r="EQ390" s="16">
        <f>IFERROR(__xludf.DUMMYFUNCTION("""COMPUTED_VALUE"""),4.0)</f>
        <v>4</v>
      </c>
      <c r="ER390" s="16">
        <f>IFERROR(__xludf.DUMMYFUNCTION("""COMPUTED_VALUE"""),-4.0)</f>
        <v>-4</v>
      </c>
      <c r="ES390" s="16"/>
      <c r="ET390" s="16"/>
      <c r="EU390" s="16"/>
      <c r="EV390" s="16"/>
      <c r="EW390" s="16"/>
      <c r="EX390" s="180"/>
      <c r="EY390" s="180">
        <f>IFERROR(__xludf.DUMMYFUNCTION("""COMPUTED_VALUE"""),0.4)</f>
        <v>0.4</v>
      </c>
      <c r="EZ390" s="180">
        <f>IFERROR(__xludf.DUMMYFUNCTION("""COMPUTED_VALUE"""),0.3)</f>
        <v>0.3</v>
      </c>
      <c r="FA390" s="180">
        <f>IFERROR(__xludf.DUMMYFUNCTION("""COMPUTED_VALUE"""),0.3)</f>
        <v>0.3</v>
      </c>
      <c r="FB390" s="180"/>
      <c r="FC390" s="180"/>
      <c r="FD390" s="180"/>
      <c r="FE390" s="180"/>
      <c r="FF390" s="180"/>
      <c r="FG390" s="180">
        <f>IFERROR(__xludf.DUMMYFUNCTION("""COMPUTED_VALUE"""),0.5370370370370371)</f>
        <v>0.537037037</v>
      </c>
      <c r="FH390" s="180">
        <f>IFERROR(__xludf.DUMMYFUNCTION("""COMPUTED_VALUE"""),0.10648148148148148)</f>
        <v>0.1064814815</v>
      </c>
      <c r="FI390" s="180">
        <f>IFERROR(__xludf.DUMMYFUNCTION("""COMPUTED_VALUE"""),0.32407407407407407)</f>
        <v>0.3240740741</v>
      </c>
      <c r="FJ390" s="180"/>
      <c r="FK390" s="180"/>
      <c r="FL390" s="180"/>
      <c r="FM390" s="180"/>
      <c r="FN390" s="16"/>
      <c r="FO390" s="16">
        <f>IFERROR(__xludf.DUMMYFUNCTION("""COMPUTED_VALUE"""),0.27777777777777773)</f>
        <v>0.2777777778</v>
      </c>
      <c r="FP390" s="16">
        <f>IFERROR(__xludf.DUMMYFUNCTION("""COMPUTED_VALUE"""),0.6254629629629629)</f>
        <v>0.625462963</v>
      </c>
      <c r="FQ390" s="16">
        <f>IFERROR(__xludf.DUMMYFUNCTION("""COMPUTED_VALUE"""),0.4731481481481481)</f>
        <v>0.4731481481</v>
      </c>
      <c r="FR390" s="16"/>
      <c r="FS390" s="16"/>
      <c r="FT390" s="16"/>
      <c r="FU390" s="16"/>
      <c r="FV390" s="16"/>
      <c r="FW390" s="16">
        <f>IFERROR(__xludf.DUMMYFUNCTION("""COMPUTED_VALUE"""),-8.0)</f>
        <v>-8</v>
      </c>
      <c r="FX390" s="16">
        <f>IFERROR(__xludf.DUMMYFUNCTION("""COMPUTED_VALUE"""),-6.0)</f>
        <v>-6</v>
      </c>
      <c r="FY390" s="16">
        <f>IFERROR(__xludf.DUMMYFUNCTION("""COMPUTED_VALUE"""),-8.0)</f>
        <v>-8</v>
      </c>
      <c r="FZ390" s="16"/>
      <c r="GA390" s="16"/>
      <c r="GB390" s="16"/>
      <c r="GC390" s="16"/>
      <c r="GD390" s="16" t="s">
        <v>176</v>
      </c>
    </row>
    <row r="391">
      <c r="A391" s="16">
        <f>IFERROR(__xludf.DUMMYFUNCTION("""COMPUTED_VALUE"""),12931.0)</f>
        <v>12931</v>
      </c>
      <c r="B391" s="16" t="str">
        <f>IFERROR(__xludf.DUMMYFUNCTION("""COMPUTED_VALUE"""),"Jared Walsh")</f>
        <v>Jared Walsh</v>
      </c>
      <c r="C391" s="16">
        <f>IFERROR(__xludf.DUMMYFUNCTION("""COMPUTED_VALUE"""),0.0)</f>
        <v>0</v>
      </c>
      <c r="D391" s="16" t="str">
        <f>IFERROR(__xludf.DUMMYFUNCTION("""COMPUTED_VALUE"""),"L")</f>
        <v>L</v>
      </c>
      <c r="E391" s="16"/>
      <c r="F391" s="16"/>
      <c r="G391" s="16">
        <f>IFERROR(__xludf.DUMMYFUNCTION("""COMPUTED_VALUE"""),53.0)</f>
        <v>53</v>
      </c>
      <c r="H391" s="16">
        <f>IFERROR(__xludf.DUMMYFUNCTION("""COMPUTED_VALUE"""),7.0)</f>
        <v>7</v>
      </c>
      <c r="I391" s="16" t="str">
        <f>IFERROR(__xludf.DUMMYFUNCTION("""COMPUTED_VALUE"""),"1p20")</f>
        <v>1p20</v>
      </c>
      <c r="J391" s="16">
        <f>IFERROR(__xludf.DUMMYFUNCTION("""COMPUTED_VALUE"""),83.0)</f>
        <v>83</v>
      </c>
      <c r="K391" s="16">
        <f>IFERROR(__xludf.DUMMYFUNCTION("""COMPUTED_VALUE"""),49.0)</f>
        <v>49</v>
      </c>
      <c r="L391" s="16">
        <f>IFERROR(__xludf.DUMMYFUNCTION("""COMPUTED_VALUE"""),-3.0)</f>
        <v>-3</v>
      </c>
      <c r="M391" s="16">
        <f>IFERROR(__xludf.DUMMYFUNCTION("""COMPUTED_VALUE"""),-2.0)</f>
        <v>-2</v>
      </c>
      <c r="N391" s="16">
        <f>IFERROR(__xludf.DUMMYFUNCTION("""COMPUTED_VALUE"""),-3.0)</f>
        <v>-3</v>
      </c>
      <c r="O391" s="16">
        <f>IFERROR(__xludf.DUMMYFUNCTION("""COMPUTED_VALUE"""),-2.0)</f>
        <v>-2</v>
      </c>
      <c r="P391" s="16">
        <f>IFERROR(__xludf.DUMMYFUNCTION("""COMPUTED_VALUE"""),0.0)</f>
        <v>0</v>
      </c>
      <c r="Q391" s="16">
        <f>IFERROR(__xludf.DUMMYFUNCTION("""COMPUTED_VALUE"""),18.0)</f>
        <v>18</v>
      </c>
      <c r="R391" s="16">
        <f>IFERROR(__xludf.DUMMYFUNCTION("""COMPUTED_VALUE"""),-3.0)</f>
        <v>-3</v>
      </c>
      <c r="S391" s="16">
        <f>IFERROR(__xludf.DUMMYFUNCTION("""COMPUTED_VALUE"""),3.0)</f>
        <v>3</v>
      </c>
      <c r="T391" s="16">
        <f>IFERROR(__xludf.DUMMYFUNCTION("""COMPUTED_VALUE"""),-3.0)</f>
        <v>-3</v>
      </c>
      <c r="U391" s="16">
        <f>IFERROR(__xludf.DUMMYFUNCTION("""COMPUTED_VALUE"""),3.0)</f>
        <v>3</v>
      </c>
      <c r="V391" s="16">
        <f>IFERROR(__xludf.DUMMYFUNCTION("""COMPUTED_VALUE"""),0.0)</f>
        <v>0</v>
      </c>
      <c r="W391" s="16">
        <f>IFERROR(__xludf.DUMMYFUNCTION("""COMPUTED_VALUE"""),19.9)</f>
        <v>19.9</v>
      </c>
      <c r="X391" s="16">
        <f>IFERROR(__xludf.DUMMYFUNCTION("""COMPUTED_VALUE"""),-2.0)</f>
        <v>-2</v>
      </c>
      <c r="Y391" s="16">
        <f>IFERROR(__xludf.DUMMYFUNCTION("""COMPUTED_VALUE"""),0.0)</f>
        <v>0</v>
      </c>
      <c r="Z391" s="16">
        <f>IFERROR(__xludf.DUMMYFUNCTION("""COMPUTED_VALUE"""),-4.0)</f>
        <v>-4</v>
      </c>
      <c r="AA391" s="16">
        <f>IFERROR(__xludf.DUMMYFUNCTION("""COMPUTED_VALUE"""),0.0)</f>
        <v>0</v>
      </c>
      <c r="AB391" s="16">
        <f>IFERROR(__xludf.DUMMYFUNCTION("""COMPUTED_VALUE"""),0.0)</f>
        <v>0</v>
      </c>
      <c r="AC391" s="16">
        <f>IFERROR(__xludf.DUMMYFUNCTION("""COMPUTED_VALUE"""),37.9)</f>
        <v>37.9</v>
      </c>
      <c r="AD391" s="16">
        <f>IFERROR(__xludf.DUMMYFUNCTION("""COMPUTED_VALUE"""),-3.0)</f>
        <v>-3</v>
      </c>
      <c r="AE391" s="16">
        <f>IFERROR(__xludf.DUMMYFUNCTION("""COMPUTED_VALUE"""),1.0)</f>
        <v>1</v>
      </c>
      <c r="AF391" s="16">
        <f>IFERROR(__xludf.DUMMYFUNCTION("""COMPUTED_VALUE"""),-15.0)</f>
        <v>-15</v>
      </c>
      <c r="AG391" s="16">
        <f>IFERROR(__xludf.DUMMYFUNCTION("""COMPUTED_VALUE"""),5.0)</f>
        <v>5</v>
      </c>
      <c r="AH391" s="16">
        <f>IFERROR(__xludf.DUMMYFUNCTION("""COMPUTED_VALUE"""),0.0)</f>
        <v>0</v>
      </c>
      <c r="AI391" s="16">
        <f>IFERROR(__xludf.DUMMYFUNCTION("""COMPUTED_VALUE"""),24.0)</f>
        <v>24</v>
      </c>
      <c r="AJ391" s="16">
        <f>IFERROR(__xludf.DUMMYFUNCTION("""COMPUTED_VALUE"""),-2.0)</f>
        <v>-2</v>
      </c>
      <c r="AK391" s="16">
        <f>IFERROR(__xludf.DUMMYFUNCTION("""COMPUTED_VALUE"""),-1.0)</f>
        <v>-1</v>
      </c>
      <c r="AL391" s="16">
        <f>IFERROR(__xludf.DUMMYFUNCTION("""COMPUTED_VALUE"""),-10.0)</f>
        <v>-10</v>
      </c>
      <c r="AM391" s="16">
        <f>IFERROR(__xludf.DUMMYFUNCTION("""COMPUTED_VALUE"""),-5.0)</f>
        <v>-5</v>
      </c>
      <c r="AN391" s="16">
        <f>IFERROR(__xludf.DUMMYFUNCTION("""COMPUTED_VALUE"""),0.0)</f>
        <v>0</v>
      </c>
      <c r="AO391" s="16">
        <f>IFERROR(__xludf.DUMMYFUNCTION("""COMPUTED_VALUE"""),0.5)</f>
        <v>0.5</v>
      </c>
      <c r="AP391" s="16">
        <f>IFERROR(__xludf.DUMMYFUNCTION("""COMPUTED_VALUE"""),-2.0)</f>
        <v>-2</v>
      </c>
      <c r="AQ391" s="16">
        <f>IFERROR(__xludf.DUMMYFUNCTION("""COMPUTED_VALUE"""),-2.0)</f>
        <v>-2</v>
      </c>
      <c r="AR391" s="16">
        <f>IFERROR(__xludf.DUMMYFUNCTION("""COMPUTED_VALUE"""),-4.0)</f>
        <v>-4</v>
      </c>
      <c r="AS391" s="16">
        <f>IFERROR(__xludf.DUMMYFUNCTION("""COMPUTED_VALUE"""),-4.0)</f>
        <v>-4</v>
      </c>
      <c r="AT391" s="16"/>
      <c r="AU391" s="16">
        <f>IFERROR(__xludf.DUMMYFUNCTION("""COMPUTED_VALUE"""),0.0)</f>
        <v>0</v>
      </c>
      <c r="AV391" s="16">
        <f>IFERROR(__xludf.DUMMYFUNCTION("""COMPUTED_VALUE"""),-3.0)</f>
        <v>-3</v>
      </c>
      <c r="AW391" s="16">
        <f>IFERROR(__xludf.DUMMYFUNCTION("""COMPUTED_VALUE"""),0.0)</f>
        <v>0</v>
      </c>
      <c r="AX391" s="16">
        <f>IFERROR(__xludf.DUMMYFUNCTION("""COMPUTED_VALUE"""),-3.0)</f>
        <v>-3</v>
      </c>
      <c r="AY391" s="16">
        <f>IFERROR(__xludf.DUMMYFUNCTION("""COMPUTED_VALUE"""),-2.0)</f>
        <v>-2</v>
      </c>
      <c r="AZ391" s="16">
        <f>IFERROR(__xludf.DUMMYFUNCTION("""COMPUTED_VALUE"""),-9.0)</f>
        <v>-9</v>
      </c>
      <c r="BA391" s="16">
        <f>IFERROR(__xludf.DUMMYFUNCTION("""COMPUTED_VALUE"""),-6.0)</f>
        <v>-6</v>
      </c>
      <c r="BB391" s="16">
        <f>IFERROR(__xludf.DUMMYFUNCTION("""COMPUTED_VALUE"""),0.0)</f>
        <v>0</v>
      </c>
      <c r="BC391" s="16">
        <f>IFERROR(__xludf.DUMMYFUNCTION("""COMPUTED_VALUE"""),5.0)</f>
        <v>5</v>
      </c>
      <c r="BD391" s="16">
        <f>IFERROR(__xludf.DUMMYFUNCTION("""COMPUTED_VALUE"""),0.0)</f>
        <v>0</v>
      </c>
      <c r="BE391" s="16">
        <f>IFERROR(__xludf.DUMMYFUNCTION("""COMPUTED_VALUE"""),1.0)</f>
        <v>1</v>
      </c>
      <c r="BF391" s="16">
        <f>IFERROR(__xludf.DUMMYFUNCTION("""COMPUTED_VALUE"""),0.0)</f>
        <v>0</v>
      </c>
      <c r="BG391" s="16">
        <f>IFERROR(__xludf.DUMMYFUNCTION("""COMPUTED_VALUE"""),1.0)</f>
        <v>1</v>
      </c>
      <c r="BH391" s="16">
        <f>IFERROR(__xludf.DUMMYFUNCTION("""COMPUTED_VALUE"""),0.0)</f>
        <v>0</v>
      </c>
      <c r="BI391" s="16">
        <f>IFERROR(__xludf.DUMMYFUNCTION("""COMPUTED_VALUE"""),3.0)</f>
        <v>3</v>
      </c>
      <c r="BJ391" s="16">
        <f>IFERROR(__xludf.DUMMYFUNCTION("""COMPUTED_VALUE"""),24.0)</f>
        <v>24</v>
      </c>
      <c r="BK391" s="16">
        <f>IFERROR(__xludf.DUMMYFUNCTION("""COMPUTED_VALUE"""),14.0)</f>
        <v>14</v>
      </c>
      <c r="BL391" s="16">
        <f>IFERROR(__xludf.DUMMYFUNCTION("""COMPUTED_VALUE"""),-2.0)</f>
        <v>-2</v>
      </c>
      <c r="BM391" s="16">
        <f>IFERROR(__xludf.DUMMYFUNCTION("""COMPUTED_VALUE"""),0.0)</f>
        <v>0</v>
      </c>
      <c r="BN391" s="16">
        <f>IFERROR(__xludf.DUMMYFUNCTION("""COMPUTED_VALUE"""),-4.0)</f>
        <v>-4</v>
      </c>
      <c r="BO391" s="16">
        <f>IFERROR(__xludf.DUMMYFUNCTION("""COMPUTED_VALUE"""),0.0)</f>
        <v>0</v>
      </c>
      <c r="BP391" s="16">
        <f>IFERROR(__xludf.DUMMYFUNCTION("""COMPUTED_VALUE"""),-20.0)</f>
        <v>-20</v>
      </c>
      <c r="BQ391" s="16">
        <f>IFERROR(__xludf.DUMMYFUNCTION("""COMPUTED_VALUE"""),-2.0)</f>
        <v>-2</v>
      </c>
      <c r="BR391" s="16">
        <f>IFERROR(__xludf.DUMMYFUNCTION("""COMPUTED_VALUE"""),-22.0)</f>
        <v>-22</v>
      </c>
      <c r="BS391" s="16" t="str">
        <f>IFERROR(__xludf.DUMMYFUNCTION("""COMPUTED_VALUE"""),"-/- (---)")</f>
        <v>-/- (---)</v>
      </c>
      <c r="BT391" s="16" t="str">
        <f>IFERROR(__xludf.DUMMYFUNCTION("""COMPUTED_VALUE"""),"E")</f>
        <v>E</v>
      </c>
      <c r="BU391" s="16">
        <f>IFERROR(__xludf.DUMMYFUNCTION("""COMPUTED_VALUE"""),11.0)</f>
        <v>11</v>
      </c>
      <c r="BV391" s="16">
        <f>IFERROR(__xludf.DUMMYFUNCTION("""COMPUTED_VALUE"""),0.0)</f>
        <v>0</v>
      </c>
      <c r="BW391" s="16">
        <f>IFERROR(__xludf.DUMMYFUNCTION("""COMPUTED_VALUE"""),0.0)</f>
        <v>0</v>
      </c>
      <c r="BX391" s="16">
        <f>IFERROR(__xludf.DUMMYFUNCTION("""COMPUTED_VALUE"""),0.0)</f>
        <v>0</v>
      </c>
      <c r="BY391" s="16">
        <f>IFERROR(__xludf.DUMMYFUNCTION("""COMPUTED_VALUE"""),0.0)</f>
        <v>0</v>
      </c>
      <c r="BZ391" s="16" t="str">
        <f>IFERROR(__xludf.DUMMYFUNCTION("""COMPUTED_VALUE"""),"D")</f>
        <v>D</v>
      </c>
      <c r="CA391" s="16" t="str">
        <f>IFERROR(__xludf.DUMMYFUNCTION("""COMPUTED_VALUE"""),"D")</f>
        <v>D</v>
      </c>
      <c r="CB391" s="16">
        <f>IFERROR(__xludf.DUMMYFUNCTION("""COMPUTED_VALUE"""),0.0)</f>
        <v>0</v>
      </c>
      <c r="CC391" s="16">
        <f>IFERROR(__xludf.DUMMYFUNCTION("""COMPUTED_VALUE"""),0.0)</f>
        <v>0</v>
      </c>
      <c r="CD391" s="16">
        <f>IFERROR(__xludf.DUMMYFUNCTION("""COMPUTED_VALUE"""),0.0)</f>
        <v>0</v>
      </c>
      <c r="CE391" s="16">
        <f>IFERROR(__xludf.DUMMYFUNCTION("""COMPUTED_VALUE"""),0.0)</f>
        <v>0</v>
      </c>
      <c r="CF391" s="16">
        <f>IFERROR(__xludf.DUMMYFUNCTION("""COMPUTED_VALUE"""),1.0)</f>
        <v>1</v>
      </c>
      <c r="CG391" s="16">
        <f>IFERROR(__xludf.DUMMYFUNCTION("""COMPUTED_VALUE"""),-52.0)</f>
        <v>-52</v>
      </c>
      <c r="CH391" s="16">
        <f>IFERROR(__xludf.DUMMYFUNCTION("""COMPUTED_VALUE"""),-8.0)</f>
        <v>-8</v>
      </c>
      <c r="CI391" s="179">
        <f>IFERROR(__xludf.DUMMYFUNCTION("""COMPUTED_VALUE"""),-19.0)</f>
        <v>-19</v>
      </c>
      <c r="CJ391" s="16"/>
      <c r="CK391" s="16">
        <f>IFERROR(__xludf.DUMMYFUNCTION("""COMPUTED_VALUE"""),323.0)</f>
        <v>323</v>
      </c>
      <c r="CL391" s="16"/>
      <c r="CM391" s="16"/>
      <c r="CN391" s="16"/>
      <c r="CO391" s="16"/>
      <c r="CP391" s="16"/>
      <c r="CQ391" s="16"/>
      <c r="CR391" s="16" t="str">
        <f>IFERROR(__xludf.DUMMYFUNCTION("""COMPUTED_VALUE"""),"1b-3e23")</f>
        <v>1b-3e23</v>
      </c>
      <c r="CS391" s="16"/>
      <c r="CT391" s="16">
        <f>IFERROR(__xludf.DUMMYFUNCTION("""COMPUTED_VALUE"""),3.0)</f>
        <v>3</v>
      </c>
      <c r="CU391" s="16"/>
      <c r="CV391" s="16"/>
      <c r="CW391" s="16"/>
      <c r="CX391" s="16"/>
      <c r="CY391" s="16"/>
      <c r="CZ391" s="16"/>
      <c r="DA391" s="16"/>
      <c r="DB391" s="16">
        <f>IFERROR(__xludf.DUMMYFUNCTION("""COMPUTED_VALUE"""),23.0)</f>
        <v>23</v>
      </c>
      <c r="DC391" s="16"/>
      <c r="DD391" s="16"/>
      <c r="DE391" s="16"/>
      <c r="DF391" s="16"/>
      <c r="DG391" s="16"/>
      <c r="DH391" s="16"/>
      <c r="DI391" s="16"/>
      <c r="DJ391" s="16">
        <f>IFERROR(__xludf.DUMMYFUNCTION("""COMPUTED_VALUE"""),1.0)</f>
        <v>1</v>
      </c>
      <c r="DK391" s="16"/>
      <c r="DL391" s="16"/>
      <c r="DM391" s="16"/>
      <c r="DN391" s="16"/>
      <c r="DO391" s="16"/>
      <c r="DP391" s="16"/>
      <c r="DQ391" s="16"/>
      <c r="DR391" s="16">
        <f>IFERROR(__xludf.DUMMYFUNCTION("""COMPUTED_VALUE"""),-2.0)</f>
        <v>-2</v>
      </c>
      <c r="DS391" s="16"/>
      <c r="DT391" s="16"/>
      <c r="DU391" s="16"/>
      <c r="DV391" s="16"/>
      <c r="DW391" s="16"/>
      <c r="DX391" s="16"/>
      <c r="DY391" s="16"/>
      <c r="DZ391" s="16">
        <f>IFERROR(__xludf.DUMMYFUNCTION("""COMPUTED_VALUE"""),-1.0)</f>
        <v>-1</v>
      </c>
      <c r="EA391" s="16"/>
      <c r="EB391" s="16"/>
      <c r="EC391" s="16"/>
      <c r="ED391" s="16"/>
      <c r="EE391" s="16"/>
      <c r="EF391" s="16"/>
      <c r="EG391" s="179"/>
      <c r="EH391" s="179">
        <f>IFERROR(__xludf.DUMMYFUNCTION("""COMPUTED_VALUE"""),-20.0)</f>
        <v>-20</v>
      </c>
      <c r="EI391" s="179"/>
      <c r="EJ391" s="179"/>
      <c r="EK391" s="179"/>
      <c r="EL391" s="179"/>
      <c r="EM391" s="179"/>
      <c r="EN391" s="179"/>
      <c r="EO391" s="16"/>
      <c r="EP391" s="16">
        <f>IFERROR(__xludf.DUMMYFUNCTION("""COMPUTED_VALUE"""),2.0)</f>
        <v>2</v>
      </c>
      <c r="EQ391" s="16">
        <f>IFERROR(__xludf.DUMMYFUNCTION("""COMPUTED_VALUE"""),4.0)</f>
        <v>4</v>
      </c>
      <c r="ER391" s="16">
        <f>IFERROR(__xludf.DUMMYFUNCTION("""COMPUTED_VALUE"""),-4.0)</f>
        <v>-4</v>
      </c>
      <c r="ES391" s="16"/>
      <c r="ET391" s="16"/>
      <c r="EU391" s="16"/>
      <c r="EV391" s="16"/>
      <c r="EW391" s="16"/>
      <c r="EX391" s="180"/>
      <c r="EY391" s="180">
        <f>IFERROR(__xludf.DUMMYFUNCTION("""COMPUTED_VALUE"""),0.2)</f>
        <v>0.2</v>
      </c>
      <c r="EZ391" s="180"/>
      <c r="FA391" s="180"/>
      <c r="FB391" s="180"/>
      <c r="FC391" s="180"/>
      <c r="FD391" s="180"/>
      <c r="FE391" s="180"/>
      <c r="FF391" s="180"/>
      <c r="FG391" s="180">
        <f>IFERROR(__xludf.DUMMYFUNCTION("""COMPUTED_VALUE"""),0.41203703703703703)</f>
        <v>0.412037037</v>
      </c>
      <c r="FH391" s="180"/>
      <c r="FI391" s="180"/>
      <c r="FJ391" s="180"/>
      <c r="FK391" s="180"/>
      <c r="FL391" s="180"/>
      <c r="FM391" s="180"/>
      <c r="FN391" s="16"/>
      <c r="FO391" s="16">
        <f>IFERROR(__xludf.DUMMYFUNCTION("""COMPUTED_VALUE"""),0.47037037037037044)</f>
        <v>0.4703703704</v>
      </c>
      <c r="FP391" s="16"/>
      <c r="FQ391" s="16"/>
      <c r="FR391" s="16"/>
      <c r="FS391" s="16"/>
      <c r="FT391" s="16"/>
      <c r="FU391" s="16"/>
      <c r="FV391" s="16"/>
      <c r="FW391" s="16">
        <f>IFERROR(__xludf.DUMMYFUNCTION("""COMPUTED_VALUE"""),-8.0)</f>
        <v>-8</v>
      </c>
      <c r="FX391" s="16"/>
      <c r="FY391" s="16"/>
      <c r="FZ391" s="16"/>
      <c r="GA391" s="16"/>
      <c r="GB391" s="16"/>
      <c r="GC391" s="16"/>
      <c r="GD391" s="16" t="s">
        <v>176</v>
      </c>
    </row>
    <row r="392">
      <c r="A392" s="16">
        <f>IFERROR(__xludf.DUMMYFUNCTION("""COMPUTED_VALUE"""),13363.0)</f>
        <v>13363</v>
      </c>
      <c r="B392" s="16" t="str">
        <f>IFERROR(__xludf.DUMMYFUNCTION("""COMPUTED_VALUE"""),"Sean Murphy")</f>
        <v>Sean Murphy</v>
      </c>
      <c r="C392" s="16">
        <f>IFERROR(__xludf.DUMMYFUNCTION("""COMPUTED_VALUE"""),1.43)</f>
        <v>1.43</v>
      </c>
      <c r="D392" s="16" t="str">
        <f>IFERROR(__xludf.DUMMYFUNCTION("""COMPUTED_VALUE"""),"R")</f>
        <v>R</v>
      </c>
      <c r="E392" s="16"/>
      <c r="F392" s="16"/>
      <c r="G392" s="16">
        <f>IFERROR(__xludf.DUMMYFUNCTION("""COMPUTED_VALUE"""),233.0)</f>
        <v>233</v>
      </c>
      <c r="H392" s="16">
        <f>IFERROR(__xludf.DUMMYFUNCTION("""COMPUTED_VALUE"""),27.0)</f>
        <v>27</v>
      </c>
      <c r="I392" s="16" t="str">
        <f>IFERROR(__xludf.DUMMYFUNCTION("""COMPUTED_VALUE"""),"5p40")</f>
        <v>5p40</v>
      </c>
      <c r="J392" s="16">
        <f>IFERROR(__xludf.DUMMYFUNCTION("""COMPUTED_VALUE"""),55.0)</f>
        <v>55</v>
      </c>
      <c r="K392" s="16">
        <f>IFERROR(__xludf.DUMMYFUNCTION("""COMPUTED_VALUE"""),21.0)</f>
        <v>21</v>
      </c>
      <c r="L392" s="16">
        <f>IFERROR(__xludf.DUMMYFUNCTION("""COMPUTED_VALUE"""),-2.0)</f>
        <v>-2</v>
      </c>
      <c r="M392" s="16">
        <f>IFERROR(__xludf.DUMMYFUNCTION("""COMPUTED_VALUE"""),0.0)</f>
        <v>0</v>
      </c>
      <c r="N392" s="16">
        <f>IFERROR(__xludf.DUMMYFUNCTION("""COMPUTED_VALUE"""),-2.0)</f>
        <v>-2</v>
      </c>
      <c r="O392" s="16">
        <f>IFERROR(__xludf.DUMMYFUNCTION("""COMPUTED_VALUE"""),0.0)</f>
        <v>0</v>
      </c>
      <c r="P392" s="16">
        <f>IFERROR(__xludf.DUMMYFUNCTION("""COMPUTED_VALUE"""),4.0)</f>
        <v>4</v>
      </c>
      <c r="Q392" s="16">
        <f>IFERROR(__xludf.DUMMYFUNCTION("""COMPUTED_VALUE"""),17.0)</f>
        <v>17</v>
      </c>
      <c r="R392" s="16">
        <f>IFERROR(__xludf.DUMMYFUNCTION("""COMPUTED_VALUE"""),-2.0)</f>
        <v>-2</v>
      </c>
      <c r="S392" s="16">
        <f>IFERROR(__xludf.DUMMYFUNCTION("""COMPUTED_VALUE"""),2.0)</f>
        <v>2</v>
      </c>
      <c r="T392" s="16">
        <f>IFERROR(__xludf.DUMMYFUNCTION("""COMPUTED_VALUE"""),-2.0)</f>
        <v>-2</v>
      </c>
      <c r="U392" s="16">
        <f>IFERROR(__xludf.DUMMYFUNCTION("""COMPUTED_VALUE"""),2.0)</f>
        <v>2</v>
      </c>
      <c r="V392" s="16">
        <f>IFERROR(__xludf.DUMMYFUNCTION("""COMPUTED_VALUE"""),9.0)</f>
        <v>9</v>
      </c>
      <c r="W392" s="16">
        <f>IFERROR(__xludf.DUMMYFUNCTION("""COMPUTED_VALUE"""),8.3)</f>
        <v>8.3</v>
      </c>
      <c r="X392" s="16">
        <f>IFERROR(__xludf.DUMMYFUNCTION("""COMPUTED_VALUE"""),-2.0)</f>
        <v>-2</v>
      </c>
      <c r="Y392" s="16">
        <f>IFERROR(__xludf.DUMMYFUNCTION("""COMPUTED_VALUE"""),-2.0)</f>
        <v>-2</v>
      </c>
      <c r="Z392" s="16">
        <f>IFERROR(__xludf.DUMMYFUNCTION("""COMPUTED_VALUE"""),-4.0)</f>
        <v>-4</v>
      </c>
      <c r="AA392" s="16">
        <f>IFERROR(__xludf.DUMMYFUNCTION("""COMPUTED_VALUE"""),-4.0)</f>
        <v>-4</v>
      </c>
      <c r="AB392" s="16">
        <f>IFERROR(__xludf.DUMMYFUNCTION("""COMPUTED_VALUE"""),16.0)</f>
        <v>16</v>
      </c>
      <c r="AC392" s="16">
        <f>IFERROR(__xludf.DUMMYFUNCTION("""COMPUTED_VALUE"""),28.3)</f>
        <v>28.3</v>
      </c>
      <c r="AD392" s="16">
        <f>IFERROR(__xludf.DUMMYFUNCTION("""COMPUTED_VALUE"""),-2.0)</f>
        <v>-2</v>
      </c>
      <c r="AE392" s="16">
        <f>IFERROR(__xludf.DUMMYFUNCTION("""COMPUTED_VALUE"""),-1.0)</f>
        <v>-1</v>
      </c>
      <c r="AF392" s="16">
        <f>IFERROR(__xludf.DUMMYFUNCTION("""COMPUTED_VALUE"""),-10.0)</f>
        <v>-10</v>
      </c>
      <c r="AG392" s="16">
        <f>IFERROR(__xludf.DUMMYFUNCTION("""COMPUTED_VALUE"""),-5.0)</f>
        <v>-5</v>
      </c>
      <c r="AH392" s="16">
        <f>IFERROR(__xludf.DUMMYFUNCTION("""COMPUTED_VALUE"""),27.1)</f>
        <v>27.1</v>
      </c>
      <c r="AI392" s="16">
        <f>IFERROR(__xludf.DUMMYFUNCTION("""COMPUTED_VALUE"""),16.0)</f>
        <v>16</v>
      </c>
      <c r="AJ392" s="16">
        <f>IFERROR(__xludf.DUMMYFUNCTION("""COMPUTED_VALUE"""),0.0)</f>
        <v>0</v>
      </c>
      <c r="AK392" s="16">
        <f>IFERROR(__xludf.DUMMYFUNCTION("""COMPUTED_VALUE"""),-2.0)</f>
        <v>-2</v>
      </c>
      <c r="AL392" s="16">
        <f>IFERROR(__xludf.DUMMYFUNCTION("""COMPUTED_VALUE"""),0.0)</f>
        <v>0</v>
      </c>
      <c r="AM392" s="16">
        <f>IFERROR(__xludf.DUMMYFUNCTION("""COMPUTED_VALUE"""),-10.0)</f>
        <v>-10</v>
      </c>
      <c r="AN392" s="16">
        <f>IFERROR(__xludf.DUMMYFUNCTION("""COMPUTED_VALUE"""),5.8)</f>
        <v>5.8</v>
      </c>
      <c r="AO392" s="16">
        <f>IFERROR(__xludf.DUMMYFUNCTION("""COMPUTED_VALUE"""),2.0)</f>
        <v>2</v>
      </c>
      <c r="AP392" s="16">
        <f>IFERROR(__xludf.DUMMYFUNCTION("""COMPUTED_VALUE"""),3.0)</f>
        <v>3</v>
      </c>
      <c r="AQ392" s="16">
        <f>IFERROR(__xludf.DUMMYFUNCTION("""COMPUTED_VALUE"""),-1.0)</f>
        <v>-1</v>
      </c>
      <c r="AR392" s="16">
        <f>IFERROR(__xludf.DUMMYFUNCTION("""COMPUTED_VALUE"""),6.0)</f>
        <v>6</v>
      </c>
      <c r="AS392" s="16">
        <f>IFERROR(__xludf.DUMMYFUNCTION("""COMPUTED_VALUE"""),-2.0)</f>
        <v>-2</v>
      </c>
      <c r="AT392" s="16"/>
      <c r="AU392" s="16">
        <f>IFERROR(__xludf.DUMMYFUNCTION("""COMPUTED_VALUE"""),3.0)</f>
        <v>3</v>
      </c>
      <c r="AV392" s="16">
        <f>IFERROR(__xludf.DUMMYFUNCTION("""COMPUTED_VALUE"""),8.0)</f>
        <v>8</v>
      </c>
      <c r="AW392" s="16">
        <f>IFERROR(__xludf.DUMMYFUNCTION("""COMPUTED_VALUE"""),3.0)</f>
        <v>3</v>
      </c>
      <c r="AX392" s="16">
        <f>IFERROR(__xludf.DUMMYFUNCTION("""COMPUTED_VALUE"""),3.0)</f>
        <v>3</v>
      </c>
      <c r="AY392" s="16">
        <f>IFERROR(__xludf.DUMMYFUNCTION("""COMPUTED_VALUE"""),0.0)</f>
        <v>0</v>
      </c>
      <c r="AZ392" s="16">
        <f>IFERROR(__xludf.DUMMYFUNCTION("""COMPUTED_VALUE"""),9.0)</f>
        <v>9</v>
      </c>
      <c r="BA392" s="16">
        <f>IFERROR(__xludf.DUMMYFUNCTION("""COMPUTED_VALUE"""),0.0)</f>
        <v>0</v>
      </c>
      <c r="BB392" s="16">
        <f>IFERROR(__xludf.DUMMYFUNCTION("""COMPUTED_VALUE"""),0.0)</f>
        <v>0</v>
      </c>
      <c r="BC392" s="16">
        <f>IFERROR(__xludf.DUMMYFUNCTION("""COMPUTED_VALUE"""),5.0)</f>
        <v>5</v>
      </c>
      <c r="BD392" s="16">
        <f>IFERROR(__xludf.DUMMYFUNCTION("""COMPUTED_VALUE"""),0.0)</f>
        <v>0</v>
      </c>
      <c r="BE392" s="16">
        <f>IFERROR(__xludf.DUMMYFUNCTION("""COMPUTED_VALUE"""),1.0)</f>
        <v>1</v>
      </c>
      <c r="BF392" s="16">
        <f>IFERROR(__xludf.DUMMYFUNCTION("""COMPUTED_VALUE"""),0.0)</f>
        <v>0</v>
      </c>
      <c r="BG392" s="16">
        <f>IFERROR(__xludf.DUMMYFUNCTION("""COMPUTED_VALUE"""),1.0)</f>
        <v>1</v>
      </c>
      <c r="BH392" s="16">
        <f>IFERROR(__xludf.DUMMYFUNCTION("""COMPUTED_VALUE"""),0.0)</f>
        <v>0</v>
      </c>
      <c r="BI392" s="16">
        <f>IFERROR(__xludf.DUMMYFUNCTION("""COMPUTED_VALUE"""),-4.0)</f>
        <v>-4</v>
      </c>
      <c r="BJ392" s="16">
        <f>IFERROR(__xludf.DUMMYFUNCTION("""COMPUTED_VALUE"""),21.0)</f>
        <v>21</v>
      </c>
      <c r="BK392" s="16">
        <f>IFERROR(__xludf.DUMMYFUNCTION("""COMPUTED_VALUE"""),18.0)</f>
        <v>18</v>
      </c>
      <c r="BL392" s="16">
        <f>IFERROR(__xludf.DUMMYFUNCTION("""COMPUTED_VALUE"""),-2.0)</f>
        <v>-2</v>
      </c>
      <c r="BM392" s="16">
        <f>IFERROR(__xludf.DUMMYFUNCTION("""COMPUTED_VALUE"""),-1.0)</f>
        <v>-1</v>
      </c>
      <c r="BN392" s="16">
        <f>IFERROR(__xludf.DUMMYFUNCTION("""COMPUTED_VALUE"""),-4.0)</f>
        <v>-4</v>
      </c>
      <c r="BO392" s="16">
        <f>IFERROR(__xludf.DUMMYFUNCTION("""COMPUTED_VALUE"""),-2.0)</f>
        <v>-2</v>
      </c>
      <c r="BP392" s="16">
        <f>IFERROR(__xludf.DUMMYFUNCTION("""COMPUTED_VALUE"""),-4.0)</f>
        <v>-4</v>
      </c>
      <c r="BQ392" s="16">
        <f>IFERROR(__xludf.DUMMYFUNCTION("""COMPUTED_VALUE"""),-4.0)</f>
        <v>-4</v>
      </c>
      <c r="BR392" s="16">
        <f>IFERROR(__xludf.DUMMYFUNCTION("""COMPUTED_VALUE"""),-8.0)</f>
        <v>-8</v>
      </c>
      <c r="BS392" s="16" t="str">
        <f>IFERROR(__xludf.DUMMYFUNCTION("""COMPUTED_VALUE"""),"-/- (---)")</f>
        <v>-/- (---)</v>
      </c>
      <c r="BT392" s="16" t="str">
        <f>IFERROR(__xludf.DUMMYFUNCTION("""COMPUTED_VALUE"""),"E")</f>
        <v>E</v>
      </c>
      <c r="BU392" s="16">
        <f>IFERROR(__xludf.DUMMYFUNCTION("""COMPUTED_VALUE"""),10.0)</f>
        <v>10</v>
      </c>
      <c r="BV392" s="16">
        <f>IFERROR(__xludf.DUMMYFUNCTION("""COMPUTED_VALUE"""),0.0)</f>
        <v>0</v>
      </c>
      <c r="BW392" s="16">
        <f>IFERROR(__xludf.DUMMYFUNCTION("""COMPUTED_VALUE"""),0.0)</f>
        <v>0</v>
      </c>
      <c r="BX392" s="16">
        <f>IFERROR(__xludf.DUMMYFUNCTION("""COMPUTED_VALUE"""),0.0)</f>
        <v>0</v>
      </c>
      <c r="BY392" s="16">
        <f>IFERROR(__xludf.DUMMYFUNCTION("""COMPUTED_VALUE"""),0.0)</f>
        <v>0</v>
      </c>
      <c r="BZ392" s="16" t="str">
        <f>IFERROR(__xludf.DUMMYFUNCTION("""COMPUTED_VALUE"""),"D")</f>
        <v>D</v>
      </c>
      <c r="CA392" s="16" t="str">
        <f>IFERROR(__xludf.DUMMYFUNCTION("""COMPUTED_VALUE"""),"D")</f>
        <v>D</v>
      </c>
      <c r="CB392" s="16">
        <f>IFERROR(__xludf.DUMMYFUNCTION("""COMPUTED_VALUE"""),0.0)</f>
        <v>0</v>
      </c>
      <c r="CC392" s="16">
        <f>IFERROR(__xludf.DUMMYFUNCTION("""COMPUTED_VALUE"""),0.0)</f>
        <v>0</v>
      </c>
      <c r="CD392" s="16">
        <f>IFERROR(__xludf.DUMMYFUNCTION("""COMPUTED_VALUE"""),0.0)</f>
        <v>0</v>
      </c>
      <c r="CE392" s="16">
        <f>IFERROR(__xludf.DUMMYFUNCTION("""COMPUTED_VALUE"""),0.0)</f>
        <v>0</v>
      </c>
      <c r="CF392" s="16">
        <f>IFERROR(__xludf.DUMMYFUNCTION("""COMPUTED_VALUE"""),5.0)</f>
        <v>5</v>
      </c>
      <c r="CG392" s="16">
        <f>IFERROR(__xludf.DUMMYFUNCTION("""COMPUTED_VALUE"""),-7.0)</f>
        <v>-7</v>
      </c>
      <c r="CH392" s="16">
        <f>IFERROR(__xludf.DUMMYFUNCTION("""COMPUTED_VALUE"""),-20.0)</f>
        <v>-20</v>
      </c>
      <c r="CI392" s="179">
        <f>IFERROR(__xludf.DUMMYFUNCTION("""COMPUTED_VALUE"""),-20.0)</f>
        <v>-20</v>
      </c>
      <c r="CJ392" s="16">
        <f>IFERROR(__xludf.DUMMYFUNCTION("""COMPUTED_VALUE"""),202.0)</f>
        <v>202</v>
      </c>
      <c r="CK392" s="16"/>
      <c r="CL392" s="16"/>
      <c r="CM392" s="16"/>
      <c r="CN392" s="16"/>
      <c r="CO392" s="16"/>
      <c r="CP392" s="16"/>
      <c r="CQ392" s="16"/>
      <c r="CR392" s="16" t="str">
        <f>IFERROR(__xludf.DUMMYFUNCTION("""COMPUTED_VALUE"""),"c-2(0)e2,T-8(pb-1)")</f>
        <v>c-2(0)e2,T-8(pb-1)</v>
      </c>
      <c r="CS392" s="16">
        <f>IFERROR(__xludf.DUMMYFUNCTION("""COMPUTED_VALUE"""),2.0)</f>
        <v>2</v>
      </c>
      <c r="CT392" s="16"/>
      <c r="CU392" s="16"/>
      <c r="CV392" s="16"/>
      <c r="CW392" s="16"/>
      <c r="CX392" s="16"/>
      <c r="CY392" s="16"/>
      <c r="CZ392" s="16"/>
      <c r="DA392" s="16">
        <f>IFERROR(__xludf.DUMMYFUNCTION("""COMPUTED_VALUE"""),2.0)</f>
        <v>2</v>
      </c>
      <c r="DB392" s="16"/>
      <c r="DC392" s="16"/>
      <c r="DD392" s="16"/>
      <c r="DE392" s="16"/>
      <c r="DF392" s="16"/>
      <c r="DG392" s="16"/>
      <c r="DH392" s="16"/>
      <c r="DI392" s="16">
        <f>IFERROR(__xludf.DUMMYFUNCTION("""COMPUTED_VALUE"""),2.0)</f>
        <v>2</v>
      </c>
      <c r="DJ392" s="16"/>
      <c r="DK392" s="16"/>
      <c r="DL392" s="16"/>
      <c r="DM392" s="16"/>
      <c r="DN392" s="16"/>
      <c r="DO392" s="16"/>
      <c r="DP392" s="16"/>
      <c r="DQ392" s="16">
        <f>IFERROR(__xludf.DUMMYFUNCTION("""COMPUTED_VALUE"""),4.0)</f>
        <v>4</v>
      </c>
      <c r="DR392" s="16"/>
      <c r="DS392" s="16"/>
      <c r="DT392" s="16"/>
      <c r="DU392" s="16"/>
      <c r="DV392" s="16"/>
      <c r="DW392" s="16"/>
      <c r="DX392" s="16"/>
      <c r="DY392" s="16">
        <f>IFERROR(__xludf.DUMMYFUNCTION("""COMPUTED_VALUE"""),6.0)</f>
        <v>6</v>
      </c>
      <c r="DZ392" s="16"/>
      <c r="EA392" s="16"/>
      <c r="EB392" s="16"/>
      <c r="EC392" s="16"/>
      <c r="ED392" s="16"/>
      <c r="EE392" s="16"/>
      <c r="EF392" s="16"/>
      <c r="EG392" s="179">
        <f>IFERROR(__xludf.DUMMYFUNCTION("""COMPUTED_VALUE"""),-14.0)</f>
        <v>-14</v>
      </c>
      <c r="EH392" s="179"/>
      <c r="EI392" s="179"/>
      <c r="EJ392" s="179"/>
      <c r="EK392" s="179"/>
      <c r="EL392" s="179"/>
      <c r="EM392" s="179"/>
      <c r="EN392" s="179"/>
      <c r="EO392" s="16">
        <f>IFERROR(__xludf.DUMMYFUNCTION("""COMPUTED_VALUE"""),0.0)</f>
        <v>0</v>
      </c>
      <c r="EP392" s="16">
        <f>IFERROR(__xludf.DUMMYFUNCTION("""COMPUTED_VALUE"""),-1.0)</f>
        <v>-1</v>
      </c>
      <c r="EQ392" s="16">
        <f>IFERROR(__xludf.DUMMYFUNCTION("""COMPUTED_VALUE"""),-2.0)</f>
        <v>-2</v>
      </c>
      <c r="ER392" s="16">
        <f>IFERROR(__xludf.DUMMYFUNCTION("""COMPUTED_VALUE"""),-1.0)</f>
        <v>-1</v>
      </c>
      <c r="ES392" s="16" t="str">
        <f>IFERROR(__xludf.DUMMYFUNCTION("""COMPUTED_VALUE"""),"c-2")</f>
        <v>c-2</v>
      </c>
      <c r="ET392" s="16" t="str">
        <f>IFERROR(__xludf.DUMMYFUNCTION("""COMPUTED_VALUE"""),"0)e2,T-8")</f>
        <v>0)e2,T-8</v>
      </c>
      <c r="EU392" s="16" t="str">
        <f>IFERROR(__xludf.DUMMYFUNCTION("""COMPUTED_VALUE"""),"pb-1)")</f>
        <v>pb-1)</v>
      </c>
      <c r="EV392" s="16"/>
      <c r="EW392" s="16">
        <f>IFERROR(__xludf.DUMMYFUNCTION("""COMPUTED_VALUE"""),0.0)</f>
        <v>0</v>
      </c>
      <c r="EX392" s="180">
        <f>IFERROR(__xludf.DUMMYFUNCTION("""COMPUTED_VALUE"""),0.1)</f>
        <v>0.1</v>
      </c>
      <c r="EY392" s="180"/>
      <c r="EZ392" s="180"/>
      <c r="FA392" s="180"/>
      <c r="FB392" s="180"/>
      <c r="FC392" s="180"/>
      <c r="FD392" s="180"/>
      <c r="FE392" s="180"/>
      <c r="FF392" s="180">
        <f>IFERROR(__xludf.DUMMYFUNCTION("""COMPUTED_VALUE"""),0.024)</f>
        <v>0.024</v>
      </c>
      <c r="FG392" s="180"/>
      <c r="FH392" s="180"/>
      <c r="FI392" s="180"/>
      <c r="FJ392" s="180"/>
      <c r="FK392" s="180"/>
      <c r="FL392" s="180"/>
      <c r="FM392" s="180"/>
      <c r="FN392" s="16">
        <f>IFERROR(__xludf.DUMMYFUNCTION("""COMPUTED_VALUE"""),0.8784)</f>
        <v>0.8784</v>
      </c>
      <c r="FO392" s="16"/>
      <c r="FP392" s="16"/>
      <c r="FQ392" s="16"/>
      <c r="FR392" s="16"/>
      <c r="FS392" s="16"/>
      <c r="FT392" s="16"/>
      <c r="FU392" s="16"/>
      <c r="FV392" s="16">
        <f>IFERROR(__xludf.DUMMYFUNCTION("""COMPUTED_VALUE"""),4.0)</f>
        <v>4</v>
      </c>
      <c r="FW392" s="16"/>
      <c r="FX392" s="16"/>
      <c r="FY392" s="16"/>
      <c r="FZ392" s="16"/>
      <c r="GA392" s="16"/>
      <c r="GB392" s="16"/>
      <c r="GC392" s="16"/>
      <c r="GD392" s="16" t="s">
        <v>176</v>
      </c>
    </row>
    <row r="393">
      <c r="A393" s="16">
        <f>IFERROR(__xludf.DUMMYFUNCTION("""COMPUTED_VALUE"""),12670.0)</f>
        <v>12670</v>
      </c>
      <c r="B393" s="16" t="str">
        <f>IFERROR(__xludf.DUMMYFUNCTION("""COMPUTED_VALUE"""),"Chas McCormick")</f>
        <v>Chas McCormick</v>
      </c>
      <c r="C393" s="16">
        <f>IFERROR(__xludf.DUMMYFUNCTION("""COMPUTED_VALUE"""),0.0)</f>
        <v>0</v>
      </c>
      <c r="D393" s="16" t="str">
        <f>IFERROR(__xludf.DUMMYFUNCTION("""COMPUTED_VALUE"""),"R")</f>
        <v>R</v>
      </c>
      <c r="E393" s="16"/>
      <c r="F393" s="16"/>
      <c r="G393" s="16">
        <f>IFERROR(__xludf.DUMMYFUNCTION("""COMPUTED_VALUE"""),242.0)</f>
        <v>242</v>
      </c>
      <c r="H393" s="16">
        <f>IFERROR(__xludf.DUMMYFUNCTION("""COMPUTED_VALUE"""),17.0)</f>
        <v>17</v>
      </c>
      <c r="I393" s="16" t="str">
        <f>IFERROR(__xludf.DUMMYFUNCTION("""COMPUTED_VALUE"""),"3p50")</f>
        <v>3p50</v>
      </c>
      <c r="J393" s="16">
        <f>IFERROR(__xludf.DUMMYFUNCTION("""COMPUTED_VALUE"""),24.0)</f>
        <v>24</v>
      </c>
      <c r="K393" s="16">
        <f>IFERROR(__xludf.DUMMYFUNCTION("""COMPUTED_VALUE"""),39.0)</f>
        <v>39</v>
      </c>
      <c r="L393" s="16">
        <f>IFERROR(__xludf.DUMMYFUNCTION("""COMPUTED_VALUE"""),0.0)</f>
        <v>0</v>
      </c>
      <c r="M393" s="16">
        <f>IFERROR(__xludf.DUMMYFUNCTION("""COMPUTED_VALUE"""),-2.0)</f>
        <v>-2</v>
      </c>
      <c r="N393" s="16">
        <f>IFERROR(__xludf.DUMMYFUNCTION("""COMPUTED_VALUE"""),0.0)</f>
        <v>0</v>
      </c>
      <c r="O393" s="16">
        <f>IFERROR(__xludf.DUMMYFUNCTION("""COMPUTED_VALUE"""),-2.0)</f>
        <v>-2</v>
      </c>
      <c r="P393" s="16">
        <f>IFERROR(__xludf.DUMMYFUNCTION("""COMPUTED_VALUE"""),6.0)</f>
        <v>6</v>
      </c>
      <c r="Q393" s="16">
        <f>IFERROR(__xludf.DUMMYFUNCTION("""COMPUTED_VALUE"""),6.0)</f>
        <v>6</v>
      </c>
      <c r="R393" s="16">
        <f>IFERROR(__xludf.DUMMYFUNCTION("""COMPUTED_VALUE"""),-1.0)</f>
        <v>-1</v>
      </c>
      <c r="S393" s="16">
        <f>IFERROR(__xludf.DUMMYFUNCTION("""COMPUTED_VALUE"""),-1.0)</f>
        <v>-1</v>
      </c>
      <c r="T393" s="16">
        <f>IFERROR(__xludf.DUMMYFUNCTION("""COMPUTED_VALUE"""),-1.0)</f>
        <v>-1</v>
      </c>
      <c r="U393" s="16">
        <f>IFERROR(__xludf.DUMMYFUNCTION("""COMPUTED_VALUE"""),-1.0)</f>
        <v>-1</v>
      </c>
      <c r="V393" s="16">
        <f>IFERROR(__xludf.DUMMYFUNCTION("""COMPUTED_VALUE"""),12.9)</f>
        <v>12.9</v>
      </c>
      <c r="W393" s="16">
        <f>IFERROR(__xludf.DUMMYFUNCTION("""COMPUTED_VALUE"""),14.9)</f>
        <v>14.9</v>
      </c>
      <c r="X393" s="16">
        <f>IFERROR(__xludf.DUMMYFUNCTION("""COMPUTED_VALUE"""),-1.0)</f>
        <v>-1</v>
      </c>
      <c r="Y393" s="16">
        <f>IFERROR(__xludf.DUMMYFUNCTION("""COMPUTED_VALUE"""),-1.0)</f>
        <v>-1</v>
      </c>
      <c r="Z393" s="16">
        <f>IFERROR(__xludf.DUMMYFUNCTION("""COMPUTED_VALUE"""),-2.0)</f>
        <v>-2</v>
      </c>
      <c r="AA393" s="16">
        <f>IFERROR(__xludf.DUMMYFUNCTION("""COMPUTED_VALUE"""),-2.0)</f>
        <v>-2</v>
      </c>
      <c r="AB393" s="16">
        <f>IFERROR(__xludf.DUMMYFUNCTION("""COMPUTED_VALUE"""),21.9)</f>
        <v>21.9</v>
      </c>
      <c r="AC393" s="16">
        <f>IFERROR(__xludf.DUMMYFUNCTION("""COMPUTED_VALUE"""),23.9)</f>
        <v>23.9</v>
      </c>
      <c r="AD393" s="16">
        <f>IFERROR(__xludf.DUMMYFUNCTION("""COMPUTED_VALUE"""),-1.0)</f>
        <v>-1</v>
      </c>
      <c r="AE393" s="16">
        <f>IFERROR(__xludf.DUMMYFUNCTION("""COMPUTED_VALUE"""),-1.0)</f>
        <v>-1</v>
      </c>
      <c r="AF393" s="16">
        <f>IFERROR(__xludf.DUMMYFUNCTION("""COMPUTED_VALUE"""),-5.0)</f>
        <v>-5</v>
      </c>
      <c r="AG393" s="16">
        <f>IFERROR(__xludf.DUMMYFUNCTION("""COMPUTED_VALUE"""),-5.0)</f>
        <v>-5</v>
      </c>
      <c r="AH393" s="16">
        <f>IFERROR(__xludf.DUMMYFUNCTION("""COMPUTED_VALUE"""),24.0)</f>
        <v>24</v>
      </c>
      <c r="AI393" s="16">
        <f>IFERROR(__xludf.DUMMYFUNCTION("""COMPUTED_VALUE"""),19.8)</f>
        <v>19.8</v>
      </c>
      <c r="AJ393" s="16">
        <f>IFERROR(__xludf.DUMMYFUNCTION("""COMPUTED_VALUE"""),-1.0)</f>
        <v>-1</v>
      </c>
      <c r="AK393" s="16">
        <f>IFERROR(__xludf.DUMMYFUNCTION("""COMPUTED_VALUE"""),-2.0)</f>
        <v>-2</v>
      </c>
      <c r="AL393" s="16">
        <f>IFERROR(__xludf.DUMMYFUNCTION("""COMPUTED_VALUE"""),-5.0)</f>
        <v>-5</v>
      </c>
      <c r="AM393" s="16">
        <f>IFERROR(__xludf.DUMMYFUNCTION("""COMPUTED_VALUE"""),-10.0)</f>
        <v>-10</v>
      </c>
      <c r="AN393" s="16">
        <f>IFERROR(__xludf.DUMMYFUNCTION("""COMPUTED_VALUE"""),2.3)</f>
        <v>2.3</v>
      </c>
      <c r="AO393" s="16">
        <f>IFERROR(__xludf.DUMMYFUNCTION("""COMPUTED_VALUE"""),1.3)</f>
        <v>1.3</v>
      </c>
      <c r="AP393" s="16">
        <f>IFERROR(__xludf.DUMMYFUNCTION("""COMPUTED_VALUE"""),0.0)</f>
        <v>0</v>
      </c>
      <c r="AQ393" s="16">
        <f>IFERROR(__xludf.DUMMYFUNCTION("""COMPUTED_VALUE"""),-1.0)</f>
        <v>-1</v>
      </c>
      <c r="AR393" s="16">
        <f>IFERROR(__xludf.DUMMYFUNCTION("""COMPUTED_VALUE"""),0.0)</f>
        <v>0</v>
      </c>
      <c r="AS393" s="16">
        <f>IFERROR(__xludf.DUMMYFUNCTION("""COMPUTED_VALUE"""),-2.0)</f>
        <v>-2</v>
      </c>
      <c r="AT393" s="16"/>
      <c r="AU393" s="16">
        <f>IFERROR(__xludf.DUMMYFUNCTION("""COMPUTED_VALUE"""),1.0)</f>
        <v>1</v>
      </c>
      <c r="AV393" s="16">
        <f>IFERROR(__xludf.DUMMYFUNCTION("""COMPUTED_VALUE"""),-3.0)</f>
        <v>-3</v>
      </c>
      <c r="AW393" s="16">
        <f>IFERROR(__xludf.DUMMYFUNCTION("""COMPUTED_VALUE"""),1.0)</f>
        <v>1</v>
      </c>
      <c r="AX393" s="16">
        <f>IFERROR(__xludf.DUMMYFUNCTION("""COMPUTED_VALUE"""),-3.0)</f>
        <v>-3</v>
      </c>
      <c r="AY393" s="16">
        <f>IFERROR(__xludf.DUMMYFUNCTION("""COMPUTED_VALUE"""),-1.0)</f>
        <v>-1</v>
      </c>
      <c r="AZ393" s="16">
        <f>IFERROR(__xludf.DUMMYFUNCTION("""COMPUTED_VALUE"""),-9.0)</f>
        <v>-9</v>
      </c>
      <c r="BA393" s="16">
        <f>IFERROR(__xludf.DUMMYFUNCTION("""COMPUTED_VALUE"""),-3.0)</f>
        <v>-3</v>
      </c>
      <c r="BB393" s="16">
        <f>IFERROR(__xludf.DUMMYFUNCTION("""COMPUTED_VALUE"""),5.0)</f>
        <v>5</v>
      </c>
      <c r="BC393" s="16">
        <f>IFERROR(__xludf.DUMMYFUNCTION("""COMPUTED_VALUE"""),5.0)</f>
        <v>5</v>
      </c>
      <c r="BD393" s="16">
        <f>IFERROR(__xludf.DUMMYFUNCTION("""COMPUTED_VALUE"""),1.0)</f>
        <v>1</v>
      </c>
      <c r="BE393" s="16">
        <f>IFERROR(__xludf.DUMMYFUNCTION("""COMPUTED_VALUE"""),1.0)</f>
        <v>1</v>
      </c>
      <c r="BF393" s="16">
        <f>IFERROR(__xludf.DUMMYFUNCTION("""COMPUTED_VALUE"""),1.0)</f>
        <v>1</v>
      </c>
      <c r="BG393" s="16">
        <f>IFERROR(__xludf.DUMMYFUNCTION("""COMPUTED_VALUE"""),1.0)</f>
        <v>1</v>
      </c>
      <c r="BH393" s="16">
        <f>IFERROR(__xludf.DUMMYFUNCTION("""COMPUTED_VALUE"""),0.0)</f>
        <v>0</v>
      </c>
      <c r="BI393" s="16">
        <f>IFERROR(__xludf.DUMMYFUNCTION("""COMPUTED_VALUE"""),0.0)</f>
        <v>0</v>
      </c>
      <c r="BJ393" s="16">
        <f>IFERROR(__xludf.DUMMYFUNCTION("""COMPUTED_VALUE"""),7.0)</f>
        <v>7</v>
      </c>
      <c r="BK393" s="16">
        <f>IFERROR(__xludf.DUMMYFUNCTION("""COMPUTED_VALUE"""),8.0)</f>
        <v>8</v>
      </c>
      <c r="BL393" s="16">
        <f>IFERROR(__xludf.DUMMYFUNCTION("""COMPUTED_VALUE"""),1.0)</f>
        <v>1</v>
      </c>
      <c r="BM393" s="16">
        <f>IFERROR(__xludf.DUMMYFUNCTION("""COMPUTED_VALUE"""),1.0)</f>
        <v>1</v>
      </c>
      <c r="BN393" s="16">
        <f>IFERROR(__xludf.DUMMYFUNCTION("""COMPUTED_VALUE"""),1.0)</f>
        <v>1</v>
      </c>
      <c r="BO393" s="16">
        <f>IFERROR(__xludf.DUMMYFUNCTION("""COMPUTED_VALUE"""),1.0)</f>
        <v>1</v>
      </c>
      <c r="BP393" s="16">
        <f>IFERROR(__xludf.DUMMYFUNCTION("""COMPUTED_VALUE"""),-5.0)</f>
        <v>-5</v>
      </c>
      <c r="BQ393" s="16">
        <f>IFERROR(__xludf.DUMMYFUNCTION("""COMPUTED_VALUE"""),-7.0)</f>
        <v>-7</v>
      </c>
      <c r="BR393" s="16">
        <f>IFERROR(__xludf.DUMMYFUNCTION("""COMPUTED_VALUE"""),-12.0)</f>
        <v>-12</v>
      </c>
      <c r="BS393" s="16" t="str">
        <f>IFERROR(__xludf.DUMMYFUNCTION("""COMPUTED_VALUE"""),"*5,6/- (18-12)")</f>
        <v>*5,6/- (18-12)</v>
      </c>
      <c r="BT393" s="16" t="str">
        <f>IFERROR(__xludf.DUMMYFUNCTION("""COMPUTED_VALUE"""),"B")</f>
        <v>B</v>
      </c>
      <c r="BU393" s="16">
        <f>IFERROR(__xludf.DUMMYFUNCTION("""COMPUTED_VALUE"""),14.0)</f>
        <v>14</v>
      </c>
      <c r="BV393" s="16">
        <f>IFERROR(__xludf.DUMMYFUNCTION("""COMPUTED_VALUE"""),1.0)</f>
        <v>1</v>
      </c>
      <c r="BW393" s="16">
        <f>IFERROR(__xludf.DUMMYFUNCTION("""COMPUTED_VALUE"""),1.0)</f>
        <v>1</v>
      </c>
      <c r="BX393" s="16">
        <f>IFERROR(__xludf.DUMMYFUNCTION("""COMPUTED_VALUE"""),2.0)</f>
        <v>2</v>
      </c>
      <c r="BY393" s="16">
        <f>IFERROR(__xludf.DUMMYFUNCTION("""COMPUTED_VALUE"""),3.0)</f>
        <v>3</v>
      </c>
      <c r="BZ393" s="16" t="str">
        <f>IFERROR(__xludf.DUMMYFUNCTION("""COMPUTED_VALUE"""),"C")</f>
        <v>C</v>
      </c>
      <c r="CA393" s="16" t="str">
        <f>IFERROR(__xludf.DUMMYFUNCTION("""COMPUTED_VALUE"""),"D")</f>
        <v>D</v>
      </c>
      <c r="CB393" s="16">
        <f>IFERROR(__xludf.DUMMYFUNCTION("""COMPUTED_VALUE"""),0.0)</f>
        <v>0</v>
      </c>
      <c r="CC393" s="16">
        <f>IFERROR(__xludf.DUMMYFUNCTION("""COMPUTED_VALUE"""),0.0)</f>
        <v>0</v>
      </c>
      <c r="CD393" s="16">
        <f>IFERROR(__xludf.DUMMYFUNCTION("""COMPUTED_VALUE"""),0.0)</f>
        <v>0</v>
      </c>
      <c r="CE393" s="16">
        <f>IFERROR(__xludf.DUMMYFUNCTION("""COMPUTED_VALUE"""),0.0)</f>
        <v>0</v>
      </c>
      <c r="CF393" s="16">
        <f>IFERROR(__xludf.DUMMYFUNCTION("""COMPUTED_VALUE"""),3.0)</f>
        <v>3</v>
      </c>
      <c r="CG393" s="16">
        <f>IFERROR(__xludf.DUMMYFUNCTION("""COMPUTED_VALUE"""),-20.0)</f>
        <v>-20</v>
      </c>
      <c r="CH393" s="16">
        <f>IFERROR(__xludf.DUMMYFUNCTION("""COMPUTED_VALUE"""),-23.0)</f>
        <v>-23</v>
      </c>
      <c r="CI393" s="179">
        <f>IFERROR(__xludf.DUMMYFUNCTION("""COMPUTED_VALUE"""),-20.0)</f>
        <v>-20</v>
      </c>
      <c r="CJ393" s="16"/>
      <c r="CK393" s="16"/>
      <c r="CL393" s="16"/>
      <c r="CM393" s="16"/>
      <c r="CN393" s="16"/>
      <c r="CO393" s="16">
        <f>IFERROR(__xludf.DUMMYFUNCTION("""COMPUTED_VALUE"""),202.0)</f>
        <v>202</v>
      </c>
      <c r="CP393" s="16">
        <f>IFERROR(__xludf.DUMMYFUNCTION("""COMPUTED_VALUE"""),202.0)</f>
        <v>202</v>
      </c>
      <c r="CQ393" s="16">
        <f>IFERROR(__xludf.DUMMYFUNCTION("""COMPUTED_VALUE"""),202.0)</f>
        <v>202</v>
      </c>
      <c r="CR393" s="16" t="str">
        <f>IFERROR(__xludf.DUMMYFUNCTION("""COMPUTED_VALUE"""),"lf-2(+1)e2 rf-2e2 cf-2e2")</f>
        <v>lf-2(+1)e2 rf-2e2 cf-2e2</v>
      </c>
      <c r="CS393" s="16"/>
      <c r="CT393" s="16"/>
      <c r="CU393" s="16"/>
      <c r="CV393" s="16"/>
      <c r="CW393" s="16"/>
      <c r="CX393" s="16">
        <f>IFERROR(__xludf.DUMMYFUNCTION("""COMPUTED_VALUE"""),2.0)</f>
        <v>2</v>
      </c>
      <c r="CY393" s="16">
        <f>IFERROR(__xludf.DUMMYFUNCTION("""COMPUTED_VALUE"""),2.0)</f>
        <v>2</v>
      </c>
      <c r="CZ393" s="16">
        <f>IFERROR(__xludf.DUMMYFUNCTION("""COMPUTED_VALUE"""),2.0)</f>
        <v>2</v>
      </c>
      <c r="DA393" s="16"/>
      <c r="DB393" s="16"/>
      <c r="DC393" s="16"/>
      <c r="DD393" s="16"/>
      <c r="DE393" s="16"/>
      <c r="DF393" s="16">
        <f>IFERROR(__xludf.DUMMYFUNCTION("""COMPUTED_VALUE"""),2.0)</f>
        <v>2</v>
      </c>
      <c r="DG393" s="16">
        <f>IFERROR(__xludf.DUMMYFUNCTION("""COMPUTED_VALUE"""),2.0)</f>
        <v>2</v>
      </c>
      <c r="DH393" s="16">
        <f>IFERROR(__xludf.DUMMYFUNCTION("""COMPUTED_VALUE"""),2.0)</f>
        <v>2</v>
      </c>
      <c r="DI393" s="16"/>
      <c r="DJ393" s="16"/>
      <c r="DK393" s="16"/>
      <c r="DL393" s="16"/>
      <c r="DM393" s="16"/>
      <c r="DN393" s="16">
        <f>IFERROR(__xludf.DUMMYFUNCTION("""COMPUTED_VALUE"""),3.0)</f>
        <v>3</v>
      </c>
      <c r="DO393" s="16">
        <f>IFERROR(__xludf.DUMMYFUNCTION("""COMPUTED_VALUE"""),2.0)</f>
        <v>2</v>
      </c>
      <c r="DP393" s="16">
        <f>IFERROR(__xludf.DUMMYFUNCTION("""COMPUTED_VALUE"""),3.0)</f>
        <v>3</v>
      </c>
      <c r="DQ393" s="16"/>
      <c r="DR393" s="16"/>
      <c r="DS393" s="16"/>
      <c r="DT393" s="16"/>
      <c r="DU393" s="16"/>
      <c r="DV393" s="16">
        <f>IFERROR(__xludf.DUMMYFUNCTION("""COMPUTED_VALUE"""),4.0)</f>
        <v>4</v>
      </c>
      <c r="DW393" s="16">
        <f>IFERROR(__xludf.DUMMYFUNCTION("""COMPUTED_VALUE"""),4.0)</f>
        <v>4</v>
      </c>
      <c r="DX393" s="16">
        <f>IFERROR(__xludf.DUMMYFUNCTION("""COMPUTED_VALUE"""),4.0)</f>
        <v>4</v>
      </c>
      <c r="DY393" s="16"/>
      <c r="DZ393" s="16"/>
      <c r="EA393" s="16"/>
      <c r="EB393" s="16"/>
      <c r="EC393" s="16"/>
      <c r="ED393" s="16">
        <f>IFERROR(__xludf.DUMMYFUNCTION("""COMPUTED_VALUE"""),7.0)</f>
        <v>7</v>
      </c>
      <c r="EE393" s="16">
        <f>IFERROR(__xludf.DUMMYFUNCTION("""COMPUTED_VALUE"""),6.0)</f>
        <v>6</v>
      </c>
      <c r="EF393" s="16">
        <f>IFERROR(__xludf.DUMMYFUNCTION("""COMPUTED_VALUE"""),7.0)</f>
        <v>7</v>
      </c>
      <c r="EG393" s="179"/>
      <c r="EH393" s="179"/>
      <c r="EI393" s="179"/>
      <c r="EJ393" s="179"/>
      <c r="EK393" s="179"/>
      <c r="EL393" s="179">
        <f>IFERROR(__xludf.DUMMYFUNCTION("""COMPUTED_VALUE"""),-13.0)</f>
        <v>-13</v>
      </c>
      <c r="EM393" s="179">
        <f>IFERROR(__xludf.DUMMYFUNCTION("""COMPUTED_VALUE"""),-14.0)</f>
        <v>-14</v>
      </c>
      <c r="EN393" s="179">
        <f>IFERROR(__xludf.DUMMYFUNCTION("""COMPUTED_VALUE"""),-13.0)</f>
        <v>-13</v>
      </c>
      <c r="EO393" s="16"/>
      <c r="EP393" s="16">
        <f>IFERROR(__xludf.DUMMYFUNCTION("""COMPUTED_VALUE"""),-5.0)</f>
        <v>-5</v>
      </c>
      <c r="EQ393" s="16">
        <f>IFERROR(__xludf.DUMMYFUNCTION("""COMPUTED_VALUE"""),1.0)</f>
        <v>1</v>
      </c>
      <c r="ER393" s="16">
        <f>IFERROR(__xludf.DUMMYFUNCTION("""COMPUTED_VALUE"""),0.0)</f>
        <v>0</v>
      </c>
      <c r="ES393" s="16"/>
      <c r="ET393" s="16"/>
      <c r="EU393" s="16"/>
      <c r="EV393" s="16"/>
      <c r="EW393" s="16"/>
      <c r="EX393" s="180"/>
      <c r="EY393" s="180"/>
      <c r="EZ393" s="180"/>
      <c r="FA393" s="180"/>
      <c r="FB393" s="180"/>
      <c r="FC393" s="180">
        <f>IFERROR(__xludf.DUMMYFUNCTION("""COMPUTED_VALUE"""),0.15)</f>
        <v>0.15</v>
      </c>
      <c r="FD393" s="180">
        <f>IFERROR(__xludf.DUMMYFUNCTION("""COMPUTED_VALUE"""),0.15)</f>
        <v>0.15</v>
      </c>
      <c r="FE393" s="180">
        <f>IFERROR(__xludf.DUMMYFUNCTION("""COMPUTED_VALUE"""),0.15)</f>
        <v>0.15</v>
      </c>
      <c r="FF393" s="180"/>
      <c r="FG393" s="180"/>
      <c r="FH393" s="180"/>
      <c r="FI393" s="180"/>
      <c r="FJ393" s="180"/>
      <c r="FK393" s="180">
        <f>IFERROR(__xludf.DUMMYFUNCTION("""COMPUTED_VALUE"""),0.037)</f>
        <v>0.037</v>
      </c>
      <c r="FL393" s="180">
        <f>IFERROR(__xludf.DUMMYFUNCTION("""COMPUTED_VALUE"""),0.023148148148148147)</f>
        <v>0.02314814815</v>
      </c>
      <c r="FM393" s="180">
        <f>IFERROR(__xludf.DUMMYFUNCTION("""COMPUTED_VALUE"""),0.037)</f>
        <v>0.037</v>
      </c>
      <c r="FN393" s="16"/>
      <c r="FO393" s="16"/>
      <c r="FP393" s="16"/>
      <c r="FQ393" s="16"/>
      <c r="FR393" s="16"/>
      <c r="FS393" s="16">
        <f>IFERROR(__xludf.DUMMYFUNCTION("""COMPUTED_VALUE"""),0.81855)</f>
        <v>0.81855</v>
      </c>
      <c r="FT393" s="16">
        <f>IFERROR(__xludf.DUMMYFUNCTION("""COMPUTED_VALUE"""),0.830324074074074)</f>
        <v>0.8303240741</v>
      </c>
      <c r="FU393" s="16">
        <f>IFERROR(__xludf.DUMMYFUNCTION("""COMPUTED_VALUE"""),0.81855)</f>
        <v>0.81855</v>
      </c>
      <c r="FV393" s="16"/>
      <c r="FW393" s="16"/>
      <c r="FX393" s="16"/>
      <c r="FY393" s="16"/>
      <c r="FZ393" s="16"/>
      <c r="GA393" s="16">
        <f>IFERROR(__xludf.DUMMYFUNCTION("""COMPUTED_VALUE"""),6.0)</f>
        <v>6</v>
      </c>
      <c r="GB393" s="16">
        <f>IFERROR(__xludf.DUMMYFUNCTION("""COMPUTED_VALUE"""),6.0)</f>
        <v>6</v>
      </c>
      <c r="GC393" s="16">
        <f>IFERROR(__xludf.DUMMYFUNCTION("""COMPUTED_VALUE"""),6.0)</f>
        <v>6</v>
      </c>
      <c r="GD393" s="16" t="s">
        <v>387</v>
      </c>
    </row>
    <row r="394">
      <c r="A394" s="16">
        <f>IFERROR(__xludf.DUMMYFUNCTION("""COMPUTED_VALUE"""),13460.0)</f>
        <v>13460</v>
      </c>
      <c r="B394" s="16" t="str">
        <f>IFERROR(__xludf.DUMMYFUNCTION("""COMPUTED_VALUE"""),"Tyler Wade")</f>
        <v>Tyler Wade</v>
      </c>
      <c r="C394" s="16">
        <f>IFERROR(__xludf.DUMMYFUNCTION("""COMPUTED_VALUE"""),0.0)</f>
        <v>0</v>
      </c>
      <c r="D394" s="16" t="str">
        <f>IFERROR(__xludf.DUMMYFUNCTION("""COMPUTED_VALUE"""),"L")</f>
        <v>L</v>
      </c>
      <c r="E394" s="16"/>
      <c r="F394" s="16"/>
      <c r="G394" s="16">
        <f>IFERROR(__xludf.DUMMYFUNCTION("""COMPUTED_VALUE"""),138.0)</f>
        <v>138</v>
      </c>
      <c r="H394" s="16">
        <f>IFERROR(__xludf.DUMMYFUNCTION("""COMPUTED_VALUE"""),11.0)</f>
        <v>11</v>
      </c>
      <c r="I394" s="16" t="str">
        <f>IFERROR(__xludf.DUMMYFUNCTION("""COMPUTED_VALUE"""),"1p40")</f>
        <v>1p40</v>
      </c>
      <c r="J394" s="16">
        <f>IFERROR(__xludf.DUMMYFUNCTION("""COMPUTED_VALUE"""),6.0)</f>
        <v>6</v>
      </c>
      <c r="K394" s="16">
        <f>IFERROR(__xludf.DUMMYFUNCTION("""COMPUTED_VALUE"""),19.0)</f>
        <v>19</v>
      </c>
      <c r="L394" s="16">
        <f>IFERROR(__xludf.DUMMYFUNCTION("""COMPUTED_VALUE"""),2.0)</f>
        <v>2</v>
      </c>
      <c r="M394" s="16">
        <f>IFERROR(__xludf.DUMMYFUNCTION("""COMPUTED_VALUE"""),1.0)</f>
        <v>1</v>
      </c>
      <c r="N394" s="16">
        <f>IFERROR(__xludf.DUMMYFUNCTION("""COMPUTED_VALUE"""),2.0)</f>
        <v>2</v>
      </c>
      <c r="O394" s="16">
        <f>IFERROR(__xludf.DUMMYFUNCTION("""COMPUTED_VALUE"""),1.0)</f>
        <v>1</v>
      </c>
      <c r="P394" s="16">
        <f>IFERROR(__xludf.DUMMYFUNCTION("""COMPUTED_VALUE"""),3.0)</f>
        <v>3</v>
      </c>
      <c r="Q394" s="16">
        <f>IFERROR(__xludf.DUMMYFUNCTION("""COMPUTED_VALUE"""),6.0)</f>
        <v>6</v>
      </c>
      <c r="R394" s="16">
        <f>IFERROR(__xludf.DUMMYFUNCTION("""COMPUTED_VALUE"""),-2.0)</f>
        <v>-2</v>
      </c>
      <c r="S394" s="16">
        <f>IFERROR(__xludf.DUMMYFUNCTION("""COMPUTED_VALUE"""),-1.0)</f>
        <v>-1</v>
      </c>
      <c r="T394" s="16">
        <f>IFERROR(__xludf.DUMMYFUNCTION("""COMPUTED_VALUE"""),-2.0)</f>
        <v>-2</v>
      </c>
      <c r="U394" s="16">
        <f>IFERROR(__xludf.DUMMYFUNCTION("""COMPUTED_VALUE"""),-1.0)</f>
        <v>-1</v>
      </c>
      <c r="V394" s="16">
        <f>IFERROR(__xludf.DUMMYFUNCTION("""COMPUTED_VALUE"""),0.0)</f>
        <v>0</v>
      </c>
      <c r="W394" s="16">
        <f>IFERROR(__xludf.DUMMYFUNCTION("""COMPUTED_VALUE"""),19.7)</f>
        <v>19.7</v>
      </c>
      <c r="X394" s="16">
        <f>IFERROR(__xludf.DUMMYFUNCTION("""COMPUTED_VALUE"""),-2.0)</f>
        <v>-2</v>
      </c>
      <c r="Y394" s="16">
        <f>IFERROR(__xludf.DUMMYFUNCTION("""COMPUTED_VALUE"""),0.0)</f>
        <v>0</v>
      </c>
      <c r="Z394" s="16">
        <f>IFERROR(__xludf.DUMMYFUNCTION("""COMPUTED_VALUE"""),-4.0)</f>
        <v>-4</v>
      </c>
      <c r="AA394" s="16">
        <f>IFERROR(__xludf.DUMMYFUNCTION("""COMPUTED_VALUE"""),0.0)</f>
        <v>0</v>
      </c>
      <c r="AB394" s="16">
        <f>IFERROR(__xludf.DUMMYFUNCTION("""COMPUTED_VALUE"""),6.0)</f>
        <v>6</v>
      </c>
      <c r="AC394" s="16">
        <f>IFERROR(__xludf.DUMMYFUNCTION("""COMPUTED_VALUE"""),28.7)</f>
        <v>28.7</v>
      </c>
      <c r="AD394" s="16">
        <f>IFERROR(__xludf.DUMMYFUNCTION("""COMPUTED_VALUE"""),-3.0)</f>
        <v>-3</v>
      </c>
      <c r="AE394" s="16">
        <f>IFERROR(__xludf.DUMMYFUNCTION("""COMPUTED_VALUE"""),0.0)</f>
        <v>0</v>
      </c>
      <c r="AF394" s="16">
        <f>IFERROR(__xludf.DUMMYFUNCTION("""COMPUTED_VALUE"""),-15.0)</f>
        <v>-15</v>
      </c>
      <c r="AG394" s="16">
        <f>IFERROR(__xludf.DUMMYFUNCTION("""COMPUTED_VALUE"""),0.0)</f>
        <v>0</v>
      </c>
      <c r="AH394" s="16">
        <f>IFERROR(__xludf.DUMMYFUNCTION("""COMPUTED_VALUE"""),0.0)</f>
        <v>0</v>
      </c>
      <c r="AI394" s="16">
        <f>IFERROR(__xludf.DUMMYFUNCTION("""COMPUTED_VALUE"""),19.7)</f>
        <v>19.7</v>
      </c>
      <c r="AJ394" s="16">
        <f>IFERROR(__xludf.DUMMYFUNCTION("""COMPUTED_VALUE"""),-2.0)</f>
        <v>-2</v>
      </c>
      <c r="AK394" s="16">
        <f>IFERROR(__xludf.DUMMYFUNCTION("""COMPUTED_VALUE"""),-2.0)</f>
        <v>-2</v>
      </c>
      <c r="AL394" s="16">
        <f>IFERROR(__xludf.DUMMYFUNCTION("""COMPUTED_VALUE"""),-10.0)</f>
        <v>-10</v>
      </c>
      <c r="AM394" s="16">
        <f>IFERROR(__xludf.DUMMYFUNCTION("""COMPUTED_VALUE"""),-10.0)</f>
        <v>-10</v>
      </c>
      <c r="AN394" s="16">
        <f>IFERROR(__xludf.DUMMYFUNCTION("""COMPUTED_VALUE"""),0.0)</f>
        <v>0</v>
      </c>
      <c r="AO394" s="16">
        <f>IFERROR(__xludf.DUMMYFUNCTION("""COMPUTED_VALUE"""),0.0)</f>
        <v>0</v>
      </c>
      <c r="AP394" s="16">
        <f>IFERROR(__xludf.DUMMYFUNCTION("""COMPUTED_VALUE"""),-2.0)</f>
        <v>-2</v>
      </c>
      <c r="AQ394" s="16">
        <f>IFERROR(__xludf.DUMMYFUNCTION("""COMPUTED_VALUE"""),-3.0)</f>
        <v>-3</v>
      </c>
      <c r="AR394" s="16">
        <f>IFERROR(__xludf.DUMMYFUNCTION("""COMPUTED_VALUE"""),-4.0)</f>
        <v>-4</v>
      </c>
      <c r="AS394" s="16">
        <f>IFERROR(__xludf.DUMMYFUNCTION("""COMPUTED_VALUE"""),-6.0)</f>
        <v>-6</v>
      </c>
      <c r="AT394" s="16"/>
      <c r="AU394" s="16"/>
      <c r="AV394" s="16">
        <f>IFERROR(__xludf.DUMMYFUNCTION("""COMPUTED_VALUE"""),-3.0)</f>
        <v>-3</v>
      </c>
      <c r="AW394" s="16">
        <f>IFERROR(__xludf.DUMMYFUNCTION("""COMPUTED_VALUE"""),-3.0)</f>
        <v>-3</v>
      </c>
      <c r="AX394" s="16">
        <f>IFERROR(__xludf.DUMMYFUNCTION("""COMPUTED_VALUE"""),-3.0)</f>
        <v>-3</v>
      </c>
      <c r="AY394" s="16">
        <f>IFERROR(__xludf.DUMMYFUNCTION("""COMPUTED_VALUE"""),-3.0)</f>
        <v>-3</v>
      </c>
      <c r="AZ394" s="16">
        <f>IFERROR(__xludf.DUMMYFUNCTION("""COMPUTED_VALUE"""),-9.0)</f>
        <v>-9</v>
      </c>
      <c r="BA394" s="16">
        <f>IFERROR(__xludf.DUMMYFUNCTION("""COMPUTED_VALUE"""),-9.0)</f>
        <v>-9</v>
      </c>
      <c r="BB394" s="16">
        <f>IFERROR(__xludf.DUMMYFUNCTION("""COMPUTED_VALUE"""),0.0)</f>
        <v>0</v>
      </c>
      <c r="BC394" s="16">
        <f>IFERROR(__xludf.DUMMYFUNCTION("""COMPUTED_VALUE"""),5.0)</f>
        <v>5</v>
      </c>
      <c r="BD394" s="16">
        <f>IFERROR(__xludf.DUMMYFUNCTION("""COMPUTED_VALUE"""),0.0)</f>
        <v>0</v>
      </c>
      <c r="BE394" s="16">
        <f>IFERROR(__xludf.DUMMYFUNCTION("""COMPUTED_VALUE"""),1.0)</f>
        <v>1</v>
      </c>
      <c r="BF394" s="16">
        <f>IFERROR(__xludf.DUMMYFUNCTION("""COMPUTED_VALUE"""),0.0)</f>
        <v>0</v>
      </c>
      <c r="BG394" s="16">
        <f>IFERROR(__xludf.DUMMYFUNCTION("""COMPUTED_VALUE"""),1.0)</f>
        <v>1</v>
      </c>
      <c r="BH394" s="16">
        <f>IFERROR(__xludf.DUMMYFUNCTION("""COMPUTED_VALUE"""),0.0)</f>
        <v>0</v>
      </c>
      <c r="BI394" s="16">
        <f>IFERROR(__xludf.DUMMYFUNCTION("""COMPUTED_VALUE"""),-2.0)</f>
        <v>-2</v>
      </c>
      <c r="BJ394" s="16">
        <f>IFERROR(__xludf.DUMMYFUNCTION("""COMPUTED_VALUE"""),0.0)</f>
        <v>0</v>
      </c>
      <c r="BK394" s="16">
        <f>IFERROR(__xludf.DUMMYFUNCTION("""COMPUTED_VALUE"""),0.0)</f>
        <v>0</v>
      </c>
      <c r="BL394" s="16">
        <f>IFERROR(__xludf.DUMMYFUNCTION("""COMPUTED_VALUE"""),3.0)</f>
        <v>3</v>
      </c>
      <c r="BM394" s="16">
        <f>IFERROR(__xludf.DUMMYFUNCTION("""COMPUTED_VALUE"""),3.0)</f>
        <v>3</v>
      </c>
      <c r="BN394" s="16">
        <f>IFERROR(__xludf.DUMMYFUNCTION("""COMPUTED_VALUE"""),3.0)</f>
        <v>3</v>
      </c>
      <c r="BO394" s="16">
        <f>IFERROR(__xludf.DUMMYFUNCTION("""COMPUTED_VALUE"""),3.0)</f>
        <v>3</v>
      </c>
      <c r="BP394" s="16">
        <f>IFERROR(__xludf.DUMMYFUNCTION("""COMPUTED_VALUE"""),-9.0)</f>
        <v>-9</v>
      </c>
      <c r="BQ394" s="16">
        <f>IFERROR(__xludf.DUMMYFUNCTION("""COMPUTED_VALUE"""),-4.0)</f>
        <v>-4</v>
      </c>
      <c r="BR394" s="16">
        <f>IFERROR(__xludf.DUMMYFUNCTION("""COMPUTED_VALUE"""),-13.0)</f>
        <v>-13</v>
      </c>
      <c r="BS394" s="16" t="str">
        <f>IFERROR(__xludf.DUMMYFUNCTION("""COMPUTED_VALUE"""),"*5,6/- (19-13)")</f>
        <v>*5,6/- (19-13)</v>
      </c>
      <c r="BT394" s="16" t="str">
        <f>IFERROR(__xludf.DUMMYFUNCTION("""COMPUTED_VALUE"""),"B")</f>
        <v>B</v>
      </c>
      <c r="BU394" s="16">
        <f>IFERROR(__xludf.DUMMYFUNCTION("""COMPUTED_VALUE"""),16.0)</f>
        <v>16</v>
      </c>
      <c r="BV394" s="16">
        <f>IFERROR(__xludf.DUMMYFUNCTION("""COMPUTED_VALUE"""),1.0)</f>
        <v>1</v>
      </c>
      <c r="BW394" s="16">
        <f>IFERROR(__xludf.DUMMYFUNCTION("""COMPUTED_VALUE"""),2.0)</f>
        <v>2</v>
      </c>
      <c r="BX394" s="16">
        <f>IFERROR(__xludf.DUMMYFUNCTION("""COMPUTED_VALUE"""),2.0)</f>
        <v>2</v>
      </c>
      <c r="BY394" s="16">
        <f>IFERROR(__xludf.DUMMYFUNCTION("""COMPUTED_VALUE"""),6.0)</f>
        <v>6</v>
      </c>
      <c r="BZ394" s="16" t="str">
        <f>IFERROR(__xludf.DUMMYFUNCTION("""COMPUTED_VALUE"""),"A")</f>
        <v>A</v>
      </c>
      <c r="CA394" s="16" t="str">
        <f>IFERROR(__xludf.DUMMYFUNCTION("""COMPUTED_VALUE"""),"D")</f>
        <v>D</v>
      </c>
      <c r="CB394" s="16">
        <f>IFERROR(__xludf.DUMMYFUNCTION("""COMPUTED_VALUE"""),2.0)</f>
        <v>2</v>
      </c>
      <c r="CC394" s="16">
        <f>IFERROR(__xludf.DUMMYFUNCTION("""COMPUTED_VALUE"""),0.0)</f>
        <v>0</v>
      </c>
      <c r="CD394" s="16">
        <f>IFERROR(__xludf.DUMMYFUNCTION("""COMPUTED_VALUE"""),2.0)</f>
        <v>2</v>
      </c>
      <c r="CE394" s="16">
        <f>IFERROR(__xludf.DUMMYFUNCTION("""COMPUTED_VALUE"""),0.0)</f>
        <v>0</v>
      </c>
      <c r="CF394" s="16">
        <f>IFERROR(__xludf.DUMMYFUNCTION("""COMPUTED_VALUE"""),1.0)</f>
        <v>1</v>
      </c>
      <c r="CG394" s="16">
        <f>IFERROR(__xludf.DUMMYFUNCTION("""COMPUTED_VALUE"""),-39.0)</f>
        <v>-39</v>
      </c>
      <c r="CH394" s="16">
        <f>IFERROR(__xludf.DUMMYFUNCTION("""COMPUTED_VALUE"""),-21.0)</f>
        <v>-21</v>
      </c>
      <c r="CI394" s="179">
        <f>IFERROR(__xludf.DUMMYFUNCTION("""COMPUTED_VALUE"""),-20.0)</f>
        <v>-20</v>
      </c>
      <c r="CJ394" s="16"/>
      <c r="CK394" s="16"/>
      <c r="CL394" s="16">
        <f>IFERROR(__xludf.DUMMYFUNCTION("""COMPUTED_VALUE"""),314.0)</f>
        <v>314</v>
      </c>
      <c r="CM394" s="16">
        <f>IFERROR(__xludf.DUMMYFUNCTION("""COMPUTED_VALUE"""),317.0)</f>
        <v>317</v>
      </c>
      <c r="CN394" s="16">
        <f>IFERROR(__xludf.DUMMYFUNCTION("""COMPUTED_VALUE"""),416.0)</f>
        <v>416</v>
      </c>
      <c r="CO394" s="16">
        <f>IFERROR(__xludf.DUMMYFUNCTION("""COMPUTED_VALUE"""),412.0)</f>
        <v>412</v>
      </c>
      <c r="CP394" s="16">
        <f>IFERROR(__xludf.DUMMYFUNCTION("""COMPUTED_VALUE"""),412.0)</f>
        <v>412</v>
      </c>
      <c r="CQ394" s="16">
        <f>IFERROR(__xludf.DUMMYFUNCTION("""COMPUTED_VALUE"""),412.0)</f>
        <v>412</v>
      </c>
      <c r="CR394" s="16" t="str">
        <f>IFERROR(__xludf.DUMMYFUNCTION("""COMPUTED_VALUE"""),"3b-3e17 ss-4e16 2b-3e14 lf-4(+2)e12 cf-4e12 rf-4e12")</f>
        <v>3b-3e17 ss-4e16 2b-3e14 lf-4(+2)e12 cf-4e12 rf-4e12</v>
      </c>
      <c r="CS394" s="16"/>
      <c r="CT394" s="16"/>
      <c r="CU394" s="16">
        <f>IFERROR(__xludf.DUMMYFUNCTION("""COMPUTED_VALUE"""),3.0)</f>
        <v>3</v>
      </c>
      <c r="CV394" s="16">
        <f>IFERROR(__xludf.DUMMYFUNCTION("""COMPUTED_VALUE"""),3.0)</f>
        <v>3</v>
      </c>
      <c r="CW394" s="16">
        <f>IFERROR(__xludf.DUMMYFUNCTION("""COMPUTED_VALUE"""),4.0)</f>
        <v>4</v>
      </c>
      <c r="CX394" s="16">
        <f>IFERROR(__xludf.DUMMYFUNCTION("""COMPUTED_VALUE"""),4.0)</f>
        <v>4</v>
      </c>
      <c r="CY394" s="16">
        <f>IFERROR(__xludf.DUMMYFUNCTION("""COMPUTED_VALUE"""),4.0)</f>
        <v>4</v>
      </c>
      <c r="CZ394" s="16">
        <f>IFERROR(__xludf.DUMMYFUNCTION("""COMPUTED_VALUE"""),4.0)</f>
        <v>4</v>
      </c>
      <c r="DA394" s="16"/>
      <c r="DB394" s="16"/>
      <c r="DC394" s="16">
        <f>IFERROR(__xludf.DUMMYFUNCTION("""COMPUTED_VALUE"""),14.0)</f>
        <v>14</v>
      </c>
      <c r="DD394" s="16">
        <f>IFERROR(__xludf.DUMMYFUNCTION("""COMPUTED_VALUE"""),17.0)</f>
        <v>17</v>
      </c>
      <c r="DE394" s="16">
        <f>IFERROR(__xludf.DUMMYFUNCTION("""COMPUTED_VALUE"""),16.0)</f>
        <v>16</v>
      </c>
      <c r="DF394" s="16">
        <f>IFERROR(__xludf.DUMMYFUNCTION("""COMPUTED_VALUE"""),12.0)</f>
        <v>12</v>
      </c>
      <c r="DG394" s="16">
        <f>IFERROR(__xludf.DUMMYFUNCTION("""COMPUTED_VALUE"""),12.0)</f>
        <v>12</v>
      </c>
      <c r="DH394" s="16">
        <f>IFERROR(__xludf.DUMMYFUNCTION("""COMPUTED_VALUE"""),12.0)</f>
        <v>12</v>
      </c>
      <c r="DI394" s="16"/>
      <c r="DJ394" s="16"/>
      <c r="DK394" s="16">
        <f>IFERROR(__xludf.DUMMYFUNCTION("""COMPUTED_VALUE"""),0.0)</f>
        <v>0</v>
      </c>
      <c r="DL394" s="16">
        <f>IFERROR(__xludf.DUMMYFUNCTION("""COMPUTED_VALUE"""),1.0)</f>
        <v>1</v>
      </c>
      <c r="DM394" s="16">
        <f>IFERROR(__xludf.DUMMYFUNCTION("""COMPUTED_VALUE"""),-2.0)</f>
        <v>-2</v>
      </c>
      <c r="DN394" s="16">
        <f>IFERROR(__xludf.DUMMYFUNCTION("""COMPUTED_VALUE"""),-1.0)</f>
        <v>-1</v>
      </c>
      <c r="DO394" s="16">
        <f>IFERROR(__xludf.DUMMYFUNCTION("""COMPUTED_VALUE"""),-2.0)</f>
        <v>-2</v>
      </c>
      <c r="DP394" s="16">
        <f>IFERROR(__xludf.DUMMYFUNCTION("""COMPUTED_VALUE"""),-1.0)</f>
        <v>-1</v>
      </c>
      <c r="DQ394" s="16"/>
      <c r="DR394" s="16"/>
      <c r="DS394" s="16">
        <f>IFERROR(__xludf.DUMMYFUNCTION("""COMPUTED_VALUE"""),2.0)</f>
        <v>2</v>
      </c>
      <c r="DT394" s="16">
        <f>IFERROR(__xludf.DUMMYFUNCTION("""COMPUTED_VALUE"""),0.0)</f>
        <v>0</v>
      </c>
      <c r="DU394" s="16">
        <f>IFERROR(__xludf.DUMMYFUNCTION("""COMPUTED_VALUE"""),2.0)</f>
        <v>2</v>
      </c>
      <c r="DV394" s="16">
        <f>IFERROR(__xludf.DUMMYFUNCTION("""COMPUTED_VALUE"""),-2.0)</f>
        <v>-2</v>
      </c>
      <c r="DW394" s="16">
        <f>IFERROR(__xludf.DUMMYFUNCTION("""COMPUTED_VALUE"""),0.0)</f>
        <v>0</v>
      </c>
      <c r="DX394" s="16">
        <f>IFERROR(__xludf.DUMMYFUNCTION("""COMPUTED_VALUE"""),-2.0)</f>
        <v>-2</v>
      </c>
      <c r="DY394" s="16"/>
      <c r="DZ394" s="16"/>
      <c r="EA394" s="16">
        <f>IFERROR(__xludf.DUMMYFUNCTION("""COMPUTED_VALUE"""),2.0)</f>
        <v>2</v>
      </c>
      <c r="EB394" s="16">
        <f>IFERROR(__xludf.DUMMYFUNCTION("""COMPUTED_VALUE"""),1.0)</f>
        <v>1</v>
      </c>
      <c r="EC394" s="16">
        <f>IFERROR(__xludf.DUMMYFUNCTION("""COMPUTED_VALUE"""),0.0)</f>
        <v>0</v>
      </c>
      <c r="ED394" s="16">
        <f>IFERROR(__xludf.DUMMYFUNCTION("""COMPUTED_VALUE"""),-3.0)</f>
        <v>-3</v>
      </c>
      <c r="EE394" s="16">
        <f>IFERROR(__xludf.DUMMYFUNCTION("""COMPUTED_VALUE"""),-2.0)</f>
        <v>-2</v>
      </c>
      <c r="EF394" s="16">
        <f>IFERROR(__xludf.DUMMYFUNCTION("""COMPUTED_VALUE"""),-3.0)</f>
        <v>-3</v>
      </c>
      <c r="EG394" s="179"/>
      <c r="EH394" s="179"/>
      <c r="EI394" s="179">
        <f>IFERROR(__xludf.DUMMYFUNCTION("""COMPUTED_VALUE"""),-18.0)</f>
        <v>-18</v>
      </c>
      <c r="EJ394" s="179">
        <f>IFERROR(__xludf.DUMMYFUNCTION("""COMPUTED_VALUE"""),-19.0)</f>
        <v>-19</v>
      </c>
      <c r="EK394" s="179">
        <f>IFERROR(__xludf.DUMMYFUNCTION("""COMPUTED_VALUE"""),-20.0)</f>
        <v>-20</v>
      </c>
      <c r="EL394" s="179">
        <f>IFERROR(__xludf.DUMMYFUNCTION("""COMPUTED_VALUE"""),-23.0)</f>
        <v>-23</v>
      </c>
      <c r="EM394" s="179">
        <f>IFERROR(__xludf.DUMMYFUNCTION("""COMPUTED_VALUE"""),-22.0)</f>
        <v>-22</v>
      </c>
      <c r="EN394" s="179">
        <f>IFERROR(__xludf.DUMMYFUNCTION("""COMPUTED_VALUE"""),-23.0)</f>
        <v>-23</v>
      </c>
      <c r="EO394" s="16"/>
      <c r="EP394" s="16">
        <f>IFERROR(__xludf.DUMMYFUNCTION("""COMPUTED_VALUE"""),0.0)</f>
        <v>0</v>
      </c>
      <c r="EQ394" s="16">
        <f>IFERROR(__xludf.DUMMYFUNCTION("""COMPUTED_VALUE"""),4.0)</f>
        <v>4</v>
      </c>
      <c r="ER394" s="16">
        <f>IFERROR(__xludf.DUMMYFUNCTION("""COMPUTED_VALUE"""),-1.0)</f>
        <v>-1</v>
      </c>
      <c r="ES394" s="16"/>
      <c r="ET394" s="16"/>
      <c r="EU394" s="16"/>
      <c r="EV394" s="16"/>
      <c r="EW394" s="16"/>
      <c r="EX394" s="180"/>
      <c r="EY394" s="180"/>
      <c r="EZ394" s="180">
        <f>IFERROR(__xludf.DUMMYFUNCTION("""COMPUTED_VALUE"""),0.2)</f>
        <v>0.2</v>
      </c>
      <c r="FA394" s="180">
        <f>IFERROR(__xludf.DUMMYFUNCTION("""COMPUTED_VALUE"""),0.2)</f>
        <v>0.2</v>
      </c>
      <c r="FB394" s="180">
        <f>IFERROR(__xludf.DUMMYFUNCTION("""COMPUTED_VALUE"""),0.3)</f>
        <v>0.3</v>
      </c>
      <c r="FC394" s="180">
        <f>IFERROR(__xludf.DUMMYFUNCTION("""COMPUTED_VALUE"""),0.55)</f>
        <v>0.55</v>
      </c>
      <c r="FD394" s="180">
        <f>IFERROR(__xludf.DUMMYFUNCTION("""COMPUTED_VALUE"""),0.55)</f>
        <v>0.55</v>
      </c>
      <c r="FE394" s="180">
        <f>IFERROR(__xludf.DUMMYFUNCTION("""COMPUTED_VALUE"""),0.55)</f>
        <v>0.55</v>
      </c>
      <c r="FF394" s="180"/>
      <c r="FG394" s="180"/>
      <c r="FH394" s="180">
        <f>IFERROR(__xludf.DUMMYFUNCTION("""COMPUTED_VALUE"""),0.08333333333333333)</f>
        <v>0.08333333333</v>
      </c>
      <c r="FI394" s="180">
        <f>IFERROR(__xludf.DUMMYFUNCTION("""COMPUTED_VALUE"""),0.2037037037037037)</f>
        <v>0.2037037037</v>
      </c>
      <c r="FJ394" s="180">
        <f>IFERROR(__xludf.DUMMYFUNCTION("""COMPUTED_VALUE"""),0.08333333333333333)</f>
        <v>0.08333333333</v>
      </c>
      <c r="FK394" s="180">
        <f>IFERROR(__xludf.DUMMYFUNCTION("""COMPUTED_VALUE"""),0.218)</f>
        <v>0.218</v>
      </c>
      <c r="FL394" s="180">
        <f>IFERROR(__xludf.DUMMYFUNCTION("""COMPUTED_VALUE"""),0.14351851851851852)</f>
        <v>0.1435185185</v>
      </c>
      <c r="FM394" s="180">
        <f>IFERROR(__xludf.DUMMYFUNCTION("""COMPUTED_VALUE"""),0.218)</f>
        <v>0.218</v>
      </c>
      <c r="FN394" s="16"/>
      <c r="FO394" s="16"/>
      <c r="FP394" s="16">
        <f>IFERROR(__xludf.DUMMYFUNCTION("""COMPUTED_VALUE"""),0.7333333333333334)</f>
        <v>0.7333333333</v>
      </c>
      <c r="FQ394" s="16">
        <f>IFERROR(__xludf.DUMMYFUNCTION("""COMPUTED_VALUE"""),0.6370370370370371)</f>
        <v>0.637037037</v>
      </c>
      <c r="FR394" s="16">
        <f>IFERROR(__xludf.DUMMYFUNCTION("""COMPUTED_VALUE"""),0.6416666666666666)</f>
        <v>0.6416666667</v>
      </c>
      <c r="FS394" s="16">
        <f>IFERROR(__xludf.DUMMYFUNCTION("""COMPUTED_VALUE"""),0.3519)</f>
        <v>0.3519</v>
      </c>
      <c r="FT394" s="16">
        <f>IFERROR(__xludf.DUMMYFUNCTION("""COMPUTED_VALUE"""),0.38541666666666663)</f>
        <v>0.3854166667</v>
      </c>
      <c r="FU394" s="16">
        <f>IFERROR(__xludf.DUMMYFUNCTION("""COMPUTED_VALUE"""),0.3519)</f>
        <v>0.3519</v>
      </c>
      <c r="FV394" s="16"/>
      <c r="FW394" s="16"/>
      <c r="FX394" s="16">
        <f>IFERROR(__xludf.DUMMYFUNCTION("""COMPUTED_VALUE"""),-4.0)</f>
        <v>-4</v>
      </c>
      <c r="FY394" s="16">
        <f>IFERROR(__xludf.DUMMYFUNCTION("""COMPUTED_VALUE"""),-6.0)</f>
        <v>-6</v>
      </c>
      <c r="FZ394" s="16">
        <f>IFERROR(__xludf.DUMMYFUNCTION("""COMPUTED_VALUE"""),-6.0)</f>
        <v>-6</v>
      </c>
      <c r="GA394" s="16">
        <f>IFERROR(__xludf.DUMMYFUNCTION("""COMPUTED_VALUE"""),-8.0)</f>
        <v>-8</v>
      </c>
      <c r="GB394" s="16">
        <f>IFERROR(__xludf.DUMMYFUNCTION("""COMPUTED_VALUE"""),-8.0)</f>
        <v>-8</v>
      </c>
      <c r="GC394" s="16">
        <f>IFERROR(__xludf.DUMMYFUNCTION("""COMPUTED_VALUE"""),-8.0)</f>
        <v>-8</v>
      </c>
      <c r="GD394" s="16" t="s">
        <v>176</v>
      </c>
    </row>
    <row r="395">
      <c r="A395" s="16">
        <f>IFERROR(__xludf.DUMMYFUNCTION("""COMPUTED_VALUE"""),12770.0)</f>
        <v>12770</v>
      </c>
      <c r="B395" s="16" t="str">
        <f>IFERROR(__xludf.DUMMYFUNCTION("""COMPUTED_VALUE"""),"Dylan Carlson")</f>
        <v>Dylan Carlson</v>
      </c>
      <c r="C395" s="16">
        <f>IFERROR(__xludf.DUMMYFUNCTION("""COMPUTED_VALUE"""),0.0)</f>
        <v>0</v>
      </c>
      <c r="D395" s="16" t="str">
        <f>IFERROR(__xludf.DUMMYFUNCTION("""COMPUTED_VALUE"""),"S")</f>
        <v>S</v>
      </c>
      <c r="E395" s="16"/>
      <c r="F395" s="16"/>
      <c r="G395" s="16">
        <f>IFERROR(__xludf.DUMMYFUNCTION("""COMPUTED_VALUE"""),235.0)</f>
        <v>235</v>
      </c>
      <c r="H395" s="16">
        <f>IFERROR(__xludf.DUMMYFUNCTION("""COMPUTED_VALUE"""),22.0)</f>
        <v>22</v>
      </c>
      <c r="I395" s="16" t="str">
        <f>IFERROR(__xludf.DUMMYFUNCTION("""COMPUTED_VALUE"""),"3p50")</f>
        <v>3p50</v>
      </c>
      <c r="J395" s="16">
        <f>IFERROR(__xludf.DUMMYFUNCTION("""COMPUTED_VALUE"""),27.0)</f>
        <v>27</v>
      </c>
      <c r="K395" s="16">
        <f>IFERROR(__xludf.DUMMYFUNCTION("""COMPUTED_VALUE"""),45.0)</f>
        <v>45</v>
      </c>
      <c r="L395" s="16">
        <f>IFERROR(__xludf.DUMMYFUNCTION("""COMPUTED_VALUE"""),0.0)</f>
        <v>0</v>
      </c>
      <c r="M395" s="16">
        <f>IFERROR(__xludf.DUMMYFUNCTION("""COMPUTED_VALUE"""),-2.0)</f>
        <v>-2</v>
      </c>
      <c r="N395" s="16">
        <f>IFERROR(__xludf.DUMMYFUNCTION("""COMPUTED_VALUE"""),0.0)</f>
        <v>0</v>
      </c>
      <c r="O395" s="16">
        <f>IFERROR(__xludf.DUMMYFUNCTION("""COMPUTED_VALUE"""),-2.0)</f>
        <v>-2</v>
      </c>
      <c r="P395" s="16">
        <f>IFERROR(__xludf.DUMMYFUNCTION("""COMPUTED_VALUE"""),14.0)</f>
        <v>14</v>
      </c>
      <c r="Q395" s="16">
        <f>IFERROR(__xludf.DUMMYFUNCTION("""COMPUTED_VALUE"""),5.0)</f>
        <v>5</v>
      </c>
      <c r="R395" s="16">
        <f>IFERROR(__xludf.DUMMYFUNCTION("""COMPUTED_VALUE"""),2.0)</f>
        <v>2</v>
      </c>
      <c r="S395" s="16">
        <f>IFERROR(__xludf.DUMMYFUNCTION("""COMPUTED_VALUE"""),-1.0)</f>
        <v>-1</v>
      </c>
      <c r="T395" s="16">
        <f>IFERROR(__xludf.DUMMYFUNCTION("""COMPUTED_VALUE"""),2.0)</f>
        <v>2</v>
      </c>
      <c r="U395" s="16">
        <f>IFERROR(__xludf.DUMMYFUNCTION("""COMPUTED_VALUE"""),-1.0)</f>
        <v>-1</v>
      </c>
      <c r="V395" s="16">
        <f>IFERROR(__xludf.DUMMYFUNCTION("""COMPUTED_VALUE"""),11.9)</f>
        <v>11.9</v>
      </c>
      <c r="W395" s="16">
        <f>IFERROR(__xludf.DUMMYFUNCTION("""COMPUTED_VALUE"""),13.1)</f>
        <v>13.1</v>
      </c>
      <c r="X395" s="16">
        <f>IFERROR(__xludf.DUMMYFUNCTION("""COMPUTED_VALUE"""),-1.0)</f>
        <v>-1</v>
      </c>
      <c r="Y395" s="16">
        <f>IFERROR(__xludf.DUMMYFUNCTION("""COMPUTED_VALUE"""),-1.0)</f>
        <v>-1</v>
      </c>
      <c r="Z395" s="16">
        <f>IFERROR(__xludf.DUMMYFUNCTION("""COMPUTED_VALUE"""),-2.0)</f>
        <v>-2</v>
      </c>
      <c r="AA395" s="16">
        <f>IFERROR(__xludf.DUMMYFUNCTION("""COMPUTED_VALUE"""),-2.0)</f>
        <v>-2</v>
      </c>
      <c r="AB395" s="16">
        <f>IFERROR(__xludf.DUMMYFUNCTION("""COMPUTED_VALUE"""),29.9)</f>
        <v>29.9</v>
      </c>
      <c r="AC395" s="16">
        <f>IFERROR(__xludf.DUMMYFUNCTION("""COMPUTED_VALUE"""),22.0)</f>
        <v>22</v>
      </c>
      <c r="AD395" s="16">
        <f>IFERROR(__xludf.DUMMYFUNCTION("""COMPUTED_VALUE"""),0.0)</f>
        <v>0</v>
      </c>
      <c r="AE395" s="16">
        <f>IFERROR(__xludf.DUMMYFUNCTION("""COMPUTED_VALUE"""),-2.0)</f>
        <v>-2</v>
      </c>
      <c r="AF395" s="16">
        <f>IFERROR(__xludf.DUMMYFUNCTION("""COMPUTED_VALUE"""),0.0)</f>
        <v>0</v>
      </c>
      <c r="AG395" s="16">
        <f>IFERROR(__xludf.DUMMYFUNCTION("""COMPUTED_VALUE"""),-10.0)</f>
        <v>-10</v>
      </c>
      <c r="AH395" s="16">
        <f>IFERROR(__xludf.DUMMYFUNCTION("""COMPUTED_VALUE"""),21.5)</f>
        <v>21.5</v>
      </c>
      <c r="AI395" s="16">
        <f>IFERROR(__xludf.DUMMYFUNCTION("""COMPUTED_VALUE"""),22.1)</f>
        <v>22.1</v>
      </c>
      <c r="AJ395" s="16">
        <f>IFERROR(__xludf.DUMMYFUNCTION("""COMPUTED_VALUE"""),-1.0)</f>
        <v>-1</v>
      </c>
      <c r="AK395" s="16">
        <f>IFERROR(__xludf.DUMMYFUNCTION("""COMPUTED_VALUE"""),-1.0)</f>
        <v>-1</v>
      </c>
      <c r="AL395" s="16">
        <f>IFERROR(__xludf.DUMMYFUNCTION("""COMPUTED_VALUE"""),-5.0)</f>
        <v>-5</v>
      </c>
      <c r="AM395" s="16">
        <f>IFERROR(__xludf.DUMMYFUNCTION("""COMPUTED_VALUE"""),-5.0)</f>
        <v>-5</v>
      </c>
      <c r="AN395" s="16">
        <f>IFERROR(__xludf.DUMMYFUNCTION("""COMPUTED_VALUE"""),1.8)</f>
        <v>1.8</v>
      </c>
      <c r="AO395" s="16">
        <f>IFERROR(__xludf.DUMMYFUNCTION("""COMPUTED_VALUE"""),3.0)</f>
        <v>3</v>
      </c>
      <c r="AP395" s="16">
        <f>IFERROR(__xludf.DUMMYFUNCTION("""COMPUTED_VALUE"""),-1.0)</f>
        <v>-1</v>
      </c>
      <c r="AQ395" s="16">
        <f>IFERROR(__xludf.DUMMYFUNCTION("""COMPUTED_VALUE"""),1.0)</f>
        <v>1</v>
      </c>
      <c r="AR395" s="16">
        <f>IFERROR(__xludf.DUMMYFUNCTION("""COMPUTED_VALUE"""),-2.0)</f>
        <v>-2</v>
      </c>
      <c r="AS395" s="16">
        <f>IFERROR(__xludf.DUMMYFUNCTION("""COMPUTED_VALUE"""),2.0)</f>
        <v>2</v>
      </c>
      <c r="AT395" s="16"/>
      <c r="AU395" s="16"/>
      <c r="AV395" s="16">
        <f>IFERROR(__xludf.DUMMYFUNCTION("""COMPUTED_VALUE"""),-3.0)</f>
        <v>-3</v>
      </c>
      <c r="AW395" s="16">
        <f>IFERROR(__xludf.DUMMYFUNCTION("""COMPUTED_VALUE"""),-3.0)</f>
        <v>-3</v>
      </c>
      <c r="AX395" s="16">
        <f>IFERROR(__xludf.DUMMYFUNCTION("""COMPUTED_VALUE"""),-3.0)</f>
        <v>-3</v>
      </c>
      <c r="AY395" s="16">
        <f>IFERROR(__xludf.DUMMYFUNCTION("""COMPUTED_VALUE"""),-3.0)</f>
        <v>-3</v>
      </c>
      <c r="AZ395" s="16">
        <f>IFERROR(__xludf.DUMMYFUNCTION("""COMPUTED_VALUE"""),-9.0)</f>
        <v>-9</v>
      </c>
      <c r="BA395" s="16">
        <f>IFERROR(__xludf.DUMMYFUNCTION("""COMPUTED_VALUE"""),-9.0)</f>
        <v>-9</v>
      </c>
      <c r="BB395" s="16">
        <f>IFERROR(__xludf.DUMMYFUNCTION("""COMPUTED_VALUE"""),5.0)</f>
        <v>5</v>
      </c>
      <c r="BC395" s="16">
        <f>IFERROR(__xludf.DUMMYFUNCTION("""COMPUTED_VALUE"""),5.0)</f>
        <v>5</v>
      </c>
      <c r="BD395" s="16">
        <f>IFERROR(__xludf.DUMMYFUNCTION("""COMPUTED_VALUE"""),1.0)</f>
        <v>1</v>
      </c>
      <c r="BE395" s="16">
        <f>IFERROR(__xludf.DUMMYFUNCTION("""COMPUTED_VALUE"""),1.0)</f>
        <v>1</v>
      </c>
      <c r="BF395" s="16">
        <f>IFERROR(__xludf.DUMMYFUNCTION("""COMPUTED_VALUE"""),1.0)</f>
        <v>1</v>
      </c>
      <c r="BG395" s="16">
        <f>IFERROR(__xludf.DUMMYFUNCTION("""COMPUTED_VALUE"""),1.0)</f>
        <v>1</v>
      </c>
      <c r="BH395" s="16">
        <f>IFERROR(__xludf.DUMMYFUNCTION("""COMPUTED_VALUE"""),7.0)</f>
        <v>7</v>
      </c>
      <c r="BI395" s="16">
        <f>IFERROR(__xludf.DUMMYFUNCTION("""COMPUTED_VALUE"""),8.0)</f>
        <v>8</v>
      </c>
      <c r="BJ395" s="16">
        <f>IFERROR(__xludf.DUMMYFUNCTION("""COMPUTED_VALUE"""),3.0)</f>
        <v>3</v>
      </c>
      <c r="BK395" s="16">
        <f>IFERROR(__xludf.DUMMYFUNCTION("""COMPUTED_VALUE"""),4.0)</f>
        <v>4</v>
      </c>
      <c r="BL395" s="16">
        <f>IFERROR(__xludf.DUMMYFUNCTION("""COMPUTED_VALUE"""),2.0)</f>
        <v>2</v>
      </c>
      <c r="BM395" s="16">
        <f>IFERROR(__xludf.DUMMYFUNCTION("""COMPUTED_VALUE"""),1.0)</f>
        <v>1</v>
      </c>
      <c r="BN395" s="16">
        <f>IFERROR(__xludf.DUMMYFUNCTION("""COMPUTED_VALUE"""),2.0)</f>
        <v>2</v>
      </c>
      <c r="BO395" s="16">
        <f>IFERROR(__xludf.DUMMYFUNCTION("""COMPUTED_VALUE"""),1.0)</f>
        <v>1</v>
      </c>
      <c r="BP395" s="16">
        <f>IFERROR(__xludf.DUMMYFUNCTION("""COMPUTED_VALUE"""),-1.0)</f>
        <v>-1</v>
      </c>
      <c r="BQ395" s="16">
        <f>IFERROR(__xludf.DUMMYFUNCTION("""COMPUTED_VALUE"""),-7.0)</f>
        <v>-7</v>
      </c>
      <c r="BR395" s="16">
        <f>IFERROR(__xludf.DUMMYFUNCTION("""COMPUTED_VALUE"""),-8.0)</f>
        <v>-8</v>
      </c>
      <c r="BS395" s="16" t="str">
        <f>IFERROR(__xludf.DUMMYFUNCTION("""COMPUTED_VALUE"""),"7/- (13-6)")</f>
        <v>7/- (13-6)</v>
      </c>
      <c r="BT395" s="16" t="str">
        <f>IFERROR(__xludf.DUMMYFUNCTION("""COMPUTED_VALUE"""),"D")</f>
        <v>D</v>
      </c>
      <c r="BU395" s="16">
        <f>IFERROR(__xludf.DUMMYFUNCTION("""COMPUTED_VALUE"""),13.0)</f>
        <v>13</v>
      </c>
      <c r="BV395" s="16">
        <f>IFERROR(__xludf.DUMMYFUNCTION("""COMPUTED_VALUE"""),0.0)</f>
        <v>0</v>
      </c>
      <c r="BW395" s="16">
        <f>IFERROR(__xludf.DUMMYFUNCTION("""COMPUTED_VALUE"""),1.0)</f>
        <v>1</v>
      </c>
      <c r="BX395" s="16">
        <f>IFERROR(__xludf.DUMMYFUNCTION("""COMPUTED_VALUE"""),0.0)</f>
        <v>0</v>
      </c>
      <c r="BY395" s="16">
        <f>IFERROR(__xludf.DUMMYFUNCTION("""COMPUTED_VALUE"""),3.0)</f>
        <v>3</v>
      </c>
      <c r="BZ395" s="16" t="str">
        <f>IFERROR(__xludf.DUMMYFUNCTION("""COMPUTED_VALUE"""),"D")</f>
        <v>D</v>
      </c>
      <c r="CA395" s="16" t="str">
        <f>IFERROR(__xludf.DUMMYFUNCTION("""COMPUTED_VALUE"""),"D")</f>
        <v>D</v>
      </c>
      <c r="CB395" s="16">
        <f>IFERROR(__xludf.DUMMYFUNCTION("""COMPUTED_VALUE"""),0.0)</f>
        <v>0</v>
      </c>
      <c r="CC395" s="16">
        <f>IFERROR(__xludf.DUMMYFUNCTION("""COMPUTED_VALUE"""),0.0)</f>
        <v>0</v>
      </c>
      <c r="CD395" s="16">
        <f>IFERROR(__xludf.DUMMYFUNCTION("""COMPUTED_VALUE"""),0.0)</f>
        <v>0</v>
      </c>
      <c r="CE395" s="16">
        <f>IFERROR(__xludf.DUMMYFUNCTION("""COMPUTED_VALUE"""),0.0)</f>
        <v>0</v>
      </c>
      <c r="CF395" s="16">
        <f>IFERROR(__xludf.DUMMYFUNCTION("""COMPUTED_VALUE"""),3.0)</f>
        <v>3</v>
      </c>
      <c r="CG395" s="16">
        <f>IFERROR(__xludf.DUMMYFUNCTION("""COMPUTED_VALUE"""),-13.0)</f>
        <v>-13</v>
      </c>
      <c r="CH395" s="16">
        <f>IFERROR(__xludf.DUMMYFUNCTION("""COMPUTED_VALUE"""),-25.0)</f>
        <v>-25</v>
      </c>
      <c r="CI395" s="179">
        <f>IFERROR(__xludf.DUMMYFUNCTION("""COMPUTED_VALUE"""),-20.0)</f>
        <v>-20</v>
      </c>
      <c r="CJ395" s="16"/>
      <c r="CK395" s="16"/>
      <c r="CL395" s="16"/>
      <c r="CM395" s="16"/>
      <c r="CN395" s="16"/>
      <c r="CO395" s="16">
        <f>IFERROR(__xludf.DUMMYFUNCTION("""COMPUTED_VALUE"""),303.0)</f>
        <v>303</v>
      </c>
      <c r="CP395" s="16">
        <f>IFERROR(__xludf.DUMMYFUNCTION("""COMPUTED_VALUE"""),403.0)</f>
        <v>403</v>
      </c>
      <c r="CQ395" s="16">
        <f>IFERROR(__xludf.DUMMYFUNCTION("""COMPUTED_VALUE"""),303.0)</f>
        <v>303</v>
      </c>
      <c r="CR395" s="16" t="str">
        <f>IFERROR(__xludf.DUMMYFUNCTION("""COMPUTED_VALUE"""),"lf-3(0)e3 rf-3e3 cf-4e3")</f>
        <v>lf-3(0)e3 rf-3e3 cf-4e3</v>
      </c>
      <c r="CS395" s="16"/>
      <c r="CT395" s="16"/>
      <c r="CU395" s="16"/>
      <c r="CV395" s="16"/>
      <c r="CW395" s="16"/>
      <c r="CX395" s="16">
        <f>IFERROR(__xludf.DUMMYFUNCTION("""COMPUTED_VALUE"""),3.0)</f>
        <v>3</v>
      </c>
      <c r="CY395" s="16">
        <f>IFERROR(__xludf.DUMMYFUNCTION("""COMPUTED_VALUE"""),4.0)</f>
        <v>4</v>
      </c>
      <c r="CZ395" s="16">
        <f>IFERROR(__xludf.DUMMYFUNCTION("""COMPUTED_VALUE"""),3.0)</f>
        <v>3</v>
      </c>
      <c r="DA395" s="16"/>
      <c r="DB395" s="16"/>
      <c r="DC395" s="16"/>
      <c r="DD395" s="16"/>
      <c r="DE395" s="16"/>
      <c r="DF395" s="16">
        <f>IFERROR(__xludf.DUMMYFUNCTION("""COMPUTED_VALUE"""),3.0)</f>
        <v>3</v>
      </c>
      <c r="DG395" s="16">
        <f>IFERROR(__xludf.DUMMYFUNCTION("""COMPUTED_VALUE"""),3.0)</f>
        <v>3</v>
      </c>
      <c r="DH395" s="16">
        <f>IFERROR(__xludf.DUMMYFUNCTION("""COMPUTED_VALUE"""),3.0)</f>
        <v>3</v>
      </c>
      <c r="DI395" s="16"/>
      <c r="DJ395" s="16"/>
      <c r="DK395" s="16"/>
      <c r="DL395" s="16"/>
      <c r="DM395" s="16"/>
      <c r="DN395" s="16">
        <f>IFERROR(__xludf.DUMMYFUNCTION("""COMPUTED_VALUE"""),0.0)</f>
        <v>0</v>
      </c>
      <c r="DO395" s="16">
        <f>IFERROR(__xludf.DUMMYFUNCTION("""COMPUTED_VALUE"""),-2.0)</f>
        <v>-2</v>
      </c>
      <c r="DP395" s="16">
        <f>IFERROR(__xludf.DUMMYFUNCTION("""COMPUTED_VALUE"""),0.0)</f>
        <v>0</v>
      </c>
      <c r="DQ395" s="16"/>
      <c r="DR395" s="16"/>
      <c r="DS395" s="16"/>
      <c r="DT395" s="16"/>
      <c r="DU395" s="16"/>
      <c r="DV395" s="16">
        <f>IFERROR(__xludf.DUMMYFUNCTION("""COMPUTED_VALUE"""),4.0)</f>
        <v>4</v>
      </c>
      <c r="DW395" s="16">
        <f>IFERROR(__xludf.DUMMYFUNCTION("""COMPUTED_VALUE"""),4.0)</f>
        <v>4</v>
      </c>
      <c r="DX395" s="16">
        <f>IFERROR(__xludf.DUMMYFUNCTION("""COMPUTED_VALUE"""),4.0)</f>
        <v>4</v>
      </c>
      <c r="DY395" s="16"/>
      <c r="DZ395" s="16"/>
      <c r="EA395" s="16"/>
      <c r="EB395" s="16"/>
      <c r="EC395" s="16"/>
      <c r="ED395" s="16">
        <f>IFERROR(__xludf.DUMMYFUNCTION("""COMPUTED_VALUE"""),4.0)</f>
        <v>4</v>
      </c>
      <c r="EE395" s="16">
        <f>IFERROR(__xludf.DUMMYFUNCTION("""COMPUTED_VALUE"""),2.0)</f>
        <v>2</v>
      </c>
      <c r="EF395" s="16">
        <f>IFERROR(__xludf.DUMMYFUNCTION("""COMPUTED_VALUE"""),4.0)</f>
        <v>4</v>
      </c>
      <c r="EG395" s="179"/>
      <c r="EH395" s="179"/>
      <c r="EI395" s="179"/>
      <c r="EJ395" s="179"/>
      <c r="EK395" s="179"/>
      <c r="EL395" s="179">
        <f>IFERROR(__xludf.DUMMYFUNCTION("""COMPUTED_VALUE"""),-16.0)</f>
        <v>-16</v>
      </c>
      <c r="EM395" s="179">
        <f>IFERROR(__xludf.DUMMYFUNCTION("""COMPUTED_VALUE"""),-18.0)</f>
        <v>-18</v>
      </c>
      <c r="EN395" s="179">
        <f>IFERROR(__xludf.DUMMYFUNCTION("""COMPUTED_VALUE"""),-16.0)</f>
        <v>-16</v>
      </c>
      <c r="EO395" s="16"/>
      <c r="EP395" s="16"/>
      <c r="EQ395" s="16">
        <f>IFERROR(__xludf.DUMMYFUNCTION("""COMPUTED_VALUE"""),1.0)</f>
        <v>1</v>
      </c>
      <c r="ER395" s="16">
        <f>IFERROR(__xludf.DUMMYFUNCTION("""COMPUTED_VALUE"""),0.0)</f>
        <v>0</v>
      </c>
      <c r="ES395" s="16"/>
      <c r="ET395" s="16"/>
      <c r="EU395" s="16"/>
      <c r="EV395" s="16"/>
      <c r="EW395" s="16"/>
      <c r="EX395" s="180"/>
      <c r="EY395" s="180"/>
      <c r="EZ395" s="180"/>
      <c r="FA395" s="180"/>
      <c r="FB395" s="180"/>
      <c r="FC395" s="180">
        <f>IFERROR(__xludf.DUMMYFUNCTION("""COMPUTED_VALUE"""),0.3)</f>
        <v>0.3</v>
      </c>
      <c r="FD395" s="180">
        <f>IFERROR(__xludf.DUMMYFUNCTION("""COMPUTED_VALUE"""),0.55)</f>
        <v>0.55</v>
      </c>
      <c r="FE395" s="180">
        <f>IFERROR(__xludf.DUMMYFUNCTION("""COMPUTED_VALUE"""),0.3)</f>
        <v>0.3</v>
      </c>
      <c r="FF395" s="180"/>
      <c r="FG395" s="180"/>
      <c r="FH395" s="180"/>
      <c r="FI395" s="180"/>
      <c r="FJ395" s="180"/>
      <c r="FK395" s="180">
        <f>IFERROR(__xludf.DUMMYFUNCTION("""COMPUTED_VALUE"""),0.056)</f>
        <v>0.056</v>
      </c>
      <c r="FL395" s="180">
        <f>IFERROR(__xludf.DUMMYFUNCTION("""COMPUTED_VALUE"""),0.037037037037037035)</f>
        <v>0.03703703704</v>
      </c>
      <c r="FM395" s="180">
        <f>IFERROR(__xludf.DUMMYFUNCTION("""COMPUTED_VALUE"""),0.056)</f>
        <v>0.056</v>
      </c>
      <c r="FN395" s="16"/>
      <c r="FO395" s="16"/>
      <c r="FP395" s="16"/>
      <c r="FQ395" s="16"/>
      <c r="FR395" s="16"/>
      <c r="FS395" s="16">
        <f>IFERROR(__xludf.DUMMYFUNCTION("""COMPUTED_VALUE"""),0.6607999999999999)</f>
        <v>0.6608</v>
      </c>
      <c r="FT395" s="16">
        <f>IFERROR(__xludf.DUMMYFUNCTION("""COMPUTED_VALUE"""),0.4333333333333333)</f>
        <v>0.4333333333</v>
      </c>
      <c r="FU395" s="16">
        <f>IFERROR(__xludf.DUMMYFUNCTION("""COMPUTED_VALUE"""),0.6607999999999999)</f>
        <v>0.6608</v>
      </c>
      <c r="FV395" s="16"/>
      <c r="FW395" s="16"/>
      <c r="FX395" s="16"/>
      <c r="FY395" s="16"/>
      <c r="FZ395" s="16"/>
      <c r="GA395" s="16">
        <f>IFERROR(__xludf.DUMMYFUNCTION("""COMPUTED_VALUE"""),-4.0)</f>
        <v>-4</v>
      </c>
      <c r="GB395" s="16">
        <f>IFERROR(__xludf.DUMMYFUNCTION("""COMPUTED_VALUE"""),-8.0)</f>
        <v>-8</v>
      </c>
      <c r="GC395" s="16">
        <f>IFERROR(__xludf.DUMMYFUNCTION("""COMPUTED_VALUE"""),-4.0)</f>
        <v>-4</v>
      </c>
      <c r="GD395" s="16" t="s">
        <v>176</v>
      </c>
    </row>
    <row r="396">
      <c r="A396" s="16">
        <f>IFERROR(__xludf.DUMMYFUNCTION("""COMPUTED_VALUE"""),12812.0)</f>
        <v>12812</v>
      </c>
      <c r="B396" s="16" t="str">
        <f>IFERROR(__xludf.DUMMYFUNCTION("""COMPUTED_VALUE"""),"Evan Carter")</f>
        <v>Evan Carter</v>
      </c>
      <c r="C396" s="16">
        <f>IFERROR(__xludf.DUMMYFUNCTION("""COMPUTED_VALUE"""),1.07)</f>
        <v>1.07</v>
      </c>
      <c r="D396" s="16" t="str">
        <f>IFERROR(__xludf.DUMMYFUNCTION("""COMPUTED_VALUE"""),"L")</f>
        <v>L</v>
      </c>
      <c r="E396" s="16"/>
      <c r="F396" s="16"/>
      <c r="G396" s="16">
        <f>IFERROR(__xludf.DUMMYFUNCTION("""COMPUTED_VALUE"""),144.0)</f>
        <v>144</v>
      </c>
      <c r="H396" s="16">
        <f>IFERROR(__xludf.DUMMYFUNCTION("""COMPUTED_VALUE"""),15.0)</f>
        <v>15</v>
      </c>
      <c r="I396" s="16" t="str">
        <f>IFERROR(__xludf.DUMMYFUNCTION("""COMPUTED_VALUE"""),"5p20")</f>
        <v>5p20</v>
      </c>
      <c r="J396" s="16">
        <f>IFERROR(__xludf.DUMMYFUNCTION("""COMPUTED_VALUE"""),49.0)</f>
        <v>49</v>
      </c>
      <c r="K396" s="16">
        <f>IFERROR(__xludf.DUMMYFUNCTION("""COMPUTED_VALUE"""),29.0)</f>
        <v>29</v>
      </c>
      <c r="L396" s="16">
        <f>IFERROR(__xludf.DUMMYFUNCTION("""COMPUTED_VALUE"""),-2.0)</f>
        <v>-2</v>
      </c>
      <c r="M396" s="16">
        <f>IFERROR(__xludf.DUMMYFUNCTION("""COMPUTED_VALUE"""),0.0)</f>
        <v>0</v>
      </c>
      <c r="N396" s="16">
        <f>IFERROR(__xludf.DUMMYFUNCTION("""COMPUTED_VALUE"""),-2.0)</f>
        <v>-2</v>
      </c>
      <c r="O396" s="16">
        <f>IFERROR(__xludf.DUMMYFUNCTION("""COMPUTED_VALUE"""),0.0)</f>
        <v>0</v>
      </c>
      <c r="P396" s="16">
        <f>IFERROR(__xludf.DUMMYFUNCTION("""COMPUTED_VALUE"""),0.0)</f>
        <v>0</v>
      </c>
      <c r="Q396" s="16">
        <f>IFERROR(__xludf.DUMMYFUNCTION("""COMPUTED_VALUE"""),13.0)</f>
        <v>13</v>
      </c>
      <c r="R396" s="16">
        <f>IFERROR(__xludf.DUMMYFUNCTION("""COMPUTED_VALUE"""),-3.0)</f>
        <v>-3</v>
      </c>
      <c r="S396" s="16">
        <f>IFERROR(__xludf.DUMMYFUNCTION("""COMPUTED_VALUE"""),1.0)</f>
        <v>1</v>
      </c>
      <c r="T396" s="16">
        <f>IFERROR(__xludf.DUMMYFUNCTION("""COMPUTED_VALUE"""),-3.0)</f>
        <v>-3</v>
      </c>
      <c r="U396" s="16">
        <f>IFERROR(__xludf.DUMMYFUNCTION("""COMPUTED_VALUE"""),1.0)</f>
        <v>1</v>
      </c>
      <c r="V396" s="16">
        <f>IFERROR(__xludf.DUMMYFUNCTION("""COMPUTED_VALUE"""),0.0)</f>
        <v>0</v>
      </c>
      <c r="W396" s="16">
        <f>IFERROR(__xludf.DUMMYFUNCTION("""COMPUTED_VALUE"""),12.3)</f>
        <v>12.3</v>
      </c>
      <c r="X396" s="16">
        <f>IFERROR(__xludf.DUMMYFUNCTION("""COMPUTED_VALUE"""),-2.0)</f>
        <v>-2</v>
      </c>
      <c r="Y396" s="16">
        <f>IFERROR(__xludf.DUMMYFUNCTION("""COMPUTED_VALUE"""),-2.0)</f>
        <v>-2</v>
      </c>
      <c r="Z396" s="16">
        <f>IFERROR(__xludf.DUMMYFUNCTION("""COMPUTED_VALUE"""),-4.0)</f>
        <v>-4</v>
      </c>
      <c r="AA396" s="16">
        <f>IFERROR(__xludf.DUMMYFUNCTION("""COMPUTED_VALUE"""),-4.0)</f>
        <v>-4</v>
      </c>
      <c r="AB396" s="16">
        <f>IFERROR(__xludf.DUMMYFUNCTION("""COMPUTED_VALUE"""),3.0)</f>
        <v>3</v>
      </c>
      <c r="AC396" s="16">
        <f>IFERROR(__xludf.DUMMYFUNCTION("""COMPUTED_VALUE"""),28.3)</f>
        <v>28.3</v>
      </c>
      <c r="AD396" s="16">
        <f>IFERROR(__xludf.DUMMYFUNCTION("""COMPUTED_VALUE"""),-3.0)</f>
        <v>-3</v>
      </c>
      <c r="AE396" s="16">
        <f>IFERROR(__xludf.DUMMYFUNCTION("""COMPUTED_VALUE"""),-1.0)</f>
        <v>-1</v>
      </c>
      <c r="AF396" s="16">
        <f>IFERROR(__xludf.DUMMYFUNCTION("""COMPUTED_VALUE"""),-15.0)</f>
        <v>-15</v>
      </c>
      <c r="AG396" s="16">
        <f>IFERROR(__xludf.DUMMYFUNCTION("""COMPUTED_VALUE"""),-5.0)</f>
        <v>-5</v>
      </c>
      <c r="AH396" s="16">
        <f>IFERROR(__xludf.DUMMYFUNCTION("""COMPUTED_VALUE"""),0.0)</f>
        <v>0</v>
      </c>
      <c r="AI396" s="16">
        <f>IFERROR(__xludf.DUMMYFUNCTION("""COMPUTED_VALUE"""),30.3)</f>
        <v>30.3</v>
      </c>
      <c r="AJ396" s="16">
        <f>IFERROR(__xludf.DUMMYFUNCTION("""COMPUTED_VALUE"""),-2.0)</f>
        <v>-2</v>
      </c>
      <c r="AK396" s="16">
        <f>IFERROR(__xludf.DUMMYFUNCTION("""COMPUTED_VALUE"""),0.0)</f>
        <v>0</v>
      </c>
      <c r="AL396" s="16">
        <f>IFERROR(__xludf.DUMMYFUNCTION("""COMPUTED_VALUE"""),-10.0)</f>
        <v>-10</v>
      </c>
      <c r="AM396" s="16">
        <f>IFERROR(__xludf.DUMMYFUNCTION("""COMPUTED_VALUE"""),0.0)</f>
        <v>0</v>
      </c>
      <c r="AN396" s="16">
        <f>IFERROR(__xludf.DUMMYFUNCTION("""COMPUTED_VALUE"""),0.0)</f>
        <v>0</v>
      </c>
      <c r="AO396" s="16">
        <f>IFERROR(__xludf.DUMMYFUNCTION("""COMPUTED_VALUE"""),2.8)</f>
        <v>2.8</v>
      </c>
      <c r="AP396" s="16">
        <f>IFERROR(__xludf.DUMMYFUNCTION("""COMPUTED_VALUE"""),-2.0)</f>
        <v>-2</v>
      </c>
      <c r="AQ396" s="16">
        <f>IFERROR(__xludf.DUMMYFUNCTION("""COMPUTED_VALUE"""),0.0)</f>
        <v>0</v>
      </c>
      <c r="AR396" s="16">
        <f>IFERROR(__xludf.DUMMYFUNCTION("""COMPUTED_VALUE"""),-4.0)</f>
        <v>-4</v>
      </c>
      <c r="AS396" s="16">
        <f>IFERROR(__xludf.DUMMYFUNCTION("""COMPUTED_VALUE"""),0.0)</f>
        <v>0</v>
      </c>
      <c r="AT396" s="16"/>
      <c r="AU396" s="16"/>
      <c r="AV396" s="16">
        <f>IFERROR(__xludf.DUMMYFUNCTION("""COMPUTED_VALUE"""),-3.0)</f>
        <v>-3</v>
      </c>
      <c r="AW396" s="16">
        <f>IFERROR(__xludf.DUMMYFUNCTION("""COMPUTED_VALUE"""),3.0)</f>
        <v>3</v>
      </c>
      <c r="AX396" s="16">
        <f>IFERROR(__xludf.DUMMYFUNCTION("""COMPUTED_VALUE"""),-3.0)</f>
        <v>-3</v>
      </c>
      <c r="AY396" s="16">
        <f>IFERROR(__xludf.DUMMYFUNCTION("""COMPUTED_VALUE"""),0.0)</f>
        <v>0</v>
      </c>
      <c r="AZ396" s="16">
        <f>IFERROR(__xludf.DUMMYFUNCTION("""COMPUTED_VALUE"""),-9.0)</f>
        <v>-9</v>
      </c>
      <c r="BA396" s="16">
        <f>IFERROR(__xludf.DUMMYFUNCTION("""COMPUTED_VALUE"""),0.0)</f>
        <v>0</v>
      </c>
      <c r="BB396" s="16">
        <f>IFERROR(__xludf.DUMMYFUNCTION("""COMPUTED_VALUE"""),0.0)</f>
        <v>0</v>
      </c>
      <c r="BC396" s="16">
        <f>IFERROR(__xludf.DUMMYFUNCTION("""COMPUTED_VALUE"""),0.0)</f>
        <v>0</v>
      </c>
      <c r="BD396" s="16">
        <f>IFERROR(__xludf.DUMMYFUNCTION("""COMPUTED_VALUE"""),0.0)</f>
        <v>0</v>
      </c>
      <c r="BE396" s="16">
        <f>IFERROR(__xludf.DUMMYFUNCTION("""COMPUTED_VALUE"""),0.0)</f>
        <v>0</v>
      </c>
      <c r="BF396" s="16">
        <f>IFERROR(__xludf.DUMMYFUNCTION("""COMPUTED_VALUE"""),0.0)</f>
        <v>0</v>
      </c>
      <c r="BG396" s="16">
        <f>IFERROR(__xludf.DUMMYFUNCTION("""COMPUTED_VALUE"""),0.0)</f>
        <v>0</v>
      </c>
      <c r="BH396" s="16">
        <f>IFERROR(__xludf.DUMMYFUNCTION("""COMPUTED_VALUE"""),0.0)</f>
        <v>0</v>
      </c>
      <c r="BI396" s="16">
        <f>IFERROR(__xludf.DUMMYFUNCTION("""COMPUTED_VALUE"""),0.0)</f>
        <v>0</v>
      </c>
      <c r="BJ396" s="16">
        <f>IFERROR(__xludf.DUMMYFUNCTION("""COMPUTED_VALUE"""),3.0)</f>
        <v>3</v>
      </c>
      <c r="BK396" s="16">
        <f>IFERROR(__xludf.DUMMYFUNCTION("""COMPUTED_VALUE"""),1.0)</f>
        <v>1</v>
      </c>
      <c r="BL396" s="16">
        <f>IFERROR(__xludf.DUMMYFUNCTION("""COMPUTED_VALUE"""),2.0)</f>
        <v>2</v>
      </c>
      <c r="BM396" s="16">
        <f>IFERROR(__xludf.DUMMYFUNCTION("""COMPUTED_VALUE"""),2.0)</f>
        <v>2</v>
      </c>
      <c r="BN396" s="16">
        <f>IFERROR(__xludf.DUMMYFUNCTION("""COMPUTED_VALUE"""),2.0)</f>
        <v>2</v>
      </c>
      <c r="BO396" s="16">
        <f>IFERROR(__xludf.DUMMYFUNCTION("""COMPUTED_VALUE"""),2.0)</f>
        <v>2</v>
      </c>
      <c r="BP396" s="16">
        <f>IFERROR(__xludf.DUMMYFUNCTION("""COMPUTED_VALUE"""),-15.0)</f>
        <v>-15</v>
      </c>
      <c r="BQ396" s="16">
        <f>IFERROR(__xludf.DUMMYFUNCTION("""COMPUTED_VALUE"""),0.0)</f>
        <v>0</v>
      </c>
      <c r="BR396" s="16">
        <f>IFERROR(__xludf.DUMMYFUNCTION("""COMPUTED_VALUE"""),-15.0)</f>
        <v>-15</v>
      </c>
      <c r="BS396" s="16" t="str">
        <f>IFERROR(__xludf.DUMMYFUNCTION("""COMPUTED_VALUE"""),"3/- (20-6)")</f>
        <v>3/- (20-6)</v>
      </c>
      <c r="BT396" s="16" t="str">
        <f>IFERROR(__xludf.DUMMYFUNCTION("""COMPUTED_VALUE"""),"D")</f>
        <v>D</v>
      </c>
      <c r="BU396" s="16">
        <f>IFERROR(__xludf.DUMMYFUNCTION("""COMPUTED_VALUE"""),15.0)</f>
        <v>15</v>
      </c>
      <c r="BV396" s="16">
        <f>IFERROR(__xludf.DUMMYFUNCTION("""COMPUTED_VALUE"""),0.0)</f>
        <v>0</v>
      </c>
      <c r="BW396" s="16">
        <f>IFERROR(__xludf.DUMMYFUNCTION("""COMPUTED_VALUE"""),2.0)</f>
        <v>2</v>
      </c>
      <c r="BX396" s="16">
        <f>IFERROR(__xludf.DUMMYFUNCTION("""COMPUTED_VALUE"""),0.0)</f>
        <v>0</v>
      </c>
      <c r="BY396" s="16">
        <f>IFERROR(__xludf.DUMMYFUNCTION("""COMPUTED_VALUE"""),6.0)</f>
        <v>6</v>
      </c>
      <c r="BZ396" s="16" t="str">
        <f>IFERROR(__xludf.DUMMYFUNCTION("""COMPUTED_VALUE"""),"D")</f>
        <v>D</v>
      </c>
      <c r="CA396" s="16" t="str">
        <f>IFERROR(__xludf.DUMMYFUNCTION("""COMPUTED_VALUE"""),"D")</f>
        <v>D</v>
      </c>
      <c r="CB396" s="16">
        <f>IFERROR(__xludf.DUMMYFUNCTION("""COMPUTED_VALUE"""),0.0)</f>
        <v>0</v>
      </c>
      <c r="CC396" s="16">
        <f>IFERROR(__xludf.DUMMYFUNCTION("""COMPUTED_VALUE"""),0.0)</f>
        <v>0</v>
      </c>
      <c r="CD396" s="16">
        <f>IFERROR(__xludf.DUMMYFUNCTION("""COMPUTED_VALUE"""),0.0)</f>
        <v>0</v>
      </c>
      <c r="CE396" s="16">
        <f>IFERROR(__xludf.DUMMYFUNCTION("""COMPUTED_VALUE"""),0.0)</f>
        <v>0</v>
      </c>
      <c r="CF396" s="16">
        <f>IFERROR(__xludf.DUMMYFUNCTION("""COMPUTED_VALUE"""),5.0)</f>
        <v>5</v>
      </c>
      <c r="CG396" s="16">
        <f>IFERROR(__xludf.DUMMYFUNCTION("""COMPUTED_VALUE"""),-45.0)</f>
        <v>-45</v>
      </c>
      <c r="CH396" s="16">
        <f>IFERROR(__xludf.DUMMYFUNCTION("""COMPUTED_VALUE"""),-6.0)</f>
        <v>-6</v>
      </c>
      <c r="CI396" s="179">
        <f>IFERROR(__xludf.DUMMYFUNCTION("""COMPUTED_VALUE"""),-20.0)</f>
        <v>-20</v>
      </c>
      <c r="CJ396" s="16"/>
      <c r="CK396" s="16"/>
      <c r="CL396" s="16"/>
      <c r="CM396" s="16"/>
      <c r="CN396" s="16"/>
      <c r="CO396" s="16">
        <f>IFERROR(__xludf.DUMMYFUNCTION("""COMPUTED_VALUE"""),404.0)</f>
        <v>404</v>
      </c>
      <c r="CP396" s="16">
        <f>IFERROR(__xludf.DUMMYFUNCTION("""COMPUTED_VALUE"""),304.0)</f>
        <v>304</v>
      </c>
      <c r="CQ396" s="16">
        <f>IFERROR(__xludf.DUMMYFUNCTION("""COMPUTED_VALUE"""),304.0)</f>
        <v>304</v>
      </c>
      <c r="CR396" s="16" t="str">
        <f>IFERROR(__xludf.DUMMYFUNCTION("""COMPUTED_VALUE"""),"lf-4(-1)e4 rf-3e4 cf-3e4")</f>
        <v>lf-4(-1)e4 rf-3e4 cf-3e4</v>
      </c>
      <c r="CS396" s="16"/>
      <c r="CT396" s="16"/>
      <c r="CU396" s="16"/>
      <c r="CV396" s="16"/>
      <c r="CW396" s="16"/>
      <c r="CX396" s="16">
        <f>IFERROR(__xludf.DUMMYFUNCTION("""COMPUTED_VALUE"""),4.0)</f>
        <v>4</v>
      </c>
      <c r="CY396" s="16">
        <f>IFERROR(__xludf.DUMMYFUNCTION("""COMPUTED_VALUE"""),3.0)</f>
        <v>3</v>
      </c>
      <c r="CZ396" s="16">
        <f>IFERROR(__xludf.DUMMYFUNCTION("""COMPUTED_VALUE"""),3.0)</f>
        <v>3</v>
      </c>
      <c r="DA396" s="16"/>
      <c r="DB396" s="16"/>
      <c r="DC396" s="16"/>
      <c r="DD396" s="16"/>
      <c r="DE396" s="16"/>
      <c r="DF396" s="16">
        <f>IFERROR(__xludf.DUMMYFUNCTION("""COMPUTED_VALUE"""),4.0)</f>
        <v>4</v>
      </c>
      <c r="DG396" s="16">
        <f>IFERROR(__xludf.DUMMYFUNCTION("""COMPUTED_VALUE"""),4.0)</f>
        <v>4</v>
      </c>
      <c r="DH396" s="16">
        <f>IFERROR(__xludf.DUMMYFUNCTION("""COMPUTED_VALUE"""),4.0)</f>
        <v>4</v>
      </c>
      <c r="DI396" s="16"/>
      <c r="DJ396" s="16"/>
      <c r="DK396" s="16"/>
      <c r="DL396" s="16"/>
      <c r="DM396" s="16"/>
      <c r="DN396" s="16">
        <f>IFERROR(__xludf.DUMMYFUNCTION("""COMPUTED_VALUE"""),-1.0)</f>
        <v>-1</v>
      </c>
      <c r="DO396" s="16">
        <f>IFERROR(__xludf.DUMMYFUNCTION("""COMPUTED_VALUE"""),0.0)</f>
        <v>0</v>
      </c>
      <c r="DP396" s="16">
        <f>IFERROR(__xludf.DUMMYFUNCTION("""COMPUTED_VALUE"""),0.0)</f>
        <v>0</v>
      </c>
      <c r="DQ396" s="16"/>
      <c r="DR396" s="16"/>
      <c r="DS396" s="16"/>
      <c r="DT396" s="16"/>
      <c r="DU396" s="16"/>
      <c r="DV396" s="16">
        <f>IFERROR(__xludf.DUMMYFUNCTION("""COMPUTED_VALUE"""),2.0)</f>
        <v>2</v>
      </c>
      <c r="DW396" s="16">
        <f>IFERROR(__xludf.DUMMYFUNCTION("""COMPUTED_VALUE"""),3.0)</f>
        <v>3</v>
      </c>
      <c r="DX396" s="16">
        <f>IFERROR(__xludf.DUMMYFUNCTION("""COMPUTED_VALUE"""),2.0)</f>
        <v>2</v>
      </c>
      <c r="DY396" s="16"/>
      <c r="DZ396" s="16"/>
      <c r="EA396" s="16"/>
      <c r="EB396" s="16"/>
      <c r="EC396" s="16"/>
      <c r="ED396" s="16">
        <f>IFERROR(__xludf.DUMMYFUNCTION("""COMPUTED_VALUE"""),1.0)</f>
        <v>1</v>
      </c>
      <c r="EE396" s="16">
        <f>IFERROR(__xludf.DUMMYFUNCTION("""COMPUTED_VALUE"""),3.0)</f>
        <v>3</v>
      </c>
      <c r="EF396" s="16">
        <f>IFERROR(__xludf.DUMMYFUNCTION("""COMPUTED_VALUE"""),2.0)</f>
        <v>2</v>
      </c>
      <c r="EG396" s="179"/>
      <c r="EH396" s="179"/>
      <c r="EI396" s="179"/>
      <c r="EJ396" s="179"/>
      <c r="EK396" s="179"/>
      <c r="EL396" s="179">
        <f>IFERROR(__xludf.DUMMYFUNCTION("""COMPUTED_VALUE"""),-19.0)</f>
        <v>-19</v>
      </c>
      <c r="EM396" s="179">
        <f>IFERROR(__xludf.DUMMYFUNCTION("""COMPUTED_VALUE"""),-17.0)</f>
        <v>-17</v>
      </c>
      <c r="EN396" s="179">
        <f>IFERROR(__xludf.DUMMYFUNCTION("""COMPUTED_VALUE"""),-18.0)</f>
        <v>-18</v>
      </c>
      <c r="EO396" s="16"/>
      <c r="EP396" s="16">
        <f>IFERROR(__xludf.DUMMYFUNCTION("""COMPUTED_VALUE"""),2.0)</f>
        <v>2</v>
      </c>
      <c r="EQ396" s="16">
        <f>IFERROR(__xludf.DUMMYFUNCTION("""COMPUTED_VALUE"""),-2.0)</f>
        <v>-2</v>
      </c>
      <c r="ER396" s="16">
        <f>IFERROR(__xludf.DUMMYFUNCTION("""COMPUTED_VALUE"""),-4.0)</f>
        <v>-4</v>
      </c>
      <c r="ES396" s="16"/>
      <c r="ET396" s="16"/>
      <c r="EU396" s="16"/>
      <c r="EV396" s="16"/>
      <c r="EW396" s="16"/>
      <c r="EX396" s="180"/>
      <c r="EY396" s="180"/>
      <c r="EZ396" s="180"/>
      <c r="FA396" s="180"/>
      <c r="FB396" s="180"/>
      <c r="FC396" s="180">
        <f>IFERROR(__xludf.DUMMYFUNCTION("""COMPUTED_VALUE"""),0.55)</f>
        <v>0.55</v>
      </c>
      <c r="FD396" s="180">
        <f>IFERROR(__xludf.DUMMYFUNCTION("""COMPUTED_VALUE"""),0.3)</f>
        <v>0.3</v>
      </c>
      <c r="FE396" s="180">
        <f>IFERROR(__xludf.DUMMYFUNCTION("""COMPUTED_VALUE"""),0.3)</f>
        <v>0.3</v>
      </c>
      <c r="FF396" s="180"/>
      <c r="FG396" s="180"/>
      <c r="FH396" s="180"/>
      <c r="FI396" s="180"/>
      <c r="FJ396" s="180"/>
      <c r="FK396" s="180">
        <f>IFERROR(__xludf.DUMMYFUNCTION("""COMPUTED_VALUE"""),0.069)</f>
        <v>0.069</v>
      </c>
      <c r="FL396" s="180">
        <f>IFERROR(__xludf.DUMMYFUNCTION("""COMPUTED_VALUE"""),0.046296296296296294)</f>
        <v>0.0462962963</v>
      </c>
      <c r="FM396" s="180">
        <f>IFERROR(__xludf.DUMMYFUNCTION("""COMPUTED_VALUE"""),0.069)</f>
        <v>0.069</v>
      </c>
      <c r="FN396" s="16"/>
      <c r="FO396" s="16"/>
      <c r="FP396" s="16"/>
      <c r="FQ396" s="16"/>
      <c r="FR396" s="16"/>
      <c r="FS396" s="16">
        <f>IFERROR(__xludf.DUMMYFUNCTION("""COMPUTED_VALUE"""),0.41895)</f>
        <v>0.41895</v>
      </c>
      <c r="FT396" s="16">
        <f>IFERROR(__xludf.DUMMYFUNCTION("""COMPUTED_VALUE"""),0.6675925925925925)</f>
        <v>0.6675925926</v>
      </c>
      <c r="FU396" s="16">
        <f>IFERROR(__xludf.DUMMYFUNCTION("""COMPUTED_VALUE"""),0.6517)</f>
        <v>0.6517</v>
      </c>
      <c r="FV396" s="16"/>
      <c r="FW396" s="16"/>
      <c r="FX396" s="16"/>
      <c r="FY396" s="16"/>
      <c r="FZ396" s="16"/>
      <c r="GA396" s="16">
        <f>IFERROR(__xludf.DUMMYFUNCTION("""COMPUTED_VALUE"""),-10.0)</f>
        <v>-10</v>
      </c>
      <c r="GB396" s="16">
        <f>IFERROR(__xludf.DUMMYFUNCTION("""COMPUTED_VALUE"""),-6.0)</f>
        <v>-6</v>
      </c>
      <c r="GC396" s="16">
        <f>IFERROR(__xludf.DUMMYFUNCTION("""COMPUTED_VALUE"""),-6.0)</f>
        <v>-6</v>
      </c>
      <c r="GD396" s="16" t="s">
        <v>1667</v>
      </c>
    </row>
    <row r="397">
      <c r="A397" s="16">
        <f>IFERROR(__xludf.DUMMYFUNCTION("""COMPUTED_VALUE"""),13311.0)</f>
        <v>13311</v>
      </c>
      <c r="B397" s="16" t="str">
        <f>IFERROR(__xludf.DUMMYFUNCTION("""COMPUTED_VALUE"""),"Riley Adams")</f>
        <v>Riley Adams</v>
      </c>
      <c r="C397" s="16">
        <f>IFERROR(__xludf.DUMMYFUNCTION("""COMPUTED_VALUE"""),0.27)</f>
        <v>0.27</v>
      </c>
      <c r="D397" s="16" t="str">
        <f>IFERROR(__xludf.DUMMYFUNCTION("""COMPUTED_VALUE"""),"R")</f>
        <v>R</v>
      </c>
      <c r="E397" s="16"/>
      <c r="F397" s="16"/>
      <c r="G397" s="16">
        <f>IFERROR(__xludf.DUMMYFUNCTION("""COMPUTED_VALUE"""),116.0)</f>
        <v>116</v>
      </c>
      <c r="H397" s="16">
        <f>IFERROR(__xludf.DUMMYFUNCTION("""COMPUTED_VALUE"""),10.0)</f>
        <v>10</v>
      </c>
      <c r="I397" s="16" t="str">
        <f>IFERROR(__xludf.DUMMYFUNCTION("""COMPUTED_VALUE"""),"2p20")</f>
        <v>2p20</v>
      </c>
      <c r="J397" s="16">
        <f>IFERROR(__xludf.DUMMYFUNCTION("""COMPUTED_VALUE"""),36.0)</f>
        <v>36</v>
      </c>
      <c r="K397" s="16">
        <f>IFERROR(__xludf.DUMMYFUNCTION("""COMPUTED_VALUE"""),33.0)</f>
        <v>33</v>
      </c>
      <c r="L397" s="16">
        <f>IFERROR(__xludf.DUMMYFUNCTION("""COMPUTED_VALUE"""),-1.0)</f>
        <v>-1</v>
      </c>
      <c r="M397" s="16">
        <f>IFERROR(__xludf.DUMMYFUNCTION("""COMPUTED_VALUE"""),-1.0)</f>
        <v>-1</v>
      </c>
      <c r="N397" s="16">
        <f>IFERROR(__xludf.DUMMYFUNCTION("""COMPUTED_VALUE"""),-1.0)</f>
        <v>-1</v>
      </c>
      <c r="O397" s="16">
        <f>IFERROR(__xludf.DUMMYFUNCTION("""COMPUTED_VALUE"""),-1.0)</f>
        <v>-1</v>
      </c>
      <c r="P397" s="16">
        <f>IFERROR(__xludf.DUMMYFUNCTION("""COMPUTED_VALUE"""),7.0)</f>
        <v>7</v>
      </c>
      <c r="Q397" s="16">
        <f>IFERROR(__xludf.DUMMYFUNCTION("""COMPUTED_VALUE"""),7.0)</f>
        <v>7</v>
      </c>
      <c r="R397" s="16">
        <f>IFERROR(__xludf.DUMMYFUNCTION("""COMPUTED_VALUE"""),-1.0)</f>
        <v>-1</v>
      </c>
      <c r="S397" s="16">
        <f>IFERROR(__xludf.DUMMYFUNCTION("""COMPUTED_VALUE"""),-1.0)</f>
        <v>-1</v>
      </c>
      <c r="T397" s="16">
        <f>IFERROR(__xludf.DUMMYFUNCTION("""COMPUTED_VALUE"""),-1.0)</f>
        <v>-1</v>
      </c>
      <c r="U397" s="16">
        <f>IFERROR(__xludf.DUMMYFUNCTION("""COMPUTED_VALUE"""),-1.0)</f>
        <v>-1</v>
      </c>
      <c r="V397" s="16">
        <f>IFERROR(__xludf.DUMMYFUNCTION("""COMPUTED_VALUE"""),20.7)</f>
        <v>20.7</v>
      </c>
      <c r="W397" s="16">
        <f>IFERROR(__xludf.DUMMYFUNCTION("""COMPUTED_VALUE"""),16.0)</f>
        <v>16</v>
      </c>
      <c r="X397" s="16">
        <f>IFERROR(__xludf.DUMMYFUNCTION("""COMPUTED_VALUE"""),0.0)</f>
        <v>0</v>
      </c>
      <c r="Y397" s="16">
        <f>IFERROR(__xludf.DUMMYFUNCTION("""COMPUTED_VALUE"""),-1.0)</f>
        <v>-1</v>
      </c>
      <c r="Z397" s="16">
        <f>IFERROR(__xludf.DUMMYFUNCTION("""COMPUTED_VALUE"""),0.0)</f>
        <v>0</v>
      </c>
      <c r="AA397" s="16">
        <f>IFERROR(__xludf.DUMMYFUNCTION("""COMPUTED_VALUE"""),-2.0)</f>
        <v>-2</v>
      </c>
      <c r="AB397" s="16">
        <f>IFERROR(__xludf.DUMMYFUNCTION("""COMPUTED_VALUE"""),30.7)</f>
        <v>30.7</v>
      </c>
      <c r="AC397" s="16">
        <f>IFERROR(__xludf.DUMMYFUNCTION("""COMPUTED_VALUE"""),26.0)</f>
        <v>26</v>
      </c>
      <c r="AD397" s="16">
        <f>IFERROR(__xludf.DUMMYFUNCTION("""COMPUTED_VALUE"""),0.0)</f>
        <v>0</v>
      </c>
      <c r="AE397" s="16">
        <f>IFERROR(__xludf.DUMMYFUNCTION("""COMPUTED_VALUE"""),-1.0)</f>
        <v>-1</v>
      </c>
      <c r="AF397" s="16">
        <f>IFERROR(__xludf.DUMMYFUNCTION("""COMPUTED_VALUE"""),0.0)</f>
        <v>0</v>
      </c>
      <c r="AG397" s="16">
        <f>IFERROR(__xludf.DUMMYFUNCTION("""COMPUTED_VALUE"""),-5.0)</f>
        <v>-5</v>
      </c>
      <c r="AH397" s="16">
        <f>IFERROR(__xludf.DUMMYFUNCTION("""COMPUTED_VALUE"""),30.5)</f>
        <v>30.5</v>
      </c>
      <c r="AI397" s="16">
        <f>IFERROR(__xludf.DUMMYFUNCTION("""COMPUTED_VALUE"""),25.2)</f>
        <v>25.2</v>
      </c>
      <c r="AJ397" s="16">
        <f>IFERROR(__xludf.DUMMYFUNCTION("""COMPUTED_VALUE"""),0.0)</f>
        <v>0</v>
      </c>
      <c r="AK397" s="16">
        <f>IFERROR(__xludf.DUMMYFUNCTION("""COMPUTED_VALUE"""),-1.0)</f>
        <v>-1</v>
      </c>
      <c r="AL397" s="16">
        <f>IFERROR(__xludf.DUMMYFUNCTION("""COMPUTED_VALUE"""),0.0)</f>
        <v>0</v>
      </c>
      <c r="AM397" s="16">
        <f>IFERROR(__xludf.DUMMYFUNCTION("""COMPUTED_VALUE"""),-5.0)</f>
        <v>-5</v>
      </c>
      <c r="AN397" s="16">
        <f>IFERROR(__xludf.DUMMYFUNCTION("""COMPUTED_VALUE"""),0.0)</f>
        <v>0</v>
      </c>
      <c r="AO397" s="16">
        <f>IFERROR(__xludf.DUMMYFUNCTION("""COMPUTED_VALUE"""),1.8)</f>
        <v>1.8</v>
      </c>
      <c r="AP397" s="16">
        <f>IFERROR(__xludf.DUMMYFUNCTION("""COMPUTED_VALUE"""),-2.0)</f>
        <v>-2</v>
      </c>
      <c r="AQ397" s="16">
        <f>IFERROR(__xludf.DUMMYFUNCTION("""COMPUTED_VALUE"""),-1.0)</f>
        <v>-1</v>
      </c>
      <c r="AR397" s="16">
        <f>IFERROR(__xludf.DUMMYFUNCTION("""COMPUTED_VALUE"""),-4.0)</f>
        <v>-4</v>
      </c>
      <c r="AS397" s="16">
        <f>IFERROR(__xludf.DUMMYFUNCTION("""COMPUTED_VALUE"""),-2.0)</f>
        <v>-2</v>
      </c>
      <c r="AT397" s="16"/>
      <c r="AU397" s="16">
        <f>IFERROR(__xludf.DUMMYFUNCTION("""COMPUTED_VALUE"""),2.0)</f>
        <v>2</v>
      </c>
      <c r="AV397" s="16">
        <f>IFERROR(__xludf.DUMMYFUNCTION("""COMPUTED_VALUE"""),-3.0)</f>
        <v>-3</v>
      </c>
      <c r="AW397" s="16">
        <f>IFERROR(__xludf.DUMMYFUNCTION("""COMPUTED_VALUE"""),2.0)</f>
        <v>2</v>
      </c>
      <c r="AX397" s="16">
        <f>IFERROR(__xludf.DUMMYFUNCTION("""COMPUTED_VALUE"""),-3.0)</f>
        <v>-3</v>
      </c>
      <c r="AY397" s="16">
        <f>IFERROR(__xludf.DUMMYFUNCTION("""COMPUTED_VALUE"""),0.0)</f>
        <v>0</v>
      </c>
      <c r="AZ397" s="16">
        <f>IFERROR(__xludf.DUMMYFUNCTION("""COMPUTED_VALUE"""),-9.0)</f>
        <v>-9</v>
      </c>
      <c r="BA397" s="16">
        <f>IFERROR(__xludf.DUMMYFUNCTION("""COMPUTED_VALUE"""),0.0)</f>
        <v>0</v>
      </c>
      <c r="BB397" s="16">
        <f>IFERROR(__xludf.DUMMYFUNCTION("""COMPUTED_VALUE"""),5.0)</f>
        <v>5</v>
      </c>
      <c r="BC397" s="16">
        <f>IFERROR(__xludf.DUMMYFUNCTION("""COMPUTED_VALUE"""),5.0)</f>
        <v>5</v>
      </c>
      <c r="BD397" s="16">
        <f>IFERROR(__xludf.DUMMYFUNCTION("""COMPUTED_VALUE"""),1.0)</f>
        <v>1</v>
      </c>
      <c r="BE397" s="16">
        <f>IFERROR(__xludf.DUMMYFUNCTION("""COMPUTED_VALUE"""),1.0)</f>
        <v>1</v>
      </c>
      <c r="BF397" s="16">
        <f>IFERROR(__xludf.DUMMYFUNCTION("""COMPUTED_VALUE"""),1.0)</f>
        <v>1</v>
      </c>
      <c r="BG397" s="16">
        <f>IFERROR(__xludf.DUMMYFUNCTION("""COMPUTED_VALUE"""),1.0)</f>
        <v>1</v>
      </c>
      <c r="BH397" s="16">
        <f>IFERROR(__xludf.DUMMYFUNCTION("""COMPUTED_VALUE"""),-10.0)</f>
        <v>-10</v>
      </c>
      <c r="BI397" s="16">
        <f>IFERROR(__xludf.DUMMYFUNCTION("""COMPUTED_VALUE"""),-8.0)</f>
        <v>-8</v>
      </c>
      <c r="BJ397" s="16">
        <f>IFERROR(__xludf.DUMMYFUNCTION("""COMPUTED_VALUE"""),18.0)</f>
        <v>18</v>
      </c>
      <c r="BK397" s="16">
        <f>IFERROR(__xludf.DUMMYFUNCTION("""COMPUTED_VALUE"""),20.0)</f>
        <v>20</v>
      </c>
      <c r="BL397" s="16">
        <f>IFERROR(__xludf.DUMMYFUNCTION("""COMPUTED_VALUE"""),-1.0)</f>
        <v>-1</v>
      </c>
      <c r="BM397" s="16">
        <f>IFERROR(__xludf.DUMMYFUNCTION("""COMPUTED_VALUE"""),-2.0)</f>
        <v>-2</v>
      </c>
      <c r="BN397" s="16">
        <f>IFERROR(__xludf.DUMMYFUNCTION("""COMPUTED_VALUE"""),-2.0)</f>
        <v>-2</v>
      </c>
      <c r="BO397" s="16">
        <f>IFERROR(__xludf.DUMMYFUNCTION("""COMPUTED_VALUE"""),-4.0)</f>
        <v>-4</v>
      </c>
      <c r="BP397" s="16">
        <f>IFERROR(__xludf.DUMMYFUNCTION("""COMPUTED_VALUE"""),-7.0)</f>
        <v>-7</v>
      </c>
      <c r="BQ397" s="16">
        <f>IFERROR(__xludf.DUMMYFUNCTION("""COMPUTED_VALUE"""),-7.0)</f>
        <v>-7</v>
      </c>
      <c r="BR397" s="16">
        <f>IFERROR(__xludf.DUMMYFUNCTION("""COMPUTED_VALUE"""),-14.0)</f>
        <v>-14</v>
      </c>
      <c r="BS397" s="16" t="str">
        <f>IFERROR(__xludf.DUMMYFUNCTION("""COMPUTED_VALUE"""),"2/- (20-6)")</f>
        <v>2/- (20-6)</v>
      </c>
      <c r="BT397" s="16" t="str">
        <f>IFERROR(__xludf.DUMMYFUNCTION("""COMPUTED_VALUE"""),"E")</f>
        <v>E</v>
      </c>
      <c r="BU397" s="16">
        <f>IFERROR(__xludf.DUMMYFUNCTION("""COMPUTED_VALUE"""),10.0)</f>
        <v>10</v>
      </c>
      <c r="BV397" s="16">
        <f>IFERROR(__xludf.DUMMYFUNCTION("""COMPUTED_VALUE"""),0.0)</f>
        <v>0</v>
      </c>
      <c r="BW397" s="16">
        <f>IFERROR(__xludf.DUMMYFUNCTION("""COMPUTED_VALUE"""),0.0)</f>
        <v>0</v>
      </c>
      <c r="BX397" s="16">
        <f>IFERROR(__xludf.DUMMYFUNCTION("""COMPUTED_VALUE"""),0.0)</f>
        <v>0</v>
      </c>
      <c r="BY397" s="16">
        <f>IFERROR(__xludf.DUMMYFUNCTION("""COMPUTED_VALUE"""),0.0)</f>
        <v>0</v>
      </c>
      <c r="BZ397" s="16" t="str">
        <f>IFERROR(__xludf.DUMMYFUNCTION("""COMPUTED_VALUE"""),"D")</f>
        <v>D</v>
      </c>
      <c r="CA397" s="16" t="str">
        <f>IFERROR(__xludf.DUMMYFUNCTION("""COMPUTED_VALUE"""),"D")</f>
        <v>D</v>
      </c>
      <c r="CB397" s="16">
        <f>IFERROR(__xludf.DUMMYFUNCTION("""COMPUTED_VALUE"""),0.0)</f>
        <v>0</v>
      </c>
      <c r="CC397" s="16">
        <f>IFERROR(__xludf.DUMMYFUNCTION("""COMPUTED_VALUE"""),0.0)</f>
        <v>0</v>
      </c>
      <c r="CD397" s="16">
        <f>IFERROR(__xludf.DUMMYFUNCTION("""COMPUTED_VALUE"""),0.0)</f>
        <v>0</v>
      </c>
      <c r="CE397" s="16">
        <f>IFERROR(__xludf.DUMMYFUNCTION("""COMPUTED_VALUE"""),0.0)</f>
        <v>0</v>
      </c>
      <c r="CF397" s="16">
        <f>IFERROR(__xludf.DUMMYFUNCTION("""COMPUTED_VALUE"""),2.0)</f>
        <v>2</v>
      </c>
      <c r="CG397" s="16">
        <f>IFERROR(__xludf.DUMMYFUNCTION("""COMPUTED_VALUE"""),-16.0)</f>
        <v>-16</v>
      </c>
      <c r="CH397" s="16">
        <f>IFERROR(__xludf.DUMMYFUNCTION("""COMPUTED_VALUE"""),-19.0)</f>
        <v>-19</v>
      </c>
      <c r="CI397" s="179">
        <f>IFERROR(__xludf.DUMMYFUNCTION("""COMPUTED_VALUE"""),-20.0)</f>
        <v>-20</v>
      </c>
      <c r="CJ397" s="16">
        <f>IFERROR(__xludf.DUMMYFUNCTION("""COMPUTED_VALUE"""),409.0)</f>
        <v>409</v>
      </c>
      <c r="CK397" s="16"/>
      <c r="CL397" s="16"/>
      <c r="CM397" s="16"/>
      <c r="CN397" s="16"/>
      <c r="CO397" s="16"/>
      <c r="CP397" s="16"/>
      <c r="CQ397" s="16"/>
      <c r="CR397" s="16" t="str">
        <f>IFERROR(__xludf.DUMMYFUNCTION("""COMPUTED_VALUE"""),"c-4(+2)e9,T-12(pb-1)")</f>
        <v>c-4(+2)e9,T-12(pb-1)</v>
      </c>
      <c r="CS397" s="16">
        <f>IFERROR(__xludf.DUMMYFUNCTION("""COMPUTED_VALUE"""),4.0)</f>
        <v>4</v>
      </c>
      <c r="CT397" s="16"/>
      <c r="CU397" s="16"/>
      <c r="CV397" s="16"/>
      <c r="CW397" s="16"/>
      <c r="CX397" s="16"/>
      <c r="CY397" s="16"/>
      <c r="CZ397" s="16"/>
      <c r="DA397" s="16">
        <f>IFERROR(__xludf.DUMMYFUNCTION("""COMPUTED_VALUE"""),9.0)</f>
        <v>9</v>
      </c>
      <c r="DB397" s="16"/>
      <c r="DC397" s="16"/>
      <c r="DD397" s="16"/>
      <c r="DE397" s="16"/>
      <c r="DF397" s="16"/>
      <c r="DG397" s="16"/>
      <c r="DH397" s="16"/>
      <c r="DI397" s="16">
        <f>IFERROR(__xludf.DUMMYFUNCTION("""COMPUTED_VALUE"""),-2.0)</f>
        <v>-2</v>
      </c>
      <c r="DJ397" s="16"/>
      <c r="DK397" s="16"/>
      <c r="DL397" s="16"/>
      <c r="DM397" s="16"/>
      <c r="DN397" s="16"/>
      <c r="DO397" s="16"/>
      <c r="DP397" s="16"/>
      <c r="DQ397" s="16">
        <f>IFERROR(__xludf.DUMMYFUNCTION("""COMPUTED_VALUE"""),0.0)</f>
        <v>0</v>
      </c>
      <c r="DR397" s="16"/>
      <c r="DS397" s="16"/>
      <c r="DT397" s="16"/>
      <c r="DU397" s="16"/>
      <c r="DV397" s="16"/>
      <c r="DW397" s="16"/>
      <c r="DX397" s="16"/>
      <c r="DY397" s="16">
        <f>IFERROR(__xludf.DUMMYFUNCTION("""COMPUTED_VALUE"""),-2.0)</f>
        <v>-2</v>
      </c>
      <c r="DZ397" s="16"/>
      <c r="EA397" s="16"/>
      <c r="EB397" s="16"/>
      <c r="EC397" s="16"/>
      <c r="ED397" s="16"/>
      <c r="EE397" s="16"/>
      <c r="EF397" s="16"/>
      <c r="EG397" s="179">
        <f>IFERROR(__xludf.DUMMYFUNCTION("""COMPUTED_VALUE"""),-20.0)</f>
        <v>-20</v>
      </c>
      <c r="EH397" s="179"/>
      <c r="EI397" s="179"/>
      <c r="EJ397" s="179"/>
      <c r="EK397" s="179"/>
      <c r="EL397" s="179"/>
      <c r="EM397" s="179"/>
      <c r="EN397" s="179"/>
      <c r="EO397" s="16">
        <f>IFERROR(__xludf.DUMMYFUNCTION("""COMPUTED_VALUE"""),2.0)</f>
        <v>2</v>
      </c>
      <c r="EP397" s="16">
        <f>IFERROR(__xludf.DUMMYFUNCTION("""COMPUTED_VALUE"""),1.0)</f>
        <v>1</v>
      </c>
      <c r="EQ397" s="16">
        <f>IFERROR(__xludf.DUMMYFUNCTION("""COMPUTED_VALUE"""),2.0)</f>
        <v>2</v>
      </c>
      <c r="ER397" s="16">
        <f>IFERROR(__xludf.DUMMYFUNCTION("""COMPUTED_VALUE"""),-4.0)</f>
        <v>-4</v>
      </c>
      <c r="ES397" s="16" t="str">
        <f>IFERROR(__xludf.DUMMYFUNCTION("""COMPUTED_VALUE"""),"c-4")</f>
        <v>c-4</v>
      </c>
      <c r="ET397" s="16" t="str">
        <f>IFERROR(__xludf.DUMMYFUNCTION("""COMPUTED_VALUE"""),"+2)e9,T-12")</f>
        <v>+2)e9,T-12</v>
      </c>
      <c r="EU397" s="16" t="str">
        <f>IFERROR(__xludf.DUMMYFUNCTION("""COMPUTED_VALUE"""),"pb-1)")</f>
        <v>pb-1)</v>
      </c>
      <c r="EV397" s="16"/>
      <c r="EW397" s="16">
        <f>IFERROR(__xludf.DUMMYFUNCTION("""COMPUTED_VALUE"""),2.0)</f>
        <v>2</v>
      </c>
      <c r="EX397" s="180">
        <f>IFERROR(__xludf.DUMMYFUNCTION("""COMPUTED_VALUE"""),0.3)</f>
        <v>0.3</v>
      </c>
      <c r="EY397" s="180"/>
      <c r="EZ397" s="180"/>
      <c r="FA397" s="180"/>
      <c r="FB397" s="180"/>
      <c r="FC397" s="180"/>
      <c r="FD397" s="180"/>
      <c r="FE397" s="180"/>
      <c r="FF397" s="180">
        <f>IFERROR(__xludf.DUMMYFUNCTION("""COMPUTED_VALUE"""),0.107)</f>
        <v>0.107</v>
      </c>
      <c r="FG397" s="180"/>
      <c r="FH397" s="180"/>
      <c r="FI397" s="180"/>
      <c r="FJ397" s="180"/>
      <c r="FK397" s="180"/>
      <c r="FL397" s="180"/>
      <c r="FM397" s="180"/>
      <c r="FN397" s="16">
        <f>IFERROR(__xludf.DUMMYFUNCTION("""COMPUTED_VALUE"""),0.6251)</f>
        <v>0.6251</v>
      </c>
      <c r="FO397" s="16"/>
      <c r="FP397" s="16"/>
      <c r="FQ397" s="16"/>
      <c r="FR397" s="16"/>
      <c r="FS397" s="16"/>
      <c r="FT397" s="16"/>
      <c r="FU397" s="16"/>
      <c r="FV397" s="16">
        <f>IFERROR(__xludf.DUMMYFUNCTION("""COMPUTED_VALUE"""),-8.0)</f>
        <v>-8</v>
      </c>
      <c r="FW397" s="16"/>
      <c r="FX397" s="16"/>
      <c r="FY397" s="16"/>
      <c r="FZ397" s="16"/>
      <c r="GA397" s="16"/>
      <c r="GB397" s="16"/>
      <c r="GC397" s="16"/>
      <c r="GD397" s="16" t="s">
        <v>176</v>
      </c>
    </row>
    <row r="398">
      <c r="A398" s="16">
        <f>IFERROR(__xludf.DUMMYFUNCTION("""COMPUTED_VALUE"""),13131.0)</f>
        <v>13131</v>
      </c>
      <c r="B398" s="16" t="str">
        <f>IFERROR(__xludf.DUMMYFUNCTION("""COMPUTED_VALUE"""),"Luis Guillorme")</f>
        <v>Luis Guillorme</v>
      </c>
      <c r="C398" s="16">
        <f>IFERROR(__xludf.DUMMYFUNCTION("""COMPUTED_VALUE"""),0.47)</f>
        <v>0.47</v>
      </c>
      <c r="D398" s="16" t="str">
        <f>IFERROR(__xludf.DUMMYFUNCTION("""COMPUTED_VALUE"""),"L")</f>
        <v>L</v>
      </c>
      <c r="E398" s="16"/>
      <c r="F398" s="16"/>
      <c r="G398" s="16">
        <f>IFERROR(__xludf.DUMMYFUNCTION("""COMPUTED_VALUE"""),161.0)</f>
        <v>161</v>
      </c>
      <c r="H398" s="16">
        <f>IFERROR(__xludf.DUMMYFUNCTION("""COMPUTED_VALUE"""),23.0)</f>
        <v>23</v>
      </c>
      <c r="I398" s="16" t="str">
        <f>IFERROR(__xludf.DUMMYFUNCTION("""COMPUTED_VALUE"""),"1p40")</f>
        <v>1p40</v>
      </c>
      <c r="J398" s="16">
        <f>IFERROR(__xludf.DUMMYFUNCTION("""COMPUTED_VALUE"""),19.0)</f>
        <v>19</v>
      </c>
      <c r="K398" s="16">
        <f>IFERROR(__xludf.DUMMYFUNCTION("""COMPUTED_VALUE"""),17.0)</f>
        <v>17</v>
      </c>
      <c r="L398" s="16">
        <f>IFERROR(__xludf.DUMMYFUNCTION("""COMPUTED_VALUE"""),1.0)</f>
        <v>1</v>
      </c>
      <c r="M398" s="16">
        <f>IFERROR(__xludf.DUMMYFUNCTION("""COMPUTED_VALUE"""),1.0)</f>
        <v>1</v>
      </c>
      <c r="N398" s="16">
        <f>IFERROR(__xludf.DUMMYFUNCTION("""COMPUTED_VALUE"""),1.0)</f>
        <v>1</v>
      </c>
      <c r="O398" s="16">
        <f>IFERROR(__xludf.DUMMYFUNCTION("""COMPUTED_VALUE"""),1.0)</f>
        <v>1</v>
      </c>
      <c r="P398" s="16">
        <f>IFERROR(__xludf.DUMMYFUNCTION("""COMPUTED_VALUE"""),4.0)</f>
        <v>4</v>
      </c>
      <c r="Q398" s="16">
        <f>IFERROR(__xludf.DUMMYFUNCTION("""COMPUTED_VALUE"""),19.0)</f>
        <v>19</v>
      </c>
      <c r="R398" s="16">
        <f>IFERROR(__xludf.DUMMYFUNCTION("""COMPUTED_VALUE"""),-2.0)</f>
        <v>-2</v>
      </c>
      <c r="S398" s="16">
        <f>IFERROR(__xludf.DUMMYFUNCTION("""COMPUTED_VALUE"""),3.0)</f>
        <v>3</v>
      </c>
      <c r="T398" s="16">
        <f>IFERROR(__xludf.DUMMYFUNCTION("""COMPUTED_VALUE"""),-2.0)</f>
        <v>-2</v>
      </c>
      <c r="U398" s="16">
        <f>IFERROR(__xludf.DUMMYFUNCTION("""COMPUTED_VALUE"""),3.0)</f>
        <v>3</v>
      </c>
      <c r="V398" s="16">
        <f>IFERROR(__xludf.DUMMYFUNCTION("""COMPUTED_VALUE"""),0.0)</f>
        <v>0</v>
      </c>
      <c r="W398" s="16">
        <f>IFERROR(__xludf.DUMMYFUNCTION("""COMPUTED_VALUE"""),15.8)</f>
        <v>15.8</v>
      </c>
      <c r="X398" s="16">
        <f>IFERROR(__xludf.DUMMYFUNCTION("""COMPUTED_VALUE"""),-2.0)</f>
        <v>-2</v>
      </c>
      <c r="Y398" s="16">
        <f>IFERROR(__xludf.DUMMYFUNCTION("""COMPUTED_VALUE"""),-1.0)</f>
        <v>-1</v>
      </c>
      <c r="Z398" s="16">
        <f>IFERROR(__xludf.DUMMYFUNCTION("""COMPUTED_VALUE"""),-4.0)</f>
        <v>-4</v>
      </c>
      <c r="AA398" s="16">
        <f>IFERROR(__xludf.DUMMYFUNCTION("""COMPUTED_VALUE"""),-2.0)</f>
        <v>-2</v>
      </c>
      <c r="AB398" s="16">
        <f>IFERROR(__xludf.DUMMYFUNCTION("""COMPUTED_VALUE"""),4.0)</f>
        <v>4</v>
      </c>
      <c r="AC398" s="16">
        <f>IFERROR(__xludf.DUMMYFUNCTION("""COMPUTED_VALUE"""),34.8)</f>
        <v>34.8</v>
      </c>
      <c r="AD398" s="16">
        <f>IFERROR(__xludf.DUMMYFUNCTION("""COMPUTED_VALUE"""),-3.0)</f>
        <v>-3</v>
      </c>
      <c r="AE398" s="16">
        <f>IFERROR(__xludf.DUMMYFUNCTION("""COMPUTED_VALUE"""),1.0)</f>
        <v>1</v>
      </c>
      <c r="AF398" s="16">
        <f>IFERROR(__xludf.DUMMYFUNCTION("""COMPUTED_VALUE"""),-15.0)</f>
        <v>-15</v>
      </c>
      <c r="AG398" s="16">
        <f>IFERROR(__xludf.DUMMYFUNCTION("""COMPUTED_VALUE"""),5.0)</f>
        <v>5</v>
      </c>
      <c r="AH398" s="16">
        <f>IFERROR(__xludf.DUMMYFUNCTION("""COMPUTED_VALUE"""),0.0)</f>
        <v>0</v>
      </c>
      <c r="AI398" s="16">
        <f>IFERROR(__xludf.DUMMYFUNCTION("""COMPUTED_VALUE"""),23.8)</f>
        <v>23.8</v>
      </c>
      <c r="AJ398" s="16">
        <f>IFERROR(__xludf.DUMMYFUNCTION("""COMPUTED_VALUE"""),-2.0)</f>
        <v>-2</v>
      </c>
      <c r="AK398" s="16">
        <f>IFERROR(__xludf.DUMMYFUNCTION("""COMPUTED_VALUE"""),-1.0)</f>
        <v>-1</v>
      </c>
      <c r="AL398" s="16">
        <f>IFERROR(__xludf.DUMMYFUNCTION("""COMPUTED_VALUE"""),-10.0)</f>
        <v>-10</v>
      </c>
      <c r="AM398" s="16">
        <f>IFERROR(__xludf.DUMMYFUNCTION("""COMPUTED_VALUE"""),-5.0)</f>
        <v>-5</v>
      </c>
      <c r="AN398" s="16">
        <f>IFERROR(__xludf.DUMMYFUNCTION("""COMPUTED_VALUE"""),0.0)</f>
        <v>0</v>
      </c>
      <c r="AO398" s="16">
        <f>IFERROR(__xludf.DUMMYFUNCTION("""COMPUTED_VALUE"""),0.0)</f>
        <v>0</v>
      </c>
      <c r="AP398" s="16">
        <f>IFERROR(__xludf.DUMMYFUNCTION("""COMPUTED_VALUE"""),-2.0)</f>
        <v>-2</v>
      </c>
      <c r="AQ398" s="16">
        <f>IFERROR(__xludf.DUMMYFUNCTION("""COMPUTED_VALUE"""),-3.0)</f>
        <v>-3</v>
      </c>
      <c r="AR398" s="16">
        <f>IFERROR(__xludf.DUMMYFUNCTION("""COMPUTED_VALUE"""),-4.0)</f>
        <v>-4</v>
      </c>
      <c r="AS398" s="16">
        <f>IFERROR(__xludf.DUMMYFUNCTION("""COMPUTED_VALUE"""),-6.0)</f>
        <v>-6</v>
      </c>
      <c r="AT398" s="16"/>
      <c r="AU398" s="16"/>
      <c r="AV398" s="16">
        <f>IFERROR(__xludf.DUMMYFUNCTION("""COMPUTED_VALUE"""),-3.0)</f>
        <v>-3</v>
      </c>
      <c r="AW398" s="16">
        <f>IFERROR(__xludf.DUMMYFUNCTION("""COMPUTED_VALUE"""),-3.0)</f>
        <v>-3</v>
      </c>
      <c r="AX398" s="16">
        <f>IFERROR(__xludf.DUMMYFUNCTION("""COMPUTED_VALUE"""),-3.0)</f>
        <v>-3</v>
      </c>
      <c r="AY398" s="16">
        <f>IFERROR(__xludf.DUMMYFUNCTION("""COMPUTED_VALUE"""),-3.0)</f>
        <v>-3</v>
      </c>
      <c r="AZ398" s="16">
        <f>IFERROR(__xludf.DUMMYFUNCTION("""COMPUTED_VALUE"""),-9.0)</f>
        <v>-9</v>
      </c>
      <c r="BA398" s="16">
        <f>IFERROR(__xludf.DUMMYFUNCTION("""COMPUTED_VALUE"""),-9.0)</f>
        <v>-9</v>
      </c>
      <c r="BB398" s="16">
        <f>IFERROR(__xludf.DUMMYFUNCTION("""COMPUTED_VALUE"""),0.0)</f>
        <v>0</v>
      </c>
      <c r="BC398" s="16">
        <f>IFERROR(__xludf.DUMMYFUNCTION("""COMPUTED_VALUE"""),5.0)</f>
        <v>5</v>
      </c>
      <c r="BD398" s="16">
        <f>IFERROR(__xludf.DUMMYFUNCTION("""COMPUTED_VALUE"""),0.0)</f>
        <v>0</v>
      </c>
      <c r="BE398" s="16">
        <f>IFERROR(__xludf.DUMMYFUNCTION("""COMPUTED_VALUE"""),1.0)</f>
        <v>1</v>
      </c>
      <c r="BF398" s="16">
        <f>IFERROR(__xludf.DUMMYFUNCTION("""COMPUTED_VALUE"""),0.0)</f>
        <v>0</v>
      </c>
      <c r="BG398" s="16">
        <f>IFERROR(__xludf.DUMMYFUNCTION("""COMPUTED_VALUE"""),1.0)</f>
        <v>1</v>
      </c>
      <c r="BH398" s="16">
        <f>IFERROR(__xludf.DUMMYFUNCTION("""COMPUTED_VALUE"""),0.0)</f>
        <v>0</v>
      </c>
      <c r="BI398" s="16">
        <f>IFERROR(__xludf.DUMMYFUNCTION("""COMPUTED_VALUE"""),-6.0)</f>
        <v>-6</v>
      </c>
      <c r="BJ398" s="16">
        <f>IFERROR(__xludf.DUMMYFUNCTION("""COMPUTED_VALUE"""),30.0)</f>
        <v>30</v>
      </c>
      <c r="BK398" s="16">
        <f>IFERROR(__xludf.DUMMYFUNCTION("""COMPUTED_VALUE"""),25.0)</f>
        <v>25</v>
      </c>
      <c r="BL398" s="16">
        <f>IFERROR(__xludf.DUMMYFUNCTION("""COMPUTED_VALUE"""),-3.0)</f>
        <v>-3</v>
      </c>
      <c r="BM398" s="16">
        <f>IFERROR(__xludf.DUMMYFUNCTION("""COMPUTED_VALUE"""),-2.0)</f>
        <v>-2</v>
      </c>
      <c r="BN398" s="16">
        <f>IFERROR(__xludf.DUMMYFUNCTION("""COMPUTED_VALUE"""),-6.0)</f>
        <v>-6</v>
      </c>
      <c r="BO398" s="16">
        <f>IFERROR(__xludf.DUMMYFUNCTION("""COMPUTED_VALUE"""),-4.0)</f>
        <v>-4</v>
      </c>
      <c r="BP398" s="16">
        <f>IFERROR(__xludf.DUMMYFUNCTION("""COMPUTED_VALUE"""),-16.0)</f>
        <v>-16</v>
      </c>
      <c r="BQ398" s="16">
        <f>IFERROR(__xludf.DUMMYFUNCTION("""COMPUTED_VALUE"""),-4.0)</f>
        <v>-4</v>
      </c>
      <c r="BR398" s="16">
        <f>IFERROR(__xludf.DUMMYFUNCTION("""COMPUTED_VALUE"""),-20.0)</f>
        <v>-20</v>
      </c>
      <c r="BS398" s="16" t="str">
        <f>IFERROR(__xludf.DUMMYFUNCTION("""COMPUTED_VALUE"""),"*2-6/- (15-12)")</f>
        <v>*2-6/- (15-12)</v>
      </c>
      <c r="BT398" s="16" t="str">
        <f>IFERROR(__xludf.DUMMYFUNCTION("""COMPUTED_VALUE"""),"C")</f>
        <v>C</v>
      </c>
      <c r="BU398" s="16">
        <f>IFERROR(__xludf.DUMMYFUNCTION("""COMPUTED_VALUE"""),10.0)</f>
        <v>10</v>
      </c>
      <c r="BV398" s="16">
        <f>IFERROR(__xludf.DUMMYFUNCTION("""COMPUTED_VALUE"""),0.0)</f>
        <v>0</v>
      </c>
      <c r="BW398" s="16">
        <f>IFERROR(__xludf.DUMMYFUNCTION("""COMPUTED_VALUE"""),0.0)</f>
        <v>0</v>
      </c>
      <c r="BX398" s="16">
        <f>IFERROR(__xludf.DUMMYFUNCTION("""COMPUTED_VALUE"""),0.0)</f>
        <v>0</v>
      </c>
      <c r="BY398" s="16">
        <f>IFERROR(__xludf.DUMMYFUNCTION("""COMPUTED_VALUE"""),0.0)</f>
        <v>0</v>
      </c>
      <c r="BZ398" s="16" t="str">
        <f>IFERROR(__xludf.DUMMYFUNCTION("""COMPUTED_VALUE"""),"D")</f>
        <v>D</v>
      </c>
      <c r="CA398" s="16" t="str">
        <f>IFERROR(__xludf.DUMMYFUNCTION("""COMPUTED_VALUE"""),"C")</f>
        <v>C</v>
      </c>
      <c r="CB398" s="16">
        <f>IFERROR(__xludf.DUMMYFUNCTION("""COMPUTED_VALUE"""),0.0)</f>
        <v>0</v>
      </c>
      <c r="CC398" s="16">
        <f>IFERROR(__xludf.DUMMYFUNCTION("""COMPUTED_VALUE"""),0.0)</f>
        <v>0</v>
      </c>
      <c r="CD398" s="16">
        <f>IFERROR(__xludf.DUMMYFUNCTION("""COMPUTED_VALUE"""),0.0)</f>
        <v>0</v>
      </c>
      <c r="CE398" s="16">
        <f>IFERROR(__xludf.DUMMYFUNCTION("""COMPUTED_VALUE"""),0.0)</f>
        <v>0</v>
      </c>
      <c r="CF398" s="16">
        <f>IFERROR(__xludf.DUMMYFUNCTION("""COMPUTED_VALUE"""),1.0)</f>
        <v>1</v>
      </c>
      <c r="CG398" s="16">
        <f>IFERROR(__xludf.DUMMYFUNCTION("""COMPUTED_VALUE"""),-49.0)</f>
        <v>-49</v>
      </c>
      <c r="CH398" s="16">
        <f>IFERROR(__xludf.DUMMYFUNCTION("""COMPUTED_VALUE"""),-16.0)</f>
        <v>-16</v>
      </c>
      <c r="CI398" s="179">
        <f>IFERROR(__xludf.DUMMYFUNCTION("""COMPUTED_VALUE"""),-21.0)</f>
        <v>-21</v>
      </c>
      <c r="CJ398" s="16"/>
      <c r="CK398" s="16"/>
      <c r="CL398" s="16">
        <f>IFERROR(__xludf.DUMMYFUNCTION("""COMPUTED_VALUE"""),205.0)</f>
        <v>205</v>
      </c>
      <c r="CM398" s="16">
        <f>IFERROR(__xludf.DUMMYFUNCTION("""COMPUTED_VALUE"""),216.0)</f>
        <v>216</v>
      </c>
      <c r="CN398" s="16">
        <f>IFERROR(__xludf.DUMMYFUNCTION("""COMPUTED_VALUE"""),321.0)</f>
        <v>321</v>
      </c>
      <c r="CO398" s="16"/>
      <c r="CP398" s="16"/>
      <c r="CQ398" s="16"/>
      <c r="CR398" s="16" t="str">
        <f>IFERROR(__xludf.DUMMYFUNCTION("""COMPUTED_VALUE"""),"2b-2e5 3b-2e16 ss-3e21")</f>
        <v>2b-2e5 3b-2e16 ss-3e21</v>
      </c>
      <c r="CS398" s="16"/>
      <c r="CT398" s="16"/>
      <c r="CU398" s="16">
        <f>IFERROR(__xludf.DUMMYFUNCTION("""COMPUTED_VALUE"""),2.0)</f>
        <v>2</v>
      </c>
      <c r="CV398" s="16">
        <f>IFERROR(__xludf.DUMMYFUNCTION("""COMPUTED_VALUE"""),2.0)</f>
        <v>2</v>
      </c>
      <c r="CW398" s="16">
        <f>IFERROR(__xludf.DUMMYFUNCTION("""COMPUTED_VALUE"""),3.0)</f>
        <v>3</v>
      </c>
      <c r="CX398" s="16"/>
      <c r="CY398" s="16"/>
      <c r="CZ398" s="16"/>
      <c r="DA398" s="16"/>
      <c r="DB398" s="16"/>
      <c r="DC398" s="16">
        <f>IFERROR(__xludf.DUMMYFUNCTION("""COMPUTED_VALUE"""),5.0)</f>
        <v>5</v>
      </c>
      <c r="DD398" s="16">
        <f>IFERROR(__xludf.DUMMYFUNCTION("""COMPUTED_VALUE"""),16.0)</f>
        <v>16</v>
      </c>
      <c r="DE398" s="16">
        <f>IFERROR(__xludf.DUMMYFUNCTION("""COMPUTED_VALUE"""),21.0)</f>
        <v>21</v>
      </c>
      <c r="DF398" s="16"/>
      <c r="DG398" s="16"/>
      <c r="DH398" s="16"/>
      <c r="DI398" s="16"/>
      <c r="DJ398" s="16"/>
      <c r="DK398" s="16">
        <f>IFERROR(__xludf.DUMMYFUNCTION("""COMPUTED_VALUE"""),2.0)</f>
        <v>2</v>
      </c>
      <c r="DL398" s="16">
        <f>IFERROR(__xludf.DUMMYFUNCTION("""COMPUTED_VALUE"""),3.0)</f>
        <v>3</v>
      </c>
      <c r="DM398" s="16">
        <f>IFERROR(__xludf.DUMMYFUNCTION("""COMPUTED_VALUE"""),0.0)</f>
        <v>0</v>
      </c>
      <c r="DN398" s="16"/>
      <c r="DO398" s="16"/>
      <c r="DP398" s="16"/>
      <c r="DQ398" s="16"/>
      <c r="DR398" s="16"/>
      <c r="DS398" s="16">
        <f>IFERROR(__xludf.DUMMYFUNCTION("""COMPUTED_VALUE"""),3.0)</f>
        <v>3</v>
      </c>
      <c r="DT398" s="16">
        <f>IFERROR(__xludf.DUMMYFUNCTION("""COMPUTED_VALUE"""),0.0)</f>
        <v>0</v>
      </c>
      <c r="DU398" s="16">
        <f>IFERROR(__xludf.DUMMYFUNCTION("""COMPUTED_VALUE"""),0.0)</f>
        <v>0</v>
      </c>
      <c r="DV398" s="16"/>
      <c r="DW398" s="16"/>
      <c r="DX398" s="16"/>
      <c r="DY398" s="16"/>
      <c r="DZ398" s="16"/>
      <c r="EA398" s="16">
        <f>IFERROR(__xludf.DUMMYFUNCTION("""COMPUTED_VALUE"""),5.0)</f>
        <v>5</v>
      </c>
      <c r="EB398" s="16">
        <f>IFERROR(__xludf.DUMMYFUNCTION("""COMPUTED_VALUE"""),3.0)</f>
        <v>3</v>
      </c>
      <c r="EC398" s="16">
        <f>IFERROR(__xludf.DUMMYFUNCTION("""COMPUTED_VALUE"""),0.0)</f>
        <v>0</v>
      </c>
      <c r="ED398" s="16"/>
      <c r="EE398" s="16"/>
      <c r="EF398" s="16"/>
      <c r="EG398" s="179"/>
      <c r="EH398" s="179"/>
      <c r="EI398" s="179">
        <f>IFERROR(__xludf.DUMMYFUNCTION("""COMPUTED_VALUE"""),-16.0)</f>
        <v>-16</v>
      </c>
      <c r="EJ398" s="179">
        <f>IFERROR(__xludf.DUMMYFUNCTION("""COMPUTED_VALUE"""),-18.0)</f>
        <v>-18</v>
      </c>
      <c r="EK398" s="179">
        <f>IFERROR(__xludf.DUMMYFUNCTION("""COMPUTED_VALUE"""),-21.0)</f>
        <v>-21</v>
      </c>
      <c r="EL398" s="179"/>
      <c r="EM398" s="179"/>
      <c r="EN398" s="179"/>
      <c r="EO398" s="16"/>
      <c r="EP398" s="16"/>
      <c r="EQ398" s="16">
        <f>IFERROR(__xludf.DUMMYFUNCTION("""COMPUTED_VALUE"""),4.0)</f>
        <v>4</v>
      </c>
      <c r="ER398" s="16">
        <f>IFERROR(__xludf.DUMMYFUNCTION("""COMPUTED_VALUE"""),-1.0)</f>
        <v>-1</v>
      </c>
      <c r="ES398" s="16"/>
      <c r="ET398" s="16"/>
      <c r="EU398" s="16"/>
      <c r="EV398" s="16"/>
      <c r="EW398" s="16"/>
      <c r="EX398" s="180"/>
      <c r="EY398" s="180"/>
      <c r="EZ398" s="180">
        <f>IFERROR(__xludf.DUMMYFUNCTION("""COMPUTED_VALUE"""),0.1)</f>
        <v>0.1</v>
      </c>
      <c r="FA398" s="180">
        <f>IFERROR(__xludf.DUMMYFUNCTION("""COMPUTED_VALUE"""),0.1)</f>
        <v>0.1</v>
      </c>
      <c r="FB398" s="180">
        <f>IFERROR(__xludf.DUMMYFUNCTION("""COMPUTED_VALUE"""),0.2)</f>
        <v>0.2</v>
      </c>
      <c r="FC398" s="180"/>
      <c r="FD398" s="180"/>
      <c r="FE398" s="180"/>
      <c r="FF398" s="180"/>
      <c r="FG398" s="180"/>
      <c r="FH398" s="180">
        <f>IFERROR(__xludf.DUMMYFUNCTION("""COMPUTED_VALUE"""),0.032407407407407406)</f>
        <v>0.03240740741</v>
      </c>
      <c r="FI398" s="180">
        <f>IFERROR(__xludf.DUMMYFUNCTION("""COMPUTED_VALUE"""),0.18981481481481483)</f>
        <v>0.1898148148</v>
      </c>
      <c r="FJ398" s="180">
        <f>IFERROR(__xludf.DUMMYFUNCTION("""COMPUTED_VALUE"""),0.10648148148148148)</f>
        <v>0.1064814815</v>
      </c>
      <c r="FK398" s="180"/>
      <c r="FL398" s="180"/>
      <c r="FM398" s="180"/>
      <c r="FN398" s="16"/>
      <c r="FO398" s="16"/>
      <c r="FP398" s="16">
        <f>IFERROR(__xludf.DUMMYFUNCTION("""COMPUTED_VALUE"""),0.8708333333333333)</f>
        <v>0.8708333333</v>
      </c>
      <c r="FQ398" s="16">
        <f>IFERROR(__xludf.DUMMYFUNCTION("""COMPUTED_VALUE"""),0.7291666666666666)</f>
        <v>0.7291666667</v>
      </c>
      <c r="FR398" s="16">
        <f>IFERROR(__xludf.DUMMYFUNCTION("""COMPUTED_VALUE"""),0.7148148148148148)</f>
        <v>0.7148148148</v>
      </c>
      <c r="FS398" s="16"/>
      <c r="FT398" s="16"/>
      <c r="FU398" s="16"/>
      <c r="FV398" s="16"/>
      <c r="FW398" s="16"/>
      <c r="FX398" s="16">
        <f>IFERROR(__xludf.DUMMYFUNCTION("""COMPUTED_VALUE"""),4.0)</f>
        <v>4</v>
      </c>
      <c r="FY398" s="16">
        <f>IFERROR(__xludf.DUMMYFUNCTION("""COMPUTED_VALUE"""),-4.0)</f>
        <v>-4</v>
      </c>
      <c r="FZ398" s="16">
        <f>IFERROR(__xludf.DUMMYFUNCTION("""COMPUTED_VALUE"""),-4.0)</f>
        <v>-4</v>
      </c>
      <c r="GA398" s="16"/>
      <c r="GB398" s="16"/>
      <c r="GC398" s="16"/>
      <c r="GD398" s="16" t="s">
        <v>277</v>
      </c>
    </row>
    <row r="399">
      <c r="A399" s="16">
        <f>IFERROR(__xludf.DUMMYFUNCTION("""COMPUTED_VALUE"""),12628.0)</f>
        <v>12628</v>
      </c>
      <c r="B399" s="16" t="str">
        <f>IFERROR(__xludf.DUMMYFUNCTION("""COMPUTED_VALUE"""),"Bryan Ramos")</f>
        <v>Bryan Ramos</v>
      </c>
      <c r="C399" s="16">
        <f>IFERROR(__xludf.DUMMYFUNCTION("""COMPUTED_VALUE"""),0.0)</f>
        <v>0</v>
      </c>
      <c r="D399" s="16" t="str">
        <f>IFERROR(__xludf.DUMMYFUNCTION("""COMPUTED_VALUE"""),"R")</f>
        <v>R</v>
      </c>
      <c r="E399" s="16"/>
      <c r="F399" s="16"/>
      <c r="G399" s="16">
        <f>IFERROR(__xludf.DUMMYFUNCTION("""COMPUTED_VALUE"""),99.0)</f>
        <v>99</v>
      </c>
      <c r="H399" s="16">
        <f>IFERROR(__xludf.DUMMYFUNCTION("""COMPUTED_VALUE"""),7.0)</f>
        <v>7</v>
      </c>
      <c r="I399" s="16" t="str">
        <f>IFERROR(__xludf.DUMMYFUNCTION("""COMPUTED_VALUE"""),"1p20")</f>
        <v>1p20</v>
      </c>
      <c r="J399" s="16">
        <f>IFERROR(__xludf.DUMMYFUNCTION("""COMPUTED_VALUE"""),13.0)</f>
        <v>13</v>
      </c>
      <c r="K399" s="16">
        <f>IFERROR(__xludf.DUMMYFUNCTION("""COMPUTED_VALUE"""),23.0)</f>
        <v>23</v>
      </c>
      <c r="L399" s="16">
        <f>IFERROR(__xludf.DUMMYFUNCTION("""COMPUTED_VALUE"""),1.0)</f>
        <v>1</v>
      </c>
      <c r="M399" s="16">
        <f>IFERROR(__xludf.DUMMYFUNCTION("""COMPUTED_VALUE"""),0.0)</f>
        <v>0</v>
      </c>
      <c r="N399" s="16">
        <f>IFERROR(__xludf.DUMMYFUNCTION("""COMPUTED_VALUE"""),1.0)</f>
        <v>1</v>
      </c>
      <c r="O399" s="16">
        <f>IFERROR(__xludf.DUMMYFUNCTION("""COMPUTED_VALUE"""),0.0)</f>
        <v>0</v>
      </c>
      <c r="P399" s="16">
        <f>IFERROR(__xludf.DUMMYFUNCTION("""COMPUTED_VALUE"""),2.0)</f>
        <v>2</v>
      </c>
      <c r="Q399" s="16">
        <f>IFERROR(__xludf.DUMMYFUNCTION("""COMPUTED_VALUE"""),9.0)</f>
        <v>9</v>
      </c>
      <c r="R399" s="16">
        <f>IFERROR(__xludf.DUMMYFUNCTION("""COMPUTED_VALUE"""),-2.0)</f>
        <v>-2</v>
      </c>
      <c r="S399" s="16">
        <f>IFERROR(__xludf.DUMMYFUNCTION("""COMPUTED_VALUE"""),0.0)</f>
        <v>0</v>
      </c>
      <c r="T399" s="16">
        <f>IFERROR(__xludf.DUMMYFUNCTION("""COMPUTED_VALUE"""),-2.0)</f>
        <v>-2</v>
      </c>
      <c r="U399" s="16">
        <f>IFERROR(__xludf.DUMMYFUNCTION("""COMPUTED_VALUE"""),0.0)</f>
        <v>0</v>
      </c>
      <c r="V399" s="16">
        <f>IFERROR(__xludf.DUMMYFUNCTION("""COMPUTED_VALUE"""),9.0)</f>
        <v>9</v>
      </c>
      <c r="W399" s="16">
        <f>IFERROR(__xludf.DUMMYFUNCTION("""COMPUTED_VALUE"""),13.4)</f>
        <v>13.4</v>
      </c>
      <c r="X399" s="16">
        <f>IFERROR(__xludf.DUMMYFUNCTION("""COMPUTED_VALUE"""),-2.0)</f>
        <v>-2</v>
      </c>
      <c r="Y399" s="16">
        <f>IFERROR(__xludf.DUMMYFUNCTION("""COMPUTED_VALUE"""),-1.0)</f>
        <v>-1</v>
      </c>
      <c r="Z399" s="16">
        <f>IFERROR(__xludf.DUMMYFUNCTION("""COMPUTED_VALUE"""),-4.0)</f>
        <v>-4</v>
      </c>
      <c r="AA399" s="16">
        <f>IFERROR(__xludf.DUMMYFUNCTION("""COMPUTED_VALUE"""),-2.0)</f>
        <v>-2</v>
      </c>
      <c r="AB399" s="16">
        <f>IFERROR(__xludf.DUMMYFUNCTION("""COMPUTED_VALUE"""),11.0)</f>
        <v>11</v>
      </c>
      <c r="AC399" s="16">
        <f>IFERROR(__xludf.DUMMYFUNCTION("""COMPUTED_VALUE"""),22.3)</f>
        <v>22.3</v>
      </c>
      <c r="AD399" s="16">
        <f>IFERROR(__xludf.DUMMYFUNCTION("""COMPUTED_VALUE"""),-2.0)</f>
        <v>-2</v>
      </c>
      <c r="AE399" s="16">
        <f>IFERROR(__xludf.DUMMYFUNCTION("""COMPUTED_VALUE"""),-1.0)</f>
        <v>-1</v>
      </c>
      <c r="AF399" s="16">
        <f>IFERROR(__xludf.DUMMYFUNCTION("""COMPUTED_VALUE"""),-10.0)</f>
        <v>-10</v>
      </c>
      <c r="AG399" s="16">
        <f>IFERROR(__xludf.DUMMYFUNCTION("""COMPUTED_VALUE"""),-5.0)</f>
        <v>-5</v>
      </c>
      <c r="AH399" s="16">
        <f>IFERROR(__xludf.DUMMYFUNCTION("""COMPUTED_VALUE"""),13.4)</f>
        <v>13.4</v>
      </c>
      <c r="AI399" s="16">
        <f>IFERROR(__xludf.DUMMYFUNCTION("""COMPUTED_VALUE"""),24.2)</f>
        <v>24.2</v>
      </c>
      <c r="AJ399" s="16">
        <f>IFERROR(__xludf.DUMMYFUNCTION("""COMPUTED_VALUE"""),-2.0)</f>
        <v>-2</v>
      </c>
      <c r="AK399" s="16">
        <f>IFERROR(__xludf.DUMMYFUNCTION("""COMPUTED_VALUE"""),-1.0)</f>
        <v>-1</v>
      </c>
      <c r="AL399" s="16">
        <f>IFERROR(__xludf.DUMMYFUNCTION("""COMPUTED_VALUE"""),-10.0)</f>
        <v>-10</v>
      </c>
      <c r="AM399" s="16">
        <f>IFERROR(__xludf.DUMMYFUNCTION("""COMPUTED_VALUE"""),-5.0)</f>
        <v>-5</v>
      </c>
      <c r="AN399" s="16">
        <f>IFERROR(__xludf.DUMMYFUNCTION("""COMPUTED_VALUE"""),1.5)</f>
        <v>1.5</v>
      </c>
      <c r="AO399" s="16">
        <f>IFERROR(__xludf.DUMMYFUNCTION("""COMPUTED_VALUE"""),2.0)</f>
        <v>2</v>
      </c>
      <c r="AP399" s="16">
        <f>IFERROR(__xludf.DUMMYFUNCTION("""COMPUTED_VALUE"""),-1.0)</f>
        <v>-1</v>
      </c>
      <c r="AQ399" s="16">
        <f>IFERROR(__xludf.DUMMYFUNCTION("""COMPUTED_VALUE"""),-1.0)</f>
        <v>-1</v>
      </c>
      <c r="AR399" s="16">
        <f>IFERROR(__xludf.DUMMYFUNCTION("""COMPUTED_VALUE"""),-2.0)</f>
        <v>-2</v>
      </c>
      <c r="AS399" s="16">
        <f>IFERROR(__xludf.DUMMYFUNCTION("""COMPUTED_VALUE"""),-2.0)</f>
        <v>-2</v>
      </c>
      <c r="AT399" s="16">
        <f>IFERROR(__xludf.DUMMYFUNCTION("""COMPUTED_VALUE"""),1.0)</f>
        <v>1</v>
      </c>
      <c r="AU399" s="16">
        <f>IFERROR(__xludf.DUMMYFUNCTION("""COMPUTED_VALUE"""),3.0)</f>
        <v>3</v>
      </c>
      <c r="AV399" s="16">
        <f>IFERROR(__xludf.DUMMYFUNCTION("""COMPUTED_VALUE"""),1.0)</f>
        <v>1</v>
      </c>
      <c r="AW399" s="16">
        <f>IFERROR(__xludf.DUMMYFUNCTION("""COMPUTED_VALUE"""),3.0)</f>
        <v>3</v>
      </c>
      <c r="AX399" s="16">
        <f>IFERROR(__xludf.DUMMYFUNCTION("""COMPUTED_VALUE"""),-1.0)</f>
        <v>-1</v>
      </c>
      <c r="AY399" s="16">
        <f>IFERROR(__xludf.DUMMYFUNCTION("""COMPUTED_VALUE"""),0.0)</f>
        <v>0</v>
      </c>
      <c r="AZ399" s="16">
        <f>IFERROR(__xludf.DUMMYFUNCTION("""COMPUTED_VALUE"""),-3.0)</f>
        <v>-3</v>
      </c>
      <c r="BA399" s="16">
        <f>IFERROR(__xludf.DUMMYFUNCTION("""COMPUTED_VALUE"""),0.0)</f>
        <v>0</v>
      </c>
      <c r="BB399" s="16">
        <f>IFERROR(__xludf.DUMMYFUNCTION("""COMPUTED_VALUE"""),5.0)</f>
        <v>5</v>
      </c>
      <c r="BC399" s="16">
        <f>IFERROR(__xludf.DUMMYFUNCTION("""COMPUTED_VALUE"""),5.0)</f>
        <v>5</v>
      </c>
      <c r="BD399" s="16">
        <f>IFERROR(__xludf.DUMMYFUNCTION("""COMPUTED_VALUE"""),1.0)</f>
        <v>1</v>
      </c>
      <c r="BE399" s="16">
        <f>IFERROR(__xludf.DUMMYFUNCTION("""COMPUTED_VALUE"""),1.0)</f>
        <v>1</v>
      </c>
      <c r="BF399" s="16">
        <f>IFERROR(__xludf.DUMMYFUNCTION("""COMPUTED_VALUE"""),1.0)</f>
        <v>1</v>
      </c>
      <c r="BG399" s="16">
        <f>IFERROR(__xludf.DUMMYFUNCTION("""COMPUTED_VALUE"""),1.0)</f>
        <v>1</v>
      </c>
      <c r="BH399" s="16">
        <f>IFERROR(__xludf.DUMMYFUNCTION("""COMPUTED_VALUE"""),6.0)</f>
        <v>6</v>
      </c>
      <c r="BI399" s="16">
        <f>IFERROR(__xludf.DUMMYFUNCTION("""COMPUTED_VALUE"""),6.0)</f>
        <v>6</v>
      </c>
      <c r="BJ399" s="16">
        <f>IFERROR(__xludf.DUMMYFUNCTION("""COMPUTED_VALUE"""),23.0)</f>
        <v>23</v>
      </c>
      <c r="BK399" s="16">
        <f>IFERROR(__xludf.DUMMYFUNCTION("""COMPUTED_VALUE"""),20.0)</f>
        <v>20</v>
      </c>
      <c r="BL399" s="16">
        <f>IFERROR(__xludf.DUMMYFUNCTION("""COMPUTED_VALUE"""),-2.0)</f>
        <v>-2</v>
      </c>
      <c r="BM399" s="16">
        <f>IFERROR(__xludf.DUMMYFUNCTION("""COMPUTED_VALUE"""),-2.0)</f>
        <v>-2</v>
      </c>
      <c r="BN399" s="16">
        <f>IFERROR(__xludf.DUMMYFUNCTION("""COMPUTED_VALUE"""),-4.0)</f>
        <v>-4</v>
      </c>
      <c r="BO399" s="16">
        <f>IFERROR(__xludf.DUMMYFUNCTION("""COMPUTED_VALUE"""),-4.0)</f>
        <v>-4</v>
      </c>
      <c r="BP399" s="16">
        <f>IFERROR(__xludf.DUMMYFUNCTION("""COMPUTED_VALUE"""),-10.0)</f>
        <v>-10</v>
      </c>
      <c r="BQ399" s="16">
        <f>IFERROR(__xludf.DUMMYFUNCTION("""COMPUTED_VALUE"""),-5.0)</f>
        <v>-5</v>
      </c>
      <c r="BR399" s="16">
        <f>IFERROR(__xludf.DUMMYFUNCTION("""COMPUTED_VALUE"""),-15.0)</f>
        <v>-15</v>
      </c>
      <c r="BS399" s="16" t="str">
        <f>IFERROR(__xludf.DUMMYFUNCTION("""COMPUTED_VALUE"""),"2-12/- (3-1)")</f>
        <v>2-12/- (3-1)</v>
      </c>
      <c r="BT399" s="16" t="str">
        <f>IFERROR(__xludf.DUMMYFUNCTION("""COMPUTED_VALUE"""),"E")</f>
        <v>E</v>
      </c>
      <c r="BU399" s="16">
        <f>IFERROR(__xludf.DUMMYFUNCTION("""COMPUTED_VALUE"""),12.0)</f>
        <v>12</v>
      </c>
      <c r="BV399" s="16">
        <f>IFERROR(__xludf.DUMMYFUNCTION("""COMPUTED_VALUE"""),0.0)</f>
        <v>0</v>
      </c>
      <c r="BW399" s="16">
        <f>IFERROR(__xludf.DUMMYFUNCTION("""COMPUTED_VALUE"""),0.0)</f>
        <v>0</v>
      </c>
      <c r="BX399" s="16">
        <f>IFERROR(__xludf.DUMMYFUNCTION("""COMPUTED_VALUE"""),0.0)</f>
        <v>0</v>
      </c>
      <c r="BY399" s="16">
        <f>IFERROR(__xludf.DUMMYFUNCTION("""COMPUTED_VALUE"""),0.0)</f>
        <v>0</v>
      </c>
      <c r="BZ399" s="16" t="str">
        <f>IFERROR(__xludf.DUMMYFUNCTION("""COMPUTED_VALUE"""),"D")</f>
        <v>D</v>
      </c>
      <c r="CA399" s="16" t="str">
        <f>IFERROR(__xludf.DUMMYFUNCTION("""COMPUTED_VALUE"""),"C")</f>
        <v>C</v>
      </c>
      <c r="CB399" s="16">
        <f>IFERROR(__xludf.DUMMYFUNCTION("""COMPUTED_VALUE"""),0.0)</f>
        <v>0</v>
      </c>
      <c r="CC399" s="16">
        <f>IFERROR(__xludf.DUMMYFUNCTION("""COMPUTED_VALUE"""),0.0)</f>
        <v>0</v>
      </c>
      <c r="CD399" s="16">
        <f>IFERROR(__xludf.DUMMYFUNCTION("""COMPUTED_VALUE"""),0.0)</f>
        <v>0</v>
      </c>
      <c r="CE399" s="16">
        <f>IFERROR(__xludf.DUMMYFUNCTION("""COMPUTED_VALUE"""),0.0)</f>
        <v>0</v>
      </c>
      <c r="CF399" s="16">
        <f>IFERROR(__xludf.DUMMYFUNCTION("""COMPUTED_VALUE"""),1.0)</f>
        <v>1</v>
      </c>
      <c r="CG399" s="16">
        <f>IFERROR(__xludf.DUMMYFUNCTION("""COMPUTED_VALUE"""),-33.0)</f>
        <v>-33</v>
      </c>
      <c r="CH399" s="16">
        <f>IFERROR(__xludf.DUMMYFUNCTION("""COMPUTED_VALUE"""),-17.0)</f>
        <v>-17</v>
      </c>
      <c r="CI399" s="179">
        <f>IFERROR(__xludf.DUMMYFUNCTION("""COMPUTED_VALUE"""),-21.0)</f>
        <v>-21</v>
      </c>
      <c r="CJ399" s="16"/>
      <c r="CK399" s="16"/>
      <c r="CL399" s="16"/>
      <c r="CM399" s="16">
        <f>IFERROR(__xludf.DUMMYFUNCTION("""COMPUTED_VALUE"""),308.0)</f>
        <v>308</v>
      </c>
      <c r="CN399" s="16"/>
      <c r="CO399" s="16"/>
      <c r="CP399" s="16"/>
      <c r="CQ399" s="16"/>
      <c r="CR399" s="16" t="str">
        <f>IFERROR(__xludf.DUMMYFUNCTION("""COMPUTED_VALUE"""),"3b-3e8")</f>
        <v>3b-3e8</v>
      </c>
      <c r="CS399" s="16"/>
      <c r="CT399" s="16"/>
      <c r="CU399" s="16"/>
      <c r="CV399" s="16">
        <f>IFERROR(__xludf.DUMMYFUNCTION("""COMPUTED_VALUE"""),3.0)</f>
        <v>3</v>
      </c>
      <c r="CW399" s="16"/>
      <c r="CX399" s="16"/>
      <c r="CY399" s="16"/>
      <c r="CZ399" s="16"/>
      <c r="DA399" s="16"/>
      <c r="DB399" s="16"/>
      <c r="DC399" s="16"/>
      <c r="DD399" s="16">
        <f>IFERROR(__xludf.DUMMYFUNCTION("""COMPUTED_VALUE"""),8.0)</f>
        <v>8</v>
      </c>
      <c r="DE399" s="16"/>
      <c r="DF399" s="16"/>
      <c r="DG399" s="16"/>
      <c r="DH399" s="16"/>
      <c r="DI399" s="16"/>
      <c r="DJ399" s="16"/>
      <c r="DK399" s="16"/>
      <c r="DL399" s="16">
        <f>IFERROR(__xludf.DUMMYFUNCTION("""COMPUTED_VALUE"""),1.0)</f>
        <v>1</v>
      </c>
      <c r="DM399" s="16"/>
      <c r="DN399" s="16"/>
      <c r="DO399" s="16"/>
      <c r="DP399" s="16"/>
      <c r="DQ399" s="16"/>
      <c r="DR399" s="16"/>
      <c r="DS399" s="16"/>
      <c r="DT399" s="16">
        <f>IFERROR(__xludf.DUMMYFUNCTION("""COMPUTED_VALUE"""),2.0)</f>
        <v>2</v>
      </c>
      <c r="DU399" s="16"/>
      <c r="DV399" s="16"/>
      <c r="DW399" s="16"/>
      <c r="DX399" s="16"/>
      <c r="DY399" s="16"/>
      <c r="DZ399" s="16"/>
      <c r="EA399" s="16"/>
      <c r="EB399" s="16">
        <f>IFERROR(__xludf.DUMMYFUNCTION("""COMPUTED_VALUE"""),3.0)</f>
        <v>3</v>
      </c>
      <c r="EC399" s="16"/>
      <c r="ED399" s="16"/>
      <c r="EE399" s="16"/>
      <c r="EF399" s="16"/>
      <c r="EG399" s="179"/>
      <c r="EH399" s="179"/>
      <c r="EI399" s="179"/>
      <c r="EJ399" s="179">
        <f>IFERROR(__xludf.DUMMYFUNCTION("""COMPUTED_VALUE"""),-18.0)</f>
        <v>-18</v>
      </c>
      <c r="EK399" s="179"/>
      <c r="EL399" s="179"/>
      <c r="EM399" s="179"/>
      <c r="EN399" s="179"/>
      <c r="EO399" s="16"/>
      <c r="EP399" s="16">
        <f>IFERROR(__xludf.DUMMYFUNCTION("""COMPUTED_VALUE"""),-2.0)</f>
        <v>-2</v>
      </c>
      <c r="EQ399" s="16">
        <f>IFERROR(__xludf.DUMMYFUNCTION("""COMPUTED_VALUE"""),4.0)</f>
        <v>4</v>
      </c>
      <c r="ER399" s="16">
        <f>IFERROR(__xludf.DUMMYFUNCTION("""COMPUTED_VALUE"""),-4.0)</f>
        <v>-4</v>
      </c>
      <c r="ES399" s="16"/>
      <c r="ET399" s="16"/>
      <c r="EU399" s="16"/>
      <c r="EV399" s="16"/>
      <c r="EW399" s="16"/>
      <c r="EX399" s="180"/>
      <c r="EY399" s="180"/>
      <c r="EZ399" s="180"/>
      <c r="FA399" s="180">
        <f>IFERROR(__xludf.DUMMYFUNCTION("""COMPUTED_VALUE"""),0.2)</f>
        <v>0.2</v>
      </c>
      <c r="FB399" s="180"/>
      <c r="FC399" s="180"/>
      <c r="FD399" s="180"/>
      <c r="FE399" s="180"/>
      <c r="FF399" s="180"/>
      <c r="FG399" s="180"/>
      <c r="FH399" s="180"/>
      <c r="FI399" s="180">
        <f>IFERROR(__xludf.DUMMYFUNCTION("""COMPUTED_VALUE"""),0.09722222222222222)</f>
        <v>0.09722222222</v>
      </c>
      <c r="FJ399" s="180"/>
      <c r="FK399" s="180"/>
      <c r="FL399" s="180"/>
      <c r="FM399" s="180"/>
      <c r="FN399" s="16"/>
      <c r="FO399" s="16"/>
      <c r="FP399" s="16"/>
      <c r="FQ399" s="16">
        <f>IFERROR(__xludf.DUMMYFUNCTION("""COMPUTED_VALUE"""),0.7222222222222223)</f>
        <v>0.7222222222</v>
      </c>
      <c r="FR399" s="16"/>
      <c r="FS399" s="16"/>
      <c r="FT399" s="16"/>
      <c r="FU399" s="16"/>
      <c r="FV399" s="16"/>
      <c r="FW399" s="16"/>
      <c r="FX399" s="16"/>
      <c r="FY399" s="16">
        <f>IFERROR(__xludf.DUMMYFUNCTION("""COMPUTED_VALUE"""),-4.0)</f>
        <v>-4</v>
      </c>
      <c r="FZ399" s="16"/>
      <c r="GA399" s="16"/>
      <c r="GB399" s="16"/>
      <c r="GC399" s="16"/>
      <c r="GD399" s="16" t="s">
        <v>176</v>
      </c>
    </row>
    <row r="400">
      <c r="A400" s="16">
        <f>IFERROR(__xludf.DUMMYFUNCTION("""COMPUTED_VALUE"""),12550.0)</f>
        <v>12550</v>
      </c>
      <c r="B400" s="16" t="str">
        <f>IFERROR(__xludf.DUMMYFUNCTION("""COMPUTED_VALUE"""),"Angel Martinez")</f>
        <v>Angel Martinez</v>
      </c>
      <c r="C400" s="16">
        <f>IFERROR(__xludf.DUMMYFUNCTION("""COMPUTED_VALUE"""),0.1)</f>
        <v>0.1</v>
      </c>
      <c r="D400" s="16" t="str">
        <f>IFERROR(__xludf.DUMMYFUNCTION("""COMPUTED_VALUE"""),"S")</f>
        <v>S</v>
      </c>
      <c r="E400" s="16"/>
      <c r="F400" s="16"/>
      <c r="G400" s="16">
        <f>IFERROR(__xludf.DUMMYFUNCTION("""COMPUTED_VALUE"""),151.0)</f>
        <v>151</v>
      </c>
      <c r="H400" s="16">
        <f>IFERROR(__xludf.DUMMYFUNCTION("""COMPUTED_VALUE"""),15.0)</f>
        <v>15</v>
      </c>
      <c r="I400" s="16" t="str">
        <f>IFERROR(__xludf.DUMMYFUNCTION("""COMPUTED_VALUE"""),"5p20")</f>
        <v>5p20</v>
      </c>
      <c r="J400" s="16">
        <f>IFERROR(__xludf.DUMMYFUNCTION("""COMPUTED_VALUE"""),13.0)</f>
        <v>13</v>
      </c>
      <c r="K400" s="16">
        <f>IFERROR(__xludf.DUMMYFUNCTION("""COMPUTED_VALUE"""),20.0)</f>
        <v>20</v>
      </c>
      <c r="L400" s="16">
        <f>IFERROR(__xludf.DUMMYFUNCTION("""COMPUTED_VALUE"""),1.0)</f>
        <v>1</v>
      </c>
      <c r="M400" s="16">
        <f>IFERROR(__xludf.DUMMYFUNCTION("""COMPUTED_VALUE"""),0.0)</f>
        <v>0</v>
      </c>
      <c r="N400" s="16">
        <f>IFERROR(__xludf.DUMMYFUNCTION("""COMPUTED_VALUE"""),1.0)</f>
        <v>1</v>
      </c>
      <c r="O400" s="16">
        <f>IFERROR(__xludf.DUMMYFUNCTION("""COMPUTED_VALUE"""),0.0)</f>
        <v>0</v>
      </c>
      <c r="P400" s="16">
        <f>IFERROR(__xludf.DUMMYFUNCTION("""COMPUTED_VALUE"""),18.0)</f>
        <v>18</v>
      </c>
      <c r="Q400" s="16">
        <f>IFERROR(__xludf.DUMMYFUNCTION("""COMPUTED_VALUE"""),7.0)</f>
        <v>7</v>
      </c>
      <c r="R400" s="16">
        <f>IFERROR(__xludf.DUMMYFUNCTION("""COMPUTED_VALUE"""),3.0)</f>
        <v>3</v>
      </c>
      <c r="S400" s="16">
        <f>IFERROR(__xludf.DUMMYFUNCTION("""COMPUTED_VALUE"""),-1.0)</f>
        <v>-1</v>
      </c>
      <c r="T400" s="16">
        <f>IFERROR(__xludf.DUMMYFUNCTION("""COMPUTED_VALUE"""),3.0)</f>
        <v>3</v>
      </c>
      <c r="U400" s="16">
        <f>IFERROR(__xludf.DUMMYFUNCTION("""COMPUTED_VALUE"""),-1.0)</f>
        <v>-1</v>
      </c>
      <c r="V400" s="16">
        <f>IFERROR(__xludf.DUMMYFUNCTION("""COMPUTED_VALUE"""),18.3)</f>
        <v>18.3</v>
      </c>
      <c r="W400" s="16">
        <f>IFERROR(__xludf.DUMMYFUNCTION("""COMPUTED_VALUE"""),17.4)</f>
        <v>17.4</v>
      </c>
      <c r="X400" s="16">
        <f>IFERROR(__xludf.DUMMYFUNCTION("""COMPUTED_VALUE"""),0.0)</f>
        <v>0</v>
      </c>
      <c r="Y400" s="16">
        <f>IFERROR(__xludf.DUMMYFUNCTION("""COMPUTED_VALUE"""),-1.0)</f>
        <v>-1</v>
      </c>
      <c r="Z400" s="16">
        <f>IFERROR(__xludf.DUMMYFUNCTION("""COMPUTED_VALUE"""),0.0)</f>
        <v>0</v>
      </c>
      <c r="AA400" s="16">
        <f>IFERROR(__xludf.DUMMYFUNCTION("""COMPUTED_VALUE"""),-2.0)</f>
        <v>-2</v>
      </c>
      <c r="AB400" s="16">
        <f>IFERROR(__xludf.DUMMYFUNCTION("""COMPUTED_VALUE"""),36.3)</f>
        <v>36.3</v>
      </c>
      <c r="AC400" s="16">
        <f>IFERROR(__xludf.DUMMYFUNCTION("""COMPUTED_VALUE"""),24.4)</f>
        <v>24.4</v>
      </c>
      <c r="AD400" s="16">
        <f>IFERROR(__xludf.DUMMYFUNCTION("""COMPUTED_VALUE"""),1.0)</f>
        <v>1</v>
      </c>
      <c r="AE400" s="16">
        <f>IFERROR(__xludf.DUMMYFUNCTION("""COMPUTED_VALUE"""),-1.0)</f>
        <v>-1</v>
      </c>
      <c r="AF400" s="16">
        <f>IFERROR(__xludf.DUMMYFUNCTION("""COMPUTED_VALUE"""),5.0)</f>
        <v>5</v>
      </c>
      <c r="AG400" s="16">
        <f>IFERROR(__xludf.DUMMYFUNCTION("""COMPUTED_VALUE"""),-5.0)</f>
        <v>-5</v>
      </c>
      <c r="AH400" s="16">
        <f>IFERROR(__xludf.DUMMYFUNCTION("""COMPUTED_VALUE"""),23.6)</f>
        <v>23.6</v>
      </c>
      <c r="AI400" s="16">
        <f>IFERROR(__xludf.DUMMYFUNCTION("""COMPUTED_VALUE"""),24.1)</f>
        <v>24.1</v>
      </c>
      <c r="AJ400" s="16">
        <f>IFERROR(__xludf.DUMMYFUNCTION("""COMPUTED_VALUE"""),-1.0)</f>
        <v>-1</v>
      </c>
      <c r="AK400" s="16">
        <f>IFERROR(__xludf.DUMMYFUNCTION("""COMPUTED_VALUE"""),-1.0)</f>
        <v>-1</v>
      </c>
      <c r="AL400" s="16">
        <f>IFERROR(__xludf.DUMMYFUNCTION("""COMPUTED_VALUE"""),-5.0)</f>
        <v>-5</v>
      </c>
      <c r="AM400" s="16">
        <f>IFERROR(__xludf.DUMMYFUNCTION("""COMPUTED_VALUE"""),-5.0)</f>
        <v>-5</v>
      </c>
      <c r="AN400" s="16">
        <f>IFERROR(__xludf.DUMMYFUNCTION("""COMPUTED_VALUE"""),0.0)</f>
        <v>0</v>
      </c>
      <c r="AO400" s="16">
        <f>IFERROR(__xludf.DUMMYFUNCTION("""COMPUTED_VALUE"""),1.1)</f>
        <v>1.1</v>
      </c>
      <c r="AP400" s="16">
        <f>IFERROR(__xludf.DUMMYFUNCTION("""COMPUTED_VALUE"""),-2.0)</f>
        <v>-2</v>
      </c>
      <c r="AQ400" s="16">
        <f>IFERROR(__xludf.DUMMYFUNCTION("""COMPUTED_VALUE"""),-2.0)</f>
        <v>-2</v>
      </c>
      <c r="AR400" s="16">
        <f>IFERROR(__xludf.DUMMYFUNCTION("""COMPUTED_VALUE"""),-4.0)</f>
        <v>-4</v>
      </c>
      <c r="AS400" s="16">
        <f>IFERROR(__xludf.DUMMYFUNCTION("""COMPUTED_VALUE"""),-4.0)</f>
        <v>-4</v>
      </c>
      <c r="AT400" s="16"/>
      <c r="AU400" s="16">
        <f>IFERROR(__xludf.DUMMYFUNCTION("""COMPUTED_VALUE"""),1.0)</f>
        <v>1</v>
      </c>
      <c r="AV400" s="16">
        <f>IFERROR(__xludf.DUMMYFUNCTION("""COMPUTED_VALUE"""),-3.0)</f>
        <v>-3</v>
      </c>
      <c r="AW400" s="16">
        <f>IFERROR(__xludf.DUMMYFUNCTION("""COMPUTED_VALUE"""),1.0)</f>
        <v>1</v>
      </c>
      <c r="AX400" s="16">
        <f>IFERROR(__xludf.DUMMYFUNCTION("""COMPUTED_VALUE"""),-3.0)</f>
        <v>-3</v>
      </c>
      <c r="AY400" s="16">
        <f>IFERROR(__xludf.DUMMYFUNCTION("""COMPUTED_VALUE"""),-1.0)</f>
        <v>-1</v>
      </c>
      <c r="AZ400" s="16">
        <f>IFERROR(__xludf.DUMMYFUNCTION("""COMPUTED_VALUE"""),-9.0)</f>
        <v>-9</v>
      </c>
      <c r="BA400" s="16">
        <f>IFERROR(__xludf.DUMMYFUNCTION("""COMPUTED_VALUE"""),-3.0)</f>
        <v>-3</v>
      </c>
      <c r="BB400" s="16">
        <f>IFERROR(__xludf.DUMMYFUNCTION("""COMPUTED_VALUE"""),5.0)</f>
        <v>5</v>
      </c>
      <c r="BC400" s="16">
        <f>IFERROR(__xludf.DUMMYFUNCTION("""COMPUTED_VALUE"""),5.0)</f>
        <v>5</v>
      </c>
      <c r="BD400" s="16">
        <f>IFERROR(__xludf.DUMMYFUNCTION("""COMPUTED_VALUE"""),1.0)</f>
        <v>1</v>
      </c>
      <c r="BE400" s="16">
        <f>IFERROR(__xludf.DUMMYFUNCTION("""COMPUTED_VALUE"""),1.0)</f>
        <v>1</v>
      </c>
      <c r="BF400" s="16">
        <f>IFERROR(__xludf.DUMMYFUNCTION("""COMPUTED_VALUE"""),1.0)</f>
        <v>1</v>
      </c>
      <c r="BG400" s="16">
        <f>IFERROR(__xludf.DUMMYFUNCTION("""COMPUTED_VALUE"""),1.0)</f>
        <v>1</v>
      </c>
      <c r="BH400" s="16">
        <f>IFERROR(__xludf.DUMMYFUNCTION("""COMPUTED_VALUE"""),2.0)</f>
        <v>2</v>
      </c>
      <c r="BI400" s="16">
        <f>IFERROR(__xludf.DUMMYFUNCTION("""COMPUTED_VALUE"""),2.0)</f>
        <v>2</v>
      </c>
      <c r="BJ400" s="16">
        <f>IFERROR(__xludf.DUMMYFUNCTION("""COMPUTED_VALUE"""),7.0)</f>
        <v>7</v>
      </c>
      <c r="BK400" s="16">
        <f>IFERROR(__xludf.DUMMYFUNCTION("""COMPUTED_VALUE"""),9.0)</f>
        <v>9</v>
      </c>
      <c r="BL400" s="16">
        <f>IFERROR(__xludf.DUMMYFUNCTION("""COMPUTED_VALUE"""),1.0)</f>
        <v>1</v>
      </c>
      <c r="BM400" s="16">
        <f>IFERROR(__xludf.DUMMYFUNCTION("""COMPUTED_VALUE"""),1.0)</f>
        <v>1</v>
      </c>
      <c r="BN400" s="16">
        <f>IFERROR(__xludf.DUMMYFUNCTION("""COMPUTED_VALUE"""),1.0)</f>
        <v>1</v>
      </c>
      <c r="BO400" s="16">
        <f>IFERROR(__xludf.DUMMYFUNCTION("""COMPUTED_VALUE"""),1.0)</f>
        <v>1</v>
      </c>
      <c r="BP400" s="16">
        <f>IFERROR(__xludf.DUMMYFUNCTION("""COMPUTED_VALUE"""),1.0)</f>
        <v>1</v>
      </c>
      <c r="BQ400" s="16">
        <f>IFERROR(__xludf.DUMMYFUNCTION("""COMPUTED_VALUE"""),-5.0)</f>
        <v>-5</v>
      </c>
      <c r="BR400" s="16">
        <f>IFERROR(__xludf.DUMMYFUNCTION("""COMPUTED_VALUE"""),-4.0)</f>
        <v>-4</v>
      </c>
      <c r="BS400" s="16" t="str">
        <f>IFERROR(__xludf.DUMMYFUNCTION("""COMPUTED_VALUE"""),"*7/- (17-6)")</f>
        <v>*7/- (17-6)</v>
      </c>
      <c r="BT400" s="16" t="str">
        <f>IFERROR(__xludf.DUMMYFUNCTION("""COMPUTED_VALUE"""),"C")</f>
        <v>C</v>
      </c>
      <c r="BU400" s="16">
        <f>IFERROR(__xludf.DUMMYFUNCTION("""COMPUTED_VALUE"""),13.0)</f>
        <v>13</v>
      </c>
      <c r="BV400" s="16">
        <f>IFERROR(__xludf.DUMMYFUNCTION("""COMPUTED_VALUE"""),0.0)</f>
        <v>0</v>
      </c>
      <c r="BW400" s="16">
        <f>IFERROR(__xludf.DUMMYFUNCTION("""COMPUTED_VALUE"""),1.0)</f>
        <v>1</v>
      </c>
      <c r="BX400" s="16">
        <f>IFERROR(__xludf.DUMMYFUNCTION("""COMPUTED_VALUE"""),0.0)</f>
        <v>0</v>
      </c>
      <c r="BY400" s="16">
        <f>IFERROR(__xludf.DUMMYFUNCTION("""COMPUTED_VALUE"""),3.0)</f>
        <v>3</v>
      </c>
      <c r="BZ400" s="16" t="str">
        <f>IFERROR(__xludf.DUMMYFUNCTION("""COMPUTED_VALUE"""),"D")</f>
        <v>D</v>
      </c>
      <c r="CA400" s="16" t="str">
        <f>IFERROR(__xludf.DUMMYFUNCTION("""COMPUTED_VALUE"""),"C")</f>
        <v>C</v>
      </c>
      <c r="CB400" s="16">
        <f>IFERROR(__xludf.DUMMYFUNCTION("""COMPUTED_VALUE"""),0.0)</f>
        <v>0</v>
      </c>
      <c r="CC400" s="16">
        <f>IFERROR(__xludf.DUMMYFUNCTION("""COMPUTED_VALUE"""),0.0)</f>
        <v>0</v>
      </c>
      <c r="CD400" s="16">
        <f>IFERROR(__xludf.DUMMYFUNCTION("""COMPUTED_VALUE"""),0.0)</f>
        <v>0</v>
      </c>
      <c r="CE400" s="16">
        <f>IFERROR(__xludf.DUMMYFUNCTION("""COMPUTED_VALUE"""),0.0)</f>
        <v>0</v>
      </c>
      <c r="CF400" s="16">
        <f>IFERROR(__xludf.DUMMYFUNCTION("""COMPUTED_VALUE"""),5.0)</f>
        <v>5</v>
      </c>
      <c r="CG400" s="16">
        <f>IFERROR(__xludf.DUMMYFUNCTION("""COMPUTED_VALUE"""),-7.0)</f>
        <v>-7</v>
      </c>
      <c r="CH400" s="16">
        <f>IFERROR(__xludf.DUMMYFUNCTION("""COMPUTED_VALUE"""),-18.0)</f>
        <v>-18</v>
      </c>
      <c r="CI400" s="179">
        <f>IFERROR(__xludf.DUMMYFUNCTION("""COMPUTED_VALUE"""),-21.0)</f>
        <v>-21</v>
      </c>
      <c r="CJ400" s="16"/>
      <c r="CK400" s="16"/>
      <c r="CL400" s="16">
        <f>IFERROR(__xludf.DUMMYFUNCTION("""COMPUTED_VALUE"""),471.0)</f>
        <v>471</v>
      </c>
      <c r="CM400" s="16">
        <f>IFERROR(__xludf.DUMMYFUNCTION("""COMPUTED_VALUE"""),456.0)</f>
        <v>456</v>
      </c>
      <c r="CN400" s="16"/>
      <c r="CO400" s="16">
        <f>IFERROR(__xludf.DUMMYFUNCTION("""COMPUTED_VALUE"""),405.0)</f>
        <v>405</v>
      </c>
      <c r="CP400" s="16">
        <f>IFERROR(__xludf.DUMMYFUNCTION("""COMPUTED_VALUE"""),405.0)</f>
        <v>405</v>
      </c>
      <c r="CQ400" s="16">
        <f>IFERROR(__xludf.DUMMYFUNCTION("""COMPUTED_VALUE"""),405.0)</f>
        <v>405</v>
      </c>
      <c r="CR400" s="16" t="str">
        <f>IFERROR(__xludf.DUMMYFUNCTION("""COMPUTED_VALUE"""),"cf-4(-1)e5 lf-4e5 3b-4e56 rf-4e5 2b-4e71")</f>
        <v>cf-4(-1)e5 lf-4e5 3b-4e56 rf-4e5 2b-4e71</v>
      </c>
      <c r="CS400" s="16"/>
      <c r="CT400" s="16"/>
      <c r="CU400" s="16">
        <f>IFERROR(__xludf.DUMMYFUNCTION("""COMPUTED_VALUE"""),4.0)</f>
        <v>4</v>
      </c>
      <c r="CV400" s="16">
        <f>IFERROR(__xludf.DUMMYFUNCTION("""COMPUTED_VALUE"""),4.0)</f>
        <v>4</v>
      </c>
      <c r="CW400" s="16"/>
      <c r="CX400" s="16">
        <f>IFERROR(__xludf.DUMMYFUNCTION("""COMPUTED_VALUE"""),4.0)</f>
        <v>4</v>
      </c>
      <c r="CY400" s="16">
        <f>IFERROR(__xludf.DUMMYFUNCTION("""COMPUTED_VALUE"""),4.0)</f>
        <v>4</v>
      </c>
      <c r="CZ400" s="16">
        <f>IFERROR(__xludf.DUMMYFUNCTION("""COMPUTED_VALUE"""),4.0)</f>
        <v>4</v>
      </c>
      <c r="DA400" s="16"/>
      <c r="DB400" s="16"/>
      <c r="DC400" s="16">
        <f>IFERROR(__xludf.DUMMYFUNCTION("""COMPUTED_VALUE"""),71.0)</f>
        <v>71</v>
      </c>
      <c r="DD400" s="16">
        <f>IFERROR(__xludf.DUMMYFUNCTION("""COMPUTED_VALUE"""),56.0)</f>
        <v>56</v>
      </c>
      <c r="DE400" s="16"/>
      <c r="DF400" s="16">
        <f>IFERROR(__xludf.DUMMYFUNCTION("""COMPUTED_VALUE"""),5.0)</f>
        <v>5</v>
      </c>
      <c r="DG400" s="16">
        <f>IFERROR(__xludf.DUMMYFUNCTION("""COMPUTED_VALUE"""),5.0)</f>
        <v>5</v>
      </c>
      <c r="DH400" s="16">
        <f>IFERROR(__xludf.DUMMYFUNCTION("""COMPUTED_VALUE"""),5.0)</f>
        <v>5</v>
      </c>
      <c r="DI400" s="16"/>
      <c r="DJ400" s="16"/>
      <c r="DK400" s="16">
        <f>IFERROR(__xludf.DUMMYFUNCTION("""COMPUTED_VALUE"""),-2.0)</f>
        <v>-2</v>
      </c>
      <c r="DL400" s="16">
        <f>IFERROR(__xludf.DUMMYFUNCTION("""COMPUTED_VALUE"""),0.0)</f>
        <v>0</v>
      </c>
      <c r="DM400" s="16"/>
      <c r="DN400" s="16">
        <f>IFERROR(__xludf.DUMMYFUNCTION("""COMPUTED_VALUE"""),-1.0)</f>
        <v>-1</v>
      </c>
      <c r="DO400" s="16">
        <f>IFERROR(__xludf.DUMMYFUNCTION("""COMPUTED_VALUE"""),-2.0)</f>
        <v>-2</v>
      </c>
      <c r="DP400" s="16">
        <f>IFERROR(__xludf.DUMMYFUNCTION("""COMPUTED_VALUE"""),-1.0)</f>
        <v>-1</v>
      </c>
      <c r="DQ400" s="16"/>
      <c r="DR400" s="16"/>
      <c r="DS400" s="16">
        <f>IFERROR(__xludf.DUMMYFUNCTION("""COMPUTED_VALUE"""),-2.0)</f>
        <v>-2</v>
      </c>
      <c r="DT400" s="16">
        <f>IFERROR(__xludf.DUMMYFUNCTION("""COMPUTED_VALUE"""),-2.0)</f>
        <v>-2</v>
      </c>
      <c r="DU400" s="16"/>
      <c r="DV400" s="16">
        <f>IFERROR(__xludf.DUMMYFUNCTION("""COMPUTED_VALUE"""),2.0)</f>
        <v>2</v>
      </c>
      <c r="DW400" s="16">
        <f>IFERROR(__xludf.DUMMYFUNCTION("""COMPUTED_VALUE"""),3.0)</f>
        <v>3</v>
      </c>
      <c r="DX400" s="16">
        <f>IFERROR(__xludf.DUMMYFUNCTION("""COMPUTED_VALUE"""),2.0)</f>
        <v>2</v>
      </c>
      <c r="DY400" s="16"/>
      <c r="DZ400" s="16"/>
      <c r="EA400" s="16">
        <f>IFERROR(__xludf.DUMMYFUNCTION("""COMPUTED_VALUE"""),-4.0)</f>
        <v>-4</v>
      </c>
      <c r="EB400" s="16">
        <f>IFERROR(__xludf.DUMMYFUNCTION("""COMPUTED_VALUE"""),-2.0)</f>
        <v>-2</v>
      </c>
      <c r="EC400" s="16"/>
      <c r="ED400" s="16">
        <f>IFERROR(__xludf.DUMMYFUNCTION("""COMPUTED_VALUE"""),1.0)</f>
        <v>1</v>
      </c>
      <c r="EE400" s="16">
        <f>IFERROR(__xludf.DUMMYFUNCTION("""COMPUTED_VALUE"""),1.0)</f>
        <v>1</v>
      </c>
      <c r="EF400" s="16">
        <f>IFERROR(__xludf.DUMMYFUNCTION("""COMPUTED_VALUE"""),1.0)</f>
        <v>1</v>
      </c>
      <c r="EG400" s="179"/>
      <c r="EH400" s="179"/>
      <c r="EI400" s="179">
        <f>IFERROR(__xludf.DUMMYFUNCTION("""COMPUTED_VALUE"""),-25.0)</f>
        <v>-25</v>
      </c>
      <c r="EJ400" s="179">
        <f>IFERROR(__xludf.DUMMYFUNCTION("""COMPUTED_VALUE"""),-23.0)</f>
        <v>-23</v>
      </c>
      <c r="EK400" s="179"/>
      <c r="EL400" s="179">
        <f>IFERROR(__xludf.DUMMYFUNCTION("""COMPUTED_VALUE"""),-20.0)</f>
        <v>-20</v>
      </c>
      <c r="EM400" s="179">
        <f>IFERROR(__xludf.DUMMYFUNCTION("""COMPUTED_VALUE"""),-20.0)</f>
        <v>-20</v>
      </c>
      <c r="EN400" s="179">
        <f>IFERROR(__xludf.DUMMYFUNCTION("""COMPUTED_VALUE"""),-20.0)</f>
        <v>-20</v>
      </c>
      <c r="EO400" s="16"/>
      <c r="EP400" s="16">
        <f>IFERROR(__xludf.DUMMYFUNCTION("""COMPUTED_VALUE"""),-2.0)</f>
        <v>-2</v>
      </c>
      <c r="EQ400" s="16">
        <f>IFERROR(__xludf.DUMMYFUNCTION("""COMPUTED_VALUE"""),-2.0)</f>
        <v>-2</v>
      </c>
      <c r="ER400" s="16">
        <f>IFERROR(__xludf.DUMMYFUNCTION("""COMPUTED_VALUE"""),-4.0)</f>
        <v>-4</v>
      </c>
      <c r="ES400" s="16"/>
      <c r="ET400" s="16"/>
      <c r="EU400" s="16"/>
      <c r="EV400" s="16"/>
      <c r="EW400" s="16"/>
      <c r="EX400" s="180"/>
      <c r="EY400" s="180"/>
      <c r="EZ400" s="180">
        <f>IFERROR(__xludf.DUMMYFUNCTION("""COMPUTED_VALUE"""),0.3)</f>
        <v>0.3</v>
      </c>
      <c r="FA400" s="180">
        <f>IFERROR(__xludf.DUMMYFUNCTION("""COMPUTED_VALUE"""),0.3)</f>
        <v>0.3</v>
      </c>
      <c r="FB400" s="180"/>
      <c r="FC400" s="180">
        <f>IFERROR(__xludf.DUMMYFUNCTION("""COMPUTED_VALUE"""),0.55)</f>
        <v>0.55</v>
      </c>
      <c r="FD400" s="180">
        <f>IFERROR(__xludf.DUMMYFUNCTION("""COMPUTED_VALUE"""),0.55)</f>
        <v>0.55</v>
      </c>
      <c r="FE400" s="180">
        <f>IFERROR(__xludf.DUMMYFUNCTION("""COMPUTED_VALUE"""),0.55)</f>
        <v>0.55</v>
      </c>
      <c r="FF400" s="180"/>
      <c r="FG400" s="180"/>
      <c r="FH400" s="180">
        <f>IFERROR(__xludf.DUMMYFUNCTION("""COMPUTED_VALUE"""),0.42592592592592593)</f>
        <v>0.4259259259</v>
      </c>
      <c r="FI400" s="180">
        <f>IFERROR(__xludf.DUMMYFUNCTION("""COMPUTED_VALUE"""),0.6018518518518519)</f>
        <v>0.6018518519</v>
      </c>
      <c r="FJ400" s="180"/>
      <c r="FK400" s="180">
        <f>IFERROR(__xludf.DUMMYFUNCTION("""COMPUTED_VALUE"""),0.088)</f>
        <v>0.088</v>
      </c>
      <c r="FL400" s="180">
        <f>IFERROR(__xludf.DUMMYFUNCTION("""COMPUTED_VALUE"""),0.06018518518518518)</f>
        <v>0.06018518519</v>
      </c>
      <c r="FM400" s="180">
        <f>IFERROR(__xludf.DUMMYFUNCTION("""COMPUTED_VALUE"""),0.088)</f>
        <v>0.088</v>
      </c>
      <c r="FN400" s="16"/>
      <c r="FO400" s="16"/>
      <c r="FP400" s="16">
        <f>IFERROR(__xludf.DUMMYFUNCTION("""COMPUTED_VALUE"""),0.40185185185185185)</f>
        <v>0.4018518519</v>
      </c>
      <c r="FQ400" s="16">
        <f>IFERROR(__xludf.DUMMYFUNCTION("""COMPUTED_VALUE"""),0.2787037037037037)</f>
        <v>0.2787037037</v>
      </c>
      <c r="FR400" s="16"/>
      <c r="FS400" s="16">
        <f>IFERROR(__xludf.DUMMYFUNCTION("""COMPUTED_VALUE"""),0.4104)</f>
        <v>0.4104</v>
      </c>
      <c r="FT400" s="16">
        <f>IFERROR(__xludf.DUMMYFUNCTION("""COMPUTED_VALUE"""),0.4229166666666666)</f>
        <v>0.4229166667</v>
      </c>
      <c r="FU400" s="16">
        <f>IFERROR(__xludf.DUMMYFUNCTION("""COMPUTED_VALUE"""),0.4104)</f>
        <v>0.4104</v>
      </c>
      <c r="FV400" s="16"/>
      <c r="FW400" s="16"/>
      <c r="FX400" s="16">
        <f>IFERROR(__xludf.DUMMYFUNCTION("""COMPUTED_VALUE"""),-8.0)</f>
        <v>-8</v>
      </c>
      <c r="FY400" s="16">
        <f>IFERROR(__xludf.DUMMYFUNCTION("""COMPUTED_VALUE"""),-8.0)</f>
        <v>-8</v>
      </c>
      <c r="FZ400" s="16"/>
      <c r="GA400" s="16">
        <f>IFERROR(__xludf.DUMMYFUNCTION("""COMPUTED_VALUE"""),-6.0)</f>
        <v>-6</v>
      </c>
      <c r="GB400" s="16">
        <f>IFERROR(__xludf.DUMMYFUNCTION("""COMPUTED_VALUE"""),-6.0)</f>
        <v>-6</v>
      </c>
      <c r="GC400" s="16">
        <f>IFERROR(__xludf.DUMMYFUNCTION("""COMPUTED_VALUE"""),-6.0)</f>
        <v>-6</v>
      </c>
      <c r="GD400" s="16" t="s">
        <v>176</v>
      </c>
    </row>
    <row r="401">
      <c r="A401" s="16">
        <f>IFERROR(__xludf.DUMMYFUNCTION("""COMPUTED_VALUE"""),12748.0)</f>
        <v>12748</v>
      </c>
      <c r="B401" s="16" t="str">
        <f>IFERROR(__xludf.DUMMYFUNCTION("""COMPUTED_VALUE"""),"Daz Cameron")</f>
        <v>Daz Cameron</v>
      </c>
      <c r="C401" s="16">
        <f>IFERROR(__xludf.DUMMYFUNCTION("""COMPUTED_VALUE"""),0.0)</f>
        <v>0</v>
      </c>
      <c r="D401" s="16" t="str">
        <f>IFERROR(__xludf.DUMMYFUNCTION("""COMPUTED_VALUE"""),"R")</f>
        <v>R</v>
      </c>
      <c r="E401" s="16"/>
      <c r="F401" s="16"/>
      <c r="G401" s="16">
        <f>IFERROR(__xludf.DUMMYFUNCTION("""COMPUTED_VALUE"""),170.0)</f>
        <v>170</v>
      </c>
      <c r="H401" s="16">
        <f>IFERROR(__xludf.DUMMYFUNCTION("""COMPUTED_VALUE"""),13.0)</f>
        <v>13</v>
      </c>
      <c r="I401" s="16" t="str">
        <f>IFERROR(__xludf.DUMMYFUNCTION("""COMPUTED_VALUE"""),"1p30")</f>
        <v>1p30</v>
      </c>
      <c r="J401" s="16">
        <f>IFERROR(__xludf.DUMMYFUNCTION("""COMPUTED_VALUE"""),38.0)</f>
        <v>38</v>
      </c>
      <c r="K401" s="16">
        <f>IFERROR(__xludf.DUMMYFUNCTION("""COMPUTED_VALUE"""),31.0)</f>
        <v>31</v>
      </c>
      <c r="L401" s="16">
        <f>IFERROR(__xludf.DUMMYFUNCTION("""COMPUTED_VALUE"""),-1.0)</f>
        <v>-1</v>
      </c>
      <c r="M401" s="16">
        <f>IFERROR(__xludf.DUMMYFUNCTION("""COMPUTED_VALUE"""),-1.0)</f>
        <v>-1</v>
      </c>
      <c r="N401" s="16">
        <f>IFERROR(__xludf.DUMMYFUNCTION("""COMPUTED_VALUE"""),-1.0)</f>
        <v>-1</v>
      </c>
      <c r="O401" s="16">
        <f>IFERROR(__xludf.DUMMYFUNCTION("""COMPUTED_VALUE"""),-1.0)</f>
        <v>-1</v>
      </c>
      <c r="P401" s="16">
        <f>IFERROR(__xludf.DUMMYFUNCTION("""COMPUTED_VALUE"""),16.0)</f>
        <v>16</v>
      </c>
      <c r="Q401" s="16">
        <f>IFERROR(__xludf.DUMMYFUNCTION("""COMPUTED_VALUE"""),0.0)</f>
        <v>0</v>
      </c>
      <c r="R401" s="16">
        <f>IFERROR(__xludf.DUMMYFUNCTION("""COMPUTED_VALUE"""),2.0)</f>
        <v>2</v>
      </c>
      <c r="S401" s="16">
        <f>IFERROR(__xludf.DUMMYFUNCTION("""COMPUTED_VALUE"""),-2.0)</f>
        <v>-2</v>
      </c>
      <c r="T401" s="16">
        <f>IFERROR(__xludf.DUMMYFUNCTION("""COMPUTED_VALUE"""),2.0)</f>
        <v>2</v>
      </c>
      <c r="U401" s="16">
        <f>IFERROR(__xludf.DUMMYFUNCTION("""COMPUTED_VALUE"""),-2.0)</f>
        <v>-2</v>
      </c>
      <c r="V401" s="16">
        <f>IFERROR(__xludf.DUMMYFUNCTION("""COMPUTED_VALUE"""),18.4)</f>
        <v>18.4</v>
      </c>
      <c r="W401" s="16">
        <f>IFERROR(__xludf.DUMMYFUNCTION("""COMPUTED_VALUE"""),5.8)</f>
        <v>5.8</v>
      </c>
      <c r="X401" s="16">
        <f>IFERROR(__xludf.DUMMYFUNCTION("""COMPUTED_VALUE"""),0.0)</f>
        <v>0</v>
      </c>
      <c r="Y401" s="16">
        <f>IFERROR(__xludf.DUMMYFUNCTION("""COMPUTED_VALUE"""),-2.0)</f>
        <v>-2</v>
      </c>
      <c r="Z401" s="16">
        <f>IFERROR(__xludf.DUMMYFUNCTION("""COMPUTED_VALUE"""),0.0)</f>
        <v>0</v>
      </c>
      <c r="AA401" s="16">
        <f>IFERROR(__xludf.DUMMYFUNCTION("""COMPUTED_VALUE"""),-4.0)</f>
        <v>-4</v>
      </c>
      <c r="AB401" s="16">
        <f>IFERROR(__xludf.DUMMYFUNCTION("""COMPUTED_VALUE"""),35.4)</f>
        <v>35.4</v>
      </c>
      <c r="AC401" s="16">
        <f>IFERROR(__xludf.DUMMYFUNCTION("""COMPUTED_VALUE"""),6.8)</f>
        <v>6.8</v>
      </c>
      <c r="AD401" s="16">
        <f>IFERROR(__xludf.DUMMYFUNCTION("""COMPUTED_VALUE"""),1.0)</f>
        <v>1</v>
      </c>
      <c r="AE401" s="16">
        <f>IFERROR(__xludf.DUMMYFUNCTION("""COMPUTED_VALUE"""),-3.0)</f>
        <v>-3</v>
      </c>
      <c r="AF401" s="16">
        <f>IFERROR(__xludf.DUMMYFUNCTION("""COMPUTED_VALUE"""),5.0)</f>
        <v>5</v>
      </c>
      <c r="AG401" s="16">
        <f>IFERROR(__xludf.DUMMYFUNCTION("""COMPUTED_VALUE"""),-15.0)</f>
        <v>-15</v>
      </c>
      <c r="AH401" s="16">
        <f>IFERROR(__xludf.DUMMYFUNCTION("""COMPUTED_VALUE"""),38.1)</f>
        <v>38.1</v>
      </c>
      <c r="AI401" s="16">
        <f>IFERROR(__xludf.DUMMYFUNCTION("""COMPUTED_VALUE"""),12.8)</f>
        <v>12.8</v>
      </c>
      <c r="AJ401" s="16">
        <f>IFERROR(__xludf.DUMMYFUNCTION("""COMPUTED_VALUE"""),1.0)</f>
        <v>1</v>
      </c>
      <c r="AK401" s="16">
        <f>IFERROR(__xludf.DUMMYFUNCTION("""COMPUTED_VALUE"""),-2.0)</f>
        <v>-2</v>
      </c>
      <c r="AL401" s="16">
        <f>IFERROR(__xludf.DUMMYFUNCTION("""COMPUTED_VALUE"""),5.0)</f>
        <v>5</v>
      </c>
      <c r="AM401" s="16">
        <f>IFERROR(__xludf.DUMMYFUNCTION("""COMPUTED_VALUE"""),-10.0)</f>
        <v>-10</v>
      </c>
      <c r="AN401" s="16">
        <f>IFERROR(__xludf.DUMMYFUNCTION("""COMPUTED_VALUE"""),4.4)</f>
        <v>4.4</v>
      </c>
      <c r="AO401" s="16">
        <f>IFERROR(__xludf.DUMMYFUNCTION("""COMPUTED_VALUE"""),2.3)</f>
        <v>2.3</v>
      </c>
      <c r="AP401" s="16">
        <f>IFERROR(__xludf.DUMMYFUNCTION("""COMPUTED_VALUE"""),2.0)</f>
        <v>2</v>
      </c>
      <c r="AQ401" s="16">
        <f>IFERROR(__xludf.DUMMYFUNCTION("""COMPUTED_VALUE"""),0.0)</f>
        <v>0</v>
      </c>
      <c r="AR401" s="16">
        <f>IFERROR(__xludf.DUMMYFUNCTION("""COMPUTED_VALUE"""),4.0)</f>
        <v>4</v>
      </c>
      <c r="AS401" s="16">
        <f>IFERROR(__xludf.DUMMYFUNCTION("""COMPUTED_VALUE"""),0.0)</f>
        <v>0</v>
      </c>
      <c r="AT401" s="16">
        <f>IFERROR(__xludf.DUMMYFUNCTION("""COMPUTED_VALUE"""),8.0)</f>
        <v>8</v>
      </c>
      <c r="AU401" s="16"/>
      <c r="AV401" s="16">
        <f>IFERROR(__xludf.DUMMYFUNCTION("""COMPUTED_VALUE"""),8.0)</f>
        <v>8</v>
      </c>
      <c r="AW401" s="16">
        <f>IFERROR(__xludf.DUMMYFUNCTION("""COMPUTED_VALUE"""),-3.0)</f>
        <v>-3</v>
      </c>
      <c r="AX401" s="16">
        <f>IFERROR(__xludf.DUMMYFUNCTION("""COMPUTED_VALUE"""),3.0)</f>
        <v>3</v>
      </c>
      <c r="AY401" s="16">
        <f>IFERROR(__xludf.DUMMYFUNCTION("""COMPUTED_VALUE"""),-3.0)</f>
        <v>-3</v>
      </c>
      <c r="AZ401" s="16">
        <f>IFERROR(__xludf.DUMMYFUNCTION("""COMPUTED_VALUE"""),9.0)</f>
        <v>9</v>
      </c>
      <c r="BA401" s="16">
        <f>IFERROR(__xludf.DUMMYFUNCTION("""COMPUTED_VALUE"""),-9.0)</f>
        <v>-9</v>
      </c>
      <c r="BB401" s="16">
        <f>IFERROR(__xludf.DUMMYFUNCTION("""COMPUTED_VALUE"""),5.0)</f>
        <v>5</v>
      </c>
      <c r="BC401" s="16">
        <f>IFERROR(__xludf.DUMMYFUNCTION("""COMPUTED_VALUE"""),5.0)</f>
        <v>5</v>
      </c>
      <c r="BD401" s="16">
        <f>IFERROR(__xludf.DUMMYFUNCTION("""COMPUTED_VALUE"""),1.0)</f>
        <v>1</v>
      </c>
      <c r="BE401" s="16">
        <f>IFERROR(__xludf.DUMMYFUNCTION("""COMPUTED_VALUE"""),1.0)</f>
        <v>1</v>
      </c>
      <c r="BF401" s="16">
        <f>IFERROR(__xludf.DUMMYFUNCTION("""COMPUTED_VALUE"""),1.0)</f>
        <v>1</v>
      </c>
      <c r="BG401" s="16">
        <f>IFERROR(__xludf.DUMMYFUNCTION("""COMPUTED_VALUE"""),1.0)</f>
        <v>1</v>
      </c>
      <c r="BH401" s="16">
        <f>IFERROR(__xludf.DUMMYFUNCTION("""COMPUTED_VALUE"""),0.0)</f>
        <v>0</v>
      </c>
      <c r="BI401" s="16">
        <f>IFERROR(__xludf.DUMMYFUNCTION("""COMPUTED_VALUE"""),0.0)</f>
        <v>0</v>
      </c>
      <c r="BJ401" s="16">
        <f>IFERROR(__xludf.DUMMYFUNCTION("""COMPUTED_VALUE"""),11.0)</f>
        <v>11</v>
      </c>
      <c r="BK401" s="16">
        <f>IFERROR(__xludf.DUMMYFUNCTION("""COMPUTED_VALUE"""),14.0)</f>
        <v>14</v>
      </c>
      <c r="BL401" s="16">
        <f>IFERROR(__xludf.DUMMYFUNCTION("""COMPUTED_VALUE"""),0.0)</f>
        <v>0</v>
      </c>
      <c r="BM401" s="16">
        <f>IFERROR(__xludf.DUMMYFUNCTION("""COMPUTED_VALUE"""),0.0)</f>
        <v>0</v>
      </c>
      <c r="BN401" s="16">
        <f>IFERROR(__xludf.DUMMYFUNCTION("""COMPUTED_VALUE"""),0.0)</f>
        <v>0</v>
      </c>
      <c r="BO401" s="16">
        <f>IFERROR(__xludf.DUMMYFUNCTION("""COMPUTED_VALUE"""),0.0)</f>
        <v>0</v>
      </c>
      <c r="BP401" s="16">
        <f>IFERROR(__xludf.DUMMYFUNCTION("""COMPUTED_VALUE"""),9.0)</f>
        <v>9</v>
      </c>
      <c r="BQ401" s="16">
        <f>IFERROR(__xludf.DUMMYFUNCTION("""COMPUTED_VALUE"""),-12.0)</f>
        <v>-12</v>
      </c>
      <c r="BR401" s="16">
        <f>IFERROR(__xludf.DUMMYFUNCTION("""COMPUTED_VALUE"""),-3.0)</f>
        <v>-3</v>
      </c>
      <c r="BS401" s="16" t="str">
        <f>IFERROR(__xludf.DUMMYFUNCTION("""COMPUTED_VALUE"""),"*6/- (20-11)")</f>
        <v>*6/- (20-11)</v>
      </c>
      <c r="BT401" s="16" t="str">
        <f>IFERROR(__xludf.DUMMYFUNCTION("""COMPUTED_VALUE"""),"B")</f>
        <v>B</v>
      </c>
      <c r="BU401" s="16">
        <f>IFERROR(__xludf.DUMMYFUNCTION("""COMPUTED_VALUE"""),14.0)</f>
        <v>14</v>
      </c>
      <c r="BV401" s="16">
        <f>IFERROR(__xludf.DUMMYFUNCTION("""COMPUTED_VALUE"""),1.0)</f>
        <v>1</v>
      </c>
      <c r="BW401" s="16">
        <f>IFERROR(__xludf.DUMMYFUNCTION("""COMPUTED_VALUE"""),1.0)</f>
        <v>1</v>
      </c>
      <c r="BX401" s="16">
        <f>IFERROR(__xludf.DUMMYFUNCTION("""COMPUTED_VALUE"""),2.0)</f>
        <v>2</v>
      </c>
      <c r="BY401" s="16">
        <f>IFERROR(__xludf.DUMMYFUNCTION("""COMPUTED_VALUE"""),3.0)</f>
        <v>3</v>
      </c>
      <c r="BZ401" s="16" t="str">
        <f>IFERROR(__xludf.DUMMYFUNCTION("""COMPUTED_VALUE"""),"D")</f>
        <v>D</v>
      </c>
      <c r="CA401" s="16" t="str">
        <f>IFERROR(__xludf.DUMMYFUNCTION("""COMPUTED_VALUE"""),"D")</f>
        <v>D</v>
      </c>
      <c r="CB401" s="16">
        <f>IFERROR(__xludf.DUMMYFUNCTION("""COMPUTED_VALUE"""),0.0)</f>
        <v>0</v>
      </c>
      <c r="CC401" s="16">
        <f>IFERROR(__xludf.DUMMYFUNCTION("""COMPUTED_VALUE"""),0.0)</f>
        <v>0</v>
      </c>
      <c r="CD401" s="16">
        <f>IFERROR(__xludf.DUMMYFUNCTION("""COMPUTED_VALUE"""),0.0)</f>
        <v>0</v>
      </c>
      <c r="CE401" s="16">
        <f>IFERROR(__xludf.DUMMYFUNCTION("""COMPUTED_VALUE"""),0.0)</f>
        <v>0</v>
      </c>
      <c r="CF401" s="16">
        <f>IFERROR(__xludf.DUMMYFUNCTION("""COMPUTED_VALUE"""),1.0)</f>
        <v>1</v>
      </c>
      <c r="CG401" s="16">
        <f>IFERROR(__xludf.DUMMYFUNCTION("""COMPUTED_VALUE"""),25.0)</f>
        <v>25</v>
      </c>
      <c r="CH401" s="16">
        <f>IFERROR(__xludf.DUMMYFUNCTION("""COMPUTED_VALUE"""),-40.0)</f>
        <v>-40</v>
      </c>
      <c r="CI401" s="179">
        <f>IFERROR(__xludf.DUMMYFUNCTION("""COMPUTED_VALUE"""),-21.0)</f>
        <v>-21</v>
      </c>
      <c r="CJ401" s="16"/>
      <c r="CK401" s="16"/>
      <c r="CL401" s="16"/>
      <c r="CM401" s="16"/>
      <c r="CN401" s="16"/>
      <c r="CO401" s="16">
        <f>IFERROR(__xludf.DUMMYFUNCTION("""COMPUTED_VALUE"""),306.0)</f>
        <v>306</v>
      </c>
      <c r="CP401" s="16">
        <f>IFERROR(__xludf.DUMMYFUNCTION("""COMPUTED_VALUE"""),306.0)</f>
        <v>306</v>
      </c>
      <c r="CQ401" s="16">
        <f>IFERROR(__xludf.DUMMYFUNCTION("""COMPUTED_VALUE"""),306.0)</f>
        <v>306</v>
      </c>
      <c r="CR401" s="16" t="str">
        <f>IFERROR(__xludf.DUMMYFUNCTION("""COMPUTED_VALUE"""),"lf-3(-2)e6 rf-3e6 cf-3e6")</f>
        <v>lf-3(-2)e6 rf-3e6 cf-3e6</v>
      </c>
      <c r="CS401" s="16"/>
      <c r="CT401" s="16"/>
      <c r="CU401" s="16"/>
      <c r="CV401" s="16"/>
      <c r="CW401" s="16"/>
      <c r="CX401" s="16">
        <f>IFERROR(__xludf.DUMMYFUNCTION("""COMPUTED_VALUE"""),3.0)</f>
        <v>3</v>
      </c>
      <c r="CY401" s="16">
        <f>IFERROR(__xludf.DUMMYFUNCTION("""COMPUTED_VALUE"""),3.0)</f>
        <v>3</v>
      </c>
      <c r="CZ401" s="16">
        <f>IFERROR(__xludf.DUMMYFUNCTION("""COMPUTED_VALUE"""),3.0)</f>
        <v>3</v>
      </c>
      <c r="DA401" s="16"/>
      <c r="DB401" s="16"/>
      <c r="DC401" s="16"/>
      <c r="DD401" s="16"/>
      <c r="DE401" s="16"/>
      <c r="DF401" s="16">
        <f>IFERROR(__xludf.DUMMYFUNCTION("""COMPUTED_VALUE"""),6.0)</f>
        <v>6</v>
      </c>
      <c r="DG401" s="16">
        <f>IFERROR(__xludf.DUMMYFUNCTION("""COMPUTED_VALUE"""),6.0)</f>
        <v>6</v>
      </c>
      <c r="DH401" s="16">
        <f>IFERROR(__xludf.DUMMYFUNCTION("""COMPUTED_VALUE"""),6.0)</f>
        <v>6</v>
      </c>
      <c r="DI401" s="16"/>
      <c r="DJ401" s="16"/>
      <c r="DK401" s="16"/>
      <c r="DL401" s="16"/>
      <c r="DM401" s="16"/>
      <c r="DN401" s="16">
        <f>IFERROR(__xludf.DUMMYFUNCTION("""COMPUTED_VALUE"""),0.0)</f>
        <v>0</v>
      </c>
      <c r="DO401" s="16">
        <f>IFERROR(__xludf.DUMMYFUNCTION("""COMPUTED_VALUE"""),0.0)</f>
        <v>0</v>
      </c>
      <c r="DP401" s="16">
        <f>IFERROR(__xludf.DUMMYFUNCTION("""COMPUTED_VALUE"""),0.0)</f>
        <v>0</v>
      </c>
      <c r="DQ401" s="16"/>
      <c r="DR401" s="16"/>
      <c r="DS401" s="16"/>
      <c r="DT401" s="16"/>
      <c r="DU401" s="16"/>
      <c r="DV401" s="16">
        <f>IFERROR(__xludf.DUMMYFUNCTION("""COMPUTED_VALUE"""),2.0)</f>
        <v>2</v>
      </c>
      <c r="DW401" s="16">
        <f>IFERROR(__xludf.DUMMYFUNCTION("""COMPUTED_VALUE"""),3.0)</f>
        <v>3</v>
      </c>
      <c r="DX401" s="16">
        <f>IFERROR(__xludf.DUMMYFUNCTION("""COMPUTED_VALUE"""),2.0)</f>
        <v>2</v>
      </c>
      <c r="DY401" s="16"/>
      <c r="DZ401" s="16"/>
      <c r="EA401" s="16"/>
      <c r="EB401" s="16"/>
      <c r="EC401" s="16"/>
      <c r="ED401" s="16">
        <f>IFERROR(__xludf.DUMMYFUNCTION("""COMPUTED_VALUE"""),2.0)</f>
        <v>2</v>
      </c>
      <c r="EE401" s="16">
        <f>IFERROR(__xludf.DUMMYFUNCTION("""COMPUTED_VALUE"""),3.0)</f>
        <v>3</v>
      </c>
      <c r="EF401" s="16">
        <f>IFERROR(__xludf.DUMMYFUNCTION("""COMPUTED_VALUE"""),2.0)</f>
        <v>2</v>
      </c>
      <c r="EG401" s="179"/>
      <c r="EH401" s="179"/>
      <c r="EI401" s="179"/>
      <c r="EJ401" s="179"/>
      <c r="EK401" s="179"/>
      <c r="EL401" s="179">
        <f>IFERROR(__xludf.DUMMYFUNCTION("""COMPUTED_VALUE"""),-19.0)</f>
        <v>-19</v>
      </c>
      <c r="EM401" s="179">
        <f>IFERROR(__xludf.DUMMYFUNCTION("""COMPUTED_VALUE"""),-18.0)</f>
        <v>-18</v>
      </c>
      <c r="EN401" s="179">
        <f>IFERROR(__xludf.DUMMYFUNCTION("""COMPUTED_VALUE"""),-19.0)</f>
        <v>-19</v>
      </c>
      <c r="EO401" s="16"/>
      <c r="EP401" s="16"/>
      <c r="EQ401" s="16">
        <f>IFERROR(__xludf.DUMMYFUNCTION("""COMPUTED_VALUE"""),4.0)</f>
        <v>4</v>
      </c>
      <c r="ER401" s="16">
        <f>IFERROR(__xludf.DUMMYFUNCTION("""COMPUTED_VALUE"""),-2.0)</f>
        <v>-2</v>
      </c>
      <c r="ES401" s="16"/>
      <c r="ET401" s="16"/>
      <c r="EU401" s="16"/>
      <c r="EV401" s="16"/>
      <c r="EW401" s="16"/>
      <c r="EX401" s="180"/>
      <c r="EY401" s="180"/>
      <c r="EZ401" s="180"/>
      <c r="FA401" s="180"/>
      <c r="FB401" s="180"/>
      <c r="FC401" s="180">
        <f>IFERROR(__xludf.DUMMYFUNCTION("""COMPUTED_VALUE"""),0.3)</f>
        <v>0.3</v>
      </c>
      <c r="FD401" s="180">
        <f>IFERROR(__xludf.DUMMYFUNCTION("""COMPUTED_VALUE"""),0.3)</f>
        <v>0.3</v>
      </c>
      <c r="FE401" s="180">
        <f>IFERROR(__xludf.DUMMYFUNCTION("""COMPUTED_VALUE"""),0.3)</f>
        <v>0.3</v>
      </c>
      <c r="FF401" s="180"/>
      <c r="FG401" s="180"/>
      <c r="FH401" s="180"/>
      <c r="FI401" s="180"/>
      <c r="FJ401" s="180"/>
      <c r="FK401" s="180">
        <f>IFERROR(__xludf.DUMMYFUNCTION("""COMPUTED_VALUE"""),0.106)</f>
        <v>0.106</v>
      </c>
      <c r="FL401" s="180">
        <f>IFERROR(__xludf.DUMMYFUNCTION("""COMPUTED_VALUE"""),0.06944444444444445)</f>
        <v>0.06944444444</v>
      </c>
      <c r="FM401" s="180">
        <f>IFERROR(__xludf.DUMMYFUNCTION("""COMPUTED_VALUE"""),0.106)</f>
        <v>0.106</v>
      </c>
      <c r="FN401" s="16"/>
      <c r="FO401" s="16"/>
      <c r="FP401" s="16"/>
      <c r="FQ401" s="16"/>
      <c r="FR401" s="16"/>
      <c r="FS401" s="16">
        <f>IFERROR(__xludf.DUMMYFUNCTION("""COMPUTED_VALUE"""),0.6258)</f>
        <v>0.6258</v>
      </c>
      <c r="FT401" s="16">
        <f>IFERROR(__xludf.DUMMYFUNCTION("""COMPUTED_VALUE"""),0.6513888888888889)</f>
        <v>0.6513888889</v>
      </c>
      <c r="FU401" s="16">
        <f>IFERROR(__xludf.DUMMYFUNCTION("""COMPUTED_VALUE"""),0.6258)</f>
        <v>0.6258</v>
      </c>
      <c r="FV401" s="16"/>
      <c r="FW401" s="16"/>
      <c r="FX401" s="16"/>
      <c r="FY401" s="16"/>
      <c r="FZ401" s="16"/>
      <c r="GA401" s="16">
        <f>IFERROR(__xludf.DUMMYFUNCTION("""COMPUTED_VALUE"""),-6.0)</f>
        <v>-6</v>
      </c>
      <c r="GB401" s="16">
        <f>IFERROR(__xludf.DUMMYFUNCTION("""COMPUTED_VALUE"""),-4.0)</f>
        <v>-4</v>
      </c>
      <c r="GC401" s="16">
        <f>IFERROR(__xludf.DUMMYFUNCTION("""COMPUTED_VALUE"""),-6.0)</f>
        <v>-6</v>
      </c>
      <c r="GD401" s="16" t="s">
        <v>346</v>
      </c>
    </row>
    <row r="402">
      <c r="A402" s="16">
        <f>IFERROR(__xludf.DUMMYFUNCTION("""COMPUTED_VALUE"""),12834.0)</f>
        <v>12834</v>
      </c>
      <c r="B402" s="16" t="str">
        <f>IFERROR(__xludf.DUMMYFUNCTION("""COMPUTED_VALUE"""),"Garrett Stubbs")</f>
        <v>Garrett Stubbs</v>
      </c>
      <c r="C402" s="16">
        <f>IFERROR(__xludf.DUMMYFUNCTION("""COMPUTED_VALUE"""),0.37)</f>
        <v>0.37</v>
      </c>
      <c r="D402" s="16" t="str">
        <f>IFERROR(__xludf.DUMMYFUNCTION("""COMPUTED_VALUE"""),"L")</f>
        <v>L</v>
      </c>
      <c r="E402" s="16"/>
      <c r="F402" s="16"/>
      <c r="G402" s="16">
        <f>IFERROR(__xludf.DUMMYFUNCTION("""COMPUTED_VALUE"""),164.0)</f>
        <v>164</v>
      </c>
      <c r="H402" s="16">
        <f>IFERROR(__xludf.DUMMYFUNCTION("""COMPUTED_VALUE"""),17.0)</f>
        <v>17</v>
      </c>
      <c r="I402" s="16" t="str">
        <f>IFERROR(__xludf.DUMMYFUNCTION("""COMPUTED_VALUE"""),"2p30")</f>
        <v>2p30</v>
      </c>
      <c r="J402" s="16">
        <f>IFERROR(__xludf.DUMMYFUNCTION("""COMPUTED_VALUE"""),25.0)</f>
        <v>25</v>
      </c>
      <c r="K402" s="16">
        <f>IFERROR(__xludf.DUMMYFUNCTION("""COMPUTED_VALUE"""),37.0)</f>
        <v>37</v>
      </c>
      <c r="L402" s="16">
        <f>IFERROR(__xludf.DUMMYFUNCTION("""COMPUTED_VALUE"""),0.0)</f>
        <v>0</v>
      </c>
      <c r="M402" s="16">
        <f>IFERROR(__xludf.DUMMYFUNCTION("""COMPUTED_VALUE"""),-1.0)</f>
        <v>-1</v>
      </c>
      <c r="N402" s="16">
        <f>IFERROR(__xludf.DUMMYFUNCTION("""COMPUTED_VALUE"""),0.0)</f>
        <v>0</v>
      </c>
      <c r="O402" s="16">
        <f>IFERROR(__xludf.DUMMYFUNCTION("""COMPUTED_VALUE"""),-1.0)</f>
        <v>-1</v>
      </c>
      <c r="P402" s="16">
        <f>IFERROR(__xludf.DUMMYFUNCTION("""COMPUTED_VALUE"""),14.0)</f>
        <v>14</v>
      </c>
      <c r="Q402" s="16">
        <f>IFERROR(__xludf.DUMMYFUNCTION("""COMPUTED_VALUE"""),9.0)</f>
        <v>9</v>
      </c>
      <c r="R402" s="16">
        <f>IFERROR(__xludf.DUMMYFUNCTION("""COMPUTED_VALUE"""),2.0)</f>
        <v>2</v>
      </c>
      <c r="S402" s="16">
        <f>IFERROR(__xludf.DUMMYFUNCTION("""COMPUTED_VALUE"""),0.0)</f>
        <v>0</v>
      </c>
      <c r="T402" s="16">
        <f>IFERROR(__xludf.DUMMYFUNCTION("""COMPUTED_VALUE"""),2.0)</f>
        <v>2</v>
      </c>
      <c r="U402" s="16">
        <f>IFERROR(__xludf.DUMMYFUNCTION("""COMPUTED_VALUE"""),0.0)</f>
        <v>0</v>
      </c>
      <c r="V402" s="16">
        <f>IFERROR(__xludf.DUMMYFUNCTION("""COMPUTED_VALUE"""),17.4)</f>
        <v>17.4</v>
      </c>
      <c r="W402" s="16">
        <f>IFERROR(__xludf.DUMMYFUNCTION("""COMPUTED_VALUE"""),10.1)</f>
        <v>10.1</v>
      </c>
      <c r="X402" s="16">
        <f>IFERROR(__xludf.DUMMYFUNCTION("""COMPUTED_VALUE"""),0.0)</f>
        <v>0</v>
      </c>
      <c r="Y402" s="16">
        <f>IFERROR(__xludf.DUMMYFUNCTION("""COMPUTED_VALUE"""),-2.0)</f>
        <v>-2</v>
      </c>
      <c r="Z402" s="16">
        <f>IFERROR(__xludf.DUMMYFUNCTION("""COMPUTED_VALUE"""),0.0)</f>
        <v>0</v>
      </c>
      <c r="AA402" s="16">
        <f>IFERROR(__xludf.DUMMYFUNCTION("""COMPUTED_VALUE"""),-4.0)</f>
        <v>-4</v>
      </c>
      <c r="AB402" s="16">
        <f>IFERROR(__xludf.DUMMYFUNCTION("""COMPUTED_VALUE"""),36.4)</f>
        <v>36.4</v>
      </c>
      <c r="AC402" s="16">
        <f>IFERROR(__xludf.DUMMYFUNCTION("""COMPUTED_VALUE"""),24.1)</f>
        <v>24.1</v>
      </c>
      <c r="AD402" s="16">
        <f>IFERROR(__xludf.DUMMYFUNCTION("""COMPUTED_VALUE"""),1.0)</f>
        <v>1</v>
      </c>
      <c r="AE402" s="16">
        <f>IFERROR(__xludf.DUMMYFUNCTION("""COMPUTED_VALUE"""),-1.0)</f>
        <v>-1</v>
      </c>
      <c r="AF402" s="16">
        <f>IFERROR(__xludf.DUMMYFUNCTION("""COMPUTED_VALUE"""),5.0)</f>
        <v>5</v>
      </c>
      <c r="AG402" s="16">
        <f>IFERROR(__xludf.DUMMYFUNCTION("""COMPUTED_VALUE"""),-5.0)</f>
        <v>-5</v>
      </c>
      <c r="AH402" s="16">
        <f>IFERROR(__xludf.DUMMYFUNCTION("""COMPUTED_VALUE"""),17.4)</f>
        <v>17.4</v>
      </c>
      <c r="AI402" s="16">
        <f>IFERROR(__xludf.DUMMYFUNCTION("""COMPUTED_VALUE"""),18.9)</f>
        <v>18.9</v>
      </c>
      <c r="AJ402" s="16">
        <f>IFERROR(__xludf.DUMMYFUNCTION("""COMPUTED_VALUE"""),-1.0)</f>
        <v>-1</v>
      </c>
      <c r="AK402" s="16">
        <f>IFERROR(__xludf.DUMMYFUNCTION("""COMPUTED_VALUE"""),-2.0)</f>
        <v>-2</v>
      </c>
      <c r="AL402" s="16">
        <f>IFERROR(__xludf.DUMMYFUNCTION("""COMPUTED_VALUE"""),-5.0)</f>
        <v>-5</v>
      </c>
      <c r="AM402" s="16">
        <f>IFERROR(__xludf.DUMMYFUNCTION("""COMPUTED_VALUE"""),-10.0)</f>
        <v>-10</v>
      </c>
      <c r="AN402" s="16">
        <f>IFERROR(__xludf.DUMMYFUNCTION("""COMPUTED_VALUE"""),0.0)</f>
        <v>0</v>
      </c>
      <c r="AO402" s="16">
        <f>IFERROR(__xludf.DUMMYFUNCTION("""COMPUTED_VALUE"""),1.8)</f>
        <v>1.8</v>
      </c>
      <c r="AP402" s="16">
        <f>IFERROR(__xludf.DUMMYFUNCTION("""COMPUTED_VALUE"""),-2.0)</f>
        <v>-2</v>
      </c>
      <c r="AQ402" s="16">
        <f>IFERROR(__xludf.DUMMYFUNCTION("""COMPUTED_VALUE"""),-1.0)</f>
        <v>-1</v>
      </c>
      <c r="AR402" s="16">
        <f>IFERROR(__xludf.DUMMYFUNCTION("""COMPUTED_VALUE"""),-4.0)</f>
        <v>-4</v>
      </c>
      <c r="AS402" s="16">
        <f>IFERROR(__xludf.DUMMYFUNCTION("""COMPUTED_VALUE"""),-2.0)</f>
        <v>-2</v>
      </c>
      <c r="AT402" s="16"/>
      <c r="AU402" s="16"/>
      <c r="AV402" s="16">
        <f>IFERROR(__xludf.DUMMYFUNCTION("""COMPUTED_VALUE"""),-3.0)</f>
        <v>-3</v>
      </c>
      <c r="AW402" s="16">
        <f>IFERROR(__xludf.DUMMYFUNCTION("""COMPUTED_VALUE"""),-3.0)</f>
        <v>-3</v>
      </c>
      <c r="AX402" s="16">
        <f>IFERROR(__xludf.DUMMYFUNCTION("""COMPUTED_VALUE"""),-3.0)</f>
        <v>-3</v>
      </c>
      <c r="AY402" s="16">
        <f>IFERROR(__xludf.DUMMYFUNCTION("""COMPUTED_VALUE"""),-3.0)</f>
        <v>-3</v>
      </c>
      <c r="AZ402" s="16">
        <f>IFERROR(__xludf.DUMMYFUNCTION("""COMPUTED_VALUE"""),-9.0)</f>
        <v>-9</v>
      </c>
      <c r="BA402" s="16">
        <f>IFERROR(__xludf.DUMMYFUNCTION("""COMPUTED_VALUE"""),-9.0)</f>
        <v>-9</v>
      </c>
      <c r="BB402" s="16">
        <f>IFERROR(__xludf.DUMMYFUNCTION("""COMPUTED_VALUE"""),5.0)</f>
        <v>5</v>
      </c>
      <c r="BC402" s="16">
        <f>IFERROR(__xludf.DUMMYFUNCTION("""COMPUTED_VALUE"""),5.0)</f>
        <v>5</v>
      </c>
      <c r="BD402" s="16">
        <f>IFERROR(__xludf.DUMMYFUNCTION("""COMPUTED_VALUE"""),1.0)</f>
        <v>1</v>
      </c>
      <c r="BE402" s="16">
        <f>IFERROR(__xludf.DUMMYFUNCTION("""COMPUTED_VALUE"""),1.0)</f>
        <v>1</v>
      </c>
      <c r="BF402" s="16">
        <f>IFERROR(__xludf.DUMMYFUNCTION("""COMPUTED_VALUE"""),1.0)</f>
        <v>1</v>
      </c>
      <c r="BG402" s="16">
        <f>IFERROR(__xludf.DUMMYFUNCTION("""COMPUTED_VALUE"""),1.0)</f>
        <v>1</v>
      </c>
      <c r="BH402" s="16">
        <f>IFERROR(__xludf.DUMMYFUNCTION("""COMPUTED_VALUE"""),4.0)</f>
        <v>4</v>
      </c>
      <c r="BI402" s="16">
        <f>IFERROR(__xludf.DUMMYFUNCTION("""COMPUTED_VALUE"""),5.0)</f>
        <v>5</v>
      </c>
      <c r="BJ402" s="16">
        <f>IFERROR(__xludf.DUMMYFUNCTION("""COMPUTED_VALUE"""),0.0)</f>
        <v>0</v>
      </c>
      <c r="BK402" s="16">
        <f>IFERROR(__xludf.DUMMYFUNCTION("""COMPUTED_VALUE"""),0.0)</f>
        <v>0</v>
      </c>
      <c r="BL402" s="16">
        <f>IFERROR(__xludf.DUMMYFUNCTION("""COMPUTED_VALUE"""),3.0)</f>
        <v>3</v>
      </c>
      <c r="BM402" s="16">
        <f>IFERROR(__xludf.DUMMYFUNCTION("""COMPUTED_VALUE"""),3.0)</f>
        <v>3</v>
      </c>
      <c r="BN402" s="16">
        <f>IFERROR(__xludf.DUMMYFUNCTION("""COMPUTED_VALUE"""),3.0)</f>
        <v>3</v>
      </c>
      <c r="BO402" s="16">
        <f>IFERROR(__xludf.DUMMYFUNCTION("""COMPUTED_VALUE"""),3.0)</f>
        <v>3</v>
      </c>
      <c r="BP402" s="16">
        <f>IFERROR(__xludf.DUMMYFUNCTION("""COMPUTED_VALUE"""),1.0)</f>
        <v>1</v>
      </c>
      <c r="BQ402" s="16">
        <f>IFERROR(__xludf.DUMMYFUNCTION("""COMPUTED_VALUE"""),-6.0)</f>
        <v>-6</v>
      </c>
      <c r="BR402" s="16">
        <f>IFERROR(__xludf.DUMMYFUNCTION("""COMPUTED_VALUE"""),-5.0)</f>
        <v>-5</v>
      </c>
      <c r="BS402" s="16" t="str">
        <f>IFERROR(__xludf.DUMMYFUNCTION("""COMPUTED_VALUE"""),"*5/- (20-11)")</f>
        <v>*5/- (20-11)</v>
      </c>
      <c r="BT402" s="16" t="str">
        <f>IFERROR(__xludf.DUMMYFUNCTION("""COMPUTED_VALUE"""),"B")</f>
        <v>B</v>
      </c>
      <c r="BU402" s="16">
        <f>IFERROR(__xludf.DUMMYFUNCTION("""COMPUTED_VALUE"""),14.0)</f>
        <v>14</v>
      </c>
      <c r="BV402" s="16">
        <f>IFERROR(__xludf.DUMMYFUNCTION("""COMPUTED_VALUE"""),1.0)</f>
        <v>1</v>
      </c>
      <c r="BW402" s="16">
        <f>IFERROR(__xludf.DUMMYFUNCTION("""COMPUTED_VALUE"""),1.0)</f>
        <v>1</v>
      </c>
      <c r="BX402" s="16">
        <f>IFERROR(__xludf.DUMMYFUNCTION("""COMPUTED_VALUE"""),2.0)</f>
        <v>2</v>
      </c>
      <c r="BY402" s="16">
        <f>IFERROR(__xludf.DUMMYFUNCTION("""COMPUTED_VALUE"""),3.0)</f>
        <v>3</v>
      </c>
      <c r="BZ402" s="16" t="str">
        <f>IFERROR(__xludf.DUMMYFUNCTION("""COMPUTED_VALUE"""),"C")</f>
        <v>C</v>
      </c>
      <c r="CA402" s="16" t="str">
        <f>IFERROR(__xludf.DUMMYFUNCTION("""COMPUTED_VALUE"""),"D")</f>
        <v>D</v>
      </c>
      <c r="CB402" s="16">
        <f>IFERROR(__xludf.DUMMYFUNCTION("""COMPUTED_VALUE"""),0.0)</f>
        <v>0</v>
      </c>
      <c r="CC402" s="16">
        <f>IFERROR(__xludf.DUMMYFUNCTION("""COMPUTED_VALUE"""),0.0)</f>
        <v>0</v>
      </c>
      <c r="CD402" s="16">
        <f>IFERROR(__xludf.DUMMYFUNCTION("""COMPUTED_VALUE"""),0.0)</f>
        <v>0</v>
      </c>
      <c r="CE402" s="16">
        <f>IFERROR(__xludf.DUMMYFUNCTION("""COMPUTED_VALUE"""),0.0)</f>
        <v>0</v>
      </c>
      <c r="CF402" s="16">
        <f>IFERROR(__xludf.DUMMYFUNCTION("""COMPUTED_VALUE"""),2.0)</f>
        <v>2</v>
      </c>
      <c r="CG402" s="16">
        <f>IFERROR(__xludf.DUMMYFUNCTION("""COMPUTED_VALUE"""),-7.0)</f>
        <v>-7</v>
      </c>
      <c r="CH402" s="16">
        <f>IFERROR(__xludf.DUMMYFUNCTION("""COMPUTED_VALUE"""),-27.0)</f>
        <v>-27</v>
      </c>
      <c r="CI402" s="179">
        <f>IFERROR(__xludf.DUMMYFUNCTION("""COMPUTED_VALUE"""),-21.0)</f>
        <v>-21</v>
      </c>
      <c r="CJ402" s="16">
        <f>IFERROR(__xludf.DUMMYFUNCTION("""COMPUTED_VALUE"""),301.0)</f>
        <v>301</v>
      </c>
      <c r="CK402" s="16"/>
      <c r="CL402" s="16"/>
      <c r="CM402" s="16"/>
      <c r="CN402" s="16"/>
      <c r="CO402" s="16"/>
      <c r="CP402" s="16"/>
      <c r="CQ402" s="16"/>
      <c r="CR402" s="16" t="str">
        <f>IFERROR(__xludf.DUMMYFUNCTION("""COMPUTED_VALUE"""),"c-3(-1)e1,T-5(pb-2)")</f>
        <v>c-3(-1)e1,T-5(pb-2)</v>
      </c>
      <c r="CS402" s="16">
        <f>IFERROR(__xludf.DUMMYFUNCTION("""COMPUTED_VALUE"""),3.0)</f>
        <v>3</v>
      </c>
      <c r="CT402" s="16"/>
      <c r="CU402" s="16"/>
      <c r="CV402" s="16"/>
      <c r="CW402" s="16"/>
      <c r="CX402" s="16"/>
      <c r="CY402" s="16"/>
      <c r="CZ402" s="16"/>
      <c r="DA402" s="16">
        <f>IFERROR(__xludf.DUMMYFUNCTION("""COMPUTED_VALUE"""),1.0)</f>
        <v>1</v>
      </c>
      <c r="DB402" s="16"/>
      <c r="DC402" s="16"/>
      <c r="DD402" s="16"/>
      <c r="DE402" s="16"/>
      <c r="DF402" s="16"/>
      <c r="DG402" s="16"/>
      <c r="DH402" s="16"/>
      <c r="DI402" s="16">
        <f>IFERROR(__xludf.DUMMYFUNCTION("""COMPUTED_VALUE"""),0.0)</f>
        <v>0</v>
      </c>
      <c r="DJ402" s="16"/>
      <c r="DK402" s="16"/>
      <c r="DL402" s="16"/>
      <c r="DM402" s="16"/>
      <c r="DN402" s="16"/>
      <c r="DO402" s="16"/>
      <c r="DP402" s="16"/>
      <c r="DQ402" s="16">
        <f>IFERROR(__xludf.DUMMYFUNCTION("""COMPUTED_VALUE"""),4.0)</f>
        <v>4</v>
      </c>
      <c r="DR402" s="16"/>
      <c r="DS402" s="16"/>
      <c r="DT402" s="16"/>
      <c r="DU402" s="16"/>
      <c r="DV402" s="16"/>
      <c r="DW402" s="16"/>
      <c r="DX402" s="16"/>
      <c r="DY402" s="16">
        <f>IFERROR(__xludf.DUMMYFUNCTION("""COMPUTED_VALUE"""),4.0)</f>
        <v>4</v>
      </c>
      <c r="DZ402" s="16"/>
      <c r="EA402" s="16"/>
      <c r="EB402" s="16"/>
      <c r="EC402" s="16"/>
      <c r="ED402" s="16"/>
      <c r="EE402" s="16"/>
      <c r="EF402" s="16"/>
      <c r="EG402" s="179">
        <f>IFERROR(__xludf.DUMMYFUNCTION("""COMPUTED_VALUE"""),-18.0)</f>
        <v>-18</v>
      </c>
      <c r="EH402" s="179"/>
      <c r="EI402" s="179"/>
      <c r="EJ402" s="179"/>
      <c r="EK402" s="179"/>
      <c r="EL402" s="179"/>
      <c r="EM402" s="179"/>
      <c r="EN402" s="179"/>
      <c r="EO402" s="16">
        <f>IFERROR(__xludf.DUMMYFUNCTION("""COMPUTED_VALUE"""),-1.0)</f>
        <v>-1</v>
      </c>
      <c r="EP402" s="16"/>
      <c r="EQ402" s="16">
        <f>IFERROR(__xludf.DUMMYFUNCTION("""COMPUTED_VALUE"""),2.0)</f>
        <v>2</v>
      </c>
      <c r="ER402" s="16">
        <f>IFERROR(__xludf.DUMMYFUNCTION("""COMPUTED_VALUE"""),-2.0)</f>
        <v>-2</v>
      </c>
      <c r="ES402" s="16" t="str">
        <f>IFERROR(__xludf.DUMMYFUNCTION("""COMPUTED_VALUE"""),"c-3")</f>
        <v>c-3</v>
      </c>
      <c r="ET402" s="16" t="str">
        <f>IFERROR(__xludf.DUMMYFUNCTION("""COMPUTED_VALUE"""),"-1)e1,T-5")</f>
        <v>-1)e1,T-5</v>
      </c>
      <c r="EU402" s="16" t="str">
        <f>IFERROR(__xludf.DUMMYFUNCTION("""COMPUTED_VALUE"""),"pb-2)")</f>
        <v>pb-2)</v>
      </c>
      <c r="EV402" s="16"/>
      <c r="EW402" s="16">
        <f>IFERROR(__xludf.DUMMYFUNCTION("""COMPUTED_VALUE"""),-1.0)</f>
        <v>-1</v>
      </c>
      <c r="EX402" s="180">
        <f>IFERROR(__xludf.DUMMYFUNCTION("""COMPUTED_VALUE"""),0.2)</f>
        <v>0.2</v>
      </c>
      <c r="EY402" s="180"/>
      <c r="EZ402" s="180"/>
      <c r="FA402" s="180"/>
      <c r="FB402" s="180"/>
      <c r="FC402" s="180"/>
      <c r="FD402" s="180"/>
      <c r="FE402" s="180"/>
      <c r="FF402" s="180">
        <f>IFERROR(__xludf.DUMMYFUNCTION("""COMPUTED_VALUE"""),0.014)</f>
        <v>0.014</v>
      </c>
      <c r="FG402" s="180"/>
      <c r="FH402" s="180"/>
      <c r="FI402" s="180"/>
      <c r="FJ402" s="180"/>
      <c r="FK402" s="180"/>
      <c r="FL402" s="180"/>
      <c r="FM402" s="180"/>
      <c r="FN402" s="16">
        <f>IFERROR(__xludf.DUMMYFUNCTION("""COMPUTED_VALUE"""),0.7888000000000001)</f>
        <v>0.7888</v>
      </c>
      <c r="FO402" s="16"/>
      <c r="FP402" s="16"/>
      <c r="FQ402" s="16"/>
      <c r="FR402" s="16"/>
      <c r="FS402" s="16"/>
      <c r="FT402" s="16"/>
      <c r="FU402" s="16"/>
      <c r="FV402" s="16">
        <f>IFERROR(__xludf.DUMMYFUNCTION("""COMPUTED_VALUE"""),0.0)</f>
        <v>0</v>
      </c>
      <c r="FW402" s="16"/>
      <c r="FX402" s="16"/>
      <c r="FY402" s="16"/>
      <c r="FZ402" s="16"/>
      <c r="GA402" s="16"/>
      <c r="GB402" s="16"/>
      <c r="GC402" s="16"/>
      <c r="GD402" s="16" t="s">
        <v>176</v>
      </c>
    </row>
    <row r="403">
      <c r="A403" s="16">
        <f>IFERROR(__xludf.DUMMYFUNCTION("""COMPUTED_VALUE"""),13187.0)</f>
        <v>13187</v>
      </c>
      <c r="B403" s="16" t="str">
        <f>IFERROR(__xludf.DUMMYFUNCTION("""COMPUTED_VALUE"""),"Michael A Taylor")</f>
        <v>Michael A Taylor</v>
      </c>
      <c r="C403" s="16">
        <f>IFERROR(__xludf.DUMMYFUNCTION("""COMPUTED_VALUE"""),0.52)</f>
        <v>0.52</v>
      </c>
      <c r="D403" s="16" t="str">
        <f>IFERROR(__xludf.DUMMYFUNCTION("""COMPUTED_VALUE"""),"R")</f>
        <v>R</v>
      </c>
      <c r="E403" s="16"/>
      <c r="F403" s="16"/>
      <c r="G403" s="16">
        <f>IFERROR(__xludf.DUMMYFUNCTION("""COMPUTED_VALUE"""),269.0)</f>
        <v>269</v>
      </c>
      <c r="H403" s="16">
        <f>IFERROR(__xludf.DUMMYFUNCTION("""COMPUTED_VALUE"""),23.0)</f>
        <v>23</v>
      </c>
      <c r="I403" s="16" t="str">
        <f>IFERROR(__xludf.DUMMYFUNCTION("""COMPUTED_VALUE"""),"1p50")</f>
        <v>1p50</v>
      </c>
      <c r="J403" s="16">
        <f>IFERROR(__xludf.DUMMYFUNCTION("""COMPUTED_VALUE"""),55.0)</f>
        <v>55</v>
      </c>
      <c r="K403" s="16">
        <f>IFERROR(__xludf.DUMMYFUNCTION("""COMPUTED_VALUE"""),52.0)</f>
        <v>52</v>
      </c>
      <c r="L403" s="16">
        <f>IFERROR(__xludf.DUMMYFUNCTION("""COMPUTED_VALUE"""),-2.0)</f>
        <v>-2</v>
      </c>
      <c r="M403" s="16">
        <f>IFERROR(__xludf.DUMMYFUNCTION("""COMPUTED_VALUE"""),-2.0)</f>
        <v>-2</v>
      </c>
      <c r="N403" s="16">
        <f>IFERROR(__xludf.DUMMYFUNCTION("""COMPUTED_VALUE"""),-2.0)</f>
        <v>-2</v>
      </c>
      <c r="O403" s="16">
        <f>IFERROR(__xludf.DUMMYFUNCTION("""COMPUTED_VALUE"""),-2.0)</f>
        <v>-2</v>
      </c>
      <c r="P403" s="16">
        <f>IFERROR(__xludf.DUMMYFUNCTION("""COMPUTED_VALUE"""),10.0)</f>
        <v>10</v>
      </c>
      <c r="Q403" s="16">
        <f>IFERROR(__xludf.DUMMYFUNCTION("""COMPUTED_VALUE"""),8.0)</f>
        <v>8</v>
      </c>
      <c r="R403" s="16">
        <f>IFERROR(__xludf.DUMMYFUNCTION("""COMPUTED_VALUE"""),1.0)</f>
        <v>1</v>
      </c>
      <c r="S403" s="16">
        <f>IFERROR(__xludf.DUMMYFUNCTION("""COMPUTED_VALUE"""),0.0)</f>
        <v>0</v>
      </c>
      <c r="T403" s="16">
        <f>IFERROR(__xludf.DUMMYFUNCTION("""COMPUTED_VALUE"""),1.0)</f>
        <v>1</v>
      </c>
      <c r="U403" s="16">
        <f>IFERROR(__xludf.DUMMYFUNCTION("""COMPUTED_VALUE"""),0.0)</f>
        <v>0</v>
      </c>
      <c r="V403" s="16">
        <f>IFERROR(__xludf.DUMMYFUNCTION("""COMPUTED_VALUE"""),9.5)</f>
        <v>9.5</v>
      </c>
      <c r="W403" s="16">
        <f>IFERROR(__xludf.DUMMYFUNCTION("""COMPUTED_VALUE"""),11.3)</f>
        <v>11.3</v>
      </c>
      <c r="X403" s="16">
        <f>IFERROR(__xludf.DUMMYFUNCTION("""COMPUTED_VALUE"""),-1.0)</f>
        <v>-1</v>
      </c>
      <c r="Y403" s="16">
        <f>IFERROR(__xludf.DUMMYFUNCTION("""COMPUTED_VALUE"""),-2.0)</f>
        <v>-2</v>
      </c>
      <c r="Z403" s="16">
        <f>IFERROR(__xludf.DUMMYFUNCTION("""COMPUTED_VALUE"""),-2.0)</f>
        <v>-2</v>
      </c>
      <c r="AA403" s="16">
        <f>IFERROR(__xludf.DUMMYFUNCTION("""COMPUTED_VALUE"""),-4.0)</f>
        <v>-4</v>
      </c>
      <c r="AB403" s="16">
        <f>IFERROR(__xludf.DUMMYFUNCTION("""COMPUTED_VALUE"""),19.5)</f>
        <v>19.5</v>
      </c>
      <c r="AC403" s="16">
        <f>IFERROR(__xludf.DUMMYFUNCTION("""COMPUTED_VALUE"""),19.3)</f>
        <v>19.3</v>
      </c>
      <c r="AD403" s="16">
        <f>IFERROR(__xludf.DUMMYFUNCTION("""COMPUTED_VALUE"""),-1.0)</f>
        <v>-1</v>
      </c>
      <c r="AE403" s="16">
        <f>IFERROR(__xludf.DUMMYFUNCTION("""COMPUTED_VALUE"""),-2.0)</f>
        <v>-2</v>
      </c>
      <c r="AF403" s="16">
        <f>IFERROR(__xludf.DUMMYFUNCTION("""COMPUTED_VALUE"""),-5.0)</f>
        <v>-5</v>
      </c>
      <c r="AG403" s="16">
        <f>IFERROR(__xludf.DUMMYFUNCTION("""COMPUTED_VALUE"""),-10.0)</f>
        <v>-10</v>
      </c>
      <c r="AH403" s="16">
        <f>IFERROR(__xludf.DUMMYFUNCTION("""COMPUTED_VALUE"""),20.4)</f>
        <v>20.4</v>
      </c>
      <c r="AI403" s="16">
        <f>IFERROR(__xludf.DUMMYFUNCTION("""COMPUTED_VALUE"""),19.7)</f>
        <v>19.7</v>
      </c>
      <c r="AJ403" s="16">
        <f>IFERROR(__xludf.DUMMYFUNCTION("""COMPUTED_VALUE"""),-1.0)</f>
        <v>-1</v>
      </c>
      <c r="AK403" s="16">
        <f>IFERROR(__xludf.DUMMYFUNCTION("""COMPUTED_VALUE"""),-2.0)</f>
        <v>-2</v>
      </c>
      <c r="AL403" s="16">
        <f>IFERROR(__xludf.DUMMYFUNCTION("""COMPUTED_VALUE"""),-5.0)</f>
        <v>-5</v>
      </c>
      <c r="AM403" s="16">
        <f>IFERROR(__xludf.DUMMYFUNCTION("""COMPUTED_VALUE"""),-10.0)</f>
        <v>-10</v>
      </c>
      <c r="AN403" s="16">
        <f>IFERROR(__xludf.DUMMYFUNCTION("""COMPUTED_VALUE"""),2.1)</f>
        <v>2.1</v>
      </c>
      <c r="AO403" s="16">
        <f>IFERROR(__xludf.DUMMYFUNCTION("""COMPUTED_VALUE"""),2.2)</f>
        <v>2.2</v>
      </c>
      <c r="AP403" s="16">
        <f>IFERROR(__xludf.DUMMYFUNCTION("""COMPUTED_VALUE"""),0.0)</f>
        <v>0</v>
      </c>
      <c r="AQ403" s="16">
        <f>IFERROR(__xludf.DUMMYFUNCTION("""COMPUTED_VALUE"""),0.0)</f>
        <v>0</v>
      </c>
      <c r="AR403" s="16">
        <f>IFERROR(__xludf.DUMMYFUNCTION("""COMPUTED_VALUE"""),0.0)</f>
        <v>0</v>
      </c>
      <c r="AS403" s="16">
        <f>IFERROR(__xludf.DUMMYFUNCTION("""COMPUTED_VALUE"""),0.0)</f>
        <v>0</v>
      </c>
      <c r="AT403" s="16">
        <f>IFERROR(__xludf.DUMMYFUNCTION("""COMPUTED_VALUE"""),3.0)</f>
        <v>3</v>
      </c>
      <c r="AU403" s="16"/>
      <c r="AV403" s="16">
        <f>IFERROR(__xludf.DUMMYFUNCTION("""COMPUTED_VALUE"""),3.0)</f>
        <v>3</v>
      </c>
      <c r="AW403" s="16">
        <f>IFERROR(__xludf.DUMMYFUNCTION("""COMPUTED_VALUE"""),-3.0)</f>
        <v>-3</v>
      </c>
      <c r="AX403" s="16">
        <f>IFERROR(__xludf.DUMMYFUNCTION("""COMPUTED_VALUE"""),1.0)</f>
        <v>1</v>
      </c>
      <c r="AY403" s="16">
        <f>IFERROR(__xludf.DUMMYFUNCTION("""COMPUTED_VALUE"""),-3.0)</f>
        <v>-3</v>
      </c>
      <c r="AZ403" s="16">
        <f>IFERROR(__xludf.DUMMYFUNCTION("""COMPUTED_VALUE"""),3.0)</f>
        <v>3</v>
      </c>
      <c r="BA403" s="16">
        <f>IFERROR(__xludf.DUMMYFUNCTION("""COMPUTED_VALUE"""),-9.0)</f>
        <v>-9</v>
      </c>
      <c r="BB403" s="16">
        <f>IFERROR(__xludf.DUMMYFUNCTION("""COMPUTED_VALUE"""),5.0)</f>
        <v>5</v>
      </c>
      <c r="BC403" s="16">
        <f>IFERROR(__xludf.DUMMYFUNCTION("""COMPUTED_VALUE"""),5.0)</f>
        <v>5</v>
      </c>
      <c r="BD403" s="16">
        <f>IFERROR(__xludf.DUMMYFUNCTION("""COMPUTED_VALUE"""),1.0)</f>
        <v>1</v>
      </c>
      <c r="BE403" s="16">
        <f>IFERROR(__xludf.DUMMYFUNCTION("""COMPUTED_VALUE"""),1.0)</f>
        <v>1</v>
      </c>
      <c r="BF403" s="16">
        <f>IFERROR(__xludf.DUMMYFUNCTION("""COMPUTED_VALUE"""),1.0)</f>
        <v>1</v>
      </c>
      <c r="BG403" s="16">
        <f>IFERROR(__xludf.DUMMYFUNCTION("""COMPUTED_VALUE"""),1.0)</f>
        <v>1</v>
      </c>
      <c r="BH403" s="16">
        <f>IFERROR(__xludf.DUMMYFUNCTION("""COMPUTED_VALUE"""),-2.0)</f>
        <v>-2</v>
      </c>
      <c r="BI403" s="16">
        <f>IFERROR(__xludf.DUMMYFUNCTION("""COMPUTED_VALUE"""),-6.0)</f>
        <v>-6</v>
      </c>
      <c r="BJ403" s="16">
        <f>IFERROR(__xludf.DUMMYFUNCTION("""COMPUTED_VALUE"""),6.0)</f>
        <v>6</v>
      </c>
      <c r="BK403" s="16">
        <f>IFERROR(__xludf.DUMMYFUNCTION("""COMPUTED_VALUE"""),6.0)</f>
        <v>6</v>
      </c>
      <c r="BL403" s="16">
        <f>IFERROR(__xludf.DUMMYFUNCTION("""COMPUTED_VALUE"""),1.0)</f>
        <v>1</v>
      </c>
      <c r="BM403" s="16">
        <f>IFERROR(__xludf.DUMMYFUNCTION("""COMPUTED_VALUE"""),1.0)</f>
        <v>1</v>
      </c>
      <c r="BN403" s="16">
        <f>IFERROR(__xludf.DUMMYFUNCTION("""COMPUTED_VALUE"""),1.0)</f>
        <v>1</v>
      </c>
      <c r="BO403" s="16">
        <f>IFERROR(__xludf.DUMMYFUNCTION("""COMPUTED_VALUE"""),1.0)</f>
        <v>1</v>
      </c>
      <c r="BP403" s="16">
        <f>IFERROR(__xludf.DUMMYFUNCTION("""COMPUTED_VALUE"""),-1.0)</f>
        <v>-1</v>
      </c>
      <c r="BQ403" s="16">
        <f>IFERROR(__xludf.DUMMYFUNCTION("""COMPUTED_VALUE"""),-9.0)</f>
        <v>-9</v>
      </c>
      <c r="BR403" s="16">
        <f>IFERROR(__xludf.DUMMYFUNCTION("""COMPUTED_VALUE"""),-10.0)</f>
        <v>-10</v>
      </c>
      <c r="BS403" s="16" t="str">
        <f>IFERROR(__xludf.DUMMYFUNCTION("""COMPUTED_VALUE"""),"*4,6/- (19-13)")</f>
        <v>*4,6/- (19-13)</v>
      </c>
      <c r="BT403" s="16" t="str">
        <f>IFERROR(__xludf.DUMMYFUNCTION("""COMPUTED_VALUE"""),"B")</f>
        <v>B</v>
      </c>
      <c r="BU403" s="16">
        <f>IFERROR(__xludf.DUMMYFUNCTION("""COMPUTED_VALUE"""),15.0)</f>
        <v>15</v>
      </c>
      <c r="BV403" s="16">
        <f>IFERROR(__xludf.DUMMYFUNCTION("""COMPUTED_VALUE"""),1.0)</f>
        <v>1</v>
      </c>
      <c r="BW403" s="16">
        <f>IFERROR(__xludf.DUMMYFUNCTION("""COMPUTED_VALUE"""),2.0)</f>
        <v>2</v>
      </c>
      <c r="BX403" s="16">
        <f>IFERROR(__xludf.DUMMYFUNCTION("""COMPUTED_VALUE"""),2.0)</f>
        <v>2</v>
      </c>
      <c r="BY403" s="16">
        <f>IFERROR(__xludf.DUMMYFUNCTION("""COMPUTED_VALUE"""),6.0)</f>
        <v>6</v>
      </c>
      <c r="BZ403" s="16" t="str">
        <f>IFERROR(__xludf.DUMMYFUNCTION("""COMPUTED_VALUE"""),"C")</f>
        <v>C</v>
      </c>
      <c r="CA403" s="16" t="str">
        <f>IFERROR(__xludf.DUMMYFUNCTION("""COMPUTED_VALUE"""),"D")</f>
        <v>D</v>
      </c>
      <c r="CB403" s="16">
        <f>IFERROR(__xludf.DUMMYFUNCTION("""COMPUTED_VALUE"""),0.0)</f>
        <v>0</v>
      </c>
      <c r="CC403" s="16">
        <f>IFERROR(__xludf.DUMMYFUNCTION("""COMPUTED_VALUE"""),0.0)</f>
        <v>0</v>
      </c>
      <c r="CD403" s="16">
        <f>IFERROR(__xludf.DUMMYFUNCTION("""COMPUTED_VALUE"""),0.0)</f>
        <v>0</v>
      </c>
      <c r="CE403" s="16">
        <f>IFERROR(__xludf.DUMMYFUNCTION("""COMPUTED_VALUE"""),0.0)</f>
        <v>0</v>
      </c>
      <c r="CF403" s="16">
        <f>IFERROR(__xludf.DUMMYFUNCTION("""COMPUTED_VALUE"""),1.0)</f>
        <v>1</v>
      </c>
      <c r="CG403" s="16">
        <f>IFERROR(__xludf.DUMMYFUNCTION("""COMPUTED_VALUE"""),-8.0)</f>
        <v>-8</v>
      </c>
      <c r="CH403" s="16">
        <f>IFERROR(__xludf.DUMMYFUNCTION("""COMPUTED_VALUE"""),-33.0)</f>
        <v>-33</v>
      </c>
      <c r="CI403" s="179">
        <f>IFERROR(__xludf.DUMMYFUNCTION("""COMPUTED_VALUE"""),-21.0)</f>
        <v>-21</v>
      </c>
      <c r="CJ403" s="16"/>
      <c r="CK403" s="16"/>
      <c r="CL403" s="16"/>
      <c r="CM403" s="16"/>
      <c r="CN403" s="16"/>
      <c r="CO403" s="16">
        <f>IFERROR(__xludf.DUMMYFUNCTION("""COMPUTED_VALUE"""),206.0)</f>
        <v>206</v>
      </c>
      <c r="CP403" s="16">
        <f>IFERROR(__xludf.DUMMYFUNCTION("""COMPUTED_VALUE"""),106.0)</f>
        <v>106</v>
      </c>
      <c r="CQ403" s="16"/>
      <c r="CR403" s="16" t="str">
        <f>IFERROR(__xludf.DUMMYFUNCTION("""COMPUTED_VALUE"""),"cf-1(-3)e6 lf-2e6")</f>
        <v>cf-1(-3)e6 lf-2e6</v>
      </c>
      <c r="CS403" s="16"/>
      <c r="CT403" s="16"/>
      <c r="CU403" s="16"/>
      <c r="CV403" s="16"/>
      <c r="CW403" s="16"/>
      <c r="CX403" s="16">
        <f>IFERROR(__xludf.DUMMYFUNCTION("""COMPUTED_VALUE"""),2.0)</f>
        <v>2</v>
      </c>
      <c r="CY403" s="16">
        <f>IFERROR(__xludf.DUMMYFUNCTION("""COMPUTED_VALUE"""),1.0)</f>
        <v>1</v>
      </c>
      <c r="CZ403" s="16"/>
      <c r="DA403" s="16"/>
      <c r="DB403" s="16"/>
      <c r="DC403" s="16"/>
      <c r="DD403" s="16"/>
      <c r="DE403" s="16"/>
      <c r="DF403" s="16">
        <f>IFERROR(__xludf.DUMMYFUNCTION("""COMPUTED_VALUE"""),6.0)</f>
        <v>6</v>
      </c>
      <c r="DG403" s="16">
        <f>IFERROR(__xludf.DUMMYFUNCTION("""COMPUTED_VALUE"""),6.0)</f>
        <v>6</v>
      </c>
      <c r="DH403" s="16"/>
      <c r="DI403" s="16"/>
      <c r="DJ403" s="16"/>
      <c r="DK403" s="16"/>
      <c r="DL403" s="16"/>
      <c r="DM403" s="16"/>
      <c r="DN403" s="16">
        <f>IFERROR(__xludf.DUMMYFUNCTION("""COMPUTED_VALUE"""),3.0)</f>
        <v>3</v>
      </c>
      <c r="DO403" s="16">
        <f>IFERROR(__xludf.DUMMYFUNCTION("""COMPUTED_VALUE"""),4.0)</f>
        <v>4</v>
      </c>
      <c r="DP403" s="16"/>
      <c r="DQ403" s="16"/>
      <c r="DR403" s="16"/>
      <c r="DS403" s="16"/>
      <c r="DT403" s="16"/>
      <c r="DU403" s="16"/>
      <c r="DV403" s="16">
        <f>IFERROR(__xludf.DUMMYFUNCTION("""COMPUTED_VALUE"""),2.0)</f>
        <v>2</v>
      </c>
      <c r="DW403" s="16">
        <f>IFERROR(__xludf.DUMMYFUNCTION("""COMPUTED_VALUE"""),3.0)</f>
        <v>3</v>
      </c>
      <c r="DX403" s="16"/>
      <c r="DY403" s="16"/>
      <c r="DZ403" s="16"/>
      <c r="EA403" s="16"/>
      <c r="EB403" s="16"/>
      <c r="EC403" s="16"/>
      <c r="ED403" s="16">
        <f>IFERROR(__xludf.DUMMYFUNCTION("""COMPUTED_VALUE"""),5.0)</f>
        <v>5</v>
      </c>
      <c r="EE403" s="16">
        <f>IFERROR(__xludf.DUMMYFUNCTION("""COMPUTED_VALUE"""),7.0)</f>
        <v>7</v>
      </c>
      <c r="EF403" s="16"/>
      <c r="EG403" s="179"/>
      <c r="EH403" s="179"/>
      <c r="EI403" s="179"/>
      <c r="EJ403" s="179"/>
      <c r="EK403" s="179"/>
      <c r="EL403" s="179">
        <f>IFERROR(__xludf.DUMMYFUNCTION("""COMPUTED_VALUE"""),-16.0)</f>
        <v>-16</v>
      </c>
      <c r="EM403" s="179">
        <f>IFERROR(__xludf.DUMMYFUNCTION("""COMPUTED_VALUE"""),-14.0)</f>
        <v>-14</v>
      </c>
      <c r="EN403" s="179"/>
      <c r="EO403" s="16"/>
      <c r="EP403" s="16">
        <f>IFERROR(__xludf.DUMMYFUNCTION("""COMPUTED_VALUE"""),0.0)</f>
        <v>0</v>
      </c>
      <c r="EQ403" s="16">
        <f>IFERROR(__xludf.DUMMYFUNCTION("""COMPUTED_VALUE"""),4.0)</f>
        <v>4</v>
      </c>
      <c r="ER403" s="16">
        <f>IFERROR(__xludf.DUMMYFUNCTION("""COMPUTED_VALUE"""),0.0)</f>
        <v>0</v>
      </c>
      <c r="ES403" s="16"/>
      <c r="ET403" s="16"/>
      <c r="EU403" s="16"/>
      <c r="EV403" s="16"/>
      <c r="EW403" s="16"/>
      <c r="EX403" s="180"/>
      <c r="EY403" s="180"/>
      <c r="EZ403" s="180"/>
      <c r="FA403" s="180"/>
      <c r="FB403" s="180"/>
      <c r="FC403" s="180">
        <f>IFERROR(__xludf.DUMMYFUNCTION("""COMPUTED_VALUE"""),0.15)</f>
        <v>0.15</v>
      </c>
      <c r="FD403" s="180">
        <f>IFERROR(__xludf.DUMMYFUNCTION("""COMPUTED_VALUE"""),0.0)</f>
        <v>0</v>
      </c>
      <c r="FE403" s="180"/>
      <c r="FF403" s="180"/>
      <c r="FG403" s="180"/>
      <c r="FH403" s="180"/>
      <c r="FI403" s="180"/>
      <c r="FJ403" s="180"/>
      <c r="FK403" s="180">
        <f>IFERROR(__xludf.DUMMYFUNCTION("""COMPUTED_VALUE"""),0.106)</f>
        <v>0.106</v>
      </c>
      <c r="FL403" s="180">
        <f>IFERROR(__xludf.DUMMYFUNCTION("""COMPUTED_VALUE"""),0.06944444444444445)</f>
        <v>0.06944444444</v>
      </c>
      <c r="FM403" s="180"/>
      <c r="FN403" s="16"/>
      <c r="FO403" s="16"/>
      <c r="FP403" s="16"/>
      <c r="FQ403" s="16"/>
      <c r="FR403" s="16"/>
      <c r="FS403" s="16">
        <f>IFERROR(__xludf.DUMMYFUNCTION("""COMPUTED_VALUE"""),0.7599)</f>
        <v>0.7599</v>
      </c>
      <c r="FT403" s="16">
        <f>IFERROR(__xludf.DUMMYFUNCTION("""COMPUTED_VALUE"""),0.9305555555555556)</f>
        <v>0.9305555556</v>
      </c>
      <c r="FU403" s="16"/>
      <c r="FV403" s="16"/>
      <c r="FW403" s="16"/>
      <c r="FX403" s="16"/>
      <c r="FY403" s="16"/>
      <c r="FZ403" s="16"/>
      <c r="GA403" s="16">
        <f>IFERROR(__xludf.DUMMYFUNCTION("""COMPUTED_VALUE"""),-1.0)</f>
        <v>-1</v>
      </c>
      <c r="GB403" s="16">
        <f>IFERROR(__xludf.DUMMYFUNCTION("""COMPUTED_VALUE"""),6.0)</f>
        <v>6</v>
      </c>
      <c r="GC403" s="16"/>
      <c r="GD403" s="16" t="s">
        <v>176</v>
      </c>
    </row>
    <row r="404">
      <c r="A404" s="16">
        <f>IFERROR(__xludf.DUMMYFUNCTION("""COMPUTED_VALUE"""),13410.0)</f>
        <v>13410</v>
      </c>
      <c r="B404" s="16" t="str">
        <f>IFERROR(__xludf.DUMMYFUNCTION("""COMPUTED_VALUE"""),"Thairo Estrada")</f>
        <v>Thairo Estrada</v>
      </c>
      <c r="C404" s="16">
        <f>IFERROR(__xludf.DUMMYFUNCTION("""COMPUTED_VALUE"""),0.0)</f>
        <v>0</v>
      </c>
      <c r="D404" s="16" t="str">
        <f>IFERROR(__xludf.DUMMYFUNCTION("""COMPUTED_VALUE"""),"R")</f>
        <v>R</v>
      </c>
      <c r="E404" s="16"/>
      <c r="F404" s="16"/>
      <c r="G404" s="16">
        <f>IFERROR(__xludf.DUMMYFUNCTION("""COMPUTED_VALUE"""),364.0)</f>
        <v>364</v>
      </c>
      <c r="H404" s="16">
        <f>IFERROR(__xludf.DUMMYFUNCTION("""COMPUTED_VALUE"""),10.0)</f>
        <v>10</v>
      </c>
      <c r="I404" s="16" t="str">
        <f>IFERROR(__xludf.DUMMYFUNCTION("""COMPUTED_VALUE"""),"3p50")</f>
        <v>3p50</v>
      </c>
      <c r="J404" s="16">
        <f>IFERROR(__xludf.DUMMYFUNCTION("""COMPUTED_VALUE"""),17.0)</f>
        <v>17</v>
      </c>
      <c r="K404" s="16">
        <f>IFERROR(__xludf.DUMMYFUNCTION("""COMPUTED_VALUE"""),18.0)</f>
        <v>18</v>
      </c>
      <c r="L404" s="16">
        <f>IFERROR(__xludf.DUMMYFUNCTION("""COMPUTED_VALUE"""),1.0)</f>
        <v>1</v>
      </c>
      <c r="M404" s="16">
        <f>IFERROR(__xludf.DUMMYFUNCTION("""COMPUTED_VALUE"""),1.0)</f>
        <v>1</v>
      </c>
      <c r="N404" s="16">
        <f>IFERROR(__xludf.DUMMYFUNCTION("""COMPUTED_VALUE"""),1.0)</f>
        <v>1</v>
      </c>
      <c r="O404" s="16">
        <f>IFERROR(__xludf.DUMMYFUNCTION("""COMPUTED_VALUE"""),1.0)</f>
        <v>1</v>
      </c>
      <c r="P404" s="16">
        <f>IFERROR(__xludf.DUMMYFUNCTION("""COMPUTED_VALUE"""),0.0)</f>
        <v>0</v>
      </c>
      <c r="Q404" s="16">
        <f>IFERROR(__xludf.DUMMYFUNCTION("""COMPUTED_VALUE"""),0.0)</f>
        <v>0</v>
      </c>
      <c r="R404" s="16">
        <f>IFERROR(__xludf.DUMMYFUNCTION("""COMPUTED_VALUE"""),-3.0)</f>
        <v>-3</v>
      </c>
      <c r="S404" s="16">
        <f>IFERROR(__xludf.DUMMYFUNCTION("""COMPUTED_VALUE"""),-2.0)</f>
        <v>-2</v>
      </c>
      <c r="T404" s="16">
        <f>IFERROR(__xludf.DUMMYFUNCTION("""COMPUTED_VALUE"""),-3.0)</f>
        <v>-3</v>
      </c>
      <c r="U404" s="16">
        <f>IFERROR(__xludf.DUMMYFUNCTION("""COMPUTED_VALUE"""),-2.0)</f>
        <v>-2</v>
      </c>
      <c r="V404" s="16">
        <f>IFERROR(__xludf.DUMMYFUNCTION("""COMPUTED_VALUE"""),9.8)</f>
        <v>9.8</v>
      </c>
      <c r="W404" s="16">
        <f>IFERROR(__xludf.DUMMYFUNCTION("""COMPUTED_VALUE"""),17.4)</f>
        <v>17.4</v>
      </c>
      <c r="X404" s="16">
        <f>IFERROR(__xludf.DUMMYFUNCTION("""COMPUTED_VALUE"""),-1.0)</f>
        <v>-1</v>
      </c>
      <c r="Y404" s="16">
        <f>IFERROR(__xludf.DUMMYFUNCTION("""COMPUTED_VALUE"""),-1.0)</f>
        <v>-1</v>
      </c>
      <c r="Z404" s="16">
        <f>IFERROR(__xludf.DUMMYFUNCTION("""COMPUTED_VALUE"""),-2.0)</f>
        <v>-2</v>
      </c>
      <c r="AA404" s="16">
        <f>IFERROR(__xludf.DUMMYFUNCTION("""COMPUTED_VALUE"""),-2.0)</f>
        <v>-2</v>
      </c>
      <c r="AB404" s="16">
        <f>IFERROR(__xludf.DUMMYFUNCTION("""COMPUTED_VALUE"""),12.8)</f>
        <v>12.8</v>
      </c>
      <c r="AC404" s="16">
        <f>IFERROR(__xludf.DUMMYFUNCTION("""COMPUTED_VALUE"""),20.4)</f>
        <v>20.4</v>
      </c>
      <c r="AD404" s="16">
        <f>IFERROR(__xludf.DUMMYFUNCTION("""COMPUTED_VALUE"""),-2.0)</f>
        <v>-2</v>
      </c>
      <c r="AE404" s="16">
        <f>IFERROR(__xludf.DUMMYFUNCTION("""COMPUTED_VALUE"""),-2.0)</f>
        <v>-2</v>
      </c>
      <c r="AF404" s="16">
        <f>IFERROR(__xludf.DUMMYFUNCTION("""COMPUTED_VALUE"""),-10.0)</f>
        <v>-10</v>
      </c>
      <c r="AG404" s="16">
        <f>IFERROR(__xludf.DUMMYFUNCTION("""COMPUTED_VALUE"""),-10.0)</f>
        <v>-10</v>
      </c>
      <c r="AH404" s="16">
        <f>IFERROR(__xludf.DUMMYFUNCTION("""COMPUTED_VALUE"""),15.6)</f>
        <v>15.6</v>
      </c>
      <c r="AI404" s="16">
        <f>IFERROR(__xludf.DUMMYFUNCTION("""COMPUTED_VALUE"""),26.5)</f>
        <v>26.5</v>
      </c>
      <c r="AJ404" s="16">
        <f>IFERROR(__xludf.DUMMYFUNCTION("""COMPUTED_VALUE"""),-1.0)</f>
        <v>-1</v>
      </c>
      <c r="AK404" s="16">
        <f>IFERROR(__xludf.DUMMYFUNCTION("""COMPUTED_VALUE"""),-1.0)</f>
        <v>-1</v>
      </c>
      <c r="AL404" s="16">
        <f>IFERROR(__xludf.DUMMYFUNCTION("""COMPUTED_VALUE"""),-5.0)</f>
        <v>-5</v>
      </c>
      <c r="AM404" s="16">
        <f>IFERROR(__xludf.DUMMYFUNCTION("""COMPUTED_VALUE"""),-5.0)</f>
        <v>-5</v>
      </c>
      <c r="AN404" s="16">
        <f>IFERROR(__xludf.DUMMYFUNCTION("""COMPUTED_VALUE"""),0.8)</f>
        <v>0.8</v>
      </c>
      <c r="AO404" s="16">
        <f>IFERROR(__xludf.DUMMYFUNCTION("""COMPUTED_VALUE"""),1.4)</f>
        <v>1.4</v>
      </c>
      <c r="AP404" s="16">
        <f>IFERROR(__xludf.DUMMYFUNCTION("""COMPUTED_VALUE"""),-2.0)</f>
        <v>-2</v>
      </c>
      <c r="AQ404" s="16">
        <f>IFERROR(__xludf.DUMMYFUNCTION("""COMPUTED_VALUE"""),-1.0)</f>
        <v>-1</v>
      </c>
      <c r="AR404" s="16">
        <f>IFERROR(__xludf.DUMMYFUNCTION("""COMPUTED_VALUE"""),-4.0)</f>
        <v>-4</v>
      </c>
      <c r="AS404" s="16">
        <f>IFERROR(__xludf.DUMMYFUNCTION("""COMPUTED_VALUE"""),-2.0)</f>
        <v>-2</v>
      </c>
      <c r="AT404" s="16">
        <f>IFERROR(__xludf.DUMMYFUNCTION("""COMPUTED_VALUE"""),1.0)</f>
        <v>1</v>
      </c>
      <c r="AU404" s="16">
        <f>IFERROR(__xludf.DUMMYFUNCTION("""COMPUTED_VALUE"""),2.0)</f>
        <v>2</v>
      </c>
      <c r="AV404" s="16">
        <f>IFERROR(__xludf.DUMMYFUNCTION("""COMPUTED_VALUE"""),1.0)</f>
        <v>1</v>
      </c>
      <c r="AW404" s="16">
        <f>IFERROR(__xludf.DUMMYFUNCTION("""COMPUTED_VALUE"""),2.0)</f>
        <v>2</v>
      </c>
      <c r="AX404" s="16">
        <f>IFERROR(__xludf.DUMMYFUNCTION("""COMPUTED_VALUE"""),-1.0)</f>
        <v>-1</v>
      </c>
      <c r="AY404" s="16">
        <f>IFERROR(__xludf.DUMMYFUNCTION("""COMPUTED_VALUE"""),0.0)</f>
        <v>0</v>
      </c>
      <c r="AZ404" s="16">
        <f>IFERROR(__xludf.DUMMYFUNCTION("""COMPUTED_VALUE"""),-3.0)</f>
        <v>-3</v>
      </c>
      <c r="BA404" s="16">
        <f>IFERROR(__xludf.DUMMYFUNCTION("""COMPUTED_VALUE"""),0.0)</f>
        <v>0</v>
      </c>
      <c r="BB404" s="16">
        <f>IFERROR(__xludf.DUMMYFUNCTION("""COMPUTED_VALUE"""),5.0)</f>
        <v>5</v>
      </c>
      <c r="BC404" s="16">
        <f>IFERROR(__xludf.DUMMYFUNCTION("""COMPUTED_VALUE"""),5.0)</f>
        <v>5</v>
      </c>
      <c r="BD404" s="16">
        <f>IFERROR(__xludf.DUMMYFUNCTION("""COMPUTED_VALUE"""),1.0)</f>
        <v>1</v>
      </c>
      <c r="BE404" s="16">
        <f>IFERROR(__xludf.DUMMYFUNCTION("""COMPUTED_VALUE"""),1.0)</f>
        <v>1</v>
      </c>
      <c r="BF404" s="16">
        <f>IFERROR(__xludf.DUMMYFUNCTION("""COMPUTED_VALUE"""),1.0)</f>
        <v>1</v>
      </c>
      <c r="BG404" s="16">
        <f>IFERROR(__xludf.DUMMYFUNCTION("""COMPUTED_VALUE"""),1.0)</f>
        <v>1</v>
      </c>
      <c r="BH404" s="16">
        <f>IFERROR(__xludf.DUMMYFUNCTION("""COMPUTED_VALUE"""),3.0)</f>
        <v>3</v>
      </c>
      <c r="BI404" s="16">
        <f>IFERROR(__xludf.DUMMYFUNCTION("""COMPUTED_VALUE"""),3.0)</f>
        <v>3</v>
      </c>
      <c r="BJ404" s="16">
        <f>IFERROR(__xludf.DUMMYFUNCTION("""COMPUTED_VALUE"""),17.0)</f>
        <v>17</v>
      </c>
      <c r="BK404" s="16">
        <f>IFERROR(__xludf.DUMMYFUNCTION("""COMPUTED_VALUE"""),17.0)</f>
        <v>17</v>
      </c>
      <c r="BL404" s="16">
        <f>IFERROR(__xludf.DUMMYFUNCTION("""COMPUTED_VALUE"""),-1.0)</f>
        <v>-1</v>
      </c>
      <c r="BM404" s="16">
        <f>IFERROR(__xludf.DUMMYFUNCTION("""COMPUTED_VALUE"""),-1.0)</f>
        <v>-1</v>
      </c>
      <c r="BN404" s="16">
        <f>IFERROR(__xludf.DUMMYFUNCTION("""COMPUTED_VALUE"""),-2.0)</f>
        <v>-2</v>
      </c>
      <c r="BO404" s="16">
        <f>IFERROR(__xludf.DUMMYFUNCTION("""COMPUTED_VALUE"""),-2.0)</f>
        <v>-2</v>
      </c>
      <c r="BP404" s="16">
        <f>IFERROR(__xludf.DUMMYFUNCTION("""COMPUTED_VALUE"""),-9.0)</f>
        <v>-9</v>
      </c>
      <c r="BQ404" s="16">
        <f>IFERROR(__xludf.DUMMYFUNCTION("""COMPUTED_VALUE"""),-6.0)</f>
        <v>-6</v>
      </c>
      <c r="BR404" s="16">
        <f>IFERROR(__xludf.DUMMYFUNCTION("""COMPUTED_VALUE"""),-15.0)</f>
        <v>-15</v>
      </c>
      <c r="BS404" s="16" t="str">
        <f>IFERROR(__xludf.DUMMYFUNCTION("""COMPUTED_VALUE"""),"4,6/10 (13-6)")</f>
        <v>4,6/10 (13-6)</v>
      </c>
      <c r="BT404" s="16" t="str">
        <f>IFERROR(__xludf.DUMMYFUNCTION("""COMPUTED_VALUE"""),"D")</f>
        <v>D</v>
      </c>
      <c r="BU404" s="16">
        <f>IFERROR(__xludf.DUMMYFUNCTION("""COMPUTED_VALUE"""),14.0)</f>
        <v>14</v>
      </c>
      <c r="BV404" s="16">
        <f>IFERROR(__xludf.DUMMYFUNCTION("""COMPUTED_VALUE"""),0.0)</f>
        <v>0</v>
      </c>
      <c r="BW404" s="16">
        <f>IFERROR(__xludf.DUMMYFUNCTION("""COMPUTED_VALUE"""),1.0)</f>
        <v>1</v>
      </c>
      <c r="BX404" s="16">
        <f>IFERROR(__xludf.DUMMYFUNCTION("""COMPUTED_VALUE"""),0.0)</f>
        <v>0</v>
      </c>
      <c r="BY404" s="16">
        <f>IFERROR(__xludf.DUMMYFUNCTION("""COMPUTED_VALUE"""),3.0)</f>
        <v>3</v>
      </c>
      <c r="BZ404" s="16" t="str">
        <f>IFERROR(__xludf.DUMMYFUNCTION("""COMPUTED_VALUE"""),"D")</f>
        <v>D</v>
      </c>
      <c r="CA404" s="16" t="str">
        <f>IFERROR(__xludf.DUMMYFUNCTION("""COMPUTED_VALUE"""),"C")</f>
        <v>C</v>
      </c>
      <c r="CB404" s="16">
        <f>IFERROR(__xludf.DUMMYFUNCTION("""COMPUTED_VALUE"""),0.0)</f>
        <v>0</v>
      </c>
      <c r="CC404" s="16">
        <f>IFERROR(__xludf.DUMMYFUNCTION("""COMPUTED_VALUE"""),0.0)</f>
        <v>0</v>
      </c>
      <c r="CD404" s="16">
        <f>IFERROR(__xludf.DUMMYFUNCTION("""COMPUTED_VALUE"""),0.0)</f>
        <v>0</v>
      </c>
      <c r="CE404" s="16">
        <f>IFERROR(__xludf.DUMMYFUNCTION("""COMPUTED_VALUE"""),0.0)</f>
        <v>0</v>
      </c>
      <c r="CF404" s="16">
        <f>IFERROR(__xludf.DUMMYFUNCTION("""COMPUTED_VALUE"""),3.0)</f>
        <v>3</v>
      </c>
      <c r="CG404" s="16">
        <f>IFERROR(__xludf.DUMMYFUNCTION("""COMPUTED_VALUE"""),-27.0)</f>
        <v>-27</v>
      </c>
      <c r="CH404" s="16">
        <f>IFERROR(__xludf.DUMMYFUNCTION("""COMPUTED_VALUE"""),-21.0)</f>
        <v>-21</v>
      </c>
      <c r="CI404" s="179">
        <f>IFERROR(__xludf.DUMMYFUNCTION("""COMPUTED_VALUE"""),-21.0)</f>
        <v>-21</v>
      </c>
      <c r="CJ404" s="16"/>
      <c r="CK404" s="16"/>
      <c r="CL404" s="16">
        <f>IFERROR(__xludf.DUMMYFUNCTION("""COMPUTED_VALUE"""),204.0)</f>
        <v>204</v>
      </c>
      <c r="CM404" s="16"/>
      <c r="CN404" s="16"/>
      <c r="CO404" s="16"/>
      <c r="CP404" s="16"/>
      <c r="CQ404" s="16"/>
      <c r="CR404" s="16" t="str">
        <f>IFERROR(__xludf.DUMMYFUNCTION("""COMPUTED_VALUE"""),"2b-2e4")</f>
        <v>2b-2e4</v>
      </c>
      <c r="CS404" s="16"/>
      <c r="CT404" s="16"/>
      <c r="CU404" s="16">
        <f>IFERROR(__xludf.DUMMYFUNCTION("""COMPUTED_VALUE"""),2.0)</f>
        <v>2</v>
      </c>
      <c r="CV404" s="16"/>
      <c r="CW404" s="16"/>
      <c r="CX404" s="16"/>
      <c r="CY404" s="16"/>
      <c r="CZ404" s="16"/>
      <c r="DA404" s="16"/>
      <c r="DB404" s="16"/>
      <c r="DC404" s="16">
        <f>IFERROR(__xludf.DUMMYFUNCTION("""COMPUTED_VALUE"""),4.0)</f>
        <v>4</v>
      </c>
      <c r="DD404" s="16"/>
      <c r="DE404" s="16"/>
      <c r="DF404" s="16"/>
      <c r="DG404" s="16"/>
      <c r="DH404" s="16"/>
      <c r="DI404" s="16"/>
      <c r="DJ404" s="16"/>
      <c r="DK404" s="16">
        <f>IFERROR(__xludf.DUMMYFUNCTION("""COMPUTED_VALUE"""),2.0)</f>
        <v>2</v>
      </c>
      <c r="DL404" s="16"/>
      <c r="DM404" s="16"/>
      <c r="DN404" s="16"/>
      <c r="DO404" s="16"/>
      <c r="DP404" s="16"/>
      <c r="DQ404" s="16"/>
      <c r="DR404" s="16"/>
      <c r="DS404" s="16">
        <f>IFERROR(__xludf.DUMMYFUNCTION("""COMPUTED_VALUE"""),4.0)</f>
        <v>4</v>
      </c>
      <c r="DT404" s="16"/>
      <c r="DU404" s="16"/>
      <c r="DV404" s="16"/>
      <c r="DW404" s="16"/>
      <c r="DX404" s="16"/>
      <c r="DY404" s="16"/>
      <c r="DZ404" s="16"/>
      <c r="EA404" s="16">
        <f>IFERROR(__xludf.DUMMYFUNCTION("""COMPUTED_VALUE"""),6.0)</f>
        <v>6</v>
      </c>
      <c r="EB404" s="16"/>
      <c r="EC404" s="16"/>
      <c r="ED404" s="16"/>
      <c r="EE404" s="16"/>
      <c r="EF404" s="16"/>
      <c r="EG404" s="179"/>
      <c r="EH404" s="179"/>
      <c r="EI404" s="179">
        <f>IFERROR(__xludf.DUMMYFUNCTION("""COMPUTED_VALUE"""),-15.0)</f>
        <v>-15</v>
      </c>
      <c r="EJ404" s="179"/>
      <c r="EK404" s="179"/>
      <c r="EL404" s="179"/>
      <c r="EM404" s="179"/>
      <c r="EN404" s="179"/>
      <c r="EO404" s="16"/>
      <c r="EP404" s="16">
        <f>IFERROR(__xludf.DUMMYFUNCTION("""COMPUTED_VALUE"""),0.0)</f>
        <v>0</v>
      </c>
      <c r="EQ404" s="16">
        <f>IFERROR(__xludf.DUMMYFUNCTION("""COMPUTED_VALUE"""),1.0)</f>
        <v>1</v>
      </c>
      <c r="ER404" s="16">
        <f>IFERROR(__xludf.DUMMYFUNCTION("""COMPUTED_VALUE"""),0.0)</f>
        <v>0</v>
      </c>
      <c r="ES404" s="16"/>
      <c r="ET404" s="16"/>
      <c r="EU404" s="16"/>
      <c r="EV404" s="16"/>
      <c r="EW404" s="16"/>
      <c r="EX404" s="180"/>
      <c r="EY404" s="180"/>
      <c r="EZ404" s="180">
        <f>IFERROR(__xludf.DUMMYFUNCTION("""COMPUTED_VALUE"""),0.1)</f>
        <v>0.1</v>
      </c>
      <c r="FA404" s="180"/>
      <c r="FB404" s="180"/>
      <c r="FC404" s="180"/>
      <c r="FD404" s="180"/>
      <c r="FE404" s="180"/>
      <c r="FF404" s="180"/>
      <c r="FG404" s="180"/>
      <c r="FH404" s="180">
        <f>IFERROR(__xludf.DUMMYFUNCTION("""COMPUTED_VALUE"""),0.023148148148148147)</f>
        <v>0.02314814815</v>
      </c>
      <c r="FI404" s="180"/>
      <c r="FJ404" s="180"/>
      <c r="FK404" s="180"/>
      <c r="FL404" s="180"/>
      <c r="FM404" s="180"/>
      <c r="FN404" s="16"/>
      <c r="FO404" s="16"/>
      <c r="FP404" s="16">
        <f>IFERROR(__xludf.DUMMYFUNCTION("""COMPUTED_VALUE"""),0.8791666666666667)</f>
        <v>0.8791666667</v>
      </c>
      <c r="FQ404" s="16"/>
      <c r="FR404" s="16"/>
      <c r="FS404" s="16"/>
      <c r="FT404" s="16"/>
      <c r="FU404" s="16"/>
      <c r="FV404" s="16"/>
      <c r="FW404" s="16"/>
      <c r="FX404" s="16">
        <f>IFERROR(__xludf.DUMMYFUNCTION("""COMPUTED_VALUE"""),4.0)</f>
        <v>4</v>
      </c>
      <c r="FY404" s="16"/>
      <c r="FZ404" s="16"/>
      <c r="GA404" s="16"/>
      <c r="GB404" s="16"/>
      <c r="GC404" s="16"/>
      <c r="GD404" s="16" t="s">
        <v>176</v>
      </c>
    </row>
    <row r="405">
      <c r="A405" s="16">
        <f>IFERROR(__xludf.DUMMYFUNCTION("""COMPUTED_VALUE"""),13139.0)</f>
        <v>13139</v>
      </c>
      <c r="B405" s="16" t="str">
        <f>IFERROR(__xludf.DUMMYFUNCTION("""COMPUTED_VALUE"""),"Luis Urias")</f>
        <v>Luis Urias</v>
      </c>
      <c r="C405" s="16">
        <f>IFERROR(__xludf.DUMMYFUNCTION("""COMPUTED_VALUE"""),0.64)</f>
        <v>0.64</v>
      </c>
      <c r="D405" s="16" t="str">
        <f>IFERROR(__xludf.DUMMYFUNCTION("""COMPUTED_VALUE"""),"R")</f>
        <v>R</v>
      </c>
      <c r="E405" s="16"/>
      <c r="F405" s="16"/>
      <c r="G405" s="16">
        <f>IFERROR(__xludf.DUMMYFUNCTION("""COMPUTED_VALUE"""),94.0)</f>
        <v>94</v>
      </c>
      <c r="H405" s="16">
        <f>IFERROR(__xludf.DUMMYFUNCTION("""COMPUTED_VALUE"""),9.0)</f>
        <v>9</v>
      </c>
      <c r="I405" s="16" t="str">
        <f>IFERROR(__xludf.DUMMYFUNCTION("""COMPUTED_VALUE"""),"1p20")</f>
        <v>1p20</v>
      </c>
      <c r="J405" s="16">
        <f>IFERROR(__xludf.DUMMYFUNCTION("""COMPUTED_VALUE"""),40.0)</f>
        <v>40</v>
      </c>
      <c r="K405" s="16">
        <f>IFERROR(__xludf.DUMMYFUNCTION("""COMPUTED_VALUE"""),43.0)</f>
        <v>43</v>
      </c>
      <c r="L405" s="16">
        <f>IFERROR(__xludf.DUMMYFUNCTION("""COMPUTED_VALUE"""),-1.0)</f>
        <v>-1</v>
      </c>
      <c r="M405" s="16">
        <f>IFERROR(__xludf.DUMMYFUNCTION("""COMPUTED_VALUE"""),-2.0)</f>
        <v>-2</v>
      </c>
      <c r="N405" s="16">
        <f>IFERROR(__xludf.DUMMYFUNCTION("""COMPUTED_VALUE"""),-1.0)</f>
        <v>-1</v>
      </c>
      <c r="O405" s="16">
        <f>IFERROR(__xludf.DUMMYFUNCTION("""COMPUTED_VALUE"""),-2.0)</f>
        <v>-2</v>
      </c>
      <c r="P405" s="16">
        <f>IFERROR(__xludf.DUMMYFUNCTION("""COMPUTED_VALUE"""),14.0)</f>
        <v>14</v>
      </c>
      <c r="Q405" s="16">
        <f>IFERROR(__xludf.DUMMYFUNCTION("""COMPUTED_VALUE"""),4.0)</f>
        <v>4</v>
      </c>
      <c r="R405" s="16">
        <f>IFERROR(__xludf.DUMMYFUNCTION("""COMPUTED_VALUE"""),2.0)</f>
        <v>2</v>
      </c>
      <c r="S405" s="16">
        <f>IFERROR(__xludf.DUMMYFUNCTION("""COMPUTED_VALUE"""),-2.0)</f>
        <v>-2</v>
      </c>
      <c r="T405" s="16">
        <f>IFERROR(__xludf.DUMMYFUNCTION("""COMPUTED_VALUE"""),2.0)</f>
        <v>2</v>
      </c>
      <c r="U405" s="16">
        <f>IFERROR(__xludf.DUMMYFUNCTION("""COMPUTED_VALUE"""),-2.0)</f>
        <v>-2</v>
      </c>
      <c r="V405" s="16">
        <f>IFERROR(__xludf.DUMMYFUNCTION("""COMPUTED_VALUE"""),6.4)</f>
        <v>6.4</v>
      </c>
      <c r="W405" s="16">
        <f>IFERROR(__xludf.DUMMYFUNCTION("""COMPUTED_VALUE"""),12.0)</f>
        <v>12</v>
      </c>
      <c r="X405" s="16">
        <f>IFERROR(__xludf.DUMMYFUNCTION("""COMPUTED_VALUE"""),-2.0)</f>
        <v>-2</v>
      </c>
      <c r="Y405" s="16">
        <f>IFERROR(__xludf.DUMMYFUNCTION("""COMPUTED_VALUE"""),-2.0)</f>
        <v>-2</v>
      </c>
      <c r="Z405" s="16">
        <f>IFERROR(__xludf.DUMMYFUNCTION("""COMPUTED_VALUE"""),-4.0)</f>
        <v>-4</v>
      </c>
      <c r="AA405" s="16">
        <f>IFERROR(__xludf.DUMMYFUNCTION("""COMPUTED_VALUE"""),-4.0)</f>
        <v>-4</v>
      </c>
      <c r="AB405" s="16">
        <f>IFERROR(__xludf.DUMMYFUNCTION("""COMPUTED_VALUE"""),32.4)</f>
        <v>32.4</v>
      </c>
      <c r="AC405" s="16">
        <f>IFERROR(__xludf.DUMMYFUNCTION("""COMPUTED_VALUE"""),28.0)</f>
        <v>28</v>
      </c>
      <c r="AD405" s="16">
        <f>IFERROR(__xludf.DUMMYFUNCTION("""COMPUTED_VALUE"""),0.0)</f>
        <v>0</v>
      </c>
      <c r="AE405" s="16">
        <f>IFERROR(__xludf.DUMMYFUNCTION("""COMPUTED_VALUE"""),-1.0)</f>
        <v>-1</v>
      </c>
      <c r="AF405" s="16">
        <f>IFERROR(__xludf.DUMMYFUNCTION("""COMPUTED_VALUE"""),0.0)</f>
        <v>0</v>
      </c>
      <c r="AG405" s="16">
        <f>IFERROR(__xludf.DUMMYFUNCTION("""COMPUTED_VALUE"""),-5.0)</f>
        <v>-5</v>
      </c>
      <c r="AH405" s="16">
        <f>IFERROR(__xludf.DUMMYFUNCTION("""COMPUTED_VALUE"""),21.6)</f>
        <v>21.6</v>
      </c>
      <c r="AI405" s="16">
        <f>IFERROR(__xludf.DUMMYFUNCTION("""COMPUTED_VALUE"""),25.8)</f>
        <v>25.8</v>
      </c>
      <c r="AJ405" s="16">
        <f>IFERROR(__xludf.DUMMYFUNCTION("""COMPUTED_VALUE"""),-1.0)</f>
        <v>-1</v>
      </c>
      <c r="AK405" s="16">
        <f>IFERROR(__xludf.DUMMYFUNCTION("""COMPUTED_VALUE"""),-1.0)</f>
        <v>-1</v>
      </c>
      <c r="AL405" s="16">
        <f>IFERROR(__xludf.DUMMYFUNCTION("""COMPUTED_VALUE"""),-5.0)</f>
        <v>-5</v>
      </c>
      <c r="AM405" s="16">
        <f>IFERROR(__xludf.DUMMYFUNCTION("""COMPUTED_VALUE"""),-5.0)</f>
        <v>-5</v>
      </c>
      <c r="AN405" s="16">
        <f>IFERROR(__xludf.DUMMYFUNCTION("""COMPUTED_VALUE"""),4.4)</f>
        <v>4.4</v>
      </c>
      <c r="AO405" s="16">
        <f>IFERROR(__xludf.DUMMYFUNCTION("""COMPUTED_VALUE"""),0.9)</f>
        <v>0.9</v>
      </c>
      <c r="AP405" s="16">
        <f>IFERROR(__xludf.DUMMYFUNCTION("""COMPUTED_VALUE"""),2.0)</f>
        <v>2</v>
      </c>
      <c r="AQ405" s="16">
        <f>IFERROR(__xludf.DUMMYFUNCTION("""COMPUTED_VALUE"""),-2.0)</f>
        <v>-2</v>
      </c>
      <c r="AR405" s="16">
        <f>IFERROR(__xludf.DUMMYFUNCTION("""COMPUTED_VALUE"""),4.0)</f>
        <v>4</v>
      </c>
      <c r="AS405" s="16">
        <f>IFERROR(__xludf.DUMMYFUNCTION("""COMPUTED_VALUE"""),-4.0)</f>
        <v>-4</v>
      </c>
      <c r="AT405" s="16"/>
      <c r="AU405" s="16"/>
      <c r="AV405" s="16">
        <f>IFERROR(__xludf.DUMMYFUNCTION("""COMPUTED_VALUE"""),8.0)</f>
        <v>8</v>
      </c>
      <c r="AW405" s="16">
        <f>IFERROR(__xludf.DUMMYFUNCTION("""COMPUTED_VALUE"""),0.0)</f>
        <v>0</v>
      </c>
      <c r="AX405" s="16">
        <f>IFERROR(__xludf.DUMMYFUNCTION("""COMPUTED_VALUE"""),3.0)</f>
        <v>3</v>
      </c>
      <c r="AY405" s="16">
        <f>IFERROR(__xludf.DUMMYFUNCTION("""COMPUTED_VALUE"""),-2.0)</f>
        <v>-2</v>
      </c>
      <c r="AZ405" s="16">
        <f>IFERROR(__xludf.DUMMYFUNCTION("""COMPUTED_VALUE"""),9.0)</f>
        <v>9</v>
      </c>
      <c r="BA405" s="16">
        <f>IFERROR(__xludf.DUMMYFUNCTION("""COMPUTED_VALUE"""),-6.0)</f>
        <v>-6</v>
      </c>
      <c r="BB405" s="16">
        <f>IFERROR(__xludf.DUMMYFUNCTION("""COMPUTED_VALUE"""),0.0)</f>
        <v>0</v>
      </c>
      <c r="BC405" s="16">
        <f>IFERROR(__xludf.DUMMYFUNCTION("""COMPUTED_VALUE"""),0.0)</f>
        <v>0</v>
      </c>
      <c r="BD405" s="16">
        <f>IFERROR(__xludf.DUMMYFUNCTION("""COMPUTED_VALUE"""),0.0)</f>
        <v>0</v>
      </c>
      <c r="BE405" s="16">
        <f>IFERROR(__xludf.DUMMYFUNCTION("""COMPUTED_VALUE"""),0.0)</f>
        <v>0</v>
      </c>
      <c r="BF405" s="16">
        <f>IFERROR(__xludf.DUMMYFUNCTION("""COMPUTED_VALUE"""),0.0)</f>
        <v>0</v>
      </c>
      <c r="BG405" s="16">
        <f>IFERROR(__xludf.DUMMYFUNCTION("""COMPUTED_VALUE"""),0.0)</f>
        <v>0</v>
      </c>
      <c r="BH405" s="16">
        <f>IFERROR(__xludf.DUMMYFUNCTION("""COMPUTED_VALUE"""),0.0)</f>
        <v>0</v>
      </c>
      <c r="BI405" s="16">
        <f>IFERROR(__xludf.DUMMYFUNCTION("""COMPUTED_VALUE"""),0.0)</f>
        <v>0</v>
      </c>
      <c r="BJ405" s="16">
        <f>IFERROR(__xludf.DUMMYFUNCTION("""COMPUTED_VALUE"""),10.0)</f>
        <v>10</v>
      </c>
      <c r="BK405" s="16">
        <f>IFERROR(__xludf.DUMMYFUNCTION("""COMPUTED_VALUE"""),15.0)</f>
        <v>15</v>
      </c>
      <c r="BL405" s="16">
        <f>IFERROR(__xludf.DUMMYFUNCTION("""COMPUTED_VALUE"""),0.0)</f>
        <v>0</v>
      </c>
      <c r="BM405" s="16">
        <f>IFERROR(__xludf.DUMMYFUNCTION("""COMPUTED_VALUE"""),-1.0)</f>
        <v>-1</v>
      </c>
      <c r="BN405" s="16">
        <f>IFERROR(__xludf.DUMMYFUNCTION("""COMPUTED_VALUE"""),0.0)</f>
        <v>0</v>
      </c>
      <c r="BO405" s="16">
        <f>IFERROR(__xludf.DUMMYFUNCTION("""COMPUTED_VALUE"""),-2.0)</f>
        <v>-2</v>
      </c>
      <c r="BP405" s="16">
        <f>IFERROR(__xludf.DUMMYFUNCTION("""COMPUTED_VALUE"""),3.0)</f>
        <v>3</v>
      </c>
      <c r="BQ405" s="16">
        <f>IFERROR(__xludf.DUMMYFUNCTION("""COMPUTED_VALUE"""),-13.0)</f>
        <v>-13</v>
      </c>
      <c r="BR405" s="16">
        <f>IFERROR(__xludf.DUMMYFUNCTION("""COMPUTED_VALUE"""),-10.0)</f>
        <v>-10</v>
      </c>
      <c r="BS405" s="16" t="str">
        <f>IFERROR(__xludf.DUMMYFUNCTION("""COMPUTED_VALUE"""),"-/- (---)")</f>
        <v>-/- (---)</v>
      </c>
      <c r="BT405" s="16" t="str">
        <f>IFERROR(__xludf.DUMMYFUNCTION("""COMPUTED_VALUE"""),"E")</f>
        <v>E</v>
      </c>
      <c r="BU405" s="16">
        <f>IFERROR(__xludf.DUMMYFUNCTION("""COMPUTED_VALUE"""),10.0)</f>
        <v>10</v>
      </c>
      <c r="BV405" s="16">
        <f>IFERROR(__xludf.DUMMYFUNCTION("""COMPUTED_VALUE"""),0.0)</f>
        <v>0</v>
      </c>
      <c r="BW405" s="16">
        <f>IFERROR(__xludf.DUMMYFUNCTION("""COMPUTED_VALUE"""),0.0)</f>
        <v>0</v>
      </c>
      <c r="BX405" s="16">
        <f>IFERROR(__xludf.DUMMYFUNCTION("""COMPUTED_VALUE"""),0.0)</f>
        <v>0</v>
      </c>
      <c r="BY405" s="16">
        <f>IFERROR(__xludf.DUMMYFUNCTION("""COMPUTED_VALUE"""),0.0)</f>
        <v>0</v>
      </c>
      <c r="BZ405" s="16" t="str">
        <f>IFERROR(__xludf.DUMMYFUNCTION("""COMPUTED_VALUE"""),"D")</f>
        <v>D</v>
      </c>
      <c r="CA405" s="16" t="str">
        <f>IFERROR(__xludf.DUMMYFUNCTION("""COMPUTED_VALUE"""),"D")</f>
        <v>D</v>
      </c>
      <c r="CB405" s="16">
        <f>IFERROR(__xludf.DUMMYFUNCTION("""COMPUTED_VALUE"""),0.0)</f>
        <v>0</v>
      </c>
      <c r="CC405" s="16">
        <f>IFERROR(__xludf.DUMMYFUNCTION("""COMPUTED_VALUE"""),0.0)</f>
        <v>0</v>
      </c>
      <c r="CD405" s="16">
        <f>IFERROR(__xludf.DUMMYFUNCTION("""COMPUTED_VALUE"""),0.0)</f>
        <v>0</v>
      </c>
      <c r="CE405" s="16">
        <f>IFERROR(__xludf.DUMMYFUNCTION("""COMPUTED_VALUE"""),0.0)</f>
        <v>0</v>
      </c>
      <c r="CF405" s="16">
        <f>IFERROR(__xludf.DUMMYFUNCTION("""COMPUTED_VALUE"""),1.0)</f>
        <v>1</v>
      </c>
      <c r="CG405" s="16">
        <f>IFERROR(__xludf.DUMMYFUNCTION("""COMPUTED_VALUE"""),5.0)</f>
        <v>5</v>
      </c>
      <c r="CH405" s="16">
        <f>IFERROR(__xludf.DUMMYFUNCTION("""COMPUTED_VALUE"""),-30.0)</f>
        <v>-30</v>
      </c>
      <c r="CI405" s="179">
        <f>IFERROR(__xludf.DUMMYFUNCTION("""COMPUTED_VALUE"""),-21.0)</f>
        <v>-21</v>
      </c>
      <c r="CJ405" s="16"/>
      <c r="CK405" s="16"/>
      <c r="CL405" s="16"/>
      <c r="CM405" s="16">
        <f>IFERROR(__xludf.DUMMYFUNCTION("""COMPUTED_VALUE"""),434.0)</f>
        <v>434</v>
      </c>
      <c r="CN405" s="16"/>
      <c r="CO405" s="16"/>
      <c r="CP405" s="16"/>
      <c r="CQ405" s="16"/>
      <c r="CR405" s="16" t="str">
        <f>IFERROR(__xludf.DUMMYFUNCTION("""COMPUTED_VALUE"""),"3b-4e34")</f>
        <v>3b-4e34</v>
      </c>
      <c r="CS405" s="16"/>
      <c r="CT405" s="16"/>
      <c r="CU405" s="16"/>
      <c r="CV405" s="16">
        <f>IFERROR(__xludf.DUMMYFUNCTION("""COMPUTED_VALUE"""),4.0)</f>
        <v>4</v>
      </c>
      <c r="CW405" s="16"/>
      <c r="CX405" s="16"/>
      <c r="CY405" s="16"/>
      <c r="CZ405" s="16"/>
      <c r="DA405" s="16"/>
      <c r="DB405" s="16"/>
      <c r="DC405" s="16"/>
      <c r="DD405" s="16">
        <f>IFERROR(__xludf.DUMMYFUNCTION("""COMPUTED_VALUE"""),34.0)</f>
        <v>34</v>
      </c>
      <c r="DE405" s="16"/>
      <c r="DF405" s="16"/>
      <c r="DG405" s="16"/>
      <c r="DH405" s="16"/>
      <c r="DI405" s="16"/>
      <c r="DJ405" s="16"/>
      <c r="DK405" s="16"/>
      <c r="DL405" s="16">
        <f>IFERROR(__xludf.DUMMYFUNCTION("""COMPUTED_VALUE"""),0.0)</f>
        <v>0</v>
      </c>
      <c r="DM405" s="16"/>
      <c r="DN405" s="16"/>
      <c r="DO405" s="16"/>
      <c r="DP405" s="16"/>
      <c r="DQ405" s="16"/>
      <c r="DR405" s="16"/>
      <c r="DS405" s="16"/>
      <c r="DT405" s="16">
        <f>IFERROR(__xludf.DUMMYFUNCTION("""COMPUTED_VALUE"""),-2.0)</f>
        <v>-2</v>
      </c>
      <c r="DU405" s="16"/>
      <c r="DV405" s="16"/>
      <c r="DW405" s="16"/>
      <c r="DX405" s="16"/>
      <c r="DY405" s="16"/>
      <c r="DZ405" s="16"/>
      <c r="EA405" s="16"/>
      <c r="EB405" s="16">
        <f>IFERROR(__xludf.DUMMYFUNCTION("""COMPUTED_VALUE"""),-2.0)</f>
        <v>-2</v>
      </c>
      <c r="EC405" s="16"/>
      <c r="ED405" s="16"/>
      <c r="EE405" s="16"/>
      <c r="EF405" s="16"/>
      <c r="EG405" s="179"/>
      <c r="EH405" s="179"/>
      <c r="EI405" s="179"/>
      <c r="EJ405" s="179">
        <f>IFERROR(__xludf.DUMMYFUNCTION("""COMPUTED_VALUE"""),-23.0)</f>
        <v>-23</v>
      </c>
      <c r="EK405" s="179"/>
      <c r="EL405" s="179"/>
      <c r="EM405" s="179"/>
      <c r="EN405" s="179"/>
      <c r="EO405" s="16"/>
      <c r="EP405" s="16">
        <f>IFERROR(__xludf.DUMMYFUNCTION("""COMPUTED_VALUE"""),0.0)</f>
        <v>0</v>
      </c>
      <c r="EQ405" s="16">
        <f>IFERROR(__xludf.DUMMYFUNCTION("""COMPUTED_VALUE"""),4.0)</f>
        <v>4</v>
      </c>
      <c r="ER405" s="16">
        <f>IFERROR(__xludf.DUMMYFUNCTION("""COMPUTED_VALUE"""),-4.0)</f>
        <v>-4</v>
      </c>
      <c r="ES405" s="16"/>
      <c r="ET405" s="16"/>
      <c r="EU405" s="16"/>
      <c r="EV405" s="16"/>
      <c r="EW405" s="16"/>
      <c r="EX405" s="180"/>
      <c r="EY405" s="180"/>
      <c r="EZ405" s="180"/>
      <c r="FA405" s="180">
        <f>IFERROR(__xludf.DUMMYFUNCTION("""COMPUTED_VALUE"""),0.3)</f>
        <v>0.3</v>
      </c>
      <c r="FB405" s="180"/>
      <c r="FC405" s="180"/>
      <c r="FD405" s="180"/>
      <c r="FE405" s="180"/>
      <c r="FF405" s="180"/>
      <c r="FG405" s="180"/>
      <c r="FH405" s="180"/>
      <c r="FI405" s="180">
        <f>IFERROR(__xludf.DUMMYFUNCTION("""COMPUTED_VALUE"""),0.4074074074074074)</f>
        <v>0.4074074074</v>
      </c>
      <c r="FJ405" s="180"/>
      <c r="FK405" s="180"/>
      <c r="FL405" s="180"/>
      <c r="FM405" s="180"/>
      <c r="FN405" s="16"/>
      <c r="FO405" s="16"/>
      <c r="FP405" s="16"/>
      <c r="FQ405" s="16">
        <f>IFERROR(__xludf.DUMMYFUNCTION("""COMPUTED_VALUE"""),0.41481481481481475)</f>
        <v>0.4148148148</v>
      </c>
      <c r="FR405" s="16"/>
      <c r="FS405" s="16"/>
      <c r="FT405" s="16"/>
      <c r="FU405" s="16"/>
      <c r="FV405" s="16"/>
      <c r="FW405" s="16"/>
      <c r="FX405" s="16"/>
      <c r="FY405" s="16">
        <f>IFERROR(__xludf.DUMMYFUNCTION("""COMPUTED_VALUE"""),-8.0)</f>
        <v>-8</v>
      </c>
      <c r="FZ405" s="16"/>
      <c r="GA405" s="16"/>
      <c r="GB405" s="16"/>
      <c r="GC405" s="16"/>
      <c r="GD405" s="16" t="s">
        <v>176</v>
      </c>
    </row>
    <row r="406">
      <c r="A406" s="16">
        <f>IFERROR(__xludf.DUMMYFUNCTION("""COMPUTED_VALUE"""),13084.0)</f>
        <v>13084</v>
      </c>
      <c r="B406" s="16" t="str">
        <f>IFERROR(__xludf.DUMMYFUNCTION("""COMPUTED_VALUE"""),"Korey Lee")</f>
        <v>Korey Lee</v>
      </c>
      <c r="C406" s="16">
        <f>IFERROR(__xludf.DUMMYFUNCTION("""COMPUTED_VALUE"""),0.07)</f>
        <v>0.07</v>
      </c>
      <c r="D406" s="16" t="str">
        <f>IFERROR(__xludf.DUMMYFUNCTION("""COMPUTED_VALUE"""),"R")</f>
        <v>R</v>
      </c>
      <c r="E406" s="16"/>
      <c r="F406" s="16"/>
      <c r="G406" s="16">
        <f>IFERROR(__xludf.DUMMYFUNCTION("""COMPUTED_VALUE"""),377.0)</f>
        <v>377</v>
      </c>
      <c r="H406" s="16">
        <f>IFERROR(__xludf.DUMMYFUNCTION("""COMPUTED_VALUE"""),17.0)</f>
        <v>17</v>
      </c>
      <c r="I406" s="16" t="str">
        <f>IFERROR(__xludf.DUMMYFUNCTION("""COMPUTED_VALUE"""),"2p60")</f>
        <v>2p60</v>
      </c>
      <c r="J406" s="16">
        <f>IFERROR(__xludf.DUMMYFUNCTION("""COMPUTED_VALUE"""),39.0)</f>
        <v>39</v>
      </c>
      <c r="K406" s="16">
        <f>IFERROR(__xludf.DUMMYFUNCTION("""COMPUTED_VALUE"""),42.0)</f>
        <v>42</v>
      </c>
      <c r="L406" s="16">
        <f>IFERROR(__xludf.DUMMYFUNCTION("""COMPUTED_VALUE"""),-1.0)</f>
        <v>-1</v>
      </c>
      <c r="M406" s="16">
        <f>IFERROR(__xludf.DUMMYFUNCTION("""COMPUTED_VALUE"""),-2.0)</f>
        <v>-2</v>
      </c>
      <c r="N406" s="16">
        <f>IFERROR(__xludf.DUMMYFUNCTION("""COMPUTED_VALUE"""),-1.0)</f>
        <v>-1</v>
      </c>
      <c r="O406" s="16">
        <f>IFERROR(__xludf.DUMMYFUNCTION("""COMPUTED_VALUE"""),-2.0)</f>
        <v>-2</v>
      </c>
      <c r="P406" s="16">
        <f>IFERROR(__xludf.DUMMYFUNCTION("""COMPUTED_VALUE"""),4.0)</f>
        <v>4</v>
      </c>
      <c r="Q406" s="16">
        <f>IFERROR(__xludf.DUMMYFUNCTION("""COMPUTED_VALUE"""),1.0)</f>
        <v>1</v>
      </c>
      <c r="R406" s="16">
        <f>IFERROR(__xludf.DUMMYFUNCTION("""COMPUTED_VALUE"""),-2.0)</f>
        <v>-2</v>
      </c>
      <c r="S406" s="16">
        <f>IFERROR(__xludf.DUMMYFUNCTION("""COMPUTED_VALUE"""),-2.0)</f>
        <v>-2</v>
      </c>
      <c r="T406" s="16">
        <f>IFERROR(__xludf.DUMMYFUNCTION("""COMPUTED_VALUE"""),-2.0)</f>
        <v>-2</v>
      </c>
      <c r="U406" s="16">
        <f>IFERROR(__xludf.DUMMYFUNCTION("""COMPUTED_VALUE"""),-2.0)</f>
        <v>-2</v>
      </c>
      <c r="V406" s="16">
        <f>IFERROR(__xludf.DUMMYFUNCTION("""COMPUTED_VALUE"""),13.4)</f>
        <v>13.4</v>
      </c>
      <c r="W406" s="16">
        <f>IFERROR(__xludf.DUMMYFUNCTION("""COMPUTED_VALUE"""),15.7)</f>
        <v>15.7</v>
      </c>
      <c r="X406" s="16">
        <f>IFERROR(__xludf.DUMMYFUNCTION("""COMPUTED_VALUE"""),-1.0)</f>
        <v>-1</v>
      </c>
      <c r="Y406" s="16">
        <f>IFERROR(__xludf.DUMMYFUNCTION("""COMPUTED_VALUE"""),-1.0)</f>
        <v>-1</v>
      </c>
      <c r="Z406" s="16">
        <f>IFERROR(__xludf.DUMMYFUNCTION("""COMPUTED_VALUE"""),-2.0)</f>
        <v>-2</v>
      </c>
      <c r="AA406" s="16">
        <f>IFERROR(__xludf.DUMMYFUNCTION("""COMPUTED_VALUE"""),-2.0)</f>
        <v>-2</v>
      </c>
      <c r="AB406" s="16">
        <f>IFERROR(__xludf.DUMMYFUNCTION("""COMPUTED_VALUE"""),17.5)</f>
        <v>17.5</v>
      </c>
      <c r="AC406" s="16">
        <f>IFERROR(__xludf.DUMMYFUNCTION("""COMPUTED_VALUE"""),16.7)</f>
        <v>16.7</v>
      </c>
      <c r="AD406" s="16">
        <f>IFERROR(__xludf.DUMMYFUNCTION("""COMPUTED_VALUE"""),-2.0)</f>
        <v>-2</v>
      </c>
      <c r="AE406" s="16">
        <f>IFERROR(__xludf.DUMMYFUNCTION("""COMPUTED_VALUE"""),-2.0)</f>
        <v>-2</v>
      </c>
      <c r="AF406" s="16">
        <f>IFERROR(__xludf.DUMMYFUNCTION("""COMPUTED_VALUE"""),-10.0)</f>
        <v>-10</v>
      </c>
      <c r="AG406" s="16">
        <f>IFERROR(__xludf.DUMMYFUNCTION("""COMPUTED_VALUE"""),-10.0)</f>
        <v>-10</v>
      </c>
      <c r="AH406" s="16">
        <f>IFERROR(__xludf.DUMMYFUNCTION("""COMPUTED_VALUE"""),19.5)</f>
        <v>19.5</v>
      </c>
      <c r="AI406" s="16">
        <f>IFERROR(__xludf.DUMMYFUNCTION("""COMPUTED_VALUE"""),26.2)</f>
        <v>26.2</v>
      </c>
      <c r="AJ406" s="16">
        <f>IFERROR(__xludf.DUMMYFUNCTION("""COMPUTED_VALUE"""),-1.0)</f>
        <v>-1</v>
      </c>
      <c r="AK406" s="16">
        <f>IFERROR(__xludf.DUMMYFUNCTION("""COMPUTED_VALUE"""),-1.0)</f>
        <v>-1</v>
      </c>
      <c r="AL406" s="16">
        <f>IFERROR(__xludf.DUMMYFUNCTION("""COMPUTED_VALUE"""),-5.0)</f>
        <v>-5</v>
      </c>
      <c r="AM406" s="16">
        <f>IFERROR(__xludf.DUMMYFUNCTION("""COMPUTED_VALUE"""),-5.0)</f>
        <v>-5</v>
      </c>
      <c r="AN406" s="16">
        <f>IFERROR(__xludf.DUMMYFUNCTION("""COMPUTED_VALUE"""),2.0)</f>
        <v>2</v>
      </c>
      <c r="AO406" s="16">
        <f>IFERROR(__xludf.DUMMYFUNCTION("""COMPUTED_VALUE"""),2.0)</f>
        <v>2</v>
      </c>
      <c r="AP406" s="16">
        <f>IFERROR(__xludf.DUMMYFUNCTION("""COMPUTED_VALUE"""),0.0)</f>
        <v>0</v>
      </c>
      <c r="AQ406" s="16">
        <f>IFERROR(__xludf.DUMMYFUNCTION("""COMPUTED_VALUE"""),-1.0)</f>
        <v>-1</v>
      </c>
      <c r="AR406" s="16">
        <f>IFERROR(__xludf.DUMMYFUNCTION("""COMPUTED_VALUE"""),0.0)</f>
        <v>0</v>
      </c>
      <c r="AS406" s="16">
        <f>IFERROR(__xludf.DUMMYFUNCTION("""COMPUTED_VALUE"""),-2.0)</f>
        <v>-2</v>
      </c>
      <c r="AT406" s="16">
        <f>IFERROR(__xludf.DUMMYFUNCTION("""COMPUTED_VALUE"""),2.0)</f>
        <v>2</v>
      </c>
      <c r="AU406" s="16">
        <f>IFERROR(__xludf.DUMMYFUNCTION("""COMPUTED_VALUE"""),3.0)</f>
        <v>3</v>
      </c>
      <c r="AV406" s="16">
        <f>IFERROR(__xludf.DUMMYFUNCTION("""COMPUTED_VALUE"""),2.0)</f>
        <v>2</v>
      </c>
      <c r="AW406" s="16">
        <f>IFERROR(__xludf.DUMMYFUNCTION("""COMPUTED_VALUE"""),3.0)</f>
        <v>3</v>
      </c>
      <c r="AX406" s="16">
        <f>IFERROR(__xludf.DUMMYFUNCTION("""COMPUTED_VALUE"""),0.0)</f>
        <v>0</v>
      </c>
      <c r="AY406" s="16">
        <f>IFERROR(__xludf.DUMMYFUNCTION("""COMPUTED_VALUE"""),0.0)</f>
        <v>0</v>
      </c>
      <c r="AZ406" s="16">
        <f>IFERROR(__xludf.DUMMYFUNCTION("""COMPUTED_VALUE"""),0.0)</f>
        <v>0</v>
      </c>
      <c r="BA406" s="16">
        <f>IFERROR(__xludf.DUMMYFUNCTION("""COMPUTED_VALUE"""),0.0)</f>
        <v>0</v>
      </c>
      <c r="BB406" s="16">
        <f>IFERROR(__xludf.DUMMYFUNCTION("""COMPUTED_VALUE"""),5.0)</f>
        <v>5</v>
      </c>
      <c r="BC406" s="16">
        <f>IFERROR(__xludf.DUMMYFUNCTION("""COMPUTED_VALUE"""),5.0)</f>
        <v>5</v>
      </c>
      <c r="BD406" s="16">
        <f>IFERROR(__xludf.DUMMYFUNCTION("""COMPUTED_VALUE"""),1.0)</f>
        <v>1</v>
      </c>
      <c r="BE406" s="16">
        <f>IFERROR(__xludf.DUMMYFUNCTION("""COMPUTED_VALUE"""),1.0)</f>
        <v>1</v>
      </c>
      <c r="BF406" s="16">
        <f>IFERROR(__xludf.DUMMYFUNCTION("""COMPUTED_VALUE"""),1.0)</f>
        <v>1</v>
      </c>
      <c r="BG406" s="16">
        <f>IFERROR(__xludf.DUMMYFUNCTION("""COMPUTED_VALUE"""),1.0)</f>
        <v>1</v>
      </c>
      <c r="BH406" s="16">
        <f>IFERROR(__xludf.DUMMYFUNCTION("""COMPUTED_VALUE"""),-4.0)</f>
        <v>-4</v>
      </c>
      <c r="BI406" s="16">
        <f>IFERROR(__xludf.DUMMYFUNCTION("""COMPUTED_VALUE"""),-4.0)</f>
        <v>-4</v>
      </c>
      <c r="BJ406" s="16">
        <f>IFERROR(__xludf.DUMMYFUNCTION("""COMPUTED_VALUE"""),23.0)</f>
        <v>23</v>
      </c>
      <c r="BK406" s="16">
        <f>IFERROR(__xludf.DUMMYFUNCTION("""COMPUTED_VALUE"""),23.0)</f>
        <v>23</v>
      </c>
      <c r="BL406" s="16">
        <f>IFERROR(__xludf.DUMMYFUNCTION("""COMPUTED_VALUE"""),-2.0)</f>
        <v>-2</v>
      </c>
      <c r="BM406" s="16">
        <f>IFERROR(__xludf.DUMMYFUNCTION("""COMPUTED_VALUE"""),-2.0)</f>
        <v>-2</v>
      </c>
      <c r="BN406" s="16">
        <f>IFERROR(__xludf.DUMMYFUNCTION("""COMPUTED_VALUE"""),-4.0)</f>
        <v>-4</v>
      </c>
      <c r="BO406" s="16">
        <f>IFERROR(__xludf.DUMMYFUNCTION("""COMPUTED_VALUE"""),-4.0)</f>
        <v>-4</v>
      </c>
      <c r="BP406" s="16">
        <f>IFERROR(__xludf.DUMMYFUNCTION("""COMPUTED_VALUE"""),-8.0)</f>
        <v>-8</v>
      </c>
      <c r="BQ406" s="16">
        <f>IFERROR(__xludf.DUMMYFUNCTION("""COMPUTED_VALUE"""),-10.0)</f>
        <v>-10</v>
      </c>
      <c r="BR406" s="16">
        <f>IFERROR(__xludf.DUMMYFUNCTION("""COMPUTED_VALUE"""),-18.0)</f>
        <v>-18</v>
      </c>
      <c r="BS406" s="16" t="str">
        <f>IFERROR(__xludf.DUMMYFUNCTION("""COMPUTED_VALUE"""),"*3-6/- (15-11)")</f>
        <v>*3-6/- (15-11)</v>
      </c>
      <c r="BT406" s="16" t="str">
        <f>IFERROR(__xludf.DUMMYFUNCTION("""COMPUTED_VALUE"""),"C")</f>
        <v>C</v>
      </c>
      <c r="BU406" s="16">
        <f>IFERROR(__xludf.DUMMYFUNCTION("""COMPUTED_VALUE"""),13.0)</f>
        <v>13</v>
      </c>
      <c r="BV406" s="16">
        <f>IFERROR(__xludf.DUMMYFUNCTION("""COMPUTED_VALUE"""),0.0)</f>
        <v>0</v>
      </c>
      <c r="BW406" s="16">
        <f>IFERROR(__xludf.DUMMYFUNCTION("""COMPUTED_VALUE"""),1.0)</f>
        <v>1</v>
      </c>
      <c r="BX406" s="16">
        <f>IFERROR(__xludf.DUMMYFUNCTION("""COMPUTED_VALUE"""),0.0)</f>
        <v>0</v>
      </c>
      <c r="BY406" s="16">
        <f>IFERROR(__xludf.DUMMYFUNCTION("""COMPUTED_VALUE"""),3.0)</f>
        <v>3</v>
      </c>
      <c r="BZ406" s="16" t="str">
        <f>IFERROR(__xludf.DUMMYFUNCTION("""COMPUTED_VALUE"""),"D")</f>
        <v>D</v>
      </c>
      <c r="CA406" s="16" t="str">
        <f>IFERROR(__xludf.DUMMYFUNCTION("""COMPUTED_VALUE"""),"D")</f>
        <v>D</v>
      </c>
      <c r="CB406" s="16">
        <f>IFERROR(__xludf.DUMMYFUNCTION("""COMPUTED_VALUE"""),0.0)</f>
        <v>0</v>
      </c>
      <c r="CC406" s="16">
        <f>IFERROR(__xludf.DUMMYFUNCTION("""COMPUTED_VALUE"""),0.0)</f>
        <v>0</v>
      </c>
      <c r="CD406" s="16">
        <f>IFERROR(__xludf.DUMMYFUNCTION("""COMPUTED_VALUE"""),0.0)</f>
        <v>0</v>
      </c>
      <c r="CE406" s="16">
        <f>IFERROR(__xludf.DUMMYFUNCTION("""COMPUTED_VALUE"""),0.0)</f>
        <v>0</v>
      </c>
      <c r="CF406" s="16">
        <f>IFERROR(__xludf.DUMMYFUNCTION("""COMPUTED_VALUE"""),2.0)</f>
        <v>2</v>
      </c>
      <c r="CG406" s="16">
        <f>IFERROR(__xludf.DUMMYFUNCTION("""COMPUTED_VALUE"""),-23.0)</f>
        <v>-23</v>
      </c>
      <c r="CH406" s="16">
        <f>IFERROR(__xludf.DUMMYFUNCTION("""COMPUTED_VALUE"""),-26.0)</f>
        <v>-26</v>
      </c>
      <c r="CI406" s="179">
        <f>IFERROR(__xludf.DUMMYFUNCTION("""COMPUTED_VALUE"""),-22.0)</f>
        <v>-22</v>
      </c>
      <c r="CJ406" s="16">
        <f>IFERROR(__xludf.DUMMYFUNCTION("""COMPUTED_VALUE"""),302.0)</f>
        <v>302</v>
      </c>
      <c r="CK406" s="16"/>
      <c r="CL406" s="16"/>
      <c r="CM406" s="16"/>
      <c r="CN406" s="16"/>
      <c r="CO406" s="16"/>
      <c r="CP406" s="16"/>
      <c r="CQ406" s="16"/>
      <c r="CR406" s="16" t="str">
        <f>IFERROR(__xludf.DUMMYFUNCTION("""COMPUTED_VALUE"""),"c-3(-1)e2,T-4(pb-3)")</f>
        <v>c-3(-1)e2,T-4(pb-3)</v>
      </c>
      <c r="CS406" s="16">
        <f>IFERROR(__xludf.DUMMYFUNCTION("""COMPUTED_VALUE"""),3.0)</f>
        <v>3</v>
      </c>
      <c r="CT406" s="16"/>
      <c r="CU406" s="16"/>
      <c r="CV406" s="16"/>
      <c r="CW406" s="16"/>
      <c r="CX406" s="16"/>
      <c r="CY406" s="16"/>
      <c r="CZ406" s="16"/>
      <c r="DA406" s="16">
        <f>IFERROR(__xludf.DUMMYFUNCTION("""COMPUTED_VALUE"""),2.0)</f>
        <v>2</v>
      </c>
      <c r="DB406" s="16"/>
      <c r="DC406" s="16"/>
      <c r="DD406" s="16"/>
      <c r="DE406" s="16"/>
      <c r="DF406" s="16"/>
      <c r="DG406" s="16"/>
      <c r="DH406" s="16"/>
      <c r="DI406" s="16">
        <f>IFERROR(__xludf.DUMMYFUNCTION("""COMPUTED_VALUE"""),0.0)</f>
        <v>0</v>
      </c>
      <c r="DJ406" s="16"/>
      <c r="DK406" s="16"/>
      <c r="DL406" s="16"/>
      <c r="DM406" s="16"/>
      <c r="DN406" s="16"/>
      <c r="DO406" s="16"/>
      <c r="DP406" s="16"/>
      <c r="DQ406" s="16">
        <f>IFERROR(__xludf.DUMMYFUNCTION("""COMPUTED_VALUE"""),4.0)</f>
        <v>4</v>
      </c>
      <c r="DR406" s="16"/>
      <c r="DS406" s="16"/>
      <c r="DT406" s="16"/>
      <c r="DU406" s="16"/>
      <c r="DV406" s="16"/>
      <c r="DW406" s="16"/>
      <c r="DX406" s="16"/>
      <c r="DY406" s="16">
        <f>IFERROR(__xludf.DUMMYFUNCTION("""COMPUTED_VALUE"""),4.0)</f>
        <v>4</v>
      </c>
      <c r="DZ406" s="16"/>
      <c r="EA406" s="16"/>
      <c r="EB406" s="16"/>
      <c r="EC406" s="16"/>
      <c r="ED406" s="16"/>
      <c r="EE406" s="16"/>
      <c r="EF406" s="16"/>
      <c r="EG406" s="179">
        <f>IFERROR(__xludf.DUMMYFUNCTION("""COMPUTED_VALUE"""),-19.0)</f>
        <v>-19</v>
      </c>
      <c r="EH406" s="179"/>
      <c r="EI406" s="179"/>
      <c r="EJ406" s="179"/>
      <c r="EK406" s="179"/>
      <c r="EL406" s="179"/>
      <c r="EM406" s="179"/>
      <c r="EN406" s="179"/>
      <c r="EO406" s="16">
        <f>IFERROR(__xludf.DUMMYFUNCTION("""COMPUTED_VALUE"""),-1.0)</f>
        <v>-1</v>
      </c>
      <c r="EP406" s="16">
        <f>IFERROR(__xludf.DUMMYFUNCTION("""COMPUTED_VALUE"""),-3.0)</f>
        <v>-3</v>
      </c>
      <c r="EQ406" s="16">
        <f>IFERROR(__xludf.DUMMYFUNCTION("""COMPUTED_VALUE"""),2.0)</f>
        <v>2</v>
      </c>
      <c r="ER406" s="16">
        <f>IFERROR(__xludf.DUMMYFUNCTION("""COMPUTED_VALUE"""),1.0)</f>
        <v>1</v>
      </c>
      <c r="ES406" s="16" t="str">
        <f>IFERROR(__xludf.DUMMYFUNCTION("""COMPUTED_VALUE"""),"c-3")</f>
        <v>c-3</v>
      </c>
      <c r="ET406" s="16" t="str">
        <f>IFERROR(__xludf.DUMMYFUNCTION("""COMPUTED_VALUE"""),"-1)e2,T-4")</f>
        <v>-1)e2,T-4</v>
      </c>
      <c r="EU406" s="16" t="str">
        <f>IFERROR(__xludf.DUMMYFUNCTION("""COMPUTED_VALUE"""),"pb-3)")</f>
        <v>pb-3)</v>
      </c>
      <c r="EV406" s="16"/>
      <c r="EW406" s="16">
        <f>IFERROR(__xludf.DUMMYFUNCTION("""COMPUTED_VALUE"""),-1.0)</f>
        <v>-1</v>
      </c>
      <c r="EX406" s="180">
        <f>IFERROR(__xludf.DUMMYFUNCTION("""COMPUTED_VALUE"""),0.2)</f>
        <v>0.2</v>
      </c>
      <c r="EY406" s="180"/>
      <c r="EZ406" s="180"/>
      <c r="FA406" s="180"/>
      <c r="FB406" s="180"/>
      <c r="FC406" s="180"/>
      <c r="FD406" s="180"/>
      <c r="FE406" s="180"/>
      <c r="FF406" s="180">
        <f>IFERROR(__xludf.DUMMYFUNCTION("""COMPUTED_VALUE"""),0.024)</f>
        <v>0.024</v>
      </c>
      <c r="FG406" s="180"/>
      <c r="FH406" s="180"/>
      <c r="FI406" s="180"/>
      <c r="FJ406" s="180"/>
      <c r="FK406" s="180"/>
      <c r="FL406" s="180"/>
      <c r="FM406" s="180"/>
      <c r="FN406" s="16">
        <f>IFERROR(__xludf.DUMMYFUNCTION("""COMPUTED_VALUE"""),0.7808)</f>
        <v>0.7808</v>
      </c>
      <c r="FO406" s="16"/>
      <c r="FP406" s="16"/>
      <c r="FQ406" s="16"/>
      <c r="FR406" s="16"/>
      <c r="FS406" s="16"/>
      <c r="FT406" s="16"/>
      <c r="FU406" s="16"/>
      <c r="FV406" s="16">
        <f>IFERROR(__xludf.DUMMYFUNCTION("""COMPUTED_VALUE"""),0.0)</f>
        <v>0</v>
      </c>
      <c r="FW406" s="16"/>
      <c r="FX406" s="16"/>
      <c r="FY406" s="16"/>
      <c r="FZ406" s="16"/>
      <c r="GA406" s="16"/>
      <c r="GB406" s="16"/>
      <c r="GC406" s="16"/>
      <c r="GD406" s="16" t="s">
        <v>292</v>
      </c>
    </row>
    <row r="407">
      <c r="A407" s="16">
        <f>IFERROR(__xludf.DUMMYFUNCTION("""COMPUTED_VALUE"""),13089.0)</f>
        <v>13089</v>
      </c>
      <c r="B407" s="16" t="str">
        <f>IFERROR(__xludf.DUMMYFUNCTION("""COMPUTED_VALUE"""),"Kyle Farmer")</f>
        <v>Kyle Farmer</v>
      </c>
      <c r="C407" s="16">
        <f>IFERROR(__xludf.DUMMYFUNCTION("""COMPUTED_VALUE"""),0.0)</f>
        <v>0</v>
      </c>
      <c r="D407" s="16" t="str">
        <f>IFERROR(__xludf.DUMMYFUNCTION("""COMPUTED_VALUE"""),"R")</f>
        <v>R</v>
      </c>
      <c r="E407" s="16"/>
      <c r="F407" s="16"/>
      <c r="G407" s="16">
        <f>IFERROR(__xludf.DUMMYFUNCTION("""COMPUTED_VALUE"""),215.0)</f>
        <v>215</v>
      </c>
      <c r="H407" s="16">
        <f>IFERROR(__xludf.DUMMYFUNCTION("""COMPUTED_VALUE"""),19.0)</f>
        <v>19</v>
      </c>
      <c r="I407" s="16" t="str">
        <f>IFERROR(__xludf.DUMMYFUNCTION("""COMPUTED_VALUE"""),"2p50")</f>
        <v>2p50</v>
      </c>
      <c r="J407" s="16">
        <f>IFERROR(__xludf.DUMMYFUNCTION("""COMPUTED_VALUE"""),16.0)</f>
        <v>16</v>
      </c>
      <c r="K407" s="16">
        <f>IFERROR(__xludf.DUMMYFUNCTION("""COMPUTED_VALUE"""),22.0)</f>
        <v>22</v>
      </c>
      <c r="L407" s="16">
        <f>IFERROR(__xludf.DUMMYFUNCTION("""COMPUTED_VALUE"""),1.0)</f>
        <v>1</v>
      </c>
      <c r="M407" s="16">
        <f>IFERROR(__xludf.DUMMYFUNCTION("""COMPUTED_VALUE"""),0.0)</f>
        <v>0</v>
      </c>
      <c r="N407" s="16">
        <f>IFERROR(__xludf.DUMMYFUNCTION("""COMPUTED_VALUE"""),1.0)</f>
        <v>1</v>
      </c>
      <c r="O407" s="16">
        <f>IFERROR(__xludf.DUMMYFUNCTION("""COMPUTED_VALUE"""),0.0)</f>
        <v>0</v>
      </c>
      <c r="P407" s="16">
        <f>IFERROR(__xludf.DUMMYFUNCTION("""COMPUTED_VALUE"""),4.0)</f>
        <v>4</v>
      </c>
      <c r="Q407" s="16">
        <f>IFERROR(__xludf.DUMMYFUNCTION("""COMPUTED_VALUE"""),12.0)</f>
        <v>12</v>
      </c>
      <c r="R407" s="16">
        <f>IFERROR(__xludf.DUMMYFUNCTION("""COMPUTED_VALUE"""),-2.0)</f>
        <v>-2</v>
      </c>
      <c r="S407" s="16">
        <f>IFERROR(__xludf.DUMMYFUNCTION("""COMPUTED_VALUE"""),1.0)</f>
        <v>1</v>
      </c>
      <c r="T407" s="16">
        <f>IFERROR(__xludf.DUMMYFUNCTION("""COMPUTED_VALUE"""),-2.0)</f>
        <v>-2</v>
      </c>
      <c r="U407" s="16">
        <f>IFERROR(__xludf.DUMMYFUNCTION("""COMPUTED_VALUE"""),1.0)</f>
        <v>1</v>
      </c>
      <c r="V407" s="16">
        <f>IFERROR(__xludf.DUMMYFUNCTION("""COMPUTED_VALUE"""),21.9)</f>
        <v>21.9</v>
      </c>
      <c r="W407" s="16">
        <f>IFERROR(__xludf.DUMMYFUNCTION("""COMPUTED_VALUE"""),7.8)</f>
        <v>7.8</v>
      </c>
      <c r="X407" s="16">
        <f>IFERROR(__xludf.DUMMYFUNCTION("""COMPUTED_VALUE"""),0.0)</f>
        <v>0</v>
      </c>
      <c r="Y407" s="16">
        <f>IFERROR(__xludf.DUMMYFUNCTION("""COMPUTED_VALUE"""),-2.0)</f>
        <v>-2</v>
      </c>
      <c r="Z407" s="16">
        <f>IFERROR(__xludf.DUMMYFUNCTION("""COMPUTED_VALUE"""),0.0)</f>
        <v>0</v>
      </c>
      <c r="AA407" s="16">
        <f>IFERROR(__xludf.DUMMYFUNCTION("""COMPUTED_VALUE"""),-4.0)</f>
        <v>-4</v>
      </c>
      <c r="AB407" s="16">
        <f>IFERROR(__xludf.DUMMYFUNCTION("""COMPUTED_VALUE"""),31.9)</f>
        <v>31.9</v>
      </c>
      <c r="AC407" s="16">
        <f>IFERROR(__xludf.DUMMYFUNCTION("""COMPUTED_VALUE"""),25.9)</f>
        <v>25.9</v>
      </c>
      <c r="AD407" s="16">
        <f>IFERROR(__xludf.DUMMYFUNCTION("""COMPUTED_VALUE"""),0.0)</f>
        <v>0</v>
      </c>
      <c r="AE407" s="16">
        <f>IFERROR(__xludf.DUMMYFUNCTION("""COMPUTED_VALUE"""),-1.0)</f>
        <v>-1</v>
      </c>
      <c r="AF407" s="16">
        <f>IFERROR(__xludf.DUMMYFUNCTION("""COMPUTED_VALUE"""),0.0)</f>
        <v>0</v>
      </c>
      <c r="AG407" s="16">
        <f>IFERROR(__xludf.DUMMYFUNCTION("""COMPUTED_VALUE"""),-5.0)</f>
        <v>-5</v>
      </c>
      <c r="AH407" s="16">
        <f>IFERROR(__xludf.DUMMYFUNCTION("""COMPUTED_VALUE"""),34.2)</f>
        <v>34.2</v>
      </c>
      <c r="AI407" s="16">
        <f>IFERROR(__xludf.DUMMYFUNCTION("""COMPUTED_VALUE"""),16.5)</f>
        <v>16.5</v>
      </c>
      <c r="AJ407" s="16">
        <f>IFERROR(__xludf.DUMMYFUNCTION("""COMPUTED_VALUE"""),0.0)</f>
        <v>0</v>
      </c>
      <c r="AK407" s="16">
        <f>IFERROR(__xludf.DUMMYFUNCTION("""COMPUTED_VALUE"""),-2.0)</f>
        <v>-2</v>
      </c>
      <c r="AL407" s="16">
        <f>IFERROR(__xludf.DUMMYFUNCTION("""COMPUTED_VALUE"""),0.0)</f>
        <v>0</v>
      </c>
      <c r="AM407" s="16">
        <f>IFERROR(__xludf.DUMMYFUNCTION("""COMPUTED_VALUE"""),-10.0)</f>
        <v>-10</v>
      </c>
      <c r="AN407" s="16">
        <f>IFERROR(__xludf.DUMMYFUNCTION("""COMPUTED_VALUE"""),1.3)</f>
        <v>1.3</v>
      </c>
      <c r="AO407" s="16">
        <f>IFERROR(__xludf.DUMMYFUNCTION("""COMPUTED_VALUE"""),0.6)</f>
        <v>0.6</v>
      </c>
      <c r="AP407" s="16">
        <f>IFERROR(__xludf.DUMMYFUNCTION("""COMPUTED_VALUE"""),-1.0)</f>
        <v>-1</v>
      </c>
      <c r="AQ407" s="16">
        <f>IFERROR(__xludf.DUMMYFUNCTION("""COMPUTED_VALUE"""),-2.0)</f>
        <v>-2</v>
      </c>
      <c r="AR407" s="16">
        <f>IFERROR(__xludf.DUMMYFUNCTION("""COMPUTED_VALUE"""),-2.0)</f>
        <v>-2</v>
      </c>
      <c r="AS407" s="16">
        <f>IFERROR(__xludf.DUMMYFUNCTION("""COMPUTED_VALUE"""),-4.0)</f>
        <v>-4</v>
      </c>
      <c r="AT407" s="16">
        <f>IFERROR(__xludf.DUMMYFUNCTION("""COMPUTED_VALUE"""),2.0)</f>
        <v>2</v>
      </c>
      <c r="AU407" s="16"/>
      <c r="AV407" s="16">
        <f>IFERROR(__xludf.DUMMYFUNCTION("""COMPUTED_VALUE"""),2.0)</f>
        <v>2</v>
      </c>
      <c r="AW407" s="16">
        <f>IFERROR(__xludf.DUMMYFUNCTION("""COMPUTED_VALUE"""),0.0)</f>
        <v>0</v>
      </c>
      <c r="AX407" s="16">
        <f>IFERROR(__xludf.DUMMYFUNCTION("""COMPUTED_VALUE"""),0.0)</f>
        <v>0</v>
      </c>
      <c r="AY407" s="16">
        <f>IFERROR(__xludf.DUMMYFUNCTION("""COMPUTED_VALUE"""),-2.0)</f>
        <v>-2</v>
      </c>
      <c r="AZ407" s="16">
        <f>IFERROR(__xludf.DUMMYFUNCTION("""COMPUTED_VALUE"""),0.0)</f>
        <v>0</v>
      </c>
      <c r="BA407" s="16">
        <f>IFERROR(__xludf.DUMMYFUNCTION("""COMPUTED_VALUE"""),-6.0)</f>
        <v>-6</v>
      </c>
      <c r="BB407" s="16">
        <f>IFERROR(__xludf.DUMMYFUNCTION("""COMPUTED_VALUE"""),5.0)</f>
        <v>5</v>
      </c>
      <c r="BC407" s="16">
        <f>IFERROR(__xludf.DUMMYFUNCTION("""COMPUTED_VALUE"""),0.0)</f>
        <v>0</v>
      </c>
      <c r="BD407" s="16">
        <f>IFERROR(__xludf.DUMMYFUNCTION("""COMPUTED_VALUE"""),1.0)</f>
        <v>1</v>
      </c>
      <c r="BE407" s="16">
        <f>IFERROR(__xludf.DUMMYFUNCTION("""COMPUTED_VALUE"""),0.0)</f>
        <v>0</v>
      </c>
      <c r="BF407" s="16">
        <f>IFERROR(__xludf.DUMMYFUNCTION("""COMPUTED_VALUE"""),1.0)</f>
        <v>1</v>
      </c>
      <c r="BG407" s="16">
        <f>IFERROR(__xludf.DUMMYFUNCTION("""COMPUTED_VALUE"""),0.0)</f>
        <v>0</v>
      </c>
      <c r="BH407" s="16">
        <f>IFERROR(__xludf.DUMMYFUNCTION("""COMPUTED_VALUE"""),1.0)</f>
        <v>1</v>
      </c>
      <c r="BI407" s="16">
        <f>IFERROR(__xludf.DUMMYFUNCTION("""COMPUTED_VALUE"""),0.0)</f>
        <v>0</v>
      </c>
      <c r="BJ407" s="16">
        <f>IFERROR(__xludf.DUMMYFUNCTION("""COMPUTED_VALUE"""),20.0)</f>
        <v>20</v>
      </c>
      <c r="BK407" s="16">
        <f>IFERROR(__xludf.DUMMYFUNCTION("""COMPUTED_VALUE"""),17.0)</f>
        <v>17</v>
      </c>
      <c r="BL407" s="16">
        <f>IFERROR(__xludf.DUMMYFUNCTION("""COMPUTED_VALUE"""),-2.0)</f>
        <v>-2</v>
      </c>
      <c r="BM407" s="16">
        <f>IFERROR(__xludf.DUMMYFUNCTION("""COMPUTED_VALUE"""),-1.0)</f>
        <v>-1</v>
      </c>
      <c r="BN407" s="16">
        <f>IFERROR(__xludf.DUMMYFUNCTION("""COMPUTED_VALUE"""),-4.0)</f>
        <v>-4</v>
      </c>
      <c r="BO407" s="16">
        <f>IFERROR(__xludf.DUMMYFUNCTION("""COMPUTED_VALUE"""),-2.0)</f>
        <v>-2</v>
      </c>
      <c r="BP407" s="16">
        <f>IFERROR(__xludf.DUMMYFUNCTION("""COMPUTED_VALUE"""),-3.0)</f>
        <v>-3</v>
      </c>
      <c r="BQ407" s="16">
        <f>IFERROR(__xludf.DUMMYFUNCTION("""COMPUTED_VALUE"""),-9.0)</f>
        <v>-9</v>
      </c>
      <c r="BR407" s="16">
        <f>IFERROR(__xludf.DUMMYFUNCTION("""COMPUTED_VALUE"""),-12.0)</f>
        <v>-12</v>
      </c>
      <c r="BS407" s="16" t="str">
        <f>IFERROR(__xludf.DUMMYFUNCTION("""COMPUTED_VALUE"""),"*2-6,11,12/7,8,10 (15-6)")</f>
        <v>*2-6,11,12/7,8,10 (15-6)</v>
      </c>
      <c r="BT407" s="16" t="str">
        <f>IFERROR(__xludf.DUMMYFUNCTION("""COMPUTED_VALUE"""),"D")</f>
        <v>D</v>
      </c>
      <c r="BU407" s="16">
        <f>IFERROR(__xludf.DUMMYFUNCTION("""COMPUTED_VALUE"""),12.0)</f>
        <v>12</v>
      </c>
      <c r="BV407" s="16">
        <f>IFERROR(__xludf.DUMMYFUNCTION("""COMPUTED_VALUE"""),0.0)</f>
        <v>0</v>
      </c>
      <c r="BW407" s="16">
        <f>IFERROR(__xludf.DUMMYFUNCTION("""COMPUTED_VALUE"""),0.0)</f>
        <v>0</v>
      </c>
      <c r="BX407" s="16">
        <f>IFERROR(__xludf.DUMMYFUNCTION("""COMPUTED_VALUE"""),0.0)</f>
        <v>0</v>
      </c>
      <c r="BY407" s="16">
        <f>IFERROR(__xludf.DUMMYFUNCTION("""COMPUTED_VALUE"""),0.0)</f>
        <v>0</v>
      </c>
      <c r="BZ407" s="16" t="str">
        <f>IFERROR(__xludf.DUMMYFUNCTION("""COMPUTED_VALUE"""),"D")</f>
        <v>D</v>
      </c>
      <c r="CA407" s="16" t="str">
        <f>IFERROR(__xludf.DUMMYFUNCTION("""COMPUTED_VALUE"""),"D")</f>
        <v>D</v>
      </c>
      <c r="CB407" s="16">
        <f>IFERROR(__xludf.DUMMYFUNCTION("""COMPUTED_VALUE"""),0.0)</f>
        <v>0</v>
      </c>
      <c r="CC407" s="16">
        <f>IFERROR(__xludf.DUMMYFUNCTION("""COMPUTED_VALUE"""),0.0)</f>
        <v>0</v>
      </c>
      <c r="CD407" s="16">
        <f>IFERROR(__xludf.DUMMYFUNCTION("""COMPUTED_VALUE"""),0.0)</f>
        <v>0</v>
      </c>
      <c r="CE407" s="16">
        <f>IFERROR(__xludf.DUMMYFUNCTION("""COMPUTED_VALUE"""),0.0)</f>
        <v>0</v>
      </c>
      <c r="CF407" s="16">
        <f>IFERROR(__xludf.DUMMYFUNCTION("""COMPUTED_VALUE"""),2.0)</f>
        <v>2</v>
      </c>
      <c r="CG407" s="16">
        <f>IFERROR(__xludf.DUMMYFUNCTION("""COMPUTED_VALUE"""),-6.0)</f>
        <v>-6</v>
      </c>
      <c r="CH407" s="16">
        <f>IFERROR(__xludf.DUMMYFUNCTION("""COMPUTED_VALUE"""),-30.0)</f>
        <v>-30</v>
      </c>
      <c r="CI407" s="179">
        <f>IFERROR(__xludf.DUMMYFUNCTION("""COMPUTED_VALUE"""),-22.0)</f>
        <v>-22</v>
      </c>
      <c r="CJ407" s="16"/>
      <c r="CK407" s="16">
        <f>IFERROR(__xludf.DUMMYFUNCTION("""COMPUTED_VALUE"""),418.0)</f>
        <v>418</v>
      </c>
      <c r="CL407" s="16">
        <f>IFERROR(__xludf.DUMMYFUNCTION("""COMPUTED_VALUE"""),308.0)</f>
        <v>308</v>
      </c>
      <c r="CM407" s="16">
        <f>IFERROR(__xludf.DUMMYFUNCTION("""COMPUTED_VALUE"""),312.0)</f>
        <v>312</v>
      </c>
      <c r="CN407" s="16">
        <f>IFERROR(__xludf.DUMMYFUNCTION("""COMPUTED_VALUE"""),406.0)</f>
        <v>406</v>
      </c>
      <c r="CO407" s="16"/>
      <c r="CP407" s="16"/>
      <c r="CQ407" s="16"/>
      <c r="CR407" s="16" t="str">
        <f>IFERROR(__xludf.DUMMYFUNCTION("""COMPUTED_VALUE"""),"2b-3e8 3b-3e12 ss-4e6 1b-4e18")</f>
        <v>2b-3e8 3b-3e12 ss-4e6 1b-4e18</v>
      </c>
      <c r="CS407" s="16"/>
      <c r="CT407" s="16">
        <f>IFERROR(__xludf.DUMMYFUNCTION("""COMPUTED_VALUE"""),4.0)</f>
        <v>4</v>
      </c>
      <c r="CU407" s="16">
        <f>IFERROR(__xludf.DUMMYFUNCTION("""COMPUTED_VALUE"""),3.0)</f>
        <v>3</v>
      </c>
      <c r="CV407" s="16">
        <f>IFERROR(__xludf.DUMMYFUNCTION("""COMPUTED_VALUE"""),3.0)</f>
        <v>3</v>
      </c>
      <c r="CW407" s="16">
        <f>IFERROR(__xludf.DUMMYFUNCTION("""COMPUTED_VALUE"""),4.0)</f>
        <v>4</v>
      </c>
      <c r="CX407" s="16"/>
      <c r="CY407" s="16"/>
      <c r="CZ407" s="16"/>
      <c r="DA407" s="16"/>
      <c r="DB407" s="16">
        <f>IFERROR(__xludf.DUMMYFUNCTION("""COMPUTED_VALUE"""),18.0)</f>
        <v>18</v>
      </c>
      <c r="DC407" s="16">
        <f>IFERROR(__xludf.DUMMYFUNCTION("""COMPUTED_VALUE"""),8.0)</f>
        <v>8</v>
      </c>
      <c r="DD407" s="16">
        <f>IFERROR(__xludf.DUMMYFUNCTION("""COMPUTED_VALUE"""),12.0)</f>
        <v>12</v>
      </c>
      <c r="DE407" s="16">
        <f>IFERROR(__xludf.DUMMYFUNCTION("""COMPUTED_VALUE"""),6.0)</f>
        <v>6</v>
      </c>
      <c r="DF407" s="16"/>
      <c r="DG407" s="16"/>
      <c r="DH407" s="16"/>
      <c r="DI407" s="16"/>
      <c r="DJ407" s="16">
        <f>IFERROR(__xludf.DUMMYFUNCTION("""COMPUTED_VALUE"""),0.0)</f>
        <v>0</v>
      </c>
      <c r="DK407" s="16">
        <f>IFERROR(__xludf.DUMMYFUNCTION("""COMPUTED_VALUE"""),0.0)</f>
        <v>0</v>
      </c>
      <c r="DL407" s="16">
        <f>IFERROR(__xludf.DUMMYFUNCTION("""COMPUTED_VALUE"""),1.0)</f>
        <v>1</v>
      </c>
      <c r="DM407" s="16">
        <f>IFERROR(__xludf.DUMMYFUNCTION("""COMPUTED_VALUE"""),-2.0)</f>
        <v>-2</v>
      </c>
      <c r="DN407" s="16"/>
      <c r="DO407" s="16"/>
      <c r="DP407" s="16"/>
      <c r="DQ407" s="16"/>
      <c r="DR407" s="16">
        <f>IFERROR(__xludf.DUMMYFUNCTION("""COMPUTED_VALUE"""),0.0)</f>
        <v>0</v>
      </c>
      <c r="DS407" s="16">
        <f>IFERROR(__xludf.DUMMYFUNCTION("""COMPUTED_VALUE"""),3.0)</f>
        <v>3</v>
      </c>
      <c r="DT407" s="16">
        <f>IFERROR(__xludf.DUMMYFUNCTION("""COMPUTED_VALUE"""),1.0)</f>
        <v>1</v>
      </c>
      <c r="DU407" s="16">
        <f>IFERROR(__xludf.DUMMYFUNCTION("""COMPUTED_VALUE"""),3.0)</f>
        <v>3</v>
      </c>
      <c r="DV407" s="16"/>
      <c r="DW407" s="16"/>
      <c r="DX407" s="16"/>
      <c r="DY407" s="16"/>
      <c r="DZ407" s="16">
        <f>IFERROR(__xludf.DUMMYFUNCTION("""COMPUTED_VALUE"""),0.0)</f>
        <v>0</v>
      </c>
      <c r="EA407" s="16">
        <f>IFERROR(__xludf.DUMMYFUNCTION("""COMPUTED_VALUE"""),3.0)</f>
        <v>3</v>
      </c>
      <c r="EB407" s="16">
        <f>IFERROR(__xludf.DUMMYFUNCTION("""COMPUTED_VALUE"""),2.0)</f>
        <v>2</v>
      </c>
      <c r="EC407" s="16">
        <f>IFERROR(__xludf.DUMMYFUNCTION("""COMPUTED_VALUE"""),1.0)</f>
        <v>1</v>
      </c>
      <c r="ED407" s="16"/>
      <c r="EE407" s="16"/>
      <c r="EF407" s="16"/>
      <c r="EG407" s="179"/>
      <c r="EH407" s="179">
        <f>IFERROR(__xludf.DUMMYFUNCTION("""COMPUTED_VALUE"""),-22.0)</f>
        <v>-22</v>
      </c>
      <c r="EI407" s="179">
        <f>IFERROR(__xludf.DUMMYFUNCTION("""COMPUTED_VALUE"""),-19.0)</f>
        <v>-19</v>
      </c>
      <c r="EJ407" s="179">
        <f>IFERROR(__xludf.DUMMYFUNCTION("""COMPUTED_VALUE"""),-20.0)</f>
        <v>-20</v>
      </c>
      <c r="EK407" s="179">
        <f>IFERROR(__xludf.DUMMYFUNCTION("""COMPUTED_VALUE"""),-21.0)</f>
        <v>-21</v>
      </c>
      <c r="EL407" s="179"/>
      <c r="EM407" s="179"/>
      <c r="EN407" s="179"/>
      <c r="EO407" s="16"/>
      <c r="EP407" s="16"/>
      <c r="EQ407" s="16">
        <f>IFERROR(__xludf.DUMMYFUNCTION("""COMPUTED_VALUE"""),2.0)</f>
        <v>2</v>
      </c>
      <c r="ER407" s="16">
        <f>IFERROR(__xludf.DUMMYFUNCTION("""COMPUTED_VALUE"""),0.0)</f>
        <v>0</v>
      </c>
      <c r="ES407" s="16"/>
      <c r="ET407" s="16"/>
      <c r="EU407" s="16"/>
      <c r="EV407" s="16"/>
      <c r="EW407" s="16"/>
      <c r="EX407" s="180"/>
      <c r="EY407" s="180">
        <f>IFERROR(__xludf.DUMMYFUNCTION("""COMPUTED_VALUE"""),0.3)</f>
        <v>0.3</v>
      </c>
      <c r="EZ407" s="180">
        <f>IFERROR(__xludf.DUMMYFUNCTION("""COMPUTED_VALUE"""),0.2)</f>
        <v>0.2</v>
      </c>
      <c r="FA407" s="180">
        <f>IFERROR(__xludf.DUMMYFUNCTION("""COMPUTED_VALUE"""),0.2)</f>
        <v>0.2</v>
      </c>
      <c r="FB407" s="180">
        <f>IFERROR(__xludf.DUMMYFUNCTION("""COMPUTED_VALUE"""),0.3)</f>
        <v>0.3</v>
      </c>
      <c r="FC407" s="180"/>
      <c r="FD407" s="180"/>
      <c r="FE407" s="180"/>
      <c r="FF407" s="180"/>
      <c r="FG407" s="180">
        <f>IFERROR(__xludf.DUMMYFUNCTION("""COMPUTED_VALUE"""),0.32407407407407407)</f>
        <v>0.3240740741</v>
      </c>
      <c r="FH407" s="180">
        <f>IFERROR(__xludf.DUMMYFUNCTION("""COMPUTED_VALUE"""),0.046296296296296294)</f>
        <v>0.0462962963</v>
      </c>
      <c r="FI407" s="180">
        <f>IFERROR(__xludf.DUMMYFUNCTION("""COMPUTED_VALUE"""),0.14351851851851852)</f>
        <v>0.1435185185</v>
      </c>
      <c r="FJ407" s="180">
        <f>IFERROR(__xludf.DUMMYFUNCTION("""COMPUTED_VALUE"""),0.032407407407407406)</f>
        <v>0.03240740741</v>
      </c>
      <c r="FK407" s="180"/>
      <c r="FL407" s="180"/>
      <c r="FM407" s="180"/>
      <c r="FN407" s="16"/>
      <c r="FO407" s="16">
        <f>IFERROR(__xludf.DUMMYFUNCTION("""COMPUTED_VALUE"""),0.4731481481481481)</f>
        <v>0.4731481481</v>
      </c>
      <c r="FP407" s="16">
        <f>IFERROR(__xludf.DUMMYFUNCTION("""COMPUTED_VALUE"""),0.7629629629629631)</f>
        <v>0.762962963</v>
      </c>
      <c r="FQ407" s="16">
        <f>IFERROR(__xludf.DUMMYFUNCTION("""COMPUTED_VALUE"""),0.6851851851851852)</f>
        <v>0.6851851852</v>
      </c>
      <c r="FR407" s="16">
        <f>IFERROR(__xludf.DUMMYFUNCTION("""COMPUTED_VALUE"""),0.6773148148148147)</f>
        <v>0.6773148148</v>
      </c>
      <c r="FS407" s="16"/>
      <c r="FT407" s="16"/>
      <c r="FU407" s="16"/>
      <c r="FV407" s="16"/>
      <c r="FW407" s="16">
        <f>IFERROR(__xludf.DUMMYFUNCTION("""COMPUTED_VALUE"""),-8.0)</f>
        <v>-8</v>
      </c>
      <c r="FX407" s="16">
        <f>IFERROR(__xludf.DUMMYFUNCTION("""COMPUTED_VALUE"""),-1.0)</f>
        <v>-1</v>
      </c>
      <c r="FY407" s="16">
        <f>IFERROR(__xludf.DUMMYFUNCTION("""COMPUTED_VALUE"""),-4.0)</f>
        <v>-4</v>
      </c>
      <c r="FZ407" s="16">
        <f>IFERROR(__xludf.DUMMYFUNCTION("""COMPUTED_VALUE"""),-4.0)</f>
        <v>-4</v>
      </c>
      <c r="GA407" s="16"/>
      <c r="GB407" s="16"/>
      <c r="GC407" s="16"/>
      <c r="GD407" s="16" t="s">
        <v>361</v>
      </c>
    </row>
    <row r="408">
      <c r="A408" s="16">
        <f>IFERROR(__xludf.DUMMYFUNCTION("""COMPUTED_VALUE"""),12567.0)</f>
        <v>12567</v>
      </c>
      <c r="B408" s="16" t="str">
        <f>IFERROR(__xludf.DUMMYFUNCTION("""COMPUTED_VALUE"""),"Austin Slater")</f>
        <v>Austin Slater</v>
      </c>
      <c r="C408" s="16">
        <f>IFERROR(__xludf.DUMMYFUNCTION("""COMPUTED_VALUE"""),0.0)</f>
        <v>0</v>
      </c>
      <c r="D408" s="16" t="str">
        <f>IFERROR(__xludf.DUMMYFUNCTION("""COMPUTED_VALUE"""),"R")</f>
        <v>R</v>
      </c>
      <c r="E408" s="16"/>
      <c r="F408" s="16"/>
      <c r="G408" s="16">
        <f>IFERROR(__xludf.DUMMYFUNCTION("""COMPUTED_VALUE"""),177.0)</f>
        <v>177</v>
      </c>
      <c r="H408" s="16">
        <f>IFERROR(__xludf.DUMMYFUNCTION("""COMPUTED_VALUE"""),26.0)</f>
        <v>26</v>
      </c>
      <c r="I408" s="16" t="str">
        <f>IFERROR(__xludf.DUMMYFUNCTION("""COMPUTED_VALUE"""),"2p40")</f>
        <v>2p40</v>
      </c>
      <c r="J408" s="16">
        <f>IFERROR(__xludf.DUMMYFUNCTION("""COMPUTED_VALUE"""),34.0)</f>
        <v>34</v>
      </c>
      <c r="K408" s="16">
        <f>IFERROR(__xludf.DUMMYFUNCTION("""COMPUTED_VALUE"""),45.0)</f>
        <v>45</v>
      </c>
      <c r="L408" s="16">
        <f>IFERROR(__xludf.DUMMYFUNCTION("""COMPUTED_VALUE"""),-1.0)</f>
        <v>-1</v>
      </c>
      <c r="M408" s="16">
        <f>IFERROR(__xludf.DUMMYFUNCTION("""COMPUTED_VALUE"""),-2.0)</f>
        <v>-2</v>
      </c>
      <c r="N408" s="16">
        <f>IFERROR(__xludf.DUMMYFUNCTION("""COMPUTED_VALUE"""),-1.0)</f>
        <v>-1</v>
      </c>
      <c r="O408" s="16">
        <f>IFERROR(__xludf.DUMMYFUNCTION("""COMPUTED_VALUE"""),-2.0)</f>
        <v>-2</v>
      </c>
      <c r="P408" s="16">
        <f>IFERROR(__xludf.DUMMYFUNCTION("""COMPUTED_VALUE"""),22.0)</f>
        <v>22</v>
      </c>
      <c r="Q408" s="16">
        <f>IFERROR(__xludf.DUMMYFUNCTION("""COMPUTED_VALUE"""),12.0)</f>
        <v>12</v>
      </c>
      <c r="R408" s="16">
        <f>IFERROR(__xludf.DUMMYFUNCTION("""COMPUTED_VALUE"""),3.0)</f>
        <v>3</v>
      </c>
      <c r="S408" s="16">
        <f>IFERROR(__xludf.DUMMYFUNCTION("""COMPUTED_VALUE"""),1.0)</f>
        <v>1</v>
      </c>
      <c r="T408" s="16">
        <f>IFERROR(__xludf.DUMMYFUNCTION("""COMPUTED_VALUE"""),3.0)</f>
        <v>3</v>
      </c>
      <c r="U408" s="16">
        <f>IFERROR(__xludf.DUMMYFUNCTION("""COMPUTED_VALUE"""),1.0)</f>
        <v>1</v>
      </c>
      <c r="V408" s="16">
        <f>IFERROR(__xludf.DUMMYFUNCTION("""COMPUTED_VALUE"""),8.7)</f>
        <v>8.7</v>
      </c>
      <c r="W408" s="16">
        <f>IFERROR(__xludf.DUMMYFUNCTION("""COMPUTED_VALUE"""),12.5)</f>
        <v>12.5</v>
      </c>
      <c r="X408" s="16">
        <f>IFERROR(__xludf.DUMMYFUNCTION("""COMPUTED_VALUE"""),-2.0)</f>
        <v>-2</v>
      </c>
      <c r="Y408" s="16">
        <f>IFERROR(__xludf.DUMMYFUNCTION("""COMPUTED_VALUE"""),-1.0)</f>
        <v>-1</v>
      </c>
      <c r="Z408" s="16">
        <f>IFERROR(__xludf.DUMMYFUNCTION("""COMPUTED_VALUE"""),-4.0)</f>
        <v>-4</v>
      </c>
      <c r="AA408" s="16">
        <f>IFERROR(__xludf.DUMMYFUNCTION("""COMPUTED_VALUE"""),-2.0)</f>
        <v>-2</v>
      </c>
      <c r="AB408" s="16">
        <f>IFERROR(__xludf.DUMMYFUNCTION("""COMPUTED_VALUE"""),35.7)</f>
        <v>35.7</v>
      </c>
      <c r="AC408" s="16">
        <f>IFERROR(__xludf.DUMMYFUNCTION("""COMPUTED_VALUE"""),29.5)</f>
        <v>29.5</v>
      </c>
      <c r="AD408" s="16">
        <f>IFERROR(__xludf.DUMMYFUNCTION("""COMPUTED_VALUE"""),1.0)</f>
        <v>1</v>
      </c>
      <c r="AE408" s="16">
        <f>IFERROR(__xludf.DUMMYFUNCTION("""COMPUTED_VALUE"""),0.0)</f>
        <v>0</v>
      </c>
      <c r="AF408" s="16">
        <f>IFERROR(__xludf.DUMMYFUNCTION("""COMPUTED_VALUE"""),5.0)</f>
        <v>5</v>
      </c>
      <c r="AG408" s="16">
        <f>IFERROR(__xludf.DUMMYFUNCTION("""COMPUTED_VALUE"""),0.0)</f>
        <v>0</v>
      </c>
      <c r="AH408" s="16">
        <f>IFERROR(__xludf.DUMMYFUNCTION("""COMPUTED_VALUE"""),16.8)</f>
        <v>16.8</v>
      </c>
      <c r="AI408" s="16">
        <f>IFERROR(__xludf.DUMMYFUNCTION("""COMPUTED_VALUE"""),13.7)</f>
        <v>13.7</v>
      </c>
      <c r="AJ408" s="16">
        <f>IFERROR(__xludf.DUMMYFUNCTION("""COMPUTED_VALUE"""),-1.0)</f>
        <v>-1</v>
      </c>
      <c r="AK408" s="16">
        <f>IFERROR(__xludf.DUMMYFUNCTION("""COMPUTED_VALUE"""),-2.0)</f>
        <v>-2</v>
      </c>
      <c r="AL408" s="16">
        <f>IFERROR(__xludf.DUMMYFUNCTION("""COMPUTED_VALUE"""),-5.0)</f>
        <v>-5</v>
      </c>
      <c r="AM408" s="16">
        <f>IFERROR(__xludf.DUMMYFUNCTION("""COMPUTED_VALUE"""),-10.0)</f>
        <v>-10</v>
      </c>
      <c r="AN408" s="16">
        <f>IFERROR(__xludf.DUMMYFUNCTION("""COMPUTED_VALUE"""),2.7)</f>
        <v>2.7</v>
      </c>
      <c r="AO408" s="16">
        <f>IFERROR(__xludf.DUMMYFUNCTION("""COMPUTED_VALUE"""),0.0)</f>
        <v>0</v>
      </c>
      <c r="AP408" s="16">
        <f>IFERROR(__xludf.DUMMYFUNCTION("""COMPUTED_VALUE"""),0.0)</f>
        <v>0</v>
      </c>
      <c r="AQ408" s="16">
        <f>IFERROR(__xludf.DUMMYFUNCTION("""COMPUTED_VALUE"""),-3.0)</f>
        <v>-3</v>
      </c>
      <c r="AR408" s="16">
        <f>IFERROR(__xludf.DUMMYFUNCTION("""COMPUTED_VALUE"""),0.0)</f>
        <v>0</v>
      </c>
      <c r="AS408" s="16">
        <f>IFERROR(__xludf.DUMMYFUNCTION("""COMPUTED_VALUE"""),-6.0)</f>
        <v>-6</v>
      </c>
      <c r="AT408" s="16"/>
      <c r="AU408" s="16"/>
      <c r="AV408" s="16">
        <f>IFERROR(__xludf.DUMMYFUNCTION("""COMPUTED_VALUE"""),-3.0)</f>
        <v>-3</v>
      </c>
      <c r="AW408" s="16">
        <f>IFERROR(__xludf.DUMMYFUNCTION("""COMPUTED_VALUE"""),-3.0)</f>
        <v>-3</v>
      </c>
      <c r="AX408" s="16">
        <f>IFERROR(__xludf.DUMMYFUNCTION("""COMPUTED_VALUE"""),-3.0)</f>
        <v>-3</v>
      </c>
      <c r="AY408" s="16">
        <f>IFERROR(__xludf.DUMMYFUNCTION("""COMPUTED_VALUE"""),-3.0)</f>
        <v>-3</v>
      </c>
      <c r="AZ408" s="16">
        <f>IFERROR(__xludf.DUMMYFUNCTION("""COMPUTED_VALUE"""),-9.0)</f>
        <v>-9</v>
      </c>
      <c r="BA408" s="16">
        <f>IFERROR(__xludf.DUMMYFUNCTION("""COMPUTED_VALUE"""),-9.0)</f>
        <v>-9</v>
      </c>
      <c r="BB408" s="16">
        <f>IFERROR(__xludf.DUMMYFUNCTION("""COMPUTED_VALUE"""),5.0)</f>
        <v>5</v>
      </c>
      <c r="BC408" s="16">
        <f>IFERROR(__xludf.DUMMYFUNCTION("""COMPUTED_VALUE"""),5.0)</f>
        <v>5</v>
      </c>
      <c r="BD408" s="16">
        <f>IFERROR(__xludf.DUMMYFUNCTION("""COMPUTED_VALUE"""),1.0)</f>
        <v>1</v>
      </c>
      <c r="BE408" s="16">
        <f>IFERROR(__xludf.DUMMYFUNCTION("""COMPUTED_VALUE"""),1.0)</f>
        <v>1</v>
      </c>
      <c r="BF408" s="16">
        <f>IFERROR(__xludf.DUMMYFUNCTION("""COMPUTED_VALUE"""),1.0)</f>
        <v>1</v>
      </c>
      <c r="BG408" s="16">
        <f>IFERROR(__xludf.DUMMYFUNCTION("""COMPUTED_VALUE"""),1.0)</f>
        <v>1</v>
      </c>
      <c r="BH408" s="16">
        <f>IFERROR(__xludf.DUMMYFUNCTION("""COMPUTED_VALUE"""),5.0)</f>
        <v>5</v>
      </c>
      <c r="BI408" s="16">
        <f>IFERROR(__xludf.DUMMYFUNCTION("""COMPUTED_VALUE"""),5.0)</f>
        <v>5</v>
      </c>
      <c r="BJ408" s="16">
        <f>IFERROR(__xludf.DUMMYFUNCTION("""COMPUTED_VALUE"""),15.0)</f>
        <v>15</v>
      </c>
      <c r="BK408" s="16">
        <f>IFERROR(__xludf.DUMMYFUNCTION("""COMPUTED_VALUE"""),15.0)</f>
        <v>15</v>
      </c>
      <c r="BL408" s="16">
        <f>IFERROR(__xludf.DUMMYFUNCTION("""COMPUTED_VALUE"""),-1.0)</f>
        <v>-1</v>
      </c>
      <c r="BM408" s="16">
        <f>IFERROR(__xludf.DUMMYFUNCTION("""COMPUTED_VALUE"""),-1.0)</f>
        <v>-1</v>
      </c>
      <c r="BN408" s="16">
        <f>IFERROR(__xludf.DUMMYFUNCTION("""COMPUTED_VALUE"""),-2.0)</f>
        <v>-2</v>
      </c>
      <c r="BO408" s="16">
        <f>IFERROR(__xludf.DUMMYFUNCTION("""COMPUTED_VALUE"""),-2.0)</f>
        <v>-2</v>
      </c>
      <c r="BP408" s="16">
        <f>IFERROR(__xludf.DUMMYFUNCTION("""COMPUTED_VALUE"""),-3.0)</f>
        <v>-3</v>
      </c>
      <c r="BQ408" s="16">
        <f>IFERROR(__xludf.DUMMYFUNCTION("""COMPUTED_VALUE"""),-10.0)</f>
        <v>-10</v>
      </c>
      <c r="BR408" s="16">
        <f>IFERROR(__xludf.DUMMYFUNCTION("""COMPUTED_VALUE"""),-13.0)</f>
        <v>-13</v>
      </c>
      <c r="BS408" s="16" t="str">
        <f>IFERROR(__xludf.DUMMYFUNCTION("""COMPUTED_VALUE"""),"*2-5/12 (15-9)")</f>
        <v>*2-5/12 (15-9)</v>
      </c>
      <c r="BT408" s="16" t="str">
        <f>IFERROR(__xludf.DUMMYFUNCTION("""COMPUTED_VALUE"""),"C")</f>
        <v>C</v>
      </c>
      <c r="BU408" s="16">
        <f>IFERROR(__xludf.DUMMYFUNCTION("""COMPUTED_VALUE"""),14.0)</f>
        <v>14</v>
      </c>
      <c r="BV408" s="16">
        <f>IFERROR(__xludf.DUMMYFUNCTION("""COMPUTED_VALUE"""),0.0)</f>
        <v>0</v>
      </c>
      <c r="BW408" s="16">
        <f>IFERROR(__xludf.DUMMYFUNCTION("""COMPUTED_VALUE"""),1.0)</f>
        <v>1</v>
      </c>
      <c r="BX408" s="16">
        <f>IFERROR(__xludf.DUMMYFUNCTION("""COMPUTED_VALUE"""),0.0)</f>
        <v>0</v>
      </c>
      <c r="BY408" s="16">
        <f>IFERROR(__xludf.DUMMYFUNCTION("""COMPUTED_VALUE"""),3.0)</f>
        <v>3</v>
      </c>
      <c r="BZ408" s="16" t="str">
        <f>IFERROR(__xludf.DUMMYFUNCTION("""COMPUTED_VALUE"""),"C")</f>
        <v>C</v>
      </c>
      <c r="CA408" s="16" t="str">
        <f>IFERROR(__xludf.DUMMYFUNCTION("""COMPUTED_VALUE"""),"D")</f>
        <v>D</v>
      </c>
      <c r="CB408" s="16">
        <f>IFERROR(__xludf.DUMMYFUNCTION("""COMPUTED_VALUE"""),0.0)</f>
        <v>0</v>
      </c>
      <c r="CC408" s="16">
        <f>IFERROR(__xludf.DUMMYFUNCTION("""COMPUTED_VALUE"""),0.0)</f>
        <v>0</v>
      </c>
      <c r="CD408" s="16">
        <f>IFERROR(__xludf.DUMMYFUNCTION("""COMPUTED_VALUE"""),0.0)</f>
        <v>0</v>
      </c>
      <c r="CE408" s="16">
        <f>IFERROR(__xludf.DUMMYFUNCTION("""COMPUTED_VALUE"""),0.0)</f>
        <v>0</v>
      </c>
      <c r="CF408" s="16">
        <f>IFERROR(__xludf.DUMMYFUNCTION("""COMPUTED_VALUE"""),2.0)</f>
        <v>2</v>
      </c>
      <c r="CG408" s="16">
        <f>IFERROR(__xludf.DUMMYFUNCTION("""COMPUTED_VALUE"""),-12.0)</f>
        <v>-12</v>
      </c>
      <c r="CH408" s="16">
        <f>IFERROR(__xludf.DUMMYFUNCTION("""COMPUTED_VALUE"""),-29.0)</f>
        <v>-29</v>
      </c>
      <c r="CI408" s="179">
        <f>IFERROR(__xludf.DUMMYFUNCTION("""COMPUTED_VALUE"""),-23.0)</f>
        <v>-23</v>
      </c>
      <c r="CJ408" s="16"/>
      <c r="CK408" s="16"/>
      <c r="CL408" s="16"/>
      <c r="CM408" s="16"/>
      <c r="CN408" s="16"/>
      <c r="CO408" s="16">
        <f>IFERROR(__xludf.DUMMYFUNCTION("""COMPUTED_VALUE"""),207.0)</f>
        <v>207</v>
      </c>
      <c r="CP408" s="16">
        <f>IFERROR(__xludf.DUMMYFUNCTION("""COMPUTED_VALUE"""),307.0)</f>
        <v>307</v>
      </c>
      <c r="CQ408" s="16">
        <f>IFERROR(__xludf.DUMMYFUNCTION("""COMPUTED_VALUE"""),207.0)</f>
        <v>207</v>
      </c>
      <c r="CR408" s="16" t="str">
        <f>IFERROR(__xludf.DUMMYFUNCTION("""COMPUTED_VALUE"""),"rf-2(-2)e7 lf-2e7 cf-3e7")</f>
        <v>rf-2(-2)e7 lf-2e7 cf-3e7</v>
      </c>
      <c r="CS408" s="16"/>
      <c r="CT408" s="16"/>
      <c r="CU408" s="16"/>
      <c r="CV408" s="16"/>
      <c r="CW408" s="16"/>
      <c r="CX408" s="16">
        <f>IFERROR(__xludf.DUMMYFUNCTION("""COMPUTED_VALUE"""),2.0)</f>
        <v>2</v>
      </c>
      <c r="CY408" s="16">
        <f>IFERROR(__xludf.DUMMYFUNCTION("""COMPUTED_VALUE"""),3.0)</f>
        <v>3</v>
      </c>
      <c r="CZ408" s="16">
        <f>IFERROR(__xludf.DUMMYFUNCTION("""COMPUTED_VALUE"""),2.0)</f>
        <v>2</v>
      </c>
      <c r="DA408" s="16"/>
      <c r="DB408" s="16"/>
      <c r="DC408" s="16"/>
      <c r="DD408" s="16"/>
      <c r="DE408" s="16"/>
      <c r="DF408" s="16">
        <f>IFERROR(__xludf.DUMMYFUNCTION("""COMPUTED_VALUE"""),7.0)</f>
        <v>7</v>
      </c>
      <c r="DG408" s="16">
        <f>IFERROR(__xludf.DUMMYFUNCTION("""COMPUTED_VALUE"""),7.0)</f>
        <v>7</v>
      </c>
      <c r="DH408" s="16">
        <f>IFERROR(__xludf.DUMMYFUNCTION("""COMPUTED_VALUE"""),7.0)</f>
        <v>7</v>
      </c>
      <c r="DI408" s="16"/>
      <c r="DJ408" s="16"/>
      <c r="DK408" s="16"/>
      <c r="DL408" s="16"/>
      <c r="DM408" s="16"/>
      <c r="DN408" s="16">
        <f>IFERROR(__xludf.DUMMYFUNCTION("""COMPUTED_VALUE"""),3.0)</f>
        <v>3</v>
      </c>
      <c r="DO408" s="16">
        <f>IFERROR(__xludf.DUMMYFUNCTION("""COMPUTED_VALUE"""),0.0)</f>
        <v>0</v>
      </c>
      <c r="DP408" s="16">
        <f>IFERROR(__xludf.DUMMYFUNCTION("""COMPUTED_VALUE"""),3.0)</f>
        <v>3</v>
      </c>
      <c r="DQ408" s="16"/>
      <c r="DR408" s="16"/>
      <c r="DS408" s="16"/>
      <c r="DT408" s="16"/>
      <c r="DU408" s="16"/>
      <c r="DV408" s="16">
        <f>IFERROR(__xludf.DUMMYFUNCTION("""COMPUTED_VALUE"""),2.0)</f>
        <v>2</v>
      </c>
      <c r="DW408" s="16">
        <f>IFERROR(__xludf.DUMMYFUNCTION("""COMPUTED_VALUE"""),3.0)</f>
        <v>3</v>
      </c>
      <c r="DX408" s="16">
        <f>IFERROR(__xludf.DUMMYFUNCTION("""COMPUTED_VALUE"""),2.0)</f>
        <v>2</v>
      </c>
      <c r="DY408" s="16"/>
      <c r="DZ408" s="16"/>
      <c r="EA408" s="16"/>
      <c r="EB408" s="16"/>
      <c r="EC408" s="16"/>
      <c r="ED408" s="16">
        <f>IFERROR(__xludf.DUMMYFUNCTION("""COMPUTED_VALUE"""),5.0)</f>
        <v>5</v>
      </c>
      <c r="EE408" s="16">
        <f>IFERROR(__xludf.DUMMYFUNCTION("""COMPUTED_VALUE"""),3.0)</f>
        <v>3</v>
      </c>
      <c r="EF408" s="16">
        <f>IFERROR(__xludf.DUMMYFUNCTION("""COMPUTED_VALUE"""),5.0)</f>
        <v>5</v>
      </c>
      <c r="EG408" s="179"/>
      <c r="EH408" s="179"/>
      <c r="EI408" s="179"/>
      <c r="EJ408" s="179"/>
      <c r="EK408" s="179"/>
      <c r="EL408" s="179">
        <f>IFERROR(__xludf.DUMMYFUNCTION("""COMPUTED_VALUE"""),-18.0)</f>
        <v>-18</v>
      </c>
      <c r="EM408" s="179">
        <f>IFERROR(__xludf.DUMMYFUNCTION("""COMPUTED_VALUE"""),-20.0)</f>
        <v>-20</v>
      </c>
      <c r="EN408" s="179">
        <f>IFERROR(__xludf.DUMMYFUNCTION("""COMPUTED_VALUE"""),-18.0)</f>
        <v>-18</v>
      </c>
      <c r="EO408" s="16"/>
      <c r="EP408" s="16"/>
      <c r="EQ408" s="16">
        <f>IFERROR(__xludf.DUMMYFUNCTION("""COMPUTED_VALUE"""),2.0)</f>
        <v>2</v>
      </c>
      <c r="ER408" s="16">
        <f>IFERROR(__xludf.DUMMYFUNCTION("""COMPUTED_VALUE"""),-1.0)</f>
        <v>-1</v>
      </c>
      <c r="ES408" s="16"/>
      <c r="ET408" s="16"/>
      <c r="EU408" s="16"/>
      <c r="EV408" s="16"/>
      <c r="EW408" s="16"/>
      <c r="EX408" s="180"/>
      <c r="EY408" s="180"/>
      <c r="EZ408" s="180"/>
      <c r="FA408" s="180"/>
      <c r="FB408" s="180"/>
      <c r="FC408" s="180">
        <f>IFERROR(__xludf.DUMMYFUNCTION("""COMPUTED_VALUE"""),0.15)</f>
        <v>0.15</v>
      </c>
      <c r="FD408" s="180">
        <f>IFERROR(__xludf.DUMMYFUNCTION("""COMPUTED_VALUE"""),0.3)</f>
        <v>0.3</v>
      </c>
      <c r="FE408" s="180">
        <f>IFERROR(__xludf.DUMMYFUNCTION("""COMPUTED_VALUE"""),0.15)</f>
        <v>0.15</v>
      </c>
      <c r="FF408" s="180"/>
      <c r="FG408" s="180"/>
      <c r="FH408" s="180"/>
      <c r="FI408" s="180"/>
      <c r="FJ408" s="180"/>
      <c r="FK408" s="180">
        <f>IFERROR(__xludf.DUMMYFUNCTION("""COMPUTED_VALUE"""),0.125)</f>
        <v>0.125</v>
      </c>
      <c r="FL408" s="180">
        <f>IFERROR(__xludf.DUMMYFUNCTION("""COMPUTED_VALUE"""),0.08333333333333333)</f>
        <v>0.08333333333</v>
      </c>
      <c r="FM408" s="180">
        <f>IFERROR(__xludf.DUMMYFUNCTION("""COMPUTED_VALUE"""),0.125)</f>
        <v>0.125</v>
      </c>
      <c r="FN408" s="16"/>
      <c r="FO408" s="16"/>
      <c r="FP408" s="16"/>
      <c r="FQ408" s="16"/>
      <c r="FR408" s="16"/>
      <c r="FS408" s="16">
        <f>IFERROR(__xludf.DUMMYFUNCTION("""COMPUTED_VALUE"""),0.74375)</f>
        <v>0.74375</v>
      </c>
      <c r="FT408" s="16">
        <f>IFERROR(__xludf.DUMMYFUNCTION("""COMPUTED_VALUE"""),0.6416666666666666)</f>
        <v>0.6416666667</v>
      </c>
      <c r="FU408" s="16">
        <f>IFERROR(__xludf.DUMMYFUNCTION("""COMPUTED_VALUE"""),0.74375)</f>
        <v>0.74375</v>
      </c>
      <c r="FV408" s="16"/>
      <c r="FW408" s="16"/>
      <c r="FX408" s="16"/>
      <c r="FY408" s="16"/>
      <c r="FZ408" s="16"/>
      <c r="GA408" s="16">
        <f>IFERROR(__xludf.DUMMYFUNCTION("""COMPUTED_VALUE"""),-4.0)</f>
        <v>-4</v>
      </c>
      <c r="GB408" s="16">
        <f>IFERROR(__xludf.DUMMYFUNCTION("""COMPUTED_VALUE"""),-6.0)</f>
        <v>-6</v>
      </c>
      <c r="GC408" s="16">
        <f>IFERROR(__xludf.DUMMYFUNCTION("""COMPUTED_VALUE"""),-4.0)</f>
        <v>-4</v>
      </c>
      <c r="GD408" s="16" t="s">
        <v>333</v>
      </c>
    </row>
    <row r="409">
      <c r="A409" s="16">
        <f>IFERROR(__xludf.DUMMYFUNCTION("""COMPUTED_VALUE"""),13419.0)</f>
        <v>13419</v>
      </c>
      <c r="B409" s="16" t="str">
        <f>IFERROR(__xludf.DUMMYFUNCTION("""COMPUTED_VALUE"""),"Tomas Nido")</f>
        <v>Tomas Nido</v>
      </c>
      <c r="C409" s="16">
        <f>IFERROR(__xludf.DUMMYFUNCTION("""COMPUTED_VALUE"""),0.0)</f>
        <v>0</v>
      </c>
      <c r="D409" s="16" t="str">
        <f>IFERROR(__xludf.DUMMYFUNCTION("""COMPUTED_VALUE"""),"R")</f>
        <v>R</v>
      </c>
      <c r="E409" s="16"/>
      <c r="F409" s="16"/>
      <c r="G409" s="16">
        <f>IFERROR(__xludf.DUMMYFUNCTION("""COMPUTED_VALUE"""),130.0)</f>
        <v>130</v>
      </c>
      <c r="H409" s="16">
        <f>IFERROR(__xludf.DUMMYFUNCTION("""COMPUTED_VALUE"""),5.0)</f>
        <v>5</v>
      </c>
      <c r="I409" s="16" t="str">
        <f>IFERROR(__xludf.DUMMYFUNCTION("""COMPUTED_VALUE"""),"4p30")</f>
        <v>4p30</v>
      </c>
      <c r="J409" s="16">
        <f>IFERROR(__xludf.DUMMYFUNCTION("""COMPUTED_VALUE"""),56.0)</f>
        <v>56</v>
      </c>
      <c r="K409" s="16">
        <f>IFERROR(__xludf.DUMMYFUNCTION("""COMPUTED_VALUE"""),18.0)</f>
        <v>18</v>
      </c>
      <c r="L409" s="16">
        <f>IFERROR(__xludf.DUMMYFUNCTION("""COMPUTED_VALUE"""),-2.0)</f>
        <v>-2</v>
      </c>
      <c r="M409" s="16">
        <f>IFERROR(__xludf.DUMMYFUNCTION("""COMPUTED_VALUE"""),1.0)</f>
        <v>1</v>
      </c>
      <c r="N409" s="16">
        <f>IFERROR(__xludf.DUMMYFUNCTION("""COMPUTED_VALUE"""),-2.0)</f>
        <v>-2</v>
      </c>
      <c r="O409" s="16">
        <f>IFERROR(__xludf.DUMMYFUNCTION("""COMPUTED_VALUE"""),1.0)</f>
        <v>1</v>
      </c>
      <c r="P409" s="16">
        <f>IFERROR(__xludf.DUMMYFUNCTION("""COMPUTED_VALUE"""),0.0)</f>
        <v>0</v>
      </c>
      <c r="Q409" s="16">
        <f>IFERROR(__xludf.DUMMYFUNCTION("""COMPUTED_VALUE"""),0.0)</f>
        <v>0</v>
      </c>
      <c r="R409" s="16">
        <f>IFERROR(__xludf.DUMMYFUNCTION("""COMPUTED_VALUE"""),-3.0)</f>
        <v>-3</v>
      </c>
      <c r="S409" s="16">
        <f>IFERROR(__xludf.DUMMYFUNCTION("""COMPUTED_VALUE"""),-2.0)</f>
        <v>-2</v>
      </c>
      <c r="T409" s="16">
        <f>IFERROR(__xludf.DUMMYFUNCTION("""COMPUTED_VALUE"""),-3.0)</f>
        <v>-3</v>
      </c>
      <c r="U409" s="16">
        <f>IFERROR(__xludf.DUMMYFUNCTION("""COMPUTED_VALUE"""),-2.0)</f>
        <v>-2</v>
      </c>
      <c r="V409" s="16">
        <f>IFERROR(__xludf.DUMMYFUNCTION("""COMPUTED_VALUE"""),8.6)</f>
        <v>8.6</v>
      </c>
      <c r="W409" s="16">
        <f>IFERROR(__xludf.DUMMYFUNCTION("""COMPUTED_VALUE"""),14.1)</f>
        <v>14.1</v>
      </c>
      <c r="X409" s="16">
        <f>IFERROR(__xludf.DUMMYFUNCTION("""COMPUTED_VALUE"""),-2.0)</f>
        <v>-2</v>
      </c>
      <c r="Y409" s="16">
        <f>IFERROR(__xludf.DUMMYFUNCTION("""COMPUTED_VALUE"""),-1.0)</f>
        <v>-1</v>
      </c>
      <c r="Z409" s="16">
        <f>IFERROR(__xludf.DUMMYFUNCTION("""COMPUTED_VALUE"""),-4.0)</f>
        <v>-4</v>
      </c>
      <c r="AA409" s="16">
        <f>IFERROR(__xludf.DUMMYFUNCTION("""COMPUTED_VALUE"""),-2.0)</f>
        <v>-2</v>
      </c>
      <c r="AB409" s="16">
        <f>IFERROR(__xludf.DUMMYFUNCTION("""COMPUTED_VALUE"""),8.6)</f>
        <v>8.6</v>
      </c>
      <c r="AC409" s="16">
        <f>IFERROR(__xludf.DUMMYFUNCTION("""COMPUTED_VALUE"""),14.1)</f>
        <v>14.1</v>
      </c>
      <c r="AD409" s="16">
        <f>IFERROR(__xludf.DUMMYFUNCTION("""COMPUTED_VALUE"""),-2.0)</f>
        <v>-2</v>
      </c>
      <c r="AE409" s="16">
        <f>IFERROR(__xludf.DUMMYFUNCTION("""COMPUTED_VALUE"""),-2.0)</f>
        <v>-2</v>
      </c>
      <c r="AF409" s="16">
        <f>IFERROR(__xludf.DUMMYFUNCTION("""COMPUTED_VALUE"""),-10.0)</f>
        <v>-10</v>
      </c>
      <c r="AG409" s="16">
        <f>IFERROR(__xludf.DUMMYFUNCTION("""COMPUTED_VALUE"""),-10.0)</f>
        <v>-10</v>
      </c>
      <c r="AH409" s="16">
        <f>IFERROR(__xludf.DUMMYFUNCTION("""COMPUTED_VALUE"""),10.0)</f>
        <v>10</v>
      </c>
      <c r="AI409" s="16">
        <f>IFERROR(__xludf.DUMMYFUNCTION("""COMPUTED_VALUE"""),23.7)</f>
        <v>23.7</v>
      </c>
      <c r="AJ409" s="16">
        <f>IFERROR(__xludf.DUMMYFUNCTION("""COMPUTED_VALUE"""),-2.0)</f>
        <v>-2</v>
      </c>
      <c r="AK409" s="16">
        <f>IFERROR(__xludf.DUMMYFUNCTION("""COMPUTED_VALUE"""),-1.0)</f>
        <v>-1</v>
      </c>
      <c r="AL409" s="16">
        <f>IFERROR(__xludf.DUMMYFUNCTION("""COMPUTED_VALUE"""),-10.0)</f>
        <v>-10</v>
      </c>
      <c r="AM409" s="16">
        <f>IFERROR(__xludf.DUMMYFUNCTION("""COMPUTED_VALUE"""),-5.0)</f>
        <v>-5</v>
      </c>
      <c r="AN409" s="16">
        <f>IFERROR(__xludf.DUMMYFUNCTION("""COMPUTED_VALUE"""),0.4)</f>
        <v>0.4</v>
      </c>
      <c r="AO409" s="16">
        <f>IFERROR(__xludf.DUMMYFUNCTION("""COMPUTED_VALUE"""),2.5)</f>
        <v>2.5</v>
      </c>
      <c r="AP409" s="16">
        <f>IFERROR(__xludf.DUMMYFUNCTION("""COMPUTED_VALUE"""),-2.0)</f>
        <v>-2</v>
      </c>
      <c r="AQ409" s="16">
        <f>IFERROR(__xludf.DUMMYFUNCTION("""COMPUTED_VALUE"""),0.0)</f>
        <v>0</v>
      </c>
      <c r="AR409" s="16">
        <f>IFERROR(__xludf.DUMMYFUNCTION("""COMPUTED_VALUE"""),-4.0)</f>
        <v>-4</v>
      </c>
      <c r="AS409" s="16">
        <f>IFERROR(__xludf.DUMMYFUNCTION("""COMPUTED_VALUE"""),0.0)</f>
        <v>0</v>
      </c>
      <c r="AT409" s="16">
        <f>IFERROR(__xludf.DUMMYFUNCTION("""COMPUTED_VALUE"""),0.0)</f>
        <v>0</v>
      </c>
      <c r="AU409" s="16">
        <f>IFERROR(__xludf.DUMMYFUNCTION("""COMPUTED_VALUE"""),4.0)</f>
        <v>4</v>
      </c>
      <c r="AV409" s="16">
        <f>IFERROR(__xludf.DUMMYFUNCTION("""COMPUTED_VALUE"""),0.0)</f>
        <v>0</v>
      </c>
      <c r="AW409" s="16">
        <f>IFERROR(__xludf.DUMMYFUNCTION("""COMPUTED_VALUE"""),4.0)</f>
        <v>4</v>
      </c>
      <c r="AX409" s="16">
        <f>IFERROR(__xludf.DUMMYFUNCTION("""COMPUTED_VALUE"""),-2.0)</f>
        <v>-2</v>
      </c>
      <c r="AY409" s="16">
        <f>IFERROR(__xludf.DUMMYFUNCTION("""COMPUTED_VALUE"""),1.0)</f>
        <v>1</v>
      </c>
      <c r="AZ409" s="16">
        <f>IFERROR(__xludf.DUMMYFUNCTION("""COMPUTED_VALUE"""),-6.0)</f>
        <v>-6</v>
      </c>
      <c r="BA409" s="16">
        <f>IFERROR(__xludf.DUMMYFUNCTION("""COMPUTED_VALUE"""),3.0)</f>
        <v>3</v>
      </c>
      <c r="BB409" s="16">
        <f>IFERROR(__xludf.DUMMYFUNCTION("""COMPUTED_VALUE"""),5.0)</f>
        <v>5</v>
      </c>
      <c r="BC409" s="16">
        <f>IFERROR(__xludf.DUMMYFUNCTION("""COMPUTED_VALUE"""),5.0)</f>
        <v>5</v>
      </c>
      <c r="BD409" s="16">
        <f>IFERROR(__xludf.DUMMYFUNCTION("""COMPUTED_VALUE"""),1.0)</f>
        <v>1</v>
      </c>
      <c r="BE409" s="16">
        <f>IFERROR(__xludf.DUMMYFUNCTION("""COMPUTED_VALUE"""),1.0)</f>
        <v>1</v>
      </c>
      <c r="BF409" s="16">
        <f>IFERROR(__xludf.DUMMYFUNCTION("""COMPUTED_VALUE"""),1.0)</f>
        <v>1</v>
      </c>
      <c r="BG409" s="16">
        <f>IFERROR(__xludf.DUMMYFUNCTION("""COMPUTED_VALUE"""),1.0)</f>
        <v>1</v>
      </c>
      <c r="BH409" s="16">
        <f>IFERROR(__xludf.DUMMYFUNCTION("""COMPUTED_VALUE"""),-5.0)</f>
        <v>-5</v>
      </c>
      <c r="BI409" s="16">
        <f>IFERROR(__xludf.DUMMYFUNCTION("""COMPUTED_VALUE"""),-7.0)</f>
        <v>-7</v>
      </c>
      <c r="BJ409" s="16">
        <f>IFERROR(__xludf.DUMMYFUNCTION("""COMPUTED_VALUE"""),4.0)</f>
        <v>4</v>
      </c>
      <c r="BK409" s="16">
        <f>IFERROR(__xludf.DUMMYFUNCTION("""COMPUTED_VALUE"""),4.0)</f>
        <v>4</v>
      </c>
      <c r="BL409" s="16">
        <f>IFERROR(__xludf.DUMMYFUNCTION("""COMPUTED_VALUE"""),1.0)</f>
        <v>1</v>
      </c>
      <c r="BM409" s="16">
        <f>IFERROR(__xludf.DUMMYFUNCTION("""COMPUTED_VALUE"""),1.0)</f>
        <v>1</v>
      </c>
      <c r="BN409" s="16">
        <f>IFERROR(__xludf.DUMMYFUNCTION("""COMPUTED_VALUE"""),1.0)</f>
        <v>1</v>
      </c>
      <c r="BO409" s="16">
        <f>IFERROR(__xludf.DUMMYFUNCTION("""COMPUTED_VALUE"""),1.0)</f>
        <v>1</v>
      </c>
      <c r="BP409" s="16">
        <f>IFERROR(__xludf.DUMMYFUNCTION("""COMPUTED_VALUE"""),-13.0)</f>
        <v>-13</v>
      </c>
      <c r="BQ409" s="16">
        <f>IFERROR(__xludf.DUMMYFUNCTION("""COMPUTED_VALUE"""),-2.0)</f>
        <v>-2</v>
      </c>
      <c r="BR409" s="16">
        <f>IFERROR(__xludf.DUMMYFUNCTION("""COMPUTED_VALUE"""),-15.0)</f>
        <v>-15</v>
      </c>
      <c r="BS409" s="16" t="str">
        <f>IFERROR(__xludf.DUMMYFUNCTION("""COMPUTED_VALUE"""),"-/- (---)")</f>
        <v>-/- (---)</v>
      </c>
      <c r="BT409" s="16" t="str">
        <f>IFERROR(__xludf.DUMMYFUNCTION("""COMPUTED_VALUE"""),"E")</f>
        <v>E</v>
      </c>
      <c r="BU409" s="16">
        <f>IFERROR(__xludf.DUMMYFUNCTION("""COMPUTED_VALUE"""),8.0)</f>
        <v>8</v>
      </c>
      <c r="BV409" s="16">
        <f>IFERROR(__xludf.DUMMYFUNCTION("""COMPUTED_VALUE"""),0.0)</f>
        <v>0</v>
      </c>
      <c r="BW409" s="16">
        <f>IFERROR(__xludf.DUMMYFUNCTION("""COMPUTED_VALUE"""),-1.0)</f>
        <v>-1</v>
      </c>
      <c r="BX409" s="16">
        <f>IFERROR(__xludf.DUMMYFUNCTION("""COMPUTED_VALUE"""),0.0)</f>
        <v>0</v>
      </c>
      <c r="BY409" s="16">
        <f>IFERROR(__xludf.DUMMYFUNCTION("""COMPUTED_VALUE"""),-3.0)</f>
        <v>-3</v>
      </c>
      <c r="BZ409" s="16" t="str">
        <f>IFERROR(__xludf.DUMMYFUNCTION("""COMPUTED_VALUE"""),"B")</f>
        <v>B</v>
      </c>
      <c r="CA409" s="16" t="str">
        <f>IFERROR(__xludf.DUMMYFUNCTION("""COMPUTED_VALUE"""),"D")</f>
        <v>D</v>
      </c>
      <c r="CB409" s="16">
        <f>IFERROR(__xludf.DUMMYFUNCTION("""COMPUTED_VALUE"""),1.0)</f>
        <v>1</v>
      </c>
      <c r="CC409" s="16">
        <f>IFERROR(__xludf.DUMMYFUNCTION("""COMPUTED_VALUE"""),0.0)</f>
        <v>0</v>
      </c>
      <c r="CD409" s="16">
        <f>IFERROR(__xludf.DUMMYFUNCTION("""COMPUTED_VALUE"""),1.0)</f>
        <v>1</v>
      </c>
      <c r="CE409" s="16">
        <f>IFERROR(__xludf.DUMMYFUNCTION("""COMPUTED_VALUE"""),0.0)</f>
        <v>0</v>
      </c>
      <c r="CF409" s="16">
        <f>IFERROR(__xludf.DUMMYFUNCTION("""COMPUTED_VALUE"""),4.0)</f>
        <v>4</v>
      </c>
      <c r="CG409" s="16">
        <f>IFERROR(__xludf.DUMMYFUNCTION("""COMPUTED_VALUE"""),-37.0)</f>
        <v>-37</v>
      </c>
      <c r="CH409" s="16">
        <f>IFERROR(__xludf.DUMMYFUNCTION("""COMPUTED_VALUE"""),-13.0)</f>
        <v>-13</v>
      </c>
      <c r="CI409" s="179">
        <f>IFERROR(__xludf.DUMMYFUNCTION("""COMPUTED_VALUE"""),-23.0)</f>
        <v>-23</v>
      </c>
      <c r="CJ409" s="16">
        <f>IFERROR(__xludf.DUMMYFUNCTION("""COMPUTED_VALUE"""),303.0)</f>
        <v>303</v>
      </c>
      <c r="CK409" s="16"/>
      <c r="CL409" s="16"/>
      <c r="CM409" s="16"/>
      <c r="CN409" s="16"/>
      <c r="CO409" s="16"/>
      <c r="CP409" s="16"/>
      <c r="CQ409" s="16"/>
      <c r="CR409" s="16" t="str">
        <f>IFERROR(__xludf.DUMMYFUNCTION("""COMPUTED_VALUE"""),"c-3(-1)e3,T-16(pb-0)")</f>
        <v>c-3(-1)e3,T-16(pb-0)</v>
      </c>
      <c r="CS409" s="16">
        <f>IFERROR(__xludf.DUMMYFUNCTION("""COMPUTED_VALUE"""),3.0)</f>
        <v>3</v>
      </c>
      <c r="CT409" s="16"/>
      <c r="CU409" s="16"/>
      <c r="CV409" s="16"/>
      <c r="CW409" s="16"/>
      <c r="CX409" s="16"/>
      <c r="CY409" s="16"/>
      <c r="CZ409" s="16"/>
      <c r="DA409" s="16">
        <f>IFERROR(__xludf.DUMMYFUNCTION("""COMPUTED_VALUE"""),3.0)</f>
        <v>3</v>
      </c>
      <c r="DB409" s="16"/>
      <c r="DC409" s="16"/>
      <c r="DD409" s="16"/>
      <c r="DE409" s="16"/>
      <c r="DF409" s="16"/>
      <c r="DG409" s="16"/>
      <c r="DH409" s="16"/>
      <c r="DI409" s="16">
        <f>IFERROR(__xludf.DUMMYFUNCTION("""COMPUTED_VALUE"""),0.0)</f>
        <v>0</v>
      </c>
      <c r="DJ409" s="16"/>
      <c r="DK409" s="16"/>
      <c r="DL409" s="16"/>
      <c r="DM409" s="16"/>
      <c r="DN409" s="16"/>
      <c r="DO409" s="16"/>
      <c r="DP409" s="16"/>
      <c r="DQ409" s="16">
        <f>IFERROR(__xludf.DUMMYFUNCTION("""COMPUTED_VALUE"""),3.0)</f>
        <v>3</v>
      </c>
      <c r="DR409" s="16"/>
      <c r="DS409" s="16"/>
      <c r="DT409" s="16"/>
      <c r="DU409" s="16"/>
      <c r="DV409" s="16"/>
      <c r="DW409" s="16"/>
      <c r="DX409" s="16"/>
      <c r="DY409" s="16">
        <f>IFERROR(__xludf.DUMMYFUNCTION("""COMPUTED_VALUE"""),3.0)</f>
        <v>3</v>
      </c>
      <c r="DZ409" s="16"/>
      <c r="EA409" s="16"/>
      <c r="EB409" s="16"/>
      <c r="EC409" s="16"/>
      <c r="ED409" s="16"/>
      <c r="EE409" s="16"/>
      <c r="EF409" s="16"/>
      <c r="EG409" s="179">
        <f>IFERROR(__xludf.DUMMYFUNCTION("""COMPUTED_VALUE"""),-21.0)</f>
        <v>-21</v>
      </c>
      <c r="EH409" s="179"/>
      <c r="EI409" s="179"/>
      <c r="EJ409" s="179"/>
      <c r="EK409" s="179"/>
      <c r="EL409" s="179"/>
      <c r="EM409" s="179"/>
      <c r="EN409" s="179"/>
      <c r="EO409" s="16">
        <f>IFERROR(__xludf.DUMMYFUNCTION("""COMPUTED_VALUE"""),-1.0)</f>
        <v>-1</v>
      </c>
      <c r="EP409" s="16"/>
      <c r="EQ409" s="16">
        <f>IFERROR(__xludf.DUMMYFUNCTION("""COMPUTED_VALUE"""),-1.0)</f>
        <v>-1</v>
      </c>
      <c r="ER409" s="16">
        <f>IFERROR(__xludf.DUMMYFUNCTION("""COMPUTED_VALUE"""),-2.0)</f>
        <v>-2</v>
      </c>
      <c r="ES409" s="16" t="str">
        <f>IFERROR(__xludf.DUMMYFUNCTION("""COMPUTED_VALUE"""),"c-3")</f>
        <v>c-3</v>
      </c>
      <c r="ET409" s="16" t="str">
        <f>IFERROR(__xludf.DUMMYFUNCTION("""COMPUTED_VALUE"""),"-1)e3,T-16")</f>
        <v>-1)e3,T-16</v>
      </c>
      <c r="EU409" s="16" t="str">
        <f>IFERROR(__xludf.DUMMYFUNCTION("""COMPUTED_VALUE"""),"pb-0)")</f>
        <v>pb-0)</v>
      </c>
      <c r="EV409" s="16"/>
      <c r="EW409" s="16">
        <f>IFERROR(__xludf.DUMMYFUNCTION("""COMPUTED_VALUE"""),-1.0)</f>
        <v>-1</v>
      </c>
      <c r="EX409" s="180">
        <f>IFERROR(__xludf.DUMMYFUNCTION("""COMPUTED_VALUE"""),0.2)</f>
        <v>0.2</v>
      </c>
      <c r="EY409" s="180"/>
      <c r="EZ409" s="180"/>
      <c r="FA409" s="180"/>
      <c r="FB409" s="180"/>
      <c r="FC409" s="180"/>
      <c r="FD409" s="180"/>
      <c r="FE409" s="180"/>
      <c r="FF409" s="180">
        <f>IFERROR(__xludf.DUMMYFUNCTION("""COMPUTED_VALUE"""),0.038)</f>
        <v>0.038</v>
      </c>
      <c r="FG409" s="180"/>
      <c r="FH409" s="180"/>
      <c r="FI409" s="180"/>
      <c r="FJ409" s="180"/>
      <c r="FK409" s="180"/>
      <c r="FL409" s="180"/>
      <c r="FM409" s="180"/>
      <c r="FN409" s="16">
        <f>IFERROR(__xludf.DUMMYFUNCTION("""COMPUTED_VALUE"""),0.7696000000000001)</f>
        <v>0.7696</v>
      </c>
      <c r="FO409" s="16"/>
      <c r="FP409" s="16"/>
      <c r="FQ409" s="16"/>
      <c r="FR409" s="16"/>
      <c r="FS409" s="16"/>
      <c r="FT409" s="16"/>
      <c r="FU409" s="16"/>
      <c r="FV409" s="16">
        <f>IFERROR(__xludf.DUMMYFUNCTION("""COMPUTED_VALUE"""),0.0)</f>
        <v>0</v>
      </c>
      <c r="FW409" s="16"/>
      <c r="FX409" s="16"/>
      <c r="FY409" s="16"/>
      <c r="FZ409" s="16"/>
      <c r="GA409" s="16"/>
      <c r="GB409" s="16"/>
      <c r="GC409" s="16"/>
      <c r="GD409" s="16" t="s">
        <v>176</v>
      </c>
    </row>
    <row r="410">
      <c r="A410" s="16">
        <f>IFERROR(__xludf.DUMMYFUNCTION("""COMPUTED_VALUE"""),12809.0)</f>
        <v>12809</v>
      </c>
      <c r="B410" s="16" t="str">
        <f>IFERROR(__xludf.DUMMYFUNCTION("""COMPUTED_VALUE"""),"Estevan Florial")</f>
        <v>Estevan Florial</v>
      </c>
      <c r="C410" s="16">
        <f>IFERROR(__xludf.DUMMYFUNCTION("""COMPUTED_VALUE"""),0.16)</f>
        <v>0.16</v>
      </c>
      <c r="D410" s="16" t="str">
        <f>IFERROR(__xludf.DUMMYFUNCTION("""COMPUTED_VALUE"""),"L")</f>
        <v>L</v>
      </c>
      <c r="E410" s="16"/>
      <c r="F410" s="16"/>
      <c r="G410" s="16">
        <f>IFERROR(__xludf.DUMMYFUNCTION("""COMPUTED_VALUE"""),98.0)</f>
        <v>98</v>
      </c>
      <c r="H410" s="16">
        <f>IFERROR(__xludf.DUMMYFUNCTION("""COMPUTED_VALUE"""),11.0)</f>
        <v>11</v>
      </c>
      <c r="I410" s="16" t="str">
        <f>IFERROR(__xludf.DUMMYFUNCTION("""COMPUTED_VALUE"""),"1p20")</f>
        <v>1p20</v>
      </c>
      <c r="J410" s="16">
        <f>IFERROR(__xludf.DUMMYFUNCTION("""COMPUTED_VALUE"""),53.0)</f>
        <v>53</v>
      </c>
      <c r="K410" s="16">
        <f>IFERROR(__xludf.DUMMYFUNCTION("""COMPUTED_VALUE"""),56.0)</f>
        <v>56</v>
      </c>
      <c r="L410" s="16">
        <f>IFERROR(__xludf.DUMMYFUNCTION("""COMPUTED_VALUE"""),-2.0)</f>
        <v>-2</v>
      </c>
      <c r="M410" s="16">
        <f>IFERROR(__xludf.DUMMYFUNCTION("""COMPUTED_VALUE"""),-3.0)</f>
        <v>-3</v>
      </c>
      <c r="N410" s="16">
        <f>IFERROR(__xludf.DUMMYFUNCTION("""COMPUTED_VALUE"""),-2.0)</f>
        <v>-2</v>
      </c>
      <c r="O410" s="16">
        <f>IFERROR(__xludf.DUMMYFUNCTION("""COMPUTED_VALUE"""),-3.0)</f>
        <v>-3</v>
      </c>
      <c r="P410" s="16">
        <f>IFERROR(__xludf.DUMMYFUNCTION("""COMPUTED_VALUE"""),7.0)</f>
        <v>7</v>
      </c>
      <c r="Q410" s="16">
        <f>IFERROR(__xludf.DUMMYFUNCTION("""COMPUTED_VALUE"""),13.0)</f>
        <v>13</v>
      </c>
      <c r="R410" s="16">
        <f>IFERROR(__xludf.DUMMYFUNCTION("""COMPUTED_VALUE"""),-1.0)</f>
        <v>-1</v>
      </c>
      <c r="S410" s="16">
        <f>IFERROR(__xludf.DUMMYFUNCTION("""COMPUTED_VALUE"""),1.0)</f>
        <v>1</v>
      </c>
      <c r="T410" s="16">
        <f>IFERROR(__xludf.DUMMYFUNCTION("""COMPUTED_VALUE"""),-1.0)</f>
        <v>-1</v>
      </c>
      <c r="U410" s="16">
        <f>IFERROR(__xludf.DUMMYFUNCTION("""COMPUTED_VALUE"""),1.0)</f>
        <v>1</v>
      </c>
      <c r="V410" s="16">
        <f>IFERROR(__xludf.DUMMYFUNCTION("""COMPUTED_VALUE"""),2.8)</f>
        <v>2.8</v>
      </c>
      <c r="W410" s="16">
        <f>IFERROR(__xludf.DUMMYFUNCTION("""COMPUTED_VALUE"""),7.8)</f>
        <v>7.8</v>
      </c>
      <c r="X410" s="16">
        <f>IFERROR(__xludf.DUMMYFUNCTION("""COMPUTED_VALUE"""),-2.0)</f>
        <v>-2</v>
      </c>
      <c r="Y410" s="16">
        <f>IFERROR(__xludf.DUMMYFUNCTION("""COMPUTED_VALUE"""),-2.0)</f>
        <v>-2</v>
      </c>
      <c r="Z410" s="16">
        <f>IFERROR(__xludf.DUMMYFUNCTION("""COMPUTED_VALUE"""),-4.0)</f>
        <v>-4</v>
      </c>
      <c r="AA410" s="16">
        <f>IFERROR(__xludf.DUMMYFUNCTION("""COMPUTED_VALUE"""),-4.0)</f>
        <v>-4</v>
      </c>
      <c r="AB410" s="16">
        <f>IFERROR(__xludf.DUMMYFUNCTION("""COMPUTED_VALUE"""),11.8)</f>
        <v>11.8</v>
      </c>
      <c r="AC410" s="16">
        <f>IFERROR(__xludf.DUMMYFUNCTION("""COMPUTED_VALUE"""),22.8)</f>
        <v>22.8</v>
      </c>
      <c r="AD410" s="16">
        <f>IFERROR(__xludf.DUMMYFUNCTION("""COMPUTED_VALUE"""),-2.0)</f>
        <v>-2</v>
      </c>
      <c r="AE410" s="16">
        <f>IFERROR(__xludf.DUMMYFUNCTION("""COMPUTED_VALUE"""),-1.0)</f>
        <v>-1</v>
      </c>
      <c r="AF410" s="16">
        <f>IFERROR(__xludf.DUMMYFUNCTION("""COMPUTED_VALUE"""),-10.0)</f>
        <v>-10</v>
      </c>
      <c r="AG410" s="16">
        <f>IFERROR(__xludf.DUMMYFUNCTION("""COMPUTED_VALUE"""),-5.0)</f>
        <v>-5</v>
      </c>
      <c r="AH410" s="16">
        <f>IFERROR(__xludf.DUMMYFUNCTION("""COMPUTED_VALUE"""),5.6)</f>
        <v>5.6</v>
      </c>
      <c r="AI410" s="16">
        <f>IFERROR(__xludf.DUMMYFUNCTION("""COMPUTED_VALUE"""),21.2)</f>
        <v>21.2</v>
      </c>
      <c r="AJ410" s="16">
        <f>IFERROR(__xludf.DUMMYFUNCTION("""COMPUTED_VALUE"""),-2.0)</f>
        <v>-2</v>
      </c>
      <c r="AK410" s="16">
        <f>IFERROR(__xludf.DUMMYFUNCTION("""COMPUTED_VALUE"""),-1.0)</f>
        <v>-1</v>
      </c>
      <c r="AL410" s="16">
        <f>IFERROR(__xludf.DUMMYFUNCTION("""COMPUTED_VALUE"""),-10.0)</f>
        <v>-10</v>
      </c>
      <c r="AM410" s="16">
        <f>IFERROR(__xludf.DUMMYFUNCTION("""COMPUTED_VALUE"""),-5.0)</f>
        <v>-5</v>
      </c>
      <c r="AN410" s="16">
        <f>IFERROR(__xludf.DUMMYFUNCTION("""COMPUTED_VALUE"""),0.0)</f>
        <v>0</v>
      </c>
      <c r="AO410" s="16">
        <f>IFERROR(__xludf.DUMMYFUNCTION("""COMPUTED_VALUE"""),1.6)</f>
        <v>1.6</v>
      </c>
      <c r="AP410" s="16">
        <f>IFERROR(__xludf.DUMMYFUNCTION("""COMPUTED_VALUE"""),-2.0)</f>
        <v>-2</v>
      </c>
      <c r="AQ410" s="16">
        <f>IFERROR(__xludf.DUMMYFUNCTION("""COMPUTED_VALUE"""),-1.0)</f>
        <v>-1</v>
      </c>
      <c r="AR410" s="16">
        <f>IFERROR(__xludf.DUMMYFUNCTION("""COMPUTED_VALUE"""),-4.0)</f>
        <v>-4</v>
      </c>
      <c r="AS410" s="16">
        <f>IFERROR(__xludf.DUMMYFUNCTION("""COMPUTED_VALUE"""),-2.0)</f>
        <v>-2</v>
      </c>
      <c r="AT410" s="16"/>
      <c r="AU410" s="16"/>
      <c r="AV410" s="16">
        <f>IFERROR(__xludf.DUMMYFUNCTION("""COMPUTED_VALUE"""),-3.0)</f>
        <v>-3</v>
      </c>
      <c r="AW410" s="16">
        <f>IFERROR(__xludf.DUMMYFUNCTION("""COMPUTED_VALUE"""),3.0)</f>
        <v>3</v>
      </c>
      <c r="AX410" s="16">
        <f>IFERROR(__xludf.DUMMYFUNCTION("""COMPUTED_VALUE"""),-3.0)</f>
        <v>-3</v>
      </c>
      <c r="AY410" s="16">
        <f>IFERROR(__xludf.DUMMYFUNCTION("""COMPUTED_VALUE"""),0.0)</f>
        <v>0</v>
      </c>
      <c r="AZ410" s="16">
        <f>IFERROR(__xludf.DUMMYFUNCTION("""COMPUTED_VALUE"""),-9.0)</f>
        <v>-9</v>
      </c>
      <c r="BA410" s="16">
        <f>IFERROR(__xludf.DUMMYFUNCTION("""COMPUTED_VALUE"""),0.0)</f>
        <v>0</v>
      </c>
      <c r="BB410" s="16">
        <f>IFERROR(__xludf.DUMMYFUNCTION("""COMPUTED_VALUE"""),0.0)</f>
        <v>0</v>
      </c>
      <c r="BC410" s="16">
        <f>IFERROR(__xludf.DUMMYFUNCTION("""COMPUTED_VALUE"""),0.0)</f>
        <v>0</v>
      </c>
      <c r="BD410" s="16">
        <f>IFERROR(__xludf.DUMMYFUNCTION("""COMPUTED_VALUE"""),0.0)</f>
        <v>0</v>
      </c>
      <c r="BE410" s="16">
        <f>IFERROR(__xludf.DUMMYFUNCTION("""COMPUTED_VALUE"""),0.0)</f>
        <v>0</v>
      </c>
      <c r="BF410" s="16">
        <f>IFERROR(__xludf.DUMMYFUNCTION("""COMPUTED_VALUE"""),0.0)</f>
        <v>0</v>
      </c>
      <c r="BG410" s="16">
        <f>IFERROR(__xludf.DUMMYFUNCTION("""COMPUTED_VALUE"""),0.0)</f>
        <v>0</v>
      </c>
      <c r="BH410" s="16">
        <f>IFERROR(__xludf.DUMMYFUNCTION("""COMPUTED_VALUE"""),0.0)</f>
        <v>0</v>
      </c>
      <c r="BI410" s="16">
        <f>IFERROR(__xludf.DUMMYFUNCTION("""COMPUTED_VALUE"""),0.0)</f>
        <v>0</v>
      </c>
      <c r="BJ410" s="16">
        <f>IFERROR(__xludf.DUMMYFUNCTION("""COMPUTED_VALUE"""),15.0)</f>
        <v>15</v>
      </c>
      <c r="BK410" s="16">
        <f>IFERROR(__xludf.DUMMYFUNCTION("""COMPUTED_VALUE"""),11.0)</f>
        <v>11</v>
      </c>
      <c r="BL410" s="16">
        <f>IFERROR(__xludf.DUMMYFUNCTION("""COMPUTED_VALUE"""),-1.0)</f>
        <v>-1</v>
      </c>
      <c r="BM410" s="16">
        <f>IFERROR(__xludf.DUMMYFUNCTION("""COMPUTED_VALUE"""),0.0)</f>
        <v>0</v>
      </c>
      <c r="BN410" s="16">
        <f>IFERROR(__xludf.DUMMYFUNCTION("""COMPUTED_VALUE"""),-2.0)</f>
        <v>-2</v>
      </c>
      <c r="BO410" s="16">
        <f>IFERROR(__xludf.DUMMYFUNCTION("""COMPUTED_VALUE"""),0.0)</f>
        <v>0</v>
      </c>
      <c r="BP410" s="16">
        <f>IFERROR(__xludf.DUMMYFUNCTION("""COMPUTED_VALUE"""),-15.0)</f>
        <v>-15</v>
      </c>
      <c r="BQ410" s="16">
        <f>IFERROR(__xludf.DUMMYFUNCTION("""COMPUTED_VALUE"""),-7.0)</f>
        <v>-7</v>
      </c>
      <c r="BR410" s="16">
        <f>IFERROR(__xludf.DUMMYFUNCTION("""COMPUTED_VALUE"""),-22.0)</f>
        <v>-22</v>
      </c>
      <c r="BS410" s="16" t="str">
        <f>IFERROR(__xludf.DUMMYFUNCTION("""COMPUTED_VALUE"""),"*2-6,11,12/- (15-12)")</f>
        <v>*2-6,11,12/- (15-12)</v>
      </c>
      <c r="BT410" s="16" t="str">
        <f>IFERROR(__xludf.DUMMYFUNCTION("""COMPUTED_VALUE"""),"C")</f>
        <v>C</v>
      </c>
      <c r="BU410" s="16">
        <f>IFERROR(__xludf.DUMMYFUNCTION("""COMPUTED_VALUE"""),15.0)</f>
        <v>15</v>
      </c>
      <c r="BV410" s="16">
        <f>IFERROR(__xludf.DUMMYFUNCTION("""COMPUTED_VALUE"""),0.0)</f>
        <v>0</v>
      </c>
      <c r="BW410" s="16">
        <f>IFERROR(__xludf.DUMMYFUNCTION("""COMPUTED_VALUE"""),2.0)</f>
        <v>2</v>
      </c>
      <c r="BX410" s="16">
        <f>IFERROR(__xludf.DUMMYFUNCTION("""COMPUTED_VALUE"""),0.0)</f>
        <v>0</v>
      </c>
      <c r="BY410" s="16">
        <f>IFERROR(__xludf.DUMMYFUNCTION("""COMPUTED_VALUE"""),6.0)</f>
        <v>6</v>
      </c>
      <c r="BZ410" s="16" t="str">
        <f>IFERROR(__xludf.DUMMYFUNCTION("""COMPUTED_VALUE"""),"D")</f>
        <v>D</v>
      </c>
      <c r="CA410" s="16" t="str">
        <f>IFERROR(__xludf.DUMMYFUNCTION("""COMPUTED_VALUE"""),"D")</f>
        <v>D</v>
      </c>
      <c r="CB410" s="16">
        <f>IFERROR(__xludf.DUMMYFUNCTION("""COMPUTED_VALUE"""),0.0)</f>
        <v>0</v>
      </c>
      <c r="CC410" s="16">
        <f>IFERROR(__xludf.DUMMYFUNCTION("""COMPUTED_VALUE"""),0.0)</f>
        <v>0</v>
      </c>
      <c r="CD410" s="16">
        <f>IFERROR(__xludf.DUMMYFUNCTION("""COMPUTED_VALUE"""),0.0)</f>
        <v>0</v>
      </c>
      <c r="CE410" s="16">
        <f>IFERROR(__xludf.DUMMYFUNCTION("""COMPUTED_VALUE"""),0.0)</f>
        <v>0</v>
      </c>
      <c r="CF410" s="16">
        <f>IFERROR(__xludf.DUMMYFUNCTION("""COMPUTED_VALUE"""),1.0)</f>
        <v>1</v>
      </c>
      <c r="CG410" s="16">
        <f>IFERROR(__xludf.DUMMYFUNCTION("""COMPUTED_VALUE"""),-42.0)</f>
        <v>-42</v>
      </c>
      <c r="CH410" s="16">
        <f>IFERROR(__xludf.DUMMYFUNCTION("""COMPUTED_VALUE"""),-18.0)</f>
        <v>-18</v>
      </c>
      <c r="CI410" s="179">
        <f>IFERROR(__xludf.DUMMYFUNCTION("""COMPUTED_VALUE"""),-23.0)</f>
        <v>-23</v>
      </c>
      <c r="CJ410" s="16"/>
      <c r="CK410" s="16"/>
      <c r="CL410" s="16"/>
      <c r="CM410" s="16"/>
      <c r="CN410" s="16"/>
      <c r="CO410" s="16">
        <f>IFERROR(__xludf.DUMMYFUNCTION("""COMPUTED_VALUE"""),310.0)</f>
        <v>310</v>
      </c>
      <c r="CP410" s="16">
        <f>IFERROR(__xludf.DUMMYFUNCTION("""COMPUTED_VALUE"""),310.0)</f>
        <v>310</v>
      </c>
      <c r="CQ410" s="16">
        <f>IFERROR(__xludf.DUMMYFUNCTION("""COMPUTED_VALUE"""),310.0)</f>
        <v>310</v>
      </c>
      <c r="CR410" s="16" t="str">
        <f>IFERROR(__xludf.DUMMYFUNCTION("""COMPUTED_VALUE"""),"lf-3(0)e10 rf-3e10 cf-3e10")</f>
        <v>lf-3(0)e10 rf-3e10 cf-3e10</v>
      </c>
      <c r="CS410" s="16"/>
      <c r="CT410" s="16"/>
      <c r="CU410" s="16"/>
      <c r="CV410" s="16"/>
      <c r="CW410" s="16"/>
      <c r="CX410" s="16">
        <f>IFERROR(__xludf.DUMMYFUNCTION("""COMPUTED_VALUE"""),3.0)</f>
        <v>3</v>
      </c>
      <c r="CY410" s="16">
        <f>IFERROR(__xludf.DUMMYFUNCTION("""COMPUTED_VALUE"""),3.0)</f>
        <v>3</v>
      </c>
      <c r="CZ410" s="16">
        <f>IFERROR(__xludf.DUMMYFUNCTION("""COMPUTED_VALUE"""),3.0)</f>
        <v>3</v>
      </c>
      <c r="DA410" s="16"/>
      <c r="DB410" s="16"/>
      <c r="DC410" s="16"/>
      <c r="DD410" s="16"/>
      <c r="DE410" s="16"/>
      <c r="DF410" s="16">
        <f>IFERROR(__xludf.DUMMYFUNCTION("""COMPUTED_VALUE"""),10.0)</f>
        <v>10</v>
      </c>
      <c r="DG410" s="16">
        <f>IFERROR(__xludf.DUMMYFUNCTION("""COMPUTED_VALUE"""),10.0)</f>
        <v>10</v>
      </c>
      <c r="DH410" s="16">
        <f>IFERROR(__xludf.DUMMYFUNCTION("""COMPUTED_VALUE"""),10.0)</f>
        <v>10</v>
      </c>
      <c r="DI410" s="16"/>
      <c r="DJ410" s="16"/>
      <c r="DK410" s="16"/>
      <c r="DL410" s="16"/>
      <c r="DM410" s="16"/>
      <c r="DN410" s="16">
        <f>IFERROR(__xludf.DUMMYFUNCTION("""COMPUTED_VALUE"""),0.0)</f>
        <v>0</v>
      </c>
      <c r="DO410" s="16">
        <f>IFERROR(__xludf.DUMMYFUNCTION("""COMPUTED_VALUE"""),0.0)</f>
        <v>0</v>
      </c>
      <c r="DP410" s="16">
        <f>IFERROR(__xludf.DUMMYFUNCTION("""COMPUTED_VALUE"""),0.0)</f>
        <v>0</v>
      </c>
      <c r="DQ410" s="16"/>
      <c r="DR410" s="16"/>
      <c r="DS410" s="16"/>
      <c r="DT410" s="16"/>
      <c r="DU410" s="16"/>
      <c r="DV410" s="16">
        <f>IFERROR(__xludf.DUMMYFUNCTION("""COMPUTED_VALUE"""),0.0)</f>
        <v>0</v>
      </c>
      <c r="DW410" s="16">
        <f>IFERROR(__xludf.DUMMYFUNCTION("""COMPUTED_VALUE"""),2.0)</f>
        <v>2</v>
      </c>
      <c r="DX410" s="16">
        <f>IFERROR(__xludf.DUMMYFUNCTION("""COMPUTED_VALUE"""),0.0)</f>
        <v>0</v>
      </c>
      <c r="DY410" s="16"/>
      <c r="DZ410" s="16"/>
      <c r="EA410" s="16"/>
      <c r="EB410" s="16"/>
      <c r="EC410" s="16"/>
      <c r="ED410" s="16">
        <f>IFERROR(__xludf.DUMMYFUNCTION("""COMPUTED_VALUE"""),0.0)</f>
        <v>0</v>
      </c>
      <c r="EE410" s="16">
        <f>IFERROR(__xludf.DUMMYFUNCTION("""COMPUTED_VALUE"""),2.0)</f>
        <v>2</v>
      </c>
      <c r="EF410" s="16">
        <f>IFERROR(__xludf.DUMMYFUNCTION("""COMPUTED_VALUE"""),0.0)</f>
        <v>0</v>
      </c>
      <c r="EG410" s="179"/>
      <c r="EH410" s="179"/>
      <c r="EI410" s="179"/>
      <c r="EJ410" s="179"/>
      <c r="EK410" s="179"/>
      <c r="EL410" s="179">
        <f>IFERROR(__xludf.DUMMYFUNCTION("""COMPUTED_VALUE"""),-23.0)</f>
        <v>-23</v>
      </c>
      <c r="EM410" s="179">
        <f>IFERROR(__xludf.DUMMYFUNCTION("""COMPUTED_VALUE"""),-21.0)</f>
        <v>-21</v>
      </c>
      <c r="EN410" s="179">
        <f>IFERROR(__xludf.DUMMYFUNCTION("""COMPUTED_VALUE"""),-23.0)</f>
        <v>-23</v>
      </c>
      <c r="EO410" s="16"/>
      <c r="EP410" s="16"/>
      <c r="EQ410" s="16">
        <f>IFERROR(__xludf.DUMMYFUNCTION("""COMPUTED_VALUE"""),4.0)</f>
        <v>4</v>
      </c>
      <c r="ER410" s="16">
        <f>IFERROR(__xludf.DUMMYFUNCTION("""COMPUTED_VALUE"""),-4.0)</f>
        <v>-4</v>
      </c>
      <c r="ES410" s="16"/>
      <c r="ET410" s="16"/>
      <c r="EU410" s="16"/>
      <c r="EV410" s="16"/>
      <c r="EW410" s="16"/>
      <c r="EX410" s="180"/>
      <c r="EY410" s="180"/>
      <c r="EZ410" s="180"/>
      <c r="FA410" s="180"/>
      <c r="FB410" s="180"/>
      <c r="FC410" s="180">
        <f>IFERROR(__xludf.DUMMYFUNCTION("""COMPUTED_VALUE"""),0.3)</f>
        <v>0.3</v>
      </c>
      <c r="FD410" s="180">
        <f>IFERROR(__xludf.DUMMYFUNCTION("""COMPUTED_VALUE"""),0.3)</f>
        <v>0.3</v>
      </c>
      <c r="FE410" s="180">
        <f>IFERROR(__xludf.DUMMYFUNCTION("""COMPUTED_VALUE"""),0.3)</f>
        <v>0.3</v>
      </c>
      <c r="FF410" s="180"/>
      <c r="FG410" s="180"/>
      <c r="FH410" s="180"/>
      <c r="FI410" s="180"/>
      <c r="FJ410" s="180"/>
      <c r="FK410" s="180">
        <f>IFERROR(__xludf.DUMMYFUNCTION("""COMPUTED_VALUE"""),0.181)</f>
        <v>0.181</v>
      </c>
      <c r="FL410" s="180">
        <f>IFERROR(__xludf.DUMMYFUNCTION("""COMPUTED_VALUE"""),0.12037037037037036)</f>
        <v>0.1203703704</v>
      </c>
      <c r="FM410" s="180">
        <f>IFERROR(__xludf.DUMMYFUNCTION("""COMPUTED_VALUE"""),0.181)</f>
        <v>0.181</v>
      </c>
      <c r="FN410" s="16"/>
      <c r="FO410" s="16"/>
      <c r="FP410" s="16"/>
      <c r="FQ410" s="16"/>
      <c r="FR410" s="16"/>
      <c r="FS410" s="16">
        <f>IFERROR(__xludf.DUMMYFUNCTION("""COMPUTED_VALUE"""),0.5732999999999999)</f>
        <v>0.5733</v>
      </c>
      <c r="FT410" s="16">
        <f>IFERROR(__xludf.DUMMYFUNCTION("""COMPUTED_VALUE"""),0.6157407407407407)</f>
        <v>0.6157407407</v>
      </c>
      <c r="FU410" s="16">
        <f>IFERROR(__xludf.DUMMYFUNCTION("""COMPUTED_VALUE"""),0.5732999999999999)</f>
        <v>0.5733</v>
      </c>
      <c r="FV410" s="16"/>
      <c r="FW410" s="16"/>
      <c r="FX410" s="16"/>
      <c r="FY410" s="16"/>
      <c r="FZ410" s="16"/>
      <c r="GA410" s="16">
        <f>IFERROR(__xludf.DUMMYFUNCTION("""COMPUTED_VALUE"""),-6.0)</f>
        <v>-6</v>
      </c>
      <c r="GB410" s="16">
        <f>IFERROR(__xludf.DUMMYFUNCTION("""COMPUTED_VALUE"""),-6.0)</f>
        <v>-6</v>
      </c>
      <c r="GC410" s="16">
        <f>IFERROR(__xludf.DUMMYFUNCTION("""COMPUTED_VALUE"""),-6.0)</f>
        <v>-6</v>
      </c>
      <c r="GD410" s="16" t="s">
        <v>176</v>
      </c>
    </row>
    <row r="411">
      <c r="A411" s="16">
        <f>IFERROR(__xludf.DUMMYFUNCTION("""COMPUTED_VALUE"""),12923.0)</f>
        <v>12923</v>
      </c>
      <c r="B411" s="16" t="str">
        <f>IFERROR(__xludf.DUMMYFUNCTION("""COMPUTED_VALUE"""),"James Outman")</f>
        <v>James Outman</v>
      </c>
      <c r="C411" s="16">
        <f>IFERROR(__xludf.DUMMYFUNCTION("""COMPUTED_VALUE"""),0.0)</f>
        <v>0</v>
      </c>
      <c r="D411" s="16" t="str">
        <f>IFERROR(__xludf.DUMMYFUNCTION("""COMPUTED_VALUE"""),"L")</f>
        <v>L</v>
      </c>
      <c r="E411" s="16"/>
      <c r="F411" s="16"/>
      <c r="G411" s="16">
        <f>IFERROR(__xludf.DUMMYFUNCTION("""COMPUTED_VALUE"""),136.0)</f>
        <v>136</v>
      </c>
      <c r="H411" s="16">
        <f>IFERROR(__xludf.DUMMYFUNCTION("""COMPUTED_VALUE"""),16.0)</f>
        <v>16</v>
      </c>
      <c r="I411" s="16" t="str">
        <f>IFERROR(__xludf.DUMMYFUNCTION("""COMPUTED_VALUE"""),"1p30")</f>
        <v>1p30</v>
      </c>
      <c r="J411" s="16">
        <f>IFERROR(__xludf.DUMMYFUNCTION("""COMPUTED_VALUE"""),53.0)</f>
        <v>53</v>
      </c>
      <c r="K411" s="16">
        <f>IFERROR(__xludf.DUMMYFUNCTION("""COMPUTED_VALUE"""),50.0)</f>
        <v>50</v>
      </c>
      <c r="L411" s="16">
        <f>IFERROR(__xludf.DUMMYFUNCTION("""COMPUTED_VALUE"""),-2.0)</f>
        <v>-2</v>
      </c>
      <c r="M411" s="16">
        <f>IFERROR(__xludf.DUMMYFUNCTION("""COMPUTED_VALUE"""),-2.0)</f>
        <v>-2</v>
      </c>
      <c r="N411" s="16">
        <f>IFERROR(__xludf.DUMMYFUNCTION("""COMPUTED_VALUE"""),-2.0)</f>
        <v>-2</v>
      </c>
      <c r="O411" s="16">
        <f>IFERROR(__xludf.DUMMYFUNCTION("""COMPUTED_VALUE"""),-2.0)</f>
        <v>-2</v>
      </c>
      <c r="P411" s="16">
        <f>IFERROR(__xludf.DUMMYFUNCTION("""COMPUTED_VALUE"""),17.0)</f>
        <v>17</v>
      </c>
      <c r="Q411" s="16">
        <f>IFERROR(__xludf.DUMMYFUNCTION("""COMPUTED_VALUE"""),12.0)</f>
        <v>12</v>
      </c>
      <c r="R411" s="16">
        <f>IFERROR(__xludf.DUMMYFUNCTION("""COMPUTED_VALUE"""),3.0)</f>
        <v>3</v>
      </c>
      <c r="S411" s="16">
        <f>IFERROR(__xludf.DUMMYFUNCTION("""COMPUTED_VALUE"""),1.0)</f>
        <v>1</v>
      </c>
      <c r="T411" s="16">
        <f>IFERROR(__xludf.DUMMYFUNCTION("""COMPUTED_VALUE"""),3.0)</f>
        <v>3</v>
      </c>
      <c r="U411" s="16">
        <f>IFERROR(__xludf.DUMMYFUNCTION("""COMPUTED_VALUE"""),1.0)</f>
        <v>1</v>
      </c>
      <c r="V411" s="16">
        <f>IFERROR(__xludf.DUMMYFUNCTION("""COMPUTED_VALUE"""),0.4)</f>
        <v>0.4</v>
      </c>
      <c r="W411" s="16">
        <f>IFERROR(__xludf.DUMMYFUNCTION("""COMPUTED_VALUE"""),2.3)</f>
        <v>2.3</v>
      </c>
      <c r="X411" s="16">
        <f>IFERROR(__xludf.DUMMYFUNCTION("""COMPUTED_VALUE"""),-2.0)</f>
        <v>-2</v>
      </c>
      <c r="Y411" s="16">
        <f>IFERROR(__xludf.DUMMYFUNCTION("""COMPUTED_VALUE"""),-3.0)</f>
        <v>-3</v>
      </c>
      <c r="Z411" s="16">
        <f>IFERROR(__xludf.DUMMYFUNCTION("""COMPUTED_VALUE"""),-4.0)</f>
        <v>-4</v>
      </c>
      <c r="AA411" s="16">
        <f>IFERROR(__xludf.DUMMYFUNCTION("""COMPUTED_VALUE"""),-6.0)</f>
        <v>-6</v>
      </c>
      <c r="AB411" s="16">
        <f>IFERROR(__xludf.DUMMYFUNCTION("""COMPUTED_VALUE"""),23.5)</f>
        <v>23.5</v>
      </c>
      <c r="AC411" s="16">
        <f>IFERROR(__xludf.DUMMYFUNCTION("""COMPUTED_VALUE"""),20.3)</f>
        <v>20.3</v>
      </c>
      <c r="AD411" s="16">
        <f>IFERROR(__xludf.DUMMYFUNCTION("""COMPUTED_VALUE"""),-1.0)</f>
        <v>-1</v>
      </c>
      <c r="AE411" s="16">
        <f>IFERROR(__xludf.DUMMYFUNCTION("""COMPUTED_VALUE"""),-2.0)</f>
        <v>-2</v>
      </c>
      <c r="AF411" s="16">
        <f>IFERROR(__xludf.DUMMYFUNCTION("""COMPUTED_VALUE"""),-5.0)</f>
        <v>-5</v>
      </c>
      <c r="AG411" s="16">
        <f>IFERROR(__xludf.DUMMYFUNCTION("""COMPUTED_VALUE"""),-10.0)</f>
        <v>-10</v>
      </c>
      <c r="AH411" s="16">
        <f>IFERROR(__xludf.DUMMYFUNCTION("""COMPUTED_VALUE"""),0.9)</f>
        <v>0.9</v>
      </c>
      <c r="AI411" s="16">
        <f>IFERROR(__xludf.DUMMYFUNCTION("""COMPUTED_VALUE"""),7.9)</f>
        <v>7.9</v>
      </c>
      <c r="AJ411" s="16">
        <f>IFERROR(__xludf.DUMMYFUNCTION("""COMPUTED_VALUE"""),-2.0)</f>
        <v>-2</v>
      </c>
      <c r="AK411" s="16">
        <f>IFERROR(__xludf.DUMMYFUNCTION("""COMPUTED_VALUE"""),-2.0)</f>
        <v>-2</v>
      </c>
      <c r="AL411" s="16">
        <f>IFERROR(__xludf.DUMMYFUNCTION("""COMPUTED_VALUE"""),-10.0)</f>
        <v>-10</v>
      </c>
      <c r="AM411" s="16">
        <f>IFERROR(__xludf.DUMMYFUNCTION("""COMPUTED_VALUE"""),-10.0)</f>
        <v>-10</v>
      </c>
      <c r="AN411" s="16">
        <f>IFERROR(__xludf.DUMMYFUNCTION("""COMPUTED_VALUE"""),0.0)</f>
        <v>0</v>
      </c>
      <c r="AO411" s="16">
        <f>IFERROR(__xludf.DUMMYFUNCTION("""COMPUTED_VALUE"""),1.8)</f>
        <v>1.8</v>
      </c>
      <c r="AP411" s="16">
        <f>IFERROR(__xludf.DUMMYFUNCTION("""COMPUTED_VALUE"""),-2.0)</f>
        <v>-2</v>
      </c>
      <c r="AQ411" s="16">
        <f>IFERROR(__xludf.DUMMYFUNCTION("""COMPUTED_VALUE"""),-1.0)</f>
        <v>-1</v>
      </c>
      <c r="AR411" s="16">
        <f>IFERROR(__xludf.DUMMYFUNCTION("""COMPUTED_VALUE"""),-4.0)</f>
        <v>-4</v>
      </c>
      <c r="AS411" s="16">
        <f>IFERROR(__xludf.DUMMYFUNCTION("""COMPUTED_VALUE"""),-2.0)</f>
        <v>-2</v>
      </c>
      <c r="AT411" s="16"/>
      <c r="AU411" s="16"/>
      <c r="AV411" s="16">
        <f>IFERROR(__xludf.DUMMYFUNCTION("""COMPUTED_VALUE"""),-3.0)</f>
        <v>-3</v>
      </c>
      <c r="AW411" s="16">
        <f>IFERROR(__xludf.DUMMYFUNCTION("""COMPUTED_VALUE"""),2.0)</f>
        <v>2</v>
      </c>
      <c r="AX411" s="16">
        <f>IFERROR(__xludf.DUMMYFUNCTION("""COMPUTED_VALUE"""),-3.0)</f>
        <v>-3</v>
      </c>
      <c r="AY411" s="16">
        <f>IFERROR(__xludf.DUMMYFUNCTION("""COMPUTED_VALUE"""),0.0)</f>
        <v>0</v>
      </c>
      <c r="AZ411" s="16">
        <f>IFERROR(__xludf.DUMMYFUNCTION("""COMPUTED_VALUE"""),-9.0)</f>
        <v>-9</v>
      </c>
      <c r="BA411" s="16">
        <f>IFERROR(__xludf.DUMMYFUNCTION("""COMPUTED_VALUE"""),0.0)</f>
        <v>0</v>
      </c>
      <c r="BB411" s="16">
        <f>IFERROR(__xludf.DUMMYFUNCTION("""COMPUTED_VALUE"""),0.0)</f>
        <v>0</v>
      </c>
      <c r="BC411" s="16">
        <f>IFERROR(__xludf.DUMMYFUNCTION("""COMPUTED_VALUE"""),0.0)</f>
        <v>0</v>
      </c>
      <c r="BD411" s="16">
        <f>IFERROR(__xludf.DUMMYFUNCTION("""COMPUTED_VALUE"""),0.0)</f>
        <v>0</v>
      </c>
      <c r="BE411" s="16">
        <f>IFERROR(__xludf.DUMMYFUNCTION("""COMPUTED_VALUE"""),0.0)</f>
        <v>0</v>
      </c>
      <c r="BF411" s="16">
        <f>IFERROR(__xludf.DUMMYFUNCTION("""COMPUTED_VALUE"""),0.0)</f>
        <v>0</v>
      </c>
      <c r="BG411" s="16">
        <f>IFERROR(__xludf.DUMMYFUNCTION("""COMPUTED_VALUE"""),0.0)</f>
        <v>0</v>
      </c>
      <c r="BH411" s="16">
        <f>IFERROR(__xludf.DUMMYFUNCTION("""COMPUTED_VALUE"""),0.0)</f>
        <v>0</v>
      </c>
      <c r="BI411" s="16">
        <f>IFERROR(__xludf.DUMMYFUNCTION("""COMPUTED_VALUE"""),0.0)</f>
        <v>0</v>
      </c>
      <c r="BJ411" s="16">
        <f>IFERROR(__xludf.DUMMYFUNCTION("""COMPUTED_VALUE"""),0.0)</f>
        <v>0</v>
      </c>
      <c r="BK411" s="16">
        <f>IFERROR(__xludf.DUMMYFUNCTION("""COMPUTED_VALUE"""),0.0)</f>
        <v>0</v>
      </c>
      <c r="BL411" s="16">
        <f>IFERROR(__xludf.DUMMYFUNCTION("""COMPUTED_VALUE"""),3.0)</f>
        <v>3</v>
      </c>
      <c r="BM411" s="16">
        <f>IFERROR(__xludf.DUMMYFUNCTION("""COMPUTED_VALUE"""),3.0)</f>
        <v>3</v>
      </c>
      <c r="BN411" s="16">
        <f>IFERROR(__xludf.DUMMYFUNCTION("""COMPUTED_VALUE"""),3.0)</f>
        <v>3</v>
      </c>
      <c r="BO411" s="16">
        <f>IFERROR(__xludf.DUMMYFUNCTION("""COMPUTED_VALUE"""),3.0)</f>
        <v>3</v>
      </c>
      <c r="BP411" s="16">
        <f>IFERROR(__xludf.DUMMYFUNCTION("""COMPUTED_VALUE"""),-6.0)</f>
        <v>-6</v>
      </c>
      <c r="BQ411" s="16">
        <f>IFERROR(__xludf.DUMMYFUNCTION("""COMPUTED_VALUE"""),-6.0)</f>
        <v>-6</v>
      </c>
      <c r="BR411" s="16">
        <f>IFERROR(__xludf.DUMMYFUNCTION("""COMPUTED_VALUE"""),-12.0)</f>
        <v>-12</v>
      </c>
      <c r="BS411" s="16" t="str">
        <f>IFERROR(__xludf.DUMMYFUNCTION("""COMPUTED_VALUE"""),"4-6/- (13-11)")</f>
        <v>4-6/- (13-11)</v>
      </c>
      <c r="BT411" s="16" t="str">
        <f>IFERROR(__xludf.DUMMYFUNCTION("""COMPUTED_VALUE"""),"D")</f>
        <v>D</v>
      </c>
      <c r="BU411" s="16">
        <f>IFERROR(__xludf.DUMMYFUNCTION("""COMPUTED_VALUE"""),15.0)</f>
        <v>15</v>
      </c>
      <c r="BV411" s="16">
        <f>IFERROR(__xludf.DUMMYFUNCTION("""COMPUTED_VALUE"""),0.0)</f>
        <v>0</v>
      </c>
      <c r="BW411" s="16">
        <f>IFERROR(__xludf.DUMMYFUNCTION("""COMPUTED_VALUE"""),2.0)</f>
        <v>2</v>
      </c>
      <c r="BX411" s="16">
        <f>IFERROR(__xludf.DUMMYFUNCTION("""COMPUTED_VALUE"""),0.0)</f>
        <v>0</v>
      </c>
      <c r="BY411" s="16">
        <f>IFERROR(__xludf.DUMMYFUNCTION("""COMPUTED_VALUE"""),6.0)</f>
        <v>6</v>
      </c>
      <c r="BZ411" s="16" t="str">
        <f>IFERROR(__xludf.DUMMYFUNCTION("""COMPUTED_VALUE"""),"D")</f>
        <v>D</v>
      </c>
      <c r="CA411" s="16" t="str">
        <f>IFERROR(__xludf.DUMMYFUNCTION("""COMPUTED_VALUE"""),"D")</f>
        <v>D</v>
      </c>
      <c r="CB411" s="16">
        <f>IFERROR(__xludf.DUMMYFUNCTION("""COMPUTED_VALUE"""),0.0)</f>
        <v>0</v>
      </c>
      <c r="CC411" s="16">
        <f>IFERROR(__xludf.DUMMYFUNCTION("""COMPUTED_VALUE"""),0.0)</f>
        <v>0</v>
      </c>
      <c r="CD411" s="16">
        <f>IFERROR(__xludf.DUMMYFUNCTION("""COMPUTED_VALUE"""),0.0)</f>
        <v>0</v>
      </c>
      <c r="CE411" s="16">
        <f>IFERROR(__xludf.DUMMYFUNCTION("""COMPUTED_VALUE"""),0.0)</f>
        <v>0</v>
      </c>
      <c r="CF411" s="16">
        <f>IFERROR(__xludf.DUMMYFUNCTION("""COMPUTED_VALUE"""),1.0)</f>
        <v>1</v>
      </c>
      <c r="CG411" s="16">
        <f>IFERROR(__xludf.DUMMYFUNCTION("""COMPUTED_VALUE"""),-28.0)</f>
        <v>-28</v>
      </c>
      <c r="CH411" s="16">
        <f>IFERROR(__xludf.DUMMYFUNCTION("""COMPUTED_VALUE"""),-26.0)</f>
        <v>-26</v>
      </c>
      <c r="CI411" s="179">
        <f>IFERROR(__xludf.DUMMYFUNCTION("""COMPUTED_VALUE"""),-23.0)</f>
        <v>-23</v>
      </c>
      <c r="CJ411" s="16"/>
      <c r="CK411" s="16"/>
      <c r="CL411" s="16"/>
      <c r="CM411" s="16"/>
      <c r="CN411" s="16"/>
      <c r="CO411" s="16"/>
      <c r="CP411" s="16">
        <f>IFERROR(__xludf.DUMMYFUNCTION("""COMPUTED_VALUE"""),304.0)</f>
        <v>304</v>
      </c>
      <c r="CQ411" s="16"/>
      <c r="CR411" s="16" t="str">
        <f>IFERROR(__xludf.DUMMYFUNCTION("""COMPUTED_VALUE"""),"cf-3(-1)e4")</f>
        <v>cf-3(-1)e4</v>
      </c>
      <c r="CS411" s="16"/>
      <c r="CT411" s="16"/>
      <c r="CU411" s="16"/>
      <c r="CV411" s="16"/>
      <c r="CW411" s="16"/>
      <c r="CX411" s="16"/>
      <c r="CY411" s="16">
        <f>IFERROR(__xludf.DUMMYFUNCTION("""COMPUTED_VALUE"""),3.0)</f>
        <v>3</v>
      </c>
      <c r="CZ411" s="16"/>
      <c r="DA411" s="16"/>
      <c r="DB411" s="16"/>
      <c r="DC411" s="16"/>
      <c r="DD411" s="16"/>
      <c r="DE411" s="16"/>
      <c r="DF411" s="16"/>
      <c r="DG411" s="16">
        <f>IFERROR(__xludf.DUMMYFUNCTION("""COMPUTED_VALUE"""),4.0)</f>
        <v>4</v>
      </c>
      <c r="DH411" s="16"/>
      <c r="DI411" s="16"/>
      <c r="DJ411" s="16"/>
      <c r="DK411" s="16"/>
      <c r="DL411" s="16"/>
      <c r="DM411" s="16"/>
      <c r="DN411" s="16"/>
      <c r="DO411" s="16">
        <f>IFERROR(__xludf.DUMMYFUNCTION("""COMPUTED_VALUE"""),0.0)</f>
        <v>0</v>
      </c>
      <c r="DP411" s="16"/>
      <c r="DQ411" s="16"/>
      <c r="DR411" s="16"/>
      <c r="DS411" s="16"/>
      <c r="DT411" s="16"/>
      <c r="DU411" s="16"/>
      <c r="DV411" s="16"/>
      <c r="DW411" s="16">
        <f>IFERROR(__xludf.DUMMYFUNCTION("""COMPUTED_VALUE"""),3.0)</f>
        <v>3</v>
      </c>
      <c r="DX411" s="16"/>
      <c r="DY411" s="16"/>
      <c r="DZ411" s="16"/>
      <c r="EA411" s="16"/>
      <c r="EB411" s="16"/>
      <c r="EC411" s="16"/>
      <c r="ED411" s="16"/>
      <c r="EE411" s="16">
        <f>IFERROR(__xludf.DUMMYFUNCTION("""COMPUTED_VALUE"""),3.0)</f>
        <v>3</v>
      </c>
      <c r="EF411" s="16"/>
      <c r="EG411" s="179"/>
      <c r="EH411" s="179"/>
      <c r="EI411" s="179"/>
      <c r="EJ411" s="179"/>
      <c r="EK411" s="179"/>
      <c r="EL411" s="179"/>
      <c r="EM411" s="179">
        <f>IFERROR(__xludf.DUMMYFUNCTION("""COMPUTED_VALUE"""),-20.0)</f>
        <v>-20</v>
      </c>
      <c r="EN411" s="179"/>
      <c r="EO411" s="16"/>
      <c r="EP411" s="16">
        <f>IFERROR(__xludf.DUMMYFUNCTION("""COMPUTED_VALUE"""),1.0)</f>
        <v>1</v>
      </c>
      <c r="EQ411" s="16">
        <f>IFERROR(__xludf.DUMMYFUNCTION("""COMPUTED_VALUE"""),4.0)</f>
        <v>4</v>
      </c>
      <c r="ER411" s="16">
        <f>IFERROR(__xludf.DUMMYFUNCTION("""COMPUTED_VALUE"""),-2.0)</f>
        <v>-2</v>
      </c>
      <c r="ES411" s="16"/>
      <c r="ET411" s="16"/>
      <c r="EU411" s="16"/>
      <c r="EV411" s="16"/>
      <c r="EW411" s="16"/>
      <c r="EX411" s="180"/>
      <c r="EY411" s="180"/>
      <c r="EZ411" s="180"/>
      <c r="FA411" s="180"/>
      <c r="FB411" s="180"/>
      <c r="FC411" s="180"/>
      <c r="FD411" s="180">
        <f>IFERROR(__xludf.DUMMYFUNCTION("""COMPUTED_VALUE"""),0.3)</f>
        <v>0.3</v>
      </c>
      <c r="FE411" s="180"/>
      <c r="FF411" s="180"/>
      <c r="FG411" s="180"/>
      <c r="FH411" s="180"/>
      <c r="FI411" s="180"/>
      <c r="FJ411" s="180"/>
      <c r="FK411" s="180"/>
      <c r="FL411" s="180">
        <f>IFERROR(__xludf.DUMMYFUNCTION("""COMPUTED_VALUE"""),0.046296296296296294)</f>
        <v>0.0462962963</v>
      </c>
      <c r="FM411" s="180"/>
      <c r="FN411" s="16"/>
      <c r="FO411" s="16"/>
      <c r="FP411" s="16"/>
      <c r="FQ411" s="16"/>
      <c r="FR411" s="16"/>
      <c r="FS411" s="16"/>
      <c r="FT411" s="16">
        <f>IFERROR(__xludf.DUMMYFUNCTION("""COMPUTED_VALUE"""),0.6675925925925925)</f>
        <v>0.6675925926</v>
      </c>
      <c r="FU411" s="16"/>
      <c r="FV411" s="16"/>
      <c r="FW411" s="16"/>
      <c r="FX411" s="16"/>
      <c r="FY411" s="16"/>
      <c r="FZ411" s="16"/>
      <c r="GA411" s="16"/>
      <c r="GB411" s="16">
        <f>IFERROR(__xludf.DUMMYFUNCTION("""COMPUTED_VALUE"""),-5.0)</f>
        <v>-5</v>
      </c>
      <c r="GC411" s="16"/>
      <c r="GD411" s="16" t="s">
        <v>176</v>
      </c>
    </row>
    <row r="412">
      <c r="A412" s="16">
        <f>IFERROR(__xludf.DUMMYFUNCTION("""COMPUTED_VALUE"""),13078.0)</f>
        <v>13078</v>
      </c>
      <c r="B412" s="16" t="str">
        <f>IFERROR(__xludf.DUMMYFUNCTION("""COMPUTED_VALUE"""),"Kevin Kiermaier")</f>
        <v>Kevin Kiermaier</v>
      </c>
      <c r="C412" s="16">
        <f>IFERROR(__xludf.DUMMYFUNCTION("""COMPUTED_VALUE"""),1.03)</f>
        <v>1.03</v>
      </c>
      <c r="D412" s="16" t="str">
        <f>IFERROR(__xludf.DUMMYFUNCTION("""COMPUTED_VALUE"""),"L")</f>
        <v>L</v>
      </c>
      <c r="E412" s="16"/>
      <c r="F412" s="16"/>
      <c r="G412" s="16">
        <f>IFERROR(__xludf.DUMMYFUNCTION("""COMPUTED_VALUE"""),259.0)</f>
        <v>259</v>
      </c>
      <c r="H412" s="16">
        <f>IFERROR(__xludf.DUMMYFUNCTION("""COMPUTED_VALUE"""),12.0)</f>
        <v>12</v>
      </c>
      <c r="I412" s="16" t="str">
        <f>IFERROR(__xludf.DUMMYFUNCTION("""COMPUTED_VALUE"""),"1p60")</f>
        <v>1p60</v>
      </c>
      <c r="J412" s="16">
        <f>IFERROR(__xludf.DUMMYFUNCTION("""COMPUTED_VALUE"""),39.0)</f>
        <v>39</v>
      </c>
      <c r="K412" s="16">
        <f>IFERROR(__xludf.DUMMYFUNCTION("""COMPUTED_VALUE"""),42.0)</f>
        <v>42</v>
      </c>
      <c r="L412" s="16">
        <f>IFERROR(__xludf.DUMMYFUNCTION("""COMPUTED_VALUE"""),-1.0)</f>
        <v>-1</v>
      </c>
      <c r="M412" s="16">
        <f>IFERROR(__xludf.DUMMYFUNCTION("""COMPUTED_VALUE"""),-2.0)</f>
        <v>-2</v>
      </c>
      <c r="N412" s="16">
        <f>IFERROR(__xludf.DUMMYFUNCTION("""COMPUTED_VALUE"""),-1.0)</f>
        <v>-1</v>
      </c>
      <c r="O412" s="16">
        <f>IFERROR(__xludf.DUMMYFUNCTION("""COMPUTED_VALUE"""),-2.0)</f>
        <v>-2</v>
      </c>
      <c r="P412" s="16">
        <f>IFERROR(__xludf.DUMMYFUNCTION("""COMPUTED_VALUE"""),7.0)</f>
        <v>7</v>
      </c>
      <c r="Q412" s="16">
        <f>IFERROR(__xludf.DUMMYFUNCTION("""COMPUTED_VALUE"""),0.0)</f>
        <v>0</v>
      </c>
      <c r="R412" s="16">
        <f>IFERROR(__xludf.DUMMYFUNCTION("""COMPUTED_VALUE"""),-1.0)</f>
        <v>-1</v>
      </c>
      <c r="S412" s="16">
        <f>IFERROR(__xludf.DUMMYFUNCTION("""COMPUTED_VALUE"""),-2.0)</f>
        <v>-2</v>
      </c>
      <c r="T412" s="16">
        <f>IFERROR(__xludf.DUMMYFUNCTION("""COMPUTED_VALUE"""),-1.0)</f>
        <v>-1</v>
      </c>
      <c r="U412" s="16">
        <f>IFERROR(__xludf.DUMMYFUNCTION("""COMPUTED_VALUE"""),-2.0)</f>
        <v>-2</v>
      </c>
      <c r="V412" s="16">
        <f>IFERROR(__xludf.DUMMYFUNCTION("""COMPUTED_VALUE"""),5.1)</f>
        <v>5.1</v>
      </c>
      <c r="W412" s="16">
        <f>IFERROR(__xludf.DUMMYFUNCTION("""COMPUTED_VALUE"""),15.8)</f>
        <v>15.8</v>
      </c>
      <c r="X412" s="16">
        <f>IFERROR(__xludf.DUMMYFUNCTION("""COMPUTED_VALUE"""),-2.0)</f>
        <v>-2</v>
      </c>
      <c r="Y412" s="16">
        <f>IFERROR(__xludf.DUMMYFUNCTION("""COMPUTED_VALUE"""),-1.0)</f>
        <v>-1</v>
      </c>
      <c r="Z412" s="16">
        <f>IFERROR(__xludf.DUMMYFUNCTION("""COMPUTED_VALUE"""),-4.0)</f>
        <v>-4</v>
      </c>
      <c r="AA412" s="16">
        <f>IFERROR(__xludf.DUMMYFUNCTION("""COMPUTED_VALUE"""),-2.0)</f>
        <v>-2</v>
      </c>
      <c r="AB412" s="16">
        <f>IFERROR(__xludf.DUMMYFUNCTION("""COMPUTED_VALUE"""),14.1)</f>
        <v>14.1</v>
      </c>
      <c r="AC412" s="16">
        <f>IFERROR(__xludf.DUMMYFUNCTION("""COMPUTED_VALUE"""),17.9)</f>
        <v>17.9</v>
      </c>
      <c r="AD412" s="16">
        <f>IFERROR(__xludf.DUMMYFUNCTION("""COMPUTED_VALUE"""),-2.0)</f>
        <v>-2</v>
      </c>
      <c r="AE412" s="16">
        <f>IFERROR(__xludf.DUMMYFUNCTION("""COMPUTED_VALUE"""),-2.0)</f>
        <v>-2</v>
      </c>
      <c r="AF412" s="16">
        <f>IFERROR(__xludf.DUMMYFUNCTION("""COMPUTED_VALUE"""),-10.0)</f>
        <v>-10</v>
      </c>
      <c r="AG412" s="16">
        <f>IFERROR(__xludf.DUMMYFUNCTION("""COMPUTED_VALUE"""),-10.0)</f>
        <v>-10</v>
      </c>
      <c r="AH412" s="16">
        <f>IFERROR(__xludf.DUMMYFUNCTION("""COMPUTED_VALUE"""),8.4)</f>
        <v>8.4</v>
      </c>
      <c r="AI412" s="16">
        <f>IFERROR(__xludf.DUMMYFUNCTION("""COMPUTED_VALUE"""),25.1)</f>
        <v>25.1</v>
      </c>
      <c r="AJ412" s="16">
        <f>IFERROR(__xludf.DUMMYFUNCTION("""COMPUTED_VALUE"""),-2.0)</f>
        <v>-2</v>
      </c>
      <c r="AK412" s="16">
        <f>IFERROR(__xludf.DUMMYFUNCTION("""COMPUTED_VALUE"""),-1.0)</f>
        <v>-1</v>
      </c>
      <c r="AL412" s="16">
        <f>IFERROR(__xludf.DUMMYFUNCTION("""COMPUTED_VALUE"""),-10.0)</f>
        <v>-10</v>
      </c>
      <c r="AM412" s="16">
        <f>IFERROR(__xludf.DUMMYFUNCTION("""COMPUTED_VALUE"""),-5.0)</f>
        <v>-5</v>
      </c>
      <c r="AN412" s="16">
        <f>IFERROR(__xludf.DUMMYFUNCTION("""COMPUTED_VALUE"""),0.0)</f>
        <v>0</v>
      </c>
      <c r="AO412" s="16">
        <f>IFERROR(__xludf.DUMMYFUNCTION("""COMPUTED_VALUE"""),1.0)</f>
        <v>1</v>
      </c>
      <c r="AP412" s="16">
        <f>IFERROR(__xludf.DUMMYFUNCTION("""COMPUTED_VALUE"""),-2.0)</f>
        <v>-2</v>
      </c>
      <c r="AQ412" s="16">
        <f>IFERROR(__xludf.DUMMYFUNCTION("""COMPUTED_VALUE"""),-2.0)</f>
        <v>-2</v>
      </c>
      <c r="AR412" s="16">
        <f>IFERROR(__xludf.DUMMYFUNCTION("""COMPUTED_VALUE"""),-4.0)</f>
        <v>-4</v>
      </c>
      <c r="AS412" s="16">
        <f>IFERROR(__xludf.DUMMYFUNCTION("""COMPUTED_VALUE"""),-4.0)</f>
        <v>-4</v>
      </c>
      <c r="AT412" s="16"/>
      <c r="AU412" s="16">
        <f>IFERROR(__xludf.DUMMYFUNCTION("""COMPUTED_VALUE"""),1.0)</f>
        <v>1</v>
      </c>
      <c r="AV412" s="16">
        <f>IFERROR(__xludf.DUMMYFUNCTION("""COMPUTED_VALUE"""),-3.0)</f>
        <v>-3</v>
      </c>
      <c r="AW412" s="16">
        <f>IFERROR(__xludf.DUMMYFUNCTION("""COMPUTED_VALUE"""),1.0)</f>
        <v>1</v>
      </c>
      <c r="AX412" s="16">
        <f>IFERROR(__xludf.DUMMYFUNCTION("""COMPUTED_VALUE"""),-3.0)</f>
        <v>-3</v>
      </c>
      <c r="AY412" s="16">
        <f>IFERROR(__xludf.DUMMYFUNCTION("""COMPUTED_VALUE"""),-1.0)</f>
        <v>-1</v>
      </c>
      <c r="AZ412" s="16">
        <f>IFERROR(__xludf.DUMMYFUNCTION("""COMPUTED_VALUE"""),-9.0)</f>
        <v>-9</v>
      </c>
      <c r="BA412" s="16">
        <f>IFERROR(__xludf.DUMMYFUNCTION("""COMPUTED_VALUE"""),-3.0)</f>
        <v>-3</v>
      </c>
      <c r="BB412" s="16">
        <f>IFERROR(__xludf.DUMMYFUNCTION("""COMPUTED_VALUE"""),5.0)</f>
        <v>5</v>
      </c>
      <c r="BC412" s="16">
        <f>IFERROR(__xludf.DUMMYFUNCTION("""COMPUTED_VALUE"""),5.0)</f>
        <v>5</v>
      </c>
      <c r="BD412" s="16">
        <f>IFERROR(__xludf.DUMMYFUNCTION("""COMPUTED_VALUE"""),1.0)</f>
        <v>1</v>
      </c>
      <c r="BE412" s="16">
        <f>IFERROR(__xludf.DUMMYFUNCTION("""COMPUTED_VALUE"""),1.0)</f>
        <v>1</v>
      </c>
      <c r="BF412" s="16">
        <f>IFERROR(__xludf.DUMMYFUNCTION("""COMPUTED_VALUE"""),1.0)</f>
        <v>1</v>
      </c>
      <c r="BG412" s="16">
        <f>IFERROR(__xludf.DUMMYFUNCTION("""COMPUTED_VALUE"""),1.0)</f>
        <v>1</v>
      </c>
      <c r="BH412" s="16">
        <f>IFERROR(__xludf.DUMMYFUNCTION("""COMPUTED_VALUE"""),0.0)</f>
        <v>0</v>
      </c>
      <c r="BI412" s="16">
        <f>IFERROR(__xludf.DUMMYFUNCTION("""COMPUTED_VALUE"""),-4.0)</f>
        <v>-4</v>
      </c>
      <c r="BJ412" s="16">
        <f>IFERROR(__xludf.DUMMYFUNCTION("""COMPUTED_VALUE"""),10.0)</f>
        <v>10</v>
      </c>
      <c r="BK412" s="16">
        <f>IFERROR(__xludf.DUMMYFUNCTION("""COMPUTED_VALUE"""),11.0)</f>
        <v>11</v>
      </c>
      <c r="BL412" s="16">
        <f>IFERROR(__xludf.DUMMYFUNCTION("""COMPUTED_VALUE"""),0.0)</f>
        <v>0</v>
      </c>
      <c r="BM412" s="16">
        <f>IFERROR(__xludf.DUMMYFUNCTION("""COMPUTED_VALUE"""),0.0)</f>
        <v>0</v>
      </c>
      <c r="BN412" s="16">
        <f>IFERROR(__xludf.DUMMYFUNCTION("""COMPUTED_VALUE"""),0.0)</f>
        <v>0</v>
      </c>
      <c r="BO412" s="16">
        <f>IFERROR(__xludf.DUMMYFUNCTION("""COMPUTED_VALUE"""),0.0)</f>
        <v>0</v>
      </c>
      <c r="BP412" s="16">
        <f>IFERROR(__xludf.DUMMYFUNCTION("""COMPUTED_VALUE"""),-12.0)</f>
        <v>-12</v>
      </c>
      <c r="BQ412" s="16">
        <f>IFERROR(__xludf.DUMMYFUNCTION("""COMPUTED_VALUE"""),-10.0)</f>
        <v>-10</v>
      </c>
      <c r="BR412" s="16">
        <f>IFERROR(__xludf.DUMMYFUNCTION("""COMPUTED_VALUE"""),-22.0)</f>
        <v>-22</v>
      </c>
      <c r="BS412" s="16" t="str">
        <f>IFERROR(__xludf.DUMMYFUNCTION("""COMPUTED_VALUE"""),"*2-5/- (17-12)")</f>
        <v>*2-5/- (17-12)</v>
      </c>
      <c r="BT412" s="16" t="str">
        <f>IFERROR(__xludf.DUMMYFUNCTION("""COMPUTED_VALUE"""),"B")</f>
        <v>B</v>
      </c>
      <c r="BU412" s="16">
        <f>IFERROR(__xludf.DUMMYFUNCTION("""COMPUTED_VALUE"""),15.0)</f>
        <v>15</v>
      </c>
      <c r="BV412" s="16">
        <f>IFERROR(__xludf.DUMMYFUNCTION("""COMPUTED_VALUE"""),1.0)</f>
        <v>1</v>
      </c>
      <c r="BW412" s="16">
        <f>IFERROR(__xludf.DUMMYFUNCTION("""COMPUTED_VALUE"""),2.0)</f>
        <v>2</v>
      </c>
      <c r="BX412" s="16">
        <f>IFERROR(__xludf.DUMMYFUNCTION("""COMPUTED_VALUE"""),2.0)</f>
        <v>2</v>
      </c>
      <c r="BY412" s="16">
        <f>IFERROR(__xludf.DUMMYFUNCTION("""COMPUTED_VALUE"""),6.0)</f>
        <v>6</v>
      </c>
      <c r="BZ412" s="16" t="str">
        <f>IFERROR(__xludf.DUMMYFUNCTION("""COMPUTED_VALUE"""),"B")</f>
        <v>B</v>
      </c>
      <c r="CA412" s="16" t="str">
        <f>IFERROR(__xludf.DUMMYFUNCTION("""COMPUTED_VALUE"""),"D")</f>
        <v>D</v>
      </c>
      <c r="CB412" s="16">
        <f>IFERROR(__xludf.DUMMYFUNCTION("""COMPUTED_VALUE"""),1.0)</f>
        <v>1</v>
      </c>
      <c r="CC412" s="16">
        <f>IFERROR(__xludf.DUMMYFUNCTION("""COMPUTED_VALUE"""),0.0)</f>
        <v>0</v>
      </c>
      <c r="CD412" s="16">
        <f>IFERROR(__xludf.DUMMYFUNCTION("""COMPUTED_VALUE"""),1.0)</f>
        <v>1</v>
      </c>
      <c r="CE412" s="16">
        <f>IFERROR(__xludf.DUMMYFUNCTION("""COMPUTED_VALUE"""),0.0)</f>
        <v>0</v>
      </c>
      <c r="CF412" s="16">
        <f>IFERROR(__xludf.DUMMYFUNCTION("""COMPUTED_VALUE"""),1.0)</f>
        <v>1</v>
      </c>
      <c r="CG412" s="16">
        <f>IFERROR(__xludf.DUMMYFUNCTION("""COMPUTED_VALUE"""),-38.0)</f>
        <v>-38</v>
      </c>
      <c r="CH412" s="16">
        <f>IFERROR(__xludf.DUMMYFUNCTION("""COMPUTED_VALUE"""),-27.0)</f>
        <v>-27</v>
      </c>
      <c r="CI412" s="179">
        <f>IFERROR(__xludf.DUMMYFUNCTION("""COMPUTED_VALUE"""),-23.0)</f>
        <v>-23</v>
      </c>
      <c r="CJ412" s="16"/>
      <c r="CK412" s="16"/>
      <c r="CL412" s="16"/>
      <c r="CM412" s="16"/>
      <c r="CN412" s="16"/>
      <c r="CO412" s="16"/>
      <c r="CP412" s="16">
        <f>IFERROR(__xludf.DUMMYFUNCTION("""COMPUTED_VALUE"""),106.0)</f>
        <v>106</v>
      </c>
      <c r="CQ412" s="16"/>
      <c r="CR412" s="16" t="str">
        <f>IFERROR(__xludf.DUMMYFUNCTION("""COMPUTED_VALUE"""),"cf-1(-3)e6")</f>
        <v>cf-1(-3)e6</v>
      </c>
      <c r="CS412" s="16"/>
      <c r="CT412" s="16"/>
      <c r="CU412" s="16"/>
      <c r="CV412" s="16"/>
      <c r="CW412" s="16"/>
      <c r="CX412" s="16"/>
      <c r="CY412" s="16">
        <f>IFERROR(__xludf.DUMMYFUNCTION("""COMPUTED_VALUE"""),1.0)</f>
        <v>1</v>
      </c>
      <c r="CZ412" s="16"/>
      <c r="DA412" s="16"/>
      <c r="DB412" s="16"/>
      <c r="DC412" s="16"/>
      <c r="DD412" s="16"/>
      <c r="DE412" s="16"/>
      <c r="DF412" s="16"/>
      <c r="DG412" s="16">
        <f>IFERROR(__xludf.DUMMYFUNCTION("""COMPUTED_VALUE"""),6.0)</f>
        <v>6</v>
      </c>
      <c r="DH412" s="16"/>
      <c r="DI412" s="16"/>
      <c r="DJ412" s="16"/>
      <c r="DK412" s="16"/>
      <c r="DL412" s="16"/>
      <c r="DM412" s="16"/>
      <c r="DN412" s="16"/>
      <c r="DO412" s="16">
        <f>IFERROR(__xludf.DUMMYFUNCTION("""COMPUTED_VALUE"""),4.0)</f>
        <v>4</v>
      </c>
      <c r="DP412" s="16"/>
      <c r="DQ412" s="16"/>
      <c r="DR412" s="16"/>
      <c r="DS412" s="16"/>
      <c r="DT412" s="16"/>
      <c r="DU412" s="16"/>
      <c r="DV412" s="16"/>
      <c r="DW412" s="16">
        <f>IFERROR(__xludf.DUMMYFUNCTION("""COMPUTED_VALUE"""),3.0)</f>
        <v>3</v>
      </c>
      <c r="DX412" s="16"/>
      <c r="DY412" s="16"/>
      <c r="DZ412" s="16"/>
      <c r="EA412" s="16"/>
      <c r="EB412" s="16"/>
      <c r="EC412" s="16"/>
      <c r="ED412" s="16"/>
      <c r="EE412" s="16">
        <f>IFERROR(__xludf.DUMMYFUNCTION("""COMPUTED_VALUE"""),7.0)</f>
        <v>7</v>
      </c>
      <c r="EF412" s="16"/>
      <c r="EG412" s="179"/>
      <c r="EH412" s="179"/>
      <c r="EI412" s="179"/>
      <c r="EJ412" s="179"/>
      <c r="EK412" s="179"/>
      <c r="EL412" s="179"/>
      <c r="EM412" s="179">
        <f>IFERROR(__xludf.DUMMYFUNCTION("""COMPUTED_VALUE"""),-16.0)</f>
        <v>-16</v>
      </c>
      <c r="EN412" s="179"/>
      <c r="EO412" s="16"/>
      <c r="EP412" s="16">
        <f>IFERROR(__xludf.DUMMYFUNCTION("""COMPUTED_VALUE"""),-2.0)</f>
        <v>-2</v>
      </c>
      <c r="EQ412" s="16">
        <f>IFERROR(__xludf.DUMMYFUNCTION("""COMPUTED_VALUE"""),4.0)</f>
        <v>4</v>
      </c>
      <c r="ER412" s="16">
        <f>IFERROR(__xludf.DUMMYFUNCTION("""COMPUTED_VALUE"""),1.0)</f>
        <v>1</v>
      </c>
      <c r="ES412" s="16"/>
      <c r="ET412" s="16"/>
      <c r="EU412" s="16"/>
      <c r="EV412" s="16"/>
      <c r="EW412" s="16"/>
      <c r="EX412" s="180"/>
      <c r="EY412" s="180"/>
      <c r="EZ412" s="180"/>
      <c r="FA412" s="180"/>
      <c r="FB412" s="180"/>
      <c r="FC412" s="180"/>
      <c r="FD412" s="180">
        <f>IFERROR(__xludf.DUMMYFUNCTION("""COMPUTED_VALUE"""),0.0)</f>
        <v>0</v>
      </c>
      <c r="FE412" s="180"/>
      <c r="FF412" s="180"/>
      <c r="FG412" s="180"/>
      <c r="FH412" s="180"/>
      <c r="FI412" s="180"/>
      <c r="FJ412" s="180"/>
      <c r="FK412" s="180"/>
      <c r="FL412" s="180">
        <f>IFERROR(__xludf.DUMMYFUNCTION("""COMPUTED_VALUE"""),0.06944444444444445)</f>
        <v>0.06944444444</v>
      </c>
      <c r="FM412" s="180"/>
      <c r="FN412" s="16"/>
      <c r="FO412" s="16"/>
      <c r="FP412" s="16"/>
      <c r="FQ412" s="16"/>
      <c r="FR412" s="16"/>
      <c r="FS412" s="16"/>
      <c r="FT412" s="16">
        <f>IFERROR(__xludf.DUMMYFUNCTION("""COMPUTED_VALUE"""),0.9305555555555556)</f>
        <v>0.9305555556</v>
      </c>
      <c r="FU412" s="16"/>
      <c r="FV412" s="16"/>
      <c r="FW412" s="16"/>
      <c r="FX412" s="16"/>
      <c r="FY412" s="16"/>
      <c r="FZ412" s="16"/>
      <c r="GA412" s="16"/>
      <c r="GB412" s="16">
        <f>IFERROR(__xludf.DUMMYFUNCTION("""COMPUTED_VALUE"""),8.0)</f>
        <v>8</v>
      </c>
      <c r="GC412" s="16"/>
      <c r="GD412" s="16" t="s">
        <v>176</v>
      </c>
    </row>
    <row r="413">
      <c r="A413" s="16">
        <f>IFERROR(__xludf.DUMMYFUNCTION("""COMPUTED_VALUE"""),12621.0)</f>
        <v>12621</v>
      </c>
      <c r="B413" s="16" t="str">
        <f>IFERROR(__xludf.DUMMYFUNCTION("""COMPUTED_VALUE"""),"Brooks Lee")</f>
        <v>Brooks Lee</v>
      </c>
      <c r="C413" s="16">
        <f>IFERROR(__xludf.DUMMYFUNCTION("""COMPUTED_VALUE"""),0.0)</f>
        <v>0</v>
      </c>
      <c r="D413" s="16" t="str">
        <f>IFERROR(__xludf.DUMMYFUNCTION("""COMPUTED_VALUE"""),"S")</f>
        <v>S</v>
      </c>
      <c r="E413" s="16"/>
      <c r="F413" s="16"/>
      <c r="G413" s="16">
        <f>IFERROR(__xludf.DUMMYFUNCTION("""COMPUTED_VALUE"""),172.0)</f>
        <v>172</v>
      </c>
      <c r="H413" s="16">
        <f>IFERROR(__xludf.DUMMYFUNCTION("""COMPUTED_VALUE"""),11.0)</f>
        <v>11</v>
      </c>
      <c r="I413" s="16" t="str">
        <f>IFERROR(__xludf.DUMMYFUNCTION("""COMPUTED_VALUE"""),"2p30")</f>
        <v>2p30</v>
      </c>
      <c r="J413" s="16">
        <f>IFERROR(__xludf.DUMMYFUNCTION("""COMPUTED_VALUE"""),13.0)</f>
        <v>13</v>
      </c>
      <c r="K413" s="16">
        <f>IFERROR(__xludf.DUMMYFUNCTION("""COMPUTED_VALUE"""),6.0)</f>
        <v>6</v>
      </c>
      <c r="L413" s="16">
        <f>IFERROR(__xludf.DUMMYFUNCTION("""COMPUTED_VALUE"""),1.0)</f>
        <v>1</v>
      </c>
      <c r="M413" s="16">
        <f>IFERROR(__xludf.DUMMYFUNCTION("""COMPUTED_VALUE"""),2.0)</f>
        <v>2</v>
      </c>
      <c r="N413" s="16">
        <f>IFERROR(__xludf.DUMMYFUNCTION("""COMPUTED_VALUE"""),1.0)</f>
        <v>1</v>
      </c>
      <c r="O413" s="16">
        <f>IFERROR(__xludf.DUMMYFUNCTION("""COMPUTED_VALUE"""),2.0)</f>
        <v>2</v>
      </c>
      <c r="P413" s="16">
        <f>IFERROR(__xludf.DUMMYFUNCTION("""COMPUTED_VALUE"""),0.0)</f>
        <v>0</v>
      </c>
      <c r="Q413" s="16">
        <f>IFERROR(__xludf.DUMMYFUNCTION("""COMPUTED_VALUE"""),2.0)</f>
        <v>2</v>
      </c>
      <c r="R413" s="16">
        <f>IFERROR(__xludf.DUMMYFUNCTION("""COMPUTED_VALUE"""),-3.0)</f>
        <v>-3</v>
      </c>
      <c r="S413" s="16">
        <f>IFERROR(__xludf.DUMMYFUNCTION("""COMPUTED_VALUE"""),-2.0)</f>
        <v>-2</v>
      </c>
      <c r="T413" s="16">
        <f>IFERROR(__xludf.DUMMYFUNCTION("""COMPUTED_VALUE"""),-3.0)</f>
        <v>-3</v>
      </c>
      <c r="U413" s="16">
        <f>IFERROR(__xludf.DUMMYFUNCTION("""COMPUTED_VALUE"""),-2.0)</f>
        <v>-2</v>
      </c>
      <c r="V413" s="16">
        <f>IFERROR(__xludf.DUMMYFUNCTION("""COMPUTED_VALUE"""),18.9)</f>
        <v>18.9</v>
      </c>
      <c r="W413" s="16">
        <f>IFERROR(__xludf.DUMMYFUNCTION("""COMPUTED_VALUE"""),16.6)</f>
        <v>16.6</v>
      </c>
      <c r="X413" s="16">
        <f>IFERROR(__xludf.DUMMYFUNCTION("""COMPUTED_VALUE"""),0.0)</f>
        <v>0</v>
      </c>
      <c r="Y413" s="16">
        <f>IFERROR(__xludf.DUMMYFUNCTION("""COMPUTED_VALUE"""),-1.0)</f>
        <v>-1</v>
      </c>
      <c r="Z413" s="16">
        <f>IFERROR(__xludf.DUMMYFUNCTION("""COMPUTED_VALUE"""),0.0)</f>
        <v>0</v>
      </c>
      <c r="AA413" s="16">
        <f>IFERROR(__xludf.DUMMYFUNCTION("""COMPUTED_VALUE"""),-2.0)</f>
        <v>-2</v>
      </c>
      <c r="AB413" s="16">
        <f>IFERROR(__xludf.DUMMYFUNCTION("""COMPUTED_VALUE"""),18.9)</f>
        <v>18.9</v>
      </c>
      <c r="AC413" s="16">
        <f>IFERROR(__xludf.DUMMYFUNCTION("""COMPUTED_VALUE"""),18.6)</f>
        <v>18.6</v>
      </c>
      <c r="AD413" s="16">
        <f>IFERROR(__xludf.DUMMYFUNCTION("""COMPUTED_VALUE"""),-1.0)</f>
        <v>-1</v>
      </c>
      <c r="AE413" s="16">
        <f>IFERROR(__xludf.DUMMYFUNCTION("""COMPUTED_VALUE"""),-2.0)</f>
        <v>-2</v>
      </c>
      <c r="AF413" s="16">
        <f>IFERROR(__xludf.DUMMYFUNCTION("""COMPUTED_VALUE"""),-5.0)</f>
        <v>-5</v>
      </c>
      <c r="AG413" s="16">
        <f>IFERROR(__xludf.DUMMYFUNCTION("""COMPUTED_VALUE"""),-10.0)</f>
        <v>-10</v>
      </c>
      <c r="AH413" s="16">
        <f>IFERROR(__xludf.DUMMYFUNCTION("""COMPUTED_VALUE"""),21.1)</f>
        <v>21.1</v>
      </c>
      <c r="AI413" s="16">
        <f>IFERROR(__xludf.DUMMYFUNCTION("""COMPUTED_VALUE"""),31.8)</f>
        <v>31.8</v>
      </c>
      <c r="AJ413" s="16">
        <f>IFERROR(__xludf.DUMMYFUNCTION("""COMPUTED_VALUE"""),-1.0)</f>
        <v>-1</v>
      </c>
      <c r="AK413" s="16">
        <f>IFERROR(__xludf.DUMMYFUNCTION("""COMPUTED_VALUE"""),0.0)</f>
        <v>0</v>
      </c>
      <c r="AL413" s="16">
        <f>IFERROR(__xludf.DUMMYFUNCTION("""COMPUTED_VALUE"""),-5.0)</f>
        <v>-5</v>
      </c>
      <c r="AM413" s="16">
        <f>IFERROR(__xludf.DUMMYFUNCTION("""COMPUTED_VALUE"""),0.0)</f>
        <v>0</v>
      </c>
      <c r="AN413" s="16">
        <f>IFERROR(__xludf.DUMMYFUNCTION("""COMPUTED_VALUE"""),0.8)</f>
        <v>0.8</v>
      </c>
      <c r="AO413" s="16">
        <f>IFERROR(__xludf.DUMMYFUNCTION("""COMPUTED_VALUE"""),3.4)</f>
        <v>3.4</v>
      </c>
      <c r="AP413" s="16">
        <f>IFERROR(__xludf.DUMMYFUNCTION("""COMPUTED_VALUE"""),-2.0)</f>
        <v>-2</v>
      </c>
      <c r="AQ413" s="16">
        <f>IFERROR(__xludf.DUMMYFUNCTION("""COMPUTED_VALUE"""),1.0)</f>
        <v>1</v>
      </c>
      <c r="AR413" s="16">
        <f>IFERROR(__xludf.DUMMYFUNCTION("""COMPUTED_VALUE"""),-4.0)</f>
        <v>-4</v>
      </c>
      <c r="AS413" s="16">
        <f>IFERROR(__xludf.DUMMYFUNCTION("""COMPUTED_VALUE"""),2.0)</f>
        <v>2</v>
      </c>
      <c r="AT413" s="16">
        <f>IFERROR(__xludf.DUMMYFUNCTION("""COMPUTED_VALUE"""),0.0)</f>
        <v>0</v>
      </c>
      <c r="AU413" s="16"/>
      <c r="AV413" s="16">
        <f>IFERROR(__xludf.DUMMYFUNCTION("""COMPUTED_VALUE"""),0.0)</f>
        <v>0</v>
      </c>
      <c r="AW413" s="16">
        <f>IFERROR(__xludf.DUMMYFUNCTION("""COMPUTED_VALUE"""),-3.0)</f>
        <v>-3</v>
      </c>
      <c r="AX413" s="16">
        <f>IFERROR(__xludf.DUMMYFUNCTION("""COMPUTED_VALUE"""),-2.0)</f>
        <v>-2</v>
      </c>
      <c r="AY413" s="16">
        <f>IFERROR(__xludf.DUMMYFUNCTION("""COMPUTED_VALUE"""),-3.0)</f>
        <v>-3</v>
      </c>
      <c r="AZ413" s="16">
        <f>IFERROR(__xludf.DUMMYFUNCTION("""COMPUTED_VALUE"""),-6.0)</f>
        <v>-6</v>
      </c>
      <c r="BA413" s="16">
        <f>IFERROR(__xludf.DUMMYFUNCTION("""COMPUTED_VALUE"""),-9.0)</f>
        <v>-9</v>
      </c>
      <c r="BB413" s="16">
        <f>IFERROR(__xludf.DUMMYFUNCTION("""COMPUTED_VALUE"""),5.0)</f>
        <v>5</v>
      </c>
      <c r="BC413" s="16">
        <f>IFERROR(__xludf.DUMMYFUNCTION("""COMPUTED_VALUE"""),5.0)</f>
        <v>5</v>
      </c>
      <c r="BD413" s="16">
        <f>IFERROR(__xludf.DUMMYFUNCTION("""COMPUTED_VALUE"""),1.0)</f>
        <v>1</v>
      </c>
      <c r="BE413" s="16">
        <f>IFERROR(__xludf.DUMMYFUNCTION("""COMPUTED_VALUE"""),1.0)</f>
        <v>1</v>
      </c>
      <c r="BF413" s="16">
        <f>IFERROR(__xludf.DUMMYFUNCTION("""COMPUTED_VALUE"""),1.0)</f>
        <v>1</v>
      </c>
      <c r="BG413" s="16">
        <f>IFERROR(__xludf.DUMMYFUNCTION("""COMPUTED_VALUE"""),1.0)</f>
        <v>1</v>
      </c>
      <c r="BH413" s="16">
        <f>IFERROR(__xludf.DUMMYFUNCTION("""COMPUTED_VALUE"""),6.0)</f>
        <v>6</v>
      </c>
      <c r="BI413" s="16">
        <f>IFERROR(__xludf.DUMMYFUNCTION("""COMPUTED_VALUE"""),6.0)</f>
        <v>6</v>
      </c>
      <c r="BJ413" s="16">
        <f>IFERROR(__xludf.DUMMYFUNCTION("""COMPUTED_VALUE"""),27.0)</f>
        <v>27</v>
      </c>
      <c r="BK413" s="16">
        <f>IFERROR(__xludf.DUMMYFUNCTION("""COMPUTED_VALUE"""),26.0)</f>
        <v>26</v>
      </c>
      <c r="BL413" s="16">
        <f>IFERROR(__xludf.DUMMYFUNCTION("""COMPUTED_VALUE"""),-2.0)</f>
        <v>-2</v>
      </c>
      <c r="BM413" s="16">
        <f>IFERROR(__xludf.DUMMYFUNCTION("""COMPUTED_VALUE"""),-2.0)</f>
        <v>-2</v>
      </c>
      <c r="BN413" s="16">
        <f>IFERROR(__xludf.DUMMYFUNCTION("""COMPUTED_VALUE"""),-4.0)</f>
        <v>-4</v>
      </c>
      <c r="BO413" s="16">
        <f>IFERROR(__xludf.DUMMYFUNCTION("""COMPUTED_VALUE"""),-4.0)</f>
        <v>-4</v>
      </c>
      <c r="BP413" s="16">
        <f>IFERROR(__xludf.DUMMYFUNCTION("""COMPUTED_VALUE"""),-9.0)</f>
        <v>-9</v>
      </c>
      <c r="BQ413" s="16">
        <f>IFERROR(__xludf.DUMMYFUNCTION("""COMPUTED_VALUE"""),-6.0)</f>
        <v>-6</v>
      </c>
      <c r="BR413" s="16">
        <f>IFERROR(__xludf.DUMMYFUNCTION("""COMPUTED_VALUE"""),-15.0)</f>
        <v>-15</v>
      </c>
      <c r="BS413" s="16" t="str">
        <f>IFERROR(__xludf.DUMMYFUNCTION("""COMPUTED_VALUE"""),"4/- (20-6)")</f>
        <v>4/- (20-6)</v>
      </c>
      <c r="BT413" s="16" t="str">
        <f>IFERROR(__xludf.DUMMYFUNCTION("""COMPUTED_VALUE"""),"C")</f>
        <v>C</v>
      </c>
      <c r="BU413" s="16">
        <f>IFERROR(__xludf.DUMMYFUNCTION("""COMPUTED_VALUE"""),12.0)</f>
        <v>12</v>
      </c>
      <c r="BV413" s="16">
        <f>IFERROR(__xludf.DUMMYFUNCTION("""COMPUTED_VALUE"""),0.0)</f>
        <v>0</v>
      </c>
      <c r="BW413" s="16">
        <f>IFERROR(__xludf.DUMMYFUNCTION("""COMPUTED_VALUE"""),0.0)</f>
        <v>0</v>
      </c>
      <c r="BX413" s="16">
        <f>IFERROR(__xludf.DUMMYFUNCTION("""COMPUTED_VALUE"""),0.0)</f>
        <v>0</v>
      </c>
      <c r="BY413" s="16">
        <f>IFERROR(__xludf.DUMMYFUNCTION("""COMPUTED_VALUE"""),0.0)</f>
        <v>0</v>
      </c>
      <c r="BZ413" s="16" t="str">
        <f>IFERROR(__xludf.DUMMYFUNCTION("""COMPUTED_VALUE"""),"D")</f>
        <v>D</v>
      </c>
      <c r="CA413" s="16" t="str">
        <f>IFERROR(__xludf.DUMMYFUNCTION("""COMPUTED_VALUE"""),"D")</f>
        <v>D</v>
      </c>
      <c r="CB413" s="16">
        <f>IFERROR(__xludf.DUMMYFUNCTION("""COMPUTED_VALUE"""),0.0)</f>
        <v>0</v>
      </c>
      <c r="CC413" s="16">
        <f>IFERROR(__xludf.DUMMYFUNCTION("""COMPUTED_VALUE"""),0.0)</f>
        <v>0</v>
      </c>
      <c r="CD413" s="16">
        <f>IFERROR(__xludf.DUMMYFUNCTION("""COMPUTED_VALUE"""),0.0)</f>
        <v>0</v>
      </c>
      <c r="CE413" s="16">
        <f>IFERROR(__xludf.DUMMYFUNCTION("""COMPUTED_VALUE"""),0.0)</f>
        <v>0</v>
      </c>
      <c r="CF413" s="16">
        <f>IFERROR(__xludf.DUMMYFUNCTION("""COMPUTED_VALUE"""),2.0)</f>
        <v>2</v>
      </c>
      <c r="CG413" s="16">
        <f>IFERROR(__xludf.DUMMYFUNCTION("""COMPUTED_VALUE"""),-25.0)</f>
        <v>-25</v>
      </c>
      <c r="CH413" s="16">
        <f>IFERROR(__xludf.DUMMYFUNCTION("""COMPUTED_VALUE"""),-22.0)</f>
        <v>-22</v>
      </c>
      <c r="CI413" s="179">
        <f>IFERROR(__xludf.DUMMYFUNCTION("""COMPUTED_VALUE"""),-23.0)</f>
        <v>-23</v>
      </c>
      <c r="CJ413" s="16"/>
      <c r="CK413" s="16"/>
      <c r="CL413" s="16">
        <f>IFERROR(__xludf.DUMMYFUNCTION("""COMPUTED_VALUE"""),344.0)</f>
        <v>344</v>
      </c>
      <c r="CM413" s="16">
        <f>IFERROR(__xludf.DUMMYFUNCTION("""COMPUTED_VALUE"""),308.0)</f>
        <v>308</v>
      </c>
      <c r="CN413" s="16">
        <f>IFERROR(__xludf.DUMMYFUNCTION("""COMPUTED_VALUE"""),314.0)</f>
        <v>314</v>
      </c>
      <c r="CO413" s="16"/>
      <c r="CP413" s="16"/>
      <c r="CQ413" s="16"/>
      <c r="CR413" s="16" t="str">
        <f>IFERROR(__xludf.DUMMYFUNCTION("""COMPUTED_VALUE"""),"ss-3e14 3b-3e8 2b-3e44")</f>
        <v>ss-3e14 3b-3e8 2b-3e44</v>
      </c>
      <c r="CS413" s="16"/>
      <c r="CT413" s="16"/>
      <c r="CU413" s="16">
        <f>IFERROR(__xludf.DUMMYFUNCTION("""COMPUTED_VALUE"""),3.0)</f>
        <v>3</v>
      </c>
      <c r="CV413" s="16">
        <f>IFERROR(__xludf.DUMMYFUNCTION("""COMPUTED_VALUE"""),3.0)</f>
        <v>3</v>
      </c>
      <c r="CW413" s="16">
        <f>IFERROR(__xludf.DUMMYFUNCTION("""COMPUTED_VALUE"""),3.0)</f>
        <v>3</v>
      </c>
      <c r="CX413" s="16"/>
      <c r="CY413" s="16"/>
      <c r="CZ413" s="16"/>
      <c r="DA413" s="16"/>
      <c r="DB413" s="16"/>
      <c r="DC413" s="16">
        <f>IFERROR(__xludf.DUMMYFUNCTION("""COMPUTED_VALUE"""),44.0)</f>
        <v>44</v>
      </c>
      <c r="DD413" s="16">
        <f>IFERROR(__xludf.DUMMYFUNCTION("""COMPUTED_VALUE"""),8.0)</f>
        <v>8</v>
      </c>
      <c r="DE413" s="16">
        <f>IFERROR(__xludf.DUMMYFUNCTION("""COMPUTED_VALUE"""),14.0)</f>
        <v>14</v>
      </c>
      <c r="DF413" s="16"/>
      <c r="DG413" s="16"/>
      <c r="DH413" s="16"/>
      <c r="DI413" s="16"/>
      <c r="DJ413" s="16"/>
      <c r="DK413" s="16">
        <f>IFERROR(__xludf.DUMMYFUNCTION("""COMPUTED_VALUE"""),0.0)</f>
        <v>0</v>
      </c>
      <c r="DL413" s="16">
        <f>IFERROR(__xludf.DUMMYFUNCTION("""COMPUTED_VALUE"""),1.0)</f>
        <v>1</v>
      </c>
      <c r="DM413" s="16">
        <f>IFERROR(__xludf.DUMMYFUNCTION("""COMPUTED_VALUE"""),0.0)</f>
        <v>0</v>
      </c>
      <c r="DN413" s="16"/>
      <c r="DO413" s="16"/>
      <c r="DP413" s="16"/>
      <c r="DQ413" s="16"/>
      <c r="DR413" s="16"/>
      <c r="DS413" s="16">
        <f>IFERROR(__xludf.DUMMYFUNCTION("""COMPUTED_VALUE"""),-2.0)</f>
        <v>-2</v>
      </c>
      <c r="DT413" s="16">
        <f>IFERROR(__xludf.DUMMYFUNCTION("""COMPUTED_VALUE"""),2.0)</f>
        <v>2</v>
      </c>
      <c r="DU413" s="16">
        <f>IFERROR(__xludf.DUMMYFUNCTION("""COMPUTED_VALUE"""),2.0)</f>
        <v>2</v>
      </c>
      <c r="DV413" s="16"/>
      <c r="DW413" s="16"/>
      <c r="DX413" s="16"/>
      <c r="DY413" s="16"/>
      <c r="DZ413" s="16"/>
      <c r="EA413" s="16">
        <f>IFERROR(__xludf.DUMMYFUNCTION("""COMPUTED_VALUE"""),-2.0)</f>
        <v>-2</v>
      </c>
      <c r="EB413" s="16">
        <f>IFERROR(__xludf.DUMMYFUNCTION("""COMPUTED_VALUE"""),3.0)</f>
        <v>3</v>
      </c>
      <c r="EC413" s="16">
        <f>IFERROR(__xludf.DUMMYFUNCTION("""COMPUTED_VALUE"""),2.0)</f>
        <v>2</v>
      </c>
      <c r="ED413" s="16"/>
      <c r="EE413" s="16"/>
      <c r="EF413" s="16"/>
      <c r="EG413" s="179"/>
      <c r="EH413" s="179"/>
      <c r="EI413" s="179">
        <f>IFERROR(__xludf.DUMMYFUNCTION("""COMPUTED_VALUE"""),-25.0)</f>
        <v>-25</v>
      </c>
      <c r="EJ413" s="179">
        <f>IFERROR(__xludf.DUMMYFUNCTION("""COMPUTED_VALUE"""),-20.0)</f>
        <v>-20</v>
      </c>
      <c r="EK413" s="179">
        <f>IFERROR(__xludf.DUMMYFUNCTION("""COMPUTED_VALUE"""),-21.0)</f>
        <v>-21</v>
      </c>
      <c r="EL413" s="179"/>
      <c r="EM413" s="179"/>
      <c r="EN413" s="179"/>
      <c r="EO413" s="16"/>
      <c r="EP413" s="16"/>
      <c r="EQ413" s="16">
        <f>IFERROR(__xludf.DUMMYFUNCTION("""COMPUTED_VALUE"""),2.0)</f>
        <v>2</v>
      </c>
      <c r="ER413" s="16">
        <f>IFERROR(__xludf.DUMMYFUNCTION("""COMPUTED_VALUE"""),-2.0)</f>
        <v>-2</v>
      </c>
      <c r="ES413" s="16"/>
      <c r="ET413" s="16"/>
      <c r="EU413" s="16"/>
      <c r="EV413" s="16"/>
      <c r="EW413" s="16"/>
      <c r="EX413" s="180"/>
      <c r="EY413" s="180"/>
      <c r="EZ413" s="180">
        <f>IFERROR(__xludf.DUMMYFUNCTION("""COMPUTED_VALUE"""),0.2)</f>
        <v>0.2</v>
      </c>
      <c r="FA413" s="180">
        <f>IFERROR(__xludf.DUMMYFUNCTION("""COMPUTED_VALUE"""),0.2)</f>
        <v>0.2</v>
      </c>
      <c r="FB413" s="180">
        <f>IFERROR(__xludf.DUMMYFUNCTION("""COMPUTED_VALUE"""),0.2)</f>
        <v>0.2</v>
      </c>
      <c r="FC413" s="180"/>
      <c r="FD413" s="180"/>
      <c r="FE413" s="180"/>
      <c r="FF413" s="180"/>
      <c r="FG413" s="180"/>
      <c r="FH413" s="180">
        <f>IFERROR(__xludf.DUMMYFUNCTION("""COMPUTED_VALUE"""),0.2638888888888889)</f>
        <v>0.2638888889</v>
      </c>
      <c r="FI413" s="180">
        <f>IFERROR(__xludf.DUMMYFUNCTION("""COMPUTED_VALUE"""),0.09722222222222222)</f>
        <v>0.09722222222</v>
      </c>
      <c r="FJ413" s="180">
        <f>IFERROR(__xludf.DUMMYFUNCTION("""COMPUTED_VALUE"""),0.07407407407407407)</f>
        <v>0.07407407407</v>
      </c>
      <c r="FK413" s="180"/>
      <c r="FL413" s="180"/>
      <c r="FM413" s="180"/>
      <c r="FN413" s="16"/>
      <c r="FO413" s="16"/>
      <c r="FP413" s="16">
        <f>IFERROR(__xludf.DUMMYFUNCTION("""COMPUTED_VALUE"""),0.5888888888888889)</f>
        <v>0.5888888889</v>
      </c>
      <c r="FQ413" s="16">
        <f>IFERROR(__xludf.DUMMYFUNCTION("""COMPUTED_VALUE"""),0.7222222222222223)</f>
        <v>0.7222222222</v>
      </c>
      <c r="FR413" s="16">
        <f>IFERROR(__xludf.DUMMYFUNCTION("""COMPUTED_VALUE"""),0.7407407407407408)</f>
        <v>0.7407407407</v>
      </c>
      <c r="FS413" s="16"/>
      <c r="FT413" s="16"/>
      <c r="FU413" s="16"/>
      <c r="FV413" s="16"/>
      <c r="FW413" s="16"/>
      <c r="FX413" s="16">
        <f>IFERROR(__xludf.DUMMYFUNCTION("""COMPUTED_VALUE"""),-6.0)</f>
        <v>-6</v>
      </c>
      <c r="FY413" s="16">
        <f>IFERROR(__xludf.DUMMYFUNCTION("""COMPUTED_VALUE"""),-4.0)</f>
        <v>-4</v>
      </c>
      <c r="FZ413" s="16">
        <f>IFERROR(__xludf.DUMMYFUNCTION("""COMPUTED_VALUE"""),-4.0)</f>
        <v>-4</v>
      </c>
      <c r="GA413" s="16"/>
      <c r="GB413" s="16"/>
      <c r="GC413" s="16"/>
      <c r="GD413" s="16" t="s">
        <v>176</v>
      </c>
    </row>
    <row r="414">
      <c r="A414" s="16">
        <f>IFERROR(__xludf.DUMMYFUNCTION("""COMPUTED_VALUE"""),13066.0)</f>
        <v>13066</v>
      </c>
      <c r="B414" s="16" t="str">
        <f>IFERROR(__xludf.DUMMYFUNCTION("""COMPUTED_VALUE"""),"KeBryan Hayes")</f>
        <v>KeBryan Hayes</v>
      </c>
      <c r="C414" s="16">
        <f>IFERROR(__xludf.DUMMYFUNCTION("""COMPUTED_VALUE"""),0.59)</f>
        <v>0.59</v>
      </c>
      <c r="D414" s="16" t="str">
        <f>IFERROR(__xludf.DUMMYFUNCTION("""COMPUTED_VALUE"""),"R")</f>
        <v>R</v>
      </c>
      <c r="E414" s="16"/>
      <c r="F414" s="16"/>
      <c r="G414" s="16">
        <f>IFERROR(__xludf.DUMMYFUNCTION("""COMPUTED_VALUE"""),365.0)</f>
        <v>365</v>
      </c>
      <c r="H414" s="16">
        <f>IFERROR(__xludf.DUMMYFUNCTION("""COMPUTED_VALUE"""),23.0)</f>
        <v>23</v>
      </c>
      <c r="I414" s="16" t="str">
        <f>IFERROR(__xludf.DUMMYFUNCTION("""COMPUTED_VALUE"""),"4p50")</f>
        <v>4p50</v>
      </c>
      <c r="J414" s="16">
        <f>IFERROR(__xludf.DUMMYFUNCTION("""COMPUTED_VALUE"""),7.0)</f>
        <v>7</v>
      </c>
      <c r="K414" s="16">
        <f>IFERROR(__xludf.DUMMYFUNCTION("""COMPUTED_VALUE"""),19.0)</f>
        <v>19</v>
      </c>
      <c r="L414" s="16">
        <f>IFERROR(__xludf.DUMMYFUNCTION("""COMPUTED_VALUE"""),2.0)</f>
        <v>2</v>
      </c>
      <c r="M414" s="16">
        <f>IFERROR(__xludf.DUMMYFUNCTION("""COMPUTED_VALUE"""),1.0)</f>
        <v>1</v>
      </c>
      <c r="N414" s="16">
        <f>IFERROR(__xludf.DUMMYFUNCTION("""COMPUTED_VALUE"""),2.0)</f>
        <v>2</v>
      </c>
      <c r="O414" s="16">
        <f>IFERROR(__xludf.DUMMYFUNCTION("""COMPUTED_VALUE"""),1.0)</f>
        <v>1</v>
      </c>
      <c r="P414" s="16">
        <f>IFERROR(__xludf.DUMMYFUNCTION("""COMPUTED_VALUE"""),13.0)</f>
        <v>13</v>
      </c>
      <c r="Q414" s="16">
        <f>IFERROR(__xludf.DUMMYFUNCTION("""COMPUTED_VALUE"""),2.0)</f>
        <v>2</v>
      </c>
      <c r="R414" s="16">
        <f>IFERROR(__xludf.DUMMYFUNCTION("""COMPUTED_VALUE"""),2.0)</f>
        <v>2</v>
      </c>
      <c r="S414" s="16">
        <f>IFERROR(__xludf.DUMMYFUNCTION("""COMPUTED_VALUE"""),-2.0)</f>
        <v>-2</v>
      </c>
      <c r="T414" s="16">
        <f>IFERROR(__xludf.DUMMYFUNCTION("""COMPUTED_VALUE"""),2.0)</f>
        <v>2</v>
      </c>
      <c r="U414" s="16">
        <f>IFERROR(__xludf.DUMMYFUNCTION("""COMPUTED_VALUE"""),-2.0)</f>
        <v>-2</v>
      </c>
      <c r="V414" s="16">
        <f>IFERROR(__xludf.DUMMYFUNCTION("""COMPUTED_VALUE"""),30.6)</f>
        <v>30.6</v>
      </c>
      <c r="W414" s="16">
        <f>IFERROR(__xludf.DUMMYFUNCTION("""COMPUTED_VALUE"""),16.6)</f>
        <v>16.6</v>
      </c>
      <c r="X414" s="16">
        <f>IFERROR(__xludf.DUMMYFUNCTION("""COMPUTED_VALUE"""),2.0)</f>
        <v>2</v>
      </c>
      <c r="Y414" s="16">
        <f>IFERROR(__xludf.DUMMYFUNCTION("""COMPUTED_VALUE"""),-1.0)</f>
        <v>-1</v>
      </c>
      <c r="Z414" s="16">
        <f>IFERROR(__xludf.DUMMYFUNCTION("""COMPUTED_VALUE"""),4.0)</f>
        <v>4</v>
      </c>
      <c r="AA414" s="16">
        <f>IFERROR(__xludf.DUMMYFUNCTION("""COMPUTED_VALUE"""),-2.0)</f>
        <v>-2</v>
      </c>
      <c r="AB414" s="16">
        <f>IFERROR(__xludf.DUMMYFUNCTION("""COMPUTED_VALUE"""),45.6)</f>
        <v>45.6</v>
      </c>
      <c r="AC414" s="16">
        <f>IFERROR(__xludf.DUMMYFUNCTION("""COMPUTED_VALUE"""),20.7)</f>
        <v>20.7</v>
      </c>
      <c r="AD414" s="16">
        <f>IFERROR(__xludf.DUMMYFUNCTION("""COMPUTED_VALUE"""),2.0)</f>
        <v>2</v>
      </c>
      <c r="AE414" s="16">
        <f>IFERROR(__xludf.DUMMYFUNCTION("""COMPUTED_VALUE"""),-2.0)</f>
        <v>-2</v>
      </c>
      <c r="AF414" s="16">
        <f>IFERROR(__xludf.DUMMYFUNCTION("""COMPUTED_VALUE"""),10.0)</f>
        <v>10</v>
      </c>
      <c r="AG414" s="16">
        <f>IFERROR(__xludf.DUMMYFUNCTION("""COMPUTED_VALUE"""),-10.0)</f>
        <v>-10</v>
      </c>
      <c r="AH414" s="16">
        <f>IFERROR(__xludf.DUMMYFUNCTION("""COMPUTED_VALUE"""),41.3)</f>
        <v>41.3</v>
      </c>
      <c r="AI414" s="16">
        <f>IFERROR(__xludf.DUMMYFUNCTION("""COMPUTED_VALUE"""),18.9)</f>
        <v>18.9</v>
      </c>
      <c r="AJ414" s="16">
        <f>IFERROR(__xludf.DUMMYFUNCTION("""COMPUTED_VALUE"""),1.0)</f>
        <v>1</v>
      </c>
      <c r="AK414" s="16">
        <f>IFERROR(__xludf.DUMMYFUNCTION("""COMPUTED_VALUE"""),-2.0)</f>
        <v>-2</v>
      </c>
      <c r="AL414" s="16">
        <f>IFERROR(__xludf.DUMMYFUNCTION("""COMPUTED_VALUE"""),5.0)</f>
        <v>5</v>
      </c>
      <c r="AM414" s="16">
        <f>IFERROR(__xludf.DUMMYFUNCTION("""COMPUTED_VALUE"""),-10.0)</f>
        <v>-10</v>
      </c>
      <c r="AN414" s="16">
        <f>IFERROR(__xludf.DUMMYFUNCTION("""COMPUTED_VALUE"""),2.3)</f>
        <v>2.3</v>
      </c>
      <c r="AO414" s="16">
        <f>IFERROR(__xludf.DUMMYFUNCTION("""COMPUTED_VALUE"""),0.8)</f>
        <v>0.8</v>
      </c>
      <c r="AP414" s="16">
        <f>IFERROR(__xludf.DUMMYFUNCTION("""COMPUTED_VALUE"""),0.0)</f>
        <v>0</v>
      </c>
      <c r="AQ414" s="16">
        <f>IFERROR(__xludf.DUMMYFUNCTION("""COMPUTED_VALUE"""),-2.0)</f>
        <v>-2</v>
      </c>
      <c r="AR414" s="16">
        <f>IFERROR(__xludf.DUMMYFUNCTION("""COMPUTED_VALUE"""),0.0)</f>
        <v>0</v>
      </c>
      <c r="AS414" s="16">
        <f>IFERROR(__xludf.DUMMYFUNCTION("""COMPUTED_VALUE"""),-4.0)</f>
        <v>-4</v>
      </c>
      <c r="AT414" s="16">
        <f>IFERROR(__xludf.DUMMYFUNCTION("""COMPUTED_VALUE"""),4.0)</f>
        <v>4</v>
      </c>
      <c r="AU414" s="16"/>
      <c r="AV414" s="16">
        <f>IFERROR(__xludf.DUMMYFUNCTION("""COMPUTED_VALUE"""),4.0)</f>
        <v>4</v>
      </c>
      <c r="AW414" s="16">
        <f>IFERROR(__xludf.DUMMYFUNCTION("""COMPUTED_VALUE"""),-3.0)</f>
        <v>-3</v>
      </c>
      <c r="AX414" s="16">
        <f>IFERROR(__xludf.DUMMYFUNCTION("""COMPUTED_VALUE"""),2.0)</f>
        <v>2</v>
      </c>
      <c r="AY414" s="16">
        <f>IFERROR(__xludf.DUMMYFUNCTION("""COMPUTED_VALUE"""),-3.0)</f>
        <v>-3</v>
      </c>
      <c r="AZ414" s="16">
        <f>IFERROR(__xludf.DUMMYFUNCTION("""COMPUTED_VALUE"""),6.0)</f>
        <v>6</v>
      </c>
      <c r="BA414" s="16">
        <f>IFERROR(__xludf.DUMMYFUNCTION("""COMPUTED_VALUE"""),-9.0)</f>
        <v>-9</v>
      </c>
      <c r="BB414" s="16">
        <f>IFERROR(__xludf.DUMMYFUNCTION("""COMPUTED_VALUE"""),5.0)</f>
        <v>5</v>
      </c>
      <c r="BC414" s="16">
        <f>IFERROR(__xludf.DUMMYFUNCTION("""COMPUTED_VALUE"""),5.0)</f>
        <v>5</v>
      </c>
      <c r="BD414" s="16">
        <f>IFERROR(__xludf.DUMMYFUNCTION("""COMPUTED_VALUE"""),1.0)</f>
        <v>1</v>
      </c>
      <c r="BE414" s="16">
        <f>IFERROR(__xludf.DUMMYFUNCTION("""COMPUTED_VALUE"""),1.0)</f>
        <v>1</v>
      </c>
      <c r="BF414" s="16">
        <f>IFERROR(__xludf.DUMMYFUNCTION("""COMPUTED_VALUE"""),1.0)</f>
        <v>1</v>
      </c>
      <c r="BG414" s="16">
        <f>IFERROR(__xludf.DUMMYFUNCTION("""COMPUTED_VALUE"""),1.0)</f>
        <v>1</v>
      </c>
      <c r="BH414" s="16">
        <f>IFERROR(__xludf.DUMMYFUNCTION("""COMPUTED_VALUE"""),-10.0)</f>
        <v>-10</v>
      </c>
      <c r="BI414" s="16">
        <f>IFERROR(__xludf.DUMMYFUNCTION("""COMPUTED_VALUE"""),-11.0)</f>
        <v>-11</v>
      </c>
      <c r="BJ414" s="16">
        <f>IFERROR(__xludf.DUMMYFUNCTION("""COMPUTED_VALUE"""),21.0)</f>
        <v>21</v>
      </c>
      <c r="BK414" s="16">
        <f>IFERROR(__xludf.DUMMYFUNCTION("""COMPUTED_VALUE"""),23.0)</f>
        <v>23</v>
      </c>
      <c r="BL414" s="16">
        <f>IFERROR(__xludf.DUMMYFUNCTION("""COMPUTED_VALUE"""),-2.0)</f>
        <v>-2</v>
      </c>
      <c r="BM414" s="16">
        <f>IFERROR(__xludf.DUMMYFUNCTION("""COMPUTED_VALUE"""),-2.0)</f>
        <v>-2</v>
      </c>
      <c r="BN414" s="16">
        <f>IFERROR(__xludf.DUMMYFUNCTION("""COMPUTED_VALUE"""),-4.0)</f>
        <v>-4</v>
      </c>
      <c r="BO414" s="16">
        <f>IFERROR(__xludf.DUMMYFUNCTION("""COMPUTED_VALUE"""),-4.0)</f>
        <v>-4</v>
      </c>
      <c r="BP414" s="16">
        <f>IFERROR(__xludf.DUMMYFUNCTION("""COMPUTED_VALUE"""),10.0)</f>
        <v>10</v>
      </c>
      <c r="BQ414" s="16">
        <f>IFERROR(__xludf.DUMMYFUNCTION("""COMPUTED_VALUE"""),-12.0)</f>
        <v>-12</v>
      </c>
      <c r="BR414" s="16">
        <f>IFERROR(__xludf.DUMMYFUNCTION("""COMPUTED_VALUE"""),-2.0)</f>
        <v>-2</v>
      </c>
      <c r="BS414" s="16" t="str">
        <f>IFERROR(__xludf.DUMMYFUNCTION("""COMPUTED_VALUE"""),"*7/- (19-12)")</f>
        <v>*7/- (19-12)</v>
      </c>
      <c r="BT414" s="16" t="str">
        <f>IFERROR(__xludf.DUMMYFUNCTION("""COMPUTED_VALUE"""),"B")</f>
        <v>B</v>
      </c>
      <c r="BU414" s="16">
        <f>IFERROR(__xludf.DUMMYFUNCTION("""COMPUTED_VALUE"""),13.0)</f>
        <v>13</v>
      </c>
      <c r="BV414" s="16">
        <f>IFERROR(__xludf.DUMMYFUNCTION("""COMPUTED_VALUE"""),1.0)</f>
        <v>1</v>
      </c>
      <c r="BW414" s="16">
        <f>IFERROR(__xludf.DUMMYFUNCTION("""COMPUTED_VALUE"""),1.0)</f>
        <v>1</v>
      </c>
      <c r="BX414" s="16">
        <f>IFERROR(__xludf.DUMMYFUNCTION("""COMPUTED_VALUE"""),2.0)</f>
        <v>2</v>
      </c>
      <c r="BY414" s="16">
        <f>IFERROR(__xludf.DUMMYFUNCTION("""COMPUTED_VALUE"""),3.0)</f>
        <v>3</v>
      </c>
      <c r="BZ414" s="16" t="str">
        <f>IFERROR(__xludf.DUMMYFUNCTION("""COMPUTED_VALUE"""),"D")</f>
        <v>D</v>
      </c>
      <c r="CA414" s="16" t="str">
        <f>IFERROR(__xludf.DUMMYFUNCTION("""COMPUTED_VALUE"""),"C")</f>
        <v>C</v>
      </c>
      <c r="CB414" s="16">
        <f>IFERROR(__xludf.DUMMYFUNCTION("""COMPUTED_VALUE"""),0.0)</f>
        <v>0</v>
      </c>
      <c r="CC414" s="16">
        <f>IFERROR(__xludf.DUMMYFUNCTION("""COMPUTED_VALUE"""),0.0)</f>
        <v>0</v>
      </c>
      <c r="CD414" s="16">
        <f>IFERROR(__xludf.DUMMYFUNCTION("""COMPUTED_VALUE"""),0.0)</f>
        <v>0</v>
      </c>
      <c r="CE414" s="16">
        <f>IFERROR(__xludf.DUMMYFUNCTION("""COMPUTED_VALUE"""),0.0)</f>
        <v>0</v>
      </c>
      <c r="CF414" s="16">
        <f>IFERROR(__xludf.DUMMYFUNCTION("""COMPUTED_VALUE"""),4.0)</f>
        <v>4</v>
      </c>
      <c r="CG414" s="16">
        <f>IFERROR(__xludf.DUMMYFUNCTION("""COMPUTED_VALUE"""),26.0)</f>
        <v>26</v>
      </c>
      <c r="CH414" s="16">
        <f>IFERROR(__xludf.DUMMYFUNCTION("""COMPUTED_VALUE"""),-39.0)</f>
        <v>-39</v>
      </c>
      <c r="CI414" s="179">
        <f>IFERROR(__xludf.DUMMYFUNCTION("""COMPUTED_VALUE"""),-23.0)</f>
        <v>-23</v>
      </c>
      <c r="CJ414" s="16"/>
      <c r="CK414" s="16"/>
      <c r="CL414" s="16"/>
      <c r="CM414" s="16">
        <f>IFERROR(__xludf.DUMMYFUNCTION("""COMPUTED_VALUE"""),108.0)</f>
        <v>108</v>
      </c>
      <c r="CN414" s="16"/>
      <c r="CO414" s="16"/>
      <c r="CP414" s="16"/>
      <c r="CQ414" s="16"/>
      <c r="CR414" s="16" t="str">
        <f>IFERROR(__xludf.DUMMYFUNCTION("""COMPUTED_VALUE"""),"3b-1e8")</f>
        <v>3b-1e8</v>
      </c>
      <c r="CS414" s="16"/>
      <c r="CT414" s="16"/>
      <c r="CU414" s="16"/>
      <c r="CV414" s="16">
        <f>IFERROR(__xludf.DUMMYFUNCTION("""COMPUTED_VALUE"""),1.0)</f>
        <v>1</v>
      </c>
      <c r="CW414" s="16"/>
      <c r="CX414" s="16"/>
      <c r="CY414" s="16"/>
      <c r="CZ414" s="16"/>
      <c r="DA414" s="16"/>
      <c r="DB414" s="16"/>
      <c r="DC414" s="16"/>
      <c r="DD414" s="16">
        <f>IFERROR(__xludf.DUMMYFUNCTION("""COMPUTED_VALUE"""),8.0)</f>
        <v>8</v>
      </c>
      <c r="DE414" s="16"/>
      <c r="DF414" s="16"/>
      <c r="DG414" s="16"/>
      <c r="DH414" s="16"/>
      <c r="DI414" s="16"/>
      <c r="DJ414" s="16"/>
      <c r="DK414" s="16"/>
      <c r="DL414" s="16">
        <f>IFERROR(__xludf.DUMMYFUNCTION("""COMPUTED_VALUE"""),4.0)</f>
        <v>4</v>
      </c>
      <c r="DM414" s="16"/>
      <c r="DN414" s="16"/>
      <c r="DO414" s="16"/>
      <c r="DP414" s="16"/>
      <c r="DQ414" s="16"/>
      <c r="DR414" s="16"/>
      <c r="DS414" s="16"/>
      <c r="DT414" s="16">
        <f>IFERROR(__xludf.DUMMYFUNCTION("""COMPUTED_VALUE"""),2.0)</f>
        <v>2</v>
      </c>
      <c r="DU414" s="16"/>
      <c r="DV414" s="16"/>
      <c r="DW414" s="16"/>
      <c r="DX414" s="16"/>
      <c r="DY414" s="16"/>
      <c r="DZ414" s="16"/>
      <c r="EA414" s="16"/>
      <c r="EB414" s="16">
        <f>IFERROR(__xludf.DUMMYFUNCTION("""COMPUTED_VALUE"""),6.0)</f>
        <v>6</v>
      </c>
      <c r="EC414" s="16"/>
      <c r="ED414" s="16"/>
      <c r="EE414" s="16"/>
      <c r="EF414" s="16"/>
      <c r="EG414" s="179"/>
      <c r="EH414" s="179"/>
      <c r="EI414" s="179"/>
      <c r="EJ414" s="179">
        <f>IFERROR(__xludf.DUMMYFUNCTION("""COMPUTED_VALUE"""),-17.0)</f>
        <v>-17</v>
      </c>
      <c r="EK414" s="179"/>
      <c r="EL414" s="179"/>
      <c r="EM414" s="179"/>
      <c r="EN414" s="179"/>
      <c r="EO414" s="16"/>
      <c r="EP414" s="16">
        <f>IFERROR(__xludf.DUMMYFUNCTION("""COMPUTED_VALUE"""),0.0)</f>
        <v>0</v>
      </c>
      <c r="EQ414" s="16">
        <f>IFERROR(__xludf.DUMMYFUNCTION("""COMPUTED_VALUE"""),-1.0)</f>
        <v>-1</v>
      </c>
      <c r="ER414" s="16">
        <f>IFERROR(__xludf.DUMMYFUNCTION("""COMPUTED_VALUE"""),0.0)</f>
        <v>0</v>
      </c>
      <c r="ES414" s="16"/>
      <c r="ET414" s="16"/>
      <c r="EU414" s="16"/>
      <c r="EV414" s="16"/>
      <c r="EW414" s="16"/>
      <c r="EX414" s="180"/>
      <c r="EY414" s="180"/>
      <c r="EZ414" s="180"/>
      <c r="FA414" s="180">
        <f>IFERROR(__xludf.DUMMYFUNCTION("""COMPUTED_VALUE"""),0.0)</f>
        <v>0</v>
      </c>
      <c r="FB414" s="180"/>
      <c r="FC414" s="180"/>
      <c r="FD414" s="180"/>
      <c r="FE414" s="180"/>
      <c r="FF414" s="180"/>
      <c r="FG414" s="180"/>
      <c r="FH414" s="180"/>
      <c r="FI414" s="180">
        <f>IFERROR(__xludf.DUMMYFUNCTION("""COMPUTED_VALUE"""),0.09722222222222222)</f>
        <v>0.09722222222</v>
      </c>
      <c r="FJ414" s="180"/>
      <c r="FK414" s="180"/>
      <c r="FL414" s="180"/>
      <c r="FM414" s="180"/>
      <c r="FN414" s="16"/>
      <c r="FO414" s="16"/>
      <c r="FP414" s="16"/>
      <c r="FQ414" s="16">
        <f>IFERROR(__xludf.DUMMYFUNCTION("""COMPUTED_VALUE"""),0.9027777777777778)</f>
        <v>0.9027777778</v>
      </c>
      <c r="FR414" s="16"/>
      <c r="FS414" s="16"/>
      <c r="FT414" s="16"/>
      <c r="FU414" s="16"/>
      <c r="FV414" s="16"/>
      <c r="FW414" s="16"/>
      <c r="FX414" s="16"/>
      <c r="FY414" s="16">
        <f>IFERROR(__xludf.DUMMYFUNCTION("""COMPUTED_VALUE"""),6.0)</f>
        <v>6</v>
      </c>
      <c r="FZ414" s="16"/>
      <c r="GA414" s="16"/>
      <c r="GB414" s="16"/>
      <c r="GC414" s="16"/>
      <c r="GD414" s="16" t="s">
        <v>200</v>
      </c>
    </row>
    <row r="415">
      <c r="A415" s="16">
        <f>IFERROR(__xludf.DUMMYFUNCTION("""COMPUTED_VALUE"""),12595.0)</f>
        <v>12595</v>
      </c>
      <c r="B415" s="16" t="str">
        <f>IFERROR(__xludf.DUMMYFUNCTION("""COMPUTED_VALUE"""),"Brandon Crawford")</f>
        <v>Brandon Crawford</v>
      </c>
      <c r="C415" s="16">
        <f>IFERROR(__xludf.DUMMYFUNCTION("""COMPUTED_VALUE"""),0.0)</f>
        <v>0</v>
      </c>
      <c r="D415" s="16" t="str">
        <f>IFERROR(__xludf.DUMMYFUNCTION("""COMPUTED_VALUE"""),"L")</f>
        <v>L</v>
      </c>
      <c r="E415" s="16"/>
      <c r="F415" s="16"/>
      <c r="G415" s="16">
        <f>IFERROR(__xludf.DUMMYFUNCTION("""COMPUTED_VALUE"""),71.0)</f>
        <v>71</v>
      </c>
      <c r="H415" s="16">
        <f>IFERROR(__xludf.DUMMYFUNCTION("""COMPUTED_VALUE"""),8.0)</f>
        <v>8</v>
      </c>
      <c r="I415" s="16" t="str">
        <f>IFERROR(__xludf.DUMMYFUNCTION("""COMPUTED_VALUE"""),"1p20")</f>
        <v>1p20</v>
      </c>
      <c r="J415" s="16">
        <f>IFERROR(__xludf.DUMMYFUNCTION("""COMPUTED_VALUE"""),35.0)</f>
        <v>35</v>
      </c>
      <c r="K415" s="16">
        <f>IFERROR(__xludf.DUMMYFUNCTION("""COMPUTED_VALUE"""),46.0)</f>
        <v>46</v>
      </c>
      <c r="L415" s="16">
        <f>IFERROR(__xludf.DUMMYFUNCTION("""COMPUTED_VALUE"""),-1.0)</f>
        <v>-1</v>
      </c>
      <c r="M415" s="16">
        <f>IFERROR(__xludf.DUMMYFUNCTION("""COMPUTED_VALUE"""),-2.0)</f>
        <v>-2</v>
      </c>
      <c r="N415" s="16">
        <f>IFERROR(__xludf.DUMMYFUNCTION("""COMPUTED_VALUE"""),-1.0)</f>
        <v>-1</v>
      </c>
      <c r="O415" s="16">
        <f>IFERROR(__xludf.DUMMYFUNCTION("""COMPUTED_VALUE"""),-2.0)</f>
        <v>-2</v>
      </c>
      <c r="P415" s="16">
        <f>IFERROR(__xludf.DUMMYFUNCTION("""COMPUTED_VALUE"""),0.0)</f>
        <v>0</v>
      </c>
      <c r="Q415" s="16">
        <f>IFERROR(__xludf.DUMMYFUNCTION("""COMPUTED_VALUE"""),15.0)</f>
        <v>15</v>
      </c>
      <c r="R415" s="16">
        <f>IFERROR(__xludf.DUMMYFUNCTION("""COMPUTED_VALUE"""),-3.0)</f>
        <v>-3</v>
      </c>
      <c r="S415" s="16">
        <f>IFERROR(__xludf.DUMMYFUNCTION("""COMPUTED_VALUE"""),2.0)</f>
        <v>2</v>
      </c>
      <c r="T415" s="16">
        <f>IFERROR(__xludf.DUMMYFUNCTION("""COMPUTED_VALUE"""),-3.0)</f>
        <v>-3</v>
      </c>
      <c r="U415" s="16">
        <f>IFERROR(__xludf.DUMMYFUNCTION("""COMPUTED_VALUE"""),2.0)</f>
        <v>2</v>
      </c>
      <c r="V415" s="16">
        <f>IFERROR(__xludf.DUMMYFUNCTION("""COMPUTED_VALUE"""),3.7)</f>
        <v>3.7</v>
      </c>
      <c r="W415" s="16">
        <f>IFERROR(__xludf.DUMMYFUNCTION("""COMPUTED_VALUE"""),7.8)</f>
        <v>7.8</v>
      </c>
      <c r="X415" s="16">
        <f>IFERROR(__xludf.DUMMYFUNCTION("""COMPUTED_VALUE"""),-2.0)</f>
        <v>-2</v>
      </c>
      <c r="Y415" s="16">
        <f>IFERROR(__xludf.DUMMYFUNCTION("""COMPUTED_VALUE"""),-2.0)</f>
        <v>-2</v>
      </c>
      <c r="Z415" s="16">
        <f>IFERROR(__xludf.DUMMYFUNCTION("""COMPUTED_VALUE"""),-4.0)</f>
        <v>-4</v>
      </c>
      <c r="AA415" s="16">
        <f>IFERROR(__xludf.DUMMYFUNCTION("""COMPUTED_VALUE"""),-4.0)</f>
        <v>-4</v>
      </c>
      <c r="AB415" s="16">
        <f>IFERROR(__xludf.DUMMYFUNCTION("""COMPUTED_VALUE"""),6.7)</f>
        <v>6.7</v>
      </c>
      <c r="AC415" s="16">
        <f>IFERROR(__xludf.DUMMYFUNCTION("""COMPUTED_VALUE"""),25.8)</f>
        <v>25.8</v>
      </c>
      <c r="AD415" s="16">
        <f>IFERROR(__xludf.DUMMYFUNCTION("""COMPUTED_VALUE"""),-2.0)</f>
        <v>-2</v>
      </c>
      <c r="AE415" s="16">
        <f>IFERROR(__xludf.DUMMYFUNCTION("""COMPUTED_VALUE"""),-1.0)</f>
        <v>-1</v>
      </c>
      <c r="AF415" s="16">
        <f>IFERROR(__xludf.DUMMYFUNCTION("""COMPUTED_VALUE"""),-10.0)</f>
        <v>-10</v>
      </c>
      <c r="AG415" s="16">
        <f>IFERROR(__xludf.DUMMYFUNCTION("""COMPUTED_VALUE"""),-5.0)</f>
        <v>-5</v>
      </c>
      <c r="AH415" s="16">
        <f>IFERROR(__xludf.DUMMYFUNCTION("""COMPUTED_VALUE"""),7.4)</f>
        <v>7.4</v>
      </c>
      <c r="AI415" s="16">
        <f>IFERROR(__xludf.DUMMYFUNCTION("""COMPUTED_VALUE"""),21.5)</f>
        <v>21.5</v>
      </c>
      <c r="AJ415" s="16">
        <f>IFERROR(__xludf.DUMMYFUNCTION("""COMPUTED_VALUE"""),-2.0)</f>
        <v>-2</v>
      </c>
      <c r="AK415" s="16">
        <f>IFERROR(__xludf.DUMMYFUNCTION("""COMPUTED_VALUE"""),-1.0)</f>
        <v>-1</v>
      </c>
      <c r="AL415" s="16">
        <f>IFERROR(__xludf.DUMMYFUNCTION("""COMPUTED_VALUE"""),-10.0)</f>
        <v>-10</v>
      </c>
      <c r="AM415" s="16">
        <f>IFERROR(__xludf.DUMMYFUNCTION("""COMPUTED_VALUE"""),-5.0)</f>
        <v>-5</v>
      </c>
      <c r="AN415" s="16">
        <f>IFERROR(__xludf.DUMMYFUNCTION("""COMPUTED_VALUE"""),0.0)</f>
        <v>0</v>
      </c>
      <c r="AO415" s="16">
        <f>IFERROR(__xludf.DUMMYFUNCTION("""COMPUTED_VALUE"""),3.0)</f>
        <v>3</v>
      </c>
      <c r="AP415" s="16">
        <f>IFERROR(__xludf.DUMMYFUNCTION("""COMPUTED_VALUE"""),-2.0)</f>
        <v>-2</v>
      </c>
      <c r="AQ415" s="16">
        <f>IFERROR(__xludf.DUMMYFUNCTION("""COMPUTED_VALUE"""),1.0)</f>
        <v>1</v>
      </c>
      <c r="AR415" s="16">
        <f>IFERROR(__xludf.DUMMYFUNCTION("""COMPUTED_VALUE"""),-4.0)</f>
        <v>-4</v>
      </c>
      <c r="AS415" s="16">
        <f>IFERROR(__xludf.DUMMYFUNCTION("""COMPUTED_VALUE"""),2.0)</f>
        <v>2</v>
      </c>
      <c r="AT415" s="16"/>
      <c r="AU415" s="16"/>
      <c r="AV415" s="16">
        <f>IFERROR(__xludf.DUMMYFUNCTION("""COMPUTED_VALUE"""),-3.0)</f>
        <v>-3</v>
      </c>
      <c r="AW415" s="16">
        <f>IFERROR(__xludf.DUMMYFUNCTION("""COMPUTED_VALUE"""),-3.0)</f>
        <v>-3</v>
      </c>
      <c r="AX415" s="16">
        <f>IFERROR(__xludf.DUMMYFUNCTION("""COMPUTED_VALUE"""),-3.0)</f>
        <v>-3</v>
      </c>
      <c r="AY415" s="16">
        <f>IFERROR(__xludf.DUMMYFUNCTION("""COMPUTED_VALUE"""),-3.0)</f>
        <v>-3</v>
      </c>
      <c r="AZ415" s="16">
        <f>IFERROR(__xludf.DUMMYFUNCTION("""COMPUTED_VALUE"""),-9.0)</f>
        <v>-9</v>
      </c>
      <c r="BA415" s="16">
        <f>IFERROR(__xludf.DUMMYFUNCTION("""COMPUTED_VALUE"""),-9.0)</f>
        <v>-9</v>
      </c>
      <c r="BB415" s="16">
        <f>IFERROR(__xludf.DUMMYFUNCTION("""COMPUTED_VALUE"""),0.0)</f>
        <v>0</v>
      </c>
      <c r="BC415" s="16">
        <f>IFERROR(__xludf.DUMMYFUNCTION("""COMPUTED_VALUE"""),0.0)</f>
        <v>0</v>
      </c>
      <c r="BD415" s="16">
        <f>IFERROR(__xludf.DUMMYFUNCTION("""COMPUTED_VALUE"""),0.0)</f>
        <v>0</v>
      </c>
      <c r="BE415" s="16">
        <f>IFERROR(__xludf.DUMMYFUNCTION("""COMPUTED_VALUE"""),0.0)</f>
        <v>0</v>
      </c>
      <c r="BF415" s="16">
        <f>IFERROR(__xludf.DUMMYFUNCTION("""COMPUTED_VALUE"""),0.0)</f>
        <v>0</v>
      </c>
      <c r="BG415" s="16">
        <f>IFERROR(__xludf.DUMMYFUNCTION("""COMPUTED_VALUE"""),0.0)</f>
        <v>0</v>
      </c>
      <c r="BH415" s="16">
        <f>IFERROR(__xludf.DUMMYFUNCTION("""COMPUTED_VALUE"""),0.0)</f>
        <v>0</v>
      </c>
      <c r="BI415" s="16">
        <f>IFERROR(__xludf.DUMMYFUNCTION("""COMPUTED_VALUE"""),0.0)</f>
        <v>0</v>
      </c>
      <c r="BJ415" s="16">
        <f>IFERROR(__xludf.DUMMYFUNCTION("""COMPUTED_VALUE"""),0.0)</f>
        <v>0</v>
      </c>
      <c r="BK415" s="16">
        <f>IFERROR(__xludf.DUMMYFUNCTION("""COMPUTED_VALUE"""),0.0)</f>
        <v>0</v>
      </c>
      <c r="BL415" s="16">
        <f>IFERROR(__xludf.DUMMYFUNCTION("""COMPUTED_VALUE"""),3.0)</f>
        <v>3</v>
      </c>
      <c r="BM415" s="16">
        <f>IFERROR(__xludf.DUMMYFUNCTION("""COMPUTED_VALUE"""),3.0)</f>
        <v>3</v>
      </c>
      <c r="BN415" s="16">
        <f>IFERROR(__xludf.DUMMYFUNCTION("""COMPUTED_VALUE"""),3.0)</f>
        <v>3</v>
      </c>
      <c r="BO415" s="16">
        <f>IFERROR(__xludf.DUMMYFUNCTION("""COMPUTED_VALUE"""),3.0)</f>
        <v>3</v>
      </c>
      <c r="BP415" s="16">
        <f>IFERROR(__xludf.DUMMYFUNCTION("""COMPUTED_VALUE"""),-12.0)</f>
        <v>-12</v>
      </c>
      <c r="BQ415" s="16">
        <f>IFERROR(__xludf.DUMMYFUNCTION("""COMPUTED_VALUE"""),-3.0)</f>
        <v>-3</v>
      </c>
      <c r="BR415" s="16">
        <f>IFERROR(__xludf.DUMMYFUNCTION("""COMPUTED_VALUE"""),-15.0)</f>
        <v>-15</v>
      </c>
      <c r="BS415" s="16" t="str">
        <f>IFERROR(__xludf.DUMMYFUNCTION("""COMPUTED_VALUE"""),"-/- (---)")</f>
        <v>-/- (---)</v>
      </c>
      <c r="BT415" s="16" t="str">
        <f>IFERROR(__xludf.DUMMYFUNCTION("""COMPUTED_VALUE"""),"E")</f>
        <v>E</v>
      </c>
      <c r="BU415" s="16">
        <f>IFERROR(__xludf.DUMMYFUNCTION("""COMPUTED_VALUE"""),11.0)</f>
        <v>11</v>
      </c>
      <c r="BV415" s="16">
        <f>IFERROR(__xludf.DUMMYFUNCTION("""COMPUTED_VALUE"""),0.0)</f>
        <v>0</v>
      </c>
      <c r="BW415" s="16">
        <f>IFERROR(__xludf.DUMMYFUNCTION("""COMPUTED_VALUE"""),0.0)</f>
        <v>0</v>
      </c>
      <c r="BX415" s="16">
        <f>IFERROR(__xludf.DUMMYFUNCTION("""COMPUTED_VALUE"""),0.0)</f>
        <v>0</v>
      </c>
      <c r="BY415" s="16">
        <f>IFERROR(__xludf.DUMMYFUNCTION("""COMPUTED_VALUE"""),0.0)</f>
        <v>0</v>
      </c>
      <c r="BZ415" s="16" t="str">
        <f>IFERROR(__xludf.DUMMYFUNCTION("""COMPUTED_VALUE"""),"D")</f>
        <v>D</v>
      </c>
      <c r="CA415" s="16" t="str">
        <f>IFERROR(__xludf.DUMMYFUNCTION("""COMPUTED_VALUE"""),"D")</f>
        <v>D</v>
      </c>
      <c r="CB415" s="16">
        <f>IFERROR(__xludf.DUMMYFUNCTION("""COMPUTED_VALUE"""),0.0)</f>
        <v>0</v>
      </c>
      <c r="CC415" s="16">
        <f>IFERROR(__xludf.DUMMYFUNCTION("""COMPUTED_VALUE"""),0.0)</f>
        <v>0</v>
      </c>
      <c r="CD415" s="16">
        <f>IFERROR(__xludf.DUMMYFUNCTION("""COMPUTED_VALUE"""),0.0)</f>
        <v>0</v>
      </c>
      <c r="CE415" s="16">
        <f>IFERROR(__xludf.DUMMYFUNCTION("""COMPUTED_VALUE"""),0.0)</f>
        <v>0</v>
      </c>
      <c r="CF415" s="16">
        <f>IFERROR(__xludf.DUMMYFUNCTION("""COMPUTED_VALUE"""),1.0)</f>
        <v>1</v>
      </c>
      <c r="CG415" s="16">
        <f>IFERROR(__xludf.DUMMYFUNCTION("""COMPUTED_VALUE"""),-38.0)</f>
        <v>-38</v>
      </c>
      <c r="CH415" s="16">
        <f>IFERROR(__xludf.DUMMYFUNCTION("""COMPUTED_VALUE"""),-18.0)</f>
        <v>-18</v>
      </c>
      <c r="CI415" s="179">
        <f>IFERROR(__xludf.DUMMYFUNCTION("""COMPUTED_VALUE"""),-23.0)</f>
        <v>-23</v>
      </c>
      <c r="CJ415" s="16"/>
      <c r="CK415" s="16"/>
      <c r="CL415" s="16"/>
      <c r="CM415" s="16">
        <f>IFERROR(__xludf.DUMMYFUNCTION("""COMPUTED_VALUE"""),437.0)</f>
        <v>437</v>
      </c>
      <c r="CN415" s="16">
        <f>IFERROR(__xludf.DUMMYFUNCTION("""COMPUTED_VALUE"""),410.0)</f>
        <v>410</v>
      </c>
      <c r="CO415" s="16"/>
      <c r="CP415" s="16"/>
      <c r="CQ415" s="16"/>
      <c r="CR415" s="16" t="str">
        <f>IFERROR(__xludf.DUMMYFUNCTION("""COMPUTED_VALUE"""),"ss-4e10 3b-4e37")</f>
        <v>ss-4e10 3b-4e37</v>
      </c>
      <c r="CS415" s="16"/>
      <c r="CT415" s="16"/>
      <c r="CU415" s="16"/>
      <c r="CV415" s="16">
        <f>IFERROR(__xludf.DUMMYFUNCTION("""COMPUTED_VALUE"""),4.0)</f>
        <v>4</v>
      </c>
      <c r="CW415" s="16">
        <f>IFERROR(__xludf.DUMMYFUNCTION("""COMPUTED_VALUE"""),4.0)</f>
        <v>4</v>
      </c>
      <c r="CX415" s="16"/>
      <c r="CY415" s="16"/>
      <c r="CZ415" s="16"/>
      <c r="DA415" s="16"/>
      <c r="DB415" s="16"/>
      <c r="DC415" s="16"/>
      <c r="DD415" s="16">
        <f>IFERROR(__xludf.DUMMYFUNCTION("""COMPUTED_VALUE"""),37.0)</f>
        <v>37</v>
      </c>
      <c r="DE415" s="16">
        <f>IFERROR(__xludf.DUMMYFUNCTION("""COMPUTED_VALUE"""),10.0)</f>
        <v>10</v>
      </c>
      <c r="DF415" s="16"/>
      <c r="DG415" s="16"/>
      <c r="DH415" s="16"/>
      <c r="DI415" s="16"/>
      <c r="DJ415" s="16"/>
      <c r="DK415" s="16"/>
      <c r="DL415" s="16">
        <f>IFERROR(__xludf.DUMMYFUNCTION("""COMPUTED_VALUE"""),0.0)</f>
        <v>0</v>
      </c>
      <c r="DM415" s="16">
        <f>IFERROR(__xludf.DUMMYFUNCTION("""COMPUTED_VALUE"""),-2.0)</f>
        <v>-2</v>
      </c>
      <c r="DN415" s="16"/>
      <c r="DO415" s="16"/>
      <c r="DP415" s="16"/>
      <c r="DQ415" s="16"/>
      <c r="DR415" s="16"/>
      <c r="DS415" s="16"/>
      <c r="DT415" s="16">
        <f>IFERROR(__xludf.DUMMYFUNCTION("""COMPUTED_VALUE"""),-2.0)</f>
        <v>-2</v>
      </c>
      <c r="DU415" s="16">
        <f>IFERROR(__xludf.DUMMYFUNCTION("""COMPUTED_VALUE"""),3.0)</f>
        <v>3</v>
      </c>
      <c r="DV415" s="16"/>
      <c r="DW415" s="16"/>
      <c r="DX415" s="16"/>
      <c r="DY415" s="16"/>
      <c r="DZ415" s="16"/>
      <c r="EA415" s="16"/>
      <c r="EB415" s="16">
        <f>IFERROR(__xludf.DUMMYFUNCTION("""COMPUTED_VALUE"""),-2.0)</f>
        <v>-2</v>
      </c>
      <c r="EC415" s="16">
        <f>IFERROR(__xludf.DUMMYFUNCTION("""COMPUTED_VALUE"""),1.0)</f>
        <v>1</v>
      </c>
      <c r="ED415" s="16"/>
      <c r="EE415" s="16"/>
      <c r="EF415" s="16"/>
      <c r="EG415" s="179"/>
      <c r="EH415" s="179"/>
      <c r="EI415" s="179"/>
      <c r="EJ415" s="179">
        <f>IFERROR(__xludf.DUMMYFUNCTION("""COMPUTED_VALUE"""),-25.0)</f>
        <v>-25</v>
      </c>
      <c r="EK415" s="179">
        <f>IFERROR(__xludf.DUMMYFUNCTION("""COMPUTED_VALUE"""),-22.0)</f>
        <v>-22</v>
      </c>
      <c r="EL415" s="179"/>
      <c r="EM415" s="179"/>
      <c r="EN415" s="179"/>
      <c r="EO415" s="16"/>
      <c r="EP415" s="16"/>
      <c r="EQ415" s="16">
        <f>IFERROR(__xludf.DUMMYFUNCTION("""COMPUTED_VALUE"""),4.0)</f>
        <v>4</v>
      </c>
      <c r="ER415" s="16">
        <f>IFERROR(__xludf.DUMMYFUNCTION("""COMPUTED_VALUE"""),-4.0)</f>
        <v>-4</v>
      </c>
      <c r="ES415" s="16"/>
      <c r="ET415" s="16"/>
      <c r="EU415" s="16"/>
      <c r="EV415" s="16"/>
      <c r="EW415" s="16"/>
      <c r="EX415" s="180"/>
      <c r="EY415" s="180"/>
      <c r="EZ415" s="180"/>
      <c r="FA415" s="180">
        <f>IFERROR(__xludf.DUMMYFUNCTION("""COMPUTED_VALUE"""),0.3)</f>
        <v>0.3</v>
      </c>
      <c r="FB415" s="180">
        <f>IFERROR(__xludf.DUMMYFUNCTION("""COMPUTED_VALUE"""),0.3)</f>
        <v>0.3</v>
      </c>
      <c r="FC415" s="180"/>
      <c r="FD415" s="180"/>
      <c r="FE415" s="180"/>
      <c r="FF415" s="180"/>
      <c r="FG415" s="180"/>
      <c r="FH415" s="180"/>
      <c r="FI415" s="180">
        <f>IFERROR(__xludf.DUMMYFUNCTION("""COMPUTED_VALUE"""),0.4444444444444444)</f>
        <v>0.4444444444</v>
      </c>
      <c r="FJ415" s="180">
        <f>IFERROR(__xludf.DUMMYFUNCTION("""COMPUTED_VALUE"""),0.05092592592592592)</f>
        <v>0.05092592593</v>
      </c>
      <c r="FK415" s="180"/>
      <c r="FL415" s="180"/>
      <c r="FM415" s="180"/>
      <c r="FN415" s="16"/>
      <c r="FO415" s="16"/>
      <c r="FP415" s="16"/>
      <c r="FQ415" s="16">
        <f>IFERROR(__xludf.DUMMYFUNCTION("""COMPUTED_VALUE"""),0.3888888888888889)</f>
        <v>0.3888888889</v>
      </c>
      <c r="FR415" s="16">
        <f>IFERROR(__xludf.DUMMYFUNCTION("""COMPUTED_VALUE"""),0.6643518518518519)</f>
        <v>0.6643518519</v>
      </c>
      <c r="FS415" s="16"/>
      <c r="FT415" s="16"/>
      <c r="FU415" s="16"/>
      <c r="FV415" s="16"/>
      <c r="FW415" s="16"/>
      <c r="FX415" s="16"/>
      <c r="FY415" s="16">
        <f>IFERROR(__xludf.DUMMYFUNCTION("""COMPUTED_VALUE"""),-8.0)</f>
        <v>-8</v>
      </c>
      <c r="FZ415" s="16">
        <f>IFERROR(__xludf.DUMMYFUNCTION("""COMPUTED_VALUE"""),-4.0)</f>
        <v>-4</v>
      </c>
      <c r="GA415" s="16"/>
      <c r="GB415" s="16"/>
      <c r="GC415" s="16"/>
      <c r="GD415" s="16" t="s">
        <v>176</v>
      </c>
    </row>
    <row r="416">
      <c r="A416" s="16">
        <f>IFERROR(__xludf.DUMMYFUNCTION("""COMPUTED_VALUE"""),12989.0)</f>
        <v>12989</v>
      </c>
      <c r="B416" s="16" t="str">
        <f>IFERROR(__xludf.DUMMYFUNCTION("""COMPUTED_VALUE"""),"Jonah Heim")</f>
        <v>Jonah Heim</v>
      </c>
      <c r="C416" s="16">
        <f>IFERROR(__xludf.DUMMYFUNCTION("""COMPUTED_VALUE"""),0.39)</f>
        <v>0.39</v>
      </c>
      <c r="D416" s="16" t="str">
        <f>IFERROR(__xludf.DUMMYFUNCTION("""COMPUTED_VALUE"""),"S")</f>
        <v>S</v>
      </c>
      <c r="E416" s="16"/>
      <c r="F416" s="16"/>
      <c r="G416" s="16">
        <f>IFERROR(__xludf.DUMMYFUNCTION("""COMPUTED_VALUE"""),459.0)</f>
        <v>459</v>
      </c>
      <c r="H416" s="16">
        <f>IFERROR(__xludf.DUMMYFUNCTION("""COMPUTED_VALUE"""),26.0)</f>
        <v>26</v>
      </c>
      <c r="I416" s="16" t="str">
        <f>IFERROR(__xludf.DUMMYFUNCTION("""COMPUTED_VALUE"""),"2p60")</f>
        <v>2p60</v>
      </c>
      <c r="J416" s="16">
        <f>IFERROR(__xludf.DUMMYFUNCTION("""COMPUTED_VALUE"""),12.0)</f>
        <v>12</v>
      </c>
      <c r="K416" s="16">
        <f>IFERROR(__xludf.DUMMYFUNCTION("""COMPUTED_VALUE"""),16.0)</f>
        <v>16</v>
      </c>
      <c r="L416" s="16">
        <f>IFERROR(__xludf.DUMMYFUNCTION("""COMPUTED_VALUE"""),1.0)</f>
        <v>1</v>
      </c>
      <c r="M416" s="16">
        <f>IFERROR(__xludf.DUMMYFUNCTION("""COMPUTED_VALUE"""),1.0)</f>
        <v>1</v>
      </c>
      <c r="N416" s="16">
        <f>IFERROR(__xludf.DUMMYFUNCTION("""COMPUTED_VALUE"""),1.0)</f>
        <v>1</v>
      </c>
      <c r="O416" s="16">
        <f>IFERROR(__xludf.DUMMYFUNCTION("""COMPUTED_VALUE"""),1.0)</f>
        <v>1</v>
      </c>
      <c r="P416" s="16">
        <f>IFERROR(__xludf.DUMMYFUNCTION("""COMPUTED_VALUE"""),6.0)</f>
        <v>6</v>
      </c>
      <c r="Q416" s="16">
        <f>IFERROR(__xludf.DUMMYFUNCTION("""COMPUTED_VALUE"""),1.0)</f>
        <v>1</v>
      </c>
      <c r="R416" s="16">
        <f>IFERROR(__xludf.DUMMYFUNCTION("""COMPUTED_VALUE"""),-1.0)</f>
        <v>-1</v>
      </c>
      <c r="S416" s="16">
        <f>IFERROR(__xludf.DUMMYFUNCTION("""COMPUTED_VALUE"""),-2.0)</f>
        <v>-2</v>
      </c>
      <c r="T416" s="16">
        <f>IFERROR(__xludf.DUMMYFUNCTION("""COMPUTED_VALUE"""),-1.0)</f>
        <v>-1</v>
      </c>
      <c r="U416" s="16">
        <f>IFERROR(__xludf.DUMMYFUNCTION("""COMPUTED_VALUE"""),-2.0)</f>
        <v>-2</v>
      </c>
      <c r="V416" s="16">
        <f>IFERROR(__xludf.DUMMYFUNCTION("""COMPUTED_VALUE"""),18.9)</f>
        <v>18.9</v>
      </c>
      <c r="W416" s="16">
        <f>IFERROR(__xludf.DUMMYFUNCTION("""COMPUTED_VALUE"""),15.6)</f>
        <v>15.6</v>
      </c>
      <c r="X416" s="16">
        <f>IFERROR(__xludf.DUMMYFUNCTION("""COMPUTED_VALUE"""),0.0)</f>
        <v>0</v>
      </c>
      <c r="Y416" s="16">
        <f>IFERROR(__xludf.DUMMYFUNCTION("""COMPUTED_VALUE"""),-1.0)</f>
        <v>-1</v>
      </c>
      <c r="Z416" s="16">
        <f>IFERROR(__xludf.DUMMYFUNCTION("""COMPUTED_VALUE"""),0.0)</f>
        <v>0</v>
      </c>
      <c r="AA416" s="16">
        <f>IFERROR(__xludf.DUMMYFUNCTION("""COMPUTED_VALUE"""),-2.0)</f>
        <v>-2</v>
      </c>
      <c r="AB416" s="16">
        <f>IFERROR(__xludf.DUMMYFUNCTION("""COMPUTED_VALUE"""),26.9)</f>
        <v>26.9</v>
      </c>
      <c r="AC416" s="16">
        <f>IFERROR(__xludf.DUMMYFUNCTION("""COMPUTED_VALUE"""),18.6)</f>
        <v>18.6</v>
      </c>
      <c r="AD416" s="16">
        <f>IFERROR(__xludf.DUMMYFUNCTION("""COMPUTED_VALUE"""),0.0)</f>
        <v>0</v>
      </c>
      <c r="AE416" s="16">
        <f>IFERROR(__xludf.DUMMYFUNCTION("""COMPUTED_VALUE"""),-2.0)</f>
        <v>-2</v>
      </c>
      <c r="AF416" s="16">
        <f>IFERROR(__xludf.DUMMYFUNCTION("""COMPUTED_VALUE"""),0.0)</f>
        <v>0</v>
      </c>
      <c r="AG416" s="16">
        <f>IFERROR(__xludf.DUMMYFUNCTION("""COMPUTED_VALUE"""),-10.0)</f>
        <v>-10</v>
      </c>
      <c r="AH416" s="16">
        <f>IFERROR(__xludf.DUMMYFUNCTION("""COMPUTED_VALUE"""),28.3)</f>
        <v>28.3</v>
      </c>
      <c r="AI416" s="16">
        <f>IFERROR(__xludf.DUMMYFUNCTION("""COMPUTED_VALUE"""),19.7)</f>
        <v>19.7</v>
      </c>
      <c r="AJ416" s="16">
        <f>IFERROR(__xludf.DUMMYFUNCTION("""COMPUTED_VALUE"""),0.0)</f>
        <v>0</v>
      </c>
      <c r="AK416" s="16">
        <f>IFERROR(__xludf.DUMMYFUNCTION("""COMPUTED_VALUE"""),-2.0)</f>
        <v>-2</v>
      </c>
      <c r="AL416" s="16">
        <f>IFERROR(__xludf.DUMMYFUNCTION("""COMPUTED_VALUE"""),0.0)</f>
        <v>0</v>
      </c>
      <c r="AM416" s="16">
        <f>IFERROR(__xludf.DUMMYFUNCTION("""COMPUTED_VALUE"""),-10.0)</f>
        <v>-10</v>
      </c>
      <c r="AN416" s="16">
        <f>IFERROR(__xludf.DUMMYFUNCTION("""COMPUTED_VALUE"""),2.2)</f>
        <v>2.2</v>
      </c>
      <c r="AO416" s="16">
        <f>IFERROR(__xludf.DUMMYFUNCTION("""COMPUTED_VALUE"""),1.2)</f>
        <v>1.2</v>
      </c>
      <c r="AP416" s="16">
        <f>IFERROR(__xludf.DUMMYFUNCTION("""COMPUTED_VALUE"""),0.0)</f>
        <v>0</v>
      </c>
      <c r="AQ416" s="16">
        <f>IFERROR(__xludf.DUMMYFUNCTION("""COMPUTED_VALUE"""),-2.0)</f>
        <v>-2</v>
      </c>
      <c r="AR416" s="16">
        <f>IFERROR(__xludf.DUMMYFUNCTION("""COMPUTED_VALUE"""),0.0)</f>
        <v>0</v>
      </c>
      <c r="AS416" s="16">
        <f>IFERROR(__xludf.DUMMYFUNCTION("""COMPUTED_VALUE"""),-4.0)</f>
        <v>-4</v>
      </c>
      <c r="AT416" s="16">
        <f>IFERROR(__xludf.DUMMYFUNCTION("""COMPUTED_VALUE"""),3.0)</f>
        <v>3</v>
      </c>
      <c r="AU416" s="16">
        <f>IFERROR(__xludf.DUMMYFUNCTION("""COMPUTED_VALUE"""),1.0)</f>
        <v>1</v>
      </c>
      <c r="AV416" s="16">
        <f>IFERROR(__xludf.DUMMYFUNCTION("""COMPUTED_VALUE"""),3.0)</f>
        <v>3</v>
      </c>
      <c r="AW416" s="16">
        <f>IFERROR(__xludf.DUMMYFUNCTION("""COMPUTED_VALUE"""),1.0)</f>
        <v>1</v>
      </c>
      <c r="AX416" s="16">
        <f>IFERROR(__xludf.DUMMYFUNCTION("""COMPUTED_VALUE"""),1.0)</f>
        <v>1</v>
      </c>
      <c r="AY416" s="16">
        <f>IFERROR(__xludf.DUMMYFUNCTION("""COMPUTED_VALUE"""),-1.0)</f>
        <v>-1</v>
      </c>
      <c r="AZ416" s="16">
        <f>IFERROR(__xludf.DUMMYFUNCTION("""COMPUTED_VALUE"""),3.0)</f>
        <v>3</v>
      </c>
      <c r="BA416" s="16">
        <f>IFERROR(__xludf.DUMMYFUNCTION("""COMPUTED_VALUE"""),-3.0)</f>
        <v>-3</v>
      </c>
      <c r="BB416" s="16">
        <f>IFERROR(__xludf.DUMMYFUNCTION("""COMPUTED_VALUE"""),5.0)</f>
        <v>5</v>
      </c>
      <c r="BC416" s="16">
        <f>IFERROR(__xludf.DUMMYFUNCTION("""COMPUTED_VALUE"""),5.0)</f>
        <v>5</v>
      </c>
      <c r="BD416" s="16">
        <f>IFERROR(__xludf.DUMMYFUNCTION("""COMPUTED_VALUE"""),1.0)</f>
        <v>1</v>
      </c>
      <c r="BE416" s="16">
        <f>IFERROR(__xludf.DUMMYFUNCTION("""COMPUTED_VALUE"""),1.0)</f>
        <v>1</v>
      </c>
      <c r="BF416" s="16">
        <f>IFERROR(__xludf.DUMMYFUNCTION("""COMPUTED_VALUE"""),1.0)</f>
        <v>1</v>
      </c>
      <c r="BG416" s="16">
        <f>IFERROR(__xludf.DUMMYFUNCTION("""COMPUTED_VALUE"""),1.0)</f>
        <v>1</v>
      </c>
      <c r="BH416" s="16">
        <f>IFERROR(__xludf.DUMMYFUNCTION("""COMPUTED_VALUE"""),2.0)</f>
        <v>2</v>
      </c>
      <c r="BI416" s="16">
        <f>IFERROR(__xludf.DUMMYFUNCTION("""COMPUTED_VALUE"""),2.0)</f>
        <v>2</v>
      </c>
      <c r="BJ416" s="16">
        <f>IFERROR(__xludf.DUMMYFUNCTION("""COMPUTED_VALUE"""),20.0)</f>
        <v>20</v>
      </c>
      <c r="BK416" s="16">
        <f>IFERROR(__xludf.DUMMYFUNCTION("""COMPUTED_VALUE"""),21.0)</f>
        <v>21</v>
      </c>
      <c r="BL416" s="16">
        <f>IFERROR(__xludf.DUMMYFUNCTION("""COMPUTED_VALUE"""),-2.0)</f>
        <v>-2</v>
      </c>
      <c r="BM416" s="16">
        <f>IFERROR(__xludf.DUMMYFUNCTION("""COMPUTED_VALUE"""),-2.0)</f>
        <v>-2</v>
      </c>
      <c r="BN416" s="16">
        <f>IFERROR(__xludf.DUMMYFUNCTION("""COMPUTED_VALUE"""),-4.0)</f>
        <v>-4</v>
      </c>
      <c r="BO416" s="16">
        <f>IFERROR(__xludf.DUMMYFUNCTION("""COMPUTED_VALUE"""),-4.0)</f>
        <v>-4</v>
      </c>
      <c r="BP416" s="16">
        <f>IFERROR(__xludf.DUMMYFUNCTION("""COMPUTED_VALUE"""),0.0)</f>
        <v>0</v>
      </c>
      <c r="BQ416" s="16">
        <f>IFERROR(__xludf.DUMMYFUNCTION("""COMPUTED_VALUE"""),-10.0)</f>
        <v>-10</v>
      </c>
      <c r="BR416" s="16">
        <f>IFERROR(__xludf.DUMMYFUNCTION("""COMPUTED_VALUE"""),-10.0)</f>
        <v>-10</v>
      </c>
      <c r="BS416" s="16" t="str">
        <f>IFERROR(__xludf.DUMMYFUNCTION("""COMPUTED_VALUE"""),"4/12 (13-5)")</f>
        <v>4/12 (13-5)</v>
      </c>
      <c r="BT416" s="16" t="str">
        <f>IFERROR(__xludf.DUMMYFUNCTION("""COMPUTED_VALUE"""),"E")</f>
        <v>E</v>
      </c>
      <c r="BU416" s="16">
        <f>IFERROR(__xludf.DUMMYFUNCTION("""COMPUTED_VALUE"""),9.0)</f>
        <v>9</v>
      </c>
      <c r="BV416" s="16">
        <f>IFERROR(__xludf.DUMMYFUNCTION("""COMPUTED_VALUE"""),0.0)</f>
        <v>0</v>
      </c>
      <c r="BW416" s="16">
        <f>IFERROR(__xludf.DUMMYFUNCTION("""COMPUTED_VALUE"""),-1.0)</f>
        <v>-1</v>
      </c>
      <c r="BX416" s="16">
        <f>IFERROR(__xludf.DUMMYFUNCTION("""COMPUTED_VALUE"""),0.0)</f>
        <v>0</v>
      </c>
      <c r="BY416" s="16">
        <f>IFERROR(__xludf.DUMMYFUNCTION("""COMPUTED_VALUE"""),-3.0)</f>
        <v>-3</v>
      </c>
      <c r="BZ416" s="16" t="str">
        <f>IFERROR(__xludf.DUMMYFUNCTION("""COMPUTED_VALUE"""),"D")</f>
        <v>D</v>
      </c>
      <c r="CA416" s="16" t="str">
        <f>IFERROR(__xludf.DUMMYFUNCTION("""COMPUTED_VALUE"""),"C")</f>
        <v>C</v>
      </c>
      <c r="CB416" s="16">
        <f>IFERROR(__xludf.DUMMYFUNCTION("""COMPUTED_VALUE"""),0.0)</f>
        <v>0</v>
      </c>
      <c r="CC416" s="16">
        <f>IFERROR(__xludf.DUMMYFUNCTION("""COMPUTED_VALUE"""),0.0)</f>
        <v>0</v>
      </c>
      <c r="CD416" s="16">
        <f>IFERROR(__xludf.DUMMYFUNCTION("""COMPUTED_VALUE"""),0.0)</f>
        <v>0</v>
      </c>
      <c r="CE416" s="16">
        <f>IFERROR(__xludf.DUMMYFUNCTION("""COMPUTED_VALUE"""),0.0)</f>
        <v>0</v>
      </c>
      <c r="CF416" s="16">
        <f>IFERROR(__xludf.DUMMYFUNCTION("""COMPUTED_VALUE"""),2.0)</f>
        <v>2</v>
      </c>
      <c r="CG416" s="16">
        <f>IFERROR(__xludf.DUMMYFUNCTION("""COMPUTED_VALUE"""),0.0)</f>
        <v>0</v>
      </c>
      <c r="CH416" s="16">
        <f>IFERROR(__xludf.DUMMYFUNCTION("""COMPUTED_VALUE"""),-33.0)</f>
        <v>-33</v>
      </c>
      <c r="CI416" s="179">
        <f>IFERROR(__xludf.DUMMYFUNCTION("""COMPUTED_VALUE"""),-23.0)</f>
        <v>-23</v>
      </c>
      <c r="CJ416" s="16">
        <f>IFERROR(__xludf.DUMMYFUNCTION("""COMPUTED_VALUE"""),203.0)</f>
        <v>203</v>
      </c>
      <c r="CK416" s="16"/>
      <c r="CL416" s="16"/>
      <c r="CM416" s="16"/>
      <c r="CN416" s="16"/>
      <c r="CO416" s="16"/>
      <c r="CP416" s="16"/>
      <c r="CQ416" s="16"/>
      <c r="CR416" s="16" t="str">
        <f>IFERROR(__xludf.DUMMYFUNCTION("""COMPUTED_VALUE"""),"c-2(+2)e3,T-6(pb-0)")</f>
        <v>c-2(+2)e3,T-6(pb-0)</v>
      </c>
      <c r="CS416" s="16">
        <f>IFERROR(__xludf.DUMMYFUNCTION("""COMPUTED_VALUE"""),2.0)</f>
        <v>2</v>
      </c>
      <c r="CT416" s="16"/>
      <c r="CU416" s="16"/>
      <c r="CV416" s="16"/>
      <c r="CW416" s="16"/>
      <c r="CX416" s="16"/>
      <c r="CY416" s="16"/>
      <c r="CZ416" s="16"/>
      <c r="DA416" s="16">
        <f>IFERROR(__xludf.DUMMYFUNCTION("""COMPUTED_VALUE"""),3.0)</f>
        <v>3</v>
      </c>
      <c r="DB416" s="16"/>
      <c r="DC416" s="16"/>
      <c r="DD416" s="16"/>
      <c r="DE416" s="16"/>
      <c r="DF416" s="16"/>
      <c r="DG416" s="16"/>
      <c r="DH416" s="16"/>
      <c r="DI416" s="16">
        <f>IFERROR(__xludf.DUMMYFUNCTION("""COMPUTED_VALUE"""),2.0)</f>
        <v>2</v>
      </c>
      <c r="DJ416" s="16"/>
      <c r="DK416" s="16"/>
      <c r="DL416" s="16"/>
      <c r="DM416" s="16"/>
      <c r="DN416" s="16"/>
      <c r="DO416" s="16"/>
      <c r="DP416" s="16"/>
      <c r="DQ416" s="16">
        <f>IFERROR(__xludf.DUMMYFUNCTION("""COMPUTED_VALUE"""),3.0)</f>
        <v>3</v>
      </c>
      <c r="DR416" s="16"/>
      <c r="DS416" s="16"/>
      <c r="DT416" s="16"/>
      <c r="DU416" s="16"/>
      <c r="DV416" s="16"/>
      <c r="DW416" s="16"/>
      <c r="DX416" s="16"/>
      <c r="DY416" s="16">
        <f>IFERROR(__xludf.DUMMYFUNCTION("""COMPUTED_VALUE"""),5.0)</f>
        <v>5</v>
      </c>
      <c r="DZ416" s="16"/>
      <c r="EA416" s="16"/>
      <c r="EB416" s="16"/>
      <c r="EC416" s="16"/>
      <c r="ED416" s="16"/>
      <c r="EE416" s="16"/>
      <c r="EF416" s="16"/>
      <c r="EG416" s="179">
        <f>IFERROR(__xludf.DUMMYFUNCTION("""COMPUTED_VALUE"""),-16.0)</f>
        <v>-16</v>
      </c>
      <c r="EH416" s="179"/>
      <c r="EI416" s="179"/>
      <c r="EJ416" s="179"/>
      <c r="EK416" s="179"/>
      <c r="EL416" s="179"/>
      <c r="EM416" s="179"/>
      <c r="EN416" s="179"/>
      <c r="EO416" s="16">
        <f>IFERROR(__xludf.DUMMYFUNCTION("""COMPUTED_VALUE"""),2.0)</f>
        <v>2</v>
      </c>
      <c r="EP416" s="16">
        <f>IFERROR(__xludf.DUMMYFUNCTION("""COMPUTED_VALUE"""),-1.0)</f>
        <v>-1</v>
      </c>
      <c r="EQ416" s="16">
        <f>IFERROR(__xludf.DUMMYFUNCTION("""COMPUTED_VALUE"""),2.0)</f>
        <v>2</v>
      </c>
      <c r="ER416" s="16">
        <f>IFERROR(__xludf.DUMMYFUNCTION("""COMPUTED_VALUE"""),1.0)</f>
        <v>1</v>
      </c>
      <c r="ES416" s="16" t="str">
        <f>IFERROR(__xludf.DUMMYFUNCTION("""COMPUTED_VALUE"""),"c-2")</f>
        <v>c-2</v>
      </c>
      <c r="ET416" s="16" t="str">
        <f>IFERROR(__xludf.DUMMYFUNCTION("""COMPUTED_VALUE"""),"+2)e3,T-6")</f>
        <v>+2)e3,T-6</v>
      </c>
      <c r="EU416" s="16" t="str">
        <f>IFERROR(__xludf.DUMMYFUNCTION("""COMPUTED_VALUE"""),"pb-0)")</f>
        <v>pb-0)</v>
      </c>
      <c r="EV416" s="16"/>
      <c r="EW416" s="16">
        <f>IFERROR(__xludf.DUMMYFUNCTION("""COMPUTED_VALUE"""),2.0)</f>
        <v>2</v>
      </c>
      <c r="EX416" s="180">
        <f>IFERROR(__xludf.DUMMYFUNCTION("""COMPUTED_VALUE"""),0.1)</f>
        <v>0.1</v>
      </c>
      <c r="EY416" s="180"/>
      <c r="EZ416" s="180"/>
      <c r="FA416" s="180"/>
      <c r="FB416" s="180"/>
      <c r="FC416" s="180"/>
      <c r="FD416" s="180"/>
      <c r="FE416" s="180"/>
      <c r="FF416" s="180">
        <f>IFERROR(__xludf.DUMMYFUNCTION("""COMPUTED_VALUE"""),0.038)</f>
        <v>0.038</v>
      </c>
      <c r="FG416" s="180"/>
      <c r="FH416" s="180"/>
      <c r="FI416" s="180"/>
      <c r="FJ416" s="180"/>
      <c r="FK416" s="180"/>
      <c r="FL416" s="180"/>
      <c r="FM416" s="180"/>
      <c r="FN416" s="16">
        <f>IFERROR(__xludf.DUMMYFUNCTION("""COMPUTED_VALUE"""),0.8658)</f>
        <v>0.8658</v>
      </c>
      <c r="FO416" s="16"/>
      <c r="FP416" s="16"/>
      <c r="FQ416" s="16"/>
      <c r="FR416" s="16"/>
      <c r="FS416" s="16"/>
      <c r="FT416" s="16"/>
      <c r="FU416" s="16"/>
      <c r="FV416" s="16">
        <f>IFERROR(__xludf.DUMMYFUNCTION("""COMPUTED_VALUE"""),2.0)</f>
        <v>2</v>
      </c>
      <c r="FW416" s="16"/>
      <c r="FX416" s="16"/>
      <c r="FY416" s="16"/>
      <c r="FZ416" s="16"/>
      <c r="GA416" s="16"/>
      <c r="GB416" s="16"/>
      <c r="GC416" s="16"/>
      <c r="GD416" s="16" t="s">
        <v>176</v>
      </c>
    </row>
    <row r="417">
      <c r="A417" s="16">
        <f>IFERROR(__xludf.DUMMYFUNCTION("""COMPUTED_VALUE"""),12520.0)</f>
        <v>12520</v>
      </c>
      <c r="B417" s="16" t="str">
        <f>IFERROR(__xludf.DUMMYFUNCTION("""COMPUTED_VALUE"""),"Alek Thomas")</f>
        <v>Alek Thomas</v>
      </c>
      <c r="C417" s="16">
        <f>IFERROR(__xludf.DUMMYFUNCTION("""COMPUTED_VALUE"""),0.0)</f>
        <v>0</v>
      </c>
      <c r="D417" s="16" t="str">
        <f>IFERROR(__xludf.DUMMYFUNCTION("""COMPUTED_VALUE"""),"L")</f>
        <v>L</v>
      </c>
      <c r="E417" s="16"/>
      <c r="F417" s="16"/>
      <c r="G417" s="16">
        <f>IFERROR(__xludf.DUMMYFUNCTION("""COMPUTED_VALUE"""),95.0)</f>
        <v>95</v>
      </c>
      <c r="H417" s="16">
        <f>IFERROR(__xludf.DUMMYFUNCTION("""COMPUTED_VALUE"""),7.0)</f>
        <v>7</v>
      </c>
      <c r="I417" s="16" t="str">
        <f>IFERROR(__xludf.DUMMYFUNCTION("""COMPUTED_VALUE"""),"6p20")</f>
        <v>6p20</v>
      </c>
      <c r="J417" s="16">
        <f>IFERROR(__xludf.DUMMYFUNCTION("""COMPUTED_VALUE"""),8.0)</f>
        <v>8</v>
      </c>
      <c r="K417" s="16">
        <f>IFERROR(__xludf.DUMMYFUNCTION("""COMPUTED_VALUE"""),12.0)</f>
        <v>12</v>
      </c>
      <c r="L417" s="16">
        <f>IFERROR(__xludf.DUMMYFUNCTION("""COMPUTED_VALUE"""),2.0)</f>
        <v>2</v>
      </c>
      <c r="M417" s="16">
        <f>IFERROR(__xludf.DUMMYFUNCTION("""COMPUTED_VALUE"""),1.0)</f>
        <v>1</v>
      </c>
      <c r="N417" s="16">
        <f>IFERROR(__xludf.DUMMYFUNCTION("""COMPUTED_VALUE"""),2.0)</f>
        <v>2</v>
      </c>
      <c r="O417" s="16">
        <f>IFERROR(__xludf.DUMMYFUNCTION("""COMPUTED_VALUE"""),1.0)</f>
        <v>1</v>
      </c>
      <c r="P417" s="16">
        <f>IFERROR(__xludf.DUMMYFUNCTION("""COMPUTED_VALUE"""),1.0)</f>
        <v>1</v>
      </c>
      <c r="Q417" s="16">
        <f>IFERROR(__xludf.DUMMYFUNCTION("""COMPUTED_VALUE"""),7.0)</f>
        <v>7</v>
      </c>
      <c r="R417" s="16">
        <f>IFERROR(__xludf.DUMMYFUNCTION("""COMPUTED_VALUE"""),-2.0)</f>
        <v>-2</v>
      </c>
      <c r="S417" s="16">
        <f>IFERROR(__xludf.DUMMYFUNCTION("""COMPUTED_VALUE"""),-1.0)</f>
        <v>-1</v>
      </c>
      <c r="T417" s="16">
        <f>IFERROR(__xludf.DUMMYFUNCTION("""COMPUTED_VALUE"""),-2.0)</f>
        <v>-2</v>
      </c>
      <c r="U417" s="16">
        <f>IFERROR(__xludf.DUMMYFUNCTION("""COMPUTED_VALUE"""),-1.0)</f>
        <v>-1</v>
      </c>
      <c r="V417" s="16">
        <f>IFERROR(__xludf.DUMMYFUNCTION("""COMPUTED_VALUE"""),6.2)</f>
        <v>6.2</v>
      </c>
      <c r="W417" s="16">
        <f>IFERROR(__xludf.DUMMYFUNCTION("""COMPUTED_VALUE"""),12.9)</f>
        <v>12.9</v>
      </c>
      <c r="X417" s="16">
        <f>IFERROR(__xludf.DUMMYFUNCTION("""COMPUTED_VALUE"""),-2.0)</f>
        <v>-2</v>
      </c>
      <c r="Y417" s="16">
        <f>IFERROR(__xludf.DUMMYFUNCTION("""COMPUTED_VALUE"""),-1.0)</f>
        <v>-1</v>
      </c>
      <c r="Z417" s="16">
        <f>IFERROR(__xludf.DUMMYFUNCTION("""COMPUTED_VALUE"""),-4.0)</f>
        <v>-4</v>
      </c>
      <c r="AA417" s="16">
        <f>IFERROR(__xludf.DUMMYFUNCTION("""COMPUTED_VALUE"""),-2.0)</f>
        <v>-2</v>
      </c>
      <c r="AB417" s="16">
        <f>IFERROR(__xludf.DUMMYFUNCTION("""COMPUTED_VALUE"""),7.2)</f>
        <v>7.2</v>
      </c>
      <c r="AC417" s="16">
        <f>IFERROR(__xludf.DUMMYFUNCTION("""COMPUTED_VALUE"""),19.9)</f>
        <v>19.9</v>
      </c>
      <c r="AD417" s="16">
        <f>IFERROR(__xludf.DUMMYFUNCTION("""COMPUTED_VALUE"""),-2.0)</f>
        <v>-2</v>
      </c>
      <c r="AE417" s="16">
        <f>IFERROR(__xludf.DUMMYFUNCTION("""COMPUTED_VALUE"""),-2.0)</f>
        <v>-2</v>
      </c>
      <c r="AF417" s="16">
        <f>IFERROR(__xludf.DUMMYFUNCTION("""COMPUTED_VALUE"""),-10.0)</f>
        <v>-10</v>
      </c>
      <c r="AG417" s="16">
        <f>IFERROR(__xludf.DUMMYFUNCTION("""COMPUTED_VALUE"""),-10.0)</f>
        <v>-10</v>
      </c>
      <c r="AH417" s="16">
        <f>IFERROR(__xludf.DUMMYFUNCTION("""COMPUTED_VALUE"""),15.1)</f>
        <v>15.1</v>
      </c>
      <c r="AI417" s="16">
        <f>IFERROR(__xludf.DUMMYFUNCTION("""COMPUTED_VALUE"""),29.7)</f>
        <v>29.7</v>
      </c>
      <c r="AJ417" s="16">
        <f>IFERROR(__xludf.DUMMYFUNCTION("""COMPUTED_VALUE"""),-1.0)</f>
        <v>-1</v>
      </c>
      <c r="AK417" s="16">
        <f>IFERROR(__xludf.DUMMYFUNCTION("""COMPUTED_VALUE"""),0.0)</f>
        <v>0</v>
      </c>
      <c r="AL417" s="16">
        <f>IFERROR(__xludf.DUMMYFUNCTION("""COMPUTED_VALUE"""),-5.0)</f>
        <v>-5</v>
      </c>
      <c r="AM417" s="16">
        <f>IFERROR(__xludf.DUMMYFUNCTION("""COMPUTED_VALUE"""),0.0)</f>
        <v>0</v>
      </c>
      <c r="AN417" s="16">
        <f>IFERROR(__xludf.DUMMYFUNCTION("""COMPUTED_VALUE"""),1.6)</f>
        <v>1.6</v>
      </c>
      <c r="AO417" s="16">
        <f>IFERROR(__xludf.DUMMYFUNCTION("""COMPUTED_VALUE"""),2.2)</f>
        <v>2.2</v>
      </c>
      <c r="AP417" s="16">
        <f>IFERROR(__xludf.DUMMYFUNCTION("""COMPUTED_VALUE"""),-1.0)</f>
        <v>-1</v>
      </c>
      <c r="AQ417" s="16">
        <f>IFERROR(__xludf.DUMMYFUNCTION("""COMPUTED_VALUE"""),0.0)</f>
        <v>0</v>
      </c>
      <c r="AR417" s="16">
        <f>IFERROR(__xludf.DUMMYFUNCTION("""COMPUTED_VALUE"""),-2.0)</f>
        <v>-2</v>
      </c>
      <c r="AS417" s="16">
        <f>IFERROR(__xludf.DUMMYFUNCTION("""COMPUTED_VALUE"""),0.0)</f>
        <v>0</v>
      </c>
      <c r="AT417" s="16">
        <f>IFERROR(__xludf.DUMMYFUNCTION("""COMPUTED_VALUE"""),3.0)</f>
        <v>3</v>
      </c>
      <c r="AU417" s="16"/>
      <c r="AV417" s="16">
        <f>IFERROR(__xludf.DUMMYFUNCTION("""COMPUTED_VALUE"""),3.0)</f>
        <v>3</v>
      </c>
      <c r="AW417" s="16">
        <f>IFERROR(__xludf.DUMMYFUNCTION("""COMPUTED_VALUE"""),4.0)</f>
        <v>4</v>
      </c>
      <c r="AX417" s="16">
        <f>IFERROR(__xludf.DUMMYFUNCTION("""COMPUTED_VALUE"""),1.0)</f>
        <v>1</v>
      </c>
      <c r="AY417" s="16">
        <f>IFERROR(__xludf.DUMMYFUNCTION("""COMPUTED_VALUE"""),1.0)</f>
        <v>1</v>
      </c>
      <c r="AZ417" s="16">
        <f>IFERROR(__xludf.DUMMYFUNCTION("""COMPUTED_VALUE"""),3.0)</f>
        <v>3</v>
      </c>
      <c r="BA417" s="16">
        <f>IFERROR(__xludf.DUMMYFUNCTION("""COMPUTED_VALUE"""),3.0)</f>
        <v>3</v>
      </c>
      <c r="BB417" s="16">
        <f>IFERROR(__xludf.DUMMYFUNCTION("""COMPUTED_VALUE"""),5.0)</f>
        <v>5</v>
      </c>
      <c r="BC417" s="16">
        <f>IFERROR(__xludf.DUMMYFUNCTION("""COMPUTED_VALUE"""),0.0)</f>
        <v>0</v>
      </c>
      <c r="BD417" s="16">
        <f>IFERROR(__xludf.DUMMYFUNCTION("""COMPUTED_VALUE"""),1.0)</f>
        <v>1</v>
      </c>
      <c r="BE417" s="16">
        <f>IFERROR(__xludf.DUMMYFUNCTION("""COMPUTED_VALUE"""),0.0)</f>
        <v>0</v>
      </c>
      <c r="BF417" s="16">
        <f>IFERROR(__xludf.DUMMYFUNCTION("""COMPUTED_VALUE"""),1.0)</f>
        <v>1</v>
      </c>
      <c r="BG417" s="16">
        <f>IFERROR(__xludf.DUMMYFUNCTION("""COMPUTED_VALUE"""),0.0)</f>
        <v>0</v>
      </c>
      <c r="BH417" s="16">
        <f>IFERROR(__xludf.DUMMYFUNCTION("""COMPUTED_VALUE"""),0.0)</f>
        <v>0</v>
      </c>
      <c r="BI417" s="16">
        <f>IFERROR(__xludf.DUMMYFUNCTION("""COMPUTED_VALUE"""),0.0)</f>
        <v>0</v>
      </c>
      <c r="BJ417" s="16">
        <f>IFERROR(__xludf.DUMMYFUNCTION("""COMPUTED_VALUE"""),34.0)</f>
        <v>34</v>
      </c>
      <c r="BK417" s="16">
        <f>IFERROR(__xludf.DUMMYFUNCTION("""COMPUTED_VALUE"""),31.0)</f>
        <v>31</v>
      </c>
      <c r="BL417" s="16">
        <f>IFERROR(__xludf.DUMMYFUNCTION("""COMPUTED_VALUE"""),-3.0)</f>
        <v>-3</v>
      </c>
      <c r="BM417" s="16">
        <f>IFERROR(__xludf.DUMMYFUNCTION("""COMPUTED_VALUE"""),-3.0)</f>
        <v>-3</v>
      </c>
      <c r="BN417" s="16">
        <f>IFERROR(__xludf.DUMMYFUNCTION("""COMPUTED_VALUE"""),-6.0)</f>
        <v>-6</v>
      </c>
      <c r="BO417" s="16">
        <f>IFERROR(__xludf.DUMMYFUNCTION("""COMPUTED_VALUE"""),-6.0)</f>
        <v>-6</v>
      </c>
      <c r="BP417" s="16">
        <f>IFERROR(__xludf.DUMMYFUNCTION("""COMPUTED_VALUE"""),-7.0)</f>
        <v>-7</v>
      </c>
      <c r="BQ417" s="16">
        <f>IFERROR(__xludf.DUMMYFUNCTION("""COMPUTED_VALUE"""),-5.0)</f>
        <v>-5</v>
      </c>
      <c r="BR417" s="16">
        <f>IFERROR(__xludf.DUMMYFUNCTION("""COMPUTED_VALUE"""),-12.0)</f>
        <v>-12</v>
      </c>
      <c r="BS417" s="16" t="str">
        <f>IFERROR(__xludf.DUMMYFUNCTION("""COMPUTED_VALUE"""),"*2-5,11,12/- (19-13)")</f>
        <v>*2-5,11,12/- (19-13)</v>
      </c>
      <c r="BT417" s="16" t="str">
        <f>IFERROR(__xludf.DUMMYFUNCTION("""COMPUTED_VALUE"""),"B")</f>
        <v>B</v>
      </c>
      <c r="BU417" s="16">
        <f>IFERROR(__xludf.DUMMYFUNCTION("""COMPUTED_VALUE"""),14.0)</f>
        <v>14</v>
      </c>
      <c r="BV417" s="16">
        <f>IFERROR(__xludf.DUMMYFUNCTION("""COMPUTED_VALUE"""),1.0)</f>
        <v>1</v>
      </c>
      <c r="BW417" s="16">
        <f>IFERROR(__xludf.DUMMYFUNCTION("""COMPUTED_VALUE"""),1.0)</f>
        <v>1</v>
      </c>
      <c r="BX417" s="16">
        <f>IFERROR(__xludf.DUMMYFUNCTION("""COMPUTED_VALUE"""),2.0)</f>
        <v>2</v>
      </c>
      <c r="BY417" s="16">
        <f>IFERROR(__xludf.DUMMYFUNCTION("""COMPUTED_VALUE"""),3.0)</f>
        <v>3</v>
      </c>
      <c r="BZ417" s="16" t="str">
        <f>IFERROR(__xludf.DUMMYFUNCTION("""COMPUTED_VALUE"""),"D")</f>
        <v>D</v>
      </c>
      <c r="CA417" s="16" t="str">
        <f>IFERROR(__xludf.DUMMYFUNCTION("""COMPUTED_VALUE"""),"C")</f>
        <v>C</v>
      </c>
      <c r="CB417" s="16">
        <f>IFERROR(__xludf.DUMMYFUNCTION("""COMPUTED_VALUE"""),0.0)</f>
        <v>0</v>
      </c>
      <c r="CC417" s="16">
        <f>IFERROR(__xludf.DUMMYFUNCTION("""COMPUTED_VALUE"""),0.0)</f>
        <v>0</v>
      </c>
      <c r="CD417" s="16">
        <f>IFERROR(__xludf.DUMMYFUNCTION("""COMPUTED_VALUE"""),0.0)</f>
        <v>0</v>
      </c>
      <c r="CE417" s="16">
        <f>IFERROR(__xludf.DUMMYFUNCTION("""COMPUTED_VALUE"""),0.0)</f>
        <v>0</v>
      </c>
      <c r="CF417" s="16">
        <f>IFERROR(__xludf.DUMMYFUNCTION("""COMPUTED_VALUE"""),6.0)</f>
        <v>6</v>
      </c>
      <c r="CG417" s="16">
        <f>IFERROR(__xludf.DUMMYFUNCTION("""COMPUTED_VALUE"""),-23.0)</f>
        <v>-23</v>
      </c>
      <c r="CH417" s="16">
        <f>IFERROR(__xludf.DUMMYFUNCTION("""COMPUTED_VALUE"""),-15.0)</f>
        <v>-15</v>
      </c>
      <c r="CI417" s="179">
        <f>IFERROR(__xludf.DUMMYFUNCTION("""COMPUTED_VALUE"""),-24.0)</f>
        <v>-24</v>
      </c>
      <c r="CJ417" s="16"/>
      <c r="CK417" s="16"/>
      <c r="CL417" s="16"/>
      <c r="CM417" s="16"/>
      <c r="CN417" s="16"/>
      <c r="CO417" s="16"/>
      <c r="CP417" s="16">
        <f>IFERROR(__xludf.DUMMYFUNCTION("""COMPUTED_VALUE"""),105.0)</f>
        <v>105</v>
      </c>
      <c r="CQ417" s="16"/>
      <c r="CR417" s="16" t="str">
        <f>IFERROR(__xludf.DUMMYFUNCTION("""COMPUTED_VALUE"""),"cf-1(0)e5")</f>
        <v>cf-1(0)e5</v>
      </c>
      <c r="CS417" s="16"/>
      <c r="CT417" s="16"/>
      <c r="CU417" s="16"/>
      <c r="CV417" s="16"/>
      <c r="CW417" s="16"/>
      <c r="CX417" s="16"/>
      <c r="CY417" s="16">
        <f>IFERROR(__xludf.DUMMYFUNCTION("""COMPUTED_VALUE"""),1.0)</f>
        <v>1</v>
      </c>
      <c r="CZ417" s="16"/>
      <c r="DA417" s="16"/>
      <c r="DB417" s="16"/>
      <c r="DC417" s="16"/>
      <c r="DD417" s="16"/>
      <c r="DE417" s="16"/>
      <c r="DF417" s="16"/>
      <c r="DG417" s="16">
        <f>IFERROR(__xludf.DUMMYFUNCTION("""COMPUTED_VALUE"""),5.0)</f>
        <v>5</v>
      </c>
      <c r="DH417" s="16"/>
      <c r="DI417" s="16"/>
      <c r="DJ417" s="16"/>
      <c r="DK417" s="16"/>
      <c r="DL417" s="16"/>
      <c r="DM417" s="16"/>
      <c r="DN417" s="16"/>
      <c r="DO417" s="16">
        <f>IFERROR(__xludf.DUMMYFUNCTION("""COMPUTED_VALUE"""),4.0)</f>
        <v>4</v>
      </c>
      <c r="DP417" s="16"/>
      <c r="DQ417" s="16"/>
      <c r="DR417" s="16"/>
      <c r="DS417" s="16"/>
      <c r="DT417" s="16"/>
      <c r="DU417" s="16"/>
      <c r="DV417" s="16"/>
      <c r="DW417" s="16">
        <f>IFERROR(__xludf.DUMMYFUNCTION("""COMPUTED_VALUE"""),3.0)</f>
        <v>3</v>
      </c>
      <c r="DX417" s="16"/>
      <c r="DY417" s="16"/>
      <c r="DZ417" s="16"/>
      <c r="EA417" s="16"/>
      <c r="EB417" s="16"/>
      <c r="EC417" s="16"/>
      <c r="ED417" s="16"/>
      <c r="EE417" s="16">
        <f>IFERROR(__xludf.DUMMYFUNCTION("""COMPUTED_VALUE"""),7.0)</f>
        <v>7</v>
      </c>
      <c r="EF417" s="16"/>
      <c r="EG417" s="179"/>
      <c r="EH417" s="179"/>
      <c r="EI417" s="179"/>
      <c r="EJ417" s="179"/>
      <c r="EK417" s="179"/>
      <c r="EL417" s="179"/>
      <c r="EM417" s="179">
        <f>IFERROR(__xludf.DUMMYFUNCTION("""COMPUTED_VALUE"""),-17.0)</f>
        <v>-17</v>
      </c>
      <c r="EN417" s="179"/>
      <c r="EO417" s="16"/>
      <c r="EP417" s="16">
        <f>IFERROR(__xludf.DUMMYFUNCTION("""COMPUTED_VALUE"""),2.0)</f>
        <v>2</v>
      </c>
      <c r="EQ417" s="16">
        <f>IFERROR(__xludf.DUMMYFUNCTION("""COMPUTED_VALUE"""),-4.0)</f>
        <v>-4</v>
      </c>
      <c r="ER417" s="16">
        <f>IFERROR(__xludf.DUMMYFUNCTION("""COMPUTED_VALUE"""),-4.0)</f>
        <v>-4</v>
      </c>
      <c r="ES417" s="16"/>
      <c r="ET417" s="16"/>
      <c r="EU417" s="16"/>
      <c r="EV417" s="16"/>
      <c r="EW417" s="16"/>
      <c r="EX417" s="180"/>
      <c r="EY417" s="180"/>
      <c r="EZ417" s="180"/>
      <c r="FA417" s="180"/>
      <c r="FB417" s="180"/>
      <c r="FC417" s="180"/>
      <c r="FD417" s="180">
        <f>IFERROR(__xludf.DUMMYFUNCTION("""COMPUTED_VALUE"""),0.0)</f>
        <v>0</v>
      </c>
      <c r="FE417" s="180"/>
      <c r="FF417" s="180"/>
      <c r="FG417" s="180"/>
      <c r="FH417" s="180"/>
      <c r="FI417" s="180"/>
      <c r="FJ417" s="180"/>
      <c r="FK417" s="180"/>
      <c r="FL417" s="180">
        <f>IFERROR(__xludf.DUMMYFUNCTION("""COMPUTED_VALUE"""),0.06018518518518518)</f>
        <v>0.06018518519</v>
      </c>
      <c r="FM417" s="180"/>
      <c r="FN417" s="16"/>
      <c r="FO417" s="16"/>
      <c r="FP417" s="16"/>
      <c r="FQ417" s="16"/>
      <c r="FR417" s="16"/>
      <c r="FS417" s="16"/>
      <c r="FT417" s="16">
        <f>IFERROR(__xludf.DUMMYFUNCTION("""COMPUTED_VALUE"""),0.9398148148148148)</f>
        <v>0.9398148148</v>
      </c>
      <c r="FU417" s="16"/>
      <c r="FV417" s="16"/>
      <c r="FW417" s="16"/>
      <c r="FX417" s="16"/>
      <c r="FY417" s="16"/>
      <c r="FZ417" s="16"/>
      <c r="GA417" s="16"/>
      <c r="GB417" s="16">
        <f>IFERROR(__xludf.DUMMYFUNCTION("""COMPUTED_VALUE"""),4.0)</f>
        <v>4</v>
      </c>
      <c r="GC417" s="16"/>
      <c r="GD417" s="16" t="s">
        <v>176</v>
      </c>
    </row>
    <row r="418">
      <c r="A418" s="16">
        <f>IFERROR(__xludf.DUMMYFUNCTION("""COMPUTED_VALUE"""),13210.0)</f>
        <v>13210</v>
      </c>
      <c r="B418" s="16" t="str">
        <f>IFERROR(__xludf.DUMMYFUNCTION("""COMPUTED_VALUE"""),"Miguel Vargas")</f>
        <v>Miguel Vargas</v>
      </c>
      <c r="C418" s="16">
        <f>IFERROR(__xludf.DUMMYFUNCTION("""COMPUTED_VALUE"""),0.0)</f>
        <v>0</v>
      </c>
      <c r="D418" s="16" t="str">
        <f>IFERROR(__xludf.DUMMYFUNCTION("""COMPUTED_VALUE"""),"R")</f>
        <v>R</v>
      </c>
      <c r="E418" s="16"/>
      <c r="F418" s="16"/>
      <c r="G418" s="16">
        <f>IFERROR(__xludf.DUMMYFUNCTION("""COMPUTED_VALUE"""),206.0)</f>
        <v>206</v>
      </c>
      <c r="H418" s="16">
        <f>IFERROR(__xludf.DUMMYFUNCTION("""COMPUTED_VALUE"""),25.0)</f>
        <v>25</v>
      </c>
      <c r="I418" s="16" t="str">
        <f>IFERROR(__xludf.DUMMYFUNCTION("""COMPUTED_VALUE"""),"1p40")</f>
        <v>1p40</v>
      </c>
      <c r="J418" s="16">
        <f>IFERROR(__xludf.DUMMYFUNCTION("""COMPUTED_VALUE"""),10.0)</f>
        <v>10</v>
      </c>
      <c r="K418" s="16">
        <f>IFERROR(__xludf.DUMMYFUNCTION("""COMPUTED_VALUE"""),38.0)</f>
        <v>38</v>
      </c>
      <c r="L418" s="16">
        <f>IFERROR(__xludf.DUMMYFUNCTION("""COMPUTED_VALUE"""),1.0)</f>
        <v>1</v>
      </c>
      <c r="M418" s="16">
        <f>IFERROR(__xludf.DUMMYFUNCTION("""COMPUTED_VALUE"""),-1.0)</f>
        <v>-1</v>
      </c>
      <c r="N418" s="16">
        <f>IFERROR(__xludf.DUMMYFUNCTION("""COMPUTED_VALUE"""),1.0)</f>
        <v>1</v>
      </c>
      <c r="O418" s="16">
        <f>IFERROR(__xludf.DUMMYFUNCTION("""COMPUTED_VALUE"""),-1.0)</f>
        <v>-1</v>
      </c>
      <c r="P418" s="16">
        <f>IFERROR(__xludf.DUMMYFUNCTION("""COMPUTED_VALUE"""),12.0)</f>
        <v>12</v>
      </c>
      <c r="Q418" s="16">
        <f>IFERROR(__xludf.DUMMYFUNCTION("""COMPUTED_VALUE"""),17.0)</f>
        <v>17</v>
      </c>
      <c r="R418" s="16">
        <f>IFERROR(__xludf.DUMMYFUNCTION("""COMPUTED_VALUE"""),1.0)</f>
        <v>1</v>
      </c>
      <c r="S418" s="16">
        <f>IFERROR(__xludf.DUMMYFUNCTION("""COMPUTED_VALUE"""),2.0)</f>
        <v>2</v>
      </c>
      <c r="T418" s="16">
        <f>IFERROR(__xludf.DUMMYFUNCTION("""COMPUTED_VALUE"""),1.0)</f>
        <v>1</v>
      </c>
      <c r="U418" s="16">
        <f>IFERROR(__xludf.DUMMYFUNCTION("""COMPUTED_VALUE"""),2.0)</f>
        <v>2</v>
      </c>
      <c r="V418" s="16">
        <f>IFERROR(__xludf.DUMMYFUNCTION("""COMPUTED_VALUE"""),2.4)</f>
        <v>2.4</v>
      </c>
      <c r="W418" s="16">
        <f>IFERROR(__xludf.DUMMYFUNCTION("""COMPUTED_VALUE"""),3.3)</f>
        <v>3.3</v>
      </c>
      <c r="X418" s="16">
        <f>IFERROR(__xludf.DUMMYFUNCTION("""COMPUTED_VALUE"""),-2.0)</f>
        <v>-2</v>
      </c>
      <c r="Y418" s="16">
        <f>IFERROR(__xludf.DUMMYFUNCTION("""COMPUTED_VALUE"""),-3.0)</f>
        <v>-3</v>
      </c>
      <c r="Z418" s="16">
        <f>IFERROR(__xludf.DUMMYFUNCTION("""COMPUTED_VALUE"""),-4.0)</f>
        <v>-4</v>
      </c>
      <c r="AA418" s="16">
        <f>IFERROR(__xludf.DUMMYFUNCTION("""COMPUTED_VALUE"""),-6.0)</f>
        <v>-6</v>
      </c>
      <c r="AB418" s="16">
        <f>IFERROR(__xludf.DUMMYFUNCTION("""COMPUTED_VALUE"""),17.4)</f>
        <v>17.4</v>
      </c>
      <c r="AC418" s="16">
        <f>IFERROR(__xludf.DUMMYFUNCTION("""COMPUTED_VALUE"""),23.4)</f>
        <v>23.4</v>
      </c>
      <c r="AD418" s="16">
        <f>IFERROR(__xludf.DUMMYFUNCTION("""COMPUTED_VALUE"""),-2.0)</f>
        <v>-2</v>
      </c>
      <c r="AE418" s="16">
        <f>IFERROR(__xludf.DUMMYFUNCTION("""COMPUTED_VALUE"""),-1.0)</f>
        <v>-1</v>
      </c>
      <c r="AF418" s="16">
        <f>IFERROR(__xludf.DUMMYFUNCTION("""COMPUTED_VALUE"""),-10.0)</f>
        <v>-10</v>
      </c>
      <c r="AG418" s="16">
        <f>IFERROR(__xludf.DUMMYFUNCTION("""COMPUTED_VALUE"""),-5.0)</f>
        <v>-5</v>
      </c>
      <c r="AH418" s="16">
        <f>IFERROR(__xludf.DUMMYFUNCTION("""COMPUTED_VALUE"""),6.1)</f>
        <v>6.1</v>
      </c>
      <c r="AI418" s="16">
        <f>IFERROR(__xludf.DUMMYFUNCTION("""COMPUTED_VALUE"""),7.3)</f>
        <v>7.3</v>
      </c>
      <c r="AJ418" s="16">
        <f>IFERROR(__xludf.DUMMYFUNCTION("""COMPUTED_VALUE"""),-2.0)</f>
        <v>-2</v>
      </c>
      <c r="AK418" s="16">
        <f>IFERROR(__xludf.DUMMYFUNCTION("""COMPUTED_VALUE"""),-2.0)</f>
        <v>-2</v>
      </c>
      <c r="AL418" s="16">
        <f>IFERROR(__xludf.DUMMYFUNCTION("""COMPUTED_VALUE"""),-10.0)</f>
        <v>-10</v>
      </c>
      <c r="AM418" s="16">
        <f>IFERROR(__xludf.DUMMYFUNCTION("""COMPUTED_VALUE"""),-10.0)</f>
        <v>-10</v>
      </c>
      <c r="AN418" s="16">
        <f>IFERROR(__xludf.DUMMYFUNCTION("""COMPUTED_VALUE"""),0.8)</f>
        <v>0.8</v>
      </c>
      <c r="AO418" s="16">
        <f>IFERROR(__xludf.DUMMYFUNCTION("""COMPUTED_VALUE"""),0.9)</f>
        <v>0.9</v>
      </c>
      <c r="AP418" s="16">
        <f>IFERROR(__xludf.DUMMYFUNCTION("""COMPUTED_VALUE"""),-2.0)</f>
        <v>-2</v>
      </c>
      <c r="AQ418" s="16">
        <f>IFERROR(__xludf.DUMMYFUNCTION("""COMPUTED_VALUE"""),-2.0)</f>
        <v>-2</v>
      </c>
      <c r="AR418" s="16">
        <f>IFERROR(__xludf.DUMMYFUNCTION("""COMPUTED_VALUE"""),-4.0)</f>
        <v>-4</v>
      </c>
      <c r="AS418" s="16">
        <f>IFERROR(__xludf.DUMMYFUNCTION("""COMPUTED_VALUE"""),-4.0)</f>
        <v>-4</v>
      </c>
      <c r="AT418" s="16"/>
      <c r="AU418" s="16"/>
      <c r="AV418" s="16">
        <f>IFERROR(__xludf.DUMMYFUNCTION("""COMPUTED_VALUE"""),1.0)</f>
        <v>1</v>
      </c>
      <c r="AW418" s="16">
        <f>IFERROR(__xludf.DUMMYFUNCTION("""COMPUTED_VALUE"""),1.0)</f>
        <v>1</v>
      </c>
      <c r="AX418" s="16">
        <f>IFERROR(__xludf.DUMMYFUNCTION("""COMPUTED_VALUE"""),-1.0)</f>
        <v>-1</v>
      </c>
      <c r="AY418" s="16">
        <f>IFERROR(__xludf.DUMMYFUNCTION("""COMPUTED_VALUE"""),-1.0)</f>
        <v>-1</v>
      </c>
      <c r="AZ418" s="16">
        <f>IFERROR(__xludf.DUMMYFUNCTION("""COMPUTED_VALUE"""),-3.0)</f>
        <v>-3</v>
      </c>
      <c r="BA418" s="16">
        <f>IFERROR(__xludf.DUMMYFUNCTION("""COMPUTED_VALUE"""),-3.0)</f>
        <v>-3</v>
      </c>
      <c r="BB418" s="16">
        <f>IFERROR(__xludf.DUMMYFUNCTION("""COMPUTED_VALUE"""),0.0)</f>
        <v>0</v>
      </c>
      <c r="BC418" s="16">
        <f>IFERROR(__xludf.DUMMYFUNCTION("""COMPUTED_VALUE"""),0.0)</f>
        <v>0</v>
      </c>
      <c r="BD418" s="16">
        <f>IFERROR(__xludf.DUMMYFUNCTION("""COMPUTED_VALUE"""),0.0)</f>
        <v>0</v>
      </c>
      <c r="BE418" s="16">
        <f>IFERROR(__xludf.DUMMYFUNCTION("""COMPUTED_VALUE"""),0.0)</f>
        <v>0</v>
      </c>
      <c r="BF418" s="16">
        <f>IFERROR(__xludf.DUMMYFUNCTION("""COMPUTED_VALUE"""),0.0)</f>
        <v>0</v>
      </c>
      <c r="BG418" s="16">
        <f>IFERROR(__xludf.DUMMYFUNCTION("""COMPUTED_VALUE"""),0.0)</f>
        <v>0</v>
      </c>
      <c r="BH418" s="16">
        <f>IFERROR(__xludf.DUMMYFUNCTION("""COMPUTED_VALUE"""),0.0)</f>
        <v>0</v>
      </c>
      <c r="BI418" s="16">
        <f>IFERROR(__xludf.DUMMYFUNCTION("""COMPUTED_VALUE"""),0.0)</f>
        <v>0</v>
      </c>
      <c r="BJ418" s="16">
        <f>IFERROR(__xludf.DUMMYFUNCTION("""COMPUTED_VALUE"""),13.0)</f>
        <v>13</v>
      </c>
      <c r="BK418" s="16">
        <f>IFERROR(__xludf.DUMMYFUNCTION("""COMPUTED_VALUE"""),13.0)</f>
        <v>13</v>
      </c>
      <c r="BL418" s="16">
        <f>IFERROR(__xludf.DUMMYFUNCTION("""COMPUTED_VALUE"""),0.0)</f>
        <v>0</v>
      </c>
      <c r="BM418" s="16">
        <f>IFERROR(__xludf.DUMMYFUNCTION("""COMPUTED_VALUE"""),0.0)</f>
        <v>0</v>
      </c>
      <c r="BN418" s="16">
        <f>IFERROR(__xludf.DUMMYFUNCTION("""COMPUTED_VALUE"""),0.0)</f>
        <v>0</v>
      </c>
      <c r="BO418" s="16">
        <f>IFERROR(__xludf.DUMMYFUNCTION("""COMPUTED_VALUE"""),0.0)</f>
        <v>0</v>
      </c>
      <c r="BP418" s="16">
        <f>IFERROR(__xludf.DUMMYFUNCTION("""COMPUTED_VALUE"""),-7.0)</f>
        <v>-7</v>
      </c>
      <c r="BQ418" s="16">
        <f>IFERROR(__xludf.DUMMYFUNCTION("""COMPUTED_VALUE"""),-8.0)</f>
        <v>-8</v>
      </c>
      <c r="BR418" s="16">
        <f>IFERROR(__xludf.DUMMYFUNCTION("""COMPUTED_VALUE"""),-15.0)</f>
        <v>-15</v>
      </c>
      <c r="BS418" s="16" t="str">
        <f>IFERROR(__xludf.DUMMYFUNCTION("""COMPUTED_VALUE"""),"*7/- (17-6)")</f>
        <v>*7/- (17-6)</v>
      </c>
      <c r="BT418" s="16" t="str">
        <f>IFERROR(__xludf.DUMMYFUNCTION("""COMPUTED_VALUE"""),"C")</f>
        <v>C</v>
      </c>
      <c r="BU418" s="16">
        <f>IFERROR(__xludf.DUMMYFUNCTION("""COMPUTED_VALUE"""),13.0)</f>
        <v>13</v>
      </c>
      <c r="BV418" s="16">
        <f>IFERROR(__xludf.DUMMYFUNCTION("""COMPUTED_VALUE"""),0.0)</f>
        <v>0</v>
      </c>
      <c r="BW418" s="16">
        <f>IFERROR(__xludf.DUMMYFUNCTION("""COMPUTED_VALUE"""),1.0)</f>
        <v>1</v>
      </c>
      <c r="BX418" s="16">
        <f>IFERROR(__xludf.DUMMYFUNCTION("""COMPUTED_VALUE"""),0.0)</f>
        <v>0</v>
      </c>
      <c r="BY418" s="16">
        <f>IFERROR(__xludf.DUMMYFUNCTION("""COMPUTED_VALUE"""),3.0)</f>
        <v>3</v>
      </c>
      <c r="BZ418" s="16" t="str">
        <f>IFERROR(__xludf.DUMMYFUNCTION("""COMPUTED_VALUE"""),"D")</f>
        <v>D</v>
      </c>
      <c r="CA418" s="16" t="str">
        <f>IFERROR(__xludf.DUMMYFUNCTION("""COMPUTED_VALUE"""),"D")</f>
        <v>D</v>
      </c>
      <c r="CB418" s="16">
        <f>IFERROR(__xludf.DUMMYFUNCTION("""COMPUTED_VALUE"""),0.0)</f>
        <v>0</v>
      </c>
      <c r="CC418" s="16">
        <f>IFERROR(__xludf.DUMMYFUNCTION("""COMPUTED_VALUE"""),0.0)</f>
        <v>0</v>
      </c>
      <c r="CD418" s="16">
        <f>IFERROR(__xludf.DUMMYFUNCTION("""COMPUTED_VALUE"""),0.0)</f>
        <v>0</v>
      </c>
      <c r="CE418" s="16">
        <f>IFERROR(__xludf.DUMMYFUNCTION("""COMPUTED_VALUE"""),0.0)</f>
        <v>0</v>
      </c>
      <c r="CF418" s="16">
        <f>IFERROR(__xludf.DUMMYFUNCTION("""COMPUTED_VALUE"""),1.0)</f>
        <v>1</v>
      </c>
      <c r="CG418" s="16">
        <f>IFERROR(__xludf.DUMMYFUNCTION("""COMPUTED_VALUE"""),-29.0)</f>
        <v>-29</v>
      </c>
      <c r="CH418" s="16">
        <f>IFERROR(__xludf.DUMMYFUNCTION("""COMPUTED_VALUE"""),-27.0)</f>
        <v>-27</v>
      </c>
      <c r="CI418" s="179">
        <f>IFERROR(__xludf.DUMMYFUNCTION("""COMPUTED_VALUE"""),-24.0)</f>
        <v>-24</v>
      </c>
      <c r="CJ418" s="16"/>
      <c r="CK418" s="16"/>
      <c r="CL418" s="16"/>
      <c r="CM418" s="16">
        <f>IFERROR(__xludf.DUMMYFUNCTION("""COMPUTED_VALUE"""),418.0)</f>
        <v>418</v>
      </c>
      <c r="CN418" s="16"/>
      <c r="CO418" s="16">
        <f>IFERROR(__xludf.DUMMYFUNCTION("""COMPUTED_VALUE"""),509.0)</f>
        <v>509</v>
      </c>
      <c r="CP418" s="16"/>
      <c r="CQ418" s="16"/>
      <c r="CR418" s="16" t="str">
        <f>IFERROR(__xludf.DUMMYFUNCTION("""COMPUTED_VALUE"""),"3b-4e18 lf-5(-1)e9")</f>
        <v>3b-4e18 lf-5(-1)e9</v>
      </c>
      <c r="CS418" s="16"/>
      <c r="CT418" s="16"/>
      <c r="CU418" s="16"/>
      <c r="CV418" s="16">
        <f>IFERROR(__xludf.DUMMYFUNCTION("""COMPUTED_VALUE"""),4.0)</f>
        <v>4</v>
      </c>
      <c r="CW418" s="16"/>
      <c r="CX418" s="16">
        <f>IFERROR(__xludf.DUMMYFUNCTION("""COMPUTED_VALUE"""),5.0)</f>
        <v>5</v>
      </c>
      <c r="CY418" s="16"/>
      <c r="CZ418" s="16"/>
      <c r="DA418" s="16"/>
      <c r="DB418" s="16"/>
      <c r="DC418" s="16"/>
      <c r="DD418" s="16">
        <f>IFERROR(__xludf.DUMMYFUNCTION("""COMPUTED_VALUE"""),18.0)</f>
        <v>18</v>
      </c>
      <c r="DE418" s="16"/>
      <c r="DF418" s="16">
        <f>IFERROR(__xludf.DUMMYFUNCTION("""COMPUTED_VALUE"""),9.0)</f>
        <v>9</v>
      </c>
      <c r="DG418" s="16"/>
      <c r="DH418" s="16"/>
      <c r="DI418" s="16"/>
      <c r="DJ418" s="16"/>
      <c r="DK418" s="16"/>
      <c r="DL418" s="16">
        <f>IFERROR(__xludf.DUMMYFUNCTION("""COMPUTED_VALUE"""),0.0)</f>
        <v>0</v>
      </c>
      <c r="DM418" s="16"/>
      <c r="DN418" s="16">
        <f>IFERROR(__xludf.DUMMYFUNCTION("""COMPUTED_VALUE"""),-3.0)</f>
        <v>-3</v>
      </c>
      <c r="DO418" s="16"/>
      <c r="DP418" s="16"/>
      <c r="DQ418" s="16"/>
      <c r="DR418" s="16"/>
      <c r="DS418" s="16"/>
      <c r="DT418" s="16">
        <f>IFERROR(__xludf.DUMMYFUNCTION("""COMPUTED_VALUE"""),0.0)</f>
        <v>0</v>
      </c>
      <c r="DU418" s="16"/>
      <c r="DV418" s="16">
        <f>IFERROR(__xludf.DUMMYFUNCTION("""COMPUTED_VALUE"""),0.0)</f>
        <v>0</v>
      </c>
      <c r="DW418" s="16"/>
      <c r="DX418" s="16"/>
      <c r="DY418" s="16"/>
      <c r="DZ418" s="16"/>
      <c r="EA418" s="16"/>
      <c r="EB418" s="16">
        <f>IFERROR(__xludf.DUMMYFUNCTION("""COMPUTED_VALUE"""),0.0)</f>
        <v>0</v>
      </c>
      <c r="EC418" s="16"/>
      <c r="ED418" s="16">
        <f>IFERROR(__xludf.DUMMYFUNCTION("""COMPUTED_VALUE"""),-3.0)</f>
        <v>-3</v>
      </c>
      <c r="EE418" s="16"/>
      <c r="EF418" s="16"/>
      <c r="EG418" s="179"/>
      <c r="EH418" s="179"/>
      <c r="EI418" s="179"/>
      <c r="EJ418" s="179">
        <f>IFERROR(__xludf.DUMMYFUNCTION("""COMPUTED_VALUE"""),-24.0)</f>
        <v>-24</v>
      </c>
      <c r="EK418" s="179"/>
      <c r="EL418" s="179">
        <f>IFERROR(__xludf.DUMMYFUNCTION("""COMPUTED_VALUE"""),-27.0)</f>
        <v>-27</v>
      </c>
      <c r="EM418" s="179"/>
      <c r="EN418" s="179"/>
      <c r="EO418" s="16"/>
      <c r="EP418" s="16">
        <f>IFERROR(__xludf.DUMMYFUNCTION("""COMPUTED_VALUE"""),-3.0)</f>
        <v>-3</v>
      </c>
      <c r="EQ418" s="16">
        <f>IFERROR(__xludf.DUMMYFUNCTION("""COMPUTED_VALUE"""),4.0)</f>
        <v>4</v>
      </c>
      <c r="ER418" s="16">
        <f>IFERROR(__xludf.DUMMYFUNCTION("""COMPUTED_VALUE"""),-1.0)</f>
        <v>-1</v>
      </c>
      <c r="ES418" s="16"/>
      <c r="ET418" s="16"/>
      <c r="EU418" s="16"/>
      <c r="EV418" s="16"/>
      <c r="EW418" s="16"/>
      <c r="EX418" s="180"/>
      <c r="EY418" s="180"/>
      <c r="EZ418" s="180"/>
      <c r="FA418" s="180">
        <f>IFERROR(__xludf.DUMMYFUNCTION("""COMPUTED_VALUE"""),0.3)</f>
        <v>0.3</v>
      </c>
      <c r="FB418" s="180"/>
      <c r="FC418" s="180">
        <f>IFERROR(__xludf.DUMMYFUNCTION("""COMPUTED_VALUE"""),0.75)</f>
        <v>0.75</v>
      </c>
      <c r="FD418" s="180"/>
      <c r="FE418" s="180"/>
      <c r="FF418" s="180"/>
      <c r="FG418" s="180"/>
      <c r="FH418" s="180"/>
      <c r="FI418" s="180">
        <f>IFERROR(__xludf.DUMMYFUNCTION("""COMPUTED_VALUE"""),0.2175925925925926)</f>
        <v>0.2175925926</v>
      </c>
      <c r="FJ418" s="180"/>
      <c r="FK418" s="180">
        <f>IFERROR(__xludf.DUMMYFUNCTION("""COMPUTED_VALUE"""),0.162)</f>
        <v>0.162</v>
      </c>
      <c r="FL418" s="180"/>
      <c r="FM418" s="180"/>
      <c r="FN418" s="16"/>
      <c r="FO418" s="16"/>
      <c r="FP418" s="16"/>
      <c r="FQ418" s="16">
        <f>IFERROR(__xludf.DUMMYFUNCTION("""COMPUTED_VALUE"""),0.5476851851851852)</f>
        <v>0.5476851852</v>
      </c>
      <c r="FR418" s="16"/>
      <c r="FS418" s="16">
        <f>IFERROR(__xludf.DUMMYFUNCTION("""COMPUTED_VALUE"""),0.2095)</f>
        <v>0.2095</v>
      </c>
      <c r="FT418" s="16"/>
      <c r="FU418" s="16"/>
      <c r="FV418" s="16"/>
      <c r="FW418" s="16"/>
      <c r="FX418" s="16"/>
      <c r="FY418" s="16">
        <f>IFERROR(__xludf.DUMMYFUNCTION("""COMPUTED_VALUE"""),-8.0)</f>
        <v>-8</v>
      </c>
      <c r="FZ418" s="16"/>
      <c r="GA418" s="16">
        <f>IFERROR(__xludf.DUMMYFUNCTION("""COMPUTED_VALUE"""),-5.0)</f>
        <v>-5</v>
      </c>
      <c r="GB418" s="16"/>
      <c r="GC418" s="16"/>
      <c r="GD418" s="16" t="s">
        <v>176</v>
      </c>
    </row>
    <row r="419">
      <c r="A419" s="16">
        <f>IFERROR(__xludf.DUMMYFUNCTION("""COMPUTED_VALUE"""),12547.0)</f>
        <v>12547</v>
      </c>
      <c r="B419" s="16" t="str">
        <f>IFERROR(__xludf.DUMMYFUNCTION("""COMPUTED_VALUE"""),"Andy Ibanez")</f>
        <v>Andy Ibanez</v>
      </c>
      <c r="C419" s="16">
        <f>IFERROR(__xludf.DUMMYFUNCTION("""COMPUTED_VALUE"""),1.0)</f>
        <v>1</v>
      </c>
      <c r="D419" s="16" t="str">
        <f>IFERROR(__xludf.DUMMYFUNCTION("""COMPUTED_VALUE"""),"R")</f>
        <v>R</v>
      </c>
      <c r="E419" s="16"/>
      <c r="F419" s="16"/>
      <c r="G419" s="16">
        <f>IFERROR(__xludf.DUMMYFUNCTION("""COMPUTED_VALUE"""),224.0)</f>
        <v>224</v>
      </c>
      <c r="H419" s="16">
        <f>IFERROR(__xludf.DUMMYFUNCTION("""COMPUTED_VALUE"""),15.0)</f>
        <v>15</v>
      </c>
      <c r="I419" s="16" t="str">
        <f>IFERROR(__xludf.DUMMYFUNCTION("""COMPUTED_VALUE"""),"2p50")</f>
        <v>2p50</v>
      </c>
      <c r="J419" s="16">
        <f>IFERROR(__xludf.DUMMYFUNCTION("""COMPUTED_VALUE"""),20.0)</f>
        <v>20</v>
      </c>
      <c r="K419" s="16">
        <f>IFERROR(__xludf.DUMMYFUNCTION("""COMPUTED_VALUE"""),50.0)</f>
        <v>50</v>
      </c>
      <c r="L419" s="16">
        <f>IFERROR(__xludf.DUMMYFUNCTION("""COMPUTED_VALUE"""),0.0)</f>
        <v>0</v>
      </c>
      <c r="M419" s="16">
        <f>IFERROR(__xludf.DUMMYFUNCTION("""COMPUTED_VALUE"""),-2.0)</f>
        <v>-2</v>
      </c>
      <c r="N419" s="16">
        <f>IFERROR(__xludf.DUMMYFUNCTION("""COMPUTED_VALUE"""),0.0)</f>
        <v>0</v>
      </c>
      <c r="O419" s="16">
        <f>IFERROR(__xludf.DUMMYFUNCTION("""COMPUTED_VALUE"""),-2.0)</f>
        <v>-2</v>
      </c>
      <c r="P419" s="16">
        <f>IFERROR(__xludf.DUMMYFUNCTION("""COMPUTED_VALUE"""),8.0)</f>
        <v>8</v>
      </c>
      <c r="Q419" s="16">
        <f>IFERROR(__xludf.DUMMYFUNCTION("""COMPUTED_VALUE"""),0.0)</f>
        <v>0</v>
      </c>
      <c r="R419" s="16">
        <f>IFERROR(__xludf.DUMMYFUNCTION("""COMPUTED_VALUE"""),0.0)</f>
        <v>0</v>
      </c>
      <c r="S419" s="16">
        <f>IFERROR(__xludf.DUMMYFUNCTION("""COMPUTED_VALUE"""),-2.0)</f>
        <v>-2</v>
      </c>
      <c r="T419" s="16">
        <f>IFERROR(__xludf.DUMMYFUNCTION("""COMPUTED_VALUE"""),0.0)</f>
        <v>0</v>
      </c>
      <c r="U419" s="16">
        <f>IFERROR(__xludf.DUMMYFUNCTION("""COMPUTED_VALUE"""),-2.0)</f>
        <v>-2</v>
      </c>
      <c r="V419" s="16">
        <f>IFERROR(__xludf.DUMMYFUNCTION("""COMPUTED_VALUE"""),23.4)</f>
        <v>23.4</v>
      </c>
      <c r="W419" s="16">
        <f>IFERROR(__xludf.DUMMYFUNCTION("""COMPUTED_VALUE"""),11.3)</f>
        <v>11.3</v>
      </c>
      <c r="X419" s="16">
        <f>IFERROR(__xludf.DUMMYFUNCTION("""COMPUTED_VALUE"""),1.0)</f>
        <v>1</v>
      </c>
      <c r="Y419" s="16">
        <f>IFERROR(__xludf.DUMMYFUNCTION("""COMPUTED_VALUE"""),-2.0)</f>
        <v>-2</v>
      </c>
      <c r="Z419" s="16">
        <f>IFERROR(__xludf.DUMMYFUNCTION("""COMPUTED_VALUE"""),2.0)</f>
        <v>2</v>
      </c>
      <c r="AA419" s="16">
        <f>IFERROR(__xludf.DUMMYFUNCTION("""COMPUTED_VALUE"""),-4.0)</f>
        <v>-4</v>
      </c>
      <c r="AB419" s="16">
        <f>IFERROR(__xludf.DUMMYFUNCTION("""COMPUTED_VALUE"""),34.4)</f>
        <v>34.4</v>
      </c>
      <c r="AC419" s="16">
        <f>IFERROR(__xludf.DUMMYFUNCTION("""COMPUTED_VALUE"""),14.3)</f>
        <v>14.3</v>
      </c>
      <c r="AD419" s="16">
        <f>IFERROR(__xludf.DUMMYFUNCTION("""COMPUTED_VALUE"""),0.0)</f>
        <v>0</v>
      </c>
      <c r="AE419" s="16">
        <f>IFERROR(__xludf.DUMMYFUNCTION("""COMPUTED_VALUE"""),-2.0)</f>
        <v>-2</v>
      </c>
      <c r="AF419" s="16">
        <f>IFERROR(__xludf.DUMMYFUNCTION("""COMPUTED_VALUE"""),0.0)</f>
        <v>0</v>
      </c>
      <c r="AG419" s="16">
        <f>IFERROR(__xludf.DUMMYFUNCTION("""COMPUTED_VALUE"""),-10.0)</f>
        <v>-10</v>
      </c>
      <c r="AH419" s="16">
        <f>IFERROR(__xludf.DUMMYFUNCTION("""COMPUTED_VALUE"""),33.3)</f>
        <v>33.3</v>
      </c>
      <c r="AI419" s="16">
        <f>IFERROR(__xludf.DUMMYFUNCTION("""COMPUTED_VALUE"""),18.0)</f>
        <v>18</v>
      </c>
      <c r="AJ419" s="16">
        <f>IFERROR(__xludf.DUMMYFUNCTION("""COMPUTED_VALUE"""),0.0)</f>
        <v>0</v>
      </c>
      <c r="AK419" s="16">
        <f>IFERROR(__xludf.DUMMYFUNCTION("""COMPUTED_VALUE"""),-2.0)</f>
        <v>-2</v>
      </c>
      <c r="AL419" s="16">
        <f>IFERROR(__xludf.DUMMYFUNCTION("""COMPUTED_VALUE"""),0.0)</f>
        <v>0</v>
      </c>
      <c r="AM419" s="16">
        <f>IFERROR(__xludf.DUMMYFUNCTION("""COMPUTED_VALUE"""),-10.0)</f>
        <v>-10</v>
      </c>
      <c r="AN419" s="16">
        <f>IFERROR(__xludf.DUMMYFUNCTION("""COMPUTED_VALUE"""),1.3)</f>
        <v>1.3</v>
      </c>
      <c r="AO419" s="16">
        <f>IFERROR(__xludf.DUMMYFUNCTION("""COMPUTED_VALUE"""),2.3)</f>
        <v>2.3</v>
      </c>
      <c r="AP419" s="16">
        <f>IFERROR(__xludf.DUMMYFUNCTION("""COMPUTED_VALUE"""),-1.0)</f>
        <v>-1</v>
      </c>
      <c r="AQ419" s="16">
        <f>IFERROR(__xludf.DUMMYFUNCTION("""COMPUTED_VALUE"""),0.0)</f>
        <v>0</v>
      </c>
      <c r="AR419" s="16">
        <f>IFERROR(__xludf.DUMMYFUNCTION("""COMPUTED_VALUE"""),-2.0)</f>
        <v>-2</v>
      </c>
      <c r="AS419" s="16">
        <f>IFERROR(__xludf.DUMMYFUNCTION("""COMPUTED_VALUE"""),0.0)</f>
        <v>0</v>
      </c>
      <c r="AT419" s="16">
        <f>IFERROR(__xludf.DUMMYFUNCTION("""COMPUTED_VALUE"""),2.0)</f>
        <v>2</v>
      </c>
      <c r="AU419" s="16"/>
      <c r="AV419" s="16">
        <f>IFERROR(__xludf.DUMMYFUNCTION("""COMPUTED_VALUE"""),2.0)</f>
        <v>2</v>
      </c>
      <c r="AW419" s="16">
        <f>IFERROR(__xludf.DUMMYFUNCTION("""COMPUTED_VALUE"""),-3.0)</f>
        <v>-3</v>
      </c>
      <c r="AX419" s="16">
        <f>IFERROR(__xludf.DUMMYFUNCTION("""COMPUTED_VALUE"""),0.0)</f>
        <v>0</v>
      </c>
      <c r="AY419" s="16">
        <f>IFERROR(__xludf.DUMMYFUNCTION("""COMPUTED_VALUE"""),-3.0)</f>
        <v>-3</v>
      </c>
      <c r="AZ419" s="16">
        <f>IFERROR(__xludf.DUMMYFUNCTION("""COMPUTED_VALUE"""),0.0)</f>
        <v>0</v>
      </c>
      <c r="BA419" s="16">
        <f>IFERROR(__xludf.DUMMYFUNCTION("""COMPUTED_VALUE"""),-9.0)</f>
        <v>-9</v>
      </c>
      <c r="BB419" s="16">
        <f>IFERROR(__xludf.DUMMYFUNCTION("""COMPUTED_VALUE"""),5.0)</f>
        <v>5</v>
      </c>
      <c r="BC419" s="16">
        <f>IFERROR(__xludf.DUMMYFUNCTION("""COMPUTED_VALUE"""),5.0)</f>
        <v>5</v>
      </c>
      <c r="BD419" s="16">
        <f>IFERROR(__xludf.DUMMYFUNCTION("""COMPUTED_VALUE"""),1.0)</f>
        <v>1</v>
      </c>
      <c r="BE419" s="16">
        <f>IFERROR(__xludf.DUMMYFUNCTION("""COMPUTED_VALUE"""),1.0)</f>
        <v>1</v>
      </c>
      <c r="BF419" s="16">
        <f>IFERROR(__xludf.DUMMYFUNCTION("""COMPUTED_VALUE"""),1.0)</f>
        <v>1</v>
      </c>
      <c r="BG419" s="16">
        <f>IFERROR(__xludf.DUMMYFUNCTION("""COMPUTED_VALUE"""),1.0)</f>
        <v>1</v>
      </c>
      <c r="BH419" s="16">
        <f>IFERROR(__xludf.DUMMYFUNCTION("""COMPUTED_VALUE"""),8.0)</f>
        <v>8</v>
      </c>
      <c r="BI419" s="16">
        <f>IFERROR(__xludf.DUMMYFUNCTION("""COMPUTED_VALUE"""),8.0)</f>
        <v>8</v>
      </c>
      <c r="BJ419" s="16">
        <f>IFERROR(__xludf.DUMMYFUNCTION("""COMPUTED_VALUE"""),4.0)</f>
        <v>4</v>
      </c>
      <c r="BK419" s="16">
        <f>IFERROR(__xludf.DUMMYFUNCTION("""COMPUTED_VALUE"""),5.0)</f>
        <v>5</v>
      </c>
      <c r="BL419" s="16">
        <f>IFERROR(__xludf.DUMMYFUNCTION("""COMPUTED_VALUE"""),1.0)</f>
        <v>1</v>
      </c>
      <c r="BM419" s="16">
        <f>IFERROR(__xludf.DUMMYFUNCTION("""COMPUTED_VALUE"""),1.0)</f>
        <v>1</v>
      </c>
      <c r="BN419" s="16">
        <f>IFERROR(__xludf.DUMMYFUNCTION("""COMPUTED_VALUE"""),1.0)</f>
        <v>1</v>
      </c>
      <c r="BO419" s="16">
        <f>IFERROR(__xludf.DUMMYFUNCTION("""COMPUTED_VALUE"""),1.0)</f>
        <v>1</v>
      </c>
      <c r="BP419" s="16">
        <f>IFERROR(__xludf.DUMMYFUNCTION("""COMPUTED_VALUE"""),2.0)</f>
        <v>2</v>
      </c>
      <c r="BQ419" s="16">
        <f>IFERROR(__xludf.DUMMYFUNCTION("""COMPUTED_VALUE"""),-11.0)</f>
        <v>-11</v>
      </c>
      <c r="BR419" s="16">
        <f>IFERROR(__xludf.DUMMYFUNCTION("""COMPUTED_VALUE"""),-9.0)</f>
        <v>-9</v>
      </c>
      <c r="BS419" s="16" t="str">
        <f>IFERROR(__xludf.DUMMYFUNCTION("""COMPUTED_VALUE"""),"2-5,12/9,10 (13-5)")</f>
        <v>2-5,12/9,10 (13-5)</v>
      </c>
      <c r="BT419" s="16" t="str">
        <f>IFERROR(__xludf.DUMMYFUNCTION("""COMPUTED_VALUE"""),"D")</f>
        <v>D</v>
      </c>
      <c r="BU419" s="16">
        <f>IFERROR(__xludf.DUMMYFUNCTION("""COMPUTED_VALUE"""),12.0)</f>
        <v>12</v>
      </c>
      <c r="BV419" s="16">
        <f>IFERROR(__xludf.DUMMYFUNCTION("""COMPUTED_VALUE"""),0.0)</f>
        <v>0</v>
      </c>
      <c r="BW419" s="16">
        <f>IFERROR(__xludf.DUMMYFUNCTION("""COMPUTED_VALUE"""),0.0)</f>
        <v>0</v>
      </c>
      <c r="BX419" s="16">
        <f>IFERROR(__xludf.DUMMYFUNCTION("""COMPUTED_VALUE"""),0.0)</f>
        <v>0</v>
      </c>
      <c r="BY419" s="16">
        <f>IFERROR(__xludf.DUMMYFUNCTION("""COMPUTED_VALUE"""),0.0)</f>
        <v>0</v>
      </c>
      <c r="BZ419" s="16" t="str">
        <f>IFERROR(__xludf.DUMMYFUNCTION("""COMPUTED_VALUE"""),"D")</f>
        <v>D</v>
      </c>
      <c r="CA419" s="16" t="str">
        <f>IFERROR(__xludf.DUMMYFUNCTION("""COMPUTED_VALUE"""),"D")</f>
        <v>D</v>
      </c>
      <c r="CB419" s="16">
        <f>IFERROR(__xludf.DUMMYFUNCTION("""COMPUTED_VALUE"""),0.0)</f>
        <v>0</v>
      </c>
      <c r="CC419" s="16">
        <f>IFERROR(__xludf.DUMMYFUNCTION("""COMPUTED_VALUE"""),0.0)</f>
        <v>0</v>
      </c>
      <c r="CD419" s="16">
        <f>IFERROR(__xludf.DUMMYFUNCTION("""COMPUTED_VALUE"""),0.0)</f>
        <v>0</v>
      </c>
      <c r="CE419" s="16">
        <f>IFERROR(__xludf.DUMMYFUNCTION("""COMPUTED_VALUE"""),0.0)</f>
        <v>0</v>
      </c>
      <c r="CF419" s="16">
        <f>IFERROR(__xludf.DUMMYFUNCTION("""COMPUTED_VALUE"""),2.0)</f>
        <v>2</v>
      </c>
      <c r="CG419" s="16">
        <f>IFERROR(__xludf.DUMMYFUNCTION("""COMPUTED_VALUE"""),2.0)</f>
        <v>2</v>
      </c>
      <c r="CH419" s="16">
        <f>IFERROR(__xludf.DUMMYFUNCTION("""COMPUTED_VALUE"""),-35.0)</f>
        <v>-35</v>
      </c>
      <c r="CI419" s="179">
        <f>IFERROR(__xludf.DUMMYFUNCTION("""COMPUTED_VALUE"""),-24.0)</f>
        <v>-24</v>
      </c>
      <c r="CJ419" s="16"/>
      <c r="CK419" s="16">
        <f>IFERROR(__xludf.DUMMYFUNCTION("""COMPUTED_VALUE"""),315.0)</f>
        <v>315</v>
      </c>
      <c r="CL419" s="16">
        <f>IFERROR(__xludf.DUMMYFUNCTION("""COMPUTED_VALUE"""),306.0)</f>
        <v>306</v>
      </c>
      <c r="CM419" s="16">
        <f>IFERROR(__xludf.DUMMYFUNCTION("""COMPUTED_VALUE"""),410.0)</f>
        <v>410</v>
      </c>
      <c r="CN419" s="16">
        <f>IFERROR(__xludf.DUMMYFUNCTION("""COMPUTED_VALUE"""),448.0)</f>
        <v>448</v>
      </c>
      <c r="CO419" s="16">
        <f>IFERROR(__xludf.DUMMYFUNCTION("""COMPUTED_VALUE"""),416.0)</f>
        <v>416</v>
      </c>
      <c r="CP419" s="16"/>
      <c r="CQ419" s="16"/>
      <c r="CR419" s="16" t="str">
        <f>IFERROR(__xludf.DUMMYFUNCTION("""COMPUTED_VALUE"""),"2b-3e6 1b-3e15 3b-4e10 ss-4e48 lf-4(+1)e16")</f>
        <v>2b-3e6 1b-3e15 3b-4e10 ss-4e48 lf-4(+1)e16</v>
      </c>
      <c r="CS419" s="16"/>
      <c r="CT419" s="16">
        <f>IFERROR(__xludf.DUMMYFUNCTION("""COMPUTED_VALUE"""),3.0)</f>
        <v>3</v>
      </c>
      <c r="CU419" s="16">
        <f>IFERROR(__xludf.DUMMYFUNCTION("""COMPUTED_VALUE"""),3.0)</f>
        <v>3</v>
      </c>
      <c r="CV419" s="16">
        <f>IFERROR(__xludf.DUMMYFUNCTION("""COMPUTED_VALUE"""),4.0)</f>
        <v>4</v>
      </c>
      <c r="CW419" s="16">
        <f>IFERROR(__xludf.DUMMYFUNCTION("""COMPUTED_VALUE"""),4.0)</f>
        <v>4</v>
      </c>
      <c r="CX419" s="16">
        <f>IFERROR(__xludf.DUMMYFUNCTION("""COMPUTED_VALUE"""),4.0)</f>
        <v>4</v>
      </c>
      <c r="CY419" s="16"/>
      <c r="CZ419" s="16"/>
      <c r="DA419" s="16"/>
      <c r="DB419" s="16">
        <f>IFERROR(__xludf.DUMMYFUNCTION("""COMPUTED_VALUE"""),15.0)</f>
        <v>15</v>
      </c>
      <c r="DC419" s="16">
        <f>IFERROR(__xludf.DUMMYFUNCTION("""COMPUTED_VALUE"""),6.0)</f>
        <v>6</v>
      </c>
      <c r="DD419" s="16">
        <f>IFERROR(__xludf.DUMMYFUNCTION("""COMPUTED_VALUE"""),10.0)</f>
        <v>10</v>
      </c>
      <c r="DE419" s="16">
        <f>IFERROR(__xludf.DUMMYFUNCTION("""COMPUTED_VALUE"""),48.0)</f>
        <v>48</v>
      </c>
      <c r="DF419" s="16">
        <f>IFERROR(__xludf.DUMMYFUNCTION("""COMPUTED_VALUE"""),16.0)</f>
        <v>16</v>
      </c>
      <c r="DG419" s="16"/>
      <c r="DH419" s="16"/>
      <c r="DI419" s="16"/>
      <c r="DJ419" s="16">
        <f>IFERROR(__xludf.DUMMYFUNCTION("""COMPUTED_VALUE"""),1.0)</f>
        <v>1</v>
      </c>
      <c r="DK419" s="16">
        <f>IFERROR(__xludf.DUMMYFUNCTION("""COMPUTED_VALUE"""),0.0)</f>
        <v>0</v>
      </c>
      <c r="DL419" s="16">
        <f>IFERROR(__xludf.DUMMYFUNCTION("""COMPUTED_VALUE"""),0.0)</f>
        <v>0</v>
      </c>
      <c r="DM419" s="16">
        <f>IFERROR(__xludf.DUMMYFUNCTION("""COMPUTED_VALUE"""),-2.0)</f>
        <v>-2</v>
      </c>
      <c r="DN419" s="16">
        <f>IFERROR(__xludf.DUMMYFUNCTION("""COMPUTED_VALUE"""),-1.0)</f>
        <v>-1</v>
      </c>
      <c r="DO419" s="16"/>
      <c r="DP419" s="16"/>
      <c r="DQ419" s="16"/>
      <c r="DR419" s="16">
        <f>IFERROR(__xludf.DUMMYFUNCTION("""COMPUTED_VALUE"""),1.0)</f>
        <v>1</v>
      </c>
      <c r="DS419" s="16">
        <f>IFERROR(__xludf.DUMMYFUNCTION("""COMPUTED_VALUE"""),3.0)</f>
        <v>3</v>
      </c>
      <c r="DT419" s="16">
        <f>IFERROR(__xludf.DUMMYFUNCTION("""COMPUTED_VALUE"""),2.0)</f>
        <v>2</v>
      </c>
      <c r="DU419" s="16">
        <f>IFERROR(__xludf.DUMMYFUNCTION("""COMPUTED_VALUE"""),-2.0)</f>
        <v>-2</v>
      </c>
      <c r="DV419" s="16">
        <f>IFERROR(__xludf.DUMMYFUNCTION("""COMPUTED_VALUE"""),-2.0)</f>
        <v>-2</v>
      </c>
      <c r="DW419" s="16"/>
      <c r="DX419" s="16"/>
      <c r="DY419" s="16"/>
      <c r="DZ419" s="16">
        <f>IFERROR(__xludf.DUMMYFUNCTION("""COMPUTED_VALUE"""),2.0)</f>
        <v>2</v>
      </c>
      <c r="EA419" s="16">
        <f>IFERROR(__xludf.DUMMYFUNCTION("""COMPUTED_VALUE"""),3.0)</f>
        <v>3</v>
      </c>
      <c r="EB419" s="16">
        <f>IFERROR(__xludf.DUMMYFUNCTION("""COMPUTED_VALUE"""),2.0)</f>
        <v>2</v>
      </c>
      <c r="EC419" s="16">
        <f>IFERROR(__xludf.DUMMYFUNCTION("""COMPUTED_VALUE"""),-4.0)</f>
        <v>-4</v>
      </c>
      <c r="ED419" s="16">
        <f>IFERROR(__xludf.DUMMYFUNCTION("""COMPUTED_VALUE"""),-3.0)</f>
        <v>-3</v>
      </c>
      <c r="EE419" s="16"/>
      <c r="EF419" s="16"/>
      <c r="EG419" s="179"/>
      <c r="EH419" s="179">
        <f>IFERROR(__xludf.DUMMYFUNCTION("""COMPUTED_VALUE"""),-22.0)</f>
        <v>-22</v>
      </c>
      <c r="EI419" s="179">
        <f>IFERROR(__xludf.DUMMYFUNCTION("""COMPUTED_VALUE"""),-21.0)</f>
        <v>-21</v>
      </c>
      <c r="EJ419" s="179">
        <f>IFERROR(__xludf.DUMMYFUNCTION("""COMPUTED_VALUE"""),-22.0)</f>
        <v>-22</v>
      </c>
      <c r="EK419" s="179">
        <f>IFERROR(__xludf.DUMMYFUNCTION("""COMPUTED_VALUE"""),-28.0)</f>
        <v>-28</v>
      </c>
      <c r="EL419" s="179">
        <f>IFERROR(__xludf.DUMMYFUNCTION("""COMPUTED_VALUE"""),-27.0)</f>
        <v>-27</v>
      </c>
      <c r="EM419" s="179"/>
      <c r="EN419" s="179"/>
      <c r="EO419" s="16"/>
      <c r="EP419" s="16">
        <f>IFERROR(__xludf.DUMMYFUNCTION("""COMPUTED_VALUE"""),0.0)</f>
        <v>0</v>
      </c>
      <c r="EQ419" s="16">
        <f>IFERROR(__xludf.DUMMYFUNCTION("""COMPUTED_VALUE"""),2.0)</f>
        <v>2</v>
      </c>
      <c r="ER419" s="16">
        <f>IFERROR(__xludf.DUMMYFUNCTION("""COMPUTED_VALUE"""),0.0)</f>
        <v>0</v>
      </c>
      <c r="ES419" s="16"/>
      <c r="ET419" s="16"/>
      <c r="EU419" s="16"/>
      <c r="EV419" s="16"/>
      <c r="EW419" s="16"/>
      <c r="EX419" s="180"/>
      <c r="EY419" s="180">
        <f>IFERROR(__xludf.DUMMYFUNCTION("""COMPUTED_VALUE"""),0.2)</f>
        <v>0.2</v>
      </c>
      <c r="EZ419" s="180">
        <f>IFERROR(__xludf.DUMMYFUNCTION("""COMPUTED_VALUE"""),0.2)</f>
        <v>0.2</v>
      </c>
      <c r="FA419" s="180">
        <f>IFERROR(__xludf.DUMMYFUNCTION("""COMPUTED_VALUE"""),0.3)</f>
        <v>0.3</v>
      </c>
      <c r="FB419" s="180">
        <f>IFERROR(__xludf.DUMMYFUNCTION("""COMPUTED_VALUE"""),0.3)</f>
        <v>0.3</v>
      </c>
      <c r="FC419" s="180">
        <f>IFERROR(__xludf.DUMMYFUNCTION("""COMPUTED_VALUE"""),0.55)</f>
        <v>0.55</v>
      </c>
      <c r="FD419" s="180"/>
      <c r="FE419" s="180"/>
      <c r="FF419" s="180"/>
      <c r="FG419" s="180">
        <f>IFERROR(__xludf.DUMMYFUNCTION("""COMPUTED_VALUE"""),0.26851851851851855)</f>
        <v>0.2685185185</v>
      </c>
      <c r="FH419" s="180">
        <f>IFERROR(__xludf.DUMMYFUNCTION("""COMPUTED_VALUE"""),0.037037037037037035)</f>
        <v>0.03703703704</v>
      </c>
      <c r="FI419" s="180">
        <f>IFERROR(__xludf.DUMMYFUNCTION("""COMPUTED_VALUE"""),0.12037037037037036)</f>
        <v>0.1203703704</v>
      </c>
      <c r="FJ419" s="180">
        <f>IFERROR(__xludf.DUMMYFUNCTION("""COMPUTED_VALUE"""),0.24537037037037038)</f>
        <v>0.2453703704</v>
      </c>
      <c r="FK419" s="180">
        <f>IFERROR(__xludf.DUMMYFUNCTION("""COMPUTED_VALUE"""),0.287)</f>
        <v>0.287</v>
      </c>
      <c r="FL419" s="180"/>
      <c r="FM419" s="180"/>
      <c r="FN419" s="16"/>
      <c r="FO419" s="16">
        <f>IFERROR(__xludf.DUMMYFUNCTION("""COMPUTED_VALUE"""),0.5851851851851851)</f>
        <v>0.5851851852</v>
      </c>
      <c r="FP419" s="16">
        <f>IFERROR(__xludf.DUMMYFUNCTION("""COMPUTED_VALUE"""),0.7703703703703705)</f>
        <v>0.7703703704</v>
      </c>
      <c r="FQ419" s="16">
        <f>IFERROR(__xludf.DUMMYFUNCTION("""COMPUTED_VALUE"""),0.6157407407407407)</f>
        <v>0.6157407407</v>
      </c>
      <c r="FR419" s="16">
        <f>IFERROR(__xludf.DUMMYFUNCTION("""COMPUTED_VALUE"""),0.5282407407407407)</f>
        <v>0.5282407407</v>
      </c>
      <c r="FS419" s="16">
        <f>IFERROR(__xludf.DUMMYFUNCTION("""COMPUTED_VALUE"""),0.32085)</f>
        <v>0.32085</v>
      </c>
      <c r="FT419" s="16"/>
      <c r="FU419" s="16"/>
      <c r="FV419" s="16"/>
      <c r="FW419" s="16">
        <f>IFERROR(__xludf.DUMMYFUNCTION("""COMPUTED_VALUE"""),-6.0)</f>
        <v>-6</v>
      </c>
      <c r="FX419" s="16">
        <f>IFERROR(__xludf.DUMMYFUNCTION("""COMPUTED_VALUE"""),-1.0)</f>
        <v>-1</v>
      </c>
      <c r="FY419" s="16">
        <f>IFERROR(__xludf.DUMMYFUNCTION("""COMPUTED_VALUE"""),-6.0)</f>
        <v>-6</v>
      </c>
      <c r="FZ419" s="16">
        <f>IFERROR(__xludf.DUMMYFUNCTION("""COMPUTED_VALUE"""),-8.0)</f>
        <v>-8</v>
      </c>
      <c r="GA419" s="16">
        <f>IFERROR(__xludf.DUMMYFUNCTION("""COMPUTED_VALUE"""),-8.0)</f>
        <v>-8</v>
      </c>
      <c r="GB419" s="16"/>
      <c r="GC419" s="16"/>
      <c r="GD419" s="16" t="s">
        <v>176</v>
      </c>
    </row>
    <row r="420">
      <c r="A420" s="16">
        <f>IFERROR(__xludf.DUMMYFUNCTION("""COMPUTED_VALUE"""),13438.0)</f>
        <v>13438</v>
      </c>
      <c r="B420" s="16" t="str">
        <f>IFERROR(__xludf.DUMMYFUNCTION("""COMPUTED_VALUE"""),"Trey Cabbage")</f>
        <v>Trey Cabbage</v>
      </c>
      <c r="C420" s="16">
        <f>IFERROR(__xludf.DUMMYFUNCTION("""COMPUTED_VALUE"""),0.0)</f>
        <v>0</v>
      </c>
      <c r="D420" s="16" t="str">
        <f>IFERROR(__xludf.DUMMYFUNCTION("""COMPUTED_VALUE"""),"L")</f>
        <v>L</v>
      </c>
      <c r="E420" s="16"/>
      <c r="F420" s="16"/>
      <c r="G420" s="16">
        <f>IFERROR(__xludf.DUMMYFUNCTION("""COMPUTED_VALUE"""),86.0)</f>
        <v>86</v>
      </c>
      <c r="H420" s="16">
        <f>IFERROR(__xludf.DUMMYFUNCTION("""COMPUTED_VALUE"""),4.0)</f>
        <v>4</v>
      </c>
      <c r="I420" s="16" t="str">
        <f>IFERROR(__xludf.DUMMYFUNCTION("""COMPUTED_VALUE"""),"1p20")</f>
        <v>1p20</v>
      </c>
      <c r="J420" s="16">
        <f>IFERROR(__xludf.DUMMYFUNCTION("""COMPUTED_VALUE"""),56.0)</f>
        <v>56</v>
      </c>
      <c r="K420" s="16">
        <f>IFERROR(__xludf.DUMMYFUNCTION("""COMPUTED_VALUE"""),56.0)</f>
        <v>56</v>
      </c>
      <c r="L420" s="16">
        <f>IFERROR(__xludf.DUMMYFUNCTION("""COMPUTED_VALUE"""),-2.0)</f>
        <v>-2</v>
      </c>
      <c r="M420" s="16">
        <f>IFERROR(__xludf.DUMMYFUNCTION("""COMPUTED_VALUE"""),-3.0)</f>
        <v>-3</v>
      </c>
      <c r="N420" s="16">
        <f>IFERROR(__xludf.DUMMYFUNCTION("""COMPUTED_VALUE"""),-2.0)</f>
        <v>-2</v>
      </c>
      <c r="O420" s="16">
        <f>IFERROR(__xludf.DUMMYFUNCTION("""COMPUTED_VALUE"""),-3.0)</f>
        <v>-3</v>
      </c>
      <c r="P420" s="16">
        <f>IFERROR(__xludf.DUMMYFUNCTION("""COMPUTED_VALUE"""),0.0)</f>
        <v>0</v>
      </c>
      <c r="Q420" s="16">
        <f>IFERROR(__xludf.DUMMYFUNCTION("""COMPUTED_VALUE"""),1.0)</f>
        <v>1</v>
      </c>
      <c r="R420" s="16">
        <f>IFERROR(__xludf.DUMMYFUNCTION("""COMPUTED_VALUE"""),-3.0)</f>
        <v>-3</v>
      </c>
      <c r="S420" s="16">
        <f>IFERROR(__xludf.DUMMYFUNCTION("""COMPUTED_VALUE"""),-2.0)</f>
        <v>-2</v>
      </c>
      <c r="T420" s="16">
        <f>IFERROR(__xludf.DUMMYFUNCTION("""COMPUTED_VALUE"""),-3.0)</f>
        <v>-3</v>
      </c>
      <c r="U420" s="16">
        <f>IFERROR(__xludf.DUMMYFUNCTION("""COMPUTED_VALUE"""),-2.0)</f>
        <v>-2</v>
      </c>
      <c r="V420" s="16">
        <f>IFERROR(__xludf.DUMMYFUNCTION("""COMPUTED_VALUE"""),2.2)</f>
        <v>2.2</v>
      </c>
      <c r="W420" s="16">
        <f>IFERROR(__xludf.DUMMYFUNCTION("""COMPUTED_VALUE"""),18.5)</f>
        <v>18.5</v>
      </c>
      <c r="X420" s="16">
        <f>IFERROR(__xludf.DUMMYFUNCTION("""COMPUTED_VALUE"""),-2.0)</f>
        <v>-2</v>
      </c>
      <c r="Y420" s="16">
        <f>IFERROR(__xludf.DUMMYFUNCTION("""COMPUTED_VALUE"""),0.0)</f>
        <v>0</v>
      </c>
      <c r="Z420" s="16">
        <f>IFERROR(__xludf.DUMMYFUNCTION("""COMPUTED_VALUE"""),-4.0)</f>
        <v>-4</v>
      </c>
      <c r="AA420" s="16">
        <f>IFERROR(__xludf.DUMMYFUNCTION("""COMPUTED_VALUE"""),0.0)</f>
        <v>0</v>
      </c>
      <c r="AB420" s="16">
        <f>IFERROR(__xludf.DUMMYFUNCTION("""COMPUTED_VALUE"""),4.2)</f>
        <v>4.2</v>
      </c>
      <c r="AC420" s="16">
        <f>IFERROR(__xludf.DUMMYFUNCTION("""COMPUTED_VALUE"""),21.5)</f>
        <v>21.5</v>
      </c>
      <c r="AD420" s="16">
        <f>IFERROR(__xludf.DUMMYFUNCTION("""COMPUTED_VALUE"""),-3.0)</f>
        <v>-3</v>
      </c>
      <c r="AE420" s="16">
        <f>IFERROR(__xludf.DUMMYFUNCTION("""COMPUTED_VALUE"""),-2.0)</f>
        <v>-2</v>
      </c>
      <c r="AF420" s="16">
        <f>IFERROR(__xludf.DUMMYFUNCTION("""COMPUTED_VALUE"""),-15.0)</f>
        <v>-15</v>
      </c>
      <c r="AG420" s="16">
        <f>IFERROR(__xludf.DUMMYFUNCTION("""COMPUTED_VALUE"""),-10.0)</f>
        <v>-10</v>
      </c>
      <c r="AH420" s="16">
        <f>IFERROR(__xludf.DUMMYFUNCTION("""COMPUTED_VALUE"""),2.2)</f>
        <v>2.2</v>
      </c>
      <c r="AI420" s="16">
        <f>IFERROR(__xludf.DUMMYFUNCTION("""COMPUTED_VALUE"""),42.0)</f>
        <v>42</v>
      </c>
      <c r="AJ420" s="16">
        <f>IFERROR(__xludf.DUMMYFUNCTION("""COMPUTED_VALUE"""),-2.0)</f>
        <v>-2</v>
      </c>
      <c r="AK420" s="16">
        <f>IFERROR(__xludf.DUMMYFUNCTION("""COMPUTED_VALUE"""),1.0)</f>
        <v>1</v>
      </c>
      <c r="AL420" s="16">
        <f>IFERROR(__xludf.DUMMYFUNCTION("""COMPUTED_VALUE"""),-10.0)</f>
        <v>-10</v>
      </c>
      <c r="AM420" s="16">
        <f>IFERROR(__xludf.DUMMYFUNCTION("""COMPUTED_VALUE"""),5.0)</f>
        <v>5</v>
      </c>
      <c r="AN420" s="16">
        <f>IFERROR(__xludf.DUMMYFUNCTION("""COMPUTED_VALUE"""),0.0)</f>
        <v>0</v>
      </c>
      <c r="AO420" s="16">
        <f>IFERROR(__xludf.DUMMYFUNCTION("""COMPUTED_VALUE"""),2.8)</f>
        <v>2.8</v>
      </c>
      <c r="AP420" s="16">
        <f>IFERROR(__xludf.DUMMYFUNCTION("""COMPUTED_VALUE"""),-2.0)</f>
        <v>-2</v>
      </c>
      <c r="AQ420" s="16">
        <f>IFERROR(__xludf.DUMMYFUNCTION("""COMPUTED_VALUE"""),0.0)</f>
        <v>0</v>
      </c>
      <c r="AR420" s="16">
        <f>IFERROR(__xludf.DUMMYFUNCTION("""COMPUTED_VALUE"""),-4.0)</f>
        <v>-4</v>
      </c>
      <c r="AS420" s="16">
        <f>IFERROR(__xludf.DUMMYFUNCTION("""COMPUTED_VALUE"""),0.0)</f>
        <v>0</v>
      </c>
      <c r="AT420" s="16"/>
      <c r="AU420" s="16"/>
      <c r="AV420" s="16">
        <f>IFERROR(__xludf.DUMMYFUNCTION("""COMPUTED_VALUE"""),-3.0)</f>
        <v>-3</v>
      </c>
      <c r="AW420" s="16">
        <f>IFERROR(__xludf.DUMMYFUNCTION("""COMPUTED_VALUE"""),-3.0)</f>
        <v>-3</v>
      </c>
      <c r="AX420" s="16">
        <f>IFERROR(__xludf.DUMMYFUNCTION("""COMPUTED_VALUE"""),-3.0)</f>
        <v>-3</v>
      </c>
      <c r="AY420" s="16">
        <f>IFERROR(__xludf.DUMMYFUNCTION("""COMPUTED_VALUE"""),-3.0)</f>
        <v>-3</v>
      </c>
      <c r="AZ420" s="16">
        <f>IFERROR(__xludf.DUMMYFUNCTION("""COMPUTED_VALUE"""),-9.0)</f>
        <v>-9</v>
      </c>
      <c r="BA420" s="16">
        <f>IFERROR(__xludf.DUMMYFUNCTION("""COMPUTED_VALUE"""),-9.0)</f>
        <v>-9</v>
      </c>
      <c r="BB420" s="16">
        <f>IFERROR(__xludf.DUMMYFUNCTION("""COMPUTED_VALUE"""),5.0)</f>
        <v>5</v>
      </c>
      <c r="BC420" s="16">
        <f>IFERROR(__xludf.DUMMYFUNCTION("""COMPUTED_VALUE"""),0.0)</f>
        <v>0</v>
      </c>
      <c r="BD420" s="16">
        <f>IFERROR(__xludf.DUMMYFUNCTION("""COMPUTED_VALUE"""),1.0)</f>
        <v>1</v>
      </c>
      <c r="BE420" s="16">
        <f>IFERROR(__xludf.DUMMYFUNCTION("""COMPUTED_VALUE"""),0.0)</f>
        <v>0</v>
      </c>
      <c r="BF420" s="16">
        <f>IFERROR(__xludf.DUMMYFUNCTION("""COMPUTED_VALUE"""),1.0)</f>
        <v>1</v>
      </c>
      <c r="BG420" s="16">
        <f>IFERROR(__xludf.DUMMYFUNCTION("""COMPUTED_VALUE"""),0.0)</f>
        <v>0</v>
      </c>
      <c r="BH420" s="16">
        <f>IFERROR(__xludf.DUMMYFUNCTION("""COMPUTED_VALUE"""),4.0)</f>
        <v>4</v>
      </c>
      <c r="BI420" s="16">
        <f>IFERROR(__xludf.DUMMYFUNCTION("""COMPUTED_VALUE"""),0.0)</f>
        <v>0</v>
      </c>
      <c r="BJ420" s="16">
        <f>IFERROR(__xludf.DUMMYFUNCTION("""COMPUTED_VALUE"""),8.0)</f>
        <v>8</v>
      </c>
      <c r="BK420" s="16">
        <f>IFERROR(__xludf.DUMMYFUNCTION("""COMPUTED_VALUE"""),8.0)</f>
        <v>8</v>
      </c>
      <c r="BL420" s="16">
        <f>IFERROR(__xludf.DUMMYFUNCTION("""COMPUTED_VALUE"""),1.0)</f>
        <v>1</v>
      </c>
      <c r="BM420" s="16">
        <f>IFERROR(__xludf.DUMMYFUNCTION("""COMPUTED_VALUE"""),1.0)</f>
        <v>1</v>
      </c>
      <c r="BN420" s="16">
        <f>IFERROR(__xludf.DUMMYFUNCTION("""COMPUTED_VALUE"""),1.0)</f>
        <v>1</v>
      </c>
      <c r="BO420" s="16">
        <f>IFERROR(__xludf.DUMMYFUNCTION("""COMPUTED_VALUE"""),1.0)</f>
        <v>1</v>
      </c>
      <c r="BP420" s="16">
        <f>IFERROR(__xludf.DUMMYFUNCTION("""COMPUTED_VALUE"""),-15.0)</f>
        <v>-15</v>
      </c>
      <c r="BQ420" s="16">
        <f>IFERROR(__xludf.DUMMYFUNCTION("""COMPUTED_VALUE"""),-8.0)</f>
        <v>-8</v>
      </c>
      <c r="BR420" s="16">
        <f>IFERROR(__xludf.DUMMYFUNCTION("""COMPUTED_VALUE"""),-23.0)</f>
        <v>-23</v>
      </c>
      <c r="BS420" s="16" t="str">
        <f>IFERROR(__xludf.DUMMYFUNCTION("""COMPUTED_VALUE"""),"*2-6,11,12/7 (15-7)")</f>
        <v>*2-6,11,12/7 (15-7)</v>
      </c>
      <c r="BT420" s="16" t="str">
        <f>IFERROR(__xludf.DUMMYFUNCTION("""COMPUTED_VALUE"""),"D")</f>
        <v>D</v>
      </c>
      <c r="BU420" s="16">
        <f>IFERROR(__xludf.DUMMYFUNCTION("""COMPUTED_VALUE"""),14.0)</f>
        <v>14</v>
      </c>
      <c r="BV420" s="16">
        <f>IFERROR(__xludf.DUMMYFUNCTION("""COMPUTED_VALUE"""),0.0)</f>
        <v>0</v>
      </c>
      <c r="BW420" s="16">
        <f>IFERROR(__xludf.DUMMYFUNCTION("""COMPUTED_VALUE"""),1.0)</f>
        <v>1</v>
      </c>
      <c r="BX420" s="16">
        <f>IFERROR(__xludf.DUMMYFUNCTION("""COMPUTED_VALUE"""),0.0)</f>
        <v>0</v>
      </c>
      <c r="BY420" s="16">
        <f>IFERROR(__xludf.DUMMYFUNCTION("""COMPUTED_VALUE"""),3.0)</f>
        <v>3</v>
      </c>
      <c r="BZ420" s="16" t="str">
        <f>IFERROR(__xludf.DUMMYFUNCTION("""COMPUTED_VALUE"""),"D")</f>
        <v>D</v>
      </c>
      <c r="CA420" s="16" t="str">
        <f>IFERROR(__xludf.DUMMYFUNCTION("""COMPUTED_VALUE"""),"D")</f>
        <v>D</v>
      </c>
      <c r="CB420" s="16">
        <f>IFERROR(__xludf.DUMMYFUNCTION("""COMPUTED_VALUE"""),0.0)</f>
        <v>0</v>
      </c>
      <c r="CC420" s="16">
        <f>IFERROR(__xludf.DUMMYFUNCTION("""COMPUTED_VALUE"""),0.0)</f>
        <v>0</v>
      </c>
      <c r="CD420" s="16">
        <f>IFERROR(__xludf.DUMMYFUNCTION("""COMPUTED_VALUE"""),0.0)</f>
        <v>0</v>
      </c>
      <c r="CE420" s="16">
        <f>IFERROR(__xludf.DUMMYFUNCTION("""COMPUTED_VALUE"""),0.0)</f>
        <v>0</v>
      </c>
      <c r="CF420" s="16">
        <f>IFERROR(__xludf.DUMMYFUNCTION("""COMPUTED_VALUE"""),1.0)</f>
        <v>1</v>
      </c>
      <c r="CG420" s="16">
        <f>IFERROR(__xludf.DUMMYFUNCTION("""COMPUTED_VALUE"""),-45.0)</f>
        <v>-45</v>
      </c>
      <c r="CH420" s="16">
        <f>IFERROR(__xludf.DUMMYFUNCTION("""COMPUTED_VALUE"""),-18.0)</f>
        <v>-18</v>
      </c>
      <c r="CI420" s="179">
        <f>IFERROR(__xludf.DUMMYFUNCTION("""COMPUTED_VALUE"""),-24.0)</f>
        <v>-24</v>
      </c>
      <c r="CJ420" s="16"/>
      <c r="CK420" s="16"/>
      <c r="CL420" s="16"/>
      <c r="CM420" s="16"/>
      <c r="CN420" s="16"/>
      <c r="CO420" s="16">
        <f>IFERROR(__xludf.DUMMYFUNCTION("""COMPUTED_VALUE"""),406.0)</f>
        <v>406</v>
      </c>
      <c r="CP420" s="16"/>
      <c r="CQ420" s="16">
        <f>IFERROR(__xludf.DUMMYFUNCTION("""COMPUTED_VALUE"""),406.0)</f>
        <v>406</v>
      </c>
      <c r="CR420" s="16" t="str">
        <f>IFERROR(__xludf.DUMMYFUNCTION("""COMPUTED_VALUE"""),"rf-4(-1)e6 lf-4e6")</f>
        <v>rf-4(-1)e6 lf-4e6</v>
      </c>
      <c r="CS420" s="16"/>
      <c r="CT420" s="16"/>
      <c r="CU420" s="16"/>
      <c r="CV420" s="16"/>
      <c r="CW420" s="16"/>
      <c r="CX420" s="16">
        <f>IFERROR(__xludf.DUMMYFUNCTION("""COMPUTED_VALUE"""),4.0)</f>
        <v>4</v>
      </c>
      <c r="CY420" s="16"/>
      <c r="CZ420" s="16">
        <f>IFERROR(__xludf.DUMMYFUNCTION("""COMPUTED_VALUE"""),4.0)</f>
        <v>4</v>
      </c>
      <c r="DA420" s="16"/>
      <c r="DB420" s="16"/>
      <c r="DC420" s="16"/>
      <c r="DD420" s="16"/>
      <c r="DE420" s="16"/>
      <c r="DF420" s="16">
        <f>IFERROR(__xludf.DUMMYFUNCTION("""COMPUTED_VALUE"""),6.0)</f>
        <v>6</v>
      </c>
      <c r="DG420" s="16"/>
      <c r="DH420" s="16">
        <f>IFERROR(__xludf.DUMMYFUNCTION("""COMPUTED_VALUE"""),6.0)</f>
        <v>6</v>
      </c>
      <c r="DI420" s="16"/>
      <c r="DJ420" s="16"/>
      <c r="DK420" s="16"/>
      <c r="DL420" s="16"/>
      <c r="DM420" s="16"/>
      <c r="DN420" s="16">
        <f>IFERROR(__xludf.DUMMYFUNCTION("""COMPUTED_VALUE"""),-1.0)</f>
        <v>-1</v>
      </c>
      <c r="DO420" s="16"/>
      <c r="DP420" s="16">
        <f>IFERROR(__xludf.DUMMYFUNCTION("""COMPUTED_VALUE"""),-1.0)</f>
        <v>-1</v>
      </c>
      <c r="DQ420" s="16"/>
      <c r="DR420" s="16"/>
      <c r="DS420" s="16"/>
      <c r="DT420" s="16"/>
      <c r="DU420" s="16"/>
      <c r="DV420" s="16">
        <f>IFERROR(__xludf.DUMMYFUNCTION("""COMPUTED_VALUE"""),2.0)</f>
        <v>2</v>
      </c>
      <c r="DW420" s="16"/>
      <c r="DX420" s="16">
        <f>IFERROR(__xludf.DUMMYFUNCTION("""COMPUTED_VALUE"""),2.0)</f>
        <v>2</v>
      </c>
      <c r="DY420" s="16"/>
      <c r="DZ420" s="16"/>
      <c r="EA420" s="16"/>
      <c r="EB420" s="16"/>
      <c r="EC420" s="16"/>
      <c r="ED420" s="16">
        <f>IFERROR(__xludf.DUMMYFUNCTION("""COMPUTED_VALUE"""),1.0)</f>
        <v>1</v>
      </c>
      <c r="EE420" s="16"/>
      <c r="EF420" s="16">
        <f>IFERROR(__xludf.DUMMYFUNCTION("""COMPUTED_VALUE"""),1.0)</f>
        <v>1</v>
      </c>
      <c r="EG420" s="179"/>
      <c r="EH420" s="179"/>
      <c r="EI420" s="179"/>
      <c r="EJ420" s="179"/>
      <c r="EK420" s="179"/>
      <c r="EL420" s="179">
        <f>IFERROR(__xludf.DUMMYFUNCTION("""COMPUTED_VALUE"""),-23.0)</f>
        <v>-23</v>
      </c>
      <c r="EM420" s="179"/>
      <c r="EN420" s="179">
        <f>IFERROR(__xludf.DUMMYFUNCTION("""COMPUTED_VALUE"""),-23.0)</f>
        <v>-23</v>
      </c>
      <c r="EO420" s="16"/>
      <c r="EP420" s="16"/>
      <c r="EQ420" s="16">
        <f>IFERROR(__xludf.DUMMYFUNCTION("""COMPUTED_VALUE"""),4.0)</f>
        <v>4</v>
      </c>
      <c r="ER420" s="16">
        <f>IFERROR(__xludf.DUMMYFUNCTION("""COMPUTED_VALUE"""),-4.0)</f>
        <v>-4</v>
      </c>
      <c r="ES420" s="16"/>
      <c r="ET420" s="16"/>
      <c r="EU420" s="16"/>
      <c r="EV420" s="16"/>
      <c r="EW420" s="16"/>
      <c r="EX420" s="180"/>
      <c r="EY420" s="180"/>
      <c r="EZ420" s="180"/>
      <c r="FA420" s="180"/>
      <c r="FB420" s="180"/>
      <c r="FC420" s="180">
        <f>IFERROR(__xludf.DUMMYFUNCTION("""COMPUTED_VALUE"""),0.55)</f>
        <v>0.55</v>
      </c>
      <c r="FD420" s="180"/>
      <c r="FE420" s="180">
        <f>IFERROR(__xludf.DUMMYFUNCTION("""COMPUTED_VALUE"""),0.55)</f>
        <v>0.55</v>
      </c>
      <c r="FF420" s="180"/>
      <c r="FG420" s="180"/>
      <c r="FH420" s="180"/>
      <c r="FI420" s="180"/>
      <c r="FJ420" s="180"/>
      <c r="FK420" s="180">
        <f>IFERROR(__xludf.DUMMYFUNCTION("""COMPUTED_VALUE"""),0.106)</f>
        <v>0.106</v>
      </c>
      <c r="FL420" s="180"/>
      <c r="FM420" s="180">
        <f>IFERROR(__xludf.DUMMYFUNCTION("""COMPUTED_VALUE"""),0.106)</f>
        <v>0.106</v>
      </c>
      <c r="FN420" s="16"/>
      <c r="FO420" s="16"/>
      <c r="FP420" s="16"/>
      <c r="FQ420" s="16"/>
      <c r="FR420" s="16"/>
      <c r="FS420" s="16">
        <f>IFERROR(__xludf.DUMMYFUNCTION("""COMPUTED_VALUE"""),0.4023)</f>
        <v>0.4023</v>
      </c>
      <c r="FT420" s="16"/>
      <c r="FU420" s="16">
        <f>IFERROR(__xludf.DUMMYFUNCTION("""COMPUTED_VALUE"""),0.4023)</f>
        <v>0.4023</v>
      </c>
      <c r="FV420" s="16"/>
      <c r="FW420" s="16"/>
      <c r="FX420" s="16"/>
      <c r="FY420" s="16"/>
      <c r="FZ420" s="16"/>
      <c r="GA420" s="16">
        <f>IFERROR(__xludf.DUMMYFUNCTION("""COMPUTED_VALUE"""),-8.0)</f>
        <v>-8</v>
      </c>
      <c r="GB420" s="16"/>
      <c r="GC420" s="16">
        <f>IFERROR(__xludf.DUMMYFUNCTION("""COMPUTED_VALUE"""),-8.0)</f>
        <v>-8</v>
      </c>
      <c r="GD420" s="16" t="s">
        <v>176</v>
      </c>
    </row>
    <row r="421">
      <c r="A421" s="16">
        <f>IFERROR(__xludf.DUMMYFUNCTION("""COMPUTED_VALUE"""),12776.0)</f>
        <v>12776</v>
      </c>
      <c r="B421" s="16" t="str">
        <f>IFERROR(__xludf.DUMMYFUNCTION("""COMPUTED_VALUE"""),"Eddie Rosario")</f>
        <v>Eddie Rosario</v>
      </c>
      <c r="C421" s="16">
        <f>IFERROR(__xludf.DUMMYFUNCTION("""COMPUTED_VALUE"""),0.0)</f>
        <v>0</v>
      </c>
      <c r="D421" s="16" t="str">
        <f>IFERROR(__xludf.DUMMYFUNCTION("""COMPUTED_VALUE"""),"L")</f>
        <v>L</v>
      </c>
      <c r="E421" s="16"/>
      <c r="F421" s="16"/>
      <c r="G421" s="16">
        <f>IFERROR(__xludf.DUMMYFUNCTION("""COMPUTED_VALUE"""),297.0)</f>
        <v>297</v>
      </c>
      <c r="H421" s="16">
        <f>IFERROR(__xludf.DUMMYFUNCTION("""COMPUTED_VALUE"""),16.0)</f>
        <v>16</v>
      </c>
      <c r="I421" s="16" t="str">
        <f>IFERROR(__xludf.DUMMYFUNCTION("""COMPUTED_VALUE"""),"1p40")</f>
        <v>1p40</v>
      </c>
      <c r="J421" s="16">
        <f>IFERROR(__xludf.DUMMYFUNCTION("""COMPUTED_VALUE"""),15.0)</f>
        <v>15</v>
      </c>
      <c r="K421" s="16">
        <f>IFERROR(__xludf.DUMMYFUNCTION("""COMPUTED_VALUE"""),30.0)</f>
        <v>30</v>
      </c>
      <c r="L421" s="16">
        <f>IFERROR(__xludf.DUMMYFUNCTION("""COMPUTED_VALUE"""),1.0)</f>
        <v>1</v>
      </c>
      <c r="M421" s="16">
        <f>IFERROR(__xludf.DUMMYFUNCTION("""COMPUTED_VALUE"""),-1.0)</f>
        <v>-1</v>
      </c>
      <c r="N421" s="16">
        <f>IFERROR(__xludf.DUMMYFUNCTION("""COMPUTED_VALUE"""),1.0)</f>
        <v>1</v>
      </c>
      <c r="O421" s="16">
        <f>IFERROR(__xludf.DUMMYFUNCTION("""COMPUTED_VALUE"""),-1.0)</f>
        <v>-1</v>
      </c>
      <c r="P421" s="16">
        <f>IFERROR(__xludf.DUMMYFUNCTION("""COMPUTED_VALUE"""),3.0)</f>
        <v>3</v>
      </c>
      <c r="Q421" s="16">
        <f>IFERROR(__xludf.DUMMYFUNCTION("""COMPUTED_VALUE"""),1.0)</f>
        <v>1</v>
      </c>
      <c r="R421" s="16">
        <f>IFERROR(__xludf.DUMMYFUNCTION("""COMPUTED_VALUE"""),-2.0)</f>
        <v>-2</v>
      </c>
      <c r="S421" s="16">
        <f>IFERROR(__xludf.DUMMYFUNCTION("""COMPUTED_VALUE"""),-2.0)</f>
        <v>-2</v>
      </c>
      <c r="T421" s="16">
        <f>IFERROR(__xludf.DUMMYFUNCTION("""COMPUTED_VALUE"""),-2.0)</f>
        <v>-2</v>
      </c>
      <c r="U421" s="16">
        <f>IFERROR(__xludf.DUMMYFUNCTION("""COMPUTED_VALUE"""),-2.0)</f>
        <v>-2</v>
      </c>
      <c r="V421" s="16">
        <f>IFERROR(__xludf.DUMMYFUNCTION("""COMPUTED_VALUE"""),6.7)</f>
        <v>6.7</v>
      </c>
      <c r="W421" s="16">
        <f>IFERROR(__xludf.DUMMYFUNCTION("""COMPUTED_VALUE"""),9.3)</f>
        <v>9.3</v>
      </c>
      <c r="X421" s="16">
        <f>IFERROR(__xludf.DUMMYFUNCTION("""COMPUTED_VALUE"""),-2.0)</f>
        <v>-2</v>
      </c>
      <c r="Y421" s="16">
        <f>IFERROR(__xludf.DUMMYFUNCTION("""COMPUTED_VALUE"""),-2.0)</f>
        <v>-2</v>
      </c>
      <c r="Z421" s="16">
        <f>IFERROR(__xludf.DUMMYFUNCTION("""COMPUTED_VALUE"""),-4.0)</f>
        <v>-4</v>
      </c>
      <c r="AA421" s="16">
        <f>IFERROR(__xludf.DUMMYFUNCTION("""COMPUTED_VALUE"""),-4.0)</f>
        <v>-4</v>
      </c>
      <c r="AB421" s="16">
        <f>IFERROR(__xludf.DUMMYFUNCTION("""COMPUTED_VALUE"""),9.7)</f>
        <v>9.7</v>
      </c>
      <c r="AC421" s="16">
        <f>IFERROR(__xludf.DUMMYFUNCTION("""COMPUTED_VALUE"""),10.3)</f>
        <v>10.3</v>
      </c>
      <c r="AD421" s="16">
        <f>IFERROR(__xludf.DUMMYFUNCTION("""COMPUTED_VALUE"""),-2.0)</f>
        <v>-2</v>
      </c>
      <c r="AE421" s="16">
        <f>IFERROR(__xludf.DUMMYFUNCTION("""COMPUTED_VALUE"""),-3.0)</f>
        <v>-3</v>
      </c>
      <c r="AF421" s="16">
        <f>IFERROR(__xludf.DUMMYFUNCTION("""COMPUTED_VALUE"""),-10.0)</f>
        <v>-10</v>
      </c>
      <c r="AG421" s="16">
        <f>IFERROR(__xludf.DUMMYFUNCTION("""COMPUTED_VALUE"""),-15.0)</f>
        <v>-15</v>
      </c>
      <c r="AH421" s="16">
        <f>IFERROR(__xludf.DUMMYFUNCTION("""COMPUTED_VALUE"""),6.7)</f>
        <v>6.7</v>
      </c>
      <c r="AI421" s="16">
        <f>IFERROR(__xludf.DUMMYFUNCTION("""COMPUTED_VALUE"""),20.6)</f>
        <v>20.6</v>
      </c>
      <c r="AJ421" s="16">
        <f>IFERROR(__xludf.DUMMYFUNCTION("""COMPUTED_VALUE"""),-2.0)</f>
        <v>-2</v>
      </c>
      <c r="AK421" s="16">
        <f>IFERROR(__xludf.DUMMYFUNCTION("""COMPUTED_VALUE"""),-1.0)</f>
        <v>-1</v>
      </c>
      <c r="AL421" s="16">
        <f>IFERROR(__xludf.DUMMYFUNCTION("""COMPUTED_VALUE"""),-10.0)</f>
        <v>-10</v>
      </c>
      <c r="AM421" s="16">
        <f>IFERROR(__xludf.DUMMYFUNCTION("""COMPUTED_VALUE"""),-5.0)</f>
        <v>-5</v>
      </c>
      <c r="AN421" s="16">
        <f>IFERROR(__xludf.DUMMYFUNCTION("""COMPUTED_VALUE"""),0.0)</f>
        <v>0</v>
      </c>
      <c r="AO421" s="16">
        <f>IFERROR(__xludf.DUMMYFUNCTION("""COMPUTED_VALUE"""),2.5)</f>
        <v>2.5</v>
      </c>
      <c r="AP421" s="16">
        <f>IFERROR(__xludf.DUMMYFUNCTION("""COMPUTED_VALUE"""),-2.0)</f>
        <v>-2</v>
      </c>
      <c r="AQ421" s="16">
        <f>IFERROR(__xludf.DUMMYFUNCTION("""COMPUTED_VALUE"""),0.0)</f>
        <v>0</v>
      </c>
      <c r="AR421" s="16">
        <f>IFERROR(__xludf.DUMMYFUNCTION("""COMPUTED_VALUE"""),-4.0)</f>
        <v>-4</v>
      </c>
      <c r="AS421" s="16">
        <f>IFERROR(__xludf.DUMMYFUNCTION("""COMPUTED_VALUE"""),0.0)</f>
        <v>0</v>
      </c>
      <c r="AT421" s="16"/>
      <c r="AU421" s="16"/>
      <c r="AV421" s="16">
        <f>IFERROR(__xludf.DUMMYFUNCTION("""COMPUTED_VALUE"""),-3.0)</f>
        <v>-3</v>
      </c>
      <c r="AW421" s="16">
        <f>IFERROR(__xludf.DUMMYFUNCTION("""COMPUTED_VALUE"""),3.0)</f>
        <v>3</v>
      </c>
      <c r="AX421" s="16">
        <f>IFERROR(__xludf.DUMMYFUNCTION("""COMPUTED_VALUE"""),-3.0)</f>
        <v>-3</v>
      </c>
      <c r="AY421" s="16">
        <f>IFERROR(__xludf.DUMMYFUNCTION("""COMPUTED_VALUE"""),0.0)</f>
        <v>0</v>
      </c>
      <c r="AZ421" s="16">
        <f>IFERROR(__xludf.DUMMYFUNCTION("""COMPUTED_VALUE"""),-9.0)</f>
        <v>-9</v>
      </c>
      <c r="BA421" s="16">
        <f>IFERROR(__xludf.DUMMYFUNCTION("""COMPUTED_VALUE"""),0.0)</f>
        <v>0</v>
      </c>
      <c r="BB421" s="16">
        <f>IFERROR(__xludf.DUMMYFUNCTION("""COMPUTED_VALUE"""),5.0)</f>
        <v>5</v>
      </c>
      <c r="BC421" s="16">
        <f>IFERROR(__xludf.DUMMYFUNCTION("""COMPUTED_VALUE"""),0.0)</f>
        <v>0</v>
      </c>
      <c r="BD421" s="16">
        <f>IFERROR(__xludf.DUMMYFUNCTION("""COMPUTED_VALUE"""),1.0)</f>
        <v>1</v>
      </c>
      <c r="BE421" s="16">
        <f>IFERROR(__xludf.DUMMYFUNCTION("""COMPUTED_VALUE"""),0.0)</f>
        <v>0</v>
      </c>
      <c r="BF421" s="16">
        <f>IFERROR(__xludf.DUMMYFUNCTION("""COMPUTED_VALUE"""),1.0)</f>
        <v>1</v>
      </c>
      <c r="BG421" s="16">
        <f>IFERROR(__xludf.DUMMYFUNCTION("""COMPUTED_VALUE"""),0.0)</f>
        <v>0</v>
      </c>
      <c r="BH421" s="16">
        <f>IFERROR(__xludf.DUMMYFUNCTION("""COMPUTED_VALUE"""),5.0)</f>
        <v>5</v>
      </c>
      <c r="BI421" s="16">
        <f>IFERROR(__xludf.DUMMYFUNCTION("""COMPUTED_VALUE"""),0.0)</f>
        <v>0</v>
      </c>
      <c r="BJ421" s="16">
        <f>IFERROR(__xludf.DUMMYFUNCTION("""COMPUTED_VALUE"""),9.0)</f>
        <v>9</v>
      </c>
      <c r="BK421" s="16">
        <f>IFERROR(__xludf.DUMMYFUNCTION("""COMPUTED_VALUE"""),9.0)</f>
        <v>9</v>
      </c>
      <c r="BL421" s="16">
        <f>IFERROR(__xludf.DUMMYFUNCTION("""COMPUTED_VALUE"""),0.0)</f>
        <v>0</v>
      </c>
      <c r="BM421" s="16">
        <f>IFERROR(__xludf.DUMMYFUNCTION("""COMPUTED_VALUE"""),1.0)</f>
        <v>1</v>
      </c>
      <c r="BN421" s="16">
        <f>IFERROR(__xludf.DUMMYFUNCTION("""COMPUTED_VALUE"""),0.0)</f>
        <v>0</v>
      </c>
      <c r="BO421" s="16">
        <f>IFERROR(__xludf.DUMMYFUNCTION("""COMPUTED_VALUE"""),1.0)</f>
        <v>1</v>
      </c>
      <c r="BP421" s="16">
        <f>IFERROR(__xludf.DUMMYFUNCTION("""COMPUTED_VALUE"""),-11.0)</f>
        <v>-11</v>
      </c>
      <c r="BQ421" s="16">
        <f>IFERROR(__xludf.DUMMYFUNCTION("""COMPUTED_VALUE"""),-8.0)</f>
        <v>-8</v>
      </c>
      <c r="BR421" s="16">
        <f>IFERROR(__xludf.DUMMYFUNCTION("""COMPUTED_VALUE"""),-19.0)</f>
        <v>-19</v>
      </c>
      <c r="BS421" s="16" t="str">
        <f>IFERROR(__xludf.DUMMYFUNCTION("""COMPUTED_VALUE"""),"*4,5/- (19-13)")</f>
        <v>*4,5/- (19-13)</v>
      </c>
      <c r="BT421" s="16" t="str">
        <f>IFERROR(__xludf.DUMMYFUNCTION("""COMPUTED_VALUE"""),"B")</f>
        <v>B</v>
      </c>
      <c r="BU421" s="16">
        <f>IFERROR(__xludf.DUMMYFUNCTION("""COMPUTED_VALUE"""),12.0)</f>
        <v>12</v>
      </c>
      <c r="BV421" s="16">
        <f>IFERROR(__xludf.DUMMYFUNCTION("""COMPUTED_VALUE"""),1.0)</f>
        <v>1</v>
      </c>
      <c r="BW421" s="16">
        <f>IFERROR(__xludf.DUMMYFUNCTION("""COMPUTED_VALUE"""),0.0)</f>
        <v>0</v>
      </c>
      <c r="BX421" s="16">
        <f>IFERROR(__xludf.DUMMYFUNCTION("""COMPUTED_VALUE"""),2.0)</f>
        <v>2</v>
      </c>
      <c r="BY421" s="16">
        <f>IFERROR(__xludf.DUMMYFUNCTION("""COMPUTED_VALUE"""),0.0)</f>
        <v>0</v>
      </c>
      <c r="BZ421" s="16" t="str">
        <f>IFERROR(__xludf.DUMMYFUNCTION("""COMPUTED_VALUE"""),"D")</f>
        <v>D</v>
      </c>
      <c r="CA421" s="16" t="str">
        <f>IFERROR(__xludf.DUMMYFUNCTION("""COMPUTED_VALUE"""),"B")</f>
        <v>B</v>
      </c>
      <c r="CB421" s="16">
        <f>IFERROR(__xludf.DUMMYFUNCTION("""COMPUTED_VALUE"""),0.0)</f>
        <v>0</v>
      </c>
      <c r="CC421" s="16">
        <f>IFERROR(__xludf.DUMMYFUNCTION("""COMPUTED_VALUE"""),1.0)</f>
        <v>1</v>
      </c>
      <c r="CD421" s="16">
        <f>IFERROR(__xludf.DUMMYFUNCTION("""COMPUTED_VALUE"""),0.0)</f>
        <v>0</v>
      </c>
      <c r="CE421" s="16">
        <f>IFERROR(__xludf.DUMMYFUNCTION("""COMPUTED_VALUE"""),2.0)</f>
        <v>2</v>
      </c>
      <c r="CF421" s="16">
        <f>IFERROR(__xludf.DUMMYFUNCTION("""COMPUTED_VALUE"""),1.0)</f>
        <v>1</v>
      </c>
      <c r="CG421" s="16">
        <f>IFERROR(__xludf.DUMMYFUNCTION("""COMPUTED_VALUE"""),-37.0)</f>
        <v>-37</v>
      </c>
      <c r="CH421" s="16">
        <f>IFERROR(__xludf.DUMMYFUNCTION("""COMPUTED_VALUE"""),-26.0)</f>
        <v>-26</v>
      </c>
      <c r="CI421" s="179">
        <f>IFERROR(__xludf.DUMMYFUNCTION("""COMPUTED_VALUE"""),-25.0)</f>
        <v>-25</v>
      </c>
      <c r="CJ421" s="16"/>
      <c r="CK421" s="16"/>
      <c r="CL421" s="16"/>
      <c r="CM421" s="16"/>
      <c r="CN421" s="16"/>
      <c r="CO421" s="16">
        <f>IFERROR(__xludf.DUMMYFUNCTION("""COMPUTED_VALUE"""),305.0)</f>
        <v>305</v>
      </c>
      <c r="CP421" s="16">
        <f>IFERROR(__xludf.DUMMYFUNCTION("""COMPUTED_VALUE"""),405.0)</f>
        <v>405</v>
      </c>
      <c r="CQ421" s="16">
        <f>IFERROR(__xludf.DUMMYFUNCTION("""COMPUTED_VALUE"""),405.0)</f>
        <v>405</v>
      </c>
      <c r="CR421" s="16" t="str">
        <f>IFERROR(__xludf.DUMMYFUNCTION("""COMPUTED_VALUE"""),"lf-3(0)e5 rf-4e5 cf-4e5")</f>
        <v>lf-3(0)e5 rf-4e5 cf-4e5</v>
      </c>
      <c r="CS421" s="16"/>
      <c r="CT421" s="16"/>
      <c r="CU421" s="16"/>
      <c r="CV421" s="16"/>
      <c r="CW421" s="16"/>
      <c r="CX421" s="16">
        <f>IFERROR(__xludf.DUMMYFUNCTION("""COMPUTED_VALUE"""),3.0)</f>
        <v>3</v>
      </c>
      <c r="CY421" s="16">
        <f>IFERROR(__xludf.DUMMYFUNCTION("""COMPUTED_VALUE"""),4.0)</f>
        <v>4</v>
      </c>
      <c r="CZ421" s="16">
        <f>IFERROR(__xludf.DUMMYFUNCTION("""COMPUTED_VALUE"""),4.0)</f>
        <v>4</v>
      </c>
      <c r="DA421" s="16"/>
      <c r="DB421" s="16"/>
      <c r="DC421" s="16"/>
      <c r="DD421" s="16"/>
      <c r="DE421" s="16"/>
      <c r="DF421" s="16">
        <f>IFERROR(__xludf.DUMMYFUNCTION("""COMPUTED_VALUE"""),5.0)</f>
        <v>5</v>
      </c>
      <c r="DG421" s="16">
        <f>IFERROR(__xludf.DUMMYFUNCTION("""COMPUTED_VALUE"""),5.0)</f>
        <v>5</v>
      </c>
      <c r="DH421" s="16">
        <f>IFERROR(__xludf.DUMMYFUNCTION("""COMPUTED_VALUE"""),5.0)</f>
        <v>5</v>
      </c>
      <c r="DI421" s="16"/>
      <c r="DJ421" s="16"/>
      <c r="DK421" s="16"/>
      <c r="DL421" s="16"/>
      <c r="DM421" s="16"/>
      <c r="DN421" s="16">
        <f>IFERROR(__xludf.DUMMYFUNCTION("""COMPUTED_VALUE"""),0.0)</f>
        <v>0</v>
      </c>
      <c r="DO421" s="16">
        <f>IFERROR(__xludf.DUMMYFUNCTION("""COMPUTED_VALUE"""),-2.0)</f>
        <v>-2</v>
      </c>
      <c r="DP421" s="16">
        <f>IFERROR(__xludf.DUMMYFUNCTION("""COMPUTED_VALUE"""),-1.0)</f>
        <v>-1</v>
      </c>
      <c r="DQ421" s="16"/>
      <c r="DR421" s="16"/>
      <c r="DS421" s="16"/>
      <c r="DT421" s="16"/>
      <c r="DU421" s="16"/>
      <c r="DV421" s="16">
        <f>IFERROR(__xludf.DUMMYFUNCTION("""COMPUTED_VALUE"""),2.0)</f>
        <v>2</v>
      </c>
      <c r="DW421" s="16">
        <f>IFERROR(__xludf.DUMMYFUNCTION("""COMPUTED_VALUE"""),3.0)</f>
        <v>3</v>
      </c>
      <c r="DX421" s="16">
        <f>IFERROR(__xludf.DUMMYFUNCTION("""COMPUTED_VALUE"""),2.0)</f>
        <v>2</v>
      </c>
      <c r="DY421" s="16"/>
      <c r="DZ421" s="16"/>
      <c r="EA421" s="16"/>
      <c r="EB421" s="16"/>
      <c r="EC421" s="16"/>
      <c r="ED421" s="16">
        <f>IFERROR(__xludf.DUMMYFUNCTION("""COMPUTED_VALUE"""),2.0)</f>
        <v>2</v>
      </c>
      <c r="EE421" s="16">
        <f>IFERROR(__xludf.DUMMYFUNCTION("""COMPUTED_VALUE"""),1.0)</f>
        <v>1</v>
      </c>
      <c r="EF421" s="16">
        <f>IFERROR(__xludf.DUMMYFUNCTION("""COMPUTED_VALUE"""),1.0)</f>
        <v>1</v>
      </c>
      <c r="EG421" s="179"/>
      <c r="EH421" s="179"/>
      <c r="EI421" s="179"/>
      <c r="EJ421" s="179"/>
      <c r="EK421" s="179"/>
      <c r="EL421" s="179">
        <f>IFERROR(__xludf.DUMMYFUNCTION("""COMPUTED_VALUE"""),-23.0)</f>
        <v>-23</v>
      </c>
      <c r="EM421" s="179">
        <f>IFERROR(__xludf.DUMMYFUNCTION("""COMPUTED_VALUE"""),-24.0)</f>
        <v>-24</v>
      </c>
      <c r="EN421" s="179">
        <f>IFERROR(__xludf.DUMMYFUNCTION("""COMPUTED_VALUE"""),-24.0)</f>
        <v>-24</v>
      </c>
      <c r="EO421" s="16"/>
      <c r="EP421" s="16">
        <f>IFERROR(__xludf.DUMMYFUNCTION("""COMPUTED_VALUE"""),1.0)</f>
        <v>1</v>
      </c>
      <c r="EQ421" s="16">
        <f>IFERROR(__xludf.DUMMYFUNCTION("""COMPUTED_VALUE"""),4.0)</f>
        <v>4</v>
      </c>
      <c r="ER421" s="16">
        <f>IFERROR(__xludf.DUMMYFUNCTION("""COMPUTED_VALUE"""),-1.0)</f>
        <v>-1</v>
      </c>
      <c r="ES421" s="16"/>
      <c r="ET421" s="16"/>
      <c r="EU421" s="16"/>
      <c r="EV421" s="16"/>
      <c r="EW421" s="16"/>
      <c r="EX421" s="180"/>
      <c r="EY421" s="180"/>
      <c r="EZ421" s="180"/>
      <c r="FA421" s="180"/>
      <c r="FB421" s="180"/>
      <c r="FC421" s="180">
        <f>IFERROR(__xludf.DUMMYFUNCTION("""COMPUTED_VALUE"""),0.3)</f>
        <v>0.3</v>
      </c>
      <c r="FD421" s="180">
        <f>IFERROR(__xludf.DUMMYFUNCTION("""COMPUTED_VALUE"""),0.55)</f>
        <v>0.55</v>
      </c>
      <c r="FE421" s="180">
        <f>IFERROR(__xludf.DUMMYFUNCTION("""COMPUTED_VALUE"""),0.55)</f>
        <v>0.55</v>
      </c>
      <c r="FF421" s="180"/>
      <c r="FG421" s="180"/>
      <c r="FH421" s="180"/>
      <c r="FI421" s="180"/>
      <c r="FJ421" s="180"/>
      <c r="FK421" s="180">
        <f>IFERROR(__xludf.DUMMYFUNCTION("""COMPUTED_VALUE"""),0.088)</f>
        <v>0.088</v>
      </c>
      <c r="FL421" s="180">
        <f>IFERROR(__xludf.DUMMYFUNCTION("""COMPUTED_VALUE"""),0.06018518518518518)</f>
        <v>0.06018518519</v>
      </c>
      <c r="FM421" s="180">
        <f>IFERROR(__xludf.DUMMYFUNCTION("""COMPUTED_VALUE"""),0.088)</f>
        <v>0.088</v>
      </c>
      <c r="FN421" s="16"/>
      <c r="FO421" s="16"/>
      <c r="FP421" s="16"/>
      <c r="FQ421" s="16"/>
      <c r="FR421" s="16"/>
      <c r="FS421" s="16">
        <f>IFERROR(__xludf.DUMMYFUNCTION("""COMPUTED_VALUE"""),0.6384)</f>
        <v>0.6384</v>
      </c>
      <c r="FT421" s="16">
        <f>IFERROR(__xludf.DUMMYFUNCTION("""COMPUTED_VALUE"""),0.4229166666666666)</f>
        <v>0.4229166667</v>
      </c>
      <c r="FU421" s="16">
        <f>IFERROR(__xludf.DUMMYFUNCTION("""COMPUTED_VALUE"""),0.4104)</f>
        <v>0.4104</v>
      </c>
      <c r="FV421" s="16"/>
      <c r="FW421" s="16"/>
      <c r="FX421" s="16"/>
      <c r="FY421" s="16"/>
      <c r="FZ421" s="16"/>
      <c r="GA421" s="16">
        <f>IFERROR(__xludf.DUMMYFUNCTION("""COMPUTED_VALUE"""),-7.0)</f>
        <v>-7</v>
      </c>
      <c r="GB421" s="16">
        <f>IFERROR(__xludf.DUMMYFUNCTION("""COMPUTED_VALUE"""),-9.0)</f>
        <v>-9</v>
      </c>
      <c r="GC421" s="16">
        <f>IFERROR(__xludf.DUMMYFUNCTION("""COMPUTED_VALUE"""),-9.0)</f>
        <v>-9</v>
      </c>
      <c r="GD421" s="16" t="s">
        <v>176</v>
      </c>
    </row>
    <row r="422">
      <c r="A422" s="16">
        <f>IFERROR(__xludf.DUMMYFUNCTION("""COMPUTED_VALUE"""),13255.0)</f>
        <v>13255</v>
      </c>
      <c r="B422" s="16" t="str">
        <f>IFERROR(__xludf.DUMMYFUNCTION("""COMPUTED_VALUE"""),"Noelvi Marte")</f>
        <v>Noelvi Marte</v>
      </c>
      <c r="C422" s="16">
        <f>IFERROR(__xludf.DUMMYFUNCTION("""COMPUTED_VALUE"""),0.0)</f>
        <v>0</v>
      </c>
      <c r="D422" s="16" t="str">
        <f>IFERROR(__xludf.DUMMYFUNCTION("""COMPUTED_VALUE"""),"R")</f>
        <v>R</v>
      </c>
      <c r="E422" s="16"/>
      <c r="F422" s="16"/>
      <c r="G422" s="16">
        <f>IFERROR(__xludf.DUMMYFUNCTION("""COMPUTED_VALUE"""),229.0)</f>
        <v>229</v>
      </c>
      <c r="H422" s="16">
        <f>IFERROR(__xludf.DUMMYFUNCTION("""COMPUTED_VALUE"""),9.0)</f>
        <v>9</v>
      </c>
      <c r="I422" s="16" t="str">
        <f>IFERROR(__xludf.DUMMYFUNCTION("""COMPUTED_VALUE"""),"1p30")</f>
        <v>1p30</v>
      </c>
      <c r="J422" s="16">
        <f>IFERROR(__xludf.DUMMYFUNCTION("""COMPUTED_VALUE"""),58.0)</f>
        <v>58</v>
      </c>
      <c r="K422" s="16">
        <f>IFERROR(__xludf.DUMMYFUNCTION("""COMPUTED_VALUE"""),38.0)</f>
        <v>38</v>
      </c>
      <c r="L422" s="16">
        <f>IFERROR(__xludf.DUMMYFUNCTION("""COMPUTED_VALUE"""),-2.0)</f>
        <v>-2</v>
      </c>
      <c r="M422" s="16">
        <f>IFERROR(__xludf.DUMMYFUNCTION("""COMPUTED_VALUE"""),-1.0)</f>
        <v>-1</v>
      </c>
      <c r="N422" s="16">
        <f>IFERROR(__xludf.DUMMYFUNCTION("""COMPUTED_VALUE"""),-2.0)</f>
        <v>-2</v>
      </c>
      <c r="O422" s="16">
        <f>IFERROR(__xludf.DUMMYFUNCTION("""COMPUTED_VALUE"""),-1.0)</f>
        <v>-1</v>
      </c>
      <c r="P422" s="16">
        <f>IFERROR(__xludf.DUMMYFUNCTION("""COMPUTED_VALUE"""),0.0)</f>
        <v>0</v>
      </c>
      <c r="Q422" s="16">
        <f>IFERROR(__xludf.DUMMYFUNCTION("""COMPUTED_VALUE"""),0.0)</f>
        <v>0</v>
      </c>
      <c r="R422" s="16">
        <f>IFERROR(__xludf.DUMMYFUNCTION("""COMPUTED_VALUE"""),-3.0)</f>
        <v>-3</v>
      </c>
      <c r="S422" s="16">
        <f>IFERROR(__xludf.DUMMYFUNCTION("""COMPUTED_VALUE"""),-2.0)</f>
        <v>-2</v>
      </c>
      <c r="T422" s="16">
        <f>IFERROR(__xludf.DUMMYFUNCTION("""COMPUTED_VALUE"""),-3.0)</f>
        <v>-3</v>
      </c>
      <c r="U422" s="16">
        <f>IFERROR(__xludf.DUMMYFUNCTION("""COMPUTED_VALUE"""),-2.0)</f>
        <v>-2</v>
      </c>
      <c r="V422" s="16">
        <f>IFERROR(__xludf.DUMMYFUNCTION("""COMPUTED_VALUE"""),16.2)</f>
        <v>16.2</v>
      </c>
      <c r="W422" s="16">
        <f>IFERROR(__xludf.DUMMYFUNCTION("""COMPUTED_VALUE"""),16.7)</f>
        <v>16.7</v>
      </c>
      <c r="X422" s="16">
        <f>IFERROR(__xludf.DUMMYFUNCTION("""COMPUTED_VALUE"""),0.0)</f>
        <v>0</v>
      </c>
      <c r="Y422" s="16">
        <f>IFERROR(__xludf.DUMMYFUNCTION("""COMPUTED_VALUE"""),-1.0)</f>
        <v>-1</v>
      </c>
      <c r="Z422" s="16">
        <f>IFERROR(__xludf.DUMMYFUNCTION("""COMPUTED_VALUE"""),0.0)</f>
        <v>0</v>
      </c>
      <c r="AA422" s="16">
        <f>IFERROR(__xludf.DUMMYFUNCTION("""COMPUTED_VALUE"""),-2.0)</f>
        <v>-2</v>
      </c>
      <c r="AB422" s="16">
        <f>IFERROR(__xludf.DUMMYFUNCTION("""COMPUTED_VALUE"""),19.2)</f>
        <v>19.2</v>
      </c>
      <c r="AC422" s="16">
        <f>IFERROR(__xludf.DUMMYFUNCTION("""COMPUTED_VALUE"""),19.7)</f>
        <v>19.7</v>
      </c>
      <c r="AD422" s="16">
        <f>IFERROR(__xludf.DUMMYFUNCTION("""COMPUTED_VALUE"""),-1.0)</f>
        <v>-1</v>
      </c>
      <c r="AE422" s="16">
        <f>IFERROR(__xludf.DUMMYFUNCTION("""COMPUTED_VALUE"""),-2.0)</f>
        <v>-2</v>
      </c>
      <c r="AF422" s="16">
        <f>IFERROR(__xludf.DUMMYFUNCTION("""COMPUTED_VALUE"""),-5.0)</f>
        <v>-5</v>
      </c>
      <c r="AG422" s="16">
        <f>IFERROR(__xludf.DUMMYFUNCTION("""COMPUTED_VALUE"""),-10.0)</f>
        <v>-10</v>
      </c>
      <c r="AH422" s="16">
        <f>IFERROR(__xludf.DUMMYFUNCTION("""COMPUTED_VALUE"""),24.6)</f>
        <v>24.6</v>
      </c>
      <c r="AI422" s="16">
        <f>IFERROR(__xludf.DUMMYFUNCTION("""COMPUTED_VALUE"""),19.9)</f>
        <v>19.9</v>
      </c>
      <c r="AJ422" s="16">
        <f>IFERROR(__xludf.DUMMYFUNCTION("""COMPUTED_VALUE"""),-1.0)</f>
        <v>-1</v>
      </c>
      <c r="AK422" s="16">
        <f>IFERROR(__xludf.DUMMYFUNCTION("""COMPUTED_VALUE"""),-2.0)</f>
        <v>-2</v>
      </c>
      <c r="AL422" s="16">
        <f>IFERROR(__xludf.DUMMYFUNCTION("""COMPUTED_VALUE"""),-5.0)</f>
        <v>-5</v>
      </c>
      <c r="AM422" s="16">
        <f>IFERROR(__xludf.DUMMYFUNCTION("""COMPUTED_VALUE"""),-10.0)</f>
        <v>-10</v>
      </c>
      <c r="AN422" s="16">
        <f>IFERROR(__xludf.DUMMYFUNCTION("""COMPUTED_VALUE"""),1.4)</f>
        <v>1.4</v>
      </c>
      <c r="AO422" s="16">
        <f>IFERROR(__xludf.DUMMYFUNCTION("""COMPUTED_VALUE"""),0.2)</f>
        <v>0.2</v>
      </c>
      <c r="AP422" s="16">
        <f>IFERROR(__xludf.DUMMYFUNCTION("""COMPUTED_VALUE"""),-1.0)</f>
        <v>-1</v>
      </c>
      <c r="AQ422" s="16">
        <f>IFERROR(__xludf.DUMMYFUNCTION("""COMPUTED_VALUE"""),-2.0)</f>
        <v>-2</v>
      </c>
      <c r="AR422" s="16">
        <f>IFERROR(__xludf.DUMMYFUNCTION("""COMPUTED_VALUE"""),-2.0)</f>
        <v>-2</v>
      </c>
      <c r="AS422" s="16">
        <f>IFERROR(__xludf.DUMMYFUNCTION("""COMPUTED_VALUE"""),-4.0)</f>
        <v>-4</v>
      </c>
      <c r="AT422" s="16">
        <f>IFERROR(__xludf.DUMMYFUNCTION("""COMPUTED_VALUE"""),0.0)</f>
        <v>0</v>
      </c>
      <c r="AU422" s="16">
        <f>IFERROR(__xludf.DUMMYFUNCTION("""COMPUTED_VALUE"""),0.0)</f>
        <v>0</v>
      </c>
      <c r="AV422" s="16">
        <f>IFERROR(__xludf.DUMMYFUNCTION("""COMPUTED_VALUE"""),0.0)</f>
        <v>0</v>
      </c>
      <c r="AW422" s="16">
        <f>IFERROR(__xludf.DUMMYFUNCTION("""COMPUTED_VALUE"""),0.0)</f>
        <v>0</v>
      </c>
      <c r="AX422" s="16">
        <f>IFERROR(__xludf.DUMMYFUNCTION("""COMPUTED_VALUE"""),-2.0)</f>
        <v>-2</v>
      </c>
      <c r="AY422" s="16">
        <f>IFERROR(__xludf.DUMMYFUNCTION("""COMPUTED_VALUE"""),-2.0)</f>
        <v>-2</v>
      </c>
      <c r="AZ422" s="16">
        <f>IFERROR(__xludf.DUMMYFUNCTION("""COMPUTED_VALUE"""),-6.0)</f>
        <v>-6</v>
      </c>
      <c r="BA422" s="16">
        <f>IFERROR(__xludf.DUMMYFUNCTION("""COMPUTED_VALUE"""),-6.0)</f>
        <v>-6</v>
      </c>
      <c r="BB422" s="16">
        <f>IFERROR(__xludf.DUMMYFUNCTION("""COMPUTED_VALUE"""),5.0)</f>
        <v>5</v>
      </c>
      <c r="BC422" s="16">
        <f>IFERROR(__xludf.DUMMYFUNCTION("""COMPUTED_VALUE"""),5.0)</f>
        <v>5</v>
      </c>
      <c r="BD422" s="16">
        <f>IFERROR(__xludf.DUMMYFUNCTION("""COMPUTED_VALUE"""),1.0)</f>
        <v>1</v>
      </c>
      <c r="BE422" s="16">
        <f>IFERROR(__xludf.DUMMYFUNCTION("""COMPUTED_VALUE"""),1.0)</f>
        <v>1</v>
      </c>
      <c r="BF422" s="16">
        <f>IFERROR(__xludf.DUMMYFUNCTION("""COMPUTED_VALUE"""),1.0)</f>
        <v>1</v>
      </c>
      <c r="BG422" s="16">
        <f>IFERROR(__xludf.DUMMYFUNCTION("""COMPUTED_VALUE"""),1.0)</f>
        <v>1</v>
      </c>
      <c r="BH422" s="16">
        <f>IFERROR(__xludf.DUMMYFUNCTION("""COMPUTED_VALUE"""),-8.0)</f>
        <v>-8</v>
      </c>
      <c r="BI422" s="16">
        <f>IFERROR(__xludf.DUMMYFUNCTION("""COMPUTED_VALUE"""),-10.0)</f>
        <v>-10</v>
      </c>
      <c r="BJ422" s="16">
        <f>IFERROR(__xludf.DUMMYFUNCTION("""COMPUTED_VALUE"""),0.0)</f>
        <v>0</v>
      </c>
      <c r="BK422" s="16">
        <f>IFERROR(__xludf.DUMMYFUNCTION("""COMPUTED_VALUE"""),0.0)</f>
        <v>0</v>
      </c>
      <c r="BL422" s="16">
        <f>IFERROR(__xludf.DUMMYFUNCTION("""COMPUTED_VALUE"""),3.0)</f>
        <v>3</v>
      </c>
      <c r="BM422" s="16">
        <f>IFERROR(__xludf.DUMMYFUNCTION("""COMPUTED_VALUE"""),3.0)</f>
        <v>3</v>
      </c>
      <c r="BN422" s="16">
        <f>IFERROR(__xludf.DUMMYFUNCTION("""COMPUTED_VALUE"""),3.0)</f>
        <v>3</v>
      </c>
      <c r="BO422" s="16">
        <f>IFERROR(__xludf.DUMMYFUNCTION("""COMPUTED_VALUE"""),3.0)</f>
        <v>3</v>
      </c>
      <c r="BP422" s="16">
        <f>IFERROR(__xludf.DUMMYFUNCTION("""COMPUTED_VALUE"""),-6.0)</f>
        <v>-6</v>
      </c>
      <c r="BQ422" s="16">
        <f>IFERROR(__xludf.DUMMYFUNCTION("""COMPUTED_VALUE"""),-8.0)</f>
        <v>-8</v>
      </c>
      <c r="BR422" s="16">
        <f>IFERROR(__xludf.DUMMYFUNCTION("""COMPUTED_VALUE"""),-14.0)</f>
        <v>-14</v>
      </c>
      <c r="BS422" s="16" t="str">
        <f>IFERROR(__xludf.DUMMYFUNCTION("""COMPUTED_VALUE"""),"*3-6/- (18-13)")</f>
        <v>*3-6/- (18-13)</v>
      </c>
      <c r="BT422" s="16" t="str">
        <f>IFERROR(__xludf.DUMMYFUNCTION("""COMPUTED_VALUE"""),"B")</f>
        <v>B</v>
      </c>
      <c r="BU422" s="16">
        <f>IFERROR(__xludf.DUMMYFUNCTION("""COMPUTED_VALUE"""),14.0)</f>
        <v>14</v>
      </c>
      <c r="BV422" s="16">
        <f>IFERROR(__xludf.DUMMYFUNCTION("""COMPUTED_VALUE"""),1.0)</f>
        <v>1</v>
      </c>
      <c r="BW422" s="16">
        <f>IFERROR(__xludf.DUMMYFUNCTION("""COMPUTED_VALUE"""),1.0)</f>
        <v>1</v>
      </c>
      <c r="BX422" s="16">
        <f>IFERROR(__xludf.DUMMYFUNCTION("""COMPUTED_VALUE"""),2.0)</f>
        <v>2</v>
      </c>
      <c r="BY422" s="16">
        <f>IFERROR(__xludf.DUMMYFUNCTION("""COMPUTED_VALUE"""),3.0)</f>
        <v>3</v>
      </c>
      <c r="BZ422" s="16" t="str">
        <f>IFERROR(__xludf.DUMMYFUNCTION("""COMPUTED_VALUE"""),"D")</f>
        <v>D</v>
      </c>
      <c r="CA422" s="16" t="str">
        <f>IFERROR(__xludf.DUMMYFUNCTION("""COMPUTED_VALUE"""),"C")</f>
        <v>C</v>
      </c>
      <c r="CB422" s="16">
        <f>IFERROR(__xludf.DUMMYFUNCTION("""COMPUTED_VALUE"""),0.0)</f>
        <v>0</v>
      </c>
      <c r="CC422" s="16">
        <f>IFERROR(__xludf.DUMMYFUNCTION("""COMPUTED_VALUE"""),0.0)</f>
        <v>0</v>
      </c>
      <c r="CD422" s="16">
        <f>IFERROR(__xludf.DUMMYFUNCTION("""COMPUTED_VALUE"""),0.0)</f>
        <v>0</v>
      </c>
      <c r="CE422" s="16">
        <f>IFERROR(__xludf.DUMMYFUNCTION("""COMPUTED_VALUE"""),0.0)</f>
        <v>0</v>
      </c>
      <c r="CF422" s="16">
        <f>IFERROR(__xludf.DUMMYFUNCTION("""COMPUTED_VALUE"""),1.0)</f>
        <v>1</v>
      </c>
      <c r="CG422" s="16">
        <f>IFERROR(__xludf.DUMMYFUNCTION("""COMPUTED_VALUE"""),-19.0)</f>
        <v>-19</v>
      </c>
      <c r="CH422" s="16">
        <f>IFERROR(__xludf.DUMMYFUNCTION("""COMPUTED_VALUE"""),-31.0)</f>
        <v>-31</v>
      </c>
      <c r="CI422" s="179">
        <f>IFERROR(__xludf.DUMMYFUNCTION("""COMPUTED_VALUE"""),-25.0)</f>
        <v>-25</v>
      </c>
      <c r="CJ422" s="16"/>
      <c r="CK422" s="16"/>
      <c r="CL422" s="16">
        <f>IFERROR(__xludf.DUMMYFUNCTION("""COMPUTED_VALUE"""),441.0)</f>
        <v>441</v>
      </c>
      <c r="CM422" s="16">
        <f>IFERROR(__xludf.DUMMYFUNCTION("""COMPUTED_VALUE"""),337.0)</f>
        <v>337</v>
      </c>
      <c r="CN422" s="16"/>
      <c r="CO422" s="16"/>
      <c r="CP422" s="16"/>
      <c r="CQ422" s="16"/>
      <c r="CR422" s="16" t="str">
        <f>IFERROR(__xludf.DUMMYFUNCTION("""COMPUTED_VALUE"""),"3b-3e37 2b-4e41")</f>
        <v>3b-3e37 2b-4e41</v>
      </c>
      <c r="CS422" s="16"/>
      <c r="CT422" s="16"/>
      <c r="CU422" s="16">
        <f>IFERROR(__xludf.DUMMYFUNCTION("""COMPUTED_VALUE"""),4.0)</f>
        <v>4</v>
      </c>
      <c r="CV422" s="16">
        <f>IFERROR(__xludf.DUMMYFUNCTION("""COMPUTED_VALUE"""),3.0)</f>
        <v>3</v>
      </c>
      <c r="CW422" s="16"/>
      <c r="CX422" s="16"/>
      <c r="CY422" s="16"/>
      <c r="CZ422" s="16"/>
      <c r="DA422" s="16"/>
      <c r="DB422" s="16"/>
      <c r="DC422" s="16">
        <f>IFERROR(__xludf.DUMMYFUNCTION("""COMPUTED_VALUE"""),41.0)</f>
        <v>41</v>
      </c>
      <c r="DD422" s="16">
        <f>IFERROR(__xludf.DUMMYFUNCTION("""COMPUTED_VALUE"""),37.0)</f>
        <v>37</v>
      </c>
      <c r="DE422" s="16"/>
      <c r="DF422" s="16"/>
      <c r="DG422" s="16"/>
      <c r="DH422" s="16"/>
      <c r="DI422" s="16"/>
      <c r="DJ422" s="16"/>
      <c r="DK422" s="16">
        <f>IFERROR(__xludf.DUMMYFUNCTION("""COMPUTED_VALUE"""),-2.0)</f>
        <v>-2</v>
      </c>
      <c r="DL422" s="16">
        <f>IFERROR(__xludf.DUMMYFUNCTION("""COMPUTED_VALUE"""),1.0)</f>
        <v>1</v>
      </c>
      <c r="DM422" s="16"/>
      <c r="DN422" s="16"/>
      <c r="DO422" s="16"/>
      <c r="DP422" s="16"/>
      <c r="DQ422" s="16"/>
      <c r="DR422" s="16"/>
      <c r="DS422" s="16">
        <f>IFERROR(__xludf.DUMMYFUNCTION("""COMPUTED_VALUE"""),-2.0)</f>
        <v>-2</v>
      </c>
      <c r="DT422" s="16">
        <f>IFERROR(__xludf.DUMMYFUNCTION("""COMPUTED_VALUE"""),-2.0)</f>
        <v>-2</v>
      </c>
      <c r="DU422" s="16"/>
      <c r="DV422" s="16"/>
      <c r="DW422" s="16"/>
      <c r="DX422" s="16"/>
      <c r="DY422" s="16"/>
      <c r="DZ422" s="16"/>
      <c r="EA422" s="16">
        <f>IFERROR(__xludf.DUMMYFUNCTION("""COMPUTED_VALUE"""),-4.0)</f>
        <v>-4</v>
      </c>
      <c r="EB422" s="16">
        <f>IFERROR(__xludf.DUMMYFUNCTION("""COMPUTED_VALUE"""),-1.0)</f>
        <v>-1</v>
      </c>
      <c r="EC422" s="16"/>
      <c r="ED422" s="16"/>
      <c r="EE422" s="16"/>
      <c r="EF422" s="16"/>
      <c r="EG422" s="179"/>
      <c r="EH422" s="179"/>
      <c r="EI422" s="179">
        <f>IFERROR(__xludf.DUMMYFUNCTION("""COMPUTED_VALUE"""),-29.0)</f>
        <v>-29</v>
      </c>
      <c r="EJ422" s="179">
        <f>IFERROR(__xludf.DUMMYFUNCTION("""COMPUTED_VALUE"""),-26.0)</f>
        <v>-26</v>
      </c>
      <c r="EK422" s="179"/>
      <c r="EL422" s="179"/>
      <c r="EM422" s="179"/>
      <c r="EN422" s="179"/>
      <c r="EO422" s="16"/>
      <c r="EP422" s="16"/>
      <c r="EQ422" s="16">
        <f>IFERROR(__xludf.DUMMYFUNCTION("""COMPUTED_VALUE"""),4.0)</f>
        <v>4</v>
      </c>
      <c r="ER422" s="16">
        <f>IFERROR(__xludf.DUMMYFUNCTION("""COMPUTED_VALUE"""),-2.0)</f>
        <v>-2</v>
      </c>
      <c r="ES422" s="16"/>
      <c r="ET422" s="16"/>
      <c r="EU422" s="16"/>
      <c r="EV422" s="16"/>
      <c r="EW422" s="16"/>
      <c r="EX422" s="180"/>
      <c r="EY422" s="180"/>
      <c r="EZ422" s="180">
        <f>IFERROR(__xludf.DUMMYFUNCTION("""COMPUTED_VALUE"""),0.3)</f>
        <v>0.3</v>
      </c>
      <c r="FA422" s="180">
        <f>IFERROR(__xludf.DUMMYFUNCTION("""COMPUTED_VALUE"""),0.2)</f>
        <v>0.2</v>
      </c>
      <c r="FB422" s="180"/>
      <c r="FC422" s="180"/>
      <c r="FD422" s="180"/>
      <c r="FE422" s="180"/>
      <c r="FF422" s="180"/>
      <c r="FG422" s="180"/>
      <c r="FH422" s="180">
        <f>IFERROR(__xludf.DUMMYFUNCTION("""COMPUTED_VALUE"""),0.24537037037037038)</f>
        <v>0.2453703704</v>
      </c>
      <c r="FI422" s="180">
        <f>IFERROR(__xludf.DUMMYFUNCTION("""COMPUTED_VALUE"""),0.4444444444444444)</f>
        <v>0.4444444444</v>
      </c>
      <c r="FJ422" s="180"/>
      <c r="FK422" s="180"/>
      <c r="FL422" s="180"/>
      <c r="FM422" s="180"/>
      <c r="FN422" s="16"/>
      <c r="FO422" s="16"/>
      <c r="FP422" s="16">
        <f>IFERROR(__xludf.DUMMYFUNCTION("""COMPUTED_VALUE"""),0.5282407407407407)</f>
        <v>0.5282407407</v>
      </c>
      <c r="FQ422" s="16">
        <f>IFERROR(__xludf.DUMMYFUNCTION("""COMPUTED_VALUE"""),0.4444444444444445)</f>
        <v>0.4444444444</v>
      </c>
      <c r="FR422" s="16"/>
      <c r="FS422" s="16"/>
      <c r="FT422" s="16"/>
      <c r="FU422" s="16"/>
      <c r="FV422" s="16"/>
      <c r="FW422" s="16"/>
      <c r="FX422" s="16">
        <f>IFERROR(__xludf.DUMMYFUNCTION("""COMPUTED_VALUE"""),-8.0)</f>
        <v>-8</v>
      </c>
      <c r="FY422" s="16">
        <f>IFERROR(__xludf.DUMMYFUNCTION("""COMPUTED_VALUE"""),-8.0)</f>
        <v>-8</v>
      </c>
      <c r="FZ422" s="16"/>
      <c r="GA422" s="16"/>
      <c r="GB422" s="16"/>
      <c r="GC422" s="16"/>
      <c r="GD422" s="16" t="s">
        <v>176</v>
      </c>
    </row>
    <row r="423">
      <c r="A423" s="16">
        <f>IFERROR(__xludf.DUMMYFUNCTION("""COMPUTED_VALUE"""),13085.0)</f>
        <v>13085</v>
      </c>
      <c r="B423" s="16" t="str">
        <f>IFERROR(__xludf.DUMMYFUNCTION("""COMPUTED_VALUE"""),"Kris Bryant")</f>
        <v>Kris Bryant</v>
      </c>
      <c r="C423" s="16">
        <f>IFERROR(__xludf.DUMMYFUNCTION("""COMPUTED_VALUE"""),0.0)</f>
        <v>0</v>
      </c>
      <c r="D423" s="16" t="str">
        <f>IFERROR(__xludf.DUMMYFUNCTION("""COMPUTED_VALUE"""),"R")</f>
        <v>R</v>
      </c>
      <c r="E423" s="16"/>
      <c r="F423" s="16"/>
      <c r="G423" s="16">
        <f>IFERROR(__xludf.DUMMYFUNCTION("""COMPUTED_VALUE"""),133.0)</f>
        <v>133</v>
      </c>
      <c r="H423" s="16">
        <f>IFERROR(__xludf.DUMMYFUNCTION("""COMPUTED_VALUE"""),13.0)</f>
        <v>13</v>
      </c>
      <c r="I423" s="16" t="str">
        <f>IFERROR(__xludf.DUMMYFUNCTION("""COMPUTED_VALUE"""),"5p20")</f>
        <v>5p20</v>
      </c>
      <c r="J423" s="16">
        <f>IFERROR(__xludf.DUMMYFUNCTION("""COMPUTED_VALUE"""),48.0)</f>
        <v>48</v>
      </c>
      <c r="K423" s="16">
        <f>IFERROR(__xludf.DUMMYFUNCTION("""COMPUTED_VALUE"""),37.0)</f>
        <v>37</v>
      </c>
      <c r="L423" s="16">
        <f>IFERROR(__xludf.DUMMYFUNCTION("""COMPUTED_VALUE"""),-2.0)</f>
        <v>-2</v>
      </c>
      <c r="M423" s="16">
        <f>IFERROR(__xludf.DUMMYFUNCTION("""COMPUTED_VALUE"""),-1.0)</f>
        <v>-1</v>
      </c>
      <c r="N423" s="16">
        <f>IFERROR(__xludf.DUMMYFUNCTION("""COMPUTED_VALUE"""),-2.0)</f>
        <v>-2</v>
      </c>
      <c r="O423" s="16">
        <f>IFERROR(__xludf.DUMMYFUNCTION("""COMPUTED_VALUE"""),-1.0)</f>
        <v>-1</v>
      </c>
      <c r="P423" s="16">
        <f>IFERROR(__xludf.DUMMYFUNCTION("""COMPUTED_VALUE"""),0.0)</f>
        <v>0</v>
      </c>
      <c r="Q423" s="16">
        <f>IFERROR(__xludf.DUMMYFUNCTION("""COMPUTED_VALUE"""),15.0)</f>
        <v>15</v>
      </c>
      <c r="R423" s="16">
        <f>IFERROR(__xludf.DUMMYFUNCTION("""COMPUTED_VALUE"""),-3.0)</f>
        <v>-3</v>
      </c>
      <c r="S423" s="16">
        <f>IFERROR(__xludf.DUMMYFUNCTION("""COMPUTED_VALUE"""),2.0)</f>
        <v>2</v>
      </c>
      <c r="T423" s="16">
        <f>IFERROR(__xludf.DUMMYFUNCTION("""COMPUTED_VALUE"""),-3.0)</f>
        <v>-3</v>
      </c>
      <c r="U423" s="16">
        <f>IFERROR(__xludf.DUMMYFUNCTION("""COMPUTED_VALUE"""),2.0)</f>
        <v>2</v>
      </c>
      <c r="V423" s="16">
        <f>IFERROR(__xludf.DUMMYFUNCTION("""COMPUTED_VALUE"""),6.3)</f>
        <v>6.3</v>
      </c>
      <c r="W423" s="16">
        <f>IFERROR(__xludf.DUMMYFUNCTION("""COMPUTED_VALUE"""),14.8)</f>
        <v>14.8</v>
      </c>
      <c r="X423" s="16">
        <f>IFERROR(__xludf.DUMMYFUNCTION("""COMPUTED_VALUE"""),-2.0)</f>
        <v>-2</v>
      </c>
      <c r="Y423" s="16">
        <f>IFERROR(__xludf.DUMMYFUNCTION("""COMPUTED_VALUE"""),-1.0)</f>
        <v>-1</v>
      </c>
      <c r="Z423" s="16">
        <f>IFERROR(__xludf.DUMMYFUNCTION("""COMPUTED_VALUE"""),-4.0)</f>
        <v>-4</v>
      </c>
      <c r="AA423" s="16">
        <f>IFERROR(__xludf.DUMMYFUNCTION("""COMPUTED_VALUE"""),-2.0)</f>
        <v>-2</v>
      </c>
      <c r="AB423" s="16">
        <f>IFERROR(__xludf.DUMMYFUNCTION("""COMPUTED_VALUE"""),18.3)</f>
        <v>18.3</v>
      </c>
      <c r="AC423" s="16">
        <f>IFERROR(__xludf.DUMMYFUNCTION("""COMPUTED_VALUE"""),41.8)</f>
        <v>41.8</v>
      </c>
      <c r="AD423" s="16">
        <f>IFERROR(__xludf.DUMMYFUNCTION("""COMPUTED_VALUE"""),-2.0)</f>
        <v>-2</v>
      </c>
      <c r="AE423" s="16">
        <f>IFERROR(__xludf.DUMMYFUNCTION("""COMPUTED_VALUE"""),2.0)</f>
        <v>2</v>
      </c>
      <c r="AF423" s="16">
        <f>IFERROR(__xludf.DUMMYFUNCTION("""COMPUTED_VALUE"""),-10.0)</f>
        <v>-10</v>
      </c>
      <c r="AG423" s="16">
        <f>IFERROR(__xludf.DUMMYFUNCTION("""COMPUTED_VALUE"""),10.0)</f>
        <v>10</v>
      </c>
      <c r="AH423" s="16">
        <f>IFERROR(__xludf.DUMMYFUNCTION("""COMPUTED_VALUE"""),8.8)</f>
        <v>8.8</v>
      </c>
      <c r="AI423" s="16">
        <f>IFERROR(__xludf.DUMMYFUNCTION("""COMPUTED_VALUE"""),23.5)</f>
        <v>23.5</v>
      </c>
      <c r="AJ423" s="16">
        <f>IFERROR(__xludf.DUMMYFUNCTION("""COMPUTED_VALUE"""),-2.0)</f>
        <v>-2</v>
      </c>
      <c r="AK423" s="16">
        <f>IFERROR(__xludf.DUMMYFUNCTION("""COMPUTED_VALUE"""),-1.0)</f>
        <v>-1</v>
      </c>
      <c r="AL423" s="16">
        <f>IFERROR(__xludf.DUMMYFUNCTION("""COMPUTED_VALUE"""),-10.0)</f>
        <v>-10</v>
      </c>
      <c r="AM423" s="16">
        <f>IFERROR(__xludf.DUMMYFUNCTION("""COMPUTED_VALUE"""),-5.0)</f>
        <v>-5</v>
      </c>
      <c r="AN423" s="16">
        <f>IFERROR(__xludf.DUMMYFUNCTION("""COMPUTED_VALUE"""),0.9)</f>
        <v>0.9</v>
      </c>
      <c r="AO423" s="16">
        <f>IFERROR(__xludf.DUMMYFUNCTION("""COMPUTED_VALUE"""),2.0)</f>
        <v>2</v>
      </c>
      <c r="AP423" s="16">
        <f>IFERROR(__xludf.DUMMYFUNCTION("""COMPUTED_VALUE"""),-2.0)</f>
        <v>-2</v>
      </c>
      <c r="AQ423" s="16">
        <f>IFERROR(__xludf.DUMMYFUNCTION("""COMPUTED_VALUE"""),-1.0)</f>
        <v>-1</v>
      </c>
      <c r="AR423" s="16">
        <f>IFERROR(__xludf.DUMMYFUNCTION("""COMPUTED_VALUE"""),-4.0)</f>
        <v>-4</v>
      </c>
      <c r="AS423" s="16">
        <f>IFERROR(__xludf.DUMMYFUNCTION("""COMPUTED_VALUE"""),-2.0)</f>
        <v>-2</v>
      </c>
      <c r="AT423" s="16">
        <f>IFERROR(__xludf.DUMMYFUNCTION("""COMPUTED_VALUE"""),0.0)</f>
        <v>0</v>
      </c>
      <c r="AU423" s="16"/>
      <c r="AV423" s="16">
        <f>IFERROR(__xludf.DUMMYFUNCTION("""COMPUTED_VALUE"""),0.0)</f>
        <v>0</v>
      </c>
      <c r="AW423" s="16">
        <f>IFERROR(__xludf.DUMMYFUNCTION("""COMPUTED_VALUE"""),-3.0)</f>
        <v>-3</v>
      </c>
      <c r="AX423" s="16">
        <f>IFERROR(__xludf.DUMMYFUNCTION("""COMPUTED_VALUE"""),-2.0)</f>
        <v>-2</v>
      </c>
      <c r="AY423" s="16">
        <f>IFERROR(__xludf.DUMMYFUNCTION("""COMPUTED_VALUE"""),-3.0)</f>
        <v>-3</v>
      </c>
      <c r="AZ423" s="16">
        <f>IFERROR(__xludf.DUMMYFUNCTION("""COMPUTED_VALUE"""),-6.0)</f>
        <v>-6</v>
      </c>
      <c r="BA423" s="16">
        <f>IFERROR(__xludf.DUMMYFUNCTION("""COMPUTED_VALUE"""),-9.0)</f>
        <v>-9</v>
      </c>
      <c r="BB423" s="16">
        <f>IFERROR(__xludf.DUMMYFUNCTION("""COMPUTED_VALUE"""),5.0)</f>
        <v>5</v>
      </c>
      <c r="BC423" s="16">
        <f>IFERROR(__xludf.DUMMYFUNCTION("""COMPUTED_VALUE"""),5.0)</f>
        <v>5</v>
      </c>
      <c r="BD423" s="16">
        <f>IFERROR(__xludf.DUMMYFUNCTION("""COMPUTED_VALUE"""),1.0)</f>
        <v>1</v>
      </c>
      <c r="BE423" s="16">
        <f>IFERROR(__xludf.DUMMYFUNCTION("""COMPUTED_VALUE"""),1.0)</f>
        <v>1</v>
      </c>
      <c r="BF423" s="16">
        <f>IFERROR(__xludf.DUMMYFUNCTION("""COMPUTED_VALUE"""),1.0)</f>
        <v>1</v>
      </c>
      <c r="BG423" s="16">
        <f>IFERROR(__xludf.DUMMYFUNCTION("""COMPUTED_VALUE"""),1.0)</f>
        <v>1</v>
      </c>
      <c r="BH423" s="16">
        <f>IFERROR(__xludf.DUMMYFUNCTION("""COMPUTED_VALUE"""),-2.0)</f>
        <v>-2</v>
      </c>
      <c r="BI423" s="16">
        <f>IFERROR(__xludf.DUMMYFUNCTION("""COMPUTED_VALUE"""),-2.0)</f>
        <v>-2</v>
      </c>
      <c r="BJ423" s="16">
        <f>IFERROR(__xludf.DUMMYFUNCTION("""COMPUTED_VALUE"""),28.0)</f>
        <v>28</v>
      </c>
      <c r="BK423" s="16">
        <f>IFERROR(__xludf.DUMMYFUNCTION("""COMPUTED_VALUE"""),22.0)</f>
        <v>22</v>
      </c>
      <c r="BL423" s="16">
        <f>IFERROR(__xludf.DUMMYFUNCTION("""COMPUTED_VALUE"""),-3.0)</f>
        <v>-3</v>
      </c>
      <c r="BM423" s="16">
        <f>IFERROR(__xludf.DUMMYFUNCTION("""COMPUTED_VALUE"""),-2.0)</f>
        <v>-2</v>
      </c>
      <c r="BN423" s="16">
        <f>IFERROR(__xludf.DUMMYFUNCTION("""COMPUTED_VALUE"""),-6.0)</f>
        <v>-6</v>
      </c>
      <c r="BO423" s="16">
        <f>IFERROR(__xludf.DUMMYFUNCTION("""COMPUTED_VALUE"""),-4.0)</f>
        <v>-4</v>
      </c>
      <c r="BP423" s="16">
        <f>IFERROR(__xludf.DUMMYFUNCTION("""COMPUTED_VALUE"""),-17.0)</f>
        <v>-17</v>
      </c>
      <c r="BQ423" s="16">
        <f>IFERROR(__xludf.DUMMYFUNCTION("""COMPUTED_VALUE"""),-4.0)</f>
        <v>-4</v>
      </c>
      <c r="BR423" s="16">
        <f>IFERROR(__xludf.DUMMYFUNCTION("""COMPUTED_VALUE"""),-21.0)</f>
        <v>-21</v>
      </c>
      <c r="BS423" s="16" t="str">
        <f>IFERROR(__xludf.DUMMYFUNCTION("""COMPUTED_VALUE"""),"-/- (---)")</f>
        <v>-/- (---)</v>
      </c>
      <c r="BT423" s="16" t="str">
        <f>IFERROR(__xludf.DUMMYFUNCTION("""COMPUTED_VALUE"""),"E")</f>
        <v>E</v>
      </c>
      <c r="BU423" s="16">
        <f>IFERROR(__xludf.DUMMYFUNCTION("""COMPUTED_VALUE"""),11.0)</f>
        <v>11</v>
      </c>
      <c r="BV423" s="16">
        <f>IFERROR(__xludf.DUMMYFUNCTION("""COMPUTED_VALUE"""),0.0)</f>
        <v>0</v>
      </c>
      <c r="BW423" s="16">
        <f>IFERROR(__xludf.DUMMYFUNCTION("""COMPUTED_VALUE"""),0.0)</f>
        <v>0</v>
      </c>
      <c r="BX423" s="16">
        <f>IFERROR(__xludf.DUMMYFUNCTION("""COMPUTED_VALUE"""),0.0)</f>
        <v>0</v>
      </c>
      <c r="BY423" s="16">
        <f>IFERROR(__xludf.DUMMYFUNCTION("""COMPUTED_VALUE"""),0.0)</f>
        <v>0</v>
      </c>
      <c r="BZ423" s="16" t="str">
        <f>IFERROR(__xludf.DUMMYFUNCTION("""COMPUTED_VALUE"""),"D")</f>
        <v>D</v>
      </c>
      <c r="CA423" s="16" t="str">
        <f>IFERROR(__xludf.DUMMYFUNCTION("""COMPUTED_VALUE"""),"D")</f>
        <v>D</v>
      </c>
      <c r="CB423" s="16">
        <f>IFERROR(__xludf.DUMMYFUNCTION("""COMPUTED_VALUE"""),0.0)</f>
        <v>0</v>
      </c>
      <c r="CC423" s="16">
        <f>IFERROR(__xludf.DUMMYFUNCTION("""COMPUTED_VALUE"""),0.0)</f>
        <v>0</v>
      </c>
      <c r="CD423" s="16">
        <f>IFERROR(__xludf.DUMMYFUNCTION("""COMPUTED_VALUE"""),0.0)</f>
        <v>0</v>
      </c>
      <c r="CE423" s="16">
        <f>IFERROR(__xludf.DUMMYFUNCTION("""COMPUTED_VALUE"""),0.0)</f>
        <v>0</v>
      </c>
      <c r="CF423" s="16">
        <f>IFERROR(__xludf.DUMMYFUNCTION("""COMPUTED_VALUE"""),5.0)</f>
        <v>5</v>
      </c>
      <c r="CG423" s="16">
        <f>IFERROR(__xludf.DUMMYFUNCTION("""COMPUTED_VALUE"""),-44.0)</f>
        <v>-44</v>
      </c>
      <c r="CH423" s="16">
        <f>IFERROR(__xludf.DUMMYFUNCTION("""COMPUTED_VALUE"""),-10.0)</f>
        <v>-10</v>
      </c>
      <c r="CI423" s="179">
        <f>IFERROR(__xludf.DUMMYFUNCTION("""COMPUTED_VALUE"""),-25.0)</f>
        <v>-25</v>
      </c>
      <c r="CJ423" s="16"/>
      <c r="CK423" s="16">
        <f>IFERROR(__xludf.DUMMYFUNCTION("""COMPUTED_VALUE"""),418.0)</f>
        <v>418</v>
      </c>
      <c r="CL423" s="16"/>
      <c r="CM423" s="16"/>
      <c r="CN423" s="16"/>
      <c r="CO423" s="16"/>
      <c r="CP423" s="16"/>
      <c r="CQ423" s="16">
        <f>IFERROR(__xludf.DUMMYFUNCTION("""COMPUTED_VALUE"""),409.0)</f>
        <v>409</v>
      </c>
      <c r="CR423" s="16" t="str">
        <f>IFERROR(__xludf.DUMMYFUNCTION("""COMPUTED_VALUE"""),"1b-4e18 rf-4(-1)e9")</f>
        <v>1b-4e18 rf-4(-1)e9</v>
      </c>
      <c r="CS423" s="16"/>
      <c r="CT423" s="16">
        <f>IFERROR(__xludf.DUMMYFUNCTION("""COMPUTED_VALUE"""),4.0)</f>
        <v>4</v>
      </c>
      <c r="CU423" s="16"/>
      <c r="CV423" s="16"/>
      <c r="CW423" s="16"/>
      <c r="CX423" s="16"/>
      <c r="CY423" s="16"/>
      <c r="CZ423" s="16">
        <f>IFERROR(__xludf.DUMMYFUNCTION("""COMPUTED_VALUE"""),4.0)</f>
        <v>4</v>
      </c>
      <c r="DA423" s="16"/>
      <c r="DB423" s="16">
        <f>IFERROR(__xludf.DUMMYFUNCTION("""COMPUTED_VALUE"""),18.0)</f>
        <v>18</v>
      </c>
      <c r="DC423" s="16"/>
      <c r="DD423" s="16"/>
      <c r="DE423" s="16"/>
      <c r="DF423" s="16"/>
      <c r="DG423" s="16"/>
      <c r="DH423" s="16">
        <f>IFERROR(__xludf.DUMMYFUNCTION("""COMPUTED_VALUE"""),9.0)</f>
        <v>9</v>
      </c>
      <c r="DI423" s="16"/>
      <c r="DJ423" s="16">
        <f>IFERROR(__xludf.DUMMYFUNCTION("""COMPUTED_VALUE"""),0.0)</f>
        <v>0</v>
      </c>
      <c r="DK423" s="16"/>
      <c r="DL423" s="16"/>
      <c r="DM423" s="16"/>
      <c r="DN423" s="16"/>
      <c r="DO423" s="16"/>
      <c r="DP423" s="16">
        <f>IFERROR(__xludf.DUMMYFUNCTION("""COMPUTED_VALUE"""),-1.0)</f>
        <v>-1</v>
      </c>
      <c r="DQ423" s="16"/>
      <c r="DR423" s="16">
        <f>IFERROR(__xludf.DUMMYFUNCTION("""COMPUTED_VALUE"""),0.0)</f>
        <v>0</v>
      </c>
      <c r="DS423" s="16"/>
      <c r="DT423" s="16"/>
      <c r="DU423" s="16"/>
      <c r="DV423" s="16"/>
      <c r="DW423" s="16"/>
      <c r="DX423" s="16">
        <f>IFERROR(__xludf.DUMMYFUNCTION("""COMPUTED_VALUE"""),0.0)</f>
        <v>0</v>
      </c>
      <c r="DY423" s="16"/>
      <c r="DZ423" s="16">
        <f>IFERROR(__xludf.DUMMYFUNCTION("""COMPUTED_VALUE"""),0.0)</f>
        <v>0</v>
      </c>
      <c r="EA423" s="16"/>
      <c r="EB423" s="16"/>
      <c r="EC423" s="16"/>
      <c r="ED423" s="16"/>
      <c r="EE423" s="16"/>
      <c r="EF423" s="16">
        <f>IFERROR(__xludf.DUMMYFUNCTION("""COMPUTED_VALUE"""),-1.0)</f>
        <v>-1</v>
      </c>
      <c r="EG423" s="179"/>
      <c r="EH423" s="179">
        <f>IFERROR(__xludf.DUMMYFUNCTION("""COMPUTED_VALUE"""),-25.0)</f>
        <v>-25</v>
      </c>
      <c r="EI423" s="179"/>
      <c r="EJ423" s="179"/>
      <c r="EK423" s="179"/>
      <c r="EL423" s="179"/>
      <c r="EM423" s="179"/>
      <c r="EN423" s="179">
        <f>IFERROR(__xludf.DUMMYFUNCTION("""COMPUTED_VALUE"""),-26.0)</f>
        <v>-26</v>
      </c>
      <c r="EO423" s="16"/>
      <c r="EP423" s="16"/>
      <c r="EQ423" s="16">
        <f>IFERROR(__xludf.DUMMYFUNCTION("""COMPUTED_VALUE"""),-2.0)</f>
        <v>-2</v>
      </c>
      <c r="ER423" s="16">
        <f>IFERROR(__xludf.DUMMYFUNCTION("""COMPUTED_VALUE"""),-4.0)</f>
        <v>-4</v>
      </c>
      <c r="ES423" s="16"/>
      <c r="ET423" s="16"/>
      <c r="EU423" s="16"/>
      <c r="EV423" s="16"/>
      <c r="EW423" s="16"/>
      <c r="EX423" s="180"/>
      <c r="EY423" s="180">
        <f>IFERROR(__xludf.DUMMYFUNCTION("""COMPUTED_VALUE"""),0.3)</f>
        <v>0.3</v>
      </c>
      <c r="EZ423" s="180"/>
      <c r="FA423" s="180"/>
      <c r="FB423" s="180"/>
      <c r="FC423" s="180"/>
      <c r="FD423" s="180"/>
      <c r="FE423" s="180">
        <f>IFERROR(__xludf.DUMMYFUNCTION("""COMPUTED_VALUE"""),0.55)</f>
        <v>0.55</v>
      </c>
      <c r="FF423" s="180"/>
      <c r="FG423" s="180">
        <f>IFERROR(__xludf.DUMMYFUNCTION("""COMPUTED_VALUE"""),0.32407407407407407)</f>
        <v>0.3240740741</v>
      </c>
      <c r="FH423" s="180"/>
      <c r="FI423" s="180"/>
      <c r="FJ423" s="180"/>
      <c r="FK423" s="180"/>
      <c r="FL423" s="180"/>
      <c r="FM423" s="180">
        <f>IFERROR(__xludf.DUMMYFUNCTION("""COMPUTED_VALUE"""),0.162)</f>
        <v>0.162</v>
      </c>
      <c r="FN423" s="16"/>
      <c r="FO423" s="16">
        <f>IFERROR(__xludf.DUMMYFUNCTION("""COMPUTED_VALUE"""),0.4731481481481481)</f>
        <v>0.4731481481</v>
      </c>
      <c r="FP423" s="16"/>
      <c r="FQ423" s="16"/>
      <c r="FR423" s="16"/>
      <c r="FS423" s="16"/>
      <c r="FT423" s="16"/>
      <c r="FU423" s="16">
        <f>IFERROR(__xludf.DUMMYFUNCTION("""COMPUTED_VALUE"""),0.37709999999999994)</f>
        <v>0.3771</v>
      </c>
      <c r="FV423" s="16"/>
      <c r="FW423" s="16">
        <f>IFERROR(__xludf.DUMMYFUNCTION("""COMPUTED_VALUE"""),-8.0)</f>
        <v>-8</v>
      </c>
      <c r="FX423" s="16"/>
      <c r="FY423" s="16"/>
      <c r="FZ423" s="16"/>
      <c r="GA423" s="16"/>
      <c r="GB423" s="16"/>
      <c r="GC423" s="16">
        <f>IFERROR(__xludf.DUMMYFUNCTION("""COMPUTED_VALUE"""),-8.0)</f>
        <v>-8</v>
      </c>
      <c r="GD423" s="16" t="s">
        <v>176</v>
      </c>
    </row>
    <row r="424">
      <c r="A424" s="16">
        <f>IFERROR(__xludf.DUMMYFUNCTION("""COMPUTED_VALUE"""),13209.0)</f>
        <v>13209</v>
      </c>
      <c r="B424" s="16" t="str">
        <f>IFERROR(__xludf.DUMMYFUNCTION("""COMPUTED_VALUE"""),"Miguel Sano")</f>
        <v>Miguel Sano</v>
      </c>
      <c r="C424" s="16">
        <f>IFERROR(__xludf.DUMMYFUNCTION("""COMPUTED_VALUE"""),0.0)</f>
        <v>0</v>
      </c>
      <c r="D424" s="16" t="str">
        <f>IFERROR(__xludf.DUMMYFUNCTION("""COMPUTED_VALUE"""),"R")</f>
        <v>R</v>
      </c>
      <c r="E424" s="16"/>
      <c r="F424" s="16"/>
      <c r="G424" s="16">
        <f>IFERROR(__xludf.DUMMYFUNCTION("""COMPUTED_VALUE"""),83.0)</f>
        <v>83</v>
      </c>
      <c r="H424" s="16">
        <f>IFERROR(__xludf.DUMMYFUNCTION("""COMPUTED_VALUE"""),9.0)</f>
        <v>9</v>
      </c>
      <c r="I424" s="16" t="str">
        <f>IFERROR(__xludf.DUMMYFUNCTION("""COMPUTED_VALUE"""),"4p20")</f>
        <v>4p20</v>
      </c>
      <c r="J424" s="16">
        <f>IFERROR(__xludf.DUMMYFUNCTION("""COMPUTED_VALUE"""),45.0)</f>
        <v>45</v>
      </c>
      <c r="K424" s="16">
        <f>IFERROR(__xludf.DUMMYFUNCTION("""COMPUTED_VALUE"""),58.0)</f>
        <v>58</v>
      </c>
      <c r="L424" s="16">
        <f>IFERROR(__xludf.DUMMYFUNCTION("""COMPUTED_VALUE"""),-2.0)</f>
        <v>-2</v>
      </c>
      <c r="M424" s="16">
        <f>IFERROR(__xludf.DUMMYFUNCTION("""COMPUTED_VALUE"""),-3.0)</f>
        <v>-3</v>
      </c>
      <c r="N424" s="16">
        <f>IFERROR(__xludf.DUMMYFUNCTION("""COMPUTED_VALUE"""),-2.0)</f>
        <v>-2</v>
      </c>
      <c r="O424" s="16">
        <f>IFERROR(__xludf.DUMMYFUNCTION("""COMPUTED_VALUE"""),-3.0)</f>
        <v>-3</v>
      </c>
      <c r="P424" s="16">
        <f>IFERROR(__xludf.DUMMYFUNCTION("""COMPUTED_VALUE"""),18.0)</f>
        <v>18</v>
      </c>
      <c r="Q424" s="16">
        <f>IFERROR(__xludf.DUMMYFUNCTION("""COMPUTED_VALUE"""),11.0)</f>
        <v>11</v>
      </c>
      <c r="R424" s="16">
        <f>IFERROR(__xludf.DUMMYFUNCTION("""COMPUTED_VALUE"""),3.0)</f>
        <v>3</v>
      </c>
      <c r="S424" s="16">
        <f>IFERROR(__xludf.DUMMYFUNCTION("""COMPUTED_VALUE"""),1.0)</f>
        <v>1</v>
      </c>
      <c r="T424" s="16">
        <f>IFERROR(__xludf.DUMMYFUNCTION("""COMPUTED_VALUE"""),3.0)</f>
        <v>3</v>
      </c>
      <c r="U424" s="16">
        <f>IFERROR(__xludf.DUMMYFUNCTION("""COMPUTED_VALUE"""),1.0)</f>
        <v>1</v>
      </c>
      <c r="V424" s="16">
        <f>IFERROR(__xludf.DUMMYFUNCTION("""COMPUTED_VALUE"""),16.7)</f>
        <v>16.7</v>
      </c>
      <c r="W424" s="16">
        <f>IFERROR(__xludf.DUMMYFUNCTION("""COMPUTED_VALUE"""),11.2)</f>
        <v>11.2</v>
      </c>
      <c r="X424" s="16">
        <f>IFERROR(__xludf.DUMMYFUNCTION("""COMPUTED_VALUE"""),0.0)</f>
        <v>0</v>
      </c>
      <c r="Y424" s="16">
        <f>IFERROR(__xludf.DUMMYFUNCTION("""COMPUTED_VALUE"""),-2.0)</f>
        <v>-2</v>
      </c>
      <c r="Z424" s="16">
        <f>IFERROR(__xludf.DUMMYFUNCTION("""COMPUTED_VALUE"""),0.0)</f>
        <v>0</v>
      </c>
      <c r="AA424" s="16">
        <f>IFERROR(__xludf.DUMMYFUNCTION("""COMPUTED_VALUE"""),-4.0)</f>
        <v>-4</v>
      </c>
      <c r="AB424" s="16">
        <f>IFERROR(__xludf.DUMMYFUNCTION("""COMPUTED_VALUE"""),39.7)</f>
        <v>39.7</v>
      </c>
      <c r="AC424" s="16">
        <f>IFERROR(__xludf.DUMMYFUNCTION("""COMPUTED_VALUE"""),27.2)</f>
        <v>27.2</v>
      </c>
      <c r="AD424" s="16">
        <f>IFERROR(__xludf.DUMMYFUNCTION("""COMPUTED_VALUE"""),1.0)</f>
        <v>1</v>
      </c>
      <c r="AE424" s="16">
        <f>IFERROR(__xludf.DUMMYFUNCTION("""COMPUTED_VALUE"""),-1.0)</f>
        <v>-1</v>
      </c>
      <c r="AF424" s="16">
        <f>IFERROR(__xludf.DUMMYFUNCTION("""COMPUTED_VALUE"""),5.0)</f>
        <v>5</v>
      </c>
      <c r="AG424" s="16">
        <f>IFERROR(__xludf.DUMMYFUNCTION("""COMPUTED_VALUE"""),-5.0)</f>
        <v>-5</v>
      </c>
      <c r="AH424" s="16">
        <f>IFERROR(__xludf.DUMMYFUNCTION("""COMPUTED_VALUE"""),31.7)</f>
        <v>31.7</v>
      </c>
      <c r="AI424" s="16">
        <f>IFERROR(__xludf.DUMMYFUNCTION("""COMPUTED_VALUE"""),15.3)</f>
        <v>15.3</v>
      </c>
      <c r="AJ424" s="16">
        <f>IFERROR(__xludf.DUMMYFUNCTION("""COMPUTED_VALUE"""),0.0)</f>
        <v>0</v>
      </c>
      <c r="AK424" s="16">
        <f>IFERROR(__xludf.DUMMYFUNCTION("""COMPUTED_VALUE"""),-2.0)</f>
        <v>-2</v>
      </c>
      <c r="AL424" s="16">
        <f>IFERROR(__xludf.DUMMYFUNCTION("""COMPUTED_VALUE"""),0.0)</f>
        <v>0</v>
      </c>
      <c r="AM424" s="16">
        <f>IFERROR(__xludf.DUMMYFUNCTION("""COMPUTED_VALUE"""),-10.0)</f>
        <v>-10</v>
      </c>
      <c r="AN424" s="16">
        <f>IFERROR(__xludf.DUMMYFUNCTION("""COMPUTED_VALUE"""),3.1)</f>
        <v>3.1</v>
      </c>
      <c r="AO424" s="16">
        <f>IFERROR(__xludf.DUMMYFUNCTION("""COMPUTED_VALUE"""),1.1)</f>
        <v>1.1</v>
      </c>
      <c r="AP424" s="16">
        <f>IFERROR(__xludf.DUMMYFUNCTION("""COMPUTED_VALUE"""),1.0)</f>
        <v>1</v>
      </c>
      <c r="AQ424" s="16">
        <f>IFERROR(__xludf.DUMMYFUNCTION("""COMPUTED_VALUE"""),-2.0)</f>
        <v>-2</v>
      </c>
      <c r="AR424" s="16">
        <f>IFERROR(__xludf.DUMMYFUNCTION("""COMPUTED_VALUE"""),2.0)</f>
        <v>2</v>
      </c>
      <c r="AS424" s="16">
        <f>IFERROR(__xludf.DUMMYFUNCTION("""COMPUTED_VALUE"""),-4.0)</f>
        <v>-4</v>
      </c>
      <c r="AT424" s="16"/>
      <c r="AU424" s="16">
        <f>IFERROR(__xludf.DUMMYFUNCTION("""COMPUTED_VALUE"""),1.0)</f>
        <v>1</v>
      </c>
      <c r="AV424" s="16">
        <f>IFERROR(__xludf.DUMMYFUNCTION("""COMPUTED_VALUE"""),-3.0)</f>
        <v>-3</v>
      </c>
      <c r="AW424" s="16">
        <f>IFERROR(__xludf.DUMMYFUNCTION("""COMPUTED_VALUE"""),1.0)</f>
        <v>1</v>
      </c>
      <c r="AX424" s="16">
        <f>IFERROR(__xludf.DUMMYFUNCTION("""COMPUTED_VALUE"""),-3.0)</f>
        <v>-3</v>
      </c>
      <c r="AY424" s="16">
        <f>IFERROR(__xludf.DUMMYFUNCTION("""COMPUTED_VALUE"""),-1.0)</f>
        <v>-1</v>
      </c>
      <c r="AZ424" s="16">
        <f>IFERROR(__xludf.DUMMYFUNCTION("""COMPUTED_VALUE"""),-9.0)</f>
        <v>-9</v>
      </c>
      <c r="BA424" s="16">
        <f>IFERROR(__xludf.DUMMYFUNCTION("""COMPUTED_VALUE"""),-3.0)</f>
        <v>-3</v>
      </c>
      <c r="BB424" s="16">
        <f>IFERROR(__xludf.DUMMYFUNCTION("""COMPUTED_VALUE"""),5.0)</f>
        <v>5</v>
      </c>
      <c r="BC424" s="16">
        <f>IFERROR(__xludf.DUMMYFUNCTION("""COMPUTED_VALUE"""),5.0)</f>
        <v>5</v>
      </c>
      <c r="BD424" s="16">
        <f>IFERROR(__xludf.DUMMYFUNCTION("""COMPUTED_VALUE"""),1.0)</f>
        <v>1</v>
      </c>
      <c r="BE424" s="16">
        <f>IFERROR(__xludf.DUMMYFUNCTION("""COMPUTED_VALUE"""),1.0)</f>
        <v>1</v>
      </c>
      <c r="BF424" s="16">
        <f>IFERROR(__xludf.DUMMYFUNCTION("""COMPUTED_VALUE"""),1.0)</f>
        <v>1</v>
      </c>
      <c r="BG424" s="16">
        <f>IFERROR(__xludf.DUMMYFUNCTION("""COMPUTED_VALUE"""),1.0)</f>
        <v>1</v>
      </c>
      <c r="BH424" s="16">
        <f>IFERROR(__xludf.DUMMYFUNCTION("""COMPUTED_VALUE"""),-6.0)</f>
        <v>-6</v>
      </c>
      <c r="BI424" s="16">
        <f>IFERROR(__xludf.DUMMYFUNCTION("""COMPUTED_VALUE"""),-7.0)</f>
        <v>-7</v>
      </c>
      <c r="BJ424" s="16">
        <f>IFERROR(__xludf.DUMMYFUNCTION("""COMPUTED_VALUE"""),10.0)</f>
        <v>10</v>
      </c>
      <c r="BK424" s="16">
        <f>IFERROR(__xludf.DUMMYFUNCTION("""COMPUTED_VALUE"""),13.0)</f>
        <v>13</v>
      </c>
      <c r="BL424" s="16">
        <f>IFERROR(__xludf.DUMMYFUNCTION("""COMPUTED_VALUE"""),0.0)</f>
        <v>0</v>
      </c>
      <c r="BM424" s="16">
        <f>IFERROR(__xludf.DUMMYFUNCTION("""COMPUTED_VALUE"""),0.0)</f>
        <v>0</v>
      </c>
      <c r="BN424" s="16">
        <f>IFERROR(__xludf.DUMMYFUNCTION("""COMPUTED_VALUE"""),0.0)</f>
        <v>0</v>
      </c>
      <c r="BO424" s="16">
        <f>IFERROR(__xludf.DUMMYFUNCTION("""COMPUTED_VALUE"""),0.0)</f>
        <v>0</v>
      </c>
      <c r="BP424" s="16">
        <f>IFERROR(__xludf.DUMMYFUNCTION("""COMPUTED_VALUE"""),1.0)</f>
        <v>1</v>
      </c>
      <c r="BQ424" s="16">
        <f>IFERROR(__xludf.DUMMYFUNCTION("""COMPUTED_VALUE"""),-9.0)</f>
        <v>-9</v>
      </c>
      <c r="BR424" s="16">
        <f>IFERROR(__xludf.DUMMYFUNCTION("""COMPUTED_VALUE"""),-8.0)</f>
        <v>-8</v>
      </c>
      <c r="BS424" s="16" t="str">
        <f>IFERROR(__xludf.DUMMYFUNCTION("""COMPUTED_VALUE"""),"-/- (---)")</f>
        <v>-/- (---)</v>
      </c>
      <c r="BT424" s="16" t="str">
        <f>IFERROR(__xludf.DUMMYFUNCTION("""COMPUTED_VALUE"""),"E")</f>
        <v>E</v>
      </c>
      <c r="BU424" s="16">
        <f>IFERROR(__xludf.DUMMYFUNCTION("""COMPUTED_VALUE"""),10.0)</f>
        <v>10</v>
      </c>
      <c r="BV424" s="16">
        <f>IFERROR(__xludf.DUMMYFUNCTION("""COMPUTED_VALUE"""),0.0)</f>
        <v>0</v>
      </c>
      <c r="BW424" s="16">
        <f>IFERROR(__xludf.DUMMYFUNCTION("""COMPUTED_VALUE"""),0.0)</f>
        <v>0</v>
      </c>
      <c r="BX424" s="16">
        <f>IFERROR(__xludf.DUMMYFUNCTION("""COMPUTED_VALUE"""),0.0)</f>
        <v>0</v>
      </c>
      <c r="BY424" s="16">
        <f>IFERROR(__xludf.DUMMYFUNCTION("""COMPUTED_VALUE"""),0.0)</f>
        <v>0</v>
      </c>
      <c r="BZ424" s="16" t="str">
        <f>IFERROR(__xludf.DUMMYFUNCTION("""COMPUTED_VALUE"""),"D")</f>
        <v>D</v>
      </c>
      <c r="CA424" s="16" t="str">
        <f>IFERROR(__xludf.DUMMYFUNCTION("""COMPUTED_VALUE"""),"D")</f>
        <v>D</v>
      </c>
      <c r="CB424" s="16">
        <f>IFERROR(__xludf.DUMMYFUNCTION("""COMPUTED_VALUE"""),0.0)</f>
        <v>0</v>
      </c>
      <c r="CC424" s="16">
        <f>IFERROR(__xludf.DUMMYFUNCTION("""COMPUTED_VALUE"""),0.0)</f>
        <v>0</v>
      </c>
      <c r="CD424" s="16">
        <f>IFERROR(__xludf.DUMMYFUNCTION("""COMPUTED_VALUE"""),0.0)</f>
        <v>0</v>
      </c>
      <c r="CE424" s="16">
        <f>IFERROR(__xludf.DUMMYFUNCTION("""COMPUTED_VALUE"""),0.0)</f>
        <v>0</v>
      </c>
      <c r="CF424" s="16">
        <f>IFERROR(__xludf.DUMMYFUNCTION("""COMPUTED_VALUE"""),4.0)</f>
        <v>4</v>
      </c>
      <c r="CG424" s="16">
        <f>IFERROR(__xludf.DUMMYFUNCTION("""COMPUTED_VALUE"""),0.0)</f>
        <v>0</v>
      </c>
      <c r="CH424" s="16">
        <f>IFERROR(__xludf.DUMMYFUNCTION("""COMPUTED_VALUE"""),-27.0)</f>
        <v>-27</v>
      </c>
      <c r="CI424" s="179">
        <f>IFERROR(__xludf.DUMMYFUNCTION("""COMPUTED_VALUE"""),-25.0)</f>
        <v>-25</v>
      </c>
      <c r="CJ424" s="16"/>
      <c r="CK424" s="16">
        <f>IFERROR(__xludf.DUMMYFUNCTION("""COMPUTED_VALUE"""),413.0)</f>
        <v>413</v>
      </c>
      <c r="CL424" s="16"/>
      <c r="CM424" s="16">
        <f>IFERROR(__xludf.DUMMYFUNCTION("""COMPUTED_VALUE"""),411.0)</f>
        <v>411</v>
      </c>
      <c r="CN424" s="16"/>
      <c r="CO424" s="16"/>
      <c r="CP424" s="16"/>
      <c r="CQ424" s="16"/>
      <c r="CR424" s="16" t="str">
        <f>IFERROR(__xludf.DUMMYFUNCTION("""COMPUTED_VALUE"""),"3b-4e11 1b-4e13")</f>
        <v>3b-4e11 1b-4e13</v>
      </c>
      <c r="CS424" s="16"/>
      <c r="CT424" s="16">
        <f>IFERROR(__xludf.DUMMYFUNCTION("""COMPUTED_VALUE"""),4.0)</f>
        <v>4</v>
      </c>
      <c r="CU424" s="16"/>
      <c r="CV424" s="16">
        <f>IFERROR(__xludf.DUMMYFUNCTION("""COMPUTED_VALUE"""),4.0)</f>
        <v>4</v>
      </c>
      <c r="CW424" s="16"/>
      <c r="CX424" s="16"/>
      <c r="CY424" s="16"/>
      <c r="CZ424" s="16"/>
      <c r="DA424" s="16"/>
      <c r="DB424" s="16">
        <f>IFERROR(__xludf.DUMMYFUNCTION("""COMPUTED_VALUE"""),13.0)</f>
        <v>13</v>
      </c>
      <c r="DC424" s="16"/>
      <c r="DD424" s="16">
        <f>IFERROR(__xludf.DUMMYFUNCTION("""COMPUTED_VALUE"""),11.0)</f>
        <v>11</v>
      </c>
      <c r="DE424" s="16"/>
      <c r="DF424" s="16"/>
      <c r="DG424" s="16"/>
      <c r="DH424" s="16"/>
      <c r="DI424" s="16"/>
      <c r="DJ424" s="16">
        <f>IFERROR(__xludf.DUMMYFUNCTION("""COMPUTED_VALUE"""),0.0)</f>
        <v>0</v>
      </c>
      <c r="DK424" s="16"/>
      <c r="DL424" s="16">
        <f>IFERROR(__xludf.DUMMYFUNCTION("""COMPUTED_VALUE"""),0.0)</f>
        <v>0</v>
      </c>
      <c r="DM424" s="16"/>
      <c r="DN424" s="16"/>
      <c r="DO424" s="16"/>
      <c r="DP424" s="16"/>
      <c r="DQ424" s="16"/>
      <c r="DR424" s="16">
        <f>IFERROR(__xludf.DUMMYFUNCTION("""COMPUTED_VALUE"""),1.0)</f>
        <v>1</v>
      </c>
      <c r="DS424" s="16"/>
      <c r="DT424" s="16">
        <f>IFERROR(__xludf.DUMMYFUNCTION("""COMPUTED_VALUE"""),1.0)</f>
        <v>1</v>
      </c>
      <c r="DU424" s="16"/>
      <c r="DV424" s="16"/>
      <c r="DW424" s="16"/>
      <c r="DX424" s="16"/>
      <c r="DY424" s="16"/>
      <c r="DZ424" s="16">
        <f>IFERROR(__xludf.DUMMYFUNCTION("""COMPUTED_VALUE"""),1.0)</f>
        <v>1</v>
      </c>
      <c r="EA424" s="16"/>
      <c r="EB424" s="16">
        <f>IFERROR(__xludf.DUMMYFUNCTION("""COMPUTED_VALUE"""),1.0)</f>
        <v>1</v>
      </c>
      <c r="EC424" s="16"/>
      <c r="ED424" s="16"/>
      <c r="EE424" s="16"/>
      <c r="EF424" s="16"/>
      <c r="EG424" s="179"/>
      <c r="EH424" s="179">
        <f>IFERROR(__xludf.DUMMYFUNCTION("""COMPUTED_VALUE"""),-24.0)</f>
        <v>-24</v>
      </c>
      <c r="EI424" s="179"/>
      <c r="EJ424" s="179">
        <f>IFERROR(__xludf.DUMMYFUNCTION("""COMPUTED_VALUE"""),-24.0)</f>
        <v>-24</v>
      </c>
      <c r="EK424" s="179"/>
      <c r="EL424" s="179"/>
      <c r="EM424" s="179"/>
      <c r="EN424" s="179"/>
      <c r="EO424" s="16"/>
      <c r="EP424" s="16">
        <f>IFERROR(__xludf.DUMMYFUNCTION("""COMPUTED_VALUE"""),-2.0)</f>
        <v>-2</v>
      </c>
      <c r="EQ424" s="16">
        <f>IFERROR(__xludf.DUMMYFUNCTION("""COMPUTED_VALUE"""),-1.0)</f>
        <v>-1</v>
      </c>
      <c r="ER424" s="16">
        <f>IFERROR(__xludf.DUMMYFUNCTION("""COMPUTED_VALUE"""),-4.0)</f>
        <v>-4</v>
      </c>
      <c r="ES424" s="16"/>
      <c r="ET424" s="16"/>
      <c r="EU424" s="16"/>
      <c r="EV424" s="16"/>
      <c r="EW424" s="16"/>
      <c r="EX424" s="180"/>
      <c r="EY424" s="180">
        <f>IFERROR(__xludf.DUMMYFUNCTION("""COMPUTED_VALUE"""),0.3)</f>
        <v>0.3</v>
      </c>
      <c r="EZ424" s="180"/>
      <c r="FA424" s="180">
        <f>IFERROR(__xludf.DUMMYFUNCTION("""COMPUTED_VALUE"""),0.3)</f>
        <v>0.3</v>
      </c>
      <c r="FB424" s="180"/>
      <c r="FC424" s="180"/>
      <c r="FD424" s="180"/>
      <c r="FE424" s="180"/>
      <c r="FF424" s="180"/>
      <c r="FG424" s="180">
        <f>IFERROR(__xludf.DUMMYFUNCTION("""COMPUTED_VALUE"""),0.2361111111111111)</f>
        <v>0.2361111111</v>
      </c>
      <c r="FH424" s="180"/>
      <c r="FI424" s="180">
        <f>IFERROR(__xludf.DUMMYFUNCTION("""COMPUTED_VALUE"""),0.13425925925925927)</f>
        <v>0.1342592593</v>
      </c>
      <c r="FJ424" s="180"/>
      <c r="FK424" s="180"/>
      <c r="FL424" s="180"/>
      <c r="FM424" s="180"/>
      <c r="FN424" s="16"/>
      <c r="FO424" s="16">
        <f>IFERROR(__xludf.DUMMYFUNCTION("""COMPUTED_VALUE"""),0.5347222222222221)</f>
        <v>0.5347222222</v>
      </c>
      <c r="FP424" s="16"/>
      <c r="FQ424" s="16">
        <f>IFERROR(__xludf.DUMMYFUNCTION("""COMPUTED_VALUE"""),0.6060185185185184)</f>
        <v>0.6060185185</v>
      </c>
      <c r="FR424" s="16"/>
      <c r="FS424" s="16"/>
      <c r="FT424" s="16"/>
      <c r="FU424" s="16"/>
      <c r="FV424" s="16"/>
      <c r="FW424" s="16">
        <f>IFERROR(__xludf.DUMMYFUNCTION("""COMPUTED_VALUE"""),-8.0)</f>
        <v>-8</v>
      </c>
      <c r="FX424" s="16"/>
      <c r="FY424" s="16">
        <f>IFERROR(__xludf.DUMMYFUNCTION("""COMPUTED_VALUE"""),-6.0)</f>
        <v>-6</v>
      </c>
      <c r="FZ424" s="16"/>
      <c r="GA424" s="16"/>
      <c r="GB424" s="16"/>
      <c r="GC424" s="16"/>
      <c r="GD424" s="16" t="s">
        <v>176</v>
      </c>
    </row>
    <row r="425">
      <c r="A425" s="16">
        <f>IFERROR(__xludf.DUMMYFUNCTION("""COMPUTED_VALUE"""),13407.0)</f>
        <v>13407</v>
      </c>
      <c r="B425" s="16" t="str">
        <f>IFERROR(__xludf.DUMMYFUNCTION("""COMPUTED_VALUE"""),"Taylor Walls")</f>
        <v>Taylor Walls</v>
      </c>
      <c r="C425" s="16">
        <f>IFERROR(__xludf.DUMMYFUNCTION("""COMPUTED_VALUE"""),0.97)</f>
        <v>0.97</v>
      </c>
      <c r="D425" s="16" t="str">
        <f>IFERROR(__xludf.DUMMYFUNCTION("""COMPUTED_VALUE"""),"S")</f>
        <v>S</v>
      </c>
      <c r="E425" s="16"/>
      <c r="F425" s="16"/>
      <c r="G425" s="16">
        <f>IFERROR(__xludf.DUMMYFUNCTION("""COMPUTED_VALUE"""),218.0)</f>
        <v>218</v>
      </c>
      <c r="H425" s="16">
        <f>IFERROR(__xludf.DUMMYFUNCTION("""COMPUTED_VALUE"""),31.0)</f>
        <v>31</v>
      </c>
      <c r="I425" s="16" t="str">
        <f>IFERROR(__xludf.DUMMYFUNCTION("""COMPUTED_VALUE"""),"5p40")</f>
        <v>5p40</v>
      </c>
      <c r="J425" s="16">
        <f>IFERROR(__xludf.DUMMYFUNCTION("""COMPUTED_VALUE"""),57.0)</f>
        <v>57</v>
      </c>
      <c r="K425" s="16">
        <f>IFERROR(__xludf.DUMMYFUNCTION("""COMPUTED_VALUE"""),27.0)</f>
        <v>27</v>
      </c>
      <c r="L425" s="16">
        <f>IFERROR(__xludf.DUMMYFUNCTION("""COMPUTED_VALUE"""),-2.0)</f>
        <v>-2</v>
      </c>
      <c r="M425" s="16">
        <f>IFERROR(__xludf.DUMMYFUNCTION("""COMPUTED_VALUE"""),0.0)</f>
        <v>0</v>
      </c>
      <c r="N425" s="16">
        <f>IFERROR(__xludf.DUMMYFUNCTION("""COMPUTED_VALUE"""),-2.0)</f>
        <v>-2</v>
      </c>
      <c r="O425" s="16">
        <f>IFERROR(__xludf.DUMMYFUNCTION("""COMPUTED_VALUE"""),0.0)</f>
        <v>0</v>
      </c>
      <c r="P425" s="16">
        <f>IFERROR(__xludf.DUMMYFUNCTION("""COMPUTED_VALUE"""),3.0)</f>
        <v>3</v>
      </c>
      <c r="Q425" s="16">
        <f>IFERROR(__xludf.DUMMYFUNCTION("""COMPUTED_VALUE"""),21.0)</f>
        <v>21</v>
      </c>
      <c r="R425" s="16">
        <f>IFERROR(__xludf.DUMMYFUNCTION("""COMPUTED_VALUE"""),-2.0)</f>
        <v>-2</v>
      </c>
      <c r="S425" s="16">
        <f>IFERROR(__xludf.DUMMYFUNCTION("""COMPUTED_VALUE"""),3.0)</f>
        <v>3</v>
      </c>
      <c r="T425" s="16">
        <f>IFERROR(__xludf.DUMMYFUNCTION("""COMPUTED_VALUE"""),-2.0)</f>
        <v>-2</v>
      </c>
      <c r="U425" s="16">
        <f>IFERROR(__xludf.DUMMYFUNCTION("""COMPUTED_VALUE"""),3.0)</f>
        <v>3</v>
      </c>
      <c r="V425" s="16">
        <f>IFERROR(__xludf.DUMMYFUNCTION("""COMPUTED_VALUE"""),11.6)</f>
        <v>11.6</v>
      </c>
      <c r="W425" s="16">
        <f>IFERROR(__xludf.DUMMYFUNCTION("""COMPUTED_VALUE"""),7.8)</f>
        <v>7.8</v>
      </c>
      <c r="X425" s="16">
        <f>IFERROR(__xludf.DUMMYFUNCTION("""COMPUTED_VALUE"""),-1.0)</f>
        <v>-1</v>
      </c>
      <c r="Y425" s="16">
        <f>IFERROR(__xludf.DUMMYFUNCTION("""COMPUTED_VALUE"""),-2.0)</f>
        <v>-2</v>
      </c>
      <c r="Z425" s="16">
        <f>IFERROR(__xludf.DUMMYFUNCTION("""COMPUTED_VALUE"""),-2.0)</f>
        <v>-2</v>
      </c>
      <c r="AA425" s="16">
        <f>IFERROR(__xludf.DUMMYFUNCTION("""COMPUTED_VALUE"""),-4.0)</f>
        <v>-4</v>
      </c>
      <c r="AB425" s="16">
        <f>IFERROR(__xludf.DUMMYFUNCTION("""COMPUTED_VALUE"""),14.6)</f>
        <v>14.6</v>
      </c>
      <c r="AC425" s="16">
        <f>IFERROR(__xludf.DUMMYFUNCTION("""COMPUTED_VALUE"""),28.8)</f>
        <v>28.8</v>
      </c>
      <c r="AD425" s="16">
        <f>IFERROR(__xludf.DUMMYFUNCTION("""COMPUTED_VALUE"""),-2.0)</f>
        <v>-2</v>
      </c>
      <c r="AE425" s="16">
        <f>IFERROR(__xludf.DUMMYFUNCTION("""COMPUTED_VALUE"""),0.0)</f>
        <v>0</v>
      </c>
      <c r="AF425" s="16">
        <f>IFERROR(__xludf.DUMMYFUNCTION("""COMPUTED_VALUE"""),-10.0)</f>
        <v>-10</v>
      </c>
      <c r="AG425" s="16">
        <f>IFERROR(__xludf.DUMMYFUNCTION("""COMPUTED_VALUE"""),0.0)</f>
        <v>0</v>
      </c>
      <c r="AH425" s="16">
        <f>IFERROR(__xludf.DUMMYFUNCTION("""COMPUTED_VALUE"""),20.6)</f>
        <v>20.6</v>
      </c>
      <c r="AI425" s="16">
        <f>IFERROR(__xludf.DUMMYFUNCTION("""COMPUTED_VALUE"""),14.0)</f>
        <v>14</v>
      </c>
      <c r="AJ425" s="16">
        <f>IFERROR(__xludf.DUMMYFUNCTION("""COMPUTED_VALUE"""),-1.0)</f>
        <v>-1</v>
      </c>
      <c r="AK425" s="16">
        <f>IFERROR(__xludf.DUMMYFUNCTION("""COMPUTED_VALUE"""),-2.0)</f>
        <v>-2</v>
      </c>
      <c r="AL425" s="16">
        <f>IFERROR(__xludf.DUMMYFUNCTION("""COMPUTED_VALUE"""),-5.0)</f>
        <v>-5</v>
      </c>
      <c r="AM425" s="16">
        <f>IFERROR(__xludf.DUMMYFUNCTION("""COMPUTED_VALUE"""),-10.0)</f>
        <v>-10</v>
      </c>
      <c r="AN425" s="16">
        <f>IFERROR(__xludf.DUMMYFUNCTION("""COMPUTED_VALUE"""),0.0)</f>
        <v>0</v>
      </c>
      <c r="AO425" s="16">
        <f>IFERROR(__xludf.DUMMYFUNCTION("""COMPUTED_VALUE"""),1.0)</f>
        <v>1</v>
      </c>
      <c r="AP425" s="16">
        <f>IFERROR(__xludf.DUMMYFUNCTION("""COMPUTED_VALUE"""),-2.0)</f>
        <v>-2</v>
      </c>
      <c r="AQ425" s="16">
        <f>IFERROR(__xludf.DUMMYFUNCTION("""COMPUTED_VALUE"""),-2.0)</f>
        <v>-2</v>
      </c>
      <c r="AR425" s="16">
        <f>IFERROR(__xludf.DUMMYFUNCTION("""COMPUTED_VALUE"""),-4.0)</f>
        <v>-4</v>
      </c>
      <c r="AS425" s="16">
        <f>IFERROR(__xludf.DUMMYFUNCTION("""COMPUTED_VALUE"""),-4.0)</f>
        <v>-4</v>
      </c>
      <c r="AT425" s="16"/>
      <c r="AU425" s="16"/>
      <c r="AV425" s="16">
        <f>IFERROR(__xludf.DUMMYFUNCTION("""COMPUTED_VALUE"""),-3.0)</f>
        <v>-3</v>
      </c>
      <c r="AW425" s="16">
        <f>IFERROR(__xludf.DUMMYFUNCTION("""COMPUTED_VALUE"""),-3.0)</f>
        <v>-3</v>
      </c>
      <c r="AX425" s="16">
        <f>IFERROR(__xludf.DUMMYFUNCTION("""COMPUTED_VALUE"""),-3.0)</f>
        <v>-3</v>
      </c>
      <c r="AY425" s="16">
        <f>IFERROR(__xludf.DUMMYFUNCTION("""COMPUTED_VALUE"""),-3.0)</f>
        <v>-3</v>
      </c>
      <c r="AZ425" s="16">
        <f>IFERROR(__xludf.DUMMYFUNCTION("""COMPUTED_VALUE"""),-9.0)</f>
        <v>-9</v>
      </c>
      <c r="BA425" s="16">
        <f>IFERROR(__xludf.DUMMYFUNCTION("""COMPUTED_VALUE"""),-9.0)</f>
        <v>-9</v>
      </c>
      <c r="BB425" s="16">
        <f>IFERROR(__xludf.DUMMYFUNCTION("""COMPUTED_VALUE"""),5.0)</f>
        <v>5</v>
      </c>
      <c r="BC425" s="16">
        <f>IFERROR(__xludf.DUMMYFUNCTION("""COMPUTED_VALUE"""),5.0)</f>
        <v>5</v>
      </c>
      <c r="BD425" s="16">
        <f>IFERROR(__xludf.DUMMYFUNCTION("""COMPUTED_VALUE"""),1.0)</f>
        <v>1</v>
      </c>
      <c r="BE425" s="16">
        <f>IFERROR(__xludf.DUMMYFUNCTION("""COMPUTED_VALUE"""),1.0)</f>
        <v>1</v>
      </c>
      <c r="BF425" s="16">
        <f>IFERROR(__xludf.DUMMYFUNCTION("""COMPUTED_VALUE"""),1.0)</f>
        <v>1</v>
      </c>
      <c r="BG425" s="16">
        <f>IFERROR(__xludf.DUMMYFUNCTION("""COMPUTED_VALUE"""),1.0)</f>
        <v>1</v>
      </c>
      <c r="BH425" s="16">
        <f>IFERROR(__xludf.DUMMYFUNCTION("""COMPUTED_VALUE"""),-3.0)</f>
        <v>-3</v>
      </c>
      <c r="BI425" s="16">
        <f>IFERROR(__xludf.DUMMYFUNCTION("""COMPUTED_VALUE"""),-2.0)</f>
        <v>-2</v>
      </c>
      <c r="BJ425" s="16">
        <f>IFERROR(__xludf.DUMMYFUNCTION("""COMPUTED_VALUE"""),10.0)</f>
        <v>10</v>
      </c>
      <c r="BK425" s="16">
        <f>IFERROR(__xludf.DUMMYFUNCTION("""COMPUTED_VALUE"""),7.0)</f>
        <v>7</v>
      </c>
      <c r="BL425" s="16">
        <f>IFERROR(__xludf.DUMMYFUNCTION("""COMPUTED_VALUE"""),0.0)</f>
        <v>0</v>
      </c>
      <c r="BM425" s="16">
        <f>IFERROR(__xludf.DUMMYFUNCTION("""COMPUTED_VALUE"""),1.0)</f>
        <v>1</v>
      </c>
      <c r="BN425" s="16">
        <f>IFERROR(__xludf.DUMMYFUNCTION("""COMPUTED_VALUE"""),0.0)</f>
        <v>0</v>
      </c>
      <c r="BO425" s="16">
        <f>IFERROR(__xludf.DUMMYFUNCTION("""COMPUTED_VALUE"""),1.0)</f>
        <v>1</v>
      </c>
      <c r="BP425" s="16">
        <f>IFERROR(__xludf.DUMMYFUNCTION("""COMPUTED_VALUE"""),-12.0)</f>
        <v>-12</v>
      </c>
      <c r="BQ425" s="16">
        <f>IFERROR(__xludf.DUMMYFUNCTION("""COMPUTED_VALUE"""),-4.0)</f>
        <v>-4</v>
      </c>
      <c r="BR425" s="16">
        <f>IFERROR(__xludf.DUMMYFUNCTION("""COMPUTED_VALUE"""),-16.0)</f>
        <v>-16</v>
      </c>
      <c r="BS425" s="16" t="str">
        <f>IFERROR(__xludf.DUMMYFUNCTION("""COMPUTED_VALUE"""),"*2-5,11,12/- (19-14)")</f>
        <v>*2-5,11,12/- (19-14)</v>
      </c>
      <c r="BT425" s="16" t="str">
        <f>IFERROR(__xludf.DUMMYFUNCTION("""COMPUTED_VALUE"""),"A")</f>
        <v>A</v>
      </c>
      <c r="BU425" s="16">
        <f>IFERROR(__xludf.DUMMYFUNCTION("""COMPUTED_VALUE"""),15.0)</f>
        <v>15</v>
      </c>
      <c r="BV425" s="16">
        <f>IFERROR(__xludf.DUMMYFUNCTION("""COMPUTED_VALUE"""),2.0)</f>
        <v>2</v>
      </c>
      <c r="BW425" s="16">
        <f>IFERROR(__xludf.DUMMYFUNCTION("""COMPUTED_VALUE"""),2.0)</f>
        <v>2</v>
      </c>
      <c r="BX425" s="16">
        <f>IFERROR(__xludf.DUMMYFUNCTION("""COMPUTED_VALUE"""),4.0)</f>
        <v>4</v>
      </c>
      <c r="BY425" s="16">
        <f>IFERROR(__xludf.DUMMYFUNCTION("""COMPUTED_VALUE"""),6.0)</f>
        <v>6</v>
      </c>
      <c r="BZ425" s="16" t="str">
        <f>IFERROR(__xludf.DUMMYFUNCTION("""COMPUTED_VALUE"""),"D")</f>
        <v>D</v>
      </c>
      <c r="CA425" s="16" t="str">
        <f>IFERROR(__xludf.DUMMYFUNCTION("""COMPUTED_VALUE"""),"D")</f>
        <v>D</v>
      </c>
      <c r="CB425" s="16">
        <f>IFERROR(__xludf.DUMMYFUNCTION("""COMPUTED_VALUE"""),0.0)</f>
        <v>0</v>
      </c>
      <c r="CC425" s="16">
        <f>IFERROR(__xludf.DUMMYFUNCTION("""COMPUTED_VALUE"""),0.0)</f>
        <v>0</v>
      </c>
      <c r="CD425" s="16">
        <f>IFERROR(__xludf.DUMMYFUNCTION("""COMPUTED_VALUE"""),0.0)</f>
        <v>0</v>
      </c>
      <c r="CE425" s="16">
        <f>IFERROR(__xludf.DUMMYFUNCTION("""COMPUTED_VALUE"""),0.0)</f>
        <v>0</v>
      </c>
      <c r="CF425" s="16">
        <f>IFERROR(__xludf.DUMMYFUNCTION("""COMPUTED_VALUE"""),5.0)</f>
        <v>5</v>
      </c>
      <c r="CG425" s="16">
        <f>IFERROR(__xludf.DUMMYFUNCTION("""COMPUTED_VALUE"""),-33.0)</f>
        <v>-33</v>
      </c>
      <c r="CH425" s="16">
        <f>IFERROR(__xludf.DUMMYFUNCTION("""COMPUTED_VALUE"""),-22.0)</f>
        <v>-22</v>
      </c>
      <c r="CI425" s="179">
        <f>IFERROR(__xludf.DUMMYFUNCTION("""COMPUTED_VALUE"""),-25.0)</f>
        <v>-25</v>
      </c>
      <c r="CJ425" s="16"/>
      <c r="CK425" s="16"/>
      <c r="CL425" s="16"/>
      <c r="CM425" s="16"/>
      <c r="CN425" s="16">
        <f>IFERROR(__xludf.DUMMYFUNCTION("""COMPUTED_VALUE"""),107.0)</f>
        <v>107</v>
      </c>
      <c r="CO425" s="16"/>
      <c r="CP425" s="16"/>
      <c r="CQ425" s="16"/>
      <c r="CR425" s="16" t="str">
        <f>IFERROR(__xludf.DUMMYFUNCTION("""COMPUTED_VALUE"""),"ss-1e7")</f>
        <v>ss-1e7</v>
      </c>
      <c r="CS425" s="16"/>
      <c r="CT425" s="16"/>
      <c r="CU425" s="16"/>
      <c r="CV425" s="16"/>
      <c r="CW425" s="16">
        <f>IFERROR(__xludf.DUMMYFUNCTION("""COMPUTED_VALUE"""),1.0)</f>
        <v>1</v>
      </c>
      <c r="CX425" s="16"/>
      <c r="CY425" s="16"/>
      <c r="CZ425" s="16"/>
      <c r="DA425" s="16"/>
      <c r="DB425" s="16"/>
      <c r="DC425" s="16"/>
      <c r="DD425" s="16"/>
      <c r="DE425" s="16">
        <f>IFERROR(__xludf.DUMMYFUNCTION("""COMPUTED_VALUE"""),7.0)</f>
        <v>7</v>
      </c>
      <c r="DF425" s="16"/>
      <c r="DG425" s="16"/>
      <c r="DH425" s="16"/>
      <c r="DI425" s="16"/>
      <c r="DJ425" s="16"/>
      <c r="DK425" s="16"/>
      <c r="DL425" s="16"/>
      <c r="DM425" s="16">
        <f>IFERROR(__xludf.DUMMYFUNCTION("""COMPUTED_VALUE"""),5.0)</f>
        <v>5</v>
      </c>
      <c r="DN425" s="16"/>
      <c r="DO425" s="16"/>
      <c r="DP425" s="16"/>
      <c r="DQ425" s="16"/>
      <c r="DR425" s="16"/>
      <c r="DS425" s="16"/>
      <c r="DT425" s="16"/>
      <c r="DU425" s="16">
        <f>IFERROR(__xludf.DUMMYFUNCTION("""COMPUTED_VALUE"""),3.0)</f>
        <v>3</v>
      </c>
      <c r="DV425" s="16"/>
      <c r="DW425" s="16"/>
      <c r="DX425" s="16"/>
      <c r="DY425" s="16"/>
      <c r="DZ425" s="16"/>
      <c r="EA425" s="16"/>
      <c r="EB425" s="16"/>
      <c r="EC425" s="16">
        <f>IFERROR(__xludf.DUMMYFUNCTION("""COMPUTED_VALUE"""),8.0)</f>
        <v>8</v>
      </c>
      <c r="ED425" s="16"/>
      <c r="EE425" s="16"/>
      <c r="EF425" s="16"/>
      <c r="EG425" s="179"/>
      <c r="EH425" s="179"/>
      <c r="EI425" s="179"/>
      <c r="EJ425" s="179"/>
      <c r="EK425" s="179">
        <f>IFERROR(__xludf.DUMMYFUNCTION("""COMPUTED_VALUE"""),-17.0)</f>
        <v>-17</v>
      </c>
      <c r="EL425" s="179"/>
      <c r="EM425" s="179"/>
      <c r="EN425" s="179"/>
      <c r="EO425" s="16"/>
      <c r="EP425" s="16"/>
      <c r="EQ425" s="16">
        <f>IFERROR(__xludf.DUMMYFUNCTION("""COMPUTED_VALUE"""),-2.0)</f>
        <v>-2</v>
      </c>
      <c r="ER425" s="16">
        <f>IFERROR(__xludf.DUMMYFUNCTION("""COMPUTED_VALUE"""),-1.0)</f>
        <v>-1</v>
      </c>
      <c r="ES425" s="16"/>
      <c r="ET425" s="16"/>
      <c r="EU425" s="16"/>
      <c r="EV425" s="16"/>
      <c r="EW425" s="16"/>
      <c r="EX425" s="180"/>
      <c r="EY425" s="180"/>
      <c r="EZ425" s="180"/>
      <c r="FA425" s="180"/>
      <c r="FB425" s="180">
        <f>IFERROR(__xludf.DUMMYFUNCTION("""COMPUTED_VALUE"""),0.0)</f>
        <v>0</v>
      </c>
      <c r="FC425" s="180"/>
      <c r="FD425" s="180"/>
      <c r="FE425" s="180"/>
      <c r="FF425" s="180"/>
      <c r="FG425" s="180"/>
      <c r="FH425" s="180"/>
      <c r="FI425" s="180"/>
      <c r="FJ425" s="180">
        <f>IFERROR(__xludf.DUMMYFUNCTION("""COMPUTED_VALUE"""),0.037037037037037035)</f>
        <v>0.03703703704</v>
      </c>
      <c r="FK425" s="180"/>
      <c r="FL425" s="180"/>
      <c r="FM425" s="180"/>
      <c r="FN425" s="16"/>
      <c r="FO425" s="16"/>
      <c r="FP425" s="16"/>
      <c r="FQ425" s="16"/>
      <c r="FR425" s="16">
        <f>IFERROR(__xludf.DUMMYFUNCTION("""COMPUTED_VALUE"""),0.962962962962963)</f>
        <v>0.962962963</v>
      </c>
      <c r="FS425" s="16"/>
      <c r="FT425" s="16"/>
      <c r="FU425" s="16"/>
      <c r="FV425" s="16"/>
      <c r="FW425" s="16"/>
      <c r="FX425" s="16"/>
      <c r="FY425" s="16"/>
      <c r="FZ425" s="16">
        <f>IFERROR(__xludf.DUMMYFUNCTION("""COMPUTED_VALUE"""),8.0)</f>
        <v>8</v>
      </c>
      <c r="GA425" s="16"/>
      <c r="GB425" s="16"/>
      <c r="GC425" s="16"/>
      <c r="GD425" s="16" t="s">
        <v>176</v>
      </c>
    </row>
    <row r="426">
      <c r="A426" s="16">
        <f>IFERROR(__xludf.DUMMYFUNCTION("""COMPUTED_VALUE"""),12500.0)</f>
        <v>12500</v>
      </c>
      <c r="B426" s="16" t="str">
        <f>IFERROR(__xludf.DUMMYFUNCTION("""COMPUTED_VALUE"""),"Adam Duvall")</f>
        <v>Adam Duvall</v>
      </c>
      <c r="C426" s="16">
        <f>IFERROR(__xludf.DUMMYFUNCTION("""COMPUTED_VALUE"""),0.0)</f>
        <v>0</v>
      </c>
      <c r="D426" s="16" t="str">
        <f>IFERROR(__xludf.DUMMYFUNCTION("""COMPUTED_VALUE"""),"R")</f>
        <v>R</v>
      </c>
      <c r="E426" s="16"/>
      <c r="F426" s="16"/>
      <c r="G426" s="16">
        <f>IFERROR(__xludf.DUMMYFUNCTION("""COMPUTED_VALUE"""),303.0)</f>
        <v>303</v>
      </c>
      <c r="H426" s="16">
        <f>IFERROR(__xludf.DUMMYFUNCTION("""COMPUTED_VALUE"""),21.0)</f>
        <v>21</v>
      </c>
      <c r="I426" s="16" t="str">
        <f>IFERROR(__xludf.DUMMYFUNCTION("""COMPUTED_VALUE"""),"1p50")</f>
        <v>1p50</v>
      </c>
      <c r="J426" s="16">
        <f>IFERROR(__xludf.DUMMYFUNCTION("""COMPUTED_VALUE"""),26.0)</f>
        <v>26</v>
      </c>
      <c r="K426" s="16">
        <f>IFERROR(__xludf.DUMMYFUNCTION("""COMPUTED_VALUE"""),48.0)</f>
        <v>48</v>
      </c>
      <c r="L426" s="16">
        <f>IFERROR(__xludf.DUMMYFUNCTION("""COMPUTED_VALUE"""),0.0)</f>
        <v>0</v>
      </c>
      <c r="M426" s="16">
        <f>IFERROR(__xludf.DUMMYFUNCTION("""COMPUTED_VALUE"""),-2.0)</f>
        <v>-2</v>
      </c>
      <c r="N426" s="16">
        <f>IFERROR(__xludf.DUMMYFUNCTION("""COMPUTED_VALUE"""),0.0)</f>
        <v>0</v>
      </c>
      <c r="O426" s="16">
        <f>IFERROR(__xludf.DUMMYFUNCTION("""COMPUTED_VALUE"""),-2.0)</f>
        <v>-2</v>
      </c>
      <c r="P426" s="16">
        <f>IFERROR(__xludf.DUMMYFUNCTION("""COMPUTED_VALUE"""),14.0)</f>
        <v>14</v>
      </c>
      <c r="Q426" s="16">
        <f>IFERROR(__xludf.DUMMYFUNCTION("""COMPUTED_VALUE"""),1.0)</f>
        <v>1</v>
      </c>
      <c r="R426" s="16">
        <f>IFERROR(__xludf.DUMMYFUNCTION("""COMPUTED_VALUE"""),2.0)</f>
        <v>2</v>
      </c>
      <c r="S426" s="16">
        <f>IFERROR(__xludf.DUMMYFUNCTION("""COMPUTED_VALUE"""),-2.0)</f>
        <v>-2</v>
      </c>
      <c r="T426" s="16">
        <f>IFERROR(__xludf.DUMMYFUNCTION("""COMPUTED_VALUE"""),2.0)</f>
        <v>2</v>
      </c>
      <c r="U426" s="16">
        <f>IFERROR(__xludf.DUMMYFUNCTION("""COMPUTED_VALUE"""),-2.0)</f>
        <v>-2</v>
      </c>
      <c r="V426" s="16">
        <f>IFERROR(__xludf.DUMMYFUNCTION("""COMPUTED_VALUE"""),17.2)</f>
        <v>17.2</v>
      </c>
      <c r="W426" s="16">
        <f>IFERROR(__xludf.DUMMYFUNCTION("""COMPUTED_VALUE"""),4.1)</f>
        <v>4.1</v>
      </c>
      <c r="X426" s="16">
        <f>IFERROR(__xludf.DUMMYFUNCTION("""COMPUTED_VALUE"""),0.0)</f>
        <v>0</v>
      </c>
      <c r="Y426" s="16">
        <f>IFERROR(__xludf.DUMMYFUNCTION("""COMPUTED_VALUE"""),-3.0)</f>
        <v>-3</v>
      </c>
      <c r="Z426" s="16">
        <f>IFERROR(__xludf.DUMMYFUNCTION("""COMPUTED_VALUE"""),0.0)</f>
        <v>0</v>
      </c>
      <c r="AA426" s="16">
        <f>IFERROR(__xludf.DUMMYFUNCTION("""COMPUTED_VALUE"""),-6.0)</f>
        <v>-6</v>
      </c>
      <c r="AB426" s="16">
        <f>IFERROR(__xludf.DUMMYFUNCTION("""COMPUTED_VALUE"""),34.2)</f>
        <v>34.2</v>
      </c>
      <c r="AC426" s="16">
        <f>IFERROR(__xludf.DUMMYFUNCTION("""COMPUTED_VALUE"""),8.1)</f>
        <v>8.1</v>
      </c>
      <c r="AD426" s="16">
        <f>IFERROR(__xludf.DUMMYFUNCTION("""COMPUTED_VALUE"""),0.0)</f>
        <v>0</v>
      </c>
      <c r="AE426" s="16">
        <f>IFERROR(__xludf.DUMMYFUNCTION("""COMPUTED_VALUE"""),-3.0)</f>
        <v>-3</v>
      </c>
      <c r="AF426" s="16">
        <f>IFERROR(__xludf.DUMMYFUNCTION("""COMPUTED_VALUE"""),0.0)</f>
        <v>0</v>
      </c>
      <c r="AG426" s="16">
        <f>IFERROR(__xludf.DUMMYFUNCTION("""COMPUTED_VALUE"""),-15.0)</f>
        <v>-15</v>
      </c>
      <c r="AH426" s="16">
        <f>IFERROR(__xludf.DUMMYFUNCTION("""COMPUTED_VALUE"""),35.5)</f>
        <v>35.5</v>
      </c>
      <c r="AI426" s="16">
        <f>IFERROR(__xludf.DUMMYFUNCTION("""COMPUTED_VALUE"""),8.2)</f>
        <v>8.2</v>
      </c>
      <c r="AJ426" s="16">
        <f>IFERROR(__xludf.DUMMYFUNCTION("""COMPUTED_VALUE"""),0.0)</f>
        <v>0</v>
      </c>
      <c r="AK426" s="16">
        <f>IFERROR(__xludf.DUMMYFUNCTION("""COMPUTED_VALUE"""),-2.0)</f>
        <v>-2</v>
      </c>
      <c r="AL426" s="16">
        <f>IFERROR(__xludf.DUMMYFUNCTION("""COMPUTED_VALUE"""),0.0)</f>
        <v>0</v>
      </c>
      <c r="AM426" s="16">
        <f>IFERROR(__xludf.DUMMYFUNCTION("""COMPUTED_VALUE"""),-10.0)</f>
        <v>-10</v>
      </c>
      <c r="AN426" s="16">
        <f>IFERROR(__xludf.DUMMYFUNCTION("""COMPUTED_VALUE"""),5.6)</f>
        <v>5.6</v>
      </c>
      <c r="AO426" s="16">
        <f>IFERROR(__xludf.DUMMYFUNCTION("""COMPUTED_VALUE"""),0.9)</f>
        <v>0.9</v>
      </c>
      <c r="AP426" s="16">
        <f>IFERROR(__xludf.DUMMYFUNCTION("""COMPUTED_VALUE"""),3.0)</f>
        <v>3</v>
      </c>
      <c r="AQ426" s="16">
        <f>IFERROR(__xludf.DUMMYFUNCTION("""COMPUTED_VALUE"""),-2.0)</f>
        <v>-2</v>
      </c>
      <c r="AR426" s="16">
        <f>IFERROR(__xludf.DUMMYFUNCTION("""COMPUTED_VALUE"""),6.0)</f>
        <v>6</v>
      </c>
      <c r="AS426" s="16">
        <f>IFERROR(__xludf.DUMMYFUNCTION("""COMPUTED_VALUE"""),-4.0)</f>
        <v>-4</v>
      </c>
      <c r="AT426" s="16">
        <f>IFERROR(__xludf.DUMMYFUNCTION("""COMPUTED_VALUE"""),8.0)</f>
        <v>8</v>
      </c>
      <c r="AU426" s="16"/>
      <c r="AV426" s="16">
        <f>IFERROR(__xludf.DUMMYFUNCTION("""COMPUTED_VALUE"""),8.0)</f>
        <v>8</v>
      </c>
      <c r="AW426" s="16">
        <f>IFERROR(__xludf.DUMMYFUNCTION("""COMPUTED_VALUE"""),0.0)</f>
        <v>0</v>
      </c>
      <c r="AX426" s="16">
        <f>IFERROR(__xludf.DUMMYFUNCTION("""COMPUTED_VALUE"""),3.0)</f>
        <v>3</v>
      </c>
      <c r="AY426" s="16">
        <f>IFERROR(__xludf.DUMMYFUNCTION("""COMPUTED_VALUE"""),-2.0)</f>
        <v>-2</v>
      </c>
      <c r="AZ426" s="16">
        <f>IFERROR(__xludf.DUMMYFUNCTION("""COMPUTED_VALUE"""),9.0)</f>
        <v>9</v>
      </c>
      <c r="BA426" s="16">
        <f>IFERROR(__xludf.DUMMYFUNCTION("""COMPUTED_VALUE"""),-6.0)</f>
        <v>-6</v>
      </c>
      <c r="BB426" s="16">
        <f>IFERROR(__xludf.DUMMYFUNCTION("""COMPUTED_VALUE"""),5.0)</f>
        <v>5</v>
      </c>
      <c r="BC426" s="16">
        <f>IFERROR(__xludf.DUMMYFUNCTION("""COMPUTED_VALUE"""),0.0)</f>
        <v>0</v>
      </c>
      <c r="BD426" s="16">
        <f>IFERROR(__xludf.DUMMYFUNCTION("""COMPUTED_VALUE"""),1.0)</f>
        <v>1</v>
      </c>
      <c r="BE426" s="16">
        <f>IFERROR(__xludf.DUMMYFUNCTION("""COMPUTED_VALUE"""),0.0)</f>
        <v>0</v>
      </c>
      <c r="BF426" s="16">
        <f>IFERROR(__xludf.DUMMYFUNCTION("""COMPUTED_VALUE"""),1.0)</f>
        <v>1</v>
      </c>
      <c r="BG426" s="16">
        <f>IFERROR(__xludf.DUMMYFUNCTION("""COMPUTED_VALUE"""),0.0)</f>
        <v>0</v>
      </c>
      <c r="BH426" s="16">
        <f>IFERROR(__xludf.DUMMYFUNCTION("""COMPUTED_VALUE"""),-6.0)</f>
        <v>-6</v>
      </c>
      <c r="BI426" s="16">
        <f>IFERROR(__xludf.DUMMYFUNCTION("""COMPUTED_VALUE"""),0.0)</f>
        <v>0</v>
      </c>
      <c r="BJ426" s="16">
        <f>IFERROR(__xludf.DUMMYFUNCTION("""COMPUTED_VALUE"""),14.0)</f>
        <v>14</v>
      </c>
      <c r="BK426" s="16">
        <f>IFERROR(__xludf.DUMMYFUNCTION("""COMPUTED_VALUE"""),16.0)</f>
        <v>16</v>
      </c>
      <c r="BL426" s="16">
        <f>IFERROR(__xludf.DUMMYFUNCTION("""COMPUTED_VALUE"""),0.0)</f>
        <v>0</v>
      </c>
      <c r="BM426" s="16">
        <f>IFERROR(__xludf.DUMMYFUNCTION("""COMPUTED_VALUE"""),-1.0)</f>
        <v>-1</v>
      </c>
      <c r="BN426" s="16">
        <f>IFERROR(__xludf.DUMMYFUNCTION("""COMPUTED_VALUE"""),0.0)</f>
        <v>0</v>
      </c>
      <c r="BO426" s="16">
        <f>IFERROR(__xludf.DUMMYFUNCTION("""COMPUTED_VALUE"""),-2.0)</f>
        <v>-2</v>
      </c>
      <c r="BP426" s="16">
        <f>IFERROR(__xludf.DUMMYFUNCTION("""COMPUTED_VALUE"""),9.0)</f>
        <v>9</v>
      </c>
      <c r="BQ426" s="16">
        <f>IFERROR(__xludf.DUMMYFUNCTION("""COMPUTED_VALUE"""),-17.0)</f>
        <v>-17</v>
      </c>
      <c r="BR426" s="16">
        <f>IFERROR(__xludf.DUMMYFUNCTION("""COMPUTED_VALUE"""),-8.0)</f>
        <v>-8</v>
      </c>
      <c r="BS426" s="16" t="str">
        <f>IFERROR(__xludf.DUMMYFUNCTION("""COMPUTED_VALUE"""),"-/- (---)")</f>
        <v>-/- (---)</v>
      </c>
      <c r="BT426" s="16" t="str">
        <f>IFERROR(__xludf.DUMMYFUNCTION("""COMPUTED_VALUE"""),"E")</f>
        <v>E</v>
      </c>
      <c r="BU426" s="16">
        <f>IFERROR(__xludf.DUMMYFUNCTION("""COMPUTED_VALUE"""),13.0)</f>
        <v>13</v>
      </c>
      <c r="BV426" s="16">
        <f>IFERROR(__xludf.DUMMYFUNCTION("""COMPUTED_VALUE"""),0.0)</f>
        <v>0</v>
      </c>
      <c r="BW426" s="16">
        <f>IFERROR(__xludf.DUMMYFUNCTION("""COMPUTED_VALUE"""),1.0)</f>
        <v>1</v>
      </c>
      <c r="BX426" s="16">
        <f>IFERROR(__xludf.DUMMYFUNCTION("""COMPUTED_VALUE"""),0.0)</f>
        <v>0</v>
      </c>
      <c r="BY426" s="16">
        <f>IFERROR(__xludf.DUMMYFUNCTION("""COMPUTED_VALUE"""),3.0)</f>
        <v>3</v>
      </c>
      <c r="BZ426" s="16" t="str">
        <f>IFERROR(__xludf.DUMMYFUNCTION("""COMPUTED_VALUE"""),"D")</f>
        <v>D</v>
      </c>
      <c r="CA426" s="16" t="str">
        <f>IFERROR(__xludf.DUMMYFUNCTION("""COMPUTED_VALUE"""),"D")</f>
        <v>D</v>
      </c>
      <c r="CB426" s="16">
        <f>IFERROR(__xludf.DUMMYFUNCTION("""COMPUTED_VALUE"""),0.0)</f>
        <v>0</v>
      </c>
      <c r="CC426" s="16">
        <f>IFERROR(__xludf.DUMMYFUNCTION("""COMPUTED_VALUE"""),0.0)</f>
        <v>0</v>
      </c>
      <c r="CD426" s="16">
        <f>IFERROR(__xludf.DUMMYFUNCTION("""COMPUTED_VALUE"""),0.0)</f>
        <v>0</v>
      </c>
      <c r="CE426" s="16">
        <f>IFERROR(__xludf.DUMMYFUNCTION("""COMPUTED_VALUE"""),0.0)</f>
        <v>0</v>
      </c>
      <c r="CF426" s="16">
        <f>IFERROR(__xludf.DUMMYFUNCTION("""COMPUTED_VALUE"""),1.0)</f>
        <v>1</v>
      </c>
      <c r="CG426" s="16">
        <f>IFERROR(__xludf.DUMMYFUNCTION("""COMPUTED_VALUE"""),18.0)</f>
        <v>18</v>
      </c>
      <c r="CH426" s="16">
        <f>IFERROR(__xludf.DUMMYFUNCTION("""COMPUTED_VALUE"""),-47.0)</f>
        <v>-47</v>
      </c>
      <c r="CI426" s="179">
        <f>IFERROR(__xludf.DUMMYFUNCTION("""COMPUTED_VALUE"""),-26.0)</f>
        <v>-26</v>
      </c>
      <c r="CJ426" s="16"/>
      <c r="CK426" s="16"/>
      <c r="CL426" s="16"/>
      <c r="CM426" s="16"/>
      <c r="CN426" s="16"/>
      <c r="CO426" s="16">
        <f>IFERROR(__xludf.DUMMYFUNCTION("""COMPUTED_VALUE"""),304.0)</f>
        <v>304</v>
      </c>
      <c r="CP426" s="16"/>
      <c r="CQ426" s="16">
        <f>IFERROR(__xludf.DUMMYFUNCTION("""COMPUTED_VALUE"""),304.0)</f>
        <v>304</v>
      </c>
      <c r="CR426" s="16" t="str">
        <f>IFERROR(__xludf.DUMMYFUNCTION("""COMPUTED_VALUE"""),"rf-3(+1)e4 lf-3e4")</f>
        <v>rf-3(+1)e4 lf-3e4</v>
      </c>
      <c r="CS426" s="16"/>
      <c r="CT426" s="16"/>
      <c r="CU426" s="16"/>
      <c r="CV426" s="16"/>
      <c r="CW426" s="16"/>
      <c r="CX426" s="16">
        <f>IFERROR(__xludf.DUMMYFUNCTION("""COMPUTED_VALUE"""),3.0)</f>
        <v>3</v>
      </c>
      <c r="CY426" s="16"/>
      <c r="CZ426" s="16">
        <f>IFERROR(__xludf.DUMMYFUNCTION("""COMPUTED_VALUE"""),3.0)</f>
        <v>3</v>
      </c>
      <c r="DA426" s="16"/>
      <c r="DB426" s="16"/>
      <c r="DC426" s="16"/>
      <c r="DD426" s="16"/>
      <c r="DE426" s="16"/>
      <c r="DF426" s="16">
        <f>IFERROR(__xludf.DUMMYFUNCTION("""COMPUTED_VALUE"""),4.0)</f>
        <v>4</v>
      </c>
      <c r="DG426" s="16"/>
      <c r="DH426" s="16">
        <f>IFERROR(__xludf.DUMMYFUNCTION("""COMPUTED_VALUE"""),4.0)</f>
        <v>4</v>
      </c>
      <c r="DI426" s="16"/>
      <c r="DJ426" s="16"/>
      <c r="DK426" s="16"/>
      <c r="DL426" s="16"/>
      <c r="DM426" s="16"/>
      <c r="DN426" s="16">
        <f>IFERROR(__xludf.DUMMYFUNCTION("""COMPUTED_VALUE"""),0.0)</f>
        <v>0</v>
      </c>
      <c r="DO426" s="16"/>
      <c r="DP426" s="16">
        <f>IFERROR(__xludf.DUMMYFUNCTION("""COMPUTED_VALUE"""),0.0)</f>
        <v>0</v>
      </c>
      <c r="DQ426" s="16"/>
      <c r="DR426" s="16"/>
      <c r="DS426" s="16"/>
      <c r="DT426" s="16"/>
      <c r="DU426" s="16"/>
      <c r="DV426" s="16">
        <f>IFERROR(__xludf.DUMMYFUNCTION("""COMPUTED_VALUE"""),2.0)</f>
        <v>2</v>
      </c>
      <c r="DW426" s="16"/>
      <c r="DX426" s="16">
        <f>IFERROR(__xludf.DUMMYFUNCTION("""COMPUTED_VALUE"""),2.0)</f>
        <v>2</v>
      </c>
      <c r="DY426" s="16"/>
      <c r="DZ426" s="16"/>
      <c r="EA426" s="16"/>
      <c r="EB426" s="16"/>
      <c r="EC426" s="16"/>
      <c r="ED426" s="16">
        <f>IFERROR(__xludf.DUMMYFUNCTION("""COMPUTED_VALUE"""),2.0)</f>
        <v>2</v>
      </c>
      <c r="EE426" s="16"/>
      <c r="EF426" s="16">
        <f>IFERROR(__xludf.DUMMYFUNCTION("""COMPUTED_VALUE"""),2.0)</f>
        <v>2</v>
      </c>
      <c r="EG426" s="179"/>
      <c r="EH426" s="179"/>
      <c r="EI426" s="179"/>
      <c r="EJ426" s="179"/>
      <c r="EK426" s="179"/>
      <c r="EL426" s="179">
        <f>IFERROR(__xludf.DUMMYFUNCTION("""COMPUTED_VALUE"""),-24.0)</f>
        <v>-24</v>
      </c>
      <c r="EM426" s="179"/>
      <c r="EN426" s="179">
        <f>IFERROR(__xludf.DUMMYFUNCTION("""COMPUTED_VALUE"""),-24.0)</f>
        <v>-24</v>
      </c>
      <c r="EO426" s="16"/>
      <c r="EP426" s="16"/>
      <c r="EQ426" s="16">
        <f>IFERROR(__xludf.DUMMYFUNCTION("""COMPUTED_VALUE"""),4.0)</f>
        <v>4</v>
      </c>
      <c r="ER426" s="16">
        <f>IFERROR(__xludf.DUMMYFUNCTION("""COMPUTED_VALUE"""),0.0)</f>
        <v>0</v>
      </c>
      <c r="ES426" s="16"/>
      <c r="ET426" s="16"/>
      <c r="EU426" s="16"/>
      <c r="EV426" s="16"/>
      <c r="EW426" s="16"/>
      <c r="EX426" s="180"/>
      <c r="EY426" s="180"/>
      <c r="EZ426" s="180"/>
      <c r="FA426" s="180"/>
      <c r="FB426" s="180"/>
      <c r="FC426" s="180">
        <f>IFERROR(__xludf.DUMMYFUNCTION("""COMPUTED_VALUE"""),0.3)</f>
        <v>0.3</v>
      </c>
      <c r="FD426" s="180"/>
      <c r="FE426" s="180">
        <f>IFERROR(__xludf.DUMMYFUNCTION("""COMPUTED_VALUE"""),0.3)</f>
        <v>0.3</v>
      </c>
      <c r="FF426" s="180"/>
      <c r="FG426" s="180"/>
      <c r="FH426" s="180"/>
      <c r="FI426" s="180"/>
      <c r="FJ426" s="180"/>
      <c r="FK426" s="180">
        <f>IFERROR(__xludf.DUMMYFUNCTION("""COMPUTED_VALUE"""),0.069)</f>
        <v>0.069</v>
      </c>
      <c r="FL426" s="180"/>
      <c r="FM426" s="180">
        <f>IFERROR(__xludf.DUMMYFUNCTION("""COMPUTED_VALUE"""),0.069)</f>
        <v>0.069</v>
      </c>
      <c r="FN426" s="16"/>
      <c r="FO426" s="16"/>
      <c r="FP426" s="16"/>
      <c r="FQ426" s="16"/>
      <c r="FR426" s="16"/>
      <c r="FS426" s="16">
        <f>IFERROR(__xludf.DUMMYFUNCTION("""COMPUTED_VALUE"""),0.6517)</f>
        <v>0.6517</v>
      </c>
      <c r="FT426" s="16"/>
      <c r="FU426" s="16">
        <f>IFERROR(__xludf.DUMMYFUNCTION("""COMPUTED_VALUE"""),0.6517)</f>
        <v>0.6517</v>
      </c>
      <c r="FV426" s="16"/>
      <c r="FW426" s="16"/>
      <c r="FX426" s="16"/>
      <c r="FY426" s="16"/>
      <c r="FZ426" s="16"/>
      <c r="GA426" s="16">
        <f>IFERROR(__xludf.DUMMYFUNCTION("""COMPUTED_VALUE"""),-4.0)</f>
        <v>-4</v>
      </c>
      <c r="GB426" s="16"/>
      <c r="GC426" s="16">
        <f>IFERROR(__xludf.DUMMYFUNCTION("""COMPUTED_VALUE"""),-4.0)</f>
        <v>-4</v>
      </c>
      <c r="GD426" s="16" t="s">
        <v>289</v>
      </c>
    </row>
    <row r="427">
      <c r="A427" s="16">
        <f>IFERROR(__xludf.DUMMYFUNCTION("""COMPUTED_VALUE"""),12712.0)</f>
        <v>12712</v>
      </c>
      <c r="B427" s="16" t="str">
        <f>IFERROR(__xludf.DUMMYFUNCTION("""COMPUTED_VALUE"""),"Corey Julks")</f>
        <v>Corey Julks</v>
      </c>
      <c r="C427" s="16">
        <f>IFERROR(__xludf.DUMMYFUNCTION("""COMPUTED_VALUE"""),0.0)</f>
        <v>0</v>
      </c>
      <c r="D427" s="16" t="str">
        <f>IFERROR(__xludf.DUMMYFUNCTION("""COMPUTED_VALUE"""),"R")</f>
        <v>R</v>
      </c>
      <c r="E427" s="16"/>
      <c r="F427" s="16"/>
      <c r="G427" s="16">
        <f>IFERROR(__xludf.DUMMYFUNCTION("""COMPUTED_VALUE"""),173.0)</f>
        <v>173</v>
      </c>
      <c r="H427" s="16">
        <f>IFERROR(__xludf.DUMMYFUNCTION("""COMPUTED_VALUE"""),15.0)</f>
        <v>15</v>
      </c>
      <c r="I427" s="16" t="str">
        <f>IFERROR(__xludf.DUMMYFUNCTION("""COMPUTED_VALUE"""),"1p30")</f>
        <v>1p30</v>
      </c>
      <c r="J427" s="16">
        <f>IFERROR(__xludf.DUMMYFUNCTION("""COMPUTED_VALUE"""),41.0)</f>
        <v>41</v>
      </c>
      <c r="K427" s="16">
        <f>IFERROR(__xludf.DUMMYFUNCTION("""COMPUTED_VALUE"""),23.0)</f>
        <v>23</v>
      </c>
      <c r="L427" s="16">
        <f>IFERROR(__xludf.DUMMYFUNCTION("""COMPUTED_VALUE"""),-1.0)</f>
        <v>-1</v>
      </c>
      <c r="M427" s="16">
        <f>IFERROR(__xludf.DUMMYFUNCTION("""COMPUTED_VALUE"""),0.0)</f>
        <v>0</v>
      </c>
      <c r="N427" s="16">
        <f>IFERROR(__xludf.DUMMYFUNCTION("""COMPUTED_VALUE"""),-1.0)</f>
        <v>-1</v>
      </c>
      <c r="O427" s="16">
        <f>IFERROR(__xludf.DUMMYFUNCTION("""COMPUTED_VALUE"""),0.0)</f>
        <v>0</v>
      </c>
      <c r="P427" s="16">
        <f>IFERROR(__xludf.DUMMYFUNCTION("""COMPUTED_VALUE"""),8.0)</f>
        <v>8</v>
      </c>
      <c r="Q427" s="16">
        <f>IFERROR(__xludf.DUMMYFUNCTION("""COMPUTED_VALUE"""),10.0)</f>
        <v>10</v>
      </c>
      <c r="R427" s="16">
        <f>IFERROR(__xludf.DUMMYFUNCTION("""COMPUTED_VALUE"""),0.0)</f>
        <v>0</v>
      </c>
      <c r="S427" s="16">
        <f>IFERROR(__xludf.DUMMYFUNCTION("""COMPUTED_VALUE"""),0.0)</f>
        <v>0</v>
      </c>
      <c r="T427" s="16">
        <f>IFERROR(__xludf.DUMMYFUNCTION("""COMPUTED_VALUE"""),0.0)</f>
        <v>0</v>
      </c>
      <c r="U427" s="16">
        <f>IFERROR(__xludf.DUMMYFUNCTION("""COMPUTED_VALUE"""),0.0)</f>
        <v>0</v>
      </c>
      <c r="V427" s="16">
        <f>IFERROR(__xludf.DUMMYFUNCTION("""COMPUTED_VALUE"""),21.5)</f>
        <v>21.5</v>
      </c>
      <c r="W427" s="16">
        <f>IFERROR(__xludf.DUMMYFUNCTION("""COMPUTED_VALUE"""),7.4)</f>
        <v>7.4</v>
      </c>
      <c r="X427" s="16">
        <f>IFERROR(__xludf.DUMMYFUNCTION("""COMPUTED_VALUE"""),0.0)</f>
        <v>0</v>
      </c>
      <c r="Y427" s="16">
        <f>IFERROR(__xludf.DUMMYFUNCTION("""COMPUTED_VALUE"""),-2.0)</f>
        <v>-2</v>
      </c>
      <c r="Z427" s="16">
        <f>IFERROR(__xludf.DUMMYFUNCTION("""COMPUTED_VALUE"""),0.0)</f>
        <v>0</v>
      </c>
      <c r="AA427" s="16">
        <f>IFERROR(__xludf.DUMMYFUNCTION("""COMPUTED_VALUE"""),-4.0)</f>
        <v>-4</v>
      </c>
      <c r="AB427" s="16">
        <f>IFERROR(__xludf.DUMMYFUNCTION("""COMPUTED_VALUE"""),29.5)</f>
        <v>29.5</v>
      </c>
      <c r="AC427" s="16">
        <f>IFERROR(__xludf.DUMMYFUNCTION("""COMPUTED_VALUE"""),17.3)</f>
        <v>17.3</v>
      </c>
      <c r="AD427" s="16">
        <f>IFERROR(__xludf.DUMMYFUNCTION("""COMPUTED_VALUE"""),0.0)</f>
        <v>0</v>
      </c>
      <c r="AE427" s="16">
        <f>IFERROR(__xludf.DUMMYFUNCTION("""COMPUTED_VALUE"""),-2.0)</f>
        <v>-2</v>
      </c>
      <c r="AF427" s="16">
        <f>IFERROR(__xludf.DUMMYFUNCTION("""COMPUTED_VALUE"""),0.0)</f>
        <v>0</v>
      </c>
      <c r="AG427" s="16">
        <f>IFERROR(__xludf.DUMMYFUNCTION("""COMPUTED_VALUE"""),-10.0)</f>
        <v>-10</v>
      </c>
      <c r="AH427" s="16">
        <f>IFERROR(__xludf.DUMMYFUNCTION("""COMPUTED_VALUE"""),30.7)</f>
        <v>30.7</v>
      </c>
      <c r="AI427" s="16">
        <f>IFERROR(__xludf.DUMMYFUNCTION("""COMPUTED_VALUE"""),13.5)</f>
        <v>13.5</v>
      </c>
      <c r="AJ427" s="16">
        <f>IFERROR(__xludf.DUMMYFUNCTION("""COMPUTED_VALUE"""),0.0)</f>
        <v>0</v>
      </c>
      <c r="AK427" s="16">
        <f>IFERROR(__xludf.DUMMYFUNCTION("""COMPUTED_VALUE"""),-2.0)</f>
        <v>-2</v>
      </c>
      <c r="AL427" s="16">
        <f>IFERROR(__xludf.DUMMYFUNCTION("""COMPUTED_VALUE"""),0.0)</f>
        <v>0</v>
      </c>
      <c r="AM427" s="16">
        <f>IFERROR(__xludf.DUMMYFUNCTION("""COMPUTED_VALUE"""),-10.0)</f>
        <v>-10</v>
      </c>
      <c r="AN427" s="16">
        <f>IFERROR(__xludf.DUMMYFUNCTION("""COMPUTED_VALUE"""),2.5)</f>
        <v>2.5</v>
      </c>
      <c r="AO427" s="16">
        <f>IFERROR(__xludf.DUMMYFUNCTION("""COMPUTED_VALUE"""),0.8)</f>
        <v>0.8</v>
      </c>
      <c r="AP427" s="16">
        <f>IFERROR(__xludf.DUMMYFUNCTION("""COMPUTED_VALUE"""),0.0)</f>
        <v>0</v>
      </c>
      <c r="AQ427" s="16">
        <f>IFERROR(__xludf.DUMMYFUNCTION("""COMPUTED_VALUE"""),-2.0)</f>
        <v>-2</v>
      </c>
      <c r="AR427" s="16">
        <f>IFERROR(__xludf.DUMMYFUNCTION("""COMPUTED_VALUE"""),0.0)</f>
        <v>0</v>
      </c>
      <c r="AS427" s="16">
        <f>IFERROR(__xludf.DUMMYFUNCTION("""COMPUTED_VALUE"""),-4.0)</f>
        <v>-4</v>
      </c>
      <c r="AT427" s="16"/>
      <c r="AU427" s="16">
        <f>IFERROR(__xludf.DUMMYFUNCTION("""COMPUTED_VALUE"""),1.0)</f>
        <v>1</v>
      </c>
      <c r="AV427" s="16">
        <f>IFERROR(__xludf.DUMMYFUNCTION("""COMPUTED_VALUE"""),-3.0)</f>
        <v>-3</v>
      </c>
      <c r="AW427" s="16">
        <f>IFERROR(__xludf.DUMMYFUNCTION("""COMPUTED_VALUE"""),1.0)</f>
        <v>1</v>
      </c>
      <c r="AX427" s="16">
        <f>IFERROR(__xludf.DUMMYFUNCTION("""COMPUTED_VALUE"""),-3.0)</f>
        <v>-3</v>
      </c>
      <c r="AY427" s="16">
        <f>IFERROR(__xludf.DUMMYFUNCTION("""COMPUTED_VALUE"""),-1.0)</f>
        <v>-1</v>
      </c>
      <c r="AZ427" s="16">
        <f>IFERROR(__xludf.DUMMYFUNCTION("""COMPUTED_VALUE"""),-9.0)</f>
        <v>-9</v>
      </c>
      <c r="BA427" s="16">
        <f>IFERROR(__xludf.DUMMYFUNCTION("""COMPUTED_VALUE"""),-3.0)</f>
        <v>-3</v>
      </c>
      <c r="BB427" s="16">
        <f>IFERROR(__xludf.DUMMYFUNCTION("""COMPUTED_VALUE"""),5.0)</f>
        <v>5</v>
      </c>
      <c r="BC427" s="16">
        <f>IFERROR(__xludf.DUMMYFUNCTION("""COMPUTED_VALUE"""),5.0)</f>
        <v>5</v>
      </c>
      <c r="BD427" s="16">
        <f>IFERROR(__xludf.DUMMYFUNCTION("""COMPUTED_VALUE"""),1.0)</f>
        <v>1</v>
      </c>
      <c r="BE427" s="16">
        <f>IFERROR(__xludf.DUMMYFUNCTION("""COMPUTED_VALUE"""),1.0)</f>
        <v>1</v>
      </c>
      <c r="BF427" s="16">
        <f>IFERROR(__xludf.DUMMYFUNCTION("""COMPUTED_VALUE"""),1.0)</f>
        <v>1</v>
      </c>
      <c r="BG427" s="16">
        <f>IFERROR(__xludf.DUMMYFUNCTION("""COMPUTED_VALUE"""),1.0)</f>
        <v>1</v>
      </c>
      <c r="BH427" s="16">
        <f>IFERROR(__xludf.DUMMYFUNCTION("""COMPUTED_VALUE"""),6.0)</f>
        <v>6</v>
      </c>
      <c r="BI427" s="16">
        <f>IFERROR(__xludf.DUMMYFUNCTION("""COMPUTED_VALUE"""),6.0)</f>
        <v>6</v>
      </c>
      <c r="BJ427" s="16">
        <f>IFERROR(__xludf.DUMMYFUNCTION("""COMPUTED_VALUE"""),24.0)</f>
        <v>24</v>
      </c>
      <c r="BK427" s="16">
        <f>IFERROR(__xludf.DUMMYFUNCTION("""COMPUTED_VALUE"""),23.0)</f>
        <v>23</v>
      </c>
      <c r="BL427" s="16">
        <f>IFERROR(__xludf.DUMMYFUNCTION("""COMPUTED_VALUE"""),-2.0)</f>
        <v>-2</v>
      </c>
      <c r="BM427" s="16">
        <f>IFERROR(__xludf.DUMMYFUNCTION("""COMPUTED_VALUE"""),-2.0)</f>
        <v>-2</v>
      </c>
      <c r="BN427" s="16">
        <f>IFERROR(__xludf.DUMMYFUNCTION("""COMPUTED_VALUE"""),-4.0)</f>
        <v>-4</v>
      </c>
      <c r="BO427" s="16">
        <f>IFERROR(__xludf.DUMMYFUNCTION("""COMPUTED_VALUE"""),-4.0)</f>
        <v>-4</v>
      </c>
      <c r="BP427" s="16">
        <f>IFERROR(__xludf.DUMMYFUNCTION("""COMPUTED_VALUE"""),-5.0)</f>
        <v>-5</v>
      </c>
      <c r="BQ427" s="16">
        <f>IFERROR(__xludf.DUMMYFUNCTION("""COMPUTED_VALUE"""),-10.0)</f>
        <v>-10</v>
      </c>
      <c r="BR427" s="16">
        <f>IFERROR(__xludf.DUMMYFUNCTION("""COMPUTED_VALUE"""),-15.0)</f>
        <v>-15</v>
      </c>
      <c r="BS427" s="16" t="str">
        <f>IFERROR(__xludf.DUMMYFUNCTION("""COMPUTED_VALUE"""),"*4-6/- (16-12)")</f>
        <v>*4-6/- (16-12)</v>
      </c>
      <c r="BT427" s="16" t="str">
        <f>IFERROR(__xludf.DUMMYFUNCTION("""COMPUTED_VALUE"""),"B")</f>
        <v>B</v>
      </c>
      <c r="BU427" s="16">
        <f>IFERROR(__xludf.DUMMYFUNCTION("""COMPUTED_VALUE"""),14.0)</f>
        <v>14</v>
      </c>
      <c r="BV427" s="16">
        <f>IFERROR(__xludf.DUMMYFUNCTION("""COMPUTED_VALUE"""),1.0)</f>
        <v>1</v>
      </c>
      <c r="BW427" s="16">
        <f>IFERROR(__xludf.DUMMYFUNCTION("""COMPUTED_VALUE"""),1.0)</f>
        <v>1</v>
      </c>
      <c r="BX427" s="16">
        <f>IFERROR(__xludf.DUMMYFUNCTION("""COMPUTED_VALUE"""),2.0)</f>
        <v>2</v>
      </c>
      <c r="BY427" s="16">
        <f>IFERROR(__xludf.DUMMYFUNCTION("""COMPUTED_VALUE"""),3.0)</f>
        <v>3</v>
      </c>
      <c r="BZ427" s="16" t="str">
        <f>IFERROR(__xludf.DUMMYFUNCTION("""COMPUTED_VALUE"""),"D")</f>
        <v>D</v>
      </c>
      <c r="CA427" s="16" t="str">
        <f>IFERROR(__xludf.DUMMYFUNCTION("""COMPUTED_VALUE"""),"D")</f>
        <v>D</v>
      </c>
      <c r="CB427" s="16">
        <f>IFERROR(__xludf.DUMMYFUNCTION("""COMPUTED_VALUE"""),0.0)</f>
        <v>0</v>
      </c>
      <c r="CC427" s="16">
        <f>IFERROR(__xludf.DUMMYFUNCTION("""COMPUTED_VALUE"""),0.0)</f>
        <v>0</v>
      </c>
      <c r="CD427" s="16">
        <f>IFERROR(__xludf.DUMMYFUNCTION("""COMPUTED_VALUE"""),0.0)</f>
        <v>0</v>
      </c>
      <c r="CE427" s="16">
        <f>IFERROR(__xludf.DUMMYFUNCTION("""COMPUTED_VALUE"""),0.0)</f>
        <v>0</v>
      </c>
      <c r="CF427" s="16">
        <f>IFERROR(__xludf.DUMMYFUNCTION("""COMPUTED_VALUE"""),1.0)</f>
        <v>1</v>
      </c>
      <c r="CG427" s="16">
        <f>IFERROR(__xludf.DUMMYFUNCTION("""COMPUTED_VALUE"""),-13.0)</f>
        <v>-13</v>
      </c>
      <c r="CH427" s="16">
        <f>IFERROR(__xludf.DUMMYFUNCTION("""COMPUTED_VALUE"""),-34.0)</f>
        <v>-34</v>
      </c>
      <c r="CI427" s="179">
        <f>IFERROR(__xludf.DUMMYFUNCTION("""COMPUTED_VALUE"""),-26.0)</f>
        <v>-26</v>
      </c>
      <c r="CJ427" s="16"/>
      <c r="CK427" s="16"/>
      <c r="CL427" s="16"/>
      <c r="CM427" s="16"/>
      <c r="CN427" s="16"/>
      <c r="CO427" s="16">
        <f>IFERROR(__xludf.DUMMYFUNCTION("""COMPUTED_VALUE"""),304.0)</f>
        <v>304</v>
      </c>
      <c r="CP427" s="16">
        <f>IFERROR(__xludf.DUMMYFUNCTION("""COMPUTED_VALUE"""),404.0)</f>
        <v>404</v>
      </c>
      <c r="CQ427" s="16">
        <f>IFERROR(__xludf.DUMMYFUNCTION("""COMPUTED_VALUE"""),304.0)</f>
        <v>304</v>
      </c>
      <c r="CR427" s="16" t="str">
        <f>IFERROR(__xludf.DUMMYFUNCTION("""COMPUTED_VALUE"""),"rf-3(-2)e4 lf-3e4 cf-4e4")</f>
        <v>rf-3(-2)e4 lf-3e4 cf-4e4</v>
      </c>
      <c r="CS427" s="16"/>
      <c r="CT427" s="16"/>
      <c r="CU427" s="16"/>
      <c r="CV427" s="16"/>
      <c r="CW427" s="16"/>
      <c r="CX427" s="16">
        <f>IFERROR(__xludf.DUMMYFUNCTION("""COMPUTED_VALUE"""),3.0)</f>
        <v>3</v>
      </c>
      <c r="CY427" s="16">
        <f>IFERROR(__xludf.DUMMYFUNCTION("""COMPUTED_VALUE"""),4.0)</f>
        <v>4</v>
      </c>
      <c r="CZ427" s="16">
        <f>IFERROR(__xludf.DUMMYFUNCTION("""COMPUTED_VALUE"""),3.0)</f>
        <v>3</v>
      </c>
      <c r="DA427" s="16"/>
      <c r="DB427" s="16"/>
      <c r="DC427" s="16"/>
      <c r="DD427" s="16"/>
      <c r="DE427" s="16"/>
      <c r="DF427" s="16">
        <f>IFERROR(__xludf.DUMMYFUNCTION("""COMPUTED_VALUE"""),4.0)</f>
        <v>4</v>
      </c>
      <c r="DG427" s="16">
        <f>IFERROR(__xludf.DUMMYFUNCTION("""COMPUTED_VALUE"""),4.0)</f>
        <v>4</v>
      </c>
      <c r="DH427" s="16">
        <f>IFERROR(__xludf.DUMMYFUNCTION("""COMPUTED_VALUE"""),4.0)</f>
        <v>4</v>
      </c>
      <c r="DI427" s="16"/>
      <c r="DJ427" s="16"/>
      <c r="DK427" s="16"/>
      <c r="DL427" s="16"/>
      <c r="DM427" s="16"/>
      <c r="DN427" s="16">
        <f>IFERROR(__xludf.DUMMYFUNCTION("""COMPUTED_VALUE"""),0.0)</f>
        <v>0</v>
      </c>
      <c r="DO427" s="16">
        <f>IFERROR(__xludf.DUMMYFUNCTION("""COMPUTED_VALUE"""),-2.0)</f>
        <v>-2</v>
      </c>
      <c r="DP427" s="16">
        <f>IFERROR(__xludf.DUMMYFUNCTION("""COMPUTED_VALUE"""),0.0)</f>
        <v>0</v>
      </c>
      <c r="DQ427" s="16"/>
      <c r="DR427" s="16"/>
      <c r="DS427" s="16"/>
      <c r="DT427" s="16"/>
      <c r="DU427" s="16"/>
      <c r="DV427" s="16">
        <f>IFERROR(__xludf.DUMMYFUNCTION("""COMPUTED_VALUE"""),2.0)</f>
        <v>2</v>
      </c>
      <c r="DW427" s="16">
        <f>IFERROR(__xludf.DUMMYFUNCTION("""COMPUTED_VALUE"""),3.0)</f>
        <v>3</v>
      </c>
      <c r="DX427" s="16">
        <f>IFERROR(__xludf.DUMMYFUNCTION("""COMPUTED_VALUE"""),2.0)</f>
        <v>2</v>
      </c>
      <c r="DY427" s="16"/>
      <c r="DZ427" s="16"/>
      <c r="EA427" s="16"/>
      <c r="EB427" s="16"/>
      <c r="EC427" s="16"/>
      <c r="ED427" s="16">
        <f>IFERROR(__xludf.DUMMYFUNCTION("""COMPUTED_VALUE"""),2.0)</f>
        <v>2</v>
      </c>
      <c r="EE427" s="16">
        <f>IFERROR(__xludf.DUMMYFUNCTION("""COMPUTED_VALUE"""),1.0)</f>
        <v>1</v>
      </c>
      <c r="EF427" s="16">
        <f>IFERROR(__xludf.DUMMYFUNCTION("""COMPUTED_VALUE"""),2.0)</f>
        <v>2</v>
      </c>
      <c r="EG427" s="179"/>
      <c r="EH427" s="179"/>
      <c r="EI427" s="179"/>
      <c r="EJ427" s="179"/>
      <c r="EK427" s="179"/>
      <c r="EL427" s="179">
        <f>IFERROR(__xludf.DUMMYFUNCTION("""COMPUTED_VALUE"""),-24.0)</f>
        <v>-24</v>
      </c>
      <c r="EM427" s="179">
        <f>IFERROR(__xludf.DUMMYFUNCTION("""COMPUTED_VALUE"""),-25.0)</f>
        <v>-25</v>
      </c>
      <c r="EN427" s="179">
        <f>IFERROR(__xludf.DUMMYFUNCTION("""COMPUTED_VALUE"""),-24.0)</f>
        <v>-24</v>
      </c>
      <c r="EO427" s="16"/>
      <c r="EP427" s="16">
        <f>IFERROR(__xludf.DUMMYFUNCTION("""COMPUTED_VALUE"""),4.0)</f>
        <v>4</v>
      </c>
      <c r="EQ427" s="16">
        <f>IFERROR(__xludf.DUMMYFUNCTION("""COMPUTED_VALUE"""),4.0)</f>
        <v>4</v>
      </c>
      <c r="ER427" s="16">
        <f>IFERROR(__xludf.DUMMYFUNCTION("""COMPUTED_VALUE"""),-2.0)</f>
        <v>-2</v>
      </c>
      <c r="ES427" s="16"/>
      <c r="ET427" s="16"/>
      <c r="EU427" s="16"/>
      <c r="EV427" s="16"/>
      <c r="EW427" s="16"/>
      <c r="EX427" s="180"/>
      <c r="EY427" s="180"/>
      <c r="EZ427" s="180"/>
      <c r="FA427" s="180"/>
      <c r="FB427" s="180"/>
      <c r="FC427" s="180">
        <f>IFERROR(__xludf.DUMMYFUNCTION("""COMPUTED_VALUE"""),0.3)</f>
        <v>0.3</v>
      </c>
      <c r="FD427" s="180">
        <f>IFERROR(__xludf.DUMMYFUNCTION("""COMPUTED_VALUE"""),0.55)</f>
        <v>0.55</v>
      </c>
      <c r="FE427" s="180">
        <f>IFERROR(__xludf.DUMMYFUNCTION("""COMPUTED_VALUE"""),0.3)</f>
        <v>0.3</v>
      </c>
      <c r="FF427" s="180"/>
      <c r="FG427" s="180"/>
      <c r="FH427" s="180"/>
      <c r="FI427" s="180"/>
      <c r="FJ427" s="180"/>
      <c r="FK427" s="180">
        <f>IFERROR(__xludf.DUMMYFUNCTION("""COMPUTED_VALUE"""),0.069)</f>
        <v>0.069</v>
      </c>
      <c r="FL427" s="180">
        <f>IFERROR(__xludf.DUMMYFUNCTION("""COMPUTED_VALUE"""),0.046296296296296294)</f>
        <v>0.0462962963</v>
      </c>
      <c r="FM427" s="180">
        <f>IFERROR(__xludf.DUMMYFUNCTION("""COMPUTED_VALUE"""),0.069)</f>
        <v>0.069</v>
      </c>
      <c r="FN427" s="16"/>
      <c r="FO427" s="16"/>
      <c r="FP427" s="16"/>
      <c r="FQ427" s="16"/>
      <c r="FR427" s="16"/>
      <c r="FS427" s="16">
        <f>IFERROR(__xludf.DUMMYFUNCTION("""COMPUTED_VALUE"""),0.6517)</f>
        <v>0.6517</v>
      </c>
      <c r="FT427" s="16">
        <f>IFERROR(__xludf.DUMMYFUNCTION("""COMPUTED_VALUE"""),0.42916666666666664)</f>
        <v>0.4291666667</v>
      </c>
      <c r="FU427" s="16">
        <f>IFERROR(__xludf.DUMMYFUNCTION("""COMPUTED_VALUE"""),0.6517)</f>
        <v>0.6517</v>
      </c>
      <c r="FV427" s="16"/>
      <c r="FW427" s="16"/>
      <c r="FX427" s="16"/>
      <c r="FY427" s="16"/>
      <c r="FZ427" s="16"/>
      <c r="GA427" s="16">
        <f>IFERROR(__xludf.DUMMYFUNCTION("""COMPUTED_VALUE"""),-8.0)</f>
        <v>-8</v>
      </c>
      <c r="GB427" s="16">
        <f>IFERROR(__xludf.DUMMYFUNCTION("""COMPUTED_VALUE"""),-12.0)</f>
        <v>-12</v>
      </c>
      <c r="GC427" s="16">
        <f>IFERROR(__xludf.DUMMYFUNCTION("""COMPUTED_VALUE"""),-8.0)</f>
        <v>-8</v>
      </c>
      <c r="GD427" s="16" t="s">
        <v>176</v>
      </c>
    </row>
    <row r="428">
      <c r="A428" s="16">
        <f>IFERROR(__xludf.DUMMYFUNCTION("""COMPUTED_VALUE"""),13103.0)</f>
        <v>13103</v>
      </c>
      <c r="B428" s="16" t="str">
        <f>IFERROR(__xludf.DUMMYFUNCTION("""COMPUTED_VALUE"""),"Kyle Stowers")</f>
        <v>Kyle Stowers</v>
      </c>
      <c r="C428" s="16">
        <f>IFERROR(__xludf.DUMMYFUNCTION("""COMPUTED_VALUE"""),0.0)</f>
        <v>0</v>
      </c>
      <c r="D428" s="16" t="str">
        <f>IFERROR(__xludf.DUMMYFUNCTION("""COMPUTED_VALUE"""),"L")</f>
        <v>L</v>
      </c>
      <c r="E428" s="16"/>
      <c r="F428" s="16"/>
      <c r="G428" s="16">
        <f>IFERROR(__xludf.DUMMYFUNCTION("""COMPUTED_VALUE"""),192.0)</f>
        <v>192</v>
      </c>
      <c r="H428" s="16">
        <f>IFERROR(__xludf.DUMMYFUNCTION("""COMPUTED_VALUE"""),13.0)</f>
        <v>13</v>
      </c>
      <c r="I428" s="16" t="str">
        <f>IFERROR(__xludf.DUMMYFUNCTION("""COMPUTED_VALUE"""),"1p40")</f>
        <v>1p40</v>
      </c>
      <c r="J428" s="16">
        <f>IFERROR(__xludf.DUMMYFUNCTION("""COMPUTED_VALUE"""),45.0)</f>
        <v>45</v>
      </c>
      <c r="K428" s="16">
        <f>IFERROR(__xludf.DUMMYFUNCTION("""COMPUTED_VALUE"""),53.0)</f>
        <v>53</v>
      </c>
      <c r="L428" s="16">
        <f>IFERROR(__xludf.DUMMYFUNCTION("""COMPUTED_VALUE"""),-2.0)</f>
        <v>-2</v>
      </c>
      <c r="M428" s="16">
        <f>IFERROR(__xludf.DUMMYFUNCTION("""COMPUTED_VALUE"""),-2.0)</f>
        <v>-2</v>
      </c>
      <c r="N428" s="16">
        <f>IFERROR(__xludf.DUMMYFUNCTION("""COMPUTED_VALUE"""),-2.0)</f>
        <v>-2</v>
      </c>
      <c r="O428" s="16">
        <f>IFERROR(__xludf.DUMMYFUNCTION("""COMPUTED_VALUE"""),-2.0)</f>
        <v>-2</v>
      </c>
      <c r="P428" s="16">
        <f>IFERROR(__xludf.DUMMYFUNCTION("""COMPUTED_VALUE"""),2.0)</f>
        <v>2</v>
      </c>
      <c r="Q428" s="16">
        <f>IFERROR(__xludf.DUMMYFUNCTION("""COMPUTED_VALUE"""),4.0)</f>
        <v>4</v>
      </c>
      <c r="R428" s="16">
        <f>IFERROR(__xludf.DUMMYFUNCTION("""COMPUTED_VALUE"""),-2.0)</f>
        <v>-2</v>
      </c>
      <c r="S428" s="16">
        <f>IFERROR(__xludf.DUMMYFUNCTION("""COMPUTED_VALUE"""),-2.0)</f>
        <v>-2</v>
      </c>
      <c r="T428" s="16">
        <f>IFERROR(__xludf.DUMMYFUNCTION("""COMPUTED_VALUE"""),-2.0)</f>
        <v>-2</v>
      </c>
      <c r="U428" s="16">
        <f>IFERROR(__xludf.DUMMYFUNCTION("""COMPUTED_VALUE"""),-2.0)</f>
        <v>-2</v>
      </c>
      <c r="V428" s="16">
        <f>IFERROR(__xludf.DUMMYFUNCTION("""COMPUTED_VALUE"""),10.7)</f>
        <v>10.7</v>
      </c>
      <c r="W428" s="16">
        <f>IFERROR(__xludf.DUMMYFUNCTION("""COMPUTED_VALUE"""),14.6)</f>
        <v>14.6</v>
      </c>
      <c r="X428" s="16">
        <f>IFERROR(__xludf.DUMMYFUNCTION("""COMPUTED_VALUE"""),-1.0)</f>
        <v>-1</v>
      </c>
      <c r="Y428" s="16">
        <f>IFERROR(__xludf.DUMMYFUNCTION("""COMPUTED_VALUE"""),-1.0)</f>
        <v>-1</v>
      </c>
      <c r="Z428" s="16">
        <f>IFERROR(__xludf.DUMMYFUNCTION("""COMPUTED_VALUE"""),-2.0)</f>
        <v>-2</v>
      </c>
      <c r="AA428" s="16">
        <f>IFERROR(__xludf.DUMMYFUNCTION("""COMPUTED_VALUE"""),-2.0)</f>
        <v>-2</v>
      </c>
      <c r="AB428" s="16">
        <f>IFERROR(__xludf.DUMMYFUNCTION("""COMPUTED_VALUE"""),15.7)</f>
        <v>15.7</v>
      </c>
      <c r="AC428" s="16">
        <f>IFERROR(__xludf.DUMMYFUNCTION("""COMPUTED_VALUE"""),21.5)</f>
        <v>21.5</v>
      </c>
      <c r="AD428" s="16">
        <f>IFERROR(__xludf.DUMMYFUNCTION("""COMPUTED_VALUE"""),-2.0)</f>
        <v>-2</v>
      </c>
      <c r="AE428" s="16">
        <f>IFERROR(__xludf.DUMMYFUNCTION("""COMPUTED_VALUE"""),-2.0)</f>
        <v>-2</v>
      </c>
      <c r="AF428" s="16">
        <f>IFERROR(__xludf.DUMMYFUNCTION("""COMPUTED_VALUE"""),-10.0)</f>
        <v>-10</v>
      </c>
      <c r="AG428" s="16">
        <f>IFERROR(__xludf.DUMMYFUNCTION("""COMPUTED_VALUE"""),-10.0)</f>
        <v>-10</v>
      </c>
      <c r="AH428" s="16">
        <f>IFERROR(__xludf.DUMMYFUNCTION("""COMPUTED_VALUE"""),22.9)</f>
        <v>22.9</v>
      </c>
      <c r="AI428" s="16">
        <f>IFERROR(__xludf.DUMMYFUNCTION("""COMPUTED_VALUE"""),24.7)</f>
        <v>24.7</v>
      </c>
      <c r="AJ428" s="16">
        <f>IFERROR(__xludf.DUMMYFUNCTION("""COMPUTED_VALUE"""),-1.0)</f>
        <v>-1</v>
      </c>
      <c r="AK428" s="16">
        <f>IFERROR(__xludf.DUMMYFUNCTION("""COMPUTED_VALUE"""),-1.0)</f>
        <v>-1</v>
      </c>
      <c r="AL428" s="16">
        <f>IFERROR(__xludf.DUMMYFUNCTION("""COMPUTED_VALUE"""),-5.0)</f>
        <v>-5</v>
      </c>
      <c r="AM428" s="16">
        <f>IFERROR(__xludf.DUMMYFUNCTION("""COMPUTED_VALUE"""),-5.0)</f>
        <v>-5</v>
      </c>
      <c r="AN428" s="16">
        <f>IFERROR(__xludf.DUMMYFUNCTION("""COMPUTED_VALUE"""),0.0)</f>
        <v>0</v>
      </c>
      <c r="AO428" s="16">
        <f>IFERROR(__xludf.DUMMYFUNCTION("""COMPUTED_VALUE"""),0.5)</f>
        <v>0.5</v>
      </c>
      <c r="AP428" s="16">
        <f>IFERROR(__xludf.DUMMYFUNCTION("""COMPUTED_VALUE"""),-2.0)</f>
        <v>-2</v>
      </c>
      <c r="AQ428" s="16">
        <f>IFERROR(__xludf.DUMMYFUNCTION("""COMPUTED_VALUE"""),-2.0)</f>
        <v>-2</v>
      </c>
      <c r="AR428" s="16">
        <f>IFERROR(__xludf.DUMMYFUNCTION("""COMPUTED_VALUE"""),-4.0)</f>
        <v>-4</v>
      </c>
      <c r="AS428" s="16">
        <f>IFERROR(__xludf.DUMMYFUNCTION("""COMPUTED_VALUE"""),-4.0)</f>
        <v>-4</v>
      </c>
      <c r="AT428" s="16"/>
      <c r="AU428" s="16">
        <f>IFERROR(__xludf.DUMMYFUNCTION("""COMPUTED_VALUE"""),0.0)</f>
        <v>0</v>
      </c>
      <c r="AV428" s="16">
        <f>IFERROR(__xludf.DUMMYFUNCTION("""COMPUTED_VALUE"""),-3.0)</f>
        <v>-3</v>
      </c>
      <c r="AW428" s="16">
        <f>IFERROR(__xludf.DUMMYFUNCTION("""COMPUTED_VALUE"""),0.0)</f>
        <v>0</v>
      </c>
      <c r="AX428" s="16">
        <f>IFERROR(__xludf.DUMMYFUNCTION("""COMPUTED_VALUE"""),-3.0)</f>
        <v>-3</v>
      </c>
      <c r="AY428" s="16">
        <f>IFERROR(__xludf.DUMMYFUNCTION("""COMPUTED_VALUE"""),-2.0)</f>
        <v>-2</v>
      </c>
      <c r="AZ428" s="16">
        <f>IFERROR(__xludf.DUMMYFUNCTION("""COMPUTED_VALUE"""),-9.0)</f>
        <v>-9</v>
      </c>
      <c r="BA428" s="16">
        <f>IFERROR(__xludf.DUMMYFUNCTION("""COMPUTED_VALUE"""),-6.0)</f>
        <v>-6</v>
      </c>
      <c r="BB428" s="16">
        <f>IFERROR(__xludf.DUMMYFUNCTION("""COMPUTED_VALUE"""),0.0)</f>
        <v>0</v>
      </c>
      <c r="BC428" s="16">
        <f>IFERROR(__xludf.DUMMYFUNCTION("""COMPUTED_VALUE"""),5.0)</f>
        <v>5</v>
      </c>
      <c r="BD428" s="16">
        <f>IFERROR(__xludf.DUMMYFUNCTION("""COMPUTED_VALUE"""),0.0)</f>
        <v>0</v>
      </c>
      <c r="BE428" s="16">
        <f>IFERROR(__xludf.DUMMYFUNCTION("""COMPUTED_VALUE"""),1.0)</f>
        <v>1</v>
      </c>
      <c r="BF428" s="16">
        <f>IFERROR(__xludf.DUMMYFUNCTION("""COMPUTED_VALUE"""),0.0)</f>
        <v>0</v>
      </c>
      <c r="BG428" s="16">
        <f>IFERROR(__xludf.DUMMYFUNCTION("""COMPUTED_VALUE"""),1.0)</f>
        <v>1</v>
      </c>
      <c r="BH428" s="16">
        <f>IFERROR(__xludf.DUMMYFUNCTION("""COMPUTED_VALUE"""),0.0)</f>
        <v>0</v>
      </c>
      <c r="BI428" s="16">
        <f>IFERROR(__xludf.DUMMYFUNCTION("""COMPUTED_VALUE"""),6.0)</f>
        <v>6</v>
      </c>
      <c r="BJ428" s="16">
        <f>IFERROR(__xludf.DUMMYFUNCTION("""COMPUTED_VALUE"""),5.0)</f>
        <v>5</v>
      </c>
      <c r="BK428" s="16">
        <f>IFERROR(__xludf.DUMMYFUNCTION("""COMPUTED_VALUE"""),5.0)</f>
        <v>5</v>
      </c>
      <c r="BL428" s="16">
        <f>IFERROR(__xludf.DUMMYFUNCTION("""COMPUTED_VALUE"""),1.0)</f>
        <v>1</v>
      </c>
      <c r="BM428" s="16">
        <f>IFERROR(__xludf.DUMMYFUNCTION("""COMPUTED_VALUE"""),1.0)</f>
        <v>1</v>
      </c>
      <c r="BN428" s="16">
        <f>IFERROR(__xludf.DUMMYFUNCTION("""COMPUTED_VALUE"""),1.0)</f>
        <v>1</v>
      </c>
      <c r="BO428" s="16">
        <f>IFERROR(__xludf.DUMMYFUNCTION("""COMPUTED_VALUE"""),1.0)</f>
        <v>1</v>
      </c>
      <c r="BP428" s="16">
        <f>IFERROR(__xludf.DUMMYFUNCTION("""COMPUTED_VALUE"""),-12.0)</f>
        <v>-12</v>
      </c>
      <c r="BQ428" s="16">
        <f>IFERROR(__xludf.DUMMYFUNCTION("""COMPUTED_VALUE"""),-10.0)</f>
        <v>-10</v>
      </c>
      <c r="BR428" s="16">
        <f>IFERROR(__xludf.DUMMYFUNCTION("""COMPUTED_VALUE"""),-22.0)</f>
        <v>-22</v>
      </c>
      <c r="BS428" s="16" t="str">
        <f>IFERROR(__xludf.DUMMYFUNCTION("""COMPUTED_VALUE"""),"2-6/- (3-1)")</f>
        <v>2-6/- (3-1)</v>
      </c>
      <c r="BT428" s="16" t="str">
        <f>IFERROR(__xludf.DUMMYFUNCTION("""COMPUTED_VALUE"""),"E")</f>
        <v>E</v>
      </c>
      <c r="BU428" s="16">
        <f>IFERROR(__xludf.DUMMYFUNCTION("""COMPUTED_VALUE"""),13.0)</f>
        <v>13</v>
      </c>
      <c r="BV428" s="16">
        <f>IFERROR(__xludf.DUMMYFUNCTION("""COMPUTED_VALUE"""),0.0)</f>
        <v>0</v>
      </c>
      <c r="BW428" s="16">
        <f>IFERROR(__xludf.DUMMYFUNCTION("""COMPUTED_VALUE"""),1.0)</f>
        <v>1</v>
      </c>
      <c r="BX428" s="16">
        <f>IFERROR(__xludf.DUMMYFUNCTION("""COMPUTED_VALUE"""),0.0)</f>
        <v>0</v>
      </c>
      <c r="BY428" s="16">
        <f>IFERROR(__xludf.DUMMYFUNCTION("""COMPUTED_VALUE"""),3.0)</f>
        <v>3</v>
      </c>
      <c r="BZ428" s="16" t="str">
        <f>IFERROR(__xludf.DUMMYFUNCTION("""COMPUTED_VALUE"""),"D")</f>
        <v>D</v>
      </c>
      <c r="CA428" s="16" t="str">
        <f>IFERROR(__xludf.DUMMYFUNCTION("""COMPUTED_VALUE"""),"D")</f>
        <v>D</v>
      </c>
      <c r="CB428" s="16">
        <f>IFERROR(__xludf.DUMMYFUNCTION("""COMPUTED_VALUE"""),0.0)</f>
        <v>0</v>
      </c>
      <c r="CC428" s="16">
        <f>IFERROR(__xludf.DUMMYFUNCTION("""COMPUTED_VALUE"""),0.0)</f>
        <v>0</v>
      </c>
      <c r="CD428" s="16">
        <f>IFERROR(__xludf.DUMMYFUNCTION("""COMPUTED_VALUE"""),0.0)</f>
        <v>0</v>
      </c>
      <c r="CE428" s="16">
        <f>IFERROR(__xludf.DUMMYFUNCTION("""COMPUTED_VALUE"""),0.0)</f>
        <v>0</v>
      </c>
      <c r="CF428" s="16">
        <f>IFERROR(__xludf.DUMMYFUNCTION("""COMPUTED_VALUE"""),1.0)</f>
        <v>1</v>
      </c>
      <c r="CG428" s="16">
        <f>IFERROR(__xludf.DUMMYFUNCTION("""COMPUTED_VALUE"""),-33.0)</f>
        <v>-33</v>
      </c>
      <c r="CH428" s="16">
        <f>IFERROR(__xludf.DUMMYFUNCTION("""COMPUTED_VALUE"""),-29.0)</f>
        <v>-29</v>
      </c>
      <c r="CI428" s="179">
        <f>IFERROR(__xludf.DUMMYFUNCTION("""COMPUTED_VALUE"""),-26.0)</f>
        <v>-26</v>
      </c>
      <c r="CJ428" s="16"/>
      <c r="CK428" s="16"/>
      <c r="CL428" s="16"/>
      <c r="CM428" s="16"/>
      <c r="CN428" s="16"/>
      <c r="CO428" s="16">
        <f>IFERROR(__xludf.DUMMYFUNCTION("""COMPUTED_VALUE"""),303.0)</f>
        <v>303</v>
      </c>
      <c r="CP428" s="16">
        <f>IFERROR(__xludf.DUMMYFUNCTION("""COMPUTED_VALUE"""),403.0)</f>
        <v>403</v>
      </c>
      <c r="CQ428" s="16">
        <f>IFERROR(__xludf.DUMMYFUNCTION("""COMPUTED_VALUE"""),303.0)</f>
        <v>303</v>
      </c>
      <c r="CR428" s="16" t="str">
        <f>IFERROR(__xludf.DUMMYFUNCTION("""COMPUTED_VALUE"""),"lf-3(0)e3 cf-4e3 rf-3e3")</f>
        <v>lf-3(0)e3 cf-4e3 rf-3e3</v>
      </c>
      <c r="CS428" s="16"/>
      <c r="CT428" s="16"/>
      <c r="CU428" s="16"/>
      <c r="CV428" s="16"/>
      <c r="CW428" s="16"/>
      <c r="CX428" s="16">
        <f>IFERROR(__xludf.DUMMYFUNCTION("""COMPUTED_VALUE"""),3.0)</f>
        <v>3</v>
      </c>
      <c r="CY428" s="16">
        <f>IFERROR(__xludf.DUMMYFUNCTION("""COMPUTED_VALUE"""),4.0)</f>
        <v>4</v>
      </c>
      <c r="CZ428" s="16">
        <f>IFERROR(__xludf.DUMMYFUNCTION("""COMPUTED_VALUE"""),3.0)</f>
        <v>3</v>
      </c>
      <c r="DA428" s="16"/>
      <c r="DB428" s="16"/>
      <c r="DC428" s="16"/>
      <c r="DD428" s="16"/>
      <c r="DE428" s="16"/>
      <c r="DF428" s="16">
        <f>IFERROR(__xludf.DUMMYFUNCTION("""COMPUTED_VALUE"""),3.0)</f>
        <v>3</v>
      </c>
      <c r="DG428" s="16">
        <f>IFERROR(__xludf.DUMMYFUNCTION("""COMPUTED_VALUE"""),3.0)</f>
        <v>3</v>
      </c>
      <c r="DH428" s="16">
        <f>IFERROR(__xludf.DUMMYFUNCTION("""COMPUTED_VALUE"""),3.0)</f>
        <v>3</v>
      </c>
      <c r="DI428" s="16"/>
      <c r="DJ428" s="16"/>
      <c r="DK428" s="16"/>
      <c r="DL428" s="16"/>
      <c r="DM428" s="16"/>
      <c r="DN428" s="16">
        <f>IFERROR(__xludf.DUMMYFUNCTION("""COMPUTED_VALUE"""),0.0)</f>
        <v>0</v>
      </c>
      <c r="DO428" s="16">
        <f>IFERROR(__xludf.DUMMYFUNCTION("""COMPUTED_VALUE"""),-2.0)</f>
        <v>-2</v>
      </c>
      <c r="DP428" s="16">
        <f>IFERROR(__xludf.DUMMYFUNCTION("""COMPUTED_VALUE"""),0.0)</f>
        <v>0</v>
      </c>
      <c r="DQ428" s="16"/>
      <c r="DR428" s="16"/>
      <c r="DS428" s="16"/>
      <c r="DT428" s="16"/>
      <c r="DU428" s="16"/>
      <c r="DV428" s="16">
        <f>IFERROR(__xludf.DUMMYFUNCTION("""COMPUTED_VALUE"""),4.0)</f>
        <v>4</v>
      </c>
      <c r="DW428" s="16">
        <f>IFERROR(__xludf.DUMMYFUNCTION("""COMPUTED_VALUE"""),4.0)</f>
        <v>4</v>
      </c>
      <c r="DX428" s="16">
        <f>IFERROR(__xludf.DUMMYFUNCTION("""COMPUTED_VALUE"""),4.0)</f>
        <v>4</v>
      </c>
      <c r="DY428" s="16"/>
      <c r="DZ428" s="16"/>
      <c r="EA428" s="16"/>
      <c r="EB428" s="16"/>
      <c r="EC428" s="16"/>
      <c r="ED428" s="16">
        <f>IFERROR(__xludf.DUMMYFUNCTION("""COMPUTED_VALUE"""),4.0)</f>
        <v>4</v>
      </c>
      <c r="EE428" s="16">
        <f>IFERROR(__xludf.DUMMYFUNCTION("""COMPUTED_VALUE"""),2.0)</f>
        <v>2</v>
      </c>
      <c r="EF428" s="16">
        <f>IFERROR(__xludf.DUMMYFUNCTION("""COMPUTED_VALUE"""),4.0)</f>
        <v>4</v>
      </c>
      <c r="EG428" s="179"/>
      <c r="EH428" s="179"/>
      <c r="EI428" s="179"/>
      <c r="EJ428" s="179"/>
      <c r="EK428" s="179"/>
      <c r="EL428" s="179">
        <f>IFERROR(__xludf.DUMMYFUNCTION("""COMPUTED_VALUE"""),-22.0)</f>
        <v>-22</v>
      </c>
      <c r="EM428" s="179">
        <f>IFERROR(__xludf.DUMMYFUNCTION("""COMPUTED_VALUE"""),-24.0)</f>
        <v>-24</v>
      </c>
      <c r="EN428" s="179">
        <f>IFERROR(__xludf.DUMMYFUNCTION("""COMPUTED_VALUE"""),-22.0)</f>
        <v>-22</v>
      </c>
      <c r="EO428" s="16"/>
      <c r="EP428" s="16"/>
      <c r="EQ428" s="16">
        <f>IFERROR(__xludf.DUMMYFUNCTION("""COMPUTED_VALUE"""),4.0)</f>
        <v>4</v>
      </c>
      <c r="ER428" s="16">
        <f>IFERROR(__xludf.DUMMYFUNCTION("""COMPUTED_VALUE"""),-1.0)</f>
        <v>-1</v>
      </c>
      <c r="ES428" s="16"/>
      <c r="ET428" s="16"/>
      <c r="EU428" s="16"/>
      <c r="EV428" s="16"/>
      <c r="EW428" s="16"/>
      <c r="EX428" s="180"/>
      <c r="EY428" s="180"/>
      <c r="EZ428" s="180"/>
      <c r="FA428" s="180"/>
      <c r="FB428" s="180"/>
      <c r="FC428" s="180">
        <f>IFERROR(__xludf.DUMMYFUNCTION("""COMPUTED_VALUE"""),0.3)</f>
        <v>0.3</v>
      </c>
      <c r="FD428" s="180">
        <f>IFERROR(__xludf.DUMMYFUNCTION("""COMPUTED_VALUE"""),0.55)</f>
        <v>0.55</v>
      </c>
      <c r="FE428" s="180">
        <f>IFERROR(__xludf.DUMMYFUNCTION("""COMPUTED_VALUE"""),0.3)</f>
        <v>0.3</v>
      </c>
      <c r="FF428" s="180"/>
      <c r="FG428" s="180"/>
      <c r="FH428" s="180"/>
      <c r="FI428" s="180"/>
      <c r="FJ428" s="180"/>
      <c r="FK428" s="180">
        <f>IFERROR(__xludf.DUMMYFUNCTION("""COMPUTED_VALUE"""),0.056)</f>
        <v>0.056</v>
      </c>
      <c r="FL428" s="180">
        <f>IFERROR(__xludf.DUMMYFUNCTION("""COMPUTED_VALUE"""),0.037037037037037035)</f>
        <v>0.03703703704</v>
      </c>
      <c r="FM428" s="180">
        <f>IFERROR(__xludf.DUMMYFUNCTION("""COMPUTED_VALUE"""),0.056)</f>
        <v>0.056</v>
      </c>
      <c r="FN428" s="16"/>
      <c r="FO428" s="16"/>
      <c r="FP428" s="16"/>
      <c r="FQ428" s="16"/>
      <c r="FR428" s="16"/>
      <c r="FS428" s="16">
        <f>IFERROR(__xludf.DUMMYFUNCTION("""COMPUTED_VALUE"""),0.6607999999999999)</f>
        <v>0.6608</v>
      </c>
      <c r="FT428" s="16">
        <f>IFERROR(__xludf.DUMMYFUNCTION("""COMPUTED_VALUE"""),0.4333333333333333)</f>
        <v>0.4333333333</v>
      </c>
      <c r="FU428" s="16">
        <f>IFERROR(__xludf.DUMMYFUNCTION("""COMPUTED_VALUE"""),0.6607999999999999)</f>
        <v>0.6608</v>
      </c>
      <c r="FV428" s="16"/>
      <c r="FW428" s="16"/>
      <c r="FX428" s="16"/>
      <c r="FY428" s="16"/>
      <c r="FZ428" s="16"/>
      <c r="GA428" s="16">
        <f>IFERROR(__xludf.DUMMYFUNCTION("""COMPUTED_VALUE"""),-4.0)</f>
        <v>-4</v>
      </c>
      <c r="GB428" s="16">
        <f>IFERROR(__xludf.DUMMYFUNCTION("""COMPUTED_VALUE"""),-8.0)</f>
        <v>-8</v>
      </c>
      <c r="GC428" s="16">
        <f>IFERROR(__xludf.DUMMYFUNCTION("""COMPUTED_VALUE"""),-4.0)</f>
        <v>-4</v>
      </c>
      <c r="GD428" s="16" t="s">
        <v>333</v>
      </c>
    </row>
    <row r="429">
      <c r="A429" s="16">
        <f>IFERROR(__xludf.DUMMYFUNCTION("""COMPUTED_VALUE"""),12546.0)</f>
        <v>12546</v>
      </c>
      <c r="B429" s="16" t="str">
        <f>IFERROR(__xludf.DUMMYFUNCTION("""COMPUTED_VALUE"""),"Andruw Monasterio")</f>
        <v>Andruw Monasterio</v>
      </c>
      <c r="C429" s="16">
        <f>IFERROR(__xludf.DUMMYFUNCTION("""COMPUTED_VALUE"""),0.0)</f>
        <v>0</v>
      </c>
      <c r="D429" s="16" t="str">
        <f>IFERROR(__xludf.DUMMYFUNCTION("""COMPUTED_VALUE"""),"R")</f>
        <v>R</v>
      </c>
      <c r="E429" s="16"/>
      <c r="F429" s="16"/>
      <c r="G429" s="16">
        <f>IFERROR(__xludf.DUMMYFUNCTION("""COMPUTED_VALUE"""),125.0)</f>
        <v>125</v>
      </c>
      <c r="H429" s="16">
        <f>IFERROR(__xludf.DUMMYFUNCTION("""COMPUTED_VALUE"""),16.0)</f>
        <v>16</v>
      </c>
      <c r="I429" s="16" t="str">
        <f>IFERROR(__xludf.DUMMYFUNCTION("""COMPUTED_VALUE"""),"1p30")</f>
        <v>1p30</v>
      </c>
      <c r="J429" s="16">
        <f>IFERROR(__xludf.DUMMYFUNCTION("""COMPUTED_VALUE"""),25.0)</f>
        <v>25</v>
      </c>
      <c r="K429" s="16">
        <f>IFERROR(__xludf.DUMMYFUNCTION("""COMPUTED_VALUE"""),46.0)</f>
        <v>46</v>
      </c>
      <c r="L429" s="16">
        <f>IFERROR(__xludf.DUMMYFUNCTION("""COMPUTED_VALUE"""),0.0)</f>
        <v>0</v>
      </c>
      <c r="M429" s="16">
        <f>IFERROR(__xludf.DUMMYFUNCTION("""COMPUTED_VALUE"""),-2.0)</f>
        <v>-2</v>
      </c>
      <c r="N429" s="16">
        <f>IFERROR(__xludf.DUMMYFUNCTION("""COMPUTED_VALUE"""),0.0)</f>
        <v>0</v>
      </c>
      <c r="O429" s="16">
        <f>IFERROR(__xludf.DUMMYFUNCTION("""COMPUTED_VALUE"""),-2.0)</f>
        <v>-2</v>
      </c>
      <c r="P429" s="16">
        <f>IFERROR(__xludf.DUMMYFUNCTION("""COMPUTED_VALUE"""),19.0)</f>
        <v>19</v>
      </c>
      <c r="Q429" s="16">
        <f>IFERROR(__xludf.DUMMYFUNCTION("""COMPUTED_VALUE"""),14.0)</f>
        <v>14</v>
      </c>
      <c r="R429" s="16">
        <f>IFERROR(__xludf.DUMMYFUNCTION("""COMPUTED_VALUE"""),3.0)</f>
        <v>3</v>
      </c>
      <c r="S429" s="16">
        <f>IFERROR(__xludf.DUMMYFUNCTION("""COMPUTED_VALUE"""),2.0)</f>
        <v>2</v>
      </c>
      <c r="T429" s="16">
        <f>IFERROR(__xludf.DUMMYFUNCTION("""COMPUTED_VALUE"""),3.0)</f>
        <v>3</v>
      </c>
      <c r="U429" s="16">
        <f>IFERROR(__xludf.DUMMYFUNCTION("""COMPUTED_VALUE"""),2.0)</f>
        <v>2</v>
      </c>
      <c r="V429" s="16">
        <f>IFERROR(__xludf.DUMMYFUNCTION("""COMPUTED_VALUE"""),12.3)</f>
        <v>12.3</v>
      </c>
      <c r="W429" s="16">
        <f>IFERROR(__xludf.DUMMYFUNCTION("""COMPUTED_VALUE"""),12.1)</f>
        <v>12.1</v>
      </c>
      <c r="X429" s="16">
        <f>IFERROR(__xludf.DUMMYFUNCTION("""COMPUTED_VALUE"""),-1.0)</f>
        <v>-1</v>
      </c>
      <c r="Y429" s="16">
        <f>IFERROR(__xludf.DUMMYFUNCTION("""COMPUTED_VALUE"""),-2.0)</f>
        <v>-2</v>
      </c>
      <c r="Z429" s="16">
        <f>IFERROR(__xludf.DUMMYFUNCTION("""COMPUTED_VALUE"""),-2.0)</f>
        <v>-2</v>
      </c>
      <c r="AA429" s="16">
        <f>IFERROR(__xludf.DUMMYFUNCTION("""COMPUTED_VALUE"""),-4.0)</f>
        <v>-4</v>
      </c>
      <c r="AB429" s="16">
        <f>IFERROR(__xludf.DUMMYFUNCTION("""COMPUTED_VALUE"""),33.3)</f>
        <v>33.3</v>
      </c>
      <c r="AC429" s="16">
        <f>IFERROR(__xludf.DUMMYFUNCTION("""COMPUTED_VALUE"""),28.1)</f>
        <v>28.1</v>
      </c>
      <c r="AD429" s="16">
        <f>IFERROR(__xludf.DUMMYFUNCTION("""COMPUTED_VALUE"""),0.0)</f>
        <v>0</v>
      </c>
      <c r="AE429" s="16">
        <f>IFERROR(__xludf.DUMMYFUNCTION("""COMPUTED_VALUE"""),-1.0)</f>
        <v>-1</v>
      </c>
      <c r="AF429" s="16">
        <f>IFERROR(__xludf.DUMMYFUNCTION("""COMPUTED_VALUE"""),0.0)</f>
        <v>0</v>
      </c>
      <c r="AG429" s="16">
        <f>IFERROR(__xludf.DUMMYFUNCTION("""COMPUTED_VALUE"""),-5.0)</f>
        <v>-5</v>
      </c>
      <c r="AH429" s="16">
        <f>IFERROR(__xludf.DUMMYFUNCTION("""COMPUTED_VALUE"""),22.6)</f>
        <v>22.6</v>
      </c>
      <c r="AI429" s="16">
        <f>IFERROR(__xludf.DUMMYFUNCTION("""COMPUTED_VALUE"""),14.5)</f>
        <v>14.5</v>
      </c>
      <c r="AJ429" s="16">
        <f>IFERROR(__xludf.DUMMYFUNCTION("""COMPUTED_VALUE"""),-1.0)</f>
        <v>-1</v>
      </c>
      <c r="AK429" s="16">
        <f>IFERROR(__xludf.DUMMYFUNCTION("""COMPUTED_VALUE"""),-2.0)</f>
        <v>-2</v>
      </c>
      <c r="AL429" s="16">
        <f>IFERROR(__xludf.DUMMYFUNCTION("""COMPUTED_VALUE"""),-5.0)</f>
        <v>-5</v>
      </c>
      <c r="AM429" s="16">
        <f>IFERROR(__xludf.DUMMYFUNCTION("""COMPUTED_VALUE"""),-10.0)</f>
        <v>-10</v>
      </c>
      <c r="AN429" s="16">
        <f>IFERROR(__xludf.DUMMYFUNCTION("""COMPUTED_VALUE"""),2.8)</f>
        <v>2.8</v>
      </c>
      <c r="AO429" s="16">
        <f>IFERROR(__xludf.DUMMYFUNCTION("""COMPUTED_VALUE"""),0.0)</f>
        <v>0</v>
      </c>
      <c r="AP429" s="16">
        <f>IFERROR(__xludf.DUMMYFUNCTION("""COMPUTED_VALUE"""),1.0)</f>
        <v>1</v>
      </c>
      <c r="AQ429" s="16">
        <f>IFERROR(__xludf.DUMMYFUNCTION("""COMPUTED_VALUE"""),-3.0)</f>
        <v>-3</v>
      </c>
      <c r="AR429" s="16">
        <f>IFERROR(__xludf.DUMMYFUNCTION("""COMPUTED_VALUE"""),2.0)</f>
        <v>2</v>
      </c>
      <c r="AS429" s="16">
        <f>IFERROR(__xludf.DUMMYFUNCTION("""COMPUTED_VALUE"""),-6.0)</f>
        <v>-6</v>
      </c>
      <c r="AT429" s="16"/>
      <c r="AU429" s="16"/>
      <c r="AV429" s="16">
        <f>IFERROR(__xludf.DUMMYFUNCTION("""COMPUTED_VALUE"""),-3.0)</f>
        <v>-3</v>
      </c>
      <c r="AW429" s="16">
        <f>IFERROR(__xludf.DUMMYFUNCTION("""COMPUTED_VALUE"""),-3.0)</f>
        <v>-3</v>
      </c>
      <c r="AX429" s="16">
        <f>IFERROR(__xludf.DUMMYFUNCTION("""COMPUTED_VALUE"""),-3.0)</f>
        <v>-3</v>
      </c>
      <c r="AY429" s="16">
        <f>IFERROR(__xludf.DUMMYFUNCTION("""COMPUTED_VALUE"""),-3.0)</f>
        <v>-3</v>
      </c>
      <c r="AZ429" s="16">
        <f>IFERROR(__xludf.DUMMYFUNCTION("""COMPUTED_VALUE"""),-9.0)</f>
        <v>-9</v>
      </c>
      <c r="BA429" s="16">
        <f>IFERROR(__xludf.DUMMYFUNCTION("""COMPUTED_VALUE"""),-9.0)</f>
        <v>-9</v>
      </c>
      <c r="BB429" s="16">
        <f>IFERROR(__xludf.DUMMYFUNCTION("""COMPUTED_VALUE"""),5.0)</f>
        <v>5</v>
      </c>
      <c r="BC429" s="16">
        <f>IFERROR(__xludf.DUMMYFUNCTION("""COMPUTED_VALUE"""),5.0)</f>
        <v>5</v>
      </c>
      <c r="BD429" s="16">
        <f>IFERROR(__xludf.DUMMYFUNCTION("""COMPUTED_VALUE"""),1.0)</f>
        <v>1</v>
      </c>
      <c r="BE429" s="16">
        <f>IFERROR(__xludf.DUMMYFUNCTION("""COMPUTED_VALUE"""),1.0)</f>
        <v>1</v>
      </c>
      <c r="BF429" s="16">
        <f>IFERROR(__xludf.DUMMYFUNCTION("""COMPUTED_VALUE"""),1.0)</f>
        <v>1</v>
      </c>
      <c r="BG429" s="16">
        <f>IFERROR(__xludf.DUMMYFUNCTION("""COMPUTED_VALUE"""),1.0)</f>
        <v>1</v>
      </c>
      <c r="BH429" s="16">
        <f>IFERROR(__xludf.DUMMYFUNCTION("""COMPUTED_VALUE"""),5.0)</f>
        <v>5</v>
      </c>
      <c r="BI429" s="16">
        <f>IFERROR(__xludf.DUMMYFUNCTION("""COMPUTED_VALUE"""),6.0)</f>
        <v>6</v>
      </c>
      <c r="BJ429" s="16">
        <f>IFERROR(__xludf.DUMMYFUNCTION("""COMPUTED_VALUE"""),15.0)</f>
        <v>15</v>
      </c>
      <c r="BK429" s="16">
        <f>IFERROR(__xludf.DUMMYFUNCTION("""COMPUTED_VALUE"""),16.0)</f>
        <v>16</v>
      </c>
      <c r="BL429" s="16">
        <f>IFERROR(__xludf.DUMMYFUNCTION("""COMPUTED_VALUE"""),-1.0)</f>
        <v>-1</v>
      </c>
      <c r="BM429" s="16">
        <f>IFERROR(__xludf.DUMMYFUNCTION("""COMPUTED_VALUE"""),-1.0)</f>
        <v>-1</v>
      </c>
      <c r="BN429" s="16">
        <f>IFERROR(__xludf.DUMMYFUNCTION("""COMPUTED_VALUE"""),-2.0)</f>
        <v>-2</v>
      </c>
      <c r="BO429" s="16">
        <f>IFERROR(__xludf.DUMMYFUNCTION("""COMPUTED_VALUE"""),-2.0)</f>
        <v>-2</v>
      </c>
      <c r="BP429" s="16">
        <f>IFERROR(__xludf.DUMMYFUNCTION("""COMPUTED_VALUE"""),-1.0)</f>
        <v>-1</v>
      </c>
      <c r="BQ429" s="16">
        <f>IFERROR(__xludf.DUMMYFUNCTION("""COMPUTED_VALUE"""),-11.0)</f>
        <v>-11</v>
      </c>
      <c r="BR429" s="16">
        <f>IFERROR(__xludf.DUMMYFUNCTION("""COMPUTED_VALUE"""),-12.0)</f>
        <v>-12</v>
      </c>
      <c r="BS429" s="16" t="str">
        <f>IFERROR(__xludf.DUMMYFUNCTION("""COMPUTED_VALUE"""),"*4-6/- (18-13)")</f>
        <v>*4-6/- (18-13)</v>
      </c>
      <c r="BT429" s="16" t="str">
        <f>IFERROR(__xludf.DUMMYFUNCTION("""COMPUTED_VALUE"""),"B")</f>
        <v>B</v>
      </c>
      <c r="BU429" s="16">
        <f>IFERROR(__xludf.DUMMYFUNCTION("""COMPUTED_VALUE"""),13.0)</f>
        <v>13</v>
      </c>
      <c r="BV429" s="16">
        <f>IFERROR(__xludf.DUMMYFUNCTION("""COMPUTED_VALUE"""),1.0)</f>
        <v>1</v>
      </c>
      <c r="BW429" s="16">
        <f>IFERROR(__xludf.DUMMYFUNCTION("""COMPUTED_VALUE"""),1.0)</f>
        <v>1</v>
      </c>
      <c r="BX429" s="16">
        <f>IFERROR(__xludf.DUMMYFUNCTION("""COMPUTED_VALUE"""),2.0)</f>
        <v>2</v>
      </c>
      <c r="BY429" s="16">
        <f>IFERROR(__xludf.DUMMYFUNCTION("""COMPUTED_VALUE"""),3.0)</f>
        <v>3</v>
      </c>
      <c r="BZ429" s="16" t="str">
        <f>IFERROR(__xludf.DUMMYFUNCTION("""COMPUTED_VALUE"""),"D")</f>
        <v>D</v>
      </c>
      <c r="CA429" s="16" t="str">
        <f>IFERROR(__xludf.DUMMYFUNCTION("""COMPUTED_VALUE"""),"D")</f>
        <v>D</v>
      </c>
      <c r="CB429" s="16">
        <f>IFERROR(__xludf.DUMMYFUNCTION("""COMPUTED_VALUE"""),0.0)</f>
        <v>0</v>
      </c>
      <c r="CC429" s="16">
        <f>IFERROR(__xludf.DUMMYFUNCTION("""COMPUTED_VALUE"""),0.0)</f>
        <v>0</v>
      </c>
      <c r="CD429" s="16">
        <f>IFERROR(__xludf.DUMMYFUNCTION("""COMPUTED_VALUE"""),0.0)</f>
        <v>0</v>
      </c>
      <c r="CE429" s="16">
        <f>IFERROR(__xludf.DUMMYFUNCTION("""COMPUTED_VALUE"""),0.0)</f>
        <v>0</v>
      </c>
      <c r="CF429" s="16">
        <f>IFERROR(__xludf.DUMMYFUNCTION("""COMPUTED_VALUE"""),1.0)</f>
        <v>1</v>
      </c>
      <c r="CG429" s="16">
        <f>IFERROR(__xludf.DUMMYFUNCTION("""COMPUTED_VALUE"""),-12.0)</f>
        <v>-12</v>
      </c>
      <c r="CH429" s="16">
        <f>IFERROR(__xludf.DUMMYFUNCTION("""COMPUTED_VALUE"""),-35.0)</f>
        <v>-35</v>
      </c>
      <c r="CI429" s="179">
        <f>IFERROR(__xludf.DUMMYFUNCTION("""COMPUTED_VALUE"""),-26.0)</f>
        <v>-26</v>
      </c>
      <c r="CJ429" s="16"/>
      <c r="CK429" s="16">
        <f>IFERROR(__xludf.DUMMYFUNCTION("""COMPUTED_VALUE"""),425.0)</f>
        <v>425</v>
      </c>
      <c r="CL429" s="16">
        <f>IFERROR(__xludf.DUMMYFUNCTION("""COMPUTED_VALUE"""),311.0)</f>
        <v>311</v>
      </c>
      <c r="CM429" s="16">
        <f>IFERROR(__xludf.DUMMYFUNCTION("""COMPUTED_VALUE"""),344.0)</f>
        <v>344</v>
      </c>
      <c r="CN429" s="16"/>
      <c r="CO429" s="16">
        <f>IFERROR(__xludf.DUMMYFUNCTION("""COMPUTED_VALUE"""),525.0)</f>
        <v>525</v>
      </c>
      <c r="CP429" s="16"/>
      <c r="CQ429" s="16"/>
      <c r="CR429" s="16" t="str">
        <f>IFERROR(__xludf.DUMMYFUNCTION("""COMPUTED_VALUE"""),"3b-3e44 2b-3e11 1b-4e25 lf-5(+2)e25")</f>
        <v>3b-3e44 2b-3e11 1b-4e25 lf-5(+2)e25</v>
      </c>
      <c r="CS429" s="16"/>
      <c r="CT429" s="16">
        <f>IFERROR(__xludf.DUMMYFUNCTION("""COMPUTED_VALUE"""),4.0)</f>
        <v>4</v>
      </c>
      <c r="CU429" s="16">
        <f>IFERROR(__xludf.DUMMYFUNCTION("""COMPUTED_VALUE"""),3.0)</f>
        <v>3</v>
      </c>
      <c r="CV429" s="16">
        <f>IFERROR(__xludf.DUMMYFUNCTION("""COMPUTED_VALUE"""),3.0)</f>
        <v>3</v>
      </c>
      <c r="CW429" s="16"/>
      <c r="CX429" s="16">
        <f>IFERROR(__xludf.DUMMYFUNCTION("""COMPUTED_VALUE"""),5.0)</f>
        <v>5</v>
      </c>
      <c r="CY429" s="16"/>
      <c r="CZ429" s="16"/>
      <c r="DA429" s="16"/>
      <c r="DB429" s="16">
        <f>IFERROR(__xludf.DUMMYFUNCTION("""COMPUTED_VALUE"""),25.0)</f>
        <v>25</v>
      </c>
      <c r="DC429" s="16">
        <f>IFERROR(__xludf.DUMMYFUNCTION("""COMPUTED_VALUE"""),11.0)</f>
        <v>11</v>
      </c>
      <c r="DD429" s="16">
        <f>IFERROR(__xludf.DUMMYFUNCTION("""COMPUTED_VALUE"""),44.0)</f>
        <v>44</v>
      </c>
      <c r="DE429" s="16"/>
      <c r="DF429" s="16">
        <f>IFERROR(__xludf.DUMMYFUNCTION("""COMPUTED_VALUE"""),25.0)</f>
        <v>25</v>
      </c>
      <c r="DG429" s="16"/>
      <c r="DH429" s="16"/>
      <c r="DI429" s="16"/>
      <c r="DJ429" s="16">
        <f>IFERROR(__xludf.DUMMYFUNCTION("""COMPUTED_VALUE"""),0.0)</f>
        <v>0</v>
      </c>
      <c r="DK429" s="16">
        <f>IFERROR(__xludf.DUMMYFUNCTION("""COMPUTED_VALUE"""),0.0)</f>
        <v>0</v>
      </c>
      <c r="DL429" s="16">
        <f>IFERROR(__xludf.DUMMYFUNCTION("""COMPUTED_VALUE"""),1.0)</f>
        <v>1</v>
      </c>
      <c r="DM429" s="16"/>
      <c r="DN429" s="16">
        <f>IFERROR(__xludf.DUMMYFUNCTION("""COMPUTED_VALUE"""),-3.0)</f>
        <v>-3</v>
      </c>
      <c r="DO429" s="16"/>
      <c r="DP429" s="16"/>
      <c r="DQ429" s="16"/>
      <c r="DR429" s="16">
        <f>IFERROR(__xludf.DUMMYFUNCTION("""COMPUTED_VALUE"""),-2.0)</f>
        <v>-2</v>
      </c>
      <c r="DS429" s="16">
        <f>IFERROR(__xludf.DUMMYFUNCTION("""COMPUTED_VALUE"""),2.0)</f>
        <v>2</v>
      </c>
      <c r="DT429" s="16">
        <f>IFERROR(__xludf.DUMMYFUNCTION("""COMPUTED_VALUE"""),-2.0)</f>
        <v>-2</v>
      </c>
      <c r="DU429" s="16"/>
      <c r="DV429" s="16">
        <f>IFERROR(__xludf.DUMMYFUNCTION("""COMPUTED_VALUE"""),-4.0)</f>
        <v>-4</v>
      </c>
      <c r="DW429" s="16"/>
      <c r="DX429" s="16"/>
      <c r="DY429" s="16"/>
      <c r="DZ429" s="16">
        <f>IFERROR(__xludf.DUMMYFUNCTION("""COMPUTED_VALUE"""),-2.0)</f>
        <v>-2</v>
      </c>
      <c r="EA429" s="16">
        <f>IFERROR(__xludf.DUMMYFUNCTION("""COMPUTED_VALUE"""),2.0)</f>
        <v>2</v>
      </c>
      <c r="EB429" s="16">
        <f>IFERROR(__xludf.DUMMYFUNCTION("""COMPUTED_VALUE"""),-1.0)</f>
        <v>-1</v>
      </c>
      <c r="EC429" s="16"/>
      <c r="ED429" s="16">
        <f>IFERROR(__xludf.DUMMYFUNCTION("""COMPUTED_VALUE"""),-7.0)</f>
        <v>-7</v>
      </c>
      <c r="EE429" s="16"/>
      <c r="EF429" s="16"/>
      <c r="EG429" s="179"/>
      <c r="EH429" s="179">
        <f>IFERROR(__xludf.DUMMYFUNCTION("""COMPUTED_VALUE"""),-28.0)</f>
        <v>-28</v>
      </c>
      <c r="EI429" s="179">
        <f>IFERROR(__xludf.DUMMYFUNCTION("""COMPUTED_VALUE"""),-24.0)</f>
        <v>-24</v>
      </c>
      <c r="EJ429" s="179">
        <f>IFERROR(__xludf.DUMMYFUNCTION("""COMPUTED_VALUE"""),-27.0)</f>
        <v>-27</v>
      </c>
      <c r="EK429" s="179"/>
      <c r="EL429" s="179">
        <f>IFERROR(__xludf.DUMMYFUNCTION("""COMPUTED_VALUE"""),-33.0)</f>
        <v>-33</v>
      </c>
      <c r="EM429" s="179"/>
      <c r="EN429" s="179"/>
      <c r="EO429" s="16"/>
      <c r="EP429" s="16">
        <f>IFERROR(__xludf.DUMMYFUNCTION("""COMPUTED_VALUE"""),0.0)</f>
        <v>0</v>
      </c>
      <c r="EQ429" s="16">
        <f>IFERROR(__xludf.DUMMYFUNCTION("""COMPUTED_VALUE"""),4.0)</f>
        <v>4</v>
      </c>
      <c r="ER429" s="16">
        <f>IFERROR(__xludf.DUMMYFUNCTION("""COMPUTED_VALUE"""),-2.0)</f>
        <v>-2</v>
      </c>
      <c r="ES429" s="16"/>
      <c r="ET429" s="16"/>
      <c r="EU429" s="16"/>
      <c r="EV429" s="16"/>
      <c r="EW429" s="16"/>
      <c r="EX429" s="180"/>
      <c r="EY429" s="180">
        <f>IFERROR(__xludf.DUMMYFUNCTION("""COMPUTED_VALUE"""),0.3)</f>
        <v>0.3</v>
      </c>
      <c r="EZ429" s="180">
        <f>IFERROR(__xludf.DUMMYFUNCTION("""COMPUTED_VALUE"""),0.2)</f>
        <v>0.2</v>
      </c>
      <c r="FA429" s="180">
        <f>IFERROR(__xludf.DUMMYFUNCTION("""COMPUTED_VALUE"""),0.2)</f>
        <v>0.2</v>
      </c>
      <c r="FB429" s="180"/>
      <c r="FC429" s="180">
        <f>IFERROR(__xludf.DUMMYFUNCTION("""COMPUTED_VALUE"""),0.75)</f>
        <v>0.75</v>
      </c>
      <c r="FD429" s="180"/>
      <c r="FE429" s="180"/>
      <c r="FF429" s="180"/>
      <c r="FG429" s="180">
        <f>IFERROR(__xludf.DUMMYFUNCTION("""COMPUTED_VALUE"""),0.44907407407407407)</f>
        <v>0.4490740741</v>
      </c>
      <c r="FH429" s="180">
        <f>IFERROR(__xludf.DUMMYFUNCTION("""COMPUTED_VALUE"""),0.06481481481481481)</f>
        <v>0.06481481481</v>
      </c>
      <c r="FI429" s="180">
        <f>IFERROR(__xludf.DUMMYFUNCTION("""COMPUTED_VALUE"""),0.5277777777777778)</f>
        <v>0.5277777778</v>
      </c>
      <c r="FJ429" s="180"/>
      <c r="FK429" s="180">
        <f>IFERROR(__xludf.DUMMYFUNCTION("""COMPUTED_VALUE"""),0.449)</f>
        <v>0.449</v>
      </c>
      <c r="FL429" s="180"/>
      <c r="FM429" s="180"/>
      <c r="FN429" s="16"/>
      <c r="FO429" s="16">
        <f>IFERROR(__xludf.DUMMYFUNCTION("""COMPUTED_VALUE"""),0.38564814814814813)</f>
        <v>0.3856481481</v>
      </c>
      <c r="FP429" s="16">
        <f>IFERROR(__xludf.DUMMYFUNCTION("""COMPUTED_VALUE"""),0.7481481481481482)</f>
        <v>0.7481481481</v>
      </c>
      <c r="FQ429" s="16">
        <f>IFERROR(__xludf.DUMMYFUNCTION("""COMPUTED_VALUE"""),0.37777777777777777)</f>
        <v>0.3777777778</v>
      </c>
      <c r="FR429" s="16"/>
      <c r="FS429" s="16">
        <f>IFERROR(__xludf.DUMMYFUNCTION("""COMPUTED_VALUE"""),0.13774999999999998)</f>
        <v>0.13775</v>
      </c>
      <c r="FT429" s="16"/>
      <c r="FU429" s="16"/>
      <c r="FV429" s="16"/>
      <c r="FW429" s="16">
        <f>IFERROR(__xludf.DUMMYFUNCTION("""COMPUTED_VALUE"""),-8.0)</f>
        <v>-8</v>
      </c>
      <c r="FX429" s="16">
        <f>IFERROR(__xludf.DUMMYFUNCTION("""COMPUTED_VALUE"""),-4.0)</f>
        <v>-4</v>
      </c>
      <c r="FY429" s="16">
        <f>IFERROR(__xludf.DUMMYFUNCTION("""COMPUTED_VALUE"""),-8.0)</f>
        <v>-8</v>
      </c>
      <c r="FZ429" s="16"/>
      <c r="GA429" s="16">
        <f>IFERROR(__xludf.DUMMYFUNCTION("""COMPUTED_VALUE"""),-8.0)</f>
        <v>-8</v>
      </c>
      <c r="GB429" s="16"/>
      <c r="GC429" s="16"/>
      <c r="GD429" s="16" t="s">
        <v>176</v>
      </c>
    </row>
    <row r="430">
      <c r="A430" s="16">
        <f>IFERROR(__xludf.DUMMYFUNCTION("""COMPUTED_VALUE"""),12684.0)</f>
        <v>12684</v>
      </c>
      <c r="B430" s="16" t="str">
        <f>IFERROR(__xludf.DUMMYFUNCTION("""COMPUTED_VALUE"""),"Christian Vazquez")</f>
        <v>Christian Vazquez</v>
      </c>
      <c r="C430" s="16">
        <f>IFERROR(__xludf.DUMMYFUNCTION("""COMPUTED_VALUE"""),0.0)</f>
        <v>0</v>
      </c>
      <c r="D430" s="16" t="str">
        <f>IFERROR(__xludf.DUMMYFUNCTION("""COMPUTED_VALUE"""),"R")</f>
        <v>R</v>
      </c>
      <c r="E430" s="16"/>
      <c r="F430" s="16"/>
      <c r="G430" s="16">
        <f>IFERROR(__xludf.DUMMYFUNCTION("""COMPUTED_VALUE"""),294.0)</f>
        <v>294</v>
      </c>
      <c r="H430" s="16">
        <f>IFERROR(__xludf.DUMMYFUNCTION("""COMPUTED_VALUE"""),11.0)</f>
        <v>11</v>
      </c>
      <c r="I430" s="16" t="str">
        <f>IFERROR(__xludf.DUMMYFUNCTION("""COMPUTED_VALUE"""),"2p50")</f>
        <v>2p50</v>
      </c>
      <c r="J430" s="16">
        <f>IFERROR(__xludf.DUMMYFUNCTION("""COMPUTED_VALUE"""),23.0)</f>
        <v>23</v>
      </c>
      <c r="K430" s="16">
        <f>IFERROR(__xludf.DUMMYFUNCTION("""COMPUTED_VALUE"""),20.0)</f>
        <v>20</v>
      </c>
      <c r="L430" s="16">
        <f>IFERROR(__xludf.DUMMYFUNCTION("""COMPUTED_VALUE"""),0.0)</f>
        <v>0</v>
      </c>
      <c r="M430" s="16">
        <f>IFERROR(__xludf.DUMMYFUNCTION("""COMPUTED_VALUE"""),0.0)</f>
        <v>0</v>
      </c>
      <c r="N430" s="16">
        <f>IFERROR(__xludf.DUMMYFUNCTION("""COMPUTED_VALUE"""),0.0)</f>
        <v>0</v>
      </c>
      <c r="O430" s="16">
        <f>IFERROR(__xludf.DUMMYFUNCTION("""COMPUTED_VALUE"""),0.0)</f>
        <v>0</v>
      </c>
      <c r="P430" s="16">
        <f>IFERROR(__xludf.DUMMYFUNCTION("""COMPUTED_VALUE"""),0.0)</f>
        <v>0</v>
      </c>
      <c r="Q430" s="16">
        <f>IFERROR(__xludf.DUMMYFUNCTION("""COMPUTED_VALUE"""),0.0)</f>
        <v>0</v>
      </c>
      <c r="R430" s="16">
        <f>IFERROR(__xludf.DUMMYFUNCTION("""COMPUTED_VALUE"""),-3.0)</f>
        <v>-3</v>
      </c>
      <c r="S430" s="16">
        <f>IFERROR(__xludf.DUMMYFUNCTION("""COMPUTED_VALUE"""),-2.0)</f>
        <v>-2</v>
      </c>
      <c r="T430" s="16">
        <f>IFERROR(__xludf.DUMMYFUNCTION("""COMPUTED_VALUE"""),-3.0)</f>
        <v>-3</v>
      </c>
      <c r="U430" s="16">
        <f>IFERROR(__xludf.DUMMYFUNCTION("""COMPUTED_VALUE"""),-2.0)</f>
        <v>-2</v>
      </c>
      <c r="V430" s="16">
        <f>IFERROR(__xludf.DUMMYFUNCTION("""COMPUTED_VALUE"""),13.1)</f>
        <v>13.1</v>
      </c>
      <c r="W430" s="16">
        <f>IFERROR(__xludf.DUMMYFUNCTION("""COMPUTED_VALUE"""),21.1)</f>
        <v>21.1</v>
      </c>
      <c r="X430" s="16">
        <f>IFERROR(__xludf.DUMMYFUNCTION("""COMPUTED_VALUE"""),-1.0)</f>
        <v>-1</v>
      </c>
      <c r="Y430" s="16">
        <f>IFERROR(__xludf.DUMMYFUNCTION("""COMPUTED_VALUE"""),0.0)</f>
        <v>0</v>
      </c>
      <c r="Z430" s="16">
        <f>IFERROR(__xludf.DUMMYFUNCTION("""COMPUTED_VALUE"""),-2.0)</f>
        <v>-2</v>
      </c>
      <c r="AA430" s="16">
        <f>IFERROR(__xludf.DUMMYFUNCTION("""COMPUTED_VALUE"""),0.0)</f>
        <v>0</v>
      </c>
      <c r="AB430" s="16">
        <f>IFERROR(__xludf.DUMMYFUNCTION("""COMPUTED_VALUE"""),14.1)</f>
        <v>14.1</v>
      </c>
      <c r="AC430" s="16">
        <f>IFERROR(__xludf.DUMMYFUNCTION("""COMPUTED_VALUE"""),22.1)</f>
        <v>22.1</v>
      </c>
      <c r="AD430" s="16">
        <f>IFERROR(__xludf.DUMMYFUNCTION("""COMPUTED_VALUE"""),-2.0)</f>
        <v>-2</v>
      </c>
      <c r="AE430" s="16">
        <f>IFERROR(__xludf.DUMMYFUNCTION("""COMPUTED_VALUE"""),-2.0)</f>
        <v>-2</v>
      </c>
      <c r="AF430" s="16">
        <f>IFERROR(__xludf.DUMMYFUNCTION("""COMPUTED_VALUE"""),-10.0)</f>
        <v>-10</v>
      </c>
      <c r="AG430" s="16">
        <f>IFERROR(__xludf.DUMMYFUNCTION("""COMPUTED_VALUE"""),-10.0)</f>
        <v>-10</v>
      </c>
      <c r="AH430" s="16">
        <f>IFERROR(__xludf.DUMMYFUNCTION("""COMPUTED_VALUE"""),21.0)</f>
        <v>21</v>
      </c>
      <c r="AI430" s="16">
        <f>IFERROR(__xludf.DUMMYFUNCTION("""COMPUTED_VALUE"""),25.9)</f>
        <v>25.9</v>
      </c>
      <c r="AJ430" s="16">
        <f>IFERROR(__xludf.DUMMYFUNCTION("""COMPUTED_VALUE"""),-1.0)</f>
        <v>-1</v>
      </c>
      <c r="AK430" s="16">
        <f>IFERROR(__xludf.DUMMYFUNCTION("""COMPUTED_VALUE"""),-1.0)</f>
        <v>-1</v>
      </c>
      <c r="AL430" s="16">
        <f>IFERROR(__xludf.DUMMYFUNCTION("""COMPUTED_VALUE"""),-5.0)</f>
        <v>-5</v>
      </c>
      <c r="AM430" s="16">
        <f>IFERROR(__xludf.DUMMYFUNCTION("""COMPUTED_VALUE"""),-5.0)</f>
        <v>-5</v>
      </c>
      <c r="AN430" s="16">
        <f>IFERROR(__xludf.DUMMYFUNCTION("""COMPUTED_VALUE"""),2.2)</f>
        <v>2.2</v>
      </c>
      <c r="AO430" s="16">
        <f>IFERROR(__xludf.DUMMYFUNCTION("""COMPUTED_VALUE"""),1.0)</f>
        <v>1</v>
      </c>
      <c r="AP430" s="16">
        <f>IFERROR(__xludf.DUMMYFUNCTION("""COMPUTED_VALUE"""),0.0)</f>
        <v>0</v>
      </c>
      <c r="AQ430" s="16">
        <f>IFERROR(__xludf.DUMMYFUNCTION("""COMPUTED_VALUE"""),-2.0)</f>
        <v>-2</v>
      </c>
      <c r="AR430" s="16">
        <f>IFERROR(__xludf.DUMMYFUNCTION("""COMPUTED_VALUE"""),0.0)</f>
        <v>0</v>
      </c>
      <c r="AS430" s="16">
        <f>IFERROR(__xludf.DUMMYFUNCTION("""COMPUTED_VALUE"""),-4.0)</f>
        <v>-4</v>
      </c>
      <c r="AT430" s="16">
        <f>IFERROR(__xludf.DUMMYFUNCTION("""COMPUTED_VALUE"""),3.0)</f>
        <v>3</v>
      </c>
      <c r="AU430" s="16">
        <f>IFERROR(__xludf.DUMMYFUNCTION("""COMPUTED_VALUE"""),0.0)</f>
        <v>0</v>
      </c>
      <c r="AV430" s="16">
        <f>IFERROR(__xludf.DUMMYFUNCTION("""COMPUTED_VALUE"""),3.0)</f>
        <v>3</v>
      </c>
      <c r="AW430" s="16">
        <f>IFERROR(__xludf.DUMMYFUNCTION("""COMPUTED_VALUE"""),0.0)</f>
        <v>0</v>
      </c>
      <c r="AX430" s="16">
        <f>IFERROR(__xludf.DUMMYFUNCTION("""COMPUTED_VALUE"""),1.0)</f>
        <v>1</v>
      </c>
      <c r="AY430" s="16">
        <f>IFERROR(__xludf.DUMMYFUNCTION("""COMPUTED_VALUE"""),-2.0)</f>
        <v>-2</v>
      </c>
      <c r="AZ430" s="16">
        <f>IFERROR(__xludf.DUMMYFUNCTION("""COMPUTED_VALUE"""),3.0)</f>
        <v>3</v>
      </c>
      <c r="BA430" s="16">
        <f>IFERROR(__xludf.DUMMYFUNCTION("""COMPUTED_VALUE"""),-6.0)</f>
        <v>-6</v>
      </c>
      <c r="BB430" s="16">
        <f>IFERROR(__xludf.DUMMYFUNCTION("""COMPUTED_VALUE"""),5.0)</f>
        <v>5</v>
      </c>
      <c r="BC430" s="16">
        <f>IFERROR(__xludf.DUMMYFUNCTION("""COMPUTED_VALUE"""),5.0)</f>
        <v>5</v>
      </c>
      <c r="BD430" s="16">
        <f>IFERROR(__xludf.DUMMYFUNCTION("""COMPUTED_VALUE"""),1.0)</f>
        <v>1</v>
      </c>
      <c r="BE430" s="16">
        <f>IFERROR(__xludf.DUMMYFUNCTION("""COMPUTED_VALUE"""),1.0)</f>
        <v>1</v>
      </c>
      <c r="BF430" s="16">
        <f>IFERROR(__xludf.DUMMYFUNCTION("""COMPUTED_VALUE"""),1.0)</f>
        <v>1</v>
      </c>
      <c r="BG430" s="16">
        <f>IFERROR(__xludf.DUMMYFUNCTION("""COMPUTED_VALUE"""),1.0)</f>
        <v>1</v>
      </c>
      <c r="BH430" s="16">
        <f>IFERROR(__xludf.DUMMYFUNCTION("""COMPUTED_VALUE"""),-8.0)</f>
        <v>-8</v>
      </c>
      <c r="BI430" s="16">
        <f>IFERROR(__xludf.DUMMYFUNCTION("""COMPUTED_VALUE"""),-11.0)</f>
        <v>-11</v>
      </c>
      <c r="BJ430" s="16">
        <f>IFERROR(__xludf.DUMMYFUNCTION("""COMPUTED_VALUE"""),27.0)</f>
        <v>27</v>
      </c>
      <c r="BK430" s="16">
        <f>IFERROR(__xludf.DUMMYFUNCTION("""COMPUTED_VALUE"""),27.0)</f>
        <v>27</v>
      </c>
      <c r="BL430" s="16">
        <f>IFERROR(__xludf.DUMMYFUNCTION("""COMPUTED_VALUE"""),-2.0)</f>
        <v>-2</v>
      </c>
      <c r="BM430" s="16">
        <f>IFERROR(__xludf.DUMMYFUNCTION("""COMPUTED_VALUE"""),-2.0)</f>
        <v>-2</v>
      </c>
      <c r="BN430" s="16">
        <f>IFERROR(__xludf.DUMMYFUNCTION("""COMPUTED_VALUE"""),-4.0)</f>
        <v>-4</v>
      </c>
      <c r="BO430" s="16">
        <f>IFERROR(__xludf.DUMMYFUNCTION("""COMPUTED_VALUE"""),-4.0)</f>
        <v>-4</v>
      </c>
      <c r="BP430" s="16">
        <f>IFERROR(__xludf.DUMMYFUNCTION("""COMPUTED_VALUE"""),-7.0)</f>
        <v>-7</v>
      </c>
      <c r="BQ430" s="16">
        <f>IFERROR(__xludf.DUMMYFUNCTION("""COMPUTED_VALUE"""),-10.0)</f>
        <v>-10</v>
      </c>
      <c r="BR430" s="16">
        <f>IFERROR(__xludf.DUMMYFUNCTION("""COMPUTED_VALUE"""),-17.0)</f>
        <v>-17</v>
      </c>
      <c r="BS430" s="16" t="str">
        <f>IFERROR(__xludf.DUMMYFUNCTION("""COMPUTED_VALUE"""),"6/- (15-6)")</f>
        <v>6/- (15-6)</v>
      </c>
      <c r="BT430" s="16" t="str">
        <f>IFERROR(__xludf.DUMMYFUNCTION("""COMPUTED_VALUE"""),"C")</f>
        <v>C</v>
      </c>
      <c r="BU430" s="16">
        <f>IFERROR(__xludf.DUMMYFUNCTION("""COMPUTED_VALUE"""),9.0)</f>
        <v>9</v>
      </c>
      <c r="BV430" s="16">
        <f>IFERROR(__xludf.DUMMYFUNCTION("""COMPUTED_VALUE"""),0.0)</f>
        <v>0</v>
      </c>
      <c r="BW430" s="16">
        <f>IFERROR(__xludf.DUMMYFUNCTION("""COMPUTED_VALUE"""),-1.0)</f>
        <v>-1</v>
      </c>
      <c r="BX430" s="16">
        <f>IFERROR(__xludf.DUMMYFUNCTION("""COMPUTED_VALUE"""),0.0)</f>
        <v>0</v>
      </c>
      <c r="BY430" s="16">
        <f>IFERROR(__xludf.DUMMYFUNCTION("""COMPUTED_VALUE"""),-3.0)</f>
        <v>-3</v>
      </c>
      <c r="BZ430" s="16" t="str">
        <f>IFERROR(__xludf.DUMMYFUNCTION("""COMPUTED_VALUE"""),"B")</f>
        <v>B</v>
      </c>
      <c r="CA430" s="16" t="str">
        <f>IFERROR(__xludf.DUMMYFUNCTION("""COMPUTED_VALUE"""),"C")</f>
        <v>C</v>
      </c>
      <c r="CB430" s="16">
        <f>IFERROR(__xludf.DUMMYFUNCTION("""COMPUTED_VALUE"""),1.0)</f>
        <v>1</v>
      </c>
      <c r="CC430" s="16">
        <f>IFERROR(__xludf.DUMMYFUNCTION("""COMPUTED_VALUE"""),0.0)</f>
        <v>0</v>
      </c>
      <c r="CD430" s="16">
        <f>IFERROR(__xludf.DUMMYFUNCTION("""COMPUTED_VALUE"""),1.0)</f>
        <v>1</v>
      </c>
      <c r="CE430" s="16">
        <f>IFERROR(__xludf.DUMMYFUNCTION("""COMPUTED_VALUE"""),0.0)</f>
        <v>0</v>
      </c>
      <c r="CF430" s="16">
        <f>IFERROR(__xludf.DUMMYFUNCTION("""COMPUTED_VALUE"""),2.0)</f>
        <v>2</v>
      </c>
      <c r="CG430" s="16">
        <f>IFERROR(__xludf.DUMMYFUNCTION("""COMPUTED_VALUE"""),-20.0)</f>
        <v>-20</v>
      </c>
      <c r="CH430" s="16">
        <f>IFERROR(__xludf.DUMMYFUNCTION("""COMPUTED_VALUE"""),-30.0)</f>
        <v>-30</v>
      </c>
      <c r="CI430" s="179">
        <f>IFERROR(__xludf.DUMMYFUNCTION("""COMPUTED_VALUE"""),-26.0)</f>
        <v>-26</v>
      </c>
      <c r="CJ430" s="16">
        <f>IFERROR(__xludf.DUMMYFUNCTION("""COMPUTED_VALUE"""),202.0)</f>
        <v>202</v>
      </c>
      <c r="CK430" s="16">
        <f>IFERROR(__xludf.DUMMYFUNCTION("""COMPUTED_VALUE"""),409.0)</f>
        <v>409</v>
      </c>
      <c r="CL430" s="16"/>
      <c r="CM430" s="16">
        <f>IFERROR(__xludf.DUMMYFUNCTION("""COMPUTED_VALUE"""),537.0)</f>
        <v>537</v>
      </c>
      <c r="CN430" s="16"/>
      <c r="CO430" s="16"/>
      <c r="CP430" s="16"/>
      <c r="CQ430" s="16"/>
      <c r="CR430" s="16" t="str">
        <f>IFERROR(__xludf.DUMMYFUNCTION("""COMPUTED_VALUE"""),"c-2(0)e2,T-6(pb-0) 3b-5e37 1b-4e9")</f>
        <v>c-2(0)e2,T-6(pb-0) 3b-5e37 1b-4e9</v>
      </c>
      <c r="CS430" s="16">
        <f>IFERROR(__xludf.DUMMYFUNCTION("""COMPUTED_VALUE"""),2.0)</f>
        <v>2</v>
      </c>
      <c r="CT430" s="16">
        <f>IFERROR(__xludf.DUMMYFUNCTION("""COMPUTED_VALUE"""),4.0)</f>
        <v>4</v>
      </c>
      <c r="CU430" s="16"/>
      <c r="CV430" s="16">
        <f>IFERROR(__xludf.DUMMYFUNCTION("""COMPUTED_VALUE"""),5.0)</f>
        <v>5</v>
      </c>
      <c r="CW430" s="16"/>
      <c r="CX430" s="16"/>
      <c r="CY430" s="16"/>
      <c r="CZ430" s="16"/>
      <c r="DA430" s="16">
        <f>IFERROR(__xludf.DUMMYFUNCTION("""COMPUTED_VALUE"""),2.0)</f>
        <v>2</v>
      </c>
      <c r="DB430" s="16">
        <f>IFERROR(__xludf.DUMMYFUNCTION("""COMPUTED_VALUE"""),9.0)</f>
        <v>9</v>
      </c>
      <c r="DC430" s="16"/>
      <c r="DD430" s="16">
        <f>IFERROR(__xludf.DUMMYFUNCTION("""COMPUTED_VALUE"""),37.0)</f>
        <v>37</v>
      </c>
      <c r="DE430" s="16"/>
      <c r="DF430" s="16"/>
      <c r="DG430" s="16"/>
      <c r="DH430" s="16"/>
      <c r="DI430" s="16">
        <f>IFERROR(__xludf.DUMMYFUNCTION("""COMPUTED_VALUE"""),2.0)</f>
        <v>2</v>
      </c>
      <c r="DJ430" s="16">
        <f>IFERROR(__xludf.DUMMYFUNCTION("""COMPUTED_VALUE"""),0.0)</f>
        <v>0</v>
      </c>
      <c r="DK430" s="16"/>
      <c r="DL430" s="16">
        <f>IFERROR(__xludf.DUMMYFUNCTION("""COMPUTED_VALUE"""),-2.0)</f>
        <v>-2</v>
      </c>
      <c r="DM430" s="16"/>
      <c r="DN430" s="16"/>
      <c r="DO430" s="16"/>
      <c r="DP430" s="16"/>
      <c r="DQ430" s="16">
        <f>IFERROR(__xludf.DUMMYFUNCTION("""COMPUTED_VALUE"""),4.0)</f>
        <v>4</v>
      </c>
      <c r="DR430" s="16">
        <f>IFERROR(__xludf.DUMMYFUNCTION("""COMPUTED_VALUE"""),2.0)</f>
        <v>2</v>
      </c>
      <c r="DS430" s="16"/>
      <c r="DT430" s="16">
        <f>IFERROR(__xludf.DUMMYFUNCTION("""COMPUTED_VALUE"""),-2.0)</f>
        <v>-2</v>
      </c>
      <c r="DU430" s="16"/>
      <c r="DV430" s="16"/>
      <c r="DW430" s="16"/>
      <c r="DX430" s="16"/>
      <c r="DY430" s="16">
        <f>IFERROR(__xludf.DUMMYFUNCTION("""COMPUTED_VALUE"""),6.0)</f>
        <v>6</v>
      </c>
      <c r="DZ430" s="16">
        <f>IFERROR(__xludf.DUMMYFUNCTION("""COMPUTED_VALUE"""),2.0)</f>
        <v>2</v>
      </c>
      <c r="EA430" s="16"/>
      <c r="EB430" s="16">
        <f>IFERROR(__xludf.DUMMYFUNCTION("""COMPUTED_VALUE"""),-4.0)</f>
        <v>-4</v>
      </c>
      <c r="EC430" s="16"/>
      <c r="ED430" s="16"/>
      <c r="EE430" s="16"/>
      <c r="EF430" s="16"/>
      <c r="EG430" s="179">
        <f>IFERROR(__xludf.DUMMYFUNCTION("""COMPUTED_VALUE"""),-20.0)</f>
        <v>-20</v>
      </c>
      <c r="EH430" s="179">
        <f>IFERROR(__xludf.DUMMYFUNCTION("""COMPUTED_VALUE"""),-24.0)</f>
        <v>-24</v>
      </c>
      <c r="EI430" s="179"/>
      <c r="EJ430" s="179">
        <f>IFERROR(__xludf.DUMMYFUNCTION("""COMPUTED_VALUE"""),-30.0)</f>
        <v>-30</v>
      </c>
      <c r="EK430" s="179"/>
      <c r="EL430" s="179"/>
      <c r="EM430" s="179"/>
      <c r="EN430" s="179"/>
      <c r="EO430" s="16">
        <f>IFERROR(__xludf.DUMMYFUNCTION("""COMPUTED_VALUE"""),0.0)</f>
        <v>0</v>
      </c>
      <c r="EP430" s="16">
        <f>IFERROR(__xludf.DUMMYFUNCTION("""COMPUTED_VALUE"""),1.0)</f>
        <v>1</v>
      </c>
      <c r="EQ430" s="16">
        <f>IFERROR(__xludf.DUMMYFUNCTION("""COMPUTED_VALUE"""),2.0)</f>
        <v>2</v>
      </c>
      <c r="ER430" s="16">
        <f>IFERROR(__xludf.DUMMYFUNCTION("""COMPUTED_VALUE"""),0.0)</f>
        <v>0</v>
      </c>
      <c r="ES430" s="16" t="str">
        <f>IFERROR(__xludf.DUMMYFUNCTION("""COMPUTED_VALUE"""),"c-2")</f>
        <v>c-2</v>
      </c>
      <c r="ET430" s="16" t="str">
        <f>IFERROR(__xludf.DUMMYFUNCTION("""COMPUTED_VALUE"""),"0)e2,T-6")</f>
        <v>0)e2,T-6</v>
      </c>
      <c r="EU430" s="16" t="str">
        <f>IFERROR(__xludf.DUMMYFUNCTION("""COMPUTED_VALUE"""),"pb-0) 3b-5e37 1b-4e9")</f>
        <v>pb-0) 3b-5e37 1b-4e9</v>
      </c>
      <c r="EV430" s="16"/>
      <c r="EW430" s="16">
        <f>IFERROR(__xludf.DUMMYFUNCTION("""COMPUTED_VALUE"""),0.0)</f>
        <v>0</v>
      </c>
      <c r="EX430" s="180">
        <f>IFERROR(__xludf.DUMMYFUNCTION("""COMPUTED_VALUE"""),0.1)</f>
        <v>0.1</v>
      </c>
      <c r="EY430" s="180">
        <f>IFERROR(__xludf.DUMMYFUNCTION("""COMPUTED_VALUE"""),0.3)</f>
        <v>0.3</v>
      </c>
      <c r="EZ430" s="180"/>
      <c r="FA430" s="180">
        <f>IFERROR(__xludf.DUMMYFUNCTION("""COMPUTED_VALUE"""),0.4)</f>
        <v>0.4</v>
      </c>
      <c r="FB430" s="180"/>
      <c r="FC430" s="180"/>
      <c r="FD430" s="180"/>
      <c r="FE430" s="180"/>
      <c r="FF430" s="180">
        <f>IFERROR(__xludf.DUMMYFUNCTION("""COMPUTED_VALUE"""),0.024)</f>
        <v>0.024</v>
      </c>
      <c r="FG430" s="180">
        <f>IFERROR(__xludf.DUMMYFUNCTION("""COMPUTED_VALUE"""),0.16203703703703703)</f>
        <v>0.162037037</v>
      </c>
      <c r="FH430" s="180"/>
      <c r="FI430" s="180">
        <f>IFERROR(__xludf.DUMMYFUNCTION("""COMPUTED_VALUE"""),0.4444444444444444)</f>
        <v>0.4444444444</v>
      </c>
      <c r="FJ430" s="180"/>
      <c r="FK430" s="180"/>
      <c r="FL430" s="180"/>
      <c r="FM430" s="180"/>
      <c r="FN430" s="16">
        <f>IFERROR(__xludf.DUMMYFUNCTION("""COMPUTED_VALUE"""),0.8784)</f>
        <v>0.8784</v>
      </c>
      <c r="FO430" s="16">
        <f>IFERROR(__xludf.DUMMYFUNCTION("""COMPUTED_VALUE"""),0.586574074074074)</f>
        <v>0.5865740741</v>
      </c>
      <c r="FP430" s="16"/>
      <c r="FQ430" s="16">
        <f>IFERROR(__xludf.DUMMYFUNCTION("""COMPUTED_VALUE"""),0.3333333333333333)</f>
        <v>0.3333333333</v>
      </c>
      <c r="FR430" s="16"/>
      <c r="FS430" s="16"/>
      <c r="FT430" s="16"/>
      <c r="FU430" s="16"/>
      <c r="FV430" s="16">
        <f>IFERROR(__xludf.DUMMYFUNCTION("""COMPUTED_VALUE"""),4.0)</f>
        <v>4</v>
      </c>
      <c r="FW430" s="16">
        <f>IFERROR(__xludf.DUMMYFUNCTION("""COMPUTED_VALUE"""),-6.0)</f>
        <v>-6</v>
      </c>
      <c r="FX430" s="16"/>
      <c r="FY430" s="16">
        <f>IFERROR(__xludf.DUMMYFUNCTION("""COMPUTED_VALUE"""),-8.0)</f>
        <v>-8</v>
      </c>
      <c r="FZ430" s="16"/>
      <c r="GA430" s="16"/>
      <c r="GB430" s="16"/>
      <c r="GC430" s="16"/>
      <c r="GD430" s="16" t="s">
        <v>232</v>
      </c>
    </row>
    <row r="431">
      <c r="A431" s="16">
        <f>IFERROR(__xludf.DUMMYFUNCTION("""COMPUTED_VALUE"""),12730.0)</f>
        <v>12730</v>
      </c>
      <c r="B431" s="16" t="str">
        <f>IFERROR(__xludf.DUMMYFUNCTION("""COMPUTED_VALUE"""),"Danny Mendick")</f>
        <v>Danny Mendick</v>
      </c>
      <c r="C431" s="16">
        <f>IFERROR(__xludf.DUMMYFUNCTION("""COMPUTED_VALUE"""),0.0)</f>
        <v>0</v>
      </c>
      <c r="D431" s="16" t="str">
        <f>IFERROR(__xludf.DUMMYFUNCTION("""COMPUTED_VALUE"""),"R")</f>
        <v>R</v>
      </c>
      <c r="E431" s="16"/>
      <c r="F431" s="16"/>
      <c r="G431" s="16">
        <f>IFERROR(__xludf.DUMMYFUNCTION("""COMPUTED_VALUE"""),132.0)</f>
        <v>132</v>
      </c>
      <c r="H431" s="16">
        <f>IFERROR(__xludf.DUMMYFUNCTION("""COMPUTED_VALUE"""),6.0)</f>
        <v>6</v>
      </c>
      <c r="I431" s="16" t="str">
        <f>IFERROR(__xludf.DUMMYFUNCTION("""COMPUTED_VALUE"""),"1p30")</f>
        <v>1p30</v>
      </c>
      <c r="J431" s="16">
        <f>IFERROR(__xludf.DUMMYFUNCTION("""COMPUTED_VALUE"""),16.0)</f>
        <v>16</v>
      </c>
      <c r="K431" s="16">
        <f>IFERROR(__xludf.DUMMYFUNCTION("""COMPUTED_VALUE"""),35.0)</f>
        <v>35</v>
      </c>
      <c r="L431" s="16">
        <f>IFERROR(__xludf.DUMMYFUNCTION("""COMPUTED_VALUE"""),1.0)</f>
        <v>1</v>
      </c>
      <c r="M431" s="16">
        <f>IFERROR(__xludf.DUMMYFUNCTION("""COMPUTED_VALUE"""),-1.0)</f>
        <v>-1</v>
      </c>
      <c r="N431" s="16">
        <f>IFERROR(__xludf.DUMMYFUNCTION("""COMPUTED_VALUE"""),1.0)</f>
        <v>1</v>
      </c>
      <c r="O431" s="16">
        <f>IFERROR(__xludf.DUMMYFUNCTION("""COMPUTED_VALUE"""),-1.0)</f>
        <v>-1</v>
      </c>
      <c r="P431" s="16">
        <f>IFERROR(__xludf.DUMMYFUNCTION("""COMPUTED_VALUE"""),12.0)</f>
        <v>12</v>
      </c>
      <c r="Q431" s="16">
        <f>IFERROR(__xludf.DUMMYFUNCTION("""COMPUTED_VALUE"""),0.0)</f>
        <v>0</v>
      </c>
      <c r="R431" s="16">
        <f>IFERROR(__xludf.DUMMYFUNCTION("""COMPUTED_VALUE"""),1.0)</f>
        <v>1</v>
      </c>
      <c r="S431" s="16">
        <f>IFERROR(__xludf.DUMMYFUNCTION("""COMPUTED_VALUE"""),-2.0)</f>
        <v>-2</v>
      </c>
      <c r="T431" s="16">
        <f>IFERROR(__xludf.DUMMYFUNCTION("""COMPUTED_VALUE"""),1.0)</f>
        <v>1</v>
      </c>
      <c r="U431" s="16">
        <f>IFERROR(__xludf.DUMMYFUNCTION("""COMPUTED_VALUE"""),-2.0)</f>
        <v>-2</v>
      </c>
      <c r="V431" s="16">
        <f>IFERROR(__xludf.DUMMYFUNCTION("""COMPUTED_VALUE"""),21.3)</f>
        <v>21.3</v>
      </c>
      <c r="W431" s="16">
        <f>IFERROR(__xludf.DUMMYFUNCTION("""COMPUTED_VALUE"""),6.9)</f>
        <v>6.9</v>
      </c>
      <c r="X431" s="16">
        <f>IFERROR(__xludf.DUMMYFUNCTION("""COMPUTED_VALUE"""),0.0)</f>
        <v>0</v>
      </c>
      <c r="Y431" s="16">
        <f>IFERROR(__xludf.DUMMYFUNCTION("""COMPUTED_VALUE"""),-2.0)</f>
        <v>-2</v>
      </c>
      <c r="Z431" s="16">
        <f>IFERROR(__xludf.DUMMYFUNCTION("""COMPUTED_VALUE"""),0.0)</f>
        <v>0</v>
      </c>
      <c r="AA431" s="16">
        <f>IFERROR(__xludf.DUMMYFUNCTION("""COMPUTED_VALUE"""),-4.0)</f>
        <v>-4</v>
      </c>
      <c r="AB431" s="16">
        <f>IFERROR(__xludf.DUMMYFUNCTION("""COMPUTED_VALUE"""),36.3)</f>
        <v>36.3</v>
      </c>
      <c r="AC431" s="16">
        <f>IFERROR(__xludf.DUMMYFUNCTION("""COMPUTED_VALUE"""),9.9)</f>
        <v>9.9</v>
      </c>
      <c r="AD431" s="16">
        <f>IFERROR(__xludf.DUMMYFUNCTION("""COMPUTED_VALUE"""),1.0)</f>
        <v>1</v>
      </c>
      <c r="AE431" s="16">
        <f>IFERROR(__xludf.DUMMYFUNCTION("""COMPUTED_VALUE"""),-3.0)</f>
        <v>-3</v>
      </c>
      <c r="AF431" s="16">
        <f>IFERROR(__xludf.DUMMYFUNCTION("""COMPUTED_VALUE"""),5.0)</f>
        <v>5</v>
      </c>
      <c r="AG431" s="16">
        <f>IFERROR(__xludf.DUMMYFUNCTION("""COMPUTED_VALUE"""),-15.0)</f>
        <v>-15</v>
      </c>
      <c r="AH431" s="16">
        <f>IFERROR(__xludf.DUMMYFUNCTION("""COMPUTED_VALUE"""),33.3)</f>
        <v>33.3</v>
      </c>
      <c r="AI431" s="16">
        <f>IFERROR(__xludf.DUMMYFUNCTION("""COMPUTED_VALUE"""),12.1)</f>
        <v>12.1</v>
      </c>
      <c r="AJ431" s="16">
        <f>IFERROR(__xludf.DUMMYFUNCTION("""COMPUTED_VALUE"""),0.0)</f>
        <v>0</v>
      </c>
      <c r="AK431" s="16">
        <f>IFERROR(__xludf.DUMMYFUNCTION("""COMPUTED_VALUE"""),-2.0)</f>
        <v>-2</v>
      </c>
      <c r="AL431" s="16">
        <f>IFERROR(__xludf.DUMMYFUNCTION("""COMPUTED_VALUE"""),0.0)</f>
        <v>0</v>
      </c>
      <c r="AM431" s="16">
        <f>IFERROR(__xludf.DUMMYFUNCTION("""COMPUTED_VALUE"""),-10.0)</f>
        <v>-10</v>
      </c>
      <c r="AN431" s="16">
        <f>IFERROR(__xludf.DUMMYFUNCTION("""COMPUTED_VALUE"""),1.8)</f>
        <v>1.8</v>
      </c>
      <c r="AO431" s="16">
        <f>IFERROR(__xludf.DUMMYFUNCTION("""COMPUTED_VALUE"""),0.2)</f>
        <v>0.2</v>
      </c>
      <c r="AP431" s="16">
        <f>IFERROR(__xludf.DUMMYFUNCTION("""COMPUTED_VALUE"""),-1.0)</f>
        <v>-1</v>
      </c>
      <c r="AQ431" s="16">
        <f>IFERROR(__xludf.DUMMYFUNCTION("""COMPUTED_VALUE"""),-2.0)</f>
        <v>-2</v>
      </c>
      <c r="AR431" s="16">
        <f>IFERROR(__xludf.DUMMYFUNCTION("""COMPUTED_VALUE"""),-2.0)</f>
        <v>-2</v>
      </c>
      <c r="AS431" s="16">
        <f>IFERROR(__xludf.DUMMYFUNCTION("""COMPUTED_VALUE"""),-4.0)</f>
        <v>-4</v>
      </c>
      <c r="AT431" s="16">
        <f>IFERROR(__xludf.DUMMYFUNCTION("""COMPUTED_VALUE"""),3.0)</f>
        <v>3</v>
      </c>
      <c r="AU431" s="16">
        <f>IFERROR(__xludf.DUMMYFUNCTION("""COMPUTED_VALUE"""),0.0)</f>
        <v>0</v>
      </c>
      <c r="AV431" s="16">
        <f>IFERROR(__xludf.DUMMYFUNCTION("""COMPUTED_VALUE"""),3.0)</f>
        <v>3</v>
      </c>
      <c r="AW431" s="16">
        <f>IFERROR(__xludf.DUMMYFUNCTION("""COMPUTED_VALUE"""),0.0)</f>
        <v>0</v>
      </c>
      <c r="AX431" s="16">
        <f>IFERROR(__xludf.DUMMYFUNCTION("""COMPUTED_VALUE"""),1.0)</f>
        <v>1</v>
      </c>
      <c r="AY431" s="16">
        <f>IFERROR(__xludf.DUMMYFUNCTION("""COMPUTED_VALUE"""),-2.0)</f>
        <v>-2</v>
      </c>
      <c r="AZ431" s="16">
        <f>IFERROR(__xludf.DUMMYFUNCTION("""COMPUTED_VALUE"""),3.0)</f>
        <v>3</v>
      </c>
      <c r="BA431" s="16">
        <f>IFERROR(__xludf.DUMMYFUNCTION("""COMPUTED_VALUE"""),-6.0)</f>
        <v>-6</v>
      </c>
      <c r="BB431" s="16">
        <f>IFERROR(__xludf.DUMMYFUNCTION("""COMPUTED_VALUE"""),5.0)</f>
        <v>5</v>
      </c>
      <c r="BC431" s="16">
        <f>IFERROR(__xludf.DUMMYFUNCTION("""COMPUTED_VALUE"""),5.0)</f>
        <v>5</v>
      </c>
      <c r="BD431" s="16">
        <f>IFERROR(__xludf.DUMMYFUNCTION("""COMPUTED_VALUE"""),1.0)</f>
        <v>1</v>
      </c>
      <c r="BE431" s="16">
        <f>IFERROR(__xludf.DUMMYFUNCTION("""COMPUTED_VALUE"""),1.0)</f>
        <v>1</v>
      </c>
      <c r="BF431" s="16">
        <f>IFERROR(__xludf.DUMMYFUNCTION("""COMPUTED_VALUE"""),1.0)</f>
        <v>1</v>
      </c>
      <c r="BG431" s="16">
        <f>IFERROR(__xludf.DUMMYFUNCTION("""COMPUTED_VALUE"""),1.0)</f>
        <v>1</v>
      </c>
      <c r="BH431" s="16">
        <f>IFERROR(__xludf.DUMMYFUNCTION("""COMPUTED_VALUE"""),-9.0)</f>
        <v>-9</v>
      </c>
      <c r="BI431" s="16">
        <f>IFERROR(__xludf.DUMMYFUNCTION("""COMPUTED_VALUE"""),-1.0)</f>
        <v>-1</v>
      </c>
      <c r="BJ431" s="16">
        <f>IFERROR(__xludf.DUMMYFUNCTION("""COMPUTED_VALUE"""),12.0)</f>
        <v>12</v>
      </c>
      <c r="BK431" s="16">
        <f>IFERROR(__xludf.DUMMYFUNCTION("""COMPUTED_VALUE"""),18.0)</f>
        <v>18</v>
      </c>
      <c r="BL431" s="16">
        <f>IFERROR(__xludf.DUMMYFUNCTION("""COMPUTED_VALUE"""),0.0)</f>
        <v>0</v>
      </c>
      <c r="BM431" s="16">
        <f>IFERROR(__xludf.DUMMYFUNCTION("""COMPUTED_VALUE"""),-1.0)</f>
        <v>-1</v>
      </c>
      <c r="BN431" s="16">
        <f>IFERROR(__xludf.DUMMYFUNCTION("""COMPUTED_VALUE"""),0.0)</f>
        <v>0</v>
      </c>
      <c r="BO431" s="16">
        <f>IFERROR(__xludf.DUMMYFUNCTION("""COMPUTED_VALUE"""),-2.0)</f>
        <v>-2</v>
      </c>
      <c r="BP431" s="16">
        <f>IFERROR(__xludf.DUMMYFUNCTION("""COMPUTED_VALUE"""),4.0)</f>
        <v>4</v>
      </c>
      <c r="BQ431" s="16">
        <f>IFERROR(__xludf.DUMMYFUNCTION("""COMPUTED_VALUE"""),-14.0)</f>
        <v>-14</v>
      </c>
      <c r="BR431" s="16">
        <f>IFERROR(__xludf.DUMMYFUNCTION("""COMPUTED_VALUE"""),-10.0)</f>
        <v>-10</v>
      </c>
      <c r="BS431" s="16" t="str">
        <f>IFERROR(__xludf.DUMMYFUNCTION("""COMPUTED_VALUE"""),"*4,5/- (20-13)")</f>
        <v>*4,5/- (20-13)</v>
      </c>
      <c r="BT431" s="16" t="str">
        <f>IFERROR(__xludf.DUMMYFUNCTION("""COMPUTED_VALUE"""),"B")</f>
        <v>B</v>
      </c>
      <c r="BU431" s="16">
        <f>IFERROR(__xludf.DUMMYFUNCTION("""COMPUTED_VALUE"""),13.0)</f>
        <v>13</v>
      </c>
      <c r="BV431" s="16">
        <f>IFERROR(__xludf.DUMMYFUNCTION("""COMPUTED_VALUE"""),1.0)</f>
        <v>1</v>
      </c>
      <c r="BW431" s="16">
        <f>IFERROR(__xludf.DUMMYFUNCTION("""COMPUTED_VALUE"""),1.0)</f>
        <v>1</v>
      </c>
      <c r="BX431" s="16">
        <f>IFERROR(__xludf.DUMMYFUNCTION("""COMPUTED_VALUE"""),2.0)</f>
        <v>2</v>
      </c>
      <c r="BY431" s="16">
        <f>IFERROR(__xludf.DUMMYFUNCTION("""COMPUTED_VALUE"""),3.0)</f>
        <v>3</v>
      </c>
      <c r="BZ431" s="16" t="str">
        <f>IFERROR(__xludf.DUMMYFUNCTION("""COMPUTED_VALUE"""),"D")</f>
        <v>D</v>
      </c>
      <c r="CA431" s="16" t="str">
        <f>IFERROR(__xludf.DUMMYFUNCTION("""COMPUTED_VALUE"""),"D")</f>
        <v>D</v>
      </c>
      <c r="CB431" s="16">
        <f>IFERROR(__xludf.DUMMYFUNCTION("""COMPUTED_VALUE"""),0.0)</f>
        <v>0</v>
      </c>
      <c r="CC431" s="16">
        <f>IFERROR(__xludf.DUMMYFUNCTION("""COMPUTED_VALUE"""),0.0)</f>
        <v>0</v>
      </c>
      <c r="CD431" s="16">
        <f>IFERROR(__xludf.DUMMYFUNCTION("""COMPUTED_VALUE"""),0.0)</f>
        <v>0</v>
      </c>
      <c r="CE431" s="16">
        <f>IFERROR(__xludf.DUMMYFUNCTION("""COMPUTED_VALUE"""),0.0)</f>
        <v>0</v>
      </c>
      <c r="CF431" s="16">
        <f>IFERROR(__xludf.DUMMYFUNCTION("""COMPUTED_VALUE"""),1.0)</f>
        <v>1</v>
      </c>
      <c r="CG431" s="16">
        <f>IFERROR(__xludf.DUMMYFUNCTION("""COMPUTED_VALUE"""),9.0)</f>
        <v>9</v>
      </c>
      <c r="CH431" s="16">
        <f>IFERROR(__xludf.DUMMYFUNCTION("""COMPUTED_VALUE"""),-43.0)</f>
        <v>-43</v>
      </c>
      <c r="CI431" s="179">
        <f>IFERROR(__xludf.DUMMYFUNCTION("""COMPUTED_VALUE"""),-27.0)</f>
        <v>-27</v>
      </c>
      <c r="CJ431" s="16"/>
      <c r="CK431" s="16"/>
      <c r="CL431" s="16">
        <f>IFERROR(__xludf.DUMMYFUNCTION("""COMPUTED_VALUE"""),308.0)</f>
        <v>308</v>
      </c>
      <c r="CM431" s="16">
        <f>IFERROR(__xludf.DUMMYFUNCTION("""COMPUTED_VALUE"""),320.0)</f>
        <v>320</v>
      </c>
      <c r="CN431" s="16"/>
      <c r="CO431" s="16"/>
      <c r="CP431" s="16"/>
      <c r="CQ431" s="16"/>
      <c r="CR431" s="16" t="str">
        <f>IFERROR(__xludf.DUMMYFUNCTION("""COMPUTED_VALUE"""),"3b-3e20 2b-3e8")</f>
        <v>3b-3e20 2b-3e8</v>
      </c>
      <c r="CS431" s="16"/>
      <c r="CT431" s="16"/>
      <c r="CU431" s="16">
        <f>IFERROR(__xludf.DUMMYFUNCTION("""COMPUTED_VALUE"""),3.0)</f>
        <v>3</v>
      </c>
      <c r="CV431" s="16">
        <f>IFERROR(__xludf.DUMMYFUNCTION("""COMPUTED_VALUE"""),3.0)</f>
        <v>3</v>
      </c>
      <c r="CW431" s="16"/>
      <c r="CX431" s="16"/>
      <c r="CY431" s="16"/>
      <c r="CZ431" s="16"/>
      <c r="DA431" s="16"/>
      <c r="DB431" s="16"/>
      <c r="DC431" s="16">
        <f>IFERROR(__xludf.DUMMYFUNCTION("""COMPUTED_VALUE"""),8.0)</f>
        <v>8</v>
      </c>
      <c r="DD431" s="16">
        <f>IFERROR(__xludf.DUMMYFUNCTION("""COMPUTED_VALUE"""),20.0)</f>
        <v>20</v>
      </c>
      <c r="DE431" s="16"/>
      <c r="DF431" s="16"/>
      <c r="DG431" s="16"/>
      <c r="DH431" s="16"/>
      <c r="DI431" s="16"/>
      <c r="DJ431" s="16"/>
      <c r="DK431" s="16">
        <f>IFERROR(__xludf.DUMMYFUNCTION("""COMPUTED_VALUE"""),0.0)</f>
        <v>0</v>
      </c>
      <c r="DL431" s="16">
        <f>IFERROR(__xludf.DUMMYFUNCTION("""COMPUTED_VALUE"""),1.0)</f>
        <v>1</v>
      </c>
      <c r="DM431" s="16"/>
      <c r="DN431" s="16"/>
      <c r="DO431" s="16"/>
      <c r="DP431" s="16"/>
      <c r="DQ431" s="16"/>
      <c r="DR431" s="16"/>
      <c r="DS431" s="16">
        <f>IFERROR(__xludf.DUMMYFUNCTION("""COMPUTED_VALUE"""),3.0)</f>
        <v>3</v>
      </c>
      <c r="DT431" s="16">
        <f>IFERROR(__xludf.DUMMYFUNCTION("""COMPUTED_VALUE"""),0.0)</f>
        <v>0</v>
      </c>
      <c r="DU431" s="16"/>
      <c r="DV431" s="16"/>
      <c r="DW431" s="16"/>
      <c r="DX431" s="16"/>
      <c r="DY431" s="16"/>
      <c r="DZ431" s="16"/>
      <c r="EA431" s="16">
        <f>IFERROR(__xludf.DUMMYFUNCTION("""COMPUTED_VALUE"""),3.0)</f>
        <v>3</v>
      </c>
      <c r="EB431" s="16">
        <f>IFERROR(__xludf.DUMMYFUNCTION("""COMPUTED_VALUE"""),1.0)</f>
        <v>1</v>
      </c>
      <c r="EC431" s="16"/>
      <c r="ED431" s="16"/>
      <c r="EE431" s="16"/>
      <c r="EF431" s="16"/>
      <c r="EG431" s="179"/>
      <c r="EH431" s="179"/>
      <c r="EI431" s="179">
        <f>IFERROR(__xludf.DUMMYFUNCTION("""COMPUTED_VALUE"""),-24.0)</f>
        <v>-24</v>
      </c>
      <c r="EJ431" s="179">
        <f>IFERROR(__xludf.DUMMYFUNCTION("""COMPUTED_VALUE"""),-26.0)</f>
        <v>-26</v>
      </c>
      <c r="EK431" s="179"/>
      <c r="EL431" s="179"/>
      <c r="EM431" s="179"/>
      <c r="EN431" s="179"/>
      <c r="EO431" s="16"/>
      <c r="EP431" s="16"/>
      <c r="EQ431" s="16">
        <f>IFERROR(__xludf.DUMMYFUNCTION("""COMPUTED_VALUE"""),4.0)</f>
        <v>4</v>
      </c>
      <c r="ER431" s="16">
        <f>IFERROR(__xludf.DUMMYFUNCTION("""COMPUTED_VALUE"""),-2.0)</f>
        <v>-2</v>
      </c>
      <c r="ES431" s="16"/>
      <c r="ET431" s="16"/>
      <c r="EU431" s="16"/>
      <c r="EV431" s="16"/>
      <c r="EW431" s="16"/>
      <c r="EX431" s="180"/>
      <c r="EY431" s="180"/>
      <c r="EZ431" s="180">
        <f>IFERROR(__xludf.DUMMYFUNCTION("""COMPUTED_VALUE"""),0.2)</f>
        <v>0.2</v>
      </c>
      <c r="FA431" s="180">
        <f>IFERROR(__xludf.DUMMYFUNCTION("""COMPUTED_VALUE"""),0.2)</f>
        <v>0.2</v>
      </c>
      <c r="FB431" s="180"/>
      <c r="FC431" s="180"/>
      <c r="FD431" s="180"/>
      <c r="FE431" s="180"/>
      <c r="FF431" s="180"/>
      <c r="FG431" s="180"/>
      <c r="FH431" s="180">
        <f>IFERROR(__xludf.DUMMYFUNCTION("""COMPUTED_VALUE"""),0.046296296296296294)</f>
        <v>0.0462962963</v>
      </c>
      <c r="FI431" s="180">
        <f>IFERROR(__xludf.DUMMYFUNCTION("""COMPUTED_VALUE"""),0.24074074074074073)</f>
        <v>0.2407407407</v>
      </c>
      <c r="FJ431" s="180"/>
      <c r="FK431" s="180"/>
      <c r="FL431" s="180"/>
      <c r="FM431" s="180"/>
      <c r="FN431" s="16"/>
      <c r="FO431" s="16"/>
      <c r="FP431" s="16">
        <f>IFERROR(__xludf.DUMMYFUNCTION("""COMPUTED_VALUE"""),0.7629629629629631)</f>
        <v>0.762962963</v>
      </c>
      <c r="FQ431" s="16">
        <f>IFERROR(__xludf.DUMMYFUNCTION("""COMPUTED_VALUE"""),0.6074074074074075)</f>
        <v>0.6074074074</v>
      </c>
      <c r="FR431" s="16"/>
      <c r="FS431" s="16"/>
      <c r="FT431" s="16"/>
      <c r="FU431" s="16"/>
      <c r="FV431" s="16"/>
      <c r="FW431" s="16"/>
      <c r="FX431" s="16">
        <f>IFERROR(__xludf.DUMMYFUNCTION("""COMPUTED_VALUE"""),-1.0)</f>
        <v>-1</v>
      </c>
      <c r="FY431" s="16">
        <f>IFERROR(__xludf.DUMMYFUNCTION("""COMPUTED_VALUE"""),-6.0)</f>
        <v>-6</v>
      </c>
      <c r="FZ431" s="16"/>
      <c r="GA431" s="16"/>
      <c r="GB431" s="16"/>
      <c r="GC431" s="16"/>
      <c r="GD431" s="16" t="s">
        <v>176</v>
      </c>
    </row>
    <row r="432">
      <c r="A432" s="16">
        <f>IFERROR(__xludf.DUMMYFUNCTION("""COMPUTED_VALUE"""),13242.0)</f>
        <v>13242</v>
      </c>
      <c r="B432" s="16" t="str">
        <f>IFERROR(__xludf.DUMMYFUNCTION("""COMPUTED_VALUE"""),"Nick Madrigal")</f>
        <v>Nick Madrigal</v>
      </c>
      <c r="C432" s="16">
        <f>IFERROR(__xludf.DUMMYFUNCTION("""COMPUTED_VALUE"""),0.0)</f>
        <v>0</v>
      </c>
      <c r="D432" s="16" t="str">
        <f>IFERROR(__xludf.DUMMYFUNCTION("""COMPUTED_VALUE"""),"R")</f>
        <v>R</v>
      </c>
      <c r="E432" s="16"/>
      <c r="F432" s="16"/>
      <c r="G432" s="16">
        <f>IFERROR(__xludf.DUMMYFUNCTION("""COMPUTED_VALUE"""),86.0)</f>
        <v>86</v>
      </c>
      <c r="H432" s="16">
        <f>IFERROR(__xludf.DUMMYFUNCTION("""COMPUTED_VALUE"""),4.0)</f>
        <v>4</v>
      </c>
      <c r="I432" s="16" t="str">
        <f>IFERROR(__xludf.DUMMYFUNCTION("""COMPUTED_VALUE"""),"3p30")</f>
        <v>3p30</v>
      </c>
      <c r="J432" s="16">
        <f>IFERROR(__xludf.DUMMYFUNCTION("""COMPUTED_VALUE"""),0.0)</f>
        <v>0</v>
      </c>
      <c r="K432" s="16">
        <f>IFERROR(__xludf.DUMMYFUNCTION("""COMPUTED_VALUE"""),0.0)</f>
        <v>0</v>
      </c>
      <c r="L432" s="16">
        <f>IFERROR(__xludf.DUMMYFUNCTION("""COMPUTED_VALUE"""),3.0)</f>
        <v>3</v>
      </c>
      <c r="M432" s="16">
        <f>IFERROR(__xludf.DUMMYFUNCTION("""COMPUTED_VALUE"""),3.0)</f>
        <v>3</v>
      </c>
      <c r="N432" s="16">
        <f>IFERROR(__xludf.DUMMYFUNCTION("""COMPUTED_VALUE"""),3.0)</f>
        <v>3</v>
      </c>
      <c r="O432" s="16">
        <f>IFERROR(__xludf.DUMMYFUNCTION("""COMPUTED_VALUE"""),3.0)</f>
        <v>3</v>
      </c>
      <c r="P432" s="16">
        <f>IFERROR(__xludf.DUMMYFUNCTION("""COMPUTED_VALUE"""),4.0)</f>
        <v>4</v>
      </c>
      <c r="Q432" s="16">
        <f>IFERROR(__xludf.DUMMYFUNCTION("""COMPUTED_VALUE"""),0.0)</f>
        <v>0</v>
      </c>
      <c r="R432" s="16">
        <f>IFERROR(__xludf.DUMMYFUNCTION("""COMPUTED_VALUE"""),-2.0)</f>
        <v>-2</v>
      </c>
      <c r="S432" s="16">
        <f>IFERROR(__xludf.DUMMYFUNCTION("""COMPUTED_VALUE"""),-2.0)</f>
        <v>-2</v>
      </c>
      <c r="T432" s="16">
        <f>IFERROR(__xludf.DUMMYFUNCTION("""COMPUTED_VALUE"""),-2.0)</f>
        <v>-2</v>
      </c>
      <c r="U432" s="16">
        <f>IFERROR(__xludf.DUMMYFUNCTION("""COMPUTED_VALUE"""),-2.0)</f>
        <v>-2</v>
      </c>
      <c r="V432" s="16">
        <f>IFERROR(__xludf.DUMMYFUNCTION("""COMPUTED_VALUE"""),19.3)</f>
        <v>19.3</v>
      </c>
      <c r="W432" s="16">
        <f>IFERROR(__xludf.DUMMYFUNCTION("""COMPUTED_VALUE"""),15.3)</f>
        <v>15.3</v>
      </c>
      <c r="X432" s="16">
        <f>IFERROR(__xludf.DUMMYFUNCTION("""COMPUTED_VALUE"""),0.0)</f>
        <v>0</v>
      </c>
      <c r="Y432" s="16">
        <f>IFERROR(__xludf.DUMMYFUNCTION("""COMPUTED_VALUE"""),-1.0)</f>
        <v>-1</v>
      </c>
      <c r="Z432" s="16">
        <f>IFERROR(__xludf.DUMMYFUNCTION("""COMPUTED_VALUE"""),0.0)</f>
        <v>0</v>
      </c>
      <c r="AA432" s="16">
        <f>IFERROR(__xludf.DUMMYFUNCTION("""COMPUTED_VALUE"""),-2.0)</f>
        <v>-2</v>
      </c>
      <c r="AB432" s="16">
        <f>IFERROR(__xludf.DUMMYFUNCTION("""COMPUTED_VALUE"""),30.3)</f>
        <v>30.3</v>
      </c>
      <c r="AC432" s="16">
        <f>IFERROR(__xludf.DUMMYFUNCTION("""COMPUTED_VALUE"""),22.3)</f>
        <v>22.3</v>
      </c>
      <c r="AD432" s="16">
        <f>IFERROR(__xludf.DUMMYFUNCTION("""COMPUTED_VALUE"""),0.0)</f>
        <v>0</v>
      </c>
      <c r="AE432" s="16">
        <f>IFERROR(__xludf.DUMMYFUNCTION("""COMPUTED_VALUE"""),-1.0)</f>
        <v>-1</v>
      </c>
      <c r="AF432" s="16">
        <f>IFERROR(__xludf.DUMMYFUNCTION("""COMPUTED_VALUE"""),0.0)</f>
        <v>0</v>
      </c>
      <c r="AG432" s="16">
        <f>IFERROR(__xludf.DUMMYFUNCTION("""COMPUTED_VALUE"""),-5.0)</f>
        <v>-5</v>
      </c>
      <c r="AH432" s="16">
        <f>IFERROR(__xludf.DUMMYFUNCTION("""COMPUTED_VALUE"""),27.1)</f>
        <v>27.1</v>
      </c>
      <c r="AI432" s="16">
        <f>IFERROR(__xludf.DUMMYFUNCTION("""COMPUTED_VALUE"""),15.3)</f>
        <v>15.3</v>
      </c>
      <c r="AJ432" s="16">
        <f>IFERROR(__xludf.DUMMYFUNCTION("""COMPUTED_VALUE"""),0.0)</f>
        <v>0</v>
      </c>
      <c r="AK432" s="16">
        <f>IFERROR(__xludf.DUMMYFUNCTION("""COMPUTED_VALUE"""),-2.0)</f>
        <v>-2</v>
      </c>
      <c r="AL432" s="16">
        <f>IFERROR(__xludf.DUMMYFUNCTION("""COMPUTED_VALUE"""),0.0)</f>
        <v>0</v>
      </c>
      <c r="AM432" s="16">
        <f>IFERROR(__xludf.DUMMYFUNCTION("""COMPUTED_VALUE"""),-10.0)</f>
        <v>-10</v>
      </c>
      <c r="AN432" s="16">
        <f>IFERROR(__xludf.DUMMYFUNCTION("""COMPUTED_VALUE"""),0.0)</f>
        <v>0</v>
      </c>
      <c r="AO432" s="16">
        <f>IFERROR(__xludf.DUMMYFUNCTION("""COMPUTED_VALUE"""),0.0)</f>
        <v>0</v>
      </c>
      <c r="AP432" s="16">
        <f>IFERROR(__xludf.DUMMYFUNCTION("""COMPUTED_VALUE"""),-2.0)</f>
        <v>-2</v>
      </c>
      <c r="AQ432" s="16">
        <f>IFERROR(__xludf.DUMMYFUNCTION("""COMPUTED_VALUE"""),-3.0)</f>
        <v>-3</v>
      </c>
      <c r="AR432" s="16">
        <f>IFERROR(__xludf.DUMMYFUNCTION("""COMPUTED_VALUE"""),-4.0)</f>
        <v>-4</v>
      </c>
      <c r="AS432" s="16">
        <f>IFERROR(__xludf.DUMMYFUNCTION("""COMPUTED_VALUE"""),-6.0)</f>
        <v>-6</v>
      </c>
      <c r="AT432" s="16"/>
      <c r="AU432" s="16"/>
      <c r="AV432" s="16">
        <f>IFERROR(__xludf.DUMMYFUNCTION("""COMPUTED_VALUE"""),-3.0)</f>
        <v>-3</v>
      </c>
      <c r="AW432" s="16">
        <f>IFERROR(__xludf.DUMMYFUNCTION("""COMPUTED_VALUE"""),-3.0)</f>
        <v>-3</v>
      </c>
      <c r="AX432" s="16">
        <f>IFERROR(__xludf.DUMMYFUNCTION("""COMPUTED_VALUE"""),-3.0)</f>
        <v>-3</v>
      </c>
      <c r="AY432" s="16">
        <f>IFERROR(__xludf.DUMMYFUNCTION("""COMPUTED_VALUE"""),-3.0)</f>
        <v>-3</v>
      </c>
      <c r="AZ432" s="16">
        <f>IFERROR(__xludf.DUMMYFUNCTION("""COMPUTED_VALUE"""),-9.0)</f>
        <v>-9</v>
      </c>
      <c r="BA432" s="16">
        <f>IFERROR(__xludf.DUMMYFUNCTION("""COMPUTED_VALUE"""),-9.0)</f>
        <v>-9</v>
      </c>
      <c r="BB432" s="16">
        <f>IFERROR(__xludf.DUMMYFUNCTION("""COMPUTED_VALUE"""),5.0)</f>
        <v>5</v>
      </c>
      <c r="BC432" s="16">
        <f>IFERROR(__xludf.DUMMYFUNCTION("""COMPUTED_VALUE"""),5.0)</f>
        <v>5</v>
      </c>
      <c r="BD432" s="16">
        <f>IFERROR(__xludf.DUMMYFUNCTION("""COMPUTED_VALUE"""),1.0)</f>
        <v>1</v>
      </c>
      <c r="BE432" s="16">
        <f>IFERROR(__xludf.DUMMYFUNCTION("""COMPUTED_VALUE"""),1.0)</f>
        <v>1</v>
      </c>
      <c r="BF432" s="16">
        <f>IFERROR(__xludf.DUMMYFUNCTION("""COMPUTED_VALUE"""),1.0)</f>
        <v>1</v>
      </c>
      <c r="BG432" s="16">
        <f>IFERROR(__xludf.DUMMYFUNCTION("""COMPUTED_VALUE"""),1.0)</f>
        <v>1</v>
      </c>
      <c r="BH432" s="16">
        <f>IFERROR(__xludf.DUMMYFUNCTION("""COMPUTED_VALUE"""),4.0)</f>
        <v>4</v>
      </c>
      <c r="BI432" s="16">
        <f>IFERROR(__xludf.DUMMYFUNCTION("""COMPUTED_VALUE"""),4.0)</f>
        <v>4</v>
      </c>
      <c r="BJ432" s="16">
        <f>IFERROR(__xludf.DUMMYFUNCTION("""COMPUTED_VALUE"""),16.0)</f>
        <v>16</v>
      </c>
      <c r="BK432" s="16">
        <f>IFERROR(__xludf.DUMMYFUNCTION("""COMPUTED_VALUE"""),17.0)</f>
        <v>17</v>
      </c>
      <c r="BL432" s="16">
        <f>IFERROR(__xludf.DUMMYFUNCTION("""COMPUTED_VALUE"""),-1.0)</f>
        <v>-1</v>
      </c>
      <c r="BM432" s="16">
        <f>IFERROR(__xludf.DUMMYFUNCTION("""COMPUTED_VALUE"""),-1.0)</f>
        <v>-1</v>
      </c>
      <c r="BN432" s="16">
        <f>IFERROR(__xludf.DUMMYFUNCTION("""COMPUTED_VALUE"""),-2.0)</f>
        <v>-2</v>
      </c>
      <c r="BO432" s="16">
        <f>IFERROR(__xludf.DUMMYFUNCTION("""COMPUTED_VALUE"""),-2.0)</f>
        <v>-2</v>
      </c>
      <c r="BP432" s="16">
        <f>IFERROR(__xludf.DUMMYFUNCTION("""COMPUTED_VALUE"""),-4.0)</f>
        <v>-4</v>
      </c>
      <c r="BQ432" s="16">
        <f>IFERROR(__xludf.DUMMYFUNCTION("""COMPUTED_VALUE"""),-9.0)</f>
        <v>-9</v>
      </c>
      <c r="BR432" s="16">
        <f>IFERROR(__xludf.DUMMYFUNCTION("""COMPUTED_VALUE"""),-13.0)</f>
        <v>-13</v>
      </c>
      <c r="BS432" s="16" t="str">
        <f>IFERROR(__xludf.DUMMYFUNCTION("""COMPUTED_VALUE"""),"3/- (20-6)")</f>
        <v>3/- (20-6)</v>
      </c>
      <c r="BT432" s="16" t="str">
        <f>IFERROR(__xludf.DUMMYFUNCTION("""COMPUTED_VALUE"""),"D")</f>
        <v>D</v>
      </c>
      <c r="BU432" s="16">
        <f>IFERROR(__xludf.DUMMYFUNCTION("""COMPUTED_VALUE"""),13.0)</f>
        <v>13</v>
      </c>
      <c r="BV432" s="16">
        <f>IFERROR(__xludf.DUMMYFUNCTION("""COMPUTED_VALUE"""),0.0)</f>
        <v>0</v>
      </c>
      <c r="BW432" s="16">
        <f>IFERROR(__xludf.DUMMYFUNCTION("""COMPUTED_VALUE"""),1.0)</f>
        <v>1</v>
      </c>
      <c r="BX432" s="16">
        <f>IFERROR(__xludf.DUMMYFUNCTION("""COMPUTED_VALUE"""),0.0)</f>
        <v>0</v>
      </c>
      <c r="BY432" s="16">
        <f>IFERROR(__xludf.DUMMYFUNCTION("""COMPUTED_VALUE"""),3.0)</f>
        <v>3</v>
      </c>
      <c r="BZ432" s="16" t="str">
        <f>IFERROR(__xludf.DUMMYFUNCTION("""COMPUTED_VALUE"""),"C")</f>
        <v>C</v>
      </c>
      <c r="CA432" s="16" t="str">
        <f>IFERROR(__xludf.DUMMYFUNCTION("""COMPUTED_VALUE"""),"B")</f>
        <v>B</v>
      </c>
      <c r="CB432" s="16">
        <f>IFERROR(__xludf.DUMMYFUNCTION("""COMPUTED_VALUE"""),0.0)</f>
        <v>0</v>
      </c>
      <c r="CC432" s="16">
        <f>IFERROR(__xludf.DUMMYFUNCTION("""COMPUTED_VALUE"""),1.0)</f>
        <v>1</v>
      </c>
      <c r="CD432" s="16">
        <f>IFERROR(__xludf.DUMMYFUNCTION("""COMPUTED_VALUE"""),0.0)</f>
        <v>0</v>
      </c>
      <c r="CE432" s="16">
        <f>IFERROR(__xludf.DUMMYFUNCTION("""COMPUTED_VALUE"""),2.0)</f>
        <v>2</v>
      </c>
      <c r="CF432" s="16">
        <f>IFERROR(__xludf.DUMMYFUNCTION("""COMPUTED_VALUE"""),3.0)</f>
        <v>3</v>
      </c>
      <c r="CG432" s="16">
        <f>IFERROR(__xludf.DUMMYFUNCTION("""COMPUTED_VALUE"""),-13.0)</f>
        <v>-13</v>
      </c>
      <c r="CH432" s="16">
        <f>IFERROR(__xludf.DUMMYFUNCTION("""COMPUTED_VALUE"""),-32.0)</f>
        <v>-32</v>
      </c>
      <c r="CI432" s="179">
        <f>IFERROR(__xludf.DUMMYFUNCTION("""COMPUTED_VALUE"""),-27.0)</f>
        <v>-27</v>
      </c>
      <c r="CJ432" s="16"/>
      <c r="CK432" s="16"/>
      <c r="CL432" s="16">
        <f>IFERROR(__xludf.DUMMYFUNCTION("""COMPUTED_VALUE"""),302.0)</f>
        <v>302</v>
      </c>
      <c r="CM432" s="16">
        <f>IFERROR(__xludf.DUMMYFUNCTION("""COMPUTED_VALUE"""),221.0)</f>
        <v>221</v>
      </c>
      <c r="CN432" s="16"/>
      <c r="CO432" s="16"/>
      <c r="CP432" s="16"/>
      <c r="CQ432" s="16"/>
      <c r="CR432" s="16" t="str">
        <f>IFERROR(__xludf.DUMMYFUNCTION("""COMPUTED_VALUE"""),"3b-2e21 2b-3e2")</f>
        <v>3b-2e21 2b-3e2</v>
      </c>
      <c r="CS432" s="16"/>
      <c r="CT432" s="16"/>
      <c r="CU432" s="16">
        <f>IFERROR(__xludf.DUMMYFUNCTION("""COMPUTED_VALUE"""),3.0)</f>
        <v>3</v>
      </c>
      <c r="CV432" s="16">
        <f>IFERROR(__xludf.DUMMYFUNCTION("""COMPUTED_VALUE"""),2.0)</f>
        <v>2</v>
      </c>
      <c r="CW432" s="16"/>
      <c r="CX432" s="16"/>
      <c r="CY432" s="16"/>
      <c r="CZ432" s="16"/>
      <c r="DA432" s="16"/>
      <c r="DB432" s="16"/>
      <c r="DC432" s="16">
        <f>IFERROR(__xludf.DUMMYFUNCTION("""COMPUTED_VALUE"""),2.0)</f>
        <v>2</v>
      </c>
      <c r="DD432" s="16">
        <f>IFERROR(__xludf.DUMMYFUNCTION("""COMPUTED_VALUE"""),21.0)</f>
        <v>21</v>
      </c>
      <c r="DE432" s="16"/>
      <c r="DF432" s="16"/>
      <c r="DG432" s="16"/>
      <c r="DH432" s="16"/>
      <c r="DI432" s="16"/>
      <c r="DJ432" s="16"/>
      <c r="DK432" s="16">
        <f>IFERROR(__xludf.DUMMYFUNCTION("""COMPUTED_VALUE"""),0.0)</f>
        <v>0</v>
      </c>
      <c r="DL432" s="16">
        <f>IFERROR(__xludf.DUMMYFUNCTION("""COMPUTED_VALUE"""),3.0)</f>
        <v>3</v>
      </c>
      <c r="DM432" s="16"/>
      <c r="DN432" s="16"/>
      <c r="DO432" s="16"/>
      <c r="DP432" s="16"/>
      <c r="DQ432" s="16"/>
      <c r="DR432" s="16"/>
      <c r="DS432" s="16">
        <f>IFERROR(__xludf.DUMMYFUNCTION("""COMPUTED_VALUE"""),4.0)</f>
        <v>4</v>
      </c>
      <c r="DT432" s="16">
        <f>IFERROR(__xludf.DUMMYFUNCTION("""COMPUTED_VALUE"""),-2.0)</f>
        <v>-2</v>
      </c>
      <c r="DU432" s="16"/>
      <c r="DV432" s="16"/>
      <c r="DW432" s="16"/>
      <c r="DX432" s="16"/>
      <c r="DY432" s="16"/>
      <c r="DZ432" s="16"/>
      <c r="EA432" s="16">
        <f>IFERROR(__xludf.DUMMYFUNCTION("""COMPUTED_VALUE"""),4.0)</f>
        <v>4</v>
      </c>
      <c r="EB432" s="16">
        <f>IFERROR(__xludf.DUMMYFUNCTION("""COMPUTED_VALUE"""),1.0)</f>
        <v>1</v>
      </c>
      <c r="EC432" s="16"/>
      <c r="ED432" s="16"/>
      <c r="EE432" s="16"/>
      <c r="EF432" s="16"/>
      <c r="EG432" s="179"/>
      <c r="EH432" s="179"/>
      <c r="EI432" s="179">
        <f>IFERROR(__xludf.DUMMYFUNCTION("""COMPUTED_VALUE"""),-23.0)</f>
        <v>-23</v>
      </c>
      <c r="EJ432" s="179">
        <f>IFERROR(__xludf.DUMMYFUNCTION("""COMPUTED_VALUE"""),-26.0)</f>
        <v>-26</v>
      </c>
      <c r="EK432" s="179"/>
      <c r="EL432" s="179"/>
      <c r="EM432" s="179"/>
      <c r="EN432" s="179"/>
      <c r="EO432" s="16"/>
      <c r="EP432" s="16"/>
      <c r="EQ432" s="16">
        <f>IFERROR(__xludf.DUMMYFUNCTION("""COMPUTED_VALUE"""),1.0)</f>
        <v>1</v>
      </c>
      <c r="ER432" s="16">
        <f>IFERROR(__xludf.DUMMYFUNCTION("""COMPUTED_VALUE"""),-2.0)</f>
        <v>-2</v>
      </c>
      <c r="ES432" s="16"/>
      <c r="ET432" s="16"/>
      <c r="EU432" s="16"/>
      <c r="EV432" s="16"/>
      <c r="EW432" s="16"/>
      <c r="EX432" s="180"/>
      <c r="EY432" s="180"/>
      <c r="EZ432" s="180">
        <f>IFERROR(__xludf.DUMMYFUNCTION("""COMPUTED_VALUE"""),0.2)</f>
        <v>0.2</v>
      </c>
      <c r="FA432" s="180">
        <f>IFERROR(__xludf.DUMMYFUNCTION("""COMPUTED_VALUE"""),0.1)</f>
        <v>0.1</v>
      </c>
      <c r="FB432" s="180"/>
      <c r="FC432" s="180"/>
      <c r="FD432" s="180"/>
      <c r="FE432" s="180"/>
      <c r="FF432" s="180"/>
      <c r="FG432" s="180"/>
      <c r="FH432" s="180">
        <f>IFERROR(__xludf.DUMMYFUNCTION("""COMPUTED_VALUE"""),0.009259259259259259)</f>
        <v>0.009259259259</v>
      </c>
      <c r="FI432" s="180">
        <f>IFERROR(__xludf.DUMMYFUNCTION("""COMPUTED_VALUE"""),0.25)</f>
        <v>0.25</v>
      </c>
      <c r="FJ432" s="180"/>
      <c r="FK432" s="180"/>
      <c r="FL432" s="180"/>
      <c r="FM432" s="180"/>
      <c r="FN432" s="16"/>
      <c r="FO432" s="16"/>
      <c r="FP432" s="16">
        <f>IFERROR(__xludf.DUMMYFUNCTION("""COMPUTED_VALUE"""),0.7925925925925926)</f>
        <v>0.7925925926</v>
      </c>
      <c r="FQ432" s="16">
        <f>IFERROR(__xludf.DUMMYFUNCTION("""COMPUTED_VALUE"""),0.675)</f>
        <v>0.675</v>
      </c>
      <c r="FR432" s="16"/>
      <c r="FS432" s="16"/>
      <c r="FT432" s="16"/>
      <c r="FU432" s="16"/>
      <c r="FV432" s="16"/>
      <c r="FW432" s="16"/>
      <c r="FX432" s="16">
        <f>IFERROR(__xludf.DUMMYFUNCTION("""COMPUTED_VALUE"""),-1.0)</f>
        <v>-1</v>
      </c>
      <c r="FY432" s="16">
        <f>IFERROR(__xludf.DUMMYFUNCTION("""COMPUTED_VALUE"""),-4.0)</f>
        <v>-4</v>
      </c>
      <c r="FZ432" s="16"/>
      <c r="GA432" s="16"/>
      <c r="GB432" s="16"/>
      <c r="GC432" s="16"/>
      <c r="GD432" s="16" t="s">
        <v>176</v>
      </c>
    </row>
    <row r="433">
      <c r="A433" s="16">
        <f>IFERROR(__xludf.DUMMYFUNCTION("""COMPUTED_VALUE"""),12786.0)</f>
        <v>12786</v>
      </c>
      <c r="B433" s="16" t="str">
        <f>IFERROR(__xludf.DUMMYFUNCTION("""COMPUTED_VALUE"""),"Elehuris Montero")</f>
        <v>Elehuris Montero</v>
      </c>
      <c r="C433" s="16">
        <f>IFERROR(__xludf.DUMMYFUNCTION("""COMPUTED_VALUE"""),0.0)</f>
        <v>0</v>
      </c>
      <c r="D433" s="16" t="str">
        <f>IFERROR(__xludf.DUMMYFUNCTION("""COMPUTED_VALUE"""),"R")</f>
        <v>R</v>
      </c>
      <c r="E433" s="16"/>
      <c r="F433" s="16"/>
      <c r="G433" s="16">
        <f>IFERROR(__xludf.DUMMYFUNCTION("""COMPUTED_VALUE"""),224.0)</f>
        <v>224</v>
      </c>
      <c r="H433" s="16">
        <f>IFERROR(__xludf.DUMMYFUNCTION("""COMPUTED_VALUE"""),20.0)</f>
        <v>20</v>
      </c>
      <c r="I433" s="16" t="str">
        <f>IFERROR(__xludf.DUMMYFUNCTION("""COMPUTED_VALUE"""),"1p30")</f>
        <v>1p30</v>
      </c>
      <c r="J433" s="16">
        <f>IFERROR(__xludf.DUMMYFUNCTION("""COMPUTED_VALUE"""),22.0)</f>
        <v>22</v>
      </c>
      <c r="K433" s="16">
        <f>IFERROR(__xludf.DUMMYFUNCTION("""COMPUTED_VALUE"""),25.0)</f>
        <v>25</v>
      </c>
      <c r="L433" s="16">
        <f>IFERROR(__xludf.DUMMYFUNCTION("""COMPUTED_VALUE"""),0.0)</f>
        <v>0</v>
      </c>
      <c r="M433" s="16">
        <f>IFERROR(__xludf.DUMMYFUNCTION("""COMPUTED_VALUE"""),0.0)</f>
        <v>0</v>
      </c>
      <c r="N433" s="16">
        <f>IFERROR(__xludf.DUMMYFUNCTION("""COMPUTED_VALUE"""),0.0)</f>
        <v>0</v>
      </c>
      <c r="O433" s="16">
        <f>IFERROR(__xludf.DUMMYFUNCTION("""COMPUTED_VALUE"""),0.0)</f>
        <v>0</v>
      </c>
      <c r="P433" s="16">
        <f>IFERROR(__xludf.DUMMYFUNCTION("""COMPUTED_VALUE"""),12.0)</f>
        <v>12</v>
      </c>
      <c r="Q433" s="16">
        <f>IFERROR(__xludf.DUMMYFUNCTION("""COMPUTED_VALUE"""),9.0)</f>
        <v>9</v>
      </c>
      <c r="R433" s="16">
        <f>IFERROR(__xludf.DUMMYFUNCTION("""COMPUTED_VALUE"""),1.0)</f>
        <v>1</v>
      </c>
      <c r="S433" s="16">
        <f>IFERROR(__xludf.DUMMYFUNCTION("""COMPUTED_VALUE"""),0.0)</f>
        <v>0</v>
      </c>
      <c r="T433" s="16">
        <f>IFERROR(__xludf.DUMMYFUNCTION("""COMPUTED_VALUE"""),1.0)</f>
        <v>1</v>
      </c>
      <c r="U433" s="16">
        <f>IFERROR(__xludf.DUMMYFUNCTION("""COMPUTED_VALUE"""),0.0)</f>
        <v>0</v>
      </c>
      <c r="V433" s="16">
        <f>IFERROR(__xludf.DUMMYFUNCTION("""COMPUTED_VALUE"""),6.8)</f>
        <v>6.8</v>
      </c>
      <c r="W433" s="16">
        <f>IFERROR(__xludf.DUMMYFUNCTION("""COMPUTED_VALUE"""),12.7)</f>
        <v>12.7</v>
      </c>
      <c r="X433" s="16">
        <f>IFERROR(__xludf.DUMMYFUNCTION("""COMPUTED_VALUE"""),-2.0)</f>
        <v>-2</v>
      </c>
      <c r="Y433" s="16">
        <f>IFERROR(__xludf.DUMMYFUNCTION("""COMPUTED_VALUE"""),-1.0)</f>
        <v>-1</v>
      </c>
      <c r="Z433" s="16">
        <f>IFERROR(__xludf.DUMMYFUNCTION("""COMPUTED_VALUE"""),-4.0)</f>
        <v>-4</v>
      </c>
      <c r="AA433" s="16">
        <f>IFERROR(__xludf.DUMMYFUNCTION("""COMPUTED_VALUE"""),-2.0)</f>
        <v>-2</v>
      </c>
      <c r="AB433" s="16">
        <f>IFERROR(__xludf.DUMMYFUNCTION("""COMPUTED_VALUE"""),18.8)</f>
        <v>18.8</v>
      </c>
      <c r="AC433" s="16">
        <f>IFERROR(__xludf.DUMMYFUNCTION("""COMPUTED_VALUE"""),21.7)</f>
        <v>21.7</v>
      </c>
      <c r="AD433" s="16">
        <f>IFERROR(__xludf.DUMMYFUNCTION("""COMPUTED_VALUE"""),-1.0)</f>
        <v>-1</v>
      </c>
      <c r="AE433" s="16">
        <f>IFERROR(__xludf.DUMMYFUNCTION("""COMPUTED_VALUE"""),-2.0)</f>
        <v>-2</v>
      </c>
      <c r="AF433" s="16">
        <f>IFERROR(__xludf.DUMMYFUNCTION("""COMPUTED_VALUE"""),-5.0)</f>
        <v>-5</v>
      </c>
      <c r="AG433" s="16">
        <f>IFERROR(__xludf.DUMMYFUNCTION("""COMPUTED_VALUE"""),-10.0)</f>
        <v>-10</v>
      </c>
      <c r="AH433" s="16">
        <f>IFERROR(__xludf.DUMMYFUNCTION("""COMPUTED_VALUE"""),6.8)</f>
        <v>6.8</v>
      </c>
      <c r="AI433" s="16">
        <f>IFERROR(__xludf.DUMMYFUNCTION("""COMPUTED_VALUE"""),22.3)</f>
        <v>22.3</v>
      </c>
      <c r="AJ433" s="16">
        <f>IFERROR(__xludf.DUMMYFUNCTION("""COMPUTED_VALUE"""),-2.0)</f>
        <v>-2</v>
      </c>
      <c r="AK433" s="16">
        <f>IFERROR(__xludf.DUMMYFUNCTION("""COMPUTED_VALUE"""),-1.0)</f>
        <v>-1</v>
      </c>
      <c r="AL433" s="16">
        <f>IFERROR(__xludf.DUMMYFUNCTION("""COMPUTED_VALUE"""),-10.0)</f>
        <v>-10</v>
      </c>
      <c r="AM433" s="16">
        <f>IFERROR(__xludf.DUMMYFUNCTION("""COMPUTED_VALUE"""),-5.0)</f>
        <v>-5</v>
      </c>
      <c r="AN433" s="16">
        <f>IFERROR(__xludf.DUMMYFUNCTION("""COMPUTED_VALUE"""),0.0)</f>
        <v>0</v>
      </c>
      <c r="AO433" s="16">
        <f>IFERROR(__xludf.DUMMYFUNCTION("""COMPUTED_VALUE"""),1.0)</f>
        <v>1</v>
      </c>
      <c r="AP433" s="16">
        <f>IFERROR(__xludf.DUMMYFUNCTION("""COMPUTED_VALUE"""),-2.0)</f>
        <v>-2</v>
      </c>
      <c r="AQ433" s="16">
        <f>IFERROR(__xludf.DUMMYFUNCTION("""COMPUTED_VALUE"""),-2.0)</f>
        <v>-2</v>
      </c>
      <c r="AR433" s="16">
        <f>IFERROR(__xludf.DUMMYFUNCTION("""COMPUTED_VALUE"""),-4.0)</f>
        <v>-4</v>
      </c>
      <c r="AS433" s="16">
        <f>IFERROR(__xludf.DUMMYFUNCTION("""COMPUTED_VALUE"""),-4.0)</f>
        <v>-4</v>
      </c>
      <c r="AT433" s="16"/>
      <c r="AU433" s="16">
        <f>IFERROR(__xludf.DUMMYFUNCTION("""COMPUTED_VALUE"""),1.0)</f>
        <v>1</v>
      </c>
      <c r="AV433" s="16">
        <f>IFERROR(__xludf.DUMMYFUNCTION("""COMPUTED_VALUE"""),-3.0)</f>
        <v>-3</v>
      </c>
      <c r="AW433" s="16">
        <f>IFERROR(__xludf.DUMMYFUNCTION("""COMPUTED_VALUE"""),1.0)</f>
        <v>1</v>
      </c>
      <c r="AX433" s="16">
        <f>IFERROR(__xludf.DUMMYFUNCTION("""COMPUTED_VALUE"""),-3.0)</f>
        <v>-3</v>
      </c>
      <c r="AY433" s="16">
        <f>IFERROR(__xludf.DUMMYFUNCTION("""COMPUTED_VALUE"""),-1.0)</f>
        <v>-1</v>
      </c>
      <c r="AZ433" s="16">
        <f>IFERROR(__xludf.DUMMYFUNCTION("""COMPUTED_VALUE"""),-9.0)</f>
        <v>-9</v>
      </c>
      <c r="BA433" s="16">
        <f>IFERROR(__xludf.DUMMYFUNCTION("""COMPUTED_VALUE"""),-3.0)</f>
        <v>-3</v>
      </c>
      <c r="BB433" s="16">
        <f>IFERROR(__xludf.DUMMYFUNCTION("""COMPUTED_VALUE"""),5.0)</f>
        <v>5</v>
      </c>
      <c r="BC433" s="16">
        <f>IFERROR(__xludf.DUMMYFUNCTION("""COMPUTED_VALUE"""),5.0)</f>
        <v>5</v>
      </c>
      <c r="BD433" s="16">
        <f>IFERROR(__xludf.DUMMYFUNCTION("""COMPUTED_VALUE"""),1.0)</f>
        <v>1</v>
      </c>
      <c r="BE433" s="16">
        <f>IFERROR(__xludf.DUMMYFUNCTION("""COMPUTED_VALUE"""),1.0)</f>
        <v>1</v>
      </c>
      <c r="BF433" s="16">
        <f>IFERROR(__xludf.DUMMYFUNCTION("""COMPUTED_VALUE"""),1.0)</f>
        <v>1</v>
      </c>
      <c r="BG433" s="16">
        <f>IFERROR(__xludf.DUMMYFUNCTION("""COMPUTED_VALUE"""),1.0)</f>
        <v>1</v>
      </c>
      <c r="BH433" s="16">
        <f>IFERROR(__xludf.DUMMYFUNCTION("""COMPUTED_VALUE"""),3.0)</f>
        <v>3</v>
      </c>
      <c r="BI433" s="16">
        <f>IFERROR(__xludf.DUMMYFUNCTION("""COMPUTED_VALUE"""),3.0)</f>
        <v>3</v>
      </c>
      <c r="BJ433" s="16">
        <f>IFERROR(__xludf.DUMMYFUNCTION("""COMPUTED_VALUE"""),21.0)</f>
        <v>21</v>
      </c>
      <c r="BK433" s="16">
        <f>IFERROR(__xludf.DUMMYFUNCTION("""COMPUTED_VALUE"""),23.0)</f>
        <v>23</v>
      </c>
      <c r="BL433" s="16">
        <f>IFERROR(__xludf.DUMMYFUNCTION("""COMPUTED_VALUE"""),-2.0)</f>
        <v>-2</v>
      </c>
      <c r="BM433" s="16">
        <f>IFERROR(__xludf.DUMMYFUNCTION("""COMPUTED_VALUE"""),-2.0)</f>
        <v>-2</v>
      </c>
      <c r="BN433" s="16">
        <f>IFERROR(__xludf.DUMMYFUNCTION("""COMPUTED_VALUE"""),-4.0)</f>
        <v>-4</v>
      </c>
      <c r="BO433" s="16">
        <f>IFERROR(__xludf.DUMMYFUNCTION("""COMPUTED_VALUE"""),-4.0)</f>
        <v>-4</v>
      </c>
      <c r="BP433" s="16">
        <f>IFERROR(__xludf.DUMMYFUNCTION("""COMPUTED_VALUE"""),-10.0)</f>
        <v>-10</v>
      </c>
      <c r="BQ433" s="16">
        <f>IFERROR(__xludf.DUMMYFUNCTION("""COMPUTED_VALUE"""),-8.0)</f>
        <v>-8</v>
      </c>
      <c r="BR433" s="16">
        <f>IFERROR(__xludf.DUMMYFUNCTION("""COMPUTED_VALUE"""),-18.0)</f>
        <v>-18</v>
      </c>
      <c r="BS433" s="16" t="str">
        <f>IFERROR(__xludf.DUMMYFUNCTION("""COMPUTED_VALUE"""),"-/- (---)")</f>
        <v>-/- (---)</v>
      </c>
      <c r="BT433" s="16" t="str">
        <f>IFERROR(__xludf.DUMMYFUNCTION("""COMPUTED_VALUE"""),"E")</f>
        <v>E</v>
      </c>
      <c r="BU433" s="16">
        <f>IFERROR(__xludf.DUMMYFUNCTION("""COMPUTED_VALUE"""),10.0)</f>
        <v>10</v>
      </c>
      <c r="BV433" s="16">
        <f>IFERROR(__xludf.DUMMYFUNCTION("""COMPUTED_VALUE"""),0.0)</f>
        <v>0</v>
      </c>
      <c r="BW433" s="16">
        <f>IFERROR(__xludf.DUMMYFUNCTION("""COMPUTED_VALUE"""),0.0)</f>
        <v>0</v>
      </c>
      <c r="BX433" s="16">
        <f>IFERROR(__xludf.DUMMYFUNCTION("""COMPUTED_VALUE"""),0.0)</f>
        <v>0</v>
      </c>
      <c r="BY433" s="16">
        <f>IFERROR(__xludf.DUMMYFUNCTION("""COMPUTED_VALUE"""),0.0)</f>
        <v>0</v>
      </c>
      <c r="BZ433" s="16" t="str">
        <f>IFERROR(__xludf.DUMMYFUNCTION("""COMPUTED_VALUE"""),"D")</f>
        <v>D</v>
      </c>
      <c r="CA433" s="16" t="str">
        <f>IFERROR(__xludf.DUMMYFUNCTION("""COMPUTED_VALUE"""),"D")</f>
        <v>D</v>
      </c>
      <c r="CB433" s="16">
        <f>IFERROR(__xludf.DUMMYFUNCTION("""COMPUTED_VALUE"""),0.0)</f>
        <v>0</v>
      </c>
      <c r="CC433" s="16">
        <f>IFERROR(__xludf.DUMMYFUNCTION("""COMPUTED_VALUE"""),0.0)</f>
        <v>0</v>
      </c>
      <c r="CD433" s="16">
        <f>IFERROR(__xludf.DUMMYFUNCTION("""COMPUTED_VALUE"""),0.0)</f>
        <v>0</v>
      </c>
      <c r="CE433" s="16">
        <f>IFERROR(__xludf.DUMMYFUNCTION("""COMPUTED_VALUE"""),0.0)</f>
        <v>0</v>
      </c>
      <c r="CF433" s="16">
        <f>IFERROR(__xludf.DUMMYFUNCTION("""COMPUTED_VALUE"""),1.0)</f>
        <v>1</v>
      </c>
      <c r="CG433" s="16">
        <f>IFERROR(__xludf.DUMMYFUNCTION("""COMPUTED_VALUE"""),-34.0)</f>
        <v>-34</v>
      </c>
      <c r="CH433" s="16">
        <f>IFERROR(__xludf.DUMMYFUNCTION("""COMPUTED_VALUE"""),-27.0)</f>
        <v>-27</v>
      </c>
      <c r="CI433" s="179">
        <f>IFERROR(__xludf.DUMMYFUNCTION("""COMPUTED_VALUE"""),-27.0)</f>
        <v>-27</v>
      </c>
      <c r="CJ433" s="16"/>
      <c r="CK433" s="16">
        <f>IFERROR(__xludf.DUMMYFUNCTION("""COMPUTED_VALUE"""),410.0)</f>
        <v>410</v>
      </c>
      <c r="CL433" s="16"/>
      <c r="CM433" s="16"/>
      <c r="CN433" s="16"/>
      <c r="CO433" s="16"/>
      <c r="CP433" s="16"/>
      <c r="CQ433" s="16"/>
      <c r="CR433" s="16" t="str">
        <f>IFERROR(__xludf.DUMMYFUNCTION("""COMPUTED_VALUE"""),"1b-4e10")</f>
        <v>1b-4e10</v>
      </c>
      <c r="CS433" s="16"/>
      <c r="CT433" s="16">
        <f>IFERROR(__xludf.DUMMYFUNCTION("""COMPUTED_VALUE"""),4.0)</f>
        <v>4</v>
      </c>
      <c r="CU433" s="16"/>
      <c r="CV433" s="16"/>
      <c r="CW433" s="16"/>
      <c r="CX433" s="16"/>
      <c r="CY433" s="16"/>
      <c r="CZ433" s="16"/>
      <c r="DA433" s="16"/>
      <c r="DB433" s="16">
        <f>IFERROR(__xludf.DUMMYFUNCTION("""COMPUTED_VALUE"""),10.0)</f>
        <v>10</v>
      </c>
      <c r="DC433" s="16"/>
      <c r="DD433" s="16"/>
      <c r="DE433" s="16"/>
      <c r="DF433" s="16"/>
      <c r="DG433" s="16"/>
      <c r="DH433" s="16"/>
      <c r="DI433" s="16"/>
      <c r="DJ433" s="16">
        <f>IFERROR(__xludf.DUMMYFUNCTION("""COMPUTED_VALUE"""),0.0)</f>
        <v>0</v>
      </c>
      <c r="DK433" s="16"/>
      <c r="DL433" s="16"/>
      <c r="DM433" s="16"/>
      <c r="DN433" s="16"/>
      <c r="DO433" s="16"/>
      <c r="DP433" s="16"/>
      <c r="DQ433" s="16"/>
      <c r="DR433" s="16">
        <f>IFERROR(__xludf.DUMMYFUNCTION("""COMPUTED_VALUE"""),2.0)</f>
        <v>2</v>
      </c>
      <c r="DS433" s="16"/>
      <c r="DT433" s="16"/>
      <c r="DU433" s="16"/>
      <c r="DV433" s="16"/>
      <c r="DW433" s="16"/>
      <c r="DX433" s="16"/>
      <c r="DY433" s="16"/>
      <c r="DZ433" s="16">
        <f>IFERROR(__xludf.DUMMYFUNCTION("""COMPUTED_VALUE"""),2.0)</f>
        <v>2</v>
      </c>
      <c r="EA433" s="16"/>
      <c r="EB433" s="16"/>
      <c r="EC433" s="16"/>
      <c r="ED433" s="16"/>
      <c r="EE433" s="16"/>
      <c r="EF433" s="16"/>
      <c r="EG433" s="179"/>
      <c r="EH433" s="179">
        <f>IFERROR(__xludf.DUMMYFUNCTION("""COMPUTED_VALUE"""),-25.0)</f>
        <v>-25</v>
      </c>
      <c r="EI433" s="179"/>
      <c r="EJ433" s="179"/>
      <c r="EK433" s="179"/>
      <c r="EL433" s="179"/>
      <c r="EM433" s="179"/>
      <c r="EN433" s="179"/>
      <c r="EO433" s="16"/>
      <c r="EP433" s="16"/>
      <c r="EQ433" s="16">
        <f>IFERROR(__xludf.DUMMYFUNCTION("""COMPUTED_VALUE"""),4.0)</f>
        <v>4</v>
      </c>
      <c r="ER433" s="16">
        <f>IFERROR(__xludf.DUMMYFUNCTION("""COMPUTED_VALUE"""),-2.0)</f>
        <v>-2</v>
      </c>
      <c r="ES433" s="16"/>
      <c r="ET433" s="16"/>
      <c r="EU433" s="16"/>
      <c r="EV433" s="16"/>
      <c r="EW433" s="16"/>
      <c r="EX433" s="180"/>
      <c r="EY433" s="180">
        <f>IFERROR(__xludf.DUMMYFUNCTION("""COMPUTED_VALUE"""),0.3)</f>
        <v>0.3</v>
      </c>
      <c r="EZ433" s="180"/>
      <c r="FA433" s="180"/>
      <c r="FB433" s="180"/>
      <c r="FC433" s="180"/>
      <c r="FD433" s="180"/>
      <c r="FE433" s="180"/>
      <c r="FF433" s="180"/>
      <c r="FG433" s="180">
        <f>IFERROR(__xludf.DUMMYFUNCTION("""COMPUTED_VALUE"""),0.18055555555555555)</f>
        <v>0.1805555556</v>
      </c>
      <c r="FH433" s="180"/>
      <c r="FI433" s="180"/>
      <c r="FJ433" s="180"/>
      <c r="FK433" s="180"/>
      <c r="FL433" s="180"/>
      <c r="FM433" s="180"/>
      <c r="FN433" s="16"/>
      <c r="FO433" s="16">
        <f>IFERROR(__xludf.DUMMYFUNCTION("""COMPUTED_VALUE"""),0.5736111111111111)</f>
        <v>0.5736111111</v>
      </c>
      <c r="FP433" s="16"/>
      <c r="FQ433" s="16"/>
      <c r="FR433" s="16"/>
      <c r="FS433" s="16"/>
      <c r="FT433" s="16"/>
      <c r="FU433" s="16"/>
      <c r="FV433" s="16"/>
      <c r="FW433" s="16">
        <f>IFERROR(__xludf.DUMMYFUNCTION("""COMPUTED_VALUE"""),-6.0)</f>
        <v>-6</v>
      </c>
      <c r="FX433" s="16"/>
      <c r="FY433" s="16"/>
      <c r="FZ433" s="16"/>
      <c r="GA433" s="16"/>
      <c r="GB433" s="16"/>
      <c r="GC433" s="16"/>
      <c r="GD433" s="16" t="s">
        <v>176</v>
      </c>
    </row>
    <row r="434">
      <c r="A434" s="16">
        <f>IFERROR(__xludf.DUMMYFUNCTION("""COMPUTED_VALUE"""),13523.0)</f>
        <v>13523</v>
      </c>
      <c r="B434" s="16" t="str">
        <f>IFERROR(__xludf.DUMMYFUNCTION("""COMPUTED_VALUE"""),"Zack Short")</f>
        <v>Zack Short</v>
      </c>
      <c r="C434" s="16">
        <f>IFERROR(__xludf.DUMMYFUNCTION("""COMPUTED_VALUE"""),0.0)</f>
        <v>0</v>
      </c>
      <c r="D434" s="16" t="str">
        <f>IFERROR(__xludf.DUMMYFUNCTION("""COMPUTED_VALUE"""),"R")</f>
        <v>R</v>
      </c>
      <c r="E434" s="16"/>
      <c r="F434" s="16"/>
      <c r="G434" s="16">
        <f>IFERROR(__xludf.DUMMYFUNCTION("""COMPUTED_VALUE"""),70.0)</f>
        <v>70</v>
      </c>
      <c r="H434" s="16">
        <f>IFERROR(__xludf.DUMMYFUNCTION("""COMPUTED_VALUE"""),14.0)</f>
        <v>14</v>
      </c>
      <c r="I434" s="16" t="str">
        <f>IFERROR(__xludf.DUMMYFUNCTION("""COMPUTED_VALUE"""),"1p20")</f>
        <v>1p20</v>
      </c>
      <c r="J434" s="16">
        <f>IFERROR(__xludf.DUMMYFUNCTION("""COMPUTED_VALUE"""),47.0)</f>
        <v>47</v>
      </c>
      <c r="K434" s="16">
        <f>IFERROR(__xludf.DUMMYFUNCTION("""COMPUTED_VALUE"""),31.0)</f>
        <v>31</v>
      </c>
      <c r="L434" s="16">
        <f>IFERROR(__xludf.DUMMYFUNCTION("""COMPUTED_VALUE"""),-2.0)</f>
        <v>-2</v>
      </c>
      <c r="M434" s="16">
        <f>IFERROR(__xludf.DUMMYFUNCTION("""COMPUTED_VALUE"""),-1.0)</f>
        <v>-1</v>
      </c>
      <c r="N434" s="16">
        <f>IFERROR(__xludf.DUMMYFUNCTION("""COMPUTED_VALUE"""),-2.0)</f>
        <v>-2</v>
      </c>
      <c r="O434" s="16">
        <f>IFERROR(__xludf.DUMMYFUNCTION("""COMPUTED_VALUE"""),-1.0)</f>
        <v>-1</v>
      </c>
      <c r="P434" s="16">
        <f>IFERROR(__xludf.DUMMYFUNCTION("""COMPUTED_VALUE"""),25.0)</f>
        <v>25</v>
      </c>
      <c r="Q434" s="16">
        <f>IFERROR(__xludf.DUMMYFUNCTION("""COMPUTED_VALUE"""),28.0)</f>
        <v>28</v>
      </c>
      <c r="R434" s="16">
        <f>IFERROR(__xludf.DUMMYFUNCTION("""COMPUTED_VALUE"""),3.0)</f>
        <v>3</v>
      </c>
      <c r="S434" s="16">
        <f>IFERROR(__xludf.DUMMYFUNCTION("""COMPUTED_VALUE"""),3.0)</f>
        <v>3</v>
      </c>
      <c r="T434" s="16">
        <f>IFERROR(__xludf.DUMMYFUNCTION("""COMPUTED_VALUE"""),3.0)</f>
        <v>3</v>
      </c>
      <c r="U434" s="16">
        <f>IFERROR(__xludf.DUMMYFUNCTION("""COMPUTED_VALUE"""),3.0)</f>
        <v>3</v>
      </c>
      <c r="V434" s="16">
        <f>IFERROR(__xludf.DUMMYFUNCTION("""COMPUTED_VALUE"""),0.0)</f>
        <v>0</v>
      </c>
      <c r="W434" s="16">
        <f>IFERROR(__xludf.DUMMYFUNCTION("""COMPUTED_VALUE"""),0.0)</f>
        <v>0</v>
      </c>
      <c r="X434" s="16">
        <f>IFERROR(__xludf.DUMMYFUNCTION("""COMPUTED_VALUE"""),-2.0)</f>
        <v>-2</v>
      </c>
      <c r="Y434" s="16">
        <f>IFERROR(__xludf.DUMMYFUNCTION("""COMPUTED_VALUE"""),-3.0)</f>
        <v>-3</v>
      </c>
      <c r="Z434" s="16">
        <f>IFERROR(__xludf.DUMMYFUNCTION("""COMPUTED_VALUE"""),-4.0)</f>
        <v>-4</v>
      </c>
      <c r="AA434" s="16">
        <f>IFERROR(__xludf.DUMMYFUNCTION("""COMPUTED_VALUE"""),-6.0)</f>
        <v>-6</v>
      </c>
      <c r="AB434" s="16">
        <f>IFERROR(__xludf.DUMMYFUNCTION("""COMPUTED_VALUE"""),28.0)</f>
        <v>28</v>
      </c>
      <c r="AC434" s="16">
        <f>IFERROR(__xludf.DUMMYFUNCTION("""COMPUTED_VALUE"""),31.0)</f>
        <v>31</v>
      </c>
      <c r="AD434" s="16">
        <f>IFERROR(__xludf.DUMMYFUNCTION("""COMPUTED_VALUE"""),0.0)</f>
        <v>0</v>
      </c>
      <c r="AE434" s="16">
        <f>IFERROR(__xludf.DUMMYFUNCTION("""COMPUTED_VALUE"""),0.0)</f>
        <v>0</v>
      </c>
      <c r="AF434" s="16">
        <f>IFERROR(__xludf.DUMMYFUNCTION("""COMPUTED_VALUE"""),0.0)</f>
        <v>0</v>
      </c>
      <c r="AG434" s="16">
        <f>IFERROR(__xludf.DUMMYFUNCTION("""COMPUTED_VALUE"""),0.0)</f>
        <v>0</v>
      </c>
      <c r="AH434" s="16">
        <f>IFERROR(__xludf.DUMMYFUNCTION("""COMPUTED_VALUE"""),0.0)</f>
        <v>0</v>
      </c>
      <c r="AI434" s="16">
        <f>IFERROR(__xludf.DUMMYFUNCTION("""COMPUTED_VALUE"""),0.0)</f>
        <v>0</v>
      </c>
      <c r="AJ434" s="16">
        <f>IFERROR(__xludf.DUMMYFUNCTION("""COMPUTED_VALUE"""),-2.0)</f>
        <v>-2</v>
      </c>
      <c r="AK434" s="16">
        <f>IFERROR(__xludf.DUMMYFUNCTION("""COMPUTED_VALUE"""),-3.0)</f>
        <v>-3</v>
      </c>
      <c r="AL434" s="16">
        <f>IFERROR(__xludf.DUMMYFUNCTION("""COMPUTED_VALUE"""),-10.0)</f>
        <v>-10</v>
      </c>
      <c r="AM434" s="16">
        <f>IFERROR(__xludf.DUMMYFUNCTION("""COMPUTED_VALUE"""),-15.0)</f>
        <v>-15</v>
      </c>
      <c r="AN434" s="16">
        <f>IFERROR(__xludf.DUMMYFUNCTION("""COMPUTED_VALUE"""),0.0)</f>
        <v>0</v>
      </c>
      <c r="AO434" s="16">
        <f>IFERROR(__xludf.DUMMYFUNCTION("""COMPUTED_VALUE"""),0.0)</f>
        <v>0</v>
      </c>
      <c r="AP434" s="16">
        <f>IFERROR(__xludf.DUMMYFUNCTION("""COMPUTED_VALUE"""),-2.0)</f>
        <v>-2</v>
      </c>
      <c r="AQ434" s="16">
        <f>IFERROR(__xludf.DUMMYFUNCTION("""COMPUTED_VALUE"""),-3.0)</f>
        <v>-3</v>
      </c>
      <c r="AR434" s="16">
        <f>IFERROR(__xludf.DUMMYFUNCTION("""COMPUTED_VALUE"""),-4.0)</f>
        <v>-4</v>
      </c>
      <c r="AS434" s="16">
        <f>IFERROR(__xludf.DUMMYFUNCTION("""COMPUTED_VALUE"""),-6.0)</f>
        <v>-6</v>
      </c>
      <c r="AT434" s="16"/>
      <c r="AU434" s="16"/>
      <c r="AV434" s="16">
        <f>IFERROR(__xludf.DUMMYFUNCTION("""COMPUTED_VALUE"""),-3.0)</f>
        <v>-3</v>
      </c>
      <c r="AW434" s="16">
        <f>IFERROR(__xludf.DUMMYFUNCTION("""COMPUTED_VALUE"""),-3.0)</f>
        <v>-3</v>
      </c>
      <c r="AX434" s="16">
        <f>IFERROR(__xludf.DUMMYFUNCTION("""COMPUTED_VALUE"""),-3.0)</f>
        <v>-3</v>
      </c>
      <c r="AY434" s="16">
        <f>IFERROR(__xludf.DUMMYFUNCTION("""COMPUTED_VALUE"""),-3.0)</f>
        <v>-3</v>
      </c>
      <c r="AZ434" s="16">
        <f>IFERROR(__xludf.DUMMYFUNCTION("""COMPUTED_VALUE"""),-9.0)</f>
        <v>-9</v>
      </c>
      <c r="BA434" s="16">
        <f>IFERROR(__xludf.DUMMYFUNCTION("""COMPUTED_VALUE"""),-9.0)</f>
        <v>-9</v>
      </c>
      <c r="BB434" s="16">
        <f>IFERROR(__xludf.DUMMYFUNCTION("""COMPUTED_VALUE"""),0.0)</f>
        <v>0</v>
      </c>
      <c r="BC434" s="16">
        <f>IFERROR(__xludf.DUMMYFUNCTION("""COMPUTED_VALUE"""),0.0)</f>
        <v>0</v>
      </c>
      <c r="BD434" s="16">
        <f>IFERROR(__xludf.DUMMYFUNCTION("""COMPUTED_VALUE"""),0.0)</f>
        <v>0</v>
      </c>
      <c r="BE434" s="16">
        <f>IFERROR(__xludf.DUMMYFUNCTION("""COMPUTED_VALUE"""),0.0)</f>
        <v>0</v>
      </c>
      <c r="BF434" s="16">
        <f>IFERROR(__xludf.DUMMYFUNCTION("""COMPUTED_VALUE"""),0.0)</f>
        <v>0</v>
      </c>
      <c r="BG434" s="16">
        <f>IFERROR(__xludf.DUMMYFUNCTION("""COMPUTED_VALUE"""),0.0)</f>
        <v>0</v>
      </c>
      <c r="BH434" s="16">
        <f>IFERROR(__xludf.DUMMYFUNCTION("""COMPUTED_VALUE"""),0.0)</f>
        <v>0</v>
      </c>
      <c r="BI434" s="16">
        <f>IFERROR(__xludf.DUMMYFUNCTION("""COMPUTED_VALUE"""),0.0)</f>
        <v>0</v>
      </c>
      <c r="BJ434" s="16">
        <f>IFERROR(__xludf.DUMMYFUNCTION("""COMPUTED_VALUE"""),0.0)</f>
        <v>0</v>
      </c>
      <c r="BK434" s="16">
        <f>IFERROR(__xludf.DUMMYFUNCTION("""COMPUTED_VALUE"""),0.0)</f>
        <v>0</v>
      </c>
      <c r="BL434" s="16">
        <f>IFERROR(__xludf.DUMMYFUNCTION("""COMPUTED_VALUE"""),3.0)</f>
        <v>3</v>
      </c>
      <c r="BM434" s="16">
        <f>IFERROR(__xludf.DUMMYFUNCTION("""COMPUTED_VALUE"""),3.0)</f>
        <v>3</v>
      </c>
      <c r="BN434" s="16">
        <f>IFERROR(__xludf.DUMMYFUNCTION("""COMPUTED_VALUE"""),3.0)</f>
        <v>3</v>
      </c>
      <c r="BO434" s="16">
        <f>IFERROR(__xludf.DUMMYFUNCTION("""COMPUTED_VALUE"""),3.0)</f>
        <v>3</v>
      </c>
      <c r="BP434" s="16">
        <f>IFERROR(__xludf.DUMMYFUNCTION("""COMPUTED_VALUE"""),-5.0)</f>
        <v>-5</v>
      </c>
      <c r="BQ434" s="16">
        <f>IFERROR(__xludf.DUMMYFUNCTION("""COMPUTED_VALUE"""),-7.0)</f>
        <v>-7</v>
      </c>
      <c r="BR434" s="16">
        <f>IFERROR(__xludf.DUMMYFUNCTION("""COMPUTED_VALUE"""),-12.0)</f>
        <v>-12</v>
      </c>
      <c r="BS434" s="16" t="str">
        <f>IFERROR(__xludf.DUMMYFUNCTION("""COMPUTED_VALUE"""),"*2-6,11,12/- (15-12)")</f>
        <v>*2-6,11,12/- (15-12)</v>
      </c>
      <c r="BT434" s="16" t="str">
        <f>IFERROR(__xludf.DUMMYFUNCTION("""COMPUTED_VALUE"""),"C")</f>
        <v>C</v>
      </c>
      <c r="BU434" s="16">
        <f>IFERROR(__xludf.DUMMYFUNCTION("""COMPUTED_VALUE"""),14.0)</f>
        <v>14</v>
      </c>
      <c r="BV434" s="16">
        <f>IFERROR(__xludf.DUMMYFUNCTION("""COMPUTED_VALUE"""),0.0)</f>
        <v>0</v>
      </c>
      <c r="BW434" s="16">
        <f>IFERROR(__xludf.DUMMYFUNCTION("""COMPUTED_VALUE"""),1.0)</f>
        <v>1</v>
      </c>
      <c r="BX434" s="16">
        <f>IFERROR(__xludf.DUMMYFUNCTION("""COMPUTED_VALUE"""),0.0)</f>
        <v>0</v>
      </c>
      <c r="BY434" s="16">
        <f>IFERROR(__xludf.DUMMYFUNCTION("""COMPUTED_VALUE"""),3.0)</f>
        <v>3</v>
      </c>
      <c r="BZ434" s="16" t="str">
        <f>IFERROR(__xludf.DUMMYFUNCTION("""COMPUTED_VALUE"""),"B")</f>
        <v>B</v>
      </c>
      <c r="CA434" s="16" t="str">
        <f>IFERROR(__xludf.DUMMYFUNCTION("""COMPUTED_VALUE"""),"D")</f>
        <v>D</v>
      </c>
      <c r="CB434" s="16">
        <f>IFERROR(__xludf.DUMMYFUNCTION("""COMPUTED_VALUE"""),1.0)</f>
        <v>1</v>
      </c>
      <c r="CC434" s="16">
        <f>IFERROR(__xludf.DUMMYFUNCTION("""COMPUTED_VALUE"""),0.0)</f>
        <v>0</v>
      </c>
      <c r="CD434" s="16">
        <f>IFERROR(__xludf.DUMMYFUNCTION("""COMPUTED_VALUE"""),1.0)</f>
        <v>1</v>
      </c>
      <c r="CE434" s="16">
        <f>IFERROR(__xludf.DUMMYFUNCTION("""COMPUTED_VALUE"""),0.0)</f>
        <v>0</v>
      </c>
      <c r="CF434" s="16">
        <f>IFERROR(__xludf.DUMMYFUNCTION("""COMPUTED_VALUE"""),1.0)</f>
        <v>1</v>
      </c>
      <c r="CG434" s="16">
        <f>IFERROR(__xludf.DUMMYFUNCTION("""COMPUTED_VALUE"""),-23.0)</f>
        <v>-23</v>
      </c>
      <c r="CH434" s="16">
        <f>IFERROR(__xludf.DUMMYFUNCTION("""COMPUTED_VALUE"""),-31.0)</f>
        <v>-31</v>
      </c>
      <c r="CI434" s="179">
        <f>IFERROR(__xludf.DUMMYFUNCTION("""COMPUTED_VALUE"""),-28.0)</f>
        <v>-28</v>
      </c>
      <c r="CJ434" s="16"/>
      <c r="CK434" s="16"/>
      <c r="CL434" s="16">
        <f>IFERROR(__xludf.DUMMYFUNCTION("""COMPUTED_VALUE"""),371.0)</f>
        <v>371</v>
      </c>
      <c r="CM434" s="16">
        <f>IFERROR(__xludf.DUMMYFUNCTION("""COMPUTED_VALUE"""),329.0)</f>
        <v>329</v>
      </c>
      <c r="CN434" s="16">
        <f>IFERROR(__xludf.DUMMYFUNCTION("""COMPUTED_VALUE"""),430.0)</f>
        <v>430</v>
      </c>
      <c r="CO434" s="16"/>
      <c r="CP434" s="16"/>
      <c r="CQ434" s="16"/>
      <c r="CR434" s="16" t="str">
        <f>IFERROR(__xludf.DUMMYFUNCTION("""COMPUTED_VALUE"""),"3b-3e29 ss-4e30 2b-3e71")</f>
        <v>3b-3e29 ss-4e30 2b-3e71</v>
      </c>
      <c r="CS434" s="16"/>
      <c r="CT434" s="16"/>
      <c r="CU434" s="16">
        <f>IFERROR(__xludf.DUMMYFUNCTION("""COMPUTED_VALUE"""),3.0)</f>
        <v>3</v>
      </c>
      <c r="CV434" s="16">
        <f>IFERROR(__xludf.DUMMYFUNCTION("""COMPUTED_VALUE"""),3.0)</f>
        <v>3</v>
      </c>
      <c r="CW434" s="16">
        <f>IFERROR(__xludf.DUMMYFUNCTION("""COMPUTED_VALUE"""),4.0)</f>
        <v>4</v>
      </c>
      <c r="CX434" s="16"/>
      <c r="CY434" s="16"/>
      <c r="CZ434" s="16"/>
      <c r="DA434" s="16"/>
      <c r="DB434" s="16"/>
      <c r="DC434" s="16">
        <f>IFERROR(__xludf.DUMMYFUNCTION("""COMPUTED_VALUE"""),71.0)</f>
        <v>71</v>
      </c>
      <c r="DD434" s="16">
        <f>IFERROR(__xludf.DUMMYFUNCTION("""COMPUTED_VALUE"""),29.0)</f>
        <v>29</v>
      </c>
      <c r="DE434" s="16">
        <f>IFERROR(__xludf.DUMMYFUNCTION("""COMPUTED_VALUE"""),30.0)</f>
        <v>30</v>
      </c>
      <c r="DF434" s="16"/>
      <c r="DG434" s="16"/>
      <c r="DH434" s="16"/>
      <c r="DI434" s="16"/>
      <c r="DJ434" s="16"/>
      <c r="DK434" s="16">
        <f>IFERROR(__xludf.DUMMYFUNCTION("""COMPUTED_VALUE"""),0.0)</f>
        <v>0</v>
      </c>
      <c r="DL434" s="16">
        <f>IFERROR(__xludf.DUMMYFUNCTION("""COMPUTED_VALUE"""),1.0)</f>
        <v>1</v>
      </c>
      <c r="DM434" s="16">
        <f>IFERROR(__xludf.DUMMYFUNCTION("""COMPUTED_VALUE"""),-2.0)</f>
        <v>-2</v>
      </c>
      <c r="DN434" s="16"/>
      <c r="DO434" s="16"/>
      <c r="DP434" s="16"/>
      <c r="DQ434" s="16"/>
      <c r="DR434" s="16"/>
      <c r="DS434" s="16">
        <f>IFERROR(__xludf.DUMMYFUNCTION("""COMPUTED_VALUE"""),-2.0)</f>
        <v>-2</v>
      </c>
      <c r="DT434" s="16">
        <f>IFERROR(__xludf.DUMMYFUNCTION("""COMPUTED_VALUE"""),-2.0)</f>
        <v>-2</v>
      </c>
      <c r="DU434" s="16">
        <f>IFERROR(__xludf.DUMMYFUNCTION("""COMPUTED_VALUE"""),-2.0)</f>
        <v>-2</v>
      </c>
      <c r="DV434" s="16"/>
      <c r="DW434" s="16"/>
      <c r="DX434" s="16"/>
      <c r="DY434" s="16"/>
      <c r="DZ434" s="16"/>
      <c r="EA434" s="16">
        <f>IFERROR(__xludf.DUMMYFUNCTION("""COMPUTED_VALUE"""),-2.0)</f>
        <v>-2</v>
      </c>
      <c r="EB434" s="16">
        <f>IFERROR(__xludf.DUMMYFUNCTION("""COMPUTED_VALUE"""),-1.0)</f>
        <v>-1</v>
      </c>
      <c r="EC434" s="16">
        <f>IFERROR(__xludf.DUMMYFUNCTION("""COMPUTED_VALUE"""),-4.0)</f>
        <v>-4</v>
      </c>
      <c r="ED434" s="16"/>
      <c r="EE434" s="16"/>
      <c r="EF434" s="16"/>
      <c r="EG434" s="179"/>
      <c r="EH434" s="179"/>
      <c r="EI434" s="179">
        <f>IFERROR(__xludf.DUMMYFUNCTION("""COMPUTED_VALUE"""),-30.0)</f>
        <v>-30</v>
      </c>
      <c r="EJ434" s="179">
        <f>IFERROR(__xludf.DUMMYFUNCTION("""COMPUTED_VALUE"""),-29.0)</f>
        <v>-29</v>
      </c>
      <c r="EK434" s="179">
        <f>IFERROR(__xludf.DUMMYFUNCTION("""COMPUTED_VALUE"""),-32.0)</f>
        <v>-32</v>
      </c>
      <c r="EL434" s="179"/>
      <c r="EM434" s="179"/>
      <c r="EN434" s="179"/>
      <c r="EO434" s="16"/>
      <c r="EP434" s="16">
        <f>IFERROR(__xludf.DUMMYFUNCTION("""COMPUTED_VALUE"""),0.0)</f>
        <v>0</v>
      </c>
      <c r="EQ434" s="16">
        <f>IFERROR(__xludf.DUMMYFUNCTION("""COMPUTED_VALUE"""),4.0)</f>
        <v>4</v>
      </c>
      <c r="ER434" s="16">
        <f>IFERROR(__xludf.DUMMYFUNCTION("""COMPUTED_VALUE"""),-4.0)</f>
        <v>-4</v>
      </c>
      <c r="ES434" s="16"/>
      <c r="ET434" s="16"/>
      <c r="EU434" s="16"/>
      <c r="EV434" s="16"/>
      <c r="EW434" s="16"/>
      <c r="EX434" s="180"/>
      <c r="EY434" s="180"/>
      <c r="EZ434" s="180">
        <f>IFERROR(__xludf.DUMMYFUNCTION("""COMPUTED_VALUE"""),0.2)</f>
        <v>0.2</v>
      </c>
      <c r="FA434" s="180">
        <f>IFERROR(__xludf.DUMMYFUNCTION("""COMPUTED_VALUE"""),0.2)</f>
        <v>0.2</v>
      </c>
      <c r="FB434" s="180">
        <f>IFERROR(__xludf.DUMMYFUNCTION("""COMPUTED_VALUE"""),0.3)</f>
        <v>0.3</v>
      </c>
      <c r="FC434" s="180"/>
      <c r="FD434" s="180"/>
      <c r="FE434" s="180"/>
      <c r="FF434" s="180"/>
      <c r="FG434" s="180"/>
      <c r="FH434" s="180">
        <f>IFERROR(__xludf.DUMMYFUNCTION("""COMPUTED_VALUE"""),0.42592592592592593)</f>
        <v>0.4259259259</v>
      </c>
      <c r="FI434" s="180">
        <f>IFERROR(__xludf.DUMMYFUNCTION("""COMPUTED_VALUE"""),0.3472222222222222)</f>
        <v>0.3472222222</v>
      </c>
      <c r="FJ434" s="180">
        <f>IFERROR(__xludf.DUMMYFUNCTION("""COMPUTED_VALUE"""),0.1527777777777778)</f>
        <v>0.1527777778</v>
      </c>
      <c r="FK434" s="180"/>
      <c r="FL434" s="180"/>
      <c r="FM434" s="180"/>
      <c r="FN434" s="16"/>
      <c r="FO434" s="16"/>
      <c r="FP434" s="16">
        <f>IFERROR(__xludf.DUMMYFUNCTION("""COMPUTED_VALUE"""),0.45925925925925926)</f>
        <v>0.4592592593</v>
      </c>
      <c r="FQ434" s="16">
        <f>IFERROR(__xludf.DUMMYFUNCTION("""COMPUTED_VALUE"""),0.5222222222222223)</f>
        <v>0.5222222222</v>
      </c>
      <c r="FR434" s="16">
        <f>IFERROR(__xludf.DUMMYFUNCTION("""COMPUTED_VALUE"""),0.5930555555555556)</f>
        <v>0.5930555556</v>
      </c>
      <c r="FS434" s="16"/>
      <c r="FT434" s="16"/>
      <c r="FU434" s="16"/>
      <c r="FV434" s="16"/>
      <c r="FW434" s="16"/>
      <c r="FX434" s="16">
        <f>IFERROR(__xludf.DUMMYFUNCTION("""COMPUTED_VALUE"""),-8.0)</f>
        <v>-8</v>
      </c>
      <c r="FY434" s="16">
        <f>IFERROR(__xludf.DUMMYFUNCTION("""COMPUTED_VALUE"""),-8.0)</f>
        <v>-8</v>
      </c>
      <c r="FZ434" s="16">
        <f>IFERROR(__xludf.DUMMYFUNCTION("""COMPUTED_VALUE"""),-6.0)</f>
        <v>-6</v>
      </c>
      <c r="GA434" s="16"/>
      <c r="GB434" s="16"/>
      <c r="GC434" s="16"/>
      <c r="GD434" s="16" t="s">
        <v>176</v>
      </c>
    </row>
    <row r="435">
      <c r="A435" s="16">
        <f>IFERROR(__xludf.DUMMYFUNCTION("""COMPUTED_VALUE"""),12620.0)</f>
        <v>12620</v>
      </c>
      <c r="B435" s="16" t="str">
        <f>IFERROR(__xludf.DUMMYFUNCTION("""COMPUTED_VALUE"""),"Brooks Baldwin")</f>
        <v>Brooks Baldwin</v>
      </c>
      <c r="C435" s="16">
        <f>IFERROR(__xludf.DUMMYFUNCTION("""COMPUTED_VALUE"""),0.0)</f>
        <v>0</v>
      </c>
      <c r="D435" s="16" t="str">
        <f>IFERROR(__xludf.DUMMYFUNCTION("""COMPUTED_VALUE"""),"S")</f>
        <v>S</v>
      </c>
      <c r="E435" s="16"/>
      <c r="F435" s="16"/>
      <c r="G435" s="16">
        <f>IFERROR(__xludf.DUMMYFUNCTION("""COMPUTED_VALUE"""),114.0)</f>
        <v>114</v>
      </c>
      <c r="H435" s="16">
        <f>IFERROR(__xludf.DUMMYFUNCTION("""COMPUTED_VALUE"""),6.0)</f>
        <v>6</v>
      </c>
      <c r="I435" s="16" t="str">
        <f>IFERROR(__xludf.DUMMYFUNCTION("""COMPUTED_VALUE"""),"2p20")</f>
        <v>2p20</v>
      </c>
      <c r="J435" s="16">
        <f>IFERROR(__xludf.DUMMYFUNCTION("""COMPUTED_VALUE"""),6.0)</f>
        <v>6</v>
      </c>
      <c r="K435" s="16">
        <f>IFERROR(__xludf.DUMMYFUNCTION("""COMPUTED_VALUE"""),39.0)</f>
        <v>39</v>
      </c>
      <c r="L435" s="16">
        <f>IFERROR(__xludf.DUMMYFUNCTION("""COMPUTED_VALUE"""),2.0)</f>
        <v>2</v>
      </c>
      <c r="M435" s="16">
        <f>IFERROR(__xludf.DUMMYFUNCTION("""COMPUTED_VALUE"""),-2.0)</f>
        <v>-2</v>
      </c>
      <c r="N435" s="16">
        <f>IFERROR(__xludf.DUMMYFUNCTION("""COMPUTED_VALUE"""),2.0)</f>
        <v>2</v>
      </c>
      <c r="O435" s="16">
        <f>IFERROR(__xludf.DUMMYFUNCTION("""COMPUTED_VALUE"""),-2.0)</f>
        <v>-2</v>
      </c>
      <c r="P435" s="16">
        <f>IFERROR(__xludf.DUMMYFUNCTION("""COMPUTED_VALUE"""),6.0)</f>
        <v>6</v>
      </c>
      <c r="Q435" s="16">
        <f>IFERROR(__xludf.DUMMYFUNCTION("""COMPUTED_VALUE"""),0.0)</f>
        <v>0</v>
      </c>
      <c r="R435" s="16">
        <f>IFERROR(__xludf.DUMMYFUNCTION("""COMPUTED_VALUE"""),-1.0)</f>
        <v>-1</v>
      </c>
      <c r="S435" s="16">
        <f>IFERROR(__xludf.DUMMYFUNCTION("""COMPUTED_VALUE"""),-2.0)</f>
        <v>-2</v>
      </c>
      <c r="T435" s="16">
        <f>IFERROR(__xludf.DUMMYFUNCTION("""COMPUTED_VALUE"""),-1.0)</f>
        <v>-1</v>
      </c>
      <c r="U435" s="16">
        <f>IFERROR(__xludf.DUMMYFUNCTION("""COMPUTED_VALUE"""),-2.0)</f>
        <v>-2</v>
      </c>
      <c r="V435" s="16">
        <f>IFERROR(__xludf.DUMMYFUNCTION("""COMPUTED_VALUE"""),10.9)</f>
        <v>10.9</v>
      </c>
      <c r="W435" s="16">
        <f>IFERROR(__xludf.DUMMYFUNCTION("""COMPUTED_VALUE"""),17.0)</f>
        <v>17</v>
      </c>
      <c r="X435" s="16">
        <f>IFERROR(__xludf.DUMMYFUNCTION("""COMPUTED_VALUE"""),-1.0)</f>
        <v>-1</v>
      </c>
      <c r="Y435" s="16">
        <f>IFERROR(__xludf.DUMMYFUNCTION("""COMPUTED_VALUE"""),-1.0)</f>
        <v>-1</v>
      </c>
      <c r="Z435" s="16">
        <f>IFERROR(__xludf.DUMMYFUNCTION("""COMPUTED_VALUE"""),-2.0)</f>
        <v>-2</v>
      </c>
      <c r="AA435" s="16">
        <f>IFERROR(__xludf.DUMMYFUNCTION("""COMPUTED_VALUE"""),-2.0)</f>
        <v>-2</v>
      </c>
      <c r="AB435" s="16">
        <f>IFERROR(__xludf.DUMMYFUNCTION("""COMPUTED_VALUE"""),17.0)</f>
        <v>17</v>
      </c>
      <c r="AC435" s="16">
        <f>IFERROR(__xludf.DUMMYFUNCTION("""COMPUTED_VALUE"""),17.0)</f>
        <v>17</v>
      </c>
      <c r="AD435" s="16">
        <f>IFERROR(__xludf.DUMMYFUNCTION("""COMPUTED_VALUE"""),-2.0)</f>
        <v>-2</v>
      </c>
      <c r="AE435" s="16">
        <f>IFERROR(__xludf.DUMMYFUNCTION("""COMPUTED_VALUE"""),-2.0)</f>
        <v>-2</v>
      </c>
      <c r="AF435" s="16">
        <f>IFERROR(__xludf.DUMMYFUNCTION("""COMPUTED_VALUE"""),-10.0)</f>
        <v>-10</v>
      </c>
      <c r="AG435" s="16">
        <f>IFERROR(__xludf.DUMMYFUNCTION("""COMPUTED_VALUE"""),-10.0)</f>
        <v>-10</v>
      </c>
      <c r="AH435" s="16">
        <f>IFERROR(__xludf.DUMMYFUNCTION("""COMPUTED_VALUE"""),12.9)</f>
        <v>12.9</v>
      </c>
      <c r="AI435" s="16">
        <f>IFERROR(__xludf.DUMMYFUNCTION("""COMPUTED_VALUE"""),25.7)</f>
        <v>25.7</v>
      </c>
      <c r="AJ435" s="16">
        <f>IFERROR(__xludf.DUMMYFUNCTION("""COMPUTED_VALUE"""),-2.0)</f>
        <v>-2</v>
      </c>
      <c r="AK435" s="16">
        <f>IFERROR(__xludf.DUMMYFUNCTION("""COMPUTED_VALUE"""),-1.0)</f>
        <v>-1</v>
      </c>
      <c r="AL435" s="16">
        <f>IFERROR(__xludf.DUMMYFUNCTION("""COMPUTED_VALUE"""),-10.0)</f>
        <v>-10</v>
      </c>
      <c r="AM435" s="16">
        <f>IFERROR(__xludf.DUMMYFUNCTION("""COMPUTED_VALUE"""),-5.0)</f>
        <v>-5</v>
      </c>
      <c r="AN435" s="16">
        <f>IFERROR(__xludf.DUMMYFUNCTION("""COMPUTED_VALUE"""),0.0)</f>
        <v>0</v>
      </c>
      <c r="AO435" s="16">
        <f>IFERROR(__xludf.DUMMYFUNCTION("""COMPUTED_VALUE"""),0.8)</f>
        <v>0.8</v>
      </c>
      <c r="AP435" s="16">
        <f>IFERROR(__xludf.DUMMYFUNCTION("""COMPUTED_VALUE"""),-2.0)</f>
        <v>-2</v>
      </c>
      <c r="AQ435" s="16">
        <f>IFERROR(__xludf.DUMMYFUNCTION("""COMPUTED_VALUE"""),-2.0)</f>
        <v>-2</v>
      </c>
      <c r="AR435" s="16">
        <f>IFERROR(__xludf.DUMMYFUNCTION("""COMPUTED_VALUE"""),-4.0)</f>
        <v>-4</v>
      </c>
      <c r="AS435" s="16">
        <f>IFERROR(__xludf.DUMMYFUNCTION("""COMPUTED_VALUE"""),-4.0)</f>
        <v>-4</v>
      </c>
      <c r="AT435" s="16"/>
      <c r="AU435" s="16">
        <f>IFERROR(__xludf.DUMMYFUNCTION("""COMPUTED_VALUE"""),1.0)</f>
        <v>1</v>
      </c>
      <c r="AV435" s="16">
        <f>IFERROR(__xludf.DUMMYFUNCTION("""COMPUTED_VALUE"""),-3.0)</f>
        <v>-3</v>
      </c>
      <c r="AW435" s="16">
        <f>IFERROR(__xludf.DUMMYFUNCTION("""COMPUTED_VALUE"""),1.0)</f>
        <v>1</v>
      </c>
      <c r="AX435" s="16">
        <f>IFERROR(__xludf.DUMMYFUNCTION("""COMPUTED_VALUE"""),-3.0)</f>
        <v>-3</v>
      </c>
      <c r="AY435" s="16">
        <f>IFERROR(__xludf.DUMMYFUNCTION("""COMPUTED_VALUE"""),-1.0)</f>
        <v>-1</v>
      </c>
      <c r="AZ435" s="16">
        <f>IFERROR(__xludf.DUMMYFUNCTION("""COMPUTED_VALUE"""),-9.0)</f>
        <v>-9</v>
      </c>
      <c r="BA435" s="16">
        <f>IFERROR(__xludf.DUMMYFUNCTION("""COMPUTED_VALUE"""),-3.0)</f>
        <v>-3</v>
      </c>
      <c r="BB435" s="16">
        <f>IFERROR(__xludf.DUMMYFUNCTION("""COMPUTED_VALUE"""),5.0)</f>
        <v>5</v>
      </c>
      <c r="BC435" s="16">
        <f>IFERROR(__xludf.DUMMYFUNCTION("""COMPUTED_VALUE"""),5.0)</f>
        <v>5</v>
      </c>
      <c r="BD435" s="16">
        <f>IFERROR(__xludf.DUMMYFUNCTION("""COMPUTED_VALUE"""),1.0)</f>
        <v>1</v>
      </c>
      <c r="BE435" s="16">
        <f>IFERROR(__xludf.DUMMYFUNCTION("""COMPUTED_VALUE"""),1.0)</f>
        <v>1</v>
      </c>
      <c r="BF435" s="16">
        <f>IFERROR(__xludf.DUMMYFUNCTION("""COMPUTED_VALUE"""),1.0)</f>
        <v>1</v>
      </c>
      <c r="BG435" s="16">
        <f>IFERROR(__xludf.DUMMYFUNCTION("""COMPUTED_VALUE"""),1.0)</f>
        <v>1</v>
      </c>
      <c r="BH435" s="16">
        <f>IFERROR(__xludf.DUMMYFUNCTION("""COMPUTED_VALUE"""),1.0)</f>
        <v>1</v>
      </c>
      <c r="BI435" s="16">
        <f>IFERROR(__xludf.DUMMYFUNCTION("""COMPUTED_VALUE"""),1.0)</f>
        <v>1</v>
      </c>
      <c r="BJ435" s="16">
        <f>IFERROR(__xludf.DUMMYFUNCTION("""COMPUTED_VALUE"""),4.0)</f>
        <v>4</v>
      </c>
      <c r="BK435" s="16">
        <f>IFERROR(__xludf.DUMMYFUNCTION("""COMPUTED_VALUE"""),5.0)</f>
        <v>5</v>
      </c>
      <c r="BL435" s="16">
        <f>IFERROR(__xludf.DUMMYFUNCTION("""COMPUTED_VALUE"""),1.0)</f>
        <v>1</v>
      </c>
      <c r="BM435" s="16">
        <f>IFERROR(__xludf.DUMMYFUNCTION("""COMPUTED_VALUE"""),1.0)</f>
        <v>1</v>
      </c>
      <c r="BN435" s="16">
        <f>IFERROR(__xludf.DUMMYFUNCTION("""COMPUTED_VALUE"""),1.0)</f>
        <v>1</v>
      </c>
      <c r="BO435" s="16">
        <f>IFERROR(__xludf.DUMMYFUNCTION("""COMPUTED_VALUE"""),1.0)</f>
        <v>1</v>
      </c>
      <c r="BP435" s="16">
        <f>IFERROR(__xludf.DUMMYFUNCTION("""COMPUTED_VALUE"""),-7.0)</f>
        <v>-7</v>
      </c>
      <c r="BQ435" s="16">
        <f>IFERROR(__xludf.DUMMYFUNCTION("""COMPUTED_VALUE"""),-9.0)</f>
        <v>-9</v>
      </c>
      <c r="BR435" s="16">
        <f>IFERROR(__xludf.DUMMYFUNCTION("""COMPUTED_VALUE"""),-16.0)</f>
        <v>-16</v>
      </c>
      <c r="BS435" s="16" t="str">
        <f>IFERROR(__xludf.DUMMYFUNCTION("""COMPUTED_VALUE"""),"*6/- (20-12)")</f>
        <v>*6/- (20-12)</v>
      </c>
      <c r="BT435" s="16" t="str">
        <f>IFERROR(__xludf.DUMMYFUNCTION("""COMPUTED_VALUE"""),"B")</f>
        <v>B</v>
      </c>
      <c r="BU435" s="16">
        <f>IFERROR(__xludf.DUMMYFUNCTION("""COMPUTED_VALUE"""),14.0)</f>
        <v>14</v>
      </c>
      <c r="BV435" s="16">
        <f>IFERROR(__xludf.DUMMYFUNCTION("""COMPUTED_VALUE"""),1.0)</f>
        <v>1</v>
      </c>
      <c r="BW435" s="16">
        <f>IFERROR(__xludf.DUMMYFUNCTION("""COMPUTED_VALUE"""),1.0)</f>
        <v>1</v>
      </c>
      <c r="BX435" s="16">
        <f>IFERROR(__xludf.DUMMYFUNCTION("""COMPUTED_VALUE"""),2.0)</f>
        <v>2</v>
      </c>
      <c r="BY435" s="16">
        <f>IFERROR(__xludf.DUMMYFUNCTION("""COMPUTED_VALUE"""),3.0)</f>
        <v>3</v>
      </c>
      <c r="BZ435" s="16" t="str">
        <f>IFERROR(__xludf.DUMMYFUNCTION("""COMPUTED_VALUE"""),"C")</f>
        <v>C</v>
      </c>
      <c r="CA435" s="16" t="str">
        <f>IFERROR(__xludf.DUMMYFUNCTION("""COMPUTED_VALUE"""),"D")</f>
        <v>D</v>
      </c>
      <c r="CB435" s="16">
        <f>IFERROR(__xludf.DUMMYFUNCTION("""COMPUTED_VALUE"""),0.0)</f>
        <v>0</v>
      </c>
      <c r="CC435" s="16">
        <f>IFERROR(__xludf.DUMMYFUNCTION("""COMPUTED_VALUE"""),0.0)</f>
        <v>0</v>
      </c>
      <c r="CD435" s="16">
        <f>IFERROR(__xludf.DUMMYFUNCTION("""COMPUTED_VALUE"""),0.0)</f>
        <v>0</v>
      </c>
      <c r="CE435" s="16">
        <f>IFERROR(__xludf.DUMMYFUNCTION("""COMPUTED_VALUE"""),0.0)</f>
        <v>0</v>
      </c>
      <c r="CF435" s="16">
        <f>IFERROR(__xludf.DUMMYFUNCTION("""COMPUTED_VALUE"""),2.0)</f>
        <v>2</v>
      </c>
      <c r="CG435" s="16">
        <f>IFERROR(__xludf.DUMMYFUNCTION("""COMPUTED_VALUE"""),-32.0)</f>
        <v>-32</v>
      </c>
      <c r="CH435" s="16">
        <f>IFERROR(__xludf.DUMMYFUNCTION("""COMPUTED_VALUE"""),-26.0)</f>
        <v>-26</v>
      </c>
      <c r="CI435" s="179">
        <f>IFERROR(__xludf.DUMMYFUNCTION("""COMPUTED_VALUE"""),-28.0)</f>
        <v>-28</v>
      </c>
      <c r="CJ435" s="16"/>
      <c r="CK435" s="16"/>
      <c r="CL435" s="16">
        <f>IFERROR(__xludf.DUMMYFUNCTION("""COMPUTED_VALUE"""),414.0)</f>
        <v>414</v>
      </c>
      <c r="CM435" s="16"/>
      <c r="CN435" s="16">
        <f>IFERROR(__xludf.DUMMYFUNCTION("""COMPUTED_VALUE"""),412.0)</f>
        <v>412</v>
      </c>
      <c r="CO435" s="16"/>
      <c r="CP435" s="16"/>
      <c r="CQ435" s="16"/>
      <c r="CR435" s="16" t="str">
        <f>IFERROR(__xludf.DUMMYFUNCTION("""COMPUTED_VALUE"""),"2b-4e14 ss-4e12")</f>
        <v>2b-4e14 ss-4e12</v>
      </c>
      <c r="CS435" s="16"/>
      <c r="CT435" s="16"/>
      <c r="CU435" s="16">
        <f>IFERROR(__xludf.DUMMYFUNCTION("""COMPUTED_VALUE"""),4.0)</f>
        <v>4</v>
      </c>
      <c r="CV435" s="16"/>
      <c r="CW435" s="16">
        <f>IFERROR(__xludf.DUMMYFUNCTION("""COMPUTED_VALUE"""),4.0)</f>
        <v>4</v>
      </c>
      <c r="CX435" s="16"/>
      <c r="CY435" s="16"/>
      <c r="CZ435" s="16"/>
      <c r="DA435" s="16"/>
      <c r="DB435" s="16"/>
      <c r="DC435" s="16">
        <f>IFERROR(__xludf.DUMMYFUNCTION("""COMPUTED_VALUE"""),14.0)</f>
        <v>14</v>
      </c>
      <c r="DD435" s="16"/>
      <c r="DE435" s="16">
        <f>IFERROR(__xludf.DUMMYFUNCTION("""COMPUTED_VALUE"""),12.0)</f>
        <v>12</v>
      </c>
      <c r="DF435" s="16"/>
      <c r="DG435" s="16"/>
      <c r="DH435" s="16"/>
      <c r="DI435" s="16"/>
      <c r="DJ435" s="16"/>
      <c r="DK435" s="16">
        <f>IFERROR(__xludf.DUMMYFUNCTION("""COMPUTED_VALUE"""),-2.0)</f>
        <v>-2</v>
      </c>
      <c r="DL435" s="16"/>
      <c r="DM435" s="16">
        <f>IFERROR(__xludf.DUMMYFUNCTION("""COMPUTED_VALUE"""),-2.0)</f>
        <v>-2</v>
      </c>
      <c r="DN435" s="16"/>
      <c r="DO435" s="16"/>
      <c r="DP435" s="16"/>
      <c r="DQ435" s="16"/>
      <c r="DR435" s="16"/>
      <c r="DS435" s="16">
        <f>IFERROR(__xludf.DUMMYFUNCTION("""COMPUTED_VALUE"""),2.0)</f>
        <v>2</v>
      </c>
      <c r="DT435" s="16"/>
      <c r="DU435" s="16">
        <f>IFERROR(__xludf.DUMMYFUNCTION("""COMPUTED_VALUE"""),2.0)</f>
        <v>2</v>
      </c>
      <c r="DV435" s="16"/>
      <c r="DW435" s="16"/>
      <c r="DX435" s="16"/>
      <c r="DY435" s="16"/>
      <c r="DZ435" s="16"/>
      <c r="EA435" s="16">
        <f>IFERROR(__xludf.DUMMYFUNCTION("""COMPUTED_VALUE"""),0.0)</f>
        <v>0</v>
      </c>
      <c r="EB435" s="16"/>
      <c r="EC435" s="16">
        <f>IFERROR(__xludf.DUMMYFUNCTION("""COMPUTED_VALUE"""),0.0)</f>
        <v>0</v>
      </c>
      <c r="ED435" s="16"/>
      <c r="EE435" s="16"/>
      <c r="EF435" s="16"/>
      <c r="EG435" s="179"/>
      <c r="EH435" s="179"/>
      <c r="EI435" s="179">
        <f>IFERROR(__xludf.DUMMYFUNCTION("""COMPUTED_VALUE"""),-28.0)</f>
        <v>-28</v>
      </c>
      <c r="EJ435" s="179"/>
      <c r="EK435" s="179">
        <f>IFERROR(__xludf.DUMMYFUNCTION("""COMPUTED_VALUE"""),-28.0)</f>
        <v>-28</v>
      </c>
      <c r="EL435" s="179"/>
      <c r="EM435" s="179"/>
      <c r="EN435" s="179"/>
      <c r="EO435" s="16"/>
      <c r="EP435" s="16"/>
      <c r="EQ435" s="16">
        <f>IFERROR(__xludf.DUMMYFUNCTION("""COMPUTED_VALUE"""),2.0)</f>
        <v>2</v>
      </c>
      <c r="ER435" s="16">
        <f>IFERROR(__xludf.DUMMYFUNCTION("""COMPUTED_VALUE"""),-4.0)</f>
        <v>-4</v>
      </c>
      <c r="ES435" s="16"/>
      <c r="ET435" s="16"/>
      <c r="EU435" s="16"/>
      <c r="EV435" s="16"/>
      <c r="EW435" s="16"/>
      <c r="EX435" s="180"/>
      <c r="EY435" s="180"/>
      <c r="EZ435" s="180">
        <f>IFERROR(__xludf.DUMMYFUNCTION("""COMPUTED_VALUE"""),0.3)</f>
        <v>0.3</v>
      </c>
      <c r="FA435" s="180"/>
      <c r="FB435" s="180">
        <f>IFERROR(__xludf.DUMMYFUNCTION("""COMPUTED_VALUE"""),0.3)</f>
        <v>0.3</v>
      </c>
      <c r="FC435" s="180"/>
      <c r="FD435" s="180"/>
      <c r="FE435" s="180"/>
      <c r="FF435" s="180"/>
      <c r="FG435" s="180"/>
      <c r="FH435" s="180">
        <f>IFERROR(__xludf.DUMMYFUNCTION("""COMPUTED_VALUE"""),0.08333333333333333)</f>
        <v>0.08333333333</v>
      </c>
      <c r="FI435" s="180"/>
      <c r="FJ435" s="180">
        <f>IFERROR(__xludf.DUMMYFUNCTION("""COMPUTED_VALUE"""),0.05555555555555555)</f>
        <v>0.05555555556</v>
      </c>
      <c r="FK435" s="180"/>
      <c r="FL435" s="180"/>
      <c r="FM435" s="180"/>
      <c r="FN435" s="16"/>
      <c r="FO435" s="16"/>
      <c r="FP435" s="16">
        <f>IFERROR(__xludf.DUMMYFUNCTION("""COMPUTED_VALUE"""),0.6416666666666666)</f>
        <v>0.6416666667</v>
      </c>
      <c r="FQ435" s="16"/>
      <c r="FR435" s="16">
        <f>IFERROR(__xludf.DUMMYFUNCTION("""COMPUTED_VALUE"""),0.6611111111111111)</f>
        <v>0.6611111111</v>
      </c>
      <c r="FS435" s="16"/>
      <c r="FT435" s="16"/>
      <c r="FU435" s="16"/>
      <c r="FV435" s="16"/>
      <c r="FW435" s="16"/>
      <c r="FX435" s="16">
        <f>IFERROR(__xludf.DUMMYFUNCTION("""COMPUTED_VALUE"""),-6.0)</f>
        <v>-6</v>
      </c>
      <c r="FY435" s="16"/>
      <c r="FZ435" s="16">
        <f>IFERROR(__xludf.DUMMYFUNCTION("""COMPUTED_VALUE"""),-4.0)</f>
        <v>-4</v>
      </c>
      <c r="GA435" s="16"/>
      <c r="GB435" s="16"/>
      <c r="GC435" s="16"/>
      <c r="GD435" s="16" t="s">
        <v>176</v>
      </c>
    </row>
    <row r="436">
      <c r="A436" s="16">
        <f>IFERROR(__xludf.DUMMYFUNCTION("""COMPUTED_VALUE"""),13315.0)</f>
        <v>13315</v>
      </c>
      <c r="B436" s="16" t="str">
        <f>IFERROR(__xludf.DUMMYFUNCTION("""COMPUTED_VALUE"""),"Robbie Grossman")</f>
        <v>Robbie Grossman</v>
      </c>
      <c r="C436" s="16">
        <f>IFERROR(__xludf.DUMMYFUNCTION("""COMPUTED_VALUE"""),0.0)</f>
        <v>0</v>
      </c>
      <c r="D436" s="16" t="str">
        <f>IFERROR(__xludf.DUMMYFUNCTION("""COMPUTED_VALUE"""),"S")</f>
        <v>S</v>
      </c>
      <c r="E436" s="16"/>
      <c r="F436" s="16"/>
      <c r="G436" s="16">
        <f>IFERROR(__xludf.DUMMYFUNCTION("""COMPUTED_VALUE"""),208.0)</f>
        <v>208</v>
      </c>
      <c r="H436" s="16">
        <f>IFERROR(__xludf.DUMMYFUNCTION("""COMPUTED_VALUE"""),34.0)</f>
        <v>34</v>
      </c>
      <c r="I436" s="16" t="str">
        <f>IFERROR(__xludf.DUMMYFUNCTION("""COMPUTED_VALUE"""),"1p40")</f>
        <v>1p40</v>
      </c>
      <c r="J436" s="16">
        <f>IFERROR(__xludf.DUMMYFUNCTION("""COMPUTED_VALUE"""),26.0)</f>
        <v>26</v>
      </c>
      <c r="K436" s="16">
        <f>IFERROR(__xludf.DUMMYFUNCTION("""COMPUTED_VALUE"""),26.0)</f>
        <v>26</v>
      </c>
      <c r="L436" s="16">
        <f>IFERROR(__xludf.DUMMYFUNCTION("""COMPUTED_VALUE"""),0.0)</f>
        <v>0</v>
      </c>
      <c r="M436" s="16">
        <f>IFERROR(__xludf.DUMMYFUNCTION("""COMPUTED_VALUE"""),0.0)</f>
        <v>0</v>
      </c>
      <c r="N436" s="16">
        <f>IFERROR(__xludf.DUMMYFUNCTION("""COMPUTED_VALUE"""),0.0)</f>
        <v>0</v>
      </c>
      <c r="O436" s="16">
        <f>IFERROR(__xludf.DUMMYFUNCTION("""COMPUTED_VALUE"""),0.0)</f>
        <v>0</v>
      </c>
      <c r="P436" s="16">
        <f>IFERROR(__xludf.DUMMYFUNCTION("""COMPUTED_VALUE"""),22.0)</f>
        <v>22</v>
      </c>
      <c r="Q436" s="16">
        <f>IFERROR(__xludf.DUMMYFUNCTION("""COMPUTED_VALUE"""),20.0)</f>
        <v>20</v>
      </c>
      <c r="R436" s="16">
        <f>IFERROR(__xludf.DUMMYFUNCTION("""COMPUTED_VALUE"""),3.0)</f>
        <v>3</v>
      </c>
      <c r="S436" s="16">
        <f>IFERROR(__xludf.DUMMYFUNCTION("""COMPUTED_VALUE"""),3.0)</f>
        <v>3</v>
      </c>
      <c r="T436" s="16">
        <f>IFERROR(__xludf.DUMMYFUNCTION("""COMPUTED_VALUE"""),3.0)</f>
        <v>3</v>
      </c>
      <c r="U436" s="16">
        <f>IFERROR(__xludf.DUMMYFUNCTION("""COMPUTED_VALUE"""),3.0)</f>
        <v>3</v>
      </c>
      <c r="V436" s="16">
        <f>IFERROR(__xludf.DUMMYFUNCTION("""COMPUTED_VALUE"""),17.4)</f>
        <v>17.4</v>
      </c>
      <c r="W436" s="16">
        <f>IFERROR(__xludf.DUMMYFUNCTION("""COMPUTED_VALUE"""),6.6)</f>
        <v>6.6</v>
      </c>
      <c r="X436" s="16">
        <f>IFERROR(__xludf.DUMMYFUNCTION("""COMPUTED_VALUE"""),0.0)</f>
        <v>0</v>
      </c>
      <c r="Y436" s="16">
        <f>IFERROR(__xludf.DUMMYFUNCTION("""COMPUTED_VALUE"""),-2.0)</f>
        <v>-2</v>
      </c>
      <c r="Z436" s="16">
        <f>IFERROR(__xludf.DUMMYFUNCTION("""COMPUTED_VALUE"""),0.0)</f>
        <v>0</v>
      </c>
      <c r="AA436" s="16">
        <f>IFERROR(__xludf.DUMMYFUNCTION("""COMPUTED_VALUE"""),-4.0)</f>
        <v>-4</v>
      </c>
      <c r="AB436" s="16">
        <f>IFERROR(__xludf.DUMMYFUNCTION("""COMPUTED_VALUE"""),40.4)</f>
        <v>40.4</v>
      </c>
      <c r="AC436" s="16">
        <f>IFERROR(__xludf.DUMMYFUNCTION("""COMPUTED_VALUE"""),27.6)</f>
        <v>27.6</v>
      </c>
      <c r="AD436" s="16">
        <f>IFERROR(__xludf.DUMMYFUNCTION("""COMPUTED_VALUE"""),1.0)</f>
        <v>1</v>
      </c>
      <c r="AE436" s="16">
        <f>IFERROR(__xludf.DUMMYFUNCTION("""COMPUTED_VALUE"""),-1.0)</f>
        <v>-1</v>
      </c>
      <c r="AF436" s="16">
        <f>IFERROR(__xludf.DUMMYFUNCTION("""COMPUTED_VALUE"""),5.0)</f>
        <v>5</v>
      </c>
      <c r="AG436" s="16">
        <f>IFERROR(__xludf.DUMMYFUNCTION("""COMPUTED_VALUE"""),-5.0)</f>
        <v>-5</v>
      </c>
      <c r="AH436" s="16">
        <f>IFERROR(__xludf.DUMMYFUNCTION("""COMPUTED_VALUE"""),24.4)</f>
        <v>24.4</v>
      </c>
      <c r="AI436" s="16">
        <f>IFERROR(__xludf.DUMMYFUNCTION("""COMPUTED_VALUE"""),7.1)</f>
        <v>7.1</v>
      </c>
      <c r="AJ436" s="16">
        <f>IFERROR(__xludf.DUMMYFUNCTION("""COMPUTED_VALUE"""),-1.0)</f>
        <v>-1</v>
      </c>
      <c r="AK436" s="16">
        <f>IFERROR(__xludf.DUMMYFUNCTION("""COMPUTED_VALUE"""),-3.0)</f>
        <v>-3</v>
      </c>
      <c r="AL436" s="16">
        <f>IFERROR(__xludf.DUMMYFUNCTION("""COMPUTED_VALUE"""),-5.0)</f>
        <v>-5</v>
      </c>
      <c r="AM436" s="16">
        <f>IFERROR(__xludf.DUMMYFUNCTION("""COMPUTED_VALUE"""),-15.0)</f>
        <v>-15</v>
      </c>
      <c r="AN436" s="16">
        <f>IFERROR(__xludf.DUMMYFUNCTION("""COMPUTED_VALUE"""),1.3)</f>
        <v>1.3</v>
      </c>
      <c r="AO436" s="16">
        <f>IFERROR(__xludf.DUMMYFUNCTION("""COMPUTED_VALUE"""),0.0)</f>
        <v>0</v>
      </c>
      <c r="AP436" s="16">
        <f>IFERROR(__xludf.DUMMYFUNCTION("""COMPUTED_VALUE"""),-1.0)</f>
        <v>-1</v>
      </c>
      <c r="AQ436" s="16">
        <f>IFERROR(__xludf.DUMMYFUNCTION("""COMPUTED_VALUE"""),-3.0)</f>
        <v>-3</v>
      </c>
      <c r="AR436" s="16">
        <f>IFERROR(__xludf.DUMMYFUNCTION("""COMPUTED_VALUE"""),-2.0)</f>
        <v>-2</v>
      </c>
      <c r="AS436" s="16">
        <f>IFERROR(__xludf.DUMMYFUNCTION("""COMPUTED_VALUE"""),-6.0)</f>
        <v>-6</v>
      </c>
      <c r="AT436" s="16">
        <f>IFERROR(__xludf.DUMMYFUNCTION("""COMPUTED_VALUE"""),1.0)</f>
        <v>1</v>
      </c>
      <c r="AU436" s="16"/>
      <c r="AV436" s="16">
        <f>IFERROR(__xludf.DUMMYFUNCTION("""COMPUTED_VALUE"""),1.0)</f>
        <v>1</v>
      </c>
      <c r="AW436" s="16">
        <f>IFERROR(__xludf.DUMMYFUNCTION("""COMPUTED_VALUE"""),-3.0)</f>
        <v>-3</v>
      </c>
      <c r="AX436" s="16">
        <f>IFERROR(__xludf.DUMMYFUNCTION("""COMPUTED_VALUE"""),-1.0)</f>
        <v>-1</v>
      </c>
      <c r="AY436" s="16">
        <f>IFERROR(__xludf.DUMMYFUNCTION("""COMPUTED_VALUE"""),-3.0)</f>
        <v>-3</v>
      </c>
      <c r="AZ436" s="16">
        <f>IFERROR(__xludf.DUMMYFUNCTION("""COMPUTED_VALUE"""),-3.0)</f>
        <v>-3</v>
      </c>
      <c r="BA436" s="16">
        <f>IFERROR(__xludf.DUMMYFUNCTION("""COMPUTED_VALUE"""),-9.0)</f>
        <v>-9</v>
      </c>
      <c r="BB436" s="16">
        <f>IFERROR(__xludf.DUMMYFUNCTION("""COMPUTED_VALUE"""),5.0)</f>
        <v>5</v>
      </c>
      <c r="BC436" s="16">
        <f>IFERROR(__xludf.DUMMYFUNCTION("""COMPUTED_VALUE"""),5.0)</f>
        <v>5</v>
      </c>
      <c r="BD436" s="16">
        <f>IFERROR(__xludf.DUMMYFUNCTION("""COMPUTED_VALUE"""),1.0)</f>
        <v>1</v>
      </c>
      <c r="BE436" s="16">
        <f>IFERROR(__xludf.DUMMYFUNCTION("""COMPUTED_VALUE"""),1.0)</f>
        <v>1</v>
      </c>
      <c r="BF436" s="16">
        <f>IFERROR(__xludf.DUMMYFUNCTION("""COMPUTED_VALUE"""),1.0)</f>
        <v>1</v>
      </c>
      <c r="BG436" s="16">
        <f>IFERROR(__xludf.DUMMYFUNCTION("""COMPUTED_VALUE"""),1.0)</f>
        <v>1</v>
      </c>
      <c r="BH436" s="16">
        <f>IFERROR(__xludf.DUMMYFUNCTION("""COMPUTED_VALUE"""),-5.0)</f>
        <v>-5</v>
      </c>
      <c r="BI436" s="16">
        <f>IFERROR(__xludf.DUMMYFUNCTION("""COMPUTED_VALUE"""),-4.0)</f>
        <v>-4</v>
      </c>
      <c r="BJ436" s="16">
        <f>IFERROR(__xludf.DUMMYFUNCTION("""COMPUTED_VALUE"""),20.0)</f>
        <v>20</v>
      </c>
      <c r="BK436" s="16">
        <f>IFERROR(__xludf.DUMMYFUNCTION("""COMPUTED_VALUE"""),24.0)</f>
        <v>24</v>
      </c>
      <c r="BL436" s="16">
        <f>IFERROR(__xludf.DUMMYFUNCTION("""COMPUTED_VALUE"""),-2.0)</f>
        <v>-2</v>
      </c>
      <c r="BM436" s="16">
        <f>IFERROR(__xludf.DUMMYFUNCTION("""COMPUTED_VALUE"""),-2.0)</f>
        <v>-2</v>
      </c>
      <c r="BN436" s="16">
        <f>IFERROR(__xludf.DUMMYFUNCTION("""COMPUTED_VALUE"""),-4.0)</f>
        <v>-4</v>
      </c>
      <c r="BO436" s="16">
        <f>IFERROR(__xludf.DUMMYFUNCTION("""COMPUTED_VALUE"""),-4.0)</f>
        <v>-4</v>
      </c>
      <c r="BP436" s="16">
        <f>IFERROR(__xludf.DUMMYFUNCTION("""COMPUTED_VALUE"""),0.0)</f>
        <v>0</v>
      </c>
      <c r="BQ436" s="16">
        <f>IFERROR(__xludf.DUMMYFUNCTION("""COMPUTED_VALUE"""),-10.0)</f>
        <v>-10</v>
      </c>
      <c r="BR436" s="16">
        <f>IFERROR(__xludf.DUMMYFUNCTION("""COMPUTED_VALUE"""),-10.0)</f>
        <v>-10</v>
      </c>
      <c r="BS436" s="16" t="str">
        <f>IFERROR(__xludf.DUMMYFUNCTION("""COMPUTED_VALUE"""),"3/- (20-6)")</f>
        <v>3/- (20-6)</v>
      </c>
      <c r="BT436" s="16" t="str">
        <f>IFERROR(__xludf.DUMMYFUNCTION("""COMPUTED_VALUE"""),"C")</f>
        <v>C</v>
      </c>
      <c r="BU436" s="16">
        <f>IFERROR(__xludf.DUMMYFUNCTION("""COMPUTED_VALUE"""),12.0)</f>
        <v>12</v>
      </c>
      <c r="BV436" s="16">
        <f>IFERROR(__xludf.DUMMYFUNCTION("""COMPUTED_VALUE"""),0.0)</f>
        <v>0</v>
      </c>
      <c r="BW436" s="16">
        <f>IFERROR(__xludf.DUMMYFUNCTION("""COMPUTED_VALUE"""),0.0)</f>
        <v>0</v>
      </c>
      <c r="BX436" s="16">
        <f>IFERROR(__xludf.DUMMYFUNCTION("""COMPUTED_VALUE"""),0.0)</f>
        <v>0</v>
      </c>
      <c r="BY436" s="16">
        <f>IFERROR(__xludf.DUMMYFUNCTION("""COMPUTED_VALUE"""),0.0)</f>
        <v>0</v>
      </c>
      <c r="BZ436" s="16" t="str">
        <f>IFERROR(__xludf.DUMMYFUNCTION("""COMPUTED_VALUE"""),"D")</f>
        <v>D</v>
      </c>
      <c r="CA436" s="16" t="str">
        <f>IFERROR(__xludf.DUMMYFUNCTION("""COMPUTED_VALUE"""),"D")</f>
        <v>D</v>
      </c>
      <c r="CB436" s="16">
        <f>IFERROR(__xludf.DUMMYFUNCTION("""COMPUTED_VALUE"""),0.0)</f>
        <v>0</v>
      </c>
      <c r="CC436" s="16">
        <f>IFERROR(__xludf.DUMMYFUNCTION("""COMPUTED_VALUE"""),0.0)</f>
        <v>0</v>
      </c>
      <c r="CD436" s="16">
        <f>IFERROR(__xludf.DUMMYFUNCTION("""COMPUTED_VALUE"""),0.0)</f>
        <v>0</v>
      </c>
      <c r="CE436" s="16">
        <f>IFERROR(__xludf.DUMMYFUNCTION("""COMPUTED_VALUE"""),0.0)</f>
        <v>0</v>
      </c>
      <c r="CF436" s="16">
        <f>IFERROR(__xludf.DUMMYFUNCTION("""COMPUTED_VALUE"""),1.0)</f>
        <v>1</v>
      </c>
      <c r="CG436" s="16">
        <f>IFERROR(__xludf.DUMMYFUNCTION("""COMPUTED_VALUE"""),-5.0)</f>
        <v>-5</v>
      </c>
      <c r="CH436" s="16">
        <f>IFERROR(__xludf.DUMMYFUNCTION("""COMPUTED_VALUE"""),-39.0)</f>
        <v>-39</v>
      </c>
      <c r="CI436" s="179">
        <f>IFERROR(__xludf.DUMMYFUNCTION("""COMPUTED_VALUE"""),-28.0)</f>
        <v>-28</v>
      </c>
      <c r="CJ436" s="16"/>
      <c r="CK436" s="16"/>
      <c r="CL436" s="16"/>
      <c r="CM436" s="16"/>
      <c r="CN436" s="16"/>
      <c r="CO436" s="16">
        <f>IFERROR(__xludf.DUMMYFUNCTION("""COMPUTED_VALUE"""),406.0)</f>
        <v>406</v>
      </c>
      <c r="CP436" s="16"/>
      <c r="CQ436" s="16">
        <f>IFERROR(__xludf.DUMMYFUNCTION("""COMPUTED_VALUE"""),406.0)</f>
        <v>406</v>
      </c>
      <c r="CR436" s="16" t="str">
        <f>IFERROR(__xludf.DUMMYFUNCTION("""COMPUTED_VALUE"""),"rf-4(+1)e6 lf-4e6")</f>
        <v>rf-4(+1)e6 lf-4e6</v>
      </c>
      <c r="CS436" s="16"/>
      <c r="CT436" s="16"/>
      <c r="CU436" s="16"/>
      <c r="CV436" s="16"/>
      <c r="CW436" s="16"/>
      <c r="CX436" s="16">
        <f>IFERROR(__xludf.DUMMYFUNCTION("""COMPUTED_VALUE"""),4.0)</f>
        <v>4</v>
      </c>
      <c r="CY436" s="16"/>
      <c r="CZ436" s="16">
        <f>IFERROR(__xludf.DUMMYFUNCTION("""COMPUTED_VALUE"""),4.0)</f>
        <v>4</v>
      </c>
      <c r="DA436" s="16"/>
      <c r="DB436" s="16"/>
      <c r="DC436" s="16"/>
      <c r="DD436" s="16"/>
      <c r="DE436" s="16"/>
      <c r="DF436" s="16">
        <f>IFERROR(__xludf.DUMMYFUNCTION("""COMPUTED_VALUE"""),6.0)</f>
        <v>6</v>
      </c>
      <c r="DG436" s="16"/>
      <c r="DH436" s="16">
        <f>IFERROR(__xludf.DUMMYFUNCTION("""COMPUTED_VALUE"""),6.0)</f>
        <v>6</v>
      </c>
      <c r="DI436" s="16"/>
      <c r="DJ436" s="16"/>
      <c r="DK436" s="16"/>
      <c r="DL436" s="16"/>
      <c r="DM436" s="16"/>
      <c r="DN436" s="16">
        <f>IFERROR(__xludf.DUMMYFUNCTION("""COMPUTED_VALUE"""),-1.0)</f>
        <v>-1</v>
      </c>
      <c r="DO436" s="16"/>
      <c r="DP436" s="16">
        <f>IFERROR(__xludf.DUMMYFUNCTION("""COMPUTED_VALUE"""),-1.0)</f>
        <v>-1</v>
      </c>
      <c r="DQ436" s="16"/>
      <c r="DR436" s="16"/>
      <c r="DS436" s="16"/>
      <c r="DT436" s="16"/>
      <c r="DU436" s="16"/>
      <c r="DV436" s="16">
        <f>IFERROR(__xludf.DUMMYFUNCTION("""COMPUTED_VALUE"""),2.0)</f>
        <v>2</v>
      </c>
      <c r="DW436" s="16"/>
      <c r="DX436" s="16">
        <f>IFERROR(__xludf.DUMMYFUNCTION("""COMPUTED_VALUE"""),2.0)</f>
        <v>2</v>
      </c>
      <c r="DY436" s="16"/>
      <c r="DZ436" s="16"/>
      <c r="EA436" s="16"/>
      <c r="EB436" s="16"/>
      <c r="EC436" s="16"/>
      <c r="ED436" s="16">
        <f>IFERROR(__xludf.DUMMYFUNCTION("""COMPUTED_VALUE"""),1.0)</f>
        <v>1</v>
      </c>
      <c r="EE436" s="16"/>
      <c r="EF436" s="16">
        <f>IFERROR(__xludf.DUMMYFUNCTION("""COMPUTED_VALUE"""),1.0)</f>
        <v>1</v>
      </c>
      <c r="EG436" s="179"/>
      <c r="EH436" s="179"/>
      <c r="EI436" s="179"/>
      <c r="EJ436" s="179"/>
      <c r="EK436" s="179"/>
      <c r="EL436" s="179">
        <f>IFERROR(__xludf.DUMMYFUNCTION("""COMPUTED_VALUE"""),-27.0)</f>
        <v>-27</v>
      </c>
      <c r="EM436" s="179"/>
      <c r="EN436" s="179">
        <f>IFERROR(__xludf.DUMMYFUNCTION("""COMPUTED_VALUE"""),-27.0)</f>
        <v>-27</v>
      </c>
      <c r="EO436" s="16"/>
      <c r="EP436" s="16">
        <f>IFERROR(__xludf.DUMMYFUNCTION("""COMPUTED_VALUE"""),1.0)</f>
        <v>1</v>
      </c>
      <c r="EQ436" s="16">
        <f>IFERROR(__xludf.DUMMYFUNCTION("""COMPUTED_VALUE"""),4.0)</f>
        <v>4</v>
      </c>
      <c r="ER436" s="16">
        <f>IFERROR(__xludf.DUMMYFUNCTION("""COMPUTED_VALUE"""),-1.0)</f>
        <v>-1</v>
      </c>
      <c r="ES436" s="16"/>
      <c r="ET436" s="16"/>
      <c r="EU436" s="16"/>
      <c r="EV436" s="16"/>
      <c r="EW436" s="16"/>
      <c r="EX436" s="180"/>
      <c r="EY436" s="180"/>
      <c r="EZ436" s="180"/>
      <c r="FA436" s="180"/>
      <c r="FB436" s="180"/>
      <c r="FC436" s="180">
        <f>IFERROR(__xludf.DUMMYFUNCTION("""COMPUTED_VALUE"""),0.55)</f>
        <v>0.55</v>
      </c>
      <c r="FD436" s="180"/>
      <c r="FE436" s="180">
        <f>IFERROR(__xludf.DUMMYFUNCTION("""COMPUTED_VALUE"""),0.55)</f>
        <v>0.55</v>
      </c>
      <c r="FF436" s="180"/>
      <c r="FG436" s="180"/>
      <c r="FH436" s="180"/>
      <c r="FI436" s="180"/>
      <c r="FJ436" s="180"/>
      <c r="FK436" s="180">
        <f>IFERROR(__xludf.DUMMYFUNCTION("""COMPUTED_VALUE"""),0.106)</f>
        <v>0.106</v>
      </c>
      <c r="FL436" s="180"/>
      <c r="FM436" s="180">
        <f>IFERROR(__xludf.DUMMYFUNCTION("""COMPUTED_VALUE"""),0.106)</f>
        <v>0.106</v>
      </c>
      <c r="FN436" s="16"/>
      <c r="FO436" s="16"/>
      <c r="FP436" s="16"/>
      <c r="FQ436" s="16"/>
      <c r="FR436" s="16"/>
      <c r="FS436" s="16">
        <f>IFERROR(__xludf.DUMMYFUNCTION("""COMPUTED_VALUE"""),0.4023)</f>
        <v>0.4023</v>
      </c>
      <c r="FT436" s="16"/>
      <c r="FU436" s="16">
        <f>IFERROR(__xludf.DUMMYFUNCTION("""COMPUTED_VALUE"""),0.4023)</f>
        <v>0.4023</v>
      </c>
      <c r="FV436" s="16"/>
      <c r="FW436" s="16"/>
      <c r="FX436" s="16"/>
      <c r="FY436" s="16"/>
      <c r="FZ436" s="16"/>
      <c r="GA436" s="16">
        <f>IFERROR(__xludf.DUMMYFUNCTION("""COMPUTED_VALUE"""),-9.0)</f>
        <v>-9</v>
      </c>
      <c r="GB436" s="16"/>
      <c r="GC436" s="16">
        <f>IFERROR(__xludf.DUMMYFUNCTION("""COMPUTED_VALUE"""),-9.0)</f>
        <v>-9</v>
      </c>
      <c r="GD436" s="16" t="s">
        <v>176</v>
      </c>
    </row>
    <row r="437">
      <c r="A437" s="16">
        <f>IFERROR(__xludf.DUMMYFUNCTION("""COMPUTED_VALUE"""),13337.0)</f>
        <v>13337</v>
      </c>
      <c r="B437" s="16" t="str">
        <f>IFERROR(__xludf.DUMMYFUNCTION("""COMPUTED_VALUE"""),"Ryan Noda")</f>
        <v>Ryan Noda</v>
      </c>
      <c r="C437" s="16">
        <f>IFERROR(__xludf.DUMMYFUNCTION("""COMPUTED_VALUE"""),0.0)</f>
        <v>0</v>
      </c>
      <c r="D437" s="16" t="str">
        <f>IFERROR(__xludf.DUMMYFUNCTION("""COMPUTED_VALUE"""),"L")</f>
        <v>L</v>
      </c>
      <c r="E437" s="16"/>
      <c r="F437" s="16"/>
      <c r="G437" s="16">
        <f>IFERROR(__xludf.DUMMYFUNCTION("""COMPUTED_VALUE"""),95.0)</f>
        <v>95</v>
      </c>
      <c r="H437" s="16">
        <f>IFERROR(__xludf.DUMMYFUNCTION("""COMPUTED_VALUE"""),14.0)</f>
        <v>14</v>
      </c>
      <c r="I437" s="16" t="str">
        <f>IFERROR(__xludf.DUMMYFUNCTION("""COMPUTED_VALUE"""),"1p20")</f>
        <v>1p20</v>
      </c>
      <c r="J437" s="16">
        <f>IFERROR(__xludf.DUMMYFUNCTION("""COMPUTED_VALUE"""),36.0)</f>
        <v>36</v>
      </c>
      <c r="K437" s="16">
        <f>IFERROR(__xludf.DUMMYFUNCTION("""COMPUTED_VALUE"""),50.0)</f>
        <v>50</v>
      </c>
      <c r="L437" s="16">
        <f>IFERROR(__xludf.DUMMYFUNCTION("""COMPUTED_VALUE"""),-1.0)</f>
        <v>-1</v>
      </c>
      <c r="M437" s="16">
        <f>IFERROR(__xludf.DUMMYFUNCTION("""COMPUTED_VALUE"""),-2.0)</f>
        <v>-2</v>
      </c>
      <c r="N437" s="16">
        <f>IFERROR(__xludf.DUMMYFUNCTION("""COMPUTED_VALUE"""),-1.0)</f>
        <v>-1</v>
      </c>
      <c r="O437" s="16">
        <f>IFERROR(__xludf.DUMMYFUNCTION("""COMPUTED_VALUE"""),-2.0)</f>
        <v>-2</v>
      </c>
      <c r="P437" s="16">
        <f>IFERROR(__xludf.DUMMYFUNCTION("""COMPUTED_VALUE"""),16.0)</f>
        <v>16</v>
      </c>
      <c r="Q437" s="16">
        <f>IFERROR(__xludf.DUMMYFUNCTION("""COMPUTED_VALUE"""),18.0)</f>
        <v>18</v>
      </c>
      <c r="R437" s="16">
        <f>IFERROR(__xludf.DUMMYFUNCTION("""COMPUTED_VALUE"""),2.0)</f>
        <v>2</v>
      </c>
      <c r="S437" s="16">
        <f>IFERROR(__xludf.DUMMYFUNCTION("""COMPUTED_VALUE"""),3.0)</f>
        <v>3</v>
      </c>
      <c r="T437" s="16">
        <f>IFERROR(__xludf.DUMMYFUNCTION("""COMPUTED_VALUE"""),2.0)</f>
        <v>2</v>
      </c>
      <c r="U437" s="16">
        <f>IFERROR(__xludf.DUMMYFUNCTION("""COMPUTED_VALUE"""),3.0)</f>
        <v>3</v>
      </c>
      <c r="V437" s="16">
        <f>IFERROR(__xludf.DUMMYFUNCTION("""COMPUTED_VALUE"""),0.0)</f>
        <v>0</v>
      </c>
      <c r="W437" s="16">
        <f>IFERROR(__xludf.DUMMYFUNCTION("""COMPUTED_VALUE"""),4.0)</f>
        <v>4</v>
      </c>
      <c r="X437" s="16">
        <f>IFERROR(__xludf.DUMMYFUNCTION("""COMPUTED_VALUE"""),-2.0)</f>
        <v>-2</v>
      </c>
      <c r="Y437" s="16">
        <f>IFERROR(__xludf.DUMMYFUNCTION("""COMPUTED_VALUE"""),-3.0)</f>
        <v>-3</v>
      </c>
      <c r="Z437" s="16">
        <f>IFERROR(__xludf.DUMMYFUNCTION("""COMPUTED_VALUE"""),-4.0)</f>
        <v>-4</v>
      </c>
      <c r="AA437" s="16">
        <f>IFERROR(__xludf.DUMMYFUNCTION("""COMPUTED_VALUE"""),-6.0)</f>
        <v>-6</v>
      </c>
      <c r="AB437" s="16">
        <f>IFERROR(__xludf.DUMMYFUNCTION("""COMPUTED_VALUE"""),18.0)</f>
        <v>18</v>
      </c>
      <c r="AC437" s="16">
        <f>IFERROR(__xludf.DUMMYFUNCTION("""COMPUTED_VALUE"""),24.0)</f>
        <v>24</v>
      </c>
      <c r="AD437" s="16">
        <f>IFERROR(__xludf.DUMMYFUNCTION("""COMPUTED_VALUE"""),-2.0)</f>
        <v>-2</v>
      </c>
      <c r="AE437" s="16">
        <f>IFERROR(__xludf.DUMMYFUNCTION("""COMPUTED_VALUE"""),-1.0)</f>
        <v>-1</v>
      </c>
      <c r="AF437" s="16">
        <f>IFERROR(__xludf.DUMMYFUNCTION("""COMPUTED_VALUE"""),-10.0)</f>
        <v>-10</v>
      </c>
      <c r="AG437" s="16">
        <f>IFERROR(__xludf.DUMMYFUNCTION("""COMPUTED_VALUE"""),-5.0)</f>
        <v>-5</v>
      </c>
      <c r="AH437" s="16">
        <f>IFERROR(__xludf.DUMMYFUNCTION("""COMPUTED_VALUE"""),0.0)</f>
        <v>0</v>
      </c>
      <c r="AI437" s="16">
        <f>IFERROR(__xludf.DUMMYFUNCTION("""COMPUTED_VALUE"""),12.6)</f>
        <v>12.6</v>
      </c>
      <c r="AJ437" s="16">
        <f>IFERROR(__xludf.DUMMYFUNCTION("""COMPUTED_VALUE"""),-2.0)</f>
        <v>-2</v>
      </c>
      <c r="AK437" s="16">
        <f>IFERROR(__xludf.DUMMYFUNCTION("""COMPUTED_VALUE"""),-2.0)</f>
        <v>-2</v>
      </c>
      <c r="AL437" s="16">
        <f>IFERROR(__xludf.DUMMYFUNCTION("""COMPUTED_VALUE"""),-10.0)</f>
        <v>-10</v>
      </c>
      <c r="AM437" s="16">
        <f>IFERROR(__xludf.DUMMYFUNCTION("""COMPUTED_VALUE"""),-10.0)</f>
        <v>-10</v>
      </c>
      <c r="AN437" s="16">
        <f>IFERROR(__xludf.DUMMYFUNCTION("""COMPUTED_VALUE"""),0.0)</f>
        <v>0</v>
      </c>
      <c r="AO437" s="16">
        <f>IFERROR(__xludf.DUMMYFUNCTION("""COMPUTED_VALUE"""),2.3)</f>
        <v>2.3</v>
      </c>
      <c r="AP437" s="16">
        <f>IFERROR(__xludf.DUMMYFUNCTION("""COMPUTED_VALUE"""),-2.0)</f>
        <v>-2</v>
      </c>
      <c r="AQ437" s="16">
        <f>IFERROR(__xludf.DUMMYFUNCTION("""COMPUTED_VALUE"""),0.0)</f>
        <v>0</v>
      </c>
      <c r="AR437" s="16">
        <f>IFERROR(__xludf.DUMMYFUNCTION("""COMPUTED_VALUE"""),-4.0)</f>
        <v>-4</v>
      </c>
      <c r="AS437" s="16">
        <f>IFERROR(__xludf.DUMMYFUNCTION("""COMPUTED_VALUE"""),0.0)</f>
        <v>0</v>
      </c>
      <c r="AT437" s="16"/>
      <c r="AU437" s="16"/>
      <c r="AV437" s="16">
        <f>IFERROR(__xludf.DUMMYFUNCTION("""COMPUTED_VALUE"""),-3.0)</f>
        <v>-3</v>
      </c>
      <c r="AW437" s="16">
        <f>IFERROR(__xludf.DUMMYFUNCTION("""COMPUTED_VALUE"""),-3.0)</f>
        <v>-3</v>
      </c>
      <c r="AX437" s="16">
        <f>IFERROR(__xludf.DUMMYFUNCTION("""COMPUTED_VALUE"""),-3.0)</f>
        <v>-3</v>
      </c>
      <c r="AY437" s="16">
        <f>IFERROR(__xludf.DUMMYFUNCTION("""COMPUTED_VALUE"""),-3.0)</f>
        <v>-3</v>
      </c>
      <c r="AZ437" s="16">
        <f>IFERROR(__xludf.DUMMYFUNCTION("""COMPUTED_VALUE"""),-9.0)</f>
        <v>-9</v>
      </c>
      <c r="BA437" s="16">
        <f>IFERROR(__xludf.DUMMYFUNCTION("""COMPUTED_VALUE"""),-9.0)</f>
        <v>-9</v>
      </c>
      <c r="BB437" s="16">
        <f>IFERROR(__xludf.DUMMYFUNCTION("""COMPUTED_VALUE"""),0.0)</f>
        <v>0</v>
      </c>
      <c r="BC437" s="16">
        <f>IFERROR(__xludf.DUMMYFUNCTION("""COMPUTED_VALUE"""),0.0)</f>
        <v>0</v>
      </c>
      <c r="BD437" s="16">
        <f>IFERROR(__xludf.DUMMYFUNCTION("""COMPUTED_VALUE"""),0.0)</f>
        <v>0</v>
      </c>
      <c r="BE437" s="16">
        <f>IFERROR(__xludf.DUMMYFUNCTION("""COMPUTED_VALUE"""),0.0)</f>
        <v>0</v>
      </c>
      <c r="BF437" s="16">
        <f>IFERROR(__xludf.DUMMYFUNCTION("""COMPUTED_VALUE"""),0.0)</f>
        <v>0</v>
      </c>
      <c r="BG437" s="16">
        <f>IFERROR(__xludf.DUMMYFUNCTION("""COMPUTED_VALUE"""),0.0)</f>
        <v>0</v>
      </c>
      <c r="BH437" s="16">
        <f>IFERROR(__xludf.DUMMYFUNCTION("""COMPUTED_VALUE"""),0.0)</f>
        <v>0</v>
      </c>
      <c r="BI437" s="16">
        <f>IFERROR(__xludf.DUMMYFUNCTION("""COMPUTED_VALUE"""),0.0)</f>
        <v>0</v>
      </c>
      <c r="BJ437" s="16">
        <f>IFERROR(__xludf.DUMMYFUNCTION("""COMPUTED_VALUE"""),0.0)</f>
        <v>0</v>
      </c>
      <c r="BK437" s="16">
        <f>IFERROR(__xludf.DUMMYFUNCTION("""COMPUTED_VALUE"""),0.0)</f>
        <v>0</v>
      </c>
      <c r="BL437" s="16">
        <f>IFERROR(__xludf.DUMMYFUNCTION("""COMPUTED_VALUE"""),3.0)</f>
        <v>3</v>
      </c>
      <c r="BM437" s="16">
        <f>IFERROR(__xludf.DUMMYFUNCTION("""COMPUTED_VALUE"""),3.0)</f>
        <v>3</v>
      </c>
      <c r="BN437" s="16">
        <f>IFERROR(__xludf.DUMMYFUNCTION("""COMPUTED_VALUE"""),3.0)</f>
        <v>3</v>
      </c>
      <c r="BO437" s="16">
        <f>IFERROR(__xludf.DUMMYFUNCTION("""COMPUTED_VALUE"""),3.0)</f>
        <v>3</v>
      </c>
      <c r="BP437" s="16">
        <f>IFERROR(__xludf.DUMMYFUNCTION("""COMPUTED_VALUE"""),-7.0)</f>
        <v>-7</v>
      </c>
      <c r="BQ437" s="16">
        <f>IFERROR(__xludf.DUMMYFUNCTION("""COMPUTED_VALUE"""),-5.0)</f>
        <v>-5</v>
      </c>
      <c r="BR437" s="16">
        <f>IFERROR(__xludf.DUMMYFUNCTION("""COMPUTED_VALUE"""),-12.0)</f>
        <v>-12</v>
      </c>
      <c r="BS437" s="16" t="str">
        <f>IFERROR(__xludf.DUMMYFUNCTION("""COMPUTED_VALUE"""),"-/- (---)")</f>
        <v>-/- (---)</v>
      </c>
      <c r="BT437" s="16" t="str">
        <f>IFERROR(__xludf.DUMMYFUNCTION("""COMPUTED_VALUE"""),"E")</f>
        <v>E</v>
      </c>
      <c r="BU437" s="16">
        <f>IFERROR(__xludf.DUMMYFUNCTION("""COMPUTED_VALUE"""),11.0)</f>
        <v>11</v>
      </c>
      <c r="BV437" s="16">
        <f>IFERROR(__xludf.DUMMYFUNCTION("""COMPUTED_VALUE"""),0.0)</f>
        <v>0</v>
      </c>
      <c r="BW437" s="16">
        <f>IFERROR(__xludf.DUMMYFUNCTION("""COMPUTED_VALUE"""),0.0)</f>
        <v>0</v>
      </c>
      <c r="BX437" s="16">
        <f>IFERROR(__xludf.DUMMYFUNCTION("""COMPUTED_VALUE"""),0.0)</f>
        <v>0</v>
      </c>
      <c r="BY437" s="16">
        <f>IFERROR(__xludf.DUMMYFUNCTION("""COMPUTED_VALUE"""),0.0)</f>
        <v>0</v>
      </c>
      <c r="BZ437" s="16" t="str">
        <f>IFERROR(__xludf.DUMMYFUNCTION("""COMPUTED_VALUE"""),"D")</f>
        <v>D</v>
      </c>
      <c r="CA437" s="16" t="str">
        <f>IFERROR(__xludf.DUMMYFUNCTION("""COMPUTED_VALUE"""),"D")</f>
        <v>D</v>
      </c>
      <c r="CB437" s="16">
        <f>IFERROR(__xludf.DUMMYFUNCTION("""COMPUTED_VALUE"""),0.0)</f>
        <v>0</v>
      </c>
      <c r="CC437" s="16">
        <f>IFERROR(__xludf.DUMMYFUNCTION("""COMPUTED_VALUE"""),0.0)</f>
        <v>0</v>
      </c>
      <c r="CD437" s="16">
        <f>IFERROR(__xludf.DUMMYFUNCTION("""COMPUTED_VALUE"""),0.0)</f>
        <v>0</v>
      </c>
      <c r="CE437" s="16">
        <f>IFERROR(__xludf.DUMMYFUNCTION("""COMPUTED_VALUE"""),0.0)</f>
        <v>0</v>
      </c>
      <c r="CF437" s="16">
        <f>IFERROR(__xludf.DUMMYFUNCTION("""COMPUTED_VALUE"""),1.0)</f>
        <v>1</v>
      </c>
      <c r="CG437" s="16">
        <f>IFERROR(__xludf.DUMMYFUNCTION("""COMPUTED_VALUE"""),-33.0)</f>
        <v>-33</v>
      </c>
      <c r="CH437" s="16">
        <f>IFERROR(__xludf.DUMMYFUNCTION("""COMPUTED_VALUE"""),-26.0)</f>
        <v>-26</v>
      </c>
      <c r="CI437" s="179">
        <f>IFERROR(__xludf.DUMMYFUNCTION("""COMPUTED_VALUE"""),-28.0)</f>
        <v>-28</v>
      </c>
      <c r="CJ437" s="16"/>
      <c r="CK437" s="16">
        <f>IFERROR(__xludf.DUMMYFUNCTION("""COMPUTED_VALUE"""),313.0)</f>
        <v>313</v>
      </c>
      <c r="CL437" s="16"/>
      <c r="CM437" s="16"/>
      <c r="CN437" s="16"/>
      <c r="CO437" s="16"/>
      <c r="CP437" s="16"/>
      <c r="CQ437" s="16">
        <f>IFERROR(__xludf.DUMMYFUNCTION("""COMPUTED_VALUE"""),407.0)</f>
        <v>407</v>
      </c>
      <c r="CR437" s="16" t="str">
        <f>IFERROR(__xludf.DUMMYFUNCTION("""COMPUTED_VALUE"""),"1b-3e13 rf-4(+1)e7")</f>
        <v>1b-3e13 rf-4(+1)e7</v>
      </c>
      <c r="CS437" s="16"/>
      <c r="CT437" s="16">
        <f>IFERROR(__xludf.DUMMYFUNCTION("""COMPUTED_VALUE"""),3.0)</f>
        <v>3</v>
      </c>
      <c r="CU437" s="16"/>
      <c r="CV437" s="16"/>
      <c r="CW437" s="16"/>
      <c r="CX437" s="16"/>
      <c r="CY437" s="16"/>
      <c r="CZ437" s="16">
        <f>IFERROR(__xludf.DUMMYFUNCTION("""COMPUTED_VALUE"""),4.0)</f>
        <v>4</v>
      </c>
      <c r="DA437" s="16"/>
      <c r="DB437" s="16">
        <f>IFERROR(__xludf.DUMMYFUNCTION("""COMPUTED_VALUE"""),13.0)</f>
        <v>13</v>
      </c>
      <c r="DC437" s="16"/>
      <c r="DD437" s="16"/>
      <c r="DE437" s="16"/>
      <c r="DF437" s="16"/>
      <c r="DG437" s="16"/>
      <c r="DH437" s="16">
        <f>IFERROR(__xludf.DUMMYFUNCTION("""COMPUTED_VALUE"""),7.0)</f>
        <v>7</v>
      </c>
      <c r="DI437" s="16"/>
      <c r="DJ437" s="16">
        <f>IFERROR(__xludf.DUMMYFUNCTION("""COMPUTED_VALUE"""),1.0)</f>
        <v>1</v>
      </c>
      <c r="DK437" s="16"/>
      <c r="DL437" s="16"/>
      <c r="DM437" s="16"/>
      <c r="DN437" s="16"/>
      <c r="DO437" s="16"/>
      <c r="DP437" s="16">
        <f>IFERROR(__xludf.DUMMYFUNCTION("""COMPUTED_VALUE"""),-1.0)</f>
        <v>-1</v>
      </c>
      <c r="DQ437" s="16"/>
      <c r="DR437" s="16">
        <f>IFERROR(__xludf.DUMMYFUNCTION("""COMPUTED_VALUE"""),1.0)</f>
        <v>1</v>
      </c>
      <c r="DS437" s="16"/>
      <c r="DT437" s="16"/>
      <c r="DU437" s="16"/>
      <c r="DV437" s="16"/>
      <c r="DW437" s="16"/>
      <c r="DX437" s="16">
        <f>IFERROR(__xludf.DUMMYFUNCTION("""COMPUTED_VALUE"""),2.0)</f>
        <v>2</v>
      </c>
      <c r="DY437" s="16"/>
      <c r="DZ437" s="16">
        <f>IFERROR(__xludf.DUMMYFUNCTION("""COMPUTED_VALUE"""),2.0)</f>
        <v>2</v>
      </c>
      <c r="EA437" s="16"/>
      <c r="EB437" s="16"/>
      <c r="EC437" s="16"/>
      <c r="ED437" s="16"/>
      <c r="EE437" s="16"/>
      <c r="EF437" s="16">
        <f>IFERROR(__xludf.DUMMYFUNCTION("""COMPUTED_VALUE"""),1.0)</f>
        <v>1</v>
      </c>
      <c r="EG437" s="179"/>
      <c r="EH437" s="179">
        <f>IFERROR(__xludf.DUMMYFUNCTION("""COMPUTED_VALUE"""),-26.0)</f>
        <v>-26</v>
      </c>
      <c r="EI437" s="179"/>
      <c r="EJ437" s="179"/>
      <c r="EK437" s="179"/>
      <c r="EL437" s="179"/>
      <c r="EM437" s="179"/>
      <c r="EN437" s="179">
        <f>IFERROR(__xludf.DUMMYFUNCTION("""COMPUTED_VALUE"""),-27.0)</f>
        <v>-27</v>
      </c>
      <c r="EO437" s="16"/>
      <c r="EP437" s="16"/>
      <c r="EQ437" s="16">
        <f>IFERROR(__xludf.DUMMYFUNCTION("""COMPUTED_VALUE"""),4.0)</f>
        <v>4</v>
      </c>
      <c r="ER437" s="16">
        <f>IFERROR(__xludf.DUMMYFUNCTION("""COMPUTED_VALUE"""),-4.0)</f>
        <v>-4</v>
      </c>
      <c r="ES437" s="16"/>
      <c r="ET437" s="16"/>
      <c r="EU437" s="16"/>
      <c r="EV437" s="16"/>
      <c r="EW437" s="16"/>
      <c r="EX437" s="180"/>
      <c r="EY437" s="180">
        <f>IFERROR(__xludf.DUMMYFUNCTION("""COMPUTED_VALUE"""),0.2)</f>
        <v>0.2</v>
      </c>
      <c r="EZ437" s="180"/>
      <c r="FA437" s="180"/>
      <c r="FB437" s="180"/>
      <c r="FC437" s="180"/>
      <c r="FD437" s="180"/>
      <c r="FE437" s="180">
        <f>IFERROR(__xludf.DUMMYFUNCTION("""COMPUTED_VALUE"""),0.55)</f>
        <v>0.55</v>
      </c>
      <c r="FF437" s="180"/>
      <c r="FG437" s="180">
        <f>IFERROR(__xludf.DUMMYFUNCTION("""COMPUTED_VALUE"""),0.2361111111111111)</f>
        <v>0.2361111111</v>
      </c>
      <c r="FH437" s="180"/>
      <c r="FI437" s="180"/>
      <c r="FJ437" s="180"/>
      <c r="FK437" s="180"/>
      <c r="FL437" s="180"/>
      <c r="FM437" s="180">
        <f>IFERROR(__xludf.DUMMYFUNCTION("""COMPUTED_VALUE"""),0.125)</f>
        <v>0.125</v>
      </c>
      <c r="FN437" s="16"/>
      <c r="FO437" s="16">
        <f>IFERROR(__xludf.DUMMYFUNCTION("""COMPUTED_VALUE"""),0.6111111111111112)</f>
        <v>0.6111111111</v>
      </c>
      <c r="FP437" s="16"/>
      <c r="FQ437" s="16"/>
      <c r="FR437" s="16"/>
      <c r="FS437" s="16"/>
      <c r="FT437" s="16"/>
      <c r="FU437" s="16">
        <f>IFERROR(__xludf.DUMMYFUNCTION("""COMPUTED_VALUE"""),0.39374999999999993)</f>
        <v>0.39375</v>
      </c>
      <c r="FV437" s="16"/>
      <c r="FW437" s="16">
        <f>IFERROR(__xludf.DUMMYFUNCTION("""COMPUTED_VALUE"""),-6.0)</f>
        <v>-6</v>
      </c>
      <c r="FX437" s="16"/>
      <c r="FY437" s="16"/>
      <c r="FZ437" s="16"/>
      <c r="GA437" s="16"/>
      <c r="GB437" s="16"/>
      <c r="GC437" s="16">
        <f>IFERROR(__xludf.DUMMYFUNCTION("""COMPUTED_VALUE"""),-8.0)</f>
        <v>-8</v>
      </c>
      <c r="GD437" s="16" t="s">
        <v>176</v>
      </c>
    </row>
    <row r="438">
      <c r="A438" s="16">
        <f>IFERROR(__xludf.DUMMYFUNCTION("""COMPUTED_VALUE"""),13234.0)</f>
        <v>13234</v>
      </c>
      <c r="B438" s="16" t="str">
        <f>IFERROR(__xludf.DUMMYFUNCTION("""COMPUTED_VALUE"""),"Nick Ahmed")</f>
        <v>Nick Ahmed</v>
      </c>
      <c r="C438" s="16">
        <f>IFERROR(__xludf.DUMMYFUNCTION("""COMPUTED_VALUE"""),0.0)</f>
        <v>0</v>
      </c>
      <c r="D438" s="16" t="str">
        <f>IFERROR(__xludf.DUMMYFUNCTION("""COMPUTED_VALUE"""),"R")</f>
        <v>R</v>
      </c>
      <c r="E438" s="16"/>
      <c r="F438" s="16"/>
      <c r="G438" s="16">
        <f>IFERROR(__xludf.DUMMYFUNCTION("""COMPUTED_VALUE"""),210.0)</f>
        <v>210</v>
      </c>
      <c r="H438" s="16">
        <f>IFERROR(__xludf.DUMMYFUNCTION("""COMPUTED_VALUE"""),11.0)</f>
        <v>11</v>
      </c>
      <c r="I438" s="16" t="str">
        <f>IFERROR(__xludf.DUMMYFUNCTION("""COMPUTED_VALUE"""),"3p40")</f>
        <v>3p40</v>
      </c>
      <c r="J438" s="16">
        <f>IFERROR(__xludf.DUMMYFUNCTION("""COMPUTED_VALUE"""),21.0)</f>
        <v>21</v>
      </c>
      <c r="K438" s="16">
        <f>IFERROR(__xludf.DUMMYFUNCTION("""COMPUTED_VALUE"""),27.0)</f>
        <v>27</v>
      </c>
      <c r="L438" s="16">
        <f>IFERROR(__xludf.DUMMYFUNCTION("""COMPUTED_VALUE"""),0.0)</f>
        <v>0</v>
      </c>
      <c r="M438" s="16">
        <f>IFERROR(__xludf.DUMMYFUNCTION("""COMPUTED_VALUE"""),0.0)</f>
        <v>0</v>
      </c>
      <c r="N438" s="16">
        <f>IFERROR(__xludf.DUMMYFUNCTION("""COMPUTED_VALUE"""),0.0)</f>
        <v>0</v>
      </c>
      <c r="O438" s="16">
        <f>IFERROR(__xludf.DUMMYFUNCTION("""COMPUTED_VALUE"""),0.0)</f>
        <v>0</v>
      </c>
      <c r="P438" s="16">
        <f>IFERROR(__xludf.DUMMYFUNCTION("""COMPUTED_VALUE"""),9.0)</f>
        <v>9</v>
      </c>
      <c r="Q438" s="16">
        <f>IFERROR(__xludf.DUMMYFUNCTION("""COMPUTED_VALUE"""),0.0)</f>
        <v>0</v>
      </c>
      <c r="R438" s="16">
        <f>IFERROR(__xludf.DUMMYFUNCTION("""COMPUTED_VALUE"""),0.0)</f>
        <v>0</v>
      </c>
      <c r="S438" s="16">
        <f>IFERROR(__xludf.DUMMYFUNCTION("""COMPUTED_VALUE"""),-2.0)</f>
        <v>-2</v>
      </c>
      <c r="T438" s="16">
        <f>IFERROR(__xludf.DUMMYFUNCTION("""COMPUTED_VALUE"""),0.0)</f>
        <v>0</v>
      </c>
      <c r="U438" s="16">
        <f>IFERROR(__xludf.DUMMYFUNCTION("""COMPUTED_VALUE"""),-2.0)</f>
        <v>-2</v>
      </c>
      <c r="V438" s="16">
        <f>IFERROR(__xludf.DUMMYFUNCTION("""COMPUTED_VALUE"""),20.3)</f>
        <v>20.3</v>
      </c>
      <c r="W438" s="16">
        <f>IFERROR(__xludf.DUMMYFUNCTION("""COMPUTED_VALUE"""),17.0)</f>
        <v>17</v>
      </c>
      <c r="X438" s="16">
        <f>IFERROR(__xludf.DUMMYFUNCTION("""COMPUTED_VALUE"""),0.0)</f>
        <v>0</v>
      </c>
      <c r="Y438" s="16">
        <f>IFERROR(__xludf.DUMMYFUNCTION("""COMPUTED_VALUE"""),-1.0)</f>
        <v>-1</v>
      </c>
      <c r="Z438" s="16">
        <f>IFERROR(__xludf.DUMMYFUNCTION("""COMPUTED_VALUE"""),0.0)</f>
        <v>0</v>
      </c>
      <c r="AA438" s="16">
        <f>IFERROR(__xludf.DUMMYFUNCTION("""COMPUTED_VALUE"""),-2.0)</f>
        <v>-2</v>
      </c>
      <c r="AB438" s="16">
        <f>IFERROR(__xludf.DUMMYFUNCTION("""COMPUTED_VALUE"""),30.3)</f>
        <v>30.3</v>
      </c>
      <c r="AC438" s="16">
        <f>IFERROR(__xludf.DUMMYFUNCTION("""COMPUTED_VALUE"""),18.0)</f>
        <v>18</v>
      </c>
      <c r="AD438" s="16">
        <f>IFERROR(__xludf.DUMMYFUNCTION("""COMPUTED_VALUE"""),0.0)</f>
        <v>0</v>
      </c>
      <c r="AE438" s="16">
        <f>IFERROR(__xludf.DUMMYFUNCTION("""COMPUTED_VALUE"""),-2.0)</f>
        <v>-2</v>
      </c>
      <c r="AF438" s="16">
        <f>IFERROR(__xludf.DUMMYFUNCTION("""COMPUTED_VALUE"""),0.0)</f>
        <v>0</v>
      </c>
      <c r="AG438" s="16">
        <f>IFERROR(__xludf.DUMMYFUNCTION("""COMPUTED_VALUE"""),-10.0)</f>
        <v>-10</v>
      </c>
      <c r="AH438" s="16">
        <f>IFERROR(__xludf.DUMMYFUNCTION("""COMPUTED_VALUE"""),32.0)</f>
        <v>32</v>
      </c>
      <c r="AI438" s="16">
        <f>IFERROR(__xludf.DUMMYFUNCTION("""COMPUTED_VALUE"""),24.9)</f>
        <v>24.9</v>
      </c>
      <c r="AJ438" s="16">
        <f>IFERROR(__xludf.DUMMYFUNCTION("""COMPUTED_VALUE"""),0.0)</f>
        <v>0</v>
      </c>
      <c r="AK438" s="16">
        <f>IFERROR(__xludf.DUMMYFUNCTION("""COMPUTED_VALUE"""),-1.0)</f>
        <v>-1</v>
      </c>
      <c r="AL438" s="16">
        <f>IFERROR(__xludf.DUMMYFUNCTION("""COMPUTED_VALUE"""),0.0)</f>
        <v>0</v>
      </c>
      <c r="AM438" s="16">
        <f>IFERROR(__xludf.DUMMYFUNCTION("""COMPUTED_VALUE"""),-5.0)</f>
        <v>-5</v>
      </c>
      <c r="AN438" s="16">
        <f>IFERROR(__xludf.DUMMYFUNCTION("""COMPUTED_VALUE"""),2.5)</f>
        <v>2.5</v>
      </c>
      <c r="AO438" s="16">
        <f>IFERROR(__xludf.DUMMYFUNCTION("""COMPUTED_VALUE"""),1.8)</f>
        <v>1.8</v>
      </c>
      <c r="AP438" s="16">
        <f>IFERROR(__xludf.DUMMYFUNCTION("""COMPUTED_VALUE"""),0.0)</f>
        <v>0</v>
      </c>
      <c r="AQ438" s="16">
        <f>IFERROR(__xludf.DUMMYFUNCTION("""COMPUTED_VALUE"""),-1.0)</f>
        <v>-1</v>
      </c>
      <c r="AR438" s="16">
        <f>IFERROR(__xludf.DUMMYFUNCTION("""COMPUTED_VALUE"""),0.0)</f>
        <v>0</v>
      </c>
      <c r="AS438" s="16">
        <f>IFERROR(__xludf.DUMMYFUNCTION("""COMPUTED_VALUE"""),-2.0)</f>
        <v>-2</v>
      </c>
      <c r="AT438" s="16"/>
      <c r="AU438" s="16"/>
      <c r="AV438" s="16">
        <f>IFERROR(__xludf.DUMMYFUNCTION("""COMPUTED_VALUE"""),-3.0)</f>
        <v>-3</v>
      </c>
      <c r="AW438" s="16">
        <f>IFERROR(__xludf.DUMMYFUNCTION("""COMPUTED_VALUE"""),-3.0)</f>
        <v>-3</v>
      </c>
      <c r="AX438" s="16">
        <f>IFERROR(__xludf.DUMMYFUNCTION("""COMPUTED_VALUE"""),-3.0)</f>
        <v>-3</v>
      </c>
      <c r="AY438" s="16">
        <f>IFERROR(__xludf.DUMMYFUNCTION("""COMPUTED_VALUE"""),-3.0)</f>
        <v>-3</v>
      </c>
      <c r="AZ438" s="16">
        <f>IFERROR(__xludf.DUMMYFUNCTION("""COMPUTED_VALUE"""),-9.0)</f>
        <v>-9</v>
      </c>
      <c r="BA438" s="16">
        <f>IFERROR(__xludf.DUMMYFUNCTION("""COMPUTED_VALUE"""),-9.0)</f>
        <v>-9</v>
      </c>
      <c r="BB438" s="16">
        <f>IFERROR(__xludf.DUMMYFUNCTION("""COMPUTED_VALUE"""),5.0)</f>
        <v>5</v>
      </c>
      <c r="BC438" s="16">
        <f>IFERROR(__xludf.DUMMYFUNCTION("""COMPUTED_VALUE"""),5.0)</f>
        <v>5</v>
      </c>
      <c r="BD438" s="16">
        <f>IFERROR(__xludf.DUMMYFUNCTION("""COMPUTED_VALUE"""),1.0)</f>
        <v>1</v>
      </c>
      <c r="BE438" s="16">
        <f>IFERROR(__xludf.DUMMYFUNCTION("""COMPUTED_VALUE"""),1.0)</f>
        <v>1</v>
      </c>
      <c r="BF438" s="16">
        <f>IFERROR(__xludf.DUMMYFUNCTION("""COMPUTED_VALUE"""),1.0)</f>
        <v>1</v>
      </c>
      <c r="BG438" s="16">
        <f>IFERROR(__xludf.DUMMYFUNCTION("""COMPUTED_VALUE"""),1.0)</f>
        <v>1</v>
      </c>
      <c r="BH438" s="16">
        <f>IFERROR(__xludf.DUMMYFUNCTION("""COMPUTED_VALUE"""),3.0)</f>
        <v>3</v>
      </c>
      <c r="BI438" s="16">
        <f>IFERROR(__xludf.DUMMYFUNCTION("""COMPUTED_VALUE"""),3.0)</f>
        <v>3</v>
      </c>
      <c r="BJ438" s="16">
        <f>IFERROR(__xludf.DUMMYFUNCTION("""COMPUTED_VALUE"""),20.0)</f>
        <v>20</v>
      </c>
      <c r="BK438" s="16">
        <f>IFERROR(__xludf.DUMMYFUNCTION("""COMPUTED_VALUE"""),24.0)</f>
        <v>24</v>
      </c>
      <c r="BL438" s="16">
        <f>IFERROR(__xludf.DUMMYFUNCTION("""COMPUTED_VALUE"""),-2.0)</f>
        <v>-2</v>
      </c>
      <c r="BM438" s="16">
        <f>IFERROR(__xludf.DUMMYFUNCTION("""COMPUTED_VALUE"""),-2.0)</f>
        <v>-2</v>
      </c>
      <c r="BN438" s="16">
        <f>IFERROR(__xludf.DUMMYFUNCTION("""COMPUTED_VALUE"""),-4.0)</f>
        <v>-4</v>
      </c>
      <c r="BO438" s="16">
        <f>IFERROR(__xludf.DUMMYFUNCTION("""COMPUTED_VALUE"""),-4.0)</f>
        <v>-4</v>
      </c>
      <c r="BP438" s="16">
        <f>IFERROR(__xludf.DUMMYFUNCTION("""COMPUTED_VALUE"""),-4.0)</f>
        <v>-4</v>
      </c>
      <c r="BQ438" s="16">
        <f>IFERROR(__xludf.DUMMYFUNCTION("""COMPUTED_VALUE"""),-11.0)</f>
        <v>-11</v>
      </c>
      <c r="BR438" s="16">
        <f>IFERROR(__xludf.DUMMYFUNCTION("""COMPUTED_VALUE"""),-15.0)</f>
        <v>-15</v>
      </c>
      <c r="BS438" s="16" t="str">
        <f>IFERROR(__xludf.DUMMYFUNCTION("""COMPUTED_VALUE"""),"4,5/- (13-6)")</f>
        <v>4,5/- (13-6)</v>
      </c>
      <c r="BT438" s="16" t="str">
        <f>IFERROR(__xludf.DUMMYFUNCTION("""COMPUTED_VALUE"""),"D")</f>
        <v>D</v>
      </c>
      <c r="BU438" s="16">
        <f>IFERROR(__xludf.DUMMYFUNCTION("""COMPUTED_VALUE"""),12.0)</f>
        <v>12</v>
      </c>
      <c r="BV438" s="16">
        <f>IFERROR(__xludf.DUMMYFUNCTION("""COMPUTED_VALUE"""),0.0)</f>
        <v>0</v>
      </c>
      <c r="BW438" s="16">
        <f>IFERROR(__xludf.DUMMYFUNCTION("""COMPUTED_VALUE"""),0.0)</f>
        <v>0</v>
      </c>
      <c r="BX438" s="16">
        <f>IFERROR(__xludf.DUMMYFUNCTION("""COMPUTED_VALUE"""),0.0)</f>
        <v>0</v>
      </c>
      <c r="BY438" s="16">
        <f>IFERROR(__xludf.DUMMYFUNCTION("""COMPUTED_VALUE"""),0.0)</f>
        <v>0</v>
      </c>
      <c r="BZ438" s="16" t="str">
        <f>IFERROR(__xludf.DUMMYFUNCTION("""COMPUTED_VALUE"""),"C")</f>
        <v>C</v>
      </c>
      <c r="CA438" s="16" t="str">
        <f>IFERROR(__xludf.DUMMYFUNCTION("""COMPUTED_VALUE"""),"D")</f>
        <v>D</v>
      </c>
      <c r="CB438" s="16">
        <f>IFERROR(__xludf.DUMMYFUNCTION("""COMPUTED_VALUE"""),0.0)</f>
        <v>0</v>
      </c>
      <c r="CC438" s="16">
        <f>IFERROR(__xludf.DUMMYFUNCTION("""COMPUTED_VALUE"""),0.0)</f>
        <v>0</v>
      </c>
      <c r="CD438" s="16">
        <f>IFERROR(__xludf.DUMMYFUNCTION("""COMPUTED_VALUE"""),0.0)</f>
        <v>0</v>
      </c>
      <c r="CE438" s="16">
        <f>IFERROR(__xludf.DUMMYFUNCTION("""COMPUTED_VALUE"""),0.0)</f>
        <v>0</v>
      </c>
      <c r="CF438" s="16">
        <f>IFERROR(__xludf.DUMMYFUNCTION("""COMPUTED_VALUE"""),3.0)</f>
        <v>3</v>
      </c>
      <c r="CG438" s="16">
        <f>IFERROR(__xludf.DUMMYFUNCTION("""COMPUTED_VALUE"""),-12.0)</f>
        <v>-12</v>
      </c>
      <c r="CH438" s="16">
        <f>IFERROR(__xludf.DUMMYFUNCTION("""COMPUTED_VALUE"""),-33.0)</f>
        <v>-33</v>
      </c>
      <c r="CI438" s="179">
        <f>IFERROR(__xludf.DUMMYFUNCTION("""COMPUTED_VALUE"""),-28.0)</f>
        <v>-28</v>
      </c>
      <c r="CJ438" s="16"/>
      <c r="CK438" s="16"/>
      <c r="CL438" s="16">
        <f>IFERROR(__xludf.DUMMYFUNCTION("""COMPUTED_VALUE"""),341.0)</f>
        <v>341</v>
      </c>
      <c r="CM438" s="16"/>
      <c r="CN438" s="16">
        <f>IFERROR(__xludf.DUMMYFUNCTION("""COMPUTED_VALUE"""),208.0)</f>
        <v>208</v>
      </c>
      <c r="CO438" s="16"/>
      <c r="CP438" s="16"/>
      <c r="CQ438" s="16"/>
      <c r="CR438" s="16" t="str">
        <f>IFERROR(__xludf.DUMMYFUNCTION("""COMPUTED_VALUE"""),"ss-2e8 2b-3e41")</f>
        <v>ss-2e8 2b-3e41</v>
      </c>
      <c r="CS438" s="16"/>
      <c r="CT438" s="16"/>
      <c r="CU438" s="16">
        <f>IFERROR(__xludf.DUMMYFUNCTION("""COMPUTED_VALUE"""),3.0)</f>
        <v>3</v>
      </c>
      <c r="CV438" s="16"/>
      <c r="CW438" s="16">
        <f>IFERROR(__xludf.DUMMYFUNCTION("""COMPUTED_VALUE"""),2.0)</f>
        <v>2</v>
      </c>
      <c r="CX438" s="16"/>
      <c r="CY438" s="16"/>
      <c r="CZ438" s="16"/>
      <c r="DA438" s="16"/>
      <c r="DB438" s="16"/>
      <c r="DC438" s="16">
        <f>IFERROR(__xludf.DUMMYFUNCTION("""COMPUTED_VALUE"""),41.0)</f>
        <v>41</v>
      </c>
      <c r="DD438" s="16"/>
      <c r="DE438" s="16">
        <f>IFERROR(__xludf.DUMMYFUNCTION("""COMPUTED_VALUE"""),8.0)</f>
        <v>8</v>
      </c>
      <c r="DF438" s="16"/>
      <c r="DG438" s="16"/>
      <c r="DH438" s="16"/>
      <c r="DI438" s="16"/>
      <c r="DJ438" s="16"/>
      <c r="DK438" s="16">
        <f>IFERROR(__xludf.DUMMYFUNCTION("""COMPUTED_VALUE"""),0.0)</f>
        <v>0</v>
      </c>
      <c r="DL438" s="16"/>
      <c r="DM438" s="16">
        <f>IFERROR(__xludf.DUMMYFUNCTION("""COMPUTED_VALUE"""),3.0)</f>
        <v>3</v>
      </c>
      <c r="DN438" s="16"/>
      <c r="DO438" s="16"/>
      <c r="DP438" s="16"/>
      <c r="DQ438" s="16"/>
      <c r="DR438" s="16"/>
      <c r="DS438" s="16">
        <f>IFERROR(__xludf.DUMMYFUNCTION("""COMPUTED_VALUE"""),-2.0)</f>
        <v>-2</v>
      </c>
      <c r="DT438" s="16"/>
      <c r="DU438" s="16">
        <f>IFERROR(__xludf.DUMMYFUNCTION("""COMPUTED_VALUE"""),3.0)</f>
        <v>3</v>
      </c>
      <c r="DV438" s="16"/>
      <c r="DW438" s="16"/>
      <c r="DX438" s="16"/>
      <c r="DY438" s="16"/>
      <c r="DZ438" s="16"/>
      <c r="EA438" s="16">
        <f>IFERROR(__xludf.DUMMYFUNCTION("""COMPUTED_VALUE"""),-2.0)</f>
        <v>-2</v>
      </c>
      <c r="EB438" s="16"/>
      <c r="EC438" s="16">
        <f>IFERROR(__xludf.DUMMYFUNCTION("""COMPUTED_VALUE"""),6.0)</f>
        <v>6</v>
      </c>
      <c r="ED438" s="16"/>
      <c r="EE438" s="16"/>
      <c r="EF438" s="16"/>
      <c r="EG438" s="179"/>
      <c r="EH438" s="179"/>
      <c r="EI438" s="179">
        <f>IFERROR(__xludf.DUMMYFUNCTION("""COMPUTED_VALUE"""),-30.0)</f>
        <v>-30</v>
      </c>
      <c r="EJ438" s="179"/>
      <c r="EK438" s="179">
        <f>IFERROR(__xludf.DUMMYFUNCTION("""COMPUTED_VALUE"""),-22.0)</f>
        <v>-22</v>
      </c>
      <c r="EL438" s="179"/>
      <c r="EM438" s="179"/>
      <c r="EN438" s="179"/>
      <c r="EO438" s="16"/>
      <c r="EP438" s="16">
        <f>IFERROR(__xludf.DUMMYFUNCTION("""COMPUTED_VALUE"""),-1.0)</f>
        <v>-1</v>
      </c>
      <c r="EQ438" s="16">
        <f>IFERROR(__xludf.DUMMYFUNCTION("""COMPUTED_VALUE"""),1.0)</f>
        <v>1</v>
      </c>
      <c r="ER438" s="16">
        <f>IFERROR(__xludf.DUMMYFUNCTION("""COMPUTED_VALUE"""),-1.0)</f>
        <v>-1</v>
      </c>
      <c r="ES438" s="16"/>
      <c r="ET438" s="16"/>
      <c r="EU438" s="16"/>
      <c r="EV438" s="16"/>
      <c r="EW438" s="16"/>
      <c r="EX438" s="180"/>
      <c r="EY438" s="180"/>
      <c r="EZ438" s="180">
        <f>IFERROR(__xludf.DUMMYFUNCTION("""COMPUTED_VALUE"""),0.2)</f>
        <v>0.2</v>
      </c>
      <c r="FA438" s="180"/>
      <c r="FB438" s="180">
        <f>IFERROR(__xludf.DUMMYFUNCTION("""COMPUTED_VALUE"""),0.1)</f>
        <v>0.1</v>
      </c>
      <c r="FC438" s="180"/>
      <c r="FD438" s="180"/>
      <c r="FE438" s="180"/>
      <c r="FF438" s="180"/>
      <c r="FG438" s="180"/>
      <c r="FH438" s="180">
        <f>IFERROR(__xludf.DUMMYFUNCTION("""COMPUTED_VALUE"""),0.24537037037037038)</f>
        <v>0.2453703704</v>
      </c>
      <c r="FI438" s="180"/>
      <c r="FJ438" s="180">
        <f>IFERROR(__xludf.DUMMYFUNCTION("""COMPUTED_VALUE"""),0.046296296296296294)</f>
        <v>0.0462962963</v>
      </c>
      <c r="FK438" s="180"/>
      <c r="FL438" s="180"/>
      <c r="FM438" s="180"/>
      <c r="FN438" s="16"/>
      <c r="FO438" s="16"/>
      <c r="FP438" s="16">
        <f>IFERROR(__xludf.DUMMYFUNCTION("""COMPUTED_VALUE"""),0.6037037037037037)</f>
        <v>0.6037037037</v>
      </c>
      <c r="FQ438" s="16"/>
      <c r="FR438" s="16">
        <f>IFERROR(__xludf.DUMMYFUNCTION("""COMPUTED_VALUE"""),0.8583333333333334)</f>
        <v>0.8583333333</v>
      </c>
      <c r="FS438" s="16"/>
      <c r="FT438" s="16"/>
      <c r="FU438" s="16"/>
      <c r="FV438" s="16"/>
      <c r="FW438" s="16"/>
      <c r="FX438" s="16">
        <f>IFERROR(__xludf.DUMMYFUNCTION("""COMPUTED_VALUE"""),-6.0)</f>
        <v>-6</v>
      </c>
      <c r="FY438" s="16"/>
      <c r="FZ438" s="16">
        <f>IFERROR(__xludf.DUMMYFUNCTION("""COMPUTED_VALUE"""),4.0)</f>
        <v>4</v>
      </c>
      <c r="GA438" s="16"/>
      <c r="GB438" s="16"/>
      <c r="GC438" s="16"/>
      <c r="GD438" s="16" t="s">
        <v>176</v>
      </c>
    </row>
    <row r="439">
      <c r="A439" s="16">
        <f>IFERROR(__xludf.DUMMYFUNCTION("""COMPUTED_VALUE"""),13428.0)</f>
        <v>13428</v>
      </c>
      <c r="B439" s="16" t="str">
        <f>IFERROR(__xludf.DUMMYFUNCTION("""COMPUTED_VALUE"""),"Travis Jankowski")</f>
        <v>Travis Jankowski</v>
      </c>
      <c r="C439" s="16">
        <f>IFERROR(__xludf.DUMMYFUNCTION("""COMPUTED_VALUE"""),0.25)</f>
        <v>0.25</v>
      </c>
      <c r="D439" s="16" t="str">
        <f>IFERROR(__xludf.DUMMYFUNCTION("""COMPUTED_VALUE"""),"L")</f>
        <v>L</v>
      </c>
      <c r="E439" s="16"/>
      <c r="F439" s="16"/>
      <c r="G439" s="16">
        <f>IFERROR(__xludf.DUMMYFUNCTION("""COMPUTED_VALUE"""),190.0)</f>
        <v>190</v>
      </c>
      <c r="H439" s="16">
        <f>IFERROR(__xludf.DUMMYFUNCTION("""COMPUTED_VALUE"""),12.0)</f>
        <v>12</v>
      </c>
      <c r="I439" s="16" t="str">
        <f>IFERROR(__xludf.DUMMYFUNCTION("""COMPUTED_VALUE"""),"1p50")</f>
        <v>1p50</v>
      </c>
      <c r="J439" s="16">
        <f>IFERROR(__xludf.DUMMYFUNCTION("""COMPUTED_VALUE"""),20.0)</f>
        <v>20</v>
      </c>
      <c r="K439" s="16">
        <f>IFERROR(__xludf.DUMMYFUNCTION("""COMPUTED_VALUE"""),21.0)</f>
        <v>21</v>
      </c>
      <c r="L439" s="16">
        <f>IFERROR(__xludf.DUMMYFUNCTION("""COMPUTED_VALUE"""),0.0)</f>
        <v>0</v>
      </c>
      <c r="M439" s="16">
        <f>IFERROR(__xludf.DUMMYFUNCTION("""COMPUTED_VALUE"""),0.0)</f>
        <v>0</v>
      </c>
      <c r="N439" s="16">
        <f>IFERROR(__xludf.DUMMYFUNCTION("""COMPUTED_VALUE"""),0.0)</f>
        <v>0</v>
      </c>
      <c r="O439" s="16">
        <f>IFERROR(__xludf.DUMMYFUNCTION("""COMPUTED_VALUE"""),0.0)</f>
        <v>0</v>
      </c>
      <c r="P439" s="16">
        <f>IFERROR(__xludf.DUMMYFUNCTION("""COMPUTED_VALUE"""),0.0)</f>
        <v>0</v>
      </c>
      <c r="Q439" s="16">
        <f>IFERROR(__xludf.DUMMYFUNCTION("""COMPUTED_VALUE"""),4.0)</f>
        <v>4</v>
      </c>
      <c r="R439" s="16">
        <f>IFERROR(__xludf.DUMMYFUNCTION("""COMPUTED_VALUE"""),-3.0)</f>
        <v>-3</v>
      </c>
      <c r="S439" s="16">
        <f>IFERROR(__xludf.DUMMYFUNCTION("""COMPUTED_VALUE"""),-2.0)</f>
        <v>-2</v>
      </c>
      <c r="T439" s="16">
        <f>IFERROR(__xludf.DUMMYFUNCTION("""COMPUTED_VALUE"""),-3.0)</f>
        <v>-3</v>
      </c>
      <c r="U439" s="16">
        <f>IFERROR(__xludf.DUMMYFUNCTION("""COMPUTED_VALUE"""),-2.0)</f>
        <v>-2</v>
      </c>
      <c r="V439" s="16">
        <f>IFERROR(__xludf.DUMMYFUNCTION("""COMPUTED_VALUE"""),0.0)</f>
        <v>0</v>
      </c>
      <c r="W439" s="16">
        <f>IFERROR(__xludf.DUMMYFUNCTION("""COMPUTED_VALUE"""),14.9)</f>
        <v>14.9</v>
      </c>
      <c r="X439" s="16">
        <f>IFERROR(__xludf.DUMMYFUNCTION("""COMPUTED_VALUE"""),-2.0)</f>
        <v>-2</v>
      </c>
      <c r="Y439" s="16">
        <f>IFERROR(__xludf.DUMMYFUNCTION("""COMPUTED_VALUE"""),-1.0)</f>
        <v>-1</v>
      </c>
      <c r="Z439" s="16">
        <f>IFERROR(__xludf.DUMMYFUNCTION("""COMPUTED_VALUE"""),-4.0)</f>
        <v>-4</v>
      </c>
      <c r="AA439" s="16">
        <f>IFERROR(__xludf.DUMMYFUNCTION("""COMPUTED_VALUE"""),-2.0)</f>
        <v>-2</v>
      </c>
      <c r="AB439" s="16">
        <f>IFERROR(__xludf.DUMMYFUNCTION("""COMPUTED_VALUE"""),6.0)</f>
        <v>6</v>
      </c>
      <c r="AC439" s="16">
        <f>IFERROR(__xludf.DUMMYFUNCTION("""COMPUTED_VALUE"""),24.9)</f>
        <v>24.9</v>
      </c>
      <c r="AD439" s="16">
        <f>IFERROR(__xludf.DUMMYFUNCTION("""COMPUTED_VALUE"""),-3.0)</f>
        <v>-3</v>
      </c>
      <c r="AE439" s="16">
        <f>IFERROR(__xludf.DUMMYFUNCTION("""COMPUTED_VALUE"""),-1.0)</f>
        <v>-1</v>
      </c>
      <c r="AF439" s="16">
        <f>IFERROR(__xludf.DUMMYFUNCTION("""COMPUTED_VALUE"""),-15.0)</f>
        <v>-15</v>
      </c>
      <c r="AG439" s="16">
        <f>IFERROR(__xludf.DUMMYFUNCTION("""COMPUTED_VALUE"""),-5.0)</f>
        <v>-5</v>
      </c>
      <c r="AH439" s="16">
        <f>IFERROR(__xludf.DUMMYFUNCTION("""COMPUTED_VALUE"""),0.0)</f>
        <v>0</v>
      </c>
      <c r="AI439" s="16">
        <f>IFERROR(__xludf.DUMMYFUNCTION("""COMPUTED_VALUE"""),18.7)</f>
        <v>18.7</v>
      </c>
      <c r="AJ439" s="16">
        <f>IFERROR(__xludf.DUMMYFUNCTION("""COMPUTED_VALUE"""),-2.0)</f>
        <v>-2</v>
      </c>
      <c r="AK439" s="16">
        <f>IFERROR(__xludf.DUMMYFUNCTION("""COMPUTED_VALUE"""),-2.0)</f>
        <v>-2</v>
      </c>
      <c r="AL439" s="16">
        <f>IFERROR(__xludf.DUMMYFUNCTION("""COMPUTED_VALUE"""),-10.0)</f>
        <v>-10</v>
      </c>
      <c r="AM439" s="16">
        <f>IFERROR(__xludf.DUMMYFUNCTION("""COMPUTED_VALUE"""),-10.0)</f>
        <v>-10</v>
      </c>
      <c r="AN439" s="16">
        <f>IFERROR(__xludf.DUMMYFUNCTION("""COMPUTED_VALUE"""),0.0)</f>
        <v>0</v>
      </c>
      <c r="AO439" s="16">
        <f>IFERROR(__xludf.DUMMYFUNCTION("""COMPUTED_VALUE"""),1.2)</f>
        <v>1.2</v>
      </c>
      <c r="AP439" s="16">
        <f>IFERROR(__xludf.DUMMYFUNCTION("""COMPUTED_VALUE"""),-2.0)</f>
        <v>-2</v>
      </c>
      <c r="AQ439" s="16">
        <f>IFERROR(__xludf.DUMMYFUNCTION("""COMPUTED_VALUE"""),-2.0)</f>
        <v>-2</v>
      </c>
      <c r="AR439" s="16">
        <f>IFERROR(__xludf.DUMMYFUNCTION("""COMPUTED_VALUE"""),-4.0)</f>
        <v>-4</v>
      </c>
      <c r="AS439" s="16">
        <f>IFERROR(__xludf.DUMMYFUNCTION("""COMPUTED_VALUE"""),-4.0)</f>
        <v>-4</v>
      </c>
      <c r="AT439" s="16"/>
      <c r="AU439" s="16"/>
      <c r="AV439" s="16">
        <f>IFERROR(__xludf.DUMMYFUNCTION("""COMPUTED_VALUE"""),-3.0)</f>
        <v>-3</v>
      </c>
      <c r="AW439" s="16">
        <f>IFERROR(__xludf.DUMMYFUNCTION("""COMPUTED_VALUE"""),-3.0)</f>
        <v>-3</v>
      </c>
      <c r="AX439" s="16">
        <f>IFERROR(__xludf.DUMMYFUNCTION("""COMPUTED_VALUE"""),-3.0)</f>
        <v>-3</v>
      </c>
      <c r="AY439" s="16">
        <f>IFERROR(__xludf.DUMMYFUNCTION("""COMPUTED_VALUE"""),-3.0)</f>
        <v>-3</v>
      </c>
      <c r="AZ439" s="16">
        <f>IFERROR(__xludf.DUMMYFUNCTION("""COMPUTED_VALUE"""),-9.0)</f>
        <v>-9</v>
      </c>
      <c r="BA439" s="16">
        <f>IFERROR(__xludf.DUMMYFUNCTION("""COMPUTED_VALUE"""),-9.0)</f>
        <v>-9</v>
      </c>
      <c r="BB439" s="16">
        <f>IFERROR(__xludf.DUMMYFUNCTION("""COMPUTED_VALUE"""),0.0)</f>
        <v>0</v>
      </c>
      <c r="BC439" s="16">
        <f>IFERROR(__xludf.DUMMYFUNCTION("""COMPUTED_VALUE"""),5.0)</f>
        <v>5</v>
      </c>
      <c r="BD439" s="16">
        <f>IFERROR(__xludf.DUMMYFUNCTION("""COMPUTED_VALUE"""),0.0)</f>
        <v>0</v>
      </c>
      <c r="BE439" s="16">
        <f>IFERROR(__xludf.DUMMYFUNCTION("""COMPUTED_VALUE"""),1.0)</f>
        <v>1</v>
      </c>
      <c r="BF439" s="16">
        <f>IFERROR(__xludf.DUMMYFUNCTION("""COMPUTED_VALUE"""),0.0)</f>
        <v>0</v>
      </c>
      <c r="BG439" s="16">
        <f>IFERROR(__xludf.DUMMYFUNCTION("""COMPUTED_VALUE"""),1.0)</f>
        <v>1</v>
      </c>
      <c r="BH439" s="16">
        <f>IFERROR(__xludf.DUMMYFUNCTION("""COMPUTED_VALUE"""),0.0)</f>
        <v>0</v>
      </c>
      <c r="BI439" s="16">
        <f>IFERROR(__xludf.DUMMYFUNCTION("""COMPUTED_VALUE"""),5.0)</f>
        <v>5</v>
      </c>
      <c r="BJ439" s="16">
        <f>IFERROR(__xludf.DUMMYFUNCTION("""COMPUTED_VALUE"""),11.0)</f>
        <v>11</v>
      </c>
      <c r="BK439" s="16">
        <f>IFERROR(__xludf.DUMMYFUNCTION("""COMPUTED_VALUE"""),11.0)</f>
        <v>11</v>
      </c>
      <c r="BL439" s="16">
        <f>IFERROR(__xludf.DUMMYFUNCTION("""COMPUTED_VALUE"""),0.0)</f>
        <v>0</v>
      </c>
      <c r="BM439" s="16">
        <f>IFERROR(__xludf.DUMMYFUNCTION("""COMPUTED_VALUE"""),0.0)</f>
        <v>0</v>
      </c>
      <c r="BN439" s="16">
        <f>IFERROR(__xludf.DUMMYFUNCTION("""COMPUTED_VALUE"""),0.0)</f>
        <v>0</v>
      </c>
      <c r="BO439" s="16">
        <f>IFERROR(__xludf.DUMMYFUNCTION("""COMPUTED_VALUE"""),0.0)</f>
        <v>0</v>
      </c>
      <c r="BP439" s="16">
        <f>IFERROR(__xludf.DUMMYFUNCTION("""COMPUTED_VALUE"""),-15.0)</f>
        <v>-15</v>
      </c>
      <c r="BQ439" s="16">
        <f>IFERROR(__xludf.DUMMYFUNCTION("""COMPUTED_VALUE"""),-10.0)</f>
        <v>-10</v>
      </c>
      <c r="BR439" s="16">
        <f>IFERROR(__xludf.DUMMYFUNCTION("""COMPUTED_VALUE"""),-25.0)</f>
        <v>-25</v>
      </c>
      <c r="BS439" s="16" t="str">
        <f>IFERROR(__xludf.DUMMYFUNCTION("""COMPUTED_VALUE"""),"*2-5/- (19-13)")</f>
        <v>*2-5/- (19-13)</v>
      </c>
      <c r="BT439" s="16" t="str">
        <f>IFERROR(__xludf.DUMMYFUNCTION("""COMPUTED_VALUE"""),"A")</f>
        <v>A</v>
      </c>
      <c r="BU439" s="16">
        <f>IFERROR(__xludf.DUMMYFUNCTION("""COMPUTED_VALUE"""),16.0)</f>
        <v>16</v>
      </c>
      <c r="BV439" s="16">
        <f>IFERROR(__xludf.DUMMYFUNCTION("""COMPUTED_VALUE"""),2.0)</f>
        <v>2</v>
      </c>
      <c r="BW439" s="16">
        <f>IFERROR(__xludf.DUMMYFUNCTION("""COMPUTED_VALUE"""),2.0)</f>
        <v>2</v>
      </c>
      <c r="BX439" s="16">
        <f>IFERROR(__xludf.DUMMYFUNCTION("""COMPUTED_VALUE"""),4.0)</f>
        <v>4</v>
      </c>
      <c r="BY439" s="16">
        <f>IFERROR(__xludf.DUMMYFUNCTION("""COMPUTED_VALUE"""),6.0)</f>
        <v>6</v>
      </c>
      <c r="BZ439" s="16" t="str">
        <f>IFERROR(__xludf.DUMMYFUNCTION("""COMPUTED_VALUE"""),"D")</f>
        <v>D</v>
      </c>
      <c r="CA439" s="16" t="str">
        <f>IFERROR(__xludf.DUMMYFUNCTION("""COMPUTED_VALUE"""),"D")</f>
        <v>D</v>
      </c>
      <c r="CB439" s="16">
        <f>IFERROR(__xludf.DUMMYFUNCTION("""COMPUTED_VALUE"""),0.0)</f>
        <v>0</v>
      </c>
      <c r="CC439" s="16">
        <f>IFERROR(__xludf.DUMMYFUNCTION("""COMPUTED_VALUE"""),0.0)</f>
        <v>0</v>
      </c>
      <c r="CD439" s="16">
        <f>IFERROR(__xludf.DUMMYFUNCTION("""COMPUTED_VALUE"""),0.0)</f>
        <v>0</v>
      </c>
      <c r="CE439" s="16">
        <f>IFERROR(__xludf.DUMMYFUNCTION("""COMPUTED_VALUE"""),0.0)</f>
        <v>0</v>
      </c>
      <c r="CF439" s="16">
        <f>IFERROR(__xludf.DUMMYFUNCTION("""COMPUTED_VALUE"""),1.0)</f>
        <v>1</v>
      </c>
      <c r="CG439" s="16">
        <f>IFERROR(__xludf.DUMMYFUNCTION("""COMPUTED_VALUE"""),-45.0)</f>
        <v>-45</v>
      </c>
      <c r="CH439" s="16">
        <f>IFERROR(__xludf.DUMMYFUNCTION("""COMPUTED_VALUE"""),-31.0)</f>
        <v>-31</v>
      </c>
      <c r="CI439" s="179">
        <f>IFERROR(__xludf.DUMMYFUNCTION("""COMPUTED_VALUE"""),-28.0)</f>
        <v>-28</v>
      </c>
      <c r="CJ439" s="16"/>
      <c r="CK439" s="16"/>
      <c r="CL439" s="16"/>
      <c r="CM439" s="16"/>
      <c r="CN439" s="16"/>
      <c r="CO439" s="16">
        <f>IFERROR(__xludf.DUMMYFUNCTION("""COMPUTED_VALUE"""),113.0)</f>
        <v>113</v>
      </c>
      <c r="CP439" s="16">
        <f>IFERROR(__xludf.DUMMYFUNCTION("""COMPUTED_VALUE"""),213.0)</f>
        <v>213</v>
      </c>
      <c r="CQ439" s="16">
        <f>IFERROR(__xludf.DUMMYFUNCTION("""COMPUTED_VALUE"""),113.0)</f>
        <v>113</v>
      </c>
      <c r="CR439" s="16" t="str">
        <f>IFERROR(__xludf.DUMMYFUNCTION("""COMPUTED_VALUE"""),"rf-1(0)e13 lf-1e13 cf-2e13")</f>
        <v>rf-1(0)e13 lf-1e13 cf-2e13</v>
      </c>
      <c r="CS439" s="16"/>
      <c r="CT439" s="16"/>
      <c r="CU439" s="16"/>
      <c r="CV439" s="16"/>
      <c r="CW439" s="16"/>
      <c r="CX439" s="16">
        <f>IFERROR(__xludf.DUMMYFUNCTION("""COMPUTED_VALUE"""),1.0)</f>
        <v>1</v>
      </c>
      <c r="CY439" s="16">
        <f>IFERROR(__xludf.DUMMYFUNCTION("""COMPUTED_VALUE"""),2.0)</f>
        <v>2</v>
      </c>
      <c r="CZ439" s="16">
        <f>IFERROR(__xludf.DUMMYFUNCTION("""COMPUTED_VALUE"""),1.0)</f>
        <v>1</v>
      </c>
      <c r="DA439" s="16"/>
      <c r="DB439" s="16"/>
      <c r="DC439" s="16"/>
      <c r="DD439" s="16"/>
      <c r="DE439" s="16"/>
      <c r="DF439" s="16">
        <f>IFERROR(__xludf.DUMMYFUNCTION("""COMPUTED_VALUE"""),13.0)</f>
        <v>13</v>
      </c>
      <c r="DG439" s="16">
        <f>IFERROR(__xludf.DUMMYFUNCTION("""COMPUTED_VALUE"""),13.0)</f>
        <v>13</v>
      </c>
      <c r="DH439" s="16">
        <f>IFERROR(__xludf.DUMMYFUNCTION("""COMPUTED_VALUE"""),13.0)</f>
        <v>13</v>
      </c>
      <c r="DI439" s="16"/>
      <c r="DJ439" s="16"/>
      <c r="DK439" s="16"/>
      <c r="DL439" s="16"/>
      <c r="DM439" s="16"/>
      <c r="DN439" s="16">
        <f>IFERROR(__xludf.DUMMYFUNCTION("""COMPUTED_VALUE"""),4.0)</f>
        <v>4</v>
      </c>
      <c r="DO439" s="16">
        <f>IFERROR(__xludf.DUMMYFUNCTION("""COMPUTED_VALUE"""),2.0)</f>
        <v>2</v>
      </c>
      <c r="DP439" s="16">
        <f>IFERROR(__xludf.DUMMYFUNCTION("""COMPUTED_VALUE"""),4.0)</f>
        <v>4</v>
      </c>
      <c r="DQ439" s="16"/>
      <c r="DR439" s="16"/>
      <c r="DS439" s="16"/>
      <c r="DT439" s="16"/>
      <c r="DU439" s="16"/>
      <c r="DV439" s="16">
        <f>IFERROR(__xludf.DUMMYFUNCTION("""COMPUTED_VALUE"""),-2.0)</f>
        <v>-2</v>
      </c>
      <c r="DW439" s="16">
        <f>IFERROR(__xludf.DUMMYFUNCTION("""COMPUTED_VALUE"""),0.0)</f>
        <v>0</v>
      </c>
      <c r="DX439" s="16">
        <f>IFERROR(__xludf.DUMMYFUNCTION("""COMPUTED_VALUE"""),-2.0)</f>
        <v>-2</v>
      </c>
      <c r="DY439" s="16"/>
      <c r="DZ439" s="16"/>
      <c r="EA439" s="16"/>
      <c r="EB439" s="16"/>
      <c r="EC439" s="16"/>
      <c r="ED439" s="16">
        <f>IFERROR(__xludf.DUMMYFUNCTION("""COMPUTED_VALUE"""),2.0)</f>
        <v>2</v>
      </c>
      <c r="EE439" s="16">
        <f>IFERROR(__xludf.DUMMYFUNCTION("""COMPUTED_VALUE"""),2.0)</f>
        <v>2</v>
      </c>
      <c r="EF439" s="16">
        <f>IFERROR(__xludf.DUMMYFUNCTION("""COMPUTED_VALUE"""),2.0)</f>
        <v>2</v>
      </c>
      <c r="EG439" s="179"/>
      <c r="EH439" s="179"/>
      <c r="EI439" s="179"/>
      <c r="EJ439" s="179"/>
      <c r="EK439" s="179"/>
      <c r="EL439" s="179">
        <f>IFERROR(__xludf.DUMMYFUNCTION("""COMPUTED_VALUE"""),-26.0)</f>
        <v>-26</v>
      </c>
      <c r="EM439" s="179">
        <f>IFERROR(__xludf.DUMMYFUNCTION("""COMPUTED_VALUE"""),-26.0)</f>
        <v>-26</v>
      </c>
      <c r="EN439" s="179">
        <f>IFERROR(__xludf.DUMMYFUNCTION("""COMPUTED_VALUE"""),-26.0)</f>
        <v>-26</v>
      </c>
      <c r="EO439" s="16"/>
      <c r="EP439" s="16">
        <f>IFERROR(__xludf.DUMMYFUNCTION("""COMPUTED_VALUE"""),2.0)</f>
        <v>2</v>
      </c>
      <c r="EQ439" s="16">
        <f>IFERROR(__xludf.DUMMYFUNCTION("""COMPUTED_VALUE"""),4.0)</f>
        <v>4</v>
      </c>
      <c r="ER439" s="16">
        <f>IFERROR(__xludf.DUMMYFUNCTION("""COMPUTED_VALUE"""),0.0)</f>
        <v>0</v>
      </c>
      <c r="ES439" s="16"/>
      <c r="ET439" s="16"/>
      <c r="EU439" s="16"/>
      <c r="EV439" s="16"/>
      <c r="EW439" s="16"/>
      <c r="EX439" s="180"/>
      <c r="EY439" s="180"/>
      <c r="EZ439" s="180"/>
      <c r="FA439" s="180"/>
      <c r="FB439" s="180"/>
      <c r="FC439" s="180">
        <f>IFERROR(__xludf.DUMMYFUNCTION("""COMPUTED_VALUE"""),0.0)</f>
        <v>0</v>
      </c>
      <c r="FD439" s="180">
        <f>IFERROR(__xludf.DUMMYFUNCTION("""COMPUTED_VALUE"""),0.15)</f>
        <v>0.15</v>
      </c>
      <c r="FE439" s="180">
        <f>IFERROR(__xludf.DUMMYFUNCTION("""COMPUTED_VALUE"""),0.0)</f>
        <v>0</v>
      </c>
      <c r="FF439" s="180"/>
      <c r="FG439" s="180"/>
      <c r="FH439" s="180"/>
      <c r="FI439" s="180"/>
      <c r="FJ439" s="180"/>
      <c r="FK439" s="180">
        <f>IFERROR(__xludf.DUMMYFUNCTION("""COMPUTED_VALUE"""),0.236)</f>
        <v>0.236</v>
      </c>
      <c r="FL439" s="180">
        <f>IFERROR(__xludf.DUMMYFUNCTION("""COMPUTED_VALUE"""),0.1574074074074074)</f>
        <v>0.1574074074</v>
      </c>
      <c r="FM439" s="180">
        <f>IFERROR(__xludf.DUMMYFUNCTION("""COMPUTED_VALUE"""),0.236)</f>
        <v>0.236</v>
      </c>
      <c r="FN439" s="16"/>
      <c r="FO439" s="16"/>
      <c r="FP439" s="16"/>
      <c r="FQ439" s="16"/>
      <c r="FR439" s="16"/>
      <c r="FS439" s="16">
        <f>IFERROR(__xludf.DUMMYFUNCTION("""COMPUTED_VALUE"""),0.764)</f>
        <v>0.764</v>
      </c>
      <c r="FT439" s="16">
        <f>IFERROR(__xludf.DUMMYFUNCTION("""COMPUTED_VALUE"""),0.7162037037037037)</f>
        <v>0.7162037037</v>
      </c>
      <c r="FU439" s="16">
        <f>IFERROR(__xludf.DUMMYFUNCTION("""COMPUTED_VALUE"""),0.764)</f>
        <v>0.764</v>
      </c>
      <c r="FV439" s="16"/>
      <c r="FW439" s="16"/>
      <c r="FX439" s="16"/>
      <c r="FY439" s="16"/>
      <c r="FZ439" s="16"/>
      <c r="GA439" s="16">
        <f>IFERROR(__xludf.DUMMYFUNCTION("""COMPUTED_VALUE"""),-3.0)</f>
        <v>-3</v>
      </c>
      <c r="GB439" s="16">
        <f>IFERROR(__xludf.DUMMYFUNCTION("""COMPUTED_VALUE"""),-6.0)</f>
        <v>-6</v>
      </c>
      <c r="GC439" s="16">
        <f>IFERROR(__xludf.DUMMYFUNCTION("""COMPUTED_VALUE"""),-3.0)</f>
        <v>-3</v>
      </c>
      <c r="GD439" s="16" t="s">
        <v>176</v>
      </c>
    </row>
    <row r="440">
      <c r="A440" s="16">
        <f>IFERROR(__xludf.DUMMYFUNCTION("""COMPUTED_VALUE"""),12896.0)</f>
        <v>12896</v>
      </c>
      <c r="B440" s="16" t="str">
        <f>IFERROR(__xludf.DUMMYFUNCTION("""COMPUTED_VALUE"""),"Jackson Holliday")</f>
        <v>Jackson Holliday</v>
      </c>
      <c r="C440" s="16">
        <f>IFERROR(__xludf.DUMMYFUNCTION("""COMPUTED_VALUE"""),0.14)</f>
        <v>0.14</v>
      </c>
      <c r="D440" s="16" t="str">
        <f>IFERROR(__xludf.DUMMYFUNCTION("""COMPUTED_VALUE"""),"L")</f>
        <v>L</v>
      </c>
      <c r="E440" s="16"/>
      <c r="F440" s="16"/>
      <c r="G440" s="16">
        <f>IFERROR(__xludf.DUMMYFUNCTION("""COMPUTED_VALUE"""),190.0)</f>
        <v>190</v>
      </c>
      <c r="H440" s="16">
        <f>IFERROR(__xludf.DUMMYFUNCTION("""COMPUTED_VALUE"""),15.0)</f>
        <v>15</v>
      </c>
      <c r="I440" s="16" t="str">
        <f>IFERROR(__xludf.DUMMYFUNCTION("""COMPUTED_VALUE"""),"1p30")</f>
        <v>1p30</v>
      </c>
      <c r="J440" s="16">
        <f>IFERROR(__xludf.DUMMYFUNCTION("""COMPUTED_VALUE"""),51.0)</f>
        <v>51</v>
      </c>
      <c r="K440" s="16">
        <f>IFERROR(__xludf.DUMMYFUNCTION("""COMPUTED_VALUE"""),46.0)</f>
        <v>46</v>
      </c>
      <c r="L440" s="16">
        <f>IFERROR(__xludf.DUMMYFUNCTION("""COMPUTED_VALUE"""),-2.0)</f>
        <v>-2</v>
      </c>
      <c r="M440" s="16">
        <f>IFERROR(__xludf.DUMMYFUNCTION("""COMPUTED_VALUE"""),-2.0)</f>
        <v>-2</v>
      </c>
      <c r="N440" s="16">
        <f>IFERROR(__xludf.DUMMYFUNCTION("""COMPUTED_VALUE"""),-2.0)</f>
        <v>-2</v>
      </c>
      <c r="O440" s="16">
        <f>IFERROR(__xludf.DUMMYFUNCTION("""COMPUTED_VALUE"""),-2.0)</f>
        <v>-2</v>
      </c>
      <c r="P440" s="16">
        <f>IFERROR(__xludf.DUMMYFUNCTION("""COMPUTED_VALUE"""),11.0)</f>
        <v>11</v>
      </c>
      <c r="Q440" s="16">
        <f>IFERROR(__xludf.DUMMYFUNCTION("""COMPUTED_VALUE"""),5.0)</f>
        <v>5</v>
      </c>
      <c r="R440" s="16">
        <f>IFERROR(__xludf.DUMMYFUNCTION("""COMPUTED_VALUE"""),1.0)</f>
        <v>1</v>
      </c>
      <c r="S440" s="16">
        <f>IFERROR(__xludf.DUMMYFUNCTION("""COMPUTED_VALUE"""),-1.0)</f>
        <v>-1</v>
      </c>
      <c r="T440" s="16">
        <f>IFERROR(__xludf.DUMMYFUNCTION("""COMPUTED_VALUE"""),1.0)</f>
        <v>1</v>
      </c>
      <c r="U440" s="16">
        <f>IFERROR(__xludf.DUMMYFUNCTION("""COMPUTED_VALUE"""),-1.0)</f>
        <v>-1</v>
      </c>
      <c r="V440" s="16">
        <f>IFERROR(__xludf.DUMMYFUNCTION("""COMPUTED_VALUE"""),1.2)</f>
        <v>1.2</v>
      </c>
      <c r="W440" s="16">
        <f>IFERROR(__xludf.DUMMYFUNCTION("""COMPUTED_VALUE"""),5.3)</f>
        <v>5.3</v>
      </c>
      <c r="X440" s="16">
        <f>IFERROR(__xludf.DUMMYFUNCTION("""COMPUTED_VALUE"""),-2.0)</f>
        <v>-2</v>
      </c>
      <c r="Y440" s="16">
        <f>IFERROR(__xludf.DUMMYFUNCTION("""COMPUTED_VALUE"""),-2.0)</f>
        <v>-2</v>
      </c>
      <c r="Z440" s="16">
        <f>IFERROR(__xludf.DUMMYFUNCTION("""COMPUTED_VALUE"""),-4.0)</f>
        <v>-4</v>
      </c>
      <c r="AA440" s="16">
        <f>IFERROR(__xludf.DUMMYFUNCTION("""COMPUTED_VALUE"""),-4.0)</f>
        <v>-4</v>
      </c>
      <c r="AB440" s="16">
        <f>IFERROR(__xludf.DUMMYFUNCTION("""COMPUTED_VALUE"""),14.2)</f>
        <v>14.2</v>
      </c>
      <c r="AC440" s="16">
        <f>IFERROR(__xludf.DUMMYFUNCTION("""COMPUTED_VALUE"""),12.3)</f>
        <v>12.3</v>
      </c>
      <c r="AD440" s="16">
        <f>IFERROR(__xludf.DUMMYFUNCTION("""COMPUTED_VALUE"""),-2.0)</f>
        <v>-2</v>
      </c>
      <c r="AE440" s="16">
        <f>IFERROR(__xludf.DUMMYFUNCTION("""COMPUTED_VALUE"""),-3.0)</f>
        <v>-3</v>
      </c>
      <c r="AF440" s="16">
        <f>IFERROR(__xludf.DUMMYFUNCTION("""COMPUTED_VALUE"""),-10.0)</f>
        <v>-10</v>
      </c>
      <c r="AG440" s="16">
        <f>IFERROR(__xludf.DUMMYFUNCTION("""COMPUTED_VALUE"""),-15.0)</f>
        <v>-15</v>
      </c>
      <c r="AH440" s="16">
        <f>IFERROR(__xludf.DUMMYFUNCTION("""COMPUTED_VALUE"""),4.7)</f>
        <v>4.7</v>
      </c>
      <c r="AI440" s="16">
        <f>IFERROR(__xludf.DUMMYFUNCTION("""COMPUTED_VALUE"""),13.4)</f>
        <v>13.4</v>
      </c>
      <c r="AJ440" s="16">
        <f>IFERROR(__xludf.DUMMYFUNCTION("""COMPUTED_VALUE"""),-2.0)</f>
        <v>-2</v>
      </c>
      <c r="AK440" s="16">
        <f>IFERROR(__xludf.DUMMYFUNCTION("""COMPUTED_VALUE"""),-2.0)</f>
        <v>-2</v>
      </c>
      <c r="AL440" s="16">
        <f>IFERROR(__xludf.DUMMYFUNCTION("""COMPUTED_VALUE"""),-10.0)</f>
        <v>-10</v>
      </c>
      <c r="AM440" s="16">
        <f>IFERROR(__xludf.DUMMYFUNCTION("""COMPUTED_VALUE"""),-10.0)</f>
        <v>-10</v>
      </c>
      <c r="AN440" s="16">
        <f>IFERROR(__xludf.DUMMYFUNCTION("""COMPUTED_VALUE"""),1.1)</f>
        <v>1.1</v>
      </c>
      <c r="AO440" s="16">
        <f>IFERROR(__xludf.DUMMYFUNCTION("""COMPUTED_VALUE"""),1.3)</f>
        <v>1.3</v>
      </c>
      <c r="AP440" s="16">
        <f>IFERROR(__xludf.DUMMYFUNCTION("""COMPUTED_VALUE"""),-2.0)</f>
        <v>-2</v>
      </c>
      <c r="AQ440" s="16">
        <f>IFERROR(__xludf.DUMMYFUNCTION("""COMPUTED_VALUE"""),-1.0)</f>
        <v>-1</v>
      </c>
      <c r="AR440" s="16">
        <f>IFERROR(__xludf.DUMMYFUNCTION("""COMPUTED_VALUE"""),-4.0)</f>
        <v>-4</v>
      </c>
      <c r="AS440" s="16">
        <f>IFERROR(__xludf.DUMMYFUNCTION("""COMPUTED_VALUE"""),-2.0)</f>
        <v>-2</v>
      </c>
      <c r="AT440" s="16"/>
      <c r="AU440" s="16">
        <f>IFERROR(__xludf.DUMMYFUNCTION("""COMPUTED_VALUE"""),1.0)</f>
        <v>1</v>
      </c>
      <c r="AV440" s="16">
        <f>IFERROR(__xludf.DUMMYFUNCTION("""COMPUTED_VALUE"""),2.0)</f>
        <v>2</v>
      </c>
      <c r="AW440" s="16">
        <f>IFERROR(__xludf.DUMMYFUNCTION("""COMPUTED_VALUE"""),1.0)</f>
        <v>1</v>
      </c>
      <c r="AX440" s="16">
        <f>IFERROR(__xludf.DUMMYFUNCTION("""COMPUTED_VALUE"""),0.0)</f>
        <v>0</v>
      </c>
      <c r="AY440" s="16">
        <f>IFERROR(__xludf.DUMMYFUNCTION("""COMPUTED_VALUE"""),-1.0)</f>
        <v>-1</v>
      </c>
      <c r="AZ440" s="16">
        <f>IFERROR(__xludf.DUMMYFUNCTION("""COMPUTED_VALUE"""),0.0)</f>
        <v>0</v>
      </c>
      <c r="BA440" s="16">
        <f>IFERROR(__xludf.DUMMYFUNCTION("""COMPUTED_VALUE"""),-3.0)</f>
        <v>-3</v>
      </c>
      <c r="BB440" s="16">
        <f>IFERROR(__xludf.DUMMYFUNCTION("""COMPUTED_VALUE"""),0.0)</f>
        <v>0</v>
      </c>
      <c r="BC440" s="16">
        <f>IFERROR(__xludf.DUMMYFUNCTION("""COMPUTED_VALUE"""),5.0)</f>
        <v>5</v>
      </c>
      <c r="BD440" s="16">
        <f>IFERROR(__xludf.DUMMYFUNCTION("""COMPUTED_VALUE"""),0.0)</f>
        <v>0</v>
      </c>
      <c r="BE440" s="16">
        <f>IFERROR(__xludf.DUMMYFUNCTION("""COMPUTED_VALUE"""),1.0)</f>
        <v>1</v>
      </c>
      <c r="BF440" s="16">
        <f>IFERROR(__xludf.DUMMYFUNCTION("""COMPUTED_VALUE"""),0.0)</f>
        <v>0</v>
      </c>
      <c r="BG440" s="16">
        <f>IFERROR(__xludf.DUMMYFUNCTION("""COMPUTED_VALUE"""),1.0)</f>
        <v>1</v>
      </c>
      <c r="BH440" s="16">
        <f>IFERROR(__xludf.DUMMYFUNCTION("""COMPUTED_VALUE"""),0.0)</f>
        <v>0</v>
      </c>
      <c r="BI440" s="16">
        <f>IFERROR(__xludf.DUMMYFUNCTION("""COMPUTED_VALUE"""),6.0)</f>
        <v>6</v>
      </c>
      <c r="BJ440" s="16">
        <f>IFERROR(__xludf.DUMMYFUNCTION("""COMPUTED_VALUE"""),0.0)</f>
        <v>0</v>
      </c>
      <c r="BK440" s="16">
        <f>IFERROR(__xludf.DUMMYFUNCTION("""COMPUTED_VALUE"""),0.0)</f>
        <v>0</v>
      </c>
      <c r="BL440" s="16">
        <f>IFERROR(__xludf.DUMMYFUNCTION("""COMPUTED_VALUE"""),3.0)</f>
        <v>3</v>
      </c>
      <c r="BM440" s="16">
        <f>IFERROR(__xludf.DUMMYFUNCTION("""COMPUTED_VALUE"""),3.0)</f>
        <v>3</v>
      </c>
      <c r="BN440" s="16">
        <f>IFERROR(__xludf.DUMMYFUNCTION("""COMPUTED_VALUE"""),3.0)</f>
        <v>3</v>
      </c>
      <c r="BO440" s="16">
        <f>IFERROR(__xludf.DUMMYFUNCTION("""COMPUTED_VALUE"""),3.0)</f>
        <v>3</v>
      </c>
      <c r="BP440" s="16">
        <f>IFERROR(__xludf.DUMMYFUNCTION("""COMPUTED_VALUE"""),-6.0)</f>
        <v>-6</v>
      </c>
      <c r="BQ440" s="16">
        <f>IFERROR(__xludf.DUMMYFUNCTION("""COMPUTED_VALUE"""),-8.0)</f>
        <v>-8</v>
      </c>
      <c r="BR440" s="16">
        <f>IFERROR(__xludf.DUMMYFUNCTION("""COMPUTED_VALUE"""),-14.0)</f>
        <v>-14</v>
      </c>
      <c r="BS440" s="16" t="str">
        <f>IFERROR(__xludf.DUMMYFUNCTION("""COMPUTED_VALUE"""),"*5/- (20-6)")</f>
        <v>*5/- (20-6)</v>
      </c>
      <c r="BT440" s="16" t="str">
        <f>IFERROR(__xludf.DUMMYFUNCTION("""COMPUTED_VALUE"""),"C")</f>
        <v>C</v>
      </c>
      <c r="BU440" s="16">
        <f>IFERROR(__xludf.DUMMYFUNCTION("""COMPUTED_VALUE"""),14.0)</f>
        <v>14</v>
      </c>
      <c r="BV440" s="16">
        <f>IFERROR(__xludf.DUMMYFUNCTION("""COMPUTED_VALUE"""),0.0)</f>
        <v>0</v>
      </c>
      <c r="BW440" s="16">
        <f>IFERROR(__xludf.DUMMYFUNCTION("""COMPUTED_VALUE"""),1.0)</f>
        <v>1</v>
      </c>
      <c r="BX440" s="16">
        <f>IFERROR(__xludf.DUMMYFUNCTION("""COMPUTED_VALUE"""),0.0)</f>
        <v>0</v>
      </c>
      <c r="BY440" s="16">
        <f>IFERROR(__xludf.DUMMYFUNCTION("""COMPUTED_VALUE"""),3.0)</f>
        <v>3</v>
      </c>
      <c r="BZ440" s="16" t="str">
        <f>IFERROR(__xludf.DUMMYFUNCTION("""COMPUTED_VALUE"""),"D")</f>
        <v>D</v>
      </c>
      <c r="CA440" s="16" t="str">
        <f>IFERROR(__xludf.DUMMYFUNCTION("""COMPUTED_VALUE"""),"D")</f>
        <v>D</v>
      </c>
      <c r="CB440" s="16">
        <f>IFERROR(__xludf.DUMMYFUNCTION("""COMPUTED_VALUE"""),0.0)</f>
        <v>0</v>
      </c>
      <c r="CC440" s="16">
        <f>IFERROR(__xludf.DUMMYFUNCTION("""COMPUTED_VALUE"""),0.0)</f>
        <v>0</v>
      </c>
      <c r="CD440" s="16">
        <f>IFERROR(__xludf.DUMMYFUNCTION("""COMPUTED_VALUE"""),0.0)</f>
        <v>0</v>
      </c>
      <c r="CE440" s="16">
        <f>IFERROR(__xludf.DUMMYFUNCTION("""COMPUTED_VALUE"""),0.0)</f>
        <v>0</v>
      </c>
      <c r="CF440" s="16">
        <f>IFERROR(__xludf.DUMMYFUNCTION("""COMPUTED_VALUE"""),1.0)</f>
        <v>1</v>
      </c>
      <c r="CG440" s="16">
        <f>IFERROR(__xludf.DUMMYFUNCTION("""COMPUTED_VALUE"""),-26.0)</f>
        <v>-26</v>
      </c>
      <c r="CH440" s="16">
        <f>IFERROR(__xludf.DUMMYFUNCTION("""COMPUTED_VALUE"""),-33.0)</f>
        <v>-33</v>
      </c>
      <c r="CI440" s="179">
        <f>IFERROR(__xludf.DUMMYFUNCTION("""COMPUTED_VALUE"""),-29.0)</f>
        <v>-29</v>
      </c>
      <c r="CJ440" s="16"/>
      <c r="CK440" s="16"/>
      <c r="CL440" s="16">
        <f>IFERROR(__xludf.DUMMYFUNCTION("""COMPUTED_VALUE"""),310.0)</f>
        <v>310</v>
      </c>
      <c r="CM440" s="16"/>
      <c r="CN440" s="16">
        <f>IFERROR(__xludf.DUMMYFUNCTION("""COMPUTED_VALUE"""),448.0)</f>
        <v>448</v>
      </c>
      <c r="CO440" s="16"/>
      <c r="CP440" s="16"/>
      <c r="CQ440" s="16"/>
      <c r="CR440" s="16" t="str">
        <f>IFERROR(__xludf.DUMMYFUNCTION("""COMPUTED_VALUE"""),"2b-3e10 ss-4e48")</f>
        <v>2b-3e10 ss-4e48</v>
      </c>
      <c r="CS440" s="16"/>
      <c r="CT440" s="16"/>
      <c r="CU440" s="16">
        <f>IFERROR(__xludf.DUMMYFUNCTION("""COMPUTED_VALUE"""),3.0)</f>
        <v>3</v>
      </c>
      <c r="CV440" s="16"/>
      <c r="CW440" s="16">
        <f>IFERROR(__xludf.DUMMYFUNCTION("""COMPUTED_VALUE"""),4.0)</f>
        <v>4</v>
      </c>
      <c r="CX440" s="16"/>
      <c r="CY440" s="16"/>
      <c r="CZ440" s="16"/>
      <c r="DA440" s="16"/>
      <c r="DB440" s="16"/>
      <c r="DC440" s="16">
        <f>IFERROR(__xludf.DUMMYFUNCTION("""COMPUTED_VALUE"""),10.0)</f>
        <v>10</v>
      </c>
      <c r="DD440" s="16"/>
      <c r="DE440" s="16">
        <f>IFERROR(__xludf.DUMMYFUNCTION("""COMPUTED_VALUE"""),48.0)</f>
        <v>48</v>
      </c>
      <c r="DF440" s="16"/>
      <c r="DG440" s="16"/>
      <c r="DH440" s="16"/>
      <c r="DI440" s="16"/>
      <c r="DJ440" s="16"/>
      <c r="DK440" s="16">
        <f>IFERROR(__xludf.DUMMYFUNCTION("""COMPUTED_VALUE"""),0.0)</f>
        <v>0</v>
      </c>
      <c r="DL440" s="16"/>
      <c r="DM440" s="16">
        <f>IFERROR(__xludf.DUMMYFUNCTION("""COMPUTED_VALUE"""),-2.0)</f>
        <v>-2</v>
      </c>
      <c r="DN440" s="16"/>
      <c r="DO440" s="16"/>
      <c r="DP440" s="16"/>
      <c r="DQ440" s="16"/>
      <c r="DR440" s="16"/>
      <c r="DS440" s="16">
        <f>IFERROR(__xludf.DUMMYFUNCTION("""COMPUTED_VALUE"""),3.0)</f>
        <v>3</v>
      </c>
      <c r="DT440" s="16"/>
      <c r="DU440" s="16">
        <f>IFERROR(__xludf.DUMMYFUNCTION("""COMPUTED_VALUE"""),-2.0)</f>
        <v>-2</v>
      </c>
      <c r="DV440" s="16"/>
      <c r="DW440" s="16"/>
      <c r="DX440" s="16"/>
      <c r="DY440" s="16"/>
      <c r="DZ440" s="16"/>
      <c r="EA440" s="16">
        <f>IFERROR(__xludf.DUMMYFUNCTION("""COMPUTED_VALUE"""),3.0)</f>
        <v>3</v>
      </c>
      <c r="EB440" s="16"/>
      <c r="EC440" s="16">
        <f>IFERROR(__xludf.DUMMYFUNCTION("""COMPUTED_VALUE"""),-4.0)</f>
        <v>-4</v>
      </c>
      <c r="ED440" s="16"/>
      <c r="EE440" s="16"/>
      <c r="EF440" s="16"/>
      <c r="EG440" s="179"/>
      <c r="EH440" s="179"/>
      <c r="EI440" s="179">
        <f>IFERROR(__xludf.DUMMYFUNCTION("""COMPUTED_VALUE"""),-26.0)</f>
        <v>-26</v>
      </c>
      <c r="EJ440" s="179"/>
      <c r="EK440" s="179">
        <f>IFERROR(__xludf.DUMMYFUNCTION("""COMPUTED_VALUE"""),-33.0)</f>
        <v>-33</v>
      </c>
      <c r="EL440" s="179"/>
      <c r="EM440" s="179"/>
      <c r="EN440" s="179"/>
      <c r="EO440" s="16"/>
      <c r="EP440" s="16">
        <f>IFERROR(__xludf.DUMMYFUNCTION("""COMPUTED_VALUE"""),-4.0)</f>
        <v>-4</v>
      </c>
      <c r="EQ440" s="16">
        <f>IFERROR(__xludf.DUMMYFUNCTION("""COMPUTED_VALUE"""),4.0)</f>
        <v>4</v>
      </c>
      <c r="ER440" s="16">
        <f>IFERROR(__xludf.DUMMYFUNCTION("""COMPUTED_VALUE"""),-2.0)</f>
        <v>-2</v>
      </c>
      <c r="ES440" s="16"/>
      <c r="ET440" s="16"/>
      <c r="EU440" s="16"/>
      <c r="EV440" s="16"/>
      <c r="EW440" s="16"/>
      <c r="EX440" s="180"/>
      <c r="EY440" s="180"/>
      <c r="EZ440" s="180">
        <f>IFERROR(__xludf.DUMMYFUNCTION("""COMPUTED_VALUE"""),0.2)</f>
        <v>0.2</v>
      </c>
      <c r="FA440" s="180"/>
      <c r="FB440" s="180">
        <f>IFERROR(__xludf.DUMMYFUNCTION("""COMPUTED_VALUE"""),0.3)</f>
        <v>0.3</v>
      </c>
      <c r="FC440" s="180"/>
      <c r="FD440" s="180"/>
      <c r="FE440" s="180"/>
      <c r="FF440" s="180"/>
      <c r="FG440" s="180"/>
      <c r="FH440" s="180">
        <f>IFERROR(__xludf.DUMMYFUNCTION("""COMPUTED_VALUE"""),0.06018518518518518)</f>
        <v>0.06018518519</v>
      </c>
      <c r="FI440" s="180"/>
      <c r="FJ440" s="180">
        <f>IFERROR(__xludf.DUMMYFUNCTION("""COMPUTED_VALUE"""),0.24537037037037038)</f>
        <v>0.2453703704</v>
      </c>
      <c r="FK440" s="180"/>
      <c r="FL440" s="180"/>
      <c r="FM440" s="180"/>
      <c r="FN440" s="16"/>
      <c r="FO440" s="16"/>
      <c r="FP440" s="16">
        <f>IFERROR(__xludf.DUMMYFUNCTION("""COMPUTED_VALUE"""),0.7518518518518519)</f>
        <v>0.7518518519</v>
      </c>
      <c r="FQ440" s="16"/>
      <c r="FR440" s="16">
        <f>IFERROR(__xludf.DUMMYFUNCTION("""COMPUTED_VALUE"""),0.5282407407407407)</f>
        <v>0.5282407407</v>
      </c>
      <c r="FS440" s="16"/>
      <c r="FT440" s="16"/>
      <c r="FU440" s="16"/>
      <c r="FV440" s="16"/>
      <c r="FW440" s="16"/>
      <c r="FX440" s="16">
        <f>IFERROR(__xludf.DUMMYFUNCTION("""COMPUTED_VALUE"""),-1.0)</f>
        <v>-1</v>
      </c>
      <c r="FY440" s="16"/>
      <c r="FZ440" s="16">
        <f>IFERROR(__xludf.DUMMYFUNCTION("""COMPUTED_VALUE"""),-8.0)</f>
        <v>-8</v>
      </c>
      <c r="GA440" s="16"/>
      <c r="GB440" s="16"/>
      <c r="GC440" s="16"/>
      <c r="GD440" s="16" t="s">
        <v>176</v>
      </c>
    </row>
    <row r="441">
      <c r="A441" s="16">
        <f>IFERROR(__xludf.DUMMYFUNCTION("""COMPUTED_VALUE"""),13241.0)</f>
        <v>13241</v>
      </c>
      <c r="B441" s="16" t="str">
        <f>IFERROR(__xludf.DUMMYFUNCTION("""COMPUTED_VALUE"""),"Nick Loftin")</f>
        <v>Nick Loftin</v>
      </c>
      <c r="C441" s="16">
        <f>IFERROR(__xludf.DUMMYFUNCTION("""COMPUTED_VALUE"""),0.2)</f>
        <v>0.2</v>
      </c>
      <c r="D441" s="16" t="str">
        <f>IFERROR(__xludf.DUMMYFUNCTION("""COMPUTED_VALUE"""),"R")</f>
        <v>R</v>
      </c>
      <c r="E441" s="16"/>
      <c r="F441" s="16"/>
      <c r="G441" s="16">
        <f>IFERROR(__xludf.DUMMYFUNCTION("""COMPUTED_VALUE"""),148.0)</f>
        <v>148</v>
      </c>
      <c r="H441" s="16">
        <f>IFERROR(__xludf.DUMMYFUNCTION("""COMPUTED_VALUE"""),19.0)</f>
        <v>19</v>
      </c>
      <c r="I441" s="16" t="str">
        <f>IFERROR(__xludf.DUMMYFUNCTION("""COMPUTED_VALUE"""),"1p30")</f>
        <v>1p30</v>
      </c>
      <c r="J441" s="16">
        <f>IFERROR(__xludf.DUMMYFUNCTION("""COMPUTED_VALUE"""),1.0)</f>
        <v>1</v>
      </c>
      <c r="K441" s="16">
        <f>IFERROR(__xludf.DUMMYFUNCTION("""COMPUTED_VALUE"""),8.0)</f>
        <v>8</v>
      </c>
      <c r="L441" s="16">
        <f>IFERROR(__xludf.DUMMYFUNCTION("""COMPUTED_VALUE"""),2.0)</f>
        <v>2</v>
      </c>
      <c r="M441" s="16">
        <f>IFERROR(__xludf.DUMMYFUNCTION("""COMPUTED_VALUE"""),2.0)</f>
        <v>2</v>
      </c>
      <c r="N441" s="16">
        <f>IFERROR(__xludf.DUMMYFUNCTION("""COMPUTED_VALUE"""),2.0)</f>
        <v>2</v>
      </c>
      <c r="O441" s="16">
        <f>IFERROR(__xludf.DUMMYFUNCTION("""COMPUTED_VALUE"""),2.0)</f>
        <v>2</v>
      </c>
      <c r="P441" s="16">
        <f>IFERROR(__xludf.DUMMYFUNCTION("""COMPUTED_VALUE"""),13.0)</f>
        <v>13</v>
      </c>
      <c r="Q441" s="16">
        <f>IFERROR(__xludf.DUMMYFUNCTION("""COMPUTED_VALUE"""),18.0)</f>
        <v>18</v>
      </c>
      <c r="R441" s="16">
        <f>IFERROR(__xludf.DUMMYFUNCTION("""COMPUTED_VALUE"""),2.0)</f>
        <v>2</v>
      </c>
      <c r="S441" s="16">
        <f>IFERROR(__xludf.DUMMYFUNCTION("""COMPUTED_VALUE"""),3.0)</f>
        <v>3</v>
      </c>
      <c r="T441" s="16">
        <f>IFERROR(__xludf.DUMMYFUNCTION("""COMPUTED_VALUE"""),2.0)</f>
        <v>2</v>
      </c>
      <c r="U441" s="16">
        <f>IFERROR(__xludf.DUMMYFUNCTION("""COMPUTED_VALUE"""),3.0)</f>
        <v>3</v>
      </c>
      <c r="V441" s="16">
        <f>IFERROR(__xludf.DUMMYFUNCTION("""COMPUTED_VALUE"""),13.3)</f>
        <v>13.3</v>
      </c>
      <c r="W441" s="16">
        <f>IFERROR(__xludf.DUMMYFUNCTION("""COMPUTED_VALUE"""),4.3)</f>
        <v>4.3</v>
      </c>
      <c r="X441" s="16">
        <f>IFERROR(__xludf.DUMMYFUNCTION("""COMPUTED_VALUE"""),-1.0)</f>
        <v>-1</v>
      </c>
      <c r="Y441" s="16">
        <f>IFERROR(__xludf.DUMMYFUNCTION("""COMPUTED_VALUE"""),-3.0)</f>
        <v>-3</v>
      </c>
      <c r="Z441" s="16">
        <f>IFERROR(__xludf.DUMMYFUNCTION("""COMPUTED_VALUE"""),-2.0)</f>
        <v>-2</v>
      </c>
      <c r="AA441" s="16">
        <f>IFERROR(__xludf.DUMMYFUNCTION("""COMPUTED_VALUE"""),-6.0)</f>
        <v>-6</v>
      </c>
      <c r="AB441" s="16">
        <f>IFERROR(__xludf.DUMMYFUNCTION("""COMPUTED_VALUE"""),27.3)</f>
        <v>27.3</v>
      </c>
      <c r="AC441" s="16">
        <f>IFERROR(__xludf.DUMMYFUNCTION("""COMPUTED_VALUE"""),23.3)</f>
        <v>23.3</v>
      </c>
      <c r="AD441" s="16">
        <f>IFERROR(__xludf.DUMMYFUNCTION("""COMPUTED_VALUE"""),0.0)</f>
        <v>0</v>
      </c>
      <c r="AE441" s="16">
        <f>IFERROR(__xludf.DUMMYFUNCTION("""COMPUTED_VALUE"""),-1.0)</f>
        <v>-1</v>
      </c>
      <c r="AF441" s="16">
        <f>IFERROR(__xludf.DUMMYFUNCTION("""COMPUTED_VALUE"""),0.0)</f>
        <v>0</v>
      </c>
      <c r="AG441" s="16">
        <f>IFERROR(__xludf.DUMMYFUNCTION("""COMPUTED_VALUE"""),-5.0)</f>
        <v>-5</v>
      </c>
      <c r="AH441" s="16">
        <f>IFERROR(__xludf.DUMMYFUNCTION("""COMPUTED_VALUE"""),15.8)</f>
        <v>15.8</v>
      </c>
      <c r="AI441" s="16">
        <f>IFERROR(__xludf.DUMMYFUNCTION("""COMPUTED_VALUE"""),6.5)</f>
        <v>6.5</v>
      </c>
      <c r="AJ441" s="16">
        <f>IFERROR(__xludf.DUMMYFUNCTION("""COMPUTED_VALUE"""),-1.0)</f>
        <v>-1</v>
      </c>
      <c r="AK441" s="16">
        <f>IFERROR(__xludf.DUMMYFUNCTION("""COMPUTED_VALUE"""),-3.0)</f>
        <v>-3</v>
      </c>
      <c r="AL441" s="16">
        <f>IFERROR(__xludf.DUMMYFUNCTION("""COMPUTED_VALUE"""),-5.0)</f>
        <v>-5</v>
      </c>
      <c r="AM441" s="16">
        <f>IFERROR(__xludf.DUMMYFUNCTION("""COMPUTED_VALUE"""),-15.0)</f>
        <v>-15</v>
      </c>
      <c r="AN441" s="16">
        <f>IFERROR(__xludf.DUMMYFUNCTION("""COMPUTED_VALUE"""),0.9)</f>
        <v>0.9</v>
      </c>
      <c r="AO441" s="16">
        <f>IFERROR(__xludf.DUMMYFUNCTION("""COMPUTED_VALUE"""),0.0)</f>
        <v>0</v>
      </c>
      <c r="AP441" s="16">
        <f>IFERROR(__xludf.DUMMYFUNCTION("""COMPUTED_VALUE"""),-2.0)</f>
        <v>-2</v>
      </c>
      <c r="AQ441" s="16">
        <f>IFERROR(__xludf.DUMMYFUNCTION("""COMPUTED_VALUE"""),-3.0)</f>
        <v>-3</v>
      </c>
      <c r="AR441" s="16">
        <f>IFERROR(__xludf.DUMMYFUNCTION("""COMPUTED_VALUE"""),-4.0)</f>
        <v>-4</v>
      </c>
      <c r="AS441" s="16">
        <f>IFERROR(__xludf.DUMMYFUNCTION("""COMPUTED_VALUE"""),-6.0)</f>
        <v>-6</v>
      </c>
      <c r="AT441" s="16">
        <f>IFERROR(__xludf.DUMMYFUNCTION("""COMPUTED_VALUE"""),0.0)</f>
        <v>0</v>
      </c>
      <c r="AU441" s="16"/>
      <c r="AV441" s="16">
        <f>IFERROR(__xludf.DUMMYFUNCTION("""COMPUTED_VALUE"""),0.0)</f>
        <v>0</v>
      </c>
      <c r="AW441" s="16">
        <f>IFERROR(__xludf.DUMMYFUNCTION("""COMPUTED_VALUE"""),-3.0)</f>
        <v>-3</v>
      </c>
      <c r="AX441" s="16">
        <f>IFERROR(__xludf.DUMMYFUNCTION("""COMPUTED_VALUE"""),-2.0)</f>
        <v>-2</v>
      </c>
      <c r="AY441" s="16">
        <f>IFERROR(__xludf.DUMMYFUNCTION("""COMPUTED_VALUE"""),-3.0)</f>
        <v>-3</v>
      </c>
      <c r="AZ441" s="16">
        <f>IFERROR(__xludf.DUMMYFUNCTION("""COMPUTED_VALUE"""),-6.0)</f>
        <v>-6</v>
      </c>
      <c r="BA441" s="16">
        <f>IFERROR(__xludf.DUMMYFUNCTION("""COMPUTED_VALUE"""),-9.0)</f>
        <v>-9</v>
      </c>
      <c r="BB441" s="16">
        <f>IFERROR(__xludf.DUMMYFUNCTION("""COMPUTED_VALUE"""),5.0)</f>
        <v>5</v>
      </c>
      <c r="BC441" s="16">
        <f>IFERROR(__xludf.DUMMYFUNCTION("""COMPUTED_VALUE"""),5.0)</f>
        <v>5</v>
      </c>
      <c r="BD441" s="16">
        <f>IFERROR(__xludf.DUMMYFUNCTION("""COMPUTED_VALUE"""),1.0)</f>
        <v>1</v>
      </c>
      <c r="BE441" s="16">
        <f>IFERROR(__xludf.DUMMYFUNCTION("""COMPUTED_VALUE"""),1.0)</f>
        <v>1</v>
      </c>
      <c r="BF441" s="16">
        <f>IFERROR(__xludf.DUMMYFUNCTION("""COMPUTED_VALUE"""),1.0)</f>
        <v>1</v>
      </c>
      <c r="BG441" s="16">
        <f>IFERROR(__xludf.DUMMYFUNCTION("""COMPUTED_VALUE"""),1.0)</f>
        <v>1</v>
      </c>
      <c r="BH441" s="16">
        <f>IFERROR(__xludf.DUMMYFUNCTION("""COMPUTED_VALUE"""),6.0)</f>
        <v>6</v>
      </c>
      <c r="BI441" s="16">
        <f>IFERROR(__xludf.DUMMYFUNCTION("""COMPUTED_VALUE"""),5.0)</f>
        <v>5</v>
      </c>
      <c r="BJ441" s="16">
        <f>IFERROR(__xludf.DUMMYFUNCTION("""COMPUTED_VALUE"""),17.0)</f>
        <v>17</v>
      </c>
      <c r="BK441" s="16">
        <f>IFERROR(__xludf.DUMMYFUNCTION("""COMPUTED_VALUE"""),16.0)</f>
        <v>16</v>
      </c>
      <c r="BL441" s="16">
        <f>IFERROR(__xludf.DUMMYFUNCTION("""COMPUTED_VALUE"""),-1.0)</f>
        <v>-1</v>
      </c>
      <c r="BM441" s="16">
        <f>IFERROR(__xludf.DUMMYFUNCTION("""COMPUTED_VALUE"""),-1.0)</f>
        <v>-1</v>
      </c>
      <c r="BN441" s="16">
        <f>IFERROR(__xludf.DUMMYFUNCTION("""COMPUTED_VALUE"""),-2.0)</f>
        <v>-2</v>
      </c>
      <c r="BO441" s="16">
        <f>IFERROR(__xludf.DUMMYFUNCTION("""COMPUTED_VALUE"""),-2.0)</f>
        <v>-2</v>
      </c>
      <c r="BP441" s="16">
        <f>IFERROR(__xludf.DUMMYFUNCTION("""COMPUTED_VALUE"""),-2.0)</f>
        <v>-2</v>
      </c>
      <c r="BQ441" s="16">
        <f>IFERROR(__xludf.DUMMYFUNCTION("""COMPUTED_VALUE"""),-8.0)</f>
        <v>-8</v>
      </c>
      <c r="BR441" s="16">
        <f>IFERROR(__xludf.DUMMYFUNCTION("""COMPUTED_VALUE"""),-10.0)</f>
        <v>-10</v>
      </c>
      <c r="BS441" s="16" t="str">
        <f>IFERROR(__xludf.DUMMYFUNCTION("""COMPUTED_VALUE"""),"2/- (20-6)")</f>
        <v>2/- (20-6)</v>
      </c>
      <c r="BT441" s="16" t="str">
        <f>IFERROR(__xludf.DUMMYFUNCTION("""COMPUTED_VALUE"""),"E")</f>
        <v>E</v>
      </c>
      <c r="BU441" s="16">
        <f>IFERROR(__xludf.DUMMYFUNCTION("""COMPUTED_VALUE"""),12.0)</f>
        <v>12</v>
      </c>
      <c r="BV441" s="16">
        <f>IFERROR(__xludf.DUMMYFUNCTION("""COMPUTED_VALUE"""),0.0)</f>
        <v>0</v>
      </c>
      <c r="BW441" s="16">
        <f>IFERROR(__xludf.DUMMYFUNCTION("""COMPUTED_VALUE"""),0.0)</f>
        <v>0</v>
      </c>
      <c r="BX441" s="16">
        <f>IFERROR(__xludf.DUMMYFUNCTION("""COMPUTED_VALUE"""),0.0)</f>
        <v>0</v>
      </c>
      <c r="BY441" s="16">
        <f>IFERROR(__xludf.DUMMYFUNCTION("""COMPUTED_VALUE"""),0.0)</f>
        <v>0</v>
      </c>
      <c r="BZ441" s="16" t="str">
        <f>IFERROR(__xludf.DUMMYFUNCTION("""COMPUTED_VALUE"""),"D")</f>
        <v>D</v>
      </c>
      <c r="CA441" s="16" t="str">
        <f>IFERROR(__xludf.DUMMYFUNCTION("""COMPUTED_VALUE"""),"C")</f>
        <v>C</v>
      </c>
      <c r="CB441" s="16">
        <f>IFERROR(__xludf.DUMMYFUNCTION("""COMPUTED_VALUE"""),0.0)</f>
        <v>0</v>
      </c>
      <c r="CC441" s="16">
        <f>IFERROR(__xludf.DUMMYFUNCTION("""COMPUTED_VALUE"""),0.0)</f>
        <v>0</v>
      </c>
      <c r="CD441" s="16">
        <f>IFERROR(__xludf.DUMMYFUNCTION("""COMPUTED_VALUE"""),0.0)</f>
        <v>0</v>
      </c>
      <c r="CE441" s="16">
        <f>IFERROR(__xludf.DUMMYFUNCTION("""COMPUTED_VALUE"""),0.0)</f>
        <v>0</v>
      </c>
      <c r="CF441" s="16">
        <f>IFERROR(__xludf.DUMMYFUNCTION("""COMPUTED_VALUE"""),1.0)</f>
        <v>1</v>
      </c>
      <c r="CG441" s="16">
        <f>IFERROR(__xludf.DUMMYFUNCTION("""COMPUTED_VALUE"""),-14.0)</f>
        <v>-14</v>
      </c>
      <c r="CH441" s="16">
        <f>IFERROR(__xludf.DUMMYFUNCTION("""COMPUTED_VALUE"""),-37.0)</f>
        <v>-37</v>
      </c>
      <c r="CI441" s="179">
        <f>IFERROR(__xludf.DUMMYFUNCTION("""COMPUTED_VALUE"""),-29.0)</f>
        <v>-29</v>
      </c>
      <c r="CJ441" s="16"/>
      <c r="CK441" s="16">
        <f>IFERROR(__xludf.DUMMYFUNCTION("""COMPUTED_VALUE"""),430.0)</f>
        <v>430</v>
      </c>
      <c r="CL441" s="16">
        <f>IFERROR(__xludf.DUMMYFUNCTION("""COMPUTED_VALUE"""),315.0)</f>
        <v>315</v>
      </c>
      <c r="CM441" s="16">
        <f>IFERROR(__xludf.DUMMYFUNCTION("""COMPUTED_VALUE"""),312.0)</f>
        <v>312</v>
      </c>
      <c r="CN441" s="16"/>
      <c r="CO441" s="16">
        <f>IFERROR(__xludf.DUMMYFUNCTION("""COMPUTED_VALUE"""),413.0)</f>
        <v>413</v>
      </c>
      <c r="CP441" s="16"/>
      <c r="CQ441" s="16"/>
      <c r="CR441" s="16" t="str">
        <f>IFERROR(__xludf.DUMMYFUNCTION("""COMPUTED_VALUE"""),"2b-3e15 3b-3e12 1b-4e30 lf-4(+2)e13")</f>
        <v>2b-3e15 3b-3e12 1b-4e30 lf-4(+2)e13</v>
      </c>
      <c r="CS441" s="16"/>
      <c r="CT441" s="16">
        <f>IFERROR(__xludf.DUMMYFUNCTION("""COMPUTED_VALUE"""),4.0)</f>
        <v>4</v>
      </c>
      <c r="CU441" s="16">
        <f>IFERROR(__xludf.DUMMYFUNCTION("""COMPUTED_VALUE"""),3.0)</f>
        <v>3</v>
      </c>
      <c r="CV441" s="16">
        <f>IFERROR(__xludf.DUMMYFUNCTION("""COMPUTED_VALUE"""),3.0)</f>
        <v>3</v>
      </c>
      <c r="CW441" s="16"/>
      <c r="CX441" s="16">
        <f>IFERROR(__xludf.DUMMYFUNCTION("""COMPUTED_VALUE"""),4.0)</f>
        <v>4</v>
      </c>
      <c r="CY441" s="16"/>
      <c r="CZ441" s="16"/>
      <c r="DA441" s="16"/>
      <c r="DB441" s="16">
        <f>IFERROR(__xludf.DUMMYFUNCTION("""COMPUTED_VALUE"""),30.0)</f>
        <v>30</v>
      </c>
      <c r="DC441" s="16">
        <f>IFERROR(__xludf.DUMMYFUNCTION("""COMPUTED_VALUE"""),15.0)</f>
        <v>15</v>
      </c>
      <c r="DD441" s="16">
        <f>IFERROR(__xludf.DUMMYFUNCTION("""COMPUTED_VALUE"""),12.0)</f>
        <v>12</v>
      </c>
      <c r="DE441" s="16"/>
      <c r="DF441" s="16">
        <f>IFERROR(__xludf.DUMMYFUNCTION("""COMPUTED_VALUE"""),13.0)</f>
        <v>13</v>
      </c>
      <c r="DG441" s="16"/>
      <c r="DH441" s="16"/>
      <c r="DI441" s="16"/>
      <c r="DJ441" s="16">
        <f>IFERROR(__xludf.DUMMYFUNCTION("""COMPUTED_VALUE"""),0.0)</f>
        <v>0</v>
      </c>
      <c r="DK441" s="16">
        <f>IFERROR(__xludf.DUMMYFUNCTION("""COMPUTED_VALUE"""),0.0)</f>
        <v>0</v>
      </c>
      <c r="DL441" s="16">
        <f>IFERROR(__xludf.DUMMYFUNCTION("""COMPUTED_VALUE"""),1.0)</f>
        <v>1</v>
      </c>
      <c r="DM441" s="16"/>
      <c r="DN441" s="16">
        <f>IFERROR(__xludf.DUMMYFUNCTION("""COMPUTED_VALUE"""),-1.0)</f>
        <v>-1</v>
      </c>
      <c r="DO441" s="16"/>
      <c r="DP441" s="16"/>
      <c r="DQ441" s="16"/>
      <c r="DR441" s="16">
        <f>IFERROR(__xludf.DUMMYFUNCTION("""COMPUTED_VALUE"""),-2.0)</f>
        <v>-2</v>
      </c>
      <c r="DS441" s="16">
        <f>IFERROR(__xludf.DUMMYFUNCTION("""COMPUTED_VALUE"""),2.0)</f>
        <v>2</v>
      </c>
      <c r="DT441" s="16">
        <f>IFERROR(__xludf.DUMMYFUNCTION("""COMPUTED_VALUE"""),1.0)</f>
        <v>1</v>
      </c>
      <c r="DU441" s="16"/>
      <c r="DV441" s="16">
        <f>IFERROR(__xludf.DUMMYFUNCTION("""COMPUTED_VALUE"""),-2.0)</f>
        <v>-2</v>
      </c>
      <c r="DW441" s="16"/>
      <c r="DX441" s="16"/>
      <c r="DY441" s="16"/>
      <c r="DZ441" s="16">
        <f>IFERROR(__xludf.DUMMYFUNCTION("""COMPUTED_VALUE"""),-2.0)</f>
        <v>-2</v>
      </c>
      <c r="EA441" s="16">
        <f>IFERROR(__xludf.DUMMYFUNCTION("""COMPUTED_VALUE"""),2.0)</f>
        <v>2</v>
      </c>
      <c r="EB441" s="16">
        <f>IFERROR(__xludf.DUMMYFUNCTION("""COMPUTED_VALUE"""),2.0)</f>
        <v>2</v>
      </c>
      <c r="EC441" s="16"/>
      <c r="ED441" s="16">
        <f>IFERROR(__xludf.DUMMYFUNCTION("""COMPUTED_VALUE"""),-3.0)</f>
        <v>-3</v>
      </c>
      <c r="EE441" s="16"/>
      <c r="EF441" s="16"/>
      <c r="EG441" s="179"/>
      <c r="EH441" s="179">
        <f>IFERROR(__xludf.DUMMYFUNCTION("""COMPUTED_VALUE"""),-31.0)</f>
        <v>-31</v>
      </c>
      <c r="EI441" s="179">
        <f>IFERROR(__xludf.DUMMYFUNCTION("""COMPUTED_VALUE"""),-27.0)</f>
        <v>-27</v>
      </c>
      <c r="EJ441" s="179">
        <f>IFERROR(__xludf.DUMMYFUNCTION("""COMPUTED_VALUE"""),-27.0)</f>
        <v>-27</v>
      </c>
      <c r="EK441" s="179"/>
      <c r="EL441" s="179">
        <f>IFERROR(__xludf.DUMMYFUNCTION("""COMPUTED_VALUE"""),-32.0)</f>
        <v>-32</v>
      </c>
      <c r="EM441" s="179"/>
      <c r="EN441" s="179"/>
      <c r="EO441" s="16"/>
      <c r="EP441" s="16">
        <f>IFERROR(__xludf.DUMMYFUNCTION("""COMPUTED_VALUE"""),2.0)</f>
        <v>2</v>
      </c>
      <c r="EQ441" s="16">
        <f>IFERROR(__xludf.DUMMYFUNCTION("""COMPUTED_VALUE"""),4.0)</f>
        <v>4</v>
      </c>
      <c r="ER441" s="16">
        <f>IFERROR(__xludf.DUMMYFUNCTION("""COMPUTED_VALUE"""),-2.0)</f>
        <v>-2</v>
      </c>
      <c r="ES441" s="16"/>
      <c r="ET441" s="16"/>
      <c r="EU441" s="16"/>
      <c r="EV441" s="16"/>
      <c r="EW441" s="16"/>
      <c r="EX441" s="180"/>
      <c r="EY441" s="180">
        <f>IFERROR(__xludf.DUMMYFUNCTION("""COMPUTED_VALUE"""),0.3)</f>
        <v>0.3</v>
      </c>
      <c r="EZ441" s="180">
        <f>IFERROR(__xludf.DUMMYFUNCTION("""COMPUTED_VALUE"""),0.2)</f>
        <v>0.2</v>
      </c>
      <c r="FA441" s="180">
        <f>IFERROR(__xludf.DUMMYFUNCTION("""COMPUTED_VALUE"""),0.2)</f>
        <v>0.2</v>
      </c>
      <c r="FB441" s="180"/>
      <c r="FC441" s="180">
        <f>IFERROR(__xludf.DUMMYFUNCTION("""COMPUTED_VALUE"""),0.55)</f>
        <v>0.55</v>
      </c>
      <c r="FD441" s="180"/>
      <c r="FE441" s="180"/>
      <c r="FF441" s="180"/>
      <c r="FG441" s="180">
        <f>IFERROR(__xludf.DUMMYFUNCTION("""COMPUTED_VALUE"""),0.5370370370370371)</f>
        <v>0.537037037</v>
      </c>
      <c r="FH441" s="180">
        <f>IFERROR(__xludf.DUMMYFUNCTION("""COMPUTED_VALUE"""),0.09259259259259259)</f>
        <v>0.09259259259</v>
      </c>
      <c r="FI441" s="180">
        <f>IFERROR(__xludf.DUMMYFUNCTION("""COMPUTED_VALUE"""),0.14351851851851852)</f>
        <v>0.1435185185</v>
      </c>
      <c r="FJ441" s="180"/>
      <c r="FK441" s="180">
        <f>IFERROR(__xludf.DUMMYFUNCTION("""COMPUTED_VALUE"""),0.236)</f>
        <v>0.236</v>
      </c>
      <c r="FL441" s="180"/>
      <c r="FM441" s="180"/>
      <c r="FN441" s="16"/>
      <c r="FO441" s="16">
        <f>IFERROR(__xludf.DUMMYFUNCTION("""COMPUTED_VALUE"""),0.324074074074074)</f>
        <v>0.3240740741</v>
      </c>
      <c r="FP441" s="16">
        <f>IFERROR(__xludf.DUMMYFUNCTION("""COMPUTED_VALUE"""),0.725925925925926)</f>
        <v>0.7259259259</v>
      </c>
      <c r="FQ441" s="16">
        <f>IFERROR(__xludf.DUMMYFUNCTION("""COMPUTED_VALUE"""),0.6851851851851852)</f>
        <v>0.6851851852</v>
      </c>
      <c r="FR441" s="16"/>
      <c r="FS441" s="16">
        <f>IFERROR(__xludf.DUMMYFUNCTION("""COMPUTED_VALUE"""),0.3438)</f>
        <v>0.3438</v>
      </c>
      <c r="FT441" s="16"/>
      <c r="FU441" s="16"/>
      <c r="FV441" s="16"/>
      <c r="FW441" s="16">
        <f>IFERROR(__xludf.DUMMYFUNCTION("""COMPUTED_VALUE"""),-8.0)</f>
        <v>-8</v>
      </c>
      <c r="FX441" s="16">
        <f>IFERROR(__xludf.DUMMYFUNCTION("""COMPUTED_VALUE"""),-4.0)</f>
        <v>-4</v>
      </c>
      <c r="FY441" s="16">
        <f>IFERROR(__xludf.DUMMYFUNCTION("""COMPUTED_VALUE"""),-4.0)</f>
        <v>-4</v>
      </c>
      <c r="FZ441" s="16"/>
      <c r="GA441" s="16">
        <f>IFERROR(__xludf.DUMMYFUNCTION("""COMPUTED_VALUE"""),-10.0)</f>
        <v>-10</v>
      </c>
      <c r="GB441" s="16"/>
      <c r="GC441" s="16"/>
      <c r="GD441" s="16" t="s">
        <v>176</v>
      </c>
    </row>
    <row r="442">
      <c r="A442" s="16">
        <f>IFERROR(__xludf.DUMMYFUNCTION("""COMPUTED_VALUE"""),12525.0)</f>
        <v>12525</v>
      </c>
      <c r="B442" s="16" t="str">
        <f>IFERROR(__xludf.DUMMYFUNCTION("""COMPUTED_VALUE"""),"Alex Kirilloff")</f>
        <v>Alex Kirilloff</v>
      </c>
      <c r="C442" s="16">
        <f>IFERROR(__xludf.DUMMYFUNCTION("""COMPUTED_VALUE"""),0.0)</f>
        <v>0</v>
      </c>
      <c r="D442" s="16" t="str">
        <f>IFERROR(__xludf.DUMMYFUNCTION("""COMPUTED_VALUE"""),"L")</f>
        <v>L</v>
      </c>
      <c r="E442" s="16"/>
      <c r="F442" s="16"/>
      <c r="G442" s="16">
        <f>IFERROR(__xludf.DUMMYFUNCTION("""COMPUTED_VALUE"""),159.0)</f>
        <v>159</v>
      </c>
      <c r="H442" s="16">
        <f>IFERROR(__xludf.DUMMYFUNCTION("""COMPUTED_VALUE"""),15.0)</f>
        <v>15</v>
      </c>
      <c r="I442" s="16" t="str">
        <f>IFERROR(__xludf.DUMMYFUNCTION("""COMPUTED_VALUE"""),"5p30")</f>
        <v>5p30</v>
      </c>
      <c r="J442" s="16">
        <f>IFERROR(__xludf.DUMMYFUNCTION("""COMPUTED_VALUE"""),0.0)</f>
        <v>0</v>
      </c>
      <c r="K442" s="16">
        <f>IFERROR(__xludf.DUMMYFUNCTION("""COMPUTED_VALUE"""),36.0)</f>
        <v>36</v>
      </c>
      <c r="L442" s="16">
        <f>IFERROR(__xludf.DUMMYFUNCTION("""COMPUTED_VALUE"""),3.0)</f>
        <v>3</v>
      </c>
      <c r="M442" s="16">
        <f>IFERROR(__xludf.DUMMYFUNCTION("""COMPUTED_VALUE"""),-1.0)</f>
        <v>-1</v>
      </c>
      <c r="N442" s="16">
        <f>IFERROR(__xludf.DUMMYFUNCTION("""COMPUTED_VALUE"""),3.0)</f>
        <v>3</v>
      </c>
      <c r="O442" s="16">
        <f>IFERROR(__xludf.DUMMYFUNCTION("""COMPUTED_VALUE"""),-1.0)</f>
        <v>-1</v>
      </c>
      <c r="P442" s="16">
        <f>IFERROR(__xludf.DUMMYFUNCTION("""COMPUTED_VALUE"""),0.0)</f>
        <v>0</v>
      </c>
      <c r="Q442" s="16">
        <f>IFERROR(__xludf.DUMMYFUNCTION("""COMPUTED_VALUE"""),9.0)</f>
        <v>9</v>
      </c>
      <c r="R442" s="16">
        <f>IFERROR(__xludf.DUMMYFUNCTION("""COMPUTED_VALUE"""),-3.0)</f>
        <v>-3</v>
      </c>
      <c r="S442" s="16">
        <f>IFERROR(__xludf.DUMMYFUNCTION("""COMPUTED_VALUE"""),0.0)</f>
        <v>0</v>
      </c>
      <c r="T442" s="16">
        <f>IFERROR(__xludf.DUMMYFUNCTION("""COMPUTED_VALUE"""),-3.0)</f>
        <v>-3</v>
      </c>
      <c r="U442" s="16">
        <f>IFERROR(__xludf.DUMMYFUNCTION("""COMPUTED_VALUE"""),0.0)</f>
        <v>0</v>
      </c>
      <c r="V442" s="16">
        <f>IFERROR(__xludf.DUMMYFUNCTION("""COMPUTED_VALUE"""),7.9)</f>
        <v>7.9</v>
      </c>
      <c r="W442" s="16">
        <f>IFERROR(__xludf.DUMMYFUNCTION("""COMPUTED_VALUE"""),11.7)</f>
        <v>11.7</v>
      </c>
      <c r="X442" s="16">
        <f>IFERROR(__xludf.DUMMYFUNCTION("""COMPUTED_VALUE"""),-2.0)</f>
        <v>-2</v>
      </c>
      <c r="Y442" s="16">
        <f>IFERROR(__xludf.DUMMYFUNCTION("""COMPUTED_VALUE"""),-2.0)</f>
        <v>-2</v>
      </c>
      <c r="Z442" s="16">
        <f>IFERROR(__xludf.DUMMYFUNCTION("""COMPUTED_VALUE"""),-4.0)</f>
        <v>-4</v>
      </c>
      <c r="AA442" s="16">
        <f>IFERROR(__xludf.DUMMYFUNCTION("""COMPUTED_VALUE"""),-4.0)</f>
        <v>-4</v>
      </c>
      <c r="AB442" s="16">
        <f>IFERROR(__xludf.DUMMYFUNCTION("""COMPUTED_VALUE"""),8.9)</f>
        <v>8.9</v>
      </c>
      <c r="AC442" s="16">
        <f>IFERROR(__xludf.DUMMYFUNCTION("""COMPUTED_VALUE"""),21.7)</f>
        <v>21.7</v>
      </c>
      <c r="AD442" s="16">
        <f>IFERROR(__xludf.DUMMYFUNCTION("""COMPUTED_VALUE"""),-2.0)</f>
        <v>-2</v>
      </c>
      <c r="AE442" s="16">
        <f>IFERROR(__xludf.DUMMYFUNCTION("""COMPUTED_VALUE"""),-2.0)</f>
        <v>-2</v>
      </c>
      <c r="AF442" s="16">
        <f>IFERROR(__xludf.DUMMYFUNCTION("""COMPUTED_VALUE"""),-10.0)</f>
        <v>-10</v>
      </c>
      <c r="AG442" s="16">
        <f>IFERROR(__xludf.DUMMYFUNCTION("""COMPUTED_VALUE"""),-10.0)</f>
        <v>-10</v>
      </c>
      <c r="AH442" s="16">
        <f>IFERROR(__xludf.DUMMYFUNCTION("""COMPUTED_VALUE"""),7.9)</f>
        <v>7.9</v>
      </c>
      <c r="AI442" s="16">
        <f>IFERROR(__xludf.DUMMYFUNCTION("""COMPUTED_VALUE"""),28.8)</f>
        <v>28.8</v>
      </c>
      <c r="AJ442" s="16">
        <f>IFERROR(__xludf.DUMMYFUNCTION("""COMPUTED_VALUE"""),-2.0)</f>
        <v>-2</v>
      </c>
      <c r="AK442" s="16">
        <f>IFERROR(__xludf.DUMMYFUNCTION("""COMPUTED_VALUE"""),0.0)</f>
        <v>0</v>
      </c>
      <c r="AL442" s="16">
        <f>IFERROR(__xludf.DUMMYFUNCTION("""COMPUTED_VALUE"""),-10.0)</f>
        <v>-10</v>
      </c>
      <c r="AM442" s="16">
        <f>IFERROR(__xludf.DUMMYFUNCTION("""COMPUTED_VALUE"""),0.0)</f>
        <v>0</v>
      </c>
      <c r="AN442" s="16">
        <f>IFERROR(__xludf.DUMMYFUNCTION("""COMPUTED_VALUE"""),0.0)</f>
        <v>0</v>
      </c>
      <c r="AO442" s="16">
        <f>IFERROR(__xludf.DUMMYFUNCTION("""COMPUTED_VALUE"""),1.9)</f>
        <v>1.9</v>
      </c>
      <c r="AP442" s="16">
        <f>IFERROR(__xludf.DUMMYFUNCTION("""COMPUTED_VALUE"""),-2.0)</f>
        <v>-2</v>
      </c>
      <c r="AQ442" s="16">
        <f>IFERROR(__xludf.DUMMYFUNCTION("""COMPUTED_VALUE"""),-1.0)</f>
        <v>-1</v>
      </c>
      <c r="AR442" s="16">
        <f>IFERROR(__xludf.DUMMYFUNCTION("""COMPUTED_VALUE"""),-4.0)</f>
        <v>-4</v>
      </c>
      <c r="AS442" s="16">
        <f>IFERROR(__xludf.DUMMYFUNCTION("""COMPUTED_VALUE"""),-2.0)</f>
        <v>-2</v>
      </c>
      <c r="AT442" s="16"/>
      <c r="AU442" s="16">
        <f>IFERROR(__xludf.DUMMYFUNCTION("""COMPUTED_VALUE"""),2.0)</f>
        <v>2</v>
      </c>
      <c r="AV442" s="16">
        <f>IFERROR(__xludf.DUMMYFUNCTION("""COMPUTED_VALUE"""),-3.0)</f>
        <v>-3</v>
      </c>
      <c r="AW442" s="16">
        <f>IFERROR(__xludf.DUMMYFUNCTION("""COMPUTED_VALUE"""),2.0)</f>
        <v>2</v>
      </c>
      <c r="AX442" s="16">
        <f>IFERROR(__xludf.DUMMYFUNCTION("""COMPUTED_VALUE"""),-3.0)</f>
        <v>-3</v>
      </c>
      <c r="AY442" s="16">
        <f>IFERROR(__xludf.DUMMYFUNCTION("""COMPUTED_VALUE"""),0.0)</f>
        <v>0</v>
      </c>
      <c r="AZ442" s="16">
        <f>IFERROR(__xludf.DUMMYFUNCTION("""COMPUTED_VALUE"""),-9.0)</f>
        <v>-9</v>
      </c>
      <c r="BA442" s="16">
        <f>IFERROR(__xludf.DUMMYFUNCTION("""COMPUTED_VALUE"""),0.0)</f>
        <v>0</v>
      </c>
      <c r="BB442" s="16">
        <f>IFERROR(__xludf.DUMMYFUNCTION("""COMPUTED_VALUE"""),5.0)</f>
        <v>5</v>
      </c>
      <c r="BC442" s="16">
        <f>IFERROR(__xludf.DUMMYFUNCTION("""COMPUTED_VALUE"""),5.0)</f>
        <v>5</v>
      </c>
      <c r="BD442" s="16">
        <f>IFERROR(__xludf.DUMMYFUNCTION("""COMPUTED_VALUE"""),1.0)</f>
        <v>1</v>
      </c>
      <c r="BE442" s="16">
        <f>IFERROR(__xludf.DUMMYFUNCTION("""COMPUTED_VALUE"""),1.0)</f>
        <v>1</v>
      </c>
      <c r="BF442" s="16">
        <f>IFERROR(__xludf.DUMMYFUNCTION("""COMPUTED_VALUE"""),1.0)</f>
        <v>1</v>
      </c>
      <c r="BG442" s="16">
        <f>IFERROR(__xludf.DUMMYFUNCTION("""COMPUTED_VALUE"""),1.0)</f>
        <v>1</v>
      </c>
      <c r="BH442" s="16">
        <f>IFERROR(__xludf.DUMMYFUNCTION("""COMPUTED_VALUE"""),-3.0)</f>
        <v>-3</v>
      </c>
      <c r="BI442" s="16">
        <f>IFERROR(__xludf.DUMMYFUNCTION("""COMPUTED_VALUE"""),0.0)</f>
        <v>0</v>
      </c>
      <c r="BJ442" s="16">
        <f>IFERROR(__xludf.DUMMYFUNCTION("""COMPUTED_VALUE"""),24.0)</f>
        <v>24</v>
      </c>
      <c r="BK442" s="16">
        <f>IFERROR(__xludf.DUMMYFUNCTION("""COMPUTED_VALUE"""),21.0)</f>
        <v>21</v>
      </c>
      <c r="BL442" s="16">
        <f>IFERROR(__xludf.DUMMYFUNCTION("""COMPUTED_VALUE"""),-2.0)</f>
        <v>-2</v>
      </c>
      <c r="BM442" s="16">
        <f>IFERROR(__xludf.DUMMYFUNCTION("""COMPUTED_VALUE"""),-2.0)</f>
        <v>-2</v>
      </c>
      <c r="BN442" s="16">
        <f>IFERROR(__xludf.DUMMYFUNCTION("""COMPUTED_VALUE"""),-4.0)</f>
        <v>-4</v>
      </c>
      <c r="BO442" s="16">
        <f>IFERROR(__xludf.DUMMYFUNCTION("""COMPUTED_VALUE"""),-4.0)</f>
        <v>-4</v>
      </c>
      <c r="BP442" s="16">
        <f>IFERROR(__xludf.DUMMYFUNCTION("""COMPUTED_VALUE"""),-12.0)</f>
        <v>-12</v>
      </c>
      <c r="BQ442" s="16">
        <f>IFERROR(__xludf.DUMMYFUNCTION("""COMPUTED_VALUE"""),-7.0)</f>
        <v>-7</v>
      </c>
      <c r="BR442" s="16">
        <f>IFERROR(__xludf.DUMMYFUNCTION("""COMPUTED_VALUE"""),-19.0)</f>
        <v>-19</v>
      </c>
      <c r="BS442" s="16" t="str">
        <f>IFERROR(__xludf.DUMMYFUNCTION("""COMPUTED_VALUE"""),"-/- (---)")</f>
        <v>-/- (---)</v>
      </c>
      <c r="BT442" s="16" t="str">
        <f>IFERROR(__xludf.DUMMYFUNCTION("""COMPUTED_VALUE"""),"E")</f>
        <v>E</v>
      </c>
      <c r="BU442" s="16">
        <f>IFERROR(__xludf.DUMMYFUNCTION("""COMPUTED_VALUE"""),11.0)</f>
        <v>11</v>
      </c>
      <c r="BV442" s="16">
        <f>IFERROR(__xludf.DUMMYFUNCTION("""COMPUTED_VALUE"""),0.0)</f>
        <v>0</v>
      </c>
      <c r="BW442" s="16">
        <f>IFERROR(__xludf.DUMMYFUNCTION("""COMPUTED_VALUE"""),0.0)</f>
        <v>0</v>
      </c>
      <c r="BX442" s="16">
        <f>IFERROR(__xludf.DUMMYFUNCTION("""COMPUTED_VALUE"""),0.0)</f>
        <v>0</v>
      </c>
      <c r="BY442" s="16">
        <f>IFERROR(__xludf.DUMMYFUNCTION("""COMPUTED_VALUE"""),0.0)</f>
        <v>0</v>
      </c>
      <c r="BZ442" s="16" t="str">
        <f>IFERROR(__xludf.DUMMYFUNCTION("""COMPUTED_VALUE"""),"D")</f>
        <v>D</v>
      </c>
      <c r="CA442" s="16" t="str">
        <f>IFERROR(__xludf.DUMMYFUNCTION("""COMPUTED_VALUE"""),"D")</f>
        <v>D</v>
      </c>
      <c r="CB442" s="16">
        <f>IFERROR(__xludf.DUMMYFUNCTION("""COMPUTED_VALUE"""),0.0)</f>
        <v>0</v>
      </c>
      <c r="CC442" s="16">
        <f>IFERROR(__xludf.DUMMYFUNCTION("""COMPUTED_VALUE"""),0.0)</f>
        <v>0</v>
      </c>
      <c r="CD442" s="16">
        <f>IFERROR(__xludf.DUMMYFUNCTION("""COMPUTED_VALUE"""),0.0)</f>
        <v>0</v>
      </c>
      <c r="CE442" s="16">
        <f>IFERROR(__xludf.DUMMYFUNCTION("""COMPUTED_VALUE"""),0.0)</f>
        <v>0</v>
      </c>
      <c r="CF442" s="16">
        <f>IFERROR(__xludf.DUMMYFUNCTION("""COMPUTED_VALUE"""),5.0)</f>
        <v>5</v>
      </c>
      <c r="CG442" s="16">
        <f>IFERROR(__xludf.DUMMYFUNCTION("""COMPUTED_VALUE"""),-40.0)</f>
        <v>-40</v>
      </c>
      <c r="CH442" s="16">
        <f>IFERROR(__xludf.DUMMYFUNCTION("""COMPUTED_VALUE"""),-20.0)</f>
        <v>-20</v>
      </c>
      <c r="CI442" s="179">
        <f>IFERROR(__xludf.DUMMYFUNCTION("""COMPUTED_VALUE"""),-29.0)</f>
        <v>-29</v>
      </c>
      <c r="CJ442" s="16"/>
      <c r="CK442" s="16">
        <f>IFERROR(__xludf.DUMMYFUNCTION("""COMPUTED_VALUE"""),408.0)</f>
        <v>408</v>
      </c>
      <c r="CL442" s="16"/>
      <c r="CM442" s="16"/>
      <c r="CN442" s="16"/>
      <c r="CO442" s="16">
        <f>IFERROR(__xludf.DUMMYFUNCTION("""COMPUTED_VALUE"""),403.0)</f>
        <v>403</v>
      </c>
      <c r="CP442" s="16"/>
      <c r="CQ442" s="16">
        <f>IFERROR(__xludf.DUMMYFUNCTION("""COMPUTED_VALUE"""),403.0)</f>
        <v>403</v>
      </c>
      <c r="CR442" s="16" t="str">
        <f>IFERROR(__xludf.DUMMYFUNCTION("""COMPUTED_VALUE"""),"lf-4(+1)e3 1b-4e8 rf-4e3")</f>
        <v>lf-4(+1)e3 1b-4e8 rf-4e3</v>
      </c>
      <c r="CS442" s="16"/>
      <c r="CT442" s="16">
        <f>IFERROR(__xludf.DUMMYFUNCTION("""COMPUTED_VALUE"""),4.0)</f>
        <v>4</v>
      </c>
      <c r="CU442" s="16"/>
      <c r="CV442" s="16"/>
      <c r="CW442" s="16"/>
      <c r="CX442" s="16">
        <f>IFERROR(__xludf.DUMMYFUNCTION("""COMPUTED_VALUE"""),4.0)</f>
        <v>4</v>
      </c>
      <c r="CY442" s="16"/>
      <c r="CZ442" s="16">
        <f>IFERROR(__xludf.DUMMYFUNCTION("""COMPUTED_VALUE"""),4.0)</f>
        <v>4</v>
      </c>
      <c r="DA442" s="16"/>
      <c r="DB442" s="16">
        <f>IFERROR(__xludf.DUMMYFUNCTION("""COMPUTED_VALUE"""),8.0)</f>
        <v>8</v>
      </c>
      <c r="DC442" s="16"/>
      <c r="DD442" s="16"/>
      <c r="DE442" s="16"/>
      <c r="DF442" s="16">
        <f>IFERROR(__xludf.DUMMYFUNCTION("""COMPUTED_VALUE"""),3.0)</f>
        <v>3</v>
      </c>
      <c r="DG442" s="16"/>
      <c r="DH442" s="16">
        <f>IFERROR(__xludf.DUMMYFUNCTION("""COMPUTED_VALUE"""),3.0)</f>
        <v>3</v>
      </c>
      <c r="DI442" s="16"/>
      <c r="DJ442" s="16">
        <f>IFERROR(__xludf.DUMMYFUNCTION("""COMPUTED_VALUE"""),0.0)</f>
        <v>0</v>
      </c>
      <c r="DK442" s="16"/>
      <c r="DL442" s="16"/>
      <c r="DM442" s="16"/>
      <c r="DN442" s="16">
        <f>IFERROR(__xludf.DUMMYFUNCTION("""COMPUTED_VALUE"""),-1.0)</f>
        <v>-1</v>
      </c>
      <c r="DO442" s="16"/>
      <c r="DP442" s="16">
        <f>IFERROR(__xludf.DUMMYFUNCTION("""COMPUTED_VALUE"""),-1.0)</f>
        <v>-1</v>
      </c>
      <c r="DQ442" s="16"/>
      <c r="DR442" s="16">
        <f>IFERROR(__xludf.DUMMYFUNCTION("""COMPUTED_VALUE"""),2.0)</f>
        <v>2</v>
      </c>
      <c r="DS442" s="16"/>
      <c r="DT442" s="16"/>
      <c r="DU442" s="16"/>
      <c r="DV442" s="16">
        <f>IFERROR(__xludf.DUMMYFUNCTION("""COMPUTED_VALUE"""),4.0)</f>
        <v>4</v>
      </c>
      <c r="DW442" s="16"/>
      <c r="DX442" s="16">
        <f>IFERROR(__xludf.DUMMYFUNCTION("""COMPUTED_VALUE"""),4.0)</f>
        <v>4</v>
      </c>
      <c r="DY442" s="16"/>
      <c r="DZ442" s="16">
        <f>IFERROR(__xludf.DUMMYFUNCTION("""COMPUTED_VALUE"""),2.0)</f>
        <v>2</v>
      </c>
      <c r="EA442" s="16"/>
      <c r="EB442" s="16"/>
      <c r="EC442" s="16"/>
      <c r="ED442" s="16">
        <f>IFERROR(__xludf.DUMMYFUNCTION("""COMPUTED_VALUE"""),3.0)</f>
        <v>3</v>
      </c>
      <c r="EE442" s="16"/>
      <c r="EF442" s="16">
        <f>IFERROR(__xludf.DUMMYFUNCTION("""COMPUTED_VALUE"""),3.0)</f>
        <v>3</v>
      </c>
      <c r="EG442" s="179"/>
      <c r="EH442" s="179">
        <f>IFERROR(__xludf.DUMMYFUNCTION("""COMPUTED_VALUE"""),-27.0)</f>
        <v>-27</v>
      </c>
      <c r="EI442" s="179"/>
      <c r="EJ442" s="179"/>
      <c r="EK442" s="179"/>
      <c r="EL442" s="179">
        <f>IFERROR(__xludf.DUMMYFUNCTION("""COMPUTED_VALUE"""),-26.0)</f>
        <v>-26</v>
      </c>
      <c r="EM442" s="179"/>
      <c r="EN442" s="179">
        <f>IFERROR(__xludf.DUMMYFUNCTION("""COMPUTED_VALUE"""),-26.0)</f>
        <v>-26</v>
      </c>
      <c r="EO442" s="16"/>
      <c r="EP442" s="16">
        <f>IFERROR(__xludf.DUMMYFUNCTION("""COMPUTED_VALUE"""),1.0)</f>
        <v>1</v>
      </c>
      <c r="EQ442" s="16">
        <f>IFERROR(__xludf.DUMMYFUNCTION("""COMPUTED_VALUE"""),-2.0)</f>
        <v>-2</v>
      </c>
      <c r="ER442" s="16">
        <f>IFERROR(__xludf.DUMMYFUNCTION("""COMPUTED_VALUE"""),-2.0)</f>
        <v>-2</v>
      </c>
      <c r="ES442" s="16"/>
      <c r="ET442" s="16"/>
      <c r="EU442" s="16"/>
      <c r="EV442" s="16"/>
      <c r="EW442" s="16"/>
      <c r="EX442" s="180"/>
      <c r="EY442" s="180">
        <f>IFERROR(__xludf.DUMMYFUNCTION("""COMPUTED_VALUE"""),0.3)</f>
        <v>0.3</v>
      </c>
      <c r="EZ442" s="180"/>
      <c r="FA442" s="180"/>
      <c r="FB442" s="180"/>
      <c r="FC442" s="180">
        <f>IFERROR(__xludf.DUMMYFUNCTION("""COMPUTED_VALUE"""),0.55)</f>
        <v>0.55</v>
      </c>
      <c r="FD442" s="180"/>
      <c r="FE442" s="180">
        <f>IFERROR(__xludf.DUMMYFUNCTION("""COMPUTED_VALUE"""),0.55)</f>
        <v>0.55</v>
      </c>
      <c r="FF442" s="180"/>
      <c r="FG442" s="180">
        <f>IFERROR(__xludf.DUMMYFUNCTION("""COMPUTED_VALUE"""),0.14351851851851852)</f>
        <v>0.1435185185</v>
      </c>
      <c r="FH442" s="180"/>
      <c r="FI442" s="180"/>
      <c r="FJ442" s="180"/>
      <c r="FK442" s="180">
        <f>IFERROR(__xludf.DUMMYFUNCTION("""COMPUTED_VALUE"""),0.056)</f>
        <v>0.056</v>
      </c>
      <c r="FL442" s="180"/>
      <c r="FM442" s="180">
        <f>IFERROR(__xludf.DUMMYFUNCTION("""COMPUTED_VALUE"""),0.056)</f>
        <v>0.056</v>
      </c>
      <c r="FN442" s="16"/>
      <c r="FO442" s="16">
        <f>IFERROR(__xludf.DUMMYFUNCTION("""COMPUTED_VALUE"""),0.599537037037037)</f>
        <v>0.599537037</v>
      </c>
      <c r="FP442" s="16"/>
      <c r="FQ442" s="16"/>
      <c r="FR442" s="16"/>
      <c r="FS442" s="16">
        <f>IFERROR(__xludf.DUMMYFUNCTION("""COMPUTED_VALUE"""),0.42479999999999996)</f>
        <v>0.4248</v>
      </c>
      <c r="FT442" s="16"/>
      <c r="FU442" s="16">
        <f>IFERROR(__xludf.DUMMYFUNCTION("""COMPUTED_VALUE"""),0.42479999999999996)</f>
        <v>0.4248</v>
      </c>
      <c r="FV442" s="16"/>
      <c r="FW442" s="16">
        <f>IFERROR(__xludf.DUMMYFUNCTION("""COMPUTED_VALUE"""),-6.0)</f>
        <v>-6</v>
      </c>
      <c r="FX442" s="16"/>
      <c r="FY442" s="16"/>
      <c r="FZ442" s="16"/>
      <c r="GA442" s="16">
        <f>IFERROR(__xludf.DUMMYFUNCTION("""COMPUTED_VALUE"""),-9.0)</f>
        <v>-9</v>
      </c>
      <c r="GB442" s="16"/>
      <c r="GC442" s="16">
        <f>IFERROR(__xludf.DUMMYFUNCTION("""COMPUTED_VALUE"""),-9.0)</f>
        <v>-9</v>
      </c>
      <c r="GD442" s="16" t="s">
        <v>176</v>
      </c>
    </row>
    <row r="443">
      <c r="A443" s="16">
        <f>IFERROR(__xludf.DUMMYFUNCTION("""COMPUTED_VALUE"""),12635.0)</f>
        <v>12635</v>
      </c>
      <c r="B443" s="16" t="str">
        <f>IFERROR(__xludf.DUMMYFUNCTION("""COMPUTED_VALUE"""),"Bryce Johnson")</f>
        <v>Bryce Johnson</v>
      </c>
      <c r="C443" s="16">
        <f>IFERROR(__xludf.DUMMYFUNCTION("""COMPUTED_VALUE"""),0.0)</f>
        <v>0</v>
      </c>
      <c r="D443" s="16" t="str">
        <f>IFERROR(__xludf.DUMMYFUNCTION("""COMPUTED_VALUE"""),"S")</f>
        <v>S</v>
      </c>
      <c r="E443" s="16"/>
      <c r="F443" s="16"/>
      <c r="G443" s="16">
        <f>IFERROR(__xludf.DUMMYFUNCTION("""COMPUTED_VALUE"""),63.0)</f>
        <v>63</v>
      </c>
      <c r="H443" s="16">
        <f>IFERROR(__xludf.DUMMYFUNCTION("""COMPUTED_VALUE"""),7.0)</f>
        <v>7</v>
      </c>
      <c r="I443" s="16" t="str">
        <f>IFERROR(__xludf.DUMMYFUNCTION("""COMPUTED_VALUE"""),"1p30")</f>
        <v>1p30</v>
      </c>
      <c r="J443" s="16">
        <f>IFERROR(__xludf.DUMMYFUNCTION("""COMPUTED_VALUE"""),13.0)</f>
        <v>13</v>
      </c>
      <c r="K443" s="16">
        <f>IFERROR(__xludf.DUMMYFUNCTION("""COMPUTED_VALUE"""),13.0)</f>
        <v>13</v>
      </c>
      <c r="L443" s="16">
        <f>IFERROR(__xludf.DUMMYFUNCTION("""COMPUTED_VALUE"""),1.0)</f>
        <v>1</v>
      </c>
      <c r="M443" s="16">
        <f>IFERROR(__xludf.DUMMYFUNCTION("""COMPUTED_VALUE"""),1.0)</f>
        <v>1</v>
      </c>
      <c r="N443" s="16">
        <f>IFERROR(__xludf.DUMMYFUNCTION("""COMPUTED_VALUE"""),1.0)</f>
        <v>1</v>
      </c>
      <c r="O443" s="16">
        <f>IFERROR(__xludf.DUMMYFUNCTION("""COMPUTED_VALUE"""),1.0)</f>
        <v>1</v>
      </c>
      <c r="P443" s="16">
        <f>IFERROR(__xludf.DUMMYFUNCTION("""COMPUTED_VALUE"""),22.0)</f>
        <v>22</v>
      </c>
      <c r="Q443" s="16">
        <f>IFERROR(__xludf.DUMMYFUNCTION("""COMPUTED_VALUE"""),2.0)</f>
        <v>2</v>
      </c>
      <c r="R443" s="16">
        <f>IFERROR(__xludf.DUMMYFUNCTION("""COMPUTED_VALUE"""),3.0)</f>
        <v>3</v>
      </c>
      <c r="S443" s="16">
        <f>IFERROR(__xludf.DUMMYFUNCTION("""COMPUTED_VALUE"""),-2.0)</f>
        <v>-2</v>
      </c>
      <c r="T443" s="16">
        <f>IFERROR(__xludf.DUMMYFUNCTION("""COMPUTED_VALUE"""),3.0)</f>
        <v>3</v>
      </c>
      <c r="U443" s="16">
        <f>IFERROR(__xludf.DUMMYFUNCTION("""COMPUTED_VALUE"""),-2.0)</f>
        <v>-2</v>
      </c>
      <c r="V443" s="16">
        <f>IFERROR(__xludf.DUMMYFUNCTION("""COMPUTED_VALUE"""),12.2)</f>
        <v>12.2</v>
      </c>
      <c r="W443" s="16">
        <f>IFERROR(__xludf.DUMMYFUNCTION("""COMPUTED_VALUE"""),14.8)</f>
        <v>14.8</v>
      </c>
      <c r="X443" s="16">
        <f>IFERROR(__xludf.DUMMYFUNCTION("""COMPUTED_VALUE"""),-1.0)</f>
        <v>-1</v>
      </c>
      <c r="Y443" s="16">
        <f>IFERROR(__xludf.DUMMYFUNCTION("""COMPUTED_VALUE"""),-1.0)</f>
        <v>-1</v>
      </c>
      <c r="Z443" s="16">
        <f>IFERROR(__xludf.DUMMYFUNCTION("""COMPUTED_VALUE"""),-2.0)</f>
        <v>-2</v>
      </c>
      <c r="AA443" s="16">
        <f>IFERROR(__xludf.DUMMYFUNCTION("""COMPUTED_VALUE"""),-2.0)</f>
        <v>-2</v>
      </c>
      <c r="AB443" s="16">
        <f>IFERROR(__xludf.DUMMYFUNCTION("""COMPUTED_VALUE"""),34.2)</f>
        <v>34.2</v>
      </c>
      <c r="AC443" s="16">
        <f>IFERROR(__xludf.DUMMYFUNCTION("""COMPUTED_VALUE"""),16.8)</f>
        <v>16.8</v>
      </c>
      <c r="AD443" s="16">
        <f>IFERROR(__xludf.DUMMYFUNCTION("""COMPUTED_VALUE"""),0.0)</f>
        <v>0</v>
      </c>
      <c r="AE443" s="16">
        <f>IFERROR(__xludf.DUMMYFUNCTION("""COMPUTED_VALUE"""),-2.0)</f>
        <v>-2</v>
      </c>
      <c r="AF443" s="16">
        <f>IFERROR(__xludf.DUMMYFUNCTION("""COMPUTED_VALUE"""),0.0)</f>
        <v>0</v>
      </c>
      <c r="AG443" s="16">
        <f>IFERROR(__xludf.DUMMYFUNCTION("""COMPUTED_VALUE"""),-10.0)</f>
        <v>-10</v>
      </c>
      <c r="AH443" s="16">
        <f>IFERROR(__xludf.DUMMYFUNCTION("""COMPUTED_VALUE"""),12.7)</f>
        <v>12.7</v>
      </c>
      <c r="AI443" s="16">
        <f>IFERROR(__xludf.DUMMYFUNCTION("""COMPUTED_VALUE"""),15.6)</f>
        <v>15.6</v>
      </c>
      <c r="AJ443" s="16">
        <f>IFERROR(__xludf.DUMMYFUNCTION("""COMPUTED_VALUE"""),-2.0)</f>
        <v>-2</v>
      </c>
      <c r="AK443" s="16">
        <f>IFERROR(__xludf.DUMMYFUNCTION("""COMPUTED_VALUE"""),-2.0)</f>
        <v>-2</v>
      </c>
      <c r="AL443" s="16">
        <f>IFERROR(__xludf.DUMMYFUNCTION("""COMPUTED_VALUE"""),-10.0)</f>
        <v>-10</v>
      </c>
      <c r="AM443" s="16">
        <f>IFERROR(__xludf.DUMMYFUNCTION("""COMPUTED_VALUE"""),-10.0)</f>
        <v>-10</v>
      </c>
      <c r="AN443" s="16">
        <f>IFERROR(__xludf.DUMMYFUNCTION("""COMPUTED_VALUE"""),0.0)</f>
        <v>0</v>
      </c>
      <c r="AO443" s="16">
        <f>IFERROR(__xludf.DUMMYFUNCTION("""COMPUTED_VALUE"""),0.0)</f>
        <v>0</v>
      </c>
      <c r="AP443" s="16">
        <f>IFERROR(__xludf.DUMMYFUNCTION("""COMPUTED_VALUE"""),-2.0)</f>
        <v>-2</v>
      </c>
      <c r="AQ443" s="16">
        <f>IFERROR(__xludf.DUMMYFUNCTION("""COMPUTED_VALUE"""),-3.0)</f>
        <v>-3</v>
      </c>
      <c r="AR443" s="16">
        <f>IFERROR(__xludf.DUMMYFUNCTION("""COMPUTED_VALUE"""),-4.0)</f>
        <v>-4</v>
      </c>
      <c r="AS443" s="16">
        <f>IFERROR(__xludf.DUMMYFUNCTION("""COMPUTED_VALUE"""),-6.0)</f>
        <v>-6</v>
      </c>
      <c r="AT443" s="16"/>
      <c r="AU443" s="16"/>
      <c r="AV443" s="16">
        <f>IFERROR(__xludf.DUMMYFUNCTION("""COMPUTED_VALUE"""),-3.0)</f>
        <v>-3</v>
      </c>
      <c r="AW443" s="16">
        <f>IFERROR(__xludf.DUMMYFUNCTION("""COMPUTED_VALUE"""),-3.0)</f>
        <v>-3</v>
      </c>
      <c r="AX443" s="16">
        <f>IFERROR(__xludf.DUMMYFUNCTION("""COMPUTED_VALUE"""),-3.0)</f>
        <v>-3</v>
      </c>
      <c r="AY443" s="16">
        <f>IFERROR(__xludf.DUMMYFUNCTION("""COMPUTED_VALUE"""),-3.0)</f>
        <v>-3</v>
      </c>
      <c r="AZ443" s="16">
        <f>IFERROR(__xludf.DUMMYFUNCTION("""COMPUTED_VALUE"""),-9.0)</f>
        <v>-9</v>
      </c>
      <c r="BA443" s="16">
        <f>IFERROR(__xludf.DUMMYFUNCTION("""COMPUTED_VALUE"""),-9.0)</f>
        <v>-9</v>
      </c>
      <c r="BB443" s="16">
        <f>IFERROR(__xludf.DUMMYFUNCTION("""COMPUTED_VALUE"""),5.0)</f>
        <v>5</v>
      </c>
      <c r="BC443" s="16">
        <f>IFERROR(__xludf.DUMMYFUNCTION("""COMPUTED_VALUE"""),5.0)</f>
        <v>5</v>
      </c>
      <c r="BD443" s="16">
        <f>IFERROR(__xludf.DUMMYFUNCTION("""COMPUTED_VALUE"""),1.0)</f>
        <v>1</v>
      </c>
      <c r="BE443" s="16">
        <f>IFERROR(__xludf.DUMMYFUNCTION("""COMPUTED_VALUE"""),1.0)</f>
        <v>1</v>
      </c>
      <c r="BF443" s="16">
        <f>IFERROR(__xludf.DUMMYFUNCTION("""COMPUTED_VALUE"""),1.0)</f>
        <v>1</v>
      </c>
      <c r="BG443" s="16">
        <f>IFERROR(__xludf.DUMMYFUNCTION("""COMPUTED_VALUE"""),1.0)</f>
        <v>1</v>
      </c>
      <c r="BH443" s="16">
        <f>IFERROR(__xludf.DUMMYFUNCTION("""COMPUTED_VALUE"""),-3.0)</f>
        <v>-3</v>
      </c>
      <c r="BI443" s="16">
        <f>IFERROR(__xludf.DUMMYFUNCTION("""COMPUTED_VALUE"""),-3.0)</f>
        <v>-3</v>
      </c>
      <c r="BJ443" s="16">
        <f>IFERROR(__xludf.DUMMYFUNCTION("""COMPUTED_VALUE"""),9.0)</f>
        <v>9</v>
      </c>
      <c r="BK443" s="16">
        <f>IFERROR(__xludf.DUMMYFUNCTION("""COMPUTED_VALUE"""),12.0)</f>
        <v>12</v>
      </c>
      <c r="BL443" s="16">
        <f>IFERROR(__xludf.DUMMYFUNCTION("""COMPUTED_VALUE"""),0.0)</f>
        <v>0</v>
      </c>
      <c r="BM443" s="16">
        <f>IFERROR(__xludf.DUMMYFUNCTION("""COMPUTED_VALUE"""),0.0)</f>
        <v>0</v>
      </c>
      <c r="BN443" s="16">
        <f>IFERROR(__xludf.DUMMYFUNCTION("""COMPUTED_VALUE"""),0.0)</f>
        <v>0</v>
      </c>
      <c r="BO443" s="16">
        <f>IFERROR(__xludf.DUMMYFUNCTION("""COMPUTED_VALUE"""),0.0)</f>
        <v>0</v>
      </c>
      <c r="BP443" s="16">
        <f>IFERROR(__xludf.DUMMYFUNCTION("""COMPUTED_VALUE"""),-3.0)</f>
        <v>-3</v>
      </c>
      <c r="BQ443" s="16">
        <f>IFERROR(__xludf.DUMMYFUNCTION("""COMPUTED_VALUE"""),-11.0)</f>
        <v>-11</v>
      </c>
      <c r="BR443" s="16">
        <f>IFERROR(__xludf.DUMMYFUNCTION("""COMPUTED_VALUE"""),-14.0)</f>
        <v>-14</v>
      </c>
      <c r="BS443" s="16" t="str">
        <f>IFERROR(__xludf.DUMMYFUNCTION("""COMPUTED_VALUE"""),"*2-6,11/8 (15-7)")</f>
        <v>*2-6,11/8 (15-7)</v>
      </c>
      <c r="BT443" s="16" t="str">
        <f>IFERROR(__xludf.DUMMYFUNCTION("""COMPUTED_VALUE"""),"D")</f>
        <v>D</v>
      </c>
      <c r="BU443" s="16">
        <f>IFERROR(__xludf.DUMMYFUNCTION("""COMPUTED_VALUE"""),16.0)</f>
        <v>16</v>
      </c>
      <c r="BV443" s="16">
        <f>IFERROR(__xludf.DUMMYFUNCTION("""COMPUTED_VALUE"""),0.0)</f>
        <v>0</v>
      </c>
      <c r="BW443" s="16">
        <f>IFERROR(__xludf.DUMMYFUNCTION("""COMPUTED_VALUE"""),2.0)</f>
        <v>2</v>
      </c>
      <c r="BX443" s="16">
        <f>IFERROR(__xludf.DUMMYFUNCTION("""COMPUTED_VALUE"""),0.0)</f>
        <v>0</v>
      </c>
      <c r="BY443" s="16">
        <f>IFERROR(__xludf.DUMMYFUNCTION("""COMPUTED_VALUE"""),6.0)</f>
        <v>6</v>
      </c>
      <c r="BZ443" s="16" t="str">
        <f>IFERROR(__xludf.DUMMYFUNCTION("""COMPUTED_VALUE"""),"B")</f>
        <v>B</v>
      </c>
      <c r="CA443" s="16" t="str">
        <f>IFERROR(__xludf.DUMMYFUNCTION("""COMPUTED_VALUE"""),"C")</f>
        <v>C</v>
      </c>
      <c r="CB443" s="16">
        <f>IFERROR(__xludf.DUMMYFUNCTION("""COMPUTED_VALUE"""),1.0)</f>
        <v>1</v>
      </c>
      <c r="CC443" s="16">
        <f>IFERROR(__xludf.DUMMYFUNCTION("""COMPUTED_VALUE"""),0.0)</f>
        <v>0</v>
      </c>
      <c r="CD443" s="16">
        <f>IFERROR(__xludf.DUMMYFUNCTION("""COMPUTED_VALUE"""),1.0)</f>
        <v>1</v>
      </c>
      <c r="CE443" s="16">
        <f>IFERROR(__xludf.DUMMYFUNCTION("""COMPUTED_VALUE"""),0.0)</f>
        <v>0</v>
      </c>
      <c r="CF443" s="16">
        <f>IFERROR(__xludf.DUMMYFUNCTION("""COMPUTED_VALUE"""),1.0)</f>
        <v>1</v>
      </c>
      <c r="CG443" s="16">
        <f>IFERROR(__xludf.DUMMYFUNCTION("""COMPUTED_VALUE"""),-20.0)</f>
        <v>-20</v>
      </c>
      <c r="CH443" s="16">
        <f>IFERROR(__xludf.DUMMYFUNCTION("""COMPUTED_VALUE"""),-37.0)</f>
        <v>-37</v>
      </c>
      <c r="CI443" s="179">
        <f>IFERROR(__xludf.DUMMYFUNCTION("""COMPUTED_VALUE"""),-29.0)</f>
        <v>-29</v>
      </c>
      <c r="CJ443" s="16"/>
      <c r="CK443" s="16"/>
      <c r="CL443" s="16"/>
      <c r="CM443" s="16"/>
      <c r="CN443" s="16"/>
      <c r="CO443" s="16">
        <f>IFERROR(__xludf.DUMMYFUNCTION("""COMPUTED_VALUE"""),201.0)</f>
        <v>201</v>
      </c>
      <c r="CP443" s="16">
        <f>IFERROR(__xludf.DUMMYFUNCTION("""COMPUTED_VALUE"""),201.0)</f>
        <v>201</v>
      </c>
      <c r="CQ443" s="16">
        <f>IFERROR(__xludf.DUMMYFUNCTION("""COMPUTED_VALUE"""),201.0)</f>
        <v>201</v>
      </c>
      <c r="CR443" s="16" t="str">
        <f>IFERROR(__xludf.DUMMYFUNCTION("""COMPUTED_VALUE"""),"rf-2(-1)e1 lf-2e1 cf-2e1")</f>
        <v>rf-2(-1)e1 lf-2e1 cf-2e1</v>
      </c>
      <c r="CS443" s="16"/>
      <c r="CT443" s="16"/>
      <c r="CU443" s="16"/>
      <c r="CV443" s="16"/>
      <c r="CW443" s="16"/>
      <c r="CX443" s="16">
        <f>IFERROR(__xludf.DUMMYFUNCTION("""COMPUTED_VALUE"""),2.0)</f>
        <v>2</v>
      </c>
      <c r="CY443" s="16">
        <f>IFERROR(__xludf.DUMMYFUNCTION("""COMPUTED_VALUE"""),2.0)</f>
        <v>2</v>
      </c>
      <c r="CZ443" s="16">
        <f>IFERROR(__xludf.DUMMYFUNCTION("""COMPUTED_VALUE"""),2.0)</f>
        <v>2</v>
      </c>
      <c r="DA443" s="16"/>
      <c r="DB443" s="16"/>
      <c r="DC443" s="16"/>
      <c r="DD443" s="16"/>
      <c r="DE443" s="16"/>
      <c r="DF443" s="16">
        <f>IFERROR(__xludf.DUMMYFUNCTION("""COMPUTED_VALUE"""),1.0)</f>
        <v>1</v>
      </c>
      <c r="DG443" s="16">
        <f>IFERROR(__xludf.DUMMYFUNCTION("""COMPUTED_VALUE"""),1.0)</f>
        <v>1</v>
      </c>
      <c r="DH443" s="16">
        <f>IFERROR(__xludf.DUMMYFUNCTION("""COMPUTED_VALUE"""),1.0)</f>
        <v>1</v>
      </c>
      <c r="DI443" s="16"/>
      <c r="DJ443" s="16"/>
      <c r="DK443" s="16"/>
      <c r="DL443" s="16"/>
      <c r="DM443" s="16"/>
      <c r="DN443" s="16">
        <f>IFERROR(__xludf.DUMMYFUNCTION("""COMPUTED_VALUE"""),3.0)</f>
        <v>3</v>
      </c>
      <c r="DO443" s="16">
        <f>IFERROR(__xludf.DUMMYFUNCTION("""COMPUTED_VALUE"""),2.0)</f>
        <v>2</v>
      </c>
      <c r="DP443" s="16">
        <f>IFERROR(__xludf.DUMMYFUNCTION("""COMPUTED_VALUE"""),3.0)</f>
        <v>3</v>
      </c>
      <c r="DQ443" s="16"/>
      <c r="DR443" s="16"/>
      <c r="DS443" s="16"/>
      <c r="DT443" s="16"/>
      <c r="DU443" s="16"/>
      <c r="DV443" s="16">
        <f>IFERROR(__xludf.DUMMYFUNCTION("""COMPUTED_VALUE"""),4.0)</f>
        <v>4</v>
      </c>
      <c r="DW443" s="16">
        <f>IFERROR(__xludf.DUMMYFUNCTION("""COMPUTED_VALUE"""),4.0)</f>
        <v>4</v>
      </c>
      <c r="DX443" s="16">
        <f>IFERROR(__xludf.DUMMYFUNCTION("""COMPUTED_VALUE"""),4.0)</f>
        <v>4</v>
      </c>
      <c r="DY443" s="16"/>
      <c r="DZ443" s="16"/>
      <c r="EA443" s="16"/>
      <c r="EB443" s="16"/>
      <c r="EC443" s="16"/>
      <c r="ED443" s="16">
        <f>IFERROR(__xludf.DUMMYFUNCTION("""COMPUTED_VALUE"""),7.0)</f>
        <v>7</v>
      </c>
      <c r="EE443" s="16">
        <f>IFERROR(__xludf.DUMMYFUNCTION("""COMPUTED_VALUE"""),6.0)</f>
        <v>6</v>
      </c>
      <c r="EF443" s="16">
        <f>IFERROR(__xludf.DUMMYFUNCTION("""COMPUTED_VALUE"""),7.0)</f>
        <v>7</v>
      </c>
      <c r="EG443" s="179"/>
      <c r="EH443" s="179"/>
      <c r="EI443" s="179"/>
      <c r="EJ443" s="179"/>
      <c r="EK443" s="179"/>
      <c r="EL443" s="179">
        <f>IFERROR(__xludf.DUMMYFUNCTION("""COMPUTED_VALUE"""),-22.0)</f>
        <v>-22</v>
      </c>
      <c r="EM443" s="179">
        <f>IFERROR(__xludf.DUMMYFUNCTION("""COMPUTED_VALUE"""),-23.0)</f>
        <v>-23</v>
      </c>
      <c r="EN443" s="179">
        <f>IFERROR(__xludf.DUMMYFUNCTION("""COMPUTED_VALUE"""),-22.0)</f>
        <v>-22</v>
      </c>
      <c r="EO443" s="16"/>
      <c r="EP443" s="16">
        <f>IFERROR(__xludf.DUMMYFUNCTION("""COMPUTED_VALUE"""),-1.0)</f>
        <v>-1</v>
      </c>
      <c r="EQ443" s="16">
        <f>IFERROR(__xludf.DUMMYFUNCTION("""COMPUTED_VALUE"""),4.0)</f>
        <v>4</v>
      </c>
      <c r="ER443" s="16">
        <f>IFERROR(__xludf.DUMMYFUNCTION("""COMPUTED_VALUE"""),-2.0)</f>
        <v>-2</v>
      </c>
      <c r="ES443" s="16"/>
      <c r="ET443" s="16"/>
      <c r="EU443" s="16"/>
      <c r="EV443" s="16"/>
      <c r="EW443" s="16"/>
      <c r="EX443" s="180"/>
      <c r="EY443" s="180"/>
      <c r="EZ443" s="180"/>
      <c r="FA443" s="180"/>
      <c r="FB443" s="180"/>
      <c r="FC443" s="180">
        <f>IFERROR(__xludf.DUMMYFUNCTION("""COMPUTED_VALUE"""),0.15)</f>
        <v>0.15</v>
      </c>
      <c r="FD443" s="180">
        <f>IFERROR(__xludf.DUMMYFUNCTION("""COMPUTED_VALUE"""),0.15)</f>
        <v>0.15</v>
      </c>
      <c r="FE443" s="180">
        <f>IFERROR(__xludf.DUMMYFUNCTION("""COMPUTED_VALUE"""),0.15)</f>
        <v>0.15</v>
      </c>
      <c r="FF443" s="180"/>
      <c r="FG443" s="180"/>
      <c r="FH443" s="180"/>
      <c r="FI443" s="180"/>
      <c r="FJ443" s="180"/>
      <c r="FK443" s="180">
        <f>IFERROR(__xludf.DUMMYFUNCTION("""COMPUTED_VALUE"""),0.019)</f>
        <v>0.019</v>
      </c>
      <c r="FL443" s="180">
        <f>IFERROR(__xludf.DUMMYFUNCTION("""COMPUTED_VALUE"""),0.013888888888888888)</f>
        <v>0.01388888889</v>
      </c>
      <c r="FM443" s="180">
        <f>IFERROR(__xludf.DUMMYFUNCTION("""COMPUTED_VALUE"""),0.019)</f>
        <v>0.019</v>
      </c>
      <c r="FN443" s="16"/>
      <c r="FO443" s="16"/>
      <c r="FP443" s="16"/>
      <c r="FQ443" s="16"/>
      <c r="FR443" s="16"/>
      <c r="FS443" s="16">
        <f>IFERROR(__xludf.DUMMYFUNCTION("""COMPUTED_VALUE"""),0.83385)</f>
        <v>0.83385</v>
      </c>
      <c r="FT443" s="16">
        <f>IFERROR(__xludf.DUMMYFUNCTION("""COMPUTED_VALUE"""),0.8381944444444445)</f>
        <v>0.8381944444</v>
      </c>
      <c r="FU443" s="16">
        <f>IFERROR(__xludf.DUMMYFUNCTION("""COMPUTED_VALUE"""),0.83385)</f>
        <v>0.83385</v>
      </c>
      <c r="FV443" s="16"/>
      <c r="FW443" s="16"/>
      <c r="FX443" s="16"/>
      <c r="FY443" s="16"/>
      <c r="FZ443" s="16"/>
      <c r="GA443" s="16">
        <f>IFERROR(__xludf.DUMMYFUNCTION("""COMPUTED_VALUE"""),2.0)</f>
        <v>2</v>
      </c>
      <c r="GB443" s="16">
        <f>IFERROR(__xludf.DUMMYFUNCTION("""COMPUTED_VALUE"""),2.0)</f>
        <v>2</v>
      </c>
      <c r="GC443" s="16">
        <f>IFERROR(__xludf.DUMMYFUNCTION("""COMPUTED_VALUE"""),2.0)</f>
        <v>2</v>
      </c>
      <c r="GD443" s="16" t="s">
        <v>361</v>
      </c>
    </row>
    <row r="444">
      <c r="A444" s="16">
        <f>IFERROR(__xludf.DUMMYFUNCTION("""COMPUTED_VALUE"""),12718.0)</f>
        <v>12718</v>
      </c>
      <c r="B444" s="16" t="str">
        <f>IFERROR(__xludf.DUMMYFUNCTION("""COMPUTED_VALUE"""),"Curt Casali")</f>
        <v>Curt Casali</v>
      </c>
      <c r="C444" s="16">
        <f>IFERROR(__xludf.DUMMYFUNCTION("""COMPUTED_VALUE"""),0.42)</f>
        <v>0.42</v>
      </c>
      <c r="D444" s="16" t="str">
        <f>IFERROR(__xludf.DUMMYFUNCTION("""COMPUTED_VALUE"""),"R")</f>
        <v>R</v>
      </c>
      <c r="E444" s="16"/>
      <c r="F444" s="16"/>
      <c r="G444" s="16">
        <f>IFERROR(__xludf.DUMMYFUNCTION("""COMPUTED_VALUE"""),108.0)</f>
        <v>108</v>
      </c>
      <c r="H444" s="16">
        <f>IFERROR(__xludf.DUMMYFUNCTION("""COMPUTED_VALUE"""),13.0)</f>
        <v>13</v>
      </c>
      <c r="I444" s="16" t="str">
        <f>IFERROR(__xludf.DUMMYFUNCTION("""COMPUTED_VALUE"""),"2p20")</f>
        <v>2p20</v>
      </c>
      <c r="J444" s="16">
        <f>IFERROR(__xludf.DUMMYFUNCTION("""COMPUTED_VALUE"""),20.0)</f>
        <v>20</v>
      </c>
      <c r="K444" s="16">
        <f>IFERROR(__xludf.DUMMYFUNCTION("""COMPUTED_VALUE"""),10.0)</f>
        <v>10</v>
      </c>
      <c r="L444" s="16">
        <f>IFERROR(__xludf.DUMMYFUNCTION("""COMPUTED_VALUE"""),0.0)</f>
        <v>0</v>
      </c>
      <c r="M444" s="16">
        <f>IFERROR(__xludf.DUMMYFUNCTION("""COMPUTED_VALUE"""),2.0)</f>
        <v>2</v>
      </c>
      <c r="N444" s="16">
        <f>IFERROR(__xludf.DUMMYFUNCTION("""COMPUTED_VALUE"""),0.0)</f>
        <v>0</v>
      </c>
      <c r="O444" s="16">
        <f>IFERROR(__xludf.DUMMYFUNCTION("""COMPUTED_VALUE"""),2.0)</f>
        <v>2</v>
      </c>
      <c r="P444" s="16">
        <f>IFERROR(__xludf.DUMMYFUNCTION("""COMPUTED_VALUE"""),22.0)</f>
        <v>22</v>
      </c>
      <c r="Q444" s="16">
        <f>IFERROR(__xludf.DUMMYFUNCTION("""COMPUTED_VALUE"""),10.0)</f>
        <v>10</v>
      </c>
      <c r="R444" s="16">
        <f>IFERROR(__xludf.DUMMYFUNCTION("""COMPUTED_VALUE"""),3.0)</f>
        <v>3</v>
      </c>
      <c r="S444" s="16">
        <f>IFERROR(__xludf.DUMMYFUNCTION("""COMPUTED_VALUE"""),0.0)</f>
        <v>0</v>
      </c>
      <c r="T444" s="16">
        <f>IFERROR(__xludf.DUMMYFUNCTION("""COMPUTED_VALUE"""),3.0)</f>
        <v>3</v>
      </c>
      <c r="U444" s="16">
        <f>IFERROR(__xludf.DUMMYFUNCTION("""COMPUTED_VALUE"""),0.0)</f>
        <v>0</v>
      </c>
      <c r="V444" s="16">
        <f>IFERROR(__xludf.DUMMYFUNCTION("""COMPUTED_VALUE"""),8.0)</f>
        <v>8</v>
      </c>
      <c r="W444" s="16">
        <f>IFERROR(__xludf.DUMMYFUNCTION("""COMPUTED_VALUE"""),9.6)</f>
        <v>9.6</v>
      </c>
      <c r="X444" s="16">
        <f>IFERROR(__xludf.DUMMYFUNCTION("""COMPUTED_VALUE"""),-2.0)</f>
        <v>-2</v>
      </c>
      <c r="Y444" s="16">
        <f>IFERROR(__xludf.DUMMYFUNCTION("""COMPUTED_VALUE"""),-2.0)</f>
        <v>-2</v>
      </c>
      <c r="Z444" s="16">
        <f>IFERROR(__xludf.DUMMYFUNCTION("""COMPUTED_VALUE"""),-4.0)</f>
        <v>-4</v>
      </c>
      <c r="AA444" s="16">
        <f>IFERROR(__xludf.DUMMYFUNCTION("""COMPUTED_VALUE"""),-4.0)</f>
        <v>-4</v>
      </c>
      <c r="AB444" s="16">
        <f>IFERROR(__xludf.DUMMYFUNCTION("""COMPUTED_VALUE"""),33.9)</f>
        <v>33.9</v>
      </c>
      <c r="AC444" s="16">
        <f>IFERROR(__xludf.DUMMYFUNCTION("""COMPUTED_VALUE"""),23.6)</f>
        <v>23.6</v>
      </c>
      <c r="AD444" s="16">
        <f>IFERROR(__xludf.DUMMYFUNCTION("""COMPUTED_VALUE"""),0.0)</f>
        <v>0</v>
      </c>
      <c r="AE444" s="16">
        <f>IFERROR(__xludf.DUMMYFUNCTION("""COMPUTED_VALUE"""),-1.0)</f>
        <v>-1</v>
      </c>
      <c r="AF444" s="16">
        <f>IFERROR(__xludf.DUMMYFUNCTION("""COMPUTED_VALUE"""),0.0)</f>
        <v>0</v>
      </c>
      <c r="AG444" s="16">
        <f>IFERROR(__xludf.DUMMYFUNCTION("""COMPUTED_VALUE"""),-5.0)</f>
        <v>-5</v>
      </c>
      <c r="AH444" s="16">
        <f>IFERROR(__xludf.DUMMYFUNCTION("""COMPUTED_VALUE"""),11.1)</f>
        <v>11.1</v>
      </c>
      <c r="AI444" s="16">
        <f>IFERROR(__xludf.DUMMYFUNCTION("""COMPUTED_VALUE"""),18.0)</f>
        <v>18</v>
      </c>
      <c r="AJ444" s="16">
        <f>IFERROR(__xludf.DUMMYFUNCTION("""COMPUTED_VALUE"""),-2.0)</f>
        <v>-2</v>
      </c>
      <c r="AK444" s="16">
        <f>IFERROR(__xludf.DUMMYFUNCTION("""COMPUTED_VALUE"""),-2.0)</f>
        <v>-2</v>
      </c>
      <c r="AL444" s="16">
        <f>IFERROR(__xludf.DUMMYFUNCTION("""COMPUTED_VALUE"""),-10.0)</f>
        <v>-10</v>
      </c>
      <c r="AM444" s="16">
        <f>IFERROR(__xludf.DUMMYFUNCTION("""COMPUTED_VALUE"""),-10.0)</f>
        <v>-10</v>
      </c>
      <c r="AN444" s="16">
        <f>IFERROR(__xludf.DUMMYFUNCTION("""COMPUTED_VALUE"""),0.0)</f>
        <v>0</v>
      </c>
      <c r="AO444" s="16">
        <f>IFERROR(__xludf.DUMMYFUNCTION("""COMPUTED_VALUE"""),2.8)</f>
        <v>2.8</v>
      </c>
      <c r="AP444" s="16">
        <f>IFERROR(__xludf.DUMMYFUNCTION("""COMPUTED_VALUE"""),-2.0)</f>
        <v>-2</v>
      </c>
      <c r="AQ444" s="16">
        <f>IFERROR(__xludf.DUMMYFUNCTION("""COMPUTED_VALUE"""),0.0)</f>
        <v>0</v>
      </c>
      <c r="AR444" s="16">
        <f>IFERROR(__xludf.DUMMYFUNCTION("""COMPUTED_VALUE"""),-4.0)</f>
        <v>-4</v>
      </c>
      <c r="AS444" s="16">
        <f>IFERROR(__xludf.DUMMYFUNCTION("""COMPUTED_VALUE"""),0.0)</f>
        <v>0</v>
      </c>
      <c r="AT444" s="16"/>
      <c r="AU444" s="16"/>
      <c r="AV444" s="16">
        <f>IFERROR(__xludf.DUMMYFUNCTION("""COMPUTED_VALUE"""),-3.0)</f>
        <v>-3</v>
      </c>
      <c r="AW444" s="16">
        <f>IFERROR(__xludf.DUMMYFUNCTION("""COMPUTED_VALUE"""),-3.0)</f>
        <v>-3</v>
      </c>
      <c r="AX444" s="16">
        <f>IFERROR(__xludf.DUMMYFUNCTION("""COMPUTED_VALUE"""),-3.0)</f>
        <v>-3</v>
      </c>
      <c r="AY444" s="16">
        <f>IFERROR(__xludf.DUMMYFUNCTION("""COMPUTED_VALUE"""),-3.0)</f>
        <v>-3</v>
      </c>
      <c r="AZ444" s="16">
        <f>IFERROR(__xludf.DUMMYFUNCTION("""COMPUTED_VALUE"""),-9.0)</f>
        <v>-9</v>
      </c>
      <c r="BA444" s="16">
        <f>IFERROR(__xludf.DUMMYFUNCTION("""COMPUTED_VALUE"""),-9.0)</f>
        <v>-9</v>
      </c>
      <c r="BB444" s="16">
        <f>IFERROR(__xludf.DUMMYFUNCTION("""COMPUTED_VALUE"""),5.0)</f>
        <v>5</v>
      </c>
      <c r="BC444" s="16">
        <f>IFERROR(__xludf.DUMMYFUNCTION("""COMPUTED_VALUE"""),5.0)</f>
        <v>5</v>
      </c>
      <c r="BD444" s="16">
        <f>IFERROR(__xludf.DUMMYFUNCTION("""COMPUTED_VALUE"""),1.0)</f>
        <v>1</v>
      </c>
      <c r="BE444" s="16">
        <f>IFERROR(__xludf.DUMMYFUNCTION("""COMPUTED_VALUE"""),1.0)</f>
        <v>1</v>
      </c>
      <c r="BF444" s="16">
        <f>IFERROR(__xludf.DUMMYFUNCTION("""COMPUTED_VALUE"""),1.0)</f>
        <v>1</v>
      </c>
      <c r="BG444" s="16">
        <f>IFERROR(__xludf.DUMMYFUNCTION("""COMPUTED_VALUE"""),1.0)</f>
        <v>1</v>
      </c>
      <c r="BH444" s="16">
        <f>IFERROR(__xludf.DUMMYFUNCTION("""COMPUTED_VALUE"""),1.0)</f>
        <v>1</v>
      </c>
      <c r="BI444" s="16">
        <f>IFERROR(__xludf.DUMMYFUNCTION("""COMPUTED_VALUE"""),1.0)</f>
        <v>1</v>
      </c>
      <c r="BJ444" s="16">
        <f>IFERROR(__xludf.DUMMYFUNCTION("""COMPUTED_VALUE"""),16.0)</f>
        <v>16</v>
      </c>
      <c r="BK444" s="16">
        <f>IFERROR(__xludf.DUMMYFUNCTION("""COMPUTED_VALUE"""),18.0)</f>
        <v>18</v>
      </c>
      <c r="BL444" s="16">
        <f>IFERROR(__xludf.DUMMYFUNCTION("""COMPUTED_VALUE"""),-1.0)</f>
        <v>-1</v>
      </c>
      <c r="BM444" s="16">
        <f>IFERROR(__xludf.DUMMYFUNCTION("""COMPUTED_VALUE"""),-1.0)</f>
        <v>-1</v>
      </c>
      <c r="BN444" s="16">
        <f>IFERROR(__xludf.DUMMYFUNCTION("""COMPUTED_VALUE"""),-2.0)</f>
        <v>-2</v>
      </c>
      <c r="BO444" s="16">
        <f>IFERROR(__xludf.DUMMYFUNCTION("""COMPUTED_VALUE"""),-2.0)</f>
        <v>-2</v>
      </c>
      <c r="BP444" s="16">
        <f>IFERROR(__xludf.DUMMYFUNCTION("""COMPUTED_VALUE"""),-6.0)</f>
        <v>-6</v>
      </c>
      <c r="BQ444" s="16">
        <f>IFERROR(__xludf.DUMMYFUNCTION("""COMPUTED_VALUE"""),-6.0)</f>
        <v>-6</v>
      </c>
      <c r="BR444" s="16">
        <f>IFERROR(__xludf.DUMMYFUNCTION("""COMPUTED_VALUE"""),-12.0)</f>
        <v>-12</v>
      </c>
      <c r="BS444" s="16" t="str">
        <f>IFERROR(__xludf.DUMMYFUNCTION("""COMPUTED_VALUE"""),"-/- (---)")</f>
        <v>-/- (---)</v>
      </c>
      <c r="BT444" s="16" t="str">
        <f>IFERROR(__xludf.DUMMYFUNCTION("""COMPUTED_VALUE"""),"E")</f>
        <v>E</v>
      </c>
      <c r="BU444" s="16">
        <f>IFERROR(__xludf.DUMMYFUNCTION("""COMPUTED_VALUE"""),8.0)</f>
        <v>8</v>
      </c>
      <c r="BV444" s="16">
        <f>IFERROR(__xludf.DUMMYFUNCTION("""COMPUTED_VALUE"""),0.0)</f>
        <v>0</v>
      </c>
      <c r="BW444" s="16">
        <f>IFERROR(__xludf.DUMMYFUNCTION("""COMPUTED_VALUE"""),-1.0)</f>
        <v>-1</v>
      </c>
      <c r="BX444" s="16">
        <f>IFERROR(__xludf.DUMMYFUNCTION("""COMPUTED_VALUE"""),0.0)</f>
        <v>0</v>
      </c>
      <c r="BY444" s="16">
        <f>IFERROR(__xludf.DUMMYFUNCTION("""COMPUTED_VALUE"""),-3.0)</f>
        <v>-3</v>
      </c>
      <c r="BZ444" s="16" t="str">
        <f>IFERROR(__xludf.DUMMYFUNCTION("""COMPUTED_VALUE"""),"C")</f>
        <v>C</v>
      </c>
      <c r="CA444" s="16" t="str">
        <f>IFERROR(__xludf.DUMMYFUNCTION("""COMPUTED_VALUE"""),"C")</f>
        <v>C</v>
      </c>
      <c r="CB444" s="16">
        <f>IFERROR(__xludf.DUMMYFUNCTION("""COMPUTED_VALUE"""),0.0)</f>
        <v>0</v>
      </c>
      <c r="CC444" s="16">
        <f>IFERROR(__xludf.DUMMYFUNCTION("""COMPUTED_VALUE"""),0.0)</f>
        <v>0</v>
      </c>
      <c r="CD444" s="16">
        <f>IFERROR(__xludf.DUMMYFUNCTION("""COMPUTED_VALUE"""),0.0)</f>
        <v>0</v>
      </c>
      <c r="CE444" s="16">
        <f>IFERROR(__xludf.DUMMYFUNCTION("""COMPUTED_VALUE"""),0.0)</f>
        <v>0</v>
      </c>
      <c r="CF444" s="16">
        <f>IFERROR(__xludf.DUMMYFUNCTION("""COMPUTED_VALUE"""),2.0)</f>
        <v>2</v>
      </c>
      <c r="CG444" s="16">
        <f>IFERROR(__xludf.DUMMYFUNCTION("""COMPUTED_VALUE"""),-25.0)</f>
        <v>-25</v>
      </c>
      <c r="CH444" s="16">
        <f>IFERROR(__xludf.DUMMYFUNCTION("""COMPUTED_VALUE"""),-27.0)</f>
        <v>-27</v>
      </c>
      <c r="CI444" s="179">
        <f>IFERROR(__xludf.DUMMYFUNCTION("""COMPUTED_VALUE"""),-29.0)</f>
        <v>-29</v>
      </c>
      <c r="CJ444" s="16">
        <f>IFERROR(__xludf.DUMMYFUNCTION("""COMPUTED_VALUE"""),309.0)</f>
        <v>309</v>
      </c>
      <c r="CK444" s="16"/>
      <c r="CL444" s="16"/>
      <c r="CM444" s="16"/>
      <c r="CN444" s="16"/>
      <c r="CO444" s="16"/>
      <c r="CP444" s="16"/>
      <c r="CQ444" s="16"/>
      <c r="CR444" s="16" t="str">
        <f>IFERROR(__xludf.DUMMYFUNCTION("""COMPUTED_VALUE"""),"c-3(+1)e9,T-13(pb-0)")</f>
        <v>c-3(+1)e9,T-13(pb-0)</v>
      </c>
      <c r="CS444" s="16">
        <f>IFERROR(__xludf.DUMMYFUNCTION("""COMPUTED_VALUE"""),3.0)</f>
        <v>3</v>
      </c>
      <c r="CT444" s="16"/>
      <c r="CU444" s="16"/>
      <c r="CV444" s="16"/>
      <c r="CW444" s="16"/>
      <c r="CX444" s="16"/>
      <c r="CY444" s="16"/>
      <c r="CZ444" s="16"/>
      <c r="DA444" s="16">
        <f>IFERROR(__xludf.DUMMYFUNCTION("""COMPUTED_VALUE"""),9.0)</f>
        <v>9</v>
      </c>
      <c r="DB444" s="16"/>
      <c r="DC444" s="16"/>
      <c r="DD444" s="16"/>
      <c r="DE444" s="16"/>
      <c r="DF444" s="16"/>
      <c r="DG444" s="16"/>
      <c r="DH444" s="16"/>
      <c r="DI444" s="16">
        <f>IFERROR(__xludf.DUMMYFUNCTION("""COMPUTED_VALUE"""),0.0)</f>
        <v>0</v>
      </c>
      <c r="DJ444" s="16"/>
      <c r="DK444" s="16"/>
      <c r="DL444" s="16"/>
      <c r="DM444" s="16"/>
      <c r="DN444" s="16"/>
      <c r="DO444" s="16"/>
      <c r="DP444" s="16"/>
      <c r="DQ444" s="16">
        <f>IFERROR(__xludf.DUMMYFUNCTION("""COMPUTED_VALUE"""),0.0)</f>
        <v>0</v>
      </c>
      <c r="DR444" s="16"/>
      <c r="DS444" s="16"/>
      <c r="DT444" s="16"/>
      <c r="DU444" s="16"/>
      <c r="DV444" s="16"/>
      <c r="DW444" s="16"/>
      <c r="DX444" s="16"/>
      <c r="DY444" s="16">
        <f>IFERROR(__xludf.DUMMYFUNCTION("""COMPUTED_VALUE"""),0.0)</f>
        <v>0</v>
      </c>
      <c r="DZ444" s="16"/>
      <c r="EA444" s="16"/>
      <c r="EB444" s="16"/>
      <c r="EC444" s="16"/>
      <c r="ED444" s="16"/>
      <c r="EE444" s="16"/>
      <c r="EF444" s="16"/>
      <c r="EG444" s="179">
        <f>IFERROR(__xludf.DUMMYFUNCTION("""COMPUTED_VALUE"""),-28.0)</f>
        <v>-28</v>
      </c>
      <c r="EH444" s="179"/>
      <c r="EI444" s="179"/>
      <c r="EJ444" s="179"/>
      <c r="EK444" s="179"/>
      <c r="EL444" s="179"/>
      <c r="EM444" s="179"/>
      <c r="EN444" s="179"/>
      <c r="EO444" s="16">
        <f>IFERROR(__xludf.DUMMYFUNCTION("""COMPUTED_VALUE"""),1.0)</f>
        <v>1</v>
      </c>
      <c r="EP444" s="16">
        <f>IFERROR(__xludf.DUMMYFUNCTION("""COMPUTED_VALUE"""),2.0)</f>
        <v>2</v>
      </c>
      <c r="EQ444" s="16">
        <f>IFERROR(__xludf.DUMMYFUNCTION("""COMPUTED_VALUE"""),2.0)</f>
        <v>2</v>
      </c>
      <c r="ER444" s="16">
        <f>IFERROR(__xludf.DUMMYFUNCTION("""COMPUTED_VALUE"""),-4.0)</f>
        <v>-4</v>
      </c>
      <c r="ES444" s="16" t="str">
        <f>IFERROR(__xludf.DUMMYFUNCTION("""COMPUTED_VALUE"""),"c-3")</f>
        <v>c-3</v>
      </c>
      <c r="ET444" s="16" t="str">
        <f>IFERROR(__xludf.DUMMYFUNCTION("""COMPUTED_VALUE"""),"+1)e9,T-13")</f>
        <v>+1)e9,T-13</v>
      </c>
      <c r="EU444" s="16" t="str">
        <f>IFERROR(__xludf.DUMMYFUNCTION("""COMPUTED_VALUE"""),"pb-0)")</f>
        <v>pb-0)</v>
      </c>
      <c r="EV444" s="16"/>
      <c r="EW444" s="16">
        <f>IFERROR(__xludf.DUMMYFUNCTION("""COMPUTED_VALUE"""),1.0)</f>
        <v>1</v>
      </c>
      <c r="EX444" s="180">
        <f>IFERROR(__xludf.DUMMYFUNCTION("""COMPUTED_VALUE"""),0.2)</f>
        <v>0.2</v>
      </c>
      <c r="EY444" s="180"/>
      <c r="EZ444" s="180"/>
      <c r="FA444" s="180"/>
      <c r="FB444" s="180"/>
      <c r="FC444" s="180"/>
      <c r="FD444" s="180"/>
      <c r="FE444" s="180"/>
      <c r="FF444" s="180">
        <f>IFERROR(__xludf.DUMMYFUNCTION("""COMPUTED_VALUE"""),0.107)</f>
        <v>0.107</v>
      </c>
      <c r="FG444" s="180"/>
      <c r="FH444" s="180"/>
      <c r="FI444" s="180"/>
      <c r="FJ444" s="180"/>
      <c r="FK444" s="180"/>
      <c r="FL444" s="180"/>
      <c r="FM444" s="180"/>
      <c r="FN444" s="16">
        <f>IFERROR(__xludf.DUMMYFUNCTION("""COMPUTED_VALUE"""),0.7144)</f>
        <v>0.7144</v>
      </c>
      <c r="FO444" s="16"/>
      <c r="FP444" s="16"/>
      <c r="FQ444" s="16"/>
      <c r="FR444" s="16"/>
      <c r="FS444" s="16"/>
      <c r="FT444" s="16"/>
      <c r="FU444" s="16"/>
      <c r="FV444" s="16">
        <f>IFERROR(__xludf.DUMMYFUNCTION("""COMPUTED_VALUE"""),-5.0)</f>
        <v>-5</v>
      </c>
      <c r="FW444" s="16"/>
      <c r="FX444" s="16"/>
      <c r="FY444" s="16"/>
      <c r="FZ444" s="16"/>
      <c r="GA444" s="16"/>
      <c r="GB444" s="16"/>
      <c r="GC444" s="16"/>
      <c r="GD444" s="16" t="s">
        <v>176</v>
      </c>
    </row>
    <row r="445">
      <c r="A445" s="16">
        <f>IFERROR(__xludf.DUMMYFUNCTION("""COMPUTED_VALUE"""),13443.0)</f>
        <v>13443</v>
      </c>
      <c r="B445" s="16" t="str">
        <f>IFERROR(__xludf.DUMMYFUNCTION("""COMPUTED_VALUE"""),"Tucker Barnhart")</f>
        <v>Tucker Barnhart</v>
      </c>
      <c r="C445" s="16">
        <f>IFERROR(__xludf.DUMMYFUNCTION("""COMPUTED_VALUE"""),0.55)</f>
        <v>0.55</v>
      </c>
      <c r="D445" s="16" t="str">
        <f>IFERROR(__xludf.DUMMYFUNCTION("""COMPUTED_VALUE"""),"L")</f>
        <v>L</v>
      </c>
      <c r="E445" s="16"/>
      <c r="F445" s="16"/>
      <c r="G445" s="16">
        <f>IFERROR(__xludf.DUMMYFUNCTION("""COMPUTED_VALUE"""),81.0)</f>
        <v>81</v>
      </c>
      <c r="H445" s="16">
        <f>IFERROR(__xludf.DUMMYFUNCTION("""COMPUTED_VALUE"""),13.0)</f>
        <v>13</v>
      </c>
      <c r="I445" s="16" t="str">
        <f>IFERROR(__xludf.DUMMYFUNCTION("""COMPUTED_VALUE"""),"2p20")</f>
        <v>2p20</v>
      </c>
      <c r="J445" s="16">
        <f>IFERROR(__xludf.DUMMYFUNCTION("""COMPUTED_VALUE"""),54.0)</f>
        <v>54</v>
      </c>
      <c r="K445" s="16">
        <f>IFERROR(__xludf.DUMMYFUNCTION("""COMPUTED_VALUE"""),42.0)</f>
        <v>42</v>
      </c>
      <c r="L445" s="16">
        <f>IFERROR(__xludf.DUMMYFUNCTION("""COMPUTED_VALUE"""),-2.0)</f>
        <v>-2</v>
      </c>
      <c r="M445" s="16">
        <f>IFERROR(__xludf.DUMMYFUNCTION("""COMPUTED_VALUE"""),-2.0)</f>
        <v>-2</v>
      </c>
      <c r="N445" s="16">
        <f>IFERROR(__xludf.DUMMYFUNCTION("""COMPUTED_VALUE"""),-2.0)</f>
        <v>-2</v>
      </c>
      <c r="O445" s="16">
        <f>IFERROR(__xludf.DUMMYFUNCTION("""COMPUTED_VALUE"""),-2.0)</f>
        <v>-2</v>
      </c>
      <c r="P445" s="16">
        <f>IFERROR(__xludf.DUMMYFUNCTION("""COMPUTED_VALUE"""),6.0)</f>
        <v>6</v>
      </c>
      <c r="Q445" s="16">
        <f>IFERROR(__xludf.DUMMYFUNCTION("""COMPUTED_VALUE"""),28.0)</f>
        <v>28</v>
      </c>
      <c r="R445" s="16">
        <f>IFERROR(__xludf.DUMMYFUNCTION("""COMPUTED_VALUE"""),-1.0)</f>
        <v>-1</v>
      </c>
      <c r="S445" s="16">
        <f>IFERROR(__xludf.DUMMYFUNCTION("""COMPUTED_VALUE"""),3.0)</f>
        <v>3</v>
      </c>
      <c r="T445" s="16">
        <f>IFERROR(__xludf.DUMMYFUNCTION("""COMPUTED_VALUE"""),-1.0)</f>
        <v>-1</v>
      </c>
      <c r="U445" s="16">
        <f>IFERROR(__xludf.DUMMYFUNCTION("""COMPUTED_VALUE"""),3.0)</f>
        <v>3</v>
      </c>
      <c r="V445" s="16">
        <f>IFERROR(__xludf.DUMMYFUNCTION("""COMPUTED_VALUE"""),4.2)</f>
        <v>4.2</v>
      </c>
      <c r="W445" s="16">
        <f>IFERROR(__xludf.DUMMYFUNCTION("""COMPUTED_VALUE"""),5.9)</f>
        <v>5.9</v>
      </c>
      <c r="X445" s="16">
        <f>IFERROR(__xludf.DUMMYFUNCTION("""COMPUTED_VALUE"""),-2.0)</f>
        <v>-2</v>
      </c>
      <c r="Y445" s="16">
        <f>IFERROR(__xludf.DUMMYFUNCTION("""COMPUTED_VALUE"""),-2.0)</f>
        <v>-2</v>
      </c>
      <c r="Z445" s="16">
        <f>IFERROR(__xludf.DUMMYFUNCTION("""COMPUTED_VALUE"""),-4.0)</f>
        <v>-4</v>
      </c>
      <c r="AA445" s="16">
        <f>IFERROR(__xludf.DUMMYFUNCTION("""COMPUTED_VALUE"""),-4.0)</f>
        <v>-4</v>
      </c>
      <c r="AB445" s="16">
        <f>IFERROR(__xludf.DUMMYFUNCTION("""COMPUTED_VALUE"""),10.2)</f>
        <v>10.2</v>
      </c>
      <c r="AC445" s="16">
        <f>IFERROR(__xludf.DUMMYFUNCTION("""COMPUTED_VALUE"""),33.9)</f>
        <v>33.9</v>
      </c>
      <c r="AD445" s="16">
        <f>IFERROR(__xludf.DUMMYFUNCTION("""COMPUTED_VALUE"""),-2.0)</f>
        <v>-2</v>
      </c>
      <c r="AE445" s="16">
        <f>IFERROR(__xludf.DUMMYFUNCTION("""COMPUTED_VALUE"""),0.0)</f>
        <v>0</v>
      </c>
      <c r="AF445" s="16">
        <f>IFERROR(__xludf.DUMMYFUNCTION("""COMPUTED_VALUE"""),-10.0)</f>
        <v>-10</v>
      </c>
      <c r="AG445" s="16">
        <f>IFERROR(__xludf.DUMMYFUNCTION("""COMPUTED_VALUE"""),0.0)</f>
        <v>0</v>
      </c>
      <c r="AH445" s="16">
        <f>IFERROR(__xludf.DUMMYFUNCTION("""COMPUTED_VALUE"""),6.4)</f>
        <v>6.4</v>
      </c>
      <c r="AI445" s="16">
        <f>IFERROR(__xludf.DUMMYFUNCTION("""COMPUTED_VALUE"""),7.7)</f>
        <v>7.7</v>
      </c>
      <c r="AJ445" s="16">
        <f>IFERROR(__xludf.DUMMYFUNCTION("""COMPUTED_VALUE"""),-2.0)</f>
        <v>-2</v>
      </c>
      <c r="AK445" s="16">
        <f>IFERROR(__xludf.DUMMYFUNCTION("""COMPUTED_VALUE"""),-2.0)</f>
        <v>-2</v>
      </c>
      <c r="AL445" s="16">
        <f>IFERROR(__xludf.DUMMYFUNCTION("""COMPUTED_VALUE"""),-10.0)</f>
        <v>-10</v>
      </c>
      <c r="AM445" s="16">
        <f>IFERROR(__xludf.DUMMYFUNCTION("""COMPUTED_VALUE"""),-10.0)</f>
        <v>-10</v>
      </c>
      <c r="AN445" s="16">
        <f>IFERROR(__xludf.DUMMYFUNCTION("""COMPUTED_VALUE"""),0.0)</f>
        <v>0</v>
      </c>
      <c r="AO445" s="16">
        <f>IFERROR(__xludf.DUMMYFUNCTION("""COMPUTED_VALUE"""),0.0)</f>
        <v>0</v>
      </c>
      <c r="AP445" s="16">
        <f>IFERROR(__xludf.DUMMYFUNCTION("""COMPUTED_VALUE"""),-2.0)</f>
        <v>-2</v>
      </c>
      <c r="AQ445" s="16">
        <f>IFERROR(__xludf.DUMMYFUNCTION("""COMPUTED_VALUE"""),-3.0)</f>
        <v>-3</v>
      </c>
      <c r="AR445" s="16">
        <f>IFERROR(__xludf.DUMMYFUNCTION("""COMPUTED_VALUE"""),-4.0)</f>
        <v>-4</v>
      </c>
      <c r="AS445" s="16">
        <f>IFERROR(__xludf.DUMMYFUNCTION("""COMPUTED_VALUE"""),-6.0)</f>
        <v>-6</v>
      </c>
      <c r="AT445" s="16"/>
      <c r="AU445" s="16"/>
      <c r="AV445" s="16">
        <f>IFERROR(__xludf.DUMMYFUNCTION("""COMPUTED_VALUE"""),-3.0)</f>
        <v>-3</v>
      </c>
      <c r="AW445" s="16">
        <f>IFERROR(__xludf.DUMMYFUNCTION("""COMPUTED_VALUE"""),-3.0)</f>
        <v>-3</v>
      </c>
      <c r="AX445" s="16">
        <f>IFERROR(__xludf.DUMMYFUNCTION("""COMPUTED_VALUE"""),-3.0)</f>
        <v>-3</v>
      </c>
      <c r="AY445" s="16">
        <f>IFERROR(__xludf.DUMMYFUNCTION("""COMPUTED_VALUE"""),-3.0)</f>
        <v>-3</v>
      </c>
      <c r="AZ445" s="16">
        <f>IFERROR(__xludf.DUMMYFUNCTION("""COMPUTED_VALUE"""),-9.0)</f>
        <v>-9</v>
      </c>
      <c r="BA445" s="16">
        <f>IFERROR(__xludf.DUMMYFUNCTION("""COMPUTED_VALUE"""),-9.0)</f>
        <v>-9</v>
      </c>
      <c r="BB445" s="16">
        <f>IFERROR(__xludf.DUMMYFUNCTION("""COMPUTED_VALUE"""),0.0)</f>
        <v>0</v>
      </c>
      <c r="BC445" s="16">
        <f>IFERROR(__xludf.DUMMYFUNCTION("""COMPUTED_VALUE"""),5.0)</f>
        <v>5</v>
      </c>
      <c r="BD445" s="16">
        <f>IFERROR(__xludf.DUMMYFUNCTION("""COMPUTED_VALUE"""),0.0)</f>
        <v>0</v>
      </c>
      <c r="BE445" s="16">
        <f>IFERROR(__xludf.DUMMYFUNCTION("""COMPUTED_VALUE"""),1.0)</f>
        <v>1</v>
      </c>
      <c r="BF445" s="16">
        <f>IFERROR(__xludf.DUMMYFUNCTION("""COMPUTED_VALUE"""),0.0)</f>
        <v>0</v>
      </c>
      <c r="BG445" s="16">
        <f>IFERROR(__xludf.DUMMYFUNCTION("""COMPUTED_VALUE"""),1.0)</f>
        <v>1</v>
      </c>
      <c r="BH445" s="16">
        <f>IFERROR(__xludf.DUMMYFUNCTION("""COMPUTED_VALUE"""),0.0)</f>
        <v>0</v>
      </c>
      <c r="BI445" s="16">
        <f>IFERROR(__xludf.DUMMYFUNCTION("""COMPUTED_VALUE"""),1.0)</f>
        <v>1</v>
      </c>
      <c r="BJ445" s="16">
        <f>IFERROR(__xludf.DUMMYFUNCTION("""COMPUTED_VALUE"""),0.0)</f>
        <v>0</v>
      </c>
      <c r="BK445" s="16">
        <f>IFERROR(__xludf.DUMMYFUNCTION("""COMPUTED_VALUE"""),0.0)</f>
        <v>0</v>
      </c>
      <c r="BL445" s="16">
        <f>IFERROR(__xludf.DUMMYFUNCTION("""COMPUTED_VALUE"""),3.0)</f>
        <v>3</v>
      </c>
      <c r="BM445" s="16">
        <f>IFERROR(__xludf.DUMMYFUNCTION("""COMPUTED_VALUE"""),3.0)</f>
        <v>3</v>
      </c>
      <c r="BN445" s="16">
        <f>IFERROR(__xludf.DUMMYFUNCTION("""COMPUTED_VALUE"""),3.0)</f>
        <v>3</v>
      </c>
      <c r="BO445" s="16">
        <f>IFERROR(__xludf.DUMMYFUNCTION("""COMPUTED_VALUE"""),3.0)</f>
        <v>3</v>
      </c>
      <c r="BP445" s="16">
        <f>IFERROR(__xludf.DUMMYFUNCTION("""COMPUTED_VALUE"""),-11.0)</f>
        <v>-11</v>
      </c>
      <c r="BQ445" s="16">
        <f>IFERROR(__xludf.DUMMYFUNCTION("""COMPUTED_VALUE"""),-5.0)</f>
        <v>-5</v>
      </c>
      <c r="BR445" s="16">
        <f>IFERROR(__xludf.DUMMYFUNCTION("""COMPUTED_VALUE"""),-16.0)</f>
        <v>-16</v>
      </c>
      <c r="BS445" s="16" t="str">
        <f>IFERROR(__xludf.DUMMYFUNCTION("""COMPUTED_VALUE"""),"3/- (20-6)")</f>
        <v>3/- (20-6)</v>
      </c>
      <c r="BT445" s="16" t="str">
        <f>IFERROR(__xludf.DUMMYFUNCTION("""COMPUTED_VALUE"""),"D")</f>
        <v>D</v>
      </c>
      <c r="BU445" s="16">
        <f>IFERROR(__xludf.DUMMYFUNCTION("""COMPUTED_VALUE"""),8.0)</f>
        <v>8</v>
      </c>
      <c r="BV445" s="16">
        <f>IFERROR(__xludf.DUMMYFUNCTION("""COMPUTED_VALUE"""),0.0)</f>
        <v>0</v>
      </c>
      <c r="BW445" s="16">
        <f>IFERROR(__xludf.DUMMYFUNCTION("""COMPUTED_VALUE"""),-1.0)</f>
        <v>-1</v>
      </c>
      <c r="BX445" s="16">
        <f>IFERROR(__xludf.DUMMYFUNCTION("""COMPUTED_VALUE"""),0.0)</f>
        <v>0</v>
      </c>
      <c r="BY445" s="16">
        <f>IFERROR(__xludf.DUMMYFUNCTION("""COMPUTED_VALUE"""),-3.0)</f>
        <v>-3</v>
      </c>
      <c r="BZ445" s="16" t="str">
        <f>IFERROR(__xludf.DUMMYFUNCTION("""COMPUTED_VALUE"""),"C")</f>
        <v>C</v>
      </c>
      <c r="CA445" s="16" t="str">
        <f>IFERROR(__xludf.DUMMYFUNCTION("""COMPUTED_VALUE"""),"D")</f>
        <v>D</v>
      </c>
      <c r="CB445" s="16">
        <f>IFERROR(__xludf.DUMMYFUNCTION("""COMPUTED_VALUE"""),0.0)</f>
        <v>0</v>
      </c>
      <c r="CC445" s="16">
        <f>IFERROR(__xludf.DUMMYFUNCTION("""COMPUTED_VALUE"""),0.0)</f>
        <v>0</v>
      </c>
      <c r="CD445" s="16">
        <f>IFERROR(__xludf.DUMMYFUNCTION("""COMPUTED_VALUE"""),0.0)</f>
        <v>0</v>
      </c>
      <c r="CE445" s="16">
        <f>IFERROR(__xludf.DUMMYFUNCTION("""COMPUTED_VALUE"""),0.0)</f>
        <v>0</v>
      </c>
      <c r="CF445" s="16">
        <f>IFERROR(__xludf.DUMMYFUNCTION("""COMPUTED_VALUE"""),2.0)</f>
        <v>2</v>
      </c>
      <c r="CG445" s="16">
        <f>IFERROR(__xludf.DUMMYFUNCTION("""COMPUTED_VALUE"""),-37.0)</f>
        <v>-37</v>
      </c>
      <c r="CH445" s="16">
        <f>IFERROR(__xludf.DUMMYFUNCTION("""COMPUTED_VALUE"""),-24.0)</f>
        <v>-24</v>
      </c>
      <c r="CI445" s="179">
        <f>IFERROR(__xludf.DUMMYFUNCTION("""COMPUTED_VALUE"""),-30.0)</f>
        <v>-30</v>
      </c>
      <c r="CJ445" s="16">
        <f>IFERROR(__xludf.DUMMYFUNCTION("""COMPUTED_VALUE"""),411.0)</f>
        <v>411</v>
      </c>
      <c r="CK445" s="16"/>
      <c r="CL445" s="16"/>
      <c r="CM445" s="16"/>
      <c r="CN445" s="16"/>
      <c r="CO445" s="16"/>
      <c r="CP445" s="16"/>
      <c r="CQ445" s="16"/>
      <c r="CR445" s="16" t="str">
        <f>IFERROR(__xludf.DUMMYFUNCTION("""COMPUTED_VALUE"""),"c-4(+1)e11,T-1(pb-0)")</f>
        <v>c-4(+1)e11,T-1(pb-0)</v>
      </c>
      <c r="CS445" s="16">
        <f>IFERROR(__xludf.DUMMYFUNCTION("""COMPUTED_VALUE"""),4.0)</f>
        <v>4</v>
      </c>
      <c r="CT445" s="16"/>
      <c r="CU445" s="16"/>
      <c r="CV445" s="16"/>
      <c r="CW445" s="16"/>
      <c r="CX445" s="16"/>
      <c r="CY445" s="16"/>
      <c r="CZ445" s="16"/>
      <c r="DA445" s="16">
        <f>IFERROR(__xludf.DUMMYFUNCTION("""COMPUTED_VALUE"""),11.0)</f>
        <v>11</v>
      </c>
      <c r="DB445" s="16"/>
      <c r="DC445" s="16"/>
      <c r="DD445" s="16"/>
      <c r="DE445" s="16"/>
      <c r="DF445" s="16"/>
      <c r="DG445" s="16"/>
      <c r="DH445" s="16"/>
      <c r="DI445" s="16">
        <f>IFERROR(__xludf.DUMMYFUNCTION("""COMPUTED_VALUE"""),-2.0)</f>
        <v>-2</v>
      </c>
      <c r="DJ445" s="16"/>
      <c r="DK445" s="16"/>
      <c r="DL445" s="16"/>
      <c r="DM445" s="16"/>
      <c r="DN445" s="16"/>
      <c r="DO445" s="16"/>
      <c r="DP445" s="16"/>
      <c r="DQ445" s="16">
        <f>IFERROR(__xludf.DUMMYFUNCTION("""COMPUTED_VALUE"""),-2.0)</f>
        <v>-2</v>
      </c>
      <c r="DR445" s="16"/>
      <c r="DS445" s="16"/>
      <c r="DT445" s="16"/>
      <c r="DU445" s="16"/>
      <c r="DV445" s="16"/>
      <c r="DW445" s="16"/>
      <c r="DX445" s="16"/>
      <c r="DY445" s="16">
        <f>IFERROR(__xludf.DUMMYFUNCTION("""COMPUTED_VALUE"""),-4.0)</f>
        <v>-4</v>
      </c>
      <c r="DZ445" s="16"/>
      <c r="EA445" s="16"/>
      <c r="EB445" s="16"/>
      <c r="EC445" s="16"/>
      <c r="ED445" s="16"/>
      <c r="EE445" s="16"/>
      <c r="EF445" s="16"/>
      <c r="EG445" s="179">
        <f>IFERROR(__xludf.DUMMYFUNCTION("""COMPUTED_VALUE"""),-33.0)</f>
        <v>-33</v>
      </c>
      <c r="EH445" s="179"/>
      <c r="EI445" s="179"/>
      <c r="EJ445" s="179"/>
      <c r="EK445" s="179"/>
      <c r="EL445" s="179"/>
      <c r="EM445" s="179"/>
      <c r="EN445" s="179"/>
      <c r="EO445" s="16">
        <f>IFERROR(__xludf.DUMMYFUNCTION("""COMPUTED_VALUE"""),1.0)</f>
        <v>1</v>
      </c>
      <c r="EP445" s="16">
        <f>IFERROR(__xludf.DUMMYFUNCTION("""COMPUTED_VALUE"""),-2.0)</f>
        <v>-2</v>
      </c>
      <c r="EQ445" s="16">
        <f>IFERROR(__xludf.DUMMYFUNCTION("""COMPUTED_VALUE"""),2.0)</f>
        <v>2</v>
      </c>
      <c r="ER445" s="16">
        <f>IFERROR(__xludf.DUMMYFUNCTION("""COMPUTED_VALUE"""),-4.0)</f>
        <v>-4</v>
      </c>
      <c r="ES445" s="16" t="str">
        <f>IFERROR(__xludf.DUMMYFUNCTION("""COMPUTED_VALUE"""),"c-4")</f>
        <v>c-4</v>
      </c>
      <c r="ET445" s="16" t="str">
        <f>IFERROR(__xludf.DUMMYFUNCTION("""COMPUTED_VALUE"""),"+1)e11,T-1")</f>
        <v>+1)e11,T-1</v>
      </c>
      <c r="EU445" s="16" t="str">
        <f>IFERROR(__xludf.DUMMYFUNCTION("""COMPUTED_VALUE"""),"pb-0)")</f>
        <v>pb-0)</v>
      </c>
      <c r="EV445" s="16"/>
      <c r="EW445" s="16">
        <f>IFERROR(__xludf.DUMMYFUNCTION("""COMPUTED_VALUE"""),1.0)</f>
        <v>1</v>
      </c>
      <c r="EX445" s="180">
        <f>IFERROR(__xludf.DUMMYFUNCTION("""COMPUTED_VALUE"""),0.3)</f>
        <v>0.3</v>
      </c>
      <c r="EY445" s="180"/>
      <c r="EZ445" s="180"/>
      <c r="FA445" s="180"/>
      <c r="FB445" s="180"/>
      <c r="FC445" s="180"/>
      <c r="FD445" s="180"/>
      <c r="FE445" s="180"/>
      <c r="FF445" s="180">
        <f>IFERROR(__xludf.DUMMYFUNCTION("""COMPUTED_VALUE"""),0.135)</f>
        <v>0.135</v>
      </c>
      <c r="FG445" s="180"/>
      <c r="FH445" s="180"/>
      <c r="FI445" s="180"/>
      <c r="FJ445" s="180"/>
      <c r="FK445" s="180"/>
      <c r="FL445" s="180"/>
      <c r="FM445" s="180"/>
      <c r="FN445" s="16">
        <f>IFERROR(__xludf.DUMMYFUNCTION("""COMPUTED_VALUE"""),0.6054999999999999)</f>
        <v>0.6055</v>
      </c>
      <c r="FO445" s="16"/>
      <c r="FP445" s="16"/>
      <c r="FQ445" s="16"/>
      <c r="FR445" s="16"/>
      <c r="FS445" s="16"/>
      <c r="FT445" s="16"/>
      <c r="FU445" s="16"/>
      <c r="FV445" s="16">
        <f>IFERROR(__xludf.DUMMYFUNCTION("""COMPUTED_VALUE"""),-7.0)</f>
        <v>-7</v>
      </c>
      <c r="FW445" s="16"/>
      <c r="FX445" s="16"/>
      <c r="FY445" s="16"/>
      <c r="FZ445" s="16"/>
      <c r="GA445" s="16"/>
      <c r="GB445" s="16"/>
      <c r="GC445" s="16"/>
      <c r="GD445" s="16" t="s">
        <v>176</v>
      </c>
    </row>
    <row r="446">
      <c r="A446" s="16">
        <f>IFERROR(__xludf.DUMMYFUNCTION("""COMPUTED_VALUE"""),13303.0)</f>
        <v>13303</v>
      </c>
      <c r="B446" s="16" t="str">
        <f>IFERROR(__xludf.DUMMYFUNCTION("""COMPUTED_VALUE"""),"Reese McGuire")</f>
        <v>Reese McGuire</v>
      </c>
      <c r="C446" s="16">
        <f>IFERROR(__xludf.DUMMYFUNCTION("""COMPUTED_VALUE"""),0.11)</f>
        <v>0.11</v>
      </c>
      <c r="D446" s="16" t="str">
        <f>IFERROR(__xludf.DUMMYFUNCTION("""COMPUTED_VALUE"""),"L")</f>
        <v>L</v>
      </c>
      <c r="E446" s="16"/>
      <c r="F446" s="16"/>
      <c r="G446" s="16">
        <f>IFERROR(__xludf.DUMMYFUNCTION("""COMPUTED_VALUE"""),139.0)</f>
        <v>139</v>
      </c>
      <c r="H446" s="16">
        <f>IFERROR(__xludf.DUMMYFUNCTION("""COMPUTED_VALUE"""),13.0)</f>
        <v>13</v>
      </c>
      <c r="I446" s="16" t="str">
        <f>IFERROR(__xludf.DUMMYFUNCTION("""COMPUTED_VALUE"""),"2p30")</f>
        <v>2p30</v>
      </c>
      <c r="J446" s="16">
        <f>IFERROR(__xludf.DUMMYFUNCTION("""COMPUTED_VALUE"""),42.0)</f>
        <v>42</v>
      </c>
      <c r="K446" s="16">
        <f>IFERROR(__xludf.DUMMYFUNCTION("""COMPUTED_VALUE"""),28.0)</f>
        <v>28</v>
      </c>
      <c r="L446" s="16">
        <f>IFERROR(__xludf.DUMMYFUNCTION("""COMPUTED_VALUE"""),-1.0)</f>
        <v>-1</v>
      </c>
      <c r="M446" s="16">
        <f>IFERROR(__xludf.DUMMYFUNCTION("""COMPUTED_VALUE"""),0.0)</f>
        <v>0</v>
      </c>
      <c r="N446" s="16">
        <f>IFERROR(__xludf.DUMMYFUNCTION("""COMPUTED_VALUE"""),-1.0)</f>
        <v>-1</v>
      </c>
      <c r="O446" s="16">
        <f>IFERROR(__xludf.DUMMYFUNCTION("""COMPUTED_VALUE"""),0.0)</f>
        <v>0</v>
      </c>
      <c r="P446" s="16">
        <f>IFERROR(__xludf.DUMMYFUNCTION("""COMPUTED_VALUE"""),0.0)</f>
        <v>0</v>
      </c>
      <c r="Q446" s="16">
        <f>IFERROR(__xludf.DUMMYFUNCTION("""COMPUTED_VALUE"""),11.0)</f>
        <v>11</v>
      </c>
      <c r="R446" s="16">
        <f>IFERROR(__xludf.DUMMYFUNCTION("""COMPUTED_VALUE"""),-3.0)</f>
        <v>-3</v>
      </c>
      <c r="S446" s="16">
        <f>IFERROR(__xludf.DUMMYFUNCTION("""COMPUTED_VALUE"""),1.0)</f>
        <v>1</v>
      </c>
      <c r="T446" s="16">
        <f>IFERROR(__xludf.DUMMYFUNCTION("""COMPUTED_VALUE"""),-3.0)</f>
        <v>-3</v>
      </c>
      <c r="U446" s="16">
        <f>IFERROR(__xludf.DUMMYFUNCTION("""COMPUTED_VALUE"""),1.0)</f>
        <v>1</v>
      </c>
      <c r="V446" s="16">
        <f>IFERROR(__xludf.DUMMYFUNCTION("""COMPUTED_VALUE"""),5.7)</f>
        <v>5.7</v>
      </c>
      <c r="W446" s="16">
        <f>IFERROR(__xludf.DUMMYFUNCTION("""COMPUTED_VALUE"""),13.1)</f>
        <v>13.1</v>
      </c>
      <c r="X446" s="16">
        <f>IFERROR(__xludf.DUMMYFUNCTION("""COMPUTED_VALUE"""),-2.0)</f>
        <v>-2</v>
      </c>
      <c r="Y446" s="16">
        <f>IFERROR(__xludf.DUMMYFUNCTION("""COMPUTED_VALUE"""),-1.0)</f>
        <v>-1</v>
      </c>
      <c r="Z446" s="16">
        <f>IFERROR(__xludf.DUMMYFUNCTION("""COMPUTED_VALUE"""),-4.0)</f>
        <v>-4</v>
      </c>
      <c r="AA446" s="16">
        <f>IFERROR(__xludf.DUMMYFUNCTION("""COMPUTED_VALUE"""),-2.0)</f>
        <v>-2</v>
      </c>
      <c r="AB446" s="16">
        <f>IFERROR(__xludf.DUMMYFUNCTION("""COMPUTED_VALUE"""),8.6)</f>
        <v>8.6</v>
      </c>
      <c r="AC446" s="16">
        <f>IFERROR(__xludf.DUMMYFUNCTION("""COMPUTED_VALUE"""),27.0)</f>
        <v>27</v>
      </c>
      <c r="AD446" s="16">
        <f>IFERROR(__xludf.DUMMYFUNCTION("""COMPUTED_VALUE"""),-2.0)</f>
        <v>-2</v>
      </c>
      <c r="AE446" s="16">
        <f>IFERROR(__xludf.DUMMYFUNCTION("""COMPUTED_VALUE"""),-1.0)</f>
        <v>-1</v>
      </c>
      <c r="AF446" s="16">
        <f>IFERROR(__xludf.DUMMYFUNCTION("""COMPUTED_VALUE"""),-10.0)</f>
        <v>-10</v>
      </c>
      <c r="AG446" s="16">
        <f>IFERROR(__xludf.DUMMYFUNCTION("""COMPUTED_VALUE"""),-5.0)</f>
        <v>-5</v>
      </c>
      <c r="AH446" s="16">
        <f>IFERROR(__xludf.DUMMYFUNCTION("""COMPUTED_VALUE"""),7.8)</f>
        <v>7.8</v>
      </c>
      <c r="AI446" s="16">
        <f>IFERROR(__xludf.DUMMYFUNCTION("""COMPUTED_VALUE"""),15.3)</f>
        <v>15.3</v>
      </c>
      <c r="AJ446" s="16">
        <f>IFERROR(__xludf.DUMMYFUNCTION("""COMPUTED_VALUE"""),-2.0)</f>
        <v>-2</v>
      </c>
      <c r="AK446" s="16">
        <f>IFERROR(__xludf.DUMMYFUNCTION("""COMPUTED_VALUE"""),-2.0)</f>
        <v>-2</v>
      </c>
      <c r="AL446" s="16">
        <f>IFERROR(__xludf.DUMMYFUNCTION("""COMPUTED_VALUE"""),-10.0)</f>
        <v>-10</v>
      </c>
      <c r="AM446" s="16">
        <f>IFERROR(__xludf.DUMMYFUNCTION("""COMPUTED_VALUE"""),-10.0)</f>
        <v>-10</v>
      </c>
      <c r="AN446" s="16">
        <f>IFERROR(__xludf.DUMMYFUNCTION("""COMPUTED_VALUE"""),0.7)</f>
        <v>0.7</v>
      </c>
      <c r="AO446" s="16">
        <f>IFERROR(__xludf.DUMMYFUNCTION("""COMPUTED_VALUE"""),0.8)</f>
        <v>0.8</v>
      </c>
      <c r="AP446" s="16">
        <f>IFERROR(__xludf.DUMMYFUNCTION("""COMPUTED_VALUE"""),-2.0)</f>
        <v>-2</v>
      </c>
      <c r="AQ446" s="16">
        <f>IFERROR(__xludf.DUMMYFUNCTION("""COMPUTED_VALUE"""),-2.0)</f>
        <v>-2</v>
      </c>
      <c r="AR446" s="16">
        <f>IFERROR(__xludf.DUMMYFUNCTION("""COMPUTED_VALUE"""),-4.0)</f>
        <v>-4</v>
      </c>
      <c r="AS446" s="16">
        <f>IFERROR(__xludf.DUMMYFUNCTION("""COMPUTED_VALUE"""),-4.0)</f>
        <v>-4</v>
      </c>
      <c r="AT446" s="16">
        <f>IFERROR(__xludf.DUMMYFUNCTION("""COMPUTED_VALUE"""),1.0)</f>
        <v>1</v>
      </c>
      <c r="AU446" s="16">
        <f>IFERROR(__xludf.DUMMYFUNCTION("""COMPUTED_VALUE"""),0.0)</f>
        <v>0</v>
      </c>
      <c r="AV446" s="16">
        <f>IFERROR(__xludf.DUMMYFUNCTION("""COMPUTED_VALUE"""),1.0)</f>
        <v>1</v>
      </c>
      <c r="AW446" s="16">
        <f>IFERROR(__xludf.DUMMYFUNCTION("""COMPUTED_VALUE"""),0.0)</f>
        <v>0</v>
      </c>
      <c r="AX446" s="16">
        <f>IFERROR(__xludf.DUMMYFUNCTION("""COMPUTED_VALUE"""),-1.0)</f>
        <v>-1</v>
      </c>
      <c r="AY446" s="16">
        <f>IFERROR(__xludf.DUMMYFUNCTION("""COMPUTED_VALUE"""),-2.0)</f>
        <v>-2</v>
      </c>
      <c r="AZ446" s="16">
        <f>IFERROR(__xludf.DUMMYFUNCTION("""COMPUTED_VALUE"""),-3.0)</f>
        <v>-3</v>
      </c>
      <c r="BA446" s="16">
        <f>IFERROR(__xludf.DUMMYFUNCTION("""COMPUTED_VALUE"""),-6.0)</f>
        <v>-6</v>
      </c>
      <c r="BB446" s="16">
        <f>IFERROR(__xludf.DUMMYFUNCTION("""COMPUTED_VALUE"""),5.0)</f>
        <v>5</v>
      </c>
      <c r="BC446" s="16">
        <f>IFERROR(__xludf.DUMMYFUNCTION("""COMPUTED_VALUE"""),5.0)</f>
        <v>5</v>
      </c>
      <c r="BD446" s="16">
        <f>IFERROR(__xludf.DUMMYFUNCTION("""COMPUTED_VALUE"""),1.0)</f>
        <v>1</v>
      </c>
      <c r="BE446" s="16">
        <f>IFERROR(__xludf.DUMMYFUNCTION("""COMPUTED_VALUE"""),1.0)</f>
        <v>1</v>
      </c>
      <c r="BF446" s="16">
        <f>IFERROR(__xludf.DUMMYFUNCTION("""COMPUTED_VALUE"""),1.0)</f>
        <v>1</v>
      </c>
      <c r="BG446" s="16">
        <f>IFERROR(__xludf.DUMMYFUNCTION("""COMPUTED_VALUE"""),1.0)</f>
        <v>1</v>
      </c>
      <c r="BH446" s="16">
        <f>IFERROR(__xludf.DUMMYFUNCTION("""COMPUTED_VALUE"""),5.0)</f>
        <v>5</v>
      </c>
      <c r="BI446" s="16">
        <f>IFERROR(__xludf.DUMMYFUNCTION("""COMPUTED_VALUE"""),4.0)</f>
        <v>4</v>
      </c>
      <c r="BJ446" s="16">
        <f>IFERROR(__xludf.DUMMYFUNCTION("""COMPUTED_VALUE"""),22.0)</f>
        <v>22</v>
      </c>
      <c r="BK446" s="16">
        <f>IFERROR(__xludf.DUMMYFUNCTION("""COMPUTED_VALUE"""),19.0)</f>
        <v>19</v>
      </c>
      <c r="BL446" s="16">
        <f>IFERROR(__xludf.DUMMYFUNCTION("""COMPUTED_VALUE"""),-2.0)</f>
        <v>-2</v>
      </c>
      <c r="BM446" s="16">
        <f>IFERROR(__xludf.DUMMYFUNCTION("""COMPUTED_VALUE"""),-1.0)</f>
        <v>-1</v>
      </c>
      <c r="BN446" s="16">
        <f>IFERROR(__xludf.DUMMYFUNCTION("""COMPUTED_VALUE"""),-4.0)</f>
        <v>-4</v>
      </c>
      <c r="BO446" s="16">
        <f>IFERROR(__xludf.DUMMYFUNCTION("""COMPUTED_VALUE"""),-2.0)</f>
        <v>-2</v>
      </c>
      <c r="BP446" s="16">
        <f>IFERROR(__xludf.DUMMYFUNCTION("""COMPUTED_VALUE"""),-14.0)</f>
        <v>-14</v>
      </c>
      <c r="BQ446" s="16">
        <f>IFERROR(__xludf.DUMMYFUNCTION("""COMPUTED_VALUE"""),-7.0)</f>
        <v>-7</v>
      </c>
      <c r="BR446" s="16">
        <f>IFERROR(__xludf.DUMMYFUNCTION("""COMPUTED_VALUE"""),-21.0)</f>
        <v>-21</v>
      </c>
      <c r="BS446" s="16" t="str">
        <f>IFERROR(__xludf.DUMMYFUNCTION("""COMPUTED_VALUE"""),"*4/- (20-6)")</f>
        <v>*4/- (20-6)</v>
      </c>
      <c r="BT446" s="16" t="str">
        <f>IFERROR(__xludf.DUMMYFUNCTION("""COMPUTED_VALUE"""),"C")</f>
        <v>C</v>
      </c>
      <c r="BU446" s="16">
        <f>IFERROR(__xludf.DUMMYFUNCTION("""COMPUTED_VALUE"""),10.0)</f>
        <v>10</v>
      </c>
      <c r="BV446" s="16">
        <f>IFERROR(__xludf.DUMMYFUNCTION("""COMPUTED_VALUE"""),0.0)</f>
        <v>0</v>
      </c>
      <c r="BW446" s="16">
        <f>IFERROR(__xludf.DUMMYFUNCTION("""COMPUTED_VALUE"""),0.0)</f>
        <v>0</v>
      </c>
      <c r="BX446" s="16">
        <f>IFERROR(__xludf.DUMMYFUNCTION("""COMPUTED_VALUE"""),0.0)</f>
        <v>0</v>
      </c>
      <c r="BY446" s="16">
        <f>IFERROR(__xludf.DUMMYFUNCTION("""COMPUTED_VALUE"""),0.0)</f>
        <v>0</v>
      </c>
      <c r="BZ446" s="16" t="str">
        <f>IFERROR(__xludf.DUMMYFUNCTION("""COMPUTED_VALUE"""),"D")</f>
        <v>D</v>
      </c>
      <c r="CA446" s="16" t="str">
        <f>IFERROR(__xludf.DUMMYFUNCTION("""COMPUTED_VALUE"""),"C")</f>
        <v>C</v>
      </c>
      <c r="CB446" s="16">
        <f>IFERROR(__xludf.DUMMYFUNCTION("""COMPUTED_VALUE"""),0.0)</f>
        <v>0</v>
      </c>
      <c r="CC446" s="16">
        <f>IFERROR(__xludf.DUMMYFUNCTION("""COMPUTED_VALUE"""),0.0)</f>
        <v>0</v>
      </c>
      <c r="CD446" s="16">
        <f>IFERROR(__xludf.DUMMYFUNCTION("""COMPUTED_VALUE"""),0.0)</f>
        <v>0</v>
      </c>
      <c r="CE446" s="16">
        <f>IFERROR(__xludf.DUMMYFUNCTION("""COMPUTED_VALUE"""),0.0)</f>
        <v>0</v>
      </c>
      <c r="CF446" s="16">
        <f>IFERROR(__xludf.DUMMYFUNCTION("""COMPUTED_VALUE"""),2.0)</f>
        <v>2</v>
      </c>
      <c r="CG446" s="16">
        <f>IFERROR(__xludf.DUMMYFUNCTION("""COMPUTED_VALUE"""),-38.0)</f>
        <v>-38</v>
      </c>
      <c r="CH446" s="16">
        <f>IFERROR(__xludf.DUMMYFUNCTION("""COMPUTED_VALUE"""),-27.0)</f>
        <v>-27</v>
      </c>
      <c r="CI446" s="179">
        <f>IFERROR(__xludf.DUMMYFUNCTION("""COMPUTED_VALUE"""),-30.0)</f>
        <v>-30</v>
      </c>
      <c r="CJ446" s="16">
        <f>IFERROR(__xludf.DUMMYFUNCTION("""COMPUTED_VALUE"""),408.0)</f>
        <v>408</v>
      </c>
      <c r="CK446" s="16"/>
      <c r="CL446" s="16"/>
      <c r="CM446" s="16"/>
      <c r="CN446" s="16"/>
      <c r="CO446" s="16"/>
      <c r="CP446" s="16"/>
      <c r="CQ446" s="16"/>
      <c r="CR446" s="16" t="str">
        <f>IFERROR(__xludf.DUMMYFUNCTION("""COMPUTED_VALUE"""),"c-4(-1)e8,T-20(pb-2)")</f>
        <v>c-4(-1)e8,T-20(pb-2)</v>
      </c>
      <c r="CS446" s="16">
        <f>IFERROR(__xludf.DUMMYFUNCTION("""COMPUTED_VALUE"""),4.0)</f>
        <v>4</v>
      </c>
      <c r="CT446" s="16"/>
      <c r="CU446" s="16"/>
      <c r="CV446" s="16"/>
      <c r="CW446" s="16"/>
      <c r="CX446" s="16"/>
      <c r="CY446" s="16"/>
      <c r="CZ446" s="16"/>
      <c r="DA446" s="16">
        <f>IFERROR(__xludf.DUMMYFUNCTION("""COMPUTED_VALUE"""),8.0)</f>
        <v>8</v>
      </c>
      <c r="DB446" s="16"/>
      <c r="DC446" s="16"/>
      <c r="DD446" s="16"/>
      <c r="DE446" s="16"/>
      <c r="DF446" s="16"/>
      <c r="DG446" s="16"/>
      <c r="DH446" s="16"/>
      <c r="DI446" s="16">
        <f>IFERROR(__xludf.DUMMYFUNCTION("""COMPUTED_VALUE"""),-2.0)</f>
        <v>-2</v>
      </c>
      <c r="DJ446" s="16"/>
      <c r="DK446" s="16"/>
      <c r="DL446" s="16"/>
      <c r="DM446" s="16"/>
      <c r="DN446" s="16"/>
      <c r="DO446" s="16"/>
      <c r="DP446" s="16"/>
      <c r="DQ446" s="16">
        <f>IFERROR(__xludf.DUMMYFUNCTION("""COMPUTED_VALUE"""),0.0)</f>
        <v>0</v>
      </c>
      <c r="DR446" s="16"/>
      <c r="DS446" s="16"/>
      <c r="DT446" s="16"/>
      <c r="DU446" s="16"/>
      <c r="DV446" s="16"/>
      <c r="DW446" s="16"/>
      <c r="DX446" s="16"/>
      <c r="DY446" s="16">
        <f>IFERROR(__xludf.DUMMYFUNCTION("""COMPUTED_VALUE"""),-2.0)</f>
        <v>-2</v>
      </c>
      <c r="DZ446" s="16"/>
      <c r="EA446" s="16"/>
      <c r="EB446" s="16"/>
      <c r="EC446" s="16"/>
      <c r="ED446" s="16"/>
      <c r="EE446" s="16"/>
      <c r="EF446" s="16"/>
      <c r="EG446" s="179">
        <f>IFERROR(__xludf.DUMMYFUNCTION("""COMPUTED_VALUE"""),-33.0)</f>
        <v>-33</v>
      </c>
      <c r="EH446" s="179"/>
      <c r="EI446" s="179"/>
      <c r="EJ446" s="179"/>
      <c r="EK446" s="179"/>
      <c r="EL446" s="179"/>
      <c r="EM446" s="179"/>
      <c r="EN446" s="179"/>
      <c r="EO446" s="16">
        <f>IFERROR(__xludf.DUMMYFUNCTION("""COMPUTED_VALUE"""),-1.0)</f>
        <v>-1</v>
      </c>
      <c r="EP446" s="16"/>
      <c r="EQ446" s="16">
        <f>IFERROR(__xludf.DUMMYFUNCTION("""COMPUTED_VALUE"""),2.0)</f>
        <v>2</v>
      </c>
      <c r="ER446" s="16">
        <f>IFERROR(__xludf.DUMMYFUNCTION("""COMPUTED_VALUE"""),-2.0)</f>
        <v>-2</v>
      </c>
      <c r="ES446" s="16" t="str">
        <f>IFERROR(__xludf.DUMMYFUNCTION("""COMPUTED_VALUE"""),"c-4")</f>
        <v>c-4</v>
      </c>
      <c r="ET446" s="16" t="str">
        <f>IFERROR(__xludf.DUMMYFUNCTION("""COMPUTED_VALUE"""),"-1)e8,T-20")</f>
        <v>-1)e8,T-20</v>
      </c>
      <c r="EU446" s="16" t="str">
        <f>IFERROR(__xludf.DUMMYFUNCTION("""COMPUTED_VALUE"""),"pb-2)")</f>
        <v>pb-2)</v>
      </c>
      <c r="EV446" s="16"/>
      <c r="EW446" s="16">
        <f>IFERROR(__xludf.DUMMYFUNCTION("""COMPUTED_VALUE"""),-1.0)</f>
        <v>-1</v>
      </c>
      <c r="EX446" s="180">
        <f>IFERROR(__xludf.DUMMYFUNCTION("""COMPUTED_VALUE"""),0.3)</f>
        <v>0.3</v>
      </c>
      <c r="EY446" s="180"/>
      <c r="EZ446" s="180"/>
      <c r="FA446" s="180"/>
      <c r="FB446" s="180"/>
      <c r="FC446" s="180"/>
      <c r="FD446" s="180"/>
      <c r="FE446" s="180"/>
      <c r="FF446" s="180">
        <f>IFERROR(__xludf.DUMMYFUNCTION("""COMPUTED_VALUE"""),0.097)</f>
        <v>0.097</v>
      </c>
      <c r="FG446" s="180"/>
      <c r="FH446" s="180"/>
      <c r="FI446" s="180"/>
      <c r="FJ446" s="180"/>
      <c r="FK446" s="180"/>
      <c r="FL446" s="180"/>
      <c r="FM446" s="180"/>
      <c r="FN446" s="16">
        <f>IFERROR(__xludf.DUMMYFUNCTION("""COMPUTED_VALUE"""),0.6321)</f>
        <v>0.6321</v>
      </c>
      <c r="FO446" s="16"/>
      <c r="FP446" s="16"/>
      <c r="FQ446" s="16"/>
      <c r="FR446" s="16"/>
      <c r="FS446" s="16"/>
      <c r="FT446" s="16"/>
      <c r="FU446" s="16"/>
      <c r="FV446" s="16">
        <f>IFERROR(__xludf.DUMMYFUNCTION("""COMPUTED_VALUE"""),-5.0)</f>
        <v>-5</v>
      </c>
      <c r="FW446" s="16"/>
      <c r="FX446" s="16"/>
      <c r="FY446" s="16"/>
      <c r="FZ446" s="16"/>
      <c r="GA446" s="16"/>
      <c r="GB446" s="16"/>
      <c r="GC446" s="16"/>
      <c r="GD446" s="16" t="s">
        <v>289</v>
      </c>
    </row>
    <row r="447">
      <c r="A447" s="16">
        <f>IFERROR(__xludf.DUMMYFUNCTION("""COMPUTED_VALUE"""),12900.0)</f>
        <v>12900</v>
      </c>
      <c r="B447" s="16" t="str">
        <f>IFERROR(__xludf.DUMMYFUNCTION("""COMPUTED_VALUE"""),"Jacob Hurtubise")</f>
        <v>Jacob Hurtubise</v>
      </c>
      <c r="C447" s="16">
        <f>IFERROR(__xludf.DUMMYFUNCTION("""COMPUTED_VALUE"""),0.0)</f>
        <v>0</v>
      </c>
      <c r="D447" s="16" t="str">
        <f>IFERROR(__xludf.DUMMYFUNCTION("""COMPUTED_VALUE"""),"L")</f>
        <v>L</v>
      </c>
      <c r="E447" s="16"/>
      <c r="F447" s="16"/>
      <c r="G447" s="16">
        <f>IFERROR(__xludf.DUMMYFUNCTION("""COMPUTED_VALUE"""),54.0)</f>
        <v>54</v>
      </c>
      <c r="H447" s="16">
        <f>IFERROR(__xludf.DUMMYFUNCTION("""COMPUTED_VALUE"""),6.0)</f>
        <v>6</v>
      </c>
      <c r="I447" s="16" t="str">
        <f>IFERROR(__xludf.DUMMYFUNCTION("""COMPUTED_VALUE"""),"1p20")</f>
        <v>1p20</v>
      </c>
      <c r="J447" s="16">
        <f>IFERROR(__xludf.DUMMYFUNCTION("""COMPUTED_VALUE"""),74.0)</f>
        <v>74</v>
      </c>
      <c r="K447" s="16">
        <f>IFERROR(__xludf.DUMMYFUNCTION("""COMPUTED_VALUE"""),34.0)</f>
        <v>34</v>
      </c>
      <c r="L447" s="16">
        <f>IFERROR(__xludf.DUMMYFUNCTION("""COMPUTED_VALUE"""),-3.0)</f>
        <v>-3</v>
      </c>
      <c r="M447" s="16">
        <f>IFERROR(__xludf.DUMMYFUNCTION("""COMPUTED_VALUE"""),-1.0)</f>
        <v>-1</v>
      </c>
      <c r="N447" s="16">
        <f>IFERROR(__xludf.DUMMYFUNCTION("""COMPUTED_VALUE"""),-3.0)</f>
        <v>-3</v>
      </c>
      <c r="O447" s="16">
        <f>IFERROR(__xludf.DUMMYFUNCTION("""COMPUTED_VALUE"""),-1.0)</f>
        <v>-1</v>
      </c>
      <c r="P447" s="16">
        <f>IFERROR(__xludf.DUMMYFUNCTION("""COMPUTED_VALUE"""),0.0)</f>
        <v>0</v>
      </c>
      <c r="Q447" s="16">
        <f>IFERROR(__xludf.DUMMYFUNCTION("""COMPUTED_VALUE"""),13.0)</f>
        <v>13</v>
      </c>
      <c r="R447" s="16">
        <f>IFERROR(__xludf.DUMMYFUNCTION("""COMPUTED_VALUE"""),-3.0)</f>
        <v>-3</v>
      </c>
      <c r="S447" s="16">
        <f>IFERROR(__xludf.DUMMYFUNCTION("""COMPUTED_VALUE"""),1.0)</f>
        <v>1</v>
      </c>
      <c r="T447" s="16">
        <f>IFERROR(__xludf.DUMMYFUNCTION("""COMPUTED_VALUE"""),-3.0)</f>
        <v>-3</v>
      </c>
      <c r="U447" s="16">
        <f>IFERROR(__xludf.DUMMYFUNCTION("""COMPUTED_VALUE"""),1.0)</f>
        <v>1</v>
      </c>
      <c r="V447" s="16">
        <f>IFERROR(__xludf.DUMMYFUNCTION("""COMPUTED_VALUE"""),7.5)</f>
        <v>7.5</v>
      </c>
      <c r="W447" s="16">
        <f>IFERROR(__xludf.DUMMYFUNCTION("""COMPUTED_VALUE"""),8.7)</f>
        <v>8.7</v>
      </c>
      <c r="X447" s="16">
        <f>IFERROR(__xludf.DUMMYFUNCTION("""COMPUTED_VALUE"""),-2.0)</f>
        <v>-2</v>
      </c>
      <c r="Y447" s="16">
        <f>IFERROR(__xludf.DUMMYFUNCTION("""COMPUTED_VALUE"""),-2.0)</f>
        <v>-2</v>
      </c>
      <c r="Z447" s="16">
        <f>IFERROR(__xludf.DUMMYFUNCTION("""COMPUTED_VALUE"""),-4.0)</f>
        <v>-4</v>
      </c>
      <c r="AA447" s="16">
        <f>IFERROR(__xludf.DUMMYFUNCTION("""COMPUTED_VALUE"""),-4.0)</f>
        <v>-4</v>
      </c>
      <c r="AB447" s="16">
        <f>IFERROR(__xludf.DUMMYFUNCTION("""COMPUTED_VALUE"""),12.5)</f>
        <v>12.5</v>
      </c>
      <c r="AC447" s="16">
        <f>IFERROR(__xludf.DUMMYFUNCTION("""COMPUTED_VALUE"""),26.7)</f>
        <v>26.7</v>
      </c>
      <c r="AD447" s="16">
        <f>IFERROR(__xludf.DUMMYFUNCTION("""COMPUTED_VALUE"""),-2.0)</f>
        <v>-2</v>
      </c>
      <c r="AE447" s="16">
        <f>IFERROR(__xludf.DUMMYFUNCTION("""COMPUTED_VALUE"""),-1.0)</f>
        <v>-1</v>
      </c>
      <c r="AF447" s="16">
        <f>IFERROR(__xludf.DUMMYFUNCTION("""COMPUTED_VALUE"""),-10.0)</f>
        <v>-10</v>
      </c>
      <c r="AG447" s="16">
        <f>IFERROR(__xludf.DUMMYFUNCTION("""COMPUTED_VALUE"""),-5.0)</f>
        <v>-5</v>
      </c>
      <c r="AH447" s="16">
        <f>IFERROR(__xludf.DUMMYFUNCTION("""COMPUTED_VALUE"""),7.5)</f>
        <v>7.5</v>
      </c>
      <c r="AI447" s="16">
        <f>IFERROR(__xludf.DUMMYFUNCTION("""COMPUTED_VALUE"""),15.2)</f>
        <v>15.2</v>
      </c>
      <c r="AJ447" s="16">
        <f>IFERROR(__xludf.DUMMYFUNCTION("""COMPUTED_VALUE"""),-2.0)</f>
        <v>-2</v>
      </c>
      <c r="AK447" s="16">
        <f>IFERROR(__xludf.DUMMYFUNCTION("""COMPUTED_VALUE"""),-2.0)</f>
        <v>-2</v>
      </c>
      <c r="AL447" s="16">
        <f>IFERROR(__xludf.DUMMYFUNCTION("""COMPUTED_VALUE"""),-10.0)</f>
        <v>-10</v>
      </c>
      <c r="AM447" s="16">
        <f>IFERROR(__xludf.DUMMYFUNCTION("""COMPUTED_VALUE"""),-10.0)</f>
        <v>-10</v>
      </c>
      <c r="AN447" s="16">
        <f>IFERROR(__xludf.DUMMYFUNCTION("""COMPUTED_VALUE"""),0.0)</f>
        <v>0</v>
      </c>
      <c r="AO447" s="16">
        <f>IFERROR(__xludf.DUMMYFUNCTION("""COMPUTED_VALUE"""),0.0)</f>
        <v>0</v>
      </c>
      <c r="AP447" s="16">
        <f>IFERROR(__xludf.DUMMYFUNCTION("""COMPUTED_VALUE"""),-2.0)</f>
        <v>-2</v>
      </c>
      <c r="AQ447" s="16">
        <f>IFERROR(__xludf.DUMMYFUNCTION("""COMPUTED_VALUE"""),-3.0)</f>
        <v>-3</v>
      </c>
      <c r="AR447" s="16">
        <f>IFERROR(__xludf.DUMMYFUNCTION("""COMPUTED_VALUE"""),-4.0)</f>
        <v>-4</v>
      </c>
      <c r="AS447" s="16">
        <f>IFERROR(__xludf.DUMMYFUNCTION("""COMPUTED_VALUE"""),-6.0)</f>
        <v>-6</v>
      </c>
      <c r="AT447" s="16"/>
      <c r="AU447" s="16"/>
      <c r="AV447" s="16">
        <f>IFERROR(__xludf.DUMMYFUNCTION("""COMPUTED_VALUE"""),-3.0)</f>
        <v>-3</v>
      </c>
      <c r="AW447" s="16">
        <f>IFERROR(__xludf.DUMMYFUNCTION("""COMPUTED_VALUE"""),-3.0)</f>
        <v>-3</v>
      </c>
      <c r="AX447" s="16">
        <f>IFERROR(__xludf.DUMMYFUNCTION("""COMPUTED_VALUE"""),-3.0)</f>
        <v>-3</v>
      </c>
      <c r="AY447" s="16">
        <f>IFERROR(__xludf.DUMMYFUNCTION("""COMPUTED_VALUE"""),-3.0)</f>
        <v>-3</v>
      </c>
      <c r="AZ447" s="16">
        <f>IFERROR(__xludf.DUMMYFUNCTION("""COMPUTED_VALUE"""),-9.0)</f>
        <v>-9</v>
      </c>
      <c r="BA447" s="16">
        <f>IFERROR(__xludf.DUMMYFUNCTION("""COMPUTED_VALUE"""),-9.0)</f>
        <v>-9</v>
      </c>
      <c r="BB447" s="16">
        <f>IFERROR(__xludf.DUMMYFUNCTION("""COMPUTED_VALUE"""),5.0)</f>
        <v>5</v>
      </c>
      <c r="BC447" s="16">
        <f>IFERROR(__xludf.DUMMYFUNCTION("""COMPUTED_VALUE"""),5.0)</f>
        <v>5</v>
      </c>
      <c r="BD447" s="16">
        <f>IFERROR(__xludf.DUMMYFUNCTION("""COMPUTED_VALUE"""),1.0)</f>
        <v>1</v>
      </c>
      <c r="BE447" s="16">
        <f>IFERROR(__xludf.DUMMYFUNCTION("""COMPUTED_VALUE"""),1.0)</f>
        <v>1</v>
      </c>
      <c r="BF447" s="16">
        <f>IFERROR(__xludf.DUMMYFUNCTION("""COMPUTED_VALUE"""),1.0)</f>
        <v>1</v>
      </c>
      <c r="BG447" s="16">
        <f>IFERROR(__xludf.DUMMYFUNCTION("""COMPUTED_VALUE"""),1.0)</f>
        <v>1</v>
      </c>
      <c r="BH447" s="16">
        <f>IFERROR(__xludf.DUMMYFUNCTION("""COMPUTED_VALUE"""),-4.0)</f>
        <v>-4</v>
      </c>
      <c r="BI447" s="16">
        <f>IFERROR(__xludf.DUMMYFUNCTION("""COMPUTED_VALUE"""),-4.0)</f>
        <v>-4</v>
      </c>
      <c r="BJ447" s="16">
        <f>IFERROR(__xludf.DUMMYFUNCTION("""COMPUTED_VALUE"""),0.0)</f>
        <v>0</v>
      </c>
      <c r="BK447" s="16">
        <f>IFERROR(__xludf.DUMMYFUNCTION("""COMPUTED_VALUE"""),0.0)</f>
        <v>0</v>
      </c>
      <c r="BL447" s="16">
        <f>IFERROR(__xludf.DUMMYFUNCTION("""COMPUTED_VALUE"""),3.0)</f>
        <v>3</v>
      </c>
      <c r="BM447" s="16">
        <f>IFERROR(__xludf.DUMMYFUNCTION("""COMPUTED_VALUE"""),3.0)</f>
        <v>3</v>
      </c>
      <c r="BN447" s="16">
        <f>IFERROR(__xludf.DUMMYFUNCTION("""COMPUTED_VALUE"""),3.0)</f>
        <v>3</v>
      </c>
      <c r="BO447" s="16">
        <f>IFERROR(__xludf.DUMMYFUNCTION("""COMPUTED_VALUE"""),3.0)</f>
        <v>3</v>
      </c>
      <c r="BP447" s="16">
        <f>IFERROR(__xludf.DUMMYFUNCTION("""COMPUTED_VALUE"""),-13.0)</f>
        <v>-13</v>
      </c>
      <c r="BQ447" s="16">
        <f>IFERROR(__xludf.DUMMYFUNCTION("""COMPUTED_VALUE"""),-7.0)</f>
        <v>-7</v>
      </c>
      <c r="BR447" s="16">
        <f>IFERROR(__xludf.DUMMYFUNCTION("""COMPUTED_VALUE"""),-20.0)</f>
        <v>-20</v>
      </c>
      <c r="BS447" s="16" t="str">
        <f>IFERROR(__xludf.DUMMYFUNCTION("""COMPUTED_VALUE"""),"*4/- (20-11)")</f>
        <v>*4/- (20-11)</v>
      </c>
      <c r="BT447" s="16" t="str">
        <f>IFERROR(__xludf.DUMMYFUNCTION("""COMPUTED_VALUE"""),"C")</f>
        <v>C</v>
      </c>
      <c r="BU447" s="16">
        <f>IFERROR(__xludf.DUMMYFUNCTION("""COMPUTED_VALUE"""),16.0)</f>
        <v>16</v>
      </c>
      <c r="BV447" s="16">
        <f>IFERROR(__xludf.DUMMYFUNCTION("""COMPUTED_VALUE"""),0.0)</f>
        <v>0</v>
      </c>
      <c r="BW447" s="16">
        <f>IFERROR(__xludf.DUMMYFUNCTION("""COMPUTED_VALUE"""),2.0)</f>
        <v>2</v>
      </c>
      <c r="BX447" s="16">
        <f>IFERROR(__xludf.DUMMYFUNCTION("""COMPUTED_VALUE"""),0.0)</f>
        <v>0</v>
      </c>
      <c r="BY447" s="16">
        <f>IFERROR(__xludf.DUMMYFUNCTION("""COMPUTED_VALUE"""),6.0)</f>
        <v>6</v>
      </c>
      <c r="BZ447" s="16" t="str">
        <f>IFERROR(__xludf.DUMMYFUNCTION("""COMPUTED_VALUE"""),"A")</f>
        <v>A</v>
      </c>
      <c r="CA447" s="16" t="str">
        <f>IFERROR(__xludf.DUMMYFUNCTION("""COMPUTED_VALUE"""),"D")</f>
        <v>D</v>
      </c>
      <c r="CB447" s="16">
        <f>IFERROR(__xludf.DUMMYFUNCTION("""COMPUTED_VALUE"""),2.0)</f>
        <v>2</v>
      </c>
      <c r="CC447" s="16">
        <f>IFERROR(__xludf.DUMMYFUNCTION("""COMPUTED_VALUE"""),0.0)</f>
        <v>0</v>
      </c>
      <c r="CD447" s="16">
        <f>IFERROR(__xludf.DUMMYFUNCTION("""COMPUTED_VALUE"""),2.0)</f>
        <v>2</v>
      </c>
      <c r="CE447" s="16">
        <f>IFERROR(__xludf.DUMMYFUNCTION("""COMPUTED_VALUE"""),0.0)</f>
        <v>0</v>
      </c>
      <c r="CF447" s="16">
        <f>IFERROR(__xludf.DUMMYFUNCTION("""COMPUTED_VALUE"""),1.0)</f>
        <v>1</v>
      </c>
      <c r="CG447" s="16">
        <f>IFERROR(__xludf.DUMMYFUNCTION("""COMPUTED_VALUE"""),-39.0)</f>
        <v>-39</v>
      </c>
      <c r="CH447" s="16">
        <f>IFERROR(__xludf.DUMMYFUNCTION("""COMPUTED_VALUE"""),-30.0)</f>
        <v>-30</v>
      </c>
      <c r="CI447" s="179">
        <f>IFERROR(__xludf.DUMMYFUNCTION("""COMPUTED_VALUE"""),-30.0)</f>
        <v>-30</v>
      </c>
      <c r="CJ447" s="16"/>
      <c r="CK447" s="16"/>
      <c r="CL447" s="16"/>
      <c r="CM447" s="16"/>
      <c r="CN447" s="16"/>
      <c r="CO447" s="16">
        <f>IFERROR(__xludf.DUMMYFUNCTION("""COMPUTED_VALUE"""),407.0)</f>
        <v>407</v>
      </c>
      <c r="CP447" s="16"/>
      <c r="CQ447" s="16">
        <f>IFERROR(__xludf.DUMMYFUNCTION("""COMPUTED_VALUE"""),407.0)</f>
        <v>407</v>
      </c>
      <c r="CR447" s="16" t="str">
        <f>IFERROR(__xludf.DUMMYFUNCTION("""COMPUTED_VALUE"""),"lf-4(+1)e7 rf-4e7")</f>
        <v>lf-4(+1)e7 rf-4e7</v>
      </c>
      <c r="CS447" s="16"/>
      <c r="CT447" s="16"/>
      <c r="CU447" s="16"/>
      <c r="CV447" s="16"/>
      <c r="CW447" s="16"/>
      <c r="CX447" s="16">
        <f>IFERROR(__xludf.DUMMYFUNCTION("""COMPUTED_VALUE"""),4.0)</f>
        <v>4</v>
      </c>
      <c r="CY447" s="16"/>
      <c r="CZ447" s="16">
        <f>IFERROR(__xludf.DUMMYFUNCTION("""COMPUTED_VALUE"""),4.0)</f>
        <v>4</v>
      </c>
      <c r="DA447" s="16"/>
      <c r="DB447" s="16"/>
      <c r="DC447" s="16"/>
      <c r="DD447" s="16"/>
      <c r="DE447" s="16"/>
      <c r="DF447" s="16">
        <f>IFERROR(__xludf.DUMMYFUNCTION("""COMPUTED_VALUE"""),7.0)</f>
        <v>7</v>
      </c>
      <c r="DG447" s="16"/>
      <c r="DH447" s="16">
        <f>IFERROR(__xludf.DUMMYFUNCTION("""COMPUTED_VALUE"""),7.0)</f>
        <v>7</v>
      </c>
      <c r="DI447" s="16"/>
      <c r="DJ447" s="16"/>
      <c r="DK447" s="16"/>
      <c r="DL447" s="16"/>
      <c r="DM447" s="16"/>
      <c r="DN447" s="16">
        <f>IFERROR(__xludf.DUMMYFUNCTION("""COMPUTED_VALUE"""),-1.0)</f>
        <v>-1</v>
      </c>
      <c r="DO447" s="16"/>
      <c r="DP447" s="16">
        <f>IFERROR(__xludf.DUMMYFUNCTION("""COMPUTED_VALUE"""),-1.0)</f>
        <v>-1</v>
      </c>
      <c r="DQ447" s="16"/>
      <c r="DR447" s="16"/>
      <c r="DS447" s="16"/>
      <c r="DT447" s="16"/>
      <c r="DU447" s="16"/>
      <c r="DV447" s="16">
        <f>IFERROR(__xludf.DUMMYFUNCTION("""COMPUTED_VALUE"""),2.0)</f>
        <v>2</v>
      </c>
      <c r="DW447" s="16"/>
      <c r="DX447" s="16">
        <f>IFERROR(__xludf.DUMMYFUNCTION("""COMPUTED_VALUE"""),2.0)</f>
        <v>2</v>
      </c>
      <c r="DY447" s="16"/>
      <c r="DZ447" s="16"/>
      <c r="EA447" s="16"/>
      <c r="EB447" s="16"/>
      <c r="EC447" s="16"/>
      <c r="ED447" s="16">
        <f>IFERROR(__xludf.DUMMYFUNCTION("""COMPUTED_VALUE"""),1.0)</f>
        <v>1</v>
      </c>
      <c r="EE447" s="16"/>
      <c r="EF447" s="16">
        <f>IFERROR(__xludf.DUMMYFUNCTION("""COMPUTED_VALUE"""),1.0)</f>
        <v>1</v>
      </c>
      <c r="EG447" s="179"/>
      <c r="EH447" s="179"/>
      <c r="EI447" s="179"/>
      <c r="EJ447" s="179"/>
      <c r="EK447" s="179"/>
      <c r="EL447" s="179">
        <f>IFERROR(__xludf.DUMMYFUNCTION("""COMPUTED_VALUE"""),-29.0)</f>
        <v>-29</v>
      </c>
      <c r="EM447" s="179"/>
      <c r="EN447" s="179">
        <f>IFERROR(__xludf.DUMMYFUNCTION("""COMPUTED_VALUE"""),-29.0)</f>
        <v>-29</v>
      </c>
      <c r="EO447" s="16"/>
      <c r="EP447" s="16"/>
      <c r="EQ447" s="16">
        <f>IFERROR(__xludf.DUMMYFUNCTION("""COMPUTED_VALUE"""),4.0)</f>
        <v>4</v>
      </c>
      <c r="ER447" s="16">
        <f>IFERROR(__xludf.DUMMYFUNCTION("""COMPUTED_VALUE"""),-4.0)</f>
        <v>-4</v>
      </c>
      <c r="ES447" s="16"/>
      <c r="ET447" s="16"/>
      <c r="EU447" s="16"/>
      <c r="EV447" s="16"/>
      <c r="EW447" s="16"/>
      <c r="EX447" s="180"/>
      <c r="EY447" s="180"/>
      <c r="EZ447" s="180"/>
      <c r="FA447" s="180"/>
      <c r="FB447" s="180"/>
      <c r="FC447" s="180">
        <f>IFERROR(__xludf.DUMMYFUNCTION("""COMPUTED_VALUE"""),0.55)</f>
        <v>0.55</v>
      </c>
      <c r="FD447" s="180"/>
      <c r="FE447" s="180">
        <f>IFERROR(__xludf.DUMMYFUNCTION("""COMPUTED_VALUE"""),0.55)</f>
        <v>0.55</v>
      </c>
      <c r="FF447" s="180"/>
      <c r="FG447" s="180"/>
      <c r="FH447" s="180"/>
      <c r="FI447" s="180"/>
      <c r="FJ447" s="180"/>
      <c r="FK447" s="180">
        <f>IFERROR(__xludf.DUMMYFUNCTION("""COMPUTED_VALUE"""),0.125)</f>
        <v>0.125</v>
      </c>
      <c r="FL447" s="180"/>
      <c r="FM447" s="180">
        <f>IFERROR(__xludf.DUMMYFUNCTION("""COMPUTED_VALUE"""),0.125)</f>
        <v>0.125</v>
      </c>
      <c r="FN447" s="16"/>
      <c r="FO447" s="16"/>
      <c r="FP447" s="16"/>
      <c r="FQ447" s="16"/>
      <c r="FR447" s="16"/>
      <c r="FS447" s="16">
        <f>IFERROR(__xludf.DUMMYFUNCTION("""COMPUTED_VALUE"""),0.39374999999999993)</f>
        <v>0.39375</v>
      </c>
      <c r="FT447" s="16"/>
      <c r="FU447" s="16">
        <f>IFERROR(__xludf.DUMMYFUNCTION("""COMPUTED_VALUE"""),0.39374999999999993)</f>
        <v>0.39375</v>
      </c>
      <c r="FV447" s="16"/>
      <c r="FW447" s="16"/>
      <c r="FX447" s="16"/>
      <c r="FY447" s="16"/>
      <c r="FZ447" s="16"/>
      <c r="GA447" s="16">
        <f>IFERROR(__xludf.DUMMYFUNCTION("""COMPUTED_VALUE"""),-8.0)</f>
        <v>-8</v>
      </c>
      <c r="GB447" s="16"/>
      <c r="GC447" s="16">
        <f>IFERROR(__xludf.DUMMYFUNCTION("""COMPUTED_VALUE"""),-8.0)</f>
        <v>-8</v>
      </c>
      <c r="GD447" s="16" t="s">
        <v>176</v>
      </c>
    </row>
    <row r="448">
      <c r="A448" s="16">
        <f>IFERROR(__xludf.DUMMYFUNCTION("""COMPUTED_VALUE"""),13260.0)</f>
        <v>13260</v>
      </c>
      <c r="B448" s="16" t="str">
        <f>IFERROR(__xludf.DUMMYFUNCTION("""COMPUTED_VALUE"""),"Oliver Dunn")</f>
        <v>Oliver Dunn</v>
      </c>
      <c r="C448" s="16">
        <f>IFERROR(__xludf.DUMMYFUNCTION("""COMPUTED_VALUE"""),0.34)</f>
        <v>0.34</v>
      </c>
      <c r="D448" s="16" t="str">
        <f>IFERROR(__xludf.DUMMYFUNCTION("""COMPUTED_VALUE"""),"L")</f>
        <v>L</v>
      </c>
      <c r="E448" s="16"/>
      <c r="F448" s="16"/>
      <c r="G448" s="16">
        <f>IFERROR(__xludf.DUMMYFUNCTION("""COMPUTED_VALUE"""),95.0)</f>
        <v>95</v>
      </c>
      <c r="H448" s="16">
        <f>IFERROR(__xludf.DUMMYFUNCTION("""COMPUTED_VALUE"""),6.0)</f>
        <v>6</v>
      </c>
      <c r="I448" s="16" t="str">
        <f>IFERROR(__xludf.DUMMYFUNCTION("""COMPUTED_VALUE"""),"6p20")</f>
        <v>6p20</v>
      </c>
      <c r="J448" s="16">
        <f>IFERROR(__xludf.DUMMYFUNCTION("""COMPUTED_VALUE"""),79.0)</f>
        <v>79</v>
      </c>
      <c r="K448" s="16">
        <f>IFERROR(__xludf.DUMMYFUNCTION("""COMPUTED_VALUE"""),57.0)</f>
        <v>57</v>
      </c>
      <c r="L448" s="16">
        <f>IFERROR(__xludf.DUMMYFUNCTION("""COMPUTED_VALUE"""),-3.0)</f>
        <v>-3</v>
      </c>
      <c r="M448" s="16">
        <f>IFERROR(__xludf.DUMMYFUNCTION("""COMPUTED_VALUE"""),-3.0)</f>
        <v>-3</v>
      </c>
      <c r="N448" s="16">
        <f>IFERROR(__xludf.DUMMYFUNCTION("""COMPUTED_VALUE"""),-3.0)</f>
        <v>-3</v>
      </c>
      <c r="O448" s="16">
        <f>IFERROR(__xludf.DUMMYFUNCTION("""COMPUTED_VALUE"""),-3.0)</f>
        <v>-3</v>
      </c>
      <c r="P448" s="16">
        <f>IFERROR(__xludf.DUMMYFUNCTION("""COMPUTED_VALUE"""),0.0)</f>
        <v>0</v>
      </c>
      <c r="Q448" s="16">
        <f>IFERROR(__xludf.DUMMYFUNCTION("""COMPUTED_VALUE"""),3.0)</f>
        <v>3</v>
      </c>
      <c r="R448" s="16">
        <f>IFERROR(__xludf.DUMMYFUNCTION("""COMPUTED_VALUE"""),-3.0)</f>
        <v>-3</v>
      </c>
      <c r="S448" s="16">
        <f>IFERROR(__xludf.DUMMYFUNCTION("""COMPUTED_VALUE"""),-2.0)</f>
        <v>-2</v>
      </c>
      <c r="T448" s="16">
        <f>IFERROR(__xludf.DUMMYFUNCTION("""COMPUTED_VALUE"""),-3.0)</f>
        <v>-3</v>
      </c>
      <c r="U448" s="16">
        <f>IFERROR(__xludf.DUMMYFUNCTION("""COMPUTED_VALUE"""),-2.0)</f>
        <v>-2</v>
      </c>
      <c r="V448" s="16">
        <f>IFERROR(__xludf.DUMMYFUNCTION("""COMPUTED_VALUE"""),8.3)</f>
        <v>8.3</v>
      </c>
      <c r="W448" s="16">
        <f>IFERROR(__xludf.DUMMYFUNCTION("""COMPUTED_VALUE"""),18.8)</f>
        <v>18.8</v>
      </c>
      <c r="X448" s="16">
        <f>IFERROR(__xludf.DUMMYFUNCTION("""COMPUTED_VALUE"""),-2.0)</f>
        <v>-2</v>
      </c>
      <c r="Y448" s="16">
        <f>IFERROR(__xludf.DUMMYFUNCTION("""COMPUTED_VALUE"""),0.0)</f>
        <v>0</v>
      </c>
      <c r="Z448" s="16">
        <f>IFERROR(__xludf.DUMMYFUNCTION("""COMPUTED_VALUE"""),-4.0)</f>
        <v>-4</v>
      </c>
      <c r="AA448" s="16">
        <f>IFERROR(__xludf.DUMMYFUNCTION("""COMPUTED_VALUE"""),0.0)</f>
        <v>0</v>
      </c>
      <c r="AB448" s="16">
        <f>IFERROR(__xludf.DUMMYFUNCTION("""COMPUTED_VALUE"""),13.3)</f>
        <v>13.3</v>
      </c>
      <c r="AC448" s="16">
        <f>IFERROR(__xludf.DUMMYFUNCTION("""COMPUTED_VALUE"""),26.8)</f>
        <v>26.8</v>
      </c>
      <c r="AD448" s="16">
        <f>IFERROR(__xludf.DUMMYFUNCTION("""COMPUTED_VALUE"""),-2.0)</f>
        <v>-2</v>
      </c>
      <c r="AE448" s="16">
        <f>IFERROR(__xludf.DUMMYFUNCTION("""COMPUTED_VALUE"""),-1.0)</f>
        <v>-1</v>
      </c>
      <c r="AF448" s="16">
        <f>IFERROR(__xludf.DUMMYFUNCTION("""COMPUTED_VALUE"""),-10.0)</f>
        <v>-10</v>
      </c>
      <c r="AG448" s="16">
        <f>IFERROR(__xludf.DUMMYFUNCTION("""COMPUTED_VALUE"""),-5.0)</f>
        <v>-5</v>
      </c>
      <c r="AH448" s="16">
        <f>IFERROR(__xludf.DUMMYFUNCTION("""COMPUTED_VALUE"""),8.3)</f>
        <v>8.3</v>
      </c>
      <c r="AI448" s="16">
        <f>IFERROR(__xludf.DUMMYFUNCTION("""COMPUTED_VALUE"""),32.6)</f>
        <v>32.6</v>
      </c>
      <c r="AJ448" s="16">
        <f>IFERROR(__xludf.DUMMYFUNCTION("""COMPUTED_VALUE"""),-2.0)</f>
        <v>-2</v>
      </c>
      <c r="AK448" s="16">
        <f>IFERROR(__xludf.DUMMYFUNCTION("""COMPUTED_VALUE"""),0.0)</f>
        <v>0</v>
      </c>
      <c r="AL448" s="16">
        <f>IFERROR(__xludf.DUMMYFUNCTION("""COMPUTED_VALUE"""),-10.0)</f>
        <v>-10</v>
      </c>
      <c r="AM448" s="16">
        <f>IFERROR(__xludf.DUMMYFUNCTION("""COMPUTED_VALUE"""),0.0)</f>
        <v>0</v>
      </c>
      <c r="AN448" s="16">
        <f>IFERROR(__xludf.DUMMYFUNCTION("""COMPUTED_VALUE"""),0.0)</f>
        <v>0</v>
      </c>
      <c r="AO448" s="16">
        <f>IFERROR(__xludf.DUMMYFUNCTION("""COMPUTED_VALUE"""),2.2)</f>
        <v>2.2</v>
      </c>
      <c r="AP448" s="16">
        <f>IFERROR(__xludf.DUMMYFUNCTION("""COMPUTED_VALUE"""),-2.0)</f>
        <v>-2</v>
      </c>
      <c r="AQ448" s="16">
        <f>IFERROR(__xludf.DUMMYFUNCTION("""COMPUTED_VALUE"""),0.0)</f>
        <v>0</v>
      </c>
      <c r="AR448" s="16">
        <f>IFERROR(__xludf.DUMMYFUNCTION("""COMPUTED_VALUE"""),-4.0)</f>
        <v>-4</v>
      </c>
      <c r="AS448" s="16">
        <f>IFERROR(__xludf.DUMMYFUNCTION("""COMPUTED_VALUE"""),0.0)</f>
        <v>0</v>
      </c>
      <c r="AT448" s="16"/>
      <c r="AU448" s="16"/>
      <c r="AV448" s="16">
        <f>IFERROR(__xludf.DUMMYFUNCTION("""COMPUTED_VALUE"""),-3.0)</f>
        <v>-3</v>
      </c>
      <c r="AW448" s="16">
        <f>IFERROR(__xludf.DUMMYFUNCTION("""COMPUTED_VALUE"""),-3.0)</f>
        <v>-3</v>
      </c>
      <c r="AX448" s="16">
        <f>IFERROR(__xludf.DUMMYFUNCTION("""COMPUTED_VALUE"""),-3.0)</f>
        <v>-3</v>
      </c>
      <c r="AY448" s="16">
        <f>IFERROR(__xludf.DUMMYFUNCTION("""COMPUTED_VALUE"""),-3.0)</f>
        <v>-3</v>
      </c>
      <c r="AZ448" s="16">
        <f>IFERROR(__xludf.DUMMYFUNCTION("""COMPUTED_VALUE"""),-9.0)</f>
        <v>-9</v>
      </c>
      <c r="BA448" s="16">
        <f>IFERROR(__xludf.DUMMYFUNCTION("""COMPUTED_VALUE"""),-9.0)</f>
        <v>-9</v>
      </c>
      <c r="BB448" s="16">
        <f>IFERROR(__xludf.DUMMYFUNCTION("""COMPUTED_VALUE"""),5.0)</f>
        <v>5</v>
      </c>
      <c r="BC448" s="16">
        <f>IFERROR(__xludf.DUMMYFUNCTION("""COMPUTED_VALUE"""),5.0)</f>
        <v>5</v>
      </c>
      <c r="BD448" s="16">
        <f>IFERROR(__xludf.DUMMYFUNCTION("""COMPUTED_VALUE"""),1.0)</f>
        <v>1</v>
      </c>
      <c r="BE448" s="16">
        <f>IFERROR(__xludf.DUMMYFUNCTION("""COMPUTED_VALUE"""),1.0)</f>
        <v>1</v>
      </c>
      <c r="BF448" s="16">
        <f>IFERROR(__xludf.DUMMYFUNCTION("""COMPUTED_VALUE"""),1.0)</f>
        <v>1</v>
      </c>
      <c r="BG448" s="16">
        <f>IFERROR(__xludf.DUMMYFUNCTION("""COMPUTED_VALUE"""),1.0)</f>
        <v>1</v>
      </c>
      <c r="BH448" s="16">
        <f>IFERROR(__xludf.DUMMYFUNCTION("""COMPUTED_VALUE"""),-5.0)</f>
        <v>-5</v>
      </c>
      <c r="BI448" s="16">
        <f>IFERROR(__xludf.DUMMYFUNCTION("""COMPUTED_VALUE"""),-8.0)</f>
        <v>-8</v>
      </c>
      <c r="BJ448" s="16">
        <f>IFERROR(__xludf.DUMMYFUNCTION("""COMPUTED_VALUE"""),8.0)</f>
        <v>8</v>
      </c>
      <c r="BK448" s="16">
        <f>IFERROR(__xludf.DUMMYFUNCTION("""COMPUTED_VALUE"""),6.0)</f>
        <v>6</v>
      </c>
      <c r="BL448" s="16">
        <f>IFERROR(__xludf.DUMMYFUNCTION("""COMPUTED_VALUE"""),1.0)</f>
        <v>1</v>
      </c>
      <c r="BM448" s="16">
        <f>IFERROR(__xludf.DUMMYFUNCTION("""COMPUTED_VALUE"""),1.0)</f>
        <v>1</v>
      </c>
      <c r="BN448" s="16">
        <f>IFERROR(__xludf.DUMMYFUNCTION("""COMPUTED_VALUE"""),1.0)</f>
        <v>1</v>
      </c>
      <c r="BO448" s="16">
        <f>IFERROR(__xludf.DUMMYFUNCTION("""COMPUTED_VALUE"""),1.0)</f>
        <v>1</v>
      </c>
      <c r="BP448" s="16">
        <f>IFERROR(__xludf.DUMMYFUNCTION("""COMPUTED_VALUE"""),-15.0)</f>
        <v>-15</v>
      </c>
      <c r="BQ448" s="16">
        <f>IFERROR(__xludf.DUMMYFUNCTION("""COMPUTED_VALUE"""),-7.0)</f>
        <v>-7</v>
      </c>
      <c r="BR448" s="16">
        <f>IFERROR(__xludf.DUMMYFUNCTION("""COMPUTED_VALUE"""),-22.0)</f>
        <v>-22</v>
      </c>
      <c r="BS448" s="16" t="str">
        <f>IFERROR(__xludf.DUMMYFUNCTION("""COMPUTED_VALUE"""),"*5/- (20-11)")</f>
        <v>*5/- (20-11)</v>
      </c>
      <c r="BT448" s="16" t="str">
        <f>IFERROR(__xludf.DUMMYFUNCTION("""COMPUTED_VALUE"""),"B")</f>
        <v>B</v>
      </c>
      <c r="BU448" s="16">
        <f>IFERROR(__xludf.DUMMYFUNCTION("""COMPUTED_VALUE"""),14.0)</f>
        <v>14</v>
      </c>
      <c r="BV448" s="16">
        <f>IFERROR(__xludf.DUMMYFUNCTION("""COMPUTED_VALUE"""),1.0)</f>
        <v>1</v>
      </c>
      <c r="BW448" s="16">
        <f>IFERROR(__xludf.DUMMYFUNCTION("""COMPUTED_VALUE"""),1.0)</f>
        <v>1</v>
      </c>
      <c r="BX448" s="16">
        <f>IFERROR(__xludf.DUMMYFUNCTION("""COMPUTED_VALUE"""),2.0)</f>
        <v>2</v>
      </c>
      <c r="BY448" s="16">
        <f>IFERROR(__xludf.DUMMYFUNCTION("""COMPUTED_VALUE"""),3.0)</f>
        <v>3</v>
      </c>
      <c r="BZ448" s="16" t="str">
        <f>IFERROR(__xludf.DUMMYFUNCTION("""COMPUTED_VALUE"""),"D")</f>
        <v>D</v>
      </c>
      <c r="CA448" s="16" t="str">
        <f>IFERROR(__xludf.DUMMYFUNCTION("""COMPUTED_VALUE"""),"D")</f>
        <v>D</v>
      </c>
      <c r="CB448" s="16">
        <f>IFERROR(__xludf.DUMMYFUNCTION("""COMPUTED_VALUE"""),0.0)</f>
        <v>0</v>
      </c>
      <c r="CC448" s="16">
        <f>IFERROR(__xludf.DUMMYFUNCTION("""COMPUTED_VALUE"""),0.0)</f>
        <v>0</v>
      </c>
      <c r="CD448" s="16">
        <f>IFERROR(__xludf.DUMMYFUNCTION("""COMPUTED_VALUE"""),0.0)</f>
        <v>0</v>
      </c>
      <c r="CE448" s="16">
        <f>IFERROR(__xludf.DUMMYFUNCTION("""COMPUTED_VALUE"""),0.0)</f>
        <v>0</v>
      </c>
      <c r="CF448" s="16">
        <f>IFERROR(__xludf.DUMMYFUNCTION("""COMPUTED_VALUE"""),6.0)</f>
        <v>6</v>
      </c>
      <c r="CG448" s="16">
        <f>IFERROR(__xludf.DUMMYFUNCTION("""COMPUTED_VALUE"""),-41.0)</f>
        <v>-41</v>
      </c>
      <c r="CH448" s="16">
        <f>IFERROR(__xludf.DUMMYFUNCTION("""COMPUTED_VALUE"""),-17.0)</f>
        <v>-17</v>
      </c>
      <c r="CI448" s="179">
        <f>IFERROR(__xludf.DUMMYFUNCTION("""COMPUTED_VALUE"""),-30.0)</f>
        <v>-30</v>
      </c>
      <c r="CJ448" s="16"/>
      <c r="CK448" s="16">
        <f>IFERROR(__xludf.DUMMYFUNCTION("""COMPUTED_VALUE"""),425.0)</f>
        <v>425</v>
      </c>
      <c r="CL448" s="16">
        <f>IFERROR(__xludf.DUMMYFUNCTION("""COMPUTED_VALUE"""),414.0)</f>
        <v>414</v>
      </c>
      <c r="CM448" s="16">
        <f>IFERROR(__xludf.DUMMYFUNCTION("""COMPUTED_VALUE"""),412.0)</f>
        <v>412</v>
      </c>
      <c r="CN448" s="16"/>
      <c r="CO448" s="16"/>
      <c r="CP448" s="16"/>
      <c r="CQ448" s="16"/>
      <c r="CR448" s="16" t="str">
        <f>IFERROR(__xludf.DUMMYFUNCTION("""COMPUTED_VALUE"""),"3b-4e12 1b-4e25 2b-4e14")</f>
        <v>3b-4e12 1b-4e25 2b-4e14</v>
      </c>
      <c r="CS448" s="16"/>
      <c r="CT448" s="16">
        <f>IFERROR(__xludf.DUMMYFUNCTION("""COMPUTED_VALUE"""),4.0)</f>
        <v>4</v>
      </c>
      <c r="CU448" s="16">
        <f>IFERROR(__xludf.DUMMYFUNCTION("""COMPUTED_VALUE"""),4.0)</f>
        <v>4</v>
      </c>
      <c r="CV448" s="16">
        <f>IFERROR(__xludf.DUMMYFUNCTION("""COMPUTED_VALUE"""),4.0)</f>
        <v>4</v>
      </c>
      <c r="CW448" s="16"/>
      <c r="CX448" s="16"/>
      <c r="CY448" s="16"/>
      <c r="CZ448" s="16"/>
      <c r="DA448" s="16"/>
      <c r="DB448" s="16">
        <f>IFERROR(__xludf.DUMMYFUNCTION("""COMPUTED_VALUE"""),25.0)</f>
        <v>25</v>
      </c>
      <c r="DC448" s="16">
        <f>IFERROR(__xludf.DUMMYFUNCTION("""COMPUTED_VALUE"""),14.0)</f>
        <v>14</v>
      </c>
      <c r="DD448" s="16">
        <f>IFERROR(__xludf.DUMMYFUNCTION("""COMPUTED_VALUE"""),12.0)</f>
        <v>12</v>
      </c>
      <c r="DE448" s="16"/>
      <c r="DF448" s="16"/>
      <c r="DG448" s="16"/>
      <c r="DH448" s="16"/>
      <c r="DI448" s="16"/>
      <c r="DJ448" s="16">
        <f>IFERROR(__xludf.DUMMYFUNCTION("""COMPUTED_VALUE"""),0.0)</f>
        <v>0</v>
      </c>
      <c r="DK448" s="16">
        <f>IFERROR(__xludf.DUMMYFUNCTION("""COMPUTED_VALUE"""),-2.0)</f>
        <v>-2</v>
      </c>
      <c r="DL448" s="16">
        <f>IFERROR(__xludf.DUMMYFUNCTION("""COMPUTED_VALUE"""),0.0)</f>
        <v>0</v>
      </c>
      <c r="DM448" s="16"/>
      <c r="DN448" s="16"/>
      <c r="DO448" s="16"/>
      <c r="DP448" s="16"/>
      <c r="DQ448" s="16"/>
      <c r="DR448" s="16">
        <f>IFERROR(__xludf.DUMMYFUNCTION("""COMPUTED_VALUE"""),-2.0)</f>
        <v>-2</v>
      </c>
      <c r="DS448" s="16">
        <f>IFERROR(__xludf.DUMMYFUNCTION("""COMPUTED_VALUE"""),2.0)</f>
        <v>2</v>
      </c>
      <c r="DT448" s="16">
        <f>IFERROR(__xludf.DUMMYFUNCTION("""COMPUTED_VALUE"""),1.0)</f>
        <v>1</v>
      </c>
      <c r="DU448" s="16"/>
      <c r="DV448" s="16"/>
      <c r="DW448" s="16"/>
      <c r="DX448" s="16"/>
      <c r="DY448" s="16"/>
      <c r="DZ448" s="16">
        <f>IFERROR(__xludf.DUMMYFUNCTION("""COMPUTED_VALUE"""),-2.0)</f>
        <v>-2</v>
      </c>
      <c r="EA448" s="16">
        <f>IFERROR(__xludf.DUMMYFUNCTION("""COMPUTED_VALUE"""),0.0)</f>
        <v>0</v>
      </c>
      <c r="EB448" s="16">
        <f>IFERROR(__xludf.DUMMYFUNCTION("""COMPUTED_VALUE"""),1.0)</f>
        <v>1</v>
      </c>
      <c r="EC448" s="16"/>
      <c r="ED448" s="16"/>
      <c r="EE448" s="16"/>
      <c r="EF448" s="16"/>
      <c r="EG448" s="179"/>
      <c r="EH448" s="179">
        <f>IFERROR(__xludf.DUMMYFUNCTION("""COMPUTED_VALUE"""),-32.0)</f>
        <v>-32</v>
      </c>
      <c r="EI448" s="179">
        <f>IFERROR(__xludf.DUMMYFUNCTION("""COMPUTED_VALUE"""),-30.0)</f>
        <v>-30</v>
      </c>
      <c r="EJ448" s="179">
        <f>IFERROR(__xludf.DUMMYFUNCTION("""COMPUTED_VALUE"""),-29.0)</f>
        <v>-29</v>
      </c>
      <c r="EK448" s="179"/>
      <c r="EL448" s="179"/>
      <c r="EM448" s="179"/>
      <c r="EN448" s="179"/>
      <c r="EO448" s="16"/>
      <c r="EP448" s="16"/>
      <c r="EQ448" s="16">
        <f>IFERROR(__xludf.DUMMYFUNCTION("""COMPUTED_VALUE"""),-4.0)</f>
        <v>-4</v>
      </c>
      <c r="ER448" s="16">
        <f>IFERROR(__xludf.DUMMYFUNCTION("""COMPUTED_VALUE"""),-4.0)</f>
        <v>-4</v>
      </c>
      <c r="ES448" s="16"/>
      <c r="ET448" s="16"/>
      <c r="EU448" s="16"/>
      <c r="EV448" s="16"/>
      <c r="EW448" s="16"/>
      <c r="EX448" s="180"/>
      <c r="EY448" s="180">
        <f>IFERROR(__xludf.DUMMYFUNCTION("""COMPUTED_VALUE"""),0.3)</f>
        <v>0.3</v>
      </c>
      <c r="EZ448" s="180">
        <f>IFERROR(__xludf.DUMMYFUNCTION("""COMPUTED_VALUE"""),0.3)</f>
        <v>0.3</v>
      </c>
      <c r="FA448" s="180">
        <f>IFERROR(__xludf.DUMMYFUNCTION("""COMPUTED_VALUE"""),0.3)</f>
        <v>0.3</v>
      </c>
      <c r="FB448" s="180"/>
      <c r="FC448" s="180"/>
      <c r="FD448" s="180"/>
      <c r="FE448" s="180"/>
      <c r="FF448" s="180"/>
      <c r="FG448" s="180">
        <f>IFERROR(__xludf.DUMMYFUNCTION("""COMPUTED_VALUE"""),0.44907407407407407)</f>
        <v>0.4490740741</v>
      </c>
      <c r="FH448" s="180">
        <f>IFERROR(__xludf.DUMMYFUNCTION("""COMPUTED_VALUE"""),0.08333333333333333)</f>
        <v>0.08333333333</v>
      </c>
      <c r="FI448" s="180">
        <f>IFERROR(__xludf.DUMMYFUNCTION("""COMPUTED_VALUE"""),0.14351851851851852)</f>
        <v>0.1435185185</v>
      </c>
      <c r="FJ448" s="180"/>
      <c r="FK448" s="180"/>
      <c r="FL448" s="180"/>
      <c r="FM448" s="180"/>
      <c r="FN448" s="16"/>
      <c r="FO448" s="16">
        <f>IFERROR(__xludf.DUMMYFUNCTION("""COMPUTED_VALUE"""),0.38564814814814813)</f>
        <v>0.3856481481</v>
      </c>
      <c r="FP448" s="16">
        <f>IFERROR(__xludf.DUMMYFUNCTION("""COMPUTED_VALUE"""),0.6416666666666666)</f>
        <v>0.6416666667</v>
      </c>
      <c r="FQ448" s="16">
        <f>IFERROR(__xludf.DUMMYFUNCTION("""COMPUTED_VALUE"""),0.599537037037037)</f>
        <v>0.599537037</v>
      </c>
      <c r="FR448" s="16"/>
      <c r="FS448" s="16"/>
      <c r="FT448" s="16"/>
      <c r="FU448" s="16"/>
      <c r="FV448" s="16"/>
      <c r="FW448" s="16">
        <f>IFERROR(__xludf.DUMMYFUNCTION("""COMPUTED_VALUE"""),-8.0)</f>
        <v>-8</v>
      </c>
      <c r="FX448" s="16">
        <f>IFERROR(__xludf.DUMMYFUNCTION("""COMPUTED_VALUE"""),-6.0)</f>
        <v>-6</v>
      </c>
      <c r="FY448" s="16">
        <f>IFERROR(__xludf.DUMMYFUNCTION("""COMPUTED_VALUE"""),-6.0)</f>
        <v>-6</v>
      </c>
      <c r="FZ448" s="16"/>
      <c r="GA448" s="16"/>
      <c r="GB448" s="16"/>
      <c r="GC448" s="16"/>
      <c r="GD448" s="16" t="s">
        <v>176</v>
      </c>
    </row>
    <row r="449">
      <c r="A449" s="16">
        <f>IFERROR(__xludf.DUMMYFUNCTION("""COMPUTED_VALUE"""),13235.0)</f>
        <v>13235</v>
      </c>
      <c r="B449" s="16" t="str">
        <f>IFERROR(__xludf.DUMMYFUNCTION("""COMPUTED_VALUE"""),"Nick Allen")</f>
        <v>Nick Allen</v>
      </c>
      <c r="C449" s="16">
        <f>IFERROR(__xludf.DUMMYFUNCTION("""COMPUTED_VALUE"""),0.33)</f>
        <v>0.33</v>
      </c>
      <c r="D449" s="16" t="str">
        <f>IFERROR(__xludf.DUMMYFUNCTION("""COMPUTED_VALUE"""),"R")</f>
        <v>R</v>
      </c>
      <c r="E449" s="16"/>
      <c r="F449" s="16"/>
      <c r="G449" s="16">
        <f>IFERROR(__xludf.DUMMYFUNCTION("""COMPUTED_VALUE"""),97.0)</f>
        <v>97</v>
      </c>
      <c r="H449" s="16">
        <f>IFERROR(__xludf.DUMMYFUNCTION("""COMPUTED_VALUE"""),5.0)</f>
        <v>5</v>
      </c>
      <c r="I449" s="16" t="str">
        <f>IFERROR(__xludf.DUMMYFUNCTION("""COMPUTED_VALUE"""),"1p20")</f>
        <v>1p20</v>
      </c>
      <c r="J449" s="16">
        <f>IFERROR(__xludf.DUMMYFUNCTION("""COMPUTED_VALUE"""),13.0)</f>
        <v>13</v>
      </c>
      <c r="K449" s="16">
        <f>IFERROR(__xludf.DUMMYFUNCTION("""COMPUTED_VALUE"""),19.0)</f>
        <v>19</v>
      </c>
      <c r="L449" s="16">
        <f>IFERROR(__xludf.DUMMYFUNCTION("""COMPUTED_VALUE"""),1.0)</f>
        <v>1</v>
      </c>
      <c r="M449" s="16">
        <f>IFERROR(__xludf.DUMMYFUNCTION("""COMPUTED_VALUE"""),1.0)</f>
        <v>1</v>
      </c>
      <c r="N449" s="16">
        <f>IFERROR(__xludf.DUMMYFUNCTION("""COMPUTED_VALUE"""),1.0)</f>
        <v>1</v>
      </c>
      <c r="O449" s="16">
        <f>IFERROR(__xludf.DUMMYFUNCTION("""COMPUTED_VALUE"""),1.0)</f>
        <v>1</v>
      </c>
      <c r="P449" s="16">
        <f>IFERROR(__xludf.DUMMYFUNCTION("""COMPUTED_VALUE"""),0.0)</f>
        <v>0</v>
      </c>
      <c r="Q449" s="16">
        <f>IFERROR(__xludf.DUMMYFUNCTION("""COMPUTED_VALUE"""),6.0)</f>
        <v>6</v>
      </c>
      <c r="R449" s="16">
        <f>IFERROR(__xludf.DUMMYFUNCTION("""COMPUTED_VALUE"""),-3.0)</f>
        <v>-3</v>
      </c>
      <c r="S449" s="16">
        <f>IFERROR(__xludf.DUMMYFUNCTION("""COMPUTED_VALUE"""),-1.0)</f>
        <v>-1</v>
      </c>
      <c r="T449" s="16">
        <f>IFERROR(__xludf.DUMMYFUNCTION("""COMPUTED_VALUE"""),-3.0)</f>
        <v>-3</v>
      </c>
      <c r="U449" s="16">
        <f>IFERROR(__xludf.DUMMYFUNCTION("""COMPUTED_VALUE"""),-1.0)</f>
        <v>-1</v>
      </c>
      <c r="V449" s="16">
        <f>IFERROR(__xludf.DUMMYFUNCTION("""COMPUTED_VALUE"""),8.0)</f>
        <v>8</v>
      </c>
      <c r="W449" s="16">
        <f>IFERROR(__xludf.DUMMYFUNCTION("""COMPUTED_VALUE"""),10.4)</f>
        <v>10.4</v>
      </c>
      <c r="X449" s="16">
        <f>IFERROR(__xludf.DUMMYFUNCTION("""COMPUTED_VALUE"""),-2.0)</f>
        <v>-2</v>
      </c>
      <c r="Y449" s="16">
        <f>IFERROR(__xludf.DUMMYFUNCTION("""COMPUTED_VALUE"""),-2.0)</f>
        <v>-2</v>
      </c>
      <c r="Z449" s="16">
        <f>IFERROR(__xludf.DUMMYFUNCTION("""COMPUTED_VALUE"""),-4.0)</f>
        <v>-4</v>
      </c>
      <c r="AA449" s="16">
        <f>IFERROR(__xludf.DUMMYFUNCTION("""COMPUTED_VALUE"""),-4.0)</f>
        <v>-4</v>
      </c>
      <c r="AB449" s="16">
        <f>IFERROR(__xludf.DUMMYFUNCTION("""COMPUTED_VALUE"""),8.0)</f>
        <v>8</v>
      </c>
      <c r="AC449" s="16">
        <f>IFERROR(__xludf.DUMMYFUNCTION("""COMPUTED_VALUE"""),16.4)</f>
        <v>16.4</v>
      </c>
      <c r="AD449" s="16">
        <f>IFERROR(__xludf.DUMMYFUNCTION("""COMPUTED_VALUE"""),-2.0)</f>
        <v>-2</v>
      </c>
      <c r="AE449" s="16">
        <f>IFERROR(__xludf.DUMMYFUNCTION("""COMPUTED_VALUE"""),-2.0)</f>
        <v>-2</v>
      </c>
      <c r="AF449" s="16">
        <f>IFERROR(__xludf.DUMMYFUNCTION("""COMPUTED_VALUE"""),-10.0)</f>
        <v>-10</v>
      </c>
      <c r="AG449" s="16">
        <f>IFERROR(__xludf.DUMMYFUNCTION("""COMPUTED_VALUE"""),-10.0)</f>
        <v>-10</v>
      </c>
      <c r="AH449" s="16">
        <f>IFERROR(__xludf.DUMMYFUNCTION("""COMPUTED_VALUE"""),16.9)</f>
        <v>16.9</v>
      </c>
      <c r="AI449" s="16">
        <f>IFERROR(__xludf.DUMMYFUNCTION("""COMPUTED_VALUE"""),12.3)</f>
        <v>12.3</v>
      </c>
      <c r="AJ449" s="16">
        <f>IFERROR(__xludf.DUMMYFUNCTION("""COMPUTED_VALUE"""),-1.0)</f>
        <v>-1</v>
      </c>
      <c r="AK449" s="16">
        <f>IFERROR(__xludf.DUMMYFUNCTION("""COMPUTED_VALUE"""),-2.0)</f>
        <v>-2</v>
      </c>
      <c r="AL449" s="16">
        <f>IFERROR(__xludf.DUMMYFUNCTION("""COMPUTED_VALUE"""),-5.0)</f>
        <v>-5</v>
      </c>
      <c r="AM449" s="16">
        <f>IFERROR(__xludf.DUMMYFUNCTION("""COMPUTED_VALUE"""),-10.0)</f>
        <v>-10</v>
      </c>
      <c r="AN449" s="16">
        <f>IFERROR(__xludf.DUMMYFUNCTION("""COMPUTED_VALUE"""),1.1)</f>
        <v>1.1</v>
      </c>
      <c r="AO449" s="16">
        <f>IFERROR(__xludf.DUMMYFUNCTION("""COMPUTED_VALUE"""),0.0)</f>
        <v>0</v>
      </c>
      <c r="AP449" s="16">
        <f>IFERROR(__xludf.DUMMYFUNCTION("""COMPUTED_VALUE"""),-2.0)</f>
        <v>-2</v>
      </c>
      <c r="AQ449" s="16">
        <f>IFERROR(__xludf.DUMMYFUNCTION("""COMPUTED_VALUE"""),-3.0)</f>
        <v>-3</v>
      </c>
      <c r="AR449" s="16">
        <f>IFERROR(__xludf.DUMMYFUNCTION("""COMPUTED_VALUE"""),-4.0)</f>
        <v>-4</v>
      </c>
      <c r="AS449" s="16">
        <f>IFERROR(__xludf.DUMMYFUNCTION("""COMPUTED_VALUE"""),-6.0)</f>
        <v>-6</v>
      </c>
      <c r="AT449" s="16"/>
      <c r="AU449" s="16"/>
      <c r="AV449" s="16">
        <f>IFERROR(__xludf.DUMMYFUNCTION("""COMPUTED_VALUE"""),3.0)</f>
        <v>3</v>
      </c>
      <c r="AW449" s="16">
        <f>IFERROR(__xludf.DUMMYFUNCTION("""COMPUTED_VALUE"""),-3.0)</f>
        <v>-3</v>
      </c>
      <c r="AX449" s="16">
        <f>IFERROR(__xludf.DUMMYFUNCTION("""COMPUTED_VALUE"""),1.0)</f>
        <v>1</v>
      </c>
      <c r="AY449" s="16">
        <f>IFERROR(__xludf.DUMMYFUNCTION("""COMPUTED_VALUE"""),-3.0)</f>
        <v>-3</v>
      </c>
      <c r="AZ449" s="16">
        <f>IFERROR(__xludf.DUMMYFUNCTION("""COMPUTED_VALUE"""),3.0)</f>
        <v>3</v>
      </c>
      <c r="BA449" s="16">
        <f>IFERROR(__xludf.DUMMYFUNCTION("""COMPUTED_VALUE"""),-9.0)</f>
        <v>-9</v>
      </c>
      <c r="BB449" s="16">
        <f>IFERROR(__xludf.DUMMYFUNCTION("""COMPUTED_VALUE"""),0.0)</f>
        <v>0</v>
      </c>
      <c r="BC449" s="16">
        <f>IFERROR(__xludf.DUMMYFUNCTION("""COMPUTED_VALUE"""),5.0)</f>
        <v>5</v>
      </c>
      <c r="BD449" s="16">
        <f>IFERROR(__xludf.DUMMYFUNCTION("""COMPUTED_VALUE"""),0.0)</f>
        <v>0</v>
      </c>
      <c r="BE449" s="16">
        <f>IFERROR(__xludf.DUMMYFUNCTION("""COMPUTED_VALUE"""),1.0)</f>
        <v>1</v>
      </c>
      <c r="BF449" s="16">
        <f>IFERROR(__xludf.DUMMYFUNCTION("""COMPUTED_VALUE"""),0.0)</f>
        <v>0</v>
      </c>
      <c r="BG449" s="16">
        <f>IFERROR(__xludf.DUMMYFUNCTION("""COMPUTED_VALUE"""),1.0)</f>
        <v>1</v>
      </c>
      <c r="BH449" s="16">
        <f>IFERROR(__xludf.DUMMYFUNCTION("""COMPUTED_VALUE"""),0.0)</f>
        <v>0</v>
      </c>
      <c r="BI449" s="16">
        <f>IFERROR(__xludf.DUMMYFUNCTION("""COMPUTED_VALUE"""),-6.0)</f>
        <v>-6</v>
      </c>
      <c r="BJ449" s="16">
        <f>IFERROR(__xludf.DUMMYFUNCTION("""COMPUTED_VALUE"""),0.0)</f>
        <v>0</v>
      </c>
      <c r="BK449" s="16">
        <f>IFERROR(__xludf.DUMMYFUNCTION("""COMPUTED_VALUE"""),0.0)</f>
        <v>0</v>
      </c>
      <c r="BL449" s="16">
        <f>IFERROR(__xludf.DUMMYFUNCTION("""COMPUTED_VALUE"""),3.0)</f>
        <v>3</v>
      </c>
      <c r="BM449" s="16">
        <f>IFERROR(__xludf.DUMMYFUNCTION("""COMPUTED_VALUE"""),3.0)</f>
        <v>3</v>
      </c>
      <c r="BN449" s="16">
        <f>IFERROR(__xludf.DUMMYFUNCTION("""COMPUTED_VALUE"""),3.0)</f>
        <v>3</v>
      </c>
      <c r="BO449" s="16">
        <f>IFERROR(__xludf.DUMMYFUNCTION("""COMPUTED_VALUE"""),3.0)</f>
        <v>3</v>
      </c>
      <c r="BP449" s="16">
        <f>IFERROR(__xludf.DUMMYFUNCTION("""COMPUTED_VALUE"""),-5.0)</f>
        <v>-5</v>
      </c>
      <c r="BQ449" s="16">
        <f>IFERROR(__xludf.DUMMYFUNCTION("""COMPUTED_VALUE"""),-8.0)</f>
        <v>-8</v>
      </c>
      <c r="BR449" s="16">
        <f>IFERROR(__xludf.DUMMYFUNCTION("""COMPUTED_VALUE"""),-13.0)</f>
        <v>-13</v>
      </c>
      <c r="BS449" s="16" t="str">
        <f>IFERROR(__xludf.DUMMYFUNCTION("""COMPUTED_VALUE"""),"-/- (---)")</f>
        <v>-/- (---)</v>
      </c>
      <c r="BT449" s="16" t="str">
        <f>IFERROR(__xludf.DUMMYFUNCTION("""COMPUTED_VALUE"""),"E")</f>
        <v>E</v>
      </c>
      <c r="BU449" s="16">
        <f>IFERROR(__xludf.DUMMYFUNCTION("""COMPUTED_VALUE"""),14.0)</f>
        <v>14</v>
      </c>
      <c r="BV449" s="16">
        <f>IFERROR(__xludf.DUMMYFUNCTION("""COMPUTED_VALUE"""),0.0)</f>
        <v>0</v>
      </c>
      <c r="BW449" s="16">
        <f>IFERROR(__xludf.DUMMYFUNCTION("""COMPUTED_VALUE"""),1.0)</f>
        <v>1</v>
      </c>
      <c r="BX449" s="16">
        <f>IFERROR(__xludf.DUMMYFUNCTION("""COMPUTED_VALUE"""),0.0)</f>
        <v>0</v>
      </c>
      <c r="BY449" s="16">
        <f>IFERROR(__xludf.DUMMYFUNCTION("""COMPUTED_VALUE"""),3.0)</f>
        <v>3</v>
      </c>
      <c r="BZ449" s="16" t="str">
        <f>IFERROR(__xludf.DUMMYFUNCTION("""COMPUTED_VALUE"""),"B")</f>
        <v>B</v>
      </c>
      <c r="CA449" s="16" t="str">
        <f>IFERROR(__xludf.DUMMYFUNCTION("""COMPUTED_VALUE"""),"C")</f>
        <v>C</v>
      </c>
      <c r="CB449" s="16">
        <f>IFERROR(__xludf.DUMMYFUNCTION("""COMPUTED_VALUE"""),1.0)</f>
        <v>1</v>
      </c>
      <c r="CC449" s="16">
        <f>IFERROR(__xludf.DUMMYFUNCTION("""COMPUTED_VALUE"""),0.0)</f>
        <v>0</v>
      </c>
      <c r="CD449" s="16">
        <f>IFERROR(__xludf.DUMMYFUNCTION("""COMPUTED_VALUE"""),1.0)</f>
        <v>1</v>
      </c>
      <c r="CE449" s="16">
        <f>IFERROR(__xludf.DUMMYFUNCTION("""COMPUTED_VALUE"""),0.0)</f>
        <v>0</v>
      </c>
      <c r="CF449" s="16">
        <f>IFERROR(__xludf.DUMMYFUNCTION("""COMPUTED_VALUE"""),1.0)</f>
        <v>1</v>
      </c>
      <c r="CG449" s="16">
        <f>IFERROR(__xludf.DUMMYFUNCTION("""COMPUTED_VALUE"""),-19.0)</f>
        <v>-19</v>
      </c>
      <c r="CH449" s="16">
        <f>IFERROR(__xludf.DUMMYFUNCTION("""COMPUTED_VALUE"""),-35.0)</f>
        <v>-35</v>
      </c>
      <c r="CI449" s="179">
        <f>IFERROR(__xludf.DUMMYFUNCTION("""COMPUTED_VALUE"""),-30.0)</f>
        <v>-30</v>
      </c>
      <c r="CJ449" s="16"/>
      <c r="CK449" s="16"/>
      <c r="CL449" s="16">
        <f>IFERROR(__xludf.DUMMYFUNCTION("""COMPUTED_VALUE"""),213.0)</f>
        <v>213</v>
      </c>
      <c r="CM449" s="16">
        <f>IFERROR(__xludf.DUMMYFUNCTION("""COMPUTED_VALUE"""),322.0)</f>
        <v>322</v>
      </c>
      <c r="CN449" s="16">
        <f>IFERROR(__xludf.DUMMYFUNCTION("""COMPUTED_VALUE"""),136.0)</f>
        <v>136</v>
      </c>
      <c r="CO449" s="16"/>
      <c r="CP449" s="16"/>
      <c r="CQ449" s="16"/>
      <c r="CR449" s="16" t="str">
        <f>IFERROR(__xludf.DUMMYFUNCTION("""COMPUTED_VALUE"""),"ss-1e36 3b-3e22 2b-2e13")</f>
        <v>ss-1e36 3b-3e22 2b-2e13</v>
      </c>
      <c r="CS449" s="16"/>
      <c r="CT449" s="16"/>
      <c r="CU449" s="16">
        <f>IFERROR(__xludf.DUMMYFUNCTION("""COMPUTED_VALUE"""),2.0)</f>
        <v>2</v>
      </c>
      <c r="CV449" s="16">
        <f>IFERROR(__xludf.DUMMYFUNCTION("""COMPUTED_VALUE"""),3.0)</f>
        <v>3</v>
      </c>
      <c r="CW449" s="16">
        <f>IFERROR(__xludf.DUMMYFUNCTION("""COMPUTED_VALUE"""),1.0)</f>
        <v>1</v>
      </c>
      <c r="CX449" s="16"/>
      <c r="CY449" s="16"/>
      <c r="CZ449" s="16"/>
      <c r="DA449" s="16"/>
      <c r="DB449" s="16"/>
      <c r="DC449" s="16">
        <f>IFERROR(__xludf.DUMMYFUNCTION("""COMPUTED_VALUE"""),13.0)</f>
        <v>13</v>
      </c>
      <c r="DD449" s="16">
        <f>IFERROR(__xludf.DUMMYFUNCTION("""COMPUTED_VALUE"""),22.0)</f>
        <v>22</v>
      </c>
      <c r="DE449" s="16">
        <f>IFERROR(__xludf.DUMMYFUNCTION("""COMPUTED_VALUE"""),36.0)</f>
        <v>36</v>
      </c>
      <c r="DF449" s="16"/>
      <c r="DG449" s="16"/>
      <c r="DH449" s="16"/>
      <c r="DI449" s="16"/>
      <c r="DJ449" s="16"/>
      <c r="DK449" s="16">
        <f>IFERROR(__xludf.DUMMYFUNCTION("""COMPUTED_VALUE"""),2.0)</f>
        <v>2</v>
      </c>
      <c r="DL449" s="16">
        <f>IFERROR(__xludf.DUMMYFUNCTION("""COMPUTED_VALUE"""),1.0)</f>
        <v>1</v>
      </c>
      <c r="DM449" s="16">
        <f>IFERROR(__xludf.DUMMYFUNCTION("""COMPUTED_VALUE"""),5.0)</f>
        <v>5</v>
      </c>
      <c r="DN449" s="16"/>
      <c r="DO449" s="16"/>
      <c r="DP449" s="16"/>
      <c r="DQ449" s="16"/>
      <c r="DR449" s="16"/>
      <c r="DS449" s="16">
        <f>IFERROR(__xludf.DUMMYFUNCTION("""COMPUTED_VALUE"""),2.0)</f>
        <v>2</v>
      </c>
      <c r="DT449" s="16">
        <f>IFERROR(__xludf.DUMMYFUNCTION("""COMPUTED_VALUE"""),-2.0)</f>
        <v>-2</v>
      </c>
      <c r="DU449" s="16">
        <f>IFERROR(__xludf.DUMMYFUNCTION("""COMPUTED_VALUE"""),-2.0)</f>
        <v>-2</v>
      </c>
      <c r="DV449" s="16"/>
      <c r="DW449" s="16"/>
      <c r="DX449" s="16"/>
      <c r="DY449" s="16"/>
      <c r="DZ449" s="16"/>
      <c r="EA449" s="16">
        <f>IFERROR(__xludf.DUMMYFUNCTION("""COMPUTED_VALUE"""),4.0)</f>
        <v>4</v>
      </c>
      <c r="EB449" s="16">
        <f>IFERROR(__xludf.DUMMYFUNCTION("""COMPUTED_VALUE"""),-1.0)</f>
        <v>-1</v>
      </c>
      <c r="EC449" s="16">
        <f>IFERROR(__xludf.DUMMYFUNCTION("""COMPUTED_VALUE"""),3.0)</f>
        <v>3</v>
      </c>
      <c r="ED449" s="16"/>
      <c r="EE449" s="16"/>
      <c r="EF449" s="16"/>
      <c r="EG449" s="179"/>
      <c r="EH449" s="179"/>
      <c r="EI449" s="179">
        <f>IFERROR(__xludf.DUMMYFUNCTION("""COMPUTED_VALUE"""),-26.0)</f>
        <v>-26</v>
      </c>
      <c r="EJ449" s="179">
        <f>IFERROR(__xludf.DUMMYFUNCTION("""COMPUTED_VALUE"""),-31.0)</f>
        <v>-31</v>
      </c>
      <c r="EK449" s="179">
        <f>IFERROR(__xludf.DUMMYFUNCTION("""COMPUTED_VALUE"""),-27.0)</f>
        <v>-27</v>
      </c>
      <c r="EL449" s="179"/>
      <c r="EM449" s="179"/>
      <c r="EN449" s="179"/>
      <c r="EO449" s="16"/>
      <c r="EP449" s="16">
        <f>IFERROR(__xludf.DUMMYFUNCTION("""COMPUTED_VALUE"""),-2.0)</f>
        <v>-2</v>
      </c>
      <c r="EQ449" s="16">
        <f>IFERROR(__xludf.DUMMYFUNCTION("""COMPUTED_VALUE"""),4.0)</f>
        <v>4</v>
      </c>
      <c r="ER449" s="16">
        <f>IFERROR(__xludf.DUMMYFUNCTION("""COMPUTED_VALUE"""),-4.0)</f>
        <v>-4</v>
      </c>
      <c r="ES449" s="16"/>
      <c r="ET449" s="16"/>
      <c r="EU449" s="16"/>
      <c r="EV449" s="16"/>
      <c r="EW449" s="16"/>
      <c r="EX449" s="180"/>
      <c r="EY449" s="180"/>
      <c r="EZ449" s="180">
        <f>IFERROR(__xludf.DUMMYFUNCTION("""COMPUTED_VALUE"""),0.1)</f>
        <v>0.1</v>
      </c>
      <c r="FA449" s="180">
        <f>IFERROR(__xludf.DUMMYFUNCTION("""COMPUTED_VALUE"""),0.2)</f>
        <v>0.2</v>
      </c>
      <c r="FB449" s="180">
        <f>IFERROR(__xludf.DUMMYFUNCTION("""COMPUTED_VALUE"""),0.0)</f>
        <v>0</v>
      </c>
      <c r="FC449" s="180"/>
      <c r="FD449" s="180"/>
      <c r="FE449" s="180"/>
      <c r="FF449" s="180"/>
      <c r="FG449" s="180"/>
      <c r="FH449" s="180">
        <f>IFERROR(__xludf.DUMMYFUNCTION("""COMPUTED_VALUE"""),0.0787037037037037)</f>
        <v>0.0787037037</v>
      </c>
      <c r="FI449" s="180">
        <f>IFERROR(__xludf.DUMMYFUNCTION("""COMPUTED_VALUE"""),0.2638888888888889)</f>
        <v>0.2638888889</v>
      </c>
      <c r="FJ449" s="180">
        <f>IFERROR(__xludf.DUMMYFUNCTION("""COMPUTED_VALUE"""),0.18518518518518517)</f>
        <v>0.1851851852</v>
      </c>
      <c r="FK449" s="180"/>
      <c r="FL449" s="180"/>
      <c r="FM449" s="180"/>
      <c r="FN449" s="16"/>
      <c r="FO449" s="16"/>
      <c r="FP449" s="16">
        <f>IFERROR(__xludf.DUMMYFUNCTION("""COMPUTED_VALUE"""),0.8291666666666667)</f>
        <v>0.8291666667</v>
      </c>
      <c r="FQ449" s="16">
        <f>IFERROR(__xludf.DUMMYFUNCTION("""COMPUTED_VALUE"""),0.5888888888888889)</f>
        <v>0.5888888889</v>
      </c>
      <c r="FR449" s="16">
        <f>IFERROR(__xludf.DUMMYFUNCTION("""COMPUTED_VALUE"""),0.8148148148148149)</f>
        <v>0.8148148148</v>
      </c>
      <c r="FS449" s="16"/>
      <c r="FT449" s="16"/>
      <c r="FU449" s="16"/>
      <c r="FV449" s="16"/>
      <c r="FW449" s="16"/>
      <c r="FX449" s="16">
        <f>IFERROR(__xludf.DUMMYFUNCTION("""COMPUTED_VALUE"""),1.0)</f>
        <v>1</v>
      </c>
      <c r="FY449" s="16">
        <f>IFERROR(__xludf.DUMMYFUNCTION("""COMPUTED_VALUE"""),-6.0)</f>
        <v>-6</v>
      </c>
      <c r="FZ449" s="16">
        <f>IFERROR(__xludf.DUMMYFUNCTION("""COMPUTED_VALUE"""),1.0)</f>
        <v>1</v>
      </c>
      <c r="GA449" s="16"/>
      <c r="GB449" s="16"/>
      <c r="GC449" s="16"/>
      <c r="GD449" s="16" t="s">
        <v>672</v>
      </c>
    </row>
    <row r="450">
      <c r="A450" s="16">
        <f>IFERROR(__xludf.DUMMYFUNCTION("""COMPUTED_VALUE"""),13013.0)</f>
        <v>13013</v>
      </c>
      <c r="B450" s="16" t="str">
        <f>IFERROR(__xludf.DUMMYFUNCTION("""COMPUTED_VALUE"""),"Jose Azocar")</f>
        <v>Jose Azocar</v>
      </c>
      <c r="C450" s="16">
        <f>IFERROR(__xludf.DUMMYFUNCTION("""COMPUTED_VALUE"""),0.0)</f>
        <v>0</v>
      </c>
      <c r="D450" s="16" t="str">
        <f>IFERROR(__xludf.DUMMYFUNCTION("""COMPUTED_VALUE"""),"R")</f>
        <v>R</v>
      </c>
      <c r="E450" s="16"/>
      <c r="F450" s="16"/>
      <c r="G450" s="16">
        <f>IFERROR(__xludf.DUMMYFUNCTION("""COMPUTED_VALUE"""),73.0)</f>
        <v>73</v>
      </c>
      <c r="H450" s="16">
        <f>IFERROR(__xludf.DUMMYFUNCTION("""COMPUTED_VALUE"""),5.0)</f>
        <v>5</v>
      </c>
      <c r="I450" s="16" t="str">
        <f>IFERROR(__xludf.DUMMYFUNCTION("""COMPUTED_VALUE"""),"1p30")</f>
        <v>1p30</v>
      </c>
      <c r="J450" s="16">
        <f>IFERROR(__xludf.DUMMYFUNCTION("""COMPUTED_VALUE"""),25.0)</f>
        <v>25</v>
      </c>
      <c r="K450" s="16">
        <f>IFERROR(__xludf.DUMMYFUNCTION("""COMPUTED_VALUE"""),32.0)</f>
        <v>32</v>
      </c>
      <c r="L450" s="16">
        <f>IFERROR(__xludf.DUMMYFUNCTION("""COMPUTED_VALUE"""),0.0)</f>
        <v>0</v>
      </c>
      <c r="M450" s="16">
        <f>IFERROR(__xludf.DUMMYFUNCTION("""COMPUTED_VALUE"""),-1.0)</f>
        <v>-1</v>
      </c>
      <c r="N450" s="16">
        <f>IFERROR(__xludf.DUMMYFUNCTION("""COMPUTED_VALUE"""),0.0)</f>
        <v>0</v>
      </c>
      <c r="O450" s="16">
        <f>IFERROR(__xludf.DUMMYFUNCTION("""COMPUTED_VALUE"""),-1.0)</f>
        <v>-1</v>
      </c>
      <c r="P450" s="16">
        <f>IFERROR(__xludf.DUMMYFUNCTION("""COMPUTED_VALUE"""),6.0)</f>
        <v>6</v>
      </c>
      <c r="Q450" s="16">
        <f>IFERROR(__xludf.DUMMYFUNCTION("""COMPUTED_VALUE"""),5.0)</f>
        <v>5</v>
      </c>
      <c r="R450" s="16">
        <f>IFERROR(__xludf.DUMMYFUNCTION("""COMPUTED_VALUE"""),-1.0)</f>
        <v>-1</v>
      </c>
      <c r="S450" s="16">
        <f>IFERROR(__xludf.DUMMYFUNCTION("""COMPUTED_VALUE"""),-1.0)</f>
        <v>-1</v>
      </c>
      <c r="T450" s="16">
        <f>IFERROR(__xludf.DUMMYFUNCTION("""COMPUTED_VALUE"""),-1.0)</f>
        <v>-1</v>
      </c>
      <c r="U450" s="16">
        <f>IFERROR(__xludf.DUMMYFUNCTION("""COMPUTED_VALUE"""),-1.0)</f>
        <v>-1</v>
      </c>
      <c r="V450" s="16">
        <f>IFERROR(__xludf.DUMMYFUNCTION("""COMPUTED_VALUE"""),20.4)</f>
        <v>20.4</v>
      </c>
      <c r="W450" s="16">
        <f>IFERROR(__xludf.DUMMYFUNCTION("""COMPUTED_VALUE"""),15.6)</f>
        <v>15.6</v>
      </c>
      <c r="X450" s="16">
        <f>IFERROR(__xludf.DUMMYFUNCTION("""COMPUTED_VALUE"""),0.0)</f>
        <v>0</v>
      </c>
      <c r="Y450" s="16">
        <f>IFERROR(__xludf.DUMMYFUNCTION("""COMPUTED_VALUE"""),-1.0)</f>
        <v>-1</v>
      </c>
      <c r="Z450" s="16">
        <f>IFERROR(__xludf.DUMMYFUNCTION("""COMPUTED_VALUE"""),0.0)</f>
        <v>0</v>
      </c>
      <c r="AA450" s="16">
        <f>IFERROR(__xludf.DUMMYFUNCTION("""COMPUTED_VALUE"""),-2.0)</f>
        <v>-2</v>
      </c>
      <c r="AB450" s="16">
        <f>IFERROR(__xludf.DUMMYFUNCTION("""COMPUTED_VALUE"""),26.4)</f>
        <v>26.4</v>
      </c>
      <c r="AC450" s="16">
        <f>IFERROR(__xludf.DUMMYFUNCTION("""COMPUTED_VALUE"""),20.5)</f>
        <v>20.5</v>
      </c>
      <c r="AD450" s="16">
        <f>IFERROR(__xludf.DUMMYFUNCTION("""COMPUTED_VALUE"""),-1.0)</f>
        <v>-1</v>
      </c>
      <c r="AE450" s="16">
        <f>IFERROR(__xludf.DUMMYFUNCTION("""COMPUTED_VALUE"""),-2.0)</f>
        <v>-2</v>
      </c>
      <c r="AF450" s="16">
        <f>IFERROR(__xludf.DUMMYFUNCTION("""COMPUTED_VALUE"""),-5.0)</f>
        <v>-5</v>
      </c>
      <c r="AG450" s="16">
        <f>IFERROR(__xludf.DUMMYFUNCTION("""COMPUTED_VALUE"""),-10.0)</f>
        <v>-10</v>
      </c>
      <c r="AH450" s="16">
        <f>IFERROR(__xludf.DUMMYFUNCTION("""COMPUTED_VALUE"""),20.4)</f>
        <v>20.4</v>
      </c>
      <c r="AI450" s="16">
        <f>IFERROR(__xludf.DUMMYFUNCTION("""COMPUTED_VALUE"""),16.6)</f>
        <v>16.6</v>
      </c>
      <c r="AJ450" s="16">
        <f>IFERROR(__xludf.DUMMYFUNCTION("""COMPUTED_VALUE"""),-1.0)</f>
        <v>-1</v>
      </c>
      <c r="AK450" s="16">
        <f>IFERROR(__xludf.DUMMYFUNCTION("""COMPUTED_VALUE"""),-2.0)</f>
        <v>-2</v>
      </c>
      <c r="AL450" s="16">
        <f>IFERROR(__xludf.DUMMYFUNCTION("""COMPUTED_VALUE"""),-5.0)</f>
        <v>-5</v>
      </c>
      <c r="AM450" s="16">
        <f>IFERROR(__xludf.DUMMYFUNCTION("""COMPUTED_VALUE"""),-10.0)</f>
        <v>-10</v>
      </c>
      <c r="AN450" s="16">
        <f>IFERROR(__xludf.DUMMYFUNCTION("""COMPUTED_VALUE"""),0.0)</f>
        <v>0</v>
      </c>
      <c r="AO450" s="16">
        <f>IFERROR(__xludf.DUMMYFUNCTION("""COMPUTED_VALUE"""),0.0)</f>
        <v>0</v>
      </c>
      <c r="AP450" s="16">
        <f>IFERROR(__xludf.DUMMYFUNCTION("""COMPUTED_VALUE"""),-2.0)</f>
        <v>-2</v>
      </c>
      <c r="AQ450" s="16">
        <f>IFERROR(__xludf.DUMMYFUNCTION("""COMPUTED_VALUE"""),-3.0)</f>
        <v>-3</v>
      </c>
      <c r="AR450" s="16">
        <f>IFERROR(__xludf.DUMMYFUNCTION("""COMPUTED_VALUE"""),-4.0)</f>
        <v>-4</v>
      </c>
      <c r="AS450" s="16">
        <f>IFERROR(__xludf.DUMMYFUNCTION("""COMPUTED_VALUE"""),-6.0)</f>
        <v>-6</v>
      </c>
      <c r="AT450" s="16"/>
      <c r="AU450" s="16"/>
      <c r="AV450" s="16">
        <f>IFERROR(__xludf.DUMMYFUNCTION("""COMPUTED_VALUE"""),-3.0)</f>
        <v>-3</v>
      </c>
      <c r="AW450" s="16">
        <f>IFERROR(__xludf.DUMMYFUNCTION("""COMPUTED_VALUE"""),-3.0)</f>
        <v>-3</v>
      </c>
      <c r="AX450" s="16">
        <f>IFERROR(__xludf.DUMMYFUNCTION("""COMPUTED_VALUE"""),-3.0)</f>
        <v>-3</v>
      </c>
      <c r="AY450" s="16">
        <f>IFERROR(__xludf.DUMMYFUNCTION("""COMPUTED_VALUE"""),-3.0)</f>
        <v>-3</v>
      </c>
      <c r="AZ450" s="16">
        <f>IFERROR(__xludf.DUMMYFUNCTION("""COMPUTED_VALUE"""),-9.0)</f>
        <v>-9</v>
      </c>
      <c r="BA450" s="16">
        <f>IFERROR(__xludf.DUMMYFUNCTION("""COMPUTED_VALUE"""),-9.0)</f>
        <v>-9</v>
      </c>
      <c r="BB450" s="16">
        <f>IFERROR(__xludf.DUMMYFUNCTION("""COMPUTED_VALUE"""),5.0)</f>
        <v>5</v>
      </c>
      <c r="BC450" s="16">
        <f>IFERROR(__xludf.DUMMYFUNCTION("""COMPUTED_VALUE"""),5.0)</f>
        <v>5</v>
      </c>
      <c r="BD450" s="16">
        <f>IFERROR(__xludf.DUMMYFUNCTION("""COMPUTED_VALUE"""),1.0)</f>
        <v>1</v>
      </c>
      <c r="BE450" s="16">
        <f>IFERROR(__xludf.DUMMYFUNCTION("""COMPUTED_VALUE"""),1.0)</f>
        <v>1</v>
      </c>
      <c r="BF450" s="16">
        <f>IFERROR(__xludf.DUMMYFUNCTION("""COMPUTED_VALUE"""),1.0)</f>
        <v>1</v>
      </c>
      <c r="BG450" s="16">
        <f>IFERROR(__xludf.DUMMYFUNCTION("""COMPUTED_VALUE"""),1.0)</f>
        <v>1</v>
      </c>
      <c r="BH450" s="16">
        <f>IFERROR(__xludf.DUMMYFUNCTION("""COMPUTED_VALUE"""),-8.0)</f>
        <v>-8</v>
      </c>
      <c r="BI450" s="16">
        <f>IFERROR(__xludf.DUMMYFUNCTION("""COMPUTED_VALUE"""),-8.0)</f>
        <v>-8</v>
      </c>
      <c r="BJ450" s="16">
        <f>IFERROR(__xludf.DUMMYFUNCTION("""COMPUTED_VALUE"""),9.0)</f>
        <v>9</v>
      </c>
      <c r="BK450" s="16">
        <f>IFERROR(__xludf.DUMMYFUNCTION("""COMPUTED_VALUE"""),10.0)</f>
        <v>10</v>
      </c>
      <c r="BL450" s="16">
        <f>IFERROR(__xludf.DUMMYFUNCTION("""COMPUTED_VALUE"""),0.0)</f>
        <v>0</v>
      </c>
      <c r="BM450" s="16">
        <f>IFERROR(__xludf.DUMMYFUNCTION("""COMPUTED_VALUE"""),0.0)</f>
        <v>0</v>
      </c>
      <c r="BN450" s="16">
        <f>IFERROR(__xludf.DUMMYFUNCTION("""COMPUTED_VALUE"""),0.0)</f>
        <v>0</v>
      </c>
      <c r="BO450" s="16">
        <f>IFERROR(__xludf.DUMMYFUNCTION("""COMPUTED_VALUE"""),0.0)</f>
        <v>0</v>
      </c>
      <c r="BP450" s="16">
        <f>IFERROR(__xludf.DUMMYFUNCTION("""COMPUTED_VALUE"""),-7.0)</f>
        <v>-7</v>
      </c>
      <c r="BQ450" s="16">
        <f>IFERROR(__xludf.DUMMYFUNCTION("""COMPUTED_VALUE"""),-12.0)</f>
        <v>-12</v>
      </c>
      <c r="BR450" s="16">
        <f>IFERROR(__xludf.DUMMYFUNCTION("""COMPUTED_VALUE"""),-19.0)</f>
        <v>-19</v>
      </c>
      <c r="BS450" s="16" t="str">
        <f>IFERROR(__xludf.DUMMYFUNCTION("""COMPUTED_VALUE"""),"*4-6/- (19-14)")</f>
        <v>*4-6/- (19-14)</v>
      </c>
      <c r="BT450" s="16" t="str">
        <f>IFERROR(__xludf.DUMMYFUNCTION("""COMPUTED_VALUE"""),"B")</f>
        <v>B</v>
      </c>
      <c r="BU450" s="16">
        <f>IFERROR(__xludf.DUMMYFUNCTION("""COMPUTED_VALUE"""),16.0)</f>
        <v>16</v>
      </c>
      <c r="BV450" s="16">
        <f>IFERROR(__xludf.DUMMYFUNCTION("""COMPUTED_VALUE"""),1.0)</f>
        <v>1</v>
      </c>
      <c r="BW450" s="16">
        <f>IFERROR(__xludf.DUMMYFUNCTION("""COMPUTED_VALUE"""),2.0)</f>
        <v>2</v>
      </c>
      <c r="BX450" s="16">
        <f>IFERROR(__xludf.DUMMYFUNCTION("""COMPUTED_VALUE"""),2.0)</f>
        <v>2</v>
      </c>
      <c r="BY450" s="16">
        <f>IFERROR(__xludf.DUMMYFUNCTION("""COMPUTED_VALUE"""),6.0)</f>
        <v>6</v>
      </c>
      <c r="BZ450" s="16" t="str">
        <f>IFERROR(__xludf.DUMMYFUNCTION("""COMPUTED_VALUE"""),"C")</f>
        <v>C</v>
      </c>
      <c r="CA450" s="16" t="str">
        <f>IFERROR(__xludf.DUMMYFUNCTION("""COMPUTED_VALUE"""),"D")</f>
        <v>D</v>
      </c>
      <c r="CB450" s="16">
        <f>IFERROR(__xludf.DUMMYFUNCTION("""COMPUTED_VALUE"""),0.0)</f>
        <v>0</v>
      </c>
      <c r="CC450" s="16">
        <f>IFERROR(__xludf.DUMMYFUNCTION("""COMPUTED_VALUE"""),0.0)</f>
        <v>0</v>
      </c>
      <c r="CD450" s="16">
        <f>IFERROR(__xludf.DUMMYFUNCTION("""COMPUTED_VALUE"""),0.0)</f>
        <v>0</v>
      </c>
      <c r="CE450" s="16">
        <f>IFERROR(__xludf.DUMMYFUNCTION("""COMPUTED_VALUE"""),0.0)</f>
        <v>0</v>
      </c>
      <c r="CF450" s="16">
        <f>IFERROR(__xludf.DUMMYFUNCTION("""COMPUTED_VALUE"""),1.0)</f>
        <v>1</v>
      </c>
      <c r="CG450" s="16">
        <f>IFERROR(__xludf.DUMMYFUNCTION("""COMPUTED_VALUE"""),-23.0)</f>
        <v>-23</v>
      </c>
      <c r="CH450" s="16">
        <f>IFERROR(__xludf.DUMMYFUNCTION("""COMPUTED_VALUE"""),-38.0)</f>
        <v>-38</v>
      </c>
      <c r="CI450" s="179">
        <f>IFERROR(__xludf.DUMMYFUNCTION("""COMPUTED_VALUE"""),-30.0)</f>
        <v>-30</v>
      </c>
      <c r="CJ450" s="16"/>
      <c r="CK450" s="16"/>
      <c r="CL450" s="16"/>
      <c r="CM450" s="16"/>
      <c r="CN450" s="16"/>
      <c r="CO450" s="16">
        <f>IFERROR(__xludf.DUMMYFUNCTION("""COMPUTED_VALUE"""),203.0)</f>
        <v>203</v>
      </c>
      <c r="CP450" s="16">
        <f>IFERROR(__xludf.DUMMYFUNCTION("""COMPUTED_VALUE"""),303.0)</f>
        <v>303</v>
      </c>
      <c r="CQ450" s="16">
        <f>IFERROR(__xludf.DUMMYFUNCTION("""COMPUTED_VALUE"""),203.0)</f>
        <v>203</v>
      </c>
      <c r="CR450" s="16" t="str">
        <f>IFERROR(__xludf.DUMMYFUNCTION("""COMPUTED_VALUE"""),"lf-2(-2)e3 cf-3e3 rf-2e3")</f>
        <v>lf-2(-2)e3 cf-3e3 rf-2e3</v>
      </c>
      <c r="CS450" s="16"/>
      <c r="CT450" s="16"/>
      <c r="CU450" s="16"/>
      <c r="CV450" s="16"/>
      <c r="CW450" s="16"/>
      <c r="CX450" s="16">
        <f>IFERROR(__xludf.DUMMYFUNCTION("""COMPUTED_VALUE"""),2.0)</f>
        <v>2</v>
      </c>
      <c r="CY450" s="16">
        <f>IFERROR(__xludf.DUMMYFUNCTION("""COMPUTED_VALUE"""),3.0)</f>
        <v>3</v>
      </c>
      <c r="CZ450" s="16">
        <f>IFERROR(__xludf.DUMMYFUNCTION("""COMPUTED_VALUE"""),2.0)</f>
        <v>2</v>
      </c>
      <c r="DA450" s="16"/>
      <c r="DB450" s="16"/>
      <c r="DC450" s="16"/>
      <c r="DD450" s="16"/>
      <c r="DE450" s="16"/>
      <c r="DF450" s="16">
        <f>IFERROR(__xludf.DUMMYFUNCTION("""COMPUTED_VALUE"""),3.0)</f>
        <v>3</v>
      </c>
      <c r="DG450" s="16">
        <f>IFERROR(__xludf.DUMMYFUNCTION("""COMPUTED_VALUE"""),3.0)</f>
        <v>3</v>
      </c>
      <c r="DH450" s="16">
        <f>IFERROR(__xludf.DUMMYFUNCTION("""COMPUTED_VALUE"""),3.0)</f>
        <v>3</v>
      </c>
      <c r="DI450" s="16"/>
      <c r="DJ450" s="16"/>
      <c r="DK450" s="16"/>
      <c r="DL450" s="16"/>
      <c r="DM450" s="16"/>
      <c r="DN450" s="16">
        <f>IFERROR(__xludf.DUMMYFUNCTION("""COMPUTED_VALUE"""),3.0)</f>
        <v>3</v>
      </c>
      <c r="DO450" s="16">
        <f>IFERROR(__xludf.DUMMYFUNCTION("""COMPUTED_VALUE"""),0.0)</f>
        <v>0</v>
      </c>
      <c r="DP450" s="16">
        <f>IFERROR(__xludf.DUMMYFUNCTION("""COMPUTED_VALUE"""),3.0)</f>
        <v>3</v>
      </c>
      <c r="DQ450" s="16"/>
      <c r="DR450" s="16"/>
      <c r="DS450" s="16"/>
      <c r="DT450" s="16"/>
      <c r="DU450" s="16"/>
      <c r="DV450" s="16">
        <f>IFERROR(__xludf.DUMMYFUNCTION("""COMPUTED_VALUE"""),4.0)</f>
        <v>4</v>
      </c>
      <c r="DW450" s="16">
        <f>IFERROR(__xludf.DUMMYFUNCTION("""COMPUTED_VALUE"""),4.0)</f>
        <v>4</v>
      </c>
      <c r="DX450" s="16">
        <f>IFERROR(__xludf.DUMMYFUNCTION("""COMPUTED_VALUE"""),4.0)</f>
        <v>4</v>
      </c>
      <c r="DY450" s="16"/>
      <c r="DZ450" s="16"/>
      <c r="EA450" s="16"/>
      <c r="EB450" s="16"/>
      <c r="EC450" s="16"/>
      <c r="ED450" s="16">
        <f>IFERROR(__xludf.DUMMYFUNCTION("""COMPUTED_VALUE"""),7.0)</f>
        <v>7</v>
      </c>
      <c r="EE450" s="16">
        <f>IFERROR(__xludf.DUMMYFUNCTION("""COMPUTED_VALUE"""),4.0)</f>
        <v>4</v>
      </c>
      <c r="EF450" s="16">
        <f>IFERROR(__xludf.DUMMYFUNCTION("""COMPUTED_VALUE"""),7.0)</f>
        <v>7</v>
      </c>
      <c r="EG450" s="179"/>
      <c r="EH450" s="179"/>
      <c r="EI450" s="179"/>
      <c r="EJ450" s="179"/>
      <c r="EK450" s="179"/>
      <c r="EL450" s="179">
        <f>IFERROR(__xludf.DUMMYFUNCTION("""COMPUTED_VALUE"""),-23.0)</f>
        <v>-23</v>
      </c>
      <c r="EM450" s="179">
        <f>IFERROR(__xludf.DUMMYFUNCTION("""COMPUTED_VALUE"""),-26.0)</f>
        <v>-26</v>
      </c>
      <c r="EN450" s="179">
        <f>IFERROR(__xludf.DUMMYFUNCTION("""COMPUTED_VALUE"""),-23.0)</f>
        <v>-23</v>
      </c>
      <c r="EO450" s="16"/>
      <c r="EP450" s="16">
        <f>IFERROR(__xludf.DUMMYFUNCTION("""COMPUTED_VALUE"""),0.0)</f>
        <v>0</v>
      </c>
      <c r="EQ450" s="16">
        <f>IFERROR(__xludf.DUMMYFUNCTION("""COMPUTED_VALUE"""),4.0)</f>
        <v>4</v>
      </c>
      <c r="ER450" s="16">
        <f>IFERROR(__xludf.DUMMYFUNCTION("""COMPUTED_VALUE"""),-2.0)</f>
        <v>-2</v>
      </c>
      <c r="ES450" s="16"/>
      <c r="ET450" s="16"/>
      <c r="EU450" s="16"/>
      <c r="EV450" s="16"/>
      <c r="EW450" s="16"/>
      <c r="EX450" s="180"/>
      <c r="EY450" s="180"/>
      <c r="EZ450" s="180"/>
      <c r="FA450" s="180"/>
      <c r="FB450" s="180"/>
      <c r="FC450" s="180">
        <f>IFERROR(__xludf.DUMMYFUNCTION("""COMPUTED_VALUE"""),0.15)</f>
        <v>0.15</v>
      </c>
      <c r="FD450" s="180">
        <f>IFERROR(__xludf.DUMMYFUNCTION("""COMPUTED_VALUE"""),0.3)</f>
        <v>0.3</v>
      </c>
      <c r="FE450" s="180">
        <f>IFERROR(__xludf.DUMMYFUNCTION("""COMPUTED_VALUE"""),0.15)</f>
        <v>0.15</v>
      </c>
      <c r="FF450" s="180"/>
      <c r="FG450" s="180"/>
      <c r="FH450" s="180"/>
      <c r="FI450" s="180"/>
      <c r="FJ450" s="180"/>
      <c r="FK450" s="180">
        <f>IFERROR(__xludf.DUMMYFUNCTION("""COMPUTED_VALUE"""),0.056)</f>
        <v>0.056</v>
      </c>
      <c r="FL450" s="180">
        <f>IFERROR(__xludf.DUMMYFUNCTION("""COMPUTED_VALUE"""),0.037037037037037035)</f>
        <v>0.03703703704</v>
      </c>
      <c r="FM450" s="180">
        <f>IFERROR(__xludf.DUMMYFUNCTION("""COMPUTED_VALUE"""),0.056)</f>
        <v>0.056</v>
      </c>
      <c r="FN450" s="16"/>
      <c r="FO450" s="16"/>
      <c r="FP450" s="16"/>
      <c r="FQ450" s="16"/>
      <c r="FR450" s="16"/>
      <c r="FS450" s="16">
        <f>IFERROR(__xludf.DUMMYFUNCTION("""COMPUTED_VALUE"""),0.8023999999999999)</f>
        <v>0.8024</v>
      </c>
      <c r="FT450" s="16">
        <f>IFERROR(__xludf.DUMMYFUNCTION("""COMPUTED_VALUE"""),0.674074074074074)</f>
        <v>0.6740740741</v>
      </c>
      <c r="FU450" s="16">
        <f>IFERROR(__xludf.DUMMYFUNCTION("""COMPUTED_VALUE"""),0.8023999999999999)</f>
        <v>0.8024</v>
      </c>
      <c r="FV450" s="16"/>
      <c r="FW450" s="16"/>
      <c r="FX450" s="16"/>
      <c r="FY450" s="16"/>
      <c r="FZ450" s="16"/>
      <c r="GA450" s="16">
        <f>IFERROR(__xludf.DUMMYFUNCTION("""COMPUTED_VALUE"""),1.0)</f>
        <v>1</v>
      </c>
      <c r="GB450" s="16">
        <f>IFERROR(__xludf.DUMMYFUNCTION("""COMPUTED_VALUE"""),-4.0)</f>
        <v>-4</v>
      </c>
      <c r="GC450" s="16">
        <f>IFERROR(__xludf.DUMMYFUNCTION("""COMPUTED_VALUE"""),1.0)</f>
        <v>1</v>
      </c>
      <c r="GD450" s="16" t="s">
        <v>277</v>
      </c>
    </row>
    <row r="451">
      <c r="A451" s="16">
        <f>IFERROR(__xludf.DUMMYFUNCTION("""COMPUTED_VALUE"""),13490.0)</f>
        <v>13490</v>
      </c>
      <c r="B451" s="16" t="str">
        <f>IFERROR(__xludf.DUMMYFUNCTION("""COMPUTED_VALUE"""),"Wilmer Flores")</f>
        <v>Wilmer Flores</v>
      </c>
      <c r="C451" s="16">
        <f>IFERROR(__xludf.DUMMYFUNCTION("""COMPUTED_VALUE"""),0.0)</f>
        <v>0</v>
      </c>
      <c r="D451" s="16" t="str">
        <f>IFERROR(__xludf.DUMMYFUNCTION("""COMPUTED_VALUE"""),"R")</f>
        <v>R</v>
      </c>
      <c r="E451" s="16"/>
      <c r="F451" s="16"/>
      <c r="G451" s="16">
        <f>IFERROR(__xludf.DUMMYFUNCTION("""COMPUTED_VALUE"""),214.0)</f>
        <v>214</v>
      </c>
      <c r="H451" s="16">
        <f>IFERROR(__xludf.DUMMYFUNCTION("""COMPUTED_VALUE"""),20.0)</f>
        <v>20</v>
      </c>
      <c r="I451" s="16" t="str">
        <f>IFERROR(__xludf.DUMMYFUNCTION("""COMPUTED_VALUE"""),"5p40")</f>
        <v>5p40</v>
      </c>
      <c r="J451" s="16">
        <f>IFERROR(__xludf.DUMMYFUNCTION("""COMPUTED_VALUE"""),3.0)</f>
        <v>3</v>
      </c>
      <c r="K451" s="16">
        <f>IFERROR(__xludf.DUMMYFUNCTION("""COMPUTED_VALUE"""),8.0)</f>
        <v>8</v>
      </c>
      <c r="L451" s="16">
        <f>IFERROR(__xludf.DUMMYFUNCTION("""COMPUTED_VALUE"""),2.0)</f>
        <v>2</v>
      </c>
      <c r="M451" s="16">
        <f>IFERROR(__xludf.DUMMYFUNCTION("""COMPUTED_VALUE"""),2.0)</f>
        <v>2</v>
      </c>
      <c r="N451" s="16">
        <f>IFERROR(__xludf.DUMMYFUNCTION("""COMPUTED_VALUE"""),2.0)</f>
        <v>2</v>
      </c>
      <c r="O451" s="16">
        <f>IFERROR(__xludf.DUMMYFUNCTION("""COMPUTED_VALUE"""),2.0)</f>
        <v>2</v>
      </c>
      <c r="P451" s="16">
        <f>IFERROR(__xludf.DUMMYFUNCTION("""COMPUTED_VALUE"""),9.0)</f>
        <v>9</v>
      </c>
      <c r="Q451" s="16">
        <f>IFERROR(__xludf.DUMMYFUNCTION("""COMPUTED_VALUE"""),9.0)</f>
        <v>9</v>
      </c>
      <c r="R451" s="16">
        <f>IFERROR(__xludf.DUMMYFUNCTION("""COMPUTED_VALUE"""),0.0)</f>
        <v>0</v>
      </c>
      <c r="S451" s="16">
        <f>IFERROR(__xludf.DUMMYFUNCTION("""COMPUTED_VALUE"""),0.0)</f>
        <v>0</v>
      </c>
      <c r="T451" s="16">
        <f>IFERROR(__xludf.DUMMYFUNCTION("""COMPUTED_VALUE"""),0.0)</f>
        <v>0</v>
      </c>
      <c r="U451" s="16">
        <f>IFERROR(__xludf.DUMMYFUNCTION("""COMPUTED_VALUE"""),0.0)</f>
        <v>0</v>
      </c>
      <c r="V451" s="16">
        <f>IFERROR(__xludf.DUMMYFUNCTION("""COMPUTED_VALUE"""),17.4)</f>
        <v>17.4</v>
      </c>
      <c r="W451" s="16">
        <f>IFERROR(__xludf.DUMMYFUNCTION("""COMPUTED_VALUE"""),7.7)</f>
        <v>7.7</v>
      </c>
      <c r="X451" s="16">
        <f>IFERROR(__xludf.DUMMYFUNCTION("""COMPUTED_VALUE"""),0.0)</f>
        <v>0</v>
      </c>
      <c r="Y451" s="16">
        <f>IFERROR(__xludf.DUMMYFUNCTION("""COMPUTED_VALUE"""),-2.0)</f>
        <v>-2</v>
      </c>
      <c r="Z451" s="16">
        <f>IFERROR(__xludf.DUMMYFUNCTION("""COMPUTED_VALUE"""),0.0)</f>
        <v>0</v>
      </c>
      <c r="AA451" s="16">
        <f>IFERROR(__xludf.DUMMYFUNCTION("""COMPUTED_VALUE"""),-4.0)</f>
        <v>-4</v>
      </c>
      <c r="AB451" s="16">
        <f>IFERROR(__xludf.DUMMYFUNCTION("""COMPUTED_VALUE"""),29.4)</f>
        <v>29.4</v>
      </c>
      <c r="AC451" s="16">
        <f>IFERROR(__xludf.DUMMYFUNCTION("""COMPUTED_VALUE"""),19.7)</f>
        <v>19.7</v>
      </c>
      <c r="AD451" s="16">
        <f>IFERROR(__xludf.DUMMYFUNCTION("""COMPUTED_VALUE"""),0.0)</f>
        <v>0</v>
      </c>
      <c r="AE451" s="16">
        <f>IFERROR(__xludf.DUMMYFUNCTION("""COMPUTED_VALUE"""),-2.0)</f>
        <v>-2</v>
      </c>
      <c r="AF451" s="16">
        <f>IFERROR(__xludf.DUMMYFUNCTION("""COMPUTED_VALUE"""),0.0)</f>
        <v>0</v>
      </c>
      <c r="AG451" s="16">
        <f>IFERROR(__xludf.DUMMYFUNCTION("""COMPUTED_VALUE"""),-10.0)</f>
        <v>-10</v>
      </c>
      <c r="AH451" s="16">
        <f>IFERROR(__xludf.DUMMYFUNCTION("""COMPUTED_VALUE"""),28.9)</f>
        <v>28.9</v>
      </c>
      <c r="AI451" s="16">
        <f>IFERROR(__xludf.DUMMYFUNCTION("""COMPUTED_VALUE"""),9.9)</f>
        <v>9.9</v>
      </c>
      <c r="AJ451" s="16">
        <f>IFERROR(__xludf.DUMMYFUNCTION("""COMPUTED_VALUE"""),0.0)</f>
        <v>0</v>
      </c>
      <c r="AK451" s="16">
        <f>IFERROR(__xludf.DUMMYFUNCTION("""COMPUTED_VALUE"""),-2.0)</f>
        <v>-2</v>
      </c>
      <c r="AL451" s="16">
        <f>IFERROR(__xludf.DUMMYFUNCTION("""COMPUTED_VALUE"""),0.0)</f>
        <v>0</v>
      </c>
      <c r="AM451" s="16">
        <f>IFERROR(__xludf.DUMMYFUNCTION("""COMPUTED_VALUE"""),-10.0)</f>
        <v>-10</v>
      </c>
      <c r="AN451" s="16">
        <f>IFERROR(__xludf.DUMMYFUNCTION("""COMPUTED_VALUE"""),0.4)</f>
        <v>0.4</v>
      </c>
      <c r="AO451" s="16">
        <f>IFERROR(__xludf.DUMMYFUNCTION("""COMPUTED_VALUE"""),0.2)</f>
        <v>0.2</v>
      </c>
      <c r="AP451" s="16">
        <f>IFERROR(__xludf.DUMMYFUNCTION("""COMPUTED_VALUE"""),-2.0)</f>
        <v>-2</v>
      </c>
      <c r="AQ451" s="16">
        <f>IFERROR(__xludf.DUMMYFUNCTION("""COMPUTED_VALUE"""),-2.0)</f>
        <v>-2</v>
      </c>
      <c r="AR451" s="16">
        <f>IFERROR(__xludf.DUMMYFUNCTION("""COMPUTED_VALUE"""),-4.0)</f>
        <v>-4</v>
      </c>
      <c r="AS451" s="16">
        <f>IFERROR(__xludf.DUMMYFUNCTION("""COMPUTED_VALUE"""),-4.0)</f>
        <v>-4</v>
      </c>
      <c r="AT451" s="16">
        <f>IFERROR(__xludf.DUMMYFUNCTION("""COMPUTED_VALUE"""),1.0)</f>
        <v>1</v>
      </c>
      <c r="AU451" s="16">
        <f>IFERROR(__xludf.DUMMYFUNCTION("""COMPUTED_VALUE"""),0.0)</f>
        <v>0</v>
      </c>
      <c r="AV451" s="16">
        <f>IFERROR(__xludf.DUMMYFUNCTION("""COMPUTED_VALUE"""),1.0)</f>
        <v>1</v>
      </c>
      <c r="AW451" s="16">
        <f>IFERROR(__xludf.DUMMYFUNCTION("""COMPUTED_VALUE"""),0.0)</f>
        <v>0</v>
      </c>
      <c r="AX451" s="16">
        <f>IFERROR(__xludf.DUMMYFUNCTION("""COMPUTED_VALUE"""),-1.0)</f>
        <v>-1</v>
      </c>
      <c r="AY451" s="16">
        <f>IFERROR(__xludf.DUMMYFUNCTION("""COMPUTED_VALUE"""),-2.0)</f>
        <v>-2</v>
      </c>
      <c r="AZ451" s="16">
        <f>IFERROR(__xludf.DUMMYFUNCTION("""COMPUTED_VALUE"""),-3.0)</f>
        <v>-3</v>
      </c>
      <c r="BA451" s="16">
        <f>IFERROR(__xludf.DUMMYFUNCTION("""COMPUTED_VALUE"""),-6.0)</f>
        <v>-6</v>
      </c>
      <c r="BB451" s="16">
        <f>IFERROR(__xludf.DUMMYFUNCTION("""COMPUTED_VALUE"""),5.0)</f>
        <v>5</v>
      </c>
      <c r="BC451" s="16">
        <f>IFERROR(__xludf.DUMMYFUNCTION("""COMPUTED_VALUE"""),5.0)</f>
        <v>5</v>
      </c>
      <c r="BD451" s="16">
        <f>IFERROR(__xludf.DUMMYFUNCTION("""COMPUTED_VALUE"""),1.0)</f>
        <v>1</v>
      </c>
      <c r="BE451" s="16">
        <f>IFERROR(__xludf.DUMMYFUNCTION("""COMPUTED_VALUE"""),1.0)</f>
        <v>1</v>
      </c>
      <c r="BF451" s="16">
        <f>IFERROR(__xludf.DUMMYFUNCTION("""COMPUTED_VALUE"""),1.0)</f>
        <v>1</v>
      </c>
      <c r="BG451" s="16">
        <f>IFERROR(__xludf.DUMMYFUNCTION("""COMPUTED_VALUE"""),1.0)</f>
        <v>1</v>
      </c>
      <c r="BH451" s="16">
        <f>IFERROR(__xludf.DUMMYFUNCTION("""COMPUTED_VALUE"""),-2.0)</f>
        <v>-2</v>
      </c>
      <c r="BI451" s="16">
        <f>IFERROR(__xludf.DUMMYFUNCTION("""COMPUTED_VALUE"""),-2.0)</f>
        <v>-2</v>
      </c>
      <c r="BJ451" s="16">
        <f>IFERROR(__xludf.DUMMYFUNCTION("""COMPUTED_VALUE"""),16.0)</f>
        <v>16</v>
      </c>
      <c r="BK451" s="16">
        <f>IFERROR(__xludf.DUMMYFUNCTION("""COMPUTED_VALUE"""),16.0)</f>
        <v>16</v>
      </c>
      <c r="BL451" s="16">
        <f>IFERROR(__xludf.DUMMYFUNCTION("""COMPUTED_VALUE"""),-1.0)</f>
        <v>-1</v>
      </c>
      <c r="BM451" s="16">
        <f>IFERROR(__xludf.DUMMYFUNCTION("""COMPUTED_VALUE"""),-1.0)</f>
        <v>-1</v>
      </c>
      <c r="BN451" s="16">
        <f>IFERROR(__xludf.DUMMYFUNCTION("""COMPUTED_VALUE"""),-2.0)</f>
        <v>-2</v>
      </c>
      <c r="BO451" s="16">
        <f>IFERROR(__xludf.DUMMYFUNCTION("""COMPUTED_VALUE"""),-2.0)</f>
        <v>-2</v>
      </c>
      <c r="BP451" s="16">
        <f>IFERROR(__xludf.DUMMYFUNCTION("""COMPUTED_VALUE"""),-1.0)</f>
        <v>-1</v>
      </c>
      <c r="BQ451" s="16">
        <f>IFERROR(__xludf.DUMMYFUNCTION("""COMPUTED_VALUE"""),-8.0)</f>
        <v>-8</v>
      </c>
      <c r="BR451" s="16">
        <f>IFERROR(__xludf.DUMMYFUNCTION("""COMPUTED_VALUE"""),-9.0)</f>
        <v>-9</v>
      </c>
      <c r="BS451" s="16" t="str">
        <f>IFERROR(__xludf.DUMMYFUNCTION("""COMPUTED_VALUE"""),"-/- (---)")</f>
        <v>-/- (---)</v>
      </c>
      <c r="BT451" s="16" t="str">
        <f>IFERROR(__xludf.DUMMYFUNCTION("""COMPUTED_VALUE"""),"E")</f>
        <v>E</v>
      </c>
      <c r="BU451" s="16">
        <f>IFERROR(__xludf.DUMMYFUNCTION("""COMPUTED_VALUE"""),8.0)</f>
        <v>8</v>
      </c>
      <c r="BV451" s="16">
        <f>IFERROR(__xludf.DUMMYFUNCTION("""COMPUTED_VALUE"""),0.0)</f>
        <v>0</v>
      </c>
      <c r="BW451" s="16">
        <f>IFERROR(__xludf.DUMMYFUNCTION("""COMPUTED_VALUE"""),-1.0)</f>
        <v>-1</v>
      </c>
      <c r="BX451" s="16">
        <f>IFERROR(__xludf.DUMMYFUNCTION("""COMPUTED_VALUE"""),0.0)</f>
        <v>0</v>
      </c>
      <c r="BY451" s="16">
        <f>IFERROR(__xludf.DUMMYFUNCTION("""COMPUTED_VALUE"""),-3.0)</f>
        <v>-3</v>
      </c>
      <c r="BZ451" s="16" t="str">
        <f>IFERROR(__xludf.DUMMYFUNCTION("""COMPUTED_VALUE"""),"D")</f>
        <v>D</v>
      </c>
      <c r="CA451" s="16" t="str">
        <f>IFERROR(__xludf.DUMMYFUNCTION("""COMPUTED_VALUE"""),"C")</f>
        <v>C</v>
      </c>
      <c r="CB451" s="16">
        <f>IFERROR(__xludf.DUMMYFUNCTION("""COMPUTED_VALUE"""),0.0)</f>
        <v>0</v>
      </c>
      <c r="CC451" s="16">
        <f>IFERROR(__xludf.DUMMYFUNCTION("""COMPUTED_VALUE"""),0.0)</f>
        <v>0</v>
      </c>
      <c r="CD451" s="16">
        <f>IFERROR(__xludf.DUMMYFUNCTION("""COMPUTED_VALUE"""),0.0)</f>
        <v>0</v>
      </c>
      <c r="CE451" s="16">
        <f>IFERROR(__xludf.DUMMYFUNCTION("""COMPUTED_VALUE"""),0.0)</f>
        <v>0</v>
      </c>
      <c r="CF451" s="16">
        <f>IFERROR(__xludf.DUMMYFUNCTION("""COMPUTED_VALUE"""),5.0)</f>
        <v>5</v>
      </c>
      <c r="CG451" s="16">
        <f>IFERROR(__xludf.DUMMYFUNCTION("""COMPUTED_VALUE"""),-6.0)</f>
        <v>-6</v>
      </c>
      <c r="CH451" s="16">
        <f>IFERROR(__xludf.DUMMYFUNCTION("""COMPUTED_VALUE"""),-33.0)</f>
        <v>-33</v>
      </c>
      <c r="CI451" s="179">
        <f>IFERROR(__xludf.DUMMYFUNCTION("""COMPUTED_VALUE"""),-30.0)</f>
        <v>-30</v>
      </c>
      <c r="CJ451" s="16"/>
      <c r="CK451" s="16">
        <f>IFERROR(__xludf.DUMMYFUNCTION("""COMPUTED_VALUE"""),311.0)</f>
        <v>311</v>
      </c>
      <c r="CL451" s="16"/>
      <c r="CM451" s="16">
        <f>IFERROR(__xludf.DUMMYFUNCTION("""COMPUTED_VALUE"""),459.0)</f>
        <v>459</v>
      </c>
      <c r="CN451" s="16"/>
      <c r="CO451" s="16"/>
      <c r="CP451" s="16"/>
      <c r="CQ451" s="16"/>
      <c r="CR451" s="16" t="str">
        <f>IFERROR(__xludf.DUMMYFUNCTION("""COMPUTED_VALUE"""),"1b-3e11 3b-4e59")</f>
        <v>1b-3e11 3b-4e59</v>
      </c>
      <c r="CS451" s="16"/>
      <c r="CT451" s="16">
        <f>IFERROR(__xludf.DUMMYFUNCTION("""COMPUTED_VALUE"""),3.0)</f>
        <v>3</v>
      </c>
      <c r="CU451" s="16"/>
      <c r="CV451" s="16">
        <f>IFERROR(__xludf.DUMMYFUNCTION("""COMPUTED_VALUE"""),4.0)</f>
        <v>4</v>
      </c>
      <c r="CW451" s="16"/>
      <c r="CX451" s="16"/>
      <c r="CY451" s="16"/>
      <c r="CZ451" s="16"/>
      <c r="DA451" s="16"/>
      <c r="DB451" s="16">
        <f>IFERROR(__xludf.DUMMYFUNCTION("""COMPUTED_VALUE"""),11.0)</f>
        <v>11</v>
      </c>
      <c r="DC451" s="16"/>
      <c r="DD451" s="16">
        <f>IFERROR(__xludf.DUMMYFUNCTION("""COMPUTED_VALUE"""),59.0)</f>
        <v>59</v>
      </c>
      <c r="DE451" s="16"/>
      <c r="DF451" s="16"/>
      <c r="DG451" s="16"/>
      <c r="DH451" s="16"/>
      <c r="DI451" s="16"/>
      <c r="DJ451" s="16">
        <f>IFERROR(__xludf.DUMMYFUNCTION("""COMPUTED_VALUE"""),1.0)</f>
        <v>1</v>
      </c>
      <c r="DK451" s="16"/>
      <c r="DL451" s="16">
        <f>IFERROR(__xludf.DUMMYFUNCTION("""COMPUTED_VALUE"""),0.0)</f>
        <v>0</v>
      </c>
      <c r="DM451" s="16"/>
      <c r="DN451" s="16"/>
      <c r="DO451" s="16"/>
      <c r="DP451" s="16"/>
      <c r="DQ451" s="16"/>
      <c r="DR451" s="16">
        <f>IFERROR(__xludf.DUMMYFUNCTION("""COMPUTED_VALUE"""),1.0)</f>
        <v>1</v>
      </c>
      <c r="DS451" s="16"/>
      <c r="DT451" s="16">
        <f>IFERROR(__xludf.DUMMYFUNCTION("""COMPUTED_VALUE"""),-2.0)</f>
        <v>-2</v>
      </c>
      <c r="DU451" s="16"/>
      <c r="DV451" s="16"/>
      <c r="DW451" s="16"/>
      <c r="DX451" s="16"/>
      <c r="DY451" s="16"/>
      <c r="DZ451" s="16">
        <f>IFERROR(__xludf.DUMMYFUNCTION("""COMPUTED_VALUE"""),2.0)</f>
        <v>2</v>
      </c>
      <c r="EA451" s="16"/>
      <c r="EB451" s="16">
        <f>IFERROR(__xludf.DUMMYFUNCTION("""COMPUTED_VALUE"""),-2.0)</f>
        <v>-2</v>
      </c>
      <c r="EC451" s="16"/>
      <c r="ED451" s="16"/>
      <c r="EE451" s="16"/>
      <c r="EF451" s="16"/>
      <c r="EG451" s="179"/>
      <c r="EH451" s="179">
        <f>IFERROR(__xludf.DUMMYFUNCTION("""COMPUTED_VALUE"""),-28.0)</f>
        <v>-28</v>
      </c>
      <c r="EI451" s="179"/>
      <c r="EJ451" s="179">
        <f>IFERROR(__xludf.DUMMYFUNCTION("""COMPUTED_VALUE"""),-32.0)</f>
        <v>-32</v>
      </c>
      <c r="EK451" s="179"/>
      <c r="EL451" s="179"/>
      <c r="EM451" s="179"/>
      <c r="EN451" s="179"/>
      <c r="EO451" s="16"/>
      <c r="EP451" s="16">
        <f>IFERROR(__xludf.DUMMYFUNCTION("""COMPUTED_VALUE"""),-2.0)</f>
        <v>-2</v>
      </c>
      <c r="EQ451" s="16">
        <f>IFERROR(__xludf.DUMMYFUNCTION("""COMPUTED_VALUE"""),-2.0)</f>
        <v>-2</v>
      </c>
      <c r="ER451" s="16">
        <f>IFERROR(__xludf.DUMMYFUNCTION("""COMPUTED_VALUE"""),-1.0)</f>
        <v>-1</v>
      </c>
      <c r="ES451" s="16"/>
      <c r="ET451" s="16"/>
      <c r="EU451" s="16"/>
      <c r="EV451" s="16"/>
      <c r="EW451" s="16"/>
      <c r="EX451" s="180"/>
      <c r="EY451" s="180">
        <f>IFERROR(__xludf.DUMMYFUNCTION("""COMPUTED_VALUE"""),0.2)</f>
        <v>0.2</v>
      </c>
      <c r="EZ451" s="180"/>
      <c r="FA451" s="180">
        <f>IFERROR(__xludf.DUMMYFUNCTION("""COMPUTED_VALUE"""),0.3)</f>
        <v>0.3</v>
      </c>
      <c r="FB451" s="180"/>
      <c r="FC451" s="180"/>
      <c r="FD451" s="180"/>
      <c r="FE451" s="180"/>
      <c r="FF451" s="180"/>
      <c r="FG451" s="180">
        <f>IFERROR(__xludf.DUMMYFUNCTION("""COMPUTED_VALUE"""),0.19907407407407407)</f>
        <v>0.1990740741</v>
      </c>
      <c r="FH451" s="180"/>
      <c r="FI451" s="180">
        <f>IFERROR(__xludf.DUMMYFUNCTION("""COMPUTED_VALUE"""),0.7083333333333334)</f>
        <v>0.7083333333</v>
      </c>
      <c r="FJ451" s="180"/>
      <c r="FK451" s="180"/>
      <c r="FL451" s="180"/>
      <c r="FM451" s="180"/>
      <c r="FN451" s="16"/>
      <c r="FO451" s="16">
        <f>IFERROR(__xludf.DUMMYFUNCTION("""COMPUTED_VALUE"""),0.6407407407407408)</f>
        <v>0.6407407407</v>
      </c>
      <c r="FP451" s="16"/>
      <c r="FQ451" s="16">
        <f>IFERROR(__xludf.DUMMYFUNCTION("""COMPUTED_VALUE"""),0.20416666666666664)</f>
        <v>0.2041666667</v>
      </c>
      <c r="FR451" s="16"/>
      <c r="FS451" s="16"/>
      <c r="FT451" s="16"/>
      <c r="FU451" s="16"/>
      <c r="FV451" s="16"/>
      <c r="FW451" s="16">
        <f>IFERROR(__xludf.DUMMYFUNCTION("""COMPUTED_VALUE"""),-6.0)</f>
        <v>-6</v>
      </c>
      <c r="FX451" s="16"/>
      <c r="FY451" s="16">
        <f>IFERROR(__xludf.DUMMYFUNCTION("""COMPUTED_VALUE"""),-8.0)</f>
        <v>-8</v>
      </c>
      <c r="FZ451" s="16"/>
      <c r="GA451" s="16"/>
      <c r="GB451" s="16"/>
      <c r="GC451" s="16"/>
      <c r="GD451" s="16" t="s">
        <v>176</v>
      </c>
    </row>
    <row r="452">
      <c r="A452" s="16">
        <f>IFERROR(__xludf.DUMMYFUNCTION("""COMPUTED_VALUE"""),13153.0)</f>
        <v>13153</v>
      </c>
      <c r="B452" s="16" t="str">
        <f>IFERROR(__xludf.DUMMYFUNCTION("""COMPUTED_VALUE"""),"Marco Luciano")</f>
        <v>Marco Luciano</v>
      </c>
      <c r="C452" s="16">
        <f>IFERROR(__xludf.DUMMYFUNCTION("""COMPUTED_VALUE"""),0.0)</f>
        <v>0</v>
      </c>
      <c r="D452" s="16" t="str">
        <f>IFERROR(__xludf.DUMMYFUNCTION("""COMPUTED_VALUE"""),"R")</f>
        <v>R</v>
      </c>
      <c r="E452" s="16"/>
      <c r="F452" s="16"/>
      <c r="G452" s="16">
        <f>IFERROR(__xludf.DUMMYFUNCTION("""COMPUTED_VALUE"""),76.0)</f>
        <v>76</v>
      </c>
      <c r="H452" s="16">
        <f>IFERROR(__xludf.DUMMYFUNCTION("""COMPUTED_VALUE"""),5.0)</f>
        <v>5</v>
      </c>
      <c r="I452" s="16" t="str">
        <f>IFERROR(__xludf.DUMMYFUNCTION("""COMPUTED_VALUE"""),"1p20")</f>
        <v>1p20</v>
      </c>
      <c r="J452" s="16">
        <f>IFERROR(__xludf.DUMMYFUNCTION("""COMPUTED_VALUE"""),39.0)</f>
        <v>39</v>
      </c>
      <c r="K452" s="16">
        <f>IFERROR(__xludf.DUMMYFUNCTION("""COMPUTED_VALUE"""),55.0)</f>
        <v>55</v>
      </c>
      <c r="L452" s="16">
        <f>IFERROR(__xludf.DUMMYFUNCTION("""COMPUTED_VALUE"""),-1.0)</f>
        <v>-1</v>
      </c>
      <c r="M452" s="16">
        <f>IFERROR(__xludf.DUMMYFUNCTION("""COMPUTED_VALUE"""),-3.0)</f>
        <v>-3</v>
      </c>
      <c r="N452" s="16">
        <f>IFERROR(__xludf.DUMMYFUNCTION("""COMPUTED_VALUE"""),-1.0)</f>
        <v>-1</v>
      </c>
      <c r="O452" s="16">
        <f>IFERROR(__xludf.DUMMYFUNCTION("""COMPUTED_VALUE"""),-3.0)</f>
        <v>-3</v>
      </c>
      <c r="P452" s="16">
        <f>IFERROR(__xludf.DUMMYFUNCTION("""COMPUTED_VALUE"""),0.0)</f>
        <v>0</v>
      </c>
      <c r="Q452" s="16">
        <f>IFERROR(__xludf.DUMMYFUNCTION("""COMPUTED_VALUE"""),8.0)</f>
        <v>8</v>
      </c>
      <c r="R452" s="16">
        <f>IFERROR(__xludf.DUMMYFUNCTION("""COMPUTED_VALUE"""),-3.0)</f>
        <v>-3</v>
      </c>
      <c r="S452" s="16">
        <f>IFERROR(__xludf.DUMMYFUNCTION("""COMPUTED_VALUE"""),0.0)</f>
        <v>0</v>
      </c>
      <c r="T452" s="16">
        <f>IFERROR(__xludf.DUMMYFUNCTION("""COMPUTED_VALUE"""),-3.0)</f>
        <v>-3</v>
      </c>
      <c r="U452" s="16">
        <f>IFERROR(__xludf.DUMMYFUNCTION("""COMPUTED_VALUE"""),0.0)</f>
        <v>0</v>
      </c>
      <c r="V452" s="16">
        <f>IFERROR(__xludf.DUMMYFUNCTION("""COMPUTED_VALUE"""),32.7)</f>
        <v>32.7</v>
      </c>
      <c r="W452" s="16">
        <f>IFERROR(__xludf.DUMMYFUNCTION("""COMPUTED_VALUE"""),6.8)</f>
        <v>6.8</v>
      </c>
      <c r="X452" s="16">
        <f>IFERROR(__xludf.DUMMYFUNCTION("""COMPUTED_VALUE"""),2.0)</f>
        <v>2</v>
      </c>
      <c r="Y452" s="16">
        <f>IFERROR(__xludf.DUMMYFUNCTION("""COMPUTED_VALUE"""),-2.0)</f>
        <v>-2</v>
      </c>
      <c r="Z452" s="16">
        <f>IFERROR(__xludf.DUMMYFUNCTION("""COMPUTED_VALUE"""),4.0)</f>
        <v>4</v>
      </c>
      <c r="AA452" s="16">
        <f>IFERROR(__xludf.DUMMYFUNCTION("""COMPUTED_VALUE"""),-4.0)</f>
        <v>-4</v>
      </c>
      <c r="AB452" s="16">
        <f>IFERROR(__xludf.DUMMYFUNCTION("""COMPUTED_VALUE"""),32.7)</f>
        <v>32.7</v>
      </c>
      <c r="AC452" s="16">
        <f>IFERROR(__xludf.DUMMYFUNCTION("""COMPUTED_VALUE"""),14.9)</f>
        <v>14.9</v>
      </c>
      <c r="AD452" s="16">
        <f>IFERROR(__xludf.DUMMYFUNCTION("""COMPUTED_VALUE"""),0.0)</f>
        <v>0</v>
      </c>
      <c r="AE452" s="16">
        <f>IFERROR(__xludf.DUMMYFUNCTION("""COMPUTED_VALUE"""),-2.0)</f>
        <v>-2</v>
      </c>
      <c r="AF452" s="16">
        <f>IFERROR(__xludf.DUMMYFUNCTION("""COMPUTED_VALUE"""),0.0)</f>
        <v>0</v>
      </c>
      <c r="AG452" s="16">
        <f>IFERROR(__xludf.DUMMYFUNCTION("""COMPUTED_VALUE"""),-10.0)</f>
        <v>-10</v>
      </c>
      <c r="AH452" s="16">
        <f>IFERROR(__xludf.DUMMYFUNCTION("""COMPUTED_VALUE"""),52.9)</f>
        <v>52.9</v>
      </c>
      <c r="AI452" s="16">
        <f>IFERROR(__xludf.DUMMYFUNCTION("""COMPUTED_VALUE"""),16.1)</f>
        <v>16.1</v>
      </c>
      <c r="AJ452" s="16">
        <f>IFERROR(__xludf.DUMMYFUNCTION("""COMPUTED_VALUE"""),2.0)</f>
        <v>2</v>
      </c>
      <c r="AK452" s="16">
        <f>IFERROR(__xludf.DUMMYFUNCTION("""COMPUTED_VALUE"""),-2.0)</f>
        <v>-2</v>
      </c>
      <c r="AL452" s="16">
        <f>IFERROR(__xludf.DUMMYFUNCTION("""COMPUTED_VALUE"""),10.0)</f>
        <v>10</v>
      </c>
      <c r="AM452" s="16">
        <f>IFERROR(__xludf.DUMMYFUNCTION("""COMPUTED_VALUE"""),-10.0)</f>
        <v>-10</v>
      </c>
      <c r="AN452" s="16">
        <f>IFERROR(__xludf.DUMMYFUNCTION("""COMPUTED_VALUE"""),0.0)</f>
        <v>0</v>
      </c>
      <c r="AO452" s="16">
        <f>IFERROR(__xludf.DUMMYFUNCTION("""COMPUTED_VALUE"""),0.0)</f>
        <v>0</v>
      </c>
      <c r="AP452" s="16">
        <f>IFERROR(__xludf.DUMMYFUNCTION("""COMPUTED_VALUE"""),-2.0)</f>
        <v>-2</v>
      </c>
      <c r="AQ452" s="16">
        <f>IFERROR(__xludf.DUMMYFUNCTION("""COMPUTED_VALUE"""),-3.0)</f>
        <v>-3</v>
      </c>
      <c r="AR452" s="16">
        <f>IFERROR(__xludf.DUMMYFUNCTION("""COMPUTED_VALUE"""),-4.0)</f>
        <v>-4</v>
      </c>
      <c r="AS452" s="16">
        <f>IFERROR(__xludf.DUMMYFUNCTION("""COMPUTED_VALUE"""),-6.0)</f>
        <v>-6</v>
      </c>
      <c r="AT452" s="16"/>
      <c r="AU452" s="16"/>
      <c r="AV452" s="16">
        <f>IFERROR(__xludf.DUMMYFUNCTION("""COMPUTED_VALUE"""),-3.0)</f>
        <v>-3</v>
      </c>
      <c r="AW452" s="16">
        <f>IFERROR(__xludf.DUMMYFUNCTION("""COMPUTED_VALUE"""),-3.0)</f>
        <v>-3</v>
      </c>
      <c r="AX452" s="16">
        <f>IFERROR(__xludf.DUMMYFUNCTION("""COMPUTED_VALUE"""),-3.0)</f>
        <v>-3</v>
      </c>
      <c r="AY452" s="16">
        <f>IFERROR(__xludf.DUMMYFUNCTION("""COMPUTED_VALUE"""),-3.0)</f>
        <v>-3</v>
      </c>
      <c r="AZ452" s="16">
        <f>IFERROR(__xludf.DUMMYFUNCTION("""COMPUTED_VALUE"""),-9.0)</f>
        <v>-9</v>
      </c>
      <c r="BA452" s="16">
        <f>IFERROR(__xludf.DUMMYFUNCTION("""COMPUTED_VALUE"""),-9.0)</f>
        <v>-9</v>
      </c>
      <c r="BB452" s="16">
        <f>IFERROR(__xludf.DUMMYFUNCTION("""COMPUTED_VALUE"""),5.0)</f>
        <v>5</v>
      </c>
      <c r="BC452" s="16">
        <f>IFERROR(__xludf.DUMMYFUNCTION("""COMPUTED_VALUE"""),5.0)</f>
        <v>5</v>
      </c>
      <c r="BD452" s="16">
        <f>IFERROR(__xludf.DUMMYFUNCTION("""COMPUTED_VALUE"""),1.0)</f>
        <v>1</v>
      </c>
      <c r="BE452" s="16">
        <f>IFERROR(__xludf.DUMMYFUNCTION("""COMPUTED_VALUE"""),1.0)</f>
        <v>1</v>
      </c>
      <c r="BF452" s="16">
        <f>IFERROR(__xludf.DUMMYFUNCTION("""COMPUTED_VALUE"""),1.0)</f>
        <v>1</v>
      </c>
      <c r="BG452" s="16">
        <f>IFERROR(__xludf.DUMMYFUNCTION("""COMPUTED_VALUE"""),1.0)</f>
        <v>1</v>
      </c>
      <c r="BH452" s="16">
        <f>IFERROR(__xludf.DUMMYFUNCTION("""COMPUTED_VALUE"""),-9.0)</f>
        <v>-9</v>
      </c>
      <c r="BI452" s="16">
        <f>IFERROR(__xludf.DUMMYFUNCTION("""COMPUTED_VALUE"""),0.0)</f>
        <v>0</v>
      </c>
      <c r="BJ452" s="16">
        <f>IFERROR(__xludf.DUMMYFUNCTION("""COMPUTED_VALUE"""),9.0)</f>
        <v>9</v>
      </c>
      <c r="BK452" s="16">
        <f>IFERROR(__xludf.DUMMYFUNCTION("""COMPUTED_VALUE"""),8.0)</f>
        <v>8</v>
      </c>
      <c r="BL452" s="16">
        <f>IFERROR(__xludf.DUMMYFUNCTION("""COMPUTED_VALUE"""),0.0)</f>
        <v>0</v>
      </c>
      <c r="BM452" s="16">
        <f>IFERROR(__xludf.DUMMYFUNCTION("""COMPUTED_VALUE"""),1.0)</f>
        <v>1</v>
      </c>
      <c r="BN452" s="16">
        <f>IFERROR(__xludf.DUMMYFUNCTION("""COMPUTED_VALUE"""),0.0)</f>
        <v>0</v>
      </c>
      <c r="BO452" s="16">
        <f>IFERROR(__xludf.DUMMYFUNCTION("""COMPUTED_VALUE"""),1.0)</f>
        <v>1</v>
      </c>
      <c r="BP452" s="16">
        <f>IFERROR(__xludf.DUMMYFUNCTION("""COMPUTED_VALUE"""),-4.0)</f>
        <v>-4</v>
      </c>
      <c r="BQ452" s="16">
        <f>IFERROR(__xludf.DUMMYFUNCTION("""COMPUTED_VALUE"""),-13.0)</f>
        <v>-13</v>
      </c>
      <c r="BR452" s="16">
        <f>IFERROR(__xludf.DUMMYFUNCTION("""COMPUTED_VALUE"""),-17.0)</f>
        <v>-17</v>
      </c>
      <c r="BS452" s="16" t="str">
        <f>IFERROR(__xludf.DUMMYFUNCTION("""COMPUTED_VALUE"""),"2-12/- (3-1)")</f>
        <v>2-12/- (3-1)</v>
      </c>
      <c r="BT452" s="16" t="str">
        <f>IFERROR(__xludf.DUMMYFUNCTION("""COMPUTED_VALUE"""),"E")</f>
        <v>E</v>
      </c>
      <c r="BU452" s="16">
        <f>IFERROR(__xludf.DUMMYFUNCTION("""COMPUTED_VALUE"""),13.0)</f>
        <v>13</v>
      </c>
      <c r="BV452" s="16">
        <f>IFERROR(__xludf.DUMMYFUNCTION("""COMPUTED_VALUE"""),0.0)</f>
        <v>0</v>
      </c>
      <c r="BW452" s="16">
        <f>IFERROR(__xludf.DUMMYFUNCTION("""COMPUTED_VALUE"""),1.0)</f>
        <v>1</v>
      </c>
      <c r="BX452" s="16">
        <f>IFERROR(__xludf.DUMMYFUNCTION("""COMPUTED_VALUE"""),0.0)</f>
        <v>0</v>
      </c>
      <c r="BY452" s="16">
        <f>IFERROR(__xludf.DUMMYFUNCTION("""COMPUTED_VALUE"""),3.0)</f>
        <v>3</v>
      </c>
      <c r="BZ452" s="16" t="str">
        <f>IFERROR(__xludf.DUMMYFUNCTION("""COMPUTED_VALUE"""),"D")</f>
        <v>D</v>
      </c>
      <c r="CA452" s="16" t="str">
        <f>IFERROR(__xludf.DUMMYFUNCTION("""COMPUTED_VALUE"""),"D")</f>
        <v>D</v>
      </c>
      <c r="CB452" s="16">
        <f>IFERROR(__xludf.DUMMYFUNCTION("""COMPUTED_VALUE"""),0.0)</f>
        <v>0</v>
      </c>
      <c r="CC452" s="16">
        <f>IFERROR(__xludf.DUMMYFUNCTION("""COMPUTED_VALUE"""),0.0)</f>
        <v>0</v>
      </c>
      <c r="CD452" s="16">
        <f>IFERROR(__xludf.DUMMYFUNCTION("""COMPUTED_VALUE"""),0.0)</f>
        <v>0</v>
      </c>
      <c r="CE452" s="16">
        <f>IFERROR(__xludf.DUMMYFUNCTION("""COMPUTED_VALUE"""),0.0)</f>
        <v>0</v>
      </c>
      <c r="CF452" s="16">
        <f>IFERROR(__xludf.DUMMYFUNCTION("""COMPUTED_VALUE"""),1.0)</f>
        <v>1</v>
      </c>
      <c r="CG452" s="16">
        <f>IFERROR(__xludf.DUMMYFUNCTION("""COMPUTED_VALUE"""),-2.0)</f>
        <v>-2</v>
      </c>
      <c r="CH452" s="16">
        <f>IFERROR(__xludf.DUMMYFUNCTION("""COMPUTED_VALUE"""),-40.0)</f>
        <v>-40</v>
      </c>
      <c r="CI452" s="179">
        <f>IFERROR(__xludf.DUMMYFUNCTION("""COMPUTED_VALUE"""),-30.0)</f>
        <v>-30</v>
      </c>
      <c r="CJ452" s="16"/>
      <c r="CK452" s="16"/>
      <c r="CL452" s="16">
        <f>IFERROR(__xludf.DUMMYFUNCTION("""COMPUTED_VALUE"""),421.0)</f>
        <v>421</v>
      </c>
      <c r="CM452" s="16"/>
      <c r="CN452" s="16">
        <f>IFERROR(__xludf.DUMMYFUNCTION("""COMPUTED_VALUE"""),488.0)</f>
        <v>488</v>
      </c>
      <c r="CO452" s="16"/>
      <c r="CP452" s="16"/>
      <c r="CQ452" s="16"/>
      <c r="CR452" s="16" t="str">
        <f>IFERROR(__xludf.DUMMYFUNCTION("""COMPUTED_VALUE"""),"ss-4e88 2b-4e21")</f>
        <v>ss-4e88 2b-4e21</v>
      </c>
      <c r="CS452" s="16"/>
      <c r="CT452" s="16"/>
      <c r="CU452" s="16">
        <f>IFERROR(__xludf.DUMMYFUNCTION("""COMPUTED_VALUE"""),4.0)</f>
        <v>4</v>
      </c>
      <c r="CV452" s="16"/>
      <c r="CW452" s="16">
        <f>IFERROR(__xludf.DUMMYFUNCTION("""COMPUTED_VALUE"""),4.0)</f>
        <v>4</v>
      </c>
      <c r="CX452" s="16"/>
      <c r="CY452" s="16"/>
      <c r="CZ452" s="16"/>
      <c r="DA452" s="16"/>
      <c r="DB452" s="16"/>
      <c r="DC452" s="16">
        <f>IFERROR(__xludf.DUMMYFUNCTION("""COMPUTED_VALUE"""),21.0)</f>
        <v>21</v>
      </c>
      <c r="DD452" s="16"/>
      <c r="DE452" s="16">
        <f>IFERROR(__xludf.DUMMYFUNCTION("""COMPUTED_VALUE"""),88.0)</f>
        <v>88</v>
      </c>
      <c r="DF452" s="16"/>
      <c r="DG452" s="16"/>
      <c r="DH452" s="16"/>
      <c r="DI452" s="16"/>
      <c r="DJ452" s="16"/>
      <c r="DK452" s="16">
        <f>IFERROR(__xludf.DUMMYFUNCTION("""COMPUTED_VALUE"""),-2.0)</f>
        <v>-2</v>
      </c>
      <c r="DL452" s="16"/>
      <c r="DM452" s="16">
        <f>IFERROR(__xludf.DUMMYFUNCTION("""COMPUTED_VALUE"""),-2.0)</f>
        <v>-2</v>
      </c>
      <c r="DN452" s="16"/>
      <c r="DO452" s="16"/>
      <c r="DP452" s="16"/>
      <c r="DQ452" s="16"/>
      <c r="DR452" s="16"/>
      <c r="DS452" s="16">
        <f>IFERROR(__xludf.DUMMYFUNCTION("""COMPUTED_VALUE"""),0.0)</f>
        <v>0</v>
      </c>
      <c r="DT452" s="16"/>
      <c r="DU452" s="16">
        <f>IFERROR(__xludf.DUMMYFUNCTION("""COMPUTED_VALUE"""),-2.0)</f>
        <v>-2</v>
      </c>
      <c r="DV452" s="16"/>
      <c r="DW452" s="16"/>
      <c r="DX452" s="16"/>
      <c r="DY452" s="16"/>
      <c r="DZ452" s="16"/>
      <c r="EA452" s="16">
        <f>IFERROR(__xludf.DUMMYFUNCTION("""COMPUTED_VALUE"""),-2.0)</f>
        <v>-2</v>
      </c>
      <c r="EB452" s="16"/>
      <c r="EC452" s="16">
        <f>IFERROR(__xludf.DUMMYFUNCTION("""COMPUTED_VALUE"""),-4.0)</f>
        <v>-4</v>
      </c>
      <c r="ED452" s="16"/>
      <c r="EE452" s="16"/>
      <c r="EF452" s="16"/>
      <c r="EG452" s="179"/>
      <c r="EH452" s="179"/>
      <c r="EI452" s="179">
        <f>IFERROR(__xludf.DUMMYFUNCTION("""COMPUTED_VALUE"""),-32.0)</f>
        <v>-32</v>
      </c>
      <c r="EJ452" s="179"/>
      <c r="EK452" s="179">
        <f>IFERROR(__xludf.DUMMYFUNCTION("""COMPUTED_VALUE"""),-34.0)</f>
        <v>-34</v>
      </c>
      <c r="EL452" s="179"/>
      <c r="EM452" s="179"/>
      <c r="EN452" s="179"/>
      <c r="EO452" s="16"/>
      <c r="EP452" s="16"/>
      <c r="EQ452" s="16">
        <f>IFERROR(__xludf.DUMMYFUNCTION("""COMPUTED_VALUE"""),4.0)</f>
        <v>4</v>
      </c>
      <c r="ER452" s="16">
        <f>IFERROR(__xludf.DUMMYFUNCTION("""COMPUTED_VALUE"""),-4.0)</f>
        <v>-4</v>
      </c>
      <c r="ES452" s="16"/>
      <c r="ET452" s="16"/>
      <c r="EU452" s="16"/>
      <c r="EV452" s="16"/>
      <c r="EW452" s="16"/>
      <c r="EX452" s="180"/>
      <c r="EY452" s="180"/>
      <c r="EZ452" s="180">
        <f>IFERROR(__xludf.DUMMYFUNCTION("""COMPUTED_VALUE"""),0.3)</f>
        <v>0.3</v>
      </c>
      <c r="FA452" s="180"/>
      <c r="FB452" s="180">
        <f>IFERROR(__xludf.DUMMYFUNCTION("""COMPUTED_VALUE"""),0.3)</f>
        <v>0.3</v>
      </c>
      <c r="FC452" s="180"/>
      <c r="FD452" s="180"/>
      <c r="FE452" s="180"/>
      <c r="FF452" s="180"/>
      <c r="FG452" s="180"/>
      <c r="FH452" s="180">
        <f>IFERROR(__xludf.DUMMYFUNCTION("""COMPUTED_VALUE"""),0.125)</f>
        <v>0.125</v>
      </c>
      <c r="FI452" s="180"/>
      <c r="FJ452" s="180">
        <f>IFERROR(__xludf.DUMMYFUNCTION("""COMPUTED_VALUE"""),0.4537037037037037)</f>
        <v>0.4537037037</v>
      </c>
      <c r="FK452" s="180"/>
      <c r="FL452" s="180"/>
      <c r="FM452" s="180"/>
      <c r="FN452" s="16"/>
      <c r="FO452" s="16"/>
      <c r="FP452" s="16">
        <f>IFERROR(__xludf.DUMMYFUNCTION("""COMPUTED_VALUE"""),0.6124999999999999)</f>
        <v>0.6125</v>
      </c>
      <c r="FQ452" s="16"/>
      <c r="FR452" s="16">
        <f>IFERROR(__xludf.DUMMYFUNCTION("""COMPUTED_VALUE"""),0.38240740740740736)</f>
        <v>0.3824074074</v>
      </c>
      <c r="FS452" s="16"/>
      <c r="FT452" s="16"/>
      <c r="FU452" s="16"/>
      <c r="FV452" s="16"/>
      <c r="FW452" s="16"/>
      <c r="FX452" s="16">
        <f>IFERROR(__xludf.DUMMYFUNCTION("""COMPUTED_VALUE"""),-6.0)</f>
        <v>-6</v>
      </c>
      <c r="FY452" s="16"/>
      <c r="FZ452" s="16">
        <f>IFERROR(__xludf.DUMMYFUNCTION("""COMPUTED_VALUE"""),-8.0)</f>
        <v>-8</v>
      </c>
      <c r="GA452" s="16"/>
      <c r="GB452" s="16"/>
      <c r="GC452" s="16"/>
      <c r="GD452" s="16" t="s">
        <v>176</v>
      </c>
    </row>
    <row r="453">
      <c r="A453" s="16">
        <f>IFERROR(__xludf.DUMMYFUNCTION("""COMPUTED_VALUE"""),12513.0)</f>
        <v>12513</v>
      </c>
      <c r="B453" s="16" t="str">
        <f>IFERROR(__xludf.DUMMYFUNCTION("""COMPUTED_VALUE"""),"Akil Baddoo")</f>
        <v>Akil Baddoo</v>
      </c>
      <c r="C453" s="16">
        <f>IFERROR(__xludf.DUMMYFUNCTION("""COMPUTED_VALUE"""),0.0)</f>
        <v>0</v>
      </c>
      <c r="D453" s="16" t="str">
        <f>IFERROR(__xludf.DUMMYFUNCTION("""COMPUTED_VALUE"""),"L")</f>
        <v>L</v>
      </c>
      <c r="E453" s="16"/>
      <c r="F453" s="16"/>
      <c r="G453" s="16">
        <f>IFERROR(__xludf.DUMMYFUNCTION("""COMPUTED_VALUE"""),73.0)</f>
        <v>73</v>
      </c>
      <c r="H453" s="16">
        <f>IFERROR(__xludf.DUMMYFUNCTION("""COMPUTED_VALUE"""),8.0)</f>
        <v>8</v>
      </c>
      <c r="I453" s="16" t="str">
        <f>IFERROR(__xludf.DUMMYFUNCTION("""COMPUTED_VALUE"""),"1p20")</f>
        <v>1p20</v>
      </c>
      <c r="J453" s="16">
        <f>IFERROR(__xludf.DUMMYFUNCTION("""COMPUTED_VALUE"""),57.0)</f>
        <v>57</v>
      </c>
      <c r="K453" s="16">
        <f>IFERROR(__xludf.DUMMYFUNCTION("""COMPUTED_VALUE"""),47.0)</f>
        <v>47</v>
      </c>
      <c r="L453" s="16">
        <f>IFERROR(__xludf.DUMMYFUNCTION("""COMPUTED_VALUE"""),-2.0)</f>
        <v>-2</v>
      </c>
      <c r="M453" s="16">
        <f>IFERROR(__xludf.DUMMYFUNCTION("""COMPUTED_VALUE"""),-2.0)</f>
        <v>-2</v>
      </c>
      <c r="N453" s="16">
        <f>IFERROR(__xludf.DUMMYFUNCTION("""COMPUTED_VALUE"""),-2.0)</f>
        <v>-2</v>
      </c>
      <c r="O453" s="16">
        <f>IFERROR(__xludf.DUMMYFUNCTION("""COMPUTED_VALUE"""),-2.0)</f>
        <v>-2</v>
      </c>
      <c r="P453" s="16">
        <f>IFERROR(__xludf.DUMMYFUNCTION("""COMPUTED_VALUE"""),0.0)</f>
        <v>0</v>
      </c>
      <c r="Q453" s="16">
        <f>IFERROR(__xludf.DUMMYFUNCTION("""COMPUTED_VALUE"""),13.0)</f>
        <v>13</v>
      </c>
      <c r="R453" s="16">
        <f>IFERROR(__xludf.DUMMYFUNCTION("""COMPUTED_VALUE"""),-3.0)</f>
        <v>-3</v>
      </c>
      <c r="S453" s="16">
        <f>IFERROR(__xludf.DUMMYFUNCTION("""COMPUTED_VALUE"""),1.0)</f>
        <v>1</v>
      </c>
      <c r="T453" s="16">
        <f>IFERROR(__xludf.DUMMYFUNCTION("""COMPUTED_VALUE"""),-3.0)</f>
        <v>-3</v>
      </c>
      <c r="U453" s="16">
        <f>IFERROR(__xludf.DUMMYFUNCTION("""COMPUTED_VALUE"""),1.0)</f>
        <v>1</v>
      </c>
      <c r="V453" s="16">
        <f>IFERROR(__xludf.DUMMYFUNCTION("""COMPUTED_VALUE"""),0.0)</f>
        <v>0</v>
      </c>
      <c r="W453" s="16">
        <f>IFERROR(__xludf.DUMMYFUNCTION("""COMPUTED_VALUE"""),2.6)</f>
        <v>2.6</v>
      </c>
      <c r="X453" s="16">
        <f>IFERROR(__xludf.DUMMYFUNCTION("""COMPUTED_VALUE"""),-2.0)</f>
        <v>-2</v>
      </c>
      <c r="Y453" s="16">
        <f>IFERROR(__xludf.DUMMYFUNCTION("""COMPUTED_VALUE"""),-3.0)</f>
        <v>-3</v>
      </c>
      <c r="Z453" s="16">
        <f>IFERROR(__xludf.DUMMYFUNCTION("""COMPUTED_VALUE"""),-4.0)</f>
        <v>-4</v>
      </c>
      <c r="AA453" s="16">
        <f>IFERROR(__xludf.DUMMYFUNCTION("""COMPUTED_VALUE"""),-6.0)</f>
        <v>-6</v>
      </c>
      <c r="AB453" s="16">
        <f>IFERROR(__xludf.DUMMYFUNCTION("""COMPUTED_VALUE"""),0.0)</f>
        <v>0</v>
      </c>
      <c r="AC453" s="16">
        <f>IFERROR(__xludf.DUMMYFUNCTION("""COMPUTED_VALUE"""),15.6)</f>
        <v>15.6</v>
      </c>
      <c r="AD453" s="16">
        <f>IFERROR(__xludf.DUMMYFUNCTION("""COMPUTED_VALUE"""),-3.0)</f>
        <v>-3</v>
      </c>
      <c r="AE453" s="16">
        <f>IFERROR(__xludf.DUMMYFUNCTION("""COMPUTED_VALUE"""),-2.0)</f>
        <v>-2</v>
      </c>
      <c r="AF453" s="16">
        <f>IFERROR(__xludf.DUMMYFUNCTION("""COMPUTED_VALUE"""),-15.0)</f>
        <v>-15</v>
      </c>
      <c r="AG453" s="16">
        <f>IFERROR(__xludf.DUMMYFUNCTION("""COMPUTED_VALUE"""),-10.0)</f>
        <v>-10</v>
      </c>
      <c r="AH453" s="16">
        <f>IFERROR(__xludf.DUMMYFUNCTION("""COMPUTED_VALUE"""),0.0)</f>
        <v>0</v>
      </c>
      <c r="AI453" s="16">
        <f>IFERROR(__xludf.DUMMYFUNCTION("""COMPUTED_VALUE"""),8.8)</f>
        <v>8.8</v>
      </c>
      <c r="AJ453" s="16">
        <f>IFERROR(__xludf.DUMMYFUNCTION("""COMPUTED_VALUE"""),-2.0)</f>
        <v>-2</v>
      </c>
      <c r="AK453" s="16">
        <f>IFERROR(__xludf.DUMMYFUNCTION("""COMPUTED_VALUE"""),-2.0)</f>
        <v>-2</v>
      </c>
      <c r="AL453" s="16">
        <f>IFERROR(__xludf.DUMMYFUNCTION("""COMPUTED_VALUE"""),-10.0)</f>
        <v>-10</v>
      </c>
      <c r="AM453" s="16">
        <f>IFERROR(__xludf.DUMMYFUNCTION("""COMPUTED_VALUE"""),-10.0)</f>
        <v>-10</v>
      </c>
      <c r="AN453" s="16">
        <f>IFERROR(__xludf.DUMMYFUNCTION("""COMPUTED_VALUE"""),0.0)</f>
        <v>0</v>
      </c>
      <c r="AO453" s="16">
        <f>IFERROR(__xludf.DUMMYFUNCTION("""COMPUTED_VALUE"""),1.2)</f>
        <v>1.2</v>
      </c>
      <c r="AP453" s="16">
        <f>IFERROR(__xludf.DUMMYFUNCTION("""COMPUTED_VALUE"""),-2.0)</f>
        <v>-2</v>
      </c>
      <c r="AQ453" s="16">
        <f>IFERROR(__xludf.DUMMYFUNCTION("""COMPUTED_VALUE"""),-2.0)</f>
        <v>-2</v>
      </c>
      <c r="AR453" s="16">
        <f>IFERROR(__xludf.DUMMYFUNCTION("""COMPUTED_VALUE"""),-4.0)</f>
        <v>-4</v>
      </c>
      <c r="AS453" s="16">
        <f>IFERROR(__xludf.DUMMYFUNCTION("""COMPUTED_VALUE"""),-4.0)</f>
        <v>-4</v>
      </c>
      <c r="AT453" s="16"/>
      <c r="AU453" s="16"/>
      <c r="AV453" s="16">
        <f>IFERROR(__xludf.DUMMYFUNCTION("""COMPUTED_VALUE"""),-3.0)</f>
        <v>-3</v>
      </c>
      <c r="AW453" s="16">
        <f>IFERROR(__xludf.DUMMYFUNCTION("""COMPUTED_VALUE"""),2.0)</f>
        <v>2</v>
      </c>
      <c r="AX453" s="16">
        <f>IFERROR(__xludf.DUMMYFUNCTION("""COMPUTED_VALUE"""),-3.0)</f>
        <v>-3</v>
      </c>
      <c r="AY453" s="16">
        <f>IFERROR(__xludf.DUMMYFUNCTION("""COMPUTED_VALUE"""),0.0)</f>
        <v>0</v>
      </c>
      <c r="AZ453" s="16">
        <f>IFERROR(__xludf.DUMMYFUNCTION("""COMPUTED_VALUE"""),-9.0)</f>
        <v>-9</v>
      </c>
      <c r="BA453" s="16">
        <f>IFERROR(__xludf.DUMMYFUNCTION("""COMPUTED_VALUE"""),0.0)</f>
        <v>0</v>
      </c>
      <c r="BB453" s="16">
        <f>IFERROR(__xludf.DUMMYFUNCTION("""COMPUTED_VALUE"""),0.0)</f>
        <v>0</v>
      </c>
      <c r="BC453" s="16">
        <f>IFERROR(__xludf.DUMMYFUNCTION("""COMPUTED_VALUE"""),0.0)</f>
        <v>0</v>
      </c>
      <c r="BD453" s="16">
        <f>IFERROR(__xludf.DUMMYFUNCTION("""COMPUTED_VALUE"""),0.0)</f>
        <v>0</v>
      </c>
      <c r="BE453" s="16">
        <f>IFERROR(__xludf.DUMMYFUNCTION("""COMPUTED_VALUE"""),0.0)</f>
        <v>0</v>
      </c>
      <c r="BF453" s="16">
        <f>IFERROR(__xludf.DUMMYFUNCTION("""COMPUTED_VALUE"""),0.0)</f>
        <v>0</v>
      </c>
      <c r="BG453" s="16">
        <f>IFERROR(__xludf.DUMMYFUNCTION("""COMPUTED_VALUE"""),0.0)</f>
        <v>0</v>
      </c>
      <c r="BH453" s="16">
        <f>IFERROR(__xludf.DUMMYFUNCTION("""COMPUTED_VALUE"""),0.0)</f>
        <v>0</v>
      </c>
      <c r="BI453" s="16">
        <f>IFERROR(__xludf.DUMMYFUNCTION("""COMPUTED_VALUE"""),0.0)</f>
        <v>0</v>
      </c>
      <c r="BJ453" s="16">
        <f>IFERROR(__xludf.DUMMYFUNCTION("""COMPUTED_VALUE"""),0.0)</f>
        <v>0</v>
      </c>
      <c r="BK453" s="16">
        <f>IFERROR(__xludf.DUMMYFUNCTION("""COMPUTED_VALUE"""),0.0)</f>
        <v>0</v>
      </c>
      <c r="BL453" s="16">
        <f>IFERROR(__xludf.DUMMYFUNCTION("""COMPUTED_VALUE"""),3.0)</f>
        <v>3</v>
      </c>
      <c r="BM453" s="16">
        <f>IFERROR(__xludf.DUMMYFUNCTION("""COMPUTED_VALUE"""),3.0)</f>
        <v>3</v>
      </c>
      <c r="BN453" s="16">
        <f>IFERROR(__xludf.DUMMYFUNCTION("""COMPUTED_VALUE"""),3.0)</f>
        <v>3</v>
      </c>
      <c r="BO453" s="16">
        <f>IFERROR(__xludf.DUMMYFUNCTION("""COMPUTED_VALUE"""),3.0)</f>
        <v>3</v>
      </c>
      <c r="BP453" s="16">
        <f>IFERROR(__xludf.DUMMYFUNCTION("""COMPUTED_VALUE"""),-14.0)</f>
        <v>-14</v>
      </c>
      <c r="BQ453" s="16">
        <f>IFERROR(__xludf.DUMMYFUNCTION("""COMPUTED_VALUE"""),-7.0)</f>
        <v>-7</v>
      </c>
      <c r="BR453" s="16">
        <f>IFERROR(__xludf.DUMMYFUNCTION("""COMPUTED_VALUE"""),-21.0)</f>
        <v>-21</v>
      </c>
      <c r="BS453" s="16" t="str">
        <f>IFERROR(__xludf.DUMMYFUNCTION("""COMPUTED_VALUE"""),"3/- (20-6)")</f>
        <v>3/- (20-6)</v>
      </c>
      <c r="BT453" s="16" t="str">
        <f>IFERROR(__xludf.DUMMYFUNCTION("""COMPUTED_VALUE"""),"D")</f>
        <v>D</v>
      </c>
      <c r="BU453" s="16">
        <f>IFERROR(__xludf.DUMMYFUNCTION("""COMPUTED_VALUE"""),15.0)</f>
        <v>15</v>
      </c>
      <c r="BV453" s="16">
        <f>IFERROR(__xludf.DUMMYFUNCTION("""COMPUTED_VALUE"""),0.0)</f>
        <v>0</v>
      </c>
      <c r="BW453" s="16">
        <f>IFERROR(__xludf.DUMMYFUNCTION("""COMPUTED_VALUE"""),2.0)</f>
        <v>2</v>
      </c>
      <c r="BX453" s="16">
        <f>IFERROR(__xludf.DUMMYFUNCTION("""COMPUTED_VALUE"""),0.0)</f>
        <v>0</v>
      </c>
      <c r="BY453" s="16">
        <f>IFERROR(__xludf.DUMMYFUNCTION("""COMPUTED_VALUE"""),6.0)</f>
        <v>6</v>
      </c>
      <c r="BZ453" s="16" t="str">
        <f>IFERROR(__xludf.DUMMYFUNCTION("""COMPUTED_VALUE"""),"D")</f>
        <v>D</v>
      </c>
      <c r="CA453" s="16" t="str">
        <f>IFERROR(__xludf.DUMMYFUNCTION("""COMPUTED_VALUE"""),"D")</f>
        <v>D</v>
      </c>
      <c r="CB453" s="16">
        <f>IFERROR(__xludf.DUMMYFUNCTION("""COMPUTED_VALUE"""),0.0)</f>
        <v>0</v>
      </c>
      <c r="CC453" s="16">
        <f>IFERROR(__xludf.DUMMYFUNCTION("""COMPUTED_VALUE"""),0.0)</f>
        <v>0</v>
      </c>
      <c r="CD453" s="16">
        <f>IFERROR(__xludf.DUMMYFUNCTION("""COMPUTED_VALUE"""),0.0)</f>
        <v>0</v>
      </c>
      <c r="CE453" s="16">
        <f>IFERROR(__xludf.DUMMYFUNCTION("""COMPUTED_VALUE"""),0.0)</f>
        <v>0</v>
      </c>
      <c r="CF453" s="16">
        <f>IFERROR(__xludf.DUMMYFUNCTION("""COMPUTED_VALUE"""),1.0)</f>
        <v>1</v>
      </c>
      <c r="CG453" s="16">
        <f>IFERROR(__xludf.DUMMYFUNCTION("""COMPUTED_VALUE"""),-44.0)</f>
        <v>-44</v>
      </c>
      <c r="CH453" s="16">
        <f>IFERROR(__xludf.DUMMYFUNCTION("""COMPUTED_VALUE"""),-28.0)</f>
        <v>-28</v>
      </c>
      <c r="CI453" s="179">
        <f>IFERROR(__xludf.DUMMYFUNCTION("""COMPUTED_VALUE"""),-31.0)</f>
        <v>-31</v>
      </c>
      <c r="CJ453" s="16"/>
      <c r="CK453" s="16"/>
      <c r="CL453" s="16"/>
      <c r="CM453" s="16"/>
      <c r="CN453" s="16"/>
      <c r="CO453" s="16">
        <f>IFERROR(__xludf.DUMMYFUNCTION("""COMPUTED_VALUE"""),203.0)</f>
        <v>203</v>
      </c>
      <c r="CP453" s="16">
        <f>IFERROR(__xludf.DUMMYFUNCTION("""COMPUTED_VALUE"""),403.0)</f>
        <v>403</v>
      </c>
      <c r="CQ453" s="16">
        <f>IFERROR(__xludf.DUMMYFUNCTION("""COMPUTED_VALUE"""),403.0)</f>
        <v>403</v>
      </c>
      <c r="CR453" s="16" t="str">
        <f>IFERROR(__xludf.DUMMYFUNCTION("""COMPUTED_VALUE"""),"lf-2(0)e3 rf-4e3 cf-4e3")</f>
        <v>lf-2(0)e3 rf-4e3 cf-4e3</v>
      </c>
      <c r="CS453" s="16"/>
      <c r="CT453" s="16"/>
      <c r="CU453" s="16"/>
      <c r="CV453" s="16"/>
      <c r="CW453" s="16"/>
      <c r="CX453" s="16">
        <f>IFERROR(__xludf.DUMMYFUNCTION("""COMPUTED_VALUE"""),2.0)</f>
        <v>2</v>
      </c>
      <c r="CY453" s="16">
        <f>IFERROR(__xludf.DUMMYFUNCTION("""COMPUTED_VALUE"""),4.0)</f>
        <v>4</v>
      </c>
      <c r="CZ453" s="16">
        <f>IFERROR(__xludf.DUMMYFUNCTION("""COMPUTED_VALUE"""),4.0)</f>
        <v>4</v>
      </c>
      <c r="DA453" s="16"/>
      <c r="DB453" s="16"/>
      <c r="DC453" s="16"/>
      <c r="DD453" s="16"/>
      <c r="DE453" s="16"/>
      <c r="DF453" s="16">
        <f>IFERROR(__xludf.DUMMYFUNCTION("""COMPUTED_VALUE"""),3.0)</f>
        <v>3</v>
      </c>
      <c r="DG453" s="16">
        <f>IFERROR(__xludf.DUMMYFUNCTION("""COMPUTED_VALUE"""),3.0)</f>
        <v>3</v>
      </c>
      <c r="DH453" s="16">
        <f>IFERROR(__xludf.DUMMYFUNCTION("""COMPUTED_VALUE"""),3.0)</f>
        <v>3</v>
      </c>
      <c r="DI453" s="16"/>
      <c r="DJ453" s="16"/>
      <c r="DK453" s="16"/>
      <c r="DL453" s="16"/>
      <c r="DM453" s="16"/>
      <c r="DN453" s="16">
        <f>IFERROR(__xludf.DUMMYFUNCTION("""COMPUTED_VALUE"""),3.0)</f>
        <v>3</v>
      </c>
      <c r="DO453" s="16">
        <f>IFERROR(__xludf.DUMMYFUNCTION("""COMPUTED_VALUE"""),-2.0)</f>
        <v>-2</v>
      </c>
      <c r="DP453" s="16">
        <f>IFERROR(__xludf.DUMMYFUNCTION("""COMPUTED_VALUE"""),-1.0)</f>
        <v>-1</v>
      </c>
      <c r="DQ453" s="16"/>
      <c r="DR453" s="16"/>
      <c r="DS453" s="16"/>
      <c r="DT453" s="16"/>
      <c r="DU453" s="16"/>
      <c r="DV453" s="16">
        <f>IFERROR(__xludf.DUMMYFUNCTION("""COMPUTED_VALUE"""),4.0)</f>
        <v>4</v>
      </c>
      <c r="DW453" s="16">
        <f>IFERROR(__xludf.DUMMYFUNCTION("""COMPUTED_VALUE"""),4.0)</f>
        <v>4</v>
      </c>
      <c r="DX453" s="16">
        <f>IFERROR(__xludf.DUMMYFUNCTION("""COMPUTED_VALUE"""),4.0)</f>
        <v>4</v>
      </c>
      <c r="DY453" s="16"/>
      <c r="DZ453" s="16"/>
      <c r="EA453" s="16"/>
      <c r="EB453" s="16"/>
      <c r="EC453" s="16"/>
      <c r="ED453" s="16">
        <f>IFERROR(__xludf.DUMMYFUNCTION("""COMPUTED_VALUE"""),7.0)</f>
        <v>7</v>
      </c>
      <c r="EE453" s="16">
        <f>IFERROR(__xludf.DUMMYFUNCTION("""COMPUTED_VALUE"""),2.0)</f>
        <v>2</v>
      </c>
      <c r="EF453" s="16">
        <f>IFERROR(__xludf.DUMMYFUNCTION("""COMPUTED_VALUE"""),3.0)</f>
        <v>3</v>
      </c>
      <c r="EG453" s="179"/>
      <c r="EH453" s="179"/>
      <c r="EI453" s="179"/>
      <c r="EJ453" s="179"/>
      <c r="EK453" s="179"/>
      <c r="EL453" s="179">
        <f>IFERROR(__xludf.DUMMYFUNCTION("""COMPUTED_VALUE"""),-24.0)</f>
        <v>-24</v>
      </c>
      <c r="EM453" s="179">
        <f>IFERROR(__xludf.DUMMYFUNCTION("""COMPUTED_VALUE"""),-29.0)</f>
        <v>-29</v>
      </c>
      <c r="EN453" s="179">
        <f>IFERROR(__xludf.DUMMYFUNCTION("""COMPUTED_VALUE"""),-28.0)</f>
        <v>-28</v>
      </c>
      <c r="EO453" s="16"/>
      <c r="EP453" s="16">
        <f>IFERROR(__xludf.DUMMYFUNCTION("""COMPUTED_VALUE"""),-1.0)</f>
        <v>-1</v>
      </c>
      <c r="EQ453" s="16">
        <f>IFERROR(__xludf.DUMMYFUNCTION("""COMPUTED_VALUE"""),4.0)</f>
        <v>4</v>
      </c>
      <c r="ER453" s="16">
        <f>IFERROR(__xludf.DUMMYFUNCTION("""COMPUTED_VALUE"""),-4.0)</f>
        <v>-4</v>
      </c>
      <c r="ES453" s="16"/>
      <c r="ET453" s="16"/>
      <c r="EU453" s="16"/>
      <c r="EV453" s="16"/>
      <c r="EW453" s="16"/>
      <c r="EX453" s="180"/>
      <c r="EY453" s="180"/>
      <c r="EZ453" s="180"/>
      <c r="FA453" s="180"/>
      <c r="FB453" s="180"/>
      <c r="FC453" s="180">
        <f>IFERROR(__xludf.DUMMYFUNCTION("""COMPUTED_VALUE"""),0.15)</f>
        <v>0.15</v>
      </c>
      <c r="FD453" s="180">
        <f>IFERROR(__xludf.DUMMYFUNCTION("""COMPUTED_VALUE"""),0.55)</f>
        <v>0.55</v>
      </c>
      <c r="FE453" s="180">
        <f>IFERROR(__xludf.DUMMYFUNCTION("""COMPUTED_VALUE"""),0.55)</f>
        <v>0.55</v>
      </c>
      <c r="FF453" s="180"/>
      <c r="FG453" s="180"/>
      <c r="FH453" s="180"/>
      <c r="FI453" s="180"/>
      <c r="FJ453" s="180"/>
      <c r="FK453" s="180">
        <f>IFERROR(__xludf.DUMMYFUNCTION("""COMPUTED_VALUE"""),0.056)</f>
        <v>0.056</v>
      </c>
      <c r="FL453" s="180">
        <f>IFERROR(__xludf.DUMMYFUNCTION("""COMPUTED_VALUE"""),0.037037037037037035)</f>
        <v>0.03703703704</v>
      </c>
      <c r="FM453" s="180">
        <f>IFERROR(__xludf.DUMMYFUNCTION("""COMPUTED_VALUE"""),0.056)</f>
        <v>0.056</v>
      </c>
      <c r="FN453" s="16"/>
      <c r="FO453" s="16"/>
      <c r="FP453" s="16"/>
      <c r="FQ453" s="16"/>
      <c r="FR453" s="16"/>
      <c r="FS453" s="16">
        <f>IFERROR(__xludf.DUMMYFUNCTION("""COMPUTED_VALUE"""),0.8023999999999999)</f>
        <v>0.8024</v>
      </c>
      <c r="FT453" s="16">
        <f>IFERROR(__xludf.DUMMYFUNCTION("""COMPUTED_VALUE"""),0.4333333333333333)</f>
        <v>0.4333333333</v>
      </c>
      <c r="FU453" s="16">
        <f>IFERROR(__xludf.DUMMYFUNCTION("""COMPUTED_VALUE"""),0.42479999999999996)</f>
        <v>0.4248</v>
      </c>
      <c r="FV453" s="16"/>
      <c r="FW453" s="16"/>
      <c r="FX453" s="16"/>
      <c r="FY453" s="16"/>
      <c r="FZ453" s="16"/>
      <c r="GA453" s="16">
        <f>IFERROR(__xludf.DUMMYFUNCTION("""COMPUTED_VALUE"""),2.0)</f>
        <v>2</v>
      </c>
      <c r="GB453" s="16">
        <f>IFERROR(__xludf.DUMMYFUNCTION("""COMPUTED_VALUE"""),-7.0)</f>
        <v>-7</v>
      </c>
      <c r="GC453" s="16">
        <f>IFERROR(__xludf.DUMMYFUNCTION("""COMPUTED_VALUE"""),-7.0)</f>
        <v>-7</v>
      </c>
      <c r="GD453" s="16" t="s">
        <v>176</v>
      </c>
    </row>
    <row r="454">
      <c r="A454" s="16">
        <f>IFERROR(__xludf.DUMMYFUNCTION("""COMPUTED_VALUE"""),12716.0)</f>
        <v>12716</v>
      </c>
      <c r="B454" s="16" t="str">
        <f>IFERROR(__xludf.DUMMYFUNCTION("""COMPUTED_VALUE"""),"Cristian Pache")</f>
        <v>Cristian Pache</v>
      </c>
      <c r="C454" s="16">
        <f>IFERROR(__xludf.DUMMYFUNCTION("""COMPUTED_VALUE"""),0.0)</f>
        <v>0</v>
      </c>
      <c r="D454" s="16" t="str">
        <f>IFERROR(__xludf.DUMMYFUNCTION("""COMPUTED_VALUE"""),"R")</f>
        <v>R</v>
      </c>
      <c r="E454" s="16"/>
      <c r="F454" s="16"/>
      <c r="G454" s="16">
        <f>IFERROR(__xludf.DUMMYFUNCTION("""COMPUTED_VALUE"""),165.0)</f>
        <v>165</v>
      </c>
      <c r="H454" s="16">
        <f>IFERROR(__xludf.DUMMYFUNCTION("""COMPUTED_VALUE"""),17.0)</f>
        <v>17</v>
      </c>
      <c r="I454" s="16" t="str">
        <f>IFERROR(__xludf.DUMMYFUNCTION("""COMPUTED_VALUE"""),"1p40")</f>
        <v>1p40</v>
      </c>
      <c r="J454" s="16">
        <f>IFERROR(__xludf.DUMMYFUNCTION("""COMPUTED_VALUE"""),50.0)</f>
        <v>50</v>
      </c>
      <c r="K454" s="16">
        <f>IFERROR(__xludf.DUMMYFUNCTION("""COMPUTED_VALUE"""),54.0)</f>
        <v>54</v>
      </c>
      <c r="L454" s="16">
        <f>IFERROR(__xludf.DUMMYFUNCTION("""COMPUTED_VALUE"""),-2.0)</f>
        <v>-2</v>
      </c>
      <c r="M454" s="16">
        <f>IFERROR(__xludf.DUMMYFUNCTION("""COMPUTED_VALUE"""),-3.0)</f>
        <v>-3</v>
      </c>
      <c r="N454" s="16">
        <f>IFERROR(__xludf.DUMMYFUNCTION("""COMPUTED_VALUE"""),-2.0)</f>
        <v>-2</v>
      </c>
      <c r="O454" s="16">
        <f>IFERROR(__xludf.DUMMYFUNCTION("""COMPUTED_VALUE"""),-3.0)</f>
        <v>-3</v>
      </c>
      <c r="P454" s="16">
        <f>IFERROR(__xludf.DUMMYFUNCTION("""COMPUTED_VALUE"""),14.0)</f>
        <v>14</v>
      </c>
      <c r="Q454" s="16">
        <f>IFERROR(__xludf.DUMMYFUNCTION("""COMPUTED_VALUE"""),5.0)</f>
        <v>5</v>
      </c>
      <c r="R454" s="16">
        <f>IFERROR(__xludf.DUMMYFUNCTION("""COMPUTED_VALUE"""),2.0)</f>
        <v>2</v>
      </c>
      <c r="S454" s="16">
        <f>IFERROR(__xludf.DUMMYFUNCTION("""COMPUTED_VALUE"""),-1.0)</f>
        <v>-1</v>
      </c>
      <c r="T454" s="16">
        <f>IFERROR(__xludf.DUMMYFUNCTION("""COMPUTED_VALUE"""),2.0)</f>
        <v>2</v>
      </c>
      <c r="U454" s="16">
        <f>IFERROR(__xludf.DUMMYFUNCTION("""COMPUTED_VALUE"""),-1.0)</f>
        <v>-1</v>
      </c>
      <c r="V454" s="16">
        <f>IFERROR(__xludf.DUMMYFUNCTION("""COMPUTED_VALUE"""),12.4)</f>
        <v>12.4</v>
      </c>
      <c r="W454" s="16">
        <f>IFERROR(__xludf.DUMMYFUNCTION("""COMPUTED_VALUE"""),9.6)</f>
        <v>9.6</v>
      </c>
      <c r="X454" s="16">
        <f>IFERROR(__xludf.DUMMYFUNCTION("""COMPUTED_VALUE"""),-1.0)</f>
        <v>-1</v>
      </c>
      <c r="Y454" s="16">
        <f>IFERROR(__xludf.DUMMYFUNCTION("""COMPUTED_VALUE"""),-2.0)</f>
        <v>-2</v>
      </c>
      <c r="Z454" s="16">
        <f>IFERROR(__xludf.DUMMYFUNCTION("""COMPUTED_VALUE"""),-2.0)</f>
        <v>-2</v>
      </c>
      <c r="AA454" s="16">
        <f>IFERROR(__xludf.DUMMYFUNCTION("""COMPUTED_VALUE"""),-4.0)</f>
        <v>-4</v>
      </c>
      <c r="AB454" s="16">
        <f>IFERROR(__xludf.DUMMYFUNCTION("""COMPUTED_VALUE"""),26.3)</f>
        <v>26.3</v>
      </c>
      <c r="AC454" s="16">
        <f>IFERROR(__xludf.DUMMYFUNCTION("""COMPUTED_VALUE"""),14.6)</f>
        <v>14.6</v>
      </c>
      <c r="AD454" s="16">
        <f>IFERROR(__xludf.DUMMYFUNCTION("""COMPUTED_VALUE"""),-1.0)</f>
        <v>-1</v>
      </c>
      <c r="AE454" s="16">
        <f>IFERROR(__xludf.DUMMYFUNCTION("""COMPUTED_VALUE"""),-2.0)</f>
        <v>-2</v>
      </c>
      <c r="AF454" s="16">
        <f>IFERROR(__xludf.DUMMYFUNCTION("""COMPUTED_VALUE"""),-5.0)</f>
        <v>-5</v>
      </c>
      <c r="AG454" s="16">
        <f>IFERROR(__xludf.DUMMYFUNCTION("""COMPUTED_VALUE"""),-10.0)</f>
        <v>-10</v>
      </c>
      <c r="AH454" s="16">
        <f>IFERROR(__xludf.DUMMYFUNCTION("""COMPUTED_VALUE"""),27.6)</f>
        <v>27.6</v>
      </c>
      <c r="AI454" s="16">
        <f>IFERROR(__xludf.DUMMYFUNCTION("""COMPUTED_VALUE"""),9.6)</f>
        <v>9.6</v>
      </c>
      <c r="AJ454" s="16">
        <f>IFERROR(__xludf.DUMMYFUNCTION("""COMPUTED_VALUE"""),0.0)</f>
        <v>0</v>
      </c>
      <c r="AK454" s="16">
        <f>IFERROR(__xludf.DUMMYFUNCTION("""COMPUTED_VALUE"""),-2.0)</f>
        <v>-2</v>
      </c>
      <c r="AL454" s="16">
        <f>IFERROR(__xludf.DUMMYFUNCTION("""COMPUTED_VALUE"""),0.0)</f>
        <v>0</v>
      </c>
      <c r="AM454" s="16">
        <f>IFERROR(__xludf.DUMMYFUNCTION("""COMPUTED_VALUE"""),-10.0)</f>
        <v>-10</v>
      </c>
      <c r="AN454" s="16">
        <f>IFERROR(__xludf.DUMMYFUNCTION("""COMPUTED_VALUE"""),1.6)</f>
        <v>1.6</v>
      </c>
      <c r="AO454" s="16">
        <f>IFERROR(__xludf.DUMMYFUNCTION("""COMPUTED_VALUE"""),0.0)</f>
        <v>0</v>
      </c>
      <c r="AP454" s="16">
        <f>IFERROR(__xludf.DUMMYFUNCTION("""COMPUTED_VALUE"""),-1.0)</f>
        <v>-1</v>
      </c>
      <c r="AQ454" s="16">
        <f>IFERROR(__xludf.DUMMYFUNCTION("""COMPUTED_VALUE"""),-3.0)</f>
        <v>-3</v>
      </c>
      <c r="AR454" s="16">
        <f>IFERROR(__xludf.DUMMYFUNCTION("""COMPUTED_VALUE"""),-2.0)</f>
        <v>-2</v>
      </c>
      <c r="AS454" s="16">
        <f>IFERROR(__xludf.DUMMYFUNCTION("""COMPUTED_VALUE"""),-6.0)</f>
        <v>-6</v>
      </c>
      <c r="AT454" s="16"/>
      <c r="AU454" s="16"/>
      <c r="AV454" s="16">
        <f>IFERROR(__xludf.DUMMYFUNCTION("""COMPUTED_VALUE"""),-3.0)</f>
        <v>-3</v>
      </c>
      <c r="AW454" s="16">
        <f>IFERROR(__xludf.DUMMYFUNCTION("""COMPUTED_VALUE"""),-3.0)</f>
        <v>-3</v>
      </c>
      <c r="AX454" s="16">
        <f>IFERROR(__xludf.DUMMYFUNCTION("""COMPUTED_VALUE"""),-3.0)</f>
        <v>-3</v>
      </c>
      <c r="AY454" s="16">
        <f>IFERROR(__xludf.DUMMYFUNCTION("""COMPUTED_VALUE"""),-3.0)</f>
        <v>-3</v>
      </c>
      <c r="AZ454" s="16">
        <f>IFERROR(__xludf.DUMMYFUNCTION("""COMPUTED_VALUE"""),-9.0)</f>
        <v>-9</v>
      </c>
      <c r="BA454" s="16">
        <f>IFERROR(__xludf.DUMMYFUNCTION("""COMPUTED_VALUE"""),-9.0)</f>
        <v>-9</v>
      </c>
      <c r="BB454" s="16">
        <f>IFERROR(__xludf.DUMMYFUNCTION("""COMPUTED_VALUE"""),5.0)</f>
        <v>5</v>
      </c>
      <c r="BC454" s="16">
        <f>IFERROR(__xludf.DUMMYFUNCTION("""COMPUTED_VALUE"""),5.0)</f>
        <v>5</v>
      </c>
      <c r="BD454" s="16">
        <f>IFERROR(__xludf.DUMMYFUNCTION("""COMPUTED_VALUE"""),1.0)</f>
        <v>1</v>
      </c>
      <c r="BE454" s="16">
        <f>IFERROR(__xludf.DUMMYFUNCTION("""COMPUTED_VALUE"""),1.0)</f>
        <v>1</v>
      </c>
      <c r="BF454" s="16">
        <f>IFERROR(__xludf.DUMMYFUNCTION("""COMPUTED_VALUE"""),1.0)</f>
        <v>1</v>
      </c>
      <c r="BG454" s="16">
        <f>IFERROR(__xludf.DUMMYFUNCTION("""COMPUTED_VALUE"""),1.0)</f>
        <v>1</v>
      </c>
      <c r="BH454" s="16">
        <f>IFERROR(__xludf.DUMMYFUNCTION("""COMPUTED_VALUE"""),0.0)</f>
        <v>0</v>
      </c>
      <c r="BI454" s="16">
        <f>IFERROR(__xludf.DUMMYFUNCTION("""COMPUTED_VALUE"""),6.0)</f>
        <v>6</v>
      </c>
      <c r="BJ454" s="16">
        <f>IFERROR(__xludf.DUMMYFUNCTION("""COMPUTED_VALUE"""),6.0)</f>
        <v>6</v>
      </c>
      <c r="BK454" s="16">
        <f>IFERROR(__xludf.DUMMYFUNCTION("""COMPUTED_VALUE"""),7.0)</f>
        <v>7</v>
      </c>
      <c r="BL454" s="16">
        <f>IFERROR(__xludf.DUMMYFUNCTION("""COMPUTED_VALUE"""),1.0)</f>
        <v>1</v>
      </c>
      <c r="BM454" s="16">
        <f>IFERROR(__xludf.DUMMYFUNCTION("""COMPUTED_VALUE"""),1.0)</f>
        <v>1</v>
      </c>
      <c r="BN454" s="16">
        <f>IFERROR(__xludf.DUMMYFUNCTION("""COMPUTED_VALUE"""),1.0)</f>
        <v>1</v>
      </c>
      <c r="BO454" s="16">
        <f>IFERROR(__xludf.DUMMYFUNCTION("""COMPUTED_VALUE"""),1.0)</f>
        <v>1</v>
      </c>
      <c r="BP454" s="16">
        <f>IFERROR(__xludf.DUMMYFUNCTION("""COMPUTED_VALUE"""),-4.0)</f>
        <v>-4</v>
      </c>
      <c r="BQ454" s="16">
        <f>IFERROR(__xludf.DUMMYFUNCTION("""COMPUTED_VALUE"""),-14.0)</f>
        <v>-14</v>
      </c>
      <c r="BR454" s="16">
        <f>IFERROR(__xludf.DUMMYFUNCTION("""COMPUTED_VALUE"""),-18.0)</f>
        <v>-18</v>
      </c>
      <c r="BS454" s="16" t="str">
        <f>IFERROR(__xludf.DUMMYFUNCTION("""COMPUTED_VALUE"""),"2/- (20-6)")</f>
        <v>2/- (20-6)</v>
      </c>
      <c r="BT454" s="16" t="str">
        <f>IFERROR(__xludf.DUMMYFUNCTION("""COMPUTED_VALUE"""),"E")</f>
        <v>E</v>
      </c>
      <c r="BU454" s="16">
        <f>IFERROR(__xludf.DUMMYFUNCTION("""COMPUTED_VALUE"""),14.0)</f>
        <v>14</v>
      </c>
      <c r="BV454" s="16">
        <f>IFERROR(__xludf.DUMMYFUNCTION("""COMPUTED_VALUE"""),0.0)</f>
        <v>0</v>
      </c>
      <c r="BW454" s="16">
        <f>IFERROR(__xludf.DUMMYFUNCTION("""COMPUTED_VALUE"""),1.0)</f>
        <v>1</v>
      </c>
      <c r="BX454" s="16">
        <f>IFERROR(__xludf.DUMMYFUNCTION("""COMPUTED_VALUE"""),0.0)</f>
        <v>0</v>
      </c>
      <c r="BY454" s="16">
        <f>IFERROR(__xludf.DUMMYFUNCTION("""COMPUTED_VALUE"""),3.0)</f>
        <v>3</v>
      </c>
      <c r="BZ454" s="16" t="str">
        <f>IFERROR(__xludf.DUMMYFUNCTION("""COMPUTED_VALUE"""),"D")</f>
        <v>D</v>
      </c>
      <c r="CA454" s="16" t="str">
        <f>IFERROR(__xludf.DUMMYFUNCTION("""COMPUTED_VALUE"""),"D")</f>
        <v>D</v>
      </c>
      <c r="CB454" s="16">
        <f>IFERROR(__xludf.DUMMYFUNCTION("""COMPUTED_VALUE"""),0.0)</f>
        <v>0</v>
      </c>
      <c r="CC454" s="16">
        <f>IFERROR(__xludf.DUMMYFUNCTION("""COMPUTED_VALUE"""),0.0)</f>
        <v>0</v>
      </c>
      <c r="CD454" s="16">
        <f>IFERROR(__xludf.DUMMYFUNCTION("""COMPUTED_VALUE"""),0.0)</f>
        <v>0</v>
      </c>
      <c r="CE454" s="16">
        <f>IFERROR(__xludf.DUMMYFUNCTION("""COMPUTED_VALUE"""),0.0)</f>
        <v>0</v>
      </c>
      <c r="CF454" s="16">
        <f>IFERROR(__xludf.DUMMYFUNCTION("""COMPUTED_VALUE"""),1.0)</f>
        <v>1</v>
      </c>
      <c r="CG454" s="16">
        <f>IFERROR(__xludf.DUMMYFUNCTION("""COMPUTED_VALUE"""),-16.0)</f>
        <v>-16</v>
      </c>
      <c r="CH454" s="16">
        <f>IFERROR(__xludf.DUMMYFUNCTION("""COMPUTED_VALUE"""),-41.0)</f>
        <v>-41</v>
      </c>
      <c r="CI454" s="179">
        <f>IFERROR(__xludf.DUMMYFUNCTION("""COMPUTED_VALUE"""),-31.0)</f>
        <v>-31</v>
      </c>
      <c r="CJ454" s="16"/>
      <c r="CK454" s="16"/>
      <c r="CL454" s="16"/>
      <c r="CM454" s="16"/>
      <c r="CN454" s="16"/>
      <c r="CO454" s="16">
        <f>IFERROR(__xludf.DUMMYFUNCTION("""COMPUTED_VALUE"""),110.0)</f>
        <v>110</v>
      </c>
      <c r="CP454" s="16">
        <f>IFERROR(__xludf.DUMMYFUNCTION("""COMPUTED_VALUE"""),210.0)</f>
        <v>210</v>
      </c>
      <c r="CQ454" s="16">
        <f>IFERROR(__xludf.DUMMYFUNCTION("""COMPUTED_VALUE"""),110.0)</f>
        <v>110</v>
      </c>
      <c r="CR454" s="16" t="str">
        <f>IFERROR(__xludf.DUMMYFUNCTION("""COMPUTED_VALUE"""),"cf-2(-1)e10 lf-1e10 rf-1e10")</f>
        <v>cf-2(-1)e10 lf-1e10 rf-1e10</v>
      </c>
      <c r="CS454" s="16"/>
      <c r="CT454" s="16"/>
      <c r="CU454" s="16"/>
      <c r="CV454" s="16"/>
      <c r="CW454" s="16"/>
      <c r="CX454" s="16">
        <f>IFERROR(__xludf.DUMMYFUNCTION("""COMPUTED_VALUE"""),1.0)</f>
        <v>1</v>
      </c>
      <c r="CY454" s="16">
        <f>IFERROR(__xludf.DUMMYFUNCTION("""COMPUTED_VALUE"""),2.0)</f>
        <v>2</v>
      </c>
      <c r="CZ454" s="16">
        <f>IFERROR(__xludf.DUMMYFUNCTION("""COMPUTED_VALUE"""),1.0)</f>
        <v>1</v>
      </c>
      <c r="DA454" s="16"/>
      <c r="DB454" s="16"/>
      <c r="DC454" s="16"/>
      <c r="DD454" s="16"/>
      <c r="DE454" s="16"/>
      <c r="DF454" s="16">
        <f>IFERROR(__xludf.DUMMYFUNCTION("""COMPUTED_VALUE"""),10.0)</f>
        <v>10</v>
      </c>
      <c r="DG454" s="16">
        <f>IFERROR(__xludf.DUMMYFUNCTION("""COMPUTED_VALUE"""),10.0)</f>
        <v>10</v>
      </c>
      <c r="DH454" s="16">
        <f>IFERROR(__xludf.DUMMYFUNCTION("""COMPUTED_VALUE"""),10.0)</f>
        <v>10</v>
      </c>
      <c r="DI454" s="16"/>
      <c r="DJ454" s="16"/>
      <c r="DK454" s="16"/>
      <c r="DL454" s="16"/>
      <c r="DM454" s="16"/>
      <c r="DN454" s="16">
        <f>IFERROR(__xludf.DUMMYFUNCTION("""COMPUTED_VALUE"""),4.0)</f>
        <v>4</v>
      </c>
      <c r="DO454" s="16">
        <f>IFERROR(__xludf.DUMMYFUNCTION("""COMPUTED_VALUE"""),2.0)</f>
        <v>2</v>
      </c>
      <c r="DP454" s="16">
        <f>IFERROR(__xludf.DUMMYFUNCTION("""COMPUTED_VALUE"""),4.0)</f>
        <v>4</v>
      </c>
      <c r="DQ454" s="16"/>
      <c r="DR454" s="16"/>
      <c r="DS454" s="16"/>
      <c r="DT454" s="16"/>
      <c r="DU454" s="16"/>
      <c r="DV454" s="16">
        <f>IFERROR(__xludf.DUMMYFUNCTION("""COMPUTED_VALUE"""),0.0)</f>
        <v>0</v>
      </c>
      <c r="DW454" s="16">
        <f>IFERROR(__xludf.DUMMYFUNCTION("""COMPUTED_VALUE"""),2.0)</f>
        <v>2</v>
      </c>
      <c r="DX454" s="16">
        <f>IFERROR(__xludf.DUMMYFUNCTION("""COMPUTED_VALUE"""),0.0)</f>
        <v>0</v>
      </c>
      <c r="DY454" s="16"/>
      <c r="DZ454" s="16"/>
      <c r="EA454" s="16"/>
      <c r="EB454" s="16"/>
      <c r="EC454" s="16"/>
      <c r="ED454" s="16">
        <f>IFERROR(__xludf.DUMMYFUNCTION("""COMPUTED_VALUE"""),4.0)</f>
        <v>4</v>
      </c>
      <c r="EE454" s="16">
        <f>IFERROR(__xludf.DUMMYFUNCTION("""COMPUTED_VALUE"""),4.0)</f>
        <v>4</v>
      </c>
      <c r="EF454" s="16">
        <f>IFERROR(__xludf.DUMMYFUNCTION("""COMPUTED_VALUE"""),4.0)</f>
        <v>4</v>
      </c>
      <c r="EG454" s="179"/>
      <c r="EH454" s="179"/>
      <c r="EI454" s="179"/>
      <c r="EJ454" s="179"/>
      <c r="EK454" s="179"/>
      <c r="EL454" s="179">
        <f>IFERROR(__xludf.DUMMYFUNCTION("""COMPUTED_VALUE"""),-27.0)</f>
        <v>-27</v>
      </c>
      <c r="EM454" s="179">
        <f>IFERROR(__xludf.DUMMYFUNCTION("""COMPUTED_VALUE"""),-27.0)</f>
        <v>-27</v>
      </c>
      <c r="EN454" s="179">
        <f>IFERROR(__xludf.DUMMYFUNCTION("""COMPUTED_VALUE"""),-27.0)</f>
        <v>-27</v>
      </c>
      <c r="EO454" s="16"/>
      <c r="EP454" s="16">
        <f>IFERROR(__xludf.DUMMYFUNCTION("""COMPUTED_VALUE"""),0.0)</f>
        <v>0</v>
      </c>
      <c r="EQ454" s="16">
        <f>IFERROR(__xludf.DUMMYFUNCTION("""COMPUTED_VALUE"""),4.0)</f>
        <v>4</v>
      </c>
      <c r="ER454" s="16">
        <f>IFERROR(__xludf.DUMMYFUNCTION("""COMPUTED_VALUE"""),-1.0)</f>
        <v>-1</v>
      </c>
      <c r="ES454" s="16"/>
      <c r="ET454" s="16"/>
      <c r="EU454" s="16"/>
      <c r="EV454" s="16"/>
      <c r="EW454" s="16"/>
      <c r="EX454" s="180"/>
      <c r="EY454" s="180"/>
      <c r="EZ454" s="180"/>
      <c r="FA454" s="180"/>
      <c r="FB454" s="180"/>
      <c r="FC454" s="180">
        <f>IFERROR(__xludf.DUMMYFUNCTION("""COMPUTED_VALUE"""),0.0)</f>
        <v>0</v>
      </c>
      <c r="FD454" s="180">
        <f>IFERROR(__xludf.DUMMYFUNCTION("""COMPUTED_VALUE"""),0.15)</f>
        <v>0.15</v>
      </c>
      <c r="FE454" s="180">
        <f>IFERROR(__xludf.DUMMYFUNCTION("""COMPUTED_VALUE"""),0.0)</f>
        <v>0</v>
      </c>
      <c r="FF454" s="180"/>
      <c r="FG454" s="180"/>
      <c r="FH454" s="180"/>
      <c r="FI454" s="180"/>
      <c r="FJ454" s="180"/>
      <c r="FK454" s="180">
        <f>IFERROR(__xludf.DUMMYFUNCTION("""COMPUTED_VALUE"""),0.181)</f>
        <v>0.181</v>
      </c>
      <c r="FL454" s="180">
        <f>IFERROR(__xludf.DUMMYFUNCTION("""COMPUTED_VALUE"""),0.12037037037037036)</f>
        <v>0.1203703704</v>
      </c>
      <c r="FM454" s="180">
        <f>IFERROR(__xludf.DUMMYFUNCTION("""COMPUTED_VALUE"""),0.181)</f>
        <v>0.181</v>
      </c>
      <c r="FN454" s="16"/>
      <c r="FO454" s="16"/>
      <c r="FP454" s="16"/>
      <c r="FQ454" s="16"/>
      <c r="FR454" s="16"/>
      <c r="FS454" s="16">
        <f>IFERROR(__xludf.DUMMYFUNCTION("""COMPUTED_VALUE"""),0.819)</f>
        <v>0.819</v>
      </c>
      <c r="FT454" s="16">
        <f>IFERROR(__xludf.DUMMYFUNCTION("""COMPUTED_VALUE"""),0.7476851851851852)</f>
        <v>0.7476851852</v>
      </c>
      <c r="FU454" s="16">
        <f>IFERROR(__xludf.DUMMYFUNCTION("""COMPUTED_VALUE"""),0.819)</f>
        <v>0.819</v>
      </c>
      <c r="FV454" s="16"/>
      <c r="FW454" s="16"/>
      <c r="FX454" s="16"/>
      <c r="FY454" s="16"/>
      <c r="FZ454" s="16"/>
      <c r="GA454" s="16">
        <f>IFERROR(__xludf.DUMMYFUNCTION("""COMPUTED_VALUE"""),1.0)</f>
        <v>1</v>
      </c>
      <c r="GB454" s="16">
        <f>IFERROR(__xludf.DUMMYFUNCTION("""COMPUTED_VALUE"""),-4.0)</f>
        <v>-4</v>
      </c>
      <c r="GC454" s="16">
        <f>IFERROR(__xludf.DUMMYFUNCTION("""COMPUTED_VALUE"""),1.0)</f>
        <v>1</v>
      </c>
      <c r="GD454" s="16" t="s">
        <v>176</v>
      </c>
    </row>
    <row r="455">
      <c r="A455" s="16">
        <f>IFERROR(__xludf.DUMMYFUNCTION("""COMPUTED_VALUE"""),12759.0)</f>
        <v>12759</v>
      </c>
      <c r="B455" s="16" t="str">
        <f>IFERROR(__xludf.DUMMYFUNCTION("""COMPUTED_VALUE"""),"DJ LeMahieu")</f>
        <v>DJ LeMahieu</v>
      </c>
      <c r="C455" s="16">
        <f>IFERROR(__xludf.DUMMYFUNCTION("""COMPUTED_VALUE"""),0.0)</f>
        <v>0</v>
      </c>
      <c r="D455" s="16" t="str">
        <f>IFERROR(__xludf.DUMMYFUNCTION("""COMPUTED_VALUE"""),"R")</f>
        <v>R</v>
      </c>
      <c r="E455" s="16"/>
      <c r="F455" s="16"/>
      <c r="G455" s="16">
        <f>IFERROR(__xludf.DUMMYFUNCTION("""COMPUTED_VALUE"""),201.0)</f>
        <v>201</v>
      </c>
      <c r="H455" s="16">
        <f>IFERROR(__xludf.DUMMYFUNCTION("""COMPUTED_VALUE"""),19.0)</f>
        <v>19</v>
      </c>
      <c r="I455" s="16" t="str">
        <f>IFERROR(__xludf.DUMMYFUNCTION("""COMPUTED_VALUE"""),"5p30")</f>
        <v>5p30</v>
      </c>
      <c r="J455" s="16">
        <f>IFERROR(__xludf.DUMMYFUNCTION("""COMPUTED_VALUE"""),2.0)</f>
        <v>2</v>
      </c>
      <c r="K455" s="16">
        <f>IFERROR(__xludf.DUMMYFUNCTION("""COMPUTED_VALUE"""),13.0)</f>
        <v>13</v>
      </c>
      <c r="L455" s="16">
        <f>IFERROR(__xludf.DUMMYFUNCTION("""COMPUTED_VALUE"""),2.0)</f>
        <v>2</v>
      </c>
      <c r="M455" s="16">
        <f>IFERROR(__xludf.DUMMYFUNCTION("""COMPUTED_VALUE"""),1.0)</f>
        <v>1</v>
      </c>
      <c r="N455" s="16">
        <f>IFERROR(__xludf.DUMMYFUNCTION("""COMPUTED_VALUE"""),2.0)</f>
        <v>2</v>
      </c>
      <c r="O455" s="16">
        <f>IFERROR(__xludf.DUMMYFUNCTION("""COMPUTED_VALUE"""),1.0)</f>
        <v>1</v>
      </c>
      <c r="P455" s="16">
        <f>IFERROR(__xludf.DUMMYFUNCTION("""COMPUTED_VALUE"""),12.0)</f>
        <v>12</v>
      </c>
      <c r="Q455" s="16">
        <f>IFERROR(__xludf.DUMMYFUNCTION("""COMPUTED_VALUE"""),10.0)</f>
        <v>10</v>
      </c>
      <c r="R455" s="16">
        <f>IFERROR(__xludf.DUMMYFUNCTION("""COMPUTED_VALUE"""),1.0)</f>
        <v>1</v>
      </c>
      <c r="S455" s="16">
        <f>IFERROR(__xludf.DUMMYFUNCTION("""COMPUTED_VALUE"""),0.0)</f>
        <v>0</v>
      </c>
      <c r="T455" s="16">
        <f>IFERROR(__xludf.DUMMYFUNCTION("""COMPUTED_VALUE"""),1.0)</f>
        <v>1</v>
      </c>
      <c r="U455" s="16">
        <f>IFERROR(__xludf.DUMMYFUNCTION("""COMPUTED_VALUE"""),0.0)</f>
        <v>0</v>
      </c>
      <c r="V455" s="16">
        <f>IFERROR(__xludf.DUMMYFUNCTION("""COMPUTED_VALUE"""),9.2)</f>
        <v>9.2</v>
      </c>
      <c r="W455" s="16">
        <f>IFERROR(__xludf.DUMMYFUNCTION("""COMPUTED_VALUE"""),14.1)</f>
        <v>14.1</v>
      </c>
      <c r="X455" s="16">
        <f>IFERROR(__xludf.DUMMYFUNCTION("""COMPUTED_VALUE"""),-2.0)</f>
        <v>-2</v>
      </c>
      <c r="Y455" s="16">
        <f>IFERROR(__xludf.DUMMYFUNCTION("""COMPUTED_VALUE"""),-1.0)</f>
        <v>-1</v>
      </c>
      <c r="Z455" s="16">
        <f>IFERROR(__xludf.DUMMYFUNCTION("""COMPUTED_VALUE"""),-4.0)</f>
        <v>-4</v>
      </c>
      <c r="AA455" s="16">
        <f>IFERROR(__xludf.DUMMYFUNCTION("""COMPUTED_VALUE"""),-2.0)</f>
        <v>-2</v>
      </c>
      <c r="AB455" s="16">
        <f>IFERROR(__xludf.DUMMYFUNCTION("""COMPUTED_VALUE"""),22.2)</f>
        <v>22.2</v>
      </c>
      <c r="AC455" s="16">
        <f>IFERROR(__xludf.DUMMYFUNCTION("""COMPUTED_VALUE"""),25.1)</f>
        <v>25.1</v>
      </c>
      <c r="AD455" s="16">
        <f>IFERROR(__xludf.DUMMYFUNCTION("""COMPUTED_VALUE"""),-1.0)</f>
        <v>-1</v>
      </c>
      <c r="AE455" s="16">
        <f>IFERROR(__xludf.DUMMYFUNCTION("""COMPUTED_VALUE"""),-1.0)</f>
        <v>-1</v>
      </c>
      <c r="AF455" s="16">
        <f>IFERROR(__xludf.DUMMYFUNCTION("""COMPUTED_VALUE"""),-5.0)</f>
        <v>-5</v>
      </c>
      <c r="AG455" s="16">
        <f>IFERROR(__xludf.DUMMYFUNCTION("""COMPUTED_VALUE"""),-5.0)</f>
        <v>-5</v>
      </c>
      <c r="AH455" s="16">
        <f>IFERROR(__xludf.DUMMYFUNCTION("""COMPUTED_VALUE"""),17.0)</f>
        <v>17</v>
      </c>
      <c r="AI455" s="16">
        <f>IFERROR(__xludf.DUMMYFUNCTION("""COMPUTED_VALUE"""),21.5)</f>
        <v>21.5</v>
      </c>
      <c r="AJ455" s="16">
        <f>IFERROR(__xludf.DUMMYFUNCTION("""COMPUTED_VALUE"""),-1.0)</f>
        <v>-1</v>
      </c>
      <c r="AK455" s="16">
        <f>IFERROR(__xludf.DUMMYFUNCTION("""COMPUTED_VALUE"""),-1.0)</f>
        <v>-1</v>
      </c>
      <c r="AL455" s="16">
        <f>IFERROR(__xludf.DUMMYFUNCTION("""COMPUTED_VALUE"""),-5.0)</f>
        <v>-5</v>
      </c>
      <c r="AM455" s="16">
        <f>IFERROR(__xludf.DUMMYFUNCTION("""COMPUTED_VALUE"""),-5.0)</f>
        <v>-5</v>
      </c>
      <c r="AN455" s="16">
        <f>IFERROR(__xludf.DUMMYFUNCTION("""COMPUTED_VALUE"""),2.6)</f>
        <v>2.6</v>
      </c>
      <c r="AO455" s="16">
        <f>IFERROR(__xludf.DUMMYFUNCTION("""COMPUTED_VALUE"""),1.6)</f>
        <v>1.6</v>
      </c>
      <c r="AP455" s="16">
        <f>IFERROR(__xludf.DUMMYFUNCTION("""COMPUTED_VALUE"""),0.0)</f>
        <v>0</v>
      </c>
      <c r="AQ455" s="16">
        <f>IFERROR(__xludf.DUMMYFUNCTION("""COMPUTED_VALUE"""),-1.0)</f>
        <v>-1</v>
      </c>
      <c r="AR455" s="16">
        <f>IFERROR(__xludf.DUMMYFUNCTION("""COMPUTED_VALUE"""),0.0)</f>
        <v>0</v>
      </c>
      <c r="AS455" s="16">
        <f>IFERROR(__xludf.DUMMYFUNCTION("""COMPUTED_VALUE"""),-2.0)</f>
        <v>-2</v>
      </c>
      <c r="AT455" s="16"/>
      <c r="AU455" s="16"/>
      <c r="AV455" s="16">
        <f>IFERROR(__xludf.DUMMYFUNCTION("""COMPUTED_VALUE"""),-3.0)</f>
        <v>-3</v>
      </c>
      <c r="AW455" s="16">
        <f>IFERROR(__xludf.DUMMYFUNCTION("""COMPUTED_VALUE"""),-3.0)</f>
        <v>-3</v>
      </c>
      <c r="AX455" s="16">
        <f>IFERROR(__xludf.DUMMYFUNCTION("""COMPUTED_VALUE"""),-3.0)</f>
        <v>-3</v>
      </c>
      <c r="AY455" s="16">
        <f>IFERROR(__xludf.DUMMYFUNCTION("""COMPUTED_VALUE"""),-3.0)</f>
        <v>-3</v>
      </c>
      <c r="AZ455" s="16">
        <f>IFERROR(__xludf.DUMMYFUNCTION("""COMPUTED_VALUE"""),-9.0)</f>
        <v>-9</v>
      </c>
      <c r="BA455" s="16">
        <f>IFERROR(__xludf.DUMMYFUNCTION("""COMPUTED_VALUE"""),-9.0)</f>
        <v>-9</v>
      </c>
      <c r="BB455" s="16">
        <f>IFERROR(__xludf.DUMMYFUNCTION("""COMPUTED_VALUE"""),5.0)</f>
        <v>5</v>
      </c>
      <c r="BC455" s="16">
        <f>IFERROR(__xludf.DUMMYFUNCTION("""COMPUTED_VALUE"""),5.0)</f>
        <v>5</v>
      </c>
      <c r="BD455" s="16">
        <f>IFERROR(__xludf.DUMMYFUNCTION("""COMPUTED_VALUE"""),1.0)</f>
        <v>1</v>
      </c>
      <c r="BE455" s="16">
        <f>IFERROR(__xludf.DUMMYFUNCTION("""COMPUTED_VALUE"""),1.0)</f>
        <v>1</v>
      </c>
      <c r="BF455" s="16">
        <f>IFERROR(__xludf.DUMMYFUNCTION("""COMPUTED_VALUE"""),1.0)</f>
        <v>1</v>
      </c>
      <c r="BG455" s="16">
        <f>IFERROR(__xludf.DUMMYFUNCTION("""COMPUTED_VALUE"""),1.0)</f>
        <v>1</v>
      </c>
      <c r="BH455" s="16">
        <f>IFERROR(__xludf.DUMMYFUNCTION("""COMPUTED_VALUE"""),8.0)</f>
        <v>8</v>
      </c>
      <c r="BI455" s="16">
        <f>IFERROR(__xludf.DUMMYFUNCTION("""COMPUTED_VALUE"""),8.0)</f>
        <v>8</v>
      </c>
      <c r="BJ455" s="16">
        <f>IFERROR(__xludf.DUMMYFUNCTION("""COMPUTED_VALUE"""),29.0)</f>
        <v>29</v>
      </c>
      <c r="BK455" s="16">
        <f>IFERROR(__xludf.DUMMYFUNCTION("""COMPUTED_VALUE"""),30.0)</f>
        <v>30</v>
      </c>
      <c r="BL455" s="16">
        <f>IFERROR(__xludf.DUMMYFUNCTION("""COMPUTED_VALUE"""),-3.0)</f>
        <v>-3</v>
      </c>
      <c r="BM455" s="16">
        <f>IFERROR(__xludf.DUMMYFUNCTION("""COMPUTED_VALUE"""),-3.0)</f>
        <v>-3</v>
      </c>
      <c r="BN455" s="16">
        <f>IFERROR(__xludf.DUMMYFUNCTION("""COMPUTED_VALUE"""),-6.0)</f>
        <v>-6</v>
      </c>
      <c r="BO455" s="16">
        <f>IFERROR(__xludf.DUMMYFUNCTION("""COMPUTED_VALUE"""),-6.0)</f>
        <v>-6</v>
      </c>
      <c r="BP455" s="16">
        <f>IFERROR(__xludf.DUMMYFUNCTION("""COMPUTED_VALUE"""),-6.0)</f>
        <v>-6</v>
      </c>
      <c r="BQ455" s="16">
        <f>IFERROR(__xludf.DUMMYFUNCTION("""COMPUTED_VALUE"""),-8.0)</f>
        <v>-8</v>
      </c>
      <c r="BR455" s="16">
        <f>IFERROR(__xludf.DUMMYFUNCTION("""COMPUTED_VALUE"""),-14.0)</f>
        <v>-14</v>
      </c>
      <c r="BS455" s="16" t="str">
        <f>IFERROR(__xludf.DUMMYFUNCTION("""COMPUTED_VALUE"""),"4-6/- (3-1)")</f>
        <v>4-6/- (3-1)</v>
      </c>
      <c r="BT455" s="16" t="str">
        <f>IFERROR(__xludf.DUMMYFUNCTION("""COMPUTED_VALUE"""),"E")</f>
        <v>E</v>
      </c>
      <c r="BU455" s="16">
        <f>IFERROR(__xludf.DUMMYFUNCTION("""COMPUTED_VALUE"""),9.0)</f>
        <v>9</v>
      </c>
      <c r="BV455" s="16">
        <f>IFERROR(__xludf.DUMMYFUNCTION("""COMPUTED_VALUE"""),0.0)</f>
        <v>0</v>
      </c>
      <c r="BW455" s="16">
        <f>IFERROR(__xludf.DUMMYFUNCTION("""COMPUTED_VALUE"""),-1.0)</f>
        <v>-1</v>
      </c>
      <c r="BX455" s="16">
        <f>IFERROR(__xludf.DUMMYFUNCTION("""COMPUTED_VALUE"""),0.0)</f>
        <v>0</v>
      </c>
      <c r="BY455" s="16">
        <f>IFERROR(__xludf.DUMMYFUNCTION("""COMPUTED_VALUE"""),-3.0)</f>
        <v>-3</v>
      </c>
      <c r="BZ455" s="16" t="str">
        <f>IFERROR(__xludf.DUMMYFUNCTION("""COMPUTED_VALUE"""),"D")</f>
        <v>D</v>
      </c>
      <c r="CA455" s="16" t="str">
        <f>IFERROR(__xludf.DUMMYFUNCTION("""COMPUTED_VALUE"""),"C")</f>
        <v>C</v>
      </c>
      <c r="CB455" s="16">
        <f>IFERROR(__xludf.DUMMYFUNCTION("""COMPUTED_VALUE"""),0.0)</f>
        <v>0</v>
      </c>
      <c r="CC455" s="16">
        <f>IFERROR(__xludf.DUMMYFUNCTION("""COMPUTED_VALUE"""),0.0)</f>
        <v>0</v>
      </c>
      <c r="CD455" s="16">
        <f>IFERROR(__xludf.DUMMYFUNCTION("""COMPUTED_VALUE"""),0.0)</f>
        <v>0</v>
      </c>
      <c r="CE455" s="16">
        <f>IFERROR(__xludf.DUMMYFUNCTION("""COMPUTED_VALUE"""),0.0)</f>
        <v>0</v>
      </c>
      <c r="CF455" s="16">
        <f>IFERROR(__xludf.DUMMYFUNCTION("""COMPUTED_VALUE"""),5.0)</f>
        <v>5</v>
      </c>
      <c r="CG455" s="16">
        <f>IFERROR(__xludf.DUMMYFUNCTION("""COMPUTED_VALUE"""),-25.0)</f>
        <v>-25</v>
      </c>
      <c r="CH455" s="16">
        <f>IFERROR(__xludf.DUMMYFUNCTION("""COMPUTED_VALUE"""),-27.0)</f>
        <v>-27</v>
      </c>
      <c r="CI455" s="179">
        <f>IFERROR(__xludf.DUMMYFUNCTION("""COMPUTED_VALUE"""),-31.0)</f>
        <v>-31</v>
      </c>
      <c r="CJ455" s="16"/>
      <c r="CK455" s="16">
        <f>IFERROR(__xludf.DUMMYFUNCTION("""COMPUTED_VALUE"""),313.0)</f>
        <v>313</v>
      </c>
      <c r="CL455" s="16"/>
      <c r="CM455" s="16">
        <f>IFERROR(__xludf.DUMMYFUNCTION("""COMPUTED_VALUE"""),305.0)</f>
        <v>305</v>
      </c>
      <c r="CN455" s="16"/>
      <c r="CO455" s="16"/>
      <c r="CP455" s="16"/>
      <c r="CQ455" s="16"/>
      <c r="CR455" s="16" t="str">
        <f>IFERROR(__xludf.DUMMYFUNCTION("""COMPUTED_VALUE"""),"3b-3e5 1b-3e13")</f>
        <v>3b-3e5 1b-3e13</v>
      </c>
      <c r="CS455" s="16"/>
      <c r="CT455" s="16">
        <f>IFERROR(__xludf.DUMMYFUNCTION("""COMPUTED_VALUE"""),3.0)</f>
        <v>3</v>
      </c>
      <c r="CU455" s="16"/>
      <c r="CV455" s="16">
        <f>IFERROR(__xludf.DUMMYFUNCTION("""COMPUTED_VALUE"""),3.0)</f>
        <v>3</v>
      </c>
      <c r="CW455" s="16"/>
      <c r="CX455" s="16"/>
      <c r="CY455" s="16"/>
      <c r="CZ455" s="16"/>
      <c r="DA455" s="16"/>
      <c r="DB455" s="16">
        <f>IFERROR(__xludf.DUMMYFUNCTION("""COMPUTED_VALUE"""),13.0)</f>
        <v>13</v>
      </c>
      <c r="DC455" s="16"/>
      <c r="DD455" s="16">
        <f>IFERROR(__xludf.DUMMYFUNCTION("""COMPUTED_VALUE"""),5.0)</f>
        <v>5</v>
      </c>
      <c r="DE455" s="16"/>
      <c r="DF455" s="16"/>
      <c r="DG455" s="16"/>
      <c r="DH455" s="16"/>
      <c r="DI455" s="16"/>
      <c r="DJ455" s="16">
        <f>IFERROR(__xludf.DUMMYFUNCTION("""COMPUTED_VALUE"""),1.0)</f>
        <v>1</v>
      </c>
      <c r="DK455" s="16"/>
      <c r="DL455" s="16">
        <f>IFERROR(__xludf.DUMMYFUNCTION("""COMPUTED_VALUE"""),1.0)</f>
        <v>1</v>
      </c>
      <c r="DM455" s="16"/>
      <c r="DN455" s="16"/>
      <c r="DO455" s="16"/>
      <c r="DP455" s="16"/>
      <c r="DQ455" s="16"/>
      <c r="DR455" s="16">
        <f>IFERROR(__xludf.DUMMYFUNCTION("""COMPUTED_VALUE"""),1.0)</f>
        <v>1</v>
      </c>
      <c r="DS455" s="16"/>
      <c r="DT455" s="16">
        <f>IFERROR(__xludf.DUMMYFUNCTION("""COMPUTED_VALUE"""),2.0)</f>
        <v>2</v>
      </c>
      <c r="DU455" s="16"/>
      <c r="DV455" s="16"/>
      <c r="DW455" s="16"/>
      <c r="DX455" s="16"/>
      <c r="DY455" s="16"/>
      <c r="DZ455" s="16">
        <f>IFERROR(__xludf.DUMMYFUNCTION("""COMPUTED_VALUE"""),2.0)</f>
        <v>2</v>
      </c>
      <c r="EA455" s="16"/>
      <c r="EB455" s="16">
        <f>IFERROR(__xludf.DUMMYFUNCTION("""COMPUTED_VALUE"""),3.0)</f>
        <v>3</v>
      </c>
      <c r="EC455" s="16"/>
      <c r="ED455" s="16"/>
      <c r="EE455" s="16"/>
      <c r="EF455" s="16"/>
      <c r="EG455" s="179"/>
      <c r="EH455" s="179">
        <f>IFERROR(__xludf.DUMMYFUNCTION("""COMPUTED_VALUE"""),-29.0)</f>
        <v>-29</v>
      </c>
      <c r="EI455" s="179"/>
      <c r="EJ455" s="179">
        <f>IFERROR(__xludf.DUMMYFUNCTION("""COMPUTED_VALUE"""),-28.0)</f>
        <v>-28</v>
      </c>
      <c r="EK455" s="179"/>
      <c r="EL455" s="179"/>
      <c r="EM455" s="179"/>
      <c r="EN455" s="179"/>
      <c r="EO455" s="16"/>
      <c r="EP455" s="16">
        <f>IFERROR(__xludf.DUMMYFUNCTION("""COMPUTED_VALUE"""),0.0)</f>
        <v>0</v>
      </c>
      <c r="EQ455" s="16">
        <f>IFERROR(__xludf.DUMMYFUNCTION("""COMPUTED_VALUE"""),-2.0)</f>
        <v>-2</v>
      </c>
      <c r="ER455" s="16">
        <f>IFERROR(__xludf.DUMMYFUNCTION("""COMPUTED_VALUE"""),-2.0)</f>
        <v>-2</v>
      </c>
      <c r="ES455" s="16"/>
      <c r="ET455" s="16"/>
      <c r="EU455" s="16"/>
      <c r="EV455" s="16"/>
      <c r="EW455" s="16"/>
      <c r="EX455" s="180"/>
      <c r="EY455" s="180">
        <f>IFERROR(__xludf.DUMMYFUNCTION("""COMPUTED_VALUE"""),0.2)</f>
        <v>0.2</v>
      </c>
      <c r="EZ455" s="180"/>
      <c r="FA455" s="180">
        <f>IFERROR(__xludf.DUMMYFUNCTION("""COMPUTED_VALUE"""),0.2)</f>
        <v>0.2</v>
      </c>
      <c r="FB455" s="180"/>
      <c r="FC455" s="180"/>
      <c r="FD455" s="180"/>
      <c r="FE455" s="180"/>
      <c r="FF455" s="180"/>
      <c r="FG455" s="180">
        <f>IFERROR(__xludf.DUMMYFUNCTION("""COMPUTED_VALUE"""),0.2361111111111111)</f>
        <v>0.2361111111</v>
      </c>
      <c r="FH455" s="180"/>
      <c r="FI455" s="180">
        <f>IFERROR(__xludf.DUMMYFUNCTION("""COMPUTED_VALUE"""),0.06018518518518518)</f>
        <v>0.06018518519</v>
      </c>
      <c r="FJ455" s="180"/>
      <c r="FK455" s="180"/>
      <c r="FL455" s="180"/>
      <c r="FM455" s="180"/>
      <c r="FN455" s="16"/>
      <c r="FO455" s="16">
        <f>IFERROR(__xludf.DUMMYFUNCTION("""COMPUTED_VALUE"""),0.6111111111111112)</f>
        <v>0.6111111111</v>
      </c>
      <c r="FP455" s="16"/>
      <c r="FQ455" s="16">
        <f>IFERROR(__xludf.DUMMYFUNCTION("""COMPUTED_VALUE"""),0.7518518518518519)</f>
        <v>0.7518518519</v>
      </c>
      <c r="FR455" s="16"/>
      <c r="FS455" s="16"/>
      <c r="FT455" s="16"/>
      <c r="FU455" s="16"/>
      <c r="FV455" s="16"/>
      <c r="FW455" s="16">
        <f>IFERROR(__xludf.DUMMYFUNCTION("""COMPUTED_VALUE"""),-6.0)</f>
        <v>-6</v>
      </c>
      <c r="FX455" s="16"/>
      <c r="FY455" s="16">
        <f>IFERROR(__xludf.DUMMYFUNCTION("""COMPUTED_VALUE"""),-1.0)</f>
        <v>-1</v>
      </c>
      <c r="FZ455" s="16"/>
      <c r="GA455" s="16"/>
      <c r="GB455" s="16"/>
      <c r="GC455" s="16"/>
      <c r="GD455" s="16" t="s">
        <v>1452</v>
      </c>
    </row>
    <row r="456">
      <c r="A456" s="16">
        <f>IFERROR(__xludf.DUMMYFUNCTION("""COMPUTED_VALUE"""),12728.0)</f>
        <v>12728</v>
      </c>
      <c r="B456" s="16" t="str">
        <f>IFERROR(__xludf.DUMMYFUNCTION("""COMPUTED_VALUE"""),"Daniel Vogelbach")</f>
        <v>Daniel Vogelbach</v>
      </c>
      <c r="C456" s="16">
        <f>IFERROR(__xludf.DUMMYFUNCTION("""COMPUTED_VALUE"""),0.0)</f>
        <v>0</v>
      </c>
      <c r="D456" s="16" t="str">
        <f>IFERROR(__xludf.DUMMYFUNCTION("""COMPUTED_VALUE"""),"L")</f>
        <v>L</v>
      </c>
      <c r="E456" s="16"/>
      <c r="F456" s="16"/>
      <c r="G456" s="16">
        <f>IFERROR(__xludf.DUMMYFUNCTION("""COMPUTED_VALUE"""),70.0)</f>
        <v>70</v>
      </c>
      <c r="H456" s="16">
        <f>IFERROR(__xludf.DUMMYFUNCTION("""COMPUTED_VALUE"""),9.0)</f>
        <v>9</v>
      </c>
      <c r="I456" s="16" t="str">
        <f>IFERROR(__xludf.DUMMYFUNCTION("""COMPUTED_VALUE"""),"1p20")</f>
        <v>1p20</v>
      </c>
      <c r="J456" s="16">
        <f>IFERROR(__xludf.DUMMYFUNCTION("""COMPUTED_VALUE"""),57.0)</f>
        <v>57</v>
      </c>
      <c r="K456" s="16">
        <f>IFERROR(__xludf.DUMMYFUNCTION("""COMPUTED_VALUE"""),21.0)</f>
        <v>21</v>
      </c>
      <c r="L456" s="16">
        <f>IFERROR(__xludf.DUMMYFUNCTION("""COMPUTED_VALUE"""),-2.0)</f>
        <v>-2</v>
      </c>
      <c r="M456" s="16">
        <f>IFERROR(__xludf.DUMMYFUNCTION("""COMPUTED_VALUE"""),0.0)</f>
        <v>0</v>
      </c>
      <c r="N456" s="16">
        <f>IFERROR(__xludf.DUMMYFUNCTION("""COMPUTED_VALUE"""),-2.0)</f>
        <v>-2</v>
      </c>
      <c r="O456" s="16">
        <f>IFERROR(__xludf.DUMMYFUNCTION("""COMPUTED_VALUE"""),0.0)</f>
        <v>0</v>
      </c>
      <c r="P456" s="16">
        <f>IFERROR(__xludf.DUMMYFUNCTION("""COMPUTED_VALUE"""),0.0)</f>
        <v>0</v>
      </c>
      <c r="Q456" s="16">
        <f>IFERROR(__xludf.DUMMYFUNCTION("""COMPUTED_VALUE"""),16.0)</f>
        <v>16</v>
      </c>
      <c r="R456" s="16">
        <f>IFERROR(__xludf.DUMMYFUNCTION("""COMPUTED_VALUE"""),-3.0)</f>
        <v>-3</v>
      </c>
      <c r="S456" s="16">
        <f>IFERROR(__xludf.DUMMYFUNCTION("""COMPUTED_VALUE"""),2.0)</f>
        <v>2</v>
      </c>
      <c r="T456" s="16">
        <f>IFERROR(__xludf.DUMMYFUNCTION("""COMPUTED_VALUE"""),-3.0)</f>
        <v>-3</v>
      </c>
      <c r="U456" s="16">
        <f>IFERROR(__xludf.DUMMYFUNCTION("""COMPUTED_VALUE"""),2.0)</f>
        <v>2</v>
      </c>
      <c r="V456" s="16">
        <f>IFERROR(__xludf.DUMMYFUNCTION("""COMPUTED_VALUE"""),0.0)</f>
        <v>0</v>
      </c>
      <c r="W456" s="16">
        <f>IFERROR(__xludf.DUMMYFUNCTION("""COMPUTED_VALUE"""),11.6)</f>
        <v>11.6</v>
      </c>
      <c r="X456" s="16">
        <f>IFERROR(__xludf.DUMMYFUNCTION("""COMPUTED_VALUE"""),-2.0)</f>
        <v>-2</v>
      </c>
      <c r="Y456" s="16">
        <f>IFERROR(__xludf.DUMMYFUNCTION("""COMPUTED_VALUE"""),-2.0)</f>
        <v>-2</v>
      </c>
      <c r="Z456" s="16">
        <f>IFERROR(__xludf.DUMMYFUNCTION("""COMPUTED_VALUE"""),-4.0)</f>
        <v>-4</v>
      </c>
      <c r="AA456" s="16">
        <f>IFERROR(__xludf.DUMMYFUNCTION("""COMPUTED_VALUE"""),-4.0)</f>
        <v>-4</v>
      </c>
      <c r="AB456" s="16">
        <f>IFERROR(__xludf.DUMMYFUNCTION("""COMPUTED_VALUE"""),0.0)</f>
        <v>0</v>
      </c>
      <c r="AC456" s="16">
        <f>IFERROR(__xludf.DUMMYFUNCTION("""COMPUTED_VALUE"""),27.6)</f>
        <v>27.6</v>
      </c>
      <c r="AD456" s="16">
        <f>IFERROR(__xludf.DUMMYFUNCTION("""COMPUTED_VALUE"""),-3.0)</f>
        <v>-3</v>
      </c>
      <c r="AE456" s="16">
        <f>IFERROR(__xludf.DUMMYFUNCTION("""COMPUTED_VALUE"""),-1.0)</f>
        <v>-1</v>
      </c>
      <c r="AF456" s="16">
        <f>IFERROR(__xludf.DUMMYFUNCTION("""COMPUTED_VALUE"""),-15.0)</f>
        <v>-15</v>
      </c>
      <c r="AG456" s="16">
        <f>IFERROR(__xludf.DUMMYFUNCTION("""COMPUTED_VALUE"""),-5.0)</f>
        <v>-5</v>
      </c>
      <c r="AH456" s="16">
        <f>IFERROR(__xludf.DUMMYFUNCTION("""COMPUTED_VALUE"""),0.0)</f>
        <v>0</v>
      </c>
      <c r="AI456" s="16">
        <f>IFERROR(__xludf.DUMMYFUNCTION("""COMPUTED_VALUE"""),28.7)</f>
        <v>28.7</v>
      </c>
      <c r="AJ456" s="16">
        <f>IFERROR(__xludf.DUMMYFUNCTION("""COMPUTED_VALUE"""),-2.0)</f>
        <v>-2</v>
      </c>
      <c r="AK456" s="16">
        <f>IFERROR(__xludf.DUMMYFUNCTION("""COMPUTED_VALUE"""),0.0)</f>
        <v>0</v>
      </c>
      <c r="AL456" s="16">
        <f>IFERROR(__xludf.DUMMYFUNCTION("""COMPUTED_VALUE"""),-10.0)</f>
        <v>-10</v>
      </c>
      <c r="AM456" s="16">
        <f>IFERROR(__xludf.DUMMYFUNCTION("""COMPUTED_VALUE"""),0.0)</f>
        <v>0</v>
      </c>
      <c r="AN456" s="16">
        <f>IFERROR(__xludf.DUMMYFUNCTION("""COMPUTED_VALUE"""),0.0)</f>
        <v>0</v>
      </c>
      <c r="AO456" s="16">
        <f>IFERROR(__xludf.DUMMYFUNCTION("""COMPUTED_VALUE"""),2.8)</f>
        <v>2.8</v>
      </c>
      <c r="AP456" s="16">
        <f>IFERROR(__xludf.DUMMYFUNCTION("""COMPUTED_VALUE"""),-2.0)</f>
        <v>-2</v>
      </c>
      <c r="AQ456" s="16">
        <f>IFERROR(__xludf.DUMMYFUNCTION("""COMPUTED_VALUE"""),0.0)</f>
        <v>0</v>
      </c>
      <c r="AR456" s="16">
        <f>IFERROR(__xludf.DUMMYFUNCTION("""COMPUTED_VALUE"""),-4.0)</f>
        <v>-4</v>
      </c>
      <c r="AS456" s="16">
        <f>IFERROR(__xludf.DUMMYFUNCTION("""COMPUTED_VALUE"""),0.0)</f>
        <v>0</v>
      </c>
      <c r="AT456" s="16"/>
      <c r="AU456" s="16"/>
      <c r="AV456" s="16">
        <f>IFERROR(__xludf.DUMMYFUNCTION("""COMPUTED_VALUE"""),-3.0)</f>
        <v>-3</v>
      </c>
      <c r="AW456" s="16">
        <f>IFERROR(__xludf.DUMMYFUNCTION("""COMPUTED_VALUE"""),-3.0)</f>
        <v>-3</v>
      </c>
      <c r="AX456" s="16">
        <f>IFERROR(__xludf.DUMMYFUNCTION("""COMPUTED_VALUE"""),-3.0)</f>
        <v>-3</v>
      </c>
      <c r="AY456" s="16">
        <f>IFERROR(__xludf.DUMMYFUNCTION("""COMPUTED_VALUE"""),-3.0)</f>
        <v>-3</v>
      </c>
      <c r="AZ456" s="16">
        <f>IFERROR(__xludf.DUMMYFUNCTION("""COMPUTED_VALUE"""),-9.0)</f>
        <v>-9</v>
      </c>
      <c r="BA456" s="16">
        <f>IFERROR(__xludf.DUMMYFUNCTION("""COMPUTED_VALUE"""),-9.0)</f>
        <v>-9</v>
      </c>
      <c r="BB456" s="16">
        <f>IFERROR(__xludf.DUMMYFUNCTION("""COMPUTED_VALUE"""),0.0)</f>
        <v>0</v>
      </c>
      <c r="BC456" s="16">
        <f>IFERROR(__xludf.DUMMYFUNCTION("""COMPUTED_VALUE"""),0.0)</f>
        <v>0</v>
      </c>
      <c r="BD456" s="16">
        <f>IFERROR(__xludf.DUMMYFUNCTION("""COMPUTED_VALUE"""),0.0)</f>
        <v>0</v>
      </c>
      <c r="BE456" s="16">
        <f>IFERROR(__xludf.DUMMYFUNCTION("""COMPUTED_VALUE"""),0.0)</f>
        <v>0</v>
      </c>
      <c r="BF456" s="16">
        <f>IFERROR(__xludf.DUMMYFUNCTION("""COMPUTED_VALUE"""),0.0)</f>
        <v>0</v>
      </c>
      <c r="BG456" s="16">
        <f>IFERROR(__xludf.DUMMYFUNCTION("""COMPUTED_VALUE"""),0.0)</f>
        <v>0</v>
      </c>
      <c r="BH456" s="16">
        <f>IFERROR(__xludf.DUMMYFUNCTION("""COMPUTED_VALUE"""),0.0)</f>
        <v>0</v>
      </c>
      <c r="BI456" s="16">
        <f>IFERROR(__xludf.DUMMYFUNCTION("""COMPUTED_VALUE"""),0.0)</f>
        <v>0</v>
      </c>
      <c r="BJ456" s="16">
        <f>IFERROR(__xludf.DUMMYFUNCTION("""COMPUTED_VALUE"""),33.0)</f>
        <v>33</v>
      </c>
      <c r="BK456" s="16">
        <f>IFERROR(__xludf.DUMMYFUNCTION("""COMPUTED_VALUE"""),28.0)</f>
        <v>28</v>
      </c>
      <c r="BL456" s="16">
        <f>IFERROR(__xludf.DUMMYFUNCTION("""COMPUTED_VALUE"""),-3.0)</f>
        <v>-3</v>
      </c>
      <c r="BM456" s="16">
        <f>IFERROR(__xludf.DUMMYFUNCTION("""COMPUTED_VALUE"""),-3.0)</f>
        <v>-3</v>
      </c>
      <c r="BN456" s="16">
        <f>IFERROR(__xludf.DUMMYFUNCTION("""COMPUTED_VALUE"""),-6.0)</f>
        <v>-6</v>
      </c>
      <c r="BO456" s="16">
        <f>IFERROR(__xludf.DUMMYFUNCTION("""COMPUTED_VALUE"""),-6.0)</f>
        <v>-6</v>
      </c>
      <c r="BP456" s="16">
        <f>IFERROR(__xludf.DUMMYFUNCTION("""COMPUTED_VALUE"""),-20.0)</f>
        <v>-20</v>
      </c>
      <c r="BQ456" s="16">
        <f>IFERROR(__xludf.DUMMYFUNCTION("""COMPUTED_VALUE"""),-7.0)</f>
        <v>-7</v>
      </c>
      <c r="BR456" s="16">
        <f>IFERROR(__xludf.DUMMYFUNCTION("""COMPUTED_VALUE"""),-27.0)</f>
        <v>-27</v>
      </c>
      <c r="BS456" s="16" t="str">
        <f>IFERROR(__xludf.DUMMYFUNCTION("""COMPUTED_VALUE"""),"-/- (---)")</f>
        <v>-/- (---)</v>
      </c>
      <c r="BT456" s="16" t="str">
        <f>IFERROR(__xludf.DUMMYFUNCTION("""COMPUTED_VALUE"""),"E")</f>
        <v>E</v>
      </c>
      <c r="BU456" s="16">
        <f>IFERROR(__xludf.DUMMYFUNCTION("""COMPUTED_VALUE"""),8.0)</f>
        <v>8</v>
      </c>
      <c r="BV456" s="16">
        <f>IFERROR(__xludf.DUMMYFUNCTION("""COMPUTED_VALUE"""),0.0)</f>
        <v>0</v>
      </c>
      <c r="BW456" s="16">
        <f>IFERROR(__xludf.DUMMYFUNCTION("""COMPUTED_VALUE"""),-1.0)</f>
        <v>-1</v>
      </c>
      <c r="BX456" s="16">
        <f>IFERROR(__xludf.DUMMYFUNCTION("""COMPUTED_VALUE"""),0.0)</f>
        <v>0</v>
      </c>
      <c r="BY456" s="16">
        <f>IFERROR(__xludf.DUMMYFUNCTION("""COMPUTED_VALUE"""),-3.0)</f>
        <v>-3</v>
      </c>
      <c r="BZ456" s="16" t="str">
        <f>IFERROR(__xludf.DUMMYFUNCTION("""COMPUTED_VALUE"""),"D")</f>
        <v>D</v>
      </c>
      <c r="CA456" s="16" t="str">
        <f>IFERROR(__xludf.DUMMYFUNCTION("""COMPUTED_VALUE"""),"C")</f>
        <v>C</v>
      </c>
      <c r="CB456" s="16">
        <f>IFERROR(__xludf.DUMMYFUNCTION("""COMPUTED_VALUE"""),0.0)</f>
        <v>0</v>
      </c>
      <c r="CC456" s="16">
        <f>IFERROR(__xludf.DUMMYFUNCTION("""COMPUTED_VALUE"""),0.0)</f>
        <v>0</v>
      </c>
      <c r="CD456" s="16">
        <f>IFERROR(__xludf.DUMMYFUNCTION("""COMPUTED_VALUE"""),0.0)</f>
        <v>0</v>
      </c>
      <c r="CE456" s="16">
        <f>IFERROR(__xludf.DUMMYFUNCTION("""COMPUTED_VALUE"""),0.0)</f>
        <v>0</v>
      </c>
      <c r="CF456" s="16">
        <f>IFERROR(__xludf.DUMMYFUNCTION("""COMPUTED_VALUE"""),1.0)</f>
        <v>1</v>
      </c>
      <c r="CG456" s="16">
        <f>IFERROR(__xludf.DUMMYFUNCTION("""COMPUTED_VALUE"""),-53.0)</f>
        <v>-53</v>
      </c>
      <c r="CH456" s="16">
        <f>IFERROR(__xludf.DUMMYFUNCTION("""COMPUTED_VALUE"""),-22.0)</f>
        <v>-22</v>
      </c>
      <c r="CI456" s="179">
        <f>IFERROR(__xludf.DUMMYFUNCTION("""COMPUTED_VALUE"""),-31.0)</f>
        <v>-31</v>
      </c>
      <c r="CJ456" s="16"/>
      <c r="CK456" s="16"/>
      <c r="CL456" s="16"/>
      <c r="CM456" s="16"/>
      <c r="CN456" s="16"/>
      <c r="CO456" s="16"/>
      <c r="CP456" s="16"/>
      <c r="CQ456" s="16"/>
      <c r="CR456" s="16"/>
      <c r="CS456" s="16"/>
      <c r="CT456" s="16"/>
      <c r="CU456" s="16"/>
      <c r="CV456" s="16"/>
      <c r="CW456" s="16"/>
      <c r="CX456" s="16"/>
      <c r="CY456" s="16"/>
      <c r="CZ456" s="16"/>
      <c r="DA456" s="16"/>
      <c r="DB456" s="16"/>
      <c r="DC456" s="16"/>
      <c r="DD456" s="16"/>
      <c r="DE456" s="16"/>
      <c r="DF456" s="16"/>
      <c r="DG456" s="16"/>
      <c r="DH456" s="16"/>
      <c r="DI456" s="16"/>
      <c r="DJ456" s="16"/>
      <c r="DK456" s="16"/>
      <c r="DL456" s="16"/>
      <c r="DM456" s="16"/>
      <c r="DN456" s="16"/>
      <c r="DO456" s="16"/>
      <c r="DP456" s="16"/>
      <c r="DQ456" s="16"/>
      <c r="DR456" s="16"/>
      <c r="DS456" s="16"/>
      <c r="DT456" s="16"/>
      <c r="DU456" s="16"/>
      <c r="DV456" s="16"/>
      <c r="DW456" s="16"/>
      <c r="DX456" s="16"/>
      <c r="DY456" s="16"/>
      <c r="DZ456" s="16"/>
      <c r="EA456" s="16"/>
      <c r="EB456" s="16"/>
      <c r="EC456" s="16"/>
      <c r="ED456" s="16"/>
      <c r="EE456" s="16"/>
      <c r="EF456" s="16"/>
      <c r="EG456" s="179"/>
      <c r="EH456" s="179"/>
      <c r="EI456" s="179"/>
      <c r="EJ456" s="179"/>
      <c r="EK456" s="179"/>
      <c r="EL456" s="179"/>
      <c r="EM456" s="179"/>
      <c r="EN456" s="179"/>
      <c r="EO456" s="16"/>
      <c r="EP456" s="16">
        <f>IFERROR(__xludf.DUMMYFUNCTION("""COMPUTED_VALUE"""),3.0)</f>
        <v>3</v>
      </c>
      <c r="EQ456" s="16">
        <f>IFERROR(__xludf.DUMMYFUNCTION("""COMPUTED_VALUE"""),4.0)</f>
        <v>4</v>
      </c>
      <c r="ER456" s="16">
        <f>IFERROR(__xludf.DUMMYFUNCTION("""COMPUTED_VALUE"""),-4.0)</f>
        <v>-4</v>
      </c>
      <c r="ES456" s="16"/>
      <c r="ET456" s="16"/>
      <c r="EU456" s="16"/>
      <c r="EV456" s="16"/>
      <c r="EW456" s="16"/>
      <c r="EX456" s="180"/>
      <c r="EY456" s="180"/>
      <c r="EZ456" s="180"/>
      <c r="FA456" s="180"/>
      <c r="FB456" s="180"/>
      <c r="FC456" s="180"/>
      <c r="FD456" s="180"/>
      <c r="FE456" s="180"/>
      <c r="FF456" s="180"/>
      <c r="FG456" s="180"/>
      <c r="FH456" s="180"/>
      <c r="FI456" s="180"/>
      <c r="FJ456" s="180"/>
      <c r="FK456" s="180"/>
      <c r="FL456" s="180"/>
      <c r="FM456" s="180"/>
      <c r="FN456" s="16"/>
      <c r="FO456" s="16"/>
      <c r="FP456" s="16"/>
      <c r="FQ456" s="16"/>
      <c r="FR456" s="16"/>
      <c r="FS456" s="16"/>
      <c r="FT456" s="16"/>
      <c r="FU456" s="16"/>
      <c r="FV456" s="16"/>
      <c r="FW456" s="16"/>
      <c r="FX456" s="16"/>
      <c r="FY456" s="16"/>
      <c r="FZ456" s="16"/>
      <c r="GA456" s="16"/>
      <c r="GB456" s="16"/>
      <c r="GC456" s="16"/>
      <c r="GD456" s="16" t="s">
        <v>176</v>
      </c>
    </row>
    <row r="457">
      <c r="A457" s="16">
        <f>IFERROR(__xludf.DUMMYFUNCTION("""COMPUTED_VALUE"""),13200.0)</f>
        <v>13200</v>
      </c>
      <c r="B457" s="16" t="str">
        <f>IFERROR(__xludf.DUMMYFUNCTION("""COMPUTED_VALUE"""),"Michael Stefanic")</f>
        <v>Michael Stefanic</v>
      </c>
      <c r="C457" s="16">
        <f>IFERROR(__xludf.DUMMYFUNCTION("""COMPUTED_VALUE"""),0.0)</f>
        <v>0</v>
      </c>
      <c r="D457" s="16" t="str">
        <f>IFERROR(__xludf.DUMMYFUNCTION("""COMPUTED_VALUE"""),"R")</f>
        <v>R</v>
      </c>
      <c r="E457" s="16"/>
      <c r="F457" s="16"/>
      <c r="G457" s="16">
        <f>IFERROR(__xludf.DUMMYFUNCTION("""COMPUTED_VALUE"""),110.0)</f>
        <v>110</v>
      </c>
      <c r="H457" s="16">
        <f>IFERROR(__xludf.DUMMYFUNCTION("""COMPUTED_VALUE"""),10.0)</f>
        <v>10</v>
      </c>
      <c r="I457" s="16" t="str">
        <f>IFERROR(__xludf.DUMMYFUNCTION("""COMPUTED_VALUE"""),"5p20")</f>
        <v>5p20</v>
      </c>
      <c r="J457" s="16">
        <f>IFERROR(__xludf.DUMMYFUNCTION("""COMPUTED_VALUE"""),9.0)</f>
        <v>9</v>
      </c>
      <c r="K457" s="16">
        <f>IFERROR(__xludf.DUMMYFUNCTION("""COMPUTED_VALUE"""),11.0)</f>
        <v>11</v>
      </c>
      <c r="L457" s="16">
        <f>IFERROR(__xludf.DUMMYFUNCTION("""COMPUTED_VALUE"""),1.0)</f>
        <v>1</v>
      </c>
      <c r="M457" s="16">
        <f>IFERROR(__xludf.DUMMYFUNCTION("""COMPUTED_VALUE"""),1.0)</f>
        <v>1</v>
      </c>
      <c r="N457" s="16">
        <f>IFERROR(__xludf.DUMMYFUNCTION("""COMPUTED_VALUE"""),1.0)</f>
        <v>1</v>
      </c>
      <c r="O457" s="16">
        <f>IFERROR(__xludf.DUMMYFUNCTION("""COMPUTED_VALUE"""),1.0)</f>
        <v>1</v>
      </c>
      <c r="P457" s="16">
        <f>IFERROR(__xludf.DUMMYFUNCTION("""COMPUTED_VALUE"""),0.0)</f>
        <v>0</v>
      </c>
      <c r="Q457" s="16">
        <f>IFERROR(__xludf.DUMMYFUNCTION("""COMPUTED_VALUE"""),17.0)</f>
        <v>17</v>
      </c>
      <c r="R457" s="16">
        <f>IFERROR(__xludf.DUMMYFUNCTION("""COMPUTED_VALUE"""),-3.0)</f>
        <v>-3</v>
      </c>
      <c r="S457" s="16">
        <f>IFERROR(__xludf.DUMMYFUNCTION("""COMPUTED_VALUE"""),2.0)</f>
        <v>2</v>
      </c>
      <c r="T457" s="16">
        <f>IFERROR(__xludf.DUMMYFUNCTION("""COMPUTED_VALUE"""),-3.0)</f>
        <v>-3</v>
      </c>
      <c r="U457" s="16">
        <f>IFERROR(__xludf.DUMMYFUNCTION("""COMPUTED_VALUE"""),2.0)</f>
        <v>2</v>
      </c>
      <c r="V457" s="16">
        <f>IFERROR(__xludf.DUMMYFUNCTION("""COMPUTED_VALUE"""),23.1)</f>
        <v>23.1</v>
      </c>
      <c r="W457" s="16">
        <f>IFERROR(__xludf.DUMMYFUNCTION("""COMPUTED_VALUE"""),10.1)</f>
        <v>10.1</v>
      </c>
      <c r="X457" s="16">
        <f>IFERROR(__xludf.DUMMYFUNCTION("""COMPUTED_VALUE"""),1.0)</f>
        <v>1</v>
      </c>
      <c r="Y457" s="16">
        <f>IFERROR(__xludf.DUMMYFUNCTION("""COMPUTED_VALUE"""),-2.0)</f>
        <v>-2</v>
      </c>
      <c r="Z457" s="16">
        <f>IFERROR(__xludf.DUMMYFUNCTION("""COMPUTED_VALUE"""),2.0)</f>
        <v>2</v>
      </c>
      <c r="AA457" s="16">
        <f>IFERROR(__xludf.DUMMYFUNCTION("""COMPUTED_VALUE"""),-4.0)</f>
        <v>-4</v>
      </c>
      <c r="AB457" s="16">
        <f>IFERROR(__xludf.DUMMYFUNCTION("""COMPUTED_VALUE"""),29.1)</f>
        <v>29.1</v>
      </c>
      <c r="AC457" s="16">
        <f>IFERROR(__xludf.DUMMYFUNCTION("""COMPUTED_VALUE"""),33.0)</f>
        <v>33</v>
      </c>
      <c r="AD457" s="16">
        <f>IFERROR(__xludf.DUMMYFUNCTION("""COMPUTED_VALUE"""),0.0)</f>
        <v>0</v>
      </c>
      <c r="AE457" s="16">
        <f>IFERROR(__xludf.DUMMYFUNCTION("""COMPUTED_VALUE"""),0.0)</f>
        <v>0</v>
      </c>
      <c r="AF457" s="16">
        <f>IFERROR(__xludf.DUMMYFUNCTION("""COMPUTED_VALUE"""),0.0)</f>
        <v>0</v>
      </c>
      <c r="AG457" s="16">
        <f>IFERROR(__xludf.DUMMYFUNCTION("""COMPUTED_VALUE"""),0.0)</f>
        <v>0</v>
      </c>
      <c r="AH457" s="16">
        <f>IFERROR(__xludf.DUMMYFUNCTION("""COMPUTED_VALUE"""),27.3)</f>
        <v>27.3</v>
      </c>
      <c r="AI457" s="16">
        <f>IFERROR(__xludf.DUMMYFUNCTION("""COMPUTED_VALUE"""),10.7)</f>
        <v>10.7</v>
      </c>
      <c r="AJ457" s="16">
        <f>IFERROR(__xludf.DUMMYFUNCTION("""COMPUTED_VALUE"""),0.0)</f>
        <v>0</v>
      </c>
      <c r="AK457" s="16">
        <f>IFERROR(__xludf.DUMMYFUNCTION("""COMPUTED_VALUE"""),-2.0)</f>
        <v>-2</v>
      </c>
      <c r="AL457" s="16">
        <f>IFERROR(__xludf.DUMMYFUNCTION("""COMPUTED_VALUE"""),0.0)</f>
        <v>0</v>
      </c>
      <c r="AM457" s="16">
        <f>IFERROR(__xludf.DUMMYFUNCTION("""COMPUTED_VALUE"""),-10.0)</f>
        <v>-10</v>
      </c>
      <c r="AN457" s="16">
        <f>IFERROR(__xludf.DUMMYFUNCTION("""COMPUTED_VALUE"""),0.0)</f>
        <v>0</v>
      </c>
      <c r="AO457" s="16">
        <f>IFERROR(__xludf.DUMMYFUNCTION("""COMPUTED_VALUE"""),0.0)</f>
        <v>0</v>
      </c>
      <c r="AP457" s="16">
        <f>IFERROR(__xludf.DUMMYFUNCTION("""COMPUTED_VALUE"""),-2.0)</f>
        <v>-2</v>
      </c>
      <c r="AQ457" s="16">
        <f>IFERROR(__xludf.DUMMYFUNCTION("""COMPUTED_VALUE"""),-3.0)</f>
        <v>-3</v>
      </c>
      <c r="AR457" s="16">
        <f>IFERROR(__xludf.DUMMYFUNCTION("""COMPUTED_VALUE"""),-4.0)</f>
        <v>-4</v>
      </c>
      <c r="AS457" s="16">
        <f>IFERROR(__xludf.DUMMYFUNCTION("""COMPUTED_VALUE"""),-6.0)</f>
        <v>-6</v>
      </c>
      <c r="AT457" s="16"/>
      <c r="AU457" s="16"/>
      <c r="AV457" s="16">
        <f>IFERROR(__xludf.DUMMYFUNCTION("""COMPUTED_VALUE"""),-3.0)</f>
        <v>-3</v>
      </c>
      <c r="AW457" s="16">
        <f>IFERROR(__xludf.DUMMYFUNCTION("""COMPUTED_VALUE"""),-3.0)</f>
        <v>-3</v>
      </c>
      <c r="AX457" s="16">
        <f>IFERROR(__xludf.DUMMYFUNCTION("""COMPUTED_VALUE"""),-3.0)</f>
        <v>-3</v>
      </c>
      <c r="AY457" s="16">
        <f>IFERROR(__xludf.DUMMYFUNCTION("""COMPUTED_VALUE"""),-3.0)</f>
        <v>-3</v>
      </c>
      <c r="AZ457" s="16">
        <f>IFERROR(__xludf.DUMMYFUNCTION("""COMPUTED_VALUE"""),-9.0)</f>
        <v>-9</v>
      </c>
      <c r="BA457" s="16">
        <f>IFERROR(__xludf.DUMMYFUNCTION("""COMPUTED_VALUE"""),-9.0)</f>
        <v>-9</v>
      </c>
      <c r="BB457" s="16">
        <f>IFERROR(__xludf.DUMMYFUNCTION("""COMPUTED_VALUE"""),5.0)</f>
        <v>5</v>
      </c>
      <c r="BC457" s="16">
        <f>IFERROR(__xludf.DUMMYFUNCTION("""COMPUTED_VALUE"""),5.0)</f>
        <v>5</v>
      </c>
      <c r="BD457" s="16">
        <f>IFERROR(__xludf.DUMMYFUNCTION("""COMPUTED_VALUE"""),1.0)</f>
        <v>1</v>
      </c>
      <c r="BE457" s="16">
        <f>IFERROR(__xludf.DUMMYFUNCTION("""COMPUTED_VALUE"""),1.0)</f>
        <v>1</v>
      </c>
      <c r="BF457" s="16">
        <f>IFERROR(__xludf.DUMMYFUNCTION("""COMPUTED_VALUE"""),1.0)</f>
        <v>1</v>
      </c>
      <c r="BG457" s="16">
        <f>IFERROR(__xludf.DUMMYFUNCTION("""COMPUTED_VALUE"""),1.0)</f>
        <v>1</v>
      </c>
      <c r="BH457" s="16">
        <f>IFERROR(__xludf.DUMMYFUNCTION("""COMPUTED_VALUE"""),0.0)</f>
        <v>0</v>
      </c>
      <c r="BI457" s="16">
        <f>IFERROR(__xludf.DUMMYFUNCTION("""COMPUTED_VALUE"""),0.0)</f>
        <v>0</v>
      </c>
      <c r="BJ457" s="16">
        <f>IFERROR(__xludf.DUMMYFUNCTION("""COMPUTED_VALUE"""),32.0)</f>
        <v>32</v>
      </c>
      <c r="BK457" s="16">
        <f>IFERROR(__xludf.DUMMYFUNCTION("""COMPUTED_VALUE"""),25.0)</f>
        <v>25</v>
      </c>
      <c r="BL457" s="16">
        <f>IFERROR(__xludf.DUMMYFUNCTION("""COMPUTED_VALUE"""),-3.0)</f>
        <v>-3</v>
      </c>
      <c r="BM457" s="16">
        <f>IFERROR(__xludf.DUMMYFUNCTION("""COMPUTED_VALUE"""),-2.0)</f>
        <v>-2</v>
      </c>
      <c r="BN457" s="16">
        <f>IFERROR(__xludf.DUMMYFUNCTION("""COMPUTED_VALUE"""),-6.0)</f>
        <v>-6</v>
      </c>
      <c r="BO457" s="16">
        <f>IFERROR(__xludf.DUMMYFUNCTION("""COMPUTED_VALUE"""),-4.0)</f>
        <v>-4</v>
      </c>
      <c r="BP457" s="16">
        <f>IFERROR(__xludf.DUMMYFUNCTION("""COMPUTED_VALUE"""),-8.0)</f>
        <v>-8</v>
      </c>
      <c r="BQ457" s="16">
        <f>IFERROR(__xludf.DUMMYFUNCTION("""COMPUTED_VALUE"""),-8.0)</f>
        <v>-8</v>
      </c>
      <c r="BR457" s="16">
        <f>IFERROR(__xludf.DUMMYFUNCTION("""COMPUTED_VALUE"""),-16.0)</f>
        <v>-16</v>
      </c>
      <c r="BS457" s="16" t="str">
        <f>IFERROR(__xludf.DUMMYFUNCTION("""COMPUTED_VALUE"""),"-/- (---)")</f>
        <v>-/- (---)</v>
      </c>
      <c r="BT457" s="16" t="str">
        <f>IFERROR(__xludf.DUMMYFUNCTION("""COMPUTED_VALUE"""),"E")</f>
        <v>E</v>
      </c>
      <c r="BU457" s="16">
        <f>IFERROR(__xludf.DUMMYFUNCTION("""COMPUTED_VALUE"""),11.0)</f>
        <v>11</v>
      </c>
      <c r="BV457" s="16">
        <f>IFERROR(__xludf.DUMMYFUNCTION("""COMPUTED_VALUE"""),0.0)</f>
        <v>0</v>
      </c>
      <c r="BW457" s="16">
        <f>IFERROR(__xludf.DUMMYFUNCTION("""COMPUTED_VALUE"""),0.0)</f>
        <v>0</v>
      </c>
      <c r="BX457" s="16">
        <f>IFERROR(__xludf.DUMMYFUNCTION("""COMPUTED_VALUE"""),0.0)</f>
        <v>0</v>
      </c>
      <c r="BY457" s="16">
        <f>IFERROR(__xludf.DUMMYFUNCTION("""COMPUTED_VALUE"""),0.0)</f>
        <v>0</v>
      </c>
      <c r="BZ457" s="16" t="str">
        <f>IFERROR(__xludf.DUMMYFUNCTION("""COMPUTED_VALUE"""),"C")</f>
        <v>C</v>
      </c>
      <c r="CA457" s="16" t="str">
        <f>IFERROR(__xludf.DUMMYFUNCTION("""COMPUTED_VALUE"""),"B")</f>
        <v>B</v>
      </c>
      <c r="CB457" s="16">
        <f>IFERROR(__xludf.DUMMYFUNCTION("""COMPUTED_VALUE"""),0.0)</f>
        <v>0</v>
      </c>
      <c r="CC457" s="16">
        <f>IFERROR(__xludf.DUMMYFUNCTION("""COMPUTED_VALUE"""),1.0)</f>
        <v>1</v>
      </c>
      <c r="CD457" s="16">
        <f>IFERROR(__xludf.DUMMYFUNCTION("""COMPUTED_VALUE"""),0.0)</f>
        <v>0</v>
      </c>
      <c r="CE457" s="16">
        <f>IFERROR(__xludf.DUMMYFUNCTION("""COMPUTED_VALUE"""),2.0)</f>
        <v>2</v>
      </c>
      <c r="CF457" s="16">
        <f>IFERROR(__xludf.DUMMYFUNCTION("""COMPUTED_VALUE"""),5.0)</f>
        <v>5</v>
      </c>
      <c r="CG457" s="16">
        <f>IFERROR(__xludf.DUMMYFUNCTION("""COMPUTED_VALUE"""),-18.0)</f>
        <v>-18</v>
      </c>
      <c r="CH457" s="16">
        <f>IFERROR(__xludf.DUMMYFUNCTION("""COMPUTED_VALUE"""),-29.0)</f>
        <v>-29</v>
      </c>
      <c r="CI457" s="179">
        <f>IFERROR(__xludf.DUMMYFUNCTION("""COMPUTED_VALUE"""),-32.0)</f>
        <v>-32</v>
      </c>
      <c r="CJ457" s="16"/>
      <c r="CK457" s="16"/>
      <c r="CL457" s="16">
        <f>IFERROR(__xludf.DUMMYFUNCTION("""COMPUTED_VALUE"""),411.0)</f>
        <v>411</v>
      </c>
      <c r="CM457" s="16">
        <f>IFERROR(__xludf.DUMMYFUNCTION("""COMPUTED_VALUE"""),444.0)</f>
        <v>444</v>
      </c>
      <c r="CN457" s="16"/>
      <c r="CO457" s="16"/>
      <c r="CP457" s="16"/>
      <c r="CQ457" s="16"/>
      <c r="CR457" s="16" t="str">
        <f>IFERROR(__xludf.DUMMYFUNCTION("""COMPUTED_VALUE"""),"2b-4e11 3b-4e44")</f>
        <v>2b-4e11 3b-4e44</v>
      </c>
      <c r="CS457" s="16"/>
      <c r="CT457" s="16"/>
      <c r="CU457" s="16">
        <f>IFERROR(__xludf.DUMMYFUNCTION("""COMPUTED_VALUE"""),4.0)</f>
        <v>4</v>
      </c>
      <c r="CV457" s="16">
        <f>IFERROR(__xludf.DUMMYFUNCTION("""COMPUTED_VALUE"""),4.0)</f>
        <v>4</v>
      </c>
      <c r="CW457" s="16"/>
      <c r="CX457" s="16"/>
      <c r="CY457" s="16"/>
      <c r="CZ457" s="16"/>
      <c r="DA457" s="16"/>
      <c r="DB457" s="16"/>
      <c r="DC457" s="16">
        <f>IFERROR(__xludf.DUMMYFUNCTION("""COMPUTED_VALUE"""),11.0)</f>
        <v>11</v>
      </c>
      <c r="DD457" s="16">
        <f>IFERROR(__xludf.DUMMYFUNCTION("""COMPUTED_VALUE"""),44.0)</f>
        <v>44</v>
      </c>
      <c r="DE457" s="16"/>
      <c r="DF457" s="16"/>
      <c r="DG457" s="16"/>
      <c r="DH457" s="16"/>
      <c r="DI457" s="16"/>
      <c r="DJ457" s="16"/>
      <c r="DK457" s="16">
        <f>IFERROR(__xludf.DUMMYFUNCTION("""COMPUTED_VALUE"""),-2.0)</f>
        <v>-2</v>
      </c>
      <c r="DL457" s="16">
        <f>IFERROR(__xludf.DUMMYFUNCTION("""COMPUTED_VALUE"""),0.0)</f>
        <v>0</v>
      </c>
      <c r="DM457" s="16"/>
      <c r="DN457" s="16"/>
      <c r="DO457" s="16"/>
      <c r="DP457" s="16"/>
      <c r="DQ457" s="16"/>
      <c r="DR457" s="16"/>
      <c r="DS457" s="16">
        <f>IFERROR(__xludf.DUMMYFUNCTION("""COMPUTED_VALUE"""),2.0)</f>
        <v>2</v>
      </c>
      <c r="DT457" s="16">
        <f>IFERROR(__xludf.DUMMYFUNCTION("""COMPUTED_VALUE"""),-2.0)</f>
        <v>-2</v>
      </c>
      <c r="DU457" s="16"/>
      <c r="DV457" s="16"/>
      <c r="DW457" s="16"/>
      <c r="DX457" s="16"/>
      <c r="DY457" s="16"/>
      <c r="DZ457" s="16"/>
      <c r="EA457" s="16">
        <f>IFERROR(__xludf.DUMMYFUNCTION("""COMPUTED_VALUE"""),0.0)</f>
        <v>0</v>
      </c>
      <c r="EB457" s="16">
        <f>IFERROR(__xludf.DUMMYFUNCTION("""COMPUTED_VALUE"""),-2.0)</f>
        <v>-2</v>
      </c>
      <c r="EC457" s="16"/>
      <c r="ED457" s="16"/>
      <c r="EE457" s="16"/>
      <c r="EF457" s="16"/>
      <c r="EG457" s="179"/>
      <c r="EH457" s="179"/>
      <c r="EI457" s="179">
        <f>IFERROR(__xludf.DUMMYFUNCTION("""COMPUTED_VALUE"""),-32.0)</f>
        <v>-32</v>
      </c>
      <c r="EJ457" s="179">
        <f>IFERROR(__xludf.DUMMYFUNCTION("""COMPUTED_VALUE"""),-34.0)</f>
        <v>-34</v>
      </c>
      <c r="EK457" s="179"/>
      <c r="EL457" s="179"/>
      <c r="EM457" s="179"/>
      <c r="EN457" s="179"/>
      <c r="EO457" s="16"/>
      <c r="EP457" s="16">
        <f>IFERROR(__xludf.DUMMYFUNCTION("""COMPUTED_VALUE"""),-1.0)</f>
        <v>-1</v>
      </c>
      <c r="EQ457" s="16">
        <f>IFERROR(__xludf.DUMMYFUNCTION("""COMPUTED_VALUE"""),-2.0)</f>
        <v>-2</v>
      </c>
      <c r="ER457" s="16">
        <f>IFERROR(__xludf.DUMMYFUNCTION("""COMPUTED_VALUE"""),-4.0)</f>
        <v>-4</v>
      </c>
      <c r="ES457" s="16"/>
      <c r="ET457" s="16"/>
      <c r="EU457" s="16"/>
      <c r="EV457" s="16"/>
      <c r="EW457" s="16"/>
      <c r="EX457" s="180"/>
      <c r="EY457" s="180"/>
      <c r="EZ457" s="180">
        <f>IFERROR(__xludf.DUMMYFUNCTION("""COMPUTED_VALUE"""),0.3)</f>
        <v>0.3</v>
      </c>
      <c r="FA457" s="180">
        <f>IFERROR(__xludf.DUMMYFUNCTION("""COMPUTED_VALUE"""),0.3)</f>
        <v>0.3</v>
      </c>
      <c r="FB457" s="180"/>
      <c r="FC457" s="180"/>
      <c r="FD457" s="180"/>
      <c r="FE457" s="180"/>
      <c r="FF457" s="180"/>
      <c r="FG457" s="180"/>
      <c r="FH457" s="180">
        <f>IFERROR(__xludf.DUMMYFUNCTION("""COMPUTED_VALUE"""),0.06481481481481481)</f>
        <v>0.06481481481</v>
      </c>
      <c r="FI457" s="180">
        <f>IFERROR(__xludf.DUMMYFUNCTION("""COMPUTED_VALUE"""),0.5277777777777778)</f>
        <v>0.5277777778</v>
      </c>
      <c r="FJ457" s="180"/>
      <c r="FK457" s="180"/>
      <c r="FL457" s="180"/>
      <c r="FM457" s="180"/>
      <c r="FN457" s="16"/>
      <c r="FO457" s="16"/>
      <c r="FP457" s="16">
        <f>IFERROR(__xludf.DUMMYFUNCTION("""COMPUTED_VALUE"""),0.6546296296296297)</f>
        <v>0.6546296296</v>
      </c>
      <c r="FQ457" s="16">
        <f>IFERROR(__xludf.DUMMYFUNCTION("""COMPUTED_VALUE"""),0.33055555555555555)</f>
        <v>0.3305555556</v>
      </c>
      <c r="FR457" s="16"/>
      <c r="FS457" s="16"/>
      <c r="FT457" s="16"/>
      <c r="FU457" s="16"/>
      <c r="FV457" s="16"/>
      <c r="FW457" s="16"/>
      <c r="FX457" s="16">
        <f>IFERROR(__xludf.DUMMYFUNCTION("""COMPUTED_VALUE"""),-4.0)</f>
        <v>-4</v>
      </c>
      <c r="FY457" s="16">
        <f>IFERROR(__xludf.DUMMYFUNCTION("""COMPUTED_VALUE"""),-8.0)</f>
        <v>-8</v>
      </c>
      <c r="FZ457" s="16"/>
      <c r="GA457" s="16"/>
      <c r="GB457" s="16"/>
      <c r="GC457" s="16"/>
      <c r="GD457" s="16" t="s">
        <v>176</v>
      </c>
    </row>
    <row r="458">
      <c r="A458" s="16">
        <f>IFERROR(__xludf.DUMMYFUNCTION("""COMPUTED_VALUE"""),12584.0)</f>
        <v>12584</v>
      </c>
      <c r="B458" s="16" t="str">
        <f>IFERROR(__xludf.DUMMYFUNCTION("""COMPUTED_VALUE"""),"Bo Bichette")</f>
        <v>Bo Bichette</v>
      </c>
      <c r="C458" s="16">
        <f>IFERROR(__xludf.DUMMYFUNCTION("""COMPUTED_VALUE"""),0.0)</f>
        <v>0</v>
      </c>
      <c r="D458" s="16" t="str">
        <f>IFERROR(__xludf.DUMMYFUNCTION("""COMPUTED_VALUE"""),"R")</f>
        <v>R</v>
      </c>
      <c r="E458" s="16"/>
      <c r="F458" s="16"/>
      <c r="G458" s="16">
        <f>IFERROR(__xludf.DUMMYFUNCTION("""COMPUTED_VALUE"""),311.0)</f>
        <v>311</v>
      </c>
      <c r="H458" s="16">
        <f>IFERROR(__xludf.DUMMYFUNCTION("""COMPUTED_VALUE"""),20.0)</f>
        <v>20</v>
      </c>
      <c r="I458" s="16" t="str">
        <f>IFERROR(__xludf.DUMMYFUNCTION("""COMPUTED_VALUE"""),"4p40")</f>
        <v>4p40</v>
      </c>
      <c r="J458" s="16">
        <f>IFERROR(__xludf.DUMMYFUNCTION("""COMPUTED_VALUE"""),10.0)</f>
        <v>10</v>
      </c>
      <c r="K458" s="16">
        <f>IFERROR(__xludf.DUMMYFUNCTION("""COMPUTED_VALUE"""),17.0)</f>
        <v>17</v>
      </c>
      <c r="L458" s="16">
        <f>IFERROR(__xludf.DUMMYFUNCTION("""COMPUTED_VALUE"""),1.0)</f>
        <v>1</v>
      </c>
      <c r="M458" s="16">
        <f>IFERROR(__xludf.DUMMYFUNCTION("""COMPUTED_VALUE"""),1.0)</f>
        <v>1</v>
      </c>
      <c r="N458" s="16">
        <f>IFERROR(__xludf.DUMMYFUNCTION("""COMPUTED_VALUE"""),1.0)</f>
        <v>1</v>
      </c>
      <c r="O458" s="16">
        <f>IFERROR(__xludf.DUMMYFUNCTION("""COMPUTED_VALUE"""),1.0)</f>
        <v>1</v>
      </c>
      <c r="P458" s="16">
        <f>IFERROR(__xludf.DUMMYFUNCTION("""COMPUTED_VALUE"""),2.0)</f>
        <v>2</v>
      </c>
      <c r="Q458" s="16">
        <f>IFERROR(__xludf.DUMMYFUNCTION("""COMPUTED_VALUE"""),5.0)</f>
        <v>5</v>
      </c>
      <c r="R458" s="16">
        <f>IFERROR(__xludf.DUMMYFUNCTION("""COMPUTED_VALUE"""),-2.0)</f>
        <v>-2</v>
      </c>
      <c r="S458" s="16">
        <f>IFERROR(__xludf.DUMMYFUNCTION("""COMPUTED_VALUE"""),-1.0)</f>
        <v>-1</v>
      </c>
      <c r="T458" s="16">
        <f>IFERROR(__xludf.DUMMYFUNCTION("""COMPUTED_VALUE"""),-2.0)</f>
        <v>-2</v>
      </c>
      <c r="U458" s="16">
        <f>IFERROR(__xludf.DUMMYFUNCTION("""COMPUTED_VALUE"""),-1.0)</f>
        <v>-1</v>
      </c>
      <c r="V458" s="16">
        <f>IFERROR(__xludf.DUMMYFUNCTION("""COMPUTED_VALUE"""),8.4)</f>
        <v>8.4</v>
      </c>
      <c r="W458" s="16">
        <f>IFERROR(__xludf.DUMMYFUNCTION("""COMPUTED_VALUE"""),19.2)</f>
        <v>19.2</v>
      </c>
      <c r="X458" s="16">
        <f>IFERROR(__xludf.DUMMYFUNCTION("""COMPUTED_VALUE"""),-2.0)</f>
        <v>-2</v>
      </c>
      <c r="Y458" s="16">
        <f>IFERROR(__xludf.DUMMYFUNCTION("""COMPUTED_VALUE"""),0.0)</f>
        <v>0</v>
      </c>
      <c r="Z458" s="16">
        <f>IFERROR(__xludf.DUMMYFUNCTION("""COMPUTED_VALUE"""),-4.0)</f>
        <v>-4</v>
      </c>
      <c r="AA458" s="16">
        <f>IFERROR(__xludf.DUMMYFUNCTION("""COMPUTED_VALUE"""),0.0)</f>
        <v>0</v>
      </c>
      <c r="AB458" s="16">
        <f>IFERROR(__xludf.DUMMYFUNCTION("""COMPUTED_VALUE"""),12.4)</f>
        <v>12.4</v>
      </c>
      <c r="AC458" s="16">
        <f>IFERROR(__xludf.DUMMYFUNCTION("""COMPUTED_VALUE"""),26.1)</f>
        <v>26.1</v>
      </c>
      <c r="AD458" s="16">
        <f>IFERROR(__xludf.DUMMYFUNCTION("""COMPUTED_VALUE"""),-2.0)</f>
        <v>-2</v>
      </c>
      <c r="AE458" s="16">
        <f>IFERROR(__xludf.DUMMYFUNCTION("""COMPUTED_VALUE"""),-1.0)</f>
        <v>-1</v>
      </c>
      <c r="AF458" s="16">
        <f>IFERROR(__xludf.DUMMYFUNCTION("""COMPUTED_VALUE"""),-10.0)</f>
        <v>-10</v>
      </c>
      <c r="AG458" s="16">
        <f>IFERROR(__xludf.DUMMYFUNCTION("""COMPUTED_VALUE"""),-5.0)</f>
        <v>-5</v>
      </c>
      <c r="AH458" s="16">
        <f>IFERROR(__xludf.DUMMYFUNCTION("""COMPUTED_VALUE"""),9.6)</f>
        <v>9.6</v>
      </c>
      <c r="AI458" s="16">
        <f>IFERROR(__xludf.DUMMYFUNCTION("""COMPUTED_VALUE"""),26.3)</f>
        <v>26.3</v>
      </c>
      <c r="AJ458" s="16">
        <f>IFERROR(__xludf.DUMMYFUNCTION("""COMPUTED_VALUE"""),-2.0)</f>
        <v>-2</v>
      </c>
      <c r="AK458" s="16">
        <f>IFERROR(__xludf.DUMMYFUNCTION("""COMPUTED_VALUE"""),-1.0)</f>
        <v>-1</v>
      </c>
      <c r="AL458" s="16">
        <f>IFERROR(__xludf.DUMMYFUNCTION("""COMPUTED_VALUE"""),-10.0)</f>
        <v>-10</v>
      </c>
      <c r="AM458" s="16">
        <f>IFERROR(__xludf.DUMMYFUNCTION("""COMPUTED_VALUE"""),-5.0)</f>
        <v>-5</v>
      </c>
      <c r="AN458" s="16">
        <f>IFERROR(__xludf.DUMMYFUNCTION("""COMPUTED_VALUE"""),0.0)</f>
        <v>0</v>
      </c>
      <c r="AO458" s="16">
        <f>IFERROR(__xludf.DUMMYFUNCTION("""COMPUTED_VALUE"""),0.0)</f>
        <v>0</v>
      </c>
      <c r="AP458" s="16">
        <f>IFERROR(__xludf.DUMMYFUNCTION("""COMPUTED_VALUE"""),-2.0)</f>
        <v>-2</v>
      </c>
      <c r="AQ458" s="16">
        <f>IFERROR(__xludf.DUMMYFUNCTION("""COMPUTED_VALUE"""),-3.0)</f>
        <v>-3</v>
      </c>
      <c r="AR458" s="16">
        <f>IFERROR(__xludf.DUMMYFUNCTION("""COMPUTED_VALUE"""),-4.0)</f>
        <v>-4</v>
      </c>
      <c r="AS458" s="16">
        <f>IFERROR(__xludf.DUMMYFUNCTION("""COMPUTED_VALUE"""),-6.0)</f>
        <v>-6</v>
      </c>
      <c r="AT458" s="16"/>
      <c r="AU458" s="16">
        <f>IFERROR(__xludf.DUMMYFUNCTION("""COMPUTED_VALUE"""),0.0)</f>
        <v>0</v>
      </c>
      <c r="AV458" s="16">
        <f>IFERROR(__xludf.DUMMYFUNCTION("""COMPUTED_VALUE"""),-3.0)</f>
        <v>-3</v>
      </c>
      <c r="AW458" s="16">
        <f>IFERROR(__xludf.DUMMYFUNCTION("""COMPUTED_VALUE"""),0.0)</f>
        <v>0</v>
      </c>
      <c r="AX458" s="16">
        <f>IFERROR(__xludf.DUMMYFUNCTION("""COMPUTED_VALUE"""),-3.0)</f>
        <v>-3</v>
      </c>
      <c r="AY458" s="16">
        <f>IFERROR(__xludf.DUMMYFUNCTION("""COMPUTED_VALUE"""),-2.0)</f>
        <v>-2</v>
      </c>
      <c r="AZ458" s="16">
        <f>IFERROR(__xludf.DUMMYFUNCTION("""COMPUTED_VALUE"""),-9.0)</f>
        <v>-9</v>
      </c>
      <c r="BA458" s="16">
        <f>IFERROR(__xludf.DUMMYFUNCTION("""COMPUTED_VALUE"""),-6.0)</f>
        <v>-6</v>
      </c>
      <c r="BB458" s="16">
        <f>IFERROR(__xludf.DUMMYFUNCTION("""COMPUTED_VALUE"""),5.0)</f>
        <v>5</v>
      </c>
      <c r="BC458" s="16">
        <f>IFERROR(__xludf.DUMMYFUNCTION("""COMPUTED_VALUE"""),5.0)</f>
        <v>5</v>
      </c>
      <c r="BD458" s="16">
        <f>IFERROR(__xludf.DUMMYFUNCTION("""COMPUTED_VALUE"""),1.0)</f>
        <v>1</v>
      </c>
      <c r="BE458" s="16">
        <f>IFERROR(__xludf.DUMMYFUNCTION("""COMPUTED_VALUE"""),1.0)</f>
        <v>1</v>
      </c>
      <c r="BF458" s="16">
        <f>IFERROR(__xludf.DUMMYFUNCTION("""COMPUTED_VALUE"""),1.0)</f>
        <v>1</v>
      </c>
      <c r="BG458" s="16">
        <f>IFERROR(__xludf.DUMMYFUNCTION("""COMPUTED_VALUE"""),1.0)</f>
        <v>1</v>
      </c>
      <c r="BH458" s="16">
        <f>IFERROR(__xludf.DUMMYFUNCTION("""COMPUTED_VALUE"""),10.0)</f>
        <v>10</v>
      </c>
      <c r="BI458" s="16">
        <f>IFERROR(__xludf.DUMMYFUNCTION("""COMPUTED_VALUE"""),10.0)</f>
        <v>10</v>
      </c>
      <c r="BJ458" s="16">
        <f>IFERROR(__xludf.DUMMYFUNCTION("""COMPUTED_VALUE"""),28.0)</f>
        <v>28</v>
      </c>
      <c r="BK458" s="16">
        <f>IFERROR(__xludf.DUMMYFUNCTION("""COMPUTED_VALUE"""),27.0)</f>
        <v>27</v>
      </c>
      <c r="BL458" s="16">
        <f>IFERROR(__xludf.DUMMYFUNCTION("""COMPUTED_VALUE"""),-3.0)</f>
        <v>-3</v>
      </c>
      <c r="BM458" s="16">
        <f>IFERROR(__xludf.DUMMYFUNCTION("""COMPUTED_VALUE"""),-2.0)</f>
        <v>-2</v>
      </c>
      <c r="BN458" s="16">
        <f>IFERROR(__xludf.DUMMYFUNCTION("""COMPUTED_VALUE"""),-6.0)</f>
        <v>-6</v>
      </c>
      <c r="BO458" s="16">
        <f>IFERROR(__xludf.DUMMYFUNCTION("""COMPUTED_VALUE"""),-4.0)</f>
        <v>-4</v>
      </c>
      <c r="BP458" s="16">
        <f>IFERROR(__xludf.DUMMYFUNCTION("""COMPUTED_VALUE"""),-14.0)</f>
        <v>-14</v>
      </c>
      <c r="BQ458" s="16">
        <f>IFERROR(__xludf.DUMMYFUNCTION("""COMPUTED_VALUE"""),-8.0)</f>
        <v>-8</v>
      </c>
      <c r="BR458" s="16">
        <f>IFERROR(__xludf.DUMMYFUNCTION("""COMPUTED_VALUE"""),-22.0)</f>
        <v>-22</v>
      </c>
      <c r="BS458" s="16" t="str">
        <f>IFERROR(__xludf.DUMMYFUNCTION("""COMPUTED_VALUE"""),"*5/- (19-6)")</f>
        <v>*5/- (19-6)</v>
      </c>
      <c r="BT458" s="16" t="str">
        <f>IFERROR(__xludf.DUMMYFUNCTION("""COMPUTED_VALUE"""),"C")</f>
        <v>C</v>
      </c>
      <c r="BU458" s="16">
        <f>IFERROR(__xludf.DUMMYFUNCTION("""COMPUTED_VALUE"""),12.0)</f>
        <v>12</v>
      </c>
      <c r="BV458" s="16">
        <f>IFERROR(__xludf.DUMMYFUNCTION("""COMPUTED_VALUE"""),0.0)</f>
        <v>0</v>
      </c>
      <c r="BW458" s="16">
        <f>IFERROR(__xludf.DUMMYFUNCTION("""COMPUTED_VALUE"""),0.0)</f>
        <v>0</v>
      </c>
      <c r="BX458" s="16">
        <f>IFERROR(__xludf.DUMMYFUNCTION("""COMPUTED_VALUE"""),0.0)</f>
        <v>0</v>
      </c>
      <c r="BY458" s="16">
        <f>IFERROR(__xludf.DUMMYFUNCTION("""COMPUTED_VALUE"""),0.0)</f>
        <v>0</v>
      </c>
      <c r="BZ458" s="16" t="str">
        <f>IFERROR(__xludf.DUMMYFUNCTION("""COMPUTED_VALUE"""),"D")</f>
        <v>D</v>
      </c>
      <c r="CA458" s="16" t="str">
        <f>IFERROR(__xludf.DUMMYFUNCTION("""COMPUTED_VALUE"""),"C")</f>
        <v>C</v>
      </c>
      <c r="CB458" s="16">
        <f>IFERROR(__xludf.DUMMYFUNCTION("""COMPUTED_VALUE"""),0.0)</f>
        <v>0</v>
      </c>
      <c r="CC458" s="16">
        <f>IFERROR(__xludf.DUMMYFUNCTION("""COMPUTED_VALUE"""),0.0)</f>
        <v>0</v>
      </c>
      <c r="CD458" s="16">
        <f>IFERROR(__xludf.DUMMYFUNCTION("""COMPUTED_VALUE"""),0.0)</f>
        <v>0</v>
      </c>
      <c r="CE458" s="16">
        <f>IFERROR(__xludf.DUMMYFUNCTION("""COMPUTED_VALUE"""),0.0)</f>
        <v>0</v>
      </c>
      <c r="CF458" s="16">
        <f>IFERROR(__xludf.DUMMYFUNCTION("""COMPUTED_VALUE"""),4.0)</f>
        <v>4</v>
      </c>
      <c r="CG458" s="16">
        <f>IFERROR(__xludf.DUMMYFUNCTION("""COMPUTED_VALUE"""),-43.0)</f>
        <v>-43</v>
      </c>
      <c r="CH458" s="16">
        <f>IFERROR(__xludf.DUMMYFUNCTION("""COMPUTED_VALUE"""),-25.0)</f>
        <v>-25</v>
      </c>
      <c r="CI458" s="179">
        <f>IFERROR(__xludf.DUMMYFUNCTION("""COMPUTED_VALUE"""),-32.0)</f>
        <v>-32</v>
      </c>
      <c r="CJ458" s="16"/>
      <c r="CK458" s="16"/>
      <c r="CL458" s="16"/>
      <c r="CM458" s="16"/>
      <c r="CN458" s="16">
        <f>IFERROR(__xludf.DUMMYFUNCTION("""COMPUTED_VALUE"""),414.0)</f>
        <v>414</v>
      </c>
      <c r="CO458" s="16"/>
      <c r="CP458" s="16"/>
      <c r="CQ458" s="16"/>
      <c r="CR458" s="16" t="str">
        <f>IFERROR(__xludf.DUMMYFUNCTION("""COMPUTED_VALUE"""),"ss-4e14")</f>
        <v>ss-4e14</v>
      </c>
      <c r="CS458" s="16"/>
      <c r="CT458" s="16"/>
      <c r="CU458" s="16"/>
      <c r="CV458" s="16"/>
      <c r="CW458" s="16">
        <f>IFERROR(__xludf.DUMMYFUNCTION("""COMPUTED_VALUE"""),4.0)</f>
        <v>4</v>
      </c>
      <c r="CX458" s="16"/>
      <c r="CY458" s="16"/>
      <c r="CZ458" s="16"/>
      <c r="DA458" s="16"/>
      <c r="DB458" s="16"/>
      <c r="DC458" s="16"/>
      <c r="DD458" s="16"/>
      <c r="DE458" s="16">
        <f>IFERROR(__xludf.DUMMYFUNCTION("""COMPUTED_VALUE"""),14.0)</f>
        <v>14</v>
      </c>
      <c r="DF458" s="16"/>
      <c r="DG458" s="16"/>
      <c r="DH458" s="16"/>
      <c r="DI458" s="16"/>
      <c r="DJ458" s="16"/>
      <c r="DK458" s="16"/>
      <c r="DL458" s="16"/>
      <c r="DM458" s="16">
        <f>IFERROR(__xludf.DUMMYFUNCTION("""COMPUTED_VALUE"""),-2.0)</f>
        <v>-2</v>
      </c>
      <c r="DN458" s="16"/>
      <c r="DO458" s="16"/>
      <c r="DP458" s="16"/>
      <c r="DQ458" s="16"/>
      <c r="DR458" s="16"/>
      <c r="DS458" s="16"/>
      <c r="DT458" s="16"/>
      <c r="DU458" s="16">
        <f>IFERROR(__xludf.DUMMYFUNCTION("""COMPUTED_VALUE"""),2.0)</f>
        <v>2</v>
      </c>
      <c r="DV458" s="16"/>
      <c r="DW458" s="16"/>
      <c r="DX458" s="16"/>
      <c r="DY458" s="16"/>
      <c r="DZ458" s="16"/>
      <c r="EA458" s="16"/>
      <c r="EB458" s="16"/>
      <c r="EC458" s="16">
        <f>IFERROR(__xludf.DUMMYFUNCTION("""COMPUTED_VALUE"""),0.0)</f>
        <v>0</v>
      </c>
      <c r="ED458" s="16"/>
      <c r="EE458" s="16"/>
      <c r="EF458" s="16"/>
      <c r="EG458" s="179"/>
      <c r="EH458" s="179"/>
      <c r="EI458" s="179"/>
      <c r="EJ458" s="179"/>
      <c r="EK458" s="179">
        <f>IFERROR(__xludf.DUMMYFUNCTION("""COMPUTED_VALUE"""),-32.0)</f>
        <v>-32</v>
      </c>
      <c r="EL458" s="179"/>
      <c r="EM458" s="179"/>
      <c r="EN458" s="179"/>
      <c r="EO458" s="16"/>
      <c r="EP458" s="16"/>
      <c r="EQ458" s="16">
        <f>IFERROR(__xludf.DUMMYFUNCTION("""COMPUTED_VALUE"""),-1.0)</f>
        <v>-1</v>
      </c>
      <c r="ER458" s="16">
        <f>IFERROR(__xludf.DUMMYFUNCTION("""COMPUTED_VALUE"""),-1.0)</f>
        <v>-1</v>
      </c>
      <c r="ES458" s="16"/>
      <c r="ET458" s="16"/>
      <c r="EU458" s="16"/>
      <c r="EV458" s="16"/>
      <c r="EW458" s="16"/>
      <c r="EX458" s="180"/>
      <c r="EY458" s="180"/>
      <c r="EZ458" s="180"/>
      <c r="FA458" s="180"/>
      <c r="FB458" s="180">
        <f>IFERROR(__xludf.DUMMYFUNCTION("""COMPUTED_VALUE"""),0.3)</f>
        <v>0.3</v>
      </c>
      <c r="FC458" s="180"/>
      <c r="FD458" s="180"/>
      <c r="FE458" s="180"/>
      <c r="FF458" s="180"/>
      <c r="FG458" s="180"/>
      <c r="FH458" s="180"/>
      <c r="FI458" s="180"/>
      <c r="FJ458" s="180">
        <f>IFERROR(__xludf.DUMMYFUNCTION("""COMPUTED_VALUE"""),0.07407407407407407)</f>
        <v>0.07407407407</v>
      </c>
      <c r="FK458" s="180"/>
      <c r="FL458" s="180"/>
      <c r="FM458" s="180"/>
      <c r="FN458" s="16"/>
      <c r="FO458" s="16"/>
      <c r="FP458" s="16"/>
      <c r="FQ458" s="16"/>
      <c r="FR458" s="16">
        <f>IFERROR(__xludf.DUMMYFUNCTION("""COMPUTED_VALUE"""),0.6481481481481481)</f>
        <v>0.6481481481</v>
      </c>
      <c r="FS458" s="16"/>
      <c r="FT458" s="16"/>
      <c r="FU458" s="16"/>
      <c r="FV458" s="16"/>
      <c r="FW458" s="16"/>
      <c r="FX458" s="16"/>
      <c r="FY458" s="16"/>
      <c r="FZ458" s="16">
        <f>IFERROR(__xludf.DUMMYFUNCTION("""COMPUTED_VALUE"""),-6.0)</f>
        <v>-6</v>
      </c>
      <c r="GA458" s="16"/>
      <c r="GB458" s="16"/>
      <c r="GC458" s="16"/>
      <c r="GD458" s="16" t="s">
        <v>228</v>
      </c>
    </row>
    <row r="459">
      <c r="A459" s="16">
        <f>IFERROR(__xludf.DUMMYFUNCTION("""COMPUTED_VALUE"""),13216.0)</f>
        <v>13216</v>
      </c>
      <c r="B459" s="16" t="str">
        <f>IFERROR(__xludf.DUMMYFUNCTION("""COMPUTED_VALUE"""),"Miles Mastrobuoni")</f>
        <v>Miles Mastrobuoni</v>
      </c>
      <c r="C459" s="16">
        <f>IFERROR(__xludf.DUMMYFUNCTION("""COMPUTED_VALUE"""),0.0)</f>
        <v>0</v>
      </c>
      <c r="D459" s="16" t="str">
        <f>IFERROR(__xludf.DUMMYFUNCTION("""COMPUTED_VALUE"""),"L")</f>
        <v>L</v>
      </c>
      <c r="E459" s="16"/>
      <c r="F459" s="16"/>
      <c r="G459" s="16">
        <f>IFERROR(__xludf.DUMMYFUNCTION("""COMPUTED_VALUE"""),98.0)</f>
        <v>98</v>
      </c>
      <c r="H459" s="16">
        <f>IFERROR(__xludf.DUMMYFUNCTION("""COMPUTED_VALUE"""),7.0)</f>
        <v>7</v>
      </c>
      <c r="I459" s="16" t="str">
        <f>IFERROR(__xludf.DUMMYFUNCTION("""COMPUTED_VALUE"""),"1p30")</f>
        <v>1p30</v>
      </c>
      <c r="J459" s="16">
        <f>IFERROR(__xludf.DUMMYFUNCTION("""COMPUTED_VALUE"""),0.0)</f>
        <v>0</v>
      </c>
      <c r="K459" s="16">
        <f>IFERROR(__xludf.DUMMYFUNCTION("""COMPUTED_VALUE"""),12.0)</f>
        <v>12</v>
      </c>
      <c r="L459" s="16">
        <f>IFERROR(__xludf.DUMMYFUNCTION("""COMPUTED_VALUE"""),3.0)</f>
        <v>3</v>
      </c>
      <c r="M459" s="16">
        <f>IFERROR(__xludf.DUMMYFUNCTION("""COMPUTED_VALUE"""),1.0)</f>
        <v>1</v>
      </c>
      <c r="N459" s="16">
        <f>IFERROR(__xludf.DUMMYFUNCTION("""COMPUTED_VALUE"""),3.0)</f>
        <v>3</v>
      </c>
      <c r="O459" s="16">
        <f>IFERROR(__xludf.DUMMYFUNCTION("""COMPUTED_VALUE"""),1.0)</f>
        <v>1</v>
      </c>
      <c r="P459" s="16">
        <f>IFERROR(__xludf.DUMMYFUNCTION("""COMPUTED_VALUE"""),0.0)</f>
        <v>0</v>
      </c>
      <c r="Q459" s="16">
        <f>IFERROR(__xludf.DUMMYFUNCTION("""COMPUTED_VALUE"""),7.0)</f>
        <v>7</v>
      </c>
      <c r="R459" s="16">
        <f>IFERROR(__xludf.DUMMYFUNCTION("""COMPUTED_VALUE"""),-3.0)</f>
        <v>-3</v>
      </c>
      <c r="S459" s="16">
        <f>IFERROR(__xludf.DUMMYFUNCTION("""COMPUTED_VALUE"""),-1.0)</f>
        <v>-1</v>
      </c>
      <c r="T459" s="16">
        <f>IFERROR(__xludf.DUMMYFUNCTION("""COMPUTED_VALUE"""),-3.0)</f>
        <v>-3</v>
      </c>
      <c r="U459" s="16">
        <f>IFERROR(__xludf.DUMMYFUNCTION("""COMPUTED_VALUE"""),-1.0)</f>
        <v>-1</v>
      </c>
      <c r="V459" s="16">
        <f>IFERROR(__xludf.DUMMYFUNCTION("""COMPUTED_VALUE"""),12.9)</f>
        <v>12.9</v>
      </c>
      <c r="W459" s="16">
        <f>IFERROR(__xludf.DUMMYFUNCTION("""COMPUTED_VALUE"""),12.3)</f>
        <v>12.3</v>
      </c>
      <c r="X459" s="16">
        <f>IFERROR(__xludf.DUMMYFUNCTION("""COMPUTED_VALUE"""),-1.0)</f>
        <v>-1</v>
      </c>
      <c r="Y459" s="16">
        <f>IFERROR(__xludf.DUMMYFUNCTION("""COMPUTED_VALUE"""),-2.0)</f>
        <v>-2</v>
      </c>
      <c r="Z459" s="16">
        <f>IFERROR(__xludf.DUMMYFUNCTION("""COMPUTED_VALUE"""),-2.0)</f>
        <v>-2</v>
      </c>
      <c r="AA459" s="16">
        <f>IFERROR(__xludf.DUMMYFUNCTION("""COMPUTED_VALUE"""),-4.0)</f>
        <v>-4</v>
      </c>
      <c r="AB459" s="16">
        <f>IFERROR(__xludf.DUMMYFUNCTION("""COMPUTED_VALUE"""),12.9)</f>
        <v>12.9</v>
      </c>
      <c r="AC459" s="16">
        <f>IFERROR(__xludf.DUMMYFUNCTION("""COMPUTED_VALUE"""),19.3)</f>
        <v>19.3</v>
      </c>
      <c r="AD459" s="16">
        <f>IFERROR(__xludf.DUMMYFUNCTION("""COMPUTED_VALUE"""),-2.0)</f>
        <v>-2</v>
      </c>
      <c r="AE459" s="16">
        <f>IFERROR(__xludf.DUMMYFUNCTION("""COMPUTED_VALUE"""),-2.0)</f>
        <v>-2</v>
      </c>
      <c r="AF459" s="16">
        <f>IFERROR(__xludf.DUMMYFUNCTION("""COMPUTED_VALUE"""),-10.0)</f>
        <v>-10</v>
      </c>
      <c r="AG459" s="16">
        <f>IFERROR(__xludf.DUMMYFUNCTION("""COMPUTED_VALUE"""),-10.0)</f>
        <v>-10</v>
      </c>
      <c r="AH459" s="16">
        <f>IFERROR(__xludf.DUMMYFUNCTION("""COMPUTED_VALUE"""),12.9)</f>
        <v>12.9</v>
      </c>
      <c r="AI459" s="16">
        <f>IFERROR(__xludf.DUMMYFUNCTION("""COMPUTED_VALUE"""),14.3)</f>
        <v>14.3</v>
      </c>
      <c r="AJ459" s="16">
        <f>IFERROR(__xludf.DUMMYFUNCTION("""COMPUTED_VALUE"""),-2.0)</f>
        <v>-2</v>
      </c>
      <c r="AK459" s="16">
        <f>IFERROR(__xludf.DUMMYFUNCTION("""COMPUTED_VALUE"""),-2.0)</f>
        <v>-2</v>
      </c>
      <c r="AL459" s="16">
        <f>IFERROR(__xludf.DUMMYFUNCTION("""COMPUTED_VALUE"""),-10.0)</f>
        <v>-10</v>
      </c>
      <c r="AM459" s="16">
        <f>IFERROR(__xludf.DUMMYFUNCTION("""COMPUTED_VALUE"""),-10.0)</f>
        <v>-10</v>
      </c>
      <c r="AN459" s="16">
        <f>IFERROR(__xludf.DUMMYFUNCTION("""COMPUTED_VALUE"""),0.0)</f>
        <v>0</v>
      </c>
      <c r="AO459" s="16">
        <f>IFERROR(__xludf.DUMMYFUNCTION("""COMPUTED_VALUE"""),0.0)</f>
        <v>0</v>
      </c>
      <c r="AP459" s="16">
        <f>IFERROR(__xludf.DUMMYFUNCTION("""COMPUTED_VALUE"""),-2.0)</f>
        <v>-2</v>
      </c>
      <c r="AQ459" s="16">
        <f>IFERROR(__xludf.DUMMYFUNCTION("""COMPUTED_VALUE"""),-3.0)</f>
        <v>-3</v>
      </c>
      <c r="AR459" s="16">
        <f>IFERROR(__xludf.DUMMYFUNCTION("""COMPUTED_VALUE"""),-4.0)</f>
        <v>-4</v>
      </c>
      <c r="AS459" s="16">
        <f>IFERROR(__xludf.DUMMYFUNCTION("""COMPUTED_VALUE"""),-6.0)</f>
        <v>-6</v>
      </c>
      <c r="AT459" s="16"/>
      <c r="AU459" s="16"/>
      <c r="AV459" s="16">
        <f>IFERROR(__xludf.DUMMYFUNCTION("""COMPUTED_VALUE"""),-3.0)</f>
        <v>-3</v>
      </c>
      <c r="AW459" s="16">
        <f>IFERROR(__xludf.DUMMYFUNCTION("""COMPUTED_VALUE"""),-3.0)</f>
        <v>-3</v>
      </c>
      <c r="AX459" s="16">
        <f>IFERROR(__xludf.DUMMYFUNCTION("""COMPUTED_VALUE"""),-3.0)</f>
        <v>-3</v>
      </c>
      <c r="AY459" s="16">
        <f>IFERROR(__xludf.DUMMYFUNCTION("""COMPUTED_VALUE"""),-3.0)</f>
        <v>-3</v>
      </c>
      <c r="AZ459" s="16">
        <f>IFERROR(__xludf.DUMMYFUNCTION("""COMPUTED_VALUE"""),-9.0)</f>
        <v>-9</v>
      </c>
      <c r="BA459" s="16">
        <f>IFERROR(__xludf.DUMMYFUNCTION("""COMPUTED_VALUE"""),-9.0)</f>
        <v>-9</v>
      </c>
      <c r="BB459" s="16">
        <f>IFERROR(__xludf.DUMMYFUNCTION("""COMPUTED_VALUE"""),5.0)</f>
        <v>5</v>
      </c>
      <c r="BC459" s="16">
        <f>IFERROR(__xludf.DUMMYFUNCTION("""COMPUTED_VALUE"""),5.0)</f>
        <v>5</v>
      </c>
      <c r="BD459" s="16">
        <f>IFERROR(__xludf.DUMMYFUNCTION("""COMPUTED_VALUE"""),1.0)</f>
        <v>1</v>
      </c>
      <c r="BE459" s="16">
        <f>IFERROR(__xludf.DUMMYFUNCTION("""COMPUTED_VALUE"""),1.0)</f>
        <v>1</v>
      </c>
      <c r="BF459" s="16">
        <f>IFERROR(__xludf.DUMMYFUNCTION("""COMPUTED_VALUE"""),1.0)</f>
        <v>1</v>
      </c>
      <c r="BG459" s="16">
        <f>IFERROR(__xludf.DUMMYFUNCTION("""COMPUTED_VALUE"""),1.0)</f>
        <v>1</v>
      </c>
      <c r="BH459" s="16">
        <f>IFERROR(__xludf.DUMMYFUNCTION("""COMPUTED_VALUE"""),-9.0)</f>
        <v>-9</v>
      </c>
      <c r="BI459" s="16">
        <f>IFERROR(__xludf.DUMMYFUNCTION("""COMPUTED_VALUE"""),-8.0)</f>
        <v>-8</v>
      </c>
      <c r="BJ459" s="16">
        <f>IFERROR(__xludf.DUMMYFUNCTION("""COMPUTED_VALUE"""),6.0)</f>
        <v>6</v>
      </c>
      <c r="BK459" s="16">
        <f>IFERROR(__xludf.DUMMYFUNCTION("""COMPUTED_VALUE"""),5.0)</f>
        <v>5</v>
      </c>
      <c r="BL459" s="16">
        <f>IFERROR(__xludf.DUMMYFUNCTION("""COMPUTED_VALUE"""),1.0)</f>
        <v>1</v>
      </c>
      <c r="BM459" s="16">
        <f>IFERROR(__xludf.DUMMYFUNCTION("""COMPUTED_VALUE"""),1.0)</f>
        <v>1</v>
      </c>
      <c r="BN459" s="16">
        <f>IFERROR(__xludf.DUMMYFUNCTION("""COMPUTED_VALUE"""),1.0)</f>
        <v>1</v>
      </c>
      <c r="BO459" s="16">
        <f>IFERROR(__xludf.DUMMYFUNCTION("""COMPUTED_VALUE"""),1.0)</f>
        <v>1</v>
      </c>
      <c r="BP459" s="16">
        <f>IFERROR(__xludf.DUMMYFUNCTION("""COMPUTED_VALUE"""),-8.0)</f>
        <v>-8</v>
      </c>
      <c r="BQ459" s="16">
        <f>IFERROR(__xludf.DUMMYFUNCTION("""COMPUTED_VALUE"""),-10.0)</f>
        <v>-10</v>
      </c>
      <c r="BR459" s="16">
        <f>IFERROR(__xludf.DUMMYFUNCTION("""COMPUTED_VALUE"""),-18.0)</f>
        <v>-18</v>
      </c>
      <c r="BS459" s="16" t="str">
        <f>IFERROR(__xludf.DUMMYFUNCTION("""COMPUTED_VALUE"""),"*4/- (20-6)")</f>
        <v>*4/- (20-6)</v>
      </c>
      <c r="BT459" s="16" t="str">
        <f>IFERROR(__xludf.DUMMYFUNCTION("""COMPUTED_VALUE"""),"C")</f>
        <v>C</v>
      </c>
      <c r="BU459" s="16">
        <f>IFERROR(__xludf.DUMMYFUNCTION("""COMPUTED_VALUE"""),14.0)</f>
        <v>14</v>
      </c>
      <c r="BV459" s="16">
        <f>IFERROR(__xludf.DUMMYFUNCTION("""COMPUTED_VALUE"""),0.0)</f>
        <v>0</v>
      </c>
      <c r="BW459" s="16">
        <f>IFERROR(__xludf.DUMMYFUNCTION("""COMPUTED_VALUE"""),1.0)</f>
        <v>1</v>
      </c>
      <c r="BX459" s="16">
        <f>IFERROR(__xludf.DUMMYFUNCTION("""COMPUTED_VALUE"""),0.0)</f>
        <v>0</v>
      </c>
      <c r="BY459" s="16">
        <f>IFERROR(__xludf.DUMMYFUNCTION("""COMPUTED_VALUE"""),3.0)</f>
        <v>3</v>
      </c>
      <c r="BZ459" s="16" t="str">
        <f>IFERROR(__xludf.DUMMYFUNCTION("""COMPUTED_VALUE"""),"D")</f>
        <v>D</v>
      </c>
      <c r="CA459" s="16" t="str">
        <f>IFERROR(__xludf.DUMMYFUNCTION("""COMPUTED_VALUE"""),"C")</f>
        <v>C</v>
      </c>
      <c r="CB459" s="16">
        <f>IFERROR(__xludf.DUMMYFUNCTION("""COMPUTED_VALUE"""),0.0)</f>
        <v>0</v>
      </c>
      <c r="CC459" s="16">
        <f>IFERROR(__xludf.DUMMYFUNCTION("""COMPUTED_VALUE"""),0.0)</f>
        <v>0</v>
      </c>
      <c r="CD459" s="16">
        <f>IFERROR(__xludf.DUMMYFUNCTION("""COMPUTED_VALUE"""),0.0)</f>
        <v>0</v>
      </c>
      <c r="CE459" s="16">
        <f>IFERROR(__xludf.DUMMYFUNCTION("""COMPUTED_VALUE"""),0.0)</f>
        <v>0</v>
      </c>
      <c r="CF459" s="16">
        <f>IFERROR(__xludf.DUMMYFUNCTION("""COMPUTED_VALUE"""),1.0)</f>
        <v>1</v>
      </c>
      <c r="CG459" s="16">
        <f>IFERROR(__xludf.DUMMYFUNCTION("""COMPUTED_VALUE"""),-33.0)</f>
        <v>-33</v>
      </c>
      <c r="CH459" s="16">
        <f>IFERROR(__xludf.DUMMYFUNCTION("""COMPUTED_VALUE"""),-37.0)</f>
        <v>-37</v>
      </c>
      <c r="CI459" s="179">
        <f>IFERROR(__xludf.DUMMYFUNCTION("""COMPUTED_VALUE"""),-33.0)</f>
        <v>-33</v>
      </c>
      <c r="CJ459" s="16"/>
      <c r="CK459" s="16"/>
      <c r="CL459" s="16">
        <f>IFERROR(__xludf.DUMMYFUNCTION("""COMPUTED_VALUE"""),316.0)</f>
        <v>316</v>
      </c>
      <c r="CM459" s="16">
        <f>IFERROR(__xludf.DUMMYFUNCTION("""COMPUTED_VALUE"""),329.0)</f>
        <v>329</v>
      </c>
      <c r="CN459" s="16">
        <f>IFERROR(__xludf.DUMMYFUNCTION("""COMPUTED_VALUE"""),423.0)</f>
        <v>423</v>
      </c>
      <c r="CO459" s="16">
        <f>IFERROR(__xludf.DUMMYFUNCTION("""COMPUTED_VALUE"""),402.0)</f>
        <v>402</v>
      </c>
      <c r="CP459" s="16"/>
      <c r="CQ459" s="16">
        <f>IFERROR(__xludf.DUMMYFUNCTION("""COMPUTED_VALUE"""),402.0)</f>
        <v>402</v>
      </c>
      <c r="CR459" s="16" t="str">
        <f>IFERROR(__xludf.DUMMYFUNCTION("""COMPUTED_VALUE"""),"3b-3e29 2b-3e16 ss-4e23 lf-4(0)e2 rf-4e2")</f>
        <v>3b-3e29 2b-3e16 ss-4e23 lf-4(0)e2 rf-4e2</v>
      </c>
      <c r="CS459" s="16"/>
      <c r="CT459" s="16"/>
      <c r="CU459" s="16">
        <f>IFERROR(__xludf.DUMMYFUNCTION("""COMPUTED_VALUE"""),3.0)</f>
        <v>3</v>
      </c>
      <c r="CV459" s="16">
        <f>IFERROR(__xludf.DUMMYFUNCTION("""COMPUTED_VALUE"""),3.0)</f>
        <v>3</v>
      </c>
      <c r="CW459" s="16">
        <f>IFERROR(__xludf.DUMMYFUNCTION("""COMPUTED_VALUE"""),4.0)</f>
        <v>4</v>
      </c>
      <c r="CX459" s="16">
        <f>IFERROR(__xludf.DUMMYFUNCTION("""COMPUTED_VALUE"""),4.0)</f>
        <v>4</v>
      </c>
      <c r="CY459" s="16"/>
      <c r="CZ459" s="16">
        <f>IFERROR(__xludf.DUMMYFUNCTION("""COMPUTED_VALUE"""),4.0)</f>
        <v>4</v>
      </c>
      <c r="DA459" s="16"/>
      <c r="DB459" s="16"/>
      <c r="DC459" s="16">
        <f>IFERROR(__xludf.DUMMYFUNCTION("""COMPUTED_VALUE"""),16.0)</f>
        <v>16</v>
      </c>
      <c r="DD459" s="16">
        <f>IFERROR(__xludf.DUMMYFUNCTION("""COMPUTED_VALUE"""),29.0)</f>
        <v>29</v>
      </c>
      <c r="DE459" s="16">
        <f>IFERROR(__xludf.DUMMYFUNCTION("""COMPUTED_VALUE"""),23.0)</f>
        <v>23</v>
      </c>
      <c r="DF459" s="16">
        <f>IFERROR(__xludf.DUMMYFUNCTION("""COMPUTED_VALUE"""),2.0)</f>
        <v>2</v>
      </c>
      <c r="DG459" s="16"/>
      <c r="DH459" s="16">
        <f>IFERROR(__xludf.DUMMYFUNCTION("""COMPUTED_VALUE"""),2.0)</f>
        <v>2</v>
      </c>
      <c r="DI459" s="16"/>
      <c r="DJ459" s="16"/>
      <c r="DK459" s="16">
        <f>IFERROR(__xludf.DUMMYFUNCTION("""COMPUTED_VALUE"""),0.0)</f>
        <v>0</v>
      </c>
      <c r="DL459" s="16">
        <f>IFERROR(__xludf.DUMMYFUNCTION("""COMPUTED_VALUE"""),1.0)</f>
        <v>1</v>
      </c>
      <c r="DM459" s="16">
        <f>IFERROR(__xludf.DUMMYFUNCTION("""COMPUTED_VALUE"""),-2.0)</f>
        <v>-2</v>
      </c>
      <c r="DN459" s="16">
        <f>IFERROR(__xludf.DUMMYFUNCTION("""COMPUTED_VALUE"""),-1.0)</f>
        <v>-1</v>
      </c>
      <c r="DO459" s="16"/>
      <c r="DP459" s="16">
        <f>IFERROR(__xludf.DUMMYFUNCTION("""COMPUTED_VALUE"""),-1.0)</f>
        <v>-1</v>
      </c>
      <c r="DQ459" s="16"/>
      <c r="DR459" s="16"/>
      <c r="DS459" s="16">
        <f>IFERROR(__xludf.DUMMYFUNCTION("""COMPUTED_VALUE"""),2.0)</f>
        <v>2</v>
      </c>
      <c r="DT459" s="16">
        <f>IFERROR(__xludf.DUMMYFUNCTION("""COMPUTED_VALUE"""),-2.0)</f>
        <v>-2</v>
      </c>
      <c r="DU459" s="16">
        <f>IFERROR(__xludf.DUMMYFUNCTION("""COMPUTED_VALUE"""),0.0)</f>
        <v>0</v>
      </c>
      <c r="DV459" s="16">
        <f>IFERROR(__xludf.DUMMYFUNCTION("""COMPUTED_VALUE"""),4.0)</f>
        <v>4</v>
      </c>
      <c r="DW459" s="16"/>
      <c r="DX459" s="16">
        <f>IFERROR(__xludf.DUMMYFUNCTION("""COMPUTED_VALUE"""),4.0)</f>
        <v>4</v>
      </c>
      <c r="DY459" s="16"/>
      <c r="DZ459" s="16"/>
      <c r="EA459" s="16">
        <f>IFERROR(__xludf.DUMMYFUNCTION("""COMPUTED_VALUE"""),2.0)</f>
        <v>2</v>
      </c>
      <c r="EB459" s="16">
        <f>IFERROR(__xludf.DUMMYFUNCTION("""COMPUTED_VALUE"""),-1.0)</f>
        <v>-1</v>
      </c>
      <c r="EC459" s="16">
        <f>IFERROR(__xludf.DUMMYFUNCTION("""COMPUTED_VALUE"""),-2.0)</f>
        <v>-2</v>
      </c>
      <c r="ED459" s="16">
        <f>IFERROR(__xludf.DUMMYFUNCTION("""COMPUTED_VALUE"""),3.0)</f>
        <v>3</v>
      </c>
      <c r="EE459" s="16"/>
      <c r="EF459" s="16">
        <f>IFERROR(__xludf.DUMMYFUNCTION("""COMPUTED_VALUE"""),3.0)</f>
        <v>3</v>
      </c>
      <c r="EG459" s="179"/>
      <c r="EH459" s="179"/>
      <c r="EI459" s="179">
        <f>IFERROR(__xludf.DUMMYFUNCTION("""COMPUTED_VALUE"""),-31.0)</f>
        <v>-31</v>
      </c>
      <c r="EJ459" s="179">
        <f>IFERROR(__xludf.DUMMYFUNCTION("""COMPUTED_VALUE"""),-34.0)</f>
        <v>-34</v>
      </c>
      <c r="EK459" s="179">
        <f>IFERROR(__xludf.DUMMYFUNCTION("""COMPUTED_VALUE"""),-35.0)</f>
        <v>-35</v>
      </c>
      <c r="EL459" s="179">
        <f>IFERROR(__xludf.DUMMYFUNCTION("""COMPUTED_VALUE"""),-30.0)</f>
        <v>-30</v>
      </c>
      <c r="EM459" s="179"/>
      <c r="EN459" s="179">
        <f>IFERROR(__xludf.DUMMYFUNCTION("""COMPUTED_VALUE"""),-30.0)</f>
        <v>-30</v>
      </c>
      <c r="EO459" s="16"/>
      <c r="EP459" s="16"/>
      <c r="EQ459" s="16">
        <f>IFERROR(__xludf.DUMMYFUNCTION("""COMPUTED_VALUE"""),4.0)</f>
        <v>4</v>
      </c>
      <c r="ER459" s="16">
        <f>IFERROR(__xludf.DUMMYFUNCTION("""COMPUTED_VALUE"""),-2.0)</f>
        <v>-2</v>
      </c>
      <c r="ES459" s="16"/>
      <c r="ET459" s="16"/>
      <c r="EU459" s="16"/>
      <c r="EV459" s="16"/>
      <c r="EW459" s="16"/>
      <c r="EX459" s="180"/>
      <c r="EY459" s="180"/>
      <c r="EZ459" s="180">
        <f>IFERROR(__xludf.DUMMYFUNCTION("""COMPUTED_VALUE"""),0.2)</f>
        <v>0.2</v>
      </c>
      <c r="FA459" s="180">
        <f>IFERROR(__xludf.DUMMYFUNCTION("""COMPUTED_VALUE"""),0.2)</f>
        <v>0.2</v>
      </c>
      <c r="FB459" s="180">
        <f>IFERROR(__xludf.DUMMYFUNCTION("""COMPUTED_VALUE"""),0.3)</f>
        <v>0.3</v>
      </c>
      <c r="FC459" s="180">
        <f>IFERROR(__xludf.DUMMYFUNCTION("""COMPUTED_VALUE"""),0.55)</f>
        <v>0.55</v>
      </c>
      <c r="FD459" s="180"/>
      <c r="FE459" s="180">
        <f>IFERROR(__xludf.DUMMYFUNCTION("""COMPUTED_VALUE"""),0.55)</f>
        <v>0.55</v>
      </c>
      <c r="FF459" s="180"/>
      <c r="FG459" s="180"/>
      <c r="FH459" s="180">
        <f>IFERROR(__xludf.DUMMYFUNCTION("""COMPUTED_VALUE"""),0.09722222222222222)</f>
        <v>0.09722222222</v>
      </c>
      <c r="FI459" s="180">
        <f>IFERROR(__xludf.DUMMYFUNCTION("""COMPUTED_VALUE"""),0.3472222222222222)</f>
        <v>0.3472222222</v>
      </c>
      <c r="FJ459" s="180">
        <f>IFERROR(__xludf.DUMMYFUNCTION("""COMPUTED_VALUE"""),0.12037037037037036)</f>
        <v>0.1203703704</v>
      </c>
      <c r="FK459" s="180">
        <f>IFERROR(__xludf.DUMMYFUNCTION("""COMPUTED_VALUE"""),0.037)</f>
        <v>0.037</v>
      </c>
      <c r="FL459" s="180"/>
      <c r="FM459" s="180">
        <f>IFERROR(__xludf.DUMMYFUNCTION("""COMPUTED_VALUE"""),0.037)</f>
        <v>0.037</v>
      </c>
      <c r="FN459" s="16"/>
      <c r="FO459" s="16"/>
      <c r="FP459" s="16">
        <f>IFERROR(__xludf.DUMMYFUNCTION("""COMPUTED_VALUE"""),0.7222222222222223)</f>
        <v>0.7222222222</v>
      </c>
      <c r="FQ459" s="16">
        <f>IFERROR(__xludf.DUMMYFUNCTION("""COMPUTED_VALUE"""),0.5222222222222223)</f>
        <v>0.5222222222</v>
      </c>
      <c r="FR459" s="16">
        <f>IFERROR(__xludf.DUMMYFUNCTION("""COMPUTED_VALUE"""),0.6157407407407407)</f>
        <v>0.6157407407</v>
      </c>
      <c r="FS459" s="16">
        <f>IFERROR(__xludf.DUMMYFUNCTION("""COMPUTED_VALUE"""),0.43334999999999996)</f>
        <v>0.43335</v>
      </c>
      <c r="FT459" s="16"/>
      <c r="FU459" s="16">
        <f>IFERROR(__xludf.DUMMYFUNCTION("""COMPUTED_VALUE"""),0.43334999999999996)</f>
        <v>0.43335</v>
      </c>
      <c r="FV459" s="16"/>
      <c r="FW459" s="16"/>
      <c r="FX459" s="16">
        <f>IFERROR(__xludf.DUMMYFUNCTION("""COMPUTED_VALUE"""),-4.0)</f>
        <v>-4</v>
      </c>
      <c r="FY459" s="16">
        <f>IFERROR(__xludf.DUMMYFUNCTION("""COMPUTED_VALUE"""),-8.0)</f>
        <v>-8</v>
      </c>
      <c r="FZ459" s="16">
        <f>IFERROR(__xludf.DUMMYFUNCTION("""COMPUTED_VALUE"""),-6.0)</f>
        <v>-6</v>
      </c>
      <c r="GA459" s="16">
        <f>IFERROR(__xludf.DUMMYFUNCTION("""COMPUTED_VALUE"""),-8.0)</f>
        <v>-8</v>
      </c>
      <c r="GB459" s="16"/>
      <c r="GC459" s="16">
        <f>IFERROR(__xludf.DUMMYFUNCTION("""COMPUTED_VALUE"""),-8.0)</f>
        <v>-8</v>
      </c>
      <c r="GD459" s="16" t="s">
        <v>176</v>
      </c>
    </row>
    <row r="460">
      <c r="A460" s="16">
        <f>IFERROR(__xludf.DUMMYFUNCTION("""COMPUTED_VALUE"""),12564.0)</f>
        <v>12564</v>
      </c>
      <c r="B460" s="16" t="str">
        <f>IFERROR(__xludf.DUMMYFUNCTION("""COMPUTED_VALUE"""),"Austin Hedges")</f>
        <v>Austin Hedges</v>
      </c>
      <c r="C460" s="16">
        <f>IFERROR(__xludf.DUMMYFUNCTION("""COMPUTED_VALUE"""),0.0)</f>
        <v>0</v>
      </c>
      <c r="D460" s="16" t="str">
        <f>IFERROR(__xludf.DUMMYFUNCTION("""COMPUTED_VALUE"""),"R")</f>
        <v>R</v>
      </c>
      <c r="E460" s="16"/>
      <c r="F460" s="16"/>
      <c r="G460" s="16">
        <f>IFERROR(__xludf.DUMMYFUNCTION("""COMPUTED_VALUE"""),132.0)</f>
        <v>132</v>
      </c>
      <c r="H460" s="16">
        <f>IFERROR(__xludf.DUMMYFUNCTION("""COMPUTED_VALUE"""),6.0)</f>
        <v>6</v>
      </c>
      <c r="I460" s="16" t="str">
        <f>IFERROR(__xludf.DUMMYFUNCTION("""COMPUTED_VALUE"""),"2p30")</f>
        <v>2p30</v>
      </c>
      <c r="J460" s="16">
        <f>IFERROR(__xludf.DUMMYFUNCTION("""COMPUTED_VALUE"""),49.0)</f>
        <v>49</v>
      </c>
      <c r="K460" s="16">
        <f>IFERROR(__xludf.DUMMYFUNCTION("""COMPUTED_VALUE"""),51.0)</f>
        <v>51</v>
      </c>
      <c r="L460" s="16">
        <f>IFERROR(__xludf.DUMMYFUNCTION("""COMPUTED_VALUE"""),-2.0)</f>
        <v>-2</v>
      </c>
      <c r="M460" s="16">
        <f>IFERROR(__xludf.DUMMYFUNCTION("""COMPUTED_VALUE"""),-2.0)</f>
        <v>-2</v>
      </c>
      <c r="N460" s="16">
        <f>IFERROR(__xludf.DUMMYFUNCTION("""COMPUTED_VALUE"""),-2.0)</f>
        <v>-2</v>
      </c>
      <c r="O460" s="16">
        <f>IFERROR(__xludf.DUMMYFUNCTION("""COMPUTED_VALUE"""),-2.0)</f>
        <v>-2</v>
      </c>
      <c r="P460" s="16">
        <f>IFERROR(__xludf.DUMMYFUNCTION("""COMPUTED_VALUE"""),0.0)</f>
        <v>0</v>
      </c>
      <c r="Q460" s="16">
        <f>IFERROR(__xludf.DUMMYFUNCTION("""COMPUTED_VALUE"""),6.0)</f>
        <v>6</v>
      </c>
      <c r="R460" s="16">
        <f>IFERROR(__xludf.DUMMYFUNCTION("""COMPUTED_VALUE"""),-3.0)</f>
        <v>-3</v>
      </c>
      <c r="S460" s="16">
        <f>IFERROR(__xludf.DUMMYFUNCTION("""COMPUTED_VALUE"""),-1.0)</f>
        <v>-1</v>
      </c>
      <c r="T460" s="16">
        <f>IFERROR(__xludf.DUMMYFUNCTION("""COMPUTED_VALUE"""),-3.0)</f>
        <v>-3</v>
      </c>
      <c r="U460" s="16">
        <f>IFERROR(__xludf.DUMMYFUNCTION("""COMPUTED_VALUE"""),-1.0)</f>
        <v>-1</v>
      </c>
      <c r="V460" s="16">
        <f>IFERROR(__xludf.DUMMYFUNCTION("""COMPUTED_VALUE"""),15.7)</f>
        <v>15.7</v>
      </c>
      <c r="W460" s="16">
        <f>IFERROR(__xludf.DUMMYFUNCTION("""COMPUTED_VALUE"""),0.0)</f>
        <v>0</v>
      </c>
      <c r="X460" s="16">
        <f>IFERROR(__xludf.DUMMYFUNCTION("""COMPUTED_VALUE"""),-1.0)</f>
        <v>-1</v>
      </c>
      <c r="Y460" s="16">
        <f>IFERROR(__xludf.DUMMYFUNCTION("""COMPUTED_VALUE"""),-3.0)</f>
        <v>-3</v>
      </c>
      <c r="Z460" s="16">
        <f>IFERROR(__xludf.DUMMYFUNCTION("""COMPUTED_VALUE"""),-2.0)</f>
        <v>-2</v>
      </c>
      <c r="AA460" s="16">
        <f>IFERROR(__xludf.DUMMYFUNCTION("""COMPUTED_VALUE"""),-6.0)</f>
        <v>-6</v>
      </c>
      <c r="AB460" s="16">
        <f>IFERROR(__xludf.DUMMYFUNCTION("""COMPUTED_VALUE"""),20.6)</f>
        <v>20.6</v>
      </c>
      <c r="AC460" s="16">
        <f>IFERROR(__xludf.DUMMYFUNCTION("""COMPUTED_VALUE"""),11.0)</f>
        <v>11</v>
      </c>
      <c r="AD460" s="16">
        <f>IFERROR(__xludf.DUMMYFUNCTION("""COMPUTED_VALUE"""),-1.0)</f>
        <v>-1</v>
      </c>
      <c r="AE460" s="16">
        <f>IFERROR(__xludf.DUMMYFUNCTION("""COMPUTED_VALUE"""),-3.0)</f>
        <v>-3</v>
      </c>
      <c r="AF460" s="16">
        <f>IFERROR(__xludf.DUMMYFUNCTION("""COMPUTED_VALUE"""),-5.0)</f>
        <v>-5</v>
      </c>
      <c r="AG460" s="16">
        <f>IFERROR(__xludf.DUMMYFUNCTION("""COMPUTED_VALUE"""),-15.0)</f>
        <v>-15</v>
      </c>
      <c r="AH460" s="16">
        <f>IFERROR(__xludf.DUMMYFUNCTION("""COMPUTED_VALUE"""),25.0)</f>
        <v>25</v>
      </c>
      <c r="AI460" s="16">
        <f>IFERROR(__xludf.DUMMYFUNCTION("""COMPUTED_VALUE"""),0.0)</f>
        <v>0</v>
      </c>
      <c r="AJ460" s="16">
        <f>IFERROR(__xludf.DUMMYFUNCTION("""COMPUTED_VALUE"""),-1.0)</f>
        <v>-1</v>
      </c>
      <c r="AK460" s="16">
        <f>IFERROR(__xludf.DUMMYFUNCTION("""COMPUTED_VALUE"""),-3.0)</f>
        <v>-3</v>
      </c>
      <c r="AL460" s="16">
        <f>IFERROR(__xludf.DUMMYFUNCTION("""COMPUTED_VALUE"""),-5.0)</f>
        <v>-5</v>
      </c>
      <c r="AM460" s="16">
        <f>IFERROR(__xludf.DUMMYFUNCTION("""COMPUTED_VALUE"""),-15.0)</f>
        <v>-15</v>
      </c>
      <c r="AN460" s="16">
        <f>IFERROR(__xludf.DUMMYFUNCTION("""COMPUTED_VALUE"""),2.7)</f>
        <v>2.7</v>
      </c>
      <c r="AO460" s="16">
        <f>IFERROR(__xludf.DUMMYFUNCTION("""COMPUTED_VALUE"""),0.0)</f>
        <v>0</v>
      </c>
      <c r="AP460" s="16">
        <f>IFERROR(__xludf.DUMMYFUNCTION("""COMPUTED_VALUE"""),0.0)</f>
        <v>0</v>
      </c>
      <c r="AQ460" s="16">
        <f>IFERROR(__xludf.DUMMYFUNCTION("""COMPUTED_VALUE"""),-3.0)</f>
        <v>-3</v>
      </c>
      <c r="AR460" s="16">
        <f>IFERROR(__xludf.DUMMYFUNCTION("""COMPUTED_VALUE"""),0.0)</f>
        <v>0</v>
      </c>
      <c r="AS460" s="16">
        <f>IFERROR(__xludf.DUMMYFUNCTION("""COMPUTED_VALUE"""),-6.0)</f>
        <v>-6</v>
      </c>
      <c r="AT460" s="16"/>
      <c r="AU460" s="16"/>
      <c r="AV460" s="16">
        <f>IFERROR(__xludf.DUMMYFUNCTION("""COMPUTED_VALUE"""),3.0)</f>
        <v>3</v>
      </c>
      <c r="AW460" s="16">
        <f>IFERROR(__xludf.DUMMYFUNCTION("""COMPUTED_VALUE"""),6.0)</f>
        <v>6</v>
      </c>
      <c r="AX460" s="16">
        <f>IFERROR(__xludf.DUMMYFUNCTION("""COMPUTED_VALUE"""),1.0)</f>
        <v>1</v>
      </c>
      <c r="AY460" s="16">
        <f>IFERROR(__xludf.DUMMYFUNCTION("""COMPUTED_VALUE"""),2.0)</f>
        <v>2</v>
      </c>
      <c r="AZ460" s="16">
        <f>IFERROR(__xludf.DUMMYFUNCTION("""COMPUTED_VALUE"""),3.0)</f>
        <v>3</v>
      </c>
      <c r="BA460" s="16">
        <f>IFERROR(__xludf.DUMMYFUNCTION("""COMPUTED_VALUE"""),6.0)</f>
        <v>6</v>
      </c>
      <c r="BB460" s="16">
        <f>IFERROR(__xludf.DUMMYFUNCTION("""COMPUTED_VALUE"""),0.0)</f>
        <v>0</v>
      </c>
      <c r="BC460" s="16">
        <f>IFERROR(__xludf.DUMMYFUNCTION("""COMPUTED_VALUE"""),0.0)</f>
        <v>0</v>
      </c>
      <c r="BD460" s="16">
        <f>IFERROR(__xludf.DUMMYFUNCTION("""COMPUTED_VALUE"""),0.0)</f>
        <v>0</v>
      </c>
      <c r="BE460" s="16">
        <f>IFERROR(__xludf.DUMMYFUNCTION("""COMPUTED_VALUE"""),0.0)</f>
        <v>0</v>
      </c>
      <c r="BF460" s="16">
        <f>IFERROR(__xludf.DUMMYFUNCTION("""COMPUTED_VALUE"""),0.0)</f>
        <v>0</v>
      </c>
      <c r="BG460" s="16">
        <f>IFERROR(__xludf.DUMMYFUNCTION("""COMPUTED_VALUE"""),0.0)</f>
        <v>0</v>
      </c>
      <c r="BH460" s="16">
        <f>IFERROR(__xludf.DUMMYFUNCTION("""COMPUTED_VALUE"""),6.0)</f>
        <v>6</v>
      </c>
      <c r="BI460" s="16">
        <f>IFERROR(__xludf.DUMMYFUNCTION("""COMPUTED_VALUE"""),0.0)</f>
        <v>0</v>
      </c>
      <c r="BJ460" s="16">
        <f>IFERROR(__xludf.DUMMYFUNCTION("""COMPUTED_VALUE"""),11.0)</f>
        <v>11</v>
      </c>
      <c r="BK460" s="16">
        <f>IFERROR(__xludf.DUMMYFUNCTION("""COMPUTED_VALUE"""),10.0)</f>
        <v>10</v>
      </c>
      <c r="BL460" s="16">
        <f>IFERROR(__xludf.DUMMYFUNCTION("""COMPUTED_VALUE"""),0.0)</f>
        <v>0</v>
      </c>
      <c r="BM460" s="16">
        <f>IFERROR(__xludf.DUMMYFUNCTION("""COMPUTED_VALUE"""),0.0)</f>
        <v>0</v>
      </c>
      <c r="BN460" s="16">
        <f>IFERROR(__xludf.DUMMYFUNCTION("""COMPUTED_VALUE"""),0.0)</f>
        <v>0</v>
      </c>
      <c r="BO460" s="16">
        <f>IFERROR(__xludf.DUMMYFUNCTION("""COMPUTED_VALUE"""),0.0)</f>
        <v>0</v>
      </c>
      <c r="BP460" s="16">
        <f>IFERROR(__xludf.DUMMYFUNCTION("""COMPUTED_VALUE"""),-7.0)</f>
        <v>-7</v>
      </c>
      <c r="BQ460" s="16">
        <f>IFERROR(__xludf.DUMMYFUNCTION("""COMPUTED_VALUE"""),-13.0)</f>
        <v>-13</v>
      </c>
      <c r="BR460" s="16">
        <f>IFERROR(__xludf.DUMMYFUNCTION("""COMPUTED_VALUE"""),-20.0)</f>
        <v>-20</v>
      </c>
      <c r="BS460" s="16" t="str">
        <f>IFERROR(__xludf.DUMMYFUNCTION("""COMPUTED_VALUE"""),"4/- (20-6)")</f>
        <v>4/- (20-6)</v>
      </c>
      <c r="BT460" s="16" t="str">
        <f>IFERROR(__xludf.DUMMYFUNCTION("""COMPUTED_VALUE"""),"D")</f>
        <v>D</v>
      </c>
      <c r="BU460" s="16">
        <f>IFERROR(__xludf.DUMMYFUNCTION("""COMPUTED_VALUE"""),9.0)</f>
        <v>9</v>
      </c>
      <c r="BV460" s="16">
        <f>IFERROR(__xludf.DUMMYFUNCTION("""COMPUTED_VALUE"""),0.0)</f>
        <v>0</v>
      </c>
      <c r="BW460" s="16">
        <f>IFERROR(__xludf.DUMMYFUNCTION("""COMPUTED_VALUE"""),-1.0)</f>
        <v>-1</v>
      </c>
      <c r="BX460" s="16">
        <f>IFERROR(__xludf.DUMMYFUNCTION("""COMPUTED_VALUE"""),0.0)</f>
        <v>0</v>
      </c>
      <c r="BY460" s="16">
        <f>IFERROR(__xludf.DUMMYFUNCTION("""COMPUTED_VALUE"""),-3.0)</f>
        <v>-3</v>
      </c>
      <c r="BZ460" s="16" t="str">
        <f>IFERROR(__xludf.DUMMYFUNCTION("""COMPUTED_VALUE"""),"A")</f>
        <v>A</v>
      </c>
      <c r="CA460" s="16" t="str">
        <f>IFERROR(__xludf.DUMMYFUNCTION("""COMPUTED_VALUE"""),"D")</f>
        <v>D</v>
      </c>
      <c r="CB460" s="16">
        <f>IFERROR(__xludf.DUMMYFUNCTION("""COMPUTED_VALUE"""),2.0)</f>
        <v>2</v>
      </c>
      <c r="CC460" s="16">
        <f>IFERROR(__xludf.DUMMYFUNCTION("""COMPUTED_VALUE"""),0.0)</f>
        <v>0</v>
      </c>
      <c r="CD460" s="16">
        <f>IFERROR(__xludf.DUMMYFUNCTION("""COMPUTED_VALUE"""),2.0)</f>
        <v>2</v>
      </c>
      <c r="CE460" s="16">
        <f>IFERROR(__xludf.DUMMYFUNCTION("""COMPUTED_VALUE"""),0.0)</f>
        <v>0</v>
      </c>
      <c r="CF460" s="16">
        <f>IFERROR(__xludf.DUMMYFUNCTION("""COMPUTED_VALUE"""),2.0)</f>
        <v>2</v>
      </c>
      <c r="CG460" s="16">
        <f>IFERROR(__xludf.DUMMYFUNCTION("""COMPUTED_VALUE"""),-14.0)</f>
        <v>-14</v>
      </c>
      <c r="CH460" s="16">
        <f>IFERROR(__xludf.DUMMYFUNCTION("""COMPUTED_VALUE"""),-39.0)</f>
        <v>-39</v>
      </c>
      <c r="CI460" s="179">
        <f>IFERROR(__xludf.DUMMYFUNCTION("""COMPUTED_VALUE"""),-33.0)</f>
        <v>-33</v>
      </c>
      <c r="CJ460" s="16">
        <f>IFERROR(__xludf.DUMMYFUNCTION("""COMPUTED_VALUE"""),101.0)</f>
        <v>101</v>
      </c>
      <c r="CK460" s="16"/>
      <c r="CL460" s="16"/>
      <c r="CM460" s="16"/>
      <c r="CN460" s="16"/>
      <c r="CO460" s="16"/>
      <c r="CP460" s="16"/>
      <c r="CQ460" s="16"/>
      <c r="CR460" s="16" t="str">
        <f>IFERROR(__xludf.DUMMYFUNCTION("""COMPUTED_VALUE"""),"c-1(0)e1,T-10(pb-0)")</f>
        <v>c-1(0)e1,T-10(pb-0)</v>
      </c>
      <c r="CS460" s="16">
        <f>IFERROR(__xludf.DUMMYFUNCTION("""COMPUTED_VALUE"""),1.0)</f>
        <v>1</v>
      </c>
      <c r="CT460" s="16"/>
      <c r="CU460" s="16"/>
      <c r="CV460" s="16"/>
      <c r="CW460" s="16"/>
      <c r="CX460" s="16"/>
      <c r="CY460" s="16"/>
      <c r="CZ460" s="16"/>
      <c r="DA460" s="16">
        <f>IFERROR(__xludf.DUMMYFUNCTION("""COMPUTED_VALUE"""),1.0)</f>
        <v>1</v>
      </c>
      <c r="DB460" s="16"/>
      <c r="DC460" s="16"/>
      <c r="DD460" s="16"/>
      <c r="DE460" s="16"/>
      <c r="DF460" s="16"/>
      <c r="DG460" s="16"/>
      <c r="DH460" s="16"/>
      <c r="DI460" s="16">
        <f>IFERROR(__xludf.DUMMYFUNCTION("""COMPUTED_VALUE"""),4.0)</f>
        <v>4</v>
      </c>
      <c r="DJ460" s="16"/>
      <c r="DK460" s="16"/>
      <c r="DL460" s="16"/>
      <c r="DM460" s="16"/>
      <c r="DN460" s="16"/>
      <c r="DO460" s="16"/>
      <c r="DP460" s="16"/>
      <c r="DQ460" s="16">
        <f>IFERROR(__xludf.DUMMYFUNCTION("""COMPUTED_VALUE"""),4.0)</f>
        <v>4</v>
      </c>
      <c r="DR460" s="16"/>
      <c r="DS460" s="16"/>
      <c r="DT460" s="16"/>
      <c r="DU460" s="16"/>
      <c r="DV460" s="16"/>
      <c r="DW460" s="16"/>
      <c r="DX460" s="16"/>
      <c r="DY460" s="16">
        <f>IFERROR(__xludf.DUMMYFUNCTION("""COMPUTED_VALUE"""),8.0)</f>
        <v>8</v>
      </c>
      <c r="DZ460" s="16"/>
      <c r="EA460" s="16"/>
      <c r="EB460" s="16"/>
      <c r="EC460" s="16"/>
      <c r="ED460" s="16"/>
      <c r="EE460" s="16"/>
      <c r="EF460" s="16"/>
      <c r="EG460" s="179">
        <f>IFERROR(__xludf.DUMMYFUNCTION("""COMPUTED_VALUE"""),-25.0)</f>
        <v>-25</v>
      </c>
      <c r="EH460" s="179"/>
      <c r="EI460" s="179"/>
      <c r="EJ460" s="179"/>
      <c r="EK460" s="179"/>
      <c r="EL460" s="179"/>
      <c r="EM460" s="179"/>
      <c r="EN460" s="179"/>
      <c r="EO460" s="16">
        <f>IFERROR(__xludf.DUMMYFUNCTION("""COMPUTED_VALUE"""),0.0)</f>
        <v>0</v>
      </c>
      <c r="EP460" s="16">
        <f>IFERROR(__xludf.DUMMYFUNCTION("""COMPUTED_VALUE"""),0.0)</f>
        <v>0</v>
      </c>
      <c r="EQ460" s="16">
        <f>IFERROR(__xludf.DUMMYFUNCTION("""COMPUTED_VALUE"""),2.0)</f>
        <v>2</v>
      </c>
      <c r="ER460" s="16">
        <f>IFERROR(__xludf.DUMMYFUNCTION("""COMPUTED_VALUE"""),-2.0)</f>
        <v>-2</v>
      </c>
      <c r="ES460" s="16" t="str">
        <f>IFERROR(__xludf.DUMMYFUNCTION("""COMPUTED_VALUE"""),"c-1")</f>
        <v>c-1</v>
      </c>
      <c r="ET460" s="16" t="str">
        <f>IFERROR(__xludf.DUMMYFUNCTION("""COMPUTED_VALUE"""),"0)e1,T-10")</f>
        <v>0)e1,T-10</v>
      </c>
      <c r="EU460" s="16" t="str">
        <f>IFERROR(__xludf.DUMMYFUNCTION("""COMPUTED_VALUE"""),"pb-0)")</f>
        <v>pb-0)</v>
      </c>
      <c r="EV460" s="16"/>
      <c r="EW460" s="16">
        <f>IFERROR(__xludf.DUMMYFUNCTION("""COMPUTED_VALUE"""),0.0)</f>
        <v>0</v>
      </c>
      <c r="EX460" s="180">
        <f>IFERROR(__xludf.DUMMYFUNCTION("""COMPUTED_VALUE"""),0.0)</f>
        <v>0</v>
      </c>
      <c r="EY460" s="180"/>
      <c r="EZ460" s="180"/>
      <c r="FA460" s="180"/>
      <c r="FB460" s="180"/>
      <c r="FC460" s="180"/>
      <c r="FD460" s="180"/>
      <c r="FE460" s="180"/>
      <c r="FF460" s="180">
        <f>IFERROR(__xludf.DUMMYFUNCTION("""COMPUTED_VALUE"""),0.014)</f>
        <v>0.014</v>
      </c>
      <c r="FG460" s="180"/>
      <c r="FH460" s="180"/>
      <c r="FI460" s="180"/>
      <c r="FJ460" s="180"/>
      <c r="FK460" s="180"/>
      <c r="FL460" s="180"/>
      <c r="FM460" s="180"/>
      <c r="FN460" s="16">
        <f>IFERROR(__xludf.DUMMYFUNCTION("""COMPUTED_VALUE"""),0.986)</f>
        <v>0.986</v>
      </c>
      <c r="FO460" s="16"/>
      <c r="FP460" s="16"/>
      <c r="FQ460" s="16"/>
      <c r="FR460" s="16"/>
      <c r="FS460" s="16"/>
      <c r="FT460" s="16"/>
      <c r="FU460" s="16"/>
      <c r="FV460" s="16">
        <f>IFERROR(__xludf.DUMMYFUNCTION("""COMPUTED_VALUE"""),8.0)</f>
        <v>8</v>
      </c>
      <c r="FW460" s="16"/>
      <c r="FX460" s="16"/>
      <c r="FY460" s="16"/>
      <c r="FZ460" s="16"/>
      <c r="GA460" s="16"/>
      <c r="GB460" s="16"/>
      <c r="GC460" s="16"/>
      <c r="GD460" s="16" t="s">
        <v>176</v>
      </c>
    </row>
    <row r="461">
      <c r="A461" s="16">
        <f>IFERROR(__xludf.DUMMYFUNCTION("""COMPUTED_VALUE"""),13447.0)</f>
        <v>13447</v>
      </c>
      <c r="B461" s="16" t="str">
        <f>IFERROR(__xludf.DUMMYFUNCTION("""COMPUTED_VALUE"""),"Tyler Anderson")</f>
        <v>Tyler Anderson</v>
      </c>
      <c r="C461" s="16">
        <f>IFERROR(__xludf.DUMMYFUNCTION("""COMPUTED_VALUE"""),0.94)</f>
        <v>0.94</v>
      </c>
      <c r="D461" s="16" t="str">
        <f>IFERROR(__xludf.DUMMYFUNCTION("""COMPUTED_VALUE"""),"R")</f>
        <v>R</v>
      </c>
      <c r="E461" s="16"/>
      <c r="F461" s="16"/>
      <c r="G461" s="16">
        <f>IFERROR(__xludf.DUMMYFUNCTION("""COMPUTED_VALUE"""),234.0)</f>
        <v>234</v>
      </c>
      <c r="H461" s="16">
        <f>IFERROR(__xludf.DUMMYFUNCTION("""COMPUTED_VALUE"""),7.0)</f>
        <v>7</v>
      </c>
      <c r="I461" s="16" t="str">
        <f>IFERROR(__xludf.DUMMYFUNCTION("""COMPUTED_VALUE"""),"1p70")</f>
        <v>1p70</v>
      </c>
      <c r="J461" s="16">
        <f>IFERROR(__xludf.DUMMYFUNCTION("""COMPUTED_VALUE"""),37.0)</f>
        <v>37</v>
      </c>
      <c r="K461" s="16">
        <f>IFERROR(__xludf.DUMMYFUNCTION("""COMPUTED_VALUE"""),35.0)</f>
        <v>35</v>
      </c>
      <c r="L461" s="16">
        <f>IFERROR(__xludf.DUMMYFUNCTION("""COMPUTED_VALUE"""),-1.0)</f>
        <v>-1</v>
      </c>
      <c r="M461" s="16">
        <f>IFERROR(__xludf.DUMMYFUNCTION("""COMPUTED_VALUE"""),-1.0)</f>
        <v>-1</v>
      </c>
      <c r="N461" s="16">
        <f>IFERROR(__xludf.DUMMYFUNCTION("""COMPUTED_VALUE"""),-1.0)</f>
        <v>-1</v>
      </c>
      <c r="O461" s="16">
        <f>IFERROR(__xludf.DUMMYFUNCTION("""COMPUTED_VALUE"""),-1.0)</f>
        <v>-1</v>
      </c>
      <c r="P461" s="16">
        <f>IFERROR(__xludf.DUMMYFUNCTION("""COMPUTED_VALUE"""),0.0)</f>
        <v>0</v>
      </c>
      <c r="Q461" s="16">
        <f>IFERROR(__xludf.DUMMYFUNCTION("""COMPUTED_VALUE"""),0.0)</f>
        <v>0</v>
      </c>
      <c r="R461" s="16">
        <f>IFERROR(__xludf.DUMMYFUNCTION("""COMPUTED_VALUE"""),-3.0)</f>
        <v>-3</v>
      </c>
      <c r="S461" s="16">
        <f>IFERROR(__xludf.DUMMYFUNCTION("""COMPUTED_VALUE"""),-2.0)</f>
        <v>-2</v>
      </c>
      <c r="T461" s="16">
        <f>IFERROR(__xludf.DUMMYFUNCTION("""COMPUTED_VALUE"""),-3.0)</f>
        <v>-3</v>
      </c>
      <c r="U461" s="16">
        <f>IFERROR(__xludf.DUMMYFUNCTION("""COMPUTED_VALUE"""),-2.0)</f>
        <v>-2</v>
      </c>
      <c r="V461" s="16">
        <f>IFERROR(__xludf.DUMMYFUNCTION("""COMPUTED_VALUE"""),21.8)</f>
        <v>21.8</v>
      </c>
      <c r="W461" s="16">
        <f>IFERROR(__xludf.DUMMYFUNCTION("""COMPUTED_VALUE"""),15.6)</f>
        <v>15.6</v>
      </c>
      <c r="X461" s="16">
        <f>IFERROR(__xludf.DUMMYFUNCTION("""COMPUTED_VALUE"""),0.0)</f>
        <v>0</v>
      </c>
      <c r="Y461" s="16">
        <f>IFERROR(__xludf.DUMMYFUNCTION("""COMPUTED_VALUE"""),-1.0)</f>
        <v>-1</v>
      </c>
      <c r="Z461" s="16">
        <f>IFERROR(__xludf.DUMMYFUNCTION("""COMPUTED_VALUE"""),0.0)</f>
        <v>0</v>
      </c>
      <c r="AA461" s="16">
        <f>IFERROR(__xludf.DUMMYFUNCTION("""COMPUTED_VALUE"""),-2.0)</f>
        <v>-2</v>
      </c>
      <c r="AB461" s="16">
        <f>IFERROR(__xludf.DUMMYFUNCTION("""COMPUTED_VALUE"""),21.8)</f>
        <v>21.8</v>
      </c>
      <c r="AC461" s="16">
        <f>IFERROR(__xludf.DUMMYFUNCTION("""COMPUTED_VALUE"""),15.6)</f>
        <v>15.6</v>
      </c>
      <c r="AD461" s="16">
        <f>IFERROR(__xludf.DUMMYFUNCTION("""COMPUTED_VALUE"""),-1.0)</f>
        <v>-1</v>
      </c>
      <c r="AE461" s="16">
        <f>IFERROR(__xludf.DUMMYFUNCTION("""COMPUTED_VALUE"""),-2.0)</f>
        <v>-2</v>
      </c>
      <c r="AF461" s="16">
        <f>IFERROR(__xludf.DUMMYFUNCTION("""COMPUTED_VALUE"""),-5.0)</f>
        <v>-5</v>
      </c>
      <c r="AG461" s="16">
        <f>IFERROR(__xludf.DUMMYFUNCTION("""COMPUTED_VALUE"""),-10.0)</f>
        <v>-10</v>
      </c>
      <c r="AH461" s="16">
        <f>IFERROR(__xludf.DUMMYFUNCTION("""COMPUTED_VALUE"""),21.8)</f>
        <v>21.8</v>
      </c>
      <c r="AI461" s="16">
        <f>IFERROR(__xludf.DUMMYFUNCTION("""COMPUTED_VALUE"""),15.6)</f>
        <v>15.6</v>
      </c>
      <c r="AJ461" s="16">
        <f>IFERROR(__xludf.DUMMYFUNCTION("""COMPUTED_VALUE"""),-1.0)</f>
        <v>-1</v>
      </c>
      <c r="AK461" s="16">
        <f>IFERROR(__xludf.DUMMYFUNCTION("""COMPUTED_VALUE"""),-2.0)</f>
        <v>-2</v>
      </c>
      <c r="AL461" s="16">
        <f>IFERROR(__xludf.DUMMYFUNCTION("""COMPUTED_VALUE"""),-5.0)</f>
        <v>-5</v>
      </c>
      <c r="AM461" s="16">
        <f>IFERROR(__xludf.DUMMYFUNCTION("""COMPUTED_VALUE"""),-10.0)</f>
        <v>-10</v>
      </c>
      <c r="AN461" s="16">
        <f>IFERROR(__xludf.DUMMYFUNCTION("""COMPUTED_VALUE"""),0.0)</f>
        <v>0</v>
      </c>
      <c r="AO461" s="16">
        <f>IFERROR(__xludf.DUMMYFUNCTION("""COMPUTED_VALUE"""),0.0)</f>
        <v>0</v>
      </c>
      <c r="AP461" s="16">
        <f>IFERROR(__xludf.DUMMYFUNCTION("""COMPUTED_VALUE"""),-2.0)</f>
        <v>-2</v>
      </c>
      <c r="AQ461" s="16">
        <f>IFERROR(__xludf.DUMMYFUNCTION("""COMPUTED_VALUE"""),-3.0)</f>
        <v>-3</v>
      </c>
      <c r="AR461" s="16">
        <f>IFERROR(__xludf.DUMMYFUNCTION("""COMPUTED_VALUE"""),-4.0)</f>
        <v>-4</v>
      </c>
      <c r="AS461" s="16">
        <f>IFERROR(__xludf.DUMMYFUNCTION("""COMPUTED_VALUE"""),-6.0)</f>
        <v>-6</v>
      </c>
      <c r="AT461" s="16"/>
      <c r="AU461" s="16"/>
      <c r="AV461" s="16">
        <f>IFERROR(__xludf.DUMMYFUNCTION("""COMPUTED_VALUE"""),-3.0)</f>
        <v>-3</v>
      </c>
      <c r="AW461" s="16">
        <f>IFERROR(__xludf.DUMMYFUNCTION("""COMPUTED_VALUE"""),-3.0)</f>
        <v>-3</v>
      </c>
      <c r="AX461" s="16">
        <f>IFERROR(__xludf.DUMMYFUNCTION("""COMPUTED_VALUE"""),-3.0)</f>
        <v>-3</v>
      </c>
      <c r="AY461" s="16">
        <f>IFERROR(__xludf.DUMMYFUNCTION("""COMPUTED_VALUE"""),-3.0)</f>
        <v>-3</v>
      </c>
      <c r="AZ461" s="16">
        <f>IFERROR(__xludf.DUMMYFUNCTION("""COMPUTED_VALUE"""),-9.0)</f>
        <v>-9</v>
      </c>
      <c r="BA461" s="16">
        <f>IFERROR(__xludf.DUMMYFUNCTION("""COMPUTED_VALUE"""),-9.0)</f>
        <v>-9</v>
      </c>
      <c r="BB461" s="16">
        <f>IFERROR(__xludf.DUMMYFUNCTION("""COMPUTED_VALUE"""),5.0)</f>
        <v>5</v>
      </c>
      <c r="BC461" s="16">
        <f>IFERROR(__xludf.DUMMYFUNCTION("""COMPUTED_VALUE"""),5.0)</f>
        <v>5</v>
      </c>
      <c r="BD461" s="16">
        <f>IFERROR(__xludf.DUMMYFUNCTION("""COMPUTED_VALUE"""),1.0)</f>
        <v>1</v>
      </c>
      <c r="BE461" s="16">
        <f>IFERROR(__xludf.DUMMYFUNCTION("""COMPUTED_VALUE"""),1.0)</f>
        <v>1</v>
      </c>
      <c r="BF461" s="16">
        <f>IFERROR(__xludf.DUMMYFUNCTION("""COMPUTED_VALUE"""),1.0)</f>
        <v>1</v>
      </c>
      <c r="BG461" s="16">
        <f>IFERROR(__xludf.DUMMYFUNCTION("""COMPUTED_VALUE"""),1.0)</f>
        <v>1</v>
      </c>
      <c r="BH461" s="16">
        <f>IFERROR(__xludf.DUMMYFUNCTION("""COMPUTED_VALUE"""),-13.0)</f>
        <v>-13</v>
      </c>
      <c r="BI461" s="16">
        <f>IFERROR(__xludf.DUMMYFUNCTION("""COMPUTED_VALUE"""),-13.0)</f>
        <v>-13</v>
      </c>
      <c r="BJ461" s="16">
        <f>IFERROR(__xludf.DUMMYFUNCTION("""COMPUTED_VALUE"""),21.0)</f>
        <v>21</v>
      </c>
      <c r="BK461" s="16">
        <f>IFERROR(__xludf.DUMMYFUNCTION("""COMPUTED_VALUE"""),21.0)</f>
        <v>21</v>
      </c>
      <c r="BL461" s="16">
        <f>IFERROR(__xludf.DUMMYFUNCTION("""COMPUTED_VALUE"""),-2.0)</f>
        <v>-2</v>
      </c>
      <c r="BM461" s="16">
        <f>IFERROR(__xludf.DUMMYFUNCTION("""COMPUTED_VALUE"""),-2.0)</f>
        <v>-2</v>
      </c>
      <c r="BN461" s="16">
        <f>IFERROR(__xludf.DUMMYFUNCTION("""COMPUTED_VALUE"""),-4.0)</f>
        <v>-4</v>
      </c>
      <c r="BO461" s="16">
        <f>IFERROR(__xludf.DUMMYFUNCTION("""COMPUTED_VALUE"""),-4.0)</f>
        <v>-4</v>
      </c>
      <c r="BP461" s="16">
        <f>IFERROR(__xludf.DUMMYFUNCTION("""COMPUTED_VALUE"""),-12.0)</f>
        <v>-12</v>
      </c>
      <c r="BQ461" s="16">
        <f>IFERROR(__xludf.DUMMYFUNCTION("""COMPUTED_VALUE"""),-15.0)</f>
        <v>-15</v>
      </c>
      <c r="BR461" s="16">
        <f>IFERROR(__xludf.DUMMYFUNCTION("""COMPUTED_VALUE"""),-27.0)</f>
        <v>-27</v>
      </c>
      <c r="BS461" s="16" t="str">
        <f>IFERROR(__xludf.DUMMYFUNCTION("""COMPUTED_VALUE"""),"*4-8/9,10 (15-8)")</f>
        <v>*4-8/9,10 (15-8)</v>
      </c>
      <c r="BT461" s="16" t="str">
        <f>IFERROR(__xludf.DUMMYFUNCTION("""COMPUTED_VALUE"""),"C")</f>
        <v>C</v>
      </c>
      <c r="BU461" s="16">
        <f>IFERROR(__xludf.DUMMYFUNCTION("""COMPUTED_VALUE"""),12.0)</f>
        <v>12</v>
      </c>
      <c r="BV461" s="16">
        <f>IFERROR(__xludf.DUMMYFUNCTION("""COMPUTED_VALUE"""),0.0)</f>
        <v>0</v>
      </c>
      <c r="BW461" s="16">
        <f>IFERROR(__xludf.DUMMYFUNCTION("""COMPUTED_VALUE"""),0.0)</f>
        <v>0</v>
      </c>
      <c r="BX461" s="16">
        <f>IFERROR(__xludf.DUMMYFUNCTION("""COMPUTED_VALUE"""),0.0)</f>
        <v>0</v>
      </c>
      <c r="BY461" s="16">
        <f>IFERROR(__xludf.DUMMYFUNCTION("""COMPUTED_VALUE"""),0.0)</f>
        <v>0</v>
      </c>
      <c r="BZ461" s="16" t="str">
        <f>IFERROR(__xludf.DUMMYFUNCTION("""COMPUTED_VALUE"""),"D")</f>
        <v>D</v>
      </c>
      <c r="CA461" s="16" t="str">
        <f>IFERROR(__xludf.DUMMYFUNCTION("""COMPUTED_VALUE"""),"D")</f>
        <v>D</v>
      </c>
      <c r="CB461" s="16">
        <f>IFERROR(__xludf.DUMMYFUNCTION("""COMPUTED_VALUE"""),0.0)</f>
        <v>0</v>
      </c>
      <c r="CC461" s="16">
        <f>IFERROR(__xludf.DUMMYFUNCTION("""COMPUTED_VALUE"""),0.0)</f>
        <v>0</v>
      </c>
      <c r="CD461" s="16">
        <f>IFERROR(__xludf.DUMMYFUNCTION("""COMPUTED_VALUE"""),0.0)</f>
        <v>0</v>
      </c>
      <c r="CE461" s="16">
        <f>IFERROR(__xludf.DUMMYFUNCTION("""COMPUTED_VALUE"""),0.0)</f>
        <v>0</v>
      </c>
      <c r="CF461" s="16">
        <f>IFERROR(__xludf.DUMMYFUNCTION("""COMPUTED_VALUE"""),1.0)</f>
        <v>1</v>
      </c>
      <c r="CG461" s="16">
        <f>IFERROR(__xludf.DUMMYFUNCTION("""COMPUTED_VALUE"""),-30.0)</f>
        <v>-30</v>
      </c>
      <c r="CH461" s="16">
        <f>IFERROR(__xludf.DUMMYFUNCTION("""COMPUTED_VALUE"""),-43.0)</f>
        <v>-43</v>
      </c>
      <c r="CI461" s="179">
        <f>IFERROR(__xludf.DUMMYFUNCTION("""COMPUTED_VALUE"""),-33.0)</f>
        <v>-33</v>
      </c>
      <c r="CJ461" s="16"/>
      <c r="CK461" s="16"/>
      <c r="CL461" s="16"/>
      <c r="CM461" s="16"/>
      <c r="CN461" s="16">
        <f>IFERROR(__xludf.DUMMYFUNCTION("""COMPUTED_VALUE"""),324.0)</f>
        <v>324</v>
      </c>
      <c r="CO461" s="16"/>
      <c r="CP461" s="16"/>
      <c r="CQ461" s="16"/>
      <c r="CR461" s="16" t="str">
        <f>IFERROR(__xludf.DUMMYFUNCTION("""COMPUTED_VALUE"""),"ss-3e24")</f>
        <v>ss-3e24</v>
      </c>
      <c r="CS461" s="16"/>
      <c r="CT461" s="16"/>
      <c r="CU461" s="16"/>
      <c r="CV461" s="16"/>
      <c r="CW461" s="16">
        <f>IFERROR(__xludf.DUMMYFUNCTION("""COMPUTED_VALUE"""),3.0)</f>
        <v>3</v>
      </c>
      <c r="CX461" s="16"/>
      <c r="CY461" s="16"/>
      <c r="CZ461" s="16"/>
      <c r="DA461" s="16"/>
      <c r="DB461" s="16"/>
      <c r="DC461" s="16"/>
      <c r="DD461" s="16"/>
      <c r="DE461" s="16">
        <f>IFERROR(__xludf.DUMMYFUNCTION("""COMPUTED_VALUE"""),24.0)</f>
        <v>24</v>
      </c>
      <c r="DF461" s="16"/>
      <c r="DG461" s="16"/>
      <c r="DH461" s="16"/>
      <c r="DI461" s="16"/>
      <c r="DJ461" s="16"/>
      <c r="DK461" s="16"/>
      <c r="DL461" s="16"/>
      <c r="DM461" s="16">
        <f>IFERROR(__xludf.DUMMYFUNCTION("""COMPUTED_VALUE"""),0.0)</f>
        <v>0</v>
      </c>
      <c r="DN461" s="16"/>
      <c r="DO461" s="16"/>
      <c r="DP461" s="16"/>
      <c r="DQ461" s="16"/>
      <c r="DR461" s="16"/>
      <c r="DS461" s="16"/>
      <c r="DT461" s="16"/>
      <c r="DU461" s="16">
        <f>IFERROR(__xludf.DUMMYFUNCTION("""COMPUTED_VALUE"""),0.0)</f>
        <v>0</v>
      </c>
      <c r="DV461" s="16"/>
      <c r="DW461" s="16"/>
      <c r="DX461" s="16"/>
      <c r="DY461" s="16"/>
      <c r="DZ461" s="16"/>
      <c r="EA461" s="16"/>
      <c r="EB461" s="16"/>
      <c r="EC461" s="16">
        <f>IFERROR(__xludf.DUMMYFUNCTION("""COMPUTED_VALUE"""),0.0)</f>
        <v>0</v>
      </c>
      <c r="ED461" s="16"/>
      <c r="EE461" s="16"/>
      <c r="EF461" s="16"/>
      <c r="EG461" s="179"/>
      <c r="EH461" s="179"/>
      <c r="EI461" s="179"/>
      <c r="EJ461" s="179"/>
      <c r="EK461" s="179">
        <f>IFERROR(__xludf.DUMMYFUNCTION("""COMPUTED_VALUE"""),-33.0)</f>
        <v>-33</v>
      </c>
      <c r="EL461" s="179"/>
      <c r="EM461" s="179"/>
      <c r="EN461" s="179"/>
      <c r="EO461" s="16"/>
      <c r="EP461" s="16">
        <f>IFERROR(__xludf.DUMMYFUNCTION("""COMPUTED_VALUE"""),-1.0)</f>
        <v>-1</v>
      </c>
      <c r="EQ461" s="16">
        <f>IFERROR(__xludf.DUMMYFUNCTION("""COMPUTED_VALUE"""),4.0)</f>
        <v>4</v>
      </c>
      <c r="ER461" s="16">
        <f>IFERROR(__xludf.DUMMYFUNCTION("""COMPUTED_VALUE"""),3.0)</f>
        <v>3</v>
      </c>
      <c r="ES461" s="16"/>
      <c r="ET461" s="16"/>
      <c r="EU461" s="16"/>
      <c r="EV461" s="16"/>
      <c r="EW461" s="16"/>
      <c r="EX461" s="180"/>
      <c r="EY461" s="180"/>
      <c r="EZ461" s="180"/>
      <c r="FA461" s="180"/>
      <c r="FB461" s="180">
        <f>IFERROR(__xludf.DUMMYFUNCTION("""COMPUTED_VALUE"""),0.2)</f>
        <v>0.2</v>
      </c>
      <c r="FC461" s="180"/>
      <c r="FD461" s="180"/>
      <c r="FE461" s="180"/>
      <c r="FF461" s="180"/>
      <c r="FG461" s="180"/>
      <c r="FH461" s="180"/>
      <c r="FI461" s="180"/>
      <c r="FJ461" s="180">
        <f>IFERROR(__xludf.DUMMYFUNCTION("""COMPUTED_VALUE"""),0.125)</f>
        <v>0.125</v>
      </c>
      <c r="FK461" s="180"/>
      <c r="FL461" s="180"/>
      <c r="FM461" s="180"/>
      <c r="FN461" s="16"/>
      <c r="FO461" s="16"/>
      <c r="FP461" s="16"/>
      <c r="FQ461" s="16"/>
      <c r="FR461" s="16">
        <f>IFERROR(__xludf.DUMMYFUNCTION("""COMPUTED_VALUE"""),0.7000000000000001)</f>
        <v>0.7</v>
      </c>
      <c r="FS461" s="16"/>
      <c r="FT461" s="16"/>
      <c r="FU461" s="16"/>
      <c r="FV461" s="16"/>
      <c r="FW461" s="16"/>
      <c r="FX461" s="16"/>
      <c r="FY461" s="16"/>
      <c r="FZ461" s="16">
        <f>IFERROR(__xludf.DUMMYFUNCTION("""COMPUTED_VALUE"""),-4.0)</f>
        <v>-4</v>
      </c>
      <c r="GA461" s="16"/>
      <c r="GB461" s="16"/>
      <c r="GC461" s="16"/>
      <c r="GD461" s="16" t="s">
        <v>2088</v>
      </c>
    </row>
    <row r="462">
      <c r="A462" s="16">
        <f>IFERROR(__xludf.DUMMYFUNCTION("""COMPUTED_VALUE"""),13143.0)</f>
        <v>13143</v>
      </c>
      <c r="B462" s="16" t="str">
        <f>IFERROR(__xludf.DUMMYFUNCTION("""COMPUTED_VALUE"""),"Luke Maile")</f>
        <v>Luke Maile</v>
      </c>
      <c r="C462" s="16">
        <f>IFERROR(__xludf.DUMMYFUNCTION("""COMPUTED_VALUE"""),0.0)</f>
        <v>0</v>
      </c>
      <c r="D462" s="16" t="str">
        <f>IFERROR(__xludf.DUMMYFUNCTION("""COMPUTED_VALUE"""),"R")</f>
        <v>R</v>
      </c>
      <c r="E462" s="16"/>
      <c r="F462" s="16"/>
      <c r="G462" s="16">
        <f>IFERROR(__xludf.DUMMYFUNCTION("""COMPUTED_VALUE"""),135.0)</f>
        <v>135</v>
      </c>
      <c r="H462" s="16">
        <f>IFERROR(__xludf.DUMMYFUNCTION("""COMPUTED_VALUE"""),13.0)</f>
        <v>13</v>
      </c>
      <c r="I462" s="16" t="str">
        <f>IFERROR(__xludf.DUMMYFUNCTION("""COMPUTED_VALUE"""),"3p30")</f>
        <v>3p30</v>
      </c>
      <c r="J462" s="16">
        <f>IFERROR(__xludf.DUMMYFUNCTION("""COMPUTED_VALUE"""),39.0)</f>
        <v>39</v>
      </c>
      <c r="K462" s="16">
        <f>IFERROR(__xludf.DUMMYFUNCTION("""COMPUTED_VALUE"""),52.0)</f>
        <v>52</v>
      </c>
      <c r="L462" s="16">
        <f>IFERROR(__xludf.DUMMYFUNCTION("""COMPUTED_VALUE"""),-1.0)</f>
        <v>-1</v>
      </c>
      <c r="M462" s="16">
        <f>IFERROR(__xludf.DUMMYFUNCTION("""COMPUTED_VALUE"""),-2.0)</f>
        <v>-2</v>
      </c>
      <c r="N462" s="16">
        <f>IFERROR(__xludf.DUMMYFUNCTION("""COMPUTED_VALUE"""),-1.0)</f>
        <v>-1</v>
      </c>
      <c r="O462" s="16">
        <f>IFERROR(__xludf.DUMMYFUNCTION("""COMPUTED_VALUE"""),-2.0)</f>
        <v>-2</v>
      </c>
      <c r="P462" s="16">
        <f>IFERROR(__xludf.DUMMYFUNCTION("""COMPUTED_VALUE"""),18.0)</f>
        <v>18</v>
      </c>
      <c r="Q462" s="16">
        <f>IFERROR(__xludf.DUMMYFUNCTION("""COMPUTED_VALUE"""),7.0)</f>
        <v>7</v>
      </c>
      <c r="R462" s="16">
        <f>IFERROR(__xludf.DUMMYFUNCTION("""COMPUTED_VALUE"""),3.0)</f>
        <v>3</v>
      </c>
      <c r="S462" s="16">
        <f>IFERROR(__xludf.DUMMYFUNCTION("""COMPUTED_VALUE"""),-1.0)</f>
        <v>-1</v>
      </c>
      <c r="T462" s="16">
        <f>IFERROR(__xludf.DUMMYFUNCTION("""COMPUTED_VALUE"""),3.0)</f>
        <v>3</v>
      </c>
      <c r="U462" s="16">
        <f>IFERROR(__xludf.DUMMYFUNCTION("""COMPUTED_VALUE"""),-1.0)</f>
        <v>-1</v>
      </c>
      <c r="V462" s="16">
        <f>IFERROR(__xludf.DUMMYFUNCTION("""COMPUTED_VALUE"""),7.3)</f>
        <v>7.3</v>
      </c>
      <c r="W462" s="16">
        <f>IFERROR(__xludf.DUMMYFUNCTION("""COMPUTED_VALUE"""),6.3)</f>
        <v>6.3</v>
      </c>
      <c r="X462" s="16">
        <f>IFERROR(__xludf.DUMMYFUNCTION("""COMPUTED_VALUE"""),-2.0)</f>
        <v>-2</v>
      </c>
      <c r="Y462" s="16">
        <f>IFERROR(__xludf.DUMMYFUNCTION("""COMPUTED_VALUE"""),-2.0)</f>
        <v>-2</v>
      </c>
      <c r="Z462" s="16">
        <f>IFERROR(__xludf.DUMMYFUNCTION("""COMPUTED_VALUE"""),-4.0)</f>
        <v>-4</v>
      </c>
      <c r="AA462" s="16">
        <f>IFERROR(__xludf.DUMMYFUNCTION("""COMPUTED_VALUE"""),-4.0)</f>
        <v>-4</v>
      </c>
      <c r="AB462" s="16">
        <f>IFERROR(__xludf.DUMMYFUNCTION("""COMPUTED_VALUE"""),31.3)</f>
        <v>31.3</v>
      </c>
      <c r="AC462" s="16">
        <f>IFERROR(__xludf.DUMMYFUNCTION("""COMPUTED_VALUE"""),19.4)</f>
        <v>19.4</v>
      </c>
      <c r="AD462" s="16">
        <f>IFERROR(__xludf.DUMMYFUNCTION("""COMPUTED_VALUE"""),0.0)</f>
        <v>0</v>
      </c>
      <c r="AE462" s="16">
        <f>IFERROR(__xludf.DUMMYFUNCTION("""COMPUTED_VALUE"""),-2.0)</f>
        <v>-2</v>
      </c>
      <c r="AF462" s="16">
        <f>IFERROR(__xludf.DUMMYFUNCTION("""COMPUTED_VALUE"""),0.0)</f>
        <v>0</v>
      </c>
      <c r="AG462" s="16">
        <f>IFERROR(__xludf.DUMMYFUNCTION("""COMPUTED_VALUE"""),-10.0)</f>
        <v>-10</v>
      </c>
      <c r="AH462" s="16">
        <f>IFERROR(__xludf.DUMMYFUNCTION("""COMPUTED_VALUE"""),17.9)</f>
        <v>17.9</v>
      </c>
      <c r="AI462" s="16">
        <f>IFERROR(__xludf.DUMMYFUNCTION("""COMPUTED_VALUE"""),7.6)</f>
        <v>7.6</v>
      </c>
      <c r="AJ462" s="16">
        <f>IFERROR(__xludf.DUMMYFUNCTION("""COMPUTED_VALUE"""),-1.0)</f>
        <v>-1</v>
      </c>
      <c r="AK462" s="16">
        <f>IFERROR(__xludf.DUMMYFUNCTION("""COMPUTED_VALUE"""),-2.0)</f>
        <v>-2</v>
      </c>
      <c r="AL462" s="16">
        <f>IFERROR(__xludf.DUMMYFUNCTION("""COMPUTED_VALUE"""),-5.0)</f>
        <v>-5</v>
      </c>
      <c r="AM462" s="16">
        <f>IFERROR(__xludf.DUMMYFUNCTION("""COMPUTED_VALUE"""),-10.0)</f>
        <v>-10</v>
      </c>
      <c r="AN462" s="16">
        <f>IFERROR(__xludf.DUMMYFUNCTION("""COMPUTED_VALUE"""),3.5)</f>
        <v>3.5</v>
      </c>
      <c r="AO462" s="16">
        <f>IFERROR(__xludf.DUMMYFUNCTION("""COMPUTED_VALUE"""),0.0)</f>
        <v>0</v>
      </c>
      <c r="AP462" s="16">
        <f>IFERROR(__xludf.DUMMYFUNCTION("""COMPUTED_VALUE"""),1.0)</f>
        <v>1</v>
      </c>
      <c r="AQ462" s="16">
        <f>IFERROR(__xludf.DUMMYFUNCTION("""COMPUTED_VALUE"""),-3.0)</f>
        <v>-3</v>
      </c>
      <c r="AR462" s="16">
        <f>IFERROR(__xludf.DUMMYFUNCTION("""COMPUTED_VALUE"""),2.0)</f>
        <v>2</v>
      </c>
      <c r="AS462" s="16">
        <f>IFERROR(__xludf.DUMMYFUNCTION("""COMPUTED_VALUE"""),-6.0)</f>
        <v>-6</v>
      </c>
      <c r="AT462" s="16">
        <f>IFERROR(__xludf.DUMMYFUNCTION("""COMPUTED_VALUE"""),3.0)</f>
        <v>3</v>
      </c>
      <c r="AU462" s="16"/>
      <c r="AV462" s="16">
        <f>IFERROR(__xludf.DUMMYFUNCTION("""COMPUTED_VALUE"""),3.0)</f>
        <v>3</v>
      </c>
      <c r="AW462" s="16">
        <f>IFERROR(__xludf.DUMMYFUNCTION("""COMPUTED_VALUE"""),-3.0)</f>
        <v>-3</v>
      </c>
      <c r="AX462" s="16">
        <f>IFERROR(__xludf.DUMMYFUNCTION("""COMPUTED_VALUE"""),1.0)</f>
        <v>1</v>
      </c>
      <c r="AY462" s="16">
        <f>IFERROR(__xludf.DUMMYFUNCTION("""COMPUTED_VALUE"""),-3.0)</f>
        <v>-3</v>
      </c>
      <c r="AZ462" s="16">
        <f>IFERROR(__xludf.DUMMYFUNCTION("""COMPUTED_VALUE"""),3.0)</f>
        <v>3</v>
      </c>
      <c r="BA462" s="16">
        <f>IFERROR(__xludf.DUMMYFUNCTION("""COMPUTED_VALUE"""),-9.0)</f>
        <v>-9</v>
      </c>
      <c r="BB462" s="16">
        <f>IFERROR(__xludf.DUMMYFUNCTION("""COMPUTED_VALUE"""),5.0)</f>
        <v>5</v>
      </c>
      <c r="BC462" s="16">
        <f>IFERROR(__xludf.DUMMYFUNCTION("""COMPUTED_VALUE"""),5.0)</f>
        <v>5</v>
      </c>
      <c r="BD462" s="16">
        <f>IFERROR(__xludf.DUMMYFUNCTION("""COMPUTED_VALUE"""),1.0)</f>
        <v>1</v>
      </c>
      <c r="BE462" s="16">
        <f>IFERROR(__xludf.DUMMYFUNCTION("""COMPUTED_VALUE"""),1.0)</f>
        <v>1</v>
      </c>
      <c r="BF462" s="16">
        <f>IFERROR(__xludf.DUMMYFUNCTION("""COMPUTED_VALUE"""),1.0)</f>
        <v>1</v>
      </c>
      <c r="BG462" s="16">
        <f>IFERROR(__xludf.DUMMYFUNCTION("""COMPUTED_VALUE"""),1.0)</f>
        <v>1</v>
      </c>
      <c r="BH462" s="16">
        <f>IFERROR(__xludf.DUMMYFUNCTION("""COMPUTED_VALUE"""),-2.0)</f>
        <v>-2</v>
      </c>
      <c r="BI462" s="16">
        <f>IFERROR(__xludf.DUMMYFUNCTION("""COMPUTED_VALUE"""),-3.0)</f>
        <v>-3</v>
      </c>
      <c r="BJ462" s="16">
        <f>IFERROR(__xludf.DUMMYFUNCTION("""COMPUTED_VALUE"""),16.0)</f>
        <v>16</v>
      </c>
      <c r="BK462" s="16">
        <f>IFERROR(__xludf.DUMMYFUNCTION("""COMPUTED_VALUE"""),16.0)</f>
        <v>16</v>
      </c>
      <c r="BL462" s="16">
        <f>IFERROR(__xludf.DUMMYFUNCTION("""COMPUTED_VALUE"""),-1.0)</f>
        <v>-1</v>
      </c>
      <c r="BM462" s="16">
        <f>IFERROR(__xludf.DUMMYFUNCTION("""COMPUTED_VALUE"""),-1.0)</f>
        <v>-1</v>
      </c>
      <c r="BN462" s="16">
        <f>IFERROR(__xludf.DUMMYFUNCTION("""COMPUTED_VALUE"""),-2.0)</f>
        <v>-2</v>
      </c>
      <c r="BO462" s="16">
        <f>IFERROR(__xludf.DUMMYFUNCTION("""COMPUTED_VALUE"""),-2.0)</f>
        <v>-2</v>
      </c>
      <c r="BP462" s="16">
        <f>IFERROR(__xludf.DUMMYFUNCTION("""COMPUTED_VALUE"""),1.0)</f>
        <v>1</v>
      </c>
      <c r="BQ462" s="16">
        <f>IFERROR(__xludf.DUMMYFUNCTION("""COMPUTED_VALUE"""),-15.0)</f>
        <v>-15</v>
      </c>
      <c r="BR462" s="16">
        <f>IFERROR(__xludf.DUMMYFUNCTION("""COMPUTED_VALUE"""),-14.0)</f>
        <v>-14</v>
      </c>
      <c r="BS462" s="16" t="str">
        <f>IFERROR(__xludf.DUMMYFUNCTION("""COMPUTED_VALUE"""),"3/- (20-6)")</f>
        <v>3/- (20-6)</v>
      </c>
      <c r="BT462" s="16" t="str">
        <f>IFERROR(__xludf.DUMMYFUNCTION("""COMPUTED_VALUE"""),"D")</f>
        <v>D</v>
      </c>
      <c r="BU462" s="16">
        <f>IFERROR(__xludf.DUMMYFUNCTION("""COMPUTED_VALUE"""),10.0)</f>
        <v>10</v>
      </c>
      <c r="BV462" s="16">
        <f>IFERROR(__xludf.DUMMYFUNCTION("""COMPUTED_VALUE"""),0.0)</f>
        <v>0</v>
      </c>
      <c r="BW462" s="16">
        <f>IFERROR(__xludf.DUMMYFUNCTION("""COMPUTED_VALUE"""),0.0)</f>
        <v>0</v>
      </c>
      <c r="BX462" s="16">
        <f>IFERROR(__xludf.DUMMYFUNCTION("""COMPUTED_VALUE"""),0.0)</f>
        <v>0</v>
      </c>
      <c r="BY462" s="16">
        <f>IFERROR(__xludf.DUMMYFUNCTION("""COMPUTED_VALUE"""),0.0)</f>
        <v>0</v>
      </c>
      <c r="BZ462" s="16" t="str">
        <f>IFERROR(__xludf.DUMMYFUNCTION("""COMPUTED_VALUE"""),"D")</f>
        <v>D</v>
      </c>
      <c r="CA462" s="16" t="str">
        <f>IFERROR(__xludf.DUMMYFUNCTION("""COMPUTED_VALUE"""),"C")</f>
        <v>C</v>
      </c>
      <c r="CB462" s="16">
        <f>IFERROR(__xludf.DUMMYFUNCTION("""COMPUTED_VALUE"""),0.0)</f>
        <v>0</v>
      </c>
      <c r="CC462" s="16">
        <f>IFERROR(__xludf.DUMMYFUNCTION("""COMPUTED_VALUE"""),0.0)</f>
        <v>0</v>
      </c>
      <c r="CD462" s="16">
        <f>IFERROR(__xludf.DUMMYFUNCTION("""COMPUTED_VALUE"""),0.0)</f>
        <v>0</v>
      </c>
      <c r="CE462" s="16">
        <f>IFERROR(__xludf.DUMMYFUNCTION("""COMPUTED_VALUE"""),0.0)</f>
        <v>0</v>
      </c>
      <c r="CF462" s="16">
        <f>IFERROR(__xludf.DUMMYFUNCTION("""COMPUTED_VALUE"""),3.0)</f>
        <v>3</v>
      </c>
      <c r="CG462" s="16">
        <f>IFERROR(__xludf.DUMMYFUNCTION("""COMPUTED_VALUE"""),-3.0)</f>
        <v>-3</v>
      </c>
      <c r="CH462" s="16">
        <f>IFERROR(__xludf.DUMMYFUNCTION("""COMPUTED_VALUE"""),-43.0)</f>
        <v>-43</v>
      </c>
      <c r="CI462" s="179">
        <f>IFERROR(__xludf.DUMMYFUNCTION("""COMPUTED_VALUE"""),-34.0)</f>
        <v>-34</v>
      </c>
      <c r="CJ462" s="16">
        <f>IFERROR(__xludf.DUMMYFUNCTION("""COMPUTED_VALUE"""),203.0)</f>
        <v>203</v>
      </c>
      <c r="CK462" s="16"/>
      <c r="CL462" s="16"/>
      <c r="CM462" s="16"/>
      <c r="CN462" s="16"/>
      <c r="CO462" s="16"/>
      <c r="CP462" s="16"/>
      <c r="CQ462" s="16"/>
      <c r="CR462" s="16" t="str">
        <f>IFERROR(__xludf.DUMMYFUNCTION("""COMPUTED_VALUE"""),"c-2(0)e3,T-1(pb-3)")</f>
        <v>c-2(0)e3,T-1(pb-3)</v>
      </c>
      <c r="CS462" s="16">
        <f>IFERROR(__xludf.DUMMYFUNCTION("""COMPUTED_VALUE"""),2.0)</f>
        <v>2</v>
      </c>
      <c r="CT462" s="16"/>
      <c r="CU462" s="16"/>
      <c r="CV462" s="16"/>
      <c r="CW462" s="16"/>
      <c r="CX462" s="16"/>
      <c r="CY462" s="16"/>
      <c r="CZ462" s="16"/>
      <c r="DA462" s="16">
        <f>IFERROR(__xludf.DUMMYFUNCTION("""COMPUTED_VALUE"""),3.0)</f>
        <v>3</v>
      </c>
      <c r="DB462" s="16"/>
      <c r="DC462" s="16"/>
      <c r="DD462" s="16"/>
      <c r="DE462" s="16"/>
      <c r="DF462" s="16"/>
      <c r="DG462" s="16"/>
      <c r="DH462" s="16"/>
      <c r="DI462" s="16">
        <f>IFERROR(__xludf.DUMMYFUNCTION("""COMPUTED_VALUE"""),2.0)</f>
        <v>2</v>
      </c>
      <c r="DJ462" s="16"/>
      <c r="DK462" s="16"/>
      <c r="DL462" s="16"/>
      <c r="DM462" s="16"/>
      <c r="DN462" s="16"/>
      <c r="DO462" s="16"/>
      <c r="DP462" s="16"/>
      <c r="DQ462" s="16">
        <f>IFERROR(__xludf.DUMMYFUNCTION("""COMPUTED_VALUE"""),3.0)</f>
        <v>3</v>
      </c>
      <c r="DR462" s="16"/>
      <c r="DS462" s="16"/>
      <c r="DT462" s="16"/>
      <c r="DU462" s="16"/>
      <c r="DV462" s="16"/>
      <c r="DW462" s="16"/>
      <c r="DX462" s="16"/>
      <c r="DY462" s="16">
        <f>IFERROR(__xludf.DUMMYFUNCTION("""COMPUTED_VALUE"""),5.0)</f>
        <v>5</v>
      </c>
      <c r="DZ462" s="16"/>
      <c r="EA462" s="16"/>
      <c r="EB462" s="16"/>
      <c r="EC462" s="16"/>
      <c r="ED462" s="16"/>
      <c r="EE462" s="16"/>
      <c r="EF462" s="16"/>
      <c r="EG462" s="179">
        <f>IFERROR(__xludf.DUMMYFUNCTION("""COMPUTED_VALUE"""),-29.0)</f>
        <v>-29</v>
      </c>
      <c r="EH462" s="179"/>
      <c r="EI462" s="179"/>
      <c r="EJ462" s="179"/>
      <c r="EK462" s="179"/>
      <c r="EL462" s="179"/>
      <c r="EM462" s="179"/>
      <c r="EN462" s="179"/>
      <c r="EO462" s="16">
        <f>IFERROR(__xludf.DUMMYFUNCTION("""COMPUTED_VALUE"""),0.0)</f>
        <v>0</v>
      </c>
      <c r="EP462" s="16">
        <f>IFERROR(__xludf.DUMMYFUNCTION("""COMPUTED_VALUE"""),-2.0)</f>
        <v>-2</v>
      </c>
      <c r="EQ462" s="16">
        <f>IFERROR(__xludf.DUMMYFUNCTION("""COMPUTED_VALUE"""),1.0)</f>
        <v>1</v>
      </c>
      <c r="ER462" s="16">
        <f>IFERROR(__xludf.DUMMYFUNCTION("""COMPUTED_VALUE"""),-2.0)</f>
        <v>-2</v>
      </c>
      <c r="ES462" s="16" t="str">
        <f>IFERROR(__xludf.DUMMYFUNCTION("""COMPUTED_VALUE"""),"c-2")</f>
        <v>c-2</v>
      </c>
      <c r="ET462" s="16" t="str">
        <f>IFERROR(__xludf.DUMMYFUNCTION("""COMPUTED_VALUE"""),"0)e3,T-1")</f>
        <v>0)e3,T-1</v>
      </c>
      <c r="EU462" s="16" t="str">
        <f>IFERROR(__xludf.DUMMYFUNCTION("""COMPUTED_VALUE"""),"pb-3)")</f>
        <v>pb-3)</v>
      </c>
      <c r="EV462" s="16"/>
      <c r="EW462" s="16">
        <f>IFERROR(__xludf.DUMMYFUNCTION("""COMPUTED_VALUE"""),0.0)</f>
        <v>0</v>
      </c>
      <c r="EX462" s="180">
        <f>IFERROR(__xludf.DUMMYFUNCTION("""COMPUTED_VALUE"""),0.1)</f>
        <v>0.1</v>
      </c>
      <c r="EY462" s="180"/>
      <c r="EZ462" s="180"/>
      <c r="FA462" s="180"/>
      <c r="FB462" s="180"/>
      <c r="FC462" s="180"/>
      <c r="FD462" s="180"/>
      <c r="FE462" s="180"/>
      <c r="FF462" s="180">
        <f>IFERROR(__xludf.DUMMYFUNCTION("""COMPUTED_VALUE"""),0.038)</f>
        <v>0.038</v>
      </c>
      <c r="FG462" s="180"/>
      <c r="FH462" s="180"/>
      <c r="FI462" s="180"/>
      <c r="FJ462" s="180"/>
      <c r="FK462" s="180"/>
      <c r="FL462" s="180"/>
      <c r="FM462" s="180"/>
      <c r="FN462" s="16">
        <f>IFERROR(__xludf.DUMMYFUNCTION("""COMPUTED_VALUE"""),0.8658)</f>
        <v>0.8658</v>
      </c>
      <c r="FO462" s="16"/>
      <c r="FP462" s="16"/>
      <c r="FQ462" s="16"/>
      <c r="FR462" s="16"/>
      <c r="FS462" s="16"/>
      <c r="FT462" s="16"/>
      <c r="FU462" s="16"/>
      <c r="FV462" s="16">
        <f>IFERROR(__xludf.DUMMYFUNCTION("""COMPUTED_VALUE"""),4.0)</f>
        <v>4</v>
      </c>
      <c r="FW462" s="16"/>
      <c r="FX462" s="16"/>
      <c r="FY462" s="16"/>
      <c r="FZ462" s="16"/>
      <c r="GA462" s="16"/>
      <c r="GB462" s="16"/>
      <c r="GC462" s="16"/>
      <c r="GD462" s="16" t="s">
        <v>212</v>
      </c>
    </row>
    <row r="463">
      <c r="A463" s="16">
        <f>IFERROR(__xludf.DUMMYFUNCTION("""COMPUTED_VALUE"""),12830.0)</f>
        <v>12830</v>
      </c>
      <c r="B463" s="16" t="str">
        <f>IFERROR(__xludf.DUMMYFUNCTION("""COMPUTED_VALUE"""),"Garrett Cooper")</f>
        <v>Garrett Cooper</v>
      </c>
      <c r="C463" s="16">
        <f>IFERROR(__xludf.DUMMYFUNCTION("""COMPUTED_VALUE"""),0.0)</f>
        <v>0</v>
      </c>
      <c r="D463" s="16" t="str">
        <f>IFERROR(__xludf.DUMMYFUNCTION("""COMPUTED_VALUE"""),"R")</f>
        <v>R</v>
      </c>
      <c r="E463" s="16"/>
      <c r="F463" s="16"/>
      <c r="G463" s="16">
        <f>IFERROR(__xludf.DUMMYFUNCTION("""COMPUTED_VALUE"""),107.0)</f>
        <v>107</v>
      </c>
      <c r="H463" s="16">
        <f>IFERROR(__xludf.DUMMYFUNCTION("""COMPUTED_VALUE"""),7.0)</f>
        <v>7</v>
      </c>
      <c r="I463" s="16" t="str">
        <f>IFERROR(__xludf.DUMMYFUNCTION("""COMPUTED_VALUE"""),"1p20")</f>
        <v>1p20</v>
      </c>
      <c r="J463" s="16">
        <f>IFERROR(__xludf.DUMMYFUNCTION("""COMPUTED_VALUE"""),39.0)</f>
        <v>39</v>
      </c>
      <c r="K463" s="16">
        <f>IFERROR(__xludf.DUMMYFUNCTION("""COMPUTED_VALUE"""),40.0)</f>
        <v>40</v>
      </c>
      <c r="L463" s="16">
        <f>IFERROR(__xludf.DUMMYFUNCTION("""COMPUTED_VALUE"""),-1.0)</f>
        <v>-1</v>
      </c>
      <c r="M463" s="16">
        <f>IFERROR(__xludf.DUMMYFUNCTION("""COMPUTED_VALUE"""),-2.0)</f>
        <v>-2</v>
      </c>
      <c r="N463" s="16">
        <f>IFERROR(__xludf.DUMMYFUNCTION("""COMPUTED_VALUE"""),-1.0)</f>
        <v>-1</v>
      </c>
      <c r="O463" s="16">
        <f>IFERROR(__xludf.DUMMYFUNCTION("""COMPUTED_VALUE"""),-2.0)</f>
        <v>-2</v>
      </c>
      <c r="P463" s="16">
        <f>IFERROR(__xludf.DUMMYFUNCTION("""COMPUTED_VALUE"""),1.0)</f>
        <v>1</v>
      </c>
      <c r="Q463" s="16">
        <f>IFERROR(__xludf.DUMMYFUNCTION("""COMPUTED_VALUE"""),7.0)</f>
        <v>7</v>
      </c>
      <c r="R463" s="16">
        <f>IFERROR(__xludf.DUMMYFUNCTION("""COMPUTED_VALUE"""),-2.0)</f>
        <v>-2</v>
      </c>
      <c r="S463" s="16">
        <f>IFERROR(__xludf.DUMMYFUNCTION("""COMPUTED_VALUE"""),-1.0)</f>
        <v>-1</v>
      </c>
      <c r="T463" s="16">
        <f>IFERROR(__xludf.DUMMYFUNCTION("""COMPUTED_VALUE"""),-2.0)</f>
        <v>-2</v>
      </c>
      <c r="U463" s="16">
        <f>IFERROR(__xludf.DUMMYFUNCTION("""COMPUTED_VALUE"""),-1.0)</f>
        <v>-1</v>
      </c>
      <c r="V463" s="16">
        <f>IFERROR(__xludf.DUMMYFUNCTION("""COMPUTED_VALUE"""),20.9)</f>
        <v>20.9</v>
      </c>
      <c r="W463" s="16">
        <f>IFERROR(__xludf.DUMMYFUNCTION("""COMPUTED_VALUE"""),7.8)</f>
        <v>7.8</v>
      </c>
      <c r="X463" s="16">
        <f>IFERROR(__xludf.DUMMYFUNCTION("""COMPUTED_VALUE"""),0.0)</f>
        <v>0</v>
      </c>
      <c r="Y463" s="16">
        <f>IFERROR(__xludf.DUMMYFUNCTION("""COMPUTED_VALUE"""),-2.0)</f>
        <v>-2</v>
      </c>
      <c r="Z463" s="16">
        <f>IFERROR(__xludf.DUMMYFUNCTION("""COMPUTED_VALUE"""),0.0)</f>
        <v>0</v>
      </c>
      <c r="AA463" s="16">
        <f>IFERROR(__xludf.DUMMYFUNCTION("""COMPUTED_VALUE"""),-4.0)</f>
        <v>-4</v>
      </c>
      <c r="AB463" s="16">
        <f>IFERROR(__xludf.DUMMYFUNCTION("""COMPUTED_VALUE"""),25.9)</f>
        <v>25.9</v>
      </c>
      <c r="AC463" s="16">
        <f>IFERROR(__xludf.DUMMYFUNCTION("""COMPUTED_VALUE"""),18.8)</f>
        <v>18.8</v>
      </c>
      <c r="AD463" s="16">
        <f>IFERROR(__xludf.DUMMYFUNCTION("""COMPUTED_VALUE"""),-1.0)</f>
        <v>-1</v>
      </c>
      <c r="AE463" s="16">
        <f>IFERROR(__xludf.DUMMYFUNCTION("""COMPUTED_VALUE"""),-2.0)</f>
        <v>-2</v>
      </c>
      <c r="AF463" s="16">
        <f>IFERROR(__xludf.DUMMYFUNCTION("""COMPUTED_VALUE"""),-5.0)</f>
        <v>-5</v>
      </c>
      <c r="AG463" s="16">
        <f>IFERROR(__xludf.DUMMYFUNCTION("""COMPUTED_VALUE"""),-10.0)</f>
        <v>-10</v>
      </c>
      <c r="AH463" s="16">
        <f>IFERROR(__xludf.DUMMYFUNCTION("""COMPUTED_VALUE"""),38.0)</f>
        <v>38</v>
      </c>
      <c r="AI463" s="16">
        <f>IFERROR(__xludf.DUMMYFUNCTION("""COMPUTED_VALUE"""),17.9)</f>
        <v>17.9</v>
      </c>
      <c r="AJ463" s="16">
        <f>IFERROR(__xludf.DUMMYFUNCTION("""COMPUTED_VALUE"""),1.0)</f>
        <v>1</v>
      </c>
      <c r="AK463" s="16">
        <f>IFERROR(__xludf.DUMMYFUNCTION("""COMPUTED_VALUE"""),-2.0)</f>
        <v>-2</v>
      </c>
      <c r="AL463" s="16">
        <f>IFERROR(__xludf.DUMMYFUNCTION("""COMPUTED_VALUE"""),5.0)</f>
        <v>5</v>
      </c>
      <c r="AM463" s="16">
        <f>IFERROR(__xludf.DUMMYFUNCTION("""COMPUTED_VALUE"""),-10.0)</f>
        <v>-10</v>
      </c>
      <c r="AN463" s="16">
        <f>IFERROR(__xludf.DUMMYFUNCTION("""COMPUTED_VALUE"""),0.0)</f>
        <v>0</v>
      </c>
      <c r="AO463" s="16">
        <f>IFERROR(__xludf.DUMMYFUNCTION("""COMPUTED_VALUE"""),2.8)</f>
        <v>2.8</v>
      </c>
      <c r="AP463" s="16">
        <f>IFERROR(__xludf.DUMMYFUNCTION("""COMPUTED_VALUE"""),-2.0)</f>
        <v>-2</v>
      </c>
      <c r="AQ463" s="16">
        <f>IFERROR(__xludf.DUMMYFUNCTION("""COMPUTED_VALUE"""),0.0)</f>
        <v>0</v>
      </c>
      <c r="AR463" s="16">
        <f>IFERROR(__xludf.DUMMYFUNCTION("""COMPUTED_VALUE"""),-4.0)</f>
        <v>-4</v>
      </c>
      <c r="AS463" s="16">
        <f>IFERROR(__xludf.DUMMYFUNCTION("""COMPUTED_VALUE"""),0.0)</f>
        <v>0</v>
      </c>
      <c r="AT463" s="16"/>
      <c r="AU463" s="16"/>
      <c r="AV463" s="16">
        <f>IFERROR(__xludf.DUMMYFUNCTION("""COMPUTED_VALUE"""),-3.0)</f>
        <v>-3</v>
      </c>
      <c r="AW463" s="16">
        <f>IFERROR(__xludf.DUMMYFUNCTION("""COMPUTED_VALUE"""),-3.0)</f>
        <v>-3</v>
      </c>
      <c r="AX463" s="16">
        <f>IFERROR(__xludf.DUMMYFUNCTION("""COMPUTED_VALUE"""),-3.0)</f>
        <v>-3</v>
      </c>
      <c r="AY463" s="16">
        <f>IFERROR(__xludf.DUMMYFUNCTION("""COMPUTED_VALUE"""),-3.0)</f>
        <v>-3</v>
      </c>
      <c r="AZ463" s="16">
        <f>IFERROR(__xludf.DUMMYFUNCTION("""COMPUTED_VALUE"""),-9.0)</f>
        <v>-9</v>
      </c>
      <c r="BA463" s="16">
        <f>IFERROR(__xludf.DUMMYFUNCTION("""COMPUTED_VALUE"""),-9.0)</f>
        <v>-9</v>
      </c>
      <c r="BB463" s="16">
        <f>IFERROR(__xludf.DUMMYFUNCTION("""COMPUTED_VALUE"""),5.0)</f>
        <v>5</v>
      </c>
      <c r="BC463" s="16">
        <f>IFERROR(__xludf.DUMMYFUNCTION("""COMPUTED_VALUE"""),5.0)</f>
        <v>5</v>
      </c>
      <c r="BD463" s="16">
        <f>IFERROR(__xludf.DUMMYFUNCTION("""COMPUTED_VALUE"""),1.0)</f>
        <v>1</v>
      </c>
      <c r="BE463" s="16">
        <f>IFERROR(__xludf.DUMMYFUNCTION("""COMPUTED_VALUE"""),1.0)</f>
        <v>1</v>
      </c>
      <c r="BF463" s="16">
        <f>IFERROR(__xludf.DUMMYFUNCTION("""COMPUTED_VALUE"""),1.0)</f>
        <v>1</v>
      </c>
      <c r="BG463" s="16">
        <f>IFERROR(__xludf.DUMMYFUNCTION("""COMPUTED_VALUE"""),1.0)</f>
        <v>1</v>
      </c>
      <c r="BH463" s="16">
        <f>IFERROR(__xludf.DUMMYFUNCTION("""COMPUTED_VALUE"""),3.0)</f>
        <v>3</v>
      </c>
      <c r="BI463" s="16">
        <f>IFERROR(__xludf.DUMMYFUNCTION("""COMPUTED_VALUE"""),3.0)</f>
        <v>3</v>
      </c>
      <c r="BJ463" s="16">
        <f>IFERROR(__xludf.DUMMYFUNCTION("""COMPUTED_VALUE"""),22.0)</f>
        <v>22</v>
      </c>
      <c r="BK463" s="16">
        <f>IFERROR(__xludf.DUMMYFUNCTION("""COMPUTED_VALUE"""),23.0)</f>
        <v>23</v>
      </c>
      <c r="BL463" s="16">
        <f>IFERROR(__xludf.DUMMYFUNCTION("""COMPUTED_VALUE"""),-2.0)</f>
        <v>-2</v>
      </c>
      <c r="BM463" s="16">
        <f>IFERROR(__xludf.DUMMYFUNCTION("""COMPUTED_VALUE"""),-2.0)</f>
        <v>-2</v>
      </c>
      <c r="BN463" s="16">
        <f>IFERROR(__xludf.DUMMYFUNCTION("""COMPUTED_VALUE"""),-4.0)</f>
        <v>-4</v>
      </c>
      <c r="BO463" s="16">
        <f>IFERROR(__xludf.DUMMYFUNCTION("""COMPUTED_VALUE"""),-4.0)</f>
        <v>-4</v>
      </c>
      <c r="BP463" s="16">
        <f>IFERROR(__xludf.DUMMYFUNCTION("""COMPUTED_VALUE"""),-9.0)</f>
        <v>-9</v>
      </c>
      <c r="BQ463" s="16">
        <f>IFERROR(__xludf.DUMMYFUNCTION("""COMPUTED_VALUE"""),-13.0)</f>
        <v>-13</v>
      </c>
      <c r="BR463" s="16">
        <f>IFERROR(__xludf.DUMMYFUNCTION("""COMPUTED_VALUE"""),-22.0)</f>
        <v>-22</v>
      </c>
      <c r="BS463" s="16" t="str">
        <f>IFERROR(__xludf.DUMMYFUNCTION("""COMPUTED_VALUE"""),"-/- (---)")</f>
        <v>-/- (---)</v>
      </c>
      <c r="BT463" s="16" t="str">
        <f>IFERROR(__xludf.DUMMYFUNCTION("""COMPUTED_VALUE"""),"E")</f>
        <v>E</v>
      </c>
      <c r="BU463" s="16">
        <f>IFERROR(__xludf.DUMMYFUNCTION("""COMPUTED_VALUE"""),9.0)</f>
        <v>9</v>
      </c>
      <c r="BV463" s="16">
        <f>IFERROR(__xludf.DUMMYFUNCTION("""COMPUTED_VALUE"""),0.0)</f>
        <v>0</v>
      </c>
      <c r="BW463" s="16">
        <f>IFERROR(__xludf.DUMMYFUNCTION("""COMPUTED_VALUE"""),-1.0)</f>
        <v>-1</v>
      </c>
      <c r="BX463" s="16">
        <f>IFERROR(__xludf.DUMMYFUNCTION("""COMPUTED_VALUE"""),0.0)</f>
        <v>0</v>
      </c>
      <c r="BY463" s="16">
        <f>IFERROR(__xludf.DUMMYFUNCTION("""COMPUTED_VALUE"""),-3.0)</f>
        <v>-3</v>
      </c>
      <c r="BZ463" s="16" t="str">
        <f>IFERROR(__xludf.DUMMYFUNCTION("""COMPUTED_VALUE"""),"D")</f>
        <v>D</v>
      </c>
      <c r="CA463" s="16" t="str">
        <f>IFERROR(__xludf.DUMMYFUNCTION("""COMPUTED_VALUE"""),"D")</f>
        <v>D</v>
      </c>
      <c r="CB463" s="16">
        <f>IFERROR(__xludf.DUMMYFUNCTION("""COMPUTED_VALUE"""),0.0)</f>
        <v>0</v>
      </c>
      <c r="CC463" s="16">
        <f>IFERROR(__xludf.DUMMYFUNCTION("""COMPUTED_VALUE"""),0.0)</f>
        <v>0</v>
      </c>
      <c r="CD463" s="16">
        <f>IFERROR(__xludf.DUMMYFUNCTION("""COMPUTED_VALUE"""),0.0)</f>
        <v>0</v>
      </c>
      <c r="CE463" s="16">
        <f>IFERROR(__xludf.DUMMYFUNCTION("""COMPUTED_VALUE"""),0.0)</f>
        <v>0</v>
      </c>
      <c r="CF463" s="16">
        <f>IFERROR(__xludf.DUMMYFUNCTION("""COMPUTED_VALUE"""),1.0)</f>
        <v>1</v>
      </c>
      <c r="CG463" s="16">
        <f>IFERROR(__xludf.DUMMYFUNCTION("""COMPUTED_VALUE"""),-19.0)</f>
        <v>-19</v>
      </c>
      <c r="CH463" s="16">
        <f>IFERROR(__xludf.DUMMYFUNCTION("""COMPUTED_VALUE"""),-39.0)</f>
        <v>-39</v>
      </c>
      <c r="CI463" s="179">
        <f>IFERROR(__xludf.DUMMYFUNCTION("""COMPUTED_VALUE"""),-35.0)</f>
        <v>-35</v>
      </c>
      <c r="CJ463" s="16"/>
      <c r="CK463" s="16">
        <f>IFERROR(__xludf.DUMMYFUNCTION("""COMPUTED_VALUE"""),414.0)</f>
        <v>414</v>
      </c>
      <c r="CL463" s="16"/>
      <c r="CM463" s="16"/>
      <c r="CN463" s="16"/>
      <c r="CO463" s="16">
        <f>IFERROR(__xludf.DUMMYFUNCTION("""COMPUTED_VALUE"""),416.0)</f>
        <v>416</v>
      </c>
      <c r="CP463" s="16"/>
      <c r="CQ463" s="16"/>
      <c r="CR463" s="16" t="str">
        <f>IFERROR(__xludf.DUMMYFUNCTION("""COMPUTED_VALUE"""),"1b-4e14 lf-4(+2)e16")</f>
        <v>1b-4e14 lf-4(+2)e16</v>
      </c>
      <c r="CS463" s="16"/>
      <c r="CT463" s="16">
        <f>IFERROR(__xludf.DUMMYFUNCTION("""COMPUTED_VALUE"""),4.0)</f>
        <v>4</v>
      </c>
      <c r="CU463" s="16"/>
      <c r="CV463" s="16"/>
      <c r="CW463" s="16"/>
      <c r="CX463" s="16">
        <f>IFERROR(__xludf.DUMMYFUNCTION("""COMPUTED_VALUE"""),4.0)</f>
        <v>4</v>
      </c>
      <c r="CY463" s="16"/>
      <c r="CZ463" s="16"/>
      <c r="DA463" s="16"/>
      <c r="DB463" s="16">
        <f>IFERROR(__xludf.DUMMYFUNCTION("""COMPUTED_VALUE"""),14.0)</f>
        <v>14</v>
      </c>
      <c r="DC463" s="16"/>
      <c r="DD463" s="16"/>
      <c r="DE463" s="16"/>
      <c r="DF463" s="16">
        <f>IFERROR(__xludf.DUMMYFUNCTION("""COMPUTED_VALUE"""),16.0)</f>
        <v>16</v>
      </c>
      <c r="DG463" s="16"/>
      <c r="DH463" s="16"/>
      <c r="DI463" s="16"/>
      <c r="DJ463" s="16">
        <f>IFERROR(__xludf.DUMMYFUNCTION("""COMPUTED_VALUE"""),0.0)</f>
        <v>0</v>
      </c>
      <c r="DK463" s="16"/>
      <c r="DL463" s="16"/>
      <c r="DM463" s="16"/>
      <c r="DN463" s="16">
        <f>IFERROR(__xludf.DUMMYFUNCTION("""COMPUTED_VALUE"""),-1.0)</f>
        <v>-1</v>
      </c>
      <c r="DO463" s="16"/>
      <c r="DP463" s="16"/>
      <c r="DQ463" s="16"/>
      <c r="DR463" s="16">
        <f>IFERROR(__xludf.DUMMYFUNCTION("""COMPUTED_VALUE"""),1.0)</f>
        <v>1</v>
      </c>
      <c r="DS463" s="16"/>
      <c r="DT463" s="16"/>
      <c r="DU463" s="16"/>
      <c r="DV463" s="16">
        <f>IFERROR(__xludf.DUMMYFUNCTION("""COMPUTED_VALUE"""),-2.0)</f>
        <v>-2</v>
      </c>
      <c r="DW463" s="16"/>
      <c r="DX463" s="16"/>
      <c r="DY463" s="16"/>
      <c r="DZ463" s="16">
        <f>IFERROR(__xludf.DUMMYFUNCTION("""COMPUTED_VALUE"""),1.0)</f>
        <v>1</v>
      </c>
      <c r="EA463" s="16"/>
      <c r="EB463" s="16"/>
      <c r="EC463" s="16"/>
      <c r="ED463" s="16">
        <f>IFERROR(__xludf.DUMMYFUNCTION("""COMPUTED_VALUE"""),-3.0)</f>
        <v>-3</v>
      </c>
      <c r="EE463" s="16"/>
      <c r="EF463" s="16"/>
      <c r="EG463" s="179"/>
      <c r="EH463" s="179">
        <f>IFERROR(__xludf.DUMMYFUNCTION("""COMPUTED_VALUE"""),-34.0)</f>
        <v>-34</v>
      </c>
      <c r="EI463" s="179"/>
      <c r="EJ463" s="179"/>
      <c r="EK463" s="179"/>
      <c r="EL463" s="179">
        <f>IFERROR(__xludf.DUMMYFUNCTION("""COMPUTED_VALUE"""),-38.0)</f>
        <v>-38</v>
      </c>
      <c r="EM463" s="179"/>
      <c r="EN463" s="179"/>
      <c r="EO463" s="16"/>
      <c r="EP463" s="16">
        <f>IFERROR(__xludf.DUMMYFUNCTION("""COMPUTED_VALUE"""),-1.0)</f>
        <v>-1</v>
      </c>
      <c r="EQ463" s="16">
        <f>IFERROR(__xludf.DUMMYFUNCTION("""COMPUTED_VALUE"""),4.0)</f>
        <v>4</v>
      </c>
      <c r="ER463" s="16">
        <f>IFERROR(__xludf.DUMMYFUNCTION("""COMPUTED_VALUE"""),-4.0)</f>
        <v>-4</v>
      </c>
      <c r="ES463" s="16"/>
      <c r="ET463" s="16"/>
      <c r="EU463" s="16"/>
      <c r="EV463" s="16"/>
      <c r="EW463" s="16"/>
      <c r="EX463" s="180"/>
      <c r="EY463" s="180">
        <f>IFERROR(__xludf.DUMMYFUNCTION("""COMPUTED_VALUE"""),0.3)</f>
        <v>0.3</v>
      </c>
      <c r="EZ463" s="180"/>
      <c r="FA463" s="180"/>
      <c r="FB463" s="180"/>
      <c r="FC463" s="180">
        <f>IFERROR(__xludf.DUMMYFUNCTION("""COMPUTED_VALUE"""),0.55)</f>
        <v>0.55</v>
      </c>
      <c r="FD463" s="180"/>
      <c r="FE463" s="180"/>
      <c r="FF463" s="180"/>
      <c r="FG463" s="180">
        <f>IFERROR(__xludf.DUMMYFUNCTION("""COMPUTED_VALUE"""),0.25)</f>
        <v>0.25</v>
      </c>
      <c r="FH463" s="180"/>
      <c r="FI463" s="180"/>
      <c r="FJ463" s="180"/>
      <c r="FK463" s="180">
        <f>IFERROR(__xludf.DUMMYFUNCTION("""COMPUTED_VALUE"""),0.287)</f>
        <v>0.287</v>
      </c>
      <c r="FL463" s="180"/>
      <c r="FM463" s="180"/>
      <c r="FN463" s="16"/>
      <c r="FO463" s="16">
        <f>IFERROR(__xludf.DUMMYFUNCTION("""COMPUTED_VALUE"""),0.5249999999999999)</f>
        <v>0.525</v>
      </c>
      <c r="FP463" s="16"/>
      <c r="FQ463" s="16"/>
      <c r="FR463" s="16"/>
      <c r="FS463" s="16">
        <f>IFERROR(__xludf.DUMMYFUNCTION("""COMPUTED_VALUE"""),0.32085)</f>
        <v>0.32085</v>
      </c>
      <c r="FT463" s="16"/>
      <c r="FU463" s="16"/>
      <c r="FV463" s="16"/>
      <c r="FW463" s="16">
        <f>IFERROR(__xludf.DUMMYFUNCTION("""COMPUTED_VALUE"""),-8.0)</f>
        <v>-8</v>
      </c>
      <c r="FX463" s="16"/>
      <c r="FY463" s="16"/>
      <c r="FZ463" s="16"/>
      <c r="GA463" s="16">
        <f>IFERROR(__xludf.DUMMYFUNCTION("""COMPUTED_VALUE"""),-7.0)</f>
        <v>-7</v>
      </c>
      <c r="GB463" s="16"/>
      <c r="GC463" s="16"/>
      <c r="GD463" s="16" t="s">
        <v>176</v>
      </c>
    </row>
    <row r="464">
      <c r="A464" s="16">
        <f>IFERROR(__xludf.DUMMYFUNCTION("""COMPUTED_VALUE"""),12734.0)</f>
        <v>12734</v>
      </c>
      <c r="B464" s="16" t="str">
        <f>IFERROR(__xludf.DUMMYFUNCTION("""COMPUTED_VALUE"""),"Darell Hernaiz")</f>
        <v>Darell Hernaiz</v>
      </c>
      <c r="C464" s="16">
        <f>IFERROR(__xludf.DUMMYFUNCTION("""COMPUTED_VALUE"""),0.0)</f>
        <v>0</v>
      </c>
      <c r="D464" s="16" t="str">
        <f>IFERROR(__xludf.DUMMYFUNCTION("""COMPUTED_VALUE"""),"R")</f>
        <v>R</v>
      </c>
      <c r="E464" s="16"/>
      <c r="F464" s="16"/>
      <c r="G464" s="16">
        <f>IFERROR(__xludf.DUMMYFUNCTION("""COMPUTED_VALUE"""),120.0)</f>
        <v>120</v>
      </c>
      <c r="H464" s="16">
        <f>IFERROR(__xludf.DUMMYFUNCTION("""COMPUTED_VALUE"""),11.0)</f>
        <v>11</v>
      </c>
      <c r="I464" s="16" t="str">
        <f>IFERROR(__xludf.DUMMYFUNCTION("""COMPUTED_VALUE"""),"5p30")</f>
        <v>5p30</v>
      </c>
      <c r="J464" s="16">
        <f>IFERROR(__xludf.DUMMYFUNCTION("""COMPUTED_VALUE"""),12.0)</f>
        <v>12</v>
      </c>
      <c r="K464" s="16">
        <f>IFERROR(__xludf.DUMMYFUNCTION("""COMPUTED_VALUE"""),22.0)</f>
        <v>22</v>
      </c>
      <c r="L464" s="16">
        <f>IFERROR(__xludf.DUMMYFUNCTION("""COMPUTED_VALUE"""),1.0)</f>
        <v>1</v>
      </c>
      <c r="M464" s="16">
        <f>IFERROR(__xludf.DUMMYFUNCTION("""COMPUTED_VALUE"""),0.0)</f>
        <v>0</v>
      </c>
      <c r="N464" s="16">
        <f>IFERROR(__xludf.DUMMYFUNCTION("""COMPUTED_VALUE"""),1.0)</f>
        <v>1</v>
      </c>
      <c r="O464" s="16">
        <f>IFERROR(__xludf.DUMMYFUNCTION("""COMPUTED_VALUE"""),0.0)</f>
        <v>0</v>
      </c>
      <c r="P464" s="16">
        <f>IFERROR(__xludf.DUMMYFUNCTION("""COMPUTED_VALUE"""),5.0)</f>
        <v>5</v>
      </c>
      <c r="Q464" s="16">
        <f>IFERROR(__xludf.DUMMYFUNCTION("""COMPUTED_VALUE"""),12.0)</f>
        <v>12</v>
      </c>
      <c r="R464" s="16">
        <f>IFERROR(__xludf.DUMMYFUNCTION("""COMPUTED_VALUE"""),-1.0)</f>
        <v>-1</v>
      </c>
      <c r="S464" s="16">
        <f>IFERROR(__xludf.DUMMYFUNCTION("""COMPUTED_VALUE"""),1.0)</f>
        <v>1</v>
      </c>
      <c r="T464" s="16">
        <f>IFERROR(__xludf.DUMMYFUNCTION("""COMPUTED_VALUE"""),-1.0)</f>
        <v>-1</v>
      </c>
      <c r="U464" s="16">
        <f>IFERROR(__xludf.DUMMYFUNCTION("""COMPUTED_VALUE"""),1.0)</f>
        <v>1</v>
      </c>
      <c r="V464" s="16">
        <f>IFERROR(__xludf.DUMMYFUNCTION("""COMPUTED_VALUE"""),22.5)</f>
        <v>22.5</v>
      </c>
      <c r="W464" s="16">
        <f>IFERROR(__xludf.DUMMYFUNCTION("""COMPUTED_VALUE"""),3.7)</f>
        <v>3.7</v>
      </c>
      <c r="X464" s="16">
        <f>IFERROR(__xludf.DUMMYFUNCTION("""COMPUTED_VALUE"""),0.0)</f>
        <v>0</v>
      </c>
      <c r="Y464" s="16">
        <f>IFERROR(__xludf.DUMMYFUNCTION("""COMPUTED_VALUE"""),-3.0)</f>
        <v>-3</v>
      </c>
      <c r="Z464" s="16">
        <f>IFERROR(__xludf.DUMMYFUNCTION("""COMPUTED_VALUE"""),0.0)</f>
        <v>0</v>
      </c>
      <c r="AA464" s="16">
        <f>IFERROR(__xludf.DUMMYFUNCTION("""COMPUTED_VALUE"""),-6.0)</f>
        <v>-6</v>
      </c>
      <c r="AB464" s="16">
        <f>IFERROR(__xludf.DUMMYFUNCTION("""COMPUTED_VALUE"""),29.5)</f>
        <v>29.5</v>
      </c>
      <c r="AC464" s="16">
        <f>IFERROR(__xludf.DUMMYFUNCTION("""COMPUTED_VALUE"""),17.7)</f>
        <v>17.7</v>
      </c>
      <c r="AD464" s="16">
        <f>IFERROR(__xludf.DUMMYFUNCTION("""COMPUTED_VALUE"""),0.0)</f>
        <v>0</v>
      </c>
      <c r="AE464" s="16">
        <f>IFERROR(__xludf.DUMMYFUNCTION("""COMPUTED_VALUE"""),-2.0)</f>
        <v>-2</v>
      </c>
      <c r="AF464" s="16">
        <f>IFERROR(__xludf.DUMMYFUNCTION("""COMPUTED_VALUE"""),0.0)</f>
        <v>0</v>
      </c>
      <c r="AG464" s="16">
        <f>IFERROR(__xludf.DUMMYFUNCTION("""COMPUTED_VALUE"""),-10.0)</f>
        <v>-10</v>
      </c>
      <c r="AH464" s="16">
        <f>IFERROR(__xludf.DUMMYFUNCTION("""COMPUTED_VALUE"""),26.5)</f>
        <v>26.5</v>
      </c>
      <c r="AI464" s="16">
        <f>IFERROR(__xludf.DUMMYFUNCTION("""COMPUTED_VALUE"""),11.2)</f>
        <v>11.2</v>
      </c>
      <c r="AJ464" s="16">
        <f>IFERROR(__xludf.DUMMYFUNCTION("""COMPUTED_VALUE"""),0.0)</f>
        <v>0</v>
      </c>
      <c r="AK464" s="16">
        <f>IFERROR(__xludf.DUMMYFUNCTION("""COMPUTED_VALUE"""),-2.0)</f>
        <v>-2</v>
      </c>
      <c r="AL464" s="16">
        <f>IFERROR(__xludf.DUMMYFUNCTION("""COMPUTED_VALUE"""),0.0)</f>
        <v>0</v>
      </c>
      <c r="AM464" s="16">
        <f>IFERROR(__xludf.DUMMYFUNCTION("""COMPUTED_VALUE"""),-10.0)</f>
        <v>-10</v>
      </c>
      <c r="AN464" s="16">
        <f>IFERROR(__xludf.DUMMYFUNCTION("""COMPUTED_VALUE"""),0.0)</f>
        <v>0</v>
      </c>
      <c r="AO464" s="16">
        <f>IFERROR(__xludf.DUMMYFUNCTION("""COMPUTED_VALUE"""),2.5)</f>
        <v>2.5</v>
      </c>
      <c r="AP464" s="16">
        <f>IFERROR(__xludf.DUMMYFUNCTION("""COMPUTED_VALUE"""),-2.0)</f>
        <v>-2</v>
      </c>
      <c r="AQ464" s="16">
        <f>IFERROR(__xludf.DUMMYFUNCTION("""COMPUTED_VALUE"""),0.0)</f>
        <v>0</v>
      </c>
      <c r="AR464" s="16">
        <f>IFERROR(__xludf.DUMMYFUNCTION("""COMPUTED_VALUE"""),-4.0)</f>
        <v>-4</v>
      </c>
      <c r="AS464" s="16">
        <f>IFERROR(__xludf.DUMMYFUNCTION("""COMPUTED_VALUE"""),0.0)</f>
        <v>0</v>
      </c>
      <c r="AT464" s="16"/>
      <c r="AU464" s="16"/>
      <c r="AV464" s="16">
        <f>IFERROR(__xludf.DUMMYFUNCTION("""COMPUTED_VALUE"""),-3.0)</f>
        <v>-3</v>
      </c>
      <c r="AW464" s="16">
        <f>IFERROR(__xludf.DUMMYFUNCTION("""COMPUTED_VALUE"""),-3.0)</f>
        <v>-3</v>
      </c>
      <c r="AX464" s="16">
        <f>IFERROR(__xludf.DUMMYFUNCTION("""COMPUTED_VALUE"""),-3.0)</f>
        <v>-3</v>
      </c>
      <c r="AY464" s="16">
        <f>IFERROR(__xludf.DUMMYFUNCTION("""COMPUTED_VALUE"""),-3.0)</f>
        <v>-3</v>
      </c>
      <c r="AZ464" s="16">
        <f>IFERROR(__xludf.DUMMYFUNCTION("""COMPUTED_VALUE"""),-9.0)</f>
        <v>-9</v>
      </c>
      <c r="BA464" s="16">
        <f>IFERROR(__xludf.DUMMYFUNCTION("""COMPUTED_VALUE"""),-9.0)</f>
        <v>-9</v>
      </c>
      <c r="BB464" s="16">
        <f>IFERROR(__xludf.DUMMYFUNCTION("""COMPUTED_VALUE"""),5.0)</f>
        <v>5</v>
      </c>
      <c r="BC464" s="16">
        <f>IFERROR(__xludf.DUMMYFUNCTION("""COMPUTED_VALUE"""),5.0)</f>
        <v>5</v>
      </c>
      <c r="BD464" s="16">
        <f>IFERROR(__xludf.DUMMYFUNCTION("""COMPUTED_VALUE"""),1.0)</f>
        <v>1</v>
      </c>
      <c r="BE464" s="16">
        <f>IFERROR(__xludf.DUMMYFUNCTION("""COMPUTED_VALUE"""),1.0)</f>
        <v>1</v>
      </c>
      <c r="BF464" s="16">
        <f>IFERROR(__xludf.DUMMYFUNCTION("""COMPUTED_VALUE"""),1.0)</f>
        <v>1</v>
      </c>
      <c r="BG464" s="16">
        <f>IFERROR(__xludf.DUMMYFUNCTION("""COMPUTED_VALUE"""),1.0)</f>
        <v>1</v>
      </c>
      <c r="BH464" s="16">
        <f>IFERROR(__xludf.DUMMYFUNCTION("""COMPUTED_VALUE"""),6.0)</f>
        <v>6</v>
      </c>
      <c r="BI464" s="16">
        <f>IFERROR(__xludf.DUMMYFUNCTION("""COMPUTED_VALUE"""),0.0)</f>
        <v>0</v>
      </c>
      <c r="BJ464" s="16">
        <f>IFERROR(__xludf.DUMMYFUNCTION("""COMPUTED_VALUE"""),23.0)</f>
        <v>23</v>
      </c>
      <c r="BK464" s="16">
        <f>IFERROR(__xludf.DUMMYFUNCTION("""COMPUTED_VALUE"""),21.0)</f>
        <v>21</v>
      </c>
      <c r="BL464" s="16">
        <f>IFERROR(__xludf.DUMMYFUNCTION("""COMPUTED_VALUE"""),-2.0)</f>
        <v>-2</v>
      </c>
      <c r="BM464" s="16">
        <f>IFERROR(__xludf.DUMMYFUNCTION("""COMPUTED_VALUE"""),-2.0)</f>
        <v>-2</v>
      </c>
      <c r="BN464" s="16">
        <f>IFERROR(__xludf.DUMMYFUNCTION("""COMPUTED_VALUE"""),-4.0)</f>
        <v>-4</v>
      </c>
      <c r="BO464" s="16">
        <f>IFERROR(__xludf.DUMMYFUNCTION("""COMPUTED_VALUE"""),-4.0)</f>
        <v>-4</v>
      </c>
      <c r="BP464" s="16">
        <f>IFERROR(__xludf.DUMMYFUNCTION("""COMPUTED_VALUE"""),-6.0)</f>
        <v>-6</v>
      </c>
      <c r="BQ464" s="16">
        <f>IFERROR(__xludf.DUMMYFUNCTION("""COMPUTED_VALUE"""),-10.0)</f>
        <v>-10</v>
      </c>
      <c r="BR464" s="16">
        <f>IFERROR(__xludf.DUMMYFUNCTION("""COMPUTED_VALUE"""),-16.0)</f>
        <v>-16</v>
      </c>
      <c r="BS464" s="16" t="str">
        <f>IFERROR(__xludf.DUMMYFUNCTION("""COMPUTED_VALUE"""),"2-5/10 (13-6)")</f>
        <v>2-5/10 (13-6)</v>
      </c>
      <c r="BT464" s="16" t="str">
        <f>IFERROR(__xludf.DUMMYFUNCTION("""COMPUTED_VALUE"""),"E")</f>
        <v>E</v>
      </c>
      <c r="BU464" s="16">
        <f>IFERROR(__xludf.DUMMYFUNCTION("""COMPUTED_VALUE"""),13.0)</f>
        <v>13</v>
      </c>
      <c r="BV464" s="16">
        <f>IFERROR(__xludf.DUMMYFUNCTION("""COMPUTED_VALUE"""),0.0)</f>
        <v>0</v>
      </c>
      <c r="BW464" s="16">
        <f>IFERROR(__xludf.DUMMYFUNCTION("""COMPUTED_VALUE"""),1.0)</f>
        <v>1</v>
      </c>
      <c r="BX464" s="16">
        <f>IFERROR(__xludf.DUMMYFUNCTION("""COMPUTED_VALUE"""),0.0)</f>
        <v>0</v>
      </c>
      <c r="BY464" s="16">
        <f>IFERROR(__xludf.DUMMYFUNCTION("""COMPUTED_VALUE"""),3.0)</f>
        <v>3</v>
      </c>
      <c r="BZ464" s="16" t="str">
        <f>IFERROR(__xludf.DUMMYFUNCTION("""COMPUTED_VALUE"""),"D")</f>
        <v>D</v>
      </c>
      <c r="CA464" s="16" t="str">
        <f>IFERROR(__xludf.DUMMYFUNCTION("""COMPUTED_VALUE"""),"C")</f>
        <v>C</v>
      </c>
      <c r="CB464" s="16">
        <f>IFERROR(__xludf.DUMMYFUNCTION("""COMPUTED_VALUE"""),0.0)</f>
        <v>0</v>
      </c>
      <c r="CC464" s="16">
        <f>IFERROR(__xludf.DUMMYFUNCTION("""COMPUTED_VALUE"""),0.0)</f>
        <v>0</v>
      </c>
      <c r="CD464" s="16">
        <f>IFERROR(__xludf.DUMMYFUNCTION("""COMPUTED_VALUE"""),0.0)</f>
        <v>0</v>
      </c>
      <c r="CE464" s="16">
        <f>IFERROR(__xludf.DUMMYFUNCTION("""COMPUTED_VALUE"""),0.0)</f>
        <v>0</v>
      </c>
      <c r="CF464" s="16">
        <f>IFERROR(__xludf.DUMMYFUNCTION("""COMPUTED_VALUE"""),5.0)</f>
        <v>5</v>
      </c>
      <c r="CG464" s="16">
        <f>IFERROR(__xludf.DUMMYFUNCTION("""COMPUTED_VALUE"""),-16.0)</f>
        <v>-16</v>
      </c>
      <c r="CH464" s="16">
        <f>IFERROR(__xludf.DUMMYFUNCTION("""COMPUTED_VALUE"""),-37.0)</f>
        <v>-37</v>
      </c>
      <c r="CI464" s="179">
        <f>IFERROR(__xludf.DUMMYFUNCTION("""COMPUTED_VALUE"""),-35.0)</f>
        <v>-35</v>
      </c>
      <c r="CJ464" s="16"/>
      <c r="CK464" s="16"/>
      <c r="CL464" s="16">
        <f>IFERROR(__xludf.DUMMYFUNCTION("""COMPUTED_VALUE"""),427.0)</f>
        <v>427</v>
      </c>
      <c r="CM464" s="16">
        <f>IFERROR(__xludf.DUMMYFUNCTION("""COMPUTED_VALUE"""),315.0)</f>
        <v>315</v>
      </c>
      <c r="CN464" s="16">
        <f>IFERROR(__xludf.DUMMYFUNCTION("""COMPUTED_VALUE"""),410.0)</f>
        <v>410</v>
      </c>
      <c r="CO464" s="16"/>
      <c r="CP464" s="16"/>
      <c r="CQ464" s="16"/>
      <c r="CR464" s="16" t="str">
        <f>IFERROR(__xludf.DUMMYFUNCTION("""COMPUTED_VALUE"""),"3b-3e15 ss-4e10 2b-4e27")</f>
        <v>3b-3e15 ss-4e10 2b-4e27</v>
      </c>
      <c r="CS464" s="16"/>
      <c r="CT464" s="16"/>
      <c r="CU464" s="16">
        <f>IFERROR(__xludf.DUMMYFUNCTION("""COMPUTED_VALUE"""),4.0)</f>
        <v>4</v>
      </c>
      <c r="CV464" s="16">
        <f>IFERROR(__xludf.DUMMYFUNCTION("""COMPUTED_VALUE"""),3.0)</f>
        <v>3</v>
      </c>
      <c r="CW464" s="16">
        <f>IFERROR(__xludf.DUMMYFUNCTION("""COMPUTED_VALUE"""),4.0)</f>
        <v>4</v>
      </c>
      <c r="CX464" s="16"/>
      <c r="CY464" s="16"/>
      <c r="CZ464" s="16"/>
      <c r="DA464" s="16"/>
      <c r="DB464" s="16"/>
      <c r="DC464" s="16">
        <f>IFERROR(__xludf.DUMMYFUNCTION("""COMPUTED_VALUE"""),27.0)</f>
        <v>27</v>
      </c>
      <c r="DD464" s="16">
        <f>IFERROR(__xludf.DUMMYFUNCTION("""COMPUTED_VALUE"""),15.0)</f>
        <v>15</v>
      </c>
      <c r="DE464" s="16">
        <f>IFERROR(__xludf.DUMMYFUNCTION("""COMPUTED_VALUE"""),10.0)</f>
        <v>10</v>
      </c>
      <c r="DF464" s="16"/>
      <c r="DG464" s="16"/>
      <c r="DH464" s="16"/>
      <c r="DI464" s="16"/>
      <c r="DJ464" s="16"/>
      <c r="DK464" s="16">
        <f>IFERROR(__xludf.DUMMYFUNCTION("""COMPUTED_VALUE"""),-2.0)</f>
        <v>-2</v>
      </c>
      <c r="DL464" s="16">
        <f>IFERROR(__xludf.DUMMYFUNCTION("""COMPUTED_VALUE"""),1.0)</f>
        <v>1</v>
      </c>
      <c r="DM464" s="16">
        <f>IFERROR(__xludf.DUMMYFUNCTION("""COMPUTED_VALUE"""),-2.0)</f>
        <v>-2</v>
      </c>
      <c r="DN464" s="16"/>
      <c r="DO464" s="16"/>
      <c r="DP464" s="16"/>
      <c r="DQ464" s="16"/>
      <c r="DR464" s="16"/>
      <c r="DS464" s="16">
        <f>IFERROR(__xludf.DUMMYFUNCTION("""COMPUTED_VALUE"""),-2.0)</f>
        <v>-2</v>
      </c>
      <c r="DT464" s="16">
        <f>IFERROR(__xludf.DUMMYFUNCTION("""COMPUTED_VALUE"""),1.0)</f>
        <v>1</v>
      </c>
      <c r="DU464" s="16">
        <f>IFERROR(__xludf.DUMMYFUNCTION("""COMPUTED_VALUE"""),3.0)</f>
        <v>3</v>
      </c>
      <c r="DV464" s="16"/>
      <c r="DW464" s="16"/>
      <c r="DX464" s="16"/>
      <c r="DY464" s="16"/>
      <c r="DZ464" s="16"/>
      <c r="EA464" s="16">
        <f>IFERROR(__xludf.DUMMYFUNCTION("""COMPUTED_VALUE"""),-4.0)</f>
        <v>-4</v>
      </c>
      <c r="EB464" s="16">
        <f>IFERROR(__xludf.DUMMYFUNCTION("""COMPUTED_VALUE"""),2.0)</f>
        <v>2</v>
      </c>
      <c r="EC464" s="16">
        <f>IFERROR(__xludf.DUMMYFUNCTION("""COMPUTED_VALUE"""),1.0)</f>
        <v>1</v>
      </c>
      <c r="ED464" s="16"/>
      <c r="EE464" s="16"/>
      <c r="EF464" s="16"/>
      <c r="EG464" s="179"/>
      <c r="EH464" s="179"/>
      <c r="EI464" s="179">
        <f>IFERROR(__xludf.DUMMYFUNCTION("""COMPUTED_VALUE"""),-39.0)</f>
        <v>-39</v>
      </c>
      <c r="EJ464" s="179">
        <f>IFERROR(__xludf.DUMMYFUNCTION("""COMPUTED_VALUE"""),-33.0)</f>
        <v>-33</v>
      </c>
      <c r="EK464" s="179">
        <f>IFERROR(__xludf.DUMMYFUNCTION("""COMPUTED_VALUE"""),-34.0)</f>
        <v>-34</v>
      </c>
      <c r="EL464" s="179"/>
      <c r="EM464" s="179"/>
      <c r="EN464" s="179"/>
      <c r="EO464" s="16"/>
      <c r="EP464" s="16">
        <f>IFERROR(__xludf.DUMMYFUNCTION("""COMPUTED_VALUE"""),0.0)</f>
        <v>0</v>
      </c>
      <c r="EQ464" s="16">
        <f>IFERROR(__xludf.DUMMYFUNCTION("""COMPUTED_VALUE"""),-2.0)</f>
        <v>-2</v>
      </c>
      <c r="ER464" s="16">
        <f>IFERROR(__xludf.DUMMYFUNCTION("""COMPUTED_VALUE"""),-2.0)</f>
        <v>-2</v>
      </c>
      <c r="ES464" s="16"/>
      <c r="ET464" s="16"/>
      <c r="EU464" s="16"/>
      <c r="EV464" s="16"/>
      <c r="EW464" s="16"/>
      <c r="EX464" s="180"/>
      <c r="EY464" s="180"/>
      <c r="EZ464" s="180">
        <f>IFERROR(__xludf.DUMMYFUNCTION("""COMPUTED_VALUE"""),0.3)</f>
        <v>0.3</v>
      </c>
      <c r="FA464" s="180">
        <f>IFERROR(__xludf.DUMMYFUNCTION("""COMPUTED_VALUE"""),0.2)</f>
        <v>0.2</v>
      </c>
      <c r="FB464" s="180">
        <f>IFERROR(__xludf.DUMMYFUNCTION("""COMPUTED_VALUE"""),0.3)</f>
        <v>0.3</v>
      </c>
      <c r="FC464" s="180"/>
      <c r="FD464" s="180"/>
      <c r="FE464" s="180"/>
      <c r="FF464" s="180"/>
      <c r="FG464" s="180"/>
      <c r="FH464" s="180">
        <f>IFERROR(__xludf.DUMMYFUNCTION("""COMPUTED_VALUE"""),0.16203703703703703)</f>
        <v>0.162037037</v>
      </c>
      <c r="FI464" s="180">
        <f>IFERROR(__xludf.DUMMYFUNCTION("""COMPUTED_VALUE"""),0.18055555555555555)</f>
        <v>0.1805555556</v>
      </c>
      <c r="FJ464" s="180">
        <f>IFERROR(__xludf.DUMMYFUNCTION("""COMPUTED_VALUE"""),0.05092592592592592)</f>
        <v>0.05092592593</v>
      </c>
      <c r="FK464" s="180"/>
      <c r="FL464" s="180"/>
      <c r="FM464" s="180"/>
      <c r="FN464" s="16"/>
      <c r="FO464" s="16"/>
      <c r="FP464" s="16">
        <f>IFERROR(__xludf.DUMMYFUNCTION("""COMPUTED_VALUE"""),0.586574074074074)</f>
        <v>0.5865740741</v>
      </c>
      <c r="FQ464" s="16">
        <f>IFERROR(__xludf.DUMMYFUNCTION("""COMPUTED_VALUE"""),0.6555555555555556)</f>
        <v>0.6555555556</v>
      </c>
      <c r="FR464" s="16">
        <f>IFERROR(__xludf.DUMMYFUNCTION("""COMPUTED_VALUE"""),0.6643518518518519)</f>
        <v>0.6643518519</v>
      </c>
      <c r="FS464" s="16"/>
      <c r="FT464" s="16"/>
      <c r="FU464" s="16"/>
      <c r="FV464" s="16"/>
      <c r="FW464" s="16"/>
      <c r="FX464" s="16">
        <f>IFERROR(__xludf.DUMMYFUNCTION("""COMPUTED_VALUE"""),-6.0)</f>
        <v>-6</v>
      </c>
      <c r="FY464" s="16">
        <f>IFERROR(__xludf.DUMMYFUNCTION("""COMPUTED_VALUE"""),-4.0)</f>
        <v>-4</v>
      </c>
      <c r="FZ464" s="16">
        <f>IFERROR(__xludf.DUMMYFUNCTION("""COMPUTED_VALUE"""),-4.0)</f>
        <v>-4</v>
      </c>
      <c r="GA464" s="16"/>
      <c r="GB464" s="16"/>
      <c r="GC464" s="16"/>
      <c r="GD464" s="16" t="s">
        <v>176</v>
      </c>
    </row>
    <row r="465">
      <c r="A465" s="16">
        <f>IFERROR(__xludf.DUMMYFUNCTION("""COMPUTED_VALUE"""),12870.0)</f>
        <v>12870</v>
      </c>
      <c r="B465" s="16" t="str">
        <f>IFERROR(__xludf.DUMMYFUNCTION("""COMPUTED_VALUE"""),"Henry Davis")</f>
        <v>Henry Davis</v>
      </c>
      <c r="C465" s="16">
        <f>IFERROR(__xludf.DUMMYFUNCTION("""COMPUTED_VALUE"""),0.0)</f>
        <v>0</v>
      </c>
      <c r="D465" s="16" t="str">
        <f>IFERROR(__xludf.DUMMYFUNCTION("""COMPUTED_VALUE"""),"R")</f>
        <v>R</v>
      </c>
      <c r="E465" s="16"/>
      <c r="F465" s="16"/>
      <c r="G465" s="16">
        <f>IFERROR(__xludf.DUMMYFUNCTION("""COMPUTED_VALUE"""),104.0)</f>
        <v>104</v>
      </c>
      <c r="H465" s="16">
        <f>IFERROR(__xludf.DUMMYFUNCTION("""COMPUTED_VALUE"""),13.0)</f>
        <v>13</v>
      </c>
      <c r="I465" s="16" t="str">
        <f>IFERROR(__xludf.DUMMYFUNCTION("""COMPUTED_VALUE"""),"4p20")</f>
        <v>4p20</v>
      </c>
      <c r="J465" s="16">
        <f>IFERROR(__xludf.DUMMYFUNCTION("""COMPUTED_VALUE"""),49.0)</f>
        <v>49</v>
      </c>
      <c r="K465" s="16">
        <f>IFERROR(__xludf.DUMMYFUNCTION("""COMPUTED_VALUE"""),59.0)</f>
        <v>59</v>
      </c>
      <c r="L465" s="16">
        <f>IFERROR(__xludf.DUMMYFUNCTION("""COMPUTED_VALUE"""),-2.0)</f>
        <v>-2</v>
      </c>
      <c r="M465" s="16">
        <f>IFERROR(__xludf.DUMMYFUNCTION("""COMPUTED_VALUE"""),-3.0)</f>
        <v>-3</v>
      </c>
      <c r="N465" s="16">
        <f>IFERROR(__xludf.DUMMYFUNCTION("""COMPUTED_VALUE"""),-2.0)</f>
        <v>-2</v>
      </c>
      <c r="O465" s="16">
        <f>IFERROR(__xludf.DUMMYFUNCTION("""COMPUTED_VALUE"""),-3.0)</f>
        <v>-3</v>
      </c>
      <c r="P465" s="16">
        <f>IFERROR(__xludf.DUMMYFUNCTION("""COMPUTED_VALUE"""),22.0)</f>
        <v>22</v>
      </c>
      <c r="Q465" s="16">
        <f>IFERROR(__xludf.DUMMYFUNCTION("""COMPUTED_VALUE"""),14.0)</f>
        <v>14</v>
      </c>
      <c r="R465" s="16">
        <f>IFERROR(__xludf.DUMMYFUNCTION("""COMPUTED_VALUE"""),3.0)</f>
        <v>3</v>
      </c>
      <c r="S465" s="16">
        <f>IFERROR(__xludf.DUMMYFUNCTION("""COMPUTED_VALUE"""),2.0)</f>
        <v>2</v>
      </c>
      <c r="T465" s="16">
        <f>IFERROR(__xludf.DUMMYFUNCTION("""COMPUTED_VALUE"""),3.0)</f>
        <v>3</v>
      </c>
      <c r="U465" s="16">
        <f>IFERROR(__xludf.DUMMYFUNCTION("""COMPUTED_VALUE"""),2.0)</f>
        <v>2</v>
      </c>
      <c r="V465" s="16">
        <f>IFERROR(__xludf.DUMMYFUNCTION("""COMPUTED_VALUE"""),7.8)</f>
        <v>7.8</v>
      </c>
      <c r="W465" s="16">
        <f>IFERROR(__xludf.DUMMYFUNCTION("""COMPUTED_VALUE"""),2.3)</f>
        <v>2.3</v>
      </c>
      <c r="X465" s="16">
        <f>IFERROR(__xludf.DUMMYFUNCTION("""COMPUTED_VALUE"""),-2.0)</f>
        <v>-2</v>
      </c>
      <c r="Y465" s="16">
        <f>IFERROR(__xludf.DUMMYFUNCTION("""COMPUTED_VALUE"""),-3.0)</f>
        <v>-3</v>
      </c>
      <c r="Z465" s="16">
        <f>IFERROR(__xludf.DUMMYFUNCTION("""COMPUTED_VALUE"""),-4.0)</f>
        <v>-4</v>
      </c>
      <c r="AA465" s="16">
        <f>IFERROR(__xludf.DUMMYFUNCTION("""COMPUTED_VALUE"""),-6.0)</f>
        <v>-6</v>
      </c>
      <c r="AB465" s="16">
        <f>IFERROR(__xludf.DUMMYFUNCTION("""COMPUTED_VALUE"""),31.8)</f>
        <v>31.8</v>
      </c>
      <c r="AC465" s="16">
        <f>IFERROR(__xludf.DUMMYFUNCTION("""COMPUTED_VALUE"""),18.3)</f>
        <v>18.3</v>
      </c>
      <c r="AD465" s="16">
        <f>IFERROR(__xludf.DUMMYFUNCTION("""COMPUTED_VALUE"""),0.0)</f>
        <v>0</v>
      </c>
      <c r="AE465" s="16">
        <f>IFERROR(__xludf.DUMMYFUNCTION("""COMPUTED_VALUE"""),-2.0)</f>
        <v>-2</v>
      </c>
      <c r="AF465" s="16">
        <f>IFERROR(__xludf.DUMMYFUNCTION("""COMPUTED_VALUE"""),0.0)</f>
        <v>0</v>
      </c>
      <c r="AG465" s="16">
        <f>IFERROR(__xludf.DUMMYFUNCTION("""COMPUTED_VALUE"""),-10.0)</f>
        <v>-10</v>
      </c>
      <c r="AH465" s="16">
        <f>IFERROR(__xludf.DUMMYFUNCTION("""COMPUTED_VALUE"""),14.6)</f>
        <v>14.6</v>
      </c>
      <c r="AI465" s="16">
        <f>IFERROR(__xludf.DUMMYFUNCTION("""COMPUTED_VALUE"""),9.2)</f>
        <v>9.2</v>
      </c>
      <c r="AJ465" s="16">
        <f>IFERROR(__xludf.DUMMYFUNCTION("""COMPUTED_VALUE"""),-1.0)</f>
        <v>-1</v>
      </c>
      <c r="AK465" s="16">
        <f>IFERROR(__xludf.DUMMYFUNCTION("""COMPUTED_VALUE"""),-2.0)</f>
        <v>-2</v>
      </c>
      <c r="AL465" s="16">
        <f>IFERROR(__xludf.DUMMYFUNCTION("""COMPUTED_VALUE"""),-5.0)</f>
        <v>-5</v>
      </c>
      <c r="AM465" s="16">
        <f>IFERROR(__xludf.DUMMYFUNCTION("""COMPUTED_VALUE"""),-10.0)</f>
        <v>-10</v>
      </c>
      <c r="AN465" s="16">
        <f>IFERROR(__xludf.DUMMYFUNCTION("""COMPUTED_VALUE"""),0.0)</f>
        <v>0</v>
      </c>
      <c r="AO465" s="16">
        <f>IFERROR(__xludf.DUMMYFUNCTION("""COMPUTED_VALUE"""),2.3)</f>
        <v>2.3</v>
      </c>
      <c r="AP465" s="16">
        <f>IFERROR(__xludf.DUMMYFUNCTION("""COMPUTED_VALUE"""),-2.0)</f>
        <v>-2</v>
      </c>
      <c r="AQ465" s="16">
        <f>IFERROR(__xludf.DUMMYFUNCTION("""COMPUTED_VALUE"""),0.0)</f>
        <v>0</v>
      </c>
      <c r="AR465" s="16">
        <f>IFERROR(__xludf.DUMMYFUNCTION("""COMPUTED_VALUE"""),-4.0)</f>
        <v>-4</v>
      </c>
      <c r="AS465" s="16">
        <f>IFERROR(__xludf.DUMMYFUNCTION("""COMPUTED_VALUE"""),0.0)</f>
        <v>0</v>
      </c>
      <c r="AT465" s="16"/>
      <c r="AU465" s="16"/>
      <c r="AV465" s="16">
        <f>IFERROR(__xludf.DUMMYFUNCTION("""COMPUTED_VALUE"""),-3.0)</f>
        <v>-3</v>
      </c>
      <c r="AW465" s="16">
        <f>IFERROR(__xludf.DUMMYFUNCTION("""COMPUTED_VALUE"""),-3.0)</f>
        <v>-3</v>
      </c>
      <c r="AX465" s="16">
        <f>IFERROR(__xludf.DUMMYFUNCTION("""COMPUTED_VALUE"""),-3.0)</f>
        <v>-3</v>
      </c>
      <c r="AY465" s="16">
        <f>IFERROR(__xludf.DUMMYFUNCTION("""COMPUTED_VALUE"""),-3.0)</f>
        <v>-3</v>
      </c>
      <c r="AZ465" s="16">
        <f>IFERROR(__xludf.DUMMYFUNCTION("""COMPUTED_VALUE"""),-9.0)</f>
        <v>-9</v>
      </c>
      <c r="BA465" s="16">
        <f>IFERROR(__xludf.DUMMYFUNCTION("""COMPUTED_VALUE"""),-9.0)</f>
        <v>-9</v>
      </c>
      <c r="BB465" s="16">
        <f>IFERROR(__xludf.DUMMYFUNCTION("""COMPUTED_VALUE"""),0.0)</f>
        <v>0</v>
      </c>
      <c r="BC465" s="16">
        <f>IFERROR(__xludf.DUMMYFUNCTION("""COMPUTED_VALUE"""),0.0)</f>
        <v>0</v>
      </c>
      <c r="BD465" s="16">
        <f>IFERROR(__xludf.DUMMYFUNCTION("""COMPUTED_VALUE"""),0.0)</f>
        <v>0</v>
      </c>
      <c r="BE465" s="16">
        <f>IFERROR(__xludf.DUMMYFUNCTION("""COMPUTED_VALUE"""),0.0)</f>
        <v>0</v>
      </c>
      <c r="BF465" s="16">
        <f>IFERROR(__xludf.DUMMYFUNCTION("""COMPUTED_VALUE"""),0.0)</f>
        <v>0</v>
      </c>
      <c r="BG465" s="16">
        <f>IFERROR(__xludf.DUMMYFUNCTION("""COMPUTED_VALUE"""),0.0)</f>
        <v>0</v>
      </c>
      <c r="BH465" s="16">
        <f>IFERROR(__xludf.DUMMYFUNCTION("""COMPUTED_VALUE"""),0.0)</f>
        <v>0</v>
      </c>
      <c r="BI465" s="16">
        <f>IFERROR(__xludf.DUMMYFUNCTION("""COMPUTED_VALUE"""),0.0)</f>
        <v>0</v>
      </c>
      <c r="BJ465" s="16">
        <f>IFERROR(__xludf.DUMMYFUNCTION("""COMPUTED_VALUE"""),2.0)</f>
        <v>2</v>
      </c>
      <c r="BK465" s="16">
        <f>IFERROR(__xludf.DUMMYFUNCTION("""COMPUTED_VALUE"""),4.0)</f>
        <v>4</v>
      </c>
      <c r="BL465" s="16">
        <f>IFERROR(__xludf.DUMMYFUNCTION("""COMPUTED_VALUE"""),2.0)</f>
        <v>2</v>
      </c>
      <c r="BM465" s="16">
        <f>IFERROR(__xludf.DUMMYFUNCTION("""COMPUTED_VALUE"""),1.0)</f>
        <v>1</v>
      </c>
      <c r="BN465" s="16">
        <f>IFERROR(__xludf.DUMMYFUNCTION("""COMPUTED_VALUE"""),2.0)</f>
        <v>2</v>
      </c>
      <c r="BO465" s="16">
        <f>IFERROR(__xludf.DUMMYFUNCTION("""COMPUTED_VALUE"""),1.0)</f>
        <v>1</v>
      </c>
      <c r="BP465" s="16">
        <f>IFERROR(__xludf.DUMMYFUNCTION("""COMPUTED_VALUE"""),-5.0)</f>
        <v>-5</v>
      </c>
      <c r="BQ465" s="16">
        <f>IFERROR(__xludf.DUMMYFUNCTION("""COMPUTED_VALUE"""),-10.0)</f>
        <v>-10</v>
      </c>
      <c r="BR465" s="16">
        <f>IFERROR(__xludf.DUMMYFUNCTION("""COMPUTED_VALUE"""),-15.0)</f>
        <v>-15</v>
      </c>
      <c r="BS465" s="16" t="str">
        <f>IFERROR(__xludf.DUMMYFUNCTION("""COMPUTED_VALUE"""),"-/- (---)")</f>
        <v>-/- (---)</v>
      </c>
      <c r="BT465" s="16" t="str">
        <f>IFERROR(__xludf.DUMMYFUNCTION("""COMPUTED_VALUE"""),"E")</f>
        <v>E</v>
      </c>
      <c r="BU465" s="16">
        <f>IFERROR(__xludf.DUMMYFUNCTION("""COMPUTED_VALUE"""),11.0)</f>
        <v>11</v>
      </c>
      <c r="BV465" s="16">
        <f>IFERROR(__xludf.DUMMYFUNCTION("""COMPUTED_VALUE"""),0.0)</f>
        <v>0</v>
      </c>
      <c r="BW465" s="16">
        <f>IFERROR(__xludf.DUMMYFUNCTION("""COMPUTED_VALUE"""),0.0)</f>
        <v>0</v>
      </c>
      <c r="BX465" s="16">
        <f>IFERROR(__xludf.DUMMYFUNCTION("""COMPUTED_VALUE"""),0.0)</f>
        <v>0</v>
      </c>
      <c r="BY465" s="16">
        <f>IFERROR(__xludf.DUMMYFUNCTION("""COMPUTED_VALUE"""),0.0)</f>
        <v>0</v>
      </c>
      <c r="BZ465" s="16" t="str">
        <f>IFERROR(__xludf.DUMMYFUNCTION("""COMPUTED_VALUE"""),"D")</f>
        <v>D</v>
      </c>
      <c r="CA465" s="16" t="str">
        <f>IFERROR(__xludf.DUMMYFUNCTION("""COMPUTED_VALUE"""),"D")</f>
        <v>D</v>
      </c>
      <c r="CB465" s="16">
        <f>IFERROR(__xludf.DUMMYFUNCTION("""COMPUTED_VALUE"""),0.0)</f>
        <v>0</v>
      </c>
      <c r="CC465" s="16">
        <f>IFERROR(__xludf.DUMMYFUNCTION("""COMPUTED_VALUE"""),0.0)</f>
        <v>0</v>
      </c>
      <c r="CD465" s="16">
        <f>IFERROR(__xludf.DUMMYFUNCTION("""COMPUTED_VALUE"""),0.0)</f>
        <v>0</v>
      </c>
      <c r="CE465" s="16">
        <f>IFERROR(__xludf.DUMMYFUNCTION("""COMPUTED_VALUE"""),0.0)</f>
        <v>0</v>
      </c>
      <c r="CF465" s="16">
        <f>IFERROR(__xludf.DUMMYFUNCTION("""COMPUTED_VALUE"""),4.0)</f>
        <v>4</v>
      </c>
      <c r="CG465" s="16">
        <f>IFERROR(__xludf.DUMMYFUNCTION("""COMPUTED_VALUE"""),-19.0)</f>
        <v>-19</v>
      </c>
      <c r="CH465" s="16">
        <f>IFERROR(__xludf.DUMMYFUNCTION("""COMPUTED_VALUE"""),-35.0)</f>
        <v>-35</v>
      </c>
      <c r="CI465" s="179">
        <f>IFERROR(__xludf.DUMMYFUNCTION("""COMPUTED_VALUE"""),-36.0)</f>
        <v>-36</v>
      </c>
      <c r="CJ465" s="16">
        <f>IFERROR(__xludf.DUMMYFUNCTION("""COMPUTED_VALUE"""),505.0)</f>
        <v>505</v>
      </c>
      <c r="CK465" s="16"/>
      <c r="CL465" s="16"/>
      <c r="CM465" s="16"/>
      <c r="CN465" s="16"/>
      <c r="CO465" s="16"/>
      <c r="CP465" s="16"/>
      <c r="CQ465" s="16"/>
      <c r="CR465" s="16" t="str">
        <f>IFERROR(__xludf.DUMMYFUNCTION("""COMPUTED_VALUE"""),"c-5(+2)e5,T-6(pb-3)")</f>
        <v>c-5(+2)e5,T-6(pb-3)</v>
      </c>
      <c r="CS465" s="16">
        <f>IFERROR(__xludf.DUMMYFUNCTION("""COMPUTED_VALUE"""),5.0)</f>
        <v>5</v>
      </c>
      <c r="CT465" s="16"/>
      <c r="CU465" s="16"/>
      <c r="CV465" s="16"/>
      <c r="CW465" s="16"/>
      <c r="CX465" s="16"/>
      <c r="CY465" s="16"/>
      <c r="CZ465" s="16"/>
      <c r="DA465" s="16">
        <f>IFERROR(__xludf.DUMMYFUNCTION("""COMPUTED_VALUE"""),5.0)</f>
        <v>5</v>
      </c>
      <c r="DB465" s="16"/>
      <c r="DC465" s="16"/>
      <c r="DD465" s="16"/>
      <c r="DE465" s="16"/>
      <c r="DF465" s="16"/>
      <c r="DG465" s="16"/>
      <c r="DH465" s="16"/>
      <c r="DI465" s="16">
        <f>IFERROR(__xludf.DUMMYFUNCTION("""COMPUTED_VALUE"""),-4.0)</f>
        <v>-4</v>
      </c>
      <c r="DJ465" s="16"/>
      <c r="DK465" s="16"/>
      <c r="DL465" s="16"/>
      <c r="DM465" s="16"/>
      <c r="DN465" s="16"/>
      <c r="DO465" s="16"/>
      <c r="DP465" s="16"/>
      <c r="DQ465" s="16">
        <f>IFERROR(__xludf.DUMMYFUNCTION("""COMPUTED_VALUE"""),2.0)</f>
        <v>2</v>
      </c>
      <c r="DR465" s="16"/>
      <c r="DS465" s="16"/>
      <c r="DT465" s="16"/>
      <c r="DU465" s="16"/>
      <c r="DV465" s="16"/>
      <c r="DW465" s="16"/>
      <c r="DX465" s="16"/>
      <c r="DY465" s="16">
        <f>IFERROR(__xludf.DUMMYFUNCTION("""COMPUTED_VALUE"""),-2.0)</f>
        <v>-2</v>
      </c>
      <c r="DZ465" s="16"/>
      <c r="EA465" s="16"/>
      <c r="EB465" s="16"/>
      <c r="EC465" s="16"/>
      <c r="ED465" s="16"/>
      <c r="EE465" s="16"/>
      <c r="EF465" s="16"/>
      <c r="EG465" s="179">
        <f>IFERROR(__xludf.DUMMYFUNCTION("""COMPUTED_VALUE"""),-36.0)</f>
        <v>-36</v>
      </c>
      <c r="EH465" s="179"/>
      <c r="EI465" s="179"/>
      <c r="EJ465" s="179"/>
      <c r="EK465" s="179"/>
      <c r="EL465" s="179"/>
      <c r="EM465" s="179"/>
      <c r="EN465" s="179"/>
      <c r="EO465" s="16">
        <f>IFERROR(__xludf.DUMMYFUNCTION("""COMPUTED_VALUE"""),2.0)</f>
        <v>2</v>
      </c>
      <c r="EP465" s="16"/>
      <c r="EQ465" s="16">
        <f>IFERROR(__xludf.DUMMYFUNCTION("""COMPUTED_VALUE"""),-1.0)</f>
        <v>-1</v>
      </c>
      <c r="ER465" s="16">
        <f>IFERROR(__xludf.DUMMYFUNCTION("""COMPUTED_VALUE"""),-4.0)</f>
        <v>-4</v>
      </c>
      <c r="ES465" s="16" t="str">
        <f>IFERROR(__xludf.DUMMYFUNCTION("""COMPUTED_VALUE"""),"c-5")</f>
        <v>c-5</v>
      </c>
      <c r="ET465" s="16" t="str">
        <f>IFERROR(__xludf.DUMMYFUNCTION("""COMPUTED_VALUE"""),"+2)e5,T-6")</f>
        <v>+2)e5,T-6</v>
      </c>
      <c r="EU465" s="16" t="str">
        <f>IFERROR(__xludf.DUMMYFUNCTION("""COMPUTED_VALUE"""),"pb-3)")</f>
        <v>pb-3)</v>
      </c>
      <c r="EV465" s="16"/>
      <c r="EW465" s="16">
        <f>IFERROR(__xludf.DUMMYFUNCTION("""COMPUTED_VALUE"""),2.0)</f>
        <v>2</v>
      </c>
      <c r="EX465" s="180">
        <f>IFERROR(__xludf.DUMMYFUNCTION("""COMPUTED_VALUE"""),0.4)</f>
        <v>0.4</v>
      </c>
      <c r="EY465" s="180"/>
      <c r="EZ465" s="180"/>
      <c r="FA465" s="180"/>
      <c r="FB465" s="180"/>
      <c r="FC465" s="180"/>
      <c r="FD465" s="180"/>
      <c r="FE465" s="180"/>
      <c r="FF465" s="180">
        <f>IFERROR(__xludf.DUMMYFUNCTION("""COMPUTED_VALUE"""),0.061)</f>
        <v>0.061</v>
      </c>
      <c r="FG465" s="180"/>
      <c r="FH465" s="180"/>
      <c r="FI465" s="180"/>
      <c r="FJ465" s="180"/>
      <c r="FK465" s="180"/>
      <c r="FL465" s="180"/>
      <c r="FM465" s="180"/>
      <c r="FN465" s="16">
        <f>IFERROR(__xludf.DUMMYFUNCTION("""COMPUTED_VALUE"""),0.5634)</f>
        <v>0.5634</v>
      </c>
      <c r="FO465" s="16"/>
      <c r="FP465" s="16"/>
      <c r="FQ465" s="16"/>
      <c r="FR465" s="16"/>
      <c r="FS465" s="16"/>
      <c r="FT465" s="16"/>
      <c r="FU465" s="16"/>
      <c r="FV465" s="16">
        <f>IFERROR(__xludf.DUMMYFUNCTION("""COMPUTED_VALUE"""),-8.0)</f>
        <v>-8</v>
      </c>
      <c r="FW465" s="16"/>
      <c r="FX465" s="16"/>
      <c r="FY465" s="16"/>
      <c r="FZ465" s="16"/>
      <c r="GA465" s="16"/>
      <c r="GB465" s="16"/>
      <c r="GC465" s="16"/>
      <c r="GD465" s="16" t="s">
        <v>176</v>
      </c>
    </row>
    <row r="466">
      <c r="A466" s="16">
        <f>IFERROR(__xludf.DUMMYFUNCTION("""COMPUTED_VALUE"""),12617.0)</f>
        <v>12617</v>
      </c>
      <c r="B466" s="16" t="str">
        <f>IFERROR(__xludf.DUMMYFUNCTION("""COMPUTED_VALUE"""),"Brian Serven")</f>
        <v>Brian Serven</v>
      </c>
      <c r="C466" s="16">
        <f>IFERROR(__xludf.DUMMYFUNCTION("""COMPUTED_VALUE"""),0.49)</f>
        <v>0.49</v>
      </c>
      <c r="D466" s="16" t="str">
        <f>IFERROR(__xludf.DUMMYFUNCTION("""COMPUTED_VALUE"""),"R")</f>
        <v>R</v>
      </c>
      <c r="E466" s="16"/>
      <c r="F466" s="16"/>
      <c r="G466" s="16">
        <f>IFERROR(__xludf.DUMMYFUNCTION("""COMPUTED_VALUE"""),63.0)</f>
        <v>63</v>
      </c>
      <c r="H466" s="16">
        <f>IFERROR(__xludf.DUMMYFUNCTION("""COMPUTED_VALUE"""),5.0)</f>
        <v>5</v>
      </c>
      <c r="I466" s="16" t="str">
        <f>IFERROR(__xludf.DUMMYFUNCTION("""COMPUTED_VALUE"""),"2p20")</f>
        <v>2p20</v>
      </c>
      <c r="J466" s="16">
        <f>IFERROR(__xludf.DUMMYFUNCTION("""COMPUTED_VALUE"""),52.0)</f>
        <v>52</v>
      </c>
      <c r="K466" s="16">
        <f>IFERROR(__xludf.DUMMYFUNCTION("""COMPUTED_VALUE"""),36.0)</f>
        <v>36</v>
      </c>
      <c r="L466" s="16">
        <f>IFERROR(__xludf.DUMMYFUNCTION("""COMPUTED_VALUE"""),-2.0)</f>
        <v>-2</v>
      </c>
      <c r="M466" s="16">
        <f>IFERROR(__xludf.DUMMYFUNCTION("""COMPUTED_VALUE"""),-1.0)</f>
        <v>-1</v>
      </c>
      <c r="N466" s="16">
        <f>IFERROR(__xludf.DUMMYFUNCTION("""COMPUTED_VALUE"""),-2.0)</f>
        <v>-2</v>
      </c>
      <c r="O466" s="16">
        <f>IFERROR(__xludf.DUMMYFUNCTION("""COMPUTED_VALUE"""),-1.0)</f>
        <v>-1</v>
      </c>
      <c r="P466" s="16">
        <f>IFERROR(__xludf.DUMMYFUNCTION("""COMPUTED_VALUE"""),8.0)</f>
        <v>8</v>
      </c>
      <c r="Q466" s="16">
        <f>IFERROR(__xludf.DUMMYFUNCTION("""COMPUTED_VALUE"""),7.0)</f>
        <v>7</v>
      </c>
      <c r="R466" s="16">
        <f>IFERROR(__xludf.DUMMYFUNCTION("""COMPUTED_VALUE"""),0.0)</f>
        <v>0</v>
      </c>
      <c r="S466" s="16">
        <f>IFERROR(__xludf.DUMMYFUNCTION("""COMPUTED_VALUE"""),-1.0)</f>
        <v>-1</v>
      </c>
      <c r="T466" s="16">
        <f>IFERROR(__xludf.DUMMYFUNCTION("""COMPUTED_VALUE"""),0.0)</f>
        <v>0</v>
      </c>
      <c r="U466" s="16">
        <f>IFERROR(__xludf.DUMMYFUNCTION("""COMPUTED_VALUE"""),-1.0)</f>
        <v>-1</v>
      </c>
      <c r="V466" s="16">
        <f>IFERROR(__xludf.DUMMYFUNCTION("""COMPUTED_VALUE"""),0.2)</f>
        <v>0.2</v>
      </c>
      <c r="W466" s="16">
        <f>IFERROR(__xludf.DUMMYFUNCTION("""COMPUTED_VALUE"""),9.5)</f>
        <v>9.5</v>
      </c>
      <c r="X466" s="16">
        <f>IFERROR(__xludf.DUMMYFUNCTION("""COMPUTED_VALUE"""),-2.0)</f>
        <v>-2</v>
      </c>
      <c r="Y466" s="16">
        <f>IFERROR(__xludf.DUMMYFUNCTION("""COMPUTED_VALUE"""),-2.0)</f>
        <v>-2</v>
      </c>
      <c r="Z466" s="16">
        <f>IFERROR(__xludf.DUMMYFUNCTION("""COMPUTED_VALUE"""),-4.0)</f>
        <v>-4</v>
      </c>
      <c r="AA466" s="16">
        <f>IFERROR(__xludf.DUMMYFUNCTION("""COMPUTED_VALUE"""),-4.0)</f>
        <v>-4</v>
      </c>
      <c r="AB466" s="16">
        <f>IFERROR(__xludf.DUMMYFUNCTION("""COMPUTED_VALUE"""),14.2)</f>
        <v>14.2</v>
      </c>
      <c r="AC466" s="16">
        <f>IFERROR(__xludf.DUMMYFUNCTION("""COMPUTED_VALUE"""),22.5)</f>
        <v>22.5</v>
      </c>
      <c r="AD466" s="16">
        <f>IFERROR(__xludf.DUMMYFUNCTION("""COMPUTED_VALUE"""),-2.0)</f>
        <v>-2</v>
      </c>
      <c r="AE466" s="16">
        <f>IFERROR(__xludf.DUMMYFUNCTION("""COMPUTED_VALUE"""),-1.0)</f>
        <v>-1</v>
      </c>
      <c r="AF466" s="16">
        <f>IFERROR(__xludf.DUMMYFUNCTION("""COMPUTED_VALUE"""),-10.0)</f>
        <v>-10</v>
      </c>
      <c r="AG466" s="16">
        <f>IFERROR(__xludf.DUMMYFUNCTION("""COMPUTED_VALUE"""),-5.0)</f>
        <v>-5</v>
      </c>
      <c r="AH466" s="16">
        <f>IFERROR(__xludf.DUMMYFUNCTION("""COMPUTED_VALUE"""),0.4)</f>
        <v>0.4</v>
      </c>
      <c r="AI466" s="16">
        <f>IFERROR(__xludf.DUMMYFUNCTION("""COMPUTED_VALUE"""),19.0)</f>
        <v>19</v>
      </c>
      <c r="AJ466" s="16">
        <f>IFERROR(__xludf.DUMMYFUNCTION("""COMPUTED_VALUE"""),-2.0)</f>
        <v>-2</v>
      </c>
      <c r="AK466" s="16">
        <f>IFERROR(__xludf.DUMMYFUNCTION("""COMPUTED_VALUE"""),-2.0)</f>
        <v>-2</v>
      </c>
      <c r="AL466" s="16">
        <f>IFERROR(__xludf.DUMMYFUNCTION("""COMPUTED_VALUE"""),-10.0)</f>
        <v>-10</v>
      </c>
      <c r="AM466" s="16">
        <f>IFERROR(__xludf.DUMMYFUNCTION("""COMPUTED_VALUE"""),-10.0)</f>
        <v>-10</v>
      </c>
      <c r="AN466" s="16">
        <f>IFERROR(__xludf.DUMMYFUNCTION("""COMPUTED_VALUE"""),0.0)</f>
        <v>0</v>
      </c>
      <c r="AO466" s="16">
        <f>IFERROR(__xludf.DUMMYFUNCTION("""COMPUTED_VALUE"""),0.0)</f>
        <v>0</v>
      </c>
      <c r="AP466" s="16">
        <f>IFERROR(__xludf.DUMMYFUNCTION("""COMPUTED_VALUE"""),-2.0)</f>
        <v>-2</v>
      </c>
      <c r="AQ466" s="16">
        <f>IFERROR(__xludf.DUMMYFUNCTION("""COMPUTED_VALUE"""),-3.0)</f>
        <v>-3</v>
      </c>
      <c r="AR466" s="16">
        <f>IFERROR(__xludf.DUMMYFUNCTION("""COMPUTED_VALUE"""),-4.0)</f>
        <v>-4</v>
      </c>
      <c r="AS466" s="16">
        <f>IFERROR(__xludf.DUMMYFUNCTION("""COMPUTED_VALUE"""),-6.0)</f>
        <v>-6</v>
      </c>
      <c r="AT466" s="16"/>
      <c r="AU466" s="16"/>
      <c r="AV466" s="16">
        <f>IFERROR(__xludf.DUMMYFUNCTION("""COMPUTED_VALUE"""),-3.0)</f>
        <v>-3</v>
      </c>
      <c r="AW466" s="16">
        <f>IFERROR(__xludf.DUMMYFUNCTION("""COMPUTED_VALUE"""),-3.0)</f>
        <v>-3</v>
      </c>
      <c r="AX466" s="16">
        <f>IFERROR(__xludf.DUMMYFUNCTION("""COMPUTED_VALUE"""),-3.0)</f>
        <v>-3</v>
      </c>
      <c r="AY466" s="16">
        <f>IFERROR(__xludf.DUMMYFUNCTION("""COMPUTED_VALUE"""),-3.0)</f>
        <v>-3</v>
      </c>
      <c r="AZ466" s="16">
        <f>IFERROR(__xludf.DUMMYFUNCTION("""COMPUTED_VALUE"""),-9.0)</f>
        <v>-9</v>
      </c>
      <c r="BA466" s="16">
        <f>IFERROR(__xludf.DUMMYFUNCTION("""COMPUTED_VALUE"""),-9.0)</f>
        <v>-9</v>
      </c>
      <c r="BB466" s="16">
        <f>IFERROR(__xludf.DUMMYFUNCTION("""COMPUTED_VALUE"""),0.0)</f>
        <v>0</v>
      </c>
      <c r="BC466" s="16">
        <f>IFERROR(__xludf.DUMMYFUNCTION("""COMPUTED_VALUE"""),0.0)</f>
        <v>0</v>
      </c>
      <c r="BD466" s="16">
        <f>IFERROR(__xludf.DUMMYFUNCTION("""COMPUTED_VALUE"""),0.0)</f>
        <v>0</v>
      </c>
      <c r="BE466" s="16">
        <f>IFERROR(__xludf.DUMMYFUNCTION("""COMPUTED_VALUE"""),0.0)</f>
        <v>0</v>
      </c>
      <c r="BF466" s="16">
        <f>IFERROR(__xludf.DUMMYFUNCTION("""COMPUTED_VALUE"""),0.0)</f>
        <v>0</v>
      </c>
      <c r="BG466" s="16">
        <f>IFERROR(__xludf.DUMMYFUNCTION("""COMPUTED_VALUE"""),0.0)</f>
        <v>0</v>
      </c>
      <c r="BH466" s="16">
        <f>IFERROR(__xludf.DUMMYFUNCTION("""COMPUTED_VALUE"""),0.0)</f>
        <v>0</v>
      </c>
      <c r="BI466" s="16">
        <f>IFERROR(__xludf.DUMMYFUNCTION("""COMPUTED_VALUE"""),0.0)</f>
        <v>0</v>
      </c>
      <c r="BJ466" s="16">
        <f>IFERROR(__xludf.DUMMYFUNCTION("""COMPUTED_VALUE"""),0.0)</f>
        <v>0</v>
      </c>
      <c r="BK466" s="16">
        <f>IFERROR(__xludf.DUMMYFUNCTION("""COMPUTED_VALUE"""),0.0)</f>
        <v>0</v>
      </c>
      <c r="BL466" s="16">
        <f>IFERROR(__xludf.DUMMYFUNCTION("""COMPUTED_VALUE"""),3.0)</f>
        <v>3</v>
      </c>
      <c r="BM466" s="16">
        <f>IFERROR(__xludf.DUMMYFUNCTION("""COMPUTED_VALUE"""),3.0)</f>
        <v>3</v>
      </c>
      <c r="BN466" s="16">
        <f>IFERROR(__xludf.DUMMYFUNCTION("""COMPUTED_VALUE"""),3.0)</f>
        <v>3</v>
      </c>
      <c r="BO466" s="16">
        <f>IFERROR(__xludf.DUMMYFUNCTION("""COMPUTED_VALUE"""),3.0)</f>
        <v>3</v>
      </c>
      <c r="BP466" s="16">
        <f>IFERROR(__xludf.DUMMYFUNCTION("""COMPUTED_VALUE"""),-10.0)</f>
        <v>-10</v>
      </c>
      <c r="BQ466" s="16">
        <f>IFERROR(__xludf.DUMMYFUNCTION("""COMPUTED_VALUE"""),-10.0)</f>
        <v>-10</v>
      </c>
      <c r="BR466" s="16">
        <f>IFERROR(__xludf.DUMMYFUNCTION("""COMPUTED_VALUE"""),-20.0)</f>
        <v>-20</v>
      </c>
      <c r="BS466" s="16" t="str">
        <f>IFERROR(__xludf.DUMMYFUNCTION("""COMPUTED_VALUE"""),"-/- (---)")</f>
        <v>-/- (---)</v>
      </c>
      <c r="BT466" s="16" t="str">
        <f>IFERROR(__xludf.DUMMYFUNCTION("""COMPUTED_VALUE"""),"E")</f>
        <v>E</v>
      </c>
      <c r="BU466" s="16">
        <f>IFERROR(__xludf.DUMMYFUNCTION("""COMPUTED_VALUE"""),10.0)</f>
        <v>10</v>
      </c>
      <c r="BV466" s="16">
        <f>IFERROR(__xludf.DUMMYFUNCTION("""COMPUTED_VALUE"""),0.0)</f>
        <v>0</v>
      </c>
      <c r="BW466" s="16">
        <f>IFERROR(__xludf.DUMMYFUNCTION("""COMPUTED_VALUE"""),0.0)</f>
        <v>0</v>
      </c>
      <c r="BX466" s="16">
        <f>IFERROR(__xludf.DUMMYFUNCTION("""COMPUTED_VALUE"""),0.0)</f>
        <v>0</v>
      </c>
      <c r="BY466" s="16">
        <f>IFERROR(__xludf.DUMMYFUNCTION("""COMPUTED_VALUE"""),0.0)</f>
        <v>0</v>
      </c>
      <c r="BZ466" s="16" t="str">
        <f>IFERROR(__xludf.DUMMYFUNCTION("""COMPUTED_VALUE"""),"D")</f>
        <v>D</v>
      </c>
      <c r="CA466" s="16" t="str">
        <f>IFERROR(__xludf.DUMMYFUNCTION("""COMPUTED_VALUE"""),"D")</f>
        <v>D</v>
      </c>
      <c r="CB466" s="16">
        <f>IFERROR(__xludf.DUMMYFUNCTION("""COMPUTED_VALUE"""),0.0)</f>
        <v>0</v>
      </c>
      <c r="CC466" s="16">
        <f>IFERROR(__xludf.DUMMYFUNCTION("""COMPUTED_VALUE"""),0.0)</f>
        <v>0</v>
      </c>
      <c r="CD466" s="16">
        <f>IFERROR(__xludf.DUMMYFUNCTION("""COMPUTED_VALUE"""),0.0)</f>
        <v>0</v>
      </c>
      <c r="CE466" s="16">
        <f>IFERROR(__xludf.DUMMYFUNCTION("""COMPUTED_VALUE"""),0.0)</f>
        <v>0</v>
      </c>
      <c r="CF466" s="16">
        <f>IFERROR(__xludf.DUMMYFUNCTION("""COMPUTED_VALUE"""),2.0)</f>
        <v>2</v>
      </c>
      <c r="CG466" s="16">
        <f>IFERROR(__xludf.DUMMYFUNCTION("""COMPUTED_VALUE"""),-36.0)</f>
        <v>-36</v>
      </c>
      <c r="CH466" s="16">
        <f>IFERROR(__xludf.DUMMYFUNCTION("""COMPUTED_VALUE"""),-33.0)</f>
        <v>-33</v>
      </c>
      <c r="CI466" s="179">
        <f>IFERROR(__xludf.DUMMYFUNCTION("""COMPUTED_VALUE"""),-36.0)</f>
        <v>-36</v>
      </c>
      <c r="CJ466" s="16">
        <f>IFERROR(__xludf.DUMMYFUNCTION("""COMPUTED_VALUE"""),307.0)</f>
        <v>307</v>
      </c>
      <c r="CK466" s="16"/>
      <c r="CL466" s="16"/>
      <c r="CM466" s="16"/>
      <c r="CN466" s="16"/>
      <c r="CO466" s="16"/>
      <c r="CP466" s="16"/>
      <c r="CQ466" s="16"/>
      <c r="CR466" s="16" t="str">
        <f>IFERROR(__xludf.DUMMYFUNCTION("""COMPUTED_VALUE"""),"c-3(+1)e7,T-1(pb-7)")</f>
        <v>c-3(+1)e7,T-1(pb-7)</v>
      </c>
      <c r="CS466" s="16">
        <f>IFERROR(__xludf.DUMMYFUNCTION("""COMPUTED_VALUE"""),3.0)</f>
        <v>3</v>
      </c>
      <c r="CT466" s="16"/>
      <c r="CU466" s="16"/>
      <c r="CV466" s="16"/>
      <c r="CW466" s="16"/>
      <c r="CX466" s="16"/>
      <c r="CY466" s="16"/>
      <c r="CZ466" s="16"/>
      <c r="DA466" s="16">
        <f>IFERROR(__xludf.DUMMYFUNCTION("""COMPUTED_VALUE"""),7.0)</f>
        <v>7</v>
      </c>
      <c r="DB466" s="16"/>
      <c r="DC466" s="16"/>
      <c r="DD466" s="16"/>
      <c r="DE466" s="16"/>
      <c r="DF466" s="16"/>
      <c r="DG466" s="16"/>
      <c r="DH466" s="16"/>
      <c r="DI466" s="16">
        <f>IFERROR(__xludf.DUMMYFUNCTION("""COMPUTED_VALUE"""),0.0)</f>
        <v>0</v>
      </c>
      <c r="DJ466" s="16"/>
      <c r="DK466" s="16"/>
      <c r="DL466" s="16"/>
      <c r="DM466" s="16"/>
      <c r="DN466" s="16"/>
      <c r="DO466" s="16"/>
      <c r="DP466" s="16"/>
      <c r="DQ466" s="16">
        <f>IFERROR(__xludf.DUMMYFUNCTION("""COMPUTED_VALUE"""),2.0)</f>
        <v>2</v>
      </c>
      <c r="DR466" s="16"/>
      <c r="DS466" s="16"/>
      <c r="DT466" s="16"/>
      <c r="DU466" s="16"/>
      <c r="DV466" s="16"/>
      <c r="DW466" s="16"/>
      <c r="DX466" s="16"/>
      <c r="DY466" s="16">
        <f>IFERROR(__xludf.DUMMYFUNCTION("""COMPUTED_VALUE"""),2.0)</f>
        <v>2</v>
      </c>
      <c r="DZ466" s="16"/>
      <c r="EA466" s="16"/>
      <c r="EB466" s="16"/>
      <c r="EC466" s="16"/>
      <c r="ED466" s="16"/>
      <c r="EE466" s="16"/>
      <c r="EF466" s="16"/>
      <c r="EG466" s="179">
        <f>IFERROR(__xludf.DUMMYFUNCTION("""COMPUTED_VALUE"""),-33.0)</f>
        <v>-33</v>
      </c>
      <c r="EH466" s="179"/>
      <c r="EI466" s="179"/>
      <c r="EJ466" s="179"/>
      <c r="EK466" s="179"/>
      <c r="EL466" s="179"/>
      <c r="EM466" s="179"/>
      <c r="EN466" s="179"/>
      <c r="EO466" s="16">
        <f>IFERROR(__xludf.DUMMYFUNCTION("""COMPUTED_VALUE"""),1.0)</f>
        <v>1</v>
      </c>
      <c r="EP466" s="16">
        <f>IFERROR(__xludf.DUMMYFUNCTION("""COMPUTED_VALUE"""),1.0)</f>
        <v>1</v>
      </c>
      <c r="EQ466" s="16">
        <f>IFERROR(__xludf.DUMMYFUNCTION("""COMPUTED_VALUE"""),2.0)</f>
        <v>2</v>
      </c>
      <c r="ER466" s="16">
        <f>IFERROR(__xludf.DUMMYFUNCTION("""COMPUTED_VALUE"""),-4.0)</f>
        <v>-4</v>
      </c>
      <c r="ES466" s="16" t="str">
        <f>IFERROR(__xludf.DUMMYFUNCTION("""COMPUTED_VALUE"""),"c-3")</f>
        <v>c-3</v>
      </c>
      <c r="ET466" s="16" t="str">
        <f>IFERROR(__xludf.DUMMYFUNCTION("""COMPUTED_VALUE"""),"+1)e7,T-1")</f>
        <v>+1)e7,T-1</v>
      </c>
      <c r="EU466" s="16" t="str">
        <f>IFERROR(__xludf.DUMMYFUNCTION("""COMPUTED_VALUE"""),"pb-7)")</f>
        <v>pb-7)</v>
      </c>
      <c r="EV466" s="16"/>
      <c r="EW466" s="16">
        <f>IFERROR(__xludf.DUMMYFUNCTION("""COMPUTED_VALUE"""),1.0)</f>
        <v>1</v>
      </c>
      <c r="EX466" s="180">
        <f>IFERROR(__xludf.DUMMYFUNCTION("""COMPUTED_VALUE"""),0.2)</f>
        <v>0.2</v>
      </c>
      <c r="EY466" s="180"/>
      <c r="EZ466" s="180"/>
      <c r="FA466" s="180"/>
      <c r="FB466" s="180"/>
      <c r="FC466" s="180"/>
      <c r="FD466" s="180"/>
      <c r="FE466" s="180"/>
      <c r="FF466" s="180">
        <f>IFERROR(__xludf.DUMMYFUNCTION("""COMPUTED_VALUE"""),0.084)</f>
        <v>0.084</v>
      </c>
      <c r="FG466" s="180"/>
      <c r="FH466" s="180"/>
      <c r="FI466" s="180"/>
      <c r="FJ466" s="180"/>
      <c r="FK466" s="180"/>
      <c r="FL466" s="180"/>
      <c r="FM466" s="180"/>
      <c r="FN466" s="16">
        <f>IFERROR(__xludf.DUMMYFUNCTION("""COMPUTED_VALUE"""),0.7328000000000001)</f>
        <v>0.7328</v>
      </c>
      <c r="FO466" s="16"/>
      <c r="FP466" s="16"/>
      <c r="FQ466" s="16"/>
      <c r="FR466" s="16"/>
      <c r="FS466" s="16"/>
      <c r="FT466" s="16"/>
      <c r="FU466" s="16"/>
      <c r="FV466" s="16">
        <f>IFERROR(__xludf.DUMMYFUNCTION("""COMPUTED_VALUE"""),-5.0)</f>
        <v>-5</v>
      </c>
      <c r="FW466" s="16"/>
      <c r="FX466" s="16"/>
      <c r="FY466" s="16"/>
      <c r="FZ466" s="16"/>
      <c r="GA466" s="16"/>
      <c r="GB466" s="16"/>
      <c r="GC466" s="16"/>
      <c r="GD466" s="16" t="s">
        <v>176</v>
      </c>
    </row>
    <row r="467">
      <c r="A467" s="16">
        <f>IFERROR(__xludf.DUMMYFUNCTION("""COMPUTED_VALUE"""),12996.0)</f>
        <v>12996</v>
      </c>
      <c r="B467" s="16" t="str">
        <f>IFERROR(__xludf.DUMMYFUNCTION("""COMPUTED_VALUE"""),"Jordan Beck")</f>
        <v>Jordan Beck</v>
      </c>
      <c r="C467" s="16">
        <f>IFERROR(__xludf.DUMMYFUNCTION("""COMPUTED_VALUE"""),0.0)</f>
        <v>0</v>
      </c>
      <c r="D467" s="16" t="str">
        <f>IFERROR(__xludf.DUMMYFUNCTION("""COMPUTED_VALUE"""),"R")</f>
        <v>R</v>
      </c>
      <c r="E467" s="16"/>
      <c r="F467" s="16"/>
      <c r="G467" s="16">
        <f>IFERROR(__xludf.DUMMYFUNCTION("""COMPUTED_VALUE"""),170.0)</f>
        <v>170</v>
      </c>
      <c r="H467" s="16">
        <f>IFERROR(__xludf.DUMMYFUNCTION("""COMPUTED_VALUE"""),12.0)</f>
        <v>12</v>
      </c>
      <c r="I467" s="16" t="str">
        <f>IFERROR(__xludf.DUMMYFUNCTION("""COMPUTED_VALUE"""),"5p30")</f>
        <v>5p30</v>
      </c>
      <c r="J467" s="16">
        <f>IFERROR(__xludf.DUMMYFUNCTION("""COMPUTED_VALUE"""),53.0)</f>
        <v>53</v>
      </c>
      <c r="K467" s="16">
        <f>IFERROR(__xludf.DUMMYFUNCTION("""COMPUTED_VALUE"""),51.0)</f>
        <v>51</v>
      </c>
      <c r="L467" s="16">
        <f>IFERROR(__xludf.DUMMYFUNCTION("""COMPUTED_VALUE"""),-2.0)</f>
        <v>-2</v>
      </c>
      <c r="M467" s="16">
        <f>IFERROR(__xludf.DUMMYFUNCTION("""COMPUTED_VALUE"""),-2.0)</f>
        <v>-2</v>
      </c>
      <c r="N467" s="16">
        <f>IFERROR(__xludf.DUMMYFUNCTION("""COMPUTED_VALUE"""),-2.0)</f>
        <v>-2</v>
      </c>
      <c r="O467" s="16">
        <f>IFERROR(__xludf.DUMMYFUNCTION("""COMPUTED_VALUE"""),-2.0)</f>
        <v>-2</v>
      </c>
      <c r="P467" s="16">
        <f>IFERROR(__xludf.DUMMYFUNCTION("""COMPUTED_VALUE"""),0.0)</f>
        <v>0</v>
      </c>
      <c r="Q467" s="16">
        <f>IFERROR(__xludf.DUMMYFUNCTION("""COMPUTED_VALUE"""),8.0)</f>
        <v>8</v>
      </c>
      <c r="R467" s="16">
        <f>IFERROR(__xludf.DUMMYFUNCTION("""COMPUTED_VALUE"""),-3.0)</f>
        <v>-3</v>
      </c>
      <c r="S467" s="16">
        <f>IFERROR(__xludf.DUMMYFUNCTION("""COMPUTED_VALUE"""),0.0)</f>
        <v>0</v>
      </c>
      <c r="T467" s="16">
        <f>IFERROR(__xludf.DUMMYFUNCTION("""COMPUTED_VALUE"""),-3.0)</f>
        <v>-3</v>
      </c>
      <c r="U467" s="16">
        <f>IFERROR(__xludf.DUMMYFUNCTION("""COMPUTED_VALUE"""),0.0)</f>
        <v>0</v>
      </c>
      <c r="V467" s="16">
        <f>IFERROR(__xludf.DUMMYFUNCTION("""COMPUTED_VALUE"""),9.5)</f>
        <v>9.5</v>
      </c>
      <c r="W467" s="16">
        <f>IFERROR(__xludf.DUMMYFUNCTION("""COMPUTED_VALUE"""),11.1)</f>
        <v>11.1</v>
      </c>
      <c r="X467" s="16">
        <f>IFERROR(__xludf.DUMMYFUNCTION("""COMPUTED_VALUE"""),-1.0)</f>
        <v>-1</v>
      </c>
      <c r="Y467" s="16">
        <f>IFERROR(__xludf.DUMMYFUNCTION("""COMPUTED_VALUE"""),-2.0)</f>
        <v>-2</v>
      </c>
      <c r="Z467" s="16">
        <f>IFERROR(__xludf.DUMMYFUNCTION("""COMPUTED_VALUE"""),-2.0)</f>
        <v>-2</v>
      </c>
      <c r="AA467" s="16">
        <f>IFERROR(__xludf.DUMMYFUNCTION("""COMPUTED_VALUE"""),-4.0)</f>
        <v>-4</v>
      </c>
      <c r="AB467" s="16">
        <f>IFERROR(__xludf.DUMMYFUNCTION("""COMPUTED_VALUE"""),10.5)</f>
        <v>10.5</v>
      </c>
      <c r="AC467" s="16">
        <f>IFERROR(__xludf.DUMMYFUNCTION("""COMPUTED_VALUE"""),20.2)</f>
        <v>20.2</v>
      </c>
      <c r="AD467" s="16">
        <f>IFERROR(__xludf.DUMMYFUNCTION("""COMPUTED_VALUE"""),-2.0)</f>
        <v>-2</v>
      </c>
      <c r="AE467" s="16">
        <f>IFERROR(__xludf.DUMMYFUNCTION("""COMPUTED_VALUE"""),-2.0)</f>
        <v>-2</v>
      </c>
      <c r="AF467" s="16">
        <f>IFERROR(__xludf.DUMMYFUNCTION("""COMPUTED_VALUE"""),-10.0)</f>
        <v>-10</v>
      </c>
      <c r="AG467" s="16">
        <f>IFERROR(__xludf.DUMMYFUNCTION("""COMPUTED_VALUE"""),-10.0)</f>
        <v>-10</v>
      </c>
      <c r="AH467" s="16">
        <f>IFERROR(__xludf.DUMMYFUNCTION("""COMPUTED_VALUE"""),17.1)</f>
        <v>17.1</v>
      </c>
      <c r="AI467" s="16">
        <f>IFERROR(__xludf.DUMMYFUNCTION("""COMPUTED_VALUE"""),11.8)</f>
        <v>11.8</v>
      </c>
      <c r="AJ467" s="16">
        <f>IFERROR(__xludf.DUMMYFUNCTION("""COMPUTED_VALUE"""),-1.0)</f>
        <v>-1</v>
      </c>
      <c r="AK467" s="16">
        <f>IFERROR(__xludf.DUMMYFUNCTION("""COMPUTED_VALUE"""),-2.0)</f>
        <v>-2</v>
      </c>
      <c r="AL467" s="16">
        <f>IFERROR(__xludf.DUMMYFUNCTION("""COMPUTED_VALUE"""),-5.0)</f>
        <v>-5</v>
      </c>
      <c r="AM467" s="16">
        <f>IFERROR(__xludf.DUMMYFUNCTION("""COMPUTED_VALUE"""),-10.0)</f>
        <v>-10</v>
      </c>
      <c r="AN467" s="16">
        <f>IFERROR(__xludf.DUMMYFUNCTION("""COMPUTED_VALUE"""),0.5)</f>
        <v>0.5</v>
      </c>
      <c r="AO467" s="16">
        <f>IFERROR(__xludf.DUMMYFUNCTION("""COMPUTED_VALUE"""),0.2)</f>
        <v>0.2</v>
      </c>
      <c r="AP467" s="16">
        <f>IFERROR(__xludf.DUMMYFUNCTION("""COMPUTED_VALUE"""),-2.0)</f>
        <v>-2</v>
      </c>
      <c r="AQ467" s="16">
        <f>IFERROR(__xludf.DUMMYFUNCTION("""COMPUTED_VALUE"""),-2.0)</f>
        <v>-2</v>
      </c>
      <c r="AR467" s="16">
        <f>IFERROR(__xludf.DUMMYFUNCTION("""COMPUTED_VALUE"""),-4.0)</f>
        <v>-4</v>
      </c>
      <c r="AS467" s="16">
        <f>IFERROR(__xludf.DUMMYFUNCTION("""COMPUTED_VALUE"""),-4.0)</f>
        <v>-4</v>
      </c>
      <c r="AT467" s="16"/>
      <c r="AU467" s="16">
        <f>IFERROR(__xludf.DUMMYFUNCTION("""COMPUTED_VALUE"""),0.0)</f>
        <v>0</v>
      </c>
      <c r="AV467" s="16">
        <f>IFERROR(__xludf.DUMMYFUNCTION("""COMPUTED_VALUE"""),0.0)</f>
        <v>0</v>
      </c>
      <c r="AW467" s="16">
        <f>IFERROR(__xludf.DUMMYFUNCTION("""COMPUTED_VALUE"""),0.0)</f>
        <v>0</v>
      </c>
      <c r="AX467" s="16">
        <f>IFERROR(__xludf.DUMMYFUNCTION("""COMPUTED_VALUE"""),-2.0)</f>
        <v>-2</v>
      </c>
      <c r="AY467" s="16">
        <f>IFERROR(__xludf.DUMMYFUNCTION("""COMPUTED_VALUE"""),-2.0)</f>
        <v>-2</v>
      </c>
      <c r="AZ467" s="16">
        <f>IFERROR(__xludf.DUMMYFUNCTION("""COMPUTED_VALUE"""),-6.0)</f>
        <v>-6</v>
      </c>
      <c r="BA467" s="16">
        <f>IFERROR(__xludf.DUMMYFUNCTION("""COMPUTED_VALUE"""),-6.0)</f>
        <v>-6</v>
      </c>
      <c r="BB467" s="16">
        <f>IFERROR(__xludf.DUMMYFUNCTION("""COMPUTED_VALUE"""),0.0)</f>
        <v>0</v>
      </c>
      <c r="BC467" s="16">
        <f>IFERROR(__xludf.DUMMYFUNCTION("""COMPUTED_VALUE"""),5.0)</f>
        <v>5</v>
      </c>
      <c r="BD467" s="16">
        <f>IFERROR(__xludf.DUMMYFUNCTION("""COMPUTED_VALUE"""),0.0)</f>
        <v>0</v>
      </c>
      <c r="BE467" s="16">
        <f>IFERROR(__xludf.DUMMYFUNCTION("""COMPUTED_VALUE"""),1.0)</f>
        <v>1</v>
      </c>
      <c r="BF467" s="16">
        <f>IFERROR(__xludf.DUMMYFUNCTION("""COMPUTED_VALUE"""),0.0)</f>
        <v>0</v>
      </c>
      <c r="BG467" s="16">
        <f>IFERROR(__xludf.DUMMYFUNCTION("""COMPUTED_VALUE"""),1.0)</f>
        <v>1</v>
      </c>
      <c r="BH467" s="16">
        <f>IFERROR(__xludf.DUMMYFUNCTION("""COMPUTED_VALUE"""),0.0)</f>
        <v>0</v>
      </c>
      <c r="BI467" s="16">
        <f>IFERROR(__xludf.DUMMYFUNCTION("""COMPUTED_VALUE"""),-4.0)</f>
        <v>-4</v>
      </c>
      <c r="BJ467" s="16">
        <f>IFERROR(__xludf.DUMMYFUNCTION("""COMPUTED_VALUE"""),14.0)</f>
        <v>14</v>
      </c>
      <c r="BK467" s="16">
        <f>IFERROR(__xludf.DUMMYFUNCTION("""COMPUTED_VALUE"""),11.0)</f>
        <v>11</v>
      </c>
      <c r="BL467" s="16">
        <f>IFERROR(__xludf.DUMMYFUNCTION("""COMPUTED_VALUE"""),0.0)</f>
        <v>0</v>
      </c>
      <c r="BM467" s="16">
        <f>IFERROR(__xludf.DUMMYFUNCTION("""COMPUTED_VALUE"""),0.0)</f>
        <v>0</v>
      </c>
      <c r="BN467" s="16">
        <f>IFERROR(__xludf.DUMMYFUNCTION("""COMPUTED_VALUE"""),0.0)</f>
        <v>0</v>
      </c>
      <c r="BO467" s="16">
        <f>IFERROR(__xludf.DUMMYFUNCTION("""COMPUTED_VALUE"""),0.0)</f>
        <v>0</v>
      </c>
      <c r="BP467" s="16">
        <f>IFERROR(__xludf.DUMMYFUNCTION("""COMPUTED_VALUE"""),-13.0)</f>
        <v>-13</v>
      </c>
      <c r="BQ467" s="16">
        <f>IFERROR(__xludf.DUMMYFUNCTION("""COMPUTED_VALUE"""),-11.0)</f>
        <v>-11</v>
      </c>
      <c r="BR467" s="16">
        <f>IFERROR(__xludf.DUMMYFUNCTION("""COMPUTED_VALUE"""),-24.0)</f>
        <v>-24</v>
      </c>
      <c r="BS467" s="16" t="str">
        <f>IFERROR(__xludf.DUMMYFUNCTION("""COMPUTED_VALUE"""),"*4,6/- (19-13)")</f>
        <v>*4,6/- (19-13)</v>
      </c>
      <c r="BT467" s="16" t="str">
        <f>IFERROR(__xludf.DUMMYFUNCTION("""COMPUTED_VALUE"""),"B")</f>
        <v>B</v>
      </c>
      <c r="BU467" s="16">
        <f>IFERROR(__xludf.DUMMYFUNCTION("""COMPUTED_VALUE"""),14.0)</f>
        <v>14</v>
      </c>
      <c r="BV467" s="16">
        <f>IFERROR(__xludf.DUMMYFUNCTION("""COMPUTED_VALUE"""),1.0)</f>
        <v>1</v>
      </c>
      <c r="BW467" s="16">
        <f>IFERROR(__xludf.DUMMYFUNCTION("""COMPUTED_VALUE"""),1.0)</f>
        <v>1</v>
      </c>
      <c r="BX467" s="16">
        <f>IFERROR(__xludf.DUMMYFUNCTION("""COMPUTED_VALUE"""),2.0)</f>
        <v>2</v>
      </c>
      <c r="BY467" s="16">
        <f>IFERROR(__xludf.DUMMYFUNCTION("""COMPUTED_VALUE"""),3.0)</f>
        <v>3</v>
      </c>
      <c r="BZ467" s="16" t="str">
        <f>IFERROR(__xludf.DUMMYFUNCTION("""COMPUTED_VALUE"""),"D")</f>
        <v>D</v>
      </c>
      <c r="CA467" s="16" t="str">
        <f>IFERROR(__xludf.DUMMYFUNCTION("""COMPUTED_VALUE"""),"D")</f>
        <v>D</v>
      </c>
      <c r="CB467" s="16">
        <f>IFERROR(__xludf.DUMMYFUNCTION("""COMPUTED_VALUE"""),0.0)</f>
        <v>0</v>
      </c>
      <c r="CC467" s="16">
        <f>IFERROR(__xludf.DUMMYFUNCTION("""COMPUTED_VALUE"""),0.0)</f>
        <v>0</v>
      </c>
      <c r="CD467" s="16">
        <f>IFERROR(__xludf.DUMMYFUNCTION("""COMPUTED_VALUE"""),0.0)</f>
        <v>0</v>
      </c>
      <c r="CE467" s="16">
        <f>IFERROR(__xludf.DUMMYFUNCTION("""COMPUTED_VALUE"""),0.0)</f>
        <v>0</v>
      </c>
      <c r="CF467" s="16">
        <f>IFERROR(__xludf.DUMMYFUNCTION("""COMPUTED_VALUE"""),5.0)</f>
        <v>5</v>
      </c>
      <c r="CG467" s="16">
        <f>IFERROR(__xludf.DUMMYFUNCTION("""COMPUTED_VALUE"""),-32.0)</f>
        <v>-32</v>
      </c>
      <c r="CH467" s="16">
        <f>IFERROR(__xludf.DUMMYFUNCTION("""COMPUTED_VALUE"""),-35.0)</f>
        <v>-35</v>
      </c>
      <c r="CI467" s="179">
        <f>IFERROR(__xludf.DUMMYFUNCTION("""COMPUTED_VALUE"""),-37.0)</f>
        <v>-37</v>
      </c>
      <c r="CJ467" s="16"/>
      <c r="CK467" s="16"/>
      <c r="CL467" s="16"/>
      <c r="CM467" s="16"/>
      <c r="CN467" s="16"/>
      <c r="CO467" s="16">
        <f>IFERROR(__xludf.DUMMYFUNCTION("""COMPUTED_VALUE"""),303.0)</f>
        <v>303</v>
      </c>
      <c r="CP467" s="16">
        <f>IFERROR(__xludf.DUMMYFUNCTION("""COMPUTED_VALUE"""),403.0)</f>
        <v>403</v>
      </c>
      <c r="CQ467" s="16">
        <f>IFERROR(__xludf.DUMMYFUNCTION("""COMPUTED_VALUE"""),303.0)</f>
        <v>303</v>
      </c>
      <c r="CR467" s="16" t="str">
        <f>IFERROR(__xludf.DUMMYFUNCTION("""COMPUTED_VALUE"""),"lf-3(-1)e3 rf-3e3 cf-4e3")</f>
        <v>lf-3(-1)e3 rf-3e3 cf-4e3</v>
      </c>
      <c r="CS467" s="16"/>
      <c r="CT467" s="16"/>
      <c r="CU467" s="16"/>
      <c r="CV467" s="16"/>
      <c r="CW467" s="16"/>
      <c r="CX467" s="16">
        <f>IFERROR(__xludf.DUMMYFUNCTION("""COMPUTED_VALUE"""),3.0)</f>
        <v>3</v>
      </c>
      <c r="CY467" s="16">
        <f>IFERROR(__xludf.DUMMYFUNCTION("""COMPUTED_VALUE"""),4.0)</f>
        <v>4</v>
      </c>
      <c r="CZ467" s="16">
        <f>IFERROR(__xludf.DUMMYFUNCTION("""COMPUTED_VALUE"""),3.0)</f>
        <v>3</v>
      </c>
      <c r="DA467" s="16"/>
      <c r="DB467" s="16"/>
      <c r="DC467" s="16"/>
      <c r="DD467" s="16"/>
      <c r="DE467" s="16"/>
      <c r="DF467" s="16">
        <f>IFERROR(__xludf.DUMMYFUNCTION("""COMPUTED_VALUE"""),3.0)</f>
        <v>3</v>
      </c>
      <c r="DG467" s="16">
        <f>IFERROR(__xludf.DUMMYFUNCTION("""COMPUTED_VALUE"""),3.0)</f>
        <v>3</v>
      </c>
      <c r="DH467" s="16">
        <f>IFERROR(__xludf.DUMMYFUNCTION("""COMPUTED_VALUE"""),3.0)</f>
        <v>3</v>
      </c>
      <c r="DI467" s="16"/>
      <c r="DJ467" s="16"/>
      <c r="DK467" s="16"/>
      <c r="DL467" s="16"/>
      <c r="DM467" s="16"/>
      <c r="DN467" s="16">
        <f>IFERROR(__xludf.DUMMYFUNCTION("""COMPUTED_VALUE"""),0.0)</f>
        <v>0</v>
      </c>
      <c r="DO467" s="16">
        <f>IFERROR(__xludf.DUMMYFUNCTION("""COMPUTED_VALUE"""),-2.0)</f>
        <v>-2</v>
      </c>
      <c r="DP467" s="16">
        <f>IFERROR(__xludf.DUMMYFUNCTION("""COMPUTED_VALUE"""),0.0)</f>
        <v>0</v>
      </c>
      <c r="DQ467" s="16"/>
      <c r="DR467" s="16"/>
      <c r="DS467" s="16"/>
      <c r="DT467" s="16"/>
      <c r="DU467" s="16"/>
      <c r="DV467" s="16">
        <f>IFERROR(__xludf.DUMMYFUNCTION("""COMPUTED_VALUE"""),4.0)</f>
        <v>4</v>
      </c>
      <c r="DW467" s="16">
        <f>IFERROR(__xludf.DUMMYFUNCTION("""COMPUTED_VALUE"""),4.0)</f>
        <v>4</v>
      </c>
      <c r="DX467" s="16">
        <f>IFERROR(__xludf.DUMMYFUNCTION("""COMPUTED_VALUE"""),4.0)</f>
        <v>4</v>
      </c>
      <c r="DY467" s="16"/>
      <c r="DZ467" s="16"/>
      <c r="EA467" s="16"/>
      <c r="EB467" s="16"/>
      <c r="EC467" s="16"/>
      <c r="ED467" s="16">
        <f>IFERROR(__xludf.DUMMYFUNCTION("""COMPUTED_VALUE"""),4.0)</f>
        <v>4</v>
      </c>
      <c r="EE467" s="16">
        <f>IFERROR(__xludf.DUMMYFUNCTION("""COMPUTED_VALUE"""),2.0)</f>
        <v>2</v>
      </c>
      <c r="EF467" s="16">
        <f>IFERROR(__xludf.DUMMYFUNCTION("""COMPUTED_VALUE"""),4.0)</f>
        <v>4</v>
      </c>
      <c r="EG467" s="179"/>
      <c r="EH467" s="179"/>
      <c r="EI467" s="179"/>
      <c r="EJ467" s="179"/>
      <c r="EK467" s="179"/>
      <c r="EL467" s="179">
        <f>IFERROR(__xludf.DUMMYFUNCTION("""COMPUTED_VALUE"""),-33.0)</f>
        <v>-33</v>
      </c>
      <c r="EM467" s="179">
        <f>IFERROR(__xludf.DUMMYFUNCTION("""COMPUTED_VALUE"""),-35.0)</f>
        <v>-35</v>
      </c>
      <c r="EN467" s="179">
        <f>IFERROR(__xludf.DUMMYFUNCTION("""COMPUTED_VALUE"""),-33.0)</f>
        <v>-33</v>
      </c>
      <c r="EO467" s="16"/>
      <c r="EP467" s="16"/>
      <c r="EQ467" s="16">
        <f>IFERROR(__xludf.DUMMYFUNCTION("""COMPUTED_VALUE"""),-2.0)</f>
        <v>-2</v>
      </c>
      <c r="ER467" s="16">
        <f>IFERROR(__xludf.DUMMYFUNCTION("""COMPUTED_VALUE"""),-2.0)</f>
        <v>-2</v>
      </c>
      <c r="ES467" s="16"/>
      <c r="ET467" s="16"/>
      <c r="EU467" s="16"/>
      <c r="EV467" s="16"/>
      <c r="EW467" s="16"/>
      <c r="EX467" s="180"/>
      <c r="EY467" s="180"/>
      <c r="EZ467" s="180"/>
      <c r="FA467" s="180"/>
      <c r="FB467" s="180"/>
      <c r="FC467" s="180">
        <f>IFERROR(__xludf.DUMMYFUNCTION("""COMPUTED_VALUE"""),0.3)</f>
        <v>0.3</v>
      </c>
      <c r="FD467" s="180">
        <f>IFERROR(__xludf.DUMMYFUNCTION("""COMPUTED_VALUE"""),0.55)</f>
        <v>0.55</v>
      </c>
      <c r="FE467" s="180">
        <f>IFERROR(__xludf.DUMMYFUNCTION("""COMPUTED_VALUE"""),0.3)</f>
        <v>0.3</v>
      </c>
      <c r="FF467" s="180"/>
      <c r="FG467" s="180"/>
      <c r="FH467" s="180"/>
      <c r="FI467" s="180"/>
      <c r="FJ467" s="180"/>
      <c r="FK467" s="180">
        <f>IFERROR(__xludf.DUMMYFUNCTION("""COMPUTED_VALUE"""),0.056)</f>
        <v>0.056</v>
      </c>
      <c r="FL467" s="180">
        <f>IFERROR(__xludf.DUMMYFUNCTION("""COMPUTED_VALUE"""),0.037037037037037035)</f>
        <v>0.03703703704</v>
      </c>
      <c r="FM467" s="180">
        <f>IFERROR(__xludf.DUMMYFUNCTION("""COMPUTED_VALUE"""),0.056)</f>
        <v>0.056</v>
      </c>
      <c r="FN467" s="16"/>
      <c r="FO467" s="16"/>
      <c r="FP467" s="16"/>
      <c r="FQ467" s="16"/>
      <c r="FR467" s="16"/>
      <c r="FS467" s="16">
        <f>IFERROR(__xludf.DUMMYFUNCTION("""COMPUTED_VALUE"""),0.6607999999999999)</f>
        <v>0.6608</v>
      </c>
      <c r="FT467" s="16">
        <f>IFERROR(__xludf.DUMMYFUNCTION("""COMPUTED_VALUE"""),0.4333333333333333)</f>
        <v>0.4333333333</v>
      </c>
      <c r="FU467" s="16">
        <f>IFERROR(__xludf.DUMMYFUNCTION("""COMPUTED_VALUE"""),0.6607999999999999)</f>
        <v>0.6608</v>
      </c>
      <c r="FV467" s="16"/>
      <c r="FW467" s="16"/>
      <c r="FX467" s="16"/>
      <c r="FY467" s="16"/>
      <c r="FZ467" s="16"/>
      <c r="GA467" s="16">
        <f>IFERROR(__xludf.DUMMYFUNCTION("""COMPUTED_VALUE"""),-4.0)</f>
        <v>-4</v>
      </c>
      <c r="GB467" s="16">
        <f>IFERROR(__xludf.DUMMYFUNCTION("""COMPUTED_VALUE"""),-8.0)</f>
        <v>-8</v>
      </c>
      <c r="GC467" s="16">
        <f>IFERROR(__xludf.DUMMYFUNCTION("""COMPUTED_VALUE"""),-4.0)</f>
        <v>-4</v>
      </c>
      <c r="GD467" s="16" t="s">
        <v>176</v>
      </c>
    </row>
    <row r="468">
      <c r="A468" s="16">
        <f>IFERROR(__xludf.DUMMYFUNCTION("""COMPUTED_VALUE"""),12494.0)</f>
        <v>12494</v>
      </c>
      <c r="B468" s="16" t="str">
        <f>IFERROR(__xludf.DUMMYFUNCTION("""COMPUTED_VALUE"""),"Aaron Hicks")</f>
        <v>Aaron Hicks</v>
      </c>
      <c r="C468" s="16">
        <f>IFERROR(__xludf.DUMMYFUNCTION("""COMPUTED_VALUE"""),0.0)</f>
        <v>0</v>
      </c>
      <c r="D468" s="16" t="str">
        <f>IFERROR(__xludf.DUMMYFUNCTION("""COMPUTED_VALUE"""),"S")</f>
        <v>S</v>
      </c>
      <c r="E468" s="16"/>
      <c r="F468" s="16"/>
      <c r="G468" s="16">
        <f>IFERROR(__xludf.DUMMYFUNCTION("""COMPUTED_VALUE"""),57.0)</f>
        <v>57</v>
      </c>
      <c r="H468" s="16">
        <f>IFERROR(__xludf.DUMMYFUNCTION("""COMPUTED_VALUE"""),6.0)</f>
        <v>6</v>
      </c>
      <c r="I468" s="16" t="str">
        <f>IFERROR(__xludf.DUMMYFUNCTION("""COMPUTED_VALUE"""),"1p20")</f>
        <v>1p20</v>
      </c>
      <c r="J468" s="16">
        <f>IFERROR(__xludf.DUMMYFUNCTION("""COMPUTED_VALUE"""),51.0)</f>
        <v>51</v>
      </c>
      <c r="K468" s="16">
        <f>IFERROR(__xludf.DUMMYFUNCTION("""COMPUTED_VALUE"""),55.0)</f>
        <v>55</v>
      </c>
      <c r="L468" s="16">
        <f>IFERROR(__xludf.DUMMYFUNCTION("""COMPUTED_VALUE"""),-2.0)</f>
        <v>-2</v>
      </c>
      <c r="M468" s="16">
        <f>IFERROR(__xludf.DUMMYFUNCTION("""COMPUTED_VALUE"""),-3.0)</f>
        <v>-3</v>
      </c>
      <c r="N468" s="16">
        <f>IFERROR(__xludf.DUMMYFUNCTION("""COMPUTED_VALUE"""),-2.0)</f>
        <v>-2</v>
      </c>
      <c r="O468" s="16">
        <f>IFERROR(__xludf.DUMMYFUNCTION("""COMPUTED_VALUE"""),-3.0)</f>
        <v>-3</v>
      </c>
      <c r="P468" s="16">
        <f>IFERROR(__xludf.DUMMYFUNCTION("""COMPUTED_VALUE"""),4.0)</f>
        <v>4</v>
      </c>
      <c r="Q468" s="16">
        <f>IFERROR(__xludf.DUMMYFUNCTION("""COMPUTED_VALUE"""),14.0)</f>
        <v>14</v>
      </c>
      <c r="R468" s="16">
        <f>IFERROR(__xludf.DUMMYFUNCTION("""COMPUTED_VALUE"""),-2.0)</f>
        <v>-2</v>
      </c>
      <c r="S468" s="16">
        <f>IFERROR(__xludf.DUMMYFUNCTION("""COMPUTED_VALUE"""),2.0)</f>
        <v>2</v>
      </c>
      <c r="T468" s="16">
        <f>IFERROR(__xludf.DUMMYFUNCTION("""COMPUTED_VALUE"""),-2.0)</f>
        <v>-2</v>
      </c>
      <c r="U468" s="16">
        <f>IFERROR(__xludf.DUMMYFUNCTION("""COMPUTED_VALUE"""),2.0)</f>
        <v>2</v>
      </c>
      <c r="V468" s="16">
        <f>IFERROR(__xludf.DUMMYFUNCTION("""COMPUTED_VALUE"""),6.6)</f>
        <v>6.6</v>
      </c>
      <c r="W468" s="16">
        <f>IFERROR(__xludf.DUMMYFUNCTION("""COMPUTED_VALUE"""),0.0)</f>
        <v>0</v>
      </c>
      <c r="X468" s="16">
        <f>IFERROR(__xludf.DUMMYFUNCTION("""COMPUTED_VALUE"""),-2.0)</f>
        <v>-2</v>
      </c>
      <c r="Y468" s="16">
        <f>IFERROR(__xludf.DUMMYFUNCTION("""COMPUTED_VALUE"""),-3.0)</f>
        <v>-3</v>
      </c>
      <c r="Z468" s="16">
        <f>IFERROR(__xludf.DUMMYFUNCTION("""COMPUTED_VALUE"""),-4.0)</f>
        <v>-4</v>
      </c>
      <c r="AA468" s="16">
        <f>IFERROR(__xludf.DUMMYFUNCTION("""COMPUTED_VALUE"""),-6.0)</f>
        <v>-6</v>
      </c>
      <c r="AB468" s="16">
        <f>IFERROR(__xludf.DUMMYFUNCTION("""COMPUTED_VALUE"""),10.6)</f>
        <v>10.6</v>
      </c>
      <c r="AC468" s="16">
        <f>IFERROR(__xludf.DUMMYFUNCTION("""COMPUTED_VALUE"""),14.0)</f>
        <v>14</v>
      </c>
      <c r="AD468" s="16">
        <f>IFERROR(__xludf.DUMMYFUNCTION("""COMPUTED_VALUE"""),-2.0)</f>
        <v>-2</v>
      </c>
      <c r="AE468" s="16">
        <f>IFERROR(__xludf.DUMMYFUNCTION("""COMPUTED_VALUE"""),-2.0)</f>
        <v>-2</v>
      </c>
      <c r="AF468" s="16">
        <f>IFERROR(__xludf.DUMMYFUNCTION("""COMPUTED_VALUE"""),-10.0)</f>
        <v>-10</v>
      </c>
      <c r="AG468" s="16">
        <f>IFERROR(__xludf.DUMMYFUNCTION("""COMPUTED_VALUE"""),-10.0)</f>
        <v>-10</v>
      </c>
      <c r="AH468" s="16">
        <f>IFERROR(__xludf.DUMMYFUNCTION("""COMPUTED_VALUE"""),22.5)</f>
        <v>22.5</v>
      </c>
      <c r="AI468" s="16">
        <f>IFERROR(__xludf.DUMMYFUNCTION("""COMPUTED_VALUE"""),0.0)</f>
        <v>0</v>
      </c>
      <c r="AJ468" s="16">
        <f>IFERROR(__xludf.DUMMYFUNCTION("""COMPUTED_VALUE"""),-1.0)</f>
        <v>-1</v>
      </c>
      <c r="AK468" s="16">
        <f>IFERROR(__xludf.DUMMYFUNCTION("""COMPUTED_VALUE"""),-3.0)</f>
        <v>-3</v>
      </c>
      <c r="AL468" s="16">
        <f>IFERROR(__xludf.DUMMYFUNCTION("""COMPUTED_VALUE"""),-5.0)</f>
        <v>-5</v>
      </c>
      <c r="AM468" s="16">
        <f>IFERROR(__xludf.DUMMYFUNCTION("""COMPUTED_VALUE"""),-15.0)</f>
        <v>-15</v>
      </c>
      <c r="AN468" s="16">
        <f>IFERROR(__xludf.DUMMYFUNCTION("""COMPUTED_VALUE"""),5.3)</f>
        <v>5.3</v>
      </c>
      <c r="AO468" s="16">
        <f>IFERROR(__xludf.DUMMYFUNCTION("""COMPUTED_VALUE"""),0.0)</f>
        <v>0</v>
      </c>
      <c r="AP468" s="16">
        <f>IFERROR(__xludf.DUMMYFUNCTION("""COMPUTED_VALUE"""),3.0)</f>
        <v>3</v>
      </c>
      <c r="AQ468" s="16">
        <f>IFERROR(__xludf.DUMMYFUNCTION("""COMPUTED_VALUE"""),-3.0)</f>
        <v>-3</v>
      </c>
      <c r="AR468" s="16">
        <f>IFERROR(__xludf.DUMMYFUNCTION("""COMPUTED_VALUE"""),6.0)</f>
        <v>6</v>
      </c>
      <c r="AS468" s="16">
        <f>IFERROR(__xludf.DUMMYFUNCTION("""COMPUTED_VALUE"""),-6.0)</f>
        <v>-6</v>
      </c>
      <c r="AT468" s="16">
        <f>IFERROR(__xludf.DUMMYFUNCTION("""COMPUTED_VALUE"""),8.0)</f>
        <v>8</v>
      </c>
      <c r="AU468" s="16"/>
      <c r="AV468" s="16">
        <f>IFERROR(__xludf.DUMMYFUNCTION("""COMPUTED_VALUE"""),8.0)</f>
        <v>8</v>
      </c>
      <c r="AW468" s="16">
        <f>IFERROR(__xludf.DUMMYFUNCTION("""COMPUTED_VALUE"""),-3.0)</f>
        <v>-3</v>
      </c>
      <c r="AX468" s="16">
        <f>IFERROR(__xludf.DUMMYFUNCTION("""COMPUTED_VALUE"""),3.0)</f>
        <v>3</v>
      </c>
      <c r="AY468" s="16">
        <f>IFERROR(__xludf.DUMMYFUNCTION("""COMPUTED_VALUE"""),-3.0)</f>
        <v>-3</v>
      </c>
      <c r="AZ468" s="16">
        <f>IFERROR(__xludf.DUMMYFUNCTION("""COMPUTED_VALUE"""),9.0)</f>
        <v>9</v>
      </c>
      <c r="BA468" s="16">
        <f>IFERROR(__xludf.DUMMYFUNCTION("""COMPUTED_VALUE"""),-9.0)</f>
        <v>-9</v>
      </c>
      <c r="BB468" s="16">
        <f>IFERROR(__xludf.DUMMYFUNCTION("""COMPUTED_VALUE"""),5.0)</f>
        <v>5</v>
      </c>
      <c r="BC468" s="16">
        <f>IFERROR(__xludf.DUMMYFUNCTION("""COMPUTED_VALUE"""),0.0)</f>
        <v>0</v>
      </c>
      <c r="BD468" s="16">
        <f>IFERROR(__xludf.DUMMYFUNCTION("""COMPUTED_VALUE"""),1.0)</f>
        <v>1</v>
      </c>
      <c r="BE468" s="16">
        <f>IFERROR(__xludf.DUMMYFUNCTION("""COMPUTED_VALUE"""),0.0)</f>
        <v>0</v>
      </c>
      <c r="BF468" s="16">
        <f>IFERROR(__xludf.DUMMYFUNCTION("""COMPUTED_VALUE"""),1.0)</f>
        <v>1</v>
      </c>
      <c r="BG468" s="16">
        <f>IFERROR(__xludf.DUMMYFUNCTION("""COMPUTED_VALUE"""),0.0)</f>
        <v>0</v>
      </c>
      <c r="BH468" s="16">
        <f>IFERROR(__xludf.DUMMYFUNCTION("""COMPUTED_VALUE"""),0.0)</f>
        <v>0</v>
      </c>
      <c r="BI468" s="16">
        <f>IFERROR(__xludf.DUMMYFUNCTION("""COMPUTED_VALUE"""),0.0)</f>
        <v>0</v>
      </c>
      <c r="BJ468" s="16">
        <f>IFERROR(__xludf.DUMMYFUNCTION("""COMPUTED_VALUE"""),15.0)</f>
        <v>15</v>
      </c>
      <c r="BK468" s="16">
        <f>IFERROR(__xludf.DUMMYFUNCTION("""COMPUTED_VALUE"""),12.0)</f>
        <v>12</v>
      </c>
      <c r="BL468" s="16">
        <f>IFERROR(__xludf.DUMMYFUNCTION("""COMPUTED_VALUE"""),-1.0)</f>
        <v>-1</v>
      </c>
      <c r="BM468" s="16">
        <f>IFERROR(__xludf.DUMMYFUNCTION("""COMPUTED_VALUE"""),0.0)</f>
        <v>0</v>
      </c>
      <c r="BN468" s="16">
        <f>IFERROR(__xludf.DUMMYFUNCTION("""COMPUTED_VALUE"""),-2.0)</f>
        <v>-2</v>
      </c>
      <c r="BO468" s="16">
        <f>IFERROR(__xludf.DUMMYFUNCTION("""COMPUTED_VALUE"""),0.0)</f>
        <v>0</v>
      </c>
      <c r="BP468" s="16">
        <f>IFERROR(__xludf.DUMMYFUNCTION("""COMPUTED_VALUE"""),-3.0)</f>
        <v>-3</v>
      </c>
      <c r="BQ468" s="16">
        <f>IFERROR(__xludf.DUMMYFUNCTION("""COMPUTED_VALUE"""),-15.0)</f>
        <v>-15</v>
      </c>
      <c r="BR468" s="16">
        <f>IFERROR(__xludf.DUMMYFUNCTION("""COMPUTED_VALUE"""),-18.0)</f>
        <v>-18</v>
      </c>
      <c r="BS468" s="16" t="str">
        <f>IFERROR(__xludf.DUMMYFUNCTION("""COMPUTED_VALUE"""),"-/- (---)")</f>
        <v>-/- (---)</v>
      </c>
      <c r="BT468" s="16" t="str">
        <f>IFERROR(__xludf.DUMMYFUNCTION("""COMPUTED_VALUE"""),"E")</f>
        <v>E</v>
      </c>
      <c r="BU468" s="16">
        <f>IFERROR(__xludf.DUMMYFUNCTION("""COMPUTED_VALUE"""),13.0)</f>
        <v>13</v>
      </c>
      <c r="BV468" s="16">
        <f>IFERROR(__xludf.DUMMYFUNCTION("""COMPUTED_VALUE"""),0.0)</f>
        <v>0</v>
      </c>
      <c r="BW468" s="16">
        <f>IFERROR(__xludf.DUMMYFUNCTION("""COMPUTED_VALUE"""),1.0)</f>
        <v>1</v>
      </c>
      <c r="BX468" s="16">
        <f>IFERROR(__xludf.DUMMYFUNCTION("""COMPUTED_VALUE"""),0.0)</f>
        <v>0</v>
      </c>
      <c r="BY468" s="16">
        <f>IFERROR(__xludf.DUMMYFUNCTION("""COMPUTED_VALUE"""),3.0)</f>
        <v>3</v>
      </c>
      <c r="BZ468" s="16" t="str">
        <f>IFERROR(__xludf.DUMMYFUNCTION("""COMPUTED_VALUE"""),"D")</f>
        <v>D</v>
      </c>
      <c r="CA468" s="16" t="str">
        <f>IFERROR(__xludf.DUMMYFUNCTION("""COMPUTED_VALUE"""),"D")</f>
        <v>D</v>
      </c>
      <c r="CB468" s="16">
        <f>IFERROR(__xludf.DUMMYFUNCTION("""COMPUTED_VALUE"""),0.0)</f>
        <v>0</v>
      </c>
      <c r="CC468" s="16">
        <f>IFERROR(__xludf.DUMMYFUNCTION("""COMPUTED_VALUE"""),0.0)</f>
        <v>0</v>
      </c>
      <c r="CD468" s="16">
        <f>IFERROR(__xludf.DUMMYFUNCTION("""COMPUTED_VALUE"""),0.0)</f>
        <v>0</v>
      </c>
      <c r="CE468" s="16">
        <f>IFERROR(__xludf.DUMMYFUNCTION("""COMPUTED_VALUE"""),0.0)</f>
        <v>0</v>
      </c>
      <c r="CF468" s="16">
        <f>IFERROR(__xludf.DUMMYFUNCTION("""COMPUTED_VALUE"""),1.0)</f>
        <v>1</v>
      </c>
      <c r="CG468" s="16">
        <f>IFERROR(__xludf.DUMMYFUNCTION("""COMPUTED_VALUE"""),-9.0)</f>
        <v>-9</v>
      </c>
      <c r="CH468" s="16">
        <f>IFERROR(__xludf.DUMMYFUNCTION("""COMPUTED_VALUE"""),-47.0)</f>
        <v>-47</v>
      </c>
      <c r="CI468" s="179">
        <f>IFERROR(__xludf.DUMMYFUNCTION("""COMPUTED_VALUE"""),-37.0)</f>
        <v>-37</v>
      </c>
      <c r="CJ468" s="16"/>
      <c r="CK468" s="16"/>
      <c r="CL468" s="16"/>
      <c r="CM468" s="16"/>
      <c r="CN468" s="16"/>
      <c r="CO468" s="16">
        <f>IFERROR(__xludf.DUMMYFUNCTION("""COMPUTED_VALUE"""),304.0)</f>
        <v>304</v>
      </c>
      <c r="CP468" s="16">
        <f>IFERROR(__xludf.DUMMYFUNCTION("""COMPUTED_VALUE"""),304.0)</f>
        <v>304</v>
      </c>
      <c r="CQ468" s="16">
        <f>IFERROR(__xludf.DUMMYFUNCTION("""COMPUTED_VALUE"""),304.0)</f>
        <v>304</v>
      </c>
      <c r="CR468" s="16" t="str">
        <f>IFERROR(__xludf.DUMMYFUNCTION("""COMPUTED_VALUE"""),"rf-3(-1)e4 lf-3e4 cf-3e4")</f>
        <v>rf-3(-1)e4 lf-3e4 cf-3e4</v>
      </c>
      <c r="CS468" s="16"/>
      <c r="CT468" s="16"/>
      <c r="CU468" s="16"/>
      <c r="CV468" s="16"/>
      <c r="CW468" s="16"/>
      <c r="CX468" s="16">
        <f>IFERROR(__xludf.DUMMYFUNCTION("""COMPUTED_VALUE"""),3.0)</f>
        <v>3</v>
      </c>
      <c r="CY468" s="16">
        <f>IFERROR(__xludf.DUMMYFUNCTION("""COMPUTED_VALUE"""),3.0)</f>
        <v>3</v>
      </c>
      <c r="CZ468" s="16">
        <f>IFERROR(__xludf.DUMMYFUNCTION("""COMPUTED_VALUE"""),3.0)</f>
        <v>3</v>
      </c>
      <c r="DA468" s="16"/>
      <c r="DB468" s="16"/>
      <c r="DC468" s="16"/>
      <c r="DD468" s="16"/>
      <c r="DE468" s="16"/>
      <c r="DF468" s="16">
        <f>IFERROR(__xludf.DUMMYFUNCTION("""COMPUTED_VALUE"""),4.0)</f>
        <v>4</v>
      </c>
      <c r="DG468" s="16">
        <f>IFERROR(__xludf.DUMMYFUNCTION("""COMPUTED_VALUE"""),4.0)</f>
        <v>4</v>
      </c>
      <c r="DH468" s="16">
        <f>IFERROR(__xludf.DUMMYFUNCTION("""COMPUTED_VALUE"""),4.0)</f>
        <v>4</v>
      </c>
      <c r="DI468" s="16"/>
      <c r="DJ468" s="16"/>
      <c r="DK468" s="16"/>
      <c r="DL468" s="16"/>
      <c r="DM468" s="16"/>
      <c r="DN468" s="16">
        <f>IFERROR(__xludf.DUMMYFUNCTION("""COMPUTED_VALUE"""),0.0)</f>
        <v>0</v>
      </c>
      <c r="DO468" s="16">
        <f>IFERROR(__xludf.DUMMYFUNCTION("""COMPUTED_VALUE"""),0.0)</f>
        <v>0</v>
      </c>
      <c r="DP468" s="16">
        <f>IFERROR(__xludf.DUMMYFUNCTION("""COMPUTED_VALUE"""),0.0)</f>
        <v>0</v>
      </c>
      <c r="DQ468" s="16"/>
      <c r="DR468" s="16"/>
      <c r="DS468" s="16"/>
      <c r="DT468" s="16"/>
      <c r="DU468" s="16"/>
      <c r="DV468" s="16">
        <f>IFERROR(__xludf.DUMMYFUNCTION("""COMPUTED_VALUE"""),2.0)</f>
        <v>2</v>
      </c>
      <c r="DW468" s="16">
        <f>IFERROR(__xludf.DUMMYFUNCTION("""COMPUTED_VALUE"""),3.0)</f>
        <v>3</v>
      </c>
      <c r="DX468" s="16">
        <f>IFERROR(__xludf.DUMMYFUNCTION("""COMPUTED_VALUE"""),2.0)</f>
        <v>2</v>
      </c>
      <c r="DY468" s="16"/>
      <c r="DZ468" s="16"/>
      <c r="EA468" s="16"/>
      <c r="EB468" s="16"/>
      <c r="EC468" s="16"/>
      <c r="ED468" s="16">
        <f>IFERROR(__xludf.DUMMYFUNCTION("""COMPUTED_VALUE"""),2.0)</f>
        <v>2</v>
      </c>
      <c r="EE468" s="16">
        <f>IFERROR(__xludf.DUMMYFUNCTION("""COMPUTED_VALUE"""),3.0)</f>
        <v>3</v>
      </c>
      <c r="EF468" s="16">
        <f>IFERROR(__xludf.DUMMYFUNCTION("""COMPUTED_VALUE"""),2.0)</f>
        <v>2</v>
      </c>
      <c r="EG468" s="179"/>
      <c r="EH468" s="179"/>
      <c r="EI468" s="179"/>
      <c r="EJ468" s="179"/>
      <c r="EK468" s="179"/>
      <c r="EL468" s="179">
        <f>IFERROR(__xludf.DUMMYFUNCTION("""COMPUTED_VALUE"""),-35.0)</f>
        <v>-35</v>
      </c>
      <c r="EM468" s="179">
        <f>IFERROR(__xludf.DUMMYFUNCTION("""COMPUTED_VALUE"""),-34.0)</f>
        <v>-34</v>
      </c>
      <c r="EN468" s="179">
        <f>IFERROR(__xludf.DUMMYFUNCTION("""COMPUTED_VALUE"""),-35.0)</f>
        <v>-35</v>
      </c>
      <c r="EO468" s="16"/>
      <c r="EP468" s="16"/>
      <c r="EQ468" s="16">
        <f>IFERROR(__xludf.DUMMYFUNCTION("""COMPUTED_VALUE"""),4.0)</f>
        <v>4</v>
      </c>
      <c r="ER468" s="16">
        <f>IFERROR(__xludf.DUMMYFUNCTION("""COMPUTED_VALUE"""),-4.0)</f>
        <v>-4</v>
      </c>
      <c r="ES468" s="16"/>
      <c r="ET468" s="16"/>
      <c r="EU468" s="16"/>
      <c r="EV468" s="16"/>
      <c r="EW468" s="16"/>
      <c r="EX468" s="180"/>
      <c r="EY468" s="180"/>
      <c r="EZ468" s="180"/>
      <c r="FA468" s="180"/>
      <c r="FB468" s="180"/>
      <c r="FC468" s="180">
        <f>IFERROR(__xludf.DUMMYFUNCTION("""COMPUTED_VALUE"""),0.3)</f>
        <v>0.3</v>
      </c>
      <c r="FD468" s="180">
        <f>IFERROR(__xludf.DUMMYFUNCTION("""COMPUTED_VALUE"""),0.3)</f>
        <v>0.3</v>
      </c>
      <c r="FE468" s="180">
        <f>IFERROR(__xludf.DUMMYFUNCTION("""COMPUTED_VALUE"""),0.3)</f>
        <v>0.3</v>
      </c>
      <c r="FF468" s="180"/>
      <c r="FG468" s="180"/>
      <c r="FH468" s="180"/>
      <c r="FI468" s="180"/>
      <c r="FJ468" s="180"/>
      <c r="FK468" s="180">
        <f>IFERROR(__xludf.DUMMYFUNCTION("""COMPUTED_VALUE"""),0.069)</f>
        <v>0.069</v>
      </c>
      <c r="FL468" s="180">
        <f>IFERROR(__xludf.DUMMYFUNCTION("""COMPUTED_VALUE"""),0.046296296296296294)</f>
        <v>0.0462962963</v>
      </c>
      <c r="FM468" s="180">
        <f>IFERROR(__xludf.DUMMYFUNCTION("""COMPUTED_VALUE"""),0.069)</f>
        <v>0.069</v>
      </c>
      <c r="FN468" s="16"/>
      <c r="FO468" s="16"/>
      <c r="FP468" s="16"/>
      <c r="FQ468" s="16"/>
      <c r="FR468" s="16"/>
      <c r="FS468" s="16">
        <f>IFERROR(__xludf.DUMMYFUNCTION("""COMPUTED_VALUE"""),0.6517)</f>
        <v>0.6517</v>
      </c>
      <c r="FT468" s="16">
        <f>IFERROR(__xludf.DUMMYFUNCTION("""COMPUTED_VALUE"""),0.6675925925925925)</f>
        <v>0.6675925926</v>
      </c>
      <c r="FU468" s="16">
        <f>IFERROR(__xludf.DUMMYFUNCTION("""COMPUTED_VALUE"""),0.6517)</f>
        <v>0.6517</v>
      </c>
      <c r="FV468" s="16"/>
      <c r="FW468" s="16"/>
      <c r="FX468" s="16"/>
      <c r="FY468" s="16"/>
      <c r="FZ468" s="16"/>
      <c r="GA468" s="16">
        <f>IFERROR(__xludf.DUMMYFUNCTION("""COMPUTED_VALUE"""),-4.0)</f>
        <v>-4</v>
      </c>
      <c r="GB468" s="16">
        <f>IFERROR(__xludf.DUMMYFUNCTION("""COMPUTED_VALUE"""),-4.0)</f>
        <v>-4</v>
      </c>
      <c r="GC468" s="16">
        <f>IFERROR(__xludf.DUMMYFUNCTION("""COMPUTED_VALUE"""),-4.0)</f>
        <v>-4</v>
      </c>
      <c r="GD468" s="16" t="s">
        <v>176</v>
      </c>
    </row>
    <row r="469">
      <c r="A469" s="16">
        <f>IFERROR(__xludf.DUMMYFUNCTION("""COMPUTED_VALUE"""),12591.0)</f>
        <v>12591</v>
      </c>
      <c r="B469" s="16" t="str">
        <f>IFERROR(__xludf.DUMMYFUNCTION("""COMPUTED_VALUE"""),"Braden Shewmake")</f>
        <v>Braden Shewmake</v>
      </c>
      <c r="C469" s="16">
        <f>IFERROR(__xludf.DUMMYFUNCTION("""COMPUTED_VALUE"""),0.0)</f>
        <v>0</v>
      </c>
      <c r="D469" s="16" t="str">
        <f>IFERROR(__xludf.DUMMYFUNCTION("""COMPUTED_VALUE"""),"L")</f>
        <v>L</v>
      </c>
      <c r="E469" s="16"/>
      <c r="F469" s="16"/>
      <c r="G469" s="16">
        <f>IFERROR(__xludf.DUMMYFUNCTION("""COMPUTED_VALUE"""),64.0)</f>
        <v>64</v>
      </c>
      <c r="H469" s="16">
        <f>IFERROR(__xludf.DUMMYFUNCTION("""COMPUTED_VALUE"""),1.0)</f>
        <v>1</v>
      </c>
      <c r="I469" s="16" t="str">
        <f>IFERROR(__xludf.DUMMYFUNCTION("""COMPUTED_VALUE"""),"1p20")</f>
        <v>1p20</v>
      </c>
      <c r="J469" s="16">
        <f>IFERROR(__xludf.DUMMYFUNCTION("""COMPUTED_VALUE"""),20.0)</f>
        <v>20</v>
      </c>
      <c r="K469" s="16">
        <f>IFERROR(__xludf.DUMMYFUNCTION("""COMPUTED_VALUE"""),5.0)</f>
        <v>5</v>
      </c>
      <c r="L469" s="16">
        <f>IFERROR(__xludf.DUMMYFUNCTION("""COMPUTED_VALUE"""),0.0)</f>
        <v>0</v>
      </c>
      <c r="M469" s="16">
        <f>IFERROR(__xludf.DUMMYFUNCTION("""COMPUTED_VALUE"""),2.0)</f>
        <v>2</v>
      </c>
      <c r="N469" s="16">
        <f>IFERROR(__xludf.DUMMYFUNCTION("""COMPUTED_VALUE"""),0.0)</f>
        <v>0</v>
      </c>
      <c r="O469" s="16">
        <f>IFERROR(__xludf.DUMMYFUNCTION("""COMPUTED_VALUE"""),2.0)</f>
        <v>2</v>
      </c>
      <c r="P469" s="16">
        <f>IFERROR(__xludf.DUMMYFUNCTION("""COMPUTED_VALUE"""),0.0)</f>
        <v>0</v>
      </c>
      <c r="Q469" s="16">
        <f>IFERROR(__xludf.DUMMYFUNCTION("""COMPUTED_VALUE"""),0.0)</f>
        <v>0</v>
      </c>
      <c r="R469" s="16">
        <f>IFERROR(__xludf.DUMMYFUNCTION("""COMPUTED_VALUE"""),-3.0)</f>
        <v>-3</v>
      </c>
      <c r="S469" s="16">
        <f>IFERROR(__xludf.DUMMYFUNCTION("""COMPUTED_VALUE"""),-2.0)</f>
        <v>-2</v>
      </c>
      <c r="T469" s="16">
        <f>IFERROR(__xludf.DUMMYFUNCTION("""COMPUTED_VALUE"""),-3.0)</f>
        <v>-3</v>
      </c>
      <c r="U469" s="16">
        <f>IFERROR(__xludf.DUMMYFUNCTION("""COMPUTED_VALUE"""),-2.0)</f>
        <v>-2</v>
      </c>
      <c r="V469" s="16">
        <f>IFERROR(__xludf.DUMMYFUNCTION("""COMPUTED_VALUE"""),0.0)</f>
        <v>0</v>
      </c>
      <c r="W469" s="16">
        <f>IFERROR(__xludf.DUMMYFUNCTION("""COMPUTED_VALUE"""),4.8)</f>
        <v>4.8</v>
      </c>
      <c r="X469" s="16">
        <f>IFERROR(__xludf.DUMMYFUNCTION("""COMPUTED_VALUE"""),-2.0)</f>
        <v>-2</v>
      </c>
      <c r="Y469" s="16">
        <f>IFERROR(__xludf.DUMMYFUNCTION("""COMPUTED_VALUE"""),-3.0)</f>
        <v>-3</v>
      </c>
      <c r="Z469" s="16">
        <f>IFERROR(__xludf.DUMMYFUNCTION("""COMPUTED_VALUE"""),-4.0)</f>
        <v>-4</v>
      </c>
      <c r="AA469" s="16">
        <f>IFERROR(__xludf.DUMMYFUNCTION("""COMPUTED_VALUE"""),-6.0)</f>
        <v>-6</v>
      </c>
      <c r="AB469" s="16">
        <f>IFERROR(__xludf.DUMMYFUNCTION("""COMPUTED_VALUE"""),0.0)</f>
        <v>0</v>
      </c>
      <c r="AC469" s="16">
        <f>IFERROR(__xludf.DUMMYFUNCTION("""COMPUTED_VALUE"""),4.8)</f>
        <v>4.8</v>
      </c>
      <c r="AD469" s="16">
        <f>IFERROR(__xludf.DUMMYFUNCTION("""COMPUTED_VALUE"""),-3.0)</f>
        <v>-3</v>
      </c>
      <c r="AE469" s="16">
        <f>IFERROR(__xludf.DUMMYFUNCTION("""COMPUTED_VALUE"""),-3.0)</f>
        <v>-3</v>
      </c>
      <c r="AF469" s="16">
        <f>IFERROR(__xludf.DUMMYFUNCTION("""COMPUTED_VALUE"""),-15.0)</f>
        <v>-15</v>
      </c>
      <c r="AG469" s="16">
        <f>IFERROR(__xludf.DUMMYFUNCTION("""COMPUTED_VALUE"""),-15.0)</f>
        <v>-15</v>
      </c>
      <c r="AH469" s="16">
        <f>IFERROR(__xludf.DUMMYFUNCTION("""COMPUTED_VALUE"""),0.0)</f>
        <v>0</v>
      </c>
      <c r="AI469" s="16">
        <f>IFERROR(__xludf.DUMMYFUNCTION("""COMPUTED_VALUE"""),7.6)</f>
        <v>7.6</v>
      </c>
      <c r="AJ469" s="16">
        <f>IFERROR(__xludf.DUMMYFUNCTION("""COMPUTED_VALUE"""),-2.0)</f>
        <v>-2</v>
      </c>
      <c r="AK469" s="16">
        <f>IFERROR(__xludf.DUMMYFUNCTION("""COMPUTED_VALUE"""),-2.0)</f>
        <v>-2</v>
      </c>
      <c r="AL469" s="16">
        <f>IFERROR(__xludf.DUMMYFUNCTION("""COMPUTED_VALUE"""),-10.0)</f>
        <v>-10</v>
      </c>
      <c r="AM469" s="16">
        <f>IFERROR(__xludf.DUMMYFUNCTION("""COMPUTED_VALUE"""),-10.0)</f>
        <v>-10</v>
      </c>
      <c r="AN469" s="16">
        <f>IFERROR(__xludf.DUMMYFUNCTION("""COMPUTED_VALUE"""),0.0)</f>
        <v>0</v>
      </c>
      <c r="AO469" s="16">
        <f>IFERROR(__xludf.DUMMYFUNCTION("""COMPUTED_VALUE"""),0.2)</f>
        <v>0.2</v>
      </c>
      <c r="AP469" s="16">
        <f>IFERROR(__xludf.DUMMYFUNCTION("""COMPUTED_VALUE"""),-2.0)</f>
        <v>-2</v>
      </c>
      <c r="AQ469" s="16">
        <f>IFERROR(__xludf.DUMMYFUNCTION("""COMPUTED_VALUE"""),-2.0)</f>
        <v>-2</v>
      </c>
      <c r="AR469" s="16">
        <f>IFERROR(__xludf.DUMMYFUNCTION("""COMPUTED_VALUE"""),-4.0)</f>
        <v>-4</v>
      </c>
      <c r="AS469" s="16">
        <f>IFERROR(__xludf.DUMMYFUNCTION("""COMPUTED_VALUE"""),-4.0)</f>
        <v>-4</v>
      </c>
      <c r="AT469" s="16"/>
      <c r="AU469" s="16"/>
      <c r="AV469" s="16">
        <f>IFERROR(__xludf.DUMMYFUNCTION("""COMPUTED_VALUE"""),-3.0)</f>
        <v>-3</v>
      </c>
      <c r="AW469" s="16">
        <f>IFERROR(__xludf.DUMMYFUNCTION("""COMPUTED_VALUE"""),0.0)</f>
        <v>0</v>
      </c>
      <c r="AX469" s="16">
        <f>IFERROR(__xludf.DUMMYFUNCTION("""COMPUTED_VALUE"""),-3.0)</f>
        <v>-3</v>
      </c>
      <c r="AY469" s="16">
        <f>IFERROR(__xludf.DUMMYFUNCTION("""COMPUTED_VALUE"""),-2.0)</f>
        <v>-2</v>
      </c>
      <c r="AZ469" s="16">
        <f>IFERROR(__xludf.DUMMYFUNCTION("""COMPUTED_VALUE"""),-9.0)</f>
        <v>-9</v>
      </c>
      <c r="BA469" s="16">
        <f>IFERROR(__xludf.DUMMYFUNCTION("""COMPUTED_VALUE"""),-6.0)</f>
        <v>-6</v>
      </c>
      <c r="BB469" s="16">
        <f>IFERROR(__xludf.DUMMYFUNCTION("""COMPUTED_VALUE"""),0.0)</f>
        <v>0</v>
      </c>
      <c r="BC469" s="16">
        <f>IFERROR(__xludf.DUMMYFUNCTION("""COMPUTED_VALUE"""),0.0)</f>
        <v>0</v>
      </c>
      <c r="BD469" s="16">
        <f>IFERROR(__xludf.DUMMYFUNCTION("""COMPUTED_VALUE"""),0.0)</f>
        <v>0</v>
      </c>
      <c r="BE469" s="16">
        <f>IFERROR(__xludf.DUMMYFUNCTION("""COMPUTED_VALUE"""),0.0)</f>
        <v>0</v>
      </c>
      <c r="BF469" s="16">
        <f>IFERROR(__xludf.DUMMYFUNCTION("""COMPUTED_VALUE"""),0.0)</f>
        <v>0</v>
      </c>
      <c r="BG469" s="16">
        <f>IFERROR(__xludf.DUMMYFUNCTION("""COMPUTED_VALUE"""),0.0)</f>
        <v>0</v>
      </c>
      <c r="BH469" s="16">
        <f>IFERROR(__xludf.DUMMYFUNCTION("""COMPUTED_VALUE"""),0.0)</f>
        <v>0</v>
      </c>
      <c r="BI469" s="16">
        <f>IFERROR(__xludf.DUMMYFUNCTION("""COMPUTED_VALUE"""),0.0)</f>
        <v>0</v>
      </c>
      <c r="BJ469" s="16">
        <f>IFERROR(__xludf.DUMMYFUNCTION("""COMPUTED_VALUE"""),0.0)</f>
        <v>0</v>
      </c>
      <c r="BK469" s="16">
        <f>IFERROR(__xludf.DUMMYFUNCTION("""COMPUTED_VALUE"""),0.0)</f>
        <v>0</v>
      </c>
      <c r="BL469" s="16">
        <f>IFERROR(__xludf.DUMMYFUNCTION("""COMPUTED_VALUE"""),3.0)</f>
        <v>3</v>
      </c>
      <c r="BM469" s="16">
        <f>IFERROR(__xludf.DUMMYFUNCTION("""COMPUTED_VALUE"""),3.0)</f>
        <v>3</v>
      </c>
      <c r="BN469" s="16">
        <f>IFERROR(__xludf.DUMMYFUNCTION("""COMPUTED_VALUE"""),3.0)</f>
        <v>3</v>
      </c>
      <c r="BO469" s="16">
        <f>IFERROR(__xludf.DUMMYFUNCTION("""COMPUTED_VALUE"""),3.0)</f>
        <v>3</v>
      </c>
      <c r="BP469" s="16">
        <f>IFERROR(__xludf.DUMMYFUNCTION("""COMPUTED_VALUE"""),-12.0)</f>
        <v>-12</v>
      </c>
      <c r="BQ469" s="16">
        <f>IFERROR(__xludf.DUMMYFUNCTION("""COMPUTED_VALUE"""),-9.0)</f>
        <v>-9</v>
      </c>
      <c r="BR469" s="16">
        <f>IFERROR(__xludf.DUMMYFUNCTION("""COMPUTED_VALUE"""),-21.0)</f>
        <v>-21</v>
      </c>
      <c r="BS469" s="16" t="str">
        <f>IFERROR(__xludf.DUMMYFUNCTION("""COMPUTED_VALUE"""),"*2-8,11,12/- (19-16)")</f>
        <v>*2-8,11,12/- (19-16)</v>
      </c>
      <c r="BT469" s="16" t="str">
        <f>IFERROR(__xludf.DUMMYFUNCTION("""COMPUTED_VALUE"""),"B")</f>
        <v>B</v>
      </c>
      <c r="BU469" s="16">
        <f>IFERROR(__xludf.DUMMYFUNCTION("""COMPUTED_VALUE"""),14.0)</f>
        <v>14</v>
      </c>
      <c r="BV469" s="16">
        <f>IFERROR(__xludf.DUMMYFUNCTION("""COMPUTED_VALUE"""),1.0)</f>
        <v>1</v>
      </c>
      <c r="BW469" s="16">
        <f>IFERROR(__xludf.DUMMYFUNCTION("""COMPUTED_VALUE"""),1.0)</f>
        <v>1</v>
      </c>
      <c r="BX469" s="16">
        <f>IFERROR(__xludf.DUMMYFUNCTION("""COMPUTED_VALUE"""),2.0)</f>
        <v>2</v>
      </c>
      <c r="BY469" s="16">
        <f>IFERROR(__xludf.DUMMYFUNCTION("""COMPUTED_VALUE"""),3.0)</f>
        <v>3</v>
      </c>
      <c r="BZ469" s="16" t="str">
        <f>IFERROR(__xludf.DUMMYFUNCTION("""COMPUTED_VALUE"""),"D")</f>
        <v>D</v>
      </c>
      <c r="CA469" s="16" t="str">
        <f>IFERROR(__xludf.DUMMYFUNCTION("""COMPUTED_VALUE"""),"C")</f>
        <v>C</v>
      </c>
      <c r="CB469" s="16">
        <f>IFERROR(__xludf.DUMMYFUNCTION("""COMPUTED_VALUE"""),0.0)</f>
        <v>0</v>
      </c>
      <c r="CC469" s="16">
        <f>IFERROR(__xludf.DUMMYFUNCTION("""COMPUTED_VALUE"""),0.0)</f>
        <v>0</v>
      </c>
      <c r="CD469" s="16">
        <f>IFERROR(__xludf.DUMMYFUNCTION("""COMPUTED_VALUE"""),0.0)</f>
        <v>0</v>
      </c>
      <c r="CE469" s="16">
        <f>IFERROR(__xludf.DUMMYFUNCTION("""COMPUTED_VALUE"""),0.0)</f>
        <v>0</v>
      </c>
      <c r="CF469" s="16">
        <f>IFERROR(__xludf.DUMMYFUNCTION("""COMPUTED_VALUE"""),1.0)</f>
        <v>1</v>
      </c>
      <c r="CG469" s="16">
        <f>IFERROR(__xludf.DUMMYFUNCTION("""COMPUTED_VALUE"""),-42.0)</f>
        <v>-42</v>
      </c>
      <c r="CH469" s="16">
        <f>IFERROR(__xludf.DUMMYFUNCTION("""COMPUTED_VALUE"""),-38.0)</f>
        <v>-38</v>
      </c>
      <c r="CI469" s="179">
        <f>IFERROR(__xludf.DUMMYFUNCTION("""COMPUTED_VALUE"""),-38.0)</f>
        <v>-38</v>
      </c>
      <c r="CJ469" s="16"/>
      <c r="CK469" s="16"/>
      <c r="CL469" s="16">
        <f>IFERROR(__xludf.DUMMYFUNCTION("""COMPUTED_VALUE"""),427.0)</f>
        <v>427</v>
      </c>
      <c r="CM469" s="16">
        <f>IFERROR(__xludf.DUMMYFUNCTION("""COMPUTED_VALUE"""),418.0)</f>
        <v>418</v>
      </c>
      <c r="CN469" s="16">
        <f>IFERROR(__xludf.DUMMYFUNCTION("""COMPUTED_VALUE"""),442.0)</f>
        <v>442</v>
      </c>
      <c r="CO469" s="16"/>
      <c r="CP469" s="16"/>
      <c r="CQ469" s="16"/>
      <c r="CR469" s="16" t="str">
        <f>IFERROR(__xludf.DUMMYFUNCTION("""COMPUTED_VALUE"""),"ss-4e42 3b-4e18 2b-4e27")</f>
        <v>ss-4e42 3b-4e18 2b-4e27</v>
      </c>
      <c r="CS469" s="16"/>
      <c r="CT469" s="16"/>
      <c r="CU469" s="16">
        <f>IFERROR(__xludf.DUMMYFUNCTION("""COMPUTED_VALUE"""),4.0)</f>
        <v>4</v>
      </c>
      <c r="CV469" s="16">
        <f>IFERROR(__xludf.DUMMYFUNCTION("""COMPUTED_VALUE"""),4.0)</f>
        <v>4</v>
      </c>
      <c r="CW469" s="16">
        <f>IFERROR(__xludf.DUMMYFUNCTION("""COMPUTED_VALUE"""),4.0)</f>
        <v>4</v>
      </c>
      <c r="CX469" s="16"/>
      <c r="CY469" s="16"/>
      <c r="CZ469" s="16"/>
      <c r="DA469" s="16"/>
      <c r="DB469" s="16"/>
      <c r="DC469" s="16">
        <f>IFERROR(__xludf.DUMMYFUNCTION("""COMPUTED_VALUE"""),27.0)</f>
        <v>27</v>
      </c>
      <c r="DD469" s="16">
        <f>IFERROR(__xludf.DUMMYFUNCTION("""COMPUTED_VALUE"""),18.0)</f>
        <v>18</v>
      </c>
      <c r="DE469" s="16">
        <f>IFERROR(__xludf.DUMMYFUNCTION("""COMPUTED_VALUE"""),42.0)</f>
        <v>42</v>
      </c>
      <c r="DF469" s="16"/>
      <c r="DG469" s="16"/>
      <c r="DH469" s="16"/>
      <c r="DI469" s="16"/>
      <c r="DJ469" s="16"/>
      <c r="DK469" s="16">
        <f>IFERROR(__xludf.DUMMYFUNCTION("""COMPUTED_VALUE"""),-2.0)</f>
        <v>-2</v>
      </c>
      <c r="DL469" s="16">
        <f>IFERROR(__xludf.DUMMYFUNCTION("""COMPUTED_VALUE"""),0.0)</f>
        <v>0</v>
      </c>
      <c r="DM469" s="16">
        <f>IFERROR(__xludf.DUMMYFUNCTION("""COMPUTED_VALUE"""),-2.0)</f>
        <v>-2</v>
      </c>
      <c r="DN469" s="16"/>
      <c r="DO469" s="16"/>
      <c r="DP469" s="16"/>
      <c r="DQ469" s="16"/>
      <c r="DR469" s="16"/>
      <c r="DS469" s="16">
        <f>IFERROR(__xludf.DUMMYFUNCTION("""COMPUTED_VALUE"""),-2.0)</f>
        <v>-2</v>
      </c>
      <c r="DT469" s="16">
        <f>IFERROR(__xludf.DUMMYFUNCTION("""COMPUTED_VALUE"""),0.0)</f>
        <v>0</v>
      </c>
      <c r="DU469" s="16">
        <f>IFERROR(__xludf.DUMMYFUNCTION("""COMPUTED_VALUE"""),-2.0)</f>
        <v>-2</v>
      </c>
      <c r="DV469" s="16"/>
      <c r="DW469" s="16"/>
      <c r="DX469" s="16"/>
      <c r="DY469" s="16"/>
      <c r="DZ469" s="16"/>
      <c r="EA469" s="16">
        <f>IFERROR(__xludf.DUMMYFUNCTION("""COMPUTED_VALUE"""),-4.0)</f>
        <v>-4</v>
      </c>
      <c r="EB469" s="16">
        <f>IFERROR(__xludf.DUMMYFUNCTION("""COMPUTED_VALUE"""),0.0)</f>
        <v>0</v>
      </c>
      <c r="EC469" s="16">
        <f>IFERROR(__xludf.DUMMYFUNCTION("""COMPUTED_VALUE"""),-4.0)</f>
        <v>-4</v>
      </c>
      <c r="ED469" s="16"/>
      <c r="EE469" s="16"/>
      <c r="EF469" s="16"/>
      <c r="EG469" s="179"/>
      <c r="EH469" s="179"/>
      <c r="EI469" s="179">
        <f>IFERROR(__xludf.DUMMYFUNCTION("""COMPUTED_VALUE"""),-42.0)</f>
        <v>-42</v>
      </c>
      <c r="EJ469" s="179">
        <f>IFERROR(__xludf.DUMMYFUNCTION("""COMPUTED_VALUE"""),-38.0)</f>
        <v>-38</v>
      </c>
      <c r="EK469" s="179">
        <f>IFERROR(__xludf.DUMMYFUNCTION("""COMPUTED_VALUE"""),-42.0)</f>
        <v>-42</v>
      </c>
      <c r="EL469" s="179"/>
      <c r="EM469" s="179"/>
      <c r="EN469" s="179"/>
      <c r="EO469" s="16"/>
      <c r="EP469" s="16">
        <f>IFERROR(__xludf.DUMMYFUNCTION("""COMPUTED_VALUE"""),-2.0)</f>
        <v>-2</v>
      </c>
      <c r="EQ469" s="16">
        <f>IFERROR(__xludf.DUMMYFUNCTION("""COMPUTED_VALUE"""),4.0)</f>
        <v>4</v>
      </c>
      <c r="ER469" s="16">
        <f>IFERROR(__xludf.DUMMYFUNCTION("""COMPUTED_VALUE"""),-4.0)</f>
        <v>-4</v>
      </c>
      <c r="ES469" s="16"/>
      <c r="ET469" s="16"/>
      <c r="EU469" s="16"/>
      <c r="EV469" s="16"/>
      <c r="EW469" s="16"/>
      <c r="EX469" s="180"/>
      <c r="EY469" s="180"/>
      <c r="EZ469" s="180">
        <f>IFERROR(__xludf.DUMMYFUNCTION("""COMPUTED_VALUE"""),0.3)</f>
        <v>0.3</v>
      </c>
      <c r="FA469" s="180">
        <f>IFERROR(__xludf.DUMMYFUNCTION("""COMPUTED_VALUE"""),0.3)</f>
        <v>0.3</v>
      </c>
      <c r="FB469" s="180">
        <f>IFERROR(__xludf.DUMMYFUNCTION("""COMPUTED_VALUE"""),0.3)</f>
        <v>0.3</v>
      </c>
      <c r="FC469" s="180"/>
      <c r="FD469" s="180"/>
      <c r="FE469" s="180"/>
      <c r="FF469" s="180"/>
      <c r="FG469" s="180"/>
      <c r="FH469" s="180">
        <f>IFERROR(__xludf.DUMMYFUNCTION("""COMPUTED_VALUE"""),0.16203703703703703)</f>
        <v>0.162037037</v>
      </c>
      <c r="FI469" s="180">
        <f>IFERROR(__xludf.DUMMYFUNCTION("""COMPUTED_VALUE"""),0.2175925925925926)</f>
        <v>0.2175925926</v>
      </c>
      <c r="FJ469" s="180">
        <f>IFERROR(__xludf.DUMMYFUNCTION("""COMPUTED_VALUE"""),0.21296296296296297)</f>
        <v>0.212962963</v>
      </c>
      <c r="FK469" s="180"/>
      <c r="FL469" s="180"/>
      <c r="FM469" s="180"/>
      <c r="FN469" s="16"/>
      <c r="FO469" s="16"/>
      <c r="FP469" s="16">
        <f>IFERROR(__xludf.DUMMYFUNCTION("""COMPUTED_VALUE"""),0.586574074074074)</f>
        <v>0.5865740741</v>
      </c>
      <c r="FQ469" s="16">
        <f>IFERROR(__xludf.DUMMYFUNCTION("""COMPUTED_VALUE"""),0.5476851851851852)</f>
        <v>0.5476851852</v>
      </c>
      <c r="FR469" s="16">
        <f>IFERROR(__xludf.DUMMYFUNCTION("""COMPUTED_VALUE"""),0.5509259259259258)</f>
        <v>0.5509259259</v>
      </c>
      <c r="FS469" s="16"/>
      <c r="FT469" s="16"/>
      <c r="FU469" s="16"/>
      <c r="FV469" s="16"/>
      <c r="FW469" s="16"/>
      <c r="FX469" s="16">
        <f>IFERROR(__xludf.DUMMYFUNCTION("""COMPUTED_VALUE"""),-6.0)</f>
        <v>-6</v>
      </c>
      <c r="FY469" s="16">
        <f>IFERROR(__xludf.DUMMYFUNCTION("""COMPUTED_VALUE"""),-8.0)</f>
        <v>-8</v>
      </c>
      <c r="FZ469" s="16">
        <f>IFERROR(__xludf.DUMMYFUNCTION("""COMPUTED_VALUE"""),-6.0)</f>
        <v>-6</v>
      </c>
      <c r="GA469" s="16"/>
      <c r="GB469" s="16"/>
      <c r="GC469" s="16"/>
      <c r="GD469" s="16" t="s">
        <v>289</v>
      </c>
    </row>
    <row r="470">
      <c r="A470" s="16">
        <f>IFERROR(__xludf.DUMMYFUNCTION("""COMPUTED_VALUE"""),12808.0)</f>
        <v>12808</v>
      </c>
      <c r="B470" s="16" t="str">
        <f>IFERROR(__xludf.DUMMYFUNCTION("""COMPUTED_VALUE"""),"Esteury Ruiz")</f>
        <v>Esteury Ruiz</v>
      </c>
      <c r="C470" s="16">
        <f>IFERROR(__xludf.DUMMYFUNCTION("""COMPUTED_VALUE"""),0.0)</f>
        <v>0</v>
      </c>
      <c r="D470" s="16" t="str">
        <f>IFERROR(__xludf.DUMMYFUNCTION("""COMPUTED_VALUE"""),"R")</f>
        <v>R</v>
      </c>
      <c r="E470" s="16"/>
      <c r="F470" s="16"/>
      <c r="G470" s="16">
        <f>IFERROR(__xludf.DUMMYFUNCTION("""COMPUTED_VALUE"""),55.0)</f>
        <v>55</v>
      </c>
      <c r="H470" s="16">
        <f>IFERROR(__xludf.DUMMYFUNCTION("""COMPUTED_VALUE"""),4.0)</f>
        <v>4</v>
      </c>
      <c r="I470" s="16" t="str">
        <f>IFERROR(__xludf.DUMMYFUNCTION("""COMPUTED_VALUE"""),"6p20")</f>
        <v>6p20</v>
      </c>
      <c r="J470" s="16">
        <f>IFERROR(__xludf.DUMMYFUNCTION("""COMPUTED_VALUE"""),38.0)</f>
        <v>38</v>
      </c>
      <c r="K470" s="16">
        <f>IFERROR(__xludf.DUMMYFUNCTION("""COMPUTED_VALUE"""),51.0)</f>
        <v>51</v>
      </c>
      <c r="L470" s="16">
        <f>IFERROR(__xludf.DUMMYFUNCTION("""COMPUTED_VALUE"""),-1.0)</f>
        <v>-1</v>
      </c>
      <c r="M470" s="16">
        <f>IFERROR(__xludf.DUMMYFUNCTION("""COMPUTED_VALUE"""),-2.0)</f>
        <v>-2</v>
      </c>
      <c r="N470" s="16">
        <f>IFERROR(__xludf.DUMMYFUNCTION("""COMPUTED_VALUE"""),-1.0)</f>
        <v>-1</v>
      </c>
      <c r="O470" s="16">
        <f>IFERROR(__xludf.DUMMYFUNCTION("""COMPUTED_VALUE"""),-2.0)</f>
        <v>-2</v>
      </c>
      <c r="P470" s="16">
        <f>IFERROR(__xludf.DUMMYFUNCTION("""COMPUTED_VALUE"""),16.0)</f>
        <v>16</v>
      </c>
      <c r="Q470" s="16">
        <f>IFERROR(__xludf.DUMMYFUNCTION("""COMPUTED_VALUE"""),0.0)</f>
        <v>0</v>
      </c>
      <c r="R470" s="16">
        <f>IFERROR(__xludf.DUMMYFUNCTION("""COMPUTED_VALUE"""),2.0)</f>
        <v>2</v>
      </c>
      <c r="S470" s="16">
        <f>IFERROR(__xludf.DUMMYFUNCTION("""COMPUTED_VALUE"""),-2.0)</f>
        <v>-2</v>
      </c>
      <c r="T470" s="16">
        <f>IFERROR(__xludf.DUMMYFUNCTION("""COMPUTED_VALUE"""),2.0)</f>
        <v>2</v>
      </c>
      <c r="U470" s="16">
        <f>IFERROR(__xludf.DUMMYFUNCTION("""COMPUTED_VALUE"""),-2.0)</f>
        <v>-2</v>
      </c>
      <c r="V470" s="16">
        <f>IFERROR(__xludf.DUMMYFUNCTION("""COMPUTED_VALUE"""),21.0)</f>
        <v>21</v>
      </c>
      <c r="W470" s="16">
        <f>IFERROR(__xludf.DUMMYFUNCTION("""COMPUTED_VALUE"""),0.0)</f>
        <v>0</v>
      </c>
      <c r="X470" s="16">
        <f>IFERROR(__xludf.DUMMYFUNCTION("""COMPUTED_VALUE"""),0.0)</f>
        <v>0</v>
      </c>
      <c r="Y470" s="16">
        <f>IFERROR(__xludf.DUMMYFUNCTION("""COMPUTED_VALUE"""),-3.0)</f>
        <v>-3</v>
      </c>
      <c r="Z470" s="16">
        <f>IFERROR(__xludf.DUMMYFUNCTION("""COMPUTED_VALUE"""),0.0)</f>
        <v>0</v>
      </c>
      <c r="AA470" s="16">
        <f>IFERROR(__xludf.DUMMYFUNCTION("""COMPUTED_VALUE"""),-6.0)</f>
        <v>-6</v>
      </c>
      <c r="AB470" s="16">
        <f>IFERROR(__xludf.DUMMYFUNCTION("""COMPUTED_VALUE"""),44.0)</f>
        <v>44</v>
      </c>
      <c r="AC470" s="16">
        <f>IFERROR(__xludf.DUMMYFUNCTION("""COMPUTED_VALUE"""),7.0)</f>
        <v>7</v>
      </c>
      <c r="AD470" s="16">
        <f>IFERROR(__xludf.DUMMYFUNCTION("""COMPUTED_VALUE"""),2.0)</f>
        <v>2</v>
      </c>
      <c r="AE470" s="16">
        <f>IFERROR(__xludf.DUMMYFUNCTION("""COMPUTED_VALUE"""),-3.0)</f>
        <v>-3</v>
      </c>
      <c r="AF470" s="16">
        <f>IFERROR(__xludf.DUMMYFUNCTION("""COMPUTED_VALUE"""),10.0)</f>
        <v>10</v>
      </c>
      <c r="AG470" s="16">
        <f>IFERROR(__xludf.DUMMYFUNCTION("""COMPUTED_VALUE"""),-15.0)</f>
        <v>-15</v>
      </c>
      <c r="AH470" s="16">
        <f>IFERROR(__xludf.DUMMYFUNCTION("""COMPUTED_VALUE"""),59.8)</f>
        <v>59.8</v>
      </c>
      <c r="AI470" s="16">
        <f>IFERROR(__xludf.DUMMYFUNCTION("""COMPUTED_VALUE"""),0.0)</f>
        <v>0</v>
      </c>
      <c r="AJ470" s="16">
        <f>IFERROR(__xludf.DUMMYFUNCTION("""COMPUTED_VALUE"""),2.0)</f>
        <v>2</v>
      </c>
      <c r="AK470" s="16">
        <f>IFERROR(__xludf.DUMMYFUNCTION("""COMPUTED_VALUE"""),-3.0)</f>
        <v>-3</v>
      </c>
      <c r="AL470" s="16">
        <f>IFERROR(__xludf.DUMMYFUNCTION("""COMPUTED_VALUE"""),10.0)</f>
        <v>10</v>
      </c>
      <c r="AM470" s="16">
        <f>IFERROR(__xludf.DUMMYFUNCTION("""COMPUTED_VALUE"""),-15.0)</f>
        <v>-15</v>
      </c>
      <c r="AN470" s="16">
        <f>IFERROR(__xludf.DUMMYFUNCTION("""COMPUTED_VALUE"""),6.8)</f>
        <v>6.8</v>
      </c>
      <c r="AO470" s="16">
        <f>IFERROR(__xludf.DUMMYFUNCTION("""COMPUTED_VALUE"""),0.0)</f>
        <v>0</v>
      </c>
      <c r="AP470" s="16">
        <f>IFERROR(__xludf.DUMMYFUNCTION("""COMPUTED_VALUE"""),3.0)</f>
        <v>3</v>
      </c>
      <c r="AQ470" s="16">
        <f>IFERROR(__xludf.DUMMYFUNCTION("""COMPUTED_VALUE"""),-3.0)</f>
        <v>-3</v>
      </c>
      <c r="AR470" s="16">
        <f>IFERROR(__xludf.DUMMYFUNCTION("""COMPUTED_VALUE"""),6.0)</f>
        <v>6</v>
      </c>
      <c r="AS470" s="16">
        <f>IFERROR(__xludf.DUMMYFUNCTION("""COMPUTED_VALUE"""),-6.0)</f>
        <v>-6</v>
      </c>
      <c r="AT470" s="16">
        <f>IFERROR(__xludf.DUMMYFUNCTION("""COMPUTED_VALUE"""),8.0)</f>
        <v>8</v>
      </c>
      <c r="AU470" s="16"/>
      <c r="AV470" s="16">
        <f>IFERROR(__xludf.DUMMYFUNCTION("""COMPUTED_VALUE"""),8.0)</f>
        <v>8</v>
      </c>
      <c r="AW470" s="16">
        <f>IFERROR(__xludf.DUMMYFUNCTION("""COMPUTED_VALUE"""),-3.0)</f>
        <v>-3</v>
      </c>
      <c r="AX470" s="16">
        <f>IFERROR(__xludf.DUMMYFUNCTION("""COMPUTED_VALUE"""),3.0)</f>
        <v>3</v>
      </c>
      <c r="AY470" s="16">
        <f>IFERROR(__xludf.DUMMYFUNCTION("""COMPUTED_VALUE"""),-3.0)</f>
        <v>-3</v>
      </c>
      <c r="AZ470" s="16">
        <f>IFERROR(__xludf.DUMMYFUNCTION("""COMPUTED_VALUE"""),9.0)</f>
        <v>9</v>
      </c>
      <c r="BA470" s="16">
        <f>IFERROR(__xludf.DUMMYFUNCTION("""COMPUTED_VALUE"""),-9.0)</f>
        <v>-9</v>
      </c>
      <c r="BB470" s="16">
        <f>IFERROR(__xludf.DUMMYFUNCTION("""COMPUTED_VALUE"""),5.0)</f>
        <v>5</v>
      </c>
      <c r="BC470" s="16">
        <f>IFERROR(__xludf.DUMMYFUNCTION("""COMPUTED_VALUE"""),0.0)</f>
        <v>0</v>
      </c>
      <c r="BD470" s="16">
        <f>IFERROR(__xludf.DUMMYFUNCTION("""COMPUTED_VALUE"""),1.0)</f>
        <v>1</v>
      </c>
      <c r="BE470" s="16">
        <f>IFERROR(__xludf.DUMMYFUNCTION("""COMPUTED_VALUE"""),0.0)</f>
        <v>0</v>
      </c>
      <c r="BF470" s="16">
        <f>IFERROR(__xludf.DUMMYFUNCTION("""COMPUTED_VALUE"""),1.0)</f>
        <v>1</v>
      </c>
      <c r="BG470" s="16">
        <f>IFERROR(__xludf.DUMMYFUNCTION("""COMPUTED_VALUE"""),0.0)</f>
        <v>0</v>
      </c>
      <c r="BH470" s="16">
        <f>IFERROR(__xludf.DUMMYFUNCTION("""COMPUTED_VALUE"""),0.0)</f>
        <v>0</v>
      </c>
      <c r="BI470" s="16">
        <f>IFERROR(__xludf.DUMMYFUNCTION("""COMPUTED_VALUE"""),0.0)</f>
        <v>0</v>
      </c>
      <c r="BJ470" s="16">
        <f>IFERROR(__xludf.DUMMYFUNCTION("""COMPUTED_VALUE"""),10.0)</f>
        <v>10</v>
      </c>
      <c r="BK470" s="16">
        <f>IFERROR(__xludf.DUMMYFUNCTION("""COMPUTED_VALUE"""),13.0)</f>
        <v>13</v>
      </c>
      <c r="BL470" s="16">
        <f>IFERROR(__xludf.DUMMYFUNCTION("""COMPUTED_VALUE"""),0.0)</f>
        <v>0</v>
      </c>
      <c r="BM470" s="16">
        <f>IFERROR(__xludf.DUMMYFUNCTION("""COMPUTED_VALUE"""),0.0)</f>
        <v>0</v>
      </c>
      <c r="BN470" s="16">
        <f>IFERROR(__xludf.DUMMYFUNCTION("""COMPUTED_VALUE"""),0.0)</f>
        <v>0</v>
      </c>
      <c r="BO470" s="16">
        <f>IFERROR(__xludf.DUMMYFUNCTION("""COMPUTED_VALUE"""),0.0)</f>
        <v>0</v>
      </c>
      <c r="BP470" s="16">
        <f>IFERROR(__xludf.DUMMYFUNCTION("""COMPUTED_VALUE"""),12.0)</f>
        <v>12</v>
      </c>
      <c r="BQ470" s="16">
        <f>IFERROR(__xludf.DUMMYFUNCTION("""COMPUTED_VALUE"""),-19.0)</f>
        <v>-19</v>
      </c>
      <c r="BR470" s="16">
        <f>IFERROR(__xludf.DUMMYFUNCTION("""COMPUTED_VALUE"""),-7.0)</f>
        <v>-7</v>
      </c>
      <c r="BS470" s="16" t="str">
        <f>IFERROR(__xludf.DUMMYFUNCTION("""COMPUTED_VALUE"""),"*2-9,12/10,11 (15-9)")</f>
        <v>*2-9,12/10,11 (15-9)</v>
      </c>
      <c r="BT470" s="16" t="str">
        <f>IFERROR(__xludf.DUMMYFUNCTION("""COMPUTED_VALUE"""),"C")</f>
        <v>C</v>
      </c>
      <c r="BU470" s="16">
        <f>IFERROR(__xludf.DUMMYFUNCTION("""COMPUTED_VALUE"""),17.0)</f>
        <v>17</v>
      </c>
      <c r="BV470" s="16">
        <f>IFERROR(__xludf.DUMMYFUNCTION("""COMPUTED_VALUE"""),0.0)</f>
        <v>0</v>
      </c>
      <c r="BW470" s="16">
        <f>IFERROR(__xludf.DUMMYFUNCTION("""COMPUTED_VALUE"""),3.0)</f>
        <v>3</v>
      </c>
      <c r="BX470" s="16">
        <f>IFERROR(__xludf.DUMMYFUNCTION("""COMPUTED_VALUE"""),0.0)</f>
        <v>0</v>
      </c>
      <c r="BY470" s="16">
        <f>IFERROR(__xludf.DUMMYFUNCTION("""COMPUTED_VALUE"""),9.0)</f>
        <v>9</v>
      </c>
      <c r="BZ470" s="16" t="str">
        <f>IFERROR(__xludf.DUMMYFUNCTION("""COMPUTED_VALUE"""),"C")</f>
        <v>C</v>
      </c>
      <c r="CA470" s="16" t="str">
        <f>IFERROR(__xludf.DUMMYFUNCTION("""COMPUTED_VALUE"""),"D")</f>
        <v>D</v>
      </c>
      <c r="CB470" s="16">
        <f>IFERROR(__xludf.DUMMYFUNCTION("""COMPUTED_VALUE"""),0.0)</f>
        <v>0</v>
      </c>
      <c r="CC470" s="16">
        <f>IFERROR(__xludf.DUMMYFUNCTION("""COMPUTED_VALUE"""),0.0)</f>
        <v>0</v>
      </c>
      <c r="CD470" s="16">
        <f>IFERROR(__xludf.DUMMYFUNCTION("""COMPUTED_VALUE"""),0.0)</f>
        <v>0</v>
      </c>
      <c r="CE470" s="16">
        <f>IFERROR(__xludf.DUMMYFUNCTION("""COMPUTED_VALUE"""),0.0)</f>
        <v>0</v>
      </c>
      <c r="CF470" s="16">
        <f>IFERROR(__xludf.DUMMYFUNCTION("""COMPUTED_VALUE"""),6.0)</f>
        <v>6</v>
      </c>
      <c r="CG470" s="16">
        <f>IFERROR(__xludf.DUMMYFUNCTION("""COMPUTED_VALUE"""),37.0)</f>
        <v>37</v>
      </c>
      <c r="CH470" s="16">
        <f>IFERROR(__xludf.DUMMYFUNCTION("""COMPUTED_VALUE"""),-55.0)</f>
        <v>-55</v>
      </c>
      <c r="CI470" s="179">
        <f>IFERROR(__xludf.DUMMYFUNCTION("""COMPUTED_VALUE"""),-38.0)</f>
        <v>-38</v>
      </c>
      <c r="CJ470" s="16"/>
      <c r="CK470" s="16"/>
      <c r="CL470" s="16"/>
      <c r="CM470" s="16"/>
      <c r="CN470" s="16"/>
      <c r="CO470" s="16">
        <f>IFERROR(__xludf.DUMMYFUNCTION("""COMPUTED_VALUE"""),310.0)</f>
        <v>310</v>
      </c>
      <c r="CP470" s="16">
        <f>IFERROR(__xludf.DUMMYFUNCTION("""COMPUTED_VALUE"""),410.0)</f>
        <v>410</v>
      </c>
      <c r="CQ470" s="16"/>
      <c r="CR470" s="16" t="str">
        <f>IFERROR(__xludf.DUMMYFUNCTION("""COMPUTED_VALUE"""),"lf-3(0)e10 cf-4e10")</f>
        <v>lf-3(0)e10 cf-4e10</v>
      </c>
      <c r="CS470" s="16"/>
      <c r="CT470" s="16"/>
      <c r="CU470" s="16"/>
      <c r="CV470" s="16"/>
      <c r="CW470" s="16"/>
      <c r="CX470" s="16">
        <f>IFERROR(__xludf.DUMMYFUNCTION("""COMPUTED_VALUE"""),3.0)</f>
        <v>3</v>
      </c>
      <c r="CY470" s="16">
        <f>IFERROR(__xludf.DUMMYFUNCTION("""COMPUTED_VALUE"""),4.0)</f>
        <v>4</v>
      </c>
      <c r="CZ470" s="16"/>
      <c r="DA470" s="16"/>
      <c r="DB470" s="16"/>
      <c r="DC470" s="16"/>
      <c r="DD470" s="16"/>
      <c r="DE470" s="16"/>
      <c r="DF470" s="16">
        <f>IFERROR(__xludf.DUMMYFUNCTION("""COMPUTED_VALUE"""),10.0)</f>
        <v>10</v>
      </c>
      <c r="DG470" s="16">
        <f>IFERROR(__xludf.DUMMYFUNCTION("""COMPUTED_VALUE"""),10.0)</f>
        <v>10</v>
      </c>
      <c r="DH470" s="16"/>
      <c r="DI470" s="16"/>
      <c r="DJ470" s="16"/>
      <c r="DK470" s="16"/>
      <c r="DL470" s="16"/>
      <c r="DM470" s="16"/>
      <c r="DN470" s="16">
        <f>IFERROR(__xludf.DUMMYFUNCTION("""COMPUTED_VALUE"""),0.0)</f>
        <v>0</v>
      </c>
      <c r="DO470" s="16">
        <f>IFERROR(__xludf.DUMMYFUNCTION("""COMPUTED_VALUE"""),-2.0)</f>
        <v>-2</v>
      </c>
      <c r="DP470" s="16"/>
      <c r="DQ470" s="16"/>
      <c r="DR470" s="16"/>
      <c r="DS470" s="16"/>
      <c r="DT470" s="16"/>
      <c r="DU470" s="16"/>
      <c r="DV470" s="16">
        <f>IFERROR(__xludf.DUMMYFUNCTION("""COMPUTED_VALUE"""),0.0)</f>
        <v>0</v>
      </c>
      <c r="DW470" s="16">
        <f>IFERROR(__xludf.DUMMYFUNCTION("""COMPUTED_VALUE"""),2.0)</f>
        <v>2</v>
      </c>
      <c r="DX470" s="16"/>
      <c r="DY470" s="16"/>
      <c r="DZ470" s="16"/>
      <c r="EA470" s="16"/>
      <c r="EB470" s="16"/>
      <c r="EC470" s="16"/>
      <c r="ED470" s="16">
        <f>IFERROR(__xludf.DUMMYFUNCTION("""COMPUTED_VALUE"""),0.0)</f>
        <v>0</v>
      </c>
      <c r="EE470" s="16">
        <f>IFERROR(__xludf.DUMMYFUNCTION("""COMPUTED_VALUE"""),0.0)</f>
        <v>0</v>
      </c>
      <c r="EF470" s="16"/>
      <c r="EG470" s="179"/>
      <c r="EH470" s="179"/>
      <c r="EI470" s="179"/>
      <c r="EJ470" s="179"/>
      <c r="EK470" s="179"/>
      <c r="EL470" s="179">
        <f>IFERROR(__xludf.DUMMYFUNCTION("""COMPUTED_VALUE"""),-38.0)</f>
        <v>-38</v>
      </c>
      <c r="EM470" s="179">
        <f>IFERROR(__xludf.DUMMYFUNCTION("""COMPUTED_VALUE"""),-38.0)</f>
        <v>-38</v>
      </c>
      <c r="EN470" s="179"/>
      <c r="EO470" s="16"/>
      <c r="EP470" s="16">
        <f>IFERROR(__xludf.DUMMYFUNCTION("""COMPUTED_VALUE"""),-2.0)</f>
        <v>-2</v>
      </c>
      <c r="EQ470" s="16">
        <f>IFERROR(__xludf.DUMMYFUNCTION("""COMPUTED_VALUE"""),-4.0)</f>
        <v>-4</v>
      </c>
      <c r="ER470" s="16">
        <f>IFERROR(__xludf.DUMMYFUNCTION("""COMPUTED_VALUE"""),-4.0)</f>
        <v>-4</v>
      </c>
      <c r="ES470" s="16"/>
      <c r="ET470" s="16"/>
      <c r="EU470" s="16"/>
      <c r="EV470" s="16"/>
      <c r="EW470" s="16"/>
      <c r="EX470" s="180"/>
      <c r="EY470" s="180"/>
      <c r="EZ470" s="180"/>
      <c r="FA470" s="180"/>
      <c r="FB470" s="180"/>
      <c r="FC470" s="180">
        <f>IFERROR(__xludf.DUMMYFUNCTION("""COMPUTED_VALUE"""),0.3)</f>
        <v>0.3</v>
      </c>
      <c r="FD470" s="180">
        <f>IFERROR(__xludf.DUMMYFUNCTION("""COMPUTED_VALUE"""),0.55)</f>
        <v>0.55</v>
      </c>
      <c r="FE470" s="180"/>
      <c r="FF470" s="180"/>
      <c r="FG470" s="180"/>
      <c r="FH470" s="180"/>
      <c r="FI470" s="180"/>
      <c r="FJ470" s="180"/>
      <c r="FK470" s="180">
        <f>IFERROR(__xludf.DUMMYFUNCTION("""COMPUTED_VALUE"""),0.181)</f>
        <v>0.181</v>
      </c>
      <c r="FL470" s="180">
        <f>IFERROR(__xludf.DUMMYFUNCTION("""COMPUTED_VALUE"""),0.12037037037037036)</f>
        <v>0.1203703704</v>
      </c>
      <c r="FM470" s="180"/>
      <c r="FN470" s="16"/>
      <c r="FO470" s="16"/>
      <c r="FP470" s="16"/>
      <c r="FQ470" s="16"/>
      <c r="FR470" s="16"/>
      <c r="FS470" s="16">
        <f>IFERROR(__xludf.DUMMYFUNCTION("""COMPUTED_VALUE"""),0.5732999999999999)</f>
        <v>0.5733</v>
      </c>
      <c r="FT470" s="16">
        <f>IFERROR(__xludf.DUMMYFUNCTION("""COMPUTED_VALUE"""),0.3958333333333333)</f>
        <v>0.3958333333</v>
      </c>
      <c r="FU470" s="16"/>
      <c r="FV470" s="16"/>
      <c r="FW470" s="16"/>
      <c r="FX470" s="16"/>
      <c r="FY470" s="16"/>
      <c r="FZ470" s="16"/>
      <c r="GA470" s="16">
        <f>IFERROR(__xludf.DUMMYFUNCTION("""COMPUTED_VALUE"""),-4.0)</f>
        <v>-4</v>
      </c>
      <c r="GB470" s="16">
        <f>IFERROR(__xludf.DUMMYFUNCTION("""COMPUTED_VALUE"""),-6.0)</f>
        <v>-6</v>
      </c>
      <c r="GC470" s="16"/>
      <c r="GD470" s="16" t="s">
        <v>200</v>
      </c>
    </row>
    <row r="471">
      <c r="A471" s="16">
        <f>IFERROR(__xludf.DUMMYFUNCTION("""COMPUTED_VALUE"""),12960.0)</f>
        <v>12960</v>
      </c>
      <c r="B471" s="16" t="str">
        <f>IFERROR(__xludf.DUMMYFUNCTION("""COMPUTED_VALUE"""),"Ji Hwan Bae")</f>
        <v>Ji Hwan Bae</v>
      </c>
      <c r="C471" s="16">
        <f>IFERROR(__xludf.DUMMYFUNCTION("""COMPUTED_VALUE"""),0.0)</f>
        <v>0</v>
      </c>
      <c r="D471" s="16" t="str">
        <f>IFERROR(__xludf.DUMMYFUNCTION("""COMPUTED_VALUE"""),"L")</f>
        <v>L</v>
      </c>
      <c r="E471" s="16"/>
      <c r="F471" s="16"/>
      <c r="G471" s="16">
        <f>IFERROR(__xludf.DUMMYFUNCTION("""COMPUTED_VALUE"""),74.0)</f>
        <v>74</v>
      </c>
      <c r="H471" s="16">
        <f>IFERROR(__xludf.DUMMYFUNCTION("""COMPUTED_VALUE"""),6.0)</f>
        <v>6</v>
      </c>
      <c r="I471" s="16" t="str">
        <f>IFERROR(__xludf.DUMMYFUNCTION("""COMPUTED_VALUE"""),"3p20")</f>
        <v>3p20</v>
      </c>
      <c r="J471" s="16">
        <f>IFERROR(__xludf.DUMMYFUNCTION("""COMPUTED_VALUE"""),56.0)</f>
        <v>56</v>
      </c>
      <c r="K471" s="16">
        <f>IFERROR(__xludf.DUMMYFUNCTION("""COMPUTED_VALUE"""),38.0)</f>
        <v>38</v>
      </c>
      <c r="L471" s="16">
        <f>IFERROR(__xludf.DUMMYFUNCTION("""COMPUTED_VALUE"""),-2.0)</f>
        <v>-2</v>
      </c>
      <c r="M471" s="16">
        <f>IFERROR(__xludf.DUMMYFUNCTION("""COMPUTED_VALUE"""),-1.0)</f>
        <v>-1</v>
      </c>
      <c r="N471" s="16">
        <f>IFERROR(__xludf.DUMMYFUNCTION("""COMPUTED_VALUE"""),-2.0)</f>
        <v>-2</v>
      </c>
      <c r="O471" s="16">
        <f>IFERROR(__xludf.DUMMYFUNCTION("""COMPUTED_VALUE"""),-1.0)</f>
        <v>-1</v>
      </c>
      <c r="P471" s="16">
        <f>IFERROR(__xludf.DUMMYFUNCTION("""COMPUTED_VALUE"""),0.0)</f>
        <v>0</v>
      </c>
      <c r="Q471" s="16">
        <f>IFERROR(__xludf.DUMMYFUNCTION("""COMPUTED_VALUE"""),8.0)</f>
        <v>8</v>
      </c>
      <c r="R471" s="16">
        <f>IFERROR(__xludf.DUMMYFUNCTION("""COMPUTED_VALUE"""),-3.0)</f>
        <v>-3</v>
      </c>
      <c r="S471" s="16">
        <f>IFERROR(__xludf.DUMMYFUNCTION("""COMPUTED_VALUE"""),0.0)</f>
        <v>0</v>
      </c>
      <c r="T471" s="16">
        <f>IFERROR(__xludf.DUMMYFUNCTION("""COMPUTED_VALUE"""),-3.0)</f>
        <v>-3</v>
      </c>
      <c r="U471" s="16">
        <f>IFERROR(__xludf.DUMMYFUNCTION("""COMPUTED_VALUE"""),0.0)</f>
        <v>0</v>
      </c>
      <c r="V471" s="16">
        <f>IFERROR(__xludf.DUMMYFUNCTION("""COMPUTED_VALUE"""),2.0)</f>
        <v>2</v>
      </c>
      <c r="W471" s="16">
        <f>IFERROR(__xludf.DUMMYFUNCTION("""COMPUTED_VALUE"""),9.5)</f>
        <v>9.5</v>
      </c>
      <c r="X471" s="16">
        <f>IFERROR(__xludf.DUMMYFUNCTION("""COMPUTED_VALUE"""),-2.0)</f>
        <v>-2</v>
      </c>
      <c r="Y471" s="16">
        <f>IFERROR(__xludf.DUMMYFUNCTION("""COMPUTED_VALUE"""),-2.0)</f>
        <v>-2</v>
      </c>
      <c r="Z471" s="16">
        <f>IFERROR(__xludf.DUMMYFUNCTION("""COMPUTED_VALUE"""),-4.0)</f>
        <v>-4</v>
      </c>
      <c r="AA471" s="16">
        <f>IFERROR(__xludf.DUMMYFUNCTION("""COMPUTED_VALUE"""),-4.0)</f>
        <v>-4</v>
      </c>
      <c r="AB471" s="16">
        <f>IFERROR(__xludf.DUMMYFUNCTION("""COMPUTED_VALUE"""),2.0)</f>
        <v>2</v>
      </c>
      <c r="AC471" s="16">
        <f>IFERROR(__xludf.DUMMYFUNCTION("""COMPUTED_VALUE"""),17.5)</f>
        <v>17.5</v>
      </c>
      <c r="AD471" s="16">
        <f>IFERROR(__xludf.DUMMYFUNCTION("""COMPUTED_VALUE"""),-3.0)</f>
        <v>-3</v>
      </c>
      <c r="AE471" s="16">
        <f>IFERROR(__xludf.DUMMYFUNCTION("""COMPUTED_VALUE"""),-2.0)</f>
        <v>-2</v>
      </c>
      <c r="AF471" s="16">
        <f>IFERROR(__xludf.DUMMYFUNCTION("""COMPUTED_VALUE"""),-15.0)</f>
        <v>-15</v>
      </c>
      <c r="AG471" s="16">
        <f>IFERROR(__xludf.DUMMYFUNCTION("""COMPUTED_VALUE"""),-10.0)</f>
        <v>-10</v>
      </c>
      <c r="AH471" s="16">
        <f>IFERROR(__xludf.DUMMYFUNCTION("""COMPUTED_VALUE"""),2.0)</f>
        <v>2</v>
      </c>
      <c r="AI471" s="16">
        <f>IFERROR(__xludf.DUMMYFUNCTION("""COMPUTED_VALUE"""),10.2)</f>
        <v>10.2</v>
      </c>
      <c r="AJ471" s="16">
        <f>IFERROR(__xludf.DUMMYFUNCTION("""COMPUTED_VALUE"""),-2.0)</f>
        <v>-2</v>
      </c>
      <c r="AK471" s="16">
        <f>IFERROR(__xludf.DUMMYFUNCTION("""COMPUTED_VALUE"""),-2.0)</f>
        <v>-2</v>
      </c>
      <c r="AL471" s="16">
        <f>IFERROR(__xludf.DUMMYFUNCTION("""COMPUTED_VALUE"""),-10.0)</f>
        <v>-10</v>
      </c>
      <c r="AM471" s="16">
        <f>IFERROR(__xludf.DUMMYFUNCTION("""COMPUTED_VALUE"""),-10.0)</f>
        <v>-10</v>
      </c>
      <c r="AN471" s="16">
        <f>IFERROR(__xludf.DUMMYFUNCTION("""COMPUTED_VALUE"""),0.0)</f>
        <v>0</v>
      </c>
      <c r="AO471" s="16">
        <f>IFERROR(__xludf.DUMMYFUNCTION("""COMPUTED_VALUE"""),0.0)</f>
        <v>0</v>
      </c>
      <c r="AP471" s="16">
        <f>IFERROR(__xludf.DUMMYFUNCTION("""COMPUTED_VALUE"""),-2.0)</f>
        <v>-2</v>
      </c>
      <c r="AQ471" s="16">
        <f>IFERROR(__xludf.DUMMYFUNCTION("""COMPUTED_VALUE"""),-3.0)</f>
        <v>-3</v>
      </c>
      <c r="AR471" s="16">
        <f>IFERROR(__xludf.DUMMYFUNCTION("""COMPUTED_VALUE"""),-4.0)</f>
        <v>-4</v>
      </c>
      <c r="AS471" s="16">
        <f>IFERROR(__xludf.DUMMYFUNCTION("""COMPUTED_VALUE"""),-6.0)</f>
        <v>-6</v>
      </c>
      <c r="AT471" s="16"/>
      <c r="AU471" s="16"/>
      <c r="AV471" s="16">
        <f>IFERROR(__xludf.DUMMYFUNCTION("""COMPUTED_VALUE"""),-3.0)</f>
        <v>-3</v>
      </c>
      <c r="AW471" s="16">
        <f>IFERROR(__xludf.DUMMYFUNCTION("""COMPUTED_VALUE"""),-3.0)</f>
        <v>-3</v>
      </c>
      <c r="AX471" s="16">
        <f>IFERROR(__xludf.DUMMYFUNCTION("""COMPUTED_VALUE"""),-3.0)</f>
        <v>-3</v>
      </c>
      <c r="AY471" s="16">
        <f>IFERROR(__xludf.DUMMYFUNCTION("""COMPUTED_VALUE"""),-3.0)</f>
        <v>-3</v>
      </c>
      <c r="AZ471" s="16">
        <f>IFERROR(__xludf.DUMMYFUNCTION("""COMPUTED_VALUE"""),-9.0)</f>
        <v>-9</v>
      </c>
      <c r="BA471" s="16">
        <f>IFERROR(__xludf.DUMMYFUNCTION("""COMPUTED_VALUE"""),-9.0)</f>
        <v>-9</v>
      </c>
      <c r="BB471" s="16">
        <f>IFERROR(__xludf.DUMMYFUNCTION("""COMPUTED_VALUE"""),5.0)</f>
        <v>5</v>
      </c>
      <c r="BC471" s="16">
        <f>IFERROR(__xludf.DUMMYFUNCTION("""COMPUTED_VALUE"""),5.0)</f>
        <v>5</v>
      </c>
      <c r="BD471" s="16">
        <f>IFERROR(__xludf.DUMMYFUNCTION("""COMPUTED_VALUE"""),1.0)</f>
        <v>1</v>
      </c>
      <c r="BE471" s="16">
        <f>IFERROR(__xludf.DUMMYFUNCTION("""COMPUTED_VALUE"""),1.0)</f>
        <v>1</v>
      </c>
      <c r="BF471" s="16">
        <f>IFERROR(__xludf.DUMMYFUNCTION("""COMPUTED_VALUE"""),1.0)</f>
        <v>1</v>
      </c>
      <c r="BG471" s="16">
        <f>IFERROR(__xludf.DUMMYFUNCTION("""COMPUTED_VALUE"""),1.0)</f>
        <v>1</v>
      </c>
      <c r="BH471" s="16">
        <f>IFERROR(__xludf.DUMMYFUNCTION("""COMPUTED_VALUE"""),0.0)</f>
        <v>0</v>
      </c>
      <c r="BI471" s="16">
        <f>IFERROR(__xludf.DUMMYFUNCTION("""COMPUTED_VALUE"""),4.0)</f>
        <v>4</v>
      </c>
      <c r="BJ471" s="16">
        <f>IFERROR(__xludf.DUMMYFUNCTION("""COMPUTED_VALUE"""),0.0)</f>
        <v>0</v>
      </c>
      <c r="BK471" s="16">
        <f>IFERROR(__xludf.DUMMYFUNCTION("""COMPUTED_VALUE"""),0.0)</f>
        <v>0</v>
      </c>
      <c r="BL471" s="16">
        <f>IFERROR(__xludf.DUMMYFUNCTION("""COMPUTED_VALUE"""),3.0)</f>
        <v>3</v>
      </c>
      <c r="BM471" s="16">
        <f>IFERROR(__xludf.DUMMYFUNCTION("""COMPUTED_VALUE"""),3.0)</f>
        <v>3</v>
      </c>
      <c r="BN471" s="16">
        <f>IFERROR(__xludf.DUMMYFUNCTION("""COMPUTED_VALUE"""),3.0)</f>
        <v>3</v>
      </c>
      <c r="BO471" s="16">
        <f>IFERROR(__xludf.DUMMYFUNCTION("""COMPUTED_VALUE"""),3.0)</f>
        <v>3</v>
      </c>
      <c r="BP471" s="16">
        <f>IFERROR(__xludf.DUMMYFUNCTION("""COMPUTED_VALUE"""),-13.0)</f>
        <v>-13</v>
      </c>
      <c r="BQ471" s="16">
        <f>IFERROR(__xludf.DUMMYFUNCTION("""COMPUTED_VALUE"""),-9.0)</f>
        <v>-9</v>
      </c>
      <c r="BR471" s="16">
        <f>IFERROR(__xludf.DUMMYFUNCTION("""COMPUTED_VALUE"""),-22.0)</f>
        <v>-22</v>
      </c>
      <c r="BS471" s="16" t="str">
        <f>IFERROR(__xludf.DUMMYFUNCTION("""COMPUTED_VALUE"""),"*2-6,11,12/- (18-15)")</f>
        <v>*2-6,11,12/- (18-15)</v>
      </c>
      <c r="BT471" s="16" t="str">
        <f>IFERROR(__xludf.DUMMYFUNCTION("""COMPUTED_VALUE"""),"B")</f>
        <v>B</v>
      </c>
      <c r="BU471" s="16">
        <f>IFERROR(__xludf.DUMMYFUNCTION("""COMPUTED_VALUE"""),17.0)</f>
        <v>17</v>
      </c>
      <c r="BV471" s="16">
        <f>IFERROR(__xludf.DUMMYFUNCTION("""COMPUTED_VALUE"""),1.0)</f>
        <v>1</v>
      </c>
      <c r="BW471" s="16">
        <f>IFERROR(__xludf.DUMMYFUNCTION("""COMPUTED_VALUE"""),3.0)</f>
        <v>3</v>
      </c>
      <c r="BX471" s="16">
        <f>IFERROR(__xludf.DUMMYFUNCTION("""COMPUTED_VALUE"""),2.0)</f>
        <v>2</v>
      </c>
      <c r="BY471" s="16">
        <f>IFERROR(__xludf.DUMMYFUNCTION("""COMPUTED_VALUE"""),9.0)</f>
        <v>9</v>
      </c>
      <c r="BZ471" s="16" t="str">
        <f>IFERROR(__xludf.DUMMYFUNCTION("""COMPUTED_VALUE"""),"D")</f>
        <v>D</v>
      </c>
      <c r="CA471" s="16" t="str">
        <f>IFERROR(__xludf.DUMMYFUNCTION("""COMPUTED_VALUE"""),"D")</f>
        <v>D</v>
      </c>
      <c r="CB471" s="16">
        <f>IFERROR(__xludf.DUMMYFUNCTION("""COMPUTED_VALUE"""),0.0)</f>
        <v>0</v>
      </c>
      <c r="CC471" s="16">
        <f>IFERROR(__xludf.DUMMYFUNCTION("""COMPUTED_VALUE"""),0.0)</f>
        <v>0</v>
      </c>
      <c r="CD471" s="16">
        <f>IFERROR(__xludf.DUMMYFUNCTION("""COMPUTED_VALUE"""),0.0)</f>
        <v>0</v>
      </c>
      <c r="CE471" s="16">
        <f>IFERROR(__xludf.DUMMYFUNCTION("""COMPUTED_VALUE"""),0.0)</f>
        <v>0</v>
      </c>
      <c r="CF471" s="16">
        <f>IFERROR(__xludf.DUMMYFUNCTION("""COMPUTED_VALUE"""),3.0)</f>
        <v>3</v>
      </c>
      <c r="CG471" s="16">
        <f>IFERROR(__xludf.DUMMYFUNCTION("""COMPUTED_VALUE"""),-43.0)</f>
        <v>-43</v>
      </c>
      <c r="CH471" s="16">
        <f>IFERROR(__xludf.DUMMYFUNCTION("""COMPUTED_VALUE"""),-36.0)</f>
        <v>-36</v>
      </c>
      <c r="CI471" s="179">
        <f>IFERROR(__xludf.DUMMYFUNCTION("""COMPUTED_VALUE"""),-38.0)</f>
        <v>-38</v>
      </c>
      <c r="CJ471" s="16"/>
      <c r="CK471" s="16"/>
      <c r="CL471" s="16">
        <f>IFERROR(__xludf.DUMMYFUNCTION("""COMPUTED_VALUE"""),423.0)</f>
        <v>423</v>
      </c>
      <c r="CM471" s="16"/>
      <c r="CN471" s="16"/>
      <c r="CO471" s="16"/>
      <c r="CP471" s="16">
        <f>IFERROR(__xludf.DUMMYFUNCTION("""COMPUTED_VALUE"""),403.0)</f>
        <v>403</v>
      </c>
      <c r="CQ471" s="16">
        <f>IFERROR(__xludf.DUMMYFUNCTION("""COMPUTED_VALUE"""),403.0)</f>
        <v>403</v>
      </c>
      <c r="CR471" s="16" t="str">
        <f>IFERROR(__xludf.DUMMYFUNCTION("""COMPUTED_VALUE"""),"cf-4(+1)e3 rf-4e3 2b-4e23")</f>
        <v>cf-4(+1)e3 rf-4e3 2b-4e23</v>
      </c>
      <c r="CS471" s="16"/>
      <c r="CT471" s="16"/>
      <c r="CU471" s="16">
        <f>IFERROR(__xludf.DUMMYFUNCTION("""COMPUTED_VALUE"""),4.0)</f>
        <v>4</v>
      </c>
      <c r="CV471" s="16"/>
      <c r="CW471" s="16"/>
      <c r="CX471" s="16"/>
      <c r="CY471" s="16">
        <f>IFERROR(__xludf.DUMMYFUNCTION("""COMPUTED_VALUE"""),4.0)</f>
        <v>4</v>
      </c>
      <c r="CZ471" s="16">
        <f>IFERROR(__xludf.DUMMYFUNCTION("""COMPUTED_VALUE"""),4.0)</f>
        <v>4</v>
      </c>
      <c r="DA471" s="16"/>
      <c r="DB471" s="16"/>
      <c r="DC471" s="16">
        <f>IFERROR(__xludf.DUMMYFUNCTION("""COMPUTED_VALUE"""),23.0)</f>
        <v>23</v>
      </c>
      <c r="DD471" s="16"/>
      <c r="DE471" s="16"/>
      <c r="DF471" s="16"/>
      <c r="DG471" s="16">
        <f>IFERROR(__xludf.DUMMYFUNCTION("""COMPUTED_VALUE"""),3.0)</f>
        <v>3</v>
      </c>
      <c r="DH471" s="16">
        <f>IFERROR(__xludf.DUMMYFUNCTION("""COMPUTED_VALUE"""),3.0)</f>
        <v>3</v>
      </c>
      <c r="DI471" s="16"/>
      <c r="DJ471" s="16"/>
      <c r="DK471" s="16">
        <f>IFERROR(__xludf.DUMMYFUNCTION("""COMPUTED_VALUE"""),-2.0)</f>
        <v>-2</v>
      </c>
      <c r="DL471" s="16"/>
      <c r="DM471" s="16"/>
      <c r="DN471" s="16"/>
      <c r="DO471" s="16">
        <f>IFERROR(__xludf.DUMMYFUNCTION("""COMPUTED_VALUE"""),-2.0)</f>
        <v>-2</v>
      </c>
      <c r="DP471" s="16">
        <f>IFERROR(__xludf.DUMMYFUNCTION("""COMPUTED_VALUE"""),-1.0)</f>
        <v>-1</v>
      </c>
      <c r="DQ471" s="16"/>
      <c r="DR471" s="16"/>
      <c r="DS471" s="16">
        <f>IFERROR(__xludf.DUMMYFUNCTION("""COMPUTED_VALUE"""),0.0)</f>
        <v>0</v>
      </c>
      <c r="DT471" s="16"/>
      <c r="DU471" s="16"/>
      <c r="DV471" s="16"/>
      <c r="DW471" s="16">
        <f>IFERROR(__xludf.DUMMYFUNCTION("""COMPUTED_VALUE"""),4.0)</f>
        <v>4</v>
      </c>
      <c r="DX471" s="16">
        <f>IFERROR(__xludf.DUMMYFUNCTION("""COMPUTED_VALUE"""),4.0)</f>
        <v>4</v>
      </c>
      <c r="DY471" s="16"/>
      <c r="DZ471" s="16"/>
      <c r="EA471" s="16">
        <f>IFERROR(__xludf.DUMMYFUNCTION("""COMPUTED_VALUE"""),-2.0)</f>
        <v>-2</v>
      </c>
      <c r="EB471" s="16"/>
      <c r="EC471" s="16"/>
      <c r="ED471" s="16"/>
      <c r="EE471" s="16">
        <f>IFERROR(__xludf.DUMMYFUNCTION("""COMPUTED_VALUE"""),2.0)</f>
        <v>2</v>
      </c>
      <c r="EF471" s="16">
        <f>IFERROR(__xludf.DUMMYFUNCTION("""COMPUTED_VALUE"""),3.0)</f>
        <v>3</v>
      </c>
      <c r="EG471" s="179"/>
      <c r="EH471" s="179"/>
      <c r="EI471" s="179">
        <f>IFERROR(__xludf.DUMMYFUNCTION("""COMPUTED_VALUE"""),-40.0)</f>
        <v>-40</v>
      </c>
      <c r="EJ471" s="179"/>
      <c r="EK471" s="179"/>
      <c r="EL471" s="179"/>
      <c r="EM471" s="179">
        <f>IFERROR(__xludf.DUMMYFUNCTION("""COMPUTED_VALUE"""),-36.0)</f>
        <v>-36</v>
      </c>
      <c r="EN471" s="179">
        <f>IFERROR(__xludf.DUMMYFUNCTION("""COMPUTED_VALUE"""),-35.0)</f>
        <v>-35</v>
      </c>
      <c r="EO471" s="16"/>
      <c r="EP471" s="16">
        <f>IFERROR(__xludf.DUMMYFUNCTION("""COMPUTED_VALUE"""),0.0)</f>
        <v>0</v>
      </c>
      <c r="EQ471" s="16">
        <f>IFERROR(__xludf.DUMMYFUNCTION("""COMPUTED_VALUE"""),1.0)</f>
        <v>1</v>
      </c>
      <c r="ER471" s="16">
        <f>IFERROR(__xludf.DUMMYFUNCTION("""COMPUTED_VALUE"""),-4.0)</f>
        <v>-4</v>
      </c>
      <c r="ES471" s="16"/>
      <c r="ET471" s="16"/>
      <c r="EU471" s="16"/>
      <c r="EV471" s="16"/>
      <c r="EW471" s="16"/>
      <c r="EX471" s="180"/>
      <c r="EY471" s="180"/>
      <c r="EZ471" s="180">
        <f>IFERROR(__xludf.DUMMYFUNCTION("""COMPUTED_VALUE"""),0.3)</f>
        <v>0.3</v>
      </c>
      <c r="FA471" s="180"/>
      <c r="FB471" s="180"/>
      <c r="FC471" s="180"/>
      <c r="FD471" s="180">
        <f>IFERROR(__xludf.DUMMYFUNCTION("""COMPUTED_VALUE"""),0.55)</f>
        <v>0.55</v>
      </c>
      <c r="FE471" s="180">
        <f>IFERROR(__xludf.DUMMYFUNCTION("""COMPUTED_VALUE"""),0.55)</f>
        <v>0.55</v>
      </c>
      <c r="FF471" s="180"/>
      <c r="FG471" s="180"/>
      <c r="FH471" s="180">
        <f>IFERROR(__xludf.DUMMYFUNCTION("""COMPUTED_VALUE"""),0.1388888888888889)</f>
        <v>0.1388888889</v>
      </c>
      <c r="FI471" s="180"/>
      <c r="FJ471" s="180"/>
      <c r="FK471" s="180"/>
      <c r="FL471" s="180">
        <f>IFERROR(__xludf.DUMMYFUNCTION("""COMPUTED_VALUE"""),0.037037037037037035)</f>
        <v>0.03703703704</v>
      </c>
      <c r="FM471" s="180">
        <f>IFERROR(__xludf.DUMMYFUNCTION("""COMPUTED_VALUE"""),0.056)</f>
        <v>0.056</v>
      </c>
      <c r="FN471" s="16"/>
      <c r="FO471" s="16"/>
      <c r="FP471" s="16">
        <f>IFERROR(__xludf.DUMMYFUNCTION("""COMPUTED_VALUE"""),0.6027777777777777)</f>
        <v>0.6027777778</v>
      </c>
      <c r="FQ471" s="16"/>
      <c r="FR471" s="16"/>
      <c r="FS471" s="16"/>
      <c r="FT471" s="16">
        <f>IFERROR(__xludf.DUMMYFUNCTION("""COMPUTED_VALUE"""),0.4333333333333333)</f>
        <v>0.4333333333</v>
      </c>
      <c r="FU471" s="16">
        <f>IFERROR(__xludf.DUMMYFUNCTION("""COMPUTED_VALUE"""),0.42479999999999996)</f>
        <v>0.4248</v>
      </c>
      <c r="FV471" s="16"/>
      <c r="FW471" s="16"/>
      <c r="FX471" s="16">
        <f>IFERROR(__xludf.DUMMYFUNCTION("""COMPUTED_VALUE"""),-6.0)</f>
        <v>-6</v>
      </c>
      <c r="FY471" s="16"/>
      <c r="FZ471" s="16"/>
      <c r="GA471" s="16"/>
      <c r="GB471" s="16">
        <f>IFERROR(__xludf.DUMMYFUNCTION("""COMPUTED_VALUE"""),-8.0)</f>
        <v>-8</v>
      </c>
      <c r="GC471" s="16">
        <f>IFERROR(__xludf.DUMMYFUNCTION("""COMPUTED_VALUE"""),-8.0)</f>
        <v>-8</v>
      </c>
      <c r="GD471" s="16" t="s">
        <v>176</v>
      </c>
    </row>
    <row r="472">
      <c r="A472" s="16">
        <f>IFERROR(__xludf.DUMMYFUNCTION("""COMPUTED_VALUE"""),12939.0)</f>
        <v>12939</v>
      </c>
      <c r="B472" s="16" t="str">
        <f>IFERROR(__xludf.DUMMYFUNCTION("""COMPUTED_VALUE"""),"Javier Baez")</f>
        <v>Javier Baez</v>
      </c>
      <c r="C472" s="16">
        <f>IFERROR(__xludf.DUMMYFUNCTION("""COMPUTED_VALUE"""),0.0)</f>
        <v>0</v>
      </c>
      <c r="D472" s="16" t="str">
        <f>IFERROR(__xludf.DUMMYFUNCTION("""COMPUTED_VALUE"""),"R")</f>
        <v>R</v>
      </c>
      <c r="E472" s="16"/>
      <c r="F472" s="16"/>
      <c r="G472" s="16">
        <f>IFERROR(__xludf.DUMMYFUNCTION("""COMPUTED_VALUE"""),272.0)</f>
        <v>272</v>
      </c>
      <c r="H472" s="16">
        <f>IFERROR(__xludf.DUMMYFUNCTION("""COMPUTED_VALUE"""),12.0)</f>
        <v>12</v>
      </c>
      <c r="I472" s="16" t="str">
        <f>IFERROR(__xludf.DUMMYFUNCTION("""COMPUTED_VALUE"""),"5p40")</f>
        <v>5p40</v>
      </c>
      <c r="J472" s="16">
        <f>IFERROR(__xludf.DUMMYFUNCTION("""COMPUTED_VALUE"""),24.0)</f>
        <v>24</v>
      </c>
      <c r="K472" s="16">
        <f>IFERROR(__xludf.DUMMYFUNCTION("""COMPUTED_VALUE"""),28.0)</f>
        <v>28</v>
      </c>
      <c r="L472" s="16">
        <f>IFERROR(__xludf.DUMMYFUNCTION("""COMPUTED_VALUE"""),0.0)</f>
        <v>0</v>
      </c>
      <c r="M472" s="16">
        <f>IFERROR(__xludf.DUMMYFUNCTION("""COMPUTED_VALUE"""),0.0)</f>
        <v>0</v>
      </c>
      <c r="N472" s="16">
        <f>IFERROR(__xludf.DUMMYFUNCTION("""COMPUTED_VALUE"""),0.0)</f>
        <v>0</v>
      </c>
      <c r="O472" s="16">
        <f>IFERROR(__xludf.DUMMYFUNCTION("""COMPUTED_VALUE"""),0.0)</f>
        <v>0</v>
      </c>
      <c r="P472" s="16">
        <f>IFERROR(__xludf.DUMMYFUNCTION("""COMPUTED_VALUE"""),0.0)</f>
        <v>0</v>
      </c>
      <c r="Q472" s="16">
        <f>IFERROR(__xludf.DUMMYFUNCTION("""COMPUTED_VALUE"""),0.0)</f>
        <v>0</v>
      </c>
      <c r="R472" s="16">
        <f>IFERROR(__xludf.DUMMYFUNCTION("""COMPUTED_VALUE"""),-3.0)</f>
        <v>-3</v>
      </c>
      <c r="S472" s="16">
        <f>IFERROR(__xludf.DUMMYFUNCTION("""COMPUTED_VALUE"""),-2.0)</f>
        <v>-2</v>
      </c>
      <c r="T472" s="16">
        <f>IFERROR(__xludf.DUMMYFUNCTION("""COMPUTED_VALUE"""),-3.0)</f>
        <v>-3</v>
      </c>
      <c r="U472" s="16">
        <f>IFERROR(__xludf.DUMMYFUNCTION("""COMPUTED_VALUE"""),-2.0)</f>
        <v>-2</v>
      </c>
      <c r="V472" s="16">
        <f>IFERROR(__xludf.DUMMYFUNCTION("""COMPUTED_VALUE"""),6.9)</f>
        <v>6.9</v>
      </c>
      <c r="W472" s="16">
        <f>IFERROR(__xludf.DUMMYFUNCTION("""COMPUTED_VALUE"""),10.7)</f>
        <v>10.7</v>
      </c>
      <c r="X472" s="16">
        <f>IFERROR(__xludf.DUMMYFUNCTION("""COMPUTED_VALUE"""),-2.0)</f>
        <v>-2</v>
      </c>
      <c r="Y472" s="16">
        <f>IFERROR(__xludf.DUMMYFUNCTION("""COMPUTED_VALUE"""),-2.0)</f>
        <v>-2</v>
      </c>
      <c r="Z472" s="16">
        <f>IFERROR(__xludf.DUMMYFUNCTION("""COMPUTED_VALUE"""),-4.0)</f>
        <v>-4</v>
      </c>
      <c r="AA472" s="16">
        <f>IFERROR(__xludf.DUMMYFUNCTION("""COMPUTED_VALUE"""),-4.0)</f>
        <v>-4</v>
      </c>
      <c r="AB472" s="16">
        <f>IFERROR(__xludf.DUMMYFUNCTION("""COMPUTED_VALUE"""),8.9)</f>
        <v>8.9</v>
      </c>
      <c r="AC472" s="16">
        <f>IFERROR(__xludf.DUMMYFUNCTION("""COMPUTED_VALUE"""),12.7)</f>
        <v>12.7</v>
      </c>
      <c r="AD472" s="16">
        <f>IFERROR(__xludf.DUMMYFUNCTION("""COMPUTED_VALUE"""),-2.0)</f>
        <v>-2</v>
      </c>
      <c r="AE472" s="16">
        <f>IFERROR(__xludf.DUMMYFUNCTION("""COMPUTED_VALUE"""),-3.0)</f>
        <v>-3</v>
      </c>
      <c r="AF472" s="16">
        <f>IFERROR(__xludf.DUMMYFUNCTION("""COMPUTED_VALUE"""),-10.0)</f>
        <v>-10</v>
      </c>
      <c r="AG472" s="16">
        <f>IFERROR(__xludf.DUMMYFUNCTION("""COMPUTED_VALUE"""),-15.0)</f>
        <v>-15</v>
      </c>
      <c r="AH472" s="16">
        <f>IFERROR(__xludf.DUMMYFUNCTION("""COMPUTED_VALUE"""),18.1)</f>
        <v>18.1</v>
      </c>
      <c r="AI472" s="16">
        <f>IFERROR(__xludf.DUMMYFUNCTION("""COMPUTED_VALUE"""),19.3)</f>
        <v>19.3</v>
      </c>
      <c r="AJ472" s="16">
        <f>IFERROR(__xludf.DUMMYFUNCTION("""COMPUTED_VALUE"""),-1.0)</f>
        <v>-1</v>
      </c>
      <c r="AK472" s="16">
        <f>IFERROR(__xludf.DUMMYFUNCTION("""COMPUTED_VALUE"""),-2.0)</f>
        <v>-2</v>
      </c>
      <c r="AL472" s="16">
        <f>IFERROR(__xludf.DUMMYFUNCTION("""COMPUTED_VALUE"""),-5.0)</f>
        <v>-5</v>
      </c>
      <c r="AM472" s="16">
        <f>IFERROR(__xludf.DUMMYFUNCTION("""COMPUTED_VALUE"""),-10.0)</f>
        <v>-10</v>
      </c>
      <c r="AN472" s="16">
        <f>IFERROR(__xludf.DUMMYFUNCTION("""COMPUTED_VALUE"""),3.4)</f>
        <v>3.4</v>
      </c>
      <c r="AO472" s="16">
        <f>IFERROR(__xludf.DUMMYFUNCTION("""COMPUTED_VALUE"""),1.3)</f>
        <v>1.3</v>
      </c>
      <c r="AP472" s="16">
        <f>IFERROR(__xludf.DUMMYFUNCTION("""COMPUTED_VALUE"""),1.0)</f>
        <v>1</v>
      </c>
      <c r="AQ472" s="16">
        <f>IFERROR(__xludf.DUMMYFUNCTION("""COMPUTED_VALUE"""),-1.0)</f>
        <v>-1</v>
      </c>
      <c r="AR472" s="16">
        <f>IFERROR(__xludf.DUMMYFUNCTION("""COMPUTED_VALUE"""),2.0)</f>
        <v>2</v>
      </c>
      <c r="AS472" s="16">
        <f>IFERROR(__xludf.DUMMYFUNCTION("""COMPUTED_VALUE"""),-2.0)</f>
        <v>-2</v>
      </c>
      <c r="AT472" s="16"/>
      <c r="AU472" s="16">
        <f>IFERROR(__xludf.DUMMYFUNCTION("""COMPUTED_VALUE"""),1.0)</f>
        <v>1</v>
      </c>
      <c r="AV472" s="16">
        <f>IFERROR(__xludf.DUMMYFUNCTION("""COMPUTED_VALUE"""),-3.0)</f>
        <v>-3</v>
      </c>
      <c r="AW472" s="16">
        <f>IFERROR(__xludf.DUMMYFUNCTION("""COMPUTED_VALUE"""),1.0)</f>
        <v>1</v>
      </c>
      <c r="AX472" s="16">
        <f>IFERROR(__xludf.DUMMYFUNCTION("""COMPUTED_VALUE"""),-3.0)</f>
        <v>-3</v>
      </c>
      <c r="AY472" s="16">
        <f>IFERROR(__xludf.DUMMYFUNCTION("""COMPUTED_VALUE"""),-1.0)</f>
        <v>-1</v>
      </c>
      <c r="AZ472" s="16">
        <f>IFERROR(__xludf.DUMMYFUNCTION("""COMPUTED_VALUE"""),-9.0)</f>
        <v>-9</v>
      </c>
      <c r="BA472" s="16">
        <f>IFERROR(__xludf.DUMMYFUNCTION("""COMPUTED_VALUE"""),-3.0)</f>
        <v>-3</v>
      </c>
      <c r="BB472" s="16">
        <f>IFERROR(__xludf.DUMMYFUNCTION("""COMPUTED_VALUE"""),0.0)</f>
        <v>0</v>
      </c>
      <c r="BC472" s="16">
        <f>IFERROR(__xludf.DUMMYFUNCTION("""COMPUTED_VALUE"""),5.0)</f>
        <v>5</v>
      </c>
      <c r="BD472" s="16">
        <f>IFERROR(__xludf.DUMMYFUNCTION("""COMPUTED_VALUE"""),0.0)</f>
        <v>0</v>
      </c>
      <c r="BE472" s="16">
        <f>IFERROR(__xludf.DUMMYFUNCTION("""COMPUTED_VALUE"""),1.0)</f>
        <v>1</v>
      </c>
      <c r="BF472" s="16">
        <f>IFERROR(__xludf.DUMMYFUNCTION("""COMPUTED_VALUE"""),0.0)</f>
        <v>0</v>
      </c>
      <c r="BG472" s="16">
        <f>IFERROR(__xludf.DUMMYFUNCTION("""COMPUTED_VALUE"""),1.0)</f>
        <v>1</v>
      </c>
      <c r="BH472" s="16">
        <f>IFERROR(__xludf.DUMMYFUNCTION("""COMPUTED_VALUE"""),0.0)</f>
        <v>0</v>
      </c>
      <c r="BI472" s="16">
        <f>IFERROR(__xludf.DUMMYFUNCTION("""COMPUTED_VALUE"""),8.0)</f>
        <v>8</v>
      </c>
      <c r="BJ472" s="16">
        <f>IFERROR(__xludf.DUMMYFUNCTION("""COMPUTED_VALUE"""),27.0)</f>
        <v>27</v>
      </c>
      <c r="BK472" s="16">
        <f>IFERROR(__xludf.DUMMYFUNCTION("""COMPUTED_VALUE"""),27.0)</f>
        <v>27</v>
      </c>
      <c r="BL472" s="16">
        <f>IFERROR(__xludf.DUMMYFUNCTION("""COMPUTED_VALUE"""),-2.0)</f>
        <v>-2</v>
      </c>
      <c r="BM472" s="16">
        <f>IFERROR(__xludf.DUMMYFUNCTION("""COMPUTED_VALUE"""),-2.0)</f>
        <v>-2</v>
      </c>
      <c r="BN472" s="16">
        <f>IFERROR(__xludf.DUMMYFUNCTION("""COMPUTED_VALUE"""),-4.0)</f>
        <v>-4</v>
      </c>
      <c r="BO472" s="16">
        <f>IFERROR(__xludf.DUMMYFUNCTION("""COMPUTED_VALUE"""),-4.0)</f>
        <v>-4</v>
      </c>
      <c r="BP472" s="16">
        <f>IFERROR(__xludf.DUMMYFUNCTION("""COMPUTED_VALUE"""),-12.0)</f>
        <v>-12</v>
      </c>
      <c r="BQ472" s="16">
        <f>IFERROR(__xludf.DUMMYFUNCTION("""COMPUTED_VALUE"""),-12.0)</f>
        <v>-12</v>
      </c>
      <c r="BR472" s="16">
        <f>IFERROR(__xludf.DUMMYFUNCTION("""COMPUTED_VALUE"""),-24.0)</f>
        <v>-24</v>
      </c>
      <c r="BS472" s="16" t="str">
        <f>IFERROR(__xludf.DUMMYFUNCTION("""COMPUTED_VALUE"""),"*4,5/- (19-13)")</f>
        <v>*4,5/- (19-13)</v>
      </c>
      <c r="BT472" s="16" t="str">
        <f>IFERROR(__xludf.DUMMYFUNCTION("""COMPUTED_VALUE"""),"B")</f>
        <v>B</v>
      </c>
      <c r="BU472" s="16">
        <f>IFERROR(__xludf.DUMMYFUNCTION("""COMPUTED_VALUE"""),15.0)</f>
        <v>15</v>
      </c>
      <c r="BV472" s="16">
        <f>IFERROR(__xludf.DUMMYFUNCTION("""COMPUTED_VALUE"""),1.0)</f>
        <v>1</v>
      </c>
      <c r="BW472" s="16">
        <f>IFERROR(__xludf.DUMMYFUNCTION("""COMPUTED_VALUE"""),2.0)</f>
        <v>2</v>
      </c>
      <c r="BX472" s="16">
        <f>IFERROR(__xludf.DUMMYFUNCTION("""COMPUTED_VALUE"""),2.0)</f>
        <v>2</v>
      </c>
      <c r="BY472" s="16">
        <f>IFERROR(__xludf.DUMMYFUNCTION("""COMPUTED_VALUE"""),6.0)</f>
        <v>6</v>
      </c>
      <c r="BZ472" s="16" t="str">
        <f>IFERROR(__xludf.DUMMYFUNCTION("""COMPUTED_VALUE"""),"D")</f>
        <v>D</v>
      </c>
      <c r="CA472" s="16" t="str">
        <f>IFERROR(__xludf.DUMMYFUNCTION("""COMPUTED_VALUE"""),"D")</f>
        <v>D</v>
      </c>
      <c r="CB472" s="16">
        <f>IFERROR(__xludf.DUMMYFUNCTION("""COMPUTED_VALUE"""),0.0)</f>
        <v>0</v>
      </c>
      <c r="CC472" s="16">
        <f>IFERROR(__xludf.DUMMYFUNCTION("""COMPUTED_VALUE"""),0.0)</f>
        <v>0</v>
      </c>
      <c r="CD472" s="16">
        <f>IFERROR(__xludf.DUMMYFUNCTION("""COMPUTED_VALUE"""),0.0)</f>
        <v>0</v>
      </c>
      <c r="CE472" s="16">
        <f>IFERROR(__xludf.DUMMYFUNCTION("""COMPUTED_VALUE"""),0.0)</f>
        <v>0</v>
      </c>
      <c r="CF472" s="16">
        <f>IFERROR(__xludf.DUMMYFUNCTION("""COMPUTED_VALUE"""),5.0)</f>
        <v>5</v>
      </c>
      <c r="CG472" s="16">
        <f>IFERROR(__xludf.DUMMYFUNCTION("""COMPUTED_VALUE"""),-33.0)</f>
        <v>-33</v>
      </c>
      <c r="CH472" s="16">
        <f>IFERROR(__xludf.DUMMYFUNCTION("""COMPUTED_VALUE"""),-39.0)</f>
        <v>-39</v>
      </c>
      <c r="CI472" s="179">
        <f>IFERROR(__xludf.DUMMYFUNCTION("""COMPUTED_VALUE"""),-39.0)</f>
        <v>-39</v>
      </c>
      <c r="CJ472" s="16"/>
      <c r="CK472" s="16"/>
      <c r="CL472" s="16"/>
      <c r="CM472" s="16"/>
      <c r="CN472" s="16">
        <f>IFERROR(__xludf.DUMMYFUNCTION("""COMPUTED_VALUE"""),319.0)</f>
        <v>319</v>
      </c>
      <c r="CO472" s="16"/>
      <c r="CP472" s="16"/>
      <c r="CQ472" s="16"/>
      <c r="CR472" s="16" t="str">
        <f>IFERROR(__xludf.DUMMYFUNCTION("""COMPUTED_VALUE"""),"ss-3e19")</f>
        <v>ss-3e19</v>
      </c>
      <c r="CS472" s="16"/>
      <c r="CT472" s="16"/>
      <c r="CU472" s="16"/>
      <c r="CV472" s="16"/>
      <c r="CW472" s="16">
        <f>IFERROR(__xludf.DUMMYFUNCTION("""COMPUTED_VALUE"""),3.0)</f>
        <v>3</v>
      </c>
      <c r="CX472" s="16"/>
      <c r="CY472" s="16"/>
      <c r="CZ472" s="16"/>
      <c r="DA472" s="16"/>
      <c r="DB472" s="16"/>
      <c r="DC472" s="16"/>
      <c r="DD472" s="16"/>
      <c r="DE472" s="16">
        <f>IFERROR(__xludf.DUMMYFUNCTION("""COMPUTED_VALUE"""),19.0)</f>
        <v>19</v>
      </c>
      <c r="DF472" s="16"/>
      <c r="DG472" s="16"/>
      <c r="DH472" s="16"/>
      <c r="DI472" s="16"/>
      <c r="DJ472" s="16"/>
      <c r="DK472" s="16"/>
      <c r="DL472" s="16"/>
      <c r="DM472" s="16">
        <f>IFERROR(__xludf.DUMMYFUNCTION("""COMPUTED_VALUE"""),0.0)</f>
        <v>0</v>
      </c>
      <c r="DN472" s="16"/>
      <c r="DO472" s="16"/>
      <c r="DP472" s="16"/>
      <c r="DQ472" s="16"/>
      <c r="DR472" s="16"/>
      <c r="DS472" s="16"/>
      <c r="DT472" s="16"/>
      <c r="DU472" s="16">
        <f>IFERROR(__xludf.DUMMYFUNCTION("""COMPUTED_VALUE"""),2.0)</f>
        <v>2</v>
      </c>
      <c r="DV472" s="16"/>
      <c r="DW472" s="16"/>
      <c r="DX472" s="16"/>
      <c r="DY472" s="16"/>
      <c r="DZ472" s="16"/>
      <c r="EA472" s="16"/>
      <c r="EB472" s="16"/>
      <c r="EC472" s="16">
        <f>IFERROR(__xludf.DUMMYFUNCTION("""COMPUTED_VALUE"""),2.0)</f>
        <v>2</v>
      </c>
      <c r="ED472" s="16"/>
      <c r="EE472" s="16"/>
      <c r="EF472" s="16"/>
      <c r="EG472" s="179"/>
      <c r="EH472" s="179"/>
      <c r="EI472" s="179"/>
      <c r="EJ472" s="179"/>
      <c r="EK472" s="179">
        <f>IFERROR(__xludf.DUMMYFUNCTION("""COMPUTED_VALUE"""),-37.0)</f>
        <v>-37</v>
      </c>
      <c r="EL472" s="179"/>
      <c r="EM472" s="179"/>
      <c r="EN472" s="179"/>
      <c r="EO472" s="16"/>
      <c r="EP472" s="16">
        <f>IFERROR(__xludf.DUMMYFUNCTION("""COMPUTED_VALUE"""),-1.0)</f>
        <v>-1</v>
      </c>
      <c r="EQ472" s="16">
        <f>IFERROR(__xludf.DUMMYFUNCTION("""COMPUTED_VALUE"""),-2.0)</f>
        <v>-2</v>
      </c>
      <c r="ER472" s="16">
        <f>IFERROR(__xludf.DUMMYFUNCTION("""COMPUTED_VALUE"""),-1.0)</f>
        <v>-1</v>
      </c>
      <c r="ES472" s="16"/>
      <c r="ET472" s="16"/>
      <c r="EU472" s="16"/>
      <c r="EV472" s="16"/>
      <c r="EW472" s="16"/>
      <c r="EX472" s="180"/>
      <c r="EY472" s="180"/>
      <c r="EZ472" s="180"/>
      <c r="FA472" s="180"/>
      <c r="FB472" s="180">
        <f>IFERROR(__xludf.DUMMYFUNCTION("""COMPUTED_VALUE"""),0.2)</f>
        <v>0.2</v>
      </c>
      <c r="FC472" s="180"/>
      <c r="FD472" s="180"/>
      <c r="FE472" s="180"/>
      <c r="FF472" s="180"/>
      <c r="FG472" s="180"/>
      <c r="FH472" s="180"/>
      <c r="FI472" s="180"/>
      <c r="FJ472" s="180">
        <f>IFERROR(__xludf.DUMMYFUNCTION("""COMPUTED_VALUE"""),0.09722222222222222)</f>
        <v>0.09722222222</v>
      </c>
      <c r="FK472" s="180"/>
      <c r="FL472" s="180"/>
      <c r="FM472" s="180"/>
      <c r="FN472" s="16"/>
      <c r="FO472" s="16"/>
      <c r="FP472" s="16"/>
      <c r="FQ472" s="16"/>
      <c r="FR472" s="16">
        <f>IFERROR(__xludf.DUMMYFUNCTION("""COMPUTED_VALUE"""),0.7222222222222223)</f>
        <v>0.7222222222</v>
      </c>
      <c r="FS472" s="16"/>
      <c r="FT472" s="16"/>
      <c r="FU472" s="16"/>
      <c r="FV472" s="16"/>
      <c r="FW472" s="16"/>
      <c r="FX472" s="16"/>
      <c r="FY472" s="16"/>
      <c r="FZ472" s="16">
        <f>IFERROR(__xludf.DUMMYFUNCTION("""COMPUTED_VALUE"""),-4.0)</f>
        <v>-4</v>
      </c>
      <c r="GA472" s="16"/>
      <c r="GB472" s="16"/>
      <c r="GC472" s="16"/>
      <c r="GD472" s="16" t="s">
        <v>176</v>
      </c>
    </row>
    <row r="473">
      <c r="A473" s="16">
        <f>IFERROR(__xludf.DUMMYFUNCTION("""COMPUTED_VALUE"""),13270.0)</f>
        <v>13270</v>
      </c>
      <c r="B473" s="16" t="str">
        <f>IFERROR(__xludf.DUMMYFUNCTION("""COMPUTED_VALUE"""),"Pablo Reyes")</f>
        <v>Pablo Reyes</v>
      </c>
      <c r="C473" s="16">
        <f>IFERROR(__xludf.DUMMYFUNCTION("""COMPUTED_VALUE"""),0.0)</f>
        <v>0</v>
      </c>
      <c r="D473" s="16" t="str">
        <f>IFERROR(__xludf.DUMMYFUNCTION("""COMPUTED_VALUE"""),"R")</f>
        <v>R</v>
      </c>
      <c r="E473" s="16"/>
      <c r="F473" s="16"/>
      <c r="G473" s="16">
        <f>IFERROR(__xludf.DUMMYFUNCTION("""COMPUTED_VALUE"""),60.0)</f>
        <v>60</v>
      </c>
      <c r="H473" s="16">
        <f>IFERROR(__xludf.DUMMYFUNCTION("""COMPUTED_VALUE"""),3.0)</f>
        <v>3</v>
      </c>
      <c r="I473" s="16" t="str">
        <f>IFERROR(__xludf.DUMMYFUNCTION("""COMPUTED_VALUE"""),"1p20")</f>
        <v>1p20</v>
      </c>
      <c r="J473" s="16">
        <f>IFERROR(__xludf.DUMMYFUNCTION("""COMPUTED_VALUE"""),49.0)</f>
        <v>49</v>
      </c>
      <c r="K473" s="16">
        <f>IFERROR(__xludf.DUMMYFUNCTION("""COMPUTED_VALUE"""),31.0)</f>
        <v>31</v>
      </c>
      <c r="L473" s="16">
        <f>IFERROR(__xludf.DUMMYFUNCTION("""COMPUTED_VALUE"""),-2.0)</f>
        <v>-2</v>
      </c>
      <c r="M473" s="16">
        <f>IFERROR(__xludf.DUMMYFUNCTION("""COMPUTED_VALUE"""),-1.0)</f>
        <v>-1</v>
      </c>
      <c r="N473" s="16">
        <f>IFERROR(__xludf.DUMMYFUNCTION("""COMPUTED_VALUE"""),-2.0)</f>
        <v>-2</v>
      </c>
      <c r="O473" s="16">
        <f>IFERROR(__xludf.DUMMYFUNCTION("""COMPUTED_VALUE"""),-1.0)</f>
        <v>-1</v>
      </c>
      <c r="P473" s="16">
        <f>IFERROR(__xludf.DUMMYFUNCTION("""COMPUTED_VALUE"""),0.0)</f>
        <v>0</v>
      </c>
      <c r="Q473" s="16">
        <f>IFERROR(__xludf.DUMMYFUNCTION("""COMPUTED_VALUE"""),8.0)</f>
        <v>8</v>
      </c>
      <c r="R473" s="16">
        <f>IFERROR(__xludf.DUMMYFUNCTION("""COMPUTED_VALUE"""),-3.0)</f>
        <v>-3</v>
      </c>
      <c r="S473" s="16">
        <f>IFERROR(__xludf.DUMMYFUNCTION("""COMPUTED_VALUE"""),0.0)</f>
        <v>0</v>
      </c>
      <c r="T473" s="16">
        <f>IFERROR(__xludf.DUMMYFUNCTION("""COMPUTED_VALUE"""),-3.0)</f>
        <v>-3</v>
      </c>
      <c r="U473" s="16">
        <f>IFERROR(__xludf.DUMMYFUNCTION("""COMPUTED_VALUE"""),0.0)</f>
        <v>0</v>
      </c>
      <c r="V473" s="16">
        <f>IFERROR(__xludf.DUMMYFUNCTION("""COMPUTED_VALUE"""),18.0)</f>
        <v>18</v>
      </c>
      <c r="W473" s="16">
        <f>IFERROR(__xludf.DUMMYFUNCTION("""COMPUTED_VALUE"""),3.6)</f>
        <v>3.6</v>
      </c>
      <c r="X473" s="16">
        <f>IFERROR(__xludf.DUMMYFUNCTION("""COMPUTED_VALUE"""),0.0)</f>
        <v>0</v>
      </c>
      <c r="Y473" s="16">
        <f>IFERROR(__xludf.DUMMYFUNCTION("""COMPUTED_VALUE"""),-3.0)</f>
        <v>-3</v>
      </c>
      <c r="Z473" s="16">
        <f>IFERROR(__xludf.DUMMYFUNCTION("""COMPUTED_VALUE"""),0.0)</f>
        <v>0</v>
      </c>
      <c r="AA473" s="16">
        <f>IFERROR(__xludf.DUMMYFUNCTION("""COMPUTED_VALUE"""),-6.0)</f>
        <v>-6</v>
      </c>
      <c r="AB473" s="16">
        <f>IFERROR(__xludf.DUMMYFUNCTION("""COMPUTED_VALUE"""),21.0)</f>
        <v>21</v>
      </c>
      <c r="AC473" s="16">
        <f>IFERROR(__xludf.DUMMYFUNCTION("""COMPUTED_VALUE"""),14.7)</f>
        <v>14.7</v>
      </c>
      <c r="AD473" s="16">
        <f>IFERROR(__xludf.DUMMYFUNCTION("""COMPUTED_VALUE"""),-1.0)</f>
        <v>-1</v>
      </c>
      <c r="AE473" s="16">
        <f>IFERROR(__xludf.DUMMYFUNCTION("""COMPUTED_VALUE"""),-2.0)</f>
        <v>-2</v>
      </c>
      <c r="AF473" s="16">
        <f>IFERROR(__xludf.DUMMYFUNCTION("""COMPUTED_VALUE"""),-5.0)</f>
        <v>-5</v>
      </c>
      <c r="AG473" s="16">
        <f>IFERROR(__xludf.DUMMYFUNCTION("""COMPUTED_VALUE"""),-10.0)</f>
        <v>-10</v>
      </c>
      <c r="AH473" s="16">
        <f>IFERROR(__xludf.DUMMYFUNCTION("""COMPUTED_VALUE"""),30.9)</f>
        <v>30.9</v>
      </c>
      <c r="AI473" s="16">
        <f>IFERROR(__xludf.DUMMYFUNCTION("""COMPUTED_VALUE"""),3.6)</f>
        <v>3.6</v>
      </c>
      <c r="AJ473" s="16">
        <f>IFERROR(__xludf.DUMMYFUNCTION("""COMPUTED_VALUE"""),0.0)</f>
        <v>0</v>
      </c>
      <c r="AK473" s="16">
        <f>IFERROR(__xludf.DUMMYFUNCTION("""COMPUTED_VALUE"""),-3.0)</f>
        <v>-3</v>
      </c>
      <c r="AL473" s="16">
        <f>IFERROR(__xludf.DUMMYFUNCTION("""COMPUTED_VALUE"""),0.0)</f>
        <v>0</v>
      </c>
      <c r="AM473" s="16">
        <f>IFERROR(__xludf.DUMMYFUNCTION("""COMPUTED_VALUE"""),-15.0)</f>
        <v>-15</v>
      </c>
      <c r="AN473" s="16">
        <f>IFERROR(__xludf.DUMMYFUNCTION("""COMPUTED_VALUE"""),0.0)</f>
        <v>0</v>
      </c>
      <c r="AO473" s="16">
        <f>IFERROR(__xludf.DUMMYFUNCTION("""COMPUTED_VALUE"""),0.0)</f>
        <v>0</v>
      </c>
      <c r="AP473" s="16">
        <f>IFERROR(__xludf.DUMMYFUNCTION("""COMPUTED_VALUE"""),-2.0)</f>
        <v>-2</v>
      </c>
      <c r="AQ473" s="16">
        <f>IFERROR(__xludf.DUMMYFUNCTION("""COMPUTED_VALUE"""),-3.0)</f>
        <v>-3</v>
      </c>
      <c r="AR473" s="16">
        <f>IFERROR(__xludf.DUMMYFUNCTION("""COMPUTED_VALUE"""),-4.0)</f>
        <v>-4</v>
      </c>
      <c r="AS473" s="16">
        <f>IFERROR(__xludf.DUMMYFUNCTION("""COMPUTED_VALUE"""),-6.0)</f>
        <v>-6</v>
      </c>
      <c r="AT473" s="16"/>
      <c r="AU473" s="16"/>
      <c r="AV473" s="16">
        <f>IFERROR(__xludf.DUMMYFUNCTION("""COMPUTED_VALUE"""),-3.0)</f>
        <v>-3</v>
      </c>
      <c r="AW473" s="16">
        <f>IFERROR(__xludf.DUMMYFUNCTION("""COMPUTED_VALUE"""),-3.0)</f>
        <v>-3</v>
      </c>
      <c r="AX473" s="16">
        <f>IFERROR(__xludf.DUMMYFUNCTION("""COMPUTED_VALUE"""),-3.0)</f>
        <v>-3</v>
      </c>
      <c r="AY473" s="16">
        <f>IFERROR(__xludf.DUMMYFUNCTION("""COMPUTED_VALUE"""),-3.0)</f>
        <v>-3</v>
      </c>
      <c r="AZ473" s="16">
        <f>IFERROR(__xludf.DUMMYFUNCTION("""COMPUTED_VALUE"""),-9.0)</f>
        <v>-9</v>
      </c>
      <c r="BA473" s="16">
        <f>IFERROR(__xludf.DUMMYFUNCTION("""COMPUTED_VALUE"""),-9.0)</f>
        <v>-9</v>
      </c>
      <c r="BB473" s="16">
        <f>IFERROR(__xludf.DUMMYFUNCTION("""COMPUTED_VALUE"""),5.0)</f>
        <v>5</v>
      </c>
      <c r="BC473" s="16">
        <f>IFERROR(__xludf.DUMMYFUNCTION("""COMPUTED_VALUE"""),5.0)</f>
        <v>5</v>
      </c>
      <c r="BD473" s="16">
        <f>IFERROR(__xludf.DUMMYFUNCTION("""COMPUTED_VALUE"""),1.0)</f>
        <v>1</v>
      </c>
      <c r="BE473" s="16">
        <f>IFERROR(__xludf.DUMMYFUNCTION("""COMPUTED_VALUE"""),1.0)</f>
        <v>1</v>
      </c>
      <c r="BF473" s="16">
        <f>IFERROR(__xludf.DUMMYFUNCTION("""COMPUTED_VALUE"""),1.0)</f>
        <v>1</v>
      </c>
      <c r="BG473" s="16">
        <f>IFERROR(__xludf.DUMMYFUNCTION("""COMPUTED_VALUE"""),1.0)</f>
        <v>1</v>
      </c>
      <c r="BH473" s="16">
        <f>IFERROR(__xludf.DUMMYFUNCTION("""COMPUTED_VALUE"""),-3.0)</f>
        <v>-3</v>
      </c>
      <c r="BI473" s="16">
        <f>IFERROR(__xludf.DUMMYFUNCTION("""COMPUTED_VALUE"""),-2.0)</f>
        <v>-2</v>
      </c>
      <c r="BJ473" s="16">
        <f>IFERROR(__xludf.DUMMYFUNCTION("""COMPUTED_VALUE"""),13.0)</f>
        <v>13</v>
      </c>
      <c r="BK473" s="16">
        <f>IFERROR(__xludf.DUMMYFUNCTION("""COMPUTED_VALUE"""),11.0)</f>
        <v>11</v>
      </c>
      <c r="BL473" s="16">
        <f>IFERROR(__xludf.DUMMYFUNCTION("""COMPUTED_VALUE"""),0.0)</f>
        <v>0</v>
      </c>
      <c r="BM473" s="16">
        <f>IFERROR(__xludf.DUMMYFUNCTION("""COMPUTED_VALUE"""),0.0)</f>
        <v>0</v>
      </c>
      <c r="BN473" s="16">
        <f>IFERROR(__xludf.DUMMYFUNCTION("""COMPUTED_VALUE"""),0.0)</f>
        <v>0</v>
      </c>
      <c r="BO473" s="16">
        <f>IFERROR(__xludf.DUMMYFUNCTION("""COMPUTED_VALUE"""),0.0)</f>
        <v>0</v>
      </c>
      <c r="BP473" s="16">
        <f>IFERROR(__xludf.DUMMYFUNCTION("""COMPUTED_VALUE"""),-10.0)</f>
        <v>-10</v>
      </c>
      <c r="BQ473" s="16">
        <f>IFERROR(__xludf.DUMMYFUNCTION("""COMPUTED_VALUE"""),-14.0)</f>
        <v>-14</v>
      </c>
      <c r="BR473" s="16">
        <f>IFERROR(__xludf.DUMMYFUNCTION("""COMPUTED_VALUE"""),-24.0)</f>
        <v>-24</v>
      </c>
      <c r="BS473" s="16" t="str">
        <f>IFERROR(__xludf.DUMMYFUNCTION("""COMPUTED_VALUE"""),"*2-6,11,12/7-10 (15-4)")</f>
        <v>*2-6,11,12/7-10 (15-4)</v>
      </c>
      <c r="BT473" s="16" t="str">
        <f>IFERROR(__xludf.DUMMYFUNCTION("""COMPUTED_VALUE"""),"D")</f>
        <v>D</v>
      </c>
      <c r="BU473" s="16">
        <f>IFERROR(__xludf.DUMMYFUNCTION("""COMPUTED_VALUE"""),14.0)</f>
        <v>14</v>
      </c>
      <c r="BV473" s="16">
        <f>IFERROR(__xludf.DUMMYFUNCTION("""COMPUTED_VALUE"""),0.0)</f>
        <v>0</v>
      </c>
      <c r="BW473" s="16">
        <f>IFERROR(__xludf.DUMMYFUNCTION("""COMPUTED_VALUE"""),1.0)</f>
        <v>1</v>
      </c>
      <c r="BX473" s="16">
        <f>IFERROR(__xludf.DUMMYFUNCTION("""COMPUTED_VALUE"""),0.0)</f>
        <v>0</v>
      </c>
      <c r="BY473" s="16">
        <f>IFERROR(__xludf.DUMMYFUNCTION("""COMPUTED_VALUE"""),3.0)</f>
        <v>3</v>
      </c>
      <c r="BZ473" s="16" t="str">
        <f>IFERROR(__xludf.DUMMYFUNCTION("""COMPUTED_VALUE"""),"D")</f>
        <v>D</v>
      </c>
      <c r="CA473" s="16" t="str">
        <f>IFERROR(__xludf.DUMMYFUNCTION("""COMPUTED_VALUE"""),"D")</f>
        <v>D</v>
      </c>
      <c r="CB473" s="16">
        <f>IFERROR(__xludf.DUMMYFUNCTION("""COMPUTED_VALUE"""),0.0)</f>
        <v>0</v>
      </c>
      <c r="CC473" s="16">
        <f>IFERROR(__xludf.DUMMYFUNCTION("""COMPUTED_VALUE"""),0.0)</f>
        <v>0</v>
      </c>
      <c r="CD473" s="16">
        <f>IFERROR(__xludf.DUMMYFUNCTION("""COMPUTED_VALUE"""),0.0)</f>
        <v>0</v>
      </c>
      <c r="CE473" s="16">
        <f>IFERROR(__xludf.DUMMYFUNCTION("""COMPUTED_VALUE"""),0.0)</f>
        <v>0</v>
      </c>
      <c r="CF473" s="16">
        <f>IFERROR(__xludf.DUMMYFUNCTION("""COMPUTED_VALUE"""),1.0)</f>
        <v>1</v>
      </c>
      <c r="CG473" s="16">
        <f>IFERROR(__xludf.DUMMYFUNCTION("""COMPUTED_VALUE"""),-22.0)</f>
        <v>-22</v>
      </c>
      <c r="CH473" s="16">
        <f>IFERROR(__xludf.DUMMYFUNCTION("""COMPUTED_VALUE"""),-46.0)</f>
        <v>-46</v>
      </c>
      <c r="CI473" s="179">
        <f>IFERROR(__xludf.DUMMYFUNCTION("""COMPUTED_VALUE"""),-39.0)</f>
        <v>-39</v>
      </c>
      <c r="CJ473" s="16"/>
      <c r="CK473" s="16">
        <f>IFERROR(__xludf.DUMMYFUNCTION("""COMPUTED_VALUE"""),425.0)</f>
        <v>425</v>
      </c>
      <c r="CL473" s="16">
        <f>IFERROR(__xludf.DUMMYFUNCTION("""COMPUTED_VALUE"""),418.0)</f>
        <v>418</v>
      </c>
      <c r="CM473" s="16">
        <f>IFERROR(__xludf.DUMMYFUNCTION("""COMPUTED_VALUE"""),465.0)</f>
        <v>465</v>
      </c>
      <c r="CN473" s="16">
        <f>IFERROR(__xludf.DUMMYFUNCTION("""COMPUTED_VALUE"""),421.0)</f>
        <v>421</v>
      </c>
      <c r="CO473" s="16"/>
      <c r="CP473" s="16"/>
      <c r="CQ473" s="16"/>
      <c r="CR473" s="16" t="str">
        <f>IFERROR(__xludf.DUMMYFUNCTION("""COMPUTED_VALUE"""),"3b-4e65 2b-4e18 1b-4e25 ss-4e21")</f>
        <v>3b-4e65 2b-4e18 1b-4e25 ss-4e21</v>
      </c>
      <c r="CS473" s="16"/>
      <c r="CT473" s="16">
        <f>IFERROR(__xludf.DUMMYFUNCTION("""COMPUTED_VALUE"""),4.0)</f>
        <v>4</v>
      </c>
      <c r="CU473" s="16">
        <f>IFERROR(__xludf.DUMMYFUNCTION("""COMPUTED_VALUE"""),4.0)</f>
        <v>4</v>
      </c>
      <c r="CV473" s="16">
        <f>IFERROR(__xludf.DUMMYFUNCTION("""COMPUTED_VALUE"""),4.0)</f>
        <v>4</v>
      </c>
      <c r="CW473" s="16">
        <f>IFERROR(__xludf.DUMMYFUNCTION("""COMPUTED_VALUE"""),4.0)</f>
        <v>4</v>
      </c>
      <c r="CX473" s="16"/>
      <c r="CY473" s="16"/>
      <c r="CZ473" s="16"/>
      <c r="DA473" s="16"/>
      <c r="DB473" s="16">
        <f>IFERROR(__xludf.DUMMYFUNCTION("""COMPUTED_VALUE"""),25.0)</f>
        <v>25</v>
      </c>
      <c r="DC473" s="16">
        <f>IFERROR(__xludf.DUMMYFUNCTION("""COMPUTED_VALUE"""),18.0)</f>
        <v>18</v>
      </c>
      <c r="DD473" s="16">
        <f>IFERROR(__xludf.DUMMYFUNCTION("""COMPUTED_VALUE"""),65.0)</f>
        <v>65</v>
      </c>
      <c r="DE473" s="16">
        <f>IFERROR(__xludf.DUMMYFUNCTION("""COMPUTED_VALUE"""),21.0)</f>
        <v>21</v>
      </c>
      <c r="DF473" s="16"/>
      <c r="DG473" s="16"/>
      <c r="DH473" s="16"/>
      <c r="DI473" s="16"/>
      <c r="DJ473" s="16">
        <f>IFERROR(__xludf.DUMMYFUNCTION("""COMPUTED_VALUE"""),0.0)</f>
        <v>0</v>
      </c>
      <c r="DK473" s="16">
        <f>IFERROR(__xludf.DUMMYFUNCTION("""COMPUTED_VALUE"""),-2.0)</f>
        <v>-2</v>
      </c>
      <c r="DL473" s="16">
        <f>IFERROR(__xludf.DUMMYFUNCTION("""COMPUTED_VALUE"""),0.0)</f>
        <v>0</v>
      </c>
      <c r="DM473" s="16">
        <f>IFERROR(__xludf.DUMMYFUNCTION("""COMPUTED_VALUE"""),-2.0)</f>
        <v>-2</v>
      </c>
      <c r="DN473" s="16"/>
      <c r="DO473" s="16"/>
      <c r="DP473" s="16"/>
      <c r="DQ473" s="16"/>
      <c r="DR473" s="16">
        <f>IFERROR(__xludf.DUMMYFUNCTION("""COMPUTED_VALUE"""),-2.0)</f>
        <v>-2</v>
      </c>
      <c r="DS473" s="16">
        <f>IFERROR(__xludf.DUMMYFUNCTION("""COMPUTED_VALUE"""),2.0)</f>
        <v>2</v>
      </c>
      <c r="DT473" s="16">
        <f>IFERROR(__xludf.DUMMYFUNCTION("""COMPUTED_VALUE"""),-2.0)</f>
        <v>-2</v>
      </c>
      <c r="DU473" s="16">
        <f>IFERROR(__xludf.DUMMYFUNCTION("""COMPUTED_VALUE"""),0.0)</f>
        <v>0</v>
      </c>
      <c r="DV473" s="16"/>
      <c r="DW473" s="16"/>
      <c r="DX473" s="16"/>
      <c r="DY473" s="16"/>
      <c r="DZ473" s="16">
        <f>IFERROR(__xludf.DUMMYFUNCTION("""COMPUTED_VALUE"""),-2.0)</f>
        <v>-2</v>
      </c>
      <c r="EA473" s="16">
        <f>IFERROR(__xludf.DUMMYFUNCTION("""COMPUTED_VALUE"""),0.0)</f>
        <v>0</v>
      </c>
      <c r="EB473" s="16">
        <f>IFERROR(__xludf.DUMMYFUNCTION("""COMPUTED_VALUE"""),-2.0)</f>
        <v>-2</v>
      </c>
      <c r="EC473" s="16">
        <f>IFERROR(__xludf.DUMMYFUNCTION("""COMPUTED_VALUE"""),-2.0)</f>
        <v>-2</v>
      </c>
      <c r="ED473" s="16"/>
      <c r="EE473" s="16"/>
      <c r="EF473" s="16"/>
      <c r="EG473" s="179"/>
      <c r="EH473" s="179">
        <f>IFERROR(__xludf.DUMMYFUNCTION("""COMPUTED_VALUE"""),-41.0)</f>
        <v>-41</v>
      </c>
      <c r="EI473" s="179">
        <f>IFERROR(__xludf.DUMMYFUNCTION("""COMPUTED_VALUE"""),-39.0)</f>
        <v>-39</v>
      </c>
      <c r="EJ473" s="179">
        <f>IFERROR(__xludf.DUMMYFUNCTION("""COMPUTED_VALUE"""),-41.0)</f>
        <v>-41</v>
      </c>
      <c r="EK473" s="179">
        <f>IFERROR(__xludf.DUMMYFUNCTION("""COMPUTED_VALUE"""),-41.0)</f>
        <v>-41</v>
      </c>
      <c r="EL473" s="179"/>
      <c r="EM473" s="179"/>
      <c r="EN473" s="179"/>
      <c r="EO473" s="16"/>
      <c r="EP473" s="16"/>
      <c r="EQ473" s="16">
        <f>IFERROR(__xludf.DUMMYFUNCTION("""COMPUTED_VALUE"""),4.0)</f>
        <v>4</v>
      </c>
      <c r="ER473" s="16">
        <f>IFERROR(__xludf.DUMMYFUNCTION("""COMPUTED_VALUE"""),-4.0)</f>
        <v>-4</v>
      </c>
      <c r="ES473" s="16"/>
      <c r="ET473" s="16"/>
      <c r="EU473" s="16"/>
      <c r="EV473" s="16"/>
      <c r="EW473" s="16"/>
      <c r="EX473" s="180"/>
      <c r="EY473" s="180">
        <f>IFERROR(__xludf.DUMMYFUNCTION("""COMPUTED_VALUE"""),0.3)</f>
        <v>0.3</v>
      </c>
      <c r="EZ473" s="180">
        <f>IFERROR(__xludf.DUMMYFUNCTION("""COMPUTED_VALUE"""),0.3)</f>
        <v>0.3</v>
      </c>
      <c r="FA473" s="180">
        <f>IFERROR(__xludf.DUMMYFUNCTION("""COMPUTED_VALUE"""),0.3)</f>
        <v>0.3</v>
      </c>
      <c r="FB473" s="180">
        <f>IFERROR(__xludf.DUMMYFUNCTION("""COMPUTED_VALUE"""),0.3)</f>
        <v>0.3</v>
      </c>
      <c r="FC473" s="180"/>
      <c r="FD473" s="180"/>
      <c r="FE473" s="180"/>
      <c r="FF473" s="180"/>
      <c r="FG473" s="180">
        <f>IFERROR(__xludf.DUMMYFUNCTION("""COMPUTED_VALUE"""),0.44907407407407407)</f>
        <v>0.4490740741</v>
      </c>
      <c r="FH473" s="180">
        <f>IFERROR(__xludf.DUMMYFUNCTION("""COMPUTED_VALUE"""),0.10648148148148148)</f>
        <v>0.1064814815</v>
      </c>
      <c r="FI473" s="180">
        <f>IFERROR(__xludf.DUMMYFUNCTION("""COMPUTED_VALUE"""),0.7407407407407407)</f>
        <v>0.7407407407</v>
      </c>
      <c r="FJ473" s="180">
        <f>IFERROR(__xludf.DUMMYFUNCTION("""COMPUTED_VALUE"""),0.10648148148148148)</f>
        <v>0.1064814815</v>
      </c>
      <c r="FK473" s="180"/>
      <c r="FL473" s="180"/>
      <c r="FM473" s="180"/>
      <c r="FN473" s="16"/>
      <c r="FO473" s="16">
        <f>IFERROR(__xludf.DUMMYFUNCTION("""COMPUTED_VALUE"""),0.38564814814814813)</f>
        <v>0.3856481481</v>
      </c>
      <c r="FP473" s="16">
        <f>IFERROR(__xludf.DUMMYFUNCTION("""COMPUTED_VALUE"""),0.6254629629629629)</f>
        <v>0.625462963</v>
      </c>
      <c r="FQ473" s="16">
        <f>IFERROR(__xludf.DUMMYFUNCTION("""COMPUTED_VALUE"""),0.1814814814814815)</f>
        <v>0.1814814815</v>
      </c>
      <c r="FR473" s="16">
        <f>IFERROR(__xludf.DUMMYFUNCTION("""COMPUTED_VALUE"""),0.6254629629629629)</f>
        <v>0.625462963</v>
      </c>
      <c r="FS473" s="16"/>
      <c r="FT473" s="16"/>
      <c r="FU473" s="16"/>
      <c r="FV473" s="16"/>
      <c r="FW473" s="16">
        <f>IFERROR(__xludf.DUMMYFUNCTION("""COMPUTED_VALUE"""),-8.0)</f>
        <v>-8</v>
      </c>
      <c r="FX473" s="16">
        <f>IFERROR(__xludf.DUMMYFUNCTION("""COMPUTED_VALUE"""),-6.0)</f>
        <v>-6</v>
      </c>
      <c r="FY473" s="16">
        <f>IFERROR(__xludf.DUMMYFUNCTION("""COMPUTED_VALUE"""),-8.0)</f>
        <v>-8</v>
      </c>
      <c r="FZ473" s="16">
        <f>IFERROR(__xludf.DUMMYFUNCTION("""COMPUTED_VALUE"""),-6.0)</f>
        <v>-6</v>
      </c>
      <c r="GA473" s="16"/>
      <c r="GB473" s="16"/>
      <c r="GC473" s="16"/>
      <c r="GD473" s="16" t="s">
        <v>176</v>
      </c>
    </row>
    <row r="474">
      <c r="A474" s="16">
        <f>IFERROR(__xludf.DUMMYFUNCTION("""COMPUTED_VALUE"""),12586.0)</f>
        <v>12586</v>
      </c>
      <c r="B474" s="16" t="str">
        <f>IFERROR(__xludf.DUMMYFUNCTION("""COMPUTED_VALUE"""),"Bobby Dalbec")</f>
        <v>Bobby Dalbec</v>
      </c>
      <c r="C474" s="16">
        <f>IFERROR(__xludf.DUMMYFUNCTION("""COMPUTED_VALUE"""),0.0)</f>
        <v>0</v>
      </c>
      <c r="D474" s="16" t="str">
        <f>IFERROR(__xludf.DUMMYFUNCTION("""COMPUTED_VALUE"""),"R")</f>
        <v>R</v>
      </c>
      <c r="E474" s="16"/>
      <c r="F474" s="16"/>
      <c r="G474" s="16">
        <f>IFERROR(__xludf.DUMMYFUNCTION("""COMPUTED_VALUE"""),83.0)</f>
        <v>83</v>
      </c>
      <c r="H474" s="16">
        <f>IFERROR(__xludf.DUMMYFUNCTION("""COMPUTED_VALUE"""),8.0)</f>
        <v>8</v>
      </c>
      <c r="I474" s="16" t="str">
        <f>IFERROR(__xludf.DUMMYFUNCTION("""COMPUTED_VALUE"""),"1p20")</f>
        <v>1p20</v>
      </c>
      <c r="J474" s="16">
        <f>IFERROR(__xludf.DUMMYFUNCTION("""COMPUTED_VALUE"""),86.0)</f>
        <v>86</v>
      </c>
      <c r="K474" s="16">
        <f>IFERROR(__xludf.DUMMYFUNCTION("""COMPUTED_VALUE"""),67.0)</f>
        <v>67</v>
      </c>
      <c r="L474" s="16">
        <f>IFERROR(__xludf.DUMMYFUNCTION("""COMPUTED_VALUE"""),-3.0)</f>
        <v>-3</v>
      </c>
      <c r="M474" s="16">
        <f>IFERROR(__xludf.DUMMYFUNCTION("""COMPUTED_VALUE"""),-3.0)</f>
        <v>-3</v>
      </c>
      <c r="N474" s="16">
        <f>IFERROR(__xludf.DUMMYFUNCTION("""COMPUTED_VALUE"""),-3.0)</f>
        <v>-3</v>
      </c>
      <c r="O474" s="16">
        <f>IFERROR(__xludf.DUMMYFUNCTION("""COMPUTED_VALUE"""),-3.0)</f>
        <v>-3</v>
      </c>
      <c r="P474" s="16">
        <f>IFERROR(__xludf.DUMMYFUNCTION("""COMPUTED_VALUE"""),8.0)</f>
        <v>8</v>
      </c>
      <c r="Q474" s="16">
        <f>IFERROR(__xludf.DUMMYFUNCTION("""COMPUTED_VALUE"""),13.0)</f>
        <v>13</v>
      </c>
      <c r="R474" s="16">
        <f>IFERROR(__xludf.DUMMYFUNCTION("""COMPUTED_VALUE"""),0.0)</f>
        <v>0</v>
      </c>
      <c r="S474" s="16">
        <f>IFERROR(__xludf.DUMMYFUNCTION("""COMPUTED_VALUE"""),1.0)</f>
        <v>1</v>
      </c>
      <c r="T474" s="16">
        <f>IFERROR(__xludf.DUMMYFUNCTION("""COMPUTED_VALUE"""),0.0)</f>
        <v>0</v>
      </c>
      <c r="U474" s="16">
        <f>IFERROR(__xludf.DUMMYFUNCTION("""COMPUTED_VALUE"""),1.0)</f>
        <v>1</v>
      </c>
      <c r="V474" s="16">
        <f>IFERROR(__xludf.DUMMYFUNCTION("""COMPUTED_VALUE"""),0.6)</f>
        <v>0.6</v>
      </c>
      <c r="W474" s="16">
        <f>IFERROR(__xludf.DUMMYFUNCTION("""COMPUTED_VALUE"""),0.9)</f>
        <v>0.9</v>
      </c>
      <c r="X474" s="16">
        <f>IFERROR(__xludf.DUMMYFUNCTION("""COMPUTED_VALUE"""),-2.0)</f>
        <v>-2</v>
      </c>
      <c r="Y474" s="16">
        <f>IFERROR(__xludf.DUMMYFUNCTION("""COMPUTED_VALUE"""),-3.0)</f>
        <v>-3</v>
      </c>
      <c r="Z474" s="16">
        <f>IFERROR(__xludf.DUMMYFUNCTION("""COMPUTED_VALUE"""),-4.0)</f>
        <v>-4</v>
      </c>
      <c r="AA474" s="16">
        <f>IFERROR(__xludf.DUMMYFUNCTION("""COMPUTED_VALUE"""),-6.0)</f>
        <v>-6</v>
      </c>
      <c r="AB474" s="16">
        <f>IFERROR(__xludf.DUMMYFUNCTION("""COMPUTED_VALUE"""),10.6)</f>
        <v>10.6</v>
      </c>
      <c r="AC474" s="16">
        <f>IFERROR(__xludf.DUMMYFUNCTION("""COMPUTED_VALUE"""),15.9)</f>
        <v>15.9</v>
      </c>
      <c r="AD474" s="16">
        <f>IFERROR(__xludf.DUMMYFUNCTION("""COMPUTED_VALUE"""),-2.0)</f>
        <v>-2</v>
      </c>
      <c r="AE474" s="16">
        <f>IFERROR(__xludf.DUMMYFUNCTION("""COMPUTED_VALUE"""),-2.0)</f>
        <v>-2</v>
      </c>
      <c r="AF474" s="16">
        <f>IFERROR(__xludf.DUMMYFUNCTION("""COMPUTED_VALUE"""),-10.0)</f>
        <v>-10</v>
      </c>
      <c r="AG474" s="16">
        <f>IFERROR(__xludf.DUMMYFUNCTION("""COMPUTED_VALUE"""),-10.0)</f>
        <v>-10</v>
      </c>
      <c r="AH474" s="16">
        <f>IFERROR(__xludf.DUMMYFUNCTION("""COMPUTED_VALUE"""),1.2)</f>
        <v>1.2</v>
      </c>
      <c r="AI474" s="16">
        <f>IFERROR(__xludf.DUMMYFUNCTION("""COMPUTED_VALUE"""),3.6)</f>
        <v>3.6</v>
      </c>
      <c r="AJ474" s="16">
        <f>IFERROR(__xludf.DUMMYFUNCTION("""COMPUTED_VALUE"""),-2.0)</f>
        <v>-2</v>
      </c>
      <c r="AK474" s="16">
        <f>IFERROR(__xludf.DUMMYFUNCTION("""COMPUTED_VALUE"""),-3.0)</f>
        <v>-3</v>
      </c>
      <c r="AL474" s="16">
        <f>IFERROR(__xludf.DUMMYFUNCTION("""COMPUTED_VALUE"""),-10.0)</f>
        <v>-10</v>
      </c>
      <c r="AM474" s="16">
        <f>IFERROR(__xludf.DUMMYFUNCTION("""COMPUTED_VALUE"""),-15.0)</f>
        <v>-15</v>
      </c>
      <c r="AN474" s="16">
        <f>IFERROR(__xludf.DUMMYFUNCTION("""COMPUTED_VALUE"""),0.0)</f>
        <v>0</v>
      </c>
      <c r="AO474" s="16">
        <f>IFERROR(__xludf.DUMMYFUNCTION("""COMPUTED_VALUE"""),0.9)</f>
        <v>0.9</v>
      </c>
      <c r="AP474" s="16">
        <f>IFERROR(__xludf.DUMMYFUNCTION("""COMPUTED_VALUE"""),-2.0)</f>
        <v>-2</v>
      </c>
      <c r="AQ474" s="16">
        <f>IFERROR(__xludf.DUMMYFUNCTION("""COMPUTED_VALUE"""),-2.0)</f>
        <v>-2</v>
      </c>
      <c r="AR474" s="16">
        <f>IFERROR(__xludf.DUMMYFUNCTION("""COMPUTED_VALUE"""),-4.0)</f>
        <v>-4</v>
      </c>
      <c r="AS474" s="16">
        <f>IFERROR(__xludf.DUMMYFUNCTION("""COMPUTED_VALUE"""),-4.0)</f>
        <v>-4</v>
      </c>
      <c r="AT474" s="16"/>
      <c r="AU474" s="16"/>
      <c r="AV474" s="16">
        <f>IFERROR(__xludf.DUMMYFUNCTION("""COMPUTED_VALUE"""),-3.0)</f>
        <v>-3</v>
      </c>
      <c r="AW474" s="16">
        <f>IFERROR(__xludf.DUMMYFUNCTION("""COMPUTED_VALUE"""),0.0)</f>
        <v>0</v>
      </c>
      <c r="AX474" s="16">
        <f>IFERROR(__xludf.DUMMYFUNCTION("""COMPUTED_VALUE"""),-3.0)</f>
        <v>-3</v>
      </c>
      <c r="AY474" s="16">
        <f>IFERROR(__xludf.DUMMYFUNCTION("""COMPUTED_VALUE"""),-2.0)</f>
        <v>-2</v>
      </c>
      <c r="AZ474" s="16">
        <f>IFERROR(__xludf.DUMMYFUNCTION("""COMPUTED_VALUE"""),-9.0)</f>
        <v>-9</v>
      </c>
      <c r="BA474" s="16">
        <f>IFERROR(__xludf.DUMMYFUNCTION("""COMPUTED_VALUE"""),-6.0)</f>
        <v>-6</v>
      </c>
      <c r="BB474" s="16">
        <f>IFERROR(__xludf.DUMMYFUNCTION("""COMPUTED_VALUE"""),0.0)</f>
        <v>0</v>
      </c>
      <c r="BC474" s="16">
        <f>IFERROR(__xludf.DUMMYFUNCTION("""COMPUTED_VALUE"""),0.0)</f>
        <v>0</v>
      </c>
      <c r="BD474" s="16">
        <f>IFERROR(__xludf.DUMMYFUNCTION("""COMPUTED_VALUE"""),0.0)</f>
        <v>0</v>
      </c>
      <c r="BE474" s="16">
        <f>IFERROR(__xludf.DUMMYFUNCTION("""COMPUTED_VALUE"""),0.0)</f>
        <v>0</v>
      </c>
      <c r="BF474" s="16">
        <f>IFERROR(__xludf.DUMMYFUNCTION("""COMPUTED_VALUE"""),0.0)</f>
        <v>0</v>
      </c>
      <c r="BG474" s="16">
        <f>IFERROR(__xludf.DUMMYFUNCTION("""COMPUTED_VALUE"""),0.0)</f>
        <v>0</v>
      </c>
      <c r="BH474" s="16">
        <f>IFERROR(__xludf.DUMMYFUNCTION("""COMPUTED_VALUE"""),0.0)</f>
        <v>0</v>
      </c>
      <c r="BI474" s="16">
        <f>IFERROR(__xludf.DUMMYFUNCTION("""COMPUTED_VALUE"""),0.0)</f>
        <v>0</v>
      </c>
      <c r="BJ474" s="16">
        <f>IFERROR(__xludf.DUMMYFUNCTION("""COMPUTED_VALUE"""),6.0)</f>
        <v>6</v>
      </c>
      <c r="BK474" s="16">
        <f>IFERROR(__xludf.DUMMYFUNCTION("""COMPUTED_VALUE"""),6.0)</f>
        <v>6</v>
      </c>
      <c r="BL474" s="16">
        <f>IFERROR(__xludf.DUMMYFUNCTION("""COMPUTED_VALUE"""),1.0)</f>
        <v>1</v>
      </c>
      <c r="BM474" s="16">
        <f>IFERROR(__xludf.DUMMYFUNCTION("""COMPUTED_VALUE"""),1.0)</f>
        <v>1</v>
      </c>
      <c r="BN474" s="16">
        <f>IFERROR(__xludf.DUMMYFUNCTION("""COMPUTED_VALUE"""),1.0)</f>
        <v>1</v>
      </c>
      <c r="BO474" s="16">
        <f>IFERROR(__xludf.DUMMYFUNCTION("""COMPUTED_VALUE"""),1.0)</f>
        <v>1</v>
      </c>
      <c r="BP474" s="16">
        <f>IFERROR(__xludf.DUMMYFUNCTION("""COMPUTED_VALUE"""),-13.0)</f>
        <v>-13</v>
      </c>
      <c r="BQ474" s="16">
        <f>IFERROR(__xludf.DUMMYFUNCTION("""COMPUTED_VALUE"""),-13.0)</f>
        <v>-13</v>
      </c>
      <c r="BR474" s="16">
        <f>IFERROR(__xludf.DUMMYFUNCTION("""COMPUTED_VALUE"""),-26.0)</f>
        <v>-26</v>
      </c>
      <c r="BS474" s="16" t="str">
        <f>IFERROR(__xludf.DUMMYFUNCTION("""COMPUTED_VALUE"""),"*5/- (20-12)")</f>
        <v>*5/- (20-12)</v>
      </c>
      <c r="BT474" s="16" t="str">
        <f>IFERROR(__xludf.DUMMYFUNCTION("""COMPUTED_VALUE"""),"B")</f>
        <v>B</v>
      </c>
      <c r="BU474" s="16">
        <f>IFERROR(__xludf.DUMMYFUNCTION("""COMPUTED_VALUE"""),14.0)</f>
        <v>14</v>
      </c>
      <c r="BV474" s="16">
        <f>IFERROR(__xludf.DUMMYFUNCTION("""COMPUTED_VALUE"""),1.0)</f>
        <v>1</v>
      </c>
      <c r="BW474" s="16">
        <f>IFERROR(__xludf.DUMMYFUNCTION("""COMPUTED_VALUE"""),1.0)</f>
        <v>1</v>
      </c>
      <c r="BX474" s="16">
        <f>IFERROR(__xludf.DUMMYFUNCTION("""COMPUTED_VALUE"""),2.0)</f>
        <v>2</v>
      </c>
      <c r="BY474" s="16">
        <f>IFERROR(__xludf.DUMMYFUNCTION("""COMPUTED_VALUE"""),3.0)</f>
        <v>3</v>
      </c>
      <c r="BZ474" s="16" t="str">
        <f>IFERROR(__xludf.DUMMYFUNCTION("""COMPUTED_VALUE"""),"D")</f>
        <v>D</v>
      </c>
      <c r="CA474" s="16" t="str">
        <f>IFERROR(__xludf.DUMMYFUNCTION("""COMPUTED_VALUE"""),"D")</f>
        <v>D</v>
      </c>
      <c r="CB474" s="16">
        <f>IFERROR(__xludf.DUMMYFUNCTION("""COMPUTED_VALUE"""),0.0)</f>
        <v>0</v>
      </c>
      <c r="CC474" s="16">
        <f>IFERROR(__xludf.DUMMYFUNCTION("""COMPUTED_VALUE"""),0.0)</f>
        <v>0</v>
      </c>
      <c r="CD474" s="16">
        <f>IFERROR(__xludf.DUMMYFUNCTION("""COMPUTED_VALUE"""),0.0)</f>
        <v>0</v>
      </c>
      <c r="CE474" s="16">
        <f>IFERROR(__xludf.DUMMYFUNCTION("""COMPUTED_VALUE"""),0.0)</f>
        <v>0</v>
      </c>
      <c r="CF474" s="16">
        <f>IFERROR(__xludf.DUMMYFUNCTION("""COMPUTED_VALUE"""),1.0)</f>
        <v>1</v>
      </c>
      <c r="CG474" s="16">
        <f>IFERROR(__xludf.DUMMYFUNCTION("""COMPUTED_VALUE"""),-39.0)</f>
        <v>-39</v>
      </c>
      <c r="CH474" s="16">
        <f>IFERROR(__xludf.DUMMYFUNCTION("""COMPUTED_VALUE"""),-42.0)</f>
        <v>-42</v>
      </c>
      <c r="CI474" s="179">
        <f>IFERROR(__xludf.DUMMYFUNCTION("""COMPUTED_VALUE"""),-40.0)</f>
        <v>-40</v>
      </c>
      <c r="CJ474" s="16"/>
      <c r="CK474" s="16">
        <f>IFERROR(__xludf.DUMMYFUNCTION("""COMPUTED_VALUE"""),303.0)</f>
        <v>303</v>
      </c>
      <c r="CL474" s="16"/>
      <c r="CM474" s="16">
        <f>IFERROR(__xludf.DUMMYFUNCTION("""COMPUTED_VALUE"""),313.0)</f>
        <v>313</v>
      </c>
      <c r="CN474" s="16"/>
      <c r="CO474" s="16"/>
      <c r="CP474" s="16"/>
      <c r="CQ474" s="16">
        <f>IFERROR(__xludf.DUMMYFUNCTION("""COMPUTED_VALUE"""),410.0)</f>
        <v>410</v>
      </c>
      <c r="CR474" s="16" t="str">
        <f>IFERROR(__xludf.DUMMYFUNCTION("""COMPUTED_VALUE"""),"1b-3e3 3b-3e13 rf-4(0)e10")</f>
        <v>1b-3e3 3b-3e13 rf-4(0)e10</v>
      </c>
      <c r="CS474" s="16"/>
      <c r="CT474" s="16">
        <f>IFERROR(__xludf.DUMMYFUNCTION("""COMPUTED_VALUE"""),3.0)</f>
        <v>3</v>
      </c>
      <c r="CU474" s="16"/>
      <c r="CV474" s="16">
        <f>IFERROR(__xludf.DUMMYFUNCTION("""COMPUTED_VALUE"""),3.0)</f>
        <v>3</v>
      </c>
      <c r="CW474" s="16"/>
      <c r="CX474" s="16"/>
      <c r="CY474" s="16"/>
      <c r="CZ474" s="16">
        <f>IFERROR(__xludf.DUMMYFUNCTION("""COMPUTED_VALUE"""),4.0)</f>
        <v>4</v>
      </c>
      <c r="DA474" s="16"/>
      <c r="DB474" s="16">
        <f>IFERROR(__xludf.DUMMYFUNCTION("""COMPUTED_VALUE"""),3.0)</f>
        <v>3</v>
      </c>
      <c r="DC474" s="16"/>
      <c r="DD474" s="16">
        <f>IFERROR(__xludf.DUMMYFUNCTION("""COMPUTED_VALUE"""),13.0)</f>
        <v>13</v>
      </c>
      <c r="DE474" s="16"/>
      <c r="DF474" s="16"/>
      <c r="DG474" s="16"/>
      <c r="DH474" s="16">
        <f>IFERROR(__xludf.DUMMYFUNCTION("""COMPUTED_VALUE"""),10.0)</f>
        <v>10</v>
      </c>
      <c r="DI474" s="16"/>
      <c r="DJ474" s="16">
        <f>IFERROR(__xludf.DUMMYFUNCTION("""COMPUTED_VALUE"""),1.0)</f>
        <v>1</v>
      </c>
      <c r="DK474" s="16"/>
      <c r="DL474" s="16">
        <f>IFERROR(__xludf.DUMMYFUNCTION("""COMPUTED_VALUE"""),1.0)</f>
        <v>1</v>
      </c>
      <c r="DM474" s="16"/>
      <c r="DN474" s="16"/>
      <c r="DO474" s="16"/>
      <c r="DP474" s="16">
        <f>IFERROR(__xludf.DUMMYFUNCTION("""COMPUTED_VALUE"""),-1.0)</f>
        <v>-1</v>
      </c>
      <c r="DQ474" s="16"/>
      <c r="DR474" s="16">
        <f>IFERROR(__xludf.DUMMYFUNCTION("""COMPUTED_VALUE"""),4.0)</f>
        <v>4</v>
      </c>
      <c r="DS474" s="16"/>
      <c r="DT474" s="16">
        <f>IFERROR(__xludf.DUMMYFUNCTION("""COMPUTED_VALUE"""),1.0)</f>
        <v>1</v>
      </c>
      <c r="DU474" s="16"/>
      <c r="DV474" s="16"/>
      <c r="DW474" s="16"/>
      <c r="DX474" s="16">
        <f>IFERROR(__xludf.DUMMYFUNCTION("""COMPUTED_VALUE"""),0.0)</f>
        <v>0</v>
      </c>
      <c r="DY474" s="16"/>
      <c r="DZ474" s="16">
        <f>IFERROR(__xludf.DUMMYFUNCTION("""COMPUTED_VALUE"""),5.0)</f>
        <v>5</v>
      </c>
      <c r="EA474" s="16"/>
      <c r="EB474" s="16">
        <f>IFERROR(__xludf.DUMMYFUNCTION("""COMPUTED_VALUE"""),2.0)</f>
        <v>2</v>
      </c>
      <c r="EC474" s="16"/>
      <c r="ED474" s="16"/>
      <c r="EE474" s="16"/>
      <c r="EF474" s="16">
        <f>IFERROR(__xludf.DUMMYFUNCTION("""COMPUTED_VALUE"""),-1.0)</f>
        <v>-1</v>
      </c>
      <c r="EG474" s="179"/>
      <c r="EH474" s="179">
        <f>IFERROR(__xludf.DUMMYFUNCTION("""COMPUTED_VALUE"""),-35.0)</f>
        <v>-35</v>
      </c>
      <c r="EI474" s="179"/>
      <c r="EJ474" s="179">
        <f>IFERROR(__xludf.DUMMYFUNCTION("""COMPUTED_VALUE"""),-38.0)</f>
        <v>-38</v>
      </c>
      <c r="EK474" s="179"/>
      <c r="EL474" s="179"/>
      <c r="EM474" s="179"/>
      <c r="EN474" s="179">
        <f>IFERROR(__xludf.DUMMYFUNCTION("""COMPUTED_VALUE"""),-41.0)</f>
        <v>-41</v>
      </c>
      <c r="EO474" s="16"/>
      <c r="EP474" s="16"/>
      <c r="EQ474" s="16">
        <f>IFERROR(__xludf.DUMMYFUNCTION("""COMPUTED_VALUE"""),4.0)</f>
        <v>4</v>
      </c>
      <c r="ER474" s="16">
        <f>IFERROR(__xludf.DUMMYFUNCTION("""COMPUTED_VALUE"""),-4.0)</f>
        <v>-4</v>
      </c>
      <c r="ES474" s="16"/>
      <c r="ET474" s="16"/>
      <c r="EU474" s="16"/>
      <c r="EV474" s="16"/>
      <c r="EW474" s="16"/>
      <c r="EX474" s="180"/>
      <c r="EY474" s="180">
        <f>IFERROR(__xludf.DUMMYFUNCTION("""COMPUTED_VALUE"""),0.2)</f>
        <v>0.2</v>
      </c>
      <c r="EZ474" s="180"/>
      <c r="FA474" s="180">
        <f>IFERROR(__xludf.DUMMYFUNCTION("""COMPUTED_VALUE"""),0.2)</f>
        <v>0.2</v>
      </c>
      <c r="FB474" s="180"/>
      <c r="FC474" s="180"/>
      <c r="FD474" s="180"/>
      <c r="FE474" s="180">
        <f>IFERROR(__xludf.DUMMYFUNCTION("""COMPUTED_VALUE"""),0.55)</f>
        <v>0.55</v>
      </c>
      <c r="FF474" s="180"/>
      <c r="FG474" s="180">
        <f>IFERROR(__xludf.DUMMYFUNCTION("""COMPUTED_VALUE"""),0.05555555555555555)</f>
        <v>0.05555555556</v>
      </c>
      <c r="FH474" s="180"/>
      <c r="FI474" s="180">
        <f>IFERROR(__xludf.DUMMYFUNCTION("""COMPUTED_VALUE"""),0.1574074074074074)</f>
        <v>0.1574074074</v>
      </c>
      <c r="FJ474" s="180"/>
      <c r="FK474" s="180"/>
      <c r="FL474" s="180"/>
      <c r="FM474" s="180">
        <f>IFERROR(__xludf.DUMMYFUNCTION("""COMPUTED_VALUE"""),0.181)</f>
        <v>0.181</v>
      </c>
      <c r="FN474" s="16"/>
      <c r="FO474" s="16">
        <f>IFERROR(__xludf.DUMMYFUNCTION("""COMPUTED_VALUE"""),0.7555555555555555)</f>
        <v>0.7555555556</v>
      </c>
      <c r="FP474" s="16"/>
      <c r="FQ474" s="16">
        <f>IFERROR(__xludf.DUMMYFUNCTION("""COMPUTED_VALUE"""),0.674074074074074)</f>
        <v>0.6740740741</v>
      </c>
      <c r="FR474" s="16"/>
      <c r="FS474" s="16"/>
      <c r="FT474" s="16"/>
      <c r="FU474" s="16">
        <f>IFERROR(__xludf.DUMMYFUNCTION("""COMPUTED_VALUE"""),0.36854999999999993)</f>
        <v>0.36855</v>
      </c>
      <c r="FV474" s="16"/>
      <c r="FW474" s="16">
        <f>IFERROR(__xludf.DUMMYFUNCTION("""COMPUTED_VALUE"""),-1.0)</f>
        <v>-1</v>
      </c>
      <c r="FX474" s="16"/>
      <c r="FY474" s="16">
        <f>IFERROR(__xludf.DUMMYFUNCTION("""COMPUTED_VALUE"""),-4.0)</f>
        <v>-4</v>
      </c>
      <c r="FZ474" s="16"/>
      <c r="GA474" s="16"/>
      <c r="GB474" s="16"/>
      <c r="GC474" s="16">
        <f>IFERROR(__xludf.DUMMYFUNCTION("""COMPUTED_VALUE"""),-8.0)</f>
        <v>-8</v>
      </c>
      <c r="GD474" s="16" t="s">
        <v>176</v>
      </c>
    </row>
    <row r="475">
      <c r="A475" s="16">
        <f>IFERROR(__xludf.DUMMYFUNCTION("""COMPUTED_VALUE"""),13159.0)</f>
        <v>13159</v>
      </c>
      <c r="B475" s="16" t="str">
        <f>IFERROR(__xludf.DUMMYFUNCTION("""COMPUTED_VALUE"""),"Martin Maldonado")</f>
        <v>Martin Maldonado</v>
      </c>
      <c r="C475" s="16">
        <f>IFERROR(__xludf.DUMMYFUNCTION("""COMPUTED_VALUE"""),0.0)</f>
        <v>0</v>
      </c>
      <c r="D475" s="16" t="str">
        <f>IFERROR(__xludf.DUMMYFUNCTION("""COMPUTED_VALUE"""),"R")</f>
        <v>R</v>
      </c>
      <c r="E475" s="16"/>
      <c r="F475" s="16"/>
      <c r="G475" s="16">
        <f>IFERROR(__xludf.DUMMYFUNCTION("""COMPUTED_VALUE"""),135.0)</f>
        <v>135</v>
      </c>
      <c r="H475" s="16">
        <f>IFERROR(__xludf.DUMMYFUNCTION("""COMPUTED_VALUE"""),8.0)</f>
        <v>8</v>
      </c>
      <c r="I475" s="16" t="str">
        <f>IFERROR(__xludf.DUMMYFUNCTION("""COMPUTED_VALUE"""),"2p30")</f>
        <v>2p30</v>
      </c>
      <c r="J475" s="16">
        <f>IFERROR(__xludf.DUMMYFUNCTION("""COMPUTED_VALUE"""),54.0)</f>
        <v>54</v>
      </c>
      <c r="K475" s="16">
        <f>IFERROR(__xludf.DUMMYFUNCTION("""COMPUTED_VALUE"""),49.0)</f>
        <v>49</v>
      </c>
      <c r="L475" s="16">
        <f>IFERROR(__xludf.DUMMYFUNCTION("""COMPUTED_VALUE"""),-2.0)</f>
        <v>-2</v>
      </c>
      <c r="M475" s="16">
        <f>IFERROR(__xludf.DUMMYFUNCTION("""COMPUTED_VALUE"""),-2.0)</f>
        <v>-2</v>
      </c>
      <c r="N475" s="16">
        <f>IFERROR(__xludf.DUMMYFUNCTION("""COMPUTED_VALUE"""),-2.0)</f>
        <v>-2</v>
      </c>
      <c r="O475" s="16">
        <f>IFERROR(__xludf.DUMMYFUNCTION("""COMPUTED_VALUE"""),-2.0)</f>
        <v>-2</v>
      </c>
      <c r="P475" s="16">
        <f>IFERROR(__xludf.DUMMYFUNCTION("""COMPUTED_VALUE"""),1.0)</f>
        <v>1</v>
      </c>
      <c r="Q475" s="16">
        <f>IFERROR(__xludf.DUMMYFUNCTION("""COMPUTED_VALUE"""),5.0)</f>
        <v>5</v>
      </c>
      <c r="R475" s="16">
        <f>IFERROR(__xludf.DUMMYFUNCTION("""COMPUTED_VALUE"""),-2.0)</f>
        <v>-2</v>
      </c>
      <c r="S475" s="16">
        <f>IFERROR(__xludf.DUMMYFUNCTION("""COMPUTED_VALUE"""),-1.0)</f>
        <v>-1</v>
      </c>
      <c r="T475" s="16">
        <f>IFERROR(__xludf.DUMMYFUNCTION("""COMPUTED_VALUE"""),-2.0)</f>
        <v>-2</v>
      </c>
      <c r="U475" s="16">
        <f>IFERROR(__xludf.DUMMYFUNCTION("""COMPUTED_VALUE"""),-1.0)</f>
        <v>-1</v>
      </c>
      <c r="V475" s="16">
        <f>IFERROR(__xludf.DUMMYFUNCTION("""COMPUTED_VALUE"""),1.0)</f>
        <v>1</v>
      </c>
      <c r="W475" s="16">
        <f>IFERROR(__xludf.DUMMYFUNCTION("""COMPUTED_VALUE"""),3.1)</f>
        <v>3.1</v>
      </c>
      <c r="X475" s="16">
        <f>IFERROR(__xludf.DUMMYFUNCTION("""COMPUTED_VALUE"""),-2.0)</f>
        <v>-2</v>
      </c>
      <c r="Y475" s="16">
        <f>IFERROR(__xludf.DUMMYFUNCTION("""COMPUTED_VALUE"""),-3.0)</f>
        <v>-3</v>
      </c>
      <c r="Z475" s="16">
        <f>IFERROR(__xludf.DUMMYFUNCTION("""COMPUTED_VALUE"""),-4.0)</f>
        <v>-4</v>
      </c>
      <c r="AA475" s="16">
        <f>IFERROR(__xludf.DUMMYFUNCTION("""COMPUTED_VALUE"""),-6.0)</f>
        <v>-6</v>
      </c>
      <c r="AB475" s="16">
        <f>IFERROR(__xludf.DUMMYFUNCTION("""COMPUTED_VALUE"""),4.1)</f>
        <v>4.1</v>
      </c>
      <c r="AC475" s="16">
        <f>IFERROR(__xludf.DUMMYFUNCTION("""COMPUTED_VALUE"""),10.1)</f>
        <v>10.1</v>
      </c>
      <c r="AD475" s="16">
        <f>IFERROR(__xludf.DUMMYFUNCTION("""COMPUTED_VALUE"""),-3.0)</f>
        <v>-3</v>
      </c>
      <c r="AE475" s="16">
        <f>IFERROR(__xludf.DUMMYFUNCTION("""COMPUTED_VALUE"""),-3.0)</f>
        <v>-3</v>
      </c>
      <c r="AF475" s="16">
        <f>IFERROR(__xludf.DUMMYFUNCTION("""COMPUTED_VALUE"""),-15.0)</f>
        <v>-15</v>
      </c>
      <c r="AG475" s="16">
        <f>IFERROR(__xludf.DUMMYFUNCTION("""COMPUTED_VALUE"""),-15.0)</f>
        <v>-15</v>
      </c>
      <c r="AH475" s="16">
        <f>IFERROR(__xludf.DUMMYFUNCTION("""COMPUTED_VALUE"""),4.2)</f>
        <v>4.2</v>
      </c>
      <c r="AI475" s="16">
        <f>IFERROR(__xludf.DUMMYFUNCTION("""COMPUTED_VALUE"""),10.0)</f>
        <v>10</v>
      </c>
      <c r="AJ475" s="16">
        <f>IFERROR(__xludf.DUMMYFUNCTION("""COMPUTED_VALUE"""),-2.0)</f>
        <v>-2</v>
      </c>
      <c r="AK475" s="16">
        <f>IFERROR(__xludf.DUMMYFUNCTION("""COMPUTED_VALUE"""),-2.0)</f>
        <v>-2</v>
      </c>
      <c r="AL475" s="16">
        <f>IFERROR(__xludf.DUMMYFUNCTION("""COMPUTED_VALUE"""),-10.0)</f>
        <v>-10</v>
      </c>
      <c r="AM475" s="16">
        <f>IFERROR(__xludf.DUMMYFUNCTION("""COMPUTED_VALUE"""),-10.0)</f>
        <v>-10</v>
      </c>
      <c r="AN475" s="16">
        <f>IFERROR(__xludf.DUMMYFUNCTION("""COMPUTED_VALUE"""),1.0)</f>
        <v>1</v>
      </c>
      <c r="AO475" s="16">
        <f>IFERROR(__xludf.DUMMYFUNCTION("""COMPUTED_VALUE"""),1.9)</f>
        <v>1.9</v>
      </c>
      <c r="AP475" s="16">
        <f>IFERROR(__xludf.DUMMYFUNCTION("""COMPUTED_VALUE"""),-2.0)</f>
        <v>-2</v>
      </c>
      <c r="AQ475" s="16">
        <f>IFERROR(__xludf.DUMMYFUNCTION("""COMPUTED_VALUE"""),-1.0)</f>
        <v>-1</v>
      </c>
      <c r="AR475" s="16">
        <f>IFERROR(__xludf.DUMMYFUNCTION("""COMPUTED_VALUE"""),-4.0)</f>
        <v>-4</v>
      </c>
      <c r="AS475" s="16">
        <f>IFERROR(__xludf.DUMMYFUNCTION("""COMPUTED_VALUE"""),-2.0)</f>
        <v>-2</v>
      </c>
      <c r="AT475" s="16"/>
      <c r="AU475" s="16"/>
      <c r="AV475" s="16">
        <f>IFERROR(__xludf.DUMMYFUNCTION("""COMPUTED_VALUE"""),1.0)</f>
        <v>1</v>
      </c>
      <c r="AW475" s="16">
        <f>IFERROR(__xludf.DUMMYFUNCTION("""COMPUTED_VALUE"""),3.0)</f>
        <v>3</v>
      </c>
      <c r="AX475" s="16">
        <f>IFERROR(__xludf.DUMMYFUNCTION("""COMPUTED_VALUE"""),-1.0)</f>
        <v>-1</v>
      </c>
      <c r="AY475" s="16">
        <f>IFERROR(__xludf.DUMMYFUNCTION("""COMPUTED_VALUE"""),0.0)</f>
        <v>0</v>
      </c>
      <c r="AZ475" s="16">
        <f>IFERROR(__xludf.DUMMYFUNCTION("""COMPUTED_VALUE"""),-3.0)</f>
        <v>-3</v>
      </c>
      <c r="BA475" s="16">
        <f>IFERROR(__xludf.DUMMYFUNCTION("""COMPUTED_VALUE"""),0.0)</f>
        <v>0</v>
      </c>
      <c r="BB475" s="16">
        <f>IFERROR(__xludf.DUMMYFUNCTION("""COMPUTED_VALUE"""),0.0)</f>
        <v>0</v>
      </c>
      <c r="BC475" s="16">
        <f>IFERROR(__xludf.DUMMYFUNCTION("""COMPUTED_VALUE"""),0.0)</f>
        <v>0</v>
      </c>
      <c r="BD475" s="16">
        <f>IFERROR(__xludf.DUMMYFUNCTION("""COMPUTED_VALUE"""),0.0)</f>
        <v>0</v>
      </c>
      <c r="BE475" s="16">
        <f>IFERROR(__xludf.DUMMYFUNCTION("""COMPUTED_VALUE"""),0.0)</f>
        <v>0</v>
      </c>
      <c r="BF475" s="16">
        <f>IFERROR(__xludf.DUMMYFUNCTION("""COMPUTED_VALUE"""),0.0)</f>
        <v>0</v>
      </c>
      <c r="BG475" s="16">
        <f>IFERROR(__xludf.DUMMYFUNCTION("""COMPUTED_VALUE"""),0.0)</f>
        <v>0</v>
      </c>
      <c r="BH475" s="16">
        <f>IFERROR(__xludf.DUMMYFUNCTION("""COMPUTED_VALUE"""),0.0)</f>
        <v>0</v>
      </c>
      <c r="BI475" s="16">
        <f>IFERROR(__xludf.DUMMYFUNCTION("""COMPUTED_VALUE"""),0.0)</f>
        <v>0</v>
      </c>
      <c r="BJ475" s="16">
        <f>IFERROR(__xludf.DUMMYFUNCTION("""COMPUTED_VALUE"""),27.0)</f>
        <v>27</v>
      </c>
      <c r="BK475" s="16">
        <f>IFERROR(__xludf.DUMMYFUNCTION("""COMPUTED_VALUE"""),25.0)</f>
        <v>25</v>
      </c>
      <c r="BL475" s="16">
        <f>IFERROR(__xludf.DUMMYFUNCTION("""COMPUTED_VALUE"""),-2.0)</f>
        <v>-2</v>
      </c>
      <c r="BM475" s="16">
        <f>IFERROR(__xludf.DUMMYFUNCTION("""COMPUTED_VALUE"""),-2.0)</f>
        <v>-2</v>
      </c>
      <c r="BN475" s="16">
        <f>IFERROR(__xludf.DUMMYFUNCTION("""COMPUTED_VALUE"""),-4.0)</f>
        <v>-4</v>
      </c>
      <c r="BO475" s="16">
        <f>IFERROR(__xludf.DUMMYFUNCTION("""COMPUTED_VALUE"""),-4.0)</f>
        <v>-4</v>
      </c>
      <c r="BP475" s="16">
        <f>IFERROR(__xludf.DUMMYFUNCTION("""COMPUTED_VALUE"""),-16.0)</f>
        <v>-16</v>
      </c>
      <c r="BQ475" s="16">
        <f>IFERROR(__xludf.DUMMYFUNCTION("""COMPUTED_VALUE"""),-14.0)</f>
        <v>-14</v>
      </c>
      <c r="BR475" s="16">
        <f>IFERROR(__xludf.DUMMYFUNCTION("""COMPUTED_VALUE"""),-30.0)</f>
        <v>-30</v>
      </c>
      <c r="BS475" s="16" t="str">
        <f>IFERROR(__xludf.DUMMYFUNCTION("""COMPUTED_VALUE"""),"-/- (---)")</f>
        <v>-/- (---)</v>
      </c>
      <c r="BT475" s="16" t="str">
        <f>IFERROR(__xludf.DUMMYFUNCTION("""COMPUTED_VALUE"""),"E")</f>
        <v>E</v>
      </c>
      <c r="BU475" s="16">
        <f>IFERROR(__xludf.DUMMYFUNCTION("""COMPUTED_VALUE"""),8.0)</f>
        <v>8</v>
      </c>
      <c r="BV475" s="16">
        <f>IFERROR(__xludf.DUMMYFUNCTION("""COMPUTED_VALUE"""),0.0)</f>
        <v>0</v>
      </c>
      <c r="BW475" s="16">
        <f>IFERROR(__xludf.DUMMYFUNCTION("""COMPUTED_VALUE"""),-1.0)</f>
        <v>-1</v>
      </c>
      <c r="BX475" s="16">
        <f>IFERROR(__xludf.DUMMYFUNCTION("""COMPUTED_VALUE"""),0.0)</f>
        <v>0</v>
      </c>
      <c r="BY475" s="16">
        <f>IFERROR(__xludf.DUMMYFUNCTION("""COMPUTED_VALUE"""),-3.0)</f>
        <v>-3</v>
      </c>
      <c r="BZ475" s="16" t="str">
        <f>IFERROR(__xludf.DUMMYFUNCTION("""COMPUTED_VALUE"""),"A")</f>
        <v>A</v>
      </c>
      <c r="CA475" s="16" t="str">
        <f>IFERROR(__xludf.DUMMYFUNCTION("""COMPUTED_VALUE"""),"C")</f>
        <v>C</v>
      </c>
      <c r="CB475" s="16">
        <f>IFERROR(__xludf.DUMMYFUNCTION("""COMPUTED_VALUE"""),2.0)</f>
        <v>2</v>
      </c>
      <c r="CC475" s="16">
        <f>IFERROR(__xludf.DUMMYFUNCTION("""COMPUTED_VALUE"""),0.0)</f>
        <v>0</v>
      </c>
      <c r="CD475" s="16">
        <f>IFERROR(__xludf.DUMMYFUNCTION("""COMPUTED_VALUE"""),2.0)</f>
        <v>2</v>
      </c>
      <c r="CE475" s="16">
        <f>IFERROR(__xludf.DUMMYFUNCTION("""COMPUTED_VALUE"""),0.0)</f>
        <v>0</v>
      </c>
      <c r="CF475" s="16">
        <f>IFERROR(__xludf.DUMMYFUNCTION("""COMPUTED_VALUE"""),2.0)</f>
        <v>2</v>
      </c>
      <c r="CG475" s="16">
        <f>IFERROR(__xludf.DUMMYFUNCTION("""COMPUTED_VALUE"""),-44.0)</f>
        <v>-44</v>
      </c>
      <c r="CH475" s="16">
        <f>IFERROR(__xludf.DUMMYFUNCTION("""COMPUTED_VALUE"""),-40.0)</f>
        <v>-40</v>
      </c>
      <c r="CI475" s="179">
        <f>IFERROR(__xludf.DUMMYFUNCTION("""COMPUTED_VALUE"""),-41.0)</f>
        <v>-41</v>
      </c>
      <c r="CJ475" s="16">
        <f>IFERROR(__xludf.DUMMYFUNCTION("""COMPUTED_VALUE"""),304.0)</f>
        <v>304</v>
      </c>
      <c r="CK475" s="16"/>
      <c r="CL475" s="16"/>
      <c r="CM475" s="16"/>
      <c r="CN475" s="16"/>
      <c r="CO475" s="16"/>
      <c r="CP475" s="16"/>
      <c r="CQ475" s="16"/>
      <c r="CR475" s="16" t="str">
        <f>IFERROR(__xludf.DUMMYFUNCTION("""COMPUTED_VALUE"""),"c-3(+3)e4,T-3(pb-2)")</f>
        <v>c-3(+3)e4,T-3(pb-2)</v>
      </c>
      <c r="CS475" s="16">
        <f>IFERROR(__xludf.DUMMYFUNCTION("""COMPUTED_VALUE"""),3.0)</f>
        <v>3</v>
      </c>
      <c r="CT475" s="16"/>
      <c r="CU475" s="16"/>
      <c r="CV475" s="16"/>
      <c r="CW475" s="16"/>
      <c r="CX475" s="16"/>
      <c r="CY475" s="16"/>
      <c r="CZ475" s="16"/>
      <c r="DA475" s="16">
        <f>IFERROR(__xludf.DUMMYFUNCTION("""COMPUTED_VALUE"""),4.0)</f>
        <v>4</v>
      </c>
      <c r="DB475" s="16"/>
      <c r="DC475" s="16"/>
      <c r="DD475" s="16"/>
      <c r="DE475" s="16"/>
      <c r="DF475" s="16"/>
      <c r="DG475" s="16"/>
      <c r="DH475" s="16"/>
      <c r="DI475" s="16">
        <f>IFERROR(__xludf.DUMMYFUNCTION("""COMPUTED_VALUE"""),0.0)</f>
        <v>0</v>
      </c>
      <c r="DJ475" s="16"/>
      <c r="DK475" s="16"/>
      <c r="DL475" s="16"/>
      <c r="DM475" s="16"/>
      <c r="DN475" s="16"/>
      <c r="DO475" s="16"/>
      <c r="DP475" s="16"/>
      <c r="DQ475" s="16">
        <f>IFERROR(__xludf.DUMMYFUNCTION("""COMPUTED_VALUE"""),3.0)</f>
        <v>3</v>
      </c>
      <c r="DR475" s="16"/>
      <c r="DS475" s="16"/>
      <c r="DT475" s="16"/>
      <c r="DU475" s="16"/>
      <c r="DV475" s="16"/>
      <c r="DW475" s="16"/>
      <c r="DX475" s="16"/>
      <c r="DY475" s="16">
        <f>IFERROR(__xludf.DUMMYFUNCTION("""COMPUTED_VALUE"""),3.0)</f>
        <v>3</v>
      </c>
      <c r="DZ475" s="16"/>
      <c r="EA475" s="16"/>
      <c r="EB475" s="16"/>
      <c r="EC475" s="16"/>
      <c r="ED475" s="16"/>
      <c r="EE475" s="16"/>
      <c r="EF475" s="16"/>
      <c r="EG475" s="179">
        <f>IFERROR(__xludf.DUMMYFUNCTION("""COMPUTED_VALUE"""),-35.0)</f>
        <v>-35</v>
      </c>
      <c r="EH475" s="179"/>
      <c r="EI475" s="179"/>
      <c r="EJ475" s="179"/>
      <c r="EK475" s="179"/>
      <c r="EL475" s="179"/>
      <c r="EM475" s="179"/>
      <c r="EN475" s="179"/>
      <c r="EO475" s="16">
        <f>IFERROR(__xludf.DUMMYFUNCTION("""COMPUTED_VALUE"""),3.0)</f>
        <v>3</v>
      </c>
      <c r="EP475" s="16"/>
      <c r="EQ475" s="16">
        <f>IFERROR(__xludf.DUMMYFUNCTION("""COMPUTED_VALUE"""),2.0)</f>
        <v>2</v>
      </c>
      <c r="ER475" s="16">
        <f>IFERROR(__xludf.DUMMYFUNCTION("""COMPUTED_VALUE"""),-2.0)</f>
        <v>-2</v>
      </c>
      <c r="ES475" s="16" t="str">
        <f>IFERROR(__xludf.DUMMYFUNCTION("""COMPUTED_VALUE"""),"c-3")</f>
        <v>c-3</v>
      </c>
      <c r="ET475" s="16" t="str">
        <f>IFERROR(__xludf.DUMMYFUNCTION("""COMPUTED_VALUE"""),"+3)e4,T-3")</f>
        <v>+3)e4,T-3</v>
      </c>
      <c r="EU475" s="16" t="str">
        <f>IFERROR(__xludf.DUMMYFUNCTION("""COMPUTED_VALUE"""),"pb-2)")</f>
        <v>pb-2)</v>
      </c>
      <c r="EV475" s="16"/>
      <c r="EW475" s="16">
        <f>IFERROR(__xludf.DUMMYFUNCTION("""COMPUTED_VALUE"""),3.0)</f>
        <v>3</v>
      </c>
      <c r="EX475" s="180">
        <f>IFERROR(__xludf.DUMMYFUNCTION("""COMPUTED_VALUE"""),0.2)</f>
        <v>0.2</v>
      </c>
      <c r="EY475" s="180"/>
      <c r="EZ475" s="180"/>
      <c r="FA475" s="180"/>
      <c r="FB475" s="180"/>
      <c r="FC475" s="180"/>
      <c r="FD475" s="180"/>
      <c r="FE475" s="180"/>
      <c r="FF475" s="180">
        <f>IFERROR(__xludf.DUMMYFUNCTION("""COMPUTED_VALUE"""),0.047)</f>
        <v>0.047</v>
      </c>
      <c r="FG475" s="180"/>
      <c r="FH475" s="180"/>
      <c r="FI475" s="180"/>
      <c r="FJ475" s="180"/>
      <c r="FK475" s="180"/>
      <c r="FL475" s="180"/>
      <c r="FM475" s="180"/>
      <c r="FN475" s="16">
        <f>IFERROR(__xludf.DUMMYFUNCTION("""COMPUTED_VALUE"""),0.7624)</f>
        <v>0.7624</v>
      </c>
      <c r="FO475" s="16"/>
      <c r="FP475" s="16"/>
      <c r="FQ475" s="16"/>
      <c r="FR475" s="16"/>
      <c r="FS475" s="16"/>
      <c r="FT475" s="16"/>
      <c r="FU475" s="16"/>
      <c r="FV475" s="16">
        <f>IFERROR(__xludf.DUMMYFUNCTION("""COMPUTED_VALUE"""),-4.0)</f>
        <v>-4</v>
      </c>
      <c r="FW475" s="16"/>
      <c r="FX475" s="16"/>
      <c r="FY475" s="16"/>
      <c r="FZ475" s="16"/>
      <c r="GA475" s="16"/>
      <c r="GB475" s="16"/>
      <c r="GC475" s="16"/>
      <c r="GD475" s="16" t="s">
        <v>176</v>
      </c>
    </row>
    <row r="476">
      <c r="A476" s="16">
        <f>IFERROR(__xludf.DUMMYFUNCTION("""COMPUTED_VALUE"""),13212.0)</f>
        <v>13212</v>
      </c>
      <c r="B476" s="16" t="str">
        <f>IFERROR(__xludf.DUMMYFUNCTION("""COMPUTED_VALUE"""),"Mike Ford")</f>
        <v>Mike Ford</v>
      </c>
      <c r="C476" s="16">
        <f>IFERROR(__xludf.DUMMYFUNCTION("""COMPUTED_VALUE"""),0.0)</f>
        <v>0</v>
      </c>
      <c r="D476" s="16" t="str">
        <f>IFERROR(__xludf.DUMMYFUNCTION("""COMPUTED_VALUE"""),"L")</f>
        <v>L</v>
      </c>
      <c r="E476" s="16"/>
      <c r="F476" s="16"/>
      <c r="G476" s="16">
        <f>IFERROR(__xludf.DUMMYFUNCTION("""COMPUTED_VALUE"""),60.0)</f>
        <v>60</v>
      </c>
      <c r="H476" s="16">
        <f>IFERROR(__xludf.DUMMYFUNCTION("""COMPUTED_VALUE"""),2.0)</f>
        <v>2</v>
      </c>
      <c r="I476" s="16" t="str">
        <f>IFERROR(__xludf.DUMMYFUNCTION("""COMPUTED_VALUE"""),"1p20")</f>
        <v>1p20</v>
      </c>
      <c r="J476" s="16">
        <f>IFERROR(__xludf.DUMMYFUNCTION("""COMPUTED_VALUE"""),43.0)</f>
        <v>43</v>
      </c>
      <c r="K476" s="16">
        <f>IFERROR(__xludf.DUMMYFUNCTION("""COMPUTED_VALUE"""),20.0)</f>
        <v>20</v>
      </c>
      <c r="L476" s="16">
        <f>IFERROR(__xludf.DUMMYFUNCTION("""COMPUTED_VALUE"""),-1.0)</f>
        <v>-1</v>
      </c>
      <c r="M476" s="16">
        <f>IFERROR(__xludf.DUMMYFUNCTION("""COMPUTED_VALUE"""),0.0)</f>
        <v>0</v>
      </c>
      <c r="N476" s="16">
        <f>IFERROR(__xludf.DUMMYFUNCTION("""COMPUTED_VALUE"""),-1.0)</f>
        <v>-1</v>
      </c>
      <c r="O476" s="16">
        <f>IFERROR(__xludf.DUMMYFUNCTION("""COMPUTED_VALUE"""),0.0)</f>
        <v>0</v>
      </c>
      <c r="P476" s="16">
        <f>IFERROR(__xludf.DUMMYFUNCTION("""COMPUTED_VALUE"""),0.0)</f>
        <v>0</v>
      </c>
      <c r="Q476" s="16">
        <f>IFERROR(__xludf.DUMMYFUNCTION("""COMPUTED_VALUE"""),0.0)</f>
        <v>0</v>
      </c>
      <c r="R476" s="16">
        <f>IFERROR(__xludf.DUMMYFUNCTION("""COMPUTED_VALUE"""),-3.0)</f>
        <v>-3</v>
      </c>
      <c r="S476" s="16">
        <f>IFERROR(__xludf.DUMMYFUNCTION("""COMPUTED_VALUE"""),-2.0)</f>
        <v>-2</v>
      </c>
      <c r="T476" s="16">
        <f>IFERROR(__xludf.DUMMYFUNCTION("""COMPUTED_VALUE"""),-3.0)</f>
        <v>-3</v>
      </c>
      <c r="U476" s="16">
        <f>IFERROR(__xludf.DUMMYFUNCTION("""COMPUTED_VALUE"""),-2.0)</f>
        <v>-2</v>
      </c>
      <c r="V476" s="16">
        <f>IFERROR(__xludf.DUMMYFUNCTION("""COMPUTED_VALUE"""),1.8)</f>
        <v>1.8</v>
      </c>
      <c r="W476" s="16">
        <f>IFERROR(__xludf.DUMMYFUNCTION("""COMPUTED_VALUE"""),6.3)</f>
        <v>6.3</v>
      </c>
      <c r="X476" s="16">
        <f>IFERROR(__xludf.DUMMYFUNCTION("""COMPUTED_VALUE"""),-2.0)</f>
        <v>-2</v>
      </c>
      <c r="Y476" s="16">
        <f>IFERROR(__xludf.DUMMYFUNCTION("""COMPUTED_VALUE"""),-2.0)</f>
        <v>-2</v>
      </c>
      <c r="Z476" s="16">
        <f>IFERROR(__xludf.DUMMYFUNCTION("""COMPUTED_VALUE"""),-4.0)</f>
        <v>-4</v>
      </c>
      <c r="AA476" s="16">
        <f>IFERROR(__xludf.DUMMYFUNCTION("""COMPUTED_VALUE"""),-4.0)</f>
        <v>-4</v>
      </c>
      <c r="AB476" s="16">
        <f>IFERROR(__xludf.DUMMYFUNCTION("""COMPUTED_VALUE"""),1.8)</f>
        <v>1.8</v>
      </c>
      <c r="AC476" s="16">
        <f>IFERROR(__xludf.DUMMYFUNCTION("""COMPUTED_VALUE"""),6.3)</f>
        <v>6.3</v>
      </c>
      <c r="AD476" s="16">
        <f>IFERROR(__xludf.DUMMYFUNCTION("""COMPUTED_VALUE"""),-3.0)</f>
        <v>-3</v>
      </c>
      <c r="AE476" s="16">
        <f>IFERROR(__xludf.DUMMYFUNCTION("""COMPUTED_VALUE"""),-3.0)</f>
        <v>-3</v>
      </c>
      <c r="AF476" s="16">
        <f>IFERROR(__xludf.DUMMYFUNCTION("""COMPUTED_VALUE"""),-15.0)</f>
        <v>-15</v>
      </c>
      <c r="AG476" s="16">
        <f>IFERROR(__xludf.DUMMYFUNCTION("""COMPUTED_VALUE"""),-15.0)</f>
        <v>-15</v>
      </c>
      <c r="AH476" s="16">
        <f>IFERROR(__xludf.DUMMYFUNCTION("""COMPUTED_VALUE"""),1.8)</f>
        <v>1.8</v>
      </c>
      <c r="AI476" s="16">
        <f>IFERROR(__xludf.DUMMYFUNCTION("""COMPUTED_VALUE"""),19.4)</f>
        <v>19.4</v>
      </c>
      <c r="AJ476" s="16">
        <f>IFERROR(__xludf.DUMMYFUNCTION("""COMPUTED_VALUE"""),-2.0)</f>
        <v>-2</v>
      </c>
      <c r="AK476" s="16">
        <f>IFERROR(__xludf.DUMMYFUNCTION("""COMPUTED_VALUE"""),-2.0)</f>
        <v>-2</v>
      </c>
      <c r="AL476" s="16">
        <f>IFERROR(__xludf.DUMMYFUNCTION("""COMPUTED_VALUE"""),-10.0)</f>
        <v>-10</v>
      </c>
      <c r="AM476" s="16">
        <f>IFERROR(__xludf.DUMMYFUNCTION("""COMPUTED_VALUE"""),-10.0)</f>
        <v>-10</v>
      </c>
      <c r="AN476" s="16">
        <f>IFERROR(__xludf.DUMMYFUNCTION("""COMPUTED_VALUE"""),0.0)</f>
        <v>0</v>
      </c>
      <c r="AO476" s="16">
        <f>IFERROR(__xludf.DUMMYFUNCTION("""COMPUTED_VALUE"""),1.5)</f>
        <v>1.5</v>
      </c>
      <c r="AP476" s="16">
        <f>IFERROR(__xludf.DUMMYFUNCTION("""COMPUTED_VALUE"""),-2.0)</f>
        <v>-2</v>
      </c>
      <c r="AQ476" s="16">
        <f>IFERROR(__xludf.DUMMYFUNCTION("""COMPUTED_VALUE"""),-1.0)</f>
        <v>-1</v>
      </c>
      <c r="AR476" s="16">
        <f>IFERROR(__xludf.DUMMYFUNCTION("""COMPUTED_VALUE"""),-4.0)</f>
        <v>-4</v>
      </c>
      <c r="AS476" s="16">
        <f>IFERROR(__xludf.DUMMYFUNCTION("""COMPUTED_VALUE"""),-2.0)</f>
        <v>-2</v>
      </c>
      <c r="AT476" s="16"/>
      <c r="AU476" s="16"/>
      <c r="AV476" s="16">
        <f>IFERROR(__xludf.DUMMYFUNCTION("""COMPUTED_VALUE"""),-3.0)</f>
        <v>-3</v>
      </c>
      <c r="AW476" s="16">
        <f>IFERROR(__xludf.DUMMYFUNCTION("""COMPUTED_VALUE"""),0.0)</f>
        <v>0</v>
      </c>
      <c r="AX476" s="16">
        <f>IFERROR(__xludf.DUMMYFUNCTION("""COMPUTED_VALUE"""),-3.0)</f>
        <v>-3</v>
      </c>
      <c r="AY476" s="16">
        <f>IFERROR(__xludf.DUMMYFUNCTION("""COMPUTED_VALUE"""),-2.0)</f>
        <v>-2</v>
      </c>
      <c r="AZ476" s="16">
        <f>IFERROR(__xludf.DUMMYFUNCTION("""COMPUTED_VALUE"""),-9.0)</f>
        <v>-9</v>
      </c>
      <c r="BA476" s="16">
        <f>IFERROR(__xludf.DUMMYFUNCTION("""COMPUTED_VALUE"""),-6.0)</f>
        <v>-6</v>
      </c>
      <c r="BB476" s="16">
        <f>IFERROR(__xludf.DUMMYFUNCTION("""COMPUTED_VALUE"""),5.0)</f>
        <v>5</v>
      </c>
      <c r="BC476" s="16">
        <f>IFERROR(__xludf.DUMMYFUNCTION("""COMPUTED_VALUE"""),0.0)</f>
        <v>0</v>
      </c>
      <c r="BD476" s="16">
        <f>IFERROR(__xludf.DUMMYFUNCTION("""COMPUTED_VALUE"""),1.0)</f>
        <v>1</v>
      </c>
      <c r="BE476" s="16">
        <f>IFERROR(__xludf.DUMMYFUNCTION("""COMPUTED_VALUE"""),0.0)</f>
        <v>0</v>
      </c>
      <c r="BF476" s="16">
        <f>IFERROR(__xludf.DUMMYFUNCTION("""COMPUTED_VALUE"""),1.0)</f>
        <v>1</v>
      </c>
      <c r="BG476" s="16">
        <f>IFERROR(__xludf.DUMMYFUNCTION("""COMPUTED_VALUE"""),0.0)</f>
        <v>0</v>
      </c>
      <c r="BH476" s="16">
        <f>IFERROR(__xludf.DUMMYFUNCTION("""COMPUTED_VALUE"""),0.0)</f>
        <v>0</v>
      </c>
      <c r="BI476" s="16">
        <f>IFERROR(__xludf.DUMMYFUNCTION("""COMPUTED_VALUE"""),0.0)</f>
        <v>0</v>
      </c>
      <c r="BJ476" s="16">
        <f>IFERROR(__xludf.DUMMYFUNCTION("""COMPUTED_VALUE"""),14.0)</f>
        <v>14</v>
      </c>
      <c r="BK476" s="16">
        <f>IFERROR(__xludf.DUMMYFUNCTION("""COMPUTED_VALUE"""),14.0)</f>
        <v>14</v>
      </c>
      <c r="BL476" s="16">
        <f>IFERROR(__xludf.DUMMYFUNCTION("""COMPUTED_VALUE"""),0.0)</f>
        <v>0</v>
      </c>
      <c r="BM476" s="16">
        <f>IFERROR(__xludf.DUMMYFUNCTION("""COMPUTED_VALUE"""),0.0)</f>
        <v>0</v>
      </c>
      <c r="BN476" s="16">
        <f>IFERROR(__xludf.DUMMYFUNCTION("""COMPUTED_VALUE"""),0.0)</f>
        <v>0</v>
      </c>
      <c r="BO476" s="16">
        <f>IFERROR(__xludf.DUMMYFUNCTION("""COMPUTED_VALUE"""),0.0)</f>
        <v>0</v>
      </c>
      <c r="BP476" s="16">
        <f>IFERROR(__xludf.DUMMYFUNCTION("""COMPUTED_VALUE"""),-15.0)</f>
        <v>-15</v>
      </c>
      <c r="BQ476" s="16">
        <f>IFERROR(__xludf.DUMMYFUNCTION("""COMPUTED_VALUE"""),-12.0)</f>
        <v>-12</v>
      </c>
      <c r="BR476" s="16">
        <f>IFERROR(__xludf.DUMMYFUNCTION("""COMPUTED_VALUE"""),-27.0)</f>
        <v>-27</v>
      </c>
      <c r="BS476" s="16" t="str">
        <f>IFERROR(__xludf.DUMMYFUNCTION("""COMPUTED_VALUE"""),"-/- (---)")</f>
        <v>-/- (---)</v>
      </c>
      <c r="BT476" s="16" t="str">
        <f>IFERROR(__xludf.DUMMYFUNCTION("""COMPUTED_VALUE"""),"E")</f>
        <v>E</v>
      </c>
      <c r="BU476" s="16">
        <f>IFERROR(__xludf.DUMMYFUNCTION("""COMPUTED_VALUE"""),8.0)</f>
        <v>8</v>
      </c>
      <c r="BV476" s="16">
        <f>IFERROR(__xludf.DUMMYFUNCTION("""COMPUTED_VALUE"""),0.0)</f>
        <v>0</v>
      </c>
      <c r="BW476" s="16">
        <f>IFERROR(__xludf.DUMMYFUNCTION("""COMPUTED_VALUE"""),-1.0)</f>
        <v>-1</v>
      </c>
      <c r="BX476" s="16">
        <f>IFERROR(__xludf.DUMMYFUNCTION("""COMPUTED_VALUE"""),0.0)</f>
        <v>0</v>
      </c>
      <c r="BY476" s="16">
        <f>IFERROR(__xludf.DUMMYFUNCTION("""COMPUTED_VALUE"""),-3.0)</f>
        <v>-3</v>
      </c>
      <c r="BZ476" s="16" t="str">
        <f>IFERROR(__xludf.DUMMYFUNCTION("""COMPUTED_VALUE"""),"D")</f>
        <v>D</v>
      </c>
      <c r="CA476" s="16" t="str">
        <f>IFERROR(__xludf.DUMMYFUNCTION("""COMPUTED_VALUE"""),"C")</f>
        <v>C</v>
      </c>
      <c r="CB476" s="16">
        <f>IFERROR(__xludf.DUMMYFUNCTION("""COMPUTED_VALUE"""),0.0)</f>
        <v>0</v>
      </c>
      <c r="CC476" s="16">
        <f>IFERROR(__xludf.DUMMYFUNCTION("""COMPUTED_VALUE"""),0.0)</f>
        <v>0</v>
      </c>
      <c r="CD476" s="16">
        <f>IFERROR(__xludf.DUMMYFUNCTION("""COMPUTED_VALUE"""),0.0)</f>
        <v>0</v>
      </c>
      <c r="CE476" s="16">
        <f>IFERROR(__xludf.DUMMYFUNCTION("""COMPUTED_VALUE"""),0.0)</f>
        <v>0</v>
      </c>
      <c r="CF476" s="16">
        <f>IFERROR(__xludf.DUMMYFUNCTION("""COMPUTED_VALUE"""),1.0)</f>
        <v>1</v>
      </c>
      <c r="CG476" s="16">
        <f>IFERROR(__xludf.DUMMYFUNCTION("""COMPUTED_VALUE"""),-45.0)</f>
        <v>-45</v>
      </c>
      <c r="CH476" s="16">
        <f>IFERROR(__xludf.DUMMYFUNCTION("""COMPUTED_VALUE"""),-39.0)</f>
        <v>-39</v>
      </c>
      <c r="CI476" s="179">
        <f>IFERROR(__xludf.DUMMYFUNCTION("""COMPUTED_VALUE"""),-41.0)</f>
        <v>-41</v>
      </c>
      <c r="CJ476" s="16"/>
      <c r="CK476" s="16">
        <f>IFERROR(__xludf.DUMMYFUNCTION("""COMPUTED_VALUE"""),517.0)</f>
        <v>517</v>
      </c>
      <c r="CL476" s="16"/>
      <c r="CM476" s="16"/>
      <c r="CN476" s="16"/>
      <c r="CO476" s="16"/>
      <c r="CP476" s="16"/>
      <c r="CQ476" s="16"/>
      <c r="CR476" s="16" t="str">
        <f>IFERROR(__xludf.DUMMYFUNCTION("""COMPUTED_VALUE"""),"1b-5e17")</f>
        <v>1b-5e17</v>
      </c>
      <c r="CS476" s="16"/>
      <c r="CT476" s="16">
        <f>IFERROR(__xludf.DUMMYFUNCTION("""COMPUTED_VALUE"""),5.0)</f>
        <v>5</v>
      </c>
      <c r="CU476" s="16"/>
      <c r="CV476" s="16"/>
      <c r="CW476" s="16"/>
      <c r="CX476" s="16"/>
      <c r="CY476" s="16"/>
      <c r="CZ476" s="16"/>
      <c r="DA476" s="16"/>
      <c r="DB476" s="16">
        <f>IFERROR(__xludf.DUMMYFUNCTION("""COMPUTED_VALUE"""),17.0)</f>
        <v>17</v>
      </c>
      <c r="DC476" s="16"/>
      <c r="DD476" s="16"/>
      <c r="DE476" s="16"/>
      <c r="DF476" s="16"/>
      <c r="DG476" s="16"/>
      <c r="DH476" s="16"/>
      <c r="DI476" s="16"/>
      <c r="DJ476" s="16">
        <f>IFERROR(__xludf.DUMMYFUNCTION("""COMPUTED_VALUE"""),-2.0)</f>
        <v>-2</v>
      </c>
      <c r="DK476" s="16"/>
      <c r="DL476" s="16"/>
      <c r="DM476" s="16"/>
      <c r="DN476" s="16"/>
      <c r="DO476" s="16"/>
      <c r="DP476" s="16"/>
      <c r="DQ476" s="16"/>
      <c r="DR476" s="16">
        <f>IFERROR(__xludf.DUMMYFUNCTION("""COMPUTED_VALUE"""),0.0)</f>
        <v>0</v>
      </c>
      <c r="DS476" s="16"/>
      <c r="DT476" s="16"/>
      <c r="DU476" s="16"/>
      <c r="DV476" s="16"/>
      <c r="DW476" s="16"/>
      <c r="DX476" s="16"/>
      <c r="DY476" s="16"/>
      <c r="DZ476" s="16">
        <f>IFERROR(__xludf.DUMMYFUNCTION("""COMPUTED_VALUE"""),-2.0)</f>
        <v>-2</v>
      </c>
      <c r="EA476" s="16"/>
      <c r="EB476" s="16"/>
      <c r="EC476" s="16"/>
      <c r="ED476" s="16"/>
      <c r="EE476" s="16"/>
      <c r="EF476" s="16"/>
      <c r="EG476" s="179"/>
      <c r="EH476" s="179">
        <f>IFERROR(__xludf.DUMMYFUNCTION("""COMPUTED_VALUE"""),-43.0)</f>
        <v>-43</v>
      </c>
      <c r="EI476" s="179"/>
      <c r="EJ476" s="179"/>
      <c r="EK476" s="179"/>
      <c r="EL476" s="179"/>
      <c r="EM476" s="179"/>
      <c r="EN476" s="179"/>
      <c r="EO476" s="16"/>
      <c r="EP476" s="16">
        <f>IFERROR(__xludf.DUMMYFUNCTION("""COMPUTED_VALUE"""),-1.0)</f>
        <v>-1</v>
      </c>
      <c r="EQ476" s="16">
        <f>IFERROR(__xludf.DUMMYFUNCTION("""COMPUTED_VALUE"""),4.0)</f>
        <v>4</v>
      </c>
      <c r="ER476" s="16">
        <f>IFERROR(__xludf.DUMMYFUNCTION("""COMPUTED_VALUE"""),-4.0)</f>
        <v>-4</v>
      </c>
      <c r="ES476" s="16"/>
      <c r="ET476" s="16"/>
      <c r="EU476" s="16"/>
      <c r="EV476" s="16"/>
      <c r="EW476" s="16"/>
      <c r="EX476" s="180"/>
      <c r="EY476" s="180">
        <f>IFERROR(__xludf.DUMMYFUNCTION("""COMPUTED_VALUE"""),0.4)</f>
        <v>0.4</v>
      </c>
      <c r="EZ476" s="180"/>
      <c r="FA476" s="180"/>
      <c r="FB476" s="180"/>
      <c r="FC476" s="180"/>
      <c r="FD476" s="180"/>
      <c r="FE476" s="180"/>
      <c r="FF476" s="180"/>
      <c r="FG476" s="180">
        <f>IFERROR(__xludf.DUMMYFUNCTION("""COMPUTED_VALUE"""),0.3055555555555556)</f>
        <v>0.3055555556</v>
      </c>
      <c r="FH476" s="180"/>
      <c r="FI476" s="180"/>
      <c r="FJ476" s="180"/>
      <c r="FK476" s="180"/>
      <c r="FL476" s="180"/>
      <c r="FM476" s="180"/>
      <c r="FN476" s="16"/>
      <c r="FO476" s="16">
        <f>IFERROR(__xludf.DUMMYFUNCTION("""COMPUTED_VALUE"""),0.41666666666666663)</f>
        <v>0.4166666667</v>
      </c>
      <c r="FP476" s="16"/>
      <c r="FQ476" s="16"/>
      <c r="FR476" s="16"/>
      <c r="FS476" s="16"/>
      <c r="FT476" s="16"/>
      <c r="FU476" s="16"/>
      <c r="FV476" s="16"/>
      <c r="FW476" s="16">
        <f>IFERROR(__xludf.DUMMYFUNCTION("""COMPUTED_VALUE"""),-8.0)</f>
        <v>-8</v>
      </c>
      <c r="FX476" s="16"/>
      <c r="FY476" s="16"/>
      <c r="FZ476" s="16"/>
      <c r="GA476" s="16"/>
      <c r="GB476" s="16"/>
      <c r="GC476" s="16"/>
      <c r="GD476" s="16" t="s">
        <v>176</v>
      </c>
    </row>
    <row r="477">
      <c r="A477" s="16">
        <f>IFERROR(__xludf.DUMMYFUNCTION("""COMPUTED_VALUE"""),13465.0)</f>
        <v>13465</v>
      </c>
      <c r="B477" s="16" t="str">
        <f>IFERROR(__xludf.DUMMYFUNCTION("""COMPUTED_VALUE"""),"Vaughn Grissom")</f>
        <v>Vaughn Grissom</v>
      </c>
      <c r="C477" s="16">
        <f>IFERROR(__xludf.DUMMYFUNCTION("""COMPUTED_VALUE"""),0.0)</f>
        <v>0</v>
      </c>
      <c r="D477" s="16" t="str">
        <f>IFERROR(__xludf.DUMMYFUNCTION("""COMPUTED_VALUE"""),"R")</f>
        <v>R</v>
      </c>
      <c r="E477" s="16"/>
      <c r="F477" s="16"/>
      <c r="G477" s="16">
        <f>IFERROR(__xludf.DUMMYFUNCTION("""COMPUTED_VALUE"""),105.0)</f>
        <v>105</v>
      </c>
      <c r="H477" s="16">
        <f>IFERROR(__xludf.DUMMYFUNCTION("""COMPUTED_VALUE"""),7.0)</f>
        <v>7</v>
      </c>
      <c r="I477" s="16" t="str">
        <f>IFERROR(__xludf.DUMMYFUNCTION("""COMPUTED_VALUE"""),"5p20")</f>
        <v>5p20</v>
      </c>
      <c r="J477" s="16">
        <f>IFERROR(__xludf.DUMMYFUNCTION("""COMPUTED_VALUE"""),39.0)</f>
        <v>39</v>
      </c>
      <c r="K477" s="16">
        <f>IFERROR(__xludf.DUMMYFUNCTION("""COMPUTED_VALUE"""),15.0)</f>
        <v>15</v>
      </c>
      <c r="L477" s="16">
        <f>IFERROR(__xludf.DUMMYFUNCTION("""COMPUTED_VALUE"""),-1.0)</f>
        <v>-1</v>
      </c>
      <c r="M477" s="16">
        <f>IFERROR(__xludf.DUMMYFUNCTION("""COMPUTED_VALUE"""),1.0)</f>
        <v>1</v>
      </c>
      <c r="N477" s="16">
        <f>IFERROR(__xludf.DUMMYFUNCTION("""COMPUTED_VALUE"""),-1.0)</f>
        <v>-1</v>
      </c>
      <c r="O477" s="16">
        <f>IFERROR(__xludf.DUMMYFUNCTION("""COMPUTED_VALUE"""),1.0)</f>
        <v>1</v>
      </c>
      <c r="P477" s="16">
        <f>IFERROR(__xludf.DUMMYFUNCTION("""COMPUTED_VALUE"""),13.0)</f>
        <v>13</v>
      </c>
      <c r="Q477" s="16">
        <f>IFERROR(__xludf.DUMMYFUNCTION("""COMPUTED_VALUE"""),3.0)</f>
        <v>3</v>
      </c>
      <c r="R477" s="16">
        <f>IFERROR(__xludf.DUMMYFUNCTION("""COMPUTED_VALUE"""),2.0)</f>
        <v>2</v>
      </c>
      <c r="S477" s="16">
        <f>IFERROR(__xludf.DUMMYFUNCTION("""COMPUTED_VALUE"""),-2.0)</f>
        <v>-2</v>
      </c>
      <c r="T477" s="16">
        <f>IFERROR(__xludf.DUMMYFUNCTION("""COMPUTED_VALUE"""),2.0)</f>
        <v>2</v>
      </c>
      <c r="U477" s="16">
        <f>IFERROR(__xludf.DUMMYFUNCTION("""COMPUTED_VALUE"""),-2.0)</f>
        <v>-2</v>
      </c>
      <c r="V477" s="16">
        <f>IFERROR(__xludf.DUMMYFUNCTION("""COMPUTED_VALUE"""),18.1)</f>
        <v>18.1</v>
      </c>
      <c r="W477" s="16">
        <f>IFERROR(__xludf.DUMMYFUNCTION("""COMPUTED_VALUE"""),9.4)</f>
        <v>9.4</v>
      </c>
      <c r="X477" s="16">
        <f>IFERROR(__xludf.DUMMYFUNCTION("""COMPUTED_VALUE"""),0.0)</f>
        <v>0</v>
      </c>
      <c r="Y477" s="16">
        <f>IFERROR(__xludf.DUMMYFUNCTION("""COMPUTED_VALUE"""),-2.0)</f>
        <v>-2</v>
      </c>
      <c r="Z477" s="16">
        <f>IFERROR(__xludf.DUMMYFUNCTION("""COMPUTED_VALUE"""),0.0)</f>
        <v>0</v>
      </c>
      <c r="AA477" s="16">
        <f>IFERROR(__xludf.DUMMYFUNCTION("""COMPUTED_VALUE"""),-4.0)</f>
        <v>-4</v>
      </c>
      <c r="AB477" s="16">
        <f>IFERROR(__xludf.DUMMYFUNCTION("""COMPUTED_VALUE"""),33.2)</f>
        <v>33.2</v>
      </c>
      <c r="AC477" s="16">
        <f>IFERROR(__xludf.DUMMYFUNCTION("""COMPUTED_VALUE"""),14.4)</f>
        <v>14.4</v>
      </c>
      <c r="AD477" s="16">
        <f>IFERROR(__xludf.DUMMYFUNCTION("""COMPUTED_VALUE"""),0.0)</f>
        <v>0</v>
      </c>
      <c r="AE477" s="16">
        <f>IFERROR(__xludf.DUMMYFUNCTION("""COMPUTED_VALUE"""),-2.0)</f>
        <v>-2</v>
      </c>
      <c r="AF477" s="16">
        <f>IFERROR(__xludf.DUMMYFUNCTION("""COMPUTED_VALUE"""),0.0)</f>
        <v>0</v>
      </c>
      <c r="AG477" s="16">
        <f>IFERROR(__xludf.DUMMYFUNCTION("""COMPUTED_VALUE"""),-10.0)</f>
        <v>-10</v>
      </c>
      <c r="AH477" s="16">
        <f>IFERROR(__xludf.DUMMYFUNCTION("""COMPUTED_VALUE"""),21.8)</f>
        <v>21.8</v>
      </c>
      <c r="AI477" s="16">
        <f>IFERROR(__xludf.DUMMYFUNCTION("""COMPUTED_VALUE"""),9.4)</f>
        <v>9.4</v>
      </c>
      <c r="AJ477" s="16">
        <f>IFERROR(__xludf.DUMMYFUNCTION("""COMPUTED_VALUE"""),-1.0)</f>
        <v>-1</v>
      </c>
      <c r="AK477" s="16">
        <f>IFERROR(__xludf.DUMMYFUNCTION("""COMPUTED_VALUE"""),-2.0)</f>
        <v>-2</v>
      </c>
      <c r="AL477" s="16">
        <f>IFERROR(__xludf.DUMMYFUNCTION("""COMPUTED_VALUE"""),-5.0)</f>
        <v>-5</v>
      </c>
      <c r="AM477" s="16">
        <f>IFERROR(__xludf.DUMMYFUNCTION("""COMPUTED_VALUE"""),-10.0)</f>
        <v>-10</v>
      </c>
      <c r="AN477" s="16">
        <f>IFERROR(__xludf.DUMMYFUNCTION("""COMPUTED_VALUE"""),0.0)</f>
        <v>0</v>
      </c>
      <c r="AO477" s="16">
        <f>IFERROR(__xludf.DUMMYFUNCTION("""COMPUTED_VALUE"""),0.0)</f>
        <v>0</v>
      </c>
      <c r="AP477" s="16">
        <f>IFERROR(__xludf.DUMMYFUNCTION("""COMPUTED_VALUE"""),-2.0)</f>
        <v>-2</v>
      </c>
      <c r="AQ477" s="16">
        <f>IFERROR(__xludf.DUMMYFUNCTION("""COMPUTED_VALUE"""),-3.0)</f>
        <v>-3</v>
      </c>
      <c r="AR477" s="16">
        <f>IFERROR(__xludf.DUMMYFUNCTION("""COMPUTED_VALUE"""),-4.0)</f>
        <v>-4</v>
      </c>
      <c r="AS477" s="16">
        <f>IFERROR(__xludf.DUMMYFUNCTION("""COMPUTED_VALUE"""),-6.0)</f>
        <v>-6</v>
      </c>
      <c r="AT477" s="16"/>
      <c r="AU477" s="16"/>
      <c r="AV477" s="16">
        <f>IFERROR(__xludf.DUMMYFUNCTION("""COMPUTED_VALUE"""),-3.0)</f>
        <v>-3</v>
      </c>
      <c r="AW477" s="16">
        <f>IFERROR(__xludf.DUMMYFUNCTION("""COMPUTED_VALUE"""),-3.0)</f>
        <v>-3</v>
      </c>
      <c r="AX477" s="16">
        <f>IFERROR(__xludf.DUMMYFUNCTION("""COMPUTED_VALUE"""),-3.0)</f>
        <v>-3</v>
      </c>
      <c r="AY477" s="16">
        <f>IFERROR(__xludf.DUMMYFUNCTION("""COMPUTED_VALUE"""),-3.0)</f>
        <v>-3</v>
      </c>
      <c r="AZ477" s="16">
        <f>IFERROR(__xludf.DUMMYFUNCTION("""COMPUTED_VALUE"""),-9.0)</f>
        <v>-9</v>
      </c>
      <c r="BA477" s="16">
        <f>IFERROR(__xludf.DUMMYFUNCTION("""COMPUTED_VALUE"""),-9.0)</f>
        <v>-9</v>
      </c>
      <c r="BB477" s="16">
        <f>IFERROR(__xludf.DUMMYFUNCTION("""COMPUTED_VALUE"""),5.0)</f>
        <v>5</v>
      </c>
      <c r="BC477" s="16">
        <f>IFERROR(__xludf.DUMMYFUNCTION("""COMPUTED_VALUE"""),5.0)</f>
        <v>5</v>
      </c>
      <c r="BD477" s="16">
        <f>IFERROR(__xludf.DUMMYFUNCTION("""COMPUTED_VALUE"""),1.0)</f>
        <v>1</v>
      </c>
      <c r="BE477" s="16">
        <f>IFERROR(__xludf.DUMMYFUNCTION("""COMPUTED_VALUE"""),1.0)</f>
        <v>1</v>
      </c>
      <c r="BF477" s="16">
        <f>IFERROR(__xludf.DUMMYFUNCTION("""COMPUTED_VALUE"""),1.0)</f>
        <v>1</v>
      </c>
      <c r="BG477" s="16">
        <f>IFERROR(__xludf.DUMMYFUNCTION("""COMPUTED_VALUE"""),1.0)</f>
        <v>1</v>
      </c>
      <c r="BH477" s="16">
        <f>IFERROR(__xludf.DUMMYFUNCTION("""COMPUTED_VALUE"""),-9.0)</f>
        <v>-9</v>
      </c>
      <c r="BI477" s="16">
        <f>IFERROR(__xludf.DUMMYFUNCTION("""COMPUTED_VALUE"""),-7.0)</f>
        <v>-7</v>
      </c>
      <c r="BJ477" s="16">
        <f>IFERROR(__xludf.DUMMYFUNCTION("""COMPUTED_VALUE"""),17.0)</f>
        <v>17</v>
      </c>
      <c r="BK477" s="16">
        <f>IFERROR(__xludf.DUMMYFUNCTION("""COMPUTED_VALUE"""),22.0)</f>
        <v>22</v>
      </c>
      <c r="BL477" s="16">
        <f>IFERROR(__xludf.DUMMYFUNCTION("""COMPUTED_VALUE"""),-1.0)</f>
        <v>-1</v>
      </c>
      <c r="BM477" s="16">
        <f>IFERROR(__xludf.DUMMYFUNCTION("""COMPUTED_VALUE"""),-2.0)</f>
        <v>-2</v>
      </c>
      <c r="BN477" s="16">
        <f>IFERROR(__xludf.DUMMYFUNCTION("""COMPUTED_VALUE"""),-2.0)</f>
        <v>-2</v>
      </c>
      <c r="BO477" s="16">
        <f>IFERROR(__xludf.DUMMYFUNCTION("""COMPUTED_VALUE"""),-4.0)</f>
        <v>-4</v>
      </c>
      <c r="BP477" s="16">
        <f>IFERROR(__xludf.DUMMYFUNCTION("""COMPUTED_VALUE"""),-5.0)</f>
        <v>-5</v>
      </c>
      <c r="BQ477" s="16">
        <f>IFERROR(__xludf.DUMMYFUNCTION("""COMPUTED_VALUE"""),-14.0)</f>
        <v>-14</v>
      </c>
      <c r="BR477" s="16">
        <f>IFERROR(__xludf.DUMMYFUNCTION("""COMPUTED_VALUE"""),-19.0)</f>
        <v>-19</v>
      </c>
      <c r="BS477" s="16" t="str">
        <f>IFERROR(__xludf.DUMMYFUNCTION("""COMPUTED_VALUE"""),"4/- (20-6)")</f>
        <v>4/- (20-6)</v>
      </c>
      <c r="BT477" s="16" t="str">
        <f>IFERROR(__xludf.DUMMYFUNCTION("""COMPUTED_VALUE"""),"D")</f>
        <v>D</v>
      </c>
      <c r="BU477" s="16">
        <f>IFERROR(__xludf.DUMMYFUNCTION("""COMPUTED_VALUE"""),13.0)</f>
        <v>13</v>
      </c>
      <c r="BV477" s="16">
        <f>IFERROR(__xludf.DUMMYFUNCTION("""COMPUTED_VALUE"""),0.0)</f>
        <v>0</v>
      </c>
      <c r="BW477" s="16">
        <f>IFERROR(__xludf.DUMMYFUNCTION("""COMPUTED_VALUE"""),1.0)</f>
        <v>1</v>
      </c>
      <c r="BX477" s="16">
        <f>IFERROR(__xludf.DUMMYFUNCTION("""COMPUTED_VALUE"""),0.0)</f>
        <v>0</v>
      </c>
      <c r="BY477" s="16">
        <f>IFERROR(__xludf.DUMMYFUNCTION("""COMPUTED_VALUE"""),3.0)</f>
        <v>3</v>
      </c>
      <c r="BZ477" s="16" t="str">
        <f>IFERROR(__xludf.DUMMYFUNCTION("""COMPUTED_VALUE"""),"D")</f>
        <v>D</v>
      </c>
      <c r="CA477" s="16" t="str">
        <f>IFERROR(__xludf.DUMMYFUNCTION("""COMPUTED_VALUE"""),"C")</f>
        <v>C</v>
      </c>
      <c r="CB477" s="16">
        <f>IFERROR(__xludf.DUMMYFUNCTION("""COMPUTED_VALUE"""),0.0)</f>
        <v>0</v>
      </c>
      <c r="CC477" s="16">
        <f>IFERROR(__xludf.DUMMYFUNCTION("""COMPUTED_VALUE"""),0.0)</f>
        <v>0</v>
      </c>
      <c r="CD477" s="16">
        <f>IFERROR(__xludf.DUMMYFUNCTION("""COMPUTED_VALUE"""),0.0)</f>
        <v>0</v>
      </c>
      <c r="CE477" s="16">
        <f>IFERROR(__xludf.DUMMYFUNCTION("""COMPUTED_VALUE"""),0.0)</f>
        <v>0</v>
      </c>
      <c r="CF477" s="16">
        <f>IFERROR(__xludf.DUMMYFUNCTION("""COMPUTED_VALUE"""),5.0)</f>
        <v>5</v>
      </c>
      <c r="CG477" s="16">
        <f>IFERROR(__xludf.DUMMYFUNCTION("""COMPUTED_VALUE"""),-18.0)</f>
        <v>-18</v>
      </c>
      <c r="CH477" s="16">
        <f>IFERROR(__xludf.DUMMYFUNCTION("""COMPUTED_VALUE"""),-43.0)</f>
        <v>-43</v>
      </c>
      <c r="CI477" s="179">
        <f>IFERROR(__xludf.DUMMYFUNCTION("""COMPUTED_VALUE"""),-42.0)</f>
        <v>-42</v>
      </c>
      <c r="CJ477" s="16"/>
      <c r="CK477" s="16"/>
      <c r="CL477" s="16">
        <f>IFERROR(__xludf.DUMMYFUNCTION("""COMPUTED_VALUE"""),418.0)</f>
        <v>418</v>
      </c>
      <c r="CM477" s="16"/>
      <c r="CN477" s="16"/>
      <c r="CO477" s="16"/>
      <c r="CP477" s="16"/>
      <c r="CQ477" s="16"/>
      <c r="CR477" s="16" t="str">
        <f>IFERROR(__xludf.DUMMYFUNCTION("""COMPUTED_VALUE"""),"2b-4e18")</f>
        <v>2b-4e18</v>
      </c>
      <c r="CS477" s="16"/>
      <c r="CT477" s="16"/>
      <c r="CU477" s="16">
        <f>IFERROR(__xludf.DUMMYFUNCTION("""COMPUTED_VALUE"""),4.0)</f>
        <v>4</v>
      </c>
      <c r="CV477" s="16"/>
      <c r="CW477" s="16"/>
      <c r="CX477" s="16"/>
      <c r="CY477" s="16"/>
      <c r="CZ477" s="16"/>
      <c r="DA477" s="16"/>
      <c r="DB477" s="16"/>
      <c r="DC477" s="16">
        <f>IFERROR(__xludf.DUMMYFUNCTION("""COMPUTED_VALUE"""),18.0)</f>
        <v>18</v>
      </c>
      <c r="DD477" s="16"/>
      <c r="DE477" s="16"/>
      <c r="DF477" s="16"/>
      <c r="DG477" s="16"/>
      <c r="DH477" s="16"/>
      <c r="DI477" s="16"/>
      <c r="DJ477" s="16"/>
      <c r="DK477" s="16">
        <f>IFERROR(__xludf.DUMMYFUNCTION("""COMPUTED_VALUE"""),-2.0)</f>
        <v>-2</v>
      </c>
      <c r="DL477" s="16"/>
      <c r="DM477" s="16"/>
      <c r="DN477" s="16"/>
      <c r="DO477" s="16"/>
      <c r="DP477" s="16"/>
      <c r="DQ477" s="16"/>
      <c r="DR477" s="16"/>
      <c r="DS477" s="16">
        <f>IFERROR(__xludf.DUMMYFUNCTION("""COMPUTED_VALUE"""),2.0)</f>
        <v>2</v>
      </c>
      <c r="DT477" s="16"/>
      <c r="DU477" s="16"/>
      <c r="DV477" s="16"/>
      <c r="DW477" s="16"/>
      <c r="DX477" s="16"/>
      <c r="DY477" s="16"/>
      <c r="DZ477" s="16"/>
      <c r="EA477" s="16">
        <f>IFERROR(__xludf.DUMMYFUNCTION("""COMPUTED_VALUE"""),0.0)</f>
        <v>0</v>
      </c>
      <c r="EB477" s="16"/>
      <c r="EC477" s="16"/>
      <c r="ED477" s="16"/>
      <c r="EE477" s="16"/>
      <c r="EF477" s="16"/>
      <c r="EG477" s="179"/>
      <c r="EH477" s="179"/>
      <c r="EI477" s="179">
        <f>IFERROR(__xludf.DUMMYFUNCTION("""COMPUTED_VALUE"""),-42.0)</f>
        <v>-42</v>
      </c>
      <c r="EJ477" s="179"/>
      <c r="EK477" s="179"/>
      <c r="EL477" s="179"/>
      <c r="EM477" s="179"/>
      <c r="EN477" s="179"/>
      <c r="EO477" s="16"/>
      <c r="EP477" s="16"/>
      <c r="EQ477" s="16">
        <f>IFERROR(__xludf.DUMMYFUNCTION("""COMPUTED_VALUE"""),-2.0)</f>
        <v>-2</v>
      </c>
      <c r="ER477" s="16">
        <f>IFERROR(__xludf.DUMMYFUNCTION("""COMPUTED_VALUE"""),-4.0)</f>
        <v>-4</v>
      </c>
      <c r="ES477" s="16"/>
      <c r="ET477" s="16"/>
      <c r="EU477" s="16"/>
      <c r="EV477" s="16"/>
      <c r="EW477" s="16"/>
      <c r="EX477" s="180"/>
      <c r="EY477" s="180"/>
      <c r="EZ477" s="180">
        <f>IFERROR(__xludf.DUMMYFUNCTION("""COMPUTED_VALUE"""),0.3)</f>
        <v>0.3</v>
      </c>
      <c r="FA477" s="180"/>
      <c r="FB477" s="180"/>
      <c r="FC477" s="180"/>
      <c r="FD477" s="180"/>
      <c r="FE477" s="180"/>
      <c r="FF477" s="180"/>
      <c r="FG477" s="180"/>
      <c r="FH477" s="180">
        <f>IFERROR(__xludf.DUMMYFUNCTION("""COMPUTED_VALUE"""),0.10648148148148148)</f>
        <v>0.1064814815</v>
      </c>
      <c r="FI477" s="180"/>
      <c r="FJ477" s="180"/>
      <c r="FK477" s="180"/>
      <c r="FL477" s="180"/>
      <c r="FM477" s="180"/>
      <c r="FN477" s="16"/>
      <c r="FO477" s="16"/>
      <c r="FP477" s="16">
        <f>IFERROR(__xludf.DUMMYFUNCTION("""COMPUTED_VALUE"""),0.6254629629629629)</f>
        <v>0.625462963</v>
      </c>
      <c r="FQ477" s="16"/>
      <c r="FR477" s="16"/>
      <c r="FS477" s="16"/>
      <c r="FT477" s="16"/>
      <c r="FU477" s="16"/>
      <c r="FV477" s="16"/>
      <c r="FW477" s="16"/>
      <c r="FX477" s="16">
        <f>IFERROR(__xludf.DUMMYFUNCTION("""COMPUTED_VALUE"""),-6.0)</f>
        <v>-6</v>
      </c>
      <c r="FY477" s="16"/>
      <c r="FZ477" s="16"/>
      <c r="GA477" s="16"/>
      <c r="GB477" s="16"/>
      <c r="GC477" s="16"/>
      <c r="GD477" s="16" t="s">
        <v>176</v>
      </c>
    </row>
    <row r="478">
      <c r="A478" s="16">
        <f>IFERROR(__xludf.DUMMYFUNCTION("""COMPUTED_VALUE"""),13334.0)</f>
        <v>13334</v>
      </c>
      <c r="B478" s="16" t="str">
        <f>IFERROR(__xludf.DUMMYFUNCTION("""COMPUTED_VALUE"""),"Ryan Kreidler")</f>
        <v>Ryan Kreidler</v>
      </c>
      <c r="C478" s="16">
        <f>IFERROR(__xludf.DUMMYFUNCTION("""COMPUTED_VALUE"""),0.0)</f>
        <v>0</v>
      </c>
      <c r="D478" s="16" t="str">
        <f>IFERROR(__xludf.DUMMYFUNCTION("""COMPUTED_VALUE"""),"R")</f>
        <v>R</v>
      </c>
      <c r="E478" s="16"/>
      <c r="F478" s="16"/>
      <c r="G478" s="16">
        <f>IFERROR(__xludf.DUMMYFUNCTION("""COMPUTED_VALUE"""),59.0)</f>
        <v>59</v>
      </c>
      <c r="H478" s="16">
        <f>IFERROR(__xludf.DUMMYFUNCTION("""COMPUTED_VALUE"""),6.0)</f>
        <v>6</v>
      </c>
      <c r="I478" s="16" t="str">
        <f>IFERROR(__xludf.DUMMYFUNCTION("""COMPUTED_VALUE"""),"1p20")</f>
        <v>1p20</v>
      </c>
      <c r="J478" s="16">
        <f>IFERROR(__xludf.DUMMYFUNCTION("""COMPUTED_VALUE"""),21.0)</f>
        <v>21</v>
      </c>
      <c r="K478" s="16">
        <f>IFERROR(__xludf.DUMMYFUNCTION("""COMPUTED_VALUE"""),45.0)</f>
        <v>45</v>
      </c>
      <c r="L478" s="16">
        <f>IFERROR(__xludf.DUMMYFUNCTION("""COMPUTED_VALUE"""),0.0)</f>
        <v>0</v>
      </c>
      <c r="M478" s="16">
        <f>IFERROR(__xludf.DUMMYFUNCTION("""COMPUTED_VALUE"""),-2.0)</f>
        <v>-2</v>
      </c>
      <c r="N478" s="16">
        <f>IFERROR(__xludf.DUMMYFUNCTION("""COMPUTED_VALUE"""),0.0)</f>
        <v>0</v>
      </c>
      <c r="O478" s="16">
        <f>IFERROR(__xludf.DUMMYFUNCTION("""COMPUTED_VALUE"""),-2.0)</f>
        <v>-2</v>
      </c>
      <c r="P478" s="16">
        <f>IFERROR(__xludf.DUMMYFUNCTION("""COMPUTED_VALUE"""),2.0)</f>
        <v>2</v>
      </c>
      <c r="Q478" s="16">
        <f>IFERROR(__xludf.DUMMYFUNCTION("""COMPUTED_VALUE"""),16.0)</f>
        <v>16</v>
      </c>
      <c r="R478" s="16">
        <f>IFERROR(__xludf.DUMMYFUNCTION("""COMPUTED_VALUE"""),-2.0)</f>
        <v>-2</v>
      </c>
      <c r="S478" s="16">
        <f>IFERROR(__xludf.DUMMYFUNCTION("""COMPUTED_VALUE"""),2.0)</f>
        <v>2</v>
      </c>
      <c r="T478" s="16">
        <f>IFERROR(__xludf.DUMMYFUNCTION("""COMPUTED_VALUE"""),-2.0)</f>
        <v>-2</v>
      </c>
      <c r="U478" s="16">
        <f>IFERROR(__xludf.DUMMYFUNCTION("""COMPUTED_VALUE"""),2.0)</f>
        <v>2</v>
      </c>
      <c r="V478" s="16">
        <f>IFERROR(__xludf.DUMMYFUNCTION("""COMPUTED_VALUE"""),0.0)</f>
        <v>0</v>
      </c>
      <c r="W478" s="16">
        <f>IFERROR(__xludf.DUMMYFUNCTION("""COMPUTED_VALUE"""),0.9)</f>
        <v>0.9</v>
      </c>
      <c r="X478" s="16">
        <f>IFERROR(__xludf.DUMMYFUNCTION("""COMPUTED_VALUE"""),-2.0)</f>
        <v>-2</v>
      </c>
      <c r="Y478" s="16">
        <f>IFERROR(__xludf.DUMMYFUNCTION("""COMPUTED_VALUE"""),-3.0)</f>
        <v>-3</v>
      </c>
      <c r="Z478" s="16">
        <f>IFERROR(__xludf.DUMMYFUNCTION("""COMPUTED_VALUE"""),-4.0)</f>
        <v>-4</v>
      </c>
      <c r="AA478" s="16">
        <f>IFERROR(__xludf.DUMMYFUNCTION("""COMPUTED_VALUE"""),-6.0)</f>
        <v>-6</v>
      </c>
      <c r="AB478" s="16">
        <f>IFERROR(__xludf.DUMMYFUNCTION("""COMPUTED_VALUE"""),2.0)</f>
        <v>2</v>
      </c>
      <c r="AC478" s="16">
        <f>IFERROR(__xludf.DUMMYFUNCTION("""COMPUTED_VALUE"""),17.0)</f>
        <v>17</v>
      </c>
      <c r="AD478" s="16">
        <f>IFERROR(__xludf.DUMMYFUNCTION("""COMPUTED_VALUE"""),-3.0)</f>
        <v>-3</v>
      </c>
      <c r="AE478" s="16">
        <f>IFERROR(__xludf.DUMMYFUNCTION("""COMPUTED_VALUE"""),-2.0)</f>
        <v>-2</v>
      </c>
      <c r="AF478" s="16">
        <f>IFERROR(__xludf.DUMMYFUNCTION("""COMPUTED_VALUE"""),-15.0)</f>
        <v>-15</v>
      </c>
      <c r="AG478" s="16">
        <f>IFERROR(__xludf.DUMMYFUNCTION("""COMPUTED_VALUE"""),-10.0)</f>
        <v>-10</v>
      </c>
      <c r="AH478" s="16">
        <f>IFERROR(__xludf.DUMMYFUNCTION("""COMPUTED_VALUE"""),0.0)</f>
        <v>0</v>
      </c>
      <c r="AI478" s="16">
        <f>IFERROR(__xludf.DUMMYFUNCTION("""COMPUTED_VALUE"""),3.6)</f>
        <v>3.6</v>
      </c>
      <c r="AJ478" s="16">
        <f>IFERROR(__xludf.DUMMYFUNCTION("""COMPUTED_VALUE"""),-2.0)</f>
        <v>-2</v>
      </c>
      <c r="AK478" s="16">
        <f>IFERROR(__xludf.DUMMYFUNCTION("""COMPUTED_VALUE"""),-3.0)</f>
        <v>-3</v>
      </c>
      <c r="AL478" s="16">
        <f>IFERROR(__xludf.DUMMYFUNCTION("""COMPUTED_VALUE"""),-10.0)</f>
        <v>-10</v>
      </c>
      <c r="AM478" s="16">
        <f>IFERROR(__xludf.DUMMYFUNCTION("""COMPUTED_VALUE"""),-15.0)</f>
        <v>-15</v>
      </c>
      <c r="AN478" s="16">
        <f>IFERROR(__xludf.DUMMYFUNCTION("""COMPUTED_VALUE"""),0.0)</f>
        <v>0</v>
      </c>
      <c r="AO478" s="16">
        <f>IFERROR(__xludf.DUMMYFUNCTION("""COMPUTED_VALUE"""),0.9)</f>
        <v>0.9</v>
      </c>
      <c r="AP478" s="16">
        <f>IFERROR(__xludf.DUMMYFUNCTION("""COMPUTED_VALUE"""),-2.0)</f>
        <v>-2</v>
      </c>
      <c r="AQ478" s="16">
        <f>IFERROR(__xludf.DUMMYFUNCTION("""COMPUTED_VALUE"""),-2.0)</f>
        <v>-2</v>
      </c>
      <c r="AR478" s="16">
        <f>IFERROR(__xludf.DUMMYFUNCTION("""COMPUTED_VALUE"""),-4.0)</f>
        <v>-4</v>
      </c>
      <c r="AS478" s="16">
        <f>IFERROR(__xludf.DUMMYFUNCTION("""COMPUTED_VALUE"""),-4.0)</f>
        <v>-4</v>
      </c>
      <c r="AT478" s="16"/>
      <c r="AU478" s="16"/>
      <c r="AV478" s="16">
        <f>IFERROR(__xludf.DUMMYFUNCTION("""COMPUTED_VALUE"""),-3.0)</f>
        <v>-3</v>
      </c>
      <c r="AW478" s="16">
        <f>IFERROR(__xludf.DUMMYFUNCTION("""COMPUTED_VALUE"""),1.0)</f>
        <v>1</v>
      </c>
      <c r="AX478" s="16">
        <f>IFERROR(__xludf.DUMMYFUNCTION("""COMPUTED_VALUE"""),-3.0)</f>
        <v>-3</v>
      </c>
      <c r="AY478" s="16">
        <f>IFERROR(__xludf.DUMMYFUNCTION("""COMPUTED_VALUE"""),-1.0)</f>
        <v>-1</v>
      </c>
      <c r="AZ478" s="16">
        <f>IFERROR(__xludf.DUMMYFUNCTION("""COMPUTED_VALUE"""),-9.0)</f>
        <v>-9</v>
      </c>
      <c r="BA478" s="16">
        <f>IFERROR(__xludf.DUMMYFUNCTION("""COMPUTED_VALUE"""),-3.0)</f>
        <v>-3</v>
      </c>
      <c r="BB478" s="16">
        <f>IFERROR(__xludf.DUMMYFUNCTION("""COMPUTED_VALUE"""),0.0)</f>
        <v>0</v>
      </c>
      <c r="BC478" s="16">
        <f>IFERROR(__xludf.DUMMYFUNCTION("""COMPUTED_VALUE"""),0.0)</f>
        <v>0</v>
      </c>
      <c r="BD478" s="16">
        <f>IFERROR(__xludf.DUMMYFUNCTION("""COMPUTED_VALUE"""),0.0)</f>
        <v>0</v>
      </c>
      <c r="BE478" s="16">
        <f>IFERROR(__xludf.DUMMYFUNCTION("""COMPUTED_VALUE"""),0.0)</f>
        <v>0</v>
      </c>
      <c r="BF478" s="16">
        <f>IFERROR(__xludf.DUMMYFUNCTION("""COMPUTED_VALUE"""),0.0)</f>
        <v>0</v>
      </c>
      <c r="BG478" s="16">
        <f>IFERROR(__xludf.DUMMYFUNCTION("""COMPUTED_VALUE"""),0.0)</f>
        <v>0</v>
      </c>
      <c r="BH478" s="16">
        <f>IFERROR(__xludf.DUMMYFUNCTION("""COMPUTED_VALUE"""),0.0)</f>
        <v>0</v>
      </c>
      <c r="BI478" s="16">
        <f>IFERROR(__xludf.DUMMYFUNCTION("""COMPUTED_VALUE"""),0.0)</f>
        <v>0</v>
      </c>
      <c r="BJ478" s="16">
        <f>IFERROR(__xludf.DUMMYFUNCTION("""COMPUTED_VALUE"""),26.0)</f>
        <v>26</v>
      </c>
      <c r="BK478" s="16">
        <f>IFERROR(__xludf.DUMMYFUNCTION("""COMPUTED_VALUE"""),22.0)</f>
        <v>22</v>
      </c>
      <c r="BL478" s="16">
        <f>IFERROR(__xludf.DUMMYFUNCTION("""COMPUTED_VALUE"""),-2.0)</f>
        <v>-2</v>
      </c>
      <c r="BM478" s="16">
        <f>IFERROR(__xludf.DUMMYFUNCTION("""COMPUTED_VALUE"""),-2.0)</f>
        <v>-2</v>
      </c>
      <c r="BN478" s="16">
        <f>IFERROR(__xludf.DUMMYFUNCTION("""COMPUTED_VALUE"""),-4.0)</f>
        <v>-4</v>
      </c>
      <c r="BO478" s="16">
        <f>IFERROR(__xludf.DUMMYFUNCTION("""COMPUTED_VALUE"""),-4.0)</f>
        <v>-4</v>
      </c>
      <c r="BP478" s="16">
        <f>IFERROR(__xludf.DUMMYFUNCTION("""COMPUTED_VALUE"""),-16.0)</f>
        <v>-16</v>
      </c>
      <c r="BQ478" s="16">
        <f>IFERROR(__xludf.DUMMYFUNCTION("""COMPUTED_VALUE"""),-13.0)</f>
        <v>-13</v>
      </c>
      <c r="BR478" s="16">
        <f>IFERROR(__xludf.DUMMYFUNCTION("""COMPUTED_VALUE"""),-29.0)</f>
        <v>-29</v>
      </c>
      <c r="BS478" s="16" t="str">
        <f>IFERROR(__xludf.DUMMYFUNCTION("""COMPUTED_VALUE"""),"*2-12/- (15-13)")</f>
        <v>*2-12/- (15-13)</v>
      </c>
      <c r="BT478" s="16" t="str">
        <f>IFERROR(__xludf.DUMMYFUNCTION("""COMPUTED_VALUE"""),"B")</f>
        <v>B</v>
      </c>
      <c r="BU478" s="16">
        <f>IFERROR(__xludf.DUMMYFUNCTION("""COMPUTED_VALUE"""),13.0)</f>
        <v>13</v>
      </c>
      <c r="BV478" s="16">
        <f>IFERROR(__xludf.DUMMYFUNCTION("""COMPUTED_VALUE"""),1.0)</f>
        <v>1</v>
      </c>
      <c r="BW478" s="16">
        <f>IFERROR(__xludf.DUMMYFUNCTION("""COMPUTED_VALUE"""),1.0)</f>
        <v>1</v>
      </c>
      <c r="BX478" s="16">
        <f>IFERROR(__xludf.DUMMYFUNCTION("""COMPUTED_VALUE"""),2.0)</f>
        <v>2</v>
      </c>
      <c r="BY478" s="16">
        <f>IFERROR(__xludf.DUMMYFUNCTION("""COMPUTED_VALUE"""),3.0)</f>
        <v>3</v>
      </c>
      <c r="BZ478" s="16" t="str">
        <f>IFERROR(__xludf.DUMMYFUNCTION("""COMPUTED_VALUE"""),"D")</f>
        <v>D</v>
      </c>
      <c r="CA478" s="16" t="str">
        <f>IFERROR(__xludf.DUMMYFUNCTION("""COMPUTED_VALUE"""),"D")</f>
        <v>D</v>
      </c>
      <c r="CB478" s="16">
        <f>IFERROR(__xludf.DUMMYFUNCTION("""COMPUTED_VALUE"""),0.0)</f>
        <v>0</v>
      </c>
      <c r="CC478" s="16">
        <f>IFERROR(__xludf.DUMMYFUNCTION("""COMPUTED_VALUE"""),0.0)</f>
        <v>0</v>
      </c>
      <c r="CD478" s="16">
        <f>IFERROR(__xludf.DUMMYFUNCTION("""COMPUTED_VALUE"""),0.0)</f>
        <v>0</v>
      </c>
      <c r="CE478" s="16">
        <f>IFERROR(__xludf.DUMMYFUNCTION("""COMPUTED_VALUE"""),0.0)</f>
        <v>0</v>
      </c>
      <c r="CF478" s="16">
        <f>IFERROR(__xludf.DUMMYFUNCTION("""COMPUTED_VALUE"""),1.0)</f>
        <v>1</v>
      </c>
      <c r="CG478" s="16">
        <f>IFERROR(__xludf.DUMMYFUNCTION("""COMPUTED_VALUE"""),-48.0)</f>
        <v>-48</v>
      </c>
      <c r="CH478" s="16">
        <f>IFERROR(__xludf.DUMMYFUNCTION("""COMPUTED_VALUE"""),-42.0)</f>
        <v>-42</v>
      </c>
      <c r="CI478" s="179">
        <f>IFERROR(__xludf.DUMMYFUNCTION("""COMPUTED_VALUE"""),-42.0)</f>
        <v>-42</v>
      </c>
      <c r="CJ478" s="16"/>
      <c r="CK478" s="16"/>
      <c r="CL478" s="16"/>
      <c r="CM478" s="16">
        <f>IFERROR(__xludf.DUMMYFUNCTION("""COMPUTED_VALUE"""),216.0)</f>
        <v>216</v>
      </c>
      <c r="CN478" s="16">
        <f>IFERROR(__xludf.DUMMYFUNCTION("""COMPUTED_VALUE"""),319.0)</f>
        <v>319</v>
      </c>
      <c r="CO478" s="16">
        <f>IFERROR(__xludf.DUMMYFUNCTION("""COMPUTED_VALUE"""),405.0)</f>
        <v>405</v>
      </c>
      <c r="CP478" s="16">
        <f>IFERROR(__xludf.DUMMYFUNCTION("""COMPUTED_VALUE"""),405.0)</f>
        <v>405</v>
      </c>
      <c r="CQ478" s="16"/>
      <c r="CR478" s="16" t="str">
        <f>IFERROR(__xludf.DUMMYFUNCTION("""COMPUTED_VALUE"""),"ss-3e19 3b-2e16 lf-4(+1)e5 cf-4e5")</f>
        <v>ss-3e19 3b-2e16 lf-4(+1)e5 cf-4e5</v>
      </c>
      <c r="CS478" s="16"/>
      <c r="CT478" s="16"/>
      <c r="CU478" s="16"/>
      <c r="CV478" s="16">
        <f>IFERROR(__xludf.DUMMYFUNCTION("""COMPUTED_VALUE"""),2.0)</f>
        <v>2</v>
      </c>
      <c r="CW478" s="16">
        <f>IFERROR(__xludf.DUMMYFUNCTION("""COMPUTED_VALUE"""),3.0)</f>
        <v>3</v>
      </c>
      <c r="CX478" s="16">
        <f>IFERROR(__xludf.DUMMYFUNCTION("""COMPUTED_VALUE"""),4.0)</f>
        <v>4</v>
      </c>
      <c r="CY478" s="16">
        <f>IFERROR(__xludf.DUMMYFUNCTION("""COMPUTED_VALUE"""),4.0)</f>
        <v>4</v>
      </c>
      <c r="CZ478" s="16"/>
      <c r="DA478" s="16"/>
      <c r="DB478" s="16"/>
      <c r="DC478" s="16"/>
      <c r="DD478" s="16">
        <f>IFERROR(__xludf.DUMMYFUNCTION("""COMPUTED_VALUE"""),16.0)</f>
        <v>16</v>
      </c>
      <c r="DE478" s="16">
        <f>IFERROR(__xludf.DUMMYFUNCTION("""COMPUTED_VALUE"""),19.0)</f>
        <v>19</v>
      </c>
      <c r="DF478" s="16">
        <f>IFERROR(__xludf.DUMMYFUNCTION("""COMPUTED_VALUE"""),5.0)</f>
        <v>5</v>
      </c>
      <c r="DG478" s="16">
        <f>IFERROR(__xludf.DUMMYFUNCTION("""COMPUTED_VALUE"""),5.0)</f>
        <v>5</v>
      </c>
      <c r="DH478" s="16"/>
      <c r="DI478" s="16"/>
      <c r="DJ478" s="16"/>
      <c r="DK478" s="16"/>
      <c r="DL478" s="16">
        <f>IFERROR(__xludf.DUMMYFUNCTION("""COMPUTED_VALUE"""),3.0)</f>
        <v>3</v>
      </c>
      <c r="DM478" s="16">
        <f>IFERROR(__xludf.DUMMYFUNCTION("""COMPUTED_VALUE"""),0.0)</f>
        <v>0</v>
      </c>
      <c r="DN478" s="16">
        <f>IFERROR(__xludf.DUMMYFUNCTION("""COMPUTED_VALUE"""),-1.0)</f>
        <v>-1</v>
      </c>
      <c r="DO478" s="16">
        <f>IFERROR(__xludf.DUMMYFUNCTION("""COMPUTED_VALUE"""),-2.0)</f>
        <v>-2</v>
      </c>
      <c r="DP478" s="16"/>
      <c r="DQ478" s="16"/>
      <c r="DR478" s="16"/>
      <c r="DS478" s="16"/>
      <c r="DT478" s="16">
        <f>IFERROR(__xludf.DUMMYFUNCTION("""COMPUTED_VALUE"""),0.0)</f>
        <v>0</v>
      </c>
      <c r="DU478" s="16">
        <f>IFERROR(__xludf.DUMMYFUNCTION("""COMPUTED_VALUE"""),2.0)</f>
        <v>2</v>
      </c>
      <c r="DV478" s="16">
        <f>IFERROR(__xludf.DUMMYFUNCTION("""COMPUTED_VALUE"""),2.0)</f>
        <v>2</v>
      </c>
      <c r="DW478" s="16">
        <f>IFERROR(__xludf.DUMMYFUNCTION("""COMPUTED_VALUE"""),3.0)</f>
        <v>3</v>
      </c>
      <c r="DX478" s="16"/>
      <c r="DY478" s="16"/>
      <c r="DZ478" s="16"/>
      <c r="EA478" s="16"/>
      <c r="EB478" s="16">
        <f>IFERROR(__xludf.DUMMYFUNCTION("""COMPUTED_VALUE"""),3.0)</f>
        <v>3</v>
      </c>
      <c r="EC478" s="16">
        <f>IFERROR(__xludf.DUMMYFUNCTION("""COMPUTED_VALUE"""),2.0)</f>
        <v>2</v>
      </c>
      <c r="ED478" s="16">
        <f>IFERROR(__xludf.DUMMYFUNCTION("""COMPUTED_VALUE"""),1.0)</f>
        <v>1</v>
      </c>
      <c r="EE478" s="16">
        <f>IFERROR(__xludf.DUMMYFUNCTION("""COMPUTED_VALUE"""),1.0)</f>
        <v>1</v>
      </c>
      <c r="EF478" s="16"/>
      <c r="EG478" s="179"/>
      <c r="EH478" s="179"/>
      <c r="EI478" s="179"/>
      <c r="EJ478" s="179">
        <f>IFERROR(__xludf.DUMMYFUNCTION("""COMPUTED_VALUE"""),-39.0)</f>
        <v>-39</v>
      </c>
      <c r="EK478" s="179">
        <f>IFERROR(__xludf.DUMMYFUNCTION("""COMPUTED_VALUE"""),-40.0)</f>
        <v>-40</v>
      </c>
      <c r="EL478" s="179">
        <f>IFERROR(__xludf.DUMMYFUNCTION("""COMPUTED_VALUE"""),-41.0)</f>
        <v>-41</v>
      </c>
      <c r="EM478" s="179">
        <f>IFERROR(__xludf.DUMMYFUNCTION("""COMPUTED_VALUE"""),-41.0)</f>
        <v>-41</v>
      </c>
      <c r="EN478" s="179"/>
      <c r="EO478" s="16"/>
      <c r="EP478" s="16">
        <f>IFERROR(__xludf.DUMMYFUNCTION("""COMPUTED_VALUE"""),-1.0)</f>
        <v>-1</v>
      </c>
      <c r="EQ478" s="16">
        <f>IFERROR(__xludf.DUMMYFUNCTION("""COMPUTED_VALUE"""),4.0)</f>
        <v>4</v>
      </c>
      <c r="ER478" s="16">
        <f>IFERROR(__xludf.DUMMYFUNCTION("""COMPUTED_VALUE"""),-4.0)</f>
        <v>-4</v>
      </c>
      <c r="ES478" s="16"/>
      <c r="ET478" s="16"/>
      <c r="EU478" s="16"/>
      <c r="EV478" s="16"/>
      <c r="EW478" s="16"/>
      <c r="EX478" s="180"/>
      <c r="EY478" s="180"/>
      <c r="EZ478" s="180"/>
      <c r="FA478" s="180">
        <f>IFERROR(__xludf.DUMMYFUNCTION("""COMPUTED_VALUE"""),0.1)</f>
        <v>0.1</v>
      </c>
      <c r="FB478" s="180">
        <f>IFERROR(__xludf.DUMMYFUNCTION("""COMPUTED_VALUE"""),0.2)</f>
        <v>0.2</v>
      </c>
      <c r="FC478" s="180">
        <f>IFERROR(__xludf.DUMMYFUNCTION("""COMPUTED_VALUE"""),0.55)</f>
        <v>0.55</v>
      </c>
      <c r="FD478" s="180">
        <f>IFERROR(__xludf.DUMMYFUNCTION("""COMPUTED_VALUE"""),0.55)</f>
        <v>0.55</v>
      </c>
      <c r="FE478" s="180"/>
      <c r="FF478" s="180"/>
      <c r="FG478" s="180"/>
      <c r="FH478" s="180"/>
      <c r="FI478" s="180">
        <f>IFERROR(__xludf.DUMMYFUNCTION("""COMPUTED_VALUE"""),0.18981481481481483)</f>
        <v>0.1898148148</v>
      </c>
      <c r="FJ478" s="180">
        <f>IFERROR(__xludf.DUMMYFUNCTION("""COMPUTED_VALUE"""),0.09722222222222222)</f>
        <v>0.09722222222</v>
      </c>
      <c r="FK478" s="180">
        <f>IFERROR(__xludf.DUMMYFUNCTION("""COMPUTED_VALUE"""),0.088)</f>
        <v>0.088</v>
      </c>
      <c r="FL478" s="180">
        <f>IFERROR(__xludf.DUMMYFUNCTION("""COMPUTED_VALUE"""),0.06018518518518518)</f>
        <v>0.06018518519</v>
      </c>
      <c r="FM478" s="180"/>
      <c r="FN478" s="16"/>
      <c r="FO478" s="16"/>
      <c r="FP478" s="16"/>
      <c r="FQ478" s="16">
        <f>IFERROR(__xludf.DUMMYFUNCTION("""COMPUTED_VALUE"""),0.7291666666666666)</f>
        <v>0.7291666667</v>
      </c>
      <c r="FR478" s="16">
        <f>IFERROR(__xludf.DUMMYFUNCTION("""COMPUTED_VALUE"""),0.7222222222222223)</f>
        <v>0.7222222222</v>
      </c>
      <c r="FS478" s="16">
        <f>IFERROR(__xludf.DUMMYFUNCTION("""COMPUTED_VALUE"""),0.4104)</f>
        <v>0.4104</v>
      </c>
      <c r="FT478" s="16">
        <f>IFERROR(__xludf.DUMMYFUNCTION("""COMPUTED_VALUE"""),0.4229166666666666)</f>
        <v>0.4229166667</v>
      </c>
      <c r="FU478" s="16"/>
      <c r="FV478" s="16"/>
      <c r="FW478" s="16"/>
      <c r="FX478" s="16"/>
      <c r="FY478" s="16">
        <f>IFERROR(__xludf.DUMMYFUNCTION("""COMPUTED_VALUE"""),-4.0)</f>
        <v>-4</v>
      </c>
      <c r="FZ478" s="16">
        <f>IFERROR(__xludf.DUMMYFUNCTION("""COMPUTED_VALUE"""),-4.0)</f>
        <v>-4</v>
      </c>
      <c r="GA478" s="16">
        <f>IFERROR(__xludf.DUMMYFUNCTION("""COMPUTED_VALUE"""),-7.0)</f>
        <v>-7</v>
      </c>
      <c r="GB478" s="16">
        <f>IFERROR(__xludf.DUMMYFUNCTION("""COMPUTED_VALUE"""),-7.0)</f>
        <v>-7</v>
      </c>
      <c r="GC478" s="16"/>
      <c r="GD478" s="16" t="s">
        <v>176</v>
      </c>
    </row>
    <row r="479">
      <c r="A479" s="16">
        <f>IFERROR(__xludf.DUMMYFUNCTION("""COMPUTED_VALUE"""),13017.0)</f>
        <v>13017</v>
      </c>
      <c r="B479" s="16" t="str">
        <f>IFERROR(__xludf.DUMMYFUNCTION("""COMPUTED_VALUE"""),"Jose Fermin")</f>
        <v>Jose Fermin</v>
      </c>
      <c r="C479" s="16">
        <f>IFERROR(__xludf.DUMMYFUNCTION("""COMPUTED_VALUE"""),0.0)</f>
        <v>0</v>
      </c>
      <c r="D479" s="16" t="str">
        <f>IFERROR(__xludf.DUMMYFUNCTION("""COMPUTED_VALUE"""),"R")</f>
        <v>R</v>
      </c>
      <c r="E479" s="16"/>
      <c r="F479" s="16"/>
      <c r="G479" s="16">
        <f>IFERROR(__xludf.DUMMYFUNCTION("""COMPUTED_VALUE"""),71.0)</f>
        <v>71</v>
      </c>
      <c r="H479" s="16">
        <f>IFERROR(__xludf.DUMMYFUNCTION("""COMPUTED_VALUE"""),7.0)</f>
        <v>7</v>
      </c>
      <c r="I479" s="16" t="str">
        <f>IFERROR(__xludf.DUMMYFUNCTION("""COMPUTED_VALUE"""),"1p20")</f>
        <v>1p20</v>
      </c>
      <c r="J479" s="16">
        <f>IFERROR(__xludf.DUMMYFUNCTION("""COMPUTED_VALUE"""),0.0)</f>
        <v>0</v>
      </c>
      <c r="K479" s="16">
        <f>IFERROR(__xludf.DUMMYFUNCTION("""COMPUTED_VALUE"""),25.0)</f>
        <v>25</v>
      </c>
      <c r="L479" s="16">
        <f>IFERROR(__xludf.DUMMYFUNCTION("""COMPUTED_VALUE"""),3.0)</f>
        <v>3</v>
      </c>
      <c r="M479" s="16">
        <f>IFERROR(__xludf.DUMMYFUNCTION("""COMPUTED_VALUE"""),0.0)</f>
        <v>0</v>
      </c>
      <c r="N479" s="16">
        <f>IFERROR(__xludf.DUMMYFUNCTION("""COMPUTED_VALUE"""),3.0)</f>
        <v>3</v>
      </c>
      <c r="O479" s="16">
        <f>IFERROR(__xludf.DUMMYFUNCTION("""COMPUTED_VALUE"""),0.0)</f>
        <v>0</v>
      </c>
      <c r="P479" s="16">
        <f>IFERROR(__xludf.DUMMYFUNCTION("""COMPUTED_VALUE"""),10.0)</f>
        <v>10</v>
      </c>
      <c r="Q479" s="16">
        <f>IFERROR(__xludf.DUMMYFUNCTION("""COMPUTED_VALUE"""),11.0)</f>
        <v>11</v>
      </c>
      <c r="R479" s="16">
        <f>IFERROR(__xludf.DUMMYFUNCTION("""COMPUTED_VALUE"""),1.0)</f>
        <v>1</v>
      </c>
      <c r="S479" s="16">
        <f>IFERROR(__xludf.DUMMYFUNCTION("""COMPUTED_VALUE"""),1.0)</f>
        <v>1</v>
      </c>
      <c r="T479" s="16">
        <f>IFERROR(__xludf.DUMMYFUNCTION("""COMPUTED_VALUE"""),1.0)</f>
        <v>1</v>
      </c>
      <c r="U479" s="16">
        <f>IFERROR(__xludf.DUMMYFUNCTION("""COMPUTED_VALUE"""),1.0)</f>
        <v>1</v>
      </c>
      <c r="V479" s="16">
        <f>IFERROR(__xludf.DUMMYFUNCTION("""COMPUTED_VALUE"""),5.2)</f>
        <v>5.2</v>
      </c>
      <c r="W479" s="16">
        <f>IFERROR(__xludf.DUMMYFUNCTION("""COMPUTED_VALUE"""),4.8)</f>
        <v>4.8</v>
      </c>
      <c r="X479" s="16">
        <f>IFERROR(__xludf.DUMMYFUNCTION("""COMPUTED_VALUE"""),-2.0)</f>
        <v>-2</v>
      </c>
      <c r="Y479" s="16">
        <f>IFERROR(__xludf.DUMMYFUNCTION("""COMPUTED_VALUE"""),-3.0)</f>
        <v>-3</v>
      </c>
      <c r="Z479" s="16">
        <f>IFERROR(__xludf.DUMMYFUNCTION("""COMPUTED_VALUE"""),-4.0)</f>
        <v>-4</v>
      </c>
      <c r="AA479" s="16">
        <f>IFERROR(__xludf.DUMMYFUNCTION("""COMPUTED_VALUE"""),-6.0)</f>
        <v>-6</v>
      </c>
      <c r="AB479" s="16">
        <f>IFERROR(__xludf.DUMMYFUNCTION("""COMPUTED_VALUE"""),18.2)</f>
        <v>18.2</v>
      </c>
      <c r="AC479" s="16">
        <f>IFERROR(__xludf.DUMMYFUNCTION("""COMPUTED_VALUE"""),18.8)</f>
        <v>18.8</v>
      </c>
      <c r="AD479" s="16">
        <f>IFERROR(__xludf.DUMMYFUNCTION("""COMPUTED_VALUE"""),-2.0)</f>
        <v>-2</v>
      </c>
      <c r="AE479" s="16">
        <f>IFERROR(__xludf.DUMMYFUNCTION("""COMPUTED_VALUE"""),-2.0)</f>
        <v>-2</v>
      </c>
      <c r="AF479" s="16">
        <f>IFERROR(__xludf.DUMMYFUNCTION("""COMPUTED_VALUE"""),-10.0)</f>
        <v>-10</v>
      </c>
      <c r="AG479" s="16">
        <f>IFERROR(__xludf.DUMMYFUNCTION("""COMPUTED_VALUE"""),-10.0)</f>
        <v>-10</v>
      </c>
      <c r="AH479" s="16">
        <f>IFERROR(__xludf.DUMMYFUNCTION("""COMPUTED_VALUE"""),10.2)</f>
        <v>10.2</v>
      </c>
      <c r="AI479" s="16">
        <f>IFERROR(__xludf.DUMMYFUNCTION("""COMPUTED_VALUE"""),8.9)</f>
        <v>8.9</v>
      </c>
      <c r="AJ479" s="16">
        <f>IFERROR(__xludf.DUMMYFUNCTION("""COMPUTED_VALUE"""),-2.0)</f>
        <v>-2</v>
      </c>
      <c r="AK479" s="16">
        <f>IFERROR(__xludf.DUMMYFUNCTION("""COMPUTED_VALUE"""),-2.0)</f>
        <v>-2</v>
      </c>
      <c r="AL479" s="16">
        <f>IFERROR(__xludf.DUMMYFUNCTION("""COMPUTED_VALUE"""),-10.0)</f>
        <v>-10</v>
      </c>
      <c r="AM479" s="16">
        <f>IFERROR(__xludf.DUMMYFUNCTION("""COMPUTED_VALUE"""),-10.0)</f>
        <v>-10</v>
      </c>
      <c r="AN479" s="16">
        <f>IFERROR(__xludf.DUMMYFUNCTION("""COMPUTED_VALUE"""),0.0)</f>
        <v>0</v>
      </c>
      <c r="AO479" s="16">
        <f>IFERROR(__xludf.DUMMYFUNCTION("""COMPUTED_VALUE"""),0.0)</f>
        <v>0</v>
      </c>
      <c r="AP479" s="16">
        <f>IFERROR(__xludf.DUMMYFUNCTION("""COMPUTED_VALUE"""),-2.0)</f>
        <v>-2</v>
      </c>
      <c r="AQ479" s="16">
        <f>IFERROR(__xludf.DUMMYFUNCTION("""COMPUTED_VALUE"""),-3.0)</f>
        <v>-3</v>
      </c>
      <c r="AR479" s="16">
        <f>IFERROR(__xludf.DUMMYFUNCTION("""COMPUTED_VALUE"""),-4.0)</f>
        <v>-4</v>
      </c>
      <c r="AS479" s="16">
        <f>IFERROR(__xludf.DUMMYFUNCTION("""COMPUTED_VALUE"""),-6.0)</f>
        <v>-6</v>
      </c>
      <c r="AT479" s="16"/>
      <c r="AU479" s="16"/>
      <c r="AV479" s="16">
        <f>IFERROR(__xludf.DUMMYFUNCTION("""COMPUTED_VALUE"""),-3.0)</f>
        <v>-3</v>
      </c>
      <c r="AW479" s="16">
        <f>IFERROR(__xludf.DUMMYFUNCTION("""COMPUTED_VALUE"""),-3.0)</f>
        <v>-3</v>
      </c>
      <c r="AX479" s="16">
        <f>IFERROR(__xludf.DUMMYFUNCTION("""COMPUTED_VALUE"""),-3.0)</f>
        <v>-3</v>
      </c>
      <c r="AY479" s="16">
        <f>IFERROR(__xludf.DUMMYFUNCTION("""COMPUTED_VALUE"""),-3.0)</f>
        <v>-3</v>
      </c>
      <c r="AZ479" s="16">
        <f>IFERROR(__xludf.DUMMYFUNCTION("""COMPUTED_VALUE"""),-9.0)</f>
        <v>-9</v>
      </c>
      <c r="BA479" s="16">
        <f>IFERROR(__xludf.DUMMYFUNCTION("""COMPUTED_VALUE"""),-9.0)</f>
        <v>-9</v>
      </c>
      <c r="BB479" s="16">
        <f>IFERROR(__xludf.DUMMYFUNCTION("""COMPUTED_VALUE"""),0.0)</f>
        <v>0</v>
      </c>
      <c r="BC479" s="16">
        <f>IFERROR(__xludf.DUMMYFUNCTION("""COMPUTED_VALUE"""),0.0)</f>
        <v>0</v>
      </c>
      <c r="BD479" s="16">
        <f>IFERROR(__xludf.DUMMYFUNCTION("""COMPUTED_VALUE"""),0.0)</f>
        <v>0</v>
      </c>
      <c r="BE479" s="16">
        <f>IFERROR(__xludf.DUMMYFUNCTION("""COMPUTED_VALUE"""),0.0)</f>
        <v>0</v>
      </c>
      <c r="BF479" s="16">
        <f>IFERROR(__xludf.DUMMYFUNCTION("""COMPUTED_VALUE"""),0.0)</f>
        <v>0</v>
      </c>
      <c r="BG479" s="16">
        <f>IFERROR(__xludf.DUMMYFUNCTION("""COMPUTED_VALUE"""),0.0)</f>
        <v>0</v>
      </c>
      <c r="BH479" s="16">
        <f>IFERROR(__xludf.DUMMYFUNCTION("""COMPUTED_VALUE"""),0.0)</f>
        <v>0</v>
      </c>
      <c r="BI479" s="16">
        <f>IFERROR(__xludf.DUMMYFUNCTION("""COMPUTED_VALUE"""),0.0)</f>
        <v>0</v>
      </c>
      <c r="BJ479" s="16">
        <f>IFERROR(__xludf.DUMMYFUNCTION("""COMPUTED_VALUE"""),27.0)</f>
        <v>27</v>
      </c>
      <c r="BK479" s="16">
        <f>IFERROR(__xludf.DUMMYFUNCTION("""COMPUTED_VALUE"""),27.0)</f>
        <v>27</v>
      </c>
      <c r="BL479" s="16">
        <f>IFERROR(__xludf.DUMMYFUNCTION("""COMPUTED_VALUE"""),-2.0)</f>
        <v>-2</v>
      </c>
      <c r="BM479" s="16">
        <f>IFERROR(__xludf.DUMMYFUNCTION("""COMPUTED_VALUE"""),-2.0)</f>
        <v>-2</v>
      </c>
      <c r="BN479" s="16">
        <f>IFERROR(__xludf.DUMMYFUNCTION("""COMPUTED_VALUE"""),-4.0)</f>
        <v>-4</v>
      </c>
      <c r="BO479" s="16">
        <f>IFERROR(__xludf.DUMMYFUNCTION("""COMPUTED_VALUE"""),-4.0)</f>
        <v>-4</v>
      </c>
      <c r="BP479" s="16">
        <f>IFERROR(__xludf.DUMMYFUNCTION("""COMPUTED_VALUE"""),-9.0)</f>
        <v>-9</v>
      </c>
      <c r="BQ479" s="16">
        <f>IFERROR(__xludf.DUMMYFUNCTION("""COMPUTED_VALUE"""),-14.0)</f>
        <v>-14</v>
      </c>
      <c r="BR479" s="16">
        <f>IFERROR(__xludf.DUMMYFUNCTION("""COMPUTED_VALUE"""),-23.0)</f>
        <v>-23</v>
      </c>
      <c r="BS479" s="16" t="str">
        <f>IFERROR(__xludf.DUMMYFUNCTION("""COMPUTED_VALUE"""),"*4-8/- (15-13)")</f>
        <v>*4-8/- (15-13)</v>
      </c>
      <c r="BT479" s="16" t="str">
        <f>IFERROR(__xludf.DUMMYFUNCTION("""COMPUTED_VALUE"""),"C")</f>
        <v>C</v>
      </c>
      <c r="BU479" s="16">
        <f>IFERROR(__xludf.DUMMYFUNCTION("""COMPUTED_VALUE"""),14.0)</f>
        <v>14</v>
      </c>
      <c r="BV479" s="16">
        <f>IFERROR(__xludf.DUMMYFUNCTION("""COMPUTED_VALUE"""),0.0)</f>
        <v>0</v>
      </c>
      <c r="BW479" s="16">
        <f>IFERROR(__xludf.DUMMYFUNCTION("""COMPUTED_VALUE"""),1.0)</f>
        <v>1</v>
      </c>
      <c r="BX479" s="16">
        <f>IFERROR(__xludf.DUMMYFUNCTION("""COMPUTED_VALUE"""),0.0)</f>
        <v>0</v>
      </c>
      <c r="BY479" s="16">
        <f>IFERROR(__xludf.DUMMYFUNCTION("""COMPUTED_VALUE"""),3.0)</f>
        <v>3</v>
      </c>
      <c r="BZ479" s="16" t="str">
        <f>IFERROR(__xludf.DUMMYFUNCTION("""COMPUTED_VALUE"""),"D")</f>
        <v>D</v>
      </c>
      <c r="CA479" s="16" t="str">
        <f>IFERROR(__xludf.DUMMYFUNCTION("""COMPUTED_VALUE"""),"C")</f>
        <v>C</v>
      </c>
      <c r="CB479" s="16">
        <f>IFERROR(__xludf.DUMMYFUNCTION("""COMPUTED_VALUE"""),0.0)</f>
        <v>0</v>
      </c>
      <c r="CC479" s="16">
        <f>IFERROR(__xludf.DUMMYFUNCTION("""COMPUTED_VALUE"""),0.0)</f>
        <v>0</v>
      </c>
      <c r="CD479" s="16">
        <f>IFERROR(__xludf.DUMMYFUNCTION("""COMPUTED_VALUE"""),0.0)</f>
        <v>0</v>
      </c>
      <c r="CE479" s="16">
        <f>IFERROR(__xludf.DUMMYFUNCTION("""COMPUTED_VALUE"""),0.0)</f>
        <v>0</v>
      </c>
      <c r="CF479" s="16">
        <f>IFERROR(__xludf.DUMMYFUNCTION("""COMPUTED_VALUE"""),1.0)</f>
        <v>1</v>
      </c>
      <c r="CG479" s="16">
        <f>IFERROR(__xludf.DUMMYFUNCTION("""COMPUTED_VALUE"""),-37.0)</f>
        <v>-37</v>
      </c>
      <c r="CH479" s="16">
        <f>IFERROR(__xludf.DUMMYFUNCTION("""COMPUTED_VALUE"""),-44.0)</f>
        <v>-44</v>
      </c>
      <c r="CI479" s="179">
        <f>IFERROR(__xludf.DUMMYFUNCTION("""COMPUTED_VALUE"""),-42.0)</f>
        <v>-42</v>
      </c>
      <c r="CJ479" s="16"/>
      <c r="CK479" s="16"/>
      <c r="CL479" s="16">
        <f>IFERROR(__xludf.DUMMYFUNCTION("""COMPUTED_VALUE"""),408.0)</f>
        <v>408</v>
      </c>
      <c r="CM479" s="16">
        <f>IFERROR(__xludf.DUMMYFUNCTION("""COMPUTED_VALUE"""),418.0)</f>
        <v>418</v>
      </c>
      <c r="CN479" s="16"/>
      <c r="CO479" s="16">
        <f>IFERROR(__xludf.DUMMYFUNCTION("""COMPUTED_VALUE"""),516.0)</f>
        <v>516</v>
      </c>
      <c r="CP479" s="16"/>
      <c r="CQ479" s="16"/>
      <c r="CR479" s="16" t="str">
        <f>IFERROR(__xludf.DUMMYFUNCTION("""COMPUTED_VALUE"""),"2b-4e8 3b-4e18 lf-5(+2)e16")</f>
        <v>2b-4e8 3b-4e18 lf-5(+2)e16</v>
      </c>
      <c r="CS479" s="16"/>
      <c r="CT479" s="16"/>
      <c r="CU479" s="16">
        <f>IFERROR(__xludf.DUMMYFUNCTION("""COMPUTED_VALUE"""),4.0)</f>
        <v>4</v>
      </c>
      <c r="CV479" s="16">
        <f>IFERROR(__xludf.DUMMYFUNCTION("""COMPUTED_VALUE"""),4.0)</f>
        <v>4</v>
      </c>
      <c r="CW479" s="16"/>
      <c r="CX479" s="16">
        <f>IFERROR(__xludf.DUMMYFUNCTION("""COMPUTED_VALUE"""),5.0)</f>
        <v>5</v>
      </c>
      <c r="CY479" s="16"/>
      <c r="CZ479" s="16"/>
      <c r="DA479" s="16"/>
      <c r="DB479" s="16"/>
      <c r="DC479" s="16">
        <f>IFERROR(__xludf.DUMMYFUNCTION("""COMPUTED_VALUE"""),8.0)</f>
        <v>8</v>
      </c>
      <c r="DD479" s="16">
        <f>IFERROR(__xludf.DUMMYFUNCTION("""COMPUTED_VALUE"""),18.0)</f>
        <v>18</v>
      </c>
      <c r="DE479" s="16"/>
      <c r="DF479" s="16">
        <f>IFERROR(__xludf.DUMMYFUNCTION("""COMPUTED_VALUE"""),16.0)</f>
        <v>16</v>
      </c>
      <c r="DG479" s="16"/>
      <c r="DH479" s="16"/>
      <c r="DI479" s="16"/>
      <c r="DJ479" s="16"/>
      <c r="DK479" s="16">
        <f>IFERROR(__xludf.DUMMYFUNCTION("""COMPUTED_VALUE"""),-2.0)</f>
        <v>-2</v>
      </c>
      <c r="DL479" s="16">
        <f>IFERROR(__xludf.DUMMYFUNCTION("""COMPUTED_VALUE"""),0.0)</f>
        <v>0</v>
      </c>
      <c r="DM479" s="16"/>
      <c r="DN479" s="16">
        <f>IFERROR(__xludf.DUMMYFUNCTION("""COMPUTED_VALUE"""),-3.0)</f>
        <v>-3</v>
      </c>
      <c r="DO479" s="16"/>
      <c r="DP479" s="16"/>
      <c r="DQ479" s="16"/>
      <c r="DR479" s="16"/>
      <c r="DS479" s="16">
        <f>IFERROR(__xludf.DUMMYFUNCTION("""COMPUTED_VALUE"""),3.0)</f>
        <v>3</v>
      </c>
      <c r="DT479" s="16">
        <f>IFERROR(__xludf.DUMMYFUNCTION("""COMPUTED_VALUE"""),0.0)</f>
        <v>0</v>
      </c>
      <c r="DU479" s="16"/>
      <c r="DV479" s="16">
        <f>IFERROR(__xludf.DUMMYFUNCTION("""COMPUTED_VALUE"""),-2.0)</f>
        <v>-2</v>
      </c>
      <c r="DW479" s="16"/>
      <c r="DX479" s="16"/>
      <c r="DY479" s="16"/>
      <c r="DZ479" s="16"/>
      <c r="EA479" s="16">
        <f>IFERROR(__xludf.DUMMYFUNCTION("""COMPUTED_VALUE"""),1.0)</f>
        <v>1</v>
      </c>
      <c r="EB479" s="16">
        <f>IFERROR(__xludf.DUMMYFUNCTION("""COMPUTED_VALUE"""),0.0)</f>
        <v>0</v>
      </c>
      <c r="EC479" s="16"/>
      <c r="ED479" s="16">
        <f>IFERROR(__xludf.DUMMYFUNCTION("""COMPUTED_VALUE"""),-5.0)</f>
        <v>-5</v>
      </c>
      <c r="EE479" s="16"/>
      <c r="EF479" s="16"/>
      <c r="EG479" s="179"/>
      <c r="EH479" s="179"/>
      <c r="EI479" s="179">
        <f>IFERROR(__xludf.DUMMYFUNCTION("""COMPUTED_VALUE"""),-41.0)</f>
        <v>-41</v>
      </c>
      <c r="EJ479" s="179">
        <f>IFERROR(__xludf.DUMMYFUNCTION("""COMPUTED_VALUE"""),-42.0)</f>
        <v>-42</v>
      </c>
      <c r="EK479" s="179"/>
      <c r="EL479" s="179">
        <f>IFERROR(__xludf.DUMMYFUNCTION("""COMPUTED_VALUE"""),-47.0)</f>
        <v>-47</v>
      </c>
      <c r="EM479" s="179"/>
      <c r="EN479" s="179"/>
      <c r="EO479" s="16"/>
      <c r="EP479" s="16">
        <f>IFERROR(__xludf.DUMMYFUNCTION("""COMPUTED_VALUE"""),0.0)</f>
        <v>0</v>
      </c>
      <c r="EQ479" s="16">
        <f>IFERROR(__xludf.DUMMYFUNCTION("""COMPUTED_VALUE"""),4.0)</f>
        <v>4</v>
      </c>
      <c r="ER479" s="16">
        <f>IFERROR(__xludf.DUMMYFUNCTION("""COMPUTED_VALUE"""),-4.0)</f>
        <v>-4</v>
      </c>
      <c r="ES479" s="16"/>
      <c r="ET479" s="16"/>
      <c r="EU479" s="16"/>
      <c r="EV479" s="16"/>
      <c r="EW479" s="16"/>
      <c r="EX479" s="180"/>
      <c r="EY479" s="180"/>
      <c r="EZ479" s="180">
        <f>IFERROR(__xludf.DUMMYFUNCTION("""COMPUTED_VALUE"""),0.3)</f>
        <v>0.3</v>
      </c>
      <c r="FA479" s="180">
        <f>IFERROR(__xludf.DUMMYFUNCTION("""COMPUTED_VALUE"""),0.3)</f>
        <v>0.3</v>
      </c>
      <c r="FB479" s="180"/>
      <c r="FC479" s="180">
        <f>IFERROR(__xludf.DUMMYFUNCTION("""COMPUTED_VALUE"""),0.75)</f>
        <v>0.75</v>
      </c>
      <c r="FD479" s="180"/>
      <c r="FE479" s="180"/>
      <c r="FF479" s="180"/>
      <c r="FG479" s="180"/>
      <c r="FH479" s="180">
        <f>IFERROR(__xludf.DUMMYFUNCTION("""COMPUTED_VALUE"""),0.046296296296296294)</f>
        <v>0.0462962963</v>
      </c>
      <c r="FI479" s="180">
        <f>IFERROR(__xludf.DUMMYFUNCTION("""COMPUTED_VALUE"""),0.2175925925925926)</f>
        <v>0.2175925926</v>
      </c>
      <c r="FJ479" s="180"/>
      <c r="FK479" s="180">
        <f>IFERROR(__xludf.DUMMYFUNCTION("""COMPUTED_VALUE"""),0.287)</f>
        <v>0.287</v>
      </c>
      <c r="FL479" s="180"/>
      <c r="FM479" s="180"/>
      <c r="FN479" s="16"/>
      <c r="FO479" s="16"/>
      <c r="FP479" s="16">
        <f>IFERROR(__xludf.DUMMYFUNCTION("""COMPUTED_VALUE"""),0.6675925925925925)</f>
        <v>0.6675925926</v>
      </c>
      <c r="FQ479" s="16">
        <f>IFERROR(__xludf.DUMMYFUNCTION("""COMPUTED_VALUE"""),0.5476851851851852)</f>
        <v>0.5476851852</v>
      </c>
      <c r="FR479" s="16"/>
      <c r="FS479" s="16">
        <f>IFERROR(__xludf.DUMMYFUNCTION("""COMPUTED_VALUE"""),0.17825000000000002)</f>
        <v>0.17825</v>
      </c>
      <c r="FT479" s="16"/>
      <c r="FU479" s="16"/>
      <c r="FV479" s="16"/>
      <c r="FW479" s="16"/>
      <c r="FX479" s="16">
        <f>IFERROR(__xludf.DUMMYFUNCTION("""COMPUTED_VALUE"""),-4.0)</f>
        <v>-4</v>
      </c>
      <c r="FY479" s="16">
        <f>IFERROR(__xludf.DUMMYFUNCTION("""COMPUTED_VALUE"""),-8.0)</f>
        <v>-8</v>
      </c>
      <c r="FZ479" s="16"/>
      <c r="GA479" s="16">
        <f>IFERROR(__xludf.DUMMYFUNCTION("""COMPUTED_VALUE"""),-8.0)</f>
        <v>-8</v>
      </c>
      <c r="GB479" s="16"/>
      <c r="GC479" s="16"/>
      <c r="GD479" s="16" t="s">
        <v>292</v>
      </c>
    </row>
    <row r="480">
      <c r="A480" s="16">
        <f>IFERROR(__xludf.DUMMYFUNCTION("""COMPUTED_VALUE"""),13497.0)</f>
        <v>13497</v>
      </c>
      <c r="B480" s="16" t="str">
        <f>IFERROR(__xludf.DUMMYFUNCTION("""COMPUTED_VALUE"""),"Yan Gomes")</f>
        <v>Yan Gomes</v>
      </c>
      <c r="C480" s="16">
        <f>IFERROR(__xludf.DUMMYFUNCTION("""COMPUTED_VALUE"""),0.0)</f>
        <v>0</v>
      </c>
      <c r="D480" s="16" t="str">
        <f>IFERROR(__xludf.DUMMYFUNCTION("""COMPUTED_VALUE"""),"R")</f>
        <v>R</v>
      </c>
      <c r="E480" s="16"/>
      <c r="F480" s="16"/>
      <c r="G480" s="16">
        <f>IFERROR(__xludf.DUMMYFUNCTION("""COMPUTED_VALUE"""),91.0)</f>
        <v>91</v>
      </c>
      <c r="H480" s="16">
        <f>IFERROR(__xludf.DUMMYFUNCTION("""COMPUTED_VALUE"""),2.0)</f>
        <v>2</v>
      </c>
      <c r="I480" s="16" t="str">
        <f>IFERROR(__xludf.DUMMYFUNCTION("""COMPUTED_VALUE"""),"2p20")</f>
        <v>2p20</v>
      </c>
      <c r="J480" s="16">
        <f>IFERROR(__xludf.DUMMYFUNCTION("""COMPUTED_VALUE"""),58.0)</f>
        <v>58</v>
      </c>
      <c r="K480" s="16">
        <f>IFERROR(__xludf.DUMMYFUNCTION("""COMPUTED_VALUE"""),55.0)</f>
        <v>55</v>
      </c>
      <c r="L480" s="16">
        <f>IFERROR(__xludf.DUMMYFUNCTION("""COMPUTED_VALUE"""),-2.0)</f>
        <v>-2</v>
      </c>
      <c r="M480" s="16">
        <f>IFERROR(__xludf.DUMMYFUNCTION("""COMPUTED_VALUE"""),-3.0)</f>
        <v>-3</v>
      </c>
      <c r="N480" s="16">
        <f>IFERROR(__xludf.DUMMYFUNCTION("""COMPUTED_VALUE"""),-2.0)</f>
        <v>-2</v>
      </c>
      <c r="O480" s="16">
        <f>IFERROR(__xludf.DUMMYFUNCTION("""COMPUTED_VALUE"""),-3.0)</f>
        <v>-3</v>
      </c>
      <c r="P480" s="16">
        <f>IFERROR(__xludf.DUMMYFUNCTION("""COMPUTED_VALUE"""),0.0)</f>
        <v>0</v>
      </c>
      <c r="Q480" s="16">
        <f>IFERROR(__xludf.DUMMYFUNCTION("""COMPUTED_VALUE"""),0.0)</f>
        <v>0</v>
      </c>
      <c r="R480" s="16">
        <f>IFERROR(__xludf.DUMMYFUNCTION("""COMPUTED_VALUE"""),-3.0)</f>
        <v>-3</v>
      </c>
      <c r="S480" s="16">
        <f>IFERROR(__xludf.DUMMYFUNCTION("""COMPUTED_VALUE"""),-2.0)</f>
        <v>-2</v>
      </c>
      <c r="T480" s="16">
        <f>IFERROR(__xludf.DUMMYFUNCTION("""COMPUTED_VALUE"""),-3.0)</f>
        <v>-3</v>
      </c>
      <c r="U480" s="16">
        <f>IFERROR(__xludf.DUMMYFUNCTION("""COMPUTED_VALUE"""),-2.0)</f>
        <v>-2</v>
      </c>
      <c r="V480" s="16">
        <f>IFERROR(__xludf.DUMMYFUNCTION("""COMPUTED_VALUE"""),0.6)</f>
        <v>0.6</v>
      </c>
      <c r="W480" s="16">
        <f>IFERROR(__xludf.DUMMYFUNCTION("""COMPUTED_VALUE"""),5.2)</f>
        <v>5.2</v>
      </c>
      <c r="X480" s="16">
        <f>IFERROR(__xludf.DUMMYFUNCTION("""COMPUTED_VALUE"""),-2.0)</f>
        <v>-2</v>
      </c>
      <c r="Y480" s="16">
        <f>IFERROR(__xludf.DUMMYFUNCTION("""COMPUTED_VALUE"""),-2.0)</f>
        <v>-2</v>
      </c>
      <c r="Z480" s="16">
        <f>IFERROR(__xludf.DUMMYFUNCTION("""COMPUTED_VALUE"""),-4.0)</f>
        <v>-4</v>
      </c>
      <c r="AA480" s="16">
        <f>IFERROR(__xludf.DUMMYFUNCTION("""COMPUTED_VALUE"""),-4.0)</f>
        <v>-4</v>
      </c>
      <c r="AB480" s="16">
        <f>IFERROR(__xludf.DUMMYFUNCTION("""COMPUTED_VALUE"""),2.7)</f>
        <v>2.7</v>
      </c>
      <c r="AC480" s="16">
        <f>IFERROR(__xludf.DUMMYFUNCTION("""COMPUTED_VALUE"""),7.2)</f>
        <v>7.2</v>
      </c>
      <c r="AD480" s="16">
        <f>IFERROR(__xludf.DUMMYFUNCTION("""COMPUTED_VALUE"""),-3.0)</f>
        <v>-3</v>
      </c>
      <c r="AE480" s="16">
        <f>IFERROR(__xludf.DUMMYFUNCTION("""COMPUTED_VALUE"""),-3.0)</f>
        <v>-3</v>
      </c>
      <c r="AF480" s="16">
        <f>IFERROR(__xludf.DUMMYFUNCTION("""COMPUTED_VALUE"""),-15.0)</f>
        <v>-15</v>
      </c>
      <c r="AG480" s="16">
        <f>IFERROR(__xludf.DUMMYFUNCTION("""COMPUTED_VALUE"""),-15.0)</f>
        <v>-15</v>
      </c>
      <c r="AH480" s="16">
        <f>IFERROR(__xludf.DUMMYFUNCTION("""COMPUTED_VALUE"""),0.6)</f>
        <v>0.6</v>
      </c>
      <c r="AI480" s="16">
        <f>IFERROR(__xludf.DUMMYFUNCTION("""COMPUTED_VALUE"""),10.4)</f>
        <v>10.4</v>
      </c>
      <c r="AJ480" s="16">
        <f>IFERROR(__xludf.DUMMYFUNCTION("""COMPUTED_VALUE"""),-2.0)</f>
        <v>-2</v>
      </c>
      <c r="AK480" s="16">
        <f>IFERROR(__xludf.DUMMYFUNCTION("""COMPUTED_VALUE"""),-2.0)</f>
        <v>-2</v>
      </c>
      <c r="AL480" s="16">
        <f>IFERROR(__xludf.DUMMYFUNCTION("""COMPUTED_VALUE"""),-10.0)</f>
        <v>-10</v>
      </c>
      <c r="AM480" s="16">
        <f>IFERROR(__xludf.DUMMYFUNCTION("""COMPUTED_VALUE"""),-10.0)</f>
        <v>-10</v>
      </c>
      <c r="AN480" s="16">
        <f>IFERROR(__xludf.DUMMYFUNCTION("""COMPUTED_VALUE"""),0.0)</f>
        <v>0</v>
      </c>
      <c r="AO480" s="16">
        <f>IFERROR(__xludf.DUMMYFUNCTION("""COMPUTED_VALUE"""),1.6)</f>
        <v>1.6</v>
      </c>
      <c r="AP480" s="16">
        <f>IFERROR(__xludf.DUMMYFUNCTION("""COMPUTED_VALUE"""),-2.0)</f>
        <v>-2</v>
      </c>
      <c r="AQ480" s="16">
        <f>IFERROR(__xludf.DUMMYFUNCTION("""COMPUTED_VALUE"""),-1.0)</f>
        <v>-1</v>
      </c>
      <c r="AR480" s="16">
        <f>IFERROR(__xludf.DUMMYFUNCTION("""COMPUTED_VALUE"""),-4.0)</f>
        <v>-4</v>
      </c>
      <c r="AS480" s="16">
        <f>IFERROR(__xludf.DUMMYFUNCTION("""COMPUTED_VALUE"""),-2.0)</f>
        <v>-2</v>
      </c>
      <c r="AT480" s="16"/>
      <c r="AU480" s="16">
        <f>IFERROR(__xludf.DUMMYFUNCTION("""COMPUTED_VALUE"""),2.0)</f>
        <v>2</v>
      </c>
      <c r="AV480" s="16">
        <f>IFERROR(__xludf.DUMMYFUNCTION("""COMPUTED_VALUE"""),-3.0)</f>
        <v>-3</v>
      </c>
      <c r="AW480" s="16">
        <f>IFERROR(__xludf.DUMMYFUNCTION("""COMPUTED_VALUE"""),2.0)</f>
        <v>2</v>
      </c>
      <c r="AX480" s="16">
        <f>IFERROR(__xludf.DUMMYFUNCTION("""COMPUTED_VALUE"""),-3.0)</f>
        <v>-3</v>
      </c>
      <c r="AY480" s="16">
        <f>IFERROR(__xludf.DUMMYFUNCTION("""COMPUTED_VALUE"""),0.0)</f>
        <v>0</v>
      </c>
      <c r="AZ480" s="16">
        <f>IFERROR(__xludf.DUMMYFUNCTION("""COMPUTED_VALUE"""),-9.0)</f>
        <v>-9</v>
      </c>
      <c r="BA480" s="16">
        <f>IFERROR(__xludf.DUMMYFUNCTION("""COMPUTED_VALUE"""),0.0)</f>
        <v>0</v>
      </c>
      <c r="BB480" s="16">
        <f>IFERROR(__xludf.DUMMYFUNCTION("""COMPUTED_VALUE"""),0.0)</f>
        <v>0</v>
      </c>
      <c r="BC480" s="16">
        <f>IFERROR(__xludf.DUMMYFUNCTION("""COMPUTED_VALUE"""),5.0)</f>
        <v>5</v>
      </c>
      <c r="BD480" s="16">
        <f>IFERROR(__xludf.DUMMYFUNCTION("""COMPUTED_VALUE"""),0.0)</f>
        <v>0</v>
      </c>
      <c r="BE480" s="16">
        <f>IFERROR(__xludf.DUMMYFUNCTION("""COMPUTED_VALUE"""),1.0)</f>
        <v>1</v>
      </c>
      <c r="BF480" s="16">
        <f>IFERROR(__xludf.DUMMYFUNCTION("""COMPUTED_VALUE"""),0.0)</f>
        <v>0</v>
      </c>
      <c r="BG480" s="16">
        <f>IFERROR(__xludf.DUMMYFUNCTION("""COMPUTED_VALUE"""),1.0)</f>
        <v>1</v>
      </c>
      <c r="BH480" s="16">
        <f>IFERROR(__xludf.DUMMYFUNCTION("""COMPUTED_VALUE"""),0.0)</f>
        <v>0</v>
      </c>
      <c r="BI480" s="16">
        <f>IFERROR(__xludf.DUMMYFUNCTION("""COMPUTED_VALUE"""),-1.0)</f>
        <v>-1</v>
      </c>
      <c r="BJ480" s="16">
        <f>IFERROR(__xludf.DUMMYFUNCTION("""COMPUTED_VALUE"""),17.0)</f>
        <v>17</v>
      </c>
      <c r="BK480" s="16">
        <f>IFERROR(__xludf.DUMMYFUNCTION("""COMPUTED_VALUE"""),17.0)</f>
        <v>17</v>
      </c>
      <c r="BL480" s="16">
        <f>IFERROR(__xludf.DUMMYFUNCTION("""COMPUTED_VALUE"""),-1.0)</f>
        <v>-1</v>
      </c>
      <c r="BM480" s="16">
        <f>IFERROR(__xludf.DUMMYFUNCTION("""COMPUTED_VALUE"""),-1.0)</f>
        <v>-1</v>
      </c>
      <c r="BN480" s="16">
        <f>IFERROR(__xludf.DUMMYFUNCTION("""COMPUTED_VALUE"""),-2.0)</f>
        <v>-2</v>
      </c>
      <c r="BO480" s="16">
        <f>IFERROR(__xludf.DUMMYFUNCTION("""COMPUTED_VALUE"""),-2.0)</f>
        <v>-2</v>
      </c>
      <c r="BP480" s="16">
        <f>IFERROR(__xludf.DUMMYFUNCTION("""COMPUTED_VALUE"""),-18.0)</f>
        <v>-18</v>
      </c>
      <c r="BQ480" s="16">
        <f>IFERROR(__xludf.DUMMYFUNCTION("""COMPUTED_VALUE"""),-13.0)</f>
        <v>-13</v>
      </c>
      <c r="BR480" s="16">
        <f>IFERROR(__xludf.DUMMYFUNCTION("""COMPUTED_VALUE"""),-31.0)</f>
        <v>-31</v>
      </c>
      <c r="BS480" s="16" t="str">
        <f>IFERROR(__xludf.DUMMYFUNCTION("""COMPUTED_VALUE"""),"-/- (---)")</f>
        <v>-/- (---)</v>
      </c>
      <c r="BT480" s="16" t="str">
        <f>IFERROR(__xludf.DUMMYFUNCTION("""COMPUTED_VALUE"""),"E")</f>
        <v>E</v>
      </c>
      <c r="BU480" s="16">
        <f>IFERROR(__xludf.DUMMYFUNCTION("""COMPUTED_VALUE"""),8.0)</f>
        <v>8</v>
      </c>
      <c r="BV480" s="16">
        <f>IFERROR(__xludf.DUMMYFUNCTION("""COMPUTED_VALUE"""),0.0)</f>
        <v>0</v>
      </c>
      <c r="BW480" s="16">
        <f>IFERROR(__xludf.DUMMYFUNCTION("""COMPUTED_VALUE"""),-1.0)</f>
        <v>-1</v>
      </c>
      <c r="BX480" s="16">
        <f>IFERROR(__xludf.DUMMYFUNCTION("""COMPUTED_VALUE"""),0.0)</f>
        <v>0</v>
      </c>
      <c r="BY480" s="16">
        <f>IFERROR(__xludf.DUMMYFUNCTION("""COMPUTED_VALUE"""),-3.0)</f>
        <v>-3</v>
      </c>
      <c r="BZ480" s="16" t="str">
        <f>IFERROR(__xludf.DUMMYFUNCTION("""COMPUTED_VALUE"""),"D")</f>
        <v>D</v>
      </c>
      <c r="CA480" s="16" t="str">
        <f>IFERROR(__xludf.DUMMYFUNCTION("""COMPUTED_VALUE"""),"D")</f>
        <v>D</v>
      </c>
      <c r="CB480" s="16">
        <f>IFERROR(__xludf.DUMMYFUNCTION("""COMPUTED_VALUE"""),0.0)</f>
        <v>0</v>
      </c>
      <c r="CC480" s="16">
        <f>IFERROR(__xludf.DUMMYFUNCTION("""COMPUTED_VALUE"""),0.0)</f>
        <v>0</v>
      </c>
      <c r="CD480" s="16">
        <f>IFERROR(__xludf.DUMMYFUNCTION("""COMPUTED_VALUE"""),0.0)</f>
        <v>0</v>
      </c>
      <c r="CE480" s="16">
        <f>IFERROR(__xludf.DUMMYFUNCTION("""COMPUTED_VALUE"""),0.0)</f>
        <v>0</v>
      </c>
      <c r="CF480" s="16">
        <f>IFERROR(__xludf.DUMMYFUNCTION("""COMPUTED_VALUE"""),2.0)</f>
        <v>2</v>
      </c>
      <c r="CG480" s="16">
        <f>IFERROR(__xludf.DUMMYFUNCTION("""COMPUTED_VALUE"""),-49.0)</f>
        <v>-49</v>
      </c>
      <c r="CH480" s="16">
        <f>IFERROR(__xludf.DUMMYFUNCTION("""COMPUTED_VALUE"""),-37.0)</f>
        <v>-37</v>
      </c>
      <c r="CI480" s="179">
        <f>IFERROR(__xludf.DUMMYFUNCTION("""COMPUTED_VALUE"""),-43.0)</f>
        <v>-43</v>
      </c>
      <c r="CJ480" s="16">
        <f>IFERROR(__xludf.DUMMYFUNCTION("""COMPUTED_VALUE"""),301.0)</f>
        <v>301</v>
      </c>
      <c r="CK480" s="16"/>
      <c r="CL480" s="16"/>
      <c r="CM480" s="16"/>
      <c r="CN480" s="16"/>
      <c r="CO480" s="16"/>
      <c r="CP480" s="16"/>
      <c r="CQ480" s="16"/>
      <c r="CR480" s="16" t="str">
        <f>IFERROR(__xludf.DUMMYFUNCTION("""COMPUTED_VALUE"""),"c-3(+1)e1,T-6(pb-0)")</f>
        <v>c-3(+1)e1,T-6(pb-0)</v>
      </c>
      <c r="CS480" s="16">
        <f>IFERROR(__xludf.DUMMYFUNCTION("""COMPUTED_VALUE"""),3.0)</f>
        <v>3</v>
      </c>
      <c r="CT480" s="16"/>
      <c r="CU480" s="16"/>
      <c r="CV480" s="16"/>
      <c r="CW480" s="16"/>
      <c r="CX480" s="16"/>
      <c r="CY480" s="16"/>
      <c r="CZ480" s="16"/>
      <c r="DA480" s="16">
        <f>IFERROR(__xludf.DUMMYFUNCTION("""COMPUTED_VALUE"""),1.0)</f>
        <v>1</v>
      </c>
      <c r="DB480" s="16"/>
      <c r="DC480" s="16"/>
      <c r="DD480" s="16"/>
      <c r="DE480" s="16"/>
      <c r="DF480" s="16"/>
      <c r="DG480" s="16"/>
      <c r="DH480" s="16"/>
      <c r="DI480" s="16">
        <f>IFERROR(__xludf.DUMMYFUNCTION("""COMPUTED_VALUE"""),0.0)</f>
        <v>0</v>
      </c>
      <c r="DJ480" s="16"/>
      <c r="DK480" s="16"/>
      <c r="DL480" s="16"/>
      <c r="DM480" s="16"/>
      <c r="DN480" s="16"/>
      <c r="DO480" s="16"/>
      <c r="DP480" s="16"/>
      <c r="DQ480" s="16">
        <f>IFERROR(__xludf.DUMMYFUNCTION("""COMPUTED_VALUE"""),4.0)</f>
        <v>4</v>
      </c>
      <c r="DR480" s="16"/>
      <c r="DS480" s="16"/>
      <c r="DT480" s="16"/>
      <c r="DU480" s="16"/>
      <c r="DV480" s="16"/>
      <c r="DW480" s="16"/>
      <c r="DX480" s="16"/>
      <c r="DY480" s="16">
        <f>IFERROR(__xludf.DUMMYFUNCTION("""COMPUTED_VALUE"""),4.0)</f>
        <v>4</v>
      </c>
      <c r="DZ480" s="16"/>
      <c r="EA480" s="16"/>
      <c r="EB480" s="16"/>
      <c r="EC480" s="16"/>
      <c r="ED480" s="16"/>
      <c r="EE480" s="16"/>
      <c r="EF480" s="16"/>
      <c r="EG480" s="179">
        <f>IFERROR(__xludf.DUMMYFUNCTION("""COMPUTED_VALUE"""),-38.0)</f>
        <v>-38</v>
      </c>
      <c r="EH480" s="179"/>
      <c r="EI480" s="179"/>
      <c r="EJ480" s="179"/>
      <c r="EK480" s="179"/>
      <c r="EL480" s="179"/>
      <c r="EM480" s="179"/>
      <c r="EN480" s="179"/>
      <c r="EO480" s="16">
        <f>IFERROR(__xludf.DUMMYFUNCTION("""COMPUTED_VALUE"""),1.0)</f>
        <v>1</v>
      </c>
      <c r="EP480" s="16"/>
      <c r="EQ480" s="16">
        <f>IFERROR(__xludf.DUMMYFUNCTION("""COMPUTED_VALUE"""),2.0)</f>
        <v>2</v>
      </c>
      <c r="ER480" s="16">
        <f>IFERROR(__xludf.DUMMYFUNCTION("""COMPUTED_VALUE"""),-4.0)</f>
        <v>-4</v>
      </c>
      <c r="ES480" s="16" t="str">
        <f>IFERROR(__xludf.DUMMYFUNCTION("""COMPUTED_VALUE"""),"c-3")</f>
        <v>c-3</v>
      </c>
      <c r="ET480" s="16" t="str">
        <f>IFERROR(__xludf.DUMMYFUNCTION("""COMPUTED_VALUE"""),"+1)e1,T-6")</f>
        <v>+1)e1,T-6</v>
      </c>
      <c r="EU480" s="16" t="str">
        <f>IFERROR(__xludf.DUMMYFUNCTION("""COMPUTED_VALUE"""),"pb-0)")</f>
        <v>pb-0)</v>
      </c>
      <c r="EV480" s="16"/>
      <c r="EW480" s="16">
        <f>IFERROR(__xludf.DUMMYFUNCTION("""COMPUTED_VALUE"""),1.0)</f>
        <v>1</v>
      </c>
      <c r="EX480" s="180">
        <f>IFERROR(__xludf.DUMMYFUNCTION("""COMPUTED_VALUE"""),0.2)</f>
        <v>0.2</v>
      </c>
      <c r="EY480" s="180"/>
      <c r="EZ480" s="180"/>
      <c r="FA480" s="180"/>
      <c r="FB480" s="180"/>
      <c r="FC480" s="180"/>
      <c r="FD480" s="180"/>
      <c r="FE480" s="180"/>
      <c r="FF480" s="180">
        <f>IFERROR(__xludf.DUMMYFUNCTION("""COMPUTED_VALUE"""),0.014)</f>
        <v>0.014</v>
      </c>
      <c r="FG480" s="180"/>
      <c r="FH480" s="180"/>
      <c r="FI480" s="180"/>
      <c r="FJ480" s="180"/>
      <c r="FK480" s="180"/>
      <c r="FL480" s="180"/>
      <c r="FM480" s="180"/>
      <c r="FN480" s="16">
        <f>IFERROR(__xludf.DUMMYFUNCTION("""COMPUTED_VALUE"""),0.7888000000000001)</f>
        <v>0.7888</v>
      </c>
      <c r="FO480" s="16"/>
      <c r="FP480" s="16"/>
      <c r="FQ480" s="16"/>
      <c r="FR480" s="16"/>
      <c r="FS480" s="16"/>
      <c r="FT480" s="16"/>
      <c r="FU480" s="16"/>
      <c r="FV480" s="16">
        <f>IFERROR(__xludf.DUMMYFUNCTION("""COMPUTED_VALUE"""),-2.0)</f>
        <v>-2</v>
      </c>
      <c r="FW480" s="16"/>
      <c r="FX480" s="16"/>
      <c r="FY480" s="16"/>
      <c r="FZ480" s="16"/>
      <c r="GA480" s="16"/>
      <c r="GB480" s="16"/>
      <c r="GC480" s="16"/>
      <c r="GD480" s="16" t="s">
        <v>176</v>
      </c>
    </row>
    <row r="481">
      <c r="A481" s="16">
        <f>IFERROR(__xludf.DUMMYFUNCTION("""COMPUTED_VALUE"""),12682.0)</f>
        <v>12682</v>
      </c>
      <c r="B481" s="16" t="str">
        <f>IFERROR(__xludf.DUMMYFUNCTION("""COMPUTED_VALUE"""),"Christian Encarnacion Strand")</f>
        <v>Christian Encarnacion Strand</v>
      </c>
      <c r="C481" s="16">
        <f>IFERROR(__xludf.DUMMYFUNCTION("""COMPUTED_VALUE"""),0.0)</f>
        <v>0</v>
      </c>
      <c r="D481" s="16" t="str">
        <f>IFERROR(__xludf.DUMMYFUNCTION("""COMPUTED_VALUE"""),"R")</f>
        <v>R</v>
      </c>
      <c r="E481" s="16"/>
      <c r="F481" s="16"/>
      <c r="G481" s="16">
        <f>IFERROR(__xludf.DUMMYFUNCTION("""COMPUTED_VALUE"""),116.0)</f>
        <v>116</v>
      </c>
      <c r="H481" s="16">
        <f>IFERROR(__xludf.DUMMYFUNCTION("""COMPUTED_VALUE"""),4.0)</f>
        <v>4</v>
      </c>
      <c r="I481" s="16" t="str">
        <f>IFERROR(__xludf.DUMMYFUNCTION("""COMPUTED_VALUE"""),"5p20")</f>
        <v>5p20</v>
      </c>
      <c r="J481" s="16">
        <f>IFERROR(__xludf.DUMMYFUNCTION("""COMPUTED_VALUE"""),50.0)</f>
        <v>50</v>
      </c>
      <c r="K481" s="16">
        <f>IFERROR(__xludf.DUMMYFUNCTION("""COMPUTED_VALUE"""),31.0)</f>
        <v>31</v>
      </c>
      <c r="L481" s="16">
        <f>IFERROR(__xludf.DUMMYFUNCTION("""COMPUTED_VALUE"""),-2.0)</f>
        <v>-2</v>
      </c>
      <c r="M481" s="16">
        <f>IFERROR(__xludf.DUMMYFUNCTION("""COMPUTED_VALUE"""),-1.0)</f>
        <v>-1</v>
      </c>
      <c r="N481" s="16">
        <f>IFERROR(__xludf.DUMMYFUNCTION("""COMPUTED_VALUE"""),-2.0)</f>
        <v>-2</v>
      </c>
      <c r="O481" s="16">
        <f>IFERROR(__xludf.DUMMYFUNCTION("""COMPUTED_VALUE"""),-1.0)</f>
        <v>-1</v>
      </c>
      <c r="P481" s="16">
        <f>IFERROR(__xludf.DUMMYFUNCTION("""COMPUTED_VALUE"""),0.0)</f>
        <v>0</v>
      </c>
      <c r="Q481" s="16">
        <f>IFERROR(__xludf.DUMMYFUNCTION("""COMPUTED_VALUE"""),0.0)</f>
        <v>0</v>
      </c>
      <c r="R481" s="16">
        <f>IFERROR(__xludf.DUMMYFUNCTION("""COMPUTED_VALUE"""),-3.0)</f>
        <v>-3</v>
      </c>
      <c r="S481" s="16">
        <f>IFERROR(__xludf.DUMMYFUNCTION("""COMPUTED_VALUE"""),-2.0)</f>
        <v>-2</v>
      </c>
      <c r="T481" s="16">
        <f>IFERROR(__xludf.DUMMYFUNCTION("""COMPUTED_VALUE"""),-3.0)</f>
        <v>-3</v>
      </c>
      <c r="U481" s="16">
        <f>IFERROR(__xludf.DUMMYFUNCTION("""COMPUTED_VALUE"""),-2.0)</f>
        <v>-2</v>
      </c>
      <c r="V481" s="16">
        <f>IFERROR(__xludf.DUMMYFUNCTION("""COMPUTED_VALUE"""),7.0)</f>
        <v>7</v>
      </c>
      <c r="W481" s="16">
        <f>IFERROR(__xludf.DUMMYFUNCTION("""COMPUTED_VALUE"""),12.3)</f>
        <v>12.3</v>
      </c>
      <c r="X481" s="16">
        <f>IFERROR(__xludf.DUMMYFUNCTION("""COMPUTED_VALUE"""),-2.0)</f>
        <v>-2</v>
      </c>
      <c r="Y481" s="16">
        <f>IFERROR(__xludf.DUMMYFUNCTION("""COMPUTED_VALUE"""),-2.0)</f>
        <v>-2</v>
      </c>
      <c r="Z481" s="16">
        <f>IFERROR(__xludf.DUMMYFUNCTION("""COMPUTED_VALUE"""),-4.0)</f>
        <v>-4</v>
      </c>
      <c r="AA481" s="16">
        <f>IFERROR(__xludf.DUMMYFUNCTION("""COMPUTED_VALUE"""),-4.0)</f>
        <v>-4</v>
      </c>
      <c r="AB481" s="16">
        <f>IFERROR(__xludf.DUMMYFUNCTION("""COMPUTED_VALUE"""),9.0)</f>
        <v>9</v>
      </c>
      <c r="AC481" s="16">
        <f>IFERROR(__xludf.DUMMYFUNCTION("""COMPUTED_VALUE"""),14.3)</f>
        <v>14.3</v>
      </c>
      <c r="AD481" s="16">
        <f>IFERROR(__xludf.DUMMYFUNCTION("""COMPUTED_VALUE"""),-2.0)</f>
        <v>-2</v>
      </c>
      <c r="AE481" s="16">
        <f>IFERROR(__xludf.DUMMYFUNCTION("""COMPUTED_VALUE"""),-2.0)</f>
        <v>-2</v>
      </c>
      <c r="AF481" s="16">
        <f>IFERROR(__xludf.DUMMYFUNCTION("""COMPUTED_VALUE"""),-10.0)</f>
        <v>-10</v>
      </c>
      <c r="AG481" s="16">
        <f>IFERROR(__xludf.DUMMYFUNCTION("""COMPUTED_VALUE"""),-10.0)</f>
        <v>-10</v>
      </c>
      <c r="AH481" s="16">
        <f>IFERROR(__xludf.DUMMYFUNCTION("""COMPUTED_VALUE"""),8.7)</f>
        <v>8.7</v>
      </c>
      <c r="AI481" s="16">
        <f>IFERROR(__xludf.DUMMYFUNCTION("""COMPUTED_VALUE"""),20.6)</f>
        <v>20.6</v>
      </c>
      <c r="AJ481" s="16">
        <f>IFERROR(__xludf.DUMMYFUNCTION("""COMPUTED_VALUE"""),-2.0)</f>
        <v>-2</v>
      </c>
      <c r="AK481" s="16">
        <f>IFERROR(__xludf.DUMMYFUNCTION("""COMPUTED_VALUE"""),-1.0)</f>
        <v>-1</v>
      </c>
      <c r="AL481" s="16">
        <f>IFERROR(__xludf.DUMMYFUNCTION("""COMPUTED_VALUE"""),-10.0)</f>
        <v>-10</v>
      </c>
      <c r="AM481" s="16">
        <f>IFERROR(__xludf.DUMMYFUNCTION("""COMPUTED_VALUE"""),-5.0)</f>
        <v>-5</v>
      </c>
      <c r="AN481" s="16">
        <f>IFERROR(__xludf.DUMMYFUNCTION("""COMPUTED_VALUE"""),0.5)</f>
        <v>0.5</v>
      </c>
      <c r="AO481" s="16">
        <f>IFERROR(__xludf.DUMMYFUNCTION("""COMPUTED_VALUE"""),0.1)</f>
        <v>0.1</v>
      </c>
      <c r="AP481" s="16">
        <f>IFERROR(__xludf.DUMMYFUNCTION("""COMPUTED_VALUE"""),-2.0)</f>
        <v>-2</v>
      </c>
      <c r="AQ481" s="16">
        <f>IFERROR(__xludf.DUMMYFUNCTION("""COMPUTED_VALUE"""),-2.0)</f>
        <v>-2</v>
      </c>
      <c r="AR481" s="16">
        <f>IFERROR(__xludf.DUMMYFUNCTION("""COMPUTED_VALUE"""),-4.0)</f>
        <v>-4</v>
      </c>
      <c r="AS481" s="16">
        <f>IFERROR(__xludf.DUMMYFUNCTION("""COMPUTED_VALUE"""),-4.0)</f>
        <v>-4</v>
      </c>
      <c r="AT481" s="16">
        <f>IFERROR(__xludf.DUMMYFUNCTION("""COMPUTED_VALUE"""),0.0)</f>
        <v>0</v>
      </c>
      <c r="AU481" s="16">
        <f>IFERROR(__xludf.DUMMYFUNCTION("""COMPUTED_VALUE"""),0.0)</f>
        <v>0</v>
      </c>
      <c r="AV481" s="16">
        <f>IFERROR(__xludf.DUMMYFUNCTION("""COMPUTED_VALUE"""),0.0)</f>
        <v>0</v>
      </c>
      <c r="AW481" s="16">
        <f>IFERROR(__xludf.DUMMYFUNCTION("""COMPUTED_VALUE"""),0.0)</f>
        <v>0</v>
      </c>
      <c r="AX481" s="16">
        <f>IFERROR(__xludf.DUMMYFUNCTION("""COMPUTED_VALUE"""),-2.0)</f>
        <v>-2</v>
      </c>
      <c r="AY481" s="16">
        <f>IFERROR(__xludf.DUMMYFUNCTION("""COMPUTED_VALUE"""),-2.0)</f>
        <v>-2</v>
      </c>
      <c r="AZ481" s="16">
        <f>IFERROR(__xludf.DUMMYFUNCTION("""COMPUTED_VALUE"""),-6.0)</f>
        <v>-6</v>
      </c>
      <c r="BA481" s="16">
        <f>IFERROR(__xludf.DUMMYFUNCTION("""COMPUTED_VALUE"""),-6.0)</f>
        <v>-6</v>
      </c>
      <c r="BB481" s="16">
        <f>IFERROR(__xludf.DUMMYFUNCTION("""COMPUTED_VALUE"""),5.0)</f>
        <v>5</v>
      </c>
      <c r="BC481" s="16">
        <f>IFERROR(__xludf.DUMMYFUNCTION("""COMPUTED_VALUE"""),5.0)</f>
        <v>5</v>
      </c>
      <c r="BD481" s="16">
        <f>IFERROR(__xludf.DUMMYFUNCTION("""COMPUTED_VALUE"""),1.0)</f>
        <v>1</v>
      </c>
      <c r="BE481" s="16">
        <f>IFERROR(__xludf.DUMMYFUNCTION("""COMPUTED_VALUE"""),1.0)</f>
        <v>1</v>
      </c>
      <c r="BF481" s="16">
        <f>IFERROR(__xludf.DUMMYFUNCTION("""COMPUTED_VALUE"""),1.0)</f>
        <v>1</v>
      </c>
      <c r="BG481" s="16">
        <f>IFERROR(__xludf.DUMMYFUNCTION("""COMPUTED_VALUE"""),1.0)</f>
        <v>1</v>
      </c>
      <c r="BH481" s="16">
        <f>IFERROR(__xludf.DUMMYFUNCTION("""COMPUTED_VALUE"""),6.0)</f>
        <v>6</v>
      </c>
      <c r="BI481" s="16">
        <f>IFERROR(__xludf.DUMMYFUNCTION("""COMPUTED_VALUE"""),6.0)</f>
        <v>6</v>
      </c>
      <c r="BJ481" s="16">
        <f>IFERROR(__xludf.DUMMYFUNCTION("""COMPUTED_VALUE"""),24.0)</f>
        <v>24</v>
      </c>
      <c r="BK481" s="16">
        <f>IFERROR(__xludf.DUMMYFUNCTION("""COMPUTED_VALUE"""),26.0)</f>
        <v>26</v>
      </c>
      <c r="BL481" s="16">
        <f>IFERROR(__xludf.DUMMYFUNCTION("""COMPUTED_VALUE"""),-2.0)</f>
        <v>-2</v>
      </c>
      <c r="BM481" s="16">
        <f>IFERROR(__xludf.DUMMYFUNCTION("""COMPUTED_VALUE"""),-2.0)</f>
        <v>-2</v>
      </c>
      <c r="BN481" s="16">
        <f>IFERROR(__xludf.DUMMYFUNCTION("""COMPUTED_VALUE"""),-4.0)</f>
        <v>-4</v>
      </c>
      <c r="BO481" s="16">
        <f>IFERROR(__xludf.DUMMYFUNCTION("""COMPUTED_VALUE"""),-4.0)</f>
        <v>-4</v>
      </c>
      <c r="BP481" s="16">
        <f>IFERROR(__xludf.DUMMYFUNCTION("""COMPUTED_VALUE"""),-16.0)</f>
        <v>-16</v>
      </c>
      <c r="BQ481" s="16">
        <f>IFERROR(__xludf.DUMMYFUNCTION("""COMPUTED_VALUE"""),-13.0)</f>
        <v>-13</v>
      </c>
      <c r="BR481" s="16">
        <f>IFERROR(__xludf.DUMMYFUNCTION("""COMPUTED_VALUE"""),-29.0)</f>
        <v>-29</v>
      </c>
      <c r="BS481" s="16" t="str">
        <f>IFERROR(__xludf.DUMMYFUNCTION("""COMPUTED_VALUE"""),"-/- (---)")</f>
        <v>-/- (---)</v>
      </c>
      <c r="BT481" s="16" t="str">
        <f>IFERROR(__xludf.DUMMYFUNCTION("""COMPUTED_VALUE"""),"E")</f>
        <v>E</v>
      </c>
      <c r="BU481" s="16">
        <f>IFERROR(__xludf.DUMMYFUNCTION("""COMPUTED_VALUE"""),12.0)</f>
        <v>12</v>
      </c>
      <c r="BV481" s="16">
        <f>IFERROR(__xludf.DUMMYFUNCTION("""COMPUTED_VALUE"""),0.0)</f>
        <v>0</v>
      </c>
      <c r="BW481" s="16">
        <f>IFERROR(__xludf.DUMMYFUNCTION("""COMPUTED_VALUE"""),0.0)</f>
        <v>0</v>
      </c>
      <c r="BX481" s="16">
        <f>IFERROR(__xludf.DUMMYFUNCTION("""COMPUTED_VALUE"""),0.0)</f>
        <v>0</v>
      </c>
      <c r="BY481" s="16">
        <f>IFERROR(__xludf.DUMMYFUNCTION("""COMPUTED_VALUE"""),0.0)</f>
        <v>0</v>
      </c>
      <c r="BZ481" s="16" t="str">
        <f>IFERROR(__xludf.DUMMYFUNCTION("""COMPUTED_VALUE"""),"D")</f>
        <v>D</v>
      </c>
      <c r="CA481" s="16" t="str">
        <f>IFERROR(__xludf.DUMMYFUNCTION("""COMPUTED_VALUE"""),"D")</f>
        <v>D</v>
      </c>
      <c r="CB481" s="16">
        <f>IFERROR(__xludf.DUMMYFUNCTION("""COMPUTED_VALUE"""),0.0)</f>
        <v>0</v>
      </c>
      <c r="CC481" s="16">
        <f>IFERROR(__xludf.DUMMYFUNCTION("""COMPUTED_VALUE"""),0.0)</f>
        <v>0</v>
      </c>
      <c r="CD481" s="16">
        <f>IFERROR(__xludf.DUMMYFUNCTION("""COMPUTED_VALUE"""),0.0)</f>
        <v>0</v>
      </c>
      <c r="CE481" s="16">
        <f>IFERROR(__xludf.DUMMYFUNCTION("""COMPUTED_VALUE"""),0.0)</f>
        <v>0</v>
      </c>
      <c r="CF481" s="16">
        <f>IFERROR(__xludf.DUMMYFUNCTION("""COMPUTED_VALUE"""),5.0)</f>
        <v>5</v>
      </c>
      <c r="CG481" s="16">
        <f>IFERROR(__xludf.DUMMYFUNCTION("""COMPUTED_VALUE"""),-42.0)</f>
        <v>-42</v>
      </c>
      <c r="CH481" s="16">
        <f>IFERROR(__xludf.DUMMYFUNCTION("""COMPUTED_VALUE"""),-35.0)</f>
        <v>-35</v>
      </c>
      <c r="CI481" s="179">
        <f>IFERROR(__xludf.DUMMYFUNCTION("""COMPUTED_VALUE"""),-43.0)</f>
        <v>-43</v>
      </c>
      <c r="CJ481" s="16"/>
      <c r="CK481" s="16">
        <f>IFERROR(__xludf.DUMMYFUNCTION("""COMPUTED_VALUE"""),405.0)</f>
        <v>405</v>
      </c>
      <c r="CL481" s="16"/>
      <c r="CM481" s="16"/>
      <c r="CN481" s="16"/>
      <c r="CO481" s="16"/>
      <c r="CP481" s="16"/>
      <c r="CQ481" s="16"/>
      <c r="CR481" s="16" t="str">
        <f>IFERROR(__xludf.DUMMYFUNCTION("""COMPUTED_VALUE"""),"1b-4e5")</f>
        <v>1b-4e5</v>
      </c>
      <c r="CS481" s="16"/>
      <c r="CT481" s="16">
        <f>IFERROR(__xludf.DUMMYFUNCTION("""COMPUTED_VALUE"""),4.0)</f>
        <v>4</v>
      </c>
      <c r="CU481" s="16"/>
      <c r="CV481" s="16"/>
      <c r="CW481" s="16"/>
      <c r="CX481" s="16"/>
      <c r="CY481" s="16"/>
      <c r="CZ481" s="16"/>
      <c r="DA481" s="16"/>
      <c r="DB481" s="16">
        <f>IFERROR(__xludf.DUMMYFUNCTION("""COMPUTED_VALUE"""),5.0)</f>
        <v>5</v>
      </c>
      <c r="DC481" s="16"/>
      <c r="DD481" s="16"/>
      <c r="DE481" s="16"/>
      <c r="DF481" s="16"/>
      <c r="DG481" s="16"/>
      <c r="DH481" s="16"/>
      <c r="DI481" s="16"/>
      <c r="DJ481" s="16">
        <f>IFERROR(__xludf.DUMMYFUNCTION("""COMPUTED_VALUE"""),0.0)</f>
        <v>0</v>
      </c>
      <c r="DK481" s="16"/>
      <c r="DL481" s="16"/>
      <c r="DM481" s="16"/>
      <c r="DN481" s="16"/>
      <c r="DO481" s="16"/>
      <c r="DP481" s="16"/>
      <c r="DQ481" s="16"/>
      <c r="DR481" s="16">
        <f>IFERROR(__xludf.DUMMYFUNCTION("""COMPUTED_VALUE"""),2.0)</f>
        <v>2</v>
      </c>
      <c r="DS481" s="16"/>
      <c r="DT481" s="16"/>
      <c r="DU481" s="16"/>
      <c r="DV481" s="16"/>
      <c r="DW481" s="16"/>
      <c r="DX481" s="16"/>
      <c r="DY481" s="16"/>
      <c r="DZ481" s="16">
        <f>IFERROR(__xludf.DUMMYFUNCTION("""COMPUTED_VALUE"""),2.0)</f>
        <v>2</v>
      </c>
      <c r="EA481" s="16"/>
      <c r="EB481" s="16"/>
      <c r="EC481" s="16"/>
      <c r="ED481" s="16"/>
      <c r="EE481" s="16"/>
      <c r="EF481" s="16"/>
      <c r="EG481" s="179"/>
      <c r="EH481" s="179">
        <f>IFERROR(__xludf.DUMMYFUNCTION("""COMPUTED_VALUE"""),-41.0)</f>
        <v>-41</v>
      </c>
      <c r="EI481" s="179"/>
      <c r="EJ481" s="179"/>
      <c r="EK481" s="179"/>
      <c r="EL481" s="179"/>
      <c r="EM481" s="179"/>
      <c r="EN481" s="179"/>
      <c r="EO481" s="16"/>
      <c r="EP481" s="16">
        <f>IFERROR(__xludf.DUMMYFUNCTION("""COMPUTED_VALUE"""),1.0)</f>
        <v>1</v>
      </c>
      <c r="EQ481" s="16">
        <f>IFERROR(__xludf.DUMMYFUNCTION("""COMPUTED_VALUE"""),-2.0)</f>
        <v>-2</v>
      </c>
      <c r="ER481" s="16">
        <f>IFERROR(__xludf.DUMMYFUNCTION("""COMPUTED_VALUE"""),-4.0)</f>
        <v>-4</v>
      </c>
      <c r="ES481" s="16"/>
      <c r="ET481" s="16"/>
      <c r="EU481" s="16"/>
      <c r="EV481" s="16"/>
      <c r="EW481" s="16"/>
      <c r="EX481" s="180"/>
      <c r="EY481" s="180">
        <f>IFERROR(__xludf.DUMMYFUNCTION("""COMPUTED_VALUE"""),0.3)</f>
        <v>0.3</v>
      </c>
      <c r="EZ481" s="180"/>
      <c r="FA481" s="180"/>
      <c r="FB481" s="180"/>
      <c r="FC481" s="180"/>
      <c r="FD481" s="180"/>
      <c r="FE481" s="180"/>
      <c r="FF481" s="180"/>
      <c r="FG481" s="180">
        <f>IFERROR(__xludf.DUMMYFUNCTION("""COMPUTED_VALUE"""),0.08796296296296297)</f>
        <v>0.08796296296</v>
      </c>
      <c r="FH481" s="180"/>
      <c r="FI481" s="180"/>
      <c r="FJ481" s="180"/>
      <c r="FK481" s="180"/>
      <c r="FL481" s="180"/>
      <c r="FM481" s="180"/>
      <c r="FN481" s="16"/>
      <c r="FO481" s="16">
        <f>IFERROR(__xludf.DUMMYFUNCTION("""COMPUTED_VALUE"""),0.6384259259259258)</f>
        <v>0.6384259259</v>
      </c>
      <c r="FP481" s="16"/>
      <c r="FQ481" s="16"/>
      <c r="FR481" s="16"/>
      <c r="FS481" s="16"/>
      <c r="FT481" s="16"/>
      <c r="FU481" s="16"/>
      <c r="FV481" s="16"/>
      <c r="FW481" s="16">
        <f>IFERROR(__xludf.DUMMYFUNCTION("""COMPUTED_VALUE"""),-6.0)</f>
        <v>-6</v>
      </c>
      <c r="FX481" s="16"/>
      <c r="FY481" s="16"/>
      <c r="FZ481" s="16"/>
      <c r="GA481" s="16"/>
      <c r="GB481" s="16"/>
      <c r="GC481" s="16"/>
      <c r="GD481" s="16" t="s">
        <v>176</v>
      </c>
    </row>
    <row r="482">
      <c r="A482" s="16">
        <f>IFERROR(__xludf.DUMMYFUNCTION("""COMPUTED_VALUE"""),12596.0)</f>
        <v>12596</v>
      </c>
      <c r="B482" s="16" t="str">
        <f>IFERROR(__xludf.DUMMYFUNCTION("""COMPUTED_VALUE"""),"Brandon Drury")</f>
        <v>Brandon Drury</v>
      </c>
      <c r="C482" s="16">
        <f>IFERROR(__xludf.DUMMYFUNCTION("""COMPUTED_VALUE"""),0.0)</f>
        <v>0</v>
      </c>
      <c r="D482" s="16" t="str">
        <f>IFERROR(__xludf.DUMMYFUNCTION("""COMPUTED_VALUE"""),"R")</f>
        <v>R</v>
      </c>
      <c r="E482" s="16"/>
      <c r="F482" s="16"/>
      <c r="G482" s="16">
        <f>IFERROR(__xludf.DUMMYFUNCTION("""COMPUTED_VALUE"""),325.0)</f>
        <v>325</v>
      </c>
      <c r="H482" s="16">
        <f>IFERROR(__xludf.DUMMYFUNCTION("""COMPUTED_VALUE"""),27.0)</f>
        <v>27</v>
      </c>
      <c r="I482" s="16" t="str">
        <f>IFERROR(__xludf.DUMMYFUNCTION("""COMPUTED_VALUE"""),"3p50")</f>
        <v>3p50</v>
      </c>
      <c r="J482" s="16">
        <f>IFERROR(__xludf.DUMMYFUNCTION("""COMPUTED_VALUE"""),33.0)</f>
        <v>33</v>
      </c>
      <c r="K482" s="16">
        <f>IFERROR(__xludf.DUMMYFUNCTION("""COMPUTED_VALUE"""),21.0)</f>
        <v>21</v>
      </c>
      <c r="L482" s="16">
        <f>IFERROR(__xludf.DUMMYFUNCTION("""COMPUTED_VALUE"""),-1.0)</f>
        <v>-1</v>
      </c>
      <c r="M482" s="16">
        <f>IFERROR(__xludf.DUMMYFUNCTION("""COMPUTED_VALUE"""),0.0)</f>
        <v>0</v>
      </c>
      <c r="N482" s="16">
        <f>IFERROR(__xludf.DUMMYFUNCTION("""COMPUTED_VALUE"""),-1.0)</f>
        <v>-1</v>
      </c>
      <c r="O482" s="16">
        <f>IFERROR(__xludf.DUMMYFUNCTION("""COMPUTED_VALUE"""),0.0)</f>
        <v>0</v>
      </c>
      <c r="P482" s="16">
        <f>IFERROR(__xludf.DUMMYFUNCTION("""COMPUTED_VALUE"""),2.0)</f>
        <v>2</v>
      </c>
      <c r="Q482" s="16">
        <f>IFERROR(__xludf.DUMMYFUNCTION("""COMPUTED_VALUE"""),10.0)</f>
        <v>10</v>
      </c>
      <c r="R482" s="16">
        <f>IFERROR(__xludf.DUMMYFUNCTION("""COMPUTED_VALUE"""),-2.0)</f>
        <v>-2</v>
      </c>
      <c r="S482" s="16">
        <f>IFERROR(__xludf.DUMMYFUNCTION("""COMPUTED_VALUE"""),0.0)</f>
        <v>0</v>
      </c>
      <c r="T482" s="16">
        <f>IFERROR(__xludf.DUMMYFUNCTION("""COMPUTED_VALUE"""),-2.0)</f>
        <v>-2</v>
      </c>
      <c r="U482" s="16">
        <f>IFERROR(__xludf.DUMMYFUNCTION("""COMPUTED_VALUE"""),0.0)</f>
        <v>0</v>
      </c>
      <c r="V482" s="16">
        <f>IFERROR(__xludf.DUMMYFUNCTION("""COMPUTED_VALUE"""),9.1)</f>
        <v>9.1</v>
      </c>
      <c r="W482" s="16">
        <f>IFERROR(__xludf.DUMMYFUNCTION("""COMPUTED_VALUE"""),6.4)</f>
        <v>6.4</v>
      </c>
      <c r="X482" s="16">
        <f>IFERROR(__xludf.DUMMYFUNCTION("""COMPUTED_VALUE"""),-2.0)</f>
        <v>-2</v>
      </c>
      <c r="Y482" s="16">
        <f>IFERROR(__xludf.DUMMYFUNCTION("""COMPUTED_VALUE"""),-2.0)</f>
        <v>-2</v>
      </c>
      <c r="Z482" s="16">
        <f>IFERROR(__xludf.DUMMYFUNCTION("""COMPUTED_VALUE"""),-4.0)</f>
        <v>-4</v>
      </c>
      <c r="AA482" s="16">
        <f>IFERROR(__xludf.DUMMYFUNCTION("""COMPUTED_VALUE"""),-4.0)</f>
        <v>-4</v>
      </c>
      <c r="AB482" s="16">
        <f>IFERROR(__xludf.DUMMYFUNCTION("""COMPUTED_VALUE"""),14.1)</f>
        <v>14.1</v>
      </c>
      <c r="AC482" s="16">
        <f>IFERROR(__xludf.DUMMYFUNCTION("""COMPUTED_VALUE"""),19.4)</f>
        <v>19.4</v>
      </c>
      <c r="AD482" s="16">
        <f>IFERROR(__xludf.DUMMYFUNCTION("""COMPUTED_VALUE"""),-2.0)</f>
        <v>-2</v>
      </c>
      <c r="AE482" s="16">
        <f>IFERROR(__xludf.DUMMYFUNCTION("""COMPUTED_VALUE"""),-2.0)</f>
        <v>-2</v>
      </c>
      <c r="AF482" s="16">
        <f>IFERROR(__xludf.DUMMYFUNCTION("""COMPUTED_VALUE"""),-10.0)</f>
        <v>-10</v>
      </c>
      <c r="AG482" s="16">
        <f>IFERROR(__xludf.DUMMYFUNCTION("""COMPUTED_VALUE"""),-10.0)</f>
        <v>-10</v>
      </c>
      <c r="AH482" s="16">
        <f>IFERROR(__xludf.DUMMYFUNCTION("""COMPUTED_VALUE"""),9.3)</f>
        <v>9.3</v>
      </c>
      <c r="AI482" s="16">
        <f>IFERROR(__xludf.DUMMYFUNCTION("""COMPUTED_VALUE"""),6.4)</f>
        <v>6.4</v>
      </c>
      <c r="AJ482" s="16">
        <f>IFERROR(__xludf.DUMMYFUNCTION("""COMPUTED_VALUE"""),-2.0)</f>
        <v>-2</v>
      </c>
      <c r="AK482" s="16">
        <f>IFERROR(__xludf.DUMMYFUNCTION("""COMPUTED_VALUE"""),-3.0)</f>
        <v>-3</v>
      </c>
      <c r="AL482" s="16">
        <f>IFERROR(__xludf.DUMMYFUNCTION("""COMPUTED_VALUE"""),-10.0)</f>
        <v>-10</v>
      </c>
      <c r="AM482" s="16">
        <f>IFERROR(__xludf.DUMMYFUNCTION("""COMPUTED_VALUE"""),-15.0)</f>
        <v>-15</v>
      </c>
      <c r="AN482" s="16">
        <f>IFERROR(__xludf.DUMMYFUNCTION("""COMPUTED_VALUE"""),0.0)</f>
        <v>0</v>
      </c>
      <c r="AO482" s="16">
        <f>IFERROR(__xludf.DUMMYFUNCTION("""COMPUTED_VALUE"""),0.0)</f>
        <v>0</v>
      </c>
      <c r="AP482" s="16">
        <f>IFERROR(__xludf.DUMMYFUNCTION("""COMPUTED_VALUE"""),-2.0)</f>
        <v>-2</v>
      </c>
      <c r="AQ482" s="16">
        <f>IFERROR(__xludf.DUMMYFUNCTION("""COMPUTED_VALUE"""),-3.0)</f>
        <v>-3</v>
      </c>
      <c r="AR482" s="16">
        <f>IFERROR(__xludf.DUMMYFUNCTION("""COMPUTED_VALUE"""),-4.0)</f>
        <v>-4</v>
      </c>
      <c r="AS482" s="16">
        <f>IFERROR(__xludf.DUMMYFUNCTION("""COMPUTED_VALUE"""),-6.0)</f>
        <v>-6</v>
      </c>
      <c r="AT482" s="16"/>
      <c r="AU482" s="16">
        <f>IFERROR(__xludf.DUMMYFUNCTION("""COMPUTED_VALUE"""),0.0)</f>
        <v>0</v>
      </c>
      <c r="AV482" s="16">
        <f>IFERROR(__xludf.DUMMYFUNCTION("""COMPUTED_VALUE"""),-3.0)</f>
        <v>-3</v>
      </c>
      <c r="AW482" s="16">
        <f>IFERROR(__xludf.DUMMYFUNCTION("""COMPUTED_VALUE"""),0.0)</f>
        <v>0</v>
      </c>
      <c r="AX482" s="16">
        <f>IFERROR(__xludf.DUMMYFUNCTION("""COMPUTED_VALUE"""),-3.0)</f>
        <v>-3</v>
      </c>
      <c r="AY482" s="16">
        <f>IFERROR(__xludf.DUMMYFUNCTION("""COMPUTED_VALUE"""),-2.0)</f>
        <v>-2</v>
      </c>
      <c r="AZ482" s="16">
        <f>IFERROR(__xludf.DUMMYFUNCTION("""COMPUTED_VALUE"""),-9.0)</f>
        <v>-9</v>
      </c>
      <c r="BA482" s="16">
        <f>IFERROR(__xludf.DUMMYFUNCTION("""COMPUTED_VALUE"""),-6.0)</f>
        <v>-6</v>
      </c>
      <c r="BB482" s="16">
        <f>IFERROR(__xludf.DUMMYFUNCTION("""COMPUTED_VALUE"""),5.0)</f>
        <v>5</v>
      </c>
      <c r="BC482" s="16">
        <f>IFERROR(__xludf.DUMMYFUNCTION("""COMPUTED_VALUE"""),5.0)</f>
        <v>5</v>
      </c>
      <c r="BD482" s="16">
        <f>IFERROR(__xludf.DUMMYFUNCTION("""COMPUTED_VALUE"""),1.0)</f>
        <v>1</v>
      </c>
      <c r="BE482" s="16">
        <f>IFERROR(__xludf.DUMMYFUNCTION("""COMPUTED_VALUE"""),1.0)</f>
        <v>1</v>
      </c>
      <c r="BF482" s="16">
        <f>IFERROR(__xludf.DUMMYFUNCTION("""COMPUTED_VALUE"""),1.0)</f>
        <v>1</v>
      </c>
      <c r="BG482" s="16">
        <f>IFERROR(__xludf.DUMMYFUNCTION("""COMPUTED_VALUE"""),1.0)</f>
        <v>1</v>
      </c>
      <c r="BH482" s="16">
        <f>IFERROR(__xludf.DUMMYFUNCTION("""COMPUTED_VALUE"""),-7.0)</f>
        <v>-7</v>
      </c>
      <c r="BI482" s="16">
        <f>IFERROR(__xludf.DUMMYFUNCTION("""COMPUTED_VALUE"""),-4.0)</f>
        <v>-4</v>
      </c>
      <c r="BJ482" s="16">
        <f>IFERROR(__xludf.DUMMYFUNCTION("""COMPUTED_VALUE"""),28.0)</f>
        <v>28</v>
      </c>
      <c r="BK482" s="16">
        <f>IFERROR(__xludf.DUMMYFUNCTION("""COMPUTED_VALUE"""),25.0)</f>
        <v>25</v>
      </c>
      <c r="BL482" s="16">
        <f>IFERROR(__xludf.DUMMYFUNCTION("""COMPUTED_VALUE"""),-3.0)</f>
        <v>-3</v>
      </c>
      <c r="BM482" s="16">
        <f>IFERROR(__xludf.DUMMYFUNCTION("""COMPUTED_VALUE"""),-2.0)</f>
        <v>-2</v>
      </c>
      <c r="BN482" s="16">
        <f>IFERROR(__xludf.DUMMYFUNCTION("""COMPUTED_VALUE"""),-6.0)</f>
        <v>-6</v>
      </c>
      <c r="BO482" s="16">
        <f>IFERROR(__xludf.DUMMYFUNCTION("""COMPUTED_VALUE"""),-4.0)</f>
        <v>-4</v>
      </c>
      <c r="BP482" s="16">
        <f>IFERROR(__xludf.DUMMYFUNCTION("""COMPUTED_VALUE"""),-16.0)</f>
        <v>-16</v>
      </c>
      <c r="BQ482" s="16">
        <f>IFERROR(__xludf.DUMMYFUNCTION("""COMPUTED_VALUE"""),-13.0)</f>
        <v>-13</v>
      </c>
      <c r="BR482" s="16">
        <f>IFERROR(__xludf.DUMMYFUNCTION("""COMPUTED_VALUE"""),-29.0)</f>
        <v>-29</v>
      </c>
      <c r="BS482" s="16" t="str">
        <f>IFERROR(__xludf.DUMMYFUNCTION("""COMPUTED_VALUE"""),"2/- (20-6)")</f>
        <v>2/- (20-6)</v>
      </c>
      <c r="BT482" s="16" t="str">
        <f>IFERROR(__xludf.DUMMYFUNCTION("""COMPUTED_VALUE"""),"E")</f>
        <v>E</v>
      </c>
      <c r="BU482" s="16">
        <f>IFERROR(__xludf.DUMMYFUNCTION("""COMPUTED_VALUE"""),10.0)</f>
        <v>10</v>
      </c>
      <c r="BV482" s="16">
        <f>IFERROR(__xludf.DUMMYFUNCTION("""COMPUTED_VALUE"""),0.0)</f>
        <v>0</v>
      </c>
      <c r="BW482" s="16">
        <f>IFERROR(__xludf.DUMMYFUNCTION("""COMPUTED_VALUE"""),0.0)</f>
        <v>0</v>
      </c>
      <c r="BX482" s="16">
        <f>IFERROR(__xludf.DUMMYFUNCTION("""COMPUTED_VALUE"""),0.0)</f>
        <v>0</v>
      </c>
      <c r="BY482" s="16">
        <f>IFERROR(__xludf.DUMMYFUNCTION("""COMPUTED_VALUE"""),0.0)</f>
        <v>0</v>
      </c>
      <c r="BZ482" s="16" t="str">
        <f>IFERROR(__xludf.DUMMYFUNCTION("""COMPUTED_VALUE"""),"D")</f>
        <v>D</v>
      </c>
      <c r="CA482" s="16" t="str">
        <f>IFERROR(__xludf.DUMMYFUNCTION("""COMPUTED_VALUE"""),"C")</f>
        <v>C</v>
      </c>
      <c r="CB482" s="16">
        <f>IFERROR(__xludf.DUMMYFUNCTION("""COMPUTED_VALUE"""),0.0)</f>
        <v>0</v>
      </c>
      <c r="CC482" s="16">
        <f>IFERROR(__xludf.DUMMYFUNCTION("""COMPUTED_VALUE"""),0.0)</f>
        <v>0</v>
      </c>
      <c r="CD482" s="16">
        <f>IFERROR(__xludf.DUMMYFUNCTION("""COMPUTED_VALUE"""),0.0)</f>
        <v>0</v>
      </c>
      <c r="CE482" s="16">
        <f>IFERROR(__xludf.DUMMYFUNCTION("""COMPUTED_VALUE"""),0.0)</f>
        <v>0</v>
      </c>
      <c r="CF482" s="16">
        <f>IFERROR(__xludf.DUMMYFUNCTION("""COMPUTED_VALUE"""),3.0)</f>
        <v>3</v>
      </c>
      <c r="CG482" s="16">
        <f>IFERROR(__xludf.DUMMYFUNCTION("""COMPUTED_VALUE"""),-45.0)</f>
        <v>-45</v>
      </c>
      <c r="CH482" s="16">
        <f>IFERROR(__xludf.DUMMYFUNCTION("""COMPUTED_VALUE"""),-44.0)</f>
        <v>-44</v>
      </c>
      <c r="CI482" s="179">
        <f>IFERROR(__xludf.DUMMYFUNCTION("""COMPUTED_VALUE"""),-43.0)</f>
        <v>-43</v>
      </c>
      <c r="CJ482" s="16"/>
      <c r="CK482" s="16">
        <f>IFERROR(__xludf.DUMMYFUNCTION("""COMPUTED_VALUE"""),403.0)</f>
        <v>403</v>
      </c>
      <c r="CL482" s="16">
        <f>IFERROR(__xludf.DUMMYFUNCTION("""COMPUTED_VALUE"""),316.0)</f>
        <v>316</v>
      </c>
      <c r="CM482" s="16">
        <f>IFERROR(__xludf.DUMMYFUNCTION("""COMPUTED_VALUE"""),313.0)</f>
        <v>313</v>
      </c>
      <c r="CN482" s="16"/>
      <c r="CO482" s="16"/>
      <c r="CP482" s="16"/>
      <c r="CQ482" s="16"/>
      <c r="CR482" s="16" t="str">
        <f>IFERROR(__xludf.DUMMYFUNCTION("""COMPUTED_VALUE"""),"2b-3e16 3b-3e13 1b-4e3")</f>
        <v>2b-3e16 3b-3e13 1b-4e3</v>
      </c>
      <c r="CS482" s="16"/>
      <c r="CT482" s="16">
        <f>IFERROR(__xludf.DUMMYFUNCTION("""COMPUTED_VALUE"""),4.0)</f>
        <v>4</v>
      </c>
      <c r="CU482" s="16">
        <f>IFERROR(__xludf.DUMMYFUNCTION("""COMPUTED_VALUE"""),3.0)</f>
        <v>3</v>
      </c>
      <c r="CV482" s="16">
        <f>IFERROR(__xludf.DUMMYFUNCTION("""COMPUTED_VALUE"""),3.0)</f>
        <v>3</v>
      </c>
      <c r="CW482" s="16"/>
      <c r="CX482" s="16"/>
      <c r="CY482" s="16"/>
      <c r="CZ482" s="16"/>
      <c r="DA482" s="16"/>
      <c r="DB482" s="16">
        <f>IFERROR(__xludf.DUMMYFUNCTION("""COMPUTED_VALUE"""),3.0)</f>
        <v>3</v>
      </c>
      <c r="DC482" s="16">
        <f>IFERROR(__xludf.DUMMYFUNCTION("""COMPUTED_VALUE"""),16.0)</f>
        <v>16</v>
      </c>
      <c r="DD482" s="16">
        <f>IFERROR(__xludf.DUMMYFUNCTION("""COMPUTED_VALUE"""),13.0)</f>
        <v>13</v>
      </c>
      <c r="DE482" s="16"/>
      <c r="DF482" s="16"/>
      <c r="DG482" s="16"/>
      <c r="DH482" s="16"/>
      <c r="DI482" s="16"/>
      <c r="DJ482" s="16">
        <f>IFERROR(__xludf.DUMMYFUNCTION("""COMPUTED_VALUE"""),0.0)</f>
        <v>0</v>
      </c>
      <c r="DK482" s="16">
        <f>IFERROR(__xludf.DUMMYFUNCTION("""COMPUTED_VALUE"""),0.0)</f>
        <v>0</v>
      </c>
      <c r="DL482" s="16">
        <f>IFERROR(__xludf.DUMMYFUNCTION("""COMPUTED_VALUE"""),1.0)</f>
        <v>1</v>
      </c>
      <c r="DM482" s="16"/>
      <c r="DN482" s="16"/>
      <c r="DO482" s="16"/>
      <c r="DP482" s="16"/>
      <c r="DQ482" s="16"/>
      <c r="DR482" s="16">
        <f>IFERROR(__xludf.DUMMYFUNCTION("""COMPUTED_VALUE"""),4.0)</f>
        <v>4</v>
      </c>
      <c r="DS482" s="16">
        <f>IFERROR(__xludf.DUMMYFUNCTION("""COMPUTED_VALUE"""),2.0)</f>
        <v>2</v>
      </c>
      <c r="DT482" s="16">
        <f>IFERROR(__xludf.DUMMYFUNCTION("""COMPUTED_VALUE"""),1.0)</f>
        <v>1</v>
      </c>
      <c r="DU482" s="16"/>
      <c r="DV482" s="16"/>
      <c r="DW482" s="16"/>
      <c r="DX482" s="16"/>
      <c r="DY482" s="16"/>
      <c r="DZ482" s="16">
        <f>IFERROR(__xludf.DUMMYFUNCTION("""COMPUTED_VALUE"""),4.0)</f>
        <v>4</v>
      </c>
      <c r="EA482" s="16">
        <f>IFERROR(__xludf.DUMMYFUNCTION("""COMPUTED_VALUE"""),2.0)</f>
        <v>2</v>
      </c>
      <c r="EB482" s="16">
        <f>IFERROR(__xludf.DUMMYFUNCTION("""COMPUTED_VALUE"""),2.0)</f>
        <v>2</v>
      </c>
      <c r="EC482" s="16"/>
      <c r="ED482" s="16"/>
      <c r="EE482" s="16"/>
      <c r="EF482" s="16"/>
      <c r="EG482" s="179"/>
      <c r="EH482" s="179">
        <f>IFERROR(__xludf.DUMMYFUNCTION("""COMPUTED_VALUE"""),-39.0)</f>
        <v>-39</v>
      </c>
      <c r="EI482" s="179">
        <f>IFERROR(__xludf.DUMMYFUNCTION("""COMPUTED_VALUE"""),-41.0)</f>
        <v>-41</v>
      </c>
      <c r="EJ482" s="179">
        <f>IFERROR(__xludf.DUMMYFUNCTION("""COMPUTED_VALUE"""),-41.0)</f>
        <v>-41</v>
      </c>
      <c r="EK482" s="179"/>
      <c r="EL482" s="179"/>
      <c r="EM482" s="179"/>
      <c r="EN482" s="179"/>
      <c r="EO482" s="16"/>
      <c r="EP482" s="16"/>
      <c r="EQ482" s="16">
        <f>IFERROR(__xludf.DUMMYFUNCTION("""COMPUTED_VALUE"""),1.0)</f>
        <v>1</v>
      </c>
      <c r="ER482" s="16">
        <f>IFERROR(__xludf.DUMMYFUNCTION("""COMPUTED_VALUE"""),0.0)</f>
        <v>0</v>
      </c>
      <c r="ES482" s="16"/>
      <c r="ET482" s="16"/>
      <c r="EU482" s="16"/>
      <c r="EV482" s="16"/>
      <c r="EW482" s="16"/>
      <c r="EX482" s="180"/>
      <c r="EY482" s="180">
        <f>IFERROR(__xludf.DUMMYFUNCTION("""COMPUTED_VALUE"""),0.3)</f>
        <v>0.3</v>
      </c>
      <c r="EZ482" s="180">
        <f>IFERROR(__xludf.DUMMYFUNCTION("""COMPUTED_VALUE"""),0.2)</f>
        <v>0.2</v>
      </c>
      <c r="FA482" s="180">
        <f>IFERROR(__xludf.DUMMYFUNCTION("""COMPUTED_VALUE"""),0.2)</f>
        <v>0.2</v>
      </c>
      <c r="FB482" s="180"/>
      <c r="FC482" s="180"/>
      <c r="FD482" s="180"/>
      <c r="FE482" s="180"/>
      <c r="FF482" s="180"/>
      <c r="FG482" s="180">
        <f>IFERROR(__xludf.DUMMYFUNCTION("""COMPUTED_VALUE"""),0.05555555555555555)</f>
        <v>0.05555555556</v>
      </c>
      <c r="FH482" s="180">
        <f>IFERROR(__xludf.DUMMYFUNCTION("""COMPUTED_VALUE"""),0.09722222222222222)</f>
        <v>0.09722222222</v>
      </c>
      <c r="FI482" s="180">
        <f>IFERROR(__xludf.DUMMYFUNCTION("""COMPUTED_VALUE"""),0.1574074074074074)</f>
        <v>0.1574074074</v>
      </c>
      <c r="FJ482" s="180"/>
      <c r="FK482" s="180"/>
      <c r="FL482" s="180"/>
      <c r="FM482" s="180"/>
      <c r="FN482" s="16"/>
      <c r="FO482" s="16">
        <f>IFERROR(__xludf.DUMMYFUNCTION("""COMPUTED_VALUE"""),0.6611111111111111)</f>
        <v>0.6611111111</v>
      </c>
      <c r="FP482" s="16">
        <f>IFERROR(__xludf.DUMMYFUNCTION("""COMPUTED_VALUE"""),0.7222222222222223)</f>
        <v>0.7222222222</v>
      </c>
      <c r="FQ482" s="16">
        <f>IFERROR(__xludf.DUMMYFUNCTION("""COMPUTED_VALUE"""),0.674074074074074)</f>
        <v>0.6740740741</v>
      </c>
      <c r="FR482" s="16"/>
      <c r="FS482" s="16"/>
      <c r="FT482" s="16"/>
      <c r="FU482" s="16"/>
      <c r="FV482" s="16"/>
      <c r="FW482" s="16">
        <f>IFERROR(__xludf.DUMMYFUNCTION("""COMPUTED_VALUE"""),-4.0)</f>
        <v>-4</v>
      </c>
      <c r="FX482" s="16">
        <f>IFERROR(__xludf.DUMMYFUNCTION("""COMPUTED_VALUE"""),-4.0)</f>
        <v>-4</v>
      </c>
      <c r="FY482" s="16">
        <f>IFERROR(__xludf.DUMMYFUNCTION("""COMPUTED_VALUE"""),-4.0)</f>
        <v>-4</v>
      </c>
      <c r="FZ482" s="16"/>
      <c r="GA482" s="16"/>
      <c r="GB482" s="16"/>
      <c r="GC482" s="16"/>
      <c r="GD482" s="16" t="s">
        <v>176</v>
      </c>
    </row>
    <row r="483">
      <c r="A483" s="16">
        <f>IFERROR(__xludf.DUMMYFUNCTION("""COMPUTED_VALUE"""),12524.0)</f>
        <v>12524</v>
      </c>
      <c r="B483" s="16" t="str">
        <f>IFERROR(__xludf.DUMMYFUNCTION("""COMPUTED_VALUE"""),"Alex Jackson")</f>
        <v>Alex Jackson</v>
      </c>
      <c r="C483" s="16">
        <f>IFERROR(__xludf.DUMMYFUNCTION("""COMPUTED_VALUE"""),0.0)</f>
        <v>0</v>
      </c>
      <c r="D483" s="16" t="str">
        <f>IFERROR(__xludf.DUMMYFUNCTION("""COMPUTED_VALUE"""),"R")</f>
        <v>R</v>
      </c>
      <c r="E483" s="16"/>
      <c r="F483" s="16"/>
      <c r="G483" s="16">
        <f>IFERROR(__xludf.DUMMYFUNCTION("""COMPUTED_VALUE"""),139.0)</f>
        <v>139</v>
      </c>
      <c r="H483" s="16">
        <f>IFERROR(__xludf.DUMMYFUNCTION("""COMPUTED_VALUE"""),12.0)</f>
        <v>12</v>
      </c>
      <c r="I483" s="16" t="str">
        <f>IFERROR(__xludf.DUMMYFUNCTION("""COMPUTED_VALUE"""),"2p30")</f>
        <v>2p30</v>
      </c>
      <c r="J483" s="16">
        <f>IFERROR(__xludf.DUMMYFUNCTION("""COMPUTED_VALUE"""),51.0)</f>
        <v>51</v>
      </c>
      <c r="K483" s="16">
        <f>IFERROR(__xludf.DUMMYFUNCTION("""COMPUTED_VALUE"""),48.0)</f>
        <v>48</v>
      </c>
      <c r="L483" s="16">
        <f>IFERROR(__xludf.DUMMYFUNCTION("""COMPUTED_VALUE"""),-2.0)</f>
        <v>-2</v>
      </c>
      <c r="M483" s="16">
        <f>IFERROR(__xludf.DUMMYFUNCTION("""COMPUTED_VALUE"""),-2.0)</f>
        <v>-2</v>
      </c>
      <c r="N483" s="16">
        <f>IFERROR(__xludf.DUMMYFUNCTION("""COMPUTED_VALUE"""),-2.0)</f>
        <v>-2</v>
      </c>
      <c r="O483" s="16">
        <f>IFERROR(__xludf.DUMMYFUNCTION("""COMPUTED_VALUE"""),-2.0)</f>
        <v>-2</v>
      </c>
      <c r="P483" s="16">
        <f>IFERROR(__xludf.DUMMYFUNCTION("""COMPUTED_VALUE"""),10.0)</f>
        <v>10</v>
      </c>
      <c r="Q483" s="16">
        <f>IFERROR(__xludf.DUMMYFUNCTION("""COMPUTED_VALUE"""),8.0)</f>
        <v>8</v>
      </c>
      <c r="R483" s="16">
        <f>IFERROR(__xludf.DUMMYFUNCTION("""COMPUTED_VALUE"""),1.0)</f>
        <v>1</v>
      </c>
      <c r="S483" s="16">
        <f>IFERROR(__xludf.DUMMYFUNCTION("""COMPUTED_VALUE"""),0.0)</f>
        <v>0</v>
      </c>
      <c r="T483" s="16">
        <f>IFERROR(__xludf.DUMMYFUNCTION("""COMPUTED_VALUE"""),1.0)</f>
        <v>1</v>
      </c>
      <c r="U483" s="16">
        <f>IFERROR(__xludf.DUMMYFUNCTION("""COMPUTED_VALUE"""),0.0)</f>
        <v>0</v>
      </c>
      <c r="V483" s="16">
        <f>IFERROR(__xludf.DUMMYFUNCTION("""COMPUTED_VALUE"""),4.0)</f>
        <v>4</v>
      </c>
      <c r="W483" s="16">
        <f>IFERROR(__xludf.DUMMYFUNCTION("""COMPUTED_VALUE"""),0.0)</f>
        <v>0</v>
      </c>
      <c r="X483" s="16">
        <f>IFERROR(__xludf.DUMMYFUNCTION("""COMPUTED_VALUE"""),-2.0)</f>
        <v>-2</v>
      </c>
      <c r="Y483" s="16">
        <f>IFERROR(__xludf.DUMMYFUNCTION("""COMPUTED_VALUE"""),-3.0)</f>
        <v>-3</v>
      </c>
      <c r="Z483" s="16">
        <f>IFERROR(__xludf.DUMMYFUNCTION("""COMPUTED_VALUE"""),-4.0)</f>
        <v>-4</v>
      </c>
      <c r="AA483" s="16">
        <f>IFERROR(__xludf.DUMMYFUNCTION("""COMPUTED_VALUE"""),-6.0)</f>
        <v>-6</v>
      </c>
      <c r="AB483" s="16">
        <f>IFERROR(__xludf.DUMMYFUNCTION("""COMPUTED_VALUE"""),17.0)</f>
        <v>17</v>
      </c>
      <c r="AC483" s="16">
        <f>IFERROR(__xludf.DUMMYFUNCTION("""COMPUTED_VALUE"""),11.0)</f>
        <v>11</v>
      </c>
      <c r="AD483" s="16">
        <f>IFERROR(__xludf.DUMMYFUNCTION("""COMPUTED_VALUE"""),-2.0)</f>
        <v>-2</v>
      </c>
      <c r="AE483" s="16">
        <f>IFERROR(__xludf.DUMMYFUNCTION("""COMPUTED_VALUE"""),-3.0)</f>
        <v>-3</v>
      </c>
      <c r="AF483" s="16">
        <f>IFERROR(__xludf.DUMMYFUNCTION("""COMPUTED_VALUE"""),-10.0)</f>
        <v>-10</v>
      </c>
      <c r="AG483" s="16">
        <f>IFERROR(__xludf.DUMMYFUNCTION("""COMPUTED_VALUE"""),-15.0)</f>
        <v>-15</v>
      </c>
      <c r="AH483" s="16">
        <f>IFERROR(__xludf.DUMMYFUNCTION("""COMPUTED_VALUE"""),11.2)</f>
        <v>11.2</v>
      </c>
      <c r="AI483" s="16">
        <f>IFERROR(__xludf.DUMMYFUNCTION("""COMPUTED_VALUE"""),0.0)</f>
        <v>0</v>
      </c>
      <c r="AJ483" s="16">
        <f>IFERROR(__xludf.DUMMYFUNCTION("""COMPUTED_VALUE"""),-2.0)</f>
        <v>-2</v>
      </c>
      <c r="AK483" s="16">
        <f>IFERROR(__xludf.DUMMYFUNCTION("""COMPUTED_VALUE"""),-3.0)</f>
        <v>-3</v>
      </c>
      <c r="AL483" s="16">
        <f>IFERROR(__xludf.DUMMYFUNCTION("""COMPUTED_VALUE"""),-10.0)</f>
        <v>-10</v>
      </c>
      <c r="AM483" s="16">
        <f>IFERROR(__xludf.DUMMYFUNCTION("""COMPUTED_VALUE"""),-15.0)</f>
        <v>-15</v>
      </c>
      <c r="AN483" s="16">
        <f>IFERROR(__xludf.DUMMYFUNCTION("""COMPUTED_VALUE"""),1.6)</f>
        <v>1.6</v>
      </c>
      <c r="AO483" s="16">
        <f>IFERROR(__xludf.DUMMYFUNCTION("""COMPUTED_VALUE"""),0.0)</f>
        <v>0</v>
      </c>
      <c r="AP483" s="16">
        <f>IFERROR(__xludf.DUMMYFUNCTION("""COMPUTED_VALUE"""),-1.0)</f>
        <v>-1</v>
      </c>
      <c r="AQ483" s="16">
        <f>IFERROR(__xludf.DUMMYFUNCTION("""COMPUTED_VALUE"""),-3.0)</f>
        <v>-3</v>
      </c>
      <c r="AR483" s="16">
        <f>IFERROR(__xludf.DUMMYFUNCTION("""COMPUTED_VALUE"""),-2.0)</f>
        <v>-2</v>
      </c>
      <c r="AS483" s="16">
        <f>IFERROR(__xludf.DUMMYFUNCTION("""COMPUTED_VALUE"""),-6.0)</f>
        <v>-6</v>
      </c>
      <c r="AT483" s="16"/>
      <c r="AU483" s="16"/>
      <c r="AV483" s="16">
        <f>IFERROR(__xludf.DUMMYFUNCTION("""COMPUTED_VALUE"""),2.0)</f>
        <v>2</v>
      </c>
      <c r="AW483" s="16">
        <f>IFERROR(__xludf.DUMMYFUNCTION("""COMPUTED_VALUE"""),0.0)</f>
        <v>0</v>
      </c>
      <c r="AX483" s="16">
        <f>IFERROR(__xludf.DUMMYFUNCTION("""COMPUTED_VALUE"""),0.0)</f>
        <v>0</v>
      </c>
      <c r="AY483" s="16">
        <f>IFERROR(__xludf.DUMMYFUNCTION("""COMPUTED_VALUE"""),-2.0)</f>
        <v>-2</v>
      </c>
      <c r="AZ483" s="16">
        <f>IFERROR(__xludf.DUMMYFUNCTION("""COMPUTED_VALUE"""),0.0)</f>
        <v>0</v>
      </c>
      <c r="BA483" s="16">
        <f>IFERROR(__xludf.DUMMYFUNCTION("""COMPUTED_VALUE"""),-6.0)</f>
        <v>-6</v>
      </c>
      <c r="BB483" s="16">
        <f>IFERROR(__xludf.DUMMYFUNCTION("""COMPUTED_VALUE"""),0.0)</f>
        <v>0</v>
      </c>
      <c r="BC483" s="16">
        <f>IFERROR(__xludf.DUMMYFUNCTION("""COMPUTED_VALUE"""),0.0)</f>
        <v>0</v>
      </c>
      <c r="BD483" s="16">
        <f>IFERROR(__xludf.DUMMYFUNCTION("""COMPUTED_VALUE"""),0.0)</f>
        <v>0</v>
      </c>
      <c r="BE483" s="16">
        <f>IFERROR(__xludf.DUMMYFUNCTION("""COMPUTED_VALUE"""),0.0)</f>
        <v>0</v>
      </c>
      <c r="BF483" s="16">
        <f>IFERROR(__xludf.DUMMYFUNCTION("""COMPUTED_VALUE"""),0.0)</f>
        <v>0</v>
      </c>
      <c r="BG483" s="16">
        <f>IFERROR(__xludf.DUMMYFUNCTION("""COMPUTED_VALUE"""),0.0)</f>
        <v>0</v>
      </c>
      <c r="BH483" s="16">
        <f>IFERROR(__xludf.DUMMYFUNCTION("""COMPUTED_VALUE"""),0.0)</f>
        <v>0</v>
      </c>
      <c r="BI483" s="16">
        <f>IFERROR(__xludf.DUMMYFUNCTION("""COMPUTED_VALUE"""),0.0)</f>
        <v>0</v>
      </c>
      <c r="BJ483" s="16">
        <f>IFERROR(__xludf.DUMMYFUNCTION("""COMPUTED_VALUE"""),8.0)</f>
        <v>8</v>
      </c>
      <c r="BK483" s="16">
        <f>IFERROR(__xludf.DUMMYFUNCTION("""COMPUTED_VALUE"""),9.0)</f>
        <v>9</v>
      </c>
      <c r="BL483" s="16">
        <f>IFERROR(__xludf.DUMMYFUNCTION("""COMPUTED_VALUE"""),1.0)</f>
        <v>1</v>
      </c>
      <c r="BM483" s="16">
        <f>IFERROR(__xludf.DUMMYFUNCTION("""COMPUTED_VALUE"""),1.0)</f>
        <v>1</v>
      </c>
      <c r="BN483" s="16">
        <f>IFERROR(__xludf.DUMMYFUNCTION("""COMPUTED_VALUE"""),1.0)</f>
        <v>1</v>
      </c>
      <c r="BO483" s="16">
        <f>IFERROR(__xludf.DUMMYFUNCTION("""COMPUTED_VALUE"""),1.0)</f>
        <v>1</v>
      </c>
      <c r="BP483" s="16">
        <f>IFERROR(__xludf.DUMMYFUNCTION("""COMPUTED_VALUE"""),-7.0)</f>
        <v>-7</v>
      </c>
      <c r="BQ483" s="16">
        <f>IFERROR(__xludf.DUMMYFUNCTION("""COMPUTED_VALUE"""),-15.0)</f>
        <v>-15</v>
      </c>
      <c r="BR483" s="16">
        <f>IFERROR(__xludf.DUMMYFUNCTION("""COMPUTED_VALUE"""),-22.0)</f>
        <v>-22</v>
      </c>
      <c r="BS483" s="16" t="str">
        <f>IFERROR(__xludf.DUMMYFUNCTION("""COMPUTED_VALUE"""),"3/- (20-6)")</f>
        <v>3/- (20-6)</v>
      </c>
      <c r="BT483" s="16" t="str">
        <f>IFERROR(__xludf.DUMMYFUNCTION("""COMPUTED_VALUE"""),"E")</f>
        <v>E</v>
      </c>
      <c r="BU483" s="16">
        <f>IFERROR(__xludf.DUMMYFUNCTION("""COMPUTED_VALUE"""),9.0)</f>
        <v>9</v>
      </c>
      <c r="BV483" s="16">
        <f>IFERROR(__xludf.DUMMYFUNCTION("""COMPUTED_VALUE"""),0.0)</f>
        <v>0</v>
      </c>
      <c r="BW483" s="16">
        <f>IFERROR(__xludf.DUMMYFUNCTION("""COMPUTED_VALUE"""),-1.0)</f>
        <v>-1</v>
      </c>
      <c r="BX483" s="16">
        <f>IFERROR(__xludf.DUMMYFUNCTION("""COMPUTED_VALUE"""),0.0)</f>
        <v>0</v>
      </c>
      <c r="BY483" s="16">
        <f>IFERROR(__xludf.DUMMYFUNCTION("""COMPUTED_VALUE"""),-3.0)</f>
        <v>-3</v>
      </c>
      <c r="BZ483" s="16" t="str">
        <f>IFERROR(__xludf.DUMMYFUNCTION("""COMPUTED_VALUE"""),"D")</f>
        <v>D</v>
      </c>
      <c r="CA483" s="16" t="str">
        <f>IFERROR(__xludf.DUMMYFUNCTION("""COMPUTED_VALUE"""),"D")</f>
        <v>D</v>
      </c>
      <c r="CB483" s="16">
        <f>IFERROR(__xludf.DUMMYFUNCTION("""COMPUTED_VALUE"""),0.0)</f>
        <v>0</v>
      </c>
      <c r="CC483" s="16">
        <f>IFERROR(__xludf.DUMMYFUNCTION("""COMPUTED_VALUE"""),0.0)</f>
        <v>0</v>
      </c>
      <c r="CD483" s="16">
        <f>IFERROR(__xludf.DUMMYFUNCTION("""COMPUTED_VALUE"""),0.0)</f>
        <v>0</v>
      </c>
      <c r="CE483" s="16">
        <f>IFERROR(__xludf.DUMMYFUNCTION("""COMPUTED_VALUE"""),0.0)</f>
        <v>0</v>
      </c>
      <c r="CF483" s="16">
        <f>IFERROR(__xludf.DUMMYFUNCTION("""COMPUTED_VALUE"""),2.0)</f>
        <v>2</v>
      </c>
      <c r="CG483" s="16">
        <f>IFERROR(__xludf.DUMMYFUNCTION("""COMPUTED_VALUE"""),-26.0)</f>
        <v>-26</v>
      </c>
      <c r="CH483" s="16">
        <f>IFERROR(__xludf.DUMMYFUNCTION("""COMPUTED_VALUE"""),-49.0)</f>
        <v>-49</v>
      </c>
      <c r="CI483" s="179">
        <f>IFERROR(__xludf.DUMMYFUNCTION("""COMPUTED_VALUE"""),-44.0)</f>
        <v>-44</v>
      </c>
      <c r="CJ483" s="16">
        <f>IFERROR(__xludf.DUMMYFUNCTION("""COMPUTED_VALUE"""),214.0)</f>
        <v>214</v>
      </c>
      <c r="CK483" s="16"/>
      <c r="CL483" s="16"/>
      <c r="CM483" s="16"/>
      <c r="CN483" s="16"/>
      <c r="CO483" s="16"/>
      <c r="CP483" s="16"/>
      <c r="CQ483" s="16"/>
      <c r="CR483" s="16" t="str">
        <f>IFERROR(__xludf.DUMMYFUNCTION("""COMPUTED_VALUE"""),"c-2(-1)e14,T-8(pb-4)")</f>
        <v>c-2(-1)e14,T-8(pb-4)</v>
      </c>
      <c r="CS483" s="16">
        <f>IFERROR(__xludf.DUMMYFUNCTION("""COMPUTED_VALUE"""),2.0)</f>
        <v>2</v>
      </c>
      <c r="CT483" s="16"/>
      <c r="CU483" s="16"/>
      <c r="CV483" s="16"/>
      <c r="CW483" s="16"/>
      <c r="CX483" s="16"/>
      <c r="CY483" s="16"/>
      <c r="CZ483" s="16"/>
      <c r="DA483" s="16">
        <f>IFERROR(__xludf.DUMMYFUNCTION("""COMPUTED_VALUE"""),14.0)</f>
        <v>14</v>
      </c>
      <c r="DB483" s="16"/>
      <c r="DC483" s="16"/>
      <c r="DD483" s="16"/>
      <c r="DE483" s="16"/>
      <c r="DF483" s="16"/>
      <c r="DG483" s="16"/>
      <c r="DH483" s="16"/>
      <c r="DI483" s="16">
        <f>IFERROR(__xludf.DUMMYFUNCTION("""COMPUTED_VALUE"""),2.0)</f>
        <v>2</v>
      </c>
      <c r="DJ483" s="16"/>
      <c r="DK483" s="16"/>
      <c r="DL483" s="16"/>
      <c r="DM483" s="16"/>
      <c r="DN483" s="16"/>
      <c r="DO483" s="16"/>
      <c r="DP483" s="16"/>
      <c r="DQ483" s="16">
        <f>IFERROR(__xludf.DUMMYFUNCTION("""COMPUTED_VALUE"""),-2.0)</f>
        <v>-2</v>
      </c>
      <c r="DR483" s="16"/>
      <c r="DS483" s="16"/>
      <c r="DT483" s="16"/>
      <c r="DU483" s="16"/>
      <c r="DV483" s="16"/>
      <c r="DW483" s="16"/>
      <c r="DX483" s="16"/>
      <c r="DY483" s="16">
        <f>IFERROR(__xludf.DUMMYFUNCTION("""COMPUTED_VALUE"""),0.0)</f>
        <v>0</v>
      </c>
      <c r="DZ483" s="16"/>
      <c r="EA483" s="16"/>
      <c r="EB483" s="16"/>
      <c r="EC483" s="16"/>
      <c r="ED483" s="16"/>
      <c r="EE483" s="16"/>
      <c r="EF483" s="16"/>
      <c r="EG483" s="179">
        <f>IFERROR(__xludf.DUMMYFUNCTION("""COMPUTED_VALUE"""),-45.0)</f>
        <v>-45</v>
      </c>
      <c r="EH483" s="179"/>
      <c r="EI483" s="179"/>
      <c r="EJ483" s="179"/>
      <c r="EK483" s="179"/>
      <c r="EL483" s="179"/>
      <c r="EM483" s="179"/>
      <c r="EN483" s="179"/>
      <c r="EO483" s="16">
        <f>IFERROR(__xludf.DUMMYFUNCTION("""COMPUTED_VALUE"""),-1.0)</f>
        <v>-1</v>
      </c>
      <c r="EP483" s="16">
        <f>IFERROR(__xludf.DUMMYFUNCTION("""COMPUTED_VALUE"""),1.0)</f>
        <v>1</v>
      </c>
      <c r="EQ483" s="16">
        <f>IFERROR(__xludf.DUMMYFUNCTION("""COMPUTED_VALUE"""),2.0)</f>
        <v>2</v>
      </c>
      <c r="ER483" s="16">
        <f>IFERROR(__xludf.DUMMYFUNCTION("""COMPUTED_VALUE"""),-2.0)</f>
        <v>-2</v>
      </c>
      <c r="ES483" s="16" t="str">
        <f>IFERROR(__xludf.DUMMYFUNCTION("""COMPUTED_VALUE"""),"c-2")</f>
        <v>c-2</v>
      </c>
      <c r="ET483" s="16" t="str">
        <f>IFERROR(__xludf.DUMMYFUNCTION("""COMPUTED_VALUE"""),"-1)e14,T-8")</f>
        <v>-1)e14,T-8</v>
      </c>
      <c r="EU483" s="16" t="str">
        <f>IFERROR(__xludf.DUMMYFUNCTION("""COMPUTED_VALUE"""),"pb-4)")</f>
        <v>pb-4)</v>
      </c>
      <c r="EV483" s="16"/>
      <c r="EW483" s="16">
        <f>IFERROR(__xludf.DUMMYFUNCTION("""COMPUTED_VALUE"""),-1.0)</f>
        <v>-1</v>
      </c>
      <c r="EX483" s="180">
        <f>IFERROR(__xludf.DUMMYFUNCTION("""COMPUTED_VALUE"""),0.1)</f>
        <v>0.1</v>
      </c>
      <c r="EY483" s="180"/>
      <c r="EZ483" s="180"/>
      <c r="FA483" s="180"/>
      <c r="FB483" s="180"/>
      <c r="FC483" s="180"/>
      <c r="FD483" s="180"/>
      <c r="FE483" s="180"/>
      <c r="FF483" s="180">
        <f>IFERROR(__xludf.DUMMYFUNCTION("""COMPUTED_VALUE"""),0.168)</f>
        <v>0.168</v>
      </c>
      <c r="FG483" s="180"/>
      <c r="FH483" s="180"/>
      <c r="FI483" s="180"/>
      <c r="FJ483" s="180"/>
      <c r="FK483" s="180"/>
      <c r="FL483" s="180"/>
      <c r="FM483" s="180"/>
      <c r="FN483" s="16">
        <f>IFERROR(__xludf.DUMMYFUNCTION("""COMPUTED_VALUE"""),0.7488)</f>
        <v>0.7488</v>
      </c>
      <c r="FO483" s="16"/>
      <c r="FP483" s="16"/>
      <c r="FQ483" s="16"/>
      <c r="FR483" s="16"/>
      <c r="FS483" s="16"/>
      <c r="FT483" s="16"/>
      <c r="FU483" s="16"/>
      <c r="FV483" s="16">
        <f>IFERROR(__xludf.DUMMYFUNCTION("""COMPUTED_VALUE"""),-3.0)</f>
        <v>-3</v>
      </c>
      <c r="FW483" s="16"/>
      <c r="FX483" s="16"/>
      <c r="FY483" s="16"/>
      <c r="FZ483" s="16"/>
      <c r="GA483" s="16"/>
      <c r="GB483" s="16"/>
      <c r="GC483" s="16"/>
      <c r="GD483" s="16" t="s">
        <v>176</v>
      </c>
    </row>
    <row r="484">
      <c r="A484" s="16">
        <f>IFERROR(__xludf.DUMMYFUNCTION("""COMPUTED_VALUE"""),12756.0)</f>
        <v>12756</v>
      </c>
      <c r="B484" s="16" t="str">
        <f>IFERROR(__xludf.DUMMYFUNCTION("""COMPUTED_VALUE"""),"Dillon Dingler")</f>
        <v>Dillon Dingler</v>
      </c>
      <c r="C484" s="16">
        <f>IFERROR(__xludf.DUMMYFUNCTION("""COMPUTED_VALUE"""),0.0)</f>
        <v>0</v>
      </c>
      <c r="D484" s="16" t="str">
        <f>IFERROR(__xludf.DUMMYFUNCTION("""COMPUTED_VALUE"""),"R")</f>
        <v>R</v>
      </c>
      <c r="E484" s="16"/>
      <c r="F484" s="16"/>
      <c r="G484" s="16">
        <f>IFERROR(__xludf.DUMMYFUNCTION("""COMPUTED_VALUE"""),84.0)</f>
        <v>84</v>
      </c>
      <c r="H484" s="16">
        <f>IFERROR(__xludf.DUMMYFUNCTION("""COMPUTED_VALUE"""),3.0)</f>
        <v>3</v>
      </c>
      <c r="I484" s="16" t="str">
        <f>IFERROR(__xludf.DUMMYFUNCTION("""COMPUTED_VALUE"""),"2p20")</f>
        <v>2p20</v>
      </c>
      <c r="J484" s="16">
        <f>IFERROR(__xludf.DUMMYFUNCTION("""COMPUTED_VALUE"""),41.0)</f>
        <v>41</v>
      </c>
      <c r="K484" s="16">
        <f>IFERROR(__xludf.DUMMYFUNCTION("""COMPUTED_VALUE"""),52.0)</f>
        <v>52</v>
      </c>
      <c r="L484" s="16">
        <f>IFERROR(__xludf.DUMMYFUNCTION("""COMPUTED_VALUE"""),-1.0)</f>
        <v>-1</v>
      </c>
      <c r="M484" s="16">
        <f>IFERROR(__xludf.DUMMYFUNCTION("""COMPUTED_VALUE"""),-2.0)</f>
        <v>-2</v>
      </c>
      <c r="N484" s="16">
        <f>IFERROR(__xludf.DUMMYFUNCTION("""COMPUTED_VALUE"""),-1.0)</f>
        <v>-1</v>
      </c>
      <c r="O484" s="16">
        <f>IFERROR(__xludf.DUMMYFUNCTION("""COMPUTED_VALUE"""),-2.0)</f>
        <v>-2</v>
      </c>
      <c r="P484" s="16">
        <f>IFERROR(__xludf.DUMMYFUNCTION("""COMPUTED_VALUE"""),0.0)</f>
        <v>0</v>
      </c>
      <c r="Q484" s="16">
        <f>IFERROR(__xludf.DUMMYFUNCTION("""COMPUTED_VALUE"""),0.0)</f>
        <v>0</v>
      </c>
      <c r="R484" s="16">
        <f>IFERROR(__xludf.DUMMYFUNCTION("""COMPUTED_VALUE"""),-3.0)</f>
        <v>-3</v>
      </c>
      <c r="S484" s="16">
        <f>IFERROR(__xludf.DUMMYFUNCTION("""COMPUTED_VALUE"""),-2.0)</f>
        <v>-2</v>
      </c>
      <c r="T484" s="16">
        <f>IFERROR(__xludf.DUMMYFUNCTION("""COMPUTED_VALUE"""),-3.0)</f>
        <v>-3</v>
      </c>
      <c r="U484" s="16">
        <f>IFERROR(__xludf.DUMMYFUNCTION("""COMPUTED_VALUE"""),-2.0)</f>
        <v>-2</v>
      </c>
      <c r="V484" s="16">
        <f>IFERROR(__xludf.DUMMYFUNCTION("""COMPUTED_VALUE"""),5.5)</f>
        <v>5.5</v>
      </c>
      <c r="W484" s="16">
        <f>IFERROR(__xludf.DUMMYFUNCTION("""COMPUTED_VALUE"""),10.6)</f>
        <v>10.6</v>
      </c>
      <c r="X484" s="16">
        <f>IFERROR(__xludf.DUMMYFUNCTION("""COMPUTED_VALUE"""),-2.0)</f>
        <v>-2</v>
      </c>
      <c r="Y484" s="16">
        <f>IFERROR(__xludf.DUMMYFUNCTION("""COMPUTED_VALUE"""),-2.0)</f>
        <v>-2</v>
      </c>
      <c r="Z484" s="16">
        <f>IFERROR(__xludf.DUMMYFUNCTION("""COMPUTED_VALUE"""),-4.0)</f>
        <v>-4</v>
      </c>
      <c r="AA484" s="16">
        <f>IFERROR(__xludf.DUMMYFUNCTION("""COMPUTED_VALUE"""),-4.0)</f>
        <v>-4</v>
      </c>
      <c r="AB484" s="16">
        <f>IFERROR(__xludf.DUMMYFUNCTION("""COMPUTED_VALUE"""),5.5)</f>
        <v>5.5</v>
      </c>
      <c r="AC484" s="16">
        <f>IFERROR(__xludf.DUMMYFUNCTION("""COMPUTED_VALUE"""),10.6)</f>
        <v>10.6</v>
      </c>
      <c r="AD484" s="16">
        <f>IFERROR(__xludf.DUMMYFUNCTION("""COMPUTED_VALUE"""),-3.0)</f>
        <v>-3</v>
      </c>
      <c r="AE484" s="16">
        <f>IFERROR(__xludf.DUMMYFUNCTION("""COMPUTED_VALUE"""),-3.0)</f>
        <v>-3</v>
      </c>
      <c r="AF484" s="16">
        <f>IFERROR(__xludf.DUMMYFUNCTION("""COMPUTED_VALUE"""),-15.0)</f>
        <v>-15</v>
      </c>
      <c r="AG484" s="16">
        <f>IFERROR(__xludf.DUMMYFUNCTION("""COMPUTED_VALUE"""),-15.0)</f>
        <v>-15</v>
      </c>
      <c r="AH484" s="16">
        <f>IFERROR(__xludf.DUMMYFUNCTION("""COMPUTED_VALUE"""),15.2)</f>
        <v>15.2</v>
      </c>
      <c r="AI484" s="16">
        <f>IFERROR(__xludf.DUMMYFUNCTION("""COMPUTED_VALUE"""),24.4)</f>
        <v>24.4</v>
      </c>
      <c r="AJ484" s="16">
        <f>IFERROR(__xludf.DUMMYFUNCTION("""COMPUTED_VALUE"""),-1.0)</f>
        <v>-1</v>
      </c>
      <c r="AK484" s="16">
        <f>IFERROR(__xludf.DUMMYFUNCTION("""COMPUTED_VALUE"""),-1.0)</f>
        <v>-1</v>
      </c>
      <c r="AL484" s="16">
        <f>IFERROR(__xludf.DUMMYFUNCTION("""COMPUTED_VALUE"""),-5.0)</f>
        <v>-5</v>
      </c>
      <c r="AM484" s="16">
        <f>IFERROR(__xludf.DUMMYFUNCTION("""COMPUTED_VALUE"""),-5.0)</f>
        <v>-5</v>
      </c>
      <c r="AN484" s="16">
        <f>IFERROR(__xludf.DUMMYFUNCTION("""COMPUTED_VALUE"""),0.0)</f>
        <v>0</v>
      </c>
      <c r="AO484" s="16">
        <f>IFERROR(__xludf.DUMMYFUNCTION("""COMPUTED_VALUE"""),0.3)</f>
        <v>0.3</v>
      </c>
      <c r="AP484" s="16">
        <f>IFERROR(__xludf.DUMMYFUNCTION("""COMPUTED_VALUE"""),-2.0)</f>
        <v>-2</v>
      </c>
      <c r="AQ484" s="16">
        <f>IFERROR(__xludf.DUMMYFUNCTION("""COMPUTED_VALUE"""),-2.0)</f>
        <v>-2</v>
      </c>
      <c r="AR484" s="16">
        <f>IFERROR(__xludf.DUMMYFUNCTION("""COMPUTED_VALUE"""),-4.0)</f>
        <v>-4</v>
      </c>
      <c r="AS484" s="16">
        <f>IFERROR(__xludf.DUMMYFUNCTION("""COMPUTED_VALUE"""),-4.0)</f>
        <v>-4</v>
      </c>
      <c r="AT484" s="16"/>
      <c r="AU484" s="16"/>
      <c r="AV484" s="16">
        <f>IFERROR(__xludf.DUMMYFUNCTION("""COMPUTED_VALUE"""),-3.0)</f>
        <v>-3</v>
      </c>
      <c r="AW484" s="16">
        <f>IFERROR(__xludf.DUMMYFUNCTION("""COMPUTED_VALUE"""),0.0)</f>
        <v>0</v>
      </c>
      <c r="AX484" s="16">
        <f>IFERROR(__xludf.DUMMYFUNCTION("""COMPUTED_VALUE"""),-3.0)</f>
        <v>-3</v>
      </c>
      <c r="AY484" s="16">
        <f>IFERROR(__xludf.DUMMYFUNCTION("""COMPUTED_VALUE"""),-2.0)</f>
        <v>-2</v>
      </c>
      <c r="AZ484" s="16">
        <f>IFERROR(__xludf.DUMMYFUNCTION("""COMPUTED_VALUE"""),-9.0)</f>
        <v>-9</v>
      </c>
      <c r="BA484" s="16">
        <f>IFERROR(__xludf.DUMMYFUNCTION("""COMPUTED_VALUE"""),-6.0)</f>
        <v>-6</v>
      </c>
      <c r="BB484" s="16">
        <f>IFERROR(__xludf.DUMMYFUNCTION("""COMPUTED_VALUE"""),0.0)</f>
        <v>0</v>
      </c>
      <c r="BC484" s="16">
        <f>IFERROR(__xludf.DUMMYFUNCTION("""COMPUTED_VALUE"""),0.0)</f>
        <v>0</v>
      </c>
      <c r="BD484" s="16">
        <f>IFERROR(__xludf.DUMMYFUNCTION("""COMPUTED_VALUE"""),0.0)</f>
        <v>0</v>
      </c>
      <c r="BE484" s="16">
        <f>IFERROR(__xludf.DUMMYFUNCTION("""COMPUTED_VALUE"""),0.0)</f>
        <v>0</v>
      </c>
      <c r="BF484" s="16">
        <f>IFERROR(__xludf.DUMMYFUNCTION("""COMPUTED_VALUE"""),0.0)</f>
        <v>0</v>
      </c>
      <c r="BG484" s="16">
        <f>IFERROR(__xludf.DUMMYFUNCTION("""COMPUTED_VALUE"""),0.0)</f>
        <v>0</v>
      </c>
      <c r="BH484" s="16">
        <f>IFERROR(__xludf.DUMMYFUNCTION("""COMPUTED_VALUE"""),0.0)</f>
        <v>0</v>
      </c>
      <c r="BI484" s="16">
        <f>IFERROR(__xludf.DUMMYFUNCTION("""COMPUTED_VALUE"""),0.0)</f>
        <v>0</v>
      </c>
      <c r="BJ484" s="16">
        <f>IFERROR(__xludf.DUMMYFUNCTION("""COMPUTED_VALUE"""),20.0)</f>
        <v>20</v>
      </c>
      <c r="BK484" s="16">
        <f>IFERROR(__xludf.DUMMYFUNCTION("""COMPUTED_VALUE"""),20.0)</f>
        <v>20</v>
      </c>
      <c r="BL484" s="16">
        <f>IFERROR(__xludf.DUMMYFUNCTION("""COMPUTED_VALUE"""),-2.0)</f>
        <v>-2</v>
      </c>
      <c r="BM484" s="16">
        <f>IFERROR(__xludf.DUMMYFUNCTION("""COMPUTED_VALUE"""),-2.0)</f>
        <v>-2</v>
      </c>
      <c r="BN484" s="16">
        <f>IFERROR(__xludf.DUMMYFUNCTION("""COMPUTED_VALUE"""),-4.0)</f>
        <v>-4</v>
      </c>
      <c r="BO484" s="16">
        <f>IFERROR(__xludf.DUMMYFUNCTION("""COMPUTED_VALUE"""),-4.0)</f>
        <v>-4</v>
      </c>
      <c r="BP484" s="16">
        <f>IFERROR(__xludf.DUMMYFUNCTION("""COMPUTED_VALUE"""),-17.0)</f>
        <v>-17</v>
      </c>
      <c r="BQ484" s="16">
        <f>IFERROR(__xludf.DUMMYFUNCTION("""COMPUTED_VALUE"""),-16.0)</f>
        <v>-16</v>
      </c>
      <c r="BR484" s="16">
        <f>IFERROR(__xludf.DUMMYFUNCTION("""COMPUTED_VALUE"""),-33.0)</f>
        <v>-33</v>
      </c>
      <c r="BS484" s="16" t="str">
        <f>IFERROR(__xludf.DUMMYFUNCTION("""COMPUTED_VALUE"""),"-/- (---)")</f>
        <v>-/- (---)</v>
      </c>
      <c r="BT484" s="16" t="str">
        <f>IFERROR(__xludf.DUMMYFUNCTION("""COMPUTED_VALUE"""),"E")</f>
        <v>E</v>
      </c>
      <c r="BU484" s="16">
        <f>IFERROR(__xludf.DUMMYFUNCTION("""COMPUTED_VALUE"""),11.0)</f>
        <v>11</v>
      </c>
      <c r="BV484" s="16">
        <f>IFERROR(__xludf.DUMMYFUNCTION("""COMPUTED_VALUE"""),0.0)</f>
        <v>0</v>
      </c>
      <c r="BW484" s="16">
        <f>IFERROR(__xludf.DUMMYFUNCTION("""COMPUTED_VALUE"""),0.0)</f>
        <v>0</v>
      </c>
      <c r="BX484" s="16">
        <f>IFERROR(__xludf.DUMMYFUNCTION("""COMPUTED_VALUE"""),0.0)</f>
        <v>0</v>
      </c>
      <c r="BY484" s="16">
        <f>IFERROR(__xludf.DUMMYFUNCTION("""COMPUTED_VALUE"""),0.0)</f>
        <v>0</v>
      </c>
      <c r="BZ484" s="16" t="str">
        <f>IFERROR(__xludf.DUMMYFUNCTION("""COMPUTED_VALUE"""),"D")</f>
        <v>D</v>
      </c>
      <c r="CA484" s="16" t="str">
        <f>IFERROR(__xludf.DUMMYFUNCTION("""COMPUTED_VALUE"""),"D")</f>
        <v>D</v>
      </c>
      <c r="CB484" s="16">
        <f>IFERROR(__xludf.DUMMYFUNCTION("""COMPUTED_VALUE"""),0.0)</f>
        <v>0</v>
      </c>
      <c r="CC484" s="16">
        <f>IFERROR(__xludf.DUMMYFUNCTION("""COMPUTED_VALUE"""),0.0)</f>
        <v>0</v>
      </c>
      <c r="CD484" s="16">
        <f>IFERROR(__xludf.DUMMYFUNCTION("""COMPUTED_VALUE"""),0.0)</f>
        <v>0</v>
      </c>
      <c r="CE484" s="16">
        <f>IFERROR(__xludf.DUMMYFUNCTION("""COMPUTED_VALUE"""),0.0)</f>
        <v>0</v>
      </c>
      <c r="CF484" s="16">
        <f>IFERROR(__xludf.DUMMYFUNCTION("""COMPUTED_VALUE"""),2.0)</f>
        <v>2</v>
      </c>
      <c r="CG484" s="16">
        <f>IFERROR(__xludf.DUMMYFUNCTION("""COMPUTED_VALUE"""),-45.0)</f>
        <v>-45</v>
      </c>
      <c r="CH484" s="16">
        <f>IFERROR(__xludf.DUMMYFUNCTION("""COMPUTED_VALUE"""),-42.0)</f>
        <v>-42</v>
      </c>
      <c r="CI484" s="179">
        <f>IFERROR(__xludf.DUMMYFUNCTION("""COMPUTED_VALUE"""),-45.0)</f>
        <v>-45</v>
      </c>
      <c r="CJ484" s="16">
        <f>IFERROR(__xludf.DUMMYFUNCTION("""COMPUTED_VALUE"""),306.0)</f>
        <v>306</v>
      </c>
      <c r="CK484" s="16"/>
      <c r="CL484" s="16"/>
      <c r="CM484" s="16"/>
      <c r="CN484" s="16"/>
      <c r="CO484" s="16"/>
      <c r="CP484" s="16"/>
      <c r="CQ484" s="16"/>
      <c r="CR484" s="16" t="str">
        <f>IFERROR(__xludf.DUMMYFUNCTION("""COMPUTED_VALUE"""),"c-3(0)e6,T-1(pb-8)")</f>
        <v>c-3(0)e6,T-1(pb-8)</v>
      </c>
      <c r="CS484" s="16">
        <f>IFERROR(__xludf.DUMMYFUNCTION("""COMPUTED_VALUE"""),3.0)</f>
        <v>3</v>
      </c>
      <c r="CT484" s="16"/>
      <c r="CU484" s="16"/>
      <c r="CV484" s="16"/>
      <c r="CW484" s="16"/>
      <c r="CX484" s="16"/>
      <c r="CY484" s="16"/>
      <c r="CZ484" s="16"/>
      <c r="DA484" s="16">
        <f>IFERROR(__xludf.DUMMYFUNCTION("""COMPUTED_VALUE"""),6.0)</f>
        <v>6</v>
      </c>
      <c r="DB484" s="16"/>
      <c r="DC484" s="16"/>
      <c r="DD484" s="16"/>
      <c r="DE484" s="16"/>
      <c r="DF484" s="16"/>
      <c r="DG484" s="16"/>
      <c r="DH484" s="16"/>
      <c r="DI484" s="16">
        <f>IFERROR(__xludf.DUMMYFUNCTION("""COMPUTED_VALUE"""),0.0)</f>
        <v>0</v>
      </c>
      <c r="DJ484" s="16"/>
      <c r="DK484" s="16"/>
      <c r="DL484" s="16"/>
      <c r="DM484" s="16"/>
      <c r="DN484" s="16"/>
      <c r="DO484" s="16"/>
      <c r="DP484" s="16"/>
      <c r="DQ484" s="16">
        <f>IFERROR(__xludf.DUMMYFUNCTION("""COMPUTED_VALUE"""),2.0)</f>
        <v>2</v>
      </c>
      <c r="DR484" s="16"/>
      <c r="DS484" s="16"/>
      <c r="DT484" s="16"/>
      <c r="DU484" s="16"/>
      <c r="DV484" s="16"/>
      <c r="DW484" s="16"/>
      <c r="DX484" s="16"/>
      <c r="DY484" s="16">
        <f>IFERROR(__xludf.DUMMYFUNCTION("""COMPUTED_VALUE"""),2.0)</f>
        <v>2</v>
      </c>
      <c r="DZ484" s="16"/>
      <c r="EA484" s="16"/>
      <c r="EB484" s="16"/>
      <c r="EC484" s="16"/>
      <c r="ED484" s="16"/>
      <c r="EE484" s="16"/>
      <c r="EF484" s="16"/>
      <c r="EG484" s="179">
        <f>IFERROR(__xludf.DUMMYFUNCTION("""COMPUTED_VALUE"""),-43.0)</f>
        <v>-43</v>
      </c>
      <c r="EH484" s="179"/>
      <c r="EI484" s="179"/>
      <c r="EJ484" s="179"/>
      <c r="EK484" s="179"/>
      <c r="EL484" s="179"/>
      <c r="EM484" s="179"/>
      <c r="EN484" s="179"/>
      <c r="EO484" s="16">
        <f>IFERROR(__xludf.DUMMYFUNCTION("""COMPUTED_VALUE"""),0.0)</f>
        <v>0</v>
      </c>
      <c r="EP484" s="16">
        <f>IFERROR(__xludf.DUMMYFUNCTION("""COMPUTED_VALUE"""),-3.0)</f>
        <v>-3</v>
      </c>
      <c r="EQ484" s="16">
        <f>IFERROR(__xludf.DUMMYFUNCTION("""COMPUTED_VALUE"""),2.0)</f>
        <v>2</v>
      </c>
      <c r="ER484" s="16">
        <f>IFERROR(__xludf.DUMMYFUNCTION("""COMPUTED_VALUE"""),-4.0)</f>
        <v>-4</v>
      </c>
      <c r="ES484" s="16" t="str">
        <f>IFERROR(__xludf.DUMMYFUNCTION("""COMPUTED_VALUE"""),"c-3")</f>
        <v>c-3</v>
      </c>
      <c r="ET484" s="16" t="str">
        <f>IFERROR(__xludf.DUMMYFUNCTION("""COMPUTED_VALUE"""),"0)e6,T-1")</f>
        <v>0)e6,T-1</v>
      </c>
      <c r="EU484" s="16" t="str">
        <f>IFERROR(__xludf.DUMMYFUNCTION("""COMPUTED_VALUE"""),"pb-8)")</f>
        <v>pb-8)</v>
      </c>
      <c r="EV484" s="16"/>
      <c r="EW484" s="16">
        <f>IFERROR(__xludf.DUMMYFUNCTION("""COMPUTED_VALUE"""),0.0)</f>
        <v>0</v>
      </c>
      <c r="EX484" s="180">
        <f>IFERROR(__xludf.DUMMYFUNCTION("""COMPUTED_VALUE"""),0.2)</f>
        <v>0.2</v>
      </c>
      <c r="EY484" s="180"/>
      <c r="EZ484" s="180"/>
      <c r="FA484" s="180"/>
      <c r="FB484" s="180"/>
      <c r="FC484" s="180"/>
      <c r="FD484" s="180"/>
      <c r="FE484" s="180"/>
      <c r="FF484" s="180">
        <f>IFERROR(__xludf.DUMMYFUNCTION("""COMPUTED_VALUE"""),0.075)</f>
        <v>0.075</v>
      </c>
      <c r="FG484" s="180"/>
      <c r="FH484" s="180"/>
      <c r="FI484" s="180"/>
      <c r="FJ484" s="180"/>
      <c r="FK484" s="180"/>
      <c r="FL484" s="180"/>
      <c r="FM484" s="180"/>
      <c r="FN484" s="16">
        <f>IFERROR(__xludf.DUMMYFUNCTION("""COMPUTED_VALUE"""),0.7400000000000001)</f>
        <v>0.74</v>
      </c>
      <c r="FO484" s="16"/>
      <c r="FP484" s="16"/>
      <c r="FQ484" s="16"/>
      <c r="FR484" s="16"/>
      <c r="FS484" s="16"/>
      <c r="FT484" s="16"/>
      <c r="FU484" s="16"/>
      <c r="FV484" s="16">
        <f>IFERROR(__xludf.DUMMYFUNCTION("""COMPUTED_VALUE"""),-4.0)</f>
        <v>-4</v>
      </c>
      <c r="FW484" s="16"/>
      <c r="FX484" s="16"/>
      <c r="FY484" s="16"/>
      <c r="FZ484" s="16"/>
      <c r="GA484" s="16"/>
      <c r="GB484" s="16"/>
      <c r="GC484" s="16"/>
      <c r="GD484" s="16" t="s">
        <v>260</v>
      </c>
    </row>
    <row r="485">
      <c r="A485" s="16">
        <f>IFERROR(__xludf.DUMMYFUNCTION("""COMPUTED_VALUE"""),13010.0)</f>
        <v>13010</v>
      </c>
      <c r="B485" s="16" t="str">
        <f>IFERROR(__xludf.DUMMYFUNCTION("""COMPUTED_VALUE"""),"Jose Abreu")</f>
        <v>Jose Abreu</v>
      </c>
      <c r="C485" s="16">
        <f>IFERROR(__xludf.DUMMYFUNCTION("""COMPUTED_VALUE"""),0.0)</f>
        <v>0</v>
      </c>
      <c r="D485" s="16" t="str">
        <f>IFERROR(__xludf.DUMMYFUNCTION("""COMPUTED_VALUE"""),"R")</f>
        <v>R</v>
      </c>
      <c r="E485" s="16"/>
      <c r="F485" s="16"/>
      <c r="G485" s="16">
        <f>IFERROR(__xludf.DUMMYFUNCTION("""COMPUTED_VALUE"""),113.0)</f>
        <v>113</v>
      </c>
      <c r="H485" s="16">
        <f>IFERROR(__xludf.DUMMYFUNCTION("""COMPUTED_VALUE"""),4.0)</f>
        <v>4</v>
      </c>
      <c r="I485" s="16" t="str">
        <f>IFERROR(__xludf.DUMMYFUNCTION("""COMPUTED_VALUE"""),"1p20")</f>
        <v>1p20</v>
      </c>
      <c r="J485" s="16">
        <f>IFERROR(__xludf.DUMMYFUNCTION("""COMPUTED_VALUE"""),6.0)</f>
        <v>6</v>
      </c>
      <c r="K485" s="16">
        <f>IFERROR(__xludf.DUMMYFUNCTION("""COMPUTED_VALUE"""),34.0)</f>
        <v>34</v>
      </c>
      <c r="L485" s="16">
        <f>IFERROR(__xludf.DUMMYFUNCTION("""COMPUTED_VALUE"""),2.0)</f>
        <v>2</v>
      </c>
      <c r="M485" s="16">
        <f>IFERROR(__xludf.DUMMYFUNCTION("""COMPUTED_VALUE"""),-1.0)</f>
        <v>-1</v>
      </c>
      <c r="N485" s="16">
        <f>IFERROR(__xludf.DUMMYFUNCTION("""COMPUTED_VALUE"""),2.0)</f>
        <v>2</v>
      </c>
      <c r="O485" s="16">
        <f>IFERROR(__xludf.DUMMYFUNCTION("""COMPUTED_VALUE"""),-1.0)</f>
        <v>-1</v>
      </c>
      <c r="P485" s="16">
        <f>IFERROR(__xludf.DUMMYFUNCTION("""COMPUTED_VALUE"""),0.0)</f>
        <v>0</v>
      </c>
      <c r="Q485" s="16">
        <f>IFERROR(__xludf.DUMMYFUNCTION("""COMPUTED_VALUE"""),0.0)</f>
        <v>0</v>
      </c>
      <c r="R485" s="16">
        <f>IFERROR(__xludf.DUMMYFUNCTION("""COMPUTED_VALUE"""),-3.0)</f>
        <v>-3</v>
      </c>
      <c r="S485" s="16">
        <f>IFERROR(__xludf.DUMMYFUNCTION("""COMPUTED_VALUE"""),-2.0)</f>
        <v>-2</v>
      </c>
      <c r="T485" s="16">
        <f>IFERROR(__xludf.DUMMYFUNCTION("""COMPUTED_VALUE"""),-3.0)</f>
        <v>-3</v>
      </c>
      <c r="U485" s="16">
        <f>IFERROR(__xludf.DUMMYFUNCTION("""COMPUTED_VALUE"""),-2.0)</f>
        <v>-2</v>
      </c>
      <c r="V485" s="16">
        <f>IFERROR(__xludf.DUMMYFUNCTION("""COMPUTED_VALUE"""),0.9)</f>
        <v>0.9</v>
      </c>
      <c r="W485" s="16">
        <f>IFERROR(__xludf.DUMMYFUNCTION("""COMPUTED_VALUE"""),3.1)</f>
        <v>3.1</v>
      </c>
      <c r="X485" s="16">
        <f>IFERROR(__xludf.DUMMYFUNCTION("""COMPUTED_VALUE"""),-2.0)</f>
        <v>-2</v>
      </c>
      <c r="Y485" s="16">
        <f>IFERROR(__xludf.DUMMYFUNCTION("""COMPUTED_VALUE"""),-3.0)</f>
        <v>-3</v>
      </c>
      <c r="Z485" s="16">
        <f>IFERROR(__xludf.DUMMYFUNCTION("""COMPUTED_VALUE"""),-4.0)</f>
        <v>-4</v>
      </c>
      <c r="AA485" s="16">
        <f>IFERROR(__xludf.DUMMYFUNCTION("""COMPUTED_VALUE"""),-6.0)</f>
        <v>-6</v>
      </c>
      <c r="AB485" s="16">
        <f>IFERROR(__xludf.DUMMYFUNCTION("""COMPUTED_VALUE"""),4.8)</f>
        <v>4.8</v>
      </c>
      <c r="AC485" s="16">
        <f>IFERROR(__xludf.DUMMYFUNCTION("""COMPUTED_VALUE"""),7.1)</f>
        <v>7.1</v>
      </c>
      <c r="AD485" s="16">
        <f>IFERROR(__xludf.DUMMYFUNCTION("""COMPUTED_VALUE"""),-3.0)</f>
        <v>-3</v>
      </c>
      <c r="AE485" s="16">
        <f>IFERROR(__xludf.DUMMYFUNCTION("""COMPUTED_VALUE"""),-3.0)</f>
        <v>-3</v>
      </c>
      <c r="AF485" s="16">
        <f>IFERROR(__xludf.DUMMYFUNCTION("""COMPUTED_VALUE"""),-15.0)</f>
        <v>-15</v>
      </c>
      <c r="AG485" s="16">
        <f>IFERROR(__xludf.DUMMYFUNCTION("""COMPUTED_VALUE"""),-15.0)</f>
        <v>-15</v>
      </c>
      <c r="AH485" s="16">
        <f>IFERROR(__xludf.DUMMYFUNCTION("""COMPUTED_VALUE"""),3.4)</f>
        <v>3.4</v>
      </c>
      <c r="AI485" s="16">
        <f>IFERROR(__xludf.DUMMYFUNCTION("""COMPUTED_VALUE"""),12.4)</f>
        <v>12.4</v>
      </c>
      <c r="AJ485" s="16">
        <f>IFERROR(__xludf.DUMMYFUNCTION("""COMPUTED_VALUE"""),-2.0)</f>
        <v>-2</v>
      </c>
      <c r="AK485" s="16">
        <f>IFERROR(__xludf.DUMMYFUNCTION("""COMPUTED_VALUE"""),-2.0)</f>
        <v>-2</v>
      </c>
      <c r="AL485" s="16">
        <f>IFERROR(__xludf.DUMMYFUNCTION("""COMPUTED_VALUE"""),-10.0)</f>
        <v>-10</v>
      </c>
      <c r="AM485" s="16">
        <f>IFERROR(__xludf.DUMMYFUNCTION("""COMPUTED_VALUE"""),-10.0)</f>
        <v>-10</v>
      </c>
      <c r="AN485" s="16">
        <f>IFERROR(__xludf.DUMMYFUNCTION("""COMPUTED_VALUE"""),0.9)</f>
        <v>0.9</v>
      </c>
      <c r="AO485" s="16">
        <f>IFERROR(__xludf.DUMMYFUNCTION("""COMPUTED_VALUE"""),3.1)</f>
        <v>3.1</v>
      </c>
      <c r="AP485" s="16">
        <f>IFERROR(__xludf.DUMMYFUNCTION("""COMPUTED_VALUE"""),-2.0)</f>
        <v>-2</v>
      </c>
      <c r="AQ485" s="16">
        <f>IFERROR(__xludf.DUMMYFUNCTION("""COMPUTED_VALUE"""),1.0)</f>
        <v>1</v>
      </c>
      <c r="AR485" s="16">
        <f>IFERROR(__xludf.DUMMYFUNCTION("""COMPUTED_VALUE"""),-4.0)</f>
        <v>-4</v>
      </c>
      <c r="AS485" s="16">
        <f>IFERROR(__xludf.DUMMYFUNCTION("""COMPUTED_VALUE"""),2.0)</f>
        <v>2</v>
      </c>
      <c r="AT485" s="16"/>
      <c r="AU485" s="16"/>
      <c r="AV485" s="16">
        <f>IFERROR(__xludf.DUMMYFUNCTION("""COMPUTED_VALUE"""),1.0)</f>
        <v>1</v>
      </c>
      <c r="AW485" s="16">
        <f>IFERROR(__xludf.DUMMYFUNCTION("""COMPUTED_VALUE"""),-3.0)</f>
        <v>-3</v>
      </c>
      <c r="AX485" s="16">
        <f>IFERROR(__xludf.DUMMYFUNCTION("""COMPUTED_VALUE"""),-1.0)</f>
        <v>-1</v>
      </c>
      <c r="AY485" s="16">
        <f>IFERROR(__xludf.DUMMYFUNCTION("""COMPUTED_VALUE"""),-3.0)</f>
        <v>-3</v>
      </c>
      <c r="AZ485" s="16">
        <f>IFERROR(__xludf.DUMMYFUNCTION("""COMPUTED_VALUE"""),-3.0)</f>
        <v>-3</v>
      </c>
      <c r="BA485" s="16">
        <f>IFERROR(__xludf.DUMMYFUNCTION("""COMPUTED_VALUE"""),-9.0)</f>
        <v>-9</v>
      </c>
      <c r="BB485" s="16">
        <f>IFERROR(__xludf.DUMMYFUNCTION("""COMPUTED_VALUE"""),0.0)</f>
        <v>0</v>
      </c>
      <c r="BC485" s="16">
        <f>IFERROR(__xludf.DUMMYFUNCTION("""COMPUTED_VALUE"""),0.0)</f>
        <v>0</v>
      </c>
      <c r="BD485" s="16">
        <f>IFERROR(__xludf.DUMMYFUNCTION("""COMPUTED_VALUE"""),0.0)</f>
        <v>0</v>
      </c>
      <c r="BE485" s="16">
        <f>IFERROR(__xludf.DUMMYFUNCTION("""COMPUTED_VALUE"""),0.0)</f>
        <v>0</v>
      </c>
      <c r="BF485" s="16">
        <f>IFERROR(__xludf.DUMMYFUNCTION("""COMPUTED_VALUE"""),0.0)</f>
        <v>0</v>
      </c>
      <c r="BG485" s="16">
        <f>IFERROR(__xludf.DUMMYFUNCTION("""COMPUTED_VALUE"""),0.0)</f>
        <v>0</v>
      </c>
      <c r="BH485" s="16">
        <f>IFERROR(__xludf.DUMMYFUNCTION("""COMPUTED_VALUE"""),0.0)</f>
        <v>0</v>
      </c>
      <c r="BI485" s="16">
        <f>IFERROR(__xludf.DUMMYFUNCTION("""COMPUTED_VALUE"""),0.0)</f>
        <v>0</v>
      </c>
      <c r="BJ485" s="16">
        <f>IFERROR(__xludf.DUMMYFUNCTION("""COMPUTED_VALUE"""),25.0)</f>
        <v>25</v>
      </c>
      <c r="BK485" s="16">
        <f>IFERROR(__xludf.DUMMYFUNCTION("""COMPUTED_VALUE"""),25.0)</f>
        <v>25</v>
      </c>
      <c r="BL485" s="16">
        <f>IFERROR(__xludf.DUMMYFUNCTION("""COMPUTED_VALUE"""),-2.0)</f>
        <v>-2</v>
      </c>
      <c r="BM485" s="16">
        <f>IFERROR(__xludf.DUMMYFUNCTION("""COMPUTED_VALUE"""),-2.0)</f>
        <v>-2</v>
      </c>
      <c r="BN485" s="16">
        <f>IFERROR(__xludf.DUMMYFUNCTION("""COMPUTED_VALUE"""),-4.0)</f>
        <v>-4</v>
      </c>
      <c r="BO485" s="16">
        <f>IFERROR(__xludf.DUMMYFUNCTION("""COMPUTED_VALUE"""),-4.0)</f>
        <v>-4</v>
      </c>
      <c r="BP485" s="16">
        <f>IFERROR(__xludf.DUMMYFUNCTION("""COMPUTED_VALUE"""),-13.0)</f>
        <v>-13</v>
      </c>
      <c r="BQ485" s="16">
        <f>IFERROR(__xludf.DUMMYFUNCTION("""COMPUTED_VALUE"""),-15.0)</f>
        <v>-15</v>
      </c>
      <c r="BR485" s="16">
        <f>IFERROR(__xludf.DUMMYFUNCTION("""COMPUTED_VALUE"""),-28.0)</f>
        <v>-28</v>
      </c>
      <c r="BS485" s="16" t="str">
        <f>IFERROR(__xludf.DUMMYFUNCTION("""COMPUTED_VALUE"""),"-/- (---)")</f>
        <v>-/- (---)</v>
      </c>
      <c r="BT485" s="16" t="str">
        <f>IFERROR(__xludf.DUMMYFUNCTION("""COMPUTED_VALUE"""),"E")</f>
        <v>E</v>
      </c>
      <c r="BU485" s="16">
        <f>IFERROR(__xludf.DUMMYFUNCTION("""COMPUTED_VALUE"""),9.0)</f>
        <v>9</v>
      </c>
      <c r="BV485" s="16">
        <f>IFERROR(__xludf.DUMMYFUNCTION("""COMPUTED_VALUE"""),0.0)</f>
        <v>0</v>
      </c>
      <c r="BW485" s="16">
        <f>IFERROR(__xludf.DUMMYFUNCTION("""COMPUTED_VALUE"""),-1.0)</f>
        <v>-1</v>
      </c>
      <c r="BX485" s="16">
        <f>IFERROR(__xludf.DUMMYFUNCTION("""COMPUTED_VALUE"""),0.0)</f>
        <v>0</v>
      </c>
      <c r="BY485" s="16">
        <f>IFERROR(__xludf.DUMMYFUNCTION("""COMPUTED_VALUE"""),-3.0)</f>
        <v>-3</v>
      </c>
      <c r="BZ485" s="16" t="str">
        <f>IFERROR(__xludf.DUMMYFUNCTION("""COMPUTED_VALUE"""),"D")</f>
        <v>D</v>
      </c>
      <c r="CA485" s="16" t="str">
        <f>IFERROR(__xludf.DUMMYFUNCTION("""COMPUTED_VALUE"""),"C")</f>
        <v>C</v>
      </c>
      <c r="CB485" s="16">
        <f>IFERROR(__xludf.DUMMYFUNCTION("""COMPUTED_VALUE"""),0.0)</f>
        <v>0</v>
      </c>
      <c r="CC485" s="16">
        <f>IFERROR(__xludf.DUMMYFUNCTION("""COMPUTED_VALUE"""),0.0)</f>
        <v>0</v>
      </c>
      <c r="CD485" s="16">
        <f>IFERROR(__xludf.DUMMYFUNCTION("""COMPUTED_VALUE"""),0.0)</f>
        <v>0</v>
      </c>
      <c r="CE485" s="16">
        <f>IFERROR(__xludf.DUMMYFUNCTION("""COMPUTED_VALUE"""),0.0)</f>
        <v>0</v>
      </c>
      <c r="CF485" s="16">
        <f>IFERROR(__xludf.DUMMYFUNCTION("""COMPUTED_VALUE"""),1.0)</f>
        <v>1</v>
      </c>
      <c r="CG485" s="16">
        <f>IFERROR(__xludf.DUMMYFUNCTION("""COMPUTED_VALUE"""),-41.0)</f>
        <v>-41</v>
      </c>
      <c r="CH485" s="16">
        <f>IFERROR(__xludf.DUMMYFUNCTION("""COMPUTED_VALUE"""),-45.0)</f>
        <v>-45</v>
      </c>
      <c r="CI485" s="179">
        <f>IFERROR(__xludf.DUMMYFUNCTION("""COMPUTED_VALUE"""),-45.0)</f>
        <v>-45</v>
      </c>
      <c r="CJ485" s="16"/>
      <c r="CK485" s="16">
        <f>IFERROR(__xludf.DUMMYFUNCTION("""COMPUTED_VALUE"""),416.0)</f>
        <v>416</v>
      </c>
      <c r="CL485" s="16"/>
      <c r="CM485" s="16"/>
      <c r="CN485" s="16"/>
      <c r="CO485" s="16"/>
      <c r="CP485" s="16"/>
      <c r="CQ485" s="16"/>
      <c r="CR485" s="16" t="str">
        <f>IFERROR(__xludf.DUMMYFUNCTION("""COMPUTED_VALUE"""),"1b-4e16")</f>
        <v>1b-4e16</v>
      </c>
      <c r="CS485" s="16"/>
      <c r="CT485" s="16">
        <f>IFERROR(__xludf.DUMMYFUNCTION("""COMPUTED_VALUE"""),4.0)</f>
        <v>4</v>
      </c>
      <c r="CU485" s="16"/>
      <c r="CV485" s="16"/>
      <c r="CW485" s="16"/>
      <c r="CX485" s="16"/>
      <c r="CY485" s="16"/>
      <c r="CZ485" s="16"/>
      <c r="DA485" s="16"/>
      <c r="DB485" s="16">
        <f>IFERROR(__xludf.DUMMYFUNCTION("""COMPUTED_VALUE"""),16.0)</f>
        <v>16</v>
      </c>
      <c r="DC485" s="16"/>
      <c r="DD485" s="16"/>
      <c r="DE485" s="16"/>
      <c r="DF485" s="16"/>
      <c r="DG485" s="16"/>
      <c r="DH485" s="16"/>
      <c r="DI485" s="16"/>
      <c r="DJ485" s="16">
        <f>IFERROR(__xludf.DUMMYFUNCTION("""COMPUTED_VALUE"""),0.0)</f>
        <v>0</v>
      </c>
      <c r="DK485" s="16"/>
      <c r="DL485" s="16"/>
      <c r="DM485" s="16"/>
      <c r="DN485" s="16"/>
      <c r="DO485" s="16"/>
      <c r="DP485" s="16"/>
      <c r="DQ485" s="16"/>
      <c r="DR485" s="16">
        <f>IFERROR(__xludf.DUMMYFUNCTION("""COMPUTED_VALUE"""),0.0)</f>
        <v>0</v>
      </c>
      <c r="DS485" s="16"/>
      <c r="DT485" s="16"/>
      <c r="DU485" s="16"/>
      <c r="DV485" s="16"/>
      <c r="DW485" s="16"/>
      <c r="DX485" s="16"/>
      <c r="DY485" s="16"/>
      <c r="DZ485" s="16">
        <f>IFERROR(__xludf.DUMMYFUNCTION("""COMPUTED_VALUE"""),0.0)</f>
        <v>0</v>
      </c>
      <c r="EA485" s="16"/>
      <c r="EB485" s="16"/>
      <c r="EC485" s="16"/>
      <c r="ED485" s="16"/>
      <c r="EE485" s="16"/>
      <c r="EF485" s="16"/>
      <c r="EG485" s="179"/>
      <c r="EH485" s="179">
        <f>IFERROR(__xludf.DUMMYFUNCTION("""COMPUTED_VALUE"""),-45.0)</f>
        <v>-45</v>
      </c>
      <c r="EI485" s="179"/>
      <c r="EJ485" s="179"/>
      <c r="EK485" s="179"/>
      <c r="EL485" s="179"/>
      <c r="EM485" s="179"/>
      <c r="EN485" s="179"/>
      <c r="EO485" s="16"/>
      <c r="EP485" s="16"/>
      <c r="EQ485" s="16">
        <f>IFERROR(__xludf.DUMMYFUNCTION("""COMPUTED_VALUE"""),4.0)</f>
        <v>4</v>
      </c>
      <c r="ER485" s="16">
        <f>IFERROR(__xludf.DUMMYFUNCTION("""COMPUTED_VALUE"""),-4.0)</f>
        <v>-4</v>
      </c>
      <c r="ES485" s="16"/>
      <c r="ET485" s="16"/>
      <c r="EU485" s="16"/>
      <c r="EV485" s="16"/>
      <c r="EW485" s="16"/>
      <c r="EX485" s="180"/>
      <c r="EY485" s="180">
        <f>IFERROR(__xludf.DUMMYFUNCTION("""COMPUTED_VALUE"""),0.3)</f>
        <v>0.3</v>
      </c>
      <c r="EZ485" s="180"/>
      <c r="FA485" s="180"/>
      <c r="FB485" s="180"/>
      <c r="FC485" s="180"/>
      <c r="FD485" s="180"/>
      <c r="FE485" s="180"/>
      <c r="FF485" s="180"/>
      <c r="FG485" s="180">
        <f>IFERROR(__xludf.DUMMYFUNCTION("""COMPUTED_VALUE"""),0.28703703703703703)</f>
        <v>0.287037037</v>
      </c>
      <c r="FH485" s="180"/>
      <c r="FI485" s="180"/>
      <c r="FJ485" s="180"/>
      <c r="FK485" s="180"/>
      <c r="FL485" s="180"/>
      <c r="FM485" s="180"/>
      <c r="FN485" s="16"/>
      <c r="FO485" s="16">
        <f>IFERROR(__xludf.DUMMYFUNCTION("""COMPUTED_VALUE"""),0.49907407407407406)</f>
        <v>0.4990740741</v>
      </c>
      <c r="FP485" s="16"/>
      <c r="FQ485" s="16"/>
      <c r="FR485" s="16"/>
      <c r="FS485" s="16"/>
      <c r="FT485" s="16"/>
      <c r="FU485" s="16"/>
      <c r="FV485" s="16"/>
      <c r="FW485" s="16">
        <f>IFERROR(__xludf.DUMMYFUNCTION("""COMPUTED_VALUE"""),-8.0)</f>
        <v>-8</v>
      </c>
      <c r="FX485" s="16"/>
      <c r="FY485" s="16"/>
      <c r="FZ485" s="16"/>
      <c r="GA485" s="16"/>
      <c r="GB485" s="16"/>
      <c r="GC485" s="16"/>
      <c r="GD485" s="16" t="s">
        <v>176</v>
      </c>
    </row>
    <row r="486">
      <c r="A486" s="16">
        <f>IFERROR(__xludf.DUMMYFUNCTION("""COMPUTED_VALUE"""),12542.0)</f>
        <v>12542</v>
      </c>
      <c r="B486" s="16" t="str">
        <f>IFERROR(__xludf.DUMMYFUNCTION("""COMPUTED_VALUE"""),"Andrew Knizner")</f>
        <v>Andrew Knizner</v>
      </c>
      <c r="C486" s="16">
        <f>IFERROR(__xludf.DUMMYFUNCTION("""COMPUTED_VALUE"""),0.0)</f>
        <v>0</v>
      </c>
      <c r="D486" s="16" t="str">
        <f>IFERROR(__xludf.DUMMYFUNCTION("""COMPUTED_VALUE"""),"R")</f>
        <v>R</v>
      </c>
      <c r="E486" s="16"/>
      <c r="F486" s="16"/>
      <c r="G486" s="16">
        <f>IFERROR(__xludf.DUMMYFUNCTION("""COMPUTED_VALUE"""),90.0)</f>
        <v>90</v>
      </c>
      <c r="H486" s="16">
        <f>IFERROR(__xludf.DUMMYFUNCTION("""COMPUTED_VALUE"""),1.0)</f>
        <v>1</v>
      </c>
      <c r="I486" s="16" t="str">
        <f>IFERROR(__xludf.DUMMYFUNCTION("""COMPUTED_VALUE"""),"2p20")</f>
        <v>2p20</v>
      </c>
      <c r="J486" s="16">
        <f>IFERROR(__xludf.DUMMYFUNCTION("""COMPUTED_VALUE"""),31.0)</f>
        <v>31</v>
      </c>
      <c r="K486" s="16">
        <f>IFERROR(__xludf.DUMMYFUNCTION("""COMPUTED_VALUE"""),23.0)</f>
        <v>23</v>
      </c>
      <c r="L486" s="16">
        <f>IFERROR(__xludf.DUMMYFUNCTION("""COMPUTED_VALUE"""),0.0)</f>
        <v>0</v>
      </c>
      <c r="M486" s="16">
        <f>IFERROR(__xludf.DUMMYFUNCTION("""COMPUTED_VALUE"""),0.0)</f>
        <v>0</v>
      </c>
      <c r="N486" s="16">
        <f>IFERROR(__xludf.DUMMYFUNCTION("""COMPUTED_VALUE"""),0.0)</f>
        <v>0</v>
      </c>
      <c r="O486" s="16">
        <f>IFERROR(__xludf.DUMMYFUNCTION("""COMPUTED_VALUE"""),0.0)</f>
        <v>0</v>
      </c>
      <c r="P486" s="16">
        <f>IFERROR(__xludf.DUMMYFUNCTION("""COMPUTED_VALUE"""),0.0)</f>
        <v>0</v>
      </c>
      <c r="Q486" s="16">
        <f>IFERROR(__xludf.DUMMYFUNCTION("""COMPUTED_VALUE"""),0.0)</f>
        <v>0</v>
      </c>
      <c r="R486" s="16">
        <f>IFERROR(__xludf.DUMMYFUNCTION("""COMPUTED_VALUE"""),-3.0)</f>
        <v>-3</v>
      </c>
      <c r="S486" s="16">
        <f>IFERROR(__xludf.DUMMYFUNCTION("""COMPUTED_VALUE"""),-2.0)</f>
        <v>-2</v>
      </c>
      <c r="T486" s="16">
        <f>IFERROR(__xludf.DUMMYFUNCTION("""COMPUTED_VALUE"""),-3.0)</f>
        <v>-3</v>
      </c>
      <c r="U486" s="16">
        <f>IFERROR(__xludf.DUMMYFUNCTION("""COMPUTED_VALUE"""),-2.0)</f>
        <v>-2</v>
      </c>
      <c r="V486" s="16">
        <f>IFERROR(__xludf.DUMMYFUNCTION("""COMPUTED_VALUE"""),4.1)</f>
        <v>4.1</v>
      </c>
      <c r="W486" s="16">
        <f>IFERROR(__xludf.DUMMYFUNCTION("""COMPUTED_VALUE"""),8.6)</f>
        <v>8.6</v>
      </c>
      <c r="X486" s="16">
        <f>IFERROR(__xludf.DUMMYFUNCTION("""COMPUTED_VALUE"""),-2.0)</f>
        <v>-2</v>
      </c>
      <c r="Y486" s="16">
        <f>IFERROR(__xludf.DUMMYFUNCTION("""COMPUTED_VALUE"""),-2.0)</f>
        <v>-2</v>
      </c>
      <c r="Z486" s="16">
        <f>IFERROR(__xludf.DUMMYFUNCTION("""COMPUTED_VALUE"""),-4.0)</f>
        <v>-4</v>
      </c>
      <c r="AA486" s="16">
        <f>IFERROR(__xludf.DUMMYFUNCTION("""COMPUTED_VALUE"""),-4.0)</f>
        <v>-4</v>
      </c>
      <c r="AB486" s="16">
        <f>IFERROR(__xludf.DUMMYFUNCTION("""COMPUTED_VALUE"""),6.1)</f>
        <v>6.1</v>
      </c>
      <c r="AC486" s="16">
        <f>IFERROR(__xludf.DUMMYFUNCTION("""COMPUTED_VALUE"""),10.6)</f>
        <v>10.6</v>
      </c>
      <c r="AD486" s="16">
        <f>IFERROR(__xludf.DUMMYFUNCTION("""COMPUTED_VALUE"""),-3.0)</f>
        <v>-3</v>
      </c>
      <c r="AE486" s="16">
        <f>IFERROR(__xludf.DUMMYFUNCTION("""COMPUTED_VALUE"""),-3.0)</f>
        <v>-3</v>
      </c>
      <c r="AF486" s="16">
        <f>IFERROR(__xludf.DUMMYFUNCTION("""COMPUTED_VALUE"""),-15.0)</f>
        <v>-15</v>
      </c>
      <c r="AG486" s="16">
        <f>IFERROR(__xludf.DUMMYFUNCTION("""COMPUTED_VALUE"""),-15.0)</f>
        <v>-15</v>
      </c>
      <c r="AH486" s="16">
        <f>IFERROR(__xludf.DUMMYFUNCTION("""COMPUTED_VALUE"""),6.3)</f>
        <v>6.3</v>
      </c>
      <c r="AI486" s="16">
        <f>IFERROR(__xludf.DUMMYFUNCTION("""COMPUTED_VALUE"""),8.9)</f>
        <v>8.9</v>
      </c>
      <c r="AJ486" s="16">
        <f>IFERROR(__xludf.DUMMYFUNCTION("""COMPUTED_VALUE"""),-2.0)</f>
        <v>-2</v>
      </c>
      <c r="AK486" s="16">
        <f>IFERROR(__xludf.DUMMYFUNCTION("""COMPUTED_VALUE"""),-2.0)</f>
        <v>-2</v>
      </c>
      <c r="AL486" s="16">
        <f>IFERROR(__xludf.DUMMYFUNCTION("""COMPUTED_VALUE"""),-10.0)</f>
        <v>-10</v>
      </c>
      <c r="AM486" s="16">
        <f>IFERROR(__xludf.DUMMYFUNCTION("""COMPUTED_VALUE"""),-10.0)</f>
        <v>-10</v>
      </c>
      <c r="AN486" s="16">
        <f>IFERROR(__xludf.DUMMYFUNCTION("""COMPUTED_VALUE"""),0.0)</f>
        <v>0</v>
      </c>
      <c r="AO486" s="16">
        <f>IFERROR(__xludf.DUMMYFUNCTION("""COMPUTED_VALUE"""),0.1)</f>
        <v>0.1</v>
      </c>
      <c r="AP486" s="16">
        <f>IFERROR(__xludf.DUMMYFUNCTION("""COMPUTED_VALUE"""),-2.0)</f>
        <v>-2</v>
      </c>
      <c r="AQ486" s="16">
        <f>IFERROR(__xludf.DUMMYFUNCTION("""COMPUTED_VALUE"""),-2.0)</f>
        <v>-2</v>
      </c>
      <c r="AR486" s="16">
        <f>IFERROR(__xludf.DUMMYFUNCTION("""COMPUTED_VALUE"""),-4.0)</f>
        <v>-4</v>
      </c>
      <c r="AS486" s="16">
        <f>IFERROR(__xludf.DUMMYFUNCTION("""COMPUTED_VALUE"""),-4.0)</f>
        <v>-4</v>
      </c>
      <c r="AT486" s="16"/>
      <c r="AU486" s="16">
        <f>IFERROR(__xludf.DUMMYFUNCTION("""COMPUTED_VALUE"""),0.0)</f>
        <v>0</v>
      </c>
      <c r="AV486" s="16">
        <f>IFERROR(__xludf.DUMMYFUNCTION("""COMPUTED_VALUE"""),-3.0)</f>
        <v>-3</v>
      </c>
      <c r="AW486" s="16">
        <f>IFERROR(__xludf.DUMMYFUNCTION("""COMPUTED_VALUE"""),0.0)</f>
        <v>0</v>
      </c>
      <c r="AX486" s="16">
        <f>IFERROR(__xludf.DUMMYFUNCTION("""COMPUTED_VALUE"""),-3.0)</f>
        <v>-3</v>
      </c>
      <c r="AY486" s="16">
        <f>IFERROR(__xludf.DUMMYFUNCTION("""COMPUTED_VALUE"""),-2.0)</f>
        <v>-2</v>
      </c>
      <c r="AZ486" s="16">
        <f>IFERROR(__xludf.DUMMYFUNCTION("""COMPUTED_VALUE"""),-9.0)</f>
        <v>-9</v>
      </c>
      <c r="BA486" s="16">
        <f>IFERROR(__xludf.DUMMYFUNCTION("""COMPUTED_VALUE"""),-6.0)</f>
        <v>-6</v>
      </c>
      <c r="BB486" s="16">
        <f>IFERROR(__xludf.DUMMYFUNCTION("""COMPUTED_VALUE"""),5.0)</f>
        <v>5</v>
      </c>
      <c r="BC486" s="16">
        <f>IFERROR(__xludf.DUMMYFUNCTION("""COMPUTED_VALUE"""),5.0)</f>
        <v>5</v>
      </c>
      <c r="BD486" s="16">
        <f>IFERROR(__xludf.DUMMYFUNCTION("""COMPUTED_VALUE"""),1.0)</f>
        <v>1</v>
      </c>
      <c r="BE486" s="16">
        <f>IFERROR(__xludf.DUMMYFUNCTION("""COMPUTED_VALUE"""),1.0)</f>
        <v>1</v>
      </c>
      <c r="BF486" s="16">
        <f>IFERROR(__xludf.DUMMYFUNCTION("""COMPUTED_VALUE"""),1.0)</f>
        <v>1</v>
      </c>
      <c r="BG486" s="16">
        <f>IFERROR(__xludf.DUMMYFUNCTION("""COMPUTED_VALUE"""),1.0)</f>
        <v>1</v>
      </c>
      <c r="BH486" s="16">
        <f>IFERROR(__xludf.DUMMYFUNCTION("""COMPUTED_VALUE"""),3.0)</f>
        <v>3</v>
      </c>
      <c r="BI486" s="16">
        <f>IFERROR(__xludf.DUMMYFUNCTION("""COMPUTED_VALUE"""),4.0)</f>
        <v>4</v>
      </c>
      <c r="BJ486" s="16">
        <f>IFERROR(__xludf.DUMMYFUNCTION("""COMPUTED_VALUE"""),17.0)</f>
        <v>17</v>
      </c>
      <c r="BK486" s="16">
        <f>IFERROR(__xludf.DUMMYFUNCTION("""COMPUTED_VALUE"""),17.0)</f>
        <v>17</v>
      </c>
      <c r="BL486" s="16">
        <f>IFERROR(__xludf.DUMMYFUNCTION("""COMPUTED_VALUE"""),-1.0)</f>
        <v>-1</v>
      </c>
      <c r="BM486" s="16">
        <f>IFERROR(__xludf.DUMMYFUNCTION("""COMPUTED_VALUE"""),-1.0)</f>
        <v>-1</v>
      </c>
      <c r="BN486" s="16">
        <f>IFERROR(__xludf.DUMMYFUNCTION("""COMPUTED_VALUE"""),-2.0)</f>
        <v>-2</v>
      </c>
      <c r="BO486" s="16">
        <f>IFERROR(__xludf.DUMMYFUNCTION("""COMPUTED_VALUE"""),-2.0)</f>
        <v>-2</v>
      </c>
      <c r="BP486" s="16">
        <f>IFERROR(__xludf.DUMMYFUNCTION("""COMPUTED_VALUE"""),-15.0)</f>
        <v>-15</v>
      </c>
      <c r="BQ486" s="16">
        <f>IFERROR(__xludf.DUMMYFUNCTION("""COMPUTED_VALUE"""),-13.0)</f>
        <v>-13</v>
      </c>
      <c r="BR486" s="16">
        <f>IFERROR(__xludf.DUMMYFUNCTION("""COMPUTED_VALUE"""),-28.0)</f>
        <v>-28</v>
      </c>
      <c r="BS486" s="16" t="str">
        <f>IFERROR(__xludf.DUMMYFUNCTION("""COMPUTED_VALUE"""),"-/- (---)")</f>
        <v>-/- (---)</v>
      </c>
      <c r="BT486" s="16" t="str">
        <f>IFERROR(__xludf.DUMMYFUNCTION("""COMPUTED_VALUE"""),"E")</f>
        <v>E</v>
      </c>
      <c r="BU486" s="16">
        <f>IFERROR(__xludf.DUMMYFUNCTION("""COMPUTED_VALUE"""),9.0)</f>
        <v>9</v>
      </c>
      <c r="BV486" s="16">
        <f>IFERROR(__xludf.DUMMYFUNCTION("""COMPUTED_VALUE"""),0.0)</f>
        <v>0</v>
      </c>
      <c r="BW486" s="16">
        <f>IFERROR(__xludf.DUMMYFUNCTION("""COMPUTED_VALUE"""),-1.0)</f>
        <v>-1</v>
      </c>
      <c r="BX486" s="16">
        <f>IFERROR(__xludf.DUMMYFUNCTION("""COMPUTED_VALUE"""),0.0)</f>
        <v>0</v>
      </c>
      <c r="BY486" s="16">
        <f>IFERROR(__xludf.DUMMYFUNCTION("""COMPUTED_VALUE"""),-3.0)</f>
        <v>-3</v>
      </c>
      <c r="BZ486" s="16" t="str">
        <f>IFERROR(__xludf.DUMMYFUNCTION("""COMPUTED_VALUE"""),"D")</f>
        <v>D</v>
      </c>
      <c r="CA486" s="16" t="str">
        <f>IFERROR(__xludf.DUMMYFUNCTION("""COMPUTED_VALUE"""),"C")</f>
        <v>C</v>
      </c>
      <c r="CB486" s="16">
        <f>IFERROR(__xludf.DUMMYFUNCTION("""COMPUTED_VALUE"""),0.0)</f>
        <v>0</v>
      </c>
      <c r="CC486" s="16">
        <f>IFERROR(__xludf.DUMMYFUNCTION("""COMPUTED_VALUE"""),0.0)</f>
        <v>0</v>
      </c>
      <c r="CD486" s="16">
        <f>IFERROR(__xludf.DUMMYFUNCTION("""COMPUTED_VALUE"""),0.0)</f>
        <v>0</v>
      </c>
      <c r="CE486" s="16">
        <f>IFERROR(__xludf.DUMMYFUNCTION("""COMPUTED_VALUE"""),0.0)</f>
        <v>0</v>
      </c>
      <c r="CF486" s="16">
        <f>IFERROR(__xludf.DUMMYFUNCTION("""COMPUTED_VALUE"""),2.0)</f>
        <v>2</v>
      </c>
      <c r="CG486" s="16">
        <f>IFERROR(__xludf.DUMMYFUNCTION("""COMPUTED_VALUE"""),-46.0)</f>
        <v>-46</v>
      </c>
      <c r="CH486" s="16">
        <f>IFERROR(__xludf.DUMMYFUNCTION("""COMPUTED_VALUE"""),-42.0)</f>
        <v>-42</v>
      </c>
      <c r="CI486" s="179">
        <f>IFERROR(__xludf.DUMMYFUNCTION("""COMPUTED_VALUE"""),-46.0)</f>
        <v>-46</v>
      </c>
      <c r="CJ486" s="16">
        <f>IFERROR(__xludf.DUMMYFUNCTION("""COMPUTED_VALUE"""),401.0)</f>
        <v>401</v>
      </c>
      <c r="CK486" s="16"/>
      <c r="CL486" s="16"/>
      <c r="CM486" s="16"/>
      <c r="CN486" s="16"/>
      <c r="CO486" s="16"/>
      <c r="CP486" s="16"/>
      <c r="CQ486" s="16"/>
      <c r="CR486" s="16" t="str">
        <f>IFERROR(__xludf.DUMMYFUNCTION("""COMPUTED_VALUE"""),"c-4(+2)e1,T-9(pb-0)")</f>
        <v>c-4(+2)e1,T-9(pb-0)</v>
      </c>
      <c r="CS486" s="16">
        <f>IFERROR(__xludf.DUMMYFUNCTION("""COMPUTED_VALUE"""),4.0)</f>
        <v>4</v>
      </c>
      <c r="CT486" s="16"/>
      <c r="CU486" s="16"/>
      <c r="CV486" s="16"/>
      <c r="CW486" s="16"/>
      <c r="CX486" s="16"/>
      <c r="CY486" s="16"/>
      <c r="CZ486" s="16"/>
      <c r="DA486" s="16">
        <f>IFERROR(__xludf.DUMMYFUNCTION("""COMPUTED_VALUE"""),1.0)</f>
        <v>1</v>
      </c>
      <c r="DB486" s="16"/>
      <c r="DC486" s="16"/>
      <c r="DD486" s="16"/>
      <c r="DE486" s="16"/>
      <c r="DF486" s="16"/>
      <c r="DG486" s="16"/>
      <c r="DH486" s="16"/>
      <c r="DI486" s="16">
        <f>IFERROR(__xludf.DUMMYFUNCTION("""COMPUTED_VALUE"""),-2.0)</f>
        <v>-2</v>
      </c>
      <c r="DJ486" s="16"/>
      <c r="DK486" s="16"/>
      <c r="DL486" s="16"/>
      <c r="DM486" s="16"/>
      <c r="DN486" s="16"/>
      <c r="DO486" s="16"/>
      <c r="DP486" s="16"/>
      <c r="DQ486" s="16">
        <f>IFERROR(__xludf.DUMMYFUNCTION("""COMPUTED_VALUE"""),4.0)</f>
        <v>4</v>
      </c>
      <c r="DR486" s="16"/>
      <c r="DS486" s="16"/>
      <c r="DT486" s="16"/>
      <c r="DU486" s="16"/>
      <c r="DV486" s="16"/>
      <c r="DW486" s="16"/>
      <c r="DX486" s="16"/>
      <c r="DY486" s="16">
        <f>IFERROR(__xludf.DUMMYFUNCTION("""COMPUTED_VALUE"""),2.0)</f>
        <v>2</v>
      </c>
      <c r="DZ486" s="16"/>
      <c r="EA486" s="16"/>
      <c r="EB486" s="16"/>
      <c r="EC486" s="16"/>
      <c r="ED486" s="16"/>
      <c r="EE486" s="16"/>
      <c r="EF486" s="16"/>
      <c r="EG486" s="179">
        <f>IFERROR(__xludf.DUMMYFUNCTION("""COMPUTED_VALUE"""),-42.0)</f>
        <v>-42</v>
      </c>
      <c r="EH486" s="179"/>
      <c r="EI486" s="179"/>
      <c r="EJ486" s="179"/>
      <c r="EK486" s="179"/>
      <c r="EL486" s="179"/>
      <c r="EM486" s="179"/>
      <c r="EN486" s="179"/>
      <c r="EO486" s="16">
        <f>IFERROR(__xludf.DUMMYFUNCTION("""COMPUTED_VALUE"""),2.0)</f>
        <v>2</v>
      </c>
      <c r="EP486" s="16">
        <f>IFERROR(__xludf.DUMMYFUNCTION("""COMPUTED_VALUE"""),0.0)</f>
        <v>0</v>
      </c>
      <c r="EQ486" s="16">
        <f>IFERROR(__xludf.DUMMYFUNCTION("""COMPUTED_VALUE"""),2.0)</f>
        <v>2</v>
      </c>
      <c r="ER486" s="16">
        <f>IFERROR(__xludf.DUMMYFUNCTION("""COMPUTED_VALUE"""),-4.0)</f>
        <v>-4</v>
      </c>
      <c r="ES486" s="16" t="str">
        <f>IFERROR(__xludf.DUMMYFUNCTION("""COMPUTED_VALUE"""),"c-4")</f>
        <v>c-4</v>
      </c>
      <c r="ET486" s="16" t="str">
        <f>IFERROR(__xludf.DUMMYFUNCTION("""COMPUTED_VALUE"""),"+2)e1,T-9")</f>
        <v>+2)e1,T-9</v>
      </c>
      <c r="EU486" s="16" t="str">
        <f>IFERROR(__xludf.DUMMYFUNCTION("""COMPUTED_VALUE"""),"pb-0)")</f>
        <v>pb-0)</v>
      </c>
      <c r="EV486" s="16"/>
      <c r="EW486" s="16">
        <f>IFERROR(__xludf.DUMMYFUNCTION("""COMPUTED_VALUE"""),2.0)</f>
        <v>2</v>
      </c>
      <c r="EX486" s="180">
        <f>IFERROR(__xludf.DUMMYFUNCTION("""COMPUTED_VALUE"""),0.3)</f>
        <v>0.3</v>
      </c>
      <c r="EY486" s="180"/>
      <c r="EZ486" s="180"/>
      <c r="FA486" s="180"/>
      <c r="FB486" s="180"/>
      <c r="FC486" s="180"/>
      <c r="FD486" s="180"/>
      <c r="FE486" s="180"/>
      <c r="FF486" s="180">
        <f>IFERROR(__xludf.DUMMYFUNCTION("""COMPUTED_VALUE"""),0.014)</f>
        <v>0.014</v>
      </c>
      <c r="FG486" s="180"/>
      <c r="FH486" s="180"/>
      <c r="FI486" s="180"/>
      <c r="FJ486" s="180"/>
      <c r="FK486" s="180"/>
      <c r="FL486" s="180"/>
      <c r="FM486" s="180"/>
      <c r="FN486" s="16">
        <f>IFERROR(__xludf.DUMMYFUNCTION("""COMPUTED_VALUE"""),0.6901999999999999)</f>
        <v>0.6902</v>
      </c>
      <c r="FO486" s="16"/>
      <c r="FP486" s="16"/>
      <c r="FQ486" s="16"/>
      <c r="FR486" s="16"/>
      <c r="FS486" s="16"/>
      <c r="FT486" s="16"/>
      <c r="FU486" s="16"/>
      <c r="FV486" s="16">
        <f>IFERROR(__xludf.DUMMYFUNCTION("""COMPUTED_VALUE"""),-6.0)</f>
        <v>-6</v>
      </c>
      <c r="FW486" s="16"/>
      <c r="FX486" s="16"/>
      <c r="FY486" s="16"/>
      <c r="FZ486" s="16"/>
      <c r="GA486" s="16"/>
      <c r="GB486" s="16"/>
      <c r="GC486" s="16"/>
      <c r="GD486" s="16" t="s">
        <v>176</v>
      </c>
    </row>
    <row r="487">
      <c r="A487" s="16">
        <f>IFERROR(__xludf.DUMMYFUNCTION("""COMPUTED_VALUE"""),12688.0)</f>
        <v>12688</v>
      </c>
      <c r="B487" s="16" t="str">
        <f>IFERROR(__xludf.DUMMYFUNCTION("""COMPUTED_VALUE"""),"Chuckie Robinson")</f>
        <v>Chuckie Robinson</v>
      </c>
      <c r="C487" s="16">
        <f>IFERROR(__xludf.DUMMYFUNCTION("""COMPUTED_VALUE"""),0.0)</f>
        <v>0</v>
      </c>
      <c r="D487" s="16" t="str">
        <f>IFERROR(__xludf.DUMMYFUNCTION("""COMPUTED_VALUE"""),"R")</f>
        <v>R</v>
      </c>
      <c r="E487" s="16"/>
      <c r="F487" s="16"/>
      <c r="G487" s="16">
        <f>IFERROR(__xludf.DUMMYFUNCTION("""COMPUTED_VALUE"""),70.0)</f>
        <v>70</v>
      </c>
      <c r="H487" s="16">
        <f>IFERROR(__xludf.DUMMYFUNCTION("""COMPUTED_VALUE"""),5.0)</f>
        <v>5</v>
      </c>
      <c r="I487" s="16" t="str">
        <f>IFERROR(__xludf.DUMMYFUNCTION("""COMPUTED_VALUE"""),"2p20")</f>
        <v>2p20</v>
      </c>
      <c r="J487" s="16">
        <f>IFERROR(__xludf.DUMMYFUNCTION("""COMPUTED_VALUE"""),49.0)</f>
        <v>49</v>
      </c>
      <c r="K487" s="16">
        <f>IFERROR(__xludf.DUMMYFUNCTION("""COMPUTED_VALUE"""),24.0)</f>
        <v>24</v>
      </c>
      <c r="L487" s="16">
        <f>IFERROR(__xludf.DUMMYFUNCTION("""COMPUTED_VALUE"""),-2.0)</f>
        <v>-2</v>
      </c>
      <c r="M487" s="16">
        <f>IFERROR(__xludf.DUMMYFUNCTION("""COMPUTED_VALUE"""),0.0)</f>
        <v>0</v>
      </c>
      <c r="N487" s="16">
        <f>IFERROR(__xludf.DUMMYFUNCTION("""COMPUTED_VALUE"""),-2.0)</f>
        <v>-2</v>
      </c>
      <c r="O487" s="16">
        <f>IFERROR(__xludf.DUMMYFUNCTION("""COMPUTED_VALUE"""),0.0)</f>
        <v>0</v>
      </c>
      <c r="P487" s="16">
        <f>IFERROR(__xludf.DUMMYFUNCTION("""COMPUTED_VALUE"""),0.0)</f>
        <v>0</v>
      </c>
      <c r="Q487" s="16">
        <f>IFERROR(__xludf.DUMMYFUNCTION("""COMPUTED_VALUE"""),9.0)</f>
        <v>9</v>
      </c>
      <c r="R487" s="16">
        <f>IFERROR(__xludf.DUMMYFUNCTION("""COMPUTED_VALUE"""),-3.0)</f>
        <v>-3</v>
      </c>
      <c r="S487" s="16">
        <f>IFERROR(__xludf.DUMMYFUNCTION("""COMPUTED_VALUE"""),0.0)</f>
        <v>0</v>
      </c>
      <c r="T487" s="16">
        <f>IFERROR(__xludf.DUMMYFUNCTION("""COMPUTED_VALUE"""),-3.0)</f>
        <v>-3</v>
      </c>
      <c r="U487" s="16">
        <f>IFERROR(__xludf.DUMMYFUNCTION("""COMPUTED_VALUE"""),0.0)</f>
        <v>0</v>
      </c>
      <c r="V487" s="16">
        <f>IFERROR(__xludf.DUMMYFUNCTION("""COMPUTED_VALUE"""),0.0)</f>
        <v>0</v>
      </c>
      <c r="W487" s="16">
        <f>IFERROR(__xludf.DUMMYFUNCTION("""COMPUTED_VALUE"""),1.8)</f>
        <v>1.8</v>
      </c>
      <c r="X487" s="16">
        <f>IFERROR(__xludf.DUMMYFUNCTION("""COMPUTED_VALUE"""),-2.0)</f>
        <v>-2</v>
      </c>
      <c r="Y487" s="16">
        <f>IFERROR(__xludf.DUMMYFUNCTION("""COMPUTED_VALUE"""),-3.0)</f>
        <v>-3</v>
      </c>
      <c r="Z487" s="16">
        <f>IFERROR(__xludf.DUMMYFUNCTION("""COMPUTED_VALUE"""),-4.0)</f>
        <v>-4</v>
      </c>
      <c r="AA487" s="16">
        <f>IFERROR(__xludf.DUMMYFUNCTION("""COMPUTED_VALUE"""),-6.0)</f>
        <v>-6</v>
      </c>
      <c r="AB487" s="16">
        <f>IFERROR(__xludf.DUMMYFUNCTION("""COMPUTED_VALUE"""),3.0)</f>
        <v>3</v>
      </c>
      <c r="AC487" s="16">
        <f>IFERROR(__xludf.DUMMYFUNCTION("""COMPUTED_VALUE"""),13.8)</f>
        <v>13.8</v>
      </c>
      <c r="AD487" s="16">
        <f>IFERROR(__xludf.DUMMYFUNCTION("""COMPUTED_VALUE"""),-3.0)</f>
        <v>-3</v>
      </c>
      <c r="AE487" s="16">
        <f>IFERROR(__xludf.DUMMYFUNCTION("""COMPUTED_VALUE"""),-2.0)</f>
        <v>-2</v>
      </c>
      <c r="AF487" s="16">
        <f>IFERROR(__xludf.DUMMYFUNCTION("""COMPUTED_VALUE"""),-15.0)</f>
        <v>-15</v>
      </c>
      <c r="AG487" s="16">
        <f>IFERROR(__xludf.DUMMYFUNCTION("""COMPUTED_VALUE"""),-10.0)</f>
        <v>-10</v>
      </c>
      <c r="AH487" s="16">
        <f>IFERROR(__xludf.DUMMYFUNCTION("""COMPUTED_VALUE"""),0.0)</f>
        <v>0</v>
      </c>
      <c r="AI487" s="16">
        <f>IFERROR(__xludf.DUMMYFUNCTION("""COMPUTED_VALUE"""),1.8)</f>
        <v>1.8</v>
      </c>
      <c r="AJ487" s="16">
        <f>IFERROR(__xludf.DUMMYFUNCTION("""COMPUTED_VALUE"""),-2.0)</f>
        <v>-2</v>
      </c>
      <c r="AK487" s="16">
        <f>IFERROR(__xludf.DUMMYFUNCTION("""COMPUTED_VALUE"""),-3.0)</f>
        <v>-3</v>
      </c>
      <c r="AL487" s="16">
        <f>IFERROR(__xludf.DUMMYFUNCTION("""COMPUTED_VALUE"""),-10.0)</f>
        <v>-10</v>
      </c>
      <c r="AM487" s="16">
        <f>IFERROR(__xludf.DUMMYFUNCTION("""COMPUTED_VALUE"""),-15.0)</f>
        <v>-15</v>
      </c>
      <c r="AN487" s="16">
        <f>IFERROR(__xludf.DUMMYFUNCTION("""COMPUTED_VALUE"""),0.0)</f>
        <v>0</v>
      </c>
      <c r="AO487" s="16">
        <f>IFERROR(__xludf.DUMMYFUNCTION("""COMPUTED_VALUE"""),0.0)</f>
        <v>0</v>
      </c>
      <c r="AP487" s="16">
        <f>IFERROR(__xludf.DUMMYFUNCTION("""COMPUTED_VALUE"""),-2.0)</f>
        <v>-2</v>
      </c>
      <c r="AQ487" s="16">
        <f>IFERROR(__xludf.DUMMYFUNCTION("""COMPUTED_VALUE"""),-3.0)</f>
        <v>-3</v>
      </c>
      <c r="AR487" s="16">
        <f>IFERROR(__xludf.DUMMYFUNCTION("""COMPUTED_VALUE"""),-4.0)</f>
        <v>-4</v>
      </c>
      <c r="AS487" s="16">
        <f>IFERROR(__xludf.DUMMYFUNCTION("""COMPUTED_VALUE"""),-6.0)</f>
        <v>-6</v>
      </c>
      <c r="AT487" s="16"/>
      <c r="AU487" s="16"/>
      <c r="AV487" s="16">
        <f>IFERROR(__xludf.DUMMYFUNCTION("""COMPUTED_VALUE"""),-3.0)</f>
        <v>-3</v>
      </c>
      <c r="AW487" s="16">
        <f>IFERROR(__xludf.DUMMYFUNCTION("""COMPUTED_VALUE"""),-3.0)</f>
        <v>-3</v>
      </c>
      <c r="AX487" s="16">
        <f>IFERROR(__xludf.DUMMYFUNCTION("""COMPUTED_VALUE"""),-3.0)</f>
        <v>-3</v>
      </c>
      <c r="AY487" s="16">
        <f>IFERROR(__xludf.DUMMYFUNCTION("""COMPUTED_VALUE"""),-3.0)</f>
        <v>-3</v>
      </c>
      <c r="AZ487" s="16">
        <f>IFERROR(__xludf.DUMMYFUNCTION("""COMPUTED_VALUE"""),-9.0)</f>
        <v>-9</v>
      </c>
      <c r="BA487" s="16">
        <f>IFERROR(__xludf.DUMMYFUNCTION("""COMPUTED_VALUE"""),-9.0)</f>
        <v>-9</v>
      </c>
      <c r="BB487" s="16">
        <f>IFERROR(__xludf.DUMMYFUNCTION("""COMPUTED_VALUE"""),0.0)</f>
        <v>0</v>
      </c>
      <c r="BC487" s="16">
        <f>IFERROR(__xludf.DUMMYFUNCTION("""COMPUTED_VALUE"""),0.0)</f>
        <v>0</v>
      </c>
      <c r="BD487" s="16">
        <f>IFERROR(__xludf.DUMMYFUNCTION("""COMPUTED_VALUE"""),0.0)</f>
        <v>0</v>
      </c>
      <c r="BE487" s="16">
        <f>IFERROR(__xludf.DUMMYFUNCTION("""COMPUTED_VALUE"""),0.0)</f>
        <v>0</v>
      </c>
      <c r="BF487" s="16">
        <f>IFERROR(__xludf.DUMMYFUNCTION("""COMPUTED_VALUE"""),0.0)</f>
        <v>0</v>
      </c>
      <c r="BG487" s="16">
        <f>IFERROR(__xludf.DUMMYFUNCTION("""COMPUTED_VALUE"""),0.0)</f>
        <v>0</v>
      </c>
      <c r="BH487" s="16">
        <f>IFERROR(__xludf.DUMMYFUNCTION("""COMPUTED_VALUE"""),0.0)</f>
        <v>0</v>
      </c>
      <c r="BI487" s="16">
        <f>IFERROR(__xludf.DUMMYFUNCTION("""COMPUTED_VALUE"""),0.0)</f>
        <v>0</v>
      </c>
      <c r="BJ487" s="16">
        <f>IFERROR(__xludf.DUMMYFUNCTION("""COMPUTED_VALUE"""),10.0)</f>
        <v>10</v>
      </c>
      <c r="BK487" s="16">
        <f>IFERROR(__xludf.DUMMYFUNCTION("""COMPUTED_VALUE"""),8.0)</f>
        <v>8</v>
      </c>
      <c r="BL487" s="16">
        <f>IFERROR(__xludf.DUMMYFUNCTION("""COMPUTED_VALUE"""),0.0)</f>
        <v>0</v>
      </c>
      <c r="BM487" s="16">
        <f>IFERROR(__xludf.DUMMYFUNCTION("""COMPUTED_VALUE"""),1.0)</f>
        <v>1</v>
      </c>
      <c r="BN487" s="16">
        <f>IFERROR(__xludf.DUMMYFUNCTION("""COMPUTED_VALUE"""),0.0)</f>
        <v>0</v>
      </c>
      <c r="BO487" s="16">
        <f>IFERROR(__xludf.DUMMYFUNCTION("""COMPUTED_VALUE"""),1.0)</f>
        <v>1</v>
      </c>
      <c r="BP487" s="16">
        <f>IFERROR(__xludf.DUMMYFUNCTION("""COMPUTED_VALUE"""),-17.0)</f>
        <v>-17</v>
      </c>
      <c r="BQ487" s="16">
        <f>IFERROR(__xludf.DUMMYFUNCTION("""COMPUTED_VALUE"""),-13.0)</f>
        <v>-13</v>
      </c>
      <c r="BR487" s="16">
        <f>IFERROR(__xludf.DUMMYFUNCTION("""COMPUTED_VALUE"""),-30.0)</f>
        <v>-30</v>
      </c>
      <c r="BS487" s="16" t="str">
        <f>IFERROR(__xludf.DUMMYFUNCTION("""COMPUTED_VALUE"""),"-/- (---)")</f>
        <v>-/- (---)</v>
      </c>
      <c r="BT487" s="16" t="str">
        <f>IFERROR(__xludf.DUMMYFUNCTION("""COMPUTED_VALUE"""),"E")</f>
        <v>E</v>
      </c>
      <c r="BU487" s="16">
        <f>IFERROR(__xludf.DUMMYFUNCTION("""COMPUTED_VALUE"""),10.0)</f>
        <v>10</v>
      </c>
      <c r="BV487" s="16">
        <f>IFERROR(__xludf.DUMMYFUNCTION("""COMPUTED_VALUE"""),0.0)</f>
        <v>0</v>
      </c>
      <c r="BW487" s="16">
        <f>IFERROR(__xludf.DUMMYFUNCTION("""COMPUTED_VALUE"""),0.0)</f>
        <v>0</v>
      </c>
      <c r="BX487" s="16">
        <f>IFERROR(__xludf.DUMMYFUNCTION("""COMPUTED_VALUE"""),0.0)</f>
        <v>0</v>
      </c>
      <c r="BY487" s="16">
        <f>IFERROR(__xludf.DUMMYFUNCTION("""COMPUTED_VALUE"""),0.0)</f>
        <v>0</v>
      </c>
      <c r="BZ487" s="16" t="str">
        <f>IFERROR(__xludf.DUMMYFUNCTION("""COMPUTED_VALUE"""),"D")</f>
        <v>D</v>
      </c>
      <c r="CA487" s="16" t="str">
        <f>IFERROR(__xludf.DUMMYFUNCTION("""COMPUTED_VALUE"""),"D")</f>
        <v>D</v>
      </c>
      <c r="CB487" s="16">
        <f>IFERROR(__xludf.DUMMYFUNCTION("""COMPUTED_VALUE"""),0.0)</f>
        <v>0</v>
      </c>
      <c r="CC487" s="16">
        <f>IFERROR(__xludf.DUMMYFUNCTION("""COMPUTED_VALUE"""),0.0)</f>
        <v>0</v>
      </c>
      <c r="CD487" s="16">
        <f>IFERROR(__xludf.DUMMYFUNCTION("""COMPUTED_VALUE"""),0.0)</f>
        <v>0</v>
      </c>
      <c r="CE487" s="16">
        <f>IFERROR(__xludf.DUMMYFUNCTION("""COMPUTED_VALUE"""),0.0)</f>
        <v>0</v>
      </c>
      <c r="CF487" s="16">
        <f>IFERROR(__xludf.DUMMYFUNCTION("""COMPUTED_VALUE"""),2.0)</f>
        <v>2</v>
      </c>
      <c r="CG487" s="16">
        <f>IFERROR(__xludf.DUMMYFUNCTION("""COMPUTED_VALUE"""),-47.0)</f>
        <v>-47</v>
      </c>
      <c r="CH487" s="16">
        <f>IFERROR(__xludf.DUMMYFUNCTION("""COMPUTED_VALUE"""),-45.0)</f>
        <v>-45</v>
      </c>
      <c r="CI487" s="179">
        <f>IFERROR(__xludf.DUMMYFUNCTION("""COMPUTED_VALUE"""),-48.0)</f>
        <v>-48</v>
      </c>
      <c r="CJ487" s="16">
        <f>IFERROR(__xludf.DUMMYFUNCTION("""COMPUTED_VALUE"""),407.0)</f>
        <v>407</v>
      </c>
      <c r="CK487" s="16"/>
      <c r="CL487" s="16"/>
      <c r="CM487" s="16"/>
      <c r="CN487" s="16"/>
      <c r="CO487" s="16"/>
      <c r="CP487" s="16"/>
      <c r="CQ487" s="16"/>
      <c r="CR487" s="16" t="str">
        <f>IFERROR(__xludf.DUMMYFUNCTION("""COMPUTED_VALUE"""),"c-4(+1)e7,T-5(pb-0)")</f>
        <v>c-4(+1)e7,T-5(pb-0)</v>
      </c>
      <c r="CS487" s="16">
        <f>IFERROR(__xludf.DUMMYFUNCTION("""COMPUTED_VALUE"""),4.0)</f>
        <v>4</v>
      </c>
      <c r="CT487" s="16"/>
      <c r="CU487" s="16"/>
      <c r="CV487" s="16"/>
      <c r="CW487" s="16"/>
      <c r="CX487" s="16"/>
      <c r="CY487" s="16"/>
      <c r="CZ487" s="16"/>
      <c r="DA487" s="16">
        <f>IFERROR(__xludf.DUMMYFUNCTION("""COMPUTED_VALUE"""),7.0)</f>
        <v>7</v>
      </c>
      <c r="DB487" s="16"/>
      <c r="DC487" s="16"/>
      <c r="DD487" s="16"/>
      <c r="DE487" s="16"/>
      <c r="DF487" s="16"/>
      <c r="DG487" s="16"/>
      <c r="DH487" s="16"/>
      <c r="DI487" s="16">
        <f>IFERROR(__xludf.DUMMYFUNCTION("""COMPUTED_VALUE"""),-2.0)</f>
        <v>-2</v>
      </c>
      <c r="DJ487" s="16"/>
      <c r="DK487" s="16"/>
      <c r="DL487" s="16"/>
      <c r="DM487" s="16"/>
      <c r="DN487" s="16"/>
      <c r="DO487" s="16"/>
      <c r="DP487" s="16"/>
      <c r="DQ487" s="16">
        <f>IFERROR(__xludf.DUMMYFUNCTION("""COMPUTED_VALUE"""),2.0)</f>
        <v>2</v>
      </c>
      <c r="DR487" s="16"/>
      <c r="DS487" s="16"/>
      <c r="DT487" s="16"/>
      <c r="DU487" s="16"/>
      <c r="DV487" s="16"/>
      <c r="DW487" s="16"/>
      <c r="DX487" s="16"/>
      <c r="DY487" s="16">
        <f>IFERROR(__xludf.DUMMYFUNCTION("""COMPUTED_VALUE"""),0.0)</f>
        <v>0</v>
      </c>
      <c r="DZ487" s="16"/>
      <c r="EA487" s="16"/>
      <c r="EB487" s="16"/>
      <c r="EC487" s="16"/>
      <c r="ED487" s="16"/>
      <c r="EE487" s="16"/>
      <c r="EF487" s="16"/>
      <c r="EG487" s="179">
        <f>IFERROR(__xludf.DUMMYFUNCTION("""COMPUTED_VALUE"""),-47.0)</f>
        <v>-47</v>
      </c>
      <c r="EH487" s="179"/>
      <c r="EI487" s="179"/>
      <c r="EJ487" s="179"/>
      <c r="EK487" s="179"/>
      <c r="EL487" s="179"/>
      <c r="EM487" s="179"/>
      <c r="EN487" s="179"/>
      <c r="EO487" s="16">
        <f>IFERROR(__xludf.DUMMYFUNCTION("""COMPUTED_VALUE"""),1.0)</f>
        <v>1</v>
      </c>
      <c r="EP487" s="16"/>
      <c r="EQ487" s="16">
        <f>IFERROR(__xludf.DUMMYFUNCTION("""COMPUTED_VALUE"""),2.0)</f>
        <v>2</v>
      </c>
      <c r="ER487" s="16">
        <f>IFERROR(__xludf.DUMMYFUNCTION("""COMPUTED_VALUE"""),-4.0)</f>
        <v>-4</v>
      </c>
      <c r="ES487" s="16" t="str">
        <f>IFERROR(__xludf.DUMMYFUNCTION("""COMPUTED_VALUE"""),"c-4")</f>
        <v>c-4</v>
      </c>
      <c r="ET487" s="16" t="str">
        <f>IFERROR(__xludf.DUMMYFUNCTION("""COMPUTED_VALUE"""),"+1)e7,T-5")</f>
        <v>+1)e7,T-5</v>
      </c>
      <c r="EU487" s="16" t="str">
        <f>IFERROR(__xludf.DUMMYFUNCTION("""COMPUTED_VALUE"""),"pb-0)")</f>
        <v>pb-0)</v>
      </c>
      <c r="EV487" s="16"/>
      <c r="EW487" s="16">
        <f>IFERROR(__xludf.DUMMYFUNCTION("""COMPUTED_VALUE"""),1.0)</f>
        <v>1</v>
      </c>
      <c r="EX487" s="180">
        <f>IFERROR(__xludf.DUMMYFUNCTION("""COMPUTED_VALUE"""),0.3)</f>
        <v>0.3</v>
      </c>
      <c r="EY487" s="180"/>
      <c r="EZ487" s="180"/>
      <c r="FA487" s="180"/>
      <c r="FB487" s="180"/>
      <c r="FC487" s="180"/>
      <c r="FD487" s="180"/>
      <c r="FE487" s="180"/>
      <c r="FF487" s="180">
        <f>IFERROR(__xludf.DUMMYFUNCTION("""COMPUTED_VALUE"""),0.084)</f>
        <v>0.084</v>
      </c>
      <c r="FG487" s="180"/>
      <c r="FH487" s="180"/>
      <c r="FI487" s="180"/>
      <c r="FJ487" s="180"/>
      <c r="FK487" s="180"/>
      <c r="FL487" s="180"/>
      <c r="FM487" s="180"/>
      <c r="FN487" s="16">
        <f>IFERROR(__xludf.DUMMYFUNCTION("""COMPUTED_VALUE"""),0.6412)</f>
        <v>0.6412</v>
      </c>
      <c r="FO487" s="16"/>
      <c r="FP487" s="16"/>
      <c r="FQ487" s="16"/>
      <c r="FR487" s="16"/>
      <c r="FS487" s="16"/>
      <c r="FT487" s="16"/>
      <c r="FU487" s="16"/>
      <c r="FV487" s="16">
        <f>IFERROR(__xludf.DUMMYFUNCTION("""COMPUTED_VALUE"""),-7.0)</f>
        <v>-7</v>
      </c>
      <c r="FW487" s="16"/>
      <c r="FX487" s="16"/>
      <c r="FY487" s="16"/>
      <c r="FZ487" s="16"/>
      <c r="GA487" s="16"/>
      <c r="GB487" s="16"/>
      <c r="GC487" s="16"/>
      <c r="GD487" s="16" t="s">
        <v>176</v>
      </c>
    </row>
    <row r="488">
      <c r="A488" s="16">
        <f>IFERROR(__xludf.DUMMYFUNCTION("""COMPUTED_VALUE"""),12530.0)</f>
        <v>12530</v>
      </c>
      <c r="B488" s="16" t="str">
        <f>IFERROR(__xludf.DUMMYFUNCTION("""COMPUTED_VALUE"""),"Ali Sanchez")</f>
        <v>Ali Sanchez</v>
      </c>
      <c r="C488" s="16">
        <f>IFERROR(__xludf.DUMMYFUNCTION("""COMPUTED_VALUE"""),0.0)</f>
        <v>0</v>
      </c>
      <c r="D488" s="16" t="str">
        <f>IFERROR(__xludf.DUMMYFUNCTION("""COMPUTED_VALUE"""),"R")</f>
        <v>R</v>
      </c>
      <c r="E488" s="16"/>
      <c r="F488" s="16"/>
      <c r="G488" s="16">
        <f>IFERROR(__xludf.DUMMYFUNCTION("""COMPUTED_VALUE"""),84.0)</f>
        <v>84</v>
      </c>
      <c r="H488" s="16">
        <f>IFERROR(__xludf.DUMMYFUNCTION("""COMPUTED_VALUE"""),4.0)</f>
        <v>4</v>
      </c>
      <c r="I488" s="16" t="str">
        <f>IFERROR(__xludf.DUMMYFUNCTION("""COMPUTED_VALUE"""),"2p20")</f>
        <v>2p20</v>
      </c>
      <c r="J488" s="16">
        <f>IFERROR(__xludf.DUMMYFUNCTION("""COMPUTED_VALUE"""),27.0)</f>
        <v>27</v>
      </c>
      <c r="K488" s="16">
        <f>IFERROR(__xludf.DUMMYFUNCTION("""COMPUTED_VALUE"""),36.0)</f>
        <v>36</v>
      </c>
      <c r="L488" s="16">
        <f>IFERROR(__xludf.DUMMYFUNCTION("""COMPUTED_VALUE"""),0.0)</f>
        <v>0</v>
      </c>
      <c r="M488" s="16">
        <f>IFERROR(__xludf.DUMMYFUNCTION("""COMPUTED_VALUE"""),-1.0)</f>
        <v>-1</v>
      </c>
      <c r="N488" s="16">
        <f>IFERROR(__xludf.DUMMYFUNCTION("""COMPUTED_VALUE"""),0.0)</f>
        <v>0</v>
      </c>
      <c r="O488" s="16">
        <f>IFERROR(__xludf.DUMMYFUNCTION("""COMPUTED_VALUE"""),-1.0)</f>
        <v>-1</v>
      </c>
      <c r="P488" s="16">
        <f>IFERROR(__xludf.DUMMYFUNCTION("""COMPUTED_VALUE"""),6.0)</f>
        <v>6</v>
      </c>
      <c r="Q488" s="16">
        <f>IFERROR(__xludf.DUMMYFUNCTION("""COMPUTED_VALUE"""),0.0)</f>
        <v>0</v>
      </c>
      <c r="R488" s="16">
        <f>IFERROR(__xludf.DUMMYFUNCTION("""COMPUTED_VALUE"""),-1.0)</f>
        <v>-1</v>
      </c>
      <c r="S488" s="16">
        <f>IFERROR(__xludf.DUMMYFUNCTION("""COMPUTED_VALUE"""),-2.0)</f>
        <v>-2</v>
      </c>
      <c r="T488" s="16">
        <f>IFERROR(__xludf.DUMMYFUNCTION("""COMPUTED_VALUE"""),-1.0)</f>
        <v>-1</v>
      </c>
      <c r="U488" s="16">
        <f>IFERROR(__xludf.DUMMYFUNCTION("""COMPUTED_VALUE"""),-2.0)</f>
        <v>-2</v>
      </c>
      <c r="V488" s="16">
        <f>IFERROR(__xludf.DUMMYFUNCTION("""COMPUTED_VALUE"""),1.3)</f>
        <v>1.3</v>
      </c>
      <c r="W488" s="16">
        <f>IFERROR(__xludf.DUMMYFUNCTION("""COMPUTED_VALUE"""),8.8)</f>
        <v>8.8</v>
      </c>
      <c r="X488" s="16">
        <f>IFERROR(__xludf.DUMMYFUNCTION("""COMPUTED_VALUE"""),-2.0)</f>
        <v>-2</v>
      </c>
      <c r="Y488" s="16">
        <f>IFERROR(__xludf.DUMMYFUNCTION("""COMPUTED_VALUE"""),-2.0)</f>
        <v>-2</v>
      </c>
      <c r="Z488" s="16">
        <f>IFERROR(__xludf.DUMMYFUNCTION("""COMPUTED_VALUE"""),-4.0)</f>
        <v>-4</v>
      </c>
      <c r="AA488" s="16">
        <f>IFERROR(__xludf.DUMMYFUNCTION("""COMPUTED_VALUE"""),-4.0)</f>
        <v>-4</v>
      </c>
      <c r="AB488" s="16">
        <f>IFERROR(__xludf.DUMMYFUNCTION("""COMPUTED_VALUE"""),9.4)</f>
        <v>9.4</v>
      </c>
      <c r="AC488" s="16">
        <f>IFERROR(__xludf.DUMMYFUNCTION("""COMPUTED_VALUE"""),10.8)</f>
        <v>10.8</v>
      </c>
      <c r="AD488" s="16">
        <f>IFERROR(__xludf.DUMMYFUNCTION("""COMPUTED_VALUE"""),-2.0)</f>
        <v>-2</v>
      </c>
      <c r="AE488" s="16">
        <f>IFERROR(__xludf.DUMMYFUNCTION("""COMPUTED_VALUE"""),-3.0)</f>
        <v>-3</v>
      </c>
      <c r="AF488" s="16">
        <f>IFERROR(__xludf.DUMMYFUNCTION("""COMPUTED_VALUE"""),-10.0)</f>
        <v>-10</v>
      </c>
      <c r="AG488" s="16">
        <f>IFERROR(__xludf.DUMMYFUNCTION("""COMPUTED_VALUE"""),-15.0)</f>
        <v>-15</v>
      </c>
      <c r="AH488" s="16">
        <f>IFERROR(__xludf.DUMMYFUNCTION("""COMPUTED_VALUE"""),1.3)</f>
        <v>1.3</v>
      </c>
      <c r="AI488" s="16">
        <f>IFERROR(__xludf.DUMMYFUNCTION("""COMPUTED_VALUE"""),10.9)</f>
        <v>10.9</v>
      </c>
      <c r="AJ488" s="16">
        <f>IFERROR(__xludf.DUMMYFUNCTION("""COMPUTED_VALUE"""),-2.0)</f>
        <v>-2</v>
      </c>
      <c r="AK488" s="16">
        <f>IFERROR(__xludf.DUMMYFUNCTION("""COMPUTED_VALUE"""),-2.0)</f>
        <v>-2</v>
      </c>
      <c r="AL488" s="16">
        <f>IFERROR(__xludf.DUMMYFUNCTION("""COMPUTED_VALUE"""),-10.0)</f>
        <v>-10</v>
      </c>
      <c r="AM488" s="16">
        <f>IFERROR(__xludf.DUMMYFUNCTION("""COMPUTED_VALUE"""),-10.0)</f>
        <v>-10</v>
      </c>
      <c r="AN488" s="16">
        <f>IFERROR(__xludf.DUMMYFUNCTION("""COMPUTED_VALUE"""),0.0)</f>
        <v>0</v>
      </c>
      <c r="AO488" s="16">
        <f>IFERROR(__xludf.DUMMYFUNCTION("""COMPUTED_VALUE"""),0.0)</f>
        <v>0</v>
      </c>
      <c r="AP488" s="16">
        <f>IFERROR(__xludf.DUMMYFUNCTION("""COMPUTED_VALUE"""),-2.0)</f>
        <v>-2</v>
      </c>
      <c r="AQ488" s="16">
        <f>IFERROR(__xludf.DUMMYFUNCTION("""COMPUTED_VALUE"""),-3.0)</f>
        <v>-3</v>
      </c>
      <c r="AR488" s="16">
        <f>IFERROR(__xludf.DUMMYFUNCTION("""COMPUTED_VALUE"""),-4.0)</f>
        <v>-4</v>
      </c>
      <c r="AS488" s="16">
        <f>IFERROR(__xludf.DUMMYFUNCTION("""COMPUTED_VALUE"""),-6.0)</f>
        <v>-6</v>
      </c>
      <c r="AT488" s="16"/>
      <c r="AU488" s="16"/>
      <c r="AV488" s="16">
        <f>IFERROR(__xludf.DUMMYFUNCTION("""COMPUTED_VALUE"""),-3.0)</f>
        <v>-3</v>
      </c>
      <c r="AW488" s="16">
        <f>IFERROR(__xludf.DUMMYFUNCTION("""COMPUTED_VALUE"""),-3.0)</f>
        <v>-3</v>
      </c>
      <c r="AX488" s="16">
        <f>IFERROR(__xludf.DUMMYFUNCTION("""COMPUTED_VALUE"""),-3.0)</f>
        <v>-3</v>
      </c>
      <c r="AY488" s="16">
        <f>IFERROR(__xludf.DUMMYFUNCTION("""COMPUTED_VALUE"""),-3.0)</f>
        <v>-3</v>
      </c>
      <c r="AZ488" s="16">
        <f>IFERROR(__xludf.DUMMYFUNCTION("""COMPUTED_VALUE"""),-9.0)</f>
        <v>-9</v>
      </c>
      <c r="BA488" s="16">
        <f>IFERROR(__xludf.DUMMYFUNCTION("""COMPUTED_VALUE"""),-9.0)</f>
        <v>-9</v>
      </c>
      <c r="BB488" s="16">
        <f>IFERROR(__xludf.DUMMYFUNCTION("""COMPUTED_VALUE"""),5.0)</f>
        <v>5</v>
      </c>
      <c r="BC488" s="16">
        <f>IFERROR(__xludf.DUMMYFUNCTION("""COMPUTED_VALUE"""),5.0)</f>
        <v>5</v>
      </c>
      <c r="BD488" s="16">
        <f>IFERROR(__xludf.DUMMYFUNCTION("""COMPUTED_VALUE"""),1.0)</f>
        <v>1</v>
      </c>
      <c r="BE488" s="16">
        <f>IFERROR(__xludf.DUMMYFUNCTION("""COMPUTED_VALUE"""),1.0)</f>
        <v>1</v>
      </c>
      <c r="BF488" s="16">
        <f>IFERROR(__xludf.DUMMYFUNCTION("""COMPUTED_VALUE"""),1.0)</f>
        <v>1</v>
      </c>
      <c r="BG488" s="16">
        <f>IFERROR(__xludf.DUMMYFUNCTION("""COMPUTED_VALUE"""),1.0)</f>
        <v>1</v>
      </c>
      <c r="BH488" s="16">
        <f>IFERROR(__xludf.DUMMYFUNCTION("""COMPUTED_VALUE"""),0.0)</f>
        <v>0</v>
      </c>
      <c r="BI488" s="16">
        <f>IFERROR(__xludf.DUMMYFUNCTION("""COMPUTED_VALUE"""),-4.0)</f>
        <v>-4</v>
      </c>
      <c r="BJ488" s="16">
        <f>IFERROR(__xludf.DUMMYFUNCTION("""COMPUTED_VALUE"""),18.0)</f>
        <v>18</v>
      </c>
      <c r="BK488" s="16">
        <f>IFERROR(__xludf.DUMMYFUNCTION("""COMPUTED_VALUE"""),20.0)</f>
        <v>20</v>
      </c>
      <c r="BL488" s="16">
        <f>IFERROR(__xludf.DUMMYFUNCTION("""COMPUTED_VALUE"""),-1.0)</f>
        <v>-1</v>
      </c>
      <c r="BM488" s="16">
        <f>IFERROR(__xludf.DUMMYFUNCTION("""COMPUTED_VALUE"""),-2.0)</f>
        <v>-2</v>
      </c>
      <c r="BN488" s="16">
        <f>IFERROR(__xludf.DUMMYFUNCTION("""COMPUTED_VALUE"""),-2.0)</f>
        <v>-2</v>
      </c>
      <c r="BO488" s="16">
        <f>IFERROR(__xludf.DUMMYFUNCTION("""COMPUTED_VALUE"""),-4.0)</f>
        <v>-4</v>
      </c>
      <c r="BP488" s="16">
        <f>IFERROR(__xludf.DUMMYFUNCTION("""COMPUTED_VALUE"""),-12.0)</f>
        <v>-12</v>
      </c>
      <c r="BQ488" s="16">
        <f>IFERROR(__xludf.DUMMYFUNCTION("""COMPUTED_VALUE"""),-17.0)</f>
        <v>-17</v>
      </c>
      <c r="BR488" s="16">
        <f>IFERROR(__xludf.DUMMYFUNCTION("""COMPUTED_VALUE"""),-29.0)</f>
        <v>-29</v>
      </c>
      <c r="BS488" s="16" t="str">
        <f>IFERROR(__xludf.DUMMYFUNCTION("""COMPUTED_VALUE"""),"*2-7,12/- (15-13)")</f>
        <v>*2-7,12/- (15-13)</v>
      </c>
      <c r="BT488" s="16" t="str">
        <f>IFERROR(__xludf.DUMMYFUNCTION("""COMPUTED_VALUE"""),"C")</f>
        <v>C</v>
      </c>
      <c r="BU488" s="16">
        <f>IFERROR(__xludf.DUMMYFUNCTION("""COMPUTED_VALUE"""),9.0)</f>
        <v>9</v>
      </c>
      <c r="BV488" s="16">
        <f>IFERROR(__xludf.DUMMYFUNCTION("""COMPUTED_VALUE"""),0.0)</f>
        <v>0</v>
      </c>
      <c r="BW488" s="16">
        <f>IFERROR(__xludf.DUMMYFUNCTION("""COMPUTED_VALUE"""),-1.0)</f>
        <v>-1</v>
      </c>
      <c r="BX488" s="16">
        <f>IFERROR(__xludf.DUMMYFUNCTION("""COMPUTED_VALUE"""),0.0)</f>
        <v>0</v>
      </c>
      <c r="BY488" s="16">
        <f>IFERROR(__xludf.DUMMYFUNCTION("""COMPUTED_VALUE"""),-3.0)</f>
        <v>-3</v>
      </c>
      <c r="BZ488" s="16" t="str">
        <f>IFERROR(__xludf.DUMMYFUNCTION("""COMPUTED_VALUE"""),"A")</f>
        <v>A</v>
      </c>
      <c r="CA488" s="16" t="str">
        <f>IFERROR(__xludf.DUMMYFUNCTION("""COMPUTED_VALUE"""),"D")</f>
        <v>D</v>
      </c>
      <c r="CB488" s="16">
        <f>IFERROR(__xludf.DUMMYFUNCTION("""COMPUTED_VALUE"""),2.0)</f>
        <v>2</v>
      </c>
      <c r="CC488" s="16">
        <f>IFERROR(__xludf.DUMMYFUNCTION("""COMPUTED_VALUE"""),0.0)</f>
        <v>0</v>
      </c>
      <c r="CD488" s="16">
        <f>IFERROR(__xludf.DUMMYFUNCTION("""COMPUTED_VALUE"""),2.0)</f>
        <v>2</v>
      </c>
      <c r="CE488" s="16">
        <f>IFERROR(__xludf.DUMMYFUNCTION("""COMPUTED_VALUE"""),0.0)</f>
        <v>0</v>
      </c>
      <c r="CF488" s="16">
        <f>IFERROR(__xludf.DUMMYFUNCTION("""COMPUTED_VALUE"""),2.0)</f>
        <v>2</v>
      </c>
      <c r="CG488" s="16">
        <f>IFERROR(__xludf.DUMMYFUNCTION("""COMPUTED_VALUE"""),-39.0)</f>
        <v>-39</v>
      </c>
      <c r="CH488" s="16">
        <f>IFERROR(__xludf.DUMMYFUNCTION("""COMPUTED_VALUE"""),-50.0)</f>
        <v>-50</v>
      </c>
      <c r="CI488" s="179">
        <f>IFERROR(__xludf.DUMMYFUNCTION("""COMPUTED_VALUE"""),-50.0)</f>
        <v>-50</v>
      </c>
      <c r="CJ488" s="16">
        <f>IFERROR(__xludf.DUMMYFUNCTION("""COMPUTED_VALUE"""),402.0)</f>
        <v>402</v>
      </c>
      <c r="CK488" s="16"/>
      <c r="CL488" s="16"/>
      <c r="CM488" s="16"/>
      <c r="CN488" s="16"/>
      <c r="CO488" s="16"/>
      <c r="CP488" s="16"/>
      <c r="CQ488" s="16"/>
      <c r="CR488" s="16" t="str">
        <f>IFERROR(__xludf.DUMMYFUNCTION("""COMPUTED_VALUE"""),"c-4(+1)e2,T-7(pb-0)")</f>
        <v>c-4(+1)e2,T-7(pb-0)</v>
      </c>
      <c r="CS488" s="16">
        <f>IFERROR(__xludf.DUMMYFUNCTION("""COMPUTED_VALUE"""),4.0)</f>
        <v>4</v>
      </c>
      <c r="CT488" s="16"/>
      <c r="CU488" s="16"/>
      <c r="CV488" s="16"/>
      <c r="CW488" s="16"/>
      <c r="CX488" s="16"/>
      <c r="CY488" s="16"/>
      <c r="CZ488" s="16"/>
      <c r="DA488" s="16">
        <f>IFERROR(__xludf.DUMMYFUNCTION("""COMPUTED_VALUE"""),2.0)</f>
        <v>2</v>
      </c>
      <c r="DB488" s="16"/>
      <c r="DC488" s="16"/>
      <c r="DD488" s="16"/>
      <c r="DE488" s="16"/>
      <c r="DF488" s="16"/>
      <c r="DG488" s="16"/>
      <c r="DH488" s="16"/>
      <c r="DI488" s="16">
        <f>IFERROR(__xludf.DUMMYFUNCTION("""COMPUTED_VALUE"""),-2.0)</f>
        <v>-2</v>
      </c>
      <c r="DJ488" s="16"/>
      <c r="DK488" s="16"/>
      <c r="DL488" s="16"/>
      <c r="DM488" s="16"/>
      <c r="DN488" s="16"/>
      <c r="DO488" s="16"/>
      <c r="DP488" s="16"/>
      <c r="DQ488" s="16">
        <f>IFERROR(__xludf.DUMMYFUNCTION("""COMPUTED_VALUE"""),4.0)</f>
        <v>4</v>
      </c>
      <c r="DR488" s="16"/>
      <c r="DS488" s="16"/>
      <c r="DT488" s="16"/>
      <c r="DU488" s="16"/>
      <c r="DV488" s="16"/>
      <c r="DW488" s="16"/>
      <c r="DX488" s="16"/>
      <c r="DY488" s="16">
        <f>IFERROR(__xludf.DUMMYFUNCTION("""COMPUTED_VALUE"""),2.0)</f>
        <v>2</v>
      </c>
      <c r="DZ488" s="16"/>
      <c r="EA488" s="16"/>
      <c r="EB488" s="16"/>
      <c r="EC488" s="16"/>
      <c r="ED488" s="16"/>
      <c r="EE488" s="16"/>
      <c r="EF488" s="16"/>
      <c r="EG488" s="179">
        <f>IFERROR(__xludf.DUMMYFUNCTION("""COMPUTED_VALUE"""),-47.0)</f>
        <v>-47</v>
      </c>
      <c r="EH488" s="179"/>
      <c r="EI488" s="179"/>
      <c r="EJ488" s="179"/>
      <c r="EK488" s="179"/>
      <c r="EL488" s="179"/>
      <c r="EM488" s="179"/>
      <c r="EN488" s="179"/>
      <c r="EO488" s="16">
        <f>IFERROR(__xludf.DUMMYFUNCTION("""COMPUTED_VALUE"""),1.0)</f>
        <v>1</v>
      </c>
      <c r="EP488" s="16">
        <f>IFERROR(__xludf.DUMMYFUNCTION("""COMPUTED_VALUE"""),-2.0)</f>
        <v>-2</v>
      </c>
      <c r="EQ488" s="16">
        <f>IFERROR(__xludf.DUMMYFUNCTION("""COMPUTED_VALUE"""),2.0)</f>
        <v>2</v>
      </c>
      <c r="ER488" s="16">
        <f>IFERROR(__xludf.DUMMYFUNCTION("""COMPUTED_VALUE"""),-4.0)</f>
        <v>-4</v>
      </c>
      <c r="ES488" s="16" t="str">
        <f>IFERROR(__xludf.DUMMYFUNCTION("""COMPUTED_VALUE"""),"c-4")</f>
        <v>c-4</v>
      </c>
      <c r="ET488" s="16" t="str">
        <f>IFERROR(__xludf.DUMMYFUNCTION("""COMPUTED_VALUE"""),"+1)e2,T-7")</f>
        <v>+1)e2,T-7</v>
      </c>
      <c r="EU488" s="16" t="str">
        <f>IFERROR(__xludf.DUMMYFUNCTION("""COMPUTED_VALUE"""),"pb-0)")</f>
        <v>pb-0)</v>
      </c>
      <c r="EV488" s="16"/>
      <c r="EW488" s="16">
        <f>IFERROR(__xludf.DUMMYFUNCTION("""COMPUTED_VALUE"""),1.0)</f>
        <v>1</v>
      </c>
      <c r="EX488" s="180">
        <f>IFERROR(__xludf.DUMMYFUNCTION("""COMPUTED_VALUE"""),0.3)</f>
        <v>0.3</v>
      </c>
      <c r="EY488" s="180"/>
      <c r="EZ488" s="180"/>
      <c r="FA488" s="180"/>
      <c r="FB488" s="180"/>
      <c r="FC488" s="180"/>
      <c r="FD488" s="180"/>
      <c r="FE488" s="180"/>
      <c r="FF488" s="180">
        <f>IFERROR(__xludf.DUMMYFUNCTION("""COMPUTED_VALUE"""),0.024)</f>
        <v>0.024</v>
      </c>
      <c r="FG488" s="180"/>
      <c r="FH488" s="180"/>
      <c r="FI488" s="180"/>
      <c r="FJ488" s="180"/>
      <c r="FK488" s="180"/>
      <c r="FL488" s="180"/>
      <c r="FM488" s="180"/>
      <c r="FN488" s="16">
        <f>IFERROR(__xludf.DUMMYFUNCTION("""COMPUTED_VALUE"""),0.6831999999999999)</f>
        <v>0.6832</v>
      </c>
      <c r="FO488" s="16"/>
      <c r="FP488" s="16"/>
      <c r="FQ488" s="16"/>
      <c r="FR488" s="16"/>
      <c r="FS488" s="16"/>
      <c r="FT488" s="16"/>
      <c r="FU488" s="16"/>
      <c r="FV488" s="16">
        <f>IFERROR(__xludf.DUMMYFUNCTION("""COMPUTED_VALUE"""),-5.0)</f>
        <v>-5</v>
      </c>
      <c r="FW488" s="16"/>
      <c r="FX488" s="16"/>
      <c r="FY488" s="16"/>
      <c r="FZ488" s="16"/>
      <c r="GA488" s="16"/>
      <c r="GB488" s="16"/>
      <c r="GC488" s="16"/>
      <c r="GD488" s="16" t="s">
        <v>176</v>
      </c>
    </row>
    <row r="489">
      <c r="A489" s="16">
        <f>IFERROR(__xludf.DUMMYFUNCTION("""COMPUTED_VALUE"""),12514.0)</f>
        <v>12514</v>
      </c>
      <c r="B489" s="16" t="str">
        <f>IFERROR(__xludf.DUMMYFUNCTION("""COMPUTED_VALUE"""),"Alan Trejo")</f>
        <v>Alan Trejo</v>
      </c>
      <c r="C489" s="16">
        <f>IFERROR(__xludf.DUMMYFUNCTION("""COMPUTED_VALUE"""),0.0)</f>
        <v>0</v>
      </c>
      <c r="D489" s="16" t="str">
        <f>IFERROR(__xludf.DUMMYFUNCTION("""COMPUTED_VALUE"""),"R")</f>
        <v>R</v>
      </c>
      <c r="E489" s="16"/>
      <c r="F489" s="16"/>
      <c r="G489" s="16">
        <f>IFERROR(__xludf.DUMMYFUNCTION("""COMPUTED_VALUE"""),63.0)</f>
        <v>63</v>
      </c>
      <c r="H489" s="16">
        <f>IFERROR(__xludf.DUMMYFUNCTION("""COMPUTED_VALUE"""),2.0)</f>
        <v>2</v>
      </c>
      <c r="I489" s="16" t="str">
        <f>IFERROR(__xludf.DUMMYFUNCTION("""COMPUTED_VALUE"""),"1p20")</f>
        <v>1p20</v>
      </c>
      <c r="J489" s="16">
        <f>IFERROR(__xludf.DUMMYFUNCTION("""COMPUTED_VALUE"""),22.0)</f>
        <v>22</v>
      </c>
      <c r="K489" s="16">
        <f>IFERROR(__xludf.DUMMYFUNCTION("""COMPUTED_VALUE"""),24.0)</f>
        <v>24</v>
      </c>
      <c r="L489" s="16">
        <f>IFERROR(__xludf.DUMMYFUNCTION("""COMPUTED_VALUE"""),0.0)</f>
        <v>0</v>
      </c>
      <c r="M489" s="16">
        <f>IFERROR(__xludf.DUMMYFUNCTION("""COMPUTED_VALUE"""),0.0)</f>
        <v>0</v>
      </c>
      <c r="N489" s="16">
        <f>IFERROR(__xludf.DUMMYFUNCTION("""COMPUTED_VALUE"""),0.0)</f>
        <v>0</v>
      </c>
      <c r="O489" s="16">
        <f>IFERROR(__xludf.DUMMYFUNCTION("""COMPUTED_VALUE"""),0.0)</f>
        <v>0</v>
      </c>
      <c r="P489" s="16">
        <f>IFERROR(__xludf.DUMMYFUNCTION("""COMPUTED_VALUE"""),0.0)</f>
        <v>0</v>
      </c>
      <c r="Q489" s="16">
        <f>IFERROR(__xludf.DUMMYFUNCTION("""COMPUTED_VALUE"""),0.0)</f>
        <v>0</v>
      </c>
      <c r="R489" s="16">
        <f>IFERROR(__xludf.DUMMYFUNCTION("""COMPUTED_VALUE"""),-3.0)</f>
        <v>-3</v>
      </c>
      <c r="S489" s="16">
        <f>IFERROR(__xludf.DUMMYFUNCTION("""COMPUTED_VALUE"""),-2.0)</f>
        <v>-2</v>
      </c>
      <c r="T489" s="16">
        <f>IFERROR(__xludf.DUMMYFUNCTION("""COMPUTED_VALUE"""),-3.0)</f>
        <v>-3</v>
      </c>
      <c r="U489" s="16">
        <f>IFERROR(__xludf.DUMMYFUNCTION("""COMPUTED_VALUE"""),-2.0)</f>
        <v>-2</v>
      </c>
      <c r="V489" s="16">
        <f>IFERROR(__xludf.DUMMYFUNCTION("""COMPUTED_VALUE"""),2.5)</f>
        <v>2.5</v>
      </c>
      <c r="W489" s="16">
        <f>IFERROR(__xludf.DUMMYFUNCTION("""COMPUTED_VALUE"""),1.3)</f>
        <v>1.3</v>
      </c>
      <c r="X489" s="16">
        <f>IFERROR(__xludf.DUMMYFUNCTION("""COMPUTED_VALUE"""),-2.0)</f>
        <v>-2</v>
      </c>
      <c r="Y489" s="16">
        <f>IFERROR(__xludf.DUMMYFUNCTION("""COMPUTED_VALUE"""),-3.0)</f>
        <v>-3</v>
      </c>
      <c r="Z489" s="16">
        <f>IFERROR(__xludf.DUMMYFUNCTION("""COMPUTED_VALUE"""),-4.0)</f>
        <v>-4</v>
      </c>
      <c r="AA489" s="16">
        <f>IFERROR(__xludf.DUMMYFUNCTION("""COMPUTED_VALUE"""),-6.0)</f>
        <v>-6</v>
      </c>
      <c r="AB489" s="16">
        <f>IFERROR(__xludf.DUMMYFUNCTION("""COMPUTED_VALUE"""),5.5)</f>
        <v>5.5</v>
      </c>
      <c r="AC489" s="16">
        <f>IFERROR(__xludf.DUMMYFUNCTION("""COMPUTED_VALUE"""),4.3)</f>
        <v>4.3</v>
      </c>
      <c r="AD489" s="16">
        <f>IFERROR(__xludf.DUMMYFUNCTION("""COMPUTED_VALUE"""),-3.0)</f>
        <v>-3</v>
      </c>
      <c r="AE489" s="16">
        <f>IFERROR(__xludf.DUMMYFUNCTION("""COMPUTED_VALUE"""),-3.0)</f>
        <v>-3</v>
      </c>
      <c r="AF489" s="16">
        <f>IFERROR(__xludf.DUMMYFUNCTION("""COMPUTED_VALUE"""),-15.0)</f>
        <v>-15</v>
      </c>
      <c r="AG489" s="16">
        <f>IFERROR(__xludf.DUMMYFUNCTION("""COMPUTED_VALUE"""),-15.0)</f>
        <v>-15</v>
      </c>
      <c r="AH489" s="16">
        <f>IFERROR(__xludf.DUMMYFUNCTION("""COMPUTED_VALUE"""),2.5)</f>
        <v>2.5</v>
      </c>
      <c r="AI489" s="16">
        <f>IFERROR(__xludf.DUMMYFUNCTION("""COMPUTED_VALUE"""),1.3)</f>
        <v>1.3</v>
      </c>
      <c r="AJ489" s="16">
        <f>IFERROR(__xludf.DUMMYFUNCTION("""COMPUTED_VALUE"""),-2.0)</f>
        <v>-2</v>
      </c>
      <c r="AK489" s="16">
        <f>IFERROR(__xludf.DUMMYFUNCTION("""COMPUTED_VALUE"""),-3.0)</f>
        <v>-3</v>
      </c>
      <c r="AL489" s="16">
        <f>IFERROR(__xludf.DUMMYFUNCTION("""COMPUTED_VALUE"""),-10.0)</f>
        <v>-10</v>
      </c>
      <c r="AM489" s="16">
        <f>IFERROR(__xludf.DUMMYFUNCTION("""COMPUTED_VALUE"""),-15.0)</f>
        <v>-15</v>
      </c>
      <c r="AN489" s="16">
        <f>IFERROR(__xludf.DUMMYFUNCTION("""COMPUTED_VALUE"""),0.0)</f>
        <v>0</v>
      </c>
      <c r="AO489" s="16">
        <f>IFERROR(__xludf.DUMMYFUNCTION("""COMPUTED_VALUE"""),0.0)</f>
        <v>0</v>
      </c>
      <c r="AP489" s="16">
        <f>IFERROR(__xludf.DUMMYFUNCTION("""COMPUTED_VALUE"""),-2.0)</f>
        <v>-2</v>
      </c>
      <c r="AQ489" s="16">
        <f>IFERROR(__xludf.DUMMYFUNCTION("""COMPUTED_VALUE"""),-3.0)</f>
        <v>-3</v>
      </c>
      <c r="AR489" s="16">
        <f>IFERROR(__xludf.DUMMYFUNCTION("""COMPUTED_VALUE"""),-4.0)</f>
        <v>-4</v>
      </c>
      <c r="AS489" s="16">
        <f>IFERROR(__xludf.DUMMYFUNCTION("""COMPUTED_VALUE"""),-6.0)</f>
        <v>-6</v>
      </c>
      <c r="AT489" s="16"/>
      <c r="AU489" s="16"/>
      <c r="AV489" s="16">
        <f>IFERROR(__xludf.DUMMYFUNCTION("""COMPUTED_VALUE"""),-3.0)</f>
        <v>-3</v>
      </c>
      <c r="AW489" s="16">
        <f>IFERROR(__xludf.DUMMYFUNCTION("""COMPUTED_VALUE"""),-3.0)</f>
        <v>-3</v>
      </c>
      <c r="AX489" s="16">
        <f>IFERROR(__xludf.DUMMYFUNCTION("""COMPUTED_VALUE"""),-3.0)</f>
        <v>-3</v>
      </c>
      <c r="AY489" s="16">
        <f>IFERROR(__xludf.DUMMYFUNCTION("""COMPUTED_VALUE"""),-3.0)</f>
        <v>-3</v>
      </c>
      <c r="AZ489" s="16">
        <f>IFERROR(__xludf.DUMMYFUNCTION("""COMPUTED_VALUE"""),-9.0)</f>
        <v>-9</v>
      </c>
      <c r="BA489" s="16">
        <f>IFERROR(__xludf.DUMMYFUNCTION("""COMPUTED_VALUE"""),-9.0)</f>
        <v>-9</v>
      </c>
      <c r="BB489" s="16">
        <f>IFERROR(__xludf.DUMMYFUNCTION("""COMPUTED_VALUE"""),0.0)</f>
        <v>0</v>
      </c>
      <c r="BC489" s="16">
        <f>IFERROR(__xludf.DUMMYFUNCTION("""COMPUTED_VALUE"""),5.0)</f>
        <v>5</v>
      </c>
      <c r="BD489" s="16">
        <f>IFERROR(__xludf.DUMMYFUNCTION("""COMPUTED_VALUE"""),0.0)</f>
        <v>0</v>
      </c>
      <c r="BE489" s="16">
        <f>IFERROR(__xludf.DUMMYFUNCTION("""COMPUTED_VALUE"""),1.0)</f>
        <v>1</v>
      </c>
      <c r="BF489" s="16">
        <f>IFERROR(__xludf.DUMMYFUNCTION("""COMPUTED_VALUE"""),0.0)</f>
        <v>0</v>
      </c>
      <c r="BG489" s="16">
        <f>IFERROR(__xludf.DUMMYFUNCTION("""COMPUTED_VALUE"""),1.0)</f>
        <v>1</v>
      </c>
      <c r="BH489" s="16">
        <f>IFERROR(__xludf.DUMMYFUNCTION("""COMPUTED_VALUE"""),0.0)</f>
        <v>0</v>
      </c>
      <c r="BI489" s="16">
        <f>IFERROR(__xludf.DUMMYFUNCTION("""COMPUTED_VALUE"""),0.0)</f>
        <v>0</v>
      </c>
      <c r="BJ489" s="16">
        <f>IFERROR(__xludf.DUMMYFUNCTION("""COMPUTED_VALUE"""),24.0)</f>
        <v>24</v>
      </c>
      <c r="BK489" s="16">
        <f>IFERROR(__xludf.DUMMYFUNCTION("""COMPUTED_VALUE"""),24.0)</f>
        <v>24</v>
      </c>
      <c r="BL489" s="16">
        <f>IFERROR(__xludf.DUMMYFUNCTION("""COMPUTED_VALUE"""),-2.0)</f>
        <v>-2</v>
      </c>
      <c r="BM489" s="16">
        <f>IFERROR(__xludf.DUMMYFUNCTION("""COMPUTED_VALUE"""),-2.0)</f>
        <v>-2</v>
      </c>
      <c r="BN489" s="16">
        <f>IFERROR(__xludf.DUMMYFUNCTION("""COMPUTED_VALUE"""),-4.0)</f>
        <v>-4</v>
      </c>
      <c r="BO489" s="16">
        <f>IFERROR(__xludf.DUMMYFUNCTION("""COMPUTED_VALUE"""),-4.0)</f>
        <v>-4</v>
      </c>
      <c r="BP489" s="16">
        <f>IFERROR(__xludf.DUMMYFUNCTION("""COMPUTED_VALUE"""),-17.0)</f>
        <v>-17</v>
      </c>
      <c r="BQ489" s="16">
        <f>IFERROR(__xludf.DUMMYFUNCTION("""COMPUTED_VALUE"""),-18.0)</f>
        <v>-18</v>
      </c>
      <c r="BR489" s="16">
        <f>IFERROR(__xludf.DUMMYFUNCTION("""COMPUTED_VALUE"""),-35.0)</f>
        <v>-35</v>
      </c>
      <c r="BS489" s="16" t="str">
        <f>IFERROR(__xludf.DUMMYFUNCTION("""COMPUTED_VALUE"""),"-/- (---)")</f>
        <v>-/- (---)</v>
      </c>
      <c r="BT489" s="16" t="str">
        <f>IFERROR(__xludf.DUMMYFUNCTION("""COMPUTED_VALUE"""),"E")</f>
        <v>E</v>
      </c>
      <c r="BU489" s="16">
        <f>IFERROR(__xludf.DUMMYFUNCTION("""COMPUTED_VALUE"""),12.0)</f>
        <v>12</v>
      </c>
      <c r="BV489" s="16">
        <f>IFERROR(__xludf.DUMMYFUNCTION("""COMPUTED_VALUE"""),0.0)</f>
        <v>0</v>
      </c>
      <c r="BW489" s="16">
        <f>IFERROR(__xludf.DUMMYFUNCTION("""COMPUTED_VALUE"""),0.0)</f>
        <v>0</v>
      </c>
      <c r="BX489" s="16">
        <f>IFERROR(__xludf.DUMMYFUNCTION("""COMPUTED_VALUE"""),0.0)</f>
        <v>0</v>
      </c>
      <c r="BY489" s="16">
        <f>IFERROR(__xludf.DUMMYFUNCTION("""COMPUTED_VALUE"""),0.0)</f>
        <v>0</v>
      </c>
      <c r="BZ489" s="16" t="str">
        <f>IFERROR(__xludf.DUMMYFUNCTION("""COMPUTED_VALUE"""),"D")</f>
        <v>D</v>
      </c>
      <c r="CA489" s="16" t="str">
        <f>IFERROR(__xludf.DUMMYFUNCTION("""COMPUTED_VALUE"""),"C")</f>
        <v>C</v>
      </c>
      <c r="CB489" s="16">
        <f>IFERROR(__xludf.DUMMYFUNCTION("""COMPUTED_VALUE"""),0.0)</f>
        <v>0</v>
      </c>
      <c r="CC489" s="16">
        <f>IFERROR(__xludf.DUMMYFUNCTION("""COMPUTED_VALUE"""),0.0)</f>
        <v>0</v>
      </c>
      <c r="CD489" s="16">
        <f>IFERROR(__xludf.DUMMYFUNCTION("""COMPUTED_VALUE"""),0.0)</f>
        <v>0</v>
      </c>
      <c r="CE489" s="16">
        <f>IFERROR(__xludf.DUMMYFUNCTION("""COMPUTED_VALUE"""),0.0)</f>
        <v>0</v>
      </c>
      <c r="CF489" s="16">
        <f>IFERROR(__xludf.DUMMYFUNCTION("""COMPUTED_VALUE"""),1.0)</f>
        <v>1</v>
      </c>
      <c r="CG489" s="16">
        <f>IFERROR(__xludf.DUMMYFUNCTION("""COMPUTED_VALUE"""),-49.0)</f>
        <v>-49</v>
      </c>
      <c r="CH489" s="16">
        <f>IFERROR(__xludf.DUMMYFUNCTION("""COMPUTED_VALUE"""),-56.0)</f>
        <v>-56</v>
      </c>
      <c r="CI489" s="179">
        <f>IFERROR(__xludf.DUMMYFUNCTION("""COMPUTED_VALUE"""),-54.0)</f>
        <v>-54</v>
      </c>
      <c r="CJ489" s="16"/>
      <c r="CK489" s="16"/>
      <c r="CL489" s="16">
        <f>IFERROR(__xludf.DUMMYFUNCTION("""COMPUTED_VALUE"""),311.0)</f>
        <v>311</v>
      </c>
      <c r="CM489" s="16">
        <f>IFERROR(__xludf.DUMMYFUNCTION("""COMPUTED_VALUE"""),304.0)</f>
        <v>304</v>
      </c>
      <c r="CN489" s="16">
        <f>IFERROR(__xludf.DUMMYFUNCTION("""COMPUTED_VALUE"""),330.0)</f>
        <v>330</v>
      </c>
      <c r="CO489" s="16"/>
      <c r="CP489" s="16"/>
      <c r="CQ489" s="16"/>
      <c r="CR489" s="16" t="str">
        <f>IFERROR(__xludf.DUMMYFUNCTION("""COMPUTED_VALUE"""),"2b-3e11 3b-3e4 ss-3e30")</f>
        <v>2b-3e11 3b-3e4 ss-3e30</v>
      </c>
      <c r="CS489" s="16"/>
      <c r="CT489" s="16"/>
      <c r="CU489" s="16">
        <f>IFERROR(__xludf.DUMMYFUNCTION("""COMPUTED_VALUE"""),3.0)</f>
        <v>3</v>
      </c>
      <c r="CV489" s="16">
        <f>IFERROR(__xludf.DUMMYFUNCTION("""COMPUTED_VALUE"""),3.0)</f>
        <v>3</v>
      </c>
      <c r="CW489" s="16">
        <f>IFERROR(__xludf.DUMMYFUNCTION("""COMPUTED_VALUE"""),3.0)</f>
        <v>3</v>
      </c>
      <c r="CX489" s="16"/>
      <c r="CY489" s="16"/>
      <c r="CZ489" s="16"/>
      <c r="DA489" s="16"/>
      <c r="DB489" s="16"/>
      <c r="DC489" s="16">
        <f>IFERROR(__xludf.DUMMYFUNCTION("""COMPUTED_VALUE"""),11.0)</f>
        <v>11</v>
      </c>
      <c r="DD489" s="16">
        <f>IFERROR(__xludf.DUMMYFUNCTION("""COMPUTED_VALUE"""),4.0)</f>
        <v>4</v>
      </c>
      <c r="DE489" s="16">
        <f>IFERROR(__xludf.DUMMYFUNCTION("""COMPUTED_VALUE"""),30.0)</f>
        <v>30</v>
      </c>
      <c r="DF489" s="16"/>
      <c r="DG489" s="16"/>
      <c r="DH489" s="16"/>
      <c r="DI489" s="16"/>
      <c r="DJ489" s="16"/>
      <c r="DK489" s="16">
        <f>IFERROR(__xludf.DUMMYFUNCTION("""COMPUTED_VALUE"""),0.0)</f>
        <v>0</v>
      </c>
      <c r="DL489" s="16">
        <f>IFERROR(__xludf.DUMMYFUNCTION("""COMPUTED_VALUE"""),1.0)</f>
        <v>1</v>
      </c>
      <c r="DM489" s="16">
        <f>IFERROR(__xludf.DUMMYFUNCTION("""COMPUTED_VALUE"""),0.0)</f>
        <v>0</v>
      </c>
      <c r="DN489" s="16"/>
      <c r="DO489" s="16"/>
      <c r="DP489" s="16"/>
      <c r="DQ489" s="16"/>
      <c r="DR489" s="16"/>
      <c r="DS489" s="16">
        <f>IFERROR(__xludf.DUMMYFUNCTION("""COMPUTED_VALUE"""),2.0)</f>
        <v>2</v>
      </c>
      <c r="DT489" s="16">
        <f>IFERROR(__xludf.DUMMYFUNCTION("""COMPUTED_VALUE"""),4.0)</f>
        <v>4</v>
      </c>
      <c r="DU489" s="16">
        <f>IFERROR(__xludf.DUMMYFUNCTION("""COMPUTED_VALUE"""),-2.0)</f>
        <v>-2</v>
      </c>
      <c r="DV489" s="16"/>
      <c r="DW489" s="16"/>
      <c r="DX489" s="16"/>
      <c r="DY489" s="16"/>
      <c r="DZ489" s="16"/>
      <c r="EA489" s="16">
        <f>IFERROR(__xludf.DUMMYFUNCTION("""COMPUTED_VALUE"""),2.0)</f>
        <v>2</v>
      </c>
      <c r="EB489" s="16">
        <f>IFERROR(__xludf.DUMMYFUNCTION("""COMPUTED_VALUE"""),5.0)</f>
        <v>5</v>
      </c>
      <c r="EC489" s="16">
        <f>IFERROR(__xludf.DUMMYFUNCTION("""COMPUTED_VALUE"""),-2.0)</f>
        <v>-2</v>
      </c>
      <c r="ED489" s="16"/>
      <c r="EE489" s="16"/>
      <c r="EF489" s="16"/>
      <c r="EG489" s="179"/>
      <c r="EH489" s="179"/>
      <c r="EI489" s="179">
        <f>IFERROR(__xludf.DUMMYFUNCTION("""COMPUTED_VALUE"""),-52.0)</f>
        <v>-52</v>
      </c>
      <c r="EJ489" s="179">
        <f>IFERROR(__xludf.DUMMYFUNCTION("""COMPUTED_VALUE"""),-49.0)</f>
        <v>-49</v>
      </c>
      <c r="EK489" s="179">
        <f>IFERROR(__xludf.DUMMYFUNCTION("""COMPUTED_VALUE"""),-56.0)</f>
        <v>-56</v>
      </c>
      <c r="EL489" s="179"/>
      <c r="EM489" s="179"/>
      <c r="EN489" s="179"/>
      <c r="EO489" s="16"/>
      <c r="EP489" s="16">
        <f>IFERROR(__xludf.DUMMYFUNCTION("""COMPUTED_VALUE"""),1.0)</f>
        <v>1</v>
      </c>
      <c r="EQ489" s="16">
        <f>IFERROR(__xludf.DUMMYFUNCTION("""COMPUTED_VALUE"""),4.0)</f>
        <v>4</v>
      </c>
      <c r="ER489" s="16">
        <f>IFERROR(__xludf.DUMMYFUNCTION("""COMPUTED_VALUE"""),-4.0)</f>
        <v>-4</v>
      </c>
      <c r="ES489" s="16"/>
      <c r="ET489" s="16"/>
      <c r="EU489" s="16"/>
      <c r="EV489" s="16"/>
      <c r="EW489" s="16"/>
      <c r="EX489" s="180"/>
      <c r="EY489" s="180"/>
      <c r="EZ489" s="180">
        <f>IFERROR(__xludf.DUMMYFUNCTION("""COMPUTED_VALUE"""),0.2)</f>
        <v>0.2</v>
      </c>
      <c r="FA489" s="180">
        <f>IFERROR(__xludf.DUMMYFUNCTION("""COMPUTED_VALUE"""),0.2)</f>
        <v>0.2</v>
      </c>
      <c r="FB489" s="180">
        <f>IFERROR(__xludf.DUMMYFUNCTION("""COMPUTED_VALUE"""),0.2)</f>
        <v>0.2</v>
      </c>
      <c r="FC489" s="180"/>
      <c r="FD489" s="180"/>
      <c r="FE489" s="180"/>
      <c r="FF489" s="180"/>
      <c r="FG489" s="180"/>
      <c r="FH489" s="180">
        <f>IFERROR(__xludf.DUMMYFUNCTION("""COMPUTED_VALUE"""),0.06481481481481481)</f>
        <v>0.06481481481</v>
      </c>
      <c r="FI489" s="180">
        <f>IFERROR(__xludf.DUMMYFUNCTION("""COMPUTED_VALUE"""),0.041666666666666664)</f>
        <v>0.04166666667</v>
      </c>
      <c r="FJ489" s="180">
        <f>IFERROR(__xludf.DUMMYFUNCTION("""COMPUTED_VALUE"""),0.1527777777777778)</f>
        <v>0.1527777778</v>
      </c>
      <c r="FK489" s="180"/>
      <c r="FL489" s="180"/>
      <c r="FM489" s="180"/>
      <c r="FN489" s="16"/>
      <c r="FO489" s="16"/>
      <c r="FP489" s="16">
        <f>IFERROR(__xludf.DUMMYFUNCTION("""COMPUTED_VALUE"""),0.7481481481481482)</f>
        <v>0.7481481481</v>
      </c>
      <c r="FQ489" s="16">
        <f>IFERROR(__xludf.DUMMYFUNCTION("""COMPUTED_VALUE"""),0.7666666666666667)</f>
        <v>0.7666666667</v>
      </c>
      <c r="FR489" s="16">
        <f>IFERROR(__xludf.DUMMYFUNCTION("""COMPUTED_VALUE"""),0.6777777777777778)</f>
        <v>0.6777777778</v>
      </c>
      <c r="FS489" s="16"/>
      <c r="FT489" s="16"/>
      <c r="FU489" s="16"/>
      <c r="FV489" s="16"/>
      <c r="FW489" s="16"/>
      <c r="FX489" s="16">
        <f>IFERROR(__xludf.DUMMYFUNCTION("""COMPUTED_VALUE"""),-4.0)</f>
        <v>-4</v>
      </c>
      <c r="FY489" s="16">
        <f>IFERROR(__xludf.DUMMYFUNCTION("""COMPUTED_VALUE"""),-1.0)</f>
        <v>-1</v>
      </c>
      <c r="FZ489" s="16">
        <f>IFERROR(__xludf.DUMMYFUNCTION("""COMPUTED_VALUE"""),-4.0)</f>
        <v>-4</v>
      </c>
      <c r="GA489" s="16"/>
      <c r="GB489" s="16"/>
      <c r="GC489" s="16"/>
      <c r="GD489" s="16" t="s">
        <v>176</v>
      </c>
    </row>
    <row r="490">
      <c r="A490" s="16">
        <f>IFERROR(__xludf.DUMMYFUNCTION("""COMPUTED_VALUE"""),12898.0)</f>
        <v>12898</v>
      </c>
      <c r="B490" s="16" t="str">
        <f>IFERROR(__xludf.DUMMYFUNCTION("""COMPUTED_VALUE"""),"Jacob Amaya")</f>
        <v>Jacob Amaya</v>
      </c>
      <c r="C490" s="16">
        <f>IFERROR(__xludf.DUMMYFUNCTION("""COMPUTED_VALUE"""),0.0)</f>
        <v>0</v>
      </c>
      <c r="D490" s="16" t="str">
        <f>IFERROR(__xludf.DUMMYFUNCTION("""COMPUTED_VALUE"""),"R")</f>
        <v>R</v>
      </c>
      <c r="E490" s="16"/>
      <c r="F490" s="16"/>
      <c r="G490" s="16">
        <f>IFERROR(__xludf.DUMMYFUNCTION("""COMPUTED_VALUE"""),68.0)</f>
        <v>68</v>
      </c>
      <c r="H490" s="16">
        <f>IFERROR(__xludf.DUMMYFUNCTION("""COMPUTED_VALUE"""),4.0)</f>
        <v>4</v>
      </c>
      <c r="I490" s="16" t="str">
        <f>IFERROR(__xludf.DUMMYFUNCTION("""COMPUTED_VALUE"""),"1p20")</f>
        <v>1p20</v>
      </c>
      <c r="J490" s="16">
        <f>IFERROR(__xludf.DUMMYFUNCTION("""COMPUTED_VALUE"""),60.0)</f>
        <v>60</v>
      </c>
      <c r="K490" s="16">
        <f>IFERROR(__xludf.DUMMYFUNCTION("""COMPUTED_VALUE"""),58.0)</f>
        <v>58</v>
      </c>
      <c r="L490" s="16">
        <f>IFERROR(__xludf.DUMMYFUNCTION("""COMPUTED_VALUE"""),-2.0)</f>
        <v>-2</v>
      </c>
      <c r="M490" s="16">
        <f>IFERROR(__xludf.DUMMYFUNCTION("""COMPUTED_VALUE"""),-3.0)</f>
        <v>-3</v>
      </c>
      <c r="N490" s="16">
        <f>IFERROR(__xludf.DUMMYFUNCTION("""COMPUTED_VALUE"""),-2.0)</f>
        <v>-2</v>
      </c>
      <c r="O490" s="16">
        <f>IFERROR(__xludf.DUMMYFUNCTION("""COMPUTED_VALUE"""),-3.0)</f>
        <v>-3</v>
      </c>
      <c r="P490" s="16">
        <f>IFERROR(__xludf.DUMMYFUNCTION("""COMPUTED_VALUE"""),6.0)</f>
        <v>6</v>
      </c>
      <c r="Q490" s="16">
        <f>IFERROR(__xludf.DUMMYFUNCTION("""COMPUTED_VALUE"""),2.0)</f>
        <v>2</v>
      </c>
      <c r="R490" s="16">
        <f>IFERROR(__xludf.DUMMYFUNCTION("""COMPUTED_VALUE"""),-1.0)</f>
        <v>-1</v>
      </c>
      <c r="S490" s="16">
        <f>IFERROR(__xludf.DUMMYFUNCTION("""COMPUTED_VALUE"""),-2.0)</f>
        <v>-2</v>
      </c>
      <c r="T490" s="16">
        <f>IFERROR(__xludf.DUMMYFUNCTION("""COMPUTED_VALUE"""),-1.0)</f>
        <v>-1</v>
      </c>
      <c r="U490" s="16">
        <f>IFERROR(__xludf.DUMMYFUNCTION("""COMPUTED_VALUE"""),-2.0)</f>
        <v>-2</v>
      </c>
      <c r="V490" s="16">
        <f>IFERROR(__xludf.DUMMYFUNCTION("""COMPUTED_VALUE"""),10.6)</f>
        <v>10.6</v>
      </c>
      <c r="W490" s="16">
        <f>IFERROR(__xludf.DUMMYFUNCTION("""COMPUTED_VALUE"""),6.7)</f>
        <v>6.7</v>
      </c>
      <c r="X490" s="16">
        <f>IFERROR(__xludf.DUMMYFUNCTION("""COMPUTED_VALUE"""),-1.0)</f>
        <v>-1</v>
      </c>
      <c r="Y490" s="16">
        <f>IFERROR(__xludf.DUMMYFUNCTION("""COMPUTED_VALUE"""),-2.0)</f>
        <v>-2</v>
      </c>
      <c r="Z490" s="16">
        <f>IFERROR(__xludf.DUMMYFUNCTION("""COMPUTED_VALUE"""),-2.0)</f>
        <v>-2</v>
      </c>
      <c r="AA490" s="16">
        <f>IFERROR(__xludf.DUMMYFUNCTION("""COMPUTED_VALUE"""),-4.0)</f>
        <v>-4</v>
      </c>
      <c r="AB490" s="16">
        <f>IFERROR(__xludf.DUMMYFUNCTION("""COMPUTED_VALUE"""),16.6)</f>
        <v>16.6</v>
      </c>
      <c r="AC490" s="16">
        <f>IFERROR(__xludf.DUMMYFUNCTION("""COMPUTED_VALUE"""),8.7)</f>
        <v>8.7</v>
      </c>
      <c r="AD490" s="16">
        <f>IFERROR(__xludf.DUMMYFUNCTION("""COMPUTED_VALUE"""),-2.0)</f>
        <v>-2</v>
      </c>
      <c r="AE490" s="16">
        <f>IFERROR(__xludf.DUMMYFUNCTION("""COMPUTED_VALUE"""),-3.0)</f>
        <v>-3</v>
      </c>
      <c r="AF490" s="16">
        <f>IFERROR(__xludf.DUMMYFUNCTION("""COMPUTED_VALUE"""),-10.0)</f>
        <v>-10</v>
      </c>
      <c r="AG490" s="16">
        <f>IFERROR(__xludf.DUMMYFUNCTION("""COMPUTED_VALUE"""),-15.0)</f>
        <v>-15</v>
      </c>
      <c r="AH490" s="16">
        <f>IFERROR(__xludf.DUMMYFUNCTION("""COMPUTED_VALUE"""),10.6)</f>
        <v>10.6</v>
      </c>
      <c r="AI490" s="16">
        <f>IFERROR(__xludf.DUMMYFUNCTION("""COMPUTED_VALUE"""),6.7)</f>
        <v>6.7</v>
      </c>
      <c r="AJ490" s="16">
        <f>IFERROR(__xludf.DUMMYFUNCTION("""COMPUTED_VALUE"""),-2.0)</f>
        <v>-2</v>
      </c>
      <c r="AK490" s="16">
        <f>IFERROR(__xludf.DUMMYFUNCTION("""COMPUTED_VALUE"""),-3.0)</f>
        <v>-3</v>
      </c>
      <c r="AL490" s="16">
        <f>IFERROR(__xludf.DUMMYFUNCTION("""COMPUTED_VALUE"""),-10.0)</f>
        <v>-10</v>
      </c>
      <c r="AM490" s="16">
        <f>IFERROR(__xludf.DUMMYFUNCTION("""COMPUTED_VALUE"""),-15.0)</f>
        <v>-15</v>
      </c>
      <c r="AN490" s="16">
        <f>IFERROR(__xludf.DUMMYFUNCTION("""COMPUTED_VALUE"""),0.0)</f>
        <v>0</v>
      </c>
      <c r="AO490" s="16">
        <f>IFERROR(__xludf.DUMMYFUNCTION("""COMPUTED_VALUE"""),0.0)</f>
        <v>0</v>
      </c>
      <c r="AP490" s="16">
        <f>IFERROR(__xludf.DUMMYFUNCTION("""COMPUTED_VALUE"""),-2.0)</f>
        <v>-2</v>
      </c>
      <c r="AQ490" s="16">
        <f>IFERROR(__xludf.DUMMYFUNCTION("""COMPUTED_VALUE"""),-3.0)</f>
        <v>-3</v>
      </c>
      <c r="AR490" s="16">
        <f>IFERROR(__xludf.DUMMYFUNCTION("""COMPUTED_VALUE"""),-4.0)</f>
        <v>-4</v>
      </c>
      <c r="AS490" s="16">
        <f>IFERROR(__xludf.DUMMYFUNCTION("""COMPUTED_VALUE"""),-6.0)</f>
        <v>-6</v>
      </c>
      <c r="AT490" s="16"/>
      <c r="AU490" s="16"/>
      <c r="AV490" s="16">
        <f>IFERROR(__xludf.DUMMYFUNCTION("""COMPUTED_VALUE"""),-3.0)</f>
        <v>-3</v>
      </c>
      <c r="AW490" s="16">
        <f>IFERROR(__xludf.DUMMYFUNCTION("""COMPUTED_VALUE"""),-3.0)</f>
        <v>-3</v>
      </c>
      <c r="AX490" s="16">
        <f>IFERROR(__xludf.DUMMYFUNCTION("""COMPUTED_VALUE"""),-3.0)</f>
        <v>-3</v>
      </c>
      <c r="AY490" s="16">
        <f>IFERROR(__xludf.DUMMYFUNCTION("""COMPUTED_VALUE"""),-3.0)</f>
        <v>-3</v>
      </c>
      <c r="AZ490" s="16">
        <f>IFERROR(__xludf.DUMMYFUNCTION("""COMPUTED_VALUE"""),-9.0)</f>
        <v>-9</v>
      </c>
      <c r="BA490" s="16">
        <f>IFERROR(__xludf.DUMMYFUNCTION("""COMPUTED_VALUE"""),-9.0)</f>
        <v>-9</v>
      </c>
      <c r="BB490" s="16">
        <f>IFERROR(__xludf.DUMMYFUNCTION("""COMPUTED_VALUE"""),5.0)</f>
        <v>5</v>
      </c>
      <c r="BC490" s="16">
        <f>IFERROR(__xludf.DUMMYFUNCTION("""COMPUTED_VALUE"""),5.0)</f>
        <v>5</v>
      </c>
      <c r="BD490" s="16">
        <f>IFERROR(__xludf.DUMMYFUNCTION("""COMPUTED_VALUE"""),1.0)</f>
        <v>1</v>
      </c>
      <c r="BE490" s="16">
        <f>IFERROR(__xludf.DUMMYFUNCTION("""COMPUTED_VALUE"""),1.0)</f>
        <v>1</v>
      </c>
      <c r="BF490" s="16">
        <f>IFERROR(__xludf.DUMMYFUNCTION("""COMPUTED_VALUE"""),1.0)</f>
        <v>1</v>
      </c>
      <c r="BG490" s="16">
        <f>IFERROR(__xludf.DUMMYFUNCTION("""COMPUTED_VALUE"""),1.0)</f>
        <v>1</v>
      </c>
      <c r="BH490" s="16">
        <f>IFERROR(__xludf.DUMMYFUNCTION("""COMPUTED_VALUE"""),4.0)</f>
        <v>4</v>
      </c>
      <c r="BI490" s="16">
        <f>IFERROR(__xludf.DUMMYFUNCTION("""COMPUTED_VALUE"""),4.0)</f>
        <v>4</v>
      </c>
      <c r="BJ490" s="16">
        <f>IFERROR(__xludf.DUMMYFUNCTION("""COMPUTED_VALUE"""),21.0)</f>
        <v>21</v>
      </c>
      <c r="BK490" s="16">
        <f>IFERROR(__xludf.DUMMYFUNCTION("""COMPUTED_VALUE"""),33.0)</f>
        <v>33</v>
      </c>
      <c r="BL490" s="16">
        <f>IFERROR(__xludf.DUMMYFUNCTION("""COMPUTED_VALUE"""),-2.0)</f>
        <v>-2</v>
      </c>
      <c r="BM490" s="16">
        <f>IFERROR(__xludf.DUMMYFUNCTION("""COMPUTED_VALUE"""),-3.0)</f>
        <v>-3</v>
      </c>
      <c r="BN490" s="16">
        <f>IFERROR(__xludf.DUMMYFUNCTION("""COMPUTED_VALUE"""),-4.0)</f>
        <v>-4</v>
      </c>
      <c r="BO490" s="16">
        <f>IFERROR(__xludf.DUMMYFUNCTION("""COMPUTED_VALUE"""),-6.0)</f>
        <v>-6</v>
      </c>
      <c r="BP490" s="16">
        <f>IFERROR(__xludf.DUMMYFUNCTION("""COMPUTED_VALUE"""),-14.0)</f>
        <v>-14</v>
      </c>
      <c r="BQ490" s="16">
        <f>IFERROR(__xludf.DUMMYFUNCTION("""COMPUTED_VALUE"""),-21.0)</f>
        <v>-21</v>
      </c>
      <c r="BR490" s="16">
        <f>IFERROR(__xludf.DUMMYFUNCTION("""COMPUTED_VALUE"""),-35.0)</f>
        <v>-35</v>
      </c>
      <c r="BS490" s="16" t="str">
        <f>IFERROR(__xludf.DUMMYFUNCTION("""COMPUTED_VALUE"""),"3/- (20-6)")</f>
        <v>3/- (20-6)</v>
      </c>
      <c r="BT490" s="16" t="str">
        <f>IFERROR(__xludf.DUMMYFUNCTION("""COMPUTED_VALUE"""),"D")</f>
        <v>D</v>
      </c>
      <c r="BU490" s="16">
        <f>IFERROR(__xludf.DUMMYFUNCTION("""COMPUTED_VALUE"""),12.0)</f>
        <v>12</v>
      </c>
      <c r="BV490" s="16">
        <f>IFERROR(__xludf.DUMMYFUNCTION("""COMPUTED_VALUE"""),0.0)</f>
        <v>0</v>
      </c>
      <c r="BW490" s="16">
        <f>IFERROR(__xludf.DUMMYFUNCTION("""COMPUTED_VALUE"""),0.0)</f>
        <v>0</v>
      </c>
      <c r="BX490" s="16">
        <f>IFERROR(__xludf.DUMMYFUNCTION("""COMPUTED_VALUE"""),0.0)</f>
        <v>0</v>
      </c>
      <c r="BY490" s="16">
        <f>IFERROR(__xludf.DUMMYFUNCTION("""COMPUTED_VALUE"""),0.0)</f>
        <v>0</v>
      </c>
      <c r="BZ490" s="16" t="str">
        <f>IFERROR(__xludf.DUMMYFUNCTION("""COMPUTED_VALUE"""),"D")</f>
        <v>D</v>
      </c>
      <c r="CA490" s="16" t="str">
        <f>IFERROR(__xludf.DUMMYFUNCTION("""COMPUTED_VALUE"""),"D")</f>
        <v>D</v>
      </c>
      <c r="CB490" s="16">
        <f>IFERROR(__xludf.DUMMYFUNCTION("""COMPUTED_VALUE"""),0.0)</f>
        <v>0</v>
      </c>
      <c r="CC490" s="16">
        <f>IFERROR(__xludf.DUMMYFUNCTION("""COMPUTED_VALUE"""),0.0)</f>
        <v>0</v>
      </c>
      <c r="CD490" s="16">
        <f>IFERROR(__xludf.DUMMYFUNCTION("""COMPUTED_VALUE"""),0.0)</f>
        <v>0</v>
      </c>
      <c r="CE490" s="16">
        <f>IFERROR(__xludf.DUMMYFUNCTION("""COMPUTED_VALUE"""),0.0)</f>
        <v>0</v>
      </c>
      <c r="CF490" s="16">
        <f>IFERROR(__xludf.DUMMYFUNCTION("""COMPUTED_VALUE"""),1.0)</f>
        <v>1</v>
      </c>
      <c r="CG490" s="16">
        <f>IFERROR(__xludf.DUMMYFUNCTION("""COMPUTED_VALUE"""),-41.0)</f>
        <v>-41</v>
      </c>
      <c r="CH490" s="16">
        <f>IFERROR(__xludf.DUMMYFUNCTION("""COMPUTED_VALUE"""),-59.0)</f>
        <v>-59</v>
      </c>
      <c r="CI490" s="179">
        <f>IFERROR(__xludf.DUMMYFUNCTION("""COMPUTED_VALUE"""),-55.0)</f>
        <v>-55</v>
      </c>
      <c r="CJ490" s="16"/>
      <c r="CK490" s="16"/>
      <c r="CL490" s="16">
        <f>IFERROR(__xludf.DUMMYFUNCTION("""COMPUTED_VALUE"""),410.0)</f>
        <v>410</v>
      </c>
      <c r="CM490" s="16"/>
      <c r="CN490" s="16">
        <f>IFERROR(__xludf.DUMMYFUNCTION("""COMPUTED_VALUE"""),308.0)</f>
        <v>308</v>
      </c>
      <c r="CO490" s="16"/>
      <c r="CP490" s="16"/>
      <c r="CQ490" s="16"/>
      <c r="CR490" s="16" t="str">
        <f>IFERROR(__xludf.DUMMYFUNCTION("""COMPUTED_VALUE"""),"ss-3e8 2b-4e10")</f>
        <v>ss-3e8 2b-4e10</v>
      </c>
      <c r="CS490" s="16"/>
      <c r="CT490" s="16"/>
      <c r="CU490" s="16">
        <f>IFERROR(__xludf.DUMMYFUNCTION("""COMPUTED_VALUE"""),4.0)</f>
        <v>4</v>
      </c>
      <c r="CV490" s="16"/>
      <c r="CW490" s="16">
        <f>IFERROR(__xludf.DUMMYFUNCTION("""COMPUTED_VALUE"""),3.0)</f>
        <v>3</v>
      </c>
      <c r="CX490" s="16"/>
      <c r="CY490" s="16"/>
      <c r="CZ490" s="16"/>
      <c r="DA490" s="16"/>
      <c r="DB490" s="16"/>
      <c r="DC490" s="16">
        <f>IFERROR(__xludf.DUMMYFUNCTION("""COMPUTED_VALUE"""),10.0)</f>
        <v>10</v>
      </c>
      <c r="DD490" s="16"/>
      <c r="DE490" s="16">
        <f>IFERROR(__xludf.DUMMYFUNCTION("""COMPUTED_VALUE"""),8.0)</f>
        <v>8</v>
      </c>
      <c r="DF490" s="16"/>
      <c r="DG490" s="16"/>
      <c r="DH490" s="16"/>
      <c r="DI490" s="16"/>
      <c r="DJ490" s="16"/>
      <c r="DK490" s="16">
        <f>IFERROR(__xludf.DUMMYFUNCTION("""COMPUTED_VALUE"""),-2.0)</f>
        <v>-2</v>
      </c>
      <c r="DL490" s="16"/>
      <c r="DM490" s="16">
        <f>IFERROR(__xludf.DUMMYFUNCTION("""COMPUTED_VALUE"""),0.0)</f>
        <v>0</v>
      </c>
      <c r="DN490" s="16"/>
      <c r="DO490" s="16"/>
      <c r="DP490" s="16"/>
      <c r="DQ490" s="16"/>
      <c r="DR490" s="16"/>
      <c r="DS490" s="16">
        <f>IFERROR(__xludf.DUMMYFUNCTION("""COMPUTED_VALUE"""),3.0)</f>
        <v>3</v>
      </c>
      <c r="DT490" s="16"/>
      <c r="DU490" s="16">
        <f>IFERROR(__xludf.DUMMYFUNCTION("""COMPUTED_VALUE"""),3.0)</f>
        <v>3</v>
      </c>
      <c r="DV490" s="16"/>
      <c r="DW490" s="16"/>
      <c r="DX490" s="16"/>
      <c r="DY490" s="16"/>
      <c r="DZ490" s="16"/>
      <c r="EA490" s="16">
        <f>IFERROR(__xludf.DUMMYFUNCTION("""COMPUTED_VALUE"""),1.0)</f>
        <v>1</v>
      </c>
      <c r="EB490" s="16"/>
      <c r="EC490" s="16">
        <f>IFERROR(__xludf.DUMMYFUNCTION("""COMPUTED_VALUE"""),3.0)</f>
        <v>3</v>
      </c>
      <c r="ED490" s="16"/>
      <c r="EE490" s="16"/>
      <c r="EF490" s="16"/>
      <c r="EG490" s="179"/>
      <c r="EH490" s="179"/>
      <c r="EI490" s="179">
        <f>IFERROR(__xludf.DUMMYFUNCTION("""COMPUTED_VALUE"""),-54.0)</f>
        <v>-54</v>
      </c>
      <c r="EJ490" s="179"/>
      <c r="EK490" s="179">
        <f>IFERROR(__xludf.DUMMYFUNCTION("""COMPUTED_VALUE"""),-52.0)</f>
        <v>-52</v>
      </c>
      <c r="EL490" s="179"/>
      <c r="EM490" s="179"/>
      <c r="EN490" s="179"/>
      <c r="EO490" s="16"/>
      <c r="EP490" s="16">
        <f>IFERROR(__xludf.DUMMYFUNCTION("""COMPUTED_VALUE"""),0.0)</f>
        <v>0</v>
      </c>
      <c r="EQ490" s="16">
        <f>IFERROR(__xludf.DUMMYFUNCTION("""COMPUTED_VALUE"""),4.0)</f>
        <v>4</v>
      </c>
      <c r="ER490" s="16">
        <f>IFERROR(__xludf.DUMMYFUNCTION("""COMPUTED_VALUE"""),-4.0)</f>
        <v>-4</v>
      </c>
      <c r="ES490" s="16"/>
      <c r="ET490" s="16"/>
      <c r="EU490" s="16"/>
      <c r="EV490" s="16"/>
      <c r="EW490" s="16"/>
      <c r="EX490" s="180"/>
      <c r="EY490" s="180"/>
      <c r="EZ490" s="180">
        <f>IFERROR(__xludf.DUMMYFUNCTION("""COMPUTED_VALUE"""),0.3)</f>
        <v>0.3</v>
      </c>
      <c r="FA490" s="180"/>
      <c r="FB490" s="180">
        <f>IFERROR(__xludf.DUMMYFUNCTION("""COMPUTED_VALUE"""),0.2)</f>
        <v>0.2</v>
      </c>
      <c r="FC490" s="180"/>
      <c r="FD490" s="180"/>
      <c r="FE490" s="180"/>
      <c r="FF490" s="180"/>
      <c r="FG490" s="180"/>
      <c r="FH490" s="180">
        <f>IFERROR(__xludf.DUMMYFUNCTION("""COMPUTED_VALUE"""),0.06018518518518518)</f>
        <v>0.06018518519</v>
      </c>
      <c r="FI490" s="180"/>
      <c r="FJ490" s="180">
        <f>IFERROR(__xludf.DUMMYFUNCTION("""COMPUTED_VALUE"""),0.046296296296296294)</f>
        <v>0.0462962963</v>
      </c>
      <c r="FK490" s="180"/>
      <c r="FL490" s="180"/>
      <c r="FM490" s="180"/>
      <c r="FN490" s="16"/>
      <c r="FO490" s="16"/>
      <c r="FP490" s="16">
        <f>IFERROR(__xludf.DUMMYFUNCTION("""COMPUTED_VALUE"""),0.6578703703703703)</f>
        <v>0.6578703704</v>
      </c>
      <c r="FQ490" s="16"/>
      <c r="FR490" s="16">
        <f>IFERROR(__xludf.DUMMYFUNCTION("""COMPUTED_VALUE"""),0.7629629629629631)</f>
        <v>0.762962963</v>
      </c>
      <c r="FS490" s="16"/>
      <c r="FT490" s="16"/>
      <c r="FU490" s="16"/>
      <c r="FV490" s="16"/>
      <c r="FW490" s="16"/>
      <c r="FX490" s="16">
        <f>IFERROR(__xludf.DUMMYFUNCTION("""COMPUTED_VALUE"""),-4.0)</f>
        <v>-4</v>
      </c>
      <c r="FY490" s="16"/>
      <c r="FZ490" s="16">
        <f>IFERROR(__xludf.DUMMYFUNCTION("""COMPUTED_VALUE"""),-1.0)</f>
        <v>-1</v>
      </c>
      <c r="GA490" s="16"/>
      <c r="GB490" s="16"/>
      <c r="GC490" s="16"/>
      <c r="GD490" s="16" t="s">
        <v>176</v>
      </c>
    </row>
    <row r="491">
      <c r="A491" s="16">
        <f>IFERROR(__xludf.DUMMYFUNCTION("""COMPUTED_VALUE"""),13261.0)</f>
        <v>13261</v>
      </c>
      <c r="B491" s="16" t="str">
        <f>IFERROR(__xludf.DUMMYFUNCTION("""COMPUTED_VALUE"""),"Omar Narvaez")</f>
        <v>Omar Narvaez</v>
      </c>
      <c r="C491" s="16">
        <f>IFERROR(__xludf.DUMMYFUNCTION("""COMPUTED_VALUE"""),0.0)</f>
        <v>0</v>
      </c>
      <c r="D491" s="16" t="str">
        <f>IFERROR(__xludf.DUMMYFUNCTION("""COMPUTED_VALUE"""),"L")</f>
        <v>L</v>
      </c>
      <c r="E491" s="16"/>
      <c r="F491" s="16"/>
      <c r="G491" s="16">
        <f>IFERROR(__xludf.DUMMYFUNCTION("""COMPUTED_VALUE"""),65.0)</f>
        <v>65</v>
      </c>
      <c r="H491" s="16">
        <f>IFERROR(__xludf.DUMMYFUNCTION("""COMPUTED_VALUE"""),3.0)</f>
        <v>3</v>
      </c>
      <c r="I491" s="16" t="str">
        <f>IFERROR(__xludf.DUMMYFUNCTION("""COMPUTED_VALUE"""),"2p20")</f>
        <v>2p20</v>
      </c>
      <c r="J491" s="16">
        <f>IFERROR(__xludf.DUMMYFUNCTION("""COMPUTED_VALUE"""),56.0)</f>
        <v>56</v>
      </c>
      <c r="K491" s="16">
        <f>IFERROR(__xludf.DUMMYFUNCTION("""COMPUTED_VALUE"""),10.0)</f>
        <v>10</v>
      </c>
      <c r="L491" s="16">
        <f>IFERROR(__xludf.DUMMYFUNCTION("""COMPUTED_VALUE"""),-2.0)</f>
        <v>-2</v>
      </c>
      <c r="M491" s="16">
        <f>IFERROR(__xludf.DUMMYFUNCTION("""COMPUTED_VALUE"""),2.0)</f>
        <v>2</v>
      </c>
      <c r="N491" s="16">
        <f>IFERROR(__xludf.DUMMYFUNCTION("""COMPUTED_VALUE"""),-2.0)</f>
        <v>-2</v>
      </c>
      <c r="O491" s="16">
        <f>IFERROR(__xludf.DUMMYFUNCTION("""COMPUTED_VALUE"""),2.0)</f>
        <v>2</v>
      </c>
      <c r="P491" s="16">
        <f>IFERROR(__xludf.DUMMYFUNCTION("""COMPUTED_VALUE"""),0.0)</f>
        <v>0</v>
      </c>
      <c r="Q491" s="16">
        <f>IFERROR(__xludf.DUMMYFUNCTION("""COMPUTED_VALUE"""),0.0)</f>
        <v>0</v>
      </c>
      <c r="R491" s="16">
        <f>IFERROR(__xludf.DUMMYFUNCTION("""COMPUTED_VALUE"""),-3.0)</f>
        <v>-3</v>
      </c>
      <c r="S491" s="16">
        <f>IFERROR(__xludf.DUMMYFUNCTION("""COMPUTED_VALUE"""),-2.0)</f>
        <v>-2</v>
      </c>
      <c r="T491" s="16">
        <f>IFERROR(__xludf.DUMMYFUNCTION("""COMPUTED_VALUE"""),-3.0)</f>
        <v>-3</v>
      </c>
      <c r="U491" s="16">
        <f>IFERROR(__xludf.DUMMYFUNCTION("""COMPUTED_VALUE"""),-2.0)</f>
        <v>-2</v>
      </c>
      <c r="V491" s="16">
        <f>IFERROR(__xludf.DUMMYFUNCTION("""COMPUTED_VALUE"""),2.2)</f>
        <v>2.2</v>
      </c>
      <c r="W491" s="16">
        <f>IFERROR(__xludf.DUMMYFUNCTION("""COMPUTED_VALUE"""),4.7)</f>
        <v>4.7</v>
      </c>
      <c r="X491" s="16">
        <f>IFERROR(__xludf.DUMMYFUNCTION("""COMPUTED_VALUE"""),-2.0)</f>
        <v>-2</v>
      </c>
      <c r="Y491" s="16">
        <f>IFERROR(__xludf.DUMMYFUNCTION("""COMPUTED_VALUE"""),-3.0)</f>
        <v>-3</v>
      </c>
      <c r="Z491" s="16">
        <f>IFERROR(__xludf.DUMMYFUNCTION("""COMPUTED_VALUE"""),-4.0)</f>
        <v>-4</v>
      </c>
      <c r="AA491" s="16">
        <f>IFERROR(__xludf.DUMMYFUNCTION("""COMPUTED_VALUE"""),-6.0)</f>
        <v>-6</v>
      </c>
      <c r="AB491" s="16">
        <f>IFERROR(__xludf.DUMMYFUNCTION("""COMPUTED_VALUE"""),2.2)</f>
        <v>2.2</v>
      </c>
      <c r="AC491" s="16">
        <f>IFERROR(__xludf.DUMMYFUNCTION("""COMPUTED_VALUE"""),4.7)</f>
        <v>4.7</v>
      </c>
      <c r="AD491" s="16">
        <f>IFERROR(__xludf.DUMMYFUNCTION("""COMPUTED_VALUE"""),-3.0)</f>
        <v>-3</v>
      </c>
      <c r="AE491" s="16">
        <f>IFERROR(__xludf.DUMMYFUNCTION("""COMPUTED_VALUE"""),-3.0)</f>
        <v>-3</v>
      </c>
      <c r="AF491" s="16">
        <f>IFERROR(__xludf.DUMMYFUNCTION("""COMPUTED_VALUE"""),-15.0)</f>
        <v>-15</v>
      </c>
      <c r="AG491" s="16">
        <f>IFERROR(__xludf.DUMMYFUNCTION("""COMPUTED_VALUE"""),-15.0)</f>
        <v>-15</v>
      </c>
      <c r="AH491" s="16">
        <f>IFERROR(__xludf.DUMMYFUNCTION("""COMPUTED_VALUE"""),2.2)</f>
        <v>2.2</v>
      </c>
      <c r="AI491" s="16">
        <f>IFERROR(__xludf.DUMMYFUNCTION("""COMPUTED_VALUE"""),6.1)</f>
        <v>6.1</v>
      </c>
      <c r="AJ491" s="16">
        <f>IFERROR(__xludf.DUMMYFUNCTION("""COMPUTED_VALUE"""),-2.0)</f>
        <v>-2</v>
      </c>
      <c r="AK491" s="16">
        <f>IFERROR(__xludf.DUMMYFUNCTION("""COMPUTED_VALUE"""),-3.0)</f>
        <v>-3</v>
      </c>
      <c r="AL491" s="16">
        <f>IFERROR(__xludf.DUMMYFUNCTION("""COMPUTED_VALUE"""),-10.0)</f>
        <v>-10</v>
      </c>
      <c r="AM491" s="16">
        <f>IFERROR(__xludf.DUMMYFUNCTION("""COMPUTED_VALUE"""),-15.0)</f>
        <v>-15</v>
      </c>
      <c r="AN491" s="16">
        <f>IFERROR(__xludf.DUMMYFUNCTION("""COMPUTED_VALUE"""),0.0)</f>
        <v>0</v>
      </c>
      <c r="AO491" s="16">
        <f>IFERROR(__xludf.DUMMYFUNCTION("""COMPUTED_VALUE"""),0.0)</f>
        <v>0</v>
      </c>
      <c r="AP491" s="16">
        <f>IFERROR(__xludf.DUMMYFUNCTION("""COMPUTED_VALUE"""),-2.0)</f>
        <v>-2</v>
      </c>
      <c r="AQ491" s="16">
        <f>IFERROR(__xludf.DUMMYFUNCTION("""COMPUTED_VALUE"""),-3.0)</f>
        <v>-3</v>
      </c>
      <c r="AR491" s="16">
        <f>IFERROR(__xludf.DUMMYFUNCTION("""COMPUTED_VALUE"""),-4.0)</f>
        <v>-4</v>
      </c>
      <c r="AS491" s="16">
        <f>IFERROR(__xludf.DUMMYFUNCTION("""COMPUTED_VALUE"""),-6.0)</f>
        <v>-6</v>
      </c>
      <c r="AT491" s="16"/>
      <c r="AU491" s="16"/>
      <c r="AV491" s="16">
        <f>IFERROR(__xludf.DUMMYFUNCTION("""COMPUTED_VALUE"""),-3.0)</f>
        <v>-3</v>
      </c>
      <c r="AW491" s="16">
        <f>IFERROR(__xludf.DUMMYFUNCTION("""COMPUTED_VALUE"""),-3.0)</f>
        <v>-3</v>
      </c>
      <c r="AX491" s="16">
        <f>IFERROR(__xludf.DUMMYFUNCTION("""COMPUTED_VALUE"""),-3.0)</f>
        <v>-3</v>
      </c>
      <c r="AY491" s="16">
        <f>IFERROR(__xludf.DUMMYFUNCTION("""COMPUTED_VALUE"""),-3.0)</f>
        <v>-3</v>
      </c>
      <c r="AZ491" s="16">
        <f>IFERROR(__xludf.DUMMYFUNCTION("""COMPUTED_VALUE"""),-9.0)</f>
        <v>-9</v>
      </c>
      <c r="BA491" s="16">
        <f>IFERROR(__xludf.DUMMYFUNCTION("""COMPUTED_VALUE"""),-9.0)</f>
        <v>-9</v>
      </c>
      <c r="BB491" s="16">
        <f>IFERROR(__xludf.DUMMYFUNCTION("""COMPUTED_VALUE"""),5.0)</f>
        <v>5</v>
      </c>
      <c r="BC491" s="16">
        <f>IFERROR(__xludf.DUMMYFUNCTION("""COMPUTED_VALUE"""),5.0)</f>
        <v>5</v>
      </c>
      <c r="BD491" s="16">
        <f>IFERROR(__xludf.DUMMYFUNCTION("""COMPUTED_VALUE"""),1.0)</f>
        <v>1</v>
      </c>
      <c r="BE491" s="16">
        <f>IFERROR(__xludf.DUMMYFUNCTION("""COMPUTED_VALUE"""),1.0)</f>
        <v>1</v>
      </c>
      <c r="BF491" s="16">
        <f>IFERROR(__xludf.DUMMYFUNCTION("""COMPUTED_VALUE"""),1.0)</f>
        <v>1</v>
      </c>
      <c r="BG491" s="16">
        <f>IFERROR(__xludf.DUMMYFUNCTION("""COMPUTED_VALUE"""),1.0)</f>
        <v>1</v>
      </c>
      <c r="BH491" s="16">
        <f>IFERROR(__xludf.DUMMYFUNCTION("""COMPUTED_VALUE"""),4.0)</f>
        <v>4</v>
      </c>
      <c r="BI491" s="16">
        <f>IFERROR(__xludf.DUMMYFUNCTION("""COMPUTED_VALUE"""),4.0)</f>
        <v>4</v>
      </c>
      <c r="BJ491" s="16">
        <f>IFERROR(__xludf.DUMMYFUNCTION("""COMPUTED_VALUE"""),24.0)</f>
        <v>24</v>
      </c>
      <c r="BK491" s="16">
        <f>IFERROR(__xludf.DUMMYFUNCTION("""COMPUTED_VALUE"""),24.0)</f>
        <v>24</v>
      </c>
      <c r="BL491" s="16">
        <f>IFERROR(__xludf.DUMMYFUNCTION("""COMPUTED_VALUE"""),-2.0)</f>
        <v>-2</v>
      </c>
      <c r="BM491" s="16">
        <f>IFERROR(__xludf.DUMMYFUNCTION("""COMPUTED_VALUE"""),-2.0)</f>
        <v>-2</v>
      </c>
      <c r="BN491" s="16">
        <f>IFERROR(__xludf.DUMMYFUNCTION("""COMPUTED_VALUE"""),-4.0)</f>
        <v>-4</v>
      </c>
      <c r="BO491" s="16">
        <f>IFERROR(__xludf.DUMMYFUNCTION("""COMPUTED_VALUE"""),-4.0)</f>
        <v>-4</v>
      </c>
      <c r="BP491" s="16">
        <f>IFERROR(__xludf.DUMMYFUNCTION("""COMPUTED_VALUE"""),-18.0)</f>
        <v>-18</v>
      </c>
      <c r="BQ491" s="16">
        <f>IFERROR(__xludf.DUMMYFUNCTION("""COMPUTED_VALUE"""),-16.0)</f>
        <v>-16</v>
      </c>
      <c r="BR491" s="16">
        <f>IFERROR(__xludf.DUMMYFUNCTION("""COMPUTED_VALUE"""),-34.0)</f>
        <v>-34</v>
      </c>
      <c r="BS491" s="16" t="str">
        <f>IFERROR(__xludf.DUMMYFUNCTION("""COMPUTED_VALUE"""),"-/- (---)")</f>
        <v>-/- (---)</v>
      </c>
      <c r="BT491" s="16" t="str">
        <f>IFERROR(__xludf.DUMMYFUNCTION("""COMPUTED_VALUE"""),"E")</f>
        <v>E</v>
      </c>
      <c r="BU491" s="16">
        <f>IFERROR(__xludf.DUMMYFUNCTION("""COMPUTED_VALUE"""),9.0)</f>
        <v>9</v>
      </c>
      <c r="BV491" s="16">
        <f>IFERROR(__xludf.DUMMYFUNCTION("""COMPUTED_VALUE"""),0.0)</f>
        <v>0</v>
      </c>
      <c r="BW491" s="16">
        <f>IFERROR(__xludf.DUMMYFUNCTION("""COMPUTED_VALUE"""),-1.0)</f>
        <v>-1</v>
      </c>
      <c r="BX491" s="16">
        <f>IFERROR(__xludf.DUMMYFUNCTION("""COMPUTED_VALUE"""),0.0)</f>
        <v>0</v>
      </c>
      <c r="BY491" s="16">
        <f>IFERROR(__xludf.DUMMYFUNCTION("""COMPUTED_VALUE"""),-3.0)</f>
        <v>-3</v>
      </c>
      <c r="BZ491" s="16" t="str">
        <f>IFERROR(__xludf.DUMMYFUNCTION("""COMPUTED_VALUE"""),"D")</f>
        <v>D</v>
      </c>
      <c r="CA491" s="16" t="str">
        <f>IFERROR(__xludf.DUMMYFUNCTION("""COMPUTED_VALUE"""),"C")</f>
        <v>C</v>
      </c>
      <c r="CB491" s="16">
        <f>IFERROR(__xludf.DUMMYFUNCTION("""COMPUTED_VALUE"""),0.0)</f>
        <v>0</v>
      </c>
      <c r="CC491" s="16">
        <f>IFERROR(__xludf.DUMMYFUNCTION("""COMPUTED_VALUE"""),0.0)</f>
        <v>0</v>
      </c>
      <c r="CD491" s="16">
        <f>IFERROR(__xludf.DUMMYFUNCTION("""COMPUTED_VALUE"""),0.0)</f>
        <v>0</v>
      </c>
      <c r="CE491" s="16">
        <f>IFERROR(__xludf.DUMMYFUNCTION("""COMPUTED_VALUE"""),0.0)</f>
        <v>0</v>
      </c>
      <c r="CF491" s="16">
        <f>IFERROR(__xludf.DUMMYFUNCTION("""COMPUTED_VALUE"""),2.0)</f>
        <v>2</v>
      </c>
      <c r="CG491" s="16">
        <f>IFERROR(__xludf.DUMMYFUNCTION("""COMPUTED_VALUE"""),-50.0)</f>
        <v>-50</v>
      </c>
      <c r="CH491" s="16">
        <f>IFERROR(__xludf.DUMMYFUNCTION("""COMPUTED_VALUE"""),-54.0)</f>
        <v>-54</v>
      </c>
      <c r="CI491" s="179">
        <f>IFERROR(__xludf.DUMMYFUNCTION("""COMPUTED_VALUE"""),-56.0)</f>
        <v>-56</v>
      </c>
      <c r="CJ491" s="16">
        <f>IFERROR(__xludf.DUMMYFUNCTION("""COMPUTED_VALUE"""),315.0)</f>
        <v>315</v>
      </c>
      <c r="CK491" s="16"/>
      <c r="CL491" s="16"/>
      <c r="CM491" s="16"/>
      <c r="CN491" s="16"/>
      <c r="CO491" s="16"/>
      <c r="CP491" s="16"/>
      <c r="CQ491" s="16"/>
      <c r="CR491" s="16" t="str">
        <f>IFERROR(__xludf.DUMMYFUNCTION("""COMPUTED_VALUE"""),"c-3(+3)e15,T-12(pb-0)")</f>
        <v>c-3(+3)e15,T-12(pb-0)</v>
      </c>
      <c r="CS491" s="16">
        <f>IFERROR(__xludf.DUMMYFUNCTION("""COMPUTED_VALUE"""),3.0)</f>
        <v>3</v>
      </c>
      <c r="CT491" s="16"/>
      <c r="CU491" s="16"/>
      <c r="CV491" s="16"/>
      <c r="CW491" s="16"/>
      <c r="CX491" s="16"/>
      <c r="CY491" s="16"/>
      <c r="CZ491" s="16"/>
      <c r="DA491" s="16">
        <f>IFERROR(__xludf.DUMMYFUNCTION("""COMPUTED_VALUE"""),15.0)</f>
        <v>15</v>
      </c>
      <c r="DB491" s="16"/>
      <c r="DC491" s="16"/>
      <c r="DD491" s="16"/>
      <c r="DE491" s="16"/>
      <c r="DF491" s="16"/>
      <c r="DG491" s="16"/>
      <c r="DH491" s="16"/>
      <c r="DI491" s="16">
        <f>IFERROR(__xludf.DUMMYFUNCTION("""COMPUTED_VALUE"""),0.0)</f>
        <v>0</v>
      </c>
      <c r="DJ491" s="16"/>
      <c r="DK491" s="16"/>
      <c r="DL491" s="16"/>
      <c r="DM491" s="16"/>
      <c r="DN491" s="16"/>
      <c r="DO491" s="16"/>
      <c r="DP491" s="16"/>
      <c r="DQ491" s="16">
        <f>IFERROR(__xludf.DUMMYFUNCTION("""COMPUTED_VALUE"""),-2.0)</f>
        <v>-2</v>
      </c>
      <c r="DR491" s="16"/>
      <c r="DS491" s="16"/>
      <c r="DT491" s="16"/>
      <c r="DU491" s="16"/>
      <c r="DV491" s="16"/>
      <c r="DW491" s="16"/>
      <c r="DX491" s="16"/>
      <c r="DY491" s="16">
        <f>IFERROR(__xludf.DUMMYFUNCTION("""COMPUTED_VALUE"""),-2.0)</f>
        <v>-2</v>
      </c>
      <c r="DZ491" s="16"/>
      <c r="EA491" s="16"/>
      <c r="EB491" s="16"/>
      <c r="EC491" s="16"/>
      <c r="ED491" s="16"/>
      <c r="EE491" s="16"/>
      <c r="EF491" s="16"/>
      <c r="EG491" s="179">
        <f>IFERROR(__xludf.DUMMYFUNCTION("""COMPUTED_VALUE"""),-55.0)</f>
        <v>-55</v>
      </c>
      <c r="EH491" s="179"/>
      <c r="EI491" s="179"/>
      <c r="EJ491" s="179"/>
      <c r="EK491" s="179"/>
      <c r="EL491" s="179"/>
      <c r="EM491" s="179"/>
      <c r="EN491" s="179"/>
      <c r="EO491" s="16">
        <f>IFERROR(__xludf.DUMMYFUNCTION("""COMPUTED_VALUE"""),3.0)</f>
        <v>3</v>
      </c>
      <c r="EP491" s="16"/>
      <c r="EQ491" s="16">
        <f>IFERROR(__xludf.DUMMYFUNCTION("""COMPUTED_VALUE"""),2.0)</f>
        <v>2</v>
      </c>
      <c r="ER491" s="16">
        <f>IFERROR(__xludf.DUMMYFUNCTION("""COMPUTED_VALUE"""),-4.0)</f>
        <v>-4</v>
      </c>
      <c r="ES491" s="16" t="str">
        <f>IFERROR(__xludf.DUMMYFUNCTION("""COMPUTED_VALUE"""),"c-3")</f>
        <v>c-3</v>
      </c>
      <c r="ET491" s="16" t="str">
        <f>IFERROR(__xludf.DUMMYFUNCTION("""COMPUTED_VALUE"""),"+3)e15,T-12")</f>
        <v>+3)e15,T-12</v>
      </c>
      <c r="EU491" s="16" t="str">
        <f>IFERROR(__xludf.DUMMYFUNCTION("""COMPUTED_VALUE"""),"pb-0)")</f>
        <v>pb-0)</v>
      </c>
      <c r="EV491" s="16"/>
      <c r="EW491" s="16">
        <f>IFERROR(__xludf.DUMMYFUNCTION("""COMPUTED_VALUE"""),3.0)</f>
        <v>3</v>
      </c>
      <c r="EX491" s="180">
        <f>IFERROR(__xludf.DUMMYFUNCTION("""COMPUTED_VALUE"""),0.2)</f>
        <v>0.2</v>
      </c>
      <c r="EY491" s="180"/>
      <c r="EZ491" s="180"/>
      <c r="FA491" s="180"/>
      <c r="FB491" s="180"/>
      <c r="FC491" s="180"/>
      <c r="FD491" s="180"/>
      <c r="FE491" s="180"/>
      <c r="FF491" s="180">
        <f>IFERROR(__xludf.DUMMYFUNCTION("""COMPUTED_VALUE"""),0.181)</f>
        <v>0.181</v>
      </c>
      <c r="FG491" s="180"/>
      <c r="FH491" s="180"/>
      <c r="FI491" s="180"/>
      <c r="FJ491" s="180"/>
      <c r="FK491" s="180"/>
      <c r="FL491" s="180"/>
      <c r="FM491" s="180"/>
      <c r="FN491" s="16">
        <f>IFERROR(__xludf.DUMMYFUNCTION("""COMPUTED_VALUE"""),0.6552)</f>
        <v>0.6552</v>
      </c>
      <c r="FO491" s="16"/>
      <c r="FP491" s="16"/>
      <c r="FQ491" s="16"/>
      <c r="FR491" s="16"/>
      <c r="FS491" s="16"/>
      <c r="FT491" s="16"/>
      <c r="FU491" s="16"/>
      <c r="FV491" s="16">
        <f>IFERROR(__xludf.DUMMYFUNCTION("""COMPUTED_VALUE"""),-7.0)</f>
        <v>-7</v>
      </c>
      <c r="FW491" s="16"/>
      <c r="FX491" s="16"/>
      <c r="FY491" s="16"/>
      <c r="FZ491" s="16"/>
      <c r="GA491" s="16"/>
      <c r="GB491" s="16"/>
      <c r="GC491" s="16"/>
      <c r="GD491" s="16" t="s">
        <v>176</v>
      </c>
    </row>
    <row r="492">
      <c r="GD492" s="16"/>
    </row>
    <row r="493">
      <c r="GD493" s="16"/>
    </row>
    <row r="494">
      <c r="GD494" s="16"/>
    </row>
    <row r="495">
      <c r="GD495" s="16"/>
    </row>
    <row r="496">
      <c r="GD496" s="16"/>
    </row>
    <row r="497">
      <c r="GD497" s="16"/>
    </row>
    <row r="498">
      <c r="GD498" s="16"/>
    </row>
    <row r="499">
      <c r="GD499" s="16"/>
    </row>
    <row r="500">
      <c r="GD500" s="16"/>
    </row>
    <row r="501">
      <c r="GD501" s="16"/>
    </row>
    <row r="502">
      <c r="GD502" s="16"/>
    </row>
    <row r="503">
      <c r="GD503" s="16"/>
    </row>
    <row r="504">
      <c r="GD504" s="16"/>
    </row>
    <row r="505">
      <c r="GD505" s="16"/>
    </row>
    <row r="506">
      <c r="GD506" s="16"/>
    </row>
    <row r="507">
      <c r="GD507" s="16"/>
    </row>
    <row r="508">
      <c r="GD508" s="16"/>
    </row>
    <row r="509">
      <c r="GD509" s="16"/>
    </row>
    <row r="510">
      <c r="GD510" s="16"/>
    </row>
    <row r="511">
      <c r="GD511" s="16"/>
    </row>
    <row r="512">
      <c r="GD512" s="16"/>
    </row>
    <row r="513">
      <c r="GD513" s="16"/>
    </row>
    <row r="514">
      <c r="GD514" s="16"/>
    </row>
    <row r="515">
      <c r="GD515" s="16"/>
    </row>
    <row r="516">
      <c r="GD516" s="16"/>
    </row>
    <row r="517">
      <c r="GD517" s="16"/>
    </row>
    <row r="518">
      <c r="GD518" s="16"/>
    </row>
    <row r="519">
      <c r="GD519" s="16"/>
    </row>
    <row r="520">
      <c r="GD520" s="16"/>
    </row>
    <row r="521">
      <c r="GD521" s="16"/>
    </row>
    <row r="522">
      <c r="GD522" s="16"/>
    </row>
    <row r="523">
      <c r="GD523" s="16"/>
    </row>
    <row r="524">
      <c r="GD524" s="16"/>
    </row>
    <row r="525">
      <c r="GD525" s="16"/>
    </row>
    <row r="526">
      <c r="GD526" s="16"/>
    </row>
    <row r="527">
      <c r="GD527" s="16"/>
    </row>
    <row r="528">
      <c r="GD528" s="16"/>
    </row>
    <row r="529">
      <c r="GD529" s="16"/>
    </row>
    <row r="530">
      <c r="GD530" s="16"/>
    </row>
    <row r="531">
      <c r="GD531" s="16"/>
    </row>
    <row r="532">
      <c r="GD532" s="16"/>
    </row>
    <row r="533">
      <c r="GD533" s="16"/>
    </row>
    <row r="534">
      <c r="GD534" s="16"/>
    </row>
    <row r="535">
      <c r="GD535" s="16"/>
    </row>
    <row r="536">
      <c r="GD536" s="16"/>
    </row>
    <row r="537">
      <c r="GD537" s="16"/>
    </row>
    <row r="538">
      <c r="GD538" s="16"/>
    </row>
    <row r="539">
      <c r="GD539" s="16"/>
    </row>
    <row r="540">
      <c r="GD540" s="16"/>
    </row>
    <row r="541">
      <c r="GD541" s="16"/>
    </row>
    <row r="542">
      <c r="GD542" s="16"/>
    </row>
    <row r="543">
      <c r="GD543" s="16"/>
    </row>
    <row r="544">
      <c r="GD544" s="16"/>
    </row>
    <row r="545">
      <c r="GD545" s="16"/>
    </row>
    <row r="546">
      <c r="GD546" s="16"/>
    </row>
    <row r="547">
      <c r="GD547" s="16"/>
    </row>
    <row r="548">
      <c r="GD548" s="16"/>
    </row>
    <row r="549">
      <c r="GD549" s="16"/>
    </row>
    <row r="550">
      <c r="GD550" s="16"/>
    </row>
    <row r="551">
      <c r="GD551" s="16"/>
    </row>
    <row r="552">
      <c r="GD552" s="16"/>
    </row>
    <row r="553">
      <c r="GD553" s="16"/>
    </row>
    <row r="554">
      <c r="GD554" s="16"/>
    </row>
    <row r="555">
      <c r="GD555" s="16"/>
    </row>
    <row r="556">
      <c r="GD556" s="16"/>
    </row>
    <row r="557">
      <c r="GD557" s="16"/>
    </row>
    <row r="558">
      <c r="GD558" s="16"/>
    </row>
    <row r="559">
      <c r="GD559" s="16"/>
    </row>
    <row r="560">
      <c r="GD560" s="16"/>
    </row>
    <row r="561">
      <c r="GD561" s="16"/>
    </row>
    <row r="562">
      <c r="GD562" s="16"/>
    </row>
    <row r="563">
      <c r="GD563" s="16"/>
    </row>
    <row r="564">
      <c r="GD564" s="16"/>
    </row>
    <row r="565">
      <c r="GD565" s="16"/>
    </row>
    <row r="566">
      <c r="GD566" s="16"/>
    </row>
    <row r="567">
      <c r="GD567" s="16"/>
    </row>
    <row r="568">
      <c r="GD568" s="16"/>
    </row>
    <row r="569">
      <c r="GD569" s="16"/>
    </row>
    <row r="570">
      <c r="GD570" s="16"/>
    </row>
    <row r="571">
      <c r="GD571" s="16"/>
    </row>
    <row r="572">
      <c r="GD572" s="16"/>
    </row>
    <row r="573">
      <c r="GD573" s="16"/>
    </row>
    <row r="574">
      <c r="GD574" s="16"/>
    </row>
    <row r="575">
      <c r="GD575" s="16"/>
    </row>
    <row r="576">
      <c r="GD576" s="16"/>
    </row>
    <row r="577">
      <c r="GD577" s="16"/>
    </row>
    <row r="578">
      <c r="GD578" s="16"/>
    </row>
    <row r="579">
      <c r="GD579" s="16"/>
    </row>
    <row r="580">
      <c r="GD580" s="16"/>
    </row>
    <row r="581">
      <c r="GD581" s="16"/>
    </row>
    <row r="582">
      <c r="GD582" s="16"/>
    </row>
    <row r="583">
      <c r="GD583" s="16"/>
    </row>
    <row r="584">
      <c r="GD584" s="16"/>
    </row>
    <row r="585">
      <c r="GD585" s="16"/>
    </row>
    <row r="586">
      <c r="GD586" s="16"/>
    </row>
    <row r="587">
      <c r="GD587" s="16"/>
    </row>
    <row r="588">
      <c r="GD588" s="16"/>
    </row>
    <row r="589">
      <c r="GD589" s="16"/>
    </row>
    <row r="590">
      <c r="GD590" s="16"/>
    </row>
    <row r="591">
      <c r="GD591" s="16"/>
    </row>
    <row r="592">
      <c r="GD592" s="16"/>
    </row>
    <row r="593">
      <c r="GD593" s="16"/>
    </row>
    <row r="594">
      <c r="GD594" s="16"/>
    </row>
    <row r="595">
      <c r="GD595" s="16"/>
    </row>
    <row r="596">
      <c r="GD596" s="16"/>
    </row>
    <row r="597">
      <c r="GD597" s="16"/>
    </row>
    <row r="598">
      <c r="GD598" s="16"/>
    </row>
    <row r="599">
      <c r="GD599" s="16"/>
    </row>
    <row r="600">
      <c r="GD600" s="16"/>
    </row>
    <row r="601">
      <c r="GD601" s="16"/>
    </row>
    <row r="602">
      <c r="GD602" s="16"/>
    </row>
    <row r="603">
      <c r="GD603" s="16"/>
    </row>
    <row r="604">
      <c r="GD604" s="16"/>
    </row>
    <row r="605">
      <c r="GD605" s="16"/>
    </row>
    <row r="606">
      <c r="GD606" s="16"/>
    </row>
    <row r="607">
      <c r="GD607" s="16"/>
    </row>
    <row r="608">
      <c r="GD608" s="16"/>
    </row>
    <row r="609">
      <c r="GD609" s="16"/>
    </row>
    <row r="610">
      <c r="GD610" s="16"/>
    </row>
    <row r="611">
      <c r="GD611" s="16"/>
    </row>
    <row r="612">
      <c r="GD612" s="16"/>
    </row>
    <row r="613">
      <c r="GD613" s="16"/>
    </row>
    <row r="614">
      <c r="GD614" s="16"/>
    </row>
    <row r="615">
      <c r="GD615" s="16"/>
    </row>
    <row r="616">
      <c r="GD616" s="16"/>
    </row>
    <row r="617">
      <c r="GD617" s="16"/>
    </row>
    <row r="618">
      <c r="GD618" s="16"/>
    </row>
    <row r="619">
      <c r="GD619" s="16"/>
    </row>
    <row r="620">
      <c r="GD620" s="16"/>
    </row>
    <row r="621">
      <c r="GD621" s="16"/>
    </row>
    <row r="622">
      <c r="GD622" s="16"/>
    </row>
    <row r="623">
      <c r="GD623" s="16"/>
    </row>
    <row r="624">
      <c r="GD624" s="16"/>
    </row>
    <row r="625">
      <c r="GD625" s="16"/>
    </row>
    <row r="626">
      <c r="GD626" s="16"/>
    </row>
    <row r="627">
      <c r="GD627" s="16"/>
    </row>
    <row r="628">
      <c r="GD628" s="16"/>
    </row>
    <row r="629">
      <c r="GD629" s="16"/>
    </row>
    <row r="630">
      <c r="GD630" s="16"/>
    </row>
    <row r="631">
      <c r="GD631" s="16"/>
    </row>
    <row r="632">
      <c r="GD632" s="16"/>
    </row>
    <row r="633">
      <c r="GD633" s="16"/>
    </row>
    <row r="634">
      <c r="GD634" s="16"/>
    </row>
    <row r="635">
      <c r="GD635" s="16"/>
    </row>
    <row r="636">
      <c r="GD636" s="16"/>
    </row>
    <row r="637">
      <c r="GD637" s="16"/>
    </row>
    <row r="638">
      <c r="GD638" s="16"/>
    </row>
    <row r="639">
      <c r="GD639" s="16"/>
    </row>
    <row r="640">
      <c r="GD640" s="16"/>
    </row>
    <row r="641">
      <c r="GD641" s="16"/>
    </row>
    <row r="642">
      <c r="GD642" s="16"/>
    </row>
    <row r="643">
      <c r="GD643" s="16"/>
    </row>
    <row r="644">
      <c r="GD644" s="16"/>
    </row>
    <row r="645">
      <c r="GD645" s="16"/>
    </row>
    <row r="646">
      <c r="GD646" s="16"/>
    </row>
    <row r="647">
      <c r="GD647" s="16"/>
    </row>
    <row r="648">
      <c r="GD648" s="16"/>
    </row>
    <row r="649">
      <c r="GD649" s="16"/>
    </row>
    <row r="650">
      <c r="GD650" s="16"/>
    </row>
    <row r="651">
      <c r="GD651" s="16"/>
    </row>
    <row r="652">
      <c r="GD652" s="16"/>
    </row>
    <row r="653">
      <c r="GD653" s="16"/>
    </row>
    <row r="654">
      <c r="GD654" s="16"/>
    </row>
    <row r="655">
      <c r="GD655" s="16"/>
    </row>
    <row r="656">
      <c r="GD656" s="16"/>
    </row>
    <row r="657">
      <c r="GD657" s="16"/>
    </row>
    <row r="658">
      <c r="GD658" s="16"/>
    </row>
    <row r="659">
      <c r="GD659" s="16"/>
    </row>
    <row r="660">
      <c r="GD660" s="16"/>
    </row>
    <row r="661">
      <c r="GD661" s="16"/>
    </row>
    <row r="662">
      <c r="GD662" s="16"/>
    </row>
    <row r="663">
      <c r="GD663" s="16"/>
    </row>
    <row r="664">
      <c r="GD664" s="16"/>
    </row>
    <row r="665">
      <c r="GD665" s="16"/>
    </row>
    <row r="666">
      <c r="GD666" s="16"/>
    </row>
    <row r="667">
      <c r="GD667" s="16"/>
    </row>
    <row r="668">
      <c r="GD668" s="16"/>
    </row>
    <row r="669">
      <c r="GD669" s="16"/>
    </row>
    <row r="670">
      <c r="GD670" s="16"/>
    </row>
    <row r="671">
      <c r="GD671" s="16"/>
    </row>
    <row r="672">
      <c r="GD672" s="16"/>
    </row>
    <row r="673">
      <c r="GD673" s="16"/>
    </row>
    <row r="674">
      <c r="GD674" s="16"/>
    </row>
    <row r="675">
      <c r="GD675" s="16"/>
    </row>
    <row r="676">
      <c r="GD676" s="16"/>
    </row>
    <row r="677">
      <c r="GD677" s="16"/>
    </row>
    <row r="678">
      <c r="GD678" s="16"/>
    </row>
    <row r="679">
      <c r="GD679" s="16"/>
    </row>
    <row r="680">
      <c r="GD680" s="16"/>
    </row>
    <row r="681">
      <c r="GD681" s="16"/>
    </row>
    <row r="682">
      <c r="GD682" s="16"/>
    </row>
    <row r="683">
      <c r="GD683" s="16"/>
    </row>
    <row r="684">
      <c r="GD684" s="16"/>
    </row>
    <row r="685">
      <c r="GD685" s="16"/>
    </row>
    <row r="686">
      <c r="GD686" s="16"/>
    </row>
    <row r="687">
      <c r="GD687" s="16"/>
    </row>
    <row r="688">
      <c r="GD688" s="16"/>
    </row>
    <row r="689">
      <c r="GD689" s="16"/>
    </row>
    <row r="690">
      <c r="GD690" s="16"/>
    </row>
    <row r="691">
      <c r="GD691" s="16"/>
    </row>
    <row r="692">
      <c r="GD692" s="16"/>
    </row>
    <row r="693">
      <c r="GD693" s="16"/>
    </row>
    <row r="694">
      <c r="GD694" s="16"/>
    </row>
    <row r="695">
      <c r="GD695" s="16"/>
    </row>
    <row r="696">
      <c r="GD696" s="16"/>
    </row>
    <row r="697">
      <c r="GD697" s="16"/>
    </row>
    <row r="698">
      <c r="GD698" s="16"/>
    </row>
    <row r="699">
      <c r="GD699" s="16"/>
    </row>
    <row r="700">
      <c r="GD700" s="16"/>
    </row>
    <row r="701">
      <c r="GD701" s="16"/>
    </row>
    <row r="702">
      <c r="GD702" s="16"/>
    </row>
    <row r="703">
      <c r="GD703" s="16"/>
    </row>
    <row r="704">
      <c r="GD704" s="16"/>
    </row>
    <row r="705">
      <c r="GD705" s="16"/>
    </row>
    <row r="706">
      <c r="GD706" s="16"/>
    </row>
    <row r="707">
      <c r="GD707" s="16"/>
    </row>
    <row r="708">
      <c r="GD708" s="16"/>
    </row>
    <row r="709">
      <c r="GD709" s="16"/>
    </row>
    <row r="710">
      <c r="GD710" s="16"/>
    </row>
    <row r="711">
      <c r="GD711" s="16"/>
    </row>
    <row r="712">
      <c r="GD712" s="16"/>
    </row>
    <row r="713">
      <c r="GD713" s="16"/>
    </row>
    <row r="714">
      <c r="GD714" s="16"/>
    </row>
    <row r="715">
      <c r="GD715" s="16"/>
    </row>
    <row r="716">
      <c r="GD716" s="16"/>
    </row>
    <row r="717">
      <c r="GD717" s="16"/>
    </row>
    <row r="718">
      <c r="GD718" s="16"/>
    </row>
    <row r="719">
      <c r="GD719" s="16"/>
    </row>
    <row r="720">
      <c r="GD720" s="16"/>
    </row>
    <row r="721">
      <c r="GD721" s="16"/>
    </row>
    <row r="722">
      <c r="GD722" s="16"/>
    </row>
    <row r="723">
      <c r="GD723" s="16"/>
    </row>
    <row r="724">
      <c r="GD724" s="16"/>
    </row>
    <row r="725">
      <c r="GD725" s="16"/>
    </row>
    <row r="726">
      <c r="GD726" s="16"/>
    </row>
    <row r="727">
      <c r="GD727" s="16"/>
    </row>
    <row r="728">
      <c r="GD728" s="16"/>
    </row>
    <row r="729">
      <c r="GD729" s="16"/>
    </row>
    <row r="730">
      <c r="GD730" s="16"/>
    </row>
    <row r="731">
      <c r="GD731" s="16"/>
    </row>
    <row r="732">
      <c r="GD732" s="16"/>
    </row>
    <row r="733">
      <c r="GD733" s="16"/>
    </row>
    <row r="734">
      <c r="GD734" s="16"/>
    </row>
    <row r="735">
      <c r="GD735" s="16"/>
    </row>
    <row r="736">
      <c r="GD736" s="16"/>
    </row>
    <row r="737">
      <c r="GD737" s="16"/>
    </row>
    <row r="738">
      <c r="GD738" s="16"/>
    </row>
    <row r="739">
      <c r="GD739" s="16"/>
    </row>
    <row r="740">
      <c r="GD740" s="16"/>
    </row>
    <row r="741">
      <c r="GD741" s="16"/>
    </row>
    <row r="742">
      <c r="GD742" s="16"/>
    </row>
    <row r="743">
      <c r="GD743" s="16"/>
    </row>
    <row r="744">
      <c r="GD744" s="16"/>
    </row>
    <row r="745">
      <c r="GD745" s="16"/>
    </row>
    <row r="746">
      <c r="GD746" s="16"/>
    </row>
    <row r="747">
      <c r="GD747" s="16"/>
    </row>
    <row r="748">
      <c r="GD748" s="16"/>
    </row>
    <row r="749">
      <c r="GD749" s="16"/>
    </row>
    <row r="750">
      <c r="GD750" s="16"/>
    </row>
    <row r="751">
      <c r="GD751" s="16"/>
    </row>
    <row r="752">
      <c r="GD752" s="16"/>
    </row>
    <row r="753">
      <c r="GD753" s="16"/>
    </row>
    <row r="754">
      <c r="GD754" s="16"/>
    </row>
    <row r="755">
      <c r="GD755" s="16"/>
    </row>
    <row r="756">
      <c r="GD756" s="16"/>
    </row>
    <row r="757">
      <c r="GD757" s="16"/>
    </row>
    <row r="758">
      <c r="GD758" s="16"/>
    </row>
    <row r="759">
      <c r="GD759" s="16"/>
    </row>
    <row r="760">
      <c r="GD760" s="16"/>
    </row>
    <row r="761">
      <c r="GD761" s="16"/>
    </row>
    <row r="762">
      <c r="GD762" s="16"/>
    </row>
    <row r="763">
      <c r="GD763" s="16"/>
    </row>
    <row r="764">
      <c r="GD764" s="16"/>
    </row>
    <row r="765">
      <c r="GD765" s="16"/>
    </row>
    <row r="766">
      <c r="GD766" s="16"/>
    </row>
    <row r="767">
      <c r="GD767" s="16"/>
    </row>
    <row r="768">
      <c r="GD768" s="16"/>
    </row>
    <row r="769">
      <c r="GD769" s="16"/>
    </row>
    <row r="770">
      <c r="GD770" s="16"/>
    </row>
    <row r="771">
      <c r="GD771" s="16"/>
    </row>
    <row r="772">
      <c r="GD772" s="16"/>
    </row>
    <row r="773">
      <c r="GD773" s="16"/>
    </row>
    <row r="774">
      <c r="GD774" s="16"/>
    </row>
    <row r="775">
      <c r="GD775" s="16"/>
    </row>
    <row r="776">
      <c r="GD776" s="16"/>
    </row>
    <row r="777">
      <c r="GD777" s="16"/>
    </row>
    <row r="778">
      <c r="GD778" s="16"/>
    </row>
    <row r="779">
      <c r="GD779" s="16"/>
    </row>
    <row r="780">
      <c r="GD780" s="16"/>
    </row>
    <row r="781">
      <c r="GD781" s="16"/>
    </row>
    <row r="782">
      <c r="GD782" s="16"/>
    </row>
    <row r="783">
      <c r="GD783" s="16"/>
    </row>
    <row r="784">
      <c r="GD784" s="16"/>
    </row>
    <row r="785">
      <c r="GD785" s="16"/>
    </row>
    <row r="786">
      <c r="GD786" s="16"/>
    </row>
    <row r="787">
      <c r="GD787" s="16"/>
    </row>
    <row r="788">
      <c r="GD788" s="16"/>
    </row>
    <row r="789">
      <c r="GD789" s="16"/>
    </row>
    <row r="790">
      <c r="GD790" s="16"/>
    </row>
    <row r="791">
      <c r="GD791" s="16"/>
    </row>
    <row r="792">
      <c r="GD792" s="16"/>
    </row>
    <row r="793">
      <c r="GD793" s="16"/>
    </row>
    <row r="794">
      <c r="GD794" s="16"/>
    </row>
    <row r="795">
      <c r="GD795" s="16"/>
    </row>
    <row r="796">
      <c r="GD796" s="16"/>
    </row>
    <row r="797">
      <c r="GD797" s="16"/>
    </row>
    <row r="798">
      <c r="GD798" s="16"/>
    </row>
    <row r="799">
      <c r="GD799" s="16"/>
    </row>
    <row r="800">
      <c r="GD800" s="16"/>
    </row>
    <row r="801">
      <c r="GD801" s="16"/>
    </row>
    <row r="802">
      <c r="GD802" s="16"/>
    </row>
    <row r="803">
      <c r="GD803" s="16"/>
    </row>
    <row r="804">
      <c r="GD804" s="16"/>
    </row>
    <row r="805">
      <c r="GD805" s="16"/>
    </row>
    <row r="806">
      <c r="GD806" s="16"/>
    </row>
    <row r="807">
      <c r="GD807" s="16"/>
    </row>
    <row r="808">
      <c r="GD808" s="16"/>
    </row>
    <row r="809">
      <c r="GD809" s="16"/>
    </row>
    <row r="810">
      <c r="GD810" s="16"/>
    </row>
    <row r="811">
      <c r="GD811" s="16"/>
    </row>
    <row r="812">
      <c r="GD812" s="16"/>
    </row>
    <row r="813">
      <c r="GD813" s="16"/>
    </row>
    <row r="814">
      <c r="GD814" s="16"/>
    </row>
    <row r="815">
      <c r="GD815" s="16"/>
    </row>
    <row r="816">
      <c r="GD816" s="16"/>
    </row>
    <row r="817">
      <c r="GD817" s="16"/>
    </row>
    <row r="818">
      <c r="GD818" s="16"/>
    </row>
    <row r="819">
      <c r="GD819" s="16"/>
    </row>
    <row r="820">
      <c r="GD820" s="16"/>
    </row>
    <row r="821">
      <c r="GD821" s="16"/>
    </row>
    <row r="822">
      <c r="GD822" s="16"/>
    </row>
    <row r="823">
      <c r="GD823" s="16"/>
    </row>
    <row r="824">
      <c r="GD824" s="16"/>
    </row>
    <row r="825">
      <c r="GD825" s="16"/>
    </row>
    <row r="826">
      <c r="GD826" s="16"/>
    </row>
    <row r="827">
      <c r="GD827" s="16"/>
    </row>
    <row r="828">
      <c r="GD828" s="16"/>
    </row>
    <row r="829">
      <c r="GD829" s="16"/>
    </row>
    <row r="830">
      <c r="GD830" s="16"/>
    </row>
    <row r="831">
      <c r="GD831" s="16"/>
    </row>
    <row r="832">
      <c r="GD832" s="16"/>
    </row>
    <row r="833">
      <c r="GD833" s="16"/>
    </row>
    <row r="834">
      <c r="GD834" s="16"/>
    </row>
    <row r="835">
      <c r="GD835" s="16"/>
    </row>
    <row r="836">
      <c r="GD836" s="16"/>
    </row>
    <row r="837">
      <c r="GD837" s="16"/>
    </row>
    <row r="838">
      <c r="GD838" s="16"/>
    </row>
    <row r="839">
      <c r="GD839" s="16"/>
    </row>
    <row r="840">
      <c r="GD840" s="16"/>
    </row>
    <row r="841">
      <c r="GD841" s="16"/>
    </row>
    <row r="842">
      <c r="GD842" s="16"/>
    </row>
    <row r="843">
      <c r="GD843" s="16"/>
    </row>
    <row r="844">
      <c r="GD844" s="16"/>
    </row>
    <row r="845">
      <c r="GD845" s="16"/>
    </row>
    <row r="846">
      <c r="GD846" s="16"/>
    </row>
    <row r="847">
      <c r="GD847" s="16"/>
    </row>
    <row r="848">
      <c r="GD848" s="16"/>
    </row>
    <row r="849">
      <c r="GD849" s="16"/>
    </row>
    <row r="850">
      <c r="GD850" s="16"/>
    </row>
    <row r="851">
      <c r="GD851" s="16"/>
    </row>
    <row r="852">
      <c r="GD852" s="16"/>
    </row>
    <row r="853">
      <c r="GD853" s="16"/>
    </row>
    <row r="854">
      <c r="GD854" s="16"/>
    </row>
    <row r="855">
      <c r="GD855" s="16"/>
    </row>
    <row r="856">
      <c r="GD856" s="16"/>
    </row>
    <row r="857">
      <c r="GD857" s="16"/>
    </row>
    <row r="858">
      <c r="GD858" s="16"/>
    </row>
    <row r="859">
      <c r="GD859" s="16"/>
    </row>
    <row r="860">
      <c r="GD860" s="16"/>
    </row>
    <row r="861">
      <c r="GD861" s="16"/>
    </row>
    <row r="862">
      <c r="GD862" s="16"/>
    </row>
    <row r="863">
      <c r="GD863" s="16"/>
    </row>
    <row r="864">
      <c r="GD864" s="16"/>
    </row>
    <row r="865">
      <c r="GD865" s="16"/>
    </row>
    <row r="866">
      <c r="GD866" s="16"/>
    </row>
    <row r="867">
      <c r="GD867" s="16"/>
    </row>
    <row r="868">
      <c r="GD868" s="16"/>
    </row>
    <row r="869">
      <c r="GD869" s="16"/>
    </row>
    <row r="870">
      <c r="GD870" s="16"/>
    </row>
    <row r="871">
      <c r="GD871" s="16"/>
    </row>
    <row r="872">
      <c r="GD872" s="16"/>
    </row>
    <row r="873">
      <c r="GD873" s="16"/>
    </row>
    <row r="874">
      <c r="GD874" s="16"/>
    </row>
    <row r="875">
      <c r="GD875" s="16"/>
    </row>
    <row r="876">
      <c r="GD876" s="16"/>
    </row>
    <row r="877">
      <c r="GD877" s="16"/>
    </row>
    <row r="878">
      <c r="GD878" s="16"/>
    </row>
    <row r="879">
      <c r="GD879" s="16"/>
    </row>
    <row r="880">
      <c r="GD880" s="16"/>
    </row>
    <row r="881">
      <c r="GD881" s="16"/>
    </row>
    <row r="882">
      <c r="GD882" s="16"/>
    </row>
    <row r="883">
      <c r="GD883" s="16"/>
    </row>
    <row r="884">
      <c r="GD884" s="16"/>
    </row>
    <row r="885">
      <c r="GD885" s="16"/>
    </row>
    <row r="886">
      <c r="GD886" s="16"/>
    </row>
    <row r="887">
      <c r="GD887" s="16"/>
    </row>
    <row r="888">
      <c r="GD888" s="16"/>
    </row>
    <row r="889">
      <c r="GD889" s="16"/>
    </row>
    <row r="890">
      <c r="GD890" s="16"/>
    </row>
    <row r="891">
      <c r="GD891" s="16"/>
    </row>
    <row r="892">
      <c r="GD892" s="16"/>
    </row>
    <row r="893">
      <c r="GD893" s="16"/>
    </row>
    <row r="894">
      <c r="GD894" s="16"/>
    </row>
    <row r="895">
      <c r="GD895" s="16"/>
    </row>
    <row r="896">
      <c r="GD896" s="16"/>
    </row>
    <row r="897">
      <c r="GD897" s="16"/>
    </row>
    <row r="898">
      <c r="GD898" s="16"/>
    </row>
    <row r="899">
      <c r="GD899" s="16"/>
    </row>
    <row r="900">
      <c r="GD900" s="16"/>
    </row>
    <row r="901">
      <c r="GD901" s="16"/>
    </row>
    <row r="902">
      <c r="GD902" s="16"/>
    </row>
    <row r="903">
      <c r="GD903" s="16"/>
    </row>
    <row r="904">
      <c r="GD904" s="16"/>
    </row>
    <row r="905">
      <c r="GD905" s="16"/>
    </row>
    <row r="906">
      <c r="GD906" s="16"/>
    </row>
    <row r="907">
      <c r="GD907" s="16"/>
    </row>
    <row r="908">
      <c r="GD908" s="16"/>
    </row>
    <row r="909">
      <c r="GD909" s="16"/>
    </row>
    <row r="910">
      <c r="GD910" s="16"/>
    </row>
    <row r="911">
      <c r="GD911" s="16"/>
    </row>
    <row r="912">
      <c r="GD912" s="16"/>
    </row>
    <row r="913">
      <c r="GD913" s="16"/>
    </row>
    <row r="914">
      <c r="GD914" s="16"/>
    </row>
    <row r="915">
      <c r="GD915" s="16"/>
    </row>
    <row r="916">
      <c r="GD916" s="16"/>
    </row>
    <row r="917">
      <c r="GD917" s="16"/>
    </row>
    <row r="918">
      <c r="GD918" s="16"/>
    </row>
    <row r="919">
      <c r="GD919" s="16"/>
    </row>
    <row r="920">
      <c r="GD920" s="16"/>
    </row>
    <row r="921">
      <c r="GD921" s="16"/>
    </row>
    <row r="922">
      <c r="GD922" s="16"/>
    </row>
    <row r="923">
      <c r="GD923" s="16"/>
    </row>
    <row r="924">
      <c r="GD924" s="16"/>
    </row>
    <row r="925">
      <c r="GD925" s="16"/>
    </row>
    <row r="926">
      <c r="GD926" s="16"/>
    </row>
    <row r="927">
      <c r="GD927" s="16"/>
    </row>
    <row r="928">
      <c r="GD928" s="16"/>
    </row>
    <row r="929">
      <c r="GD929" s="16"/>
    </row>
    <row r="930">
      <c r="GD930" s="16"/>
    </row>
    <row r="931">
      <c r="GD931" s="16"/>
    </row>
    <row r="932">
      <c r="GD932" s="16"/>
    </row>
    <row r="933">
      <c r="GD933" s="16"/>
    </row>
    <row r="934">
      <c r="GD934" s="16"/>
    </row>
    <row r="935">
      <c r="GD935" s="16"/>
    </row>
    <row r="936">
      <c r="GD936" s="16"/>
    </row>
    <row r="937">
      <c r="GD937" s="16"/>
    </row>
    <row r="938">
      <c r="GD938" s="16"/>
    </row>
    <row r="939">
      <c r="GD939" s="16"/>
    </row>
    <row r="940">
      <c r="GD940" s="16"/>
    </row>
    <row r="941">
      <c r="GD941" s="16"/>
    </row>
    <row r="942">
      <c r="GD942" s="16"/>
    </row>
    <row r="943">
      <c r="GD943" s="16"/>
    </row>
    <row r="944">
      <c r="GD944" s="16"/>
    </row>
    <row r="945">
      <c r="GD945" s="16"/>
    </row>
    <row r="946">
      <c r="GD946" s="16"/>
    </row>
    <row r="947">
      <c r="GD947" s="16"/>
    </row>
    <row r="948">
      <c r="GD948" s="16"/>
    </row>
    <row r="949">
      <c r="GD949" s="16"/>
    </row>
    <row r="950">
      <c r="GD950" s="16"/>
    </row>
    <row r="951">
      <c r="GD951" s="16"/>
    </row>
    <row r="952">
      <c r="GD952" s="16"/>
    </row>
    <row r="953">
      <c r="GD953" s="16"/>
    </row>
    <row r="954">
      <c r="GD954" s="16"/>
    </row>
    <row r="955">
      <c r="GD955" s="16"/>
    </row>
    <row r="956">
      <c r="GD956" s="16"/>
    </row>
    <row r="957">
      <c r="GD957" s="16"/>
    </row>
    <row r="958">
      <c r="GD958" s="16"/>
    </row>
    <row r="959">
      <c r="GD959" s="16"/>
    </row>
    <row r="960">
      <c r="GD960" s="16"/>
    </row>
    <row r="961">
      <c r="GD961" s="16"/>
    </row>
    <row r="962">
      <c r="GD962" s="16"/>
    </row>
    <row r="963">
      <c r="GD963" s="16"/>
    </row>
    <row r="964">
      <c r="GD964" s="16"/>
    </row>
    <row r="965">
      <c r="GD965" s="16"/>
    </row>
    <row r="966">
      <c r="GD966" s="16"/>
    </row>
    <row r="967">
      <c r="GD967" s="16"/>
    </row>
    <row r="968">
      <c r="GD968" s="16"/>
    </row>
    <row r="969">
      <c r="GD969" s="16"/>
    </row>
    <row r="970">
      <c r="GD970" s="16"/>
    </row>
    <row r="971">
      <c r="GD971" s="16"/>
    </row>
    <row r="972">
      <c r="GD972" s="16"/>
    </row>
    <row r="973">
      <c r="GD973" s="16"/>
    </row>
    <row r="974">
      <c r="GD974" s="16"/>
    </row>
    <row r="975">
      <c r="GD975" s="16"/>
    </row>
    <row r="976">
      <c r="GD976" s="16"/>
    </row>
    <row r="977">
      <c r="GD977" s="16"/>
    </row>
    <row r="978">
      <c r="GD978" s="16"/>
    </row>
    <row r="979">
      <c r="GD979" s="16"/>
    </row>
    <row r="980">
      <c r="GD980" s="16"/>
    </row>
    <row r="981">
      <c r="GD981" s="16"/>
    </row>
    <row r="982">
      <c r="GD982" s="16"/>
    </row>
    <row r="983">
      <c r="GD983" s="16"/>
    </row>
    <row r="984">
      <c r="GD984" s="16"/>
    </row>
    <row r="985">
      <c r="GD985" s="16"/>
    </row>
    <row r="986">
      <c r="GD986" s="16"/>
    </row>
    <row r="987">
      <c r="GD987" s="16"/>
    </row>
    <row r="988">
      <c r="GD988" s="16"/>
    </row>
    <row r="989">
      <c r="GD989" s="16"/>
    </row>
    <row r="990">
      <c r="GD990" s="16"/>
    </row>
    <row r="991">
      <c r="GD991" s="16"/>
    </row>
    <row r="992">
      <c r="GD992" s="16"/>
    </row>
    <row r="993">
      <c r="GD993" s="16"/>
    </row>
    <row r="994">
      <c r="GD994" s="16"/>
    </row>
    <row r="995">
      <c r="GD995" s="16"/>
    </row>
    <row r="996">
      <c r="GD996" s="16"/>
    </row>
    <row r="997">
      <c r="GD997" s="16"/>
    </row>
    <row r="998">
      <c r="GD998" s="16"/>
    </row>
    <row r="999">
      <c r="GD999" s="16"/>
    </row>
    <row r="1000">
      <c r="GD1000" s="16"/>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outlinePr summaryBelow="0" summaryRight="0"/>
  </sheetPr>
  <sheetViews>
    <sheetView workbookViewId="0">
      <pane xSplit="7.0" topLeftCell="H1" activePane="topRight" state="frozen"/>
      <selection activeCell="I2" sqref="I2" pane="topRight"/>
    </sheetView>
  </sheetViews>
  <sheetFormatPr customHeight="1" defaultColWidth="12.63" defaultRowHeight="15.75"/>
  <cols>
    <col customWidth="1" min="1" max="1" width="4.88"/>
    <col customWidth="1" min="2" max="2" width="7.13"/>
    <col customWidth="1" min="3" max="3" width="13.38"/>
    <col customWidth="1" min="4" max="4" width="14.0"/>
    <col customWidth="1" min="5" max="5" width="5.5"/>
    <col customWidth="1" min="6" max="6" width="7.5"/>
    <col customWidth="1" min="7" max="7" width="17.88"/>
    <col customWidth="1" min="8" max="8" width="5.75"/>
    <col customWidth="1" min="9" max="9" width="4.63"/>
    <col customWidth="1" min="10" max="10" width="4.5"/>
    <col customWidth="1" min="11" max="11" width="3.63"/>
    <col customWidth="1" min="12" max="12" width="6.63"/>
    <col customWidth="1" min="13" max="13" width="7.25"/>
    <col customWidth="1" min="14" max="14" width="5.88"/>
    <col customWidth="1" min="15" max="15" width="6.0"/>
    <col customWidth="1" min="16" max="17" width="3.5"/>
    <col customWidth="1" min="18" max="18" width="6.5"/>
    <col customWidth="1" min="19" max="19" width="7.13"/>
    <col customWidth="1" min="20" max="20" width="5.75"/>
    <col customWidth="1" min="21" max="21" width="5.88"/>
    <col customWidth="1" min="22" max="23" width="3.5"/>
    <col customWidth="1" min="24" max="24" width="7.13"/>
    <col customWidth="1" min="25" max="25" width="7.25"/>
    <col customWidth="1" min="26" max="26" width="5.5"/>
    <col customWidth="1" min="27" max="27" width="5.63"/>
    <col customWidth="1" min="28" max="29" width="3.5"/>
    <col customWidth="1" min="30" max="30" width="7.13"/>
    <col customWidth="1" min="31" max="31" width="7.25"/>
    <col customWidth="1" min="32" max="32" width="7.0"/>
    <col customWidth="1" min="33" max="33" width="7.13"/>
    <col customWidth="1" min="34" max="35" width="3.5"/>
    <col customWidth="1" min="36" max="36" width="6.75"/>
    <col customWidth="1" min="37" max="37" width="6.88"/>
    <col customWidth="1" min="38" max="38" width="5.5"/>
    <col customWidth="1" min="39" max="39" width="5.63"/>
    <col customWidth="1" min="40" max="41" width="3.5"/>
    <col customWidth="1" min="42" max="42" width="8.5"/>
    <col customWidth="1" min="43" max="43" width="8.38"/>
    <col customWidth="1" min="44" max="44" width="7.25"/>
    <col customWidth="1" min="45" max="45" width="7.38"/>
    <col customWidth="1" min="46" max="47" width="3.5"/>
    <col customWidth="1" min="48" max="48" width="7.63"/>
    <col customWidth="1" min="49" max="49" width="9.5"/>
    <col customWidth="1" min="50" max="50" width="8.13"/>
    <col customWidth="1" min="51" max="51" width="8.25"/>
    <col customWidth="1" min="52" max="53" width="3.5"/>
    <col customWidth="1" min="54" max="54" width="7.0"/>
    <col customWidth="1" min="55" max="55" width="7.13"/>
    <col customWidth="1" min="56" max="56" width="5.75"/>
    <col customWidth="1" min="57" max="57" width="5.88"/>
    <col customWidth="1" min="58" max="59" width="3.5"/>
    <col customWidth="1" min="60" max="60" width="7.0"/>
    <col customWidth="1" min="61" max="61" width="7.13"/>
    <col customWidth="1" min="62" max="62" width="7.5"/>
    <col customWidth="1" min="63" max="63" width="7.75"/>
    <col customWidth="1" min="64" max="64" width="8.0"/>
    <col customWidth="1" min="65" max="65" width="8.13"/>
    <col customWidth="1" min="66" max="67" width="3.5"/>
    <col customWidth="1" min="68" max="68" width="9.0"/>
    <col customWidth="1" min="69" max="69" width="8.88"/>
    <col customWidth="1" min="70" max="70" width="8.25"/>
    <col customWidth="1" min="71" max="71" width="8.5"/>
    <col customWidth="1" min="72" max="73" width="3.5"/>
    <col customWidth="1" min="74" max="74" width="6.5"/>
    <col customWidth="1" min="75" max="75" width="7.13"/>
    <col customWidth="1" min="76" max="76" width="5.75"/>
    <col customWidth="1" min="77" max="77" width="5.88"/>
    <col customWidth="1" min="78" max="79" width="3.5"/>
    <col customWidth="1" min="80" max="80" width="3.38"/>
    <col customWidth="1" min="81" max="81" width="4.25"/>
    <col customWidth="1" min="82" max="82" width="11.13"/>
    <col customWidth="1" min="83" max="83" width="11.0"/>
    <col customWidth="1" min="84" max="86" width="4.88"/>
    <col customWidth="1" min="87" max="89" width="3.25"/>
    <col customWidth="1" min="90" max="90" width="5.5"/>
    <col customWidth="1" min="91" max="91" width="5.63"/>
    <col customWidth="1" min="92" max="92" width="4.5"/>
    <col customWidth="1" min="93" max="93" width="3.25"/>
    <col customWidth="1" min="94" max="94" width="3.75"/>
    <col customWidth="1" min="95" max="95" width="6.25"/>
    <col customWidth="1" min="96" max="96" width="3.88"/>
    <col customWidth="1" min="97" max="98" width="4.38"/>
    <col customWidth="1" min="99" max="99" width="4.88"/>
    <col customWidth="1" min="100" max="100" width="6.13"/>
    <col customWidth="1" min="101" max="101" width="6.38"/>
    <col customWidth="1" min="102" max="102" width="7.13"/>
    <col customWidth="1" min="103" max="104" width="3.25"/>
    <col customWidth="1" min="105" max="105" width="4.38"/>
    <col customWidth="1" min="106" max="106" width="8.13"/>
    <col customWidth="1" min="107" max="107" width="10.25"/>
    <col customWidth="1" min="108" max="110" width="3.25"/>
  </cols>
  <sheetData>
    <row r="1">
      <c r="A1" s="16" t="str">
        <f>IFERROR(__xludf.DUMMYFUNCTION("if(counta(BatterCalcs!G1),(query(IMPORTRANGE(""1Gj5gYTc-gVDuo3e5jMQw7jHyUYSGKDa60jr6ZnuZVHQ"",""Pitcher Scouting!A1:EV""),""select * where Col1 is not null order by Col100 desc"")),""Waiting for batter scouting data to import..."")"),"player_id")</f>
        <v>player_id</v>
      </c>
      <c r="B1" s="16" t="str">
        <f>IFERROR(__xludf.DUMMYFUNCTION("""COMPUTED_VALUE"""),"Name")</f>
        <v>Name</v>
      </c>
      <c r="C1" s="16" t="str">
        <f>IFERROR(__xludf.DUMMYFUNCTION("""COMPUTED_VALUE"""),"sWAR")</f>
        <v>sWAR</v>
      </c>
      <c r="D1" s="16" t="str">
        <f>IFERROR(__xludf.DUMMYFUNCTION("""COMPUTED_VALUE"""),"team")</f>
        <v>team</v>
      </c>
      <c r="E1" s="16" t="str">
        <f>IFERROR(__xludf.DUMMYFUNCTION("""COMPUTED_VALUE"""),"hand")</f>
        <v>hand</v>
      </c>
      <c r="F1" s="16" t="str">
        <f>IFERROR(__xludf.DUMMYFUNCTION("""COMPUTED_VALUE"""),"IP")</f>
        <v>IP</v>
      </c>
      <c r="G1" s="16" t="str">
        <f>IFERROR(__xludf.DUMMYFUNCTION("""COMPUTED_VALUE"""),"SO vlhp")</f>
        <v>SO vlhp</v>
      </c>
      <c r="H1" s="16" t="str">
        <f>IFERROR(__xludf.DUMMYFUNCTION("""COMPUTED_VALUE"""),"SO v rhp")</f>
        <v>SO v rhp</v>
      </c>
      <c r="I1" s="16" t="str">
        <f>IFERROR(__xludf.DUMMYFUNCTION("""COMPUTED_VALUE"""),"SO vl+")</f>
        <v>SO vl+</v>
      </c>
      <c r="J1" s="16" t="str">
        <f>IFERROR(__xludf.DUMMYFUNCTION("""COMPUTED_VALUE"""),"SO vr+")</f>
        <v>SO vr+</v>
      </c>
      <c r="K1" s="16" t="str">
        <f>IFERROR(__xludf.DUMMYFUNCTION("""COMPUTED_VALUE"""),"Pts")</f>
        <v>Pts</v>
      </c>
      <c r="L1" s="16" t="str">
        <f>IFERROR(__xludf.DUMMYFUNCTION("""COMPUTED_VALUE"""),"Pts")</f>
        <v>Pts</v>
      </c>
      <c r="M1" s="16" t="str">
        <f>IFERROR(__xludf.DUMMYFUNCTION("""COMPUTED_VALUE"""),"BB vlhp")</f>
        <v>BB vlhp</v>
      </c>
      <c r="N1" s="16" t="str">
        <f>IFERROR(__xludf.DUMMYFUNCTION("""COMPUTED_VALUE"""),"BB v rhp")</f>
        <v>BB v rhp</v>
      </c>
      <c r="O1" s="16" t="str">
        <f>IFERROR(__xludf.DUMMYFUNCTION("""COMPUTED_VALUE"""),"BB vl+")</f>
        <v>BB vl+</v>
      </c>
      <c r="P1" s="16" t="str">
        <f>IFERROR(__xludf.DUMMYFUNCTION("""COMPUTED_VALUE"""),"BB vr+")</f>
        <v>BB vr+</v>
      </c>
      <c r="Q1" s="16" t="str">
        <f>IFERROR(__xludf.DUMMYFUNCTION("""COMPUTED_VALUE"""),"Pts")</f>
        <v>Pts</v>
      </c>
      <c r="R1" s="16" t="str">
        <f>IFERROR(__xludf.DUMMYFUNCTION("""COMPUTED_VALUE"""),"Pts")</f>
        <v>Pts</v>
      </c>
      <c r="S1" s="16" t="str">
        <f>IFERROR(__xludf.DUMMYFUNCTION("""COMPUTED_VALUE"""),"HIT v lhp")</f>
        <v>HIT v lhp</v>
      </c>
      <c r="T1" s="16" t="str">
        <f>IFERROR(__xludf.DUMMYFUNCTION("""COMPUTED_VALUE"""),"HIT v rhp")</f>
        <v>HIT v rhp</v>
      </c>
      <c r="U1" s="16" t="str">
        <f>IFERROR(__xludf.DUMMYFUNCTION("""COMPUTED_VALUE"""),"Hit vl+")</f>
        <v>Hit vl+</v>
      </c>
      <c r="V1" s="16" t="str">
        <f>IFERROR(__xludf.DUMMYFUNCTION("""COMPUTED_VALUE"""),"Hit vr+")</f>
        <v>Hit vr+</v>
      </c>
      <c r="W1" s="16" t="str">
        <f>IFERROR(__xludf.DUMMYFUNCTION("""COMPUTED_VALUE"""),"Pts")</f>
        <v>Pts</v>
      </c>
      <c r="X1" s="16" t="str">
        <f>IFERROR(__xludf.DUMMYFUNCTION("""COMPUTED_VALUE"""),"Pts")</f>
        <v>Pts</v>
      </c>
      <c r="Y1" s="16" t="str">
        <f>IFERROR(__xludf.DUMMYFUNCTION("""COMPUTED_VALUE"""),"OB v lhp")</f>
        <v>OB v lhp</v>
      </c>
      <c r="Z1" s="16" t="str">
        <f>IFERROR(__xludf.DUMMYFUNCTION("""COMPUTED_VALUE"""),"OB v rhp")</f>
        <v>OB v rhp</v>
      </c>
      <c r="AA1" s="16" t="str">
        <f>IFERROR(__xludf.DUMMYFUNCTION("""COMPUTED_VALUE"""),"OBP vl+")</f>
        <v>OBP vl+</v>
      </c>
      <c r="AB1" s="16" t="str">
        <f>IFERROR(__xludf.DUMMYFUNCTION("""COMPUTED_VALUE"""),"OBP vr+")</f>
        <v>OBP vr+</v>
      </c>
      <c r="AC1" s="16" t="str">
        <f>IFERROR(__xludf.DUMMYFUNCTION("""COMPUTED_VALUE"""),"Pts")</f>
        <v>Pts</v>
      </c>
      <c r="AD1" s="16" t="str">
        <f>IFERROR(__xludf.DUMMYFUNCTION("""COMPUTED_VALUE"""),"Pts")</f>
        <v>Pts</v>
      </c>
      <c r="AE1" s="16" t="str">
        <f>IFERROR(__xludf.DUMMYFUNCTION("""COMPUTED_VALUE"""),"TB v lhp")</f>
        <v>TB v lhp</v>
      </c>
      <c r="AF1" s="16" t="str">
        <f>IFERROR(__xludf.DUMMYFUNCTION("""COMPUTED_VALUE"""),"TB v rhp")</f>
        <v>TB v rhp</v>
      </c>
      <c r="AG1" s="16" t="str">
        <f>IFERROR(__xludf.DUMMYFUNCTION("""COMPUTED_VALUE"""),"TB vl+")</f>
        <v>TB vl+</v>
      </c>
      <c r="AH1" s="16" t="str">
        <f>IFERROR(__xludf.DUMMYFUNCTION("""COMPUTED_VALUE"""),"TB vr+")</f>
        <v>TB vr+</v>
      </c>
      <c r="AI1" s="16" t="str">
        <f>IFERROR(__xludf.DUMMYFUNCTION("""COMPUTED_VALUE"""),"Pts")</f>
        <v>Pts</v>
      </c>
      <c r="AJ1" s="16" t="str">
        <f>IFERROR(__xludf.DUMMYFUNCTION("""COMPUTED_VALUE"""),"Pts")</f>
        <v>Pts</v>
      </c>
      <c r="AK1" s="16" t="str">
        <f>IFERROR(__xludf.DUMMYFUNCTION("""COMPUTED_VALUE"""),"123B v lhp")</f>
        <v>123B v lhp</v>
      </c>
      <c r="AL1" s="16" t="str">
        <f>IFERROR(__xludf.DUMMYFUNCTION("""COMPUTED_VALUE"""),"123b v rhp")</f>
        <v>123b v rhp</v>
      </c>
      <c r="AM1" s="16" t="str">
        <f>IFERROR(__xludf.DUMMYFUNCTION("""COMPUTED_VALUE"""),"123B vl+")</f>
        <v>123B vl+</v>
      </c>
      <c r="AN1" s="16" t="str">
        <f>IFERROR(__xludf.DUMMYFUNCTION("""COMPUTED_VALUE"""),"123B vr+")</f>
        <v>123B vr+</v>
      </c>
      <c r="AO1" s="16" t="str">
        <f>IFERROR(__xludf.DUMMYFUNCTION("""COMPUTED_VALUE"""),"Pts")</f>
        <v>Pts</v>
      </c>
      <c r="AP1" s="16" t="str">
        <f>IFERROR(__xludf.DUMMYFUNCTION("""COMPUTED_VALUE"""),"Pts")</f>
        <v>Pts</v>
      </c>
      <c r="AQ1" s="16" t="str">
        <f>IFERROR(__xludf.DUMMYFUNCTION("""COMPUTED_VALUE"""),"123TB v l")</f>
        <v>123TB v l</v>
      </c>
      <c r="AR1" s="16" t="str">
        <f>IFERROR(__xludf.DUMMYFUNCTION("""COMPUTED_VALUE"""),"123TB v rhp")</f>
        <v>123TB v rhp</v>
      </c>
      <c r="AS1" s="16" t="str">
        <f>IFERROR(__xludf.DUMMYFUNCTION("""COMPUTED_VALUE"""),"123TB vl+")</f>
        <v>123TB vl+</v>
      </c>
      <c r="AT1" s="16" t="str">
        <f>IFERROR(__xludf.DUMMYFUNCTION("""COMPUTED_VALUE"""),"123TB vr+")</f>
        <v>123TB vr+</v>
      </c>
      <c r="AU1" s="16" t="str">
        <f>IFERROR(__xludf.DUMMYFUNCTION("""COMPUTED_VALUE"""),"Pts")</f>
        <v>Pts</v>
      </c>
      <c r="AV1" s="16" t="str">
        <f>IFERROR(__xludf.DUMMYFUNCTION("""COMPUTED_VALUE"""),"Pts")</f>
        <v>Pts</v>
      </c>
      <c r="AW1" s="16" t="str">
        <f>IFERROR(__xludf.DUMMYFUNCTION("""COMPUTED_VALUE"""),"HR v lhp")</f>
        <v>HR v lhp</v>
      </c>
      <c r="AX1" s="16" t="str">
        <f>IFERROR(__xludf.DUMMYFUNCTION("""COMPUTED_VALUE"""),"HR v rhp")</f>
        <v>HR v rhp</v>
      </c>
      <c r="AY1" s="16" t="str">
        <f>IFERROR(__xludf.DUMMYFUNCTION("""COMPUTED_VALUE"""),"HR vl+")</f>
        <v>HR vl+</v>
      </c>
      <c r="AZ1" s="16" t="str">
        <f>IFERROR(__xludf.DUMMYFUNCTION("""COMPUTED_VALUE"""),"HR vr+")</f>
        <v>HR vr+</v>
      </c>
      <c r="BA1" s="16" t="str">
        <f>IFERROR(__xludf.DUMMYFUNCTION("""COMPUTED_VALUE"""),"Pts")</f>
        <v>Pts</v>
      </c>
      <c r="BB1" s="16" t="str">
        <f>IFERROR(__xludf.DUMMYFUNCTION("""COMPUTED_VALUE"""),"Pts")</f>
        <v>Pts</v>
      </c>
      <c r="BC1" s="16" t="str">
        <f>IFERROR(__xludf.DUMMYFUNCTION("""COMPUTED_VALUE"""),"BP v lhp")</f>
        <v>BP v lhp</v>
      </c>
      <c r="BD1" s="16" t="str">
        <f>IFERROR(__xludf.DUMMYFUNCTION("""COMPUTED_VALUE"""),"BP v rhp")</f>
        <v>BP v rhp</v>
      </c>
      <c r="BE1" s="16" t="str">
        <f>IFERROR(__xludf.DUMMYFUNCTION("""COMPUTED_VALUE"""),"BPHR vL")</f>
        <v>BPHR vL</v>
      </c>
      <c r="BF1" s="16" t="str">
        <f>IFERROR(__xludf.DUMMYFUNCTION("""COMPUTED_VALUE"""),"BPHR vR")</f>
        <v>BPHR vR</v>
      </c>
      <c r="BG1" s="16" t="str">
        <f>IFERROR(__xludf.DUMMYFUNCTION("""COMPUTED_VALUE"""),"BPHR vl+")</f>
        <v>BPHR vl+</v>
      </c>
      <c r="BH1" s="16" t="str">
        <f>IFERROR(__xludf.DUMMYFUNCTION("""COMPUTED_VALUE"""),"BPHR vr+")</f>
        <v>BPHR vr+</v>
      </c>
      <c r="BI1" s="16" t="str">
        <f>IFERROR(__xludf.DUMMYFUNCTION("""COMPUTED_VALUE"""),"Pts")</f>
        <v>Pts</v>
      </c>
      <c r="BJ1" s="16" t="str">
        <f>IFERROR(__xludf.DUMMYFUNCTION("""COMPUTED_VALUE"""),"Pts")</f>
        <v>Pts</v>
      </c>
      <c r="BK1" s="16" t="str">
        <f>IFERROR(__xludf.DUMMYFUNCTION("""COMPUTED_VALUE"""),"BP1B v lhp")</f>
        <v>BP1B v lhp</v>
      </c>
      <c r="BL1" s="16" t="str">
        <f>IFERROR(__xludf.DUMMYFUNCTION("""COMPUTED_VALUE"""),"BP1b v rhp")</f>
        <v>BP1b v rhp</v>
      </c>
      <c r="BM1" s="16" t="str">
        <f>IFERROR(__xludf.DUMMYFUNCTION("""COMPUTED_VALUE"""),"BP1B vL+")</f>
        <v>BP1B vL+</v>
      </c>
      <c r="BN1" s="16" t="str">
        <f>IFERROR(__xludf.DUMMYFUNCTION("""COMPUTED_VALUE"""),"BP1B vR+")</f>
        <v>BP1B vR+</v>
      </c>
      <c r="BO1" s="16" t="str">
        <f>IFERROR(__xludf.DUMMYFUNCTION("""COMPUTED_VALUE"""),"Pts")</f>
        <v>Pts</v>
      </c>
      <c r="BP1" s="16" t="str">
        <f>IFERROR(__xludf.DUMMYFUNCTION("""COMPUTED_VALUE"""),"Pts")</f>
        <v>Pts</v>
      </c>
      <c r="BQ1" s="16" t="str">
        <f>IFERROR(__xludf.DUMMYFUNCTION("""COMPUTED_VALUE"""),"DP vlhp")</f>
        <v>DP vlhp</v>
      </c>
      <c r="BR1" s="16" t="str">
        <f>IFERROR(__xludf.DUMMYFUNCTION("""COMPUTED_VALUE"""),"DP v rhp")</f>
        <v>DP v rhp</v>
      </c>
      <c r="BS1" s="16" t="str">
        <f>IFERROR(__xludf.DUMMYFUNCTION("""COMPUTED_VALUE"""),"DP vl+")</f>
        <v>DP vl+</v>
      </c>
      <c r="BT1" s="16" t="str">
        <f>IFERROR(__xludf.DUMMYFUNCTION("""COMPUTED_VALUE"""),"DP vr+")</f>
        <v>DP vr+</v>
      </c>
      <c r="BU1" s="16" t="str">
        <f>IFERROR(__xludf.DUMMYFUNCTION("""COMPUTED_VALUE"""),"Pts")</f>
        <v>Pts</v>
      </c>
      <c r="BV1" s="16" t="str">
        <f>IFERROR(__xludf.DUMMYFUNCTION("""COMPUTED_VALUE"""),"Pts")</f>
        <v>Pts</v>
      </c>
      <c r="BW1" s="16" t="str">
        <f>IFERROR(__xludf.DUMMYFUNCTION("""COMPUTED_VALUE"""),"HO")</f>
        <v>HO</v>
      </c>
      <c r="BX1" s="16" t="str">
        <f>IFERROR(__xludf.DUMMYFUNCTION("""COMPUTED_VALUE"""),"Hold")</f>
        <v>Hold</v>
      </c>
      <c r="BY1" s="16" t="str">
        <f>IFERROR(__xludf.DUMMYFUNCTION("""COMPUTED_VALUE"""),"ENDURANCE")</f>
        <v>ENDURANCE</v>
      </c>
      <c r="BZ1" s="16" t="str">
        <f>IFERROR(__xludf.DUMMYFUNCTION("""COMPUTED_VALUE"""),"cleanEndur")</f>
        <v>cleanEndur</v>
      </c>
      <c r="CA1" s="16" t="str">
        <f>IFERROR(__xludf.DUMMYFUNCTION("""COMPUTED_VALUE"""),"split1")</f>
        <v>split1</v>
      </c>
      <c r="CB1" s="16" t="str">
        <f>IFERROR(__xludf.DUMMYFUNCTION("""COMPUTED_VALUE"""),"split2")</f>
        <v>split2</v>
      </c>
      <c r="CC1" s="16" t="str">
        <f>IFERROR(__xludf.DUMMYFUNCTION("""COMPUTED_VALUE"""),"split3")</f>
        <v>split3</v>
      </c>
      <c r="CD1" s="16" t="str">
        <f>IFERROR(__xludf.DUMMYFUNCTION("""COMPUTED_VALUE"""),"SP")</f>
        <v>SP</v>
      </c>
      <c r="CE1" s="16" t="str">
        <f>IFERROR(__xludf.DUMMYFUNCTION("""COMPUTED_VALUE"""),"RP")</f>
        <v>RP</v>
      </c>
      <c r="CF1" s="16" t="str">
        <f>IFERROR(__xludf.DUMMYFUNCTION("""COMPUTED_VALUE"""),"CP")</f>
        <v>CP</v>
      </c>
      <c r="CG1" s="16" t="str">
        <f>IFERROR(__xludf.DUMMYFUNCTION("""COMPUTED_VALUE"""),"FIELD")</f>
        <v>FIELD</v>
      </c>
      <c r="CH1" s="16" t="str">
        <f>IFERROR(__xludf.DUMMYFUNCTION("""COMPUTED_VALUE"""),"Range")</f>
        <v>Range</v>
      </c>
      <c r="CI1" s="16" t="str">
        <f>IFERROR(__xludf.DUMMYFUNCTION("""COMPUTED_VALUE"""),"Error")</f>
        <v>Error</v>
      </c>
      <c r="CJ1" s="16" t="str">
        <f>IFERROR(__xludf.DUMMYFUNCTION("""COMPUTED_VALUE"""),"BK")</f>
        <v>BK</v>
      </c>
      <c r="CK1" s="16" t="str">
        <f>IFERROR(__xludf.DUMMYFUNCTION("""COMPUTED_VALUE"""),"WP")</f>
        <v>WP</v>
      </c>
      <c r="CL1" s="16" t="str">
        <f>IFERROR(__xludf.DUMMYFUNCTION("""COMPUTED_VALUE"""),"BAT-B")</f>
        <v>BAT-B</v>
      </c>
      <c r="CM1" s="16" t="str">
        <f>IFERROR(__xludf.DUMMYFUNCTION("""COMPUTED_VALUE"""),"STL")</f>
        <v>STL</v>
      </c>
      <c r="CN1" s="16" t="str">
        <f>IFERROR(__xludf.DUMMYFUNCTION("""COMPUTED_VALUE"""),"SPD")</f>
        <v>SPD</v>
      </c>
      <c r="CO1" s="16" t="str">
        <f>IFERROR(__xludf.DUMMYFUNCTION("""COMPUTED_VALUE"""),"Bunt")</f>
        <v>Bunt</v>
      </c>
      <c r="CP1" s="16" t="str">
        <f>IFERROR(__xludf.DUMMYFUNCTION("""COMPUTED_VALUE"""),"Injury")</f>
        <v>Injury</v>
      </c>
      <c r="CQ1" s="16" t="str">
        <f>IFERROR(__xludf.DUMMYFUNCTION("""COMPUTED_VALUE"""),"Raw vL")</f>
        <v>Raw vL</v>
      </c>
      <c r="CR1" s="16" t="str">
        <f>IFERROR(__xludf.DUMMYFUNCTION("""COMPUTED_VALUE"""),"Raw vR")</f>
        <v>Raw vR</v>
      </c>
      <c r="CS1" s="16" t="str">
        <f>IFERROR(__xludf.DUMMYFUNCTION("""COMPUTED_VALUE"""),"Raw Pts")</f>
        <v>Raw Pts</v>
      </c>
      <c r="CT1" s="16" t="str">
        <f>IFERROR(__xludf.DUMMYFUNCTION("""COMPUTED_VALUE"""),"vL")</f>
        <v>vL</v>
      </c>
      <c r="CU1" s="16" t="str">
        <f>IFERROR(__xludf.DUMMYFUNCTION("""COMPUTED_VALUE"""),"vR")</f>
        <v>vR</v>
      </c>
      <c r="CV1" s="16" t="str">
        <f>IFERROR(__xludf.DUMMYFUNCTION("""COMPUTED_VALUE"""),"Total")</f>
        <v>Total</v>
      </c>
      <c r="CW1" s="16" t="str">
        <f>IFERROR(__xludf.DUMMYFUNCTION("""COMPUTED_VALUE"""),"Injury Roll")</f>
        <v>Injury Roll</v>
      </c>
      <c r="CX1" s="16" t="str">
        <f>IFERROR(__xludf.DUMMYFUNCTION("""COMPUTED_VALUE"""),"Injury Length")</f>
        <v>Injury Length</v>
      </c>
      <c r="CY1" s="16" t="str">
        <f>IFERROR(__xludf.DUMMYFUNCTION("""COMPUTED_VALUE"""),"1")</f>
        <v>1</v>
      </c>
      <c r="CZ1" s="16" t="str">
        <f>IFERROR(__xludf.DUMMYFUNCTION("""COMPUTED_VALUE"""),"2")</f>
        <v>2</v>
      </c>
      <c r="DA1" s="16" t="str">
        <f>IFERROR(__xludf.DUMMYFUNCTION("""COMPUTED_VALUE"""),"3")</f>
        <v>3</v>
      </c>
      <c r="DB1" s="16" t="str">
        <f>IFERROR(__xludf.DUMMYFUNCTION("""COMPUTED_VALUE"""),"")</f>
        <v/>
      </c>
      <c r="DC1" s="16" t="str">
        <f>IFERROR(__xludf.DUMMYFUNCTION("""COMPUTED_VALUE"""),"")</f>
        <v/>
      </c>
      <c r="DD1" s="16" t="str">
        <f>IFERROR(__xludf.DUMMYFUNCTION("""COMPUTED_VALUE"""),"")</f>
        <v/>
      </c>
      <c r="DE1" s="16" t="str">
        <f>IFERROR(__xludf.DUMMYFUNCTION("""COMPUTED_VALUE"""),"")</f>
        <v/>
      </c>
      <c r="DF1" s="16" t="str">
        <f>IFERROR(__xludf.DUMMYFUNCTION("""COMPUTED_VALUE"""),"")</f>
        <v/>
      </c>
      <c r="DG1" s="16" t="str">
        <f>IFERROR(__xludf.DUMMYFUNCTION("""COMPUTED_VALUE"""),"")</f>
        <v/>
      </c>
      <c r="DH1" s="16" t="str">
        <f>IFERROR(__xludf.DUMMYFUNCTION("""COMPUTED_VALUE"""),"")</f>
        <v/>
      </c>
      <c r="DI1" s="16" t="str">
        <f>IFERROR(__xludf.DUMMYFUNCTION("""COMPUTED_VALUE"""),"")</f>
        <v/>
      </c>
      <c r="DJ1" s="16" t="str">
        <f>IFERROR(__xludf.DUMMYFUNCTION("""COMPUTED_VALUE"""),"")</f>
        <v/>
      </c>
      <c r="DK1" s="16" t="str">
        <f>IFERROR(__xludf.DUMMYFUNCTION("""COMPUTED_VALUE"""),"")</f>
        <v/>
      </c>
    </row>
    <row r="2">
      <c r="A2" s="16">
        <f>IFERROR(__xludf.DUMMYFUNCTION("""COMPUTED_VALUE"""),13360.0)</f>
        <v>13360</v>
      </c>
      <c r="B2" s="16" t="str">
        <f>IFERROR(__xludf.DUMMYFUNCTION("""COMPUTED_VALUE"""),"Sean Guenther")</f>
        <v>Sean Guenther</v>
      </c>
      <c r="C2" s="153">
        <f>IFERROR(__xludf.DUMMYFUNCTION("""COMPUTED_VALUE"""),3.43)</f>
        <v>3.43</v>
      </c>
      <c r="D2" s="16"/>
      <c r="E2" s="16" t="str">
        <f>IFERROR(__xludf.DUMMYFUNCTION("""COMPUTED_VALUE"""),"L")</f>
        <v>L</v>
      </c>
      <c r="F2" s="16">
        <f>IFERROR(__xludf.DUMMYFUNCTION("""COMPUTED_VALUE"""),21.0)</f>
        <v>21</v>
      </c>
      <c r="G2" s="16">
        <f>IFERROR(__xludf.DUMMYFUNCTION("""COMPUTED_VALUE"""),6.0)</f>
        <v>6</v>
      </c>
      <c r="H2" s="16">
        <f>IFERROR(__xludf.DUMMYFUNCTION("""COMPUTED_VALUE"""),15.0)</f>
        <v>15</v>
      </c>
      <c r="I2" s="16">
        <f>IFERROR(__xludf.DUMMYFUNCTION("""COMPUTED_VALUE"""),-2.0)</f>
        <v>-2</v>
      </c>
      <c r="J2" s="16">
        <f>IFERROR(__xludf.DUMMYFUNCTION("""COMPUTED_VALUE"""),-2.0)</f>
        <v>-2</v>
      </c>
      <c r="K2" s="16">
        <f>IFERROR(__xludf.DUMMYFUNCTION("""COMPUTED_VALUE"""),-6.0)</f>
        <v>-6</v>
      </c>
      <c r="L2" s="16">
        <f>IFERROR(__xludf.DUMMYFUNCTION("""COMPUTED_VALUE"""),-6.0)</f>
        <v>-6</v>
      </c>
      <c r="M2" s="16">
        <f>IFERROR(__xludf.DUMMYFUNCTION("""COMPUTED_VALUE"""),0.0)</f>
        <v>0</v>
      </c>
      <c r="N2" s="16">
        <f>IFERROR(__xludf.DUMMYFUNCTION("""COMPUTED_VALUE"""),0.0)</f>
        <v>0</v>
      </c>
      <c r="O2" s="16">
        <f>IFERROR(__xludf.DUMMYFUNCTION("""COMPUTED_VALUE"""),3.0)</f>
        <v>3</v>
      </c>
      <c r="P2" s="16">
        <f>IFERROR(__xludf.DUMMYFUNCTION("""COMPUTED_VALUE"""),3.0)</f>
        <v>3</v>
      </c>
      <c r="Q2" s="16">
        <f>IFERROR(__xludf.DUMMYFUNCTION("""COMPUTED_VALUE"""),3.0)</f>
        <v>3</v>
      </c>
      <c r="R2" s="16">
        <f>IFERROR(__xludf.DUMMYFUNCTION("""COMPUTED_VALUE"""),3.0)</f>
        <v>3</v>
      </c>
      <c r="S2" s="16">
        <f>IFERROR(__xludf.DUMMYFUNCTION("""COMPUTED_VALUE"""),0.0)</f>
        <v>0</v>
      </c>
      <c r="T2" s="16">
        <f>IFERROR(__xludf.DUMMYFUNCTION("""COMPUTED_VALUE"""),0.0)</f>
        <v>0</v>
      </c>
      <c r="U2" s="16">
        <f>IFERROR(__xludf.DUMMYFUNCTION("""COMPUTED_VALUE"""),3.0)</f>
        <v>3</v>
      </c>
      <c r="V2" s="16">
        <f>IFERROR(__xludf.DUMMYFUNCTION("""COMPUTED_VALUE"""),3.0)</f>
        <v>3</v>
      </c>
      <c r="W2" s="16">
        <f>IFERROR(__xludf.DUMMYFUNCTION("""COMPUTED_VALUE"""),6.0)</f>
        <v>6</v>
      </c>
      <c r="X2" s="16">
        <f>IFERROR(__xludf.DUMMYFUNCTION("""COMPUTED_VALUE"""),6.0)</f>
        <v>6</v>
      </c>
      <c r="Y2" s="16">
        <f>IFERROR(__xludf.DUMMYFUNCTION("""COMPUTED_VALUE"""),0.0)</f>
        <v>0</v>
      </c>
      <c r="Z2" s="16">
        <f>IFERROR(__xludf.DUMMYFUNCTION("""COMPUTED_VALUE"""),0.0)</f>
        <v>0</v>
      </c>
      <c r="AA2" s="16">
        <f>IFERROR(__xludf.DUMMYFUNCTION("""COMPUTED_VALUE"""),3.0)</f>
        <v>3</v>
      </c>
      <c r="AB2" s="16">
        <f>IFERROR(__xludf.DUMMYFUNCTION("""COMPUTED_VALUE"""),3.0)</f>
        <v>3</v>
      </c>
      <c r="AC2" s="16">
        <f>IFERROR(__xludf.DUMMYFUNCTION("""COMPUTED_VALUE"""),15.0)</f>
        <v>15</v>
      </c>
      <c r="AD2" s="16">
        <f>IFERROR(__xludf.DUMMYFUNCTION("""COMPUTED_VALUE"""),15.0)</f>
        <v>15</v>
      </c>
      <c r="AE2" s="16">
        <f>IFERROR(__xludf.DUMMYFUNCTION("""COMPUTED_VALUE"""),0.0)</f>
        <v>0</v>
      </c>
      <c r="AF2" s="16">
        <f>IFERROR(__xludf.DUMMYFUNCTION("""COMPUTED_VALUE"""),0.0)</f>
        <v>0</v>
      </c>
      <c r="AG2" s="16">
        <f>IFERROR(__xludf.DUMMYFUNCTION("""COMPUTED_VALUE"""),3.0)</f>
        <v>3</v>
      </c>
      <c r="AH2" s="16">
        <f>IFERROR(__xludf.DUMMYFUNCTION("""COMPUTED_VALUE"""),3.0)</f>
        <v>3</v>
      </c>
      <c r="AI2" s="16">
        <f>IFERROR(__xludf.DUMMYFUNCTION("""COMPUTED_VALUE"""),6.0)</f>
        <v>6</v>
      </c>
      <c r="AJ2" s="16">
        <f>IFERROR(__xludf.DUMMYFUNCTION("""COMPUTED_VALUE"""),6.0)</f>
        <v>6</v>
      </c>
      <c r="AK2" s="16">
        <f>IFERROR(__xludf.DUMMYFUNCTION("""COMPUTED_VALUE"""),0.0)</f>
        <v>0</v>
      </c>
      <c r="AL2" s="16">
        <f>IFERROR(__xludf.DUMMYFUNCTION("""COMPUTED_VALUE"""),0.0)</f>
        <v>0</v>
      </c>
      <c r="AM2" s="16">
        <f>IFERROR(__xludf.DUMMYFUNCTION("""COMPUTED_VALUE"""),3.0)</f>
        <v>3</v>
      </c>
      <c r="AN2" s="16">
        <f>IFERROR(__xludf.DUMMYFUNCTION("""COMPUTED_VALUE"""),3.0)</f>
        <v>3</v>
      </c>
      <c r="AO2" s="16">
        <f>IFERROR(__xludf.DUMMYFUNCTION("""COMPUTED_VALUE"""),3.0)</f>
        <v>3</v>
      </c>
      <c r="AP2" s="16">
        <f>IFERROR(__xludf.DUMMYFUNCTION("""COMPUTED_VALUE"""),3.0)</f>
        <v>3</v>
      </c>
      <c r="AQ2" s="16">
        <f>IFERROR(__xludf.DUMMYFUNCTION("""COMPUTED_VALUE"""),0.0)</f>
        <v>0</v>
      </c>
      <c r="AR2" s="16">
        <f>IFERROR(__xludf.DUMMYFUNCTION("""COMPUTED_VALUE"""),0.0)</f>
        <v>0</v>
      </c>
      <c r="AS2" s="16">
        <f>IFERROR(__xludf.DUMMYFUNCTION("""COMPUTED_VALUE"""),3.0)</f>
        <v>3</v>
      </c>
      <c r="AT2" s="16">
        <f>IFERROR(__xludf.DUMMYFUNCTION("""COMPUTED_VALUE"""),3.0)</f>
        <v>3</v>
      </c>
      <c r="AU2" s="16">
        <f>IFERROR(__xludf.DUMMYFUNCTION("""COMPUTED_VALUE"""),6.0)</f>
        <v>6</v>
      </c>
      <c r="AV2" s="16">
        <f>IFERROR(__xludf.DUMMYFUNCTION("""COMPUTED_VALUE"""),6.0)</f>
        <v>6</v>
      </c>
      <c r="AW2" s="16">
        <f>IFERROR(__xludf.DUMMYFUNCTION("""COMPUTED_VALUE"""),0.0)</f>
        <v>0</v>
      </c>
      <c r="AX2" s="16">
        <f>IFERROR(__xludf.DUMMYFUNCTION("""COMPUTED_VALUE"""),0.0)</f>
        <v>0</v>
      </c>
      <c r="AY2" s="16">
        <f>IFERROR(__xludf.DUMMYFUNCTION("""COMPUTED_VALUE"""),2.0)</f>
        <v>2</v>
      </c>
      <c r="AZ2" s="16">
        <f>IFERROR(__xludf.DUMMYFUNCTION("""COMPUTED_VALUE"""),2.0)</f>
        <v>2</v>
      </c>
      <c r="BA2" s="16">
        <f>IFERROR(__xludf.DUMMYFUNCTION("""COMPUTED_VALUE"""),10.0)</f>
        <v>10</v>
      </c>
      <c r="BB2" s="16">
        <f>IFERROR(__xludf.DUMMYFUNCTION("""COMPUTED_VALUE"""),10.0)</f>
        <v>10</v>
      </c>
      <c r="BC2" s="16"/>
      <c r="BD2" s="16"/>
      <c r="BE2" s="16">
        <f>IFERROR(__xludf.DUMMYFUNCTION("""COMPUTED_VALUE"""),0.0)</f>
        <v>0</v>
      </c>
      <c r="BF2" s="16">
        <f>IFERROR(__xludf.DUMMYFUNCTION("""COMPUTED_VALUE"""),0.0)</f>
        <v>0</v>
      </c>
      <c r="BG2" s="16">
        <f>IFERROR(__xludf.DUMMYFUNCTION("""COMPUTED_VALUE"""),3.0)</f>
        <v>3</v>
      </c>
      <c r="BH2" s="16">
        <f>IFERROR(__xludf.DUMMYFUNCTION("""COMPUTED_VALUE"""),2.0)</f>
        <v>2</v>
      </c>
      <c r="BI2" s="16">
        <f>IFERROR(__xludf.DUMMYFUNCTION("""COMPUTED_VALUE"""),6.0)</f>
        <v>6</v>
      </c>
      <c r="BJ2" s="16">
        <f>IFERROR(__xludf.DUMMYFUNCTION("""COMPUTED_VALUE"""),4.0)</f>
        <v>4</v>
      </c>
      <c r="BK2" s="16">
        <f>IFERROR(__xludf.DUMMYFUNCTION("""COMPUTED_VALUE"""),0.0)</f>
        <v>0</v>
      </c>
      <c r="BL2" s="16">
        <f>IFERROR(__xludf.DUMMYFUNCTION("""COMPUTED_VALUE"""),0.0)</f>
        <v>0</v>
      </c>
      <c r="BM2" s="16">
        <f>IFERROR(__xludf.DUMMYFUNCTION("""COMPUTED_VALUE"""),1.0)</f>
        <v>1</v>
      </c>
      <c r="BN2" s="16">
        <f>IFERROR(__xludf.DUMMYFUNCTION("""COMPUTED_VALUE"""),1.0)</f>
        <v>1</v>
      </c>
      <c r="BO2" s="16">
        <f>IFERROR(__xludf.DUMMYFUNCTION("""COMPUTED_VALUE"""),1.0)</f>
        <v>1</v>
      </c>
      <c r="BP2" s="16">
        <f>IFERROR(__xludf.DUMMYFUNCTION("""COMPUTED_VALUE"""),1.0)</f>
        <v>1</v>
      </c>
      <c r="BQ2" s="16">
        <f>IFERROR(__xludf.DUMMYFUNCTION("""COMPUTED_VALUE"""),12.0)</f>
        <v>12</v>
      </c>
      <c r="BR2" s="16">
        <f>IFERROR(__xludf.DUMMYFUNCTION("""COMPUTED_VALUE"""),12.0)</f>
        <v>12</v>
      </c>
      <c r="BS2" s="16">
        <f>IFERROR(__xludf.DUMMYFUNCTION("""COMPUTED_VALUE"""),3.0)</f>
        <v>3</v>
      </c>
      <c r="BT2" s="16">
        <f>IFERROR(__xludf.DUMMYFUNCTION("""COMPUTED_VALUE"""),3.0)</f>
        <v>3</v>
      </c>
      <c r="BU2" s="16">
        <f>IFERROR(__xludf.DUMMYFUNCTION("""COMPUTED_VALUE"""),6.0)</f>
        <v>6</v>
      </c>
      <c r="BV2" s="16">
        <f>IFERROR(__xludf.DUMMYFUNCTION("""COMPUTED_VALUE"""),6.0)</f>
        <v>6</v>
      </c>
      <c r="BW2" s="16">
        <f>IFERROR(__xludf.DUMMYFUNCTION("""COMPUTED_VALUE"""),-1.0)</f>
        <v>-1</v>
      </c>
      <c r="BX2" s="16">
        <f>IFERROR(__xludf.DUMMYFUNCTION("""COMPUTED_VALUE"""),-1.0)</f>
        <v>-1</v>
      </c>
      <c r="BY2" s="16" t="str">
        <f>IFERROR(__xludf.DUMMYFUNCTION("""COMPUTED_VALUE"""),"R(2)")</f>
        <v>R(2)</v>
      </c>
      <c r="BZ2" s="16" t="str">
        <f>IFERROR(__xludf.DUMMYFUNCTION("""COMPUTED_VALUE"""),"R(2)")</f>
        <v>R(2)</v>
      </c>
      <c r="CA2" s="16" t="str">
        <f>IFERROR(__xludf.DUMMYFUNCTION("""COMPUTED_VALUE"""),"R(2)")</f>
        <v>R(2)</v>
      </c>
      <c r="CB2" s="16"/>
      <c r="CC2" s="16"/>
      <c r="CD2" s="16"/>
      <c r="CE2" s="16">
        <f>IFERROR(__xludf.DUMMYFUNCTION("""COMPUTED_VALUE"""),2.0)</f>
        <v>2</v>
      </c>
      <c r="CF2" s="16"/>
      <c r="CG2" s="16" t="str">
        <f>IFERROR(__xludf.DUMMYFUNCTION("""COMPUTED_VALUE"""),"3-0")</f>
        <v>3-0</v>
      </c>
      <c r="CH2" s="16">
        <f>IFERROR(__xludf.DUMMYFUNCTION("""COMPUTED_VALUE"""),3.0)</f>
        <v>3</v>
      </c>
      <c r="CI2" s="16">
        <f>IFERROR(__xludf.DUMMYFUNCTION("""COMPUTED_VALUE"""),0.0)</f>
        <v>0</v>
      </c>
      <c r="CJ2" s="16">
        <f>IFERROR(__xludf.DUMMYFUNCTION("""COMPUTED_VALUE"""),0.0)</f>
        <v>0</v>
      </c>
      <c r="CK2" s="16">
        <f>IFERROR(__xludf.DUMMYFUNCTION("""COMPUTED_VALUE"""),0.0)</f>
        <v>0</v>
      </c>
      <c r="CL2" s="16" t="str">
        <f>IFERROR(__xludf.DUMMYFUNCTION("""COMPUTED_VALUE"""),"1WL-C")</f>
        <v>1WL-C</v>
      </c>
      <c r="CM2" s="16" t="str">
        <f>IFERROR(__xludf.DUMMYFUNCTION("""COMPUTED_VALUE"""),"E")</f>
        <v>E</v>
      </c>
      <c r="CN2" s="16">
        <f>IFERROR(__xludf.DUMMYFUNCTION("""COMPUTED_VALUE"""),10.0)</f>
        <v>10</v>
      </c>
      <c r="CO2" s="16" t="str">
        <f>IFERROR(__xludf.DUMMYFUNCTION("""COMPUTED_VALUE"""),"C")</f>
        <v>C</v>
      </c>
      <c r="CP2" s="16" t="str">
        <f>IFERROR(__xludf.DUMMYFUNCTION("""COMPUTED_VALUE"""),"1p20")</f>
        <v>1p20</v>
      </c>
      <c r="CQ2" s="16">
        <f>IFERROR(__xludf.DUMMYFUNCTION("""COMPUTED_VALUE"""),56.0)</f>
        <v>56</v>
      </c>
      <c r="CR2" s="16">
        <f>IFERROR(__xludf.DUMMYFUNCTION("""COMPUTED_VALUE"""),54.0)</f>
        <v>54</v>
      </c>
      <c r="CS2" s="16">
        <f>IFERROR(__xludf.DUMMYFUNCTION("""COMPUTED_VALUE"""),110.0)</f>
        <v>110</v>
      </c>
      <c r="CT2" s="16">
        <f>IFERROR(__xludf.DUMMYFUNCTION("""COMPUTED_VALUE"""),56.0)</f>
        <v>56</v>
      </c>
      <c r="CU2" s="16">
        <f>IFERROR(__xludf.DUMMYFUNCTION("""COMPUTED_VALUE"""),54.0)</f>
        <v>54</v>
      </c>
      <c r="CV2" s="179">
        <f>IFERROR(__xludf.DUMMYFUNCTION("""COMPUTED_VALUE"""),61.666666666666664)</f>
        <v>61.66666667</v>
      </c>
      <c r="CW2" s="179">
        <f>IFERROR(__xludf.DUMMYFUNCTION("""COMPUTED_VALUE"""),4.0)</f>
        <v>4</v>
      </c>
      <c r="CX2" s="179">
        <f>IFERROR(__xludf.DUMMYFUNCTION("""COMPUTED_VALUE"""),3.0)</f>
        <v>3</v>
      </c>
      <c r="CY2" s="16" t="str">
        <f>IFERROR(__xludf.DUMMYFUNCTION("""COMPUTED_VALUE"""),"RP")</f>
        <v>RP</v>
      </c>
      <c r="CZ2" s="16"/>
      <c r="DA2" s="16"/>
      <c r="DB2" s="16"/>
      <c r="DC2" s="16"/>
      <c r="DD2" s="16"/>
      <c r="DE2" s="16"/>
      <c r="DF2" s="16"/>
      <c r="DG2" s="16"/>
      <c r="DH2" s="16"/>
      <c r="DI2" s="16"/>
      <c r="DJ2" s="16"/>
      <c r="DK2" s="16"/>
    </row>
    <row r="3">
      <c r="A3" s="16">
        <f>IFERROR(__xludf.DUMMYFUNCTION("""COMPUTED_VALUE"""),12794.0)</f>
        <v>12794</v>
      </c>
      <c r="B3" s="16" t="str">
        <f>IFERROR(__xludf.DUMMYFUNCTION("""COMPUTED_VALUE"""),"Emmanuel Clase")</f>
        <v>Emmanuel Clase</v>
      </c>
      <c r="C3" s="153">
        <f>IFERROR(__xludf.DUMMYFUNCTION("""COMPUTED_VALUE"""),2.84)</f>
        <v>2.84</v>
      </c>
      <c r="D3" s="16"/>
      <c r="E3" s="16" t="str">
        <f>IFERROR(__xludf.DUMMYFUNCTION("""COMPUTED_VALUE"""),"R")</f>
        <v>R</v>
      </c>
      <c r="F3" s="16">
        <f>IFERROR(__xludf.DUMMYFUNCTION("""COMPUTED_VALUE"""),74.0)</f>
        <v>74</v>
      </c>
      <c r="G3" s="16">
        <f>IFERROR(__xludf.DUMMYFUNCTION("""COMPUTED_VALUE"""),26.0)</f>
        <v>26</v>
      </c>
      <c r="H3" s="16">
        <f>IFERROR(__xludf.DUMMYFUNCTION("""COMPUTED_VALUE"""),32.0)</f>
        <v>32</v>
      </c>
      <c r="I3" s="16">
        <f>IFERROR(__xludf.DUMMYFUNCTION("""COMPUTED_VALUE"""),0.0)</f>
        <v>0</v>
      </c>
      <c r="J3" s="16">
        <f>IFERROR(__xludf.DUMMYFUNCTION("""COMPUTED_VALUE"""),1.0)</f>
        <v>1</v>
      </c>
      <c r="K3" s="16">
        <f>IFERROR(__xludf.DUMMYFUNCTION("""COMPUTED_VALUE"""),0.0)</f>
        <v>0</v>
      </c>
      <c r="L3" s="16">
        <f>IFERROR(__xludf.DUMMYFUNCTION("""COMPUTED_VALUE"""),3.0)</f>
        <v>3</v>
      </c>
      <c r="M3" s="16">
        <f>IFERROR(__xludf.DUMMYFUNCTION("""COMPUTED_VALUE"""),0.0)</f>
        <v>0</v>
      </c>
      <c r="N3" s="16">
        <f>IFERROR(__xludf.DUMMYFUNCTION("""COMPUTED_VALUE"""),0.0)</f>
        <v>0</v>
      </c>
      <c r="O3" s="16">
        <f>IFERROR(__xludf.DUMMYFUNCTION("""COMPUTED_VALUE"""),3.0)</f>
        <v>3</v>
      </c>
      <c r="P3" s="16">
        <f>IFERROR(__xludf.DUMMYFUNCTION("""COMPUTED_VALUE"""),3.0)</f>
        <v>3</v>
      </c>
      <c r="Q3" s="16">
        <f>IFERROR(__xludf.DUMMYFUNCTION("""COMPUTED_VALUE"""),3.0)</f>
        <v>3</v>
      </c>
      <c r="R3" s="16">
        <f>IFERROR(__xludf.DUMMYFUNCTION("""COMPUTED_VALUE"""),3.0)</f>
        <v>3</v>
      </c>
      <c r="S3" s="16">
        <f>IFERROR(__xludf.DUMMYFUNCTION("""COMPUTED_VALUE"""),0.0)</f>
        <v>0</v>
      </c>
      <c r="T3" s="16">
        <f>IFERROR(__xludf.DUMMYFUNCTION("""COMPUTED_VALUE"""),8.3)</f>
        <v>8.3</v>
      </c>
      <c r="U3" s="16">
        <f>IFERROR(__xludf.DUMMYFUNCTION("""COMPUTED_VALUE"""),3.0)</f>
        <v>3</v>
      </c>
      <c r="V3" s="16">
        <f>IFERROR(__xludf.DUMMYFUNCTION("""COMPUTED_VALUE"""),1.0)</f>
        <v>1</v>
      </c>
      <c r="W3" s="16">
        <f>IFERROR(__xludf.DUMMYFUNCTION("""COMPUTED_VALUE"""),6.0)</f>
        <v>6</v>
      </c>
      <c r="X3" s="16">
        <f>IFERROR(__xludf.DUMMYFUNCTION("""COMPUTED_VALUE"""),2.0)</f>
        <v>2</v>
      </c>
      <c r="Y3" s="16">
        <f>IFERROR(__xludf.DUMMYFUNCTION("""COMPUTED_VALUE"""),0.0)</f>
        <v>0</v>
      </c>
      <c r="Z3" s="16">
        <f>IFERROR(__xludf.DUMMYFUNCTION("""COMPUTED_VALUE"""),8.3)</f>
        <v>8.3</v>
      </c>
      <c r="AA3" s="16">
        <f>IFERROR(__xludf.DUMMYFUNCTION("""COMPUTED_VALUE"""),3.0)</f>
        <v>3</v>
      </c>
      <c r="AB3" s="16">
        <f>IFERROR(__xludf.DUMMYFUNCTION("""COMPUTED_VALUE"""),2.0)</f>
        <v>2</v>
      </c>
      <c r="AC3" s="16">
        <f>IFERROR(__xludf.DUMMYFUNCTION("""COMPUTED_VALUE"""),15.0)</f>
        <v>15</v>
      </c>
      <c r="AD3" s="16">
        <f>IFERROR(__xludf.DUMMYFUNCTION("""COMPUTED_VALUE"""),10.0)</f>
        <v>10</v>
      </c>
      <c r="AE3" s="16">
        <f>IFERROR(__xludf.DUMMYFUNCTION("""COMPUTED_VALUE"""),0.0)</f>
        <v>0</v>
      </c>
      <c r="AF3" s="16">
        <f>IFERROR(__xludf.DUMMYFUNCTION("""COMPUTED_VALUE"""),8.6)</f>
        <v>8.6</v>
      </c>
      <c r="AG3" s="16">
        <f>IFERROR(__xludf.DUMMYFUNCTION("""COMPUTED_VALUE"""),3.0)</f>
        <v>3</v>
      </c>
      <c r="AH3" s="16">
        <f>IFERROR(__xludf.DUMMYFUNCTION("""COMPUTED_VALUE"""),2.0)</f>
        <v>2</v>
      </c>
      <c r="AI3" s="16">
        <f>IFERROR(__xludf.DUMMYFUNCTION("""COMPUTED_VALUE"""),6.0)</f>
        <v>6</v>
      </c>
      <c r="AJ3" s="16">
        <f>IFERROR(__xludf.DUMMYFUNCTION("""COMPUTED_VALUE"""),4.0)</f>
        <v>4</v>
      </c>
      <c r="AK3" s="16">
        <f>IFERROR(__xludf.DUMMYFUNCTION("""COMPUTED_VALUE"""),0.0)</f>
        <v>0</v>
      </c>
      <c r="AL3" s="16">
        <f>IFERROR(__xludf.DUMMYFUNCTION("""COMPUTED_VALUE"""),8.3)</f>
        <v>8.3</v>
      </c>
      <c r="AM3" s="16">
        <f>IFERROR(__xludf.DUMMYFUNCTION("""COMPUTED_VALUE"""),3.0)</f>
        <v>3</v>
      </c>
      <c r="AN3" s="16">
        <f>IFERROR(__xludf.DUMMYFUNCTION("""COMPUTED_VALUE"""),1.0)</f>
        <v>1</v>
      </c>
      <c r="AO3" s="16">
        <f>IFERROR(__xludf.DUMMYFUNCTION("""COMPUTED_VALUE"""),3.0)</f>
        <v>3</v>
      </c>
      <c r="AP3" s="16">
        <f>IFERROR(__xludf.DUMMYFUNCTION("""COMPUTED_VALUE"""),1.0)</f>
        <v>1</v>
      </c>
      <c r="AQ3" s="16">
        <f>IFERROR(__xludf.DUMMYFUNCTION("""COMPUTED_VALUE"""),0.0)</f>
        <v>0</v>
      </c>
      <c r="AR3" s="16">
        <f>IFERROR(__xludf.DUMMYFUNCTION("""COMPUTED_VALUE"""),8.6)</f>
        <v>8.6</v>
      </c>
      <c r="AS3" s="16">
        <f>IFERROR(__xludf.DUMMYFUNCTION("""COMPUTED_VALUE"""),3.0)</f>
        <v>3</v>
      </c>
      <c r="AT3" s="16">
        <f>IFERROR(__xludf.DUMMYFUNCTION("""COMPUTED_VALUE"""),2.0)</f>
        <v>2</v>
      </c>
      <c r="AU3" s="16">
        <f>IFERROR(__xludf.DUMMYFUNCTION("""COMPUTED_VALUE"""),6.0)</f>
        <v>6</v>
      </c>
      <c r="AV3" s="16">
        <f>IFERROR(__xludf.DUMMYFUNCTION("""COMPUTED_VALUE"""),4.0)</f>
        <v>4</v>
      </c>
      <c r="AW3" s="16">
        <f>IFERROR(__xludf.DUMMYFUNCTION("""COMPUTED_VALUE"""),0.0)</f>
        <v>0</v>
      </c>
      <c r="AX3" s="16">
        <f>IFERROR(__xludf.DUMMYFUNCTION("""COMPUTED_VALUE"""),0.0)</f>
        <v>0</v>
      </c>
      <c r="AY3" s="16">
        <f>IFERROR(__xludf.DUMMYFUNCTION("""COMPUTED_VALUE"""),2.0)</f>
        <v>2</v>
      </c>
      <c r="AZ3" s="16">
        <f>IFERROR(__xludf.DUMMYFUNCTION("""COMPUTED_VALUE"""),2.0)</f>
        <v>2</v>
      </c>
      <c r="BA3" s="16">
        <f>IFERROR(__xludf.DUMMYFUNCTION("""COMPUTED_VALUE"""),10.0)</f>
        <v>10</v>
      </c>
      <c r="BB3" s="16">
        <f>IFERROR(__xludf.DUMMYFUNCTION("""COMPUTED_VALUE"""),10.0)</f>
        <v>10</v>
      </c>
      <c r="BC3" s="16"/>
      <c r="BD3" s="16">
        <f>IFERROR(__xludf.DUMMYFUNCTION("""COMPUTED_VALUE"""),0.0)</f>
        <v>0</v>
      </c>
      <c r="BE3" s="16">
        <f>IFERROR(__xludf.DUMMYFUNCTION("""COMPUTED_VALUE"""),0.0)</f>
        <v>0</v>
      </c>
      <c r="BF3" s="16">
        <f>IFERROR(__xludf.DUMMYFUNCTION("""COMPUTED_VALUE"""),0.0)</f>
        <v>0</v>
      </c>
      <c r="BG3" s="16">
        <f>IFERROR(__xludf.DUMMYFUNCTION("""COMPUTED_VALUE"""),3.0)</f>
        <v>3</v>
      </c>
      <c r="BH3" s="16">
        <f>IFERROR(__xludf.DUMMYFUNCTION("""COMPUTED_VALUE"""),2.0)</f>
        <v>2</v>
      </c>
      <c r="BI3" s="16">
        <f>IFERROR(__xludf.DUMMYFUNCTION("""COMPUTED_VALUE"""),6.0)</f>
        <v>6</v>
      </c>
      <c r="BJ3" s="16">
        <f>IFERROR(__xludf.DUMMYFUNCTION("""COMPUTED_VALUE"""),4.0)</f>
        <v>4</v>
      </c>
      <c r="BK3" s="16">
        <f>IFERROR(__xludf.DUMMYFUNCTION("""COMPUTED_VALUE"""),0.0)</f>
        <v>0</v>
      </c>
      <c r="BL3" s="16">
        <f>IFERROR(__xludf.DUMMYFUNCTION("""COMPUTED_VALUE"""),5.0)</f>
        <v>5</v>
      </c>
      <c r="BM3" s="16">
        <f>IFERROR(__xludf.DUMMYFUNCTION("""COMPUTED_VALUE"""),1.0)</f>
        <v>1</v>
      </c>
      <c r="BN3" s="16">
        <f>IFERROR(__xludf.DUMMYFUNCTION("""COMPUTED_VALUE"""),0.0)</f>
        <v>0</v>
      </c>
      <c r="BO3" s="16">
        <f>IFERROR(__xludf.DUMMYFUNCTION("""COMPUTED_VALUE"""),1.0)</f>
        <v>1</v>
      </c>
      <c r="BP3" s="16">
        <f>IFERROR(__xludf.DUMMYFUNCTION("""COMPUTED_VALUE"""),0.0)</f>
        <v>0</v>
      </c>
      <c r="BQ3" s="16">
        <f>IFERROR(__xludf.DUMMYFUNCTION("""COMPUTED_VALUE"""),12.0)</f>
        <v>12</v>
      </c>
      <c r="BR3" s="16">
        <f>IFERROR(__xludf.DUMMYFUNCTION("""COMPUTED_VALUE"""),12.0)</f>
        <v>12</v>
      </c>
      <c r="BS3" s="16">
        <f>IFERROR(__xludf.DUMMYFUNCTION("""COMPUTED_VALUE"""),3.0)</f>
        <v>3</v>
      </c>
      <c r="BT3" s="16">
        <f>IFERROR(__xludf.DUMMYFUNCTION("""COMPUTED_VALUE"""),3.0)</f>
        <v>3</v>
      </c>
      <c r="BU3" s="16">
        <f>IFERROR(__xludf.DUMMYFUNCTION("""COMPUTED_VALUE"""),6.0)</f>
        <v>6</v>
      </c>
      <c r="BV3" s="16">
        <f>IFERROR(__xludf.DUMMYFUNCTION("""COMPUTED_VALUE"""),6.0)</f>
        <v>6</v>
      </c>
      <c r="BW3" s="16">
        <f>IFERROR(__xludf.DUMMYFUNCTION("""COMPUTED_VALUE"""),-4.0)</f>
        <v>-4</v>
      </c>
      <c r="BX3" s="16">
        <f>IFERROR(__xludf.DUMMYFUNCTION("""COMPUTED_VALUE"""),-4.0)</f>
        <v>-4</v>
      </c>
      <c r="BY3" s="16" t="str">
        <f>IFERROR(__xludf.DUMMYFUNCTION("""COMPUTED_VALUE"""),"R(1) C(6)")</f>
        <v>R(1) C(6)</v>
      </c>
      <c r="BZ3" s="16" t="str">
        <f>IFERROR(__xludf.DUMMYFUNCTION("""COMPUTED_VALUE"""),"R(1) C(6)")</f>
        <v>R(1) C(6)</v>
      </c>
      <c r="CA3" s="16" t="str">
        <f>IFERROR(__xludf.DUMMYFUNCTION("""COMPUTED_VALUE"""),"R(1)")</f>
        <v>R(1)</v>
      </c>
      <c r="CB3" s="16" t="str">
        <f>IFERROR(__xludf.DUMMYFUNCTION("""COMPUTED_VALUE"""),"C(6)")</f>
        <v>C(6)</v>
      </c>
      <c r="CC3" s="16"/>
      <c r="CD3" s="16"/>
      <c r="CE3" s="16">
        <f>IFERROR(__xludf.DUMMYFUNCTION("""COMPUTED_VALUE"""),1.0)</f>
        <v>1</v>
      </c>
      <c r="CF3" s="16">
        <f>IFERROR(__xludf.DUMMYFUNCTION("""COMPUTED_VALUE"""),6.0)</f>
        <v>6</v>
      </c>
      <c r="CG3" s="16" t="str">
        <f>IFERROR(__xludf.DUMMYFUNCTION("""COMPUTED_VALUE"""),"4-38")</f>
        <v>4-38</v>
      </c>
      <c r="CH3" s="16">
        <f>IFERROR(__xludf.DUMMYFUNCTION("""COMPUTED_VALUE"""),4.0)</f>
        <v>4</v>
      </c>
      <c r="CI3" s="16">
        <f>IFERROR(__xludf.DUMMYFUNCTION("""COMPUTED_VALUE"""),38.0)</f>
        <v>38</v>
      </c>
      <c r="CJ3" s="16">
        <f>IFERROR(__xludf.DUMMYFUNCTION("""COMPUTED_VALUE"""),0.0)</f>
        <v>0</v>
      </c>
      <c r="CK3" s="16">
        <f>IFERROR(__xludf.DUMMYFUNCTION("""COMPUTED_VALUE"""),6.0)</f>
        <v>6</v>
      </c>
      <c r="CL3" s="16" t="str">
        <f>IFERROR(__xludf.DUMMYFUNCTION("""COMPUTED_VALUE"""),"1WR-C")</f>
        <v>1WR-C</v>
      </c>
      <c r="CM3" s="16" t="str">
        <f>IFERROR(__xludf.DUMMYFUNCTION("""COMPUTED_VALUE"""),"E")</f>
        <v>E</v>
      </c>
      <c r="CN3" s="16">
        <f>IFERROR(__xludf.DUMMYFUNCTION("""COMPUTED_VALUE"""),10.0)</f>
        <v>10</v>
      </c>
      <c r="CO3" s="16" t="str">
        <f>IFERROR(__xludf.DUMMYFUNCTION("""COMPUTED_VALUE"""),"C")</f>
        <v>C</v>
      </c>
      <c r="CP3" s="16" t="str">
        <f>IFERROR(__xludf.DUMMYFUNCTION("""COMPUTED_VALUE"""),"0p72")</f>
        <v>0p72</v>
      </c>
      <c r="CQ3" s="16">
        <f>IFERROR(__xludf.DUMMYFUNCTION("""COMPUTED_VALUE"""),62.0)</f>
        <v>62</v>
      </c>
      <c r="CR3" s="16">
        <f>IFERROR(__xludf.DUMMYFUNCTION("""COMPUTED_VALUE"""),47.0)</f>
        <v>47</v>
      </c>
      <c r="CS3" s="16">
        <f>IFERROR(__xludf.DUMMYFUNCTION("""COMPUTED_VALUE"""),109.0)</f>
        <v>109</v>
      </c>
      <c r="CT3" s="16">
        <f>IFERROR(__xludf.DUMMYFUNCTION("""COMPUTED_VALUE"""),62.0)</f>
        <v>62</v>
      </c>
      <c r="CU3" s="16">
        <f>IFERROR(__xludf.DUMMYFUNCTION("""COMPUTED_VALUE"""),47.0)</f>
        <v>47</v>
      </c>
      <c r="CV3" s="179">
        <f>IFERROR(__xludf.DUMMYFUNCTION("""COMPUTED_VALUE"""),61.0)</f>
        <v>61</v>
      </c>
      <c r="CW3" s="179">
        <f>IFERROR(__xludf.DUMMYFUNCTION("""COMPUTED_VALUE"""),5.0)</f>
        <v>5</v>
      </c>
      <c r="CX3" s="179">
        <f>IFERROR(__xludf.DUMMYFUNCTION("""COMPUTED_VALUE"""),4.0)</f>
        <v>4</v>
      </c>
      <c r="CY3" s="16" t="str">
        <f>IFERROR(__xludf.DUMMYFUNCTION("""COMPUTED_VALUE"""),"RP")</f>
        <v>RP</v>
      </c>
      <c r="CZ3" s="16" t="str">
        <f>IFERROR(__xludf.DUMMYFUNCTION("""COMPUTED_VALUE"""),"CP")</f>
        <v>CP</v>
      </c>
      <c r="DA3" s="16"/>
      <c r="DB3" s="16"/>
      <c r="DC3" s="16"/>
      <c r="DD3" s="16"/>
      <c r="DE3" s="16"/>
      <c r="DF3" s="16"/>
      <c r="DG3" s="16"/>
      <c r="DH3" s="16"/>
      <c r="DI3" s="16"/>
      <c r="DJ3" s="16"/>
      <c r="DK3" s="16"/>
    </row>
    <row r="4">
      <c r="A4" s="16">
        <f>IFERROR(__xludf.DUMMYFUNCTION("""COMPUTED_VALUE"""),12934.0)</f>
        <v>12934</v>
      </c>
      <c r="B4" s="16" t="str">
        <f>IFERROR(__xludf.DUMMYFUNCTION("""COMPUTED_VALUE"""),"Jason Adam")</f>
        <v>Jason Adam</v>
      </c>
      <c r="C4" s="153">
        <f>IFERROR(__xludf.DUMMYFUNCTION("""COMPUTED_VALUE"""),1.69)</f>
        <v>1.69</v>
      </c>
      <c r="D4" s="16"/>
      <c r="E4" s="16" t="str">
        <f>IFERROR(__xludf.DUMMYFUNCTION("""COMPUTED_VALUE"""),"R")</f>
        <v>R</v>
      </c>
      <c r="F4" s="16">
        <f>IFERROR(__xludf.DUMMYFUNCTION("""COMPUTED_VALUE"""),74.0)</f>
        <v>74</v>
      </c>
      <c r="G4" s="16">
        <f>IFERROR(__xludf.DUMMYFUNCTION("""COMPUTED_VALUE"""),37.0)</f>
        <v>37</v>
      </c>
      <c r="H4" s="16">
        <f>IFERROR(__xludf.DUMMYFUNCTION("""COMPUTED_VALUE"""),42.0)</f>
        <v>42</v>
      </c>
      <c r="I4" s="16">
        <f>IFERROR(__xludf.DUMMYFUNCTION("""COMPUTED_VALUE"""),1.0)</f>
        <v>1</v>
      </c>
      <c r="J4" s="16">
        <f>IFERROR(__xludf.DUMMYFUNCTION("""COMPUTED_VALUE"""),2.0)</f>
        <v>2</v>
      </c>
      <c r="K4" s="16">
        <f>IFERROR(__xludf.DUMMYFUNCTION("""COMPUTED_VALUE"""),3.0)</f>
        <v>3</v>
      </c>
      <c r="L4" s="16">
        <f>IFERROR(__xludf.DUMMYFUNCTION("""COMPUTED_VALUE"""),6.0)</f>
        <v>6</v>
      </c>
      <c r="M4" s="16">
        <f>IFERROR(__xludf.DUMMYFUNCTION("""COMPUTED_VALUE"""),3.0)</f>
        <v>3</v>
      </c>
      <c r="N4" s="16">
        <f>IFERROR(__xludf.DUMMYFUNCTION("""COMPUTED_VALUE"""),9.0)</f>
        <v>9</v>
      </c>
      <c r="O4" s="16">
        <f>IFERROR(__xludf.DUMMYFUNCTION("""COMPUTED_VALUE"""),2.0)</f>
        <v>2</v>
      </c>
      <c r="P4" s="16">
        <f>IFERROR(__xludf.DUMMYFUNCTION("""COMPUTED_VALUE"""),0.0)</f>
        <v>0</v>
      </c>
      <c r="Q4" s="16">
        <f>IFERROR(__xludf.DUMMYFUNCTION("""COMPUTED_VALUE"""),2.0)</f>
        <v>2</v>
      </c>
      <c r="R4" s="16">
        <f>IFERROR(__xludf.DUMMYFUNCTION("""COMPUTED_VALUE"""),0.0)</f>
        <v>0</v>
      </c>
      <c r="S4" s="16">
        <f>IFERROR(__xludf.DUMMYFUNCTION("""COMPUTED_VALUE"""),0.9)</f>
        <v>0.9</v>
      </c>
      <c r="T4" s="16">
        <f>IFERROR(__xludf.DUMMYFUNCTION("""COMPUTED_VALUE"""),3.9)</f>
        <v>3.9</v>
      </c>
      <c r="U4" s="16">
        <f>IFERROR(__xludf.DUMMYFUNCTION("""COMPUTED_VALUE"""),2.0)</f>
        <v>2</v>
      </c>
      <c r="V4" s="16">
        <f>IFERROR(__xludf.DUMMYFUNCTION("""COMPUTED_VALUE"""),2.0)</f>
        <v>2</v>
      </c>
      <c r="W4" s="16">
        <f>IFERROR(__xludf.DUMMYFUNCTION("""COMPUTED_VALUE"""),4.0)</f>
        <v>4</v>
      </c>
      <c r="X4" s="16">
        <f>IFERROR(__xludf.DUMMYFUNCTION("""COMPUTED_VALUE"""),4.0)</f>
        <v>4</v>
      </c>
      <c r="Y4" s="16">
        <f>IFERROR(__xludf.DUMMYFUNCTION("""COMPUTED_VALUE"""),3.8)</f>
        <v>3.8</v>
      </c>
      <c r="Z4" s="16">
        <f>IFERROR(__xludf.DUMMYFUNCTION("""COMPUTED_VALUE"""),12.9)</f>
        <v>12.9</v>
      </c>
      <c r="AA4" s="16">
        <f>IFERROR(__xludf.DUMMYFUNCTION("""COMPUTED_VALUE"""),3.0)</f>
        <v>3</v>
      </c>
      <c r="AB4" s="16">
        <f>IFERROR(__xludf.DUMMYFUNCTION("""COMPUTED_VALUE"""),2.0)</f>
        <v>2</v>
      </c>
      <c r="AC4" s="16">
        <f>IFERROR(__xludf.DUMMYFUNCTION("""COMPUTED_VALUE"""),15.0)</f>
        <v>15</v>
      </c>
      <c r="AD4" s="16">
        <f>IFERROR(__xludf.DUMMYFUNCTION("""COMPUTED_VALUE"""),10.0)</f>
        <v>10</v>
      </c>
      <c r="AE4" s="16">
        <f>IFERROR(__xludf.DUMMYFUNCTION("""COMPUTED_VALUE"""),1.6)</f>
        <v>1.6</v>
      </c>
      <c r="AF4" s="16">
        <f>IFERROR(__xludf.DUMMYFUNCTION("""COMPUTED_VALUE"""),10.4)</f>
        <v>10.4</v>
      </c>
      <c r="AG4" s="16">
        <f>IFERROR(__xludf.DUMMYFUNCTION("""COMPUTED_VALUE"""),2.0)</f>
        <v>2</v>
      </c>
      <c r="AH4" s="16">
        <f>IFERROR(__xludf.DUMMYFUNCTION("""COMPUTED_VALUE"""),2.0)</f>
        <v>2</v>
      </c>
      <c r="AI4" s="16">
        <f>IFERROR(__xludf.DUMMYFUNCTION("""COMPUTED_VALUE"""),4.0)</f>
        <v>4</v>
      </c>
      <c r="AJ4" s="16">
        <f>IFERROR(__xludf.DUMMYFUNCTION("""COMPUTED_VALUE"""),4.0)</f>
        <v>4</v>
      </c>
      <c r="AK4" s="16">
        <f>IFERROR(__xludf.DUMMYFUNCTION("""COMPUTED_VALUE"""),0.9)</f>
        <v>0.9</v>
      </c>
      <c r="AL4" s="16">
        <f>IFERROR(__xludf.DUMMYFUNCTION("""COMPUTED_VALUE"""),3.0999999999999996)</f>
        <v>3.1</v>
      </c>
      <c r="AM4" s="16">
        <f>IFERROR(__xludf.DUMMYFUNCTION("""COMPUTED_VALUE"""),2.0)</f>
        <v>2</v>
      </c>
      <c r="AN4" s="16">
        <f>IFERROR(__xludf.DUMMYFUNCTION("""COMPUTED_VALUE"""),2.0)</f>
        <v>2</v>
      </c>
      <c r="AO4" s="16">
        <f>IFERROR(__xludf.DUMMYFUNCTION("""COMPUTED_VALUE"""),2.0)</f>
        <v>2</v>
      </c>
      <c r="AP4" s="16">
        <f>IFERROR(__xludf.DUMMYFUNCTION("""COMPUTED_VALUE"""),2.0)</f>
        <v>2</v>
      </c>
      <c r="AQ4" s="16">
        <f>IFERROR(__xludf.DUMMYFUNCTION("""COMPUTED_VALUE"""),1.6)</f>
        <v>1.6</v>
      </c>
      <c r="AR4" s="16">
        <f>IFERROR(__xludf.DUMMYFUNCTION("""COMPUTED_VALUE"""),7.2)</f>
        <v>7.2</v>
      </c>
      <c r="AS4" s="16">
        <f>IFERROR(__xludf.DUMMYFUNCTION("""COMPUTED_VALUE"""),2.0)</f>
        <v>2</v>
      </c>
      <c r="AT4" s="16">
        <f>IFERROR(__xludf.DUMMYFUNCTION("""COMPUTED_VALUE"""),2.0)</f>
        <v>2</v>
      </c>
      <c r="AU4" s="16">
        <f>IFERROR(__xludf.DUMMYFUNCTION("""COMPUTED_VALUE"""),4.0)</f>
        <v>4</v>
      </c>
      <c r="AV4" s="16">
        <f>IFERROR(__xludf.DUMMYFUNCTION("""COMPUTED_VALUE"""),4.0)</f>
        <v>4</v>
      </c>
      <c r="AW4" s="16">
        <f>IFERROR(__xludf.DUMMYFUNCTION("""COMPUTED_VALUE"""),0.0)</f>
        <v>0</v>
      </c>
      <c r="AX4" s="16">
        <f>IFERROR(__xludf.DUMMYFUNCTION("""COMPUTED_VALUE"""),0.8)</f>
        <v>0.8</v>
      </c>
      <c r="AY4" s="16">
        <f>IFERROR(__xludf.DUMMYFUNCTION("""COMPUTED_VALUE"""),2.0)</f>
        <v>2</v>
      </c>
      <c r="AZ4" s="16">
        <f>IFERROR(__xludf.DUMMYFUNCTION("""COMPUTED_VALUE"""),1.0)</f>
        <v>1</v>
      </c>
      <c r="BA4" s="16">
        <f>IFERROR(__xludf.DUMMYFUNCTION("""COMPUTED_VALUE"""),10.0)</f>
        <v>10</v>
      </c>
      <c r="BB4" s="16">
        <f>IFERROR(__xludf.DUMMYFUNCTION("""COMPUTED_VALUE"""),5.0)</f>
        <v>5</v>
      </c>
      <c r="BC4" s="16"/>
      <c r="BD4" s="16"/>
      <c r="BE4" s="16">
        <f>IFERROR(__xludf.DUMMYFUNCTION("""COMPUTED_VALUE"""),0.0)</f>
        <v>0</v>
      </c>
      <c r="BF4" s="16">
        <f>IFERROR(__xludf.DUMMYFUNCTION("""COMPUTED_VALUE"""),1.0)</f>
        <v>1</v>
      </c>
      <c r="BG4" s="16">
        <f>IFERROR(__xludf.DUMMYFUNCTION("""COMPUTED_VALUE"""),3.0)</f>
        <v>3</v>
      </c>
      <c r="BH4" s="16">
        <f>IFERROR(__xludf.DUMMYFUNCTION("""COMPUTED_VALUE"""),2.0)</f>
        <v>2</v>
      </c>
      <c r="BI4" s="16">
        <f>IFERROR(__xludf.DUMMYFUNCTION("""COMPUTED_VALUE"""),6.0)</f>
        <v>6</v>
      </c>
      <c r="BJ4" s="16">
        <f>IFERROR(__xludf.DUMMYFUNCTION("""COMPUTED_VALUE"""),4.0)</f>
        <v>4</v>
      </c>
      <c r="BK4" s="16">
        <f>IFERROR(__xludf.DUMMYFUNCTION("""COMPUTED_VALUE"""),0.0)</f>
        <v>0</v>
      </c>
      <c r="BL4" s="16">
        <f>IFERROR(__xludf.DUMMYFUNCTION("""COMPUTED_VALUE"""),0.0)</f>
        <v>0</v>
      </c>
      <c r="BM4" s="16">
        <f>IFERROR(__xludf.DUMMYFUNCTION("""COMPUTED_VALUE"""),1.0)</f>
        <v>1</v>
      </c>
      <c r="BN4" s="16">
        <f>IFERROR(__xludf.DUMMYFUNCTION("""COMPUTED_VALUE"""),1.0)</f>
        <v>1</v>
      </c>
      <c r="BO4" s="16">
        <f>IFERROR(__xludf.DUMMYFUNCTION("""COMPUTED_VALUE"""),1.0)</f>
        <v>1</v>
      </c>
      <c r="BP4" s="16">
        <f>IFERROR(__xludf.DUMMYFUNCTION("""COMPUTED_VALUE"""),1.0)</f>
        <v>1</v>
      </c>
      <c r="BQ4" s="16">
        <f>IFERROR(__xludf.DUMMYFUNCTION("""COMPUTED_VALUE"""),12.0)</f>
        <v>12</v>
      </c>
      <c r="BR4" s="16">
        <f>IFERROR(__xludf.DUMMYFUNCTION("""COMPUTED_VALUE"""),11.0)</f>
        <v>11</v>
      </c>
      <c r="BS4" s="16">
        <f>IFERROR(__xludf.DUMMYFUNCTION("""COMPUTED_VALUE"""),3.0)</f>
        <v>3</v>
      </c>
      <c r="BT4" s="16">
        <f>IFERROR(__xludf.DUMMYFUNCTION("""COMPUTED_VALUE"""),3.0)</f>
        <v>3</v>
      </c>
      <c r="BU4" s="16">
        <f>IFERROR(__xludf.DUMMYFUNCTION("""COMPUTED_VALUE"""),6.0)</f>
        <v>6</v>
      </c>
      <c r="BV4" s="16">
        <f>IFERROR(__xludf.DUMMYFUNCTION("""COMPUTED_VALUE"""),6.0)</f>
        <v>6</v>
      </c>
      <c r="BW4" s="16">
        <f>IFERROR(__xludf.DUMMYFUNCTION("""COMPUTED_VALUE"""),9.0)</f>
        <v>9</v>
      </c>
      <c r="BX4" s="16">
        <f>IFERROR(__xludf.DUMMYFUNCTION("""COMPUTED_VALUE"""),9.0)</f>
        <v>9</v>
      </c>
      <c r="BY4" s="16" t="str">
        <f>IFERROR(__xludf.DUMMYFUNCTION("""COMPUTED_VALUE"""),"R(1) C(2)")</f>
        <v>R(1) C(2)</v>
      </c>
      <c r="BZ4" s="16" t="str">
        <f>IFERROR(__xludf.DUMMYFUNCTION("""COMPUTED_VALUE"""),"R(1) C(2)")</f>
        <v>R(1) C(2)</v>
      </c>
      <c r="CA4" s="16" t="str">
        <f>IFERROR(__xludf.DUMMYFUNCTION("""COMPUTED_VALUE"""),"R(1)")</f>
        <v>R(1)</v>
      </c>
      <c r="CB4" s="16" t="str">
        <f>IFERROR(__xludf.DUMMYFUNCTION("""COMPUTED_VALUE"""),"C(2)")</f>
        <v>C(2)</v>
      </c>
      <c r="CC4" s="16"/>
      <c r="CD4" s="16"/>
      <c r="CE4" s="16">
        <f>IFERROR(__xludf.DUMMYFUNCTION("""COMPUTED_VALUE"""),1.0)</f>
        <v>1</v>
      </c>
      <c r="CF4" s="16">
        <f>IFERROR(__xludf.DUMMYFUNCTION("""COMPUTED_VALUE"""),2.0)</f>
        <v>2</v>
      </c>
      <c r="CG4" s="16" t="str">
        <f>IFERROR(__xludf.DUMMYFUNCTION("""COMPUTED_VALUE"""),"5-0")</f>
        <v>5-0</v>
      </c>
      <c r="CH4" s="16">
        <f>IFERROR(__xludf.DUMMYFUNCTION("""COMPUTED_VALUE"""),5.0)</f>
        <v>5</v>
      </c>
      <c r="CI4" s="16">
        <f>IFERROR(__xludf.DUMMYFUNCTION("""COMPUTED_VALUE"""),0.0)</f>
        <v>0</v>
      </c>
      <c r="CJ4" s="16">
        <f>IFERROR(__xludf.DUMMYFUNCTION("""COMPUTED_VALUE"""),4.0)</f>
        <v>4</v>
      </c>
      <c r="CK4" s="16">
        <f>IFERROR(__xludf.DUMMYFUNCTION("""COMPUTED_VALUE"""),6.0)</f>
        <v>6</v>
      </c>
      <c r="CL4" s="16" t="str">
        <f>IFERROR(__xludf.DUMMYFUNCTION("""COMPUTED_VALUE"""),"1WR-C")</f>
        <v>1WR-C</v>
      </c>
      <c r="CM4" s="16" t="str">
        <f>IFERROR(__xludf.DUMMYFUNCTION("""COMPUTED_VALUE"""),"E")</f>
        <v>E</v>
      </c>
      <c r="CN4" s="16">
        <f>IFERROR(__xludf.DUMMYFUNCTION("""COMPUTED_VALUE"""),10.0)</f>
        <v>10</v>
      </c>
      <c r="CO4" s="16" t="str">
        <f>IFERROR(__xludf.DUMMYFUNCTION("""COMPUTED_VALUE"""),"C")</f>
        <v>C</v>
      </c>
      <c r="CP4" s="16" t="str">
        <f>IFERROR(__xludf.DUMMYFUNCTION("""COMPUTED_VALUE"""),"0p72")</f>
        <v>0p72</v>
      </c>
      <c r="CQ4" s="16">
        <f>IFERROR(__xludf.DUMMYFUNCTION("""COMPUTED_VALUE"""),57.0)</f>
        <v>57</v>
      </c>
      <c r="CR4" s="16">
        <f>IFERROR(__xludf.DUMMYFUNCTION("""COMPUTED_VALUE"""),46.0)</f>
        <v>46</v>
      </c>
      <c r="CS4" s="16">
        <f>IFERROR(__xludf.DUMMYFUNCTION("""COMPUTED_VALUE"""),103.0)</f>
        <v>103</v>
      </c>
      <c r="CT4" s="16">
        <f>IFERROR(__xludf.DUMMYFUNCTION("""COMPUTED_VALUE"""),57.0)</f>
        <v>57</v>
      </c>
      <c r="CU4" s="16">
        <f>IFERROR(__xludf.DUMMYFUNCTION("""COMPUTED_VALUE"""),46.0)</f>
        <v>46</v>
      </c>
      <c r="CV4" s="179">
        <f>IFERROR(__xludf.DUMMYFUNCTION("""COMPUTED_VALUE"""),58.666666666666664)</f>
        <v>58.66666667</v>
      </c>
      <c r="CW4" s="179">
        <f>IFERROR(__xludf.DUMMYFUNCTION("""COMPUTED_VALUE"""),5.0)</f>
        <v>5</v>
      </c>
      <c r="CX4" s="179">
        <f>IFERROR(__xludf.DUMMYFUNCTION("""COMPUTED_VALUE"""),4.0)</f>
        <v>4</v>
      </c>
      <c r="CY4" s="16" t="str">
        <f>IFERROR(__xludf.DUMMYFUNCTION("""COMPUTED_VALUE"""),"RP")</f>
        <v>RP</v>
      </c>
      <c r="CZ4" s="16" t="str">
        <f>IFERROR(__xludf.DUMMYFUNCTION("""COMPUTED_VALUE"""),"CP")</f>
        <v>CP</v>
      </c>
      <c r="DA4" s="16"/>
      <c r="DB4" s="16"/>
      <c r="DC4" s="16"/>
      <c r="DD4" s="16"/>
      <c r="DE4" s="16"/>
      <c r="DF4" s="16"/>
      <c r="DG4" s="16"/>
      <c r="DH4" s="16"/>
      <c r="DI4" s="16"/>
      <c r="DJ4" s="16"/>
      <c r="DK4" s="16"/>
    </row>
    <row r="5">
      <c r="A5" s="16">
        <f>IFERROR(__xludf.DUMMYFUNCTION("""COMPUTED_VALUE"""),13342.0)</f>
        <v>13342</v>
      </c>
      <c r="B5" s="16" t="str">
        <f>IFERROR(__xludf.DUMMYFUNCTION("""COMPUTED_VALUE"""),"Ryan Walker")</f>
        <v>Ryan Walker</v>
      </c>
      <c r="C5" s="153">
        <f>IFERROR(__xludf.DUMMYFUNCTION("""COMPUTED_VALUE"""),1.68)</f>
        <v>1.68</v>
      </c>
      <c r="D5" s="16"/>
      <c r="E5" s="16" t="str">
        <f>IFERROR(__xludf.DUMMYFUNCTION("""COMPUTED_VALUE"""),"R")</f>
        <v>R</v>
      </c>
      <c r="F5" s="16">
        <f>IFERROR(__xludf.DUMMYFUNCTION("""COMPUTED_VALUE"""),80.0)</f>
        <v>80</v>
      </c>
      <c r="G5" s="16">
        <f>IFERROR(__xludf.DUMMYFUNCTION("""COMPUTED_VALUE"""),41.0)</f>
        <v>41</v>
      </c>
      <c r="H5" s="16">
        <f>IFERROR(__xludf.DUMMYFUNCTION("""COMPUTED_VALUE"""),53.0)</f>
        <v>53</v>
      </c>
      <c r="I5" s="16">
        <f>IFERROR(__xludf.DUMMYFUNCTION("""COMPUTED_VALUE"""),2.0)</f>
        <v>2</v>
      </c>
      <c r="J5" s="16">
        <f>IFERROR(__xludf.DUMMYFUNCTION("""COMPUTED_VALUE"""),3.0)</f>
        <v>3</v>
      </c>
      <c r="K5" s="16">
        <f>IFERROR(__xludf.DUMMYFUNCTION("""COMPUTED_VALUE"""),6.0)</f>
        <v>6</v>
      </c>
      <c r="L5" s="16">
        <f>IFERROR(__xludf.DUMMYFUNCTION("""COMPUTED_VALUE"""),9.0)</f>
        <v>9</v>
      </c>
      <c r="M5" s="16">
        <f>IFERROR(__xludf.DUMMYFUNCTION("""COMPUTED_VALUE"""),2.0)</f>
        <v>2</v>
      </c>
      <c r="N5" s="16">
        <f>IFERROR(__xludf.DUMMYFUNCTION("""COMPUTED_VALUE"""),5.0)</f>
        <v>5</v>
      </c>
      <c r="O5" s="16">
        <f>IFERROR(__xludf.DUMMYFUNCTION("""COMPUTED_VALUE"""),2.0)</f>
        <v>2</v>
      </c>
      <c r="P5" s="16">
        <f>IFERROR(__xludf.DUMMYFUNCTION("""COMPUTED_VALUE"""),2.0)</f>
        <v>2</v>
      </c>
      <c r="Q5" s="16">
        <f>IFERROR(__xludf.DUMMYFUNCTION("""COMPUTED_VALUE"""),2.0)</f>
        <v>2</v>
      </c>
      <c r="R5" s="16">
        <f>IFERROR(__xludf.DUMMYFUNCTION("""COMPUTED_VALUE"""),2.0)</f>
        <v>2</v>
      </c>
      <c r="S5" s="16">
        <f>IFERROR(__xludf.DUMMYFUNCTION("""COMPUTED_VALUE"""),6.1)</f>
        <v>6.1</v>
      </c>
      <c r="T5" s="16">
        <f>IFERROR(__xludf.DUMMYFUNCTION("""COMPUTED_VALUE"""),2.4)</f>
        <v>2.4</v>
      </c>
      <c r="U5" s="16">
        <f>IFERROR(__xludf.DUMMYFUNCTION("""COMPUTED_VALUE"""),2.0)</f>
        <v>2</v>
      </c>
      <c r="V5" s="16">
        <f>IFERROR(__xludf.DUMMYFUNCTION("""COMPUTED_VALUE"""),2.0)</f>
        <v>2</v>
      </c>
      <c r="W5" s="16">
        <f>IFERROR(__xludf.DUMMYFUNCTION("""COMPUTED_VALUE"""),4.0)</f>
        <v>4</v>
      </c>
      <c r="X5" s="16">
        <f>IFERROR(__xludf.DUMMYFUNCTION("""COMPUTED_VALUE"""),4.0)</f>
        <v>4</v>
      </c>
      <c r="Y5" s="16">
        <f>IFERROR(__xludf.DUMMYFUNCTION("""COMPUTED_VALUE"""),8.1)</f>
        <v>8.1</v>
      </c>
      <c r="Z5" s="16">
        <f>IFERROR(__xludf.DUMMYFUNCTION("""COMPUTED_VALUE"""),7.5)</f>
        <v>7.5</v>
      </c>
      <c r="AA5" s="16">
        <f>IFERROR(__xludf.DUMMYFUNCTION("""COMPUTED_VALUE"""),2.0)</f>
        <v>2</v>
      </c>
      <c r="AB5" s="16">
        <f>IFERROR(__xludf.DUMMYFUNCTION("""COMPUTED_VALUE"""),2.0)</f>
        <v>2</v>
      </c>
      <c r="AC5" s="16">
        <f>IFERROR(__xludf.DUMMYFUNCTION("""COMPUTED_VALUE"""),10.0)</f>
        <v>10</v>
      </c>
      <c r="AD5" s="16">
        <f>IFERROR(__xludf.DUMMYFUNCTION("""COMPUTED_VALUE"""),10.0)</f>
        <v>10</v>
      </c>
      <c r="AE5" s="16">
        <f>IFERROR(__xludf.DUMMYFUNCTION("""COMPUTED_VALUE"""),13.5)</f>
        <v>13.5</v>
      </c>
      <c r="AF5" s="16">
        <f>IFERROR(__xludf.DUMMYFUNCTION("""COMPUTED_VALUE"""),2.4)</f>
        <v>2.4</v>
      </c>
      <c r="AG5" s="16">
        <f>IFERROR(__xludf.DUMMYFUNCTION("""COMPUTED_VALUE"""),1.0)</f>
        <v>1</v>
      </c>
      <c r="AH5" s="16">
        <f>IFERROR(__xludf.DUMMYFUNCTION("""COMPUTED_VALUE"""),2.0)</f>
        <v>2</v>
      </c>
      <c r="AI5" s="16">
        <f>IFERROR(__xludf.DUMMYFUNCTION("""COMPUTED_VALUE"""),2.0)</f>
        <v>2</v>
      </c>
      <c r="AJ5" s="16">
        <f>IFERROR(__xludf.DUMMYFUNCTION("""COMPUTED_VALUE"""),4.0)</f>
        <v>4</v>
      </c>
      <c r="AK5" s="16">
        <f>IFERROR(__xludf.DUMMYFUNCTION("""COMPUTED_VALUE"""),5.3)</f>
        <v>5.3</v>
      </c>
      <c r="AL5" s="16">
        <f>IFERROR(__xludf.DUMMYFUNCTION("""COMPUTED_VALUE"""),2.4)</f>
        <v>2.4</v>
      </c>
      <c r="AM5" s="16">
        <f>IFERROR(__xludf.DUMMYFUNCTION("""COMPUTED_VALUE"""),1.0)</f>
        <v>1</v>
      </c>
      <c r="AN5" s="16">
        <f>IFERROR(__xludf.DUMMYFUNCTION("""COMPUTED_VALUE"""),2.0)</f>
        <v>2</v>
      </c>
      <c r="AO5" s="16">
        <f>IFERROR(__xludf.DUMMYFUNCTION("""COMPUTED_VALUE"""),1.0)</f>
        <v>1</v>
      </c>
      <c r="AP5" s="16">
        <f>IFERROR(__xludf.DUMMYFUNCTION("""COMPUTED_VALUE"""),2.0)</f>
        <v>2</v>
      </c>
      <c r="AQ5" s="16">
        <f>IFERROR(__xludf.DUMMYFUNCTION("""COMPUTED_VALUE"""),10.3)</f>
        <v>10.3</v>
      </c>
      <c r="AR5" s="16">
        <f>IFERROR(__xludf.DUMMYFUNCTION("""COMPUTED_VALUE"""),2.4)</f>
        <v>2.4</v>
      </c>
      <c r="AS5" s="16">
        <f>IFERROR(__xludf.DUMMYFUNCTION("""COMPUTED_VALUE"""),1.0)</f>
        <v>1</v>
      </c>
      <c r="AT5" s="16">
        <f>IFERROR(__xludf.DUMMYFUNCTION("""COMPUTED_VALUE"""),2.0)</f>
        <v>2</v>
      </c>
      <c r="AU5" s="16">
        <f>IFERROR(__xludf.DUMMYFUNCTION("""COMPUTED_VALUE"""),2.0)</f>
        <v>2</v>
      </c>
      <c r="AV5" s="16">
        <f>IFERROR(__xludf.DUMMYFUNCTION("""COMPUTED_VALUE"""),4.0)</f>
        <v>4</v>
      </c>
      <c r="AW5" s="16">
        <f>IFERROR(__xludf.DUMMYFUNCTION("""COMPUTED_VALUE"""),0.8)</f>
        <v>0.8</v>
      </c>
      <c r="AX5" s="16">
        <f>IFERROR(__xludf.DUMMYFUNCTION("""COMPUTED_VALUE"""),0.0)</f>
        <v>0</v>
      </c>
      <c r="AY5" s="16">
        <f>IFERROR(__xludf.DUMMYFUNCTION("""COMPUTED_VALUE"""),2.0)</f>
        <v>2</v>
      </c>
      <c r="AZ5" s="16">
        <f>IFERROR(__xludf.DUMMYFUNCTION("""COMPUTED_VALUE"""),2.0)</f>
        <v>2</v>
      </c>
      <c r="BA5" s="16">
        <f>IFERROR(__xludf.DUMMYFUNCTION("""COMPUTED_VALUE"""),10.0)</f>
        <v>10</v>
      </c>
      <c r="BB5" s="16">
        <f>IFERROR(__xludf.DUMMYFUNCTION("""COMPUTED_VALUE"""),10.0)</f>
        <v>10</v>
      </c>
      <c r="BC5" s="16">
        <f>IFERROR(__xludf.DUMMYFUNCTION("""COMPUTED_VALUE"""),1.0)</f>
        <v>1</v>
      </c>
      <c r="BD5" s="16">
        <f>IFERROR(__xludf.DUMMYFUNCTION("""COMPUTED_VALUE"""),0.0)</f>
        <v>0</v>
      </c>
      <c r="BE5" s="16">
        <f>IFERROR(__xludf.DUMMYFUNCTION("""COMPUTED_VALUE"""),1.0)</f>
        <v>1</v>
      </c>
      <c r="BF5" s="16">
        <f>IFERROR(__xludf.DUMMYFUNCTION("""COMPUTED_VALUE"""),0.0)</f>
        <v>0</v>
      </c>
      <c r="BG5" s="16">
        <f>IFERROR(__xludf.DUMMYFUNCTION("""COMPUTED_VALUE"""),2.0)</f>
        <v>2</v>
      </c>
      <c r="BH5" s="16">
        <f>IFERROR(__xludf.DUMMYFUNCTION("""COMPUTED_VALUE"""),2.0)</f>
        <v>2</v>
      </c>
      <c r="BI5" s="16">
        <f>IFERROR(__xludf.DUMMYFUNCTION("""COMPUTED_VALUE"""),4.0)</f>
        <v>4</v>
      </c>
      <c r="BJ5" s="16">
        <f>IFERROR(__xludf.DUMMYFUNCTION("""COMPUTED_VALUE"""),4.0)</f>
        <v>4</v>
      </c>
      <c r="BK5" s="16">
        <f>IFERROR(__xludf.DUMMYFUNCTION("""COMPUTED_VALUE"""),5.0)</f>
        <v>5</v>
      </c>
      <c r="BL5" s="16">
        <f>IFERROR(__xludf.DUMMYFUNCTION("""COMPUTED_VALUE"""),5.0)</f>
        <v>5</v>
      </c>
      <c r="BM5" s="16">
        <f>IFERROR(__xludf.DUMMYFUNCTION("""COMPUTED_VALUE"""),0.0)</f>
        <v>0</v>
      </c>
      <c r="BN5" s="16">
        <f>IFERROR(__xludf.DUMMYFUNCTION("""COMPUTED_VALUE"""),0.0)</f>
        <v>0</v>
      </c>
      <c r="BO5" s="16">
        <f>IFERROR(__xludf.DUMMYFUNCTION("""COMPUTED_VALUE"""),0.0)</f>
        <v>0</v>
      </c>
      <c r="BP5" s="16">
        <f>IFERROR(__xludf.DUMMYFUNCTION("""COMPUTED_VALUE"""),0.0)</f>
        <v>0</v>
      </c>
      <c r="BQ5" s="16">
        <f>IFERROR(__xludf.DUMMYFUNCTION("""COMPUTED_VALUE"""),8.0)</f>
        <v>8</v>
      </c>
      <c r="BR5" s="16">
        <f>IFERROR(__xludf.DUMMYFUNCTION("""COMPUTED_VALUE"""),10.0)</f>
        <v>10</v>
      </c>
      <c r="BS5" s="16">
        <f>IFERROR(__xludf.DUMMYFUNCTION("""COMPUTED_VALUE"""),2.0)</f>
        <v>2</v>
      </c>
      <c r="BT5" s="16">
        <f>IFERROR(__xludf.DUMMYFUNCTION("""COMPUTED_VALUE"""),3.0)</f>
        <v>3</v>
      </c>
      <c r="BU5" s="16">
        <f>IFERROR(__xludf.DUMMYFUNCTION("""COMPUTED_VALUE"""),4.0)</f>
        <v>4</v>
      </c>
      <c r="BV5" s="16">
        <f>IFERROR(__xludf.DUMMYFUNCTION("""COMPUTED_VALUE"""),6.0)</f>
        <v>6</v>
      </c>
      <c r="BW5" s="16">
        <f>IFERROR(__xludf.DUMMYFUNCTION("""COMPUTED_VALUE"""),1.0)</f>
        <v>1</v>
      </c>
      <c r="BX5" s="16">
        <f>IFERROR(__xludf.DUMMYFUNCTION("""COMPUTED_VALUE"""),1.0)</f>
        <v>1</v>
      </c>
      <c r="BY5" s="16" t="str">
        <f>IFERROR(__xludf.DUMMYFUNCTION("""COMPUTED_VALUE"""),"R(1) C(3)")</f>
        <v>R(1) C(3)</v>
      </c>
      <c r="BZ5" s="16" t="str">
        <f>IFERROR(__xludf.DUMMYFUNCTION("""COMPUTED_VALUE"""),"R(1) C(3)")</f>
        <v>R(1) C(3)</v>
      </c>
      <c r="CA5" s="16" t="str">
        <f>IFERROR(__xludf.DUMMYFUNCTION("""COMPUTED_VALUE"""),"R(1)")</f>
        <v>R(1)</v>
      </c>
      <c r="CB5" s="16" t="str">
        <f>IFERROR(__xludf.DUMMYFUNCTION("""COMPUTED_VALUE"""),"C(3)")</f>
        <v>C(3)</v>
      </c>
      <c r="CC5" s="16"/>
      <c r="CD5" s="16"/>
      <c r="CE5" s="16">
        <f>IFERROR(__xludf.DUMMYFUNCTION("""COMPUTED_VALUE"""),1.0)</f>
        <v>1</v>
      </c>
      <c r="CF5" s="16">
        <f>IFERROR(__xludf.DUMMYFUNCTION("""COMPUTED_VALUE"""),3.0)</f>
        <v>3</v>
      </c>
      <c r="CG5" s="16" t="str">
        <f>IFERROR(__xludf.DUMMYFUNCTION("""COMPUTED_VALUE"""),"3-0")</f>
        <v>3-0</v>
      </c>
      <c r="CH5" s="16">
        <f>IFERROR(__xludf.DUMMYFUNCTION("""COMPUTED_VALUE"""),3.0)</f>
        <v>3</v>
      </c>
      <c r="CI5" s="16">
        <f>IFERROR(__xludf.DUMMYFUNCTION("""COMPUTED_VALUE"""),0.0)</f>
        <v>0</v>
      </c>
      <c r="CJ5" s="16">
        <f>IFERROR(__xludf.DUMMYFUNCTION("""COMPUTED_VALUE"""),0.0)</f>
        <v>0</v>
      </c>
      <c r="CK5" s="16">
        <f>IFERROR(__xludf.DUMMYFUNCTION("""COMPUTED_VALUE"""),5.0)</f>
        <v>5</v>
      </c>
      <c r="CL5" s="16" t="str">
        <f>IFERROR(__xludf.DUMMYFUNCTION("""COMPUTED_VALUE"""),"1WR-C")</f>
        <v>1WR-C</v>
      </c>
      <c r="CM5" s="16" t="str">
        <f>IFERROR(__xludf.DUMMYFUNCTION("""COMPUTED_VALUE"""),"E")</f>
        <v>E</v>
      </c>
      <c r="CN5" s="16">
        <f>IFERROR(__xludf.DUMMYFUNCTION("""COMPUTED_VALUE"""),10.0)</f>
        <v>10</v>
      </c>
      <c r="CO5" s="16" t="str">
        <f>IFERROR(__xludf.DUMMYFUNCTION("""COMPUTED_VALUE"""),"C")</f>
        <v>C</v>
      </c>
      <c r="CP5" s="16" t="str">
        <f>IFERROR(__xludf.DUMMYFUNCTION("""COMPUTED_VALUE"""),"0p72")</f>
        <v>0p72</v>
      </c>
      <c r="CQ5" s="16">
        <f>IFERROR(__xludf.DUMMYFUNCTION("""COMPUTED_VALUE"""),45.0)</f>
        <v>45</v>
      </c>
      <c r="CR5" s="16">
        <f>IFERROR(__xludf.DUMMYFUNCTION("""COMPUTED_VALUE"""),55.0)</f>
        <v>55</v>
      </c>
      <c r="CS5" s="16">
        <f>IFERROR(__xludf.DUMMYFUNCTION("""COMPUTED_VALUE"""),100.0)</f>
        <v>100</v>
      </c>
      <c r="CT5" s="16">
        <f>IFERROR(__xludf.DUMMYFUNCTION("""COMPUTED_VALUE"""),45.0)</f>
        <v>45</v>
      </c>
      <c r="CU5" s="16">
        <f>IFERROR(__xludf.DUMMYFUNCTION("""COMPUTED_VALUE"""),55.0)</f>
        <v>55</v>
      </c>
      <c r="CV5" s="179">
        <f>IFERROR(__xludf.DUMMYFUNCTION("""COMPUTED_VALUE"""),57.333333333333336)</f>
        <v>57.33333333</v>
      </c>
      <c r="CW5" s="179">
        <f>IFERROR(__xludf.DUMMYFUNCTION("""COMPUTED_VALUE"""),5.0)</f>
        <v>5</v>
      </c>
      <c r="CX5" s="179">
        <f>IFERROR(__xludf.DUMMYFUNCTION("""COMPUTED_VALUE"""),4.0)</f>
        <v>4</v>
      </c>
      <c r="CY5" s="16" t="str">
        <f>IFERROR(__xludf.DUMMYFUNCTION("""COMPUTED_VALUE"""),"RP")</f>
        <v>RP</v>
      </c>
      <c r="CZ5" s="16" t="str">
        <f>IFERROR(__xludf.DUMMYFUNCTION("""COMPUTED_VALUE"""),"CP")</f>
        <v>CP</v>
      </c>
      <c r="DA5" s="16"/>
      <c r="DB5" s="16"/>
      <c r="DC5" s="16"/>
      <c r="DD5" s="16"/>
      <c r="DE5" s="16"/>
      <c r="DF5" s="16"/>
      <c r="DG5" s="16"/>
      <c r="DH5" s="16"/>
      <c r="DI5" s="16"/>
      <c r="DJ5" s="16"/>
      <c r="DK5" s="16"/>
    </row>
    <row r="6">
      <c r="A6" s="16">
        <f>IFERROR(__xludf.DUMMYFUNCTION("""COMPUTED_VALUE"""),13280.0)</f>
        <v>13280</v>
      </c>
      <c r="B6" s="16" t="str">
        <f>IFERROR(__xludf.DUMMYFUNCTION("""COMPUTED_VALUE"""),"Paul Skenes")</f>
        <v>Paul Skenes</v>
      </c>
      <c r="C6" s="153">
        <f>IFERROR(__xludf.DUMMYFUNCTION("""COMPUTED_VALUE"""),3.99)</f>
        <v>3.99</v>
      </c>
      <c r="D6" s="16"/>
      <c r="E6" s="16" t="str">
        <f>IFERROR(__xludf.DUMMYFUNCTION("""COMPUTED_VALUE"""),"R")</f>
        <v>R</v>
      </c>
      <c r="F6" s="16">
        <f>IFERROR(__xludf.DUMMYFUNCTION("""COMPUTED_VALUE"""),133.0)</f>
        <v>133</v>
      </c>
      <c r="G6" s="16">
        <f>IFERROR(__xludf.DUMMYFUNCTION("""COMPUTED_VALUE"""),47.0)</f>
        <v>47</v>
      </c>
      <c r="H6" s="16">
        <f>IFERROR(__xludf.DUMMYFUNCTION("""COMPUTED_VALUE"""),48.0)</f>
        <v>48</v>
      </c>
      <c r="I6" s="16">
        <f>IFERROR(__xludf.DUMMYFUNCTION("""COMPUTED_VALUE"""),2.0)</f>
        <v>2</v>
      </c>
      <c r="J6" s="16">
        <f>IFERROR(__xludf.DUMMYFUNCTION("""COMPUTED_VALUE"""),2.0)</f>
        <v>2</v>
      </c>
      <c r="K6" s="16">
        <f>IFERROR(__xludf.DUMMYFUNCTION("""COMPUTED_VALUE"""),6.0)</f>
        <v>6</v>
      </c>
      <c r="L6" s="16">
        <f>IFERROR(__xludf.DUMMYFUNCTION("""COMPUTED_VALUE"""),6.0)</f>
        <v>6</v>
      </c>
      <c r="M6" s="16">
        <f>IFERROR(__xludf.DUMMYFUNCTION("""COMPUTED_VALUE"""),8.0)</f>
        <v>8</v>
      </c>
      <c r="N6" s="16">
        <f>IFERROR(__xludf.DUMMYFUNCTION("""COMPUTED_VALUE"""),1.0)</f>
        <v>1</v>
      </c>
      <c r="O6" s="16">
        <f>IFERROR(__xludf.DUMMYFUNCTION("""COMPUTED_VALUE"""),0.0)</f>
        <v>0</v>
      </c>
      <c r="P6" s="16">
        <f>IFERROR(__xludf.DUMMYFUNCTION("""COMPUTED_VALUE"""),3.0)</f>
        <v>3</v>
      </c>
      <c r="Q6" s="16">
        <f>IFERROR(__xludf.DUMMYFUNCTION("""COMPUTED_VALUE"""),0.0)</f>
        <v>0</v>
      </c>
      <c r="R6" s="16">
        <f>IFERROR(__xludf.DUMMYFUNCTION("""COMPUTED_VALUE"""),3.0)</f>
        <v>3</v>
      </c>
      <c r="S6" s="16">
        <f>IFERROR(__xludf.DUMMYFUNCTION("""COMPUTED_VALUE"""),3.5)</f>
        <v>3.5</v>
      </c>
      <c r="T6" s="16">
        <f>IFERROR(__xludf.DUMMYFUNCTION("""COMPUTED_VALUE"""),6.7)</f>
        <v>6.7</v>
      </c>
      <c r="U6" s="16">
        <f>IFERROR(__xludf.DUMMYFUNCTION("""COMPUTED_VALUE"""),2.0)</f>
        <v>2</v>
      </c>
      <c r="V6" s="16">
        <f>IFERROR(__xludf.DUMMYFUNCTION("""COMPUTED_VALUE"""),2.0)</f>
        <v>2</v>
      </c>
      <c r="W6" s="16">
        <f>IFERROR(__xludf.DUMMYFUNCTION("""COMPUTED_VALUE"""),4.0)</f>
        <v>4</v>
      </c>
      <c r="X6" s="16">
        <f>IFERROR(__xludf.DUMMYFUNCTION("""COMPUTED_VALUE"""),4.0)</f>
        <v>4</v>
      </c>
      <c r="Y6" s="16">
        <f>IFERROR(__xludf.DUMMYFUNCTION("""COMPUTED_VALUE"""),11.5)</f>
        <v>11.5</v>
      </c>
      <c r="Z6" s="16">
        <f>IFERROR(__xludf.DUMMYFUNCTION("""COMPUTED_VALUE"""),7.7)</f>
        <v>7.7</v>
      </c>
      <c r="AA6" s="16">
        <f>IFERROR(__xludf.DUMMYFUNCTION("""COMPUTED_VALUE"""),2.0)</f>
        <v>2</v>
      </c>
      <c r="AB6" s="16">
        <f>IFERROR(__xludf.DUMMYFUNCTION("""COMPUTED_VALUE"""),2.0)</f>
        <v>2</v>
      </c>
      <c r="AC6" s="16">
        <f>IFERROR(__xludf.DUMMYFUNCTION("""COMPUTED_VALUE"""),10.0)</f>
        <v>10</v>
      </c>
      <c r="AD6" s="16">
        <f>IFERROR(__xludf.DUMMYFUNCTION("""COMPUTED_VALUE"""),10.0)</f>
        <v>10</v>
      </c>
      <c r="AE6" s="16">
        <f>IFERROR(__xludf.DUMMYFUNCTION("""COMPUTED_VALUE"""),5.4)</f>
        <v>5.4</v>
      </c>
      <c r="AF6" s="16">
        <f>IFERROR(__xludf.DUMMYFUNCTION("""COMPUTED_VALUE"""),10.6)</f>
        <v>10.6</v>
      </c>
      <c r="AG6" s="16">
        <f>IFERROR(__xludf.DUMMYFUNCTION("""COMPUTED_VALUE"""),2.0)</f>
        <v>2</v>
      </c>
      <c r="AH6" s="16">
        <f>IFERROR(__xludf.DUMMYFUNCTION("""COMPUTED_VALUE"""),2.0)</f>
        <v>2</v>
      </c>
      <c r="AI6" s="16">
        <f>IFERROR(__xludf.DUMMYFUNCTION("""COMPUTED_VALUE"""),4.0)</f>
        <v>4</v>
      </c>
      <c r="AJ6" s="16">
        <f>IFERROR(__xludf.DUMMYFUNCTION("""COMPUTED_VALUE"""),4.0)</f>
        <v>4</v>
      </c>
      <c r="AK6" s="16">
        <f>IFERROR(__xludf.DUMMYFUNCTION("""COMPUTED_VALUE"""),3.5)</f>
        <v>3.5</v>
      </c>
      <c r="AL6" s="16">
        <f>IFERROR(__xludf.DUMMYFUNCTION("""COMPUTED_VALUE"""),5.5)</f>
        <v>5.5</v>
      </c>
      <c r="AM6" s="16">
        <f>IFERROR(__xludf.DUMMYFUNCTION("""COMPUTED_VALUE"""),2.0)</f>
        <v>2</v>
      </c>
      <c r="AN6" s="16">
        <f>IFERROR(__xludf.DUMMYFUNCTION("""COMPUTED_VALUE"""),2.0)</f>
        <v>2</v>
      </c>
      <c r="AO6" s="16">
        <f>IFERROR(__xludf.DUMMYFUNCTION("""COMPUTED_VALUE"""),2.0)</f>
        <v>2</v>
      </c>
      <c r="AP6" s="16">
        <f>IFERROR(__xludf.DUMMYFUNCTION("""COMPUTED_VALUE"""),2.0)</f>
        <v>2</v>
      </c>
      <c r="AQ6" s="16">
        <f>IFERROR(__xludf.DUMMYFUNCTION("""COMPUTED_VALUE"""),5.4)</f>
        <v>5.4</v>
      </c>
      <c r="AR6" s="16">
        <f>IFERROR(__xludf.DUMMYFUNCTION("""COMPUTED_VALUE"""),5.8)</f>
        <v>5.8</v>
      </c>
      <c r="AS6" s="16">
        <f>IFERROR(__xludf.DUMMYFUNCTION("""COMPUTED_VALUE"""),2.0)</f>
        <v>2</v>
      </c>
      <c r="AT6" s="16">
        <f>IFERROR(__xludf.DUMMYFUNCTION("""COMPUTED_VALUE"""),2.0)</f>
        <v>2</v>
      </c>
      <c r="AU6" s="16">
        <f>IFERROR(__xludf.DUMMYFUNCTION("""COMPUTED_VALUE"""),4.0)</f>
        <v>4</v>
      </c>
      <c r="AV6" s="16">
        <f>IFERROR(__xludf.DUMMYFUNCTION("""COMPUTED_VALUE"""),4.0)</f>
        <v>4</v>
      </c>
      <c r="AW6" s="16">
        <f>IFERROR(__xludf.DUMMYFUNCTION("""COMPUTED_VALUE"""),0.0)</f>
        <v>0</v>
      </c>
      <c r="AX6" s="16">
        <f>IFERROR(__xludf.DUMMYFUNCTION("""COMPUTED_VALUE"""),1.2)</f>
        <v>1.2</v>
      </c>
      <c r="AY6" s="16">
        <f>IFERROR(__xludf.DUMMYFUNCTION("""COMPUTED_VALUE"""),2.0)</f>
        <v>2</v>
      </c>
      <c r="AZ6" s="16">
        <f>IFERROR(__xludf.DUMMYFUNCTION("""COMPUTED_VALUE"""),1.0)</f>
        <v>1</v>
      </c>
      <c r="BA6" s="16">
        <f>IFERROR(__xludf.DUMMYFUNCTION("""COMPUTED_VALUE"""),10.0)</f>
        <v>10</v>
      </c>
      <c r="BB6" s="16">
        <f>IFERROR(__xludf.DUMMYFUNCTION("""COMPUTED_VALUE"""),5.0)</f>
        <v>5</v>
      </c>
      <c r="BC6" s="16"/>
      <c r="BD6" s="16">
        <f>IFERROR(__xludf.DUMMYFUNCTION("""COMPUTED_VALUE"""),1.0)</f>
        <v>1</v>
      </c>
      <c r="BE6" s="16">
        <f>IFERROR(__xludf.DUMMYFUNCTION("""COMPUTED_VALUE"""),0.0)</f>
        <v>0</v>
      </c>
      <c r="BF6" s="16">
        <f>IFERROR(__xludf.DUMMYFUNCTION("""COMPUTED_VALUE"""),1.0)</f>
        <v>1</v>
      </c>
      <c r="BG6" s="16">
        <f>IFERROR(__xludf.DUMMYFUNCTION("""COMPUTED_VALUE"""),3.0)</f>
        <v>3</v>
      </c>
      <c r="BH6" s="16">
        <f>IFERROR(__xludf.DUMMYFUNCTION("""COMPUTED_VALUE"""),2.0)</f>
        <v>2</v>
      </c>
      <c r="BI6" s="16">
        <f>IFERROR(__xludf.DUMMYFUNCTION("""COMPUTED_VALUE"""),6.0)</f>
        <v>6</v>
      </c>
      <c r="BJ6" s="16">
        <f>IFERROR(__xludf.DUMMYFUNCTION("""COMPUTED_VALUE"""),4.0)</f>
        <v>4</v>
      </c>
      <c r="BK6" s="16">
        <f>IFERROR(__xludf.DUMMYFUNCTION("""COMPUTED_VALUE"""),0.0)</f>
        <v>0</v>
      </c>
      <c r="BL6" s="16">
        <f>IFERROR(__xludf.DUMMYFUNCTION("""COMPUTED_VALUE"""),5.0)</f>
        <v>5</v>
      </c>
      <c r="BM6" s="16">
        <f>IFERROR(__xludf.DUMMYFUNCTION("""COMPUTED_VALUE"""),1.0)</f>
        <v>1</v>
      </c>
      <c r="BN6" s="16">
        <f>IFERROR(__xludf.DUMMYFUNCTION("""COMPUTED_VALUE"""),0.0)</f>
        <v>0</v>
      </c>
      <c r="BO6" s="16">
        <f>IFERROR(__xludf.DUMMYFUNCTION("""COMPUTED_VALUE"""),1.0)</f>
        <v>1</v>
      </c>
      <c r="BP6" s="16">
        <f>IFERROR(__xludf.DUMMYFUNCTION("""COMPUTED_VALUE"""),0.0)</f>
        <v>0</v>
      </c>
      <c r="BQ6" s="16">
        <f>IFERROR(__xludf.DUMMYFUNCTION("""COMPUTED_VALUE"""),12.0)</f>
        <v>12</v>
      </c>
      <c r="BR6" s="16">
        <f>IFERROR(__xludf.DUMMYFUNCTION("""COMPUTED_VALUE"""),12.0)</f>
        <v>12</v>
      </c>
      <c r="BS6" s="16">
        <f>IFERROR(__xludf.DUMMYFUNCTION("""COMPUTED_VALUE"""),3.0)</f>
        <v>3</v>
      </c>
      <c r="BT6" s="16">
        <f>IFERROR(__xludf.DUMMYFUNCTION("""COMPUTED_VALUE"""),3.0)</f>
        <v>3</v>
      </c>
      <c r="BU6" s="16">
        <f>IFERROR(__xludf.DUMMYFUNCTION("""COMPUTED_VALUE"""),6.0)</f>
        <v>6</v>
      </c>
      <c r="BV6" s="16">
        <f>IFERROR(__xludf.DUMMYFUNCTION("""COMPUTED_VALUE"""),6.0)</f>
        <v>6</v>
      </c>
      <c r="BW6" s="16">
        <f>IFERROR(__xludf.DUMMYFUNCTION("""COMPUTED_VALUE"""),-6.0)</f>
        <v>-6</v>
      </c>
      <c r="BX6" s="16">
        <f>IFERROR(__xludf.DUMMYFUNCTION("""COMPUTED_VALUE"""),-6.0)</f>
        <v>-6</v>
      </c>
      <c r="BY6" s="16" t="str">
        <f>IFERROR(__xludf.DUMMYFUNCTION("""COMPUTED_VALUE"""),"S(6)")</f>
        <v>S(6)</v>
      </c>
      <c r="BZ6" s="16" t="str">
        <f>IFERROR(__xludf.DUMMYFUNCTION("""COMPUTED_VALUE"""),"S(6)")</f>
        <v>S(6)</v>
      </c>
      <c r="CA6" s="16" t="str">
        <f>IFERROR(__xludf.DUMMYFUNCTION("""COMPUTED_VALUE"""),"S(6)")</f>
        <v>S(6)</v>
      </c>
      <c r="CB6" s="16"/>
      <c r="CC6" s="16"/>
      <c r="CD6" s="16">
        <f>IFERROR(__xludf.DUMMYFUNCTION("""COMPUTED_VALUE"""),6.0)</f>
        <v>6</v>
      </c>
      <c r="CE6" s="16"/>
      <c r="CF6" s="16"/>
      <c r="CG6" s="16" t="str">
        <f>IFERROR(__xludf.DUMMYFUNCTION("""COMPUTED_VALUE"""),"2-22")</f>
        <v>2-22</v>
      </c>
      <c r="CH6" s="16">
        <f>IFERROR(__xludf.DUMMYFUNCTION("""COMPUTED_VALUE"""),2.0)</f>
        <v>2</v>
      </c>
      <c r="CI6" s="16">
        <f>IFERROR(__xludf.DUMMYFUNCTION("""COMPUTED_VALUE"""),22.0)</f>
        <v>22</v>
      </c>
      <c r="CJ6" s="16">
        <f>IFERROR(__xludf.DUMMYFUNCTION("""COMPUTED_VALUE"""),3.0)</f>
        <v>3</v>
      </c>
      <c r="CK6" s="16">
        <f>IFERROR(__xludf.DUMMYFUNCTION("""COMPUTED_VALUE"""),3.0)</f>
        <v>3</v>
      </c>
      <c r="CL6" s="16" t="str">
        <f>IFERROR(__xludf.DUMMYFUNCTION("""COMPUTED_VALUE"""),"1WR-C")</f>
        <v>1WR-C</v>
      </c>
      <c r="CM6" s="16" t="str">
        <f>IFERROR(__xludf.DUMMYFUNCTION("""COMPUTED_VALUE"""),"E")</f>
        <v>E</v>
      </c>
      <c r="CN6" s="16">
        <f>IFERROR(__xludf.DUMMYFUNCTION("""COMPUTED_VALUE"""),10.0)</f>
        <v>10</v>
      </c>
      <c r="CO6" s="16" t="str">
        <f>IFERROR(__xludf.DUMMYFUNCTION("""COMPUTED_VALUE"""),"C")</f>
        <v>C</v>
      </c>
      <c r="CP6" s="16" t="str">
        <f>IFERROR(__xludf.DUMMYFUNCTION("""COMPUTED_VALUE"""),"1p60")</f>
        <v>1p60</v>
      </c>
      <c r="CQ6" s="16">
        <f>IFERROR(__xludf.DUMMYFUNCTION("""COMPUTED_VALUE"""),53.0)</f>
        <v>53</v>
      </c>
      <c r="CR6" s="16">
        <f>IFERROR(__xludf.DUMMYFUNCTION("""COMPUTED_VALUE"""),48.0)</f>
        <v>48</v>
      </c>
      <c r="CS6" s="16">
        <f>IFERROR(__xludf.DUMMYFUNCTION("""COMPUTED_VALUE"""),101.0)</f>
        <v>101</v>
      </c>
      <c r="CT6" s="16">
        <f>IFERROR(__xludf.DUMMYFUNCTION("""COMPUTED_VALUE"""),53.0)</f>
        <v>53</v>
      </c>
      <c r="CU6" s="16">
        <f>IFERROR(__xludf.DUMMYFUNCTION("""COMPUTED_VALUE"""),48.0)</f>
        <v>48</v>
      </c>
      <c r="CV6" s="179">
        <f>IFERROR(__xludf.DUMMYFUNCTION("""COMPUTED_VALUE"""),54.666666666666664)</f>
        <v>54.66666667</v>
      </c>
      <c r="CW6" s="179">
        <f>IFERROR(__xludf.DUMMYFUNCTION("""COMPUTED_VALUE"""),4.0)</f>
        <v>4</v>
      </c>
      <c r="CX6" s="179">
        <f>IFERROR(__xludf.DUMMYFUNCTION("""COMPUTED_VALUE"""),1.0)</f>
        <v>1</v>
      </c>
      <c r="CY6" s="16" t="str">
        <f>IFERROR(__xludf.DUMMYFUNCTION("""COMPUTED_VALUE"""),"SP")</f>
        <v>SP</v>
      </c>
      <c r="CZ6" s="16"/>
      <c r="DA6" s="16"/>
      <c r="DB6" s="16"/>
      <c r="DC6" s="16"/>
      <c r="DD6" s="16"/>
      <c r="DE6" s="16"/>
      <c r="DF6" s="16"/>
      <c r="DG6" s="16"/>
      <c r="DH6" s="16"/>
      <c r="DI6" s="16"/>
      <c r="DJ6" s="16"/>
      <c r="DK6" s="16"/>
    </row>
    <row r="7">
      <c r="A7" s="16">
        <f>IFERROR(__xludf.DUMMYFUNCTION("""COMPUTED_VALUE"""),12876.0)</f>
        <v>12876</v>
      </c>
      <c r="B7" s="16" t="str">
        <f>IFERROR(__xludf.DUMMYFUNCTION("""COMPUTED_VALUE"""),"Hunter Gaddis")</f>
        <v>Hunter Gaddis</v>
      </c>
      <c r="C7" s="153">
        <f>IFERROR(__xludf.DUMMYFUNCTION("""COMPUTED_VALUE"""),1.67)</f>
        <v>1.67</v>
      </c>
      <c r="D7" s="16"/>
      <c r="E7" s="16" t="str">
        <f>IFERROR(__xludf.DUMMYFUNCTION("""COMPUTED_VALUE"""),"R")</f>
        <v>R</v>
      </c>
      <c r="F7" s="16">
        <f>IFERROR(__xludf.DUMMYFUNCTION("""COMPUTED_VALUE"""),75.0)</f>
        <v>75</v>
      </c>
      <c r="G7" s="16">
        <f>IFERROR(__xludf.DUMMYFUNCTION("""COMPUTED_VALUE"""),29.0)</f>
        <v>29</v>
      </c>
      <c r="H7" s="16">
        <f>IFERROR(__xludf.DUMMYFUNCTION("""COMPUTED_VALUE"""),26.0)</f>
        <v>26</v>
      </c>
      <c r="I7" s="16">
        <f>IFERROR(__xludf.DUMMYFUNCTION("""COMPUTED_VALUE"""),0.0)</f>
        <v>0</v>
      </c>
      <c r="J7" s="16">
        <f>IFERROR(__xludf.DUMMYFUNCTION("""COMPUTED_VALUE"""),0.0)</f>
        <v>0</v>
      </c>
      <c r="K7" s="16">
        <f>IFERROR(__xludf.DUMMYFUNCTION("""COMPUTED_VALUE"""),0.0)</f>
        <v>0</v>
      </c>
      <c r="L7" s="16">
        <f>IFERROR(__xludf.DUMMYFUNCTION("""COMPUTED_VALUE"""),0.0)</f>
        <v>0</v>
      </c>
      <c r="M7" s="16">
        <f>IFERROR(__xludf.DUMMYFUNCTION("""COMPUTED_VALUE"""),0.0)</f>
        <v>0</v>
      </c>
      <c r="N7" s="16">
        <f>IFERROR(__xludf.DUMMYFUNCTION("""COMPUTED_VALUE"""),3.0)</f>
        <v>3</v>
      </c>
      <c r="O7" s="16">
        <f>IFERROR(__xludf.DUMMYFUNCTION("""COMPUTED_VALUE"""),3.0)</f>
        <v>3</v>
      </c>
      <c r="P7" s="16">
        <f>IFERROR(__xludf.DUMMYFUNCTION("""COMPUTED_VALUE"""),2.0)</f>
        <v>2</v>
      </c>
      <c r="Q7" s="16">
        <f>IFERROR(__xludf.DUMMYFUNCTION("""COMPUTED_VALUE"""),3.0)</f>
        <v>3</v>
      </c>
      <c r="R7" s="16">
        <f>IFERROR(__xludf.DUMMYFUNCTION("""COMPUTED_VALUE"""),2.0)</f>
        <v>2</v>
      </c>
      <c r="S7" s="16">
        <f>IFERROR(__xludf.DUMMYFUNCTION("""COMPUTED_VALUE"""),7.7)</f>
        <v>7.7</v>
      </c>
      <c r="T7" s="16">
        <f>IFERROR(__xludf.DUMMYFUNCTION("""COMPUTED_VALUE"""),4.9)</f>
        <v>4.9</v>
      </c>
      <c r="U7" s="16">
        <f>IFERROR(__xludf.DUMMYFUNCTION("""COMPUTED_VALUE"""),1.0)</f>
        <v>1</v>
      </c>
      <c r="V7" s="16">
        <f>IFERROR(__xludf.DUMMYFUNCTION("""COMPUTED_VALUE"""),2.0)</f>
        <v>2</v>
      </c>
      <c r="W7" s="16">
        <f>IFERROR(__xludf.DUMMYFUNCTION("""COMPUTED_VALUE"""),2.0)</f>
        <v>2</v>
      </c>
      <c r="X7" s="16">
        <f>IFERROR(__xludf.DUMMYFUNCTION("""COMPUTED_VALUE"""),4.0)</f>
        <v>4</v>
      </c>
      <c r="Y7" s="16">
        <f>IFERROR(__xludf.DUMMYFUNCTION("""COMPUTED_VALUE"""),7.7)</f>
        <v>7.7</v>
      </c>
      <c r="Z7" s="16">
        <f>IFERROR(__xludf.DUMMYFUNCTION("""COMPUTED_VALUE"""),7.9)</f>
        <v>7.9</v>
      </c>
      <c r="AA7" s="16">
        <f>IFERROR(__xludf.DUMMYFUNCTION("""COMPUTED_VALUE"""),2.0)</f>
        <v>2</v>
      </c>
      <c r="AB7" s="16">
        <f>IFERROR(__xludf.DUMMYFUNCTION("""COMPUTED_VALUE"""),2.0)</f>
        <v>2</v>
      </c>
      <c r="AC7" s="16">
        <f>IFERROR(__xludf.DUMMYFUNCTION("""COMPUTED_VALUE"""),10.0)</f>
        <v>10</v>
      </c>
      <c r="AD7" s="16">
        <f>IFERROR(__xludf.DUMMYFUNCTION("""COMPUTED_VALUE"""),10.0)</f>
        <v>10</v>
      </c>
      <c r="AE7" s="16">
        <f>IFERROR(__xludf.DUMMYFUNCTION("""COMPUTED_VALUE"""),18.1)</f>
        <v>18.1</v>
      </c>
      <c r="AF7" s="16">
        <f>IFERROR(__xludf.DUMMYFUNCTION("""COMPUTED_VALUE"""),9.9)</f>
        <v>9.9</v>
      </c>
      <c r="AG7" s="16">
        <f>IFERROR(__xludf.DUMMYFUNCTION("""COMPUTED_VALUE"""),1.0)</f>
        <v>1</v>
      </c>
      <c r="AH7" s="16">
        <f>IFERROR(__xludf.DUMMYFUNCTION("""COMPUTED_VALUE"""),2.0)</f>
        <v>2</v>
      </c>
      <c r="AI7" s="16">
        <f>IFERROR(__xludf.DUMMYFUNCTION("""COMPUTED_VALUE"""),2.0)</f>
        <v>2</v>
      </c>
      <c r="AJ7" s="16">
        <f>IFERROR(__xludf.DUMMYFUNCTION("""COMPUTED_VALUE"""),4.0)</f>
        <v>4</v>
      </c>
      <c r="AK7" s="16">
        <f>IFERROR(__xludf.DUMMYFUNCTION("""COMPUTED_VALUE"""),7.7)</f>
        <v>7.7</v>
      </c>
      <c r="AL7" s="16">
        <f>IFERROR(__xludf.DUMMYFUNCTION("""COMPUTED_VALUE"""),4.9)</f>
        <v>4.9</v>
      </c>
      <c r="AM7" s="16">
        <f>IFERROR(__xludf.DUMMYFUNCTION("""COMPUTED_VALUE"""),1.0)</f>
        <v>1</v>
      </c>
      <c r="AN7" s="16">
        <f>IFERROR(__xludf.DUMMYFUNCTION("""COMPUTED_VALUE"""),2.0)</f>
        <v>2</v>
      </c>
      <c r="AO7" s="16">
        <f>IFERROR(__xludf.DUMMYFUNCTION("""COMPUTED_VALUE"""),1.0)</f>
        <v>1</v>
      </c>
      <c r="AP7" s="16">
        <f>IFERROR(__xludf.DUMMYFUNCTION("""COMPUTED_VALUE"""),2.0)</f>
        <v>2</v>
      </c>
      <c r="AQ7" s="16">
        <f>IFERROR(__xludf.DUMMYFUNCTION("""COMPUTED_VALUE"""),18.1)</f>
        <v>18.1</v>
      </c>
      <c r="AR7" s="16">
        <f>IFERROR(__xludf.DUMMYFUNCTION("""COMPUTED_VALUE"""),9.9)</f>
        <v>9.9</v>
      </c>
      <c r="AS7" s="16">
        <f>IFERROR(__xludf.DUMMYFUNCTION("""COMPUTED_VALUE"""),0.0)</f>
        <v>0</v>
      </c>
      <c r="AT7" s="16">
        <f>IFERROR(__xludf.DUMMYFUNCTION("""COMPUTED_VALUE"""),1.0)</f>
        <v>1</v>
      </c>
      <c r="AU7" s="16">
        <f>IFERROR(__xludf.DUMMYFUNCTION("""COMPUTED_VALUE"""),0.0)</f>
        <v>0</v>
      </c>
      <c r="AV7" s="16">
        <f>IFERROR(__xludf.DUMMYFUNCTION("""COMPUTED_VALUE"""),2.0)</f>
        <v>2</v>
      </c>
      <c r="AW7" s="16">
        <f>IFERROR(__xludf.DUMMYFUNCTION("""COMPUTED_VALUE"""),0.0)</f>
        <v>0</v>
      </c>
      <c r="AX7" s="16">
        <f>IFERROR(__xludf.DUMMYFUNCTION("""COMPUTED_VALUE"""),0.0)</f>
        <v>0</v>
      </c>
      <c r="AY7" s="16">
        <f>IFERROR(__xludf.DUMMYFUNCTION("""COMPUTED_VALUE"""),2.0)</f>
        <v>2</v>
      </c>
      <c r="AZ7" s="16">
        <f>IFERROR(__xludf.DUMMYFUNCTION("""COMPUTED_VALUE"""),2.0)</f>
        <v>2</v>
      </c>
      <c r="BA7" s="16">
        <f>IFERROR(__xludf.DUMMYFUNCTION("""COMPUTED_VALUE"""),10.0)</f>
        <v>10</v>
      </c>
      <c r="BB7" s="16">
        <f>IFERROR(__xludf.DUMMYFUNCTION("""COMPUTED_VALUE"""),10.0)</f>
        <v>10</v>
      </c>
      <c r="BC7" s="16"/>
      <c r="BD7" s="16"/>
      <c r="BE7" s="16">
        <f>IFERROR(__xludf.DUMMYFUNCTION("""COMPUTED_VALUE"""),0.0)</f>
        <v>0</v>
      </c>
      <c r="BF7" s="16">
        <f>IFERROR(__xludf.DUMMYFUNCTION("""COMPUTED_VALUE"""),0.0)</f>
        <v>0</v>
      </c>
      <c r="BG7" s="16">
        <f>IFERROR(__xludf.DUMMYFUNCTION("""COMPUTED_VALUE"""),3.0)</f>
        <v>3</v>
      </c>
      <c r="BH7" s="16">
        <f>IFERROR(__xludf.DUMMYFUNCTION("""COMPUTED_VALUE"""),2.0)</f>
        <v>2</v>
      </c>
      <c r="BI7" s="16">
        <f>IFERROR(__xludf.DUMMYFUNCTION("""COMPUTED_VALUE"""),6.0)</f>
        <v>6</v>
      </c>
      <c r="BJ7" s="16">
        <f>IFERROR(__xludf.DUMMYFUNCTION("""COMPUTED_VALUE"""),4.0)</f>
        <v>4</v>
      </c>
      <c r="BK7" s="16">
        <f>IFERROR(__xludf.DUMMYFUNCTION("""COMPUTED_VALUE"""),0.0)</f>
        <v>0</v>
      </c>
      <c r="BL7" s="16">
        <f>IFERROR(__xludf.DUMMYFUNCTION("""COMPUTED_VALUE"""),0.0)</f>
        <v>0</v>
      </c>
      <c r="BM7" s="16">
        <f>IFERROR(__xludf.DUMMYFUNCTION("""COMPUTED_VALUE"""),1.0)</f>
        <v>1</v>
      </c>
      <c r="BN7" s="16">
        <f>IFERROR(__xludf.DUMMYFUNCTION("""COMPUTED_VALUE"""),1.0)</f>
        <v>1</v>
      </c>
      <c r="BO7" s="16">
        <f>IFERROR(__xludf.DUMMYFUNCTION("""COMPUTED_VALUE"""),1.0)</f>
        <v>1</v>
      </c>
      <c r="BP7" s="16">
        <f>IFERROR(__xludf.DUMMYFUNCTION("""COMPUTED_VALUE"""),1.0)</f>
        <v>1</v>
      </c>
      <c r="BQ7" s="16">
        <f>IFERROR(__xludf.DUMMYFUNCTION("""COMPUTED_VALUE"""),7.0)</f>
        <v>7</v>
      </c>
      <c r="BR7" s="16">
        <f>IFERROR(__xludf.DUMMYFUNCTION("""COMPUTED_VALUE"""),7.0)</f>
        <v>7</v>
      </c>
      <c r="BS7" s="16">
        <f>IFERROR(__xludf.DUMMYFUNCTION("""COMPUTED_VALUE"""),2.0)</f>
        <v>2</v>
      </c>
      <c r="BT7" s="16">
        <f>IFERROR(__xludf.DUMMYFUNCTION("""COMPUTED_VALUE"""),2.0)</f>
        <v>2</v>
      </c>
      <c r="BU7" s="16">
        <f>IFERROR(__xludf.DUMMYFUNCTION("""COMPUTED_VALUE"""),4.0)</f>
        <v>4</v>
      </c>
      <c r="BV7" s="16">
        <f>IFERROR(__xludf.DUMMYFUNCTION("""COMPUTED_VALUE"""),4.0)</f>
        <v>4</v>
      </c>
      <c r="BW7" s="16">
        <f>IFERROR(__xludf.DUMMYFUNCTION("""COMPUTED_VALUE"""),-5.0)</f>
        <v>-5</v>
      </c>
      <c r="BX7" s="16">
        <f>IFERROR(__xludf.DUMMYFUNCTION("""COMPUTED_VALUE"""),-5.0)</f>
        <v>-5</v>
      </c>
      <c r="BY7" s="16" t="str">
        <f>IFERROR(__xludf.DUMMYFUNCTION("""COMPUTED_VALUE"""),"R(1)")</f>
        <v>R(1)</v>
      </c>
      <c r="BZ7" s="16" t="str">
        <f>IFERROR(__xludf.DUMMYFUNCTION("""COMPUTED_VALUE"""),"R(1)")</f>
        <v>R(1)</v>
      </c>
      <c r="CA7" s="16" t="str">
        <f>IFERROR(__xludf.DUMMYFUNCTION("""COMPUTED_VALUE"""),"R(1)")</f>
        <v>R(1)</v>
      </c>
      <c r="CB7" s="16"/>
      <c r="CC7" s="16"/>
      <c r="CD7" s="16"/>
      <c r="CE7" s="16">
        <f>IFERROR(__xludf.DUMMYFUNCTION("""COMPUTED_VALUE"""),1.0)</f>
        <v>1</v>
      </c>
      <c r="CF7" s="16"/>
      <c r="CG7" s="16" t="str">
        <f>IFERROR(__xludf.DUMMYFUNCTION("""COMPUTED_VALUE"""),"1-38")</f>
        <v>1-38</v>
      </c>
      <c r="CH7" s="16">
        <f>IFERROR(__xludf.DUMMYFUNCTION("""COMPUTED_VALUE"""),1.0)</f>
        <v>1</v>
      </c>
      <c r="CI7" s="16">
        <f>IFERROR(__xludf.DUMMYFUNCTION("""COMPUTED_VALUE"""),38.0)</f>
        <v>38</v>
      </c>
      <c r="CJ7" s="16">
        <f>IFERROR(__xludf.DUMMYFUNCTION("""COMPUTED_VALUE"""),0.0)</f>
        <v>0</v>
      </c>
      <c r="CK7" s="16">
        <f>IFERROR(__xludf.DUMMYFUNCTION("""COMPUTED_VALUE"""),6.0)</f>
        <v>6</v>
      </c>
      <c r="CL7" s="16" t="str">
        <f>IFERROR(__xludf.DUMMYFUNCTION("""COMPUTED_VALUE"""),"1WR-C")</f>
        <v>1WR-C</v>
      </c>
      <c r="CM7" s="16" t="str">
        <f>IFERROR(__xludf.DUMMYFUNCTION("""COMPUTED_VALUE"""),"E")</f>
        <v>E</v>
      </c>
      <c r="CN7" s="16">
        <f>IFERROR(__xludf.DUMMYFUNCTION("""COMPUTED_VALUE"""),10.0)</f>
        <v>10</v>
      </c>
      <c r="CO7" s="16" t="str">
        <f>IFERROR(__xludf.DUMMYFUNCTION("""COMPUTED_VALUE"""),"C")</f>
        <v>C</v>
      </c>
      <c r="CP7" s="16" t="str">
        <f>IFERROR(__xludf.DUMMYFUNCTION("""COMPUTED_VALUE"""),"0p72")</f>
        <v>0p72</v>
      </c>
      <c r="CQ7" s="16">
        <f>IFERROR(__xludf.DUMMYFUNCTION("""COMPUTED_VALUE"""),39.0)</f>
        <v>39</v>
      </c>
      <c r="CR7" s="16">
        <f>IFERROR(__xludf.DUMMYFUNCTION("""COMPUTED_VALUE"""),43.0)</f>
        <v>43</v>
      </c>
      <c r="CS7" s="16">
        <f>IFERROR(__xludf.DUMMYFUNCTION("""COMPUTED_VALUE"""),82.0)</f>
        <v>82</v>
      </c>
      <c r="CT7" s="16">
        <f>IFERROR(__xludf.DUMMYFUNCTION("""COMPUTED_VALUE"""),39.0)</f>
        <v>39</v>
      </c>
      <c r="CU7" s="16">
        <f>IFERROR(__xludf.DUMMYFUNCTION("""COMPUTED_VALUE"""),43.0)</f>
        <v>43</v>
      </c>
      <c r="CV7" s="179">
        <f>IFERROR(__xludf.DUMMYFUNCTION("""COMPUTED_VALUE"""),49.333333333333336)</f>
        <v>49.33333333</v>
      </c>
      <c r="CW7" s="179">
        <f>IFERROR(__xludf.DUMMYFUNCTION("""COMPUTED_VALUE"""),5.0)</f>
        <v>5</v>
      </c>
      <c r="CX7" s="179">
        <f>IFERROR(__xludf.DUMMYFUNCTION("""COMPUTED_VALUE"""),4.0)</f>
        <v>4</v>
      </c>
      <c r="CY7" s="16" t="str">
        <f>IFERROR(__xludf.DUMMYFUNCTION("""COMPUTED_VALUE"""),"RP")</f>
        <v>RP</v>
      </c>
      <c r="CZ7" s="16"/>
      <c r="DA7" s="16"/>
      <c r="DB7" s="16"/>
      <c r="DC7" s="16"/>
      <c r="DD7" s="16"/>
      <c r="DE7" s="16"/>
      <c r="DF7" s="16"/>
      <c r="DG7" s="16"/>
      <c r="DH7" s="16"/>
      <c r="DI7" s="16"/>
      <c r="DJ7" s="16"/>
      <c r="DK7" s="16"/>
    </row>
    <row r="8">
      <c r="A8" s="16">
        <f>IFERROR(__xludf.DUMMYFUNCTION("""COMPUTED_VALUE"""),13403.0)</f>
        <v>13403</v>
      </c>
      <c r="B8" s="16" t="str">
        <f>IFERROR(__xludf.DUMMYFUNCTION("""COMPUTED_VALUE"""),"Tarik Skubal")</f>
        <v>Tarik Skubal</v>
      </c>
      <c r="C8" s="153">
        <f>IFERROR(__xludf.DUMMYFUNCTION("""COMPUTED_VALUE"""),2.95)</f>
        <v>2.95</v>
      </c>
      <c r="D8" s="16"/>
      <c r="E8" s="16" t="str">
        <f>IFERROR(__xludf.DUMMYFUNCTION("""COMPUTED_VALUE"""),"L")</f>
        <v>L</v>
      </c>
      <c r="F8" s="16">
        <f>IFERROR(__xludf.DUMMYFUNCTION("""COMPUTED_VALUE"""),192.0)</f>
        <v>192</v>
      </c>
      <c r="G8" s="16">
        <f>IFERROR(__xludf.DUMMYFUNCTION("""COMPUTED_VALUE"""),34.0)</f>
        <v>34</v>
      </c>
      <c r="H8" s="16">
        <f>IFERROR(__xludf.DUMMYFUNCTION("""COMPUTED_VALUE"""),43.0)</f>
        <v>43</v>
      </c>
      <c r="I8" s="16">
        <f>IFERROR(__xludf.DUMMYFUNCTION("""COMPUTED_VALUE"""),1.0)</f>
        <v>1</v>
      </c>
      <c r="J8" s="16">
        <f>IFERROR(__xludf.DUMMYFUNCTION("""COMPUTED_VALUE"""),2.0)</f>
        <v>2</v>
      </c>
      <c r="K8" s="16">
        <f>IFERROR(__xludf.DUMMYFUNCTION("""COMPUTED_VALUE"""),3.0)</f>
        <v>3</v>
      </c>
      <c r="L8" s="16">
        <f>IFERROR(__xludf.DUMMYFUNCTION("""COMPUTED_VALUE"""),6.0)</f>
        <v>6</v>
      </c>
      <c r="M8" s="16">
        <f>IFERROR(__xludf.DUMMYFUNCTION("""COMPUTED_VALUE"""),1.0)</f>
        <v>1</v>
      </c>
      <c r="N8" s="16">
        <f>IFERROR(__xludf.DUMMYFUNCTION("""COMPUTED_VALUE"""),2.0)</f>
        <v>2</v>
      </c>
      <c r="O8" s="16">
        <f>IFERROR(__xludf.DUMMYFUNCTION("""COMPUTED_VALUE"""),3.0)</f>
        <v>3</v>
      </c>
      <c r="P8" s="16">
        <f>IFERROR(__xludf.DUMMYFUNCTION("""COMPUTED_VALUE"""),3.0)</f>
        <v>3</v>
      </c>
      <c r="Q8" s="16">
        <f>IFERROR(__xludf.DUMMYFUNCTION("""COMPUTED_VALUE"""),3.0)</f>
        <v>3</v>
      </c>
      <c r="R8" s="16">
        <f>IFERROR(__xludf.DUMMYFUNCTION("""COMPUTED_VALUE"""),3.0)</f>
        <v>3</v>
      </c>
      <c r="S8" s="16">
        <f>IFERROR(__xludf.DUMMYFUNCTION("""COMPUTED_VALUE"""),6.9)</f>
        <v>6.9</v>
      </c>
      <c r="T8" s="16">
        <f>IFERROR(__xludf.DUMMYFUNCTION("""COMPUTED_VALUE"""),8.6)</f>
        <v>8.6</v>
      </c>
      <c r="U8" s="16">
        <f>IFERROR(__xludf.DUMMYFUNCTION("""COMPUTED_VALUE"""),1.0)</f>
        <v>1</v>
      </c>
      <c r="V8" s="16">
        <f>IFERROR(__xludf.DUMMYFUNCTION("""COMPUTED_VALUE"""),1.0)</f>
        <v>1</v>
      </c>
      <c r="W8" s="16">
        <f>IFERROR(__xludf.DUMMYFUNCTION("""COMPUTED_VALUE"""),2.0)</f>
        <v>2</v>
      </c>
      <c r="X8" s="16">
        <f>IFERROR(__xludf.DUMMYFUNCTION("""COMPUTED_VALUE"""),2.0)</f>
        <v>2</v>
      </c>
      <c r="Y8" s="16">
        <f>IFERROR(__xludf.DUMMYFUNCTION("""COMPUTED_VALUE"""),7.9)</f>
        <v>7.9</v>
      </c>
      <c r="Z8" s="16">
        <f>IFERROR(__xludf.DUMMYFUNCTION("""COMPUTED_VALUE"""),10.6)</f>
        <v>10.6</v>
      </c>
      <c r="AA8" s="16">
        <f>IFERROR(__xludf.DUMMYFUNCTION("""COMPUTED_VALUE"""),2.0)</f>
        <v>2</v>
      </c>
      <c r="AB8" s="16">
        <f>IFERROR(__xludf.DUMMYFUNCTION("""COMPUTED_VALUE"""),2.0)</f>
        <v>2</v>
      </c>
      <c r="AC8" s="16">
        <f>IFERROR(__xludf.DUMMYFUNCTION("""COMPUTED_VALUE"""),10.0)</f>
        <v>10</v>
      </c>
      <c r="AD8" s="16">
        <f>IFERROR(__xludf.DUMMYFUNCTION("""COMPUTED_VALUE"""),10.0)</f>
        <v>10</v>
      </c>
      <c r="AE8" s="16">
        <f>IFERROR(__xludf.DUMMYFUNCTION("""COMPUTED_VALUE"""),9.7)</f>
        <v>9.7</v>
      </c>
      <c r="AF8" s="16">
        <f>IFERROR(__xludf.DUMMYFUNCTION("""COMPUTED_VALUE"""),15.6)</f>
        <v>15.6</v>
      </c>
      <c r="AG8" s="16">
        <f>IFERROR(__xludf.DUMMYFUNCTION("""COMPUTED_VALUE"""),2.0)</f>
        <v>2</v>
      </c>
      <c r="AH8" s="16">
        <f>IFERROR(__xludf.DUMMYFUNCTION("""COMPUTED_VALUE"""),1.0)</f>
        <v>1</v>
      </c>
      <c r="AI8" s="16">
        <f>IFERROR(__xludf.DUMMYFUNCTION("""COMPUTED_VALUE"""),4.0)</f>
        <v>4</v>
      </c>
      <c r="AJ8" s="16">
        <f>IFERROR(__xludf.DUMMYFUNCTION("""COMPUTED_VALUE"""),2.0)</f>
        <v>2</v>
      </c>
      <c r="AK8" s="16">
        <f>IFERROR(__xludf.DUMMYFUNCTION("""COMPUTED_VALUE"""),6.9)</f>
        <v>6.9</v>
      </c>
      <c r="AL8" s="16">
        <f>IFERROR(__xludf.DUMMYFUNCTION("""COMPUTED_VALUE"""),7.6)</f>
        <v>7.6</v>
      </c>
      <c r="AM8" s="16">
        <f>IFERROR(__xludf.DUMMYFUNCTION("""COMPUTED_VALUE"""),1.0)</f>
        <v>1</v>
      </c>
      <c r="AN8" s="16">
        <f>IFERROR(__xludf.DUMMYFUNCTION("""COMPUTED_VALUE"""),1.0)</f>
        <v>1</v>
      </c>
      <c r="AO8" s="16">
        <f>IFERROR(__xludf.DUMMYFUNCTION("""COMPUTED_VALUE"""),1.0)</f>
        <v>1</v>
      </c>
      <c r="AP8" s="16">
        <f>IFERROR(__xludf.DUMMYFUNCTION("""COMPUTED_VALUE"""),1.0)</f>
        <v>1</v>
      </c>
      <c r="AQ8" s="16">
        <f>IFERROR(__xludf.DUMMYFUNCTION("""COMPUTED_VALUE"""),9.7)</f>
        <v>9.7</v>
      </c>
      <c r="AR8" s="16">
        <f>IFERROR(__xludf.DUMMYFUNCTION("""COMPUTED_VALUE"""),11.6)</f>
        <v>11.6</v>
      </c>
      <c r="AS8" s="16">
        <f>IFERROR(__xludf.DUMMYFUNCTION("""COMPUTED_VALUE"""),1.0)</f>
        <v>1</v>
      </c>
      <c r="AT8" s="16">
        <f>IFERROR(__xludf.DUMMYFUNCTION("""COMPUTED_VALUE"""),1.0)</f>
        <v>1</v>
      </c>
      <c r="AU8" s="16">
        <f>IFERROR(__xludf.DUMMYFUNCTION("""COMPUTED_VALUE"""),2.0)</f>
        <v>2</v>
      </c>
      <c r="AV8" s="16">
        <f>IFERROR(__xludf.DUMMYFUNCTION("""COMPUTED_VALUE"""),2.0)</f>
        <v>2</v>
      </c>
      <c r="AW8" s="16">
        <f>IFERROR(__xludf.DUMMYFUNCTION("""COMPUTED_VALUE"""),0.0)</f>
        <v>0</v>
      </c>
      <c r="AX8" s="16">
        <f>IFERROR(__xludf.DUMMYFUNCTION("""COMPUTED_VALUE"""),1.0)</f>
        <v>1</v>
      </c>
      <c r="AY8" s="16">
        <f>IFERROR(__xludf.DUMMYFUNCTION("""COMPUTED_VALUE"""),2.0)</f>
        <v>2</v>
      </c>
      <c r="AZ8" s="16">
        <f>IFERROR(__xludf.DUMMYFUNCTION("""COMPUTED_VALUE"""),1.0)</f>
        <v>1</v>
      </c>
      <c r="BA8" s="16">
        <f>IFERROR(__xludf.DUMMYFUNCTION("""COMPUTED_VALUE"""),10.0)</f>
        <v>10</v>
      </c>
      <c r="BB8" s="16">
        <f>IFERROR(__xludf.DUMMYFUNCTION("""COMPUTED_VALUE"""),5.0)</f>
        <v>5</v>
      </c>
      <c r="BC8" s="16">
        <f>IFERROR(__xludf.DUMMYFUNCTION("""COMPUTED_VALUE"""),0.0)</f>
        <v>0</v>
      </c>
      <c r="BD8" s="16">
        <f>IFERROR(__xludf.DUMMYFUNCTION("""COMPUTED_VALUE"""),1.0)</f>
        <v>1</v>
      </c>
      <c r="BE8" s="16">
        <f>IFERROR(__xludf.DUMMYFUNCTION("""COMPUTED_VALUE"""),0.0)</f>
        <v>0</v>
      </c>
      <c r="BF8" s="16">
        <f>IFERROR(__xludf.DUMMYFUNCTION("""COMPUTED_VALUE"""),1.0)</f>
        <v>1</v>
      </c>
      <c r="BG8" s="16">
        <f>IFERROR(__xludf.DUMMYFUNCTION("""COMPUTED_VALUE"""),3.0)</f>
        <v>3</v>
      </c>
      <c r="BH8" s="16">
        <f>IFERROR(__xludf.DUMMYFUNCTION("""COMPUTED_VALUE"""),2.0)</f>
        <v>2</v>
      </c>
      <c r="BI8" s="16">
        <f>IFERROR(__xludf.DUMMYFUNCTION("""COMPUTED_VALUE"""),6.0)</f>
        <v>6</v>
      </c>
      <c r="BJ8" s="16">
        <f>IFERROR(__xludf.DUMMYFUNCTION("""COMPUTED_VALUE"""),4.0)</f>
        <v>4</v>
      </c>
      <c r="BK8" s="16">
        <f>IFERROR(__xludf.DUMMYFUNCTION("""COMPUTED_VALUE"""),5.0)</f>
        <v>5</v>
      </c>
      <c r="BL8" s="16">
        <f>IFERROR(__xludf.DUMMYFUNCTION("""COMPUTED_VALUE"""),5.0)</f>
        <v>5</v>
      </c>
      <c r="BM8" s="16">
        <f>IFERROR(__xludf.DUMMYFUNCTION("""COMPUTED_VALUE"""),0.0)</f>
        <v>0</v>
      </c>
      <c r="BN8" s="16">
        <f>IFERROR(__xludf.DUMMYFUNCTION("""COMPUTED_VALUE"""),0.0)</f>
        <v>0</v>
      </c>
      <c r="BO8" s="16">
        <f>IFERROR(__xludf.DUMMYFUNCTION("""COMPUTED_VALUE"""),0.0)</f>
        <v>0</v>
      </c>
      <c r="BP8" s="16">
        <f>IFERROR(__xludf.DUMMYFUNCTION("""COMPUTED_VALUE"""),0.0)</f>
        <v>0</v>
      </c>
      <c r="BQ8" s="16">
        <f>IFERROR(__xludf.DUMMYFUNCTION("""COMPUTED_VALUE"""),6.0)</f>
        <v>6</v>
      </c>
      <c r="BR8" s="16">
        <f>IFERROR(__xludf.DUMMYFUNCTION("""COMPUTED_VALUE"""),8.0)</f>
        <v>8</v>
      </c>
      <c r="BS8" s="16">
        <f>IFERROR(__xludf.DUMMYFUNCTION("""COMPUTED_VALUE"""),1.0)</f>
        <v>1</v>
      </c>
      <c r="BT8" s="16">
        <f>IFERROR(__xludf.DUMMYFUNCTION("""COMPUTED_VALUE"""),2.0)</f>
        <v>2</v>
      </c>
      <c r="BU8" s="16">
        <f>IFERROR(__xludf.DUMMYFUNCTION("""COMPUTED_VALUE"""),2.0)</f>
        <v>2</v>
      </c>
      <c r="BV8" s="16">
        <f>IFERROR(__xludf.DUMMYFUNCTION("""COMPUTED_VALUE"""),4.0)</f>
        <v>4</v>
      </c>
      <c r="BW8" s="16">
        <f>IFERROR(__xludf.DUMMYFUNCTION("""COMPUTED_VALUE"""),-3.0)</f>
        <v>-3</v>
      </c>
      <c r="BX8" s="16">
        <f>IFERROR(__xludf.DUMMYFUNCTION("""COMPUTED_VALUE"""),-3.0)</f>
        <v>-3</v>
      </c>
      <c r="BY8" s="16" t="str">
        <f>IFERROR(__xludf.DUMMYFUNCTION("""COMPUTED_VALUE"""),"S(6)")</f>
        <v>S(6)</v>
      </c>
      <c r="BZ8" s="16" t="str">
        <f>IFERROR(__xludf.DUMMYFUNCTION("""COMPUTED_VALUE"""),"S(6)")</f>
        <v>S(6)</v>
      </c>
      <c r="CA8" s="16" t="str">
        <f>IFERROR(__xludf.DUMMYFUNCTION("""COMPUTED_VALUE"""),"S(6)")</f>
        <v>S(6)</v>
      </c>
      <c r="CB8" s="16"/>
      <c r="CC8" s="16"/>
      <c r="CD8" s="16">
        <f>IFERROR(__xludf.DUMMYFUNCTION("""COMPUTED_VALUE"""),6.0)</f>
        <v>6</v>
      </c>
      <c r="CE8" s="16"/>
      <c r="CF8" s="16"/>
      <c r="CG8" s="16" t="str">
        <f>IFERROR(__xludf.DUMMYFUNCTION("""COMPUTED_VALUE"""),"3-23")</f>
        <v>3-23</v>
      </c>
      <c r="CH8" s="16">
        <f>IFERROR(__xludf.DUMMYFUNCTION("""COMPUTED_VALUE"""),3.0)</f>
        <v>3</v>
      </c>
      <c r="CI8" s="16">
        <f>IFERROR(__xludf.DUMMYFUNCTION("""COMPUTED_VALUE"""),23.0)</f>
        <v>23</v>
      </c>
      <c r="CJ8" s="16">
        <f>IFERROR(__xludf.DUMMYFUNCTION("""COMPUTED_VALUE"""),0.0)</f>
        <v>0</v>
      </c>
      <c r="CK8" s="16">
        <f>IFERROR(__xludf.DUMMYFUNCTION("""COMPUTED_VALUE"""),2.0)</f>
        <v>2</v>
      </c>
      <c r="CL8" s="16" t="str">
        <f>IFERROR(__xludf.DUMMYFUNCTION("""COMPUTED_VALUE"""),"1WR-C")</f>
        <v>1WR-C</v>
      </c>
      <c r="CM8" s="16" t="str">
        <f>IFERROR(__xludf.DUMMYFUNCTION("""COMPUTED_VALUE"""),"E")</f>
        <v>E</v>
      </c>
      <c r="CN8" s="16">
        <f>IFERROR(__xludf.DUMMYFUNCTION("""COMPUTED_VALUE"""),10.0)</f>
        <v>10</v>
      </c>
      <c r="CO8" s="16" t="str">
        <f>IFERROR(__xludf.DUMMYFUNCTION("""COMPUTED_VALUE"""),"C")</f>
        <v>C</v>
      </c>
      <c r="CP8" s="16" t="str">
        <f>IFERROR(__xludf.DUMMYFUNCTION("""COMPUTED_VALUE"""),"1p70")</f>
        <v>1p70</v>
      </c>
      <c r="CQ8" s="16">
        <f>IFERROR(__xludf.DUMMYFUNCTION("""COMPUTED_VALUE"""),43.0)</f>
        <v>43</v>
      </c>
      <c r="CR8" s="16">
        <f>IFERROR(__xludf.DUMMYFUNCTION("""COMPUTED_VALUE"""),39.0)</f>
        <v>39</v>
      </c>
      <c r="CS8" s="16">
        <f>IFERROR(__xludf.DUMMYFUNCTION("""COMPUTED_VALUE"""),82.0)</f>
        <v>82</v>
      </c>
      <c r="CT8" s="16">
        <f>IFERROR(__xludf.DUMMYFUNCTION("""COMPUTED_VALUE"""),43.0)</f>
        <v>43</v>
      </c>
      <c r="CU8" s="16">
        <f>IFERROR(__xludf.DUMMYFUNCTION("""COMPUTED_VALUE"""),39.0)</f>
        <v>39</v>
      </c>
      <c r="CV8" s="179">
        <f>IFERROR(__xludf.DUMMYFUNCTION("""COMPUTED_VALUE"""),47.333333333333336)</f>
        <v>47.33333333</v>
      </c>
      <c r="CW8" s="179">
        <f>IFERROR(__xludf.DUMMYFUNCTION("""COMPUTED_VALUE"""),4.0)</f>
        <v>4</v>
      </c>
      <c r="CX8" s="179">
        <f>IFERROR(__xludf.DUMMYFUNCTION("""COMPUTED_VALUE"""),3.0)</f>
        <v>3</v>
      </c>
      <c r="CY8" s="16" t="str">
        <f>IFERROR(__xludf.DUMMYFUNCTION("""COMPUTED_VALUE"""),"SP")</f>
        <v>SP</v>
      </c>
      <c r="CZ8" s="16"/>
      <c r="DA8" s="16"/>
      <c r="DB8" s="16"/>
      <c r="DC8" s="16"/>
      <c r="DD8" s="16"/>
      <c r="DE8" s="16"/>
      <c r="DF8" s="16"/>
      <c r="DG8" s="16"/>
      <c r="DH8" s="16"/>
      <c r="DI8" s="16"/>
      <c r="DJ8" s="16"/>
      <c r="DK8" s="16"/>
    </row>
    <row r="9">
      <c r="A9" s="16">
        <f>IFERROR(__xludf.DUMMYFUNCTION("""COMPUTED_VALUE"""),12643.0)</f>
        <v>12643</v>
      </c>
      <c r="B9" s="16" t="str">
        <f>IFERROR(__xludf.DUMMYFUNCTION("""COMPUTED_VALUE"""),"Cade Smith")</f>
        <v>Cade Smith</v>
      </c>
      <c r="C9" s="153">
        <f>IFERROR(__xludf.DUMMYFUNCTION("""COMPUTED_VALUE"""),1.53)</f>
        <v>1.53</v>
      </c>
      <c r="D9" s="16"/>
      <c r="E9" s="16" t="str">
        <f>IFERROR(__xludf.DUMMYFUNCTION("""COMPUTED_VALUE"""),"R")</f>
        <v>R</v>
      </c>
      <c r="F9" s="16">
        <f>IFERROR(__xludf.DUMMYFUNCTION("""COMPUTED_VALUE"""),75.0)</f>
        <v>75</v>
      </c>
      <c r="G9" s="16">
        <f>IFERROR(__xludf.DUMMYFUNCTION("""COMPUTED_VALUE"""),61.0)</f>
        <v>61</v>
      </c>
      <c r="H9" s="16">
        <f>IFERROR(__xludf.DUMMYFUNCTION("""COMPUTED_VALUE"""),46.0)</f>
        <v>46</v>
      </c>
      <c r="I9" s="16">
        <f>IFERROR(__xludf.DUMMYFUNCTION("""COMPUTED_VALUE"""),3.0)</f>
        <v>3</v>
      </c>
      <c r="J9" s="16">
        <f>IFERROR(__xludf.DUMMYFUNCTION("""COMPUTED_VALUE"""),2.0)</f>
        <v>2</v>
      </c>
      <c r="K9" s="16">
        <f>IFERROR(__xludf.DUMMYFUNCTION("""COMPUTED_VALUE"""),9.0)</f>
        <v>9</v>
      </c>
      <c r="L9" s="16">
        <f>IFERROR(__xludf.DUMMYFUNCTION("""COMPUTED_VALUE"""),6.0)</f>
        <v>6</v>
      </c>
      <c r="M9" s="16">
        <f>IFERROR(__xludf.DUMMYFUNCTION("""COMPUTED_VALUE"""),6.0)</f>
        <v>6</v>
      </c>
      <c r="N9" s="16">
        <f>IFERROR(__xludf.DUMMYFUNCTION("""COMPUTED_VALUE"""),3.0)</f>
        <v>3</v>
      </c>
      <c r="O9" s="16">
        <f>IFERROR(__xludf.DUMMYFUNCTION("""COMPUTED_VALUE"""),1.0)</f>
        <v>1</v>
      </c>
      <c r="P9" s="16">
        <f>IFERROR(__xludf.DUMMYFUNCTION("""COMPUTED_VALUE"""),2.0)</f>
        <v>2</v>
      </c>
      <c r="Q9" s="16">
        <f>IFERROR(__xludf.DUMMYFUNCTION("""COMPUTED_VALUE"""),1.0)</f>
        <v>1</v>
      </c>
      <c r="R9" s="16">
        <f>IFERROR(__xludf.DUMMYFUNCTION("""COMPUTED_VALUE"""),2.0)</f>
        <v>2</v>
      </c>
      <c r="S9" s="16">
        <f>IFERROR(__xludf.DUMMYFUNCTION("""COMPUTED_VALUE"""),5.2)</f>
        <v>5.2</v>
      </c>
      <c r="T9" s="16">
        <f>IFERROR(__xludf.DUMMYFUNCTION("""COMPUTED_VALUE"""),15.7)</f>
        <v>15.7</v>
      </c>
      <c r="U9" s="16">
        <f>IFERROR(__xludf.DUMMYFUNCTION("""COMPUTED_VALUE"""),2.0)</f>
        <v>2</v>
      </c>
      <c r="V9" s="16">
        <f>IFERROR(__xludf.DUMMYFUNCTION("""COMPUTED_VALUE"""),0.0)</f>
        <v>0</v>
      </c>
      <c r="W9" s="16">
        <f>IFERROR(__xludf.DUMMYFUNCTION("""COMPUTED_VALUE"""),4.0)</f>
        <v>4</v>
      </c>
      <c r="X9" s="16">
        <f>IFERROR(__xludf.DUMMYFUNCTION("""COMPUTED_VALUE"""),0.0)</f>
        <v>0</v>
      </c>
      <c r="Y9" s="16">
        <f>IFERROR(__xludf.DUMMYFUNCTION("""COMPUTED_VALUE"""),11.2)</f>
        <v>11.2</v>
      </c>
      <c r="Z9" s="16">
        <f>IFERROR(__xludf.DUMMYFUNCTION("""COMPUTED_VALUE"""),18.7)</f>
        <v>18.7</v>
      </c>
      <c r="AA9" s="16">
        <f>IFERROR(__xludf.DUMMYFUNCTION("""COMPUTED_VALUE"""),2.0)</f>
        <v>2</v>
      </c>
      <c r="AB9" s="16">
        <f>IFERROR(__xludf.DUMMYFUNCTION("""COMPUTED_VALUE"""),1.0)</f>
        <v>1</v>
      </c>
      <c r="AC9" s="16">
        <f>IFERROR(__xludf.DUMMYFUNCTION("""COMPUTED_VALUE"""),10.0)</f>
        <v>10</v>
      </c>
      <c r="AD9" s="16">
        <f>IFERROR(__xludf.DUMMYFUNCTION("""COMPUTED_VALUE"""),5.0)</f>
        <v>5</v>
      </c>
      <c r="AE9" s="16">
        <f>IFERROR(__xludf.DUMMYFUNCTION("""COMPUTED_VALUE"""),11.2)</f>
        <v>11.2</v>
      </c>
      <c r="AF9" s="16">
        <f>IFERROR(__xludf.DUMMYFUNCTION("""COMPUTED_VALUE"""),30.5)</f>
        <v>30.5</v>
      </c>
      <c r="AG9" s="16">
        <f>IFERROR(__xludf.DUMMYFUNCTION("""COMPUTED_VALUE"""),2.0)</f>
        <v>2</v>
      </c>
      <c r="AH9" s="16">
        <f>IFERROR(__xludf.DUMMYFUNCTION("""COMPUTED_VALUE"""),0.0)</f>
        <v>0</v>
      </c>
      <c r="AI9" s="16">
        <f>IFERROR(__xludf.DUMMYFUNCTION("""COMPUTED_VALUE"""),4.0)</f>
        <v>4</v>
      </c>
      <c r="AJ9" s="16">
        <f>IFERROR(__xludf.DUMMYFUNCTION("""COMPUTED_VALUE"""),0.0)</f>
        <v>0</v>
      </c>
      <c r="AK9" s="16">
        <f>IFERROR(__xludf.DUMMYFUNCTION("""COMPUTED_VALUE"""),5.2)</f>
        <v>5.2</v>
      </c>
      <c r="AL9" s="16">
        <f>IFERROR(__xludf.DUMMYFUNCTION("""COMPUTED_VALUE"""),15.7)</f>
        <v>15.7</v>
      </c>
      <c r="AM9" s="16">
        <f>IFERROR(__xludf.DUMMYFUNCTION("""COMPUTED_VALUE"""),1.0)</f>
        <v>1</v>
      </c>
      <c r="AN9" s="16">
        <f>IFERROR(__xludf.DUMMYFUNCTION("""COMPUTED_VALUE"""),0.0)</f>
        <v>0</v>
      </c>
      <c r="AO9" s="16">
        <f>IFERROR(__xludf.DUMMYFUNCTION("""COMPUTED_VALUE"""),1.0)</f>
        <v>1</v>
      </c>
      <c r="AP9" s="16">
        <f>IFERROR(__xludf.DUMMYFUNCTION("""COMPUTED_VALUE"""),0.0)</f>
        <v>0</v>
      </c>
      <c r="AQ9" s="16">
        <f>IFERROR(__xludf.DUMMYFUNCTION("""COMPUTED_VALUE"""),11.2)</f>
        <v>11.2</v>
      </c>
      <c r="AR9" s="16">
        <f>IFERROR(__xludf.DUMMYFUNCTION("""COMPUTED_VALUE"""),30.5)</f>
        <v>30.5</v>
      </c>
      <c r="AS9" s="16">
        <f>IFERROR(__xludf.DUMMYFUNCTION("""COMPUTED_VALUE"""),1.0)</f>
        <v>1</v>
      </c>
      <c r="AT9" s="16">
        <f>IFERROR(__xludf.DUMMYFUNCTION("""COMPUTED_VALUE"""),-1.0)</f>
        <v>-1</v>
      </c>
      <c r="AU9" s="16">
        <f>IFERROR(__xludf.DUMMYFUNCTION("""COMPUTED_VALUE"""),2.0)</f>
        <v>2</v>
      </c>
      <c r="AV9" s="16">
        <f>IFERROR(__xludf.DUMMYFUNCTION("""COMPUTED_VALUE"""),-2.0)</f>
        <v>-2</v>
      </c>
      <c r="AW9" s="16">
        <f>IFERROR(__xludf.DUMMYFUNCTION("""COMPUTED_VALUE"""),0.0)</f>
        <v>0</v>
      </c>
      <c r="AX9" s="16">
        <f>IFERROR(__xludf.DUMMYFUNCTION("""COMPUTED_VALUE"""),0.0)</f>
        <v>0</v>
      </c>
      <c r="AY9" s="16">
        <f>IFERROR(__xludf.DUMMYFUNCTION("""COMPUTED_VALUE"""),2.0)</f>
        <v>2</v>
      </c>
      <c r="AZ9" s="16">
        <f>IFERROR(__xludf.DUMMYFUNCTION("""COMPUTED_VALUE"""),2.0)</f>
        <v>2</v>
      </c>
      <c r="BA9" s="16">
        <f>IFERROR(__xludf.DUMMYFUNCTION("""COMPUTED_VALUE"""),10.0)</f>
        <v>10</v>
      </c>
      <c r="BB9" s="16">
        <f>IFERROR(__xludf.DUMMYFUNCTION("""COMPUTED_VALUE"""),10.0)</f>
        <v>10</v>
      </c>
      <c r="BC9" s="16"/>
      <c r="BD9" s="16"/>
      <c r="BE9" s="16">
        <f>IFERROR(__xludf.DUMMYFUNCTION("""COMPUTED_VALUE"""),0.0)</f>
        <v>0</v>
      </c>
      <c r="BF9" s="16">
        <f>IFERROR(__xludf.DUMMYFUNCTION("""COMPUTED_VALUE"""),0.0)</f>
        <v>0</v>
      </c>
      <c r="BG9" s="16">
        <f>IFERROR(__xludf.DUMMYFUNCTION("""COMPUTED_VALUE"""),3.0)</f>
        <v>3</v>
      </c>
      <c r="BH9" s="16">
        <f>IFERROR(__xludf.DUMMYFUNCTION("""COMPUTED_VALUE"""),2.0)</f>
        <v>2</v>
      </c>
      <c r="BI9" s="16">
        <f>IFERROR(__xludf.DUMMYFUNCTION("""COMPUTED_VALUE"""),6.0)</f>
        <v>6</v>
      </c>
      <c r="BJ9" s="16">
        <f>IFERROR(__xludf.DUMMYFUNCTION("""COMPUTED_VALUE"""),4.0)</f>
        <v>4</v>
      </c>
      <c r="BK9" s="16">
        <f>IFERROR(__xludf.DUMMYFUNCTION("""COMPUTED_VALUE"""),0.0)</f>
        <v>0</v>
      </c>
      <c r="BL9" s="16">
        <f>IFERROR(__xludf.DUMMYFUNCTION("""COMPUTED_VALUE"""),0.0)</f>
        <v>0</v>
      </c>
      <c r="BM9" s="16">
        <f>IFERROR(__xludf.DUMMYFUNCTION("""COMPUTED_VALUE"""),1.0)</f>
        <v>1</v>
      </c>
      <c r="BN9" s="16">
        <f>IFERROR(__xludf.DUMMYFUNCTION("""COMPUTED_VALUE"""),1.0)</f>
        <v>1</v>
      </c>
      <c r="BO9" s="16">
        <f>IFERROR(__xludf.DUMMYFUNCTION("""COMPUTED_VALUE"""),1.0)</f>
        <v>1</v>
      </c>
      <c r="BP9" s="16">
        <f>IFERROR(__xludf.DUMMYFUNCTION("""COMPUTED_VALUE"""),1.0)</f>
        <v>1</v>
      </c>
      <c r="BQ9" s="16">
        <f>IFERROR(__xludf.DUMMYFUNCTION("""COMPUTED_VALUE"""),5.0)</f>
        <v>5</v>
      </c>
      <c r="BR9" s="16">
        <f>IFERROR(__xludf.DUMMYFUNCTION("""COMPUTED_VALUE"""),10.0)</f>
        <v>10</v>
      </c>
      <c r="BS9" s="16">
        <f>IFERROR(__xludf.DUMMYFUNCTION("""COMPUTED_VALUE"""),0.0)</f>
        <v>0</v>
      </c>
      <c r="BT9" s="16">
        <f>IFERROR(__xludf.DUMMYFUNCTION("""COMPUTED_VALUE"""),3.0)</f>
        <v>3</v>
      </c>
      <c r="BU9" s="16">
        <f>IFERROR(__xludf.DUMMYFUNCTION("""COMPUTED_VALUE"""),0.0)</f>
        <v>0</v>
      </c>
      <c r="BV9" s="16">
        <f>IFERROR(__xludf.DUMMYFUNCTION("""COMPUTED_VALUE"""),6.0)</f>
        <v>6</v>
      </c>
      <c r="BW9" s="16">
        <f>IFERROR(__xludf.DUMMYFUNCTION("""COMPUTED_VALUE"""),-1.0)</f>
        <v>-1</v>
      </c>
      <c r="BX9" s="16">
        <f>IFERROR(__xludf.DUMMYFUNCTION("""COMPUTED_VALUE"""),-1.0)</f>
        <v>-1</v>
      </c>
      <c r="BY9" s="16" t="str">
        <f>IFERROR(__xludf.DUMMYFUNCTION("""COMPUTED_VALUE"""),"R(1) C(0)")</f>
        <v>R(1) C(0)</v>
      </c>
      <c r="BZ9" s="16" t="str">
        <f>IFERROR(__xludf.DUMMYFUNCTION("""COMPUTED_VALUE"""),"R(1) C(0)")</f>
        <v>R(1) C(0)</v>
      </c>
      <c r="CA9" s="16" t="str">
        <f>IFERROR(__xludf.DUMMYFUNCTION("""COMPUTED_VALUE"""),"R(1)")</f>
        <v>R(1)</v>
      </c>
      <c r="CB9" s="16" t="str">
        <f>IFERROR(__xludf.DUMMYFUNCTION("""COMPUTED_VALUE"""),"C(0)")</f>
        <v>C(0)</v>
      </c>
      <c r="CC9" s="16"/>
      <c r="CD9" s="16"/>
      <c r="CE9" s="16">
        <f>IFERROR(__xludf.DUMMYFUNCTION("""COMPUTED_VALUE"""),1.0)</f>
        <v>1</v>
      </c>
      <c r="CF9" s="16">
        <f>IFERROR(__xludf.DUMMYFUNCTION("""COMPUTED_VALUE"""),0.0)</f>
        <v>0</v>
      </c>
      <c r="CG9" s="16" t="str">
        <f>IFERROR(__xludf.DUMMYFUNCTION("""COMPUTED_VALUE"""),"2-0")</f>
        <v>2-0</v>
      </c>
      <c r="CH9" s="16">
        <f>IFERROR(__xludf.DUMMYFUNCTION("""COMPUTED_VALUE"""),2.0)</f>
        <v>2</v>
      </c>
      <c r="CI9" s="16">
        <f>IFERROR(__xludf.DUMMYFUNCTION("""COMPUTED_VALUE"""),0.0)</f>
        <v>0</v>
      </c>
      <c r="CJ9" s="16">
        <f>IFERROR(__xludf.DUMMYFUNCTION("""COMPUTED_VALUE"""),5.0)</f>
        <v>5</v>
      </c>
      <c r="CK9" s="16">
        <f>IFERROR(__xludf.DUMMYFUNCTION("""COMPUTED_VALUE"""),0.0)</f>
        <v>0</v>
      </c>
      <c r="CL9" s="16" t="str">
        <f>IFERROR(__xludf.DUMMYFUNCTION("""COMPUTED_VALUE"""),"1WR-C")</f>
        <v>1WR-C</v>
      </c>
      <c r="CM9" s="16" t="str">
        <f>IFERROR(__xludf.DUMMYFUNCTION("""COMPUTED_VALUE"""),"E")</f>
        <v>E</v>
      </c>
      <c r="CN9" s="16">
        <f>IFERROR(__xludf.DUMMYFUNCTION("""COMPUTED_VALUE"""),10.0)</f>
        <v>10</v>
      </c>
      <c r="CO9" s="16" t="str">
        <f>IFERROR(__xludf.DUMMYFUNCTION("""COMPUTED_VALUE"""),"C")</f>
        <v>C</v>
      </c>
      <c r="CP9" s="16" t="str">
        <f>IFERROR(__xludf.DUMMYFUNCTION("""COMPUTED_VALUE"""),"0p72")</f>
        <v>0p72</v>
      </c>
      <c r="CQ9" s="16">
        <f>IFERROR(__xludf.DUMMYFUNCTION("""COMPUTED_VALUE"""),48.0)</f>
        <v>48</v>
      </c>
      <c r="CR9" s="16">
        <f>IFERROR(__xludf.DUMMYFUNCTION("""COMPUTED_VALUE"""),32.0)</f>
        <v>32</v>
      </c>
      <c r="CS9" s="16">
        <f>IFERROR(__xludf.DUMMYFUNCTION("""COMPUTED_VALUE"""),80.0)</f>
        <v>80</v>
      </c>
      <c r="CT9" s="16">
        <f>IFERROR(__xludf.DUMMYFUNCTION("""COMPUTED_VALUE"""),48.0)</f>
        <v>48</v>
      </c>
      <c r="CU9" s="16">
        <f>IFERROR(__xludf.DUMMYFUNCTION("""COMPUTED_VALUE"""),32.0)</f>
        <v>32</v>
      </c>
      <c r="CV9" s="179">
        <f>IFERROR(__xludf.DUMMYFUNCTION("""COMPUTED_VALUE"""),46.333333333333336)</f>
        <v>46.33333333</v>
      </c>
      <c r="CW9" s="179">
        <f>IFERROR(__xludf.DUMMYFUNCTION("""COMPUTED_VALUE"""),5.0)</f>
        <v>5</v>
      </c>
      <c r="CX9" s="179">
        <f>IFERROR(__xludf.DUMMYFUNCTION("""COMPUTED_VALUE"""),4.0)</f>
        <v>4</v>
      </c>
      <c r="CY9" s="16" t="str">
        <f>IFERROR(__xludf.DUMMYFUNCTION("""COMPUTED_VALUE"""),"RP")</f>
        <v>RP</v>
      </c>
      <c r="CZ9" s="16" t="str">
        <f>IFERROR(__xludf.DUMMYFUNCTION("""COMPUTED_VALUE"""),"CP")</f>
        <v>CP</v>
      </c>
      <c r="DA9" s="16"/>
      <c r="DB9" s="16"/>
      <c r="DC9" s="16"/>
      <c r="DD9" s="16"/>
      <c r="DE9" s="16"/>
      <c r="DF9" s="16"/>
      <c r="DG9" s="16"/>
      <c r="DH9" s="16"/>
      <c r="DI9" s="16"/>
      <c r="DJ9" s="16"/>
      <c r="DK9" s="16"/>
    </row>
    <row r="10">
      <c r="A10" s="16">
        <f>IFERROR(__xludf.DUMMYFUNCTION("""COMPUTED_VALUE"""),12859.0)</f>
        <v>12859</v>
      </c>
      <c r="B10" s="16" t="str">
        <f>IFERROR(__xludf.DUMMYFUNCTION("""COMPUTED_VALUE"""),"Griffin Jax")</f>
        <v>Griffin Jax</v>
      </c>
      <c r="C10" s="153">
        <f>IFERROR(__xludf.DUMMYFUNCTION("""COMPUTED_VALUE"""),1.89)</f>
        <v>1.89</v>
      </c>
      <c r="D10" s="16"/>
      <c r="E10" s="16" t="str">
        <f>IFERROR(__xludf.DUMMYFUNCTION("""COMPUTED_VALUE"""),"R")</f>
        <v>R</v>
      </c>
      <c r="F10" s="16">
        <f>IFERROR(__xludf.DUMMYFUNCTION("""COMPUTED_VALUE"""),71.0)</f>
        <v>71</v>
      </c>
      <c r="G10" s="16">
        <f>IFERROR(__xludf.DUMMYFUNCTION("""COMPUTED_VALUE"""),44.0)</f>
        <v>44</v>
      </c>
      <c r="H10" s="16">
        <f>IFERROR(__xludf.DUMMYFUNCTION("""COMPUTED_VALUE"""),57.0)</f>
        <v>57</v>
      </c>
      <c r="I10" s="16">
        <f>IFERROR(__xludf.DUMMYFUNCTION("""COMPUTED_VALUE"""),2.0)</f>
        <v>2</v>
      </c>
      <c r="J10" s="16">
        <f>IFERROR(__xludf.DUMMYFUNCTION("""COMPUTED_VALUE"""),3.0)</f>
        <v>3</v>
      </c>
      <c r="K10" s="16">
        <f>IFERROR(__xludf.DUMMYFUNCTION("""COMPUTED_VALUE"""),6.0)</f>
        <v>6</v>
      </c>
      <c r="L10" s="16">
        <f>IFERROR(__xludf.DUMMYFUNCTION("""COMPUTED_VALUE"""),9.0)</f>
        <v>9</v>
      </c>
      <c r="M10" s="16">
        <f>IFERROR(__xludf.DUMMYFUNCTION("""COMPUTED_VALUE"""),2.0)</f>
        <v>2</v>
      </c>
      <c r="N10" s="16">
        <f>IFERROR(__xludf.DUMMYFUNCTION("""COMPUTED_VALUE"""),3.0)</f>
        <v>3</v>
      </c>
      <c r="O10" s="16">
        <f>IFERROR(__xludf.DUMMYFUNCTION("""COMPUTED_VALUE"""),2.0)</f>
        <v>2</v>
      </c>
      <c r="P10" s="16">
        <f>IFERROR(__xludf.DUMMYFUNCTION("""COMPUTED_VALUE"""),2.0)</f>
        <v>2</v>
      </c>
      <c r="Q10" s="16">
        <f>IFERROR(__xludf.DUMMYFUNCTION("""COMPUTED_VALUE"""),2.0)</f>
        <v>2</v>
      </c>
      <c r="R10" s="16">
        <f>IFERROR(__xludf.DUMMYFUNCTION("""COMPUTED_VALUE"""),2.0)</f>
        <v>2</v>
      </c>
      <c r="S10" s="16">
        <f>IFERROR(__xludf.DUMMYFUNCTION("""COMPUTED_VALUE"""),8.8)</f>
        <v>8.8</v>
      </c>
      <c r="T10" s="16">
        <f>IFERROR(__xludf.DUMMYFUNCTION("""COMPUTED_VALUE"""),5.0)</f>
        <v>5</v>
      </c>
      <c r="U10" s="16">
        <f>IFERROR(__xludf.DUMMYFUNCTION("""COMPUTED_VALUE"""),1.0)</f>
        <v>1</v>
      </c>
      <c r="V10" s="16">
        <f>IFERROR(__xludf.DUMMYFUNCTION("""COMPUTED_VALUE"""),2.0)</f>
        <v>2</v>
      </c>
      <c r="W10" s="16">
        <f>IFERROR(__xludf.DUMMYFUNCTION("""COMPUTED_VALUE"""),2.0)</f>
        <v>2</v>
      </c>
      <c r="X10" s="16">
        <f>IFERROR(__xludf.DUMMYFUNCTION("""COMPUTED_VALUE"""),4.0)</f>
        <v>4</v>
      </c>
      <c r="Y10" s="16">
        <f>IFERROR(__xludf.DUMMYFUNCTION("""COMPUTED_VALUE"""),10.8)</f>
        <v>10.8</v>
      </c>
      <c r="Z10" s="16">
        <f>IFERROR(__xludf.DUMMYFUNCTION("""COMPUTED_VALUE"""),8.0)</f>
        <v>8</v>
      </c>
      <c r="AA10" s="16">
        <f>IFERROR(__xludf.DUMMYFUNCTION("""COMPUTED_VALUE"""),2.0)</f>
        <v>2</v>
      </c>
      <c r="AB10" s="16">
        <f>IFERROR(__xludf.DUMMYFUNCTION("""COMPUTED_VALUE"""),2.0)</f>
        <v>2</v>
      </c>
      <c r="AC10" s="16">
        <f>IFERROR(__xludf.DUMMYFUNCTION("""COMPUTED_VALUE"""),10.0)</f>
        <v>10</v>
      </c>
      <c r="AD10" s="16">
        <f>IFERROR(__xludf.DUMMYFUNCTION("""COMPUTED_VALUE"""),10.0)</f>
        <v>10</v>
      </c>
      <c r="AE10" s="16">
        <f>IFERROR(__xludf.DUMMYFUNCTION("""COMPUTED_VALUE"""),14.5)</f>
        <v>14.5</v>
      </c>
      <c r="AF10" s="16">
        <f>IFERROR(__xludf.DUMMYFUNCTION("""COMPUTED_VALUE"""),10.6)</f>
        <v>10.6</v>
      </c>
      <c r="AG10" s="16">
        <f>IFERROR(__xludf.DUMMYFUNCTION("""COMPUTED_VALUE"""),1.0)</f>
        <v>1</v>
      </c>
      <c r="AH10" s="16">
        <f>IFERROR(__xludf.DUMMYFUNCTION("""COMPUTED_VALUE"""),2.0)</f>
        <v>2</v>
      </c>
      <c r="AI10" s="16">
        <f>IFERROR(__xludf.DUMMYFUNCTION("""COMPUTED_VALUE"""),2.0)</f>
        <v>2</v>
      </c>
      <c r="AJ10" s="16">
        <f>IFERROR(__xludf.DUMMYFUNCTION("""COMPUTED_VALUE"""),4.0)</f>
        <v>4</v>
      </c>
      <c r="AK10" s="16">
        <f>IFERROR(__xludf.DUMMYFUNCTION("""COMPUTED_VALUE"""),8.8)</f>
        <v>8.8</v>
      </c>
      <c r="AL10" s="16">
        <f>IFERROR(__xludf.DUMMYFUNCTION("""COMPUTED_VALUE"""),5.0)</f>
        <v>5</v>
      </c>
      <c r="AM10" s="16">
        <f>IFERROR(__xludf.DUMMYFUNCTION("""COMPUTED_VALUE"""),1.0)</f>
        <v>1</v>
      </c>
      <c r="AN10" s="16">
        <f>IFERROR(__xludf.DUMMYFUNCTION("""COMPUTED_VALUE"""),2.0)</f>
        <v>2</v>
      </c>
      <c r="AO10" s="16">
        <f>IFERROR(__xludf.DUMMYFUNCTION("""COMPUTED_VALUE"""),1.0)</f>
        <v>1</v>
      </c>
      <c r="AP10" s="16">
        <f>IFERROR(__xludf.DUMMYFUNCTION("""COMPUTED_VALUE"""),2.0)</f>
        <v>2</v>
      </c>
      <c r="AQ10" s="16">
        <f>IFERROR(__xludf.DUMMYFUNCTION("""COMPUTED_VALUE"""),14.5)</f>
        <v>14.5</v>
      </c>
      <c r="AR10" s="16">
        <f>IFERROR(__xludf.DUMMYFUNCTION("""COMPUTED_VALUE"""),10.6)</f>
        <v>10.6</v>
      </c>
      <c r="AS10" s="16">
        <f>IFERROR(__xludf.DUMMYFUNCTION("""COMPUTED_VALUE"""),1.0)</f>
        <v>1</v>
      </c>
      <c r="AT10" s="16">
        <f>IFERROR(__xludf.DUMMYFUNCTION("""COMPUTED_VALUE"""),1.0)</f>
        <v>1</v>
      </c>
      <c r="AU10" s="16">
        <f>IFERROR(__xludf.DUMMYFUNCTION("""COMPUTED_VALUE"""),2.0)</f>
        <v>2</v>
      </c>
      <c r="AV10" s="16">
        <f>IFERROR(__xludf.DUMMYFUNCTION("""COMPUTED_VALUE"""),2.0)</f>
        <v>2</v>
      </c>
      <c r="AW10" s="16">
        <f>IFERROR(__xludf.DUMMYFUNCTION("""COMPUTED_VALUE"""),0.0)</f>
        <v>0</v>
      </c>
      <c r="AX10" s="16">
        <f>IFERROR(__xludf.DUMMYFUNCTION("""COMPUTED_VALUE"""),0.0)</f>
        <v>0</v>
      </c>
      <c r="AY10" s="16">
        <f>IFERROR(__xludf.DUMMYFUNCTION("""COMPUTED_VALUE"""),2.0)</f>
        <v>2</v>
      </c>
      <c r="AZ10" s="16">
        <f>IFERROR(__xludf.DUMMYFUNCTION("""COMPUTED_VALUE"""),2.0)</f>
        <v>2</v>
      </c>
      <c r="BA10" s="16">
        <f>IFERROR(__xludf.DUMMYFUNCTION("""COMPUTED_VALUE"""),10.0)</f>
        <v>10</v>
      </c>
      <c r="BB10" s="16">
        <f>IFERROR(__xludf.DUMMYFUNCTION("""COMPUTED_VALUE"""),10.0)</f>
        <v>10</v>
      </c>
      <c r="BC10" s="16">
        <f>IFERROR(__xludf.DUMMYFUNCTION("""COMPUTED_VALUE"""),0.0)</f>
        <v>0</v>
      </c>
      <c r="BD10" s="16"/>
      <c r="BE10" s="16">
        <f>IFERROR(__xludf.DUMMYFUNCTION("""COMPUTED_VALUE"""),0.0)</f>
        <v>0</v>
      </c>
      <c r="BF10" s="16">
        <f>IFERROR(__xludf.DUMMYFUNCTION("""COMPUTED_VALUE"""),0.0)</f>
        <v>0</v>
      </c>
      <c r="BG10" s="16">
        <f>IFERROR(__xludf.DUMMYFUNCTION("""COMPUTED_VALUE"""),3.0)</f>
        <v>3</v>
      </c>
      <c r="BH10" s="16">
        <f>IFERROR(__xludf.DUMMYFUNCTION("""COMPUTED_VALUE"""),2.0)</f>
        <v>2</v>
      </c>
      <c r="BI10" s="16">
        <f>IFERROR(__xludf.DUMMYFUNCTION("""COMPUTED_VALUE"""),6.0)</f>
        <v>6</v>
      </c>
      <c r="BJ10" s="16">
        <f>IFERROR(__xludf.DUMMYFUNCTION("""COMPUTED_VALUE"""),4.0)</f>
        <v>4</v>
      </c>
      <c r="BK10" s="16">
        <f>IFERROR(__xludf.DUMMYFUNCTION("""COMPUTED_VALUE"""),5.0)</f>
        <v>5</v>
      </c>
      <c r="BL10" s="16">
        <f>IFERROR(__xludf.DUMMYFUNCTION("""COMPUTED_VALUE"""),0.0)</f>
        <v>0</v>
      </c>
      <c r="BM10" s="16">
        <f>IFERROR(__xludf.DUMMYFUNCTION("""COMPUTED_VALUE"""),0.0)</f>
        <v>0</v>
      </c>
      <c r="BN10" s="16">
        <f>IFERROR(__xludf.DUMMYFUNCTION("""COMPUTED_VALUE"""),1.0)</f>
        <v>1</v>
      </c>
      <c r="BO10" s="16">
        <f>IFERROR(__xludf.DUMMYFUNCTION("""COMPUTED_VALUE"""),0.0)</f>
        <v>0</v>
      </c>
      <c r="BP10" s="16">
        <f>IFERROR(__xludf.DUMMYFUNCTION("""COMPUTED_VALUE"""),1.0)</f>
        <v>1</v>
      </c>
      <c r="BQ10" s="16">
        <f>IFERROR(__xludf.DUMMYFUNCTION("""COMPUTED_VALUE"""),0.0)</f>
        <v>0</v>
      </c>
      <c r="BR10" s="16">
        <f>IFERROR(__xludf.DUMMYFUNCTION("""COMPUTED_VALUE"""),0.0)</f>
        <v>0</v>
      </c>
      <c r="BS10" s="16">
        <f>IFERROR(__xludf.DUMMYFUNCTION("""COMPUTED_VALUE"""),-3.0)</f>
        <v>-3</v>
      </c>
      <c r="BT10" s="16">
        <f>IFERROR(__xludf.DUMMYFUNCTION("""COMPUTED_VALUE"""),-3.0)</f>
        <v>-3</v>
      </c>
      <c r="BU10" s="16">
        <f>IFERROR(__xludf.DUMMYFUNCTION("""COMPUTED_VALUE"""),-6.0)</f>
        <v>-6</v>
      </c>
      <c r="BV10" s="16">
        <f>IFERROR(__xludf.DUMMYFUNCTION("""COMPUTED_VALUE"""),-6.0)</f>
        <v>-6</v>
      </c>
      <c r="BW10" s="16">
        <f>IFERROR(__xludf.DUMMYFUNCTION("""COMPUTED_VALUE"""),-4.0)</f>
        <v>-4</v>
      </c>
      <c r="BX10" s="16">
        <f>IFERROR(__xludf.DUMMYFUNCTION("""COMPUTED_VALUE"""),-4.0)</f>
        <v>-4</v>
      </c>
      <c r="BY10" s="16" t="str">
        <f>IFERROR(__xludf.DUMMYFUNCTION("""COMPUTED_VALUE"""),"R(1) C(3)")</f>
        <v>R(1) C(3)</v>
      </c>
      <c r="BZ10" s="16" t="str">
        <f>IFERROR(__xludf.DUMMYFUNCTION("""COMPUTED_VALUE"""),"R(1) C(3)")</f>
        <v>R(1) C(3)</v>
      </c>
      <c r="CA10" s="16" t="str">
        <f>IFERROR(__xludf.DUMMYFUNCTION("""COMPUTED_VALUE"""),"R(1)")</f>
        <v>R(1)</v>
      </c>
      <c r="CB10" s="16" t="str">
        <f>IFERROR(__xludf.DUMMYFUNCTION("""COMPUTED_VALUE"""),"C(3)")</f>
        <v>C(3)</v>
      </c>
      <c r="CC10" s="16"/>
      <c r="CD10" s="16"/>
      <c r="CE10" s="16">
        <f>IFERROR(__xludf.DUMMYFUNCTION("""COMPUTED_VALUE"""),1.0)</f>
        <v>1</v>
      </c>
      <c r="CF10" s="16">
        <f>IFERROR(__xludf.DUMMYFUNCTION("""COMPUTED_VALUE"""),3.0)</f>
        <v>3</v>
      </c>
      <c r="CG10" s="16" t="str">
        <f>IFERROR(__xludf.DUMMYFUNCTION("""COMPUTED_VALUE"""),"3-0")</f>
        <v>3-0</v>
      </c>
      <c r="CH10" s="16">
        <f>IFERROR(__xludf.DUMMYFUNCTION("""COMPUTED_VALUE"""),3.0)</f>
        <v>3</v>
      </c>
      <c r="CI10" s="16">
        <f>IFERROR(__xludf.DUMMYFUNCTION("""COMPUTED_VALUE"""),0.0)</f>
        <v>0</v>
      </c>
      <c r="CJ10" s="16">
        <f>IFERROR(__xludf.DUMMYFUNCTION("""COMPUTED_VALUE"""),0.0)</f>
        <v>0</v>
      </c>
      <c r="CK10" s="16">
        <f>IFERROR(__xludf.DUMMYFUNCTION("""COMPUTED_VALUE"""),13.0)</f>
        <v>13</v>
      </c>
      <c r="CL10" s="16" t="str">
        <f>IFERROR(__xludf.DUMMYFUNCTION("""COMPUTED_VALUE"""),"1WR-C")</f>
        <v>1WR-C</v>
      </c>
      <c r="CM10" s="16" t="str">
        <f>IFERROR(__xludf.DUMMYFUNCTION("""COMPUTED_VALUE"""),"E")</f>
        <v>E</v>
      </c>
      <c r="CN10" s="16">
        <f>IFERROR(__xludf.DUMMYFUNCTION("""COMPUTED_VALUE"""),10.0)</f>
        <v>10</v>
      </c>
      <c r="CO10" s="16" t="str">
        <f>IFERROR(__xludf.DUMMYFUNCTION("""COMPUTED_VALUE"""),"C")</f>
        <v>C</v>
      </c>
      <c r="CP10" s="16" t="str">
        <f>IFERROR(__xludf.DUMMYFUNCTION("""COMPUTED_VALUE"""),"0p72")</f>
        <v>0p72</v>
      </c>
      <c r="CQ10" s="16">
        <f>IFERROR(__xludf.DUMMYFUNCTION("""COMPUTED_VALUE"""),35.0)</f>
        <v>35</v>
      </c>
      <c r="CR10" s="16">
        <f>IFERROR(__xludf.DUMMYFUNCTION("""COMPUTED_VALUE"""),42.0)</f>
        <v>42</v>
      </c>
      <c r="CS10" s="16">
        <f>IFERROR(__xludf.DUMMYFUNCTION("""COMPUTED_VALUE"""),77.0)</f>
        <v>77</v>
      </c>
      <c r="CT10" s="16">
        <f>IFERROR(__xludf.DUMMYFUNCTION("""COMPUTED_VALUE"""),35.0)</f>
        <v>35</v>
      </c>
      <c r="CU10" s="16">
        <f>IFERROR(__xludf.DUMMYFUNCTION("""COMPUTED_VALUE"""),42.0)</f>
        <v>42</v>
      </c>
      <c r="CV10" s="179">
        <f>IFERROR(__xludf.DUMMYFUNCTION("""COMPUTED_VALUE"""),46.333333333333336)</f>
        <v>46.33333333</v>
      </c>
      <c r="CW10" s="179">
        <f>IFERROR(__xludf.DUMMYFUNCTION("""COMPUTED_VALUE"""),5.0)</f>
        <v>5</v>
      </c>
      <c r="CX10" s="179">
        <f>IFERROR(__xludf.DUMMYFUNCTION("""COMPUTED_VALUE"""),4.0)</f>
        <v>4</v>
      </c>
      <c r="CY10" s="16" t="str">
        <f>IFERROR(__xludf.DUMMYFUNCTION("""COMPUTED_VALUE"""),"RP")</f>
        <v>RP</v>
      </c>
      <c r="CZ10" s="16" t="str">
        <f>IFERROR(__xludf.DUMMYFUNCTION("""COMPUTED_VALUE"""),"CP")</f>
        <v>CP</v>
      </c>
      <c r="DA10" s="16"/>
      <c r="DB10" s="16"/>
      <c r="DC10" s="16"/>
      <c r="DD10" s="16"/>
      <c r="DE10" s="16"/>
      <c r="DF10" s="16"/>
      <c r="DG10" s="16"/>
      <c r="DH10" s="16"/>
      <c r="DI10" s="16"/>
      <c r="DJ10" s="16"/>
      <c r="DK10" s="16"/>
    </row>
    <row r="11">
      <c r="A11" s="16">
        <f>IFERROR(__xludf.DUMMYFUNCTION("""COMPUTED_VALUE"""),12678.0)</f>
        <v>12678</v>
      </c>
      <c r="B11" s="16" t="str">
        <f>IFERROR(__xludf.DUMMYFUNCTION("""COMPUTED_VALUE"""),"Chris Sale")</f>
        <v>Chris Sale</v>
      </c>
      <c r="C11" s="153">
        <f>IFERROR(__xludf.DUMMYFUNCTION("""COMPUTED_VALUE"""),3.14)</f>
        <v>3.14</v>
      </c>
      <c r="D11" s="16"/>
      <c r="E11" s="16" t="str">
        <f>IFERROR(__xludf.DUMMYFUNCTION("""COMPUTED_VALUE"""),"L")</f>
        <v>L</v>
      </c>
      <c r="F11" s="16">
        <f>IFERROR(__xludf.DUMMYFUNCTION("""COMPUTED_VALUE"""),178.0)</f>
        <v>178</v>
      </c>
      <c r="G11" s="16">
        <f>IFERROR(__xludf.DUMMYFUNCTION("""COMPUTED_VALUE"""),53.0)</f>
        <v>53</v>
      </c>
      <c r="H11" s="16">
        <f>IFERROR(__xludf.DUMMYFUNCTION("""COMPUTED_VALUE"""),45.0)</f>
        <v>45</v>
      </c>
      <c r="I11" s="16">
        <f>IFERROR(__xludf.DUMMYFUNCTION("""COMPUTED_VALUE"""),3.0)</f>
        <v>3</v>
      </c>
      <c r="J11" s="16">
        <f>IFERROR(__xludf.DUMMYFUNCTION("""COMPUTED_VALUE"""),2.0)</f>
        <v>2</v>
      </c>
      <c r="K11" s="16">
        <f>IFERROR(__xludf.DUMMYFUNCTION("""COMPUTED_VALUE"""),9.0)</f>
        <v>9</v>
      </c>
      <c r="L11" s="16">
        <f>IFERROR(__xludf.DUMMYFUNCTION("""COMPUTED_VALUE"""),6.0)</f>
        <v>6</v>
      </c>
      <c r="M11" s="16">
        <f>IFERROR(__xludf.DUMMYFUNCTION("""COMPUTED_VALUE"""),2.0)</f>
        <v>2</v>
      </c>
      <c r="N11" s="16">
        <f>IFERROR(__xludf.DUMMYFUNCTION("""COMPUTED_VALUE"""),4.0)</f>
        <v>4</v>
      </c>
      <c r="O11" s="16">
        <f>IFERROR(__xludf.DUMMYFUNCTION("""COMPUTED_VALUE"""),2.0)</f>
        <v>2</v>
      </c>
      <c r="P11" s="16">
        <f>IFERROR(__xludf.DUMMYFUNCTION("""COMPUTED_VALUE"""),2.0)</f>
        <v>2</v>
      </c>
      <c r="Q11" s="16">
        <f>IFERROR(__xludf.DUMMYFUNCTION("""COMPUTED_VALUE"""),2.0)</f>
        <v>2</v>
      </c>
      <c r="R11" s="16">
        <f>IFERROR(__xludf.DUMMYFUNCTION("""COMPUTED_VALUE"""),2.0)</f>
        <v>2</v>
      </c>
      <c r="S11" s="16">
        <f>IFERROR(__xludf.DUMMYFUNCTION("""COMPUTED_VALUE"""),7.9)</f>
        <v>7.9</v>
      </c>
      <c r="T11" s="16">
        <f>IFERROR(__xludf.DUMMYFUNCTION("""COMPUTED_VALUE"""),11.9)</f>
        <v>11.9</v>
      </c>
      <c r="U11" s="16">
        <f>IFERROR(__xludf.DUMMYFUNCTION("""COMPUTED_VALUE"""),1.0)</f>
        <v>1</v>
      </c>
      <c r="V11" s="16">
        <f>IFERROR(__xludf.DUMMYFUNCTION("""COMPUTED_VALUE"""),1.0)</f>
        <v>1</v>
      </c>
      <c r="W11" s="16">
        <f>IFERROR(__xludf.DUMMYFUNCTION("""COMPUTED_VALUE"""),2.0)</f>
        <v>2</v>
      </c>
      <c r="X11" s="16">
        <f>IFERROR(__xludf.DUMMYFUNCTION("""COMPUTED_VALUE"""),2.0)</f>
        <v>2</v>
      </c>
      <c r="Y11" s="16">
        <f>IFERROR(__xludf.DUMMYFUNCTION("""COMPUTED_VALUE"""),9.9)</f>
        <v>9.9</v>
      </c>
      <c r="Z11" s="16">
        <f>IFERROR(__xludf.DUMMYFUNCTION("""COMPUTED_VALUE"""),15.9)</f>
        <v>15.9</v>
      </c>
      <c r="AA11" s="16">
        <f>IFERROR(__xludf.DUMMYFUNCTION("""COMPUTED_VALUE"""),2.0)</f>
        <v>2</v>
      </c>
      <c r="AB11" s="16">
        <f>IFERROR(__xludf.DUMMYFUNCTION("""COMPUTED_VALUE"""),2.0)</f>
        <v>2</v>
      </c>
      <c r="AC11" s="16">
        <f>IFERROR(__xludf.DUMMYFUNCTION("""COMPUTED_VALUE"""),10.0)</f>
        <v>10</v>
      </c>
      <c r="AD11" s="16">
        <f>IFERROR(__xludf.DUMMYFUNCTION("""COMPUTED_VALUE"""),10.0)</f>
        <v>10</v>
      </c>
      <c r="AE11" s="16">
        <f>IFERROR(__xludf.DUMMYFUNCTION("""COMPUTED_VALUE"""),14.4)</f>
        <v>14.4</v>
      </c>
      <c r="AF11" s="16">
        <f>IFERROR(__xludf.DUMMYFUNCTION("""COMPUTED_VALUE"""),17.8)</f>
        <v>17.8</v>
      </c>
      <c r="AG11" s="16">
        <f>IFERROR(__xludf.DUMMYFUNCTION("""COMPUTED_VALUE"""),1.0)</f>
        <v>1</v>
      </c>
      <c r="AH11" s="16">
        <f>IFERROR(__xludf.DUMMYFUNCTION("""COMPUTED_VALUE"""),1.0)</f>
        <v>1</v>
      </c>
      <c r="AI11" s="16">
        <f>IFERROR(__xludf.DUMMYFUNCTION("""COMPUTED_VALUE"""),2.0)</f>
        <v>2</v>
      </c>
      <c r="AJ11" s="16">
        <f>IFERROR(__xludf.DUMMYFUNCTION("""COMPUTED_VALUE"""),2.0)</f>
        <v>2</v>
      </c>
      <c r="AK11" s="16">
        <f>IFERROR(__xludf.DUMMYFUNCTION("""COMPUTED_VALUE"""),7.9)</f>
        <v>7.9</v>
      </c>
      <c r="AL11" s="16">
        <f>IFERROR(__xludf.DUMMYFUNCTION("""COMPUTED_VALUE"""),11.9)</f>
        <v>11.9</v>
      </c>
      <c r="AM11" s="16">
        <f>IFERROR(__xludf.DUMMYFUNCTION("""COMPUTED_VALUE"""),1.0)</f>
        <v>1</v>
      </c>
      <c r="AN11" s="16">
        <f>IFERROR(__xludf.DUMMYFUNCTION("""COMPUTED_VALUE"""),0.0)</f>
        <v>0</v>
      </c>
      <c r="AO11" s="16">
        <f>IFERROR(__xludf.DUMMYFUNCTION("""COMPUTED_VALUE"""),1.0)</f>
        <v>1</v>
      </c>
      <c r="AP11" s="16">
        <f>IFERROR(__xludf.DUMMYFUNCTION("""COMPUTED_VALUE"""),0.0)</f>
        <v>0</v>
      </c>
      <c r="AQ11" s="16">
        <f>IFERROR(__xludf.DUMMYFUNCTION("""COMPUTED_VALUE"""),14.4)</f>
        <v>14.4</v>
      </c>
      <c r="AR11" s="16">
        <f>IFERROR(__xludf.DUMMYFUNCTION("""COMPUTED_VALUE"""),17.8)</f>
        <v>17.8</v>
      </c>
      <c r="AS11" s="16">
        <f>IFERROR(__xludf.DUMMYFUNCTION("""COMPUTED_VALUE"""),1.0)</f>
        <v>1</v>
      </c>
      <c r="AT11" s="16">
        <f>IFERROR(__xludf.DUMMYFUNCTION("""COMPUTED_VALUE"""),0.0)</f>
        <v>0</v>
      </c>
      <c r="AU11" s="16">
        <f>IFERROR(__xludf.DUMMYFUNCTION("""COMPUTED_VALUE"""),2.0)</f>
        <v>2</v>
      </c>
      <c r="AV11" s="16">
        <f>IFERROR(__xludf.DUMMYFUNCTION("""COMPUTED_VALUE"""),0.0)</f>
        <v>0</v>
      </c>
      <c r="AW11" s="16">
        <f>IFERROR(__xludf.DUMMYFUNCTION("""COMPUTED_VALUE"""),0.0)</f>
        <v>0</v>
      </c>
      <c r="AX11" s="16">
        <f>IFERROR(__xludf.DUMMYFUNCTION("""COMPUTED_VALUE"""),0.0)</f>
        <v>0</v>
      </c>
      <c r="AY11" s="16">
        <f>IFERROR(__xludf.DUMMYFUNCTION("""COMPUTED_VALUE"""),2.0)</f>
        <v>2</v>
      </c>
      <c r="AZ11" s="16">
        <f>IFERROR(__xludf.DUMMYFUNCTION("""COMPUTED_VALUE"""),2.0)</f>
        <v>2</v>
      </c>
      <c r="BA11" s="16">
        <f>IFERROR(__xludf.DUMMYFUNCTION("""COMPUTED_VALUE"""),10.0)</f>
        <v>10</v>
      </c>
      <c r="BB11" s="16">
        <f>IFERROR(__xludf.DUMMYFUNCTION("""COMPUTED_VALUE"""),10.0)</f>
        <v>10</v>
      </c>
      <c r="BC11" s="16">
        <f>IFERROR(__xludf.DUMMYFUNCTION("""COMPUTED_VALUE"""),0.0)</f>
        <v>0</v>
      </c>
      <c r="BD11" s="16">
        <f>IFERROR(__xludf.DUMMYFUNCTION("""COMPUTED_VALUE"""),0.0)</f>
        <v>0</v>
      </c>
      <c r="BE11" s="16">
        <f>IFERROR(__xludf.DUMMYFUNCTION("""COMPUTED_VALUE"""),0.0)</f>
        <v>0</v>
      </c>
      <c r="BF11" s="16">
        <f>IFERROR(__xludf.DUMMYFUNCTION("""COMPUTED_VALUE"""),0.0)</f>
        <v>0</v>
      </c>
      <c r="BG11" s="16">
        <f>IFERROR(__xludf.DUMMYFUNCTION("""COMPUTED_VALUE"""),3.0)</f>
        <v>3</v>
      </c>
      <c r="BH11" s="16">
        <f>IFERROR(__xludf.DUMMYFUNCTION("""COMPUTED_VALUE"""),2.0)</f>
        <v>2</v>
      </c>
      <c r="BI11" s="16">
        <f>IFERROR(__xludf.DUMMYFUNCTION("""COMPUTED_VALUE"""),6.0)</f>
        <v>6</v>
      </c>
      <c r="BJ11" s="16">
        <f>IFERROR(__xludf.DUMMYFUNCTION("""COMPUTED_VALUE"""),4.0)</f>
        <v>4</v>
      </c>
      <c r="BK11" s="16">
        <f>IFERROR(__xludf.DUMMYFUNCTION("""COMPUTED_VALUE"""),5.0)</f>
        <v>5</v>
      </c>
      <c r="BL11" s="16">
        <f>IFERROR(__xludf.DUMMYFUNCTION("""COMPUTED_VALUE"""),5.0)</f>
        <v>5</v>
      </c>
      <c r="BM11" s="16">
        <f>IFERROR(__xludf.DUMMYFUNCTION("""COMPUTED_VALUE"""),0.0)</f>
        <v>0</v>
      </c>
      <c r="BN11" s="16">
        <f>IFERROR(__xludf.DUMMYFUNCTION("""COMPUTED_VALUE"""),0.0)</f>
        <v>0</v>
      </c>
      <c r="BO11" s="16">
        <f>IFERROR(__xludf.DUMMYFUNCTION("""COMPUTED_VALUE"""),0.0)</f>
        <v>0</v>
      </c>
      <c r="BP11" s="16">
        <f>IFERROR(__xludf.DUMMYFUNCTION("""COMPUTED_VALUE"""),0.0)</f>
        <v>0</v>
      </c>
      <c r="BQ11" s="16">
        <f>IFERROR(__xludf.DUMMYFUNCTION("""COMPUTED_VALUE"""),5.0)</f>
        <v>5</v>
      </c>
      <c r="BR11" s="16">
        <f>IFERROR(__xludf.DUMMYFUNCTION("""COMPUTED_VALUE"""),5.0)</f>
        <v>5</v>
      </c>
      <c r="BS11" s="16">
        <f>IFERROR(__xludf.DUMMYFUNCTION("""COMPUTED_VALUE"""),0.0)</f>
        <v>0</v>
      </c>
      <c r="BT11" s="16">
        <f>IFERROR(__xludf.DUMMYFUNCTION("""COMPUTED_VALUE"""),0.0)</f>
        <v>0</v>
      </c>
      <c r="BU11" s="16">
        <f>IFERROR(__xludf.DUMMYFUNCTION("""COMPUTED_VALUE"""),0.0)</f>
        <v>0</v>
      </c>
      <c r="BV11" s="16">
        <f>IFERROR(__xludf.DUMMYFUNCTION("""COMPUTED_VALUE"""),0.0)</f>
        <v>0</v>
      </c>
      <c r="BW11" s="16">
        <f>IFERROR(__xludf.DUMMYFUNCTION("""COMPUTED_VALUE"""),-1.0)</f>
        <v>-1</v>
      </c>
      <c r="BX11" s="16">
        <f>IFERROR(__xludf.DUMMYFUNCTION("""COMPUTED_VALUE"""),-1.0)</f>
        <v>-1</v>
      </c>
      <c r="BY11" s="16" t="str">
        <f>IFERROR(__xludf.DUMMYFUNCTION("""COMPUTED_VALUE"""),"S(6)")</f>
        <v>S(6)</v>
      </c>
      <c r="BZ11" s="16" t="str">
        <f>IFERROR(__xludf.DUMMYFUNCTION("""COMPUTED_VALUE"""),"S(6)")</f>
        <v>S(6)</v>
      </c>
      <c r="CA11" s="16" t="str">
        <f>IFERROR(__xludf.DUMMYFUNCTION("""COMPUTED_VALUE"""),"S(6)")</f>
        <v>S(6)</v>
      </c>
      <c r="CB11" s="16"/>
      <c r="CC11" s="16"/>
      <c r="CD11" s="16">
        <f>IFERROR(__xludf.DUMMYFUNCTION("""COMPUTED_VALUE"""),6.0)</f>
        <v>6</v>
      </c>
      <c r="CE11" s="16"/>
      <c r="CF11" s="16"/>
      <c r="CG11" s="16" t="str">
        <f>IFERROR(__xludf.DUMMYFUNCTION("""COMPUTED_VALUE"""),"1-0")</f>
        <v>1-0</v>
      </c>
      <c r="CH11" s="16">
        <f>IFERROR(__xludf.DUMMYFUNCTION("""COMPUTED_VALUE"""),1.0)</f>
        <v>1</v>
      </c>
      <c r="CI11" s="16">
        <f>IFERROR(__xludf.DUMMYFUNCTION("""COMPUTED_VALUE"""),0.0)</f>
        <v>0</v>
      </c>
      <c r="CJ11" s="16">
        <f>IFERROR(__xludf.DUMMYFUNCTION("""COMPUTED_VALUE"""),2.0)</f>
        <v>2</v>
      </c>
      <c r="CK11" s="16">
        <f>IFERROR(__xludf.DUMMYFUNCTION("""COMPUTED_VALUE"""),5.0)</f>
        <v>5</v>
      </c>
      <c r="CL11" s="16" t="str">
        <f>IFERROR(__xludf.DUMMYFUNCTION("""COMPUTED_VALUE"""),"1WL-C")</f>
        <v>1WL-C</v>
      </c>
      <c r="CM11" s="16" t="str">
        <f>IFERROR(__xludf.DUMMYFUNCTION("""COMPUTED_VALUE"""),"E")</f>
        <v>E</v>
      </c>
      <c r="CN11" s="16">
        <f>IFERROR(__xludf.DUMMYFUNCTION("""COMPUTED_VALUE"""),10.0)</f>
        <v>10</v>
      </c>
      <c r="CO11" s="16" t="str">
        <f>IFERROR(__xludf.DUMMYFUNCTION("""COMPUTED_VALUE"""),"C")</f>
        <v>C</v>
      </c>
      <c r="CP11" s="16" t="str">
        <f>IFERROR(__xludf.DUMMYFUNCTION("""COMPUTED_VALUE"""),"1p70")</f>
        <v>1p70</v>
      </c>
      <c r="CQ11" s="16">
        <f>IFERROR(__xludf.DUMMYFUNCTION("""COMPUTED_VALUE"""),44.0)</f>
        <v>44</v>
      </c>
      <c r="CR11" s="16">
        <f>IFERROR(__xludf.DUMMYFUNCTION("""COMPUTED_VALUE"""),36.0)</f>
        <v>36</v>
      </c>
      <c r="CS11" s="16">
        <f>IFERROR(__xludf.DUMMYFUNCTION("""COMPUTED_VALUE"""),80.0)</f>
        <v>80</v>
      </c>
      <c r="CT11" s="16">
        <f>IFERROR(__xludf.DUMMYFUNCTION("""COMPUTED_VALUE"""),44.0)</f>
        <v>44</v>
      </c>
      <c r="CU11" s="16">
        <f>IFERROR(__xludf.DUMMYFUNCTION("""COMPUTED_VALUE"""),36.0)</f>
        <v>36</v>
      </c>
      <c r="CV11" s="179">
        <f>IFERROR(__xludf.DUMMYFUNCTION("""COMPUTED_VALUE"""),45.666666666666664)</f>
        <v>45.66666667</v>
      </c>
      <c r="CW11" s="179">
        <f>IFERROR(__xludf.DUMMYFUNCTION("""COMPUTED_VALUE"""),4.0)</f>
        <v>4</v>
      </c>
      <c r="CX11" s="179">
        <f>IFERROR(__xludf.DUMMYFUNCTION("""COMPUTED_VALUE"""),3.0)</f>
        <v>3</v>
      </c>
      <c r="CY11" s="16" t="str">
        <f>IFERROR(__xludf.DUMMYFUNCTION("""COMPUTED_VALUE"""),"SP")</f>
        <v>SP</v>
      </c>
      <c r="CZ11" s="16"/>
      <c r="DA11" s="16"/>
      <c r="DB11" s="16"/>
      <c r="DC11" s="16"/>
      <c r="DD11" s="16"/>
      <c r="DE11" s="16"/>
      <c r="DF11" s="16"/>
      <c r="DG11" s="16"/>
      <c r="DH11" s="16"/>
      <c r="DI11" s="16"/>
      <c r="DJ11" s="16"/>
      <c r="DK11" s="16"/>
    </row>
    <row r="12">
      <c r="A12" s="16">
        <f>IFERROR(__xludf.DUMMYFUNCTION("""COMPUTED_VALUE"""),12724.0)</f>
        <v>12724</v>
      </c>
      <c r="B12" s="16" t="str">
        <f>IFERROR(__xludf.DUMMYFUNCTION("""COMPUTED_VALUE"""),"Daniel Coulombe")</f>
        <v>Daniel Coulombe</v>
      </c>
      <c r="C12" s="153">
        <f>IFERROR(__xludf.DUMMYFUNCTION("""COMPUTED_VALUE"""),1.46)</f>
        <v>1.46</v>
      </c>
      <c r="D12" s="16"/>
      <c r="E12" s="16" t="str">
        <f>IFERROR(__xludf.DUMMYFUNCTION("""COMPUTED_VALUE"""),"L")</f>
        <v>L</v>
      </c>
      <c r="F12" s="16">
        <f>IFERROR(__xludf.DUMMYFUNCTION("""COMPUTED_VALUE"""),30.0)</f>
        <v>30</v>
      </c>
      <c r="G12" s="16">
        <f>IFERROR(__xludf.DUMMYFUNCTION("""COMPUTED_VALUE"""),25.0)</f>
        <v>25</v>
      </c>
      <c r="H12" s="16">
        <f>IFERROR(__xludf.DUMMYFUNCTION("""COMPUTED_VALUE"""),46.0)</f>
        <v>46</v>
      </c>
      <c r="I12" s="16">
        <f>IFERROR(__xludf.DUMMYFUNCTION("""COMPUTED_VALUE"""),0.0)</f>
        <v>0</v>
      </c>
      <c r="J12" s="16">
        <f>IFERROR(__xludf.DUMMYFUNCTION("""COMPUTED_VALUE"""),2.0)</f>
        <v>2</v>
      </c>
      <c r="K12" s="16">
        <f>IFERROR(__xludf.DUMMYFUNCTION("""COMPUTED_VALUE"""),0.0)</f>
        <v>0</v>
      </c>
      <c r="L12" s="16">
        <f>IFERROR(__xludf.DUMMYFUNCTION("""COMPUTED_VALUE"""),6.0)</f>
        <v>6</v>
      </c>
      <c r="M12" s="16">
        <f>IFERROR(__xludf.DUMMYFUNCTION("""COMPUTED_VALUE"""),0.0)</f>
        <v>0</v>
      </c>
      <c r="N12" s="16">
        <f>IFERROR(__xludf.DUMMYFUNCTION("""COMPUTED_VALUE"""),7.0)</f>
        <v>7</v>
      </c>
      <c r="O12" s="16">
        <f>IFERROR(__xludf.DUMMYFUNCTION("""COMPUTED_VALUE"""),3.0)</f>
        <v>3</v>
      </c>
      <c r="P12" s="16">
        <f>IFERROR(__xludf.DUMMYFUNCTION("""COMPUTED_VALUE"""),1.0)</f>
        <v>1</v>
      </c>
      <c r="Q12" s="16">
        <f>IFERROR(__xludf.DUMMYFUNCTION("""COMPUTED_VALUE"""),3.0)</f>
        <v>3</v>
      </c>
      <c r="R12" s="16">
        <f>IFERROR(__xludf.DUMMYFUNCTION("""COMPUTED_VALUE"""),1.0)</f>
        <v>1</v>
      </c>
      <c r="S12" s="16">
        <f>IFERROR(__xludf.DUMMYFUNCTION("""COMPUTED_VALUE"""),1.6)</f>
        <v>1.6</v>
      </c>
      <c r="T12" s="16">
        <f>IFERROR(__xludf.DUMMYFUNCTION("""COMPUTED_VALUE"""),2.2)</f>
        <v>2.2</v>
      </c>
      <c r="U12" s="16">
        <f>IFERROR(__xludf.DUMMYFUNCTION("""COMPUTED_VALUE"""),2.0)</f>
        <v>2</v>
      </c>
      <c r="V12" s="16">
        <f>IFERROR(__xludf.DUMMYFUNCTION("""COMPUTED_VALUE"""),2.0)</f>
        <v>2</v>
      </c>
      <c r="W12" s="16">
        <f>IFERROR(__xludf.DUMMYFUNCTION("""COMPUTED_VALUE"""),4.0)</f>
        <v>4</v>
      </c>
      <c r="X12" s="16">
        <f>IFERROR(__xludf.DUMMYFUNCTION("""COMPUTED_VALUE"""),4.0)</f>
        <v>4</v>
      </c>
      <c r="Y12" s="16">
        <f>IFERROR(__xludf.DUMMYFUNCTION("""COMPUTED_VALUE"""),1.6)</f>
        <v>1.6</v>
      </c>
      <c r="Z12" s="16">
        <f>IFERROR(__xludf.DUMMYFUNCTION("""COMPUTED_VALUE"""),9.2)</f>
        <v>9.2</v>
      </c>
      <c r="AA12" s="16">
        <f>IFERROR(__xludf.DUMMYFUNCTION("""COMPUTED_VALUE"""),3.0)</f>
        <v>3</v>
      </c>
      <c r="AB12" s="16">
        <f>IFERROR(__xludf.DUMMYFUNCTION("""COMPUTED_VALUE"""),2.0)</f>
        <v>2</v>
      </c>
      <c r="AC12" s="16">
        <f>IFERROR(__xludf.DUMMYFUNCTION("""COMPUTED_VALUE"""),15.0)</f>
        <v>15</v>
      </c>
      <c r="AD12" s="16">
        <f>IFERROR(__xludf.DUMMYFUNCTION("""COMPUTED_VALUE"""),10.0)</f>
        <v>10</v>
      </c>
      <c r="AE12" s="16">
        <f>IFERROR(__xludf.DUMMYFUNCTION("""COMPUTED_VALUE"""),6.4)</f>
        <v>6.4</v>
      </c>
      <c r="AF12" s="16">
        <f>IFERROR(__xludf.DUMMYFUNCTION("""COMPUTED_VALUE"""),8.8)</f>
        <v>8.8</v>
      </c>
      <c r="AG12" s="16">
        <f>IFERROR(__xludf.DUMMYFUNCTION("""COMPUTED_VALUE"""),2.0)</f>
        <v>2</v>
      </c>
      <c r="AH12" s="16">
        <f>IFERROR(__xludf.DUMMYFUNCTION("""COMPUTED_VALUE"""),2.0)</f>
        <v>2</v>
      </c>
      <c r="AI12" s="16">
        <f>IFERROR(__xludf.DUMMYFUNCTION("""COMPUTED_VALUE"""),4.0)</f>
        <v>4</v>
      </c>
      <c r="AJ12" s="16">
        <f>IFERROR(__xludf.DUMMYFUNCTION("""COMPUTED_VALUE"""),4.0)</f>
        <v>4</v>
      </c>
      <c r="AK12" s="16">
        <f>IFERROR(__xludf.DUMMYFUNCTION("""COMPUTED_VALUE"""),0.0)</f>
        <v>0</v>
      </c>
      <c r="AL12" s="16">
        <f>IFERROR(__xludf.DUMMYFUNCTION("""COMPUTED_VALUE"""),0.0)</f>
        <v>0</v>
      </c>
      <c r="AM12" s="16">
        <f>IFERROR(__xludf.DUMMYFUNCTION("""COMPUTED_VALUE"""),3.0)</f>
        <v>3</v>
      </c>
      <c r="AN12" s="16">
        <f>IFERROR(__xludf.DUMMYFUNCTION("""COMPUTED_VALUE"""),3.0)</f>
        <v>3</v>
      </c>
      <c r="AO12" s="16">
        <f>IFERROR(__xludf.DUMMYFUNCTION("""COMPUTED_VALUE"""),3.0)</f>
        <v>3</v>
      </c>
      <c r="AP12" s="16">
        <f>IFERROR(__xludf.DUMMYFUNCTION("""COMPUTED_VALUE"""),3.0)</f>
        <v>3</v>
      </c>
      <c r="AQ12" s="16">
        <f>IFERROR(__xludf.DUMMYFUNCTION("""COMPUTED_VALUE"""),0.0)</f>
        <v>0</v>
      </c>
      <c r="AR12" s="16">
        <f>IFERROR(__xludf.DUMMYFUNCTION("""COMPUTED_VALUE"""),0.0)</f>
        <v>0</v>
      </c>
      <c r="AS12" s="16">
        <f>IFERROR(__xludf.DUMMYFUNCTION("""COMPUTED_VALUE"""),3.0)</f>
        <v>3</v>
      </c>
      <c r="AT12" s="16">
        <f>IFERROR(__xludf.DUMMYFUNCTION("""COMPUTED_VALUE"""),3.0)</f>
        <v>3</v>
      </c>
      <c r="AU12" s="16">
        <f>IFERROR(__xludf.DUMMYFUNCTION("""COMPUTED_VALUE"""),6.0)</f>
        <v>6</v>
      </c>
      <c r="AV12" s="16">
        <f>IFERROR(__xludf.DUMMYFUNCTION("""COMPUTED_VALUE"""),6.0)</f>
        <v>6</v>
      </c>
      <c r="AW12" s="16">
        <f>IFERROR(__xludf.DUMMYFUNCTION("""COMPUTED_VALUE"""),1.6)</f>
        <v>1.6</v>
      </c>
      <c r="AX12" s="16">
        <f>IFERROR(__xludf.DUMMYFUNCTION("""COMPUTED_VALUE"""),2.2)</f>
        <v>2.2</v>
      </c>
      <c r="AY12" s="16">
        <f>IFERROR(__xludf.DUMMYFUNCTION("""COMPUTED_VALUE"""),1.0)</f>
        <v>1</v>
      </c>
      <c r="AZ12" s="16">
        <f>IFERROR(__xludf.DUMMYFUNCTION("""COMPUTED_VALUE"""),0.0)</f>
        <v>0</v>
      </c>
      <c r="BA12" s="16">
        <f>IFERROR(__xludf.DUMMYFUNCTION("""COMPUTED_VALUE"""),5.0)</f>
        <v>5</v>
      </c>
      <c r="BB12" s="16">
        <f>IFERROR(__xludf.DUMMYFUNCTION("""COMPUTED_VALUE"""),0.0)</f>
        <v>0</v>
      </c>
      <c r="BC12" s="16"/>
      <c r="BD12" s="16"/>
      <c r="BE12" s="16">
        <f>IFERROR(__xludf.DUMMYFUNCTION("""COMPUTED_VALUE"""),2.0)</f>
        <v>2</v>
      </c>
      <c r="BF12" s="16">
        <f>IFERROR(__xludf.DUMMYFUNCTION("""COMPUTED_VALUE"""),3.0)</f>
        <v>3</v>
      </c>
      <c r="BG12" s="16">
        <f>IFERROR(__xludf.DUMMYFUNCTION("""COMPUTED_VALUE"""),1.0)</f>
        <v>1</v>
      </c>
      <c r="BH12" s="16">
        <f>IFERROR(__xludf.DUMMYFUNCTION("""COMPUTED_VALUE"""),0.0)</f>
        <v>0</v>
      </c>
      <c r="BI12" s="16">
        <f>IFERROR(__xludf.DUMMYFUNCTION("""COMPUTED_VALUE"""),2.0)</f>
        <v>2</v>
      </c>
      <c r="BJ12" s="16">
        <f>IFERROR(__xludf.DUMMYFUNCTION("""COMPUTED_VALUE"""),0.0)</f>
        <v>0</v>
      </c>
      <c r="BK12" s="16">
        <f>IFERROR(__xludf.DUMMYFUNCTION("""COMPUTED_VALUE"""),0.0)</f>
        <v>0</v>
      </c>
      <c r="BL12" s="16">
        <f>IFERROR(__xludf.DUMMYFUNCTION("""COMPUTED_VALUE"""),0.0)</f>
        <v>0</v>
      </c>
      <c r="BM12" s="16">
        <f>IFERROR(__xludf.DUMMYFUNCTION("""COMPUTED_VALUE"""),1.0)</f>
        <v>1</v>
      </c>
      <c r="BN12" s="16">
        <f>IFERROR(__xludf.DUMMYFUNCTION("""COMPUTED_VALUE"""),1.0)</f>
        <v>1</v>
      </c>
      <c r="BO12" s="16">
        <f>IFERROR(__xludf.DUMMYFUNCTION("""COMPUTED_VALUE"""),1.0)</f>
        <v>1</v>
      </c>
      <c r="BP12" s="16">
        <f>IFERROR(__xludf.DUMMYFUNCTION("""COMPUTED_VALUE"""),1.0)</f>
        <v>1</v>
      </c>
      <c r="BQ12" s="16">
        <f>IFERROR(__xludf.DUMMYFUNCTION("""COMPUTED_VALUE"""),12.0)</f>
        <v>12</v>
      </c>
      <c r="BR12" s="16">
        <f>IFERROR(__xludf.DUMMYFUNCTION("""COMPUTED_VALUE"""),12.0)</f>
        <v>12</v>
      </c>
      <c r="BS12" s="16">
        <f>IFERROR(__xludf.DUMMYFUNCTION("""COMPUTED_VALUE"""),3.0)</f>
        <v>3</v>
      </c>
      <c r="BT12" s="16">
        <f>IFERROR(__xludf.DUMMYFUNCTION("""COMPUTED_VALUE"""),3.0)</f>
        <v>3</v>
      </c>
      <c r="BU12" s="16">
        <f>IFERROR(__xludf.DUMMYFUNCTION("""COMPUTED_VALUE"""),6.0)</f>
        <v>6</v>
      </c>
      <c r="BV12" s="16">
        <f>IFERROR(__xludf.DUMMYFUNCTION("""COMPUTED_VALUE"""),6.0)</f>
        <v>6</v>
      </c>
      <c r="BW12" s="16">
        <f>IFERROR(__xludf.DUMMYFUNCTION("""COMPUTED_VALUE"""),-1.0)</f>
        <v>-1</v>
      </c>
      <c r="BX12" s="16">
        <f>IFERROR(__xludf.DUMMYFUNCTION("""COMPUTED_VALUE"""),-1.0)</f>
        <v>-1</v>
      </c>
      <c r="BY12" s="16" t="str">
        <f>IFERROR(__xludf.DUMMYFUNCTION("""COMPUTED_VALUE"""),"R(1) C(0)")</f>
        <v>R(1) C(0)</v>
      </c>
      <c r="BZ12" s="16" t="str">
        <f>IFERROR(__xludf.DUMMYFUNCTION("""COMPUTED_VALUE"""),"R(1) C(0)")</f>
        <v>R(1) C(0)</v>
      </c>
      <c r="CA12" s="16" t="str">
        <f>IFERROR(__xludf.DUMMYFUNCTION("""COMPUTED_VALUE"""),"R(1)")</f>
        <v>R(1)</v>
      </c>
      <c r="CB12" s="16" t="str">
        <f>IFERROR(__xludf.DUMMYFUNCTION("""COMPUTED_VALUE"""),"C(0)")</f>
        <v>C(0)</v>
      </c>
      <c r="CC12" s="16"/>
      <c r="CD12" s="16"/>
      <c r="CE12" s="16">
        <f>IFERROR(__xludf.DUMMYFUNCTION("""COMPUTED_VALUE"""),1.0)</f>
        <v>1</v>
      </c>
      <c r="CF12" s="16">
        <f>IFERROR(__xludf.DUMMYFUNCTION("""COMPUTED_VALUE"""),0.0)</f>
        <v>0</v>
      </c>
      <c r="CG12" s="16" t="str">
        <f>IFERROR(__xludf.DUMMYFUNCTION("""COMPUTED_VALUE"""),"2-0")</f>
        <v>2-0</v>
      </c>
      <c r="CH12" s="16">
        <f>IFERROR(__xludf.DUMMYFUNCTION("""COMPUTED_VALUE"""),2.0)</f>
        <v>2</v>
      </c>
      <c r="CI12" s="16">
        <f>IFERROR(__xludf.DUMMYFUNCTION("""COMPUTED_VALUE"""),0.0)</f>
        <v>0</v>
      </c>
      <c r="CJ12" s="16">
        <f>IFERROR(__xludf.DUMMYFUNCTION("""COMPUTED_VALUE"""),0.0)</f>
        <v>0</v>
      </c>
      <c r="CK12" s="16">
        <f>IFERROR(__xludf.DUMMYFUNCTION("""COMPUTED_VALUE"""),18.0)</f>
        <v>18</v>
      </c>
      <c r="CL12" s="16" t="str">
        <f>IFERROR(__xludf.DUMMYFUNCTION("""COMPUTED_VALUE"""),"1WL-C")</f>
        <v>1WL-C</v>
      </c>
      <c r="CM12" s="16" t="str">
        <f>IFERROR(__xludf.DUMMYFUNCTION("""COMPUTED_VALUE"""),"E")</f>
        <v>E</v>
      </c>
      <c r="CN12" s="16">
        <f>IFERROR(__xludf.DUMMYFUNCTION("""COMPUTED_VALUE"""),10.0)</f>
        <v>10</v>
      </c>
      <c r="CO12" s="16" t="str">
        <f>IFERROR(__xludf.DUMMYFUNCTION("""COMPUTED_VALUE"""),"C")</f>
        <v>C</v>
      </c>
      <c r="CP12" s="16" t="str">
        <f>IFERROR(__xludf.DUMMYFUNCTION("""COMPUTED_VALUE"""),"5p30")</f>
        <v>5p30</v>
      </c>
      <c r="CQ12" s="16">
        <f>IFERROR(__xludf.DUMMYFUNCTION("""COMPUTED_VALUE"""),49.0)</f>
        <v>49</v>
      </c>
      <c r="CR12" s="16">
        <f>IFERROR(__xludf.DUMMYFUNCTION("""COMPUTED_VALUE"""),41.0)</f>
        <v>41</v>
      </c>
      <c r="CS12" s="16">
        <f>IFERROR(__xludf.DUMMYFUNCTION("""COMPUTED_VALUE"""),90.0)</f>
        <v>90</v>
      </c>
      <c r="CT12" s="16">
        <f>IFERROR(__xludf.DUMMYFUNCTION("""COMPUTED_VALUE"""),49.0)</f>
        <v>49</v>
      </c>
      <c r="CU12" s="16">
        <f>IFERROR(__xludf.DUMMYFUNCTION("""COMPUTED_VALUE"""),41.0)</f>
        <v>41</v>
      </c>
      <c r="CV12" s="179">
        <f>IFERROR(__xludf.DUMMYFUNCTION("""COMPUTED_VALUE"""),45.666666666666664)</f>
        <v>45.66666667</v>
      </c>
      <c r="CW12" s="179">
        <f>IFERROR(__xludf.DUMMYFUNCTION("""COMPUTED_VALUE"""),0.0)</f>
        <v>0</v>
      </c>
      <c r="CX12" s="179">
        <f>IFERROR(__xludf.DUMMYFUNCTION("""COMPUTED_VALUE"""),2.0)</f>
        <v>2</v>
      </c>
      <c r="CY12" s="16" t="str">
        <f>IFERROR(__xludf.DUMMYFUNCTION("""COMPUTED_VALUE"""),"RP")</f>
        <v>RP</v>
      </c>
      <c r="CZ12" s="16" t="str">
        <f>IFERROR(__xludf.DUMMYFUNCTION("""COMPUTED_VALUE"""),"CP")</f>
        <v>CP</v>
      </c>
      <c r="DA12" s="16"/>
      <c r="DB12" s="16"/>
      <c r="DC12" s="16"/>
      <c r="DD12" s="16"/>
      <c r="DE12" s="16"/>
      <c r="DF12" s="16"/>
      <c r="DG12" s="16"/>
      <c r="DH12" s="16"/>
      <c r="DI12" s="16"/>
      <c r="DJ12" s="16"/>
      <c r="DK12" s="16"/>
    </row>
    <row r="13">
      <c r="A13" s="16">
        <f>IFERROR(__xludf.DUMMYFUNCTION("""COMPUTED_VALUE"""),12785.0)</f>
        <v>12785</v>
      </c>
      <c r="B13" s="16" t="str">
        <f>IFERROR(__xludf.DUMMYFUNCTION("""COMPUTED_VALUE"""),"Edwin Uceta")</f>
        <v>Edwin Uceta</v>
      </c>
      <c r="C13" s="153">
        <f>IFERROR(__xludf.DUMMYFUNCTION("""COMPUTED_VALUE"""),3.28)</f>
        <v>3.28</v>
      </c>
      <c r="D13" s="16"/>
      <c r="E13" s="16" t="str">
        <f>IFERROR(__xludf.DUMMYFUNCTION("""COMPUTED_VALUE"""),"R")</f>
        <v>R</v>
      </c>
      <c r="F13" s="16">
        <f>IFERROR(__xludf.DUMMYFUNCTION("""COMPUTED_VALUE"""),42.0)</f>
        <v>42</v>
      </c>
      <c r="G13" s="16">
        <f>IFERROR(__xludf.DUMMYFUNCTION("""COMPUTED_VALUE"""),41.0)</f>
        <v>41</v>
      </c>
      <c r="H13" s="16">
        <f>IFERROR(__xludf.DUMMYFUNCTION("""COMPUTED_VALUE"""),65.0)</f>
        <v>65</v>
      </c>
      <c r="I13" s="16">
        <f>IFERROR(__xludf.DUMMYFUNCTION("""COMPUTED_VALUE"""),2.0)</f>
        <v>2</v>
      </c>
      <c r="J13" s="16">
        <f>IFERROR(__xludf.DUMMYFUNCTION("""COMPUTED_VALUE"""),3.0)</f>
        <v>3</v>
      </c>
      <c r="K13" s="16">
        <f>IFERROR(__xludf.DUMMYFUNCTION("""COMPUTED_VALUE"""),6.0)</f>
        <v>6</v>
      </c>
      <c r="L13" s="16">
        <f>IFERROR(__xludf.DUMMYFUNCTION("""COMPUTED_VALUE"""),9.0)</f>
        <v>9</v>
      </c>
      <c r="M13" s="16">
        <f>IFERROR(__xludf.DUMMYFUNCTION("""COMPUTED_VALUE"""),0.0)</f>
        <v>0</v>
      </c>
      <c r="N13" s="16">
        <f>IFERROR(__xludf.DUMMYFUNCTION("""COMPUTED_VALUE"""),5.0)</f>
        <v>5</v>
      </c>
      <c r="O13" s="16">
        <f>IFERROR(__xludf.DUMMYFUNCTION("""COMPUTED_VALUE"""),3.0)</f>
        <v>3</v>
      </c>
      <c r="P13" s="16">
        <f>IFERROR(__xludf.DUMMYFUNCTION("""COMPUTED_VALUE"""),2.0)</f>
        <v>2</v>
      </c>
      <c r="Q13" s="16">
        <f>IFERROR(__xludf.DUMMYFUNCTION("""COMPUTED_VALUE"""),3.0)</f>
        <v>3</v>
      </c>
      <c r="R13" s="16">
        <f>IFERROR(__xludf.DUMMYFUNCTION("""COMPUTED_VALUE"""),2.0)</f>
        <v>2</v>
      </c>
      <c r="S13" s="16">
        <f>IFERROR(__xludf.DUMMYFUNCTION("""COMPUTED_VALUE"""),14.3)</f>
        <v>14.3</v>
      </c>
      <c r="T13" s="16">
        <f>IFERROR(__xludf.DUMMYFUNCTION("""COMPUTED_VALUE"""),0.0)</f>
        <v>0</v>
      </c>
      <c r="U13" s="16">
        <f>IFERROR(__xludf.DUMMYFUNCTION("""COMPUTED_VALUE"""),0.0)</f>
        <v>0</v>
      </c>
      <c r="V13" s="16">
        <f>IFERROR(__xludf.DUMMYFUNCTION("""COMPUTED_VALUE"""),3.0)</f>
        <v>3</v>
      </c>
      <c r="W13" s="16">
        <f>IFERROR(__xludf.DUMMYFUNCTION("""COMPUTED_VALUE"""),0.0)</f>
        <v>0</v>
      </c>
      <c r="X13" s="16">
        <f>IFERROR(__xludf.DUMMYFUNCTION("""COMPUTED_VALUE"""),6.0)</f>
        <v>6</v>
      </c>
      <c r="Y13" s="16">
        <f>IFERROR(__xludf.DUMMYFUNCTION("""COMPUTED_VALUE"""),14.3)</f>
        <v>14.3</v>
      </c>
      <c r="Z13" s="16">
        <f>IFERROR(__xludf.DUMMYFUNCTION("""COMPUTED_VALUE"""),5.0)</f>
        <v>5</v>
      </c>
      <c r="AA13" s="16">
        <f>IFERROR(__xludf.DUMMYFUNCTION("""COMPUTED_VALUE"""),2.0)</f>
        <v>2</v>
      </c>
      <c r="AB13" s="16">
        <f>IFERROR(__xludf.DUMMYFUNCTION("""COMPUTED_VALUE"""),3.0)</f>
        <v>3</v>
      </c>
      <c r="AC13" s="16">
        <f>IFERROR(__xludf.DUMMYFUNCTION("""COMPUTED_VALUE"""),10.0)</f>
        <v>10</v>
      </c>
      <c r="AD13" s="16">
        <f>IFERROR(__xludf.DUMMYFUNCTION("""COMPUTED_VALUE"""),15.0)</f>
        <v>15</v>
      </c>
      <c r="AE13" s="16">
        <f>IFERROR(__xludf.DUMMYFUNCTION("""COMPUTED_VALUE"""),21.8)</f>
        <v>21.8</v>
      </c>
      <c r="AF13" s="16">
        <f>IFERROR(__xludf.DUMMYFUNCTION("""COMPUTED_VALUE"""),0.0)</f>
        <v>0</v>
      </c>
      <c r="AG13" s="16">
        <f>IFERROR(__xludf.DUMMYFUNCTION("""COMPUTED_VALUE"""),1.0)</f>
        <v>1</v>
      </c>
      <c r="AH13" s="16">
        <f>IFERROR(__xludf.DUMMYFUNCTION("""COMPUTED_VALUE"""),3.0)</f>
        <v>3</v>
      </c>
      <c r="AI13" s="16">
        <f>IFERROR(__xludf.DUMMYFUNCTION("""COMPUTED_VALUE"""),2.0)</f>
        <v>2</v>
      </c>
      <c r="AJ13" s="16">
        <f>IFERROR(__xludf.DUMMYFUNCTION("""COMPUTED_VALUE"""),6.0)</f>
        <v>6</v>
      </c>
      <c r="AK13" s="16">
        <f>IFERROR(__xludf.DUMMYFUNCTION("""COMPUTED_VALUE"""),14.3)</f>
        <v>14.3</v>
      </c>
      <c r="AL13" s="16">
        <f>IFERROR(__xludf.DUMMYFUNCTION("""COMPUTED_VALUE"""),0.0)</f>
        <v>0</v>
      </c>
      <c r="AM13" s="16">
        <f>IFERROR(__xludf.DUMMYFUNCTION("""COMPUTED_VALUE"""),0.0)</f>
        <v>0</v>
      </c>
      <c r="AN13" s="16">
        <f>IFERROR(__xludf.DUMMYFUNCTION("""COMPUTED_VALUE"""),3.0)</f>
        <v>3</v>
      </c>
      <c r="AO13" s="16">
        <f>IFERROR(__xludf.DUMMYFUNCTION("""COMPUTED_VALUE"""),0.0)</f>
        <v>0</v>
      </c>
      <c r="AP13" s="16">
        <f>IFERROR(__xludf.DUMMYFUNCTION("""COMPUTED_VALUE"""),3.0)</f>
        <v>3</v>
      </c>
      <c r="AQ13" s="16">
        <f>IFERROR(__xludf.DUMMYFUNCTION("""COMPUTED_VALUE"""),21.8)</f>
        <v>21.8</v>
      </c>
      <c r="AR13" s="16">
        <f>IFERROR(__xludf.DUMMYFUNCTION("""COMPUTED_VALUE"""),0.0)</f>
        <v>0</v>
      </c>
      <c r="AS13" s="16">
        <f>IFERROR(__xludf.DUMMYFUNCTION("""COMPUTED_VALUE"""),0.0)</f>
        <v>0</v>
      </c>
      <c r="AT13" s="16">
        <f>IFERROR(__xludf.DUMMYFUNCTION("""COMPUTED_VALUE"""),3.0)</f>
        <v>3</v>
      </c>
      <c r="AU13" s="16">
        <f>IFERROR(__xludf.DUMMYFUNCTION("""COMPUTED_VALUE"""),0.0)</f>
        <v>0</v>
      </c>
      <c r="AV13" s="16">
        <f>IFERROR(__xludf.DUMMYFUNCTION("""COMPUTED_VALUE"""),6.0)</f>
        <v>6</v>
      </c>
      <c r="AW13" s="16">
        <f>IFERROR(__xludf.DUMMYFUNCTION("""COMPUTED_VALUE"""),0.0)</f>
        <v>0</v>
      </c>
      <c r="AX13" s="16">
        <f>IFERROR(__xludf.DUMMYFUNCTION("""COMPUTED_VALUE"""),0.0)</f>
        <v>0</v>
      </c>
      <c r="AY13" s="16">
        <f>IFERROR(__xludf.DUMMYFUNCTION("""COMPUTED_VALUE"""),2.0)</f>
        <v>2</v>
      </c>
      <c r="AZ13" s="16">
        <f>IFERROR(__xludf.DUMMYFUNCTION("""COMPUTED_VALUE"""),2.0)</f>
        <v>2</v>
      </c>
      <c r="BA13" s="16">
        <f>IFERROR(__xludf.DUMMYFUNCTION("""COMPUTED_VALUE"""),10.0)</f>
        <v>10</v>
      </c>
      <c r="BB13" s="16">
        <f>IFERROR(__xludf.DUMMYFUNCTION("""COMPUTED_VALUE"""),10.0)</f>
        <v>10</v>
      </c>
      <c r="BC13" s="16">
        <f>IFERROR(__xludf.DUMMYFUNCTION("""COMPUTED_VALUE"""),0.0)</f>
        <v>0</v>
      </c>
      <c r="BD13" s="16"/>
      <c r="BE13" s="16">
        <f>IFERROR(__xludf.DUMMYFUNCTION("""COMPUTED_VALUE"""),0.0)</f>
        <v>0</v>
      </c>
      <c r="BF13" s="16">
        <f>IFERROR(__xludf.DUMMYFUNCTION("""COMPUTED_VALUE"""),0.0)</f>
        <v>0</v>
      </c>
      <c r="BG13" s="16">
        <f>IFERROR(__xludf.DUMMYFUNCTION("""COMPUTED_VALUE"""),3.0)</f>
        <v>3</v>
      </c>
      <c r="BH13" s="16">
        <f>IFERROR(__xludf.DUMMYFUNCTION("""COMPUTED_VALUE"""),2.0)</f>
        <v>2</v>
      </c>
      <c r="BI13" s="16">
        <f>IFERROR(__xludf.DUMMYFUNCTION("""COMPUTED_VALUE"""),6.0)</f>
        <v>6</v>
      </c>
      <c r="BJ13" s="16">
        <f>IFERROR(__xludf.DUMMYFUNCTION("""COMPUTED_VALUE"""),4.0)</f>
        <v>4</v>
      </c>
      <c r="BK13" s="16">
        <f>IFERROR(__xludf.DUMMYFUNCTION("""COMPUTED_VALUE"""),5.0)</f>
        <v>5</v>
      </c>
      <c r="BL13" s="16">
        <f>IFERROR(__xludf.DUMMYFUNCTION("""COMPUTED_VALUE"""),0.0)</f>
        <v>0</v>
      </c>
      <c r="BM13" s="16">
        <f>IFERROR(__xludf.DUMMYFUNCTION("""COMPUTED_VALUE"""),0.0)</f>
        <v>0</v>
      </c>
      <c r="BN13" s="16">
        <f>IFERROR(__xludf.DUMMYFUNCTION("""COMPUTED_VALUE"""),1.0)</f>
        <v>1</v>
      </c>
      <c r="BO13" s="16">
        <f>IFERROR(__xludf.DUMMYFUNCTION("""COMPUTED_VALUE"""),0.0)</f>
        <v>0</v>
      </c>
      <c r="BP13" s="16">
        <f>IFERROR(__xludf.DUMMYFUNCTION("""COMPUTED_VALUE"""),1.0)</f>
        <v>1</v>
      </c>
      <c r="BQ13" s="16">
        <f>IFERROR(__xludf.DUMMYFUNCTION("""COMPUTED_VALUE"""),0.0)</f>
        <v>0</v>
      </c>
      <c r="BR13" s="16">
        <f>IFERROR(__xludf.DUMMYFUNCTION("""COMPUTED_VALUE"""),0.0)</f>
        <v>0</v>
      </c>
      <c r="BS13" s="16">
        <f>IFERROR(__xludf.DUMMYFUNCTION("""COMPUTED_VALUE"""),-3.0)</f>
        <v>-3</v>
      </c>
      <c r="BT13" s="16">
        <f>IFERROR(__xludf.DUMMYFUNCTION("""COMPUTED_VALUE"""),-3.0)</f>
        <v>-3</v>
      </c>
      <c r="BU13" s="16">
        <f>IFERROR(__xludf.DUMMYFUNCTION("""COMPUTED_VALUE"""),-6.0)</f>
        <v>-6</v>
      </c>
      <c r="BV13" s="16">
        <f>IFERROR(__xludf.DUMMYFUNCTION("""COMPUTED_VALUE"""),-6.0)</f>
        <v>-6</v>
      </c>
      <c r="BW13" s="16">
        <f>IFERROR(__xludf.DUMMYFUNCTION("""COMPUTED_VALUE"""),0.0)</f>
        <v>0</v>
      </c>
      <c r="BX13" s="16">
        <f>IFERROR(__xludf.DUMMYFUNCTION("""COMPUTED_VALUE"""),0.0)</f>
        <v>0</v>
      </c>
      <c r="BY13" s="16" t="str">
        <f>IFERROR(__xludf.DUMMYFUNCTION("""COMPUTED_VALUE"""),"R(2) C(4)")</f>
        <v>R(2) C(4)</v>
      </c>
      <c r="BZ13" s="16" t="str">
        <f>IFERROR(__xludf.DUMMYFUNCTION("""COMPUTED_VALUE"""),"R(2) C(4)")</f>
        <v>R(2) C(4)</v>
      </c>
      <c r="CA13" s="16" t="str">
        <f>IFERROR(__xludf.DUMMYFUNCTION("""COMPUTED_VALUE"""),"R(2)")</f>
        <v>R(2)</v>
      </c>
      <c r="CB13" s="16" t="str">
        <f>IFERROR(__xludf.DUMMYFUNCTION("""COMPUTED_VALUE"""),"C(4)")</f>
        <v>C(4)</v>
      </c>
      <c r="CC13" s="16"/>
      <c r="CD13" s="16"/>
      <c r="CE13" s="16">
        <f>IFERROR(__xludf.DUMMYFUNCTION("""COMPUTED_VALUE"""),2.0)</f>
        <v>2</v>
      </c>
      <c r="CF13" s="16">
        <f>IFERROR(__xludf.DUMMYFUNCTION("""COMPUTED_VALUE"""),4.0)</f>
        <v>4</v>
      </c>
      <c r="CG13" s="16" t="str">
        <f>IFERROR(__xludf.DUMMYFUNCTION("""COMPUTED_VALUE"""),"4-0")</f>
        <v>4-0</v>
      </c>
      <c r="CH13" s="16">
        <f>IFERROR(__xludf.DUMMYFUNCTION("""COMPUTED_VALUE"""),4.0)</f>
        <v>4</v>
      </c>
      <c r="CI13" s="16">
        <f>IFERROR(__xludf.DUMMYFUNCTION("""COMPUTED_VALUE"""),0.0)</f>
        <v>0</v>
      </c>
      <c r="CJ13" s="16">
        <f>IFERROR(__xludf.DUMMYFUNCTION("""COMPUTED_VALUE"""),0.0)</f>
        <v>0</v>
      </c>
      <c r="CK13" s="16">
        <f>IFERROR(__xludf.DUMMYFUNCTION("""COMPUTED_VALUE"""),0.0)</f>
        <v>0</v>
      </c>
      <c r="CL13" s="16" t="str">
        <f>IFERROR(__xludf.DUMMYFUNCTION("""COMPUTED_VALUE"""),"1WR-C")</f>
        <v>1WR-C</v>
      </c>
      <c r="CM13" s="16" t="str">
        <f>IFERROR(__xludf.DUMMYFUNCTION("""COMPUTED_VALUE"""),"E")</f>
        <v>E</v>
      </c>
      <c r="CN13" s="16">
        <f>IFERROR(__xludf.DUMMYFUNCTION("""COMPUTED_VALUE"""),10.0)</f>
        <v>10</v>
      </c>
      <c r="CO13" s="16" t="str">
        <f>IFERROR(__xludf.DUMMYFUNCTION("""COMPUTED_VALUE"""),"C")</f>
        <v>C</v>
      </c>
      <c r="CP13" s="16" t="str">
        <f>IFERROR(__xludf.DUMMYFUNCTION("""COMPUTED_VALUE"""),"1p30")</f>
        <v>1p30</v>
      </c>
      <c r="CQ13" s="16">
        <f>IFERROR(__xludf.DUMMYFUNCTION("""COMPUTED_VALUE"""),31.0)</f>
        <v>31</v>
      </c>
      <c r="CR13" s="16">
        <f>IFERROR(__xludf.DUMMYFUNCTION("""COMPUTED_VALUE"""),56.0)</f>
        <v>56</v>
      </c>
      <c r="CS13" s="16">
        <f>IFERROR(__xludf.DUMMYFUNCTION("""COMPUTED_VALUE"""),87.0)</f>
        <v>87</v>
      </c>
      <c r="CT13" s="16">
        <f>IFERROR(__xludf.DUMMYFUNCTION("""COMPUTED_VALUE"""),31.0)</f>
        <v>31</v>
      </c>
      <c r="CU13" s="16">
        <f>IFERROR(__xludf.DUMMYFUNCTION("""COMPUTED_VALUE"""),56.0)</f>
        <v>56</v>
      </c>
      <c r="CV13" s="179">
        <f>IFERROR(__xludf.DUMMYFUNCTION("""COMPUTED_VALUE"""),45.333333333333336)</f>
        <v>45.33333333</v>
      </c>
      <c r="CW13" s="179">
        <f>IFERROR(__xludf.DUMMYFUNCTION("""COMPUTED_VALUE"""),4.0)</f>
        <v>4</v>
      </c>
      <c r="CX13" s="179">
        <f>IFERROR(__xludf.DUMMYFUNCTION("""COMPUTED_VALUE"""),2.0)</f>
        <v>2</v>
      </c>
      <c r="CY13" s="16" t="str">
        <f>IFERROR(__xludf.DUMMYFUNCTION("""COMPUTED_VALUE"""),"RP")</f>
        <v>RP</v>
      </c>
      <c r="CZ13" s="16" t="str">
        <f>IFERROR(__xludf.DUMMYFUNCTION("""COMPUTED_VALUE"""),"CP")</f>
        <v>CP</v>
      </c>
      <c r="DA13" s="16"/>
      <c r="DB13" s="16"/>
      <c r="DC13" s="16"/>
      <c r="DD13" s="16"/>
      <c r="DE13" s="16"/>
      <c r="DF13" s="16"/>
      <c r="DG13" s="16"/>
      <c r="DH13" s="16"/>
      <c r="DI13" s="16"/>
      <c r="DJ13" s="16"/>
      <c r="DK13" s="16"/>
    </row>
    <row r="14">
      <c r="A14" s="16">
        <f>IFERROR(__xludf.DUMMYFUNCTION("""COMPUTED_VALUE"""),13413.0)</f>
        <v>13413</v>
      </c>
      <c r="B14" s="16" t="str">
        <f>IFERROR(__xludf.DUMMYFUNCTION("""COMPUTED_VALUE"""),"Tim Herrin")</f>
        <v>Tim Herrin</v>
      </c>
      <c r="C14" s="153">
        <f>IFERROR(__xludf.DUMMYFUNCTION("""COMPUTED_VALUE"""),1.24)</f>
        <v>1.24</v>
      </c>
      <c r="D14" s="16"/>
      <c r="E14" s="16" t="str">
        <f>IFERROR(__xludf.DUMMYFUNCTION("""COMPUTED_VALUE"""),"L")</f>
        <v>L</v>
      </c>
      <c r="F14" s="16">
        <f>IFERROR(__xludf.DUMMYFUNCTION("""COMPUTED_VALUE"""),66.0)</f>
        <v>66</v>
      </c>
      <c r="G14" s="16">
        <f>IFERROR(__xludf.DUMMYFUNCTION("""COMPUTED_VALUE"""),38.0)</f>
        <v>38</v>
      </c>
      <c r="H14" s="16">
        <f>IFERROR(__xludf.DUMMYFUNCTION("""COMPUTED_VALUE"""),31.0)</f>
        <v>31</v>
      </c>
      <c r="I14" s="16">
        <f>IFERROR(__xludf.DUMMYFUNCTION("""COMPUTED_VALUE"""),1.0)</f>
        <v>1</v>
      </c>
      <c r="J14" s="16">
        <f>IFERROR(__xludf.DUMMYFUNCTION("""COMPUTED_VALUE"""),0.0)</f>
        <v>0</v>
      </c>
      <c r="K14" s="16">
        <f>IFERROR(__xludf.DUMMYFUNCTION("""COMPUTED_VALUE"""),3.0)</f>
        <v>3</v>
      </c>
      <c r="L14" s="16">
        <f>IFERROR(__xludf.DUMMYFUNCTION("""COMPUTED_VALUE"""),0.0)</f>
        <v>0</v>
      </c>
      <c r="M14" s="16">
        <f>IFERROR(__xludf.DUMMYFUNCTION("""COMPUTED_VALUE"""),3.0)</f>
        <v>3</v>
      </c>
      <c r="N14" s="16">
        <f>IFERROR(__xludf.DUMMYFUNCTION("""COMPUTED_VALUE"""),18.0)</f>
        <v>18</v>
      </c>
      <c r="O14" s="16">
        <f>IFERROR(__xludf.DUMMYFUNCTION("""COMPUTED_VALUE"""),2.0)</f>
        <v>2</v>
      </c>
      <c r="P14" s="16">
        <f>IFERROR(__xludf.DUMMYFUNCTION("""COMPUTED_VALUE"""),-3.0)</f>
        <v>-3</v>
      </c>
      <c r="Q14" s="16">
        <f>IFERROR(__xludf.DUMMYFUNCTION("""COMPUTED_VALUE"""),2.0)</f>
        <v>2</v>
      </c>
      <c r="R14" s="16">
        <f>IFERROR(__xludf.DUMMYFUNCTION("""COMPUTED_VALUE"""),-3.0)</f>
        <v>-3</v>
      </c>
      <c r="S14" s="16">
        <f>IFERROR(__xludf.DUMMYFUNCTION("""COMPUTED_VALUE"""),2.2)</f>
        <v>2.2</v>
      </c>
      <c r="T14" s="16">
        <f>IFERROR(__xludf.DUMMYFUNCTION("""COMPUTED_VALUE"""),6.3)</f>
        <v>6.3</v>
      </c>
      <c r="U14" s="16">
        <f>IFERROR(__xludf.DUMMYFUNCTION("""COMPUTED_VALUE"""),2.0)</f>
        <v>2</v>
      </c>
      <c r="V14" s="16">
        <f>IFERROR(__xludf.DUMMYFUNCTION("""COMPUTED_VALUE"""),2.0)</f>
        <v>2</v>
      </c>
      <c r="W14" s="16">
        <f>IFERROR(__xludf.DUMMYFUNCTION("""COMPUTED_VALUE"""),4.0)</f>
        <v>4</v>
      </c>
      <c r="X14" s="16">
        <f>IFERROR(__xludf.DUMMYFUNCTION("""COMPUTED_VALUE"""),4.0)</f>
        <v>4</v>
      </c>
      <c r="Y14" s="16">
        <f>IFERROR(__xludf.DUMMYFUNCTION("""COMPUTED_VALUE"""),5.2)</f>
        <v>5.2</v>
      </c>
      <c r="Z14" s="16">
        <f>IFERROR(__xludf.DUMMYFUNCTION("""COMPUTED_VALUE"""),24.3)</f>
        <v>24.3</v>
      </c>
      <c r="AA14" s="16">
        <f>IFERROR(__xludf.DUMMYFUNCTION("""COMPUTED_VALUE"""),2.0)</f>
        <v>2</v>
      </c>
      <c r="AB14" s="16">
        <f>IFERROR(__xludf.DUMMYFUNCTION("""COMPUTED_VALUE"""),0.0)</f>
        <v>0</v>
      </c>
      <c r="AC14" s="16">
        <f>IFERROR(__xludf.DUMMYFUNCTION("""COMPUTED_VALUE"""),10.0)</f>
        <v>10</v>
      </c>
      <c r="AD14" s="16">
        <f>IFERROR(__xludf.DUMMYFUNCTION("""COMPUTED_VALUE"""),0.0)</f>
        <v>0</v>
      </c>
      <c r="AE14" s="16">
        <f>IFERROR(__xludf.DUMMYFUNCTION("""COMPUTED_VALUE"""),2.4)</f>
        <v>2.4</v>
      </c>
      <c r="AF14" s="16">
        <f>IFERROR(__xludf.DUMMYFUNCTION("""COMPUTED_VALUE"""),11.5)</f>
        <v>11.5</v>
      </c>
      <c r="AG14" s="16">
        <f>IFERROR(__xludf.DUMMYFUNCTION("""COMPUTED_VALUE"""),2.0)</f>
        <v>2</v>
      </c>
      <c r="AH14" s="16">
        <f>IFERROR(__xludf.DUMMYFUNCTION("""COMPUTED_VALUE"""),2.0)</f>
        <v>2</v>
      </c>
      <c r="AI14" s="16">
        <f>IFERROR(__xludf.DUMMYFUNCTION("""COMPUTED_VALUE"""),4.0)</f>
        <v>4</v>
      </c>
      <c r="AJ14" s="16">
        <f>IFERROR(__xludf.DUMMYFUNCTION("""COMPUTED_VALUE"""),4.0)</f>
        <v>4</v>
      </c>
      <c r="AK14" s="16">
        <f>IFERROR(__xludf.DUMMYFUNCTION("""COMPUTED_VALUE"""),2.2)</f>
        <v>2.2</v>
      </c>
      <c r="AL14" s="16">
        <f>IFERROR(__xludf.DUMMYFUNCTION("""COMPUTED_VALUE"""),6.3)</f>
        <v>6.3</v>
      </c>
      <c r="AM14" s="16">
        <f>IFERROR(__xludf.DUMMYFUNCTION("""COMPUTED_VALUE"""),2.0)</f>
        <v>2</v>
      </c>
      <c r="AN14" s="16">
        <f>IFERROR(__xludf.DUMMYFUNCTION("""COMPUTED_VALUE"""),1.0)</f>
        <v>1</v>
      </c>
      <c r="AO14" s="16">
        <f>IFERROR(__xludf.DUMMYFUNCTION("""COMPUTED_VALUE"""),2.0)</f>
        <v>2</v>
      </c>
      <c r="AP14" s="16">
        <f>IFERROR(__xludf.DUMMYFUNCTION("""COMPUTED_VALUE"""),1.0)</f>
        <v>1</v>
      </c>
      <c r="AQ14" s="16">
        <f>IFERROR(__xludf.DUMMYFUNCTION("""COMPUTED_VALUE"""),2.4)</f>
        <v>2.4</v>
      </c>
      <c r="AR14" s="16">
        <f>IFERROR(__xludf.DUMMYFUNCTION("""COMPUTED_VALUE"""),11.5)</f>
        <v>11.5</v>
      </c>
      <c r="AS14" s="16">
        <f>IFERROR(__xludf.DUMMYFUNCTION("""COMPUTED_VALUE"""),2.0)</f>
        <v>2</v>
      </c>
      <c r="AT14" s="16">
        <f>IFERROR(__xludf.DUMMYFUNCTION("""COMPUTED_VALUE"""),1.0)</f>
        <v>1</v>
      </c>
      <c r="AU14" s="16">
        <f>IFERROR(__xludf.DUMMYFUNCTION("""COMPUTED_VALUE"""),4.0)</f>
        <v>4</v>
      </c>
      <c r="AV14" s="16">
        <f>IFERROR(__xludf.DUMMYFUNCTION("""COMPUTED_VALUE"""),2.0)</f>
        <v>2</v>
      </c>
      <c r="AW14" s="16">
        <f>IFERROR(__xludf.DUMMYFUNCTION("""COMPUTED_VALUE"""),0.0)</f>
        <v>0</v>
      </c>
      <c r="AX14" s="16">
        <f>IFERROR(__xludf.DUMMYFUNCTION("""COMPUTED_VALUE"""),0.0)</f>
        <v>0</v>
      </c>
      <c r="AY14" s="16">
        <f>IFERROR(__xludf.DUMMYFUNCTION("""COMPUTED_VALUE"""),2.0)</f>
        <v>2</v>
      </c>
      <c r="AZ14" s="16">
        <f>IFERROR(__xludf.DUMMYFUNCTION("""COMPUTED_VALUE"""),2.0)</f>
        <v>2</v>
      </c>
      <c r="BA14" s="16">
        <f>IFERROR(__xludf.DUMMYFUNCTION("""COMPUTED_VALUE"""),10.0)</f>
        <v>10</v>
      </c>
      <c r="BB14" s="16">
        <f>IFERROR(__xludf.DUMMYFUNCTION("""COMPUTED_VALUE"""),10.0)</f>
        <v>10</v>
      </c>
      <c r="BC14" s="16"/>
      <c r="BD14" s="16">
        <f>IFERROR(__xludf.DUMMYFUNCTION("""COMPUTED_VALUE"""),0.0)</f>
        <v>0</v>
      </c>
      <c r="BE14" s="16">
        <f>IFERROR(__xludf.DUMMYFUNCTION("""COMPUTED_VALUE"""),0.0)</f>
        <v>0</v>
      </c>
      <c r="BF14" s="16">
        <f>IFERROR(__xludf.DUMMYFUNCTION("""COMPUTED_VALUE"""),0.0)</f>
        <v>0</v>
      </c>
      <c r="BG14" s="16">
        <f>IFERROR(__xludf.DUMMYFUNCTION("""COMPUTED_VALUE"""),3.0)</f>
        <v>3</v>
      </c>
      <c r="BH14" s="16">
        <f>IFERROR(__xludf.DUMMYFUNCTION("""COMPUTED_VALUE"""),2.0)</f>
        <v>2</v>
      </c>
      <c r="BI14" s="16">
        <f>IFERROR(__xludf.DUMMYFUNCTION("""COMPUTED_VALUE"""),6.0)</f>
        <v>6</v>
      </c>
      <c r="BJ14" s="16">
        <f>IFERROR(__xludf.DUMMYFUNCTION("""COMPUTED_VALUE"""),4.0)</f>
        <v>4</v>
      </c>
      <c r="BK14" s="16">
        <f>IFERROR(__xludf.DUMMYFUNCTION("""COMPUTED_VALUE"""),0.0)</f>
        <v>0</v>
      </c>
      <c r="BL14" s="16">
        <f>IFERROR(__xludf.DUMMYFUNCTION("""COMPUTED_VALUE"""),5.0)</f>
        <v>5</v>
      </c>
      <c r="BM14" s="16">
        <f>IFERROR(__xludf.DUMMYFUNCTION("""COMPUTED_VALUE"""),1.0)</f>
        <v>1</v>
      </c>
      <c r="BN14" s="16">
        <f>IFERROR(__xludf.DUMMYFUNCTION("""COMPUTED_VALUE"""),0.0)</f>
        <v>0</v>
      </c>
      <c r="BO14" s="16">
        <f>IFERROR(__xludf.DUMMYFUNCTION("""COMPUTED_VALUE"""),1.0)</f>
        <v>1</v>
      </c>
      <c r="BP14" s="16">
        <f>IFERROR(__xludf.DUMMYFUNCTION("""COMPUTED_VALUE"""),0.0)</f>
        <v>0</v>
      </c>
      <c r="BQ14" s="16">
        <f>IFERROR(__xludf.DUMMYFUNCTION("""COMPUTED_VALUE"""),11.0)</f>
        <v>11</v>
      </c>
      <c r="BR14" s="16">
        <f>IFERROR(__xludf.DUMMYFUNCTION("""COMPUTED_VALUE"""),11.0)</f>
        <v>11</v>
      </c>
      <c r="BS14" s="16">
        <f>IFERROR(__xludf.DUMMYFUNCTION("""COMPUTED_VALUE"""),3.0)</f>
        <v>3</v>
      </c>
      <c r="BT14" s="16">
        <f>IFERROR(__xludf.DUMMYFUNCTION("""COMPUTED_VALUE"""),3.0)</f>
        <v>3</v>
      </c>
      <c r="BU14" s="16">
        <f>IFERROR(__xludf.DUMMYFUNCTION("""COMPUTED_VALUE"""),6.0)</f>
        <v>6</v>
      </c>
      <c r="BV14" s="16">
        <f>IFERROR(__xludf.DUMMYFUNCTION("""COMPUTED_VALUE"""),6.0)</f>
        <v>6</v>
      </c>
      <c r="BW14" s="16">
        <f>IFERROR(__xludf.DUMMYFUNCTION("""COMPUTED_VALUE"""),0.0)</f>
        <v>0</v>
      </c>
      <c r="BX14" s="16">
        <f>IFERROR(__xludf.DUMMYFUNCTION("""COMPUTED_VALUE"""),0.0)</f>
        <v>0</v>
      </c>
      <c r="BY14" s="16" t="str">
        <f>IFERROR(__xludf.DUMMYFUNCTION("""COMPUTED_VALUE"""),"R(1)")</f>
        <v>R(1)</v>
      </c>
      <c r="BZ14" s="16" t="str">
        <f>IFERROR(__xludf.DUMMYFUNCTION("""COMPUTED_VALUE"""),"R(1)")</f>
        <v>R(1)</v>
      </c>
      <c r="CA14" s="16" t="str">
        <f>IFERROR(__xludf.DUMMYFUNCTION("""COMPUTED_VALUE"""),"R(1)")</f>
        <v>R(1)</v>
      </c>
      <c r="CB14" s="16"/>
      <c r="CC14" s="16"/>
      <c r="CD14" s="16"/>
      <c r="CE14" s="16">
        <f>IFERROR(__xludf.DUMMYFUNCTION("""COMPUTED_VALUE"""),1.0)</f>
        <v>1</v>
      </c>
      <c r="CF14" s="16"/>
      <c r="CG14" s="16" t="str">
        <f>IFERROR(__xludf.DUMMYFUNCTION("""COMPUTED_VALUE"""),"2-22")</f>
        <v>2-22</v>
      </c>
      <c r="CH14" s="16">
        <f>IFERROR(__xludf.DUMMYFUNCTION("""COMPUTED_VALUE"""),2.0)</f>
        <v>2</v>
      </c>
      <c r="CI14" s="16">
        <f>IFERROR(__xludf.DUMMYFUNCTION("""COMPUTED_VALUE"""),22.0)</f>
        <v>22</v>
      </c>
      <c r="CJ14" s="16">
        <f>IFERROR(__xludf.DUMMYFUNCTION("""COMPUTED_VALUE"""),6.0)</f>
        <v>6</v>
      </c>
      <c r="CK14" s="16">
        <f>IFERROR(__xludf.DUMMYFUNCTION("""COMPUTED_VALUE"""),11.0)</f>
        <v>11</v>
      </c>
      <c r="CL14" s="16" t="str">
        <f>IFERROR(__xludf.DUMMYFUNCTION("""COMPUTED_VALUE"""),"1WL-C")</f>
        <v>1WL-C</v>
      </c>
      <c r="CM14" s="16" t="str">
        <f>IFERROR(__xludf.DUMMYFUNCTION("""COMPUTED_VALUE"""),"E")</f>
        <v>E</v>
      </c>
      <c r="CN14" s="16">
        <f>IFERROR(__xludf.DUMMYFUNCTION("""COMPUTED_VALUE"""),10.0)</f>
        <v>10</v>
      </c>
      <c r="CO14" s="16" t="str">
        <f>IFERROR(__xludf.DUMMYFUNCTION("""COMPUTED_VALUE"""),"C")</f>
        <v>C</v>
      </c>
      <c r="CP14" s="16" t="str">
        <f>IFERROR(__xludf.DUMMYFUNCTION("""COMPUTED_VALUE"""),"0p72")</f>
        <v>0p72</v>
      </c>
      <c r="CQ14" s="16">
        <f>IFERROR(__xludf.DUMMYFUNCTION("""COMPUTED_VALUE"""),52.0)</f>
        <v>52</v>
      </c>
      <c r="CR14" s="16">
        <f>IFERROR(__xludf.DUMMYFUNCTION("""COMPUTED_VALUE"""),28.0)</f>
        <v>28</v>
      </c>
      <c r="CS14" s="16">
        <f>IFERROR(__xludf.DUMMYFUNCTION("""COMPUTED_VALUE"""),80.0)</f>
        <v>80</v>
      </c>
      <c r="CT14" s="16">
        <f>IFERROR(__xludf.DUMMYFUNCTION("""COMPUTED_VALUE"""),52.0)</f>
        <v>52</v>
      </c>
      <c r="CU14" s="16">
        <f>IFERROR(__xludf.DUMMYFUNCTION("""COMPUTED_VALUE"""),28.0)</f>
        <v>28</v>
      </c>
      <c r="CV14" s="179">
        <f>IFERROR(__xludf.DUMMYFUNCTION("""COMPUTED_VALUE"""),45.0)</f>
        <v>45</v>
      </c>
      <c r="CW14" s="179">
        <f>IFERROR(__xludf.DUMMYFUNCTION("""COMPUTED_VALUE"""),5.0)</f>
        <v>5</v>
      </c>
      <c r="CX14" s="179">
        <f>IFERROR(__xludf.DUMMYFUNCTION("""COMPUTED_VALUE"""),4.0)</f>
        <v>4</v>
      </c>
      <c r="CY14" s="16" t="str">
        <f>IFERROR(__xludf.DUMMYFUNCTION("""COMPUTED_VALUE"""),"RP")</f>
        <v>RP</v>
      </c>
      <c r="CZ14" s="16"/>
      <c r="DA14" s="16"/>
      <c r="DB14" s="16"/>
      <c r="DC14" s="16"/>
      <c r="DD14" s="16"/>
      <c r="DE14" s="16"/>
      <c r="DF14" s="16"/>
      <c r="DG14" s="16"/>
      <c r="DH14" s="16"/>
      <c r="DI14" s="16"/>
      <c r="DJ14" s="16"/>
      <c r="DK14" s="16"/>
    </row>
    <row r="15">
      <c r="A15" s="16">
        <f>IFERROR(__xludf.DUMMYFUNCTION("""COMPUTED_VALUE"""),13452.0)</f>
        <v>13452</v>
      </c>
      <c r="B15" s="16" t="str">
        <f>IFERROR(__xludf.DUMMYFUNCTION("""COMPUTED_VALUE"""),"Tyler Holton")</f>
        <v>Tyler Holton</v>
      </c>
      <c r="C15" s="153">
        <f>IFERROR(__xludf.DUMMYFUNCTION("""COMPUTED_VALUE"""),1.58)</f>
        <v>1.58</v>
      </c>
      <c r="D15" s="16"/>
      <c r="E15" s="16" t="str">
        <f>IFERROR(__xludf.DUMMYFUNCTION("""COMPUTED_VALUE"""),"L")</f>
        <v>L</v>
      </c>
      <c r="F15" s="16">
        <f>IFERROR(__xludf.DUMMYFUNCTION("""COMPUTED_VALUE"""),94.0)</f>
        <v>94</v>
      </c>
      <c r="G15" s="16">
        <f>IFERROR(__xludf.DUMMYFUNCTION("""COMPUTED_VALUE"""),21.0)</f>
        <v>21</v>
      </c>
      <c r="H15" s="16">
        <f>IFERROR(__xludf.DUMMYFUNCTION("""COMPUTED_VALUE"""),24.0)</f>
        <v>24</v>
      </c>
      <c r="I15" s="16">
        <f>IFERROR(__xludf.DUMMYFUNCTION("""COMPUTED_VALUE"""),-1.0)</f>
        <v>-1</v>
      </c>
      <c r="J15" s="16">
        <f>IFERROR(__xludf.DUMMYFUNCTION("""COMPUTED_VALUE"""),0.0)</f>
        <v>0</v>
      </c>
      <c r="K15" s="16">
        <f>IFERROR(__xludf.DUMMYFUNCTION("""COMPUTED_VALUE"""),-3.0)</f>
        <v>-3</v>
      </c>
      <c r="L15" s="16">
        <f>IFERROR(__xludf.DUMMYFUNCTION("""COMPUTED_VALUE"""),0.0)</f>
        <v>0</v>
      </c>
      <c r="M15" s="16">
        <f>IFERROR(__xludf.DUMMYFUNCTION("""COMPUTED_VALUE"""),0.0)</f>
        <v>0</v>
      </c>
      <c r="N15" s="16">
        <f>IFERROR(__xludf.DUMMYFUNCTION("""COMPUTED_VALUE"""),3.0)</f>
        <v>3</v>
      </c>
      <c r="O15" s="16">
        <f>IFERROR(__xludf.DUMMYFUNCTION("""COMPUTED_VALUE"""),3.0)</f>
        <v>3</v>
      </c>
      <c r="P15" s="16">
        <f>IFERROR(__xludf.DUMMYFUNCTION("""COMPUTED_VALUE"""),2.0)</f>
        <v>2</v>
      </c>
      <c r="Q15" s="16">
        <f>IFERROR(__xludf.DUMMYFUNCTION("""COMPUTED_VALUE"""),3.0)</f>
        <v>3</v>
      </c>
      <c r="R15" s="16">
        <f>IFERROR(__xludf.DUMMYFUNCTION("""COMPUTED_VALUE"""),2.0)</f>
        <v>2</v>
      </c>
      <c r="S15" s="16">
        <f>IFERROR(__xludf.DUMMYFUNCTION("""COMPUTED_VALUE"""),4.7)</f>
        <v>4.7</v>
      </c>
      <c r="T15" s="16">
        <f>IFERROR(__xludf.DUMMYFUNCTION("""COMPUTED_VALUE"""),5.1)</f>
        <v>5.1</v>
      </c>
      <c r="U15" s="16">
        <f>IFERROR(__xludf.DUMMYFUNCTION("""COMPUTED_VALUE"""),2.0)</f>
        <v>2</v>
      </c>
      <c r="V15" s="16">
        <f>IFERROR(__xludf.DUMMYFUNCTION("""COMPUTED_VALUE"""),2.0)</f>
        <v>2</v>
      </c>
      <c r="W15" s="16">
        <f>IFERROR(__xludf.DUMMYFUNCTION("""COMPUTED_VALUE"""),4.0)</f>
        <v>4</v>
      </c>
      <c r="X15" s="16">
        <f>IFERROR(__xludf.DUMMYFUNCTION("""COMPUTED_VALUE"""),4.0)</f>
        <v>4</v>
      </c>
      <c r="Y15" s="16">
        <f>IFERROR(__xludf.DUMMYFUNCTION("""COMPUTED_VALUE"""),4.7)</f>
        <v>4.7</v>
      </c>
      <c r="Z15" s="16">
        <f>IFERROR(__xludf.DUMMYFUNCTION("""COMPUTED_VALUE"""),8.1)</f>
        <v>8.1</v>
      </c>
      <c r="AA15" s="16">
        <f>IFERROR(__xludf.DUMMYFUNCTION("""COMPUTED_VALUE"""),2.0)</f>
        <v>2</v>
      </c>
      <c r="AB15" s="16">
        <f>IFERROR(__xludf.DUMMYFUNCTION("""COMPUTED_VALUE"""),2.0)</f>
        <v>2</v>
      </c>
      <c r="AC15" s="16">
        <f>IFERROR(__xludf.DUMMYFUNCTION("""COMPUTED_VALUE"""),10.0)</f>
        <v>10</v>
      </c>
      <c r="AD15" s="16">
        <f>IFERROR(__xludf.DUMMYFUNCTION("""COMPUTED_VALUE"""),10.0)</f>
        <v>10</v>
      </c>
      <c r="AE15" s="16">
        <f>IFERROR(__xludf.DUMMYFUNCTION("""COMPUTED_VALUE"""),12.1)</f>
        <v>12.1</v>
      </c>
      <c r="AF15" s="16">
        <f>IFERROR(__xludf.DUMMYFUNCTION("""COMPUTED_VALUE"""),9.9)</f>
        <v>9.9</v>
      </c>
      <c r="AG15" s="16">
        <f>IFERROR(__xludf.DUMMYFUNCTION("""COMPUTED_VALUE"""),2.0)</f>
        <v>2</v>
      </c>
      <c r="AH15" s="16">
        <f>IFERROR(__xludf.DUMMYFUNCTION("""COMPUTED_VALUE"""),2.0)</f>
        <v>2</v>
      </c>
      <c r="AI15" s="16">
        <f>IFERROR(__xludf.DUMMYFUNCTION("""COMPUTED_VALUE"""),4.0)</f>
        <v>4</v>
      </c>
      <c r="AJ15" s="16">
        <f>IFERROR(__xludf.DUMMYFUNCTION("""COMPUTED_VALUE"""),4.0)</f>
        <v>4</v>
      </c>
      <c r="AK15" s="16">
        <f>IFERROR(__xludf.DUMMYFUNCTION("""COMPUTED_VALUE"""),3.5)</f>
        <v>3.5</v>
      </c>
      <c r="AL15" s="16">
        <f>IFERROR(__xludf.DUMMYFUNCTION("""COMPUTED_VALUE"""),4.3)</f>
        <v>4.3</v>
      </c>
      <c r="AM15" s="16">
        <f>IFERROR(__xludf.DUMMYFUNCTION("""COMPUTED_VALUE"""),2.0)</f>
        <v>2</v>
      </c>
      <c r="AN15" s="16">
        <f>IFERROR(__xludf.DUMMYFUNCTION("""COMPUTED_VALUE"""),2.0)</f>
        <v>2</v>
      </c>
      <c r="AO15" s="16">
        <f>IFERROR(__xludf.DUMMYFUNCTION("""COMPUTED_VALUE"""),2.0)</f>
        <v>2</v>
      </c>
      <c r="AP15" s="16">
        <f>IFERROR(__xludf.DUMMYFUNCTION("""COMPUTED_VALUE"""),2.0)</f>
        <v>2</v>
      </c>
      <c r="AQ15" s="16">
        <f>IFERROR(__xludf.DUMMYFUNCTION("""COMPUTED_VALUE"""),7.3)</f>
        <v>7.3</v>
      </c>
      <c r="AR15" s="16">
        <f>IFERROR(__xludf.DUMMYFUNCTION("""COMPUTED_VALUE"""),6.7)</f>
        <v>6.7</v>
      </c>
      <c r="AS15" s="16">
        <f>IFERROR(__xludf.DUMMYFUNCTION("""COMPUTED_VALUE"""),1.0)</f>
        <v>1</v>
      </c>
      <c r="AT15" s="16">
        <f>IFERROR(__xludf.DUMMYFUNCTION("""COMPUTED_VALUE"""),2.0)</f>
        <v>2</v>
      </c>
      <c r="AU15" s="16">
        <f>IFERROR(__xludf.DUMMYFUNCTION("""COMPUTED_VALUE"""),2.0)</f>
        <v>2</v>
      </c>
      <c r="AV15" s="16">
        <f>IFERROR(__xludf.DUMMYFUNCTION("""COMPUTED_VALUE"""),4.0)</f>
        <v>4</v>
      </c>
      <c r="AW15" s="16">
        <f>IFERROR(__xludf.DUMMYFUNCTION("""COMPUTED_VALUE"""),1.2)</f>
        <v>1.2</v>
      </c>
      <c r="AX15" s="16">
        <f>IFERROR(__xludf.DUMMYFUNCTION("""COMPUTED_VALUE"""),0.8)</f>
        <v>0.8</v>
      </c>
      <c r="AY15" s="16">
        <f>IFERROR(__xludf.DUMMYFUNCTION("""COMPUTED_VALUE"""),1.0)</f>
        <v>1</v>
      </c>
      <c r="AZ15" s="16">
        <f>IFERROR(__xludf.DUMMYFUNCTION("""COMPUTED_VALUE"""),1.0)</f>
        <v>1</v>
      </c>
      <c r="BA15" s="16">
        <f>IFERROR(__xludf.DUMMYFUNCTION("""COMPUTED_VALUE"""),5.0)</f>
        <v>5</v>
      </c>
      <c r="BB15" s="16">
        <f>IFERROR(__xludf.DUMMYFUNCTION("""COMPUTED_VALUE"""),5.0)</f>
        <v>5</v>
      </c>
      <c r="BC15" s="16"/>
      <c r="BD15" s="16"/>
      <c r="BE15" s="16">
        <f>IFERROR(__xludf.DUMMYFUNCTION("""COMPUTED_VALUE"""),2.0)</f>
        <v>2</v>
      </c>
      <c r="BF15" s="16">
        <f>IFERROR(__xludf.DUMMYFUNCTION("""COMPUTED_VALUE"""),0.0)</f>
        <v>0</v>
      </c>
      <c r="BG15" s="16">
        <f>IFERROR(__xludf.DUMMYFUNCTION("""COMPUTED_VALUE"""),1.0)</f>
        <v>1</v>
      </c>
      <c r="BH15" s="16">
        <f>IFERROR(__xludf.DUMMYFUNCTION("""COMPUTED_VALUE"""),2.0)</f>
        <v>2</v>
      </c>
      <c r="BI15" s="16">
        <f>IFERROR(__xludf.DUMMYFUNCTION("""COMPUTED_VALUE"""),2.0)</f>
        <v>2</v>
      </c>
      <c r="BJ15" s="16">
        <f>IFERROR(__xludf.DUMMYFUNCTION("""COMPUTED_VALUE"""),4.0)</f>
        <v>4</v>
      </c>
      <c r="BK15" s="16">
        <f>IFERROR(__xludf.DUMMYFUNCTION("""COMPUTED_VALUE"""),0.0)</f>
        <v>0</v>
      </c>
      <c r="BL15" s="16">
        <f>IFERROR(__xludf.DUMMYFUNCTION("""COMPUTED_VALUE"""),0.0)</f>
        <v>0</v>
      </c>
      <c r="BM15" s="16">
        <f>IFERROR(__xludf.DUMMYFUNCTION("""COMPUTED_VALUE"""),1.0)</f>
        <v>1</v>
      </c>
      <c r="BN15" s="16">
        <f>IFERROR(__xludf.DUMMYFUNCTION("""COMPUTED_VALUE"""),1.0)</f>
        <v>1</v>
      </c>
      <c r="BO15" s="16">
        <f>IFERROR(__xludf.DUMMYFUNCTION("""COMPUTED_VALUE"""),1.0)</f>
        <v>1</v>
      </c>
      <c r="BP15" s="16">
        <f>IFERROR(__xludf.DUMMYFUNCTION("""COMPUTED_VALUE"""),1.0)</f>
        <v>1</v>
      </c>
      <c r="BQ15" s="16">
        <f>IFERROR(__xludf.DUMMYFUNCTION("""COMPUTED_VALUE"""),12.0)</f>
        <v>12</v>
      </c>
      <c r="BR15" s="16">
        <f>IFERROR(__xludf.DUMMYFUNCTION("""COMPUTED_VALUE"""),11.0)</f>
        <v>11</v>
      </c>
      <c r="BS15" s="16">
        <f>IFERROR(__xludf.DUMMYFUNCTION("""COMPUTED_VALUE"""),3.0)</f>
        <v>3</v>
      </c>
      <c r="BT15" s="16">
        <f>IFERROR(__xludf.DUMMYFUNCTION("""COMPUTED_VALUE"""),3.0)</f>
        <v>3</v>
      </c>
      <c r="BU15" s="16">
        <f>IFERROR(__xludf.DUMMYFUNCTION("""COMPUTED_VALUE"""),6.0)</f>
        <v>6</v>
      </c>
      <c r="BV15" s="16">
        <f>IFERROR(__xludf.DUMMYFUNCTION("""COMPUTED_VALUE"""),6.0)</f>
        <v>6</v>
      </c>
      <c r="BW15" s="16">
        <f>IFERROR(__xludf.DUMMYFUNCTION("""COMPUTED_VALUE"""),-2.0)</f>
        <v>-2</v>
      </c>
      <c r="BX15" s="16">
        <f>IFERROR(__xludf.DUMMYFUNCTION("""COMPUTED_VALUE"""),-2.0)</f>
        <v>-2</v>
      </c>
      <c r="BY15" s="16" t="str">
        <f>IFERROR(__xludf.DUMMYFUNCTION("""COMPUTED_VALUE"""),"S(1) R(1) C(4)")</f>
        <v>S(1) R(1) C(4)</v>
      </c>
      <c r="BZ15" s="16" t="str">
        <f>IFERROR(__xludf.DUMMYFUNCTION("""COMPUTED_VALUE"""),"S(1) R(1) C(4)")</f>
        <v>S(1) R(1) C(4)</v>
      </c>
      <c r="CA15" s="16" t="str">
        <f>IFERROR(__xludf.DUMMYFUNCTION("""COMPUTED_VALUE"""),"S(1)")</f>
        <v>S(1)</v>
      </c>
      <c r="CB15" s="16" t="str">
        <f>IFERROR(__xludf.DUMMYFUNCTION("""COMPUTED_VALUE"""),"R(1)")</f>
        <v>R(1)</v>
      </c>
      <c r="CC15" s="16" t="str">
        <f>IFERROR(__xludf.DUMMYFUNCTION("""COMPUTED_VALUE"""),"C(4)")</f>
        <v>C(4)</v>
      </c>
      <c r="CD15" s="16">
        <f>IFERROR(__xludf.DUMMYFUNCTION("""COMPUTED_VALUE"""),1.0)</f>
        <v>1</v>
      </c>
      <c r="CE15" s="16">
        <f>IFERROR(__xludf.DUMMYFUNCTION("""COMPUTED_VALUE"""),1.0)</f>
        <v>1</v>
      </c>
      <c r="CF15" s="16">
        <f>IFERROR(__xludf.DUMMYFUNCTION("""COMPUTED_VALUE"""),4.0)</f>
        <v>4</v>
      </c>
      <c r="CG15" s="16" t="str">
        <f>IFERROR(__xludf.DUMMYFUNCTION("""COMPUTED_VALUE"""),"2-0")</f>
        <v>2-0</v>
      </c>
      <c r="CH15" s="16">
        <f>IFERROR(__xludf.DUMMYFUNCTION("""COMPUTED_VALUE"""),2.0)</f>
        <v>2</v>
      </c>
      <c r="CI15" s="16">
        <f>IFERROR(__xludf.DUMMYFUNCTION("""COMPUTED_VALUE"""),0.0)</f>
        <v>0</v>
      </c>
      <c r="CJ15" s="16">
        <f>IFERROR(__xludf.DUMMYFUNCTION("""COMPUTED_VALUE"""),0.0)</f>
        <v>0</v>
      </c>
      <c r="CK15" s="16">
        <f>IFERROR(__xludf.DUMMYFUNCTION("""COMPUTED_VALUE"""),0.0)</f>
        <v>0</v>
      </c>
      <c r="CL15" s="16" t="str">
        <f>IFERROR(__xludf.DUMMYFUNCTION("""COMPUTED_VALUE"""),"1WL-C")</f>
        <v>1WL-C</v>
      </c>
      <c r="CM15" s="16" t="str">
        <f>IFERROR(__xludf.DUMMYFUNCTION("""COMPUTED_VALUE"""),"E")</f>
        <v>E</v>
      </c>
      <c r="CN15" s="16">
        <f>IFERROR(__xludf.DUMMYFUNCTION("""COMPUTED_VALUE"""),10.0)</f>
        <v>10</v>
      </c>
      <c r="CO15" s="16" t="str">
        <f>IFERROR(__xludf.DUMMYFUNCTION("""COMPUTED_VALUE"""),"C")</f>
        <v>C</v>
      </c>
      <c r="CP15" s="16" t="str">
        <f>IFERROR(__xludf.DUMMYFUNCTION("""COMPUTED_VALUE"""),"1p70")</f>
        <v>1p70</v>
      </c>
      <c r="CQ15" s="16">
        <f>IFERROR(__xludf.DUMMYFUNCTION("""COMPUTED_VALUE"""),36.0)</f>
        <v>36</v>
      </c>
      <c r="CR15" s="16">
        <f>IFERROR(__xludf.DUMMYFUNCTION("""COMPUTED_VALUE"""),42.0)</f>
        <v>42</v>
      </c>
      <c r="CS15" s="16">
        <f>IFERROR(__xludf.DUMMYFUNCTION("""COMPUTED_VALUE"""),78.0)</f>
        <v>78</v>
      </c>
      <c r="CT15" s="16">
        <f>IFERROR(__xludf.DUMMYFUNCTION("""COMPUTED_VALUE"""),36.0)</f>
        <v>36</v>
      </c>
      <c r="CU15" s="16">
        <f>IFERROR(__xludf.DUMMYFUNCTION("""COMPUTED_VALUE"""),42.0)</f>
        <v>42</v>
      </c>
      <c r="CV15" s="179">
        <f>IFERROR(__xludf.DUMMYFUNCTION("""COMPUTED_VALUE"""),45.0)</f>
        <v>45</v>
      </c>
      <c r="CW15" s="179">
        <f>IFERROR(__xludf.DUMMYFUNCTION("""COMPUTED_VALUE"""),4.0)</f>
        <v>4</v>
      </c>
      <c r="CX15" s="179">
        <f>IFERROR(__xludf.DUMMYFUNCTION("""COMPUTED_VALUE"""),3.0)</f>
        <v>3</v>
      </c>
      <c r="CY15" s="16" t="str">
        <f>IFERROR(__xludf.DUMMYFUNCTION("""COMPUTED_VALUE"""),"SP")</f>
        <v>SP</v>
      </c>
      <c r="CZ15" s="16" t="str">
        <f>IFERROR(__xludf.DUMMYFUNCTION("""COMPUTED_VALUE"""),"RP")</f>
        <v>RP</v>
      </c>
      <c r="DA15" s="16" t="str">
        <f>IFERROR(__xludf.DUMMYFUNCTION("""COMPUTED_VALUE"""),"CP")</f>
        <v>CP</v>
      </c>
      <c r="DB15" s="16"/>
      <c r="DC15" s="16"/>
      <c r="DD15" s="16"/>
      <c r="DE15" s="16"/>
      <c r="DF15" s="16"/>
      <c r="DG15" s="16"/>
      <c r="DH15" s="16"/>
      <c r="DI15" s="16"/>
      <c r="DJ15" s="16"/>
      <c r="DK15" s="16"/>
    </row>
    <row r="16">
      <c r="A16" s="16">
        <f>IFERROR(__xludf.DUMMYFUNCTION("""COMPUTED_VALUE"""),13402.0)</f>
        <v>13402</v>
      </c>
      <c r="B16" s="16" t="str">
        <f>IFERROR(__xludf.DUMMYFUNCTION("""COMPUTED_VALUE"""),"Tanner Scott")</f>
        <v>Tanner Scott</v>
      </c>
      <c r="C16" s="153">
        <f>IFERROR(__xludf.DUMMYFUNCTION("""COMPUTED_VALUE"""),2.67)</f>
        <v>2.67</v>
      </c>
      <c r="D16" s="16"/>
      <c r="E16" s="16" t="str">
        <f>IFERROR(__xludf.DUMMYFUNCTION("""COMPUTED_VALUE"""),"L")</f>
        <v>L</v>
      </c>
      <c r="F16" s="16">
        <f>IFERROR(__xludf.DUMMYFUNCTION("""COMPUTED_VALUE"""),72.0)</f>
        <v>72</v>
      </c>
      <c r="G16" s="16">
        <f>IFERROR(__xludf.DUMMYFUNCTION("""COMPUTED_VALUE"""),61.0)</f>
        <v>61</v>
      </c>
      <c r="H16" s="16">
        <f>IFERROR(__xludf.DUMMYFUNCTION("""COMPUTED_VALUE"""),31.0)</f>
        <v>31</v>
      </c>
      <c r="I16" s="16">
        <f>IFERROR(__xludf.DUMMYFUNCTION("""COMPUTED_VALUE"""),3.0)</f>
        <v>3</v>
      </c>
      <c r="J16" s="16">
        <f>IFERROR(__xludf.DUMMYFUNCTION("""COMPUTED_VALUE"""),0.0)</f>
        <v>0</v>
      </c>
      <c r="K16" s="16">
        <f>IFERROR(__xludf.DUMMYFUNCTION("""COMPUTED_VALUE"""),9.0)</f>
        <v>9</v>
      </c>
      <c r="L16" s="16">
        <f>IFERROR(__xludf.DUMMYFUNCTION("""COMPUTED_VALUE"""),0.0)</f>
        <v>0</v>
      </c>
      <c r="M16" s="16">
        <f>IFERROR(__xludf.DUMMYFUNCTION("""COMPUTED_VALUE"""),15.0)</f>
        <v>15</v>
      </c>
      <c r="N16" s="16">
        <f>IFERROR(__xludf.DUMMYFUNCTION("""COMPUTED_VALUE"""),16.0)</f>
        <v>16</v>
      </c>
      <c r="O16" s="16">
        <f>IFERROR(__xludf.DUMMYFUNCTION("""COMPUTED_VALUE"""),-2.0)</f>
        <v>-2</v>
      </c>
      <c r="P16" s="16">
        <f>IFERROR(__xludf.DUMMYFUNCTION("""COMPUTED_VALUE"""),-3.0)</f>
        <v>-3</v>
      </c>
      <c r="Q16" s="16">
        <f>IFERROR(__xludf.DUMMYFUNCTION("""COMPUTED_VALUE"""),-2.0)</f>
        <v>-2</v>
      </c>
      <c r="R16" s="16">
        <f>IFERROR(__xludf.DUMMYFUNCTION("""COMPUTED_VALUE"""),-3.0)</f>
        <v>-3</v>
      </c>
      <c r="S16" s="16">
        <f>IFERROR(__xludf.DUMMYFUNCTION("""COMPUTED_VALUE"""),0.0)</f>
        <v>0</v>
      </c>
      <c r="T16" s="16">
        <f>IFERROR(__xludf.DUMMYFUNCTION("""COMPUTED_VALUE"""),6.0)</f>
        <v>6</v>
      </c>
      <c r="U16" s="16">
        <f>IFERROR(__xludf.DUMMYFUNCTION("""COMPUTED_VALUE"""),3.0)</f>
        <v>3</v>
      </c>
      <c r="V16" s="16">
        <f>IFERROR(__xludf.DUMMYFUNCTION("""COMPUTED_VALUE"""),2.0)</f>
        <v>2</v>
      </c>
      <c r="W16" s="16">
        <f>IFERROR(__xludf.DUMMYFUNCTION("""COMPUTED_VALUE"""),6.0)</f>
        <v>6</v>
      </c>
      <c r="X16" s="16">
        <f>IFERROR(__xludf.DUMMYFUNCTION("""COMPUTED_VALUE"""),4.0)</f>
        <v>4</v>
      </c>
      <c r="Y16" s="16">
        <f>IFERROR(__xludf.DUMMYFUNCTION("""COMPUTED_VALUE"""),15.0)</f>
        <v>15</v>
      </c>
      <c r="Z16" s="16">
        <f>IFERROR(__xludf.DUMMYFUNCTION("""COMPUTED_VALUE"""),22.0)</f>
        <v>22</v>
      </c>
      <c r="AA16" s="16">
        <f>IFERROR(__xludf.DUMMYFUNCTION("""COMPUTED_VALUE"""),2.0)</f>
        <v>2</v>
      </c>
      <c r="AB16" s="16">
        <f>IFERROR(__xludf.DUMMYFUNCTION("""COMPUTED_VALUE"""),1.0)</f>
        <v>1</v>
      </c>
      <c r="AC16" s="16">
        <f>IFERROR(__xludf.DUMMYFUNCTION("""COMPUTED_VALUE"""),10.0)</f>
        <v>10</v>
      </c>
      <c r="AD16" s="16">
        <f>IFERROR(__xludf.DUMMYFUNCTION("""COMPUTED_VALUE"""),5.0)</f>
        <v>5</v>
      </c>
      <c r="AE16" s="16">
        <f>IFERROR(__xludf.DUMMYFUNCTION("""COMPUTED_VALUE"""),0.0)</f>
        <v>0</v>
      </c>
      <c r="AF16" s="16">
        <f>IFERROR(__xludf.DUMMYFUNCTION("""COMPUTED_VALUE"""),6.8)</f>
        <v>6.8</v>
      </c>
      <c r="AG16" s="16">
        <f>IFERROR(__xludf.DUMMYFUNCTION("""COMPUTED_VALUE"""),3.0)</f>
        <v>3</v>
      </c>
      <c r="AH16" s="16">
        <f>IFERROR(__xludf.DUMMYFUNCTION("""COMPUTED_VALUE"""),2.0)</f>
        <v>2</v>
      </c>
      <c r="AI16" s="16">
        <f>IFERROR(__xludf.DUMMYFUNCTION("""COMPUTED_VALUE"""),6.0)</f>
        <v>6</v>
      </c>
      <c r="AJ16" s="16">
        <f>IFERROR(__xludf.DUMMYFUNCTION("""COMPUTED_VALUE"""),4.0)</f>
        <v>4</v>
      </c>
      <c r="AK16" s="16">
        <f>IFERROR(__xludf.DUMMYFUNCTION("""COMPUTED_VALUE"""),0.0)</f>
        <v>0</v>
      </c>
      <c r="AL16" s="16">
        <f>IFERROR(__xludf.DUMMYFUNCTION("""COMPUTED_VALUE"""),6.0)</f>
        <v>6</v>
      </c>
      <c r="AM16" s="16">
        <f>IFERROR(__xludf.DUMMYFUNCTION("""COMPUTED_VALUE"""),3.0)</f>
        <v>3</v>
      </c>
      <c r="AN16" s="16">
        <f>IFERROR(__xludf.DUMMYFUNCTION("""COMPUTED_VALUE"""),1.0)</f>
        <v>1</v>
      </c>
      <c r="AO16" s="16">
        <f>IFERROR(__xludf.DUMMYFUNCTION("""COMPUTED_VALUE"""),3.0)</f>
        <v>3</v>
      </c>
      <c r="AP16" s="16">
        <f>IFERROR(__xludf.DUMMYFUNCTION("""COMPUTED_VALUE"""),1.0)</f>
        <v>1</v>
      </c>
      <c r="AQ16" s="16">
        <f>IFERROR(__xludf.DUMMYFUNCTION("""COMPUTED_VALUE"""),0.0)</f>
        <v>0</v>
      </c>
      <c r="AR16" s="16">
        <f>IFERROR(__xludf.DUMMYFUNCTION("""COMPUTED_VALUE"""),6.8)</f>
        <v>6.8</v>
      </c>
      <c r="AS16" s="16">
        <f>IFERROR(__xludf.DUMMYFUNCTION("""COMPUTED_VALUE"""),3.0)</f>
        <v>3</v>
      </c>
      <c r="AT16" s="16">
        <f>IFERROR(__xludf.DUMMYFUNCTION("""COMPUTED_VALUE"""),2.0)</f>
        <v>2</v>
      </c>
      <c r="AU16" s="16">
        <f>IFERROR(__xludf.DUMMYFUNCTION("""COMPUTED_VALUE"""),6.0)</f>
        <v>6</v>
      </c>
      <c r="AV16" s="16">
        <f>IFERROR(__xludf.DUMMYFUNCTION("""COMPUTED_VALUE"""),4.0)</f>
        <v>4</v>
      </c>
      <c r="AW16" s="16">
        <f>IFERROR(__xludf.DUMMYFUNCTION("""COMPUTED_VALUE"""),0.0)</f>
        <v>0</v>
      </c>
      <c r="AX16" s="16">
        <f>IFERROR(__xludf.DUMMYFUNCTION("""COMPUTED_VALUE"""),0.0)</f>
        <v>0</v>
      </c>
      <c r="AY16" s="16">
        <f>IFERROR(__xludf.DUMMYFUNCTION("""COMPUTED_VALUE"""),2.0)</f>
        <v>2</v>
      </c>
      <c r="AZ16" s="16">
        <f>IFERROR(__xludf.DUMMYFUNCTION("""COMPUTED_VALUE"""),2.0)</f>
        <v>2</v>
      </c>
      <c r="BA16" s="16">
        <f>IFERROR(__xludf.DUMMYFUNCTION("""COMPUTED_VALUE"""),10.0)</f>
        <v>10</v>
      </c>
      <c r="BB16" s="16">
        <f>IFERROR(__xludf.DUMMYFUNCTION("""COMPUTED_VALUE"""),10.0)</f>
        <v>10</v>
      </c>
      <c r="BC16" s="16"/>
      <c r="BD16" s="16">
        <f>IFERROR(__xludf.DUMMYFUNCTION("""COMPUTED_VALUE"""),0.0)</f>
        <v>0</v>
      </c>
      <c r="BE16" s="16">
        <f>IFERROR(__xludf.DUMMYFUNCTION("""COMPUTED_VALUE"""),0.0)</f>
        <v>0</v>
      </c>
      <c r="BF16" s="16">
        <f>IFERROR(__xludf.DUMMYFUNCTION("""COMPUTED_VALUE"""),0.0)</f>
        <v>0</v>
      </c>
      <c r="BG16" s="16">
        <f>IFERROR(__xludf.DUMMYFUNCTION("""COMPUTED_VALUE"""),3.0)</f>
        <v>3</v>
      </c>
      <c r="BH16" s="16">
        <f>IFERROR(__xludf.DUMMYFUNCTION("""COMPUTED_VALUE"""),2.0)</f>
        <v>2</v>
      </c>
      <c r="BI16" s="16">
        <f>IFERROR(__xludf.DUMMYFUNCTION("""COMPUTED_VALUE"""),6.0)</f>
        <v>6</v>
      </c>
      <c r="BJ16" s="16">
        <f>IFERROR(__xludf.DUMMYFUNCTION("""COMPUTED_VALUE"""),4.0)</f>
        <v>4</v>
      </c>
      <c r="BK16" s="16">
        <f>IFERROR(__xludf.DUMMYFUNCTION("""COMPUTED_VALUE"""),0.0)</f>
        <v>0</v>
      </c>
      <c r="BL16" s="16">
        <f>IFERROR(__xludf.DUMMYFUNCTION("""COMPUTED_VALUE"""),5.0)</f>
        <v>5</v>
      </c>
      <c r="BM16" s="16">
        <f>IFERROR(__xludf.DUMMYFUNCTION("""COMPUTED_VALUE"""),1.0)</f>
        <v>1</v>
      </c>
      <c r="BN16" s="16">
        <f>IFERROR(__xludf.DUMMYFUNCTION("""COMPUTED_VALUE"""),0.0)</f>
        <v>0</v>
      </c>
      <c r="BO16" s="16">
        <f>IFERROR(__xludf.DUMMYFUNCTION("""COMPUTED_VALUE"""),1.0)</f>
        <v>1</v>
      </c>
      <c r="BP16" s="16">
        <f>IFERROR(__xludf.DUMMYFUNCTION("""COMPUTED_VALUE"""),0.0)</f>
        <v>0</v>
      </c>
      <c r="BQ16" s="16">
        <f>IFERROR(__xludf.DUMMYFUNCTION("""COMPUTED_VALUE"""),2.0)</f>
        <v>2</v>
      </c>
      <c r="BR16" s="16">
        <f>IFERROR(__xludf.DUMMYFUNCTION("""COMPUTED_VALUE"""),3.0)</f>
        <v>3</v>
      </c>
      <c r="BS16" s="16">
        <f>IFERROR(__xludf.DUMMYFUNCTION("""COMPUTED_VALUE"""),-2.0)</f>
        <v>-2</v>
      </c>
      <c r="BT16" s="16">
        <f>IFERROR(__xludf.DUMMYFUNCTION("""COMPUTED_VALUE"""),-1.0)</f>
        <v>-1</v>
      </c>
      <c r="BU16" s="16">
        <f>IFERROR(__xludf.DUMMYFUNCTION("""COMPUTED_VALUE"""),-4.0)</f>
        <v>-4</v>
      </c>
      <c r="BV16" s="16">
        <f>IFERROR(__xludf.DUMMYFUNCTION("""COMPUTED_VALUE"""),-2.0)</f>
        <v>-2</v>
      </c>
      <c r="BW16" s="16">
        <f>IFERROR(__xludf.DUMMYFUNCTION("""COMPUTED_VALUE"""),0.0)</f>
        <v>0</v>
      </c>
      <c r="BX16" s="16">
        <f>IFERROR(__xludf.DUMMYFUNCTION("""COMPUTED_VALUE"""),0.0)</f>
        <v>0</v>
      </c>
      <c r="BY16" s="16" t="str">
        <f>IFERROR(__xludf.DUMMYFUNCTION("""COMPUTED_VALUE"""),"R(1) C(5)")</f>
        <v>R(1) C(5)</v>
      </c>
      <c r="BZ16" s="16" t="str">
        <f>IFERROR(__xludf.DUMMYFUNCTION("""COMPUTED_VALUE"""),"R(1) C(5)")</f>
        <v>R(1) C(5)</v>
      </c>
      <c r="CA16" s="16" t="str">
        <f>IFERROR(__xludf.DUMMYFUNCTION("""COMPUTED_VALUE"""),"R(1)")</f>
        <v>R(1)</v>
      </c>
      <c r="CB16" s="16" t="str">
        <f>IFERROR(__xludf.DUMMYFUNCTION("""COMPUTED_VALUE"""),"C(5)")</f>
        <v>C(5)</v>
      </c>
      <c r="CC16" s="16"/>
      <c r="CD16" s="16"/>
      <c r="CE16" s="16">
        <f>IFERROR(__xludf.DUMMYFUNCTION("""COMPUTED_VALUE"""),1.0)</f>
        <v>1</v>
      </c>
      <c r="CF16" s="16">
        <f>IFERROR(__xludf.DUMMYFUNCTION("""COMPUTED_VALUE"""),5.0)</f>
        <v>5</v>
      </c>
      <c r="CG16" s="16" t="str">
        <f>IFERROR(__xludf.DUMMYFUNCTION("""COMPUTED_VALUE"""),"3-40")</f>
        <v>3-40</v>
      </c>
      <c r="CH16" s="16">
        <f>IFERROR(__xludf.DUMMYFUNCTION("""COMPUTED_VALUE"""),3.0)</f>
        <v>3</v>
      </c>
      <c r="CI16" s="16">
        <f>IFERROR(__xludf.DUMMYFUNCTION("""COMPUTED_VALUE"""),40.0)</f>
        <v>40</v>
      </c>
      <c r="CJ16" s="16">
        <f>IFERROR(__xludf.DUMMYFUNCTION("""COMPUTED_VALUE"""),0.0)</f>
        <v>0</v>
      </c>
      <c r="CK16" s="16">
        <f>IFERROR(__xludf.DUMMYFUNCTION("""COMPUTED_VALUE"""),0.0)</f>
        <v>0</v>
      </c>
      <c r="CL16" s="16" t="str">
        <f>IFERROR(__xludf.DUMMYFUNCTION("""COMPUTED_VALUE"""),"1WR-C")</f>
        <v>1WR-C</v>
      </c>
      <c r="CM16" s="16" t="str">
        <f>IFERROR(__xludf.DUMMYFUNCTION("""COMPUTED_VALUE"""),"E")</f>
        <v>E</v>
      </c>
      <c r="CN16" s="16">
        <f>IFERROR(__xludf.DUMMYFUNCTION("""COMPUTED_VALUE"""),10.0)</f>
        <v>10</v>
      </c>
      <c r="CO16" s="16" t="str">
        <f>IFERROR(__xludf.DUMMYFUNCTION("""COMPUTED_VALUE"""),"C")</f>
        <v>C</v>
      </c>
      <c r="CP16" s="16" t="str">
        <f>IFERROR(__xludf.DUMMYFUNCTION("""COMPUTED_VALUE"""),"0p72")</f>
        <v>0p72</v>
      </c>
      <c r="CQ16" s="16">
        <f>IFERROR(__xludf.DUMMYFUNCTION("""COMPUTED_VALUE"""),51.0)</f>
        <v>51</v>
      </c>
      <c r="CR16" s="16">
        <f>IFERROR(__xludf.DUMMYFUNCTION("""COMPUTED_VALUE"""),27.0)</f>
        <v>27</v>
      </c>
      <c r="CS16" s="16">
        <f>IFERROR(__xludf.DUMMYFUNCTION("""COMPUTED_VALUE"""),78.0)</f>
        <v>78</v>
      </c>
      <c r="CT16" s="16">
        <f>IFERROR(__xludf.DUMMYFUNCTION("""COMPUTED_VALUE"""),51.0)</f>
        <v>51</v>
      </c>
      <c r="CU16" s="16">
        <f>IFERROR(__xludf.DUMMYFUNCTION("""COMPUTED_VALUE"""),27.0)</f>
        <v>27</v>
      </c>
      <c r="CV16" s="179">
        <f>IFERROR(__xludf.DUMMYFUNCTION("""COMPUTED_VALUE"""),44.0)</f>
        <v>44</v>
      </c>
      <c r="CW16" s="179">
        <f>IFERROR(__xludf.DUMMYFUNCTION("""COMPUTED_VALUE"""),5.0)</f>
        <v>5</v>
      </c>
      <c r="CX16" s="179">
        <f>IFERROR(__xludf.DUMMYFUNCTION("""COMPUTED_VALUE"""),4.0)</f>
        <v>4</v>
      </c>
      <c r="CY16" s="16" t="str">
        <f>IFERROR(__xludf.DUMMYFUNCTION("""COMPUTED_VALUE"""),"RP")</f>
        <v>RP</v>
      </c>
      <c r="CZ16" s="16" t="str">
        <f>IFERROR(__xludf.DUMMYFUNCTION("""COMPUTED_VALUE"""),"CP")</f>
        <v>CP</v>
      </c>
      <c r="DA16" s="16"/>
      <c r="DB16" s="16"/>
      <c r="DC16" s="16"/>
      <c r="DD16" s="16"/>
      <c r="DE16" s="16"/>
      <c r="DF16" s="16"/>
      <c r="DG16" s="16"/>
      <c r="DH16" s="16"/>
      <c r="DI16" s="16"/>
      <c r="DJ16" s="16"/>
      <c r="DK16" s="16"/>
    </row>
    <row r="17">
      <c r="A17" s="16">
        <f>IFERROR(__xludf.DUMMYFUNCTION("""COMPUTED_VALUE"""),13081.0)</f>
        <v>13081</v>
      </c>
      <c r="B17" s="16" t="str">
        <f>IFERROR(__xludf.DUMMYFUNCTION("""COMPUTED_VALUE"""),"Kirby Yates")</f>
        <v>Kirby Yates</v>
      </c>
      <c r="C17" s="153">
        <f>IFERROR(__xludf.DUMMYFUNCTION("""COMPUTED_VALUE"""),2.57)</f>
        <v>2.57</v>
      </c>
      <c r="D17" s="16"/>
      <c r="E17" s="16" t="str">
        <f>IFERROR(__xludf.DUMMYFUNCTION("""COMPUTED_VALUE"""),"R")</f>
        <v>R</v>
      </c>
      <c r="F17" s="16">
        <f>IFERROR(__xludf.DUMMYFUNCTION("""COMPUTED_VALUE"""),62.0)</f>
        <v>62</v>
      </c>
      <c r="G17" s="16">
        <f>IFERROR(__xludf.DUMMYFUNCTION("""COMPUTED_VALUE"""),51.0)</f>
        <v>51</v>
      </c>
      <c r="H17" s="16">
        <f>IFERROR(__xludf.DUMMYFUNCTION("""COMPUTED_VALUE"""),59.0)</f>
        <v>59</v>
      </c>
      <c r="I17" s="16">
        <f>IFERROR(__xludf.DUMMYFUNCTION("""COMPUTED_VALUE"""),3.0)</f>
        <v>3</v>
      </c>
      <c r="J17" s="16">
        <f>IFERROR(__xludf.DUMMYFUNCTION("""COMPUTED_VALUE"""),3.0)</f>
        <v>3</v>
      </c>
      <c r="K17" s="16">
        <f>IFERROR(__xludf.DUMMYFUNCTION("""COMPUTED_VALUE"""),9.0)</f>
        <v>9</v>
      </c>
      <c r="L17" s="16">
        <f>IFERROR(__xludf.DUMMYFUNCTION("""COMPUTED_VALUE"""),9.0)</f>
        <v>9</v>
      </c>
      <c r="M17" s="16">
        <f>IFERROR(__xludf.DUMMYFUNCTION("""COMPUTED_VALUE"""),18.0)</f>
        <v>18</v>
      </c>
      <c r="N17" s="16">
        <f>IFERROR(__xludf.DUMMYFUNCTION("""COMPUTED_VALUE"""),9.0)</f>
        <v>9</v>
      </c>
      <c r="O17" s="16">
        <f>IFERROR(__xludf.DUMMYFUNCTION("""COMPUTED_VALUE"""),-3.0)</f>
        <v>-3</v>
      </c>
      <c r="P17" s="16">
        <f>IFERROR(__xludf.DUMMYFUNCTION("""COMPUTED_VALUE"""),0.0)</f>
        <v>0</v>
      </c>
      <c r="Q17" s="16">
        <f>IFERROR(__xludf.DUMMYFUNCTION("""COMPUTED_VALUE"""),-3.0)</f>
        <v>-3</v>
      </c>
      <c r="R17" s="16">
        <f>IFERROR(__xludf.DUMMYFUNCTION("""COMPUTED_VALUE"""),0.0)</f>
        <v>0</v>
      </c>
      <c r="S17" s="16">
        <f>IFERROR(__xludf.DUMMYFUNCTION("""COMPUTED_VALUE"""),1.4)</f>
        <v>1.4</v>
      </c>
      <c r="T17" s="16">
        <f>IFERROR(__xludf.DUMMYFUNCTION("""COMPUTED_VALUE"""),0.0)</f>
        <v>0</v>
      </c>
      <c r="U17" s="16">
        <f>IFERROR(__xludf.DUMMYFUNCTION("""COMPUTED_VALUE"""),2.0)</f>
        <v>2</v>
      </c>
      <c r="V17" s="16">
        <f>IFERROR(__xludf.DUMMYFUNCTION("""COMPUTED_VALUE"""),3.0)</f>
        <v>3</v>
      </c>
      <c r="W17" s="16">
        <f>IFERROR(__xludf.DUMMYFUNCTION("""COMPUTED_VALUE"""),4.0)</f>
        <v>4</v>
      </c>
      <c r="X17" s="16">
        <f>IFERROR(__xludf.DUMMYFUNCTION("""COMPUTED_VALUE"""),6.0)</f>
        <v>6</v>
      </c>
      <c r="Y17" s="16">
        <f>IFERROR(__xludf.DUMMYFUNCTION("""COMPUTED_VALUE"""),19.4)</f>
        <v>19.4</v>
      </c>
      <c r="Z17" s="16">
        <f>IFERROR(__xludf.DUMMYFUNCTION("""COMPUTED_VALUE"""),9.0)</f>
        <v>9</v>
      </c>
      <c r="AA17" s="16">
        <f>IFERROR(__xludf.DUMMYFUNCTION("""COMPUTED_VALUE"""),1.0)</f>
        <v>1</v>
      </c>
      <c r="AB17" s="16">
        <f>IFERROR(__xludf.DUMMYFUNCTION("""COMPUTED_VALUE"""),2.0)</f>
        <v>2</v>
      </c>
      <c r="AC17" s="16">
        <f>IFERROR(__xludf.DUMMYFUNCTION("""COMPUTED_VALUE"""),5.0)</f>
        <v>5</v>
      </c>
      <c r="AD17" s="16">
        <f>IFERROR(__xludf.DUMMYFUNCTION("""COMPUTED_VALUE"""),10.0)</f>
        <v>10</v>
      </c>
      <c r="AE17" s="16">
        <f>IFERROR(__xludf.DUMMYFUNCTION("""COMPUTED_VALUE"""),2.4)</f>
        <v>2.4</v>
      </c>
      <c r="AF17" s="16">
        <f>IFERROR(__xludf.DUMMYFUNCTION("""COMPUTED_VALUE"""),0.0)</f>
        <v>0</v>
      </c>
      <c r="AG17" s="16">
        <f>IFERROR(__xludf.DUMMYFUNCTION("""COMPUTED_VALUE"""),2.0)</f>
        <v>2</v>
      </c>
      <c r="AH17" s="16">
        <f>IFERROR(__xludf.DUMMYFUNCTION("""COMPUTED_VALUE"""),3.0)</f>
        <v>3</v>
      </c>
      <c r="AI17" s="16">
        <f>IFERROR(__xludf.DUMMYFUNCTION("""COMPUTED_VALUE"""),4.0)</f>
        <v>4</v>
      </c>
      <c r="AJ17" s="16">
        <f>IFERROR(__xludf.DUMMYFUNCTION("""COMPUTED_VALUE"""),6.0)</f>
        <v>6</v>
      </c>
      <c r="AK17" s="16">
        <f>IFERROR(__xludf.DUMMYFUNCTION("""COMPUTED_VALUE"""),1.4)</f>
        <v>1.4</v>
      </c>
      <c r="AL17" s="16">
        <f>IFERROR(__xludf.DUMMYFUNCTION("""COMPUTED_VALUE"""),0.0)</f>
        <v>0</v>
      </c>
      <c r="AM17" s="16">
        <f>IFERROR(__xludf.DUMMYFUNCTION("""COMPUTED_VALUE"""),2.0)</f>
        <v>2</v>
      </c>
      <c r="AN17" s="16">
        <f>IFERROR(__xludf.DUMMYFUNCTION("""COMPUTED_VALUE"""),3.0)</f>
        <v>3</v>
      </c>
      <c r="AO17" s="16">
        <f>IFERROR(__xludf.DUMMYFUNCTION("""COMPUTED_VALUE"""),2.0)</f>
        <v>2</v>
      </c>
      <c r="AP17" s="16">
        <f>IFERROR(__xludf.DUMMYFUNCTION("""COMPUTED_VALUE"""),3.0)</f>
        <v>3</v>
      </c>
      <c r="AQ17" s="16">
        <f>IFERROR(__xludf.DUMMYFUNCTION("""COMPUTED_VALUE"""),2.4)</f>
        <v>2.4</v>
      </c>
      <c r="AR17" s="16">
        <f>IFERROR(__xludf.DUMMYFUNCTION("""COMPUTED_VALUE"""),0.0)</f>
        <v>0</v>
      </c>
      <c r="AS17" s="16">
        <f>IFERROR(__xludf.DUMMYFUNCTION("""COMPUTED_VALUE"""),2.0)</f>
        <v>2</v>
      </c>
      <c r="AT17" s="16">
        <f>IFERROR(__xludf.DUMMYFUNCTION("""COMPUTED_VALUE"""),3.0)</f>
        <v>3</v>
      </c>
      <c r="AU17" s="16">
        <f>IFERROR(__xludf.DUMMYFUNCTION("""COMPUTED_VALUE"""),4.0)</f>
        <v>4</v>
      </c>
      <c r="AV17" s="16">
        <f>IFERROR(__xludf.DUMMYFUNCTION("""COMPUTED_VALUE"""),6.0)</f>
        <v>6</v>
      </c>
      <c r="AW17" s="16">
        <f>IFERROR(__xludf.DUMMYFUNCTION("""COMPUTED_VALUE"""),0.0)</f>
        <v>0</v>
      </c>
      <c r="AX17" s="16">
        <f>IFERROR(__xludf.DUMMYFUNCTION("""COMPUTED_VALUE"""),0.0)</f>
        <v>0</v>
      </c>
      <c r="AY17" s="16">
        <f>IFERROR(__xludf.DUMMYFUNCTION("""COMPUTED_VALUE"""),2.0)</f>
        <v>2</v>
      </c>
      <c r="AZ17" s="16">
        <f>IFERROR(__xludf.DUMMYFUNCTION("""COMPUTED_VALUE"""),2.0)</f>
        <v>2</v>
      </c>
      <c r="BA17" s="16">
        <f>IFERROR(__xludf.DUMMYFUNCTION("""COMPUTED_VALUE"""),10.0)</f>
        <v>10</v>
      </c>
      <c r="BB17" s="16">
        <f>IFERROR(__xludf.DUMMYFUNCTION("""COMPUTED_VALUE"""),10.0)</f>
        <v>10</v>
      </c>
      <c r="BC17" s="16">
        <f>IFERROR(__xludf.DUMMYFUNCTION("""COMPUTED_VALUE"""),0.0)</f>
        <v>0</v>
      </c>
      <c r="BD17" s="16"/>
      <c r="BE17" s="16">
        <f>IFERROR(__xludf.DUMMYFUNCTION("""COMPUTED_VALUE"""),0.0)</f>
        <v>0</v>
      </c>
      <c r="BF17" s="16">
        <f>IFERROR(__xludf.DUMMYFUNCTION("""COMPUTED_VALUE"""),0.0)</f>
        <v>0</v>
      </c>
      <c r="BG17" s="16">
        <f>IFERROR(__xludf.DUMMYFUNCTION("""COMPUTED_VALUE"""),3.0)</f>
        <v>3</v>
      </c>
      <c r="BH17" s="16">
        <f>IFERROR(__xludf.DUMMYFUNCTION("""COMPUTED_VALUE"""),2.0)</f>
        <v>2</v>
      </c>
      <c r="BI17" s="16">
        <f>IFERROR(__xludf.DUMMYFUNCTION("""COMPUTED_VALUE"""),6.0)</f>
        <v>6</v>
      </c>
      <c r="BJ17" s="16">
        <f>IFERROR(__xludf.DUMMYFUNCTION("""COMPUTED_VALUE"""),4.0)</f>
        <v>4</v>
      </c>
      <c r="BK17" s="16">
        <f>IFERROR(__xludf.DUMMYFUNCTION("""COMPUTED_VALUE"""),5.0)</f>
        <v>5</v>
      </c>
      <c r="BL17" s="16">
        <f>IFERROR(__xludf.DUMMYFUNCTION("""COMPUTED_VALUE"""),0.0)</f>
        <v>0</v>
      </c>
      <c r="BM17" s="16">
        <f>IFERROR(__xludf.DUMMYFUNCTION("""COMPUTED_VALUE"""),0.0)</f>
        <v>0</v>
      </c>
      <c r="BN17" s="16">
        <f>IFERROR(__xludf.DUMMYFUNCTION("""COMPUTED_VALUE"""),1.0)</f>
        <v>1</v>
      </c>
      <c r="BO17" s="16">
        <f>IFERROR(__xludf.DUMMYFUNCTION("""COMPUTED_VALUE"""),0.0)</f>
        <v>0</v>
      </c>
      <c r="BP17" s="16">
        <f>IFERROR(__xludf.DUMMYFUNCTION("""COMPUTED_VALUE"""),1.0)</f>
        <v>1</v>
      </c>
      <c r="BQ17" s="16">
        <f>IFERROR(__xludf.DUMMYFUNCTION("""COMPUTED_VALUE"""),0.0)</f>
        <v>0</v>
      </c>
      <c r="BR17" s="16">
        <f>IFERROR(__xludf.DUMMYFUNCTION("""COMPUTED_VALUE"""),0.0)</f>
        <v>0</v>
      </c>
      <c r="BS17" s="16">
        <f>IFERROR(__xludf.DUMMYFUNCTION("""COMPUTED_VALUE"""),-3.0)</f>
        <v>-3</v>
      </c>
      <c r="BT17" s="16">
        <f>IFERROR(__xludf.DUMMYFUNCTION("""COMPUTED_VALUE"""),-3.0)</f>
        <v>-3</v>
      </c>
      <c r="BU17" s="16">
        <f>IFERROR(__xludf.DUMMYFUNCTION("""COMPUTED_VALUE"""),-6.0)</f>
        <v>-6</v>
      </c>
      <c r="BV17" s="16">
        <f>IFERROR(__xludf.DUMMYFUNCTION("""COMPUTED_VALUE"""),-6.0)</f>
        <v>-6</v>
      </c>
      <c r="BW17" s="16">
        <f>IFERROR(__xludf.DUMMYFUNCTION("""COMPUTED_VALUE"""),1.0)</f>
        <v>1</v>
      </c>
      <c r="BX17" s="16">
        <f>IFERROR(__xludf.DUMMYFUNCTION("""COMPUTED_VALUE"""),1.0)</f>
        <v>1</v>
      </c>
      <c r="BY17" s="16" t="str">
        <f>IFERROR(__xludf.DUMMYFUNCTION("""COMPUTED_VALUE"""),"R(1) C(6)")</f>
        <v>R(1) C(6)</v>
      </c>
      <c r="BZ17" s="16" t="str">
        <f>IFERROR(__xludf.DUMMYFUNCTION("""COMPUTED_VALUE"""),"R(1) C(6)")</f>
        <v>R(1) C(6)</v>
      </c>
      <c r="CA17" s="16" t="str">
        <f>IFERROR(__xludf.DUMMYFUNCTION("""COMPUTED_VALUE"""),"R(1)")</f>
        <v>R(1)</v>
      </c>
      <c r="CB17" s="16" t="str">
        <f>IFERROR(__xludf.DUMMYFUNCTION("""COMPUTED_VALUE"""),"C(6)")</f>
        <v>C(6)</v>
      </c>
      <c r="CC17" s="16"/>
      <c r="CD17" s="16"/>
      <c r="CE17" s="16">
        <f>IFERROR(__xludf.DUMMYFUNCTION("""COMPUTED_VALUE"""),1.0)</f>
        <v>1</v>
      </c>
      <c r="CF17" s="16">
        <f>IFERROR(__xludf.DUMMYFUNCTION("""COMPUTED_VALUE"""),6.0)</f>
        <v>6</v>
      </c>
      <c r="CG17" s="16" t="str">
        <f>IFERROR(__xludf.DUMMYFUNCTION("""COMPUTED_VALUE"""),"2-23")</f>
        <v>2-23</v>
      </c>
      <c r="CH17" s="16">
        <f>IFERROR(__xludf.DUMMYFUNCTION("""COMPUTED_VALUE"""),2.0)</f>
        <v>2</v>
      </c>
      <c r="CI17" s="16">
        <f>IFERROR(__xludf.DUMMYFUNCTION("""COMPUTED_VALUE"""),23.0)</f>
        <v>23</v>
      </c>
      <c r="CJ17" s="16">
        <f>IFERROR(__xludf.DUMMYFUNCTION("""COMPUTED_VALUE"""),11.0)</f>
        <v>11</v>
      </c>
      <c r="CK17" s="16">
        <f>IFERROR(__xludf.DUMMYFUNCTION("""COMPUTED_VALUE"""),3.0)</f>
        <v>3</v>
      </c>
      <c r="CL17" s="16" t="str">
        <f>IFERROR(__xludf.DUMMYFUNCTION("""COMPUTED_VALUE"""),"1WL-C")</f>
        <v>1WL-C</v>
      </c>
      <c r="CM17" s="16" t="str">
        <f>IFERROR(__xludf.DUMMYFUNCTION("""COMPUTED_VALUE"""),"E")</f>
        <v>E</v>
      </c>
      <c r="CN17" s="16">
        <f>IFERROR(__xludf.DUMMYFUNCTION("""COMPUTED_VALUE"""),10.0)</f>
        <v>10</v>
      </c>
      <c r="CO17" s="16" t="str">
        <f>IFERROR(__xludf.DUMMYFUNCTION("""COMPUTED_VALUE"""),"C")</f>
        <v>C</v>
      </c>
      <c r="CP17" s="16" t="str">
        <f>IFERROR(__xludf.DUMMYFUNCTION("""COMPUTED_VALUE"""),"1p50")</f>
        <v>1p50</v>
      </c>
      <c r="CQ17" s="16">
        <f>IFERROR(__xludf.DUMMYFUNCTION("""COMPUTED_VALUE"""),35.0)</f>
        <v>35</v>
      </c>
      <c r="CR17" s="16">
        <f>IFERROR(__xludf.DUMMYFUNCTION("""COMPUTED_VALUE"""),49.0)</f>
        <v>49</v>
      </c>
      <c r="CS17" s="16">
        <f>IFERROR(__xludf.DUMMYFUNCTION("""COMPUTED_VALUE"""),84.0)</f>
        <v>84</v>
      </c>
      <c r="CT17" s="16">
        <f>IFERROR(__xludf.DUMMYFUNCTION("""COMPUTED_VALUE"""),35.0)</f>
        <v>35</v>
      </c>
      <c r="CU17" s="16">
        <f>IFERROR(__xludf.DUMMYFUNCTION("""COMPUTED_VALUE"""),49.0)</f>
        <v>49</v>
      </c>
      <c r="CV17" s="179">
        <f>IFERROR(__xludf.DUMMYFUNCTION("""COMPUTED_VALUE"""),43.666666666666664)</f>
        <v>43.66666667</v>
      </c>
      <c r="CW17" s="179">
        <f>IFERROR(__xludf.DUMMYFUNCTION("""COMPUTED_VALUE"""),4.0)</f>
        <v>4</v>
      </c>
      <c r="CX17" s="179">
        <f>IFERROR(__xludf.DUMMYFUNCTION("""COMPUTED_VALUE"""),0.0)</f>
        <v>0</v>
      </c>
      <c r="CY17" s="16" t="str">
        <f>IFERROR(__xludf.DUMMYFUNCTION("""COMPUTED_VALUE"""),"RP")</f>
        <v>RP</v>
      </c>
      <c r="CZ17" s="16" t="str">
        <f>IFERROR(__xludf.DUMMYFUNCTION("""COMPUTED_VALUE"""),"CP")</f>
        <v>CP</v>
      </c>
      <c r="DA17" s="16"/>
      <c r="DB17" s="16"/>
      <c r="DC17" s="16"/>
      <c r="DD17" s="16"/>
      <c r="DE17" s="16"/>
      <c r="DF17" s="16"/>
      <c r="DG17" s="16"/>
      <c r="DH17" s="16"/>
      <c r="DI17" s="16"/>
      <c r="DJ17" s="16"/>
      <c r="DK17" s="16"/>
    </row>
    <row r="18">
      <c r="A18" s="16">
        <f>IFERROR(__xludf.DUMMYFUNCTION("""COMPUTED_VALUE"""),13294.0)</f>
        <v>13294</v>
      </c>
      <c r="B18" s="16" t="str">
        <f>IFERROR(__xludf.DUMMYFUNCTION("""COMPUTED_VALUE"""),"Raisel Iglesias")</f>
        <v>Raisel Iglesias</v>
      </c>
      <c r="C18" s="153">
        <f>IFERROR(__xludf.DUMMYFUNCTION("""COMPUTED_VALUE"""),2.01)</f>
        <v>2.01</v>
      </c>
      <c r="D18" s="16"/>
      <c r="E18" s="16" t="str">
        <f>IFERROR(__xludf.DUMMYFUNCTION("""COMPUTED_VALUE"""),"R")</f>
        <v>R</v>
      </c>
      <c r="F18" s="16">
        <f>IFERROR(__xludf.DUMMYFUNCTION("""COMPUTED_VALUE"""),69.0)</f>
        <v>69</v>
      </c>
      <c r="G18" s="16">
        <f>IFERROR(__xludf.DUMMYFUNCTION("""COMPUTED_VALUE"""),35.0)</f>
        <v>35</v>
      </c>
      <c r="H18" s="16">
        <f>IFERROR(__xludf.DUMMYFUNCTION("""COMPUTED_VALUE"""),33.0)</f>
        <v>33</v>
      </c>
      <c r="I18" s="16">
        <f>IFERROR(__xludf.DUMMYFUNCTION("""COMPUTED_VALUE"""),1.0)</f>
        <v>1</v>
      </c>
      <c r="J18" s="16">
        <f>IFERROR(__xludf.DUMMYFUNCTION("""COMPUTED_VALUE"""),1.0)</f>
        <v>1</v>
      </c>
      <c r="K18" s="16">
        <f>IFERROR(__xludf.DUMMYFUNCTION("""COMPUTED_VALUE"""),3.0)</f>
        <v>3</v>
      </c>
      <c r="L18" s="16">
        <f>IFERROR(__xludf.DUMMYFUNCTION("""COMPUTED_VALUE"""),3.0)</f>
        <v>3</v>
      </c>
      <c r="M18" s="16">
        <f>IFERROR(__xludf.DUMMYFUNCTION("""COMPUTED_VALUE"""),0.0)</f>
        <v>0</v>
      </c>
      <c r="N18" s="16">
        <f>IFERROR(__xludf.DUMMYFUNCTION("""COMPUTED_VALUE"""),0.0)</f>
        <v>0</v>
      </c>
      <c r="O18" s="16">
        <f>IFERROR(__xludf.DUMMYFUNCTION("""COMPUTED_VALUE"""),3.0)</f>
        <v>3</v>
      </c>
      <c r="P18" s="16">
        <f>IFERROR(__xludf.DUMMYFUNCTION("""COMPUTED_VALUE"""),3.0)</f>
        <v>3</v>
      </c>
      <c r="Q18" s="16">
        <f>IFERROR(__xludf.DUMMYFUNCTION("""COMPUTED_VALUE"""),3.0)</f>
        <v>3</v>
      </c>
      <c r="R18" s="16">
        <f>IFERROR(__xludf.DUMMYFUNCTION("""COMPUTED_VALUE"""),3.0)</f>
        <v>3</v>
      </c>
      <c r="S18" s="16">
        <f>IFERROR(__xludf.DUMMYFUNCTION("""COMPUTED_VALUE"""),5.3)</f>
        <v>5.3</v>
      </c>
      <c r="T18" s="16">
        <f>IFERROR(__xludf.DUMMYFUNCTION("""COMPUTED_VALUE"""),8.0)</f>
        <v>8</v>
      </c>
      <c r="U18" s="16">
        <f>IFERROR(__xludf.DUMMYFUNCTION("""COMPUTED_VALUE"""),2.0)</f>
        <v>2</v>
      </c>
      <c r="V18" s="16">
        <f>IFERROR(__xludf.DUMMYFUNCTION("""COMPUTED_VALUE"""),1.0)</f>
        <v>1</v>
      </c>
      <c r="W18" s="16">
        <f>IFERROR(__xludf.DUMMYFUNCTION("""COMPUTED_VALUE"""),4.0)</f>
        <v>4</v>
      </c>
      <c r="X18" s="16">
        <f>IFERROR(__xludf.DUMMYFUNCTION("""COMPUTED_VALUE"""),2.0)</f>
        <v>2</v>
      </c>
      <c r="Y18" s="16">
        <f>IFERROR(__xludf.DUMMYFUNCTION("""COMPUTED_VALUE"""),5.3)</f>
        <v>5.3</v>
      </c>
      <c r="Z18" s="16">
        <f>IFERROR(__xludf.DUMMYFUNCTION("""COMPUTED_VALUE"""),8.0)</f>
        <v>8</v>
      </c>
      <c r="AA18" s="16">
        <f>IFERROR(__xludf.DUMMYFUNCTION("""COMPUTED_VALUE"""),2.0)</f>
        <v>2</v>
      </c>
      <c r="AB18" s="16">
        <f>IFERROR(__xludf.DUMMYFUNCTION("""COMPUTED_VALUE"""),2.0)</f>
        <v>2</v>
      </c>
      <c r="AC18" s="16">
        <f>IFERROR(__xludf.DUMMYFUNCTION("""COMPUTED_VALUE"""),10.0)</f>
        <v>10</v>
      </c>
      <c r="AD18" s="16">
        <f>IFERROR(__xludf.DUMMYFUNCTION("""COMPUTED_VALUE"""),10.0)</f>
        <v>10</v>
      </c>
      <c r="AE18" s="16">
        <f>IFERROR(__xludf.DUMMYFUNCTION("""COMPUTED_VALUE"""),11.3)</f>
        <v>11.3</v>
      </c>
      <c r="AF18" s="16">
        <f>IFERROR(__xludf.DUMMYFUNCTION("""COMPUTED_VALUE"""),15.2)</f>
        <v>15.2</v>
      </c>
      <c r="AG18" s="16">
        <f>IFERROR(__xludf.DUMMYFUNCTION("""COMPUTED_VALUE"""),2.0)</f>
        <v>2</v>
      </c>
      <c r="AH18" s="16">
        <f>IFERROR(__xludf.DUMMYFUNCTION("""COMPUTED_VALUE"""),1.0)</f>
        <v>1</v>
      </c>
      <c r="AI18" s="16">
        <f>IFERROR(__xludf.DUMMYFUNCTION("""COMPUTED_VALUE"""),4.0)</f>
        <v>4</v>
      </c>
      <c r="AJ18" s="16">
        <f>IFERROR(__xludf.DUMMYFUNCTION("""COMPUTED_VALUE"""),2.0)</f>
        <v>2</v>
      </c>
      <c r="AK18" s="16">
        <f>IFERROR(__xludf.DUMMYFUNCTION("""COMPUTED_VALUE"""),5.3)</f>
        <v>5.3</v>
      </c>
      <c r="AL18" s="16">
        <f>IFERROR(__xludf.DUMMYFUNCTION("""COMPUTED_VALUE"""),6.6)</f>
        <v>6.6</v>
      </c>
      <c r="AM18" s="16">
        <f>IFERROR(__xludf.DUMMYFUNCTION("""COMPUTED_VALUE"""),1.0)</f>
        <v>1</v>
      </c>
      <c r="AN18" s="16">
        <f>IFERROR(__xludf.DUMMYFUNCTION("""COMPUTED_VALUE"""),1.0)</f>
        <v>1</v>
      </c>
      <c r="AO18" s="16">
        <f>IFERROR(__xludf.DUMMYFUNCTION("""COMPUTED_VALUE"""),1.0)</f>
        <v>1</v>
      </c>
      <c r="AP18" s="16">
        <f>IFERROR(__xludf.DUMMYFUNCTION("""COMPUTED_VALUE"""),1.0)</f>
        <v>1</v>
      </c>
      <c r="AQ18" s="16">
        <f>IFERROR(__xludf.DUMMYFUNCTION("""COMPUTED_VALUE"""),11.3)</f>
        <v>11.3</v>
      </c>
      <c r="AR18" s="16">
        <f>IFERROR(__xludf.DUMMYFUNCTION("""COMPUTED_VALUE"""),9.6)</f>
        <v>9.6</v>
      </c>
      <c r="AS18" s="16">
        <f>IFERROR(__xludf.DUMMYFUNCTION("""COMPUTED_VALUE"""),1.0)</f>
        <v>1</v>
      </c>
      <c r="AT18" s="16">
        <f>IFERROR(__xludf.DUMMYFUNCTION("""COMPUTED_VALUE"""),1.0)</f>
        <v>1</v>
      </c>
      <c r="AU18" s="16">
        <f>IFERROR(__xludf.DUMMYFUNCTION("""COMPUTED_VALUE"""),2.0)</f>
        <v>2</v>
      </c>
      <c r="AV18" s="16">
        <f>IFERROR(__xludf.DUMMYFUNCTION("""COMPUTED_VALUE"""),2.0)</f>
        <v>2</v>
      </c>
      <c r="AW18" s="16">
        <f>IFERROR(__xludf.DUMMYFUNCTION("""COMPUTED_VALUE"""),0.0)</f>
        <v>0</v>
      </c>
      <c r="AX18" s="16">
        <f>IFERROR(__xludf.DUMMYFUNCTION("""COMPUTED_VALUE"""),1.4)</f>
        <v>1.4</v>
      </c>
      <c r="AY18" s="16">
        <f>IFERROR(__xludf.DUMMYFUNCTION("""COMPUTED_VALUE"""),2.0)</f>
        <v>2</v>
      </c>
      <c r="AZ18" s="16">
        <f>IFERROR(__xludf.DUMMYFUNCTION("""COMPUTED_VALUE"""),1.0)</f>
        <v>1</v>
      </c>
      <c r="BA18" s="16">
        <f>IFERROR(__xludf.DUMMYFUNCTION("""COMPUTED_VALUE"""),10.0)</f>
        <v>10</v>
      </c>
      <c r="BB18" s="16">
        <f>IFERROR(__xludf.DUMMYFUNCTION("""COMPUTED_VALUE"""),5.0)</f>
        <v>5</v>
      </c>
      <c r="BC18" s="16"/>
      <c r="BD18" s="16">
        <f>IFERROR(__xludf.DUMMYFUNCTION("""COMPUTED_VALUE"""),2.0)</f>
        <v>2</v>
      </c>
      <c r="BE18" s="16">
        <f>IFERROR(__xludf.DUMMYFUNCTION("""COMPUTED_VALUE"""),0.0)</f>
        <v>0</v>
      </c>
      <c r="BF18" s="16">
        <f>IFERROR(__xludf.DUMMYFUNCTION("""COMPUTED_VALUE"""),2.0)</f>
        <v>2</v>
      </c>
      <c r="BG18" s="16">
        <f>IFERROR(__xludf.DUMMYFUNCTION("""COMPUTED_VALUE"""),3.0)</f>
        <v>3</v>
      </c>
      <c r="BH18" s="16">
        <f>IFERROR(__xludf.DUMMYFUNCTION("""COMPUTED_VALUE"""),1.0)</f>
        <v>1</v>
      </c>
      <c r="BI18" s="16">
        <f>IFERROR(__xludf.DUMMYFUNCTION("""COMPUTED_VALUE"""),6.0)</f>
        <v>6</v>
      </c>
      <c r="BJ18" s="16">
        <f>IFERROR(__xludf.DUMMYFUNCTION("""COMPUTED_VALUE"""),2.0)</f>
        <v>2</v>
      </c>
      <c r="BK18" s="16">
        <f>IFERROR(__xludf.DUMMYFUNCTION("""COMPUTED_VALUE"""),0.0)</f>
        <v>0</v>
      </c>
      <c r="BL18" s="16">
        <f>IFERROR(__xludf.DUMMYFUNCTION("""COMPUTED_VALUE"""),5.0)</f>
        <v>5</v>
      </c>
      <c r="BM18" s="16">
        <f>IFERROR(__xludf.DUMMYFUNCTION("""COMPUTED_VALUE"""),1.0)</f>
        <v>1</v>
      </c>
      <c r="BN18" s="16">
        <f>IFERROR(__xludf.DUMMYFUNCTION("""COMPUTED_VALUE"""),0.0)</f>
        <v>0</v>
      </c>
      <c r="BO18" s="16">
        <f>IFERROR(__xludf.DUMMYFUNCTION("""COMPUTED_VALUE"""),1.0)</f>
        <v>1</v>
      </c>
      <c r="BP18" s="16">
        <f>IFERROR(__xludf.DUMMYFUNCTION("""COMPUTED_VALUE"""),0.0)</f>
        <v>0</v>
      </c>
      <c r="BQ18" s="16">
        <f>IFERROR(__xludf.DUMMYFUNCTION("""COMPUTED_VALUE"""),6.0)</f>
        <v>6</v>
      </c>
      <c r="BR18" s="16">
        <f>IFERROR(__xludf.DUMMYFUNCTION("""COMPUTED_VALUE"""),7.0)</f>
        <v>7</v>
      </c>
      <c r="BS18" s="16">
        <f>IFERROR(__xludf.DUMMYFUNCTION("""COMPUTED_VALUE"""),1.0)</f>
        <v>1</v>
      </c>
      <c r="BT18" s="16">
        <f>IFERROR(__xludf.DUMMYFUNCTION("""COMPUTED_VALUE"""),2.0)</f>
        <v>2</v>
      </c>
      <c r="BU18" s="16">
        <f>IFERROR(__xludf.DUMMYFUNCTION("""COMPUTED_VALUE"""),2.0)</f>
        <v>2</v>
      </c>
      <c r="BV18" s="16">
        <f>IFERROR(__xludf.DUMMYFUNCTION("""COMPUTED_VALUE"""),4.0)</f>
        <v>4</v>
      </c>
      <c r="BW18" s="16">
        <f>IFERROR(__xludf.DUMMYFUNCTION("""COMPUTED_VALUE"""),-3.0)</f>
        <v>-3</v>
      </c>
      <c r="BX18" s="16">
        <f>IFERROR(__xludf.DUMMYFUNCTION("""COMPUTED_VALUE"""),-3.0)</f>
        <v>-3</v>
      </c>
      <c r="BY18" s="16" t="str">
        <f>IFERROR(__xludf.DUMMYFUNCTION("""COMPUTED_VALUE"""),"R(1) C(6)")</f>
        <v>R(1) C(6)</v>
      </c>
      <c r="BZ18" s="16" t="str">
        <f>IFERROR(__xludf.DUMMYFUNCTION("""COMPUTED_VALUE"""),"R(1) C(6)")</f>
        <v>R(1) C(6)</v>
      </c>
      <c r="CA18" s="16" t="str">
        <f>IFERROR(__xludf.DUMMYFUNCTION("""COMPUTED_VALUE"""),"R(1)")</f>
        <v>R(1)</v>
      </c>
      <c r="CB18" s="16" t="str">
        <f>IFERROR(__xludf.DUMMYFUNCTION("""COMPUTED_VALUE"""),"C(6)")</f>
        <v>C(6)</v>
      </c>
      <c r="CC18" s="16"/>
      <c r="CD18" s="16"/>
      <c r="CE18" s="16">
        <f>IFERROR(__xludf.DUMMYFUNCTION("""COMPUTED_VALUE"""),1.0)</f>
        <v>1</v>
      </c>
      <c r="CF18" s="16">
        <f>IFERROR(__xludf.DUMMYFUNCTION("""COMPUTED_VALUE"""),6.0)</f>
        <v>6</v>
      </c>
      <c r="CG18" s="16" t="str">
        <f>IFERROR(__xludf.DUMMYFUNCTION("""COMPUTED_VALUE"""),"2-0")</f>
        <v>2-0</v>
      </c>
      <c r="CH18" s="16">
        <f>IFERROR(__xludf.DUMMYFUNCTION("""COMPUTED_VALUE"""),2.0)</f>
        <v>2</v>
      </c>
      <c r="CI18" s="16">
        <f>IFERROR(__xludf.DUMMYFUNCTION("""COMPUTED_VALUE"""),0.0)</f>
        <v>0</v>
      </c>
      <c r="CJ18" s="16">
        <f>IFERROR(__xludf.DUMMYFUNCTION("""COMPUTED_VALUE"""),0.0)</f>
        <v>0</v>
      </c>
      <c r="CK18" s="16">
        <f>IFERROR(__xludf.DUMMYFUNCTION("""COMPUTED_VALUE"""),3.0)</f>
        <v>3</v>
      </c>
      <c r="CL18" s="16" t="str">
        <f>IFERROR(__xludf.DUMMYFUNCTION("""COMPUTED_VALUE"""),"1WR-C")</f>
        <v>1WR-C</v>
      </c>
      <c r="CM18" s="16" t="str">
        <f>IFERROR(__xludf.DUMMYFUNCTION("""COMPUTED_VALUE"""),"E")</f>
        <v>E</v>
      </c>
      <c r="CN18" s="16">
        <f>IFERROR(__xludf.DUMMYFUNCTION("""COMPUTED_VALUE"""),10.0)</f>
        <v>10</v>
      </c>
      <c r="CO18" s="16" t="str">
        <f>IFERROR(__xludf.DUMMYFUNCTION("""COMPUTED_VALUE"""),"C")</f>
        <v>C</v>
      </c>
      <c r="CP18" s="16" t="str">
        <f>IFERROR(__xludf.DUMMYFUNCTION("""COMPUTED_VALUE"""),"1p60")</f>
        <v>1p60</v>
      </c>
      <c r="CQ18" s="16">
        <f>IFERROR(__xludf.DUMMYFUNCTION("""COMPUTED_VALUE"""),46.0)</f>
        <v>46</v>
      </c>
      <c r="CR18" s="16">
        <f>IFERROR(__xludf.DUMMYFUNCTION("""COMPUTED_VALUE"""),34.0)</f>
        <v>34</v>
      </c>
      <c r="CS18" s="16">
        <f>IFERROR(__xludf.DUMMYFUNCTION("""COMPUTED_VALUE"""),80.0)</f>
        <v>80</v>
      </c>
      <c r="CT18" s="16">
        <f>IFERROR(__xludf.DUMMYFUNCTION("""COMPUTED_VALUE"""),46.0)</f>
        <v>46</v>
      </c>
      <c r="CU18" s="16">
        <f>IFERROR(__xludf.DUMMYFUNCTION("""COMPUTED_VALUE"""),34.0)</f>
        <v>34</v>
      </c>
      <c r="CV18" s="179">
        <f>IFERROR(__xludf.DUMMYFUNCTION("""COMPUTED_VALUE"""),43.0)</f>
        <v>43</v>
      </c>
      <c r="CW18" s="179">
        <f>IFERROR(__xludf.DUMMYFUNCTION("""COMPUTED_VALUE"""),4.0)</f>
        <v>4</v>
      </c>
      <c r="CX18" s="179">
        <f>IFERROR(__xludf.DUMMYFUNCTION("""COMPUTED_VALUE"""),1.0)</f>
        <v>1</v>
      </c>
      <c r="CY18" s="16" t="str">
        <f>IFERROR(__xludf.DUMMYFUNCTION("""COMPUTED_VALUE"""),"RP")</f>
        <v>RP</v>
      </c>
      <c r="CZ18" s="16" t="str">
        <f>IFERROR(__xludf.DUMMYFUNCTION("""COMPUTED_VALUE"""),"CP")</f>
        <v>CP</v>
      </c>
      <c r="DA18" s="16"/>
      <c r="DB18" s="16"/>
      <c r="DC18" s="16"/>
      <c r="DD18" s="16"/>
      <c r="DE18" s="16"/>
      <c r="DF18" s="16"/>
      <c r="DG18" s="16"/>
      <c r="DH18" s="16"/>
      <c r="DI18" s="16"/>
      <c r="DJ18" s="16"/>
      <c r="DK18" s="16"/>
    </row>
    <row r="19">
      <c r="A19" s="16">
        <f>IFERROR(__xludf.DUMMYFUNCTION("""COMPUTED_VALUE"""),12751.0)</f>
        <v>12751</v>
      </c>
      <c r="B19" s="16" t="str">
        <f>IFERROR(__xludf.DUMMYFUNCTION("""COMPUTED_VALUE"""),"Dedniel Nunez")</f>
        <v>Dedniel Nunez</v>
      </c>
      <c r="C19" s="153">
        <f>IFERROR(__xludf.DUMMYFUNCTION("""COMPUTED_VALUE"""),1.65)</f>
        <v>1.65</v>
      </c>
      <c r="D19" s="16"/>
      <c r="E19" s="16" t="str">
        <f>IFERROR(__xludf.DUMMYFUNCTION("""COMPUTED_VALUE"""),"R")</f>
        <v>R</v>
      </c>
      <c r="F19" s="16">
        <f>IFERROR(__xludf.DUMMYFUNCTION("""COMPUTED_VALUE"""),35.0)</f>
        <v>35</v>
      </c>
      <c r="G19" s="16">
        <f>IFERROR(__xludf.DUMMYFUNCTION("""COMPUTED_VALUE"""),49.0)</f>
        <v>49</v>
      </c>
      <c r="H19" s="16">
        <f>IFERROR(__xludf.DUMMYFUNCTION("""COMPUTED_VALUE"""),54.0)</f>
        <v>54</v>
      </c>
      <c r="I19" s="16">
        <f>IFERROR(__xludf.DUMMYFUNCTION("""COMPUTED_VALUE"""),2.0)</f>
        <v>2</v>
      </c>
      <c r="J19" s="16">
        <f>IFERROR(__xludf.DUMMYFUNCTION("""COMPUTED_VALUE"""),3.0)</f>
        <v>3</v>
      </c>
      <c r="K19" s="16">
        <f>IFERROR(__xludf.DUMMYFUNCTION("""COMPUTED_VALUE"""),6.0)</f>
        <v>6</v>
      </c>
      <c r="L19" s="16">
        <f>IFERROR(__xludf.DUMMYFUNCTION("""COMPUTED_VALUE"""),9.0)</f>
        <v>9</v>
      </c>
      <c r="M19" s="16">
        <f>IFERROR(__xludf.DUMMYFUNCTION("""COMPUTED_VALUE"""),4.0)</f>
        <v>4</v>
      </c>
      <c r="N19" s="16">
        <f>IFERROR(__xludf.DUMMYFUNCTION("""COMPUTED_VALUE"""),2.0)</f>
        <v>2</v>
      </c>
      <c r="O19" s="16">
        <f>IFERROR(__xludf.DUMMYFUNCTION("""COMPUTED_VALUE"""),2.0)</f>
        <v>2</v>
      </c>
      <c r="P19" s="16">
        <f>IFERROR(__xludf.DUMMYFUNCTION("""COMPUTED_VALUE"""),3.0)</f>
        <v>3</v>
      </c>
      <c r="Q19" s="16">
        <f>IFERROR(__xludf.DUMMYFUNCTION("""COMPUTED_VALUE"""),2.0)</f>
        <v>2</v>
      </c>
      <c r="R19" s="16">
        <f>IFERROR(__xludf.DUMMYFUNCTION("""COMPUTED_VALUE"""),3.0)</f>
        <v>3</v>
      </c>
      <c r="S19" s="16">
        <f>IFERROR(__xludf.DUMMYFUNCTION("""COMPUTED_VALUE"""),11.9)</f>
        <v>11.9</v>
      </c>
      <c r="T19" s="16">
        <f>IFERROR(__xludf.DUMMYFUNCTION("""COMPUTED_VALUE"""),7.6)</f>
        <v>7.6</v>
      </c>
      <c r="U19" s="16">
        <f>IFERROR(__xludf.DUMMYFUNCTION("""COMPUTED_VALUE"""),1.0)</f>
        <v>1</v>
      </c>
      <c r="V19" s="16">
        <f>IFERROR(__xludf.DUMMYFUNCTION("""COMPUTED_VALUE"""),2.0)</f>
        <v>2</v>
      </c>
      <c r="W19" s="16">
        <f>IFERROR(__xludf.DUMMYFUNCTION("""COMPUTED_VALUE"""),2.0)</f>
        <v>2</v>
      </c>
      <c r="X19" s="16">
        <f>IFERROR(__xludf.DUMMYFUNCTION("""COMPUTED_VALUE"""),4.0)</f>
        <v>4</v>
      </c>
      <c r="Y19" s="16">
        <f>IFERROR(__xludf.DUMMYFUNCTION("""COMPUTED_VALUE"""),15.9)</f>
        <v>15.9</v>
      </c>
      <c r="Z19" s="16">
        <f>IFERROR(__xludf.DUMMYFUNCTION("""COMPUTED_VALUE"""),9.6)</f>
        <v>9.6</v>
      </c>
      <c r="AA19" s="16">
        <f>IFERROR(__xludf.DUMMYFUNCTION("""COMPUTED_VALUE"""),1.0)</f>
        <v>1</v>
      </c>
      <c r="AB19" s="16">
        <f>IFERROR(__xludf.DUMMYFUNCTION("""COMPUTED_VALUE"""),2.0)</f>
        <v>2</v>
      </c>
      <c r="AC19" s="16">
        <f>IFERROR(__xludf.DUMMYFUNCTION("""COMPUTED_VALUE"""),5.0)</f>
        <v>5</v>
      </c>
      <c r="AD19" s="16">
        <f>IFERROR(__xludf.DUMMYFUNCTION("""COMPUTED_VALUE"""),10.0)</f>
        <v>10</v>
      </c>
      <c r="AE19" s="16">
        <f>IFERROR(__xludf.DUMMYFUNCTION("""COMPUTED_VALUE"""),18.5)</f>
        <v>18.5</v>
      </c>
      <c r="AF19" s="16">
        <f>IFERROR(__xludf.DUMMYFUNCTION("""COMPUTED_VALUE"""),14.1)</f>
        <v>14.1</v>
      </c>
      <c r="AG19" s="16">
        <f>IFERROR(__xludf.DUMMYFUNCTION("""COMPUTED_VALUE"""),1.0)</f>
        <v>1</v>
      </c>
      <c r="AH19" s="16">
        <f>IFERROR(__xludf.DUMMYFUNCTION("""COMPUTED_VALUE"""),2.0)</f>
        <v>2</v>
      </c>
      <c r="AI19" s="16">
        <f>IFERROR(__xludf.DUMMYFUNCTION("""COMPUTED_VALUE"""),2.0)</f>
        <v>2</v>
      </c>
      <c r="AJ19" s="16">
        <f>IFERROR(__xludf.DUMMYFUNCTION("""COMPUTED_VALUE"""),4.0)</f>
        <v>4</v>
      </c>
      <c r="AK19" s="16">
        <f>IFERROR(__xludf.DUMMYFUNCTION("""COMPUTED_VALUE"""),11.1)</f>
        <v>11.1</v>
      </c>
      <c r="AL19" s="16">
        <f>IFERROR(__xludf.DUMMYFUNCTION("""COMPUTED_VALUE"""),6.3999999999999995)</f>
        <v>6.4</v>
      </c>
      <c r="AM19" s="16">
        <f>IFERROR(__xludf.DUMMYFUNCTION("""COMPUTED_VALUE"""),0.0)</f>
        <v>0</v>
      </c>
      <c r="AN19" s="16">
        <f>IFERROR(__xludf.DUMMYFUNCTION("""COMPUTED_VALUE"""),1.0)</f>
        <v>1</v>
      </c>
      <c r="AO19" s="16">
        <f>IFERROR(__xludf.DUMMYFUNCTION("""COMPUTED_VALUE"""),0.0)</f>
        <v>0</v>
      </c>
      <c r="AP19" s="16">
        <f>IFERROR(__xludf.DUMMYFUNCTION("""COMPUTED_VALUE"""),1.0)</f>
        <v>1</v>
      </c>
      <c r="AQ19" s="16">
        <f>IFERROR(__xludf.DUMMYFUNCTION("""COMPUTED_VALUE"""),15.3)</f>
        <v>15.3</v>
      </c>
      <c r="AR19" s="16">
        <f>IFERROR(__xludf.DUMMYFUNCTION("""COMPUTED_VALUE"""),9.3)</f>
        <v>9.3</v>
      </c>
      <c r="AS19" s="16">
        <f>IFERROR(__xludf.DUMMYFUNCTION("""COMPUTED_VALUE"""),1.0)</f>
        <v>1</v>
      </c>
      <c r="AT19" s="16">
        <f>IFERROR(__xludf.DUMMYFUNCTION("""COMPUTED_VALUE"""),1.0)</f>
        <v>1</v>
      </c>
      <c r="AU19" s="16">
        <f>IFERROR(__xludf.DUMMYFUNCTION("""COMPUTED_VALUE"""),2.0)</f>
        <v>2</v>
      </c>
      <c r="AV19" s="16">
        <f>IFERROR(__xludf.DUMMYFUNCTION("""COMPUTED_VALUE"""),2.0)</f>
        <v>2</v>
      </c>
      <c r="AW19" s="16">
        <f>IFERROR(__xludf.DUMMYFUNCTION("""COMPUTED_VALUE"""),0.8)</f>
        <v>0.8</v>
      </c>
      <c r="AX19" s="16">
        <f>IFERROR(__xludf.DUMMYFUNCTION("""COMPUTED_VALUE"""),1.2)</f>
        <v>1.2</v>
      </c>
      <c r="AY19" s="16">
        <f>IFERROR(__xludf.DUMMYFUNCTION("""COMPUTED_VALUE"""),2.0)</f>
        <v>2</v>
      </c>
      <c r="AZ19" s="16">
        <f>IFERROR(__xludf.DUMMYFUNCTION("""COMPUTED_VALUE"""),1.0)</f>
        <v>1</v>
      </c>
      <c r="BA19" s="16">
        <f>IFERROR(__xludf.DUMMYFUNCTION("""COMPUTED_VALUE"""),10.0)</f>
        <v>10</v>
      </c>
      <c r="BB19" s="16">
        <f>IFERROR(__xludf.DUMMYFUNCTION("""COMPUTED_VALUE"""),5.0)</f>
        <v>5</v>
      </c>
      <c r="BC19" s="16">
        <f>IFERROR(__xludf.DUMMYFUNCTION("""COMPUTED_VALUE"""),1.0)</f>
        <v>1</v>
      </c>
      <c r="BD19" s="16">
        <f>IFERROR(__xludf.DUMMYFUNCTION("""COMPUTED_VALUE"""),1.0)</f>
        <v>1</v>
      </c>
      <c r="BE19" s="16">
        <f>IFERROR(__xludf.DUMMYFUNCTION("""COMPUTED_VALUE"""),1.0)</f>
        <v>1</v>
      </c>
      <c r="BF19" s="16">
        <f>IFERROR(__xludf.DUMMYFUNCTION("""COMPUTED_VALUE"""),1.0)</f>
        <v>1</v>
      </c>
      <c r="BG19" s="16">
        <f>IFERROR(__xludf.DUMMYFUNCTION("""COMPUTED_VALUE"""),2.0)</f>
        <v>2</v>
      </c>
      <c r="BH19" s="16">
        <f>IFERROR(__xludf.DUMMYFUNCTION("""COMPUTED_VALUE"""),2.0)</f>
        <v>2</v>
      </c>
      <c r="BI19" s="16">
        <f>IFERROR(__xludf.DUMMYFUNCTION("""COMPUTED_VALUE"""),4.0)</f>
        <v>4</v>
      </c>
      <c r="BJ19" s="16">
        <f>IFERROR(__xludf.DUMMYFUNCTION("""COMPUTED_VALUE"""),4.0)</f>
        <v>4</v>
      </c>
      <c r="BK19" s="16">
        <f>IFERROR(__xludf.DUMMYFUNCTION("""COMPUTED_VALUE"""),5.0)</f>
        <v>5</v>
      </c>
      <c r="BL19" s="16">
        <f>IFERROR(__xludf.DUMMYFUNCTION("""COMPUTED_VALUE"""),5.0)</f>
        <v>5</v>
      </c>
      <c r="BM19" s="16">
        <f>IFERROR(__xludf.DUMMYFUNCTION("""COMPUTED_VALUE"""),0.0)</f>
        <v>0</v>
      </c>
      <c r="BN19" s="16">
        <f>IFERROR(__xludf.DUMMYFUNCTION("""COMPUTED_VALUE"""),0.0)</f>
        <v>0</v>
      </c>
      <c r="BO19" s="16">
        <f>IFERROR(__xludf.DUMMYFUNCTION("""COMPUTED_VALUE"""),0.0)</f>
        <v>0</v>
      </c>
      <c r="BP19" s="16">
        <f>IFERROR(__xludf.DUMMYFUNCTION("""COMPUTED_VALUE"""),0.0)</f>
        <v>0</v>
      </c>
      <c r="BQ19" s="16">
        <f>IFERROR(__xludf.DUMMYFUNCTION("""COMPUTED_VALUE"""),6.0)</f>
        <v>6</v>
      </c>
      <c r="BR19" s="16">
        <f>IFERROR(__xludf.DUMMYFUNCTION("""COMPUTED_VALUE"""),8.0)</f>
        <v>8</v>
      </c>
      <c r="BS19" s="16">
        <f>IFERROR(__xludf.DUMMYFUNCTION("""COMPUTED_VALUE"""),1.0)</f>
        <v>1</v>
      </c>
      <c r="BT19" s="16">
        <f>IFERROR(__xludf.DUMMYFUNCTION("""COMPUTED_VALUE"""),2.0)</f>
        <v>2</v>
      </c>
      <c r="BU19" s="16">
        <f>IFERROR(__xludf.DUMMYFUNCTION("""COMPUTED_VALUE"""),2.0)</f>
        <v>2</v>
      </c>
      <c r="BV19" s="16">
        <f>IFERROR(__xludf.DUMMYFUNCTION("""COMPUTED_VALUE"""),4.0)</f>
        <v>4</v>
      </c>
      <c r="BW19" s="16">
        <f>IFERROR(__xludf.DUMMYFUNCTION("""COMPUTED_VALUE"""),0.0)</f>
        <v>0</v>
      </c>
      <c r="BX19" s="16">
        <f>IFERROR(__xludf.DUMMYFUNCTION("""COMPUTED_VALUE"""),0.0)</f>
        <v>0</v>
      </c>
      <c r="BY19" s="16" t="str">
        <f>IFERROR(__xludf.DUMMYFUNCTION("""COMPUTED_VALUE"""),"R(2) C(0)")</f>
        <v>R(2) C(0)</v>
      </c>
      <c r="BZ19" s="16" t="str">
        <f>IFERROR(__xludf.DUMMYFUNCTION("""COMPUTED_VALUE"""),"R(2) C(0)")</f>
        <v>R(2) C(0)</v>
      </c>
      <c r="CA19" s="16" t="str">
        <f>IFERROR(__xludf.DUMMYFUNCTION("""COMPUTED_VALUE"""),"R(2)")</f>
        <v>R(2)</v>
      </c>
      <c r="CB19" s="16" t="str">
        <f>IFERROR(__xludf.DUMMYFUNCTION("""COMPUTED_VALUE"""),"C(0)")</f>
        <v>C(0)</v>
      </c>
      <c r="CC19" s="16"/>
      <c r="CD19" s="16"/>
      <c r="CE19" s="16">
        <f>IFERROR(__xludf.DUMMYFUNCTION("""COMPUTED_VALUE"""),2.0)</f>
        <v>2</v>
      </c>
      <c r="CF19" s="16">
        <f>IFERROR(__xludf.DUMMYFUNCTION("""COMPUTED_VALUE"""),0.0)</f>
        <v>0</v>
      </c>
      <c r="CG19" s="16" t="str">
        <f>IFERROR(__xludf.DUMMYFUNCTION("""COMPUTED_VALUE"""),"4-51")</f>
        <v>4-51</v>
      </c>
      <c r="CH19" s="16">
        <f>IFERROR(__xludf.DUMMYFUNCTION("""COMPUTED_VALUE"""),4.0)</f>
        <v>4</v>
      </c>
      <c r="CI19" s="16">
        <f>IFERROR(__xludf.DUMMYFUNCTION("""COMPUTED_VALUE"""),51.0)</f>
        <v>51</v>
      </c>
      <c r="CJ19" s="16">
        <f>IFERROR(__xludf.DUMMYFUNCTION("""COMPUTED_VALUE"""),20.0)</f>
        <v>20</v>
      </c>
      <c r="CK19" s="16">
        <f>IFERROR(__xludf.DUMMYFUNCTION("""COMPUTED_VALUE"""),6.0)</f>
        <v>6</v>
      </c>
      <c r="CL19" s="16" t="str">
        <f>IFERROR(__xludf.DUMMYFUNCTION("""COMPUTED_VALUE"""),"1WR-C")</f>
        <v>1WR-C</v>
      </c>
      <c r="CM19" s="16" t="str">
        <f>IFERROR(__xludf.DUMMYFUNCTION("""COMPUTED_VALUE"""),"E")</f>
        <v>E</v>
      </c>
      <c r="CN19" s="16">
        <f>IFERROR(__xludf.DUMMYFUNCTION("""COMPUTED_VALUE"""),10.0)</f>
        <v>10</v>
      </c>
      <c r="CO19" s="16" t="str">
        <f>IFERROR(__xludf.DUMMYFUNCTION("""COMPUTED_VALUE"""),"C")</f>
        <v>C</v>
      </c>
      <c r="CP19" s="16" t="str">
        <f>IFERROR(__xludf.DUMMYFUNCTION("""COMPUTED_VALUE"""),"5p20")</f>
        <v>5p20</v>
      </c>
      <c r="CQ19" s="16">
        <f>IFERROR(__xludf.DUMMYFUNCTION("""COMPUTED_VALUE"""),35.0)</f>
        <v>35</v>
      </c>
      <c r="CR19" s="16">
        <f>IFERROR(__xludf.DUMMYFUNCTION("""COMPUTED_VALUE"""),46.0)</f>
        <v>46</v>
      </c>
      <c r="CS19" s="16">
        <f>IFERROR(__xludf.DUMMYFUNCTION("""COMPUTED_VALUE"""),81.0)</f>
        <v>81</v>
      </c>
      <c r="CT19" s="16">
        <f>IFERROR(__xludf.DUMMYFUNCTION("""COMPUTED_VALUE"""),35.0)</f>
        <v>35</v>
      </c>
      <c r="CU19" s="16">
        <f>IFERROR(__xludf.DUMMYFUNCTION("""COMPUTED_VALUE"""),46.0)</f>
        <v>46</v>
      </c>
      <c r="CV19" s="179">
        <f>IFERROR(__xludf.DUMMYFUNCTION("""COMPUTED_VALUE"""),41.666666666666664)</f>
        <v>41.66666667</v>
      </c>
      <c r="CW19" s="179">
        <f>IFERROR(__xludf.DUMMYFUNCTION("""COMPUTED_VALUE"""),0.0)</f>
        <v>0</v>
      </c>
      <c r="CX19" s="179">
        <f>IFERROR(__xludf.DUMMYFUNCTION("""COMPUTED_VALUE"""),3.0)</f>
        <v>3</v>
      </c>
      <c r="CY19" s="16" t="str">
        <f>IFERROR(__xludf.DUMMYFUNCTION("""COMPUTED_VALUE"""),"RP")</f>
        <v>RP</v>
      </c>
      <c r="CZ19" s="16" t="str">
        <f>IFERROR(__xludf.DUMMYFUNCTION("""COMPUTED_VALUE"""),"CP")</f>
        <v>CP</v>
      </c>
      <c r="DA19" s="16"/>
      <c r="DB19" s="16"/>
      <c r="DC19" s="16"/>
      <c r="DD19" s="16"/>
      <c r="DE19" s="16"/>
      <c r="DF19" s="16"/>
      <c r="DG19" s="16"/>
      <c r="DH19" s="16"/>
      <c r="DI19" s="16"/>
      <c r="DJ19" s="16"/>
      <c r="DK19" s="16"/>
    </row>
    <row r="20">
      <c r="A20" s="16">
        <f>IFERROR(__xludf.DUMMYFUNCTION("""COMPUTED_VALUE"""),13164.0)</f>
        <v>13164</v>
      </c>
      <c r="B20" s="16" t="str">
        <f>IFERROR(__xludf.DUMMYFUNCTION("""COMPUTED_VALUE"""),"Mason Miller")</f>
        <v>Mason Miller</v>
      </c>
      <c r="C20" s="153">
        <f>IFERROR(__xludf.DUMMYFUNCTION("""COMPUTED_VALUE"""),1.77)</f>
        <v>1.77</v>
      </c>
      <c r="D20" s="16"/>
      <c r="E20" s="16" t="str">
        <f>IFERROR(__xludf.DUMMYFUNCTION("""COMPUTED_VALUE"""),"R")</f>
        <v>R</v>
      </c>
      <c r="F20" s="16">
        <f>IFERROR(__xludf.DUMMYFUNCTION("""COMPUTED_VALUE"""),65.0)</f>
        <v>65</v>
      </c>
      <c r="G20" s="16">
        <f>IFERROR(__xludf.DUMMYFUNCTION("""COMPUTED_VALUE"""),70.0)</f>
        <v>70</v>
      </c>
      <c r="H20" s="16">
        <f>IFERROR(__xludf.DUMMYFUNCTION("""COMPUTED_VALUE"""),63.0)</f>
        <v>63</v>
      </c>
      <c r="I20" s="16">
        <f>IFERROR(__xludf.DUMMYFUNCTION("""COMPUTED_VALUE"""),3.0)</f>
        <v>3</v>
      </c>
      <c r="J20" s="16">
        <f>IFERROR(__xludf.DUMMYFUNCTION("""COMPUTED_VALUE"""),3.0)</f>
        <v>3</v>
      </c>
      <c r="K20" s="16">
        <f>IFERROR(__xludf.DUMMYFUNCTION("""COMPUTED_VALUE"""),9.0)</f>
        <v>9</v>
      </c>
      <c r="L20" s="16">
        <f>IFERROR(__xludf.DUMMYFUNCTION("""COMPUTED_VALUE"""),9.0)</f>
        <v>9</v>
      </c>
      <c r="M20" s="16">
        <f>IFERROR(__xludf.DUMMYFUNCTION("""COMPUTED_VALUE"""),4.0)</f>
        <v>4</v>
      </c>
      <c r="N20" s="16">
        <f>IFERROR(__xludf.DUMMYFUNCTION("""COMPUTED_VALUE"""),10.0)</f>
        <v>10</v>
      </c>
      <c r="O20" s="16">
        <f>IFERROR(__xludf.DUMMYFUNCTION("""COMPUTED_VALUE"""),2.0)</f>
        <v>2</v>
      </c>
      <c r="P20" s="16">
        <f>IFERROR(__xludf.DUMMYFUNCTION("""COMPUTED_VALUE"""),-1.0)</f>
        <v>-1</v>
      </c>
      <c r="Q20" s="16">
        <f>IFERROR(__xludf.DUMMYFUNCTION("""COMPUTED_VALUE"""),2.0)</f>
        <v>2</v>
      </c>
      <c r="R20" s="16">
        <f>IFERROR(__xludf.DUMMYFUNCTION("""COMPUTED_VALUE"""),-1.0)</f>
        <v>-1</v>
      </c>
      <c r="S20" s="16">
        <f>IFERROR(__xludf.DUMMYFUNCTION("""COMPUTED_VALUE"""),1.8)</f>
        <v>1.8</v>
      </c>
      <c r="T20" s="16">
        <f>IFERROR(__xludf.DUMMYFUNCTION("""COMPUTED_VALUE"""),1.4)</f>
        <v>1.4</v>
      </c>
      <c r="U20" s="16">
        <f>IFERROR(__xludf.DUMMYFUNCTION("""COMPUTED_VALUE"""),2.0)</f>
        <v>2</v>
      </c>
      <c r="V20" s="16">
        <f>IFERROR(__xludf.DUMMYFUNCTION("""COMPUTED_VALUE"""),2.0)</f>
        <v>2</v>
      </c>
      <c r="W20" s="16">
        <f>IFERROR(__xludf.DUMMYFUNCTION("""COMPUTED_VALUE"""),4.0)</f>
        <v>4</v>
      </c>
      <c r="X20" s="16">
        <f>IFERROR(__xludf.DUMMYFUNCTION("""COMPUTED_VALUE"""),4.0)</f>
        <v>4</v>
      </c>
      <c r="Y20" s="16">
        <f>IFERROR(__xludf.DUMMYFUNCTION("""COMPUTED_VALUE"""),5.8)</f>
        <v>5.8</v>
      </c>
      <c r="Z20" s="16">
        <f>IFERROR(__xludf.DUMMYFUNCTION("""COMPUTED_VALUE"""),11.4)</f>
        <v>11.4</v>
      </c>
      <c r="AA20" s="16">
        <f>IFERROR(__xludf.DUMMYFUNCTION("""COMPUTED_VALUE"""),2.0)</f>
        <v>2</v>
      </c>
      <c r="AB20" s="16">
        <f>IFERROR(__xludf.DUMMYFUNCTION("""COMPUTED_VALUE"""),2.0)</f>
        <v>2</v>
      </c>
      <c r="AC20" s="16">
        <f>IFERROR(__xludf.DUMMYFUNCTION("""COMPUTED_VALUE"""),10.0)</f>
        <v>10</v>
      </c>
      <c r="AD20" s="16">
        <f>IFERROR(__xludf.DUMMYFUNCTION("""COMPUTED_VALUE"""),10.0)</f>
        <v>10</v>
      </c>
      <c r="AE20" s="16">
        <f>IFERROR(__xludf.DUMMYFUNCTION("""COMPUTED_VALUE"""),7.2)</f>
        <v>7.2</v>
      </c>
      <c r="AF20" s="16">
        <f>IFERROR(__xludf.DUMMYFUNCTION("""COMPUTED_VALUE"""),5.6)</f>
        <v>5.6</v>
      </c>
      <c r="AG20" s="16">
        <f>IFERROR(__xludf.DUMMYFUNCTION("""COMPUTED_VALUE"""),2.0)</f>
        <v>2</v>
      </c>
      <c r="AH20" s="16">
        <f>IFERROR(__xludf.DUMMYFUNCTION("""COMPUTED_VALUE"""),2.0)</f>
        <v>2</v>
      </c>
      <c r="AI20" s="16">
        <f>IFERROR(__xludf.DUMMYFUNCTION("""COMPUTED_VALUE"""),4.0)</f>
        <v>4</v>
      </c>
      <c r="AJ20" s="16">
        <f>IFERROR(__xludf.DUMMYFUNCTION("""COMPUTED_VALUE"""),4.0)</f>
        <v>4</v>
      </c>
      <c r="AK20" s="16">
        <f>IFERROR(__xludf.DUMMYFUNCTION("""COMPUTED_VALUE"""),0.0)</f>
        <v>0</v>
      </c>
      <c r="AL20" s="16">
        <f>IFERROR(__xludf.DUMMYFUNCTION("""COMPUTED_VALUE"""),0.0)</f>
        <v>0</v>
      </c>
      <c r="AM20" s="16">
        <f>IFERROR(__xludf.DUMMYFUNCTION("""COMPUTED_VALUE"""),3.0)</f>
        <v>3</v>
      </c>
      <c r="AN20" s="16">
        <f>IFERROR(__xludf.DUMMYFUNCTION("""COMPUTED_VALUE"""),3.0)</f>
        <v>3</v>
      </c>
      <c r="AO20" s="16">
        <f>IFERROR(__xludf.DUMMYFUNCTION("""COMPUTED_VALUE"""),3.0)</f>
        <v>3</v>
      </c>
      <c r="AP20" s="16">
        <f>IFERROR(__xludf.DUMMYFUNCTION("""COMPUTED_VALUE"""),3.0)</f>
        <v>3</v>
      </c>
      <c r="AQ20" s="16">
        <f>IFERROR(__xludf.DUMMYFUNCTION("""COMPUTED_VALUE"""),0.0)</f>
        <v>0</v>
      </c>
      <c r="AR20" s="16">
        <f>IFERROR(__xludf.DUMMYFUNCTION("""COMPUTED_VALUE"""),0.0)</f>
        <v>0</v>
      </c>
      <c r="AS20" s="16">
        <f>IFERROR(__xludf.DUMMYFUNCTION("""COMPUTED_VALUE"""),3.0)</f>
        <v>3</v>
      </c>
      <c r="AT20" s="16">
        <f>IFERROR(__xludf.DUMMYFUNCTION("""COMPUTED_VALUE"""),3.0)</f>
        <v>3</v>
      </c>
      <c r="AU20" s="16">
        <f>IFERROR(__xludf.DUMMYFUNCTION("""COMPUTED_VALUE"""),6.0)</f>
        <v>6</v>
      </c>
      <c r="AV20" s="16">
        <f>IFERROR(__xludf.DUMMYFUNCTION("""COMPUTED_VALUE"""),6.0)</f>
        <v>6</v>
      </c>
      <c r="AW20" s="16">
        <f>IFERROR(__xludf.DUMMYFUNCTION("""COMPUTED_VALUE"""),1.8)</f>
        <v>1.8</v>
      </c>
      <c r="AX20" s="16">
        <f>IFERROR(__xludf.DUMMYFUNCTION("""COMPUTED_VALUE"""),1.4)</f>
        <v>1.4</v>
      </c>
      <c r="AY20" s="16">
        <f>IFERROR(__xludf.DUMMYFUNCTION("""COMPUTED_VALUE"""),0.0)</f>
        <v>0</v>
      </c>
      <c r="AZ20" s="16">
        <f>IFERROR(__xludf.DUMMYFUNCTION("""COMPUTED_VALUE"""),1.0)</f>
        <v>1</v>
      </c>
      <c r="BA20" s="16">
        <f>IFERROR(__xludf.DUMMYFUNCTION("""COMPUTED_VALUE"""),0.0)</f>
        <v>0</v>
      </c>
      <c r="BB20" s="16">
        <f>IFERROR(__xludf.DUMMYFUNCTION("""COMPUTED_VALUE"""),5.0)</f>
        <v>5</v>
      </c>
      <c r="BC20" s="16"/>
      <c r="BD20" s="16"/>
      <c r="BE20" s="16">
        <f>IFERROR(__xludf.DUMMYFUNCTION("""COMPUTED_VALUE"""),2.0)</f>
        <v>2</v>
      </c>
      <c r="BF20" s="16">
        <f>IFERROR(__xludf.DUMMYFUNCTION("""COMPUTED_VALUE"""),2.0)</f>
        <v>2</v>
      </c>
      <c r="BG20" s="16">
        <f>IFERROR(__xludf.DUMMYFUNCTION("""COMPUTED_VALUE"""),1.0)</f>
        <v>1</v>
      </c>
      <c r="BH20" s="16">
        <f>IFERROR(__xludf.DUMMYFUNCTION("""COMPUTED_VALUE"""),1.0)</f>
        <v>1</v>
      </c>
      <c r="BI20" s="16">
        <f>IFERROR(__xludf.DUMMYFUNCTION("""COMPUTED_VALUE"""),2.0)</f>
        <v>2</v>
      </c>
      <c r="BJ20" s="16">
        <f>IFERROR(__xludf.DUMMYFUNCTION("""COMPUTED_VALUE"""),2.0)</f>
        <v>2</v>
      </c>
      <c r="BK20" s="16">
        <f>IFERROR(__xludf.DUMMYFUNCTION("""COMPUTED_VALUE"""),0.0)</f>
        <v>0</v>
      </c>
      <c r="BL20" s="16">
        <f>IFERROR(__xludf.DUMMYFUNCTION("""COMPUTED_VALUE"""),0.0)</f>
        <v>0</v>
      </c>
      <c r="BM20" s="16">
        <f>IFERROR(__xludf.DUMMYFUNCTION("""COMPUTED_VALUE"""),1.0)</f>
        <v>1</v>
      </c>
      <c r="BN20" s="16">
        <f>IFERROR(__xludf.DUMMYFUNCTION("""COMPUTED_VALUE"""),1.0)</f>
        <v>1</v>
      </c>
      <c r="BO20" s="16">
        <f>IFERROR(__xludf.DUMMYFUNCTION("""COMPUTED_VALUE"""),1.0)</f>
        <v>1</v>
      </c>
      <c r="BP20" s="16">
        <f>IFERROR(__xludf.DUMMYFUNCTION("""COMPUTED_VALUE"""),1.0)</f>
        <v>1</v>
      </c>
      <c r="BQ20" s="16">
        <f>IFERROR(__xludf.DUMMYFUNCTION("""COMPUTED_VALUE"""),0.0)</f>
        <v>0</v>
      </c>
      <c r="BR20" s="16">
        <f>IFERROR(__xludf.DUMMYFUNCTION("""COMPUTED_VALUE"""),1.0)</f>
        <v>1</v>
      </c>
      <c r="BS20" s="16">
        <f>IFERROR(__xludf.DUMMYFUNCTION("""COMPUTED_VALUE"""),-3.0)</f>
        <v>-3</v>
      </c>
      <c r="BT20" s="16">
        <f>IFERROR(__xludf.DUMMYFUNCTION("""COMPUTED_VALUE"""),-2.0)</f>
        <v>-2</v>
      </c>
      <c r="BU20" s="16">
        <f>IFERROR(__xludf.DUMMYFUNCTION("""COMPUTED_VALUE"""),-6.0)</f>
        <v>-6</v>
      </c>
      <c r="BV20" s="16">
        <f>IFERROR(__xludf.DUMMYFUNCTION("""COMPUTED_VALUE"""),-4.0)</f>
        <v>-4</v>
      </c>
      <c r="BW20" s="16">
        <f>IFERROR(__xludf.DUMMYFUNCTION("""COMPUTED_VALUE"""),2.0)</f>
        <v>2</v>
      </c>
      <c r="BX20" s="16">
        <f>IFERROR(__xludf.DUMMYFUNCTION("""COMPUTED_VALUE"""),2.0)</f>
        <v>2</v>
      </c>
      <c r="BY20" s="16" t="str">
        <f>IFERROR(__xludf.DUMMYFUNCTION("""COMPUTED_VALUE"""),"R(1) C(6)")</f>
        <v>R(1) C(6)</v>
      </c>
      <c r="BZ20" s="16" t="str">
        <f>IFERROR(__xludf.DUMMYFUNCTION("""COMPUTED_VALUE"""),"R(1) C(6)")</f>
        <v>R(1) C(6)</v>
      </c>
      <c r="CA20" s="16" t="str">
        <f>IFERROR(__xludf.DUMMYFUNCTION("""COMPUTED_VALUE"""),"R(1)")</f>
        <v>R(1)</v>
      </c>
      <c r="CB20" s="16" t="str">
        <f>IFERROR(__xludf.DUMMYFUNCTION("""COMPUTED_VALUE"""),"C(6)")</f>
        <v>C(6)</v>
      </c>
      <c r="CC20" s="16"/>
      <c r="CD20" s="16"/>
      <c r="CE20" s="16">
        <f>IFERROR(__xludf.DUMMYFUNCTION("""COMPUTED_VALUE"""),1.0)</f>
        <v>1</v>
      </c>
      <c r="CF20" s="16">
        <f>IFERROR(__xludf.DUMMYFUNCTION("""COMPUTED_VALUE"""),6.0)</f>
        <v>6</v>
      </c>
      <c r="CG20" s="16" t="str">
        <f>IFERROR(__xludf.DUMMYFUNCTION("""COMPUTED_VALUE"""),"4-0")</f>
        <v>4-0</v>
      </c>
      <c r="CH20" s="16">
        <f>IFERROR(__xludf.DUMMYFUNCTION("""COMPUTED_VALUE"""),4.0)</f>
        <v>4</v>
      </c>
      <c r="CI20" s="16">
        <f>IFERROR(__xludf.DUMMYFUNCTION("""COMPUTED_VALUE"""),0.0)</f>
        <v>0</v>
      </c>
      <c r="CJ20" s="16">
        <f>IFERROR(__xludf.DUMMYFUNCTION("""COMPUTED_VALUE"""),0.0)</f>
        <v>0</v>
      </c>
      <c r="CK20" s="16">
        <f>IFERROR(__xludf.DUMMYFUNCTION("""COMPUTED_VALUE"""),7.0)</f>
        <v>7</v>
      </c>
      <c r="CL20" s="16" t="str">
        <f>IFERROR(__xludf.DUMMYFUNCTION("""COMPUTED_VALUE"""),"1WR-C")</f>
        <v>1WR-C</v>
      </c>
      <c r="CM20" s="16" t="str">
        <f>IFERROR(__xludf.DUMMYFUNCTION("""COMPUTED_VALUE"""),"E")</f>
        <v>E</v>
      </c>
      <c r="CN20" s="16">
        <f>IFERROR(__xludf.DUMMYFUNCTION("""COMPUTED_VALUE"""),10.0)</f>
        <v>10</v>
      </c>
      <c r="CO20" s="16" t="str">
        <f>IFERROR(__xludf.DUMMYFUNCTION("""COMPUTED_VALUE"""),"C")</f>
        <v>C</v>
      </c>
      <c r="CP20" s="16" t="str">
        <f>IFERROR(__xludf.DUMMYFUNCTION("""COMPUTED_VALUE"""),"2p60")</f>
        <v>2p60</v>
      </c>
      <c r="CQ20" s="16">
        <f>IFERROR(__xludf.DUMMYFUNCTION("""COMPUTED_VALUE"""),35.0)</f>
        <v>35</v>
      </c>
      <c r="CR20" s="16">
        <f>IFERROR(__xludf.DUMMYFUNCTION("""COMPUTED_VALUE"""),39.0)</f>
        <v>39</v>
      </c>
      <c r="CS20" s="16">
        <f>IFERROR(__xludf.DUMMYFUNCTION("""COMPUTED_VALUE"""),74.0)</f>
        <v>74</v>
      </c>
      <c r="CT20" s="16">
        <f>IFERROR(__xludf.DUMMYFUNCTION("""COMPUTED_VALUE"""),35.0)</f>
        <v>35</v>
      </c>
      <c r="CU20" s="16">
        <f>IFERROR(__xludf.DUMMYFUNCTION("""COMPUTED_VALUE"""),39.0)</f>
        <v>39</v>
      </c>
      <c r="CV20" s="179">
        <f>IFERROR(__xludf.DUMMYFUNCTION("""COMPUTED_VALUE"""),40.333333333333336)</f>
        <v>40.33333333</v>
      </c>
      <c r="CW20" s="179">
        <f>IFERROR(__xludf.DUMMYFUNCTION("""COMPUTED_VALUE"""),3.0)</f>
        <v>3</v>
      </c>
      <c r="CX20" s="179">
        <f>IFERROR(__xludf.DUMMYFUNCTION("""COMPUTED_VALUE"""),1.0)</f>
        <v>1</v>
      </c>
      <c r="CY20" s="16" t="str">
        <f>IFERROR(__xludf.DUMMYFUNCTION("""COMPUTED_VALUE"""),"RP")</f>
        <v>RP</v>
      </c>
      <c r="CZ20" s="16" t="str">
        <f>IFERROR(__xludf.DUMMYFUNCTION("""COMPUTED_VALUE"""),"CP")</f>
        <v>CP</v>
      </c>
      <c r="DA20" s="16"/>
      <c r="DB20" s="16"/>
      <c r="DC20" s="16"/>
      <c r="DD20" s="16"/>
      <c r="DE20" s="16"/>
      <c r="DF20" s="16"/>
      <c r="DG20" s="16"/>
      <c r="DH20" s="16"/>
      <c r="DI20" s="16"/>
      <c r="DJ20" s="16"/>
      <c r="DK20" s="16"/>
    </row>
    <row r="21">
      <c r="A21" s="16">
        <f>IFERROR(__xludf.DUMMYFUNCTION("""COMPUTED_VALUE"""),12818.0)</f>
        <v>12818</v>
      </c>
      <c r="B21" s="16" t="str">
        <f>IFERROR(__xludf.DUMMYFUNCTION("""COMPUTED_VALUE"""),"Framber Valdez")</f>
        <v>Framber Valdez</v>
      </c>
      <c r="C21" s="153">
        <f>IFERROR(__xludf.DUMMYFUNCTION("""COMPUTED_VALUE"""),2.3)</f>
        <v>2.3</v>
      </c>
      <c r="D21" s="16"/>
      <c r="E21" s="16" t="str">
        <f>IFERROR(__xludf.DUMMYFUNCTION("""COMPUTED_VALUE"""),"L")</f>
        <v>L</v>
      </c>
      <c r="F21" s="16">
        <f>IFERROR(__xludf.DUMMYFUNCTION("""COMPUTED_VALUE"""),176.0)</f>
        <v>176</v>
      </c>
      <c r="G21" s="16">
        <f>IFERROR(__xludf.DUMMYFUNCTION("""COMPUTED_VALUE"""),38.0)</f>
        <v>38</v>
      </c>
      <c r="H21" s="16">
        <f>IFERROR(__xludf.DUMMYFUNCTION("""COMPUTED_VALUE"""),25.0)</f>
        <v>25</v>
      </c>
      <c r="I21" s="16">
        <f>IFERROR(__xludf.DUMMYFUNCTION("""COMPUTED_VALUE"""),1.0)</f>
        <v>1</v>
      </c>
      <c r="J21" s="16">
        <f>IFERROR(__xludf.DUMMYFUNCTION("""COMPUTED_VALUE"""),0.0)</f>
        <v>0</v>
      </c>
      <c r="K21" s="16">
        <f>IFERROR(__xludf.DUMMYFUNCTION("""COMPUTED_VALUE"""),3.0)</f>
        <v>3</v>
      </c>
      <c r="L21" s="16">
        <f>IFERROR(__xludf.DUMMYFUNCTION("""COMPUTED_VALUE"""),0.0)</f>
        <v>0</v>
      </c>
      <c r="M21" s="16">
        <f>IFERROR(__xludf.DUMMYFUNCTION("""COMPUTED_VALUE"""),2.0)</f>
        <v>2</v>
      </c>
      <c r="N21" s="16">
        <f>IFERROR(__xludf.DUMMYFUNCTION("""COMPUTED_VALUE"""),10.0)</f>
        <v>10</v>
      </c>
      <c r="O21" s="16">
        <f>IFERROR(__xludf.DUMMYFUNCTION("""COMPUTED_VALUE"""),2.0)</f>
        <v>2</v>
      </c>
      <c r="P21" s="16">
        <f>IFERROR(__xludf.DUMMYFUNCTION("""COMPUTED_VALUE"""),-1.0)</f>
        <v>-1</v>
      </c>
      <c r="Q21" s="16">
        <f>IFERROR(__xludf.DUMMYFUNCTION("""COMPUTED_VALUE"""),2.0)</f>
        <v>2</v>
      </c>
      <c r="R21" s="16">
        <f>IFERROR(__xludf.DUMMYFUNCTION("""COMPUTED_VALUE"""),-1.0)</f>
        <v>-1</v>
      </c>
      <c r="S21" s="16">
        <f>IFERROR(__xludf.DUMMYFUNCTION("""COMPUTED_VALUE"""),12.6)</f>
        <v>12.6</v>
      </c>
      <c r="T21" s="16">
        <f>IFERROR(__xludf.DUMMYFUNCTION("""COMPUTED_VALUE"""),11.6)</f>
        <v>11.6</v>
      </c>
      <c r="U21" s="16">
        <f>IFERROR(__xludf.DUMMYFUNCTION("""COMPUTED_VALUE"""),0.0)</f>
        <v>0</v>
      </c>
      <c r="V21" s="16">
        <f>IFERROR(__xludf.DUMMYFUNCTION("""COMPUTED_VALUE"""),1.0)</f>
        <v>1</v>
      </c>
      <c r="W21" s="16">
        <f>IFERROR(__xludf.DUMMYFUNCTION("""COMPUTED_VALUE"""),0.0)</f>
        <v>0</v>
      </c>
      <c r="X21" s="16">
        <f>IFERROR(__xludf.DUMMYFUNCTION("""COMPUTED_VALUE"""),2.0)</f>
        <v>2</v>
      </c>
      <c r="Y21" s="16">
        <f>IFERROR(__xludf.DUMMYFUNCTION("""COMPUTED_VALUE"""),14.6)</f>
        <v>14.6</v>
      </c>
      <c r="Z21" s="16">
        <f>IFERROR(__xludf.DUMMYFUNCTION("""COMPUTED_VALUE"""),21.6)</f>
        <v>21.6</v>
      </c>
      <c r="AA21" s="16">
        <f>IFERROR(__xludf.DUMMYFUNCTION("""COMPUTED_VALUE"""),2.0)</f>
        <v>2</v>
      </c>
      <c r="AB21" s="16">
        <f>IFERROR(__xludf.DUMMYFUNCTION("""COMPUTED_VALUE"""),1.0)</f>
        <v>1</v>
      </c>
      <c r="AC21" s="16">
        <f>IFERROR(__xludf.DUMMYFUNCTION("""COMPUTED_VALUE"""),10.0)</f>
        <v>10</v>
      </c>
      <c r="AD21" s="16">
        <f>IFERROR(__xludf.DUMMYFUNCTION("""COMPUTED_VALUE"""),5.0)</f>
        <v>5</v>
      </c>
      <c r="AE21" s="16">
        <f>IFERROR(__xludf.DUMMYFUNCTION("""COMPUTED_VALUE"""),20.0)</f>
        <v>20</v>
      </c>
      <c r="AF21" s="16">
        <f>IFERROR(__xludf.DUMMYFUNCTION("""COMPUTED_VALUE"""),15.1)</f>
        <v>15.1</v>
      </c>
      <c r="AG21" s="16">
        <f>IFERROR(__xludf.DUMMYFUNCTION("""COMPUTED_VALUE"""),1.0)</f>
        <v>1</v>
      </c>
      <c r="AH21" s="16">
        <f>IFERROR(__xludf.DUMMYFUNCTION("""COMPUTED_VALUE"""),1.0)</f>
        <v>1</v>
      </c>
      <c r="AI21" s="16">
        <f>IFERROR(__xludf.DUMMYFUNCTION("""COMPUTED_VALUE"""),2.0)</f>
        <v>2</v>
      </c>
      <c r="AJ21" s="16">
        <f>IFERROR(__xludf.DUMMYFUNCTION("""COMPUTED_VALUE"""),2.0)</f>
        <v>2</v>
      </c>
      <c r="AK21" s="16">
        <f>IFERROR(__xludf.DUMMYFUNCTION("""COMPUTED_VALUE"""),11.799999999999999)</f>
        <v>11.8</v>
      </c>
      <c r="AL21" s="16">
        <f>IFERROR(__xludf.DUMMYFUNCTION("""COMPUTED_VALUE"""),11.0)</f>
        <v>11</v>
      </c>
      <c r="AM21" s="16">
        <f>IFERROR(__xludf.DUMMYFUNCTION("""COMPUTED_VALUE"""),0.0)</f>
        <v>0</v>
      </c>
      <c r="AN21" s="16">
        <f>IFERROR(__xludf.DUMMYFUNCTION("""COMPUTED_VALUE"""),1.0)</f>
        <v>1</v>
      </c>
      <c r="AO21" s="16">
        <f>IFERROR(__xludf.DUMMYFUNCTION("""COMPUTED_VALUE"""),0.0)</f>
        <v>0</v>
      </c>
      <c r="AP21" s="16">
        <f>IFERROR(__xludf.DUMMYFUNCTION("""COMPUTED_VALUE"""),1.0)</f>
        <v>1</v>
      </c>
      <c r="AQ21" s="16">
        <f>IFERROR(__xludf.DUMMYFUNCTION("""COMPUTED_VALUE"""),16.8)</f>
        <v>16.8</v>
      </c>
      <c r="AR21" s="16">
        <f>IFERROR(__xludf.DUMMYFUNCTION("""COMPUTED_VALUE"""),12.7)</f>
        <v>12.7</v>
      </c>
      <c r="AS21" s="16">
        <f>IFERROR(__xludf.DUMMYFUNCTION("""COMPUTED_VALUE"""),0.0)</f>
        <v>0</v>
      </c>
      <c r="AT21" s="16">
        <f>IFERROR(__xludf.DUMMYFUNCTION("""COMPUTED_VALUE"""),1.0)</f>
        <v>1</v>
      </c>
      <c r="AU21" s="16">
        <f>IFERROR(__xludf.DUMMYFUNCTION("""COMPUTED_VALUE"""),0.0)</f>
        <v>0</v>
      </c>
      <c r="AV21" s="16">
        <f>IFERROR(__xludf.DUMMYFUNCTION("""COMPUTED_VALUE"""),2.0)</f>
        <v>2</v>
      </c>
      <c r="AW21" s="16">
        <f>IFERROR(__xludf.DUMMYFUNCTION("""COMPUTED_VALUE"""),0.8)</f>
        <v>0.8</v>
      </c>
      <c r="AX21" s="16">
        <f>IFERROR(__xludf.DUMMYFUNCTION("""COMPUTED_VALUE"""),0.6)</f>
        <v>0.6</v>
      </c>
      <c r="AY21" s="16">
        <f>IFERROR(__xludf.DUMMYFUNCTION("""COMPUTED_VALUE"""),2.0)</f>
        <v>2</v>
      </c>
      <c r="AZ21" s="16">
        <f>IFERROR(__xludf.DUMMYFUNCTION("""COMPUTED_VALUE"""),2.0)</f>
        <v>2</v>
      </c>
      <c r="BA21" s="16">
        <f>IFERROR(__xludf.DUMMYFUNCTION("""COMPUTED_VALUE"""),10.0)</f>
        <v>10</v>
      </c>
      <c r="BB21" s="16">
        <f>IFERROR(__xludf.DUMMYFUNCTION("""COMPUTED_VALUE"""),10.0)</f>
        <v>10</v>
      </c>
      <c r="BC21" s="16">
        <f>IFERROR(__xludf.DUMMYFUNCTION("""COMPUTED_VALUE"""),1.0)</f>
        <v>1</v>
      </c>
      <c r="BD21" s="16">
        <f>IFERROR(__xludf.DUMMYFUNCTION("""COMPUTED_VALUE"""),0.0)</f>
        <v>0</v>
      </c>
      <c r="BE21" s="16">
        <f>IFERROR(__xludf.DUMMYFUNCTION("""COMPUTED_VALUE"""),1.0)</f>
        <v>1</v>
      </c>
      <c r="BF21" s="16">
        <f>IFERROR(__xludf.DUMMYFUNCTION("""COMPUTED_VALUE"""),0.0)</f>
        <v>0</v>
      </c>
      <c r="BG21" s="16">
        <f>IFERROR(__xludf.DUMMYFUNCTION("""COMPUTED_VALUE"""),2.0)</f>
        <v>2</v>
      </c>
      <c r="BH21" s="16">
        <f>IFERROR(__xludf.DUMMYFUNCTION("""COMPUTED_VALUE"""),2.0)</f>
        <v>2</v>
      </c>
      <c r="BI21" s="16">
        <f>IFERROR(__xludf.DUMMYFUNCTION("""COMPUTED_VALUE"""),4.0)</f>
        <v>4</v>
      </c>
      <c r="BJ21" s="16">
        <f>IFERROR(__xludf.DUMMYFUNCTION("""COMPUTED_VALUE"""),4.0)</f>
        <v>4</v>
      </c>
      <c r="BK21" s="16">
        <f>IFERROR(__xludf.DUMMYFUNCTION("""COMPUTED_VALUE"""),5.0)</f>
        <v>5</v>
      </c>
      <c r="BL21" s="16">
        <f>IFERROR(__xludf.DUMMYFUNCTION("""COMPUTED_VALUE"""),5.0)</f>
        <v>5</v>
      </c>
      <c r="BM21" s="16">
        <f>IFERROR(__xludf.DUMMYFUNCTION("""COMPUTED_VALUE"""),0.0)</f>
        <v>0</v>
      </c>
      <c r="BN21" s="16">
        <f>IFERROR(__xludf.DUMMYFUNCTION("""COMPUTED_VALUE"""),0.0)</f>
        <v>0</v>
      </c>
      <c r="BO21" s="16">
        <f>IFERROR(__xludf.DUMMYFUNCTION("""COMPUTED_VALUE"""),0.0)</f>
        <v>0</v>
      </c>
      <c r="BP21" s="16">
        <f>IFERROR(__xludf.DUMMYFUNCTION("""COMPUTED_VALUE"""),0.0)</f>
        <v>0</v>
      </c>
      <c r="BQ21" s="16">
        <f>IFERROR(__xludf.DUMMYFUNCTION("""COMPUTED_VALUE"""),12.0)</f>
        <v>12</v>
      </c>
      <c r="BR21" s="16">
        <f>IFERROR(__xludf.DUMMYFUNCTION("""COMPUTED_VALUE"""),13.0)</f>
        <v>13</v>
      </c>
      <c r="BS21" s="16">
        <f>IFERROR(__xludf.DUMMYFUNCTION("""COMPUTED_VALUE"""),3.0)</f>
        <v>3</v>
      </c>
      <c r="BT21" s="16">
        <f>IFERROR(__xludf.DUMMYFUNCTION("""COMPUTED_VALUE"""),3.0)</f>
        <v>3</v>
      </c>
      <c r="BU21" s="16">
        <f>IFERROR(__xludf.DUMMYFUNCTION("""COMPUTED_VALUE"""),6.0)</f>
        <v>6</v>
      </c>
      <c r="BV21" s="16">
        <f>IFERROR(__xludf.DUMMYFUNCTION("""COMPUTED_VALUE"""),6.0)</f>
        <v>6</v>
      </c>
      <c r="BW21" s="16">
        <f>IFERROR(__xludf.DUMMYFUNCTION("""COMPUTED_VALUE"""),-2.0)</f>
        <v>-2</v>
      </c>
      <c r="BX21" s="16">
        <f>IFERROR(__xludf.DUMMYFUNCTION("""COMPUTED_VALUE"""),-2.0)</f>
        <v>-2</v>
      </c>
      <c r="BY21" s="16" t="str">
        <f>IFERROR(__xludf.DUMMYFUNCTION("""COMPUTED_VALUE"""),"S(6)")</f>
        <v>S(6)</v>
      </c>
      <c r="BZ21" s="16" t="str">
        <f>IFERROR(__xludf.DUMMYFUNCTION("""COMPUTED_VALUE"""),"S(6)")</f>
        <v>S(6)</v>
      </c>
      <c r="CA21" s="16" t="str">
        <f>IFERROR(__xludf.DUMMYFUNCTION("""COMPUTED_VALUE"""),"S(6)")</f>
        <v>S(6)</v>
      </c>
      <c r="CB21" s="16"/>
      <c r="CC21" s="16"/>
      <c r="CD21" s="16">
        <f>IFERROR(__xludf.DUMMYFUNCTION("""COMPUTED_VALUE"""),6.0)</f>
        <v>6</v>
      </c>
      <c r="CE21" s="16"/>
      <c r="CF21" s="16"/>
      <c r="CG21" s="16" t="str">
        <f>IFERROR(__xludf.DUMMYFUNCTION("""COMPUTED_VALUE"""),"3-8")</f>
        <v>3-8</v>
      </c>
      <c r="CH21" s="16">
        <f>IFERROR(__xludf.DUMMYFUNCTION("""COMPUTED_VALUE"""),3.0)</f>
        <v>3</v>
      </c>
      <c r="CI21" s="16">
        <f>IFERROR(__xludf.DUMMYFUNCTION("""COMPUTED_VALUE"""),8.0)</f>
        <v>8</v>
      </c>
      <c r="CJ21" s="16">
        <f>IFERROR(__xludf.DUMMYFUNCTION("""COMPUTED_VALUE"""),2.0)</f>
        <v>2</v>
      </c>
      <c r="CK21" s="16">
        <f>IFERROR(__xludf.DUMMYFUNCTION("""COMPUTED_VALUE"""),10.0)</f>
        <v>10</v>
      </c>
      <c r="CL21" s="16" t="str">
        <f>IFERROR(__xludf.DUMMYFUNCTION("""COMPUTED_VALUE"""),"1WR-C")</f>
        <v>1WR-C</v>
      </c>
      <c r="CM21" s="16" t="str">
        <f>IFERROR(__xludf.DUMMYFUNCTION("""COMPUTED_VALUE"""),"E")</f>
        <v>E</v>
      </c>
      <c r="CN21" s="16">
        <f>IFERROR(__xludf.DUMMYFUNCTION("""COMPUTED_VALUE"""),10.0)</f>
        <v>10</v>
      </c>
      <c r="CO21" s="16" t="str">
        <f>IFERROR(__xludf.DUMMYFUNCTION("""COMPUTED_VALUE"""),"C")</f>
        <v>C</v>
      </c>
      <c r="CP21" s="16" t="str">
        <f>IFERROR(__xludf.DUMMYFUNCTION("""COMPUTED_VALUE"""),"1p70")</f>
        <v>1p70</v>
      </c>
      <c r="CQ21" s="16">
        <f>IFERROR(__xludf.DUMMYFUNCTION("""COMPUTED_VALUE"""),37.0)</f>
        <v>37</v>
      </c>
      <c r="CR21" s="16">
        <f>IFERROR(__xludf.DUMMYFUNCTION("""COMPUTED_VALUE"""),31.0)</f>
        <v>31</v>
      </c>
      <c r="CS21" s="16">
        <f>IFERROR(__xludf.DUMMYFUNCTION("""COMPUTED_VALUE"""),68.0)</f>
        <v>68</v>
      </c>
      <c r="CT21" s="16">
        <f>IFERROR(__xludf.DUMMYFUNCTION("""COMPUTED_VALUE"""),37.0)</f>
        <v>37</v>
      </c>
      <c r="CU21" s="16">
        <f>IFERROR(__xludf.DUMMYFUNCTION("""COMPUTED_VALUE"""),31.0)</f>
        <v>31</v>
      </c>
      <c r="CV21" s="179">
        <f>IFERROR(__xludf.DUMMYFUNCTION("""COMPUTED_VALUE"""),40.0)</f>
        <v>40</v>
      </c>
      <c r="CW21" s="179">
        <f>IFERROR(__xludf.DUMMYFUNCTION("""COMPUTED_VALUE"""),4.0)</f>
        <v>4</v>
      </c>
      <c r="CX21" s="179">
        <f>IFERROR(__xludf.DUMMYFUNCTION("""COMPUTED_VALUE"""),3.0)</f>
        <v>3</v>
      </c>
      <c r="CY21" s="16" t="str">
        <f>IFERROR(__xludf.DUMMYFUNCTION("""COMPUTED_VALUE"""),"SP")</f>
        <v>SP</v>
      </c>
      <c r="CZ21" s="16"/>
      <c r="DA21" s="16"/>
      <c r="DB21" s="16"/>
      <c r="DC21" s="16"/>
      <c r="DD21" s="16"/>
      <c r="DE21" s="16"/>
      <c r="DF21" s="16"/>
      <c r="DG21" s="16"/>
      <c r="DH21" s="16"/>
      <c r="DI21" s="16"/>
      <c r="DJ21" s="16"/>
      <c r="DK21" s="16"/>
    </row>
    <row r="22">
      <c r="A22" s="16">
        <f>IFERROR(__xludf.DUMMYFUNCTION("""COMPUTED_VALUE"""),13015.0)</f>
        <v>13015</v>
      </c>
      <c r="B22" s="16" t="str">
        <f>IFERROR(__xludf.DUMMYFUNCTION("""COMPUTED_VALUE"""),"Jose Butto")</f>
        <v>Jose Butto</v>
      </c>
      <c r="C22" s="153">
        <f>IFERROR(__xludf.DUMMYFUNCTION("""COMPUTED_VALUE"""),2.23)</f>
        <v>2.23</v>
      </c>
      <c r="D22" s="16"/>
      <c r="E22" s="16" t="str">
        <f>IFERROR(__xludf.DUMMYFUNCTION("""COMPUTED_VALUE"""),"R")</f>
        <v>R</v>
      </c>
      <c r="F22" s="16">
        <f>IFERROR(__xludf.DUMMYFUNCTION("""COMPUTED_VALUE"""),74.0)</f>
        <v>74</v>
      </c>
      <c r="G22" s="16">
        <f>IFERROR(__xludf.DUMMYFUNCTION("""COMPUTED_VALUE"""),28.0)</f>
        <v>28</v>
      </c>
      <c r="H22" s="16">
        <f>IFERROR(__xludf.DUMMYFUNCTION("""COMPUTED_VALUE"""),43.0)</f>
        <v>43</v>
      </c>
      <c r="I22" s="16">
        <f>IFERROR(__xludf.DUMMYFUNCTION("""COMPUTED_VALUE"""),0.0)</f>
        <v>0</v>
      </c>
      <c r="J22" s="16">
        <f>IFERROR(__xludf.DUMMYFUNCTION("""COMPUTED_VALUE"""),2.0)</f>
        <v>2</v>
      </c>
      <c r="K22" s="16">
        <f>IFERROR(__xludf.DUMMYFUNCTION("""COMPUTED_VALUE"""),0.0)</f>
        <v>0</v>
      </c>
      <c r="L22" s="16">
        <f>IFERROR(__xludf.DUMMYFUNCTION("""COMPUTED_VALUE"""),6.0)</f>
        <v>6</v>
      </c>
      <c r="M22" s="16">
        <f>IFERROR(__xludf.DUMMYFUNCTION("""COMPUTED_VALUE"""),33.0)</f>
        <v>33</v>
      </c>
      <c r="N22" s="16">
        <f>IFERROR(__xludf.DUMMYFUNCTION("""COMPUTED_VALUE"""),7.0)</f>
        <v>7</v>
      </c>
      <c r="O22" s="16">
        <f>IFERROR(__xludf.DUMMYFUNCTION("""COMPUTED_VALUE"""),-3.0)</f>
        <v>-3</v>
      </c>
      <c r="P22" s="16">
        <f>IFERROR(__xludf.DUMMYFUNCTION("""COMPUTED_VALUE"""),1.0)</f>
        <v>1</v>
      </c>
      <c r="Q22" s="16">
        <f>IFERROR(__xludf.DUMMYFUNCTION("""COMPUTED_VALUE"""),-3.0)</f>
        <v>-3</v>
      </c>
      <c r="R22" s="16">
        <f>IFERROR(__xludf.DUMMYFUNCTION("""COMPUTED_VALUE"""),1.0)</f>
        <v>1</v>
      </c>
      <c r="S22" s="16">
        <f>IFERROR(__xludf.DUMMYFUNCTION("""COMPUTED_VALUE"""),1.3)</f>
        <v>1.3</v>
      </c>
      <c r="T22" s="16">
        <f>IFERROR(__xludf.DUMMYFUNCTION("""COMPUTED_VALUE"""),5.5)</f>
        <v>5.5</v>
      </c>
      <c r="U22" s="16">
        <f>IFERROR(__xludf.DUMMYFUNCTION("""COMPUTED_VALUE"""),2.0)</f>
        <v>2</v>
      </c>
      <c r="V22" s="16">
        <f>IFERROR(__xludf.DUMMYFUNCTION("""COMPUTED_VALUE"""),2.0)</f>
        <v>2</v>
      </c>
      <c r="W22" s="16">
        <f>IFERROR(__xludf.DUMMYFUNCTION("""COMPUTED_VALUE"""),4.0)</f>
        <v>4</v>
      </c>
      <c r="X22" s="16">
        <f>IFERROR(__xludf.DUMMYFUNCTION("""COMPUTED_VALUE"""),4.0)</f>
        <v>4</v>
      </c>
      <c r="Y22" s="16">
        <f>IFERROR(__xludf.DUMMYFUNCTION("""COMPUTED_VALUE"""),34.3)</f>
        <v>34.3</v>
      </c>
      <c r="Z22" s="16">
        <f>IFERROR(__xludf.DUMMYFUNCTION("""COMPUTED_VALUE"""),12.5)</f>
        <v>12.5</v>
      </c>
      <c r="AA22" s="16">
        <f>IFERROR(__xludf.DUMMYFUNCTION("""COMPUTED_VALUE"""),-1.0)</f>
        <v>-1</v>
      </c>
      <c r="AB22" s="16">
        <f>IFERROR(__xludf.DUMMYFUNCTION("""COMPUTED_VALUE"""),2.0)</f>
        <v>2</v>
      </c>
      <c r="AC22" s="16">
        <f>IFERROR(__xludf.DUMMYFUNCTION("""COMPUTED_VALUE"""),-5.0)</f>
        <v>-5</v>
      </c>
      <c r="AD22" s="16">
        <f>IFERROR(__xludf.DUMMYFUNCTION("""COMPUTED_VALUE"""),10.0)</f>
        <v>10</v>
      </c>
      <c r="AE22" s="16">
        <f>IFERROR(__xludf.DUMMYFUNCTION("""COMPUTED_VALUE"""),4.0)</f>
        <v>4</v>
      </c>
      <c r="AF22" s="16">
        <f>IFERROR(__xludf.DUMMYFUNCTION("""COMPUTED_VALUE"""),13.4)</f>
        <v>13.4</v>
      </c>
      <c r="AG22" s="16">
        <f>IFERROR(__xludf.DUMMYFUNCTION("""COMPUTED_VALUE"""),2.0)</f>
        <v>2</v>
      </c>
      <c r="AH22" s="16">
        <f>IFERROR(__xludf.DUMMYFUNCTION("""COMPUTED_VALUE"""),2.0)</f>
        <v>2</v>
      </c>
      <c r="AI22" s="16">
        <f>IFERROR(__xludf.DUMMYFUNCTION("""COMPUTED_VALUE"""),4.0)</f>
        <v>4</v>
      </c>
      <c r="AJ22" s="16">
        <f>IFERROR(__xludf.DUMMYFUNCTION("""COMPUTED_VALUE"""),4.0)</f>
        <v>4</v>
      </c>
      <c r="AK22" s="16">
        <f>IFERROR(__xludf.DUMMYFUNCTION("""COMPUTED_VALUE"""),0.5)</f>
        <v>0.5</v>
      </c>
      <c r="AL22" s="16">
        <f>IFERROR(__xludf.DUMMYFUNCTION("""COMPUTED_VALUE"""),4.3)</f>
        <v>4.3</v>
      </c>
      <c r="AM22" s="16">
        <f>IFERROR(__xludf.DUMMYFUNCTION("""COMPUTED_VALUE"""),2.0)</f>
        <v>2</v>
      </c>
      <c r="AN22" s="16">
        <f>IFERROR(__xludf.DUMMYFUNCTION("""COMPUTED_VALUE"""),2.0)</f>
        <v>2</v>
      </c>
      <c r="AO22" s="16">
        <f>IFERROR(__xludf.DUMMYFUNCTION("""COMPUTED_VALUE"""),2.0)</f>
        <v>2</v>
      </c>
      <c r="AP22" s="16">
        <f>IFERROR(__xludf.DUMMYFUNCTION("""COMPUTED_VALUE"""),2.0)</f>
        <v>2</v>
      </c>
      <c r="AQ22" s="16">
        <f>IFERROR(__xludf.DUMMYFUNCTION("""COMPUTED_VALUE"""),0.7999999999999998)</f>
        <v>0.8</v>
      </c>
      <c r="AR22" s="16">
        <f>IFERROR(__xludf.DUMMYFUNCTION("""COMPUTED_VALUE"""),8.600000000000001)</f>
        <v>8.6</v>
      </c>
      <c r="AS22" s="16">
        <f>IFERROR(__xludf.DUMMYFUNCTION("""COMPUTED_VALUE"""),2.0)</f>
        <v>2</v>
      </c>
      <c r="AT22" s="16">
        <f>IFERROR(__xludf.DUMMYFUNCTION("""COMPUTED_VALUE"""),2.0)</f>
        <v>2</v>
      </c>
      <c r="AU22" s="16">
        <f>IFERROR(__xludf.DUMMYFUNCTION("""COMPUTED_VALUE"""),4.0)</f>
        <v>4</v>
      </c>
      <c r="AV22" s="16">
        <f>IFERROR(__xludf.DUMMYFUNCTION("""COMPUTED_VALUE"""),4.0)</f>
        <v>4</v>
      </c>
      <c r="AW22" s="16">
        <f>IFERROR(__xludf.DUMMYFUNCTION("""COMPUTED_VALUE"""),0.8)</f>
        <v>0.8</v>
      </c>
      <c r="AX22" s="16">
        <f>IFERROR(__xludf.DUMMYFUNCTION("""COMPUTED_VALUE"""),1.2)</f>
        <v>1.2</v>
      </c>
      <c r="AY22" s="16">
        <f>IFERROR(__xludf.DUMMYFUNCTION("""COMPUTED_VALUE"""),2.0)</f>
        <v>2</v>
      </c>
      <c r="AZ22" s="16">
        <f>IFERROR(__xludf.DUMMYFUNCTION("""COMPUTED_VALUE"""),1.0)</f>
        <v>1</v>
      </c>
      <c r="BA22" s="16">
        <f>IFERROR(__xludf.DUMMYFUNCTION("""COMPUTED_VALUE"""),10.0)</f>
        <v>10</v>
      </c>
      <c r="BB22" s="16">
        <f>IFERROR(__xludf.DUMMYFUNCTION("""COMPUTED_VALUE"""),5.0)</f>
        <v>5</v>
      </c>
      <c r="BC22" s="16"/>
      <c r="BD22" s="16"/>
      <c r="BE22" s="16">
        <f>IFERROR(__xludf.DUMMYFUNCTION("""COMPUTED_VALUE"""),0.0)</f>
        <v>0</v>
      </c>
      <c r="BF22" s="16">
        <f>IFERROR(__xludf.DUMMYFUNCTION("""COMPUTED_VALUE"""),1.0)</f>
        <v>1</v>
      </c>
      <c r="BG22" s="16">
        <f>IFERROR(__xludf.DUMMYFUNCTION("""COMPUTED_VALUE"""),3.0)</f>
        <v>3</v>
      </c>
      <c r="BH22" s="16">
        <f>IFERROR(__xludf.DUMMYFUNCTION("""COMPUTED_VALUE"""),2.0)</f>
        <v>2</v>
      </c>
      <c r="BI22" s="16">
        <f>IFERROR(__xludf.DUMMYFUNCTION("""COMPUTED_VALUE"""),6.0)</f>
        <v>6</v>
      </c>
      <c r="BJ22" s="16">
        <f>IFERROR(__xludf.DUMMYFUNCTION("""COMPUTED_VALUE"""),4.0)</f>
        <v>4</v>
      </c>
      <c r="BK22" s="16">
        <f>IFERROR(__xludf.DUMMYFUNCTION("""COMPUTED_VALUE"""),0.0)</f>
        <v>0</v>
      </c>
      <c r="BL22" s="16">
        <f>IFERROR(__xludf.DUMMYFUNCTION("""COMPUTED_VALUE"""),0.0)</f>
        <v>0</v>
      </c>
      <c r="BM22" s="16">
        <f>IFERROR(__xludf.DUMMYFUNCTION("""COMPUTED_VALUE"""),1.0)</f>
        <v>1</v>
      </c>
      <c r="BN22" s="16">
        <f>IFERROR(__xludf.DUMMYFUNCTION("""COMPUTED_VALUE"""),1.0)</f>
        <v>1</v>
      </c>
      <c r="BO22" s="16">
        <f>IFERROR(__xludf.DUMMYFUNCTION("""COMPUTED_VALUE"""),1.0)</f>
        <v>1</v>
      </c>
      <c r="BP22" s="16">
        <f>IFERROR(__xludf.DUMMYFUNCTION("""COMPUTED_VALUE"""),1.0)</f>
        <v>1</v>
      </c>
      <c r="BQ22" s="16">
        <f>IFERROR(__xludf.DUMMYFUNCTION("""COMPUTED_VALUE"""),11.0)</f>
        <v>11</v>
      </c>
      <c r="BR22" s="16">
        <f>IFERROR(__xludf.DUMMYFUNCTION("""COMPUTED_VALUE"""),12.0)</f>
        <v>12</v>
      </c>
      <c r="BS22" s="16">
        <f>IFERROR(__xludf.DUMMYFUNCTION("""COMPUTED_VALUE"""),3.0)</f>
        <v>3</v>
      </c>
      <c r="BT22" s="16">
        <f>IFERROR(__xludf.DUMMYFUNCTION("""COMPUTED_VALUE"""),3.0)</f>
        <v>3</v>
      </c>
      <c r="BU22" s="16">
        <f>IFERROR(__xludf.DUMMYFUNCTION("""COMPUTED_VALUE"""),6.0)</f>
        <v>6</v>
      </c>
      <c r="BV22" s="16">
        <f>IFERROR(__xludf.DUMMYFUNCTION("""COMPUTED_VALUE"""),6.0)</f>
        <v>6</v>
      </c>
      <c r="BW22" s="16">
        <f>IFERROR(__xludf.DUMMYFUNCTION("""COMPUTED_VALUE"""),-2.0)</f>
        <v>-2</v>
      </c>
      <c r="BX22" s="16">
        <f>IFERROR(__xludf.DUMMYFUNCTION("""COMPUTED_VALUE"""),-2.0)</f>
        <v>-2</v>
      </c>
      <c r="BY22" s="16" t="str">
        <f>IFERROR(__xludf.DUMMYFUNCTION("""COMPUTED_VALUE"""),"S(5) R(3) C(2)")</f>
        <v>S(5) R(3) C(2)</v>
      </c>
      <c r="BZ22" s="16" t="str">
        <f>IFERROR(__xludf.DUMMYFUNCTION("""COMPUTED_VALUE"""),"S(5) R(3) C(2)")</f>
        <v>S(5) R(3) C(2)</v>
      </c>
      <c r="CA22" s="16" t="str">
        <f>IFERROR(__xludf.DUMMYFUNCTION("""COMPUTED_VALUE"""),"S(5)")</f>
        <v>S(5)</v>
      </c>
      <c r="CB22" s="16" t="str">
        <f>IFERROR(__xludf.DUMMYFUNCTION("""COMPUTED_VALUE"""),"R(3)")</f>
        <v>R(3)</v>
      </c>
      <c r="CC22" s="16" t="str">
        <f>IFERROR(__xludf.DUMMYFUNCTION("""COMPUTED_VALUE"""),"C(2)")</f>
        <v>C(2)</v>
      </c>
      <c r="CD22" s="16">
        <f>IFERROR(__xludf.DUMMYFUNCTION("""COMPUTED_VALUE"""),5.0)</f>
        <v>5</v>
      </c>
      <c r="CE22" s="16">
        <f>IFERROR(__xludf.DUMMYFUNCTION("""COMPUTED_VALUE"""),3.0)</f>
        <v>3</v>
      </c>
      <c r="CF22" s="16">
        <f>IFERROR(__xludf.DUMMYFUNCTION("""COMPUTED_VALUE"""),2.0)</f>
        <v>2</v>
      </c>
      <c r="CG22" s="16" t="str">
        <f>IFERROR(__xludf.DUMMYFUNCTION("""COMPUTED_VALUE"""),"2-0")</f>
        <v>2-0</v>
      </c>
      <c r="CH22" s="16">
        <f>IFERROR(__xludf.DUMMYFUNCTION("""COMPUTED_VALUE"""),2.0)</f>
        <v>2</v>
      </c>
      <c r="CI22" s="16">
        <f>IFERROR(__xludf.DUMMYFUNCTION("""COMPUTED_VALUE"""),0.0)</f>
        <v>0</v>
      </c>
      <c r="CJ22" s="16">
        <f>IFERROR(__xludf.DUMMYFUNCTION("""COMPUTED_VALUE"""),5.0)</f>
        <v>5</v>
      </c>
      <c r="CK22" s="16">
        <f>IFERROR(__xludf.DUMMYFUNCTION("""COMPUTED_VALUE"""),6.0)</f>
        <v>6</v>
      </c>
      <c r="CL22" s="16" t="str">
        <f>IFERROR(__xludf.DUMMYFUNCTION("""COMPUTED_VALUE"""),"1WR-C")</f>
        <v>1WR-C</v>
      </c>
      <c r="CM22" s="16" t="str">
        <f>IFERROR(__xludf.DUMMYFUNCTION("""COMPUTED_VALUE"""),"E")</f>
        <v>E</v>
      </c>
      <c r="CN22" s="16">
        <f>IFERROR(__xludf.DUMMYFUNCTION("""COMPUTED_VALUE"""),10.0)</f>
        <v>10</v>
      </c>
      <c r="CO22" s="16" t="str">
        <f>IFERROR(__xludf.DUMMYFUNCTION("""COMPUTED_VALUE"""),"C")</f>
        <v>C</v>
      </c>
      <c r="CP22" s="16" t="str">
        <f>IFERROR(__xludf.DUMMYFUNCTION("""COMPUTED_VALUE"""),"1p40")</f>
        <v>1p40</v>
      </c>
      <c r="CQ22" s="16">
        <f>IFERROR(__xludf.DUMMYFUNCTION("""COMPUTED_VALUE"""),29.0)</f>
        <v>29</v>
      </c>
      <c r="CR22" s="16">
        <f>IFERROR(__xludf.DUMMYFUNCTION("""COMPUTED_VALUE"""),47.0)</f>
        <v>47</v>
      </c>
      <c r="CS22" s="16">
        <f>IFERROR(__xludf.DUMMYFUNCTION("""COMPUTED_VALUE"""),76.0)</f>
        <v>76</v>
      </c>
      <c r="CT22" s="16">
        <f>IFERROR(__xludf.DUMMYFUNCTION("""COMPUTED_VALUE"""),29.0)</f>
        <v>29</v>
      </c>
      <c r="CU22" s="16">
        <f>IFERROR(__xludf.DUMMYFUNCTION("""COMPUTED_VALUE"""),47.0)</f>
        <v>47</v>
      </c>
      <c r="CV22" s="179">
        <f>IFERROR(__xludf.DUMMYFUNCTION("""COMPUTED_VALUE"""),40.0)</f>
        <v>40</v>
      </c>
      <c r="CW22" s="179">
        <f>IFERROR(__xludf.DUMMYFUNCTION("""COMPUTED_VALUE"""),4.0)</f>
        <v>4</v>
      </c>
      <c r="CX22" s="179">
        <f>IFERROR(__xludf.DUMMYFUNCTION("""COMPUTED_VALUE"""),1.0)</f>
        <v>1</v>
      </c>
      <c r="CY22" s="16" t="str">
        <f>IFERROR(__xludf.DUMMYFUNCTION("""COMPUTED_VALUE"""),"SP")</f>
        <v>SP</v>
      </c>
      <c r="CZ22" s="16" t="str">
        <f>IFERROR(__xludf.DUMMYFUNCTION("""COMPUTED_VALUE"""),"RP")</f>
        <v>RP</v>
      </c>
      <c r="DA22" s="16" t="str">
        <f>IFERROR(__xludf.DUMMYFUNCTION("""COMPUTED_VALUE"""),"CP")</f>
        <v>CP</v>
      </c>
      <c r="DB22" s="16"/>
      <c r="DC22" s="16"/>
      <c r="DD22" s="16"/>
      <c r="DE22" s="16"/>
      <c r="DF22" s="16"/>
      <c r="DG22" s="16"/>
      <c r="DH22" s="16"/>
      <c r="DI22" s="16"/>
      <c r="DJ22" s="16"/>
      <c r="DK22" s="16"/>
    </row>
    <row r="23">
      <c r="A23" s="16">
        <f>IFERROR(__xludf.DUMMYFUNCTION("""COMPUTED_VALUE"""),12956.0)</f>
        <v>12956</v>
      </c>
      <c r="B23" s="16" t="str">
        <f>IFERROR(__xludf.DUMMYFUNCTION("""COMPUTED_VALUE"""),"Jesus Tinoco")</f>
        <v>Jesus Tinoco</v>
      </c>
      <c r="C23" s="153">
        <f>IFERROR(__xludf.DUMMYFUNCTION("""COMPUTED_VALUE"""),1.95)</f>
        <v>1.95</v>
      </c>
      <c r="D23" s="16"/>
      <c r="E23" s="16" t="str">
        <f>IFERROR(__xludf.DUMMYFUNCTION("""COMPUTED_VALUE"""),"R")</f>
        <v>R</v>
      </c>
      <c r="F23" s="16">
        <f>IFERROR(__xludf.DUMMYFUNCTION("""COMPUTED_VALUE"""),41.0)</f>
        <v>41</v>
      </c>
      <c r="G23" s="16">
        <f>IFERROR(__xludf.DUMMYFUNCTION("""COMPUTED_VALUE"""),33.0)</f>
        <v>33</v>
      </c>
      <c r="H23" s="16">
        <f>IFERROR(__xludf.DUMMYFUNCTION("""COMPUTED_VALUE"""),31.0)</f>
        <v>31</v>
      </c>
      <c r="I23" s="16">
        <f>IFERROR(__xludf.DUMMYFUNCTION("""COMPUTED_VALUE"""),1.0)</f>
        <v>1</v>
      </c>
      <c r="J23" s="16">
        <f>IFERROR(__xludf.DUMMYFUNCTION("""COMPUTED_VALUE"""),0.0)</f>
        <v>0</v>
      </c>
      <c r="K23" s="16">
        <f>IFERROR(__xludf.DUMMYFUNCTION("""COMPUTED_VALUE"""),3.0)</f>
        <v>3</v>
      </c>
      <c r="L23" s="16">
        <f>IFERROR(__xludf.DUMMYFUNCTION("""COMPUTED_VALUE"""),0.0)</f>
        <v>0</v>
      </c>
      <c r="M23" s="16">
        <f>IFERROR(__xludf.DUMMYFUNCTION("""COMPUTED_VALUE"""),6.0)</f>
        <v>6</v>
      </c>
      <c r="N23" s="16">
        <f>IFERROR(__xludf.DUMMYFUNCTION("""COMPUTED_VALUE"""),6.0)</f>
        <v>6</v>
      </c>
      <c r="O23" s="16">
        <f>IFERROR(__xludf.DUMMYFUNCTION("""COMPUTED_VALUE"""),1.0)</f>
        <v>1</v>
      </c>
      <c r="P23" s="16">
        <f>IFERROR(__xludf.DUMMYFUNCTION("""COMPUTED_VALUE"""),1.0)</f>
        <v>1</v>
      </c>
      <c r="Q23" s="16">
        <f>IFERROR(__xludf.DUMMYFUNCTION("""COMPUTED_VALUE"""),1.0)</f>
        <v>1</v>
      </c>
      <c r="R23" s="16">
        <f>IFERROR(__xludf.DUMMYFUNCTION("""COMPUTED_VALUE"""),1.0)</f>
        <v>1</v>
      </c>
      <c r="S23" s="16">
        <f>IFERROR(__xludf.DUMMYFUNCTION("""COMPUTED_VALUE"""),4.3)</f>
        <v>4.3</v>
      </c>
      <c r="T23" s="16">
        <f>IFERROR(__xludf.DUMMYFUNCTION("""COMPUTED_VALUE"""),7.8)</f>
        <v>7.8</v>
      </c>
      <c r="U23" s="16">
        <f>IFERROR(__xludf.DUMMYFUNCTION("""COMPUTED_VALUE"""),2.0)</f>
        <v>2</v>
      </c>
      <c r="V23" s="16">
        <f>IFERROR(__xludf.DUMMYFUNCTION("""COMPUTED_VALUE"""),1.0)</f>
        <v>1</v>
      </c>
      <c r="W23" s="16">
        <f>IFERROR(__xludf.DUMMYFUNCTION("""COMPUTED_VALUE"""),4.0)</f>
        <v>4</v>
      </c>
      <c r="X23" s="16">
        <f>IFERROR(__xludf.DUMMYFUNCTION("""COMPUTED_VALUE"""),2.0)</f>
        <v>2</v>
      </c>
      <c r="Y23" s="16">
        <f>IFERROR(__xludf.DUMMYFUNCTION("""COMPUTED_VALUE"""),10.3)</f>
        <v>10.3</v>
      </c>
      <c r="Z23" s="16">
        <f>IFERROR(__xludf.DUMMYFUNCTION("""COMPUTED_VALUE"""),13.8)</f>
        <v>13.8</v>
      </c>
      <c r="AA23" s="16">
        <f>IFERROR(__xludf.DUMMYFUNCTION("""COMPUTED_VALUE"""),2.0)</f>
        <v>2</v>
      </c>
      <c r="AB23" s="16">
        <f>IFERROR(__xludf.DUMMYFUNCTION("""COMPUTED_VALUE"""),2.0)</f>
        <v>2</v>
      </c>
      <c r="AC23" s="16">
        <f>IFERROR(__xludf.DUMMYFUNCTION("""COMPUTED_VALUE"""),10.0)</f>
        <v>10</v>
      </c>
      <c r="AD23" s="16">
        <f>IFERROR(__xludf.DUMMYFUNCTION("""COMPUTED_VALUE"""),10.0)</f>
        <v>10</v>
      </c>
      <c r="AE23" s="16">
        <f>IFERROR(__xludf.DUMMYFUNCTION("""COMPUTED_VALUE"""),7.3)</f>
        <v>7.3</v>
      </c>
      <c r="AF23" s="16">
        <f>IFERROR(__xludf.DUMMYFUNCTION("""COMPUTED_VALUE"""),14.0)</f>
        <v>14</v>
      </c>
      <c r="AG23" s="16">
        <f>IFERROR(__xludf.DUMMYFUNCTION("""COMPUTED_VALUE"""),2.0)</f>
        <v>2</v>
      </c>
      <c r="AH23" s="16">
        <f>IFERROR(__xludf.DUMMYFUNCTION("""COMPUTED_VALUE"""),2.0)</f>
        <v>2</v>
      </c>
      <c r="AI23" s="16">
        <f>IFERROR(__xludf.DUMMYFUNCTION("""COMPUTED_VALUE"""),4.0)</f>
        <v>4</v>
      </c>
      <c r="AJ23" s="16">
        <f>IFERROR(__xludf.DUMMYFUNCTION("""COMPUTED_VALUE"""),4.0)</f>
        <v>4</v>
      </c>
      <c r="AK23" s="16">
        <f>IFERROR(__xludf.DUMMYFUNCTION("""COMPUTED_VALUE"""),3.3)</f>
        <v>3.3</v>
      </c>
      <c r="AL23" s="16">
        <f>IFERROR(__xludf.DUMMYFUNCTION("""COMPUTED_VALUE"""),7.8)</f>
        <v>7.8</v>
      </c>
      <c r="AM23" s="16">
        <f>IFERROR(__xludf.DUMMYFUNCTION("""COMPUTED_VALUE"""),2.0)</f>
        <v>2</v>
      </c>
      <c r="AN23" s="16">
        <f>IFERROR(__xludf.DUMMYFUNCTION("""COMPUTED_VALUE"""),1.0)</f>
        <v>1</v>
      </c>
      <c r="AO23" s="16">
        <f>IFERROR(__xludf.DUMMYFUNCTION("""COMPUTED_VALUE"""),2.0)</f>
        <v>2</v>
      </c>
      <c r="AP23" s="16">
        <f>IFERROR(__xludf.DUMMYFUNCTION("""COMPUTED_VALUE"""),1.0)</f>
        <v>1</v>
      </c>
      <c r="AQ23" s="16">
        <f>IFERROR(__xludf.DUMMYFUNCTION("""COMPUTED_VALUE"""),3.3)</f>
        <v>3.3</v>
      </c>
      <c r="AR23" s="16">
        <f>IFERROR(__xludf.DUMMYFUNCTION("""COMPUTED_VALUE"""),14.0)</f>
        <v>14</v>
      </c>
      <c r="AS23" s="16">
        <f>IFERROR(__xludf.DUMMYFUNCTION("""COMPUTED_VALUE"""),2.0)</f>
        <v>2</v>
      </c>
      <c r="AT23" s="16">
        <f>IFERROR(__xludf.DUMMYFUNCTION("""COMPUTED_VALUE"""),1.0)</f>
        <v>1</v>
      </c>
      <c r="AU23" s="16">
        <f>IFERROR(__xludf.DUMMYFUNCTION("""COMPUTED_VALUE"""),4.0)</f>
        <v>4</v>
      </c>
      <c r="AV23" s="16">
        <f>IFERROR(__xludf.DUMMYFUNCTION("""COMPUTED_VALUE"""),2.0)</f>
        <v>2</v>
      </c>
      <c r="AW23" s="16">
        <f>IFERROR(__xludf.DUMMYFUNCTION("""COMPUTED_VALUE"""),1.0)</f>
        <v>1</v>
      </c>
      <c r="AX23" s="16">
        <f>IFERROR(__xludf.DUMMYFUNCTION("""COMPUTED_VALUE"""),0.0)</f>
        <v>0</v>
      </c>
      <c r="AY23" s="16">
        <f>IFERROR(__xludf.DUMMYFUNCTION("""COMPUTED_VALUE"""),1.0)</f>
        <v>1</v>
      </c>
      <c r="AZ23" s="16">
        <f>IFERROR(__xludf.DUMMYFUNCTION("""COMPUTED_VALUE"""),2.0)</f>
        <v>2</v>
      </c>
      <c r="BA23" s="16">
        <f>IFERROR(__xludf.DUMMYFUNCTION("""COMPUTED_VALUE"""),5.0)</f>
        <v>5</v>
      </c>
      <c r="BB23" s="16">
        <f>IFERROR(__xludf.DUMMYFUNCTION("""COMPUTED_VALUE"""),10.0)</f>
        <v>10</v>
      </c>
      <c r="BC23" s="16"/>
      <c r="BD23" s="16">
        <f>IFERROR(__xludf.DUMMYFUNCTION("""COMPUTED_VALUE"""),0.0)</f>
        <v>0</v>
      </c>
      <c r="BE23" s="16">
        <f>IFERROR(__xludf.DUMMYFUNCTION("""COMPUTED_VALUE"""),1.0)</f>
        <v>1</v>
      </c>
      <c r="BF23" s="16">
        <f>IFERROR(__xludf.DUMMYFUNCTION("""COMPUTED_VALUE"""),0.0)</f>
        <v>0</v>
      </c>
      <c r="BG23" s="16">
        <f>IFERROR(__xludf.DUMMYFUNCTION("""COMPUTED_VALUE"""),2.0)</f>
        <v>2</v>
      </c>
      <c r="BH23" s="16">
        <f>IFERROR(__xludf.DUMMYFUNCTION("""COMPUTED_VALUE"""),2.0)</f>
        <v>2</v>
      </c>
      <c r="BI23" s="16">
        <f>IFERROR(__xludf.DUMMYFUNCTION("""COMPUTED_VALUE"""),4.0)</f>
        <v>4</v>
      </c>
      <c r="BJ23" s="16">
        <f>IFERROR(__xludf.DUMMYFUNCTION("""COMPUTED_VALUE"""),4.0)</f>
        <v>4</v>
      </c>
      <c r="BK23" s="16">
        <f>IFERROR(__xludf.DUMMYFUNCTION("""COMPUTED_VALUE"""),0.0)</f>
        <v>0</v>
      </c>
      <c r="BL23" s="16">
        <f>IFERROR(__xludf.DUMMYFUNCTION("""COMPUTED_VALUE"""),5.0)</f>
        <v>5</v>
      </c>
      <c r="BM23" s="16">
        <f>IFERROR(__xludf.DUMMYFUNCTION("""COMPUTED_VALUE"""),1.0)</f>
        <v>1</v>
      </c>
      <c r="BN23" s="16">
        <f>IFERROR(__xludf.DUMMYFUNCTION("""COMPUTED_VALUE"""),0.0)</f>
        <v>0</v>
      </c>
      <c r="BO23" s="16">
        <f>IFERROR(__xludf.DUMMYFUNCTION("""COMPUTED_VALUE"""),1.0)</f>
        <v>1</v>
      </c>
      <c r="BP23" s="16">
        <f>IFERROR(__xludf.DUMMYFUNCTION("""COMPUTED_VALUE"""),0.0)</f>
        <v>0</v>
      </c>
      <c r="BQ23" s="16">
        <f>IFERROR(__xludf.DUMMYFUNCTION("""COMPUTED_VALUE"""),4.0)</f>
        <v>4</v>
      </c>
      <c r="BR23" s="16">
        <f>IFERROR(__xludf.DUMMYFUNCTION("""COMPUTED_VALUE"""),4.0)</f>
        <v>4</v>
      </c>
      <c r="BS23" s="16">
        <f>IFERROR(__xludf.DUMMYFUNCTION("""COMPUTED_VALUE"""),-1.0)</f>
        <v>-1</v>
      </c>
      <c r="BT23" s="16">
        <f>IFERROR(__xludf.DUMMYFUNCTION("""COMPUTED_VALUE"""),-1.0)</f>
        <v>-1</v>
      </c>
      <c r="BU23" s="16">
        <f>IFERROR(__xludf.DUMMYFUNCTION("""COMPUTED_VALUE"""),-2.0)</f>
        <v>-2</v>
      </c>
      <c r="BV23" s="16">
        <f>IFERROR(__xludf.DUMMYFUNCTION("""COMPUTED_VALUE"""),-2.0)</f>
        <v>-2</v>
      </c>
      <c r="BW23" s="16">
        <f>IFERROR(__xludf.DUMMYFUNCTION("""COMPUTED_VALUE"""),1.0)</f>
        <v>1</v>
      </c>
      <c r="BX23" s="16">
        <f>IFERROR(__xludf.DUMMYFUNCTION("""COMPUTED_VALUE"""),1.0)</f>
        <v>1</v>
      </c>
      <c r="BY23" s="16" t="str">
        <f>IFERROR(__xludf.DUMMYFUNCTION("""COMPUTED_VALUE"""),"R(2) C(2)")</f>
        <v>R(2) C(2)</v>
      </c>
      <c r="BZ23" s="16" t="str">
        <f>IFERROR(__xludf.DUMMYFUNCTION("""COMPUTED_VALUE"""),"R(2) C(2)")</f>
        <v>R(2) C(2)</v>
      </c>
      <c r="CA23" s="16" t="str">
        <f>IFERROR(__xludf.DUMMYFUNCTION("""COMPUTED_VALUE"""),"R(2)")</f>
        <v>R(2)</v>
      </c>
      <c r="CB23" s="16" t="str">
        <f>IFERROR(__xludf.DUMMYFUNCTION("""COMPUTED_VALUE"""),"C(2)")</f>
        <v>C(2)</v>
      </c>
      <c r="CC23" s="16"/>
      <c r="CD23" s="16"/>
      <c r="CE23" s="16">
        <f>IFERROR(__xludf.DUMMYFUNCTION("""COMPUTED_VALUE"""),2.0)</f>
        <v>2</v>
      </c>
      <c r="CF23" s="16">
        <f>IFERROR(__xludf.DUMMYFUNCTION("""COMPUTED_VALUE"""),2.0)</f>
        <v>2</v>
      </c>
      <c r="CG23" s="16" t="str">
        <f>IFERROR(__xludf.DUMMYFUNCTION("""COMPUTED_VALUE"""),"4-0")</f>
        <v>4-0</v>
      </c>
      <c r="CH23" s="16">
        <f>IFERROR(__xludf.DUMMYFUNCTION("""COMPUTED_VALUE"""),4.0)</f>
        <v>4</v>
      </c>
      <c r="CI23" s="16">
        <f>IFERROR(__xludf.DUMMYFUNCTION("""COMPUTED_VALUE"""),0.0)</f>
        <v>0</v>
      </c>
      <c r="CJ23" s="16">
        <f>IFERROR(__xludf.DUMMYFUNCTION("""COMPUTED_VALUE"""),0.0)</f>
        <v>0</v>
      </c>
      <c r="CK23" s="16">
        <f>IFERROR(__xludf.DUMMYFUNCTION("""COMPUTED_VALUE"""),5.0)</f>
        <v>5</v>
      </c>
      <c r="CL23" s="16" t="str">
        <f>IFERROR(__xludf.DUMMYFUNCTION("""COMPUTED_VALUE"""),"1WR-C")</f>
        <v>1WR-C</v>
      </c>
      <c r="CM23" s="16" t="str">
        <f>IFERROR(__xludf.DUMMYFUNCTION("""COMPUTED_VALUE"""),"E")</f>
        <v>E</v>
      </c>
      <c r="CN23" s="16">
        <f>IFERROR(__xludf.DUMMYFUNCTION("""COMPUTED_VALUE"""),10.0)</f>
        <v>10</v>
      </c>
      <c r="CO23" s="16" t="str">
        <f>IFERROR(__xludf.DUMMYFUNCTION("""COMPUTED_VALUE"""),"C")</f>
        <v>C</v>
      </c>
      <c r="CP23" s="16" t="str">
        <f>IFERROR(__xludf.DUMMYFUNCTION("""COMPUTED_VALUE"""),"1p30")</f>
        <v>1p30</v>
      </c>
      <c r="CQ23" s="16">
        <f>IFERROR(__xludf.DUMMYFUNCTION("""COMPUTED_VALUE"""),36.0)</f>
        <v>36</v>
      </c>
      <c r="CR23" s="16">
        <f>IFERROR(__xludf.DUMMYFUNCTION("""COMPUTED_VALUE"""),32.0)</f>
        <v>32</v>
      </c>
      <c r="CS23" s="16">
        <f>IFERROR(__xludf.DUMMYFUNCTION("""COMPUTED_VALUE"""),68.0)</f>
        <v>68</v>
      </c>
      <c r="CT23" s="16">
        <f>IFERROR(__xludf.DUMMYFUNCTION("""COMPUTED_VALUE"""),36.0)</f>
        <v>36</v>
      </c>
      <c r="CU23" s="16">
        <f>IFERROR(__xludf.DUMMYFUNCTION("""COMPUTED_VALUE"""),32.0)</f>
        <v>32</v>
      </c>
      <c r="CV23" s="179">
        <f>IFERROR(__xludf.DUMMYFUNCTION("""COMPUTED_VALUE"""),39.333333333333336)</f>
        <v>39.33333333</v>
      </c>
      <c r="CW23" s="179">
        <f>IFERROR(__xludf.DUMMYFUNCTION("""COMPUTED_VALUE"""),4.0)</f>
        <v>4</v>
      </c>
      <c r="CX23" s="179">
        <f>IFERROR(__xludf.DUMMYFUNCTION("""COMPUTED_VALUE"""),2.0)</f>
        <v>2</v>
      </c>
      <c r="CY23" s="16" t="str">
        <f>IFERROR(__xludf.DUMMYFUNCTION("""COMPUTED_VALUE"""),"RP")</f>
        <v>RP</v>
      </c>
      <c r="CZ23" s="16" t="str">
        <f>IFERROR(__xludf.DUMMYFUNCTION("""COMPUTED_VALUE"""),"CP")</f>
        <v>CP</v>
      </c>
      <c r="DA23" s="16"/>
      <c r="DB23" s="16"/>
      <c r="DC23" s="16"/>
      <c r="DD23" s="16"/>
      <c r="DE23" s="16"/>
      <c r="DF23" s="16"/>
      <c r="DG23" s="16"/>
      <c r="DH23" s="16"/>
      <c r="DI23" s="16"/>
      <c r="DJ23" s="16"/>
      <c r="DK23" s="16"/>
    </row>
    <row r="24">
      <c r="A24" s="16">
        <f>IFERROR(__xludf.DUMMYFUNCTION("""COMPUTED_VALUE"""),13290.0)</f>
        <v>13290</v>
      </c>
      <c r="B24" s="16" t="str">
        <f>IFERROR(__xludf.DUMMYFUNCTION("""COMPUTED_VALUE"""),"Porter Hodge")</f>
        <v>Porter Hodge</v>
      </c>
      <c r="C24" s="153">
        <f>IFERROR(__xludf.DUMMYFUNCTION("""COMPUTED_VALUE"""),1.45)</f>
        <v>1.45</v>
      </c>
      <c r="D24" s="16"/>
      <c r="E24" s="16" t="str">
        <f>IFERROR(__xludf.DUMMYFUNCTION("""COMPUTED_VALUE"""),"R")</f>
        <v>R</v>
      </c>
      <c r="F24" s="16">
        <f>IFERROR(__xludf.DUMMYFUNCTION("""COMPUTED_VALUE"""),43.0)</f>
        <v>43</v>
      </c>
      <c r="G24" s="16">
        <f>IFERROR(__xludf.DUMMYFUNCTION("""COMPUTED_VALUE"""),57.0)</f>
        <v>57</v>
      </c>
      <c r="H24" s="16">
        <f>IFERROR(__xludf.DUMMYFUNCTION("""COMPUTED_VALUE"""),34.0)</f>
        <v>34</v>
      </c>
      <c r="I24" s="16">
        <f>IFERROR(__xludf.DUMMYFUNCTION("""COMPUTED_VALUE"""),3.0)</f>
        <v>3</v>
      </c>
      <c r="J24" s="16">
        <f>IFERROR(__xludf.DUMMYFUNCTION("""COMPUTED_VALUE"""),1.0)</f>
        <v>1</v>
      </c>
      <c r="K24" s="16">
        <f>IFERROR(__xludf.DUMMYFUNCTION("""COMPUTED_VALUE"""),9.0)</f>
        <v>9</v>
      </c>
      <c r="L24" s="16">
        <f>IFERROR(__xludf.DUMMYFUNCTION("""COMPUTED_VALUE"""),3.0)</f>
        <v>3</v>
      </c>
      <c r="M24" s="16">
        <f>IFERROR(__xludf.DUMMYFUNCTION("""COMPUTED_VALUE"""),13.0)</f>
        <v>13</v>
      </c>
      <c r="N24" s="16">
        <f>IFERROR(__xludf.DUMMYFUNCTION("""COMPUTED_VALUE"""),19.0)</f>
        <v>19</v>
      </c>
      <c r="O24" s="16">
        <f>IFERROR(__xludf.DUMMYFUNCTION("""COMPUTED_VALUE"""),-1.0)</f>
        <v>-1</v>
      </c>
      <c r="P24" s="16">
        <f>IFERROR(__xludf.DUMMYFUNCTION("""COMPUTED_VALUE"""),-3.0)</f>
        <v>-3</v>
      </c>
      <c r="Q24" s="16">
        <f>IFERROR(__xludf.DUMMYFUNCTION("""COMPUTED_VALUE"""),-1.0)</f>
        <v>-1</v>
      </c>
      <c r="R24" s="16">
        <f>IFERROR(__xludf.DUMMYFUNCTION("""COMPUTED_VALUE"""),-3.0)</f>
        <v>-3</v>
      </c>
      <c r="S24" s="16">
        <f>IFERROR(__xludf.DUMMYFUNCTION("""COMPUTED_VALUE"""),5.7)</f>
        <v>5.7</v>
      </c>
      <c r="T24" s="16">
        <f>IFERROR(__xludf.DUMMYFUNCTION("""COMPUTED_VALUE"""),0.0)</f>
        <v>0</v>
      </c>
      <c r="U24" s="16">
        <f>IFERROR(__xludf.DUMMYFUNCTION("""COMPUTED_VALUE"""),2.0)</f>
        <v>2</v>
      </c>
      <c r="V24" s="16">
        <f>IFERROR(__xludf.DUMMYFUNCTION("""COMPUTED_VALUE"""),3.0)</f>
        <v>3</v>
      </c>
      <c r="W24" s="16">
        <f>IFERROR(__xludf.DUMMYFUNCTION("""COMPUTED_VALUE"""),4.0)</f>
        <v>4</v>
      </c>
      <c r="X24" s="16">
        <f>IFERROR(__xludf.DUMMYFUNCTION("""COMPUTED_VALUE"""),6.0)</f>
        <v>6</v>
      </c>
      <c r="Y24" s="16">
        <f>IFERROR(__xludf.DUMMYFUNCTION("""COMPUTED_VALUE"""),18.7)</f>
        <v>18.7</v>
      </c>
      <c r="Z24" s="16">
        <f>IFERROR(__xludf.DUMMYFUNCTION("""COMPUTED_VALUE"""),19.0)</f>
        <v>19</v>
      </c>
      <c r="AA24" s="16">
        <f>IFERROR(__xludf.DUMMYFUNCTION("""COMPUTED_VALUE"""),1.0)</f>
        <v>1</v>
      </c>
      <c r="AB24" s="16">
        <f>IFERROR(__xludf.DUMMYFUNCTION("""COMPUTED_VALUE"""),1.0)</f>
        <v>1</v>
      </c>
      <c r="AC24" s="16">
        <f>IFERROR(__xludf.DUMMYFUNCTION("""COMPUTED_VALUE"""),5.0)</f>
        <v>5</v>
      </c>
      <c r="AD24" s="16">
        <f>IFERROR(__xludf.DUMMYFUNCTION("""COMPUTED_VALUE"""),5.0)</f>
        <v>5</v>
      </c>
      <c r="AE24" s="16">
        <f>IFERROR(__xludf.DUMMYFUNCTION("""COMPUTED_VALUE"""),13.8)</f>
        <v>13.8</v>
      </c>
      <c r="AF24" s="16">
        <f>IFERROR(__xludf.DUMMYFUNCTION("""COMPUTED_VALUE"""),0.0)</f>
        <v>0</v>
      </c>
      <c r="AG24" s="16">
        <f>IFERROR(__xludf.DUMMYFUNCTION("""COMPUTED_VALUE"""),1.0)</f>
        <v>1</v>
      </c>
      <c r="AH24" s="16">
        <f>IFERROR(__xludf.DUMMYFUNCTION("""COMPUTED_VALUE"""),3.0)</f>
        <v>3</v>
      </c>
      <c r="AI24" s="16">
        <f>IFERROR(__xludf.DUMMYFUNCTION("""COMPUTED_VALUE"""),2.0)</f>
        <v>2</v>
      </c>
      <c r="AJ24" s="16">
        <f>IFERROR(__xludf.DUMMYFUNCTION("""COMPUTED_VALUE"""),6.0)</f>
        <v>6</v>
      </c>
      <c r="AK24" s="16">
        <f>IFERROR(__xludf.DUMMYFUNCTION("""COMPUTED_VALUE"""),5.7)</f>
        <v>5.7</v>
      </c>
      <c r="AL24" s="16">
        <f>IFERROR(__xludf.DUMMYFUNCTION("""COMPUTED_VALUE"""),0.0)</f>
        <v>0</v>
      </c>
      <c r="AM24" s="16">
        <f>IFERROR(__xludf.DUMMYFUNCTION("""COMPUTED_VALUE"""),1.0)</f>
        <v>1</v>
      </c>
      <c r="AN24" s="16">
        <f>IFERROR(__xludf.DUMMYFUNCTION("""COMPUTED_VALUE"""),3.0)</f>
        <v>3</v>
      </c>
      <c r="AO24" s="16">
        <f>IFERROR(__xludf.DUMMYFUNCTION("""COMPUTED_VALUE"""),1.0)</f>
        <v>1</v>
      </c>
      <c r="AP24" s="16">
        <f>IFERROR(__xludf.DUMMYFUNCTION("""COMPUTED_VALUE"""),3.0)</f>
        <v>3</v>
      </c>
      <c r="AQ24" s="16">
        <f>IFERROR(__xludf.DUMMYFUNCTION("""COMPUTED_VALUE"""),13.8)</f>
        <v>13.8</v>
      </c>
      <c r="AR24" s="16">
        <f>IFERROR(__xludf.DUMMYFUNCTION("""COMPUTED_VALUE"""),0.0)</f>
        <v>0</v>
      </c>
      <c r="AS24" s="16">
        <f>IFERROR(__xludf.DUMMYFUNCTION("""COMPUTED_VALUE"""),1.0)</f>
        <v>1</v>
      </c>
      <c r="AT24" s="16">
        <f>IFERROR(__xludf.DUMMYFUNCTION("""COMPUTED_VALUE"""),3.0)</f>
        <v>3</v>
      </c>
      <c r="AU24" s="16">
        <f>IFERROR(__xludf.DUMMYFUNCTION("""COMPUTED_VALUE"""),2.0)</f>
        <v>2</v>
      </c>
      <c r="AV24" s="16">
        <f>IFERROR(__xludf.DUMMYFUNCTION("""COMPUTED_VALUE"""),6.0)</f>
        <v>6</v>
      </c>
      <c r="AW24" s="16">
        <f>IFERROR(__xludf.DUMMYFUNCTION("""COMPUTED_VALUE"""),0.0)</f>
        <v>0</v>
      </c>
      <c r="AX24" s="16">
        <f>IFERROR(__xludf.DUMMYFUNCTION("""COMPUTED_VALUE"""),0.0)</f>
        <v>0</v>
      </c>
      <c r="AY24" s="16">
        <f>IFERROR(__xludf.DUMMYFUNCTION("""COMPUTED_VALUE"""),2.0)</f>
        <v>2</v>
      </c>
      <c r="AZ24" s="16">
        <f>IFERROR(__xludf.DUMMYFUNCTION("""COMPUTED_VALUE"""),2.0)</f>
        <v>2</v>
      </c>
      <c r="BA24" s="16">
        <f>IFERROR(__xludf.DUMMYFUNCTION("""COMPUTED_VALUE"""),10.0)</f>
        <v>10</v>
      </c>
      <c r="BB24" s="16">
        <f>IFERROR(__xludf.DUMMYFUNCTION("""COMPUTED_VALUE"""),10.0)</f>
        <v>10</v>
      </c>
      <c r="BC24" s="16"/>
      <c r="BD24" s="16"/>
      <c r="BE24" s="16">
        <f>IFERROR(__xludf.DUMMYFUNCTION("""COMPUTED_VALUE"""),0.0)</f>
        <v>0</v>
      </c>
      <c r="BF24" s="16">
        <f>IFERROR(__xludf.DUMMYFUNCTION("""COMPUTED_VALUE"""),0.0)</f>
        <v>0</v>
      </c>
      <c r="BG24" s="16">
        <f>IFERROR(__xludf.DUMMYFUNCTION("""COMPUTED_VALUE"""),3.0)</f>
        <v>3</v>
      </c>
      <c r="BH24" s="16">
        <f>IFERROR(__xludf.DUMMYFUNCTION("""COMPUTED_VALUE"""),2.0)</f>
        <v>2</v>
      </c>
      <c r="BI24" s="16">
        <f>IFERROR(__xludf.DUMMYFUNCTION("""COMPUTED_VALUE"""),6.0)</f>
        <v>6</v>
      </c>
      <c r="BJ24" s="16">
        <f>IFERROR(__xludf.DUMMYFUNCTION("""COMPUTED_VALUE"""),4.0)</f>
        <v>4</v>
      </c>
      <c r="BK24" s="16">
        <f>IFERROR(__xludf.DUMMYFUNCTION("""COMPUTED_VALUE"""),0.0)</f>
        <v>0</v>
      </c>
      <c r="BL24" s="16">
        <f>IFERROR(__xludf.DUMMYFUNCTION("""COMPUTED_VALUE"""),0.0)</f>
        <v>0</v>
      </c>
      <c r="BM24" s="16">
        <f>IFERROR(__xludf.DUMMYFUNCTION("""COMPUTED_VALUE"""),1.0)</f>
        <v>1</v>
      </c>
      <c r="BN24" s="16">
        <f>IFERROR(__xludf.DUMMYFUNCTION("""COMPUTED_VALUE"""),1.0)</f>
        <v>1</v>
      </c>
      <c r="BO24" s="16">
        <f>IFERROR(__xludf.DUMMYFUNCTION("""COMPUTED_VALUE"""),1.0)</f>
        <v>1</v>
      </c>
      <c r="BP24" s="16">
        <f>IFERROR(__xludf.DUMMYFUNCTION("""COMPUTED_VALUE"""),1.0)</f>
        <v>1</v>
      </c>
      <c r="BQ24" s="16">
        <f>IFERROR(__xludf.DUMMYFUNCTION("""COMPUTED_VALUE"""),0.0)</f>
        <v>0</v>
      </c>
      <c r="BR24" s="16">
        <f>IFERROR(__xludf.DUMMYFUNCTION("""COMPUTED_VALUE"""),0.0)</f>
        <v>0</v>
      </c>
      <c r="BS24" s="16">
        <f>IFERROR(__xludf.DUMMYFUNCTION("""COMPUTED_VALUE"""),-3.0)</f>
        <v>-3</v>
      </c>
      <c r="BT24" s="16">
        <f>IFERROR(__xludf.DUMMYFUNCTION("""COMPUTED_VALUE"""),-3.0)</f>
        <v>-3</v>
      </c>
      <c r="BU24" s="16">
        <f>IFERROR(__xludf.DUMMYFUNCTION("""COMPUTED_VALUE"""),-6.0)</f>
        <v>-6</v>
      </c>
      <c r="BV24" s="16">
        <f>IFERROR(__xludf.DUMMYFUNCTION("""COMPUTED_VALUE"""),-6.0)</f>
        <v>-6</v>
      </c>
      <c r="BW24" s="16">
        <f>IFERROR(__xludf.DUMMYFUNCTION("""COMPUTED_VALUE"""),-2.0)</f>
        <v>-2</v>
      </c>
      <c r="BX24" s="16">
        <f>IFERROR(__xludf.DUMMYFUNCTION("""COMPUTED_VALUE"""),-2.0)</f>
        <v>-2</v>
      </c>
      <c r="BY24" s="16" t="str">
        <f>IFERROR(__xludf.DUMMYFUNCTION("""COMPUTED_VALUE"""),"R(1) C(4)")</f>
        <v>R(1) C(4)</v>
      </c>
      <c r="BZ24" s="16" t="str">
        <f>IFERROR(__xludf.DUMMYFUNCTION("""COMPUTED_VALUE"""),"R(1) C(4)")</f>
        <v>R(1) C(4)</v>
      </c>
      <c r="CA24" s="16" t="str">
        <f>IFERROR(__xludf.DUMMYFUNCTION("""COMPUTED_VALUE"""),"R(1)")</f>
        <v>R(1)</v>
      </c>
      <c r="CB24" s="16" t="str">
        <f>IFERROR(__xludf.DUMMYFUNCTION("""COMPUTED_VALUE"""),"C(4)")</f>
        <v>C(4)</v>
      </c>
      <c r="CC24" s="16"/>
      <c r="CD24" s="16"/>
      <c r="CE24" s="16">
        <f>IFERROR(__xludf.DUMMYFUNCTION("""COMPUTED_VALUE"""),1.0)</f>
        <v>1</v>
      </c>
      <c r="CF24" s="16">
        <f>IFERROR(__xludf.DUMMYFUNCTION("""COMPUTED_VALUE"""),4.0)</f>
        <v>4</v>
      </c>
      <c r="CG24" s="16" t="str">
        <f>IFERROR(__xludf.DUMMYFUNCTION("""COMPUTED_VALUE"""),"2-0")</f>
        <v>2-0</v>
      </c>
      <c r="CH24" s="16">
        <f>IFERROR(__xludf.DUMMYFUNCTION("""COMPUTED_VALUE"""),2.0)</f>
        <v>2</v>
      </c>
      <c r="CI24" s="16">
        <f>IFERROR(__xludf.DUMMYFUNCTION("""COMPUTED_VALUE"""),0.0)</f>
        <v>0</v>
      </c>
      <c r="CJ24" s="16">
        <f>IFERROR(__xludf.DUMMYFUNCTION("""COMPUTED_VALUE"""),0.0)</f>
        <v>0</v>
      </c>
      <c r="CK24" s="16">
        <f>IFERROR(__xludf.DUMMYFUNCTION("""COMPUTED_VALUE"""),5.0)</f>
        <v>5</v>
      </c>
      <c r="CL24" s="16" t="str">
        <f>IFERROR(__xludf.DUMMYFUNCTION("""COMPUTED_VALUE"""),"1WR-C")</f>
        <v>1WR-C</v>
      </c>
      <c r="CM24" s="16" t="str">
        <f>IFERROR(__xludf.DUMMYFUNCTION("""COMPUTED_VALUE"""),"E")</f>
        <v>E</v>
      </c>
      <c r="CN24" s="16">
        <f>IFERROR(__xludf.DUMMYFUNCTION("""COMPUTED_VALUE"""),10.0)</f>
        <v>10</v>
      </c>
      <c r="CO24" s="16" t="str">
        <f>IFERROR(__xludf.DUMMYFUNCTION("""COMPUTED_VALUE"""),"C")</f>
        <v>C</v>
      </c>
      <c r="CP24" s="16" t="str">
        <f>IFERROR(__xludf.DUMMYFUNCTION("""COMPUTED_VALUE"""),"1p40")</f>
        <v>1p40</v>
      </c>
      <c r="CQ24" s="16">
        <f>IFERROR(__xludf.DUMMYFUNCTION("""COMPUTED_VALUE"""),33.0)</f>
        <v>33</v>
      </c>
      <c r="CR24" s="16">
        <f>IFERROR(__xludf.DUMMYFUNCTION("""COMPUTED_VALUE"""),35.0)</f>
        <v>35</v>
      </c>
      <c r="CS24" s="16">
        <f>IFERROR(__xludf.DUMMYFUNCTION("""COMPUTED_VALUE"""),68.0)</f>
        <v>68</v>
      </c>
      <c r="CT24" s="16">
        <f>IFERROR(__xludf.DUMMYFUNCTION("""COMPUTED_VALUE"""),33.0)</f>
        <v>33</v>
      </c>
      <c r="CU24" s="16">
        <f>IFERROR(__xludf.DUMMYFUNCTION("""COMPUTED_VALUE"""),35.0)</f>
        <v>35</v>
      </c>
      <c r="CV24" s="179">
        <f>IFERROR(__xludf.DUMMYFUNCTION("""COMPUTED_VALUE"""),38.666666666666664)</f>
        <v>38.66666667</v>
      </c>
      <c r="CW24" s="179">
        <f>IFERROR(__xludf.DUMMYFUNCTION("""COMPUTED_VALUE"""),4.0)</f>
        <v>4</v>
      </c>
      <c r="CX24" s="179">
        <f>IFERROR(__xludf.DUMMYFUNCTION("""COMPUTED_VALUE"""),1.0)</f>
        <v>1</v>
      </c>
      <c r="CY24" s="16" t="str">
        <f>IFERROR(__xludf.DUMMYFUNCTION("""COMPUTED_VALUE"""),"RP")</f>
        <v>RP</v>
      </c>
      <c r="CZ24" s="16" t="str">
        <f>IFERROR(__xludf.DUMMYFUNCTION("""COMPUTED_VALUE"""),"CP")</f>
        <v>CP</v>
      </c>
      <c r="DA24" s="16"/>
      <c r="DB24" s="16"/>
      <c r="DC24" s="16"/>
      <c r="DD24" s="16"/>
      <c r="DE24" s="16"/>
      <c r="DF24" s="16"/>
      <c r="DG24" s="16"/>
      <c r="DH24" s="16"/>
      <c r="DI24" s="16"/>
      <c r="DJ24" s="16"/>
      <c r="DK24" s="16"/>
    </row>
    <row r="25">
      <c r="A25" s="16">
        <f>IFERROR(__xludf.DUMMYFUNCTION("""COMPUTED_VALUE"""),12580.0)</f>
        <v>12580</v>
      </c>
      <c r="B25" s="16" t="str">
        <f>IFERROR(__xludf.DUMMYFUNCTION("""COMPUTED_VALUE"""),"Blake Snell")</f>
        <v>Blake Snell</v>
      </c>
      <c r="C25" s="153">
        <f>IFERROR(__xludf.DUMMYFUNCTION("""COMPUTED_VALUE"""),1.51)</f>
        <v>1.51</v>
      </c>
      <c r="D25" s="16"/>
      <c r="E25" s="16" t="str">
        <f>IFERROR(__xludf.DUMMYFUNCTION("""COMPUTED_VALUE"""),"L")</f>
        <v>L</v>
      </c>
      <c r="F25" s="16">
        <f>IFERROR(__xludf.DUMMYFUNCTION("""COMPUTED_VALUE"""),104.0)</f>
        <v>104</v>
      </c>
      <c r="G25" s="16">
        <f>IFERROR(__xludf.DUMMYFUNCTION("""COMPUTED_VALUE"""),61.0)</f>
        <v>61</v>
      </c>
      <c r="H25" s="16">
        <f>IFERROR(__xludf.DUMMYFUNCTION("""COMPUTED_VALUE"""),49.0)</f>
        <v>49</v>
      </c>
      <c r="I25" s="16">
        <f>IFERROR(__xludf.DUMMYFUNCTION("""COMPUTED_VALUE"""),3.0)</f>
        <v>3</v>
      </c>
      <c r="J25" s="16">
        <f>IFERROR(__xludf.DUMMYFUNCTION("""COMPUTED_VALUE"""),2.0)</f>
        <v>2</v>
      </c>
      <c r="K25" s="16">
        <f>IFERROR(__xludf.DUMMYFUNCTION("""COMPUTED_VALUE"""),9.0)</f>
        <v>9</v>
      </c>
      <c r="L25" s="16">
        <f>IFERROR(__xludf.DUMMYFUNCTION("""COMPUTED_VALUE"""),6.0)</f>
        <v>6</v>
      </c>
      <c r="M25" s="16">
        <f>IFERROR(__xludf.DUMMYFUNCTION("""COMPUTED_VALUE"""),13.0)</f>
        <v>13</v>
      </c>
      <c r="N25" s="16">
        <f>IFERROR(__xludf.DUMMYFUNCTION("""COMPUTED_VALUE"""),14.0)</f>
        <v>14</v>
      </c>
      <c r="O25" s="16">
        <f>IFERROR(__xludf.DUMMYFUNCTION("""COMPUTED_VALUE"""),-1.0)</f>
        <v>-1</v>
      </c>
      <c r="P25" s="16">
        <f>IFERROR(__xludf.DUMMYFUNCTION("""COMPUTED_VALUE"""),-2.0)</f>
        <v>-2</v>
      </c>
      <c r="Q25" s="16">
        <f>IFERROR(__xludf.DUMMYFUNCTION("""COMPUTED_VALUE"""),-1.0)</f>
        <v>-1</v>
      </c>
      <c r="R25" s="16">
        <f>IFERROR(__xludf.DUMMYFUNCTION("""COMPUTED_VALUE"""),-2.0)</f>
        <v>-2</v>
      </c>
      <c r="S25" s="16">
        <f>IFERROR(__xludf.DUMMYFUNCTION("""COMPUTED_VALUE"""),2.2)</f>
        <v>2.2</v>
      </c>
      <c r="T25" s="16">
        <f>IFERROR(__xludf.DUMMYFUNCTION("""COMPUTED_VALUE"""),4.1)</f>
        <v>4.1</v>
      </c>
      <c r="U25" s="16">
        <f>IFERROR(__xludf.DUMMYFUNCTION("""COMPUTED_VALUE"""),2.0)</f>
        <v>2</v>
      </c>
      <c r="V25" s="16">
        <f>IFERROR(__xludf.DUMMYFUNCTION("""COMPUTED_VALUE"""),2.0)</f>
        <v>2</v>
      </c>
      <c r="W25" s="16">
        <f>IFERROR(__xludf.DUMMYFUNCTION("""COMPUTED_VALUE"""),4.0)</f>
        <v>4</v>
      </c>
      <c r="X25" s="16">
        <f>IFERROR(__xludf.DUMMYFUNCTION("""COMPUTED_VALUE"""),4.0)</f>
        <v>4</v>
      </c>
      <c r="Y25" s="16">
        <f>IFERROR(__xludf.DUMMYFUNCTION("""COMPUTED_VALUE"""),15.2)</f>
        <v>15.2</v>
      </c>
      <c r="Z25" s="16">
        <f>IFERROR(__xludf.DUMMYFUNCTION("""COMPUTED_VALUE"""),18.1)</f>
        <v>18.1</v>
      </c>
      <c r="AA25" s="16">
        <f>IFERROR(__xludf.DUMMYFUNCTION("""COMPUTED_VALUE"""),2.0)</f>
        <v>2</v>
      </c>
      <c r="AB25" s="16">
        <f>IFERROR(__xludf.DUMMYFUNCTION("""COMPUTED_VALUE"""),1.0)</f>
        <v>1</v>
      </c>
      <c r="AC25" s="16">
        <f>IFERROR(__xludf.DUMMYFUNCTION("""COMPUTED_VALUE"""),10.0)</f>
        <v>10</v>
      </c>
      <c r="AD25" s="16">
        <f>IFERROR(__xludf.DUMMYFUNCTION("""COMPUTED_VALUE"""),5.0)</f>
        <v>5</v>
      </c>
      <c r="AE25" s="16">
        <f>IFERROR(__xludf.DUMMYFUNCTION("""COMPUTED_VALUE"""),2.2)</f>
        <v>2.2</v>
      </c>
      <c r="AF25" s="16">
        <f>IFERROR(__xludf.DUMMYFUNCTION("""COMPUTED_VALUE"""),6.7)</f>
        <v>6.7</v>
      </c>
      <c r="AG25" s="16">
        <f>IFERROR(__xludf.DUMMYFUNCTION("""COMPUTED_VALUE"""),2.0)</f>
        <v>2</v>
      </c>
      <c r="AH25" s="16">
        <f>IFERROR(__xludf.DUMMYFUNCTION("""COMPUTED_VALUE"""),2.0)</f>
        <v>2</v>
      </c>
      <c r="AI25" s="16">
        <f>IFERROR(__xludf.DUMMYFUNCTION("""COMPUTED_VALUE"""),4.0)</f>
        <v>4</v>
      </c>
      <c r="AJ25" s="16">
        <f>IFERROR(__xludf.DUMMYFUNCTION("""COMPUTED_VALUE"""),4.0)</f>
        <v>4</v>
      </c>
      <c r="AK25" s="16">
        <f>IFERROR(__xludf.DUMMYFUNCTION("""COMPUTED_VALUE"""),2.2)</f>
        <v>2.2</v>
      </c>
      <c r="AL25" s="16">
        <f>IFERROR(__xludf.DUMMYFUNCTION("""COMPUTED_VALUE"""),4.1)</f>
        <v>4.1</v>
      </c>
      <c r="AM25" s="16">
        <f>IFERROR(__xludf.DUMMYFUNCTION("""COMPUTED_VALUE"""),2.0)</f>
        <v>2</v>
      </c>
      <c r="AN25" s="16">
        <f>IFERROR(__xludf.DUMMYFUNCTION("""COMPUTED_VALUE"""),2.0)</f>
        <v>2</v>
      </c>
      <c r="AO25" s="16">
        <f>IFERROR(__xludf.DUMMYFUNCTION("""COMPUTED_VALUE"""),2.0)</f>
        <v>2</v>
      </c>
      <c r="AP25" s="16">
        <f>IFERROR(__xludf.DUMMYFUNCTION("""COMPUTED_VALUE"""),2.0)</f>
        <v>2</v>
      </c>
      <c r="AQ25" s="16">
        <f>IFERROR(__xludf.DUMMYFUNCTION("""COMPUTED_VALUE"""),2.2)</f>
        <v>2.2</v>
      </c>
      <c r="AR25" s="16">
        <f>IFERROR(__xludf.DUMMYFUNCTION("""COMPUTED_VALUE"""),6.7)</f>
        <v>6.7</v>
      </c>
      <c r="AS25" s="16">
        <f>IFERROR(__xludf.DUMMYFUNCTION("""COMPUTED_VALUE"""),2.0)</f>
        <v>2</v>
      </c>
      <c r="AT25" s="16">
        <f>IFERROR(__xludf.DUMMYFUNCTION("""COMPUTED_VALUE"""),2.0)</f>
        <v>2</v>
      </c>
      <c r="AU25" s="16">
        <f>IFERROR(__xludf.DUMMYFUNCTION("""COMPUTED_VALUE"""),4.0)</f>
        <v>4</v>
      </c>
      <c r="AV25" s="16">
        <f>IFERROR(__xludf.DUMMYFUNCTION("""COMPUTED_VALUE"""),4.0)</f>
        <v>4</v>
      </c>
      <c r="AW25" s="16">
        <f>IFERROR(__xludf.DUMMYFUNCTION("""COMPUTED_VALUE"""),0.0)</f>
        <v>0</v>
      </c>
      <c r="AX25" s="16">
        <f>IFERROR(__xludf.DUMMYFUNCTION("""COMPUTED_VALUE"""),0.0)</f>
        <v>0</v>
      </c>
      <c r="AY25" s="16">
        <f>IFERROR(__xludf.DUMMYFUNCTION("""COMPUTED_VALUE"""),2.0)</f>
        <v>2</v>
      </c>
      <c r="AZ25" s="16">
        <f>IFERROR(__xludf.DUMMYFUNCTION("""COMPUTED_VALUE"""),2.0)</f>
        <v>2</v>
      </c>
      <c r="BA25" s="16">
        <f>IFERROR(__xludf.DUMMYFUNCTION("""COMPUTED_VALUE"""),10.0)</f>
        <v>10</v>
      </c>
      <c r="BB25" s="16">
        <f>IFERROR(__xludf.DUMMYFUNCTION("""COMPUTED_VALUE"""),10.0)</f>
        <v>10</v>
      </c>
      <c r="BC25" s="16"/>
      <c r="BD25" s="16"/>
      <c r="BE25" s="16">
        <f>IFERROR(__xludf.DUMMYFUNCTION("""COMPUTED_VALUE"""),0.0)</f>
        <v>0</v>
      </c>
      <c r="BF25" s="16">
        <f>IFERROR(__xludf.DUMMYFUNCTION("""COMPUTED_VALUE"""),0.0)</f>
        <v>0</v>
      </c>
      <c r="BG25" s="16">
        <f>IFERROR(__xludf.DUMMYFUNCTION("""COMPUTED_VALUE"""),3.0)</f>
        <v>3</v>
      </c>
      <c r="BH25" s="16">
        <f>IFERROR(__xludf.DUMMYFUNCTION("""COMPUTED_VALUE"""),2.0)</f>
        <v>2</v>
      </c>
      <c r="BI25" s="16">
        <f>IFERROR(__xludf.DUMMYFUNCTION("""COMPUTED_VALUE"""),6.0)</f>
        <v>6</v>
      </c>
      <c r="BJ25" s="16">
        <f>IFERROR(__xludf.DUMMYFUNCTION("""COMPUTED_VALUE"""),4.0)</f>
        <v>4</v>
      </c>
      <c r="BK25" s="16">
        <f>IFERROR(__xludf.DUMMYFUNCTION("""COMPUTED_VALUE"""),0.0)</f>
        <v>0</v>
      </c>
      <c r="BL25" s="16">
        <f>IFERROR(__xludf.DUMMYFUNCTION("""COMPUTED_VALUE"""),0.0)</f>
        <v>0</v>
      </c>
      <c r="BM25" s="16">
        <f>IFERROR(__xludf.DUMMYFUNCTION("""COMPUTED_VALUE"""),1.0)</f>
        <v>1</v>
      </c>
      <c r="BN25" s="16">
        <f>IFERROR(__xludf.DUMMYFUNCTION("""COMPUTED_VALUE"""),1.0)</f>
        <v>1</v>
      </c>
      <c r="BO25" s="16">
        <f>IFERROR(__xludf.DUMMYFUNCTION("""COMPUTED_VALUE"""),1.0)</f>
        <v>1</v>
      </c>
      <c r="BP25" s="16">
        <f>IFERROR(__xludf.DUMMYFUNCTION("""COMPUTED_VALUE"""),1.0)</f>
        <v>1</v>
      </c>
      <c r="BQ25" s="16">
        <f>IFERROR(__xludf.DUMMYFUNCTION("""COMPUTED_VALUE"""),0.0)</f>
        <v>0</v>
      </c>
      <c r="BR25" s="16">
        <f>IFERROR(__xludf.DUMMYFUNCTION("""COMPUTED_VALUE"""),0.0)</f>
        <v>0</v>
      </c>
      <c r="BS25" s="16">
        <f>IFERROR(__xludf.DUMMYFUNCTION("""COMPUTED_VALUE"""),-3.0)</f>
        <v>-3</v>
      </c>
      <c r="BT25" s="16">
        <f>IFERROR(__xludf.DUMMYFUNCTION("""COMPUTED_VALUE"""),-3.0)</f>
        <v>-3</v>
      </c>
      <c r="BU25" s="16">
        <f>IFERROR(__xludf.DUMMYFUNCTION("""COMPUTED_VALUE"""),-6.0)</f>
        <v>-6</v>
      </c>
      <c r="BV25" s="16">
        <f>IFERROR(__xludf.DUMMYFUNCTION("""COMPUTED_VALUE"""),-6.0)</f>
        <v>-6</v>
      </c>
      <c r="BW25" s="16">
        <f>IFERROR(__xludf.DUMMYFUNCTION("""COMPUTED_VALUE"""),3.0)</f>
        <v>3</v>
      </c>
      <c r="BX25" s="16">
        <f>IFERROR(__xludf.DUMMYFUNCTION("""COMPUTED_VALUE"""),3.0)</f>
        <v>3</v>
      </c>
      <c r="BY25" s="16" t="str">
        <f>IFERROR(__xludf.DUMMYFUNCTION("""COMPUTED_VALUE"""),"S(5)")</f>
        <v>S(5)</v>
      </c>
      <c r="BZ25" s="16" t="str">
        <f>IFERROR(__xludf.DUMMYFUNCTION("""COMPUTED_VALUE"""),"S(5)")</f>
        <v>S(5)</v>
      </c>
      <c r="CA25" s="16" t="str">
        <f>IFERROR(__xludf.DUMMYFUNCTION("""COMPUTED_VALUE"""),"S(5)")</f>
        <v>S(5)</v>
      </c>
      <c r="CB25" s="16"/>
      <c r="CC25" s="16"/>
      <c r="CD25" s="16">
        <f>IFERROR(__xludf.DUMMYFUNCTION("""COMPUTED_VALUE"""),5.0)</f>
        <v>5</v>
      </c>
      <c r="CE25" s="16"/>
      <c r="CF25" s="16"/>
      <c r="CG25" s="16" t="str">
        <f>IFERROR(__xludf.DUMMYFUNCTION("""COMPUTED_VALUE"""),"2-14")</f>
        <v>2-14</v>
      </c>
      <c r="CH25" s="16">
        <f>IFERROR(__xludf.DUMMYFUNCTION("""COMPUTED_VALUE"""),2.0)</f>
        <v>2</v>
      </c>
      <c r="CI25" s="16">
        <f>IFERROR(__xludf.DUMMYFUNCTION("""COMPUTED_VALUE"""),14.0)</f>
        <v>14</v>
      </c>
      <c r="CJ25" s="16">
        <f>IFERROR(__xludf.DUMMYFUNCTION("""COMPUTED_VALUE"""),0.0)</f>
        <v>0</v>
      </c>
      <c r="CK25" s="16">
        <f>IFERROR(__xludf.DUMMYFUNCTION("""COMPUTED_VALUE"""),18.0)</f>
        <v>18</v>
      </c>
      <c r="CL25" s="16" t="str">
        <f>IFERROR(__xludf.DUMMYFUNCTION("""COMPUTED_VALUE"""),"1WL-C")</f>
        <v>1WL-C</v>
      </c>
      <c r="CM25" s="16" t="str">
        <f>IFERROR(__xludf.DUMMYFUNCTION("""COMPUTED_VALUE"""),"E")</f>
        <v>E</v>
      </c>
      <c r="CN25" s="16">
        <f>IFERROR(__xludf.DUMMYFUNCTION("""COMPUTED_VALUE"""),10.0)</f>
        <v>10</v>
      </c>
      <c r="CO25" s="16" t="str">
        <f>IFERROR(__xludf.DUMMYFUNCTION("""COMPUTED_VALUE"""),"C")</f>
        <v>C</v>
      </c>
      <c r="CP25" s="16" t="str">
        <f>IFERROR(__xludf.DUMMYFUNCTION("""COMPUTED_VALUE"""),"3p60")</f>
        <v>3p60</v>
      </c>
      <c r="CQ25" s="16">
        <f>IFERROR(__xludf.DUMMYFUNCTION("""COMPUTED_VALUE"""),43.0)</f>
        <v>43</v>
      </c>
      <c r="CR25" s="16">
        <f>IFERROR(__xludf.DUMMYFUNCTION("""COMPUTED_VALUE"""),32.0)</f>
        <v>32</v>
      </c>
      <c r="CS25" s="16">
        <f>IFERROR(__xludf.DUMMYFUNCTION("""COMPUTED_VALUE"""),75.0)</f>
        <v>75</v>
      </c>
      <c r="CT25" s="16">
        <f>IFERROR(__xludf.DUMMYFUNCTION("""COMPUTED_VALUE"""),43.0)</f>
        <v>43</v>
      </c>
      <c r="CU25" s="16">
        <f>IFERROR(__xludf.DUMMYFUNCTION("""COMPUTED_VALUE"""),32.0)</f>
        <v>32</v>
      </c>
      <c r="CV25" s="179">
        <f>IFERROR(__xludf.DUMMYFUNCTION("""COMPUTED_VALUE"""),38.666666666666664)</f>
        <v>38.66666667</v>
      </c>
      <c r="CW25" s="179">
        <f>IFERROR(__xludf.DUMMYFUNCTION("""COMPUTED_VALUE"""),2.0)</f>
        <v>2</v>
      </c>
      <c r="CX25" s="179">
        <f>IFERROR(__xludf.DUMMYFUNCTION("""COMPUTED_VALUE"""),1.0)</f>
        <v>1</v>
      </c>
      <c r="CY25" s="16" t="str">
        <f>IFERROR(__xludf.DUMMYFUNCTION("""COMPUTED_VALUE"""),"SP")</f>
        <v>SP</v>
      </c>
      <c r="CZ25" s="16"/>
      <c r="DA25" s="16"/>
      <c r="DB25" s="16"/>
      <c r="DC25" s="16"/>
      <c r="DD25" s="16"/>
      <c r="DE25" s="16"/>
      <c r="DF25" s="16"/>
      <c r="DG25" s="16"/>
      <c r="DH25" s="16"/>
      <c r="DI25" s="16"/>
      <c r="DJ25" s="16"/>
      <c r="DK25" s="16"/>
    </row>
    <row r="26">
      <c r="A26" s="16">
        <f>IFERROR(__xludf.DUMMYFUNCTION("""COMPUTED_VALUE"""),13451.0)</f>
        <v>13451</v>
      </c>
      <c r="B26" s="16" t="str">
        <f>IFERROR(__xludf.DUMMYFUNCTION("""COMPUTED_VALUE"""),"Tyler Glasnow")</f>
        <v>Tyler Glasnow</v>
      </c>
      <c r="C26" s="153">
        <f>IFERROR(__xludf.DUMMYFUNCTION("""COMPUTED_VALUE"""),1.28)</f>
        <v>1.28</v>
      </c>
      <c r="D26" s="16"/>
      <c r="E26" s="16" t="str">
        <f>IFERROR(__xludf.DUMMYFUNCTION("""COMPUTED_VALUE"""),"R")</f>
        <v>R</v>
      </c>
      <c r="F26" s="16">
        <f>IFERROR(__xludf.DUMMYFUNCTION("""COMPUTED_VALUE"""),134.0)</f>
        <v>134</v>
      </c>
      <c r="G26" s="16">
        <f>IFERROR(__xludf.DUMMYFUNCTION("""COMPUTED_VALUE"""),47.0)</f>
        <v>47</v>
      </c>
      <c r="H26" s="16">
        <f>IFERROR(__xludf.DUMMYFUNCTION("""COMPUTED_VALUE"""),43.0)</f>
        <v>43</v>
      </c>
      <c r="I26" s="16">
        <f>IFERROR(__xludf.DUMMYFUNCTION("""COMPUTED_VALUE"""),2.0)</f>
        <v>2</v>
      </c>
      <c r="J26" s="16">
        <f>IFERROR(__xludf.DUMMYFUNCTION("""COMPUTED_VALUE"""),2.0)</f>
        <v>2</v>
      </c>
      <c r="K26" s="16">
        <f>IFERROR(__xludf.DUMMYFUNCTION("""COMPUTED_VALUE"""),6.0)</f>
        <v>6</v>
      </c>
      <c r="L26" s="16">
        <f>IFERROR(__xludf.DUMMYFUNCTION("""COMPUTED_VALUE"""),6.0)</f>
        <v>6</v>
      </c>
      <c r="M26" s="16">
        <f>IFERROR(__xludf.DUMMYFUNCTION("""COMPUTED_VALUE"""),6.0)</f>
        <v>6</v>
      </c>
      <c r="N26" s="16">
        <f>IFERROR(__xludf.DUMMYFUNCTION("""COMPUTED_VALUE"""),5.0)</f>
        <v>5</v>
      </c>
      <c r="O26" s="16">
        <f>IFERROR(__xludf.DUMMYFUNCTION("""COMPUTED_VALUE"""),1.0)</f>
        <v>1</v>
      </c>
      <c r="P26" s="16">
        <f>IFERROR(__xludf.DUMMYFUNCTION("""COMPUTED_VALUE"""),2.0)</f>
        <v>2</v>
      </c>
      <c r="Q26" s="16">
        <f>IFERROR(__xludf.DUMMYFUNCTION("""COMPUTED_VALUE"""),1.0)</f>
        <v>1</v>
      </c>
      <c r="R26" s="16">
        <f>IFERROR(__xludf.DUMMYFUNCTION("""COMPUTED_VALUE"""),2.0)</f>
        <v>2</v>
      </c>
      <c r="S26" s="16">
        <f>IFERROR(__xludf.DUMMYFUNCTION("""COMPUTED_VALUE"""),8.0)</f>
        <v>8</v>
      </c>
      <c r="T26" s="16">
        <f>IFERROR(__xludf.DUMMYFUNCTION("""COMPUTED_VALUE"""),6.7)</f>
        <v>6.7</v>
      </c>
      <c r="U26" s="16">
        <f>IFERROR(__xludf.DUMMYFUNCTION("""COMPUTED_VALUE"""),1.0)</f>
        <v>1</v>
      </c>
      <c r="V26" s="16">
        <f>IFERROR(__xludf.DUMMYFUNCTION("""COMPUTED_VALUE"""),2.0)</f>
        <v>2</v>
      </c>
      <c r="W26" s="16">
        <f>IFERROR(__xludf.DUMMYFUNCTION("""COMPUTED_VALUE"""),2.0)</f>
        <v>2</v>
      </c>
      <c r="X26" s="16">
        <f>IFERROR(__xludf.DUMMYFUNCTION("""COMPUTED_VALUE"""),4.0)</f>
        <v>4</v>
      </c>
      <c r="Y26" s="16">
        <f>IFERROR(__xludf.DUMMYFUNCTION("""COMPUTED_VALUE"""),14.0)</f>
        <v>14</v>
      </c>
      <c r="Z26" s="16">
        <f>IFERROR(__xludf.DUMMYFUNCTION("""COMPUTED_VALUE"""),11.7)</f>
        <v>11.7</v>
      </c>
      <c r="AA26" s="16">
        <f>IFERROR(__xludf.DUMMYFUNCTION("""COMPUTED_VALUE"""),2.0)</f>
        <v>2</v>
      </c>
      <c r="AB26" s="16">
        <f>IFERROR(__xludf.DUMMYFUNCTION("""COMPUTED_VALUE"""),2.0)</f>
        <v>2</v>
      </c>
      <c r="AC26" s="16">
        <f>IFERROR(__xludf.DUMMYFUNCTION("""COMPUTED_VALUE"""),10.0)</f>
        <v>10</v>
      </c>
      <c r="AD26" s="16">
        <f>IFERROR(__xludf.DUMMYFUNCTION("""COMPUTED_VALUE"""),10.0)</f>
        <v>10</v>
      </c>
      <c r="AE26" s="16">
        <f>IFERROR(__xludf.DUMMYFUNCTION("""COMPUTED_VALUE"""),20.0)</f>
        <v>20</v>
      </c>
      <c r="AF26" s="16">
        <f>IFERROR(__xludf.DUMMYFUNCTION("""COMPUTED_VALUE"""),16.7)</f>
        <v>16.7</v>
      </c>
      <c r="AG26" s="16">
        <f>IFERROR(__xludf.DUMMYFUNCTION("""COMPUTED_VALUE"""),1.0)</f>
        <v>1</v>
      </c>
      <c r="AH26" s="16">
        <f>IFERROR(__xludf.DUMMYFUNCTION("""COMPUTED_VALUE"""),1.0)</f>
        <v>1</v>
      </c>
      <c r="AI26" s="16">
        <f>IFERROR(__xludf.DUMMYFUNCTION("""COMPUTED_VALUE"""),2.0)</f>
        <v>2</v>
      </c>
      <c r="AJ26" s="16">
        <f>IFERROR(__xludf.DUMMYFUNCTION("""COMPUTED_VALUE"""),2.0)</f>
        <v>2</v>
      </c>
      <c r="AK26" s="16">
        <f>IFERROR(__xludf.DUMMYFUNCTION("""COMPUTED_VALUE"""),6.0)</f>
        <v>6</v>
      </c>
      <c r="AL26" s="16">
        <f>IFERROR(__xludf.DUMMYFUNCTION("""COMPUTED_VALUE"""),5.1)</f>
        <v>5.1</v>
      </c>
      <c r="AM26" s="16">
        <f>IFERROR(__xludf.DUMMYFUNCTION("""COMPUTED_VALUE"""),1.0)</f>
        <v>1</v>
      </c>
      <c r="AN26" s="16">
        <f>IFERROR(__xludf.DUMMYFUNCTION("""COMPUTED_VALUE"""),2.0)</f>
        <v>2</v>
      </c>
      <c r="AO26" s="16">
        <f>IFERROR(__xludf.DUMMYFUNCTION("""COMPUTED_VALUE"""),1.0)</f>
        <v>1</v>
      </c>
      <c r="AP26" s="16">
        <f>IFERROR(__xludf.DUMMYFUNCTION("""COMPUTED_VALUE"""),2.0)</f>
        <v>2</v>
      </c>
      <c r="AQ26" s="16">
        <f>IFERROR(__xludf.DUMMYFUNCTION("""COMPUTED_VALUE"""),12.0)</f>
        <v>12</v>
      </c>
      <c r="AR26" s="16">
        <f>IFERROR(__xludf.DUMMYFUNCTION("""COMPUTED_VALUE"""),10.299999999999999)</f>
        <v>10.3</v>
      </c>
      <c r="AS26" s="16">
        <f>IFERROR(__xludf.DUMMYFUNCTION("""COMPUTED_VALUE"""),1.0)</f>
        <v>1</v>
      </c>
      <c r="AT26" s="16">
        <f>IFERROR(__xludf.DUMMYFUNCTION("""COMPUTED_VALUE"""),1.0)</f>
        <v>1</v>
      </c>
      <c r="AU26" s="16">
        <f>IFERROR(__xludf.DUMMYFUNCTION("""COMPUTED_VALUE"""),2.0)</f>
        <v>2</v>
      </c>
      <c r="AV26" s="16">
        <f>IFERROR(__xludf.DUMMYFUNCTION("""COMPUTED_VALUE"""),2.0)</f>
        <v>2</v>
      </c>
      <c r="AW26" s="16">
        <f>IFERROR(__xludf.DUMMYFUNCTION("""COMPUTED_VALUE"""),2.0)</f>
        <v>2</v>
      </c>
      <c r="AX26" s="16">
        <f>IFERROR(__xludf.DUMMYFUNCTION("""COMPUTED_VALUE"""),1.6)</f>
        <v>1.6</v>
      </c>
      <c r="AY26" s="16">
        <f>IFERROR(__xludf.DUMMYFUNCTION("""COMPUTED_VALUE"""),0.0)</f>
        <v>0</v>
      </c>
      <c r="AZ26" s="16">
        <f>IFERROR(__xludf.DUMMYFUNCTION("""COMPUTED_VALUE"""),1.0)</f>
        <v>1</v>
      </c>
      <c r="BA26" s="16">
        <f>IFERROR(__xludf.DUMMYFUNCTION("""COMPUTED_VALUE"""),0.0)</f>
        <v>0</v>
      </c>
      <c r="BB26" s="16">
        <f>IFERROR(__xludf.DUMMYFUNCTION("""COMPUTED_VALUE"""),5.0)</f>
        <v>5</v>
      </c>
      <c r="BC26" s="16"/>
      <c r="BD26" s="16"/>
      <c r="BE26" s="16">
        <f>IFERROR(__xludf.DUMMYFUNCTION("""COMPUTED_VALUE"""),3.0)</f>
        <v>3</v>
      </c>
      <c r="BF26" s="16">
        <f>IFERROR(__xludf.DUMMYFUNCTION("""COMPUTED_VALUE"""),1.0)</f>
        <v>1</v>
      </c>
      <c r="BG26" s="16">
        <f>IFERROR(__xludf.DUMMYFUNCTION("""COMPUTED_VALUE"""),0.0)</f>
        <v>0</v>
      </c>
      <c r="BH26" s="16">
        <f>IFERROR(__xludf.DUMMYFUNCTION("""COMPUTED_VALUE"""),2.0)</f>
        <v>2</v>
      </c>
      <c r="BI26" s="16">
        <f>IFERROR(__xludf.DUMMYFUNCTION("""COMPUTED_VALUE"""),0.0)</f>
        <v>0</v>
      </c>
      <c r="BJ26" s="16">
        <f>IFERROR(__xludf.DUMMYFUNCTION("""COMPUTED_VALUE"""),4.0)</f>
        <v>4</v>
      </c>
      <c r="BK26" s="16">
        <f>IFERROR(__xludf.DUMMYFUNCTION("""COMPUTED_VALUE"""),0.0)</f>
        <v>0</v>
      </c>
      <c r="BL26" s="16">
        <f>IFERROR(__xludf.DUMMYFUNCTION("""COMPUTED_VALUE"""),0.0)</f>
        <v>0</v>
      </c>
      <c r="BM26" s="16">
        <f>IFERROR(__xludf.DUMMYFUNCTION("""COMPUTED_VALUE"""),1.0)</f>
        <v>1</v>
      </c>
      <c r="BN26" s="16">
        <f>IFERROR(__xludf.DUMMYFUNCTION("""COMPUTED_VALUE"""),1.0)</f>
        <v>1</v>
      </c>
      <c r="BO26" s="16">
        <f>IFERROR(__xludf.DUMMYFUNCTION("""COMPUTED_VALUE"""),1.0)</f>
        <v>1</v>
      </c>
      <c r="BP26" s="16">
        <f>IFERROR(__xludf.DUMMYFUNCTION("""COMPUTED_VALUE"""),1.0)</f>
        <v>1</v>
      </c>
      <c r="BQ26" s="16">
        <f>IFERROR(__xludf.DUMMYFUNCTION("""COMPUTED_VALUE"""),11.0)</f>
        <v>11</v>
      </c>
      <c r="BR26" s="16">
        <f>IFERROR(__xludf.DUMMYFUNCTION("""COMPUTED_VALUE"""),11.0)</f>
        <v>11</v>
      </c>
      <c r="BS26" s="16">
        <f>IFERROR(__xludf.DUMMYFUNCTION("""COMPUTED_VALUE"""),3.0)</f>
        <v>3</v>
      </c>
      <c r="BT26" s="16">
        <f>IFERROR(__xludf.DUMMYFUNCTION("""COMPUTED_VALUE"""),3.0)</f>
        <v>3</v>
      </c>
      <c r="BU26" s="16">
        <f>IFERROR(__xludf.DUMMYFUNCTION("""COMPUTED_VALUE"""),6.0)</f>
        <v>6</v>
      </c>
      <c r="BV26" s="16">
        <f>IFERROR(__xludf.DUMMYFUNCTION("""COMPUTED_VALUE"""),6.0)</f>
        <v>6</v>
      </c>
      <c r="BW26" s="16">
        <f>IFERROR(__xludf.DUMMYFUNCTION("""COMPUTED_VALUE"""),3.0)</f>
        <v>3</v>
      </c>
      <c r="BX26" s="16">
        <f>IFERROR(__xludf.DUMMYFUNCTION("""COMPUTED_VALUE"""),3.0)</f>
        <v>3</v>
      </c>
      <c r="BY26" s="16" t="str">
        <f>IFERROR(__xludf.DUMMYFUNCTION("""COMPUTED_VALUE"""),"S(6)")</f>
        <v>S(6)</v>
      </c>
      <c r="BZ26" s="16" t="str">
        <f>IFERROR(__xludf.DUMMYFUNCTION("""COMPUTED_VALUE"""),"S(6)")</f>
        <v>S(6)</v>
      </c>
      <c r="CA26" s="16" t="str">
        <f>IFERROR(__xludf.DUMMYFUNCTION("""COMPUTED_VALUE"""),"S(6)")</f>
        <v>S(6)</v>
      </c>
      <c r="CB26" s="16"/>
      <c r="CC26" s="16"/>
      <c r="CD26" s="16">
        <f>IFERROR(__xludf.DUMMYFUNCTION("""COMPUTED_VALUE"""),6.0)</f>
        <v>6</v>
      </c>
      <c r="CE26" s="16"/>
      <c r="CF26" s="16"/>
      <c r="CG26" s="16" t="str">
        <f>IFERROR(__xludf.DUMMYFUNCTION("""COMPUTED_VALUE"""),"4-0")</f>
        <v>4-0</v>
      </c>
      <c r="CH26" s="16">
        <f>IFERROR(__xludf.DUMMYFUNCTION("""COMPUTED_VALUE"""),4.0)</f>
        <v>4</v>
      </c>
      <c r="CI26" s="16">
        <f>IFERROR(__xludf.DUMMYFUNCTION("""COMPUTED_VALUE"""),0.0)</f>
        <v>0</v>
      </c>
      <c r="CJ26" s="16">
        <f>IFERROR(__xludf.DUMMYFUNCTION("""COMPUTED_VALUE"""),3.0)</f>
        <v>3</v>
      </c>
      <c r="CK26" s="16">
        <f>IFERROR(__xludf.DUMMYFUNCTION("""COMPUTED_VALUE"""),20.0)</f>
        <v>20</v>
      </c>
      <c r="CL26" s="16" t="str">
        <f>IFERROR(__xludf.DUMMYFUNCTION("""COMPUTED_VALUE"""),"1WL-C")</f>
        <v>1WL-C</v>
      </c>
      <c r="CM26" s="16" t="str">
        <f>IFERROR(__xludf.DUMMYFUNCTION("""COMPUTED_VALUE"""),"E")</f>
        <v>E</v>
      </c>
      <c r="CN26" s="16">
        <f>IFERROR(__xludf.DUMMYFUNCTION("""COMPUTED_VALUE"""),10.0)</f>
        <v>10</v>
      </c>
      <c r="CO26" s="16" t="str">
        <f>IFERROR(__xludf.DUMMYFUNCTION("""COMPUTED_VALUE"""),"C")</f>
        <v>C</v>
      </c>
      <c r="CP26" s="16" t="str">
        <f>IFERROR(__xludf.DUMMYFUNCTION("""COMPUTED_VALUE"""),"3p60")</f>
        <v>3p60</v>
      </c>
      <c r="CQ26" s="16">
        <f>IFERROR(__xludf.DUMMYFUNCTION("""COMPUTED_VALUE"""),31.0)</f>
        <v>31</v>
      </c>
      <c r="CR26" s="16">
        <f>IFERROR(__xludf.DUMMYFUNCTION("""COMPUTED_VALUE"""),44.0)</f>
        <v>44</v>
      </c>
      <c r="CS26" s="16">
        <f>IFERROR(__xludf.DUMMYFUNCTION("""COMPUTED_VALUE"""),75.0)</f>
        <v>75</v>
      </c>
      <c r="CT26" s="16">
        <f>IFERROR(__xludf.DUMMYFUNCTION("""COMPUTED_VALUE"""),31.0)</f>
        <v>31</v>
      </c>
      <c r="CU26" s="16">
        <f>IFERROR(__xludf.DUMMYFUNCTION("""COMPUTED_VALUE"""),44.0)</f>
        <v>44</v>
      </c>
      <c r="CV26" s="179">
        <f>IFERROR(__xludf.DUMMYFUNCTION("""COMPUTED_VALUE"""),38.333333333333336)</f>
        <v>38.33333333</v>
      </c>
      <c r="CW26" s="179">
        <f>IFERROR(__xludf.DUMMYFUNCTION("""COMPUTED_VALUE"""),2.0)</f>
        <v>2</v>
      </c>
      <c r="CX26" s="179">
        <f>IFERROR(__xludf.DUMMYFUNCTION("""COMPUTED_VALUE"""),1.0)</f>
        <v>1</v>
      </c>
      <c r="CY26" s="16" t="str">
        <f>IFERROR(__xludf.DUMMYFUNCTION("""COMPUTED_VALUE"""),"SP")</f>
        <v>SP</v>
      </c>
      <c r="CZ26" s="16"/>
      <c r="DA26" s="16"/>
      <c r="DB26" s="16"/>
      <c r="DC26" s="16"/>
      <c r="DD26" s="16"/>
      <c r="DE26" s="16"/>
      <c r="DF26" s="16"/>
      <c r="DG26" s="16"/>
      <c r="DH26" s="16"/>
      <c r="DI26" s="16"/>
      <c r="DJ26" s="16"/>
      <c r="DK26" s="16"/>
    </row>
    <row r="27">
      <c r="A27" s="16">
        <f>IFERROR(__xludf.DUMMYFUNCTION("""COMPUTED_VALUE"""),12755.0)</f>
        <v>12755</v>
      </c>
      <c r="B27" s="16" t="str">
        <f>IFERROR(__xludf.DUMMYFUNCTION("""COMPUTED_VALUE"""),"Devin Williams")</f>
        <v>Devin Williams</v>
      </c>
      <c r="C27" s="153">
        <f>IFERROR(__xludf.DUMMYFUNCTION("""COMPUTED_VALUE"""),3.1)</f>
        <v>3.1</v>
      </c>
      <c r="D27" s="16"/>
      <c r="E27" s="16" t="str">
        <f>IFERROR(__xludf.DUMMYFUNCTION("""COMPUTED_VALUE"""),"R")</f>
        <v>R</v>
      </c>
      <c r="F27" s="16">
        <f>IFERROR(__xludf.DUMMYFUNCTION("""COMPUTED_VALUE"""),22.0)</f>
        <v>22</v>
      </c>
      <c r="G27" s="16">
        <f>IFERROR(__xludf.DUMMYFUNCTION("""COMPUTED_VALUE"""),55.0)</f>
        <v>55</v>
      </c>
      <c r="H27" s="16">
        <f>IFERROR(__xludf.DUMMYFUNCTION("""COMPUTED_VALUE"""),62.0)</f>
        <v>62</v>
      </c>
      <c r="I27" s="16">
        <f>IFERROR(__xludf.DUMMYFUNCTION("""COMPUTED_VALUE"""),3.0)</f>
        <v>3</v>
      </c>
      <c r="J27" s="16">
        <f>IFERROR(__xludf.DUMMYFUNCTION("""COMPUTED_VALUE"""),3.0)</f>
        <v>3</v>
      </c>
      <c r="K27" s="16">
        <f>IFERROR(__xludf.DUMMYFUNCTION("""COMPUTED_VALUE"""),9.0)</f>
        <v>9</v>
      </c>
      <c r="L27" s="16">
        <f>IFERROR(__xludf.DUMMYFUNCTION("""COMPUTED_VALUE"""),9.0)</f>
        <v>9</v>
      </c>
      <c r="M27" s="16">
        <f>IFERROR(__xludf.DUMMYFUNCTION("""COMPUTED_VALUE"""),17.0)</f>
        <v>17</v>
      </c>
      <c r="N27" s="16">
        <f>IFERROR(__xludf.DUMMYFUNCTION("""COMPUTED_VALUE"""),16.0)</f>
        <v>16</v>
      </c>
      <c r="O27" s="16">
        <f>IFERROR(__xludf.DUMMYFUNCTION("""COMPUTED_VALUE"""),-2.0)</f>
        <v>-2</v>
      </c>
      <c r="P27" s="16">
        <f>IFERROR(__xludf.DUMMYFUNCTION("""COMPUTED_VALUE"""),-3.0)</f>
        <v>-3</v>
      </c>
      <c r="Q27" s="16">
        <f>IFERROR(__xludf.DUMMYFUNCTION("""COMPUTED_VALUE"""),-2.0)</f>
        <v>-2</v>
      </c>
      <c r="R27" s="16">
        <f>IFERROR(__xludf.DUMMYFUNCTION("""COMPUTED_VALUE"""),-3.0)</f>
        <v>-3</v>
      </c>
      <c r="S27" s="16">
        <f>IFERROR(__xludf.DUMMYFUNCTION("""COMPUTED_VALUE"""),5.7)</f>
        <v>5.7</v>
      </c>
      <c r="T27" s="16">
        <f>IFERROR(__xludf.DUMMYFUNCTION("""COMPUTED_VALUE"""),0.0)</f>
        <v>0</v>
      </c>
      <c r="U27" s="16">
        <f>IFERROR(__xludf.DUMMYFUNCTION("""COMPUTED_VALUE"""),2.0)</f>
        <v>2</v>
      </c>
      <c r="V27" s="16">
        <f>IFERROR(__xludf.DUMMYFUNCTION("""COMPUTED_VALUE"""),3.0)</f>
        <v>3</v>
      </c>
      <c r="W27" s="16">
        <f>IFERROR(__xludf.DUMMYFUNCTION("""COMPUTED_VALUE"""),4.0)</f>
        <v>4</v>
      </c>
      <c r="X27" s="16">
        <f>IFERROR(__xludf.DUMMYFUNCTION("""COMPUTED_VALUE"""),6.0)</f>
        <v>6</v>
      </c>
      <c r="Y27" s="16">
        <f>IFERROR(__xludf.DUMMYFUNCTION("""COMPUTED_VALUE"""),22.7)</f>
        <v>22.7</v>
      </c>
      <c r="Z27" s="16">
        <f>IFERROR(__xludf.DUMMYFUNCTION("""COMPUTED_VALUE"""),16.0)</f>
        <v>16</v>
      </c>
      <c r="AA27" s="16">
        <f>IFERROR(__xludf.DUMMYFUNCTION("""COMPUTED_VALUE"""),0.0)</f>
        <v>0</v>
      </c>
      <c r="AB27" s="16">
        <f>IFERROR(__xludf.DUMMYFUNCTION("""COMPUTED_VALUE"""),2.0)</f>
        <v>2</v>
      </c>
      <c r="AC27" s="16">
        <f>IFERROR(__xludf.DUMMYFUNCTION("""COMPUTED_VALUE"""),0.0)</f>
        <v>0</v>
      </c>
      <c r="AD27" s="16">
        <f>IFERROR(__xludf.DUMMYFUNCTION("""COMPUTED_VALUE"""),10.0)</f>
        <v>10</v>
      </c>
      <c r="AE27" s="16">
        <f>IFERROR(__xludf.DUMMYFUNCTION("""COMPUTED_VALUE"""),11.4)</f>
        <v>11.4</v>
      </c>
      <c r="AF27" s="16">
        <f>IFERROR(__xludf.DUMMYFUNCTION("""COMPUTED_VALUE"""),0.0)</f>
        <v>0</v>
      </c>
      <c r="AG27" s="16">
        <f>IFERROR(__xludf.DUMMYFUNCTION("""COMPUTED_VALUE"""),2.0)</f>
        <v>2</v>
      </c>
      <c r="AH27" s="16">
        <f>IFERROR(__xludf.DUMMYFUNCTION("""COMPUTED_VALUE"""),3.0)</f>
        <v>3</v>
      </c>
      <c r="AI27" s="16">
        <f>IFERROR(__xludf.DUMMYFUNCTION("""COMPUTED_VALUE"""),4.0)</f>
        <v>4</v>
      </c>
      <c r="AJ27" s="16">
        <f>IFERROR(__xludf.DUMMYFUNCTION("""COMPUTED_VALUE"""),6.0)</f>
        <v>6</v>
      </c>
      <c r="AK27" s="16">
        <f>IFERROR(__xludf.DUMMYFUNCTION("""COMPUTED_VALUE"""),5.7)</f>
        <v>5.7</v>
      </c>
      <c r="AL27" s="16">
        <f>IFERROR(__xludf.DUMMYFUNCTION("""COMPUTED_VALUE"""),0.0)</f>
        <v>0</v>
      </c>
      <c r="AM27" s="16">
        <f>IFERROR(__xludf.DUMMYFUNCTION("""COMPUTED_VALUE"""),1.0)</f>
        <v>1</v>
      </c>
      <c r="AN27" s="16">
        <f>IFERROR(__xludf.DUMMYFUNCTION("""COMPUTED_VALUE"""),3.0)</f>
        <v>3</v>
      </c>
      <c r="AO27" s="16">
        <f>IFERROR(__xludf.DUMMYFUNCTION("""COMPUTED_VALUE"""),1.0)</f>
        <v>1</v>
      </c>
      <c r="AP27" s="16">
        <f>IFERROR(__xludf.DUMMYFUNCTION("""COMPUTED_VALUE"""),3.0)</f>
        <v>3</v>
      </c>
      <c r="AQ27" s="16">
        <f>IFERROR(__xludf.DUMMYFUNCTION("""COMPUTED_VALUE"""),11.4)</f>
        <v>11.4</v>
      </c>
      <c r="AR27" s="16">
        <f>IFERROR(__xludf.DUMMYFUNCTION("""COMPUTED_VALUE"""),0.0)</f>
        <v>0</v>
      </c>
      <c r="AS27" s="16">
        <f>IFERROR(__xludf.DUMMYFUNCTION("""COMPUTED_VALUE"""),1.0)</f>
        <v>1</v>
      </c>
      <c r="AT27" s="16">
        <f>IFERROR(__xludf.DUMMYFUNCTION("""COMPUTED_VALUE"""),3.0)</f>
        <v>3</v>
      </c>
      <c r="AU27" s="16">
        <f>IFERROR(__xludf.DUMMYFUNCTION("""COMPUTED_VALUE"""),2.0)</f>
        <v>2</v>
      </c>
      <c r="AV27" s="16">
        <f>IFERROR(__xludf.DUMMYFUNCTION("""COMPUTED_VALUE"""),6.0)</f>
        <v>6</v>
      </c>
      <c r="AW27" s="16">
        <f>IFERROR(__xludf.DUMMYFUNCTION("""COMPUTED_VALUE"""),0.0)</f>
        <v>0</v>
      </c>
      <c r="AX27" s="16">
        <f>IFERROR(__xludf.DUMMYFUNCTION("""COMPUTED_VALUE"""),0.0)</f>
        <v>0</v>
      </c>
      <c r="AY27" s="16">
        <f>IFERROR(__xludf.DUMMYFUNCTION("""COMPUTED_VALUE"""),2.0)</f>
        <v>2</v>
      </c>
      <c r="AZ27" s="16">
        <f>IFERROR(__xludf.DUMMYFUNCTION("""COMPUTED_VALUE"""),2.0)</f>
        <v>2</v>
      </c>
      <c r="BA27" s="16">
        <f>IFERROR(__xludf.DUMMYFUNCTION("""COMPUTED_VALUE"""),10.0)</f>
        <v>10</v>
      </c>
      <c r="BB27" s="16">
        <f>IFERROR(__xludf.DUMMYFUNCTION("""COMPUTED_VALUE"""),10.0)</f>
        <v>10</v>
      </c>
      <c r="BC27" s="16"/>
      <c r="BD27" s="16"/>
      <c r="BE27" s="16">
        <f>IFERROR(__xludf.DUMMYFUNCTION("""COMPUTED_VALUE"""),0.0)</f>
        <v>0</v>
      </c>
      <c r="BF27" s="16">
        <f>IFERROR(__xludf.DUMMYFUNCTION("""COMPUTED_VALUE"""),0.0)</f>
        <v>0</v>
      </c>
      <c r="BG27" s="16">
        <f>IFERROR(__xludf.DUMMYFUNCTION("""COMPUTED_VALUE"""),3.0)</f>
        <v>3</v>
      </c>
      <c r="BH27" s="16">
        <f>IFERROR(__xludf.DUMMYFUNCTION("""COMPUTED_VALUE"""),2.0)</f>
        <v>2</v>
      </c>
      <c r="BI27" s="16">
        <f>IFERROR(__xludf.DUMMYFUNCTION("""COMPUTED_VALUE"""),6.0)</f>
        <v>6</v>
      </c>
      <c r="BJ27" s="16">
        <f>IFERROR(__xludf.DUMMYFUNCTION("""COMPUTED_VALUE"""),4.0)</f>
        <v>4</v>
      </c>
      <c r="BK27" s="16">
        <f>IFERROR(__xludf.DUMMYFUNCTION("""COMPUTED_VALUE"""),0.0)</f>
        <v>0</v>
      </c>
      <c r="BL27" s="16">
        <f>IFERROR(__xludf.DUMMYFUNCTION("""COMPUTED_VALUE"""),0.0)</f>
        <v>0</v>
      </c>
      <c r="BM27" s="16">
        <f>IFERROR(__xludf.DUMMYFUNCTION("""COMPUTED_VALUE"""),1.0)</f>
        <v>1</v>
      </c>
      <c r="BN27" s="16">
        <f>IFERROR(__xludf.DUMMYFUNCTION("""COMPUTED_VALUE"""),1.0)</f>
        <v>1</v>
      </c>
      <c r="BO27" s="16">
        <f>IFERROR(__xludf.DUMMYFUNCTION("""COMPUTED_VALUE"""),1.0)</f>
        <v>1</v>
      </c>
      <c r="BP27" s="16">
        <f>IFERROR(__xludf.DUMMYFUNCTION("""COMPUTED_VALUE"""),1.0)</f>
        <v>1</v>
      </c>
      <c r="BQ27" s="16">
        <f>IFERROR(__xludf.DUMMYFUNCTION("""COMPUTED_VALUE"""),0.0)</f>
        <v>0</v>
      </c>
      <c r="BR27" s="16">
        <f>IFERROR(__xludf.DUMMYFUNCTION("""COMPUTED_VALUE"""),0.0)</f>
        <v>0</v>
      </c>
      <c r="BS27" s="16">
        <f>IFERROR(__xludf.DUMMYFUNCTION("""COMPUTED_VALUE"""),-3.0)</f>
        <v>-3</v>
      </c>
      <c r="BT27" s="16">
        <f>IFERROR(__xludf.DUMMYFUNCTION("""COMPUTED_VALUE"""),-3.0)</f>
        <v>-3</v>
      </c>
      <c r="BU27" s="16">
        <f>IFERROR(__xludf.DUMMYFUNCTION("""COMPUTED_VALUE"""),-6.0)</f>
        <v>-6</v>
      </c>
      <c r="BV27" s="16">
        <f>IFERROR(__xludf.DUMMYFUNCTION("""COMPUTED_VALUE"""),-6.0)</f>
        <v>-6</v>
      </c>
      <c r="BW27" s="16">
        <f>IFERROR(__xludf.DUMMYFUNCTION("""COMPUTED_VALUE"""),0.0)</f>
        <v>0</v>
      </c>
      <c r="BX27" s="16">
        <f>IFERROR(__xludf.DUMMYFUNCTION("""COMPUTED_VALUE"""),0.0)</f>
        <v>0</v>
      </c>
      <c r="BY27" s="16" t="str">
        <f>IFERROR(__xludf.DUMMYFUNCTION("""COMPUTED_VALUE"""),"R(1) C(5)")</f>
        <v>R(1) C(5)</v>
      </c>
      <c r="BZ27" s="16" t="str">
        <f>IFERROR(__xludf.DUMMYFUNCTION("""COMPUTED_VALUE"""),"R(1) C(5)")</f>
        <v>R(1) C(5)</v>
      </c>
      <c r="CA27" s="16" t="str">
        <f>IFERROR(__xludf.DUMMYFUNCTION("""COMPUTED_VALUE"""),"R(1)")</f>
        <v>R(1)</v>
      </c>
      <c r="CB27" s="16" t="str">
        <f>IFERROR(__xludf.DUMMYFUNCTION("""COMPUTED_VALUE"""),"C(5)")</f>
        <v>C(5)</v>
      </c>
      <c r="CC27" s="16"/>
      <c r="CD27" s="16"/>
      <c r="CE27" s="16">
        <f>IFERROR(__xludf.DUMMYFUNCTION("""COMPUTED_VALUE"""),1.0)</f>
        <v>1</v>
      </c>
      <c r="CF27" s="16">
        <f>IFERROR(__xludf.DUMMYFUNCTION("""COMPUTED_VALUE"""),5.0)</f>
        <v>5</v>
      </c>
      <c r="CG27" s="16" t="str">
        <f>IFERROR(__xludf.DUMMYFUNCTION("""COMPUTED_VALUE"""),"3-0")</f>
        <v>3-0</v>
      </c>
      <c r="CH27" s="16">
        <f>IFERROR(__xludf.DUMMYFUNCTION("""COMPUTED_VALUE"""),3.0)</f>
        <v>3</v>
      </c>
      <c r="CI27" s="16">
        <f>IFERROR(__xludf.DUMMYFUNCTION("""COMPUTED_VALUE"""),0.0)</f>
        <v>0</v>
      </c>
      <c r="CJ27" s="16">
        <f>IFERROR(__xludf.DUMMYFUNCTION("""COMPUTED_VALUE"""),0.0)</f>
        <v>0</v>
      </c>
      <c r="CK27" s="16">
        <f>IFERROR(__xludf.DUMMYFUNCTION("""COMPUTED_VALUE"""),10.0)</f>
        <v>10</v>
      </c>
      <c r="CL27" s="16" t="str">
        <f>IFERROR(__xludf.DUMMYFUNCTION("""COMPUTED_VALUE"""),"1WR-C")</f>
        <v>1WR-C</v>
      </c>
      <c r="CM27" s="16" t="str">
        <f>IFERROR(__xludf.DUMMYFUNCTION("""COMPUTED_VALUE"""),"E")</f>
        <v>E</v>
      </c>
      <c r="CN27" s="16">
        <f>IFERROR(__xludf.DUMMYFUNCTION("""COMPUTED_VALUE"""),10.0)</f>
        <v>10</v>
      </c>
      <c r="CO27" s="16" t="str">
        <f>IFERROR(__xludf.DUMMYFUNCTION("""COMPUTED_VALUE"""),"C")</f>
        <v>C</v>
      </c>
      <c r="CP27" s="16" t="str">
        <f>IFERROR(__xludf.DUMMYFUNCTION("""COMPUTED_VALUE"""),"5p20")</f>
        <v>5p20</v>
      </c>
      <c r="CQ27" s="16">
        <f>IFERROR(__xludf.DUMMYFUNCTION("""COMPUTED_VALUE"""),29.0)</f>
        <v>29</v>
      </c>
      <c r="CR27" s="16">
        <f>IFERROR(__xludf.DUMMYFUNCTION("""COMPUTED_VALUE"""),46.0)</f>
        <v>46</v>
      </c>
      <c r="CS27" s="16">
        <f>IFERROR(__xludf.DUMMYFUNCTION("""COMPUTED_VALUE"""),75.0)</f>
        <v>75</v>
      </c>
      <c r="CT27" s="16">
        <f>IFERROR(__xludf.DUMMYFUNCTION("""COMPUTED_VALUE"""),29.0)</f>
        <v>29</v>
      </c>
      <c r="CU27" s="16">
        <f>IFERROR(__xludf.DUMMYFUNCTION("""COMPUTED_VALUE"""),46.0)</f>
        <v>46</v>
      </c>
      <c r="CV27" s="179">
        <f>IFERROR(__xludf.DUMMYFUNCTION("""COMPUTED_VALUE"""),37.666666666666664)</f>
        <v>37.66666667</v>
      </c>
      <c r="CW27" s="179">
        <f>IFERROR(__xludf.DUMMYFUNCTION("""COMPUTED_VALUE"""),0.0)</f>
        <v>0</v>
      </c>
      <c r="CX27" s="179">
        <f>IFERROR(__xludf.DUMMYFUNCTION("""COMPUTED_VALUE"""),3.0)</f>
        <v>3</v>
      </c>
      <c r="CY27" s="16" t="str">
        <f>IFERROR(__xludf.DUMMYFUNCTION("""COMPUTED_VALUE"""),"RP")</f>
        <v>RP</v>
      </c>
      <c r="CZ27" s="16" t="str">
        <f>IFERROR(__xludf.DUMMYFUNCTION("""COMPUTED_VALUE"""),"CP")</f>
        <v>CP</v>
      </c>
      <c r="DA27" s="16"/>
      <c r="DB27" s="16"/>
      <c r="DC27" s="16"/>
      <c r="DD27" s="16"/>
      <c r="DE27" s="16"/>
      <c r="DF27" s="16"/>
      <c r="DG27" s="16"/>
      <c r="DH27" s="16"/>
      <c r="DI27" s="16"/>
      <c r="DJ27" s="16"/>
      <c r="DK27" s="16"/>
    </row>
    <row r="28">
      <c r="A28" s="16">
        <f>IFERROR(__xludf.DUMMYFUNCTION("""COMPUTED_VALUE"""),12965.0)</f>
        <v>12965</v>
      </c>
      <c r="B28" s="16" t="str">
        <f>IFERROR(__xludf.DUMMYFUNCTION("""COMPUTED_VALUE"""),"Joe Jimenez")</f>
        <v>Joe Jimenez</v>
      </c>
      <c r="C28" s="153">
        <f>IFERROR(__xludf.DUMMYFUNCTION("""COMPUTED_VALUE"""),1.26)</f>
        <v>1.26</v>
      </c>
      <c r="D28" s="16"/>
      <c r="E28" s="16" t="str">
        <f>IFERROR(__xludf.DUMMYFUNCTION("""COMPUTED_VALUE"""),"R")</f>
        <v>R</v>
      </c>
      <c r="F28" s="16">
        <f>IFERROR(__xludf.DUMMYFUNCTION("""COMPUTED_VALUE"""),69.0)</f>
        <v>69</v>
      </c>
      <c r="G28" s="16">
        <f>IFERROR(__xludf.DUMMYFUNCTION("""COMPUTED_VALUE"""),41.0)</f>
        <v>41</v>
      </c>
      <c r="H28" s="16">
        <f>IFERROR(__xludf.DUMMYFUNCTION("""COMPUTED_VALUE"""),40.0)</f>
        <v>40</v>
      </c>
      <c r="I28" s="16">
        <f>IFERROR(__xludf.DUMMYFUNCTION("""COMPUTED_VALUE"""),2.0)</f>
        <v>2</v>
      </c>
      <c r="J28" s="16">
        <f>IFERROR(__xludf.DUMMYFUNCTION("""COMPUTED_VALUE"""),2.0)</f>
        <v>2</v>
      </c>
      <c r="K28" s="16">
        <f>IFERROR(__xludf.DUMMYFUNCTION("""COMPUTED_VALUE"""),6.0)</f>
        <v>6</v>
      </c>
      <c r="L28" s="16">
        <f>IFERROR(__xludf.DUMMYFUNCTION("""COMPUTED_VALUE"""),6.0)</f>
        <v>6</v>
      </c>
      <c r="M28" s="16">
        <f>IFERROR(__xludf.DUMMYFUNCTION("""COMPUTED_VALUE"""),6.0)</f>
        <v>6</v>
      </c>
      <c r="N28" s="16">
        <f>IFERROR(__xludf.DUMMYFUNCTION("""COMPUTED_VALUE"""),11.0)</f>
        <v>11</v>
      </c>
      <c r="O28" s="16">
        <f>IFERROR(__xludf.DUMMYFUNCTION("""COMPUTED_VALUE"""),1.0)</f>
        <v>1</v>
      </c>
      <c r="P28" s="16">
        <f>IFERROR(__xludf.DUMMYFUNCTION("""COMPUTED_VALUE"""),-1.0)</f>
        <v>-1</v>
      </c>
      <c r="Q28" s="16">
        <f>IFERROR(__xludf.DUMMYFUNCTION("""COMPUTED_VALUE"""),1.0)</f>
        <v>1</v>
      </c>
      <c r="R28" s="16">
        <f>IFERROR(__xludf.DUMMYFUNCTION("""COMPUTED_VALUE"""),-1.0)</f>
        <v>-1</v>
      </c>
      <c r="S28" s="16">
        <f>IFERROR(__xludf.DUMMYFUNCTION("""COMPUTED_VALUE"""),7.9)</f>
        <v>7.9</v>
      </c>
      <c r="T28" s="16">
        <f>IFERROR(__xludf.DUMMYFUNCTION("""COMPUTED_VALUE"""),8.8)</f>
        <v>8.8</v>
      </c>
      <c r="U28" s="16">
        <f>IFERROR(__xludf.DUMMYFUNCTION("""COMPUTED_VALUE"""),1.0)</f>
        <v>1</v>
      </c>
      <c r="V28" s="16">
        <f>IFERROR(__xludf.DUMMYFUNCTION("""COMPUTED_VALUE"""),1.0)</f>
        <v>1</v>
      </c>
      <c r="W28" s="16">
        <f>IFERROR(__xludf.DUMMYFUNCTION("""COMPUTED_VALUE"""),2.0)</f>
        <v>2</v>
      </c>
      <c r="X28" s="16">
        <f>IFERROR(__xludf.DUMMYFUNCTION("""COMPUTED_VALUE"""),2.0)</f>
        <v>2</v>
      </c>
      <c r="Y28" s="16">
        <f>IFERROR(__xludf.DUMMYFUNCTION("""COMPUTED_VALUE"""),13.9)</f>
        <v>13.9</v>
      </c>
      <c r="Z28" s="16">
        <f>IFERROR(__xludf.DUMMYFUNCTION("""COMPUTED_VALUE"""),19.8)</f>
        <v>19.8</v>
      </c>
      <c r="AA28" s="16">
        <f>IFERROR(__xludf.DUMMYFUNCTION("""COMPUTED_VALUE"""),2.0)</f>
        <v>2</v>
      </c>
      <c r="AB28" s="16">
        <f>IFERROR(__xludf.DUMMYFUNCTION("""COMPUTED_VALUE"""),1.0)</f>
        <v>1</v>
      </c>
      <c r="AC28" s="16">
        <f>IFERROR(__xludf.DUMMYFUNCTION("""COMPUTED_VALUE"""),10.0)</f>
        <v>10</v>
      </c>
      <c r="AD28" s="16">
        <f>IFERROR(__xludf.DUMMYFUNCTION("""COMPUTED_VALUE"""),5.0)</f>
        <v>5</v>
      </c>
      <c r="AE28" s="16">
        <f>IFERROR(__xludf.DUMMYFUNCTION("""COMPUTED_VALUE"""),8.9)</f>
        <v>8.9</v>
      </c>
      <c r="AF28" s="16">
        <f>IFERROR(__xludf.DUMMYFUNCTION("""COMPUTED_VALUE"""),14.0)</f>
        <v>14</v>
      </c>
      <c r="AG28" s="16">
        <f>IFERROR(__xludf.DUMMYFUNCTION("""COMPUTED_VALUE"""),2.0)</f>
        <v>2</v>
      </c>
      <c r="AH28" s="16">
        <f>IFERROR(__xludf.DUMMYFUNCTION("""COMPUTED_VALUE"""),2.0)</f>
        <v>2</v>
      </c>
      <c r="AI28" s="16">
        <f>IFERROR(__xludf.DUMMYFUNCTION("""COMPUTED_VALUE"""),4.0)</f>
        <v>4</v>
      </c>
      <c r="AJ28" s="16">
        <f>IFERROR(__xludf.DUMMYFUNCTION("""COMPUTED_VALUE"""),4.0)</f>
        <v>4</v>
      </c>
      <c r="AK28" s="16">
        <f>IFERROR(__xludf.DUMMYFUNCTION("""COMPUTED_VALUE"""),7.9)</f>
        <v>7.9</v>
      </c>
      <c r="AL28" s="16">
        <f>IFERROR(__xludf.DUMMYFUNCTION("""COMPUTED_VALUE"""),8.8)</f>
        <v>8.8</v>
      </c>
      <c r="AM28" s="16">
        <f>IFERROR(__xludf.DUMMYFUNCTION("""COMPUTED_VALUE"""),1.0)</f>
        <v>1</v>
      </c>
      <c r="AN28" s="16">
        <f>IFERROR(__xludf.DUMMYFUNCTION("""COMPUTED_VALUE"""),1.0)</f>
        <v>1</v>
      </c>
      <c r="AO28" s="16">
        <f>IFERROR(__xludf.DUMMYFUNCTION("""COMPUTED_VALUE"""),1.0)</f>
        <v>1</v>
      </c>
      <c r="AP28" s="16">
        <f>IFERROR(__xludf.DUMMYFUNCTION("""COMPUTED_VALUE"""),1.0)</f>
        <v>1</v>
      </c>
      <c r="AQ28" s="16">
        <f>IFERROR(__xludf.DUMMYFUNCTION("""COMPUTED_VALUE"""),8.9)</f>
        <v>8.9</v>
      </c>
      <c r="AR28" s="16">
        <f>IFERROR(__xludf.DUMMYFUNCTION("""COMPUTED_VALUE"""),14.0)</f>
        <v>14</v>
      </c>
      <c r="AS28" s="16">
        <f>IFERROR(__xludf.DUMMYFUNCTION("""COMPUTED_VALUE"""),1.0)</f>
        <v>1</v>
      </c>
      <c r="AT28" s="16">
        <f>IFERROR(__xludf.DUMMYFUNCTION("""COMPUTED_VALUE"""),1.0)</f>
        <v>1</v>
      </c>
      <c r="AU28" s="16">
        <f>IFERROR(__xludf.DUMMYFUNCTION("""COMPUTED_VALUE"""),2.0)</f>
        <v>2</v>
      </c>
      <c r="AV28" s="16">
        <f>IFERROR(__xludf.DUMMYFUNCTION("""COMPUTED_VALUE"""),2.0)</f>
        <v>2</v>
      </c>
      <c r="AW28" s="16">
        <f>IFERROR(__xludf.DUMMYFUNCTION("""COMPUTED_VALUE"""),0.0)</f>
        <v>0</v>
      </c>
      <c r="AX28" s="16">
        <f>IFERROR(__xludf.DUMMYFUNCTION("""COMPUTED_VALUE"""),0.0)</f>
        <v>0</v>
      </c>
      <c r="AY28" s="16">
        <f>IFERROR(__xludf.DUMMYFUNCTION("""COMPUTED_VALUE"""),2.0)</f>
        <v>2</v>
      </c>
      <c r="AZ28" s="16">
        <f>IFERROR(__xludf.DUMMYFUNCTION("""COMPUTED_VALUE"""),2.0)</f>
        <v>2</v>
      </c>
      <c r="BA28" s="16">
        <f>IFERROR(__xludf.DUMMYFUNCTION("""COMPUTED_VALUE"""),10.0)</f>
        <v>10</v>
      </c>
      <c r="BB28" s="16">
        <f>IFERROR(__xludf.DUMMYFUNCTION("""COMPUTED_VALUE"""),10.0)</f>
        <v>10</v>
      </c>
      <c r="BC28" s="16">
        <f>IFERROR(__xludf.DUMMYFUNCTION("""COMPUTED_VALUE"""),0.0)</f>
        <v>0</v>
      </c>
      <c r="BD28" s="16">
        <f>IFERROR(__xludf.DUMMYFUNCTION("""COMPUTED_VALUE"""),0.0)</f>
        <v>0</v>
      </c>
      <c r="BE28" s="16">
        <f>IFERROR(__xludf.DUMMYFUNCTION("""COMPUTED_VALUE"""),0.0)</f>
        <v>0</v>
      </c>
      <c r="BF28" s="16">
        <f>IFERROR(__xludf.DUMMYFUNCTION("""COMPUTED_VALUE"""),0.0)</f>
        <v>0</v>
      </c>
      <c r="BG28" s="16">
        <f>IFERROR(__xludf.DUMMYFUNCTION("""COMPUTED_VALUE"""),3.0)</f>
        <v>3</v>
      </c>
      <c r="BH28" s="16">
        <f>IFERROR(__xludf.DUMMYFUNCTION("""COMPUTED_VALUE"""),2.0)</f>
        <v>2</v>
      </c>
      <c r="BI28" s="16">
        <f>IFERROR(__xludf.DUMMYFUNCTION("""COMPUTED_VALUE"""),6.0)</f>
        <v>6</v>
      </c>
      <c r="BJ28" s="16">
        <f>IFERROR(__xludf.DUMMYFUNCTION("""COMPUTED_VALUE"""),4.0)</f>
        <v>4</v>
      </c>
      <c r="BK28" s="16">
        <f>IFERROR(__xludf.DUMMYFUNCTION("""COMPUTED_VALUE"""),5.0)</f>
        <v>5</v>
      </c>
      <c r="BL28" s="16">
        <f>IFERROR(__xludf.DUMMYFUNCTION("""COMPUTED_VALUE"""),5.0)</f>
        <v>5</v>
      </c>
      <c r="BM28" s="16">
        <f>IFERROR(__xludf.DUMMYFUNCTION("""COMPUTED_VALUE"""),0.0)</f>
        <v>0</v>
      </c>
      <c r="BN28" s="16">
        <f>IFERROR(__xludf.DUMMYFUNCTION("""COMPUTED_VALUE"""),0.0)</f>
        <v>0</v>
      </c>
      <c r="BO28" s="16">
        <f>IFERROR(__xludf.DUMMYFUNCTION("""COMPUTED_VALUE"""),0.0)</f>
        <v>0</v>
      </c>
      <c r="BP28" s="16">
        <f>IFERROR(__xludf.DUMMYFUNCTION("""COMPUTED_VALUE"""),0.0)</f>
        <v>0</v>
      </c>
      <c r="BQ28" s="16">
        <f>IFERROR(__xludf.DUMMYFUNCTION("""COMPUTED_VALUE"""),1.0)</f>
        <v>1</v>
      </c>
      <c r="BR28" s="16">
        <f>IFERROR(__xludf.DUMMYFUNCTION("""COMPUTED_VALUE"""),1.0)</f>
        <v>1</v>
      </c>
      <c r="BS28" s="16">
        <f>IFERROR(__xludf.DUMMYFUNCTION("""COMPUTED_VALUE"""),-2.0)</f>
        <v>-2</v>
      </c>
      <c r="BT28" s="16">
        <f>IFERROR(__xludf.DUMMYFUNCTION("""COMPUTED_VALUE"""),-2.0)</f>
        <v>-2</v>
      </c>
      <c r="BU28" s="16">
        <f>IFERROR(__xludf.DUMMYFUNCTION("""COMPUTED_VALUE"""),-4.0)</f>
        <v>-4</v>
      </c>
      <c r="BV28" s="16">
        <f>IFERROR(__xludf.DUMMYFUNCTION("""COMPUTED_VALUE"""),-4.0)</f>
        <v>-4</v>
      </c>
      <c r="BW28" s="16">
        <f>IFERROR(__xludf.DUMMYFUNCTION("""COMPUTED_VALUE"""),-1.0)</f>
        <v>-1</v>
      </c>
      <c r="BX28" s="16">
        <f>IFERROR(__xludf.DUMMYFUNCTION("""COMPUTED_VALUE"""),-1.0)</f>
        <v>-1</v>
      </c>
      <c r="BY28" s="16" t="str">
        <f>IFERROR(__xludf.DUMMYFUNCTION("""COMPUTED_VALUE"""),"R(1) C(2)")</f>
        <v>R(1) C(2)</v>
      </c>
      <c r="BZ28" s="16" t="str">
        <f>IFERROR(__xludf.DUMMYFUNCTION("""COMPUTED_VALUE"""),"R(1) C(2)")</f>
        <v>R(1) C(2)</v>
      </c>
      <c r="CA28" s="16" t="str">
        <f>IFERROR(__xludf.DUMMYFUNCTION("""COMPUTED_VALUE"""),"R(1)")</f>
        <v>R(1)</v>
      </c>
      <c r="CB28" s="16" t="str">
        <f>IFERROR(__xludf.DUMMYFUNCTION("""COMPUTED_VALUE"""),"C(2)")</f>
        <v>C(2)</v>
      </c>
      <c r="CC28" s="16"/>
      <c r="CD28" s="16"/>
      <c r="CE28" s="16">
        <f>IFERROR(__xludf.DUMMYFUNCTION("""COMPUTED_VALUE"""),1.0)</f>
        <v>1</v>
      </c>
      <c r="CF28" s="16">
        <f>IFERROR(__xludf.DUMMYFUNCTION("""COMPUTED_VALUE"""),2.0)</f>
        <v>2</v>
      </c>
      <c r="CG28" s="16" t="str">
        <f>IFERROR(__xludf.DUMMYFUNCTION("""COMPUTED_VALUE"""),"3-21")</f>
        <v>3-21</v>
      </c>
      <c r="CH28" s="16">
        <f>IFERROR(__xludf.DUMMYFUNCTION("""COMPUTED_VALUE"""),3.0)</f>
        <v>3</v>
      </c>
      <c r="CI28" s="16">
        <f>IFERROR(__xludf.DUMMYFUNCTION("""COMPUTED_VALUE"""),21.0)</f>
        <v>21</v>
      </c>
      <c r="CJ28" s="16">
        <f>IFERROR(__xludf.DUMMYFUNCTION("""COMPUTED_VALUE"""),0.0)</f>
        <v>0</v>
      </c>
      <c r="CK28" s="16">
        <f>IFERROR(__xludf.DUMMYFUNCTION("""COMPUTED_VALUE"""),0.0)</f>
        <v>0</v>
      </c>
      <c r="CL28" s="16" t="str">
        <f>IFERROR(__xludf.DUMMYFUNCTION("""COMPUTED_VALUE"""),"1WR-C")</f>
        <v>1WR-C</v>
      </c>
      <c r="CM28" s="16" t="str">
        <f>IFERROR(__xludf.DUMMYFUNCTION("""COMPUTED_VALUE"""),"E")</f>
        <v>E</v>
      </c>
      <c r="CN28" s="16">
        <f>IFERROR(__xludf.DUMMYFUNCTION("""COMPUTED_VALUE"""),10.0)</f>
        <v>10</v>
      </c>
      <c r="CO28" s="16" t="str">
        <f>IFERROR(__xludf.DUMMYFUNCTION("""COMPUTED_VALUE"""),"C")</f>
        <v>C</v>
      </c>
      <c r="CP28" s="16" t="str">
        <f>IFERROR(__xludf.DUMMYFUNCTION("""COMPUTED_VALUE"""),"1p60")</f>
        <v>1p60</v>
      </c>
      <c r="CQ28" s="16">
        <f>IFERROR(__xludf.DUMMYFUNCTION("""COMPUTED_VALUE"""),38.0)</f>
        <v>38</v>
      </c>
      <c r="CR28" s="16">
        <f>IFERROR(__xludf.DUMMYFUNCTION("""COMPUTED_VALUE"""),29.0)</f>
        <v>29</v>
      </c>
      <c r="CS28" s="16">
        <f>IFERROR(__xludf.DUMMYFUNCTION("""COMPUTED_VALUE"""),67.0)</f>
        <v>67</v>
      </c>
      <c r="CT28" s="16">
        <f>IFERROR(__xludf.DUMMYFUNCTION("""COMPUTED_VALUE"""),38.0)</f>
        <v>38</v>
      </c>
      <c r="CU28" s="16">
        <f>IFERROR(__xludf.DUMMYFUNCTION("""COMPUTED_VALUE"""),29.0)</f>
        <v>29</v>
      </c>
      <c r="CV28" s="179">
        <f>IFERROR(__xludf.DUMMYFUNCTION("""COMPUTED_VALUE"""),37.0)</f>
        <v>37</v>
      </c>
      <c r="CW28" s="179">
        <f>IFERROR(__xludf.DUMMYFUNCTION("""COMPUTED_VALUE"""),4.0)</f>
        <v>4</v>
      </c>
      <c r="CX28" s="179">
        <f>IFERROR(__xludf.DUMMYFUNCTION("""COMPUTED_VALUE"""),1.0)</f>
        <v>1</v>
      </c>
      <c r="CY28" s="16" t="str">
        <f>IFERROR(__xludf.DUMMYFUNCTION("""COMPUTED_VALUE"""),"RP")</f>
        <v>RP</v>
      </c>
      <c r="CZ28" s="16" t="str">
        <f>IFERROR(__xludf.DUMMYFUNCTION("""COMPUTED_VALUE"""),"CP")</f>
        <v>CP</v>
      </c>
      <c r="DA28" s="16"/>
      <c r="DB28" s="16"/>
      <c r="DC28" s="16"/>
      <c r="DD28" s="16"/>
      <c r="DE28" s="16"/>
      <c r="DF28" s="16"/>
      <c r="DG28" s="16"/>
      <c r="DH28" s="16"/>
      <c r="DI28" s="16"/>
      <c r="DJ28" s="16"/>
      <c r="DK28" s="16"/>
    </row>
    <row r="29">
      <c r="A29" s="16">
        <f>IFERROR(__xludf.DUMMYFUNCTION("""COMPUTED_VALUE"""),13118.0)</f>
        <v>13118</v>
      </c>
      <c r="B29" s="16" t="str">
        <f>IFERROR(__xludf.DUMMYFUNCTION("""COMPUTED_VALUE"""),"Logan Gilbert")</f>
        <v>Logan Gilbert</v>
      </c>
      <c r="C29" s="153">
        <f>IFERROR(__xludf.DUMMYFUNCTION("""COMPUTED_VALUE"""),1.21)</f>
        <v>1.21</v>
      </c>
      <c r="D29" s="16"/>
      <c r="E29" s="16" t="str">
        <f>IFERROR(__xludf.DUMMYFUNCTION("""COMPUTED_VALUE"""),"R")</f>
        <v>R</v>
      </c>
      <c r="F29" s="16">
        <f>IFERROR(__xludf.DUMMYFUNCTION("""COMPUTED_VALUE"""),209.0)</f>
        <v>209</v>
      </c>
      <c r="G29" s="16">
        <f>IFERROR(__xludf.DUMMYFUNCTION("""COMPUTED_VALUE"""),41.0)</f>
        <v>41</v>
      </c>
      <c r="H29" s="16">
        <f>IFERROR(__xludf.DUMMYFUNCTION("""COMPUTED_VALUE"""),31.0)</f>
        <v>31</v>
      </c>
      <c r="I29" s="16">
        <f>IFERROR(__xludf.DUMMYFUNCTION("""COMPUTED_VALUE"""),2.0)</f>
        <v>2</v>
      </c>
      <c r="J29" s="16">
        <f>IFERROR(__xludf.DUMMYFUNCTION("""COMPUTED_VALUE"""),0.0)</f>
        <v>0</v>
      </c>
      <c r="K29" s="16">
        <f>IFERROR(__xludf.DUMMYFUNCTION("""COMPUTED_VALUE"""),6.0)</f>
        <v>6</v>
      </c>
      <c r="L29" s="16">
        <f>IFERROR(__xludf.DUMMYFUNCTION("""COMPUTED_VALUE"""),0.0)</f>
        <v>0</v>
      </c>
      <c r="M29" s="16">
        <f>IFERROR(__xludf.DUMMYFUNCTION("""COMPUTED_VALUE"""),1.0)</f>
        <v>1</v>
      </c>
      <c r="N29" s="16">
        <f>IFERROR(__xludf.DUMMYFUNCTION("""COMPUTED_VALUE"""),1.0)</f>
        <v>1</v>
      </c>
      <c r="O29" s="16">
        <f>IFERROR(__xludf.DUMMYFUNCTION("""COMPUTED_VALUE"""),3.0)</f>
        <v>3</v>
      </c>
      <c r="P29" s="16">
        <f>IFERROR(__xludf.DUMMYFUNCTION("""COMPUTED_VALUE"""),3.0)</f>
        <v>3</v>
      </c>
      <c r="Q29" s="16">
        <f>IFERROR(__xludf.DUMMYFUNCTION("""COMPUTED_VALUE"""),3.0)</f>
        <v>3</v>
      </c>
      <c r="R29" s="16">
        <f>IFERROR(__xludf.DUMMYFUNCTION("""COMPUTED_VALUE"""),3.0)</f>
        <v>3</v>
      </c>
      <c r="S29" s="16">
        <f>IFERROR(__xludf.DUMMYFUNCTION("""COMPUTED_VALUE"""),11.5)</f>
        <v>11.5</v>
      </c>
      <c r="T29" s="16">
        <f>IFERROR(__xludf.DUMMYFUNCTION("""COMPUTED_VALUE"""),7.0)</f>
        <v>7</v>
      </c>
      <c r="U29" s="16">
        <f>IFERROR(__xludf.DUMMYFUNCTION("""COMPUTED_VALUE"""),1.0)</f>
        <v>1</v>
      </c>
      <c r="V29" s="16">
        <f>IFERROR(__xludf.DUMMYFUNCTION("""COMPUTED_VALUE"""),2.0)</f>
        <v>2</v>
      </c>
      <c r="W29" s="16">
        <f>IFERROR(__xludf.DUMMYFUNCTION("""COMPUTED_VALUE"""),2.0)</f>
        <v>2</v>
      </c>
      <c r="X29" s="16">
        <f>IFERROR(__xludf.DUMMYFUNCTION("""COMPUTED_VALUE"""),4.0)</f>
        <v>4</v>
      </c>
      <c r="Y29" s="16">
        <f>IFERROR(__xludf.DUMMYFUNCTION("""COMPUTED_VALUE"""),12.5)</f>
        <v>12.5</v>
      </c>
      <c r="Z29" s="16">
        <f>IFERROR(__xludf.DUMMYFUNCTION("""COMPUTED_VALUE"""),8.0)</f>
        <v>8</v>
      </c>
      <c r="AA29" s="16">
        <f>IFERROR(__xludf.DUMMYFUNCTION("""COMPUTED_VALUE"""),2.0)</f>
        <v>2</v>
      </c>
      <c r="AB29" s="16">
        <f>IFERROR(__xludf.DUMMYFUNCTION("""COMPUTED_VALUE"""),2.0)</f>
        <v>2</v>
      </c>
      <c r="AC29" s="16">
        <f>IFERROR(__xludf.DUMMYFUNCTION("""COMPUTED_VALUE"""),10.0)</f>
        <v>10</v>
      </c>
      <c r="AD29" s="16">
        <f>IFERROR(__xludf.DUMMYFUNCTION("""COMPUTED_VALUE"""),10.0)</f>
        <v>10</v>
      </c>
      <c r="AE29" s="16">
        <f>IFERROR(__xludf.DUMMYFUNCTION("""COMPUTED_VALUE"""),26.5)</f>
        <v>26.5</v>
      </c>
      <c r="AF29" s="16">
        <f>IFERROR(__xludf.DUMMYFUNCTION("""COMPUTED_VALUE"""),18.9)</f>
        <v>18.9</v>
      </c>
      <c r="AG29" s="16">
        <f>IFERROR(__xludf.DUMMYFUNCTION("""COMPUTED_VALUE"""),0.0)</f>
        <v>0</v>
      </c>
      <c r="AH29" s="16">
        <f>IFERROR(__xludf.DUMMYFUNCTION("""COMPUTED_VALUE"""),1.0)</f>
        <v>1</v>
      </c>
      <c r="AI29" s="16">
        <f>IFERROR(__xludf.DUMMYFUNCTION("""COMPUTED_VALUE"""),0.0)</f>
        <v>0</v>
      </c>
      <c r="AJ29" s="16">
        <f>IFERROR(__xludf.DUMMYFUNCTION("""COMPUTED_VALUE"""),2.0)</f>
        <v>2</v>
      </c>
      <c r="AK29" s="16">
        <f>IFERROR(__xludf.DUMMYFUNCTION("""COMPUTED_VALUE"""),9.1)</f>
        <v>9.1</v>
      </c>
      <c r="AL29" s="16">
        <f>IFERROR(__xludf.DUMMYFUNCTION("""COMPUTED_VALUE"""),4.6)</f>
        <v>4.6</v>
      </c>
      <c r="AM29" s="16">
        <f>IFERROR(__xludf.DUMMYFUNCTION("""COMPUTED_VALUE"""),1.0)</f>
        <v>1</v>
      </c>
      <c r="AN29" s="16">
        <f>IFERROR(__xludf.DUMMYFUNCTION("""COMPUTED_VALUE"""),2.0)</f>
        <v>2</v>
      </c>
      <c r="AO29" s="16">
        <f>IFERROR(__xludf.DUMMYFUNCTION("""COMPUTED_VALUE"""),1.0)</f>
        <v>1</v>
      </c>
      <c r="AP29" s="16">
        <f>IFERROR(__xludf.DUMMYFUNCTION("""COMPUTED_VALUE"""),2.0)</f>
        <v>2</v>
      </c>
      <c r="AQ29" s="16">
        <f>IFERROR(__xludf.DUMMYFUNCTION("""COMPUTED_VALUE"""),16.9)</f>
        <v>16.9</v>
      </c>
      <c r="AR29" s="16">
        <f>IFERROR(__xludf.DUMMYFUNCTION("""COMPUTED_VALUE"""),9.299999999999999)</f>
        <v>9.3</v>
      </c>
      <c r="AS29" s="16">
        <f>IFERROR(__xludf.DUMMYFUNCTION("""COMPUTED_VALUE"""),0.0)</f>
        <v>0</v>
      </c>
      <c r="AT29" s="16">
        <f>IFERROR(__xludf.DUMMYFUNCTION("""COMPUTED_VALUE"""),1.0)</f>
        <v>1</v>
      </c>
      <c r="AU29" s="16">
        <f>IFERROR(__xludf.DUMMYFUNCTION("""COMPUTED_VALUE"""),0.0)</f>
        <v>0</v>
      </c>
      <c r="AV29" s="16">
        <f>IFERROR(__xludf.DUMMYFUNCTION("""COMPUTED_VALUE"""),2.0)</f>
        <v>2</v>
      </c>
      <c r="AW29" s="16">
        <f>IFERROR(__xludf.DUMMYFUNCTION("""COMPUTED_VALUE"""),2.4)</f>
        <v>2.4</v>
      </c>
      <c r="AX29" s="16">
        <f>IFERROR(__xludf.DUMMYFUNCTION("""COMPUTED_VALUE"""),2.4)</f>
        <v>2.4</v>
      </c>
      <c r="AY29" s="16">
        <f>IFERROR(__xludf.DUMMYFUNCTION("""COMPUTED_VALUE"""),0.0)</f>
        <v>0</v>
      </c>
      <c r="AZ29" s="16">
        <f>IFERROR(__xludf.DUMMYFUNCTION("""COMPUTED_VALUE"""),0.0)</f>
        <v>0</v>
      </c>
      <c r="BA29" s="16">
        <f>IFERROR(__xludf.DUMMYFUNCTION("""COMPUTED_VALUE"""),0.0)</f>
        <v>0</v>
      </c>
      <c r="BB29" s="16">
        <f>IFERROR(__xludf.DUMMYFUNCTION("""COMPUTED_VALUE"""),0.0)</f>
        <v>0</v>
      </c>
      <c r="BC29" s="16">
        <f>IFERROR(__xludf.DUMMYFUNCTION("""COMPUTED_VALUE"""),4.0)</f>
        <v>4</v>
      </c>
      <c r="BD29" s="16"/>
      <c r="BE29" s="16">
        <f>IFERROR(__xludf.DUMMYFUNCTION("""COMPUTED_VALUE"""),4.0)</f>
        <v>4</v>
      </c>
      <c r="BF29" s="16">
        <f>IFERROR(__xludf.DUMMYFUNCTION("""COMPUTED_VALUE"""),3.0)</f>
        <v>3</v>
      </c>
      <c r="BG29" s="16">
        <f>IFERROR(__xludf.DUMMYFUNCTION("""COMPUTED_VALUE"""),-1.0)</f>
        <v>-1</v>
      </c>
      <c r="BH29" s="16">
        <f>IFERROR(__xludf.DUMMYFUNCTION("""COMPUTED_VALUE"""),0.0)</f>
        <v>0</v>
      </c>
      <c r="BI29" s="16">
        <f>IFERROR(__xludf.DUMMYFUNCTION("""COMPUTED_VALUE"""),-2.0)</f>
        <v>-2</v>
      </c>
      <c r="BJ29" s="16">
        <f>IFERROR(__xludf.DUMMYFUNCTION("""COMPUTED_VALUE"""),0.0)</f>
        <v>0</v>
      </c>
      <c r="BK29" s="16">
        <f>IFERROR(__xludf.DUMMYFUNCTION("""COMPUTED_VALUE"""),5.0)</f>
        <v>5</v>
      </c>
      <c r="BL29" s="16">
        <f>IFERROR(__xludf.DUMMYFUNCTION("""COMPUTED_VALUE"""),0.0)</f>
        <v>0</v>
      </c>
      <c r="BM29" s="16">
        <f>IFERROR(__xludf.DUMMYFUNCTION("""COMPUTED_VALUE"""),0.0)</f>
        <v>0</v>
      </c>
      <c r="BN29" s="16">
        <f>IFERROR(__xludf.DUMMYFUNCTION("""COMPUTED_VALUE"""),1.0)</f>
        <v>1</v>
      </c>
      <c r="BO29" s="16">
        <f>IFERROR(__xludf.DUMMYFUNCTION("""COMPUTED_VALUE"""),0.0)</f>
        <v>0</v>
      </c>
      <c r="BP29" s="16">
        <f>IFERROR(__xludf.DUMMYFUNCTION("""COMPUTED_VALUE"""),1.0)</f>
        <v>1</v>
      </c>
      <c r="BQ29" s="16">
        <f>IFERROR(__xludf.DUMMYFUNCTION("""COMPUTED_VALUE"""),11.0)</f>
        <v>11</v>
      </c>
      <c r="BR29" s="16">
        <f>IFERROR(__xludf.DUMMYFUNCTION("""COMPUTED_VALUE"""),12.0)</f>
        <v>12</v>
      </c>
      <c r="BS29" s="16">
        <f>IFERROR(__xludf.DUMMYFUNCTION("""COMPUTED_VALUE"""),3.0)</f>
        <v>3</v>
      </c>
      <c r="BT29" s="16">
        <f>IFERROR(__xludf.DUMMYFUNCTION("""COMPUTED_VALUE"""),3.0)</f>
        <v>3</v>
      </c>
      <c r="BU29" s="16">
        <f>IFERROR(__xludf.DUMMYFUNCTION("""COMPUTED_VALUE"""),6.0)</f>
        <v>6</v>
      </c>
      <c r="BV29" s="16">
        <f>IFERROR(__xludf.DUMMYFUNCTION("""COMPUTED_VALUE"""),6.0)</f>
        <v>6</v>
      </c>
      <c r="BW29" s="16">
        <f>IFERROR(__xludf.DUMMYFUNCTION("""COMPUTED_VALUE"""),0.0)</f>
        <v>0</v>
      </c>
      <c r="BX29" s="16">
        <f>IFERROR(__xludf.DUMMYFUNCTION("""COMPUTED_VALUE"""),0.0)</f>
        <v>0</v>
      </c>
      <c r="BY29" s="16" t="str">
        <f>IFERROR(__xludf.DUMMYFUNCTION("""COMPUTED_VALUE"""),"S(6*)")</f>
        <v>S(6*)</v>
      </c>
      <c r="BZ29" s="16" t="str">
        <f>IFERROR(__xludf.DUMMYFUNCTION("""COMPUTED_VALUE"""),"S(6)")</f>
        <v>S(6)</v>
      </c>
      <c r="CA29" s="16" t="str">
        <f>IFERROR(__xludf.DUMMYFUNCTION("""COMPUTED_VALUE"""),"S(6)")</f>
        <v>S(6)</v>
      </c>
      <c r="CB29" s="16"/>
      <c r="CC29" s="16"/>
      <c r="CD29" s="16">
        <f>IFERROR(__xludf.DUMMYFUNCTION("""COMPUTED_VALUE"""),6.0)</f>
        <v>6</v>
      </c>
      <c r="CE29" s="16"/>
      <c r="CF29" s="16"/>
      <c r="CG29" s="16" t="str">
        <f>IFERROR(__xludf.DUMMYFUNCTION("""COMPUTED_VALUE"""),"5-21")</f>
        <v>5-21</v>
      </c>
      <c r="CH29" s="16">
        <f>IFERROR(__xludf.DUMMYFUNCTION("""COMPUTED_VALUE"""),5.0)</f>
        <v>5</v>
      </c>
      <c r="CI29" s="16">
        <f>IFERROR(__xludf.DUMMYFUNCTION("""COMPUTED_VALUE"""),21.0)</f>
        <v>21</v>
      </c>
      <c r="CJ29" s="16">
        <f>IFERROR(__xludf.DUMMYFUNCTION("""COMPUTED_VALUE"""),0.0)</f>
        <v>0</v>
      </c>
      <c r="CK29" s="16">
        <f>IFERROR(__xludf.DUMMYFUNCTION("""COMPUTED_VALUE"""),13.0)</f>
        <v>13</v>
      </c>
      <c r="CL29" s="16" t="str">
        <f>IFERROR(__xludf.DUMMYFUNCTION("""COMPUTED_VALUE"""),"1WR-C")</f>
        <v>1WR-C</v>
      </c>
      <c r="CM29" s="16" t="str">
        <f>IFERROR(__xludf.DUMMYFUNCTION("""COMPUTED_VALUE"""),"E")</f>
        <v>E</v>
      </c>
      <c r="CN29" s="16">
        <f>IFERROR(__xludf.DUMMYFUNCTION("""COMPUTED_VALUE"""),10.0)</f>
        <v>10</v>
      </c>
      <c r="CO29" s="16" t="str">
        <f>IFERROR(__xludf.DUMMYFUNCTION("""COMPUTED_VALUE"""),"C")</f>
        <v>C</v>
      </c>
      <c r="CP29" s="16" t="str">
        <f>IFERROR(__xludf.DUMMYFUNCTION("""COMPUTED_VALUE"""),"0p72")</f>
        <v>0p72</v>
      </c>
      <c r="CQ29" s="16">
        <f>IFERROR(__xludf.DUMMYFUNCTION("""COMPUTED_VALUE"""),26.0)</f>
        <v>26</v>
      </c>
      <c r="CR29" s="16">
        <f>IFERROR(__xludf.DUMMYFUNCTION("""COMPUTED_VALUE"""),30.0)</f>
        <v>30</v>
      </c>
      <c r="CS29" s="16">
        <f>IFERROR(__xludf.DUMMYFUNCTION("""COMPUTED_VALUE"""),56.0)</f>
        <v>56</v>
      </c>
      <c r="CT29" s="16">
        <f>IFERROR(__xludf.DUMMYFUNCTION("""COMPUTED_VALUE"""),26.0)</f>
        <v>26</v>
      </c>
      <c r="CU29" s="16">
        <f>IFERROR(__xludf.DUMMYFUNCTION("""COMPUTED_VALUE"""),30.0)</f>
        <v>30</v>
      </c>
      <c r="CV29" s="179">
        <f>IFERROR(__xludf.DUMMYFUNCTION("""COMPUTED_VALUE"""),36.33333333333333)</f>
        <v>36.33333333</v>
      </c>
      <c r="CW29" s="179">
        <f>IFERROR(__xludf.DUMMYFUNCTION("""COMPUTED_VALUE"""),5.0)</f>
        <v>5</v>
      </c>
      <c r="CX29" s="179">
        <f>IFERROR(__xludf.DUMMYFUNCTION("""COMPUTED_VALUE"""),4.0)</f>
        <v>4</v>
      </c>
      <c r="CY29" s="16" t="str">
        <f>IFERROR(__xludf.DUMMYFUNCTION("""COMPUTED_VALUE"""),"SP")</f>
        <v>SP</v>
      </c>
      <c r="CZ29" s="16"/>
      <c r="DA29" s="16"/>
      <c r="DB29" s="16"/>
      <c r="DC29" s="16"/>
      <c r="DD29" s="16"/>
      <c r="DE29" s="16"/>
      <c r="DF29" s="16"/>
      <c r="DG29" s="16"/>
      <c r="DH29" s="16"/>
      <c r="DI29" s="16"/>
      <c r="DJ29" s="16"/>
      <c r="DK29" s="16"/>
    </row>
    <row r="30">
      <c r="A30" s="16">
        <f>IFERROR(__xludf.DUMMYFUNCTION("""COMPUTED_VALUE"""),12831.0)</f>
        <v>12831</v>
      </c>
      <c r="B30" s="16" t="str">
        <f>IFERROR(__xludf.DUMMYFUNCTION("""COMPUTED_VALUE"""),"Garrett Crochet")</f>
        <v>Garrett Crochet</v>
      </c>
      <c r="C30" s="153">
        <f>IFERROR(__xludf.DUMMYFUNCTION("""COMPUTED_VALUE"""),2.02)</f>
        <v>2.02</v>
      </c>
      <c r="D30" s="16"/>
      <c r="E30" s="16" t="str">
        <f>IFERROR(__xludf.DUMMYFUNCTION("""COMPUTED_VALUE"""),"L")</f>
        <v>L</v>
      </c>
      <c r="F30" s="16">
        <f>IFERROR(__xludf.DUMMYFUNCTION("""COMPUTED_VALUE"""),146.0)</f>
        <v>146</v>
      </c>
      <c r="G30" s="16">
        <f>IFERROR(__xludf.DUMMYFUNCTION("""COMPUTED_VALUE"""),48.0)</f>
        <v>48</v>
      </c>
      <c r="H30" s="16">
        <f>IFERROR(__xludf.DUMMYFUNCTION("""COMPUTED_VALUE"""),53.0)</f>
        <v>53</v>
      </c>
      <c r="I30" s="16">
        <f>IFERROR(__xludf.DUMMYFUNCTION("""COMPUTED_VALUE"""),2.0)</f>
        <v>2</v>
      </c>
      <c r="J30" s="16">
        <f>IFERROR(__xludf.DUMMYFUNCTION("""COMPUTED_VALUE"""),3.0)</f>
        <v>3</v>
      </c>
      <c r="K30" s="16">
        <f>IFERROR(__xludf.DUMMYFUNCTION("""COMPUTED_VALUE"""),6.0)</f>
        <v>6</v>
      </c>
      <c r="L30" s="16">
        <f>IFERROR(__xludf.DUMMYFUNCTION("""COMPUTED_VALUE"""),9.0)</f>
        <v>9</v>
      </c>
      <c r="M30" s="16">
        <f>IFERROR(__xludf.DUMMYFUNCTION("""COMPUTED_VALUE"""),9.0)</f>
        <v>9</v>
      </c>
      <c r="N30" s="16">
        <f>IFERROR(__xludf.DUMMYFUNCTION("""COMPUTED_VALUE"""),2.0)</f>
        <v>2</v>
      </c>
      <c r="O30" s="16">
        <f>IFERROR(__xludf.DUMMYFUNCTION("""COMPUTED_VALUE"""),0.0)</f>
        <v>0</v>
      </c>
      <c r="P30" s="16">
        <f>IFERROR(__xludf.DUMMYFUNCTION("""COMPUTED_VALUE"""),3.0)</f>
        <v>3</v>
      </c>
      <c r="Q30" s="16">
        <f>IFERROR(__xludf.DUMMYFUNCTION("""COMPUTED_VALUE"""),0.0)</f>
        <v>0</v>
      </c>
      <c r="R30" s="16">
        <f>IFERROR(__xludf.DUMMYFUNCTION("""COMPUTED_VALUE"""),3.0)</f>
        <v>3</v>
      </c>
      <c r="S30" s="16">
        <f>IFERROR(__xludf.DUMMYFUNCTION("""COMPUTED_VALUE"""),10.6)</f>
        <v>10.6</v>
      </c>
      <c r="T30" s="16">
        <f>IFERROR(__xludf.DUMMYFUNCTION("""COMPUTED_VALUE"""),10.6)</f>
        <v>10.6</v>
      </c>
      <c r="U30" s="16">
        <f>IFERROR(__xludf.DUMMYFUNCTION("""COMPUTED_VALUE"""),1.0)</f>
        <v>1</v>
      </c>
      <c r="V30" s="16">
        <f>IFERROR(__xludf.DUMMYFUNCTION("""COMPUTED_VALUE"""),1.0)</f>
        <v>1</v>
      </c>
      <c r="W30" s="16">
        <f>IFERROR(__xludf.DUMMYFUNCTION("""COMPUTED_VALUE"""),2.0)</f>
        <v>2</v>
      </c>
      <c r="X30" s="16">
        <f>IFERROR(__xludf.DUMMYFUNCTION("""COMPUTED_VALUE"""),2.0)</f>
        <v>2</v>
      </c>
      <c r="Y30" s="16">
        <f>IFERROR(__xludf.DUMMYFUNCTION("""COMPUTED_VALUE"""),19.5)</f>
        <v>19.5</v>
      </c>
      <c r="Z30" s="16">
        <f>IFERROR(__xludf.DUMMYFUNCTION("""COMPUTED_VALUE"""),12.6)</f>
        <v>12.6</v>
      </c>
      <c r="AA30" s="16">
        <f>IFERROR(__xludf.DUMMYFUNCTION("""COMPUTED_VALUE"""),1.0)</f>
        <v>1</v>
      </c>
      <c r="AB30" s="16">
        <f>IFERROR(__xludf.DUMMYFUNCTION("""COMPUTED_VALUE"""),2.0)</f>
        <v>2</v>
      </c>
      <c r="AC30" s="16">
        <f>IFERROR(__xludf.DUMMYFUNCTION("""COMPUTED_VALUE"""),5.0)</f>
        <v>5</v>
      </c>
      <c r="AD30" s="16">
        <f>IFERROR(__xludf.DUMMYFUNCTION("""COMPUTED_VALUE"""),10.0)</f>
        <v>10</v>
      </c>
      <c r="AE30" s="16">
        <f>IFERROR(__xludf.DUMMYFUNCTION("""COMPUTED_VALUE"""),14.0)</f>
        <v>14</v>
      </c>
      <c r="AF30" s="16">
        <f>IFERROR(__xludf.DUMMYFUNCTION("""COMPUTED_VALUE"""),22.9)</f>
        <v>22.9</v>
      </c>
      <c r="AG30" s="16">
        <f>IFERROR(__xludf.DUMMYFUNCTION("""COMPUTED_VALUE"""),1.0)</f>
        <v>1</v>
      </c>
      <c r="AH30" s="16">
        <f>IFERROR(__xludf.DUMMYFUNCTION("""COMPUTED_VALUE"""),1.0)</f>
        <v>1</v>
      </c>
      <c r="AI30" s="16">
        <f>IFERROR(__xludf.DUMMYFUNCTION("""COMPUTED_VALUE"""),2.0)</f>
        <v>2</v>
      </c>
      <c r="AJ30" s="16">
        <f>IFERROR(__xludf.DUMMYFUNCTION("""COMPUTED_VALUE"""),2.0)</f>
        <v>2</v>
      </c>
      <c r="AK30" s="16">
        <f>IFERROR(__xludf.DUMMYFUNCTION("""COMPUTED_VALUE"""),10.6)</f>
        <v>10.6</v>
      </c>
      <c r="AL30" s="16">
        <f>IFERROR(__xludf.DUMMYFUNCTION("""COMPUTED_VALUE"""),8.2)</f>
        <v>8.2</v>
      </c>
      <c r="AM30" s="16">
        <f>IFERROR(__xludf.DUMMYFUNCTION("""COMPUTED_VALUE"""),0.0)</f>
        <v>0</v>
      </c>
      <c r="AN30" s="16">
        <f>IFERROR(__xludf.DUMMYFUNCTION("""COMPUTED_VALUE"""),1.0)</f>
        <v>1</v>
      </c>
      <c r="AO30" s="16">
        <f>IFERROR(__xludf.DUMMYFUNCTION("""COMPUTED_VALUE"""),0.0)</f>
        <v>0</v>
      </c>
      <c r="AP30" s="16">
        <f>IFERROR(__xludf.DUMMYFUNCTION("""COMPUTED_VALUE"""),1.0)</f>
        <v>1</v>
      </c>
      <c r="AQ30" s="16">
        <f>IFERROR(__xludf.DUMMYFUNCTION("""COMPUTED_VALUE"""),14.0)</f>
        <v>14</v>
      </c>
      <c r="AR30" s="16">
        <f>IFERROR(__xludf.DUMMYFUNCTION("""COMPUTED_VALUE"""),13.299999999999999)</f>
        <v>13.3</v>
      </c>
      <c r="AS30" s="16">
        <f>IFERROR(__xludf.DUMMYFUNCTION("""COMPUTED_VALUE"""),1.0)</f>
        <v>1</v>
      </c>
      <c r="AT30" s="16">
        <f>IFERROR(__xludf.DUMMYFUNCTION("""COMPUTED_VALUE"""),1.0)</f>
        <v>1</v>
      </c>
      <c r="AU30" s="16">
        <f>IFERROR(__xludf.DUMMYFUNCTION("""COMPUTED_VALUE"""),2.0)</f>
        <v>2</v>
      </c>
      <c r="AV30" s="16">
        <f>IFERROR(__xludf.DUMMYFUNCTION("""COMPUTED_VALUE"""),2.0)</f>
        <v>2</v>
      </c>
      <c r="AW30" s="16">
        <f>IFERROR(__xludf.DUMMYFUNCTION("""COMPUTED_VALUE"""),0.0)</f>
        <v>0</v>
      </c>
      <c r="AX30" s="16">
        <f>IFERROR(__xludf.DUMMYFUNCTION("""COMPUTED_VALUE"""),2.4)</f>
        <v>2.4</v>
      </c>
      <c r="AY30" s="16">
        <f>IFERROR(__xludf.DUMMYFUNCTION("""COMPUTED_VALUE"""),2.0)</f>
        <v>2</v>
      </c>
      <c r="AZ30" s="16">
        <f>IFERROR(__xludf.DUMMYFUNCTION("""COMPUTED_VALUE"""),0.0)</f>
        <v>0</v>
      </c>
      <c r="BA30" s="16">
        <f>IFERROR(__xludf.DUMMYFUNCTION("""COMPUTED_VALUE"""),10.0)</f>
        <v>10</v>
      </c>
      <c r="BB30" s="16">
        <f>IFERROR(__xludf.DUMMYFUNCTION("""COMPUTED_VALUE"""),0.0)</f>
        <v>0</v>
      </c>
      <c r="BC30" s="16">
        <f>IFERROR(__xludf.DUMMYFUNCTION("""COMPUTED_VALUE"""),0.0)</f>
        <v>0</v>
      </c>
      <c r="BD30" s="16">
        <f>IFERROR(__xludf.DUMMYFUNCTION("""COMPUTED_VALUE"""),4.0)</f>
        <v>4</v>
      </c>
      <c r="BE30" s="16">
        <f>IFERROR(__xludf.DUMMYFUNCTION("""COMPUTED_VALUE"""),0.0)</f>
        <v>0</v>
      </c>
      <c r="BF30" s="16">
        <f>IFERROR(__xludf.DUMMYFUNCTION("""COMPUTED_VALUE"""),4.0)</f>
        <v>4</v>
      </c>
      <c r="BG30" s="16">
        <f>IFERROR(__xludf.DUMMYFUNCTION("""COMPUTED_VALUE"""),3.0)</f>
        <v>3</v>
      </c>
      <c r="BH30" s="16">
        <f>IFERROR(__xludf.DUMMYFUNCTION("""COMPUTED_VALUE"""),-1.0)</f>
        <v>-1</v>
      </c>
      <c r="BI30" s="16">
        <f>IFERROR(__xludf.DUMMYFUNCTION("""COMPUTED_VALUE"""),6.0)</f>
        <v>6</v>
      </c>
      <c r="BJ30" s="16">
        <f>IFERROR(__xludf.DUMMYFUNCTION("""COMPUTED_VALUE"""),-2.0)</f>
        <v>-2</v>
      </c>
      <c r="BK30" s="16">
        <f>IFERROR(__xludf.DUMMYFUNCTION("""COMPUTED_VALUE"""),5.0)</f>
        <v>5</v>
      </c>
      <c r="BL30" s="16">
        <f>IFERROR(__xludf.DUMMYFUNCTION("""COMPUTED_VALUE"""),5.0)</f>
        <v>5</v>
      </c>
      <c r="BM30" s="16">
        <f>IFERROR(__xludf.DUMMYFUNCTION("""COMPUTED_VALUE"""),0.0)</f>
        <v>0</v>
      </c>
      <c r="BN30" s="16">
        <f>IFERROR(__xludf.DUMMYFUNCTION("""COMPUTED_VALUE"""),0.0)</f>
        <v>0</v>
      </c>
      <c r="BO30" s="16">
        <f>IFERROR(__xludf.DUMMYFUNCTION("""COMPUTED_VALUE"""),0.0)</f>
        <v>0</v>
      </c>
      <c r="BP30" s="16">
        <f>IFERROR(__xludf.DUMMYFUNCTION("""COMPUTED_VALUE"""),0.0)</f>
        <v>0</v>
      </c>
      <c r="BQ30" s="16">
        <f>IFERROR(__xludf.DUMMYFUNCTION("""COMPUTED_VALUE"""),4.0)</f>
        <v>4</v>
      </c>
      <c r="BR30" s="16">
        <f>IFERROR(__xludf.DUMMYFUNCTION("""COMPUTED_VALUE"""),3.0)</f>
        <v>3</v>
      </c>
      <c r="BS30" s="16">
        <f>IFERROR(__xludf.DUMMYFUNCTION("""COMPUTED_VALUE"""),-1.0)</f>
        <v>-1</v>
      </c>
      <c r="BT30" s="16">
        <f>IFERROR(__xludf.DUMMYFUNCTION("""COMPUTED_VALUE"""),-1.0)</f>
        <v>-1</v>
      </c>
      <c r="BU30" s="16">
        <f>IFERROR(__xludf.DUMMYFUNCTION("""COMPUTED_VALUE"""),-2.0)</f>
        <v>-2</v>
      </c>
      <c r="BV30" s="16">
        <f>IFERROR(__xludf.DUMMYFUNCTION("""COMPUTED_VALUE"""),-2.0)</f>
        <v>-2</v>
      </c>
      <c r="BW30" s="16">
        <f>IFERROR(__xludf.DUMMYFUNCTION("""COMPUTED_VALUE"""),2.0)</f>
        <v>2</v>
      </c>
      <c r="BX30" s="16">
        <f>IFERROR(__xludf.DUMMYFUNCTION("""COMPUTED_VALUE"""),2.0)</f>
        <v>2</v>
      </c>
      <c r="BY30" s="16" t="str">
        <f>IFERROR(__xludf.DUMMYFUNCTION("""COMPUTED_VALUE"""),"S(4)")</f>
        <v>S(4)</v>
      </c>
      <c r="BZ30" s="16" t="str">
        <f>IFERROR(__xludf.DUMMYFUNCTION("""COMPUTED_VALUE"""),"S(4)")</f>
        <v>S(4)</v>
      </c>
      <c r="CA30" s="16" t="str">
        <f>IFERROR(__xludf.DUMMYFUNCTION("""COMPUTED_VALUE"""),"S(4)")</f>
        <v>S(4)</v>
      </c>
      <c r="CB30" s="16"/>
      <c r="CC30" s="16"/>
      <c r="CD30" s="16">
        <f>IFERROR(__xludf.DUMMYFUNCTION("""COMPUTED_VALUE"""),4.0)</f>
        <v>4</v>
      </c>
      <c r="CE30" s="16"/>
      <c r="CF30" s="16"/>
      <c r="CG30" s="16" t="str">
        <f>IFERROR(__xludf.DUMMYFUNCTION("""COMPUTED_VALUE"""),"5-10")</f>
        <v>5-10</v>
      </c>
      <c r="CH30" s="16">
        <f>IFERROR(__xludf.DUMMYFUNCTION("""COMPUTED_VALUE"""),5.0)</f>
        <v>5</v>
      </c>
      <c r="CI30" s="16">
        <f>IFERROR(__xludf.DUMMYFUNCTION("""COMPUTED_VALUE"""),10.0)</f>
        <v>10</v>
      </c>
      <c r="CJ30" s="16">
        <f>IFERROR(__xludf.DUMMYFUNCTION("""COMPUTED_VALUE"""),2.0)</f>
        <v>2</v>
      </c>
      <c r="CK30" s="16">
        <f>IFERROR(__xludf.DUMMYFUNCTION("""COMPUTED_VALUE"""),4.0)</f>
        <v>4</v>
      </c>
      <c r="CL30" s="16" t="str">
        <f>IFERROR(__xludf.DUMMYFUNCTION("""COMPUTED_VALUE"""),"1WL-C")</f>
        <v>1WL-C</v>
      </c>
      <c r="CM30" s="16" t="str">
        <f>IFERROR(__xludf.DUMMYFUNCTION("""COMPUTED_VALUE"""),"E")</f>
        <v>E</v>
      </c>
      <c r="CN30" s="16">
        <f>IFERROR(__xludf.DUMMYFUNCTION("""COMPUTED_VALUE"""),10.0)</f>
        <v>10</v>
      </c>
      <c r="CO30" s="16" t="str">
        <f>IFERROR(__xludf.DUMMYFUNCTION("""COMPUTED_VALUE"""),"C")</f>
        <v>C</v>
      </c>
      <c r="CP30" s="16" t="str">
        <f>IFERROR(__xludf.DUMMYFUNCTION("""COMPUTED_VALUE"""),"0p72")</f>
        <v>0p72</v>
      </c>
      <c r="CQ30" s="16">
        <f>IFERROR(__xludf.DUMMYFUNCTION("""COMPUTED_VALUE"""),31.0)</f>
        <v>31</v>
      </c>
      <c r="CR30" s="16">
        <f>IFERROR(__xludf.DUMMYFUNCTION("""COMPUTED_VALUE"""),25.0)</f>
        <v>25</v>
      </c>
      <c r="CS30" s="16">
        <f>IFERROR(__xludf.DUMMYFUNCTION("""COMPUTED_VALUE"""),56.0)</f>
        <v>56</v>
      </c>
      <c r="CT30" s="16">
        <f>IFERROR(__xludf.DUMMYFUNCTION("""COMPUTED_VALUE"""),31.0)</f>
        <v>31</v>
      </c>
      <c r="CU30" s="16">
        <f>IFERROR(__xludf.DUMMYFUNCTION("""COMPUTED_VALUE"""),25.0)</f>
        <v>25</v>
      </c>
      <c r="CV30" s="179">
        <f>IFERROR(__xludf.DUMMYFUNCTION("""COMPUTED_VALUE"""),36.0)</f>
        <v>36</v>
      </c>
      <c r="CW30" s="179">
        <f>IFERROR(__xludf.DUMMYFUNCTION("""COMPUTED_VALUE"""),5.0)</f>
        <v>5</v>
      </c>
      <c r="CX30" s="179">
        <f>IFERROR(__xludf.DUMMYFUNCTION("""COMPUTED_VALUE"""),4.0)</f>
        <v>4</v>
      </c>
      <c r="CY30" s="16" t="str">
        <f>IFERROR(__xludf.DUMMYFUNCTION("""COMPUTED_VALUE"""),"SP")</f>
        <v>SP</v>
      </c>
      <c r="CZ30" s="16"/>
      <c r="DA30" s="16"/>
      <c r="DB30" s="16"/>
      <c r="DC30" s="16"/>
      <c r="DD30" s="16"/>
      <c r="DE30" s="16"/>
      <c r="DF30" s="16"/>
      <c r="DG30" s="16"/>
      <c r="DH30" s="16"/>
      <c r="DI30" s="16"/>
      <c r="DJ30" s="16"/>
      <c r="DK30" s="16"/>
    </row>
    <row r="31">
      <c r="A31" s="16">
        <f>IFERROR(__xludf.DUMMYFUNCTION("""COMPUTED_VALUE"""),12601.0)</f>
        <v>12601</v>
      </c>
      <c r="B31" s="16" t="str">
        <f>IFERROR(__xludf.DUMMYFUNCTION("""COMPUTED_VALUE"""),"Brant Hurter")</f>
        <v>Brant Hurter</v>
      </c>
      <c r="C31" s="153">
        <f>IFERROR(__xludf.DUMMYFUNCTION("""COMPUTED_VALUE"""),2.06)</f>
        <v>2.06</v>
      </c>
      <c r="D31" s="16"/>
      <c r="E31" s="16" t="str">
        <f>IFERROR(__xludf.DUMMYFUNCTION("""COMPUTED_VALUE"""),"L")</f>
        <v>L</v>
      </c>
      <c r="F31" s="16">
        <f>IFERROR(__xludf.DUMMYFUNCTION("""COMPUTED_VALUE"""),45.0)</f>
        <v>45</v>
      </c>
      <c r="G31" s="16">
        <f>IFERROR(__xludf.DUMMYFUNCTION("""COMPUTED_VALUE"""),32.0)</f>
        <v>32</v>
      </c>
      <c r="H31" s="16">
        <f>IFERROR(__xludf.DUMMYFUNCTION("""COMPUTED_VALUE"""),14.0)</f>
        <v>14</v>
      </c>
      <c r="I31" s="16">
        <f>IFERROR(__xludf.DUMMYFUNCTION("""COMPUTED_VALUE"""),1.0)</f>
        <v>1</v>
      </c>
      <c r="J31" s="16">
        <f>IFERROR(__xludf.DUMMYFUNCTION("""COMPUTED_VALUE"""),-2.0)</f>
        <v>-2</v>
      </c>
      <c r="K31" s="16">
        <f>IFERROR(__xludf.DUMMYFUNCTION("""COMPUTED_VALUE"""),3.0)</f>
        <v>3</v>
      </c>
      <c r="L31" s="16">
        <f>IFERROR(__xludf.DUMMYFUNCTION("""COMPUTED_VALUE"""),-6.0)</f>
        <v>-6</v>
      </c>
      <c r="M31" s="16">
        <f>IFERROR(__xludf.DUMMYFUNCTION("""COMPUTED_VALUE"""),0.0)</f>
        <v>0</v>
      </c>
      <c r="N31" s="16">
        <f>IFERROR(__xludf.DUMMYFUNCTION("""COMPUTED_VALUE"""),0.0)</f>
        <v>0</v>
      </c>
      <c r="O31" s="16">
        <f>IFERROR(__xludf.DUMMYFUNCTION("""COMPUTED_VALUE"""),3.0)</f>
        <v>3</v>
      </c>
      <c r="P31" s="16">
        <f>IFERROR(__xludf.DUMMYFUNCTION("""COMPUTED_VALUE"""),3.0)</f>
        <v>3</v>
      </c>
      <c r="Q31" s="16">
        <f>IFERROR(__xludf.DUMMYFUNCTION("""COMPUTED_VALUE"""),3.0)</f>
        <v>3</v>
      </c>
      <c r="R31" s="16">
        <f>IFERROR(__xludf.DUMMYFUNCTION("""COMPUTED_VALUE"""),3.0)</f>
        <v>3</v>
      </c>
      <c r="S31" s="16">
        <f>IFERROR(__xludf.DUMMYFUNCTION("""COMPUTED_VALUE"""),11.4)</f>
        <v>11.4</v>
      </c>
      <c r="T31" s="16">
        <f>IFERROR(__xludf.DUMMYFUNCTION("""COMPUTED_VALUE"""),9.4)</f>
        <v>9.4</v>
      </c>
      <c r="U31" s="16">
        <f>IFERROR(__xludf.DUMMYFUNCTION("""COMPUTED_VALUE"""),1.0)</f>
        <v>1</v>
      </c>
      <c r="V31" s="16">
        <f>IFERROR(__xludf.DUMMYFUNCTION("""COMPUTED_VALUE"""),1.0)</f>
        <v>1</v>
      </c>
      <c r="W31" s="16">
        <f>IFERROR(__xludf.DUMMYFUNCTION("""COMPUTED_VALUE"""),2.0)</f>
        <v>2</v>
      </c>
      <c r="X31" s="16">
        <f>IFERROR(__xludf.DUMMYFUNCTION("""COMPUTED_VALUE"""),2.0)</f>
        <v>2</v>
      </c>
      <c r="Y31" s="16">
        <f>IFERROR(__xludf.DUMMYFUNCTION("""COMPUTED_VALUE"""),11.4)</f>
        <v>11.4</v>
      </c>
      <c r="Z31" s="16">
        <f>IFERROR(__xludf.DUMMYFUNCTION("""COMPUTED_VALUE"""),9.4)</f>
        <v>9.4</v>
      </c>
      <c r="AA31" s="16">
        <f>IFERROR(__xludf.DUMMYFUNCTION("""COMPUTED_VALUE"""),2.0)</f>
        <v>2</v>
      </c>
      <c r="AB31" s="16">
        <f>IFERROR(__xludf.DUMMYFUNCTION("""COMPUTED_VALUE"""),2.0)</f>
        <v>2</v>
      </c>
      <c r="AC31" s="16">
        <f>IFERROR(__xludf.DUMMYFUNCTION("""COMPUTED_VALUE"""),10.0)</f>
        <v>10</v>
      </c>
      <c r="AD31" s="16">
        <f>IFERROR(__xludf.DUMMYFUNCTION("""COMPUTED_VALUE"""),10.0)</f>
        <v>10</v>
      </c>
      <c r="AE31" s="16">
        <f>IFERROR(__xludf.DUMMYFUNCTION("""COMPUTED_VALUE"""),14.3)</f>
        <v>14.3</v>
      </c>
      <c r="AF31" s="16">
        <f>IFERROR(__xludf.DUMMYFUNCTION("""COMPUTED_VALUE"""),22.5)</f>
        <v>22.5</v>
      </c>
      <c r="AG31" s="16">
        <f>IFERROR(__xludf.DUMMYFUNCTION("""COMPUTED_VALUE"""),1.0)</f>
        <v>1</v>
      </c>
      <c r="AH31" s="16">
        <f>IFERROR(__xludf.DUMMYFUNCTION("""COMPUTED_VALUE"""),1.0)</f>
        <v>1</v>
      </c>
      <c r="AI31" s="16">
        <f>IFERROR(__xludf.DUMMYFUNCTION("""COMPUTED_VALUE"""),2.0)</f>
        <v>2</v>
      </c>
      <c r="AJ31" s="16">
        <f>IFERROR(__xludf.DUMMYFUNCTION("""COMPUTED_VALUE"""),2.0)</f>
        <v>2</v>
      </c>
      <c r="AK31" s="16">
        <f>IFERROR(__xludf.DUMMYFUNCTION("""COMPUTED_VALUE"""),11.0)</f>
        <v>11</v>
      </c>
      <c r="AL31" s="16">
        <f>IFERROR(__xludf.DUMMYFUNCTION("""COMPUTED_VALUE"""),7.4)</f>
        <v>7.4</v>
      </c>
      <c r="AM31" s="16">
        <f>IFERROR(__xludf.DUMMYFUNCTION("""COMPUTED_VALUE"""),0.0)</f>
        <v>0</v>
      </c>
      <c r="AN31" s="16">
        <f>IFERROR(__xludf.DUMMYFUNCTION("""COMPUTED_VALUE"""),1.0)</f>
        <v>1</v>
      </c>
      <c r="AO31" s="16">
        <f>IFERROR(__xludf.DUMMYFUNCTION("""COMPUTED_VALUE"""),0.0)</f>
        <v>0</v>
      </c>
      <c r="AP31" s="16">
        <f>IFERROR(__xludf.DUMMYFUNCTION("""COMPUTED_VALUE"""),1.0)</f>
        <v>1</v>
      </c>
      <c r="AQ31" s="16">
        <f>IFERROR(__xludf.DUMMYFUNCTION("""COMPUTED_VALUE"""),12.700000000000001)</f>
        <v>12.7</v>
      </c>
      <c r="AR31" s="16">
        <f>IFERROR(__xludf.DUMMYFUNCTION("""COMPUTED_VALUE"""),14.5)</f>
        <v>14.5</v>
      </c>
      <c r="AS31" s="16">
        <f>IFERROR(__xludf.DUMMYFUNCTION("""COMPUTED_VALUE"""),1.0)</f>
        <v>1</v>
      </c>
      <c r="AT31" s="16">
        <f>IFERROR(__xludf.DUMMYFUNCTION("""COMPUTED_VALUE"""),1.0)</f>
        <v>1</v>
      </c>
      <c r="AU31" s="16">
        <f>IFERROR(__xludf.DUMMYFUNCTION("""COMPUTED_VALUE"""),2.0)</f>
        <v>2</v>
      </c>
      <c r="AV31" s="16">
        <f>IFERROR(__xludf.DUMMYFUNCTION("""COMPUTED_VALUE"""),2.0)</f>
        <v>2</v>
      </c>
      <c r="AW31" s="16">
        <f>IFERROR(__xludf.DUMMYFUNCTION("""COMPUTED_VALUE"""),0.4)</f>
        <v>0.4</v>
      </c>
      <c r="AX31" s="16">
        <f>IFERROR(__xludf.DUMMYFUNCTION("""COMPUTED_VALUE"""),2.0)</f>
        <v>2</v>
      </c>
      <c r="AY31" s="16">
        <f>IFERROR(__xludf.DUMMYFUNCTION("""COMPUTED_VALUE"""),2.0)</f>
        <v>2</v>
      </c>
      <c r="AZ31" s="16">
        <f>IFERROR(__xludf.DUMMYFUNCTION("""COMPUTED_VALUE"""),0.0)</f>
        <v>0</v>
      </c>
      <c r="BA31" s="16">
        <f>IFERROR(__xludf.DUMMYFUNCTION("""COMPUTED_VALUE"""),10.0)</f>
        <v>10</v>
      </c>
      <c r="BB31" s="16">
        <f>IFERROR(__xludf.DUMMYFUNCTION("""COMPUTED_VALUE"""),0.0)</f>
        <v>0</v>
      </c>
      <c r="BC31" s="16">
        <f>IFERROR(__xludf.DUMMYFUNCTION("""COMPUTED_VALUE"""),0.0)</f>
        <v>0</v>
      </c>
      <c r="BD31" s="16"/>
      <c r="BE31" s="16">
        <f>IFERROR(__xludf.DUMMYFUNCTION("""COMPUTED_VALUE"""),0.0)</f>
        <v>0</v>
      </c>
      <c r="BF31" s="16">
        <f>IFERROR(__xludf.DUMMYFUNCTION("""COMPUTED_VALUE"""),2.0)</f>
        <v>2</v>
      </c>
      <c r="BG31" s="16">
        <f>IFERROR(__xludf.DUMMYFUNCTION("""COMPUTED_VALUE"""),3.0)</f>
        <v>3</v>
      </c>
      <c r="BH31" s="16">
        <f>IFERROR(__xludf.DUMMYFUNCTION("""COMPUTED_VALUE"""),1.0)</f>
        <v>1</v>
      </c>
      <c r="BI31" s="16">
        <f>IFERROR(__xludf.DUMMYFUNCTION("""COMPUTED_VALUE"""),6.0)</f>
        <v>6</v>
      </c>
      <c r="BJ31" s="16">
        <f>IFERROR(__xludf.DUMMYFUNCTION("""COMPUTED_VALUE"""),2.0)</f>
        <v>2</v>
      </c>
      <c r="BK31" s="16">
        <f>IFERROR(__xludf.DUMMYFUNCTION("""COMPUTED_VALUE"""),5.0)</f>
        <v>5</v>
      </c>
      <c r="BL31" s="16">
        <f>IFERROR(__xludf.DUMMYFUNCTION("""COMPUTED_VALUE"""),0.0)</f>
        <v>0</v>
      </c>
      <c r="BM31" s="16">
        <f>IFERROR(__xludf.DUMMYFUNCTION("""COMPUTED_VALUE"""),0.0)</f>
        <v>0</v>
      </c>
      <c r="BN31" s="16">
        <f>IFERROR(__xludf.DUMMYFUNCTION("""COMPUTED_VALUE"""),1.0)</f>
        <v>1</v>
      </c>
      <c r="BO31" s="16">
        <f>IFERROR(__xludf.DUMMYFUNCTION("""COMPUTED_VALUE"""),0.0)</f>
        <v>0</v>
      </c>
      <c r="BP31" s="16">
        <f>IFERROR(__xludf.DUMMYFUNCTION("""COMPUTED_VALUE"""),1.0)</f>
        <v>1</v>
      </c>
      <c r="BQ31" s="16">
        <f>IFERROR(__xludf.DUMMYFUNCTION("""COMPUTED_VALUE"""),9.0)</f>
        <v>9</v>
      </c>
      <c r="BR31" s="16">
        <f>IFERROR(__xludf.DUMMYFUNCTION("""COMPUTED_VALUE"""),9.0)</f>
        <v>9</v>
      </c>
      <c r="BS31" s="16">
        <f>IFERROR(__xludf.DUMMYFUNCTION("""COMPUTED_VALUE"""),3.0)</f>
        <v>3</v>
      </c>
      <c r="BT31" s="16">
        <f>IFERROR(__xludf.DUMMYFUNCTION("""COMPUTED_VALUE"""),3.0)</f>
        <v>3</v>
      </c>
      <c r="BU31" s="16">
        <f>IFERROR(__xludf.DUMMYFUNCTION("""COMPUTED_VALUE"""),6.0)</f>
        <v>6</v>
      </c>
      <c r="BV31" s="16">
        <f>IFERROR(__xludf.DUMMYFUNCTION("""COMPUTED_VALUE"""),6.0)</f>
        <v>6</v>
      </c>
      <c r="BW31" s="16">
        <f>IFERROR(__xludf.DUMMYFUNCTION("""COMPUTED_VALUE"""),-3.0)</f>
        <v>-3</v>
      </c>
      <c r="BX31" s="16">
        <f>IFERROR(__xludf.DUMMYFUNCTION("""COMPUTED_VALUE"""),-3.0)</f>
        <v>-3</v>
      </c>
      <c r="BY31" s="16" t="str">
        <f>IFERROR(__xludf.DUMMYFUNCTION("""COMPUTED_VALUE"""),"S(4) R(4)")</f>
        <v>S(4) R(4)</v>
      </c>
      <c r="BZ31" s="16" t="str">
        <f>IFERROR(__xludf.DUMMYFUNCTION("""COMPUTED_VALUE"""),"S(4) R(4)")</f>
        <v>S(4) R(4)</v>
      </c>
      <c r="CA31" s="16" t="str">
        <f>IFERROR(__xludf.DUMMYFUNCTION("""COMPUTED_VALUE"""),"S(4)")</f>
        <v>S(4)</v>
      </c>
      <c r="CB31" s="16" t="str">
        <f>IFERROR(__xludf.DUMMYFUNCTION("""COMPUTED_VALUE"""),"R(4)")</f>
        <v>R(4)</v>
      </c>
      <c r="CC31" s="16"/>
      <c r="CD31" s="16">
        <f>IFERROR(__xludf.DUMMYFUNCTION("""COMPUTED_VALUE"""),4.0)</f>
        <v>4</v>
      </c>
      <c r="CE31" s="16">
        <f>IFERROR(__xludf.DUMMYFUNCTION("""COMPUTED_VALUE"""),4.0)</f>
        <v>4</v>
      </c>
      <c r="CF31" s="16"/>
      <c r="CG31" s="16" t="str">
        <f>IFERROR(__xludf.DUMMYFUNCTION("""COMPUTED_VALUE"""),"4-0")</f>
        <v>4-0</v>
      </c>
      <c r="CH31" s="16">
        <f>IFERROR(__xludf.DUMMYFUNCTION("""COMPUTED_VALUE"""),4.0)</f>
        <v>4</v>
      </c>
      <c r="CI31" s="16">
        <f>IFERROR(__xludf.DUMMYFUNCTION("""COMPUTED_VALUE"""),0.0)</f>
        <v>0</v>
      </c>
      <c r="CJ31" s="16">
        <f>IFERROR(__xludf.DUMMYFUNCTION("""COMPUTED_VALUE"""),9.0)</f>
        <v>9</v>
      </c>
      <c r="CK31" s="16">
        <f>IFERROR(__xludf.DUMMYFUNCTION("""COMPUTED_VALUE"""),0.0)</f>
        <v>0</v>
      </c>
      <c r="CL31" s="16" t="str">
        <f>IFERROR(__xludf.DUMMYFUNCTION("""COMPUTED_VALUE"""),"1WL-C")</f>
        <v>1WL-C</v>
      </c>
      <c r="CM31" s="16" t="str">
        <f>IFERROR(__xludf.DUMMYFUNCTION("""COMPUTED_VALUE"""),"E")</f>
        <v>E</v>
      </c>
      <c r="CN31" s="16">
        <f>IFERROR(__xludf.DUMMYFUNCTION("""COMPUTED_VALUE"""),10.0)</f>
        <v>10</v>
      </c>
      <c r="CO31" s="16" t="str">
        <f>IFERROR(__xludf.DUMMYFUNCTION("""COMPUTED_VALUE"""),"C")</f>
        <v>C</v>
      </c>
      <c r="CP31" s="16" t="str">
        <f>IFERROR(__xludf.DUMMYFUNCTION("""COMPUTED_VALUE"""),"1p30")</f>
        <v>1p30</v>
      </c>
      <c r="CQ31" s="16">
        <f>IFERROR(__xludf.DUMMYFUNCTION("""COMPUTED_VALUE"""),44.0)</f>
        <v>44</v>
      </c>
      <c r="CR31" s="16">
        <f>IFERROR(__xludf.DUMMYFUNCTION("""COMPUTED_VALUE"""),23.0)</f>
        <v>23</v>
      </c>
      <c r="CS31" s="16">
        <f>IFERROR(__xludf.DUMMYFUNCTION("""COMPUTED_VALUE"""),67.0)</f>
        <v>67</v>
      </c>
      <c r="CT31" s="16">
        <f>IFERROR(__xludf.DUMMYFUNCTION("""COMPUTED_VALUE"""),44.0)</f>
        <v>44</v>
      </c>
      <c r="CU31" s="16">
        <f>IFERROR(__xludf.DUMMYFUNCTION("""COMPUTED_VALUE"""),23.0)</f>
        <v>23</v>
      </c>
      <c r="CV31" s="179">
        <f>IFERROR(__xludf.DUMMYFUNCTION("""COMPUTED_VALUE"""),36.0)</f>
        <v>36</v>
      </c>
      <c r="CW31" s="179">
        <f>IFERROR(__xludf.DUMMYFUNCTION("""COMPUTED_VALUE"""),4.0)</f>
        <v>4</v>
      </c>
      <c r="CX31" s="179">
        <f>IFERROR(__xludf.DUMMYFUNCTION("""COMPUTED_VALUE"""),2.0)</f>
        <v>2</v>
      </c>
      <c r="CY31" s="16" t="str">
        <f>IFERROR(__xludf.DUMMYFUNCTION("""COMPUTED_VALUE"""),"SP")</f>
        <v>SP</v>
      </c>
      <c r="CZ31" s="16" t="str">
        <f>IFERROR(__xludf.DUMMYFUNCTION("""COMPUTED_VALUE"""),"RP")</f>
        <v>RP</v>
      </c>
      <c r="DA31" s="16"/>
      <c r="DB31" s="16"/>
      <c r="DC31" s="16"/>
      <c r="DD31" s="16"/>
      <c r="DE31" s="16"/>
      <c r="DF31" s="16"/>
      <c r="DG31" s="16"/>
      <c r="DH31" s="16"/>
      <c r="DI31" s="16"/>
      <c r="DJ31" s="16"/>
      <c r="DK31" s="16"/>
    </row>
    <row r="32">
      <c r="A32" s="16">
        <f>IFERROR(__xludf.DUMMYFUNCTION("""COMPUTED_VALUE"""),13124.0)</f>
        <v>13124</v>
      </c>
      <c r="B32" s="16" t="str">
        <f>IFERROR(__xludf.DUMMYFUNCTION("""COMPUTED_VALUE"""),"Lucas Erceg")</f>
        <v>Lucas Erceg</v>
      </c>
      <c r="C32" s="153">
        <f>IFERROR(__xludf.DUMMYFUNCTION("""COMPUTED_VALUE"""),0.93)</f>
        <v>0.93</v>
      </c>
      <c r="D32" s="16"/>
      <c r="E32" s="16" t="str">
        <f>IFERROR(__xludf.DUMMYFUNCTION("""COMPUTED_VALUE"""),"R")</f>
        <v>R</v>
      </c>
      <c r="F32" s="16">
        <f>IFERROR(__xludf.DUMMYFUNCTION("""COMPUTED_VALUE"""),62.0)</f>
        <v>62</v>
      </c>
      <c r="G32" s="16">
        <f>IFERROR(__xludf.DUMMYFUNCTION("""COMPUTED_VALUE"""),45.0)</f>
        <v>45</v>
      </c>
      <c r="H32" s="16">
        <f>IFERROR(__xludf.DUMMYFUNCTION("""COMPUTED_VALUE"""),33.0)</f>
        <v>33</v>
      </c>
      <c r="I32" s="16">
        <f>IFERROR(__xludf.DUMMYFUNCTION("""COMPUTED_VALUE"""),2.0)</f>
        <v>2</v>
      </c>
      <c r="J32" s="16">
        <f>IFERROR(__xludf.DUMMYFUNCTION("""COMPUTED_VALUE"""),1.0)</f>
        <v>1</v>
      </c>
      <c r="K32" s="16">
        <f>IFERROR(__xludf.DUMMYFUNCTION("""COMPUTED_VALUE"""),6.0)</f>
        <v>6</v>
      </c>
      <c r="L32" s="16">
        <f>IFERROR(__xludf.DUMMYFUNCTION("""COMPUTED_VALUE"""),3.0)</f>
        <v>3</v>
      </c>
      <c r="M32" s="16">
        <f>IFERROR(__xludf.DUMMYFUNCTION("""COMPUTED_VALUE"""),7.0)</f>
        <v>7</v>
      </c>
      <c r="N32" s="16">
        <f>IFERROR(__xludf.DUMMYFUNCTION("""COMPUTED_VALUE"""),1.0)</f>
        <v>1</v>
      </c>
      <c r="O32" s="16">
        <f>IFERROR(__xludf.DUMMYFUNCTION("""COMPUTED_VALUE"""),1.0)</f>
        <v>1</v>
      </c>
      <c r="P32" s="16">
        <f>IFERROR(__xludf.DUMMYFUNCTION("""COMPUTED_VALUE"""),3.0)</f>
        <v>3</v>
      </c>
      <c r="Q32" s="16">
        <f>IFERROR(__xludf.DUMMYFUNCTION("""COMPUTED_VALUE"""),1.0)</f>
        <v>1</v>
      </c>
      <c r="R32" s="16">
        <f>IFERROR(__xludf.DUMMYFUNCTION("""COMPUTED_VALUE"""),3.0)</f>
        <v>3</v>
      </c>
      <c r="S32" s="16">
        <f>IFERROR(__xludf.DUMMYFUNCTION("""COMPUTED_VALUE"""),10.9)</f>
        <v>10.9</v>
      </c>
      <c r="T32" s="16">
        <f>IFERROR(__xludf.DUMMYFUNCTION("""COMPUTED_VALUE"""),11.2)</f>
        <v>11.2</v>
      </c>
      <c r="U32" s="16">
        <f>IFERROR(__xludf.DUMMYFUNCTION("""COMPUTED_VALUE"""),1.0)</f>
        <v>1</v>
      </c>
      <c r="V32" s="16">
        <f>IFERROR(__xludf.DUMMYFUNCTION("""COMPUTED_VALUE"""),1.0)</f>
        <v>1</v>
      </c>
      <c r="W32" s="16">
        <f>IFERROR(__xludf.DUMMYFUNCTION("""COMPUTED_VALUE"""),2.0)</f>
        <v>2</v>
      </c>
      <c r="X32" s="16">
        <f>IFERROR(__xludf.DUMMYFUNCTION("""COMPUTED_VALUE"""),2.0)</f>
        <v>2</v>
      </c>
      <c r="Y32" s="16">
        <f>IFERROR(__xludf.DUMMYFUNCTION("""COMPUTED_VALUE"""),17.9)</f>
        <v>17.9</v>
      </c>
      <c r="Z32" s="16">
        <f>IFERROR(__xludf.DUMMYFUNCTION("""COMPUTED_VALUE"""),12.2)</f>
        <v>12.2</v>
      </c>
      <c r="AA32" s="16">
        <f>IFERROR(__xludf.DUMMYFUNCTION("""COMPUTED_VALUE"""),1.0)</f>
        <v>1</v>
      </c>
      <c r="AB32" s="16">
        <f>IFERROR(__xludf.DUMMYFUNCTION("""COMPUTED_VALUE"""),2.0)</f>
        <v>2</v>
      </c>
      <c r="AC32" s="16">
        <f>IFERROR(__xludf.DUMMYFUNCTION("""COMPUTED_VALUE"""),5.0)</f>
        <v>5</v>
      </c>
      <c r="AD32" s="16">
        <f>IFERROR(__xludf.DUMMYFUNCTION("""COMPUTED_VALUE"""),10.0)</f>
        <v>10</v>
      </c>
      <c r="AE32" s="16">
        <f>IFERROR(__xludf.DUMMYFUNCTION("""COMPUTED_VALUE"""),16.3)</f>
        <v>16.3</v>
      </c>
      <c r="AF32" s="16">
        <f>IFERROR(__xludf.DUMMYFUNCTION("""COMPUTED_VALUE"""),16.5)</f>
        <v>16.5</v>
      </c>
      <c r="AG32" s="16">
        <f>IFERROR(__xludf.DUMMYFUNCTION("""COMPUTED_VALUE"""),1.0)</f>
        <v>1</v>
      </c>
      <c r="AH32" s="16">
        <f>IFERROR(__xludf.DUMMYFUNCTION("""COMPUTED_VALUE"""),1.0)</f>
        <v>1</v>
      </c>
      <c r="AI32" s="16">
        <f>IFERROR(__xludf.DUMMYFUNCTION("""COMPUTED_VALUE"""),2.0)</f>
        <v>2</v>
      </c>
      <c r="AJ32" s="16">
        <f>IFERROR(__xludf.DUMMYFUNCTION("""COMPUTED_VALUE"""),2.0)</f>
        <v>2</v>
      </c>
      <c r="AK32" s="16">
        <f>IFERROR(__xludf.DUMMYFUNCTION("""COMPUTED_VALUE"""),10.9)</f>
        <v>10.9</v>
      </c>
      <c r="AL32" s="16">
        <f>IFERROR(__xludf.DUMMYFUNCTION("""COMPUTED_VALUE"""),11.2)</f>
        <v>11.2</v>
      </c>
      <c r="AM32" s="16">
        <f>IFERROR(__xludf.DUMMYFUNCTION("""COMPUTED_VALUE"""),0.0)</f>
        <v>0</v>
      </c>
      <c r="AN32" s="16">
        <f>IFERROR(__xludf.DUMMYFUNCTION("""COMPUTED_VALUE"""),0.0)</f>
        <v>0</v>
      </c>
      <c r="AO32" s="16">
        <f>IFERROR(__xludf.DUMMYFUNCTION("""COMPUTED_VALUE"""),0.0)</f>
        <v>0</v>
      </c>
      <c r="AP32" s="16">
        <f>IFERROR(__xludf.DUMMYFUNCTION("""COMPUTED_VALUE"""),0.0)</f>
        <v>0</v>
      </c>
      <c r="AQ32" s="16">
        <f>IFERROR(__xludf.DUMMYFUNCTION("""COMPUTED_VALUE"""),16.3)</f>
        <v>16.3</v>
      </c>
      <c r="AR32" s="16">
        <f>IFERROR(__xludf.DUMMYFUNCTION("""COMPUTED_VALUE"""),16.5)</f>
        <v>16.5</v>
      </c>
      <c r="AS32" s="16">
        <f>IFERROR(__xludf.DUMMYFUNCTION("""COMPUTED_VALUE"""),0.0)</f>
        <v>0</v>
      </c>
      <c r="AT32" s="16">
        <f>IFERROR(__xludf.DUMMYFUNCTION("""COMPUTED_VALUE"""),0.0)</f>
        <v>0</v>
      </c>
      <c r="AU32" s="16">
        <f>IFERROR(__xludf.DUMMYFUNCTION("""COMPUTED_VALUE"""),0.0)</f>
        <v>0</v>
      </c>
      <c r="AV32" s="16">
        <f>IFERROR(__xludf.DUMMYFUNCTION("""COMPUTED_VALUE"""),0.0)</f>
        <v>0</v>
      </c>
      <c r="AW32" s="16">
        <f>IFERROR(__xludf.DUMMYFUNCTION("""COMPUTED_VALUE"""),0.0)</f>
        <v>0</v>
      </c>
      <c r="AX32" s="16">
        <f>IFERROR(__xludf.DUMMYFUNCTION("""COMPUTED_VALUE"""),0.0)</f>
        <v>0</v>
      </c>
      <c r="AY32" s="16">
        <f>IFERROR(__xludf.DUMMYFUNCTION("""COMPUTED_VALUE"""),2.0)</f>
        <v>2</v>
      </c>
      <c r="AZ32" s="16">
        <f>IFERROR(__xludf.DUMMYFUNCTION("""COMPUTED_VALUE"""),2.0)</f>
        <v>2</v>
      </c>
      <c r="BA32" s="16">
        <f>IFERROR(__xludf.DUMMYFUNCTION("""COMPUTED_VALUE"""),10.0)</f>
        <v>10</v>
      </c>
      <c r="BB32" s="16">
        <f>IFERROR(__xludf.DUMMYFUNCTION("""COMPUTED_VALUE"""),10.0)</f>
        <v>10</v>
      </c>
      <c r="BC32" s="16">
        <f>IFERROR(__xludf.DUMMYFUNCTION("""COMPUTED_VALUE"""),0.0)</f>
        <v>0</v>
      </c>
      <c r="BD32" s="16">
        <f>IFERROR(__xludf.DUMMYFUNCTION("""COMPUTED_VALUE"""),0.0)</f>
        <v>0</v>
      </c>
      <c r="BE32" s="16">
        <f>IFERROR(__xludf.DUMMYFUNCTION("""COMPUTED_VALUE"""),0.0)</f>
        <v>0</v>
      </c>
      <c r="BF32" s="16">
        <f>IFERROR(__xludf.DUMMYFUNCTION("""COMPUTED_VALUE"""),0.0)</f>
        <v>0</v>
      </c>
      <c r="BG32" s="16">
        <f>IFERROR(__xludf.DUMMYFUNCTION("""COMPUTED_VALUE"""),3.0)</f>
        <v>3</v>
      </c>
      <c r="BH32" s="16">
        <f>IFERROR(__xludf.DUMMYFUNCTION("""COMPUTED_VALUE"""),2.0)</f>
        <v>2</v>
      </c>
      <c r="BI32" s="16">
        <f>IFERROR(__xludf.DUMMYFUNCTION("""COMPUTED_VALUE"""),6.0)</f>
        <v>6</v>
      </c>
      <c r="BJ32" s="16">
        <f>IFERROR(__xludf.DUMMYFUNCTION("""COMPUTED_VALUE"""),4.0)</f>
        <v>4</v>
      </c>
      <c r="BK32" s="16">
        <f>IFERROR(__xludf.DUMMYFUNCTION("""COMPUTED_VALUE"""),5.0)</f>
        <v>5</v>
      </c>
      <c r="BL32" s="16">
        <f>IFERROR(__xludf.DUMMYFUNCTION("""COMPUTED_VALUE"""),5.0)</f>
        <v>5</v>
      </c>
      <c r="BM32" s="16">
        <f>IFERROR(__xludf.DUMMYFUNCTION("""COMPUTED_VALUE"""),0.0)</f>
        <v>0</v>
      </c>
      <c r="BN32" s="16">
        <f>IFERROR(__xludf.DUMMYFUNCTION("""COMPUTED_VALUE"""),0.0)</f>
        <v>0</v>
      </c>
      <c r="BO32" s="16">
        <f>IFERROR(__xludf.DUMMYFUNCTION("""COMPUTED_VALUE"""),0.0)</f>
        <v>0</v>
      </c>
      <c r="BP32" s="16">
        <f>IFERROR(__xludf.DUMMYFUNCTION("""COMPUTED_VALUE"""),0.0)</f>
        <v>0</v>
      </c>
      <c r="BQ32" s="16">
        <f>IFERROR(__xludf.DUMMYFUNCTION("""COMPUTED_VALUE"""),5.0)</f>
        <v>5</v>
      </c>
      <c r="BR32" s="16">
        <f>IFERROR(__xludf.DUMMYFUNCTION("""COMPUTED_VALUE"""),4.0)</f>
        <v>4</v>
      </c>
      <c r="BS32" s="16">
        <f>IFERROR(__xludf.DUMMYFUNCTION("""COMPUTED_VALUE"""),0.0)</f>
        <v>0</v>
      </c>
      <c r="BT32" s="16">
        <f>IFERROR(__xludf.DUMMYFUNCTION("""COMPUTED_VALUE"""),-1.0)</f>
        <v>-1</v>
      </c>
      <c r="BU32" s="16">
        <f>IFERROR(__xludf.DUMMYFUNCTION("""COMPUTED_VALUE"""),0.0)</f>
        <v>0</v>
      </c>
      <c r="BV32" s="16">
        <f>IFERROR(__xludf.DUMMYFUNCTION("""COMPUTED_VALUE"""),-2.0)</f>
        <v>-2</v>
      </c>
      <c r="BW32" s="16">
        <f>IFERROR(__xludf.DUMMYFUNCTION("""COMPUTED_VALUE"""),-2.0)</f>
        <v>-2</v>
      </c>
      <c r="BX32" s="16">
        <f>IFERROR(__xludf.DUMMYFUNCTION("""COMPUTED_VALUE"""),-2.0)</f>
        <v>-2</v>
      </c>
      <c r="BY32" s="16" t="str">
        <f>IFERROR(__xludf.DUMMYFUNCTION("""COMPUTED_VALUE"""),"R(1) C(4)")</f>
        <v>R(1) C(4)</v>
      </c>
      <c r="BZ32" s="16" t="str">
        <f>IFERROR(__xludf.DUMMYFUNCTION("""COMPUTED_VALUE"""),"R(1) C(4)")</f>
        <v>R(1) C(4)</v>
      </c>
      <c r="CA32" s="16" t="str">
        <f>IFERROR(__xludf.DUMMYFUNCTION("""COMPUTED_VALUE"""),"R(1)")</f>
        <v>R(1)</v>
      </c>
      <c r="CB32" s="16" t="str">
        <f>IFERROR(__xludf.DUMMYFUNCTION("""COMPUTED_VALUE"""),"C(4)")</f>
        <v>C(4)</v>
      </c>
      <c r="CC32" s="16"/>
      <c r="CD32" s="16"/>
      <c r="CE32" s="16">
        <f>IFERROR(__xludf.DUMMYFUNCTION("""COMPUTED_VALUE"""),1.0)</f>
        <v>1</v>
      </c>
      <c r="CF32" s="16">
        <f>IFERROR(__xludf.DUMMYFUNCTION("""COMPUTED_VALUE"""),4.0)</f>
        <v>4</v>
      </c>
      <c r="CG32" s="16" t="str">
        <f>IFERROR(__xludf.DUMMYFUNCTION("""COMPUTED_VALUE"""),"4-23")</f>
        <v>4-23</v>
      </c>
      <c r="CH32" s="16">
        <f>IFERROR(__xludf.DUMMYFUNCTION("""COMPUTED_VALUE"""),4.0)</f>
        <v>4</v>
      </c>
      <c r="CI32" s="16">
        <f>IFERROR(__xludf.DUMMYFUNCTION("""COMPUTED_VALUE"""),23.0)</f>
        <v>23</v>
      </c>
      <c r="CJ32" s="16">
        <f>IFERROR(__xludf.DUMMYFUNCTION("""COMPUTED_VALUE"""),7.0)</f>
        <v>7</v>
      </c>
      <c r="CK32" s="16">
        <f>IFERROR(__xludf.DUMMYFUNCTION("""COMPUTED_VALUE"""),19.0)</f>
        <v>19</v>
      </c>
      <c r="CL32" s="16" t="str">
        <f>IFERROR(__xludf.DUMMYFUNCTION("""COMPUTED_VALUE"""),"1WL-C")</f>
        <v>1WL-C</v>
      </c>
      <c r="CM32" s="16" t="str">
        <f>IFERROR(__xludf.DUMMYFUNCTION("""COMPUTED_VALUE"""),"E")</f>
        <v>E</v>
      </c>
      <c r="CN32" s="16">
        <f>IFERROR(__xludf.DUMMYFUNCTION("""COMPUTED_VALUE"""),10.0)</f>
        <v>10</v>
      </c>
      <c r="CO32" s="16" t="str">
        <f>IFERROR(__xludf.DUMMYFUNCTION("""COMPUTED_VALUE"""),"C")</f>
        <v>C</v>
      </c>
      <c r="CP32" s="16" t="str">
        <f>IFERROR(__xludf.DUMMYFUNCTION("""COMPUTED_VALUE"""),"1p50")</f>
        <v>1p50</v>
      </c>
      <c r="CQ32" s="16">
        <f>IFERROR(__xludf.DUMMYFUNCTION("""COMPUTED_VALUE"""),32.0)</f>
        <v>32</v>
      </c>
      <c r="CR32" s="16">
        <f>IFERROR(__xludf.DUMMYFUNCTION("""COMPUTED_VALUE"""),32.0)</f>
        <v>32</v>
      </c>
      <c r="CS32" s="16">
        <f>IFERROR(__xludf.DUMMYFUNCTION("""COMPUTED_VALUE"""),64.0)</f>
        <v>64</v>
      </c>
      <c r="CT32" s="16">
        <f>IFERROR(__xludf.DUMMYFUNCTION("""COMPUTED_VALUE"""),32.0)</f>
        <v>32</v>
      </c>
      <c r="CU32" s="16">
        <f>IFERROR(__xludf.DUMMYFUNCTION("""COMPUTED_VALUE"""),32.0)</f>
        <v>32</v>
      </c>
      <c r="CV32" s="179">
        <f>IFERROR(__xludf.DUMMYFUNCTION("""COMPUTED_VALUE"""),36.0)</f>
        <v>36</v>
      </c>
      <c r="CW32" s="179">
        <f>IFERROR(__xludf.DUMMYFUNCTION("""COMPUTED_VALUE"""),4.0)</f>
        <v>4</v>
      </c>
      <c r="CX32" s="179">
        <f>IFERROR(__xludf.DUMMYFUNCTION("""COMPUTED_VALUE"""),0.0)</f>
        <v>0</v>
      </c>
      <c r="CY32" s="16" t="str">
        <f>IFERROR(__xludf.DUMMYFUNCTION("""COMPUTED_VALUE"""),"RP")</f>
        <v>RP</v>
      </c>
      <c r="CZ32" s="16" t="str">
        <f>IFERROR(__xludf.DUMMYFUNCTION("""COMPUTED_VALUE"""),"CP")</f>
        <v>CP</v>
      </c>
      <c r="DA32" s="16"/>
      <c r="DB32" s="16"/>
      <c r="DC32" s="16"/>
      <c r="DD32" s="16"/>
      <c r="DE32" s="16"/>
      <c r="DF32" s="16"/>
      <c r="DG32" s="16"/>
      <c r="DH32" s="16"/>
      <c r="DI32" s="16"/>
      <c r="DJ32" s="16"/>
      <c r="DK32" s="16"/>
    </row>
    <row r="33">
      <c r="A33" s="16">
        <f>IFERROR(__xludf.DUMMYFUNCTION("""COMPUTED_VALUE"""),13332.0)</f>
        <v>13332</v>
      </c>
      <c r="B33" s="16" t="str">
        <f>IFERROR(__xludf.DUMMYFUNCTION("""COMPUTED_VALUE"""),"Ryan Helsley")</f>
        <v>Ryan Helsley</v>
      </c>
      <c r="C33" s="153">
        <f>IFERROR(__xludf.DUMMYFUNCTION("""COMPUTED_VALUE"""),2.17)</f>
        <v>2.17</v>
      </c>
      <c r="D33" s="16"/>
      <c r="E33" s="16" t="str">
        <f>IFERROR(__xludf.DUMMYFUNCTION("""COMPUTED_VALUE"""),"R")</f>
        <v>R</v>
      </c>
      <c r="F33" s="16">
        <f>IFERROR(__xludf.DUMMYFUNCTION("""COMPUTED_VALUE"""),66.0)</f>
        <v>66</v>
      </c>
      <c r="G33" s="16">
        <f>IFERROR(__xludf.DUMMYFUNCTION("""COMPUTED_VALUE"""),43.0)</f>
        <v>43</v>
      </c>
      <c r="H33" s="16">
        <f>IFERROR(__xludf.DUMMYFUNCTION("""COMPUTED_VALUE"""),39.0)</f>
        <v>39</v>
      </c>
      <c r="I33" s="16">
        <f>IFERROR(__xludf.DUMMYFUNCTION("""COMPUTED_VALUE"""),2.0)</f>
        <v>2</v>
      </c>
      <c r="J33" s="16">
        <f>IFERROR(__xludf.DUMMYFUNCTION("""COMPUTED_VALUE"""),2.0)</f>
        <v>2</v>
      </c>
      <c r="K33" s="16">
        <f>IFERROR(__xludf.DUMMYFUNCTION("""COMPUTED_VALUE"""),6.0)</f>
        <v>6</v>
      </c>
      <c r="L33" s="16">
        <f>IFERROR(__xludf.DUMMYFUNCTION("""COMPUTED_VALUE"""),6.0)</f>
        <v>6</v>
      </c>
      <c r="M33" s="16">
        <f>IFERROR(__xludf.DUMMYFUNCTION("""COMPUTED_VALUE"""),6.0)</f>
        <v>6</v>
      </c>
      <c r="N33" s="16">
        <f>IFERROR(__xludf.DUMMYFUNCTION("""COMPUTED_VALUE"""),9.0)</f>
        <v>9</v>
      </c>
      <c r="O33" s="16">
        <f>IFERROR(__xludf.DUMMYFUNCTION("""COMPUTED_VALUE"""),1.0)</f>
        <v>1</v>
      </c>
      <c r="P33" s="16">
        <f>IFERROR(__xludf.DUMMYFUNCTION("""COMPUTED_VALUE"""),0.0)</f>
        <v>0</v>
      </c>
      <c r="Q33" s="16">
        <f>IFERROR(__xludf.DUMMYFUNCTION("""COMPUTED_VALUE"""),1.0)</f>
        <v>1</v>
      </c>
      <c r="R33" s="16">
        <f>IFERROR(__xludf.DUMMYFUNCTION("""COMPUTED_VALUE"""),0.0)</f>
        <v>0</v>
      </c>
      <c r="S33" s="16">
        <f>IFERROR(__xludf.DUMMYFUNCTION("""COMPUTED_VALUE"""),15.3)</f>
        <v>15.3</v>
      </c>
      <c r="T33" s="16">
        <f>IFERROR(__xludf.DUMMYFUNCTION("""COMPUTED_VALUE"""),7.8)</f>
        <v>7.8</v>
      </c>
      <c r="U33" s="16">
        <f>IFERROR(__xludf.DUMMYFUNCTION("""COMPUTED_VALUE"""),0.0)</f>
        <v>0</v>
      </c>
      <c r="V33" s="16">
        <f>IFERROR(__xludf.DUMMYFUNCTION("""COMPUTED_VALUE"""),1.0)</f>
        <v>1</v>
      </c>
      <c r="W33" s="16">
        <f>IFERROR(__xludf.DUMMYFUNCTION("""COMPUTED_VALUE"""),0.0)</f>
        <v>0</v>
      </c>
      <c r="X33" s="16">
        <f>IFERROR(__xludf.DUMMYFUNCTION("""COMPUTED_VALUE"""),2.0)</f>
        <v>2</v>
      </c>
      <c r="Y33" s="16">
        <f>IFERROR(__xludf.DUMMYFUNCTION("""COMPUTED_VALUE"""),21.3)</f>
        <v>21.3</v>
      </c>
      <c r="Z33" s="16">
        <f>IFERROR(__xludf.DUMMYFUNCTION("""COMPUTED_VALUE"""),16.8)</f>
        <v>16.8</v>
      </c>
      <c r="AA33" s="16">
        <f>IFERROR(__xludf.DUMMYFUNCTION("""COMPUTED_VALUE"""),1.0)</f>
        <v>1</v>
      </c>
      <c r="AB33" s="16">
        <f>IFERROR(__xludf.DUMMYFUNCTION("""COMPUTED_VALUE"""),1.0)</f>
        <v>1</v>
      </c>
      <c r="AC33" s="16">
        <f>IFERROR(__xludf.DUMMYFUNCTION("""COMPUTED_VALUE"""),5.0)</f>
        <v>5</v>
      </c>
      <c r="AD33" s="16">
        <f>IFERROR(__xludf.DUMMYFUNCTION("""COMPUTED_VALUE"""),5.0)</f>
        <v>5</v>
      </c>
      <c r="AE33" s="16">
        <f>IFERROR(__xludf.DUMMYFUNCTION("""COMPUTED_VALUE"""),16.0)</f>
        <v>16</v>
      </c>
      <c r="AF33" s="16">
        <f>IFERROR(__xludf.DUMMYFUNCTION("""COMPUTED_VALUE"""),7.8)</f>
        <v>7.8</v>
      </c>
      <c r="AG33" s="16">
        <f>IFERROR(__xludf.DUMMYFUNCTION("""COMPUTED_VALUE"""),1.0)</f>
        <v>1</v>
      </c>
      <c r="AH33" s="16">
        <f>IFERROR(__xludf.DUMMYFUNCTION("""COMPUTED_VALUE"""),2.0)</f>
        <v>2</v>
      </c>
      <c r="AI33" s="16">
        <f>IFERROR(__xludf.DUMMYFUNCTION("""COMPUTED_VALUE"""),2.0)</f>
        <v>2</v>
      </c>
      <c r="AJ33" s="16">
        <f>IFERROR(__xludf.DUMMYFUNCTION("""COMPUTED_VALUE"""),4.0)</f>
        <v>4</v>
      </c>
      <c r="AK33" s="16">
        <f>IFERROR(__xludf.DUMMYFUNCTION("""COMPUTED_VALUE"""),15.3)</f>
        <v>15.3</v>
      </c>
      <c r="AL33" s="16">
        <f>IFERROR(__xludf.DUMMYFUNCTION("""COMPUTED_VALUE"""),7.8)</f>
        <v>7.8</v>
      </c>
      <c r="AM33" s="16">
        <f>IFERROR(__xludf.DUMMYFUNCTION("""COMPUTED_VALUE"""),0.0)</f>
        <v>0</v>
      </c>
      <c r="AN33" s="16">
        <f>IFERROR(__xludf.DUMMYFUNCTION("""COMPUTED_VALUE"""),1.0)</f>
        <v>1</v>
      </c>
      <c r="AO33" s="16">
        <f>IFERROR(__xludf.DUMMYFUNCTION("""COMPUTED_VALUE"""),0.0)</f>
        <v>0</v>
      </c>
      <c r="AP33" s="16">
        <f>IFERROR(__xludf.DUMMYFUNCTION("""COMPUTED_VALUE"""),1.0)</f>
        <v>1</v>
      </c>
      <c r="AQ33" s="16">
        <f>IFERROR(__xludf.DUMMYFUNCTION("""COMPUTED_VALUE"""),16.0)</f>
        <v>16</v>
      </c>
      <c r="AR33" s="16">
        <f>IFERROR(__xludf.DUMMYFUNCTION("""COMPUTED_VALUE"""),7.8)</f>
        <v>7.8</v>
      </c>
      <c r="AS33" s="16">
        <f>IFERROR(__xludf.DUMMYFUNCTION("""COMPUTED_VALUE"""),0.0)</f>
        <v>0</v>
      </c>
      <c r="AT33" s="16">
        <f>IFERROR(__xludf.DUMMYFUNCTION("""COMPUTED_VALUE"""),2.0)</f>
        <v>2</v>
      </c>
      <c r="AU33" s="16">
        <f>IFERROR(__xludf.DUMMYFUNCTION("""COMPUTED_VALUE"""),0.0)</f>
        <v>0</v>
      </c>
      <c r="AV33" s="16">
        <f>IFERROR(__xludf.DUMMYFUNCTION("""COMPUTED_VALUE"""),4.0)</f>
        <v>4</v>
      </c>
      <c r="AW33" s="16">
        <f>IFERROR(__xludf.DUMMYFUNCTION("""COMPUTED_VALUE"""),0.0)</f>
        <v>0</v>
      </c>
      <c r="AX33" s="16">
        <f>IFERROR(__xludf.DUMMYFUNCTION("""COMPUTED_VALUE"""),0.0)</f>
        <v>0</v>
      </c>
      <c r="AY33" s="16">
        <f>IFERROR(__xludf.DUMMYFUNCTION("""COMPUTED_VALUE"""),2.0)</f>
        <v>2</v>
      </c>
      <c r="AZ33" s="16">
        <f>IFERROR(__xludf.DUMMYFUNCTION("""COMPUTED_VALUE"""),2.0)</f>
        <v>2</v>
      </c>
      <c r="BA33" s="16">
        <f>IFERROR(__xludf.DUMMYFUNCTION("""COMPUTED_VALUE"""),10.0)</f>
        <v>10</v>
      </c>
      <c r="BB33" s="16">
        <f>IFERROR(__xludf.DUMMYFUNCTION("""COMPUTED_VALUE"""),10.0)</f>
        <v>10</v>
      </c>
      <c r="BC33" s="16">
        <f>IFERROR(__xludf.DUMMYFUNCTION("""COMPUTED_VALUE"""),0.0)</f>
        <v>0</v>
      </c>
      <c r="BD33" s="16">
        <f>IFERROR(__xludf.DUMMYFUNCTION("""COMPUTED_VALUE"""),0.0)</f>
        <v>0</v>
      </c>
      <c r="BE33" s="16">
        <f>IFERROR(__xludf.DUMMYFUNCTION("""COMPUTED_VALUE"""),0.0)</f>
        <v>0</v>
      </c>
      <c r="BF33" s="16">
        <f>IFERROR(__xludf.DUMMYFUNCTION("""COMPUTED_VALUE"""),0.0)</f>
        <v>0</v>
      </c>
      <c r="BG33" s="16">
        <f>IFERROR(__xludf.DUMMYFUNCTION("""COMPUTED_VALUE"""),3.0)</f>
        <v>3</v>
      </c>
      <c r="BH33" s="16">
        <f>IFERROR(__xludf.DUMMYFUNCTION("""COMPUTED_VALUE"""),2.0)</f>
        <v>2</v>
      </c>
      <c r="BI33" s="16">
        <f>IFERROR(__xludf.DUMMYFUNCTION("""COMPUTED_VALUE"""),6.0)</f>
        <v>6</v>
      </c>
      <c r="BJ33" s="16">
        <f>IFERROR(__xludf.DUMMYFUNCTION("""COMPUTED_VALUE"""),4.0)</f>
        <v>4</v>
      </c>
      <c r="BK33" s="16">
        <f>IFERROR(__xludf.DUMMYFUNCTION("""COMPUTED_VALUE"""),5.0)</f>
        <v>5</v>
      </c>
      <c r="BL33" s="16">
        <f>IFERROR(__xludf.DUMMYFUNCTION("""COMPUTED_VALUE"""),5.0)</f>
        <v>5</v>
      </c>
      <c r="BM33" s="16">
        <f>IFERROR(__xludf.DUMMYFUNCTION("""COMPUTED_VALUE"""),0.0)</f>
        <v>0</v>
      </c>
      <c r="BN33" s="16">
        <f>IFERROR(__xludf.DUMMYFUNCTION("""COMPUTED_VALUE"""),0.0)</f>
        <v>0</v>
      </c>
      <c r="BO33" s="16">
        <f>IFERROR(__xludf.DUMMYFUNCTION("""COMPUTED_VALUE"""),0.0)</f>
        <v>0</v>
      </c>
      <c r="BP33" s="16">
        <f>IFERROR(__xludf.DUMMYFUNCTION("""COMPUTED_VALUE"""),0.0)</f>
        <v>0</v>
      </c>
      <c r="BQ33" s="16">
        <f>IFERROR(__xludf.DUMMYFUNCTION("""COMPUTED_VALUE"""),4.0)</f>
        <v>4</v>
      </c>
      <c r="BR33" s="16">
        <f>IFERROR(__xludf.DUMMYFUNCTION("""COMPUTED_VALUE"""),5.0)</f>
        <v>5</v>
      </c>
      <c r="BS33" s="16">
        <f>IFERROR(__xludf.DUMMYFUNCTION("""COMPUTED_VALUE"""),-1.0)</f>
        <v>-1</v>
      </c>
      <c r="BT33" s="16">
        <f>IFERROR(__xludf.DUMMYFUNCTION("""COMPUTED_VALUE"""),0.0)</f>
        <v>0</v>
      </c>
      <c r="BU33" s="16">
        <f>IFERROR(__xludf.DUMMYFUNCTION("""COMPUTED_VALUE"""),-2.0)</f>
        <v>-2</v>
      </c>
      <c r="BV33" s="16">
        <f>IFERROR(__xludf.DUMMYFUNCTION("""COMPUTED_VALUE"""),0.0)</f>
        <v>0</v>
      </c>
      <c r="BW33" s="16">
        <f>IFERROR(__xludf.DUMMYFUNCTION("""COMPUTED_VALUE"""),-1.0)</f>
        <v>-1</v>
      </c>
      <c r="BX33" s="16">
        <f>IFERROR(__xludf.DUMMYFUNCTION("""COMPUTED_VALUE"""),-1.0)</f>
        <v>-1</v>
      </c>
      <c r="BY33" s="16" t="str">
        <f>IFERROR(__xludf.DUMMYFUNCTION("""COMPUTED_VALUE"""),"R(1) C(6)")</f>
        <v>R(1) C(6)</v>
      </c>
      <c r="BZ33" s="16" t="str">
        <f>IFERROR(__xludf.DUMMYFUNCTION("""COMPUTED_VALUE"""),"R(1) C(6)")</f>
        <v>R(1) C(6)</v>
      </c>
      <c r="CA33" s="16" t="str">
        <f>IFERROR(__xludf.DUMMYFUNCTION("""COMPUTED_VALUE"""),"R(1)")</f>
        <v>R(1)</v>
      </c>
      <c r="CB33" s="16" t="str">
        <f>IFERROR(__xludf.DUMMYFUNCTION("""COMPUTED_VALUE"""),"C(6)")</f>
        <v>C(6)</v>
      </c>
      <c r="CC33" s="16"/>
      <c r="CD33" s="16"/>
      <c r="CE33" s="16">
        <f>IFERROR(__xludf.DUMMYFUNCTION("""COMPUTED_VALUE"""),1.0)</f>
        <v>1</v>
      </c>
      <c r="CF33" s="16">
        <f>IFERROR(__xludf.DUMMYFUNCTION("""COMPUTED_VALUE"""),6.0)</f>
        <v>6</v>
      </c>
      <c r="CG33" s="16" t="str">
        <f>IFERROR(__xludf.DUMMYFUNCTION("""COMPUTED_VALUE"""),"4-0")</f>
        <v>4-0</v>
      </c>
      <c r="CH33" s="16">
        <f>IFERROR(__xludf.DUMMYFUNCTION("""COMPUTED_VALUE"""),4.0)</f>
        <v>4</v>
      </c>
      <c r="CI33" s="16">
        <f>IFERROR(__xludf.DUMMYFUNCTION("""COMPUTED_VALUE"""),0.0)</f>
        <v>0</v>
      </c>
      <c r="CJ33" s="16">
        <f>IFERROR(__xludf.DUMMYFUNCTION("""COMPUTED_VALUE"""),0.0)</f>
        <v>0</v>
      </c>
      <c r="CK33" s="16">
        <f>IFERROR(__xludf.DUMMYFUNCTION("""COMPUTED_VALUE"""),3.0)</f>
        <v>3</v>
      </c>
      <c r="CL33" s="16" t="str">
        <f>IFERROR(__xludf.DUMMYFUNCTION("""COMPUTED_VALUE"""),"1WR-C")</f>
        <v>1WR-C</v>
      </c>
      <c r="CM33" s="16" t="str">
        <f>IFERROR(__xludf.DUMMYFUNCTION("""COMPUTED_VALUE"""),"E")</f>
        <v>E</v>
      </c>
      <c r="CN33" s="16">
        <f>IFERROR(__xludf.DUMMYFUNCTION("""COMPUTED_VALUE"""),10.0)</f>
        <v>10</v>
      </c>
      <c r="CO33" s="16" t="str">
        <f>IFERROR(__xludf.DUMMYFUNCTION("""COMPUTED_VALUE"""),"C")</f>
        <v>C</v>
      </c>
      <c r="CP33" s="16" t="str">
        <f>IFERROR(__xludf.DUMMYFUNCTION("""COMPUTED_VALUE"""),"1p60")</f>
        <v>1p60</v>
      </c>
      <c r="CQ33" s="16">
        <f>IFERROR(__xludf.DUMMYFUNCTION("""COMPUTED_VALUE"""),28.0)</f>
        <v>28</v>
      </c>
      <c r="CR33" s="16">
        <f>IFERROR(__xludf.DUMMYFUNCTION("""COMPUTED_VALUE"""),36.0)</f>
        <v>36</v>
      </c>
      <c r="CS33" s="16">
        <f>IFERROR(__xludf.DUMMYFUNCTION("""COMPUTED_VALUE"""),64.0)</f>
        <v>64</v>
      </c>
      <c r="CT33" s="16">
        <f>IFERROR(__xludf.DUMMYFUNCTION("""COMPUTED_VALUE"""),28.0)</f>
        <v>28</v>
      </c>
      <c r="CU33" s="16">
        <f>IFERROR(__xludf.DUMMYFUNCTION("""COMPUTED_VALUE"""),36.0)</f>
        <v>36</v>
      </c>
      <c r="CV33" s="179">
        <f>IFERROR(__xludf.DUMMYFUNCTION("""COMPUTED_VALUE"""),35.66666666666667)</f>
        <v>35.66666667</v>
      </c>
      <c r="CW33" s="179">
        <f>IFERROR(__xludf.DUMMYFUNCTION("""COMPUTED_VALUE"""),4.0)</f>
        <v>4</v>
      </c>
      <c r="CX33" s="179">
        <f>IFERROR(__xludf.DUMMYFUNCTION("""COMPUTED_VALUE"""),1.0)</f>
        <v>1</v>
      </c>
      <c r="CY33" s="16" t="str">
        <f>IFERROR(__xludf.DUMMYFUNCTION("""COMPUTED_VALUE"""),"RP")</f>
        <v>RP</v>
      </c>
      <c r="CZ33" s="16" t="str">
        <f>IFERROR(__xludf.DUMMYFUNCTION("""COMPUTED_VALUE"""),"CP")</f>
        <v>CP</v>
      </c>
      <c r="DA33" s="16"/>
      <c r="DB33" s="16"/>
      <c r="DC33" s="16"/>
      <c r="DD33" s="16"/>
      <c r="DE33" s="16"/>
      <c r="DF33" s="16"/>
      <c r="DG33" s="16"/>
      <c r="DH33" s="16"/>
      <c r="DI33" s="16"/>
      <c r="DJ33" s="16"/>
      <c r="DK33" s="16"/>
    </row>
    <row r="34">
      <c r="A34" s="16">
        <f>IFERROR(__xludf.DUMMYFUNCTION("""COMPUTED_VALUE"""),13433.0)</f>
        <v>13433</v>
      </c>
      <c r="B34" s="16" t="str">
        <f>IFERROR(__xludf.DUMMYFUNCTION("""COMPUTED_VALUE"""),"Trevor Megill")</f>
        <v>Trevor Megill</v>
      </c>
      <c r="C34" s="153">
        <f>IFERROR(__xludf.DUMMYFUNCTION("""COMPUTED_VALUE"""),1.35)</f>
        <v>1.35</v>
      </c>
      <c r="D34" s="16"/>
      <c r="E34" s="16" t="str">
        <f>IFERROR(__xludf.DUMMYFUNCTION("""COMPUTED_VALUE"""),"R")</f>
        <v>R</v>
      </c>
      <c r="F34" s="16">
        <f>IFERROR(__xludf.DUMMYFUNCTION("""COMPUTED_VALUE"""),46.0)</f>
        <v>46</v>
      </c>
      <c r="G34" s="16">
        <f>IFERROR(__xludf.DUMMYFUNCTION("""COMPUTED_VALUE"""),39.0)</f>
        <v>39</v>
      </c>
      <c r="H34" s="16">
        <f>IFERROR(__xludf.DUMMYFUNCTION("""COMPUTED_VALUE"""),35.0)</f>
        <v>35</v>
      </c>
      <c r="I34" s="16">
        <f>IFERROR(__xludf.DUMMYFUNCTION("""COMPUTED_VALUE"""),2.0)</f>
        <v>2</v>
      </c>
      <c r="J34" s="16">
        <f>IFERROR(__xludf.DUMMYFUNCTION("""COMPUTED_VALUE"""),1.0)</f>
        <v>1</v>
      </c>
      <c r="K34" s="16">
        <f>IFERROR(__xludf.DUMMYFUNCTION("""COMPUTED_VALUE"""),6.0)</f>
        <v>6</v>
      </c>
      <c r="L34" s="16">
        <f>IFERROR(__xludf.DUMMYFUNCTION("""COMPUTED_VALUE"""),3.0)</f>
        <v>3</v>
      </c>
      <c r="M34" s="16">
        <f>IFERROR(__xludf.DUMMYFUNCTION("""COMPUTED_VALUE"""),7.0)</f>
        <v>7</v>
      </c>
      <c r="N34" s="16">
        <f>IFERROR(__xludf.DUMMYFUNCTION("""COMPUTED_VALUE"""),1.0)</f>
        <v>1</v>
      </c>
      <c r="O34" s="16">
        <f>IFERROR(__xludf.DUMMYFUNCTION("""COMPUTED_VALUE"""),1.0)</f>
        <v>1</v>
      </c>
      <c r="P34" s="16">
        <f>IFERROR(__xludf.DUMMYFUNCTION("""COMPUTED_VALUE"""),3.0)</f>
        <v>3</v>
      </c>
      <c r="Q34" s="16">
        <f>IFERROR(__xludf.DUMMYFUNCTION("""COMPUTED_VALUE"""),1.0)</f>
        <v>1</v>
      </c>
      <c r="R34" s="16">
        <f>IFERROR(__xludf.DUMMYFUNCTION("""COMPUTED_VALUE"""),3.0)</f>
        <v>3</v>
      </c>
      <c r="S34" s="16">
        <f>IFERROR(__xludf.DUMMYFUNCTION("""COMPUTED_VALUE"""),13.5)</f>
        <v>13.5</v>
      </c>
      <c r="T34" s="16">
        <f>IFERROR(__xludf.DUMMYFUNCTION("""COMPUTED_VALUE"""),10.8)</f>
        <v>10.8</v>
      </c>
      <c r="U34" s="16">
        <f>IFERROR(__xludf.DUMMYFUNCTION("""COMPUTED_VALUE"""),0.0)</f>
        <v>0</v>
      </c>
      <c r="V34" s="16">
        <f>IFERROR(__xludf.DUMMYFUNCTION("""COMPUTED_VALUE"""),1.0)</f>
        <v>1</v>
      </c>
      <c r="W34" s="16">
        <f>IFERROR(__xludf.DUMMYFUNCTION("""COMPUTED_VALUE"""),0.0)</f>
        <v>0</v>
      </c>
      <c r="X34" s="16">
        <f>IFERROR(__xludf.DUMMYFUNCTION("""COMPUTED_VALUE"""),2.0)</f>
        <v>2</v>
      </c>
      <c r="Y34" s="16">
        <f>IFERROR(__xludf.DUMMYFUNCTION("""COMPUTED_VALUE"""),20.5)</f>
        <v>20.5</v>
      </c>
      <c r="Z34" s="16">
        <f>IFERROR(__xludf.DUMMYFUNCTION("""COMPUTED_VALUE"""),11.8)</f>
        <v>11.8</v>
      </c>
      <c r="AA34" s="16">
        <f>IFERROR(__xludf.DUMMYFUNCTION("""COMPUTED_VALUE"""),1.0)</f>
        <v>1</v>
      </c>
      <c r="AB34" s="16">
        <f>IFERROR(__xludf.DUMMYFUNCTION("""COMPUTED_VALUE"""),2.0)</f>
        <v>2</v>
      </c>
      <c r="AC34" s="16">
        <f>IFERROR(__xludf.DUMMYFUNCTION("""COMPUTED_VALUE"""),5.0)</f>
        <v>5</v>
      </c>
      <c r="AD34" s="16">
        <f>IFERROR(__xludf.DUMMYFUNCTION("""COMPUTED_VALUE"""),10.0)</f>
        <v>10</v>
      </c>
      <c r="AE34" s="16">
        <f>IFERROR(__xludf.DUMMYFUNCTION("""COMPUTED_VALUE"""),14.3)</f>
        <v>14.3</v>
      </c>
      <c r="AF34" s="16">
        <f>IFERROR(__xludf.DUMMYFUNCTION("""COMPUTED_VALUE"""),16.8)</f>
        <v>16.8</v>
      </c>
      <c r="AG34" s="16">
        <f>IFERROR(__xludf.DUMMYFUNCTION("""COMPUTED_VALUE"""),1.0)</f>
        <v>1</v>
      </c>
      <c r="AH34" s="16">
        <f>IFERROR(__xludf.DUMMYFUNCTION("""COMPUTED_VALUE"""),1.0)</f>
        <v>1</v>
      </c>
      <c r="AI34" s="16">
        <f>IFERROR(__xludf.DUMMYFUNCTION("""COMPUTED_VALUE"""),2.0)</f>
        <v>2</v>
      </c>
      <c r="AJ34" s="16">
        <f>IFERROR(__xludf.DUMMYFUNCTION("""COMPUTED_VALUE"""),2.0)</f>
        <v>2</v>
      </c>
      <c r="AK34" s="16">
        <f>IFERROR(__xludf.DUMMYFUNCTION("""COMPUTED_VALUE"""),13.5)</f>
        <v>13.5</v>
      </c>
      <c r="AL34" s="16">
        <f>IFERROR(__xludf.DUMMYFUNCTION("""COMPUTED_VALUE"""),8.8)</f>
        <v>8.8</v>
      </c>
      <c r="AM34" s="16">
        <f>IFERROR(__xludf.DUMMYFUNCTION("""COMPUTED_VALUE"""),0.0)</f>
        <v>0</v>
      </c>
      <c r="AN34" s="16">
        <f>IFERROR(__xludf.DUMMYFUNCTION("""COMPUTED_VALUE"""),1.0)</f>
        <v>1</v>
      </c>
      <c r="AO34" s="16">
        <f>IFERROR(__xludf.DUMMYFUNCTION("""COMPUTED_VALUE"""),0.0)</f>
        <v>0</v>
      </c>
      <c r="AP34" s="16">
        <f>IFERROR(__xludf.DUMMYFUNCTION("""COMPUTED_VALUE"""),1.0)</f>
        <v>1</v>
      </c>
      <c r="AQ34" s="16">
        <f>IFERROR(__xludf.DUMMYFUNCTION("""COMPUTED_VALUE"""),14.3)</f>
        <v>14.3</v>
      </c>
      <c r="AR34" s="16">
        <f>IFERROR(__xludf.DUMMYFUNCTION("""COMPUTED_VALUE"""),8.8)</f>
        <v>8.8</v>
      </c>
      <c r="AS34" s="16">
        <f>IFERROR(__xludf.DUMMYFUNCTION("""COMPUTED_VALUE"""),1.0)</f>
        <v>1</v>
      </c>
      <c r="AT34" s="16">
        <f>IFERROR(__xludf.DUMMYFUNCTION("""COMPUTED_VALUE"""),2.0)</f>
        <v>2</v>
      </c>
      <c r="AU34" s="16">
        <f>IFERROR(__xludf.DUMMYFUNCTION("""COMPUTED_VALUE"""),2.0)</f>
        <v>2</v>
      </c>
      <c r="AV34" s="16">
        <f>IFERROR(__xludf.DUMMYFUNCTION("""COMPUTED_VALUE"""),4.0)</f>
        <v>4</v>
      </c>
      <c r="AW34" s="16">
        <f>IFERROR(__xludf.DUMMYFUNCTION("""COMPUTED_VALUE"""),0.0)</f>
        <v>0</v>
      </c>
      <c r="AX34" s="16">
        <f>IFERROR(__xludf.DUMMYFUNCTION("""COMPUTED_VALUE"""),2.0)</f>
        <v>2</v>
      </c>
      <c r="AY34" s="16">
        <f>IFERROR(__xludf.DUMMYFUNCTION("""COMPUTED_VALUE"""),2.0)</f>
        <v>2</v>
      </c>
      <c r="AZ34" s="16">
        <f>IFERROR(__xludf.DUMMYFUNCTION("""COMPUTED_VALUE"""),0.0)</f>
        <v>0</v>
      </c>
      <c r="BA34" s="16">
        <f>IFERROR(__xludf.DUMMYFUNCTION("""COMPUTED_VALUE"""),10.0)</f>
        <v>10</v>
      </c>
      <c r="BB34" s="16">
        <f>IFERROR(__xludf.DUMMYFUNCTION("""COMPUTED_VALUE"""),0.0)</f>
        <v>0</v>
      </c>
      <c r="BC34" s="16">
        <f>IFERROR(__xludf.DUMMYFUNCTION("""COMPUTED_VALUE"""),0.0)</f>
        <v>0</v>
      </c>
      <c r="BD34" s="16">
        <f>IFERROR(__xludf.DUMMYFUNCTION("""COMPUTED_VALUE"""),3.0)</f>
        <v>3</v>
      </c>
      <c r="BE34" s="16">
        <f>IFERROR(__xludf.DUMMYFUNCTION("""COMPUTED_VALUE"""),0.0)</f>
        <v>0</v>
      </c>
      <c r="BF34" s="16">
        <f>IFERROR(__xludf.DUMMYFUNCTION("""COMPUTED_VALUE"""),3.0)</f>
        <v>3</v>
      </c>
      <c r="BG34" s="16">
        <f>IFERROR(__xludf.DUMMYFUNCTION("""COMPUTED_VALUE"""),3.0)</f>
        <v>3</v>
      </c>
      <c r="BH34" s="16">
        <f>IFERROR(__xludf.DUMMYFUNCTION("""COMPUTED_VALUE"""),0.0)</f>
        <v>0</v>
      </c>
      <c r="BI34" s="16">
        <f>IFERROR(__xludf.DUMMYFUNCTION("""COMPUTED_VALUE"""),6.0)</f>
        <v>6</v>
      </c>
      <c r="BJ34" s="16">
        <f>IFERROR(__xludf.DUMMYFUNCTION("""COMPUTED_VALUE"""),0.0)</f>
        <v>0</v>
      </c>
      <c r="BK34" s="16">
        <f>IFERROR(__xludf.DUMMYFUNCTION("""COMPUTED_VALUE"""),5.0)</f>
        <v>5</v>
      </c>
      <c r="BL34" s="16">
        <f>IFERROR(__xludf.DUMMYFUNCTION("""COMPUTED_VALUE"""),5.0)</f>
        <v>5</v>
      </c>
      <c r="BM34" s="16">
        <f>IFERROR(__xludf.DUMMYFUNCTION("""COMPUTED_VALUE"""),0.0)</f>
        <v>0</v>
      </c>
      <c r="BN34" s="16">
        <f>IFERROR(__xludf.DUMMYFUNCTION("""COMPUTED_VALUE"""),0.0)</f>
        <v>0</v>
      </c>
      <c r="BO34" s="16">
        <f>IFERROR(__xludf.DUMMYFUNCTION("""COMPUTED_VALUE"""),0.0)</f>
        <v>0</v>
      </c>
      <c r="BP34" s="16">
        <f>IFERROR(__xludf.DUMMYFUNCTION("""COMPUTED_VALUE"""),0.0)</f>
        <v>0</v>
      </c>
      <c r="BQ34" s="16">
        <f>IFERROR(__xludf.DUMMYFUNCTION("""COMPUTED_VALUE"""),13.0)</f>
        <v>13</v>
      </c>
      <c r="BR34" s="16">
        <f>IFERROR(__xludf.DUMMYFUNCTION("""COMPUTED_VALUE"""),12.0)</f>
        <v>12</v>
      </c>
      <c r="BS34" s="16">
        <f>IFERROR(__xludf.DUMMYFUNCTION("""COMPUTED_VALUE"""),3.0)</f>
        <v>3</v>
      </c>
      <c r="BT34" s="16">
        <f>IFERROR(__xludf.DUMMYFUNCTION("""COMPUTED_VALUE"""),3.0)</f>
        <v>3</v>
      </c>
      <c r="BU34" s="16">
        <f>IFERROR(__xludf.DUMMYFUNCTION("""COMPUTED_VALUE"""),6.0)</f>
        <v>6</v>
      </c>
      <c r="BV34" s="16">
        <f>IFERROR(__xludf.DUMMYFUNCTION("""COMPUTED_VALUE"""),6.0)</f>
        <v>6</v>
      </c>
      <c r="BW34" s="16">
        <f>IFERROR(__xludf.DUMMYFUNCTION("""COMPUTED_VALUE"""),9.0)</f>
        <v>9</v>
      </c>
      <c r="BX34" s="16">
        <f>IFERROR(__xludf.DUMMYFUNCTION("""COMPUTED_VALUE"""),9.0)</f>
        <v>9</v>
      </c>
      <c r="BY34" s="16" t="str">
        <f>IFERROR(__xludf.DUMMYFUNCTION("""COMPUTED_VALUE"""),"R(1) C(5)")</f>
        <v>R(1) C(5)</v>
      </c>
      <c r="BZ34" s="16" t="str">
        <f>IFERROR(__xludf.DUMMYFUNCTION("""COMPUTED_VALUE"""),"R(1) C(5)")</f>
        <v>R(1) C(5)</v>
      </c>
      <c r="CA34" s="16" t="str">
        <f>IFERROR(__xludf.DUMMYFUNCTION("""COMPUTED_VALUE"""),"R(1)")</f>
        <v>R(1)</v>
      </c>
      <c r="CB34" s="16" t="str">
        <f>IFERROR(__xludf.DUMMYFUNCTION("""COMPUTED_VALUE"""),"C(5)")</f>
        <v>C(5)</v>
      </c>
      <c r="CC34" s="16"/>
      <c r="CD34" s="16"/>
      <c r="CE34" s="16">
        <f>IFERROR(__xludf.DUMMYFUNCTION("""COMPUTED_VALUE"""),1.0)</f>
        <v>1</v>
      </c>
      <c r="CF34" s="16">
        <f>IFERROR(__xludf.DUMMYFUNCTION("""COMPUTED_VALUE"""),5.0)</f>
        <v>5</v>
      </c>
      <c r="CG34" s="16" t="str">
        <f>IFERROR(__xludf.DUMMYFUNCTION("""COMPUTED_VALUE"""),"3-0")</f>
        <v>3-0</v>
      </c>
      <c r="CH34" s="16">
        <f>IFERROR(__xludf.DUMMYFUNCTION("""COMPUTED_VALUE"""),3.0)</f>
        <v>3</v>
      </c>
      <c r="CI34" s="16">
        <f>IFERROR(__xludf.DUMMYFUNCTION("""COMPUTED_VALUE"""),0.0)</f>
        <v>0</v>
      </c>
      <c r="CJ34" s="16">
        <f>IFERROR(__xludf.DUMMYFUNCTION("""COMPUTED_VALUE"""),0.0)</f>
        <v>0</v>
      </c>
      <c r="CK34" s="16">
        <f>IFERROR(__xludf.DUMMYFUNCTION("""COMPUTED_VALUE"""),20.0)</f>
        <v>20</v>
      </c>
      <c r="CL34" s="16" t="str">
        <f>IFERROR(__xludf.DUMMYFUNCTION("""COMPUTED_VALUE"""),"1WL-C")</f>
        <v>1WL-C</v>
      </c>
      <c r="CM34" s="16" t="str">
        <f>IFERROR(__xludf.DUMMYFUNCTION("""COMPUTED_VALUE"""),"E")</f>
        <v>E</v>
      </c>
      <c r="CN34" s="16">
        <f>IFERROR(__xludf.DUMMYFUNCTION("""COMPUTED_VALUE"""),10.0)</f>
        <v>10</v>
      </c>
      <c r="CO34" s="16" t="str">
        <f>IFERROR(__xludf.DUMMYFUNCTION("""COMPUTED_VALUE"""),"C")</f>
        <v>C</v>
      </c>
      <c r="CP34" s="16" t="str">
        <f>IFERROR(__xludf.DUMMYFUNCTION("""COMPUTED_VALUE"""),"4p40")</f>
        <v>4p40</v>
      </c>
      <c r="CQ34" s="16">
        <f>IFERROR(__xludf.DUMMYFUNCTION("""COMPUTED_VALUE"""),38.0)</f>
        <v>38</v>
      </c>
      <c r="CR34" s="16">
        <f>IFERROR(__xludf.DUMMYFUNCTION("""COMPUTED_VALUE"""),31.0)</f>
        <v>31</v>
      </c>
      <c r="CS34" s="16">
        <f>IFERROR(__xludf.DUMMYFUNCTION("""COMPUTED_VALUE"""),69.0)</f>
        <v>69</v>
      </c>
      <c r="CT34" s="16">
        <f>IFERROR(__xludf.DUMMYFUNCTION("""COMPUTED_VALUE"""),38.0)</f>
        <v>38</v>
      </c>
      <c r="CU34" s="16">
        <f>IFERROR(__xludf.DUMMYFUNCTION("""COMPUTED_VALUE"""),31.0)</f>
        <v>31</v>
      </c>
      <c r="CV34" s="179">
        <f>IFERROR(__xludf.DUMMYFUNCTION("""COMPUTED_VALUE"""),35.333333333333336)</f>
        <v>35.33333333</v>
      </c>
      <c r="CW34" s="179">
        <f>IFERROR(__xludf.DUMMYFUNCTION("""COMPUTED_VALUE"""),1.0)</f>
        <v>1</v>
      </c>
      <c r="CX34" s="179">
        <f>IFERROR(__xludf.DUMMYFUNCTION("""COMPUTED_VALUE"""),1.0)</f>
        <v>1</v>
      </c>
      <c r="CY34" s="16" t="str">
        <f>IFERROR(__xludf.DUMMYFUNCTION("""COMPUTED_VALUE"""),"RP")</f>
        <v>RP</v>
      </c>
      <c r="CZ34" s="16" t="str">
        <f>IFERROR(__xludf.DUMMYFUNCTION("""COMPUTED_VALUE"""),"CP")</f>
        <v>CP</v>
      </c>
      <c r="DA34" s="16"/>
      <c r="DB34" s="16"/>
      <c r="DC34" s="16"/>
      <c r="DD34" s="16"/>
      <c r="DE34" s="16"/>
      <c r="DF34" s="16"/>
      <c r="DG34" s="16"/>
      <c r="DH34" s="16"/>
      <c r="DI34" s="16"/>
      <c r="DJ34" s="16"/>
      <c r="DK34" s="16"/>
    </row>
    <row r="35">
      <c r="A35" s="16">
        <f>IFERROR(__xludf.DUMMYFUNCTION("""COMPUTED_VALUE"""),12950.0)</f>
        <v>12950</v>
      </c>
      <c r="B35" s="16" t="str">
        <f>IFERROR(__xludf.DUMMYFUNCTION("""COMPUTED_VALUE"""),"Jeremiah Estrada")</f>
        <v>Jeremiah Estrada</v>
      </c>
      <c r="C35" s="153">
        <f>IFERROR(__xludf.DUMMYFUNCTION("""COMPUTED_VALUE"""),0.94)</f>
        <v>0.94</v>
      </c>
      <c r="D35" s="16"/>
      <c r="E35" s="16" t="str">
        <f>IFERROR(__xludf.DUMMYFUNCTION("""COMPUTED_VALUE"""),"R")</f>
        <v>R</v>
      </c>
      <c r="F35" s="16">
        <f>IFERROR(__xludf.DUMMYFUNCTION("""COMPUTED_VALUE"""),61.0)</f>
        <v>61</v>
      </c>
      <c r="G35" s="16">
        <f>IFERROR(__xludf.DUMMYFUNCTION("""COMPUTED_VALUE"""),59.0)</f>
        <v>59</v>
      </c>
      <c r="H35" s="16">
        <f>IFERROR(__xludf.DUMMYFUNCTION("""COMPUTED_VALUE"""),52.0)</f>
        <v>52</v>
      </c>
      <c r="I35" s="16">
        <f>IFERROR(__xludf.DUMMYFUNCTION("""COMPUTED_VALUE"""),3.0)</f>
        <v>3</v>
      </c>
      <c r="J35" s="16">
        <f>IFERROR(__xludf.DUMMYFUNCTION("""COMPUTED_VALUE"""),3.0)</f>
        <v>3</v>
      </c>
      <c r="K35" s="16">
        <f>IFERROR(__xludf.DUMMYFUNCTION("""COMPUTED_VALUE"""),9.0)</f>
        <v>9</v>
      </c>
      <c r="L35" s="16">
        <f>IFERROR(__xludf.DUMMYFUNCTION("""COMPUTED_VALUE"""),9.0)</f>
        <v>9</v>
      </c>
      <c r="M35" s="16">
        <f>IFERROR(__xludf.DUMMYFUNCTION("""COMPUTED_VALUE"""),11.0)</f>
        <v>11</v>
      </c>
      <c r="N35" s="16">
        <f>IFERROR(__xludf.DUMMYFUNCTION("""COMPUTED_VALUE"""),10.0)</f>
        <v>10</v>
      </c>
      <c r="O35" s="16">
        <f>IFERROR(__xludf.DUMMYFUNCTION("""COMPUTED_VALUE"""),-1.0)</f>
        <v>-1</v>
      </c>
      <c r="P35" s="16">
        <f>IFERROR(__xludf.DUMMYFUNCTION("""COMPUTED_VALUE"""),-1.0)</f>
        <v>-1</v>
      </c>
      <c r="Q35" s="16">
        <f>IFERROR(__xludf.DUMMYFUNCTION("""COMPUTED_VALUE"""),-1.0)</f>
        <v>-1</v>
      </c>
      <c r="R35" s="16">
        <f>IFERROR(__xludf.DUMMYFUNCTION("""COMPUTED_VALUE"""),-1.0)</f>
        <v>-1</v>
      </c>
      <c r="S35" s="16">
        <f>IFERROR(__xludf.DUMMYFUNCTION("""COMPUTED_VALUE"""),3.8)</f>
        <v>3.8</v>
      </c>
      <c r="T35" s="16">
        <f>IFERROR(__xludf.DUMMYFUNCTION("""COMPUTED_VALUE"""),8.9)</f>
        <v>8.9</v>
      </c>
      <c r="U35" s="16">
        <f>IFERROR(__xludf.DUMMYFUNCTION("""COMPUTED_VALUE"""),2.0)</f>
        <v>2</v>
      </c>
      <c r="V35" s="16">
        <f>IFERROR(__xludf.DUMMYFUNCTION("""COMPUTED_VALUE"""),1.0)</f>
        <v>1</v>
      </c>
      <c r="W35" s="16">
        <f>IFERROR(__xludf.DUMMYFUNCTION("""COMPUTED_VALUE"""),4.0)</f>
        <v>4</v>
      </c>
      <c r="X35" s="16">
        <f>IFERROR(__xludf.DUMMYFUNCTION("""COMPUTED_VALUE"""),2.0)</f>
        <v>2</v>
      </c>
      <c r="Y35" s="16">
        <f>IFERROR(__xludf.DUMMYFUNCTION("""COMPUTED_VALUE"""),14.8)</f>
        <v>14.8</v>
      </c>
      <c r="Z35" s="16">
        <f>IFERROR(__xludf.DUMMYFUNCTION("""COMPUTED_VALUE"""),18.9)</f>
        <v>18.9</v>
      </c>
      <c r="AA35" s="16">
        <f>IFERROR(__xludf.DUMMYFUNCTION("""COMPUTED_VALUE"""),2.0)</f>
        <v>2</v>
      </c>
      <c r="AB35" s="16">
        <f>IFERROR(__xludf.DUMMYFUNCTION("""COMPUTED_VALUE"""),1.0)</f>
        <v>1</v>
      </c>
      <c r="AC35" s="16">
        <f>IFERROR(__xludf.DUMMYFUNCTION("""COMPUTED_VALUE"""),10.0)</f>
        <v>10</v>
      </c>
      <c r="AD35" s="16">
        <f>IFERROR(__xludf.DUMMYFUNCTION("""COMPUTED_VALUE"""),5.0)</f>
        <v>5</v>
      </c>
      <c r="AE35" s="16">
        <f>IFERROR(__xludf.DUMMYFUNCTION("""COMPUTED_VALUE"""),5.6)</f>
        <v>5.6</v>
      </c>
      <c r="AF35" s="16">
        <f>IFERROR(__xludf.DUMMYFUNCTION("""COMPUTED_VALUE"""),14.0)</f>
        <v>14</v>
      </c>
      <c r="AG35" s="16">
        <f>IFERROR(__xludf.DUMMYFUNCTION("""COMPUTED_VALUE"""),2.0)</f>
        <v>2</v>
      </c>
      <c r="AH35" s="16">
        <f>IFERROR(__xludf.DUMMYFUNCTION("""COMPUTED_VALUE"""),2.0)</f>
        <v>2</v>
      </c>
      <c r="AI35" s="16">
        <f>IFERROR(__xludf.DUMMYFUNCTION("""COMPUTED_VALUE"""),4.0)</f>
        <v>4</v>
      </c>
      <c r="AJ35" s="16">
        <f>IFERROR(__xludf.DUMMYFUNCTION("""COMPUTED_VALUE"""),4.0)</f>
        <v>4</v>
      </c>
      <c r="AK35" s="16">
        <f>IFERROR(__xludf.DUMMYFUNCTION("""COMPUTED_VALUE"""),3.8)</f>
        <v>3.8</v>
      </c>
      <c r="AL35" s="16">
        <f>IFERROR(__xludf.DUMMYFUNCTION("""COMPUTED_VALUE"""),8.1)</f>
        <v>8.1</v>
      </c>
      <c r="AM35" s="16">
        <f>IFERROR(__xludf.DUMMYFUNCTION("""COMPUTED_VALUE"""),2.0)</f>
        <v>2</v>
      </c>
      <c r="AN35" s="16">
        <f>IFERROR(__xludf.DUMMYFUNCTION("""COMPUTED_VALUE"""),1.0)</f>
        <v>1</v>
      </c>
      <c r="AO35" s="16">
        <f>IFERROR(__xludf.DUMMYFUNCTION("""COMPUTED_VALUE"""),2.0)</f>
        <v>2</v>
      </c>
      <c r="AP35" s="16">
        <f>IFERROR(__xludf.DUMMYFUNCTION("""COMPUTED_VALUE"""),1.0)</f>
        <v>1</v>
      </c>
      <c r="AQ35" s="16">
        <f>IFERROR(__xludf.DUMMYFUNCTION("""COMPUTED_VALUE"""),5.6)</f>
        <v>5.6</v>
      </c>
      <c r="AR35" s="16">
        <f>IFERROR(__xludf.DUMMYFUNCTION("""COMPUTED_VALUE"""),10.8)</f>
        <v>10.8</v>
      </c>
      <c r="AS35" s="16">
        <f>IFERROR(__xludf.DUMMYFUNCTION("""COMPUTED_VALUE"""),2.0)</f>
        <v>2</v>
      </c>
      <c r="AT35" s="16">
        <f>IFERROR(__xludf.DUMMYFUNCTION("""COMPUTED_VALUE"""),1.0)</f>
        <v>1</v>
      </c>
      <c r="AU35" s="16">
        <f>IFERROR(__xludf.DUMMYFUNCTION("""COMPUTED_VALUE"""),4.0)</f>
        <v>4</v>
      </c>
      <c r="AV35" s="16">
        <f>IFERROR(__xludf.DUMMYFUNCTION("""COMPUTED_VALUE"""),2.0)</f>
        <v>2</v>
      </c>
      <c r="AW35" s="16">
        <f>IFERROR(__xludf.DUMMYFUNCTION("""COMPUTED_VALUE"""),0.0)</f>
        <v>0</v>
      </c>
      <c r="AX35" s="16">
        <f>IFERROR(__xludf.DUMMYFUNCTION("""COMPUTED_VALUE"""),0.8)</f>
        <v>0.8</v>
      </c>
      <c r="AY35" s="16">
        <f>IFERROR(__xludf.DUMMYFUNCTION("""COMPUTED_VALUE"""),2.0)</f>
        <v>2</v>
      </c>
      <c r="AZ35" s="16">
        <f>IFERROR(__xludf.DUMMYFUNCTION("""COMPUTED_VALUE"""),1.0)</f>
        <v>1</v>
      </c>
      <c r="BA35" s="16">
        <f>IFERROR(__xludf.DUMMYFUNCTION("""COMPUTED_VALUE"""),10.0)</f>
        <v>10</v>
      </c>
      <c r="BB35" s="16">
        <f>IFERROR(__xludf.DUMMYFUNCTION("""COMPUTED_VALUE"""),5.0)</f>
        <v>5</v>
      </c>
      <c r="BC35" s="16"/>
      <c r="BD35" s="16">
        <f>IFERROR(__xludf.DUMMYFUNCTION("""COMPUTED_VALUE"""),1.0)</f>
        <v>1</v>
      </c>
      <c r="BE35" s="16">
        <f>IFERROR(__xludf.DUMMYFUNCTION("""COMPUTED_VALUE"""),0.0)</f>
        <v>0</v>
      </c>
      <c r="BF35" s="16">
        <f>IFERROR(__xludf.DUMMYFUNCTION("""COMPUTED_VALUE"""),1.0)</f>
        <v>1</v>
      </c>
      <c r="BG35" s="16">
        <f>IFERROR(__xludf.DUMMYFUNCTION("""COMPUTED_VALUE"""),3.0)</f>
        <v>3</v>
      </c>
      <c r="BH35" s="16">
        <f>IFERROR(__xludf.DUMMYFUNCTION("""COMPUTED_VALUE"""),2.0)</f>
        <v>2</v>
      </c>
      <c r="BI35" s="16">
        <f>IFERROR(__xludf.DUMMYFUNCTION("""COMPUTED_VALUE"""),6.0)</f>
        <v>6</v>
      </c>
      <c r="BJ35" s="16">
        <f>IFERROR(__xludf.DUMMYFUNCTION("""COMPUTED_VALUE"""),4.0)</f>
        <v>4</v>
      </c>
      <c r="BK35" s="16">
        <f>IFERROR(__xludf.DUMMYFUNCTION("""COMPUTED_VALUE"""),0.0)</f>
        <v>0</v>
      </c>
      <c r="BL35" s="16">
        <f>IFERROR(__xludf.DUMMYFUNCTION("""COMPUTED_VALUE"""),5.0)</f>
        <v>5</v>
      </c>
      <c r="BM35" s="16">
        <f>IFERROR(__xludf.DUMMYFUNCTION("""COMPUTED_VALUE"""),1.0)</f>
        <v>1</v>
      </c>
      <c r="BN35" s="16">
        <f>IFERROR(__xludf.DUMMYFUNCTION("""COMPUTED_VALUE"""),0.0)</f>
        <v>0</v>
      </c>
      <c r="BO35" s="16">
        <f>IFERROR(__xludf.DUMMYFUNCTION("""COMPUTED_VALUE"""),1.0)</f>
        <v>1</v>
      </c>
      <c r="BP35" s="16">
        <f>IFERROR(__xludf.DUMMYFUNCTION("""COMPUTED_VALUE"""),0.0)</f>
        <v>0</v>
      </c>
      <c r="BQ35" s="16">
        <f>IFERROR(__xludf.DUMMYFUNCTION("""COMPUTED_VALUE"""),0.0)</f>
        <v>0</v>
      </c>
      <c r="BR35" s="16">
        <f>IFERROR(__xludf.DUMMYFUNCTION("""COMPUTED_VALUE"""),0.0)</f>
        <v>0</v>
      </c>
      <c r="BS35" s="16">
        <f>IFERROR(__xludf.DUMMYFUNCTION("""COMPUTED_VALUE"""),-3.0)</f>
        <v>-3</v>
      </c>
      <c r="BT35" s="16">
        <f>IFERROR(__xludf.DUMMYFUNCTION("""COMPUTED_VALUE"""),-3.0)</f>
        <v>-3</v>
      </c>
      <c r="BU35" s="16">
        <f>IFERROR(__xludf.DUMMYFUNCTION("""COMPUTED_VALUE"""),-6.0)</f>
        <v>-6</v>
      </c>
      <c r="BV35" s="16">
        <f>IFERROR(__xludf.DUMMYFUNCTION("""COMPUTED_VALUE"""),-6.0)</f>
        <v>-6</v>
      </c>
      <c r="BW35" s="16">
        <f>IFERROR(__xludf.DUMMYFUNCTION("""COMPUTED_VALUE"""),-3.0)</f>
        <v>-3</v>
      </c>
      <c r="BX35" s="16">
        <f>IFERROR(__xludf.DUMMYFUNCTION("""COMPUTED_VALUE"""),-3.0)</f>
        <v>-3</v>
      </c>
      <c r="BY35" s="16" t="str">
        <f>IFERROR(__xludf.DUMMYFUNCTION("""COMPUTED_VALUE"""),"R(1) C(0)")</f>
        <v>R(1) C(0)</v>
      </c>
      <c r="BZ35" s="16" t="str">
        <f>IFERROR(__xludf.DUMMYFUNCTION("""COMPUTED_VALUE"""),"R(1) C(0)")</f>
        <v>R(1) C(0)</v>
      </c>
      <c r="CA35" s="16" t="str">
        <f>IFERROR(__xludf.DUMMYFUNCTION("""COMPUTED_VALUE"""),"R(1)")</f>
        <v>R(1)</v>
      </c>
      <c r="CB35" s="16" t="str">
        <f>IFERROR(__xludf.DUMMYFUNCTION("""COMPUTED_VALUE"""),"C(0)")</f>
        <v>C(0)</v>
      </c>
      <c r="CC35" s="16"/>
      <c r="CD35" s="16"/>
      <c r="CE35" s="16">
        <f>IFERROR(__xludf.DUMMYFUNCTION("""COMPUTED_VALUE"""),1.0)</f>
        <v>1</v>
      </c>
      <c r="CF35" s="16">
        <f>IFERROR(__xludf.DUMMYFUNCTION("""COMPUTED_VALUE"""),0.0)</f>
        <v>0</v>
      </c>
      <c r="CG35" s="16" t="str">
        <f>IFERROR(__xludf.DUMMYFUNCTION("""COMPUTED_VALUE"""),"3-24")</f>
        <v>3-24</v>
      </c>
      <c r="CH35" s="16">
        <f>IFERROR(__xludf.DUMMYFUNCTION("""COMPUTED_VALUE"""),3.0)</f>
        <v>3</v>
      </c>
      <c r="CI35" s="16">
        <f>IFERROR(__xludf.DUMMYFUNCTION("""COMPUTED_VALUE"""),24.0)</f>
        <v>24</v>
      </c>
      <c r="CJ35" s="16">
        <f>IFERROR(__xludf.DUMMYFUNCTION("""COMPUTED_VALUE"""),0.0)</f>
        <v>0</v>
      </c>
      <c r="CK35" s="16">
        <f>IFERROR(__xludf.DUMMYFUNCTION("""COMPUTED_VALUE"""),19.0)</f>
        <v>19</v>
      </c>
      <c r="CL35" s="16" t="str">
        <f>IFERROR(__xludf.DUMMYFUNCTION("""COMPUTED_VALUE"""),"1WS-C")</f>
        <v>1WS-C</v>
      </c>
      <c r="CM35" s="16" t="str">
        <f>IFERROR(__xludf.DUMMYFUNCTION("""COMPUTED_VALUE"""),"E")</f>
        <v>E</v>
      </c>
      <c r="CN35" s="16">
        <f>IFERROR(__xludf.DUMMYFUNCTION("""COMPUTED_VALUE"""),10.0)</f>
        <v>10</v>
      </c>
      <c r="CO35" s="16" t="str">
        <f>IFERROR(__xludf.DUMMYFUNCTION("""COMPUTED_VALUE"""),"C")</f>
        <v>C</v>
      </c>
      <c r="CP35" s="16" t="str">
        <f>IFERROR(__xludf.DUMMYFUNCTION("""COMPUTED_VALUE"""),"1p50")</f>
        <v>1p50</v>
      </c>
      <c r="CQ35" s="16">
        <f>IFERROR(__xludf.DUMMYFUNCTION("""COMPUTED_VALUE"""),43.0)</f>
        <v>43</v>
      </c>
      <c r="CR35" s="16">
        <f>IFERROR(__xludf.DUMMYFUNCTION("""COMPUTED_VALUE"""),25.0)</f>
        <v>25</v>
      </c>
      <c r="CS35" s="16">
        <f>IFERROR(__xludf.DUMMYFUNCTION("""COMPUTED_VALUE"""),68.0)</f>
        <v>68</v>
      </c>
      <c r="CT35" s="16">
        <f>IFERROR(__xludf.DUMMYFUNCTION("""COMPUTED_VALUE"""),43.0)</f>
        <v>43</v>
      </c>
      <c r="CU35" s="16">
        <f>IFERROR(__xludf.DUMMYFUNCTION("""COMPUTED_VALUE"""),25.0)</f>
        <v>25</v>
      </c>
      <c r="CV35" s="179">
        <f>IFERROR(__xludf.DUMMYFUNCTION("""COMPUTED_VALUE"""),35.0)</f>
        <v>35</v>
      </c>
      <c r="CW35" s="179">
        <f>IFERROR(__xludf.DUMMYFUNCTION("""COMPUTED_VALUE"""),4.0)</f>
        <v>4</v>
      </c>
      <c r="CX35" s="179">
        <f>IFERROR(__xludf.DUMMYFUNCTION("""COMPUTED_VALUE"""),0.0)</f>
        <v>0</v>
      </c>
      <c r="CY35" s="16" t="str">
        <f>IFERROR(__xludf.DUMMYFUNCTION("""COMPUTED_VALUE"""),"RP")</f>
        <v>RP</v>
      </c>
      <c r="CZ35" s="16" t="str">
        <f>IFERROR(__xludf.DUMMYFUNCTION("""COMPUTED_VALUE"""),"CP")</f>
        <v>CP</v>
      </c>
      <c r="DA35" s="16"/>
      <c r="DB35" s="16"/>
      <c r="DC35" s="16"/>
      <c r="DD35" s="16"/>
      <c r="DE35" s="16"/>
      <c r="DF35" s="16"/>
      <c r="DG35" s="16"/>
      <c r="DH35" s="16"/>
      <c r="DI35" s="16"/>
      <c r="DJ35" s="16"/>
      <c r="DK35" s="16"/>
    </row>
    <row r="36">
      <c r="A36" s="16">
        <f>IFERROR(__xludf.DUMMYFUNCTION("""COMPUTED_VALUE"""),13400.0)</f>
        <v>13400</v>
      </c>
      <c r="B36" s="16" t="str">
        <f>IFERROR(__xludf.DUMMYFUNCTION("""COMPUTED_VALUE"""),"Tanner Houck")</f>
        <v>Tanner Houck</v>
      </c>
      <c r="C36" s="153">
        <f>IFERROR(__xludf.DUMMYFUNCTION("""COMPUTED_VALUE"""),1.76)</f>
        <v>1.76</v>
      </c>
      <c r="D36" s="16"/>
      <c r="E36" s="16" t="str">
        <f>IFERROR(__xludf.DUMMYFUNCTION("""COMPUTED_VALUE"""),"R")</f>
        <v>R</v>
      </c>
      <c r="F36" s="16">
        <f>IFERROR(__xludf.DUMMYFUNCTION("""COMPUTED_VALUE"""),179.0)</f>
        <v>179</v>
      </c>
      <c r="G36" s="16">
        <f>IFERROR(__xludf.DUMMYFUNCTION("""COMPUTED_VALUE"""),16.0)</f>
        <v>16</v>
      </c>
      <c r="H36" s="16">
        <f>IFERROR(__xludf.DUMMYFUNCTION("""COMPUTED_VALUE"""),27.0)</f>
        <v>27</v>
      </c>
      <c r="I36" s="16">
        <f>IFERROR(__xludf.DUMMYFUNCTION("""COMPUTED_VALUE"""),-2.0)</f>
        <v>-2</v>
      </c>
      <c r="J36" s="16">
        <f>IFERROR(__xludf.DUMMYFUNCTION("""COMPUTED_VALUE"""),0.0)</f>
        <v>0</v>
      </c>
      <c r="K36" s="16">
        <f>IFERROR(__xludf.DUMMYFUNCTION("""COMPUTED_VALUE"""),-6.0)</f>
        <v>-6</v>
      </c>
      <c r="L36" s="16">
        <f>IFERROR(__xludf.DUMMYFUNCTION("""COMPUTED_VALUE"""),0.0)</f>
        <v>0</v>
      </c>
      <c r="M36" s="16">
        <f>IFERROR(__xludf.DUMMYFUNCTION("""COMPUTED_VALUE"""),7.0)</f>
        <v>7</v>
      </c>
      <c r="N36" s="16">
        <f>IFERROR(__xludf.DUMMYFUNCTION("""COMPUTED_VALUE"""),4.0)</f>
        <v>4</v>
      </c>
      <c r="O36" s="16">
        <f>IFERROR(__xludf.DUMMYFUNCTION("""COMPUTED_VALUE"""),1.0)</f>
        <v>1</v>
      </c>
      <c r="P36" s="16">
        <f>IFERROR(__xludf.DUMMYFUNCTION("""COMPUTED_VALUE"""),2.0)</f>
        <v>2</v>
      </c>
      <c r="Q36" s="16">
        <f>IFERROR(__xludf.DUMMYFUNCTION("""COMPUTED_VALUE"""),1.0)</f>
        <v>1</v>
      </c>
      <c r="R36" s="16">
        <f>IFERROR(__xludf.DUMMYFUNCTION("""COMPUTED_VALUE"""),2.0)</f>
        <v>2</v>
      </c>
      <c r="S36" s="16">
        <f>IFERROR(__xludf.DUMMYFUNCTION("""COMPUTED_VALUE"""),9.9)</f>
        <v>9.9</v>
      </c>
      <c r="T36" s="16">
        <f>IFERROR(__xludf.DUMMYFUNCTION("""COMPUTED_VALUE"""),17.8)</f>
        <v>17.8</v>
      </c>
      <c r="U36" s="16">
        <f>IFERROR(__xludf.DUMMYFUNCTION("""COMPUTED_VALUE"""),1.0)</f>
        <v>1</v>
      </c>
      <c r="V36" s="16">
        <f>IFERROR(__xludf.DUMMYFUNCTION("""COMPUTED_VALUE"""),0.0)</f>
        <v>0</v>
      </c>
      <c r="W36" s="16">
        <f>IFERROR(__xludf.DUMMYFUNCTION("""COMPUTED_VALUE"""),2.0)</f>
        <v>2</v>
      </c>
      <c r="X36" s="16">
        <f>IFERROR(__xludf.DUMMYFUNCTION("""COMPUTED_VALUE"""),0.0)</f>
        <v>0</v>
      </c>
      <c r="Y36" s="16">
        <f>IFERROR(__xludf.DUMMYFUNCTION("""COMPUTED_VALUE"""),16.9)</f>
        <v>16.9</v>
      </c>
      <c r="Z36" s="16">
        <f>IFERROR(__xludf.DUMMYFUNCTION("""COMPUTED_VALUE"""),21.8)</f>
        <v>21.8</v>
      </c>
      <c r="AA36" s="16">
        <f>IFERROR(__xludf.DUMMYFUNCTION("""COMPUTED_VALUE"""),1.0)</f>
        <v>1</v>
      </c>
      <c r="AB36" s="16">
        <f>IFERROR(__xludf.DUMMYFUNCTION("""COMPUTED_VALUE"""),1.0)</f>
        <v>1</v>
      </c>
      <c r="AC36" s="16">
        <f>IFERROR(__xludf.DUMMYFUNCTION("""COMPUTED_VALUE"""),5.0)</f>
        <v>5</v>
      </c>
      <c r="AD36" s="16">
        <f>IFERROR(__xludf.DUMMYFUNCTION("""COMPUTED_VALUE"""),5.0)</f>
        <v>5</v>
      </c>
      <c r="AE36" s="16">
        <f>IFERROR(__xludf.DUMMYFUNCTION("""COMPUTED_VALUE"""),13.7)</f>
        <v>13.7</v>
      </c>
      <c r="AF36" s="16">
        <f>IFERROR(__xludf.DUMMYFUNCTION("""COMPUTED_VALUE"""),20.8)</f>
        <v>20.8</v>
      </c>
      <c r="AG36" s="16">
        <f>IFERROR(__xludf.DUMMYFUNCTION("""COMPUTED_VALUE"""),1.0)</f>
        <v>1</v>
      </c>
      <c r="AH36" s="16">
        <f>IFERROR(__xludf.DUMMYFUNCTION("""COMPUTED_VALUE"""),1.0)</f>
        <v>1</v>
      </c>
      <c r="AI36" s="16">
        <f>IFERROR(__xludf.DUMMYFUNCTION("""COMPUTED_VALUE"""),2.0)</f>
        <v>2</v>
      </c>
      <c r="AJ36" s="16">
        <f>IFERROR(__xludf.DUMMYFUNCTION("""COMPUTED_VALUE"""),2.0)</f>
        <v>2</v>
      </c>
      <c r="AK36" s="16">
        <f>IFERROR(__xludf.DUMMYFUNCTION("""COMPUTED_VALUE"""),9.9)</f>
        <v>9.9</v>
      </c>
      <c r="AL36" s="16">
        <f>IFERROR(__xludf.DUMMYFUNCTION("""COMPUTED_VALUE"""),17.8)</f>
        <v>17.8</v>
      </c>
      <c r="AM36" s="16">
        <f>IFERROR(__xludf.DUMMYFUNCTION("""COMPUTED_VALUE"""),1.0)</f>
        <v>1</v>
      </c>
      <c r="AN36" s="16">
        <f>IFERROR(__xludf.DUMMYFUNCTION("""COMPUTED_VALUE"""),-1.0)</f>
        <v>-1</v>
      </c>
      <c r="AO36" s="16">
        <f>IFERROR(__xludf.DUMMYFUNCTION("""COMPUTED_VALUE"""),1.0)</f>
        <v>1</v>
      </c>
      <c r="AP36" s="16">
        <f>IFERROR(__xludf.DUMMYFUNCTION("""COMPUTED_VALUE"""),-1.0)</f>
        <v>-1</v>
      </c>
      <c r="AQ36" s="16">
        <f>IFERROR(__xludf.DUMMYFUNCTION("""COMPUTED_VALUE"""),13.7)</f>
        <v>13.7</v>
      </c>
      <c r="AR36" s="16">
        <f>IFERROR(__xludf.DUMMYFUNCTION("""COMPUTED_VALUE"""),20.8)</f>
        <v>20.8</v>
      </c>
      <c r="AS36" s="16">
        <f>IFERROR(__xludf.DUMMYFUNCTION("""COMPUTED_VALUE"""),1.0)</f>
        <v>1</v>
      </c>
      <c r="AT36" s="16">
        <f>IFERROR(__xludf.DUMMYFUNCTION("""COMPUTED_VALUE"""),0.0)</f>
        <v>0</v>
      </c>
      <c r="AU36" s="16">
        <f>IFERROR(__xludf.DUMMYFUNCTION("""COMPUTED_VALUE"""),2.0)</f>
        <v>2</v>
      </c>
      <c r="AV36" s="16">
        <f>IFERROR(__xludf.DUMMYFUNCTION("""COMPUTED_VALUE"""),0.0)</f>
        <v>0</v>
      </c>
      <c r="AW36" s="16">
        <f>IFERROR(__xludf.DUMMYFUNCTION("""COMPUTED_VALUE"""),0.0)</f>
        <v>0</v>
      </c>
      <c r="AX36" s="16">
        <f>IFERROR(__xludf.DUMMYFUNCTION("""COMPUTED_VALUE"""),0.0)</f>
        <v>0</v>
      </c>
      <c r="AY36" s="16">
        <f>IFERROR(__xludf.DUMMYFUNCTION("""COMPUTED_VALUE"""),2.0)</f>
        <v>2</v>
      </c>
      <c r="AZ36" s="16">
        <f>IFERROR(__xludf.DUMMYFUNCTION("""COMPUTED_VALUE"""),2.0)</f>
        <v>2</v>
      </c>
      <c r="BA36" s="16">
        <f>IFERROR(__xludf.DUMMYFUNCTION("""COMPUTED_VALUE"""),10.0)</f>
        <v>10</v>
      </c>
      <c r="BB36" s="16">
        <f>IFERROR(__xludf.DUMMYFUNCTION("""COMPUTED_VALUE"""),10.0)</f>
        <v>10</v>
      </c>
      <c r="BC36" s="16">
        <f>IFERROR(__xludf.DUMMYFUNCTION("""COMPUTED_VALUE"""),0.0)</f>
        <v>0</v>
      </c>
      <c r="BD36" s="16">
        <f>IFERROR(__xludf.DUMMYFUNCTION("""COMPUTED_VALUE"""),0.0)</f>
        <v>0</v>
      </c>
      <c r="BE36" s="16">
        <f>IFERROR(__xludf.DUMMYFUNCTION("""COMPUTED_VALUE"""),0.0)</f>
        <v>0</v>
      </c>
      <c r="BF36" s="16">
        <f>IFERROR(__xludf.DUMMYFUNCTION("""COMPUTED_VALUE"""),0.0)</f>
        <v>0</v>
      </c>
      <c r="BG36" s="16">
        <f>IFERROR(__xludf.DUMMYFUNCTION("""COMPUTED_VALUE"""),3.0)</f>
        <v>3</v>
      </c>
      <c r="BH36" s="16">
        <f>IFERROR(__xludf.DUMMYFUNCTION("""COMPUTED_VALUE"""),2.0)</f>
        <v>2</v>
      </c>
      <c r="BI36" s="16">
        <f>IFERROR(__xludf.DUMMYFUNCTION("""COMPUTED_VALUE"""),6.0)</f>
        <v>6</v>
      </c>
      <c r="BJ36" s="16">
        <f>IFERROR(__xludf.DUMMYFUNCTION("""COMPUTED_VALUE"""),4.0)</f>
        <v>4</v>
      </c>
      <c r="BK36" s="16">
        <f>IFERROR(__xludf.DUMMYFUNCTION("""COMPUTED_VALUE"""),5.0)</f>
        <v>5</v>
      </c>
      <c r="BL36" s="16">
        <f>IFERROR(__xludf.DUMMYFUNCTION("""COMPUTED_VALUE"""),5.0)</f>
        <v>5</v>
      </c>
      <c r="BM36" s="16">
        <f>IFERROR(__xludf.DUMMYFUNCTION("""COMPUTED_VALUE"""),0.0)</f>
        <v>0</v>
      </c>
      <c r="BN36" s="16">
        <f>IFERROR(__xludf.DUMMYFUNCTION("""COMPUTED_VALUE"""),0.0)</f>
        <v>0</v>
      </c>
      <c r="BO36" s="16">
        <f>IFERROR(__xludf.DUMMYFUNCTION("""COMPUTED_VALUE"""),0.0)</f>
        <v>0</v>
      </c>
      <c r="BP36" s="16">
        <f>IFERROR(__xludf.DUMMYFUNCTION("""COMPUTED_VALUE"""),0.0)</f>
        <v>0</v>
      </c>
      <c r="BQ36" s="16">
        <f>IFERROR(__xludf.DUMMYFUNCTION("""COMPUTED_VALUE"""),8.0)</f>
        <v>8</v>
      </c>
      <c r="BR36" s="16">
        <f>IFERROR(__xludf.DUMMYFUNCTION("""COMPUTED_VALUE"""),8.0)</f>
        <v>8</v>
      </c>
      <c r="BS36" s="16">
        <f>IFERROR(__xludf.DUMMYFUNCTION("""COMPUTED_VALUE"""),2.0)</f>
        <v>2</v>
      </c>
      <c r="BT36" s="16">
        <f>IFERROR(__xludf.DUMMYFUNCTION("""COMPUTED_VALUE"""),2.0)</f>
        <v>2</v>
      </c>
      <c r="BU36" s="16">
        <f>IFERROR(__xludf.DUMMYFUNCTION("""COMPUTED_VALUE"""),4.0)</f>
        <v>4</v>
      </c>
      <c r="BV36" s="16">
        <f>IFERROR(__xludf.DUMMYFUNCTION("""COMPUTED_VALUE"""),4.0)</f>
        <v>4</v>
      </c>
      <c r="BW36" s="16">
        <f>IFERROR(__xludf.DUMMYFUNCTION("""COMPUTED_VALUE"""),0.0)</f>
        <v>0</v>
      </c>
      <c r="BX36" s="16">
        <f>IFERROR(__xludf.DUMMYFUNCTION("""COMPUTED_VALUE"""),0.0)</f>
        <v>0</v>
      </c>
      <c r="BY36" s="16" t="str">
        <f>IFERROR(__xludf.DUMMYFUNCTION("""COMPUTED_VALUE"""),"S(6)")</f>
        <v>S(6)</v>
      </c>
      <c r="BZ36" s="16" t="str">
        <f>IFERROR(__xludf.DUMMYFUNCTION("""COMPUTED_VALUE"""),"S(6)")</f>
        <v>S(6)</v>
      </c>
      <c r="CA36" s="16" t="str">
        <f>IFERROR(__xludf.DUMMYFUNCTION("""COMPUTED_VALUE"""),"S(6)")</f>
        <v>S(6)</v>
      </c>
      <c r="CB36" s="16"/>
      <c r="CC36" s="16"/>
      <c r="CD36" s="16">
        <f>IFERROR(__xludf.DUMMYFUNCTION("""COMPUTED_VALUE"""),6.0)</f>
        <v>6</v>
      </c>
      <c r="CE36" s="16"/>
      <c r="CF36" s="16"/>
      <c r="CG36" s="16" t="str">
        <f>IFERROR(__xludf.DUMMYFUNCTION("""COMPUTED_VALUE"""),"2-0")</f>
        <v>2-0</v>
      </c>
      <c r="CH36" s="16">
        <f>IFERROR(__xludf.DUMMYFUNCTION("""COMPUTED_VALUE"""),2.0)</f>
        <v>2</v>
      </c>
      <c r="CI36" s="16">
        <f>IFERROR(__xludf.DUMMYFUNCTION("""COMPUTED_VALUE"""),0.0)</f>
        <v>0</v>
      </c>
      <c r="CJ36" s="16">
        <f>IFERROR(__xludf.DUMMYFUNCTION("""COMPUTED_VALUE"""),0.0)</f>
        <v>0</v>
      </c>
      <c r="CK36" s="16">
        <f>IFERROR(__xludf.DUMMYFUNCTION("""COMPUTED_VALUE"""),2.0)</f>
        <v>2</v>
      </c>
      <c r="CL36" s="16" t="str">
        <f>IFERROR(__xludf.DUMMYFUNCTION("""COMPUTED_VALUE"""),"1WR-C")</f>
        <v>1WR-C</v>
      </c>
      <c r="CM36" s="16" t="str">
        <f>IFERROR(__xludf.DUMMYFUNCTION("""COMPUTED_VALUE"""),"E")</f>
        <v>E</v>
      </c>
      <c r="CN36" s="16">
        <f>IFERROR(__xludf.DUMMYFUNCTION("""COMPUTED_VALUE"""),10.0)</f>
        <v>10</v>
      </c>
      <c r="CO36" s="16" t="str">
        <f>IFERROR(__xludf.DUMMYFUNCTION("""COMPUTED_VALUE"""),"C")</f>
        <v>C</v>
      </c>
      <c r="CP36" s="16" t="str">
        <f>IFERROR(__xludf.DUMMYFUNCTION("""COMPUTED_VALUE"""),"1p70")</f>
        <v>1p70</v>
      </c>
      <c r="CQ36" s="16">
        <f>IFERROR(__xludf.DUMMYFUNCTION("""COMPUTED_VALUE"""),27.0)</f>
        <v>27</v>
      </c>
      <c r="CR36" s="16">
        <f>IFERROR(__xludf.DUMMYFUNCTION("""COMPUTED_VALUE"""),26.0)</f>
        <v>26</v>
      </c>
      <c r="CS36" s="16">
        <f>IFERROR(__xludf.DUMMYFUNCTION("""COMPUTED_VALUE"""),53.0)</f>
        <v>53</v>
      </c>
      <c r="CT36" s="16">
        <f>IFERROR(__xludf.DUMMYFUNCTION("""COMPUTED_VALUE"""),27.0)</f>
        <v>27</v>
      </c>
      <c r="CU36" s="16">
        <f>IFERROR(__xludf.DUMMYFUNCTION("""COMPUTED_VALUE"""),26.0)</f>
        <v>26</v>
      </c>
      <c r="CV36" s="179">
        <f>IFERROR(__xludf.DUMMYFUNCTION("""COMPUTED_VALUE"""),33.33333333333333)</f>
        <v>33.33333333</v>
      </c>
      <c r="CW36" s="179">
        <f>IFERROR(__xludf.DUMMYFUNCTION("""COMPUTED_VALUE"""),4.0)</f>
        <v>4</v>
      </c>
      <c r="CX36" s="179">
        <f>IFERROR(__xludf.DUMMYFUNCTION("""COMPUTED_VALUE"""),3.0)</f>
        <v>3</v>
      </c>
      <c r="CY36" s="16" t="str">
        <f>IFERROR(__xludf.DUMMYFUNCTION("""COMPUTED_VALUE"""),"SP")</f>
        <v>SP</v>
      </c>
      <c r="CZ36" s="16"/>
      <c r="DA36" s="16"/>
      <c r="DB36" s="16"/>
      <c r="DC36" s="16"/>
      <c r="DD36" s="16"/>
      <c r="DE36" s="16"/>
      <c r="DF36" s="16"/>
      <c r="DG36" s="16"/>
      <c r="DH36" s="16"/>
      <c r="DI36" s="16"/>
      <c r="DJ36" s="16"/>
      <c r="DK36" s="16"/>
    </row>
    <row r="37">
      <c r="A37" s="16">
        <f>IFERROR(__xludf.DUMMYFUNCTION("""COMPUTED_VALUE"""),12575.0)</f>
        <v>12575</v>
      </c>
      <c r="B37" s="16" t="str">
        <f>IFERROR(__xludf.DUMMYFUNCTION("""COMPUTED_VALUE"""),"Ben Joyce")</f>
        <v>Ben Joyce</v>
      </c>
      <c r="C37" s="153">
        <f>IFERROR(__xludf.DUMMYFUNCTION("""COMPUTED_VALUE"""),2.35)</f>
        <v>2.35</v>
      </c>
      <c r="D37" s="16"/>
      <c r="E37" s="16" t="str">
        <f>IFERROR(__xludf.DUMMYFUNCTION("""COMPUTED_VALUE"""),"R")</f>
        <v>R</v>
      </c>
      <c r="F37" s="16">
        <f>IFERROR(__xludf.DUMMYFUNCTION("""COMPUTED_VALUE"""),35.0)</f>
        <v>35</v>
      </c>
      <c r="G37" s="16">
        <f>IFERROR(__xludf.DUMMYFUNCTION("""COMPUTED_VALUE"""),36.0)</f>
        <v>36</v>
      </c>
      <c r="H37" s="16">
        <f>IFERROR(__xludf.DUMMYFUNCTION("""COMPUTED_VALUE"""),18.0)</f>
        <v>18</v>
      </c>
      <c r="I37" s="16">
        <f>IFERROR(__xludf.DUMMYFUNCTION("""COMPUTED_VALUE"""),1.0)</f>
        <v>1</v>
      </c>
      <c r="J37" s="16">
        <f>IFERROR(__xludf.DUMMYFUNCTION("""COMPUTED_VALUE"""),-1.0)</f>
        <v>-1</v>
      </c>
      <c r="K37" s="16">
        <f>IFERROR(__xludf.DUMMYFUNCTION("""COMPUTED_VALUE"""),3.0)</f>
        <v>3</v>
      </c>
      <c r="L37" s="16">
        <f>IFERROR(__xludf.DUMMYFUNCTION("""COMPUTED_VALUE"""),-3.0)</f>
        <v>-3</v>
      </c>
      <c r="M37" s="16">
        <f>IFERROR(__xludf.DUMMYFUNCTION("""COMPUTED_VALUE"""),12.0)</f>
        <v>12</v>
      </c>
      <c r="N37" s="16">
        <f>IFERROR(__xludf.DUMMYFUNCTION("""COMPUTED_VALUE"""),14.0)</f>
        <v>14</v>
      </c>
      <c r="O37" s="16">
        <f>IFERROR(__xludf.DUMMYFUNCTION("""COMPUTED_VALUE"""),-1.0)</f>
        <v>-1</v>
      </c>
      <c r="P37" s="16">
        <f>IFERROR(__xludf.DUMMYFUNCTION("""COMPUTED_VALUE"""),-2.0)</f>
        <v>-2</v>
      </c>
      <c r="Q37" s="16">
        <f>IFERROR(__xludf.DUMMYFUNCTION("""COMPUTED_VALUE"""),-1.0)</f>
        <v>-1</v>
      </c>
      <c r="R37" s="16">
        <f>IFERROR(__xludf.DUMMYFUNCTION("""COMPUTED_VALUE"""),-2.0)</f>
        <v>-2</v>
      </c>
      <c r="S37" s="16">
        <f>IFERROR(__xludf.DUMMYFUNCTION("""COMPUTED_VALUE"""),5.8)</f>
        <v>5.8</v>
      </c>
      <c r="T37" s="16">
        <f>IFERROR(__xludf.DUMMYFUNCTION("""COMPUTED_VALUE"""),13.6)</f>
        <v>13.6</v>
      </c>
      <c r="U37" s="16">
        <f>IFERROR(__xludf.DUMMYFUNCTION("""COMPUTED_VALUE"""),2.0)</f>
        <v>2</v>
      </c>
      <c r="V37" s="16">
        <f>IFERROR(__xludf.DUMMYFUNCTION("""COMPUTED_VALUE"""),0.0)</f>
        <v>0</v>
      </c>
      <c r="W37" s="16">
        <f>IFERROR(__xludf.DUMMYFUNCTION("""COMPUTED_VALUE"""),4.0)</f>
        <v>4</v>
      </c>
      <c r="X37" s="16">
        <f>IFERROR(__xludf.DUMMYFUNCTION("""COMPUTED_VALUE"""),0.0)</f>
        <v>0</v>
      </c>
      <c r="Y37" s="16">
        <f>IFERROR(__xludf.DUMMYFUNCTION("""COMPUTED_VALUE"""),17.8)</f>
        <v>17.8</v>
      </c>
      <c r="Z37" s="16">
        <f>IFERROR(__xludf.DUMMYFUNCTION("""COMPUTED_VALUE"""),27.6)</f>
        <v>27.6</v>
      </c>
      <c r="AA37" s="16">
        <f>IFERROR(__xludf.DUMMYFUNCTION("""COMPUTED_VALUE"""),1.0)</f>
        <v>1</v>
      </c>
      <c r="AB37" s="16">
        <f>IFERROR(__xludf.DUMMYFUNCTION("""COMPUTED_VALUE"""),0.0)</f>
        <v>0</v>
      </c>
      <c r="AC37" s="16">
        <f>IFERROR(__xludf.DUMMYFUNCTION("""COMPUTED_VALUE"""),5.0)</f>
        <v>5</v>
      </c>
      <c r="AD37" s="16">
        <f>IFERROR(__xludf.DUMMYFUNCTION("""COMPUTED_VALUE"""),0.0)</f>
        <v>0</v>
      </c>
      <c r="AE37" s="16">
        <f>IFERROR(__xludf.DUMMYFUNCTION("""COMPUTED_VALUE"""),5.8)</f>
        <v>5.8</v>
      </c>
      <c r="AF37" s="16">
        <f>IFERROR(__xludf.DUMMYFUNCTION("""COMPUTED_VALUE"""),13.6)</f>
        <v>13.6</v>
      </c>
      <c r="AG37" s="16">
        <f>IFERROR(__xludf.DUMMYFUNCTION("""COMPUTED_VALUE"""),2.0)</f>
        <v>2</v>
      </c>
      <c r="AH37" s="16">
        <f>IFERROR(__xludf.DUMMYFUNCTION("""COMPUTED_VALUE"""),2.0)</f>
        <v>2</v>
      </c>
      <c r="AI37" s="16">
        <f>IFERROR(__xludf.DUMMYFUNCTION("""COMPUTED_VALUE"""),4.0)</f>
        <v>4</v>
      </c>
      <c r="AJ37" s="16">
        <f>IFERROR(__xludf.DUMMYFUNCTION("""COMPUTED_VALUE"""),4.0)</f>
        <v>4</v>
      </c>
      <c r="AK37" s="16">
        <f>IFERROR(__xludf.DUMMYFUNCTION("""COMPUTED_VALUE"""),5.8)</f>
        <v>5.8</v>
      </c>
      <c r="AL37" s="16">
        <f>IFERROR(__xludf.DUMMYFUNCTION("""COMPUTED_VALUE"""),13.6)</f>
        <v>13.6</v>
      </c>
      <c r="AM37" s="16">
        <f>IFERROR(__xludf.DUMMYFUNCTION("""COMPUTED_VALUE"""),1.0)</f>
        <v>1</v>
      </c>
      <c r="AN37" s="16">
        <f>IFERROR(__xludf.DUMMYFUNCTION("""COMPUTED_VALUE"""),0.0)</f>
        <v>0</v>
      </c>
      <c r="AO37" s="16">
        <f>IFERROR(__xludf.DUMMYFUNCTION("""COMPUTED_VALUE"""),1.0)</f>
        <v>1</v>
      </c>
      <c r="AP37" s="16">
        <f>IFERROR(__xludf.DUMMYFUNCTION("""COMPUTED_VALUE"""),0.0)</f>
        <v>0</v>
      </c>
      <c r="AQ37" s="16">
        <f>IFERROR(__xludf.DUMMYFUNCTION("""COMPUTED_VALUE"""),5.8)</f>
        <v>5.8</v>
      </c>
      <c r="AR37" s="16">
        <f>IFERROR(__xludf.DUMMYFUNCTION("""COMPUTED_VALUE"""),13.6)</f>
        <v>13.6</v>
      </c>
      <c r="AS37" s="16">
        <f>IFERROR(__xludf.DUMMYFUNCTION("""COMPUTED_VALUE"""),2.0)</f>
        <v>2</v>
      </c>
      <c r="AT37" s="16">
        <f>IFERROR(__xludf.DUMMYFUNCTION("""COMPUTED_VALUE"""),1.0)</f>
        <v>1</v>
      </c>
      <c r="AU37" s="16">
        <f>IFERROR(__xludf.DUMMYFUNCTION("""COMPUTED_VALUE"""),4.0)</f>
        <v>4</v>
      </c>
      <c r="AV37" s="16">
        <f>IFERROR(__xludf.DUMMYFUNCTION("""COMPUTED_VALUE"""),2.0)</f>
        <v>2</v>
      </c>
      <c r="AW37" s="16">
        <f>IFERROR(__xludf.DUMMYFUNCTION("""COMPUTED_VALUE"""),0.0)</f>
        <v>0</v>
      </c>
      <c r="AX37" s="16">
        <f>IFERROR(__xludf.DUMMYFUNCTION("""COMPUTED_VALUE"""),0.0)</f>
        <v>0</v>
      </c>
      <c r="AY37" s="16">
        <f>IFERROR(__xludf.DUMMYFUNCTION("""COMPUTED_VALUE"""),2.0)</f>
        <v>2</v>
      </c>
      <c r="AZ37" s="16">
        <f>IFERROR(__xludf.DUMMYFUNCTION("""COMPUTED_VALUE"""),2.0)</f>
        <v>2</v>
      </c>
      <c r="BA37" s="16">
        <f>IFERROR(__xludf.DUMMYFUNCTION("""COMPUTED_VALUE"""),10.0)</f>
        <v>10</v>
      </c>
      <c r="BB37" s="16">
        <f>IFERROR(__xludf.DUMMYFUNCTION("""COMPUTED_VALUE"""),10.0)</f>
        <v>10</v>
      </c>
      <c r="BC37" s="16">
        <f>IFERROR(__xludf.DUMMYFUNCTION("""COMPUTED_VALUE"""),0.0)</f>
        <v>0</v>
      </c>
      <c r="BD37" s="16">
        <f>IFERROR(__xludf.DUMMYFUNCTION("""COMPUTED_VALUE"""),0.0)</f>
        <v>0</v>
      </c>
      <c r="BE37" s="16">
        <f>IFERROR(__xludf.DUMMYFUNCTION("""COMPUTED_VALUE"""),0.0)</f>
        <v>0</v>
      </c>
      <c r="BF37" s="16">
        <f>IFERROR(__xludf.DUMMYFUNCTION("""COMPUTED_VALUE"""),0.0)</f>
        <v>0</v>
      </c>
      <c r="BG37" s="16">
        <f>IFERROR(__xludf.DUMMYFUNCTION("""COMPUTED_VALUE"""),3.0)</f>
        <v>3</v>
      </c>
      <c r="BH37" s="16">
        <f>IFERROR(__xludf.DUMMYFUNCTION("""COMPUTED_VALUE"""),2.0)</f>
        <v>2</v>
      </c>
      <c r="BI37" s="16">
        <f>IFERROR(__xludf.DUMMYFUNCTION("""COMPUTED_VALUE"""),6.0)</f>
        <v>6</v>
      </c>
      <c r="BJ37" s="16">
        <f>IFERROR(__xludf.DUMMYFUNCTION("""COMPUTED_VALUE"""),4.0)</f>
        <v>4</v>
      </c>
      <c r="BK37" s="16">
        <f>IFERROR(__xludf.DUMMYFUNCTION("""COMPUTED_VALUE"""),5.0)</f>
        <v>5</v>
      </c>
      <c r="BL37" s="16">
        <f>IFERROR(__xludf.DUMMYFUNCTION("""COMPUTED_VALUE"""),5.0)</f>
        <v>5</v>
      </c>
      <c r="BM37" s="16">
        <f>IFERROR(__xludf.DUMMYFUNCTION("""COMPUTED_VALUE"""),0.0)</f>
        <v>0</v>
      </c>
      <c r="BN37" s="16">
        <f>IFERROR(__xludf.DUMMYFUNCTION("""COMPUTED_VALUE"""),0.0)</f>
        <v>0</v>
      </c>
      <c r="BO37" s="16">
        <f>IFERROR(__xludf.DUMMYFUNCTION("""COMPUTED_VALUE"""),0.0)</f>
        <v>0</v>
      </c>
      <c r="BP37" s="16">
        <f>IFERROR(__xludf.DUMMYFUNCTION("""COMPUTED_VALUE"""),0.0)</f>
        <v>0</v>
      </c>
      <c r="BQ37" s="16">
        <f>IFERROR(__xludf.DUMMYFUNCTION("""COMPUTED_VALUE"""),10.0)</f>
        <v>10</v>
      </c>
      <c r="BR37" s="16">
        <f>IFERROR(__xludf.DUMMYFUNCTION("""COMPUTED_VALUE"""),12.0)</f>
        <v>12</v>
      </c>
      <c r="BS37" s="16">
        <f>IFERROR(__xludf.DUMMYFUNCTION("""COMPUTED_VALUE"""),3.0)</f>
        <v>3</v>
      </c>
      <c r="BT37" s="16">
        <f>IFERROR(__xludf.DUMMYFUNCTION("""COMPUTED_VALUE"""),3.0)</f>
        <v>3</v>
      </c>
      <c r="BU37" s="16">
        <f>IFERROR(__xludf.DUMMYFUNCTION("""COMPUTED_VALUE"""),6.0)</f>
        <v>6</v>
      </c>
      <c r="BV37" s="16">
        <f>IFERROR(__xludf.DUMMYFUNCTION("""COMPUTED_VALUE"""),6.0)</f>
        <v>6</v>
      </c>
      <c r="BW37" s="16">
        <f>IFERROR(__xludf.DUMMYFUNCTION("""COMPUTED_VALUE"""),-2.0)</f>
        <v>-2</v>
      </c>
      <c r="BX37" s="16">
        <f>IFERROR(__xludf.DUMMYFUNCTION("""COMPUTED_VALUE"""),-2.0)</f>
        <v>-2</v>
      </c>
      <c r="BY37" s="16" t="str">
        <f>IFERROR(__xludf.DUMMYFUNCTION("""COMPUTED_VALUE"""),"R(1) C(3)")</f>
        <v>R(1) C(3)</v>
      </c>
      <c r="BZ37" s="16" t="str">
        <f>IFERROR(__xludf.DUMMYFUNCTION("""COMPUTED_VALUE"""),"R(1) C(3)")</f>
        <v>R(1) C(3)</v>
      </c>
      <c r="CA37" s="16" t="str">
        <f>IFERROR(__xludf.DUMMYFUNCTION("""COMPUTED_VALUE"""),"R(1)")</f>
        <v>R(1)</v>
      </c>
      <c r="CB37" s="16" t="str">
        <f>IFERROR(__xludf.DUMMYFUNCTION("""COMPUTED_VALUE"""),"C(3)")</f>
        <v>C(3)</v>
      </c>
      <c r="CC37" s="16"/>
      <c r="CD37" s="16"/>
      <c r="CE37" s="16">
        <f>IFERROR(__xludf.DUMMYFUNCTION("""COMPUTED_VALUE"""),1.0)</f>
        <v>1</v>
      </c>
      <c r="CF37" s="16">
        <f>IFERROR(__xludf.DUMMYFUNCTION("""COMPUTED_VALUE"""),3.0)</f>
        <v>3</v>
      </c>
      <c r="CG37" s="16" t="str">
        <f>IFERROR(__xludf.DUMMYFUNCTION("""COMPUTED_VALUE"""),"4-42")</f>
        <v>4-42</v>
      </c>
      <c r="CH37" s="16">
        <f>IFERROR(__xludf.DUMMYFUNCTION("""COMPUTED_VALUE"""),4.0)</f>
        <v>4</v>
      </c>
      <c r="CI37" s="16">
        <f>IFERROR(__xludf.DUMMYFUNCTION("""COMPUTED_VALUE"""),42.0)</f>
        <v>42</v>
      </c>
      <c r="CJ37" s="16">
        <f>IFERROR(__xludf.DUMMYFUNCTION("""COMPUTED_VALUE"""),0.0)</f>
        <v>0</v>
      </c>
      <c r="CK37" s="16">
        <f>IFERROR(__xludf.DUMMYFUNCTION("""COMPUTED_VALUE"""),20.0)</f>
        <v>20</v>
      </c>
      <c r="CL37" s="16" t="str">
        <f>IFERROR(__xludf.DUMMYFUNCTION("""COMPUTED_VALUE"""),"1WR-C")</f>
        <v>1WR-C</v>
      </c>
      <c r="CM37" s="16" t="str">
        <f>IFERROR(__xludf.DUMMYFUNCTION("""COMPUTED_VALUE"""),"E")</f>
        <v>E</v>
      </c>
      <c r="CN37" s="16">
        <f>IFERROR(__xludf.DUMMYFUNCTION("""COMPUTED_VALUE"""),10.0)</f>
        <v>10</v>
      </c>
      <c r="CO37" s="16" t="str">
        <f>IFERROR(__xludf.DUMMYFUNCTION("""COMPUTED_VALUE"""),"C")</f>
        <v>C</v>
      </c>
      <c r="CP37" s="16" t="str">
        <f>IFERROR(__xludf.DUMMYFUNCTION("""COMPUTED_VALUE"""),"2p30")</f>
        <v>2p30</v>
      </c>
      <c r="CQ37" s="16">
        <f>IFERROR(__xludf.DUMMYFUNCTION("""COMPUTED_VALUE"""),42.0)</f>
        <v>42</v>
      </c>
      <c r="CR37" s="16">
        <f>IFERROR(__xludf.DUMMYFUNCTION("""COMPUTED_VALUE"""),21.0)</f>
        <v>21</v>
      </c>
      <c r="CS37" s="16">
        <f>IFERROR(__xludf.DUMMYFUNCTION("""COMPUTED_VALUE"""),63.0)</f>
        <v>63</v>
      </c>
      <c r="CT37" s="16">
        <f>IFERROR(__xludf.DUMMYFUNCTION("""COMPUTED_VALUE"""),42.0)</f>
        <v>42</v>
      </c>
      <c r="CU37" s="16">
        <f>IFERROR(__xludf.DUMMYFUNCTION("""COMPUTED_VALUE"""),21.0)</f>
        <v>21</v>
      </c>
      <c r="CV37" s="179">
        <f>IFERROR(__xludf.DUMMYFUNCTION("""COMPUTED_VALUE"""),33.0)</f>
        <v>33</v>
      </c>
      <c r="CW37" s="179">
        <f>IFERROR(__xludf.DUMMYFUNCTION("""COMPUTED_VALUE"""),3.0)</f>
        <v>3</v>
      </c>
      <c r="CX37" s="179">
        <f>IFERROR(__xludf.DUMMYFUNCTION("""COMPUTED_VALUE"""),2.0)</f>
        <v>2</v>
      </c>
      <c r="CY37" s="16" t="str">
        <f>IFERROR(__xludf.DUMMYFUNCTION("""COMPUTED_VALUE"""),"RP")</f>
        <v>RP</v>
      </c>
      <c r="CZ37" s="16" t="str">
        <f>IFERROR(__xludf.DUMMYFUNCTION("""COMPUTED_VALUE"""),"CP")</f>
        <v>CP</v>
      </c>
      <c r="DA37" s="16"/>
      <c r="DB37" s="16"/>
      <c r="DC37" s="16"/>
      <c r="DD37" s="16"/>
      <c r="DE37" s="16"/>
      <c r="DF37" s="16"/>
      <c r="DG37" s="16"/>
      <c r="DH37" s="16"/>
      <c r="DI37" s="16"/>
      <c r="DJ37" s="16"/>
      <c r="DK37" s="16"/>
    </row>
    <row r="38">
      <c r="A38" s="16">
        <f>IFERROR(__xludf.DUMMYFUNCTION("""COMPUTED_VALUE"""),12653.0)</f>
        <v>12653</v>
      </c>
      <c r="B38" s="16" t="str">
        <f>IFERROR(__xludf.DUMMYFUNCTION("""COMPUTED_VALUE"""),"Carlos Estevez")</f>
        <v>Carlos Estevez</v>
      </c>
      <c r="C38" s="153">
        <f>IFERROR(__xludf.DUMMYFUNCTION("""COMPUTED_VALUE"""),1.83)</f>
        <v>1.83</v>
      </c>
      <c r="D38" s="16"/>
      <c r="E38" s="16" t="str">
        <f>IFERROR(__xludf.DUMMYFUNCTION("""COMPUTED_VALUE"""),"R")</f>
        <v>R</v>
      </c>
      <c r="F38" s="16">
        <f>IFERROR(__xludf.DUMMYFUNCTION("""COMPUTED_VALUE"""),55.0)</f>
        <v>55</v>
      </c>
      <c r="G38" s="16">
        <f>IFERROR(__xludf.DUMMYFUNCTION("""COMPUTED_VALUE"""),29.0)</f>
        <v>29</v>
      </c>
      <c r="H38" s="16">
        <f>IFERROR(__xludf.DUMMYFUNCTION("""COMPUTED_VALUE"""),26.0)</f>
        <v>26</v>
      </c>
      <c r="I38" s="16">
        <f>IFERROR(__xludf.DUMMYFUNCTION("""COMPUTED_VALUE"""),0.0)</f>
        <v>0</v>
      </c>
      <c r="J38" s="16">
        <f>IFERROR(__xludf.DUMMYFUNCTION("""COMPUTED_VALUE"""),0.0)</f>
        <v>0</v>
      </c>
      <c r="K38" s="16">
        <f>IFERROR(__xludf.DUMMYFUNCTION("""COMPUTED_VALUE"""),0.0)</f>
        <v>0</v>
      </c>
      <c r="L38" s="16">
        <f>IFERROR(__xludf.DUMMYFUNCTION("""COMPUTED_VALUE"""),0.0)</f>
        <v>0</v>
      </c>
      <c r="M38" s="16">
        <f>IFERROR(__xludf.DUMMYFUNCTION("""COMPUTED_VALUE"""),0.0)</f>
        <v>0</v>
      </c>
      <c r="N38" s="16">
        <f>IFERROR(__xludf.DUMMYFUNCTION("""COMPUTED_VALUE"""),0.0)</f>
        <v>0</v>
      </c>
      <c r="O38" s="16">
        <f>IFERROR(__xludf.DUMMYFUNCTION("""COMPUTED_VALUE"""),3.0)</f>
        <v>3</v>
      </c>
      <c r="P38" s="16">
        <f>IFERROR(__xludf.DUMMYFUNCTION("""COMPUTED_VALUE"""),3.0)</f>
        <v>3</v>
      </c>
      <c r="Q38" s="16">
        <f>IFERROR(__xludf.DUMMYFUNCTION("""COMPUTED_VALUE"""),3.0)</f>
        <v>3</v>
      </c>
      <c r="R38" s="16">
        <f>IFERROR(__xludf.DUMMYFUNCTION("""COMPUTED_VALUE"""),3.0)</f>
        <v>3</v>
      </c>
      <c r="S38" s="16">
        <f>IFERROR(__xludf.DUMMYFUNCTION("""COMPUTED_VALUE"""),7.9)</f>
        <v>7.9</v>
      </c>
      <c r="T38" s="16">
        <f>IFERROR(__xludf.DUMMYFUNCTION("""COMPUTED_VALUE"""),7.3)</f>
        <v>7.3</v>
      </c>
      <c r="U38" s="16">
        <f>IFERROR(__xludf.DUMMYFUNCTION("""COMPUTED_VALUE"""),1.0)</f>
        <v>1</v>
      </c>
      <c r="V38" s="16">
        <f>IFERROR(__xludf.DUMMYFUNCTION("""COMPUTED_VALUE"""),2.0)</f>
        <v>2</v>
      </c>
      <c r="W38" s="16">
        <f>IFERROR(__xludf.DUMMYFUNCTION("""COMPUTED_VALUE"""),2.0)</f>
        <v>2</v>
      </c>
      <c r="X38" s="16">
        <f>IFERROR(__xludf.DUMMYFUNCTION("""COMPUTED_VALUE"""),4.0)</f>
        <v>4</v>
      </c>
      <c r="Y38" s="16">
        <f>IFERROR(__xludf.DUMMYFUNCTION("""COMPUTED_VALUE"""),7.9)</f>
        <v>7.9</v>
      </c>
      <c r="Z38" s="16">
        <f>IFERROR(__xludf.DUMMYFUNCTION("""COMPUTED_VALUE"""),7.3)</f>
        <v>7.3</v>
      </c>
      <c r="AA38" s="16">
        <f>IFERROR(__xludf.DUMMYFUNCTION("""COMPUTED_VALUE"""),2.0)</f>
        <v>2</v>
      </c>
      <c r="AB38" s="16">
        <f>IFERROR(__xludf.DUMMYFUNCTION("""COMPUTED_VALUE"""),2.0)</f>
        <v>2</v>
      </c>
      <c r="AC38" s="16">
        <f>IFERROR(__xludf.DUMMYFUNCTION("""COMPUTED_VALUE"""),10.0)</f>
        <v>10</v>
      </c>
      <c r="AD38" s="16">
        <f>IFERROR(__xludf.DUMMYFUNCTION("""COMPUTED_VALUE"""),10.0)</f>
        <v>10</v>
      </c>
      <c r="AE38" s="16">
        <f>IFERROR(__xludf.DUMMYFUNCTION("""COMPUTED_VALUE"""),12.7)</f>
        <v>12.7</v>
      </c>
      <c r="AF38" s="16">
        <f>IFERROR(__xludf.DUMMYFUNCTION("""COMPUTED_VALUE"""),19.8)</f>
        <v>19.8</v>
      </c>
      <c r="AG38" s="16">
        <f>IFERROR(__xludf.DUMMYFUNCTION("""COMPUTED_VALUE"""),2.0)</f>
        <v>2</v>
      </c>
      <c r="AH38" s="16">
        <f>IFERROR(__xludf.DUMMYFUNCTION("""COMPUTED_VALUE"""),1.0)</f>
        <v>1</v>
      </c>
      <c r="AI38" s="16">
        <f>IFERROR(__xludf.DUMMYFUNCTION("""COMPUTED_VALUE"""),4.0)</f>
        <v>4</v>
      </c>
      <c r="AJ38" s="16">
        <f>IFERROR(__xludf.DUMMYFUNCTION("""COMPUTED_VALUE"""),2.0)</f>
        <v>2</v>
      </c>
      <c r="AK38" s="16">
        <f>IFERROR(__xludf.DUMMYFUNCTION("""COMPUTED_VALUE"""),6.300000000000001)</f>
        <v>6.3</v>
      </c>
      <c r="AL38" s="16">
        <f>IFERROR(__xludf.DUMMYFUNCTION("""COMPUTED_VALUE"""),6.3)</f>
        <v>6.3</v>
      </c>
      <c r="AM38" s="16">
        <f>IFERROR(__xludf.DUMMYFUNCTION("""COMPUTED_VALUE"""),1.0)</f>
        <v>1</v>
      </c>
      <c r="AN38" s="16">
        <f>IFERROR(__xludf.DUMMYFUNCTION("""COMPUTED_VALUE"""),1.0)</f>
        <v>1</v>
      </c>
      <c r="AO38" s="16">
        <f>IFERROR(__xludf.DUMMYFUNCTION("""COMPUTED_VALUE"""),1.0)</f>
        <v>1</v>
      </c>
      <c r="AP38" s="16">
        <f>IFERROR(__xludf.DUMMYFUNCTION("""COMPUTED_VALUE"""),1.0)</f>
        <v>1</v>
      </c>
      <c r="AQ38" s="16">
        <f>IFERROR(__xludf.DUMMYFUNCTION("""COMPUTED_VALUE"""),6.299999999999999)</f>
        <v>6.3</v>
      </c>
      <c r="AR38" s="16">
        <f>IFERROR(__xludf.DUMMYFUNCTION("""COMPUTED_VALUE"""),15.8)</f>
        <v>15.8</v>
      </c>
      <c r="AS38" s="16">
        <f>IFERROR(__xludf.DUMMYFUNCTION("""COMPUTED_VALUE"""),2.0)</f>
        <v>2</v>
      </c>
      <c r="AT38" s="16">
        <f>IFERROR(__xludf.DUMMYFUNCTION("""COMPUTED_VALUE"""),1.0)</f>
        <v>1</v>
      </c>
      <c r="AU38" s="16">
        <f>IFERROR(__xludf.DUMMYFUNCTION("""COMPUTED_VALUE"""),4.0)</f>
        <v>4</v>
      </c>
      <c r="AV38" s="16">
        <f>IFERROR(__xludf.DUMMYFUNCTION("""COMPUTED_VALUE"""),2.0)</f>
        <v>2</v>
      </c>
      <c r="AW38" s="16">
        <f>IFERROR(__xludf.DUMMYFUNCTION("""COMPUTED_VALUE"""),1.6)</f>
        <v>1.6</v>
      </c>
      <c r="AX38" s="16">
        <f>IFERROR(__xludf.DUMMYFUNCTION("""COMPUTED_VALUE"""),1.0)</f>
        <v>1</v>
      </c>
      <c r="AY38" s="16">
        <f>IFERROR(__xludf.DUMMYFUNCTION("""COMPUTED_VALUE"""),1.0)</f>
        <v>1</v>
      </c>
      <c r="AZ38" s="16">
        <f>IFERROR(__xludf.DUMMYFUNCTION("""COMPUTED_VALUE"""),1.0)</f>
        <v>1</v>
      </c>
      <c r="BA38" s="16">
        <f>IFERROR(__xludf.DUMMYFUNCTION("""COMPUTED_VALUE"""),5.0)</f>
        <v>5</v>
      </c>
      <c r="BB38" s="16">
        <f>IFERROR(__xludf.DUMMYFUNCTION("""COMPUTED_VALUE"""),5.0)</f>
        <v>5</v>
      </c>
      <c r="BC38" s="16">
        <f>IFERROR(__xludf.DUMMYFUNCTION("""COMPUTED_VALUE"""),2.0)</f>
        <v>2</v>
      </c>
      <c r="BD38" s="16">
        <f>IFERROR(__xludf.DUMMYFUNCTION("""COMPUTED_VALUE"""),0.0)</f>
        <v>0</v>
      </c>
      <c r="BE38" s="16">
        <f>IFERROR(__xludf.DUMMYFUNCTION("""COMPUTED_VALUE"""),2.0)</f>
        <v>2</v>
      </c>
      <c r="BF38" s="16">
        <f>IFERROR(__xludf.DUMMYFUNCTION("""COMPUTED_VALUE"""),0.0)</f>
        <v>0</v>
      </c>
      <c r="BG38" s="16">
        <f>IFERROR(__xludf.DUMMYFUNCTION("""COMPUTED_VALUE"""),1.0)</f>
        <v>1</v>
      </c>
      <c r="BH38" s="16">
        <f>IFERROR(__xludf.DUMMYFUNCTION("""COMPUTED_VALUE"""),2.0)</f>
        <v>2</v>
      </c>
      <c r="BI38" s="16">
        <f>IFERROR(__xludf.DUMMYFUNCTION("""COMPUTED_VALUE"""),2.0)</f>
        <v>2</v>
      </c>
      <c r="BJ38" s="16">
        <f>IFERROR(__xludf.DUMMYFUNCTION("""COMPUTED_VALUE"""),4.0)</f>
        <v>4</v>
      </c>
      <c r="BK38" s="16">
        <f>IFERROR(__xludf.DUMMYFUNCTION("""COMPUTED_VALUE"""),5.0)</f>
        <v>5</v>
      </c>
      <c r="BL38" s="16">
        <f>IFERROR(__xludf.DUMMYFUNCTION("""COMPUTED_VALUE"""),5.0)</f>
        <v>5</v>
      </c>
      <c r="BM38" s="16">
        <f>IFERROR(__xludf.DUMMYFUNCTION("""COMPUTED_VALUE"""),0.0)</f>
        <v>0</v>
      </c>
      <c r="BN38" s="16">
        <f>IFERROR(__xludf.DUMMYFUNCTION("""COMPUTED_VALUE"""),0.0)</f>
        <v>0</v>
      </c>
      <c r="BO38" s="16">
        <f>IFERROR(__xludf.DUMMYFUNCTION("""COMPUTED_VALUE"""),0.0)</f>
        <v>0</v>
      </c>
      <c r="BP38" s="16">
        <f>IFERROR(__xludf.DUMMYFUNCTION("""COMPUTED_VALUE"""),0.0)</f>
        <v>0</v>
      </c>
      <c r="BQ38" s="16">
        <f>IFERROR(__xludf.DUMMYFUNCTION("""COMPUTED_VALUE"""),3.0)</f>
        <v>3</v>
      </c>
      <c r="BR38" s="16">
        <f>IFERROR(__xludf.DUMMYFUNCTION("""COMPUTED_VALUE"""),3.0)</f>
        <v>3</v>
      </c>
      <c r="BS38" s="16">
        <f>IFERROR(__xludf.DUMMYFUNCTION("""COMPUTED_VALUE"""),-1.0)</f>
        <v>-1</v>
      </c>
      <c r="BT38" s="16">
        <f>IFERROR(__xludf.DUMMYFUNCTION("""COMPUTED_VALUE"""),-1.0)</f>
        <v>-1</v>
      </c>
      <c r="BU38" s="16">
        <f>IFERROR(__xludf.DUMMYFUNCTION("""COMPUTED_VALUE"""),-2.0)</f>
        <v>-2</v>
      </c>
      <c r="BV38" s="16">
        <f>IFERROR(__xludf.DUMMYFUNCTION("""COMPUTED_VALUE"""),-2.0)</f>
        <v>-2</v>
      </c>
      <c r="BW38" s="16">
        <f>IFERROR(__xludf.DUMMYFUNCTION("""COMPUTED_VALUE"""),-1.0)</f>
        <v>-1</v>
      </c>
      <c r="BX38" s="16">
        <f>IFERROR(__xludf.DUMMYFUNCTION("""COMPUTED_VALUE"""),-1.0)</f>
        <v>-1</v>
      </c>
      <c r="BY38" s="16" t="str">
        <f>IFERROR(__xludf.DUMMYFUNCTION("""COMPUTED_VALUE"""),"R(1) C(5)")</f>
        <v>R(1) C(5)</v>
      </c>
      <c r="BZ38" s="16" t="str">
        <f>IFERROR(__xludf.DUMMYFUNCTION("""COMPUTED_VALUE"""),"R(1) C(5)")</f>
        <v>R(1) C(5)</v>
      </c>
      <c r="CA38" s="16" t="str">
        <f>IFERROR(__xludf.DUMMYFUNCTION("""COMPUTED_VALUE"""),"R(1)")</f>
        <v>R(1)</v>
      </c>
      <c r="CB38" s="16" t="str">
        <f>IFERROR(__xludf.DUMMYFUNCTION("""COMPUTED_VALUE"""),"C(5)")</f>
        <v>C(5)</v>
      </c>
      <c r="CC38" s="16"/>
      <c r="CD38" s="16"/>
      <c r="CE38" s="16">
        <f>IFERROR(__xludf.DUMMYFUNCTION("""COMPUTED_VALUE"""),1.0)</f>
        <v>1</v>
      </c>
      <c r="CF38" s="16">
        <f>IFERROR(__xludf.DUMMYFUNCTION("""COMPUTED_VALUE"""),5.0)</f>
        <v>5</v>
      </c>
      <c r="CG38" s="16" t="str">
        <f>IFERROR(__xludf.DUMMYFUNCTION("""COMPUTED_VALUE"""),"3-26")</f>
        <v>3-26</v>
      </c>
      <c r="CH38" s="16">
        <f>IFERROR(__xludf.DUMMYFUNCTION("""COMPUTED_VALUE"""),3.0)</f>
        <v>3</v>
      </c>
      <c r="CI38" s="16">
        <f>IFERROR(__xludf.DUMMYFUNCTION("""COMPUTED_VALUE"""),26.0)</f>
        <v>26</v>
      </c>
      <c r="CJ38" s="16">
        <f>IFERROR(__xludf.DUMMYFUNCTION("""COMPUTED_VALUE"""),0.0)</f>
        <v>0</v>
      </c>
      <c r="CK38" s="16">
        <f>IFERROR(__xludf.DUMMYFUNCTION("""COMPUTED_VALUE"""),13.0)</f>
        <v>13</v>
      </c>
      <c r="CL38" s="16" t="str">
        <f>IFERROR(__xludf.DUMMYFUNCTION("""COMPUTED_VALUE"""),"1WR-C")</f>
        <v>1WR-C</v>
      </c>
      <c r="CM38" s="16" t="str">
        <f>IFERROR(__xludf.DUMMYFUNCTION("""COMPUTED_VALUE"""),"E")</f>
        <v>E</v>
      </c>
      <c r="CN38" s="16">
        <f>IFERROR(__xludf.DUMMYFUNCTION("""COMPUTED_VALUE"""),10.0)</f>
        <v>10</v>
      </c>
      <c r="CO38" s="16" t="str">
        <f>IFERROR(__xludf.DUMMYFUNCTION("""COMPUTED_VALUE"""),"C")</f>
        <v>C</v>
      </c>
      <c r="CP38" s="16" t="str">
        <f>IFERROR(__xludf.DUMMYFUNCTION("""COMPUTED_VALUE"""),"1p50")</f>
        <v>1p50</v>
      </c>
      <c r="CQ38" s="16">
        <f>IFERROR(__xludf.DUMMYFUNCTION("""COMPUTED_VALUE"""),29.0)</f>
        <v>29</v>
      </c>
      <c r="CR38" s="16">
        <f>IFERROR(__xludf.DUMMYFUNCTION("""COMPUTED_VALUE"""),29.0)</f>
        <v>29</v>
      </c>
      <c r="CS38" s="16">
        <f>IFERROR(__xludf.DUMMYFUNCTION("""COMPUTED_VALUE"""),58.0)</f>
        <v>58</v>
      </c>
      <c r="CT38" s="16">
        <f>IFERROR(__xludf.DUMMYFUNCTION("""COMPUTED_VALUE"""),29.0)</f>
        <v>29</v>
      </c>
      <c r="CU38" s="16">
        <f>IFERROR(__xludf.DUMMYFUNCTION("""COMPUTED_VALUE"""),29.0)</f>
        <v>29</v>
      </c>
      <c r="CV38" s="179">
        <f>IFERROR(__xludf.DUMMYFUNCTION("""COMPUTED_VALUE"""),33.0)</f>
        <v>33</v>
      </c>
      <c r="CW38" s="179">
        <f>IFERROR(__xludf.DUMMYFUNCTION("""COMPUTED_VALUE"""),4.0)</f>
        <v>4</v>
      </c>
      <c r="CX38" s="179">
        <f>IFERROR(__xludf.DUMMYFUNCTION("""COMPUTED_VALUE"""),0.0)</f>
        <v>0</v>
      </c>
      <c r="CY38" s="16" t="str">
        <f>IFERROR(__xludf.DUMMYFUNCTION("""COMPUTED_VALUE"""),"RP")</f>
        <v>RP</v>
      </c>
      <c r="CZ38" s="16" t="str">
        <f>IFERROR(__xludf.DUMMYFUNCTION("""COMPUTED_VALUE"""),"CP")</f>
        <v>CP</v>
      </c>
      <c r="DA38" s="16"/>
      <c r="DB38" s="16"/>
      <c r="DC38" s="16"/>
      <c r="DD38" s="16"/>
      <c r="DE38" s="16"/>
      <c r="DF38" s="16"/>
      <c r="DG38" s="16"/>
      <c r="DH38" s="16"/>
      <c r="DI38" s="16"/>
      <c r="DJ38" s="16"/>
      <c r="DK38" s="16"/>
    </row>
    <row r="39">
      <c r="A39" s="16">
        <f>IFERROR(__xludf.DUMMYFUNCTION("""COMPUTED_VALUE"""),13077.0)</f>
        <v>13077</v>
      </c>
      <c r="B39" s="16" t="str">
        <f>IFERROR(__xludf.DUMMYFUNCTION("""COMPUTED_VALUE"""),"Kevin Kelly")</f>
        <v>Kevin Kelly</v>
      </c>
      <c r="C39" s="153">
        <f>IFERROR(__xludf.DUMMYFUNCTION("""COMPUTED_VALUE"""),1.15)</f>
        <v>1.15</v>
      </c>
      <c r="D39" s="16"/>
      <c r="E39" s="16" t="str">
        <f>IFERROR(__xludf.DUMMYFUNCTION("""COMPUTED_VALUE"""),"R")</f>
        <v>R</v>
      </c>
      <c r="F39" s="16">
        <f>IFERROR(__xludf.DUMMYFUNCTION("""COMPUTED_VALUE"""),71.0)</f>
        <v>71</v>
      </c>
      <c r="G39" s="16">
        <f>IFERROR(__xludf.DUMMYFUNCTION("""COMPUTED_VALUE"""),19.0)</f>
        <v>19</v>
      </c>
      <c r="H39" s="16">
        <f>IFERROR(__xludf.DUMMYFUNCTION("""COMPUTED_VALUE"""),29.0)</f>
        <v>29</v>
      </c>
      <c r="I39" s="16">
        <f>IFERROR(__xludf.DUMMYFUNCTION("""COMPUTED_VALUE"""),-1.0)</f>
        <v>-1</v>
      </c>
      <c r="J39" s="16">
        <f>IFERROR(__xludf.DUMMYFUNCTION("""COMPUTED_VALUE"""),0.0)</f>
        <v>0</v>
      </c>
      <c r="K39" s="16">
        <f>IFERROR(__xludf.DUMMYFUNCTION("""COMPUTED_VALUE"""),-3.0)</f>
        <v>-3</v>
      </c>
      <c r="L39" s="16">
        <f>IFERROR(__xludf.DUMMYFUNCTION("""COMPUTED_VALUE"""),0.0)</f>
        <v>0</v>
      </c>
      <c r="M39" s="16">
        <f>IFERROR(__xludf.DUMMYFUNCTION("""COMPUTED_VALUE"""),0.0)</f>
        <v>0</v>
      </c>
      <c r="N39" s="16">
        <f>IFERROR(__xludf.DUMMYFUNCTION("""COMPUTED_VALUE"""),0.0)</f>
        <v>0</v>
      </c>
      <c r="O39" s="16">
        <f>IFERROR(__xludf.DUMMYFUNCTION("""COMPUTED_VALUE"""),3.0)</f>
        <v>3</v>
      </c>
      <c r="P39" s="16">
        <f>IFERROR(__xludf.DUMMYFUNCTION("""COMPUTED_VALUE"""),3.0)</f>
        <v>3</v>
      </c>
      <c r="Q39" s="16">
        <f>IFERROR(__xludf.DUMMYFUNCTION("""COMPUTED_VALUE"""),3.0)</f>
        <v>3</v>
      </c>
      <c r="R39" s="16">
        <f>IFERROR(__xludf.DUMMYFUNCTION("""COMPUTED_VALUE"""),3.0)</f>
        <v>3</v>
      </c>
      <c r="S39" s="16">
        <f>IFERROR(__xludf.DUMMYFUNCTION("""COMPUTED_VALUE"""),13.4)</f>
        <v>13.4</v>
      </c>
      <c r="T39" s="16">
        <f>IFERROR(__xludf.DUMMYFUNCTION("""COMPUTED_VALUE"""),16.1)</f>
        <v>16.1</v>
      </c>
      <c r="U39" s="16">
        <f>IFERROR(__xludf.DUMMYFUNCTION("""COMPUTED_VALUE"""),0.0)</f>
        <v>0</v>
      </c>
      <c r="V39" s="16">
        <f>IFERROR(__xludf.DUMMYFUNCTION("""COMPUTED_VALUE"""),0.0)</f>
        <v>0</v>
      </c>
      <c r="W39" s="16">
        <f>IFERROR(__xludf.DUMMYFUNCTION("""COMPUTED_VALUE"""),0.0)</f>
        <v>0</v>
      </c>
      <c r="X39" s="16">
        <f>IFERROR(__xludf.DUMMYFUNCTION("""COMPUTED_VALUE"""),0.0)</f>
        <v>0</v>
      </c>
      <c r="Y39" s="16">
        <f>IFERROR(__xludf.DUMMYFUNCTION("""COMPUTED_VALUE"""),13.4)</f>
        <v>13.4</v>
      </c>
      <c r="Z39" s="16">
        <f>IFERROR(__xludf.DUMMYFUNCTION("""COMPUTED_VALUE"""),16.1)</f>
        <v>16.1</v>
      </c>
      <c r="AA39" s="16">
        <f>IFERROR(__xludf.DUMMYFUNCTION("""COMPUTED_VALUE"""),2.0)</f>
        <v>2</v>
      </c>
      <c r="AB39" s="16">
        <f>IFERROR(__xludf.DUMMYFUNCTION("""COMPUTED_VALUE"""),2.0)</f>
        <v>2</v>
      </c>
      <c r="AC39" s="16">
        <f>IFERROR(__xludf.DUMMYFUNCTION("""COMPUTED_VALUE"""),10.0)</f>
        <v>10</v>
      </c>
      <c r="AD39" s="16">
        <f>IFERROR(__xludf.DUMMYFUNCTION("""COMPUTED_VALUE"""),10.0)</f>
        <v>10</v>
      </c>
      <c r="AE39" s="16">
        <f>IFERROR(__xludf.DUMMYFUNCTION("""COMPUTED_VALUE"""),21.0)</f>
        <v>21</v>
      </c>
      <c r="AF39" s="16">
        <f>IFERROR(__xludf.DUMMYFUNCTION("""COMPUTED_VALUE"""),21.8)</f>
        <v>21.8</v>
      </c>
      <c r="AG39" s="16">
        <f>IFERROR(__xludf.DUMMYFUNCTION("""COMPUTED_VALUE"""),1.0)</f>
        <v>1</v>
      </c>
      <c r="AH39" s="16">
        <f>IFERROR(__xludf.DUMMYFUNCTION("""COMPUTED_VALUE"""),1.0)</f>
        <v>1</v>
      </c>
      <c r="AI39" s="16">
        <f>IFERROR(__xludf.DUMMYFUNCTION("""COMPUTED_VALUE"""),2.0)</f>
        <v>2</v>
      </c>
      <c r="AJ39" s="16">
        <f>IFERROR(__xludf.DUMMYFUNCTION("""COMPUTED_VALUE"""),2.0)</f>
        <v>2</v>
      </c>
      <c r="AK39" s="16">
        <f>IFERROR(__xludf.DUMMYFUNCTION("""COMPUTED_VALUE"""),12.0)</f>
        <v>12</v>
      </c>
      <c r="AL39" s="16">
        <f>IFERROR(__xludf.DUMMYFUNCTION("""COMPUTED_VALUE"""),15.3)</f>
        <v>15.3</v>
      </c>
      <c r="AM39" s="16">
        <f>IFERROR(__xludf.DUMMYFUNCTION("""COMPUTED_VALUE"""),0.0)</f>
        <v>0</v>
      </c>
      <c r="AN39" s="16">
        <f>IFERROR(__xludf.DUMMYFUNCTION("""COMPUTED_VALUE"""),0.0)</f>
        <v>0</v>
      </c>
      <c r="AO39" s="16">
        <f>IFERROR(__xludf.DUMMYFUNCTION("""COMPUTED_VALUE"""),0.0)</f>
        <v>0</v>
      </c>
      <c r="AP39" s="16">
        <f>IFERROR(__xludf.DUMMYFUNCTION("""COMPUTED_VALUE"""),0.0)</f>
        <v>0</v>
      </c>
      <c r="AQ39" s="16">
        <f>IFERROR(__xludf.DUMMYFUNCTION("""COMPUTED_VALUE"""),15.4)</f>
        <v>15.4</v>
      </c>
      <c r="AR39" s="16">
        <f>IFERROR(__xludf.DUMMYFUNCTION("""COMPUTED_VALUE"""),18.6)</f>
        <v>18.6</v>
      </c>
      <c r="AS39" s="16">
        <f>IFERROR(__xludf.DUMMYFUNCTION("""COMPUTED_VALUE"""),0.0)</f>
        <v>0</v>
      </c>
      <c r="AT39" s="16">
        <f>IFERROR(__xludf.DUMMYFUNCTION("""COMPUTED_VALUE"""),0.0)</f>
        <v>0</v>
      </c>
      <c r="AU39" s="16">
        <f>IFERROR(__xludf.DUMMYFUNCTION("""COMPUTED_VALUE"""),0.0)</f>
        <v>0</v>
      </c>
      <c r="AV39" s="16">
        <f>IFERROR(__xludf.DUMMYFUNCTION("""COMPUTED_VALUE"""),0.0)</f>
        <v>0</v>
      </c>
      <c r="AW39" s="16">
        <f>IFERROR(__xludf.DUMMYFUNCTION("""COMPUTED_VALUE"""),1.4)</f>
        <v>1.4</v>
      </c>
      <c r="AX39" s="16">
        <f>IFERROR(__xludf.DUMMYFUNCTION("""COMPUTED_VALUE"""),0.8)</f>
        <v>0.8</v>
      </c>
      <c r="AY39" s="16">
        <f>IFERROR(__xludf.DUMMYFUNCTION("""COMPUTED_VALUE"""),1.0)</f>
        <v>1</v>
      </c>
      <c r="AZ39" s="16">
        <f>IFERROR(__xludf.DUMMYFUNCTION("""COMPUTED_VALUE"""),1.0)</f>
        <v>1</v>
      </c>
      <c r="BA39" s="16">
        <f>IFERROR(__xludf.DUMMYFUNCTION("""COMPUTED_VALUE"""),5.0)</f>
        <v>5</v>
      </c>
      <c r="BB39" s="16">
        <f>IFERROR(__xludf.DUMMYFUNCTION("""COMPUTED_VALUE"""),5.0)</f>
        <v>5</v>
      </c>
      <c r="BC39" s="16">
        <f>IFERROR(__xludf.DUMMYFUNCTION("""COMPUTED_VALUE"""),1.0)</f>
        <v>1</v>
      </c>
      <c r="BD39" s="16">
        <f>IFERROR(__xludf.DUMMYFUNCTION("""COMPUTED_VALUE"""),1.0)</f>
        <v>1</v>
      </c>
      <c r="BE39" s="16">
        <f>IFERROR(__xludf.DUMMYFUNCTION("""COMPUTED_VALUE"""),1.0)</f>
        <v>1</v>
      </c>
      <c r="BF39" s="16">
        <f>IFERROR(__xludf.DUMMYFUNCTION("""COMPUTED_VALUE"""),1.0)</f>
        <v>1</v>
      </c>
      <c r="BG39" s="16">
        <f>IFERROR(__xludf.DUMMYFUNCTION("""COMPUTED_VALUE"""),2.0)</f>
        <v>2</v>
      </c>
      <c r="BH39" s="16">
        <f>IFERROR(__xludf.DUMMYFUNCTION("""COMPUTED_VALUE"""),2.0)</f>
        <v>2</v>
      </c>
      <c r="BI39" s="16">
        <f>IFERROR(__xludf.DUMMYFUNCTION("""COMPUTED_VALUE"""),4.0)</f>
        <v>4</v>
      </c>
      <c r="BJ39" s="16">
        <f>IFERROR(__xludf.DUMMYFUNCTION("""COMPUTED_VALUE"""),4.0)</f>
        <v>4</v>
      </c>
      <c r="BK39" s="16">
        <f>IFERROR(__xludf.DUMMYFUNCTION("""COMPUTED_VALUE"""),5.0)</f>
        <v>5</v>
      </c>
      <c r="BL39" s="16">
        <f>IFERROR(__xludf.DUMMYFUNCTION("""COMPUTED_VALUE"""),5.0)</f>
        <v>5</v>
      </c>
      <c r="BM39" s="16">
        <f>IFERROR(__xludf.DUMMYFUNCTION("""COMPUTED_VALUE"""),0.0)</f>
        <v>0</v>
      </c>
      <c r="BN39" s="16">
        <f>IFERROR(__xludf.DUMMYFUNCTION("""COMPUTED_VALUE"""),0.0)</f>
        <v>0</v>
      </c>
      <c r="BO39" s="16">
        <f>IFERROR(__xludf.DUMMYFUNCTION("""COMPUTED_VALUE"""),0.0)</f>
        <v>0</v>
      </c>
      <c r="BP39" s="16">
        <f>IFERROR(__xludf.DUMMYFUNCTION("""COMPUTED_VALUE"""),0.0)</f>
        <v>0</v>
      </c>
      <c r="BQ39" s="16">
        <f>IFERROR(__xludf.DUMMYFUNCTION("""COMPUTED_VALUE"""),9.0)</f>
        <v>9</v>
      </c>
      <c r="BR39" s="16">
        <f>IFERROR(__xludf.DUMMYFUNCTION("""COMPUTED_VALUE"""),9.0)</f>
        <v>9</v>
      </c>
      <c r="BS39" s="16">
        <f>IFERROR(__xludf.DUMMYFUNCTION("""COMPUTED_VALUE"""),3.0)</f>
        <v>3</v>
      </c>
      <c r="BT39" s="16">
        <f>IFERROR(__xludf.DUMMYFUNCTION("""COMPUTED_VALUE"""),3.0)</f>
        <v>3</v>
      </c>
      <c r="BU39" s="16">
        <f>IFERROR(__xludf.DUMMYFUNCTION("""COMPUTED_VALUE"""),6.0)</f>
        <v>6</v>
      </c>
      <c r="BV39" s="16">
        <f>IFERROR(__xludf.DUMMYFUNCTION("""COMPUTED_VALUE"""),6.0)</f>
        <v>6</v>
      </c>
      <c r="BW39" s="16">
        <f>IFERROR(__xludf.DUMMYFUNCTION("""COMPUTED_VALUE"""),0.0)</f>
        <v>0</v>
      </c>
      <c r="BX39" s="16">
        <f>IFERROR(__xludf.DUMMYFUNCTION("""COMPUTED_VALUE"""),0.0)</f>
        <v>0</v>
      </c>
      <c r="BY39" s="16" t="str">
        <f>IFERROR(__xludf.DUMMYFUNCTION("""COMPUTED_VALUE"""),"R(1) C(0)")</f>
        <v>R(1) C(0)</v>
      </c>
      <c r="BZ39" s="16" t="str">
        <f>IFERROR(__xludf.DUMMYFUNCTION("""COMPUTED_VALUE"""),"R(1) C(0)")</f>
        <v>R(1) C(0)</v>
      </c>
      <c r="CA39" s="16" t="str">
        <f>IFERROR(__xludf.DUMMYFUNCTION("""COMPUTED_VALUE"""),"R(1)")</f>
        <v>R(1)</v>
      </c>
      <c r="CB39" s="16" t="str">
        <f>IFERROR(__xludf.DUMMYFUNCTION("""COMPUTED_VALUE"""),"C(0)")</f>
        <v>C(0)</v>
      </c>
      <c r="CC39" s="16"/>
      <c r="CD39" s="16"/>
      <c r="CE39" s="16">
        <f>IFERROR(__xludf.DUMMYFUNCTION("""COMPUTED_VALUE"""),1.0)</f>
        <v>1</v>
      </c>
      <c r="CF39" s="16">
        <f>IFERROR(__xludf.DUMMYFUNCTION("""COMPUTED_VALUE"""),0.0)</f>
        <v>0</v>
      </c>
      <c r="CG39" s="16" t="str">
        <f>IFERROR(__xludf.DUMMYFUNCTION("""COMPUTED_VALUE"""),"3-0")</f>
        <v>3-0</v>
      </c>
      <c r="CH39" s="16">
        <f>IFERROR(__xludf.DUMMYFUNCTION("""COMPUTED_VALUE"""),3.0)</f>
        <v>3</v>
      </c>
      <c r="CI39" s="16">
        <f>IFERROR(__xludf.DUMMYFUNCTION("""COMPUTED_VALUE"""),0.0)</f>
        <v>0</v>
      </c>
      <c r="CJ39" s="16">
        <f>IFERROR(__xludf.DUMMYFUNCTION("""COMPUTED_VALUE"""),0.0)</f>
        <v>0</v>
      </c>
      <c r="CK39" s="16">
        <f>IFERROR(__xludf.DUMMYFUNCTION("""COMPUTED_VALUE"""),2.0)</f>
        <v>2</v>
      </c>
      <c r="CL39" s="16" t="str">
        <f>IFERROR(__xludf.DUMMYFUNCTION("""COMPUTED_VALUE"""),"1WR-C")</f>
        <v>1WR-C</v>
      </c>
      <c r="CM39" s="16" t="str">
        <f>IFERROR(__xludf.DUMMYFUNCTION("""COMPUTED_VALUE"""),"E")</f>
        <v>E</v>
      </c>
      <c r="CN39" s="16">
        <f>IFERROR(__xludf.DUMMYFUNCTION("""COMPUTED_VALUE"""),10.0)</f>
        <v>10</v>
      </c>
      <c r="CO39" s="16" t="str">
        <f>IFERROR(__xludf.DUMMYFUNCTION("""COMPUTED_VALUE"""),"C")</f>
        <v>C</v>
      </c>
      <c r="CP39" s="16" t="str">
        <f>IFERROR(__xludf.DUMMYFUNCTION("""COMPUTED_VALUE"""),"1p60")</f>
        <v>1p60</v>
      </c>
      <c r="CQ39" s="16">
        <f>IFERROR(__xludf.DUMMYFUNCTION("""COMPUTED_VALUE"""),27.0)</f>
        <v>27</v>
      </c>
      <c r="CR39" s="16">
        <f>IFERROR(__xludf.DUMMYFUNCTION("""COMPUTED_VALUE"""),30.0)</f>
        <v>30</v>
      </c>
      <c r="CS39" s="16">
        <f>IFERROR(__xludf.DUMMYFUNCTION("""COMPUTED_VALUE"""),57.0)</f>
        <v>57</v>
      </c>
      <c r="CT39" s="16">
        <f>IFERROR(__xludf.DUMMYFUNCTION("""COMPUTED_VALUE"""),27.0)</f>
        <v>27</v>
      </c>
      <c r="CU39" s="16">
        <f>IFERROR(__xludf.DUMMYFUNCTION("""COMPUTED_VALUE"""),30.0)</f>
        <v>30</v>
      </c>
      <c r="CV39" s="179">
        <f>IFERROR(__xludf.DUMMYFUNCTION("""COMPUTED_VALUE"""),33.0)</f>
        <v>33</v>
      </c>
      <c r="CW39" s="179">
        <f>IFERROR(__xludf.DUMMYFUNCTION("""COMPUTED_VALUE"""),4.0)</f>
        <v>4</v>
      </c>
      <c r="CX39" s="179">
        <f>IFERROR(__xludf.DUMMYFUNCTION("""COMPUTED_VALUE"""),1.0)</f>
        <v>1</v>
      </c>
      <c r="CY39" s="16" t="str">
        <f>IFERROR(__xludf.DUMMYFUNCTION("""COMPUTED_VALUE"""),"RP")</f>
        <v>RP</v>
      </c>
      <c r="CZ39" s="16" t="str">
        <f>IFERROR(__xludf.DUMMYFUNCTION("""COMPUTED_VALUE"""),"CP")</f>
        <v>CP</v>
      </c>
      <c r="DA39" s="16"/>
      <c r="DB39" s="16"/>
      <c r="DC39" s="16"/>
      <c r="DD39" s="16"/>
      <c r="DE39" s="16"/>
      <c r="DF39" s="16"/>
      <c r="DG39" s="16"/>
      <c r="DH39" s="16"/>
      <c r="DI39" s="16"/>
      <c r="DJ39" s="16"/>
      <c r="DK39" s="16"/>
    </row>
    <row r="40">
      <c r="A40" s="16">
        <f>IFERROR(__xludf.DUMMYFUNCTION("""COMPUTED_VALUE"""),12626.0)</f>
        <v>12626</v>
      </c>
      <c r="B40" s="16" t="str">
        <f>IFERROR(__xludf.DUMMYFUNCTION("""COMPUTED_VALUE"""),"Bryan Hudson")</f>
        <v>Bryan Hudson</v>
      </c>
      <c r="C40" s="153">
        <f>IFERROR(__xludf.DUMMYFUNCTION("""COMPUTED_VALUE"""),2.89)</f>
        <v>2.89</v>
      </c>
      <c r="D40" s="16"/>
      <c r="E40" s="16" t="str">
        <f>IFERROR(__xludf.DUMMYFUNCTION("""COMPUTED_VALUE"""),"L")</f>
        <v>L</v>
      </c>
      <c r="F40" s="16">
        <f>IFERROR(__xludf.DUMMYFUNCTION("""COMPUTED_VALUE"""),62.0)</f>
        <v>62</v>
      </c>
      <c r="G40" s="16">
        <f>IFERROR(__xludf.DUMMYFUNCTION("""COMPUTED_VALUE"""),33.0)</f>
        <v>33</v>
      </c>
      <c r="H40" s="16">
        <f>IFERROR(__xludf.DUMMYFUNCTION("""COMPUTED_VALUE"""),35.0)</f>
        <v>35</v>
      </c>
      <c r="I40" s="16">
        <f>IFERROR(__xludf.DUMMYFUNCTION("""COMPUTED_VALUE"""),1.0)</f>
        <v>1</v>
      </c>
      <c r="J40" s="16">
        <f>IFERROR(__xludf.DUMMYFUNCTION("""COMPUTED_VALUE"""),1.0)</f>
        <v>1</v>
      </c>
      <c r="K40" s="16">
        <f>IFERROR(__xludf.DUMMYFUNCTION("""COMPUTED_VALUE"""),3.0)</f>
        <v>3</v>
      </c>
      <c r="L40" s="16">
        <f>IFERROR(__xludf.DUMMYFUNCTION("""COMPUTED_VALUE"""),3.0)</f>
        <v>3</v>
      </c>
      <c r="M40" s="16">
        <f>IFERROR(__xludf.DUMMYFUNCTION("""COMPUTED_VALUE"""),15.0)</f>
        <v>15</v>
      </c>
      <c r="N40" s="16">
        <f>IFERROR(__xludf.DUMMYFUNCTION("""COMPUTED_VALUE"""),4.0)</f>
        <v>4</v>
      </c>
      <c r="O40" s="16">
        <f>IFERROR(__xludf.DUMMYFUNCTION("""COMPUTED_VALUE"""),-2.0)</f>
        <v>-2</v>
      </c>
      <c r="P40" s="16">
        <f>IFERROR(__xludf.DUMMYFUNCTION("""COMPUTED_VALUE"""),2.0)</f>
        <v>2</v>
      </c>
      <c r="Q40" s="16">
        <f>IFERROR(__xludf.DUMMYFUNCTION("""COMPUTED_VALUE"""),-2.0)</f>
        <v>-2</v>
      </c>
      <c r="R40" s="16">
        <f>IFERROR(__xludf.DUMMYFUNCTION("""COMPUTED_VALUE"""),2.0)</f>
        <v>2</v>
      </c>
      <c r="S40" s="16">
        <f>IFERROR(__xludf.DUMMYFUNCTION("""COMPUTED_VALUE"""),0.4)</f>
        <v>0.4</v>
      </c>
      <c r="T40" s="16">
        <f>IFERROR(__xludf.DUMMYFUNCTION("""COMPUTED_VALUE"""),2.8)</f>
        <v>2.8</v>
      </c>
      <c r="U40" s="16">
        <f>IFERROR(__xludf.DUMMYFUNCTION("""COMPUTED_VALUE"""),2.0)</f>
        <v>2</v>
      </c>
      <c r="V40" s="16">
        <f>IFERROR(__xludf.DUMMYFUNCTION("""COMPUTED_VALUE"""),2.0)</f>
        <v>2</v>
      </c>
      <c r="W40" s="16">
        <f>IFERROR(__xludf.DUMMYFUNCTION("""COMPUTED_VALUE"""),4.0)</f>
        <v>4</v>
      </c>
      <c r="X40" s="16">
        <f>IFERROR(__xludf.DUMMYFUNCTION("""COMPUTED_VALUE"""),4.0)</f>
        <v>4</v>
      </c>
      <c r="Y40" s="16">
        <f>IFERROR(__xludf.DUMMYFUNCTION("""COMPUTED_VALUE"""),15.4)</f>
        <v>15.4</v>
      </c>
      <c r="Z40" s="16">
        <f>IFERROR(__xludf.DUMMYFUNCTION("""COMPUTED_VALUE"""),6.8)</f>
        <v>6.8</v>
      </c>
      <c r="AA40" s="16">
        <f>IFERROR(__xludf.DUMMYFUNCTION("""COMPUTED_VALUE"""),1.0)</f>
        <v>1</v>
      </c>
      <c r="AB40" s="16">
        <f>IFERROR(__xludf.DUMMYFUNCTION("""COMPUTED_VALUE"""),3.0)</f>
        <v>3</v>
      </c>
      <c r="AC40" s="16">
        <f>IFERROR(__xludf.DUMMYFUNCTION("""COMPUTED_VALUE"""),5.0)</f>
        <v>5</v>
      </c>
      <c r="AD40" s="16">
        <f>IFERROR(__xludf.DUMMYFUNCTION("""COMPUTED_VALUE"""),15.0)</f>
        <v>15</v>
      </c>
      <c r="AE40" s="16">
        <f>IFERROR(__xludf.DUMMYFUNCTION("""COMPUTED_VALUE"""),1.6)</f>
        <v>1.6</v>
      </c>
      <c r="AF40" s="16">
        <f>IFERROR(__xludf.DUMMYFUNCTION("""COMPUTED_VALUE"""),11.2)</f>
        <v>11.2</v>
      </c>
      <c r="AG40" s="16">
        <f>IFERROR(__xludf.DUMMYFUNCTION("""COMPUTED_VALUE"""),2.0)</f>
        <v>2</v>
      </c>
      <c r="AH40" s="16">
        <f>IFERROR(__xludf.DUMMYFUNCTION("""COMPUTED_VALUE"""),2.0)</f>
        <v>2</v>
      </c>
      <c r="AI40" s="16">
        <f>IFERROR(__xludf.DUMMYFUNCTION("""COMPUTED_VALUE"""),4.0)</f>
        <v>4</v>
      </c>
      <c r="AJ40" s="16">
        <f>IFERROR(__xludf.DUMMYFUNCTION("""COMPUTED_VALUE"""),4.0)</f>
        <v>4</v>
      </c>
      <c r="AK40" s="16">
        <f>IFERROR(__xludf.DUMMYFUNCTION("""COMPUTED_VALUE"""),0.0)</f>
        <v>0</v>
      </c>
      <c r="AL40" s="16">
        <f>IFERROR(__xludf.DUMMYFUNCTION("""COMPUTED_VALUE"""),0.0)</f>
        <v>0</v>
      </c>
      <c r="AM40" s="16">
        <f>IFERROR(__xludf.DUMMYFUNCTION("""COMPUTED_VALUE"""),3.0)</f>
        <v>3</v>
      </c>
      <c r="AN40" s="16">
        <f>IFERROR(__xludf.DUMMYFUNCTION("""COMPUTED_VALUE"""),3.0)</f>
        <v>3</v>
      </c>
      <c r="AO40" s="16">
        <f>IFERROR(__xludf.DUMMYFUNCTION("""COMPUTED_VALUE"""),3.0)</f>
        <v>3</v>
      </c>
      <c r="AP40" s="16">
        <f>IFERROR(__xludf.DUMMYFUNCTION("""COMPUTED_VALUE"""),3.0)</f>
        <v>3</v>
      </c>
      <c r="AQ40" s="16">
        <f>IFERROR(__xludf.DUMMYFUNCTION("""COMPUTED_VALUE"""),0.0)</f>
        <v>0</v>
      </c>
      <c r="AR40" s="16">
        <f>IFERROR(__xludf.DUMMYFUNCTION("""COMPUTED_VALUE"""),0.0)</f>
        <v>0</v>
      </c>
      <c r="AS40" s="16">
        <f>IFERROR(__xludf.DUMMYFUNCTION("""COMPUTED_VALUE"""),3.0)</f>
        <v>3</v>
      </c>
      <c r="AT40" s="16">
        <f>IFERROR(__xludf.DUMMYFUNCTION("""COMPUTED_VALUE"""),3.0)</f>
        <v>3</v>
      </c>
      <c r="AU40" s="16">
        <f>IFERROR(__xludf.DUMMYFUNCTION("""COMPUTED_VALUE"""),6.0)</f>
        <v>6</v>
      </c>
      <c r="AV40" s="16">
        <f>IFERROR(__xludf.DUMMYFUNCTION("""COMPUTED_VALUE"""),6.0)</f>
        <v>6</v>
      </c>
      <c r="AW40" s="16">
        <f>IFERROR(__xludf.DUMMYFUNCTION("""COMPUTED_VALUE"""),0.4)</f>
        <v>0.4</v>
      </c>
      <c r="AX40" s="16">
        <f>IFERROR(__xludf.DUMMYFUNCTION("""COMPUTED_VALUE"""),2.8)</f>
        <v>2.8</v>
      </c>
      <c r="AY40" s="16">
        <f>IFERROR(__xludf.DUMMYFUNCTION("""COMPUTED_VALUE"""),2.0)</f>
        <v>2</v>
      </c>
      <c r="AZ40" s="16">
        <f>IFERROR(__xludf.DUMMYFUNCTION("""COMPUTED_VALUE"""),-1.0)</f>
        <v>-1</v>
      </c>
      <c r="BA40" s="16">
        <f>IFERROR(__xludf.DUMMYFUNCTION("""COMPUTED_VALUE"""),10.0)</f>
        <v>10</v>
      </c>
      <c r="BB40" s="16">
        <f>IFERROR(__xludf.DUMMYFUNCTION("""COMPUTED_VALUE"""),-5.0)</f>
        <v>-5</v>
      </c>
      <c r="BC40" s="16"/>
      <c r="BD40" s="16"/>
      <c r="BE40" s="16">
        <f>IFERROR(__xludf.DUMMYFUNCTION("""COMPUTED_VALUE"""),0.0)</f>
        <v>0</v>
      </c>
      <c r="BF40" s="16">
        <f>IFERROR(__xludf.DUMMYFUNCTION("""COMPUTED_VALUE"""),5.0)</f>
        <v>5</v>
      </c>
      <c r="BG40" s="16">
        <f>IFERROR(__xludf.DUMMYFUNCTION("""COMPUTED_VALUE"""),3.0)</f>
        <v>3</v>
      </c>
      <c r="BH40" s="16">
        <f>IFERROR(__xludf.DUMMYFUNCTION("""COMPUTED_VALUE"""),-2.0)</f>
        <v>-2</v>
      </c>
      <c r="BI40" s="16">
        <f>IFERROR(__xludf.DUMMYFUNCTION("""COMPUTED_VALUE"""),6.0)</f>
        <v>6</v>
      </c>
      <c r="BJ40" s="16">
        <f>IFERROR(__xludf.DUMMYFUNCTION("""COMPUTED_VALUE"""),-4.0)</f>
        <v>-4</v>
      </c>
      <c r="BK40" s="16">
        <f>IFERROR(__xludf.DUMMYFUNCTION("""COMPUTED_VALUE"""),0.0)</f>
        <v>0</v>
      </c>
      <c r="BL40" s="16">
        <f>IFERROR(__xludf.DUMMYFUNCTION("""COMPUTED_VALUE"""),0.0)</f>
        <v>0</v>
      </c>
      <c r="BM40" s="16">
        <f>IFERROR(__xludf.DUMMYFUNCTION("""COMPUTED_VALUE"""),1.0)</f>
        <v>1</v>
      </c>
      <c r="BN40" s="16">
        <f>IFERROR(__xludf.DUMMYFUNCTION("""COMPUTED_VALUE"""),1.0)</f>
        <v>1</v>
      </c>
      <c r="BO40" s="16">
        <f>IFERROR(__xludf.DUMMYFUNCTION("""COMPUTED_VALUE"""),1.0)</f>
        <v>1</v>
      </c>
      <c r="BP40" s="16">
        <f>IFERROR(__xludf.DUMMYFUNCTION("""COMPUTED_VALUE"""),1.0)</f>
        <v>1</v>
      </c>
      <c r="BQ40" s="16">
        <f>IFERROR(__xludf.DUMMYFUNCTION("""COMPUTED_VALUE"""),2.0)</f>
        <v>2</v>
      </c>
      <c r="BR40" s="16">
        <f>IFERROR(__xludf.DUMMYFUNCTION("""COMPUTED_VALUE"""),2.0)</f>
        <v>2</v>
      </c>
      <c r="BS40" s="16">
        <f>IFERROR(__xludf.DUMMYFUNCTION("""COMPUTED_VALUE"""),-2.0)</f>
        <v>-2</v>
      </c>
      <c r="BT40" s="16">
        <f>IFERROR(__xludf.DUMMYFUNCTION("""COMPUTED_VALUE"""),-2.0)</f>
        <v>-2</v>
      </c>
      <c r="BU40" s="16">
        <f>IFERROR(__xludf.DUMMYFUNCTION("""COMPUTED_VALUE"""),-4.0)</f>
        <v>-4</v>
      </c>
      <c r="BV40" s="16">
        <f>IFERROR(__xludf.DUMMYFUNCTION("""COMPUTED_VALUE"""),-4.0)</f>
        <v>-4</v>
      </c>
      <c r="BW40" s="16">
        <f>IFERROR(__xludf.DUMMYFUNCTION("""COMPUTED_VALUE"""),-2.0)</f>
        <v>-2</v>
      </c>
      <c r="BX40" s="16">
        <f>IFERROR(__xludf.DUMMYFUNCTION("""COMPUTED_VALUE"""),-2.0)</f>
        <v>-2</v>
      </c>
      <c r="BY40" s="16" t="str">
        <f>IFERROR(__xludf.DUMMYFUNCTION("""COMPUTED_VALUE"""),"R(2)")</f>
        <v>R(2)</v>
      </c>
      <c r="BZ40" s="16" t="str">
        <f>IFERROR(__xludf.DUMMYFUNCTION("""COMPUTED_VALUE"""),"R(2)")</f>
        <v>R(2)</v>
      </c>
      <c r="CA40" s="16" t="str">
        <f>IFERROR(__xludf.DUMMYFUNCTION("""COMPUTED_VALUE"""),"R(2)")</f>
        <v>R(2)</v>
      </c>
      <c r="CB40" s="16"/>
      <c r="CC40" s="16"/>
      <c r="CD40" s="16"/>
      <c r="CE40" s="16">
        <f>IFERROR(__xludf.DUMMYFUNCTION("""COMPUTED_VALUE"""),2.0)</f>
        <v>2</v>
      </c>
      <c r="CF40" s="16"/>
      <c r="CG40" s="16" t="str">
        <f>IFERROR(__xludf.DUMMYFUNCTION("""COMPUTED_VALUE"""),"2-0")</f>
        <v>2-0</v>
      </c>
      <c r="CH40" s="16">
        <f>IFERROR(__xludf.DUMMYFUNCTION("""COMPUTED_VALUE"""),2.0)</f>
        <v>2</v>
      </c>
      <c r="CI40" s="16">
        <f>IFERROR(__xludf.DUMMYFUNCTION("""COMPUTED_VALUE"""),0.0)</f>
        <v>0</v>
      </c>
      <c r="CJ40" s="16">
        <f>IFERROR(__xludf.DUMMYFUNCTION("""COMPUTED_VALUE"""),7.0)</f>
        <v>7</v>
      </c>
      <c r="CK40" s="16">
        <f>IFERROR(__xludf.DUMMYFUNCTION("""COMPUTED_VALUE"""),3.0)</f>
        <v>3</v>
      </c>
      <c r="CL40" s="16" t="str">
        <f>IFERROR(__xludf.DUMMYFUNCTION("""COMPUTED_VALUE"""),"1WL-C")</f>
        <v>1WL-C</v>
      </c>
      <c r="CM40" s="16" t="str">
        <f>IFERROR(__xludf.DUMMYFUNCTION("""COMPUTED_VALUE"""),"E")</f>
        <v>E</v>
      </c>
      <c r="CN40" s="16">
        <f>IFERROR(__xludf.DUMMYFUNCTION("""COMPUTED_VALUE"""),10.0)</f>
        <v>10</v>
      </c>
      <c r="CO40" s="16" t="str">
        <f>IFERROR(__xludf.DUMMYFUNCTION("""COMPUTED_VALUE"""),"C")</f>
        <v>C</v>
      </c>
      <c r="CP40" s="16" t="str">
        <f>IFERROR(__xludf.DUMMYFUNCTION("""COMPUTED_VALUE"""),"2p40")</f>
        <v>2p40</v>
      </c>
      <c r="CQ40" s="16">
        <f>IFERROR(__xludf.DUMMYFUNCTION("""COMPUTED_VALUE"""),36.0)</f>
        <v>36</v>
      </c>
      <c r="CR40" s="16">
        <f>IFERROR(__xludf.DUMMYFUNCTION("""COMPUTED_VALUE"""),25.0)</f>
        <v>25</v>
      </c>
      <c r="CS40" s="16">
        <f>IFERROR(__xludf.DUMMYFUNCTION("""COMPUTED_VALUE"""),61.0)</f>
        <v>61</v>
      </c>
      <c r="CT40" s="16">
        <f>IFERROR(__xludf.DUMMYFUNCTION("""COMPUTED_VALUE"""),36.0)</f>
        <v>36</v>
      </c>
      <c r="CU40" s="16">
        <f>IFERROR(__xludf.DUMMYFUNCTION("""COMPUTED_VALUE"""),25.0)</f>
        <v>25</v>
      </c>
      <c r="CV40" s="179">
        <f>IFERROR(__xludf.DUMMYFUNCTION("""COMPUTED_VALUE"""),32.66666666666667)</f>
        <v>32.66666667</v>
      </c>
      <c r="CW40" s="179">
        <f>IFERROR(__xludf.DUMMYFUNCTION("""COMPUTED_VALUE"""),3.0)</f>
        <v>3</v>
      </c>
      <c r="CX40" s="179">
        <f>IFERROR(__xludf.DUMMYFUNCTION("""COMPUTED_VALUE"""),1.0)</f>
        <v>1</v>
      </c>
      <c r="CY40" s="16" t="str">
        <f>IFERROR(__xludf.DUMMYFUNCTION("""COMPUTED_VALUE"""),"RP")</f>
        <v>RP</v>
      </c>
      <c r="CZ40" s="16"/>
      <c r="DA40" s="16"/>
      <c r="DB40" s="16"/>
      <c r="DC40" s="16"/>
      <c r="DD40" s="16"/>
      <c r="DE40" s="16"/>
      <c r="DF40" s="16"/>
      <c r="DG40" s="16"/>
      <c r="DH40" s="16"/>
      <c r="DI40" s="16"/>
      <c r="DJ40" s="16"/>
      <c r="DK40" s="16"/>
    </row>
    <row r="41">
      <c r="A41" s="16">
        <f>IFERROR(__xludf.DUMMYFUNCTION("""COMPUTED_VALUE"""),13265.0)</f>
        <v>13265</v>
      </c>
      <c r="B41" s="16" t="str">
        <f>IFERROR(__xludf.DUMMYFUNCTION("""COMPUTED_VALUE"""),"Osvaldo Bido")</f>
        <v>Osvaldo Bido</v>
      </c>
      <c r="C41" s="153">
        <f>IFERROR(__xludf.DUMMYFUNCTION("""COMPUTED_VALUE"""),2.01)</f>
        <v>2.01</v>
      </c>
      <c r="D41" s="16"/>
      <c r="E41" s="16" t="str">
        <f>IFERROR(__xludf.DUMMYFUNCTION("""COMPUTED_VALUE"""),"R")</f>
        <v>R</v>
      </c>
      <c r="F41" s="16">
        <f>IFERROR(__xludf.DUMMYFUNCTION("""COMPUTED_VALUE"""),63.0)</f>
        <v>63</v>
      </c>
      <c r="G41" s="16">
        <f>IFERROR(__xludf.DUMMYFUNCTION("""COMPUTED_VALUE"""),21.0)</f>
        <v>21</v>
      </c>
      <c r="H41" s="16">
        <f>IFERROR(__xludf.DUMMYFUNCTION("""COMPUTED_VALUE"""),38.0)</f>
        <v>38</v>
      </c>
      <c r="I41" s="16">
        <f>IFERROR(__xludf.DUMMYFUNCTION("""COMPUTED_VALUE"""),-1.0)</f>
        <v>-1</v>
      </c>
      <c r="J41" s="16">
        <f>IFERROR(__xludf.DUMMYFUNCTION("""COMPUTED_VALUE"""),1.0)</f>
        <v>1</v>
      </c>
      <c r="K41" s="16">
        <f>IFERROR(__xludf.DUMMYFUNCTION("""COMPUTED_VALUE"""),-3.0)</f>
        <v>-3</v>
      </c>
      <c r="L41" s="16">
        <f>IFERROR(__xludf.DUMMYFUNCTION("""COMPUTED_VALUE"""),3.0)</f>
        <v>3</v>
      </c>
      <c r="M41" s="16">
        <f>IFERROR(__xludf.DUMMYFUNCTION("""COMPUTED_VALUE"""),18.0)</f>
        <v>18</v>
      </c>
      <c r="N41" s="16">
        <f>IFERROR(__xludf.DUMMYFUNCTION("""COMPUTED_VALUE"""),9.0)</f>
        <v>9</v>
      </c>
      <c r="O41" s="16">
        <f>IFERROR(__xludf.DUMMYFUNCTION("""COMPUTED_VALUE"""),-3.0)</f>
        <v>-3</v>
      </c>
      <c r="P41" s="16">
        <f>IFERROR(__xludf.DUMMYFUNCTION("""COMPUTED_VALUE"""),0.0)</f>
        <v>0</v>
      </c>
      <c r="Q41" s="16">
        <f>IFERROR(__xludf.DUMMYFUNCTION("""COMPUTED_VALUE"""),-3.0)</f>
        <v>-3</v>
      </c>
      <c r="R41" s="16">
        <f>IFERROR(__xludf.DUMMYFUNCTION("""COMPUTED_VALUE"""),0.0)</f>
        <v>0</v>
      </c>
      <c r="S41" s="16">
        <f>IFERROR(__xludf.DUMMYFUNCTION("""COMPUTED_VALUE"""),0.0)</f>
        <v>0</v>
      </c>
      <c r="T41" s="16">
        <f>IFERROR(__xludf.DUMMYFUNCTION("""COMPUTED_VALUE"""),12.7)</f>
        <v>12.7</v>
      </c>
      <c r="U41" s="16">
        <f>IFERROR(__xludf.DUMMYFUNCTION("""COMPUTED_VALUE"""),3.0)</f>
        <v>3</v>
      </c>
      <c r="V41" s="16">
        <f>IFERROR(__xludf.DUMMYFUNCTION("""COMPUTED_VALUE"""),1.0)</f>
        <v>1</v>
      </c>
      <c r="W41" s="16">
        <f>IFERROR(__xludf.DUMMYFUNCTION("""COMPUTED_VALUE"""),6.0)</f>
        <v>6</v>
      </c>
      <c r="X41" s="16">
        <f>IFERROR(__xludf.DUMMYFUNCTION("""COMPUTED_VALUE"""),2.0)</f>
        <v>2</v>
      </c>
      <c r="Y41" s="16">
        <f>IFERROR(__xludf.DUMMYFUNCTION("""COMPUTED_VALUE"""),18.0)</f>
        <v>18</v>
      </c>
      <c r="Z41" s="16">
        <f>IFERROR(__xludf.DUMMYFUNCTION("""COMPUTED_VALUE"""),21.7)</f>
        <v>21.7</v>
      </c>
      <c r="AA41" s="16">
        <f>IFERROR(__xludf.DUMMYFUNCTION("""COMPUTED_VALUE"""),1.0)</f>
        <v>1</v>
      </c>
      <c r="AB41" s="16">
        <f>IFERROR(__xludf.DUMMYFUNCTION("""COMPUTED_VALUE"""),1.0)</f>
        <v>1</v>
      </c>
      <c r="AC41" s="16">
        <f>IFERROR(__xludf.DUMMYFUNCTION("""COMPUTED_VALUE"""),5.0)</f>
        <v>5</v>
      </c>
      <c r="AD41" s="16">
        <f>IFERROR(__xludf.DUMMYFUNCTION("""COMPUTED_VALUE"""),5.0)</f>
        <v>5</v>
      </c>
      <c r="AE41" s="16">
        <f>IFERROR(__xludf.DUMMYFUNCTION("""COMPUTED_VALUE"""),0.0)</f>
        <v>0</v>
      </c>
      <c r="AF41" s="16">
        <f>IFERROR(__xludf.DUMMYFUNCTION("""COMPUTED_VALUE"""),25.3)</f>
        <v>25.3</v>
      </c>
      <c r="AG41" s="16">
        <f>IFERROR(__xludf.DUMMYFUNCTION("""COMPUTED_VALUE"""),3.0)</f>
        <v>3</v>
      </c>
      <c r="AH41" s="16">
        <f>IFERROR(__xludf.DUMMYFUNCTION("""COMPUTED_VALUE"""),0.0)</f>
        <v>0</v>
      </c>
      <c r="AI41" s="16">
        <f>IFERROR(__xludf.DUMMYFUNCTION("""COMPUTED_VALUE"""),6.0)</f>
        <v>6</v>
      </c>
      <c r="AJ41" s="16">
        <f>IFERROR(__xludf.DUMMYFUNCTION("""COMPUTED_VALUE"""),0.0)</f>
        <v>0</v>
      </c>
      <c r="AK41" s="16">
        <f>IFERROR(__xludf.DUMMYFUNCTION("""COMPUTED_VALUE"""),0.0)</f>
        <v>0</v>
      </c>
      <c r="AL41" s="16">
        <f>IFERROR(__xludf.DUMMYFUNCTION("""COMPUTED_VALUE"""),12.7)</f>
        <v>12.7</v>
      </c>
      <c r="AM41" s="16">
        <f>IFERROR(__xludf.DUMMYFUNCTION("""COMPUTED_VALUE"""),3.0)</f>
        <v>3</v>
      </c>
      <c r="AN41" s="16">
        <f>IFERROR(__xludf.DUMMYFUNCTION("""COMPUTED_VALUE"""),0.0)</f>
        <v>0</v>
      </c>
      <c r="AO41" s="16">
        <f>IFERROR(__xludf.DUMMYFUNCTION("""COMPUTED_VALUE"""),3.0)</f>
        <v>3</v>
      </c>
      <c r="AP41" s="16">
        <f>IFERROR(__xludf.DUMMYFUNCTION("""COMPUTED_VALUE"""),0.0)</f>
        <v>0</v>
      </c>
      <c r="AQ41" s="16">
        <f>IFERROR(__xludf.DUMMYFUNCTION("""COMPUTED_VALUE"""),0.0)</f>
        <v>0</v>
      </c>
      <c r="AR41" s="16">
        <f>IFERROR(__xludf.DUMMYFUNCTION("""COMPUTED_VALUE"""),25.3)</f>
        <v>25.3</v>
      </c>
      <c r="AS41" s="16">
        <f>IFERROR(__xludf.DUMMYFUNCTION("""COMPUTED_VALUE"""),3.0)</f>
        <v>3</v>
      </c>
      <c r="AT41" s="16">
        <f>IFERROR(__xludf.DUMMYFUNCTION("""COMPUTED_VALUE"""),-1.0)</f>
        <v>-1</v>
      </c>
      <c r="AU41" s="16">
        <f>IFERROR(__xludf.DUMMYFUNCTION("""COMPUTED_VALUE"""),6.0)</f>
        <v>6</v>
      </c>
      <c r="AV41" s="16">
        <f>IFERROR(__xludf.DUMMYFUNCTION("""COMPUTED_VALUE"""),-2.0)</f>
        <v>-2</v>
      </c>
      <c r="AW41" s="16">
        <f>IFERROR(__xludf.DUMMYFUNCTION("""COMPUTED_VALUE"""),0.0)</f>
        <v>0</v>
      </c>
      <c r="AX41" s="16">
        <f>IFERROR(__xludf.DUMMYFUNCTION("""COMPUTED_VALUE"""),0.0)</f>
        <v>0</v>
      </c>
      <c r="AY41" s="16">
        <f>IFERROR(__xludf.DUMMYFUNCTION("""COMPUTED_VALUE"""),2.0)</f>
        <v>2</v>
      </c>
      <c r="AZ41" s="16">
        <f>IFERROR(__xludf.DUMMYFUNCTION("""COMPUTED_VALUE"""),2.0)</f>
        <v>2</v>
      </c>
      <c r="BA41" s="16">
        <f>IFERROR(__xludf.DUMMYFUNCTION("""COMPUTED_VALUE"""),10.0)</f>
        <v>10</v>
      </c>
      <c r="BB41" s="16">
        <f>IFERROR(__xludf.DUMMYFUNCTION("""COMPUTED_VALUE"""),10.0)</f>
        <v>10</v>
      </c>
      <c r="BC41" s="16"/>
      <c r="BD41" s="16"/>
      <c r="BE41" s="16">
        <f>IFERROR(__xludf.DUMMYFUNCTION("""COMPUTED_VALUE"""),0.0)</f>
        <v>0</v>
      </c>
      <c r="BF41" s="16">
        <f>IFERROR(__xludf.DUMMYFUNCTION("""COMPUTED_VALUE"""),0.0)</f>
        <v>0</v>
      </c>
      <c r="BG41" s="16">
        <f>IFERROR(__xludf.DUMMYFUNCTION("""COMPUTED_VALUE"""),3.0)</f>
        <v>3</v>
      </c>
      <c r="BH41" s="16">
        <f>IFERROR(__xludf.DUMMYFUNCTION("""COMPUTED_VALUE"""),2.0)</f>
        <v>2</v>
      </c>
      <c r="BI41" s="16">
        <f>IFERROR(__xludf.DUMMYFUNCTION("""COMPUTED_VALUE"""),6.0)</f>
        <v>6</v>
      </c>
      <c r="BJ41" s="16">
        <f>IFERROR(__xludf.DUMMYFUNCTION("""COMPUTED_VALUE"""),4.0)</f>
        <v>4</v>
      </c>
      <c r="BK41" s="16">
        <f>IFERROR(__xludf.DUMMYFUNCTION("""COMPUTED_VALUE"""),0.0)</f>
        <v>0</v>
      </c>
      <c r="BL41" s="16">
        <f>IFERROR(__xludf.DUMMYFUNCTION("""COMPUTED_VALUE"""),0.0)</f>
        <v>0</v>
      </c>
      <c r="BM41" s="16">
        <f>IFERROR(__xludf.DUMMYFUNCTION("""COMPUTED_VALUE"""),1.0)</f>
        <v>1</v>
      </c>
      <c r="BN41" s="16">
        <f>IFERROR(__xludf.DUMMYFUNCTION("""COMPUTED_VALUE"""),1.0)</f>
        <v>1</v>
      </c>
      <c r="BO41" s="16">
        <f>IFERROR(__xludf.DUMMYFUNCTION("""COMPUTED_VALUE"""),1.0)</f>
        <v>1</v>
      </c>
      <c r="BP41" s="16">
        <f>IFERROR(__xludf.DUMMYFUNCTION("""COMPUTED_VALUE"""),1.0)</f>
        <v>1</v>
      </c>
      <c r="BQ41" s="16">
        <f>IFERROR(__xludf.DUMMYFUNCTION("""COMPUTED_VALUE"""),6.0)</f>
        <v>6</v>
      </c>
      <c r="BR41" s="16">
        <f>IFERROR(__xludf.DUMMYFUNCTION("""COMPUTED_VALUE"""),5.0)</f>
        <v>5</v>
      </c>
      <c r="BS41" s="16">
        <f>IFERROR(__xludf.DUMMYFUNCTION("""COMPUTED_VALUE"""),1.0)</f>
        <v>1</v>
      </c>
      <c r="BT41" s="16">
        <f>IFERROR(__xludf.DUMMYFUNCTION("""COMPUTED_VALUE"""),0.0)</f>
        <v>0</v>
      </c>
      <c r="BU41" s="16">
        <f>IFERROR(__xludf.DUMMYFUNCTION("""COMPUTED_VALUE"""),2.0)</f>
        <v>2</v>
      </c>
      <c r="BV41" s="16">
        <f>IFERROR(__xludf.DUMMYFUNCTION("""COMPUTED_VALUE"""),0.0)</f>
        <v>0</v>
      </c>
      <c r="BW41" s="16">
        <f>IFERROR(__xludf.DUMMYFUNCTION("""COMPUTED_VALUE"""),2.0)</f>
        <v>2</v>
      </c>
      <c r="BX41" s="16">
        <f>IFERROR(__xludf.DUMMYFUNCTION("""COMPUTED_VALUE"""),2.0)</f>
        <v>2</v>
      </c>
      <c r="BY41" s="16" t="str">
        <f>IFERROR(__xludf.DUMMYFUNCTION("""COMPUTED_VALUE"""),"S(5) R(4)")</f>
        <v>S(5) R(4)</v>
      </c>
      <c r="BZ41" s="16" t="str">
        <f>IFERROR(__xludf.DUMMYFUNCTION("""COMPUTED_VALUE"""),"S(5) R(4)")</f>
        <v>S(5) R(4)</v>
      </c>
      <c r="CA41" s="16" t="str">
        <f>IFERROR(__xludf.DUMMYFUNCTION("""COMPUTED_VALUE"""),"S(5)")</f>
        <v>S(5)</v>
      </c>
      <c r="CB41" s="16" t="str">
        <f>IFERROR(__xludf.DUMMYFUNCTION("""COMPUTED_VALUE"""),"R(4)")</f>
        <v>R(4)</v>
      </c>
      <c r="CC41" s="16"/>
      <c r="CD41" s="16">
        <f>IFERROR(__xludf.DUMMYFUNCTION("""COMPUTED_VALUE"""),5.0)</f>
        <v>5</v>
      </c>
      <c r="CE41" s="16">
        <f>IFERROR(__xludf.DUMMYFUNCTION("""COMPUTED_VALUE"""),4.0)</f>
        <v>4</v>
      </c>
      <c r="CF41" s="16"/>
      <c r="CG41" s="16" t="str">
        <f>IFERROR(__xludf.DUMMYFUNCTION("""COMPUTED_VALUE"""),"4-23")</f>
        <v>4-23</v>
      </c>
      <c r="CH41" s="16">
        <f>IFERROR(__xludf.DUMMYFUNCTION("""COMPUTED_VALUE"""),4.0)</f>
        <v>4</v>
      </c>
      <c r="CI41" s="16">
        <f>IFERROR(__xludf.DUMMYFUNCTION("""COMPUTED_VALUE"""),23.0)</f>
        <v>23</v>
      </c>
      <c r="CJ41" s="16">
        <f>IFERROR(__xludf.DUMMYFUNCTION("""COMPUTED_VALUE"""),0.0)</f>
        <v>0</v>
      </c>
      <c r="CK41" s="16">
        <f>IFERROR(__xludf.DUMMYFUNCTION("""COMPUTED_VALUE"""),10.0)</f>
        <v>10</v>
      </c>
      <c r="CL41" s="16" t="str">
        <f>IFERROR(__xludf.DUMMYFUNCTION("""COMPUTED_VALUE"""),"1WR-C")</f>
        <v>1WR-C</v>
      </c>
      <c r="CM41" s="16" t="str">
        <f>IFERROR(__xludf.DUMMYFUNCTION("""COMPUTED_VALUE"""),"E")</f>
        <v>E</v>
      </c>
      <c r="CN41" s="16">
        <f>IFERROR(__xludf.DUMMYFUNCTION("""COMPUTED_VALUE"""),10.0)</f>
        <v>10</v>
      </c>
      <c r="CO41" s="16" t="str">
        <f>IFERROR(__xludf.DUMMYFUNCTION("""COMPUTED_VALUE"""),"C")</f>
        <v>C</v>
      </c>
      <c r="CP41" s="16" t="str">
        <f>IFERROR(__xludf.DUMMYFUNCTION("""COMPUTED_VALUE"""),"2p40")</f>
        <v>2p40</v>
      </c>
      <c r="CQ41" s="16">
        <f>IFERROR(__xludf.DUMMYFUNCTION("""COMPUTED_VALUE"""),39.0)</f>
        <v>39</v>
      </c>
      <c r="CR41" s="16">
        <f>IFERROR(__xludf.DUMMYFUNCTION("""COMPUTED_VALUE"""),23.0)</f>
        <v>23</v>
      </c>
      <c r="CS41" s="16">
        <f>IFERROR(__xludf.DUMMYFUNCTION("""COMPUTED_VALUE"""),62.0)</f>
        <v>62</v>
      </c>
      <c r="CT41" s="16">
        <f>IFERROR(__xludf.DUMMYFUNCTION("""COMPUTED_VALUE"""),39.0)</f>
        <v>39</v>
      </c>
      <c r="CU41" s="16">
        <f>IFERROR(__xludf.DUMMYFUNCTION("""COMPUTED_VALUE"""),23.0)</f>
        <v>23</v>
      </c>
      <c r="CV41" s="179">
        <f>IFERROR(__xludf.DUMMYFUNCTION("""COMPUTED_VALUE"""),32.33333333333333)</f>
        <v>32.33333333</v>
      </c>
      <c r="CW41" s="179">
        <f>IFERROR(__xludf.DUMMYFUNCTION("""COMPUTED_VALUE"""),3.0)</f>
        <v>3</v>
      </c>
      <c r="CX41" s="179">
        <f>IFERROR(__xludf.DUMMYFUNCTION("""COMPUTED_VALUE"""),1.0)</f>
        <v>1</v>
      </c>
      <c r="CY41" s="16" t="str">
        <f>IFERROR(__xludf.DUMMYFUNCTION("""COMPUTED_VALUE"""),"SP")</f>
        <v>SP</v>
      </c>
      <c r="CZ41" s="16" t="str">
        <f>IFERROR(__xludf.DUMMYFUNCTION("""COMPUTED_VALUE"""),"RP")</f>
        <v>RP</v>
      </c>
      <c r="DA41" s="16"/>
      <c r="DB41" s="16"/>
      <c r="DC41" s="16"/>
      <c r="DD41" s="16"/>
      <c r="DE41" s="16"/>
      <c r="DF41" s="16"/>
      <c r="DG41" s="16"/>
      <c r="DH41" s="16"/>
      <c r="DI41" s="16"/>
      <c r="DJ41" s="16"/>
      <c r="DK41" s="16"/>
    </row>
    <row r="42">
      <c r="A42" s="16">
        <f>IFERROR(__xludf.DUMMYFUNCTION("""COMPUTED_VALUE"""),13150.0)</f>
        <v>13150</v>
      </c>
      <c r="B42" s="16" t="str">
        <f>IFERROR(__xludf.DUMMYFUNCTION("""COMPUTED_VALUE"""),"Manuel Rodriguez")</f>
        <v>Manuel Rodriguez</v>
      </c>
      <c r="C42" s="153">
        <f>IFERROR(__xludf.DUMMYFUNCTION("""COMPUTED_VALUE"""),1.4)</f>
        <v>1.4</v>
      </c>
      <c r="D42" s="16"/>
      <c r="E42" s="16" t="str">
        <f>IFERROR(__xludf.DUMMYFUNCTION("""COMPUTED_VALUE"""),"R")</f>
        <v>R</v>
      </c>
      <c r="F42" s="16">
        <f>IFERROR(__xludf.DUMMYFUNCTION("""COMPUTED_VALUE"""),38.0)</f>
        <v>38</v>
      </c>
      <c r="G42" s="16">
        <f>IFERROR(__xludf.DUMMYFUNCTION("""COMPUTED_VALUE"""),14.0)</f>
        <v>14</v>
      </c>
      <c r="H42" s="16">
        <f>IFERROR(__xludf.DUMMYFUNCTION("""COMPUTED_VALUE"""),35.0)</f>
        <v>35</v>
      </c>
      <c r="I42" s="16">
        <f>IFERROR(__xludf.DUMMYFUNCTION("""COMPUTED_VALUE"""),-2.0)</f>
        <v>-2</v>
      </c>
      <c r="J42" s="16">
        <f>IFERROR(__xludf.DUMMYFUNCTION("""COMPUTED_VALUE"""),1.0)</f>
        <v>1</v>
      </c>
      <c r="K42" s="16">
        <f>IFERROR(__xludf.DUMMYFUNCTION("""COMPUTED_VALUE"""),-6.0)</f>
        <v>-6</v>
      </c>
      <c r="L42" s="16">
        <f>IFERROR(__xludf.DUMMYFUNCTION("""COMPUTED_VALUE"""),3.0)</f>
        <v>3</v>
      </c>
      <c r="M42" s="16">
        <f>IFERROR(__xludf.DUMMYFUNCTION("""COMPUTED_VALUE"""),9.0)</f>
        <v>9</v>
      </c>
      <c r="N42" s="16">
        <f>IFERROR(__xludf.DUMMYFUNCTION("""COMPUTED_VALUE"""),3.0)</f>
        <v>3</v>
      </c>
      <c r="O42" s="16">
        <f>IFERROR(__xludf.DUMMYFUNCTION("""COMPUTED_VALUE"""),0.0)</f>
        <v>0</v>
      </c>
      <c r="P42" s="16">
        <f>IFERROR(__xludf.DUMMYFUNCTION("""COMPUTED_VALUE"""),2.0)</f>
        <v>2</v>
      </c>
      <c r="Q42" s="16">
        <f>IFERROR(__xludf.DUMMYFUNCTION("""COMPUTED_VALUE"""),0.0)</f>
        <v>0</v>
      </c>
      <c r="R42" s="16">
        <f>IFERROR(__xludf.DUMMYFUNCTION("""COMPUTED_VALUE"""),2.0)</f>
        <v>2</v>
      </c>
      <c r="S42" s="16">
        <f>IFERROR(__xludf.DUMMYFUNCTION("""COMPUTED_VALUE"""),7.4)</f>
        <v>7.4</v>
      </c>
      <c r="T42" s="16">
        <f>IFERROR(__xludf.DUMMYFUNCTION("""COMPUTED_VALUE"""),6.9)</f>
        <v>6.9</v>
      </c>
      <c r="U42" s="16">
        <f>IFERROR(__xludf.DUMMYFUNCTION("""COMPUTED_VALUE"""),1.0)</f>
        <v>1</v>
      </c>
      <c r="V42" s="16">
        <f>IFERROR(__xludf.DUMMYFUNCTION("""COMPUTED_VALUE"""),2.0)</f>
        <v>2</v>
      </c>
      <c r="W42" s="16">
        <f>IFERROR(__xludf.DUMMYFUNCTION("""COMPUTED_VALUE"""),2.0)</f>
        <v>2</v>
      </c>
      <c r="X42" s="16">
        <f>IFERROR(__xludf.DUMMYFUNCTION("""COMPUTED_VALUE"""),4.0)</f>
        <v>4</v>
      </c>
      <c r="Y42" s="16">
        <f>IFERROR(__xludf.DUMMYFUNCTION("""COMPUTED_VALUE"""),16.5)</f>
        <v>16.5</v>
      </c>
      <c r="Z42" s="16">
        <f>IFERROR(__xludf.DUMMYFUNCTION("""COMPUTED_VALUE"""),9.9)</f>
        <v>9.9</v>
      </c>
      <c r="AA42" s="16">
        <f>IFERROR(__xludf.DUMMYFUNCTION("""COMPUTED_VALUE"""),1.0)</f>
        <v>1</v>
      </c>
      <c r="AB42" s="16">
        <f>IFERROR(__xludf.DUMMYFUNCTION("""COMPUTED_VALUE"""),2.0)</f>
        <v>2</v>
      </c>
      <c r="AC42" s="16">
        <f>IFERROR(__xludf.DUMMYFUNCTION("""COMPUTED_VALUE"""),5.0)</f>
        <v>5</v>
      </c>
      <c r="AD42" s="16">
        <f>IFERROR(__xludf.DUMMYFUNCTION("""COMPUTED_VALUE"""),10.0)</f>
        <v>10</v>
      </c>
      <c r="AE42" s="16">
        <f>IFERROR(__xludf.DUMMYFUNCTION("""COMPUTED_VALUE"""),7.4)</f>
        <v>7.4</v>
      </c>
      <c r="AF42" s="16">
        <f>IFERROR(__xludf.DUMMYFUNCTION("""COMPUTED_VALUE"""),16.8)</f>
        <v>16.8</v>
      </c>
      <c r="AG42" s="16">
        <f>IFERROR(__xludf.DUMMYFUNCTION("""COMPUTED_VALUE"""),2.0)</f>
        <v>2</v>
      </c>
      <c r="AH42" s="16">
        <f>IFERROR(__xludf.DUMMYFUNCTION("""COMPUTED_VALUE"""),1.0)</f>
        <v>1</v>
      </c>
      <c r="AI42" s="16">
        <f>IFERROR(__xludf.DUMMYFUNCTION("""COMPUTED_VALUE"""),4.0)</f>
        <v>4</v>
      </c>
      <c r="AJ42" s="16">
        <f>IFERROR(__xludf.DUMMYFUNCTION("""COMPUTED_VALUE"""),2.0)</f>
        <v>2</v>
      </c>
      <c r="AK42" s="16">
        <f>IFERROR(__xludf.DUMMYFUNCTION("""COMPUTED_VALUE"""),7.4)</f>
        <v>7.4</v>
      </c>
      <c r="AL42" s="16">
        <f>IFERROR(__xludf.DUMMYFUNCTION("""COMPUTED_VALUE"""),4.1000000000000005)</f>
        <v>4.1</v>
      </c>
      <c r="AM42" s="16">
        <f>IFERROR(__xludf.DUMMYFUNCTION("""COMPUTED_VALUE"""),1.0)</f>
        <v>1</v>
      </c>
      <c r="AN42" s="16">
        <f>IFERROR(__xludf.DUMMYFUNCTION("""COMPUTED_VALUE"""),2.0)</f>
        <v>2</v>
      </c>
      <c r="AO42" s="16">
        <f>IFERROR(__xludf.DUMMYFUNCTION("""COMPUTED_VALUE"""),1.0)</f>
        <v>1</v>
      </c>
      <c r="AP42" s="16">
        <f>IFERROR(__xludf.DUMMYFUNCTION("""COMPUTED_VALUE"""),2.0)</f>
        <v>2</v>
      </c>
      <c r="AQ42" s="16">
        <f>IFERROR(__xludf.DUMMYFUNCTION("""COMPUTED_VALUE"""),7.4)</f>
        <v>7.4</v>
      </c>
      <c r="AR42" s="16">
        <f>IFERROR(__xludf.DUMMYFUNCTION("""COMPUTED_VALUE"""),5.600000000000001)</f>
        <v>5.6</v>
      </c>
      <c r="AS42" s="16">
        <f>IFERROR(__xludf.DUMMYFUNCTION("""COMPUTED_VALUE"""),1.0)</f>
        <v>1</v>
      </c>
      <c r="AT42" s="16">
        <f>IFERROR(__xludf.DUMMYFUNCTION("""COMPUTED_VALUE"""),2.0)</f>
        <v>2</v>
      </c>
      <c r="AU42" s="16">
        <f>IFERROR(__xludf.DUMMYFUNCTION("""COMPUTED_VALUE"""),2.0)</f>
        <v>2</v>
      </c>
      <c r="AV42" s="16">
        <f>IFERROR(__xludf.DUMMYFUNCTION("""COMPUTED_VALUE"""),4.0)</f>
        <v>4</v>
      </c>
      <c r="AW42" s="16">
        <f>IFERROR(__xludf.DUMMYFUNCTION("""COMPUTED_VALUE"""),0.0)</f>
        <v>0</v>
      </c>
      <c r="AX42" s="16">
        <f>IFERROR(__xludf.DUMMYFUNCTION("""COMPUTED_VALUE"""),2.8)</f>
        <v>2.8</v>
      </c>
      <c r="AY42" s="16">
        <f>IFERROR(__xludf.DUMMYFUNCTION("""COMPUTED_VALUE"""),2.0)</f>
        <v>2</v>
      </c>
      <c r="AZ42" s="16">
        <f>IFERROR(__xludf.DUMMYFUNCTION("""COMPUTED_VALUE"""),-1.0)</f>
        <v>-1</v>
      </c>
      <c r="BA42" s="16">
        <f>IFERROR(__xludf.DUMMYFUNCTION("""COMPUTED_VALUE"""),10.0)</f>
        <v>10</v>
      </c>
      <c r="BB42" s="16">
        <f>IFERROR(__xludf.DUMMYFUNCTION("""COMPUTED_VALUE"""),-5.0)</f>
        <v>-5</v>
      </c>
      <c r="BC42" s="16">
        <f>IFERROR(__xludf.DUMMYFUNCTION("""COMPUTED_VALUE"""),0.0)</f>
        <v>0</v>
      </c>
      <c r="BD42" s="16">
        <f>IFERROR(__xludf.DUMMYFUNCTION("""COMPUTED_VALUE"""),5.0)</f>
        <v>5</v>
      </c>
      <c r="BE42" s="16">
        <f>IFERROR(__xludf.DUMMYFUNCTION("""COMPUTED_VALUE"""),0.0)</f>
        <v>0</v>
      </c>
      <c r="BF42" s="16">
        <f>IFERROR(__xludf.DUMMYFUNCTION("""COMPUTED_VALUE"""),5.0)</f>
        <v>5</v>
      </c>
      <c r="BG42" s="16">
        <f>IFERROR(__xludf.DUMMYFUNCTION("""COMPUTED_VALUE"""),3.0)</f>
        <v>3</v>
      </c>
      <c r="BH42" s="16">
        <f>IFERROR(__xludf.DUMMYFUNCTION("""COMPUTED_VALUE"""),-2.0)</f>
        <v>-2</v>
      </c>
      <c r="BI42" s="16">
        <f>IFERROR(__xludf.DUMMYFUNCTION("""COMPUTED_VALUE"""),6.0)</f>
        <v>6</v>
      </c>
      <c r="BJ42" s="16">
        <f>IFERROR(__xludf.DUMMYFUNCTION("""COMPUTED_VALUE"""),-4.0)</f>
        <v>-4</v>
      </c>
      <c r="BK42" s="16">
        <f>IFERROR(__xludf.DUMMYFUNCTION("""COMPUTED_VALUE"""),5.0)</f>
        <v>5</v>
      </c>
      <c r="BL42" s="16">
        <f>IFERROR(__xludf.DUMMYFUNCTION("""COMPUTED_VALUE"""),5.0)</f>
        <v>5</v>
      </c>
      <c r="BM42" s="16">
        <f>IFERROR(__xludf.DUMMYFUNCTION("""COMPUTED_VALUE"""),0.0)</f>
        <v>0</v>
      </c>
      <c r="BN42" s="16">
        <f>IFERROR(__xludf.DUMMYFUNCTION("""COMPUTED_VALUE"""),0.0)</f>
        <v>0</v>
      </c>
      <c r="BO42" s="16">
        <f>IFERROR(__xludf.DUMMYFUNCTION("""COMPUTED_VALUE"""),0.0)</f>
        <v>0</v>
      </c>
      <c r="BP42" s="16">
        <f>IFERROR(__xludf.DUMMYFUNCTION("""COMPUTED_VALUE"""),0.0)</f>
        <v>0</v>
      </c>
      <c r="BQ42" s="16">
        <f>IFERROR(__xludf.DUMMYFUNCTION("""COMPUTED_VALUE"""),11.0)</f>
        <v>11</v>
      </c>
      <c r="BR42" s="16">
        <f>IFERROR(__xludf.DUMMYFUNCTION("""COMPUTED_VALUE"""),11.0)</f>
        <v>11</v>
      </c>
      <c r="BS42" s="16">
        <f>IFERROR(__xludf.DUMMYFUNCTION("""COMPUTED_VALUE"""),3.0)</f>
        <v>3</v>
      </c>
      <c r="BT42" s="16">
        <f>IFERROR(__xludf.DUMMYFUNCTION("""COMPUTED_VALUE"""),3.0)</f>
        <v>3</v>
      </c>
      <c r="BU42" s="16">
        <f>IFERROR(__xludf.DUMMYFUNCTION("""COMPUTED_VALUE"""),6.0)</f>
        <v>6</v>
      </c>
      <c r="BV42" s="16">
        <f>IFERROR(__xludf.DUMMYFUNCTION("""COMPUTED_VALUE"""),6.0)</f>
        <v>6</v>
      </c>
      <c r="BW42" s="16">
        <f>IFERROR(__xludf.DUMMYFUNCTION("""COMPUTED_VALUE"""),-2.0)</f>
        <v>-2</v>
      </c>
      <c r="BX42" s="16">
        <f>IFERROR(__xludf.DUMMYFUNCTION("""COMPUTED_VALUE"""),-2.0)</f>
        <v>-2</v>
      </c>
      <c r="BY42" s="16" t="str">
        <f>IFERROR(__xludf.DUMMYFUNCTION("""COMPUTED_VALUE"""),"R(1) C(1)")</f>
        <v>R(1) C(1)</v>
      </c>
      <c r="BZ42" s="16" t="str">
        <f>IFERROR(__xludf.DUMMYFUNCTION("""COMPUTED_VALUE"""),"R(1) C(1)")</f>
        <v>R(1) C(1)</v>
      </c>
      <c r="CA42" s="16" t="str">
        <f>IFERROR(__xludf.DUMMYFUNCTION("""COMPUTED_VALUE"""),"R(1)")</f>
        <v>R(1)</v>
      </c>
      <c r="CB42" s="16" t="str">
        <f>IFERROR(__xludf.DUMMYFUNCTION("""COMPUTED_VALUE"""),"C(1)")</f>
        <v>C(1)</v>
      </c>
      <c r="CC42" s="16"/>
      <c r="CD42" s="16"/>
      <c r="CE42" s="16">
        <f>IFERROR(__xludf.DUMMYFUNCTION("""COMPUTED_VALUE"""),1.0)</f>
        <v>1</v>
      </c>
      <c r="CF42" s="16">
        <f>IFERROR(__xludf.DUMMYFUNCTION("""COMPUTED_VALUE"""),1.0)</f>
        <v>1</v>
      </c>
      <c r="CG42" s="16" t="str">
        <f>IFERROR(__xludf.DUMMYFUNCTION("""COMPUTED_VALUE"""),"3-0")</f>
        <v>3-0</v>
      </c>
      <c r="CH42" s="16">
        <f>IFERROR(__xludf.DUMMYFUNCTION("""COMPUTED_VALUE"""),3.0)</f>
        <v>3</v>
      </c>
      <c r="CI42" s="16">
        <f>IFERROR(__xludf.DUMMYFUNCTION("""COMPUTED_VALUE"""),0.0)</f>
        <v>0</v>
      </c>
      <c r="CJ42" s="16">
        <f>IFERROR(__xludf.DUMMYFUNCTION("""COMPUTED_VALUE"""),0.0)</f>
        <v>0</v>
      </c>
      <c r="CK42" s="16">
        <f>IFERROR(__xludf.DUMMYFUNCTION("""COMPUTED_VALUE"""),12.0)</f>
        <v>12</v>
      </c>
      <c r="CL42" s="16" t="str">
        <f>IFERROR(__xludf.DUMMYFUNCTION("""COMPUTED_VALUE"""),"1WR-C")</f>
        <v>1WR-C</v>
      </c>
      <c r="CM42" s="16" t="str">
        <f>IFERROR(__xludf.DUMMYFUNCTION("""COMPUTED_VALUE"""),"E")</f>
        <v>E</v>
      </c>
      <c r="CN42" s="16">
        <f>IFERROR(__xludf.DUMMYFUNCTION("""COMPUTED_VALUE"""),10.0)</f>
        <v>10</v>
      </c>
      <c r="CO42" s="16" t="str">
        <f>IFERROR(__xludf.DUMMYFUNCTION("""COMPUTED_VALUE"""),"C")</f>
        <v>C</v>
      </c>
      <c r="CP42" s="16" t="str">
        <f>IFERROR(__xludf.DUMMYFUNCTION("""COMPUTED_VALUE"""),"1p30")</f>
        <v>1p30</v>
      </c>
      <c r="CQ42" s="16">
        <f>IFERROR(__xludf.DUMMYFUNCTION("""COMPUTED_VALUE"""),30.0)</f>
        <v>30</v>
      </c>
      <c r="CR42" s="16">
        <f>IFERROR(__xludf.DUMMYFUNCTION("""COMPUTED_VALUE"""),24.0)</f>
        <v>24</v>
      </c>
      <c r="CS42" s="16">
        <f>IFERROR(__xludf.DUMMYFUNCTION("""COMPUTED_VALUE"""),54.0)</f>
        <v>54</v>
      </c>
      <c r="CT42" s="16">
        <f>IFERROR(__xludf.DUMMYFUNCTION("""COMPUTED_VALUE"""),30.0)</f>
        <v>30</v>
      </c>
      <c r="CU42" s="16">
        <f>IFERROR(__xludf.DUMMYFUNCTION("""COMPUTED_VALUE"""),24.0)</f>
        <v>24</v>
      </c>
      <c r="CV42" s="179">
        <f>IFERROR(__xludf.DUMMYFUNCTION("""COMPUTED_VALUE"""),32.0)</f>
        <v>32</v>
      </c>
      <c r="CW42" s="179">
        <f>IFERROR(__xludf.DUMMYFUNCTION("""COMPUTED_VALUE"""),4.0)</f>
        <v>4</v>
      </c>
      <c r="CX42" s="179">
        <f>IFERROR(__xludf.DUMMYFUNCTION("""COMPUTED_VALUE"""),2.0)</f>
        <v>2</v>
      </c>
      <c r="CY42" s="16" t="str">
        <f>IFERROR(__xludf.DUMMYFUNCTION("""COMPUTED_VALUE"""),"RP")</f>
        <v>RP</v>
      </c>
      <c r="CZ42" s="16" t="str">
        <f>IFERROR(__xludf.DUMMYFUNCTION("""COMPUTED_VALUE"""),"CP")</f>
        <v>CP</v>
      </c>
      <c r="DA42" s="16"/>
      <c r="DB42" s="16"/>
      <c r="DC42" s="16"/>
      <c r="DD42" s="16"/>
      <c r="DE42" s="16"/>
      <c r="DF42" s="16"/>
      <c r="DG42" s="16"/>
      <c r="DH42" s="16"/>
      <c r="DI42" s="16"/>
      <c r="DJ42" s="16"/>
      <c r="DK42" s="16"/>
    </row>
    <row r="43">
      <c r="A43" s="16">
        <f>IFERROR(__xludf.DUMMYFUNCTION("""COMPUTED_VALUE"""),13071.0)</f>
        <v>13071</v>
      </c>
      <c r="B43" s="16" t="str">
        <f>IFERROR(__xludf.DUMMYFUNCTION("""COMPUTED_VALUE"""),"Kenley Jansen")</f>
        <v>Kenley Jansen</v>
      </c>
      <c r="C43" s="153">
        <f>IFERROR(__xludf.DUMMYFUNCTION("""COMPUTED_VALUE"""),1.14)</f>
        <v>1.14</v>
      </c>
      <c r="D43" s="16"/>
      <c r="E43" s="16" t="str">
        <f>IFERROR(__xludf.DUMMYFUNCTION("""COMPUTED_VALUE"""),"R")</f>
        <v>R</v>
      </c>
      <c r="F43" s="16">
        <f>IFERROR(__xludf.DUMMYFUNCTION("""COMPUTED_VALUE"""),55.0)</f>
        <v>55</v>
      </c>
      <c r="G43" s="16">
        <f>IFERROR(__xludf.DUMMYFUNCTION("""COMPUTED_VALUE"""),38.0)</f>
        <v>38</v>
      </c>
      <c r="H43" s="16">
        <f>IFERROR(__xludf.DUMMYFUNCTION("""COMPUTED_VALUE"""),39.0)</f>
        <v>39</v>
      </c>
      <c r="I43" s="16">
        <f>IFERROR(__xludf.DUMMYFUNCTION("""COMPUTED_VALUE"""),1.0)</f>
        <v>1</v>
      </c>
      <c r="J43" s="16">
        <f>IFERROR(__xludf.DUMMYFUNCTION("""COMPUTED_VALUE"""),2.0)</f>
        <v>2</v>
      </c>
      <c r="K43" s="16">
        <f>IFERROR(__xludf.DUMMYFUNCTION("""COMPUTED_VALUE"""),3.0)</f>
        <v>3</v>
      </c>
      <c r="L43" s="16">
        <f>IFERROR(__xludf.DUMMYFUNCTION("""COMPUTED_VALUE"""),6.0)</f>
        <v>6</v>
      </c>
      <c r="M43" s="16">
        <f>IFERROR(__xludf.DUMMYFUNCTION("""COMPUTED_VALUE"""),7.0)</f>
        <v>7</v>
      </c>
      <c r="N43" s="16">
        <f>IFERROR(__xludf.DUMMYFUNCTION("""COMPUTED_VALUE"""),11.0)</f>
        <v>11</v>
      </c>
      <c r="O43" s="16">
        <f>IFERROR(__xludf.DUMMYFUNCTION("""COMPUTED_VALUE"""),1.0)</f>
        <v>1</v>
      </c>
      <c r="P43" s="16">
        <f>IFERROR(__xludf.DUMMYFUNCTION("""COMPUTED_VALUE"""),-1.0)</f>
        <v>-1</v>
      </c>
      <c r="Q43" s="16">
        <f>IFERROR(__xludf.DUMMYFUNCTION("""COMPUTED_VALUE"""),1.0)</f>
        <v>1</v>
      </c>
      <c r="R43" s="16">
        <f>IFERROR(__xludf.DUMMYFUNCTION("""COMPUTED_VALUE"""),-1.0)</f>
        <v>-1</v>
      </c>
      <c r="S43" s="16">
        <f>IFERROR(__xludf.DUMMYFUNCTION("""COMPUTED_VALUE"""),7.5)</f>
        <v>7.5</v>
      </c>
      <c r="T43" s="16">
        <f>IFERROR(__xludf.DUMMYFUNCTION("""COMPUTED_VALUE"""),6.2)</f>
        <v>6.2</v>
      </c>
      <c r="U43" s="16">
        <f>IFERROR(__xludf.DUMMYFUNCTION("""COMPUTED_VALUE"""),1.0)</f>
        <v>1</v>
      </c>
      <c r="V43" s="16">
        <f>IFERROR(__xludf.DUMMYFUNCTION("""COMPUTED_VALUE"""),2.0)</f>
        <v>2</v>
      </c>
      <c r="W43" s="16">
        <f>IFERROR(__xludf.DUMMYFUNCTION("""COMPUTED_VALUE"""),2.0)</f>
        <v>2</v>
      </c>
      <c r="X43" s="16">
        <f>IFERROR(__xludf.DUMMYFUNCTION("""COMPUTED_VALUE"""),4.0)</f>
        <v>4</v>
      </c>
      <c r="Y43" s="16">
        <f>IFERROR(__xludf.DUMMYFUNCTION("""COMPUTED_VALUE"""),14.4)</f>
        <v>14.4</v>
      </c>
      <c r="Z43" s="16">
        <f>IFERROR(__xludf.DUMMYFUNCTION("""COMPUTED_VALUE"""),17.1)</f>
        <v>17.1</v>
      </c>
      <c r="AA43" s="16">
        <f>IFERROR(__xludf.DUMMYFUNCTION("""COMPUTED_VALUE"""),2.0)</f>
        <v>2</v>
      </c>
      <c r="AB43" s="16">
        <f>IFERROR(__xludf.DUMMYFUNCTION("""COMPUTED_VALUE"""),1.0)</f>
        <v>1</v>
      </c>
      <c r="AC43" s="16">
        <f>IFERROR(__xludf.DUMMYFUNCTION("""COMPUTED_VALUE"""),10.0)</f>
        <v>10</v>
      </c>
      <c r="AD43" s="16">
        <f>IFERROR(__xludf.DUMMYFUNCTION("""COMPUTED_VALUE"""),5.0)</f>
        <v>5</v>
      </c>
      <c r="AE43" s="16">
        <f>IFERROR(__xludf.DUMMYFUNCTION("""COMPUTED_VALUE"""),12.5)</f>
        <v>12.5</v>
      </c>
      <c r="AF43" s="16">
        <f>IFERROR(__xludf.DUMMYFUNCTION("""COMPUTED_VALUE"""),13.5)</f>
        <v>13.5</v>
      </c>
      <c r="AG43" s="16">
        <f>IFERROR(__xludf.DUMMYFUNCTION("""COMPUTED_VALUE"""),2.0)</f>
        <v>2</v>
      </c>
      <c r="AH43" s="16">
        <f>IFERROR(__xludf.DUMMYFUNCTION("""COMPUTED_VALUE"""),2.0)</f>
        <v>2</v>
      </c>
      <c r="AI43" s="16">
        <f>IFERROR(__xludf.DUMMYFUNCTION("""COMPUTED_VALUE"""),4.0)</f>
        <v>4</v>
      </c>
      <c r="AJ43" s="16">
        <f>IFERROR(__xludf.DUMMYFUNCTION("""COMPUTED_VALUE"""),4.0)</f>
        <v>4</v>
      </c>
      <c r="AK43" s="16">
        <f>IFERROR(__xludf.DUMMYFUNCTION("""COMPUTED_VALUE"""),7.1)</f>
        <v>7.1</v>
      </c>
      <c r="AL43" s="16">
        <f>IFERROR(__xludf.DUMMYFUNCTION("""COMPUTED_VALUE"""),5.4)</f>
        <v>5.4</v>
      </c>
      <c r="AM43" s="16">
        <f>IFERROR(__xludf.DUMMYFUNCTION("""COMPUTED_VALUE"""),1.0)</f>
        <v>1</v>
      </c>
      <c r="AN43" s="16">
        <f>IFERROR(__xludf.DUMMYFUNCTION("""COMPUTED_VALUE"""),2.0)</f>
        <v>2</v>
      </c>
      <c r="AO43" s="16">
        <f>IFERROR(__xludf.DUMMYFUNCTION("""COMPUTED_VALUE"""),1.0)</f>
        <v>1</v>
      </c>
      <c r="AP43" s="16">
        <f>IFERROR(__xludf.DUMMYFUNCTION("""COMPUTED_VALUE"""),2.0)</f>
        <v>2</v>
      </c>
      <c r="AQ43" s="16">
        <f>IFERROR(__xludf.DUMMYFUNCTION("""COMPUTED_VALUE"""),10.9)</f>
        <v>10.9</v>
      </c>
      <c r="AR43" s="16">
        <f>IFERROR(__xludf.DUMMYFUNCTION("""COMPUTED_VALUE"""),10.3)</f>
        <v>10.3</v>
      </c>
      <c r="AS43" s="16">
        <f>IFERROR(__xludf.DUMMYFUNCTION("""COMPUTED_VALUE"""),1.0)</f>
        <v>1</v>
      </c>
      <c r="AT43" s="16">
        <f>IFERROR(__xludf.DUMMYFUNCTION("""COMPUTED_VALUE"""),1.0)</f>
        <v>1</v>
      </c>
      <c r="AU43" s="16">
        <f>IFERROR(__xludf.DUMMYFUNCTION("""COMPUTED_VALUE"""),2.0)</f>
        <v>2</v>
      </c>
      <c r="AV43" s="16">
        <f>IFERROR(__xludf.DUMMYFUNCTION("""COMPUTED_VALUE"""),2.0)</f>
        <v>2</v>
      </c>
      <c r="AW43" s="16">
        <f>IFERROR(__xludf.DUMMYFUNCTION("""COMPUTED_VALUE"""),0.4)</f>
        <v>0.4</v>
      </c>
      <c r="AX43" s="16">
        <f>IFERROR(__xludf.DUMMYFUNCTION("""COMPUTED_VALUE"""),0.8)</f>
        <v>0.8</v>
      </c>
      <c r="AY43" s="16">
        <f>IFERROR(__xludf.DUMMYFUNCTION("""COMPUTED_VALUE"""),2.0)</f>
        <v>2</v>
      </c>
      <c r="AZ43" s="16">
        <f>IFERROR(__xludf.DUMMYFUNCTION("""COMPUTED_VALUE"""),1.0)</f>
        <v>1</v>
      </c>
      <c r="BA43" s="16">
        <f>IFERROR(__xludf.DUMMYFUNCTION("""COMPUTED_VALUE"""),10.0)</f>
        <v>10</v>
      </c>
      <c r="BB43" s="16">
        <f>IFERROR(__xludf.DUMMYFUNCTION("""COMPUTED_VALUE"""),5.0)</f>
        <v>5</v>
      </c>
      <c r="BC43" s="16">
        <f>IFERROR(__xludf.DUMMYFUNCTION("""COMPUTED_VALUE"""),1.0)</f>
        <v>1</v>
      </c>
      <c r="BD43" s="16"/>
      <c r="BE43" s="16">
        <f>IFERROR(__xludf.DUMMYFUNCTION("""COMPUTED_VALUE"""),1.0)</f>
        <v>1</v>
      </c>
      <c r="BF43" s="16">
        <f>IFERROR(__xludf.DUMMYFUNCTION("""COMPUTED_VALUE"""),0.0)</f>
        <v>0</v>
      </c>
      <c r="BG43" s="16">
        <f>IFERROR(__xludf.DUMMYFUNCTION("""COMPUTED_VALUE"""),2.0)</f>
        <v>2</v>
      </c>
      <c r="BH43" s="16">
        <f>IFERROR(__xludf.DUMMYFUNCTION("""COMPUTED_VALUE"""),2.0)</f>
        <v>2</v>
      </c>
      <c r="BI43" s="16">
        <f>IFERROR(__xludf.DUMMYFUNCTION("""COMPUTED_VALUE"""),4.0)</f>
        <v>4</v>
      </c>
      <c r="BJ43" s="16">
        <f>IFERROR(__xludf.DUMMYFUNCTION("""COMPUTED_VALUE"""),4.0)</f>
        <v>4</v>
      </c>
      <c r="BK43" s="16">
        <f>IFERROR(__xludf.DUMMYFUNCTION("""COMPUTED_VALUE"""),5.0)</f>
        <v>5</v>
      </c>
      <c r="BL43" s="16">
        <f>IFERROR(__xludf.DUMMYFUNCTION("""COMPUTED_VALUE"""),0.0)</f>
        <v>0</v>
      </c>
      <c r="BM43" s="16">
        <f>IFERROR(__xludf.DUMMYFUNCTION("""COMPUTED_VALUE"""),0.0)</f>
        <v>0</v>
      </c>
      <c r="BN43" s="16">
        <f>IFERROR(__xludf.DUMMYFUNCTION("""COMPUTED_VALUE"""),1.0)</f>
        <v>1</v>
      </c>
      <c r="BO43" s="16">
        <f>IFERROR(__xludf.DUMMYFUNCTION("""COMPUTED_VALUE"""),0.0)</f>
        <v>0</v>
      </c>
      <c r="BP43" s="16">
        <f>IFERROR(__xludf.DUMMYFUNCTION("""COMPUTED_VALUE"""),1.0)</f>
        <v>1</v>
      </c>
      <c r="BQ43" s="16">
        <f>IFERROR(__xludf.DUMMYFUNCTION("""COMPUTED_VALUE"""),0.0)</f>
        <v>0</v>
      </c>
      <c r="BR43" s="16">
        <f>IFERROR(__xludf.DUMMYFUNCTION("""COMPUTED_VALUE"""),0.0)</f>
        <v>0</v>
      </c>
      <c r="BS43" s="16">
        <f>IFERROR(__xludf.DUMMYFUNCTION("""COMPUTED_VALUE"""),-3.0)</f>
        <v>-3</v>
      </c>
      <c r="BT43" s="16">
        <f>IFERROR(__xludf.DUMMYFUNCTION("""COMPUTED_VALUE"""),-3.0)</f>
        <v>-3</v>
      </c>
      <c r="BU43" s="16">
        <f>IFERROR(__xludf.DUMMYFUNCTION("""COMPUTED_VALUE"""),-6.0)</f>
        <v>-6</v>
      </c>
      <c r="BV43" s="16">
        <f>IFERROR(__xludf.DUMMYFUNCTION("""COMPUTED_VALUE"""),-6.0)</f>
        <v>-6</v>
      </c>
      <c r="BW43" s="16">
        <f>IFERROR(__xludf.DUMMYFUNCTION("""COMPUTED_VALUE"""),8.0)</f>
        <v>8</v>
      </c>
      <c r="BX43" s="16">
        <f>IFERROR(__xludf.DUMMYFUNCTION("""COMPUTED_VALUE"""),8.0)</f>
        <v>8</v>
      </c>
      <c r="BY43" s="16" t="str">
        <f>IFERROR(__xludf.DUMMYFUNCTION("""COMPUTED_VALUE"""),"R(1) C(6)")</f>
        <v>R(1) C(6)</v>
      </c>
      <c r="BZ43" s="16" t="str">
        <f>IFERROR(__xludf.DUMMYFUNCTION("""COMPUTED_VALUE"""),"R(1) C(6)")</f>
        <v>R(1) C(6)</v>
      </c>
      <c r="CA43" s="16" t="str">
        <f>IFERROR(__xludf.DUMMYFUNCTION("""COMPUTED_VALUE"""),"R(1)")</f>
        <v>R(1)</v>
      </c>
      <c r="CB43" s="16" t="str">
        <f>IFERROR(__xludf.DUMMYFUNCTION("""COMPUTED_VALUE"""),"C(6)")</f>
        <v>C(6)</v>
      </c>
      <c r="CC43" s="16"/>
      <c r="CD43" s="16"/>
      <c r="CE43" s="16">
        <f>IFERROR(__xludf.DUMMYFUNCTION("""COMPUTED_VALUE"""),1.0)</f>
        <v>1</v>
      </c>
      <c r="CF43" s="16">
        <f>IFERROR(__xludf.DUMMYFUNCTION("""COMPUTED_VALUE"""),6.0)</f>
        <v>6</v>
      </c>
      <c r="CG43" s="16" t="str">
        <f>IFERROR(__xludf.DUMMYFUNCTION("""COMPUTED_VALUE"""),"5-0")</f>
        <v>5-0</v>
      </c>
      <c r="CH43" s="16">
        <f>IFERROR(__xludf.DUMMYFUNCTION("""COMPUTED_VALUE"""),5.0)</f>
        <v>5</v>
      </c>
      <c r="CI43" s="16">
        <f>IFERROR(__xludf.DUMMYFUNCTION("""COMPUTED_VALUE"""),0.0)</f>
        <v>0</v>
      </c>
      <c r="CJ43" s="16">
        <f>IFERROR(__xludf.DUMMYFUNCTION("""COMPUTED_VALUE"""),11.0)</f>
        <v>11</v>
      </c>
      <c r="CK43" s="16">
        <f>IFERROR(__xludf.DUMMYFUNCTION("""COMPUTED_VALUE"""),8.0)</f>
        <v>8</v>
      </c>
      <c r="CL43" s="16" t="str">
        <f>IFERROR(__xludf.DUMMYFUNCTION("""COMPUTED_VALUE"""),"1WS-C")</f>
        <v>1WS-C</v>
      </c>
      <c r="CM43" s="16" t="str">
        <f>IFERROR(__xludf.DUMMYFUNCTION("""COMPUTED_VALUE"""),"E")</f>
        <v>E</v>
      </c>
      <c r="CN43" s="16">
        <f>IFERROR(__xludf.DUMMYFUNCTION("""COMPUTED_VALUE"""),10.0)</f>
        <v>10</v>
      </c>
      <c r="CO43" s="16" t="str">
        <f>IFERROR(__xludf.DUMMYFUNCTION("""COMPUTED_VALUE"""),"C")</f>
        <v>C</v>
      </c>
      <c r="CP43" s="16" t="str">
        <f>IFERROR(__xludf.DUMMYFUNCTION("""COMPUTED_VALUE"""),"1p50")</f>
        <v>1p50</v>
      </c>
      <c r="CQ43" s="16">
        <f>IFERROR(__xludf.DUMMYFUNCTION("""COMPUTED_VALUE"""),31.0)</f>
        <v>31</v>
      </c>
      <c r="CR43" s="16">
        <f>IFERROR(__xludf.DUMMYFUNCTION("""COMPUTED_VALUE"""),26.0)</f>
        <v>26</v>
      </c>
      <c r="CS43" s="16">
        <f>IFERROR(__xludf.DUMMYFUNCTION("""COMPUTED_VALUE"""),57.0)</f>
        <v>57</v>
      </c>
      <c r="CT43" s="16">
        <f>IFERROR(__xludf.DUMMYFUNCTION("""COMPUTED_VALUE"""),31.0)</f>
        <v>31</v>
      </c>
      <c r="CU43" s="16">
        <f>IFERROR(__xludf.DUMMYFUNCTION("""COMPUTED_VALUE"""),26.0)</f>
        <v>26</v>
      </c>
      <c r="CV43" s="179">
        <f>IFERROR(__xludf.DUMMYFUNCTION("""COMPUTED_VALUE"""),31.666666666666668)</f>
        <v>31.66666667</v>
      </c>
      <c r="CW43" s="179">
        <f>IFERROR(__xludf.DUMMYFUNCTION("""COMPUTED_VALUE"""),4.0)</f>
        <v>4</v>
      </c>
      <c r="CX43" s="179">
        <f>IFERROR(__xludf.DUMMYFUNCTION("""COMPUTED_VALUE"""),0.0)</f>
        <v>0</v>
      </c>
      <c r="CY43" s="16" t="str">
        <f>IFERROR(__xludf.DUMMYFUNCTION("""COMPUTED_VALUE"""),"RP")</f>
        <v>RP</v>
      </c>
      <c r="CZ43" s="16" t="str">
        <f>IFERROR(__xludf.DUMMYFUNCTION("""COMPUTED_VALUE"""),"CP")</f>
        <v>CP</v>
      </c>
      <c r="DA43" s="16"/>
      <c r="DB43" s="16"/>
      <c r="DC43" s="16"/>
      <c r="DD43" s="16"/>
      <c r="DE43" s="16"/>
      <c r="DF43" s="16"/>
      <c r="DG43" s="16"/>
      <c r="DH43" s="16"/>
      <c r="DI43" s="16"/>
      <c r="DJ43" s="16"/>
      <c r="DK43" s="16"/>
    </row>
    <row r="44">
      <c r="A44" s="16">
        <f>IFERROR(__xludf.DUMMYFUNCTION("""COMPUTED_VALUE"""),13088.0)</f>
        <v>13088</v>
      </c>
      <c r="B44" s="16" t="str">
        <f>IFERROR(__xludf.DUMMYFUNCTION("""COMPUTED_VALUE"""),"Kyle Bradish")</f>
        <v>Kyle Bradish</v>
      </c>
      <c r="C44" s="153">
        <f>IFERROR(__xludf.DUMMYFUNCTION("""COMPUTED_VALUE"""),1.91)</f>
        <v>1.91</v>
      </c>
      <c r="D44" s="16"/>
      <c r="E44" s="16" t="str">
        <f>IFERROR(__xludf.DUMMYFUNCTION("""COMPUTED_VALUE"""),"R")</f>
        <v>R</v>
      </c>
      <c r="F44" s="16">
        <f>IFERROR(__xludf.DUMMYFUNCTION("""COMPUTED_VALUE"""),39.0)</f>
        <v>39</v>
      </c>
      <c r="G44" s="16">
        <f>IFERROR(__xludf.DUMMYFUNCTION("""COMPUTED_VALUE"""),51.0)</f>
        <v>51</v>
      </c>
      <c r="H44" s="16">
        <f>IFERROR(__xludf.DUMMYFUNCTION("""COMPUTED_VALUE"""),43.0)</f>
        <v>43</v>
      </c>
      <c r="I44" s="16">
        <f>IFERROR(__xludf.DUMMYFUNCTION("""COMPUTED_VALUE"""),3.0)</f>
        <v>3</v>
      </c>
      <c r="J44" s="16">
        <f>IFERROR(__xludf.DUMMYFUNCTION("""COMPUTED_VALUE"""),2.0)</f>
        <v>2</v>
      </c>
      <c r="K44" s="16">
        <f>IFERROR(__xludf.DUMMYFUNCTION("""COMPUTED_VALUE"""),9.0)</f>
        <v>9</v>
      </c>
      <c r="L44" s="16">
        <f>IFERROR(__xludf.DUMMYFUNCTION("""COMPUTED_VALUE"""),6.0)</f>
        <v>6</v>
      </c>
      <c r="M44" s="16">
        <f>IFERROR(__xludf.DUMMYFUNCTION("""COMPUTED_VALUE"""),8.0)</f>
        <v>8</v>
      </c>
      <c r="N44" s="16">
        <f>IFERROR(__xludf.DUMMYFUNCTION("""COMPUTED_VALUE"""),15.0)</f>
        <v>15</v>
      </c>
      <c r="O44" s="16">
        <f>IFERROR(__xludf.DUMMYFUNCTION("""COMPUTED_VALUE"""),0.0)</f>
        <v>0</v>
      </c>
      <c r="P44" s="16">
        <f>IFERROR(__xludf.DUMMYFUNCTION("""COMPUTED_VALUE"""),-3.0)</f>
        <v>-3</v>
      </c>
      <c r="Q44" s="16">
        <f>IFERROR(__xludf.DUMMYFUNCTION("""COMPUTED_VALUE"""),0.0)</f>
        <v>0</v>
      </c>
      <c r="R44" s="16">
        <f>IFERROR(__xludf.DUMMYFUNCTION("""COMPUTED_VALUE"""),-3.0)</f>
        <v>-3</v>
      </c>
      <c r="S44" s="16">
        <f>IFERROR(__xludf.DUMMYFUNCTION("""COMPUTED_VALUE"""),5.0)</f>
        <v>5</v>
      </c>
      <c r="T44" s="16">
        <f>IFERROR(__xludf.DUMMYFUNCTION("""COMPUTED_VALUE"""),10.4)</f>
        <v>10.4</v>
      </c>
      <c r="U44" s="16">
        <f>IFERROR(__xludf.DUMMYFUNCTION("""COMPUTED_VALUE"""),2.0)</f>
        <v>2</v>
      </c>
      <c r="V44" s="16">
        <f>IFERROR(__xludf.DUMMYFUNCTION("""COMPUTED_VALUE"""),1.0)</f>
        <v>1</v>
      </c>
      <c r="W44" s="16">
        <f>IFERROR(__xludf.DUMMYFUNCTION("""COMPUTED_VALUE"""),4.0)</f>
        <v>4</v>
      </c>
      <c r="X44" s="16">
        <f>IFERROR(__xludf.DUMMYFUNCTION("""COMPUTED_VALUE"""),2.0)</f>
        <v>2</v>
      </c>
      <c r="Y44" s="16">
        <f>IFERROR(__xludf.DUMMYFUNCTION("""COMPUTED_VALUE"""),13.0)</f>
        <v>13</v>
      </c>
      <c r="Z44" s="16">
        <f>IFERROR(__xludf.DUMMYFUNCTION("""COMPUTED_VALUE"""),25.4)</f>
        <v>25.4</v>
      </c>
      <c r="AA44" s="16">
        <f>IFERROR(__xludf.DUMMYFUNCTION("""COMPUTED_VALUE"""),2.0)</f>
        <v>2</v>
      </c>
      <c r="AB44" s="16">
        <f>IFERROR(__xludf.DUMMYFUNCTION("""COMPUTED_VALUE"""),0.0)</f>
        <v>0</v>
      </c>
      <c r="AC44" s="16">
        <f>IFERROR(__xludf.DUMMYFUNCTION("""COMPUTED_VALUE"""),10.0)</f>
        <v>10</v>
      </c>
      <c r="AD44" s="16">
        <f>IFERROR(__xludf.DUMMYFUNCTION("""COMPUTED_VALUE"""),0.0)</f>
        <v>0</v>
      </c>
      <c r="AE44" s="16">
        <f>IFERROR(__xludf.DUMMYFUNCTION("""COMPUTED_VALUE"""),9.8)</f>
        <v>9.8</v>
      </c>
      <c r="AF44" s="16">
        <f>IFERROR(__xludf.DUMMYFUNCTION("""COMPUTED_VALUE"""),23.0)</f>
        <v>23</v>
      </c>
      <c r="AG44" s="16">
        <f>IFERROR(__xludf.DUMMYFUNCTION("""COMPUTED_VALUE"""),2.0)</f>
        <v>2</v>
      </c>
      <c r="AH44" s="16">
        <f>IFERROR(__xludf.DUMMYFUNCTION("""COMPUTED_VALUE"""),1.0)</f>
        <v>1</v>
      </c>
      <c r="AI44" s="16">
        <f>IFERROR(__xludf.DUMMYFUNCTION("""COMPUTED_VALUE"""),4.0)</f>
        <v>4</v>
      </c>
      <c r="AJ44" s="16">
        <f>IFERROR(__xludf.DUMMYFUNCTION("""COMPUTED_VALUE"""),2.0)</f>
        <v>2</v>
      </c>
      <c r="AK44" s="16">
        <f>IFERROR(__xludf.DUMMYFUNCTION("""COMPUTED_VALUE"""),5.0)</f>
        <v>5</v>
      </c>
      <c r="AL44" s="16">
        <f>IFERROR(__xludf.DUMMYFUNCTION("""COMPUTED_VALUE"""),10.4)</f>
        <v>10.4</v>
      </c>
      <c r="AM44" s="16">
        <f>IFERROR(__xludf.DUMMYFUNCTION("""COMPUTED_VALUE"""),1.0)</f>
        <v>1</v>
      </c>
      <c r="AN44" s="16">
        <f>IFERROR(__xludf.DUMMYFUNCTION("""COMPUTED_VALUE"""),1.0)</f>
        <v>1</v>
      </c>
      <c r="AO44" s="16">
        <f>IFERROR(__xludf.DUMMYFUNCTION("""COMPUTED_VALUE"""),1.0)</f>
        <v>1</v>
      </c>
      <c r="AP44" s="16">
        <f>IFERROR(__xludf.DUMMYFUNCTION("""COMPUTED_VALUE"""),1.0)</f>
        <v>1</v>
      </c>
      <c r="AQ44" s="16">
        <f>IFERROR(__xludf.DUMMYFUNCTION("""COMPUTED_VALUE"""),9.8)</f>
        <v>9.8</v>
      </c>
      <c r="AR44" s="16">
        <f>IFERROR(__xludf.DUMMYFUNCTION("""COMPUTED_VALUE"""),23.0)</f>
        <v>23</v>
      </c>
      <c r="AS44" s="16">
        <f>IFERROR(__xludf.DUMMYFUNCTION("""COMPUTED_VALUE"""),1.0)</f>
        <v>1</v>
      </c>
      <c r="AT44" s="16">
        <f>IFERROR(__xludf.DUMMYFUNCTION("""COMPUTED_VALUE"""),0.0)</f>
        <v>0</v>
      </c>
      <c r="AU44" s="16">
        <f>IFERROR(__xludf.DUMMYFUNCTION("""COMPUTED_VALUE"""),2.0)</f>
        <v>2</v>
      </c>
      <c r="AV44" s="16">
        <f>IFERROR(__xludf.DUMMYFUNCTION("""COMPUTED_VALUE"""),0.0)</f>
        <v>0</v>
      </c>
      <c r="AW44" s="16">
        <f>IFERROR(__xludf.DUMMYFUNCTION("""COMPUTED_VALUE"""),0.0)</f>
        <v>0</v>
      </c>
      <c r="AX44" s="16">
        <f>IFERROR(__xludf.DUMMYFUNCTION("""COMPUTED_VALUE"""),0.0)</f>
        <v>0</v>
      </c>
      <c r="AY44" s="16">
        <f>IFERROR(__xludf.DUMMYFUNCTION("""COMPUTED_VALUE"""),2.0)</f>
        <v>2</v>
      </c>
      <c r="AZ44" s="16">
        <f>IFERROR(__xludf.DUMMYFUNCTION("""COMPUTED_VALUE"""),2.0)</f>
        <v>2</v>
      </c>
      <c r="BA44" s="16">
        <f>IFERROR(__xludf.DUMMYFUNCTION("""COMPUTED_VALUE"""),10.0)</f>
        <v>10</v>
      </c>
      <c r="BB44" s="16">
        <f>IFERROR(__xludf.DUMMYFUNCTION("""COMPUTED_VALUE"""),10.0)</f>
        <v>10</v>
      </c>
      <c r="BC44" s="16">
        <f>IFERROR(__xludf.DUMMYFUNCTION("""COMPUTED_VALUE"""),0.0)</f>
        <v>0</v>
      </c>
      <c r="BD44" s="16"/>
      <c r="BE44" s="16">
        <f>IFERROR(__xludf.DUMMYFUNCTION("""COMPUTED_VALUE"""),0.0)</f>
        <v>0</v>
      </c>
      <c r="BF44" s="16">
        <f>IFERROR(__xludf.DUMMYFUNCTION("""COMPUTED_VALUE"""),0.0)</f>
        <v>0</v>
      </c>
      <c r="BG44" s="16">
        <f>IFERROR(__xludf.DUMMYFUNCTION("""COMPUTED_VALUE"""),3.0)</f>
        <v>3</v>
      </c>
      <c r="BH44" s="16">
        <f>IFERROR(__xludf.DUMMYFUNCTION("""COMPUTED_VALUE"""),2.0)</f>
        <v>2</v>
      </c>
      <c r="BI44" s="16">
        <f>IFERROR(__xludf.DUMMYFUNCTION("""COMPUTED_VALUE"""),6.0)</f>
        <v>6</v>
      </c>
      <c r="BJ44" s="16">
        <f>IFERROR(__xludf.DUMMYFUNCTION("""COMPUTED_VALUE"""),4.0)</f>
        <v>4</v>
      </c>
      <c r="BK44" s="16">
        <f>IFERROR(__xludf.DUMMYFUNCTION("""COMPUTED_VALUE"""),5.0)</f>
        <v>5</v>
      </c>
      <c r="BL44" s="16">
        <f>IFERROR(__xludf.DUMMYFUNCTION("""COMPUTED_VALUE"""),0.0)</f>
        <v>0</v>
      </c>
      <c r="BM44" s="16">
        <f>IFERROR(__xludf.DUMMYFUNCTION("""COMPUTED_VALUE"""),0.0)</f>
        <v>0</v>
      </c>
      <c r="BN44" s="16">
        <f>IFERROR(__xludf.DUMMYFUNCTION("""COMPUTED_VALUE"""),1.0)</f>
        <v>1</v>
      </c>
      <c r="BO44" s="16">
        <f>IFERROR(__xludf.DUMMYFUNCTION("""COMPUTED_VALUE"""),0.0)</f>
        <v>0</v>
      </c>
      <c r="BP44" s="16">
        <f>IFERROR(__xludf.DUMMYFUNCTION("""COMPUTED_VALUE"""),1.0)</f>
        <v>1</v>
      </c>
      <c r="BQ44" s="16">
        <f>IFERROR(__xludf.DUMMYFUNCTION("""COMPUTED_VALUE"""),5.0)</f>
        <v>5</v>
      </c>
      <c r="BR44" s="16">
        <f>IFERROR(__xludf.DUMMYFUNCTION("""COMPUTED_VALUE"""),3.0)</f>
        <v>3</v>
      </c>
      <c r="BS44" s="16">
        <f>IFERROR(__xludf.DUMMYFUNCTION("""COMPUTED_VALUE"""),0.0)</f>
        <v>0</v>
      </c>
      <c r="BT44" s="16">
        <f>IFERROR(__xludf.DUMMYFUNCTION("""COMPUTED_VALUE"""),-1.0)</f>
        <v>-1</v>
      </c>
      <c r="BU44" s="16">
        <f>IFERROR(__xludf.DUMMYFUNCTION("""COMPUTED_VALUE"""),0.0)</f>
        <v>0</v>
      </c>
      <c r="BV44" s="16">
        <f>IFERROR(__xludf.DUMMYFUNCTION("""COMPUTED_VALUE"""),-2.0)</f>
        <v>-2</v>
      </c>
      <c r="BW44" s="16">
        <f>IFERROR(__xludf.DUMMYFUNCTION("""COMPUTED_VALUE"""),-6.0)</f>
        <v>-6</v>
      </c>
      <c r="BX44" s="16">
        <f>IFERROR(__xludf.DUMMYFUNCTION("""COMPUTED_VALUE"""),-6.0)</f>
        <v>-6</v>
      </c>
      <c r="BY44" s="16" t="str">
        <f>IFERROR(__xludf.DUMMYFUNCTION("""COMPUTED_VALUE"""),"S(5)")</f>
        <v>S(5)</v>
      </c>
      <c r="BZ44" s="16" t="str">
        <f>IFERROR(__xludf.DUMMYFUNCTION("""COMPUTED_VALUE"""),"S(5)")</f>
        <v>S(5)</v>
      </c>
      <c r="CA44" s="16" t="str">
        <f>IFERROR(__xludf.DUMMYFUNCTION("""COMPUTED_VALUE"""),"S(5)")</f>
        <v>S(5)</v>
      </c>
      <c r="CB44" s="16"/>
      <c r="CC44" s="16"/>
      <c r="CD44" s="16">
        <f>IFERROR(__xludf.DUMMYFUNCTION("""COMPUTED_VALUE"""),5.0)</f>
        <v>5</v>
      </c>
      <c r="CE44" s="16"/>
      <c r="CF44" s="16"/>
      <c r="CG44" s="16" t="str">
        <f>IFERROR(__xludf.DUMMYFUNCTION("""COMPUTED_VALUE"""),"2-0")</f>
        <v>2-0</v>
      </c>
      <c r="CH44" s="16">
        <f>IFERROR(__xludf.DUMMYFUNCTION("""COMPUTED_VALUE"""),2.0)</f>
        <v>2</v>
      </c>
      <c r="CI44" s="16">
        <f>IFERROR(__xludf.DUMMYFUNCTION("""COMPUTED_VALUE"""),0.0)</f>
        <v>0</v>
      </c>
      <c r="CJ44" s="16">
        <f>IFERROR(__xludf.DUMMYFUNCTION("""COMPUTED_VALUE"""),0.0)</f>
        <v>0</v>
      </c>
      <c r="CK44" s="16">
        <f>IFERROR(__xludf.DUMMYFUNCTION("""COMPUTED_VALUE"""),11.0)</f>
        <v>11</v>
      </c>
      <c r="CL44" s="16" t="str">
        <f>IFERROR(__xludf.DUMMYFUNCTION("""COMPUTED_VALUE"""),"1WR-C")</f>
        <v>1WR-C</v>
      </c>
      <c r="CM44" s="16" t="str">
        <f>IFERROR(__xludf.DUMMYFUNCTION("""COMPUTED_VALUE"""),"E")</f>
        <v>E</v>
      </c>
      <c r="CN44" s="16">
        <f>IFERROR(__xludf.DUMMYFUNCTION("""COMPUTED_VALUE"""),10.0)</f>
        <v>10</v>
      </c>
      <c r="CO44" s="16" t="str">
        <f>IFERROR(__xludf.DUMMYFUNCTION("""COMPUTED_VALUE"""),"C")</f>
        <v>C</v>
      </c>
      <c r="CP44" s="16" t="str">
        <f>IFERROR(__xludf.DUMMYFUNCTION("""COMPUTED_VALUE"""),"6p20")</f>
        <v>6p20</v>
      </c>
      <c r="CQ44" s="16">
        <f>IFERROR(__xludf.DUMMYFUNCTION("""COMPUTED_VALUE"""),46.0)</f>
        <v>46</v>
      </c>
      <c r="CR44" s="16">
        <f>IFERROR(__xludf.DUMMYFUNCTION("""COMPUTED_VALUE"""),21.0)</f>
        <v>21</v>
      </c>
      <c r="CS44" s="16">
        <f>IFERROR(__xludf.DUMMYFUNCTION("""COMPUTED_VALUE"""),67.0)</f>
        <v>67</v>
      </c>
      <c r="CT44" s="16">
        <f>IFERROR(__xludf.DUMMYFUNCTION("""COMPUTED_VALUE"""),46.0)</f>
        <v>46</v>
      </c>
      <c r="CU44" s="16">
        <f>IFERROR(__xludf.DUMMYFUNCTION("""COMPUTED_VALUE"""),21.0)</f>
        <v>21</v>
      </c>
      <c r="CV44" s="179">
        <f>IFERROR(__xludf.DUMMYFUNCTION("""COMPUTED_VALUE"""),31.333333333333332)</f>
        <v>31.33333333</v>
      </c>
      <c r="CW44" s="179">
        <f>IFERROR(__xludf.DUMMYFUNCTION("""COMPUTED_VALUE"""),-1.0)</f>
        <v>-1</v>
      </c>
      <c r="CX44" s="179">
        <f>IFERROR(__xludf.DUMMYFUNCTION("""COMPUTED_VALUE"""),3.0)</f>
        <v>3</v>
      </c>
      <c r="CY44" s="16" t="str">
        <f>IFERROR(__xludf.DUMMYFUNCTION("""COMPUTED_VALUE"""),"SP")</f>
        <v>SP</v>
      </c>
      <c r="CZ44" s="16"/>
      <c r="DA44" s="16"/>
      <c r="DB44" s="16"/>
      <c r="DC44" s="16"/>
      <c r="DD44" s="16"/>
      <c r="DE44" s="16"/>
      <c r="DF44" s="16"/>
      <c r="DG44" s="16"/>
      <c r="DH44" s="16"/>
      <c r="DI44" s="16"/>
      <c r="DJ44" s="16"/>
      <c r="DK44" s="16"/>
    </row>
    <row r="45">
      <c r="A45" s="16">
        <f>IFERROR(__xludf.DUMMYFUNCTION("""COMPUTED_VALUE"""),13368.0)</f>
        <v>13368</v>
      </c>
      <c r="B45" s="16" t="str">
        <f>IFERROR(__xludf.DUMMYFUNCTION("""COMPUTED_VALUE"""),"Seth Lugo")</f>
        <v>Seth Lugo</v>
      </c>
      <c r="C45" s="153">
        <f>IFERROR(__xludf.DUMMYFUNCTION("""COMPUTED_VALUE"""),2.31)</f>
        <v>2.31</v>
      </c>
      <c r="D45" s="16"/>
      <c r="E45" s="16" t="str">
        <f>IFERROR(__xludf.DUMMYFUNCTION("""COMPUTED_VALUE"""),"R")</f>
        <v>R</v>
      </c>
      <c r="F45" s="16">
        <f>IFERROR(__xludf.DUMMYFUNCTION("""COMPUTED_VALUE"""),207.0)</f>
        <v>207</v>
      </c>
      <c r="G45" s="16">
        <f>IFERROR(__xludf.DUMMYFUNCTION("""COMPUTED_VALUE"""),26.0)</f>
        <v>26</v>
      </c>
      <c r="H45" s="16">
        <f>IFERROR(__xludf.DUMMYFUNCTION("""COMPUTED_VALUE"""),19.0)</f>
        <v>19</v>
      </c>
      <c r="I45" s="16">
        <f>IFERROR(__xludf.DUMMYFUNCTION("""COMPUTED_VALUE"""),0.0)</f>
        <v>0</v>
      </c>
      <c r="J45" s="16">
        <f>IFERROR(__xludf.DUMMYFUNCTION("""COMPUTED_VALUE"""),-1.0)</f>
        <v>-1</v>
      </c>
      <c r="K45" s="16">
        <f>IFERROR(__xludf.DUMMYFUNCTION("""COMPUTED_VALUE"""),0.0)</f>
        <v>0</v>
      </c>
      <c r="L45" s="16">
        <f>IFERROR(__xludf.DUMMYFUNCTION("""COMPUTED_VALUE"""),-3.0)</f>
        <v>-3</v>
      </c>
      <c r="M45" s="16">
        <f>IFERROR(__xludf.DUMMYFUNCTION("""COMPUTED_VALUE"""),6.0)</f>
        <v>6</v>
      </c>
      <c r="N45" s="16">
        <f>IFERROR(__xludf.DUMMYFUNCTION("""COMPUTED_VALUE"""),1.0)</f>
        <v>1</v>
      </c>
      <c r="O45" s="16">
        <f>IFERROR(__xludf.DUMMYFUNCTION("""COMPUTED_VALUE"""),1.0)</f>
        <v>1</v>
      </c>
      <c r="P45" s="16">
        <f>IFERROR(__xludf.DUMMYFUNCTION("""COMPUTED_VALUE"""),3.0)</f>
        <v>3</v>
      </c>
      <c r="Q45" s="16">
        <f>IFERROR(__xludf.DUMMYFUNCTION("""COMPUTED_VALUE"""),1.0)</f>
        <v>1</v>
      </c>
      <c r="R45" s="16">
        <f>IFERROR(__xludf.DUMMYFUNCTION("""COMPUTED_VALUE"""),3.0)</f>
        <v>3</v>
      </c>
      <c r="S45" s="16">
        <f>IFERROR(__xludf.DUMMYFUNCTION("""COMPUTED_VALUE"""),17.8)</f>
        <v>17.8</v>
      </c>
      <c r="T45" s="16">
        <f>IFERROR(__xludf.DUMMYFUNCTION("""COMPUTED_VALUE"""),11.5)</f>
        <v>11.5</v>
      </c>
      <c r="U45" s="16">
        <f>IFERROR(__xludf.DUMMYFUNCTION("""COMPUTED_VALUE"""),0.0)</f>
        <v>0</v>
      </c>
      <c r="V45" s="16">
        <f>IFERROR(__xludf.DUMMYFUNCTION("""COMPUTED_VALUE"""),1.0)</f>
        <v>1</v>
      </c>
      <c r="W45" s="16">
        <f>IFERROR(__xludf.DUMMYFUNCTION("""COMPUTED_VALUE"""),0.0)</f>
        <v>0</v>
      </c>
      <c r="X45" s="16">
        <f>IFERROR(__xludf.DUMMYFUNCTION("""COMPUTED_VALUE"""),2.0)</f>
        <v>2</v>
      </c>
      <c r="Y45" s="16">
        <f>IFERROR(__xludf.DUMMYFUNCTION("""COMPUTED_VALUE"""),23.8)</f>
        <v>23.8</v>
      </c>
      <c r="Z45" s="16">
        <f>IFERROR(__xludf.DUMMYFUNCTION("""COMPUTED_VALUE"""),12.5)</f>
        <v>12.5</v>
      </c>
      <c r="AA45" s="16">
        <f>IFERROR(__xludf.DUMMYFUNCTION("""COMPUTED_VALUE"""),0.0)</f>
        <v>0</v>
      </c>
      <c r="AB45" s="16">
        <f>IFERROR(__xludf.DUMMYFUNCTION("""COMPUTED_VALUE"""),2.0)</f>
        <v>2</v>
      </c>
      <c r="AC45" s="16">
        <f>IFERROR(__xludf.DUMMYFUNCTION("""COMPUTED_VALUE"""),0.0)</f>
        <v>0</v>
      </c>
      <c r="AD45" s="16">
        <f>IFERROR(__xludf.DUMMYFUNCTION("""COMPUTED_VALUE"""),10.0)</f>
        <v>10</v>
      </c>
      <c r="AE45" s="16">
        <f>IFERROR(__xludf.DUMMYFUNCTION("""COMPUTED_VALUE"""),28.0)</f>
        <v>28</v>
      </c>
      <c r="AF45" s="16">
        <f>IFERROR(__xludf.DUMMYFUNCTION("""COMPUTED_VALUE"""),19.4)</f>
        <v>19.4</v>
      </c>
      <c r="AG45" s="16">
        <f>IFERROR(__xludf.DUMMYFUNCTION("""COMPUTED_VALUE"""),0.0)</f>
        <v>0</v>
      </c>
      <c r="AH45" s="16">
        <f>IFERROR(__xludf.DUMMYFUNCTION("""COMPUTED_VALUE"""),1.0)</f>
        <v>1</v>
      </c>
      <c r="AI45" s="16">
        <f>IFERROR(__xludf.DUMMYFUNCTION("""COMPUTED_VALUE"""),0.0)</f>
        <v>0</v>
      </c>
      <c r="AJ45" s="16">
        <f>IFERROR(__xludf.DUMMYFUNCTION("""COMPUTED_VALUE"""),2.0)</f>
        <v>2</v>
      </c>
      <c r="AK45" s="16">
        <f>IFERROR(__xludf.DUMMYFUNCTION("""COMPUTED_VALUE"""),17.8)</f>
        <v>17.8</v>
      </c>
      <c r="AL45" s="16">
        <f>IFERROR(__xludf.DUMMYFUNCTION("""COMPUTED_VALUE"""),10.1)</f>
        <v>10.1</v>
      </c>
      <c r="AM45" s="16">
        <f>IFERROR(__xludf.DUMMYFUNCTION("""COMPUTED_VALUE"""),-1.0)</f>
        <v>-1</v>
      </c>
      <c r="AN45" s="16">
        <f>IFERROR(__xludf.DUMMYFUNCTION("""COMPUTED_VALUE"""),1.0)</f>
        <v>1</v>
      </c>
      <c r="AO45" s="16">
        <f>IFERROR(__xludf.DUMMYFUNCTION("""COMPUTED_VALUE"""),-1.0)</f>
        <v>-1</v>
      </c>
      <c r="AP45" s="16">
        <f>IFERROR(__xludf.DUMMYFUNCTION("""COMPUTED_VALUE"""),1.0)</f>
        <v>1</v>
      </c>
      <c r="AQ45" s="16">
        <f>IFERROR(__xludf.DUMMYFUNCTION("""COMPUTED_VALUE"""),28.0)</f>
        <v>28</v>
      </c>
      <c r="AR45" s="16">
        <f>IFERROR(__xludf.DUMMYFUNCTION("""COMPUTED_VALUE"""),13.799999999999999)</f>
        <v>13.8</v>
      </c>
      <c r="AS45" s="16">
        <f>IFERROR(__xludf.DUMMYFUNCTION("""COMPUTED_VALUE"""),-1.0)</f>
        <v>-1</v>
      </c>
      <c r="AT45" s="16">
        <f>IFERROR(__xludf.DUMMYFUNCTION("""COMPUTED_VALUE"""),1.0)</f>
        <v>1</v>
      </c>
      <c r="AU45" s="16">
        <f>IFERROR(__xludf.DUMMYFUNCTION("""COMPUTED_VALUE"""),-2.0)</f>
        <v>-2</v>
      </c>
      <c r="AV45" s="16">
        <f>IFERROR(__xludf.DUMMYFUNCTION("""COMPUTED_VALUE"""),2.0)</f>
        <v>2</v>
      </c>
      <c r="AW45" s="16">
        <f>IFERROR(__xludf.DUMMYFUNCTION("""COMPUTED_VALUE"""),0.0)</f>
        <v>0</v>
      </c>
      <c r="AX45" s="16">
        <f>IFERROR(__xludf.DUMMYFUNCTION("""COMPUTED_VALUE"""),1.4)</f>
        <v>1.4</v>
      </c>
      <c r="AY45" s="16">
        <f>IFERROR(__xludf.DUMMYFUNCTION("""COMPUTED_VALUE"""),2.0)</f>
        <v>2</v>
      </c>
      <c r="AZ45" s="16">
        <f>IFERROR(__xludf.DUMMYFUNCTION("""COMPUTED_VALUE"""),1.0)</f>
        <v>1</v>
      </c>
      <c r="BA45" s="16">
        <f>IFERROR(__xludf.DUMMYFUNCTION("""COMPUTED_VALUE"""),10.0)</f>
        <v>10</v>
      </c>
      <c r="BB45" s="16">
        <f>IFERROR(__xludf.DUMMYFUNCTION("""COMPUTED_VALUE"""),5.0)</f>
        <v>5</v>
      </c>
      <c r="BC45" s="16">
        <f>IFERROR(__xludf.DUMMYFUNCTION("""COMPUTED_VALUE"""),0.0)</f>
        <v>0</v>
      </c>
      <c r="BD45" s="16">
        <f>IFERROR(__xludf.DUMMYFUNCTION("""COMPUTED_VALUE"""),1.0)</f>
        <v>1</v>
      </c>
      <c r="BE45" s="16">
        <f>IFERROR(__xludf.DUMMYFUNCTION("""COMPUTED_VALUE"""),0.0)</f>
        <v>0</v>
      </c>
      <c r="BF45" s="16">
        <f>IFERROR(__xludf.DUMMYFUNCTION("""COMPUTED_VALUE"""),1.0)</f>
        <v>1</v>
      </c>
      <c r="BG45" s="16">
        <f>IFERROR(__xludf.DUMMYFUNCTION("""COMPUTED_VALUE"""),3.0)</f>
        <v>3</v>
      </c>
      <c r="BH45" s="16">
        <f>IFERROR(__xludf.DUMMYFUNCTION("""COMPUTED_VALUE"""),2.0)</f>
        <v>2</v>
      </c>
      <c r="BI45" s="16">
        <f>IFERROR(__xludf.DUMMYFUNCTION("""COMPUTED_VALUE"""),6.0)</f>
        <v>6</v>
      </c>
      <c r="BJ45" s="16">
        <f>IFERROR(__xludf.DUMMYFUNCTION("""COMPUTED_VALUE"""),4.0)</f>
        <v>4</v>
      </c>
      <c r="BK45" s="16">
        <f>IFERROR(__xludf.DUMMYFUNCTION("""COMPUTED_VALUE"""),5.0)</f>
        <v>5</v>
      </c>
      <c r="BL45" s="16">
        <f>IFERROR(__xludf.DUMMYFUNCTION("""COMPUTED_VALUE"""),5.0)</f>
        <v>5</v>
      </c>
      <c r="BM45" s="16">
        <f>IFERROR(__xludf.DUMMYFUNCTION("""COMPUTED_VALUE"""),0.0)</f>
        <v>0</v>
      </c>
      <c r="BN45" s="16">
        <f>IFERROR(__xludf.DUMMYFUNCTION("""COMPUTED_VALUE"""),0.0)</f>
        <v>0</v>
      </c>
      <c r="BO45" s="16">
        <f>IFERROR(__xludf.DUMMYFUNCTION("""COMPUTED_VALUE"""),0.0)</f>
        <v>0</v>
      </c>
      <c r="BP45" s="16">
        <f>IFERROR(__xludf.DUMMYFUNCTION("""COMPUTED_VALUE"""),0.0)</f>
        <v>0</v>
      </c>
      <c r="BQ45" s="16">
        <f>IFERROR(__xludf.DUMMYFUNCTION("""COMPUTED_VALUE"""),8.0)</f>
        <v>8</v>
      </c>
      <c r="BR45" s="16">
        <f>IFERROR(__xludf.DUMMYFUNCTION("""COMPUTED_VALUE"""),8.0)</f>
        <v>8</v>
      </c>
      <c r="BS45" s="16">
        <f>IFERROR(__xludf.DUMMYFUNCTION("""COMPUTED_VALUE"""),2.0)</f>
        <v>2</v>
      </c>
      <c r="BT45" s="16">
        <f>IFERROR(__xludf.DUMMYFUNCTION("""COMPUTED_VALUE"""),2.0)</f>
        <v>2</v>
      </c>
      <c r="BU45" s="16">
        <f>IFERROR(__xludf.DUMMYFUNCTION("""COMPUTED_VALUE"""),4.0)</f>
        <v>4</v>
      </c>
      <c r="BV45" s="16">
        <f>IFERROR(__xludf.DUMMYFUNCTION("""COMPUTED_VALUE"""),4.0)</f>
        <v>4</v>
      </c>
      <c r="BW45" s="16">
        <f>IFERROR(__xludf.DUMMYFUNCTION("""COMPUTED_VALUE"""),-1.0)</f>
        <v>-1</v>
      </c>
      <c r="BX45" s="16">
        <f>IFERROR(__xludf.DUMMYFUNCTION("""COMPUTED_VALUE"""),-1.0)</f>
        <v>-1</v>
      </c>
      <c r="BY45" s="16" t="str">
        <f>IFERROR(__xludf.DUMMYFUNCTION("""COMPUTED_VALUE"""),"S(6*)")</f>
        <v>S(6*)</v>
      </c>
      <c r="BZ45" s="16" t="str">
        <f>IFERROR(__xludf.DUMMYFUNCTION("""COMPUTED_VALUE"""),"S(6)")</f>
        <v>S(6)</v>
      </c>
      <c r="CA45" s="16" t="str">
        <f>IFERROR(__xludf.DUMMYFUNCTION("""COMPUTED_VALUE"""),"S(6)")</f>
        <v>S(6)</v>
      </c>
      <c r="CB45" s="16"/>
      <c r="CC45" s="16"/>
      <c r="CD45" s="16">
        <f>IFERROR(__xludf.DUMMYFUNCTION("""COMPUTED_VALUE"""),6.0)</f>
        <v>6</v>
      </c>
      <c r="CE45" s="16"/>
      <c r="CF45" s="16"/>
      <c r="CG45" s="16" t="str">
        <f>IFERROR(__xludf.DUMMYFUNCTION("""COMPUTED_VALUE"""),"1-0")</f>
        <v>1-0</v>
      </c>
      <c r="CH45" s="16">
        <f>IFERROR(__xludf.DUMMYFUNCTION("""COMPUTED_VALUE"""),1.0)</f>
        <v>1</v>
      </c>
      <c r="CI45" s="16">
        <f>IFERROR(__xludf.DUMMYFUNCTION("""COMPUTED_VALUE"""),0.0)</f>
        <v>0</v>
      </c>
      <c r="CJ45" s="16">
        <f>IFERROR(__xludf.DUMMYFUNCTION("""COMPUTED_VALUE"""),0.0)</f>
        <v>0</v>
      </c>
      <c r="CK45" s="16">
        <f>IFERROR(__xludf.DUMMYFUNCTION("""COMPUTED_VALUE"""),4.0)</f>
        <v>4</v>
      </c>
      <c r="CL45" s="16" t="str">
        <f>IFERROR(__xludf.DUMMYFUNCTION("""COMPUTED_VALUE"""),"1WR-C")</f>
        <v>1WR-C</v>
      </c>
      <c r="CM45" s="16" t="str">
        <f>IFERROR(__xludf.DUMMYFUNCTION("""COMPUTED_VALUE"""),"E")</f>
        <v>E</v>
      </c>
      <c r="CN45" s="16">
        <f>IFERROR(__xludf.DUMMYFUNCTION("""COMPUTED_VALUE"""),10.0)</f>
        <v>10</v>
      </c>
      <c r="CO45" s="16" t="str">
        <f>IFERROR(__xludf.DUMMYFUNCTION("""COMPUTED_VALUE"""),"C")</f>
        <v>C</v>
      </c>
      <c r="CP45" s="16" t="str">
        <f>IFERROR(__xludf.DUMMYFUNCTION("""COMPUTED_VALUE"""),"0p72")</f>
        <v>0p72</v>
      </c>
      <c r="CQ45" s="16">
        <f>IFERROR(__xludf.DUMMYFUNCTION("""COMPUTED_VALUE"""),18.0)</f>
        <v>18</v>
      </c>
      <c r="CR45" s="16">
        <f>IFERROR(__xludf.DUMMYFUNCTION("""COMPUTED_VALUE"""),30.0)</f>
        <v>30</v>
      </c>
      <c r="CS45" s="16">
        <f>IFERROR(__xludf.DUMMYFUNCTION("""COMPUTED_VALUE"""),48.0)</f>
        <v>48</v>
      </c>
      <c r="CT45" s="16">
        <f>IFERROR(__xludf.DUMMYFUNCTION("""COMPUTED_VALUE"""),18.0)</f>
        <v>18</v>
      </c>
      <c r="CU45" s="16">
        <f>IFERROR(__xludf.DUMMYFUNCTION("""COMPUTED_VALUE"""),30.0)</f>
        <v>30</v>
      </c>
      <c r="CV45" s="179">
        <f>IFERROR(__xludf.DUMMYFUNCTION("""COMPUTED_VALUE"""),31.0)</f>
        <v>31</v>
      </c>
      <c r="CW45" s="179">
        <f>IFERROR(__xludf.DUMMYFUNCTION("""COMPUTED_VALUE"""),5.0)</f>
        <v>5</v>
      </c>
      <c r="CX45" s="179">
        <f>IFERROR(__xludf.DUMMYFUNCTION("""COMPUTED_VALUE"""),4.0)</f>
        <v>4</v>
      </c>
      <c r="CY45" s="16" t="str">
        <f>IFERROR(__xludf.DUMMYFUNCTION("""COMPUTED_VALUE"""),"SP")</f>
        <v>SP</v>
      </c>
      <c r="CZ45" s="16"/>
      <c r="DA45" s="16"/>
      <c r="DB45" s="16"/>
      <c r="DC45" s="16"/>
      <c r="DD45" s="16"/>
      <c r="DE45" s="16"/>
      <c r="DF45" s="16"/>
      <c r="DG45" s="16"/>
      <c r="DH45" s="16"/>
      <c r="DI45" s="16"/>
      <c r="DJ45" s="16"/>
      <c r="DK45" s="16"/>
    </row>
    <row r="46">
      <c r="A46" s="16">
        <f>IFERROR(__xludf.DUMMYFUNCTION("""COMPUTED_VALUE"""),13033.0)</f>
        <v>13033</v>
      </c>
      <c r="B46" s="16" t="str">
        <f>IFERROR(__xludf.DUMMYFUNCTION("""COMPUTED_VALUE"""),"Josh Hader")</f>
        <v>Josh Hader</v>
      </c>
      <c r="C46" s="153">
        <f>IFERROR(__xludf.DUMMYFUNCTION("""COMPUTED_VALUE"""),0.41)</f>
        <v>0.41</v>
      </c>
      <c r="D46" s="16"/>
      <c r="E46" s="16" t="str">
        <f>IFERROR(__xludf.DUMMYFUNCTION("""COMPUTED_VALUE"""),"L")</f>
        <v>L</v>
      </c>
      <c r="F46" s="16">
        <f>IFERROR(__xludf.DUMMYFUNCTION("""COMPUTED_VALUE"""),71.0)</f>
        <v>71</v>
      </c>
      <c r="G46" s="16">
        <f>IFERROR(__xludf.DUMMYFUNCTION("""COMPUTED_VALUE"""),63.0)</f>
        <v>63</v>
      </c>
      <c r="H46" s="16">
        <f>IFERROR(__xludf.DUMMYFUNCTION("""COMPUTED_VALUE"""),49.0)</f>
        <v>49</v>
      </c>
      <c r="I46" s="16">
        <f>IFERROR(__xludf.DUMMYFUNCTION("""COMPUTED_VALUE"""),3.0)</f>
        <v>3</v>
      </c>
      <c r="J46" s="16">
        <f>IFERROR(__xludf.DUMMYFUNCTION("""COMPUTED_VALUE"""),2.0)</f>
        <v>2</v>
      </c>
      <c r="K46" s="16">
        <f>IFERROR(__xludf.DUMMYFUNCTION("""COMPUTED_VALUE"""),9.0)</f>
        <v>9</v>
      </c>
      <c r="L46" s="16">
        <f>IFERROR(__xludf.DUMMYFUNCTION("""COMPUTED_VALUE"""),6.0)</f>
        <v>6</v>
      </c>
      <c r="M46" s="16">
        <f>IFERROR(__xludf.DUMMYFUNCTION("""COMPUTED_VALUE"""),12.0)</f>
        <v>12</v>
      </c>
      <c r="N46" s="16">
        <f>IFERROR(__xludf.DUMMYFUNCTION("""COMPUTED_VALUE"""),10.0)</f>
        <v>10</v>
      </c>
      <c r="O46" s="16">
        <f>IFERROR(__xludf.DUMMYFUNCTION("""COMPUTED_VALUE"""),-1.0)</f>
        <v>-1</v>
      </c>
      <c r="P46" s="16">
        <f>IFERROR(__xludf.DUMMYFUNCTION("""COMPUTED_VALUE"""),-1.0)</f>
        <v>-1</v>
      </c>
      <c r="Q46" s="16">
        <f>IFERROR(__xludf.DUMMYFUNCTION("""COMPUTED_VALUE"""),-1.0)</f>
        <v>-1</v>
      </c>
      <c r="R46" s="16">
        <f>IFERROR(__xludf.DUMMYFUNCTION("""COMPUTED_VALUE"""),-1.0)</f>
        <v>-1</v>
      </c>
      <c r="S46" s="16">
        <f>IFERROR(__xludf.DUMMYFUNCTION("""COMPUTED_VALUE"""),0.0)</f>
        <v>0</v>
      </c>
      <c r="T46" s="16">
        <f>IFERROR(__xludf.DUMMYFUNCTION("""COMPUTED_VALUE"""),5.7)</f>
        <v>5.7</v>
      </c>
      <c r="U46" s="16">
        <f>IFERROR(__xludf.DUMMYFUNCTION("""COMPUTED_VALUE"""),3.0)</f>
        <v>3</v>
      </c>
      <c r="V46" s="16">
        <f>IFERROR(__xludf.DUMMYFUNCTION("""COMPUTED_VALUE"""),2.0)</f>
        <v>2</v>
      </c>
      <c r="W46" s="16">
        <f>IFERROR(__xludf.DUMMYFUNCTION("""COMPUTED_VALUE"""),6.0)</f>
        <v>6</v>
      </c>
      <c r="X46" s="16">
        <f>IFERROR(__xludf.DUMMYFUNCTION("""COMPUTED_VALUE"""),4.0)</f>
        <v>4</v>
      </c>
      <c r="Y46" s="16">
        <f>IFERROR(__xludf.DUMMYFUNCTION("""COMPUTED_VALUE"""),12.0)</f>
        <v>12</v>
      </c>
      <c r="Z46" s="16">
        <f>IFERROR(__xludf.DUMMYFUNCTION("""COMPUTED_VALUE"""),15.6)</f>
        <v>15.6</v>
      </c>
      <c r="AA46" s="16">
        <f>IFERROR(__xludf.DUMMYFUNCTION("""COMPUTED_VALUE"""),2.0)</f>
        <v>2</v>
      </c>
      <c r="AB46" s="16">
        <f>IFERROR(__xludf.DUMMYFUNCTION("""COMPUTED_VALUE"""),2.0)</f>
        <v>2</v>
      </c>
      <c r="AC46" s="16">
        <f>IFERROR(__xludf.DUMMYFUNCTION("""COMPUTED_VALUE"""),10.0)</f>
        <v>10</v>
      </c>
      <c r="AD46" s="16">
        <f>IFERROR(__xludf.DUMMYFUNCTION("""COMPUTED_VALUE"""),10.0)</f>
        <v>10</v>
      </c>
      <c r="AE46" s="16">
        <f>IFERROR(__xludf.DUMMYFUNCTION("""COMPUTED_VALUE"""),0.0)</f>
        <v>0</v>
      </c>
      <c r="AF46" s="16">
        <f>IFERROR(__xludf.DUMMYFUNCTION("""COMPUTED_VALUE"""),21.0)</f>
        <v>21</v>
      </c>
      <c r="AG46" s="16">
        <f>IFERROR(__xludf.DUMMYFUNCTION("""COMPUTED_VALUE"""),3.0)</f>
        <v>3</v>
      </c>
      <c r="AH46" s="16">
        <f>IFERROR(__xludf.DUMMYFUNCTION("""COMPUTED_VALUE"""),1.0)</f>
        <v>1</v>
      </c>
      <c r="AI46" s="16">
        <f>IFERROR(__xludf.DUMMYFUNCTION("""COMPUTED_VALUE"""),6.0)</f>
        <v>6</v>
      </c>
      <c r="AJ46" s="16">
        <f>IFERROR(__xludf.DUMMYFUNCTION("""COMPUTED_VALUE"""),2.0)</f>
        <v>2</v>
      </c>
      <c r="AK46" s="16">
        <f>IFERROR(__xludf.DUMMYFUNCTION("""COMPUTED_VALUE"""),0.0)</f>
        <v>0</v>
      </c>
      <c r="AL46" s="16">
        <f>IFERROR(__xludf.DUMMYFUNCTION("""COMPUTED_VALUE"""),1.2000000000000002)</f>
        <v>1.2</v>
      </c>
      <c r="AM46" s="16">
        <f>IFERROR(__xludf.DUMMYFUNCTION("""COMPUTED_VALUE"""),3.0)</f>
        <v>3</v>
      </c>
      <c r="AN46" s="16">
        <f>IFERROR(__xludf.DUMMYFUNCTION("""COMPUTED_VALUE"""),2.0)</f>
        <v>2</v>
      </c>
      <c r="AO46" s="16">
        <f>IFERROR(__xludf.DUMMYFUNCTION("""COMPUTED_VALUE"""),3.0)</f>
        <v>3</v>
      </c>
      <c r="AP46" s="16">
        <f>IFERROR(__xludf.DUMMYFUNCTION("""COMPUTED_VALUE"""),2.0)</f>
        <v>2</v>
      </c>
      <c r="AQ46" s="16">
        <f>IFERROR(__xludf.DUMMYFUNCTION("""COMPUTED_VALUE"""),0.0)</f>
        <v>0</v>
      </c>
      <c r="AR46" s="16">
        <f>IFERROR(__xludf.DUMMYFUNCTION("""COMPUTED_VALUE"""),3.0)</f>
        <v>3</v>
      </c>
      <c r="AS46" s="16">
        <f>IFERROR(__xludf.DUMMYFUNCTION("""COMPUTED_VALUE"""),3.0)</f>
        <v>3</v>
      </c>
      <c r="AT46" s="16">
        <f>IFERROR(__xludf.DUMMYFUNCTION("""COMPUTED_VALUE"""),2.0)</f>
        <v>2</v>
      </c>
      <c r="AU46" s="16">
        <f>IFERROR(__xludf.DUMMYFUNCTION("""COMPUTED_VALUE"""),6.0)</f>
        <v>6</v>
      </c>
      <c r="AV46" s="16">
        <f>IFERROR(__xludf.DUMMYFUNCTION("""COMPUTED_VALUE"""),4.0)</f>
        <v>4</v>
      </c>
      <c r="AW46" s="16">
        <f>IFERROR(__xludf.DUMMYFUNCTION("""COMPUTED_VALUE"""),0.0)</f>
        <v>0</v>
      </c>
      <c r="AX46" s="16">
        <f>IFERROR(__xludf.DUMMYFUNCTION("""COMPUTED_VALUE"""),4.5)</f>
        <v>4.5</v>
      </c>
      <c r="AY46" s="16">
        <f>IFERROR(__xludf.DUMMYFUNCTION("""COMPUTED_VALUE"""),2.0)</f>
        <v>2</v>
      </c>
      <c r="AZ46" s="16">
        <f>IFERROR(__xludf.DUMMYFUNCTION("""COMPUTED_VALUE"""),-2.0)</f>
        <v>-2</v>
      </c>
      <c r="BA46" s="16">
        <f>IFERROR(__xludf.DUMMYFUNCTION("""COMPUTED_VALUE"""),10.0)</f>
        <v>10</v>
      </c>
      <c r="BB46" s="16">
        <f>IFERROR(__xludf.DUMMYFUNCTION("""COMPUTED_VALUE"""),-10.0)</f>
        <v>-10</v>
      </c>
      <c r="BC46" s="16"/>
      <c r="BD46" s="16">
        <f>IFERROR(__xludf.DUMMYFUNCTION("""COMPUTED_VALUE"""),7.0)</f>
        <v>7</v>
      </c>
      <c r="BE46" s="16">
        <f>IFERROR(__xludf.DUMMYFUNCTION("""COMPUTED_VALUE"""),0.0)</f>
        <v>0</v>
      </c>
      <c r="BF46" s="16">
        <f>IFERROR(__xludf.DUMMYFUNCTION("""COMPUTED_VALUE"""),7.0)</f>
        <v>7</v>
      </c>
      <c r="BG46" s="16">
        <f>IFERROR(__xludf.DUMMYFUNCTION("""COMPUTED_VALUE"""),3.0)</f>
        <v>3</v>
      </c>
      <c r="BH46" s="16">
        <f>IFERROR(__xludf.DUMMYFUNCTION("""COMPUTED_VALUE"""),-3.0)</f>
        <v>-3</v>
      </c>
      <c r="BI46" s="16">
        <f>IFERROR(__xludf.DUMMYFUNCTION("""COMPUTED_VALUE"""),6.0)</f>
        <v>6</v>
      </c>
      <c r="BJ46" s="16">
        <f>IFERROR(__xludf.DUMMYFUNCTION("""COMPUTED_VALUE"""),-6.0)</f>
        <v>-6</v>
      </c>
      <c r="BK46" s="16">
        <f>IFERROR(__xludf.DUMMYFUNCTION("""COMPUTED_VALUE"""),0.0)</f>
        <v>0</v>
      </c>
      <c r="BL46" s="16">
        <f>IFERROR(__xludf.DUMMYFUNCTION("""COMPUTED_VALUE"""),5.0)</f>
        <v>5</v>
      </c>
      <c r="BM46" s="16">
        <f>IFERROR(__xludf.DUMMYFUNCTION("""COMPUTED_VALUE"""),1.0)</f>
        <v>1</v>
      </c>
      <c r="BN46" s="16">
        <f>IFERROR(__xludf.DUMMYFUNCTION("""COMPUTED_VALUE"""),0.0)</f>
        <v>0</v>
      </c>
      <c r="BO46" s="16">
        <f>IFERROR(__xludf.DUMMYFUNCTION("""COMPUTED_VALUE"""),1.0)</f>
        <v>1</v>
      </c>
      <c r="BP46" s="16">
        <f>IFERROR(__xludf.DUMMYFUNCTION("""COMPUTED_VALUE"""),0.0)</f>
        <v>0</v>
      </c>
      <c r="BQ46" s="16">
        <f>IFERROR(__xludf.DUMMYFUNCTION("""COMPUTED_VALUE"""),3.0)</f>
        <v>3</v>
      </c>
      <c r="BR46" s="16">
        <f>IFERROR(__xludf.DUMMYFUNCTION("""COMPUTED_VALUE"""),0.0)</f>
        <v>0</v>
      </c>
      <c r="BS46" s="16">
        <f>IFERROR(__xludf.DUMMYFUNCTION("""COMPUTED_VALUE"""),-1.0)</f>
        <v>-1</v>
      </c>
      <c r="BT46" s="16">
        <f>IFERROR(__xludf.DUMMYFUNCTION("""COMPUTED_VALUE"""),-3.0)</f>
        <v>-3</v>
      </c>
      <c r="BU46" s="16">
        <f>IFERROR(__xludf.DUMMYFUNCTION("""COMPUTED_VALUE"""),-2.0)</f>
        <v>-2</v>
      </c>
      <c r="BV46" s="16">
        <f>IFERROR(__xludf.DUMMYFUNCTION("""COMPUTED_VALUE"""),-6.0)</f>
        <v>-6</v>
      </c>
      <c r="BW46" s="16">
        <f>IFERROR(__xludf.DUMMYFUNCTION("""COMPUTED_VALUE"""),-2.0)</f>
        <v>-2</v>
      </c>
      <c r="BX46" s="16">
        <f>IFERROR(__xludf.DUMMYFUNCTION("""COMPUTED_VALUE"""),-2.0)</f>
        <v>-2</v>
      </c>
      <c r="BY46" s="16" t="str">
        <f>IFERROR(__xludf.DUMMYFUNCTION("""COMPUTED_VALUE"""),"R(1) C(6)")</f>
        <v>R(1) C(6)</v>
      </c>
      <c r="BZ46" s="16" t="str">
        <f>IFERROR(__xludf.DUMMYFUNCTION("""COMPUTED_VALUE"""),"R(1) C(6)")</f>
        <v>R(1) C(6)</v>
      </c>
      <c r="CA46" s="16" t="str">
        <f>IFERROR(__xludf.DUMMYFUNCTION("""COMPUTED_VALUE"""),"R(1)")</f>
        <v>R(1)</v>
      </c>
      <c r="CB46" s="16" t="str">
        <f>IFERROR(__xludf.DUMMYFUNCTION("""COMPUTED_VALUE"""),"C(6)")</f>
        <v>C(6)</v>
      </c>
      <c r="CC46" s="16"/>
      <c r="CD46" s="16"/>
      <c r="CE46" s="16">
        <f>IFERROR(__xludf.DUMMYFUNCTION("""COMPUTED_VALUE"""),1.0)</f>
        <v>1</v>
      </c>
      <c r="CF46" s="16">
        <f>IFERROR(__xludf.DUMMYFUNCTION("""COMPUTED_VALUE"""),6.0)</f>
        <v>6</v>
      </c>
      <c r="CG46" s="16" t="str">
        <f>IFERROR(__xludf.DUMMYFUNCTION("""COMPUTED_VALUE"""),"2-0")</f>
        <v>2-0</v>
      </c>
      <c r="CH46" s="16">
        <f>IFERROR(__xludf.DUMMYFUNCTION("""COMPUTED_VALUE"""),2.0)</f>
        <v>2</v>
      </c>
      <c r="CI46" s="16">
        <f>IFERROR(__xludf.DUMMYFUNCTION("""COMPUTED_VALUE"""),0.0)</f>
        <v>0</v>
      </c>
      <c r="CJ46" s="16">
        <f>IFERROR(__xludf.DUMMYFUNCTION("""COMPUTED_VALUE"""),10.0)</f>
        <v>10</v>
      </c>
      <c r="CK46" s="16">
        <f>IFERROR(__xludf.DUMMYFUNCTION("""COMPUTED_VALUE"""),13.0)</f>
        <v>13</v>
      </c>
      <c r="CL46" s="16" t="str">
        <f>IFERROR(__xludf.DUMMYFUNCTION("""COMPUTED_VALUE"""),"1WL-C")</f>
        <v>1WL-C</v>
      </c>
      <c r="CM46" s="16" t="str">
        <f>IFERROR(__xludf.DUMMYFUNCTION("""COMPUTED_VALUE"""),"E")</f>
        <v>E</v>
      </c>
      <c r="CN46" s="16">
        <f>IFERROR(__xludf.DUMMYFUNCTION("""COMPUTED_VALUE"""),10.0)</f>
        <v>10</v>
      </c>
      <c r="CO46" s="16" t="str">
        <f>IFERROR(__xludf.DUMMYFUNCTION("""COMPUTED_VALUE"""),"C")</f>
        <v>C</v>
      </c>
      <c r="CP46" s="16" t="str">
        <f>IFERROR(__xludf.DUMMYFUNCTION("""COMPUTED_VALUE"""),"0p72")</f>
        <v>0p72</v>
      </c>
      <c r="CQ46" s="16">
        <f>IFERROR(__xludf.DUMMYFUNCTION("""COMPUTED_VALUE"""),54.0)</f>
        <v>54</v>
      </c>
      <c r="CR46" s="16">
        <f>IFERROR(__xludf.DUMMYFUNCTION("""COMPUTED_VALUE"""),5.0)</f>
        <v>5</v>
      </c>
      <c r="CS46" s="16">
        <f>IFERROR(__xludf.DUMMYFUNCTION("""COMPUTED_VALUE"""),59.0)</f>
        <v>59</v>
      </c>
      <c r="CT46" s="16">
        <f>IFERROR(__xludf.DUMMYFUNCTION("""COMPUTED_VALUE"""),54.0)</f>
        <v>54</v>
      </c>
      <c r="CU46" s="16">
        <f>IFERROR(__xludf.DUMMYFUNCTION("""COMPUTED_VALUE"""),5.0)</f>
        <v>5</v>
      </c>
      <c r="CV46" s="179">
        <f>IFERROR(__xludf.DUMMYFUNCTION("""COMPUTED_VALUE"""),30.333333333333332)</f>
        <v>30.33333333</v>
      </c>
      <c r="CW46" s="179">
        <f>IFERROR(__xludf.DUMMYFUNCTION("""COMPUTED_VALUE"""),5.0)</f>
        <v>5</v>
      </c>
      <c r="CX46" s="179">
        <f>IFERROR(__xludf.DUMMYFUNCTION("""COMPUTED_VALUE"""),4.0)</f>
        <v>4</v>
      </c>
      <c r="CY46" s="16" t="str">
        <f>IFERROR(__xludf.DUMMYFUNCTION("""COMPUTED_VALUE"""),"RP")</f>
        <v>RP</v>
      </c>
      <c r="CZ46" s="16" t="str">
        <f>IFERROR(__xludf.DUMMYFUNCTION("""COMPUTED_VALUE"""),"CP")</f>
        <v>CP</v>
      </c>
      <c r="DA46" s="16"/>
      <c r="DB46" s="16"/>
      <c r="DC46" s="16"/>
      <c r="DD46" s="16"/>
      <c r="DE46" s="16"/>
      <c r="DF46" s="16"/>
      <c r="DG46" s="16"/>
      <c r="DH46" s="16"/>
      <c r="DI46" s="16"/>
      <c r="DJ46" s="16"/>
      <c r="DK46" s="16"/>
    </row>
    <row r="47">
      <c r="A47" s="16">
        <f>IFERROR(__xludf.DUMMYFUNCTION("""COMPUTED_VALUE"""),13524.0)</f>
        <v>13524</v>
      </c>
      <c r="B47" s="16" t="str">
        <f>IFERROR(__xludf.DUMMYFUNCTION("""COMPUTED_VALUE"""),"Zack Wheeler")</f>
        <v>Zack Wheeler</v>
      </c>
      <c r="C47" s="153">
        <f>IFERROR(__xludf.DUMMYFUNCTION("""COMPUTED_VALUE"""),2.75)</f>
        <v>2.75</v>
      </c>
      <c r="D47" s="16"/>
      <c r="E47" s="16" t="str">
        <f>IFERROR(__xludf.DUMMYFUNCTION("""COMPUTED_VALUE"""),"R")</f>
        <v>R</v>
      </c>
      <c r="F47" s="16">
        <f>IFERROR(__xludf.DUMMYFUNCTION("""COMPUTED_VALUE"""),200.0)</f>
        <v>200</v>
      </c>
      <c r="G47" s="16">
        <f>IFERROR(__xludf.DUMMYFUNCTION("""COMPUTED_VALUE"""),33.0)</f>
        <v>33</v>
      </c>
      <c r="H47" s="16">
        <f>IFERROR(__xludf.DUMMYFUNCTION("""COMPUTED_VALUE"""),42.0)</f>
        <v>42</v>
      </c>
      <c r="I47" s="16">
        <f>IFERROR(__xludf.DUMMYFUNCTION("""COMPUTED_VALUE"""),1.0)</f>
        <v>1</v>
      </c>
      <c r="J47" s="16">
        <f>IFERROR(__xludf.DUMMYFUNCTION("""COMPUTED_VALUE"""),2.0)</f>
        <v>2</v>
      </c>
      <c r="K47" s="16">
        <f>IFERROR(__xludf.DUMMYFUNCTION("""COMPUTED_VALUE"""),3.0)</f>
        <v>3</v>
      </c>
      <c r="L47" s="16">
        <f>IFERROR(__xludf.DUMMYFUNCTION("""COMPUTED_VALUE"""),6.0)</f>
        <v>6</v>
      </c>
      <c r="M47" s="16">
        <f>IFERROR(__xludf.DUMMYFUNCTION("""COMPUTED_VALUE"""),11.0)</f>
        <v>11</v>
      </c>
      <c r="N47" s="16">
        <f>IFERROR(__xludf.DUMMYFUNCTION("""COMPUTED_VALUE"""),0.0)</f>
        <v>0</v>
      </c>
      <c r="O47" s="16">
        <f>IFERROR(__xludf.DUMMYFUNCTION("""COMPUTED_VALUE"""),-1.0)</f>
        <v>-1</v>
      </c>
      <c r="P47" s="16">
        <f>IFERROR(__xludf.DUMMYFUNCTION("""COMPUTED_VALUE"""),3.0)</f>
        <v>3</v>
      </c>
      <c r="Q47" s="16">
        <f>IFERROR(__xludf.DUMMYFUNCTION("""COMPUTED_VALUE"""),-1.0)</f>
        <v>-1</v>
      </c>
      <c r="R47" s="16">
        <f>IFERROR(__xludf.DUMMYFUNCTION("""COMPUTED_VALUE"""),3.0)</f>
        <v>3</v>
      </c>
      <c r="S47" s="16">
        <f>IFERROR(__xludf.DUMMYFUNCTION("""COMPUTED_VALUE"""),11.5)</f>
        <v>11.5</v>
      </c>
      <c r="T47" s="16">
        <f>IFERROR(__xludf.DUMMYFUNCTION("""COMPUTED_VALUE"""),3.8)</f>
        <v>3.8</v>
      </c>
      <c r="U47" s="16">
        <f>IFERROR(__xludf.DUMMYFUNCTION("""COMPUTED_VALUE"""),1.0)</f>
        <v>1</v>
      </c>
      <c r="V47" s="16">
        <f>IFERROR(__xludf.DUMMYFUNCTION("""COMPUTED_VALUE"""),2.0)</f>
        <v>2</v>
      </c>
      <c r="W47" s="16">
        <f>IFERROR(__xludf.DUMMYFUNCTION("""COMPUTED_VALUE"""),2.0)</f>
        <v>2</v>
      </c>
      <c r="X47" s="16">
        <f>IFERROR(__xludf.DUMMYFUNCTION("""COMPUTED_VALUE"""),4.0)</f>
        <v>4</v>
      </c>
      <c r="Y47" s="16">
        <f>IFERROR(__xludf.DUMMYFUNCTION("""COMPUTED_VALUE"""),22.6)</f>
        <v>22.6</v>
      </c>
      <c r="Z47" s="16">
        <f>IFERROR(__xludf.DUMMYFUNCTION("""COMPUTED_VALUE"""),3.8)</f>
        <v>3.8</v>
      </c>
      <c r="AA47" s="16">
        <f>IFERROR(__xludf.DUMMYFUNCTION("""COMPUTED_VALUE"""),0.0)</f>
        <v>0</v>
      </c>
      <c r="AB47" s="16">
        <f>IFERROR(__xludf.DUMMYFUNCTION("""COMPUTED_VALUE"""),3.0)</f>
        <v>3</v>
      </c>
      <c r="AC47" s="16">
        <f>IFERROR(__xludf.DUMMYFUNCTION("""COMPUTED_VALUE"""),0.0)</f>
        <v>0</v>
      </c>
      <c r="AD47" s="16">
        <f>IFERROR(__xludf.DUMMYFUNCTION("""COMPUTED_VALUE"""),15.0)</f>
        <v>15</v>
      </c>
      <c r="AE47" s="16">
        <f>IFERROR(__xludf.DUMMYFUNCTION("""COMPUTED_VALUE"""),28.4)</f>
        <v>28.4</v>
      </c>
      <c r="AF47" s="16">
        <f>IFERROR(__xludf.DUMMYFUNCTION("""COMPUTED_VALUE"""),4.9)</f>
        <v>4.9</v>
      </c>
      <c r="AG47" s="16">
        <f>IFERROR(__xludf.DUMMYFUNCTION("""COMPUTED_VALUE"""),0.0)</f>
        <v>0</v>
      </c>
      <c r="AH47" s="16">
        <f>IFERROR(__xludf.DUMMYFUNCTION("""COMPUTED_VALUE"""),2.0)</f>
        <v>2</v>
      </c>
      <c r="AI47" s="16">
        <f>IFERROR(__xludf.DUMMYFUNCTION("""COMPUTED_VALUE"""),0.0)</f>
        <v>0</v>
      </c>
      <c r="AJ47" s="16">
        <f>IFERROR(__xludf.DUMMYFUNCTION("""COMPUTED_VALUE"""),4.0)</f>
        <v>4</v>
      </c>
      <c r="AK47" s="16">
        <f>IFERROR(__xludf.DUMMYFUNCTION("""COMPUTED_VALUE"""),8.9)</f>
        <v>8.9</v>
      </c>
      <c r="AL47" s="16">
        <f>IFERROR(__xludf.DUMMYFUNCTION("""COMPUTED_VALUE"""),3.8)</f>
        <v>3.8</v>
      </c>
      <c r="AM47" s="16">
        <f>IFERROR(__xludf.DUMMYFUNCTION("""COMPUTED_VALUE"""),1.0)</f>
        <v>1</v>
      </c>
      <c r="AN47" s="16">
        <f>IFERROR(__xludf.DUMMYFUNCTION("""COMPUTED_VALUE"""),2.0)</f>
        <v>2</v>
      </c>
      <c r="AO47" s="16">
        <f>IFERROR(__xludf.DUMMYFUNCTION("""COMPUTED_VALUE"""),1.0)</f>
        <v>1</v>
      </c>
      <c r="AP47" s="16">
        <f>IFERROR(__xludf.DUMMYFUNCTION("""COMPUTED_VALUE"""),2.0)</f>
        <v>2</v>
      </c>
      <c r="AQ47" s="16">
        <f>IFERROR(__xludf.DUMMYFUNCTION("""COMPUTED_VALUE"""),18.0)</f>
        <v>18</v>
      </c>
      <c r="AR47" s="16">
        <f>IFERROR(__xludf.DUMMYFUNCTION("""COMPUTED_VALUE"""),4.9)</f>
        <v>4.9</v>
      </c>
      <c r="AS47" s="16">
        <f>IFERROR(__xludf.DUMMYFUNCTION("""COMPUTED_VALUE"""),0.0)</f>
        <v>0</v>
      </c>
      <c r="AT47" s="16">
        <f>IFERROR(__xludf.DUMMYFUNCTION("""COMPUTED_VALUE"""),2.0)</f>
        <v>2</v>
      </c>
      <c r="AU47" s="16">
        <f>IFERROR(__xludf.DUMMYFUNCTION("""COMPUTED_VALUE"""),0.0)</f>
        <v>0</v>
      </c>
      <c r="AV47" s="16">
        <f>IFERROR(__xludf.DUMMYFUNCTION("""COMPUTED_VALUE"""),4.0)</f>
        <v>4</v>
      </c>
      <c r="AW47" s="16">
        <f>IFERROR(__xludf.DUMMYFUNCTION("""COMPUTED_VALUE"""),2.6)</f>
        <v>2.6</v>
      </c>
      <c r="AX47" s="16">
        <f>IFERROR(__xludf.DUMMYFUNCTION("""COMPUTED_VALUE"""),0.0)</f>
        <v>0</v>
      </c>
      <c r="AY47" s="16">
        <f>IFERROR(__xludf.DUMMYFUNCTION("""COMPUTED_VALUE"""),-1.0)</f>
        <v>-1</v>
      </c>
      <c r="AZ47" s="16">
        <f>IFERROR(__xludf.DUMMYFUNCTION("""COMPUTED_VALUE"""),2.0)</f>
        <v>2</v>
      </c>
      <c r="BA47" s="16">
        <f>IFERROR(__xludf.DUMMYFUNCTION("""COMPUTED_VALUE"""),-5.0)</f>
        <v>-5</v>
      </c>
      <c r="BB47" s="16">
        <f>IFERROR(__xludf.DUMMYFUNCTION("""COMPUTED_VALUE"""),10.0)</f>
        <v>10</v>
      </c>
      <c r="BC47" s="16">
        <f>IFERROR(__xludf.DUMMYFUNCTION("""COMPUTED_VALUE"""),3.0)</f>
        <v>3</v>
      </c>
      <c r="BD47" s="16">
        <f>IFERROR(__xludf.DUMMYFUNCTION("""COMPUTED_VALUE"""),0.0)</f>
        <v>0</v>
      </c>
      <c r="BE47" s="16">
        <f>IFERROR(__xludf.DUMMYFUNCTION("""COMPUTED_VALUE"""),3.0)</f>
        <v>3</v>
      </c>
      <c r="BF47" s="16">
        <f>IFERROR(__xludf.DUMMYFUNCTION("""COMPUTED_VALUE"""),0.0)</f>
        <v>0</v>
      </c>
      <c r="BG47" s="16">
        <f>IFERROR(__xludf.DUMMYFUNCTION("""COMPUTED_VALUE"""),0.0)</f>
        <v>0</v>
      </c>
      <c r="BH47" s="16">
        <f>IFERROR(__xludf.DUMMYFUNCTION("""COMPUTED_VALUE"""),2.0)</f>
        <v>2</v>
      </c>
      <c r="BI47" s="16">
        <f>IFERROR(__xludf.DUMMYFUNCTION("""COMPUTED_VALUE"""),0.0)</f>
        <v>0</v>
      </c>
      <c r="BJ47" s="16">
        <f>IFERROR(__xludf.DUMMYFUNCTION("""COMPUTED_VALUE"""),4.0)</f>
        <v>4</v>
      </c>
      <c r="BK47" s="16">
        <f>IFERROR(__xludf.DUMMYFUNCTION("""COMPUTED_VALUE"""),5.0)</f>
        <v>5</v>
      </c>
      <c r="BL47" s="16">
        <f>IFERROR(__xludf.DUMMYFUNCTION("""COMPUTED_VALUE"""),5.0)</f>
        <v>5</v>
      </c>
      <c r="BM47" s="16">
        <f>IFERROR(__xludf.DUMMYFUNCTION("""COMPUTED_VALUE"""),0.0)</f>
        <v>0</v>
      </c>
      <c r="BN47" s="16">
        <f>IFERROR(__xludf.DUMMYFUNCTION("""COMPUTED_VALUE"""),0.0)</f>
        <v>0</v>
      </c>
      <c r="BO47" s="16">
        <f>IFERROR(__xludf.DUMMYFUNCTION("""COMPUTED_VALUE"""),0.0)</f>
        <v>0</v>
      </c>
      <c r="BP47" s="16">
        <f>IFERROR(__xludf.DUMMYFUNCTION("""COMPUTED_VALUE"""),0.0)</f>
        <v>0</v>
      </c>
      <c r="BQ47" s="16">
        <f>IFERROR(__xludf.DUMMYFUNCTION("""COMPUTED_VALUE"""),7.0)</f>
        <v>7</v>
      </c>
      <c r="BR47" s="16">
        <f>IFERROR(__xludf.DUMMYFUNCTION("""COMPUTED_VALUE"""),6.0)</f>
        <v>6</v>
      </c>
      <c r="BS47" s="16">
        <f>IFERROR(__xludf.DUMMYFUNCTION("""COMPUTED_VALUE"""),2.0)</f>
        <v>2</v>
      </c>
      <c r="BT47" s="16">
        <f>IFERROR(__xludf.DUMMYFUNCTION("""COMPUTED_VALUE"""),1.0)</f>
        <v>1</v>
      </c>
      <c r="BU47" s="16">
        <f>IFERROR(__xludf.DUMMYFUNCTION("""COMPUTED_VALUE"""),4.0)</f>
        <v>4</v>
      </c>
      <c r="BV47" s="16">
        <f>IFERROR(__xludf.DUMMYFUNCTION("""COMPUTED_VALUE"""),2.0)</f>
        <v>2</v>
      </c>
      <c r="BW47" s="16">
        <f>IFERROR(__xludf.DUMMYFUNCTION("""COMPUTED_VALUE"""),0.0)</f>
        <v>0</v>
      </c>
      <c r="BX47" s="16">
        <f>IFERROR(__xludf.DUMMYFUNCTION("""COMPUTED_VALUE"""),0.0)</f>
        <v>0</v>
      </c>
      <c r="BY47" s="16" t="str">
        <f>IFERROR(__xludf.DUMMYFUNCTION("""COMPUTED_VALUE"""),"S(6*)")</f>
        <v>S(6*)</v>
      </c>
      <c r="BZ47" s="16" t="str">
        <f>IFERROR(__xludf.DUMMYFUNCTION("""COMPUTED_VALUE"""),"S(6)")</f>
        <v>S(6)</v>
      </c>
      <c r="CA47" s="16" t="str">
        <f>IFERROR(__xludf.DUMMYFUNCTION("""COMPUTED_VALUE"""),"S(6)")</f>
        <v>S(6)</v>
      </c>
      <c r="CB47" s="16"/>
      <c r="CC47" s="16"/>
      <c r="CD47" s="16">
        <f>IFERROR(__xludf.DUMMYFUNCTION("""COMPUTED_VALUE"""),6.0)</f>
        <v>6</v>
      </c>
      <c r="CE47" s="16"/>
      <c r="CF47" s="16"/>
      <c r="CG47" s="16" t="str">
        <f>IFERROR(__xludf.DUMMYFUNCTION("""COMPUTED_VALUE"""),"1-0")</f>
        <v>1-0</v>
      </c>
      <c r="CH47" s="16">
        <f>IFERROR(__xludf.DUMMYFUNCTION("""COMPUTED_VALUE"""),1.0)</f>
        <v>1</v>
      </c>
      <c r="CI47" s="16">
        <f>IFERROR(__xludf.DUMMYFUNCTION("""COMPUTED_VALUE"""),0.0)</f>
        <v>0</v>
      </c>
      <c r="CJ47" s="16">
        <f>IFERROR(__xludf.DUMMYFUNCTION("""COMPUTED_VALUE"""),0.0)</f>
        <v>0</v>
      </c>
      <c r="CK47" s="16">
        <f>IFERROR(__xludf.DUMMYFUNCTION("""COMPUTED_VALUE"""),9.0)</f>
        <v>9</v>
      </c>
      <c r="CL47" s="16" t="str">
        <f>IFERROR(__xludf.DUMMYFUNCTION("""COMPUTED_VALUE"""),"1WL-C")</f>
        <v>1WL-C</v>
      </c>
      <c r="CM47" s="16" t="str">
        <f>IFERROR(__xludf.DUMMYFUNCTION("""COMPUTED_VALUE"""),"E")</f>
        <v>E</v>
      </c>
      <c r="CN47" s="16">
        <f>IFERROR(__xludf.DUMMYFUNCTION("""COMPUTED_VALUE"""),10.0)</f>
        <v>10</v>
      </c>
      <c r="CO47" s="16" t="str">
        <f>IFERROR(__xludf.DUMMYFUNCTION("""COMPUTED_VALUE"""),"C")</f>
        <v>C</v>
      </c>
      <c r="CP47" s="16" t="str">
        <f>IFERROR(__xludf.DUMMYFUNCTION("""COMPUTED_VALUE"""),"0p72")</f>
        <v>0p72</v>
      </c>
      <c r="CQ47" s="16">
        <f>IFERROR(__xludf.DUMMYFUNCTION("""COMPUTED_VALUE"""),4.0)</f>
        <v>4</v>
      </c>
      <c r="CR47" s="16">
        <f>IFERROR(__xludf.DUMMYFUNCTION("""COMPUTED_VALUE"""),54.0)</f>
        <v>54</v>
      </c>
      <c r="CS47" s="16">
        <f>IFERROR(__xludf.DUMMYFUNCTION("""COMPUTED_VALUE"""),58.0)</f>
        <v>58</v>
      </c>
      <c r="CT47" s="16">
        <f>IFERROR(__xludf.DUMMYFUNCTION("""COMPUTED_VALUE"""),4.0)</f>
        <v>4</v>
      </c>
      <c r="CU47" s="16">
        <f>IFERROR(__xludf.DUMMYFUNCTION("""COMPUTED_VALUE"""),54.0)</f>
        <v>54</v>
      </c>
      <c r="CV47" s="179">
        <f>IFERROR(__xludf.DUMMYFUNCTION("""COMPUTED_VALUE"""),29.666666666666668)</f>
        <v>29.66666667</v>
      </c>
      <c r="CW47" s="179">
        <f>IFERROR(__xludf.DUMMYFUNCTION("""COMPUTED_VALUE"""),5.0)</f>
        <v>5</v>
      </c>
      <c r="CX47" s="179">
        <f>IFERROR(__xludf.DUMMYFUNCTION("""COMPUTED_VALUE"""),4.0)</f>
        <v>4</v>
      </c>
      <c r="CY47" s="16" t="str">
        <f>IFERROR(__xludf.DUMMYFUNCTION("""COMPUTED_VALUE"""),"SP")</f>
        <v>SP</v>
      </c>
      <c r="CZ47" s="16"/>
      <c r="DA47" s="16"/>
      <c r="DB47" s="16"/>
      <c r="DC47" s="16"/>
      <c r="DD47" s="16"/>
      <c r="DE47" s="16"/>
      <c r="DF47" s="16"/>
      <c r="DG47" s="16"/>
      <c r="DH47" s="16"/>
      <c r="DI47" s="16"/>
      <c r="DJ47" s="16"/>
      <c r="DK47" s="16"/>
    </row>
    <row r="48">
      <c r="A48" s="16">
        <f>IFERROR(__xludf.DUMMYFUNCTION("""COMPUTED_VALUE"""),13317.0)</f>
        <v>13317</v>
      </c>
      <c r="B48" s="16" t="str">
        <f>IFERROR(__xludf.DUMMYFUNCTION("""COMPUTED_VALUE"""),"Robert Garcia")</f>
        <v>Robert Garcia</v>
      </c>
      <c r="C48" s="153">
        <f>IFERROR(__xludf.DUMMYFUNCTION("""COMPUTED_VALUE"""),0.0)</f>
        <v>0</v>
      </c>
      <c r="D48" s="16"/>
      <c r="E48" s="16" t="str">
        <f>IFERROR(__xludf.DUMMYFUNCTION("""COMPUTED_VALUE"""),"L")</f>
        <v>L</v>
      </c>
      <c r="F48" s="16">
        <f>IFERROR(__xludf.DUMMYFUNCTION("""COMPUTED_VALUE"""),60.0)</f>
        <v>60</v>
      </c>
      <c r="G48" s="16">
        <f>IFERROR(__xludf.DUMMYFUNCTION("""COMPUTED_VALUE"""),35.0)</f>
        <v>35</v>
      </c>
      <c r="H48" s="16">
        <f>IFERROR(__xludf.DUMMYFUNCTION("""COMPUTED_VALUE"""),43.0)</f>
        <v>43</v>
      </c>
      <c r="I48" s="16">
        <f>IFERROR(__xludf.DUMMYFUNCTION("""COMPUTED_VALUE"""),1.0)</f>
        <v>1</v>
      </c>
      <c r="J48" s="16">
        <f>IFERROR(__xludf.DUMMYFUNCTION("""COMPUTED_VALUE"""),2.0)</f>
        <v>2</v>
      </c>
      <c r="K48" s="16">
        <f>IFERROR(__xludf.DUMMYFUNCTION("""COMPUTED_VALUE"""),3.0)</f>
        <v>3</v>
      </c>
      <c r="L48" s="16">
        <f>IFERROR(__xludf.DUMMYFUNCTION("""COMPUTED_VALUE"""),6.0)</f>
        <v>6</v>
      </c>
      <c r="M48" s="16">
        <f>IFERROR(__xludf.DUMMYFUNCTION("""COMPUTED_VALUE"""),9.0)</f>
        <v>9</v>
      </c>
      <c r="N48" s="16">
        <f>IFERROR(__xludf.DUMMYFUNCTION("""COMPUTED_VALUE"""),2.0)</f>
        <v>2</v>
      </c>
      <c r="O48" s="16">
        <f>IFERROR(__xludf.DUMMYFUNCTION("""COMPUTED_VALUE"""),0.0)</f>
        <v>0</v>
      </c>
      <c r="P48" s="16">
        <f>IFERROR(__xludf.DUMMYFUNCTION("""COMPUTED_VALUE"""),3.0)</f>
        <v>3</v>
      </c>
      <c r="Q48" s="16">
        <f>IFERROR(__xludf.DUMMYFUNCTION("""COMPUTED_VALUE"""),0.0)</f>
        <v>0</v>
      </c>
      <c r="R48" s="16">
        <f>IFERROR(__xludf.DUMMYFUNCTION("""COMPUTED_VALUE"""),3.0)</f>
        <v>3</v>
      </c>
      <c r="S48" s="16">
        <f>IFERROR(__xludf.DUMMYFUNCTION("""COMPUTED_VALUE"""),12.7)</f>
        <v>12.7</v>
      </c>
      <c r="T48" s="16">
        <f>IFERROR(__xludf.DUMMYFUNCTION("""COMPUTED_VALUE"""),18.2)</f>
        <v>18.2</v>
      </c>
      <c r="U48" s="16">
        <f>IFERROR(__xludf.DUMMYFUNCTION("""COMPUTED_VALUE"""),0.0)</f>
        <v>0</v>
      </c>
      <c r="V48" s="16">
        <f>IFERROR(__xludf.DUMMYFUNCTION("""COMPUTED_VALUE"""),0.0)</f>
        <v>0</v>
      </c>
      <c r="W48" s="16">
        <f>IFERROR(__xludf.DUMMYFUNCTION("""COMPUTED_VALUE"""),0.0)</f>
        <v>0</v>
      </c>
      <c r="X48" s="16">
        <f>IFERROR(__xludf.DUMMYFUNCTION("""COMPUTED_VALUE"""),0.0)</f>
        <v>0</v>
      </c>
      <c r="Y48" s="16">
        <f>IFERROR(__xludf.DUMMYFUNCTION("""COMPUTED_VALUE"""),21.7)</f>
        <v>21.7</v>
      </c>
      <c r="Z48" s="16">
        <f>IFERROR(__xludf.DUMMYFUNCTION("""COMPUTED_VALUE"""),20.1)</f>
        <v>20.1</v>
      </c>
      <c r="AA48" s="16">
        <f>IFERROR(__xludf.DUMMYFUNCTION("""COMPUTED_VALUE"""),1.0)</f>
        <v>1</v>
      </c>
      <c r="AB48" s="16">
        <f>IFERROR(__xludf.DUMMYFUNCTION("""COMPUTED_VALUE"""),1.0)</f>
        <v>1</v>
      </c>
      <c r="AC48" s="16">
        <f>IFERROR(__xludf.DUMMYFUNCTION("""COMPUTED_VALUE"""),5.0)</f>
        <v>5</v>
      </c>
      <c r="AD48" s="16">
        <f>IFERROR(__xludf.DUMMYFUNCTION("""COMPUTED_VALUE"""),5.0)</f>
        <v>5</v>
      </c>
      <c r="AE48" s="16">
        <f>IFERROR(__xludf.DUMMYFUNCTION("""COMPUTED_VALUE"""),17.1)</f>
        <v>17.1</v>
      </c>
      <c r="AF48" s="16">
        <f>IFERROR(__xludf.DUMMYFUNCTION("""COMPUTED_VALUE"""),22.0)</f>
        <v>22</v>
      </c>
      <c r="AG48" s="16">
        <f>IFERROR(__xludf.DUMMYFUNCTION("""COMPUTED_VALUE"""),1.0)</f>
        <v>1</v>
      </c>
      <c r="AH48" s="16">
        <f>IFERROR(__xludf.DUMMYFUNCTION("""COMPUTED_VALUE"""),1.0)</f>
        <v>1</v>
      </c>
      <c r="AI48" s="16">
        <f>IFERROR(__xludf.DUMMYFUNCTION("""COMPUTED_VALUE"""),2.0)</f>
        <v>2</v>
      </c>
      <c r="AJ48" s="16">
        <f>IFERROR(__xludf.DUMMYFUNCTION("""COMPUTED_VALUE"""),2.0)</f>
        <v>2</v>
      </c>
      <c r="AK48" s="16">
        <f>IFERROR(__xludf.DUMMYFUNCTION("""COMPUTED_VALUE"""),12.7)</f>
        <v>12.7</v>
      </c>
      <c r="AL48" s="16">
        <f>IFERROR(__xludf.DUMMYFUNCTION("""COMPUTED_VALUE"""),17.2)</f>
        <v>17.2</v>
      </c>
      <c r="AM48" s="16">
        <f>IFERROR(__xludf.DUMMYFUNCTION("""COMPUTED_VALUE"""),0.0)</f>
        <v>0</v>
      </c>
      <c r="AN48" s="16">
        <f>IFERROR(__xludf.DUMMYFUNCTION("""COMPUTED_VALUE"""),-1.0)</f>
        <v>-1</v>
      </c>
      <c r="AO48" s="16">
        <f>IFERROR(__xludf.DUMMYFUNCTION("""COMPUTED_VALUE"""),0.0)</f>
        <v>0</v>
      </c>
      <c r="AP48" s="16">
        <f>IFERROR(__xludf.DUMMYFUNCTION("""COMPUTED_VALUE"""),-1.0)</f>
        <v>-1</v>
      </c>
      <c r="AQ48" s="16">
        <f>IFERROR(__xludf.DUMMYFUNCTION("""COMPUTED_VALUE"""),17.1)</f>
        <v>17.1</v>
      </c>
      <c r="AR48" s="16">
        <f>IFERROR(__xludf.DUMMYFUNCTION("""COMPUTED_VALUE"""),18.0)</f>
        <v>18</v>
      </c>
      <c r="AS48" s="16">
        <f>IFERROR(__xludf.DUMMYFUNCTION("""COMPUTED_VALUE"""),0.0)</f>
        <v>0</v>
      </c>
      <c r="AT48" s="16">
        <f>IFERROR(__xludf.DUMMYFUNCTION("""COMPUTED_VALUE"""),0.0)</f>
        <v>0</v>
      </c>
      <c r="AU48" s="16">
        <f>IFERROR(__xludf.DUMMYFUNCTION("""COMPUTED_VALUE"""),0.0)</f>
        <v>0</v>
      </c>
      <c r="AV48" s="16">
        <f>IFERROR(__xludf.DUMMYFUNCTION("""COMPUTED_VALUE"""),0.0)</f>
        <v>0</v>
      </c>
      <c r="AW48" s="16">
        <f>IFERROR(__xludf.DUMMYFUNCTION("""COMPUTED_VALUE"""),0.0)</f>
        <v>0</v>
      </c>
      <c r="AX48" s="16">
        <f>IFERROR(__xludf.DUMMYFUNCTION("""COMPUTED_VALUE"""),1.0)</f>
        <v>1</v>
      </c>
      <c r="AY48" s="16">
        <f>IFERROR(__xludf.DUMMYFUNCTION("""COMPUTED_VALUE"""),2.0)</f>
        <v>2</v>
      </c>
      <c r="AZ48" s="16">
        <f>IFERROR(__xludf.DUMMYFUNCTION("""COMPUTED_VALUE"""),1.0)</f>
        <v>1</v>
      </c>
      <c r="BA48" s="16">
        <f>IFERROR(__xludf.DUMMYFUNCTION("""COMPUTED_VALUE"""),10.0)</f>
        <v>10</v>
      </c>
      <c r="BB48" s="16">
        <f>IFERROR(__xludf.DUMMYFUNCTION("""COMPUTED_VALUE"""),5.0)</f>
        <v>5</v>
      </c>
      <c r="BC48" s="16">
        <f>IFERROR(__xludf.DUMMYFUNCTION("""COMPUTED_VALUE"""),0.0)</f>
        <v>0</v>
      </c>
      <c r="BD48" s="16">
        <f>IFERROR(__xludf.DUMMYFUNCTION("""COMPUTED_VALUE"""),0.0)</f>
        <v>0</v>
      </c>
      <c r="BE48" s="16">
        <f>IFERROR(__xludf.DUMMYFUNCTION("""COMPUTED_VALUE"""),0.0)</f>
        <v>0</v>
      </c>
      <c r="BF48" s="16">
        <f>IFERROR(__xludf.DUMMYFUNCTION("""COMPUTED_VALUE"""),0.0)</f>
        <v>0</v>
      </c>
      <c r="BG48" s="16">
        <f>IFERROR(__xludf.DUMMYFUNCTION("""COMPUTED_VALUE"""),3.0)</f>
        <v>3</v>
      </c>
      <c r="BH48" s="16">
        <f>IFERROR(__xludf.DUMMYFUNCTION("""COMPUTED_VALUE"""),2.0)</f>
        <v>2</v>
      </c>
      <c r="BI48" s="16">
        <f>IFERROR(__xludf.DUMMYFUNCTION("""COMPUTED_VALUE"""),6.0)</f>
        <v>6</v>
      </c>
      <c r="BJ48" s="16">
        <f>IFERROR(__xludf.DUMMYFUNCTION("""COMPUTED_VALUE"""),4.0)</f>
        <v>4</v>
      </c>
      <c r="BK48" s="16">
        <f>IFERROR(__xludf.DUMMYFUNCTION("""COMPUTED_VALUE"""),5.0)</f>
        <v>5</v>
      </c>
      <c r="BL48" s="16">
        <f>IFERROR(__xludf.DUMMYFUNCTION("""COMPUTED_VALUE"""),5.0)</f>
        <v>5</v>
      </c>
      <c r="BM48" s="16">
        <f>IFERROR(__xludf.DUMMYFUNCTION("""COMPUTED_VALUE"""),0.0)</f>
        <v>0</v>
      </c>
      <c r="BN48" s="16">
        <f>IFERROR(__xludf.DUMMYFUNCTION("""COMPUTED_VALUE"""),0.0)</f>
        <v>0</v>
      </c>
      <c r="BO48" s="16">
        <f>IFERROR(__xludf.DUMMYFUNCTION("""COMPUTED_VALUE"""),0.0)</f>
        <v>0</v>
      </c>
      <c r="BP48" s="16">
        <f>IFERROR(__xludf.DUMMYFUNCTION("""COMPUTED_VALUE"""),0.0)</f>
        <v>0</v>
      </c>
      <c r="BQ48" s="16">
        <f>IFERROR(__xludf.DUMMYFUNCTION("""COMPUTED_VALUE"""),2.0)</f>
        <v>2</v>
      </c>
      <c r="BR48" s="16">
        <f>IFERROR(__xludf.DUMMYFUNCTION("""COMPUTED_VALUE"""),2.0)</f>
        <v>2</v>
      </c>
      <c r="BS48" s="16">
        <f>IFERROR(__xludf.DUMMYFUNCTION("""COMPUTED_VALUE"""),-2.0)</f>
        <v>-2</v>
      </c>
      <c r="BT48" s="16">
        <f>IFERROR(__xludf.DUMMYFUNCTION("""COMPUTED_VALUE"""),-2.0)</f>
        <v>-2</v>
      </c>
      <c r="BU48" s="16">
        <f>IFERROR(__xludf.DUMMYFUNCTION("""COMPUTED_VALUE"""),-4.0)</f>
        <v>-4</v>
      </c>
      <c r="BV48" s="16">
        <f>IFERROR(__xludf.DUMMYFUNCTION("""COMPUTED_VALUE"""),-4.0)</f>
        <v>-4</v>
      </c>
      <c r="BW48" s="16">
        <f>IFERROR(__xludf.DUMMYFUNCTION("""COMPUTED_VALUE"""),-1.0)</f>
        <v>-1</v>
      </c>
      <c r="BX48" s="16">
        <f>IFERROR(__xludf.DUMMYFUNCTION("""COMPUTED_VALUE"""),-1.0)</f>
        <v>-1</v>
      </c>
      <c r="BY48" s="16" t="str">
        <f>IFERROR(__xludf.DUMMYFUNCTION("""COMPUTED_VALUE"""),"R(1)")</f>
        <v>R(1)</v>
      </c>
      <c r="BZ48" s="16" t="str">
        <f>IFERROR(__xludf.DUMMYFUNCTION("""COMPUTED_VALUE"""),"R(1)")</f>
        <v>R(1)</v>
      </c>
      <c r="CA48" s="16" t="str">
        <f>IFERROR(__xludf.DUMMYFUNCTION("""COMPUTED_VALUE"""),"R(1)")</f>
        <v>R(1)</v>
      </c>
      <c r="CB48" s="16"/>
      <c r="CC48" s="16"/>
      <c r="CD48" s="16"/>
      <c r="CE48" s="16">
        <f>IFERROR(__xludf.DUMMYFUNCTION("""COMPUTED_VALUE"""),1.0)</f>
        <v>1</v>
      </c>
      <c r="CF48" s="16"/>
      <c r="CG48" s="16" t="str">
        <f>IFERROR(__xludf.DUMMYFUNCTION("""COMPUTED_VALUE"""),"5-24")</f>
        <v>5-24</v>
      </c>
      <c r="CH48" s="16">
        <f>IFERROR(__xludf.DUMMYFUNCTION("""COMPUTED_VALUE"""),5.0)</f>
        <v>5</v>
      </c>
      <c r="CI48" s="16">
        <f>IFERROR(__xludf.DUMMYFUNCTION("""COMPUTED_VALUE"""),24.0)</f>
        <v>24</v>
      </c>
      <c r="CJ48" s="16">
        <f>IFERROR(__xludf.DUMMYFUNCTION("""COMPUTED_VALUE"""),0.0)</f>
        <v>0</v>
      </c>
      <c r="CK48" s="16">
        <f>IFERROR(__xludf.DUMMYFUNCTION("""COMPUTED_VALUE"""),15.0)</f>
        <v>15</v>
      </c>
      <c r="CL48" s="16" t="str">
        <f>IFERROR(__xludf.DUMMYFUNCTION("""COMPUTED_VALUE"""),"1WR-C")</f>
        <v>1WR-C</v>
      </c>
      <c r="CM48" s="16" t="str">
        <f>IFERROR(__xludf.DUMMYFUNCTION("""COMPUTED_VALUE"""),"E")</f>
        <v>E</v>
      </c>
      <c r="CN48" s="16">
        <f>IFERROR(__xludf.DUMMYFUNCTION("""COMPUTED_VALUE"""),10.0)</f>
        <v>10</v>
      </c>
      <c r="CO48" s="16" t="str">
        <f>IFERROR(__xludf.DUMMYFUNCTION("""COMPUTED_VALUE"""),"C")</f>
        <v>C</v>
      </c>
      <c r="CP48" s="16" t="str">
        <f>IFERROR(__xludf.DUMMYFUNCTION("""COMPUTED_VALUE"""),"0p72")</f>
        <v>0p72</v>
      </c>
      <c r="CQ48" s="16">
        <f>IFERROR(__xludf.DUMMYFUNCTION("""COMPUTED_VALUE"""),22.0)</f>
        <v>22</v>
      </c>
      <c r="CR48" s="16">
        <f>IFERROR(__xludf.DUMMYFUNCTION("""COMPUTED_VALUE"""),20.0)</f>
        <v>20</v>
      </c>
      <c r="CS48" s="16">
        <f>IFERROR(__xludf.DUMMYFUNCTION("""COMPUTED_VALUE"""),42.0)</f>
        <v>42</v>
      </c>
      <c r="CT48" s="16">
        <f>IFERROR(__xludf.DUMMYFUNCTION("""COMPUTED_VALUE"""),22.0)</f>
        <v>22</v>
      </c>
      <c r="CU48" s="16">
        <f>IFERROR(__xludf.DUMMYFUNCTION("""COMPUTED_VALUE"""),20.0)</f>
        <v>20</v>
      </c>
      <c r="CV48" s="179">
        <f>IFERROR(__xludf.DUMMYFUNCTION("""COMPUTED_VALUE"""),29.666666666666668)</f>
        <v>29.66666667</v>
      </c>
      <c r="CW48" s="179">
        <f>IFERROR(__xludf.DUMMYFUNCTION("""COMPUTED_VALUE"""),5.0)</f>
        <v>5</v>
      </c>
      <c r="CX48" s="179">
        <f>IFERROR(__xludf.DUMMYFUNCTION("""COMPUTED_VALUE"""),4.0)</f>
        <v>4</v>
      </c>
      <c r="CY48" s="16" t="str">
        <f>IFERROR(__xludf.DUMMYFUNCTION("""COMPUTED_VALUE"""),"RP")</f>
        <v>RP</v>
      </c>
      <c r="CZ48" s="16"/>
      <c r="DA48" s="16"/>
      <c r="DB48" s="16"/>
      <c r="DC48" s="16"/>
      <c r="DD48" s="16"/>
      <c r="DE48" s="16"/>
      <c r="DF48" s="16"/>
      <c r="DG48" s="16"/>
      <c r="DH48" s="16"/>
      <c r="DI48" s="16"/>
      <c r="DJ48" s="16"/>
      <c r="DK48" s="16"/>
    </row>
    <row r="49">
      <c r="A49" s="16">
        <f>IFERROR(__xludf.DUMMYFUNCTION("""COMPUTED_VALUE"""),13306.0)</f>
        <v>13306</v>
      </c>
      <c r="B49" s="16" t="str">
        <f>IFERROR(__xludf.DUMMYFUNCTION("""COMPUTED_VALUE"""),"Reynaldo Lopez")</f>
        <v>Reynaldo Lopez</v>
      </c>
      <c r="C49" s="153">
        <f>IFERROR(__xludf.DUMMYFUNCTION("""COMPUTED_VALUE"""),3.38)</f>
        <v>3.38</v>
      </c>
      <c r="D49" s="16"/>
      <c r="E49" s="16" t="str">
        <f>IFERROR(__xludf.DUMMYFUNCTION("""COMPUTED_VALUE"""),"R")</f>
        <v>R</v>
      </c>
      <c r="F49" s="16">
        <f>IFERROR(__xludf.DUMMYFUNCTION("""COMPUTED_VALUE"""),136.0)</f>
        <v>136</v>
      </c>
      <c r="G49" s="16">
        <f>IFERROR(__xludf.DUMMYFUNCTION("""COMPUTED_VALUE"""),33.0)</f>
        <v>33</v>
      </c>
      <c r="H49" s="16">
        <f>IFERROR(__xludf.DUMMYFUNCTION("""COMPUTED_VALUE"""),37.0)</f>
        <v>37</v>
      </c>
      <c r="I49" s="16">
        <f>IFERROR(__xludf.DUMMYFUNCTION("""COMPUTED_VALUE"""),1.0)</f>
        <v>1</v>
      </c>
      <c r="J49" s="16">
        <f>IFERROR(__xludf.DUMMYFUNCTION("""COMPUTED_VALUE"""),1.0)</f>
        <v>1</v>
      </c>
      <c r="K49" s="16">
        <f>IFERROR(__xludf.DUMMYFUNCTION("""COMPUTED_VALUE"""),3.0)</f>
        <v>3</v>
      </c>
      <c r="L49" s="16">
        <f>IFERROR(__xludf.DUMMYFUNCTION("""COMPUTED_VALUE"""),3.0)</f>
        <v>3</v>
      </c>
      <c r="M49" s="16">
        <f>IFERROR(__xludf.DUMMYFUNCTION("""COMPUTED_VALUE"""),15.0)</f>
        <v>15</v>
      </c>
      <c r="N49" s="16">
        <f>IFERROR(__xludf.DUMMYFUNCTION("""COMPUTED_VALUE"""),0.0)</f>
        <v>0</v>
      </c>
      <c r="O49" s="16">
        <f>IFERROR(__xludf.DUMMYFUNCTION("""COMPUTED_VALUE"""),-2.0)</f>
        <v>-2</v>
      </c>
      <c r="P49" s="16">
        <f>IFERROR(__xludf.DUMMYFUNCTION("""COMPUTED_VALUE"""),3.0)</f>
        <v>3</v>
      </c>
      <c r="Q49" s="16">
        <f>IFERROR(__xludf.DUMMYFUNCTION("""COMPUTED_VALUE"""),-2.0)</f>
        <v>-2</v>
      </c>
      <c r="R49" s="16">
        <f>IFERROR(__xludf.DUMMYFUNCTION("""COMPUTED_VALUE"""),3.0)</f>
        <v>3</v>
      </c>
      <c r="S49" s="16">
        <f>IFERROR(__xludf.DUMMYFUNCTION("""COMPUTED_VALUE"""),14.0)</f>
        <v>14</v>
      </c>
      <c r="T49" s="16">
        <f>IFERROR(__xludf.DUMMYFUNCTION("""COMPUTED_VALUE"""),10.4)</f>
        <v>10.4</v>
      </c>
      <c r="U49" s="16">
        <f>IFERROR(__xludf.DUMMYFUNCTION("""COMPUTED_VALUE"""),0.0)</f>
        <v>0</v>
      </c>
      <c r="V49" s="16">
        <f>IFERROR(__xludf.DUMMYFUNCTION("""COMPUTED_VALUE"""),1.0)</f>
        <v>1</v>
      </c>
      <c r="W49" s="16">
        <f>IFERROR(__xludf.DUMMYFUNCTION("""COMPUTED_VALUE"""),0.0)</f>
        <v>0</v>
      </c>
      <c r="X49" s="16">
        <f>IFERROR(__xludf.DUMMYFUNCTION("""COMPUTED_VALUE"""),2.0)</f>
        <v>2</v>
      </c>
      <c r="Y49" s="16">
        <f>IFERROR(__xludf.DUMMYFUNCTION("""COMPUTED_VALUE"""),29.1)</f>
        <v>29.1</v>
      </c>
      <c r="Z49" s="16">
        <f>IFERROR(__xludf.DUMMYFUNCTION("""COMPUTED_VALUE"""),10.4)</f>
        <v>10.4</v>
      </c>
      <c r="AA49" s="16">
        <f>IFERROR(__xludf.DUMMYFUNCTION("""COMPUTED_VALUE"""),0.0)</f>
        <v>0</v>
      </c>
      <c r="AB49" s="16">
        <f>IFERROR(__xludf.DUMMYFUNCTION("""COMPUTED_VALUE"""),2.0)</f>
        <v>2</v>
      </c>
      <c r="AC49" s="16">
        <f>IFERROR(__xludf.DUMMYFUNCTION("""COMPUTED_VALUE"""),0.0)</f>
        <v>0</v>
      </c>
      <c r="AD49" s="16">
        <f>IFERROR(__xludf.DUMMYFUNCTION("""COMPUTED_VALUE"""),10.0)</f>
        <v>10</v>
      </c>
      <c r="AE49" s="16">
        <f>IFERROR(__xludf.DUMMYFUNCTION("""COMPUTED_VALUE"""),20.5)</f>
        <v>20.5</v>
      </c>
      <c r="AF49" s="16">
        <f>IFERROR(__xludf.DUMMYFUNCTION("""COMPUTED_VALUE"""),18.0)</f>
        <v>18</v>
      </c>
      <c r="AG49" s="16">
        <f>IFERROR(__xludf.DUMMYFUNCTION("""COMPUTED_VALUE"""),1.0)</f>
        <v>1</v>
      </c>
      <c r="AH49" s="16">
        <f>IFERROR(__xludf.DUMMYFUNCTION("""COMPUTED_VALUE"""),1.0)</f>
        <v>1</v>
      </c>
      <c r="AI49" s="16">
        <f>IFERROR(__xludf.DUMMYFUNCTION("""COMPUTED_VALUE"""),2.0)</f>
        <v>2</v>
      </c>
      <c r="AJ49" s="16">
        <f>IFERROR(__xludf.DUMMYFUNCTION("""COMPUTED_VALUE"""),2.0)</f>
        <v>2</v>
      </c>
      <c r="AK49" s="16">
        <f>IFERROR(__xludf.DUMMYFUNCTION("""COMPUTED_VALUE"""),12.8)</f>
        <v>12.8</v>
      </c>
      <c r="AL49" s="16">
        <f>IFERROR(__xludf.DUMMYFUNCTION("""COMPUTED_VALUE"""),10.4)</f>
        <v>10.4</v>
      </c>
      <c r="AM49" s="16">
        <f>IFERROR(__xludf.DUMMYFUNCTION("""COMPUTED_VALUE"""),0.0)</f>
        <v>0</v>
      </c>
      <c r="AN49" s="16">
        <f>IFERROR(__xludf.DUMMYFUNCTION("""COMPUTED_VALUE"""),1.0)</f>
        <v>1</v>
      </c>
      <c r="AO49" s="16">
        <f>IFERROR(__xludf.DUMMYFUNCTION("""COMPUTED_VALUE"""),0.0)</f>
        <v>0</v>
      </c>
      <c r="AP49" s="16">
        <f>IFERROR(__xludf.DUMMYFUNCTION("""COMPUTED_VALUE"""),1.0)</f>
        <v>1</v>
      </c>
      <c r="AQ49" s="16">
        <f>IFERROR(__xludf.DUMMYFUNCTION("""COMPUTED_VALUE"""),15.7)</f>
        <v>15.7</v>
      </c>
      <c r="AR49" s="16">
        <f>IFERROR(__xludf.DUMMYFUNCTION("""COMPUTED_VALUE"""),18.0)</f>
        <v>18</v>
      </c>
      <c r="AS49" s="16">
        <f>IFERROR(__xludf.DUMMYFUNCTION("""COMPUTED_VALUE"""),0.0)</f>
        <v>0</v>
      </c>
      <c r="AT49" s="16">
        <f>IFERROR(__xludf.DUMMYFUNCTION("""COMPUTED_VALUE"""),0.0)</f>
        <v>0</v>
      </c>
      <c r="AU49" s="16">
        <f>IFERROR(__xludf.DUMMYFUNCTION("""COMPUTED_VALUE"""),0.0)</f>
        <v>0</v>
      </c>
      <c r="AV49" s="16">
        <f>IFERROR(__xludf.DUMMYFUNCTION("""COMPUTED_VALUE"""),0.0)</f>
        <v>0</v>
      </c>
      <c r="AW49" s="16">
        <f>IFERROR(__xludf.DUMMYFUNCTION("""COMPUTED_VALUE"""),1.2)</f>
        <v>1.2</v>
      </c>
      <c r="AX49" s="16">
        <f>IFERROR(__xludf.DUMMYFUNCTION("""COMPUTED_VALUE"""),0.0)</f>
        <v>0</v>
      </c>
      <c r="AY49" s="16">
        <f>IFERROR(__xludf.DUMMYFUNCTION("""COMPUTED_VALUE"""),1.0)</f>
        <v>1</v>
      </c>
      <c r="AZ49" s="16">
        <f>IFERROR(__xludf.DUMMYFUNCTION("""COMPUTED_VALUE"""),2.0)</f>
        <v>2</v>
      </c>
      <c r="BA49" s="16">
        <f>IFERROR(__xludf.DUMMYFUNCTION("""COMPUTED_VALUE"""),5.0)</f>
        <v>5</v>
      </c>
      <c r="BB49" s="16">
        <f>IFERROR(__xludf.DUMMYFUNCTION("""COMPUTED_VALUE"""),10.0)</f>
        <v>10</v>
      </c>
      <c r="BC49" s="16">
        <f>IFERROR(__xludf.DUMMYFUNCTION("""COMPUTED_VALUE"""),1.0)</f>
        <v>1</v>
      </c>
      <c r="BD49" s="16">
        <f>IFERROR(__xludf.DUMMYFUNCTION("""COMPUTED_VALUE"""),0.0)</f>
        <v>0</v>
      </c>
      <c r="BE49" s="16">
        <f>IFERROR(__xludf.DUMMYFUNCTION("""COMPUTED_VALUE"""),1.0)</f>
        <v>1</v>
      </c>
      <c r="BF49" s="16">
        <f>IFERROR(__xludf.DUMMYFUNCTION("""COMPUTED_VALUE"""),0.0)</f>
        <v>0</v>
      </c>
      <c r="BG49" s="16">
        <f>IFERROR(__xludf.DUMMYFUNCTION("""COMPUTED_VALUE"""),2.0)</f>
        <v>2</v>
      </c>
      <c r="BH49" s="16">
        <f>IFERROR(__xludf.DUMMYFUNCTION("""COMPUTED_VALUE"""),2.0)</f>
        <v>2</v>
      </c>
      <c r="BI49" s="16">
        <f>IFERROR(__xludf.DUMMYFUNCTION("""COMPUTED_VALUE"""),4.0)</f>
        <v>4</v>
      </c>
      <c r="BJ49" s="16">
        <f>IFERROR(__xludf.DUMMYFUNCTION("""COMPUTED_VALUE"""),4.0)</f>
        <v>4</v>
      </c>
      <c r="BK49" s="16">
        <f>IFERROR(__xludf.DUMMYFUNCTION("""COMPUTED_VALUE"""),5.0)</f>
        <v>5</v>
      </c>
      <c r="BL49" s="16">
        <f>IFERROR(__xludf.DUMMYFUNCTION("""COMPUTED_VALUE"""),5.0)</f>
        <v>5</v>
      </c>
      <c r="BM49" s="16">
        <f>IFERROR(__xludf.DUMMYFUNCTION("""COMPUTED_VALUE"""),0.0)</f>
        <v>0</v>
      </c>
      <c r="BN49" s="16">
        <f>IFERROR(__xludf.DUMMYFUNCTION("""COMPUTED_VALUE"""),0.0)</f>
        <v>0</v>
      </c>
      <c r="BO49" s="16">
        <f>IFERROR(__xludf.DUMMYFUNCTION("""COMPUTED_VALUE"""),0.0)</f>
        <v>0</v>
      </c>
      <c r="BP49" s="16">
        <f>IFERROR(__xludf.DUMMYFUNCTION("""COMPUTED_VALUE"""),0.0)</f>
        <v>0</v>
      </c>
      <c r="BQ49" s="16">
        <f>IFERROR(__xludf.DUMMYFUNCTION("""COMPUTED_VALUE"""),8.0)</f>
        <v>8</v>
      </c>
      <c r="BR49" s="16">
        <f>IFERROR(__xludf.DUMMYFUNCTION("""COMPUTED_VALUE"""),12.0)</f>
        <v>12</v>
      </c>
      <c r="BS49" s="16">
        <f>IFERROR(__xludf.DUMMYFUNCTION("""COMPUTED_VALUE"""),2.0)</f>
        <v>2</v>
      </c>
      <c r="BT49" s="16">
        <f>IFERROR(__xludf.DUMMYFUNCTION("""COMPUTED_VALUE"""),3.0)</f>
        <v>3</v>
      </c>
      <c r="BU49" s="16">
        <f>IFERROR(__xludf.DUMMYFUNCTION("""COMPUTED_VALUE"""),4.0)</f>
        <v>4</v>
      </c>
      <c r="BV49" s="16">
        <f>IFERROR(__xludf.DUMMYFUNCTION("""COMPUTED_VALUE"""),6.0)</f>
        <v>6</v>
      </c>
      <c r="BW49" s="16">
        <f>IFERROR(__xludf.DUMMYFUNCTION("""COMPUTED_VALUE"""),5.0)</f>
        <v>5</v>
      </c>
      <c r="BX49" s="16">
        <f>IFERROR(__xludf.DUMMYFUNCTION("""COMPUTED_VALUE"""),5.0)</f>
        <v>5</v>
      </c>
      <c r="BY49" s="16" t="str">
        <f>IFERROR(__xludf.DUMMYFUNCTION("""COMPUTED_VALUE"""),"S(6)")</f>
        <v>S(6)</v>
      </c>
      <c r="BZ49" s="16" t="str">
        <f>IFERROR(__xludf.DUMMYFUNCTION("""COMPUTED_VALUE"""),"S(6)")</f>
        <v>S(6)</v>
      </c>
      <c r="CA49" s="16" t="str">
        <f>IFERROR(__xludf.DUMMYFUNCTION("""COMPUTED_VALUE"""),"S(6)")</f>
        <v>S(6)</v>
      </c>
      <c r="CB49" s="16"/>
      <c r="CC49" s="16"/>
      <c r="CD49" s="16">
        <f>IFERROR(__xludf.DUMMYFUNCTION("""COMPUTED_VALUE"""),6.0)</f>
        <v>6</v>
      </c>
      <c r="CE49" s="16"/>
      <c r="CF49" s="16"/>
      <c r="CG49" s="16" t="str">
        <f>IFERROR(__xludf.DUMMYFUNCTION("""COMPUTED_VALUE"""),"5-0")</f>
        <v>5-0</v>
      </c>
      <c r="CH49" s="16">
        <f>IFERROR(__xludf.DUMMYFUNCTION("""COMPUTED_VALUE"""),5.0)</f>
        <v>5</v>
      </c>
      <c r="CI49" s="16">
        <f>IFERROR(__xludf.DUMMYFUNCTION("""COMPUTED_VALUE"""),0.0)</f>
        <v>0</v>
      </c>
      <c r="CJ49" s="16">
        <f>IFERROR(__xludf.DUMMYFUNCTION("""COMPUTED_VALUE"""),2.0)</f>
        <v>2</v>
      </c>
      <c r="CK49" s="16">
        <f>IFERROR(__xludf.DUMMYFUNCTION("""COMPUTED_VALUE"""),3.0)</f>
        <v>3</v>
      </c>
      <c r="CL49" s="16" t="str">
        <f>IFERROR(__xludf.DUMMYFUNCTION("""COMPUTED_VALUE"""),"1WR-C")</f>
        <v>1WR-C</v>
      </c>
      <c r="CM49" s="16" t="str">
        <f>IFERROR(__xludf.DUMMYFUNCTION("""COMPUTED_VALUE"""),"E")</f>
        <v>E</v>
      </c>
      <c r="CN49" s="16">
        <f>IFERROR(__xludf.DUMMYFUNCTION("""COMPUTED_VALUE"""),10.0)</f>
        <v>10</v>
      </c>
      <c r="CO49" s="16" t="str">
        <f>IFERROR(__xludf.DUMMYFUNCTION("""COMPUTED_VALUE"""),"C")</f>
        <v>C</v>
      </c>
      <c r="CP49" s="16" t="str">
        <f>IFERROR(__xludf.DUMMYFUNCTION("""COMPUTED_VALUE"""),"1p60")</f>
        <v>1p60</v>
      </c>
      <c r="CQ49" s="16">
        <f>IFERROR(__xludf.DUMMYFUNCTION("""COMPUTED_VALUE"""),16.0)</f>
        <v>16</v>
      </c>
      <c r="CR49" s="16">
        <f>IFERROR(__xludf.DUMMYFUNCTION("""COMPUTED_VALUE"""),41.0)</f>
        <v>41</v>
      </c>
      <c r="CS49" s="16">
        <f>IFERROR(__xludf.DUMMYFUNCTION("""COMPUTED_VALUE"""),57.0)</f>
        <v>57</v>
      </c>
      <c r="CT49" s="16">
        <f>IFERROR(__xludf.DUMMYFUNCTION("""COMPUTED_VALUE"""),16.0)</f>
        <v>16</v>
      </c>
      <c r="CU49" s="16">
        <f>IFERROR(__xludf.DUMMYFUNCTION("""COMPUTED_VALUE"""),41.0)</f>
        <v>41</v>
      </c>
      <c r="CV49" s="179">
        <f>IFERROR(__xludf.DUMMYFUNCTION("""COMPUTED_VALUE"""),29.333333333333332)</f>
        <v>29.33333333</v>
      </c>
      <c r="CW49" s="179">
        <f>IFERROR(__xludf.DUMMYFUNCTION("""COMPUTED_VALUE"""),4.0)</f>
        <v>4</v>
      </c>
      <c r="CX49" s="179">
        <f>IFERROR(__xludf.DUMMYFUNCTION("""COMPUTED_VALUE"""),1.0)</f>
        <v>1</v>
      </c>
      <c r="CY49" s="16" t="str">
        <f>IFERROR(__xludf.DUMMYFUNCTION("""COMPUTED_VALUE"""),"SP")</f>
        <v>SP</v>
      </c>
      <c r="CZ49" s="16"/>
      <c r="DA49" s="16"/>
      <c r="DB49" s="16"/>
      <c r="DC49" s="16"/>
      <c r="DD49" s="16"/>
      <c r="DE49" s="16"/>
      <c r="DF49" s="16"/>
      <c r="DG49" s="16"/>
      <c r="DH49" s="16"/>
      <c r="DI49" s="16"/>
      <c r="DJ49" s="16"/>
      <c r="DK49" s="16"/>
    </row>
    <row r="50">
      <c r="A50" s="16">
        <f>IFERROR(__xludf.DUMMYFUNCTION("""COMPUTED_VALUE"""),13142.0)</f>
        <v>13142</v>
      </c>
      <c r="B50" s="16" t="str">
        <f>IFERROR(__xludf.DUMMYFUNCTION("""COMPUTED_VALUE"""),"Luke Little")</f>
        <v>Luke Little</v>
      </c>
      <c r="C50" s="153">
        <f>IFERROR(__xludf.DUMMYFUNCTION("""COMPUTED_VALUE"""),0.55)</f>
        <v>0.55</v>
      </c>
      <c r="D50" s="16"/>
      <c r="E50" s="16" t="str">
        <f>IFERROR(__xludf.DUMMYFUNCTION("""COMPUTED_VALUE"""),"L")</f>
        <v>L</v>
      </c>
      <c r="F50" s="16">
        <f>IFERROR(__xludf.DUMMYFUNCTION("""COMPUTED_VALUE"""),26.0)</f>
        <v>26</v>
      </c>
      <c r="G50" s="16">
        <f>IFERROR(__xludf.DUMMYFUNCTION("""COMPUTED_VALUE"""),41.0)</f>
        <v>41</v>
      </c>
      <c r="H50" s="16">
        <f>IFERROR(__xludf.DUMMYFUNCTION("""COMPUTED_VALUE"""),27.0)</f>
        <v>27</v>
      </c>
      <c r="I50" s="16">
        <f>IFERROR(__xludf.DUMMYFUNCTION("""COMPUTED_VALUE"""),2.0)</f>
        <v>2</v>
      </c>
      <c r="J50" s="16">
        <f>IFERROR(__xludf.DUMMYFUNCTION("""COMPUTED_VALUE"""),0.0)</f>
        <v>0</v>
      </c>
      <c r="K50" s="16">
        <f>IFERROR(__xludf.DUMMYFUNCTION("""COMPUTED_VALUE"""),6.0)</f>
        <v>6</v>
      </c>
      <c r="L50" s="16">
        <f>IFERROR(__xludf.DUMMYFUNCTION("""COMPUTED_VALUE"""),0.0)</f>
        <v>0</v>
      </c>
      <c r="M50" s="16">
        <f>IFERROR(__xludf.DUMMYFUNCTION("""COMPUTED_VALUE"""),19.0)</f>
        <v>19</v>
      </c>
      <c r="N50" s="16">
        <f>IFERROR(__xludf.DUMMYFUNCTION("""COMPUTED_VALUE"""),34.0)</f>
        <v>34</v>
      </c>
      <c r="O50" s="16">
        <f>IFERROR(__xludf.DUMMYFUNCTION("""COMPUTED_VALUE"""),-3.0)</f>
        <v>-3</v>
      </c>
      <c r="P50" s="16">
        <f>IFERROR(__xludf.DUMMYFUNCTION("""COMPUTED_VALUE"""),-3.0)</f>
        <v>-3</v>
      </c>
      <c r="Q50" s="16">
        <f>IFERROR(__xludf.DUMMYFUNCTION("""COMPUTED_VALUE"""),-3.0)</f>
        <v>-3</v>
      </c>
      <c r="R50" s="16">
        <f>IFERROR(__xludf.DUMMYFUNCTION("""COMPUTED_VALUE"""),-3.0)</f>
        <v>-3</v>
      </c>
      <c r="S50" s="16">
        <f>IFERROR(__xludf.DUMMYFUNCTION("""COMPUTED_VALUE"""),5.1)</f>
        <v>5.1</v>
      </c>
      <c r="T50" s="16">
        <f>IFERROR(__xludf.DUMMYFUNCTION("""COMPUTED_VALUE"""),4.1)</f>
        <v>4.1</v>
      </c>
      <c r="U50" s="16">
        <f>IFERROR(__xludf.DUMMYFUNCTION("""COMPUTED_VALUE"""),2.0)</f>
        <v>2</v>
      </c>
      <c r="V50" s="16">
        <f>IFERROR(__xludf.DUMMYFUNCTION("""COMPUTED_VALUE"""),2.0)</f>
        <v>2</v>
      </c>
      <c r="W50" s="16">
        <f>IFERROR(__xludf.DUMMYFUNCTION("""COMPUTED_VALUE"""),4.0)</f>
        <v>4</v>
      </c>
      <c r="X50" s="16">
        <f>IFERROR(__xludf.DUMMYFUNCTION("""COMPUTED_VALUE"""),4.0)</f>
        <v>4</v>
      </c>
      <c r="Y50" s="16">
        <f>IFERROR(__xludf.DUMMYFUNCTION("""COMPUTED_VALUE"""),24.1)</f>
        <v>24.1</v>
      </c>
      <c r="Z50" s="16">
        <f>IFERROR(__xludf.DUMMYFUNCTION("""COMPUTED_VALUE"""),38.1)</f>
        <v>38.1</v>
      </c>
      <c r="AA50" s="16">
        <f>IFERROR(__xludf.DUMMYFUNCTION("""COMPUTED_VALUE"""),0.0)</f>
        <v>0</v>
      </c>
      <c r="AB50" s="16">
        <f>IFERROR(__xludf.DUMMYFUNCTION("""COMPUTED_VALUE"""),-2.0)</f>
        <v>-2</v>
      </c>
      <c r="AC50" s="16">
        <f>IFERROR(__xludf.DUMMYFUNCTION("""COMPUTED_VALUE"""),0.0)</f>
        <v>0</v>
      </c>
      <c r="AD50" s="16">
        <f>IFERROR(__xludf.DUMMYFUNCTION("""COMPUTED_VALUE"""),-10.0)</f>
        <v>-10</v>
      </c>
      <c r="AE50" s="16">
        <f>IFERROR(__xludf.DUMMYFUNCTION("""COMPUTED_VALUE"""),10.1)</f>
        <v>10.1</v>
      </c>
      <c r="AF50" s="16">
        <f>IFERROR(__xludf.DUMMYFUNCTION("""COMPUTED_VALUE"""),6.9)</f>
        <v>6.9</v>
      </c>
      <c r="AG50" s="16">
        <f>IFERROR(__xludf.DUMMYFUNCTION("""COMPUTED_VALUE"""),2.0)</f>
        <v>2</v>
      </c>
      <c r="AH50" s="16">
        <f>IFERROR(__xludf.DUMMYFUNCTION("""COMPUTED_VALUE"""),2.0)</f>
        <v>2</v>
      </c>
      <c r="AI50" s="16">
        <f>IFERROR(__xludf.DUMMYFUNCTION("""COMPUTED_VALUE"""),4.0)</f>
        <v>4</v>
      </c>
      <c r="AJ50" s="16">
        <f>IFERROR(__xludf.DUMMYFUNCTION("""COMPUTED_VALUE"""),4.0)</f>
        <v>4</v>
      </c>
      <c r="AK50" s="16">
        <f>IFERROR(__xludf.DUMMYFUNCTION("""COMPUTED_VALUE"""),5.1)</f>
        <v>5.1</v>
      </c>
      <c r="AL50" s="16">
        <f>IFERROR(__xludf.DUMMYFUNCTION("""COMPUTED_VALUE"""),4.1)</f>
        <v>4.1</v>
      </c>
      <c r="AM50" s="16">
        <f>IFERROR(__xludf.DUMMYFUNCTION("""COMPUTED_VALUE"""),1.0)</f>
        <v>1</v>
      </c>
      <c r="AN50" s="16">
        <f>IFERROR(__xludf.DUMMYFUNCTION("""COMPUTED_VALUE"""),2.0)</f>
        <v>2</v>
      </c>
      <c r="AO50" s="16">
        <f>IFERROR(__xludf.DUMMYFUNCTION("""COMPUTED_VALUE"""),1.0)</f>
        <v>1</v>
      </c>
      <c r="AP50" s="16">
        <f>IFERROR(__xludf.DUMMYFUNCTION("""COMPUTED_VALUE"""),2.0)</f>
        <v>2</v>
      </c>
      <c r="AQ50" s="16">
        <f>IFERROR(__xludf.DUMMYFUNCTION("""COMPUTED_VALUE"""),10.1)</f>
        <v>10.1</v>
      </c>
      <c r="AR50" s="16">
        <f>IFERROR(__xludf.DUMMYFUNCTION("""COMPUTED_VALUE"""),6.9)</f>
        <v>6.9</v>
      </c>
      <c r="AS50" s="16">
        <f>IFERROR(__xludf.DUMMYFUNCTION("""COMPUTED_VALUE"""),1.0)</f>
        <v>1</v>
      </c>
      <c r="AT50" s="16">
        <f>IFERROR(__xludf.DUMMYFUNCTION("""COMPUTED_VALUE"""),2.0)</f>
        <v>2</v>
      </c>
      <c r="AU50" s="16">
        <f>IFERROR(__xludf.DUMMYFUNCTION("""COMPUTED_VALUE"""),2.0)</f>
        <v>2</v>
      </c>
      <c r="AV50" s="16">
        <f>IFERROR(__xludf.DUMMYFUNCTION("""COMPUTED_VALUE"""),4.0)</f>
        <v>4</v>
      </c>
      <c r="AW50" s="16">
        <f>IFERROR(__xludf.DUMMYFUNCTION("""COMPUTED_VALUE"""),0.0)</f>
        <v>0</v>
      </c>
      <c r="AX50" s="16">
        <f>IFERROR(__xludf.DUMMYFUNCTION("""COMPUTED_VALUE"""),0.0)</f>
        <v>0</v>
      </c>
      <c r="AY50" s="16">
        <f>IFERROR(__xludf.DUMMYFUNCTION("""COMPUTED_VALUE"""),2.0)</f>
        <v>2</v>
      </c>
      <c r="AZ50" s="16">
        <f>IFERROR(__xludf.DUMMYFUNCTION("""COMPUTED_VALUE"""),2.0)</f>
        <v>2</v>
      </c>
      <c r="BA50" s="16">
        <f>IFERROR(__xludf.DUMMYFUNCTION("""COMPUTED_VALUE"""),10.0)</f>
        <v>10</v>
      </c>
      <c r="BB50" s="16">
        <f>IFERROR(__xludf.DUMMYFUNCTION("""COMPUTED_VALUE"""),10.0)</f>
        <v>10</v>
      </c>
      <c r="BC50" s="16"/>
      <c r="BD50" s="16"/>
      <c r="BE50" s="16">
        <f>IFERROR(__xludf.DUMMYFUNCTION("""COMPUTED_VALUE"""),0.0)</f>
        <v>0</v>
      </c>
      <c r="BF50" s="16">
        <f>IFERROR(__xludf.DUMMYFUNCTION("""COMPUTED_VALUE"""),0.0)</f>
        <v>0</v>
      </c>
      <c r="BG50" s="16">
        <f>IFERROR(__xludf.DUMMYFUNCTION("""COMPUTED_VALUE"""),3.0)</f>
        <v>3</v>
      </c>
      <c r="BH50" s="16">
        <f>IFERROR(__xludf.DUMMYFUNCTION("""COMPUTED_VALUE"""),2.0)</f>
        <v>2</v>
      </c>
      <c r="BI50" s="16">
        <f>IFERROR(__xludf.DUMMYFUNCTION("""COMPUTED_VALUE"""),6.0)</f>
        <v>6</v>
      </c>
      <c r="BJ50" s="16">
        <f>IFERROR(__xludf.DUMMYFUNCTION("""COMPUTED_VALUE"""),4.0)</f>
        <v>4</v>
      </c>
      <c r="BK50" s="16">
        <f>IFERROR(__xludf.DUMMYFUNCTION("""COMPUTED_VALUE"""),0.0)</f>
        <v>0</v>
      </c>
      <c r="BL50" s="16">
        <f>IFERROR(__xludf.DUMMYFUNCTION("""COMPUTED_VALUE"""),0.0)</f>
        <v>0</v>
      </c>
      <c r="BM50" s="16">
        <f>IFERROR(__xludf.DUMMYFUNCTION("""COMPUTED_VALUE"""),1.0)</f>
        <v>1</v>
      </c>
      <c r="BN50" s="16">
        <f>IFERROR(__xludf.DUMMYFUNCTION("""COMPUTED_VALUE"""),1.0)</f>
        <v>1</v>
      </c>
      <c r="BO50" s="16">
        <f>IFERROR(__xludf.DUMMYFUNCTION("""COMPUTED_VALUE"""),1.0)</f>
        <v>1</v>
      </c>
      <c r="BP50" s="16">
        <f>IFERROR(__xludf.DUMMYFUNCTION("""COMPUTED_VALUE"""),1.0)</f>
        <v>1</v>
      </c>
      <c r="BQ50" s="16">
        <f>IFERROR(__xludf.DUMMYFUNCTION("""COMPUTED_VALUE"""),11.0)</f>
        <v>11</v>
      </c>
      <c r="BR50" s="16">
        <f>IFERROR(__xludf.DUMMYFUNCTION("""COMPUTED_VALUE"""),11.0)</f>
        <v>11</v>
      </c>
      <c r="BS50" s="16">
        <f>IFERROR(__xludf.DUMMYFUNCTION("""COMPUTED_VALUE"""),3.0)</f>
        <v>3</v>
      </c>
      <c r="BT50" s="16">
        <f>IFERROR(__xludf.DUMMYFUNCTION("""COMPUTED_VALUE"""),3.0)</f>
        <v>3</v>
      </c>
      <c r="BU50" s="16">
        <f>IFERROR(__xludf.DUMMYFUNCTION("""COMPUTED_VALUE"""),6.0)</f>
        <v>6</v>
      </c>
      <c r="BV50" s="16">
        <f>IFERROR(__xludf.DUMMYFUNCTION("""COMPUTED_VALUE"""),6.0)</f>
        <v>6</v>
      </c>
      <c r="BW50" s="16">
        <f>IFERROR(__xludf.DUMMYFUNCTION("""COMPUTED_VALUE"""),2.0)</f>
        <v>2</v>
      </c>
      <c r="BX50" s="16">
        <f>IFERROR(__xludf.DUMMYFUNCTION("""COMPUTED_VALUE"""),2.0)</f>
        <v>2</v>
      </c>
      <c r="BY50" s="16" t="str">
        <f>IFERROR(__xludf.DUMMYFUNCTION("""COMPUTED_VALUE"""),"R(1)")</f>
        <v>R(1)</v>
      </c>
      <c r="BZ50" s="16" t="str">
        <f>IFERROR(__xludf.DUMMYFUNCTION("""COMPUTED_VALUE"""),"R(1)")</f>
        <v>R(1)</v>
      </c>
      <c r="CA50" s="16" t="str">
        <f>IFERROR(__xludf.DUMMYFUNCTION("""COMPUTED_VALUE"""),"R(1)")</f>
        <v>R(1)</v>
      </c>
      <c r="CB50" s="16"/>
      <c r="CC50" s="16"/>
      <c r="CD50" s="16"/>
      <c r="CE50" s="16">
        <f>IFERROR(__xludf.DUMMYFUNCTION("""COMPUTED_VALUE"""),1.0)</f>
        <v>1</v>
      </c>
      <c r="CF50" s="16"/>
      <c r="CG50" s="16" t="str">
        <f>IFERROR(__xludf.DUMMYFUNCTION("""COMPUTED_VALUE"""),"2-0")</f>
        <v>2-0</v>
      </c>
      <c r="CH50" s="16">
        <f>IFERROR(__xludf.DUMMYFUNCTION("""COMPUTED_VALUE"""),2.0)</f>
        <v>2</v>
      </c>
      <c r="CI50" s="16">
        <f>IFERROR(__xludf.DUMMYFUNCTION("""COMPUTED_VALUE"""),0.0)</f>
        <v>0</v>
      </c>
      <c r="CJ50" s="16">
        <f>IFERROR(__xludf.DUMMYFUNCTION("""COMPUTED_VALUE"""),0.0)</f>
        <v>0</v>
      </c>
      <c r="CK50" s="16">
        <f>IFERROR(__xludf.DUMMYFUNCTION("""COMPUTED_VALUE"""),20.0)</f>
        <v>20</v>
      </c>
      <c r="CL50" s="16" t="str">
        <f>IFERROR(__xludf.DUMMYFUNCTION("""COMPUTED_VALUE"""),"1WL-C")</f>
        <v>1WL-C</v>
      </c>
      <c r="CM50" s="16" t="str">
        <f>IFERROR(__xludf.DUMMYFUNCTION("""COMPUTED_VALUE"""),"E")</f>
        <v>E</v>
      </c>
      <c r="CN50" s="16">
        <f>IFERROR(__xludf.DUMMYFUNCTION("""COMPUTED_VALUE"""),10.0)</f>
        <v>10</v>
      </c>
      <c r="CO50" s="16" t="str">
        <f>IFERROR(__xludf.DUMMYFUNCTION("""COMPUTED_VALUE"""),"C")</f>
        <v>C</v>
      </c>
      <c r="CP50" s="16" t="str">
        <f>IFERROR(__xludf.DUMMYFUNCTION("""COMPUTED_VALUE"""),"5p30")</f>
        <v>5p30</v>
      </c>
      <c r="CQ50" s="16">
        <f>IFERROR(__xludf.DUMMYFUNCTION("""COMPUTED_VALUE"""),37.0)</f>
        <v>37</v>
      </c>
      <c r="CR50" s="16">
        <f>IFERROR(__xludf.DUMMYFUNCTION("""COMPUTED_VALUE"""),22.0)</f>
        <v>22</v>
      </c>
      <c r="CS50" s="16">
        <f>IFERROR(__xludf.DUMMYFUNCTION("""COMPUTED_VALUE"""),59.0)</f>
        <v>59</v>
      </c>
      <c r="CT50" s="16">
        <f>IFERROR(__xludf.DUMMYFUNCTION("""COMPUTED_VALUE"""),37.0)</f>
        <v>37</v>
      </c>
      <c r="CU50" s="16">
        <f>IFERROR(__xludf.DUMMYFUNCTION("""COMPUTED_VALUE"""),22.0)</f>
        <v>22</v>
      </c>
      <c r="CV50" s="179">
        <f>IFERROR(__xludf.DUMMYFUNCTION("""COMPUTED_VALUE"""),29.0)</f>
        <v>29</v>
      </c>
      <c r="CW50" s="179">
        <f>IFERROR(__xludf.DUMMYFUNCTION("""COMPUTED_VALUE"""),0.0)</f>
        <v>0</v>
      </c>
      <c r="CX50" s="179">
        <f>IFERROR(__xludf.DUMMYFUNCTION("""COMPUTED_VALUE"""),2.0)</f>
        <v>2</v>
      </c>
      <c r="CY50" s="16" t="str">
        <f>IFERROR(__xludf.DUMMYFUNCTION("""COMPUTED_VALUE"""),"RP")</f>
        <v>RP</v>
      </c>
      <c r="CZ50" s="16"/>
      <c r="DA50" s="16"/>
      <c r="DB50" s="16"/>
      <c r="DC50" s="16"/>
      <c r="DD50" s="16"/>
      <c r="DE50" s="16"/>
      <c r="DF50" s="16"/>
      <c r="DG50" s="16"/>
      <c r="DH50" s="16"/>
      <c r="DI50" s="16"/>
      <c r="DJ50" s="16"/>
      <c r="DK50" s="16"/>
    </row>
    <row r="51">
      <c r="A51" s="16">
        <f>IFERROR(__xludf.DUMMYFUNCTION("""COMPUTED_VALUE"""),12627.0)</f>
        <v>12627</v>
      </c>
      <c r="B51" s="16" t="str">
        <f>IFERROR(__xludf.DUMMYFUNCTION("""COMPUTED_VALUE"""),"Bryan King")</f>
        <v>Bryan King</v>
      </c>
      <c r="C51" s="153">
        <f>IFERROR(__xludf.DUMMYFUNCTION("""COMPUTED_VALUE"""),1.09)</f>
        <v>1.09</v>
      </c>
      <c r="D51" s="16"/>
      <c r="E51" s="16" t="str">
        <f>IFERROR(__xludf.DUMMYFUNCTION("""COMPUTED_VALUE"""),"L")</f>
        <v>L</v>
      </c>
      <c r="F51" s="16">
        <f>IFERROR(__xludf.DUMMYFUNCTION("""COMPUTED_VALUE"""),26.0)</f>
        <v>26</v>
      </c>
      <c r="G51" s="16">
        <f>IFERROR(__xludf.DUMMYFUNCTION("""COMPUTED_VALUE"""),46.0)</f>
        <v>46</v>
      </c>
      <c r="H51" s="16">
        <f>IFERROR(__xludf.DUMMYFUNCTION("""COMPUTED_VALUE"""),32.0)</f>
        <v>32</v>
      </c>
      <c r="I51" s="16">
        <f>IFERROR(__xludf.DUMMYFUNCTION("""COMPUTED_VALUE"""),2.0)</f>
        <v>2</v>
      </c>
      <c r="J51" s="16">
        <f>IFERROR(__xludf.DUMMYFUNCTION("""COMPUTED_VALUE"""),1.0)</f>
        <v>1</v>
      </c>
      <c r="K51" s="16">
        <f>IFERROR(__xludf.DUMMYFUNCTION("""COMPUTED_VALUE"""),6.0)</f>
        <v>6</v>
      </c>
      <c r="L51" s="16">
        <f>IFERROR(__xludf.DUMMYFUNCTION("""COMPUTED_VALUE"""),3.0)</f>
        <v>3</v>
      </c>
      <c r="M51" s="16">
        <f>IFERROR(__xludf.DUMMYFUNCTION("""COMPUTED_VALUE"""),11.0)</f>
        <v>11</v>
      </c>
      <c r="N51" s="16">
        <f>IFERROR(__xludf.DUMMYFUNCTION("""COMPUTED_VALUE"""),13.0)</f>
        <v>13</v>
      </c>
      <c r="O51" s="16">
        <f>IFERROR(__xludf.DUMMYFUNCTION("""COMPUTED_VALUE"""),-1.0)</f>
        <v>-1</v>
      </c>
      <c r="P51" s="16">
        <f>IFERROR(__xludf.DUMMYFUNCTION("""COMPUTED_VALUE"""),-2.0)</f>
        <v>-2</v>
      </c>
      <c r="Q51" s="16">
        <f>IFERROR(__xludf.DUMMYFUNCTION("""COMPUTED_VALUE"""),-1.0)</f>
        <v>-1</v>
      </c>
      <c r="R51" s="16">
        <f>IFERROR(__xludf.DUMMYFUNCTION("""COMPUTED_VALUE"""),-2.0)</f>
        <v>-2</v>
      </c>
      <c r="S51" s="16">
        <f>IFERROR(__xludf.DUMMYFUNCTION("""COMPUTED_VALUE"""),13.8)</f>
        <v>13.8</v>
      </c>
      <c r="T51" s="16">
        <f>IFERROR(__xludf.DUMMYFUNCTION("""COMPUTED_VALUE"""),9.1)</f>
        <v>9.1</v>
      </c>
      <c r="U51" s="16">
        <f>IFERROR(__xludf.DUMMYFUNCTION("""COMPUTED_VALUE"""),0.0)</f>
        <v>0</v>
      </c>
      <c r="V51" s="16">
        <f>IFERROR(__xludf.DUMMYFUNCTION("""COMPUTED_VALUE"""),1.0)</f>
        <v>1</v>
      </c>
      <c r="W51" s="16">
        <f>IFERROR(__xludf.DUMMYFUNCTION("""COMPUTED_VALUE"""),0.0)</f>
        <v>0</v>
      </c>
      <c r="X51" s="16">
        <f>IFERROR(__xludf.DUMMYFUNCTION("""COMPUTED_VALUE"""),2.0)</f>
        <v>2</v>
      </c>
      <c r="Y51" s="16">
        <f>IFERROR(__xludf.DUMMYFUNCTION("""COMPUTED_VALUE"""),24.8)</f>
        <v>24.8</v>
      </c>
      <c r="Z51" s="16">
        <f>IFERROR(__xludf.DUMMYFUNCTION("""COMPUTED_VALUE"""),22.1)</f>
        <v>22.1</v>
      </c>
      <c r="AA51" s="16">
        <f>IFERROR(__xludf.DUMMYFUNCTION("""COMPUTED_VALUE"""),0.0)</f>
        <v>0</v>
      </c>
      <c r="AB51" s="16">
        <f>IFERROR(__xludf.DUMMYFUNCTION("""COMPUTED_VALUE"""),1.0)</f>
        <v>1</v>
      </c>
      <c r="AC51" s="16">
        <f>IFERROR(__xludf.DUMMYFUNCTION("""COMPUTED_VALUE"""),0.0)</f>
        <v>0</v>
      </c>
      <c r="AD51" s="16">
        <f>IFERROR(__xludf.DUMMYFUNCTION("""COMPUTED_VALUE"""),5.0)</f>
        <v>5</v>
      </c>
      <c r="AE51" s="16">
        <f>IFERROR(__xludf.DUMMYFUNCTION("""COMPUTED_VALUE"""),17.2)</f>
        <v>17.2</v>
      </c>
      <c r="AF51" s="16">
        <f>IFERROR(__xludf.DUMMYFUNCTION("""COMPUTED_VALUE"""),17.0)</f>
        <v>17</v>
      </c>
      <c r="AG51" s="16">
        <f>IFERROR(__xludf.DUMMYFUNCTION("""COMPUTED_VALUE"""),1.0)</f>
        <v>1</v>
      </c>
      <c r="AH51" s="16">
        <f>IFERROR(__xludf.DUMMYFUNCTION("""COMPUTED_VALUE"""),1.0)</f>
        <v>1</v>
      </c>
      <c r="AI51" s="16">
        <f>IFERROR(__xludf.DUMMYFUNCTION("""COMPUTED_VALUE"""),2.0)</f>
        <v>2</v>
      </c>
      <c r="AJ51" s="16">
        <f>IFERROR(__xludf.DUMMYFUNCTION("""COMPUTED_VALUE"""),2.0)</f>
        <v>2</v>
      </c>
      <c r="AK51" s="16">
        <f>IFERROR(__xludf.DUMMYFUNCTION("""COMPUTED_VALUE"""),13.8)</f>
        <v>13.8</v>
      </c>
      <c r="AL51" s="16">
        <f>IFERROR(__xludf.DUMMYFUNCTION("""COMPUTED_VALUE"""),9.1)</f>
        <v>9.1</v>
      </c>
      <c r="AM51" s="16">
        <f>IFERROR(__xludf.DUMMYFUNCTION("""COMPUTED_VALUE"""),0.0)</f>
        <v>0</v>
      </c>
      <c r="AN51" s="16">
        <f>IFERROR(__xludf.DUMMYFUNCTION("""COMPUTED_VALUE"""),1.0)</f>
        <v>1</v>
      </c>
      <c r="AO51" s="16">
        <f>IFERROR(__xludf.DUMMYFUNCTION("""COMPUTED_VALUE"""),0.0)</f>
        <v>0</v>
      </c>
      <c r="AP51" s="16">
        <f>IFERROR(__xludf.DUMMYFUNCTION("""COMPUTED_VALUE"""),1.0)</f>
        <v>1</v>
      </c>
      <c r="AQ51" s="16">
        <f>IFERROR(__xludf.DUMMYFUNCTION("""COMPUTED_VALUE"""),17.2)</f>
        <v>17.2</v>
      </c>
      <c r="AR51" s="16">
        <f>IFERROR(__xludf.DUMMYFUNCTION("""COMPUTED_VALUE"""),17.0)</f>
        <v>17</v>
      </c>
      <c r="AS51" s="16">
        <f>IFERROR(__xludf.DUMMYFUNCTION("""COMPUTED_VALUE"""),0.0)</f>
        <v>0</v>
      </c>
      <c r="AT51" s="16">
        <f>IFERROR(__xludf.DUMMYFUNCTION("""COMPUTED_VALUE"""),0.0)</f>
        <v>0</v>
      </c>
      <c r="AU51" s="16">
        <f>IFERROR(__xludf.DUMMYFUNCTION("""COMPUTED_VALUE"""),0.0)</f>
        <v>0</v>
      </c>
      <c r="AV51" s="16">
        <f>IFERROR(__xludf.DUMMYFUNCTION("""COMPUTED_VALUE"""),0.0)</f>
        <v>0</v>
      </c>
      <c r="AW51" s="16">
        <f>IFERROR(__xludf.DUMMYFUNCTION("""COMPUTED_VALUE"""),0.0)</f>
        <v>0</v>
      </c>
      <c r="AX51" s="16">
        <f>IFERROR(__xludf.DUMMYFUNCTION("""COMPUTED_VALUE"""),0.0)</f>
        <v>0</v>
      </c>
      <c r="AY51" s="16">
        <f>IFERROR(__xludf.DUMMYFUNCTION("""COMPUTED_VALUE"""),2.0)</f>
        <v>2</v>
      </c>
      <c r="AZ51" s="16">
        <f>IFERROR(__xludf.DUMMYFUNCTION("""COMPUTED_VALUE"""),2.0)</f>
        <v>2</v>
      </c>
      <c r="BA51" s="16">
        <f>IFERROR(__xludf.DUMMYFUNCTION("""COMPUTED_VALUE"""),10.0)</f>
        <v>10</v>
      </c>
      <c r="BB51" s="16">
        <f>IFERROR(__xludf.DUMMYFUNCTION("""COMPUTED_VALUE"""),10.0)</f>
        <v>10</v>
      </c>
      <c r="BC51" s="16">
        <f>IFERROR(__xludf.DUMMYFUNCTION("""COMPUTED_VALUE"""),0.0)</f>
        <v>0</v>
      </c>
      <c r="BD51" s="16">
        <f>IFERROR(__xludf.DUMMYFUNCTION("""COMPUTED_VALUE"""),0.0)</f>
        <v>0</v>
      </c>
      <c r="BE51" s="16">
        <f>IFERROR(__xludf.DUMMYFUNCTION("""COMPUTED_VALUE"""),0.0)</f>
        <v>0</v>
      </c>
      <c r="BF51" s="16">
        <f>IFERROR(__xludf.DUMMYFUNCTION("""COMPUTED_VALUE"""),0.0)</f>
        <v>0</v>
      </c>
      <c r="BG51" s="16">
        <f>IFERROR(__xludf.DUMMYFUNCTION("""COMPUTED_VALUE"""),3.0)</f>
        <v>3</v>
      </c>
      <c r="BH51" s="16">
        <f>IFERROR(__xludf.DUMMYFUNCTION("""COMPUTED_VALUE"""),2.0)</f>
        <v>2</v>
      </c>
      <c r="BI51" s="16">
        <f>IFERROR(__xludf.DUMMYFUNCTION("""COMPUTED_VALUE"""),6.0)</f>
        <v>6</v>
      </c>
      <c r="BJ51" s="16">
        <f>IFERROR(__xludf.DUMMYFUNCTION("""COMPUTED_VALUE"""),4.0)</f>
        <v>4</v>
      </c>
      <c r="BK51" s="16">
        <f>IFERROR(__xludf.DUMMYFUNCTION("""COMPUTED_VALUE"""),5.0)</f>
        <v>5</v>
      </c>
      <c r="BL51" s="16">
        <f>IFERROR(__xludf.DUMMYFUNCTION("""COMPUTED_VALUE"""),5.0)</f>
        <v>5</v>
      </c>
      <c r="BM51" s="16">
        <f>IFERROR(__xludf.DUMMYFUNCTION("""COMPUTED_VALUE"""),0.0)</f>
        <v>0</v>
      </c>
      <c r="BN51" s="16">
        <f>IFERROR(__xludf.DUMMYFUNCTION("""COMPUTED_VALUE"""),0.0)</f>
        <v>0</v>
      </c>
      <c r="BO51" s="16">
        <f>IFERROR(__xludf.DUMMYFUNCTION("""COMPUTED_VALUE"""),0.0)</f>
        <v>0</v>
      </c>
      <c r="BP51" s="16">
        <f>IFERROR(__xludf.DUMMYFUNCTION("""COMPUTED_VALUE"""),0.0)</f>
        <v>0</v>
      </c>
      <c r="BQ51" s="16">
        <f>IFERROR(__xludf.DUMMYFUNCTION("""COMPUTED_VALUE"""),1.0)</f>
        <v>1</v>
      </c>
      <c r="BR51" s="16">
        <f>IFERROR(__xludf.DUMMYFUNCTION("""COMPUTED_VALUE"""),9.0)</f>
        <v>9</v>
      </c>
      <c r="BS51" s="16">
        <f>IFERROR(__xludf.DUMMYFUNCTION("""COMPUTED_VALUE"""),-2.0)</f>
        <v>-2</v>
      </c>
      <c r="BT51" s="16">
        <f>IFERROR(__xludf.DUMMYFUNCTION("""COMPUTED_VALUE"""),3.0)</f>
        <v>3</v>
      </c>
      <c r="BU51" s="16">
        <f>IFERROR(__xludf.DUMMYFUNCTION("""COMPUTED_VALUE"""),-4.0)</f>
        <v>-4</v>
      </c>
      <c r="BV51" s="16">
        <f>IFERROR(__xludf.DUMMYFUNCTION("""COMPUTED_VALUE"""),6.0)</f>
        <v>6</v>
      </c>
      <c r="BW51" s="16">
        <f>IFERROR(__xludf.DUMMYFUNCTION("""COMPUTED_VALUE"""),-1.0)</f>
        <v>-1</v>
      </c>
      <c r="BX51" s="16">
        <f>IFERROR(__xludf.DUMMYFUNCTION("""COMPUTED_VALUE"""),-1.0)</f>
        <v>-1</v>
      </c>
      <c r="BY51" s="16" t="str">
        <f>IFERROR(__xludf.DUMMYFUNCTION("""COMPUTED_VALUE"""),"R(1)")</f>
        <v>R(1)</v>
      </c>
      <c r="BZ51" s="16" t="str">
        <f>IFERROR(__xludf.DUMMYFUNCTION("""COMPUTED_VALUE"""),"R(1)")</f>
        <v>R(1)</v>
      </c>
      <c r="CA51" s="16" t="str">
        <f>IFERROR(__xludf.DUMMYFUNCTION("""COMPUTED_VALUE"""),"R(1)")</f>
        <v>R(1)</v>
      </c>
      <c r="CB51" s="16"/>
      <c r="CC51" s="16"/>
      <c r="CD51" s="16"/>
      <c r="CE51" s="16">
        <f>IFERROR(__xludf.DUMMYFUNCTION("""COMPUTED_VALUE"""),1.0)</f>
        <v>1</v>
      </c>
      <c r="CF51" s="16"/>
      <c r="CG51" s="16" t="str">
        <f>IFERROR(__xludf.DUMMYFUNCTION("""COMPUTED_VALUE"""),"2-0")</f>
        <v>2-0</v>
      </c>
      <c r="CH51" s="16">
        <f>IFERROR(__xludf.DUMMYFUNCTION("""COMPUTED_VALUE"""),2.0)</f>
        <v>2</v>
      </c>
      <c r="CI51" s="16">
        <f>IFERROR(__xludf.DUMMYFUNCTION("""COMPUTED_VALUE"""),0.0)</f>
        <v>0</v>
      </c>
      <c r="CJ51" s="16">
        <f>IFERROR(__xludf.DUMMYFUNCTION("""COMPUTED_VALUE"""),0.0)</f>
        <v>0</v>
      </c>
      <c r="CK51" s="16">
        <f>IFERROR(__xludf.DUMMYFUNCTION("""COMPUTED_VALUE"""),0.0)</f>
        <v>0</v>
      </c>
      <c r="CL51" s="16" t="str">
        <f>IFERROR(__xludf.DUMMYFUNCTION("""COMPUTED_VALUE"""),"1WR-C")</f>
        <v>1WR-C</v>
      </c>
      <c r="CM51" s="16" t="str">
        <f>IFERROR(__xludf.DUMMYFUNCTION("""COMPUTED_VALUE"""),"E")</f>
        <v>E</v>
      </c>
      <c r="CN51" s="16">
        <f>IFERROR(__xludf.DUMMYFUNCTION("""COMPUTED_VALUE"""),10.0)</f>
        <v>10</v>
      </c>
      <c r="CO51" s="16" t="str">
        <f>IFERROR(__xludf.DUMMYFUNCTION("""COMPUTED_VALUE"""),"C")</f>
        <v>C</v>
      </c>
      <c r="CP51" s="16" t="str">
        <f>IFERROR(__xludf.DUMMYFUNCTION("""COMPUTED_VALUE"""),"1p30")</f>
        <v>1p30</v>
      </c>
      <c r="CQ51" s="16">
        <f>IFERROR(__xludf.DUMMYFUNCTION("""COMPUTED_VALUE"""),19.0)</f>
        <v>19</v>
      </c>
      <c r="CR51" s="16">
        <f>IFERROR(__xludf.DUMMYFUNCTION("""COMPUTED_VALUE"""),31.0)</f>
        <v>31</v>
      </c>
      <c r="CS51" s="16">
        <f>IFERROR(__xludf.DUMMYFUNCTION("""COMPUTED_VALUE"""),50.0)</f>
        <v>50</v>
      </c>
      <c r="CT51" s="16">
        <f>IFERROR(__xludf.DUMMYFUNCTION("""COMPUTED_VALUE"""),19.0)</f>
        <v>19</v>
      </c>
      <c r="CU51" s="16">
        <f>IFERROR(__xludf.DUMMYFUNCTION("""COMPUTED_VALUE"""),31.0)</f>
        <v>31</v>
      </c>
      <c r="CV51" s="179">
        <f>IFERROR(__xludf.DUMMYFUNCTION("""COMPUTED_VALUE"""),29.0)</f>
        <v>29</v>
      </c>
      <c r="CW51" s="179">
        <f>IFERROR(__xludf.DUMMYFUNCTION("""COMPUTED_VALUE"""),4.0)</f>
        <v>4</v>
      </c>
      <c r="CX51" s="179">
        <f>IFERROR(__xludf.DUMMYFUNCTION("""COMPUTED_VALUE"""),2.0)</f>
        <v>2</v>
      </c>
      <c r="CY51" s="16" t="str">
        <f>IFERROR(__xludf.DUMMYFUNCTION("""COMPUTED_VALUE"""),"RP")</f>
        <v>RP</v>
      </c>
      <c r="CZ51" s="16"/>
      <c r="DA51" s="16"/>
      <c r="DB51" s="16"/>
      <c r="DC51" s="16"/>
      <c r="DD51" s="16"/>
      <c r="DE51" s="16"/>
      <c r="DF51" s="16"/>
      <c r="DG51" s="16"/>
      <c r="DH51" s="16"/>
      <c r="DI51" s="16"/>
      <c r="DJ51" s="16"/>
      <c r="DK51" s="16"/>
    </row>
    <row r="52">
      <c r="A52" s="16">
        <f>IFERROR(__xludf.DUMMYFUNCTION("""COMPUTED_VALUE"""),13483.0)</f>
        <v>13483</v>
      </c>
      <c r="B52" s="16" t="str">
        <f>IFERROR(__xludf.DUMMYFUNCTION("""COMPUTED_VALUE"""),"Will Vest")</f>
        <v>Will Vest</v>
      </c>
      <c r="C52" s="153">
        <f>IFERROR(__xludf.DUMMYFUNCTION("""COMPUTED_VALUE"""),1.02)</f>
        <v>1.02</v>
      </c>
      <c r="D52" s="16"/>
      <c r="E52" s="16" t="str">
        <f>IFERROR(__xludf.DUMMYFUNCTION("""COMPUTED_VALUE"""),"R")</f>
        <v>R</v>
      </c>
      <c r="F52" s="16">
        <f>IFERROR(__xludf.DUMMYFUNCTION("""COMPUTED_VALUE"""),70.0)</f>
        <v>70</v>
      </c>
      <c r="G52" s="16">
        <f>IFERROR(__xludf.DUMMYFUNCTION("""COMPUTED_VALUE"""),18.0)</f>
        <v>18</v>
      </c>
      <c r="H52" s="16">
        <f>IFERROR(__xludf.DUMMYFUNCTION("""COMPUTED_VALUE"""),28.0)</f>
        <v>28</v>
      </c>
      <c r="I52" s="16">
        <f>IFERROR(__xludf.DUMMYFUNCTION("""COMPUTED_VALUE"""),-1.0)</f>
        <v>-1</v>
      </c>
      <c r="J52" s="16">
        <f>IFERROR(__xludf.DUMMYFUNCTION("""COMPUTED_VALUE"""),0.0)</f>
        <v>0</v>
      </c>
      <c r="K52" s="16">
        <f>IFERROR(__xludf.DUMMYFUNCTION("""COMPUTED_VALUE"""),-3.0)</f>
        <v>-3</v>
      </c>
      <c r="L52" s="16">
        <f>IFERROR(__xludf.DUMMYFUNCTION("""COMPUTED_VALUE"""),0.0)</f>
        <v>0</v>
      </c>
      <c r="M52" s="16">
        <f>IFERROR(__xludf.DUMMYFUNCTION("""COMPUTED_VALUE"""),14.0)</f>
        <v>14</v>
      </c>
      <c r="N52" s="16">
        <f>IFERROR(__xludf.DUMMYFUNCTION("""COMPUTED_VALUE"""),0.0)</f>
        <v>0</v>
      </c>
      <c r="O52" s="16">
        <f>IFERROR(__xludf.DUMMYFUNCTION("""COMPUTED_VALUE"""),-2.0)</f>
        <v>-2</v>
      </c>
      <c r="P52" s="16">
        <f>IFERROR(__xludf.DUMMYFUNCTION("""COMPUTED_VALUE"""),3.0)</f>
        <v>3</v>
      </c>
      <c r="Q52" s="16">
        <f>IFERROR(__xludf.DUMMYFUNCTION("""COMPUTED_VALUE"""),-2.0)</f>
        <v>-2</v>
      </c>
      <c r="R52" s="16">
        <f>IFERROR(__xludf.DUMMYFUNCTION("""COMPUTED_VALUE"""),3.0)</f>
        <v>3</v>
      </c>
      <c r="S52" s="16">
        <f>IFERROR(__xludf.DUMMYFUNCTION("""COMPUTED_VALUE"""),7.7)</f>
        <v>7.7</v>
      </c>
      <c r="T52" s="16">
        <f>IFERROR(__xludf.DUMMYFUNCTION("""COMPUTED_VALUE"""),19.9)</f>
        <v>19.9</v>
      </c>
      <c r="U52" s="16">
        <f>IFERROR(__xludf.DUMMYFUNCTION("""COMPUTED_VALUE"""),1.0)</f>
        <v>1</v>
      </c>
      <c r="V52" s="16">
        <f>IFERROR(__xludf.DUMMYFUNCTION("""COMPUTED_VALUE"""),-1.0)</f>
        <v>-1</v>
      </c>
      <c r="W52" s="16">
        <f>IFERROR(__xludf.DUMMYFUNCTION("""COMPUTED_VALUE"""),2.0)</f>
        <v>2</v>
      </c>
      <c r="X52" s="16">
        <f>IFERROR(__xludf.DUMMYFUNCTION("""COMPUTED_VALUE"""),-2.0)</f>
        <v>-2</v>
      </c>
      <c r="Y52" s="16">
        <f>IFERROR(__xludf.DUMMYFUNCTION("""COMPUTED_VALUE"""),21.7)</f>
        <v>21.7</v>
      </c>
      <c r="Z52" s="16">
        <f>IFERROR(__xludf.DUMMYFUNCTION("""COMPUTED_VALUE"""),19.9)</f>
        <v>19.9</v>
      </c>
      <c r="AA52" s="16">
        <f>IFERROR(__xludf.DUMMYFUNCTION("""COMPUTED_VALUE"""),1.0)</f>
        <v>1</v>
      </c>
      <c r="AB52" s="16">
        <f>IFERROR(__xludf.DUMMYFUNCTION("""COMPUTED_VALUE"""),1.0)</f>
        <v>1</v>
      </c>
      <c r="AC52" s="16">
        <f>IFERROR(__xludf.DUMMYFUNCTION("""COMPUTED_VALUE"""),5.0)</f>
        <v>5</v>
      </c>
      <c r="AD52" s="16">
        <f>IFERROR(__xludf.DUMMYFUNCTION("""COMPUTED_VALUE"""),5.0)</f>
        <v>5</v>
      </c>
      <c r="AE52" s="16">
        <f>IFERROR(__xludf.DUMMYFUNCTION("""COMPUTED_VALUE"""),7.7)</f>
        <v>7.7</v>
      </c>
      <c r="AF52" s="16">
        <f>IFERROR(__xludf.DUMMYFUNCTION("""COMPUTED_VALUE"""),27.4)</f>
        <v>27.4</v>
      </c>
      <c r="AG52" s="16">
        <f>IFERROR(__xludf.DUMMYFUNCTION("""COMPUTED_VALUE"""),2.0)</f>
        <v>2</v>
      </c>
      <c r="AH52" s="16">
        <f>IFERROR(__xludf.DUMMYFUNCTION("""COMPUTED_VALUE"""),0.0)</f>
        <v>0</v>
      </c>
      <c r="AI52" s="16">
        <f>IFERROR(__xludf.DUMMYFUNCTION("""COMPUTED_VALUE"""),4.0)</f>
        <v>4</v>
      </c>
      <c r="AJ52" s="16">
        <f>IFERROR(__xludf.DUMMYFUNCTION("""COMPUTED_VALUE"""),0.0)</f>
        <v>0</v>
      </c>
      <c r="AK52" s="16">
        <f>IFERROR(__xludf.DUMMYFUNCTION("""COMPUTED_VALUE"""),7.7)</f>
        <v>7.7</v>
      </c>
      <c r="AL52" s="16">
        <f>IFERROR(__xludf.DUMMYFUNCTION("""COMPUTED_VALUE"""),19.9)</f>
        <v>19.9</v>
      </c>
      <c r="AM52" s="16">
        <f>IFERROR(__xludf.DUMMYFUNCTION("""COMPUTED_VALUE"""),1.0)</f>
        <v>1</v>
      </c>
      <c r="AN52" s="16">
        <f>IFERROR(__xludf.DUMMYFUNCTION("""COMPUTED_VALUE"""),-1.0)</f>
        <v>-1</v>
      </c>
      <c r="AO52" s="16">
        <f>IFERROR(__xludf.DUMMYFUNCTION("""COMPUTED_VALUE"""),1.0)</f>
        <v>1</v>
      </c>
      <c r="AP52" s="16">
        <f>IFERROR(__xludf.DUMMYFUNCTION("""COMPUTED_VALUE"""),-1.0)</f>
        <v>-1</v>
      </c>
      <c r="AQ52" s="16">
        <f>IFERROR(__xludf.DUMMYFUNCTION("""COMPUTED_VALUE"""),7.7)</f>
        <v>7.7</v>
      </c>
      <c r="AR52" s="16">
        <f>IFERROR(__xludf.DUMMYFUNCTION("""COMPUTED_VALUE"""),27.4)</f>
        <v>27.4</v>
      </c>
      <c r="AS52" s="16">
        <f>IFERROR(__xludf.DUMMYFUNCTION("""COMPUTED_VALUE"""),1.0)</f>
        <v>1</v>
      </c>
      <c r="AT52" s="16">
        <f>IFERROR(__xludf.DUMMYFUNCTION("""COMPUTED_VALUE"""),-1.0)</f>
        <v>-1</v>
      </c>
      <c r="AU52" s="16">
        <f>IFERROR(__xludf.DUMMYFUNCTION("""COMPUTED_VALUE"""),2.0)</f>
        <v>2</v>
      </c>
      <c r="AV52" s="16">
        <f>IFERROR(__xludf.DUMMYFUNCTION("""COMPUTED_VALUE"""),-2.0)</f>
        <v>-2</v>
      </c>
      <c r="AW52" s="16">
        <f>IFERROR(__xludf.DUMMYFUNCTION("""COMPUTED_VALUE"""),0.0)</f>
        <v>0</v>
      </c>
      <c r="AX52" s="16">
        <f>IFERROR(__xludf.DUMMYFUNCTION("""COMPUTED_VALUE"""),0.0)</f>
        <v>0</v>
      </c>
      <c r="AY52" s="16">
        <f>IFERROR(__xludf.DUMMYFUNCTION("""COMPUTED_VALUE"""),2.0)</f>
        <v>2</v>
      </c>
      <c r="AZ52" s="16">
        <f>IFERROR(__xludf.DUMMYFUNCTION("""COMPUTED_VALUE"""),2.0)</f>
        <v>2</v>
      </c>
      <c r="BA52" s="16">
        <f>IFERROR(__xludf.DUMMYFUNCTION("""COMPUTED_VALUE"""),10.0)</f>
        <v>10</v>
      </c>
      <c r="BB52" s="16">
        <f>IFERROR(__xludf.DUMMYFUNCTION("""COMPUTED_VALUE"""),10.0)</f>
        <v>10</v>
      </c>
      <c r="BC52" s="16">
        <f>IFERROR(__xludf.DUMMYFUNCTION("""COMPUTED_VALUE"""),0.0)</f>
        <v>0</v>
      </c>
      <c r="BD52" s="16">
        <f>IFERROR(__xludf.DUMMYFUNCTION("""COMPUTED_VALUE"""),0.0)</f>
        <v>0</v>
      </c>
      <c r="BE52" s="16">
        <f>IFERROR(__xludf.DUMMYFUNCTION("""COMPUTED_VALUE"""),0.0)</f>
        <v>0</v>
      </c>
      <c r="BF52" s="16">
        <f>IFERROR(__xludf.DUMMYFUNCTION("""COMPUTED_VALUE"""),0.0)</f>
        <v>0</v>
      </c>
      <c r="BG52" s="16">
        <f>IFERROR(__xludf.DUMMYFUNCTION("""COMPUTED_VALUE"""),3.0)</f>
        <v>3</v>
      </c>
      <c r="BH52" s="16">
        <f>IFERROR(__xludf.DUMMYFUNCTION("""COMPUTED_VALUE"""),2.0)</f>
        <v>2</v>
      </c>
      <c r="BI52" s="16">
        <f>IFERROR(__xludf.DUMMYFUNCTION("""COMPUTED_VALUE"""),6.0)</f>
        <v>6</v>
      </c>
      <c r="BJ52" s="16">
        <f>IFERROR(__xludf.DUMMYFUNCTION("""COMPUTED_VALUE"""),4.0)</f>
        <v>4</v>
      </c>
      <c r="BK52" s="16">
        <f>IFERROR(__xludf.DUMMYFUNCTION("""COMPUTED_VALUE"""),5.0)</f>
        <v>5</v>
      </c>
      <c r="BL52" s="16">
        <f>IFERROR(__xludf.DUMMYFUNCTION("""COMPUTED_VALUE"""),5.0)</f>
        <v>5</v>
      </c>
      <c r="BM52" s="16">
        <f>IFERROR(__xludf.DUMMYFUNCTION("""COMPUTED_VALUE"""),0.0)</f>
        <v>0</v>
      </c>
      <c r="BN52" s="16">
        <f>IFERROR(__xludf.DUMMYFUNCTION("""COMPUTED_VALUE"""),0.0)</f>
        <v>0</v>
      </c>
      <c r="BO52" s="16">
        <f>IFERROR(__xludf.DUMMYFUNCTION("""COMPUTED_VALUE"""),0.0)</f>
        <v>0</v>
      </c>
      <c r="BP52" s="16">
        <f>IFERROR(__xludf.DUMMYFUNCTION("""COMPUTED_VALUE"""),0.0)</f>
        <v>0</v>
      </c>
      <c r="BQ52" s="16">
        <f>IFERROR(__xludf.DUMMYFUNCTION("""COMPUTED_VALUE"""),7.0)</f>
        <v>7</v>
      </c>
      <c r="BR52" s="16">
        <f>IFERROR(__xludf.DUMMYFUNCTION("""COMPUTED_VALUE"""),7.0)</f>
        <v>7</v>
      </c>
      <c r="BS52" s="16">
        <f>IFERROR(__xludf.DUMMYFUNCTION("""COMPUTED_VALUE"""),2.0)</f>
        <v>2</v>
      </c>
      <c r="BT52" s="16">
        <f>IFERROR(__xludf.DUMMYFUNCTION("""COMPUTED_VALUE"""),2.0)</f>
        <v>2</v>
      </c>
      <c r="BU52" s="16">
        <f>IFERROR(__xludf.DUMMYFUNCTION("""COMPUTED_VALUE"""),4.0)</f>
        <v>4</v>
      </c>
      <c r="BV52" s="16">
        <f>IFERROR(__xludf.DUMMYFUNCTION("""COMPUTED_VALUE"""),4.0)</f>
        <v>4</v>
      </c>
      <c r="BW52" s="16">
        <f>IFERROR(__xludf.DUMMYFUNCTION("""COMPUTED_VALUE"""),-1.0)</f>
        <v>-1</v>
      </c>
      <c r="BX52" s="16">
        <f>IFERROR(__xludf.DUMMYFUNCTION("""COMPUTED_VALUE"""),-1.0)</f>
        <v>-1</v>
      </c>
      <c r="BY52" s="16" t="str">
        <f>IFERROR(__xludf.DUMMYFUNCTION("""COMPUTED_VALUE"""),"R(1) C(1)")</f>
        <v>R(1) C(1)</v>
      </c>
      <c r="BZ52" s="16" t="str">
        <f>IFERROR(__xludf.DUMMYFUNCTION("""COMPUTED_VALUE"""),"R(1) C(1)")</f>
        <v>R(1) C(1)</v>
      </c>
      <c r="CA52" s="16" t="str">
        <f>IFERROR(__xludf.DUMMYFUNCTION("""COMPUTED_VALUE"""),"R(1)")</f>
        <v>R(1)</v>
      </c>
      <c r="CB52" s="16" t="str">
        <f>IFERROR(__xludf.DUMMYFUNCTION("""COMPUTED_VALUE"""),"C(1)")</f>
        <v>C(1)</v>
      </c>
      <c r="CC52" s="16"/>
      <c r="CD52" s="16"/>
      <c r="CE52" s="16">
        <f>IFERROR(__xludf.DUMMYFUNCTION("""COMPUTED_VALUE"""),1.0)</f>
        <v>1</v>
      </c>
      <c r="CF52" s="16">
        <f>IFERROR(__xludf.DUMMYFUNCTION("""COMPUTED_VALUE"""),1.0)</f>
        <v>1</v>
      </c>
      <c r="CG52" s="16" t="str">
        <f>IFERROR(__xludf.DUMMYFUNCTION("""COMPUTED_VALUE"""),"2-0")</f>
        <v>2-0</v>
      </c>
      <c r="CH52" s="16">
        <f>IFERROR(__xludf.DUMMYFUNCTION("""COMPUTED_VALUE"""),2.0)</f>
        <v>2</v>
      </c>
      <c r="CI52" s="16">
        <f>IFERROR(__xludf.DUMMYFUNCTION("""COMPUTED_VALUE"""),0.0)</f>
        <v>0</v>
      </c>
      <c r="CJ52" s="16">
        <f>IFERROR(__xludf.DUMMYFUNCTION("""COMPUTED_VALUE"""),0.0)</f>
        <v>0</v>
      </c>
      <c r="CK52" s="16">
        <f>IFERROR(__xludf.DUMMYFUNCTION("""COMPUTED_VALUE"""),13.0)</f>
        <v>13</v>
      </c>
      <c r="CL52" s="16" t="str">
        <f>IFERROR(__xludf.DUMMYFUNCTION("""COMPUTED_VALUE"""),"1WR-C")</f>
        <v>1WR-C</v>
      </c>
      <c r="CM52" s="16" t="str">
        <f>IFERROR(__xludf.DUMMYFUNCTION("""COMPUTED_VALUE"""),"E")</f>
        <v>E</v>
      </c>
      <c r="CN52" s="16">
        <f>IFERROR(__xludf.DUMMYFUNCTION("""COMPUTED_VALUE"""),10.0)</f>
        <v>10</v>
      </c>
      <c r="CO52" s="16" t="str">
        <f>IFERROR(__xludf.DUMMYFUNCTION("""COMPUTED_VALUE"""),"C")</f>
        <v>C</v>
      </c>
      <c r="CP52" s="16" t="str">
        <f>IFERROR(__xludf.DUMMYFUNCTION("""COMPUTED_VALUE"""),"1p60")</f>
        <v>1p60</v>
      </c>
      <c r="CQ52" s="16">
        <f>IFERROR(__xludf.DUMMYFUNCTION("""COMPUTED_VALUE"""),29.0)</f>
        <v>29</v>
      </c>
      <c r="CR52" s="16">
        <f>IFERROR(__xludf.DUMMYFUNCTION("""COMPUTED_VALUE"""),21.0)</f>
        <v>21</v>
      </c>
      <c r="CS52" s="16">
        <f>IFERROR(__xludf.DUMMYFUNCTION("""COMPUTED_VALUE"""),50.0)</f>
        <v>50</v>
      </c>
      <c r="CT52" s="16">
        <f>IFERROR(__xludf.DUMMYFUNCTION("""COMPUTED_VALUE"""),29.0)</f>
        <v>29</v>
      </c>
      <c r="CU52" s="16">
        <f>IFERROR(__xludf.DUMMYFUNCTION("""COMPUTED_VALUE"""),21.0)</f>
        <v>21</v>
      </c>
      <c r="CV52" s="179">
        <f>IFERROR(__xludf.DUMMYFUNCTION("""COMPUTED_VALUE"""),28.666666666666668)</f>
        <v>28.66666667</v>
      </c>
      <c r="CW52" s="179">
        <f>IFERROR(__xludf.DUMMYFUNCTION("""COMPUTED_VALUE"""),4.0)</f>
        <v>4</v>
      </c>
      <c r="CX52" s="179">
        <f>IFERROR(__xludf.DUMMYFUNCTION("""COMPUTED_VALUE"""),1.0)</f>
        <v>1</v>
      </c>
      <c r="CY52" s="16" t="str">
        <f>IFERROR(__xludf.DUMMYFUNCTION("""COMPUTED_VALUE"""),"RP")</f>
        <v>RP</v>
      </c>
      <c r="CZ52" s="16" t="str">
        <f>IFERROR(__xludf.DUMMYFUNCTION("""COMPUTED_VALUE"""),"CP")</f>
        <v>CP</v>
      </c>
      <c r="DA52" s="16"/>
      <c r="DB52" s="16"/>
      <c r="DC52" s="16"/>
      <c r="DD52" s="16"/>
      <c r="DE52" s="16"/>
      <c r="DF52" s="16"/>
      <c r="DG52" s="16"/>
      <c r="DH52" s="16"/>
      <c r="DI52" s="16"/>
      <c r="DJ52" s="16"/>
      <c r="DK52" s="16"/>
    </row>
    <row r="53">
      <c r="A53" s="16">
        <f>IFERROR(__xludf.DUMMYFUNCTION("""COMPUTED_VALUE"""),13323.0)</f>
        <v>13323</v>
      </c>
      <c r="B53" s="16" t="str">
        <f>IFERROR(__xludf.DUMMYFUNCTION("""COMPUTED_VALUE"""),"Ronel Blanco")</f>
        <v>Ronel Blanco</v>
      </c>
      <c r="C53" s="153">
        <f>IFERROR(__xludf.DUMMYFUNCTION("""COMPUTED_VALUE"""),2.42)</f>
        <v>2.42</v>
      </c>
      <c r="D53" s="16"/>
      <c r="E53" s="16" t="str">
        <f>IFERROR(__xludf.DUMMYFUNCTION("""COMPUTED_VALUE"""),"R")</f>
        <v>R</v>
      </c>
      <c r="F53" s="16">
        <f>IFERROR(__xludf.DUMMYFUNCTION("""COMPUTED_VALUE"""),167.0)</f>
        <v>167</v>
      </c>
      <c r="G53" s="16">
        <f>IFERROR(__xludf.DUMMYFUNCTION("""COMPUTED_VALUE"""),27.0)</f>
        <v>27</v>
      </c>
      <c r="H53" s="16">
        <f>IFERROR(__xludf.DUMMYFUNCTION("""COMPUTED_VALUE"""),30.0)</f>
        <v>30</v>
      </c>
      <c r="I53" s="16">
        <f>IFERROR(__xludf.DUMMYFUNCTION("""COMPUTED_VALUE"""),0.0)</f>
        <v>0</v>
      </c>
      <c r="J53" s="16">
        <f>IFERROR(__xludf.DUMMYFUNCTION("""COMPUTED_VALUE"""),0.0)</f>
        <v>0</v>
      </c>
      <c r="K53" s="16">
        <f>IFERROR(__xludf.DUMMYFUNCTION("""COMPUTED_VALUE"""),0.0)</f>
        <v>0</v>
      </c>
      <c r="L53" s="16">
        <f>IFERROR(__xludf.DUMMYFUNCTION("""COMPUTED_VALUE"""),0.0)</f>
        <v>0</v>
      </c>
      <c r="M53" s="16">
        <f>IFERROR(__xludf.DUMMYFUNCTION("""COMPUTED_VALUE"""),13.0)</f>
        <v>13</v>
      </c>
      <c r="N53" s="16">
        <f>IFERROR(__xludf.DUMMYFUNCTION("""COMPUTED_VALUE"""),14.0)</f>
        <v>14</v>
      </c>
      <c r="O53" s="16">
        <f>IFERROR(__xludf.DUMMYFUNCTION("""COMPUTED_VALUE"""),-1.0)</f>
        <v>-1</v>
      </c>
      <c r="P53" s="16">
        <f>IFERROR(__xludf.DUMMYFUNCTION("""COMPUTED_VALUE"""),-2.0)</f>
        <v>-2</v>
      </c>
      <c r="Q53" s="16">
        <f>IFERROR(__xludf.DUMMYFUNCTION("""COMPUTED_VALUE"""),-1.0)</f>
        <v>-1</v>
      </c>
      <c r="R53" s="16">
        <f>IFERROR(__xludf.DUMMYFUNCTION("""COMPUTED_VALUE"""),-2.0)</f>
        <v>-2</v>
      </c>
      <c r="S53" s="16">
        <f>IFERROR(__xludf.DUMMYFUNCTION("""COMPUTED_VALUE"""),4.1)</f>
        <v>4.1</v>
      </c>
      <c r="T53" s="16">
        <f>IFERROR(__xludf.DUMMYFUNCTION("""COMPUTED_VALUE"""),5.3)</f>
        <v>5.3</v>
      </c>
      <c r="U53" s="16">
        <f>IFERROR(__xludf.DUMMYFUNCTION("""COMPUTED_VALUE"""),2.0)</f>
        <v>2</v>
      </c>
      <c r="V53" s="16">
        <f>IFERROR(__xludf.DUMMYFUNCTION("""COMPUTED_VALUE"""),2.0)</f>
        <v>2</v>
      </c>
      <c r="W53" s="16">
        <f>IFERROR(__xludf.DUMMYFUNCTION("""COMPUTED_VALUE"""),4.0)</f>
        <v>4</v>
      </c>
      <c r="X53" s="16">
        <f>IFERROR(__xludf.DUMMYFUNCTION("""COMPUTED_VALUE"""),4.0)</f>
        <v>4</v>
      </c>
      <c r="Y53" s="16">
        <f>IFERROR(__xludf.DUMMYFUNCTION("""COMPUTED_VALUE"""),17.1)</f>
        <v>17.1</v>
      </c>
      <c r="Z53" s="16">
        <f>IFERROR(__xludf.DUMMYFUNCTION("""COMPUTED_VALUE"""),19.4)</f>
        <v>19.4</v>
      </c>
      <c r="AA53" s="16">
        <f>IFERROR(__xludf.DUMMYFUNCTION("""COMPUTED_VALUE"""),1.0)</f>
        <v>1</v>
      </c>
      <c r="AB53" s="16">
        <f>IFERROR(__xludf.DUMMYFUNCTION("""COMPUTED_VALUE"""),1.0)</f>
        <v>1</v>
      </c>
      <c r="AC53" s="16">
        <f>IFERROR(__xludf.DUMMYFUNCTION("""COMPUTED_VALUE"""),5.0)</f>
        <v>5</v>
      </c>
      <c r="AD53" s="16">
        <f>IFERROR(__xludf.DUMMYFUNCTION("""COMPUTED_VALUE"""),5.0)</f>
        <v>5</v>
      </c>
      <c r="AE53" s="16">
        <f>IFERROR(__xludf.DUMMYFUNCTION("""COMPUTED_VALUE"""),13.6)</f>
        <v>13.6</v>
      </c>
      <c r="AF53" s="16">
        <f>IFERROR(__xludf.DUMMYFUNCTION("""COMPUTED_VALUE"""),13.5)</f>
        <v>13.5</v>
      </c>
      <c r="AG53" s="16">
        <f>IFERROR(__xludf.DUMMYFUNCTION("""COMPUTED_VALUE"""),1.0)</f>
        <v>1</v>
      </c>
      <c r="AH53" s="16">
        <f>IFERROR(__xludf.DUMMYFUNCTION("""COMPUTED_VALUE"""),2.0)</f>
        <v>2</v>
      </c>
      <c r="AI53" s="16">
        <f>IFERROR(__xludf.DUMMYFUNCTION("""COMPUTED_VALUE"""),2.0)</f>
        <v>2</v>
      </c>
      <c r="AJ53" s="16">
        <f>IFERROR(__xludf.DUMMYFUNCTION("""COMPUTED_VALUE"""),4.0)</f>
        <v>4</v>
      </c>
      <c r="AK53" s="16">
        <f>IFERROR(__xludf.DUMMYFUNCTION("""COMPUTED_VALUE"""),1.4999999999999996)</f>
        <v>1.5</v>
      </c>
      <c r="AL53" s="16">
        <f>IFERROR(__xludf.DUMMYFUNCTION("""COMPUTED_VALUE"""),4.1)</f>
        <v>4.1</v>
      </c>
      <c r="AM53" s="16">
        <f>IFERROR(__xludf.DUMMYFUNCTION("""COMPUTED_VALUE"""),2.0)</f>
        <v>2</v>
      </c>
      <c r="AN53" s="16">
        <f>IFERROR(__xludf.DUMMYFUNCTION("""COMPUTED_VALUE"""),2.0)</f>
        <v>2</v>
      </c>
      <c r="AO53" s="16">
        <f>IFERROR(__xludf.DUMMYFUNCTION("""COMPUTED_VALUE"""),2.0)</f>
        <v>2</v>
      </c>
      <c r="AP53" s="16">
        <f>IFERROR(__xludf.DUMMYFUNCTION("""COMPUTED_VALUE"""),2.0)</f>
        <v>2</v>
      </c>
      <c r="AQ53" s="16">
        <f>IFERROR(__xludf.DUMMYFUNCTION("""COMPUTED_VALUE"""),3.1999999999999993)</f>
        <v>3.2</v>
      </c>
      <c r="AR53" s="16">
        <f>IFERROR(__xludf.DUMMYFUNCTION("""COMPUTED_VALUE"""),8.7)</f>
        <v>8.7</v>
      </c>
      <c r="AS53" s="16">
        <f>IFERROR(__xludf.DUMMYFUNCTION("""COMPUTED_VALUE"""),2.0)</f>
        <v>2</v>
      </c>
      <c r="AT53" s="16">
        <f>IFERROR(__xludf.DUMMYFUNCTION("""COMPUTED_VALUE"""),2.0)</f>
        <v>2</v>
      </c>
      <c r="AU53" s="16">
        <f>IFERROR(__xludf.DUMMYFUNCTION("""COMPUTED_VALUE"""),4.0)</f>
        <v>4</v>
      </c>
      <c r="AV53" s="16">
        <f>IFERROR(__xludf.DUMMYFUNCTION("""COMPUTED_VALUE"""),4.0)</f>
        <v>4</v>
      </c>
      <c r="AW53" s="16">
        <f>IFERROR(__xludf.DUMMYFUNCTION("""COMPUTED_VALUE"""),2.6)</f>
        <v>2.6</v>
      </c>
      <c r="AX53" s="16">
        <f>IFERROR(__xludf.DUMMYFUNCTION("""COMPUTED_VALUE"""),1.2)</f>
        <v>1.2</v>
      </c>
      <c r="AY53" s="16">
        <f>IFERROR(__xludf.DUMMYFUNCTION("""COMPUTED_VALUE"""),-1.0)</f>
        <v>-1</v>
      </c>
      <c r="AZ53" s="16">
        <f>IFERROR(__xludf.DUMMYFUNCTION("""COMPUTED_VALUE"""),1.0)</f>
        <v>1</v>
      </c>
      <c r="BA53" s="16">
        <f>IFERROR(__xludf.DUMMYFUNCTION("""COMPUTED_VALUE"""),-5.0)</f>
        <v>-5</v>
      </c>
      <c r="BB53" s="16">
        <f>IFERROR(__xludf.DUMMYFUNCTION("""COMPUTED_VALUE"""),5.0)</f>
        <v>5</v>
      </c>
      <c r="BC53" s="16"/>
      <c r="BD53" s="16"/>
      <c r="BE53" s="16">
        <f>IFERROR(__xludf.DUMMYFUNCTION("""COMPUTED_VALUE"""),4.0)</f>
        <v>4</v>
      </c>
      <c r="BF53" s="16">
        <f>IFERROR(__xludf.DUMMYFUNCTION("""COMPUTED_VALUE"""),1.0)</f>
        <v>1</v>
      </c>
      <c r="BG53" s="16">
        <f>IFERROR(__xludf.DUMMYFUNCTION("""COMPUTED_VALUE"""),-1.0)</f>
        <v>-1</v>
      </c>
      <c r="BH53" s="16">
        <f>IFERROR(__xludf.DUMMYFUNCTION("""COMPUTED_VALUE"""),2.0)</f>
        <v>2</v>
      </c>
      <c r="BI53" s="16">
        <f>IFERROR(__xludf.DUMMYFUNCTION("""COMPUTED_VALUE"""),-2.0)</f>
        <v>-2</v>
      </c>
      <c r="BJ53" s="16">
        <f>IFERROR(__xludf.DUMMYFUNCTION("""COMPUTED_VALUE"""),4.0)</f>
        <v>4</v>
      </c>
      <c r="BK53" s="16">
        <f>IFERROR(__xludf.DUMMYFUNCTION("""COMPUTED_VALUE"""),0.0)</f>
        <v>0</v>
      </c>
      <c r="BL53" s="16">
        <f>IFERROR(__xludf.DUMMYFUNCTION("""COMPUTED_VALUE"""),0.0)</f>
        <v>0</v>
      </c>
      <c r="BM53" s="16">
        <f>IFERROR(__xludf.DUMMYFUNCTION("""COMPUTED_VALUE"""),1.0)</f>
        <v>1</v>
      </c>
      <c r="BN53" s="16">
        <f>IFERROR(__xludf.DUMMYFUNCTION("""COMPUTED_VALUE"""),1.0)</f>
        <v>1</v>
      </c>
      <c r="BO53" s="16">
        <f>IFERROR(__xludf.DUMMYFUNCTION("""COMPUTED_VALUE"""),1.0)</f>
        <v>1</v>
      </c>
      <c r="BP53" s="16">
        <f>IFERROR(__xludf.DUMMYFUNCTION("""COMPUTED_VALUE"""),1.0)</f>
        <v>1</v>
      </c>
      <c r="BQ53" s="16">
        <f>IFERROR(__xludf.DUMMYFUNCTION("""COMPUTED_VALUE"""),9.0)</f>
        <v>9</v>
      </c>
      <c r="BR53" s="16">
        <f>IFERROR(__xludf.DUMMYFUNCTION("""COMPUTED_VALUE"""),9.0)</f>
        <v>9</v>
      </c>
      <c r="BS53" s="16">
        <f>IFERROR(__xludf.DUMMYFUNCTION("""COMPUTED_VALUE"""),3.0)</f>
        <v>3</v>
      </c>
      <c r="BT53" s="16">
        <f>IFERROR(__xludf.DUMMYFUNCTION("""COMPUTED_VALUE"""),3.0)</f>
        <v>3</v>
      </c>
      <c r="BU53" s="16">
        <f>IFERROR(__xludf.DUMMYFUNCTION("""COMPUTED_VALUE"""),6.0)</f>
        <v>6</v>
      </c>
      <c r="BV53" s="16">
        <f>IFERROR(__xludf.DUMMYFUNCTION("""COMPUTED_VALUE"""),6.0)</f>
        <v>6</v>
      </c>
      <c r="BW53" s="16">
        <f>IFERROR(__xludf.DUMMYFUNCTION("""COMPUTED_VALUE"""),-4.0)</f>
        <v>-4</v>
      </c>
      <c r="BX53" s="16">
        <f>IFERROR(__xludf.DUMMYFUNCTION("""COMPUTED_VALUE"""),-4.0)</f>
        <v>-4</v>
      </c>
      <c r="BY53" s="16" t="str">
        <f>IFERROR(__xludf.DUMMYFUNCTION("""COMPUTED_VALUE"""),"S(6)")</f>
        <v>S(6)</v>
      </c>
      <c r="BZ53" s="16" t="str">
        <f>IFERROR(__xludf.DUMMYFUNCTION("""COMPUTED_VALUE"""),"S(6)")</f>
        <v>S(6)</v>
      </c>
      <c r="CA53" s="16" t="str">
        <f>IFERROR(__xludf.DUMMYFUNCTION("""COMPUTED_VALUE"""),"S(6)")</f>
        <v>S(6)</v>
      </c>
      <c r="CB53" s="16"/>
      <c r="CC53" s="16"/>
      <c r="CD53" s="16">
        <f>IFERROR(__xludf.DUMMYFUNCTION("""COMPUTED_VALUE"""),6.0)</f>
        <v>6</v>
      </c>
      <c r="CE53" s="16"/>
      <c r="CF53" s="16"/>
      <c r="CG53" s="16" t="str">
        <f>IFERROR(__xludf.DUMMYFUNCTION("""COMPUTED_VALUE"""),"1-26")</f>
        <v>1-26</v>
      </c>
      <c r="CH53" s="16">
        <f>IFERROR(__xludf.DUMMYFUNCTION("""COMPUTED_VALUE"""),1.0)</f>
        <v>1</v>
      </c>
      <c r="CI53" s="16">
        <f>IFERROR(__xludf.DUMMYFUNCTION("""COMPUTED_VALUE"""),26.0)</f>
        <v>26</v>
      </c>
      <c r="CJ53" s="16">
        <f>IFERROR(__xludf.DUMMYFUNCTION("""COMPUTED_VALUE"""),0.0)</f>
        <v>0</v>
      </c>
      <c r="CK53" s="16">
        <f>IFERROR(__xludf.DUMMYFUNCTION("""COMPUTED_VALUE"""),3.0)</f>
        <v>3</v>
      </c>
      <c r="CL53" s="16" t="str">
        <f>IFERROR(__xludf.DUMMYFUNCTION("""COMPUTED_VALUE"""),"1WR-C")</f>
        <v>1WR-C</v>
      </c>
      <c r="CM53" s="16" t="str">
        <f>IFERROR(__xludf.DUMMYFUNCTION("""COMPUTED_VALUE"""),"E")</f>
        <v>E</v>
      </c>
      <c r="CN53" s="16">
        <f>IFERROR(__xludf.DUMMYFUNCTION("""COMPUTED_VALUE"""),10.0)</f>
        <v>10</v>
      </c>
      <c r="CO53" s="16" t="str">
        <f>IFERROR(__xludf.DUMMYFUNCTION("""COMPUTED_VALUE"""),"C")</f>
        <v>C</v>
      </c>
      <c r="CP53" s="16" t="str">
        <f>IFERROR(__xludf.DUMMYFUNCTION("""COMPUTED_VALUE"""),"1p70")</f>
        <v>1p70</v>
      </c>
      <c r="CQ53" s="16">
        <f>IFERROR(__xludf.DUMMYFUNCTION("""COMPUTED_VALUE"""),16.0)</f>
        <v>16</v>
      </c>
      <c r="CR53" s="16">
        <f>IFERROR(__xludf.DUMMYFUNCTION("""COMPUTED_VALUE"""),33.0)</f>
        <v>33</v>
      </c>
      <c r="CS53" s="16">
        <f>IFERROR(__xludf.DUMMYFUNCTION("""COMPUTED_VALUE"""),49.0)</f>
        <v>49</v>
      </c>
      <c r="CT53" s="16">
        <f>IFERROR(__xludf.DUMMYFUNCTION("""COMPUTED_VALUE"""),16.0)</f>
        <v>16</v>
      </c>
      <c r="CU53" s="16">
        <f>IFERROR(__xludf.DUMMYFUNCTION("""COMPUTED_VALUE"""),33.0)</f>
        <v>33</v>
      </c>
      <c r="CV53" s="179">
        <f>IFERROR(__xludf.DUMMYFUNCTION("""COMPUTED_VALUE"""),28.666666666666668)</f>
        <v>28.66666667</v>
      </c>
      <c r="CW53" s="179">
        <f>IFERROR(__xludf.DUMMYFUNCTION("""COMPUTED_VALUE"""),4.0)</f>
        <v>4</v>
      </c>
      <c r="CX53" s="179">
        <f>IFERROR(__xludf.DUMMYFUNCTION("""COMPUTED_VALUE"""),3.0)</f>
        <v>3</v>
      </c>
      <c r="CY53" s="16" t="str">
        <f>IFERROR(__xludf.DUMMYFUNCTION("""COMPUTED_VALUE"""),"SP")</f>
        <v>SP</v>
      </c>
      <c r="CZ53" s="16"/>
      <c r="DA53" s="16"/>
      <c r="DB53" s="16"/>
      <c r="DC53" s="16"/>
      <c r="DD53" s="16"/>
      <c r="DE53" s="16"/>
      <c r="DF53" s="16"/>
      <c r="DG53" s="16"/>
      <c r="DH53" s="16"/>
      <c r="DI53" s="16"/>
      <c r="DJ53" s="16"/>
      <c r="DK53" s="16"/>
    </row>
    <row r="54">
      <c r="A54" s="16">
        <f>IFERROR(__xludf.DUMMYFUNCTION("""COMPUTED_VALUE"""),13263.0)</f>
        <v>13263</v>
      </c>
      <c r="B54" s="16" t="str">
        <f>IFERROR(__xludf.DUMMYFUNCTION("""COMPUTED_VALUE"""),"Orion Kerkering")</f>
        <v>Orion Kerkering</v>
      </c>
      <c r="C54" s="153">
        <f>IFERROR(__xludf.DUMMYFUNCTION("""COMPUTED_VALUE"""),1.22)</f>
        <v>1.22</v>
      </c>
      <c r="D54" s="16"/>
      <c r="E54" s="16" t="str">
        <f>IFERROR(__xludf.DUMMYFUNCTION("""COMPUTED_VALUE"""),"R")</f>
        <v>R</v>
      </c>
      <c r="F54" s="16">
        <f>IFERROR(__xludf.DUMMYFUNCTION("""COMPUTED_VALUE"""),63.0)</f>
        <v>63</v>
      </c>
      <c r="G54" s="16">
        <f>IFERROR(__xludf.DUMMYFUNCTION("""COMPUTED_VALUE"""),41.0)</f>
        <v>41</v>
      </c>
      <c r="H54" s="16">
        <f>IFERROR(__xludf.DUMMYFUNCTION("""COMPUTED_VALUE"""),36.0)</f>
        <v>36</v>
      </c>
      <c r="I54" s="16">
        <f>IFERROR(__xludf.DUMMYFUNCTION("""COMPUTED_VALUE"""),2.0)</f>
        <v>2</v>
      </c>
      <c r="J54" s="16">
        <f>IFERROR(__xludf.DUMMYFUNCTION("""COMPUTED_VALUE"""),1.0)</f>
        <v>1</v>
      </c>
      <c r="K54" s="16">
        <f>IFERROR(__xludf.DUMMYFUNCTION("""COMPUTED_VALUE"""),6.0)</f>
        <v>6</v>
      </c>
      <c r="L54" s="16">
        <f>IFERROR(__xludf.DUMMYFUNCTION("""COMPUTED_VALUE"""),3.0)</f>
        <v>3</v>
      </c>
      <c r="M54" s="16">
        <f>IFERROR(__xludf.DUMMYFUNCTION("""COMPUTED_VALUE"""),13.0)</f>
        <v>13</v>
      </c>
      <c r="N54" s="16">
        <f>IFERROR(__xludf.DUMMYFUNCTION("""COMPUTED_VALUE"""),2.0)</f>
        <v>2</v>
      </c>
      <c r="O54" s="16">
        <f>IFERROR(__xludf.DUMMYFUNCTION("""COMPUTED_VALUE"""),-1.0)</f>
        <v>-1</v>
      </c>
      <c r="P54" s="16">
        <f>IFERROR(__xludf.DUMMYFUNCTION("""COMPUTED_VALUE"""),3.0)</f>
        <v>3</v>
      </c>
      <c r="Q54" s="16">
        <f>IFERROR(__xludf.DUMMYFUNCTION("""COMPUTED_VALUE"""),-1.0)</f>
        <v>-1</v>
      </c>
      <c r="R54" s="16">
        <f>IFERROR(__xludf.DUMMYFUNCTION("""COMPUTED_VALUE"""),3.0)</f>
        <v>3</v>
      </c>
      <c r="S54" s="16">
        <f>IFERROR(__xludf.DUMMYFUNCTION("""COMPUTED_VALUE"""),16.4)</f>
        <v>16.4</v>
      </c>
      <c r="T54" s="16">
        <f>IFERROR(__xludf.DUMMYFUNCTION("""COMPUTED_VALUE"""),12.7)</f>
        <v>12.7</v>
      </c>
      <c r="U54" s="16">
        <f>IFERROR(__xludf.DUMMYFUNCTION("""COMPUTED_VALUE"""),0.0)</f>
        <v>0</v>
      </c>
      <c r="V54" s="16">
        <f>IFERROR(__xludf.DUMMYFUNCTION("""COMPUTED_VALUE"""),1.0)</f>
        <v>1</v>
      </c>
      <c r="W54" s="16">
        <f>IFERROR(__xludf.DUMMYFUNCTION("""COMPUTED_VALUE"""),0.0)</f>
        <v>0</v>
      </c>
      <c r="X54" s="16">
        <f>IFERROR(__xludf.DUMMYFUNCTION("""COMPUTED_VALUE"""),2.0)</f>
        <v>2</v>
      </c>
      <c r="Y54" s="16">
        <f>IFERROR(__xludf.DUMMYFUNCTION("""COMPUTED_VALUE"""),29.4)</f>
        <v>29.4</v>
      </c>
      <c r="Z54" s="16">
        <f>IFERROR(__xludf.DUMMYFUNCTION("""COMPUTED_VALUE"""),14.7)</f>
        <v>14.7</v>
      </c>
      <c r="AA54" s="16">
        <f>IFERROR(__xludf.DUMMYFUNCTION("""COMPUTED_VALUE"""),0.0)</f>
        <v>0</v>
      </c>
      <c r="AB54" s="16">
        <f>IFERROR(__xludf.DUMMYFUNCTION("""COMPUTED_VALUE"""),2.0)</f>
        <v>2</v>
      </c>
      <c r="AC54" s="16">
        <f>IFERROR(__xludf.DUMMYFUNCTION("""COMPUTED_VALUE"""),0.0)</f>
        <v>0</v>
      </c>
      <c r="AD54" s="16">
        <f>IFERROR(__xludf.DUMMYFUNCTION("""COMPUTED_VALUE"""),10.0)</f>
        <v>10</v>
      </c>
      <c r="AE54" s="16">
        <f>IFERROR(__xludf.DUMMYFUNCTION("""COMPUTED_VALUE"""),19.8)</f>
        <v>19.8</v>
      </c>
      <c r="AF54" s="16">
        <f>IFERROR(__xludf.DUMMYFUNCTION("""COMPUTED_VALUE"""),20.5)</f>
        <v>20.5</v>
      </c>
      <c r="AG54" s="16">
        <f>IFERROR(__xludf.DUMMYFUNCTION("""COMPUTED_VALUE"""),1.0)</f>
        <v>1</v>
      </c>
      <c r="AH54" s="16">
        <f>IFERROR(__xludf.DUMMYFUNCTION("""COMPUTED_VALUE"""),1.0)</f>
        <v>1</v>
      </c>
      <c r="AI54" s="16">
        <f>IFERROR(__xludf.DUMMYFUNCTION("""COMPUTED_VALUE"""),2.0)</f>
        <v>2</v>
      </c>
      <c r="AJ54" s="16">
        <f>IFERROR(__xludf.DUMMYFUNCTION("""COMPUTED_VALUE"""),2.0)</f>
        <v>2</v>
      </c>
      <c r="AK54" s="16">
        <f>IFERROR(__xludf.DUMMYFUNCTION("""COMPUTED_VALUE"""),16.4)</f>
        <v>16.4</v>
      </c>
      <c r="AL54" s="16">
        <f>IFERROR(__xludf.DUMMYFUNCTION("""COMPUTED_VALUE"""),12.7)</f>
        <v>12.7</v>
      </c>
      <c r="AM54" s="16">
        <f>IFERROR(__xludf.DUMMYFUNCTION("""COMPUTED_VALUE"""),-1.0)</f>
        <v>-1</v>
      </c>
      <c r="AN54" s="16">
        <f>IFERROR(__xludf.DUMMYFUNCTION("""COMPUTED_VALUE"""),0.0)</f>
        <v>0</v>
      </c>
      <c r="AO54" s="16">
        <f>IFERROR(__xludf.DUMMYFUNCTION("""COMPUTED_VALUE"""),-1.0)</f>
        <v>-1</v>
      </c>
      <c r="AP54" s="16">
        <f>IFERROR(__xludf.DUMMYFUNCTION("""COMPUTED_VALUE"""),0.0)</f>
        <v>0</v>
      </c>
      <c r="AQ54" s="16">
        <f>IFERROR(__xludf.DUMMYFUNCTION("""COMPUTED_VALUE"""),19.8)</f>
        <v>19.8</v>
      </c>
      <c r="AR54" s="16">
        <f>IFERROR(__xludf.DUMMYFUNCTION("""COMPUTED_VALUE"""),20.5)</f>
        <v>20.5</v>
      </c>
      <c r="AS54" s="16">
        <f>IFERROR(__xludf.DUMMYFUNCTION("""COMPUTED_VALUE"""),0.0)</f>
        <v>0</v>
      </c>
      <c r="AT54" s="16">
        <f>IFERROR(__xludf.DUMMYFUNCTION("""COMPUTED_VALUE"""),0.0)</f>
        <v>0</v>
      </c>
      <c r="AU54" s="16">
        <f>IFERROR(__xludf.DUMMYFUNCTION("""COMPUTED_VALUE"""),0.0)</f>
        <v>0</v>
      </c>
      <c r="AV54" s="16">
        <f>IFERROR(__xludf.DUMMYFUNCTION("""COMPUTED_VALUE"""),0.0)</f>
        <v>0</v>
      </c>
      <c r="AW54" s="16">
        <f>IFERROR(__xludf.DUMMYFUNCTION("""COMPUTED_VALUE"""),0.0)</f>
        <v>0</v>
      </c>
      <c r="AX54" s="16">
        <f>IFERROR(__xludf.DUMMYFUNCTION("""COMPUTED_VALUE"""),0.0)</f>
        <v>0</v>
      </c>
      <c r="AY54" s="16">
        <f>IFERROR(__xludf.DUMMYFUNCTION("""COMPUTED_VALUE"""),2.0)</f>
        <v>2</v>
      </c>
      <c r="AZ54" s="16">
        <f>IFERROR(__xludf.DUMMYFUNCTION("""COMPUTED_VALUE"""),2.0)</f>
        <v>2</v>
      </c>
      <c r="BA54" s="16">
        <f>IFERROR(__xludf.DUMMYFUNCTION("""COMPUTED_VALUE"""),10.0)</f>
        <v>10</v>
      </c>
      <c r="BB54" s="16">
        <f>IFERROR(__xludf.DUMMYFUNCTION("""COMPUTED_VALUE"""),10.0)</f>
        <v>10</v>
      </c>
      <c r="BC54" s="16">
        <f>IFERROR(__xludf.DUMMYFUNCTION("""COMPUTED_VALUE"""),0.0)</f>
        <v>0</v>
      </c>
      <c r="BD54" s="16">
        <f>IFERROR(__xludf.DUMMYFUNCTION("""COMPUTED_VALUE"""),0.0)</f>
        <v>0</v>
      </c>
      <c r="BE54" s="16">
        <f>IFERROR(__xludf.DUMMYFUNCTION("""COMPUTED_VALUE"""),0.0)</f>
        <v>0</v>
      </c>
      <c r="BF54" s="16">
        <f>IFERROR(__xludf.DUMMYFUNCTION("""COMPUTED_VALUE"""),0.0)</f>
        <v>0</v>
      </c>
      <c r="BG54" s="16">
        <f>IFERROR(__xludf.DUMMYFUNCTION("""COMPUTED_VALUE"""),3.0)</f>
        <v>3</v>
      </c>
      <c r="BH54" s="16">
        <f>IFERROR(__xludf.DUMMYFUNCTION("""COMPUTED_VALUE"""),2.0)</f>
        <v>2</v>
      </c>
      <c r="BI54" s="16">
        <f>IFERROR(__xludf.DUMMYFUNCTION("""COMPUTED_VALUE"""),6.0)</f>
        <v>6</v>
      </c>
      <c r="BJ54" s="16">
        <f>IFERROR(__xludf.DUMMYFUNCTION("""COMPUTED_VALUE"""),4.0)</f>
        <v>4</v>
      </c>
      <c r="BK54" s="16">
        <f>IFERROR(__xludf.DUMMYFUNCTION("""COMPUTED_VALUE"""),5.0)</f>
        <v>5</v>
      </c>
      <c r="BL54" s="16">
        <f>IFERROR(__xludf.DUMMYFUNCTION("""COMPUTED_VALUE"""),5.0)</f>
        <v>5</v>
      </c>
      <c r="BM54" s="16">
        <f>IFERROR(__xludf.DUMMYFUNCTION("""COMPUTED_VALUE"""),0.0)</f>
        <v>0</v>
      </c>
      <c r="BN54" s="16">
        <f>IFERROR(__xludf.DUMMYFUNCTION("""COMPUTED_VALUE"""),0.0)</f>
        <v>0</v>
      </c>
      <c r="BO54" s="16">
        <f>IFERROR(__xludf.DUMMYFUNCTION("""COMPUTED_VALUE"""),0.0)</f>
        <v>0</v>
      </c>
      <c r="BP54" s="16">
        <f>IFERROR(__xludf.DUMMYFUNCTION("""COMPUTED_VALUE"""),0.0)</f>
        <v>0</v>
      </c>
      <c r="BQ54" s="16">
        <f>IFERROR(__xludf.DUMMYFUNCTION("""COMPUTED_VALUE"""),2.0)</f>
        <v>2</v>
      </c>
      <c r="BR54" s="16">
        <f>IFERROR(__xludf.DUMMYFUNCTION("""COMPUTED_VALUE"""),7.0)</f>
        <v>7</v>
      </c>
      <c r="BS54" s="16">
        <f>IFERROR(__xludf.DUMMYFUNCTION("""COMPUTED_VALUE"""),-2.0)</f>
        <v>-2</v>
      </c>
      <c r="BT54" s="16">
        <f>IFERROR(__xludf.DUMMYFUNCTION("""COMPUTED_VALUE"""),2.0)</f>
        <v>2</v>
      </c>
      <c r="BU54" s="16">
        <f>IFERROR(__xludf.DUMMYFUNCTION("""COMPUTED_VALUE"""),-4.0)</f>
        <v>-4</v>
      </c>
      <c r="BV54" s="16">
        <f>IFERROR(__xludf.DUMMYFUNCTION("""COMPUTED_VALUE"""),4.0)</f>
        <v>4</v>
      </c>
      <c r="BW54" s="16">
        <f>IFERROR(__xludf.DUMMYFUNCTION("""COMPUTED_VALUE"""),3.0)</f>
        <v>3</v>
      </c>
      <c r="BX54" s="16">
        <f>IFERROR(__xludf.DUMMYFUNCTION("""COMPUTED_VALUE"""),3.0)</f>
        <v>3</v>
      </c>
      <c r="BY54" s="16" t="str">
        <f>IFERROR(__xludf.DUMMYFUNCTION("""COMPUTED_VALUE"""),"S(1) R(1)")</f>
        <v>S(1) R(1)</v>
      </c>
      <c r="BZ54" s="16" t="str">
        <f>IFERROR(__xludf.DUMMYFUNCTION("""COMPUTED_VALUE"""),"S(1) R(1)")</f>
        <v>S(1) R(1)</v>
      </c>
      <c r="CA54" s="16" t="str">
        <f>IFERROR(__xludf.DUMMYFUNCTION("""COMPUTED_VALUE"""),"S(1)")</f>
        <v>S(1)</v>
      </c>
      <c r="CB54" s="16" t="str">
        <f>IFERROR(__xludf.DUMMYFUNCTION("""COMPUTED_VALUE"""),"R(1)")</f>
        <v>R(1)</v>
      </c>
      <c r="CC54" s="16"/>
      <c r="CD54" s="16">
        <f>IFERROR(__xludf.DUMMYFUNCTION("""COMPUTED_VALUE"""),1.0)</f>
        <v>1</v>
      </c>
      <c r="CE54" s="16">
        <f>IFERROR(__xludf.DUMMYFUNCTION("""COMPUTED_VALUE"""),1.0)</f>
        <v>1</v>
      </c>
      <c r="CF54" s="16"/>
      <c r="CG54" s="16" t="str">
        <f>IFERROR(__xludf.DUMMYFUNCTION("""COMPUTED_VALUE"""),"5-0")</f>
        <v>5-0</v>
      </c>
      <c r="CH54" s="16">
        <f>IFERROR(__xludf.DUMMYFUNCTION("""COMPUTED_VALUE"""),5.0)</f>
        <v>5</v>
      </c>
      <c r="CI54" s="16">
        <f>IFERROR(__xludf.DUMMYFUNCTION("""COMPUTED_VALUE"""),0.0)</f>
        <v>0</v>
      </c>
      <c r="CJ54" s="16">
        <f>IFERROR(__xludf.DUMMYFUNCTION("""COMPUTED_VALUE"""),0.0)</f>
        <v>0</v>
      </c>
      <c r="CK54" s="16">
        <f>IFERROR(__xludf.DUMMYFUNCTION("""COMPUTED_VALUE"""),3.0)</f>
        <v>3</v>
      </c>
      <c r="CL54" s="16" t="str">
        <f>IFERROR(__xludf.DUMMYFUNCTION("""COMPUTED_VALUE"""),"1WR-C")</f>
        <v>1WR-C</v>
      </c>
      <c r="CM54" s="16" t="str">
        <f>IFERROR(__xludf.DUMMYFUNCTION("""COMPUTED_VALUE"""),"E")</f>
        <v>E</v>
      </c>
      <c r="CN54" s="16">
        <f>IFERROR(__xludf.DUMMYFUNCTION("""COMPUTED_VALUE"""),10.0)</f>
        <v>10</v>
      </c>
      <c r="CO54" s="16" t="str">
        <f>IFERROR(__xludf.DUMMYFUNCTION("""COMPUTED_VALUE"""),"C")</f>
        <v>C</v>
      </c>
      <c r="CP54" s="16" t="str">
        <f>IFERROR(__xludf.DUMMYFUNCTION("""COMPUTED_VALUE"""),"1p50")</f>
        <v>1p50</v>
      </c>
      <c r="CQ54" s="16">
        <f>IFERROR(__xludf.DUMMYFUNCTION("""COMPUTED_VALUE"""),18.0)</f>
        <v>18</v>
      </c>
      <c r="CR54" s="16">
        <f>IFERROR(__xludf.DUMMYFUNCTION("""COMPUTED_VALUE"""),38.0)</f>
        <v>38</v>
      </c>
      <c r="CS54" s="16">
        <f>IFERROR(__xludf.DUMMYFUNCTION("""COMPUTED_VALUE"""),56.0)</f>
        <v>56</v>
      </c>
      <c r="CT54" s="16">
        <f>IFERROR(__xludf.DUMMYFUNCTION("""COMPUTED_VALUE"""),18.0)</f>
        <v>18</v>
      </c>
      <c r="CU54" s="16">
        <f>IFERROR(__xludf.DUMMYFUNCTION("""COMPUTED_VALUE"""),38.0)</f>
        <v>38</v>
      </c>
      <c r="CV54" s="179">
        <f>IFERROR(__xludf.DUMMYFUNCTION("""COMPUTED_VALUE"""),28.666666666666668)</f>
        <v>28.66666667</v>
      </c>
      <c r="CW54" s="179">
        <f>IFERROR(__xludf.DUMMYFUNCTION("""COMPUTED_VALUE"""),4.0)</f>
        <v>4</v>
      </c>
      <c r="CX54" s="179">
        <f>IFERROR(__xludf.DUMMYFUNCTION("""COMPUTED_VALUE"""),0.0)</f>
        <v>0</v>
      </c>
      <c r="CY54" s="16" t="str">
        <f>IFERROR(__xludf.DUMMYFUNCTION("""COMPUTED_VALUE"""),"SP")</f>
        <v>SP</v>
      </c>
      <c r="CZ54" s="16" t="str">
        <f>IFERROR(__xludf.DUMMYFUNCTION("""COMPUTED_VALUE"""),"RP")</f>
        <v>RP</v>
      </c>
      <c r="DA54" s="16"/>
      <c r="DB54" s="16"/>
      <c r="DC54" s="16"/>
      <c r="DD54" s="16"/>
      <c r="DE54" s="16"/>
      <c r="DF54" s="16"/>
      <c r="DG54" s="16"/>
      <c r="DH54" s="16"/>
      <c r="DI54" s="16"/>
      <c r="DJ54" s="16"/>
      <c r="DK54" s="16"/>
    </row>
    <row r="55">
      <c r="A55" s="16">
        <f>IFERROR(__xludf.DUMMYFUNCTION("""COMPUTED_VALUE"""),12878.0)</f>
        <v>12878</v>
      </c>
      <c r="B55" s="16" t="str">
        <f>IFERROR(__xludf.DUMMYFUNCTION("""COMPUTED_VALUE"""),"Hunter Greene")</f>
        <v>Hunter Greene</v>
      </c>
      <c r="C55" s="153">
        <f>IFERROR(__xludf.DUMMYFUNCTION("""COMPUTED_VALUE"""),3.77)</f>
        <v>3.77</v>
      </c>
      <c r="D55" s="16"/>
      <c r="E55" s="16" t="str">
        <f>IFERROR(__xludf.DUMMYFUNCTION("""COMPUTED_VALUE"""),"R")</f>
        <v>R</v>
      </c>
      <c r="F55" s="16">
        <f>IFERROR(__xludf.DUMMYFUNCTION("""COMPUTED_VALUE"""),150.0)</f>
        <v>150</v>
      </c>
      <c r="G55" s="16">
        <f>IFERROR(__xludf.DUMMYFUNCTION("""COMPUTED_VALUE"""),47.0)</f>
        <v>47</v>
      </c>
      <c r="H55" s="16">
        <f>IFERROR(__xludf.DUMMYFUNCTION("""COMPUTED_VALUE"""),28.0)</f>
        <v>28</v>
      </c>
      <c r="I55" s="16">
        <f>IFERROR(__xludf.DUMMYFUNCTION("""COMPUTED_VALUE"""),2.0)</f>
        <v>2</v>
      </c>
      <c r="J55" s="16">
        <f>IFERROR(__xludf.DUMMYFUNCTION("""COMPUTED_VALUE"""),0.0)</f>
        <v>0</v>
      </c>
      <c r="K55" s="16">
        <f>IFERROR(__xludf.DUMMYFUNCTION("""COMPUTED_VALUE"""),6.0)</f>
        <v>6</v>
      </c>
      <c r="L55" s="16">
        <f>IFERROR(__xludf.DUMMYFUNCTION("""COMPUTED_VALUE"""),0.0)</f>
        <v>0</v>
      </c>
      <c r="M55" s="16">
        <f>IFERROR(__xludf.DUMMYFUNCTION("""COMPUTED_VALUE"""),15.0)</f>
        <v>15</v>
      </c>
      <c r="N55" s="16">
        <f>IFERROR(__xludf.DUMMYFUNCTION("""COMPUTED_VALUE"""),13.0)</f>
        <v>13</v>
      </c>
      <c r="O55" s="16">
        <f>IFERROR(__xludf.DUMMYFUNCTION("""COMPUTED_VALUE"""),-2.0)</f>
        <v>-2</v>
      </c>
      <c r="P55" s="16">
        <f>IFERROR(__xludf.DUMMYFUNCTION("""COMPUTED_VALUE"""),-2.0)</f>
        <v>-2</v>
      </c>
      <c r="Q55" s="16">
        <f>IFERROR(__xludf.DUMMYFUNCTION("""COMPUTED_VALUE"""),-2.0)</f>
        <v>-2</v>
      </c>
      <c r="R55" s="16">
        <f>IFERROR(__xludf.DUMMYFUNCTION("""COMPUTED_VALUE"""),-2.0)</f>
        <v>-2</v>
      </c>
      <c r="S55" s="16">
        <f>IFERROR(__xludf.DUMMYFUNCTION("""COMPUTED_VALUE"""),4.8)</f>
        <v>4.8</v>
      </c>
      <c r="T55" s="16">
        <f>IFERROR(__xludf.DUMMYFUNCTION("""COMPUTED_VALUE"""),6.3)</f>
        <v>6.3</v>
      </c>
      <c r="U55" s="16">
        <f>IFERROR(__xludf.DUMMYFUNCTION("""COMPUTED_VALUE"""),2.0)</f>
        <v>2</v>
      </c>
      <c r="V55" s="16">
        <f>IFERROR(__xludf.DUMMYFUNCTION("""COMPUTED_VALUE"""),2.0)</f>
        <v>2</v>
      </c>
      <c r="W55" s="16">
        <f>IFERROR(__xludf.DUMMYFUNCTION("""COMPUTED_VALUE"""),4.0)</f>
        <v>4</v>
      </c>
      <c r="X55" s="16">
        <f>IFERROR(__xludf.DUMMYFUNCTION("""COMPUTED_VALUE"""),4.0)</f>
        <v>4</v>
      </c>
      <c r="Y55" s="16">
        <f>IFERROR(__xludf.DUMMYFUNCTION("""COMPUTED_VALUE"""),19.8)</f>
        <v>19.8</v>
      </c>
      <c r="Z55" s="16">
        <f>IFERROR(__xludf.DUMMYFUNCTION("""COMPUTED_VALUE"""),19.3)</f>
        <v>19.3</v>
      </c>
      <c r="AA55" s="16">
        <f>IFERROR(__xludf.DUMMYFUNCTION("""COMPUTED_VALUE"""),1.0)</f>
        <v>1</v>
      </c>
      <c r="AB55" s="16">
        <f>IFERROR(__xludf.DUMMYFUNCTION("""COMPUTED_VALUE"""),1.0)</f>
        <v>1</v>
      </c>
      <c r="AC55" s="16">
        <f>IFERROR(__xludf.DUMMYFUNCTION("""COMPUTED_VALUE"""),5.0)</f>
        <v>5</v>
      </c>
      <c r="AD55" s="16">
        <f>IFERROR(__xludf.DUMMYFUNCTION("""COMPUTED_VALUE"""),5.0)</f>
        <v>5</v>
      </c>
      <c r="AE55" s="16">
        <f>IFERROR(__xludf.DUMMYFUNCTION("""COMPUTED_VALUE"""),12.0)</f>
        <v>12</v>
      </c>
      <c r="AF55" s="16">
        <f>IFERROR(__xludf.DUMMYFUNCTION("""COMPUTED_VALUE"""),13.1)</f>
        <v>13.1</v>
      </c>
      <c r="AG55" s="16">
        <f>IFERROR(__xludf.DUMMYFUNCTION("""COMPUTED_VALUE"""),2.0)</f>
        <v>2</v>
      </c>
      <c r="AH55" s="16">
        <f>IFERROR(__xludf.DUMMYFUNCTION("""COMPUTED_VALUE"""),2.0)</f>
        <v>2</v>
      </c>
      <c r="AI55" s="16">
        <f>IFERROR(__xludf.DUMMYFUNCTION("""COMPUTED_VALUE"""),4.0)</f>
        <v>4</v>
      </c>
      <c r="AJ55" s="16">
        <f>IFERROR(__xludf.DUMMYFUNCTION("""COMPUTED_VALUE"""),4.0)</f>
        <v>4</v>
      </c>
      <c r="AK55" s="16">
        <f>IFERROR(__xludf.DUMMYFUNCTION("""COMPUTED_VALUE"""),3.5999999999999996)</f>
        <v>3.6</v>
      </c>
      <c r="AL55" s="16">
        <f>IFERROR(__xludf.DUMMYFUNCTION("""COMPUTED_VALUE"""),5.3)</f>
        <v>5.3</v>
      </c>
      <c r="AM55" s="16">
        <f>IFERROR(__xludf.DUMMYFUNCTION("""COMPUTED_VALUE"""),2.0)</f>
        <v>2</v>
      </c>
      <c r="AN55" s="16">
        <f>IFERROR(__xludf.DUMMYFUNCTION("""COMPUTED_VALUE"""),2.0)</f>
        <v>2</v>
      </c>
      <c r="AO55" s="16">
        <f>IFERROR(__xludf.DUMMYFUNCTION("""COMPUTED_VALUE"""),2.0)</f>
        <v>2</v>
      </c>
      <c r="AP55" s="16">
        <f>IFERROR(__xludf.DUMMYFUNCTION("""COMPUTED_VALUE"""),2.0)</f>
        <v>2</v>
      </c>
      <c r="AQ55" s="16">
        <f>IFERROR(__xludf.DUMMYFUNCTION("""COMPUTED_VALUE"""),7.2)</f>
        <v>7.2</v>
      </c>
      <c r="AR55" s="16">
        <f>IFERROR(__xludf.DUMMYFUNCTION("""COMPUTED_VALUE"""),9.1)</f>
        <v>9.1</v>
      </c>
      <c r="AS55" s="16">
        <f>IFERROR(__xludf.DUMMYFUNCTION("""COMPUTED_VALUE"""),2.0)</f>
        <v>2</v>
      </c>
      <c r="AT55" s="16">
        <f>IFERROR(__xludf.DUMMYFUNCTION("""COMPUTED_VALUE"""),1.0)</f>
        <v>1</v>
      </c>
      <c r="AU55" s="16">
        <f>IFERROR(__xludf.DUMMYFUNCTION("""COMPUTED_VALUE"""),4.0)</f>
        <v>4</v>
      </c>
      <c r="AV55" s="16">
        <f>IFERROR(__xludf.DUMMYFUNCTION("""COMPUTED_VALUE"""),2.0)</f>
        <v>2</v>
      </c>
      <c r="AW55" s="16">
        <f>IFERROR(__xludf.DUMMYFUNCTION("""COMPUTED_VALUE"""),1.2)</f>
        <v>1.2</v>
      </c>
      <c r="AX55" s="16">
        <f>IFERROR(__xludf.DUMMYFUNCTION("""COMPUTED_VALUE"""),1.0)</f>
        <v>1</v>
      </c>
      <c r="AY55" s="16">
        <f>IFERROR(__xludf.DUMMYFUNCTION("""COMPUTED_VALUE"""),1.0)</f>
        <v>1</v>
      </c>
      <c r="AZ55" s="16">
        <f>IFERROR(__xludf.DUMMYFUNCTION("""COMPUTED_VALUE"""),1.0)</f>
        <v>1</v>
      </c>
      <c r="BA55" s="16">
        <f>IFERROR(__xludf.DUMMYFUNCTION("""COMPUTED_VALUE"""),5.0)</f>
        <v>5</v>
      </c>
      <c r="BB55" s="16">
        <f>IFERROR(__xludf.DUMMYFUNCTION("""COMPUTED_VALUE"""),5.0)</f>
        <v>5</v>
      </c>
      <c r="BC55" s="16"/>
      <c r="BD55" s="16"/>
      <c r="BE55" s="16">
        <f>IFERROR(__xludf.DUMMYFUNCTION("""COMPUTED_VALUE"""),0.0)</f>
        <v>0</v>
      </c>
      <c r="BF55" s="16">
        <f>IFERROR(__xludf.DUMMYFUNCTION("""COMPUTED_VALUE"""),0.0)</f>
        <v>0</v>
      </c>
      <c r="BG55" s="16">
        <f>IFERROR(__xludf.DUMMYFUNCTION("""COMPUTED_VALUE"""),3.0)</f>
        <v>3</v>
      </c>
      <c r="BH55" s="16">
        <f>IFERROR(__xludf.DUMMYFUNCTION("""COMPUTED_VALUE"""),2.0)</f>
        <v>2</v>
      </c>
      <c r="BI55" s="16">
        <f>IFERROR(__xludf.DUMMYFUNCTION("""COMPUTED_VALUE"""),6.0)</f>
        <v>6</v>
      </c>
      <c r="BJ55" s="16">
        <f>IFERROR(__xludf.DUMMYFUNCTION("""COMPUTED_VALUE"""),4.0)</f>
        <v>4</v>
      </c>
      <c r="BK55" s="16">
        <f>IFERROR(__xludf.DUMMYFUNCTION("""COMPUTED_VALUE"""),0.0)</f>
        <v>0</v>
      </c>
      <c r="BL55" s="16">
        <f>IFERROR(__xludf.DUMMYFUNCTION("""COMPUTED_VALUE"""),0.0)</f>
        <v>0</v>
      </c>
      <c r="BM55" s="16">
        <f>IFERROR(__xludf.DUMMYFUNCTION("""COMPUTED_VALUE"""),1.0)</f>
        <v>1</v>
      </c>
      <c r="BN55" s="16">
        <f>IFERROR(__xludf.DUMMYFUNCTION("""COMPUTED_VALUE"""),1.0)</f>
        <v>1</v>
      </c>
      <c r="BO55" s="16">
        <f>IFERROR(__xludf.DUMMYFUNCTION("""COMPUTED_VALUE"""),1.0)</f>
        <v>1</v>
      </c>
      <c r="BP55" s="16">
        <f>IFERROR(__xludf.DUMMYFUNCTION("""COMPUTED_VALUE"""),1.0)</f>
        <v>1</v>
      </c>
      <c r="BQ55" s="16">
        <f>IFERROR(__xludf.DUMMYFUNCTION("""COMPUTED_VALUE"""),0.0)</f>
        <v>0</v>
      </c>
      <c r="BR55" s="16">
        <f>IFERROR(__xludf.DUMMYFUNCTION("""COMPUTED_VALUE"""),0.0)</f>
        <v>0</v>
      </c>
      <c r="BS55" s="16">
        <f>IFERROR(__xludf.DUMMYFUNCTION("""COMPUTED_VALUE"""),-3.0)</f>
        <v>-3</v>
      </c>
      <c r="BT55" s="16">
        <f>IFERROR(__xludf.DUMMYFUNCTION("""COMPUTED_VALUE"""),-3.0)</f>
        <v>-3</v>
      </c>
      <c r="BU55" s="16">
        <f>IFERROR(__xludf.DUMMYFUNCTION("""COMPUTED_VALUE"""),-6.0)</f>
        <v>-6</v>
      </c>
      <c r="BV55" s="16">
        <f>IFERROR(__xludf.DUMMYFUNCTION("""COMPUTED_VALUE"""),-6.0)</f>
        <v>-6</v>
      </c>
      <c r="BW55" s="16">
        <f>IFERROR(__xludf.DUMMYFUNCTION("""COMPUTED_VALUE"""),1.0)</f>
        <v>1</v>
      </c>
      <c r="BX55" s="16">
        <f>IFERROR(__xludf.DUMMYFUNCTION("""COMPUTED_VALUE"""),1.0)</f>
        <v>1</v>
      </c>
      <c r="BY55" s="16" t="str">
        <f>IFERROR(__xludf.DUMMYFUNCTION("""COMPUTED_VALUE"""),"S(6)")</f>
        <v>S(6)</v>
      </c>
      <c r="BZ55" s="16" t="str">
        <f>IFERROR(__xludf.DUMMYFUNCTION("""COMPUTED_VALUE"""),"S(6)")</f>
        <v>S(6)</v>
      </c>
      <c r="CA55" s="16" t="str">
        <f>IFERROR(__xludf.DUMMYFUNCTION("""COMPUTED_VALUE"""),"S(6)")</f>
        <v>S(6)</v>
      </c>
      <c r="CB55" s="16"/>
      <c r="CC55" s="16"/>
      <c r="CD55" s="16">
        <f>IFERROR(__xludf.DUMMYFUNCTION("""COMPUTED_VALUE"""),6.0)</f>
        <v>6</v>
      </c>
      <c r="CE55" s="16"/>
      <c r="CF55" s="16"/>
      <c r="CG55" s="16" t="str">
        <f>IFERROR(__xludf.DUMMYFUNCTION("""COMPUTED_VALUE"""),"3-0")</f>
        <v>3-0</v>
      </c>
      <c r="CH55" s="16">
        <f>IFERROR(__xludf.DUMMYFUNCTION("""COMPUTED_VALUE"""),3.0)</f>
        <v>3</v>
      </c>
      <c r="CI55" s="16">
        <f>IFERROR(__xludf.DUMMYFUNCTION("""COMPUTED_VALUE"""),0.0)</f>
        <v>0</v>
      </c>
      <c r="CJ55" s="16">
        <f>IFERROR(__xludf.DUMMYFUNCTION("""COMPUTED_VALUE"""),2.0)</f>
        <v>2</v>
      </c>
      <c r="CK55" s="16">
        <f>IFERROR(__xludf.DUMMYFUNCTION("""COMPUTED_VALUE"""),10.0)</f>
        <v>10</v>
      </c>
      <c r="CL55" s="16" t="str">
        <f>IFERROR(__xludf.DUMMYFUNCTION("""COMPUTED_VALUE"""),"1WR-C")</f>
        <v>1WR-C</v>
      </c>
      <c r="CM55" s="16" t="str">
        <f>IFERROR(__xludf.DUMMYFUNCTION("""COMPUTED_VALUE"""),"E")</f>
        <v>E</v>
      </c>
      <c r="CN55" s="16">
        <f>IFERROR(__xludf.DUMMYFUNCTION("""COMPUTED_VALUE"""),10.0)</f>
        <v>10</v>
      </c>
      <c r="CO55" s="16" t="str">
        <f>IFERROR(__xludf.DUMMYFUNCTION("""COMPUTED_VALUE"""),"C")</f>
        <v>C</v>
      </c>
      <c r="CP55" s="16" t="str">
        <f>IFERROR(__xludf.DUMMYFUNCTION("""COMPUTED_VALUE"""),"1p65")</f>
        <v>1p65</v>
      </c>
      <c r="CQ55" s="16">
        <f>IFERROR(__xludf.DUMMYFUNCTION("""COMPUTED_VALUE"""),29.0)</f>
        <v>29</v>
      </c>
      <c r="CR55" s="16">
        <f>IFERROR(__xludf.DUMMYFUNCTION("""COMPUTED_VALUE"""),19.0)</f>
        <v>19</v>
      </c>
      <c r="CS55" s="16">
        <f>IFERROR(__xludf.DUMMYFUNCTION("""COMPUTED_VALUE"""),48.0)</f>
        <v>48</v>
      </c>
      <c r="CT55" s="16">
        <f>IFERROR(__xludf.DUMMYFUNCTION("""COMPUTED_VALUE"""),29.0)</f>
        <v>29</v>
      </c>
      <c r="CU55" s="16">
        <f>IFERROR(__xludf.DUMMYFUNCTION("""COMPUTED_VALUE"""),19.0)</f>
        <v>19</v>
      </c>
      <c r="CV55" s="179">
        <f>IFERROR(__xludf.DUMMYFUNCTION("""COMPUTED_VALUE"""),28.333333333333332)</f>
        <v>28.33333333</v>
      </c>
      <c r="CW55" s="179">
        <f>IFERROR(__xludf.DUMMYFUNCTION("""COMPUTED_VALUE"""),4.0)</f>
        <v>4</v>
      </c>
      <c r="CX55" s="179">
        <f>IFERROR(__xludf.DUMMYFUNCTION("""COMPUTED_VALUE"""),2.0)</f>
        <v>2</v>
      </c>
      <c r="CY55" s="16" t="str">
        <f>IFERROR(__xludf.DUMMYFUNCTION("""COMPUTED_VALUE"""),"SP")</f>
        <v>SP</v>
      </c>
      <c r="CZ55" s="16"/>
      <c r="DA55" s="16"/>
      <c r="DB55" s="16"/>
      <c r="DC55" s="16"/>
      <c r="DD55" s="16"/>
      <c r="DE55" s="16"/>
      <c r="DF55" s="16"/>
      <c r="DG55" s="16"/>
      <c r="DH55" s="16"/>
      <c r="DI55" s="16"/>
      <c r="DJ55" s="16"/>
      <c r="DK55" s="16"/>
    </row>
    <row r="56">
      <c r="A56" s="16">
        <f>IFERROR(__xludf.DUMMYFUNCTION("""COMPUTED_VALUE"""),13121.0)</f>
        <v>13121</v>
      </c>
      <c r="B56" s="16" t="str">
        <f>IFERROR(__xludf.DUMMYFUNCTION("""COMPUTED_VALUE"""),"Logan Webb")</f>
        <v>Logan Webb</v>
      </c>
      <c r="C56" s="153">
        <f>IFERROR(__xludf.DUMMYFUNCTION("""COMPUTED_VALUE"""),1.63)</f>
        <v>1.63</v>
      </c>
      <c r="D56" s="16"/>
      <c r="E56" s="16" t="str">
        <f>IFERROR(__xludf.DUMMYFUNCTION("""COMPUTED_VALUE"""),"R")</f>
        <v>R</v>
      </c>
      <c r="F56" s="16">
        <f>IFERROR(__xludf.DUMMYFUNCTION("""COMPUTED_VALUE"""),205.0)</f>
        <v>205</v>
      </c>
      <c r="G56" s="16">
        <f>IFERROR(__xludf.DUMMYFUNCTION("""COMPUTED_VALUE"""),25.0)</f>
        <v>25</v>
      </c>
      <c r="H56" s="16">
        <f>IFERROR(__xludf.DUMMYFUNCTION("""COMPUTED_VALUE"""),15.0)</f>
        <v>15</v>
      </c>
      <c r="I56" s="16">
        <f>IFERROR(__xludf.DUMMYFUNCTION("""COMPUTED_VALUE"""),0.0)</f>
        <v>0</v>
      </c>
      <c r="J56" s="16">
        <f>IFERROR(__xludf.DUMMYFUNCTION("""COMPUTED_VALUE"""),-2.0)</f>
        <v>-2</v>
      </c>
      <c r="K56" s="16">
        <f>IFERROR(__xludf.DUMMYFUNCTION("""COMPUTED_VALUE"""),0.0)</f>
        <v>0</v>
      </c>
      <c r="L56" s="16">
        <f>IFERROR(__xludf.DUMMYFUNCTION("""COMPUTED_VALUE"""),-6.0)</f>
        <v>-6</v>
      </c>
      <c r="M56" s="16">
        <f>IFERROR(__xludf.DUMMYFUNCTION("""COMPUTED_VALUE"""),7.0)</f>
        <v>7</v>
      </c>
      <c r="N56" s="16">
        <f>IFERROR(__xludf.DUMMYFUNCTION("""COMPUTED_VALUE"""),0.0)</f>
        <v>0</v>
      </c>
      <c r="O56" s="16">
        <f>IFERROR(__xludf.DUMMYFUNCTION("""COMPUTED_VALUE"""),1.0)</f>
        <v>1</v>
      </c>
      <c r="P56" s="16">
        <f>IFERROR(__xludf.DUMMYFUNCTION("""COMPUTED_VALUE"""),3.0)</f>
        <v>3</v>
      </c>
      <c r="Q56" s="16">
        <f>IFERROR(__xludf.DUMMYFUNCTION("""COMPUTED_VALUE"""),1.0)</f>
        <v>1</v>
      </c>
      <c r="R56" s="16">
        <f>IFERROR(__xludf.DUMMYFUNCTION("""COMPUTED_VALUE"""),3.0)</f>
        <v>3</v>
      </c>
      <c r="S56" s="16">
        <f>IFERROR(__xludf.DUMMYFUNCTION("""COMPUTED_VALUE"""),20.5)</f>
        <v>20.5</v>
      </c>
      <c r="T56" s="16">
        <f>IFERROR(__xludf.DUMMYFUNCTION("""COMPUTED_VALUE"""),20.5)</f>
        <v>20.5</v>
      </c>
      <c r="U56" s="16">
        <f>IFERROR(__xludf.DUMMYFUNCTION("""COMPUTED_VALUE"""),-1.0)</f>
        <v>-1</v>
      </c>
      <c r="V56" s="16">
        <f>IFERROR(__xludf.DUMMYFUNCTION("""COMPUTED_VALUE"""),-1.0)</f>
        <v>-1</v>
      </c>
      <c r="W56" s="16">
        <f>IFERROR(__xludf.DUMMYFUNCTION("""COMPUTED_VALUE"""),-2.0)</f>
        <v>-2</v>
      </c>
      <c r="X56" s="16">
        <f>IFERROR(__xludf.DUMMYFUNCTION("""COMPUTED_VALUE"""),-2.0)</f>
        <v>-2</v>
      </c>
      <c r="Y56" s="16">
        <f>IFERROR(__xludf.DUMMYFUNCTION("""COMPUTED_VALUE"""),27.4)</f>
        <v>27.4</v>
      </c>
      <c r="Z56" s="16">
        <f>IFERROR(__xludf.DUMMYFUNCTION("""COMPUTED_VALUE"""),20.5)</f>
        <v>20.5</v>
      </c>
      <c r="AA56" s="16">
        <f>IFERROR(__xludf.DUMMYFUNCTION("""COMPUTED_VALUE"""),0.0)</f>
        <v>0</v>
      </c>
      <c r="AB56" s="16">
        <f>IFERROR(__xludf.DUMMYFUNCTION("""COMPUTED_VALUE"""),1.0)</f>
        <v>1</v>
      </c>
      <c r="AC56" s="16">
        <f>IFERROR(__xludf.DUMMYFUNCTION("""COMPUTED_VALUE"""),0.0)</f>
        <v>0</v>
      </c>
      <c r="AD56" s="16">
        <f>IFERROR(__xludf.DUMMYFUNCTION("""COMPUTED_VALUE"""),5.0)</f>
        <v>5</v>
      </c>
      <c r="AE56" s="16">
        <f>IFERROR(__xludf.DUMMYFUNCTION("""COMPUTED_VALUE"""),29.1)</f>
        <v>29.1</v>
      </c>
      <c r="AF56" s="16">
        <f>IFERROR(__xludf.DUMMYFUNCTION("""COMPUTED_VALUE"""),23.4)</f>
        <v>23.4</v>
      </c>
      <c r="AG56" s="16">
        <f>IFERROR(__xludf.DUMMYFUNCTION("""COMPUTED_VALUE"""),0.0)</f>
        <v>0</v>
      </c>
      <c r="AH56" s="16">
        <f>IFERROR(__xludf.DUMMYFUNCTION("""COMPUTED_VALUE"""),1.0)</f>
        <v>1</v>
      </c>
      <c r="AI56" s="16">
        <f>IFERROR(__xludf.DUMMYFUNCTION("""COMPUTED_VALUE"""),0.0)</f>
        <v>0</v>
      </c>
      <c r="AJ56" s="16">
        <f>IFERROR(__xludf.DUMMYFUNCTION("""COMPUTED_VALUE"""),2.0)</f>
        <v>2</v>
      </c>
      <c r="AK56" s="16">
        <f>IFERROR(__xludf.DUMMYFUNCTION("""COMPUTED_VALUE"""),20.5)</f>
        <v>20.5</v>
      </c>
      <c r="AL56" s="16">
        <f>IFERROR(__xludf.DUMMYFUNCTION("""COMPUTED_VALUE"""),20.5)</f>
        <v>20.5</v>
      </c>
      <c r="AM56" s="16">
        <f>IFERROR(__xludf.DUMMYFUNCTION("""COMPUTED_VALUE"""),-1.0)</f>
        <v>-1</v>
      </c>
      <c r="AN56" s="16">
        <f>IFERROR(__xludf.DUMMYFUNCTION("""COMPUTED_VALUE"""),-1.0)</f>
        <v>-1</v>
      </c>
      <c r="AO56" s="16">
        <f>IFERROR(__xludf.DUMMYFUNCTION("""COMPUTED_VALUE"""),-1.0)</f>
        <v>-1</v>
      </c>
      <c r="AP56" s="16">
        <f>IFERROR(__xludf.DUMMYFUNCTION("""COMPUTED_VALUE"""),-1.0)</f>
        <v>-1</v>
      </c>
      <c r="AQ56" s="16">
        <f>IFERROR(__xludf.DUMMYFUNCTION("""COMPUTED_VALUE"""),29.1)</f>
        <v>29.1</v>
      </c>
      <c r="AR56" s="16">
        <f>IFERROR(__xludf.DUMMYFUNCTION("""COMPUTED_VALUE"""),23.4)</f>
        <v>23.4</v>
      </c>
      <c r="AS56" s="16">
        <f>IFERROR(__xludf.DUMMYFUNCTION("""COMPUTED_VALUE"""),-1.0)</f>
        <v>-1</v>
      </c>
      <c r="AT56" s="16">
        <f>IFERROR(__xludf.DUMMYFUNCTION("""COMPUTED_VALUE"""),0.0)</f>
        <v>0</v>
      </c>
      <c r="AU56" s="16">
        <f>IFERROR(__xludf.DUMMYFUNCTION("""COMPUTED_VALUE"""),-2.0)</f>
        <v>-2</v>
      </c>
      <c r="AV56" s="16">
        <f>IFERROR(__xludf.DUMMYFUNCTION("""COMPUTED_VALUE"""),0.0)</f>
        <v>0</v>
      </c>
      <c r="AW56" s="16">
        <f>IFERROR(__xludf.DUMMYFUNCTION("""COMPUTED_VALUE"""),0.0)</f>
        <v>0</v>
      </c>
      <c r="AX56" s="16">
        <f>IFERROR(__xludf.DUMMYFUNCTION("""COMPUTED_VALUE"""),0.0)</f>
        <v>0</v>
      </c>
      <c r="AY56" s="16">
        <f>IFERROR(__xludf.DUMMYFUNCTION("""COMPUTED_VALUE"""),2.0)</f>
        <v>2</v>
      </c>
      <c r="AZ56" s="16">
        <f>IFERROR(__xludf.DUMMYFUNCTION("""COMPUTED_VALUE"""),2.0)</f>
        <v>2</v>
      </c>
      <c r="BA56" s="16">
        <f>IFERROR(__xludf.DUMMYFUNCTION("""COMPUTED_VALUE"""),10.0)</f>
        <v>10</v>
      </c>
      <c r="BB56" s="16">
        <f>IFERROR(__xludf.DUMMYFUNCTION("""COMPUTED_VALUE"""),10.0)</f>
        <v>10</v>
      </c>
      <c r="BC56" s="16">
        <f>IFERROR(__xludf.DUMMYFUNCTION("""COMPUTED_VALUE"""),0.0)</f>
        <v>0</v>
      </c>
      <c r="BD56" s="16">
        <f>IFERROR(__xludf.DUMMYFUNCTION("""COMPUTED_VALUE"""),0.0)</f>
        <v>0</v>
      </c>
      <c r="BE56" s="16">
        <f>IFERROR(__xludf.DUMMYFUNCTION("""COMPUTED_VALUE"""),0.0)</f>
        <v>0</v>
      </c>
      <c r="BF56" s="16">
        <f>IFERROR(__xludf.DUMMYFUNCTION("""COMPUTED_VALUE"""),0.0)</f>
        <v>0</v>
      </c>
      <c r="BG56" s="16">
        <f>IFERROR(__xludf.DUMMYFUNCTION("""COMPUTED_VALUE"""),3.0)</f>
        <v>3</v>
      </c>
      <c r="BH56" s="16">
        <f>IFERROR(__xludf.DUMMYFUNCTION("""COMPUTED_VALUE"""),2.0)</f>
        <v>2</v>
      </c>
      <c r="BI56" s="16">
        <f>IFERROR(__xludf.DUMMYFUNCTION("""COMPUTED_VALUE"""),6.0)</f>
        <v>6</v>
      </c>
      <c r="BJ56" s="16">
        <f>IFERROR(__xludf.DUMMYFUNCTION("""COMPUTED_VALUE"""),4.0)</f>
        <v>4</v>
      </c>
      <c r="BK56" s="16">
        <f>IFERROR(__xludf.DUMMYFUNCTION("""COMPUTED_VALUE"""),5.0)</f>
        <v>5</v>
      </c>
      <c r="BL56" s="16">
        <f>IFERROR(__xludf.DUMMYFUNCTION("""COMPUTED_VALUE"""),5.0)</f>
        <v>5</v>
      </c>
      <c r="BM56" s="16">
        <f>IFERROR(__xludf.DUMMYFUNCTION("""COMPUTED_VALUE"""),0.0)</f>
        <v>0</v>
      </c>
      <c r="BN56" s="16">
        <f>IFERROR(__xludf.DUMMYFUNCTION("""COMPUTED_VALUE"""),0.0)</f>
        <v>0</v>
      </c>
      <c r="BO56" s="16">
        <f>IFERROR(__xludf.DUMMYFUNCTION("""COMPUTED_VALUE"""),0.0)</f>
        <v>0</v>
      </c>
      <c r="BP56" s="16">
        <f>IFERROR(__xludf.DUMMYFUNCTION("""COMPUTED_VALUE"""),0.0)</f>
        <v>0</v>
      </c>
      <c r="BQ56" s="16">
        <f>IFERROR(__xludf.DUMMYFUNCTION("""COMPUTED_VALUE"""),12.0)</f>
        <v>12</v>
      </c>
      <c r="BR56" s="16">
        <f>IFERROR(__xludf.DUMMYFUNCTION("""COMPUTED_VALUE"""),12.0)</f>
        <v>12</v>
      </c>
      <c r="BS56" s="16">
        <f>IFERROR(__xludf.DUMMYFUNCTION("""COMPUTED_VALUE"""),3.0)</f>
        <v>3</v>
      </c>
      <c r="BT56" s="16">
        <f>IFERROR(__xludf.DUMMYFUNCTION("""COMPUTED_VALUE"""),3.0)</f>
        <v>3</v>
      </c>
      <c r="BU56" s="16">
        <f>IFERROR(__xludf.DUMMYFUNCTION("""COMPUTED_VALUE"""),6.0)</f>
        <v>6</v>
      </c>
      <c r="BV56" s="16">
        <f>IFERROR(__xludf.DUMMYFUNCTION("""COMPUTED_VALUE"""),6.0)</f>
        <v>6</v>
      </c>
      <c r="BW56" s="16">
        <f>IFERROR(__xludf.DUMMYFUNCTION("""COMPUTED_VALUE"""),2.0)</f>
        <v>2</v>
      </c>
      <c r="BX56" s="16">
        <f>IFERROR(__xludf.DUMMYFUNCTION("""COMPUTED_VALUE"""),2.0)</f>
        <v>2</v>
      </c>
      <c r="BY56" s="16" t="str">
        <f>IFERROR(__xludf.DUMMYFUNCTION("""COMPUTED_VALUE"""),"S(6*)")</f>
        <v>S(6*)</v>
      </c>
      <c r="BZ56" s="16" t="str">
        <f>IFERROR(__xludf.DUMMYFUNCTION("""COMPUTED_VALUE"""),"S(6)")</f>
        <v>S(6)</v>
      </c>
      <c r="CA56" s="16" t="str">
        <f>IFERROR(__xludf.DUMMYFUNCTION("""COMPUTED_VALUE"""),"S(6)")</f>
        <v>S(6)</v>
      </c>
      <c r="CB56" s="16"/>
      <c r="CC56" s="16"/>
      <c r="CD56" s="16">
        <f>IFERROR(__xludf.DUMMYFUNCTION("""COMPUTED_VALUE"""),6.0)</f>
        <v>6</v>
      </c>
      <c r="CE56" s="16"/>
      <c r="CF56" s="16"/>
      <c r="CG56" s="16" t="str">
        <f>IFERROR(__xludf.DUMMYFUNCTION("""COMPUTED_VALUE"""),"3-14")</f>
        <v>3-14</v>
      </c>
      <c r="CH56" s="16">
        <f>IFERROR(__xludf.DUMMYFUNCTION("""COMPUTED_VALUE"""),3.0)</f>
        <v>3</v>
      </c>
      <c r="CI56" s="16">
        <f>IFERROR(__xludf.DUMMYFUNCTION("""COMPUTED_VALUE"""),14.0)</f>
        <v>14</v>
      </c>
      <c r="CJ56" s="16">
        <f>IFERROR(__xludf.DUMMYFUNCTION("""COMPUTED_VALUE"""),2.0)</f>
        <v>2</v>
      </c>
      <c r="CK56" s="16">
        <f>IFERROR(__xludf.DUMMYFUNCTION("""COMPUTED_VALUE"""),4.0)</f>
        <v>4</v>
      </c>
      <c r="CL56" s="16" t="str">
        <f>IFERROR(__xludf.DUMMYFUNCTION("""COMPUTED_VALUE"""),"1WR-C")</f>
        <v>1WR-C</v>
      </c>
      <c r="CM56" s="16" t="str">
        <f>IFERROR(__xludf.DUMMYFUNCTION("""COMPUTED_VALUE"""),"E")</f>
        <v>E</v>
      </c>
      <c r="CN56" s="16">
        <f>IFERROR(__xludf.DUMMYFUNCTION("""COMPUTED_VALUE"""),10.0)</f>
        <v>10</v>
      </c>
      <c r="CO56" s="16" t="str">
        <f>IFERROR(__xludf.DUMMYFUNCTION("""COMPUTED_VALUE"""),"C")</f>
        <v>C</v>
      </c>
      <c r="CP56" s="16" t="str">
        <f>IFERROR(__xludf.DUMMYFUNCTION("""COMPUTED_VALUE"""),"0p72")</f>
        <v>0p72</v>
      </c>
      <c r="CQ56" s="16">
        <f>IFERROR(__xludf.DUMMYFUNCTION("""COMPUTED_VALUE"""),18.0)</f>
        <v>18</v>
      </c>
      <c r="CR56" s="16">
        <f>IFERROR(__xludf.DUMMYFUNCTION("""COMPUTED_VALUE"""),21.0)</f>
        <v>21</v>
      </c>
      <c r="CS56" s="16">
        <f>IFERROR(__xludf.DUMMYFUNCTION("""COMPUTED_VALUE"""),39.0)</f>
        <v>39</v>
      </c>
      <c r="CT56" s="16">
        <f>IFERROR(__xludf.DUMMYFUNCTION("""COMPUTED_VALUE"""),18.0)</f>
        <v>18</v>
      </c>
      <c r="CU56" s="16">
        <f>IFERROR(__xludf.DUMMYFUNCTION("""COMPUTED_VALUE"""),21.0)</f>
        <v>21</v>
      </c>
      <c r="CV56" s="179">
        <f>IFERROR(__xludf.DUMMYFUNCTION("""COMPUTED_VALUE"""),28.0)</f>
        <v>28</v>
      </c>
      <c r="CW56" s="179">
        <f>IFERROR(__xludf.DUMMYFUNCTION("""COMPUTED_VALUE"""),5.0)</f>
        <v>5</v>
      </c>
      <c r="CX56" s="179">
        <f>IFERROR(__xludf.DUMMYFUNCTION("""COMPUTED_VALUE"""),4.0)</f>
        <v>4</v>
      </c>
      <c r="CY56" s="16" t="str">
        <f>IFERROR(__xludf.DUMMYFUNCTION("""COMPUTED_VALUE"""),"SP")</f>
        <v>SP</v>
      </c>
      <c r="CZ56" s="16"/>
      <c r="DA56" s="16"/>
      <c r="DB56" s="16"/>
      <c r="DC56" s="16"/>
      <c r="DD56" s="16"/>
      <c r="DE56" s="16"/>
      <c r="DF56" s="16"/>
      <c r="DG56" s="16"/>
      <c r="DH56" s="16"/>
      <c r="DI56" s="16"/>
      <c r="DJ56" s="16"/>
      <c r="DK56" s="16"/>
    </row>
    <row r="57">
      <c r="A57" s="16">
        <f>IFERROR(__xludf.DUMMYFUNCTION("""COMPUTED_VALUE"""),13437.0)</f>
        <v>13437</v>
      </c>
      <c r="B57" s="16" t="str">
        <f>IFERROR(__xludf.DUMMYFUNCTION("""COMPUTED_VALUE"""),"Trevor Williams")</f>
        <v>Trevor Williams</v>
      </c>
      <c r="C57" s="153">
        <f>IFERROR(__xludf.DUMMYFUNCTION("""COMPUTED_VALUE"""),2.93)</f>
        <v>2.93</v>
      </c>
      <c r="D57" s="16"/>
      <c r="E57" s="16" t="str">
        <f>IFERROR(__xludf.DUMMYFUNCTION("""COMPUTED_VALUE"""),"R")</f>
        <v>R</v>
      </c>
      <c r="F57" s="16">
        <f>IFERROR(__xludf.DUMMYFUNCTION("""COMPUTED_VALUE"""),67.0)</f>
        <v>67</v>
      </c>
      <c r="G57" s="16">
        <f>IFERROR(__xludf.DUMMYFUNCTION("""COMPUTED_VALUE"""),25.0)</f>
        <v>25</v>
      </c>
      <c r="H57" s="16">
        <f>IFERROR(__xludf.DUMMYFUNCTION("""COMPUTED_VALUE"""),24.0)</f>
        <v>24</v>
      </c>
      <c r="I57" s="16">
        <f>IFERROR(__xludf.DUMMYFUNCTION("""COMPUTED_VALUE"""),0.0)</f>
        <v>0</v>
      </c>
      <c r="J57" s="16">
        <f>IFERROR(__xludf.DUMMYFUNCTION("""COMPUTED_VALUE"""),0.0)</f>
        <v>0</v>
      </c>
      <c r="K57" s="16">
        <f>IFERROR(__xludf.DUMMYFUNCTION("""COMPUTED_VALUE"""),0.0)</f>
        <v>0</v>
      </c>
      <c r="L57" s="16">
        <f>IFERROR(__xludf.DUMMYFUNCTION("""COMPUTED_VALUE"""),0.0)</f>
        <v>0</v>
      </c>
      <c r="M57" s="16">
        <f>IFERROR(__xludf.DUMMYFUNCTION("""COMPUTED_VALUE"""),8.0)</f>
        <v>8</v>
      </c>
      <c r="N57" s="16">
        <f>IFERROR(__xludf.DUMMYFUNCTION("""COMPUTED_VALUE"""),5.0)</f>
        <v>5</v>
      </c>
      <c r="O57" s="16">
        <f>IFERROR(__xludf.DUMMYFUNCTION("""COMPUTED_VALUE"""),0.0)</f>
        <v>0</v>
      </c>
      <c r="P57" s="16">
        <f>IFERROR(__xludf.DUMMYFUNCTION("""COMPUTED_VALUE"""),2.0)</f>
        <v>2</v>
      </c>
      <c r="Q57" s="16">
        <f>IFERROR(__xludf.DUMMYFUNCTION("""COMPUTED_VALUE"""),0.0)</f>
        <v>0</v>
      </c>
      <c r="R57" s="16">
        <f>IFERROR(__xludf.DUMMYFUNCTION("""COMPUTED_VALUE"""),2.0)</f>
        <v>2</v>
      </c>
      <c r="S57" s="16">
        <f>IFERROR(__xludf.DUMMYFUNCTION("""COMPUTED_VALUE"""),13.1)</f>
        <v>13.1</v>
      </c>
      <c r="T57" s="16">
        <f>IFERROR(__xludf.DUMMYFUNCTION("""COMPUTED_VALUE"""),9.3)</f>
        <v>9.3</v>
      </c>
      <c r="U57" s="16">
        <f>IFERROR(__xludf.DUMMYFUNCTION("""COMPUTED_VALUE"""),0.0)</f>
        <v>0</v>
      </c>
      <c r="V57" s="16">
        <f>IFERROR(__xludf.DUMMYFUNCTION("""COMPUTED_VALUE"""),1.0)</f>
        <v>1</v>
      </c>
      <c r="W57" s="16">
        <f>IFERROR(__xludf.DUMMYFUNCTION("""COMPUTED_VALUE"""),0.0)</f>
        <v>0</v>
      </c>
      <c r="X57" s="16">
        <f>IFERROR(__xludf.DUMMYFUNCTION("""COMPUTED_VALUE"""),2.0)</f>
        <v>2</v>
      </c>
      <c r="Y57" s="16">
        <f>IFERROR(__xludf.DUMMYFUNCTION("""COMPUTED_VALUE"""),21.1)</f>
        <v>21.1</v>
      </c>
      <c r="Z57" s="16">
        <f>IFERROR(__xludf.DUMMYFUNCTION("""COMPUTED_VALUE"""),14.3)</f>
        <v>14.3</v>
      </c>
      <c r="AA57" s="16">
        <f>IFERROR(__xludf.DUMMYFUNCTION("""COMPUTED_VALUE"""),1.0)</f>
        <v>1</v>
      </c>
      <c r="AB57" s="16">
        <f>IFERROR(__xludf.DUMMYFUNCTION("""COMPUTED_VALUE"""),2.0)</f>
        <v>2</v>
      </c>
      <c r="AC57" s="16">
        <f>IFERROR(__xludf.DUMMYFUNCTION("""COMPUTED_VALUE"""),5.0)</f>
        <v>5</v>
      </c>
      <c r="AD57" s="16">
        <f>IFERROR(__xludf.DUMMYFUNCTION("""COMPUTED_VALUE"""),10.0)</f>
        <v>10</v>
      </c>
      <c r="AE57" s="16">
        <f>IFERROR(__xludf.DUMMYFUNCTION("""COMPUTED_VALUE"""),21.6)</f>
        <v>21.6</v>
      </c>
      <c r="AF57" s="16">
        <f>IFERROR(__xludf.DUMMYFUNCTION("""COMPUTED_VALUE"""),9.3)</f>
        <v>9.3</v>
      </c>
      <c r="AG57" s="16">
        <f>IFERROR(__xludf.DUMMYFUNCTION("""COMPUTED_VALUE"""),1.0)</f>
        <v>1</v>
      </c>
      <c r="AH57" s="16">
        <f>IFERROR(__xludf.DUMMYFUNCTION("""COMPUTED_VALUE"""),2.0)</f>
        <v>2</v>
      </c>
      <c r="AI57" s="16">
        <f>IFERROR(__xludf.DUMMYFUNCTION("""COMPUTED_VALUE"""),2.0)</f>
        <v>2</v>
      </c>
      <c r="AJ57" s="16">
        <f>IFERROR(__xludf.DUMMYFUNCTION("""COMPUTED_VALUE"""),4.0)</f>
        <v>4</v>
      </c>
      <c r="AK57" s="16">
        <f>IFERROR(__xludf.DUMMYFUNCTION("""COMPUTED_VALUE"""),13.1)</f>
        <v>13.1</v>
      </c>
      <c r="AL57" s="16">
        <f>IFERROR(__xludf.DUMMYFUNCTION("""COMPUTED_VALUE"""),9.3)</f>
        <v>9.3</v>
      </c>
      <c r="AM57" s="16">
        <f>IFERROR(__xludf.DUMMYFUNCTION("""COMPUTED_VALUE"""),0.0)</f>
        <v>0</v>
      </c>
      <c r="AN57" s="16">
        <f>IFERROR(__xludf.DUMMYFUNCTION("""COMPUTED_VALUE"""),1.0)</f>
        <v>1</v>
      </c>
      <c r="AO57" s="16">
        <f>IFERROR(__xludf.DUMMYFUNCTION("""COMPUTED_VALUE"""),0.0)</f>
        <v>0</v>
      </c>
      <c r="AP57" s="16">
        <f>IFERROR(__xludf.DUMMYFUNCTION("""COMPUTED_VALUE"""),1.0)</f>
        <v>1</v>
      </c>
      <c r="AQ57" s="16">
        <f>IFERROR(__xludf.DUMMYFUNCTION("""COMPUTED_VALUE"""),21.6)</f>
        <v>21.6</v>
      </c>
      <c r="AR57" s="16">
        <f>IFERROR(__xludf.DUMMYFUNCTION("""COMPUTED_VALUE"""),9.3)</f>
        <v>9.3</v>
      </c>
      <c r="AS57" s="16">
        <f>IFERROR(__xludf.DUMMYFUNCTION("""COMPUTED_VALUE"""),0.0)</f>
        <v>0</v>
      </c>
      <c r="AT57" s="16">
        <f>IFERROR(__xludf.DUMMYFUNCTION("""COMPUTED_VALUE"""),1.0)</f>
        <v>1</v>
      </c>
      <c r="AU57" s="16">
        <f>IFERROR(__xludf.DUMMYFUNCTION("""COMPUTED_VALUE"""),0.0)</f>
        <v>0</v>
      </c>
      <c r="AV57" s="16">
        <f>IFERROR(__xludf.DUMMYFUNCTION("""COMPUTED_VALUE"""),2.0)</f>
        <v>2</v>
      </c>
      <c r="AW57" s="16">
        <f>IFERROR(__xludf.DUMMYFUNCTION("""COMPUTED_VALUE"""),0.0)</f>
        <v>0</v>
      </c>
      <c r="AX57" s="16">
        <f>IFERROR(__xludf.DUMMYFUNCTION("""COMPUTED_VALUE"""),0.0)</f>
        <v>0</v>
      </c>
      <c r="AY57" s="16">
        <f>IFERROR(__xludf.DUMMYFUNCTION("""COMPUTED_VALUE"""),2.0)</f>
        <v>2</v>
      </c>
      <c r="AZ57" s="16">
        <f>IFERROR(__xludf.DUMMYFUNCTION("""COMPUTED_VALUE"""),2.0)</f>
        <v>2</v>
      </c>
      <c r="BA57" s="16">
        <f>IFERROR(__xludf.DUMMYFUNCTION("""COMPUTED_VALUE"""),10.0)</f>
        <v>10</v>
      </c>
      <c r="BB57" s="16">
        <f>IFERROR(__xludf.DUMMYFUNCTION("""COMPUTED_VALUE"""),10.0)</f>
        <v>10</v>
      </c>
      <c r="BC57" s="16">
        <f>IFERROR(__xludf.DUMMYFUNCTION("""COMPUTED_VALUE"""),0.0)</f>
        <v>0</v>
      </c>
      <c r="BD57" s="16">
        <f>IFERROR(__xludf.DUMMYFUNCTION("""COMPUTED_VALUE"""),0.0)</f>
        <v>0</v>
      </c>
      <c r="BE57" s="16">
        <f>IFERROR(__xludf.DUMMYFUNCTION("""COMPUTED_VALUE"""),0.0)</f>
        <v>0</v>
      </c>
      <c r="BF57" s="16">
        <f>IFERROR(__xludf.DUMMYFUNCTION("""COMPUTED_VALUE"""),0.0)</f>
        <v>0</v>
      </c>
      <c r="BG57" s="16">
        <f>IFERROR(__xludf.DUMMYFUNCTION("""COMPUTED_VALUE"""),3.0)</f>
        <v>3</v>
      </c>
      <c r="BH57" s="16">
        <f>IFERROR(__xludf.DUMMYFUNCTION("""COMPUTED_VALUE"""),2.0)</f>
        <v>2</v>
      </c>
      <c r="BI57" s="16">
        <f>IFERROR(__xludf.DUMMYFUNCTION("""COMPUTED_VALUE"""),6.0)</f>
        <v>6</v>
      </c>
      <c r="BJ57" s="16">
        <f>IFERROR(__xludf.DUMMYFUNCTION("""COMPUTED_VALUE"""),4.0)</f>
        <v>4</v>
      </c>
      <c r="BK57" s="16">
        <f>IFERROR(__xludf.DUMMYFUNCTION("""COMPUTED_VALUE"""),5.0)</f>
        <v>5</v>
      </c>
      <c r="BL57" s="16">
        <f>IFERROR(__xludf.DUMMYFUNCTION("""COMPUTED_VALUE"""),5.0)</f>
        <v>5</v>
      </c>
      <c r="BM57" s="16">
        <f>IFERROR(__xludf.DUMMYFUNCTION("""COMPUTED_VALUE"""),0.0)</f>
        <v>0</v>
      </c>
      <c r="BN57" s="16">
        <f>IFERROR(__xludf.DUMMYFUNCTION("""COMPUTED_VALUE"""),0.0)</f>
        <v>0</v>
      </c>
      <c r="BO57" s="16">
        <f>IFERROR(__xludf.DUMMYFUNCTION("""COMPUTED_VALUE"""),0.0)</f>
        <v>0</v>
      </c>
      <c r="BP57" s="16">
        <f>IFERROR(__xludf.DUMMYFUNCTION("""COMPUTED_VALUE"""),0.0)</f>
        <v>0</v>
      </c>
      <c r="BQ57" s="16">
        <f>IFERROR(__xludf.DUMMYFUNCTION("""COMPUTED_VALUE"""),5.0)</f>
        <v>5</v>
      </c>
      <c r="BR57" s="16">
        <f>IFERROR(__xludf.DUMMYFUNCTION("""COMPUTED_VALUE"""),5.0)</f>
        <v>5</v>
      </c>
      <c r="BS57" s="16">
        <f>IFERROR(__xludf.DUMMYFUNCTION("""COMPUTED_VALUE"""),0.0)</f>
        <v>0</v>
      </c>
      <c r="BT57" s="16">
        <f>IFERROR(__xludf.DUMMYFUNCTION("""COMPUTED_VALUE"""),0.0)</f>
        <v>0</v>
      </c>
      <c r="BU57" s="16">
        <f>IFERROR(__xludf.DUMMYFUNCTION("""COMPUTED_VALUE"""),0.0)</f>
        <v>0</v>
      </c>
      <c r="BV57" s="16">
        <f>IFERROR(__xludf.DUMMYFUNCTION("""COMPUTED_VALUE"""),0.0)</f>
        <v>0</v>
      </c>
      <c r="BW57" s="16">
        <f>IFERROR(__xludf.DUMMYFUNCTION("""COMPUTED_VALUE"""),-6.0)</f>
        <v>-6</v>
      </c>
      <c r="BX57" s="16">
        <f>IFERROR(__xludf.DUMMYFUNCTION("""COMPUTED_VALUE"""),-6.0)</f>
        <v>-6</v>
      </c>
      <c r="BY57" s="16" t="str">
        <f>IFERROR(__xludf.DUMMYFUNCTION("""COMPUTED_VALUE"""),"S(5)")</f>
        <v>S(5)</v>
      </c>
      <c r="BZ57" s="16" t="str">
        <f>IFERROR(__xludf.DUMMYFUNCTION("""COMPUTED_VALUE"""),"S(5)")</f>
        <v>S(5)</v>
      </c>
      <c r="CA57" s="16" t="str">
        <f>IFERROR(__xludf.DUMMYFUNCTION("""COMPUTED_VALUE"""),"S(5)")</f>
        <v>S(5)</v>
      </c>
      <c r="CB57" s="16"/>
      <c r="CC57" s="16"/>
      <c r="CD57" s="16">
        <f>IFERROR(__xludf.DUMMYFUNCTION("""COMPUTED_VALUE"""),5.0)</f>
        <v>5</v>
      </c>
      <c r="CE57" s="16"/>
      <c r="CF57" s="16"/>
      <c r="CG57" s="16" t="str">
        <f>IFERROR(__xludf.DUMMYFUNCTION("""COMPUTED_VALUE"""),"2-0")</f>
        <v>2-0</v>
      </c>
      <c r="CH57" s="16">
        <f>IFERROR(__xludf.DUMMYFUNCTION("""COMPUTED_VALUE"""),2.0)</f>
        <v>2</v>
      </c>
      <c r="CI57" s="16">
        <f>IFERROR(__xludf.DUMMYFUNCTION("""COMPUTED_VALUE"""),0.0)</f>
        <v>0</v>
      </c>
      <c r="CJ57" s="16">
        <f>IFERROR(__xludf.DUMMYFUNCTION("""COMPUTED_VALUE"""),7.0)</f>
        <v>7</v>
      </c>
      <c r="CK57" s="16">
        <f>IFERROR(__xludf.DUMMYFUNCTION("""COMPUTED_VALUE"""),0.0)</f>
        <v>0</v>
      </c>
      <c r="CL57" s="16" t="str">
        <f>IFERROR(__xludf.DUMMYFUNCTION("""COMPUTED_VALUE"""),"1WR-C")</f>
        <v>1WR-C</v>
      </c>
      <c r="CM57" s="16" t="str">
        <f>IFERROR(__xludf.DUMMYFUNCTION("""COMPUTED_VALUE"""),"E")</f>
        <v>E</v>
      </c>
      <c r="CN57" s="16">
        <f>IFERROR(__xludf.DUMMYFUNCTION("""COMPUTED_VALUE"""),10.0)</f>
        <v>10</v>
      </c>
      <c r="CO57" s="16" t="str">
        <f>IFERROR(__xludf.DUMMYFUNCTION("""COMPUTED_VALUE"""),"C")</f>
        <v>C</v>
      </c>
      <c r="CP57" s="16" t="str">
        <f>IFERROR(__xludf.DUMMYFUNCTION("""COMPUTED_VALUE"""),"5p40")</f>
        <v>5p40</v>
      </c>
      <c r="CQ57" s="16">
        <f>IFERROR(__xludf.DUMMYFUNCTION("""COMPUTED_VALUE"""),23.0)</f>
        <v>23</v>
      </c>
      <c r="CR57" s="16">
        <f>IFERROR(__xludf.DUMMYFUNCTION("""COMPUTED_VALUE"""),35.0)</f>
        <v>35</v>
      </c>
      <c r="CS57" s="16">
        <f>IFERROR(__xludf.DUMMYFUNCTION("""COMPUTED_VALUE"""),58.0)</f>
        <v>58</v>
      </c>
      <c r="CT57" s="16">
        <f>IFERROR(__xludf.DUMMYFUNCTION("""COMPUTED_VALUE"""),23.0)</f>
        <v>23</v>
      </c>
      <c r="CU57" s="16">
        <f>IFERROR(__xludf.DUMMYFUNCTION("""COMPUTED_VALUE"""),35.0)</f>
        <v>35</v>
      </c>
      <c r="CV57" s="179">
        <f>IFERROR(__xludf.DUMMYFUNCTION("""COMPUTED_VALUE"""),28.0)</f>
        <v>28</v>
      </c>
      <c r="CW57" s="179">
        <f>IFERROR(__xludf.DUMMYFUNCTION("""COMPUTED_VALUE"""),0.0)</f>
        <v>0</v>
      </c>
      <c r="CX57" s="179">
        <f>IFERROR(__xludf.DUMMYFUNCTION("""COMPUTED_VALUE"""),1.0)</f>
        <v>1</v>
      </c>
      <c r="CY57" s="16" t="str">
        <f>IFERROR(__xludf.DUMMYFUNCTION("""COMPUTED_VALUE"""),"SP")</f>
        <v>SP</v>
      </c>
      <c r="CZ57" s="16"/>
      <c r="DA57" s="16"/>
      <c r="DB57" s="16"/>
      <c r="DC57" s="16"/>
      <c r="DD57" s="16"/>
      <c r="DE57" s="16"/>
      <c r="DF57" s="16"/>
      <c r="DG57" s="16"/>
      <c r="DH57" s="16"/>
      <c r="DI57" s="16"/>
      <c r="DJ57" s="16"/>
      <c r="DK57" s="16"/>
    </row>
    <row r="58">
      <c r="A58" s="16">
        <f>IFERROR(__xludf.DUMMYFUNCTION("""COMPUTED_VALUE"""),13353.0)</f>
        <v>13353</v>
      </c>
      <c r="B58" s="16" t="str">
        <f>IFERROR(__xludf.DUMMYFUNCTION("""COMPUTED_VALUE"""),"Sam Moll")</f>
        <v>Sam Moll</v>
      </c>
      <c r="C58" s="153">
        <f>IFERROR(__xludf.DUMMYFUNCTION("""COMPUTED_VALUE"""),1.02)</f>
        <v>1.02</v>
      </c>
      <c r="D58" s="16"/>
      <c r="E58" s="16" t="str">
        <f>IFERROR(__xludf.DUMMYFUNCTION("""COMPUTED_VALUE"""),"L")</f>
        <v>L</v>
      </c>
      <c r="F58" s="16">
        <f>IFERROR(__xludf.DUMMYFUNCTION("""COMPUTED_VALUE"""),38.0)</f>
        <v>38</v>
      </c>
      <c r="G58" s="16">
        <f>IFERROR(__xludf.DUMMYFUNCTION("""COMPUTED_VALUE"""),44.0)</f>
        <v>44</v>
      </c>
      <c r="H58" s="16">
        <f>IFERROR(__xludf.DUMMYFUNCTION("""COMPUTED_VALUE"""),22.0)</f>
        <v>22</v>
      </c>
      <c r="I58" s="16">
        <f>IFERROR(__xludf.DUMMYFUNCTION("""COMPUTED_VALUE"""),2.0)</f>
        <v>2</v>
      </c>
      <c r="J58" s="16">
        <f>IFERROR(__xludf.DUMMYFUNCTION("""COMPUTED_VALUE"""),-1.0)</f>
        <v>-1</v>
      </c>
      <c r="K58" s="16">
        <f>IFERROR(__xludf.DUMMYFUNCTION("""COMPUTED_VALUE"""),6.0)</f>
        <v>6</v>
      </c>
      <c r="L58" s="16">
        <f>IFERROR(__xludf.DUMMYFUNCTION("""COMPUTED_VALUE"""),-3.0)</f>
        <v>-3</v>
      </c>
      <c r="M58" s="16">
        <f>IFERROR(__xludf.DUMMYFUNCTION("""COMPUTED_VALUE"""),3.0)</f>
        <v>3</v>
      </c>
      <c r="N58" s="16">
        <f>IFERROR(__xludf.DUMMYFUNCTION("""COMPUTED_VALUE"""),14.0)</f>
        <v>14</v>
      </c>
      <c r="O58" s="16">
        <f>IFERROR(__xludf.DUMMYFUNCTION("""COMPUTED_VALUE"""),2.0)</f>
        <v>2</v>
      </c>
      <c r="P58" s="16">
        <f>IFERROR(__xludf.DUMMYFUNCTION("""COMPUTED_VALUE"""),-2.0)</f>
        <v>-2</v>
      </c>
      <c r="Q58" s="16">
        <f>IFERROR(__xludf.DUMMYFUNCTION("""COMPUTED_VALUE"""),2.0)</f>
        <v>2</v>
      </c>
      <c r="R58" s="16">
        <f>IFERROR(__xludf.DUMMYFUNCTION("""COMPUTED_VALUE"""),-2.0)</f>
        <v>-2</v>
      </c>
      <c r="S58" s="16">
        <f>IFERROR(__xludf.DUMMYFUNCTION("""COMPUTED_VALUE"""),3.0)</f>
        <v>3</v>
      </c>
      <c r="T58" s="16">
        <f>IFERROR(__xludf.DUMMYFUNCTION("""COMPUTED_VALUE"""),12.4)</f>
        <v>12.4</v>
      </c>
      <c r="U58" s="16">
        <f>IFERROR(__xludf.DUMMYFUNCTION("""COMPUTED_VALUE"""),2.0)</f>
        <v>2</v>
      </c>
      <c r="V58" s="16">
        <f>IFERROR(__xludf.DUMMYFUNCTION("""COMPUTED_VALUE"""),1.0)</f>
        <v>1</v>
      </c>
      <c r="W58" s="16">
        <f>IFERROR(__xludf.DUMMYFUNCTION("""COMPUTED_VALUE"""),4.0)</f>
        <v>4</v>
      </c>
      <c r="X58" s="16">
        <f>IFERROR(__xludf.DUMMYFUNCTION("""COMPUTED_VALUE"""),2.0)</f>
        <v>2</v>
      </c>
      <c r="Y58" s="16">
        <f>IFERROR(__xludf.DUMMYFUNCTION("""COMPUTED_VALUE"""),6.0)</f>
        <v>6</v>
      </c>
      <c r="Z58" s="16">
        <f>IFERROR(__xludf.DUMMYFUNCTION("""COMPUTED_VALUE"""),26.4)</f>
        <v>26.4</v>
      </c>
      <c r="AA58" s="16">
        <f>IFERROR(__xludf.DUMMYFUNCTION("""COMPUTED_VALUE"""),2.0)</f>
        <v>2</v>
      </c>
      <c r="AB58" s="16">
        <f>IFERROR(__xludf.DUMMYFUNCTION("""COMPUTED_VALUE"""),0.0)</f>
        <v>0</v>
      </c>
      <c r="AC58" s="16">
        <f>IFERROR(__xludf.DUMMYFUNCTION("""COMPUTED_VALUE"""),10.0)</f>
        <v>10</v>
      </c>
      <c r="AD58" s="16">
        <f>IFERROR(__xludf.DUMMYFUNCTION("""COMPUTED_VALUE"""),0.0)</f>
        <v>0</v>
      </c>
      <c r="AE58" s="16">
        <f>IFERROR(__xludf.DUMMYFUNCTION("""COMPUTED_VALUE"""),6.0)</f>
        <v>6</v>
      </c>
      <c r="AF58" s="16">
        <f>IFERROR(__xludf.DUMMYFUNCTION("""COMPUTED_VALUE"""),23.7)</f>
        <v>23.7</v>
      </c>
      <c r="AG58" s="16">
        <f>IFERROR(__xludf.DUMMYFUNCTION("""COMPUTED_VALUE"""),2.0)</f>
        <v>2</v>
      </c>
      <c r="AH58" s="16">
        <f>IFERROR(__xludf.DUMMYFUNCTION("""COMPUTED_VALUE"""),1.0)</f>
        <v>1</v>
      </c>
      <c r="AI58" s="16">
        <f>IFERROR(__xludf.DUMMYFUNCTION("""COMPUTED_VALUE"""),4.0)</f>
        <v>4</v>
      </c>
      <c r="AJ58" s="16">
        <f>IFERROR(__xludf.DUMMYFUNCTION("""COMPUTED_VALUE"""),2.0)</f>
        <v>2</v>
      </c>
      <c r="AK58" s="16">
        <f>IFERROR(__xludf.DUMMYFUNCTION("""COMPUTED_VALUE"""),2.0)</f>
        <v>2</v>
      </c>
      <c r="AL58" s="16">
        <f>IFERROR(__xludf.DUMMYFUNCTION("""COMPUTED_VALUE"""),10.8)</f>
        <v>10.8</v>
      </c>
      <c r="AM58" s="16">
        <f>IFERROR(__xludf.DUMMYFUNCTION("""COMPUTED_VALUE"""),2.0)</f>
        <v>2</v>
      </c>
      <c r="AN58" s="16">
        <f>IFERROR(__xludf.DUMMYFUNCTION("""COMPUTED_VALUE"""),1.0)</f>
        <v>1</v>
      </c>
      <c r="AO58" s="16">
        <f>IFERROR(__xludf.DUMMYFUNCTION("""COMPUTED_VALUE"""),2.0)</f>
        <v>2</v>
      </c>
      <c r="AP58" s="16">
        <f>IFERROR(__xludf.DUMMYFUNCTION("""COMPUTED_VALUE"""),1.0)</f>
        <v>1</v>
      </c>
      <c r="AQ58" s="16">
        <f>IFERROR(__xludf.DUMMYFUNCTION("""COMPUTED_VALUE"""),2.0)</f>
        <v>2</v>
      </c>
      <c r="AR58" s="16">
        <f>IFERROR(__xludf.DUMMYFUNCTION("""COMPUTED_VALUE"""),17.299999999999997)</f>
        <v>17.3</v>
      </c>
      <c r="AS58" s="16">
        <f>IFERROR(__xludf.DUMMYFUNCTION("""COMPUTED_VALUE"""),2.0)</f>
        <v>2</v>
      </c>
      <c r="AT58" s="16">
        <f>IFERROR(__xludf.DUMMYFUNCTION("""COMPUTED_VALUE"""),0.0)</f>
        <v>0</v>
      </c>
      <c r="AU58" s="16">
        <f>IFERROR(__xludf.DUMMYFUNCTION("""COMPUTED_VALUE"""),4.0)</f>
        <v>4</v>
      </c>
      <c r="AV58" s="16">
        <f>IFERROR(__xludf.DUMMYFUNCTION("""COMPUTED_VALUE"""),0.0)</f>
        <v>0</v>
      </c>
      <c r="AW58" s="16">
        <f>IFERROR(__xludf.DUMMYFUNCTION("""COMPUTED_VALUE"""),1.0)</f>
        <v>1</v>
      </c>
      <c r="AX58" s="16">
        <f>IFERROR(__xludf.DUMMYFUNCTION("""COMPUTED_VALUE"""),1.6)</f>
        <v>1.6</v>
      </c>
      <c r="AY58" s="16">
        <f>IFERROR(__xludf.DUMMYFUNCTION("""COMPUTED_VALUE"""),1.0)</f>
        <v>1</v>
      </c>
      <c r="AZ58" s="16">
        <f>IFERROR(__xludf.DUMMYFUNCTION("""COMPUTED_VALUE"""),1.0)</f>
        <v>1</v>
      </c>
      <c r="BA58" s="16">
        <f>IFERROR(__xludf.DUMMYFUNCTION("""COMPUTED_VALUE"""),5.0)</f>
        <v>5</v>
      </c>
      <c r="BB58" s="16">
        <f>IFERROR(__xludf.DUMMYFUNCTION("""COMPUTED_VALUE"""),5.0)</f>
        <v>5</v>
      </c>
      <c r="BC58" s="16"/>
      <c r="BD58" s="16">
        <f>IFERROR(__xludf.DUMMYFUNCTION("""COMPUTED_VALUE"""),0.0)</f>
        <v>0</v>
      </c>
      <c r="BE58" s="16">
        <f>IFERROR(__xludf.DUMMYFUNCTION("""COMPUTED_VALUE"""),0.0)</f>
        <v>0</v>
      </c>
      <c r="BF58" s="16">
        <f>IFERROR(__xludf.DUMMYFUNCTION("""COMPUTED_VALUE"""),0.0)</f>
        <v>0</v>
      </c>
      <c r="BG58" s="16">
        <f>IFERROR(__xludf.DUMMYFUNCTION("""COMPUTED_VALUE"""),3.0)</f>
        <v>3</v>
      </c>
      <c r="BH58" s="16">
        <f>IFERROR(__xludf.DUMMYFUNCTION("""COMPUTED_VALUE"""),2.0)</f>
        <v>2</v>
      </c>
      <c r="BI58" s="16">
        <f>IFERROR(__xludf.DUMMYFUNCTION("""COMPUTED_VALUE"""),6.0)</f>
        <v>6</v>
      </c>
      <c r="BJ58" s="16">
        <f>IFERROR(__xludf.DUMMYFUNCTION("""COMPUTED_VALUE"""),4.0)</f>
        <v>4</v>
      </c>
      <c r="BK58" s="16">
        <f>IFERROR(__xludf.DUMMYFUNCTION("""COMPUTED_VALUE"""),0.0)</f>
        <v>0</v>
      </c>
      <c r="BL58" s="16">
        <f>IFERROR(__xludf.DUMMYFUNCTION("""COMPUTED_VALUE"""),5.0)</f>
        <v>5</v>
      </c>
      <c r="BM58" s="16">
        <f>IFERROR(__xludf.DUMMYFUNCTION("""COMPUTED_VALUE"""),1.0)</f>
        <v>1</v>
      </c>
      <c r="BN58" s="16">
        <f>IFERROR(__xludf.DUMMYFUNCTION("""COMPUTED_VALUE"""),0.0)</f>
        <v>0</v>
      </c>
      <c r="BO58" s="16">
        <f>IFERROR(__xludf.DUMMYFUNCTION("""COMPUTED_VALUE"""),1.0)</f>
        <v>1</v>
      </c>
      <c r="BP58" s="16">
        <f>IFERROR(__xludf.DUMMYFUNCTION("""COMPUTED_VALUE"""),0.0)</f>
        <v>0</v>
      </c>
      <c r="BQ58" s="16">
        <f>IFERROR(__xludf.DUMMYFUNCTION("""COMPUTED_VALUE"""),7.0)</f>
        <v>7</v>
      </c>
      <c r="BR58" s="16">
        <f>IFERROR(__xludf.DUMMYFUNCTION("""COMPUTED_VALUE"""),7.0)</f>
        <v>7</v>
      </c>
      <c r="BS58" s="16">
        <f>IFERROR(__xludf.DUMMYFUNCTION("""COMPUTED_VALUE"""),2.0)</f>
        <v>2</v>
      </c>
      <c r="BT58" s="16">
        <f>IFERROR(__xludf.DUMMYFUNCTION("""COMPUTED_VALUE"""),2.0)</f>
        <v>2</v>
      </c>
      <c r="BU58" s="16">
        <f>IFERROR(__xludf.DUMMYFUNCTION("""COMPUTED_VALUE"""),4.0)</f>
        <v>4</v>
      </c>
      <c r="BV58" s="16">
        <f>IFERROR(__xludf.DUMMYFUNCTION("""COMPUTED_VALUE"""),4.0)</f>
        <v>4</v>
      </c>
      <c r="BW58" s="16">
        <f>IFERROR(__xludf.DUMMYFUNCTION("""COMPUTED_VALUE"""),3.0)</f>
        <v>3</v>
      </c>
      <c r="BX58" s="16">
        <f>IFERROR(__xludf.DUMMYFUNCTION("""COMPUTED_VALUE"""),3.0)</f>
        <v>3</v>
      </c>
      <c r="BY58" s="16" t="str">
        <f>IFERROR(__xludf.DUMMYFUNCTION("""COMPUTED_VALUE"""),"R(1)")</f>
        <v>R(1)</v>
      </c>
      <c r="BZ58" s="16" t="str">
        <f>IFERROR(__xludf.DUMMYFUNCTION("""COMPUTED_VALUE"""),"R(1)")</f>
        <v>R(1)</v>
      </c>
      <c r="CA58" s="16" t="str">
        <f>IFERROR(__xludf.DUMMYFUNCTION("""COMPUTED_VALUE"""),"R(1)")</f>
        <v>R(1)</v>
      </c>
      <c r="CB58" s="16"/>
      <c r="CC58" s="16"/>
      <c r="CD58" s="16"/>
      <c r="CE58" s="16">
        <f>IFERROR(__xludf.DUMMYFUNCTION("""COMPUTED_VALUE"""),1.0)</f>
        <v>1</v>
      </c>
      <c r="CF58" s="16"/>
      <c r="CG58" s="16" t="str">
        <f>IFERROR(__xludf.DUMMYFUNCTION("""COMPUTED_VALUE"""),"4-0")</f>
        <v>4-0</v>
      </c>
      <c r="CH58" s="16">
        <f>IFERROR(__xludf.DUMMYFUNCTION("""COMPUTED_VALUE"""),4.0)</f>
        <v>4</v>
      </c>
      <c r="CI58" s="16">
        <f>IFERROR(__xludf.DUMMYFUNCTION("""COMPUTED_VALUE"""),0.0)</f>
        <v>0</v>
      </c>
      <c r="CJ58" s="16">
        <f>IFERROR(__xludf.DUMMYFUNCTION("""COMPUTED_VALUE"""),0.0)</f>
        <v>0</v>
      </c>
      <c r="CK58" s="16">
        <f>IFERROR(__xludf.DUMMYFUNCTION("""COMPUTED_VALUE"""),0.0)</f>
        <v>0</v>
      </c>
      <c r="CL58" s="16" t="str">
        <f>IFERROR(__xludf.DUMMYFUNCTION("""COMPUTED_VALUE"""),"1WL-C")</f>
        <v>1WL-C</v>
      </c>
      <c r="CM58" s="16" t="str">
        <f>IFERROR(__xludf.DUMMYFUNCTION("""COMPUTED_VALUE"""),"E")</f>
        <v>E</v>
      </c>
      <c r="CN58" s="16">
        <f>IFERROR(__xludf.DUMMYFUNCTION("""COMPUTED_VALUE"""),10.0)</f>
        <v>10</v>
      </c>
      <c r="CO58" s="16" t="str">
        <f>IFERROR(__xludf.DUMMYFUNCTION("""COMPUTED_VALUE"""),"C")</f>
        <v>C</v>
      </c>
      <c r="CP58" s="16" t="str">
        <f>IFERROR(__xludf.DUMMYFUNCTION("""COMPUTED_VALUE"""),"4p30")</f>
        <v>4p30</v>
      </c>
      <c r="CQ58" s="16">
        <f>IFERROR(__xludf.DUMMYFUNCTION("""COMPUTED_VALUE"""),48.0)</f>
        <v>48</v>
      </c>
      <c r="CR58" s="16">
        <f>IFERROR(__xludf.DUMMYFUNCTION("""COMPUTED_VALUE"""),13.0)</f>
        <v>13</v>
      </c>
      <c r="CS58" s="16">
        <f>IFERROR(__xludf.DUMMYFUNCTION("""COMPUTED_VALUE"""),61.0)</f>
        <v>61</v>
      </c>
      <c r="CT58" s="16">
        <f>IFERROR(__xludf.DUMMYFUNCTION("""COMPUTED_VALUE"""),48.0)</f>
        <v>48</v>
      </c>
      <c r="CU58" s="16">
        <f>IFERROR(__xludf.DUMMYFUNCTION("""COMPUTED_VALUE"""),13.0)</f>
        <v>13</v>
      </c>
      <c r="CV58" s="179">
        <f>IFERROR(__xludf.DUMMYFUNCTION("""COMPUTED_VALUE"""),27.666666666666668)</f>
        <v>27.66666667</v>
      </c>
      <c r="CW58" s="179">
        <f>IFERROR(__xludf.DUMMYFUNCTION("""COMPUTED_VALUE"""),1.0)</f>
        <v>1</v>
      </c>
      <c r="CX58" s="179">
        <f>IFERROR(__xludf.DUMMYFUNCTION("""COMPUTED_VALUE"""),2.0)</f>
        <v>2</v>
      </c>
      <c r="CY58" s="16" t="str">
        <f>IFERROR(__xludf.DUMMYFUNCTION("""COMPUTED_VALUE"""),"RP")</f>
        <v>RP</v>
      </c>
      <c r="CZ58" s="16"/>
      <c r="DA58" s="16"/>
      <c r="DB58" s="16"/>
      <c r="DC58" s="16"/>
      <c r="DD58" s="16"/>
      <c r="DE58" s="16"/>
      <c r="DF58" s="16"/>
      <c r="DG58" s="16"/>
      <c r="DH58" s="16"/>
      <c r="DI58" s="16"/>
      <c r="DJ58" s="16"/>
      <c r="DK58" s="16"/>
    </row>
    <row r="59">
      <c r="A59" s="16">
        <f>IFERROR(__xludf.DUMMYFUNCTION("""COMPUTED_VALUE"""),12527.0)</f>
        <v>12527</v>
      </c>
      <c r="B59" s="16" t="str">
        <f>IFERROR(__xludf.DUMMYFUNCTION("""COMPUTED_VALUE"""),"Alex Vesia")</f>
        <v>Alex Vesia</v>
      </c>
      <c r="C59" s="153">
        <f>IFERROR(__xludf.DUMMYFUNCTION("""COMPUTED_VALUE"""),1.16)</f>
        <v>1.16</v>
      </c>
      <c r="D59" s="16"/>
      <c r="E59" s="16" t="str">
        <f>IFERROR(__xludf.DUMMYFUNCTION("""COMPUTED_VALUE"""),"L")</f>
        <v>L</v>
      </c>
      <c r="F59" s="16">
        <f>IFERROR(__xludf.DUMMYFUNCTION("""COMPUTED_VALUE"""),66.0)</f>
        <v>66</v>
      </c>
      <c r="G59" s="16">
        <f>IFERROR(__xludf.DUMMYFUNCTION("""COMPUTED_VALUE"""),47.0)</f>
        <v>47</v>
      </c>
      <c r="H59" s="16">
        <f>IFERROR(__xludf.DUMMYFUNCTION("""COMPUTED_VALUE"""),50.0)</f>
        <v>50</v>
      </c>
      <c r="I59" s="16">
        <f>IFERROR(__xludf.DUMMYFUNCTION("""COMPUTED_VALUE"""),2.0)</f>
        <v>2</v>
      </c>
      <c r="J59" s="16">
        <f>IFERROR(__xludf.DUMMYFUNCTION("""COMPUTED_VALUE"""),3.0)</f>
        <v>3</v>
      </c>
      <c r="K59" s="16">
        <f>IFERROR(__xludf.DUMMYFUNCTION("""COMPUTED_VALUE"""),6.0)</f>
        <v>6</v>
      </c>
      <c r="L59" s="16">
        <f>IFERROR(__xludf.DUMMYFUNCTION("""COMPUTED_VALUE"""),9.0)</f>
        <v>9</v>
      </c>
      <c r="M59" s="16">
        <f>IFERROR(__xludf.DUMMYFUNCTION("""COMPUTED_VALUE"""),14.0)</f>
        <v>14</v>
      </c>
      <c r="N59" s="16">
        <f>IFERROR(__xludf.DUMMYFUNCTION("""COMPUTED_VALUE"""),19.0)</f>
        <v>19</v>
      </c>
      <c r="O59" s="16">
        <f>IFERROR(__xludf.DUMMYFUNCTION("""COMPUTED_VALUE"""),-2.0)</f>
        <v>-2</v>
      </c>
      <c r="P59" s="16">
        <f>IFERROR(__xludf.DUMMYFUNCTION("""COMPUTED_VALUE"""),-3.0)</f>
        <v>-3</v>
      </c>
      <c r="Q59" s="16">
        <f>IFERROR(__xludf.DUMMYFUNCTION("""COMPUTED_VALUE"""),-2.0)</f>
        <v>-2</v>
      </c>
      <c r="R59" s="16">
        <f>IFERROR(__xludf.DUMMYFUNCTION("""COMPUTED_VALUE"""),-3.0)</f>
        <v>-3</v>
      </c>
      <c r="S59" s="16">
        <f>IFERROR(__xludf.DUMMYFUNCTION("""COMPUTED_VALUE"""),2.5)</f>
        <v>2.5</v>
      </c>
      <c r="T59" s="16">
        <f>IFERROR(__xludf.DUMMYFUNCTION("""COMPUTED_VALUE"""),1.6)</f>
        <v>1.6</v>
      </c>
      <c r="U59" s="16">
        <f>IFERROR(__xludf.DUMMYFUNCTION("""COMPUTED_VALUE"""),2.0)</f>
        <v>2</v>
      </c>
      <c r="V59" s="16">
        <f>IFERROR(__xludf.DUMMYFUNCTION("""COMPUTED_VALUE"""),2.0)</f>
        <v>2</v>
      </c>
      <c r="W59" s="16">
        <f>IFERROR(__xludf.DUMMYFUNCTION("""COMPUTED_VALUE"""),4.0)</f>
        <v>4</v>
      </c>
      <c r="X59" s="16">
        <f>IFERROR(__xludf.DUMMYFUNCTION("""COMPUTED_VALUE"""),4.0)</f>
        <v>4</v>
      </c>
      <c r="Y59" s="16">
        <f>IFERROR(__xludf.DUMMYFUNCTION("""COMPUTED_VALUE"""),16.5)</f>
        <v>16.5</v>
      </c>
      <c r="Z59" s="16">
        <f>IFERROR(__xludf.DUMMYFUNCTION("""COMPUTED_VALUE"""),20.6)</f>
        <v>20.6</v>
      </c>
      <c r="AA59" s="16">
        <f>IFERROR(__xludf.DUMMYFUNCTION("""COMPUTED_VALUE"""),1.0)</f>
        <v>1</v>
      </c>
      <c r="AB59" s="16">
        <f>IFERROR(__xludf.DUMMYFUNCTION("""COMPUTED_VALUE"""),1.0)</f>
        <v>1</v>
      </c>
      <c r="AC59" s="16">
        <f>IFERROR(__xludf.DUMMYFUNCTION("""COMPUTED_VALUE"""),5.0)</f>
        <v>5</v>
      </c>
      <c r="AD59" s="16">
        <f>IFERROR(__xludf.DUMMYFUNCTION("""COMPUTED_VALUE"""),5.0)</f>
        <v>5</v>
      </c>
      <c r="AE59" s="16">
        <f>IFERROR(__xludf.DUMMYFUNCTION("""COMPUTED_VALUE"""),9.7)</f>
        <v>9.7</v>
      </c>
      <c r="AF59" s="16">
        <f>IFERROR(__xludf.DUMMYFUNCTION("""COMPUTED_VALUE"""),6.4)</f>
        <v>6.4</v>
      </c>
      <c r="AG59" s="16">
        <f>IFERROR(__xludf.DUMMYFUNCTION("""COMPUTED_VALUE"""),2.0)</f>
        <v>2</v>
      </c>
      <c r="AH59" s="16">
        <f>IFERROR(__xludf.DUMMYFUNCTION("""COMPUTED_VALUE"""),2.0)</f>
        <v>2</v>
      </c>
      <c r="AI59" s="16">
        <f>IFERROR(__xludf.DUMMYFUNCTION("""COMPUTED_VALUE"""),4.0)</f>
        <v>4</v>
      </c>
      <c r="AJ59" s="16">
        <f>IFERROR(__xludf.DUMMYFUNCTION("""COMPUTED_VALUE"""),4.0)</f>
        <v>4</v>
      </c>
      <c r="AK59" s="16">
        <f>IFERROR(__xludf.DUMMYFUNCTION("""COMPUTED_VALUE"""),0.10000000000000009)</f>
        <v>0.1</v>
      </c>
      <c r="AL59" s="16">
        <f>IFERROR(__xludf.DUMMYFUNCTION("""COMPUTED_VALUE"""),0.0)</f>
        <v>0</v>
      </c>
      <c r="AM59" s="16">
        <f>IFERROR(__xludf.DUMMYFUNCTION("""COMPUTED_VALUE"""),2.0)</f>
        <v>2</v>
      </c>
      <c r="AN59" s="16">
        <f>IFERROR(__xludf.DUMMYFUNCTION("""COMPUTED_VALUE"""),3.0)</f>
        <v>3</v>
      </c>
      <c r="AO59" s="16">
        <f>IFERROR(__xludf.DUMMYFUNCTION("""COMPUTED_VALUE"""),2.0)</f>
        <v>2</v>
      </c>
      <c r="AP59" s="16">
        <f>IFERROR(__xludf.DUMMYFUNCTION("""COMPUTED_VALUE"""),3.0)</f>
        <v>3</v>
      </c>
      <c r="AQ59" s="16">
        <f>IFERROR(__xludf.DUMMYFUNCTION("""COMPUTED_VALUE"""),0.09999999999999964)</f>
        <v>0.1</v>
      </c>
      <c r="AR59" s="16">
        <f>IFERROR(__xludf.DUMMYFUNCTION("""COMPUTED_VALUE"""),0.0)</f>
        <v>0</v>
      </c>
      <c r="AS59" s="16">
        <f>IFERROR(__xludf.DUMMYFUNCTION("""COMPUTED_VALUE"""),2.0)</f>
        <v>2</v>
      </c>
      <c r="AT59" s="16">
        <f>IFERROR(__xludf.DUMMYFUNCTION("""COMPUTED_VALUE"""),3.0)</f>
        <v>3</v>
      </c>
      <c r="AU59" s="16">
        <f>IFERROR(__xludf.DUMMYFUNCTION("""COMPUTED_VALUE"""),4.0)</f>
        <v>4</v>
      </c>
      <c r="AV59" s="16">
        <f>IFERROR(__xludf.DUMMYFUNCTION("""COMPUTED_VALUE"""),6.0)</f>
        <v>6</v>
      </c>
      <c r="AW59" s="16">
        <f>IFERROR(__xludf.DUMMYFUNCTION("""COMPUTED_VALUE"""),2.4)</f>
        <v>2.4</v>
      </c>
      <c r="AX59" s="16">
        <f>IFERROR(__xludf.DUMMYFUNCTION("""COMPUTED_VALUE"""),1.6)</f>
        <v>1.6</v>
      </c>
      <c r="AY59" s="16">
        <f>IFERROR(__xludf.DUMMYFUNCTION("""COMPUTED_VALUE"""),0.0)</f>
        <v>0</v>
      </c>
      <c r="AZ59" s="16">
        <f>IFERROR(__xludf.DUMMYFUNCTION("""COMPUTED_VALUE"""),1.0)</f>
        <v>1</v>
      </c>
      <c r="BA59" s="16">
        <f>IFERROR(__xludf.DUMMYFUNCTION("""COMPUTED_VALUE"""),0.0)</f>
        <v>0</v>
      </c>
      <c r="BB59" s="16">
        <f>IFERROR(__xludf.DUMMYFUNCTION("""COMPUTED_VALUE"""),5.0)</f>
        <v>5</v>
      </c>
      <c r="BC59" s="16"/>
      <c r="BD59" s="16"/>
      <c r="BE59" s="16">
        <f>IFERROR(__xludf.DUMMYFUNCTION("""COMPUTED_VALUE"""),3.0)</f>
        <v>3</v>
      </c>
      <c r="BF59" s="16">
        <f>IFERROR(__xludf.DUMMYFUNCTION("""COMPUTED_VALUE"""),1.0)</f>
        <v>1</v>
      </c>
      <c r="BG59" s="16">
        <f>IFERROR(__xludf.DUMMYFUNCTION("""COMPUTED_VALUE"""),0.0)</f>
        <v>0</v>
      </c>
      <c r="BH59" s="16">
        <f>IFERROR(__xludf.DUMMYFUNCTION("""COMPUTED_VALUE"""),2.0)</f>
        <v>2</v>
      </c>
      <c r="BI59" s="16">
        <f>IFERROR(__xludf.DUMMYFUNCTION("""COMPUTED_VALUE"""),0.0)</f>
        <v>0</v>
      </c>
      <c r="BJ59" s="16">
        <f>IFERROR(__xludf.DUMMYFUNCTION("""COMPUTED_VALUE"""),4.0)</f>
        <v>4</v>
      </c>
      <c r="BK59" s="16">
        <f>IFERROR(__xludf.DUMMYFUNCTION("""COMPUTED_VALUE"""),0.0)</f>
        <v>0</v>
      </c>
      <c r="BL59" s="16">
        <f>IFERROR(__xludf.DUMMYFUNCTION("""COMPUTED_VALUE"""),0.0)</f>
        <v>0</v>
      </c>
      <c r="BM59" s="16">
        <f>IFERROR(__xludf.DUMMYFUNCTION("""COMPUTED_VALUE"""),1.0)</f>
        <v>1</v>
      </c>
      <c r="BN59" s="16">
        <f>IFERROR(__xludf.DUMMYFUNCTION("""COMPUTED_VALUE"""),1.0)</f>
        <v>1</v>
      </c>
      <c r="BO59" s="16">
        <f>IFERROR(__xludf.DUMMYFUNCTION("""COMPUTED_VALUE"""),1.0)</f>
        <v>1</v>
      </c>
      <c r="BP59" s="16">
        <f>IFERROR(__xludf.DUMMYFUNCTION("""COMPUTED_VALUE"""),1.0)</f>
        <v>1</v>
      </c>
      <c r="BQ59" s="16">
        <f>IFERROR(__xludf.DUMMYFUNCTION("""COMPUTED_VALUE"""),0.0)</f>
        <v>0</v>
      </c>
      <c r="BR59" s="16">
        <f>IFERROR(__xludf.DUMMYFUNCTION("""COMPUTED_VALUE"""),0.0)</f>
        <v>0</v>
      </c>
      <c r="BS59" s="16">
        <f>IFERROR(__xludf.DUMMYFUNCTION("""COMPUTED_VALUE"""),-3.0)</f>
        <v>-3</v>
      </c>
      <c r="BT59" s="16">
        <f>IFERROR(__xludf.DUMMYFUNCTION("""COMPUTED_VALUE"""),-3.0)</f>
        <v>-3</v>
      </c>
      <c r="BU59" s="16">
        <f>IFERROR(__xludf.DUMMYFUNCTION("""COMPUTED_VALUE"""),-6.0)</f>
        <v>-6</v>
      </c>
      <c r="BV59" s="16">
        <f>IFERROR(__xludf.DUMMYFUNCTION("""COMPUTED_VALUE"""),-6.0)</f>
        <v>-6</v>
      </c>
      <c r="BW59" s="16">
        <f>IFERROR(__xludf.DUMMYFUNCTION("""COMPUTED_VALUE"""),0.0)</f>
        <v>0</v>
      </c>
      <c r="BX59" s="16">
        <f>IFERROR(__xludf.DUMMYFUNCTION("""COMPUTED_VALUE"""),0.0)</f>
        <v>0</v>
      </c>
      <c r="BY59" s="16" t="str">
        <f>IFERROR(__xludf.DUMMYFUNCTION("""COMPUTED_VALUE"""),"R(1) C(2)")</f>
        <v>R(1) C(2)</v>
      </c>
      <c r="BZ59" s="16" t="str">
        <f>IFERROR(__xludf.DUMMYFUNCTION("""COMPUTED_VALUE"""),"R(1) C(2)")</f>
        <v>R(1) C(2)</v>
      </c>
      <c r="CA59" s="16" t="str">
        <f>IFERROR(__xludf.DUMMYFUNCTION("""COMPUTED_VALUE"""),"R(1)")</f>
        <v>R(1)</v>
      </c>
      <c r="CB59" s="16" t="str">
        <f>IFERROR(__xludf.DUMMYFUNCTION("""COMPUTED_VALUE"""),"C(2)")</f>
        <v>C(2)</v>
      </c>
      <c r="CC59" s="16"/>
      <c r="CD59" s="16"/>
      <c r="CE59" s="16">
        <f>IFERROR(__xludf.DUMMYFUNCTION("""COMPUTED_VALUE"""),1.0)</f>
        <v>1</v>
      </c>
      <c r="CF59" s="16">
        <f>IFERROR(__xludf.DUMMYFUNCTION("""COMPUTED_VALUE"""),2.0)</f>
        <v>2</v>
      </c>
      <c r="CG59" s="16" t="str">
        <f>IFERROR(__xludf.DUMMYFUNCTION("""COMPUTED_VALUE"""),"3-22")</f>
        <v>3-22</v>
      </c>
      <c r="CH59" s="16">
        <f>IFERROR(__xludf.DUMMYFUNCTION("""COMPUTED_VALUE"""),3.0)</f>
        <v>3</v>
      </c>
      <c r="CI59" s="16">
        <f>IFERROR(__xludf.DUMMYFUNCTION("""COMPUTED_VALUE"""),22.0)</f>
        <v>22</v>
      </c>
      <c r="CJ59" s="16">
        <f>IFERROR(__xludf.DUMMYFUNCTION("""COMPUTED_VALUE"""),0.0)</f>
        <v>0</v>
      </c>
      <c r="CK59" s="16">
        <f>IFERROR(__xludf.DUMMYFUNCTION("""COMPUTED_VALUE"""),6.0)</f>
        <v>6</v>
      </c>
      <c r="CL59" s="16" t="str">
        <f>IFERROR(__xludf.DUMMYFUNCTION("""COMPUTED_VALUE"""),"1WL-C")</f>
        <v>1WL-C</v>
      </c>
      <c r="CM59" s="16" t="str">
        <f>IFERROR(__xludf.DUMMYFUNCTION("""COMPUTED_VALUE"""),"E")</f>
        <v>E</v>
      </c>
      <c r="CN59" s="16">
        <f>IFERROR(__xludf.DUMMYFUNCTION("""COMPUTED_VALUE"""),10.0)</f>
        <v>10</v>
      </c>
      <c r="CO59" s="16" t="str">
        <f>IFERROR(__xludf.DUMMYFUNCTION("""COMPUTED_VALUE"""),"C")</f>
        <v>C</v>
      </c>
      <c r="CP59" s="16" t="str">
        <f>IFERROR(__xludf.DUMMYFUNCTION("""COMPUTED_VALUE"""),"1p60")</f>
        <v>1p60</v>
      </c>
      <c r="CQ59" s="16">
        <f>IFERROR(__xludf.DUMMYFUNCTION("""COMPUTED_VALUE"""),18.0)</f>
        <v>18</v>
      </c>
      <c r="CR59" s="16">
        <f>IFERROR(__xludf.DUMMYFUNCTION("""COMPUTED_VALUE"""),32.0)</f>
        <v>32</v>
      </c>
      <c r="CS59" s="16">
        <f>IFERROR(__xludf.DUMMYFUNCTION("""COMPUTED_VALUE"""),50.0)</f>
        <v>50</v>
      </c>
      <c r="CT59" s="16">
        <f>IFERROR(__xludf.DUMMYFUNCTION("""COMPUTED_VALUE"""),18.0)</f>
        <v>18</v>
      </c>
      <c r="CU59" s="16">
        <f>IFERROR(__xludf.DUMMYFUNCTION("""COMPUTED_VALUE"""),32.0)</f>
        <v>32</v>
      </c>
      <c r="CV59" s="179">
        <f>IFERROR(__xludf.DUMMYFUNCTION("""COMPUTED_VALUE"""),27.666666666666668)</f>
        <v>27.66666667</v>
      </c>
      <c r="CW59" s="179">
        <f>IFERROR(__xludf.DUMMYFUNCTION("""COMPUTED_VALUE"""),4.0)</f>
        <v>4</v>
      </c>
      <c r="CX59" s="179">
        <f>IFERROR(__xludf.DUMMYFUNCTION("""COMPUTED_VALUE"""),1.0)</f>
        <v>1</v>
      </c>
      <c r="CY59" s="16" t="str">
        <f>IFERROR(__xludf.DUMMYFUNCTION("""COMPUTED_VALUE"""),"RP")</f>
        <v>RP</v>
      </c>
      <c r="CZ59" s="16" t="str">
        <f>IFERROR(__xludf.DUMMYFUNCTION("""COMPUTED_VALUE"""),"CP")</f>
        <v>CP</v>
      </c>
      <c r="DA59" s="16"/>
      <c r="DB59" s="16"/>
      <c r="DC59" s="16"/>
      <c r="DD59" s="16"/>
      <c r="DE59" s="16"/>
      <c r="DF59" s="16"/>
      <c r="DG59" s="16"/>
      <c r="DH59" s="16"/>
      <c r="DI59" s="16"/>
      <c r="DJ59" s="16"/>
      <c r="DK59" s="16"/>
    </row>
    <row r="60">
      <c r="A60" s="16">
        <f>IFERROR(__xludf.DUMMYFUNCTION("""COMPUTED_VALUE"""),12967.0)</f>
        <v>12967</v>
      </c>
      <c r="B60" s="16" t="str">
        <f>IFERROR(__xludf.DUMMYFUNCTION("""COMPUTED_VALUE"""),"Joe Mantiply")</f>
        <v>Joe Mantiply</v>
      </c>
      <c r="C60" s="153">
        <f>IFERROR(__xludf.DUMMYFUNCTION("""COMPUTED_VALUE"""),0.48)</f>
        <v>0.48</v>
      </c>
      <c r="D60" s="16"/>
      <c r="E60" s="16" t="str">
        <f>IFERROR(__xludf.DUMMYFUNCTION("""COMPUTED_VALUE"""),"L")</f>
        <v>L</v>
      </c>
      <c r="F60" s="16">
        <f>IFERROR(__xludf.DUMMYFUNCTION("""COMPUTED_VALUE"""),60.0)</f>
        <v>60</v>
      </c>
      <c r="G60" s="16">
        <f>IFERROR(__xludf.DUMMYFUNCTION("""COMPUTED_VALUE"""),27.0)</f>
        <v>27</v>
      </c>
      <c r="H60" s="16">
        <f>IFERROR(__xludf.DUMMYFUNCTION("""COMPUTED_VALUE"""),20.0)</f>
        <v>20</v>
      </c>
      <c r="I60" s="16">
        <f>IFERROR(__xludf.DUMMYFUNCTION("""COMPUTED_VALUE"""),0.0)</f>
        <v>0</v>
      </c>
      <c r="J60" s="16">
        <f>IFERROR(__xludf.DUMMYFUNCTION("""COMPUTED_VALUE"""),-1.0)</f>
        <v>-1</v>
      </c>
      <c r="K60" s="16">
        <f>IFERROR(__xludf.DUMMYFUNCTION("""COMPUTED_VALUE"""),0.0)</f>
        <v>0</v>
      </c>
      <c r="L60" s="16">
        <f>IFERROR(__xludf.DUMMYFUNCTION("""COMPUTED_VALUE"""),-3.0)</f>
        <v>-3</v>
      </c>
      <c r="M60" s="16">
        <f>IFERROR(__xludf.DUMMYFUNCTION("""COMPUTED_VALUE"""),0.0)</f>
        <v>0</v>
      </c>
      <c r="N60" s="16">
        <f>IFERROR(__xludf.DUMMYFUNCTION("""COMPUTED_VALUE"""),4.0)</f>
        <v>4</v>
      </c>
      <c r="O60" s="16">
        <f>IFERROR(__xludf.DUMMYFUNCTION("""COMPUTED_VALUE"""),3.0)</f>
        <v>3</v>
      </c>
      <c r="P60" s="16">
        <f>IFERROR(__xludf.DUMMYFUNCTION("""COMPUTED_VALUE"""),2.0)</f>
        <v>2</v>
      </c>
      <c r="Q60" s="16">
        <f>IFERROR(__xludf.DUMMYFUNCTION("""COMPUTED_VALUE"""),3.0)</f>
        <v>3</v>
      </c>
      <c r="R60" s="16">
        <f>IFERROR(__xludf.DUMMYFUNCTION("""COMPUTED_VALUE"""),2.0)</f>
        <v>2</v>
      </c>
      <c r="S60" s="16">
        <f>IFERROR(__xludf.DUMMYFUNCTION("""COMPUTED_VALUE"""),12.1)</f>
        <v>12.1</v>
      </c>
      <c r="T60" s="16">
        <f>IFERROR(__xludf.DUMMYFUNCTION("""COMPUTED_VALUE"""),19.5)</f>
        <v>19.5</v>
      </c>
      <c r="U60" s="16">
        <f>IFERROR(__xludf.DUMMYFUNCTION("""COMPUTED_VALUE"""),1.0)</f>
        <v>1</v>
      </c>
      <c r="V60" s="16">
        <f>IFERROR(__xludf.DUMMYFUNCTION("""COMPUTED_VALUE"""),-1.0)</f>
        <v>-1</v>
      </c>
      <c r="W60" s="16">
        <f>IFERROR(__xludf.DUMMYFUNCTION("""COMPUTED_VALUE"""),2.0)</f>
        <v>2</v>
      </c>
      <c r="X60" s="16">
        <f>IFERROR(__xludf.DUMMYFUNCTION("""COMPUTED_VALUE"""),-2.0)</f>
        <v>-2</v>
      </c>
      <c r="Y60" s="16">
        <f>IFERROR(__xludf.DUMMYFUNCTION("""COMPUTED_VALUE"""),12.1)</f>
        <v>12.1</v>
      </c>
      <c r="Z60" s="16">
        <f>IFERROR(__xludf.DUMMYFUNCTION("""COMPUTED_VALUE"""),23.5)</f>
        <v>23.5</v>
      </c>
      <c r="AA60" s="16">
        <f>IFERROR(__xludf.DUMMYFUNCTION("""COMPUTED_VALUE"""),2.0)</f>
        <v>2</v>
      </c>
      <c r="AB60" s="16">
        <f>IFERROR(__xludf.DUMMYFUNCTION("""COMPUTED_VALUE"""),0.0)</f>
        <v>0</v>
      </c>
      <c r="AC60" s="16">
        <f>IFERROR(__xludf.DUMMYFUNCTION("""COMPUTED_VALUE"""),10.0)</f>
        <v>10</v>
      </c>
      <c r="AD60" s="16">
        <f>IFERROR(__xludf.DUMMYFUNCTION("""COMPUTED_VALUE"""),0.0)</f>
        <v>0</v>
      </c>
      <c r="AE60" s="16">
        <f>IFERROR(__xludf.DUMMYFUNCTION("""COMPUTED_VALUE"""),25.2)</f>
        <v>25.2</v>
      </c>
      <c r="AF60" s="16">
        <f>IFERROR(__xludf.DUMMYFUNCTION("""COMPUTED_VALUE"""),35.3)</f>
        <v>35.3</v>
      </c>
      <c r="AG60" s="16">
        <f>IFERROR(__xludf.DUMMYFUNCTION("""COMPUTED_VALUE"""),0.0)</f>
        <v>0</v>
      </c>
      <c r="AH60" s="16">
        <f>IFERROR(__xludf.DUMMYFUNCTION("""COMPUTED_VALUE"""),-1.0)</f>
        <v>-1</v>
      </c>
      <c r="AI60" s="16">
        <f>IFERROR(__xludf.DUMMYFUNCTION("""COMPUTED_VALUE"""),0.0)</f>
        <v>0</v>
      </c>
      <c r="AJ60" s="16">
        <f>IFERROR(__xludf.DUMMYFUNCTION("""COMPUTED_VALUE"""),-2.0)</f>
        <v>-2</v>
      </c>
      <c r="AK60" s="16">
        <f>IFERROR(__xludf.DUMMYFUNCTION("""COMPUTED_VALUE"""),12.1)</f>
        <v>12.1</v>
      </c>
      <c r="AL60" s="16">
        <f>IFERROR(__xludf.DUMMYFUNCTION("""COMPUTED_VALUE"""),19.5)</f>
        <v>19.5</v>
      </c>
      <c r="AM60" s="16">
        <f>IFERROR(__xludf.DUMMYFUNCTION("""COMPUTED_VALUE"""),0.0)</f>
        <v>0</v>
      </c>
      <c r="AN60" s="16">
        <f>IFERROR(__xludf.DUMMYFUNCTION("""COMPUTED_VALUE"""),-1.0)</f>
        <v>-1</v>
      </c>
      <c r="AO60" s="16">
        <f>IFERROR(__xludf.DUMMYFUNCTION("""COMPUTED_VALUE"""),0.0)</f>
        <v>0</v>
      </c>
      <c r="AP60" s="16">
        <f>IFERROR(__xludf.DUMMYFUNCTION("""COMPUTED_VALUE"""),-1.0)</f>
        <v>-1</v>
      </c>
      <c r="AQ60" s="16">
        <f>IFERROR(__xludf.DUMMYFUNCTION("""COMPUTED_VALUE"""),25.2)</f>
        <v>25.2</v>
      </c>
      <c r="AR60" s="16">
        <f>IFERROR(__xludf.DUMMYFUNCTION("""COMPUTED_VALUE"""),35.3)</f>
        <v>35.3</v>
      </c>
      <c r="AS60" s="16">
        <f>IFERROR(__xludf.DUMMYFUNCTION("""COMPUTED_VALUE"""),-1.0)</f>
        <v>-1</v>
      </c>
      <c r="AT60" s="16">
        <f>IFERROR(__xludf.DUMMYFUNCTION("""COMPUTED_VALUE"""),-2.0)</f>
        <v>-2</v>
      </c>
      <c r="AU60" s="16">
        <f>IFERROR(__xludf.DUMMYFUNCTION("""COMPUTED_VALUE"""),-2.0)</f>
        <v>-2</v>
      </c>
      <c r="AV60" s="16">
        <f>IFERROR(__xludf.DUMMYFUNCTION("""COMPUTED_VALUE"""),-4.0)</f>
        <v>-4</v>
      </c>
      <c r="AW60" s="16">
        <f>IFERROR(__xludf.DUMMYFUNCTION("""COMPUTED_VALUE"""),0.0)</f>
        <v>0</v>
      </c>
      <c r="AX60" s="16">
        <f>IFERROR(__xludf.DUMMYFUNCTION("""COMPUTED_VALUE"""),0.0)</f>
        <v>0</v>
      </c>
      <c r="AY60" s="16">
        <f>IFERROR(__xludf.DUMMYFUNCTION("""COMPUTED_VALUE"""),2.0)</f>
        <v>2</v>
      </c>
      <c r="AZ60" s="16">
        <f>IFERROR(__xludf.DUMMYFUNCTION("""COMPUTED_VALUE"""),2.0)</f>
        <v>2</v>
      </c>
      <c r="BA60" s="16">
        <f>IFERROR(__xludf.DUMMYFUNCTION("""COMPUTED_VALUE"""),10.0)</f>
        <v>10</v>
      </c>
      <c r="BB60" s="16">
        <f>IFERROR(__xludf.DUMMYFUNCTION("""COMPUTED_VALUE"""),10.0)</f>
        <v>10</v>
      </c>
      <c r="BC60" s="16">
        <f>IFERROR(__xludf.DUMMYFUNCTION("""COMPUTED_VALUE"""),0.0)</f>
        <v>0</v>
      </c>
      <c r="BD60" s="16">
        <f>IFERROR(__xludf.DUMMYFUNCTION("""COMPUTED_VALUE"""),0.0)</f>
        <v>0</v>
      </c>
      <c r="BE60" s="16">
        <f>IFERROR(__xludf.DUMMYFUNCTION("""COMPUTED_VALUE"""),0.0)</f>
        <v>0</v>
      </c>
      <c r="BF60" s="16">
        <f>IFERROR(__xludf.DUMMYFUNCTION("""COMPUTED_VALUE"""),0.0)</f>
        <v>0</v>
      </c>
      <c r="BG60" s="16">
        <f>IFERROR(__xludf.DUMMYFUNCTION("""COMPUTED_VALUE"""),3.0)</f>
        <v>3</v>
      </c>
      <c r="BH60" s="16">
        <f>IFERROR(__xludf.DUMMYFUNCTION("""COMPUTED_VALUE"""),2.0)</f>
        <v>2</v>
      </c>
      <c r="BI60" s="16">
        <f>IFERROR(__xludf.DUMMYFUNCTION("""COMPUTED_VALUE"""),6.0)</f>
        <v>6</v>
      </c>
      <c r="BJ60" s="16">
        <f>IFERROR(__xludf.DUMMYFUNCTION("""COMPUTED_VALUE"""),4.0)</f>
        <v>4</v>
      </c>
      <c r="BK60" s="16">
        <f>IFERROR(__xludf.DUMMYFUNCTION("""COMPUTED_VALUE"""),5.0)</f>
        <v>5</v>
      </c>
      <c r="BL60" s="16">
        <f>IFERROR(__xludf.DUMMYFUNCTION("""COMPUTED_VALUE"""),5.0)</f>
        <v>5</v>
      </c>
      <c r="BM60" s="16">
        <f>IFERROR(__xludf.DUMMYFUNCTION("""COMPUTED_VALUE"""),0.0)</f>
        <v>0</v>
      </c>
      <c r="BN60" s="16">
        <f>IFERROR(__xludf.DUMMYFUNCTION("""COMPUTED_VALUE"""),0.0)</f>
        <v>0</v>
      </c>
      <c r="BO60" s="16">
        <f>IFERROR(__xludf.DUMMYFUNCTION("""COMPUTED_VALUE"""),0.0)</f>
        <v>0</v>
      </c>
      <c r="BP60" s="16">
        <f>IFERROR(__xludf.DUMMYFUNCTION("""COMPUTED_VALUE"""),0.0)</f>
        <v>0</v>
      </c>
      <c r="BQ60" s="16">
        <f>IFERROR(__xludf.DUMMYFUNCTION("""COMPUTED_VALUE"""),12.0)</f>
        <v>12</v>
      </c>
      <c r="BR60" s="16">
        <f>IFERROR(__xludf.DUMMYFUNCTION("""COMPUTED_VALUE"""),12.0)</f>
        <v>12</v>
      </c>
      <c r="BS60" s="16">
        <f>IFERROR(__xludf.DUMMYFUNCTION("""COMPUTED_VALUE"""),3.0)</f>
        <v>3</v>
      </c>
      <c r="BT60" s="16">
        <f>IFERROR(__xludf.DUMMYFUNCTION("""COMPUTED_VALUE"""),3.0)</f>
        <v>3</v>
      </c>
      <c r="BU60" s="16">
        <f>IFERROR(__xludf.DUMMYFUNCTION("""COMPUTED_VALUE"""),6.0)</f>
        <v>6</v>
      </c>
      <c r="BV60" s="16">
        <f>IFERROR(__xludf.DUMMYFUNCTION("""COMPUTED_VALUE"""),6.0)</f>
        <v>6</v>
      </c>
      <c r="BW60" s="16">
        <f>IFERROR(__xludf.DUMMYFUNCTION("""COMPUTED_VALUE"""),4.0)</f>
        <v>4</v>
      </c>
      <c r="BX60" s="16">
        <f>IFERROR(__xludf.DUMMYFUNCTION("""COMPUTED_VALUE"""),4.0)</f>
        <v>4</v>
      </c>
      <c r="BY60" s="16" t="str">
        <f>IFERROR(__xludf.DUMMYFUNCTION("""COMPUTED_VALUE"""),"S(1) R(1) C(0)")</f>
        <v>S(1) R(1) C(0)</v>
      </c>
      <c r="BZ60" s="16" t="str">
        <f>IFERROR(__xludf.DUMMYFUNCTION("""COMPUTED_VALUE"""),"S(1) R(1) C(0)")</f>
        <v>S(1) R(1) C(0)</v>
      </c>
      <c r="CA60" s="16" t="str">
        <f>IFERROR(__xludf.DUMMYFUNCTION("""COMPUTED_VALUE"""),"S(1)")</f>
        <v>S(1)</v>
      </c>
      <c r="CB60" s="16" t="str">
        <f>IFERROR(__xludf.DUMMYFUNCTION("""COMPUTED_VALUE"""),"R(1)")</f>
        <v>R(1)</v>
      </c>
      <c r="CC60" s="16" t="str">
        <f>IFERROR(__xludf.DUMMYFUNCTION("""COMPUTED_VALUE"""),"C(0)")</f>
        <v>C(0)</v>
      </c>
      <c r="CD60" s="16">
        <f>IFERROR(__xludf.DUMMYFUNCTION("""COMPUTED_VALUE"""),1.0)</f>
        <v>1</v>
      </c>
      <c r="CE60" s="16">
        <f>IFERROR(__xludf.DUMMYFUNCTION("""COMPUTED_VALUE"""),1.0)</f>
        <v>1</v>
      </c>
      <c r="CF60" s="16">
        <f>IFERROR(__xludf.DUMMYFUNCTION("""COMPUTED_VALUE"""),0.0)</f>
        <v>0</v>
      </c>
      <c r="CG60" s="16" t="str">
        <f>IFERROR(__xludf.DUMMYFUNCTION("""COMPUTED_VALUE"""),"4-24")</f>
        <v>4-24</v>
      </c>
      <c r="CH60" s="16">
        <f>IFERROR(__xludf.DUMMYFUNCTION("""COMPUTED_VALUE"""),4.0)</f>
        <v>4</v>
      </c>
      <c r="CI60" s="16">
        <f>IFERROR(__xludf.DUMMYFUNCTION("""COMPUTED_VALUE"""),24.0)</f>
        <v>24</v>
      </c>
      <c r="CJ60" s="16">
        <f>IFERROR(__xludf.DUMMYFUNCTION("""COMPUTED_VALUE"""),5.0)</f>
        <v>5</v>
      </c>
      <c r="CK60" s="16">
        <f>IFERROR(__xludf.DUMMYFUNCTION("""COMPUTED_VALUE"""),11.0)</f>
        <v>11</v>
      </c>
      <c r="CL60" s="16" t="str">
        <f>IFERROR(__xludf.DUMMYFUNCTION("""COMPUTED_VALUE"""),"1WR-C")</f>
        <v>1WR-C</v>
      </c>
      <c r="CM60" s="16" t="str">
        <f>IFERROR(__xludf.DUMMYFUNCTION("""COMPUTED_VALUE"""),"E")</f>
        <v>E</v>
      </c>
      <c r="CN60" s="16">
        <f>IFERROR(__xludf.DUMMYFUNCTION("""COMPUTED_VALUE"""),10.0)</f>
        <v>10</v>
      </c>
      <c r="CO60" s="16" t="str">
        <f>IFERROR(__xludf.DUMMYFUNCTION("""COMPUTED_VALUE"""),"C")</f>
        <v>C</v>
      </c>
      <c r="CP60" s="16" t="str">
        <f>IFERROR(__xludf.DUMMYFUNCTION("""COMPUTED_VALUE"""),"0p72")</f>
        <v>0p72</v>
      </c>
      <c r="CQ60" s="16">
        <f>IFERROR(__xludf.DUMMYFUNCTION("""COMPUTED_VALUE"""),35.0)</f>
        <v>35</v>
      </c>
      <c r="CR60" s="16">
        <f>IFERROR(__xludf.DUMMYFUNCTION("""COMPUTED_VALUE"""),10.0)</f>
        <v>10</v>
      </c>
      <c r="CS60" s="16">
        <f>IFERROR(__xludf.DUMMYFUNCTION("""COMPUTED_VALUE"""),45.0)</f>
        <v>45</v>
      </c>
      <c r="CT60" s="16">
        <f>IFERROR(__xludf.DUMMYFUNCTION("""COMPUTED_VALUE"""),35.0)</f>
        <v>35</v>
      </c>
      <c r="CU60" s="16">
        <f>IFERROR(__xludf.DUMMYFUNCTION("""COMPUTED_VALUE"""),10.0)</f>
        <v>10</v>
      </c>
      <c r="CV60" s="179">
        <f>IFERROR(__xludf.DUMMYFUNCTION("""COMPUTED_VALUE"""),27.333333333333332)</f>
        <v>27.33333333</v>
      </c>
      <c r="CW60" s="179">
        <f>IFERROR(__xludf.DUMMYFUNCTION("""COMPUTED_VALUE"""),5.0)</f>
        <v>5</v>
      </c>
      <c r="CX60" s="179">
        <f>IFERROR(__xludf.DUMMYFUNCTION("""COMPUTED_VALUE"""),4.0)</f>
        <v>4</v>
      </c>
      <c r="CY60" s="16" t="str">
        <f>IFERROR(__xludf.DUMMYFUNCTION("""COMPUTED_VALUE"""),"SP")</f>
        <v>SP</v>
      </c>
      <c r="CZ60" s="16" t="str">
        <f>IFERROR(__xludf.DUMMYFUNCTION("""COMPUTED_VALUE"""),"RP")</f>
        <v>RP</v>
      </c>
      <c r="DA60" s="16" t="str">
        <f>IFERROR(__xludf.DUMMYFUNCTION("""COMPUTED_VALUE"""),"CP")</f>
        <v>CP</v>
      </c>
      <c r="DB60" s="16"/>
      <c r="DC60" s="16"/>
      <c r="DD60" s="16"/>
      <c r="DE60" s="16"/>
      <c r="DF60" s="16"/>
      <c r="DG60" s="16"/>
      <c r="DH60" s="16"/>
      <c r="DI60" s="16"/>
      <c r="DJ60" s="16"/>
      <c r="DK60" s="16"/>
    </row>
    <row r="61">
      <c r="A61" s="16">
        <f>IFERROR(__xludf.DUMMYFUNCTION("""COMPUTED_VALUE"""),12512.0)</f>
        <v>12512</v>
      </c>
      <c r="B61" s="16" t="str">
        <f>IFERROR(__xludf.DUMMYFUNCTION("""COMPUTED_VALUE"""),"AJ Puk")</f>
        <v>AJ Puk</v>
      </c>
      <c r="C61" s="153">
        <f>IFERROR(__xludf.DUMMYFUNCTION("""COMPUTED_VALUE"""),1.41)</f>
        <v>1.41</v>
      </c>
      <c r="D61" s="16"/>
      <c r="E61" s="16" t="str">
        <f>IFERROR(__xludf.DUMMYFUNCTION("""COMPUTED_VALUE"""),"L")</f>
        <v>L</v>
      </c>
      <c r="F61" s="16">
        <f>IFERROR(__xludf.DUMMYFUNCTION("""COMPUTED_VALUE"""),71.0)</f>
        <v>71</v>
      </c>
      <c r="G61" s="16">
        <f>IFERROR(__xludf.DUMMYFUNCTION("""COMPUTED_VALUE"""),51.0)</f>
        <v>51</v>
      </c>
      <c r="H61" s="16">
        <f>IFERROR(__xludf.DUMMYFUNCTION("""COMPUTED_VALUE"""),36.0)</f>
        <v>36</v>
      </c>
      <c r="I61" s="16">
        <f>IFERROR(__xludf.DUMMYFUNCTION("""COMPUTED_VALUE"""),3.0)</f>
        <v>3</v>
      </c>
      <c r="J61" s="16">
        <f>IFERROR(__xludf.DUMMYFUNCTION("""COMPUTED_VALUE"""),1.0)</f>
        <v>1</v>
      </c>
      <c r="K61" s="16">
        <f>IFERROR(__xludf.DUMMYFUNCTION("""COMPUTED_VALUE"""),9.0)</f>
        <v>9</v>
      </c>
      <c r="L61" s="16">
        <f>IFERROR(__xludf.DUMMYFUNCTION("""COMPUTED_VALUE"""),3.0)</f>
        <v>3</v>
      </c>
      <c r="M61" s="16">
        <f>IFERROR(__xludf.DUMMYFUNCTION("""COMPUTED_VALUE"""),2.0)</f>
        <v>2</v>
      </c>
      <c r="N61" s="16">
        <f>IFERROR(__xludf.DUMMYFUNCTION("""COMPUTED_VALUE"""),15.0)</f>
        <v>15</v>
      </c>
      <c r="O61" s="16">
        <f>IFERROR(__xludf.DUMMYFUNCTION("""COMPUTED_VALUE"""),2.0)</f>
        <v>2</v>
      </c>
      <c r="P61" s="16">
        <f>IFERROR(__xludf.DUMMYFUNCTION("""COMPUTED_VALUE"""),-3.0)</f>
        <v>-3</v>
      </c>
      <c r="Q61" s="16">
        <f>IFERROR(__xludf.DUMMYFUNCTION("""COMPUTED_VALUE"""),2.0)</f>
        <v>2</v>
      </c>
      <c r="R61" s="16">
        <f>IFERROR(__xludf.DUMMYFUNCTION("""COMPUTED_VALUE"""),-3.0)</f>
        <v>-3</v>
      </c>
      <c r="S61" s="16">
        <f>IFERROR(__xludf.DUMMYFUNCTION("""COMPUTED_VALUE"""),7.4)</f>
        <v>7.4</v>
      </c>
      <c r="T61" s="16">
        <f>IFERROR(__xludf.DUMMYFUNCTION("""COMPUTED_VALUE"""),10.8)</f>
        <v>10.8</v>
      </c>
      <c r="U61" s="16">
        <f>IFERROR(__xludf.DUMMYFUNCTION("""COMPUTED_VALUE"""),1.0)</f>
        <v>1</v>
      </c>
      <c r="V61" s="16">
        <f>IFERROR(__xludf.DUMMYFUNCTION("""COMPUTED_VALUE"""),1.0)</f>
        <v>1</v>
      </c>
      <c r="W61" s="16">
        <f>IFERROR(__xludf.DUMMYFUNCTION("""COMPUTED_VALUE"""),2.0)</f>
        <v>2</v>
      </c>
      <c r="X61" s="16">
        <f>IFERROR(__xludf.DUMMYFUNCTION("""COMPUTED_VALUE"""),2.0)</f>
        <v>2</v>
      </c>
      <c r="Y61" s="16">
        <f>IFERROR(__xludf.DUMMYFUNCTION("""COMPUTED_VALUE"""),9.4)</f>
        <v>9.4</v>
      </c>
      <c r="Z61" s="16">
        <f>IFERROR(__xludf.DUMMYFUNCTION("""COMPUTED_VALUE"""),25.8)</f>
        <v>25.8</v>
      </c>
      <c r="AA61" s="16">
        <f>IFERROR(__xludf.DUMMYFUNCTION("""COMPUTED_VALUE"""),2.0)</f>
        <v>2</v>
      </c>
      <c r="AB61" s="16">
        <f>IFERROR(__xludf.DUMMYFUNCTION("""COMPUTED_VALUE"""),0.0)</f>
        <v>0</v>
      </c>
      <c r="AC61" s="16">
        <f>IFERROR(__xludf.DUMMYFUNCTION("""COMPUTED_VALUE"""),10.0)</f>
        <v>10</v>
      </c>
      <c r="AD61" s="16">
        <f>IFERROR(__xludf.DUMMYFUNCTION("""COMPUTED_VALUE"""),0.0)</f>
        <v>0</v>
      </c>
      <c r="AE61" s="16">
        <f>IFERROR(__xludf.DUMMYFUNCTION("""COMPUTED_VALUE"""),14.3)</f>
        <v>14.3</v>
      </c>
      <c r="AF61" s="16">
        <f>IFERROR(__xludf.DUMMYFUNCTION("""COMPUTED_VALUE"""),22.7)</f>
        <v>22.7</v>
      </c>
      <c r="AG61" s="16">
        <f>IFERROR(__xludf.DUMMYFUNCTION("""COMPUTED_VALUE"""),1.0)</f>
        <v>1</v>
      </c>
      <c r="AH61" s="16">
        <f>IFERROR(__xludf.DUMMYFUNCTION("""COMPUTED_VALUE"""),1.0)</f>
        <v>1</v>
      </c>
      <c r="AI61" s="16">
        <f>IFERROR(__xludf.DUMMYFUNCTION("""COMPUTED_VALUE"""),2.0)</f>
        <v>2</v>
      </c>
      <c r="AJ61" s="16">
        <f>IFERROR(__xludf.DUMMYFUNCTION("""COMPUTED_VALUE"""),2.0)</f>
        <v>2</v>
      </c>
      <c r="AK61" s="16">
        <f>IFERROR(__xludf.DUMMYFUNCTION("""COMPUTED_VALUE"""),7.4)</f>
        <v>7.4</v>
      </c>
      <c r="AL61" s="16">
        <f>IFERROR(__xludf.DUMMYFUNCTION("""COMPUTED_VALUE"""),10.200000000000001)</f>
        <v>10.2</v>
      </c>
      <c r="AM61" s="16">
        <f>IFERROR(__xludf.DUMMYFUNCTION("""COMPUTED_VALUE"""),1.0)</f>
        <v>1</v>
      </c>
      <c r="AN61" s="16">
        <f>IFERROR(__xludf.DUMMYFUNCTION("""COMPUTED_VALUE"""),1.0)</f>
        <v>1</v>
      </c>
      <c r="AO61" s="16">
        <f>IFERROR(__xludf.DUMMYFUNCTION("""COMPUTED_VALUE"""),1.0)</f>
        <v>1</v>
      </c>
      <c r="AP61" s="16">
        <f>IFERROR(__xludf.DUMMYFUNCTION("""COMPUTED_VALUE"""),1.0)</f>
        <v>1</v>
      </c>
      <c r="AQ61" s="16">
        <f>IFERROR(__xludf.DUMMYFUNCTION("""COMPUTED_VALUE"""),14.3)</f>
        <v>14.3</v>
      </c>
      <c r="AR61" s="16">
        <f>IFERROR(__xludf.DUMMYFUNCTION("""COMPUTED_VALUE"""),20.3)</f>
        <v>20.3</v>
      </c>
      <c r="AS61" s="16">
        <f>IFERROR(__xludf.DUMMYFUNCTION("""COMPUTED_VALUE"""),1.0)</f>
        <v>1</v>
      </c>
      <c r="AT61" s="16">
        <f>IFERROR(__xludf.DUMMYFUNCTION("""COMPUTED_VALUE"""),0.0)</f>
        <v>0</v>
      </c>
      <c r="AU61" s="16">
        <f>IFERROR(__xludf.DUMMYFUNCTION("""COMPUTED_VALUE"""),2.0)</f>
        <v>2</v>
      </c>
      <c r="AV61" s="16">
        <f>IFERROR(__xludf.DUMMYFUNCTION("""COMPUTED_VALUE"""),0.0)</f>
        <v>0</v>
      </c>
      <c r="AW61" s="16">
        <f>IFERROR(__xludf.DUMMYFUNCTION("""COMPUTED_VALUE"""),0.0)</f>
        <v>0</v>
      </c>
      <c r="AX61" s="16">
        <f>IFERROR(__xludf.DUMMYFUNCTION("""COMPUTED_VALUE"""),0.6)</f>
        <v>0.6</v>
      </c>
      <c r="AY61" s="16">
        <f>IFERROR(__xludf.DUMMYFUNCTION("""COMPUTED_VALUE"""),2.0)</f>
        <v>2</v>
      </c>
      <c r="AZ61" s="16">
        <f>IFERROR(__xludf.DUMMYFUNCTION("""COMPUTED_VALUE"""),2.0)</f>
        <v>2</v>
      </c>
      <c r="BA61" s="16">
        <f>IFERROR(__xludf.DUMMYFUNCTION("""COMPUTED_VALUE"""),10.0)</f>
        <v>10</v>
      </c>
      <c r="BB61" s="16">
        <f>IFERROR(__xludf.DUMMYFUNCTION("""COMPUTED_VALUE"""),10.0)</f>
        <v>10</v>
      </c>
      <c r="BC61" s="16"/>
      <c r="BD61" s="16"/>
      <c r="BE61" s="16">
        <f>IFERROR(__xludf.DUMMYFUNCTION("""COMPUTED_VALUE"""),0.0)</f>
        <v>0</v>
      </c>
      <c r="BF61" s="16">
        <f>IFERROR(__xludf.DUMMYFUNCTION("""COMPUTED_VALUE"""),1.0)</f>
        <v>1</v>
      </c>
      <c r="BG61" s="16">
        <f>IFERROR(__xludf.DUMMYFUNCTION("""COMPUTED_VALUE"""),3.0)</f>
        <v>3</v>
      </c>
      <c r="BH61" s="16">
        <f>IFERROR(__xludf.DUMMYFUNCTION("""COMPUTED_VALUE"""),2.0)</f>
        <v>2</v>
      </c>
      <c r="BI61" s="16">
        <f>IFERROR(__xludf.DUMMYFUNCTION("""COMPUTED_VALUE"""),6.0)</f>
        <v>6</v>
      </c>
      <c r="BJ61" s="16">
        <f>IFERROR(__xludf.DUMMYFUNCTION("""COMPUTED_VALUE"""),4.0)</f>
        <v>4</v>
      </c>
      <c r="BK61" s="16">
        <f>IFERROR(__xludf.DUMMYFUNCTION("""COMPUTED_VALUE"""),0.0)</f>
        <v>0</v>
      </c>
      <c r="BL61" s="16">
        <f>IFERROR(__xludf.DUMMYFUNCTION("""COMPUTED_VALUE"""),0.0)</f>
        <v>0</v>
      </c>
      <c r="BM61" s="16">
        <f>IFERROR(__xludf.DUMMYFUNCTION("""COMPUTED_VALUE"""),1.0)</f>
        <v>1</v>
      </c>
      <c r="BN61" s="16">
        <f>IFERROR(__xludf.DUMMYFUNCTION("""COMPUTED_VALUE"""),1.0)</f>
        <v>1</v>
      </c>
      <c r="BO61" s="16">
        <f>IFERROR(__xludf.DUMMYFUNCTION("""COMPUTED_VALUE"""),1.0)</f>
        <v>1</v>
      </c>
      <c r="BP61" s="16">
        <f>IFERROR(__xludf.DUMMYFUNCTION("""COMPUTED_VALUE"""),1.0)</f>
        <v>1</v>
      </c>
      <c r="BQ61" s="16">
        <f>IFERROR(__xludf.DUMMYFUNCTION("""COMPUTED_VALUE"""),0.0)</f>
        <v>0</v>
      </c>
      <c r="BR61" s="16">
        <f>IFERROR(__xludf.DUMMYFUNCTION("""COMPUTED_VALUE"""),0.0)</f>
        <v>0</v>
      </c>
      <c r="BS61" s="16">
        <f>IFERROR(__xludf.DUMMYFUNCTION("""COMPUTED_VALUE"""),-3.0)</f>
        <v>-3</v>
      </c>
      <c r="BT61" s="16">
        <f>IFERROR(__xludf.DUMMYFUNCTION("""COMPUTED_VALUE"""),-3.0)</f>
        <v>-3</v>
      </c>
      <c r="BU61" s="16">
        <f>IFERROR(__xludf.DUMMYFUNCTION("""COMPUTED_VALUE"""),-6.0)</f>
        <v>-6</v>
      </c>
      <c r="BV61" s="16">
        <f>IFERROR(__xludf.DUMMYFUNCTION("""COMPUTED_VALUE"""),-6.0)</f>
        <v>-6</v>
      </c>
      <c r="BW61" s="16">
        <f>IFERROR(__xludf.DUMMYFUNCTION("""COMPUTED_VALUE"""),0.0)</f>
        <v>0</v>
      </c>
      <c r="BX61" s="16">
        <f>IFERROR(__xludf.DUMMYFUNCTION("""COMPUTED_VALUE"""),0.0)</f>
        <v>0</v>
      </c>
      <c r="BY61" s="16" t="str">
        <f>IFERROR(__xludf.DUMMYFUNCTION("""COMPUTED_VALUE"""),"S(4) R(3) C(2)")</f>
        <v>S(4) R(3) C(2)</v>
      </c>
      <c r="BZ61" s="16" t="str">
        <f>IFERROR(__xludf.DUMMYFUNCTION("""COMPUTED_VALUE"""),"S(4) R(3) C(2)")</f>
        <v>S(4) R(3) C(2)</v>
      </c>
      <c r="CA61" s="16" t="str">
        <f>IFERROR(__xludf.DUMMYFUNCTION("""COMPUTED_VALUE"""),"S(4)")</f>
        <v>S(4)</v>
      </c>
      <c r="CB61" s="16" t="str">
        <f>IFERROR(__xludf.DUMMYFUNCTION("""COMPUTED_VALUE"""),"R(3)")</f>
        <v>R(3)</v>
      </c>
      <c r="CC61" s="16" t="str">
        <f>IFERROR(__xludf.DUMMYFUNCTION("""COMPUTED_VALUE"""),"C(2)")</f>
        <v>C(2)</v>
      </c>
      <c r="CD61" s="16">
        <f>IFERROR(__xludf.DUMMYFUNCTION("""COMPUTED_VALUE"""),4.0)</f>
        <v>4</v>
      </c>
      <c r="CE61" s="16">
        <f>IFERROR(__xludf.DUMMYFUNCTION("""COMPUTED_VALUE"""),3.0)</f>
        <v>3</v>
      </c>
      <c r="CF61" s="16">
        <f>IFERROR(__xludf.DUMMYFUNCTION("""COMPUTED_VALUE"""),2.0)</f>
        <v>2</v>
      </c>
      <c r="CG61" s="16" t="str">
        <f>IFERROR(__xludf.DUMMYFUNCTION("""COMPUTED_VALUE"""),"3-0")</f>
        <v>3-0</v>
      </c>
      <c r="CH61" s="16">
        <f>IFERROR(__xludf.DUMMYFUNCTION("""COMPUTED_VALUE"""),3.0)</f>
        <v>3</v>
      </c>
      <c r="CI61" s="16">
        <f>IFERROR(__xludf.DUMMYFUNCTION("""COMPUTED_VALUE"""),0.0)</f>
        <v>0</v>
      </c>
      <c r="CJ61" s="16">
        <f>IFERROR(__xludf.DUMMYFUNCTION("""COMPUTED_VALUE"""),5.0)</f>
        <v>5</v>
      </c>
      <c r="CK61" s="16">
        <f>IFERROR(__xludf.DUMMYFUNCTION("""COMPUTED_VALUE"""),6.0)</f>
        <v>6</v>
      </c>
      <c r="CL61" s="16" t="str">
        <f>IFERROR(__xludf.DUMMYFUNCTION("""COMPUTED_VALUE"""),"1WL-C")</f>
        <v>1WL-C</v>
      </c>
      <c r="CM61" s="16" t="str">
        <f>IFERROR(__xludf.DUMMYFUNCTION("""COMPUTED_VALUE"""),"E")</f>
        <v>E</v>
      </c>
      <c r="CN61" s="16">
        <f>IFERROR(__xludf.DUMMYFUNCTION("""COMPUTED_VALUE"""),10.0)</f>
        <v>10</v>
      </c>
      <c r="CO61" s="16" t="str">
        <f>IFERROR(__xludf.DUMMYFUNCTION("""COMPUTED_VALUE"""),"C")</f>
        <v>C</v>
      </c>
      <c r="CP61" s="16" t="str">
        <f>IFERROR(__xludf.DUMMYFUNCTION("""COMPUTED_VALUE"""),"1p40")</f>
        <v>1p40</v>
      </c>
      <c r="CQ61" s="16">
        <f>IFERROR(__xludf.DUMMYFUNCTION("""COMPUTED_VALUE"""),39.0)</f>
        <v>39</v>
      </c>
      <c r="CR61" s="16">
        <f>IFERROR(__xludf.DUMMYFUNCTION("""COMPUTED_VALUE"""),14.0)</f>
        <v>14</v>
      </c>
      <c r="CS61" s="16">
        <f>IFERROR(__xludf.DUMMYFUNCTION("""COMPUTED_VALUE"""),53.0)</f>
        <v>53</v>
      </c>
      <c r="CT61" s="16">
        <f>IFERROR(__xludf.DUMMYFUNCTION("""COMPUTED_VALUE"""),39.0)</f>
        <v>39</v>
      </c>
      <c r="CU61" s="16">
        <f>IFERROR(__xludf.DUMMYFUNCTION("""COMPUTED_VALUE"""),14.0)</f>
        <v>14</v>
      </c>
      <c r="CV61" s="179">
        <f>IFERROR(__xludf.DUMMYFUNCTION("""COMPUTED_VALUE"""),27.333333333333332)</f>
        <v>27.33333333</v>
      </c>
      <c r="CW61" s="179">
        <f>IFERROR(__xludf.DUMMYFUNCTION("""COMPUTED_VALUE"""),4.0)</f>
        <v>4</v>
      </c>
      <c r="CX61" s="179">
        <f>IFERROR(__xludf.DUMMYFUNCTION("""COMPUTED_VALUE"""),1.0)</f>
        <v>1</v>
      </c>
      <c r="CY61" s="16" t="str">
        <f>IFERROR(__xludf.DUMMYFUNCTION("""COMPUTED_VALUE"""),"SP")</f>
        <v>SP</v>
      </c>
      <c r="CZ61" s="16" t="str">
        <f>IFERROR(__xludf.DUMMYFUNCTION("""COMPUTED_VALUE"""),"RP")</f>
        <v>RP</v>
      </c>
      <c r="DA61" s="16" t="str">
        <f>IFERROR(__xludf.DUMMYFUNCTION("""COMPUTED_VALUE"""),"CP")</f>
        <v>CP</v>
      </c>
      <c r="DB61" s="16"/>
      <c r="DC61" s="16"/>
      <c r="DD61" s="16"/>
      <c r="DE61" s="16"/>
      <c r="DF61" s="16"/>
      <c r="DG61" s="16"/>
      <c r="DH61" s="16"/>
      <c r="DI61" s="16"/>
      <c r="DJ61" s="16"/>
      <c r="DK61" s="16"/>
    </row>
    <row r="62">
      <c r="A62" s="16">
        <f>IFERROR(__xludf.DUMMYFUNCTION("""COMPUTED_VALUE"""),13057.0)</f>
        <v>13057</v>
      </c>
      <c r="B62" s="16" t="str">
        <f>IFERROR(__xludf.DUMMYFUNCTION("""COMPUTED_VALUE"""),"Justin Slaten")</f>
        <v>Justin Slaten</v>
      </c>
      <c r="C62" s="153">
        <f>IFERROR(__xludf.DUMMYFUNCTION("""COMPUTED_VALUE"""),1.17)</f>
        <v>1.17</v>
      </c>
      <c r="D62" s="16"/>
      <c r="E62" s="16" t="str">
        <f>IFERROR(__xludf.DUMMYFUNCTION("""COMPUTED_VALUE"""),"R")</f>
        <v>R</v>
      </c>
      <c r="F62" s="16">
        <f>IFERROR(__xludf.DUMMYFUNCTION("""COMPUTED_VALUE"""),55.0)</f>
        <v>55</v>
      </c>
      <c r="G62" s="16">
        <f>IFERROR(__xludf.DUMMYFUNCTION("""COMPUTED_VALUE"""),43.0)</f>
        <v>43</v>
      </c>
      <c r="H62" s="16">
        <f>IFERROR(__xludf.DUMMYFUNCTION("""COMPUTED_VALUE"""),24.0)</f>
        <v>24</v>
      </c>
      <c r="I62" s="16">
        <f>IFERROR(__xludf.DUMMYFUNCTION("""COMPUTED_VALUE"""),2.0)</f>
        <v>2</v>
      </c>
      <c r="J62" s="16">
        <f>IFERROR(__xludf.DUMMYFUNCTION("""COMPUTED_VALUE"""),0.0)</f>
        <v>0</v>
      </c>
      <c r="K62" s="16">
        <f>IFERROR(__xludf.DUMMYFUNCTION("""COMPUTED_VALUE"""),6.0)</f>
        <v>6</v>
      </c>
      <c r="L62" s="16">
        <f>IFERROR(__xludf.DUMMYFUNCTION("""COMPUTED_VALUE"""),0.0)</f>
        <v>0</v>
      </c>
      <c r="M62" s="16">
        <f>IFERROR(__xludf.DUMMYFUNCTION("""COMPUTED_VALUE"""),0.0)</f>
        <v>0</v>
      </c>
      <c r="N62" s="16">
        <f>IFERROR(__xludf.DUMMYFUNCTION("""COMPUTED_VALUE"""),0.0)</f>
        <v>0</v>
      </c>
      <c r="O62" s="16">
        <f>IFERROR(__xludf.DUMMYFUNCTION("""COMPUTED_VALUE"""),3.0)</f>
        <v>3</v>
      </c>
      <c r="P62" s="16">
        <f>IFERROR(__xludf.DUMMYFUNCTION("""COMPUTED_VALUE"""),3.0)</f>
        <v>3</v>
      </c>
      <c r="Q62" s="16">
        <f>IFERROR(__xludf.DUMMYFUNCTION("""COMPUTED_VALUE"""),3.0)</f>
        <v>3</v>
      </c>
      <c r="R62" s="16">
        <f>IFERROR(__xludf.DUMMYFUNCTION("""COMPUTED_VALUE"""),3.0)</f>
        <v>3</v>
      </c>
      <c r="S62" s="16">
        <f>IFERROR(__xludf.DUMMYFUNCTION("""COMPUTED_VALUE"""),7.8)</f>
        <v>7.8</v>
      </c>
      <c r="T62" s="16">
        <f>IFERROR(__xludf.DUMMYFUNCTION("""COMPUTED_VALUE"""),19.4)</f>
        <v>19.4</v>
      </c>
      <c r="U62" s="16">
        <f>IFERROR(__xludf.DUMMYFUNCTION("""COMPUTED_VALUE"""),1.0)</f>
        <v>1</v>
      </c>
      <c r="V62" s="16">
        <f>IFERROR(__xludf.DUMMYFUNCTION("""COMPUTED_VALUE"""),-1.0)</f>
        <v>-1</v>
      </c>
      <c r="W62" s="16">
        <f>IFERROR(__xludf.DUMMYFUNCTION("""COMPUTED_VALUE"""),2.0)</f>
        <v>2</v>
      </c>
      <c r="X62" s="16">
        <f>IFERROR(__xludf.DUMMYFUNCTION("""COMPUTED_VALUE"""),-2.0)</f>
        <v>-2</v>
      </c>
      <c r="Y62" s="16">
        <f>IFERROR(__xludf.DUMMYFUNCTION("""COMPUTED_VALUE"""),7.8)</f>
        <v>7.8</v>
      </c>
      <c r="Z62" s="16">
        <f>IFERROR(__xludf.DUMMYFUNCTION("""COMPUTED_VALUE"""),19.4)</f>
        <v>19.4</v>
      </c>
      <c r="AA62" s="16">
        <f>IFERROR(__xludf.DUMMYFUNCTION("""COMPUTED_VALUE"""),2.0)</f>
        <v>2</v>
      </c>
      <c r="AB62" s="16">
        <f>IFERROR(__xludf.DUMMYFUNCTION("""COMPUTED_VALUE"""),1.0)</f>
        <v>1</v>
      </c>
      <c r="AC62" s="16">
        <f>IFERROR(__xludf.DUMMYFUNCTION("""COMPUTED_VALUE"""),10.0)</f>
        <v>10</v>
      </c>
      <c r="AD62" s="16">
        <f>IFERROR(__xludf.DUMMYFUNCTION("""COMPUTED_VALUE"""),5.0)</f>
        <v>5</v>
      </c>
      <c r="AE62" s="16">
        <f>IFERROR(__xludf.DUMMYFUNCTION("""COMPUTED_VALUE"""),12.5)</f>
        <v>12.5</v>
      </c>
      <c r="AF62" s="16">
        <f>IFERROR(__xludf.DUMMYFUNCTION("""COMPUTED_VALUE"""),23.6)</f>
        <v>23.6</v>
      </c>
      <c r="AG62" s="16">
        <f>IFERROR(__xludf.DUMMYFUNCTION("""COMPUTED_VALUE"""),2.0)</f>
        <v>2</v>
      </c>
      <c r="AH62" s="16">
        <f>IFERROR(__xludf.DUMMYFUNCTION("""COMPUTED_VALUE"""),1.0)</f>
        <v>1</v>
      </c>
      <c r="AI62" s="16">
        <f>IFERROR(__xludf.DUMMYFUNCTION("""COMPUTED_VALUE"""),4.0)</f>
        <v>4</v>
      </c>
      <c r="AJ62" s="16">
        <f>IFERROR(__xludf.DUMMYFUNCTION("""COMPUTED_VALUE"""),2.0)</f>
        <v>2</v>
      </c>
      <c r="AK62" s="16">
        <f>IFERROR(__xludf.DUMMYFUNCTION("""COMPUTED_VALUE"""),7.6)</f>
        <v>7.6</v>
      </c>
      <c r="AL62" s="16">
        <f>IFERROR(__xludf.DUMMYFUNCTION("""COMPUTED_VALUE"""),19.0)</f>
        <v>19</v>
      </c>
      <c r="AM62" s="16">
        <f>IFERROR(__xludf.DUMMYFUNCTION("""COMPUTED_VALUE"""),1.0)</f>
        <v>1</v>
      </c>
      <c r="AN62" s="16">
        <f>IFERROR(__xludf.DUMMYFUNCTION("""COMPUTED_VALUE"""),-1.0)</f>
        <v>-1</v>
      </c>
      <c r="AO62" s="16">
        <f>IFERROR(__xludf.DUMMYFUNCTION("""COMPUTED_VALUE"""),1.0)</f>
        <v>1</v>
      </c>
      <c r="AP62" s="16">
        <f>IFERROR(__xludf.DUMMYFUNCTION("""COMPUTED_VALUE"""),-1.0)</f>
        <v>-1</v>
      </c>
      <c r="AQ62" s="16">
        <f>IFERROR(__xludf.DUMMYFUNCTION("""COMPUTED_VALUE"""),11.7)</f>
        <v>11.7</v>
      </c>
      <c r="AR62" s="16">
        <f>IFERROR(__xludf.DUMMYFUNCTION("""COMPUTED_VALUE"""),22.0)</f>
        <v>22</v>
      </c>
      <c r="AS62" s="16">
        <f>IFERROR(__xludf.DUMMYFUNCTION("""COMPUTED_VALUE"""),1.0)</f>
        <v>1</v>
      </c>
      <c r="AT62" s="16">
        <f>IFERROR(__xludf.DUMMYFUNCTION("""COMPUTED_VALUE"""),0.0)</f>
        <v>0</v>
      </c>
      <c r="AU62" s="16">
        <f>IFERROR(__xludf.DUMMYFUNCTION("""COMPUTED_VALUE"""),2.0)</f>
        <v>2</v>
      </c>
      <c r="AV62" s="16">
        <f>IFERROR(__xludf.DUMMYFUNCTION("""COMPUTED_VALUE"""),0.0)</f>
        <v>0</v>
      </c>
      <c r="AW62" s="16">
        <f>IFERROR(__xludf.DUMMYFUNCTION("""COMPUTED_VALUE"""),0.2)</f>
        <v>0.2</v>
      </c>
      <c r="AX62" s="16">
        <f>IFERROR(__xludf.DUMMYFUNCTION("""COMPUTED_VALUE"""),0.4)</f>
        <v>0.4</v>
      </c>
      <c r="AY62" s="16">
        <f>IFERROR(__xludf.DUMMYFUNCTION("""COMPUTED_VALUE"""),2.0)</f>
        <v>2</v>
      </c>
      <c r="AZ62" s="16">
        <f>IFERROR(__xludf.DUMMYFUNCTION("""COMPUTED_VALUE"""),2.0)</f>
        <v>2</v>
      </c>
      <c r="BA62" s="16">
        <f>IFERROR(__xludf.DUMMYFUNCTION("""COMPUTED_VALUE"""),10.0)</f>
        <v>10</v>
      </c>
      <c r="BB62" s="16">
        <f>IFERROR(__xludf.DUMMYFUNCTION("""COMPUTED_VALUE"""),10.0)</f>
        <v>10</v>
      </c>
      <c r="BC62" s="16"/>
      <c r="BD62" s="16">
        <f>IFERROR(__xludf.DUMMYFUNCTION("""COMPUTED_VALUE"""),0.0)</f>
        <v>0</v>
      </c>
      <c r="BE62" s="16">
        <f>IFERROR(__xludf.DUMMYFUNCTION("""COMPUTED_VALUE"""),1.0)</f>
        <v>1</v>
      </c>
      <c r="BF62" s="16">
        <f>IFERROR(__xludf.DUMMYFUNCTION("""COMPUTED_VALUE"""),0.0)</f>
        <v>0</v>
      </c>
      <c r="BG62" s="16">
        <f>IFERROR(__xludf.DUMMYFUNCTION("""COMPUTED_VALUE"""),2.0)</f>
        <v>2</v>
      </c>
      <c r="BH62" s="16">
        <f>IFERROR(__xludf.DUMMYFUNCTION("""COMPUTED_VALUE"""),2.0)</f>
        <v>2</v>
      </c>
      <c r="BI62" s="16">
        <f>IFERROR(__xludf.DUMMYFUNCTION("""COMPUTED_VALUE"""),4.0)</f>
        <v>4</v>
      </c>
      <c r="BJ62" s="16">
        <f>IFERROR(__xludf.DUMMYFUNCTION("""COMPUTED_VALUE"""),4.0)</f>
        <v>4</v>
      </c>
      <c r="BK62" s="16">
        <f>IFERROR(__xludf.DUMMYFUNCTION("""COMPUTED_VALUE"""),0.0)</f>
        <v>0</v>
      </c>
      <c r="BL62" s="16">
        <f>IFERROR(__xludf.DUMMYFUNCTION("""COMPUTED_VALUE"""),5.0)</f>
        <v>5</v>
      </c>
      <c r="BM62" s="16">
        <f>IFERROR(__xludf.DUMMYFUNCTION("""COMPUTED_VALUE"""),1.0)</f>
        <v>1</v>
      </c>
      <c r="BN62" s="16">
        <f>IFERROR(__xludf.DUMMYFUNCTION("""COMPUTED_VALUE"""),0.0)</f>
        <v>0</v>
      </c>
      <c r="BO62" s="16">
        <f>IFERROR(__xludf.DUMMYFUNCTION("""COMPUTED_VALUE"""),1.0)</f>
        <v>1</v>
      </c>
      <c r="BP62" s="16">
        <f>IFERROR(__xludf.DUMMYFUNCTION("""COMPUTED_VALUE"""),0.0)</f>
        <v>0</v>
      </c>
      <c r="BQ62" s="16">
        <f>IFERROR(__xludf.DUMMYFUNCTION("""COMPUTED_VALUE"""),2.0)</f>
        <v>2</v>
      </c>
      <c r="BR62" s="16">
        <f>IFERROR(__xludf.DUMMYFUNCTION("""COMPUTED_VALUE"""),2.0)</f>
        <v>2</v>
      </c>
      <c r="BS62" s="16">
        <f>IFERROR(__xludf.DUMMYFUNCTION("""COMPUTED_VALUE"""),-2.0)</f>
        <v>-2</v>
      </c>
      <c r="BT62" s="16">
        <f>IFERROR(__xludf.DUMMYFUNCTION("""COMPUTED_VALUE"""),-2.0)</f>
        <v>-2</v>
      </c>
      <c r="BU62" s="16">
        <f>IFERROR(__xludf.DUMMYFUNCTION("""COMPUTED_VALUE"""),-4.0)</f>
        <v>-4</v>
      </c>
      <c r="BV62" s="16">
        <f>IFERROR(__xludf.DUMMYFUNCTION("""COMPUTED_VALUE"""),-4.0)</f>
        <v>-4</v>
      </c>
      <c r="BW62" s="16">
        <f>IFERROR(__xludf.DUMMYFUNCTION("""COMPUTED_VALUE"""),-2.0)</f>
        <v>-2</v>
      </c>
      <c r="BX62" s="16">
        <f>IFERROR(__xludf.DUMMYFUNCTION("""COMPUTED_VALUE"""),-2.0)</f>
        <v>-2</v>
      </c>
      <c r="BY62" s="16" t="str">
        <f>IFERROR(__xludf.DUMMYFUNCTION("""COMPUTED_VALUE"""),"R(2) C(1)")</f>
        <v>R(2) C(1)</v>
      </c>
      <c r="BZ62" s="16" t="str">
        <f>IFERROR(__xludf.DUMMYFUNCTION("""COMPUTED_VALUE"""),"R(2) C(1)")</f>
        <v>R(2) C(1)</v>
      </c>
      <c r="CA62" s="16" t="str">
        <f>IFERROR(__xludf.DUMMYFUNCTION("""COMPUTED_VALUE"""),"R(2)")</f>
        <v>R(2)</v>
      </c>
      <c r="CB62" s="16" t="str">
        <f>IFERROR(__xludf.DUMMYFUNCTION("""COMPUTED_VALUE"""),"C(1)")</f>
        <v>C(1)</v>
      </c>
      <c r="CC62" s="16"/>
      <c r="CD62" s="16"/>
      <c r="CE62" s="16">
        <f>IFERROR(__xludf.DUMMYFUNCTION("""COMPUTED_VALUE"""),2.0)</f>
        <v>2</v>
      </c>
      <c r="CF62" s="16">
        <f>IFERROR(__xludf.DUMMYFUNCTION("""COMPUTED_VALUE"""),1.0)</f>
        <v>1</v>
      </c>
      <c r="CG62" s="16" t="str">
        <f>IFERROR(__xludf.DUMMYFUNCTION("""COMPUTED_VALUE"""),"2-0")</f>
        <v>2-0</v>
      </c>
      <c r="CH62" s="16">
        <f>IFERROR(__xludf.DUMMYFUNCTION("""COMPUTED_VALUE"""),2.0)</f>
        <v>2</v>
      </c>
      <c r="CI62" s="16">
        <f>IFERROR(__xludf.DUMMYFUNCTION("""COMPUTED_VALUE"""),0.0)</f>
        <v>0</v>
      </c>
      <c r="CJ62" s="16">
        <f>IFERROR(__xludf.DUMMYFUNCTION("""COMPUTED_VALUE"""),0.0)</f>
        <v>0</v>
      </c>
      <c r="CK62" s="16">
        <f>IFERROR(__xludf.DUMMYFUNCTION("""COMPUTED_VALUE"""),17.0)</f>
        <v>17</v>
      </c>
      <c r="CL62" s="16" t="str">
        <f>IFERROR(__xludf.DUMMYFUNCTION("""COMPUTED_VALUE"""),"1WR-C")</f>
        <v>1WR-C</v>
      </c>
      <c r="CM62" s="16" t="str">
        <f>IFERROR(__xludf.DUMMYFUNCTION("""COMPUTED_VALUE"""),"E")</f>
        <v>E</v>
      </c>
      <c r="CN62" s="16">
        <f>IFERROR(__xludf.DUMMYFUNCTION("""COMPUTED_VALUE"""),10.0)</f>
        <v>10</v>
      </c>
      <c r="CO62" s="16" t="str">
        <f>IFERROR(__xludf.DUMMYFUNCTION("""COMPUTED_VALUE"""),"C")</f>
        <v>C</v>
      </c>
      <c r="CP62" s="16" t="str">
        <f>IFERROR(__xludf.DUMMYFUNCTION("""COMPUTED_VALUE"""),"4p30")</f>
        <v>4p30</v>
      </c>
      <c r="CQ62" s="16">
        <f>IFERROR(__xludf.DUMMYFUNCTION("""COMPUTED_VALUE"""),39.0)</f>
        <v>39</v>
      </c>
      <c r="CR62" s="16">
        <f>IFERROR(__xludf.DUMMYFUNCTION("""COMPUTED_VALUE"""),17.0)</f>
        <v>17</v>
      </c>
      <c r="CS62" s="16">
        <f>IFERROR(__xludf.DUMMYFUNCTION("""COMPUTED_VALUE"""),56.0)</f>
        <v>56</v>
      </c>
      <c r="CT62" s="16">
        <f>IFERROR(__xludf.DUMMYFUNCTION("""COMPUTED_VALUE"""),39.0)</f>
        <v>39</v>
      </c>
      <c r="CU62" s="16">
        <f>IFERROR(__xludf.DUMMYFUNCTION("""COMPUTED_VALUE"""),17.0)</f>
        <v>17</v>
      </c>
      <c r="CV62" s="179">
        <f>IFERROR(__xludf.DUMMYFUNCTION("""COMPUTED_VALUE"""),27.333333333333332)</f>
        <v>27.33333333</v>
      </c>
      <c r="CW62" s="179">
        <f>IFERROR(__xludf.DUMMYFUNCTION("""COMPUTED_VALUE"""),1.0)</f>
        <v>1</v>
      </c>
      <c r="CX62" s="179">
        <f>IFERROR(__xludf.DUMMYFUNCTION("""COMPUTED_VALUE"""),2.0)</f>
        <v>2</v>
      </c>
      <c r="CY62" s="16" t="str">
        <f>IFERROR(__xludf.DUMMYFUNCTION("""COMPUTED_VALUE"""),"RP")</f>
        <v>RP</v>
      </c>
      <c r="CZ62" s="16" t="str">
        <f>IFERROR(__xludf.DUMMYFUNCTION("""COMPUTED_VALUE"""),"CP")</f>
        <v>CP</v>
      </c>
      <c r="DA62" s="16"/>
      <c r="DB62" s="16"/>
      <c r="DC62" s="16"/>
      <c r="DD62" s="16"/>
      <c r="DE62" s="16"/>
      <c r="DF62" s="16"/>
      <c r="DG62" s="16"/>
      <c r="DH62" s="16"/>
      <c r="DI62" s="16"/>
      <c r="DJ62" s="16"/>
      <c r="DK62" s="16"/>
    </row>
    <row r="63">
      <c r="A63" s="16">
        <f>IFERROR(__xludf.DUMMYFUNCTION("""COMPUTED_VALUE"""),13243.0)</f>
        <v>13243</v>
      </c>
      <c r="B63" s="16" t="str">
        <f>IFERROR(__xludf.DUMMYFUNCTION("""COMPUTED_VALUE"""),"Nick Martinez")</f>
        <v>Nick Martinez</v>
      </c>
      <c r="C63" s="153">
        <f>IFERROR(__xludf.DUMMYFUNCTION("""COMPUTED_VALUE"""),2.11)</f>
        <v>2.11</v>
      </c>
      <c r="D63" s="16"/>
      <c r="E63" s="16" t="str">
        <f>IFERROR(__xludf.DUMMYFUNCTION("""COMPUTED_VALUE"""),"R")</f>
        <v>R</v>
      </c>
      <c r="F63" s="16">
        <f>IFERROR(__xludf.DUMMYFUNCTION("""COMPUTED_VALUE"""),142.0)</f>
        <v>142</v>
      </c>
      <c r="G63" s="16">
        <f>IFERROR(__xludf.DUMMYFUNCTION("""COMPUTED_VALUE"""),22.0)</f>
        <v>22</v>
      </c>
      <c r="H63" s="16">
        <f>IFERROR(__xludf.DUMMYFUNCTION("""COMPUTED_VALUE"""),17.0)</f>
        <v>17</v>
      </c>
      <c r="I63" s="16">
        <f>IFERROR(__xludf.DUMMYFUNCTION("""COMPUTED_VALUE"""),-1.0)</f>
        <v>-1</v>
      </c>
      <c r="J63" s="16">
        <f>IFERROR(__xludf.DUMMYFUNCTION("""COMPUTED_VALUE"""),-1.0)</f>
        <v>-1</v>
      </c>
      <c r="K63" s="16">
        <f>IFERROR(__xludf.DUMMYFUNCTION("""COMPUTED_VALUE"""),-3.0)</f>
        <v>-3</v>
      </c>
      <c r="L63" s="16">
        <f>IFERROR(__xludf.DUMMYFUNCTION("""COMPUTED_VALUE"""),-3.0)</f>
        <v>-3</v>
      </c>
      <c r="M63" s="16">
        <f>IFERROR(__xludf.DUMMYFUNCTION("""COMPUTED_VALUE"""),0.0)</f>
        <v>0</v>
      </c>
      <c r="N63" s="16">
        <f>IFERROR(__xludf.DUMMYFUNCTION("""COMPUTED_VALUE"""),0.0)</f>
        <v>0</v>
      </c>
      <c r="O63" s="16">
        <f>IFERROR(__xludf.DUMMYFUNCTION("""COMPUTED_VALUE"""),3.0)</f>
        <v>3</v>
      </c>
      <c r="P63" s="16">
        <f>IFERROR(__xludf.DUMMYFUNCTION("""COMPUTED_VALUE"""),3.0)</f>
        <v>3</v>
      </c>
      <c r="Q63" s="16">
        <f>IFERROR(__xludf.DUMMYFUNCTION("""COMPUTED_VALUE"""),3.0)</f>
        <v>3</v>
      </c>
      <c r="R63" s="16">
        <f>IFERROR(__xludf.DUMMYFUNCTION("""COMPUTED_VALUE"""),3.0)</f>
        <v>3</v>
      </c>
      <c r="S63" s="16">
        <f>IFERROR(__xludf.DUMMYFUNCTION("""COMPUTED_VALUE"""),17.5)</f>
        <v>17.5</v>
      </c>
      <c r="T63" s="16">
        <f>IFERROR(__xludf.DUMMYFUNCTION("""COMPUTED_VALUE"""),14.1)</f>
        <v>14.1</v>
      </c>
      <c r="U63" s="16">
        <f>IFERROR(__xludf.DUMMYFUNCTION("""COMPUTED_VALUE"""),0.0)</f>
        <v>0</v>
      </c>
      <c r="V63" s="16">
        <f>IFERROR(__xludf.DUMMYFUNCTION("""COMPUTED_VALUE"""),0.0)</f>
        <v>0</v>
      </c>
      <c r="W63" s="16">
        <f>IFERROR(__xludf.DUMMYFUNCTION("""COMPUTED_VALUE"""),0.0)</f>
        <v>0</v>
      </c>
      <c r="X63" s="16">
        <f>IFERROR(__xludf.DUMMYFUNCTION("""COMPUTED_VALUE"""),0.0)</f>
        <v>0</v>
      </c>
      <c r="Y63" s="16">
        <f>IFERROR(__xludf.DUMMYFUNCTION("""COMPUTED_VALUE"""),17.5)</f>
        <v>17.5</v>
      </c>
      <c r="Z63" s="16">
        <f>IFERROR(__xludf.DUMMYFUNCTION("""COMPUTED_VALUE"""),14.1)</f>
        <v>14.1</v>
      </c>
      <c r="AA63" s="16">
        <f>IFERROR(__xludf.DUMMYFUNCTION("""COMPUTED_VALUE"""),1.0)</f>
        <v>1</v>
      </c>
      <c r="AB63" s="16">
        <f>IFERROR(__xludf.DUMMYFUNCTION("""COMPUTED_VALUE"""),2.0)</f>
        <v>2</v>
      </c>
      <c r="AC63" s="16">
        <f>IFERROR(__xludf.DUMMYFUNCTION("""COMPUTED_VALUE"""),5.0)</f>
        <v>5</v>
      </c>
      <c r="AD63" s="16">
        <f>IFERROR(__xludf.DUMMYFUNCTION("""COMPUTED_VALUE"""),10.0)</f>
        <v>10</v>
      </c>
      <c r="AE63" s="16">
        <f>IFERROR(__xludf.DUMMYFUNCTION("""COMPUTED_VALUE"""),29.2)</f>
        <v>29.2</v>
      </c>
      <c r="AF63" s="16">
        <f>IFERROR(__xludf.DUMMYFUNCTION("""COMPUTED_VALUE"""),28.1)</f>
        <v>28.1</v>
      </c>
      <c r="AG63" s="16">
        <f>IFERROR(__xludf.DUMMYFUNCTION("""COMPUTED_VALUE"""),0.0)</f>
        <v>0</v>
      </c>
      <c r="AH63" s="16">
        <f>IFERROR(__xludf.DUMMYFUNCTION("""COMPUTED_VALUE"""),0.0)</f>
        <v>0</v>
      </c>
      <c r="AI63" s="16">
        <f>IFERROR(__xludf.DUMMYFUNCTION("""COMPUTED_VALUE"""),0.0)</f>
        <v>0</v>
      </c>
      <c r="AJ63" s="16">
        <f>IFERROR(__xludf.DUMMYFUNCTION("""COMPUTED_VALUE"""),0.0)</f>
        <v>0</v>
      </c>
      <c r="AK63" s="16">
        <f>IFERROR(__xludf.DUMMYFUNCTION("""COMPUTED_VALUE"""),15.9)</f>
        <v>15.9</v>
      </c>
      <c r="AL63" s="16">
        <f>IFERROR(__xludf.DUMMYFUNCTION("""COMPUTED_VALUE"""),12.9)</f>
        <v>12.9</v>
      </c>
      <c r="AM63" s="16">
        <f>IFERROR(__xludf.DUMMYFUNCTION("""COMPUTED_VALUE"""),-1.0)</f>
        <v>-1</v>
      </c>
      <c r="AN63" s="16">
        <f>IFERROR(__xludf.DUMMYFUNCTION("""COMPUTED_VALUE"""),0.0)</f>
        <v>0</v>
      </c>
      <c r="AO63" s="16">
        <f>IFERROR(__xludf.DUMMYFUNCTION("""COMPUTED_VALUE"""),-1.0)</f>
        <v>-1</v>
      </c>
      <c r="AP63" s="16">
        <f>IFERROR(__xludf.DUMMYFUNCTION("""COMPUTED_VALUE"""),0.0)</f>
        <v>0</v>
      </c>
      <c r="AQ63" s="16">
        <f>IFERROR(__xludf.DUMMYFUNCTION("""COMPUTED_VALUE"""),22.799999999999997)</f>
        <v>22.8</v>
      </c>
      <c r="AR63" s="16">
        <f>IFERROR(__xludf.DUMMYFUNCTION("""COMPUTED_VALUE"""),23.3)</f>
        <v>23.3</v>
      </c>
      <c r="AS63" s="16">
        <f>IFERROR(__xludf.DUMMYFUNCTION("""COMPUTED_VALUE"""),0.0)</f>
        <v>0</v>
      </c>
      <c r="AT63" s="16">
        <f>IFERROR(__xludf.DUMMYFUNCTION("""COMPUTED_VALUE"""),0.0)</f>
        <v>0</v>
      </c>
      <c r="AU63" s="16">
        <f>IFERROR(__xludf.DUMMYFUNCTION("""COMPUTED_VALUE"""),0.0)</f>
        <v>0</v>
      </c>
      <c r="AV63" s="16">
        <f>IFERROR(__xludf.DUMMYFUNCTION("""COMPUTED_VALUE"""),0.0)</f>
        <v>0</v>
      </c>
      <c r="AW63" s="16">
        <f>IFERROR(__xludf.DUMMYFUNCTION("""COMPUTED_VALUE"""),1.6)</f>
        <v>1.6</v>
      </c>
      <c r="AX63" s="16">
        <f>IFERROR(__xludf.DUMMYFUNCTION("""COMPUTED_VALUE"""),1.2)</f>
        <v>1.2</v>
      </c>
      <c r="AY63" s="16">
        <f>IFERROR(__xludf.DUMMYFUNCTION("""COMPUTED_VALUE"""),1.0)</f>
        <v>1</v>
      </c>
      <c r="AZ63" s="16">
        <f>IFERROR(__xludf.DUMMYFUNCTION("""COMPUTED_VALUE"""),1.0)</f>
        <v>1</v>
      </c>
      <c r="BA63" s="16">
        <f>IFERROR(__xludf.DUMMYFUNCTION("""COMPUTED_VALUE"""),5.0)</f>
        <v>5</v>
      </c>
      <c r="BB63" s="16">
        <f>IFERROR(__xludf.DUMMYFUNCTION("""COMPUTED_VALUE"""),5.0)</f>
        <v>5</v>
      </c>
      <c r="BC63" s="16">
        <f>IFERROR(__xludf.DUMMYFUNCTION("""COMPUTED_VALUE"""),0.0)</f>
        <v>0</v>
      </c>
      <c r="BD63" s="16">
        <f>IFERROR(__xludf.DUMMYFUNCTION("""COMPUTED_VALUE"""),1.0)</f>
        <v>1</v>
      </c>
      <c r="BE63" s="16">
        <f>IFERROR(__xludf.DUMMYFUNCTION("""COMPUTED_VALUE"""),0.0)</f>
        <v>0</v>
      </c>
      <c r="BF63" s="16">
        <f>IFERROR(__xludf.DUMMYFUNCTION("""COMPUTED_VALUE"""),1.0)</f>
        <v>1</v>
      </c>
      <c r="BG63" s="16">
        <f>IFERROR(__xludf.DUMMYFUNCTION("""COMPUTED_VALUE"""),3.0)</f>
        <v>3</v>
      </c>
      <c r="BH63" s="16">
        <f>IFERROR(__xludf.DUMMYFUNCTION("""COMPUTED_VALUE"""),2.0)</f>
        <v>2</v>
      </c>
      <c r="BI63" s="16">
        <f>IFERROR(__xludf.DUMMYFUNCTION("""COMPUTED_VALUE"""),6.0)</f>
        <v>6</v>
      </c>
      <c r="BJ63" s="16">
        <f>IFERROR(__xludf.DUMMYFUNCTION("""COMPUTED_VALUE"""),4.0)</f>
        <v>4</v>
      </c>
      <c r="BK63" s="16">
        <f>IFERROR(__xludf.DUMMYFUNCTION("""COMPUTED_VALUE"""),5.0)</f>
        <v>5</v>
      </c>
      <c r="BL63" s="16">
        <f>IFERROR(__xludf.DUMMYFUNCTION("""COMPUTED_VALUE"""),5.0)</f>
        <v>5</v>
      </c>
      <c r="BM63" s="16">
        <f>IFERROR(__xludf.DUMMYFUNCTION("""COMPUTED_VALUE"""),0.0)</f>
        <v>0</v>
      </c>
      <c r="BN63" s="16">
        <f>IFERROR(__xludf.DUMMYFUNCTION("""COMPUTED_VALUE"""),0.0)</f>
        <v>0</v>
      </c>
      <c r="BO63" s="16">
        <f>IFERROR(__xludf.DUMMYFUNCTION("""COMPUTED_VALUE"""),0.0)</f>
        <v>0</v>
      </c>
      <c r="BP63" s="16">
        <f>IFERROR(__xludf.DUMMYFUNCTION("""COMPUTED_VALUE"""),0.0)</f>
        <v>0</v>
      </c>
      <c r="BQ63" s="16">
        <f>IFERROR(__xludf.DUMMYFUNCTION("""COMPUTED_VALUE"""),7.0)</f>
        <v>7</v>
      </c>
      <c r="BR63" s="16">
        <f>IFERROR(__xludf.DUMMYFUNCTION("""COMPUTED_VALUE"""),7.0)</f>
        <v>7</v>
      </c>
      <c r="BS63" s="16">
        <f>IFERROR(__xludf.DUMMYFUNCTION("""COMPUTED_VALUE"""),2.0)</f>
        <v>2</v>
      </c>
      <c r="BT63" s="16">
        <f>IFERROR(__xludf.DUMMYFUNCTION("""COMPUTED_VALUE"""),2.0)</f>
        <v>2</v>
      </c>
      <c r="BU63" s="16">
        <f>IFERROR(__xludf.DUMMYFUNCTION("""COMPUTED_VALUE"""),4.0)</f>
        <v>4</v>
      </c>
      <c r="BV63" s="16">
        <f>IFERROR(__xludf.DUMMYFUNCTION("""COMPUTED_VALUE"""),4.0)</f>
        <v>4</v>
      </c>
      <c r="BW63" s="16">
        <f>IFERROR(__xludf.DUMMYFUNCTION("""COMPUTED_VALUE"""),0.0)</f>
        <v>0</v>
      </c>
      <c r="BX63" s="16">
        <f>IFERROR(__xludf.DUMMYFUNCTION("""COMPUTED_VALUE"""),0.0)</f>
        <v>0</v>
      </c>
      <c r="BY63" s="16" t="str">
        <f>IFERROR(__xludf.DUMMYFUNCTION("""COMPUTED_VALUE"""),"S(5) R(3)")</f>
        <v>S(5) R(3)</v>
      </c>
      <c r="BZ63" s="16" t="str">
        <f>IFERROR(__xludf.DUMMYFUNCTION("""COMPUTED_VALUE"""),"S(5) R(3)")</f>
        <v>S(5) R(3)</v>
      </c>
      <c r="CA63" s="16" t="str">
        <f>IFERROR(__xludf.DUMMYFUNCTION("""COMPUTED_VALUE"""),"S(5)")</f>
        <v>S(5)</v>
      </c>
      <c r="CB63" s="16" t="str">
        <f>IFERROR(__xludf.DUMMYFUNCTION("""COMPUTED_VALUE"""),"R(3)")</f>
        <v>R(3)</v>
      </c>
      <c r="CC63" s="16"/>
      <c r="CD63" s="16">
        <f>IFERROR(__xludf.DUMMYFUNCTION("""COMPUTED_VALUE"""),5.0)</f>
        <v>5</v>
      </c>
      <c r="CE63" s="16">
        <f>IFERROR(__xludf.DUMMYFUNCTION("""COMPUTED_VALUE"""),3.0)</f>
        <v>3</v>
      </c>
      <c r="CF63" s="16"/>
      <c r="CG63" s="16" t="str">
        <f>IFERROR(__xludf.DUMMYFUNCTION("""COMPUTED_VALUE"""),"4-30")</f>
        <v>4-30</v>
      </c>
      <c r="CH63" s="16">
        <f>IFERROR(__xludf.DUMMYFUNCTION("""COMPUTED_VALUE"""),4.0)</f>
        <v>4</v>
      </c>
      <c r="CI63" s="16">
        <f>IFERROR(__xludf.DUMMYFUNCTION("""COMPUTED_VALUE"""),30.0)</f>
        <v>30</v>
      </c>
      <c r="CJ63" s="16">
        <f>IFERROR(__xludf.DUMMYFUNCTION("""COMPUTED_VALUE"""),0.0)</f>
        <v>0</v>
      </c>
      <c r="CK63" s="16">
        <f>IFERROR(__xludf.DUMMYFUNCTION("""COMPUTED_VALUE"""),6.0)</f>
        <v>6</v>
      </c>
      <c r="CL63" s="16" t="str">
        <f>IFERROR(__xludf.DUMMYFUNCTION("""COMPUTED_VALUE"""),"1WL-C")</f>
        <v>1WL-C</v>
      </c>
      <c r="CM63" s="16" t="str">
        <f>IFERROR(__xludf.DUMMYFUNCTION("""COMPUTED_VALUE"""),"E")</f>
        <v>E</v>
      </c>
      <c r="CN63" s="16">
        <f>IFERROR(__xludf.DUMMYFUNCTION("""COMPUTED_VALUE"""),10.0)</f>
        <v>10</v>
      </c>
      <c r="CO63" s="16" t="str">
        <f>IFERROR(__xludf.DUMMYFUNCTION("""COMPUTED_VALUE"""),"C")</f>
        <v>C</v>
      </c>
      <c r="CP63" s="16" t="str">
        <f>IFERROR(__xludf.DUMMYFUNCTION("""COMPUTED_VALUE"""),"1p70")</f>
        <v>1p70</v>
      </c>
      <c r="CQ63" s="16">
        <f>IFERROR(__xludf.DUMMYFUNCTION("""COMPUTED_VALUE"""),19.0)</f>
        <v>19</v>
      </c>
      <c r="CR63" s="16">
        <f>IFERROR(__xludf.DUMMYFUNCTION("""COMPUTED_VALUE"""),23.0)</f>
        <v>23</v>
      </c>
      <c r="CS63" s="16">
        <f>IFERROR(__xludf.DUMMYFUNCTION("""COMPUTED_VALUE"""),42.0)</f>
        <v>42</v>
      </c>
      <c r="CT63" s="16">
        <f>IFERROR(__xludf.DUMMYFUNCTION("""COMPUTED_VALUE"""),19.0)</f>
        <v>19</v>
      </c>
      <c r="CU63" s="16">
        <f>IFERROR(__xludf.DUMMYFUNCTION("""COMPUTED_VALUE"""),23.0)</f>
        <v>23</v>
      </c>
      <c r="CV63" s="179">
        <f>IFERROR(__xludf.DUMMYFUNCTION("""COMPUTED_VALUE"""),27.333333333333332)</f>
        <v>27.33333333</v>
      </c>
      <c r="CW63" s="179">
        <f>IFERROR(__xludf.DUMMYFUNCTION("""COMPUTED_VALUE"""),4.0)</f>
        <v>4</v>
      </c>
      <c r="CX63" s="179">
        <f>IFERROR(__xludf.DUMMYFUNCTION("""COMPUTED_VALUE"""),3.0)</f>
        <v>3</v>
      </c>
      <c r="CY63" s="16" t="str">
        <f>IFERROR(__xludf.DUMMYFUNCTION("""COMPUTED_VALUE"""),"SP")</f>
        <v>SP</v>
      </c>
      <c r="CZ63" s="16" t="str">
        <f>IFERROR(__xludf.DUMMYFUNCTION("""COMPUTED_VALUE"""),"RP")</f>
        <v>RP</v>
      </c>
      <c r="DA63" s="16"/>
      <c r="DB63" s="16"/>
      <c r="DC63" s="16"/>
      <c r="DD63" s="16"/>
      <c r="DE63" s="16"/>
      <c r="DF63" s="16"/>
      <c r="DG63" s="16"/>
      <c r="DH63" s="16"/>
      <c r="DI63" s="16"/>
      <c r="DJ63" s="16"/>
      <c r="DK63" s="16"/>
    </row>
    <row r="64">
      <c r="A64" s="16">
        <f>IFERROR(__xludf.DUMMYFUNCTION("""COMPUTED_VALUE"""),13425.0)</f>
        <v>13425</v>
      </c>
      <c r="B64" s="16" t="str">
        <f>IFERROR(__xludf.DUMMYFUNCTION("""COMPUTED_VALUE"""),"Tony Santillan")</f>
        <v>Tony Santillan</v>
      </c>
      <c r="C64" s="153">
        <f>IFERROR(__xludf.DUMMYFUNCTION("""COMPUTED_VALUE"""),1.12)</f>
        <v>1.12</v>
      </c>
      <c r="D64" s="16"/>
      <c r="E64" s="16" t="str">
        <f>IFERROR(__xludf.DUMMYFUNCTION("""COMPUTED_VALUE"""),"R")</f>
        <v>R</v>
      </c>
      <c r="F64" s="16">
        <f>IFERROR(__xludf.DUMMYFUNCTION("""COMPUTED_VALUE"""),30.0)</f>
        <v>30</v>
      </c>
      <c r="G64" s="16">
        <f>IFERROR(__xludf.DUMMYFUNCTION("""COMPUTED_VALUE"""),58.0)</f>
        <v>58</v>
      </c>
      <c r="H64" s="16">
        <f>IFERROR(__xludf.DUMMYFUNCTION("""COMPUTED_VALUE"""),54.0)</f>
        <v>54</v>
      </c>
      <c r="I64" s="16">
        <f>IFERROR(__xludf.DUMMYFUNCTION("""COMPUTED_VALUE"""),3.0)</f>
        <v>3</v>
      </c>
      <c r="J64" s="16">
        <f>IFERROR(__xludf.DUMMYFUNCTION("""COMPUTED_VALUE"""),3.0)</f>
        <v>3</v>
      </c>
      <c r="K64" s="16">
        <f>IFERROR(__xludf.DUMMYFUNCTION("""COMPUTED_VALUE"""),9.0)</f>
        <v>9</v>
      </c>
      <c r="L64" s="16">
        <f>IFERROR(__xludf.DUMMYFUNCTION("""COMPUTED_VALUE"""),9.0)</f>
        <v>9</v>
      </c>
      <c r="M64" s="16">
        <f>IFERROR(__xludf.DUMMYFUNCTION("""COMPUTED_VALUE"""),0.0)</f>
        <v>0</v>
      </c>
      <c r="N64" s="16">
        <f>IFERROR(__xludf.DUMMYFUNCTION("""COMPUTED_VALUE"""),13.0)</f>
        <v>13</v>
      </c>
      <c r="O64" s="16">
        <f>IFERROR(__xludf.DUMMYFUNCTION("""COMPUTED_VALUE"""),3.0)</f>
        <v>3</v>
      </c>
      <c r="P64" s="16">
        <f>IFERROR(__xludf.DUMMYFUNCTION("""COMPUTED_VALUE"""),-2.0)</f>
        <v>-2</v>
      </c>
      <c r="Q64" s="16">
        <f>IFERROR(__xludf.DUMMYFUNCTION("""COMPUTED_VALUE"""),3.0)</f>
        <v>3</v>
      </c>
      <c r="R64" s="16">
        <f>IFERROR(__xludf.DUMMYFUNCTION("""COMPUTED_VALUE"""),-2.0)</f>
        <v>-2</v>
      </c>
      <c r="S64" s="16">
        <f>IFERROR(__xludf.DUMMYFUNCTION("""COMPUTED_VALUE"""),4.2)</f>
        <v>4.2</v>
      </c>
      <c r="T64" s="16">
        <f>IFERROR(__xludf.DUMMYFUNCTION("""COMPUTED_VALUE"""),6.1)</f>
        <v>6.1</v>
      </c>
      <c r="U64" s="16">
        <f>IFERROR(__xludf.DUMMYFUNCTION("""COMPUTED_VALUE"""),2.0)</f>
        <v>2</v>
      </c>
      <c r="V64" s="16">
        <f>IFERROR(__xludf.DUMMYFUNCTION("""COMPUTED_VALUE"""),2.0)</f>
        <v>2</v>
      </c>
      <c r="W64" s="16">
        <f>IFERROR(__xludf.DUMMYFUNCTION("""COMPUTED_VALUE"""),4.0)</f>
        <v>4</v>
      </c>
      <c r="X64" s="16">
        <f>IFERROR(__xludf.DUMMYFUNCTION("""COMPUTED_VALUE"""),4.0)</f>
        <v>4</v>
      </c>
      <c r="Y64" s="16">
        <f>IFERROR(__xludf.DUMMYFUNCTION("""COMPUTED_VALUE"""),4.2)</f>
        <v>4.2</v>
      </c>
      <c r="Z64" s="16">
        <f>IFERROR(__xludf.DUMMYFUNCTION("""COMPUTED_VALUE"""),19.1)</f>
        <v>19.1</v>
      </c>
      <c r="AA64" s="16">
        <f>IFERROR(__xludf.DUMMYFUNCTION("""COMPUTED_VALUE"""),3.0)</f>
        <v>3</v>
      </c>
      <c r="AB64" s="16">
        <f>IFERROR(__xludf.DUMMYFUNCTION("""COMPUTED_VALUE"""),1.0)</f>
        <v>1</v>
      </c>
      <c r="AC64" s="16">
        <f>IFERROR(__xludf.DUMMYFUNCTION("""COMPUTED_VALUE"""),15.0)</f>
        <v>15</v>
      </c>
      <c r="AD64" s="16">
        <f>IFERROR(__xludf.DUMMYFUNCTION("""COMPUTED_VALUE"""),5.0)</f>
        <v>5</v>
      </c>
      <c r="AE64" s="16">
        <f>IFERROR(__xludf.DUMMYFUNCTION("""COMPUTED_VALUE"""),7.2)</f>
        <v>7.2</v>
      </c>
      <c r="AF64" s="16">
        <f>IFERROR(__xludf.DUMMYFUNCTION("""COMPUTED_VALUE"""),18.2)</f>
        <v>18.2</v>
      </c>
      <c r="AG64" s="16">
        <f>IFERROR(__xludf.DUMMYFUNCTION("""COMPUTED_VALUE"""),2.0)</f>
        <v>2</v>
      </c>
      <c r="AH64" s="16">
        <f>IFERROR(__xludf.DUMMYFUNCTION("""COMPUTED_VALUE"""),1.0)</f>
        <v>1</v>
      </c>
      <c r="AI64" s="16">
        <f>IFERROR(__xludf.DUMMYFUNCTION("""COMPUTED_VALUE"""),4.0)</f>
        <v>4</v>
      </c>
      <c r="AJ64" s="16">
        <f>IFERROR(__xludf.DUMMYFUNCTION("""COMPUTED_VALUE"""),2.0)</f>
        <v>2</v>
      </c>
      <c r="AK64" s="16">
        <f>IFERROR(__xludf.DUMMYFUNCTION("""COMPUTED_VALUE"""),3.2)</f>
        <v>3.2</v>
      </c>
      <c r="AL64" s="16">
        <f>IFERROR(__xludf.DUMMYFUNCTION("""COMPUTED_VALUE"""),2.4999999999999996)</f>
        <v>2.5</v>
      </c>
      <c r="AM64" s="16">
        <f>IFERROR(__xludf.DUMMYFUNCTION("""COMPUTED_VALUE"""),2.0)</f>
        <v>2</v>
      </c>
      <c r="AN64" s="16">
        <f>IFERROR(__xludf.DUMMYFUNCTION("""COMPUTED_VALUE"""),2.0)</f>
        <v>2</v>
      </c>
      <c r="AO64" s="16">
        <f>IFERROR(__xludf.DUMMYFUNCTION("""COMPUTED_VALUE"""),2.0)</f>
        <v>2</v>
      </c>
      <c r="AP64" s="16">
        <f>IFERROR(__xludf.DUMMYFUNCTION("""COMPUTED_VALUE"""),2.0)</f>
        <v>2</v>
      </c>
      <c r="AQ64" s="16">
        <f>IFERROR(__xludf.DUMMYFUNCTION("""COMPUTED_VALUE"""),3.2)</f>
        <v>3.2</v>
      </c>
      <c r="AR64" s="16">
        <f>IFERROR(__xludf.DUMMYFUNCTION("""COMPUTED_VALUE"""),3.799999999999999)</f>
        <v>3.8</v>
      </c>
      <c r="AS64" s="16">
        <f>IFERROR(__xludf.DUMMYFUNCTION("""COMPUTED_VALUE"""),2.0)</f>
        <v>2</v>
      </c>
      <c r="AT64" s="16">
        <f>IFERROR(__xludf.DUMMYFUNCTION("""COMPUTED_VALUE"""),2.0)</f>
        <v>2</v>
      </c>
      <c r="AU64" s="16">
        <f>IFERROR(__xludf.DUMMYFUNCTION("""COMPUTED_VALUE"""),4.0)</f>
        <v>4</v>
      </c>
      <c r="AV64" s="16">
        <f>IFERROR(__xludf.DUMMYFUNCTION("""COMPUTED_VALUE"""),4.0)</f>
        <v>4</v>
      </c>
      <c r="AW64" s="16">
        <f>IFERROR(__xludf.DUMMYFUNCTION("""COMPUTED_VALUE"""),1.0)</f>
        <v>1</v>
      </c>
      <c r="AX64" s="16">
        <f>IFERROR(__xludf.DUMMYFUNCTION("""COMPUTED_VALUE"""),3.6)</f>
        <v>3.6</v>
      </c>
      <c r="AY64" s="16">
        <f>IFERROR(__xludf.DUMMYFUNCTION("""COMPUTED_VALUE"""),1.0)</f>
        <v>1</v>
      </c>
      <c r="AZ64" s="16">
        <f>IFERROR(__xludf.DUMMYFUNCTION("""COMPUTED_VALUE"""),-2.0)</f>
        <v>-2</v>
      </c>
      <c r="BA64" s="16">
        <f>IFERROR(__xludf.DUMMYFUNCTION("""COMPUTED_VALUE"""),5.0)</f>
        <v>5</v>
      </c>
      <c r="BB64" s="16">
        <f>IFERROR(__xludf.DUMMYFUNCTION("""COMPUTED_VALUE"""),-10.0)</f>
        <v>-10</v>
      </c>
      <c r="BC64" s="16">
        <f>IFERROR(__xludf.DUMMYFUNCTION("""COMPUTED_VALUE"""),0.0)</f>
        <v>0</v>
      </c>
      <c r="BD64" s="16"/>
      <c r="BE64" s="16">
        <f>IFERROR(__xludf.DUMMYFUNCTION("""COMPUTED_VALUE"""),0.0)</f>
        <v>0</v>
      </c>
      <c r="BF64" s="16">
        <f>IFERROR(__xludf.DUMMYFUNCTION("""COMPUTED_VALUE"""),3.0)</f>
        <v>3</v>
      </c>
      <c r="BG64" s="16">
        <f>IFERROR(__xludf.DUMMYFUNCTION("""COMPUTED_VALUE"""),3.0)</f>
        <v>3</v>
      </c>
      <c r="BH64" s="16">
        <f>IFERROR(__xludf.DUMMYFUNCTION("""COMPUTED_VALUE"""),0.0)</f>
        <v>0</v>
      </c>
      <c r="BI64" s="16">
        <f>IFERROR(__xludf.DUMMYFUNCTION("""COMPUTED_VALUE"""),6.0)</f>
        <v>6</v>
      </c>
      <c r="BJ64" s="16">
        <f>IFERROR(__xludf.DUMMYFUNCTION("""COMPUTED_VALUE"""),0.0)</f>
        <v>0</v>
      </c>
      <c r="BK64" s="16">
        <f>IFERROR(__xludf.DUMMYFUNCTION("""COMPUTED_VALUE"""),5.0)</f>
        <v>5</v>
      </c>
      <c r="BL64" s="16">
        <f>IFERROR(__xludf.DUMMYFUNCTION("""COMPUTED_VALUE"""),0.0)</f>
        <v>0</v>
      </c>
      <c r="BM64" s="16">
        <f>IFERROR(__xludf.DUMMYFUNCTION("""COMPUTED_VALUE"""),0.0)</f>
        <v>0</v>
      </c>
      <c r="BN64" s="16">
        <f>IFERROR(__xludf.DUMMYFUNCTION("""COMPUTED_VALUE"""),1.0)</f>
        <v>1</v>
      </c>
      <c r="BO64" s="16">
        <f>IFERROR(__xludf.DUMMYFUNCTION("""COMPUTED_VALUE"""),0.0)</f>
        <v>0</v>
      </c>
      <c r="BP64" s="16">
        <f>IFERROR(__xludf.DUMMYFUNCTION("""COMPUTED_VALUE"""),1.0)</f>
        <v>1</v>
      </c>
      <c r="BQ64" s="16">
        <f>IFERROR(__xludf.DUMMYFUNCTION("""COMPUTED_VALUE"""),0.0)</f>
        <v>0</v>
      </c>
      <c r="BR64" s="16">
        <f>IFERROR(__xludf.DUMMYFUNCTION("""COMPUTED_VALUE"""),0.0)</f>
        <v>0</v>
      </c>
      <c r="BS64" s="16">
        <f>IFERROR(__xludf.DUMMYFUNCTION("""COMPUTED_VALUE"""),-3.0)</f>
        <v>-3</v>
      </c>
      <c r="BT64" s="16">
        <f>IFERROR(__xludf.DUMMYFUNCTION("""COMPUTED_VALUE"""),-3.0)</f>
        <v>-3</v>
      </c>
      <c r="BU64" s="16">
        <f>IFERROR(__xludf.DUMMYFUNCTION("""COMPUTED_VALUE"""),-6.0)</f>
        <v>-6</v>
      </c>
      <c r="BV64" s="16">
        <f>IFERROR(__xludf.DUMMYFUNCTION("""COMPUTED_VALUE"""),-6.0)</f>
        <v>-6</v>
      </c>
      <c r="BW64" s="16">
        <f>IFERROR(__xludf.DUMMYFUNCTION("""COMPUTED_VALUE"""),-2.0)</f>
        <v>-2</v>
      </c>
      <c r="BX64" s="16">
        <f>IFERROR(__xludf.DUMMYFUNCTION("""COMPUTED_VALUE"""),-2.0)</f>
        <v>-2</v>
      </c>
      <c r="BY64" s="16" t="str">
        <f>IFERROR(__xludf.DUMMYFUNCTION("""COMPUTED_VALUE"""),"R(1)")</f>
        <v>R(1)</v>
      </c>
      <c r="BZ64" s="16" t="str">
        <f>IFERROR(__xludf.DUMMYFUNCTION("""COMPUTED_VALUE"""),"R(1)")</f>
        <v>R(1)</v>
      </c>
      <c r="CA64" s="16" t="str">
        <f>IFERROR(__xludf.DUMMYFUNCTION("""COMPUTED_VALUE"""),"R(1)")</f>
        <v>R(1)</v>
      </c>
      <c r="CB64" s="16"/>
      <c r="CC64" s="16"/>
      <c r="CD64" s="16"/>
      <c r="CE64" s="16">
        <f>IFERROR(__xludf.DUMMYFUNCTION("""COMPUTED_VALUE"""),1.0)</f>
        <v>1</v>
      </c>
      <c r="CF64" s="16"/>
      <c r="CG64" s="16" t="str">
        <f>IFERROR(__xludf.DUMMYFUNCTION("""COMPUTED_VALUE"""),"3-51")</f>
        <v>3-51</v>
      </c>
      <c r="CH64" s="16">
        <f>IFERROR(__xludf.DUMMYFUNCTION("""COMPUTED_VALUE"""),3.0)</f>
        <v>3</v>
      </c>
      <c r="CI64" s="16">
        <f>IFERROR(__xludf.DUMMYFUNCTION("""COMPUTED_VALUE"""),51.0)</f>
        <v>51</v>
      </c>
      <c r="CJ64" s="16">
        <f>IFERROR(__xludf.DUMMYFUNCTION("""COMPUTED_VALUE"""),0.0)</f>
        <v>0</v>
      </c>
      <c r="CK64" s="16">
        <f>IFERROR(__xludf.DUMMYFUNCTION("""COMPUTED_VALUE"""),7.0)</f>
        <v>7</v>
      </c>
      <c r="CL64" s="16" t="str">
        <f>IFERROR(__xludf.DUMMYFUNCTION("""COMPUTED_VALUE"""),"1WR-C")</f>
        <v>1WR-C</v>
      </c>
      <c r="CM64" s="16" t="str">
        <f>IFERROR(__xludf.DUMMYFUNCTION("""COMPUTED_VALUE"""),"E")</f>
        <v>E</v>
      </c>
      <c r="CN64" s="16">
        <f>IFERROR(__xludf.DUMMYFUNCTION("""COMPUTED_VALUE"""),10.0)</f>
        <v>10</v>
      </c>
      <c r="CO64" s="16" t="str">
        <f>IFERROR(__xludf.DUMMYFUNCTION("""COMPUTED_VALUE"""),"C")</f>
        <v>C</v>
      </c>
      <c r="CP64" s="16" t="str">
        <f>IFERROR(__xludf.DUMMYFUNCTION("""COMPUTED_VALUE"""),"1p30")</f>
        <v>1p30</v>
      </c>
      <c r="CQ64" s="16">
        <f>IFERROR(__xludf.DUMMYFUNCTION("""COMPUTED_VALUE"""),46.0)</f>
        <v>46</v>
      </c>
      <c r="CR64" s="16">
        <f>IFERROR(__xludf.DUMMYFUNCTION("""COMPUTED_VALUE"""),9.0)</f>
        <v>9</v>
      </c>
      <c r="CS64" s="16">
        <f>IFERROR(__xludf.DUMMYFUNCTION("""COMPUTED_VALUE"""),55.0)</f>
        <v>55</v>
      </c>
      <c r="CT64" s="16">
        <f>IFERROR(__xludf.DUMMYFUNCTION("""COMPUTED_VALUE"""),46.0)</f>
        <v>46</v>
      </c>
      <c r="CU64" s="16">
        <f>IFERROR(__xludf.DUMMYFUNCTION("""COMPUTED_VALUE"""),9.0)</f>
        <v>9</v>
      </c>
      <c r="CV64" s="179">
        <f>IFERROR(__xludf.DUMMYFUNCTION("""COMPUTED_VALUE"""),27.333333333333332)</f>
        <v>27.33333333</v>
      </c>
      <c r="CW64" s="179">
        <f>IFERROR(__xludf.DUMMYFUNCTION("""COMPUTED_VALUE"""),4.0)</f>
        <v>4</v>
      </c>
      <c r="CX64" s="179">
        <f>IFERROR(__xludf.DUMMYFUNCTION("""COMPUTED_VALUE"""),2.0)</f>
        <v>2</v>
      </c>
      <c r="CY64" s="16" t="str">
        <f>IFERROR(__xludf.DUMMYFUNCTION("""COMPUTED_VALUE"""),"RP")</f>
        <v>RP</v>
      </c>
      <c r="CZ64" s="16"/>
      <c r="DA64" s="16"/>
      <c r="DB64" s="16"/>
      <c r="DC64" s="16"/>
      <c r="DD64" s="16"/>
      <c r="DE64" s="16"/>
      <c r="DF64" s="16"/>
      <c r="DG64" s="16"/>
      <c r="DH64" s="16"/>
      <c r="DI64" s="16"/>
      <c r="DJ64" s="16"/>
      <c r="DK64" s="16"/>
    </row>
    <row r="65">
      <c r="A65" s="16">
        <f>IFERROR(__xludf.DUMMYFUNCTION("""COMPUTED_VALUE"""),13364.0)</f>
        <v>13364</v>
      </c>
      <c r="B65" s="16" t="str">
        <f>IFERROR(__xludf.DUMMYFUNCTION("""COMPUTED_VALUE"""),"Sean Reid-Foley")</f>
        <v>Sean Reid-Foley</v>
      </c>
      <c r="C65" s="153">
        <f>IFERROR(__xludf.DUMMYFUNCTION("""COMPUTED_VALUE"""),0.44)</f>
        <v>0.44</v>
      </c>
      <c r="D65" s="16"/>
      <c r="E65" s="16" t="str">
        <f>IFERROR(__xludf.DUMMYFUNCTION("""COMPUTED_VALUE"""),"R")</f>
        <v>R</v>
      </c>
      <c r="F65" s="16">
        <f>IFERROR(__xludf.DUMMYFUNCTION("""COMPUTED_VALUE"""),22.0)</f>
        <v>22</v>
      </c>
      <c r="G65" s="16">
        <f>IFERROR(__xludf.DUMMYFUNCTION("""COMPUTED_VALUE"""),42.0)</f>
        <v>42</v>
      </c>
      <c r="H65" s="16">
        <f>IFERROR(__xludf.DUMMYFUNCTION("""COMPUTED_VALUE"""),32.0)</f>
        <v>32</v>
      </c>
      <c r="I65" s="16">
        <f>IFERROR(__xludf.DUMMYFUNCTION("""COMPUTED_VALUE"""),2.0)</f>
        <v>2</v>
      </c>
      <c r="J65" s="16">
        <f>IFERROR(__xludf.DUMMYFUNCTION("""COMPUTED_VALUE"""),1.0)</f>
        <v>1</v>
      </c>
      <c r="K65" s="16">
        <f>IFERROR(__xludf.DUMMYFUNCTION("""COMPUTED_VALUE"""),6.0)</f>
        <v>6</v>
      </c>
      <c r="L65" s="16">
        <f>IFERROR(__xludf.DUMMYFUNCTION("""COMPUTED_VALUE"""),3.0)</f>
        <v>3</v>
      </c>
      <c r="M65" s="16">
        <f>IFERROR(__xludf.DUMMYFUNCTION("""COMPUTED_VALUE"""),26.0)</f>
        <v>26</v>
      </c>
      <c r="N65" s="16">
        <f>IFERROR(__xludf.DUMMYFUNCTION("""COMPUTED_VALUE"""),25.0)</f>
        <v>25</v>
      </c>
      <c r="O65" s="16">
        <f>IFERROR(__xludf.DUMMYFUNCTION("""COMPUTED_VALUE"""),-3.0)</f>
        <v>-3</v>
      </c>
      <c r="P65" s="16">
        <f>IFERROR(__xludf.DUMMYFUNCTION("""COMPUTED_VALUE"""),-3.0)</f>
        <v>-3</v>
      </c>
      <c r="Q65" s="16">
        <f>IFERROR(__xludf.DUMMYFUNCTION("""COMPUTED_VALUE"""),-3.0)</f>
        <v>-3</v>
      </c>
      <c r="R65" s="16">
        <f>IFERROR(__xludf.DUMMYFUNCTION("""COMPUTED_VALUE"""),-3.0)</f>
        <v>-3</v>
      </c>
      <c r="S65" s="16">
        <f>IFERROR(__xludf.DUMMYFUNCTION("""COMPUTED_VALUE"""),2.0)</f>
        <v>2</v>
      </c>
      <c r="T65" s="16">
        <f>IFERROR(__xludf.DUMMYFUNCTION("""COMPUTED_VALUE"""),3.2)</f>
        <v>3.2</v>
      </c>
      <c r="U65" s="16">
        <f>IFERROR(__xludf.DUMMYFUNCTION("""COMPUTED_VALUE"""),2.0)</f>
        <v>2</v>
      </c>
      <c r="V65" s="16">
        <f>IFERROR(__xludf.DUMMYFUNCTION("""COMPUTED_VALUE"""),2.0)</f>
        <v>2</v>
      </c>
      <c r="W65" s="16">
        <f>IFERROR(__xludf.DUMMYFUNCTION("""COMPUTED_VALUE"""),4.0)</f>
        <v>4</v>
      </c>
      <c r="X65" s="16">
        <f>IFERROR(__xludf.DUMMYFUNCTION("""COMPUTED_VALUE"""),4.0)</f>
        <v>4</v>
      </c>
      <c r="Y65" s="16">
        <f>IFERROR(__xludf.DUMMYFUNCTION("""COMPUTED_VALUE"""),28.0)</f>
        <v>28</v>
      </c>
      <c r="Z65" s="16">
        <f>IFERROR(__xludf.DUMMYFUNCTION("""COMPUTED_VALUE"""),28.2)</f>
        <v>28.2</v>
      </c>
      <c r="AA65" s="16">
        <f>IFERROR(__xludf.DUMMYFUNCTION("""COMPUTED_VALUE"""),0.0)</f>
        <v>0</v>
      </c>
      <c r="AB65" s="16">
        <f>IFERROR(__xludf.DUMMYFUNCTION("""COMPUTED_VALUE"""),0.0)</f>
        <v>0</v>
      </c>
      <c r="AC65" s="16">
        <f>IFERROR(__xludf.DUMMYFUNCTION("""COMPUTED_VALUE"""),0.0)</f>
        <v>0</v>
      </c>
      <c r="AD65" s="16">
        <f>IFERROR(__xludf.DUMMYFUNCTION("""COMPUTED_VALUE"""),0.0)</f>
        <v>0</v>
      </c>
      <c r="AE65" s="16">
        <f>IFERROR(__xludf.DUMMYFUNCTION("""COMPUTED_VALUE"""),3.2)</f>
        <v>3.2</v>
      </c>
      <c r="AF65" s="16">
        <f>IFERROR(__xludf.DUMMYFUNCTION("""COMPUTED_VALUE"""),3.2)</f>
        <v>3.2</v>
      </c>
      <c r="AG65" s="16">
        <f>IFERROR(__xludf.DUMMYFUNCTION("""COMPUTED_VALUE"""),2.0)</f>
        <v>2</v>
      </c>
      <c r="AH65" s="16">
        <f>IFERROR(__xludf.DUMMYFUNCTION("""COMPUTED_VALUE"""),2.0)</f>
        <v>2</v>
      </c>
      <c r="AI65" s="16">
        <f>IFERROR(__xludf.DUMMYFUNCTION("""COMPUTED_VALUE"""),4.0)</f>
        <v>4</v>
      </c>
      <c r="AJ65" s="16">
        <f>IFERROR(__xludf.DUMMYFUNCTION("""COMPUTED_VALUE"""),4.0)</f>
        <v>4</v>
      </c>
      <c r="AK65" s="16">
        <f>IFERROR(__xludf.DUMMYFUNCTION("""COMPUTED_VALUE"""),2.0)</f>
        <v>2</v>
      </c>
      <c r="AL65" s="16">
        <f>IFERROR(__xludf.DUMMYFUNCTION("""COMPUTED_VALUE"""),3.2)</f>
        <v>3.2</v>
      </c>
      <c r="AM65" s="16">
        <f>IFERROR(__xludf.DUMMYFUNCTION("""COMPUTED_VALUE"""),2.0)</f>
        <v>2</v>
      </c>
      <c r="AN65" s="16">
        <f>IFERROR(__xludf.DUMMYFUNCTION("""COMPUTED_VALUE"""),2.0)</f>
        <v>2</v>
      </c>
      <c r="AO65" s="16">
        <f>IFERROR(__xludf.DUMMYFUNCTION("""COMPUTED_VALUE"""),2.0)</f>
        <v>2</v>
      </c>
      <c r="AP65" s="16">
        <f>IFERROR(__xludf.DUMMYFUNCTION("""COMPUTED_VALUE"""),2.0)</f>
        <v>2</v>
      </c>
      <c r="AQ65" s="16">
        <f>IFERROR(__xludf.DUMMYFUNCTION("""COMPUTED_VALUE"""),3.2)</f>
        <v>3.2</v>
      </c>
      <c r="AR65" s="16">
        <f>IFERROR(__xludf.DUMMYFUNCTION("""COMPUTED_VALUE"""),3.2)</f>
        <v>3.2</v>
      </c>
      <c r="AS65" s="16">
        <f>IFERROR(__xludf.DUMMYFUNCTION("""COMPUTED_VALUE"""),2.0)</f>
        <v>2</v>
      </c>
      <c r="AT65" s="16">
        <f>IFERROR(__xludf.DUMMYFUNCTION("""COMPUTED_VALUE"""),2.0)</f>
        <v>2</v>
      </c>
      <c r="AU65" s="16">
        <f>IFERROR(__xludf.DUMMYFUNCTION("""COMPUTED_VALUE"""),4.0)</f>
        <v>4</v>
      </c>
      <c r="AV65" s="16">
        <f>IFERROR(__xludf.DUMMYFUNCTION("""COMPUTED_VALUE"""),4.0)</f>
        <v>4</v>
      </c>
      <c r="AW65" s="16">
        <f>IFERROR(__xludf.DUMMYFUNCTION("""COMPUTED_VALUE"""),0.0)</f>
        <v>0</v>
      </c>
      <c r="AX65" s="16">
        <f>IFERROR(__xludf.DUMMYFUNCTION("""COMPUTED_VALUE"""),0.0)</f>
        <v>0</v>
      </c>
      <c r="AY65" s="16">
        <f>IFERROR(__xludf.DUMMYFUNCTION("""COMPUTED_VALUE"""),2.0)</f>
        <v>2</v>
      </c>
      <c r="AZ65" s="16">
        <f>IFERROR(__xludf.DUMMYFUNCTION("""COMPUTED_VALUE"""),2.0)</f>
        <v>2</v>
      </c>
      <c r="BA65" s="16">
        <f>IFERROR(__xludf.DUMMYFUNCTION("""COMPUTED_VALUE"""),10.0)</f>
        <v>10</v>
      </c>
      <c r="BB65" s="16">
        <f>IFERROR(__xludf.DUMMYFUNCTION("""COMPUTED_VALUE"""),10.0)</f>
        <v>10</v>
      </c>
      <c r="BC65" s="16"/>
      <c r="BD65" s="16">
        <f>IFERROR(__xludf.DUMMYFUNCTION("""COMPUTED_VALUE"""),0.0)</f>
        <v>0</v>
      </c>
      <c r="BE65" s="16">
        <f>IFERROR(__xludf.DUMMYFUNCTION("""COMPUTED_VALUE"""),0.0)</f>
        <v>0</v>
      </c>
      <c r="BF65" s="16">
        <f>IFERROR(__xludf.DUMMYFUNCTION("""COMPUTED_VALUE"""),0.0)</f>
        <v>0</v>
      </c>
      <c r="BG65" s="16">
        <f>IFERROR(__xludf.DUMMYFUNCTION("""COMPUTED_VALUE"""),3.0)</f>
        <v>3</v>
      </c>
      <c r="BH65" s="16">
        <f>IFERROR(__xludf.DUMMYFUNCTION("""COMPUTED_VALUE"""),2.0)</f>
        <v>2</v>
      </c>
      <c r="BI65" s="16">
        <f>IFERROR(__xludf.DUMMYFUNCTION("""COMPUTED_VALUE"""),6.0)</f>
        <v>6</v>
      </c>
      <c r="BJ65" s="16">
        <f>IFERROR(__xludf.DUMMYFUNCTION("""COMPUTED_VALUE"""),4.0)</f>
        <v>4</v>
      </c>
      <c r="BK65" s="16">
        <f>IFERROR(__xludf.DUMMYFUNCTION("""COMPUTED_VALUE"""),0.0)</f>
        <v>0</v>
      </c>
      <c r="BL65" s="16">
        <f>IFERROR(__xludf.DUMMYFUNCTION("""COMPUTED_VALUE"""),5.0)</f>
        <v>5</v>
      </c>
      <c r="BM65" s="16">
        <f>IFERROR(__xludf.DUMMYFUNCTION("""COMPUTED_VALUE"""),1.0)</f>
        <v>1</v>
      </c>
      <c r="BN65" s="16">
        <f>IFERROR(__xludf.DUMMYFUNCTION("""COMPUTED_VALUE"""),0.0)</f>
        <v>0</v>
      </c>
      <c r="BO65" s="16">
        <f>IFERROR(__xludf.DUMMYFUNCTION("""COMPUTED_VALUE"""),1.0)</f>
        <v>1</v>
      </c>
      <c r="BP65" s="16">
        <f>IFERROR(__xludf.DUMMYFUNCTION("""COMPUTED_VALUE"""),0.0)</f>
        <v>0</v>
      </c>
      <c r="BQ65" s="16">
        <f>IFERROR(__xludf.DUMMYFUNCTION("""COMPUTED_VALUE"""),0.0)</f>
        <v>0</v>
      </c>
      <c r="BR65" s="16">
        <f>IFERROR(__xludf.DUMMYFUNCTION("""COMPUTED_VALUE"""),0.0)</f>
        <v>0</v>
      </c>
      <c r="BS65" s="16">
        <f>IFERROR(__xludf.DUMMYFUNCTION("""COMPUTED_VALUE"""),-3.0)</f>
        <v>-3</v>
      </c>
      <c r="BT65" s="16">
        <f>IFERROR(__xludf.DUMMYFUNCTION("""COMPUTED_VALUE"""),-3.0)</f>
        <v>-3</v>
      </c>
      <c r="BU65" s="16">
        <f>IFERROR(__xludf.DUMMYFUNCTION("""COMPUTED_VALUE"""),-6.0)</f>
        <v>-6</v>
      </c>
      <c r="BV65" s="16">
        <f>IFERROR(__xludf.DUMMYFUNCTION("""COMPUTED_VALUE"""),-6.0)</f>
        <v>-6</v>
      </c>
      <c r="BW65" s="16">
        <f>IFERROR(__xludf.DUMMYFUNCTION("""COMPUTED_VALUE"""),5.0)</f>
        <v>5</v>
      </c>
      <c r="BX65" s="16">
        <f>IFERROR(__xludf.DUMMYFUNCTION("""COMPUTED_VALUE"""),5.0)</f>
        <v>5</v>
      </c>
      <c r="BY65" s="16" t="str">
        <f>IFERROR(__xludf.DUMMYFUNCTION("""COMPUTED_VALUE"""),"R(1)")</f>
        <v>R(1)</v>
      </c>
      <c r="BZ65" s="16" t="str">
        <f>IFERROR(__xludf.DUMMYFUNCTION("""COMPUTED_VALUE"""),"R(1)")</f>
        <v>R(1)</v>
      </c>
      <c r="CA65" s="16" t="str">
        <f>IFERROR(__xludf.DUMMYFUNCTION("""COMPUTED_VALUE"""),"R(1)")</f>
        <v>R(1)</v>
      </c>
      <c r="CB65" s="16"/>
      <c r="CC65" s="16"/>
      <c r="CD65" s="16"/>
      <c r="CE65" s="16">
        <f>IFERROR(__xludf.DUMMYFUNCTION("""COMPUTED_VALUE"""),1.0)</f>
        <v>1</v>
      </c>
      <c r="CF65" s="16"/>
      <c r="CG65" s="16" t="str">
        <f>IFERROR(__xludf.DUMMYFUNCTION("""COMPUTED_VALUE"""),"5-0")</f>
        <v>5-0</v>
      </c>
      <c r="CH65" s="16">
        <f>IFERROR(__xludf.DUMMYFUNCTION("""COMPUTED_VALUE"""),5.0)</f>
        <v>5</v>
      </c>
      <c r="CI65" s="16">
        <f>IFERROR(__xludf.DUMMYFUNCTION("""COMPUTED_VALUE"""),0.0)</f>
        <v>0</v>
      </c>
      <c r="CJ65" s="16">
        <f>IFERROR(__xludf.DUMMYFUNCTION("""COMPUTED_VALUE"""),0.0)</f>
        <v>0</v>
      </c>
      <c r="CK65" s="16">
        <f>IFERROR(__xludf.DUMMYFUNCTION("""COMPUTED_VALUE"""),10.0)</f>
        <v>10</v>
      </c>
      <c r="CL65" s="16" t="str">
        <f>IFERROR(__xludf.DUMMYFUNCTION("""COMPUTED_VALUE"""),"1WR-C")</f>
        <v>1WR-C</v>
      </c>
      <c r="CM65" s="16" t="str">
        <f>IFERROR(__xludf.DUMMYFUNCTION("""COMPUTED_VALUE"""),"E")</f>
        <v>E</v>
      </c>
      <c r="CN65" s="16">
        <f>IFERROR(__xludf.DUMMYFUNCTION("""COMPUTED_VALUE"""),10.0)</f>
        <v>10</v>
      </c>
      <c r="CO65" s="16" t="str">
        <f>IFERROR(__xludf.DUMMYFUNCTION("""COMPUTED_VALUE"""),"C")</f>
        <v>C</v>
      </c>
      <c r="CP65" s="16" t="str">
        <f>IFERROR(__xludf.DUMMYFUNCTION("""COMPUTED_VALUE"""),"5p20")</f>
        <v>5p20</v>
      </c>
      <c r="CQ65" s="16">
        <f>IFERROR(__xludf.DUMMYFUNCTION("""COMPUTED_VALUE"""),28.0)</f>
        <v>28</v>
      </c>
      <c r="CR65" s="16">
        <f>IFERROR(__xludf.DUMMYFUNCTION("""COMPUTED_VALUE"""),22.0)</f>
        <v>22</v>
      </c>
      <c r="CS65" s="16">
        <f>IFERROR(__xludf.DUMMYFUNCTION("""COMPUTED_VALUE"""),50.0)</f>
        <v>50</v>
      </c>
      <c r="CT65" s="16">
        <f>IFERROR(__xludf.DUMMYFUNCTION("""COMPUTED_VALUE"""),28.0)</f>
        <v>28</v>
      </c>
      <c r="CU65" s="16">
        <f>IFERROR(__xludf.DUMMYFUNCTION("""COMPUTED_VALUE"""),22.0)</f>
        <v>22</v>
      </c>
      <c r="CV65" s="179">
        <f>IFERROR(__xludf.DUMMYFUNCTION("""COMPUTED_VALUE"""),27.0)</f>
        <v>27</v>
      </c>
      <c r="CW65" s="179">
        <f>IFERROR(__xludf.DUMMYFUNCTION("""COMPUTED_VALUE"""),0.0)</f>
        <v>0</v>
      </c>
      <c r="CX65" s="179">
        <f>IFERROR(__xludf.DUMMYFUNCTION("""COMPUTED_VALUE"""),3.0)</f>
        <v>3</v>
      </c>
      <c r="CY65" s="16" t="str">
        <f>IFERROR(__xludf.DUMMYFUNCTION("""COMPUTED_VALUE"""),"RP")</f>
        <v>RP</v>
      </c>
      <c r="CZ65" s="16"/>
      <c r="DA65" s="16"/>
      <c r="DB65" s="16"/>
      <c r="DC65" s="16"/>
      <c r="DD65" s="16"/>
      <c r="DE65" s="16"/>
      <c r="DF65" s="16"/>
      <c r="DG65" s="16"/>
      <c r="DH65" s="16"/>
      <c r="DI65" s="16"/>
      <c r="DJ65" s="16"/>
      <c r="DK65" s="16"/>
    </row>
    <row r="66">
      <c r="A66" s="16">
        <f>IFERROR(__xludf.DUMMYFUNCTION("""COMPUTED_VALUE"""),12771.0)</f>
        <v>12771</v>
      </c>
      <c r="B66" s="16" t="str">
        <f>IFERROR(__xludf.DUMMYFUNCTION("""COMPUTED_VALUE"""),"Dylan Cease")</f>
        <v>Dylan Cease</v>
      </c>
      <c r="C66" s="153">
        <f>IFERROR(__xludf.DUMMYFUNCTION("""COMPUTED_VALUE"""),2.0)</f>
        <v>2</v>
      </c>
      <c r="D66" s="16"/>
      <c r="E66" s="16" t="str">
        <f>IFERROR(__xludf.DUMMYFUNCTION("""COMPUTED_VALUE"""),"R")</f>
        <v>R</v>
      </c>
      <c r="F66" s="16">
        <f>IFERROR(__xludf.DUMMYFUNCTION("""COMPUTED_VALUE"""),189.0)</f>
        <v>189</v>
      </c>
      <c r="G66" s="16">
        <f>IFERROR(__xludf.DUMMYFUNCTION("""COMPUTED_VALUE"""),32.0)</f>
        <v>32</v>
      </c>
      <c r="H66" s="16">
        <f>IFERROR(__xludf.DUMMYFUNCTION("""COMPUTED_VALUE"""),46.0)</f>
        <v>46</v>
      </c>
      <c r="I66" s="16">
        <f>IFERROR(__xludf.DUMMYFUNCTION("""COMPUTED_VALUE"""),1.0)</f>
        <v>1</v>
      </c>
      <c r="J66" s="16">
        <f>IFERROR(__xludf.DUMMYFUNCTION("""COMPUTED_VALUE"""),2.0)</f>
        <v>2</v>
      </c>
      <c r="K66" s="16">
        <f>IFERROR(__xludf.DUMMYFUNCTION("""COMPUTED_VALUE"""),3.0)</f>
        <v>3</v>
      </c>
      <c r="L66" s="16">
        <f>IFERROR(__xludf.DUMMYFUNCTION("""COMPUTED_VALUE"""),6.0)</f>
        <v>6</v>
      </c>
      <c r="M66" s="16">
        <f>IFERROR(__xludf.DUMMYFUNCTION("""COMPUTED_VALUE"""),9.0)</f>
        <v>9</v>
      </c>
      <c r="N66" s="16">
        <f>IFERROR(__xludf.DUMMYFUNCTION("""COMPUTED_VALUE"""),10.0)</f>
        <v>10</v>
      </c>
      <c r="O66" s="16">
        <f>IFERROR(__xludf.DUMMYFUNCTION("""COMPUTED_VALUE"""),0.0)</f>
        <v>0</v>
      </c>
      <c r="P66" s="16">
        <f>IFERROR(__xludf.DUMMYFUNCTION("""COMPUTED_VALUE"""),-1.0)</f>
        <v>-1</v>
      </c>
      <c r="Q66" s="16">
        <f>IFERROR(__xludf.DUMMYFUNCTION("""COMPUTED_VALUE"""),0.0)</f>
        <v>0</v>
      </c>
      <c r="R66" s="16">
        <f>IFERROR(__xludf.DUMMYFUNCTION("""COMPUTED_VALUE"""),-1.0)</f>
        <v>-1</v>
      </c>
      <c r="S66" s="16">
        <f>IFERROR(__xludf.DUMMYFUNCTION("""COMPUTED_VALUE"""),10.4)</f>
        <v>10.4</v>
      </c>
      <c r="T66" s="16">
        <f>IFERROR(__xludf.DUMMYFUNCTION("""COMPUTED_VALUE"""),7.0)</f>
        <v>7</v>
      </c>
      <c r="U66" s="16">
        <f>IFERROR(__xludf.DUMMYFUNCTION("""COMPUTED_VALUE"""),1.0)</f>
        <v>1</v>
      </c>
      <c r="V66" s="16">
        <f>IFERROR(__xludf.DUMMYFUNCTION("""COMPUTED_VALUE"""),2.0)</f>
        <v>2</v>
      </c>
      <c r="W66" s="16">
        <f>IFERROR(__xludf.DUMMYFUNCTION("""COMPUTED_VALUE"""),2.0)</f>
        <v>2</v>
      </c>
      <c r="X66" s="16">
        <f>IFERROR(__xludf.DUMMYFUNCTION("""COMPUTED_VALUE"""),4.0)</f>
        <v>4</v>
      </c>
      <c r="Y66" s="16">
        <f>IFERROR(__xludf.DUMMYFUNCTION("""COMPUTED_VALUE"""),19.5)</f>
        <v>19.5</v>
      </c>
      <c r="Z66" s="16">
        <f>IFERROR(__xludf.DUMMYFUNCTION("""COMPUTED_VALUE"""),17.0)</f>
        <v>17</v>
      </c>
      <c r="AA66" s="16">
        <f>IFERROR(__xludf.DUMMYFUNCTION("""COMPUTED_VALUE"""),1.0)</f>
        <v>1</v>
      </c>
      <c r="AB66" s="16">
        <f>IFERROR(__xludf.DUMMYFUNCTION("""COMPUTED_VALUE"""),1.0)</f>
        <v>1</v>
      </c>
      <c r="AC66" s="16">
        <f>IFERROR(__xludf.DUMMYFUNCTION("""COMPUTED_VALUE"""),5.0)</f>
        <v>5</v>
      </c>
      <c r="AD66" s="16">
        <f>IFERROR(__xludf.DUMMYFUNCTION("""COMPUTED_VALUE"""),5.0)</f>
        <v>5</v>
      </c>
      <c r="AE66" s="16">
        <f>IFERROR(__xludf.DUMMYFUNCTION("""COMPUTED_VALUE"""),23.0)</f>
        <v>23</v>
      </c>
      <c r="AF66" s="16">
        <f>IFERROR(__xludf.DUMMYFUNCTION("""COMPUTED_VALUE"""),13.1)</f>
        <v>13.1</v>
      </c>
      <c r="AG66" s="16">
        <f>IFERROR(__xludf.DUMMYFUNCTION("""COMPUTED_VALUE"""),0.0)</f>
        <v>0</v>
      </c>
      <c r="AH66" s="16">
        <f>IFERROR(__xludf.DUMMYFUNCTION("""COMPUTED_VALUE"""),2.0)</f>
        <v>2</v>
      </c>
      <c r="AI66" s="16">
        <f>IFERROR(__xludf.DUMMYFUNCTION("""COMPUTED_VALUE"""),0.0)</f>
        <v>0</v>
      </c>
      <c r="AJ66" s="16">
        <f>IFERROR(__xludf.DUMMYFUNCTION("""COMPUTED_VALUE"""),4.0)</f>
        <v>4</v>
      </c>
      <c r="AK66" s="16">
        <f>IFERROR(__xludf.DUMMYFUNCTION("""COMPUTED_VALUE"""),8.6)</f>
        <v>8.6</v>
      </c>
      <c r="AL66" s="16">
        <f>IFERROR(__xludf.DUMMYFUNCTION("""COMPUTED_VALUE"""),6.2)</f>
        <v>6.2</v>
      </c>
      <c r="AM66" s="16">
        <f>IFERROR(__xludf.DUMMYFUNCTION("""COMPUTED_VALUE"""),1.0)</f>
        <v>1</v>
      </c>
      <c r="AN66" s="16">
        <f>IFERROR(__xludf.DUMMYFUNCTION("""COMPUTED_VALUE"""),1.0)</f>
        <v>1</v>
      </c>
      <c r="AO66" s="16">
        <f>IFERROR(__xludf.DUMMYFUNCTION("""COMPUTED_VALUE"""),1.0)</f>
        <v>1</v>
      </c>
      <c r="AP66" s="16">
        <f>IFERROR(__xludf.DUMMYFUNCTION("""COMPUTED_VALUE"""),1.0)</f>
        <v>1</v>
      </c>
      <c r="AQ66" s="16">
        <f>IFERROR(__xludf.DUMMYFUNCTION("""COMPUTED_VALUE"""),15.8)</f>
        <v>15.8</v>
      </c>
      <c r="AR66" s="16">
        <f>IFERROR(__xludf.DUMMYFUNCTION("""COMPUTED_VALUE"""),9.899999999999999)</f>
        <v>9.9</v>
      </c>
      <c r="AS66" s="16">
        <f>IFERROR(__xludf.DUMMYFUNCTION("""COMPUTED_VALUE"""),0.0)</f>
        <v>0</v>
      </c>
      <c r="AT66" s="16">
        <f>IFERROR(__xludf.DUMMYFUNCTION("""COMPUTED_VALUE"""),1.0)</f>
        <v>1</v>
      </c>
      <c r="AU66" s="16">
        <f>IFERROR(__xludf.DUMMYFUNCTION("""COMPUTED_VALUE"""),0.0)</f>
        <v>0</v>
      </c>
      <c r="AV66" s="16">
        <f>IFERROR(__xludf.DUMMYFUNCTION("""COMPUTED_VALUE"""),2.0)</f>
        <v>2</v>
      </c>
      <c r="AW66" s="16">
        <f>IFERROR(__xludf.DUMMYFUNCTION("""COMPUTED_VALUE"""),1.8)</f>
        <v>1.8</v>
      </c>
      <c r="AX66" s="16">
        <f>IFERROR(__xludf.DUMMYFUNCTION("""COMPUTED_VALUE"""),0.8)</f>
        <v>0.8</v>
      </c>
      <c r="AY66" s="16">
        <f>IFERROR(__xludf.DUMMYFUNCTION("""COMPUTED_VALUE"""),0.0)</f>
        <v>0</v>
      </c>
      <c r="AZ66" s="16">
        <f>IFERROR(__xludf.DUMMYFUNCTION("""COMPUTED_VALUE"""),1.0)</f>
        <v>1</v>
      </c>
      <c r="BA66" s="16">
        <f>IFERROR(__xludf.DUMMYFUNCTION("""COMPUTED_VALUE"""),0.0)</f>
        <v>0</v>
      </c>
      <c r="BB66" s="16">
        <f>IFERROR(__xludf.DUMMYFUNCTION("""COMPUTED_VALUE"""),5.0)</f>
        <v>5</v>
      </c>
      <c r="BC66" s="16">
        <f>IFERROR(__xludf.DUMMYFUNCTION("""COMPUTED_VALUE"""),2.0)</f>
        <v>2</v>
      </c>
      <c r="BD66" s="16">
        <f>IFERROR(__xludf.DUMMYFUNCTION("""COMPUTED_VALUE"""),0.0)</f>
        <v>0</v>
      </c>
      <c r="BE66" s="16">
        <f>IFERROR(__xludf.DUMMYFUNCTION("""COMPUTED_VALUE"""),2.0)</f>
        <v>2</v>
      </c>
      <c r="BF66" s="16">
        <f>IFERROR(__xludf.DUMMYFUNCTION("""COMPUTED_VALUE"""),0.0)</f>
        <v>0</v>
      </c>
      <c r="BG66" s="16">
        <f>IFERROR(__xludf.DUMMYFUNCTION("""COMPUTED_VALUE"""),1.0)</f>
        <v>1</v>
      </c>
      <c r="BH66" s="16">
        <f>IFERROR(__xludf.DUMMYFUNCTION("""COMPUTED_VALUE"""),2.0)</f>
        <v>2</v>
      </c>
      <c r="BI66" s="16">
        <f>IFERROR(__xludf.DUMMYFUNCTION("""COMPUTED_VALUE"""),2.0)</f>
        <v>2</v>
      </c>
      <c r="BJ66" s="16">
        <f>IFERROR(__xludf.DUMMYFUNCTION("""COMPUTED_VALUE"""),4.0)</f>
        <v>4</v>
      </c>
      <c r="BK66" s="16">
        <f>IFERROR(__xludf.DUMMYFUNCTION("""COMPUTED_VALUE"""),5.0)</f>
        <v>5</v>
      </c>
      <c r="BL66" s="16">
        <f>IFERROR(__xludf.DUMMYFUNCTION("""COMPUTED_VALUE"""),5.0)</f>
        <v>5</v>
      </c>
      <c r="BM66" s="16">
        <f>IFERROR(__xludf.DUMMYFUNCTION("""COMPUTED_VALUE"""),0.0)</f>
        <v>0</v>
      </c>
      <c r="BN66" s="16">
        <f>IFERROR(__xludf.DUMMYFUNCTION("""COMPUTED_VALUE"""),0.0)</f>
        <v>0</v>
      </c>
      <c r="BO66" s="16">
        <f>IFERROR(__xludf.DUMMYFUNCTION("""COMPUTED_VALUE"""),0.0)</f>
        <v>0</v>
      </c>
      <c r="BP66" s="16">
        <f>IFERROR(__xludf.DUMMYFUNCTION("""COMPUTED_VALUE"""),0.0)</f>
        <v>0</v>
      </c>
      <c r="BQ66" s="16">
        <f>IFERROR(__xludf.DUMMYFUNCTION("""COMPUTED_VALUE"""),5.0)</f>
        <v>5</v>
      </c>
      <c r="BR66" s="16">
        <f>IFERROR(__xludf.DUMMYFUNCTION("""COMPUTED_VALUE"""),3.0)</f>
        <v>3</v>
      </c>
      <c r="BS66" s="16">
        <f>IFERROR(__xludf.DUMMYFUNCTION("""COMPUTED_VALUE"""),0.0)</f>
        <v>0</v>
      </c>
      <c r="BT66" s="16">
        <f>IFERROR(__xludf.DUMMYFUNCTION("""COMPUTED_VALUE"""),-1.0)</f>
        <v>-1</v>
      </c>
      <c r="BU66" s="16">
        <f>IFERROR(__xludf.DUMMYFUNCTION("""COMPUTED_VALUE"""),0.0)</f>
        <v>0</v>
      </c>
      <c r="BV66" s="16">
        <f>IFERROR(__xludf.DUMMYFUNCTION("""COMPUTED_VALUE"""),-2.0)</f>
        <v>-2</v>
      </c>
      <c r="BW66" s="16">
        <f>IFERROR(__xludf.DUMMYFUNCTION("""COMPUTED_VALUE"""),-3.0)</f>
        <v>-3</v>
      </c>
      <c r="BX66" s="16">
        <f>IFERROR(__xludf.DUMMYFUNCTION("""COMPUTED_VALUE"""),-3.0)</f>
        <v>-3</v>
      </c>
      <c r="BY66" s="16" t="str">
        <f>IFERROR(__xludf.DUMMYFUNCTION("""COMPUTED_VALUE"""),"S(6)")</f>
        <v>S(6)</v>
      </c>
      <c r="BZ66" s="16" t="str">
        <f>IFERROR(__xludf.DUMMYFUNCTION("""COMPUTED_VALUE"""),"S(6)")</f>
        <v>S(6)</v>
      </c>
      <c r="CA66" s="16" t="str">
        <f>IFERROR(__xludf.DUMMYFUNCTION("""COMPUTED_VALUE"""),"S(6)")</f>
        <v>S(6)</v>
      </c>
      <c r="CB66" s="16"/>
      <c r="CC66" s="16"/>
      <c r="CD66" s="16">
        <f>IFERROR(__xludf.DUMMYFUNCTION("""COMPUTED_VALUE"""),6.0)</f>
        <v>6</v>
      </c>
      <c r="CE66" s="16"/>
      <c r="CF66" s="16"/>
      <c r="CG66" s="16" t="str">
        <f>IFERROR(__xludf.DUMMYFUNCTION("""COMPUTED_VALUE"""),"3-0")</f>
        <v>3-0</v>
      </c>
      <c r="CH66" s="16">
        <f>IFERROR(__xludf.DUMMYFUNCTION("""COMPUTED_VALUE"""),3.0)</f>
        <v>3</v>
      </c>
      <c r="CI66" s="16">
        <f>IFERROR(__xludf.DUMMYFUNCTION("""COMPUTED_VALUE"""),0.0)</f>
        <v>0</v>
      </c>
      <c r="CJ66" s="16">
        <f>IFERROR(__xludf.DUMMYFUNCTION("""COMPUTED_VALUE"""),0.0)</f>
        <v>0</v>
      </c>
      <c r="CK66" s="16">
        <f>IFERROR(__xludf.DUMMYFUNCTION("""COMPUTED_VALUE"""),15.0)</f>
        <v>15</v>
      </c>
      <c r="CL66" s="16" t="str">
        <f>IFERROR(__xludf.DUMMYFUNCTION("""COMPUTED_VALUE"""),"1WR-C")</f>
        <v>1WR-C</v>
      </c>
      <c r="CM66" s="16" t="str">
        <f>IFERROR(__xludf.DUMMYFUNCTION("""COMPUTED_VALUE"""),"E")</f>
        <v>E</v>
      </c>
      <c r="CN66" s="16">
        <f>IFERROR(__xludf.DUMMYFUNCTION("""COMPUTED_VALUE"""),10.0)</f>
        <v>10</v>
      </c>
      <c r="CO66" s="16" t="str">
        <f>IFERROR(__xludf.DUMMYFUNCTION("""COMPUTED_VALUE"""),"C")</f>
        <v>C</v>
      </c>
      <c r="CP66" s="16" t="str">
        <f>IFERROR(__xludf.DUMMYFUNCTION("""COMPUTED_VALUE"""),"0p72")</f>
        <v>0p72</v>
      </c>
      <c r="CQ66" s="16">
        <f>IFERROR(__xludf.DUMMYFUNCTION("""COMPUTED_VALUE"""),13.0)</f>
        <v>13</v>
      </c>
      <c r="CR66" s="16">
        <f>IFERROR(__xludf.DUMMYFUNCTION("""COMPUTED_VALUE"""),28.0)</f>
        <v>28</v>
      </c>
      <c r="CS66" s="16">
        <f>IFERROR(__xludf.DUMMYFUNCTION("""COMPUTED_VALUE"""),41.0)</f>
        <v>41</v>
      </c>
      <c r="CT66" s="16">
        <f>IFERROR(__xludf.DUMMYFUNCTION("""COMPUTED_VALUE"""),13.0)</f>
        <v>13</v>
      </c>
      <c r="CU66" s="16">
        <f>IFERROR(__xludf.DUMMYFUNCTION("""COMPUTED_VALUE"""),28.0)</f>
        <v>28</v>
      </c>
      <c r="CV66" s="179">
        <f>IFERROR(__xludf.DUMMYFUNCTION("""COMPUTED_VALUE"""),27.0)</f>
        <v>27</v>
      </c>
      <c r="CW66" s="179">
        <f>IFERROR(__xludf.DUMMYFUNCTION("""COMPUTED_VALUE"""),5.0)</f>
        <v>5</v>
      </c>
      <c r="CX66" s="179">
        <f>IFERROR(__xludf.DUMMYFUNCTION("""COMPUTED_VALUE"""),4.0)</f>
        <v>4</v>
      </c>
      <c r="CY66" s="16" t="str">
        <f>IFERROR(__xludf.DUMMYFUNCTION("""COMPUTED_VALUE"""),"SP")</f>
        <v>SP</v>
      </c>
      <c r="CZ66" s="16"/>
      <c r="DA66" s="16"/>
      <c r="DB66" s="16"/>
      <c r="DC66" s="16"/>
      <c r="DD66" s="16"/>
      <c r="DE66" s="16"/>
      <c r="DF66" s="16"/>
      <c r="DG66" s="16"/>
      <c r="DH66" s="16"/>
      <c r="DI66" s="16"/>
      <c r="DJ66" s="16"/>
      <c r="DK66" s="16"/>
    </row>
    <row r="67">
      <c r="A67" s="16">
        <f>IFERROR(__xludf.DUMMYFUNCTION("""COMPUTED_VALUE"""),13145.0)</f>
        <v>13145</v>
      </c>
      <c r="B67" s="16" t="str">
        <f>IFERROR(__xludf.DUMMYFUNCTION("""COMPUTED_VALUE"""),"Luke Weaver")</f>
        <v>Luke Weaver</v>
      </c>
      <c r="C67" s="153">
        <f>IFERROR(__xludf.DUMMYFUNCTION("""COMPUTED_VALUE"""),1.63)</f>
        <v>1.63</v>
      </c>
      <c r="D67" s="16"/>
      <c r="E67" s="16" t="str">
        <f>IFERROR(__xludf.DUMMYFUNCTION("""COMPUTED_VALUE"""),"R")</f>
        <v>R</v>
      </c>
      <c r="F67" s="16">
        <f>IFERROR(__xludf.DUMMYFUNCTION("""COMPUTED_VALUE"""),84.0)</f>
        <v>84</v>
      </c>
      <c r="G67" s="16">
        <f>IFERROR(__xludf.DUMMYFUNCTION("""COMPUTED_VALUE"""),48.0)</f>
        <v>48</v>
      </c>
      <c r="H67" s="16">
        <f>IFERROR(__xludf.DUMMYFUNCTION("""COMPUTED_VALUE"""),40.0)</f>
        <v>40</v>
      </c>
      <c r="I67" s="16">
        <f>IFERROR(__xludf.DUMMYFUNCTION("""COMPUTED_VALUE"""),2.0)</f>
        <v>2</v>
      </c>
      <c r="J67" s="16">
        <f>IFERROR(__xludf.DUMMYFUNCTION("""COMPUTED_VALUE"""),2.0)</f>
        <v>2</v>
      </c>
      <c r="K67" s="16">
        <f>IFERROR(__xludf.DUMMYFUNCTION("""COMPUTED_VALUE"""),6.0)</f>
        <v>6</v>
      </c>
      <c r="L67" s="16">
        <f>IFERROR(__xludf.DUMMYFUNCTION("""COMPUTED_VALUE"""),6.0)</f>
        <v>6</v>
      </c>
      <c r="M67" s="16">
        <f>IFERROR(__xludf.DUMMYFUNCTION("""COMPUTED_VALUE"""),12.0)</f>
        <v>12</v>
      </c>
      <c r="N67" s="16">
        <f>IFERROR(__xludf.DUMMYFUNCTION("""COMPUTED_VALUE"""),6.0)</f>
        <v>6</v>
      </c>
      <c r="O67" s="16">
        <f>IFERROR(__xludf.DUMMYFUNCTION("""COMPUTED_VALUE"""),-1.0)</f>
        <v>-1</v>
      </c>
      <c r="P67" s="16">
        <f>IFERROR(__xludf.DUMMYFUNCTION("""COMPUTED_VALUE"""),1.0)</f>
        <v>1</v>
      </c>
      <c r="Q67" s="16">
        <f>IFERROR(__xludf.DUMMYFUNCTION("""COMPUTED_VALUE"""),-1.0)</f>
        <v>-1</v>
      </c>
      <c r="R67" s="16">
        <f>IFERROR(__xludf.DUMMYFUNCTION("""COMPUTED_VALUE"""),1.0)</f>
        <v>1</v>
      </c>
      <c r="S67" s="16">
        <f>IFERROR(__xludf.DUMMYFUNCTION("""COMPUTED_VALUE"""),3.1)</f>
        <v>3.1</v>
      </c>
      <c r="T67" s="16">
        <f>IFERROR(__xludf.DUMMYFUNCTION("""COMPUTED_VALUE"""),7.1)</f>
        <v>7.1</v>
      </c>
      <c r="U67" s="16">
        <f>IFERROR(__xludf.DUMMYFUNCTION("""COMPUTED_VALUE"""),2.0)</f>
        <v>2</v>
      </c>
      <c r="V67" s="16">
        <f>IFERROR(__xludf.DUMMYFUNCTION("""COMPUTED_VALUE"""),2.0)</f>
        <v>2</v>
      </c>
      <c r="W67" s="16">
        <f>IFERROR(__xludf.DUMMYFUNCTION("""COMPUTED_VALUE"""),4.0)</f>
        <v>4</v>
      </c>
      <c r="X67" s="16">
        <f>IFERROR(__xludf.DUMMYFUNCTION("""COMPUTED_VALUE"""),4.0)</f>
        <v>4</v>
      </c>
      <c r="Y67" s="16">
        <f>IFERROR(__xludf.DUMMYFUNCTION("""COMPUTED_VALUE"""),15.1)</f>
        <v>15.1</v>
      </c>
      <c r="Z67" s="16">
        <f>IFERROR(__xludf.DUMMYFUNCTION("""COMPUTED_VALUE"""),13.1)</f>
        <v>13.1</v>
      </c>
      <c r="AA67" s="16">
        <f>IFERROR(__xludf.DUMMYFUNCTION("""COMPUTED_VALUE"""),2.0)</f>
        <v>2</v>
      </c>
      <c r="AB67" s="16">
        <f>IFERROR(__xludf.DUMMYFUNCTION("""COMPUTED_VALUE"""),2.0)</f>
        <v>2</v>
      </c>
      <c r="AC67" s="16">
        <f>IFERROR(__xludf.DUMMYFUNCTION("""COMPUTED_VALUE"""),10.0)</f>
        <v>10</v>
      </c>
      <c r="AD67" s="16">
        <f>IFERROR(__xludf.DUMMYFUNCTION("""COMPUTED_VALUE"""),10.0)</f>
        <v>10</v>
      </c>
      <c r="AE67" s="16">
        <f>IFERROR(__xludf.DUMMYFUNCTION("""COMPUTED_VALUE"""),9.9)</f>
        <v>9.9</v>
      </c>
      <c r="AF67" s="16">
        <f>IFERROR(__xludf.DUMMYFUNCTION("""COMPUTED_VALUE"""),22.2)</f>
        <v>22.2</v>
      </c>
      <c r="AG67" s="16">
        <f>IFERROR(__xludf.DUMMYFUNCTION("""COMPUTED_VALUE"""),2.0)</f>
        <v>2</v>
      </c>
      <c r="AH67" s="16">
        <f>IFERROR(__xludf.DUMMYFUNCTION("""COMPUTED_VALUE"""),1.0)</f>
        <v>1</v>
      </c>
      <c r="AI67" s="16">
        <f>IFERROR(__xludf.DUMMYFUNCTION("""COMPUTED_VALUE"""),4.0)</f>
        <v>4</v>
      </c>
      <c r="AJ67" s="16">
        <f>IFERROR(__xludf.DUMMYFUNCTION("""COMPUTED_VALUE"""),2.0)</f>
        <v>2</v>
      </c>
      <c r="AK67" s="16">
        <f>IFERROR(__xludf.DUMMYFUNCTION("""COMPUTED_VALUE"""),2.5)</f>
        <v>2.5</v>
      </c>
      <c r="AL67" s="16">
        <f>IFERROR(__xludf.DUMMYFUNCTION("""COMPUTED_VALUE"""),3.6999999999999997)</f>
        <v>3.7</v>
      </c>
      <c r="AM67" s="16">
        <f>IFERROR(__xludf.DUMMYFUNCTION("""COMPUTED_VALUE"""),2.0)</f>
        <v>2</v>
      </c>
      <c r="AN67" s="16">
        <f>IFERROR(__xludf.DUMMYFUNCTION("""COMPUTED_VALUE"""),2.0)</f>
        <v>2</v>
      </c>
      <c r="AO67" s="16">
        <f>IFERROR(__xludf.DUMMYFUNCTION("""COMPUTED_VALUE"""),2.0)</f>
        <v>2</v>
      </c>
      <c r="AP67" s="16">
        <f>IFERROR(__xludf.DUMMYFUNCTION("""COMPUTED_VALUE"""),2.0)</f>
        <v>2</v>
      </c>
      <c r="AQ67" s="16">
        <f>IFERROR(__xludf.DUMMYFUNCTION("""COMPUTED_VALUE"""),7.5)</f>
        <v>7.5</v>
      </c>
      <c r="AR67" s="16">
        <f>IFERROR(__xludf.DUMMYFUNCTION("""COMPUTED_VALUE"""),8.6)</f>
        <v>8.6</v>
      </c>
      <c r="AS67" s="16">
        <f>IFERROR(__xludf.DUMMYFUNCTION("""COMPUTED_VALUE"""),1.0)</f>
        <v>1</v>
      </c>
      <c r="AT67" s="16">
        <f>IFERROR(__xludf.DUMMYFUNCTION("""COMPUTED_VALUE"""),2.0)</f>
        <v>2</v>
      </c>
      <c r="AU67" s="16">
        <f>IFERROR(__xludf.DUMMYFUNCTION("""COMPUTED_VALUE"""),2.0)</f>
        <v>2</v>
      </c>
      <c r="AV67" s="16">
        <f>IFERROR(__xludf.DUMMYFUNCTION("""COMPUTED_VALUE"""),4.0)</f>
        <v>4</v>
      </c>
      <c r="AW67" s="16">
        <f>IFERROR(__xludf.DUMMYFUNCTION("""COMPUTED_VALUE"""),0.6)</f>
        <v>0.6</v>
      </c>
      <c r="AX67" s="16">
        <f>IFERROR(__xludf.DUMMYFUNCTION("""COMPUTED_VALUE"""),3.4)</f>
        <v>3.4</v>
      </c>
      <c r="AY67" s="16">
        <f>IFERROR(__xludf.DUMMYFUNCTION("""COMPUTED_VALUE"""),2.0)</f>
        <v>2</v>
      </c>
      <c r="AZ67" s="16">
        <f>IFERROR(__xludf.DUMMYFUNCTION("""COMPUTED_VALUE"""),-1.0)</f>
        <v>-1</v>
      </c>
      <c r="BA67" s="16">
        <f>IFERROR(__xludf.DUMMYFUNCTION("""COMPUTED_VALUE"""),10.0)</f>
        <v>10</v>
      </c>
      <c r="BB67" s="16">
        <f>IFERROR(__xludf.DUMMYFUNCTION("""COMPUTED_VALUE"""),-5.0)</f>
        <v>-5</v>
      </c>
      <c r="BC67" s="16"/>
      <c r="BD67" s="16"/>
      <c r="BE67" s="16">
        <f>IFERROR(__xludf.DUMMYFUNCTION("""COMPUTED_VALUE"""),0.0)</f>
        <v>0</v>
      </c>
      <c r="BF67" s="16">
        <f>IFERROR(__xludf.DUMMYFUNCTION("""COMPUTED_VALUE"""),5.0)</f>
        <v>5</v>
      </c>
      <c r="BG67" s="16">
        <f>IFERROR(__xludf.DUMMYFUNCTION("""COMPUTED_VALUE"""),3.0)</f>
        <v>3</v>
      </c>
      <c r="BH67" s="16">
        <f>IFERROR(__xludf.DUMMYFUNCTION("""COMPUTED_VALUE"""),-2.0)</f>
        <v>-2</v>
      </c>
      <c r="BI67" s="16">
        <f>IFERROR(__xludf.DUMMYFUNCTION("""COMPUTED_VALUE"""),6.0)</f>
        <v>6</v>
      </c>
      <c r="BJ67" s="16">
        <f>IFERROR(__xludf.DUMMYFUNCTION("""COMPUTED_VALUE"""),-4.0)</f>
        <v>-4</v>
      </c>
      <c r="BK67" s="16">
        <f>IFERROR(__xludf.DUMMYFUNCTION("""COMPUTED_VALUE"""),0.0)</f>
        <v>0</v>
      </c>
      <c r="BL67" s="16">
        <f>IFERROR(__xludf.DUMMYFUNCTION("""COMPUTED_VALUE"""),0.0)</f>
        <v>0</v>
      </c>
      <c r="BM67" s="16">
        <f>IFERROR(__xludf.DUMMYFUNCTION("""COMPUTED_VALUE"""),1.0)</f>
        <v>1</v>
      </c>
      <c r="BN67" s="16">
        <f>IFERROR(__xludf.DUMMYFUNCTION("""COMPUTED_VALUE"""),1.0)</f>
        <v>1</v>
      </c>
      <c r="BO67" s="16">
        <f>IFERROR(__xludf.DUMMYFUNCTION("""COMPUTED_VALUE"""),1.0)</f>
        <v>1</v>
      </c>
      <c r="BP67" s="16">
        <f>IFERROR(__xludf.DUMMYFUNCTION("""COMPUTED_VALUE"""),1.0)</f>
        <v>1</v>
      </c>
      <c r="BQ67" s="16">
        <f>IFERROR(__xludf.DUMMYFUNCTION("""COMPUTED_VALUE"""),0.0)</f>
        <v>0</v>
      </c>
      <c r="BR67" s="16">
        <f>IFERROR(__xludf.DUMMYFUNCTION("""COMPUTED_VALUE"""),0.0)</f>
        <v>0</v>
      </c>
      <c r="BS67" s="16">
        <f>IFERROR(__xludf.DUMMYFUNCTION("""COMPUTED_VALUE"""),-3.0)</f>
        <v>-3</v>
      </c>
      <c r="BT67" s="16">
        <f>IFERROR(__xludf.DUMMYFUNCTION("""COMPUTED_VALUE"""),-3.0)</f>
        <v>-3</v>
      </c>
      <c r="BU67" s="16">
        <f>IFERROR(__xludf.DUMMYFUNCTION("""COMPUTED_VALUE"""),-6.0)</f>
        <v>-6</v>
      </c>
      <c r="BV67" s="16">
        <f>IFERROR(__xludf.DUMMYFUNCTION("""COMPUTED_VALUE"""),-6.0)</f>
        <v>-6</v>
      </c>
      <c r="BW67" s="16">
        <f>IFERROR(__xludf.DUMMYFUNCTION("""COMPUTED_VALUE"""),-5.0)</f>
        <v>-5</v>
      </c>
      <c r="BX67" s="16">
        <f>IFERROR(__xludf.DUMMYFUNCTION("""COMPUTED_VALUE"""),-5.0)</f>
        <v>-5</v>
      </c>
      <c r="BY67" s="16" t="str">
        <f>IFERROR(__xludf.DUMMYFUNCTION("""COMPUTED_VALUE"""),"R(2) C(3)")</f>
        <v>R(2) C(3)</v>
      </c>
      <c r="BZ67" s="16" t="str">
        <f>IFERROR(__xludf.DUMMYFUNCTION("""COMPUTED_VALUE"""),"R(2) C(3)")</f>
        <v>R(2) C(3)</v>
      </c>
      <c r="CA67" s="16" t="str">
        <f>IFERROR(__xludf.DUMMYFUNCTION("""COMPUTED_VALUE"""),"R(2)")</f>
        <v>R(2)</v>
      </c>
      <c r="CB67" s="16" t="str">
        <f>IFERROR(__xludf.DUMMYFUNCTION("""COMPUTED_VALUE"""),"C(3)")</f>
        <v>C(3)</v>
      </c>
      <c r="CC67" s="16"/>
      <c r="CD67" s="16"/>
      <c r="CE67" s="16">
        <f>IFERROR(__xludf.DUMMYFUNCTION("""COMPUTED_VALUE"""),2.0)</f>
        <v>2</v>
      </c>
      <c r="CF67" s="16">
        <f>IFERROR(__xludf.DUMMYFUNCTION("""COMPUTED_VALUE"""),3.0)</f>
        <v>3</v>
      </c>
      <c r="CG67" s="16" t="str">
        <f>IFERROR(__xludf.DUMMYFUNCTION("""COMPUTED_VALUE"""),"2-35")</f>
        <v>2-35</v>
      </c>
      <c r="CH67" s="16">
        <f>IFERROR(__xludf.DUMMYFUNCTION("""COMPUTED_VALUE"""),2.0)</f>
        <v>2</v>
      </c>
      <c r="CI67" s="16">
        <f>IFERROR(__xludf.DUMMYFUNCTION("""COMPUTED_VALUE"""),35.0)</f>
        <v>35</v>
      </c>
      <c r="CJ67" s="16">
        <f>IFERROR(__xludf.DUMMYFUNCTION("""COMPUTED_VALUE"""),0.0)</f>
        <v>0</v>
      </c>
      <c r="CK67" s="16">
        <f>IFERROR(__xludf.DUMMYFUNCTION("""COMPUTED_VALUE"""),2.0)</f>
        <v>2</v>
      </c>
      <c r="CL67" s="16" t="str">
        <f>IFERROR(__xludf.DUMMYFUNCTION("""COMPUTED_VALUE"""),"1WR-C")</f>
        <v>1WR-C</v>
      </c>
      <c r="CM67" s="16" t="str">
        <f>IFERROR(__xludf.DUMMYFUNCTION("""COMPUTED_VALUE"""),"E")</f>
        <v>E</v>
      </c>
      <c r="CN67" s="16">
        <f>IFERROR(__xludf.DUMMYFUNCTION("""COMPUTED_VALUE"""),12.0)</f>
        <v>12</v>
      </c>
      <c r="CO67" s="16" t="str">
        <f>IFERROR(__xludf.DUMMYFUNCTION("""COMPUTED_VALUE"""),"C")</f>
        <v>C</v>
      </c>
      <c r="CP67" s="16" t="str">
        <f>IFERROR(__xludf.DUMMYFUNCTION("""COMPUTED_VALUE"""),"1p50")</f>
        <v>1p50</v>
      </c>
      <c r="CQ67" s="16">
        <f>IFERROR(__xludf.DUMMYFUNCTION("""COMPUTED_VALUE"""),38.0)</f>
        <v>38</v>
      </c>
      <c r="CR67" s="16">
        <f>IFERROR(__xludf.DUMMYFUNCTION("""COMPUTED_VALUE"""),15.0)</f>
        <v>15</v>
      </c>
      <c r="CS67" s="16">
        <f>IFERROR(__xludf.DUMMYFUNCTION("""COMPUTED_VALUE"""),53.0)</f>
        <v>53</v>
      </c>
      <c r="CT67" s="16">
        <f>IFERROR(__xludf.DUMMYFUNCTION("""COMPUTED_VALUE"""),38.0)</f>
        <v>38</v>
      </c>
      <c r="CU67" s="16">
        <f>IFERROR(__xludf.DUMMYFUNCTION("""COMPUTED_VALUE"""),15.0)</f>
        <v>15</v>
      </c>
      <c r="CV67" s="179">
        <f>IFERROR(__xludf.DUMMYFUNCTION("""COMPUTED_VALUE"""),26.666666666666668)</f>
        <v>26.66666667</v>
      </c>
      <c r="CW67" s="179">
        <f>IFERROR(__xludf.DUMMYFUNCTION("""COMPUTED_VALUE"""),4.0)</f>
        <v>4</v>
      </c>
      <c r="CX67" s="179">
        <f>IFERROR(__xludf.DUMMYFUNCTION("""COMPUTED_VALUE"""),0.0)</f>
        <v>0</v>
      </c>
      <c r="CY67" s="16" t="str">
        <f>IFERROR(__xludf.DUMMYFUNCTION("""COMPUTED_VALUE"""),"RP")</f>
        <v>RP</v>
      </c>
      <c r="CZ67" s="16" t="str">
        <f>IFERROR(__xludf.DUMMYFUNCTION("""COMPUTED_VALUE"""),"CP")</f>
        <v>CP</v>
      </c>
      <c r="DA67" s="16"/>
      <c r="DB67" s="16"/>
      <c r="DC67" s="16"/>
      <c r="DD67" s="16"/>
      <c r="DE67" s="16"/>
      <c r="DF67" s="16"/>
      <c r="DG67" s="16"/>
      <c r="DH67" s="16"/>
      <c r="DI67" s="16"/>
      <c r="DJ67" s="16"/>
      <c r="DK67" s="16"/>
    </row>
    <row r="68">
      <c r="A68" s="16">
        <f>IFERROR(__xludf.DUMMYFUNCTION("""COMPUTED_VALUE"""),12744.0)</f>
        <v>12744</v>
      </c>
      <c r="B68" s="16" t="str">
        <f>IFERROR(__xludf.DUMMYFUNCTION("""COMPUTED_VALUE"""),"David Robertson")</f>
        <v>David Robertson</v>
      </c>
      <c r="C68" s="153">
        <f>IFERROR(__xludf.DUMMYFUNCTION("""COMPUTED_VALUE"""),1.13)</f>
        <v>1.13</v>
      </c>
      <c r="D68" s="16"/>
      <c r="E68" s="16" t="str">
        <f>IFERROR(__xludf.DUMMYFUNCTION("""COMPUTED_VALUE"""),"R")</f>
        <v>R</v>
      </c>
      <c r="F68" s="16">
        <f>IFERROR(__xludf.DUMMYFUNCTION("""COMPUTED_VALUE"""),72.0)</f>
        <v>72</v>
      </c>
      <c r="G68" s="16">
        <f>IFERROR(__xludf.DUMMYFUNCTION("""COMPUTED_VALUE"""),56.0)</f>
        <v>56</v>
      </c>
      <c r="H68" s="16">
        <f>IFERROR(__xludf.DUMMYFUNCTION("""COMPUTED_VALUE"""),43.0)</f>
        <v>43</v>
      </c>
      <c r="I68" s="16">
        <f>IFERROR(__xludf.DUMMYFUNCTION("""COMPUTED_VALUE"""),3.0)</f>
        <v>3</v>
      </c>
      <c r="J68" s="16">
        <f>IFERROR(__xludf.DUMMYFUNCTION("""COMPUTED_VALUE"""),2.0)</f>
        <v>2</v>
      </c>
      <c r="K68" s="16">
        <f>IFERROR(__xludf.DUMMYFUNCTION("""COMPUTED_VALUE"""),9.0)</f>
        <v>9</v>
      </c>
      <c r="L68" s="16">
        <f>IFERROR(__xludf.DUMMYFUNCTION("""COMPUTED_VALUE"""),6.0)</f>
        <v>6</v>
      </c>
      <c r="M68" s="16">
        <f>IFERROR(__xludf.DUMMYFUNCTION("""COMPUTED_VALUE"""),7.0)</f>
        <v>7</v>
      </c>
      <c r="N68" s="16">
        <f>IFERROR(__xludf.DUMMYFUNCTION("""COMPUTED_VALUE"""),10.0)</f>
        <v>10</v>
      </c>
      <c r="O68" s="16">
        <f>IFERROR(__xludf.DUMMYFUNCTION("""COMPUTED_VALUE"""),1.0)</f>
        <v>1</v>
      </c>
      <c r="P68" s="16">
        <f>IFERROR(__xludf.DUMMYFUNCTION("""COMPUTED_VALUE"""),-1.0)</f>
        <v>-1</v>
      </c>
      <c r="Q68" s="16">
        <f>IFERROR(__xludf.DUMMYFUNCTION("""COMPUTED_VALUE"""),1.0)</f>
        <v>1</v>
      </c>
      <c r="R68" s="16">
        <f>IFERROR(__xludf.DUMMYFUNCTION("""COMPUTED_VALUE"""),-1.0)</f>
        <v>-1</v>
      </c>
      <c r="S68" s="16">
        <f>IFERROR(__xludf.DUMMYFUNCTION("""COMPUTED_VALUE"""),3.3)</f>
        <v>3.3</v>
      </c>
      <c r="T68" s="16">
        <f>IFERROR(__xludf.DUMMYFUNCTION("""COMPUTED_VALUE"""),17.0)</f>
        <v>17</v>
      </c>
      <c r="U68" s="16">
        <f>IFERROR(__xludf.DUMMYFUNCTION("""COMPUTED_VALUE"""),2.0)</f>
        <v>2</v>
      </c>
      <c r="V68" s="16">
        <f>IFERROR(__xludf.DUMMYFUNCTION("""COMPUTED_VALUE"""),0.0)</f>
        <v>0</v>
      </c>
      <c r="W68" s="16">
        <f>IFERROR(__xludf.DUMMYFUNCTION("""COMPUTED_VALUE"""),4.0)</f>
        <v>4</v>
      </c>
      <c r="X68" s="16">
        <f>IFERROR(__xludf.DUMMYFUNCTION("""COMPUTED_VALUE"""),0.0)</f>
        <v>0</v>
      </c>
      <c r="Y68" s="16">
        <f>IFERROR(__xludf.DUMMYFUNCTION("""COMPUTED_VALUE"""),10.3)</f>
        <v>10.3</v>
      </c>
      <c r="Z68" s="16">
        <f>IFERROR(__xludf.DUMMYFUNCTION("""COMPUTED_VALUE"""),27.0)</f>
        <v>27</v>
      </c>
      <c r="AA68" s="16">
        <f>IFERROR(__xludf.DUMMYFUNCTION("""COMPUTED_VALUE"""),2.0)</f>
        <v>2</v>
      </c>
      <c r="AB68" s="16">
        <f>IFERROR(__xludf.DUMMYFUNCTION("""COMPUTED_VALUE"""),0.0)</f>
        <v>0</v>
      </c>
      <c r="AC68" s="16">
        <f>IFERROR(__xludf.DUMMYFUNCTION("""COMPUTED_VALUE"""),10.0)</f>
        <v>10</v>
      </c>
      <c r="AD68" s="16">
        <f>IFERROR(__xludf.DUMMYFUNCTION("""COMPUTED_VALUE"""),0.0)</f>
        <v>0</v>
      </c>
      <c r="AE68" s="16">
        <f>IFERROR(__xludf.DUMMYFUNCTION("""COMPUTED_VALUE"""),6.3)</f>
        <v>6.3</v>
      </c>
      <c r="AF68" s="16">
        <f>IFERROR(__xludf.DUMMYFUNCTION("""COMPUTED_VALUE"""),19.3)</f>
        <v>19.3</v>
      </c>
      <c r="AG68" s="16">
        <f>IFERROR(__xludf.DUMMYFUNCTION("""COMPUTED_VALUE"""),2.0)</f>
        <v>2</v>
      </c>
      <c r="AH68" s="16">
        <f>IFERROR(__xludf.DUMMYFUNCTION("""COMPUTED_VALUE"""),1.0)</f>
        <v>1</v>
      </c>
      <c r="AI68" s="16">
        <f>IFERROR(__xludf.DUMMYFUNCTION("""COMPUTED_VALUE"""),4.0)</f>
        <v>4</v>
      </c>
      <c r="AJ68" s="16">
        <f>IFERROR(__xludf.DUMMYFUNCTION("""COMPUTED_VALUE"""),2.0)</f>
        <v>2</v>
      </c>
      <c r="AK68" s="16">
        <f>IFERROR(__xludf.DUMMYFUNCTION("""COMPUTED_VALUE"""),2.3)</f>
        <v>2.3</v>
      </c>
      <c r="AL68" s="16">
        <f>IFERROR(__xludf.DUMMYFUNCTION("""COMPUTED_VALUE"""),17.0)</f>
        <v>17</v>
      </c>
      <c r="AM68" s="16">
        <f>IFERROR(__xludf.DUMMYFUNCTION("""COMPUTED_VALUE"""),2.0)</f>
        <v>2</v>
      </c>
      <c r="AN68" s="16">
        <f>IFERROR(__xludf.DUMMYFUNCTION("""COMPUTED_VALUE"""),-1.0)</f>
        <v>-1</v>
      </c>
      <c r="AO68" s="16">
        <f>IFERROR(__xludf.DUMMYFUNCTION("""COMPUTED_VALUE"""),2.0)</f>
        <v>2</v>
      </c>
      <c r="AP68" s="16">
        <f>IFERROR(__xludf.DUMMYFUNCTION("""COMPUTED_VALUE"""),-1.0)</f>
        <v>-1</v>
      </c>
      <c r="AQ68" s="16">
        <f>IFERROR(__xludf.DUMMYFUNCTION("""COMPUTED_VALUE"""),2.3)</f>
        <v>2.3</v>
      </c>
      <c r="AR68" s="16">
        <f>IFERROR(__xludf.DUMMYFUNCTION("""COMPUTED_VALUE"""),19.3)</f>
        <v>19.3</v>
      </c>
      <c r="AS68" s="16">
        <f>IFERROR(__xludf.DUMMYFUNCTION("""COMPUTED_VALUE"""),2.0)</f>
        <v>2</v>
      </c>
      <c r="AT68" s="16">
        <f>IFERROR(__xludf.DUMMYFUNCTION("""COMPUTED_VALUE"""),0.0)</f>
        <v>0</v>
      </c>
      <c r="AU68" s="16">
        <f>IFERROR(__xludf.DUMMYFUNCTION("""COMPUTED_VALUE"""),4.0)</f>
        <v>4</v>
      </c>
      <c r="AV68" s="16">
        <f>IFERROR(__xludf.DUMMYFUNCTION("""COMPUTED_VALUE"""),0.0)</f>
        <v>0</v>
      </c>
      <c r="AW68" s="16">
        <f>IFERROR(__xludf.DUMMYFUNCTION("""COMPUTED_VALUE"""),1.0)</f>
        <v>1</v>
      </c>
      <c r="AX68" s="16">
        <f>IFERROR(__xludf.DUMMYFUNCTION("""COMPUTED_VALUE"""),0.0)</f>
        <v>0</v>
      </c>
      <c r="AY68" s="16">
        <f>IFERROR(__xludf.DUMMYFUNCTION("""COMPUTED_VALUE"""),1.0)</f>
        <v>1</v>
      </c>
      <c r="AZ68" s="16">
        <f>IFERROR(__xludf.DUMMYFUNCTION("""COMPUTED_VALUE"""),2.0)</f>
        <v>2</v>
      </c>
      <c r="BA68" s="16">
        <f>IFERROR(__xludf.DUMMYFUNCTION("""COMPUTED_VALUE"""),5.0)</f>
        <v>5</v>
      </c>
      <c r="BB68" s="16">
        <f>IFERROR(__xludf.DUMMYFUNCTION("""COMPUTED_VALUE"""),10.0)</f>
        <v>10</v>
      </c>
      <c r="BC68" s="16">
        <f>IFERROR(__xludf.DUMMYFUNCTION("""COMPUTED_VALUE"""),1.0)</f>
        <v>1</v>
      </c>
      <c r="BD68" s="16">
        <f>IFERROR(__xludf.DUMMYFUNCTION("""COMPUTED_VALUE"""),0.0)</f>
        <v>0</v>
      </c>
      <c r="BE68" s="16">
        <f>IFERROR(__xludf.DUMMYFUNCTION("""COMPUTED_VALUE"""),1.0)</f>
        <v>1</v>
      </c>
      <c r="BF68" s="16">
        <f>IFERROR(__xludf.DUMMYFUNCTION("""COMPUTED_VALUE"""),0.0)</f>
        <v>0</v>
      </c>
      <c r="BG68" s="16">
        <f>IFERROR(__xludf.DUMMYFUNCTION("""COMPUTED_VALUE"""),2.0)</f>
        <v>2</v>
      </c>
      <c r="BH68" s="16">
        <f>IFERROR(__xludf.DUMMYFUNCTION("""COMPUTED_VALUE"""),2.0)</f>
        <v>2</v>
      </c>
      <c r="BI68" s="16">
        <f>IFERROR(__xludf.DUMMYFUNCTION("""COMPUTED_VALUE"""),4.0)</f>
        <v>4</v>
      </c>
      <c r="BJ68" s="16">
        <f>IFERROR(__xludf.DUMMYFUNCTION("""COMPUTED_VALUE"""),4.0)</f>
        <v>4</v>
      </c>
      <c r="BK68" s="16">
        <f>IFERROR(__xludf.DUMMYFUNCTION("""COMPUTED_VALUE"""),5.0)</f>
        <v>5</v>
      </c>
      <c r="BL68" s="16">
        <f>IFERROR(__xludf.DUMMYFUNCTION("""COMPUTED_VALUE"""),5.0)</f>
        <v>5</v>
      </c>
      <c r="BM68" s="16">
        <f>IFERROR(__xludf.DUMMYFUNCTION("""COMPUTED_VALUE"""),0.0)</f>
        <v>0</v>
      </c>
      <c r="BN68" s="16">
        <f>IFERROR(__xludf.DUMMYFUNCTION("""COMPUTED_VALUE"""),0.0)</f>
        <v>0</v>
      </c>
      <c r="BO68" s="16">
        <f>IFERROR(__xludf.DUMMYFUNCTION("""COMPUTED_VALUE"""),0.0)</f>
        <v>0</v>
      </c>
      <c r="BP68" s="16">
        <f>IFERROR(__xludf.DUMMYFUNCTION("""COMPUTED_VALUE"""),0.0)</f>
        <v>0</v>
      </c>
      <c r="BQ68" s="16">
        <f>IFERROR(__xludf.DUMMYFUNCTION("""COMPUTED_VALUE"""),0.0)</f>
        <v>0</v>
      </c>
      <c r="BR68" s="16">
        <f>IFERROR(__xludf.DUMMYFUNCTION("""COMPUTED_VALUE"""),0.0)</f>
        <v>0</v>
      </c>
      <c r="BS68" s="16">
        <f>IFERROR(__xludf.DUMMYFUNCTION("""COMPUTED_VALUE"""),-3.0)</f>
        <v>-3</v>
      </c>
      <c r="BT68" s="16">
        <f>IFERROR(__xludf.DUMMYFUNCTION("""COMPUTED_VALUE"""),-3.0)</f>
        <v>-3</v>
      </c>
      <c r="BU68" s="16">
        <f>IFERROR(__xludf.DUMMYFUNCTION("""COMPUTED_VALUE"""),-6.0)</f>
        <v>-6</v>
      </c>
      <c r="BV68" s="16">
        <f>IFERROR(__xludf.DUMMYFUNCTION("""COMPUTED_VALUE"""),-6.0)</f>
        <v>-6</v>
      </c>
      <c r="BW68" s="16">
        <f>IFERROR(__xludf.DUMMYFUNCTION("""COMPUTED_VALUE"""),-5.0)</f>
        <v>-5</v>
      </c>
      <c r="BX68" s="16">
        <f>IFERROR(__xludf.DUMMYFUNCTION("""COMPUTED_VALUE"""),-5.0)</f>
        <v>-5</v>
      </c>
      <c r="BY68" s="16" t="str">
        <f>IFERROR(__xludf.DUMMYFUNCTION("""COMPUTED_VALUE"""),"R(1) C(1)")</f>
        <v>R(1) C(1)</v>
      </c>
      <c r="BZ68" s="16" t="str">
        <f>IFERROR(__xludf.DUMMYFUNCTION("""COMPUTED_VALUE"""),"R(1) C(1)")</f>
        <v>R(1) C(1)</v>
      </c>
      <c r="CA68" s="16" t="str">
        <f>IFERROR(__xludf.DUMMYFUNCTION("""COMPUTED_VALUE"""),"R(1)")</f>
        <v>R(1)</v>
      </c>
      <c r="CB68" s="16" t="str">
        <f>IFERROR(__xludf.DUMMYFUNCTION("""COMPUTED_VALUE"""),"C(1)")</f>
        <v>C(1)</v>
      </c>
      <c r="CC68" s="16"/>
      <c r="CD68" s="16"/>
      <c r="CE68" s="16">
        <f>IFERROR(__xludf.DUMMYFUNCTION("""COMPUTED_VALUE"""),1.0)</f>
        <v>1</v>
      </c>
      <c r="CF68" s="16">
        <f>IFERROR(__xludf.DUMMYFUNCTION("""COMPUTED_VALUE"""),1.0)</f>
        <v>1</v>
      </c>
      <c r="CG68" s="16" t="str">
        <f>IFERROR(__xludf.DUMMYFUNCTION("""COMPUTED_VALUE"""),"2-0")</f>
        <v>2-0</v>
      </c>
      <c r="CH68" s="16">
        <f>IFERROR(__xludf.DUMMYFUNCTION("""COMPUTED_VALUE"""),2.0)</f>
        <v>2</v>
      </c>
      <c r="CI68" s="16">
        <f>IFERROR(__xludf.DUMMYFUNCTION("""COMPUTED_VALUE"""),0.0)</f>
        <v>0</v>
      </c>
      <c r="CJ68" s="16">
        <f>IFERROR(__xludf.DUMMYFUNCTION("""COMPUTED_VALUE"""),5.0)</f>
        <v>5</v>
      </c>
      <c r="CK68" s="16">
        <f>IFERROR(__xludf.DUMMYFUNCTION("""COMPUTED_VALUE"""),20.0)</f>
        <v>20</v>
      </c>
      <c r="CL68" s="16" t="str">
        <f>IFERROR(__xludf.DUMMYFUNCTION("""COMPUTED_VALUE"""),"1WR-C")</f>
        <v>1WR-C</v>
      </c>
      <c r="CM68" s="16" t="str">
        <f>IFERROR(__xludf.DUMMYFUNCTION("""COMPUTED_VALUE"""),"E")</f>
        <v>E</v>
      </c>
      <c r="CN68" s="16">
        <f>IFERROR(__xludf.DUMMYFUNCTION("""COMPUTED_VALUE"""),10.0)</f>
        <v>10</v>
      </c>
      <c r="CO68" s="16" t="str">
        <f>IFERROR(__xludf.DUMMYFUNCTION("""COMPUTED_VALUE"""),"C")</f>
        <v>C</v>
      </c>
      <c r="CP68" s="16" t="str">
        <f>IFERROR(__xludf.DUMMYFUNCTION("""COMPUTED_VALUE"""),"1p60")</f>
        <v>1p60</v>
      </c>
      <c r="CQ68" s="16">
        <f>IFERROR(__xludf.DUMMYFUNCTION("""COMPUTED_VALUE"""),37.0)</f>
        <v>37</v>
      </c>
      <c r="CR68" s="16">
        <f>IFERROR(__xludf.DUMMYFUNCTION("""COMPUTED_VALUE"""),14.0)</f>
        <v>14</v>
      </c>
      <c r="CS68" s="16">
        <f>IFERROR(__xludf.DUMMYFUNCTION("""COMPUTED_VALUE"""),51.0)</f>
        <v>51</v>
      </c>
      <c r="CT68" s="16">
        <f>IFERROR(__xludf.DUMMYFUNCTION("""COMPUTED_VALUE"""),37.0)</f>
        <v>37</v>
      </c>
      <c r="CU68" s="16">
        <f>IFERROR(__xludf.DUMMYFUNCTION("""COMPUTED_VALUE"""),14.0)</f>
        <v>14</v>
      </c>
      <c r="CV68" s="179">
        <f>IFERROR(__xludf.DUMMYFUNCTION("""COMPUTED_VALUE"""),26.666666666666668)</f>
        <v>26.66666667</v>
      </c>
      <c r="CW68" s="179">
        <f>IFERROR(__xludf.DUMMYFUNCTION("""COMPUTED_VALUE"""),4.0)</f>
        <v>4</v>
      </c>
      <c r="CX68" s="179">
        <f>IFERROR(__xludf.DUMMYFUNCTION("""COMPUTED_VALUE"""),1.0)</f>
        <v>1</v>
      </c>
      <c r="CY68" s="16" t="str">
        <f>IFERROR(__xludf.DUMMYFUNCTION("""COMPUTED_VALUE"""),"RP")</f>
        <v>RP</v>
      </c>
      <c r="CZ68" s="16" t="str">
        <f>IFERROR(__xludf.DUMMYFUNCTION("""COMPUTED_VALUE"""),"CP")</f>
        <v>CP</v>
      </c>
      <c r="DA68" s="16"/>
      <c r="DB68" s="16"/>
      <c r="DC68" s="16"/>
      <c r="DD68" s="16"/>
      <c r="DE68" s="16"/>
      <c r="DF68" s="16"/>
      <c r="DG68" s="16"/>
      <c r="DH68" s="16"/>
      <c r="DI68" s="16"/>
      <c r="DJ68" s="16"/>
      <c r="DK68" s="16"/>
    </row>
    <row r="69">
      <c r="A69" s="16">
        <f>IFERROR(__xludf.DUMMYFUNCTION("""COMPUTED_VALUE"""),12754.0)</f>
        <v>12754</v>
      </c>
      <c r="B69" s="16" t="str">
        <f>IFERROR(__xludf.DUMMYFUNCTION("""COMPUTED_VALUE"""),"Derek Law")</f>
        <v>Derek Law</v>
      </c>
      <c r="C69" s="153">
        <f>IFERROR(__xludf.DUMMYFUNCTION("""COMPUTED_VALUE"""),1.52)</f>
        <v>1.52</v>
      </c>
      <c r="D69" s="16"/>
      <c r="E69" s="16" t="str">
        <f>IFERROR(__xludf.DUMMYFUNCTION("""COMPUTED_VALUE"""),"R")</f>
        <v>R</v>
      </c>
      <c r="F69" s="16">
        <f>IFERROR(__xludf.DUMMYFUNCTION("""COMPUTED_VALUE"""),90.0)</f>
        <v>90</v>
      </c>
      <c r="G69" s="16">
        <f>IFERROR(__xludf.DUMMYFUNCTION("""COMPUTED_VALUE"""),36.0)</f>
        <v>36</v>
      </c>
      <c r="H69" s="16">
        <f>IFERROR(__xludf.DUMMYFUNCTION("""COMPUTED_VALUE"""),12.0)</f>
        <v>12</v>
      </c>
      <c r="I69" s="16">
        <f>IFERROR(__xludf.DUMMYFUNCTION("""COMPUTED_VALUE"""),1.0)</f>
        <v>1</v>
      </c>
      <c r="J69" s="16">
        <f>IFERROR(__xludf.DUMMYFUNCTION("""COMPUTED_VALUE"""),-2.0)</f>
        <v>-2</v>
      </c>
      <c r="K69" s="16">
        <f>IFERROR(__xludf.DUMMYFUNCTION("""COMPUTED_VALUE"""),3.0)</f>
        <v>3</v>
      </c>
      <c r="L69" s="16">
        <f>IFERROR(__xludf.DUMMYFUNCTION("""COMPUTED_VALUE"""),-6.0)</f>
        <v>-6</v>
      </c>
      <c r="M69" s="16">
        <f>IFERROR(__xludf.DUMMYFUNCTION("""COMPUTED_VALUE"""),10.0)</f>
        <v>10</v>
      </c>
      <c r="N69" s="16">
        <f>IFERROR(__xludf.DUMMYFUNCTION("""COMPUTED_VALUE"""),4.0)</f>
        <v>4</v>
      </c>
      <c r="O69" s="16">
        <f>IFERROR(__xludf.DUMMYFUNCTION("""COMPUTED_VALUE"""),0.0)</f>
        <v>0</v>
      </c>
      <c r="P69" s="16">
        <f>IFERROR(__xludf.DUMMYFUNCTION("""COMPUTED_VALUE"""),2.0)</f>
        <v>2</v>
      </c>
      <c r="Q69" s="16">
        <f>IFERROR(__xludf.DUMMYFUNCTION("""COMPUTED_VALUE"""),0.0)</f>
        <v>0</v>
      </c>
      <c r="R69" s="16">
        <f>IFERROR(__xludf.DUMMYFUNCTION("""COMPUTED_VALUE"""),2.0)</f>
        <v>2</v>
      </c>
      <c r="S69" s="16">
        <f>IFERROR(__xludf.DUMMYFUNCTION("""COMPUTED_VALUE"""),6.3)</f>
        <v>6.3</v>
      </c>
      <c r="T69" s="16">
        <f>IFERROR(__xludf.DUMMYFUNCTION("""COMPUTED_VALUE"""),23.6)</f>
        <v>23.6</v>
      </c>
      <c r="U69" s="16">
        <f>IFERROR(__xludf.DUMMYFUNCTION("""COMPUTED_VALUE"""),2.0)</f>
        <v>2</v>
      </c>
      <c r="V69" s="16">
        <f>IFERROR(__xludf.DUMMYFUNCTION("""COMPUTED_VALUE"""),-1.0)</f>
        <v>-1</v>
      </c>
      <c r="W69" s="16">
        <f>IFERROR(__xludf.DUMMYFUNCTION("""COMPUTED_VALUE"""),4.0)</f>
        <v>4</v>
      </c>
      <c r="X69" s="16">
        <f>IFERROR(__xludf.DUMMYFUNCTION("""COMPUTED_VALUE"""),-2.0)</f>
        <v>-2</v>
      </c>
      <c r="Y69" s="16">
        <f>IFERROR(__xludf.DUMMYFUNCTION("""COMPUTED_VALUE"""),16.3)</f>
        <v>16.3</v>
      </c>
      <c r="Z69" s="16">
        <f>IFERROR(__xludf.DUMMYFUNCTION("""COMPUTED_VALUE"""),27.6)</f>
        <v>27.6</v>
      </c>
      <c r="AA69" s="16">
        <f>IFERROR(__xludf.DUMMYFUNCTION("""COMPUTED_VALUE"""),1.0)</f>
        <v>1</v>
      </c>
      <c r="AB69" s="16">
        <f>IFERROR(__xludf.DUMMYFUNCTION("""COMPUTED_VALUE"""),0.0)</f>
        <v>0</v>
      </c>
      <c r="AC69" s="16">
        <f>IFERROR(__xludf.DUMMYFUNCTION("""COMPUTED_VALUE"""),5.0)</f>
        <v>5</v>
      </c>
      <c r="AD69" s="16">
        <f>IFERROR(__xludf.DUMMYFUNCTION("""COMPUTED_VALUE"""),0.0)</f>
        <v>0</v>
      </c>
      <c r="AE69" s="16">
        <f>IFERROR(__xludf.DUMMYFUNCTION("""COMPUTED_VALUE"""),6.4)</f>
        <v>6.4</v>
      </c>
      <c r="AF69" s="16">
        <f>IFERROR(__xludf.DUMMYFUNCTION("""COMPUTED_VALUE"""),30.2)</f>
        <v>30.2</v>
      </c>
      <c r="AG69" s="16">
        <f>IFERROR(__xludf.DUMMYFUNCTION("""COMPUTED_VALUE"""),2.0)</f>
        <v>2</v>
      </c>
      <c r="AH69" s="16">
        <f>IFERROR(__xludf.DUMMYFUNCTION("""COMPUTED_VALUE"""),0.0)</f>
        <v>0</v>
      </c>
      <c r="AI69" s="16">
        <f>IFERROR(__xludf.DUMMYFUNCTION("""COMPUTED_VALUE"""),4.0)</f>
        <v>4</v>
      </c>
      <c r="AJ69" s="16">
        <f>IFERROR(__xludf.DUMMYFUNCTION("""COMPUTED_VALUE"""),0.0)</f>
        <v>0</v>
      </c>
      <c r="AK69" s="16">
        <f>IFERROR(__xludf.DUMMYFUNCTION("""COMPUTED_VALUE"""),6.3)</f>
        <v>6.3</v>
      </c>
      <c r="AL69" s="16">
        <f>IFERROR(__xludf.DUMMYFUNCTION("""COMPUTED_VALUE"""),22.8)</f>
        <v>22.8</v>
      </c>
      <c r="AM69" s="16">
        <f>IFERROR(__xludf.DUMMYFUNCTION("""COMPUTED_VALUE"""),1.0)</f>
        <v>1</v>
      </c>
      <c r="AN69" s="16">
        <f>IFERROR(__xludf.DUMMYFUNCTION("""COMPUTED_VALUE"""),-2.0)</f>
        <v>-2</v>
      </c>
      <c r="AO69" s="16">
        <f>IFERROR(__xludf.DUMMYFUNCTION("""COMPUTED_VALUE"""),1.0)</f>
        <v>1</v>
      </c>
      <c r="AP69" s="16">
        <f>IFERROR(__xludf.DUMMYFUNCTION("""COMPUTED_VALUE"""),-2.0)</f>
        <v>-2</v>
      </c>
      <c r="AQ69" s="16">
        <f>IFERROR(__xludf.DUMMYFUNCTION("""COMPUTED_VALUE"""),6.4)</f>
        <v>6.4</v>
      </c>
      <c r="AR69" s="16">
        <f>IFERROR(__xludf.DUMMYFUNCTION("""COMPUTED_VALUE"""),27.0)</f>
        <v>27</v>
      </c>
      <c r="AS69" s="16">
        <f>IFERROR(__xludf.DUMMYFUNCTION("""COMPUTED_VALUE"""),2.0)</f>
        <v>2</v>
      </c>
      <c r="AT69" s="16">
        <f>IFERROR(__xludf.DUMMYFUNCTION("""COMPUTED_VALUE"""),-1.0)</f>
        <v>-1</v>
      </c>
      <c r="AU69" s="16">
        <f>IFERROR(__xludf.DUMMYFUNCTION("""COMPUTED_VALUE"""),4.0)</f>
        <v>4</v>
      </c>
      <c r="AV69" s="16">
        <f>IFERROR(__xludf.DUMMYFUNCTION("""COMPUTED_VALUE"""),-2.0)</f>
        <v>-2</v>
      </c>
      <c r="AW69" s="16">
        <f>IFERROR(__xludf.DUMMYFUNCTION("""COMPUTED_VALUE"""),0.0)</f>
        <v>0</v>
      </c>
      <c r="AX69" s="16">
        <f>IFERROR(__xludf.DUMMYFUNCTION("""COMPUTED_VALUE"""),0.8)</f>
        <v>0.8</v>
      </c>
      <c r="AY69" s="16">
        <f>IFERROR(__xludf.DUMMYFUNCTION("""COMPUTED_VALUE"""),2.0)</f>
        <v>2</v>
      </c>
      <c r="AZ69" s="16">
        <f>IFERROR(__xludf.DUMMYFUNCTION("""COMPUTED_VALUE"""),1.0)</f>
        <v>1</v>
      </c>
      <c r="BA69" s="16">
        <f>IFERROR(__xludf.DUMMYFUNCTION("""COMPUTED_VALUE"""),10.0)</f>
        <v>10</v>
      </c>
      <c r="BB69" s="16">
        <f>IFERROR(__xludf.DUMMYFUNCTION("""COMPUTED_VALUE"""),5.0)</f>
        <v>5</v>
      </c>
      <c r="BC69" s="16">
        <f>IFERROR(__xludf.DUMMYFUNCTION("""COMPUTED_VALUE"""),0.0)</f>
        <v>0</v>
      </c>
      <c r="BD69" s="16">
        <f>IFERROR(__xludf.DUMMYFUNCTION("""COMPUTED_VALUE"""),1.0)</f>
        <v>1</v>
      </c>
      <c r="BE69" s="16">
        <f>IFERROR(__xludf.DUMMYFUNCTION("""COMPUTED_VALUE"""),0.0)</f>
        <v>0</v>
      </c>
      <c r="BF69" s="16">
        <f>IFERROR(__xludf.DUMMYFUNCTION("""COMPUTED_VALUE"""),1.0)</f>
        <v>1</v>
      </c>
      <c r="BG69" s="16">
        <f>IFERROR(__xludf.DUMMYFUNCTION("""COMPUTED_VALUE"""),3.0)</f>
        <v>3</v>
      </c>
      <c r="BH69" s="16">
        <f>IFERROR(__xludf.DUMMYFUNCTION("""COMPUTED_VALUE"""),2.0)</f>
        <v>2</v>
      </c>
      <c r="BI69" s="16">
        <f>IFERROR(__xludf.DUMMYFUNCTION("""COMPUTED_VALUE"""),6.0)</f>
        <v>6</v>
      </c>
      <c r="BJ69" s="16">
        <f>IFERROR(__xludf.DUMMYFUNCTION("""COMPUTED_VALUE"""),4.0)</f>
        <v>4</v>
      </c>
      <c r="BK69" s="16">
        <f>IFERROR(__xludf.DUMMYFUNCTION("""COMPUTED_VALUE"""),5.0)</f>
        <v>5</v>
      </c>
      <c r="BL69" s="16">
        <f>IFERROR(__xludf.DUMMYFUNCTION("""COMPUTED_VALUE"""),5.0)</f>
        <v>5</v>
      </c>
      <c r="BM69" s="16">
        <f>IFERROR(__xludf.DUMMYFUNCTION("""COMPUTED_VALUE"""),0.0)</f>
        <v>0</v>
      </c>
      <c r="BN69" s="16">
        <f>IFERROR(__xludf.DUMMYFUNCTION("""COMPUTED_VALUE"""),0.0)</f>
        <v>0</v>
      </c>
      <c r="BO69" s="16">
        <f>IFERROR(__xludf.DUMMYFUNCTION("""COMPUTED_VALUE"""),0.0)</f>
        <v>0</v>
      </c>
      <c r="BP69" s="16">
        <f>IFERROR(__xludf.DUMMYFUNCTION("""COMPUTED_VALUE"""),0.0)</f>
        <v>0</v>
      </c>
      <c r="BQ69" s="16">
        <f>IFERROR(__xludf.DUMMYFUNCTION("""COMPUTED_VALUE"""),11.0)</f>
        <v>11</v>
      </c>
      <c r="BR69" s="16">
        <f>IFERROR(__xludf.DUMMYFUNCTION("""COMPUTED_VALUE"""),12.0)</f>
        <v>12</v>
      </c>
      <c r="BS69" s="16">
        <f>IFERROR(__xludf.DUMMYFUNCTION("""COMPUTED_VALUE"""),3.0)</f>
        <v>3</v>
      </c>
      <c r="BT69" s="16">
        <f>IFERROR(__xludf.DUMMYFUNCTION("""COMPUTED_VALUE"""),3.0)</f>
        <v>3</v>
      </c>
      <c r="BU69" s="16">
        <f>IFERROR(__xludf.DUMMYFUNCTION("""COMPUTED_VALUE"""),6.0)</f>
        <v>6</v>
      </c>
      <c r="BV69" s="16">
        <f>IFERROR(__xludf.DUMMYFUNCTION("""COMPUTED_VALUE"""),6.0)</f>
        <v>6</v>
      </c>
      <c r="BW69" s="16">
        <f>IFERROR(__xludf.DUMMYFUNCTION("""COMPUTED_VALUE"""),0.0)</f>
        <v>0</v>
      </c>
      <c r="BX69" s="16">
        <f>IFERROR(__xludf.DUMMYFUNCTION("""COMPUTED_VALUE"""),0.0)</f>
        <v>0</v>
      </c>
      <c r="BY69" s="16" t="str">
        <f>IFERROR(__xludf.DUMMYFUNCTION("""COMPUTED_VALUE"""),"R(2) C(0)")</f>
        <v>R(2) C(0)</v>
      </c>
      <c r="BZ69" s="16" t="str">
        <f>IFERROR(__xludf.DUMMYFUNCTION("""COMPUTED_VALUE"""),"R(2) C(0)")</f>
        <v>R(2) C(0)</v>
      </c>
      <c r="CA69" s="16" t="str">
        <f>IFERROR(__xludf.DUMMYFUNCTION("""COMPUTED_VALUE"""),"R(2)")</f>
        <v>R(2)</v>
      </c>
      <c r="CB69" s="16" t="str">
        <f>IFERROR(__xludf.DUMMYFUNCTION("""COMPUTED_VALUE"""),"C(0)")</f>
        <v>C(0)</v>
      </c>
      <c r="CC69" s="16"/>
      <c r="CD69" s="16"/>
      <c r="CE69" s="16">
        <f>IFERROR(__xludf.DUMMYFUNCTION("""COMPUTED_VALUE"""),2.0)</f>
        <v>2</v>
      </c>
      <c r="CF69" s="16">
        <f>IFERROR(__xludf.DUMMYFUNCTION("""COMPUTED_VALUE"""),0.0)</f>
        <v>0</v>
      </c>
      <c r="CG69" s="16" t="str">
        <f>IFERROR(__xludf.DUMMYFUNCTION("""COMPUTED_VALUE"""),"4-0")</f>
        <v>4-0</v>
      </c>
      <c r="CH69" s="16">
        <f>IFERROR(__xludf.DUMMYFUNCTION("""COMPUTED_VALUE"""),4.0)</f>
        <v>4</v>
      </c>
      <c r="CI69" s="16">
        <f>IFERROR(__xludf.DUMMYFUNCTION("""COMPUTED_VALUE"""),0.0)</f>
        <v>0</v>
      </c>
      <c r="CJ69" s="16">
        <f>IFERROR(__xludf.DUMMYFUNCTION("""COMPUTED_VALUE"""),0.0)</f>
        <v>0</v>
      </c>
      <c r="CK69" s="16">
        <f>IFERROR(__xludf.DUMMYFUNCTION("""COMPUTED_VALUE"""),15.0)</f>
        <v>15</v>
      </c>
      <c r="CL69" s="16" t="str">
        <f>IFERROR(__xludf.DUMMYFUNCTION("""COMPUTED_VALUE"""),"1WR-C")</f>
        <v>1WR-C</v>
      </c>
      <c r="CM69" s="16" t="str">
        <f>IFERROR(__xludf.DUMMYFUNCTION("""COMPUTED_VALUE"""),"E")</f>
        <v>E</v>
      </c>
      <c r="CN69" s="16">
        <f>IFERROR(__xludf.DUMMYFUNCTION("""COMPUTED_VALUE"""),10.0)</f>
        <v>10</v>
      </c>
      <c r="CO69" s="16" t="str">
        <f>IFERROR(__xludf.DUMMYFUNCTION("""COMPUTED_VALUE"""),"C")</f>
        <v>C</v>
      </c>
      <c r="CP69" s="16" t="str">
        <f>IFERROR(__xludf.DUMMYFUNCTION("""COMPUTED_VALUE"""),"0p72")</f>
        <v>0p72</v>
      </c>
      <c r="CQ69" s="16">
        <f>IFERROR(__xludf.DUMMYFUNCTION("""COMPUTED_VALUE"""),43.0)</f>
        <v>43</v>
      </c>
      <c r="CR69" s="16">
        <f>IFERROR(__xludf.DUMMYFUNCTION("""COMPUTED_VALUE"""),5.0)</f>
        <v>5</v>
      </c>
      <c r="CS69" s="16">
        <f>IFERROR(__xludf.DUMMYFUNCTION("""COMPUTED_VALUE"""),48.0)</f>
        <v>48</v>
      </c>
      <c r="CT69" s="16">
        <f>IFERROR(__xludf.DUMMYFUNCTION("""COMPUTED_VALUE"""),43.0)</f>
        <v>43</v>
      </c>
      <c r="CU69" s="16">
        <f>IFERROR(__xludf.DUMMYFUNCTION("""COMPUTED_VALUE"""),5.0)</f>
        <v>5</v>
      </c>
      <c r="CV69" s="179">
        <f>IFERROR(__xludf.DUMMYFUNCTION("""COMPUTED_VALUE"""),26.666666666666668)</f>
        <v>26.66666667</v>
      </c>
      <c r="CW69" s="179">
        <f>IFERROR(__xludf.DUMMYFUNCTION("""COMPUTED_VALUE"""),5.0)</f>
        <v>5</v>
      </c>
      <c r="CX69" s="179">
        <f>IFERROR(__xludf.DUMMYFUNCTION("""COMPUTED_VALUE"""),4.0)</f>
        <v>4</v>
      </c>
      <c r="CY69" s="16" t="str">
        <f>IFERROR(__xludf.DUMMYFUNCTION("""COMPUTED_VALUE"""),"RP")</f>
        <v>RP</v>
      </c>
      <c r="CZ69" s="16" t="str">
        <f>IFERROR(__xludf.DUMMYFUNCTION("""COMPUTED_VALUE"""),"CP")</f>
        <v>CP</v>
      </c>
      <c r="DA69" s="16"/>
      <c r="DB69" s="16"/>
      <c r="DC69" s="16"/>
      <c r="DD69" s="16"/>
      <c r="DE69" s="16"/>
      <c r="DF69" s="16"/>
      <c r="DG69" s="16"/>
      <c r="DH69" s="16"/>
      <c r="DI69" s="16"/>
      <c r="DJ69" s="16"/>
      <c r="DK69" s="16"/>
    </row>
    <row r="70">
      <c r="A70" s="16">
        <f>IFERROR(__xludf.DUMMYFUNCTION("""COMPUTED_VALUE"""),13463.0)</f>
        <v>13463</v>
      </c>
      <c r="B70" s="16" t="str">
        <f>IFERROR(__xludf.DUMMYFUNCTION("""COMPUTED_VALUE"""),"Tyson Miller")</f>
        <v>Tyson Miller</v>
      </c>
      <c r="C70" s="153">
        <f>IFERROR(__xludf.DUMMYFUNCTION("""COMPUTED_VALUE"""),1.08)</f>
        <v>1.08</v>
      </c>
      <c r="D70" s="16"/>
      <c r="E70" s="16" t="str">
        <f>IFERROR(__xludf.DUMMYFUNCTION("""COMPUTED_VALUE"""),"R")</f>
        <v>R</v>
      </c>
      <c r="F70" s="16">
        <f>IFERROR(__xludf.DUMMYFUNCTION("""COMPUTED_VALUE"""),62.0)</f>
        <v>62</v>
      </c>
      <c r="G70" s="16">
        <f>IFERROR(__xludf.DUMMYFUNCTION("""COMPUTED_VALUE"""),26.0)</f>
        <v>26</v>
      </c>
      <c r="H70" s="16">
        <f>IFERROR(__xludf.DUMMYFUNCTION("""COMPUTED_VALUE"""),26.0)</f>
        <v>26</v>
      </c>
      <c r="I70" s="16">
        <f>IFERROR(__xludf.DUMMYFUNCTION("""COMPUTED_VALUE"""),0.0)</f>
        <v>0</v>
      </c>
      <c r="J70" s="16">
        <f>IFERROR(__xludf.DUMMYFUNCTION("""COMPUTED_VALUE"""),0.0)</f>
        <v>0</v>
      </c>
      <c r="K70" s="16">
        <f>IFERROR(__xludf.DUMMYFUNCTION("""COMPUTED_VALUE"""),0.0)</f>
        <v>0</v>
      </c>
      <c r="L70" s="16">
        <f>IFERROR(__xludf.DUMMYFUNCTION("""COMPUTED_VALUE"""),0.0)</f>
        <v>0</v>
      </c>
      <c r="M70" s="16">
        <f>IFERROR(__xludf.DUMMYFUNCTION("""COMPUTED_VALUE"""),0.0)</f>
        <v>0</v>
      </c>
      <c r="N70" s="16">
        <f>IFERROR(__xludf.DUMMYFUNCTION("""COMPUTED_VALUE"""),3.0)</f>
        <v>3</v>
      </c>
      <c r="O70" s="16">
        <f>IFERROR(__xludf.DUMMYFUNCTION("""COMPUTED_VALUE"""),3.0)</f>
        <v>3</v>
      </c>
      <c r="P70" s="16">
        <f>IFERROR(__xludf.DUMMYFUNCTION("""COMPUTED_VALUE"""),2.0)</f>
        <v>2</v>
      </c>
      <c r="Q70" s="16">
        <f>IFERROR(__xludf.DUMMYFUNCTION("""COMPUTED_VALUE"""),3.0)</f>
        <v>3</v>
      </c>
      <c r="R70" s="16">
        <f>IFERROR(__xludf.DUMMYFUNCTION("""COMPUTED_VALUE"""),2.0)</f>
        <v>2</v>
      </c>
      <c r="S70" s="16">
        <f>IFERROR(__xludf.DUMMYFUNCTION("""COMPUTED_VALUE"""),11.4)</f>
        <v>11.4</v>
      </c>
      <c r="T70" s="16">
        <f>IFERROR(__xludf.DUMMYFUNCTION("""COMPUTED_VALUE"""),5.4)</f>
        <v>5.4</v>
      </c>
      <c r="U70" s="16">
        <f>IFERROR(__xludf.DUMMYFUNCTION("""COMPUTED_VALUE"""),1.0)</f>
        <v>1</v>
      </c>
      <c r="V70" s="16">
        <f>IFERROR(__xludf.DUMMYFUNCTION("""COMPUTED_VALUE"""),2.0)</f>
        <v>2</v>
      </c>
      <c r="W70" s="16">
        <f>IFERROR(__xludf.DUMMYFUNCTION("""COMPUTED_VALUE"""),2.0)</f>
        <v>2</v>
      </c>
      <c r="X70" s="16">
        <f>IFERROR(__xludf.DUMMYFUNCTION("""COMPUTED_VALUE"""),4.0)</f>
        <v>4</v>
      </c>
      <c r="Y70" s="16">
        <f>IFERROR(__xludf.DUMMYFUNCTION("""COMPUTED_VALUE"""),11.4)</f>
        <v>11.4</v>
      </c>
      <c r="Z70" s="16">
        <f>IFERROR(__xludf.DUMMYFUNCTION("""COMPUTED_VALUE"""),8.4)</f>
        <v>8.4</v>
      </c>
      <c r="AA70" s="16">
        <f>IFERROR(__xludf.DUMMYFUNCTION("""COMPUTED_VALUE"""),2.0)</f>
        <v>2</v>
      </c>
      <c r="AB70" s="16">
        <f>IFERROR(__xludf.DUMMYFUNCTION("""COMPUTED_VALUE"""),2.0)</f>
        <v>2</v>
      </c>
      <c r="AC70" s="16">
        <f>IFERROR(__xludf.DUMMYFUNCTION("""COMPUTED_VALUE"""),10.0)</f>
        <v>10</v>
      </c>
      <c r="AD70" s="16">
        <f>IFERROR(__xludf.DUMMYFUNCTION("""COMPUTED_VALUE"""),10.0)</f>
        <v>10</v>
      </c>
      <c r="AE70" s="16">
        <f>IFERROR(__xludf.DUMMYFUNCTION("""COMPUTED_VALUE"""),24.4)</f>
        <v>24.4</v>
      </c>
      <c r="AF70" s="16">
        <f>IFERROR(__xludf.DUMMYFUNCTION("""COMPUTED_VALUE"""),11.9)</f>
        <v>11.9</v>
      </c>
      <c r="AG70" s="16">
        <f>IFERROR(__xludf.DUMMYFUNCTION("""COMPUTED_VALUE"""),0.0)</f>
        <v>0</v>
      </c>
      <c r="AH70" s="16">
        <f>IFERROR(__xludf.DUMMYFUNCTION("""COMPUTED_VALUE"""),2.0)</f>
        <v>2</v>
      </c>
      <c r="AI70" s="16">
        <f>IFERROR(__xludf.DUMMYFUNCTION("""COMPUTED_VALUE"""),0.0)</f>
        <v>0</v>
      </c>
      <c r="AJ70" s="16">
        <f>IFERROR(__xludf.DUMMYFUNCTION("""COMPUTED_VALUE"""),4.0)</f>
        <v>4</v>
      </c>
      <c r="AK70" s="16">
        <f>IFERROR(__xludf.DUMMYFUNCTION("""COMPUTED_VALUE"""),8.4)</f>
        <v>8.4</v>
      </c>
      <c r="AL70" s="16">
        <f>IFERROR(__xludf.DUMMYFUNCTION("""COMPUTED_VALUE"""),4.0)</f>
        <v>4</v>
      </c>
      <c r="AM70" s="16">
        <f>IFERROR(__xludf.DUMMYFUNCTION("""COMPUTED_VALUE"""),1.0)</f>
        <v>1</v>
      </c>
      <c r="AN70" s="16">
        <f>IFERROR(__xludf.DUMMYFUNCTION("""COMPUTED_VALUE"""),2.0)</f>
        <v>2</v>
      </c>
      <c r="AO70" s="16">
        <f>IFERROR(__xludf.DUMMYFUNCTION("""COMPUTED_VALUE"""),1.0)</f>
        <v>1</v>
      </c>
      <c r="AP70" s="16">
        <f>IFERROR(__xludf.DUMMYFUNCTION("""COMPUTED_VALUE"""),2.0)</f>
        <v>2</v>
      </c>
      <c r="AQ70" s="16">
        <f>IFERROR(__xludf.DUMMYFUNCTION("""COMPUTED_VALUE"""),12.399999999999999)</f>
        <v>12.4</v>
      </c>
      <c r="AR70" s="16">
        <f>IFERROR(__xludf.DUMMYFUNCTION("""COMPUTED_VALUE"""),6.300000000000001)</f>
        <v>6.3</v>
      </c>
      <c r="AS70" s="16">
        <f>IFERROR(__xludf.DUMMYFUNCTION("""COMPUTED_VALUE"""),1.0)</f>
        <v>1</v>
      </c>
      <c r="AT70" s="16">
        <f>IFERROR(__xludf.DUMMYFUNCTION("""COMPUTED_VALUE"""),2.0)</f>
        <v>2</v>
      </c>
      <c r="AU70" s="16">
        <f>IFERROR(__xludf.DUMMYFUNCTION("""COMPUTED_VALUE"""),2.0)</f>
        <v>2</v>
      </c>
      <c r="AV70" s="16">
        <f>IFERROR(__xludf.DUMMYFUNCTION("""COMPUTED_VALUE"""),4.0)</f>
        <v>4</v>
      </c>
      <c r="AW70" s="16">
        <f>IFERROR(__xludf.DUMMYFUNCTION("""COMPUTED_VALUE"""),3.0)</f>
        <v>3</v>
      </c>
      <c r="AX70" s="16">
        <f>IFERROR(__xludf.DUMMYFUNCTION("""COMPUTED_VALUE"""),1.4)</f>
        <v>1.4</v>
      </c>
      <c r="AY70" s="16">
        <f>IFERROR(__xludf.DUMMYFUNCTION("""COMPUTED_VALUE"""),-1.0)</f>
        <v>-1</v>
      </c>
      <c r="AZ70" s="16">
        <f>IFERROR(__xludf.DUMMYFUNCTION("""COMPUTED_VALUE"""),1.0)</f>
        <v>1</v>
      </c>
      <c r="BA70" s="16">
        <f>IFERROR(__xludf.DUMMYFUNCTION("""COMPUTED_VALUE"""),-5.0)</f>
        <v>-5</v>
      </c>
      <c r="BB70" s="16">
        <f>IFERROR(__xludf.DUMMYFUNCTION("""COMPUTED_VALUE"""),5.0)</f>
        <v>5</v>
      </c>
      <c r="BC70" s="16">
        <f>IFERROR(__xludf.DUMMYFUNCTION("""COMPUTED_VALUE"""),6.0)</f>
        <v>6</v>
      </c>
      <c r="BD70" s="16"/>
      <c r="BE70" s="16">
        <f>IFERROR(__xludf.DUMMYFUNCTION("""COMPUTED_VALUE"""),6.0)</f>
        <v>6</v>
      </c>
      <c r="BF70" s="16">
        <f>IFERROR(__xludf.DUMMYFUNCTION("""COMPUTED_VALUE"""),2.0)</f>
        <v>2</v>
      </c>
      <c r="BG70" s="16">
        <f>IFERROR(__xludf.DUMMYFUNCTION("""COMPUTED_VALUE"""),-3.0)</f>
        <v>-3</v>
      </c>
      <c r="BH70" s="16">
        <f>IFERROR(__xludf.DUMMYFUNCTION("""COMPUTED_VALUE"""),1.0)</f>
        <v>1</v>
      </c>
      <c r="BI70" s="16">
        <f>IFERROR(__xludf.DUMMYFUNCTION("""COMPUTED_VALUE"""),-6.0)</f>
        <v>-6</v>
      </c>
      <c r="BJ70" s="16">
        <f>IFERROR(__xludf.DUMMYFUNCTION("""COMPUTED_VALUE"""),2.0)</f>
        <v>2</v>
      </c>
      <c r="BK70" s="16">
        <f>IFERROR(__xludf.DUMMYFUNCTION("""COMPUTED_VALUE"""),5.0)</f>
        <v>5</v>
      </c>
      <c r="BL70" s="16">
        <f>IFERROR(__xludf.DUMMYFUNCTION("""COMPUTED_VALUE"""),0.0)</f>
        <v>0</v>
      </c>
      <c r="BM70" s="16">
        <f>IFERROR(__xludf.DUMMYFUNCTION("""COMPUTED_VALUE"""),0.0)</f>
        <v>0</v>
      </c>
      <c r="BN70" s="16">
        <f>IFERROR(__xludf.DUMMYFUNCTION("""COMPUTED_VALUE"""),1.0)</f>
        <v>1</v>
      </c>
      <c r="BO70" s="16">
        <f>IFERROR(__xludf.DUMMYFUNCTION("""COMPUTED_VALUE"""),0.0)</f>
        <v>0</v>
      </c>
      <c r="BP70" s="16">
        <f>IFERROR(__xludf.DUMMYFUNCTION("""COMPUTED_VALUE"""),1.0)</f>
        <v>1</v>
      </c>
      <c r="BQ70" s="16">
        <f>IFERROR(__xludf.DUMMYFUNCTION("""COMPUTED_VALUE"""),11.0)</f>
        <v>11</v>
      </c>
      <c r="BR70" s="16">
        <f>IFERROR(__xludf.DUMMYFUNCTION("""COMPUTED_VALUE"""),12.0)</f>
        <v>12</v>
      </c>
      <c r="BS70" s="16">
        <f>IFERROR(__xludf.DUMMYFUNCTION("""COMPUTED_VALUE"""),3.0)</f>
        <v>3</v>
      </c>
      <c r="BT70" s="16">
        <f>IFERROR(__xludf.DUMMYFUNCTION("""COMPUTED_VALUE"""),3.0)</f>
        <v>3</v>
      </c>
      <c r="BU70" s="16">
        <f>IFERROR(__xludf.DUMMYFUNCTION("""COMPUTED_VALUE"""),6.0)</f>
        <v>6</v>
      </c>
      <c r="BV70" s="16">
        <f>IFERROR(__xludf.DUMMYFUNCTION("""COMPUTED_VALUE"""),6.0)</f>
        <v>6</v>
      </c>
      <c r="BW70" s="16">
        <f>IFERROR(__xludf.DUMMYFUNCTION("""COMPUTED_VALUE"""),-2.0)</f>
        <v>-2</v>
      </c>
      <c r="BX70" s="16">
        <f>IFERROR(__xludf.DUMMYFUNCTION("""COMPUTED_VALUE"""),-2.0)</f>
        <v>-2</v>
      </c>
      <c r="BY70" s="16" t="str">
        <f>IFERROR(__xludf.DUMMYFUNCTION("""COMPUTED_VALUE"""),"R(1) C(0)")</f>
        <v>R(1) C(0)</v>
      </c>
      <c r="BZ70" s="16" t="str">
        <f>IFERROR(__xludf.DUMMYFUNCTION("""COMPUTED_VALUE"""),"R(1) C(0)")</f>
        <v>R(1) C(0)</v>
      </c>
      <c r="CA70" s="16" t="str">
        <f>IFERROR(__xludf.DUMMYFUNCTION("""COMPUTED_VALUE"""),"R(1)")</f>
        <v>R(1)</v>
      </c>
      <c r="CB70" s="16" t="str">
        <f>IFERROR(__xludf.DUMMYFUNCTION("""COMPUTED_VALUE"""),"C(0)")</f>
        <v>C(0)</v>
      </c>
      <c r="CC70" s="16"/>
      <c r="CD70" s="16"/>
      <c r="CE70" s="16">
        <f>IFERROR(__xludf.DUMMYFUNCTION("""COMPUTED_VALUE"""),1.0)</f>
        <v>1</v>
      </c>
      <c r="CF70" s="16">
        <f>IFERROR(__xludf.DUMMYFUNCTION("""COMPUTED_VALUE"""),0.0)</f>
        <v>0</v>
      </c>
      <c r="CG70" s="16" t="str">
        <f>IFERROR(__xludf.DUMMYFUNCTION("""COMPUTED_VALUE"""),"3-0")</f>
        <v>3-0</v>
      </c>
      <c r="CH70" s="16">
        <f>IFERROR(__xludf.DUMMYFUNCTION("""COMPUTED_VALUE"""),3.0)</f>
        <v>3</v>
      </c>
      <c r="CI70" s="16">
        <f>IFERROR(__xludf.DUMMYFUNCTION("""COMPUTED_VALUE"""),0.0)</f>
        <v>0</v>
      </c>
      <c r="CJ70" s="16">
        <f>IFERROR(__xludf.DUMMYFUNCTION("""COMPUTED_VALUE"""),0.0)</f>
        <v>0</v>
      </c>
      <c r="CK70" s="16">
        <f>IFERROR(__xludf.DUMMYFUNCTION("""COMPUTED_VALUE"""),0.0)</f>
        <v>0</v>
      </c>
      <c r="CL70" s="16" t="str">
        <f>IFERROR(__xludf.DUMMYFUNCTION("""COMPUTED_VALUE"""),"1WR-C")</f>
        <v>1WR-C</v>
      </c>
      <c r="CM70" s="16" t="str">
        <f>IFERROR(__xludf.DUMMYFUNCTION("""COMPUTED_VALUE"""),"E")</f>
        <v>E</v>
      </c>
      <c r="CN70" s="16">
        <f>IFERROR(__xludf.DUMMYFUNCTION("""COMPUTED_VALUE"""),10.0)</f>
        <v>10</v>
      </c>
      <c r="CO70" s="16" t="str">
        <f>IFERROR(__xludf.DUMMYFUNCTION("""COMPUTED_VALUE"""),"C")</f>
        <v>C</v>
      </c>
      <c r="CP70" s="16" t="str">
        <f>IFERROR(__xludf.DUMMYFUNCTION("""COMPUTED_VALUE"""),"1p50")</f>
        <v>1p50</v>
      </c>
      <c r="CQ70" s="16">
        <f>IFERROR(__xludf.DUMMYFUNCTION("""COMPUTED_VALUE"""),13.0)</f>
        <v>13</v>
      </c>
      <c r="CR70" s="16">
        <f>IFERROR(__xludf.DUMMYFUNCTION("""COMPUTED_VALUE"""),40.0)</f>
        <v>40</v>
      </c>
      <c r="CS70" s="16">
        <f>IFERROR(__xludf.DUMMYFUNCTION("""COMPUTED_VALUE"""),53.0)</f>
        <v>53</v>
      </c>
      <c r="CT70" s="16">
        <f>IFERROR(__xludf.DUMMYFUNCTION("""COMPUTED_VALUE"""),13.0)</f>
        <v>13</v>
      </c>
      <c r="CU70" s="16">
        <f>IFERROR(__xludf.DUMMYFUNCTION("""COMPUTED_VALUE"""),40.0)</f>
        <v>40</v>
      </c>
      <c r="CV70" s="179">
        <f>IFERROR(__xludf.DUMMYFUNCTION("""COMPUTED_VALUE"""),26.0)</f>
        <v>26</v>
      </c>
      <c r="CW70" s="179">
        <f>IFERROR(__xludf.DUMMYFUNCTION("""COMPUTED_VALUE"""),4.0)</f>
        <v>4</v>
      </c>
      <c r="CX70" s="179">
        <f>IFERROR(__xludf.DUMMYFUNCTION("""COMPUTED_VALUE"""),0.0)</f>
        <v>0</v>
      </c>
      <c r="CY70" s="16" t="str">
        <f>IFERROR(__xludf.DUMMYFUNCTION("""COMPUTED_VALUE"""),"RP")</f>
        <v>RP</v>
      </c>
      <c r="CZ70" s="16" t="str">
        <f>IFERROR(__xludf.DUMMYFUNCTION("""COMPUTED_VALUE"""),"CP")</f>
        <v>CP</v>
      </c>
      <c r="DA70" s="16"/>
      <c r="DB70" s="16"/>
      <c r="DC70" s="16"/>
      <c r="DD70" s="16"/>
      <c r="DE70" s="16"/>
      <c r="DF70" s="16"/>
      <c r="DG70" s="16"/>
      <c r="DH70" s="16"/>
      <c r="DI70" s="16"/>
      <c r="DJ70" s="16"/>
      <c r="DK70" s="16"/>
    </row>
    <row r="71">
      <c r="A71" s="16">
        <f>IFERROR(__xludf.DUMMYFUNCTION("""COMPUTED_VALUE"""),12863.0)</f>
        <v>12863</v>
      </c>
      <c r="B71" s="16" t="str">
        <f>IFERROR(__xludf.DUMMYFUNCTION("""COMPUTED_VALUE"""),"Hans Crouse")</f>
        <v>Hans Crouse</v>
      </c>
      <c r="C71" s="153">
        <f>IFERROR(__xludf.DUMMYFUNCTION("""COMPUTED_VALUE"""),0.95)</f>
        <v>0.95</v>
      </c>
      <c r="D71" s="16"/>
      <c r="E71" s="16" t="str">
        <f>IFERROR(__xludf.DUMMYFUNCTION("""COMPUTED_VALUE"""),"R")</f>
        <v>R</v>
      </c>
      <c r="F71" s="16">
        <f>IFERROR(__xludf.DUMMYFUNCTION("""COMPUTED_VALUE"""),25.0)</f>
        <v>25</v>
      </c>
      <c r="G71" s="16">
        <f>IFERROR(__xludf.DUMMYFUNCTION("""COMPUTED_VALUE"""),33.0)</f>
        <v>33</v>
      </c>
      <c r="H71" s="16">
        <f>IFERROR(__xludf.DUMMYFUNCTION("""COMPUTED_VALUE"""),56.0)</f>
        <v>56</v>
      </c>
      <c r="I71" s="16">
        <f>IFERROR(__xludf.DUMMYFUNCTION("""COMPUTED_VALUE"""),1.0)</f>
        <v>1</v>
      </c>
      <c r="J71" s="16">
        <f>IFERROR(__xludf.DUMMYFUNCTION("""COMPUTED_VALUE"""),3.0)</f>
        <v>3</v>
      </c>
      <c r="K71" s="16">
        <f>IFERROR(__xludf.DUMMYFUNCTION("""COMPUTED_VALUE"""),3.0)</f>
        <v>3</v>
      </c>
      <c r="L71" s="16">
        <f>IFERROR(__xludf.DUMMYFUNCTION("""COMPUTED_VALUE"""),9.0)</f>
        <v>9</v>
      </c>
      <c r="M71" s="16">
        <f>IFERROR(__xludf.DUMMYFUNCTION("""COMPUTED_VALUE"""),40.0)</f>
        <v>40</v>
      </c>
      <c r="N71" s="16">
        <f>IFERROR(__xludf.DUMMYFUNCTION("""COMPUTED_VALUE"""),14.0)</f>
        <v>14</v>
      </c>
      <c r="O71" s="16">
        <f>IFERROR(__xludf.DUMMYFUNCTION("""COMPUTED_VALUE"""),-3.0)</f>
        <v>-3</v>
      </c>
      <c r="P71" s="16">
        <f>IFERROR(__xludf.DUMMYFUNCTION("""COMPUTED_VALUE"""),-2.0)</f>
        <v>-2</v>
      </c>
      <c r="Q71" s="16">
        <f>IFERROR(__xludf.DUMMYFUNCTION("""COMPUTED_VALUE"""),-3.0)</f>
        <v>-3</v>
      </c>
      <c r="R71" s="16">
        <f>IFERROR(__xludf.DUMMYFUNCTION("""COMPUTED_VALUE"""),-2.0)</f>
        <v>-2</v>
      </c>
      <c r="S71" s="16">
        <f>IFERROR(__xludf.DUMMYFUNCTION("""COMPUTED_VALUE"""),0.0)</f>
        <v>0</v>
      </c>
      <c r="T71" s="16">
        <f>IFERROR(__xludf.DUMMYFUNCTION("""COMPUTED_VALUE"""),4.9)</f>
        <v>4.9</v>
      </c>
      <c r="U71" s="16">
        <f>IFERROR(__xludf.DUMMYFUNCTION("""COMPUTED_VALUE"""),3.0)</f>
        <v>3</v>
      </c>
      <c r="V71" s="16">
        <f>IFERROR(__xludf.DUMMYFUNCTION("""COMPUTED_VALUE"""),2.0)</f>
        <v>2</v>
      </c>
      <c r="W71" s="16">
        <f>IFERROR(__xludf.DUMMYFUNCTION("""COMPUTED_VALUE"""),6.0)</f>
        <v>6</v>
      </c>
      <c r="X71" s="16">
        <f>IFERROR(__xludf.DUMMYFUNCTION("""COMPUTED_VALUE"""),4.0)</f>
        <v>4</v>
      </c>
      <c r="Y71" s="16">
        <f>IFERROR(__xludf.DUMMYFUNCTION("""COMPUTED_VALUE"""),40.0)</f>
        <v>40</v>
      </c>
      <c r="Z71" s="16">
        <f>IFERROR(__xludf.DUMMYFUNCTION("""COMPUTED_VALUE"""),18.9)</f>
        <v>18.9</v>
      </c>
      <c r="AA71" s="16">
        <f>IFERROR(__xludf.DUMMYFUNCTION("""COMPUTED_VALUE"""),-2.0)</f>
        <v>-2</v>
      </c>
      <c r="AB71" s="16">
        <f>IFERROR(__xludf.DUMMYFUNCTION("""COMPUTED_VALUE"""),1.0)</f>
        <v>1</v>
      </c>
      <c r="AC71" s="16">
        <f>IFERROR(__xludf.DUMMYFUNCTION("""COMPUTED_VALUE"""),-10.0)</f>
        <v>-10</v>
      </c>
      <c r="AD71" s="16">
        <f>IFERROR(__xludf.DUMMYFUNCTION("""COMPUTED_VALUE"""),5.0)</f>
        <v>5</v>
      </c>
      <c r="AE71" s="16">
        <f>IFERROR(__xludf.DUMMYFUNCTION("""COMPUTED_VALUE"""),0.0)</f>
        <v>0</v>
      </c>
      <c r="AF71" s="16">
        <f>IFERROR(__xludf.DUMMYFUNCTION("""COMPUTED_VALUE"""),15.0)</f>
        <v>15</v>
      </c>
      <c r="AG71" s="16">
        <f>IFERROR(__xludf.DUMMYFUNCTION("""COMPUTED_VALUE"""),3.0)</f>
        <v>3</v>
      </c>
      <c r="AH71" s="16">
        <f>IFERROR(__xludf.DUMMYFUNCTION("""COMPUTED_VALUE"""),1.0)</f>
        <v>1</v>
      </c>
      <c r="AI71" s="16">
        <f>IFERROR(__xludf.DUMMYFUNCTION("""COMPUTED_VALUE"""),6.0)</f>
        <v>6</v>
      </c>
      <c r="AJ71" s="16">
        <f>IFERROR(__xludf.DUMMYFUNCTION("""COMPUTED_VALUE"""),2.0)</f>
        <v>2</v>
      </c>
      <c r="AK71" s="16">
        <f>IFERROR(__xludf.DUMMYFUNCTION("""COMPUTED_VALUE"""),0.0)</f>
        <v>0</v>
      </c>
      <c r="AL71" s="16">
        <f>IFERROR(__xludf.DUMMYFUNCTION("""COMPUTED_VALUE"""),2.3000000000000003)</f>
        <v>2.3</v>
      </c>
      <c r="AM71" s="16">
        <f>IFERROR(__xludf.DUMMYFUNCTION("""COMPUTED_VALUE"""),3.0)</f>
        <v>3</v>
      </c>
      <c r="AN71" s="16">
        <f>IFERROR(__xludf.DUMMYFUNCTION("""COMPUTED_VALUE"""),2.0)</f>
        <v>2</v>
      </c>
      <c r="AO71" s="16">
        <f>IFERROR(__xludf.DUMMYFUNCTION("""COMPUTED_VALUE"""),3.0)</f>
        <v>3</v>
      </c>
      <c r="AP71" s="16">
        <f>IFERROR(__xludf.DUMMYFUNCTION("""COMPUTED_VALUE"""),2.0)</f>
        <v>2</v>
      </c>
      <c r="AQ71" s="16">
        <f>IFERROR(__xludf.DUMMYFUNCTION("""COMPUTED_VALUE"""),0.0)</f>
        <v>0</v>
      </c>
      <c r="AR71" s="16">
        <f>IFERROR(__xludf.DUMMYFUNCTION("""COMPUTED_VALUE"""),4.6)</f>
        <v>4.6</v>
      </c>
      <c r="AS71" s="16">
        <f>IFERROR(__xludf.DUMMYFUNCTION("""COMPUTED_VALUE"""),3.0)</f>
        <v>3</v>
      </c>
      <c r="AT71" s="16">
        <f>IFERROR(__xludf.DUMMYFUNCTION("""COMPUTED_VALUE"""),2.0)</f>
        <v>2</v>
      </c>
      <c r="AU71" s="16">
        <f>IFERROR(__xludf.DUMMYFUNCTION("""COMPUTED_VALUE"""),6.0)</f>
        <v>6</v>
      </c>
      <c r="AV71" s="16">
        <f>IFERROR(__xludf.DUMMYFUNCTION("""COMPUTED_VALUE"""),4.0)</f>
        <v>4</v>
      </c>
      <c r="AW71" s="16">
        <f>IFERROR(__xludf.DUMMYFUNCTION("""COMPUTED_VALUE"""),0.0)</f>
        <v>0</v>
      </c>
      <c r="AX71" s="16">
        <f>IFERROR(__xludf.DUMMYFUNCTION("""COMPUTED_VALUE"""),2.6)</f>
        <v>2.6</v>
      </c>
      <c r="AY71" s="16">
        <f>IFERROR(__xludf.DUMMYFUNCTION("""COMPUTED_VALUE"""),2.0)</f>
        <v>2</v>
      </c>
      <c r="AZ71" s="16">
        <f>IFERROR(__xludf.DUMMYFUNCTION("""COMPUTED_VALUE"""),-1.0)</f>
        <v>-1</v>
      </c>
      <c r="BA71" s="16">
        <f>IFERROR(__xludf.DUMMYFUNCTION("""COMPUTED_VALUE"""),10.0)</f>
        <v>10</v>
      </c>
      <c r="BB71" s="16">
        <f>IFERROR(__xludf.DUMMYFUNCTION("""COMPUTED_VALUE"""),-5.0)</f>
        <v>-5</v>
      </c>
      <c r="BC71" s="16"/>
      <c r="BD71" s="16"/>
      <c r="BE71" s="16">
        <f>IFERROR(__xludf.DUMMYFUNCTION("""COMPUTED_VALUE"""),0.0)</f>
        <v>0</v>
      </c>
      <c r="BF71" s="16">
        <f>IFERROR(__xludf.DUMMYFUNCTION("""COMPUTED_VALUE"""),3.0)</f>
        <v>3</v>
      </c>
      <c r="BG71" s="16">
        <f>IFERROR(__xludf.DUMMYFUNCTION("""COMPUTED_VALUE"""),3.0)</f>
        <v>3</v>
      </c>
      <c r="BH71" s="16">
        <f>IFERROR(__xludf.DUMMYFUNCTION("""COMPUTED_VALUE"""),0.0)</f>
        <v>0</v>
      </c>
      <c r="BI71" s="16">
        <f>IFERROR(__xludf.DUMMYFUNCTION("""COMPUTED_VALUE"""),6.0)</f>
        <v>6</v>
      </c>
      <c r="BJ71" s="16">
        <f>IFERROR(__xludf.DUMMYFUNCTION("""COMPUTED_VALUE"""),0.0)</f>
        <v>0</v>
      </c>
      <c r="BK71" s="16">
        <f>IFERROR(__xludf.DUMMYFUNCTION("""COMPUTED_VALUE"""),0.0)</f>
        <v>0</v>
      </c>
      <c r="BL71" s="16">
        <f>IFERROR(__xludf.DUMMYFUNCTION("""COMPUTED_VALUE"""),0.0)</f>
        <v>0</v>
      </c>
      <c r="BM71" s="16">
        <f>IFERROR(__xludf.DUMMYFUNCTION("""COMPUTED_VALUE"""),1.0)</f>
        <v>1</v>
      </c>
      <c r="BN71" s="16">
        <f>IFERROR(__xludf.DUMMYFUNCTION("""COMPUTED_VALUE"""),1.0)</f>
        <v>1</v>
      </c>
      <c r="BO71" s="16">
        <f>IFERROR(__xludf.DUMMYFUNCTION("""COMPUTED_VALUE"""),1.0)</f>
        <v>1</v>
      </c>
      <c r="BP71" s="16">
        <f>IFERROR(__xludf.DUMMYFUNCTION("""COMPUTED_VALUE"""),1.0)</f>
        <v>1</v>
      </c>
      <c r="BQ71" s="16">
        <f>IFERROR(__xludf.DUMMYFUNCTION("""COMPUTED_VALUE"""),5.0)</f>
        <v>5</v>
      </c>
      <c r="BR71" s="16">
        <f>IFERROR(__xludf.DUMMYFUNCTION("""COMPUTED_VALUE"""),0.0)</f>
        <v>0</v>
      </c>
      <c r="BS71" s="16">
        <f>IFERROR(__xludf.DUMMYFUNCTION("""COMPUTED_VALUE"""),0.0)</f>
        <v>0</v>
      </c>
      <c r="BT71" s="16">
        <f>IFERROR(__xludf.DUMMYFUNCTION("""COMPUTED_VALUE"""),-3.0)</f>
        <v>-3</v>
      </c>
      <c r="BU71" s="16">
        <f>IFERROR(__xludf.DUMMYFUNCTION("""COMPUTED_VALUE"""),0.0)</f>
        <v>0</v>
      </c>
      <c r="BV71" s="16">
        <f>IFERROR(__xludf.DUMMYFUNCTION("""COMPUTED_VALUE"""),-6.0)</f>
        <v>-6</v>
      </c>
      <c r="BW71" s="16">
        <f>IFERROR(__xludf.DUMMYFUNCTION("""COMPUTED_VALUE"""),6.0)</f>
        <v>6</v>
      </c>
      <c r="BX71" s="16">
        <f>IFERROR(__xludf.DUMMYFUNCTION("""COMPUTED_VALUE"""),6.0)</f>
        <v>6</v>
      </c>
      <c r="BY71" s="16" t="str">
        <f>IFERROR(__xludf.DUMMYFUNCTION("""COMPUTED_VALUE"""),"R(1)")</f>
        <v>R(1)</v>
      </c>
      <c r="BZ71" s="16" t="str">
        <f>IFERROR(__xludf.DUMMYFUNCTION("""COMPUTED_VALUE"""),"R(1)")</f>
        <v>R(1)</v>
      </c>
      <c r="CA71" s="16" t="str">
        <f>IFERROR(__xludf.DUMMYFUNCTION("""COMPUTED_VALUE"""),"R(1)")</f>
        <v>R(1)</v>
      </c>
      <c r="CB71" s="16"/>
      <c r="CC71" s="16"/>
      <c r="CD71" s="16"/>
      <c r="CE71" s="16">
        <f>IFERROR(__xludf.DUMMYFUNCTION("""COMPUTED_VALUE"""),1.0)</f>
        <v>1</v>
      </c>
      <c r="CF71" s="16"/>
      <c r="CG71" s="16" t="str">
        <f>IFERROR(__xludf.DUMMYFUNCTION("""COMPUTED_VALUE"""),"4-51")</f>
        <v>4-51</v>
      </c>
      <c r="CH71" s="16">
        <f>IFERROR(__xludf.DUMMYFUNCTION("""COMPUTED_VALUE"""),4.0)</f>
        <v>4</v>
      </c>
      <c r="CI71" s="16">
        <f>IFERROR(__xludf.DUMMYFUNCTION("""COMPUTED_VALUE"""),51.0)</f>
        <v>51</v>
      </c>
      <c r="CJ71" s="16">
        <f>IFERROR(__xludf.DUMMYFUNCTION("""COMPUTED_VALUE"""),0.0)</f>
        <v>0</v>
      </c>
      <c r="CK71" s="16">
        <f>IFERROR(__xludf.DUMMYFUNCTION("""COMPUTED_VALUE"""),8.0)</f>
        <v>8</v>
      </c>
      <c r="CL71" s="16" t="str">
        <f>IFERROR(__xludf.DUMMYFUNCTION("""COMPUTED_VALUE"""),"1WL-C")</f>
        <v>1WL-C</v>
      </c>
      <c r="CM71" s="16" t="str">
        <f>IFERROR(__xludf.DUMMYFUNCTION("""COMPUTED_VALUE"""),"E")</f>
        <v>E</v>
      </c>
      <c r="CN71" s="16">
        <f>IFERROR(__xludf.DUMMYFUNCTION("""COMPUTED_VALUE"""),10.0)</f>
        <v>10</v>
      </c>
      <c r="CO71" s="16" t="str">
        <f>IFERROR(__xludf.DUMMYFUNCTION("""COMPUTED_VALUE"""),"C")</f>
        <v>C</v>
      </c>
      <c r="CP71" s="16" t="str">
        <f>IFERROR(__xludf.DUMMYFUNCTION("""COMPUTED_VALUE"""),"1p20")</f>
        <v>1p20</v>
      </c>
      <c r="CQ71" s="16">
        <f>IFERROR(__xludf.DUMMYFUNCTION("""COMPUTED_VALUE"""),28.0)</f>
        <v>28</v>
      </c>
      <c r="CR71" s="16">
        <f>IFERROR(__xludf.DUMMYFUNCTION("""COMPUTED_VALUE"""),14.0)</f>
        <v>14</v>
      </c>
      <c r="CS71" s="16">
        <f>IFERROR(__xludf.DUMMYFUNCTION("""COMPUTED_VALUE"""),42.0)</f>
        <v>42</v>
      </c>
      <c r="CT71" s="16">
        <f>IFERROR(__xludf.DUMMYFUNCTION("""COMPUTED_VALUE"""),28.0)</f>
        <v>28</v>
      </c>
      <c r="CU71" s="16">
        <f>IFERROR(__xludf.DUMMYFUNCTION("""COMPUTED_VALUE"""),14.0)</f>
        <v>14</v>
      </c>
      <c r="CV71" s="179">
        <f>IFERROR(__xludf.DUMMYFUNCTION("""COMPUTED_VALUE"""),25.666666666666668)</f>
        <v>25.66666667</v>
      </c>
      <c r="CW71" s="179">
        <f>IFERROR(__xludf.DUMMYFUNCTION("""COMPUTED_VALUE"""),4.0)</f>
        <v>4</v>
      </c>
      <c r="CX71" s="179">
        <f>IFERROR(__xludf.DUMMYFUNCTION("""COMPUTED_VALUE"""),3.0)</f>
        <v>3</v>
      </c>
      <c r="CY71" s="16" t="str">
        <f>IFERROR(__xludf.DUMMYFUNCTION("""COMPUTED_VALUE"""),"RP")</f>
        <v>RP</v>
      </c>
      <c r="CZ71" s="16"/>
      <c r="DA71" s="16"/>
      <c r="DB71" s="16"/>
      <c r="DC71" s="16"/>
      <c r="DD71" s="16"/>
      <c r="DE71" s="16"/>
      <c r="DF71" s="16"/>
      <c r="DG71" s="16"/>
      <c r="DH71" s="16"/>
      <c r="DI71" s="16"/>
      <c r="DJ71" s="16"/>
      <c r="DK71" s="16"/>
    </row>
    <row r="72">
      <c r="A72" s="16">
        <f>IFERROR(__xludf.DUMMYFUNCTION("""COMPUTED_VALUE"""),12752.0)</f>
        <v>12752</v>
      </c>
      <c r="B72" s="16" t="str">
        <f>IFERROR(__xludf.DUMMYFUNCTION("""COMPUTED_VALUE"""),"Dennis Santana")</f>
        <v>Dennis Santana</v>
      </c>
      <c r="C72" s="153">
        <f>IFERROR(__xludf.DUMMYFUNCTION("""COMPUTED_VALUE"""),0.9)</f>
        <v>0.9</v>
      </c>
      <c r="D72" s="16"/>
      <c r="E72" s="16" t="str">
        <f>IFERROR(__xludf.DUMMYFUNCTION("""COMPUTED_VALUE"""),"R")</f>
        <v>R</v>
      </c>
      <c r="F72" s="16">
        <f>IFERROR(__xludf.DUMMYFUNCTION("""COMPUTED_VALUE"""),72.0)</f>
        <v>72</v>
      </c>
      <c r="G72" s="16">
        <f>IFERROR(__xludf.DUMMYFUNCTION("""COMPUTED_VALUE"""),45.0)</f>
        <v>45</v>
      </c>
      <c r="H72" s="16">
        <f>IFERROR(__xludf.DUMMYFUNCTION("""COMPUTED_VALUE"""),19.0)</f>
        <v>19</v>
      </c>
      <c r="I72" s="16">
        <f>IFERROR(__xludf.DUMMYFUNCTION("""COMPUTED_VALUE"""),2.0)</f>
        <v>2</v>
      </c>
      <c r="J72" s="16">
        <f>IFERROR(__xludf.DUMMYFUNCTION("""COMPUTED_VALUE"""),-1.0)</f>
        <v>-1</v>
      </c>
      <c r="K72" s="16">
        <f>IFERROR(__xludf.DUMMYFUNCTION("""COMPUTED_VALUE"""),6.0)</f>
        <v>6</v>
      </c>
      <c r="L72" s="16">
        <f>IFERROR(__xludf.DUMMYFUNCTION("""COMPUTED_VALUE"""),-3.0)</f>
        <v>-3</v>
      </c>
      <c r="M72" s="16">
        <f>IFERROR(__xludf.DUMMYFUNCTION("""COMPUTED_VALUE"""),18.0)</f>
        <v>18</v>
      </c>
      <c r="N72" s="16">
        <f>IFERROR(__xludf.DUMMYFUNCTION("""COMPUTED_VALUE"""),3.0)</f>
        <v>3</v>
      </c>
      <c r="O72" s="16">
        <f>IFERROR(__xludf.DUMMYFUNCTION("""COMPUTED_VALUE"""),-3.0)</f>
        <v>-3</v>
      </c>
      <c r="P72" s="16">
        <f>IFERROR(__xludf.DUMMYFUNCTION("""COMPUTED_VALUE"""),2.0)</f>
        <v>2</v>
      </c>
      <c r="Q72" s="16">
        <f>IFERROR(__xludf.DUMMYFUNCTION("""COMPUTED_VALUE"""),-3.0)</f>
        <v>-3</v>
      </c>
      <c r="R72" s="16">
        <f>IFERROR(__xludf.DUMMYFUNCTION("""COMPUTED_VALUE"""),2.0)</f>
        <v>2</v>
      </c>
      <c r="S72" s="16">
        <f>IFERROR(__xludf.DUMMYFUNCTION("""COMPUTED_VALUE"""),7.3)</f>
        <v>7.3</v>
      </c>
      <c r="T72" s="16">
        <f>IFERROR(__xludf.DUMMYFUNCTION("""COMPUTED_VALUE"""),14.8)</f>
        <v>14.8</v>
      </c>
      <c r="U72" s="16">
        <f>IFERROR(__xludf.DUMMYFUNCTION("""COMPUTED_VALUE"""),1.0)</f>
        <v>1</v>
      </c>
      <c r="V72" s="16">
        <f>IFERROR(__xludf.DUMMYFUNCTION("""COMPUTED_VALUE"""),0.0)</f>
        <v>0</v>
      </c>
      <c r="W72" s="16">
        <f>IFERROR(__xludf.DUMMYFUNCTION("""COMPUTED_VALUE"""),2.0)</f>
        <v>2</v>
      </c>
      <c r="X72" s="16">
        <f>IFERROR(__xludf.DUMMYFUNCTION("""COMPUTED_VALUE"""),0.0)</f>
        <v>0</v>
      </c>
      <c r="Y72" s="16">
        <f>IFERROR(__xludf.DUMMYFUNCTION("""COMPUTED_VALUE"""),25.3)</f>
        <v>25.3</v>
      </c>
      <c r="Z72" s="16">
        <f>IFERROR(__xludf.DUMMYFUNCTION("""COMPUTED_VALUE"""),17.9)</f>
        <v>17.9</v>
      </c>
      <c r="AA72" s="16">
        <f>IFERROR(__xludf.DUMMYFUNCTION("""COMPUTED_VALUE"""),0.0)</f>
        <v>0</v>
      </c>
      <c r="AB72" s="16">
        <f>IFERROR(__xludf.DUMMYFUNCTION("""COMPUTED_VALUE"""),1.0)</f>
        <v>1</v>
      </c>
      <c r="AC72" s="16">
        <f>IFERROR(__xludf.DUMMYFUNCTION("""COMPUTED_VALUE"""),0.0)</f>
        <v>0</v>
      </c>
      <c r="AD72" s="16">
        <f>IFERROR(__xludf.DUMMYFUNCTION("""COMPUTED_VALUE"""),5.0)</f>
        <v>5</v>
      </c>
      <c r="AE72" s="16">
        <f>IFERROR(__xludf.DUMMYFUNCTION("""COMPUTED_VALUE"""),17.5)</f>
        <v>17.5</v>
      </c>
      <c r="AF72" s="16">
        <f>IFERROR(__xludf.DUMMYFUNCTION("""COMPUTED_VALUE"""),29.0)</f>
        <v>29</v>
      </c>
      <c r="AG72" s="16">
        <f>IFERROR(__xludf.DUMMYFUNCTION("""COMPUTED_VALUE"""),1.0)</f>
        <v>1</v>
      </c>
      <c r="AH72" s="16">
        <f>IFERROR(__xludf.DUMMYFUNCTION("""COMPUTED_VALUE"""),0.0)</f>
        <v>0</v>
      </c>
      <c r="AI72" s="16">
        <f>IFERROR(__xludf.DUMMYFUNCTION("""COMPUTED_VALUE"""),2.0)</f>
        <v>2</v>
      </c>
      <c r="AJ72" s="16">
        <f>IFERROR(__xludf.DUMMYFUNCTION("""COMPUTED_VALUE"""),0.0)</f>
        <v>0</v>
      </c>
      <c r="AK72" s="16">
        <f>IFERROR(__xludf.DUMMYFUNCTION("""COMPUTED_VALUE"""),6.3)</f>
        <v>6.3</v>
      </c>
      <c r="AL72" s="16">
        <f>IFERROR(__xludf.DUMMYFUNCTION("""COMPUTED_VALUE"""),14.8)</f>
        <v>14.8</v>
      </c>
      <c r="AM72" s="16">
        <f>IFERROR(__xludf.DUMMYFUNCTION("""COMPUTED_VALUE"""),1.0)</f>
        <v>1</v>
      </c>
      <c r="AN72" s="16">
        <f>IFERROR(__xludf.DUMMYFUNCTION("""COMPUTED_VALUE"""),0.0)</f>
        <v>0</v>
      </c>
      <c r="AO72" s="16">
        <f>IFERROR(__xludf.DUMMYFUNCTION("""COMPUTED_VALUE"""),1.0)</f>
        <v>1</v>
      </c>
      <c r="AP72" s="16">
        <f>IFERROR(__xludf.DUMMYFUNCTION("""COMPUTED_VALUE"""),0.0)</f>
        <v>0</v>
      </c>
      <c r="AQ72" s="16">
        <f>IFERROR(__xludf.DUMMYFUNCTION("""COMPUTED_VALUE"""),13.5)</f>
        <v>13.5</v>
      </c>
      <c r="AR72" s="16">
        <f>IFERROR(__xludf.DUMMYFUNCTION("""COMPUTED_VALUE"""),29.0)</f>
        <v>29</v>
      </c>
      <c r="AS72" s="16">
        <f>IFERROR(__xludf.DUMMYFUNCTION("""COMPUTED_VALUE"""),1.0)</f>
        <v>1</v>
      </c>
      <c r="AT72" s="16">
        <f>IFERROR(__xludf.DUMMYFUNCTION("""COMPUTED_VALUE"""),-1.0)</f>
        <v>-1</v>
      </c>
      <c r="AU72" s="16">
        <f>IFERROR(__xludf.DUMMYFUNCTION("""COMPUTED_VALUE"""),2.0)</f>
        <v>2</v>
      </c>
      <c r="AV72" s="16">
        <f>IFERROR(__xludf.DUMMYFUNCTION("""COMPUTED_VALUE"""),-2.0)</f>
        <v>-2</v>
      </c>
      <c r="AW72" s="16">
        <f>IFERROR(__xludf.DUMMYFUNCTION("""COMPUTED_VALUE"""),1.0)</f>
        <v>1</v>
      </c>
      <c r="AX72" s="16">
        <f>IFERROR(__xludf.DUMMYFUNCTION("""COMPUTED_VALUE"""),0.0)</f>
        <v>0</v>
      </c>
      <c r="AY72" s="16">
        <f>IFERROR(__xludf.DUMMYFUNCTION("""COMPUTED_VALUE"""),1.0)</f>
        <v>1</v>
      </c>
      <c r="AZ72" s="16">
        <f>IFERROR(__xludf.DUMMYFUNCTION("""COMPUTED_VALUE"""),2.0)</f>
        <v>2</v>
      </c>
      <c r="BA72" s="16">
        <f>IFERROR(__xludf.DUMMYFUNCTION("""COMPUTED_VALUE"""),5.0)</f>
        <v>5</v>
      </c>
      <c r="BB72" s="16">
        <f>IFERROR(__xludf.DUMMYFUNCTION("""COMPUTED_VALUE"""),10.0)</f>
        <v>10</v>
      </c>
      <c r="BC72" s="16"/>
      <c r="BD72" s="16">
        <f>IFERROR(__xludf.DUMMYFUNCTION("""COMPUTED_VALUE"""),0.0)</f>
        <v>0</v>
      </c>
      <c r="BE72" s="16">
        <f>IFERROR(__xludf.DUMMYFUNCTION("""COMPUTED_VALUE"""),0.0)</f>
        <v>0</v>
      </c>
      <c r="BF72" s="16">
        <f>IFERROR(__xludf.DUMMYFUNCTION("""COMPUTED_VALUE"""),0.0)</f>
        <v>0</v>
      </c>
      <c r="BG72" s="16">
        <f>IFERROR(__xludf.DUMMYFUNCTION("""COMPUTED_VALUE"""),3.0)</f>
        <v>3</v>
      </c>
      <c r="BH72" s="16">
        <f>IFERROR(__xludf.DUMMYFUNCTION("""COMPUTED_VALUE"""),2.0)</f>
        <v>2</v>
      </c>
      <c r="BI72" s="16">
        <f>IFERROR(__xludf.DUMMYFUNCTION("""COMPUTED_VALUE"""),6.0)</f>
        <v>6</v>
      </c>
      <c r="BJ72" s="16">
        <f>IFERROR(__xludf.DUMMYFUNCTION("""COMPUTED_VALUE"""),4.0)</f>
        <v>4</v>
      </c>
      <c r="BK72" s="16">
        <f>IFERROR(__xludf.DUMMYFUNCTION("""COMPUTED_VALUE"""),0.0)</f>
        <v>0</v>
      </c>
      <c r="BL72" s="16">
        <f>IFERROR(__xludf.DUMMYFUNCTION("""COMPUTED_VALUE"""),5.0)</f>
        <v>5</v>
      </c>
      <c r="BM72" s="16">
        <f>IFERROR(__xludf.DUMMYFUNCTION("""COMPUTED_VALUE"""),1.0)</f>
        <v>1</v>
      </c>
      <c r="BN72" s="16">
        <f>IFERROR(__xludf.DUMMYFUNCTION("""COMPUTED_VALUE"""),0.0)</f>
        <v>0</v>
      </c>
      <c r="BO72" s="16">
        <f>IFERROR(__xludf.DUMMYFUNCTION("""COMPUTED_VALUE"""),1.0)</f>
        <v>1</v>
      </c>
      <c r="BP72" s="16">
        <f>IFERROR(__xludf.DUMMYFUNCTION("""COMPUTED_VALUE"""),0.0)</f>
        <v>0</v>
      </c>
      <c r="BQ72" s="16">
        <f>IFERROR(__xludf.DUMMYFUNCTION("""COMPUTED_VALUE"""),5.0)</f>
        <v>5</v>
      </c>
      <c r="BR72" s="16">
        <f>IFERROR(__xludf.DUMMYFUNCTION("""COMPUTED_VALUE"""),8.0)</f>
        <v>8</v>
      </c>
      <c r="BS72" s="16">
        <f>IFERROR(__xludf.DUMMYFUNCTION("""COMPUTED_VALUE"""),0.0)</f>
        <v>0</v>
      </c>
      <c r="BT72" s="16">
        <f>IFERROR(__xludf.DUMMYFUNCTION("""COMPUTED_VALUE"""),2.0)</f>
        <v>2</v>
      </c>
      <c r="BU72" s="16">
        <f>IFERROR(__xludf.DUMMYFUNCTION("""COMPUTED_VALUE"""),0.0)</f>
        <v>0</v>
      </c>
      <c r="BV72" s="16">
        <f>IFERROR(__xludf.DUMMYFUNCTION("""COMPUTED_VALUE"""),4.0)</f>
        <v>4</v>
      </c>
      <c r="BW72" s="16">
        <f>IFERROR(__xludf.DUMMYFUNCTION("""COMPUTED_VALUE"""),0.0)</f>
        <v>0</v>
      </c>
      <c r="BX72" s="16">
        <f>IFERROR(__xludf.DUMMYFUNCTION("""COMPUTED_VALUE"""),0.0)</f>
        <v>0</v>
      </c>
      <c r="BY72" s="16" t="str">
        <f>IFERROR(__xludf.DUMMYFUNCTION("""COMPUTED_VALUE"""),"R(2) C(2)")</f>
        <v>R(2) C(2)</v>
      </c>
      <c r="BZ72" s="16" t="str">
        <f>IFERROR(__xludf.DUMMYFUNCTION("""COMPUTED_VALUE"""),"R(2) C(2)")</f>
        <v>R(2) C(2)</v>
      </c>
      <c r="CA72" s="16" t="str">
        <f>IFERROR(__xludf.DUMMYFUNCTION("""COMPUTED_VALUE"""),"R(2)")</f>
        <v>R(2)</v>
      </c>
      <c r="CB72" s="16" t="str">
        <f>IFERROR(__xludf.DUMMYFUNCTION("""COMPUTED_VALUE"""),"C(2)")</f>
        <v>C(2)</v>
      </c>
      <c r="CC72" s="16"/>
      <c r="CD72" s="16"/>
      <c r="CE72" s="16">
        <f>IFERROR(__xludf.DUMMYFUNCTION("""COMPUTED_VALUE"""),2.0)</f>
        <v>2</v>
      </c>
      <c r="CF72" s="16">
        <f>IFERROR(__xludf.DUMMYFUNCTION("""COMPUTED_VALUE"""),2.0)</f>
        <v>2</v>
      </c>
      <c r="CG72" s="16" t="str">
        <f>IFERROR(__xludf.DUMMYFUNCTION("""COMPUTED_VALUE"""),"4-0")</f>
        <v>4-0</v>
      </c>
      <c r="CH72" s="16">
        <f>IFERROR(__xludf.DUMMYFUNCTION("""COMPUTED_VALUE"""),4.0)</f>
        <v>4</v>
      </c>
      <c r="CI72" s="16">
        <f>IFERROR(__xludf.DUMMYFUNCTION("""COMPUTED_VALUE"""),0.0)</f>
        <v>0</v>
      </c>
      <c r="CJ72" s="16">
        <f>IFERROR(__xludf.DUMMYFUNCTION("""COMPUTED_VALUE"""),10.0)</f>
        <v>10</v>
      </c>
      <c r="CK72" s="16">
        <f>IFERROR(__xludf.DUMMYFUNCTION("""COMPUTED_VALUE"""),2.0)</f>
        <v>2</v>
      </c>
      <c r="CL72" s="16" t="str">
        <f>IFERROR(__xludf.DUMMYFUNCTION("""COMPUTED_VALUE"""),"1WR-C")</f>
        <v>1WR-C</v>
      </c>
      <c r="CM72" s="16" t="str">
        <f>IFERROR(__xludf.DUMMYFUNCTION("""COMPUTED_VALUE"""),"E")</f>
        <v>E</v>
      </c>
      <c r="CN72" s="16">
        <f>IFERROR(__xludf.DUMMYFUNCTION("""COMPUTED_VALUE"""),10.0)</f>
        <v>10</v>
      </c>
      <c r="CO72" s="16" t="str">
        <f>IFERROR(__xludf.DUMMYFUNCTION("""COMPUTED_VALUE"""),"C")</f>
        <v>C</v>
      </c>
      <c r="CP72" s="16" t="str">
        <f>IFERROR(__xludf.DUMMYFUNCTION("""COMPUTED_VALUE"""),"1p40")</f>
        <v>1p40</v>
      </c>
      <c r="CQ72" s="16">
        <f>IFERROR(__xludf.DUMMYFUNCTION("""COMPUTED_VALUE"""),22.0)</f>
        <v>22</v>
      </c>
      <c r="CR72" s="16">
        <f>IFERROR(__xludf.DUMMYFUNCTION("""COMPUTED_VALUE"""),20.0)</f>
        <v>20</v>
      </c>
      <c r="CS72" s="16">
        <f>IFERROR(__xludf.DUMMYFUNCTION("""COMPUTED_VALUE"""),42.0)</f>
        <v>42</v>
      </c>
      <c r="CT72" s="16">
        <f>IFERROR(__xludf.DUMMYFUNCTION("""COMPUTED_VALUE"""),22.0)</f>
        <v>22</v>
      </c>
      <c r="CU72" s="16">
        <f>IFERROR(__xludf.DUMMYFUNCTION("""COMPUTED_VALUE"""),20.0)</f>
        <v>20</v>
      </c>
      <c r="CV72" s="179">
        <f>IFERROR(__xludf.DUMMYFUNCTION("""COMPUTED_VALUE"""),25.666666666666668)</f>
        <v>25.66666667</v>
      </c>
      <c r="CW72" s="179">
        <f>IFERROR(__xludf.DUMMYFUNCTION("""COMPUTED_VALUE"""),4.0)</f>
        <v>4</v>
      </c>
      <c r="CX72" s="179">
        <f>IFERROR(__xludf.DUMMYFUNCTION("""COMPUTED_VALUE"""),1.0)</f>
        <v>1</v>
      </c>
      <c r="CY72" s="16" t="str">
        <f>IFERROR(__xludf.DUMMYFUNCTION("""COMPUTED_VALUE"""),"RP")</f>
        <v>RP</v>
      </c>
      <c r="CZ72" s="16" t="str">
        <f>IFERROR(__xludf.DUMMYFUNCTION("""COMPUTED_VALUE"""),"CP")</f>
        <v>CP</v>
      </c>
      <c r="DA72" s="16"/>
      <c r="DB72" s="16"/>
      <c r="DC72" s="16"/>
      <c r="DD72" s="16"/>
      <c r="DE72" s="16"/>
      <c r="DF72" s="16"/>
      <c r="DG72" s="16"/>
      <c r="DH72" s="16"/>
      <c r="DI72" s="16"/>
      <c r="DJ72" s="16"/>
      <c r="DK72" s="16"/>
    </row>
    <row r="73">
      <c r="A73" s="16">
        <f>IFERROR(__xludf.DUMMYFUNCTION("""COMPUTED_VALUE"""),13304.0)</f>
        <v>13304</v>
      </c>
      <c r="B73" s="16" t="str">
        <f>IFERROR(__xludf.DUMMYFUNCTION("""COMPUTED_VALUE"""),"Reese Olson")</f>
        <v>Reese Olson</v>
      </c>
      <c r="C73" s="153">
        <f>IFERROR(__xludf.DUMMYFUNCTION("""COMPUTED_VALUE"""),0.8)</f>
        <v>0.8</v>
      </c>
      <c r="D73" s="16"/>
      <c r="E73" s="16" t="str">
        <f>IFERROR(__xludf.DUMMYFUNCTION("""COMPUTED_VALUE"""),"R")</f>
        <v>R</v>
      </c>
      <c r="F73" s="16">
        <f>IFERROR(__xludf.DUMMYFUNCTION("""COMPUTED_VALUE"""),112.0)</f>
        <v>112</v>
      </c>
      <c r="G73" s="16">
        <f>IFERROR(__xludf.DUMMYFUNCTION("""COMPUTED_VALUE"""),28.0)</f>
        <v>28</v>
      </c>
      <c r="H73" s="16">
        <f>IFERROR(__xludf.DUMMYFUNCTION("""COMPUTED_VALUE"""),18.0)</f>
        <v>18</v>
      </c>
      <c r="I73" s="16">
        <f>IFERROR(__xludf.DUMMYFUNCTION("""COMPUTED_VALUE"""),0.0)</f>
        <v>0</v>
      </c>
      <c r="J73" s="16">
        <f>IFERROR(__xludf.DUMMYFUNCTION("""COMPUTED_VALUE"""),-1.0)</f>
        <v>-1</v>
      </c>
      <c r="K73" s="16">
        <f>IFERROR(__xludf.DUMMYFUNCTION("""COMPUTED_VALUE"""),0.0)</f>
        <v>0</v>
      </c>
      <c r="L73" s="16">
        <f>IFERROR(__xludf.DUMMYFUNCTION("""COMPUTED_VALUE"""),-3.0)</f>
        <v>-3</v>
      </c>
      <c r="M73" s="16">
        <f>IFERROR(__xludf.DUMMYFUNCTION("""COMPUTED_VALUE"""),11.0)</f>
        <v>11</v>
      </c>
      <c r="N73" s="16">
        <f>IFERROR(__xludf.DUMMYFUNCTION("""COMPUTED_VALUE"""),2.0)</f>
        <v>2</v>
      </c>
      <c r="O73" s="16">
        <f>IFERROR(__xludf.DUMMYFUNCTION("""COMPUTED_VALUE"""),-1.0)</f>
        <v>-1</v>
      </c>
      <c r="P73" s="16">
        <f>IFERROR(__xludf.DUMMYFUNCTION("""COMPUTED_VALUE"""),3.0)</f>
        <v>3</v>
      </c>
      <c r="Q73" s="16">
        <f>IFERROR(__xludf.DUMMYFUNCTION("""COMPUTED_VALUE"""),-1.0)</f>
        <v>-1</v>
      </c>
      <c r="R73" s="16">
        <f>IFERROR(__xludf.DUMMYFUNCTION("""COMPUTED_VALUE"""),3.0)</f>
        <v>3</v>
      </c>
      <c r="S73" s="16">
        <f>IFERROR(__xludf.DUMMYFUNCTION("""COMPUTED_VALUE"""),16.6)</f>
        <v>16.6</v>
      </c>
      <c r="T73" s="16">
        <f>IFERROR(__xludf.DUMMYFUNCTION("""COMPUTED_VALUE"""),12.9)</f>
        <v>12.9</v>
      </c>
      <c r="U73" s="16">
        <f>IFERROR(__xludf.DUMMYFUNCTION("""COMPUTED_VALUE"""),0.0)</f>
        <v>0</v>
      </c>
      <c r="V73" s="16">
        <f>IFERROR(__xludf.DUMMYFUNCTION("""COMPUTED_VALUE"""),1.0)</f>
        <v>1</v>
      </c>
      <c r="W73" s="16">
        <f>IFERROR(__xludf.DUMMYFUNCTION("""COMPUTED_VALUE"""),0.0)</f>
        <v>0</v>
      </c>
      <c r="X73" s="16">
        <f>IFERROR(__xludf.DUMMYFUNCTION("""COMPUTED_VALUE"""),2.0)</f>
        <v>2</v>
      </c>
      <c r="Y73" s="16">
        <f>IFERROR(__xludf.DUMMYFUNCTION("""COMPUTED_VALUE"""),27.7)</f>
        <v>27.7</v>
      </c>
      <c r="Z73" s="16">
        <f>IFERROR(__xludf.DUMMYFUNCTION("""COMPUTED_VALUE"""),14.9)</f>
        <v>14.9</v>
      </c>
      <c r="AA73" s="16">
        <f>IFERROR(__xludf.DUMMYFUNCTION("""COMPUTED_VALUE"""),0.0)</f>
        <v>0</v>
      </c>
      <c r="AB73" s="16">
        <f>IFERROR(__xludf.DUMMYFUNCTION("""COMPUTED_VALUE"""),2.0)</f>
        <v>2</v>
      </c>
      <c r="AC73" s="16">
        <f>IFERROR(__xludf.DUMMYFUNCTION("""COMPUTED_VALUE"""),0.0)</f>
        <v>0</v>
      </c>
      <c r="AD73" s="16">
        <f>IFERROR(__xludf.DUMMYFUNCTION("""COMPUTED_VALUE"""),10.0)</f>
        <v>10</v>
      </c>
      <c r="AE73" s="16">
        <f>IFERROR(__xludf.DUMMYFUNCTION("""COMPUTED_VALUE"""),24.2)</f>
        <v>24.2</v>
      </c>
      <c r="AF73" s="16">
        <f>IFERROR(__xludf.DUMMYFUNCTION("""COMPUTED_VALUE"""),20.6)</f>
        <v>20.6</v>
      </c>
      <c r="AG73" s="16">
        <f>IFERROR(__xludf.DUMMYFUNCTION("""COMPUTED_VALUE"""),0.0)</f>
        <v>0</v>
      </c>
      <c r="AH73" s="16">
        <f>IFERROR(__xludf.DUMMYFUNCTION("""COMPUTED_VALUE"""),1.0)</f>
        <v>1</v>
      </c>
      <c r="AI73" s="16">
        <f>IFERROR(__xludf.DUMMYFUNCTION("""COMPUTED_VALUE"""),0.0)</f>
        <v>0</v>
      </c>
      <c r="AJ73" s="16">
        <f>IFERROR(__xludf.DUMMYFUNCTION("""COMPUTED_VALUE"""),2.0)</f>
        <v>2</v>
      </c>
      <c r="AK73" s="16">
        <f>IFERROR(__xludf.DUMMYFUNCTION("""COMPUTED_VALUE"""),16.0)</f>
        <v>16</v>
      </c>
      <c r="AL73" s="16">
        <f>IFERROR(__xludf.DUMMYFUNCTION("""COMPUTED_VALUE"""),12.9)</f>
        <v>12.9</v>
      </c>
      <c r="AM73" s="16">
        <f>IFERROR(__xludf.DUMMYFUNCTION("""COMPUTED_VALUE"""),-1.0)</f>
        <v>-1</v>
      </c>
      <c r="AN73" s="16">
        <f>IFERROR(__xludf.DUMMYFUNCTION("""COMPUTED_VALUE"""),0.0)</f>
        <v>0</v>
      </c>
      <c r="AO73" s="16">
        <f>IFERROR(__xludf.DUMMYFUNCTION("""COMPUTED_VALUE"""),-1.0)</f>
        <v>-1</v>
      </c>
      <c r="AP73" s="16">
        <f>IFERROR(__xludf.DUMMYFUNCTION("""COMPUTED_VALUE"""),0.0)</f>
        <v>0</v>
      </c>
      <c r="AQ73" s="16">
        <f>IFERROR(__xludf.DUMMYFUNCTION("""COMPUTED_VALUE"""),21.8)</f>
        <v>21.8</v>
      </c>
      <c r="AR73" s="16">
        <f>IFERROR(__xludf.DUMMYFUNCTION("""COMPUTED_VALUE"""),20.6)</f>
        <v>20.6</v>
      </c>
      <c r="AS73" s="16">
        <f>IFERROR(__xludf.DUMMYFUNCTION("""COMPUTED_VALUE"""),0.0)</f>
        <v>0</v>
      </c>
      <c r="AT73" s="16">
        <f>IFERROR(__xludf.DUMMYFUNCTION("""COMPUTED_VALUE"""),0.0)</f>
        <v>0</v>
      </c>
      <c r="AU73" s="16">
        <f>IFERROR(__xludf.DUMMYFUNCTION("""COMPUTED_VALUE"""),0.0)</f>
        <v>0</v>
      </c>
      <c r="AV73" s="16">
        <f>IFERROR(__xludf.DUMMYFUNCTION("""COMPUTED_VALUE"""),0.0)</f>
        <v>0</v>
      </c>
      <c r="AW73" s="16">
        <f>IFERROR(__xludf.DUMMYFUNCTION("""COMPUTED_VALUE"""),0.6)</f>
        <v>0.6</v>
      </c>
      <c r="AX73" s="16">
        <f>IFERROR(__xludf.DUMMYFUNCTION("""COMPUTED_VALUE"""),0.0)</f>
        <v>0</v>
      </c>
      <c r="AY73" s="16">
        <f>IFERROR(__xludf.DUMMYFUNCTION("""COMPUTED_VALUE"""),2.0)</f>
        <v>2</v>
      </c>
      <c r="AZ73" s="16">
        <f>IFERROR(__xludf.DUMMYFUNCTION("""COMPUTED_VALUE"""),2.0)</f>
        <v>2</v>
      </c>
      <c r="BA73" s="16">
        <f>IFERROR(__xludf.DUMMYFUNCTION("""COMPUTED_VALUE"""),10.0)</f>
        <v>10</v>
      </c>
      <c r="BB73" s="16">
        <f>IFERROR(__xludf.DUMMYFUNCTION("""COMPUTED_VALUE"""),10.0)</f>
        <v>10</v>
      </c>
      <c r="BC73" s="16">
        <f>IFERROR(__xludf.DUMMYFUNCTION("""COMPUTED_VALUE"""),1.0)</f>
        <v>1</v>
      </c>
      <c r="BD73" s="16">
        <f>IFERROR(__xludf.DUMMYFUNCTION("""COMPUTED_VALUE"""),0.0)</f>
        <v>0</v>
      </c>
      <c r="BE73" s="16">
        <f>IFERROR(__xludf.DUMMYFUNCTION("""COMPUTED_VALUE"""),1.0)</f>
        <v>1</v>
      </c>
      <c r="BF73" s="16">
        <f>IFERROR(__xludf.DUMMYFUNCTION("""COMPUTED_VALUE"""),0.0)</f>
        <v>0</v>
      </c>
      <c r="BG73" s="16">
        <f>IFERROR(__xludf.DUMMYFUNCTION("""COMPUTED_VALUE"""),2.0)</f>
        <v>2</v>
      </c>
      <c r="BH73" s="16">
        <f>IFERROR(__xludf.DUMMYFUNCTION("""COMPUTED_VALUE"""),2.0)</f>
        <v>2</v>
      </c>
      <c r="BI73" s="16">
        <f>IFERROR(__xludf.DUMMYFUNCTION("""COMPUTED_VALUE"""),4.0)</f>
        <v>4</v>
      </c>
      <c r="BJ73" s="16">
        <f>IFERROR(__xludf.DUMMYFUNCTION("""COMPUTED_VALUE"""),4.0)</f>
        <v>4</v>
      </c>
      <c r="BK73" s="16">
        <f>IFERROR(__xludf.DUMMYFUNCTION("""COMPUTED_VALUE"""),5.0)</f>
        <v>5</v>
      </c>
      <c r="BL73" s="16">
        <f>IFERROR(__xludf.DUMMYFUNCTION("""COMPUTED_VALUE"""),5.0)</f>
        <v>5</v>
      </c>
      <c r="BM73" s="16">
        <f>IFERROR(__xludf.DUMMYFUNCTION("""COMPUTED_VALUE"""),0.0)</f>
        <v>0</v>
      </c>
      <c r="BN73" s="16">
        <f>IFERROR(__xludf.DUMMYFUNCTION("""COMPUTED_VALUE"""),0.0)</f>
        <v>0</v>
      </c>
      <c r="BO73" s="16">
        <f>IFERROR(__xludf.DUMMYFUNCTION("""COMPUTED_VALUE"""),0.0)</f>
        <v>0</v>
      </c>
      <c r="BP73" s="16">
        <f>IFERROR(__xludf.DUMMYFUNCTION("""COMPUTED_VALUE"""),0.0)</f>
        <v>0</v>
      </c>
      <c r="BQ73" s="16">
        <f>IFERROR(__xludf.DUMMYFUNCTION("""COMPUTED_VALUE"""),8.0)</f>
        <v>8</v>
      </c>
      <c r="BR73" s="16">
        <f>IFERROR(__xludf.DUMMYFUNCTION("""COMPUTED_VALUE"""),8.0)</f>
        <v>8</v>
      </c>
      <c r="BS73" s="16">
        <f>IFERROR(__xludf.DUMMYFUNCTION("""COMPUTED_VALUE"""),2.0)</f>
        <v>2</v>
      </c>
      <c r="BT73" s="16">
        <f>IFERROR(__xludf.DUMMYFUNCTION("""COMPUTED_VALUE"""),2.0)</f>
        <v>2</v>
      </c>
      <c r="BU73" s="16">
        <f>IFERROR(__xludf.DUMMYFUNCTION("""COMPUTED_VALUE"""),4.0)</f>
        <v>4</v>
      </c>
      <c r="BV73" s="16">
        <f>IFERROR(__xludf.DUMMYFUNCTION("""COMPUTED_VALUE"""),4.0)</f>
        <v>4</v>
      </c>
      <c r="BW73" s="16">
        <f>IFERROR(__xludf.DUMMYFUNCTION("""COMPUTED_VALUE"""),1.0)</f>
        <v>1</v>
      </c>
      <c r="BX73" s="16">
        <f>IFERROR(__xludf.DUMMYFUNCTION("""COMPUTED_VALUE"""),1.0)</f>
        <v>1</v>
      </c>
      <c r="BY73" s="16" t="str">
        <f>IFERROR(__xludf.DUMMYFUNCTION("""COMPUTED_VALUE"""),"S(5)")</f>
        <v>S(5)</v>
      </c>
      <c r="BZ73" s="16" t="str">
        <f>IFERROR(__xludf.DUMMYFUNCTION("""COMPUTED_VALUE"""),"S(5)")</f>
        <v>S(5)</v>
      </c>
      <c r="CA73" s="16" t="str">
        <f>IFERROR(__xludf.DUMMYFUNCTION("""COMPUTED_VALUE"""),"S(5)")</f>
        <v>S(5)</v>
      </c>
      <c r="CB73" s="16"/>
      <c r="CC73" s="16"/>
      <c r="CD73" s="16">
        <f>IFERROR(__xludf.DUMMYFUNCTION("""COMPUTED_VALUE"""),5.0)</f>
        <v>5</v>
      </c>
      <c r="CE73" s="16"/>
      <c r="CF73" s="16"/>
      <c r="CG73" s="16" t="str">
        <f>IFERROR(__xludf.DUMMYFUNCTION("""COMPUTED_VALUE"""),"5-13")</f>
        <v>5-13</v>
      </c>
      <c r="CH73" s="16">
        <f>IFERROR(__xludf.DUMMYFUNCTION("""COMPUTED_VALUE"""),5.0)</f>
        <v>5</v>
      </c>
      <c r="CI73" s="16">
        <f>IFERROR(__xludf.DUMMYFUNCTION("""COMPUTED_VALUE"""),13.0)</f>
        <v>13</v>
      </c>
      <c r="CJ73" s="16">
        <f>IFERROR(__xludf.DUMMYFUNCTION("""COMPUTED_VALUE"""),0.0)</f>
        <v>0</v>
      </c>
      <c r="CK73" s="16">
        <f>IFERROR(__xludf.DUMMYFUNCTION("""COMPUTED_VALUE"""),7.0)</f>
        <v>7</v>
      </c>
      <c r="CL73" s="16" t="str">
        <f>IFERROR(__xludf.DUMMYFUNCTION("""COMPUTED_VALUE"""),"1WR-C")</f>
        <v>1WR-C</v>
      </c>
      <c r="CM73" s="16" t="str">
        <f>IFERROR(__xludf.DUMMYFUNCTION("""COMPUTED_VALUE"""),"E")</f>
        <v>E</v>
      </c>
      <c r="CN73" s="16">
        <f>IFERROR(__xludf.DUMMYFUNCTION("""COMPUTED_VALUE"""),10.0)</f>
        <v>10</v>
      </c>
      <c r="CO73" s="16" t="str">
        <f>IFERROR(__xludf.DUMMYFUNCTION("""COMPUTED_VALUE"""),"C")</f>
        <v>C</v>
      </c>
      <c r="CP73" s="16" t="str">
        <f>IFERROR(__xludf.DUMMYFUNCTION("""COMPUTED_VALUE"""),"2p60")</f>
        <v>2p60</v>
      </c>
      <c r="CQ73" s="16">
        <f>IFERROR(__xludf.DUMMYFUNCTION("""COMPUTED_VALUE"""),16.0)</f>
        <v>16</v>
      </c>
      <c r="CR73" s="16">
        <f>IFERROR(__xludf.DUMMYFUNCTION("""COMPUTED_VALUE"""),32.0)</f>
        <v>32</v>
      </c>
      <c r="CS73" s="16">
        <f>IFERROR(__xludf.DUMMYFUNCTION("""COMPUTED_VALUE"""),48.0)</f>
        <v>48</v>
      </c>
      <c r="CT73" s="16">
        <f>IFERROR(__xludf.DUMMYFUNCTION("""COMPUTED_VALUE"""),16.0)</f>
        <v>16</v>
      </c>
      <c r="CU73" s="16">
        <f>IFERROR(__xludf.DUMMYFUNCTION("""COMPUTED_VALUE"""),32.0)</f>
        <v>32</v>
      </c>
      <c r="CV73" s="179">
        <f>IFERROR(__xludf.DUMMYFUNCTION("""COMPUTED_VALUE"""),25.333333333333332)</f>
        <v>25.33333333</v>
      </c>
      <c r="CW73" s="179">
        <f>IFERROR(__xludf.DUMMYFUNCTION("""COMPUTED_VALUE"""),3.0)</f>
        <v>3</v>
      </c>
      <c r="CX73" s="179">
        <f>IFERROR(__xludf.DUMMYFUNCTION("""COMPUTED_VALUE"""),1.0)</f>
        <v>1</v>
      </c>
      <c r="CY73" s="16" t="str">
        <f>IFERROR(__xludf.DUMMYFUNCTION("""COMPUTED_VALUE"""),"SP")</f>
        <v>SP</v>
      </c>
      <c r="CZ73" s="16"/>
      <c r="DA73" s="16"/>
      <c r="DB73" s="16"/>
      <c r="DC73" s="16"/>
      <c r="DD73" s="16"/>
      <c r="DE73" s="16"/>
      <c r="DF73" s="16"/>
      <c r="DG73" s="16"/>
      <c r="DH73" s="16"/>
      <c r="DI73" s="16"/>
      <c r="DJ73" s="16"/>
      <c r="DK73" s="16"/>
    </row>
    <row r="74">
      <c r="A74" s="16">
        <f>IFERROR(__xludf.DUMMYFUNCTION("""COMPUTED_VALUE"""),13387.0)</f>
        <v>13387</v>
      </c>
      <c r="B74" s="16" t="str">
        <f>IFERROR(__xludf.DUMMYFUNCTION("""COMPUTED_VALUE"""),"Spencer Turnbull")</f>
        <v>Spencer Turnbull</v>
      </c>
      <c r="C74" s="153">
        <f>IFERROR(__xludf.DUMMYFUNCTION("""COMPUTED_VALUE"""),1.66)</f>
        <v>1.66</v>
      </c>
      <c r="D74" s="16"/>
      <c r="E74" s="16" t="str">
        <f>IFERROR(__xludf.DUMMYFUNCTION("""COMPUTED_VALUE"""),"R")</f>
        <v>R</v>
      </c>
      <c r="F74" s="16">
        <f>IFERROR(__xludf.DUMMYFUNCTION("""COMPUTED_VALUE"""),54.0)</f>
        <v>54</v>
      </c>
      <c r="G74" s="16">
        <f>IFERROR(__xludf.DUMMYFUNCTION("""COMPUTED_VALUE"""),31.0)</f>
        <v>31</v>
      </c>
      <c r="H74" s="16">
        <f>IFERROR(__xludf.DUMMYFUNCTION("""COMPUTED_VALUE"""),34.0)</f>
        <v>34</v>
      </c>
      <c r="I74" s="16">
        <f>IFERROR(__xludf.DUMMYFUNCTION("""COMPUTED_VALUE"""),0.0)</f>
        <v>0</v>
      </c>
      <c r="J74" s="16">
        <f>IFERROR(__xludf.DUMMYFUNCTION("""COMPUTED_VALUE"""),1.0)</f>
        <v>1</v>
      </c>
      <c r="K74" s="16">
        <f>IFERROR(__xludf.DUMMYFUNCTION("""COMPUTED_VALUE"""),0.0)</f>
        <v>0</v>
      </c>
      <c r="L74" s="16">
        <f>IFERROR(__xludf.DUMMYFUNCTION("""COMPUTED_VALUE"""),3.0)</f>
        <v>3</v>
      </c>
      <c r="M74" s="16">
        <f>IFERROR(__xludf.DUMMYFUNCTION("""COMPUTED_VALUE"""),12.0)</f>
        <v>12</v>
      </c>
      <c r="N74" s="16">
        <f>IFERROR(__xludf.DUMMYFUNCTION("""COMPUTED_VALUE"""),10.0)</f>
        <v>10</v>
      </c>
      <c r="O74" s="16">
        <f>IFERROR(__xludf.DUMMYFUNCTION("""COMPUTED_VALUE"""),-1.0)</f>
        <v>-1</v>
      </c>
      <c r="P74" s="16">
        <f>IFERROR(__xludf.DUMMYFUNCTION("""COMPUTED_VALUE"""),-1.0)</f>
        <v>-1</v>
      </c>
      <c r="Q74" s="16">
        <f>IFERROR(__xludf.DUMMYFUNCTION("""COMPUTED_VALUE"""),-1.0)</f>
        <v>-1</v>
      </c>
      <c r="R74" s="16">
        <f>IFERROR(__xludf.DUMMYFUNCTION("""COMPUTED_VALUE"""),-1.0)</f>
        <v>-1</v>
      </c>
      <c r="S74" s="16">
        <f>IFERROR(__xludf.DUMMYFUNCTION("""COMPUTED_VALUE"""),5.5)</f>
        <v>5.5</v>
      </c>
      <c r="T74" s="16">
        <f>IFERROR(__xludf.DUMMYFUNCTION("""COMPUTED_VALUE"""),7.0)</f>
        <v>7</v>
      </c>
      <c r="U74" s="16">
        <f>IFERROR(__xludf.DUMMYFUNCTION("""COMPUTED_VALUE"""),2.0)</f>
        <v>2</v>
      </c>
      <c r="V74" s="16">
        <f>IFERROR(__xludf.DUMMYFUNCTION("""COMPUTED_VALUE"""),2.0)</f>
        <v>2</v>
      </c>
      <c r="W74" s="16">
        <f>IFERROR(__xludf.DUMMYFUNCTION("""COMPUTED_VALUE"""),4.0)</f>
        <v>4</v>
      </c>
      <c r="X74" s="16">
        <f>IFERROR(__xludf.DUMMYFUNCTION("""COMPUTED_VALUE"""),4.0)</f>
        <v>4</v>
      </c>
      <c r="Y74" s="16">
        <f>IFERROR(__xludf.DUMMYFUNCTION("""COMPUTED_VALUE"""),17.5)</f>
        <v>17.5</v>
      </c>
      <c r="Z74" s="16">
        <f>IFERROR(__xludf.DUMMYFUNCTION("""COMPUTED_VALUE"""),17.0)</f>
        <v>17</v>
      </c>
      <c r="AA74" s="16">
        <f>IFERROR(__xludf.DUMMYFUNCTION("""COMPUTED_VALUE"""),1.0)</f>
        <v>1</v>
      </c>
      <c r="AB74" s="16">
        <f>IFERROR(__xludf.DUMMYFUNCTION("""COMPUTED_VALUE"""),1.0)</f>
        <v>1</v>
      </c>
      <c r="AC74" s="16">
        <f>IFERROR(__xludf.DUMMYFUNCTION("""COMPUTED_VALUE"""),5.0)</f>
        <v>5</v>
      </c>
      <c r="AD74" s="16">
        <f>IFERROR(__xludf.DUMMYFUNCTION("""COMPUTED_VALUE"""),5.0)</f>
        <v>5</v>
      </c>
      <c r="AE74" s="16">
        <f>IFERROR(__xludf.DUMMYFUNCTION("""COMPUTED_VALUE"""),15.0)</f>
        <v>15</v>
      </c>
      <c r="AF74" s="16">
        <f>IFERROR(__xludf.DUMMYFUNCTION("""COMPUTED_VALUE"""),15.6)</f>
        <v>15.6</v>
      </c>
      <c r="AG74" s="16">
        <f>IFERROR(__xludf.DUMMYFUNCTION("""COMPUTED_VALUE"""),1.0)</f>
        <v>1</v>
      </c>
      <c r="AH74" s="16">
        <f>IFERROR(__xludf.DUMMYFUNCTION("""COMPUTED_VALUE"""),1.0)</f>
        <v>1</v>
      </c>
      <c r="AI74" s="16">
        <f>IFERROR(__xludf.DUMMYFUNCTION("""COMPUTED_VALUE"""),2.0)</f>
        <v>2</v>
      </c>
      <c r="AJ74" s="16">
        <f>IFERROR(__xludf.DUMMYFUNCTION("""COMPUTED_VALUE"""),2.0)</f>
        <v>2</v>
      </c>
      <c r="AK74" s="16">
        <f>IFERROR(__xludf.DUMMYFUNCTION("""COMPUTED_VALUE"""),3.5)</f>
        <v>3.5</v>
      </c>
      <c r="AL74" s="16">
        <f>IFERROR(__xludf.DUMMYFUNCTION("""COMPUTED_VALUE"""),5.8)</f>
        <v>5.8</v>
      </c>
      <c r="AM74" s="16">
        <f>IFERROR(__xludf.DUMMYFUNCTION("""COMPUTED_VALUE"""),2.0)</f>
        <v>2</v>
      </c>
      <c r="AN74" s="16">
        <f>IFERROR(__xludf.DUMMYFUNCTION("""COMPUTED_VALUE"""),1.0)</f>
        <v>1</v>
      </c>
      <c r="AO74" s="16">
        <f>IFERROR(__xludf.DUMMYFUNCTION("""COMPUTED_VALUE"""),2.0)</f>
        <v>2</v>
      </c>
      <c r="AP74" s="16">
        <f>IFERROR(__xludf.DUMMYFUNCTION("""COMPUTED_VALUE"""),1.0)</f>
        <v>1</v>
      </c>
      <c r="AQ74" s="16">
        <f>IFERROR(__xludf.DUMMYFUNCTION("""COMPUTED_VALUE"""),7.0)</f>
        <v>7</v>
      </c>
      <c r="AR74" s="16">
        <f>IFERROR(__xludf.DUMMYFUNCTION("""COMPUTED_VALUE"""),10.8)</f>
        <v>10.8</v>
      </c>
      <c r="AS74" s="16">
        <f>IFERROR(__xludf.DUMMYFUNCTION("""COMPUTED_VALUE"""),2.0)</f>
        <v>2</v>
      </c>
      <c r="AT74" s="16">
        <f>IFERROR(__xludf.DUMMYFUNCTION("""COMPUTED_VALUE"""),1.0)</f>
        <v>1</v>
      </c>
      <c r="AU74" s="16">
        <f>IFERROR(__xludf.DUMMYFUNCTION("""COMPUTED_VALUE"""),4.0)</f>
        <v>4</v>
      </c>
      <c r="AV74" s="16">
        <f>IFERROR(__xludf.DUMMYFUNCTION("""COMPUTED_VALUE"""),2.0)</f>
        <v>2</v>
      </c>
      <c r="AW74" s="16">
        <f>IFERROR(__xludf.DUMMYFUNCTION("""COMPUTED_VALUE"""),2.0)</f>
        <v>2</v>
      </c>
      <c r="AX74" s="16">
        <f>IFERROR(__xludf.DUMMYFUNCTION("""COMPUTED_VALUE"""),1.2)</f>
        <v>1.2</v>
      </c>
      <c r="AY74" s="16">
        <f>IFERROR(__xludf.DUMMYFUNCTION("""COMPUTED_VALUE"""),0.0)</f>
        <v>0</v>
      </c>
      <c r="AZ74" s="16">
        <f>IFERROR(__xludf.DUMMYFUNCTION("""COMPUTED_VALUE"""),1.0)</f>
        <v>1</v>
      </c>
      <c r="BA74" s="16">
        <f>IFERROR(__xludf.DUMMYFUNCTION("""COMPUTED_VALUE"""),0.0)</f>
        <v>0</v>
      </c>
      <c r="BB74" s="16">
        <f>IFERROR(__xludf.DUMMYFUNCTION("""COMPUTED_VALUE"""),5.0)</f>
        <v>5</v>
      </c>
      <c r="BC74" s="16"/>
      <c r="BD74" s="16">
        <f>IFERROR(__xludf.DUMMYFUNCTION("""COMPUTED_VALUE"""),2.0)</f>
        <v>2</v>
      </c>
      <c r="BE74" s="16">
        <f>IFERROR(__xludf.DUMMYFUNCTION("""COMPUTED_VALUE"""),2.0)</f>
        <v>2</v>
      </c>
      <c r="BF74" s="16">
        <f>IFERROR(__xludf.DUMMYFUNCTION("""COMPUTED_VALUE"""),2.0)</f>
        <v>2</v>
      </c>
      <c r="BG74" s="16">
        <f>IFERROR(__xludf.DUMMYFUNCTION("""COMPUTED_VALUE"""),1.0)</f>
        <v>1</v>
      </c>
      <c r="BH74" s="16">
        <f>IFERROR(__xludf.DUMMYFUNCTION("""COMPUTED_VALUE"""),1.0)</f>
        <v>1</v>
      </c>
      <c r="BI74" s="16">
        <f>IFERROR(__xludf.DUMMYFUNCTION("""COMPUTED_VALUE"""),2.0)</f>
        <v>2</v>
      </c>
      <c r="BJ74" s="16">
        <f>IFERROR(__xludf.DUMMYFUNCTION("""COMPUTED_VALUE"""),2.0)</f>
        <v>2</v>
      </c>
      <c r="BK74" s="16">
        <f>IFERROR(__xludf.DUMMYFUNCTION("""COMPUTED_VALUE"""),0.0)</f>
        <v>0</v>
      </c>
      <c r="BL74" s="16">
        <f>IFERROR(__xludf.DUMMYFUNCTION("""COMPUTED_VALUE"""),5.0)</f>
        <v>5</v>
      </c>
      <c r="BM74" s="16">
        <f>IFERROR(__xludf.DUMMYFUNCTION("""COMPUTED_VALUE"""),1.0)</f>
        <v>1</v>
      </c>
      <c r="BN74" s="16">
        <f>IFERROR(__xludf.DUMMYFUNCTION("""COMPUTED_VALUE"""),0.0)</f>
        <v>0</v>
      </c>
      <c r="BO74" s="16">
        <f>IFERROR(__xludf.DUMMYFUNCTION("""COMPUTED_VALUE"""),1.0)</f>
        <v>1</v>
      </c>
      <c r="BP74" s="16">
        <f>IFERROR(__xludf.DUMMYFUNCTION("""COMPUTED_VALUE"""),0.0)</f>
        <v>0</v>
      </c>
      <c r="BQ74" s="16">
        <f>IFERROR(__xludf.DUMMYFUNCTION("""COMPUTED_VALUE"""),6.0)</f>
        <v>6</v>
      </c>
      <c r="BR74" s="16">
        <f>IFERROR(__xludf.DUMMYFUNCTION("""COMPUTED_VALUE"""),6.0)</f>
        <v>6</v>
      </c>
      <c r="BS74" s="16">
        <f>IFERROR(__xludf.DUMMYFUNCTION("""COMPUTED_VALUE"""),1.0)</f>
        <v>1</v>
      </c>
      <c r="BT74" s="16">
        <f>IFERROR(__xludf.DUMMYFUNCTION("""COMPUTED_VALUE"""),1.0)</f>
        <v>1</v>
      </c>
      <c r="BU74" s="16">
        <f>IFERROR(__xludf.DUMMYFUNCTION("""COMPUTED_VALUE"""),2.0)</f>
        <v>2</v>
      </c>
      <c r="BV74" s="16">
        <f>IFERROR(__xludf.DUMMYFUNCTION("""COMPUTED_VALUE"""),2.0)</f>
        <v>2</v>
      </c>
      <c r="BW74" s="16">
        <f>IFERROR(__xludf.DUMMYFUNCTION("""COMPUTED_VALUE"""),3.0)</f>
        <v>3</v>
      </c>
      <c r="BX74" s="16">
        <f>IFERROR(__xludf.DUMMYFUNCTION("""COMPUTED_VALUE"""),3.0)</f>
        <v>3</v>
      </c>
      <c r="BY74" s="16" t="str">
        <f>IFERROR(__xludf.DUMMYFUNCTION("""COMPUTED_VALUE"""),"S(5) R(3)")</f>
        <v>S(5) R(3)</v>
      </c>
      <c r="BZ74" s="16" t="str">
        <f>IFERROR(__xludf.DUMMYFUNCTION("""COMPUTED_VALUE"""),"S(5) R(3)")</f>
        <v>S(5) R(3)</v>
      </c>
      <c r="CA74" s="16" t="str">
        <f>IFERROR(__xludf.DUMMYFUNCTION("""COMPUTED_VALUE"""),"S(5)")</f>
        <v>S(5)</v>
      </c>
      <c r="CB74" s="16" t="str">
        <f>IFERROR(__xludf.DUMMYFUNCTION("""COMPUTED_VALUE"""),"R(3)")</f>
        <v>R(3)</v>
      </c>
      <c r="CC74" s="16"/>
      <c r="CD74" s="16">
        <f>IFERROR(__xludf.DUMMYFUNCTION("""COMPUTED_VALUE"""),5.0)</f>
        <v>5</v>
      </c>
      <c r="CE74" s="16">
        <f>IFERROR(__xludf.DUMMYFUNCTION("""COMPUTED_VALUE"""),3.0)</f>
        <v>3</v>
      </c>
      <c r="CF74" s="16"/>
      <c r="CG74" s="16" t="str">
        <f>IFERROR(__xludf.DUMMYFUNCTION("""COMPUTED_VALUE"""),"4-0")</f>
        <v>4-0</v>
      </c>
      <c r="CH74" s="16">
        <f>IFERROR(__xludf.DUMMYFUNCTION("""COMPUTED_VALUE"""),4.0)</f>
        <v>4</v>
      </c>
      <c r="CI74" s="16">
        <f>IFERROR(__xludf.DUMMYFUNCTION("""COMPUTED_VALUE"""),0.0)</f>
        <v>0</v>
      </c>
      <c r="CJ74" s="16">
        <f>IFERROR(__xludf.DUMMYFUNCTION("""COMPUTED_VALUE"""),0.0)</f>
        <v>0</v>
      </c>
      <c r="CK74" s="16">
        <f>IFERROR(__xludf.DUMMYFUNCTION("""COMPUTED_VALUE"""),8.0)</f>
        <v>8</v>
      </c>
      <c r="CL74" s="16" t="str">
        <f>IFERROR(__xludf.DUMMYFUNCTION("""COMPUTED_VALUE"""),"1WR-C")</f>
        <v>1WR-C</v>
      </c>
      <c r="CM74" s="16" t="str">
        <f>IFERROR(__xludf.DUMMYFUNCTION("""COMPUTED_VALUE"""),"E")</f>
        <v>E</v>
      </c>
      <c r="CN74" s="16">
        <f>IFERROR(__xludf.DUMMYFUNCTION("""COMPUTED_VALUE"""),10.0)</f>
        <v>10</v>
      </c>
      <c r="CO74" s="16" t="str">
        <f>IFERROR(__xludf.DUMMYFUNCTION("""COMPUTED_VALUE"""),"C")</f>
        <v>C</v>
      </c>
      <c r="CP74" s="16" t="str">
        <f>IFERROR(__xludf.DUMMYFUNCTION("""COMPUTED_VALUE"""),"4p30")</f>
        <v>4p30</v>
      </c>
      <c r="CQ74" s="16">
        <f>IFERROR(__xludf.DUMMYFUNCTION("""COMPUTED_VALUE"""),21.0)</f>
        <v>21</v>
      </c>
      <c r="CR74" s="16">
        <f>IFERROR(__xludf.DUMMYFUNCTION("""COMPUTED_VALUE"""),25.0)</f>
        <v>25</v>
      </c>
      <c r="CS74" s="16">
        <f>IFERROR(__xludf.DUMMYFUNCTION("""COMPUTED_VALUE"""),46.0)</f>
        <v>46</v>
      </c>
      <c r="CT74" s="16">
        <f>IFERROR(__xludf.DUMMYFUNCTION("""COMPUTED_VALUE"""),21.0)</f>
        <v>21</v>
      </c>
      <c r="CU74" s="16">
        <f>IFERROR(__xludf.DUMMYFUNCTION("""COMPUTED_VALUE"""),25.0)</f>
        <v>25</v>
      </c>
      <c r="CV74" s="179">
        <f>IFERROR(__xludf.DUMMYFUNCTION("""COMPUTED_VALUE"""),25.333333333333332)</f>
        <v>25.33333333</v>
      </c>
      <c r="CW74" s="179">
        <f>IFERROR(__xludf.DUMMYFUNCTION("""COMPUTED_VALUE"""),1.0)</f>
        <v>1</v>
      </c>
      <c r="CX74" s="179">
        <f>IFERROR(__xludf.DUMMYFUNCTION("""COMPUTED_VALUE"""),2.0)</f>
        <v>2</v>
      </c>
      <c r="CY74" s="16" t="str">
        <f>IFERROR(__xludf.DUMMYFUNCTION("""COMPUTED_VALUE"""),"SP")</f>
        <v>SP</v>
      </c>
      <c r="CZ74" s="16" t="str">
        <f>IFERROR(__xludf.DUMMYFUNCTION("""COMPUTED_VALUE"""),"RP")</f>
        <v>RP</v>
      </c>
      <c r="DA74" s="16"/>
      <c r="DB74" s="16"/>
      <c r="DC74" s="16"/>
      <c r="DD74" s="16"/>
      <c r="DE74" s="16"/>
      <c r="DF74" s="16"/>
      <c r="DG74" s="16"/>
      <c r="DH74" s="16"/>
      <c r="DI74" s="16"/>
      <c r="DJ74" s="16"/>
      <c r="DK74" s="16"/>
    </row>
    <row r="75">
      <c r="A75" s="16">
        <f>IFERROR(__xludf.DUMMYFUNCTION("""COMPUTED_VALUE"""),12559.0)</f>
        <v>12559</v>
      </c>
      <c r="B75" s="16" t="str">
        <f>IFERROR(__xludf.DUMMYFUNCTION("""COMPUTED_VALUE"""),"Aroldis Chapman")</f>
        <v>Aroldis Chapman</v>
      </c>
      <c r="C75" s="153">
        <f>IFERROR(__xludf.DUMMYFUNCTION("""COMPUTED_VALUE"""),0.31)</f>
        <v>0.31</v>
      </c>
      <c r="D75" s="16"/>
      <c r="E75" s="16" t="str">
        <f>IFERROR(__xludf.DUMMYFUNCTION("""COMPUTED_VALUE"""),"L")</f>
        <v>L</v>
      </c>
      <c r="F75" s="16">
        <f>IFERROR(__xludf.DUMMYFUNCTION("""COMPUTED_VALUE"""),62.0)</f>
        <v>62</v>
      </c>
      <c r="G75" s="16">
        <f>IFERROR(__xludf.DUMMYFUNCTION("""COMPUTED_VALUE"""),42.0)</f>
        <v>42</v>
      </c>
      <c r="H75" s="16">
        <f>IFERROR(__xludf.DUMMYFUNCTION("""COMPUTED_VALUE"""),50.0)</f>
        <v>50</v>
      </c>
      <c r="I75" s="16">
        <f>IFERROR(__xludf.DUMMYFUNCTION("""COMPUTED_VALUE"""),2.0)</f>
        <v>2</v>
      </c>
      <c r="J75" s="16">
        <f>IFERROR(__xludf.DUMMYFUNCTION("""COMPUTED_VALUE"""),3.0)</f>
        <v>3</v>
      </c>
      <c r="K75" s="16">
        <f>IFERROR(__xludf.DUMMYFUNCTION("""COMPUTED_VALUE"""),6.0)</f>
        <v>6</v>
      </c>
      <c r="L75" s="16">
        <f>IFERROR(__xludf.DUMMYFUNCTION("""COMPUTED_VALUE"""),9.0)</f>
        <v>9</v>
      </c>
      <c r="M75" s="16">
        <f>IFERROR(__xludf.DUMMYFUNCTION("""COMPUTED_VALUE"""),35.0)</f>
        <v>35</v>
      </c>
      <c r="N75" s="16">
        <f>IFERROR(__xludf.DUMMYFUNCTION("""COMPUTED_VALUE"""),19.0)</f>
        <v>19</v>
      </c>
      <c r="O75" s="16">
        <f>IFERROR(__xludf.DUMMYFUNCTION("""COMPUTED_VALUE"""),-3.0)</f>
        <v>-3</v>
      </c>
      <c r="P75" s="16">
        <f>IFERROR(__xludf.DUMMYFUNCTION("""COMPUTED_VALUE"""),-3.0)</f>
        <v>-3</v>
      </c>
      <c r="Q75" s="16">
        <f>IFERROR(__xludf.DUMMYFUNCTION("""COMPUTED_VALUE"""),-3.0)</f>
        <v>-3</v>
      </c>
      <c r="R75" s="16">
        <f>IFERROR(__xludf.DUMMYFUNCTION("""COMPUTED_VALUE"""),-3.0)</f>
        <v>-3</v>
      </c>
      <c r="S75" s="16">
        <f>IFERROR(__xludf.DUMMYFUNCTION("""COMPUTED_VALUE"""),0.8)</f>
        <v>0.8</v>
      </c>
      <c r="T75" s="16">
        <f>IFERROR(__xludf.DUMMYFUNCTION("""COMPUTED_VALUE"""),6.9)</f>
        <v>6.9</v>
      </c>
      <c r="U75" s="16">
        <f>IFERROR(__xludf.DUMMYFUNCTION("""COMPUTED_VALUE"""),2.0)</f>
        <v>2</v>
      </c>
      <c r="V75" s="16">
        <f>IFERROR(__xludf.DUMMYFUNCTION("""COMPUTED_VALUE"""),2.0)</f>
        <v>2</v>
      </c>
      <c r="W75" s="16">
        <f>IFERROR(__xludf.DUMMYFUNCTION("""COMPUTED_VALUE"""),4.0)</f>
        <v>4</v>
      </c>
      <c r="X75" s="16">
        <f>IFERROR(__xludf.DUMMYFUNCTION("""COMPUTED_VALUE"""),4.0)</f>
        <v>4</v>
      </c>
      <c r="Y75" s="16">
        <f>IFERROR(__xludf.DUMMYFUNCTION("""COMPUTED_VALUE"""),35.8)</f>
        <v>35.8</v>
      </c>
      <c r="Z75" s="16">
        <f>IFERROR(__xludf.DUMMYFUNCTION("""COMPUTED_VALUE"""),26.0)</f>
        <v>26</v>
      </c>
      <c r="AA75" s="16">
        <f>IFERROR(__xludf.DUMMYFUNCTION("""COMPUTED_VALUE"""),-1.0)</f>
        <v>-1</v>
      </c>
      <c r="AB75" s="16">
        <f>IFERROR(__xludf.DUMMYFUNCTION("""COMPUTED_VALUE"""),0.0)</f>
        <v>0</v>
      </c>
      <c r="AC75" s="16">
        <f>IFERROR(__xludf.DUMMYFUNCTION("""COMPUTED_VALUE"""),-5.0)</f>
        <v>-5</v>
      </c>
      <c r="AD75" s="16">
        <f>IFERROR(__xludf.DUMMYFUNCTION("""COMPUTED_VALUE"""),0.0)</f>
        <v>0</v>
      </c>
      <c r="AE75" s="16">
        <f>IFERROR(__xludf.DUMMYFUNCTION("""COMPUTED_VALUE"""),3.2)</f>
        <v>3.2</v>
      </c>
      <c r="AF75" s="16">
        <f>IFERROR(__xludf.DUMMYFUNCTION("""COMPUTED_VALUE"""),16.0)</f>
        <v>16</v>
      </c>
      <c r="AG75" s="16">
        <f>IFERROR(__xludf.DUMMYFUNCTION("""COMPUTED_VALUE"""),2.0)</f>
        <v>2</v>
      </c>
      <c r="AH75" s="16">
        <f>IFERROR(__xludf.DUMMYFUNCTION("""COMPUTED_VALUE"""),1.0)</f>
        <v>1</v>
      </c>
      <c r="AI75" s="16">
        <f>IFERROR(__xludf.DUMMYFUNCTION("""COMPUTED_VALUE"""),4.0)</f>
        <v>4</v>
      </c>
      <c r="AJ75" s="16">
        <f>IFERROR(__xludf.DUMMYFUNCTION("""COMPUTED_VALUE"""),2.0)</f>
        <v>2</v>
      </c>
      <c r="AK75" s="16">
        <f>IFERROR(__xludf.DUMMYFUNCTION("""COMPUTED_VALUE"""),0.0)</f>
        <v>0</v>
      </c>
      <c r="AL75" s="16">
        <f>IFERROR(__xludf.DUMMYFUNCTION("""COMPUTED_VALUE"""),6.1000000000000005)</f>
        <v>6.1</v>
      </c>
      <c r="AM75" s="16">
        <f>IFERROR(__xludf.DUMMYFUNCTION("""COMPUTED_VALUE"""),3.0)</f>
        <v>3</v>
      </c>
      <c r="AN75" s="16">
        <f>IFERROR(__xludf.DUMMYFUNCTION("""COMPUTED_VALUE"""),1.0)</f>
        <v>1</v>
      </c>
      <c r="AO75" s="16">
        <f>IFERROR(__xludf.DUMMYFUNCTION("""COMPUTED_VALUE"""),3.0)</f>
        <v>3</v>
      </c>
      <c r="AP75" s="16">
        <f>IFERROR(__xludf.DUMMYFUNCTION("""COMPUTED_VALUE"""),1.0)</f>
        <v>1</v>
      </c>
      <c r="AQ75" s="16">
        <f>IFERROR(__xludf.DUMMYFUNCTION("""COMPUTED_VALUE"""),0.0)</f>
        <v>0</v>
      </c>
      <c r="AR75" s="16">
        <f>IFERROR(__xludf.DUMMYFUNCTION("""COMPUTED_VALUE"""),12.8)</f>
        <v>12.8</v>
      </c>
      <c r="AS75" s="16">
        <f>IFERROR(__xludf.DUMMYFUNCTION("""COMPUTED_VALUE"""),3.0)</f>
        <v>3</v>
      </c>
      <c r="AT75" s="16">
        <f>IFERROR(__xludf.DUMMYFUNCTION("""COMPUTED_VALUE"""),1.0)</f>
        <v>1</v>
      </c>
      <c r="AU75" s="16">
        <f>IFERROR(__xludf.DUMMYFUNCTION("""COMPUTED_VALUE"""),6.0)</f>
        <v>6</v>
      </c>
      <c r="AV75" s="16">
        <f>IFERROR(__xludf.DUMMYFUNCTION("""COMPUTED_VALUE"""),2.0)</f>
        <v>2</v>
      </c>
      <c r="AW75" s="16">
        <f>IFERROR(__xludf.DUMMYFUNCTION("""COMPUTED_VALUE"""),0.8)</f>
        <v>0.8</v>
      </c>
      <c r="AX75" s="16">
        <f>IFERROR(__xludf.DUMMYFUNCTION("""COMPUTED_VALUE"""),0.8)</f>
        <v>0.8</v>
      </c>
      <c r="AY75" s="16">
        <f>IFERROR(__xludf.DUMMYFUNCTION("""COMPUTED_VALUE"""),2.0)</f>
        <v>2</v>
      </c>
      <c r="AZ75" s="16">
        <f>IFERROR(__xludf.DUMMYFUNCTION("""COMPUTED_VALUE"""),1.0)</f>
        <v>1</v>
      </c>
      <c r="BA75" s="16">
        <f>IFERROR(__xludf.DUMMYFUNCTION("""COMPUTED_VALUE"""),10.0)</f>
        <v>10</v>
      </c>
      <c r="BB75" s="16">
        <f>IFERROR(__xludf.DUMMYFUNCTION("""COMPUTED_VALUE"""),5.0)</f>
        <v>5</v>
      </c>
      <c r="BC75" s="16"/>
      <c r="BD75" s="16"/>
      <c r="BE75" s="16">
        <f>IFERROR(__xludf.DUMMYFUNCTION("""COMPUTED_VALUE"""),0.0)</f>
        <v>0</v>
      </c>
      <c r="BF75" s="16">
        <f>IFERROR(__xludf.DUMMYFUNCTION("""COMPUTED_VALUE"""),1.0)</f>
        <v>1</v>
      </c>
      <c r="BG75" s="16">
        <f>IFERROR(__xludf.DUMMYFUNCTION("""COMPUTED_VALUE"""),3.0)</f>
        <v>3</v>
      </c>
      <c r="BH75" s="16">
        <f>IFERROR(__xludf.DUMMYFUNCTION("""COMPUTED_VALUE"""),2.0)</f>
        <v>2</v>
      </c>
      <c r="BI75" s="16">
        <f>IFERROR(__xludf.DUMMYFUNCTION("""COMPUTED_VALUE"""),6.0)</f>
        <v>6</v>
      </c>
      <c r="BJ75" s="16">
        <f>IFERROR(__xludf.DUMMYFUNCTION("""COMPUTED_VALUE"""),4.0)</f>
        <v>4</v>
      </c>
      <c r="BK75" s="16">
        <f>IFERROR(__xludf.DUMMYFUNCTION("""COMPUTED_VALUE"""),0.0)</f>
        <v>0</v>
      </c>
      <c r="BL75" s="16">
        <f>IFERROR(__xludf.DUMMYFUNCTION("""COMPUTED_VALUE"""),0.0)</f>
        <v>0</v>
      </c>
      <c r="BM75" s="16">
        <f>IFERROR(__xludf.DUMMYFUNCTION("""COMPUTED_VALUE"""),1.0)</f>
        <v>1</v>
      </c>
      <c r="BN75" s="16">
        <f>IFERROR(__xludf.DUMMYFUNCTION("""COMPUTED_VALUE"""),1.0)</f>
        <v>1</v>
      </c>
      <c r="BO75" s="16">
        <f>IFERROR(__xludf.DUMMYFUNCTION("""COMPUTED_VALUE"""),1.0)</f>
        <v>1</v>
      </c>
      <c r="BP75" s="16">
        <f>IFERROR(__xludf.DUMMYFUNCTION("""COMPUTED_VALUE"""),1.0)</f>
        <v>1</v>
      </c>
      <c r="BQ75" s="16">
        <f>IFERROR(__xludf.DUMMYFUNCTION("""COMPUTED_VALUE"""),0.0)</f>
        <v>0</v>
      </c>
      <c r="BR75" s="16">
        <f>IFERROR(__xludf.DUMMYFUNCTION("""COMPUTED_VALUE"""),0.0)</f>
        <v>0</v>
      </c>
      <c r="BS75" s="16">
        <f>IFERROR(__xludf.DUMMYFUNCTION("""COMPUTED_VALUE"""),-3.0)</f>
        <v>-3</v>
      </c>
      <c r="BT75" s="16">
        <f>IFERROR(__xludf.DUMMYFUNCTION("""COMPUTED_VALUE"""),-3.0)</f>
        <v>-3</v>
      </c>
      <c r="BU75" s="16">
        <f>IFERROR(__xludf.DUMMYFUNCTION("""COMPUTED_VALUE"""),-6.0)</f>
        <v>-6</v>
      </c>
      <c r="BV75" s="16">
        <f>IFERROR(__xludf.DUMMYFUNCTION("""COMPUTED_VALUE"""),-6.0)</f>
        <v>-6</v>
      </c>
      <c r="BW75" s="16">
        <f>IFERROR(__xludf.DUMMYFUNCTION("""COMPUTED_VALUE"""),0.0)</f>
        <v>0</v>
      </c>
      <c r="BX75" s="16">
        <f>IFERROR(__xludf.DUMMYFUNCTION("""COMPUTED_VALUE"""),0.0)</f>
        <v>0</v>
      </c>
      <c r="BY75" s="16" t="str">
        <f>IFERROR(__xludf.DUMMYFUNCTION("""COMPUTED_VALUE"""),"R(1) C(3)")</f>
        <v>R(1) C(3)</v>
      </c>
      <c r="BZ75" s="16" t="str">
        <f>IFERROR(__xludf.DUMMYFUNCTION("""COMPUTED_VALUE"""),"R(1) C(3)")</f>
        <v>R(1) C(3)</v>
      </c>
      <c r="CA75" s="16" t="str">
        <f>IFERROR(__xludf.DUMMYFUNCTION("""COMPUTED_VALUE"""),"R(1)")</f>
        <v>R(1)</v>
      </c>
      <c r="CB75" s="16" t="str">
        <f>IFERROR(__xludf.DUMMYFUNCTION("""COMPUTED_VALUE"""),"C(3)")</f>
        <v>C(3)</v>
      </c>
      <c r="CC75" s="16"/>
      <c r="CD75" s="16"/>
      <c r="CE75" s="16">
        <f>IFERROR(__xludf.DUMMYFUNCTION("""COMPUTED_VALUE"""),1.0)</f>
        <v>1</v>
      </c>
      <c r="CF75" s="16">
        <f>IFERROR(__xludf.DUMMYFUNCTION("""COMPUTED_VALUE"""),3.0)</f>
        <v>3</v>
      </c>
      <c r="CG75" s="16" t="str">
        <f>IFERROR(__xludf.DUMMYFUNCTION("""COMPUTED_VALUE"""),"3-0")</f>
        <v>3-0</v>
      </c>
      <c r="CH75" s="16">
        <f>IFERROR(__xludf.DUMMYFUNCTION("""COMPUTED_VALUE"""),3.0)</f>
        <v>3</v>
      </c>
      <c r="CI75" s="16">
        <f>IFERROR(__xludf.DUMMYFUNCTION("""COMPUTED_VALUE"""),0.0)</f>
        <v>0</v>
      </c>
      <c r="CJ75" s="16">
        <f>IFERROR(__xludf.DUMMYFUNCTION("""COMPUTED_VALUE"""),11.0)</f>
        <v>11</v>
      </c>
      <c r="CK75" s="16">
        <f>IFERROR(__xludf.DUMMYFUNCTION("""COMPUTED_VALUE"""),14.0)</f>
        <v>14</v>
      </c>
      <c r="CL75" s="16" t="str">
        <f>IFERROR(__xludf.DUMMYFUNCTION("""COMPUTED_VALUE"""),"1WL-C")</f>
        <v>1WL-C</v>
      </c>
      <c r="CM75" s="16" t="str">
        <f>IFERROR(__xludf.DUMMYFUNCTION("""COMPUTED_VALUE"""),"E")</f>
        <v>E</v>
      </c>
      <c r="CN75" s="16">
        <f>IFERROR(__xludf.DUMMYFUNCTION("""COMPUTED_VALUE"""),10.0)</f>
        <v>10</v>
      </c>
      <c r="CO75" s="16" t="str">
        <f>IFERROR(__xludf.DUMMYFUNCTION("""COMPUTED_VALUE"""),"C")</f>
        <v>C</v>
      </c>
      <c r="CP75" s="16" t="str">
        <f>IFERROR(__xludf.DUMMYFUNCTION("""COMPUTED_VALUE"""),"1p50")</f>
        <v>1p50</v>
      </c>
      <c r="CQ75" s="16">
        <f>IFERROR(__xludf.DUMMYFUNCTION("""COMPUTED_VALUE"""),26.0)</f>
        <v>26</v>
      </c>
      <c r="CR75" s="16">
        <f>IFERROR(__xludf.DUMMYFUNCTION("""COMPUTED_VALUE"""),19.0)</f>
        <v>19</v>
      </c>
      <c r="CS75" s="16">
        <f>IFERROR(__xludf.DUMMYFUNCTION("""COMPUTED_VALUE"""),45.0)</f>
        <v>45</v>
      </c>
      <c r="CT75" s="16">
        <f>IFERROR(__xludf.DUMMYFUNCTION("""COMPUTED_VALUE"""),26.0)</f>
        <v>26</v>
      </c>
      <c r="CU75" s="16">
        <f>IFERROR(__xludf.DUMMYFUNCTION("""COMPUTED_VALUE"""),19.0)</f>
        <v>19</v>
      </c>
      <c r="CV75" s="179">
        <f>IFERROR(__xludf.DUMMYFUNCTION("""COMPUTED_VALUE"""),25.333333333333332)</f>
        <v>25.33333333</v>
      </c>
      <c r="CW75" s="179">
        <f>IFERROR(__xludf.DUMMYFUNCTION("""COMPUTED_VALUE"""),4.0)</f>
        <v>4</v>
      </c>
      <c r="CX75" s="179">
        <f>IFERROR(__xludf.DUMMYFUNCTION("""COMPUTED_VALUE"""),0.0)</f>
        <v>0</v>
      </c>
      <c r="CY75" s="16" t="str">
        <f>IFERROR(__xludf.DUMMYFUNCTION("""COMPUTED_VALUE"""),"RP")</f>
        <v>RP</v>
      </c>
      <c r="CZ75" s="16" t="str">
        <f>IFERROR(__xludf.DUMMYFUNCTION("""COMPUTED_VALUE"""),"CP")</f>
        <v>CP</v>
      </c>
      <c r="DA75" s="16"/>
      <c r="DB75" s="16"/>
      <c r="DC75" s="16"/>
      <c r="DD75" s="16"/>
      <c r="DE75" s="16"/>
      <c r="DF75" s="16"/>
      <c r="DG75" s="16"/>
      <c r="DH75" s="16"/>
      <c r="DI75" s="16"/>
      <c r="DJ75" s="16"/>
      <c r="DK75" s="16"/>
    </row>
    <row r="76">
      <c r="A76" s="16">
        <f>IFERROR(__xludf.DUMMYFUNCTION("""COMPUTED_VALUE"""),12536.0)</f>
        <v>12536</v>
      </c>
      <c r="B76" s="16" t="str">
        <f>IFERROR(__xludf.DUMMYFUNCTION("""COMPUTED_VALUE"""),"Andres Munoz")</f>
        <v>Andres Munoz</v>
      </c>
      <c r="C76" s="153">
        <f>IFERROR(__xludf.DUMMYFUNCTION("""COMPUTED_VALUE"""),1.62)</f>
        <v>1.62</v>
      </c>
      <c r="D76" s="16"/>
      <c r="E76" s="16" t="str">
        <f>IFERROR(__xludf.DUMMYFUNCTION("""COMPUTED_VALUE"""),"R")</f>
        <v>R</v>
      </c>
      <c r="F76" s="16">
        <f>IFERROR(__xludf.DUMMYFUNCTION("""COMPUTED_VALUE"""),59.0)</f>
        <v>59</v>
      </c>
      <c r="G76" s="16">
        <f>IFERROR(__xludf.DUMMYFUNCTION("""COMPUTED_VALUE"""),49.0)</f>
        <v>49</v>
      </c>
      <c r="H76" s="16">
        <f>IFERROR(__xludf.DUMMYFUNCTION("""COMPUTED_VALUE"""),49.0)</f>
        <v>49</v>
      </c>
      <c r="I76" s="16">
        <f>IFERROR(__xludf.DUMMYFUNCTION("""COMPUTED_VALUE"""),2.0)</f>
        <v>2</v>
      </c>
      <c r="J76" s="16">
        <f>IFERROR(__xludf.DUMMYFUNCTION("""COMPUTED_VALUE"""),2.0)</f>
        <v>2</v>
      </c>
      <c r="K76" s="16">
        <f>IFERROR(__xludf.DUMMYFUNCTION("""COMPUTED_VALUE"""),6.0)</f>
        <v>6</v>
      </c>
      <c r="L76" s="16">
        <f>IFERROR(__xludf.DUMMYFUNCTION("""COMPUTED_VALUE"""),6.0)</f>
        <v>6</v>
      </c>
      <c r="M76" s="16">
        <f>IFERROR(__xludf.DUMMYFUNCTION("""COMPUTED_VALUE"""),21.0)</f>
        <v>21</v>
      </c>
      <c r="N76" s="16">
        <f>IFERROR(__xludf.DUMMYFUNCTION("""COMPUTED_VALUE"""),7.0)</f>
        <v>7</v>
      </c>
      <c r="O76" s="16">
        <f>IFERROR(__xludf.DUMMYFUNCTION("""COMPUTED_VALUE"""),-3.0)</f>
        <v>-3</v>
      </c>
      <c r="P76" s="16">
        <f>IFERROR(__xludf.DUMMYFUNCTION("""COMPUTED_VALUE"""),1.0)</f>
        <v>1</v>
      </c>
      <c r="Q76" s="16">
        <f>IFERROR(__xludf.DUMMYFUNCTION("""COMPUTED_VALUE"""),-3.0)</f>
        <v>-3</v>
      </c>
      <c r="R76" s="16">
        <f>IFERROR(__xludf.DUMMYFUNCTION("""COMPUTED_VALUE"""),1.0)</f>
        <v>1</v>
      </c>
      <c r="S76" s="16">
        <f>IFERROR(__xludf.DUMMYFUNCTION("""COMPUTED_VALUE"""),2.8)</f>
        <v>2.8</v>
      </c>
      <c r="T76" s="16">
        <f>IFERROR(__xludf.DUMMYFUNCTION("""COMPUTED_VALUE"""),0.4)</f>
        <v>0.4</v>
      </c>
      <c r="U76" s="16">
        <f>IFERROR(__xludf.DUMMYFUNCTION("""COMPUTED_VALUE"""),2.0)</f>
        <v>2</v>
      </c>
      <c r="V76" s="16">
        <f>IFERROR(__xludf.DUMMYFUNCTION("""COMPUTED_VALUE"""),2.0)</f>
        <v>2</v>
      </c>
      <c r="W76" s="16">
        <f>IFERROR(__xludf.DUMMYFUNCTION("""COMPUTED_VALUE"""),4.0)</f>
        <v>4</v>
      </c>
      <c r="X76" s="16">
        <f>IFERROR(__xludf.DUMMYFUNCTION("""COMPUTED_VALUE"""),4.0)</f>
        <v>4</v>
      </c>
      <c r="Y76" s="16">
        <f>IFERROR(__xludf.DUMMYFUNCTION("""COMPUTED_VALUE"""),23.9)</f>
        <v>23.9</v>
      </c>
      <c r="Z76" s="16">
        <f>IFERROR(__xludf.DUMMYFUNCTION("""COMPUTED_VALUE"""),7.4)</f>
        <v>7.4</v>
      </c>
      <c r="AA76" s="16">
        <f>IFERROR(__xludf.DUMMYFUNCTION("""COMPUTED_VALUE"""),0.0)</f>
        <v>0</v>
      </c>
      <c r="AB76" s="16">
        <f>IFERROR(__xludf.DUMMYFUNCTION("""COMPUTED_VALUE"""),2.0)</f>
        <v>2</v>
      </c>
      <c r="AC76" s="16">
        <f>IFERROR(__xludf.DUMMYFUNCTION("""COMPUTED_VALUE"""),0.0)</f>
        <v>0</v>
      </c>
      <c r="AD76" s="16">
        <f>IFERROR(__xludf.DUMMYFUNCTION("""COMPUTED_VALUE"""),10.0)</f>
        <v>10</v>
      </c>
      <c r="AE76" s="16">
        <f>IFERROR(__xludf.DUMMYFUNCTION("""COMPUTED_VALUE"""),11.4)</f>
        <v>11.4</v>
      </c>
      <c r="AF76" s="16">
        <f>IFERROR(__xludf.DUMMYFUNCTION("""COMPUTED_VALUE"""),1.6)</f>
        <v>1.6</v>
      </c>
      <c r="AG76" s="16">
        <f>IFERROR(__xludf.DUMMYFUNCTION("""COMPUTED_VALUE"""),2.0)</f>
        <v>2</v>
      </c>
      <c r="AH76" s="16">
        <f>IFERROR(__xludf.DUMMYFUNCTION("""COMPUTED_VALUE"""),2.0)</f>
        <v>2</v>
      </c>
      <c r="AI76" s="16">
        <f>IFERROR(__xludf.DUMMYFUNCTION("""COMPUTED_VALUE"""),4.0)</f>
        <v>4</v>
      </c>
      <c r="AJ76" s="16">
        <f>IFERROR(__xludf.DUMMYFUNCTION("""COMPUTED_VALUE"""),4.0)</f>
        <v>4</v>
      </c>
      <c r="AK76" s="16">
        <f>IFERROR(__xludf.DUMMYFUNCTION("""COMPUTED_VALUE"""),0.0)</f>
        <v>0</v>
      </c>
      <c r="AL76" s="16">
        <f>IFERROR(__xludf.DUMMYFUNCTION("""COMPUTED_VALUE"""),0.0)</f>
        <v>0</v>
      </c>
      <c r="AM76" s="16">
        <f>IFERROR(__xludf.DUMMYFUNCTION("""COMPUTED_VALUE"""),3.0)</f>
        <v>3</v>
      </c>
      <c r="AN76" s="16">
        <f>IFERROR(__xludf.DUMMYFUNCTION("""COMPUTED_VALUE"""),3.0)</f>
        <v>3</v>
      </c>
      <c r="AO76" s="16">
        <f>IFERROR(__xludf.DUMMYFUNCTION("""COMPUTED_VALUE"""),3.0)</f>
        <v>3</v>
      </c>
      <c r="AP76" s="16">
        <f>IFERROR(__xludf.DUMMYFUNCTION("""COMPUTED_VALUE"""),3.0)</f>
        <v>3</v>
      </c>
      <c r="AQ76" s="16">
        <f>IFERROR(__xludf.DUMMYFUNCTION("""COMPUTED_VALUE"""),0.20000000000000107)</f>
        <v>0.2</v>
      </c>
      <c r="AR76" s="16">
        <f>IFERROR(__xludf.DUMMYFUNCTION("""COMPUTED_VALUE"""),0.0)</f>
        <v>0</v>
      </c>
      <c r="AS76" s="16">
        <f>IFERROR(__xludf.DUMMYFUNCTION("""COMPUTED_VALUE"""),2.0)</f>
        <v>2</v>
      </c>
      <c r="AT76" s="16">
        <f>IFERROR(__xludf.DUMMYFUNCTION("""COMPUTED_VALUE"""),3.0)</f>
        <v>3</v>
      </c>
      <c r="AU76" s="16">
        <f>IFERROR(__xludf.DUMMYFUNCTION("""COMPUTED_VALUE"""),4.0)</f>
        <v>4</v>
      </c>
      <c r="AV76" s="16">
        <f>IFERROR(__xludf.DUMMYFUNCTION("""COMPUTED_VALUE"""),6.0)</f>
        <v>6</v>
      </c>
      <c r="AW76" s="16">
        <f>IFERROR(__xludf.DUMMYFUNCTION("""COMPUTED_VALUE"""),2.8)</f>
        <v>2.8</v>
      </c>
      <c r="AX76" s="16">
        <f>IFERROR(__xludf.DUMMYFUNCTION("""COMPUTED_VALUE"""),0.4)</f>
        <v>0.4</v>
      </c>
      <c r="AY76" s="16">
        <f>IFERROR(__xludf.DUMMYFUNCTION("""COMPUTED_VALUE"""),-1.0)</f>
        <v>-1</v>
      </c>
      <c r="AZ76" s="16">
        <f>IFERROR(__xludf.DUMMYFUNCTION("""COMPUTED_VALUE"""),2.0)</f>
        <v>2</v>
      </c>
      <c r="BA76" s="16">
        <f>IFERROR(__xludf.DUMMYFUNCTION("""COMPUTED_VALUE"""),-5.0)</f>
        <v>-5</v>
      </c>
      <c r="BB76" s="16">
        <f>IFERROR(__xludf.DUMMYFUNCTION("""COMPUTED_VALUE"""),10.0)</f>
        <v>10</v>
      </c>
      <c r="BC76" s="16"/>
      <c r="BD76" s="16"/>
      <c r="BE76" s="16">
        <f>IFERROR(__xludf.DUMMYFUNCTION("""COMPUTED_VALUE"""),5.0)</f>
        <v>5</v>
      </c>
      <c r="BF76" s="16">
        <f>IFERROR(__xludf.DUMMYFUNCTION("""COMPUTED_VALUE"""),0.0)</f>
        <v>0</v>
      </c>
      <c r="BG76" s="16">
        <f>IFERROR(__xludf.DUMMYFUNCTION("""COMPUTED_VALUE"""),-2.0)</f>
        <v>-2</v>
      </c>
      <c r="BH76" s="16">
        <f>IFERROR(__xludf.DUMMYFUNCTION("""COMPUTED_VALUE"""),2.0)</f>
        <v>2</v>
      </c>
      <c r="BI76" s="16">
        <f>IFERROR(__xludf.DUMMYFUNCTION("""COMPUTED_VALUE"""),-4.0)</f>
        <v>-4</v>
      </c>
      <c r="BJ76" s="16">
        <f>IFERROR(__xludf.DUMMYFUNCTION("""COMPUTED_VALUE"""),4.0)</f>
        <v>4</v>
      </c>
      <c r="BK76" s="16">
        <f>IFERROR(__xludf.DUMMYFUNCTION("""COMPUTED_VALUE"""),0.0)</f>
        <v>0</v>
      </c>
      <c r="BL76" s="16">
        <f>IFERROR(__xludf.DUMMYFUNCTION("""COMPUTED_VALUE"""),0.0)</f>
        <v>0</v>
      </c>
      <c r="BM76" s="16">
        <f>IFERROR(__xludf.DUMMYFUNCTION("""COMPUTED_VALUE"""),1.0)</f>
        <v>1</v>
      </c>
      <c r="BN76" s="16">
        <f>IFERROR(__xludf.DUMMYFUNCTION("""COMPUTED_VALUE"""),1.0)</f>
        <v>1</v>
      </c>
      <c r="BO76" s="16">
        <f>IFERROR(__xludf.DUMMYFUNCTION("""COMPUTED_VALUE"""),1.0)</f>
        <v>1</v>
      </c>
      <c r="BP76" s="16">
        <f>IFERROR(__xludf.DUMMYFUNCTION("""COMPUTED_VALUE"""),1.0)</f>
        <v>1</v>
      </c>
      <c r="BQ76" s="16">
        <f>IFERROR(__xludf.DUMMYFUNCTION("""COMPUTED_VALUE"""),0.0)</f>
        <v>0</v>
      </c>
      <c r="BR76" s="16">
        <f>IFERROR(__xludf.DUMMYFUNCTION("""COMPUTED_VALUE"""),10.0)</f>
        <v>10</v>
      </c>
      <c r="BS76" s="16">
        <f>IFERROR(__xludf.DUMMYFUNCTION("""COMPUTED_VALUE"""),-3.0)</f>
        <v>-3</v>
      </c>
      <c r="BT76" s="16">
        <f>IFERROR(__xludf.DUMMYFUNCTION("""COMPUTED_VALUE"""),3.0)</f>
        <v>3</v>
      </c>
      <c r="BU76" s="16">
        <f>IFERROR(__xludf.DUMMYFUNCTION("""COMPUTED_VALUE"""),-6.0)</f>
        <v>-6</v>
      </c>
      <c r="BV76" s="16">
        <f>IFERROR(__xludf.DUMMYFUNCTION("""COMPUTED_VALUE"""),6.0)</f>
        <v>6</v>
      </c>
      <c r="BW76" s="16">
        <f>IFERROR(__xludf.DUMMYFUNCTION("""COMPUTED_VALUE"""),1.0)</f>
        <v>1</v>
      </c>
      <c r="BX76" s="16">
        <f>IFERROR(__xludf.DUMMYFUNCTION("""COMPUTED_VALUE"""),1.0)</f>
        <v>1</v>
      </c>
      <c r="BY76" s="16" t="str">
        <f>IFERROR(__xludf.DUMMYFUNCTION("""COMPUTED_VALUE"""),"R(1) C(5)")</f>
        <v>R(1) C(5)</v>
      </c>
      <c r="BZ76" s="16" t="str">
        <f>IFERROR(__xludf.DUMMYFUNCTION("""COMPUTED_VALUE"""),"R(1) C(5)")</f>
        <v>R(1) C(5)</v>
      </c>
      <c r="CA76" s="16" t="str">
        <f>IFERROR(__xludf.DUMMYFUNCTION("""COMPUTED_VALUE"""),"R(1)")</f>
        <v>R(1)</v>
      </c>
      <c r="CB76" s="16" t="str">
        <f>IFERROR(__xludf.DUMMYFUNCTION("""COMPUTED_VALUE"""),"C(5)")</f>
        <v>C(5)</v>
      </c>
      <c r="CC76" s="16"/>
      <c r="CD76" s="16"/>
      <c r="CE76" s="16">
        <f>IFERROR(__xludf.DUMMYFUNCTION("""COMPUTED_VALUE"""),1.0)</f>
        <v>1</v>
      </c>
      <c r="CF76" s="16">
        <f>IFERROR(__xludf.DUMMYFUNCTION("""COMPUTED_VALUE"""),5.0)</f>
        <v>5</v>
      </c>
      <c r="CG76" s="16" t="str">
        <f>IFERROR(__xludf.DUMMYFUNCTION("""COMPUTED_VALUE"""),"4-24")</f>
        <v>4-24</v>
      </c>
      <c r="CH76" s="16">
        <f>IFERROR(__xludf.DUMMYFUNCTION("""COMPUTED_VALUE"""),4.0)</f>
        <v>4</v>
      </c>
      <c r="CI76" s="16">
        <f>IFERROR(__xludf.DUMMYFUNCTION("""COMPUTED_VALUE"""),24.0)</f>
        <v>24</v>
      </c>
      <c r="CJ76" s="16">
        <f>IFERROR(__xludf.DUMMYFUNCTION("""COMPUTED_VALUE"""),6.0)</f>
        <v>6</v>
      </c>
      <c r="CK76" s="16">
        <f>IFERROR(__xludf.DUMMYFUNCTION("""COMPUTED_VALUE"""),12.0)</f>
        <v>12</v>
      </c>
      <c r="CL76" s="16" t="str">
        <f>IFERROR(__xludf.DUMMYFUNCTION("""COMPUTED_VALUE"""),"1WR-C")</f>
        <v>1WR-C</v>
      </c>
      <c r="CM76" s="16" t="str">
        <f>IFERROR(__xludf.DUMMYFUNCTION("""COMPUTED_VALUE"""),"E")</f>
        <v>E</v>
      </c>
      <c r="CN76" s="16">
        <f>IFERROR(__xludf.DUMMYFUNCTION("""COMPUTED_VALUE"""),10.0)</f>
        <v>10</v>
      </c>
      <c r="CO76" s="16" t="str">
        <f>IFERROR(__xludf.DUMMYFUNCTION("""COMPUTED_VALUE"""),"C")</f>
        <v>C</v>
      </c>
      <c r="CP76" s="16" t="str">
        <f>IFERROR(__xludf.DUMMYFUNCTION("""COMPUTED_VALUE"""),"1p50")</f>
        <v>1p50</v>
      </c>
      <c r="CQ76" s="16">
        <f>IFERROR(__xludf.DUMMYFUNCTION("""COMPUTED_VALUE"""),4.0)</f>
        <v>4</v>
      </c>
      <c r="CR76" s="16">
        <f>IFERROR(__xludf.DUMMYFUNCTION("""COMPUTED_VALUE"""),55.0)</f>
        <v>55</v>
      </c>
      <c r="CS76" s="16">
        <f>IFERROR(__xludf.DUMMYFUNCTION("""COMPUTED_VALUE"""),59.0)</f>
        <v>59</v>
      </c>
      <c r="CT76" s="16">
        <f>IFERROR(__xludf.DUMMYFUNCTION("""COMPUTED_VALUE"""),4.0)</f>
        <v>4</v>
      </c>
      <c r="CU76" s="16">
        <f>IFERROR(__xludf.DUMMYFUNCTION("""COMPUTED_VALUE"""),55.0)</f>
        <v>55</v>
      </c>
      <c r="CV76" s="179">
        <f>IFERROR(__xludf.DUMMYFUNCTION("""COMPUTED_VALUE"""),25.0)</f>
        <v>25</v>
      </c>
      <c r="CW76" s="179">
        <f>IFERROR(__xludf.DUMMYFUNCTION("""COMPUTED_VALUE"""),4.0)</f>
        <v>4</v>
      </c>
      <c r="CX76" s="179">
        <f>IFERROR(__xludf.DUMMYFUNCTION("""COMPUTED_VALUE"""),0.0)</f>
        <v>0</v>
      </c>
      <c r="CY76" s="16" t="str">
        <f>IFERROR(__xludf.DUMMYFUNCTION("""COMPUTED_VALUE"""),"RP")</f>
        <v>RP</v>
      </c>
      <c r="CZ76" s="16" t="str">
        <f>IFERROR(__xludf.DUMMYFUNCTION("""COMPUTED_VALUE"""),"CP")</f>
        <v>CP</v>
      </c>
      <c r="DA76" s="16"/>
      <c r="DB76" s="16"/>
      <c r="DC76" s="16"/>
      <c r="DD76" s="16"/>
      <c r="DE76" s="16"/>
      <c r="DF76" s="16"/>
      <c r="DG76" s="16"/>
      <c r="DH76" s="16"/>
      <c r="DI76" s="16"/>
      <c r="DJ76" s="16"/>
      <c r="DK76" s="16"/>
    </row>
    <row r="77">
      <c r="A77" s="16">
        <f>IFERROR(__xludf.DUMMYFUNCTION("""COMPUTED_VALUE"""),13328.0)</f>
        <v>13328</v>
      </c>
      <c r="B77" s="16" t="str">
        <f>IFERROR(__xludf.DUMMYFUNCTION("""COMPUTED_VALUE"""),"Ryan Brasier")</f>
        <v>Ryan Brasier</v>
      </c>
      <c r="C77" s="153">
        <f>IFERROR(__xludf.DUMMYFUNCTION("""COMPUTED_VALUE"""),0.34)</f>
        <v>0.34</v>
      </c>
      <c r="D77" s="16"/>
      <c r="E77" s="16" t="str">
        <f>IFERROR(__xludf.DUMMYFUNCTION("""COMPUTED_VALUE"""),"R")</f>
        <v>R</v>
      </c>
      <c r="F77" s="16">
        <f>IFERROR(__xludf.DUMMYFUNCTION("""COMPUTED_VALUE"""),28.0)</f>
        <v>28</v>
      </c>
      <c r="G77" s="16">
        <f>IFERROR(__xludf.DUMMYFUNCTION("""COMPUTED_VALUE"""),10.0)</f>
        <v>10</v>
      </c>
      <c r="H77" s="16">
        <f>IFERROR(__xludf.DUMMYFUNCTION("""COMPUTED_VALUE"""),44.0)</f>
        <v>44</v>
      </c>
      <c r="I77" s="16">
        <f>IFERROR(__xludf.DUMMYFUNCTION("""COMPUTED_VALUE"""),-2.0)</f>
        <v>-2</v>
      </c>
      <c r="J77" s="16">
        <f>IFERROR(__xludf.DUMMYFUNCTION("""COMPUTED_VALUE"""),2.0)</f>
        <v>2</v>
      </c>
      <c r="K77" s="16">
        <f>IFERROR(__xludf.DUMMYFUNCTION("""COMPUTED_VALUE"""),-6.0)</f>
        <v>-6</v>
      </c>
      <c r="L77" s="16">
        <f>IFERROR(__xludf.DUMMYFUNCTION("""COMPUTED_VALUE"""),6.0)</f>
        <v>6</v>
      </c>
      <c r="M77" s="16">
        <f>IFERROR(__xludf.DUMMYFUNCTION("""COMPUTED_VALUE"""),0.0)</f>
        <v>0</v>
      </c>
      <c r="N77" s="16">
        <f>IFERROR(__xludf.DUMMYFUNCTION("""COMPUTED_VALUE"""),5.0)</f>
        <v>5</v>
      </c>
      <c r="O77" s="16">
        <f>IFERROR(__xludf.DUMMYFUNCTION("""COMPUTED_VALUE"""),3.0)</f>
        <v>3</v>
      </c>
      <c r="P77" s="16">
        <f>IFERROR(__xludf.DUMMYFUNCTION("""COMPUTED_VALUE"""),2.0)</f>
        <v>2</v>
      </c>
      <c r="Q77" s="16">
        <f>IFERROR(__xludf.DUMMYFUNCTION("""COMPUTED_VALUE"""),3.0)</f>
        <v>3</v>
      </c>
      <c r="R77" s="16">
        <f>IFERROR(__xludf.DUMMYFUNCTION("""COMPUTED_VALUE"""),2.0)</f>
        <v>2</v>
      </c>
      <c r="S77" s="16">
        <f>IFERROR(__xludf.DUMMYFUNCTION("""COMPUTED_VALUE"""),16.0)</f>
        <v>16</v>
      </c>
      <c r="T77" s="16">
        <f>IFERROR(__xludf.DUMMYFUNCTION("""COMPUTED_VALUE"""),9.3)</f>
        <v>9.3</v>
      </c>
      <c r="U77" s="16">
        <f>IFERROR(__xludf.DUMMYFUNCTION("""COMPUTED_VALUE"""),0.0)</f>
        <v>0</v>
      </c>
      <c r="V77" s="16">
        <f>IFERROR(__xludf.DUMMYFUNCTION("""COMPUTED_VALUE"""),1.0)</f>
        <v>1</v>
      </c>
      <c r="W77" s="16">
        <f>IFERROR(__xludf.DUMMYFUNCTION("""COMPUTED_VALUE"""),0.0)</f>
        <v>0</v>
      </c>
      <c r="X77" s="16">
        <f>IFERROR(__xludf.DUMMYFUNCTION("""COMPUTED_VALUE"""),2.0)</f>
        <v>2</v>
      </c>
      <c r="Y77" s="16">
        <f>IFERROR(__xludf.DUMMYFUNCTION("""COMPUTED_VALUE"""),16.0)</f>
        <v>16</v>
      </c>
      <c r="Z77" s="16">
        <f>IFERROR(__xludf.DUMMYFUNCTION("""COMPUTED_VALUE"""),14.3)</f>
        <v>14.3</v>
      </c>
      <c r="AA77" s="16">
        <f>IFERROR(__xludf.DUMMYFUNCTION("""COMPUTED_VALUE"""),1.0)</f>
        <v>1</v>
      </c>
      <c r="AB77" s="16">
        <f>IFERROR(__xludf.DUMMYFUNCTION("""COMPUTED_VALUE"""),2.0)</f>
        <v>2</v>
      </c>
      <c r="AC77" s="16">
        <f>IFERROR(__xludf.DUMMYFUNCTION("""COMPUTED_VALUE"""),5.0)</f>
        <v>5</v>
      </c>
      <c r="AD77" s="16">
        <f>IFERROR(__xludf.DUMMYFUNCTION("""COMPUTED_VALUE"""),10.0)</f>
        <v>10</v>
      </c>
      <c r="AE77" s="16">
        <f>IFERROR(__xludf.DUMMYFUNCTION("""COMPUTED_VALUE"""),31.8)</f>
        <v>31.8</v>
      </c>
      <c r="AF77" s="16">
        <f>IFERROR(__xludf.DUMMYFUNCTION("""COMPUTED_VALUE"""),27.0)</f>
        <v>27</v>
      </c>
      <c r="AG77" s="16">
        <f>IFERROR(__xludf.DUMMYFUNCTION("""COMPUTED_VALUE"""),0.0)</f>
        <v>0</v>
      </c>
      <c r="AH77" s="16">
        <f>IFERROR(__xludf.DUMMYFUNCTION("""COMPUTED_VALUE"""),0.0)</f>
        <v>0</v>
      </c>
      <c r="AI77" s="16">
        <f>IFERROR(__xludf.DUMMYFUNCTION("""COMPUTED_VALUE"""),0.0)</f>
        <v>0</v>
      </c>
      <c r="AJ77" s="16">
        <f>IFERROR(__xludf.DUMMYFUNCTION("""COMPUTED_VALUE"""),0.0)</f>
        <v>0</v>
      </c>
      <c r="AK77" s="16">
        <f>IFERROR(__xludf.DUMMYFUNCTION("""COMPUTED_VALUE"""),15.6)</f>
        <v>15.6</v>
      </c>
      <c r="AL77" s="16">
        <f>IFERROR(__xludf.DUMMYFUNCTION("""COMPUTED_VALUE"""),6.1000000000000005)</f>
        <v>6.1</v>
      </c>
      <c r="AM77" s="16">
        <f>IFERROR(__xludf.DUMMYFUNCTION("""COMPUTED_VALUE"""),0.0)</f>
        <v>0</v>
      </c>
      <c r="AN77" s="16">
        <f>IFERROR(__xludf.DUMMYFUNCTION("""COMPUTED_VALUE"""),1.0)</f>
        <v>1</v>
      </c>
      <c r="AO77" s="16">
        <f>IFERROR(__xludf.DUMMYFUNCTION("""COMPUTED_VALUE"""),0.0)</f>
        <v>0</v>
      </c>
      <c r="AP77" s="16">
        <f>IFERROR(__xludf.DUMMYFUNCTION("""COMPUTED_VALUE"""),1.0)</f>
        <v>1</v>
      </c>
      <c r="AQ77" s="16">
        <f>IFERROR(__xludf.DUMMYFUNCTION("""COMPUTED_VALUE"""),30.2)</f>
        <v>30.2</v>
      </c>
      <c r="AR77" s="16">
        <f>IFERROR(__xludf.DUMMYFUNCTION("""COMPUTED_VALUE"""),14.2)</f>
        <v>14.2</v>
      </c>
      <c r="AS77" s="16">
        <f>IFERROR(__xludf.DUMMYFUNCTION("""COMPUTED_VALUE"""),-1.0)</f>
        <v>-1</v>
      </c>
      <c r="AT77" s="16">
        <f>IFERROR(__xludf.DUMMYFUNCTION("""COMPUTED_VALUE"""),1.0)</f>
        <v>1</v>
      </c>
      <c r="AU77" s="16">
        <f>IFERROR(__xludf.DUMMYFUNCTION("""COMPUTED_VALUE"""),-2.0)</f>
        <v>-2</v>
      </c>
      <c r="AV77" s="16">
        <f>IFERROR(__xludf.DUMMYFUNCTION("""COMPUTED_VALUE"""),2.0)</f>
        <v>2</v>
      </c>
      <c r="AW77" s="16">
        <f>IFERROR(__xludf.DUMMYFUNCTION("""COMPUTED_VALUE"""),0.4)</f>
        <v>0.4</v>
      </c>
      <c r="AX77" s="16">
        <f>IFERROR(__xludf.DUMMYFUNCTION("""COMPUTED_VALUE"""),3.2)</f>
        <v>3.2</v>
      </c>
      <c r="AY77" s="16">
        <f>IFERROR(__xludf.DUMMYFUNCTION("""COMPUTED_VALUE"""),2.0)</f>
        <v>2</v>
      </c>
      <c r="AZ77" s="16">
        <f>IFERROR(__xludf.DUMMYFUNCTION("""COMPUTED_VALUE"""),-1.0)</f>
        <v>-1</v>
      </c>
      <c r="BA77" s="16">
        <f>IFERROR(__xludf.DUMMYFUNCTION("""COMPUTED_VALUE"""),10.0)</f>
        <v>10</v>
      </c>
      <c r="BB77" s="16">
        <f>IFERROR(__xludf.DUMMYFUNCTION("""COMPUTED_VALUE"""),-5.0)</f>
        <v>-5</v>
      </c>
      <c r="BC77" s="16">
        <f>IFERROR(__xludf.DUMMYFUNCTION("""COMPUTED_VALUE"""),0.0)</f>
        <v>0</v>
      </c>
      <c r="BD77" s="16"/>
      <c r="BE77" s="16">
        <f>IFERROR(__xludf.DUMMYFUNCTION("""COMPUTED_VALUE"""),0.0)</f>
        <v>0</v>
      </c>
      <c r="BF77" s="16">
        <f>IFERROR(__xludf.DUMMYFUNCTION("""COMPUTED_VALUE"""),4.0)</f>
        <v>4</v>
      </c>
      <c r="BG77" s="16">
        <f>IFERROR(__xludf.DUMMYFUNCTION("""COMPUTED_VALUE"""),3.0)</f>
        <v>3</v>
      </c>
      <c r="BH77" s="16">
        <f>IFERROR(__xludf.DUMMYFUNCTION("""COMPUTED_VALUE"""),-1.0)</f>
        <v>-1</v>
      </c>
      <c r="BI77" s="16">
        <f>IFERROR(__xludf.DUMMYFUNCTION("""COMPUTED_VALUE"""),6.0)</f>
        <v>6</v>
      </c>
      <c r="BJ77" s="16">
        <f>IFERROR(__xludf.DUMMYFUNCTION("""COMPUTED_VALUE"""),-2.0)</f>
        <v>-2</v>
      </c>
      <c r="BK77" s="16">
        <f>IFERROR(__xludf.DUMMYFUNCTION("""COMPUTED_VALUE"""),5.0)</f>
        <v>5</v>
      </c>
      <c r="BL77" s="16">
        <f>IFERROR(__xludf.DUMMYFUNCTION("""COMPUTED_VALUE"""),0.0)</f>
        <v>0</v>
      </c>
      <c r="BM77" s="16">
        <f>IFERROR(__xludf.DUMMYFUNCTION("""COMPUTED_VALUE"""),0.0)</f>
        <v>0</v>
      </c>
      <c r="BN77" s="16">
        <f>IFERROR(__xludf.DUMMYFUNCTION("""COMPUTED_VALUE"""),1.0)</f>
        <v>1</v>
      </c>
      <c r="BO77" s="16">
        <f>IFERROR(__xludf.DUMMYFUNCTION("""COMPUTED_VALUE"""),0.0)</f>
        <v>0</v>
      </c>
      <c r="BP77" s="16">
        <f>IFERROR(__xludf.DUMMYFUNCTION("""COMPUTED_VALUE"""),1.0)</f>
        <v>1</v>
      </c>
      <c r="BQ77" s="16">
        <f>IFERROR(__xludf.DUMMYFUNCTION("""COMPUTED_VALUE"""),9.0)</f>
        <v>9</v>
      </c>
      <c r="BR77" s="16">
        <f>IFERROR(__xludf.DUMMYFUNCTION("""COMPUTED_VALUE"""),9.0)</f>
        <v>9</v>
      </c>
      <c r="BS77" s="16">
        <f>IFERROR(__xludf.DUMMYFUNCTION("""COMPUTED_VALUE"""),3.0)</f>
        <v>3</v>
      </c>
      <c r="BT77" s="16">
        <f>IFERROR(__xludf.DUMMYFUNCTION("""COMPUTED_VALUE"""),3.0)</f>
        <v>3</v>
      </c>
      <c r="BU77" s="16">
        <f>IFERROR(__xludf.DUMMYFUNCTION("""COMPUTED_VALUE"""),6.0)</f>
        <v>6</v>
      </c>
      <c r="BV77" s="16">
        <f>IFERROR(__xludf.DUMMYFUNCTION("""COMPUTED_VALUE"""),6.0)</f>
        <v>6</v>
      </c>
      <c r="BW77" s="16">
        <f>IFERROR(__xludf.DUMMYFUNCTION("""COMPUTED_VALUE"""),1.0)</f>
        <v>1</v>
      </c>
      <c r="BX77" s="16">
        <f>IFERROR(__xludf.DUMMYFUNCTION("""COMPUTED_VALUE"""),1.0)</f>
        <v>1</v>
      </c>
      <c r="BY77" s="16" t="str">
        <f>IFERROR(__xludf.DUMMYFUNCTION("""COMPUTED_VALUE"""),"S(1) R(1)")</f>
        <v>S(1) R(1)</v>
      </c>
      <c r="BZ77" s="16" t="str">
        <f>IFERROR(__xludf.DUMMYFUNCTION("""COMPUTED_VALUE"""),"S(1) R(1)")</f>
        <v>S(1) R(1)</v>
      </c>
      <c r="CA77" s="16" t="str">
        <f>IFERROR(__xludf.DUMMYFUNCTION("""COMPUTED_VALUE"""),"S(1)")</f>
        <v>S(1)</v>
      </c>
      <c r="CB77" s="16" t="str">
        <f>IFERROR(__xludf.DUMMYFUNCTION("""COMPUTED_VALUE"""),"R(1)")</f>
        <v>R(1)</v>
      </c>
      <c r="CC77" s="16"/>
      <c r="CD77" s="16">
        <f>IFERROR(__xludf.DUMMYFUNCTION("""COMPUTED_VALUE"""),1.0)</f>
        <v>1</v>
      </c>
      <c r="CE77" s="16">
        <f>IFERROR(__xludf.DUMMYFUNCTION("""COMPUTED_VALUE"""),1.0)</f>
        <v>1</v>
      </c>
      <c r="CF77" s="16"/>
      <c r="CG77" s="16" t="str">
        <f>IFERROR(__xludf.DUMMYFUNCTION("""COMPUTED_VALUE"""),"2-0")</f>
        <v>2-0</v>
      </c>
      <c r="CH77" s="16">
        <f>IFERROR(__xludf.DUMMYFUNCTION("""COMPUTED_VALUE"""),2.0)</f>
        <v>2</v>
      </c>
      <c r="CI77" s="16">
        <f>IFERROR(__xludf.DUMMYFUNCTION("""COMPUTED_VALUE"""),0.0)</f>
        <v>0</v>
      </c>
      <c r="CJ77" s="16">
        <f>IFERROR(__xludf.DUMMYFUNCTION("""COMPUTED_VALUE"""),0.0)</f>
        <v>0</v>
      </c>
      <c r="CK77" s="16">
        <f>IFERROR(__xludf.DUMMYFUNCTION("""COMPUTED_VALUE"""),8.0)</f>
        <v>8</v>
      </c>
      <c r="CL77" s="16" t="str">
        <f>IFERROR(__xludf.DUMMYFUNCTION("""COMPUTED_VALUE"""),"1WR-C")</f>
        <v>1WR-C</v>
      </c>
      <c r="CM77" s="16" t="str">
        <f>IFERROR(__xludf.DUMMYFUNCTION("""COMPUTED_VALUE"""),"E")</f>
        <v>E</v>
      </c>
      <c r="CN77" s="16">
        <f>IFERROR(__xludf.DUMMYFUNCTION("""COMPUTED_VALUE"""),10.0)</f>
        <v>10</v>
      </c>
      <c r="CO77" s="16" t="str">
        <f>IFERROR(__xludf.DUMMYFUNCTION("""COMPUTED_VALUE"""),"C")</f>
        <v>C</v>
      </c>
      <c r="CP77" s="16" t="str">
        <f>IFERROR(__xludf.DUMMYFUNCTION("""COMPUTED_VALUE"""),"5p30")</f>
        <v>5p30</v>
      </c>
      <c r="CQ77" s="16">
        <f>IFERROR(__xludf.DUMMYFUNCTION("""COMPUTED_VALUE"""),22.0)</f>
        <v>22</v>
      </c>
      <c r="CR77" s="16">
        <f>IFERROR(__xludf.DUMMYFUNCTION("""COMPUTED_VALUE"""),23.0)</f>
        <v>23</v>
      </c>
      <c r="CS77" s="16">
        <f>IFERROR(__xludf.DUMMYFUNCTION("""COMPUTED_VALUE"""),45.0)</f>
        <v>45</v>
      </c>
      <c r="CT77" s="16">
        <f>IFERROR(__xludf.DUMMYFUNCTION("""COMPUTED_VALUE"""),22.0)</f>
        <v>22</v>
      </c>
      <c r="CU77" s="16">
        <f>IFERROR(__xludf.DUMMYFUNCTION("""COMPUTED_VALUE"""),23.0)</f>
        <v>23</v>
      </c>
      <c r="CV77" s="179">
        <f>IFERROR(__xludf.DUMMYFUNCTION("""COMPUTED_VALUE"""),24.333333333333332)</f>
        <v>24.33333333</v>
      </c>
      <c r="CW77" s="179">
        <f>IFERROR(__xludf.DUMMYFUNCTION("""COMPUTED_VALUE"""),0.0)</f>
        <v>0</v>
      </c>
      <c r="CX77" s="179">
        <f>IFERROR(__xludf.DUMMYFUNCTION("""COMPUTED_VALUE"""),2.0)</f>
        <v>2</v>
      </c>
      <c r="CY77" s="16" t="str">
        <f>IFERROR(__xludf.DUMMYFUNCTION("""COMPUTED_VALUE"""),"SP")</f>
        <v>SP</v>
      </c>
      <c r="CZ77" s="16" t="str">
        <f>IFERROR(__xludf.DUMMYFUNCTION("""COMPUTED_VALUE"""),"RP")</f>
        <v>RP</v>
      </c>
      <c r="DA77" s="16"/>
      <c r="DB77" s="16"/>
      <c r="DC77" s="16"/>
      <c r="DD77" s="16"/>
      <c r="DE77" s="16"/>
      <c r="DF77" s="16"/>
      <c r="DG77" s="16"/>
      <c r="DH77" s="16"/>
      <c r="DI77" s="16"/>
      <c r="DJ77" s="16"/>
      <c r="DK77" s="16"/>
    </row>
    <row r="78">
      <c r="A78" s="16">
        <f>IFERROR(__xludf.DUMMYFUNCTION("""COMPUTED_VALUE"""),13204.0)</f>
        <v>13204</v>
      </c>
      <c r="B78" s="16" t="str">
        <f>IFERROR(__xludf.DUMMYFUNCTION("""COMPUTED_VALUE"""),"Michel Otanez")</f>
        <v>Michel Otanez</v>
      </c>
      <c r="C78" s="153">
        <f>IFERROR(__xludf.DUMMYFUNCTION("""COMPUTED_VALUE"""),0.56)</f>
        <v>0.56</v>
      </c>
      <c r="D78" s="16"/>
      <c r="E78" s="16" t="str">
        <f>IFERROR(__xludf.DUMMYFUNCTION("""COMPUTED_VALUE"""),"R")</f>
        <v>R</v>
      </c>
      <c r="F78" s="16">
        <f>IFERROR(__xludf.DUMMYFUNCTION("""COMPUTED_VALUE"""),34.0)</f>
        <v>34</v>
      </c>
      <c r="G78" s="16">
        <f>IFERROR(__xludf.DUMMYFUNCTION("""COMPUTED_VALUE"""),52.0)</f>
        <v>52</v>
      </c>
      <c r="H78" s="16">
        <f>IFERROR(__xludf.DUMMYFUNCTION("""COMPUTED_VALUE"""),42.0)</f>
        <v>42</v>
      </c>
      <c r="I78" s="16">
        <f>IFERROR(__xludf.DUMMYFUNCTION("""COMPUTED_VALUE"""),3.0)</f>
        <v>3</v>
      </c>
      <c r="J78" s="16">
        <f>IFERROR(__xludf.DUMMYFUNCTION("""COMPUTED_VALUE"""),2.0)</f>
        <v>2</v>
      </c>
      <c r="K78" s="16">
        <f>IFERROR(__xludf.DUMMYFUNCTION("""COMPUTED_VALUE"""),9.0)</f>
        <v>9</v>
      </c>
      <c r="L78" s="16">
        <f>IFERROR(__xludf.DUMMYFUNCTION("""COMPUTED_VALUE"""),6.0)</f>
        <v>6</v>
      </c>
      <c r="M78" s="16">
        <f>IFERROR(__xludf.DUMMYFUNCTION("""COMPUTED_VALUE"""),25.0)</f>
        <v>25</v>
      </c>
      <c r="N78" s="16">
        <f>IFERROR(__xludf.DUMMYFUNCTION("""COMPUTED_VALUE"""),19.0)</f>
        <v>19</v>
      </c>
      <c r="O78" s="16">
        <f>IFERROR(__xludf.DUMMYFUNCTION("""COMPUTED_VALUE"""),-3.0)</f>
        <v>-3</v>
      </c>
      <c r="P78" s="16">
        <f>IFERROR(__xludf.DUMMYFUNCTION("""COMPUTED_VALUE"""),-3.0)</f>
        <v>-3</v>
      </c>
      <c r="Q78" s="16">
        <f>IFERROR(__xludf.DUMMYFUNCTION("""COMPUTED_VALUE"""),-3.0)</f>
        <v>-3</v>
      </c>
      <c r="R78" s="16">
        <f>IFERROR(__xludf.DUMMYFUNCTION("""COMPUTED_VALUE"""),-3.0)</f>
        <v>-3</v>
      </c>
      <c r="S78" s="16">
        <f>IFERROR(__xludf.DUMMYFUNCTION("""COMPUTED_VALUE"""),0.1)</f>
        <v>0.1</v>
      </c>
      <c r="T78" s="16">
        <f>IFERROR(__xludf.DUMMYFUNCTION("""COMPUTED_VALUE"""),11.5)</f>
        <v>11.5</v>
      </c>
      <c r="U78" s="16">
        <f>IFERROR(__xludf.DUMMYFUNCTION("""COMPUTED_VALUE"""),2.0)</f>
        <v>2</v>
      </c>
      <c r="V78" s="16">
        <f>IFERROR(__xludf.DUMMYFUNCTION("""COMPUTED_VALUE"""),1.0)</f>
        <v>1</v>
      </c>
      <c r="W78" s="16">
        <f>IFERROR(__xludf.DUMMYFUNCTION("""COMPUTED_VALUE"""),4.0)</f>
        <v>4</v>
      </c>
      <c r="X78" s="16">
        <f>IFERROR(__xludf.DUMMYFUNCTION("""COMPUTED_VALUE"""),2.0)</f>
        <v>2</v>
      </c>
      <c r="Y78" s="16">
        <f>IFERROR(__xludf.DUMMYFUNCTION("""COMPUTED_VALUE"""),25.1)</f>
        <v>25.1</v>
      </c>
      <c r="Z78" s="16">
        <f>IFERROR(__xludf.DUMMYFUNCTION("""COMPUTED_VALUE"""),30.5)</f>
        <v>30.5</v>
      </c>
      <c r="AA78" s="16">
        <f>IFERROR(__xludf.DUMMYFUNCTION("""COMPUTED_VALUE"""),0.0)</f>
        <v>0</v>
      </c>
      <c r="AB78" s="16">
        <f>IFERROR(__xludf.DUMMYFUNCTION("""COMPUTED_VALUE"""),-1.0)</f>
        <v>-1</v>
      </c>
      <c r="AC78" s="16">
        <f>IFERROR(__xludf.DUMMYFUNCTION("""COMPUTED_VALUE"""),0.0)</f>
        <v>0</v>
      </c>
      <c r="AD78" s="16">
        <f>IFERROR(__xludf.DUMMYFUNCTION("""COMPUTED_VALUE"""),-5.0)</f>
        <v>-5</v>
      </c>
      <c r="AE78" s="16">
        <f>IFERROR(__xludf.DUMMYFUNCTION("""COMPUTED_VALUE"""),0.1)</f>
        <v>0.1</v>
      </c>
      <c r="AF78" s="16">
        <f>IFERROR(__xludf.DUMMYFUNCTION("""COMPUTED_VALUE"""),15.8)</f>
        <v>15.8</v>
      </c>
      <c r="AG78" s="16">
        <f>IFERROR(__xludf.DUMMYFUNCTION("""COMPUTED_VALUE"""),2.0)</f>
        <v>2</v>
      </c>
      <c r="AH78" s="16">
        <f>IFERROR(__xludf.DUMMYFUNCTION("""COMPUTED_VALUE"""),1.0)</f>
        <v>1</v>
      </c>
      <c r="AI78" s="16">
        <f>IFERROR(__xludf.DUMMYFUNCTION("""COMPUTED_VALUE"""),4.0)</f>
        <v>4</v>
      </c>
      <c r="AJ78" s="16">
        <f>IFERROR(__xludf.DUMMYFUNCTION("""COMPUTED_VALUE"""),2.0)</f>
        <v>2</v>
      </c>
      <c r="AK78" s="16">
        <f>IFERROR(__xludf.DUMMYFUNCTION("""COMPUTED_VALUE"""),0.1)</f>
        <v>0.1</v>
      </c>
      <c r="AL78" s="16">
        <f>IFERROR(__xludf.DUMMYFUNCTION("""COMPUTED_VALUE"""),11.5)</f>
        <v>11.5</v>
      </c>
      <c r="AM78" s="16">
        <f>IFERROR(__xludf.DUMMYFUNCTION("""COMPUTED_VALUE"""),2.0)</f>
        <v>2</v>
      </c>
      <c r="AN78" s="16">
        <f>IFERROR(__xludf.DUMMYFUNCTION("""COMPUTED_VALUE"""),0.0)</f>
        <v>0</v>
      </c>
      <c r="AO78" s="16">
        <f>IFERROR(__xludf.DUMMYFUNCTION("""COMPUTED_VALUE"""),2.0)</f>
        <v>2</v>
      </c>
      <c r="AP78" s="16">
        <f>IFERROR(__xludf.DUMMYFUNCTION("""COMPUTED_VALUE"""),0.0)</f>
        <v>0</v>
      </c>
      <c r="AQ78" s="16">
        <f>IFERROR(__xludf.DUMMYFUNCTION("""COMPUTED_VALUE"""),0.1)</f>
        <v>0.1</v>
      </c>
      <c r="AR78" s="16">
        <f>IFERROR(__xludf.DUMMYFUNCTION("""COMPUTED_VALUE"""),15.8)</f>
        <v>15.8</v>
      </c>
      <c r="AS78" s="16">
        <f>IFERROR(__xludf.DUMMYFUNCTION("""COMPUTED_VALUE"""),2.0)</f>
        <v>2</v>
      </c>
      <c r="AT78" s="16">
        <f>IFERROR(__xludf.DUMMYFUNCTION("""COMPUTED_VALUE"""),1.0)</f>
        <v>1</v>
      </c>
      <c r="AU78" s="16">
        <f>IFERROR(__xludf.DUMMYFUNCTION("""COMPUTED_VALUE"""),4.0)</f>
        <v>4</v>
      </c>
      <c r="AV78" s="16">
        <f>IFERROR(__xludf.DUMMYFUNCTION("""COMPUTED_VALUE"""),2.0)</f>
        <v>2</v>
      </c>
      <c r="AW78" s="16">
        <f>IFERROR(__xludf.DUMMYFUNCTION("""COMPUTED_VALUE"""),0.0)</f>
        <v>0</v>
      </c>
      <c r="AX78" s="16">
        <f>IFERROR(__xludf.DUMMYFUNCTION("""COMPUTED_VALUE"""),0.0)</f>
        <v>0</v>
      </c>
      <c r="AY78" s="16">
        <f>IFERROR(__xludf.DUMMYFUNCTION("""COMPUTED_VALUE"""),2.0)</f>
        <v>2</v>
      </c>
      <c r="AZ78" s="16">
        <f>IFERROR(__xludf.DUMMYFUNCTION("""COMPUTED_VALUE"""),2.0)</f>
        <v>2</v>
      </c>
      <c r="BA78" s="16">
        <f>IFERROR(__xludf.DUMMYFUNCTION("""COMPUTED_VALUE"""),10.0)</f>
        <v>10</v>
      </c>
      <c r="BB78" s="16">
        <f>IFERROR(__xludf.DUMMYFUNCTION("""COMPUTED_VALUE"""),10.0)</f>
        <v>10</v>
      </c>
      <c r="BC78" s="16"/>
      <c r="BD78" s="16">
        <f>IFERROR(__xludf.DUMMYFUNCTION("""COMPUTED_VALUE"""),0.0)</f>
        <v>0</v>
      </c>
      <c r="BE78" s="16">
        <f>IFERROR(__xludf.DUMMYFUNCTION("""COMPUTED_VALUE"""),0.0)</f>
        <v>0</v>
      </c>
      <c r="BF78" s="16">
        <f>IFERROR(__xludf.DUMMYFUNCTION("""COMPUTED_VALUE"""),0.0)</f>
        <v>0</v>
      </c>
      <c r="BG78" s="16">
        <f>IFERROR(__xludf.DUMMYFUNCTION("""COMPUTED_VALUE"""),3.0)</f>
        <v>3</v>
      </c>
      <c r="BH78" s="16">
        <f>IFERROR(__xludf.DUMMYFUNCTION("""COMPUTED_VALUE"""),2.0)</f>
        <v>2</v>
      </c>
      <c r="BI78" s="16">
        <f>IFERROR(__xludf.DUMMYFUNCTION("""COMPUTED_VALUE"""),6.0)</f>
        <v>6</v>
      </c>
      <c r="BJ78" s="16">
        <f>IFERROR(__xludf.DUMMYFUNCTION("""COMPUTED_VALUE"""),4.0)</f>
        <v>4</v>
      </c>
      <c r="BK78" s="16">
        <f>IFERROR(__xludf.DUMMYFUNCTION("""COMPUTED_VALUE"""),0.0)</f>
        <v>0</v>
      </c>
      <c r="BL78" s="16">
        <f>IFERROR(__xludf.DUMMYFUNCTION("""COMPUTED_VALUE"""),5.0)</f>
        <v>5</v>
      </c>
      <c r="BM78" s="16">
        <f>IFERROR(__xludf.DUMMYFUNCTION("""COMPUTED_VALUE"""),1.0)</f>
        <v>1</v>
      </c>
      <c r="BN78" s="16">
        <f>IFERROR(__xludf.DUMMYFUNCTION("""COMPUTED_VALUE"""),0.0)</f>
        <v>0</v>
      </c>
      <c r="BO78" s="16">
        <f>IFERROR(__xludf.DUMMYFUNCTION("""COMPUTED_VALUE"""),1.0)</f>
        <v>1</v>
      </c>
      <c r="BP78" s="16">
        <f>IFERROR(__xludf.DUMMYFUNCTION("""COMPUTED_VALUE"""),0.0)</f>
        <v>0</v>
      </c>
      <c r="BQ78" s="16">
        <f>IFERROR(__xludf.DUMMYFUNCTION("""COMPUTED_VALUE"""),0.0)</f>
        <v>0</v>
      </c>
      <c r="BR78" s="16">
        <f>IFERROR(__xludf.DUMMYFUNCTION("""COMPUTED_VALUE"""),0.0)</f>
        <v>0</v>
      </c>
      <c r="BS78" s="16">
        <f>IFERROR(__xludf.DUMMYFUNCTION("""COMPUTED_VALUE"""),-3.0)</f>
        <v>-3</v>
      </c>
      <c r="BT78" s="16">
        <f>IFERROR(__xludf.DUMMYFUNCTION("""COMPUTED_VALUE"""),-3.0)</f>
        <v>-3</v>
      </c>
      <c r="BU78" s="16">
        <f>IFERROR(__xludf.DUMMYFUNCTION("""COMPUTED_VALUE"""),-6.0)</f>
        <v>-6</v>
      </c>
      <c r="BV78" s="16">
        <f>IFERROR(__xludf.DUMMYFUNCTION("""COMPUTED_VALUE"""),-6.0)</f>
        <v>-6</v>
      </c>
      <c r="BW78" s="16">
        <f>IFERROR(__xludf.DUMMYFUNCTION("""COMPUTED_VALUE"""),2.0)</f>
        <v>2</v>
      </c>
      <c r="BX78" s="16">
        <f>IFERROR(__xludf.DUMMYFUNCTION("""COMPUTED_VALUE"""),2.0)</f>
        <v>2</v>
      </c>
      <c r="BY78" s="16" t="str">
        <f>IFERROR(__xludf.DUMMYFUNCTION("""COMPUTED_VALUE"""),"R(1) C(0)")</f>
        <v>R(1) C(0)</v>
      </c>
      <c r="BZ78" s="16" t="str">
        <f>IFERROR(__xludf.DUMMYFUNCTION("""COMPUTED_VALUE"""),"R(1) C(0)")</f>
        <v>R(1) C(0)</v>
      </c>
      <c r="CA78" s="16" t="str">
        <f>IFERROR(__xludf.DUMMYFUNCTION("""COMPUTED_VALUE"""),"R(1)")</f>
        <v>R(1)</v>
      </c>
      <c r="CB78" s="16" t="str">
        <f>IFERROR(__xludf.DUMMYFUNCTION("""COMPUTED_VALUE"""),"C(0)")</f>
        <v>C(0)</v>
      </c>
      <c r="CC78" s="16"/>
      <c r="CD78" s="16"/>
      <c r="CE78" s="16">
        <f>IFERROR(__xludf.DUMMYFUNCTION("""COMPUTED_VALUE"""),1.0)</f>
        <v>1</v>
      </c>
      <c r="CF78" s="16">
        <f>IFERROR(__xludf.DUMMYFUNCTION("""COMPUTED_VALUE"""),0.0)</f>
        <v>0</v>
      </c>
      <c r="CG78" s="16" t="str">
        <f>IFERROR(__xludf.DUMMYFUNCTION("""COMPUTED_VALUE"""),"4-0")</f>
        <v>4-0</v>
      </c>
      <c r="CH78" s="16">
        <f>IFERROR(__xludf.DUMMYFUNCTION("""COMPUTED_VALUE"""),4.0)</f>
        <v>4</v>
      </c>
      <c r="CI78" s="16">
        <f>IFERROR(__xludf.DUMMYFUNCTION("""COMPUTED_VALUE"""),0.0)</f>
        <v>0</v>
      </c>
      <c r="CJ78" s="16">
        <f>IFERROR(__xludf.DUMMYFUNCTION("""COMPUTED_VALUE"""),0.0)</f>
        <v>0</v>
      </c>
      <c r="CK78" s="16">
        <f>IFERROR(__xludf.DUMMYFUNCTION("""COMPUTED_VALUE"""),20.0)</f>
        <v>20</v>
      </c>
      <c r="CL78" s="16" t="str">
        <f>IFERROR(__xludf.DUMMYFUNCTION("""COMPUTED_VALUE"""),"1WR-C")</f>
        <v>1WR-C</v>
      </c>
      <c r="CM78" s="16" t="str">
        <f>IFERROR(__xludf.DUMMYFUNCTION("""COMPUTED_VALUE"""),"E")</f>
        <v>E</v>
      </c>
      <c r="CN78" s="16">
        <f>IFERROR(__xludf.DUMMYFUNCTION("""COMPUTED_VALUE"""),10.0)</f>
        <v>10</v>
      </c>
      <c r="CO78" s="16" t="str">
        <f>IFERROR(__xludf.DUMMYFUNCTION("""COMPUTED_VALUE"""),"C")</f>
        <v>C</v>
      </c>
      <c r="CP78" s="16" t="str">
        <f>IFERROR(__xludf.DUMMYFUNCTION("""COMPUTED_VALUE"""),"1p30")</f>
        <v>1p30</v>
      </c>
      <c r="CQ78" s="16">
        <f>IFERROR(__xludf.DUMMYFUNCTION("""COMPUTED_VALUE"""),31.0)</f>
        <v>31</v>
      </c>
      <c r="CR78" s="16">
        <f>IFERROR(__xludf.DUMMYFUNCTION("""COMPUTED_VALUE"""),12.0)</f>
        <v>12</v>
      </c>
      <c r="CS78" s="16">
        <f>IFERROR(__xludf.DUMMYFUNCTION("""COMPUTED_VALUE"""),43.0)</f>
        <v>43</v>
      </c>
      <c r="CT78" s="16">
        <f>IFERROR(__xludf.DUMMYFUNCTION("""COMPUTED_VALUE"""),31.0)</f>
        <v>31</v>
      </c>
      <c r="CU78" s="16">
        <f>IFERROR(__xludf.DUMMYFUNCTION("""COMPUTED_VALUE"""),12.0)</f>
        <v>12</v>
      </c>
      <c r="CV78" s="179">
        <f>IFERROR(__xludf.DUMMYFUNCTION("""COMPUTED_VALUE"""),24.333333333333332)</f>
        <v>24.33333333</v>
      </c>
      <c r="CW78" s="179">
        <f>IFERROR(__xludf.DUMMYFUNCTION("""COMPUTED_VALUE"""),4.0)</f>
        <v>4</v>
      </c>
      <c r="CX78" s="179">
        <f>IFERROR(__xludf.DUMMYFUNCTION("""COMPUTED_VALUE"""),2.0)</f>
        <v>2</v>
      </c>
      <c r="CY78" s="16" t="str">
        <f>IFERROR(__xludf.DUMMYFUNCTION("""COMPUTED_VALUE"""),"RP")</f>
        <v>RP</v>
      </c>
      <c r="CZ78" s="16" t="str">
        <f>IFERROR(__xludf.DUMMYFUNCTION("""COMPUTED_VALUE"""),"CP")</f>
        <v>CP</v>
      </c>
      <c r="DA78" s="16"/>
      <c r="DB78" s="16"/>
      <c r="DC78" s="16"/>
      <c r="DD78" s="16"/>
      <c r="DE78" s="16"/>
      <c r="DF78" s="16"/>
      <c r="DG78" s="16"/>
      <c r="DH78" s="16"/>
      <c r="DI78" s="16"/>
      <c r="DJ78" s="16"/>
      <c r="DK78" s="16"/>
    </row>
    <row r="79">
      <c r="A79" s="16">
        <f>IFERROR(__xludf.DUMMYFUNCTION("""COMPUTED_VALUE"""),12625.0)</f>
        <v>12625</v>
      </c>
      <c r="B79" s="16" t="str">
        <f>IFERROR(__xludf.DUMMYFUNCTION("""COMPUTED_VALUE"""),"Bryan Hoeing")</f>
        <v>Bryan Hoeing</v>
      </c>
      <c r="C79" s="153">
        <f>IFERROR(__xludf.DUMMYFUNCTION("""COMPUTED_VALUE"""),2.28)</f>
        <v>2.28</v>
      </c>
      <c r="D79" s="16"/>
      <c r="E79" s="16" t="str">
        <f>IFERROR(__xludf.DUMMYFUNCTION("""COMPUTED_VALUE"""),"R")</f>
        <v>R</v>
      </c>
      <c r="F79" s="16">
        <f>IFERROR(__xludf.DUMMYFUNCTION("""COMPUTED_VALUE"""),54.0)</f>
        <v>54</v>
      </c>
      <c r="G79" s="16">
        <f>IFERROR(__xludf.DUMMYFUNCTION("""COMPUTED_VALUE"""),26.0)</f>
        <v>26</v>
      </c>
      <c r="H79" s="16">
        <f>IFERROR(__xludf.DUMMYFUNCTION("""COMPUTED_VALUE"""),15.0)</f>
        <v>15</v>
      </c>
      <c r="I79" s="16">
        <f>IFERROR(__xludf.DUMMYFUNCTION("""COMPUTED_VALUE"""),0.0)</f>
        <v>0</v>
      </c>
      <c r="J79" s="16">
        <f>IFERROR(__xludf.DUMMYFUNCTION("""COMPUTED_VALUE"""),-2.0)</f>
        <v>-2</v>
      </c>
      <c r="K79" s="16">
        <f>IFERROR(__xludf.DUMMYFUNCTION("""COMPUTED_VALUE"""),0.0)</f>
        <v>0</v>
      </c>
      <c r="L79" s="16">
        <f>IFERROR(__xludf.DUMMYFUNCTION("""COMPUTED_VALUE"""),-6.0)</f>
        <v>-6</v>
      </c>
      <c r="M79" s="16">
        <f>IFERROR(__xludf.DUMMYFUNCTION("""COMPUTED_VALUE"""),5.0)</f>
        <v>5</v>
      </c>
      <c r="N79" s="16">
        <f>IFERROR(__xludf.DUMMYFUNCTION("""COMPUTED_VALUE"""),5.0)</f>
        <v>5</v>
      </c>
      <c r="O79" s="16">
        <f>IFERROR(__xludf.DUMMYFUNCTION("""COMPUTED_VALUE"""),2.0)</f>
        <v>2</v>
      </c>
      <c r="P79" s="16">
        <f>IFERROR(__xludf.DUMMYFUNCTION("""COMPUTED_VALUE"""),2.0)</f>
        <v>2</v>
      </c>
      <c r="Q79" s="16">
        <f>IFERROR(__xludf.DUMMYFUNCTION("""COMPUTED_VALUE"""),2.0)</f>
        <v>2</v>
      </c>
      <c r="R79" s="16">
        <f>IFERROR(__xludf.DUMMYFUNCTION("""COMPUTED_VALUE"""),2.0)</f>
        <v>2</v>
      </c>
      <c r="S79" s="16">
        <f>IFERROR(__xludf.DUMMYFUNCTION("""COMPUTED_VALUE"""),5.1)</f>
        <v>5.1</v>
      </c>
      <c r="T79" s="16">
        <f>IFERROR(__xludf.DUMMYFUNCTION("""COMPUTED_VALUE"""),18.4)</f>
        <v>18.4</v>
      </c>
      <c r="U79" s="16">
        <f>IFERROR(__xludf.DUMMYFUNCTION("""COMPUTED_VALUE"""),2.0)</f>
        <v>2</v>
      </c>
      <c r="V79" s="16">
        <f>IFERROR(__xludf.DUMMYFUNCTION("""COMPUTED_VALUE"""),0.0)</f>
        <v>0</v>
      </c>
      <c r="W79" s="16">
        <f>IFERROR(__xludf.DUMMYFUNCTION("""COMPUTED_VALUE"""),4.0)</f>
        <v>4</v>
      </c>
      <c r="X79" s="16">
        <f>IFERROR(__xludf.DUMMYFUNCTION("""COMPUTED_VALUE"""),0.0)</f>
        <v>0</v>
      </c>
      <c r="Y79" s="16">
        <f>IFERROR(__xludf.DUMMYFUNCTION("""COMPUTED_VALUE"""),10.1)</f>
        <v>10.1</v>
      </c>
      <c r="Z79" s="16">
        <f>IFERROR(__xludf.DUMMYFUNCTION("""COMPUTED_VALUE"""),23.4)</f>
        <v>23.4</v>
      </c>
      <c r="AA79" s="16">
        <f>IFERROR(__xludf.DUMMYFUNCTION("""COMPUTED_VALUE"""),2.0)</f>
        <v>2</v>
      </c>
      <c r="AB79" s="16">
        <f>IFERROR(__xludf.DUMMYFUNCTION("""COMPUTED_VALUE"""),0.0)</f>
        <v>0</v>
      </c>
      <c r="AC79" s="16">
        <f>IFERROR(__xludf.DUMMYFUNCTION("""COMPUTED_VALUE"""),10.0)</f>
        <v>10</v>
      </c>
      <c r="AD79" s="16">
        <f>IFERROR(__xludf.DUMMYFUNCTION("""COMPUTED_VALUE"""),0.0)</f>
        <v>0</v>
      </c>
      <c r="AE79" s="16">
        <f>IFERROR(__xludf.DUMMYFUNCTION("""COMPUTED_VALUE"""),5.1)</f>
        <v>5.1</v>
      </c>
      <c r="AF79" s="16">
        <f>IFERROR(__xludf.DUMMYFUNCTION("""COMPUTED_VALUE"""),25.8)</f>
        <v>25.8</v>
      </c>
      <c r="AG79" s="16">
        <f>IFERROR(__xludf.DUMMYFUNCTION("""COMPUTED_VALUE"""),2.0)</f>
        <v>2</v>
      </c>
      <c r="AH79" s="16">
        <f>IFERROR(__xludf.DUMMYFUNCTION("""COMPUTED_VALUE"""),0.0)</f>
        <v>0</v>
      </c>
      <c r="AI79" s="16">
        <f>IFERROR(__xludf.DUMMYFUNCTION("""COMPUTED_VALUE"""),4.0)</f>
        <v>4</v>
      </c>
      <c r="AJ79" s="16">
        <f>IFERROR(__xludf.DUMMYFUNCTION("""COMPUTED_VALUE"""),0.0)</f>
        <v>0</v>
      </c>
      <c r="AK79" s="16">
        <f>IFERROR(__xludf.DUMMYFUNCTION("""COMPUTED_VALUE"""),5.1)</f>
        <v>5.1</v>
      </c>
      <c r="AL79" s="16">
        <f>IFERROR(__xludf.DUMMYFUNCTION("""COMPUTED_VALUE"""),17.4)</f>
        <v>17.4</v>
      </c>
      <c r="AM79" s="16">
        <f>IFERROR(__xludf.DUMMYFUNCTION("""COMPUTED_VALUE"""),1.0)</f>
        <v>1</v>
      </c>
      <c r="AN79" s="16">
        <f>IFERROR(__xludf.DUMMYFUNCTION("""COMPUTED_VALUE"""),-1.0)</f>
        <v>-1</v>
      </c>
      <c r="AO79" s="16">
        <f>IFERROR(__xludf.DUMMYFUNCTION("""COMPUTED_VALUE"""),1.0)</f>
        <v>1</v>
      </c>
      <c r="AP79" s="16">
        <f>IFERROR(__xludf.DUMMYFUNCTION("""COMPUTED_VALUE"""),-1.0)</f>
        <v>-1</v>
      </c>
      <c r="AQ79" s="16">
        <f>IFERROR(__xludf.DUMMYFUNCTION("""COMPUTED_VALUE"""),5.1)</f>
        <v>5.1</v>
      </c>
      <c r="AR79" s="16">
        <f>IFERROR(__xludf.DUMMYFUNCTION("""COMPUTED_VALUE"""),21.8)</f>
        <v>21.8</v>
      </c>
      <c r="AS79" s="16">
        <f>IFERROR(__xludf.DUMMYFUNCTION("""COMPUTED_VALUE"""),2.0)</f>
        <v>2</v>
      </c>
      <c r="AT79" s="16">
        <f>IFERROR(__xludf.DUMMYFUNCTION("""COMPUTED_VALUE"""),0.0)</f>
        <v>0</v>
      </c>
      <c r="AU79" s="16">
        <f>IFERROR(__xludf.DUMMYFUNCTION("""COMPUTED_VALUE"""),4.0)</f>
        <v>4</v>
      </c>
      <c r="AV79" s="16">
        <f>IFERROR(__xludf.DUMMYFUNCTION("""COMPUTED_VALUE"""),0.0)</f>
        <v>0</v>
      </c>
      <c r="AW79" s="16">
        <f>IFERROR(__xludf.DUMMYFUNCTION("""COMPUTED_VALUE"""),0.0)</f>
        <v>0</v>
      </c>
      <c r="AX79" s="16">
        <f>IFERROR(__xludf.DUMMYFUNCTION("""COMPUTED_VALUE"""),1.0)</f>
        <v>1</v>
      </c>
      <c r="AY79" s="16">
        <f>IFERROR(__xludf.DUMMYFUNCTION("""COMPUTED_VALUE"""),2.0)</f>
        <v>2</v>
      </c>
      <c r="AZ79" s="16">
        <f>IFERROR(__xludf.DUMMYFUNCTION("""COMPUTED_VALUE"""),1.0)</f>
        <v>1</v>
      </c>
      <c r="BA79" s="16">
        <f>IFERROR(__xludf.DUMMYFUNCTION("""COMPUTED_VALUE"""),10.0)</f>
        <v>10</v>
      </c>
      <c r="BB79" s="16">
        <f>IFERROR(__xludf.DUMMYFUNCTION("""COMPUTED_VALUE"""),5.0)</f>
        <v>5</v>
      </c>
      <c r="BC79" s="16">
        <f>IFERROR(__xludf.DUMMYFUNCTION("""COMPUTED_VALUE"""),0.0)</f>
        <v>0</v>
      </c>
      <c r="BD79" s="16">
        <f>IFERROR(__xludf.DUMMYFUNCTION("""COMPUTED_VALUE"""),1.0)</f>
        <v>1</v>
      </c>
      <c r="BE79" s="16">
        <f>IFERROR(__xludf.DUMMYFUNCTION("""COMPUTED_VALUE"""),0.0)</f>
        <v>0</v>
      </c>
      <c r="BF79" s="16">
        <f>IFERROR(__xludf.DUMMYFUNCTION("""COMPUTED_VALUE"""),1.0)</f>
        <v>1</v>
      </c>
      <c r="BG79" s="16">
        <f>IFERROR(__xludf.DUMMYFUNCTION("""COMPUTED_VALUE"""),3.0)</f>
        <v>3</v>
      </c>
      <c r="BH79" s="16">
        <f>IFERROR(__xludf.DUMMYFUNCTION("""COMPUTED_VALUE"""),2.0)</f>
        <v>2</v>
      </c>
      <c r="BI79" s="16">
        <f>IFERROR(__xludf.DUMMYFUNCTION("""COMPUTED_VALUE"""),6.0)</f>
        <v>6</v>
      </c>
      <c r="BJ79" s="16">
        <f>IFERROR(__xludf.DUMMYFUNCTION("""COMPUTED_VALUE"""),4.0)</f>
        <v>4</v>
      </c>
      <c r="BK79" s="16">
        <f>IFERROR(__xludf.DUMMYFUNCTION("""COMPUTED_VALUE"""),5.0)</f>
        <v>5</v>
      </c>
      <c r="BL79" s="16">
        <f>IFERROR(__xludf.DUMMYFUNCTION("""COMPUTED_VALUE"""),5.0)</f>
        <v>5</v>
      </c>
      <c r="BM79" s="16">
        <f>IFERROR(__xludf.DUMMYFUNCTION("""COMPUTED_VALUE"""),0.0)</f>
        <v>0</v>
      </c>
      <c r="BN79" s="16">
        <f>IFERROR(__xludf.DUMMYFUNCTION("""COMPUTED_VALUE"""),0.0)</f>
        <v>0</v>
      </c>
      <c r="BO79" s="16">
        <f>IFERROR(__xludf.DUMMYFUNCTION("""COMPUTED_VALUE"""),0.0)</f>
        <v>0</v>
      </c>
      <c r="BP79" s="16">
        <f>IFERROR(__xludf.DUMMYFUNCTION("""COMPUTED_VALUE"""),0.0)</f>
        <v>0</v>
      </c>
      <c r="BQ79" s="16">
        <f>IFERROR(__xludf.DUMMYFUNCTION("""COMPUTED_VALUE"""),10.0)</f>
        <v>10</v>
      </c>
      <c r="BR79" s="16">
        <f>IFERROR(__xludf.DUMMYFUNCTION("""COMPUTED_VALUE"""),10.0)</f>
        <v>10</v>
      </c>
      <c r="BS79" s="16">
        <f>IFERROR(__xludf.DUMMYFUNCTION("""COMPUTED_VALUE"""),3.0)</f>
        <v>3</v>
      </c>
      <c r="BT79" s="16">
        <f>IFERROR(__xludf.DUMMYFUNCTION("""COMPUTED_VALUE"""),3.0)</f>
        <v>3</v>
      </c>
      <c r="BU79" s="16">
        <f>IFERROR(__xludf.DUMMYFUNCTION("""COMPUTED_VALUE"""),6.0)</f>
        <v>6</v>
      </c>
      <c r="BV79" s="16">
        <f>IFERROR(__xludf.DUMMYFUNCTION("""COMPUTED_VALUE"""),6.0)</f>
        <v>6</v>
      </c>
      <c r="BW79" s="16">
        <f>IFERROR(__xludf.DUMMYFUNCTION("""COMPUTED_VALUE"""),2.0)</f>
        <v>2</v>
      </c>
      <c r="BX79" s="16">
        <f>IFERROR(__xludf.DUMMYFUNCTION("""COMPUTED_VALUE"""),2.0)</f>
        <v>2</v>
      </c>
      <c r="BY79" s="16" t="str">
        <f>IFERROR(__xludf.DUMMYFUNCTION("""COMPUTED_VALUE"""),"S(4) R(3)")</f>
        <v>S(4) R(3)</v>
      </c>
      <c r="BZ79" s="16" t="str">
        <f>IFERROR(__xludf.DUMMYFUNCTION("""COMPUTED_VALUE"""),"S(4) R(3)")</f>
        <v>S(4) R(3)</v>
      </c>
      <c r="CA79" s="16" t="str">
        <f>IFERROR(__xludf.DUMMYFUNCTION("""COMPUTED_VALUE"""),"S(4)")</f>
        <v>S(4)</v>
      </c>
      <c r="CB79" s="16" t="str">
        <f>IFERROR(__xludf.DUMMYFUNCTION("""COMPUTED_VALUE"""),"R(3)")</f>
        <v>R(3)</v>
      </c>
      <c r="CC79" s="16"/>
      <c r="CD79" s="16">
        <f>IFERROR(__xludf.DUMMYFUNCTION("""COMPUTED_VALUE"""),4.0)</f>
        <v>4</v>
      </c>
      <c r="CE79" s="16">
        <f>IFERROR(__xludf.DUMMYFUNCTION("""COMPUTED_VALUE"""),3.0)</f>
        <v>3</v>
      </c>
      <c r="CF79" s="16"/>
      <c r="CG79" s="16" t="str">
        <f>IFERROR(__xludf.DUMMYFUNCTION("""COMPUTED_VALUE"""),"2-27")</f>
        <v>2-27</v>
      </c>
      <c r="CH79" s="16">
        <f>IFERROR(__xludf.DUMMYFUNCTION("""COMPUTED_VALUE"""),2.0)</f>
        <v>2</v>
      </c>
      <c r="CI79" s="16">
        <f>IFERROR(__xludf.DUMMYFUNCTION("""COMPUTED_VALUE"""),27.0)</f>
        <v>27</v>
      </c>
      <c r="CJ79" s="16">
        <f>IFERROR(__xludf.DUMMYFUNCTION("""COMPUTED_VALUE"""),0.0)</f>
        <v>0</v>
      </c>
      <c r="CK79" s="16">
        <f>IFERROR(__xludf.DUMMYFUNCTION("""COMPUTED_VALUE"""),20.0)</f>
        <v>20</v>
      </c>
      <c r="CL79" s="16" t="str">
        <f>IFERROR(__xludf.DUMMYFUNCTION("""COMPUTED_VALUE"""),"1WR-C")</f>
        <v>1WR-C</v>
      </c>
      <c r="CM79" s="16" t="str">
        <f>IFERROR(__xludf.DUMMYFUNCTION("""COMPUTED_VALUE"""),"E")</f>
        <v>E</v>
      </c>
      <c r="CN79" s="16">
        <f>IFERROR(__xludf.DUMMYFUNCTION("""COMPUTED_VALUE"""),10.0)</f>
        <v>10</v>
      </c>
      <c r="CO79" s="16" t="str">
        <f>IFERROR(__xludf.DUMMYFUNCTION("""COMPUTED_VALUE"""),"C")</f>
        <v>C</v>
      </c>
      <c r="CP79" s="16" t="str">
        <f>IFERROR(__xludf.DUMMYFUNCTION("""COMPUTED_VALUE"""),"5p30")</f>
        <v>5p30</v>
      </c>
      <c r="CQ79" s="16">
        <f>IFERROR(__xludf.DUMMYFUNCTION("""COMPUTED_VALUE"""),47.0)</f>
        <v>47</v>
      </c>
      <c r="CR79" s="16">
        <f>IFERROR(__xludf.DUMMYFUNCTION("""COMPUTED_VALUE"""),10.0)</f>
        <v>10</v>
      </c>
      <c r="CS79" s="16">
        <f>IFERROR(__xludf.DUMMYFUNCTION("""COMPUTED_VALUE"""),57.0)</f>
        <v>57</v>
      </c>
      <c r="CT79" s="16">
        <f>IFERROR(__xludf.DUMMYFUNCTION("""COMPUTED_VALUE"""),47.0)</f>
        <v>47</v>
      </c>
      <c r="CU79" s="16">
        <f>IFERROR(__xludf.DUMMYFUNCTION("""COMPUTED_VALUE"""),10.0)</f>
        <v>10</v>
      </c>
      <c r="CV79" s="179">
        <f>IFERROR(__xludf.DUMMYFUNCTION("""COMPUTED_VALUE"""),24.333333333333332)</f>
        <v>24.33333333</v>
      </c>
      <c r="CW79" s="179">
        <f>IFERROR(__xludf.DUMMYFUNCTION("""COMPUTED_VALUE"""),0.0)</f>
        <v>0</v>
      </c>
      <c r="CX79" s="179">
        <f>IFERROR(__xludf.DUMMYFUNCTION("""COMPUTED_VALUE"""),2.0)</f>
        <v>2</v>
      </c>
      <c r="CY79" s="16" t="str">
        <f>IFERROR(__xludf.DUMMYFUNCTION("""COMPUTED_VALUE"""),"SP")</f>
        <v>SP</v>
      </c>
      <c r="CZ79" s="16" t="str">
        <f>IFERROR(__xludf.DUMMYFUNCTION("""COMPUTED_VALUE"""),"RP")</f>
        <v>RP</v>
      </c>
      <c r="DA79" s="16"/>
      <c r="DB79" s="16"/>
      <c r="DC79" s="16"/>
      <c r="DD79" s="16"/>
      <c r="DE79" s="16"/>
      <c r="DF79" s="16"/>
      <c r="DG79" s="16"/>
      <c r="DH79" s="16"/>
      <c r="DI79" s="16"/>
      <c r="DJ79" s="16"/>
      <c r="DK79" s="16"/>
    </row>
    <row r="80">
      <c r="A80" s="16">
        <f>IFERROR(__xludf.DUMMYFUNCTION("""COMPUTED_VALUE"""),12622.0)</f>
        <v>12622</v>
      </c>
      <c r="B80" s="16" t="str">
        <f>IFERROR(__xludf.DUMMYFUNCTION("""COMPUTED_VALUE"""),"Bryan Abreu")</f>
        <v>Bryan Abreu</v>
      </c>
      <c r="C80" s="153">
        <f>IFERROR(__xludf.DUMMYFUNCTION("""COMPUTED_VALUE"""),1.04)</f>
        <v>1.04</v>
      </c>
      <c r="D80" s="16"/>
      <c r="E80" s="16" t="str">
        <f>IFERROR(__xludf.DUMMYFUNCTION("""COMPUTED_VALUE"""),"R")</f>
        <v>R</v>
      </c>
      <c r="F80" s="16">
        <f>IFERROR(__xludf.DUMMYFUNCTION("""COMPUTED_VALUE"""),78.0)</f>
        <v>78</v>
      </c>
      <c r="G80" s="16">
        <f>IFERROR(__xludf.DUMMYFUNCTION("""COMPUTED_VALUE"""),34.0)</f>
        <v>34</v>
      </c>
      <c r="H80" s="16">
        <f>IFERROR(__xludf.DUMMYFUNCTION("""COMPUTED_VALUE"""),53.0)</f>
        <v>53</v>
      </c>
      <c r="I80" s="16">
        <f>IFERROR(__xludf.DUMMYFUNCTION("""COMPUTED_VALUE"""),1.0)</f>
        <v>1</v>
      </c>
      <c r="J80" s="16">
        <f>IFERROR(__xludf.DUMMYFUNCTION("""COMPUTED_VALUE"""),3.0)</f>
        <v>3</v>
      </c>
      <c r="K80" s="16">
        <f>IFERROR(__xludf.DUMMYFUNCTION("""COMPUTED_VALUE"""),3.0)</f>
        <v>3</v>
      </c>
      <c r="L80" s="16">
        <f>IFERROR(__xludf.DUMMYFUNCTION("""COMPUTED_VALUE"""),9.0)</f>
        <v>9</v>
      </c>
      <c r="M80" s="16">
        <f>IFERROR(__xludf.DUMMYFUNCTION("""COMPUTED_VALUE"""),15.0)</f>
        <v>15</v>
      </c>
      <c r="N80" s="16">
        <f>IFERROR(__xludf.DUMMYFUNCTION("""COMPUTED_VALUE"""),10.0)</f>
        <v>10</v>
      </c>
      <c r="O80" s="16">
        <f>IFERROR(__xludf.DUMMYFUNCTION("""COMPUTED_VALUE"""),-2.0)</f>
        <v>-2</v>
      </c>
      <c r="P80" s="16">
        <f>IFERROR(__xludf.DUMMYFUNCTION("""COMPUTED_VALUE"""),-1.0)</f>
        <v>-1</v>
      </c>
      <c r="Q80" s="16">
        <f>IFERROR(__xludf.DUMMYFUNCTION("""COMPUTED_VALUE"""),-2.0)</f>
        <v>-2</v>
      </c>
      <c r="R80" s="16">
        <f>IFERROR(__xludf.DUMMYFUNCTION("""COMPUTED_VALUE"""),-1.0)</f>
        <v>-1</v>
      </c>
      <c r="S80" s="16">
        <f>IFERROR(__xludf.DUMMYFUNCTION("""COMPUTED_VALUE"""),13.8)</f>
        <v>13.8</v>
      </c>
      <c r="T80" s="16">
        <f>IFERROR(__xludf.DUMMYFUNCTION("""COMPUTED_VALUE"""),3.2)</f>
        <v>3.2</v>
      </c>
      <c r="U80" s="16">
        <f>IFERROR(__xludf.DUMMYFUNCTION("""COMPUTED_VALUE"""),0.0)</f>
        <v>0</v>
      </c>
      <c r="V80" s="16">
        <f>IFERROR(__xludf.DUMMYFUNCTION("""COMPUTED_VALUE"""),2.0)</f>
        <v>2</v>
      </c>
      <c r="W80" s="16">
        <f>IFERROR(__xludf.DUMMYFUNCTION("""COMPUTED_VALUE"""),0.0)</f>
        <v>0</v>
      </c>
      <c r="X80" s="16">
        <f>IFERROR(__xludf.DUMMYFUNCTION("""COMPUTED_VALUE"""),4.0)</f>
        <v>4</v>
      </c>
      <c r="Y80" s="16">
        <f>IFERROR(__xludf.DUMMYFUNCTION("""COMPUTED_VALUE"""),28.8)</f>
        <v>28.8</v>
      </c>
      <c r="Z80" s="16">
        <f>IFERROR(__xludf.DUMMYFUNCTION("""COMPUTED_VALUE"""),13.1)</f>
        <v>13.1</v>
      </c>
      <c r="AA80" s="16">
        <f>IFERROR(__xludf.DUMMYFUNCTION("""COMPUTED_VALUE"""),0.0)</f>
        <v>0</v>
      </c>
      <c r="AB80" s="16">
        <f>IFERROR(__xludf.DUMMYFUNCTION("""COMPUTED_VALUE"""),2.0)</f>
        <v>2</v>
      </c>
      <c r="AC80" s="16">
        <f>IFERROR(__xludf.DUMMYFUNCTION("""COMPUTED_VALUE"""),0.0)</f>
        <v>0</v>
      </c>
      <c r="AD80" s="16">
        <f>IFERROR(__xludf.DUMMYFUNCTION("""COMPUTED_VALUE"""),10.0)</f>
        <v>10</v>
      </c>
      <c r="AE80" s="16">
        <f>IFERROR(__xludf.DUMMYFUNCTION("""COMPUTED_VALUE"""),25.1)</f>
        <v>25.1</v>
      </c>
      <c r="AF80" s="16">
        <f>IFERROR(__xludf.DUMMYFUNCTION("""COMPUTED_VALUE"""),9.4)</f>
        <v>9.4</v>
      </c>
      <c r="AG80" s="16">
        <f>IFERROR(__xludf.DUMMYFUNCTION("""COMPUTED_VALUE"""),0.0)</f>
        <v>0</v>
      </c>
      <c r="AH80" s="16">
        <f>IFERROR(__xludf.DUMMYFUNCTION("""COMPUTED_VALUE"""),2.0)</f>
        <v>2</v>
      </c>
      <c r="AI80" s="16">
        <f>IFERROR(__xludf.DUMMYFUNCTION("""COMPUTED_VALUE"""),0.0)</f>
        <v>0</v>
      </c>
      <c r="AJ80" s="16">
        <f>IFERROR(__xludf.DUMMYFUNCTION("""COMPUTED_VALUE"""),4.0)</f>
        <v>4</v>
      </c>
      <c r="AK80" s="16">
        <f>IFERROR(__xludf.DUMMYFUNCTION("""COMPUTED_VALUE"""),12.0)</f>
        <v>12</v>
      </c>
      <c r="AL80" s="16">
        <f>IFERROR(__xludf.DUMMYFUNCTION("""COMPUTED_VALUE"""),1.8000000000000003)</f>
        <v>1.8</v>
      </c>
      <c r="AM80" s="16">
        <f>IFERROR(__xludf.DUMMYFUNCTION("""COMPUTED_VALUE"""),0.0)</f>
        <v>0</v>
      </c>
      <c r="AN80" s="16">
        <f>IFERROR(__xludf.DUMMYFUNCTION("""COMPUTED_VALUE"""),2.0)</f>
        <v>2</v>
      </c>
      <c r="AO80" s="16">
        <f>IFERROR(__xludf.DUMMYFUNCTION("""COMPUTED_VALUE"""),0.0)</f>
        <v>0</v>
      </c>
      <c r="AP80" s="16">
        <f>IFERROR(__xludf.DUMMYFUNCTION("""COMPUTED_VALUE"""),2.0)</f>
        <v>2</v>
      </c>
      <c r="AQ80" s="16">
        <f>IFERROR(__xludf.DUMMYFUNCTION("""COMPUTED_VALUE"""),17.900000000000002)</f>
        <v>17.9</v>
      </c>
      <c r="AR80" s="16">
        <f>IFERROR(__xludf.DUMMYFUNCTION("""COMPUTED_VALUE"""),3.8000000000000007)</f>
        <v>3.8</v>
      </c>
      <c r="AS80" s="16">
        <f>IFERROR(__xludf.DUMMYFUNCTION("""COMPUTED_VALUE"""),0.0)</f>
        <v>0</v>
      </c>
      <c r="AT80" s="16">
        <f>IFERROR(__xludf.DUMMYFUNCTION("""COMPUTED_VALUE"""),2.0)</f>
        <v>2</v>
      </c>
      <c r="AU80" s="16">
        <f>IFERROR(__xludf.DUMMYFUNCTION("""COMPUTED_VALUE"""),0.0)</f>
        <v>0</v>
      </c>
      <c r="AV80" s="16">
        <f>IFERROR(__xludf.DUMMYFUNCTION("""COMPUTED_VALUE"""),4.0)</f>
        <v>4</v>
      </c>
      <c r="AW80" s="16">
        <f>IFERROR(__xludf.DUMMYFUNCTION("""COMPUTED_VALUE"""),1.8)</f>
        <v>1.8</v>
      </c>
      <c r="AX80" s="16">
        <f>IFERROR(__xludf.DUMMYFUNCTION("""COMPUTED_VALUE"""),1.4)</f>
        <v>1.4</v>
      </c>
      <c r="AY80" s="16">
        <f>IFERROR(__xludf.DUMMYFUNCTION("""COMPUTED_VALUE"""),0.0)</f>
        <v>0</v>
      </c>
      <c r="AZ80" s="16">
        <f>IFERROR(__xludf.DUMMYFUNCTION("""COMPUTED_VALUE"""),1.0)</f>
        <v>1</v>
      </c>
      <c r="BA80" s="16">
        <f>IFERROR(__xludf.DUMMYFUNCTION("""COMPUTED_VALUE"""),0.0)</f>
        <v>0</v>
      </c>
      <c r="BB80" s="16">
        <f>IFERROR(__xludf.DUMMYFUNCTION("""COMPUTED_VALUE"""),5.0)</f>
        <v>5</v>
      </c>
      <c r="BC80" s="16">
        <f>IFERROR(__xludf.DUMMYFUNCTION("""COMPUTED_VALUE"""),3.0)</f>
        <v>3</v>
      </c>
      <c r="BD80" s="16">
        <f>IFERROR(__xludf.DUMMYFUNCTION("""COMPUTED_VALUE"""),2.0)</f>
        <v>2</v>
      </c>
      <c r="BE80" s="16">
        <f>IFERROR(__xludf.DUMMYFUNCTION("""COMPUTED_VALUE"""),3.0)</f>
        <v>3</v>
      </c>
      <c r="BF80" s="16">
        <f>IFERROR(__xludf.DUMMYFUNCTION("""COMPUTED_VALUE"""),2.0)</f>
        <v>2</v>
      </c>
      <c r="BG80" s="16">
        <f>IFERROR(__xludf.DUMMYFUNCTION("""COMPUTED_VALUE"""),0.0)</f>
        <v>0</v>
      </c>
      <c r="BH80" s="16">
        <f>IFERROR(__xludf.DUMMYFUNCTION("""COMPUTED_VALUE"""),1.0)</f>
        <v>1</v>
      </c>
      <c r="BI80" s="16">
        <f>IFERROR(__xludf.DUMMYFUNCTION("""COMPUTED_VALUE"""),0.0)</f>
        <v>0</v>
      </c>
      <c r="BJ80" s="16">
        <f>IFERROR(__xludf.DUMMYFUNCTION("""COMPUTED_VALUE"""),2.0)</f>
        <v>2</v>
      </c>
      <c r="BK80" s="16">
        <f>IFERROR(__xludf.DUMMYFUNCTION("""COMPUTED_VALUE"""),5.0)</f>
        <v>5</v>
      </c>
      <c r="BL80" s="16">
        <f>IFERROR(__xludf.DUMMYFUNCTION("""COMPUTED_VALUE"""),5.0)</f>
        <v>5</v>
      </c>
      <c r="BM80" s="16">
        <f>IFERROR(__xludf.DUMMYFUNCTION("""COMPUTED_VALUE"""),0.0)</f>
        <v>0</v>
      </c>
      <c r="BN80" s="16">
        <f>IFERROR(__xludf.DUMMYFUNCTION("""COMPUTED_VALUE"""),0.0)</f>
        <v>0</v>
      </c>
      <c r="BO80" s="16">
        <f>IFERROR(__xludf.DUMMYFUNCTION("""COMPUTED_VALUE"""),0.0)</f>
        <v>0</v>
      </c>
      <c r="BP80" s="16">
        <f>IFERROR(__xludf.DUMMYFUNCTION("""COMPUTED_VALUE"""),0.0)</f>
        <v>0</v>
      </c>
      <c r="BQ80" s="16">
        <f>IFERROR(__xludf.DUMMYFUNCTION("""COMPUTED_VALUE"""),6.0)</f>
        <v>6</v>
      </c>
      <c r="BR80" s="16">
        <f>IFERROR(__xludf.DUMMYFUNCTION("""COMPUTED_VALUE"""),4.0)</f>
        <v>4</v>
      </c>
      <c r="BS80" s="16">
        <f>IFERROR(__xludf.DUMMYFUNCTION("""COMPUTED_VALUE"""),1.0)</f>
        <v>1</v>
      </c>
      <c r="BT80" s="16">
        <f>IFERROR(__xludf.DUMMYFUNCTION("""COMPUTED_VALUE"""),-1.0)</f>
        <v>-1</v>
      </c>
      <c r="BU80" s="16">
        <f>IFERROR(__xludf.DUMMYFUNCTION("""COMPUTED_VALUE"""),2.0)</f>
        <v>2</v>
      </c>
      <c r="BV80" s="16">
        <f>IFERROR(__xludf.DUMMYFUNCTION("""COMPUTED_VALUE"""),-2.0)</f>
        <v>-2</v>
      </c>
      <c r="BW80" s="16">
        <f>IFERROR(__xludf.DUMMYFUNCTION("""COMPUTED_VALUE"""),3.0)</f>
        <v>3</v>
      </c>
      <c r="BX80" s="16">
        <f>IFERROR(__xludf.DUMMYFUNCTION("""COMPUTED_VALUE"""),3.0)</f>
        <v>3</v>
      </c>
      <c r="BY80" s="16" t="str">
        <f>IFERROR(__xludf.DUMMYFUNCTION("""COMPUTED_VALUE"""),"R(1) C(0)")</f>
        <v>R(1) C(0)</v>
      </c>
      <c r="BZ80" s="16" t="str">
        <f>IFERROR(__xludf.DUMMYFUNCTION("""COMPUTED_VALUE"""),"R(1) C(0)")</f>
        <v>R(1) C(0)</v>
      </c>
      <c r="CA80" s="16" t="str">
        <f>IFERROR(__xludf.DUMMYFUNCTION("""COMPUTED_VALUE"""),"R(1)")</f>
        <v>R(1)</v>
      </c>
      <c r="CB80" s="16" t="str">
        <f>IFERROR(__xludf.DUMMYFUNCTION("""COMPUTED_VALUE"""),"C(0)")</f>
        <v>C(0)</v>
      </c>
      <c r="CC80" s="16"/>
      <c r="CD80" s="16"/>
      <c r="CE80" s="16">
        <f>IFERROR(__xludf.DUMMYFUNCTION("""COMPUTED_VALUE"""),1.0)</f>
        <v>1</v>
      </c>
      <c r="CF80" s="16">
        <f>IFERROR(__xludf.DUMMYFUNCTION("""COMPUTED_VALUE"""),0.0)</f>
        <v>0</v>
      </c>
      <c r="CG80" s="16" t="str">
        <f>IFERROR(__xludf.DUMMYFUNCTION("""COMPUTED_VALUE"""),"5-0")</f>
        <v>5-0</v>
      </c>
      <c r="CH80" s="16">
        <f>IFERROR(__xludf.DUMMYFUNCTION("""COMPUTED_VALUE"""),5.0)</f>
        <v>5</v>
      </c>
      <c r="CI80" s="16">
        <f>IFERROR(__xludf.DUMMYFUNCTION("""COMPUTED_VALUE"""),0.0)</f>
        <v>0</v>
      </c>
      <c r="CJ80" s="16">
        <f>IFERROR(__xludf.DUMMYFUNCTION("""COMPUTED_VALUE"""),4.0)</f>
        <v>4</v>
      </c>
      <c r="CK80" s="16">
        <f>IFERROR(__xludf.DUMMYFUNCTION("""COMPUTED_VALUE"""),11.0)</f>
        <v>11</v>
      </c>
      <c r="CL80" s="16" t="str">
        <f>IFERROR(__xludf.DUMMYFUNCTION("""COMPUTED_VALUE"""),"1WR-C")</f>
        <v>1WR-C</v>
      </c>
      <c r="CM80" s="16" t="str">
        <f>IFERROR(__xludf.DUMMYFUNCTION("""COMPUTED_VALUE"""),"E")</f>
        <v>E</v>
      </c>
      <c r="CN80" s="16">
        <f>IFERROR(__xludf.DUMMYFUNCTION("""COMPUTED_VALUE"""),10.0)</f>
        <v>10</v>
      </c>
      <c r="CO80" s="16" t="str">
        <f>IFERROR(__xludf.DUMMYFUNCTION("""COMPUTED_VALUE"""),"C")</f>
        <v>C</v>
      </c>
      <c r="CP80" s="16" t="str">
        <f>IFERROR(__xludf.DUMMYFUNCTION("""COMPUTED_VALUE"""),"0p72")</f>
        <v>0p72</v>
      </c>
      <c r="CQ80" s="16">
        <f>IFERROR(__xludf.DUMMYFUNCTION("""COMPUTED_VALUE"""),3.0)</f>
        <v>3</v>
      </c>
      <c r="CR80" s="16">
        <f>IFERROR(__xludf.DUMMYFUNCTION("""COMPUTED_VALUE"""),37.0)</f>
        <v>37</v>
      </c>
      <c r="CS80" s="16">
        <f>IFERROR(__xludf.DUMMYFUNCTION("""COMPUTED_VALUE"""),40.0)</f>
        <v>40</v>
      </c>
      <c r="CT80" s="16">
        <f>IFERROR(__xludf.DUMMYFUNCTION("""COMPUTED_VALUE"""),3.0)</f>
        <v>3</v>
      </c>
      <c r="CU80" s="16">
        <f>IFERROR(__xludf.DUMMYFUNCTION("""COMPUTED_VALUE"""),37.0)</f>
        <v>37</v>
      </c>
      <c r="CV80" s="179">
        <f>IFERROR(__xludf.DUMMYFUNCTION("""COMPUTED_VALUE"""),23.333333333333336)</f>
        <v>23.33333333</v>
      </c>
      <c r="CW80" s="179">
        <f>IFERROR(__xludf.DUMMYFUNCTION("""COMPUTED_VALUE"""),5.0)</f>
        <v>5</v>
      </c>
      <c r="CX80" s="179">
        <f>IFERROR(__xludf.DUMMYFUNCTION("""COMPUTED_VALUE"""),4.0)</f>
        <v>4</v>
      </c>
      <c r="CY80" s="16" t="str">
        <f>IFERROR(__xludf.DUMMYFUNCTION("""COMPUTED_VALUE"""),"RP")</f>
        <v>RP</v>
      </c>
      <c r="CZ80" s="16" t="str">
        <f>IFERROR(__xludf.DUMMYFUNCTION("""COMPUTED_VALUE"""),"CP")</f>
        <v>CP</v>
      </c>
      <c r="DA80" s="16"/>
      <c r="DB80" s="16"/>
      <c r="DC80" s="16"/>
      <c r="DD80" s="16"/>
      <c r="DE80" s="16"/>
      <c r="DF80" s="16"/>
      <c r="DG80" s="16"/>
      <c r="DH80" s="16"/>
      <c r="DI80" s="16"/>
      <c r="DJ80" s="16"/>
      <c r="DK80" s="16"/>
    </row>
    <row r="81">
      <c r="A81" s="16">
        <f>IFERROR(__xludf.DUMMYFUNCTION("""COMPUTED_VALUE"""),12874.0)</f>
        <v>12874</v>
      </c>
      <c r="B81" s="16" t="str">
        <f>IFERROR(__xludf.DUMMYFUNCTION("""COMPUTED_VALUE"""),"Huascar Brazoban")</f>
        <v>Huascar Brazoban</v>
      </c>
      <c r="C81" s="153">
        <f>IFERROR(__xludf.DUMMYFUNCTION("""COMPUTED_VALUE"""),0.42)</f>
        <v>0.42</v>
      </c>
      <c r="D81" s="16"/>
      <c r="E81" s="16" t="str">
        <f>IFERROR(__xludf.DUMMYFUNCTION("""COMPUTED_VALUE"""),"R")</f>
        <v>R</v>
      </c>
      <c r="F81" s="16">
        <f>IFERROR(__xludf.DUMMYFUNCTION("""COMPUTED_VALUE"""),52.0)</f>
        <v>52</v>
      </c>
      <c r="G81" s="16">
        <f>IFERROR(__xludf.DUMMYFUNCTION("""COMPUTED_VALUE"""),27.0)</f>
        <v>27</v>
      </c>
      <c r="H81" s="16">
        <f>IFERROR(__xludf.DUMMYFUNCTION("""COMPUTED_VALUE"""),26.0)</f>
        <v>26</v>
      </c>
      <c r="I81" s="16">
        <f>IFERROR(__xludf.DUMMYFUNCTION("""COMPUTED_VALUE"""),0.0)</f>
        <v>0</v>
      </c>
      <c r="J81" s="16">
        <f>IFERROR(__xludf.DUMMYFUNCTION("""COMPUTED_VALUE"""),0.0)</f>
        <v>0</v>
      </c>
      <c r="K81" s="16">
        <f>IFERROR(__xludf.DUMMYFUNCTION("""COMPUTED_VALUE"""),0.0)</f>
        <v>0</v>
      </c>
      <c r="L81" s="16">
        <f>IFERROR(__xludf.DUMMYFUNCTION("""COMPUTED_VALUE"""),0.0)</f>
        <v>0</v>
      </c>
      <c r="M81" s="16">
        <f>IFERROR(__xludf.DUMMYFUNCTION("""COMPUTED_VALUE"""),20.0)</f>
        <v>20</v>
      </c>
      <c r="N81" s="16">
        <f>IFERROR(__xludf.DUMMYFUNCTION("""COMPUTED_VALUE"""),14.0)</f>
        <v>14</v>
      </c>
      <c r="O81" s="16">
        <f>IFERROR(__xludf.DUMMYFUNCTION("""COMPUTED_VALUE"""),-3.0)</f>
        <v>-3</v>
      </c>
      <c r="P81" s="16">
        <f>IFERROR(__xludf.DUMMYFUNCTION("""COMPUTED_VALUE"""),-2.0)</f>
        <v>-2</v>
      </c>
      <c r="Q81" s="16">
        <f>IFERROR(__xludf.DUMMYFUNCTION("""COMPUTED_VALUE"""),-3.0)</f>
        <v>-3</v>
      </c>
      <c r="R81" s="16">
        <f>IFERROR(__xludf.DUMMYFUNCTION("""COMPUTED_VALUE"""),-2.0)</f>
        <v>-2</v>
      </c>
      <c r="S81" s="16">
        <f>IFERROR(__xludf.DUMMYFUNCTION("""COMPUTED_VALUE"""),0.0)</f>
        <v>0</v>
      </c>
      <c r="T81" s="16">
        <f>IFERROR(__xludf.DUMMYFUNCTION("""COMPUTED_VALUE"""),14.9)</f>
        <v>14.9</v>
      </c>
      <c r="U81" s="16">
        <f>IFERROR(__xludf.DUMMYFUNCTION("""COMPUTED_VALUE"""),3.0)</f>
        <v>3</v>
      </c>
      <c r="V81" s="16">
        <f>IFERROR(__xludf.DUMMYFUNCTION("""COMPUTED_VALUE"""),0.0)</f>
        <v>0</v>
      </c>
      <c r="W81" s="16">
        <f>IFERROR(__xludf.DUMMYFUNCTION("""COMPUTED_VALUE"""),6.0)</f>
        <v>6</v>
      </c>
      <c r="X81" s="16">
        <f>IFERROR(__xludf.DUMMYFUNCTION("""COMPUTED_VALUE"""),0.0)</f>
        <v>0</v>
      </c>
      <c r="Y81" s="16">
        <f>IFERROR(__xludf.DUMMYFUNCTION("""COMPUTED_VALUE"""),20.0)</f>
        <v>20</v>
      </c>
      <c r="Z81" s="16">
        <f>IFERROR(__xludf.DUMMYFUNCTION("""COMPUTED_VALUE"""),29.0)</f>
        <v>29</v>
      </c>
      <c r="AA81" s="16">
        <f>IFERROR(__xludf.DUMMYFUNCTION("""COMPUTED_VALUE"""),1.0)</f>
        <v>1</v>
      </c>
      <c r="AB81" s="16">
        <f>IFERROR(__xludf.DUMMYFUNCTION("""COMPUTED_VALUE"""),-1.0)</f>
        <v>-1</v>
      </c>
      <c r="AC81" s="16">
        <f>IFERROR(__xludf.DUMMYFUNCTION("""COMPUTED_VALUE"""),5.0)</f>
        <v>5</v>
      </c>
      <c r="AD81" s="16">
        <f>IFERROR(__xludf.DUMMYFUNCTION("""COMPUTED_VALUE"""),-5.0)</f>
        <v>-5</v>
      </c>
      <c r="AE81" s="16">
        <f>IFERROR(__xludf.DUMMYFUNCTION("""COMPUTED_VALUE"""),0.0)</f>
        <v>0</v>
      </c>
      <c r="AF81" s="16">
        <f>IFERROR(__xludf.DUMMYFUNCTION("""COMPUTED_VALUE"""),25.4)</f>
        <v>25.4</v>
      </c>
      <c r="AG81" s="16">
        <f>IFERROR(__xludf.DUMMYFUNCTION("""COMPUTED_VALUE"""),3.0)</f>
        <v>3</v>
      </c>
      <c r="AH81" s="16">
        <f>IFERROR(__xludf.DUMMYFUNCTION("""COMPUTED_VALUE"""),0.0)</f>
        <v>0</v>
      </c>
      <c r="AI81" s="16">
        <f>IFERROR(__xludf.DUMMYFUNCTION("""COMPUTED_VALUE"""),6.0)</f>
        <v>6</v>
      </c>
      <c r="AJ81" s="16">
        <f>IFERROR(__xludf.DUMMYFUNCTION("""COMPUTED_VALUE"""),0.0)</f>
        <v>0</v>
      </c>
      <c r="AK81" s="16">
        <f>IFERROR(__xludf.DUMMYFUNCTION("""COMPUTED_VALUE"""),0.0)</f>
        <v>0</v>
      </c>
      <c r="AL81" s="16">
        <f>IFERROR(__xludf.DUMMYFUNCTION("""COMPUTED_VALUE"""),14.9)</f>
        <v>14.9</v>
      </c>
      <c r="AM81" s="16">
        <f>IFERROR(__xludf.DUMMYFUNCTION("""COMPUTED_VALUE"""),3.0)</f>
        <v>3</v>
      </c>
      <c r="AN81" s="16">
        <f>IFERROR(__xludf.DUMMYFUNCTION("""COMPUTED_VALUE"""),0.0)</f>
        <v>0</v>
      </c>
      <c r="AO81" s="16">
        <f>IFERROR(__xludf.DUMMYFUNCTION("""COMPUTED_VALUE"""),3.0)</f>
        <v>3</v>
      </c>
      <c r="AP81" s="16">
        <f>IFERROR(__xludf.DUMMYFUNCTION("""COMPUTED_VALUE"""),0.0)</f>
        <v>0</v>
      </c>
      <c r="AQ81" s="16">
        <f>IFERROR(__xludf.DUMMYFUNCTION("""COMPUTED_VALUE"""),0.0)</f>
        <v>0</v>
      </c>
      <c r="AR81" s="16">
        <f>IFERROR(__xludf.DUMMYFUNCTION("""COMPUTED_VALUE"""),25.4)</f>
        <v>25.4</v>
      </c>
      <c r="AS81" s="16">
        <f>IFERROR(__xludf.DUMMYFUNCTION("""COMPUTED_VALUE"""),3.0)</f>
        <v>3</v>
      </c>
      <c r="AT81" s="16">
        <f>IFERROR(__xludf.DUMMYFUNCTION("""COMPUTED_VALUE"""),-1.0)</f>
        <v>-1</v>
      </c>
      <c r="AU81" s="16">
        <f>IFERROR(__xludf.DUMMYFUNCTION("""COMPUTED_VALUE"""),6.0)</f>
        <v>6</v>
      </c>
      <c r="AV81" s="16">
        <f>IFERROR(__xludf.DUMMYFUNCTION("""COMPUTED_VALUE"""),-2.0)</f>
        <v>-2</v>
      </c>
      <c r="AW81" s="16">
        <f>IFERROR(__xludf.DUMMYFUNCTION("""COMPUTED_VALUE"""),0.0)</f>
        <v>0</v>
      </c>
      <c r="AX81" s="16">
        <f>IFERROR(__xludf.DUMMYFUNCTION("""COMPUTED_VALUE"""),0.0)</f>
        <v>0</v>
      </c>
      <c r="AY81" s="16">
        <f>IFERROR(__xludf.DUMMYFUNCTION("""COMPUTED_VALUE"""),2.0)</f>
        <v>2</v>
      </c>
      <c r="AZ81" s="16">
        <f>IFERROR(__xludf.DUMMYFUNCTION("""COMPUTED_VALUE"""),2.0)</f>
        <v>2</v>
      </c>
      <c r="BA81" s="16">
        <f>IFERROR(__xludf.DUMMYFUNCTION("""COMPUTED_VALUE"""),10.0)</f>
        <v>10</v>
      </c>
      <c r="BB81" s="16">
        <f>IFERROR(__xludf.DUMMYFUNCTION("""COMPUTED_VALUE"""),10.0)</f>
        <v>10</v>
      </c>
      <c r="BC81" s="16"/>
      <c r="BD81" s="16">
        <f>IFERROR(__xludf.DUMMYFUNCTION("""COMPUTED_VALUE"""),0.0)</f>
        <v>0</v>
      </c>
      <c r="BE81" s="16">
        <f>IFERROR(__xludf.DUMMYFUNCTION("""COMPUTED_VALUE"""),0.0)</f>
        <v>0</v>
      </c>
      <c r="BF81" s="16">
        <f>IFERROR(__xludf.DUMMYFUNCTION("""COMPUTED_VALUE"""),0.0)</f>
        <v>0</v>
      </c>
      <c r="BG81" s="16">
        <f>IFERROR(__xludf.DUMMYFUNCTION("""COMPUTED_VALUE"""),3.0)</f>
        <v>3</v>
      </c>
      <c r="BH81" s="16">
        <f>IFERROR(__xludf.DUMMYFUNCTION("""COMPUTED_VALUE"""),2.0)</f>
        <v>2</v>
      </c>
      <c r="BI81" s="16">
        <f>IFERROR(__xludf.DUMMYFUNCTION("""COMPUTED_VALUE"""),6.0)</f>
        <v>6</v>
      </c>
      <c r="BJ81" s="16">
        <f>IFERROR(__xludf.DUMMYFUNCTION("""COMPUTED_VALUE"""),4.0)</f>
        <v>4</v>
      </c>
      <c r="BK81" s="16">
        <f>IFERROR(__xludf.DUMMYFUNCTION("""COMPUTED_VALUE"""),0.0)</f>
        <v>0</v>
      </c>
      <c r="BL81" s="16">
        <f>IFERROR(__xludf.DUMMYFUNCTION("""COMPUTED_VALUE"""),5.0)</f>
        <v>5</v>
      </c>
      <c r="BM81" s="16">
        <f>IFERROR(__xludf.DUMMYFUNCTION("""COMPUTED_VALUE"""),1.0)</f>
        <v>1</v>
      </c>
      <c r="BN81" s="16">
        <f>IFERROR(__xludf.DUMMYFUNCTION("""COMPUTED_VALUE"""),0.0)</f>
        <v>0</v>
      </c>
      <c r="BO81" s="16">
        <f>IFERROR(__xludf.DUMMYFUNCTION("""COMPUTED_VALUE"""),1.0)</f>
        <v>1</v>
      </c>
      <c r="BP81" s="16">
        <f>IFERROR(__xludf.DUMMYFUNCTION("""COMPUTED_VALUE"""),0.0)</f>
        <v>0</v>
      </c>
      <c r="BQ81" s="16">
        <f>IFERROR(__xludf.DUMMYFUNCTION("""COMPUTED_VALUE"""),6.0)</f>
        <v>6</v>
      </c>
      <c r="BR81" s="16">
        <f>IFERROR(__xludf.DUMMYFUNCTION("""COMPUTED_VALUE"""),5.0)</f>
        <v>5</v>
      </c>
      <c r="BS81" s="16">
        <f>IFERROR(__xludf.DUMMYFUNCTION("""COMPUTED_VALUE"""),1.0)</f>
        <v>1</v>
      </c>
      <c r="BT81" s="16">
        <f>IFERROR(__xludf.DUMMYFUNCTION("""COMPUTED_VALUE"""),0.0)</f>
        <v>0</v>
      </c>
      <c r="BU81" s="16">
        <f>IFERROR(__xludf.DUMMYFUNCTION("""COMPUTED_VALUE"""),2.0)</f>
        <v>2</v>
      </c>
      <c r="BV81" s="16">
        <f>IFERROR(__xludf.DUMMYFUNCTION("""COMPUTED_VALUE"""),0.0)</f>
        <v>0</v>
      </c>
      <c r="BW81" s="16">
        <f>IFERROR(__xludf.DUMMYFUNCTION("""COMPUTED_VALUE"""),0.0)</f>
        <v>0</v>
      </c>
      <c r="BX81" s="16">
        <f>IFERROR(__xludf.DUMMYFUNCTION("""COMPUTED_VALUE"""),0.0)</f>
        <v>0</v>
      </c>
      <c r="BY81" s="16" t="str">
        <f>IFERROR(__xludf.DUMMYFUNCTION("""COMPUTED_VALUE"""),"R(2)")</f>
        <v>R(2)</v>
      </c>
      <c r="BZ81" s="16" t="str">
        <f>IFERROR(__xludf.DUMMYFUNCTION("""COMPUTED_VALUE"""),"R(2)")</f>
        <v>R(2)</v>
      </c>
      <c r="CA81" s="16" t="str">
        <f>IFERROR(__xludf.DUMMYFUNCTION("""COMPUTED_VALUE"""),"R(2)")</f>
        <v>R(2)</v>
      </c>
      <c r="CB81" s="16"/>
      <c r="CC81" s="16"/>
      <c r="CD81" s="16"/>
      <c r="CE81" s="16">
        <f>IFERROR(__xludf.DUMMYFUNCTION("""COMPUTED_VALUE"""),2.0)</f>
        <v>2</v>
      </c>
      <c r="CF81" s="16"/>
      <c r="CG81" s="16" t="str">
        <f>IFERROR(__xludf.DUMMYFUNCTION("""COMPUTED_VALUE"""),"3-28")</f>
        <v>3-28</v>
      </c>
      <c r="CH81" s="16">
        <f>IFERROR(__xludf.DUMMYFUNCTION("""COMPUTED_VALUE"""),3.0)</f>
        <v>3</v>
      </c>
      <c r="CI81" s="16">
        <f>IFERROR(__xludf.DUMMYFUNCTION("""COMPUTED_VALUE"""),28.0)</f>
        <v>28</v>
      </c>
      <c r="CJ81" s="16">
        <f>IFERROR(__xludf.DUMMYFUNCTION("""COMPUTED_VALUE"""),0.0)</f>
        <v>0</v>
      </c>
      <c r="CK81" s="16">
        <f>IFERROR(__xludf.DUMMYFUNCTION("""COMPUTED_VALUE"""),17.0)</f>
        <v>17</v>
      </c>
      <c r="CL81" s="16" t="str">
        <f>IFERROR(__xludf.DUMMYFUNCTION("""COMPUTED_VALUE"""),"1WR-C")</f>
        <v>1WR-C</v>
      </c>
      <c r="CM81" s="16" t="str">
        <f>IFERROR(__xludf.DUMMYFUNCTION("""COMPUTED_VALUE"""),"E")</f>
        <v>E</v>
      </c>
      <c r="CN81" s="16">
        <f>IFERROR(__xludf.DUMMYFUNCTION("""COMPUTED_VALUE"""),10.0)</f>
        <v>10</v>
      </c>
      <c r="CO81" s="16" t="str">
        <f>IFERROR(__xludf.DUMMYFUNCTION("""COMPUTED_VALUE"""),"C")</f>
        <v>C</v>
      </c>
      <c r="CP81" s="16" t="str">
        <f>IFERROR(__xludf.DUMMYFUNCTION("""COMPUTED_VALUE"""),"1p30")</f>
        <v>1p30</v>
      </c>
      <c r="CQ81" s="16">
        <f>IFERROR(__xludf.DUMMYFUNCTION("""COMPUTED_VALUE"""),42.0)</f>
        <v>42</v>
      </c>
      <c r="CR81" s="16">
        <f>IFERROR(__xludf.DUMMYFUNCTION("""COMPUTED_VALUE"""),5.0)</f>
        <v>5</v>
      </c>
      <c r="CS81" s="16">
        <f>IFERROR(__xludf.DUMMYFUNCTION("""COMPUTED_VALUE"""),47.0)</f>
        <v>47</v>
      </c>
      <c r="CT81" s="16">
        <f>IFERROR(__xludf.DUMMYFUNCTION("""COMPUTED_VALUE"""),42.0)</f>
        <v>42</v>
      </c>
      <c r="CU81" s="16">
        <f>IFERROR(__xludf.DUMMYFUNCTION("""COMPUTED_VALUE"""),5.0)</f>
        <v>5</v>
      </c>
      <c r="CV81" s="179">
        <f>IFERROR(__xludf.DUMMYFUNCTION("""COMPUTED_VALUE"""),23.333333333333332)</f>
        <v>23.33333333</v>
      </c>
      <c r="CW81" s="179">
        <f>IFERROR(__xludf.DUMMYFUNCTION("""COMPUTED_VALUE"""),4.0)</f>
        <v>4</v>
      </c>
      <c r="CX81" s="179">
        <f>IFERROR(__xludf.DUMMYFUNCTION("""COMPUTED_VALUE"""),2.0)</f>
        <v>2</v>
      </c>
      <c r="CY81" s="16" t="str">
        <f>IFERROR(__xludf.DUMMYFUNCTION("""COMPUTED_VALUE"""),"RP")</f>
        <v>RP</v>
      </c>
      <c r="CZ81" s="16"/>
      <c r="DA81" s="16"/>
      <c r="DB81" s="16"/>
      <c r="DC81" s="16"/>
      <c r="DD81" s="16"/>
      <c r="DE81" s="16"/>
      <c r="DF81" s="16"/>
      <c r="DG81" s="16"/>
      <c r="DH81" s="16"/>
      <c r="DI81" s="16"/>
      <c r="DJ81" s="16"/>
      <c r="DK81" s="16"/>
    </row>
    <row r="82">
      <c r="A82" s="16">
        <f>IFERROR(__xludf.DUMMYFUNCTION("""COMPUTED_VALUE"""),12639.0)</f>
        <v>12639</v>
      </c>
      <c r="B82" s="16" t="str">
        <f>IFERROR(__xludf.DUMMYFUNCTION("""COMPUTED_VALUE"""),"Buck Farmer")</f>
        <v>Buck Farmer</v>
      </c>
      <c r="C82" s="153">
        <f>IFERROR(__xludf.DUMMYFUNCTION("""COMPUTED_VALUE"""),1.72)</f>
        <v>1.72</v>
      </c>
      <c r="D82" s="16"/>
      <c r="E82" s="16" t="str">
        <f>IFERROR(__xludf.DUMMYFUNCTION("""COMPUTED_VALUE"""),"R")</f>
        <v>R</v>
      </c>
      <c r="F82" s="16">
        <f>IFERROR(__xludf.DUMMYFUNCTION("""COMPUTED_VALUE"""),71.0)</f>
        <v>71</v>
      </c>
      <c r="G82" s="16">
        <f>IFERROR(__xludf.DUMMYFUNCTION("""COMPUTED_VALUE"""),24.0)</f>
        <v>24</v>
      </c>
      <c r="H82" s="16">
        <f>IFERROR(__xludf.DUMMYFUNCTION("""COMPUTED_VALUE"""),31.0)</f>
        <v>31</v>
      </c>
      <c r="I82" s="16">
        <f>IFERROR(__xludf.DUMMYFUNCTION("""COMPUTED_VALUE"""),-1.0)</f>
        <v>-1</v>
      </c>
      <c r="J82" s="16">
        <f>IFERROR(__xludf.DUMMYFUNCTION("""COMPUTED_VALUE"""),0.0)</f>
        <v>0</v>
      </c>
      <c r="K82" s="16">
        <f>IFERROR(__xludf.DUMMYFUNCTION("""COMPUTED_VALUE"""),-3.0)</f>
        <v>-3</v>
      </c>
      <c r="L82" s="16">
        <f>IFERROR(__xludf.DUMMYFUNCTION("""COMPUTED_VALUE"""),0.0)</f>
        <v>0</v>
      </c>
      <c r="M82" s="16">
        <f>IFERROR(__xludf.DUMMYFUNCTION("""COMPUTED_VALUE"""),14.0)</f>
        <v>14</v>
      </c>
      <c r="N82" s="16">
        <f>IFERROR(__xludf.DUMMYFUNCTION("""COMPUTED_VALUE"""),5.0)</f>
        <v>5</v>
      </c>
      <c r="O82" s="16">
        <f>IFERROR(__xludf.DUMMYFUNCTION("""COMPUTED_VALUE"""),-2.0)</f>
        <v>-2</v>
      </c>
      <c r="P82" s="16">
        <f>IFERROR(__xludf.DUMMYFUNCTION("""COMPUTED_VALUE"""),2.0)</f>
        <v>2</v>
      </c>
      <c r="Q82" s="16">
        <f>IFERROR(__xludf.DUMMYFUNCTION("""COMPUTED_VALUE"""),-2.0)</f>
        <v>-2</v>
      </c>
      <c r="R82" s="16">
        <f>IFERROR(__xludf.DUMMYFUNCTION("""COMPUTED_VALUE"""),2.0)</f>
        <v>2</v>
      </c>
      <c r="S82" s="16">
        <f>IFERROR(__xludf.DUMMYFUNCTION("""COMPUTED_VALUE"""),11.3)</f>
        <v>11.3</v>
      </c>
      <c r="T82" s="16">
        <f>IFERROR(__xludf.DUMMYFUNCTION("""COMPUTED_VALUE"""),12.8)</f>
        <v>12.8</v>
      </c>
      <c r="U82" s="16">
        <f>IFERROR(__xludf.DUMMYFUNCTION("""COMPUTED_VALUE"""),1.0)</f>
        <v>1</v>
      </c>
      <c r="V82" s="16">
        <f>IFERROR(__xludf.DUMMYFUNCTION("""COMPUTED_VALUE"""),1.0)</f>
        <v>1</v>
      </c>
      <c r="W82" s="16">
        <f>IFERROR(__xludf.DUMMYFUNCTION("""COMPUTED_VALUE"""),2.0)</f>
        <v>2</v>
      </c>
      <c r="X82" s="16">
        <f>IFERROR(__xludf.DUMMYFUNCTION("""COMPUTED_VALUE"""),2.0)</f>
        <v>2</v>
      </c>
      <c r="Y82" s="16">
        <f>IFERROR(__xludf.DUMMYFUNCTION("""COMPUTED_VALUE"""),25.3)</f>
        <v>25.3</v>
      </c>
      <c r="Z82" s="16">
        <f>IFERROR(__xludf.DUMMYFUNCTION("""COMPUTED_VALUE"""),17.8)</f>
        <v>17.8</v>
      </c>
      <c r="AA82" s="16">
        <f>IFERROR(__xludf.DUMMYFUNCTION("""COMPUTED_VALUE"""),0.0)</f>
        <v>0</v>
      </c>
      <c r="AB82" s="16">
        <f>IFERROR(__xludf.DUMMYFUNCTION("""COMPUTED_VALUE"""),1.0)</f>
        <v>1</v>
      </c>
      <c r="AC82" s="16">
        <f>IFERROR(__xludf.DUMMYFUNCTION("""COMPUTED_VALUE"""),0.0)</f>
        <v>0</v>
      </c>
      <c r="AD82" s="16">
        <f>IFERROR(__xludf.DUMMYFUNCTION("""COMPUTED_VALUE"""),5.0)</f>
        <v>5</v>
      </c>
      <c r="AE82" s="16">
        <f>IFERROR(__xludf.DUMMYFUNCTION("""COMPUTED_VALUE"""),22.4)</f>
        <v>22.4</v>
      </c>
      <c r="AF82" s="16">
        <f>IFERROR(__xludf.DUMMYFUNCTION("""COMPUTED_VALUE"""),27.1)</f>
        <v>27.1</v>
      </c>
      <c r="AG82" s="16">
        <f>IFERROR(__xludf.DUMMYFUNCTION("""COMPUTED_VALUE"""),1.0)</f>
        <v>1</v>
      </c>
      <c r="AH82" s="16">
        <f>IFERROR(__xludf.DUMMYFUNCTION("""COMPUTED_VALUE"""),0.0)</f>
        <v>0</v>
      </c>
      <c r="AI82" s="16">
        <f>IFERROR(__xludf.DUMMYFUNCTION("""COMPUTED_VALUE"""),2.0)</f>
        <v>2</v>
      </c>
      <c r="AJ82" s="16">
        <f>IFERROR(__xludf.DUMMYFUNCTION("""COMPUTED_VALUE"""),0.0)</f>
        <v>0</v>
      </c>
      <c r="AK82" s="16">
        <f>IFERROR(__xludf.DUMMYFUNCTION("""COMPUTED_VALUE"""),11.100000000000001)</f>
        <v>11.1</v>
      </c>
      <c r="AL82" s="16">
        <f>IFERROR(__xludf.DUMMYFUNCTION("""COMPUTED_VALUE"""),11.0)</f>
        <v>11</v>
      </c>
      <c r="AM82" s="16">
        <f>IFERROR(__xludf.DUMMYFUNCTION("""COMPUTED_VALUE"""),0.0)</f>
        <v>0</v>
      </c>
      <c r="AN82" s="16">
        <f>IFERROR(__xludf.DUMMYFUNCTION("""COMPUTED_VALUE"""),1.0)</f>
        <v>1</v>
      </c>
      <c r="AO82" s="16">
        <f>IFERROR(__xludf.DUMMYFUNCTION("""COMPUTED_VALUE"""),0.0)</f>
        <v>0</v>
      </c>
      <c r="AP82" s="16">
        <f>IFERROR(__xludf.DUMMYFUNCTION("""COMPUTED_VALUE"""),1.0)</f>
        <v>1</v>
      </c>
      <c r="AQ82" s="16">
        <f>IFERROR(__xludf.DUMMYFUNCTION("""COMPUTED_VALUE"""),21.599999999999998)</f>
        <v>21.6</v>
      </c>
      <c r="AR82" s="16">
        <f>IFERROR(__xludf.DUMMYFUNCTION("""COMPUTED_VALUE"""),19.900000000000002)</f>
        <v>19.9</v>
      </c>
      <c r="AS82" s="16">
        <f>IFERROR(__xludf.DUMMYFUNCTION("""COMPUTED_VALUE"""),0.0)</f>
        <v>0</v>
      </c>
      <c r="AT82" s="16">
        <f>IFERROR(__xludf.DUMMYFUNCTION("""COMPUTED_VALUE"""),0.0)</f>
        <v>0</v>
      </c>
      <c r="AU82" s="16">
        <f>IFERROR(__xludf.DUMMYFUNCTION("""COMPUTED_VALUE"""),0.0)</f>
        <v>0</v>
      </c>
      <c r="AV82" s="16">
        <f>IFERROR(__xludf.DUMMYFUNCTION("""COMPUTED_VALUE"""),0.0)</f>
        <v>0</v>
      </c>
      <c r="AW82" s="16">
        <f>IFERROR(__xludf.DUMMYFUNCTION("""COMPUTED_VALUE"""),0.2)</f>
        <v>0.2</v>
      </c>
      <c r="AX82" s="16">
        <f>IFERROR(__xludf.DUMMYFUNCTION("""COMPUTED_VALUE"""),1.8)</f>
        <v>1.8</v>
      </c>
      <c r="AY82" s="16">
        <f>IFERROR(__xludf.DUMMYFUNCTION("""COMPUTED_VALUE"""),2.0)</f>
        <v>2</v>
      </c>
      <c r="AZ82" s="16">
        <f>IFERROR(__xludf.DUMMYFUNCTION("""COMPUTED_VALUE"""),0.0)</f>
        <v>0</v>
      </c>
      <c r="BA82" s="16">
        <f>IFERROR(__xludf.DUMMYFUNCTION("""COMPUTED_VALUE"""),10.0)</f>
        <v>10</v>
      </c>
      <c r="BB82" s="16">
        <f>IFERROR(__xludf.DUMMYFUNCTION("""COMPUTED_VALUE"""),0.0)</f>
        <v>0</v>
      </c>
      <c r="BC82" s="16"/>
      <c r="BD82" s="16"/>
      <c r="BE82" s="16">
        <f>IFERROR(__xludf.DUMMYFUNCTION("""COMPUTED_VALUE"""),0.0)</f>
        <v>0</v>
      </c>
      <c r="BF82" s="16">
        <f>IFERROR(__xludf.DUMMYFUNCTION("""COMPUTED_VALUE"""),2.0)</f>
        <v>2</v>
      </c>
      <c r="BG82" s="16">
        <f>IFERROR(__xludf.DUMMYFUNCTION("""COMPUTED_VALUE"""),3.0)</f>
        <v>3</v>
      </c>
      <c r="BH82" s="16">
        <f>IFERROR(__xludf.DUMMYFUNCTION("""COMPUTED_VALUE"""),1.0)</f>
        <v>1</v>
      </c>
      <c r="BI82" s="16">
        <f>IFERROR(__xludf.DUMMYFUNCTION("""COMPUTED_VALUE"""),6.0)</f>
        <v>6</v>
      </c>
      <c r="BJ82" s="16">
        <f>IFERROR(__xludf.DUMMYFUNCTION("""COMPUTED_VALUE"""),2.0)</f>
        <v>2</v>
      </c>
      <c r="BK82" s="16">
        <f>IFERROR(__xludf.DUMMYFUNCTION("""COMPUTED_VALUE"""),0.0)</f>
        <v>0</v>
      </c>
      <c r="BL82" s="16">
        <f>IFERROR(__xludf.DUMMYFUNCTION("""COMPUTED_VALUE"""),0.0)</f>
        <v>0</v>
      </c>
      <c r="BM82" s="16">
        <f>IFERROR(__xludf.DUMMYFUNCTION("""COMPUTED_VALUE"""),1.0)</f>
        <v>1</v>
      </c>
      <c r="BN82" s="16">
        <f>IFERROR(__xludf.DUMMYFUNCTION("""COMPUTED_VALUE"""),1.0)</f>
        <v>1</v>
      </c>
      <c r="BO82" s="16">
        <f>IFERROR(__xludf.DUMMYFUNCTION("""COMPUTED_VALUE"""),1.0)</f>
        <v>1</v>
      </c>
      <c r="BP82" s="16">
        <f>IFERROR(__xludf.DUMMYFUNCTION("""COMPUTED_VALUE"""),1.0)</f>
        <v>1</v>
      </c>
      <c r="BQ82" s="16">
        <f>IFERROR(__xludf.DUMMYFUNCTION("""COMPUTED_VALUE"""),8.0)</f>
        <v>8</v>
      </c>
      <c r="BR82" s="16">
        <f>IFERROR(__xludf.DUMMYFUNCTION("""COMPUTED_VALUE"""),8.0)</f>
        <v>8</v>
      </c>
      <c r="BS82" s="16">
        <f>IFERROR(__xludf.DUMMYFUNCTION("""COMPUTED_VALUE"""),2.0)</f>
        <v>2</v>
      </c>
      <c r="BT82" s="16">
        <f>IFERROR(__xludf.DUMMYFUNCTION("""COMPUTED_VALUE"""),2.0)</f>
        <v>2</v>
      </c>
      <c r="BU82" s="16">
        <f>IFERROR(__xludf.DUMMYFUNCTION("""COMPUTED_VALUE"""),4.0)</f>
        <v>4</v>
      </c>
      <c r="BV82" s="16">
        <f>IFERROR(__xludf.DUMMYFUNCTION("""COMPUTED_VALUE"""),4.0)</f>
        <v>4</v>
      </c>
      <c r="BW82" s="16">
        <f>IFERROR(__xludf.DUMMYFUNCTION("""COMPUTED_VALUE"""),7.0)</f>
        <v>7</v>
      </c>
      <c r="BX82" s="16">
        <f>IFERROR(__xludf.DUMMYFUNCTION("""COMPUTED_VALUE"""),7.0)</f>
        <v>7</v>
      </c>
      <c r="BY82" s="16" t="str">
        <f>IFERROR(__xludf.DUMMYFUNCTION("""COMPUTED_VALUE"""),"R(2) C(0)")</f>
        <v>R(2) C(0)</v>
      </c>
      <c r="BZ82" s="16" t="str">
        <f>IFERROR(__xludf.DUMMYFUNCTION("""COMPUTED_VALUE"""),"R(2) C(0)")</f>
        <v>R(2) C(0)</v>
      </c>
      <c r="CA82" s="16" t="str">
        <f>IFERROR(__xludf.DUMMYFUNCTION("""COMPUTED_VALUE"""),"R(2)")</f>
        <v>R(2)</v>
      </c>
      <c r="CB82" s="16" t="str">
        <f>IFERROR(__xludf.DUMMYFUNCTION("""COMPUTED_VALUE"""),"C(0)")</f>
        <v>C(0)</v>
      </c>
      <c r="CC82" s="16"/>
      <c r="CD82" s="16"/>
      <c r="CE82" s="16">
        <f>IFERROR(__xludf.DUMMYFUNCTION("""COMPUTED_VALUE"""),2.0)</f>
        <v>2</v>
      </c>
      <c r="CF82" s="16">
        <f>IFERROR(__xludf.DUMMYFUNCTION("""COMPUTED_VALUE"""),0.0)</f>
        <v>0</v>
      </c>
      <c r="CG82" s="16" t="str">
        <f>IFERROR(__xludf.DUMMYFUNCTION("""COMPUTED_VALUE"""),"4-0")</f>
        <v>4-0</v>
      </c>
      <c r="CH82" s="16">
        <f>IFERROR(__xludf.DUMMYFUNCTION("""COMPUTED_VALUE"""),4.0)</f>
        <v>4</v>
      </c>
      <c r="CI82" s="16">
        <f>IFERROR(__xludf.DUMMYFUNCTION("""COMPUTED_VALUE"""),0.0)</f>
        <v>0</v>
      </c>
      <c r="CJ82" s="16">
        <f>IFERROR(__xludf.DUMMYFUNCTION("""COMPUTED_VALUE"""),0.0)</f>
        <v>0</v>
      </c>
      <c r="CK82" s="16">
        <f>IFERROR(__xludf.DUMMYFUNCTION("""COMPUTED_VALUE"""),2.0)</f>
        <v>2</v>
      </c>
      <c r="CL82" s="16" t="str">
        <f>IFERROR(__xludf.DUMMYFUNCTION("""COMPUTED_VALUE"""),"1WL-C")</f>
        <v>1WL-C</v>
      </c>
      <c r="CM82" s="16" t="str">
        <f>IFERROR(__xludf.DUMMYFUNCTION("""COMPUTED_VALUE"""),"E")</f>
        <v>E</v>
      </c>
      <c r="CN82" s="16">
        <f>IFERROR(__xludf.DUMMYFUNCTION("""COMPUTED_VALUE"""),10.0)</f>
        <v>10</v>
      </c>
      <c r="CO82" s="16" t="str">
        <f>IFERROR(__xludf.DUMMYFUNCTION("""COMPUTED_VALUE"""),"C")</f>
        <v>C</v>
      </c>
      <c r="CP82" s="16" t="str">
        <f>IFERROR(__xludf.DUMMYFUNCTION("""COMPUTED_VALUE"""),"1p40")</f>
        <v>1p40</v>
      </c>
      <c r="CQ82" s="16">
        <f>IFERROR(__xludf.DUMMYFUNCTION("""COMPUTED_VALUE"""),20.0)</f>
        <v>20</v>
      </c>
      <c r="CR82" s="16">
        <f>IFERROR(__xludf.DUMMYFUNCTION("""COMPUTED_VALUE"""),17.0)</f>
        <v>17</v>
      </c>
      <c r="CS82" s="16">
        <f>IFERROR(__xludf.DUMMYFUNCTION("""COMPUTED_VALUE"""),37.0)</f>
        <v>37</v>
      </c>
      <c r="CT82" s="16">
        <f>IFERROR(__xludf.DUMMYFUNCTION("""COMPUTED_VALUE"""),20.0)</f>
        <v>20</v>
      </c>
      <c r="CU82" s="16">
        <f>IFERROR(__xludf.DUMMYFUNCTION("""COMPUTED_VALUE"""),17.0)</f>
        <v>17</v>
      </c>
      <c r="CV82" s="179">
        <f>IFERROR(__xludf.DUMMYFUNCTION("""COMPUTED_VALUE"""),23.0)</f>
        <v>23</v>
      </c>
      <c r="CW82" s="179">
        <f>IFERROR(__xludf.DUMMYFUNCTION("""COMPUTED_VALUE"""),4.0)</f>
        <v>4</v>
      </c>
      <c r="CX82" s="179">
        <f>IFERROR(__xludf.DUMMYFUNCTION("""COMPUTED_VALUE"""),1.0)</f>
        <v>1</v>
      </c>
      <c r="CY82" s="16" t="str">
        <f>IFERROR(__xludf.DUMMYFUNCTION("""COMPUTED_VALUE"""),"RP")</f>
        <v>RP</v>
      </c>
      <c r="CZ82" s="16" t="str">
        <f>IFERROR(__xludf.DUMMYFUNCTION("""COMPUTED_VALUE"""),"CP")</f>
        <v>CP</v>
      </c>
      <c r="DA82" s="16"/>
      <c r="DB82" s="16"/>
      <c r="DC82" s="16"/>
      <c r="DD82" s="16"/>
      <c r="DE82" s="16"/>
      <c r="DF82" s="16"/>
      <c r="DG82" s="16"/>
      <c r="DH82" s="16"/>
      <c r="DI82" s="16"/>
      <c r="DJ82" s="16"/>
      <c r="DK82" s="16"/>
    </row>
    <row r="83">
      <c r="A83" s="16">
        <f>IFERROR(__xludf.DUMMYFUNCTION("""COMPUTED_VALUE"""),13194.0)</f>
        <v>13194</v>
      </c>
      <c r="B83" s="16" t="str">
        <f>IFERROR(__xludf.DUMMYFUNCTION("""COMPUTED_VALUE"""),"Michael Kopech")</f>
        <v>Michael Kopech</v>
      </c>
      <c r="C83" s="153">
        <f>IFERROR(__xludf.DUMMYFUNCTION("""COMPUTED_VALUE"""),0.92)</f>
        <v>0.92</v>
      </c>
      <c r="D83" s="16"/>
      <c r="E83" s="16" t="str">
        <f>IFERROR(__xludf.DUMMYFUNCTION("""COMPUTED_VALUE"""),"R")</f>
        <v>R</v>
      </c>
      <c r="F83" s="16">
        <f>IFERROR(__xludf.DUMMYFUNCTION("""COMPUTED_VALUE"""),68.0)</f>
        <v>68</v>
      </c>
      <c r="G83" s="16">
        <f>IFERROR(__xludf.DUMMYFUNCTION("""COMPUTED_VALUE"""),56.0)</f>
        <v>56</v>
      </c>
      <c r="H83" s="16">
        <f>IFERROR(__xludf.DUMMYFUNCTION("""COMPUTED_VALUE"""),36.0)</f>
        <v>36</v>
      </c>
      <c r="I83" s="16">
        <f>IFERROR(__xludf.DUMMYFUNCTION("""COMPUTED_VALUE"""),3.0)</f>
        <v>3</v>
      </c>
      <c r="J83" s="16">
        <f>IFERROR(__xludf.DUMMYFUNCTION("""COMPUTED_VALUE"""),1.0)</f>
        <v>1</v>
      </c>
      <c r="K83" s="16">
        <f>IFERROR(__xludf.DUMMYFUNCTION("""COMPUTED_VALUE"""),9.0)</f>
        <v>9</v>
      </c>
      <c r="L83" s="16">
        <f>IFERROR(__xludf.DUMMYFUNCTION("""COMPUTED_VALUE"""),3.0)</f>
        <v>3</v>
      </c>
      <c r="M83" s="16">
        <f>IFERROR(__xludf.DUMMYFUNCTION("""COMPUTED_VALUE"""),16.0)</f>
        <v>16</v>
      </c>
      <c r="N83" s="16">
        <f>IFERROR(__xludf.DUMMYFUNCTION("""COMPUTED_VALUE"""),18.0)</f>
        <v>18</v>
      </c>
      <c r="O83" s="16">
        <f>IFERROR(__xludf.DUMMYFUNCTION("""COMPUTED_VALUE"""),-2.0)</f>
        <v>-2</v>
      </c>
      <c r="P83" s="16">
        <f>IFERROR(__xludf.DUMMYFUNCTION("""COMPUTED_VALUE"""),-3.0)</f>
        <v>-3</v>
      </c>
      <c r="Q83" s="16">
        <f>IFERROR(__xludf.DUMMYFUNCTION("""COMPUTED_VALUE"""),-2.0)</f>
        <v>-2</v>
      </c>
      <c r="R83" s="16">
        <f>IFERROR(__xludf.DUMMYFUNCTION("""COMPUTED_VALUE"""),-3.0)</f>
        <v>-3</v>
      </c>
      <c r="S83" s="16">
        <f>IFERROR(__xludf.DUMMYFUNCTION("""COMPUTED_VALUE"""),2.0)</f>
        <v>2</v>
      </c>
      <c r="T83" s="16">
        <f>IFERROR(__xludf.DUMMYFUNCTION("""COMPUTED_VALUE"""),5.2)</f>
        <v>5.2</v>
      </c>
      <c r="U83" s="16">
        <f>IFERROR(__xludf.DUMMYFUNCTION("""COMPUTED_VALUE"""),2.0)</f>
        <v>2</v>
      </c>
      <c r="V83" s="16">
        <f>IFERROR(__xludf.DUMMYFUNCTION("""COMPUTED_VALUE"""),2.0)</f>
        <v>2</v>
      </c>
      <c r="W83" s="16">
        <f>IFERROR(__xludf.DUMMYFUNCTION("""COMPUTED_VALUE"""),4.0)</f>
        <v>4</v>
      </c>
      <c r="X83" s="16">
        <f>IFERROR(__xludf.DUMMYFUNCTION("""COMPUTED_VALUE"""),4.0)</f>
        <v>4</v>
      </c>
      <c r="Y83" s="16">
        <f>IFERROR(__xludf.DUMMYFUNCTION("""COMPUTED_VALUE"""),18.0)</f>
        <v>18</v>
      </c>
      <c r="Z83" s="16">
        <f>IFERROR(__xludf.DUMMYFUNCTION("""COMPUTED_VALUE"""),23.2)</f>
        <v>23.2</v>
      </c>
      <c r="AA83" s="16">
        <f>IFERROR(__xludf.DUMMYFUNCTION("""COMPUTED_VALUE"""),1.0)</f>
        <v>1</v>
      </c>
      <c r="AB83" s="16">
        <f>IFERROR(__xludf.DUMMYFUNCTION("""COMPUTED_VALUE"""),0.0)</f>
        <v>0</v>
      </c>
      <c r="AC83" s="16">
        <f>IFERROR(__xludf.DUMMYFUNCTION("""COMPUTED_VALUE"""),5.0)</f>
        <v>5</v>
      </c>
      <c r="AD83" s="16">
        <f>IFERROR(__xludf.DUMMYFUNCTION("""COMPUTED_VALUE"""),0.0)</f>
        <v>0</v>
      </c>
      <c r="AE83" s="16">
        <f>IFERROR(__xludf.DUMMYFUNCTION("""COMPUTED_VALUE"""),8.0)</f>
        <v>8</v>
      </c>
      <c r="AF83" s="16">
        <f>IFERROR(__xludf.DUMMYFUNCTION("""COMPUTED_VALUE"""),14.2)</f>
        <v>14.2</v>
      </c>
      <c r="AG83" s="16">
        <f>IFERROR(__xludf.DUMMYFUNCTION("""COMPUTED_VALUE"""),2.0)</f>
        <v>2</v>
      </c>
      <c r="AH83" s="16">
        <f>IFERROR(__xludf.DUMMYFUNCTION("""COMPUTED_VALUE"""),2.0)</f>
        <v>2</v>
      </c>
      <c r="AI83" s="16">
        <f>IFERROR(__xludf.DUMMYFUNCTION("""COMPUTED_VALUE"""),4.0)</f>
        <v>4</v>
      </c>
      <c r="AJ83" s="16">
        <f>IFERROR(__xludf.DUMMYFUNCTION("""COMPUTED_VALUE"""),4.0)</f>
        <v>4</v>
      </c>
      <c r="AK83" s="16">
        <f>IFERROR(__xludf.DUMMYFUNCTION("""COMPUTED_VALUE"""),0.0)</f>
        <v>0</v>
      </c>
      <c r="AL83" s="16">
        <f>IFERROR(__xludf.DUMMYFUNCTION("""COMPUTED_VALUE"""),2.2)</f>
        <v>2.2</v>
      </c>
      <c r="AM83" s="16">
        <f>IFERROR(__xludf.DUMMYFUNCTION("""COMPUTED_VALUE"""),3.0)</f>
        <v>3</v>
      </c>
      <c r="AN83" s="16">
        <f>IFERROR(__xludf.DUMMYFUNCTION("""COMPUTED_VALUE"""),2.0)</f>
        <v>2</v>
      </c>
      <c r="AO83" s="16">
        <f>IFERROR(__xludf.DUMMYFUNCTION("""COMPUTED_VALUE"""),3.0)</f>
        <v>3</v>
      </c>
      <c r="AP83" s="16">
        <f>IFERROR(__xludf.DUMMYFUNCTION("""COMPUTED_VALUE"""),2.0)</f>
        <v>2</v>
      </c>
      <c r="AQ83" s="16">
        <f>IFERROR(__xludf.DUMMYFUNCTION("""COMPUTED_VALUE"""),0.0)</f>
        <v>0</v>
      </c>
      <c r="AR83" s="16">
        <f>IFERROR(__xludf.DUMMYFUNCTION("""COMPUTED_VALUE"""),2.1999999999999993)</f>
        <v>2.2</v>
      </c>
      <c r="AS83" s="16">
        <f>IFERROR(__xludf.DUMMYFUNCTION("""COMPUTED_VALUE"""),3.0)</f>
        <v>3</v>
      </c>
      <c r="AT83" s="16">
        <f>IFERROR(__xludf.DUMMYFUNCTION("""COMPUTED_VALUE"""),2.0)</f>
        <v>2</v>
      </c>
      <c r="AU83" s="16">
        <f>IFERROR(__xludf.DUMMYFUNCTION("""COMPUTED_VALUE"""),6.0)</f>
        <v>6</v>
      </c>
      <c r="AV83" s="16">
        <f>IFERROR(__xludf.DUMMYFUNCTION("""COMPUTED_VALUE"""),4.0)</f>
        <v>4</v>
      </c>
      <c r="AW83" s="16">
        <f>IFERROR(__xludf.DUMMYFUNCTION("""COMPUTED_VALUE"""),2.0)</f>
        <v>2</v>
      </c>
      <c r="AX83" s="16">
        <f>IFERROR(__xludf.DUMMYFUNCTION("""COMPUTED_VALUE"""),3.0)</f>
        <v>3</v>
      </c>
      <c r="AY83" s="16">
        <f>IFERROR(__xludf.DUMMYFUNCTION("""COMPUTED_VALUE"""),0.0)</f>
        <v>0</v>
      </c>
      <c r="AZ83" s="16">
        <f>IFERROR(__xludf.DUMMYFUNCTION("""COMPUTED_VALUE"""),-1.0)</f>
        <v>-1</v>
      </c>
      <c r="BA83" s="16">
        <f>IFERROR(__xludf.DUMMYFUNCTION("""COMPUTED_VALUE"""),0.0)</f>
        <v>0</v>
      </c>
      <c r="BB83" s="16">
        <f>IFERROR(__xludf.DUMMYFUNCTION("""COMPUTED_VALUE"""),-5.0)</f>
        <v>-5</v>
      </c>
      <c r="BC83" s="16"/>
      <c r="BD83" s="16">
        <f>IFERROR(__xludf.DUMMYFUNCTION("""COMPUTED_VALUE"""),4.0)</f>
        <v>4</v>
      </c>
      <c r="BE83" s="16">
        <f>IFERROR(__xludf.DUMMYFUNCTION("""COMPUTED_VALUE"""),2.0)</f>
        <v>2</v>
      </c>
      <c r="BF83" s="16">
        <f>IFERROR(__xludf.DUMMYFUNCTION("""COMPUTED_VALUE"""),4.0)</f>
        <v>4</v>
      </c>
      <c r="BG83" s="16">
        <f>IFERROR(__xludf.DUMMYFUNCTION("""COMPUTED_VALUE"""),1.0)</f>
        <v>1</v>
      </c>
      <c r="BH83" s="16">
        <f>IFERROR(__xludf.DUMMYFUNCTION("""COMPUTED_VALUE"""),-1.0)</f>
        <v>-1</v>
      </c>
      <c r="BI83" s="16">
        <f>IFERROR(__xludf.DUMMYFUNCTION("""COMPUTED_VALUE"""),2.0)</f>
        <v>2</v>
      </c>
      <c r="BJ83" s="16">
        <f>IFERROR(__xludf.DUMMYFUNCTION("""COMPUTED_VALUE"""),-2.0)</f>
        <v>-2</v>
      </c>
      <c r="BK83" s="16">
        <f>IFERROR(__xludf.DUMMYFUNCTION("""COMPUTED_VALUE"""),0.0)</f>
        <v>0</v>
      </c>
      <c r="BL83" s="16">
        <f>IFERROR(__xludf.DUMMYFUNCTION("""COMPUTED_VALUE"""),5.0)</f>
        <v>5</v>
      </c>
      <c r="BM83" s="16">
        <f>IFERROR(__xludf.DUMMYFUNCTION("""COMPUTED_VALUE"""),1.0)</f>
        <v>1</v>
      </c>
      <c r="BN83" s="16">
        <f>IFERROR(__xludf.DUMMYFUNCTION("""COMPUTED_VALUE"""),0.0)</f>
        <v>0</v>
      </c>
      <c r="BO83" s="16">
        <f>IFERROR(__xludf.DUMMYFUNCTION("""COMPUTED_VALUE"""),1.0)</f>
        <v>1</v>
      </c>
      <c r="BP83" s="16">
        <f>IFERROR(__xludf.DUMMYFUNCTION("""COMPUTED_VALUE"""),0.0)</f>
        <v>0</v>
      </c>
      <c r="BQ83" s="16">
        <f>IFERROR(__xludf.DUMMYFUNCTION("""COMPUTED_VALUE"""),2.0)</f>
        <v>2</v>
      </c>
      <c r="BR83" s="16">
        <f>IFERROR(__xludf.DUMMYFUNCTION("""COMPUTED_VALUE"""),9.0)</f>
        <v>9</v>
      </c>
      <c r="BS83" s="16">
        <f>IFERROR(__xludf.DUMMYFUNCTION("""COMPUTED_VALUE"""),-2.0)</f>
        <v>-2</v>
      </c>
      <c r="BT83" s="16">
        <f>IFERROR(__xludf.DUMMYFUNCTION("""COMPUTED_VALUE"""),3.0)</f>
        <v>3</v>
      </c>
      <c r="BU83" s="16">
        <f>IFERROR(__xludf.DUMMYFUNCTION("""COMPUTED_VALUE"""),-4.0)</f>
        <v>-4</v>
      </c>
      <c r="BV83" s="16">
        <f>IFERROR(__xludf.DUMMYFUNCTION("""COMPUTED_VALUE"""),6.0)</f>
        <v>6</v>
      </c>
      <c r="BW83" s="16">
        <f>IFERROR(__xludf.DUMMYFUNCTION("""COMPUTED_VALUE"""),0.0)</f>
        <v>0</v>
      </c>
      <c r="BX83" s="16">
        <f>IFERROR(__xludf.DUMMYFUNCTION("""COMPUTED_VALUE"""),0.0)</f>
        <v>0</v>
      </c>
      <c r="BY83" s="16" t="str">
        <f>IFERROR(__xludf.DUMMYFUNCTION("""COMPUTED_VALUE"""),"R(1) C(4)")</f>
        <v>R(1) C(4)</v>
      </c>
      <c r="BZ83" s="16" t="str">
        <f>IFERROR(__xludf.DUMMYFUNCTION("""COMPUTED_VALUE"""),"R(1) C(4)")</f>
        <v>R(1) C(4)</v>
      </c>
      <c r="CA83" s="16" t="str">
        <f>IFERROR(__xludf.DUMMYFUNCTION("""COMPUTED_VALUE"""),"R(1)")</f>
        <v>R(1)</v>
      </c>
      <c r="CB83" s="16" t="str">
        <f>IFERROR(__xludf.DUMMYFUNCTION("""COMPUTED_VALUE"""),"C(4)")</f>
        <v>C(4)</v>
      </c>
      <c r="CC83" s="16"/>
      <c r="CD83" s="16"/>
      <c r="CE83" s="16">
        <f>IFERROR(__xludf.DUMMYFUNCTION("""COMPUTED_VALUE"""),1.0)</f>
        <v>1</v>
      </c>
      <c r="CF83" s="16">
        <f>IFERROR(__xludf.DUMMYFUNCTION("""COMPUTED_VALUE"""),4.0)</f>
        <v>4</v>
      </c>
      <c r="CG83" s="16" t="str">
        <f>IFERROR(__xludf.DUMMYFUNCTION("""COMPUTED_VALUE"""),"5-21")</f>
        <v>5-21</v>
      </c>
      <c r="CH83" s="16">
        <f>IFERROR(__xludf.DUMMYFUNCTION("""COMPUTED_VALUE"""),5.0)</f>
        <v>5</v>
      </c>
      <c r="CI83" s="16">
        <f>IFERROR(__xludf.DUMMYFUNCTION("""COMPUTED_VALUE"""),21.0)</f>
        <v>21</v>
      </c>
      <c r="CJ83" s="16">
        <f>IFERROR(__xludf.DUMMYFUNCTION("""COMPUTED_VALUE"""),11.0)</f>
        <v>11</v>
      </c>
      <c r="CK83" s="16">
        <f>IFERROR(__xludf.DUMMYFUNCTION("""COMPUTED_VALUE"""),20.0)</f>
        <v>20</v>
      </c>
      <c r="CL83" s="16" t="str">
        <f>IFERROR(__xludf.DUMMYFUNCTION("""COMPUTED_VALUE"""),"1WR-C")</f>
        <v>1WR-C</v>
      </c>
      <c r="CM83" s="16" t="str">
        <f>IFERROR(__xludf.DUMMYFUNCTION("""COMPUTED_VALUE"""),"E")</f>
        <v>E</v>
      </c>
      <c r="CN83" s="16">
        <f>IFERROR(__xludf.DUMMYFUNCTION("""COMPUTED_VALUE"""),10.0)</f>
        <v>10</v>
      </c>
      <c r="CO83" s="16" t="str">
        <f>IFERROR(__xludf.DUMMYFUNCTION("""COMPUTED_VALUE"""),"C")</f>
        <v>C</v>
      </c>
      <c r="CP83" s="16" t="str">
        <f>IFERROR(__xludf.DUMMYFUNCTION("""COMPUTED_VALUE"""),"1p60")</f>
        <v>1p60</v>
      </c>
      <c r="CQ83" s="16">
        <f>IFERROR(__xludf.DUMMYFUNCTION("""COMPUTED_VALUE"""),28.0)</f>
        <v>28</v>
      </c>
      <c r="CR83" s="16">
        <f>IFERROR(__xludf.DUMMYFUNCTION("""COMPUTED_VALUE"""),13.0)</f>
        <v>13</v>
      </c>
      <c r="CS83" s="16">
        <f>IFERROR(__xludf.DUMMYFUNCTION("""COMPUTED_VALUE"""),41.0)</f>
        <v>41</v>
      </c>
      <c r="CT83" s="16">
        <f>IFERROR(__xludf.DUMMYFUNCTION("""COMPUTED_VALUE"""),28.0)</f>
        <v>28</v>
      </c>
      <c r="CU83" s="16">
        <f>IFERROR(__xludf.DUMMYFUNCTION("""COMPUTED_VALUE"""),13.0)</f>
        <v>13</v>
      </c>
      <c r="CV83" s="179">
        <f>IFERROR(__xludf.DUMMYFUNCTION("""COMPUTED_VALUE"""),23.0)</f>
        <v>23</v>
      </c>
      <c r="CW83" s="179">
        <f>IFERROR(__xludf.DUMMYFUNCTION("""COMPUTED_VALUE"""),4.0)</f>
        <v>4</v>
      </c>
      <c r="CX83" s="179">
        <f>IFERROR(__xludf.DUMMYFUNCTION("""COMPUTED_VALUE"""),1.0)</f>
        <v>1</v>
      </c>
      <c r="CY83" s="16" t="str">
        <f>IFERROR(__xludf.DUMMYFUNCTION("""COMPUTED_VALUE"""),"RP")</f>
        <v>RP</v>
      </c>
      <c r="CZ83" s="16" t="str">
        <f>IFERROR(__xludf.DUMMYFUNCTION("""COMPUTED_VALUE"""),"CP")</f>
        <v>CP</v>
      </c>
      <c r="DA83" s="16"/>
      <c r="DB83" s="16"/>
      <c r="DC83" s="16"/>
      <c r="DD83" s="16"/>
      <c r="DE83" s="16"/>
      <c r="DF83" s="16"/>
      <c r="DG83" s="16"/>
      <c r="DH83" s="16"/>
      <c r="DI83" s="16"/>
      <c r="DJ83" s="16"/>
      <c r="DK83" s="16"/>
    </row>
    <row r="84">
      <c r="A84" s="16">
        <f>IFERROR(__xludf.DUMMYFUNCTION("""COMPUTED_VALUE"""),12945.0)</f>
        <v>12945</v>
      </c>
      <c r="B84" s="16" t="str">
        <f>IFERROR(__xludf.DUMMYFUNCTION("""COMPUTED_VALUE"""),"Jeff Hoffman")</f>
        <v>Jeff Hoffman</v>
      </c>
      <c r="C84" s="153">
        <f>IFERROR(__xludf.DUMMYFUNCTION("""COMPUTED_VALUE"""),1.45)</f>
        <v>1.45</v>
      </c>
      <c r="D84" s="16"/>
      <c r="E84" s="16" t="str">
        <f>IFERROR(__xludf.DUMMYFUNCTION("""COMPUTED_VALUE"""),"R")</f>
        <v>R</v>
      </c>
      <c r="F84" s="16">
        <f>IFERROR(__xludf.DUMMYFUNCTION("""COMPUTED_VALUE"""),66.0)</f>
        <v>66</v>
      </c>
      <c r="G84" s="16">
        <f>IFERROR(__xludf.DUMMYFUNCTION("""COMPUTED_VALUE"""),53.0)</f>
        <v>53</v>
      </c>
      <c r="H84" s="16">
        <f>IFERROR(__xludf.DUMMYFUNCTION("""COMPUTED_VALUE"""),45.0)</f>
        <v>45</v>
      </c>
      <c r="I84" s="16">
        <f>IFERROR(__xludf.DUMMYFUNCTION("""COMPUTED_VALUE"""),3.0)</f>
        <v>3</v>
      </c>
      <c r="J84" s="16">
        <f>IFERROR(__xludf.DUMMYFUNCTION("""COMPUTED_VALUE"""),2.0)</f>
        <v>2</v>
      </c>
      <c r="K84" s="16">
        <f>IFERROR(__xludf.DUMMYFUNCTION("""COMPUTED_VALUE"""),9.0)</f>
        <v>9</v>
      </c>
      <c r="L84" s="16">
        <f>IFERROR(__xludf.DUMMYFUNCTION("""COMPUTED_VALUE"""),6.0)</f>
        <v>6</v>
      </c>
      <c r="M84" s="16">
        <f>IFERROR(__xludf.DUMMYFUNCTION("""COMPUTED_VALUE"""),0.0)</f>
        <v>0</v>
      </c>
      <c r="N84" s="16">
        <f>IFERROR(__xludf.DUMMYFUNCTION("""COMPUTED_VALUE"""),8.0)</f>
        <v>8</v>
      </c>
      <c r="O84" s="16">
        <f>IFERROR(__xludf.DUMMYFUNCTION("""COMPUTED_VALUE"""),3.0)</f>
        <v>3</v>
      </c>
      <c r="P84" s="16">
        <f>IFERROR(__xludf.DUMMYFUNCTION("""COMPUTED_VALUE"""),0.0)</f>
        <v>0</v>
      </c>
      <c r="Q84" s="16">
        <f>IFERROR(__xludf.DUMMYFUNCTION("""COMPUTED_VALUE"""),3.0)</f>
        <v>3</v>
      </c>
      <c r="R84" s="16">
        <f>IFERROR(__xludf.DUMMYFUNCTION("""COMPUTED_VALUE"""),0.0)</f>
        <v>0</v>
      </c>
      <c r="S84" s="16">
        <f>IFERROR(__xludf.DUMMYFUNCTION("""COMPUTED_VALUE"""),15.2)</f>
        <v>15.2</v>
      </c>
      <c r="T84" s="16">
        <f>IFERROR(__xludf.DUMMYFUNCTION("""COMPUTED_VALUE"""),4.3)</f>
        <v>4.3</v>
      </c>
      <c r="U84" s="16">
        <f>IFERROR(__xludf.DUMMYFUNCTION("""COMPUTED_VALUE"""),0.0)</f>
        <v>0</v>
      </c>
      <c r="V84" s="16">
        <f>IFERROR(__xludf.DUMMYFUNCTION("""COMPUTED_VALUE"""),2.0)</f>
        <v>2</v>
      </c>
      <c r="W84" s="16">
        <f>IFERROR(__xludf.DUMMYFUNCTION("""COMPUTED_VALUE"""),0.0)</f>
        <v>0</v>
      </c>
      <c r="X84" s="16">
        <f>IFERROR(__xludf.DUMMYFUNCTION("""COMPUTED_VALUE"""),4.0)</f>
        <v>4</v>
      </c>
      <c r="Y84" s="16">
        <f>IFERROR(__xludf.DUMMYFUNCTION("""COMPUTED_VALUE"""),15.2)</f>
        <v>15.2</v>
      </c>
      <c r="Z84" s="16">
        <f>IFERROR(__xludf.DUMMYFUNCTION("""COMPUTED_VALUE"""),12.3)</f>
        <v>12.3</v>
      </c>
      <c r="AA84" s="16">
        <f>IFERROR(__xludf.DUMMYFUNCTION("""COMPUTED_VALUE"""),2.0)</f>
        <v>2</v>
      </c>
      <c r="AB84" s="16">
        <f>IFERROR(__xludf.DUMMYFUNCTION("""COMPUTED_VALUE"""),2.0)</f>
        <v>2</v>
      </c>
      <c r="AC84" s="16">
        <f>IFERROR(__xludf.DUMMYFUNCTION("""COMPUTED_VALUE"""),10.0)</f>
        <v>10</v>
      </c>
      <c r="AD84" s="16">
        <f>IFERROR(__xludf.DUMMYFUNCTION("""COMPUTED_VALUE"""),10.0)</f>
        <v>10</v>
      </c>
      <c r="AE84" s="16">
        <f>IFERROR(__xludf.DUMMYFUNCTION("""COMPUTED_VALUE"""),36.8)</f>
        <v>36.8</v>
      </c>
      <c r="AF84" s="16">
        <f>IFERROR(__xludf.DUMMYFUNCTION("""COMPUTED_VALUE"""),4.3)</f>
        <v>4.3</v>
      </c>
      <c r="AG84" s="16">
        <f>IFERROR(__xludf.DUMMYFUNCTION("""COMPUTED_VALUE"""),-1.0)</f>
        <v>-1</v>
      </c>
      <c r="AH84" s="16">
        <f>IFERROR(__xludf.DUMMYFUNCTION("""COMPUTED_VALUE"""),2.0)</f>
        <v>2</v>
      </c>
      <c r="AI84" s="16">
        <f>IFERROR(__xludf.DUMMYFUNCTION("""COMPUTED_VALUE"""),-2.0)</f>
        <v>-2</v>
      </c>
      <c r="AJ84" s="16">
        <f>IFERROR(__xludf.DUMMYFUNCTION("""COMPUTED_VALUE"""),4.0)</f>
        <v>4</v>
      </c>
      <c r="AK84" s="16">
        <f>IFERROR(__xludf.DUMMYFUNCTION("""COMPUTED_VALUE"""),12.6)</f>
        <v>12.6</v>
      </c>
      <c r="AL84" s="16">
        <f>IFERROR(__xludf.DUMMYFUNCTION("""COMPUTED_VALUE"""),4.3)</f>
        <v>4.3</v>
      </c>
      <c r="AM84" s="16">
        <f>IFERROR(__xludf.DUMMYFUNCTION("""COMPUTED_VALUE"""),0.0)</f>
        <v>0</v>
      </c>
      <c r="AN84" s="16">
        <f>IFERROR(__xludf.DUMMYFUNCTION("""COMPUTED_VALUE"""),2.0)</f>
        <v>2</v>
      </c>
      <c r="AO84" s="16">
        <f>IFERROR(__xludf.DUMMYFUNCTION("""COMPUTED_VALUE"""),0.0)</f>
        <v>0</v>
      </c>
      <c r="AP84" s="16">
        <f>IFERROR(__xludf.DUMMYFUNCTION("""COMPUTED_VALUE"""),2.0)</f>
        <v>2</v>
      </c>
      <c r="AQ84" s="16">
        <f>IFERROR(__xludf.DUMMYFUNCTION("""COMPUTED_VALUE"""),26.4)</f>
        <v>26.4</v>
      </c>
      <c r="AR84" s="16">
        <f>IFERROR(__xludf.DUMMYFUNCTION("""COMPUTED_VALUE"""),4.3)</f>
        <v>4.3</v>
      </c>
      <c r="AS84" s="16">
        <f>IFERROR(__xludf.DUMMYFUNCTION("""COMPUTED_VALUE"""),-1.0)</f>
        <v>-1</v>
      </c>
      <c r="AT84" s="16">
        <f>IFERROR(__xludf.DUMMYFUNCTION("""COMPUTED_VALUE"""),2.0)</f>
        <v>2</v>
      </c>
      <c r="AU84" s="16">
        <f>IFERROR(__xludf.DUMMYFUNCTION("""COMPUTED_VALUE"""),-2.0)</f>
        <v>-2</v>
      </c>
      <c r="AV84" s="16">
        <f>IFERROR(__xludf.DUMMYFUNCTION("""COMPUTED_VALUE"""),4.0)</f>
        <v>4</v>
      </c>
      <c r="AW84" s="16">
        <f>IFERROR(__xludf.DUMMYFUNCTION("""COMPUTED_VALUE"""),2.6)</f>
        <v>2.6</v>
      </c>
      <c r="AX84" s="16">
        <f>IFERROR(__xludf.DUMMYFUNCTION("""COMPUTED_VALUE"""),0.0)</f>
        <v>0</v>
      </c>
      <c r="AY84" s="16">
        <f>IFERROR(__xludf.DUMMYFUNCTION("""COMPUTED_VALUE"""),-1.0)</f>
        <v>-1</v>
      </c>
      <c r="AZ84" s="16">
        <f>IFERROR(__xludf.DUMMYFUNCTION("""COMPUTED_VALUE"""),2.0)</f>
        <v>2</v>
      </c>
      <c r="BA84" s="16">
        <f>IFERROR(__xludf.DUMMYFUNCTION("""COMPUTED_VALUE"""),-5.0)</f>
        <v>-5</v>
      </c>
      <c r="BB84" s="16">
        <f>IFERROR(__xludf.DUMMYFUNCTION("""COMPUTED_VALUE"""),10.0)</f>
        <v>10</v>
      </c>
      <c r="BC84" s="16">
        <f>IFERROR(__xludf.DUMMYFUNCTION("""COMPUTED_VALUE"""),3.0)</f>
        <v>3</v>
      </c>
      <c r="BD84" s="16">
        <f>IFERROR(__xludf.DUMMYFUNCTION("""COMPUTED_VALUE"""),0.0)</f>
        <v>0</v>
      </c>
      <c r="BE84" s="16">
        <f>IFERROR(__xludf.DUMMYFUNCTION("""COMPUTED_VALUE"""),3.0)</f>
        <v>3</v>
      </c>
      <c r="BF84" s="16">
        <f>IFERROR(__xludf.DUMMYFUNCTION("""COMPUTED_VALUE"""),0.0)</f>
        <v>0</v>
      </c>
      <c r="BG84" s="16">
        <f>IFERROR(__xludf.DUMMYFUNCTION("""COMPUTED_VALUE"""),0.0)</f>
        <v>0</v>
      </c>
      <c r="BH84" s="16">
        <f>IFERROR(__xludf.DUMMYFUNCTION("""COMPUTED_VALUE"""),2.0)</f>
        <v>2</v>
      </c>
      <c r="BI84" s="16">
        <f>IFERROR(__xludf.DUMMYFUNCTION("""COMPUTED_VALUE"""),0.0)</f>
        <v>0</v>
      </c>
      <c r="BJ84" s="16">
        <f>IFERROR(__xludf.DUMMYFUNCTION("""COMPUTED_VALUE"""),4.0)</f>
        <v>4</v>
      </c>
      <c r="BK84" s="16">
        <f>IFERROR(__xludf.DUMMYFUNCTION("""COMPUTED_VALUE"""),5.0)</f>
        <v>5</v>
      </c>
      <c r="BL84" s="16">
        <f>IFERROR(__xludf.DUMMYFUNCTION("""COMPUTED_VALUE"""),5.0)</f>
        <v>5</v>
      </c>
      <c r="BM84" s="16">
        <f>IFERROR(__xludf.DUMMYFUNCTION("""COMPUTED_VALUE"""),0.0)</f>
        <v>0</v>
      </c>
      <c r="BN84" s="16">
        <f>IFERROR(__xludf.DUMMYFUNCTION("""COMPUTED_VALUE"""),0.0)</f>
        <v>0</v>
      </c>
      <c r="BO84" s="16">
        <f>IFERROR(__xludf.DUMMYFUNCTION("""COMPUTED_VALUE"""),0.0)</f>
        <v>0</v>
      </c>
      <c r="BP84" s="16">
        <f>IFERROR(__xludf.DUMMYFUNCTION("""COMPUTED_VALUE"""),0.0)</f>
        <v>0</v>
      </c>
      <c r="BQ84" s="16">
        <f>IFERROR(__xludf.DUMMYFUNCTION("""COMPUTED_VALUE"""),0.0)</f>
        <v>0</v>
      </c>
      <c r="BR84" s="16">
        <f>IFERROR(__xludf.DUMMYFUNCTION("""COMPUTED_VALUE"""),2.0)</f>
        <v>2</v>
      </c>
      <c r="BS84" s="16">
        <f>IFERROR(__xludf.DUMMYFUNCTION("""COMPUTED_VALUE"""),-3.0)</f>
        <v>-3</v>
      </c>
      <c r="BT84" s="16">
        <f>IFERROR(__xludf.DUMMYFUNCTION("""COMPUTED_VALUE"""),-2.0)</f>
        <v>-2</v>
      </c>
      <c r="BU84" s="16">
        <f>IFERROR(__xludf.DUMMYFUNCTION("""COMPUTED_VALUE"""),-6.0)</f>
        <v>-6</v>
      </c>
      <c r="BV84" s="16">
        <f>IFERROR(__xludf.DUMMYFUNCTION("""COMPUTED_VALUE"""),-4.0)</f>
        <v>-4</v>
      </c>
      <c r="BW84" s="16">
        <f>IFERROR(__xludf.DUMMYFUNCTION("""COMPUTED_VALUE"""),0.0)</f>
        <v>0</v>
      </c>
      <c r="BX84" s="16">
        <f>IFERROR(__xludf.DUMMYFUNCTION("""COMPUTED_VALUE"""),0.0)</f>
        <v>0</v>
      </c>
      <c r="BY84" s="16" t="str">
        <f>IFERROR(__xludf.DUMMYFUNCTION("""COMPUTED_VALUE"""),"R(1) C(3)")</f>
        <v>R(1) C(3)</v>
      </c>
      <c r="BZ84" s="16" t="str">
        <f>IFERROR(__xludf.DUMMYFUNCTION("""COMPUTED_VALUE"""),"R(1) C(3)")</f>
        <v>R(1) C(3)</v>
      </c>
      <c r="CA84" s="16" t="str">
        <f>IFERROR(__xludf.DUMMYFUNCTION("""COMPUTED_VALUE"""),"R(1)")</f>
        <v>R(1)</v>
      </c>
      <c r="CB84" s="16" t="str">
        <f>IFERROR(__xludf.DUMMYFUNCTION("""COMPUTED_VALUE"""),"C(3)")</f>
        <v>C(3)</v>
      </c>
      <c r="CC84" s="16"/>
      <c r="CD84" s="16"/>
      <c r="CE84" s="16">
        <f>IFERROR(__xludf.DUMMYFUNCTION("""COMPUTED_VALUE"""),1.0)</f>
        <v>1</v>
      </c>
      <c r="CF84" s="16">
        <f>IFERROR(__xludf.DUMMYFUNCTION("""COMPUTED_VALUE"""),3.0)</f>
        <v>3</v>
      </c>
      <c r="CG84" s="16" t="str">
        <f>IFERROR(__xludf.DUMMYFUNCTION("""COMPUTED_VALUE"""),"4-0")</f>
        <v>4-0</v>
      </c>
      <c r="CH84" s="16">
        <f>IFERROR(__xludf.DUMMYFUNCTION("""COMPUTED_VALUE"""),4.0)</f>
        <v>4</v>
      </c>
      <c r="CI84" s="16">
        <f>IFERROR(__xludf.DUMMYFUNCTION("""COMPUTED_VALUE"""),0.0)</f>
        <v>0</v>
      </c>
      <c r="CJ84" s="16">
        <f>IFERROR(__xludf.DUMMYFUNCTION("""COMPUTED_VALUE"""),0.0)</f>
        <v>0</v>
      </c>
      <c r="CK84" s="16">
        <f>IFERROR(__xludf.DUMMYFUNCTION("""COMPUTED_VALUE"""),18.0)</f>
        <v>18</v>
      </c>
      <c r="CL84" s="16" t="str">
        <f>IFERROR(__xludf.DUMMYFUNCTION("""COMPUTED_VALUE"""),"1WR-C")</f>
        <v>1WR-C</v>
      </c>
      <c r="CM84" s="16" t="str">
        <f>IFERROR(__xludf.DUMMYFUNCTION("""COMPUTED_VALUE"""),"E")</f>
        <v>E</v>
      </c>
      <c r="CN84" s="16">
        <f>IFERROR(__xludf.DUMMYFUNCTION("""COMPUTED_VALUE"""),12.0)</f>
        <v>12</v>
      </c>
      <c r="CO84" s="16" t="str">
        <f>IFERROR(__xludf.DUMMYFUNCTION("""COMPUTED_VALUE"""),"C")</f>
        <v>C</v>
      </c>
      <c r="CP84" s="16" t="str">
        <f>IFERROR(__xludf.DUMMYFUNCTION("""COMPUTED_VALUE"""),"1p60")</f>
        <v>1p60</v>
      </c>
      <c r="CQ84" s="16">
        <f>IFERROR(__xludf.DUMMYFUNCTION("""COMPUTED_VALUE"""),7.0)</f>
        <v>7</v>
      </c>
      <c r="CR84" s="16">
        <f>IFERROR(__xludf.DUMMYFUNCTION("""COMPUTED_VALUE"""),40.0)</f>
        <v>40</v>
      </c>
      <c r="CS84" s="16">
        <f>IFERROR(__xludf.DUMMYFUNCTION("""COMPUTED_VALUE"""),47.0)</f>
        <v>47</v>
      </c>
      <c r="CT84" s="16">
        <f>IFERROR(__xludf.DUMMYFUNCTION("""COMPUTED_VALUE"""),7.0)</f>
        <v>7</v>
      </c>
      <c r="CU84" s="16">
        <f>IFERROR(__xludf.DUMMYFUNCTION("""COMPUTED_VALUE"""),40.0)</f>
        <v>40</v>
      </c>
      <c r="CV84" s="179">
        <f>IFERROR(__xludf.DUMMYFUNCTION("""COMPUTED_VALUE"""),23.0)</f>
        <v>23</v>
      </c>
      <c r="CW84" s="179">
        <f>IFERROR(__xludf.DUMMYFUNCTION("""COMPUTED_VALUE"""),4.0)</f>
        <v>4</v>
      </c>
      <c r="CX84" s="179">
        <f>IFERROR(__xludf.DUMMYFUNCTION("""COMPUTED_VALUE"""),1.0)</f>
        <v>1</v>
      </c>
      <c r="CY84" s="16" t="str">
        <f>IFERROR(__xludf.DUMMYFUNCTION("""COMPUTED_VALUE"""),"RP")</f>
        <v>RP</v>
      </c>
      <c r="CZ84" s="16" t="str">
        <f>IFERROR(__xludf.DUMMYFUNCTION("""COMPUTED_VALUE"""),"CP")</f>
        <v>CP</v>
      </c>
      <c r="DA84" s="16"/>
      <c r="DB84" s="16"/>
      <c r="DC84" s="16"/>
      <c r="DD84" s="16"/>
      <c r="DE84" s="16"/>
      <c r="DF84" s="16"/>
      <c r="DG84" s="16"/>
      <c r="DH84" s="16"/>
      <c r="DI84" s="16"/>
      <c r="DJ84" s="16"/>
      <c r="DK84" s="16"/>
    </row>
    <row r="85">
      <c r="A85" s="16">
        <f>IFERROR(__xludf.DUMMYFUNCTION("""COMPUTED_VALUE"""),12717.0)</f>
        <v>12717</v>
      </c>
      <c r="B85" s="16" t="str">
        <f>IFERROR(__xludf.DUMMYFUNCTION("""COMPUTED_VALUE"""),"Cristopher Sanchez")</f>
        <v>Cristopher Sanchez</v>
      </c>
      <c r="C85" s="153">
        <f>IFERROR(__xludf.DUMMYFUNCTION("""COMPUTED_VALUE"""),1.68)</f>
        <v>1.68</v>
      </c>
      <c r="D85" s="16"/>
      <c r="E85" s="16" t="str">
        <f>IFERROR(__xludf.DUMMYFUNCTION("""COMPUTED_VALUE"""),"L")</f>
        <v>L</v>
      </c>
      <c r="F85" s="16">
        <f>IFERROR(__xludf.DUMMYFUNCTION("""COMPUTED_VALUE"""),182.0)</f>
        <v>182</v>
      </c>
      <c r="G85" s="16">
        <f>IFERROR(__xludf.DUMMYFUNCTION("""COMPUTED_VALUE"""),19.0)</f>
        <v>19</v>
      </c>
      <c r="H85" s="16">
        <f>IFERROR(__xludf.DUMMYFUNCTION("""COMPUTED_VALUE"""),20.0)</f>
        <v>20</v>
      </c>
      <c r="I85" s="16">
        <f>IFERROR(__xludf.DUMMYFUNCTION("""COMPUTED_VALUE"""),-1.0)</f>
        <v>-1</v>
      </c>
      <c r="J85" s="16">
        <f>IFERROR(__xludf.DUMMYFUNCTION("""COMPUTED_VALUE"""),-1.0)</f>
        <v>-1</v>
      </c>
      <c r="K85" s="16">
        <f>IFERROR(__xludf.DUMMYFUNCTION("""COMPUTED_VALUE"""),-3.0)</f>
        <v>-3</v>
      </c>
      <c r="L85" s="16">
        <f>IFERROR(__xludf.DUMMYFUNCTION("""COMPUTED_VALUE"""),-3.0)</f>
        <v>-3</v>
      </c>
      <c r="M85" s="16">
        <f>IFERROR(__xludf.DUMMYFUNCTION("""COMPUTED_VALUE"""),1.0)</f>
        <v>1</v>
      </c>
      <c r="N85" s="16">
        <f>IFERROR(__xludf.DUMMYFUNCTION("""COMPUTED_VALUE"""),4.0)</f>
        <v>4</v>
      </c>
      <c r="O85" s="16">
        <f>IFERROR(__xludf.DUMMYFUNCTION("""COMPUTED_VALUE"""),3.0)</f>
        <v>3</v>
      </c>
      <c r="P85" s="16">
        <f>IFERROR(__xludf.DUMMYFUNCTION("""COMPUTED_VALUE"""),2.0)</f>
        <v>2</v>
      </c>
      <c r="Q85" s="16">
        <f>IFERROR(__xludf.DUMMYFUNCTION("""COMPUTED_VALUE"""),3.0)</f>
        <v>3</v>
      </c>
      <c r="R85" s="16">
        <f>IFERROR(__xludf.DUMMYFUNCTION("""COMPUTED_VALUE"""),2.0)</f>
        <v>2</v>
      </c>
      <c r="S85" s="16">
        <f>IFERROR(__xludf.DUMMYFUNCTION("""COMPUTED_VALUE"""),21.4)</f>
        <v>21.4</v>
      </c>
      <c r="T85" s="16">
        <f>IFERROR(__xludf.DUMMYFUNCTION("""COMPUTED_VALUE"""),22.4)</f>
        <v>22.4</v>
      </c>
      <c r="U85" s="16">
        <f>IFERROR(__xludf.DUMMYFUNCTION("""COMPUTED_VALUE"""),-1.0)</f>
        <v>-1</v>
      </c>
      <c r="V85" s="16">
        <f>IFERROR(__xludf.DUMMYFUNCTION("""COMPUTED_VALUE"""),-1.0)</f>
        <v>-1</v>
      </c>
      <c r="W85" s="16">
        <f>IFERROR(__xludf.DUMMYFUNCTION("""COMPUTED_VALUE"""),-2.0)</f>
        <v>-2</v>
      </c>
      <c r="X85" s="16">
        <f>IFERROR(__xludf.DUMMYFUNCTION("""COMPUTED_VALUE"""),-2.0)</f>
        <v>-2</v>
      </c>
      <c r="Y85" s="16">
        <f>IFERROR(__xludf.DUMMYFUNCTION("""COMPUTED_VALUE"""),22.4)</f>
        <v>22.4</v>
      </c>
      <c r="Z85" s="16">
        <f>IFERROR(__xludf.DUMMYFUNCTION("""COMPUTED_VALUE"""),26.4)</f>
        <v>26.4</v>
      </c>
      <c r="AA85" s="16">
        <f>IFERROR(__xludf.DUMMYFUNCTION("""COMPUTED_VALUE"""),1.0)</f>
        <v>1</v>
      </c>
      <c r="AB85" s="16">
        <f>IFERROR(__xludf.DUMMYFUNCTION("""COMPUTED_VALUE"""),0.0)</f>
        <v>0</v>
      </c>
      <c r="AC85" s="16">
        <f>IFERROR(__xludf.DUMMYFUNCTION("""COMPUTED_VALUE"""),5.0)</f>
        <v>5</v>
      </c>
      <c r="AD85" s="16">
        <f>IFERROR(__xludf.DUMMYFUNCTION("""COMPUTED_VALUE"""),0.0)</f>
        <v>0</v>
      </c>
      <c r="AE85" s="16">
        <f>IFERROR(__xludf.DUMMYFUNCTION("""COMPUTED_VALUE"""),26.0)</f>
        <v>26</v>
      </c>
      <c r="AF85" s="16">
        <f>IFERROR(__xludf.DUMMYFUNCTION("""COMPUTED_VALUE"""),28.1)</f>
        <v>28.1</v>
      </c>
      <c r="AG85" s="16">
        <f>IFERROR(__xludf.DUMMYFUNCTION("""COMPUTED_VALUE"""),0.0)</f>
        <v>0</v>
      </c>
      <c r="AH85" s="16">
        <f>IFERROR(__xludf.DUMMYFUNCTION("""COMPUTED_VALUE"""),0.0)</f>
        <v>0</v>
      </c>
      <c r="AI85" s="16">
        <f>IFERROR(__xludf.DUMMYFUNCTION("""COMPUTED_VALUE"""),0.0)</f>
        <v>0</v>
      </c>
      <c r="AJ85" s="16">
        <f>IFERROR(__xludf.DUMMYFUNCTION("""COMPUTED_VALUE"""),0.0)</f>
        <v>0</v>
      </c>
      <c r="AK85" s="16">
        <f>IFERROR(__xludf.DUMMYFUNCTION("""COMPUTED_VALUE"""),21.4)</f>
        <v>21.4</v>
      </c>
      <c r="AL85" s="16">
        <f>IFERROR(__xludf.DUMMYFUNCTION("""COMPUTED_VALUE"""),22.4)</f>
        <v>22.4</v>
      </c>
      <c r="AM85" s="16">
        <f>IFERROR(__xludf.DUMMYFUNCTION("""COMPUTED_VALUE"""),-1.0)</f>
        <v>-1</v>
      </c>
      <c r="AN85" s="16">
        <f>IFERROR(__xludf.DUMMYFUNCTION("""COMPUTED_VALUE"""),-2.0)</f>
        <v>-2</v>
      </c>
      <c r="AO85" s="16">
        <f>IFERROR(__xludf.DUMMYFUNCTION("""COMPUTED_VALUE"""),-1.0)</f>
        <v>-1</v>
      </c>
      <c r="AP85" s="16">
        <f>IFERROR(__xludf.DUMMYFUNCTION("""COMPUTED_VALUE"""),-2.0)</f>
        <v>-2</v>
      </c>
      <c r="AQ85" s="16">
        <f>IFERROR(__xludf.DUMMYFUNCTION("""COMPUTED_VALUE"""),26.0)</f>
        <v>26</v>
      </c>
      <c r="AR85" s="16">
        <f>IFERROR(__xludf.DUMMYFUNCTION("""COMPUTED_VALUE"""),28.1)</f>
        <v>28.1</v>
      </c>
      <c r="AS85" s="16">
        <f>IFERROR(__xludf.DUMMYFUNCTION("""COMPUTED_VALUE"""),-1.0)</f>
        <v>-1</v>
      </c>
      <c r="AT85" s="16">
        <f>IFERROR(__xludf.DUMMYFUNCTION("""COMPUTED_VALUE"""),-1.0)</f>
        <v>-1</v>
      </c>
      <c r="AU85" s="16">
        <f>IFERROR(__xludf.DUMMYFUNCTION("""COMPUTED_VALUE"""),-2.0)</f>
        <v>-2</v>
      </c>
      <c r="AV85" s="16">
        <f>IFERROR(__xludf.DUMMYFUNCTION("""COMPUTED_VALUE"""),-2.0)</f>
        <v>-2</v>
      </c>
      <c r="AW85" s="16">
        <f>IFERROR(__xludf.DUMMYFUNCTION("""COMPUTED_VALUE"""),0.0)</f>
        <v>0</v>
      </c>
      <c r="AX85" s="16">
        <f>IFERROR(__xludf.DUMMYFUNCTION("""COMPUTED_VALUE"""),0.0)</f>
        <v>0</v>
      </c>
      <c r="AY85" s="16">
        <f>IFERROR(__xludf.DUMMYFUNCTION("""COMPUTED_VALUE"""),2.0)</f>
        <v>2</v>
      </c>
      <c r="AZ85" s="16">
        <f>IFERROR(__xludf.DUMMYFUNCTION("""COMPUTED_VALUE"""),2.0)</f>
        <v>2</v>
      </c>
      <c r="BA85" s="16">
        <f>IFERROR(__xludf.DUMMYFUNCTION("""COMPUTED_VALUE"""),10.0)</f>
        <v>10</v>
      </c>
      <c r="BB85" s="16">
        <f>IFERROR(__xludf.DUMMYFUNCTION("""COMPUTED_VALUE"""),10.0)</f>
        <v>10</v>
      </c>
      <c r="BC85" s="16">
        <f>IFERROR(__xludf.DUMMYFUNCTION("""COMPUTED_VALUE"""),0.0)</f>
        <v>0</v>
      </c>
      <c r="BD85" s="16">
        <f>IFERROR(__xludf.DUMMYFUNCTION("""COMPUTED_VALUE"""),0.0)</f>
        <v>0</v>
      </c>
      <c r="BE85" s="16">
        <f>IFERROR(__xludf.DUMMYFUNCTION("""COMPUTED_VALUE"""),0.0)</f>
        <v>0</v>
      </c>
      <c r="BF85" s="16">
        <f>IFERROR(__xludf.DUMMYFUNCTION("""COMPUTED_VALUE"""),0.0)</f>
        <v>0</v>
      </c>
      <c r="BG85" s="16">
        <f>IFERROR(__xludf.DUMMYFUNCTION("""COMPUTED_VALUE"""),3.0)</f>
        <v>3</v>
      </c>
      <c r="BH85" s="16">
        <f>IFERROR(__xludf.DUMMYFUNCTION("""COMPUTED_VALUE"""),2.0)</f>
        <v>2</v>
      </c>
      <c r="BI85" s="16">
        <f>IFERROR(__xludf.DUMMYFUNCTION("""COMPUTED_VALUE"""),6.0)</f>
        <v>6</v>
      </c>
      <c r="BJ85" s="16">
        <f>IFERROR(__xludf.DUMMYFUNCTION("""COMPUTED_VALUE"""),4.0)</f>
        <v>4</v>
      </c>
      <c r="BK85" s="16">
        <f>IFERROR(__xludf.DUMMYFUNCTION("""COMPUTED_VALUE"""),5.0)</f>
        <v>5</v>
      </c>
      <c r="BL85" s="16">
        <f>IFERROR(__xludf.DUMMYFUNCTION("""COMPUTED_VALUE"""),5.0)</f>
        <v>5</v>
      </c>
      <c r="BM85" s="16">
        <f>IFERROR(__xludf.DUMMYFUNCTION("""COMPUTED_VALUE"""),0.0)</f>
        <v>0</v>
      </c>
      <c r="BN85" s="16">
        <f>IFERROR(__xludf.DUMMYFUNCTION("""COMPUTED_VALUE"""),0.0)</f>
        <v>0</v>
      </c>
      <c r="BO85" s="16">
        <f>IFERROR(__xludf.DUMMYFUNCTION("""COMPUTED_VALUE"""),0.0)</f>
        <v>0</v>
      </c>
      <c r="BP85" s="16">
        <f>IFERROR(__xludf.DUMMYFUNCTION("""COMPUTED_VALUE"""),0.0)</f>
        <v>0</v>
      </c>
      <c r="BQ85" s="16">
        <f>IFERROR(__xludf.DUMMYFUNCTION("""COMPUTED_VALUE"""),9.0)</f>
        <v>9</v>
      </c>
      <c r="BR85" s="16">
        <f>IFERROR(__xludf.DUMMYFUNCTION("""COMPUTED_VALUE"""),9.0)</f>
        <v>9</v>
      </c>
      <c r="BS85" s="16">
        <f>IFERROR(__xludf.DUMMYFUNCTION("""COMPUTED_VALUE"""),3.0)</f>
        <v>3</v>
      </c>
      <c r="BT85" s="16">
        <f>IFERROR(__xludf.DUMMYFUNCTION("""COMPUTED_VALUE"""),3.0)</f>
        <v>3</v>
      </c>
      <c r="BU85" s="16">
        <f>IFERROR(__xludf.DUMMYFUNCTION("""COMPUTED_VALUE"""),6.0)</f>
        <v>6</v>
      </c>
      <c r="BV85" s="16">
        <f>IFERROR(__xludf.DUMMYFUNCTION("""COMPUTED_VALUE"""),6.0)</f>
        <v>6</v>
      </c>
      <c r="BW85" s="16">
        <f>IFERROR(__xludf.DUMMYFUNCTION("""COMPUTED_VALUE"""),1.0)</f>
        <v>1</v>
      </c>
      <c r="BX85" s="16">
        <f>IFERROR(__xludf.DUMMYFUNCTION("""COMPUTED_VALUE"""),1.0)</f>
        <v>1</v>
      </c>
      <c r="BY85" s="16" t="str">
        <f>IFERROR(__xludf.DUMMYFUNCTION("""COMPUTED_VALUE"""),"S(6)")</f>
        <v>S(6)</v>
      </c>
      <c r="BZ85" s="16" t="str">
        <f>IFERROR(__xludf.DUMMYFUNCTION("""COMPUTED_VALUE"""),"S(6)")</f>
        <v>S(6)</v>
      </c>
      <c r="CA85" s="16" t="str">
        <f>IFERROR(__xludf.DUMMYFUNCTION("""COMPUTED_VALUE"""),"S(6)")</f>
        <v>S(6)</v>
      </c>
      <c r="CB85" s="16"/>
      <c r="CC85" s="16"/>
      <c r="CD85" s="16">
        <f>IFERROR(__xludf.DUMMYFUNCTION("""COMPUTED_VALUE"""),6.0)</f>
        <v>6</v>
      </c>
      <c r="CE85" s="16"/>
      <c r="CF85" s="16"/>
      <c r="CG85" s="16" t="str">
        <f>IFERROR(__xludf.DUMMYFUNCTION("""COMPUTED_VALUE"""),"3-40")</f>
        <v>3-40</v>
      </c>
      <c r="CH85" s="16">
        <f>IFERROR(__xludf.DUMMYFUNCTION("""COMPUTED_VALUE"""),3.0)</f>
        <v>3</v>
      </c>
      <c r="CI85" s="16">
        <f>IFERROR(__xludf.DUMMYFUNCTION("""COMPUTED_VALUE"""),40.0)</f>
        <v>40</v>
      </c>
      <c r="CJ85" s="16">
        <f>IFERROR(__xludf.DUMMYFUNCTION("""COMPUTED_VALUE"""),2.0)</f>
        <v>2</v>
      </c>
      <c r="CK85" s="16">
        <f>IFERROR(__xludf.DUMMYFUNCTION("""COMPUTED_VALUE"""),8.0)</f>
        <v>8</v>
      </c>
      <c r="CL85" s="16" t="str">
        <f>IFERROR(__xludf.DUMMYFUNCTION("""COMPUTED_VALUE"""),"1WL-C")</f>
        <v>1WL-C</v>
      </c>
      <c r="CM85" s="16" t="str">
        <f>IFERROR(__xludf.DUMMYFUNCTION("""COMPUTED_VALUE"""),"E")</f>
        <v>E</v>
      </c>
      <c r="CN85" s="16">
        <f>IFERROR(__xludf.DUMMYFUNCTION("""COMPUTED_VALUE"""),10.0)</f>
        <v>10</v>
      </c>
      <c r="CO85" s="16" t="str">
        <f>IFERROR(__xludf.DUMMYFUNCTION("""COMPUTED_VALUE"""),"C")</f>
        <v>C</v>
      </c>
      <c r="CP85" s="16" t="str">
        <f>IFERROR(__xludf.DUMMYFUNCTION("""COMPUTED_VALUE"""),"1p70")</f>
        <v>1p70</v>
      </c>
      <c r="CQ85" s="16">
        <f>IFERROR(__xludf.DUMMYFUNCTION("""COMPUTED_VALUE"""),22.0)</f>
        <v>22</v>
      </c>
      <c r="CR85" s="16">
        <f>IFERROR(__xludf.DUMMYFUNCTION("""COMPUTED_VALUE"""),13.0)</f>
        <v>13</v>
      </c>
      <c r="CS85" s="16">
        <f>IFERROR(__xludf.DUMMYFUNCTION("""COMPUTED_VALUE"""),35.0)</f>
        <v>35</v>
      </c>
      <c r="CT85" s="16">
        <f>IFERROR(__xludf.DUMMYFUNCTION("""COMPUTED_VALUE"""),22.0)</f>
        <v>22</v>
      </c>
      <c r="CU85" s="16">
        <f>IFERROR(__xludf.DUMMYFUNCTION("""COMPUTED_VALUE"""),13.0)</f>
        <v>13</v>
      </c>
      <c r="CV85" s="179">
        <f>IFERROR(__xludf.DUMMYFUNCTION("""COMPUTED_VALUE"""),23.0)</f>
        <v>23</v>
      </c>
      <c r="CW85" s="179">
        <f>IFERROR(__xludf.DUMMYFUNCTION("""COMPUTED_VALUE"""),4.0)</f>
        <v>4</v>
      </c>
      <c r="CX85" s="179">
        <f>IFERROR(__xludf.DUMMYFUNCTION("""COMPUTED_VALUE"""),3.0)</f>
        <v>3</v>
      </c>
      <c r="CY85" s="16" t="str">
        <f>IFERROR(__xludf.DUMMYFUNCTION("""COMPUTED_VALUE"""),"SP")</f>
        <v>SP</v>
      </c>
      <c r="CZ85" s="16"/>
      <c r="DA85" s="16"/>
      <c r="DB85" s="16"/>
      <c r="DC85" s="16"/>
      <c r="DD85" s="16"/>
      <c r="DE85" s="16"/>
      <c r="DF85" s="16"/>
      <c r="DG85" s="16"/>
      <c r="DH85" s="16"/>
      <c r="DI85" s="16"/>
      <c r="DJ85" s="16"/>
      <c r="DK85" s="16"/>
    </row>
    <row r="86">
      <c r="A86" s="16">
        <f>IFERROR(__xludf.DUMMYFUNCTION("""COMPUTED_VALUE"""),12804.0)</f>
        <v>12804</v>
      </c>
      <c r="B86" s="16" t="str">
        <f>IFERROR(__xludf.DUMMYFUNCTION("""COMPUTED_VALUE"""),"Erick Fedde")</f>
        <v>Erick Fedde</v>
      </c>
      <c r="C86" s="153">
        <f>IFERROR(__xludf.DUMMYFUNCTION("""COMPUTED_VALUE"""),2.84)</f>
        <v>2.84</v>
      </c>
      <c r="D86" s="16"/>
      <c r="E86" s="16" t="str">
        <f>IFERROR(__xludf.DUMMYFUNCTION("""COMPUTED_VALUE"""),"R")</f>
        <v>R</v>
      </c>
      <c r="F86" s="16">
        <f>IFERROR(__xludf.DUMMYFUNCTION("""COMPUTED_VALUE"""),177.0)</f>
        <v>177</v>
      </c>
      <c r="G86" s="16">
        <f>IFERROR(__xludf.DUMMYFUNCTION("""COMPUTED_VALUE"""),20.0)</f>
        <v>20</v>
      </c>
      <c r="H86" s="16">
        <f>IFERROR(__xludf.DUMMYFUNCTION("""COMPUTED_VALUE"""),24.0)</f>
        <v>24</v>
      </c>
      <c r="I86" s="16">
        <f>IFERROR(__xludf.DUMMYFUNCTION("""COMPUTED_VALUE"""),-1.0)</f>
        <v>-1</v>
      </c>
      <c r="J86" s="16">
        <f>IFERROR(__xludf.DUMMYFUNCTION("""COMPUTED_VALUE"""),0.0)</f>
        <v>0</v>
      </c>
      <c r="K86" s="16">
        <f>IFERROR(__xludf.DUMMYFUNCTION("""COMPUTED_VALUE"""),-3.0)</f>
        <v>-3</v>
      </c>
      <c r="L86" s="16">
        <f>IFERROR(__xludf.DUMMYFUNCTION("""COMPUTED_VALUE"""),0.0)</f>
        <v>0</v>
      </c>
      <c r="M86" s="16">
        <f>IFERROR(__xludf.DUMMYFUNCTION("""COMPUTED_VALUE"""),10.0)</f>
        <v>10</v>
      </c>
      <c r="N86" s="16">
        <f>IFERROR(__xludf.DUMMYFUNCTION("""COMPUTED_VALUE"""),3.0)</f>
        <v>3</v>
      </c>
      <c r="O86" s="16">
        <f>IFERROR(__xludf.DUMMYFUNCTION("""COMPUTED_VALUE"""),0.0)</f>
        <v>0</v>
      </c>
      <c r="P86" s="16">
        <f>IFERROR(__xludf.DUMMYFUNCTION("""COMPUTED_VALUE"""),2.0)</f>
        <v>2</v>
      </c>
      <c r="Q86" s="16">
        <f>IFERROR(__xludf.DUMMYFUNCTION("""COMPUTED_VALUE"""),0.0)</f>
        <v>0</v>
      </c>
      <c r="R86" s="16">
        <f>IFERROR(__xludf.DUMMYFUNCTION("""COMPUTED_VALUE"""),2.0)</f>
        <v>2</v>
      </c>
      <c r="S86" s="16">
        <f>IFERROR(__xludf.DUMMYFUNCTION("""COMPUTED_VALUE"""),10.1)</f>
        <v>10.1</v>
      </c>
      <c r="T86" s="16">
        <f>IFERROR(__xludf.DUMMYFUNCTION("""COMPUTED_VALUE"""),16.7)</f>
        <v>16.7</v>
      </c>
      <c r="U86" s="16">
        <f>IFERROR(__xludf.DUMMYFUNCTION("""COMPUTED_VALUE"""),1.0)</f>
        <v>1</v>
      </c>
      <c r="V86" s="16">
        <f>IFERROR(__xludf.DUMMYFUNCTION("""COMPUTED_VALUE"""),0.0)</f>
        <v>0</v>
      </c>
      <c r="W86" s="16">
        <f>IFERROR(__xludf.DUMMYFUNCTION("""COMPUTED_VALUE"""),2.0)</f>
        <v>2</v>
      </c>
      <c r="X86" s="16">
        <f>IFERROR(__xludf.DUMMYFUNCTION("""COMPUTED_VALUE"""),0.0)</f>
        <v>0</v>
      </c>
      <c r="Y86" s="16">
        <f>IFERROR(__xludf.DUMMYFUNCTION("""COMPUTED_VALUE"""),20.1)</f>
        <v>20.1</v>
      </c>
      <c r="Z86" s="16">
        <f>IFERROR(__xludf.DUMMYFUNCTION("""COMPUTED_VALUE"""),19.7)</f>
        <v>19.7</v>
      </c>
      <c r="AA86" s="16">
        <f>IFERROR(__xludf.DUMMYFUNCTION("""COMPUTED_VALUE"""),1.0)</f>
        <v>1</v>
      </c>
      <c r="AB86" s="16">
        <f>IFERROR(__xludf.DUMMYFUNCTION("""COMPUTED_VALUE"""),1.0)</f>
        <v>1</v>
      </c>
      <c r="AC86" s="16">
        <f>IFERROR(__xludf.DUMMYFUNCTION("""COMPUTED_VALUE"""),5.0)</f>
        <v>5</v>
      </c>
      <c r="AD86" s="16">
        <f>IFERROR(__xludf.DUMMYFUNCTION("""COMPUTED_VALUE"""),5.0)</f>
        <v>5</v>
      </c>
      <c r="AE86" s="16">
        <f>IFERROR(__xludf.DUMMYFUNCTION("""COMPUTED_VALUE"""),21.9)</f>
        <v>21.9</v>
      </c>
      <c r="AF86" s="16">
        <f>IFERROR(__xludf.DUMMYFUNCTION("""COMPUTED_VALUE"""),23.7)</f>
        <v>23.7</v>
      </c>
      <c r="AG86" s="16">
        <f>IFERROR(__xludf.DUMMYFUNCTION("""COMPUTED_VALUE"""),1.0)</f>
        <v>1</v>
      </c>
      <c r="AH86" s="16">
        <f>IFERROR(__xludf.DUMMYFUNCTION("""COMPUTED_VALUE"""),1.0)</f>
        <v>1</v>
      </c>
      <c r="AI86" s="16">
        <f>IFERROR(__xludf.DUMMYFUNCTION("""COMPUTED_VALUE"""),2.0)</f>
        <v>2</v>
      </c>
      <c r="AJ86" s="16">
        <f>IFERROR(__xludf.DUMMYFUNCTION("""COMPUTED_VALUE"""),2.0)</f>
        <v>2</v>
      </c>
      <c r="AK86" s="16">
        <f>IFERROR(__xludf.DUMMYFUNCTION("""COMPUTED_VALUE"""),7.8999999999999995)</f>
        <v>7.9</v>
      </c>
      <c r="AL86" s="16">
        <f>IFERROR(__xludf.DUMMYFUNCTION("""COMPUTED_VALUE"""),16.099999999999998)</f>
        <v>16.1</v>
      </c>
      <c r="AM86" s="16">
        <f>IFERROR(__xludf.DUMMYFUNCTION("""COMPUTED_VALUE"""),1.0)</f>
        <v>1</v>
      </c>
      <c r="AN86" s="16">
        <f>IFERROR(__xludf.DUMMYFUNCTION("""COMPUTED_VALUE"""),0.0)</f>
        <v>0</v>
      </c>
      <c r="AO86" s="16">
        <f>IFERROR(__xludf.DUMMYFUNCTION("""COMPUTED_VALUE"""),1.0)</f>
        <v>1</v>
      </c>
      <c r="AP86" s="16">
        <f>IFERROR(__xludf.DUMMYFUNCTION("""COMPUTED_VALUE"""),0.0)</f>
        <v>0</v>
      </c>
      <c r="AQ86" s="16">
        <f>IFERROR(__xludf.DUMMYFUNCTION("""COMPUTED_VALUE"""),13.099999999999998)</f>
        <v>13.1</v>
      </c>
      <c r="AR86" s="16">
        <f>IFERROR(__xludf.DUMMYFUNCTION("""COMPUTED_VALUE"""),21.3)</f>
        <v>21.3</v>
      </c>
      <c r="AS86" s="16">
        <f>IFERROR(__xludf.DUMMYFUNCTION("""COMPUTED_VALUE"""),1.0)</f>
        <v>1</v>
      </c>
      <c r="AT86" s="16">
        <f>IFERROR(__xludf.DUMMYFUNCTION("""COMPUTED_VALUE"""),0.0)</f>
        <v>0</v>
      </c>
      <c r="AU86" s="16">
        <f>IFERROR(__xludf.DUMMYFUNCTION("""COMPUTED_VALUE"""),2.0)</f>
        <v>2</v>
      </c>
      <c r="AV86" s="16">
        <f>IFERROR(__xludf.DUMMYFUNCTION("""COMPUTED_VALUE"""),0.0)</f>
        <v>0</v>
      </c>
      <c r="AW86" s="16">
        <f>IFERROR(__xludf.DUMMYFUNCTION("""COMPUTED_VALUE"""),2.2)</f>
        <v>2.2</v>
      </c>
      <c r="AX86" s="16">
        <f>IFERROR(__xludf.DUMMYFUNCTION("""COMPUTED_VALUE"""),0.6)</f>
        <v>0.6</v>
      </c>
      <c r="AY86" s="16">
        <f>IFERROR(__xludf.DUMMYFUNCTION("""COMPUTED_VALUE"""),0.0)</f>
        <v>0</v>
      </c>
      <c r="AZ86" s="16">
        <f>IFERROR(__xludf.DUMMYFUNCTION("""COMPUTED_VALUE"""),2.0)</f>
        <v>2</v>
      </c>
      <c r="BA86" s="16">
        <f>IFERROR(__xludf.DUMMYFUNCTION("""COMPUTED_VALUE"""),0.0)</f>
        <v>0</v>
      </c>
      <c r="BB86" s="16">
        <f>IFERROR(__xludf.DUMMYFUNCTION("""COMPUTED_VALUE"""),10.0)</f>
        <v>10</v>
      </c>
      <c r="BC86" s="16">
        <f>IFERROR(__xludf.DUMMYFUNCTION("""COMPUTED_VALUE"""),3.0)</f>
        <v>3</v>
      </c>
      <c r="BD86" s="16">
        <f>IFERROR(__xludf.DUMMYFUNCTION("""COMPUTED_VALUE"""),1.0)</f>
        <v>1</v>
      </c>
      <c r="BE86" s="16">
        <f>IFERROR(__xludf.DUMMYFUNCTION("""COMPUTED_VALUE"""),3.0)</f>
        <v>3</v>
      </c>
      <c r="BF86" s="16">
        <f>IFERROR(__xludf.DUMMYFUNCTION("""COMPUTED_VALUE"""),1.0)</f>
        <v>1</v>
      </c>
      <c r="BG86" s="16">
        <f>IFERROR(__xludf.DUMMYFUNCTION("""COMPUTED_VALUE"""),0.0)</f>
        <v>0</v>
      </c>
      <c r="BH86" s="16">
        <f>IFERROR(__xludf.DUMMYFUNCTION("""COMPUTED_VALUE"""),2.0)</f>
        <v>2</v>
      </c>
      <c r="BI86" s="16">
        <f>IFERROR(__xludf.DUMMYFUNCTION("""COMPUTED_VALUE"""),0.0)</f>
        <v>0</v>
      </c>
      <c r="BJ86" s="16">
        <f>IFERROR(__xludf.DUMMYFUNCTION("""COMPUTED_VALUE"""),4.0)</f>
        <v>4</v>
      </c>
      <c r="BK86" s="16">
        <f>IFERROR(__xludf.DUMMYFUNCTION("""COMPUTED_VALUE"""),5.0)</f>
        <v>5</v>
      </c>
      <c r="BL86" s="16">
        <f>IFERROR(__xludf.DUMMYFUNCTION("""COMPUTED_VALUE"""),5.0)</f>
        <v>5</v>
      </c>
      <c r="BM86" s="16">
        <f>IFERROR(__xludf.DUMMYFUNCTION("""COMPUTED_VALUE"""),0.0)</f>
        <v>0</v>
      </c>
      <c r="BN86" s="16">
        <f>IFERROR(__xludf.DUMMYFUNCTION("""COMPUTED_VALUE"""),0.0)</f>
        <v>0</v>
      </c>
      <c r="BO86" s="16">
        <f>IFERROR(__xludf.DUMMYFUNCTION("""COMPUTED_VALUE"""),0.0)</f>
        <v>0</v>
      </c>
      <c r="BP86" s="16">
        <f>IFERROR(__xludf.DUMMYFUNCTION("""COMPUTED_VALUE"""),0.0)</f>
        <v>0</v>
      </c>
      <c r="BQ86" s="16">
        <f>IFERROR(__xludf.DUMMYFUNCTION("""COMPUTED_VALUE"""),6.0)</f>
        <v>6</v>
      </c>
      <c r="BR86" s="16">
        <f>IFERROR(__xludf.DUMMYFUNCTION("""COMPUTED_VALUE"""),6.0)</f>
        <v>6</v>
      </c>
      <c r="BS86" s="16">
        <f>IFERROR(__xludf.DUMMYFUNCTION("""COMPUTED_VALUE"""),1.0)</f>
        <v>1</v>
      </c>
      <c r="BT86" s="16">
        <f>IFERROR(__xludf.DUMMYFUNCTION("""COMPUTED_VALUE"""),1.0)</f>
        <v>1</v>
      </c>
      <c r="BU86" s="16">
        <f>IFERROR(__xludf.DUMMYFUNCTION("""COMPUTED_VALUE"""),2.0)</f>
        <v>2</v>
      </c>
      <c r="BV86" s="16">
        <f>IFERROR(__xludf.DUMMYFUNCTION("""COMPUTED_VALUE"""),2.0)</f>
        <v>2</v>
      </c>
      <c r="BW86" s="16">
        <f>IFERROR(__xludf.DUMMYFUNCTION("""COMPUTED_VALUE"""),-2.0)</f>
        <v>-2</v>
      </c>
      <c r="BX86" s="16">
        <f>IFERROR(__xludf.DUMMYFUNCTION("""COMPUTED_VALUE"""),-2.0)</f>
        <v>-2</v>
      </c>
      <c r="BY86" s="16" t="str">
        <f>IFERROR(__xludf.DUMMYFUNCTION("""COMPUTED_VALUE"""),"S(6)")</f>
        <v>S(6)</v>
      </c>
      <c r="BZ86" s="16" t="str">
        <f>IFERROR(__xludf.DUMMYFUNCTION("""COMPUTED_VALUE"""),"S(6)")</f>
        <v>S(6)</v>
      </c>
      <c r="CA86" s="16" t="str">
        <f>IFERROR(__xludf.DUMMYFUNCTION("""COMPUTED_VALUE"""),"S(6)")</f>
        <v>S(6)</v>
      </c>
      <c r="CB86" s="16"/>
      <c r="CC86" s="16"/>
      <c r="CD86" s="16">
        <f>IFERROR(__xludf.DUMMYFUNCTION("""COMPUTED_VALUE"""),6.0)</f>
        <v>6</v>
      </c>
      <c r="CE86" s="16"/>
      <c r="CF86" s="16"/>
      <c r="CG86" s="16" t="str">
        <f>IFERROR(__xludf.DUMMYFUNCTION("""COMPUTED_VALUE"""),"3-8")</f>
        <v>3-8</v>
      </c>
      <c r="CH86" s="16">
        <f>IFERROR(__xludf.DUMMYFUNCTION("""COMPUTED_VALUE"""),3.0)</f>
        <v>3</v>
      </c>
      <c r="CI86" s="16">
        <f>IFERROR(__xludf.DUMMYFUNCTION("""COMPUTED_VALUE"""),8.0)</f>
        <v>8</v>
      </c>
      <c r="CJ86" s="16">
        <f>IFERROR(__xludf.DUMMYFUNCTION("""COMPUTED_VALUE"""),2.0)</f>
        <v>2</v>
      </c>
      <c r="CK86" s="16">
        <f>IFERROR(__xludf.DUMMYFUNCTION("""COMPUTED_VALUE"""),3.0)</f>
        <v>3</v>
      </c>
      <c r="CL86" s="16" t="str">
        <f>IFERROR(__xludf.DUMMYFUNCTION("""COMPUTED_VALUE"""),"1WR-C")</f>
        <v>1WR-C</v>
      </c>
      <c r="CM86" s="16" t="str">
        <f>IFERROR(__xludf.DUMMYFUNCTION("""COMPUTED_VALUE"""),"E")</f>
        <v>E</v>
      </c>
      <c r="CN86" s="16">
        <f>IFERROR(__xludf.DUMMYFUNCTION("""COMPUTED_VALUE"""),10.0)</f>
        <v>10</v>
      </c>
      <c r="CO86" s="16" t="str">
        <f>IFERROR(__xludf.DUMMYFUNCTION("""COMPUTED_VALUE"""),"C")</f>
        <v>C</v>
      </c>
      <c r="CP86" s="16" t="str">
        <f>IFERROR(__xludf.DUMMYFUNCTION("""COMPUTED_VALUE"""),"1p70")</f>
        <v>1p70</v>
      </c>
      <c r="CQ86" s="16">
        <f>IFERROR(__xludf.DUMMYFUNCTION("""COMPUTED_VALUE"""),11.0)</f>
        <v>11</v>
      </c>
      <c r="CR86" s="16">
        <f>IFERROR(__xludf.DUMMYFUNCTION("""COMPUTED_VALUE"""),25.0)</f>
        <v>25</v>
      </c>
      <c r="CS86" s="16">
        <f>IFERROR(__xludf.DUMMYFUNCTION("""COMPUTED_VALUE"""),36.0)</f>
        <v>36</v>
      </c>
      <c r="CT86" s="16">
        <f>IFERROR(__xludf.DUMMYFUNCTION("""COMPUTED_VALUE"""),11.0)</f>
        <v>11</v>
      </c>
      <c r="CU86" s="16">
        <f>IFERROR(__xludf.DUMMYFUNCTION("""COMPUTED_VALUE"""),25.0)</f>
        <v>25</v>
      </c>
      <c r="CV86" s="179">
        <f>IFERROR(__xludf.DUMMYFUNCTION("""COMPUTED_VALUE"""),22.666666666666664)</f>
        <v>22.66666667</v>
      </c>
      <c r="CW86" s="179">
        <f>IFERROR(__xludf.DUMMYFUNCTION("""COMPUTED_VALUE"""),4.0)</f>
        <v>4</v>
      </c>
      <c r="CX86" s="179">
        <f>IFERROR(__xludf.DUMMYFUNCTION("""COMPUTED_VALUE"""),3.0)</f>
        <v>3</v>
      </c>
      <c r="CY86" s="16" t="str">
        <f>IFERROR(__xludf.DUMMYFUNCTION("""COMPUTED_VALUE"""),"SP")</f>
        <v>SP</v>
      </c>
      <c r="CZ86" s="16"/>
      <c r="DA86" s="16"/>
      <c r="DB86" s="16"/>
      <c r="DC86" s="16"/>
      <c r="DD86" s="16"/>
      <c r="DE86" s="16"/>
      <c r="DF86" s="16"/>
      <c r="DG86" s="16"/>
      <c r="DH86" s="16"/>
      <c r="DI86" s="16"/>
      <c r="DJ86" s="16"/>
      <c r="DK86" s="16"/>
    </row>
    <row r="87">
      <c r="A87" s="16">
        <f>IFERROR(__xludf.DUMMYFUNCTION("""COMPUTED_VALUE"""),13307.0)</f>
        <v>13307</v>
      </c>
      <c r="B87" s="16" t="str">
        <f>IFERROR(__xludf.DUMMYFUNCTION("""COMPUTED_VALUE"""),"Rhett Lowder")</f>
        <v>Rhett Lowder</v>
      </c>
      <c r="C87" s="153">
        <f>IFERROR(__xludf.DUMMYFUNCTION("""COMPUTED_VALUE"""),4.65)</f>
        <v>4.65</v>
      </c>
      <c r="D87" s="16"/>
      <c r="E87" s="16" t="str">
        <f>IFERROR(__xludf.DUMMYFUNCTION("""COMPUTED_VALUE"""),"R")</f>
        <v>R</v>
      </c>
      <c r="F87" s="16">
        <f>IFERROR(__xludf.DUMMYFUNCTION("""COMPUTED_VALUE"""),31.0)</f>
        <v>31</v>
      </c>
      <c r="G87" s="16">
        <f>IFERROR(__xludf.DUMMYFUNCTION("""COMPUTED_VALUE"""),15.0)</f>
        <v>15</v>
      </c>
      <c r="H87" s="16">
        <f>IFERROR(__xludf.DUMMYFUNCTION("""COMPUTED_VALUE"""),9.0)</f>
        <v>9</v>
      </c>
      <c r="I87" s="16">
        <f>IFERROR(__xludf.DUMMYFUNCTION("""COMPUTED_VALUE"""),-2.0)</f>
        <v>-2</v>
      </c>
      <c r="J87" s="16">
        <f>IFERROR(__xludf.DUMMYFUNCTION("""COMPUTED_VALUE"""),-2.0)</f>
        <v>-2</v>
      </c>
      <c r="K87" s="16">
        <f>IFERROR(__xludf.DUMMYFUNCTION("""COMPUTED_VALUE"""),-6.0)</f>
        <v>-6</v>
      </c>
      <c r="L87" s="16">
        <f>IFERROR(__xludf.DUMMYFUNCTION("""COMPUTED_VALUE"""),-6.0)</f>
        <v>-6</v>
      </c>
      <c r="M87" s="16">
        <f>IFERROR(__xludf.DUMMYFUNCTION("""COMPUTED_VALUE"""),29.0)</f>
        <v>29</v>
      </c>
      <c r="N87" s="16">
        <f>IFERROR(__xludf.DUMMYFUNCTION("""COMPUTED_VALUE"""),2.0)</f>
        <v>2</v>
      </c>
      <c r="O87" s="16">
        <f>IFERROR(__xludf.DUMMYFUNCTION("""COMPUTED_VALUE"""),-3.0)</f>
        <v>-3</v>
      </c>
      <c r="P87" s="16">
        <f>IFERROR(__xludf.DUMMYFUNCTION("""COMPUTED_VALUE"""),3.0)</f>
        <v>3</v>
      </c>
      <c r="Q87" s="16">
        <f>IFERROR(__xludf.DUMMYFUNCTION("""COMPUTED_VALUE"""),-3.0)</f>
        <v>-3</v>
      </c>
      <c r="R87" s="16">
        <f>IFERROR(__xludf.DUMMYFUNCTION("""COMPUTED_VALUE"""),3.0)</f>
        <v>3</v>
      </c>
      <c r="S87" s="16">
        <f>IFERROR(__xludf.DUMMYFUNCTION("""COMPUTED_VALUE"""),0.8)</f>
        <v>0.8</v>
      </c>
      <c r="T87" s="16">
        <f>IFERROR(__xludf.DUMMYFUNCTION("""COMPUTED_VALUE"""),18.8)</f>
        <v>18.8</v>
      </c>
      <c r="U87" s="16">
        <f>IFERROR(__xludf.DUMMYFUNCTION("""COMPUTED_VALUE"""),2.0)</f>
        <v>2</v>
      </c>
      <c r="V87" s="16">
        <f>IFERROR(__xludf.DUMMYFUNCTION("""COMPUTED_VALUE"""),-1.0)</f>
        <v>-1</v>
      </c>
      <c r="W87" s="16">
        <f>IFERROR(__xludf.DUMMYFUNCTION("""COMPUTED_VALUE"""),4.0)</f>
        <v>4</v>
      </c>
      <c r="X87" s="16">
        <f>IFERROR(__xludf.DUMMYFUNCTION("""COMPUTED_VALUE"""),-2.0)</f>
        <v>-2</v>
      </c>
      <c r="Y87" s="16">
        <f>IFERROR(__xludf.DUMMYFUNCTION("""COMPUTED_VALUE"""),29.8)</f>
        <v>29.8</v>
      </c>
      <c r="Z87" s="16">
        <f>IFERROR(__xludf.DUMMYFUNCTION("""COMPUTED_VALUE"""),20.8)</f>
        <v>20.8</v>
      </c>
      <c r="AA87" s="16">
        <f>IFERROR(__xludf.DUMMYFUNCTION("""COMPUTED_VALUE"""),-1.0)</f>
        <v>-1</v>
      </c>
      <c r="AB87" s="16">
        <f>IFERROR(__xludf.DUMMYFUNCTION("""COMPUTED_VALUE"""),1.0)</f>
        <v>1</v>
      </c>
      <c r="AC87" s="16">
        <f>IFERROR(__xludf.DUMMYFUNCTION("""COMPUTED_VALUE"""),-5.0)</f>
        <v>-5</v>
      </c>
      <c r="AD87" s="16">
        <f>IFERROR(__xludf.DUMMYFUNCTION("""COMPUTED_VALUE"""),5.0)</f>
        <v>5</v>
      </c>
      <c r="AE87" s="16">
        <f>IFERROR(__xludf.DUMMYFUNCTION("""COMPUTED_VALUE"""),0.8)</f>
        <v>0.8</v>
      </c>
      <c r="AF87" s="16">
        <f>IFERROR(__xludf.DUMMYFUNCTION("""COMPUTED_VALUE"""),18.8)</f>
        <v>18.8</v>
      </c>
      <c r="AG87" s="16">
        <f>IFERROR(__xludf.DUMMYFUNCTION("""COMPUTED_VALUE"""),2.0)</f>
        <v>2</v>
      </c>
      <c r="AH87" s="16">
        <f>IFERROR(__xludf.DUMMYFUNCTION("""COMPUTED_VALUE"""),1.0)</f>
        <v>1</v>
      </c>
      <c r="AI87" s="16">
        <f>IFERROR(__xludf.DUMMYFUNCTION("""COMPUTED_VALUE"""),4.0)</f>
        <v>4</v>
      </c>
      <c r="AJ87" s="16">
        <f>IFERROR(__xludf.DUMMYFUNCTION("""COMPUTED_VALUE"""),2.0)</f>
        <v>2</v>
      </c>
      <c r="AK87" s="16">
        <f>IFERROR(__xludf.DUMMYFUNCTION("""COMPUTED_VALUE"""),0.8)</f>
        <v>0.8</v>
      </c>
      <c r="AL87" s="16">
        <f>IFERROR(__xludf.DUMMYFUNCTION("""COMPUTED_VALUE"""),18.8)</f>
        <v>18.8</v>
      </c>
      <c r="AM87" s="16">
        <f>IFERROR(__xludf.DUMMYFUNCTION("""COMPUTED_VALUE"""),2.0)</f>
        <v>2</v>
      </c>
      <c r="AN87" s="16">
        <f>IFERROR(__xludf.DUMMYFUNCTION("""COMPUTED_VALUE"""),-1.0)</f>
        <v>-1</v>
      </c>
      <c r="AO87" s="16">
        <f>IFERROR(__xludf.DUMMYFUNCTION("""COMPUTED_VALUE"""),2.0)</f>
        <v>2</v>
      </c>
      <c r="AP87" s="16">
        <f>IFERROR(__xludf.DUMMYFUNCTION("""COMPUTED_VALUE"""),-1.0)</f>
        <v>-1</v>
      </c>
      <c r="AQ87" s="16">
        <f>IFERROR(__xludf.DUMMYFUNCTION("""COMPUTED_VALUE"""),0.8)</f>
        <v>0.8</v>
      </c>
      <c r="AR87" s="16">
        <f>IFERROR(__xludf.DUMMYFUNCTION("""COMPUTED_VALUE"""),18.8)</f>
        <v>18.8</v>
      </c>
      <c r="AS87" s="16">
        <f>IFERROR(__xludf.DUMMYFUNCTION("""COMPUTED_VALUE"""),2.0)</f>
        <v>2</v>
      </c>
      <c r="AT87" s="16">
        <f>IFERROR(__xludf.DUMMYFUNCTION("""COMPUTED_VALUE"""),0.0)</f>
        <v>0</v>
      </c>
      <c r="AU87" s="16">
        <f>IFERROR(__xludf.DUMMYFUNCTION("""COMPUTED_VALUE"""),4.0)</f>
        <v>4</v>
      </c>
      <c r="AV87" s="16">
        <f>IFERROR(__xludf.DUMMYFUNCTION("""COMPUTED_VALUE"""),0.0)</f>
        <v>0</v>
      </c>
      <c r="AW87" s="16">
        <f>IFERROR(__xludf.DUMMYFUNCTION("""COMPUTED_VALUE"""),0.0)</f>
        <v>0</v>
      </c>
      <c r="AX87" s="16">
        <f>IFERROR(__xludf.DUMMYFUNCTION("""COMPUTED_VALUE"""),0.0)</f>
        <v>0</v>
      </c>
      <c r="AY87" s="16">
        <f>IFERROR(__xludf.DUMMYFUNCTION("""COMPUTED_VALUE"""),2.0)</f>
        <v>2</v>
      </c>
      <c r="AZ87" s="16">
        <f>IFERROR(__xludf.DUMMYFUNCTION("""COMPUTED_VALUE"""),2.0)</f>
        <v>2</v>
      </c>
      <c r="BA87" s="16">
        <f>IFERROR(__xludf.DUMMYFUNCTION("""COMPUTED_VALUE"""),10.0)</f>
        <v>10</v>
      </c>
      <c r="BB87" s="16">
        <f>IFERROR(__xludf.DUMMYFUNCTION("""COMPUTED_VALUE"""),10.0)</f>
        <v>10</v>
      </c>
      <c r="BC87" s="16">
        <f>IFERROR(__xludf.DUMMYFUNCTION("""COMPUTED_VALUE"""),0.0)</f>
        <v>0</v>
      </c>
      <c r="BD87" s="16">
        <f>IFERROR(__xludf.DUMMYFUNCTION("""COMPUTED_VALUE"""),0.0)</f>
        <v>0</v>
      </c>
      <c r="BE87" s="16">
        <f>IFERROR(__xludf.DUMMYFUNCTION("""COMPUTED_VALUE"""),0.0)</f>
        <v>0</v>
      </c>
      <c r="BF87" s="16">
        <f>IFERROR(__xludf.DUMMYFUNCTION("""COMPUTED_VALUE"""),0.0)</f>
        <v>0</v>
      </c>
      <c r="BG87" s="16">
        <f>IFERROR(__xludf.DUMMYFUNCTION("""COMPUTED_VALUE"""),3.0)</f>
        <v>3</v>
      </c>
      <c r="BH87" s="16">
        <f>IFERROR(__xludf.DUMMYFUNCTION("""COMPUTED_VALUE"""),2.0)</f>
        <v>2</v>
      </c>
      <c r="BI87" s="16">
        <f>IFERROR(__xludf.DUMMYFUNCTION("""COMPUTED_VALUE"""),6.0)</f>
        <v>6</v>
      </c>
      <c r="BJ87" s="16">
        <f>IFERROR(__xludf.DUMMYFUNCTION("""COMPUTED_VALUE"""),4.0)</f>
        <v>4</v>
      </c>
      <c r="BK87" s="16">
        <f>IFERROR(__xludf.DUMMYFUNCTION("""COMPUTED_VALUE"""),5.0)</f>
        <v>5</v>
      </c>
      <c r="BL87" s="16">
        <f>IFERROR(__xludf.DUMMYFUNCTION("""COMPUTED_VALUE"""),5.0)</f>
        <v>5</v>
      </c>
      <c r="BM87" s="16">
        <f>IFERROR(__xludf.DUMMYFUNCTION("""COMPUTED_VALUE"""),0.0)</f>
        <v>0</v>
      </c>
      <c r="BN87" s="16">
        <f>IFERROR(__xludf.DUMMYFUNCTION("""COMPUTED_VALUE"""),0.0)</f>
        <v>0</v>
      </c>
      <c r="BO87" s="16">
        <f>IFERROR(__xludf.DUMMYFUNCTION("""COMPUTED_VALUE"""),0.0)</f>
        <v>0</v>
      </c>
      <c r="BP87" s="16">
        <f>IFERROR(__xludf.DUMMYFUNCTION("""COMPUTED_VALUE"""),0.0)</f>
        <v>0</v>
      </c>
      <c r="BQ87" s="16">
        <f>IFERROR(__xludf.DUMMYFUNCTION("""COMPUTED_VALUE"""),5.0)</f>
        <v>5</v>
      </c>
      <c r="BR87" s="16">
        <f>IFERROR(__xludf.DUMMYFUNCTION("""COMPUTED_VALUE"""),5.0)</f>
        <v>5</v>
      </c>
      <c r="BS87" s="16">
        <f>IFERROR(__xludf.DUMMYFUNCTION("""COMPUTED_VALUE"""),0.0)</f>
        <v>0</v>
      </c>
      <c r="BT87" s="16">
        <f>IFERROR(__xludf.DUMMYFUNCTION("""COMPUTED_VALUE"""),0.0)</f>
        <v>0</v>
      </c>
      <c r="BU87" s="16">
        <f>IFERROR(__xludf.DUMMYFUNCTION("""COMPUTED_VALUE"""),0.0)</f>
        <v>0</v>
      </c>
      <c r="BV87" s="16">
        <f>IFERROR(__xludf.DUMMYFUNCTION("""COMPUTED_VALUE"""),0.0)</f>
        <v>0</v>
      </c>
      <c r="BW87" s="16">
        <f>IFERROR(__xludf.DUMMYFUNCTION("""COMPUTED_VALUE"""),7.0)</f>
        <v>7</v>
      </c>
      <c r="BX87" s="16">
        <f>IFERROR(__xludf.DUMMYFUNCTION("""COMPUTED_VALUE"""),7.0)</f>
        <v>7</v>
      </c>
      <c r="BY87" s="16" t="str">
        <f>IFERROR(__xludf.DUMMYFUNCTION("""COMPUTED_VALUE"""),"S(5)")</f>
        <v>S(5)</v>
      </c>
      <c r="BZ87" s="16" t="str">
        <f>IFERROR(__xludf.DUMMYFUNCTION("""COMPUTED_VALUE"""),"S(5)")</f>
        <v>S(5)</v>
      </c>
      <c r="CA87" s="16" t="str">
        <f>IFERROR(__xludf.DUMMYFUNCTION("""COMPUTED_VALUE"""),"S(5)")</f>
        <v>S(5)</v>
      </c>
      <c r="CB87" s="16"/>
      <c r="CC87" s="16"/>
      <c r="CD87" s="16">
        <f>IFERROR(__xludf.DUMMYFUNCTION("""COMPUTED_VALUE"""),5.0)</f>
        <v>5</v>
      </c>
      <c r="CE87" s="16"/>
      <c r="CF87" s="16"/>
      <c r="CG87" s="16" t="str">
        <f>IFERROR(__xludf.DUMMYFUNCTION("""COMPUTED_VALUE"""),"3-47")</f>
        <v>3-47</v>
      </c>
      <c r="CH87" s="16">
        <f>IFERROR(__xludf.DUMMYFUNCTION("""COMPUTED_VALUE"""),3.0)</f>
        <v>3</v>
      </c>
      <c r="CI87" s="16">
        <f>IFERROR(__xludf.DUMMYFUNCTION("""COMPUTED_VALUE"""),47.0)</f>
        <v>47</v>
      </c>
      <c r="CJ87" s="16">
        <f>IFERROR(__xludf.DUMMYFUNCTION("""COMPUTED_VALUE"""),0.0)</f>
        <v>0</v>
      </c>
      <c r="CK87" s="16">
        <f>IFERROR(__xludf.DUMMYFUNCTION("""COMPUTED_VALUE"""),0.0)</f>
        <v>0</v>
      </c>
      <c r="CL87" s="16" t="str">
        <f>IFERROR(__xludf.DUMMYFUNCTION("""COMPUTED_VALUE"""),"1WR-C")</f>
        <v>1WR-C</v>
      </c>
      <c r="CM87" s="16" t="str">
        <f>IFERROR(__xludf.DUMMYFUNCTION("""COMPUTED_VALUE"""),"E")</f>
        <v>E</v>
      </c>
      <c r="CN87" s="16">
        <f>IFERROR(__xludf.DUMMYFUNCTION("""COMPUTED_VALUE"""),10.0)</f>
        <v>10</v>
      </c>
      <c r="CO87" s="16" t="str">
        <f>IFERROR(__xludf.DUMMYFUNCTION("""COMPUTED_VALUE"""),"C")</f>
        <v>C</v>
      </c>
      <c r="CP87" s="16" t="str">
        <f>IFERROR(__xludf.DUMMYFUNCTION("""COMPUTED_VALUE"""),"1p20")</f>
        <v>1p20</v>
      </c>
      <c r="CQ87" s="16">
        <f>IFERROR(__xludf.DUMMYFUNCTION("""COMPUTED_VALUE"""),16.0)</f>
        <v>16</v>
      </c>
      <c r="CR87" s="16">
        <f>IFERROR(__xludf.DUMMYFUNCTION("""COMPUTED_VALUE"""),15.0)</f>
        <v>15</v>
      </c>
      <c r="CS87" s="16">
        <f>IFERROR(__xludf.DUMMYFUNCTION("""COMPUTED_VALUE"""),31.0)</f>
        <v>31</v>
      </c>
      <c r="CT87" s="16">
        <f>IFERROR(__xludf.DUMMYFUNCTION("""COMPUTED_VALUE"""),16.0)</f>
        <v>16</v>
      </c>
      <c r="CU87" s="16">
        <f>IFERROR(__xludf.DUMMYFUNCTION("""COMPUTED_VALUE"""),15.0)</f>
        <v>15</v>
      </c>
      <c r="CV87" s="179">
        <f>IFERROR(__xludf.DUMMYFUNCTION("""COMPUTED_VALUE"""),22.333333333333336)</f>
        <v>22.33333333</v>
      </c>
      <c r="CW87" s="179">
        <f>IFERROR(__xludf.DUMMYFUNCTION("""COMPUTED_VALUE"""),4.0)</f>
        <v>4</v>
      </c>
      <c r="CX87" s="179">
        <f>IFERROR(__xludf.DUMMYFUNCTION("""COMPUTED_VALUE"""),3.0)</f>
        <v>3</v>
      </c>
      <c r="CY87" s="16" t="str">
        <f>IFERROR(__xludf.DUMMYFUNCTION("""COMPUTED_VALUE"""),"SP")</f>
        <v>SP</v>
      </c>
      <c r="CZ87" s="16"/>
      <c r="DA87" s="16"/>
      <c r="DB87" s="16"/>
      <c r="DC87" s="16"/>
      <c r="DD87" s="16"/>
      <c r="DE87" s="16"/>
      <c r="DF87" s="16"/>
      <c r="DG87" s="16"/>
      <c r="DH87" s="16"/>
      <c r="DI87" s="16"/>
      <c r="DJ87" s="16"/>
      <c r="DK87" s="16"/>
    </row>
    <row r="88">
      <c r="A88" s="16">
        <f>IFERROR(__xludf.DUMMYFUNCTION("""COMPUTED_VALUE"""),13513.0)</f>
        <v>13513</v>
      </c>
      <c r="B88" s="16" t="str">
        <f>IFERROR(__xludf.DUMMYFUNCTION("""COMPUTED_VALUE"""),"Zac Gallen")</f>
        <v>Zac Gallen</v>
      </c>
      <c r="C88" s="153">
        <f>IFERROR(__xludf.DUMMYFUNCTION("""COMPUTED_VALUE"""),1.37)</f>
        <v>1.37</v>
      </c>
      <c r="D88" s="16"/>
      <c r="E88" s="16" t="str">
        <f>IFERROR(__xludf.DUMMYFUNCTION("""COMPUTED_VALUE"""),"R")</f>
        <v>R</v>
      </c>
      <c r="F88" s="16">
        <f>IFERROR(__xludf.DUMMYFUNCTION("""COMPUTED_VALUE"""),148.0)</f>
        <v>148</v>
      </c>
      <c r="G88" s="16">
        <f>IFERROR(__xludf.DUMMYFUNCTION("""COMPUTED_VALUE"""),31.0)</f>
        <v>31</v>
      </c>
      <c r="H88" s="16">
        <f>IFERROR(__xludf.DUMMYFUNCTION("""COMPUTED_VALUE"""),29.0)</f>
        <v>29</v>
      </c>
      <c r="I88" s="16">
        <f>IFERROR(__xludf.DUMMYFUNCTION("""COMPUTED_VALUE"""),0.0)</f>
        <v>0</v>
      </c>
      <c r="J88" s="16">
        <f>IFERROR(__xludf.DUMMYFUNCTION("""COMPUTED_VALUE"""),0.0)</f>
        <v>0</v>
      </c>
      <c r="K88" s="16">
        <f>IFERROR(__xludf.DUMMYFUNCTION("""COMPUTED_VALUE"""),0.0)</f>
        <v>0</v>
      </c>
      <c r="L88" s="16">
        <f>IFERROR(__xludf.DUMMYFUNCTION("""COMPUTED_VALUE"""),0.0)</f>
        <v>0</v>
      </c>
      <c r="M88" s="16">
        <f>IFERROR(__xludf.DUMMYFUNCTION("""COMPUTED_VALUE"""),8.0)</f>
        <v>8</v>
      </c>
      <c r="N88" s="16">
        <f>IFERROR(__xludf.DUMMYFUNCTION("""COMPUTED_VALUE"""),12.0)</f>
        <v>12</v>
      </c>
      <c r="O88" s="16">
        <f>IFERROR(__xludf.DUMMYFUNCTION("""COMPUTED_VALUE"""),0.0)</f>
        <v>0</v>
      </c>
      <c r="P88" s="16">
        <f>IFERROR(__xludf.DUMMYFUNCTION("""COMPUTED_VALUE"""),-2.0)</f>
        <v>-2</v>
      </c>
      <c r="Q88" s="16">
        <f>IFERROR(__xludf.DUMMYFUNCTION("""COMPUTED_VALUE"""),0.0)</f>
        <v>0</v>
      </c>
      <c r="R88" s="16">
        <f>IFERROR(__xludf.DUMMYFUNCTION("""COMPUTED_VALUE"""),-2.0)</f>
        <v>-2</v>
      </c>
      <c r="S88" s="16">
        <f>IFERROR(__xludf.DUMMYFUNCTION("""COMPUTED_VALUE"""),12.2)</f>
        <v>12.2</v>
      </c>
      <c r="T88" s="16">
        <f>IFERROR(__xludf.DUMMYFUNCTION("""COMPUTED_VALUE"""),17.6)</f>
        <v>17.6</v>
      </c>
      <c r="U88" s="16">
        <f>IFERROR(__xludf.DUMMYFUNCTION("""COMPUTED_VALUE"""),1.0)</f>
        <v>1</v>
      </c>
      <c r="V88" s="16">
        <f>IFERROR(__xludf.DUMMYFUNCTION("""COMPUTED_VALUE"""),0.0)</f>
        <v>0</v>
      </c>
      <c r="W88" s="16">
        <f>IFERROR(__xludf.DUMMYFUNCTION("""COMPUTED_VALUE"""),2.0)</f>
        <v>2</v>
      </c>
      <c r="X88" s="16">
        <f>IFERROR(__xludf.DUMMYFUNCTION("""COMPUTED_VALUE"""),0.0)</f>
        <v>0</v>
      </c>
      <c r="Y88" s="16">
        <f>IFERROR(__xludf.DUMMYFUNCTION("""COMPUTED_VALUE"""),20.2)</f>
        <v>20.2</v>
      </c>
      <c r="Z88" s="16">
        <f>IFERROR(__xludf.DUMMYFUNCTION("""COMPUTED_VALUE"""),29.6)</f>
        <v>29.6</v>
      </c>
      <c r="AA88" s="16">
        <f>IFERROR(__xludf.DUMMYFUNCTION("""COMPUTED_VALUE"""),1.0)</f>
        <v>1</v>
      </c>
      <c r="AB88" s="16">
        <f>IFERROR(__xludf.DUMMYFUNCTION("""COMPUTED_VALUE"""),-1.0)</f>
        <v>-1</v>
      </c>
      <c r="AC88" s="16">
        <f>IFERROR(__xludf.DUMMYFUNCTION("""COMPUTED_VALUE"""),5.0)</f>
        <v>5</v>
      </c>
      <c r="AD88" s="16">
        <f>IFERROR(__xludf.DUMMYFUNCTION("""COMPUTED_VALUE"""),-5.0)</f>
        <v>-5</v>
      </c>
      <c r="AE88" s="16">
        <f>IFERROR(__xludf.DUMMYFUNCTION("""COMPUTED_VALUE"""),24.4)</f>
        <v>24.4</v>
      </c>
      <c r="AF88" s="16">
        <f>IFERROR(__xludf.DUMMYFUNCTION("""COMPUTED_VALUE"""),26.3)</f>
        <v>26.3</v>
      </c>
      <c r="AG88" s="16">
        <f>IFERROR(__xludf.DUMMYFUNCTION("""COMPUTED_VALUE"""),0.0)</f>
        <v>0</v>
      </c>
      <c r="AH88" s="16">
        <f>IFERROR(__xludf.DUMMYFUNCTION("""COMPUTED_VALUE"""),0.0)</f>
        <v>0</v>
      </c>
      <c r="AI88" s="16">
        <f>IFERROR(__xludf.DUMMYFUNCTION("""COMPUTED_VALUE"""),0.0)</f>
        <v>0</v>
      </c>
      <c r="AJ88" s="16">
        <f>IFERROR(__xludf.DUMMYFUNCTION("""COMPUTED_VALUE"""),0.0)</f>
        <v>0</v>
      </c>
      <c r="AK88" s="16">
        <f>IFERROR(__xludf.DUMMYFUNCTION("""COMPUTED_VALUE"""),11.399999999999999)</f>
        <v>11.4</v>
      </c>
      <c r="AL88" s="16">
        <f>IFERROR(__xludf.DUMMYFUNCTION("""COMPUTED_VALUE"""),17.0)</f>
        <v>17</v>
      </c>
      <c r="AM88" s="16">
        <f>IFERROR(__xludf.DUMMYFUNCTION("""COMPUTED_VALUE"""),0.0)</f>
        <v>0</v>
      </c>
      <c r="AN88" s="16">
        <f>IFERROR(__xludf.DUMMYFUNCTION("""COMPUTED_VALUE"""),-1.0)</f>
        <v>-1</v>
      </c>
      <c r="AO88" s="16">
        <f>IFERROR(__xludf.DUMMYFUNCTION("""COMPUTED_VALUE"""),0.0)</f>
        <v>0</v>
      </c>
      <c r="AP88" s="16">
        <f>IFERROR(__xludf.DUMMYFUNCTION("""COMPUTED_VALUE"""),-1.0)</f>
        <v>-1</v>
      </c>
      <c r="AQ88" s="16">
        <f>IFERROR(__xludf.DUMMYFUNCTION("""COMPUTED_VALUE"""),21.2)</f>
        <v>21.2</v>
      </c>
      <c r="AR88" s="16">
        <f>IFERROR(__xludf.DUMMYFUNCTION("""COMPUTED_VALUE"""),23.900000000000002)</f>
        <v>23.9</v>
      </c>
      <c r="AS88" s="16">
        <f>IFERROR(__xludf.DUMMYFUNCTION("""COMPUTED_VALUE"""),0.0)</f>
        <v>0</v>
      </c>
      <c r="AT88" s="16">
        <f>IFERROR(__xludf.DUMMYFUNCTION("""COMPUTED_VALUE"""),-1.0)</f>
        <v>-1</v>
      </c>
      <c r="AU88" s="16">
        <f>IFERROR(__xludf.DUMMYFUNCTION("""COMPUTED_VALUE"""),0.0)</f>
        <v>0</v>
      </c>
      <c r="AV88" s="16">
        <f>IFERROR(__xludf.DUMMYFUNCTION("""COMPUTED_VALUE"""),-2.0)</f>
        <v>-2</v>
      </c>
      <c r="AW88" s="16">
        <f>IFERROR(__xludf.DUMMYFUNCTION("""COMPUTED_VALUE"""),0.8)</f>
        <v>0.8</v>
      </c>
      <c r="AX88" s="16">
        <f>IFERROR(__xludf.DUMMYFUNCTION("""COMPUTED_VALUE"""),0.6)</f>
        <v>0.6</v>
      </c>
      <c r="AY88" s="16">
        <f>IFERROR(__xludf.DUMMYFUNCTION("""COMPUTED_VALUE"""),2.0)</f>
        <v>2</v>
      </c>
      <c r="AZ88" s="16">
        <f>IFERROR(__xludf.DUMMYFUNCTION("""COMPUTED_VALUE"""),2.0)</f>
        <v>2</v>
      </c>
      <c r="BA88" s="16">
        <f>IFERROR(__xludf.DUMMYFUNCTION("""COMPUTED_VALUE"""),10.0)</f>
        <v>10</v>
      </c>
      <c r="BB88" s="16">
        <f>IFERROR(__xludf.DUMMYFUNCTION("""COMPUTED_VALUE"""),10.0)</f>
        <v>10</v>
      </c>
      <c r="BC88" s="16">
        <f>IFERROR(__xludf.DUMMYFUNCTION("""COMPUTED_VALUE"""),2.0)</f>
        <v>2</v>
      </c>
      <c r="BD88" s="16">
        <f>IFERROR(__xludf.DUMMYFUNCTION("""COMPUTED_VALUE"""),1.0)</f>
        <v>1</v>
      </c>
      <c r="BE88" s="16">
        <f>IFERROR(__xludf.DUMMYFUNCTION("""COMPUTED_VALUE"""),2.0)</f>
        <v>2</v>
      </c>
      <c r="BF88" s="16">
        <f>IFERROR(__xludf.DUMMYFUNCTION("""COMPUTED_VALUE"""),1.0)</f>
        <v>1</v>
      </c>
      <c r="BG88" s="16">
        <f>IFERROR(__xludf.DUMMYFUNCTION("""COMPUTED_VALUE"""),1.0)</f>
        <v>1</v>
      </c>
      <c r="BH88" s="16">
        <f>IFERROR(__xludf.DUMMYFUNCTION("""COMPUTED_VALUE"""),2.0)</f>
        <v>2</v>
      </c>
      <c r="BI88" s="16">
        <f>IFERROR(__xludf.DUMMYFUNCTION("""COMPUTED_VALUE"""),2.0)</f>
        <v>2</v>
      </c>
      <c r="BJ88" s="16">
        <f>IFERROR(__xludf.DUMMYFUNCTION("""COMPUTED_VALUE"""),4.0)</f>
        <v>4</v>
      </c>
      <c r="BK88" s="16">
        <f>IFERROR(__xludf.DUMMYFUNCTION("""COMPUTED_VALUE"""),5.0)</f>
        <v>5</v>
      </c>
      <c r="BL88" s="16">
        <f>IFERROR(__xludf.DUMMYFUNCTION("""COMPUTED_VALUE"""),5.0)</f>
        <v>5</v>
      </c>
      <c r="BM88" s="16">
        <f>IFERROR(__xludf.DUMMYFUNCTION("""COMPUTED_VALUE"""),0.0)</f>
        <v>0</v>
      </c>
      <c r="BN88" s="16">
        <f>IFERROR(__xludf.DUMMYFUNCTION("""COMPUTED_VALUE"""),0.0)</f>
        <v>0</v>
      </c>
      <c r="BO88" s="16">
        <f>IFERROR(__xludf.DUMMYFUNCTION("""COMPUTED_VALUE"""),0.0)</f>
        <v>0</v>
      </c>
      <c r="BP88" s="16">
        <f>IFERROR(__xludf.DUMMYFUNCTION("""COMPUTED_VALUE"""),0.0)</f>
        <v>0</v>
      </c>
      <c r="BQ88" s="16">
        <f>IFERROR(__xludf.DUMMYFUNCTION("""COMPUTED_VALUE"""),9.0)</f>
        <v>9</v>
      </c>
      <c r="BR88" s="16">
        <f>IFERROR(__xludf.DUMMYFUNCTION("""COMPUTED_VALUE"""),9.0)</f>
        <v>9</v>
      </c>
      <c r="BS88" s="16">
        <f>IFERROR(__xludf.DUMMYFUNCTION("""COMPUTED_VALUE"""),3.0)</f>
        <v>3</v>
      </c>
      <c r="BT88" s="16">
        <f>IFERROR(__xludf.DUMMYFUNCTION("""COMPUTED_VALUE"""),3.0)</f>
        <v>3</v>
      </c>
      <c r="BU88" s="16">
        <f>IFERROR(__xludf.DUMMYFUNCTION("""COMPUTED_VALUE"""),6.0)</f>
        <v>6</v>
      </c>
      <c r="BV88" s="16">
        <f>IFERROR(__xludf.DUMMYFUNCTION("""COMPUTED_VALUE"""),6.0)</f>
        <v>6</v>
      </c>
      <c r="BW88" s="16">
        <f>IFERROR(__xludf.DUMMYFUNCTION("""COMPUTED_VALUE"""),4.0)</f>
        <v>4</v>
      </c>
      <c r="BX88" s="16">
        <f>IFERROR(__xludf.DUMMYFUNCTION("""COMPUTED_VALUE"""),4.0)</f>
        <v>4</v>
      </c>
      <c r="BY88" s="16" t="str">
        <f>IFERROR(__xludf.DUMMYFUNCTION("""COMPUTED_VALUE"""),"S(5)")</f>
        <v>S(5)</v>
      </c>
      <c r="BZ88" s="16" t="str">
        <f>IFERROR(__xludf.DUMMYFUNCTION("""COMPUTED_VALUE"""),"S(5)")</f>
        <v>S(5)</v>
      </c>
      <c r="CA88" s="16" t="str">
        <f>IFERROR(__xludf.DUMMYFUNCTION("""COMPUTED_VALUE"""),"S(5)")</f>
        <v>S(5)</v>
      </c>
      <c r="CB88" s="16"/>
      <c r="CC88" s="16"/>
      <c r="CD88" s="16">
        <f>IFERROR(__xludf.DUMMYFUNCTION("""COMPUTED_VALUE"""),5.0)</f>
        <v>5</v>
      </c>
      <c r="CE88" s="16"/>
      <c r="CF88" s="16"/>
      <c r="CG88" s="16" t="str">
        <f>IFERROR(__xludf.DUMMYFUNCTION("""COMPUTED_VALUE"""),"4-0")</f>
        <v>4-0</v>
      </c>
      <c r="CH88" s="16">
        <f>IFERROR(__xludf.DUMMYFUNCTION("""COMPUTED_VALUE"""),4.0)</f>
        <v>4</v>
      </c>
      <c r="CI88" s="16">
        <f>IFERROR(__xludf.DUMMYFUNCTION("""COMPUTED_VALUE"""),0.0)</f>
        <v>0</v>
      </c>
      <c r="CJ88" s="16">
        <f>IFERROR(__xludf.DUMMYFUNCTION("""COMPUTED_VALUE"""),0.0)</f>
        <v>0</v>
      </c>
      <c r="CK88" s="16">
        <f>IFERROR(__xludf.DUMMYFUNCTION("""COMPUTED_VALUE"""),7.0)</f>
        <v>7</v>
      </c>
      <c r="CL88" s="16" t="str">
        <f>IFERROR(__xludf.DUMMYFUNCTION("""COMPUTED_VALUE"""),"1WR-C")</f>
        <v>1WR-C</v>
      </c>
      <c r="CM88" s="16" t="str">
        <f>IFERROR(__xludf.DUMMYFUNCTION("""COMPUTED_VALUE"""),"E")</f>
        <v>E</v>
      </c>
      <c r="CN88" s="16">
        <f>IFERROR(__xludf.DUMMYFUNCTION("""COMPUTED_VALUE"""),10.0)</f>
        <v>10</v>
      </c>
      <c r="CO88" s="16" t="str">
        <f>IFERROR(__xludf.DUMMYFUNCTION("""COMPUTED_VALUE"""),"C")</f>
        <v>C</v>
      </c>
      <c r="CP88" s="16" t="str">
        <f>IFERROR(__xludf.DUMMYFUNCTION("""COMPUTED_VALUE"""),"1p70")</f>
        <v>1p70</v>
      </c>
      <c r="CQ88" s="16">
        <f>IFERROR(__xludf.DUMMYFUNCTION("""COMPUTED_VALUE"""),25.0)</f>
        <v>25</v>
      </c>
      <c r="CR88" s="16">
        <f>IFERROR(__xludf.DUMMYFUNCTION("""COMPUTED_VALUE"""),10.0)</f>
        <v>10</v>
      </c>
      <c r="CS88" s="16">
        <f>IFERROR(__xludf.DUMMYFUNCTION("""COMPUTED_VALUE"""),35.0)</f>
        <v>35</v>
      </c>
      <c r="CT88" s="16">
        <f>IFERROR(__xludf.DUMMYFUNCTION("""COMPUTED_VALUE"""),25.0)</f>
        <v>25</v>
      </c>
      <c r="CU88" s="16">
        <f>IFERROR(__xludf.DUMMYFUNCTION("""COMPUTED_VALUE"""),10.0)</f>
        <v>10</v>
      </c>
      <c r="CV88" s="179">
        <f>IFERROR(__xludf.DUMMYFUNCTION("""COMPUTED_VALUE"""),22.0)</f>
        <v>22</v>
      </c>
      <c r="CW88" s="179">
        <f>IFERROR(__xludf.DUMMYFUNCTION("""COMPUTED_VALUE"""),4.0)</f>
        <v>4</v>
      </c>
      <c r="CX88" s="179">
        <f>IFERROR(__xludf.DUMMYFUNCTION("""COMPUTED_VALUE"""),3.0)</f>
        <v>3</v>
      </c>
      <c r="CY88" s="16" t="str">
        <f>IFERROR(__xludf.DUMMYFUNCTION("""COMPUTED_VALUE"""),"SP")</f>
        <v>SP</v>
      </c>
      <c r="CZ88" s="16"/>
      <c r="DA88" s="16"/>
      <c r="DB88" s="16"/>
      <c r="DC88" s="16"/>
      <c r="DD88" s="16"/>
      <c r="DE88" s="16"/>
      <c r="DF88" s="16"/>
      <c r="DG88" s="16"/>
      <c r="DH88" s="16"/>
      <c r="DI88" s="16"/>
      <c r="DJ88" s="16"/>
      <c r="DK88" s="16"/>
    </row>
    <row r="89">
      <c r="A89" s="16">
        <f>IFERROR(__xludf.DUMMYFUNCTION("""COMPUTED_VALUE"""),12798.0)</f>
        <v>12798</v>
      </c>
      <c r="B89" s="16" t="str">
        <f>IFERROR(__xludf.DUMMYFUNCTION("""COMPUTED_VALUE"""),"Enoli Paredes")</f>
        <v>Enoli Paredes</v>
      </c>
      <c r="C89" s="153">
        <f>IFERROR(__xludf.DUMMYFUNCTION("""COMPUTED_VALUE"""),2.33)</f>
        <v>2.33</v>
      </c>
      <c r="D89" s="16"/>
      <c r="E89" s="16" t="str">
        <f>IFERROR(__xludf.DUMMYFUNCTION("""COMPUTED_VALUE"""),"R")</f>
        <v>R</v>
      </c>
      <c r="F89" s="16">
        <f>IFERROR(__xludf.DUMMYFUNCTION("""COMPUTED_VALUE"""),22.0)</f>
        <v>22</v>
      </c>
      <c r="G89" s="16">
        <f>IFERROR(__xludf.DUMMYFUNCTION("""COMPUTED_VALUE"""),17.0)</f>
        <v>17</v>
      </c>
      <c r="H89" s="16">
        <f>IFERROR(__xludf.DUMMYFUNCTION("""COMPUTED_VALUE"""),14.0)</f>
        <v>14</v>
      </c>
      <c r="I89" s="16">
        <f>IFERROR(__xludf.DUMMYFUNCTION("""COMPUTED_VALUE"""),-1.0)</f>
        <v>-1</v>
      </c>
      <c r="J89" s="16">
        <f>IFERROR(__xludf.DUMMYFUNCTION("""COMPUTED_VALUE"""),-2.0)</f>
        <v>-2</v>
      </c>
      <c r="K89" s="16">
        <f>IFERROR(__xludf.DUMMYFUNCTION("""COMPUTED_VALUE"""),-3.0)</f>
        <v>-3</v>
      </c>
      <c r="L89" s="16">
        <f>IFERROR(__xludf.DUMMYFUNCTION("""COMPUTED_VALUE"""),-6.0)</f>
        <v>-6</v>
      </c>
      <c r="M89" s="16">
        <f>IFERROR(__xludf.DUMMYFUNCTION("""COMPUTED_VALUE"""),11.0)</f>
        <v>11</v>
      </c>
      <c r="N89" s="16">
        <f>IFERROR(__xludf.DUMMYFUNCTION("""COMPUTED_VALUE"""),22.0)</f>
        <v>22</v>
      </c>
      <c r="O89" s="16">
        <f>IFERROR(__xludf.DUMMYFUNCTION("""COMPUTED_VALUE"""),-1.0)</f>
        <v>-1</v>
      </c>
      <c r="P89" s="16">
        <f>IFERROR(__xludf.DUMMYFUNCTION("""COMPUTED_VALUE"""),-3.0)</f>
        <v>-3</v>
      </c>
      <c r="Q89" s="16">
        <f>IFERROR(__xludf.DUMMYFUNCTION("""COMPUTED_VALUE"""),-1.0)</f>
        <v>-1</v>
      </c>
      <c r="R89" s="16">
        <f>IFERROR(__xludf.DUMMYFUNCTION("""COMPUTED_VALUE"""),-3.0)</f>
        <v>-3</v>
      </c>
      <c r="S89" s="16">
        <f>IFERROR(__xludf.DUMMYFUNCTION("""COMPUTED_VALUE"""),9.9)</f>
        <v>9.9</v>
      </c>
      <c r="T89" s="16">
        <f>IFERROR(__xludf.DUMMYFUNCTION("""COMPUTED_VALUE"""),2.4)</f>
        <v>2.4</v>
      </c>
      <c r="U89" s="16">
        <f>IFERROR(__xludf.DUMMYFUNCTION("""COMPUTED_VALUE"""),1.0)</f>
        <v>1</v>
      </c>
      <c r="V89" s="16">
        <f>IFERROR(__xludf.DUMMYFUNCTION("""COMPUTED_VALUE"""),2.0)</f>
        <v>2</v>
      </c>
      <c r="W89" s="16">
        <f>IFERROR(__xludf.DUMMYFUNCTION("""COMPUTED_VALUE"""),2.0)</f>
        <v>2</v>
      </c>
      <c r="X89" s="16">
        <f>IFERROR(__xludf.DUMMYFUNCTION("""COMPUTED_VALUE"""),4.0)</f>
        <v>4</v>
      </c>
      <c r="Y89" s="16">
        <f>IFERROR(__xludf.DUMMYFUNCTION("""COMPUTED_VALUE"""),20.9)</f>
        <v>20.9</v>
      </c>
      <c r="Z89" s="16">
        <f>IFERROR(__xludf.DUMMYFUNCTION("""COMPUTED_VALUE"""),24.4)</f>
        <v>24.4</v>
      </c>
      <c r="AA89" s="16">
        <f>IFERROR(__xludf.DUMMYFUNCTION("""COMPUTED_VALUE"""),1.0)</f>
        <v>1</v>
      </c>
      <c r="AB89" s="16">
        <f>IFERROR(__xludf.DUMMYFUNCTION("""COMPUTED_VALUE"""),0.0)</f>
        <v>0</v>
      </c>
      <c r="AC89" s="16">
        <f>IFERROR(__xludf.DUMMYFUNCTION("""COMPUTED_VALUE"""),5.0)</f>
        <v>5</v>
      </c>
      <c r="AD89" s="16">
        <f>IFERROR(__xludf.DUMMYFUNCTION("""COMPUTED_VALUE"""),0.0)</f>
        <v>0</v>
      </c>
      <c r="AE89" s="16">
        <f>IFERROR(__xludf.DUMMYFUNCTION("""COMPUTED_VALUE"""),19.8)</f>
        <v>19.8</v>
      </c>
      <c r="AF89" s="16">
        <f>IFERROR(__xludf.DUMMYFUNCTION("""COMPUTED_VALUE"""),3.8)</f>
        <v>3.8</v>
      </c>
      <c r="AG89" s="16">
        <f>IFERROR(__xludf.DUMMYFUNCTION("""COMPUTED_VALUE"""),1.0)</f>
        <v>1</v>
      </c>
      <c r="AH89" s="16">
        <f>IFERROR(__xludf.DUMMYFUNCTION("""COMPUTED_VALUE"""),2.0)</f>
        <v>2</v>
      </c>
      <c r="AI89" s="16">
        <f>IFERROR(__xludf.DUMMYFUNCTION("""COMPUTED_VALUE"""),2.0)</f>
        <v>2</v>
      </c>
      <c r="AJ89" s="16">
        <f>IFERROR(__xludf.DUMMYFUNCTION("""COMPUTED_VALUE"""),4.0)</f>
        <v>4</v>
      </c>
      <c r="AK89" s="16">
        <f>IFERROR(__xludf.DUMMYFUNCTION("""COMPUTED_VALUE"""),9.9)</f>
        <v>9.9</v>
      </c>
      <c r="AL89" s="16">
        <f>IFERROR(__xludf.DUMMYFUNCTION("""COMPUTED_VALUE"""),2.4)</f>
        <v>2.4</v>
      </c>
      <c r="AM89" s="16">
        <f>IFERROR(__xludf.DUMMYFUNCTION("""COMPUTED_VALUE"""),1.0)</f>
        <v>1</v>
      </c>
      <c r="AN89" s="16">
        <f>IFERROR(__xludf.DUMMYFUNCTION("""COMPUTED_VALUE"""),2.0)</f>
        <v>2</v>
      </c>
      <c r="AO89" s="16">
        <f>IFERROR(__xludf.DUMMYFUNCTION("""COMPUTED_VALUE"""),1.0)</f>
        <v>1</v>
      </c>
      <c r="AP89" s="16">
        <f>IFERROR(__xludf.DUMMYFUNCTION("""COMPUTED_VALUE"""),2.0)</f>
        <v>2</v>
      </c>
      <c r="AQ89" s="16">
        <f>IFERROR(__xludf.DUMMYFUNCTION("""COMPUTED_VALUE"""),19.8)</f>
        <v>19.8</v>
      </c>
      <c r="AR89" s="16">
        <f>IFERROR(__xludf.DUMMYFUNCTION("""COMPUTED_VALUE"""),3.8)</f>
        <v>3.8</v>
      </c>
      <c r="AS89" s="16">
        <f>IFERROR(__xludf.DUMMYFUNCTION("""COMPUTED_VALUE"""),0.0)</f>
        <v>0</v>
      </c>
      <c r="AT89" s="16">
        <f>IFERROR(__xludf.DUMMYFUNCTION("""COMPUTED_VALUE"""),2.0)</f>
        <v>2</v>
      </c>
      <c r="AU89" s="16">
        <f>IFERROR(__xludf.DUMMYFUNCTION("""COMPUTED_VALUE"""),0.0)</f>
        <v>0</v>
      </c>
      <c r="AV89" s="16">
        <f>IFERROR(__xludf.DUMMYFUNCTION("""COMPUTED_VALUE"""),4.0)</f>
        <v>4</v>
      </c>
      <c r="AW89" s="16">
        <f>IFERROR(__xludf.DUMMYFUNCTION("""COMPUTED_VALUE"""),0.0)</f>
        <v>0</v>
      </c>
      <c r="AX89" s="16">
        <f>IFERROR(__xludf.DUMMYFUNCTION("""COMPUTED_VALUE"""),0.0)</f>
        <v>0</v>
      </c>
      <c r="AY89" s="16">
        <f>IFERROR(__xludf.DUMMYFUNCTION("""COMPUTED_VALUE"""),2.0)</f>
        <v>2</v>
      </c>
      <c r="AZ89" s="16">
        <f>IFERROR(__xludf.DUMMYFUNCTION("""COMPUTED_VALUE"""),2.0)</f>
        <v>2</v>
      </c>
      <c r="BA89" s="16">
        <f>IFERROR(__xludf.DUMMYFUNCTION("""COMPUTED_VALUE"""),10.0)</f>
        <v>10</v>
      </c>
      <c r="BB89" s="16">
        <f>IFERROR(__xludf.DUMMYFUNCTION("""COMPUTED_VALUE"""),10.0)</f>
        <v>10</v>
      </c>
      <c r="BC89" s="16"/>
      <c r="BD89" s="16"/>
      <c r="BE89" s="16">
        <f>IFERROR(__xludf.DUMMYFUNCTION("""COMPUTED_VALUE"""),0.0)</f>
        <v>0</v>
      </c>
      <c r="BF89" s="16">
        <f>IFERROR(__xludf.DUMMYFUNCTION("""COMPUTED_VALUE"""),0.0)</f>
        <v>0</v>
      </c>
      <c r="BG89" s="16">
        <f>IFERROR(__xludf.DUMMYFUNCTION("""COMPUTED_VALUE"""),3.0)</f>
        <v>3</v>
      </c>
      <c r="BH89" s="16">
        <f>IFERROR(__xludf.DUMMYFUNCTION("""COMPUTED_VALUE"""),2.0)</f>
        <v>2</v>
      </c>
      <c r="BI89" s="16">
        <f>IFERROR(__xludf.DUMMYFUNCTION("""COMPUTED_VALUE"""),6.0)</f>
        <v>6</v>
      </c>
      <c r="BJ89" s="16">
        <f>IFERROR(__xludf.DUMMYFUNCTION("""COMPUTED_VALUE"""),4.0)</f>
        <v>4</v>
      </c>
      <c r="BK89" s="16">
        <f>IFERROR(__xludf.DUMMYFUNCTION("""COMPUTED_VALUE"""),0.0)</f>
        <v>0</v>
      </c>
      <c r="BL89" s="16">
        <f>IFERROR(__xludf.DUMMYFUNCTION("""COMPUTED_VALUE"""),0.0)</f>
        <v>0</v>
      </c>
      <c r="BM89" s="16">
        <f>IFERROR(__xludf.DUMMYFUNCTION("""COMPUTED_VALUE"""),1.0)</f>
        <v>1</v>
      </c>
      <c r="BN89" s="16">
        <f>IFERROR(__xludf.DUMMYFUNCTION("""COMPUTED_VALUE"""),1.0)</f>
        <v>1</v>
      </c>
      <c r="BO89" s="16">
        <f>IFERROR(__xludf.DUMMYFUNCTION("""COMPUTED_VALUE"""),1.0)</f>
        <v>1</v>
      </c>
      <c r="BP89" s="16">
        <f>IFERROR(__xludf.DUMMYFUNCTION("""COMPUTED_VALUE"""),1.0)</f>
        <v>1</v>
      </c>
      <c r="BQ89" s="16">
        <f>IFERROR(__xludf.DUMMYFUNCTION("""COMPUTED_VALUE"""),3.0)</f>
        <v>3</v>
      </c>
      <c r="BR89" s="16">
        <f>IFERROR(__xludf.DUMMYFUNCTION("""COMPUTED_VALUE"""),3.0)</f>
        <v>3</v>
      </c>
      <c r="BS89" s="16">
        <f>IFERROR(__xludf.DUMMYFUNCTION("""COMPUTED_VALUE"""),-1.0)</f>
        <v>-1</v>
      </c>
      <c r="BT89" s="16">
        <f>IFERROR(__xludf.DUMMYFUNCTION("""COMPUTED_VALUE"""),-1.0)</f>
        <v>-1</v>
      </c>
      <c r="BU89" s="16">
        <f>IFERROR(__xludf.DUMMYFUNCTION("""COMPUTED_VALUE"""),-2.0)</f>
        <v>-2</v>
      </c>
      <c r="BV89" s="16">
        <f>IFERROR(__xludf.DUMMYFUNCTION("""COMPUTED_VALUE"""),-2.0)</f>
        <v>-2</v>
      </c>
      <c r="BW89" s="16">
        <f>IFERROR(__xludf.DUMMYFUNCTION("""COMPUTED_VALUE"""),4.0)</f>
        <v>4</v>
      </c>
      <c r="BX89" s="16">
        <f>IFERROR(__xludf.DUMMYFUNCTION("""COMPUTED_VALUE"""),4.0)</f>
        <v>4</v>
      </c>
      <c r="BY89" s="16" t="str">
        <f>IFERROR(__xludf.DUMMYFUNCTION("""COMPUTED_VALUE"""),"R(2) C(0)")</f>
        <v>R(2) C(0)</v>
      </c>
      <c r="BZ89" s="16" t="str">
        <f>IFERROR(__xludf.DUMMYFUNCTION("""COMPUTED_VALUE"""),"R(2) C(0)")</f>
        <v>R(2) C(0)</v>
      </c>
      <c r="CA89" s="16" t="str">
        <f>IFERROR(__xludf.DUMMYFUNCTION("""COMPUTED_VALUE"""),"R(2)")</f>
        <v>R(2)</v>
      </c>
      <c r="CB89" s="16" t="str">
        <f>IFERROR(__xludf.DUMMYFUNCTION("""COMPUTED_VALUE"""),"C(0)")</f>
        <v>C(0)</v>
      </c>
      <c r="CC89" s="16"/>
      <c r="CD89" s="16"/>
      <c r="CE89" s="16">
        <f>IFERROR(__xludf.DUMMYFUNCTION("""COMPUTED_VALUE"""),2.0)</f>
        <v>2</v>
      </c>
      <c r="CF89" s="16">
        <f>IFERROR(__xludf.DUMMYFUNCTION("""COMPUTED_VALUE"""),0.0)</f>
        <v>0</v>
      </c>
      <c r="CG89" s="16" t="str">
        <f>IFERROR(__xludf.DUMMYFUNCTION("""COMPUTED_VALUE"""),"3-0")</f>
        <v>3-0</v>
      </c>
      <c r="CH89" s="16">
        <f>IFERROR(__xludf.DUMMYFUNCTION("""COMPUTED_VALUE"""),3.0)</f>
        <v>3</v>
      </c>
      <c r="CI89" s="16">
        <f>IFERROR(__xludf.DUMMYFUNCTION("""COMPUTED_VALUE"""),0.0)</f>
        <v>0</v>
      </c>
      <c r="CJ89" s="16">
        <f>IFERROR(__xludf.DUMMYFUNCTION("""COMPUTED_VALUE"""),0.0)</f>
        <v>0</v>
      </c>
      <c r="CK89" s="16">
        <f>IFERROR(__xludf.DUMMYFUNCTION("""COMPUTED_VALUE"""),20.0)</f>
        <v>20</v>
      </c>
      <c r="CL89" s="16" t="str">
        <f>IFERROR(__xludf.DUMMYFUNCTION("""COMPUTED_VALUE"""),"1WR-C")</f>
        <v>1WR-C</v>
      </c>
      <c r="CM89" s="16" t="str">
        <f>IFERROR(__xludf.DUMMYFUNCTION("""COMPUTED_VALUE"""),"E")</f>
        <v>E</v>
      </c>
      <c r="CN89" s="16">
        <f>IFERROR(__xludf.DUMMYFUNCTION("""COMPUTED_VALUE"""),10.0)</f>
        <v>10</v>
      </c>
      <c r="CO89" s="16" t="str">
        <f>IFERROR(__xludf.DUMMYFUNCTION("""COMPUTED_VALUE"""),"C")</f>
        <v>C</v>
      </c>
      <c r="CP89" s="16" t="str">
        <f>IFERROR(__xludf.DUMMYFUNCTION("""COMPUTED_VALUE"""),"5p20")</f>
        <v>5p20</v>
      </c>
      <c r="CQ89" s="16">
        <f>IFERROR(__xludf.DUMMYFUNCTION("""COMPUTED_VALUE"""),21.0)</f>
        <v>21</v>
      </c>
      <c r="CR89" s="16">
        <f>IFERROR(__xludf.DUMMYFUNCTION("""COMPUTED_VALUE"""),18.0)</f>
        <v>18</v>
      </c>
      <c r="CS89" s="16">
        <f>IFERROR(__xludf.DUMMYFUNCTION("""COMPUTED_VALUE"""),39.0)</f>
        <v>39</v>
      </c>
      <c r="CT89" s="16">
        <f>IFERROR(__xludf.DUMMYFUNCTION("""COMPUTED_VALUE"""),21.0)</f>
        <v>21</v>
      </c>
      <c r="CU89" s="16">
        <f>IFERROR(__xludf.DUMMYFUNCTION("""COMPUTED_VALUE"""),18.0)</f>
        <v>18</v>
      </c>
      <c r="CV89" s="179">
        <f>IFERROR(__xludf.DUMMYFUNCTION("""COMPUTED_VALUE"""),22.0)</f>
        <v>22</v>
      </c>
      <c r="CW89" s="179">
        <f>IFERROR(__xludf.DUMMYFUNCTION("""COMPUTED_VALUE"""),0.0)</f>
        <v>0</v>
      </c>
      <c r="CX89" s="179">
        <f>IFERROR(__xludf.DUMMYFUNCTION("""COMPUTED_VALUE"""),3.0)</f>
        <v>3</v>
      </c>
      <c r="CY89" s="16" t="str">
        <f>IFERROR(__xludf.DUMMYFUNCTION("""COMPUTED_VALUE"""),"RP")</f>
        <v>RP</v>
      </c>
      <c r="CZ89" s="16" t="str">
        <f>IFERROR(__xludf.DUMMYFUNCTION("""COMPUTED_VALUE"""),"CP")</f>
        <v>CP</v>
      </c>
      <c r="DA89" s="16"/>
      <c r="DB89" s="16"/>
      <c r="DC89" s="16"/>
      <c r="DD89" s="16"/>
      <c r="DE89" s="16"/>
      <c r="DF89" s="16"/>
      <c r="DG89" s="16"/>
      <c r="DH89" s="16"/>
      <c r="DI89" s="16"/>
      <c r="DJ89" s="16"/>
      <c r="DK89" s="16"/>
    </row>
    <row r="90">
      <c r="A90" s="16">
        <f>IFERROR(__xludf.DUMMYFUNCTION("""COMPUTED_VALUE"""),13173.0)</f>
        <v>13173</v>
      </c>
      <c r="B90" s="16" t="str">
        <f>IFERROR(__xludf.DUMMYFUNCTION("""COMPUTED_VALUE"""),"Matt Strahm")</f>
        <v>Matt Strahm</v>
      </c>
      <c r="C90" s="153">
        <f>IFERROR(__xludf.DUMMYFUNCTION("""COMPUTED_VALUE"""),1.91)</f>
        <v>1.91</v>
      </c>
      <c r="D90" s="16"/>
      <c r="E90" s="16" t="str">
        <f>IFERROR(__xludf.DUMMYFUNCTION("""COMPUTED_VALUE"""),"L")</f>
        <v>L</v>
      </c>
      <c r="F90" s="16">
        <f>IFERROR(__xludf.DUMMYFUNCTION("""COMPUTED_VALUE"""),63.0)</f>
        <v>63</v>
      </c>
      <c r="G90" s="16">
        <f>IFERROR(__xludf.DUMMYFUNCTION("""COMPUTED_VALUE"""),33.0)</f>
        <v>33</v>
      </c>
      <c r="H90" s="16">
        <f>IFERROR(__xludf.DUMMYFUNCTION("""COMPUTED_VALUE"""),58.0)</f>
        <v>58</v>
      </c>
      <c r="I90" s="16">
        <f>IFERROR(__xludf.DUMMYFUNCTION("""COMPUTED_VALUE"""),1.0)</f>
        <v>1</v>
      </c>
      <c r="J90" s="16">
        <f>IFERROR(__xludf.DUMMYFUNCTION("""COMPUTED_VALUE"""),3.0)</f>
        <v>3</v>
      </c>
      <c r="K90" s="16">
        <f>IFERROR(__xludf.DUMMYFUNCTION("""COMPUTED_VALUE"""),3.0)</f>
        <v>3</v>
      </c>
      <c r="L90" s="16">
        <f>IFERROR(__xludf.DUMMYFUNCTION("""COMPUTED_VALUE"""),9.0)</f>
        <v>9</v>
      </c>
      <c r="M90" s="16">
        <f>IFERROR(__xludf.DUMMYFUNCTION("""COMPUTED_VALUE"""),0.0)</f>
        <v>0</v>
      </c>
      <c r="N90" s="16">
        <f>IFERROR(__xludf.DUMMYFUNCTION("""COMPUTED_VALUE"""),4.0)</f>
        <v>4</v>
      </c>
      <c r="O90" s="16">
        <f>IFERROR(__xludf.DUMMYFUNCTION("""COMPUTED_VALUE"""),3.0)</f>
        <v>3</v>
      </c>
      <c r="P90" s="16">
        <f>IFERROR(__xludf.DUMMYFUNCTION("""COMPUTED_VALUE"""),2.0)</f>
        <v>2</v>
      </c>
      <c r="Q90" s="16">
        <f>IFERROR(__xludf.DUMMYFUNCTION("""COMPUTED_VALUE"""),3.0)</f>
        <v>3</v>
      </c>
      <c r="R90" s="16">
        <f>IFERROR(__xludf.DUMMYFUNCTION("""COMPUTED_VALUE"""),2.0)</f>
        <v>2</v>
      </c>
      <c r="S90" s="16">
        <f>IFERROR(__xludf.DUMMYFUNCTION("""COMPUTED_VALUE"""),18.8)</f>
        <v>18.8</v>
      </c>
      <c r="T90" s="16">
        <f>IFERROR(__xludf.DUMMYFUNCTION("""COMPUTED_VALUE"""),0.0)</f>
        <v>0</v>
      </c>
      <c r="U90" s="16">
        <f>IFERROR(__xludf.DUMMYFUNCTION("""COMPUTED_VALUE"""),-1.0)</f>
        <v>-1</v>
      </c>
      <c r="V90" s="16">
        <f>IFERROR(__xludf.DUMMYFUNCTION("""COMPUTED_VALUE"""),3.0)</f>
        <v>3</v>
      </c>
      <c r="W90" s="16">
        <f>IFERROR(__xludf.DUMMYFUNCTION("""COMPUTED_VALUE"""),-2.0)</f>
        <v>-2</v>
      </c>
      <c r="X90" s="16">
        <f>IFERROR(__xludf.DUMMYFUNCTION("""COMPUTED_VALUE"""),6.0)</f>
        <v>6</v>
      </c>
      <c r="Y90" s="16">
        <f>IFERROR(__xludf.DUMMYFUNCTION("""COMPUTED_VALUE"""),18.8)</f>
        <v>18.8</v>
      </c>
      <c r="Z90" s="16">
        <f>IFERROR(__xludf.DUMMYFUNCTION("""COMPUTED_VALUE"""),4.0)</f>
        <v>4</v>
      </c>
      <c r="AA90" s="16">
        <f>IFERROR(__xludf.DUMMYFUNCTION("""COMPUTED_VALUE"""),1.0)</f>
        <v>1</v>
      </c>
      <c r="AB90" s="16">
        <f>IFERROR(__xludf.DUMMYFUNCTION("""COMPUTED_VALUE"""),3.0)</f>
        <v>3</v>
      </c>
      <c r="AC90" s="16">
        <f>IFERROR(__xludf.DUMMYFUNCTION("""COMPUTED_VALUE"""),5.0)</f>
        <v>5</v>
      </c>
      <c r="AD90" s="16">
        <f>IFERROR(__xludf.DUMMYFUNCTION("""COMPUTED_VALUE"""),15.0)</f>
        <v>15</v>
      </c>
      <c r="AE90" s="16">
        <f>IFERROR(__xludf.DUMMYFUNCTION("""COMPUTED_VALUE"""),41.5)</f>
        <v>41.5</v>
      </c>
      <c r="AF90" s="16">
        <f>IFERROR(__xludf.DUMMYFUNCTION("""COMPUTED_VALUE"""),0.0)</f>
        <v>0</v>
      </c>
      <c r="AG90" s="16">
        <f>IFERROR(__xludf.DUMMYFUNCTION("""COMPUTED_VALUE"""),-1.0)</f>
        <v>-1</v>
      </c>
      <c r="AH90" s="16">
        <f>IFERROR(__xludf.DUMMYFUNCTION("""COMPUTED_VALUE"""),3.0)</f>
        <v>3</v>
      </c>
      <c r="AI90" s="16">
        <f>IFERROR(__xludf.DUMMYFUNCTION("""COMPUTED_VALUE"""),-2.0)</f>
        <v>-2</v>
      </c>
      <c r="AJ90" s="16">
        <f>IFERROR(__xludf.DUMMYFUNCTION("""COMPUTED_VALUE"""),6.0)</f>
        <v>6</v>
      </c>
      <c r="AK90" s="16">
        <f>IFERROR(__xludf.DUMMYFUNCTION("""COMPUTED_VALUE"""),16.8)</f>
        <v>16.8</v>
      </c>
      <c r="AL90" s="16">
        <f>IFERROR(__xludf.DUMMYFUNCTION("""COMPUTED_VALUE"""),0.0)</f>
        <v>0</v>
      </c>
      <c r="AM90" s="16">
        <f>IFERROR(__xludf.DUMMYFUNCTION("""COMPUTED_VALUE"""),-1.0)</f>
        <v>-1</v>
      </c>
      <c r="AN90" s="16">
        <f>IFERROR(__xludf.DUMMYFUNCTION("""COMPUTED_VALUE"""),3.0)</f>
        <v>3</v>
      </c>
      <c r="AO90" s="16">
        <f>IFERROR(__xludf.DUMMYFUNCTION("""COMPUTED_VALUE"""),-1.0)</f>
        <v>-1</v>
      </c>
      <c r="AP90" s="16">
        <f>IFERROR(__xludf.DUMMYFUNCTION("""COMPUTED_VALUE"""),3.0)</f>
        <v>3</v>
      </c>
      <c r="AQ90" s="16">
        <f>IFERROR(__xludf.DUMMYFUNCTION("""COMPUTED_VALUE"""),33.5)</f>
        <v>33.5</v>
      </c>
      <c r="AR90" s="16">
        <f>IFERROR(__xludf.DUMMYFUNCTION("""COMPUTED_VALUE"""),0.0)</f>
        <v>0</v>
      </c>
      <c r="AS90" s="16">
        <f>IFERROR(__xludf.DUMMYFUNCTION("""COMPUTED_VALUE"""),-2.0)</f>
        <v>-2</v>
      </c>
      <c r="AT90" s="16">
        <f>IFERROR(__xludf.DUMMYFUNCTION("""COMPUTED_VALUE"""),3.0)</f>
        <v>3</v>
      </c>
      <c r="AU90" s="16">
        <f>IFERROR(__xludf.DUMMYFUNCTION("""COMPUTED_VALUE"""),-4.0)</f>
        <v>-4</v>
      </c>
      <c r="AV90" s="16">
        <f>IFERROR(__xludf.DUMMYFUNCTION("""COMPUTED_VALUE"""),6.0)</f>
        <v>6</v>
      </c>
      <c r="AW90" s="16">
        <f>IFERROR(__xludf.DUMMYFUNCTION("""COMPUTED_VALUE"""),2.0)</f>
        <v>2</v>
      </c>
      <c r="AX90" s="16">
        <f>IFERROR(__xludf.DUMMYFUNCTION("""COMPUTED_VALUE"""),0.0)</f>
        <v>0</v>
      </c>
      <c r="AY90" s="16">
        <f>IFERROR(__xludf.DUMMYFUNCTION("""COMPUTED_VALUE"""),0.0)</f>
        <v>0</v>
      </c>
      <c r="AZ90" s="16">
        <f>IFERROR(__xludf.DUMMYFUNCTION("""COMPUTED_VALUE"""),2.0)</f>
        <v>2</v>
      </c>
      <c r="BA90" s="16">
        <f>IFERROR(__xludf.DUMMYFUNCTION("""COMPUTED_VALUE"""),0.0)</f>
        <v>0</v>
      </c>
      <c r="BB90" s="16">
        <f>IFERROR(__xludf.DUMMYFUNCTION("""COMPUTED_VALUE"""),10.0)</f>
        <v>10</v>
      </c>
      <c r="BC90" s="16"/>
      <c r="BD90" s="16"/>
      <c r="BE90" s="16">
        <f>IFERROR(__xludf.DUMMYFUNCTION("""COMPUTED_VALUE"""),2.0)</f>
        <v>2</v>
      </c>
      <c r="BF90" s="16">
        <f>IFERROR(__xludf.DUMMYFUNCTION("""COMPUTED_VALUE"""),0.0)</f>
        <v>0</v>
      </c>
      <c r="BG90" s="16">
        <f>IFERROR(__xludf.DUMMYFUNCTION("""COMPUTED_VALUE"""),1.0)</f>
        <v>1</v>
      </c>
      <c r="BH90" s="16">
        <f>IFERROR(__xludf.DUMMYFUNCTION("""COMPUTED_VALUE"""),2.0)</f>
        <v>2</v>
      </c>
      <c r="BI90" s="16">
        <f>IFERROR(__xludf.DUMMYFUNCTION("""COMPUTED_VALUE"""),2.0)</f>
        <v>2</v>
      </c>
      <c r="BJ90" s="16">
        <f>IFERROR(__xludf.DUMMYFUNCTION("""COMPUTED_VALUE"""),4.0)</f>
        <v>4</v>
      </c>
      <c r="BK90" s="16">
        <f>IFERROR(__xludf.DUMMYFUNCTION("""COMPUTED_VALUE"""),0.0)</f>
        <v>0</v>
      </c>
      <c r="BL90" s="16">
        <f>IFERROR(__xludf.DUMMYFUNCTION("""COMPUTED_VALUE"""),0.0)</f>
        <v>0</v>
      </c>
      <c r="BM90" s="16">
        <f>IFERROR(__xludf.DUMMYFUNCTION("""COMPUTED_VALUE"""),1.0)</f>
        <v>1</v>
      </c>
      <c r="BN90" s="16">
        <f>IFERROR(__xludf.DUMMYFUNCTION("""COMPUTED_VALUE"""),1.0)</f>
        <v>1</v>
      </c>
      <c r="BO90" s="16">
        <f>IFERROR(__xludf.DUMMYFUNCTION("""COMPUTED_VALUE"""),1.0)</f>
        <v>1</v>
      </c>
      <c r="BP90" s="16">
        <f>IFERROR(__xludf.DUMMYFUNCTION("""COMPUTED_VALUE"""),1.0)</f>
        <v>1</v>
      </c>
      <c r="BQ90" s="16">
        <f>IFERROR(__xludf.DUMMYFUNCTION("""COMPUTED_VALUE"""),0.0)</f>
        <v>0</v>
      </c>
      <c r="BR90" s="16">
        <f>IFERROR(__xludf.DUMMYFUNCTION("""COMPUTED_VALUE"""),0.0)</f>
        <v>0</v>
      </c>
      <c r="BS90" s="16">
        <f>IFERROR(__xludf.DUMMYFUNCTION("""COMPUTED_VALUE"""),-3.0)</f>
        <v>-3</v>
      </c>
      <c r="BT90" s="16">
        <f>IFERROR(__xludf.DUMMYFUNCTION("""COMPUTED_VALUE"""),-3.0)</f>
        <v>-3</v>
      </c>
      <c r="BU90" s="16">
        <f>IFERROR(__xludf.DUMMYFUNCTION("""COMPUTED_VALUE"""),-6.0)</f>
        <v>-6</v>
      </c>
      <c r="BV90" s="16">
        <f>IFERROR(__xludf.DUMMYFUNCTION("""COMPUTED_VALUE"""),-6.0)</f>
        <v>-6</v>
      </c>
      <c r="BW90" s="16">
        <f>IFERROR(__xludf.DUMMYFUNCTION("""COMPUTED_VALUE"""),-2.0)</f>
        <v>-2</v>
      </c>
      <c r="BX90" s="16">
        <f>IFERROR(__xludf.DUMMYFUNCTION("""COMPUTED_VALUE"""),-2.0)</f>
        <v>-2</v>
      </c>
      <c r="BY90" s="16" t="str">
        <f>IFERROR(__xludf.DUMMYFUNCTION("""COMPUTED_VALUE"""),"R(1) C(2)")</f>
        <v>R(1) C(2)</v>
      </c>
      <c r="BZ90" s="16" t="str">
        <f>IFERROR(__xludf.DUMMYFUNCTION("""COMPUTED_VALUE"""),"R(1) C(2)")</f>
        <v>R(1) C(2)</v>
      </c>
      <c r="CA90" s="16" t="str">
        <f>IFERROR(__xludf.DUMMYFUNCTION("""COMPUTED_VALUE"""),"R(1)")</f>
        <v>R(1)</v>
      </c>
      <c r="CB90" s="16" t="str">
        <f>IFERROR(__xludf.DUMMYFUNCTION("""COMPUTED_VALUE"""),"C(2)")</f>
        <v>C(2)</v>
      </c>
      <c r="CC90" s="16"/>
      <c r="CD90" s="16"/>
      <c r="CE90" s="16">
        <f>IFERROR(__xludf.DUMMYFUNCTION("""COMPUTED_VALUE"""),1.0)</f>
        <v>1</v>
      </c>
      <c r="CF90" s="16">
        <f>IFERROR(__xludf.DUMMYFUNCTION("""COMPUTED_VALUE"""),2.0)</f>
        <v>2</v>
      </c>
      <c r="CG90" s="16" t="str">
        <f>IFERROR(__xludf.DUMMYFUNCTION("""COMPUTED_VALUE"""),"2-0")</f>
        <v>2-0</v>
      </c>
      <c r="CH90" s="16">
        <f>IFERROR(__xludf.DUMMYFUNCTION("""COMPUTED_VALUE"""),2.0)</f>
        <v>2</v>
      </c>
      <c r="CI90" s="16">
        <f>IFERROR(__xludf.DUMMYFUNCTION("""COMPUTED_VALUE"""),0.0)</f>
        <v>0</v>
      </c>
      <c r="CJ90" s="16">
        <f>IFERROR(__xludf.DUMMYFUNCTION("""COMPUTED_VALUE"""),0.0)</f>
        <v>0</v>
      </c>
      <c r="CK90" s="16">
        <f>IFERROR(__xludf.DUMMYFUNCTION("""COMPUTED_VALUE"""),7.0)</f>
        <v>7</v>
      </c>
      <c r="CL90" s="16" t="str">
        <f>IFERROR(__xludf.DUMMYFUNCTION("""COMPUTED_VALUE"""),"1WR-C")</f>
        <v>1WR-C</v>
      </c>
      <c r="CM90" s="16" t="str">
        <f>IFERROR(__xludf.DUMMYFUNCTION("""COMPUTED_VALUE"""),"E")</f>
        <v>E</v>
      </c>
      <c r="CN90" s="16">
        <f>IFERROR(__xludf.DUMMYFUNCTION("""COMPUTED_VALUE"""),10.0)</f>
        <v>10</v>
      </c>
      <c r="CO90" s="16" t="str">
        <f>IFERROR(__xludf.DUMMYFUNCTION("""COMPUTED_VALUE"""),"C")</f>
        <v>C</v>
      </c>
      <c r="CP90" s="16" t="str">
        <f>IFERROR(__xludf.DUMMYFUNCTION("""COMPUTED_VALUE"""),"1p50")</f>
        <v>1p50</v>
      </c>
      <c r="CQ90" s="16">
        <f>IFERROR(__xludf.DUMMYFUNCTION("""COMPUTED_VALUE"""),-1.0)</f>
        <v>-1</v>
      </c>
      <c r="CR90" s="16">
        <f>IFERROR(__xludf.DUMMYFUNCTION("""COMPUTED_VALUE"""),56.0)</f>
        <v>56</v>
      </c>
      <c r="CS90" s="16">
        <f>IFERROR(__xludf.DUMMYFUNCTION("""COMPUTED_VALUE"""),55.0)</f>
        <v>55</v>
      </c>
      <c r="CT90" s="16">
        <f>IFERROR(__xludf.DUMMYFUNCTION("""COMPUTED_VALUE"""),-1.0)</f>
        <v>-1</v>
      </c>
      <c r="CU90" s="16">
        <f>IFERROR(__xludf.DUMMYFUNCTION("""COMPUTED_VALUE"""),56.0)</f>
        <v>56</v>
      </c>
      <c r="CV90" s="179">
        <f>IFERROR(__xludf.DUMMYFUNCTION("""COMPUTED_VALUE"""),22.0)</f>
        <v>22</v>
      </c>
      <c r="CW90" s="179">
        <f>IFERROR(__xludf.DUMMYFUNCTION("""COMPUTED_VALUE"""),4.0)</f>
        <v>4</v>
      </c>
      <c r="CX90" s="179">
        <f>IFERROR(__xludf.DUMMYFUNCTION("""COMPUTED_VALUE"""),0.0)</f>
        <v>0</v>
      </c>
      <c r="CY90" s="16" t="str">
        <f>IFERROR(__xludf.DUMMYFUNCTION("""COMPUTED_VALUE"""),"RP")</f>
        <v>RP</v>
      </c>
      <c r="CZ90" s="16" t="str">
        <f>IFERROR(__xludf.DUMMYFUNCTION("""COMPUTED_VALUE"""),"CP")</f>
        <v>CP</v>
      </c>
      <c r="DA90" s="16"/>
      <c r="DB90" s="16"/>
      <c r="DC90" s="16"/>
      <c r="DD90" s="16"/>
      <c r="DE90" s="16"/>
      <c r="DF90" s="16"/>
      <c r="DG90" s="16"/>
      <c r="DH90" s="16"/>
      <c r="DI90" s="16"/>
      <c r="DJ90" s="16"/>
      <c r="DK90" s="16"/>
    </row>
    <row r="91">
      <c r="A91" s="16">
        <f>IFERROR(__xludf.DUMMYFUNCTION("""COMPUTED_VALUE"""),13331.0)</f>
        <v>13331</v>
      </c>
      <c r="B91" s="16" t="str">
        <f>IFERROR(__xludf.DUMMYFUNCTION("""COMPUTED_VALUE"""),"Ryan Fernandez")</f>
        <v>Ryan Fernandez</v>
      </c>
      <c r="C91" s="153">
        <f>IFERROR(__xludf.DUMMYFUNCTION("""COMPUTED_VALUE"""),0.72)</f>
        <v>0.72</v>
      </c>
      <c r="D91" s="16"/>
      <c r="E91" s="16" t="str">
        <f>IFERROR(__xludf.DUMMYFUNCTION("""COMPUTED_VALUE"""),"R")</f>
        <v>R</v>
      </c>
      <c r="F91" s="16">
        <f>IFERROR(__xludf.DUMMYFUNCTION("""COMPUTED_VALUE"""),67.0)</f>
        <v>67</v>
      </c>
      <c r="G91" s="16">
        <f>IFERROR(__xludf.DUMMYFUNCTION("""COMPUTED_VALUE"""),30.0)</f>
        <v>30</v>
      </c>
      <c r="H91" s="16">
        <f>IFERROR(__xludf.DUMMYFUNCTION("""COMPUTED_VALUE"""),31.0)</f>
        <v>31</v>
      </c>
      <c r="I91" s="16">
        <f>IFERROR(__xludf.DUMMYFUNCTION("""COMPUTED_VALUE"""),0.0)</f>
        <v>0</v>
      </c>
      <c r="J91" s="16">
        <f>IFERROR(__xludf.DUMMYFUNCTION("""COMPUTED_VALUE"""),0.0)</f>
        <v>0</v>
      </c>
      <c r="K91" s="16">
        <f>IFERROR(__xludf.DUMMYFUNCTION("""COMPUTED_VALUE"""),0.0)</f>
        <v>0</v>
      </c>
      <c r="L91" s="16">
        <f>IFERROR(__xludf.DUMMYFUNCTION("""COMPUTED_VALUE"""),0.0)</f>
        <v>0</v>
      </c>
      <c r="M91" s="16">
        <f>IFERROR(__xludf.DUMMYFUNCTION("""COMPUTED_VALUE"""),13.0)</f>
        <v>13</v>
      </c>
      <c r="N91" s="16">
        <f>IFERROR(__xludf.DUMMYFUNCTION("""COMPUTED_VALUE"""),12.0)</f>
        <v>12</v>
      </c>
      <c r="O91" s="16">
        <f>IFERROR(__xludf.DUMMYFUNCTION("""COMPUTED_VALUE"""),-1.0)</f>
        <v>-1</v>
      </c>
      <c r="P91" s="16">
        <f>IFERROR(__xludf.DUMMYFUNCTION("""COMPUTED_VALUE"""),-2.0)</f>
        <v>-2</v>
      </c>
      <c r="Q91" s="16">
        <f>IFERROR(__xludf.DUMMYFUNCTION("""COMPUTED_VALUE"""),-1.0)</f>
        <v>-1</v>
      </c>
      <c r="R91" s="16">
        <f>IFERROR(__xludf.DUMMYFUNCTION("""COMPUTED_VALUE"""),-2.0)</f>
        <v>-2</v>
      </c>
      <c r="S91" s="16">
        <f>IFERROR(__xludf.DUMMYFUNCTION("""COMPUTED_VALUE"""),12.3)</f>
        <v>12.3</v>
      </c>
      <c r="T91" s="16">
        <f>IFERROR(__xludf.DUMMYFUNCTION("""COMPUTED_VALUE"""),17.4)</f>
        <v>17.4</v>
      </c>
      <c r="U91" s="16">
        <f>IFERROR(__xludf.DUMMYFUNCTION("""COMPUTED_VALUE"""),1.0)</f>
        <v>1</v>
      </c>
      <c r="V91" s="16">
        <f>IFERROR(__xludf.DUMMYFUNCTION("""COMPUTED_VALUE"""),0.0)</f>
        <v>0</v>
      </c>
      <c r="W91" s="16">
        <f>IFERROR(__xludf.DUMMYFUNCTION("""COMPUTED_VALUE"""),2.0)</f>
        <v>2</v>
      </c>
      <c r="X91" s="16">
        <f>IFERROR(__xludf.DUMMYFUNCTION("""COMPUTED_VALUE"""),0.0)</f>
        <v>0</v>
      </c>
      <c r="Y91" s="16">
        <f>IFERROR(__xludf.DUMMYFUNCTION("""COMPUTED_VALUE"""),25.3)</f>
        <v>25.3</v>
      </c>
      <c r="Z91" s="16">
        <f>IFERROR(__xludf.DUMMYFUNCTION("""COMPUTED_VALUE"""),29.4)</f>
        <v>29.4</v>
      </c>
      <c r="AA91" s="16">
        <f>IFERROR(__xludf.DUMMYFUNCTION("""COMPUTED_VALUE"""),0.0)</f>
        <v>0</v>
      </c>
      <c r="AB91" s="16">
        <f>IFERROR(__xludf.DUMMYFUNCTION("""COMPUTED_VALUE"""),-1.0)</f>
        <v>-1</v>
      </c>
      <c r="AC91" s="16">
        <f>IFERROR(__xludf.DUMMYFUNCTION("""COMPUTED_VALUE"""),0.0)</f>
        <v>0</v>
      </c>
      <c r="AD91" s="16">
        <f>IFERROR(__xludf.DUMMYFUNCTION("""COMPUTED_VALUE"""),-5.0)</f>
        <v>-5</v>
      </c>
      <c r="AE91" s="16">
        <f>IFERROR(__xludf.DUMMYFUNCTION("""COMPUTED_VALUE"""),17.0)</f>
        <v>17</v>
      </c>
      <c r="AF91" s="16">
        <f>IFERROR(__xludf.DUMMYFUNCTION("""COMPUTED_VALUE"""),23.5)</f>
        <v>23.5</v>
      </c>
      <c r="AG91" s="16">
        <f>IFERROR(__xludf.DUMMYFUNCTION("""COMPUTED_VALUE"""),1.0)</f>
        <v>1</v>
      </c>
      <c r="AH91" s="16">
        <f>IFERROR(__xludf.DUMMYFUNCTION("""COMPUTED_VALUE"""),1.0)</f>
        <v>1</v>
      </c>
      <c r="AI91" s="16">
        <f>IFERROR(__xludf.DUMMYFUNCTION("""COMPUTED_VALUE"""),2.0)</f>
        <v>2</v>
      </c>
      <c r="AJ91" s="16">
        <f>IFERROR(__xludf.DUMMYFUNCTION("""COMPUTED_VALUE"""),2.0)</f>
        <v>2</v>
      </c>
      <c r="AK91" s="16">
        <f>IFERROR(__xludf.DUMMYFUNCTION("""COMPUTED_VALUE"""),12.3)</f>
        <v>12.3</v>
      </c>
      <c r="AL91" s="16">
        <f>IFERROR(__xludf.DUMMYFUNCTION("""COMPUTED_VALUE"""),17.4)</f>
        <v>17.4</v>
      </c>
      <c r="AM91" s="16">
        <f>IFERROR(__xludf.DUMMYFUNCTION("""COMPUTED_VALUE"""),0.0)</f>
        <v>0</v>
      </c>
      <c r="AN91" s="16">
        <f>IFERROR(__xludf.DUMMYFUNCTION("""COMPUTED_VALUE"""),-1.0)</f>
        <v>-1</v>
      </c>
      <c r="AO91" s="16">
        <f>IFERROR(__xludf.DUMMYFUNCTION("""COMPUTED_VALUE"""),0.0)</f>
        <v>0</v>
      </c>
      <c r="AP91" s="16">
        <f>IFERROR(__xludf.DUMMYFUNCTION("""COMPUTED_VALUE"""),-1.0)</f>
        <v>-1</v>
      </c>
      <c r="AQ91" s="16">
        <f>IFERROR(__xludf.DUMMYFUNCTION("""COMPUTED_VALUE"""),17.0)</f>
        <v>17</v>
      </c>
      <c r="AR91" s="16">
        <f>IFERROR(__xludf.DUMMYFUNCTION("""COMPUTED_VALUE"""),23.5)</f>
        <v>23.5</v>
      </c>
      <c r="AS91" s="16">
        <f>IFERROR(__xludf.DUMMYFUNCTION("""COMPUTED_VALUE"""),0.0)</f>
        <v>0</v>
      </c>
      <c r="AT91" s="16">
        <f>IFERROR(__xludf.DUMMYFUNCTION("""COMPUTED_VALUE"""),-1.0)</f>
        <v>-1</v>
      </c>
      <c r="AU91" s="16">
        <f>IFERROR(__xludf.DUMMYFUNCTION("""COMPUTED_VALUE"""),0.0)</f>
        <v>0</v>
      </c>
      <c r="AV91" s="16">
        <f>IFERROR(__xludf.DUMMYFUNCTION("""COMPUTED_VALUE"""),-2.0)</f>
        <v>-2</v>
      </c>
      <c r="AW91" s="16">
        <f>IFERROR(__xludf.DUMMYFUNCTION("""COMPUTED_VALUE"""),0.0)</f>
        <v>0</v>
      </c>
      <c r="AX91" s="16">
        <f>IFERROR(__xludf.DUMMYFUNCTION("""COMPUTED_VALUE"""),0.0)</f>
        <v>0</v>
      </c>
      <c r="AY91" s="16">
        <f>IFERROR(__xludf.DUMMYFUNCTION("""COMPUTED_VALUE"""),2.0)</f>
        <v>2</v>
      </c>
      <c r="AZ91" s="16">
        <f>IFERROR(__xludf.DUMMYFUNCTION("""COMPUTED_VALUE"""),2.0)</f>
        <v>2</v>
      </c>
      <c r="BA91" s="16">
        <f>IFERROR(__xludf.DUMMYFUNCTION("""COMPUTED_VALUE"""),10.0)</f>
        <v>10</v>
      </c>
      <c r="BB91" s="16">
        <f>IFERROR(__xludf.DUMMYFUNCTION("""COMPUTED_VALUE"""),10.0)</f>
        <v>10</v>
      </c>
      <c r="BC91" s="16">
        <f>IFERROR(__xludf.DUMMYFUNCTION("""COMPUTED_VALUE"""),0.0)</f>
        <v>0</v>
      </c>
      <c r="BD91" s="16">
        <f>IFERROR(__xludf.DUMMYFUNCTION("""COMPUTED_VALUE"""),0.0)</f>
        <v>0</v>
      </c>
      <c r="BE91" s="16">
        <f>IFERROR(__xludf.DUMMYFUNCTION("""COMPUTED_VALUE"""),0.0)</f>
        <v>0</v>
      </c>
      <c r="BF91" s="16">
        <f>IFERROR(__xludf.DUMMYFUNCTION("""COMPUTED_VALUE"""),0.0)</f>
        <v>0</v>
      </c>
      <c r="BG91" s="16">
        <f>IFERROR(__xludf.DUMMYFUNCTION("""COMPUTED_VALUE"""),3.0)</f>
        <v>3</v>
      </c>
      <c r="BH91" s="16">
        <f>IFERROR(__xludf.DUMMYFUNCTION("""COMPUTED_VALUE"""),2.0)</f>
        <v>2</v>
      </c>
      <c r="BI91" s="16">
        <f>IFERROR(__xludf.DUMMYFUNCTION("""COMPUTED_VALUE"""),6.0)</f>
        <v>6</v>
      </c>
      <c r="BJ91" s="16">
        <f>IFERROR(__xludf.DUMMYFUNCTION("""COMPUTED_VALUE"""),4.0)</f>
        <v>4</v>
      </c>
      <c r="BK91" s="16">
        <f>IFERROR(__xludf.DUMMYFUNCTION("""COMPUTED_VALUE"""),5.0)</f>
        <v>5</v>
      </c>
      <c r="BL91" s="16">
        <f>IFERROR(__xludf.DUMMYFUNCTION("""COMPUTED_VALUE"""),5.0)</f>
        <v>5</v>
      </c>
      <c r="BM91" s="16">
        <f>IFERROR(__xludf.DUMMYFUNCTION("""COMPUTED_VALUE"""),0.0)</f>
        <v>0</v>
      </c>
      <c r="BN91" s="16">
        <f>IFERROR(__xludf.DUMMYFUNCTION("""COMPUTED_VALUE"""),0.0)</f>
        <v>0</v>
      </c>
      <c r="BO91" s="16">
        <f>IFERROR(__xludf.DUMMYFUNCTION("""COMPUTED_VALUE"""),0.0)</f>
        <v>0</v>
      </c>
      <c r="BP91" s="16">
        <f>IFERROR(__xludf.DUMMYFUNCTION("""COMPUTED_VALUE"""),0.0)</f>
        <v>0</v>
      </c>
      <c r="BQ91" s="16">
        <f>IFERROR(__xludf.DUMMYFUNCTION("""COMPUTED_VALUE"""),9.0)</f>
        <v>9</v>
      </c>
      <c r="BR91" s="16">
        <f>IFERROR(__xludf.DUMMYFUNCTION("""COMPUTED_VALUE"""),9.0)</f>
        <v>9</v>
      </c>
      <c r="BS91" s="16">
        <f>IFERROR(__xludf.DUMMYFUNCTION("""COMPUTED_VALUE"""),3.0)</f>
        <v>3</v>
      </c>
      <c r="BT91" s="16">
        <f>IFERROR(__xludf.DUMMYFUNCTION("""COMPUTED_VALUE"""),3.0)</f>
        <v>3</v>
      </c>
      <c r="BU91" s="16">
        <f>IFERROR(__xludf.DUMMYFUNCTION("""COMPUTED_VALUE"""),6.0)</f>
        <v>6</v>
      </c>
      <c r="BV91" s="16">
        <f>IFERROR(__xludf.DUMMYFUNCTION("""COMPUTED_VALUE"""),6.0)</f>
        <v>6</v>
      </c>
      <c r="BW91" s="16">
        <f>IFERROR(__xludf.DUMMYFUNCTION("""COMPUTED_VALUE"""),7.0)</f>
        <v>7</v>
      </c>
      <c r="BX91" s="16">
        <f>IFERROR(__xludf.DUMMYFUNCTION("""COMPUTED_VALUE"""),7.0)</f>
        <v>7</v>
      </c>
      <c r="BY91" s="16" t="str">
        <f>IFERROR(__xludf.DUMMYFUNCTION("""COMPUTED_VALUE"""),"R(1) C(1)")</f>
        <v>R(1) C(1)</v>
      </c>
      <c r="BZ91" s="16" t="str">
        <f>IFERROR(__xludf.DUMMYFUNCTION("""COMPUTED_VALUE"""),"R(1) C(1)")</f>
        <v>R(1) C(1)</v>
      </c>
      <c r="CA91" s="16" t="str">
        <f>IFERROR(__xludf.DUMMYFUNCTION("""COMPUTED_VALUE"""),"R(1)")</f>
        <v>R(1)</v>
      </c>
      <c r="CB91" s="16" t="str">
        <f>IFERROR(__xludf.DUMMYFUNCTION("""COMPUTED_VALUE"""),"C(1)")</f>
        <v>C(1)</v>
      </c>
      <c r="CC91" s="16"/>
      <c r="CD91" s="16"/>
      <c r="CE91" s="16">
        <f>IFERROR(__xludf.DUMMYFUNCTION("""COMPUTED_VALUE"""),1.0)</f>
        <v>1</v>
      </c>
      <c r="CF91" s="16">
        <f>IFERROR(__xludf.DUMMYFUNCTION("""COMPUTED_VALUE"""),1.0)</f>
        <v>1</v>
      </c>
      <c r="CG91" s="16" t="str">
        <f>IFERROR(__xludf.DUMMYFUNCTION("""COMPUTED_VALUE"""),"3-0")</f>
        <v>3-0</v>
      </c>
      <c r="CH91" s="16">
        <f>IFERROR(__xludf.DUMMYFUNCTION("""COMPUTED_VALUE"""),3.0)</f>
        <v>3</v>
      </c>
      <c r="CI91" s="16">
        <f>IFERROR(__xludf.DUMMYFUNCTION("""COMPUTED_VALUE"""),0.0)</f>
        <v>0</v>
      </c>
      <c r="CJ91" s="16">
        <f>IFERROR(__xludf.DUMMYFUNCTION("""COMPUTED_VALUE"""),0.0)</f>
        <v>0</v>
      </c>
      <c r="CK91" s="16">
        <f>IFERROR(__xludf.DUMMYFUNCTION("""COMPUTED_VALUE"""),0.0)</f>
        <v>0</v>
      </c>
      <c r="CL91" s="16" t="str">
        <f>IFERROR(__xludf.DUMMYFUNCTION("""COMPUTED_VALUE"""),"1WR-C")</f>
        <v>1WR-C</v>
      </c>
      <c r="CM91" s="16" t="str">
        <f>IFERROR(__xludf.DUMMYFUNCTION("""COMPUTED_VALUE"""),"E")</f>
        <v>E</v>
      </c>
      <c r="CN91" s="16">
        <f>IFERROR(__xludf.DUMMYFUNCTION("""COMPUTED_VALUE"""),10.0)</f>
        <v>10</v>
      </c>
      <c r="CO91" s="16" t="str">
        <f>IFERROR(__xludf.DUMMYFUNCTION("""COMPUTED_VALUE"""),"C")</f>
        <v>C</v>
      </c>
      <c r="CP91" s="16" t="str">
        <f>IFERROR(__xludf.DUMMYFUNCTION("""COMPUTED_VALUE"""),"1p60")</f>
        <v>1p60</v>
      </c>
      <c r="CQ91" s="16">
        <f>IFERROR(__xludf.DUMMYFUNCTION("""COMPUTED_VALUE"""),25.0)</f>
        <v>25</v>
      </c>
      <c r="CR91" s="16">
        <f>IFERROR(__xludf.DUMMYFUNCTION("""COMPUTED_VALUE"""),12.0)</f>
        <v>12</v>
      </c>
      <c r="CS91" s="16">
        <f>IFERROR(__xludf.DUMMYFUNCTION("""COMPUTED_VALUE"""),37.0)</f>
        <v>37</v>
      </c>
      <c r="CT91" s="16">
        <f>IFERROR(__xludf.DUMMYFUNCTION("""COMPUTED_VALUE"""),25.0)</f>
        <v>25</v>
      </c>
      <c r="CU91" s="16">
        <f>IFERROR(__xludf.DUMMYFUNCTION("""COMPUTED_VALUE"""),12.0)</f>
        <v>12</v>
      </c>
      <c r="CV91" s="179">
        <f>IFERROR(__xludf.DUMMYFUNCTION("""COMPUTED_VALUE"""),21.333333333333332)</f>
        <v>21.33333333</v>
      </c>
      <c r="CW91" s="179">
        <f>IFERROR(__xludf.DUMMYFUNCTION("""COMPUTED_VALUE"""),4.0)</f>
        <v>4</v>
      </c>
      <c r="CX91" s="179">
        <f>IFERROR(__xludf.DUMMYFUNCTION("""COMPUTED_VALUE"""),1.0)</f>
        <v>1</v>
      </c>
      <c r="CY91" s="16" t="str">
        <f>IFERROR(__xludf.DUMMYFUNCTION("""COMPUTED_VALUE"""),"RP")</f>
        <v>RP</v>
      </c>
      <c r="CZ91" s="16" t="str">
        <f>IFERROR(__xludf.DUMMYFUNCTION("""COMPUTED_VALUE"""),"CP")</f>
        <v>CP</v>
      </c>
      <c r="DA91" s="16"/>
      <c r="DB91" s="16"/>
      <c r="DC91" s="16"/>
      <c r="DD91" s="16"/>
      <c r="DE91" s="16"/>
      <c r="DF91" s="16"/>
      <c r="DG91" s="16"/>
      <c r="DH91" s="16"/>
      <c r="DI91" s="16"/>
      <c r="DJ91" s="16"/>
      <c r="DK91" s="16"/>
    </row>
    <row r="92">
      <c r="A92" s="16">
        <f>IFERROR(__xludf.DUMMYFUNCTION("""COMPUTED_VALUE"""),13318.0)</f>
        <v>13318</v>
      </c>
      <c r="B92" s="16" t="str">
        <f>IFERROR(__xludf.DUMMYFUNCTION("""COMPUTED_VALUE"""),"Robert Suarez")</f>
        <v>Robert Suarez</v>
      </c>
      <c r="C92" s="153">
        <f>IFERROR(__xludf.DUMMYFUNCTION("""COMPUTED_VALUE"""),1.55)</f>
        <v>1.55</v>
      </c>
      <c r="D92" s="16"/>
      <c r="E92" s="16" t="str">
        <f>IFERROR(__xludf.DUMMYFUNCTION("""COMPUTED_VALUE"""),"R")</f>
        <v>R</v>
      </c>
      <c r="F92" s="16">
        <f>IFERROR(__xludf.DUMMYFUNCTION("""COMPUTED_VALUE"""),65.0)</f>
        <v>65</v>
      </c>
      <c r="G92" s="16">
        <f>IFERROR(__xludf.DUMMYFUNCTION("""COMPUTED_VALUE"""),46.0)</f>
        <v>46</v>
      </c>
      <c r="H92" s="16">
        <f>IFERROR(__xludf.DUMMYFUNCTION("""COMPUTED_VALUE"""),4.0)</f>
        <v>4</v>
      </c>
      <c r="I92" s="16">
        <f>IFERROR(__xludf.DUMMYFUNCTION("""COMPUTED_VALUE"""),2.0)</f>
        <v>2</v>
      </c>
      <c r="J92" s="16">
        <f>IFERROR(__xludf.DUMMYFUNCTION("""COMPUTED_VALUE"""),-3.0)</f>
        <v>-3</v>
      </c>
      <c r="K92" s="16">
        <f>IFERROR(__xludf.DUMMYFUNCTION("""COMPUTED_VALUE"""),6.0)</f>
        <v>6</v>
      </c>
      <c r="L92" s="16">
        <f>IFERROR(__xludf.DUMMYFUNCTION("""COMPUTED_VALUE"""),-9.0)</f>
        <v>-9</v>
      </c>
      <c r="M92" s="16">
        <f>IFERROR(__xludf.DUMMYFUNCTION("""COMPUTED_VALUE"""),12.0)</f>
        <v>12</v>
      </c>
      <c r="N92" s="16">
        <f>IFERROR(__xludf.DUMMYFUNCTION("""COMPUTED_VALUE"""),0.0)</f>
        <v>0</v>
      </c>
      <c r="O92" s="16">
        <f>IFERROR(__xludf.DUMMYFUNCTION("""COMPUTED_VALUE"""),-1.0)</f>
        <v>-1</v>
      </c>
      <c r="P92" s="16">
        <f>IFERROR(__xludf.DUMMYFUNCTION("""COMPUTED_VALUE"""),3.0)</f>
        <v>3</v>
      </c>
      <c r="Q92" s="16">
        <f>IFERROR(__xludf.DUMMYFUNCTION("""COMPUTED_VALUE"""),-1.0)</f>
        <v>-1</v>
      </c>
      <c r="R92" s="16">
        <f>IFERROR(__xludf.DUMMYFUNCTION("""COMPUTED_VALUE"""),3.0)</f>
        <v>3</v>
      </c>
      <c r="S92" s="16">
        <f>IFERROR(__xludf.DUMMYFUNCTION("""COMPUTED_VALUE"""),2.8)</f>
        <v>2.8</v>
      </c>
      <c r="T92" s="16">
        <f>IFERROR(__xludf.DUMMYFUNCTION("""COMPUTED_VALUE"""),21.5)</f>
        <v>21.5</v>
      </c>
      <c r="U92" s="16">
        <f>IFERROR(__xludf.DUMMYFUNCTION("""COMPUTED_VALUE"""),2.0)</f>
        <v>2</v>
      </c>
      <c r="V92" s="16">
        <f>IFERROR(__xludf.DUMMYFUNCTION("""COMPUTED_VALUE"""),-1.0)</f>
        <v>-1</v>
      </c>
      <c r="W92" s="16">
        <f>IFERROR(__xludf.DUMMYFUNCTION("""COMPUTED_VALUE"""),4.0)</f>
        <v>4</v>
      </c>
      <c r="X92" s="16">
        <f>IFERROR(__xludf.DUMMYFUNCTION("""COMPUTED_VALUE"""),-2.0)</f>
        <v>-2</v>
      </c>
      <c r="Y92" s="16">
        <f>IFERROR(__xludf.DUMMYFUNCTION("""COMPUTED_VALUE"""),14.8)</f>
        <v>14.8</v>
      </c>
      <c r="Z92" s="16">
        <f>IFERROR(__xludf.DUMMYFUNCTION("""COMPUTED_VALUE"""),21.5)</f>
        <v>21.5</v>
      </c>
      <c r="AA92" s="16">
        <f>IFERROR(__xludf.DUMMYFUNCTION("""COMPUTED_VALUE"""),2.0)</f>
        <v>2</v>
      </c>
      <c r="AB92" s="16">
        <f>IFERROR(__xludf.DUMMYFUNCTION("""COMPUTED_VALUE"""),1.0)</f>
        <v>1</v>
      </c>
      <c r="AC92" s="16">
        <f>IFERROR(__xludf.DUMMYFUNCTION("""COMPUTED_VALUE"""),10.0)</f>
        <v>10</v>
      </c>
      <c r="AD92" s="16">
        <f>IFERROR(__xludf.DUMMYFUNCTION("""COMPUTED_VALUE"""),5.0)</f>
        <v>5</v>
      </c>
      <c r="AE92" s="16">
        <f>IFERROR(__xludf.DUMMYFUNCTION("""COMPUTED_VALUE"""),8.1)</f>
        <v>8.1</v>
      </c>
      <c r="AF92" s="16">
        <f>IFERROR(__xludf.DUMMYFUNCTION("""COMPUTED_VALUE"""),30.8)</f>
        <v>30.8</v>
      </c>
      <c r="AG92" s="16">
        <f>IFERROR(__xludf.DUMMYFUNCTION("""COMPUTED_VALUE"""),2.0)</f>
        <v>2</v>
      </c>
      <c r="AH92" s="16">
        <f>IFERROR(__xludf.DUMMYFUNCTION("""COMPUTED_VALUE"""),0.0)</f>
        <v>0</v>
      </c>
      <c r="AI92" s="16">
        <f>IFERROR(__xludf.DUMMYFUNCTION("""COMPUTED_VALUE"""),4.0)</f>
        <v>4</v>
      </c>
      <c r="AJ92" s="16">
        <f>IFERROR(__xludf.DUMMYFUNCTION("""COMPUTED_VALUE"""),0.0)</f>
        <v>0</v>
      </c>
      <c r="AK92" s="16">
        <f>IFERROR(__xludf.DUMMYFUNCTION("""COMPUTED_VALUE"""),0.9999999999999998)</f>
        <v>1</v>
      </c>
      <c r="AL92" s="16">
        <f>IFERROR(__xludf.DUMMYFUNCTION("""COMPUTED_VALUE"""),20.1)</f>
        <v>20.1</v>
      </c>
      <c r="AM92" s="16">
        <f>IFERROR(__xludf.DUMMYFUNCTION("""COMPUTED_VALUE"""),2.0)</f>
        <v>2</v>
      </c>
      <c r="AN92" s="16">
        <f>IFERROR(__xludf.DUMMYFUNCTION("""COMPUTED_VALUE"""),-1.0)</f>
        <v>-1</v>
      </c>
      <c r="AO92" s="16">
        <f>IFERROR(__xludf.DUMMYFUNCTION("""COMPUTED_VALUE"""),2.0)</f>
        <v>2</v>
      </c>
      <c r="AP92" s="16">
        <f>IFERROR(__xludf.DUMMYFUNCTION("""COMPUTED_VALUE"""),-1.0)</f>
        <v>-1</v>
      </c>
      <c r="AQ92" s="16">
        <f>IFERROR(__xludf.DUMMYFUNCTION("""COMPUTED_VALUE"""),0.8999999999999995)</f>
        <v>0.9</v>
      </c>
      <c r="AR92" s="16">
        <f>IFERROR(__xludf.DUMMYFUNCTION("""COMPUTED_VALUE"""),25.200000000000003)</f>
        <v>25.2</v>
      </c>
      <c r="AS92" s="16">
        <f>IFERROR(__xludf.DUMMYFUNCTION("""COMPUTED_VALUE"""),2.0)</f>
        <v>2</v>
      </c>
      <c r="AT92" s="16">
        <f>IFERROR(__xludf.DUMMYFUNCTION("""COMPUTED_VALUE"""),-1.0)</f>
        <v>-1</v>
      </c>
      <c r="AU92" s="16">
        <f>IFERROR(__xludf.DUMMYFUNCTION("""COMPUTED_VALUE"""),4.0)</f>
        <v>4</v>
      </c>
      <c r="AV92" s="16">
        <f>IFERROR(__xludf.DUMMYFUNCTION("""COMPUTED_VALUE"""),-2.0)</f>
        <v>-2</v>
      </c>
      <c r="AW92" s="16">
        <f>IFERROR(__xludf.DUMMYFUNCTION("""COMPUTED_VALUE"""),1.8)</f>
        <v>1.8</v>
      </c>
      <c r="AX92" s="16">
        <f>IFERROR(__xludf.DUMMYFUNCTION("""COMPUTED_VALUE"""),1.4)</f>
        <v>1.4</v>
      </c>
      <c r="AY92" s="16">
        <f>IFERROR(__xludf.DUMMYFUNCTION("""COMPUTED_VALUE"""),0.0)</f>
        <v>0</v>
      </c>
      <c r="AZ92" s="16">
        <f>IFERROR(__xludf.DUMMYFUNCTION("""COMPUTED_VALUE"""),1.0)</f>
        <v>1</v>
      </c>
      <c r="BA92" s="16">
        <f>IFERROR(__xludf.DUMMYFUNCTION("""COMPUTED_VALUE"""),0.0)</f>
        <v>0</v>
      </c>
      <c r="BB92" s="16">
        <f>IFERROR(__xludf.DUMMYFUNCTION("""COMPUTED_VALUE"""),5.0)</f>
        <v>5</v>
      </c>
      <c r="BC92" s="16">
        <f>IFERROR(__xludf.DUMMYFUNCTION("""COMPUTED_VALUE"""),3.0)</f>
        <v>3</v>
      </c>
      <c r="BD92" s="16">
        <f>IFERROR(__xludf.DUMMYFUNCTION("""COMPUTED_VALUE"""),1.0)</f>
        <v>1</v>
      </c>
      <c r="BE92" s="16">
        <f>IFERROR(__xludf.DUMMYFUNCTION("""COMPUTED_VALUE"""),3.0)</f>
        <v>3</v>
      </c>
      <c r="BF92" s="16">
        <f>IFERROR(__xludf.DUMMYFUNCTION("""COMPUTED_VALUE"""),1.0)</f>
        <v>1</v>
      </c>
      <c r="BG92" s="16">
        <f>IFERROR(__xludf.DUMMYFUNCTION("""COMPUTED_VALUE"""),0.0)</f>
        <v>0</v>
      </c>
      <c r="BH92" s="16">
        <f>IFERROR(__xludf.DUMMYFUNCTION("""COMPUTED_VALUE"""),2.0)</f>
        <v>2</v>
      </c>
      <c r="BI92" s="16">
        <f>IFERROR(__xludf.DUMMYFUNCTION("""COMPUTED_VALUE"""),0.0)</f>
        <v>0</v>
      </c>
      <c r="BJ92" s="16">
        <f>IFERROR(__xludf.DUMMYFUNCTION("""COMPUTED_VALUE"""),4.0)</f>
        <v>4</v>
      </c>
      <c r="BK92" s="16">
        <f>IFERROR(__xludf.DUMMYFUNCTION("""COMPUTED_VALUE"""),5.0)</f>
        <v>5</v>
      </c>
      <c r="BL92" s="16">
        <f>IFERROR(__xludf.DUMMYFUNCTION("""COMPUTED_VALUE"""),5.0)</f>
        <v>5</v>
      </c>
      <c r="BM92" s="16">
        <f>IFERROR(__xludf.DUMMYFUNCTION("""COMPUTED_VALUE"""),0.0)</f>
        <v>0</v>
      </c>
      <c r="BN92" s="16">
        <f>IFERROR(__xludf.DUMMYFUNCTION("""COMPUTED_VALUE"""),0.0)</f>
        <v>0</v>
      </c>
      <c r="BO92" s="16">
        <f>IFERROR(__xludf.DUMMYFUNCTION("""COMPUTED_VALUE"""),0.0)</f>
        <v>0</v>
      </c>
      <c r="BP92" s="16">
        <f>IFERROR(__xludf.DUMMYFUNCTION("""COMPUTED_VALUE"""),0.0)</f>
        <v>0</v>
      </c>
      <c r="BQ92" s="16">
        <f>IFERROR(__xludf.DUMMYFUNCTION("""COMPUTED_VALUE"""),6.0)</f>
        <v>6</v>
      </c>
      <c r="BR92" s="16">
        <f>IFERROR(__xludf.DUMMYFUNCTION("""COMPUTED_VALUE"""),10.0)</f>
        <v>10</v>
      </c>
      <c r="BS92" s="16">
        <f>IFERROR(__xludf.DUMMYFUNCTION("""COMPUTED_VALUE"""),1.0)</f>
        <v>1</v>
      </c>
      <c r="BT92" s="16">
        <f>IFERROR(__xludf.DUMMYFUNCTION("""COMPUTED_VALUE"""),3.0)</f>
        <v>3</v>
      </c>
      <c r="BU92" s="16">
        <f>IFERROR(__xludf.DUMMYFUNCTION("""COMPUTED_VALUE"""),2.0)</f>
        <v>2</v>
      </c>
      <c r="BV92" s="16">
        <f>IFERROR(__xludf.DUMMYFUNCTION("""COMPUTED_VALUE"""),6.0)</f>
        <v>6</v>
      </c>
      <c r="BW92" s="16">
        <f>IFERROR(__xludf.DUMMYFUNCTION("""COMPUTED_VALUE"""),-5.0)</f>
        <v>-5</v>
      </c>
      <c r="BX92" s="16">
        <f>IFERROR(__xludf.DUMMYFUNCTION("""COMPUTED_VALUE"""),-5.0)</f>
        <v>-5</v>
      </c>
      <c r="BY92" s="16" t="str">
        <f>IFERROR(__xludf.DUMMYFUNCTION("""COMPUTED_VALUE"""),"R(1) C(6)")</f>
        <v>R(1) C(6)</v>
      </c>
      <c r="BZ92" s="16" t="str">
        <f>IFERROR(__xludf.DUMMYFUNCTION("""COMPUTED_VALUE"""),"R(1) C(6)")</f>
        <v>R(1) C(6)</v>
      </c>
      <c r="CA92" s="16" t="str">
        <f>IFERROR(__xludf.DUMMYFUNCTION("""COMPUTED_VALUE"""),"R(1)")</f>
        <v>R(1)</v>
      </c>
      <c r="CB92" s="16" t="str">
        <f>IFERROR(__xludf.DUMMYFUNCTION("""COMPUTED_VALUE"""),"C(6)")</f>
        <v>C(6)</v>
      </c>
      <c r="CC92" s="16"/>
      <c r="CD92" s="16"/>
      <c r="CE92" s="16">
        <f>IFERROR(__xludf.DUMMYFUNCTION("""COMPUTED_VALUE"""),1.0)</f>
        <v>1</v>
      </c>
      <c r="CF92" s="16">
        <f>IFERROR(__xludf.DUMMYFUNCTION("""COMPUTED_VALUE"""),6.0)</f>
        <v>6</v>
      </c>
      <c r="CG92" s="16" t="str">
        <f>IFERROR(__xludf.DUMMYFUNCTION("""COMPUTED_VALUE"""),"2-0")</f>
        <v>2-0</v>
      </c>
      <c r="CH92" s="16">
        <f>IFERROR(__xludf.DUMMYFUNCTION("""COMPUTED_VALUE"""),2.0)</f>
        <v>2</v>
      </c>
      <c r="CI92" s="16">
        <f>IFERROR(__xludf.DUMMYFUNCTION("""COMPUTED_VALUE"""),0.0)</f>
        <v>0</v>
      </c>
      <c r="CJ92" s="16">
        <f>IFERROR(__xludf.DUMMYFUNCTION("""COMPUTED_VALUE"""),0.0)</f>
        <v>0</v>
      </c>
      <c r="CK92" s="16">
        <f>IFERROR(__xludf.DUMMYFUNCTION("""COMPUTED_VALUE"""),3.0)</f>
        <v>3</v>
      </c>
      <c r="CL92" s="16" t="str">
        <f>IFERROR(__xludf.DUMMYFUNCTION("""COMPUTED_VALUE"""),"1WR-C")</f>
        <v>1WR-C</v>
      </c>
      <c r="CM92" s="16" t="str">
        <f>IFERROR(__xludf.DUMMYFUNCTION("""COMPUTED_VALUE"""),"E")</f>
        <v>E</v>
      </c>
      <c r="CN92" s="16">
        <f>IFERROR(__xludf.DUMMYFUNCTION("""COMPUTED_VALUE"""),10.0)</f>
        <v>10</v>
      </c>
      <c r="CO92" s="16" t="str">
        <f>IFERROR(__xludf.DUMMYFUNCTION("""COMPUTED_VALUE"""),"C")</f>
        <v>C</v>
      </c>
      <c r="CP92" s="16" t="str">
        <f>IFERROR(__xludf.DUMMYFUNCTION("""COMPUTED_VALUE"""),"1p60")</f>
        <v>1p60</v>
      </c>
      <c r="CQ92" s="16">
        <f>IFERROR(__xludf.DUMMYFUNCTION("""COMPUTED_VALUE"""),31.0)</f>
        <v>31</v>
      </c>
      <c r="CR92" s="16">
        <f>IFERROR(__xludf.DUMMYFUNCTION("""COMPUTED_VALUE"""),9.0)</f>
        <v>9</v>
      </c>
      <c r="CS92" s="16">
        <f>IFERROR(__xludf.DUMMYFUNCTION("""COMPUTED_VALUE"""),40.0)</f>
        <v>40</v>
      </c>
      <c r="CT92" s="16">
        <f>IFERROR(__xludf.DUMMYFUNCTION("""COMPUTED_VALUE"""),31.0)</f>
        <v>31</v>
      </c>
      <c r="CU92" s="16">
        <f>IFERROR(__xludf.DUMMYFUNCTION("""COMPUTED_VALUE"""),9.0)</f>
        <v>9</v>
      </c>
      <c r="CV92" s="179">
        <f>IFERROR(__xludf.DUMMYFUNCTION("""COMPUTED_VALUE"""),21.333333333333332)</f>
        <v>21.33333333</v>
      </c>
      <c r="CW92" s="179">
        <f>IFERROR(__xludf.DUMMYFUNCTION("""COMPUTED_VALUE"""),4.0)</f>
        <v>4</v>
      </c>
      <c r="CX92" s="179">
        <f>IFERROR(__xludf.DUMMYFUNCTION("""COMPUTED_VALUE"""),1.0)</f>
        <v>1</v>
      </c>
      <c r="CY92" s="16" t="str">
        <f>IFERROR(__xludf.DUMMYFUNCTION("""COMPUTED_VALUE"""),"RP")</f>
        <v>RP</v>
      </c>
      <c r="CZ92" s="16" t="str">
        <f>IFERROR(__xludf.DUMMYFUNCTION("""COMPUTED_VALUE"""),"CP")</f>
        <v>CP</v>
      </c>
      <c r="DA92" s="16"/>
      <c r="DB92" s="16"/>
      <c r="DC92" s="16"/>
      <c r="DD92" s="16"/>
      <c r="DE92" s="16"/>
      <c r="DF92" s="16"/>
      <c r="DG92" s="16"/>
      <c r="DH92" s="16"/>
      <c r="DI92" s="16"/>
      <c r="DJ92" s="16"/>
      <c r="DK92" s="16"/>
    </row>
    <row r="93">
      <c r="A93" s="16">
        <f>IFERROR(__xludf.DUMMYFUNCTION("""COMPUTED_VALUE"""),13040.0)</f>
        <v>13040</v>
      </c>
      <c r="B93" s="16" t="str">
        <f>IFERROR(__xludf.DUMMYFUNCTION("""COMPUTED_VALUE"""),"Josh Staumont")</f>
        <v>Josh Staumont</v>
      </c>
      <c r="C93" s="153">
        <f>IFERROR(__xludf.DUMMYFUNCTION("""COMPUTED_VALUE"""),0.39)</f>
        <v>0.39</v>
      </c>
      <c r="D93" s="16"/>
      <c r="E93" s="16" t="str">
        <f>IFERROR(__xludf.DUMMYFUNCTION("""COMPUTED_VALUE"""),"R")</f>
        <v>R</v>
      </c>
      <c r="F93" s="16">
        <f>IFERROR(__xludf.DUMMYFUNCTION("""COMPUTED_VALUE"""),24.0)</f>
        <v>24</v>
      </c>
      <c r="G93" s="16">
        <f>IFERROR(__xludf.DUMMYFUNCTION("""COMPUTED_VALUE"""),29.0)</f>
        <v>29</v>
      </c>
      <c r="H93" s="16">
        <f>IFERROR(__xludf.DUMMYFUNCTION("""COMPUTED_VALUE"""),5.0)</f>
        <v>5</v>
      </c>
      <c r="I93" s="16">
        <f>IFERROR(__xludf.DUMMYFUNCTION("""COMPUTED_VALUE"""),0.0)</f>
        <v>0</v>
      </c>
      <c r="J93" s="16">
        <f>IFERROR(__xludf.DUMMYFUNCTION("""COMPUTED_VALUE"""),-3.0)</f>
        <v>-3</v>
      </c>
      <c r="K93" s="16">
        <f>IFERROR(__xludf.DUMMYFUNCTION("""COMPUTED_VALUE"""),0.0)</f>
        <v>0</v>
      </c>
      <c r="L93" s="16">
        <f>IFERROR(__xludf.DUMMYFUNCTION("""COMPUTED_VALUE"""),-9.0)</f>
        <v>-9</v>
      </c>
      <c r="M93" s="16">
        <f>IFERROR(__xludf.DUMMYFUNCTION("""COMPUTED_VALUE"""),14.0)</f>
        <v>14</v>
      </c>
      <c r="N93" s="16">
        <f>IFERROR(__xludf.DUMMYFUNCTION("""COMPUTED_VALUE"""),27.0)</f>
        <v>27</v>
      </c>
      <c r="O93" s="16">
        <f>IFERROR(__xludf.DUMMYFUNCTION("""COMPUTED_VALUE"""),-2.0)</f>
        <v>-2</v>
      </c>
      <c r="P93" s="16">
        <f>IFERROR(__xludf.DUMMYFUNCTION("""COMPUTED_VALUE"""),-3.0)</f>
        <v>-3</v>
      </c>
      <c r="Q93" s="16">
        <f>IFERROR(__xludf.DUMMYFUNCTION("""COMPUTED_VALUE"""),-2.0)</f>
        <v>-2</v>
      </c>
      <c r="R93" s="16">
        <f>IFERROR(__xludf.DUMMYFUNCTION("""COMPUTED_VALUE"""),-3.0)</f>
        <v>-3</v>
      </c>
      <c r="S93" s="16">
        <f>IFERROR(__xludf.DUMMYFUNCTION("""COMPUTED_VALUE"""),14.4)</f>
        <v>14.4</v>
      </c>
      <c r="T93" s="16">
        <f>IFERROR(__xludf.DUMMYFUNCTION("""COMPUTED_VALUE"""),1.4)</f>
        <v>1.4</v>
      </c>
      <c r="U93" s="16">
        <f>IFERROR(__xludf.DUMMYFUNCTION("""COMPUTED_VALUE"""),0.0)</f>
        <v>0</v>
      </c>
      <c r="V93" s="16">
        <f>IFERROR(__xludf.DUMMYFUNCTION("""COMPUTED_VALUE"""),2.0)</f>
        <v>2</v>
      </c>
      <c r="W93" s="16">
        <f>IFERROR(__xludf.DUMMYFUNCTION("""COMPUTED_VALUE"""),0.0)</f>
        <v>0</v>
      </c>
      <c r="X93" s="16">
        <f>IFERROR(__xludf.DUMMYFUNCTION("""COMPUTED_VALUE"""),4.0)</f>
        <v>4</v>
      </c>
      <c r="Y93" s="16">
        <f>IFERROR(__xludf.DUMMYFUNCTION("""COMPUTED_VALUE"""),28.5)</f>
        <v>28.5</v>
      </c>
      <c r="Z93" s="16">
        <f>IFERROR(__xludf.DUMMYFUNCTION("""COMPUTED_VALUE"""),28.4)</f>
        <v>28.4</v>
      </c>
      <c r="AA93" s="16">
        <f>IFERROR(__xludf.DUMMYFUNCTION("""COMPUTED_VALUE"""),0.0)</f>
        <v>0</v>
      </c>
      <c r="AB93" s="16">
        <f>IFERROR(__xludf.DUMMYFUNCTION("""COMPUTED_VALUE"""),0.0)</f>
        <v>0</v>
      </c>
      <c r="AC93" s="16">
        <f>IFERROR(__xludf.DUMMYFUNCTION("""COMPUTED_VALUE"""),0.0)</f>
        <v>0</v>
      </c>
      <c r="AD93" s="16">
        <f>IFERROR(__xludf.DUMMYFUNCTION("""COMPUTED_VALUE"""),0.0)</f>
        <v>0</v>
      </c>
      <c r="AE93" s="16">
        <f>IFERROR(__xludf.DUMMYFUNCTION("""COMPUTED_VALUE"""),15.4)</f>
        <v>15.4</v>
      </c>
      <c r="AF93" s="16">
        <f>IFERROR(__xludf.DUMMYFUNCTION("""COMPUTED_VALUE"""),1.4)</f>
        <v>1.4</v>
      </c>
      <c r="AG93" s="16">
        <f>IFERROR(__xludf.DUMMYFUNCTION("""COMPUTED_VALUE"""),1.0)</f>
        <v>1</v>
      </c>
      <c r="AH93" s="16">
        <f>IFERROR(__xludf.DUMMYFUNCTION("""COMPUTED_VALUE"""),3.0)</f>
        <v>3</v>
      </c>
      <c r="AI93" s="16">
        <f>IFERROR(__xludf.DUMMYFUNCTION("""COMPUTED_VALUE"""),2.0)</f>
        <v>2</v>
      </c>
      <c r="AJ93" s="16">
        <f>IFERROR(__xludf.DUMMYFUNCTION("""COMPUTED_VALUE"""),6.0)</f>
        <v>6</v>
      </c>
      <c r="AK93" s="16">
        <f>IFERROR(__xludf.DUMMYFUNCTION("""COMPUTED_VALUE"""),14.4)</f>
        <v>14.4</v>
      </c>
      <c r="AL93" s="16">
        <f>IFERROR(__xludf.DUMMYFUNCTION("""COMPUTED_VALUE"""),1.4)</f>
        <v>1.4</v>
      </c>
      <c r="AM93" s="16">
        <f>IFERROR(__xludf.DUMMYFUNCTION("""COMPUTED_VALUE"""),0.0)</f>
        <v>0</v>
      </c>
      <c r="AN93" s="16">
        <f>IFERROR(__xludf.DUMMYFUNCTION("""COMPUTED_VALUE"""),2.0)</f>
        <v>2</v>
      </c>
      <c r="AO93" s="16">
        <f>IFERROR(__xludf.DUMMYFUNCTION("""COMPUTED_VALUE"""),0.0)</f>
        <v>0</v>
      </c>
      <c r="AP93" s="16">
        <f>IFERROR(__xludf.DUMMYFUNCTION("""COMPUTED_VALUE"""),2.0)</f>
        <v>2</v>
      </c>
      <c r="AQ93" s="16">
        <f>IFERROR(__xludf.DUMMYFUNCTION("""COMPUTED_VALUE"""),15.4)</f>
        <v>15.4</v>
      </c>
      <c r="AR93" s="16">
        <f>IFERROR(__xludf.DUMMYFUNCTION("""COMPUTED_VALUE"""),1.4)</f>
        <v>1.4</v>
      </c>
      <c r="AS93" s="16">
        <f>IFERROR(__xludf.DUMMYFUNCTION("""COMPUTED_VALUE"""),0.0)</f>
        <v>0</v>
      </c>
      <c r="AT93" s="16">
        <f>IFERROR(__xludf.DUMMYFUNCTION("""COMPUTED_VALUE"""),2.0)</f>
        <v>2</v>
      </c>
      <c r="AU93" s="16">
        <f>IFERROR(__xludf.DUMMYFUNCTION("""COMPUTED_VALUE"""),0.0)</f>
        <v>0</v>
      </c>
      <c r="AV93" s="16">
        <f>IFERROR(__xludf.DUMMYFUNCTION("""COMPUTED_VALUE"""),4.0)</f>
        <v>4</v>
      </c>
      <c r="AW93" s="16">
        <f>IFERROR(__xludf.DUMMYFUNCTION("""COMPUTED_VALUE"""),0.0)</f>
        <v>0</v>
      </c>
      <c r="AX93" s="16">
        <f>IFERROR(__xludf.DUMMYFUNCTION("""COMPUTED_VALUE"""),0.0)</f>
        <v>0</v>
      </c>
      <c r="AY93" s="16">
        <f>IFERROR(__xludf.DUMMYFUNCTION("""COMPUTED_VALUE"""),2.0)</f>
        <v>2</v>
      </c>
      <c r="AZ93" s="16">
        <f>IFERROR(__xludf.DUMMYFUNCTION("""COMPUTED_VALUE"""),2.0)</f>
        <v>2</v>
      </c>
      <c r="BA93" s="16">
        <f>IFERROR(__xludf.DUMMYFUNCTION("""COMPUTED_VALUE"""),10.0)</f>
        <v>10</v>
      </c>
      <c r="BB93" s="16">
        <f>IFERROR(__xludf.DUMMYFUNCTION("""COMPUTED_VALUE"""),10.0)</f>
        <v>10</v>
      </c>
      <c r="BC93" s="16">
        <f>IFERROR(__xludf.DUMMYFUNCTION("""COMPUTED_VALUE"""),0.0)</f>
        <v>0</v>
      </c>
      <c r="BD93" s="16"/>
      <c r="BE93" s="16">
        <f>IFERROR(__xludf.DUMMYFUNCTION("""COMPUTED_VALUE"""),0.0)</f>
        <v>0</v>
      </c>
      <c r="BF93" s="16">
        <f>IFERROR(__xludf.DUMMYFUNCTION("""COMPUTED_VALUE"""),0.0)</f>
        <v>0</v>
      </c>
      <c r="BG93" s="16">
        <f>IFERROR(__xludf.DUMMYFUNCTION("""COMPUTED_VALUE"""),3.0)</f>
        <v>3</v>
      </c>
      <c r="BH93" s="16">
        <f>IFERROR(__xludf.DUMMYFUNCTION("""COMPUTED_VALUE"""),2.0)</f>
        <v>2</v>
      </c>
      <c r="BI93" s="16">
        <f>IFERROR(__xludf.DUMMYFUNCTION("""COMPUTED_VALUE"""),6.0)</f>
        <v>6</v>
      </c>
      <c r="BJ93" s="16">
        <f>IFERROR(__xludf.DUMMYFUNCTION("""COMPUTED_VALUE"""),4.0)</f>
        <v>4</v>
      </c>
      <c r="BK93" s="16">
        <f>IFERROR(__xludf.DUMMYFUNCTION("""COMPUTED_VALUE"""),5.0)</f>
        <v>5</v>
      </c>
      <c r="BL93" s="16">
        <f>IFERROR(__xludf.DUMMYFUNCTION("""COMPUTED_VALUE"""),0.0)</f>
        <v>0</v>
      </c>
      <c r="BM93" s="16">
        <f>IFERROR(__xludf.DUMMYFUNCTION("""COMPUTED_VALUE"""),0.0)</f>
        <v>0</v>
      </c>
      <c r="BN93" s="16">
        <f>IFERROR(__xludf.DUMMYFUNCTION("""COMPUTED_VALUE"""),1.0)</f>
        <v>1</v>
      </c>
      <c r="BO93" s="16">
        <f>IFERROR(__xludf.DUMMYFUNCTION("""COMPUTED_VALUE"""),0.0)</f>
        <v>0</v>
      </c>
      <c r="BP93" s="16">
        <f>IFERROR(__xludf.DUMMYFUNCTION("""COMPUTED_VALUE"""),1.0)</f>
        <v>1</v>
      </c>
      <c r="BQ93" s="16">
        <f>IFERROR(__xludf.DUMMYFUNCTION("""COMPUTED_VALUE"""),4.0)</f>
        <v>4</v>
      </c>
      <c r="BR93" s="16">
        <f>IFERROR(__xludf.DUMMYFUNCTION("""COMPUTED_VALUE"""),4.0)</f>
        <v>4</v>
      </c>
      <c r="BS93" s="16">
        <f>IFERROR(__xludf.DUMMYFUNCTION("""COMPUTED_VALUE"""),-1.0)</f>
        <v>-1</v>
      </c>
      <c r="BT93" s="16">
        <f>IFERROR(__xludf.DUMMYFUNCTION("""COMPUTED_VALUE"""),-1.0)</f>
        <v>-1</v>
      </c>
      <c r="BU93" s="16">
        <f>IFERROR(__xludf.DUMMYFUNCTION("""COMPUTED_VALUE"""),-2.0)</f>
        <v>-2</v>
      </c>
      <c r="BV93" s="16">
        <f>IFERROR(__xludf.DUMMYFUNCTION("""COMPUTED_VALUE"""),-2.0)</f>
        <v>-2</v>
      </c>
      <c r="BW93" s="16">
        <f>IFERROR(__xludf.DUMMYFUNCTION("""COMPUTED_VALUE"""),0.0)</f>
        <v>0</v>
      </c>
      <c r="BX93" s="16">
        <f>IFERROR(__xludf.DUMMYFUNCTION("""COMPUTED_VALUE"""),0.0)</f>
        <v>0</v>
      </c>
      <c r="BY93" s="16" t="str">
        <f>IFERROR(__xludf.DUMMYFUNCTION("""COMPUTED_VALUE"""),"R(1)")</f>
        <v>R(1)</v>
      </c>
      <c r="BZ93" s="16" t="str">
        <f>IFERROR(__xludf.DUMMYFUNCTION("""COMPUTED_VALUE"""),"R(1)")</f>
        <v>R(1)</v>
      </c>
      <c r="CA93" s="16" t="str">
        <f>IFERROR(__xludf.DUMMYFUNCTION("""COMPUTED_VALUE"""),"R(1)")</f>
        <v>R(1)</v>
      </c>
      <c r="CB93" s="16"/>
      <c r="CC93" s="16"/>
      <c r="CD93" s="16"/>
      <c r="CE93" s="16">
        <f>IFERROR(__xludf.DUMMYFUNCTION("""COMPUTED_VALUE"""),1.0)</f>
        <v>1</v>
      </c>
      <c r="CF93" s="16"/>
      <c r="CG93" s="16" t="str">
        <f>IFERROR(__xludf.DUMMYFUNCTION("""COMPUTED_VALUE"""),"3-0")</f>
        <v>3-0</v>
      </c>
      <c r="CH93" s="16">
        <f>IFERROR(__xludf.DUMMYFUNCTION("""COMPUTED_VALUE"""),3.0)</f>
        <v>3</v>
      </c>
      <c r="CI93" s="16">
        <f>IFERROR(__xludf.DUMMYFUNCTION("""COMPUTED_VALUE"""),0.0)</f>
        <v>0</v>
      </c>
      <c r="CJ93" s="16">
        <f>IFERROR(__xludf.DUMMYFUNCTION("""COMPUTED_VALUE"""),0.0)</f>
        <v>0</v>
      </c>
      <c r="CK93" s="16">
        <f>IFERROR(__xludf.DUMMYFUNCTION("""COMPUTED_VALUE"""),9.0)</f>
        <v>9</v>
      </c>
      <c r="CL93" s="16" t="str">
        <f>IFERROR(__xludf.DUMMYFUNCTION("""COMPUTED_VALUE"""),"1WR-C")</f>
        <v>1WR-C</v>
      </c>
      <c r="CM93" s="16" t="str">
        <f>IFERROR(__xludf.DUMMYFUNCTION("""COMPUTED_VALUE"""),"E")</f>
        <v>E</v>
      </c>
      <c r="CN93" s="16">
        <f>IFERROR(__xludf.DUMMYFUNCTION("""COMPUTED_VALUE"""),10.0)</f>
        <v>10</v>
      </c>
      <c r="CO93" s="16" t="str">
        <f>IFERROR(__xludf.DUMMYFUNCTION("""COMPUTED_VALUE"""),"C")</f>
        <v>C</v>
      </c>
      <c r="CP93" s="16" t="str">
        <f>IFERROR(__xludf.DUMMYFUNCTION("""COMPUTED_VALUE"""),"2p20")</f>
        <v>2p20</v>
      </c>
      <c r="CQ93" s="16">
        <f>IFERROR(__xludf.DUMMYFUNCTION("""COMPUTED_VALUE"""),14.0)</f>
        <v>14</v>
      </c>
      <c r="CR93" s="16">
        <f>IFERROR(__xludf.DUMMYFUNCTION("""COMPUTED_VALUE"""),17.0)</f>
        <v>17</v>
      </c>
      <c r="CS93" s="16">
        <f>IFERROR(__xludf.DUMMYFUNCTION("""COMPUTED_VALUE"""),31.0)</f>
        <v>31</v>
      </c>
      <c r="CT93" s="16">
        <f>IFERROR(__xludf.DUMMYFUNCTION("""COMPUTED_VALUE"""),14.0)</f>
        <v>14</v>
      </c>
      <c r="CU93" s="16">
        <f>IFERROR(__xludf.DUMMYFUNCTION("""COMPUTED_VALUE"""),17.0)</f>
        <v>17</v>
      </c>
      <c r="CV93" s="179">
        <f>IFERROR(__xludf.DUMMYFUNCTION("""COMPUTED_VALUE"""),21.0)</f>
        <v>21</v>
      </c>
      <c r="CW93" s="179">
        <f>IFERROR(__xludf.DUMMYFUNCTION("""COMPUTED_VALUE"""),3.0)</f>
        <v>3</v>
      </c>
      <c r="CX93" s="179">
        <f>IFERROR(__xludf.DUMMYFUNCTION("""COMPUTED_VALUE"""),3.0)</f>
        <v>3</v>
      </c>
      <c r="CY93" s="16" t="str">
        <f>IFERROR(__xludf.DUMMYFUNCTION("""COMPUTED_VALUE"""),"RP")</f>
        <v>RP</v>
      </c>
      <c r="CZ93" s="16"/>
      <c r="DA93" s="16"/>
      <c r="DB93" s="16"/>
      <c r="DC93" s="16"/>
      <c r="DD93" s="16"/>
      <c r="DE93" s="16"/>
      <c r="DF93" s="16"/>
      <c r="DG93" s="16"/>
      <c r="DH93" s="16"/>
      <c r="DI93" s="16"/>
      <c r="DJ93" s="16"/>
      <c r="DK93" s="16"/>
    </row>
    <row r="94">
      <c r="A94" s="16">
        <f>IFERROR(__xludf.DUMMYFUNCTION("""COMPUTED_VALUE"""),12581.0)</f>
        <v>12581</v>
      </c>
      <c r="B94" s="16" t="str">
        <f>IFERROR(__xludf.DUMMYFUNCTION("""COMPUTED_VALUE"""),"Blake Treinen")</f>
        <v>Blake Treinen</v>
      </c>
      <c r="C94" s="153">
        <f>IFERROR(__xludf.DUMMYFUNCTION("""COMPUTED_VALUE"""),1.44)</f>
        <v>1.44</v>
      </c>
      <c r="D94" s="16"/>
      <c r="E94" s="16" t="str">
        <f>IFERROR(__xludf.DUMMYFUNCTION("""COMPUTED_VALUE"""),"R")</f>
        <v>R</v>
      </c>
      <c r="F94" s="16">
        <f>IFERROR(__xludf.DUMMYFUNCTION("""COMPUTED_VALUE"""),47.0)</f>
        <v>47</v>
      </c>
      <c r="G94" s="16">
        <f>IFERROR(__xludf.DUMMYFUNCTION("""COMPUTED_VALUE"""),60.0)</f>
        <v>60</v>
      </c>
      <c r="H94" s="16">
        <f>IFERROR(__xludf.DUMMYFUNCTION("""COMPUTED_VALUE"""),26.0)</f>
        <v>26</v>
      </c>
      <c r="I94" s="16">
        <f>IFERROR(__xludf.DUMMYFUNCTION("""COMPUTED_VALUE"""),3.0)</f>
        <v>3</v>
      </c>
      <c r="J94" s="16">
        <f>IFERROR(__xludf.DUMMYFUNCTION("""COMPUTED_VALUE"""),0.0)</f>
        <v>0</v>
      </c>
      <c r="K94" s="16">
        <f>IFERROR(__xludf.DUMMYFUNCTION("""COMPUTED_VALUE"""),9.0)</f>
        <v>9</v>
      </c>
      <c r="L94" s="16">
        <f>IFERROR(__xludf.DUMMYFUNCTION("""COMPUTED_VALUE"""),0.0)</f>
        <v>0</v>
      </c>
      <c r="M94" s="16">
        <f>IFERROR(__xludf.DUMMYFUNCTION("""COMPUTED_VALUE"""),0.0)</f>
        <v>0</v>
      </c>
      <c r="N94" s="16">
        <f>IFERROR(__xludf.DUMMYFUNCTION("""COMPUTED_VALUE"""),12.0)</f>
        <v>12</v>
      </c>
      <c r="O94" s="16">
        <f>IFERROR(__xludf.DUMMYFUNCTION("""COMPUTED_VALUE"""),3.0)</f>
        <v>3</v>
      </c>
      <c r="P94" s="16">
        <f>IFERROR(__xludf.DUMMYFUNCTION("""COMPUTED_VALUE"""),-2.0)</f>
        <v>-2</v>
      </c>
      <c r="Q94" s="16">
        <f>IFERROR(__xludf.DUMMYFUNCTION("""COMPUTED_VALUE"""),3.0)</f>
        <v>3</v>
      </c>
      <c r="R94" s="16">
        <f>IFERROR(__xludf.DUMMYFUNCTION("""COMPUTED_VALUE"""),-2.0)</f>
        <v>-2</v>
      </c>
      <c r="S94" s="16">
        <f>IFERROR(__xludf.DUMMYFUNCTION("""COMPUTED_VALUE"""),13.2)</f>
        <v>13.2</v>
      </c>
      <c r="T94" s="16">
        <f>IFERROR(__xludf.DUMMYFUNCTION("""COMPUTED_VALUE"""),4.2)</f>
        <v>4.2</v>
      </c>
      <c r="U94" s="16">
        <f>IFERROR(__xludf.DUMMYFUNCTION("""COMPUTED_VALUE"""),0.0)</f>
        <v>0</v>
      </c>
      <c r="V94" s="16">
        <f>IFERROR(__xludf.DUMMYFUNCTION("""COMPUTED_VALUE"""),2.0)</f>
        <v>2</v>
      </c>
      <c r="W94" s="16">
        <f>IFERROR(__xludf.DUMMYFUNCTION("""COMPUTED_VALUE"""),0.0)</f>
        <v>0</v>
      </c>
      <c r="X94" s="16">
        <f>IFERROR(__xludf.DUMMYFUNCTION("""COMPUTED_VALUE"""),4.0)</f>
        <v>4</v>
      </c>
      <c r="Y94" s="16">
        <f>IFERROR(__xludf.DUMMYFUNCTION("""COMPUTED_VALUE"""),13.2)</f>
        <v>13.2</v>
      </c>
      <c r="Z94" s="16">
        <f>IFERROR(__xludf.DUMMYFUNCTION("""COMPUTED_VALUE"""),16.2)</f>
        <v>16.2</v>
      </c>
      <c r="AA94" s="16">
        <f>IFERROR(__xludf.DUMMYFUNCTION("""COMPUTED_VALUE"""),2.0)</f>
        <v>2</v>
      </c>
      <c r="AB94" s="16">
        <f>IFERROR(__xludf.DUMMYFUNCTION("""COMPUTED_VALUE"""),2.0)</f>
        <v>2</v>
      </c>
      <c r="AC94" s="16">
        <f>IFERROR(__xludf.DUMMYFUNCTION("""COMPUTED_VALUE"""),10.0)</f>
        <v>10</v>
      </c>
      <c r="AD94" s="16">
        <f>IFERROR(__xludf.DUMMYFUNCTION("""COMPUTED_VALUE"""),10.0)</f>
        <v>10</v>
      </c>
      <c r="AE94" s="16">
        <f>IFERROR(__xludf.DUMMYFUNCTION("""COMPUTED_VALUE"""),30.8)</f>
        <v>30.8</v>
      </c>
      <c r="AF94" s="16">
        <f>IFERROR(__xludf.DUMMYFUNCTION("""COMPUTED_VALUE"""),10.3)</f>
        <v>10.3</v>
      </c>
      <c r="AG94" s="16">
        <f>IFERROR(__xludf.DUMMYFUNCTION("""COMPUTED_VALUE"""),0.0)</f>
        <v>0</v>
      </c>
      <c r="AH94" s="16">
        <f>IFERROR(__xludf.DUMMYFUNCTION("""COMPUTED_VALUE"""),2.0)</f>
        <v>2</v>
      </c>
      <c r="AI94" s="16">
        <f>IFERROR(__xludf.DUMMYFUNCTION("""COMPUTED_VALUE"""),0.0)</f>
        <v>0</v>
      </c>
      <c r="AJ94" s="16">
        <f>IFERROR(__xludf.DUMMYFUNCTION("""COMPUTED_VALUE"""),4.0)</f>
        <v>4</v>
      </c>
      <c r="AK94" s="16">
        <f>IFERROR(__xludf.DUMMYFUNCTION("""COMPUTED_VALUE"""),10.799999999999999)</f>
        <v>10.8</v>
      </c>
      <c r="AL94" s="16">
        <f>IFERROR(__xludf.DUMMYFUNCTION("""COMPUTED_VALUE"""),3.0)</f>
        <v>3</v>
      </c>
      <c r="AM94" s="16">
        <f>IFERROR(__xludf.DUMMYFUNCTION("""COMPUTED_VALUE"""),0.0)</f>
        <v>0</v>
      </c>
      <c r="AN94" s="16">
        <f>IFERROR(__xludf.DUMMYFUNCTION("""COMPUTED_VALUE"""),2.0)</f>
        <v>2</v>
      </c>
      <c r="AO94" s="16">
        <f>IFERROR(__xludf.DUMMYFUNCTION("""COMPUTED_VALUE"""),0.0)</f>
        <v>0</v>
      </c>
      <c r="AP94" s="16">
        <f>IFERROR(__xludf.DUMMYFUNCTION("""COMPUTED_VALUE"""),2.0)</f>
        <v>2</v>
      </c>
      <c r="AQ94" s="16">
        <f>IFERROR(__xludf.DUMMYFUNCTION("""COMPUTED_VALUE"""),21.200000000000003)</f>
        <v>21.2</v>
      </c>
      <c r="AR94" s="16">
        <f>IFERROR(__xludf.DUMMYFUNCTION("""COMPUTED_VALUE"""),5.500000000000001)</f>
        <v>5.5</v>
      </c>
      <c r="AS94" s="16">
        <f>IFERROR(__xludf.DUMMYFUNCTION("""COMPUTED_VALUE"""),0.0)</f>
        <v>0</v>
      </c>
      <c r="AT94" s="16">
        <f>IFERROR(__xludf.DUMMYFUNCTION("""COMPUTED_VALUE"""),2.0)</f>
        <v>2</v>
      </c>
      <c r="AU94" s="16">
        <f>IFERROR(__xludf.DUMMYFUNCTION("""COMPUTED_VALUE"""),0.0)</f>
        <v>0</v>
      </c>
      <c r="AV94" s="16">
        <f>IFERROR(__xludf.DUMMYFUNCTION("""COMPUTED_VALUE"""),4.0)</f>
        <v>4</v>
      </c>
      <c r="AW94" s="16">
        <f>IFERROR(__xludf.DUMMYFUNCTION("""COMPUTED_VALUE"""),2.4)</f>
        <v>2.4</v>
      </c>
      <c r="AX94" s="16">
        <f>IFERROR(__xludf.DUMMYFUNCTION("""COMPUTED_VALUE"""),1.2)</f>
        <v>1.2</v>
      </c>
      <c r="AY94" s="16">
        <f>IFERROR(__xludf.DUMMYFUNCTION("""COMPUTED_VALUE"""),0.0)</f>
        <v>0</v>
      </c>
      <c r="AZ94" s="16">
        <f>IFERROR(__xludf.DUMMYFUNCTION("""COMPUTED_VALUE"""),1.0)</f>
        <v>1</v>
      </c>
      <c r="BA94" s="16">
        <f>IFERROR(__xludf.DUMMYFUNCTION("""COMPUTED_VALUE"""),0.0)</f>
        <v>0</v>
      </c>
      <c r="BB94" s="16">
        <f>IFERROR(__xludf.DUMMYFUNCTION("""COMPUTED_VALUE"""),5.0)</f>
        <v>5</v>
      </c>
      <c r="BC94" s="16"/>
      <c r="BD94" s="16"/>
      <c r="BE94" s="16">
        <f>IFERROR(__xludf.DUMMYFUNCTION("""COMPUTED_VALUE"""),4.0)</f>
        <v>4</v>
      </c>
      <c r="BF94" s="16">
        <f>IFERROR(__xludf.DUMMYFUNCTION("""COMPUTED_VALUE"""),0.0)</f>
        <v>0</v>
      </c>
      <c r="BG94" s="16">
        <f>IFERROR(__xludf.DUMMYFUNCTION("""COMPUTED_VALUE"""),-1.0)</f>
        <v>-1</v>
      </c>
      <c r="BH94" s="16">
        <f>IFERROR(__xludf.DUMMYFUNCTION("""COMPUTED_VALUE"""),2.0)</f>
        <v>2</v>
      </c>
      <c r="BI94" s="16">
        <f>IFERROR(__xludf.DUMMYFUNCTION("""COMPUTED_VALUE"""),-2.0)</f>
        <v>-2</v>
      </c>
      <c r="BJ94" s="16">
        <f>IFERROR(__xludf.DUMMYFUNCTION("""COMPUTED_VALUE"""),4.0)</f>
        <v>4</v>
      </c>
      <c r="BK94" s="16">
        <f>IFERROR(__xludf.DUMMYFUNCTION("""COMPUTED_VALUE"""),0.0)</f>
        <v>0</v>
      </c>
      <c r="BL94" s="16">
        <f>IFERROR(__xludf.DUMMYFUNCTION("""COMPUTED_VALUE"""),0.0)</f>
        <v>0</v>
      </c>
      <c r="BM94" s="16">
        <f>IFERROR(__xludf.DUMMYFUNCTION("""COMPUTED_VALUE"""),1.0)</f>
        <v>1</v>
      </c>
      <c r="BN94" s="16">
        <f>IFERROR(__xludf.DUMMYFUNCTION("""COMPUTED_VALUE"""),1.0)</f>
        <v>1</v>
      </c>
      <c r="BO94" s="16">
        <f>IFERROR(__xludf.DUMMYFUNCTION("""COMPUTED_VALUE"""),1.0)</f>
        <v>1</v>
      </c>
      <c r="BP94" s="16">
        <f>IFERROR(__xludf.DUMMYFUNCTION("""COMPUTED_VALUE"""),1.0)</f>
        <v>1</v>
      </c>
      <c r="BQ94" s="16">
        <f>IFERROR(__xludf.DUMMYFUNCTION("""COMPUTED_VALUE"""),0.0)</f>
        <v>0</v>
      </c>
      <c r="BR94" s="16">
        <f>IFERROR(__xludf.DUMMYFUNCTION("""COMPUTED_VALUE"""),0.0)</f>
        <v>0</v>
      </c>
      <c r="BS94" s="16">
        <f>IFERROR(__xludf.DUMMYFUNCTION("""COMPUTED_VALUE"""),-3.0)</f>
        <v>-3</v>
      </c>
      <c r="BT94" s="16">
        <f>IFERROR(__xludf.DUMMYFUNCTION("""COMPUTED_VALUE"""),-3.0)</f>
        <v>-3</v>
      </c>
      <c r="BU94" s="16">
        <f>IFERROR(__xludf.DUMMYFUNCTION("""COMPUTED_VALUE"""),-6.0)</f>
        <v>-6</v>
      </c>
      <c r="BV94" s="16">
        <f>IFERROR(__xludf.DUMMYFUNCTION("""COMPUTED_VALUE"""),-6.0)</f>
        <v>-6</v>
      </c>
      <c r="BW94" s="16">
        <f>IFERROR(__xludf.DUMMYFUNCTION("""COMPUTED_VALUE"""),3.0)</f>
        <v>3</v>
      </c>
      <c r="BX94" s="16">
        <f>IFERROR(__xludf.DUMMYFUNCTION("""COMPUTED_VALUE"""),3.0)</f>
        <v>3</v>
      </c>
      <c r="BY94" s="16" t="str">
        <f>IFERROR(__xludf.DUMMYFUNCTION("""COMPUTED_VALUE"""),"R(1) C(0)")</f>
        <v>R(1) C(0)</v>
      </c>
      <c r="BZ94" s="16" t="str">
        <f>IFERROR(__xludf.DUMMYFUNCTION("""COMPUTED_VALUE"""),"R(1) C(0)")</f>
        <v>R(1) C(0)</v>
      </c>
      <c r="CA94" s="16" t="str">
        <f>IFERROR(__xludf.DUMMYFUNCTION("""COMPUTED_VALUE"""),"R(1)")</f>
        <v>R(1)</v>
      </c>
      <c r="CB94" s="16" t="str">
        <f>IFERROR(__xludf.DUMMYFUNCTION("""COMPUTED_VALUE"""),"C(0)")</f>
        <v>C(0)</v>
      </c>
      <c r="CC94" s="16"/>
      <c r="CD94" s="16"/>
      <c r="CE94" s="16">
        <f>IFERROR(__xludf.DUMMYFUNCTION("""COMPUTED_VALUE"""),1.0)</f>
        <v>1</v>
      </c>
      <c r="CF94" s="16">
        <f>IFERROR(__xludf.DUMMYFUNCTION("""COMPUTED_VALUE"""),0.0)</f>
        <v>0</v>
      </c>
      <c r="CG94" s="16" t="str">
        <f>IFERROR(__xludf.DUMMYFUNCTION("""COMPUTED_VALUE"""),"3-31")</f>
        <v>3-31</v>
      </c>
      <c r="CH94" s="16">
        <f>IFERROR(__xludf.DUMMYFUNCTION("""COMPUTED_VALUE"""),3.0)</f>
        <v>3</v>
      </c>
      <c r="CI94" s="16">
        <f>IFERROR(__xludf.DUMMYFUNCTION("""COMPUTED_VALUE"""),31.0)</f>
        <v>31</v>
      </c>
      <c r="CJ94" s="16">
        <f>IFERROR(__xludf.DUMMYFUNCTION("""COMPUTED_VALUE"""),0.0)</f>
        <v>0</v>
      </c>
      <c r="CK94" s="16">
        <f>IFERROR(__xludf.DUMMYFUNCTION("""COMPUTED_VALUE"""),4.0)</f>
        <v>4</v>
      </c>
      <c r="CL94" s="16" t="str">
        <f>IFERROR(__xludf.DUMMYFUNCTION("""COMPUTED_VALUE"""),"1WR-C")</f>
        <v>1WR-C</v>
      </c>
      <c r="CM94" s="16" t="str">
        <f>IFERROR(__xludf.DUMMYFUNCTION("""COMPUTED_VALUE"""),"E")</f>
        <v>E</v>
      </c>
      <c r="CN94" s="16">
        <f>IFERROR(__xludf.DUMMYFUNCTION("""COMPUTED_VALUE"""),10.0)</f>
        <v>10</v>
      </c>
      <c r="CO94" s="16" t="str">
        <f>IFERROR(__xludf.DUMMYFUNCTION("""COMPUTED_VALUE"""),"C")</f>
        <v>C</v>
      </c>
      <c r="CP94" s="16" t="str">
        <f>IFERROR(__xludf.DUMMYFUNCTION("""COMPUTED_VALUE"""),"4p40")</f>
        <v>4p40</v>
      </c>
      <c r="CQ94" s="16">
        <f>IFERROR(__xludf.DUMMYFUNCTION("""COMPUTED_VALUE"""),15.0)</f>
        <v>15</v>
      </c>
      <c r="CR94" s="16">
        <f>IFERROR(__xludf.DUMMYFUNCTION("""COMPUTED_VALUE"""),26.0)</f>
        <v>26</v>
      </c>
      <c r="CS94" s="16">
        <f>IFERROR(__xludf.DUMMYFUNCTION("""COMPUTED_VALUE"""),41.0)</f>
        <v>41</v>
      </c>
      <c r="CT94" s="16">
        <f>IFERROR(__xludf.DUMMYFUNCTION("""COMPUTED_VALUE"""),15.0)</f>
        <v>15</v>
      </c>
      <c r="CU94" s="16">
        <f>IFERROR(__xludf.DUMMYFUNCTION("""COMPUTED_VALUE"""),26.0)</f>
        <v>26</v>
      </c>
      <c r="CV94" s="179">
        <f>IFERROR(__xludf.DUMMYFUNCTION("""COMPUTED_VALUE"""),20.666666666666668)</f>
        <v>20.66666667</v>
      </c>
      <c r="CW94" s="179">
        <f>IFERROR(__xludf.DUMMYFUNCTION("""COMPUTED_VALUE"""),1.0)</f>
        <v>1</v>
      </c>
      <c r="CX94" s="179">
        <f>IFERROR(__xludf.DUMMYFUNCTION("""COMPUTED_VALUE"""),1.0)</f>
        <v>1</v>
      </c>
      <c r="CY94" s="16" t="str">
        <f>IFERROR(__xludf.DUMMYFUNCTION("""COMPUTED_VALUE"""),"RP")</f>
        <v>RP</v>
      </c>
      <c r="CZ94" s="16" t="str">
        <f>IFERROR(__xludf.DUMMYFUNCTION("""COMPUTED_VALUE"""),"CP")</f>
        <v>CP</v>
      </c>
      <c r="DA94" s="16"/>
      <c r="DB94" s="16"/>
      <c r="DC94" s="16"/>
      <c r="DD94" s="16"/>
      <c r="DE94" s="16"/>
      <c r="DF94" s="16"/>
      <c r="DG94" s="16"/>
      <c r="DH94" s="16"/>
      <c r="DI94" s="16"/>
      <c r="DJ94" s="16"/>
      <c r="DK94" s="16"/>
    </row>
    <row r="95">
      <c r="A95" s="16">
        <f>IFERROR(__xludf.DUMMYFUNCTION("""COMPUTED_VALUE"""),12657.0)</f>
        <v>12657</v>
      </c>
      <c r="B95" s="16" t="str">
        <f>IFERROR(__xludf.DUMMYFUNCTION("""COMPUTED_VALUE"""),"Carmen Mlodzinski")</f>
        <v>Carmen Mlodzinski</v>
      </c>
      <c r="C95" s="153">
        <f>IFERROR(__xludf.DUMMYFUNCTION("""COMPUTED_VALUE"""),0.76)</f>
        <v>0.76</v>
      </c>
      <c r="D95" s="16"/>
      <c r="E95" s="16" t="str">
        <f>IFERROR(__xludf.DUMMYFUNCTION("""COMPUTED_VALUE"""),"R")</f>
        <v>R</v>
      </c>
      <c r="F95" s="16">
        <f>IFERROR(__xludf.DUMMYFUNCTION("""COMPUTED_VALUE"""),51.0)</f>
        <v>51</v>
      </c>
      <c r="G95" s="16">
        <f>IFERROR(__xludf.DUMMYFUNCTION("""COMPUTED_VALUE"""),18.0)</f>
        <v>18</v>
      </c>
      <c r="H95" s="16">
        <f>IFERROR(__xludf.DUMMYFUNCTION("""COMPUTED_VALUE"""),29.0)</f>
        <v>29</v>
      </c>
      <c r="I95" s="16">
        <f>IFERROR(__xludf.DUMMYFUNCTION("""COMPUTED_VALUE"""),-1.0)</f>
        <v>-1</v>
      </c>
      <c r="J95" s="16">
        <f>IFERROR(__xludf.DUMMYFUNCTION("""COMPUTED_VALUE"""),0.0)</f>
        <v>0</v>
      </c>
      <c r="K95" s="16">
        <f>IFERROR(__xludf.DUMMYFUNCTION("""COMPUTED_VALUE"""),-3.0)</f>
        <v>-3</v>
      </c>
      <c r="L95" s="16">
        <f>IFERROR(__xludf.DUMMYFUNCTION("""COMPUTED_VALUE"""),0.0)</f>
        <v>0</v>
      </c>
      <c r="M95" s="16">
        <f>IFERROR(__xludf.DUMMYFUNCTION("""COMPUTED_VALUE"""),7.0)</f>
        <v>7</v>
      </c>
      <c r="N95" s="16">
        <f>IFERROR(__xludf.DUMMYFUNCTION("""COMPUTED_VALUE"""),13.0)</f>
        <v>13</v>
      </c>
      <c r="O95" s="16">
        <f>IFERROR(__xludf.DUMMYFUNCTION("""COMPUTED_VALUE"""),1.0)</f>
        <v>1</v>
      </c>
      <c r="P95" s="16">
        <f>IFERROR(__xludf.DUMMYFUNCTION("""COMPUTED_VALUE"""),-2.0)</f>
        <v>-2</v>
      </c>
      <c r="Q95" s="16">
        <f>IFERROR(__xludf.DUMMYFUNCTION("""COMPUTED_VALUE"""),1.0)</f>
        <v>1</v>
      </c>
      <c r="R95" s="16">
        <f>IFERROR(__xludf.DUMMYFUNCTION("""COMPUTED_VALUE"""),-2.0)</f>
        <v>-2</v>
      </c>
      <c r="S95" s="16">
        <f>IFERROR(__xludf.DUMMYFUNCTION("""COMPUTED_VALUE"""),9.0)</f>
        <v>9</v>
      </c>
      <c r="T95" s="16">
        <f>IFERROR(__xludf.DUMMYFUNCTION("""COMPUTED_VALUE"""),10.2)</f>
        <v>10.2</v>
      </c>
      <c r="U95" s="16">
        <f>IFERROR(__xludf.DUMMYFUNCTION("""COMPUTED_VALUE"""),1.0)</f>
        <v>1</v>
      </c>
      <c r="V95" s="16">
        <f>IFERROR(__xludf.DUMMYFUNCTION("""COMPUTED_VALUE"""),1.0)</f>
        <v>1</v>
      </c>
      <c r="W95" s="16">
        <f>IFERROR(__xludf.DUMMYFUNCTION("""COMPUTED_VALUE"""),2.0)</f>
        <v>2</v>
      </c>
      <c r="X95" s="16">
        <f>IFERROR(__xludf.DUMMYFUNCTION("""COMPUTED_VALUE"""),2.0)</f>
        <v>2</v>
      </c>
      <c r="Y95" s="16">
        <f>IFERROR(__xludf.DUMMYFUNCTION("""COMPUTED_VALUE"""),16.0)</f>
        <v>16</v>
      </c>
      <c r="Z95" s="16">
        <f>IFERROR(__xludf.DUMMYFUNCTION("""COMPUTED_VALUE"""),23.2)</f>
        <v>23.2</v>
      </c>
      <c r="AA95" s="16">
        <f>IFERROR(__xludf.DUMMYFUNCTION("""COMPUTED_VALUE"""),1.0)</f>
        <v>1</v>
      </c>
      <c r="AB95" s="16">
        <f>IFERROR(__xludf.DUMMYFUNCTION("""COMPUTED_VALUE"""),0.0)</f>
        <v>0</v>
      </c>
      <c r="AC95" s="16">
        <f>IFERROR(__xludf.DUMMYFUNCTION("""COMPUTED_VALUE"""),5.0)</f>
        <v>5</v>
      </c>
      <c r="AD95" s="16">
        <f>IFERROR(__xludf.DUMMYFUNCTION("""COMPUTED_VALUE"""),0.0)</f>
        <v>0</v>
      </c>
      <c r="AE95" s="16">
        <f>IFERROR(__xludf.DUMMYFUNCTION("""COMPUTED_VALUE"""),13.8)</f>
        <v>13.8</v>
      </c>
      <c r="AF95" s="16">
        <f>IFERROR(__xludf.DUMMYFUNCTION("""COMPUTED_VALUE"""),13.4)</f>
        <v>13.4</v>
      </c>
      <c r="AG95" s="16">
        <f>IFERROR(__xludf.DUMMYFUNCTION("""COMPUTED_VALUE"""),1.0)</f>
        <v>1</v>
      </c>
      <c r="AH95" s="16">
        <f>IFERROR(__xludf.DUMMYFUNCTION("""COMPUTED_VALUE"""),2.0)</f>
        <v>2</v>
      </c>
      <c r="AI95" s="16">
        <f>IFERROR(__xludf.DUMMYFUNCTION("""COMPUTED_VALUE"""),2.0)</f>
        <v>2</v>
      </c>
      <c r="AJ95" s="16">
        <f>IFERROR(__xludf.DUMMYFUNCTION("""COMPUTED_VALUE"""),4.0)</f>
        <v>4</v>
      </c>
      <c r="AK95" s="16">
        <f>IFERROR(__xludf.DUMMYFUNCTION("""COMPUTED_VALUE"""),9.0)</f>
        <v>9</v>
      </c>
      <c r="AL95" s="16">
        <f>IFERROR(__xludf.DUMMYFUNCTION("""COMPUTED_VALUE"""),10.2)</f>
        <v>10.2</v>
      </c>
      <c r="AM95" s="16">
        <f>IFERROR(__xludf.DUMMYFUNCTION("""COMPUTED_VALUE"""),1.0)</f>
        <v>1</v>
      </c>
      <c r="AN95" s="16">
        <f>IFERROR(__xludf.DUMMYFUNCTION("""COMPUTED_VALUE"""),1.0)</f>
        <v>1</v>
      </c>
      <c r="AO95" s="16">
        <f>IFERROR(__xludf.DUMMYFUNCTION("""COMPUTED_VALUE"""),1.0)</f>
        <v>1</v>
      </c>
      <c r="AP95" s="16">
        <f>IFERROR(__xludf.DUMMYFUNCTION("""COMPUTED_VALUE"""),1.0)</f>
        <v>1</v>
      </c>
      <c r="AQ95" s="16">
        <f>IFERROR(__xludf.DUMMYFUNCTION("""COMPUTED_VALUE"""),13.8)</f>
        <v>13.8</v>
      </c>
      <c r="AR95" s="16">
        <f>IFERROR(__xludf.DUMMYFUNCTION("""COMPUTED_VALUE"""),13.4)</f>
        <v>13.4</v>
      </c>
      <c r="AS95" s="16">
        <f>IFERROR(__xludf.DUMMYFUNCTION("""COMPUTED_VALUE"""),1.0)</f>
        <v>1</v>
      </c>
      <c r="AT95" s="16">
        <f>IFERROR(__xludf.DUMMYFUNCTION("""COMPUTED_VALUE"""),1.0)</f>
        <v>1</v>
      </c>
      <c r="AU95" s="16">
        <f>IFERROR(__xludf.DUMMYFUNCTION("""COMPUTED_VALUE"""),2.0)</f>
        <v>2</v>
      </c>
      <c r="AV95" s="16">
        <f>IFERROR(__xludf.DUMMYFUNCTION("""COMPUTED_VALUE"""),2.0)</f>
        <v>2</v>
      </c>
      <c r="AW95" s="16">
        <f>IFERROR(__xludf.DUMMYFUNCTION("""COMPUTED_VALUE"""),0.0)</f>
        <v>0</v>
      </c>
      <c r="AX95" s="16">
        <f>IFERROR(__xludf.DUMMYFUNCTION("""COMPUTED_VALUE"""),0.0)</f>
        <v>0</v>
      </c>
      <c r="AY95" s="16">
        <f>IFERROR(__xludf.DUMMYFUNCTION("""COMPUTED_VALUE"""),2.0)</f>
        <v>2</v>
      </c>
      <c r="AZ95" s="16">
        <f>IFERROR(__xludf.DUMMYFUNCTION("""COMPUTED_VALUE"""),2.0)</f>
        <v>2</v>
      </c>
      <c r="BA95" s="16">
        <f>IFERROR(__xludf.DUMMYFUNCTION("""COMPUTED_VALUE"""),10.0)</f>
        <v>10</v>
      </c>
      <c r="BB95" s="16">
        <f>IFERROR(__xludf.DUMMYFUNCTION("""COMPUTED_VALUE"""),10.0)</f>
        <v>10</v>
      </c>
      <c r="BC95" s="16">
        <f>IFERROR(__xludf.DUMMYFUNCTION("""COMPUTED_VALUE"""),0.0)</f>
        <v>0</v>
      </c>
      <c r="BD95" s="16">
        <f>IFERROR(__xludf.DUMMYFUNCTION("""COMPUTED_VALUE"""),0.0)</f>
        <v>0</v>
      </c>
      <c r="BE95" s="16">
        <f>IFERROR(__xludf.DUMMYFUNCTION("""COMPUTED_VALUE"""),0.0)</f>
        <v>0</v>
      </c>
      <c r="BF95" s="16">
        <f>IFERROR(__xludf.DUMMYFUNCTION("""COMPUTED_VALUE"""),0.0)</f>
        <v>0</v>
      </c>
      <c r="BG95" s="16">
        <f>IFERROR(__xludf.DUMMYFUNCTION("""COMPUTED_VALUE"""),3.0)</f>
        <v>3</v>
      </c>
      <c r="BH95" s="16">
        <f>IFERROR(__xludf.DUMMYFUNCTION("""COMPUTED_VALUE"""),2.0)</f>
        <v>2</v>
      </c>
      <c r="BI95" s="16">
        <f>IFERROR(__xludf.DUMMYFUNCTION("""COMPUTED_VALUE"""),6.0)</f>
        <v>6</v>
      </c>
      <c r="BJ95" s="16">
        <f>IFERROR(__xludf.DUMMYFUNCTION("""COMPUTED_VALUE"""),4.0)</f>
        <v>4</v>
      </c>
      <c r="BK95" s="16">
        <f>IFERROR(__xludf.DUMMYFUNCTION("""COMPUTED_VALUE"""),5.0)</f>
        <v>5</v>
      </c>
      <c r="BL95" s="16">
        <f>IFERROR(__xludf.DUMMYFUNCTION("""COMPUTED_VALUE"""),5.0)</f>
        <v>5</v>
      </c>
      <c r="BM95" s="16">
        <f>IFERROR(__xludf.DUMMYFUNCTION("""COMPUTED_VALUE"""),0.0)</f>
        <v>0</v>
      </c>
      <c r="BN95" s="16">
        <f>IFERROR(__xludf.DUMMYFUNCTION("""COMPUTED_VALUE"""),0.0)</f>
        <v>0</v>
      </c>
      <c r="BO95" s="16">
        <f>IFERROR(__xludf.DUMMYFUNCTION("""COMPUTED_VALUE"""),0.0)</f>
        <v>0</v>
      </c>
      <c r="BP95" s="16">
        <f>IFERROR(__xludf.DUMMYFUNCTION("""COMPUTED_VALUE"""),0.0)</f>
        <v>0</v>
      </c>
      <c r="BQ95" s="16">
        <f>IFERROR(__xludf.DUMMYFUNCTION("""COMPUTED_VALUE"""),1.0)</f>
        <v>1</v>
      </c>
      <c r="BR95" s="16">
        <f>IFERROR(__xludf.DUMMYFUNCTION("""COMPUTED_VALUE"""),1.0)</f>
        <v>1</v>
      </c>
      <c r="BS95" s="16">
        <f>IFERROR(__xludf.DUMMYFUNCTION("""COMPUTED_VALUE"""),-2.0)</f>
        <v>-2</v>
      </c>
      <c r="BT95" s="16">
        <f>IFERROR(__xludf.DUMMYFUNCTION("""COMPUTED_VALUE"""),-2.0)</f>
        <v>-2</v>
      </c>
      <c r="BU95" s="16">
        <f>IFERROR(__xludf.DUMMYFUNCTION("""COMPUTED_VALUE"""),-4.0)</f>
        <v>-4</v>
      </c>
      <c r="BV95" s="16">
        <f>IFERROR(__xludf.DUMMYFUNCTION("""COMPUTED_VALUE"""),-4.0)</f>
        <v>-4</v>
      </c>
      <c r="BW95" s="16">
        <f>IFERROR(__xludf.DUMMYFUNCTION("""COMPUTED_VALUE"""),1.0)</f>
        <v>1</v>
      </c>
      <c r="BX95" s="16">
        <f>IFERROR(__xludf.DUMMYFUNCTION("""COMPUTED_VALUE"""),1.0)</f>
        <v>1</v>
      </c>
      <c r="BY95" s="16" t="str">
        <f>IFERROR(__xludf.DUMMYFUNCTION("""COMPUTED_VALUE"""),"S(1) R(1)")</f>
        <v>S(1) R(1)</v>
      </c>
      <c r="BZ95" s="16" t="str">
        <f>IFERROR(__xludf.DUMMYFUNCTION("""COMPUTED_VALUE"""),"S(1) R(1)")</f>
        <v>S(1) R(1)</v>
      </c>
      <c r="CA95" s="16" t="str">
        <f>IFERROR(__xludf.DUMMYFUNCTION("""COMPUTED_VALUE"""),"S(1)")</f>
        <v>S(1)</v>
      </c>
      <c r="CB95" s="16" t="str">
        <f>IFERROR(__xludf.DUMMYFUNCTION("""COMPUTED_VALUE"""),"R(1)")</f>
        <v>R(1)</v>
      </c>
      <c r="CC95" s="16"/>
      <c r="CD95" s="16">
        <f>IFERROR(__xludf.DUMMYFUNCTION("""COMPUTED_VALUE"""),1.0)</f>
        <v>1</v>
      </c>
      <c r="CE95" s="16">
        <f>IFERROR(__xludf.DUMMYFUNCTION("""COMPUTED_VALUE"""),1.0)</f>
        <v>1</v>
      </c>
      <c r="CF95" s="16"/>
      <c r="CG95" s="16" t="str">
        <f>IFERROR(__xludf.DUMMYFUNCTION("""COMPUTED_VALUE"""),"4-0")</f>
        <v>4-0</v>
      </c>
      <c r="CH95" s="16">
        <f>IFERROR(__xludf.DUMMYFUNCTION("""COMPUTED_VALUE"""),4.0)</f>
        <v>4</v>
      </c>
      <c r="CI95" s="16">
        <f>IFERROR(__xludf.DUMMYFUNCTION("""COMPUTED_VALUE"""),0.0)</f>
        <v>0</v>
      </c>
      <c r="CJ95" s="16">
        <f>IFERROR(__xludf.DUMMYFUNCTION("""COMPUTED_VALUE"""),0.0)</f>
        <v>0</v>
      </c>
      <c r="CK95" s="16">
        <f>IFERROR(__xludf.DUMMYFUNCTION("""COMPUTED_VALUE"""),4.0)</f>
        <v>4</v>
      </c>
      <c r="CL95" s="16" t="str">
        <f>IFERROR(__xludf.DUMMYFUNCTION("""COMPUTED_VALUE"""),"1WR-C")</f>
        <v>1WR-C</v>
      </c>
      <c r="CM95" s="16" t="str">
        <f>IFERROR(__xludf.DUMMYFUNCTION("""COMPUTED_VALUE"""),"E")</f>
        <v>E</v>
      </c>
      <c r="CN95" s="16">
        <f>IFERROR(__xludf.DUMMYFUNCTION("""COMPUTED_VALUE"""),10.0)</f>
        <v>10</v>
      </c>
      <c r="CO95" s="16" t="str">
        <f>IFERROR(__xludf.DUMMYFUNCTION("""COMPUTED_VALUE"""),"C")</f>
        <v>C</v>
      </c>
      <c r="CP95" s="16" t="str">
        <f>IFERROR(__xludf.DUMMYFUNCTION("""COMPUTED_VALUE"""),"4p40")</f>
        <v>4p40</v>
      </c>
      <c r="CQ95" s="16">
        <f>IFERROR(__xludf.DUMMYFUNCTION("""COMPUTED_VALUE"""),22.0)</f>
        <v>22</v>
      </c>
      <c r="CR95" s="16">
        <f>IFERROR(__xludf.DUMMYFUNCTION("""COMPUTED_VALUE"""),17.0)</f>
        <v>17</v>
      </c>
      <c r="CS95" s="16">
        <f>IFERROR(__xludf.DUMMYFUNCTION("""COMPUTED_VALUE"""),39.0)</f>
        <v>39</v>
      </c>
      <c r="CT95" s="16">
        <f>IFERROR(__xludf.DUMMYFUNCTION("""COMPUTED_VALUE"""),22.0)</f>
        <v>22</v>
      </c>
      <c r="CU95" s="16">
        <f>IFERROR(__xludf.DUMMYFUNCTION("""COMPUTED_VALUE"""),17.0)</f>
        <v>17</v>
      </c>
      <c r="CV95" s="179">
        <f>IFERROR(__xludf.DUMMYFUNCTION("""COMPUTED_VALUE"""),20.666666666666668)</f>
        <v>20.66666667</v>
      </c>
      <c r="CW95" s="179">
        <f>IFERROR(__xludf.DUMMYFUNCTION("""COMPUTED_VALUE"""),1.0)</f>
        <v>1</v>
      </c>
      <c r="CX95" s="179">
        <f>IFERROR(__xludf.DUMMYFUNCTION("""COMPUTED_VALUE"""),1.0)</f>
        <v>1</v>
      </c>
      <c r="CY95" s="16" t="str">
        <f>IFERROR(__xludf.DUMMYFUNCTION("""COMPUTED_VALUE"""),"SP")</f>
        <v>SP</v>
      </c>
      <c r="CZ95" s="16" t="str">
        <f>IFERROR(__xludf.DUMMYFUNCTION("""COMPUTED_VALUE"""),"RP")</f>
        <v>RP</v>
      </c>
      <c r="DA95" s="16"/>
      <c r="DB95" s="16"/>
      <c r="DC95" s="16"/>
      <c r="DD95" s="16"/>
      <c r="DE95" s="16"/>
      <c r="DF95" s="16"/>
      <c r="DG95" s="16"/>
      <c r="DH95" s="16"/>
      <c r="DI95" s="16"/>
      <c r="DJ95" s="16"/>
      <c r="DK95" s="16"/>
    </row>
    <row r="96">
      <c r="A96" s="16">
        <f>IFERROR(__xludf.DUMMYFUNCTION("""COMPUTED_VALUE"""),13058.0)</f>
        <v>13058</v>
      </c>
      <c r="B96" s="16" t="str">
        <f>IFERROR(__xludf.DUMMYFUNCTION("""COMPUTED_VALUE"""),"Justin Steele")</f>
        <v>Justin Steele</v>
      </c>
      <c r="C96" s="153">
        <f>IFERROR(__xludf.DUMMYFUNCTION("""COMPUTED_VALUE"""),1.06)</f>
        <v>1.06</v>
      </c>
      <c r="D96" s="16"/>
      <c r="E96" s="16" t="str">
        <f>IFERROR(__xludf.DUMMYFUNCTION("""COMPUTED_VALUE"""),"L")</f>
        <v>L</v>
      </c>
      <c r="F96" s="16">
        <f>IFERROR(__xludf.DUMMYFUNCTION("""COMPUTED_VALUE"""),135.0)</f>
        <v>135</v>
      </c>
      <c r="G96" s="16">
        <f>IFERROR(__xludf.DUMMYFUNCTION("""COMPUTED_VALUE"""),40.0)</f>
        <v>40</v>
      </c>
      <c r="H96" s="16">
        <f>IFERROR(__xludf.DUMMYFUNCTION("""COMPUTED_VALUE"""),26.0)</f>
        <v>26</v>
      </c>
      <c r="I96" s="16">
        <f>IFERROR(__xludf.DUMMYFUNCTION("""COMPUTED_VALUE"""),2.0)</f>
        <v>2</v>
      </c>
      <c r="J96" s="16">
        <f>IFERROR(__xludf.DUMMYFUNCTION("""COMPUTED_VALUE"""),0.0)</f>
        <v>0</v>
      </c>
      <c r="K96" s="16">
        <f>IFERROR(__xludf.DUMMYFUNCTION("""COMPUTED_VALUE"""),6.0)</f>
        <v>6</v>
      </c>
      <c r="L96" s="16">
        <f>IFERROR(__xludf.DUMMYFUNCTION("""COMPUTED_VALUE"""),0.0)</f>
        <v>0</v>
      </c>
      <c r="M96" s="16">
        <f>IFERROR(__xludf.DUMMYFUNCTION("""COMPUTED_VALUE"""),7.0)</f>
        <v>7</v>
      </c>
      <c r="N96" s="16">
        <f>IFERROR(__xludf.DUMMYFUNCTION("""COMPUTED_VALUE"""),6.0)</f>
        <v>6</v>
      </c>
      <c r="O96" s="16">
        <f>IFERROR(__xludf.DUMMYFUNCTION("""COMPUTED_VALUE"""),1.0)</f>
        <v>1</v>
      </c>
      <c r="P96" s="16">
        <f>IFERROR(__xludf.DUMMYFUNCTION("""COMPUTED_VALUE"""),1.0)</f>
        <v>1</v>
      </c>
      <c r="Q96" s="16">
        <f>IFERROR(__xludf.DUMMYFUNCTION("""COMPUTED_VALUE"""),1.0)</f>
        <v>1</v>
      </c>
      <c r="R96" s="16">
        <f>IFERROR(__xludf.DUMMYFUNCTION("""COMPUTED_VALUE"""),1.0)</f>
        <v>1</v>
      </c>
      <c r="S96" s="16">
        <f>IFERROR(__xludf.DUMMYFUNCTION("""COMPUTED_VALUE"""),8.6)</f>
        <v>8.6</v>
      </c>
      <c r="T96" s="16">
        <f>IFERROR(__xludf.DUMMYFUNCTION("""COMPUTED_VALUE"""),15.9)</f>
        <v>15.9</v>
      </c>
      <c r="U96" s="16">
        <f>IFERROR(__xludf.DUMMYFUNCTION("""COMPUTED_VALUE"""),1.0)</f>
        <v>1</v>
      </c>
      <c r="V96" s="16">
        <f>IFERROR(__xludf.DUMMYFUNCTION("""COMPUTED_VALUE"""),0.0)</f>
        <v>0</v>
      </c>
      <c r="W96" s="16">
        <f>IFERROR(__xludf.DUMMYFUNCTION("""COMPUTED_VALUE"""),2.0)</f>
        <v>2</v>
      </c>
      <c r="X96" s="16">
        <f>IFERROR(__xludf.DUMMYFUNCTION("""COMPUTED_VALUE"""),0.0)</f>
        <v>0</v>
      </c>
      <c r="Y96" s="16">
        <f>IFERROR(__xludf.DUMMYFUNCTION("""COMPUTED_VALUE"""),15.5)</f>
        <v>15.5</v>
      </c>
      <c r="Z96" s="16">
        <f>IFERROR(__xludf.DUMMYFUNCTION("""COMPUTED_VALUE"""),21.9)</f>
        <v>21.9</v>
      </c>
      <c r="AA96" s="16">
        <f>IFERROR(__xludf.DUMMYFUNCTION("""COMPUTED_VALUE"""),1.0)</f>
        <v>1</v>
      </c>
      <c r="AB96" s="16">
        <f>IFERROR(__xludf.DUMMYFUNCTION("""COMPUTED_VALUE"""),1.0)</f>
        <v>1</v>
      </c>
      <c r="AC96" s="16">
        <f>IFERROR(__xludf.DUMMYFUNCTION("""COMPUTED_VALUE"""),5.0)</f>
        <v>5</v>
      </c>
      <c r="AD96" s="16">
        <f>IFERROR(__xludf.DUMMYFUNCTION("""COMPUTED_VALUE"""),5.0)</f>
        <v>5</v>
      </c>
      <c r="AE96" s="16">
        <f>IFERROR(__xludf.DUMMYFUNCTION("""COMPUTED_VALUE"""),12.8)</f>
        <v>12.8</v>
      </c>
      <c r="AF96" s="16">
        <f>IFERROR(__xludf.DUMMYFUNCTION("""COMPUTED_VALUE"""),24.6)</f>
        <v>24.6</v>
      </c>
      <c r="AG96" s="16">
        <f>IFERROR(__xludf.DUMMYFUNCTION("""COMPUTED_VALUE"""),2.0)</f>
        <v>2</v>
      </c>
      <c r="AH96" s="16">
        <f>IFERROR(__xludf.DUMMYFUNCTION("""COMPUTED_VALUE"""),0.0)</f>
        <v>0</v>
      </c>
      <c r="AI96" s="16">
        <f>IFERROR(__xludf.DUMMYFUNCTION("""COMPUTED_VALUE"""),4.0)</f>
        <v>4</v>
      </c>
      <c r="AJ96" s="16">
        <f>IFERROR(__xludf.DUMMYFUNCTION("""COMPUTED_VALUE"""),0.0)</f>
        <v>0</v>
      </c>
      <c r="AK96" s="16">
        <f>IFERROR(__xludf.DUMMYFUNCTION("""COMPUTED_VALUE"""),7.199999999999999)</f>
        <v>7.2</v>
      </c>
      <c r="AL96" s="16">
        <f>IFERROR(__xludf.DUMMYFUNCTION("""COMPUTED_VALUE"""),14.9)</f>
        <v>14.9</v>
      </c>
      <c r="AM96" s="16">
        <f>IFERROR(__xludf.DUMMYFUNCTION("""COMPUTED_VALUE"""),1.0)</f>
        <v>1</v>
      </c>
      <c r="AN96" s="16">
        <f>IFERROR(__xludf.DUMMYFUNCTION("""COMPUTED_VALUE"""),0.0)</f>
        <v>0</v>
      </c>
      <c r="AO96" s="16">
        <f>IFERROR(__xludf.DUMMYFUNCTION("""COMPUTED_VALUE"""),1.0)</f>
        <v>1</v>
      </c>
      <c r="AP96" s="16">
        <f>IFERROR(__xludf.DUMMYFUNCTION("""COMPUTED_VALUE"""),0.0)</f>
        <v>0</v>
      </c>
      <c r="AQ96" s="16">
        <f>IFERROR(__xludf.DUMMYFUNCTION("""COMPUTED_VALUE"""),7.200000000000001)</f>
        <v>7.2</v>
      </c>
      <c r="AR96" s="16">
        <f>IFERROR(__xludf.DUMMYFUNCTION("""COMPUTED_VALUE"""),20.6)</f>
        <v>20.6</v>
      </c>
      <c r="AS96" s="16">
        <f>IFERROR(__xludf.DUMMYFUNCTION("""COMPUTED_VALUE"""),2.0)</f>
        <v>2</v>
      </c>
      <c r="AT96" s="16">
        <f>IFERROR(__xludf.DUMMYFUNCTION("""COMPUTED_VALUE"""),0.0)</f>
        <v>0</v>
      </c>
      <c r="AU96" s="16">
        <f>IFERROR(__xludf.DUMMYFUNCTION("""COMPUTED_VALUE"""),4.0)</f>
        <v>4</v>
      </c>
      <c r="AV96" s="16">
        <f>IFERROR(__xludf.DUMMYFUNCTION("""COMPUTED_VALUE"""),0.0)</f>
        <v>0</v>
      </c>
      <c r="AW96" s="16">
        <f>IFERROR(__xludf.DUMMYFUNCTION("""COMPUTED_VALUE"""),1.4)</f>
        <v>1.4</v>
      </c>
      <c r="AX96" s="16">
        <f>IFERROR(__xludf.DUMMYFUNCTION("""COMPUTED_VALUE"""),1.0)</f>
        <v>1</v>
      </c>
      <c r="AY96" s="16">
        <f>IFERROR(__xludf.DUMMYFUNCTION("""COMPUTED_VALUE"""),1.0)</f>
        <v>1</v>
      </c>
      <c r="AZ96" s="16">
        <f>IFERROR(__xludf.DUMMYFUNCTION("""COMPUTED_VALUE"""),1.0)</f>
        <v>1</v>
      </c>
      <c r="BA96" s="16">
        <f>IFERROR(__xludf.DUMMYFUNCTION("""COMPUTED_VALUE"""),5.0)</f>
        <v>5</v>
      </c>
      <c r="BB96" s="16">
        <f>IFERROR(__xludf.DUMMYFUNCTION("""COMPUTED_VALUE"""),5.0)</f>
        <v>5</v>
      </c>
      <c r="BC96" s="16">
        <f>IFERROR(__xludf.DUMMYFUNCTION("""COMPUTED_VALUE"""),1.0)</f>
        <v>1</v>
      </c>
      <c r="BD96" s="16">
        <f>IFERROR(__xludf.DUMMYFUNCTION("""COMPUTED_VALUE"""),1.0)</f>
        <v>1</v>
      </c>
      <c r="BE96" s="16">
        <f>IFERROR(__xludf.DUMMYFUNCTION("""COMPUTED_VALUE"""),1.0)</f>
        <v>1</v>
      </c>
      <c r="BF96" s="16">
        <f>IFERROR(__xludf.DUMMYFUNCTION("""COMPUTED_VALUE"""),1.0)</f>
        <v>1</v>
      </c>
      <c r="BG96" s="16">
        <f>IFERROR(__xludf.DUMMYFUNCTION("""COMPUTED_VALUE"""),2.0)</f>
        <v>2</v>
      </c>
      <c r="BH96" s="16">
        <f>IFERROR(__xludf.DUMMYFUNCTION("""COMPUTED_VALUE"""),2.0)</f>
        <v>2</v>
      </c>
      <c r="BI96" s="16">
        <f>IFERROR(__xludf.DUMMYFUNCTION("""COMPUTED_VALUE"""),4.0)</f>
        <v>4</v>
      </c>
      <c r="BJ96" s="16">
        <f>IFERROR(__xludf.DUMMYFUNCTION("""COMPUTED_VALUE"""),4.0)</f>
        <v>4</v>
      </c>
      <c r="BK96" s="16">
        <f>IFERROR(__xludf.DUMMYFUNCTION("""COMPUTED_VALUE"""),5.0)</f>
        <v>5</v>
      </c>
      <c r="BL96" s="16">
        <f>IFERROR(__xludf.DUMMYFUNCTION("""COMPUTED_VALUE"""),5.0)</f>
        <v>5</v>
      </c>
      <c r="BM96" s="16">
        <f>IFERROR(__xludf.DUMMYFUNCTION("""COMPUTED_VALUE"""),0.0)</f>
        <v>0</v>
      </c>
      <c r="BN96" s="16">
        <f>IFERROR(__xludf.DUMMYFUNCTION("""COMPUTED_VALUE"""),0.0)</f>
        <v>0</v>
      </c>
      <c r="BO96" s="16">
        <f>IFERROR(__xludf.DUMMYFUNCTION("""COMPUTED_VALUE"""),0.0)</f>
        <v>0</v>
      </c>
      <c r="BP96" s="16">
        <f>IFERROR(__xludf.DUMMYFUNCTION("""COMPUTED_VALUE"""),0.0)</f>
        <v>0</v>
      </c>
      <c r="BQ96" s="16">
        <f>IFERROR(__xludf.DUMMYFUNCTION("""COMPUTED_VALUE"""),0.0)</f>
        <v>0</v>
      </c>
      <c r="BR96" s="16">
        <f>IFERROR(__xludf.DUMMYFUNCTION("""COMPUTED_VALUE"""),0.0)</f>
        <v>0</v>
      </c>
      <c r="BS96" s="16">
        <f>IFERROR(__xludf.DUMMYFUNCTION("""COMPUTED_VALUE"""),-3.0)</f>
        <v>-3</v>
      </c>
      <c r="BT96" s="16">
        <f>IFERROR(__xludf.DUMMYFUNCTION("""COMPUTED_VALUE"""),-3.0)</f>
        <v>-3</v>
      </c>
      <c r="BU96" s="16">
        <f>IFERROR(__xludf.DUMMYFUNCTION("""COMPUTED_VALUE"""),-6.0)</f>
        <v>-6</v>
      </c>
      <c r="BV96" s="16">
        <f>IFERROR(__xludf.DUMMYFUNCTION("""COMPUTED_VALUE"""),-6.0)</f>
        <v>-6</v>
      </c>
      <c r="BW96" s="16">
        <f>IFERROR(__xludf.DUMMYFUNCTION("""COMPUTED_VALUE"""),-1.0)</f>
        <v>-1</v>
      </c>
      <c r="BX96" s="16">
        <f>IFERROR(__xludf.DUMMYFUNCTION("""COMPUTED_VALUE"""),-1.0)</f>
        <v>-1</v>
      </c>
      <c r="BY96" s="16" t="str">
        <f>IFERROR(__xludf.DUMMYFUNCTION("""COMPUTED_VALUE"""),"S(5)")</f>
        <v>S(5)</v>
      </c>
      <c r="BZ96" s="16" t="str">
        <f>IFERROR(__xludf.DUMMYFUNCTION("""COMPUTED_VALUE"""),"S(5)")</f>
        <v>S(5)</v>
      </c>
      <c r="CA96" s="16" t="str">
        <f>IFERROR(__xludf.DUMMYFUNCTION("""COMPUTED_VALUE"""),"S(5)")</f>
        <v>S(5)</v>
      </c>
      <c r="CB96" s="16"/>
      <c r="CC96" s="16"/>
      <c r="CD96" s="16">
        <f>IFERROR(__xludf.DUMMYFUNCTION("""COMPUTED_VALUE"""),5.0)</f>
        <v>5</v>
      </c>
      <c r="CE96" s="16"/>
      <c r="CF96" s="16"/>
      <c r="CG96" s="16" t="str">
        <f>IFERROR(__xludf.DUMMYFUNCTION("""COMPUTED_VALUE"""),"4-0")</f>
        <v>4-0</v>
      </c>
      <c r="CH96" s="16">
        <f>IFERROR(__xludf.DUMMYFUNCTION("""COMPUTED_VALUE"""),4.0)</f>
        <v>4</v>
      </c>
      <c r="CI96" s="16">
        <f>IFERROR(__xludf.DUMMYFUNCTION("""COMPUTED_VALUE"""),0.0)</f>
        <v>0</v>
      </c>
      <c r="CJ96" s="16">
        <f>IFERROR(__xludf.DUMMYFUNCTION("""COMPUTED_VALUE"""),0.0)</f>
        <v>0</v>
      </c>
      <c r="CK96" s="16">
        <f>IFERROR(__xludf.DUMMYFUNCTION("""COMPUTED_VALUE"""),1.0)</f>
        <v>1</v>
      </c>
      <c r="CL96" s="16" t="str">
        <f>IFERROR(__xludf.DUMMYFUNCTION("""COMPUTED_VALUE"""),"1WL-C")</f>
        <v>1WL-C</v>
      </c>
      <c r="CM96" s="16" t="str">
        <f>IFERROR(__xludf.DUMMYFUNCTION("""COMPUTED_VALUE"""),"E")</f>
        <v>E</v>
      </c>
      <c r="CN96" s="16">
        <f>IFERROR(__xludf.DUMMYFUNCTION("""COMPUTED_VALUE"""),10.0)</f>
        <v>10</v>
      </c>
      <c r="CO96" s="16" t="str">
        <f>IFERROR(__xludf.DUMMYFUNCTION("""COMPUTED_VALUE"""),"C")</f>
        <v>C</v>
      </c>
      <c r="CP96" s="16" t="str">
        <f>IFERROR(__xludf.DUMMYFUNCTION("""COMPUTED_VALUE"""),"2p70")</f>
        <v>2p70</v>
      </c>
      <c r="CQ96" s="16">
        <f>IFERROR(__xludf.DUMMYFUNCTION("""COMPUTED_VALUE"""),26.0)</f>
        <v>26</v>
      </c>
      <c r="CR96" s="16">
        <f>IFERROR(__xludf.DUMMYFUNCTION("""COMPUTED_VALUE"""),9.0)</f>
        <v>9</v>
      </c>
      <c r="CS96" s="16">
        <f>IFERROR(__xludf.DUMMYFUNCTION("""COMPUTED_VALUE"""),35.0)</f>
        <v>35</v>
      </c>
      <c r="CT96" s="16">
        <f>IFERROR(__xludf.DUMMYFUNCTION("""COMPUTED_VALUE"""),26.0)</f>
        <v>26</v>
      </c>
      <c r="CU96" s="16">
        <f>IFERROR(__xludf.DUMMYFUNCTION("""COMPUTED_VALUE"""),9.0)</f>
        <v>9</v>
      </c>
      <c r="CV96" s="179">
        <f>IFERROR(__xludf.DUMMYFUNCTION("""COMPUTED_VALUE"""),20.666666666666664)</f>
        <v>20.66666667</v>
      </c>
      <c r="CW96" s="179">
        <f>IFERROR(__xludf.DUMMYFUNCTION("""COMPUTED_VALUE"""),3.0)</f>
        <v>3</v>
      </c>
      <c r="CX96" s="179">
        <f>IFERROR(__xludf.DUMMYFUNCTION("""COMPUTED_VALUE"""),3.0)</f>
        <v>3</v>
      </c>
      <c r="CY96" s="16" t="str">
        <f>IFERROR(__xludf.DUMMYFUNCTION("""COMPUTED_VALUE"""),"SP")</f>
        <v>SP</v>
      </c>
      <c r="CZ96" s="16"/>
      <c r="DA96" s="16"/>
      <c r="DB96" s="16"/>
      <c r="DC96" s="16"/>
      <c r="DD96" s="16"/>
      <c r="DE96" s="16"/>
      <c r="DF96" s="16"/>
      <c r="DG96" s="16"/>
      <c r="DH96" s="16"/>
      <c r="DI96" s="16"/>
      <c r="DJ96" s="16"/>
      <c r="DK96" s="16"/>
    </row>
    <row r="97">
      <c r="A97" s="16">
        <f>IFERROR(__xludf.DUMMYFUNCTION("""COMPUTED_VALUE"""),12882.0)</f>
        <v>12882</v>
      </c>
      <c r="B97" s="16" t="str">
        <f>IFERROR(__xludf.DUMMYFUNCTION("""COMPUTED_VALUE"""),"Hunter Strickland")</f>
        <v>Hunter Strickland</v>
      </c>
      <c r="C97" s="153">
        <f>IFERROR(__xludf.DUMMYFUNCTION("""COMPUTED_VALUE"""),0.65)</f>
        <v>0.65</v>
      </c>
      <c r="D97" s="16"/>
      <c r="E97" s="16" t="str">
        <f>IFERROR(__xludf.DUMMYFUNCTION("""COMPUTED_VALUE"""),"R")</f>
        <v>R</v>
      </c>
      <c r="F97" s="16">
        <f>IFERROR(__xludf.DUMMYFUNCTION("""COMPUTED_VALUE"""),73.0)</f>
        <v>73</v>
      </c>
      <c r="G97" s="16">
        <f>IFERROR(__xludf.DUMMYFUNCTION("""COMPUTED_VALUE"""),11.0)</f>
        <v>11</v>
      </c>
      <c r="H97" s="16">
        <f>IFERROR(__xludf.DUMMYFUNCTION("""COMPUTED_VALUE"""),21.0)</f>
        <v>21</v>
      </c>
      <c r="I97" s="16">
        <f>IFERROR(__xludf.DUMMYFUNCTION("""COMPUTED_VALUE"""),-2.0)</f>
        <v>-2</v>
      </c>
      <c r="J97" s="16">
        <f>IFERROR(__xludf.DUMMYFUNCTION("""COMPUTED_VALUE"""),-1.0)</f>
        <v>-1</v>
      </c>
      <c r="K97" s="16">
        <f>IFERROR(__xludf.DUMMYFUNCTION("""COMPUTED_VALUE"""),-6.0)</f>
        <v>-6</v>
      </c>
      <c r="L97" s="16">
        <f>IFERROR(__xludf.DUMMYFUNCTION("""COMPUTED_VALUE"""),-3.0)</f>
        <v>-3</v>
      </c>
      <c r="M97" s="16">
        <f>IFERROR(__xludf.DUMMYFUNCTION("""COMPUTED_VALUE"""),19.0)</f>
        <v>19</v>
      </c>
      <c r="N97" s="16">
        <f>IFERROR(__xludf.DUMMYFUNCTION("""COMPUTED_VALUE"""),3.0)</f>
        <v>3</v>
      </c>
      <c r="O97" s="16">
        <f>IFERROR(__xludf.DUMMYFUNCTION("""COMPUTED_VALUE"""),-3.0)</f>
        <v>-3</v>
      </c>
      <c r="P97" s="16">
        <f>IFERROR(__xludf.DUMMYFUNCTION("""COMPUTED_VALUE"""),2.0)</f>
        <v>2</v>
      </c>
      <c r="Q97" s="16">
        <f>IFERROR(__xludf.DUMMYFUNCTION("""COMPUTED_VALUE"""),-3.0)</f>
        <v>-3</v>
      </c>
      <c r="R97" s="16">
        <f>IFERROR(__xludf.DUMMYFUNCTION("""COMPUTED_VALUE"""),2.0)</f>
        <v>2</v>
      </c>
      <c r="S97" s="16">
        <f>IFERROR(__xludf.DUMMYFUNCTION("""COMPUTED_VALUE"""),7.8)</f>
        <v>7.8</v>
      </c>
      <c r="T97" s="16">
        <f>IFERROR(__xludf.DUMMYFUNCTION("""COMPUTED_VALUE"""),9.6)</f>
        <v>9.6</v>
      </c>
      <c r="U97" s="16">
        <f>IFERROR(__xludf.DUMMYFUNCTION("""COMPUTED_VALUE"""),1.0)</f>
        <v>1</v>
      </c>
      <c r="V97" s="16">
        <f>IFERROR(__xludf.DUMMYFUNCTION("""COMPUTED_VALUE"""),1.0)</f>
        <v>1</v>
      </c>
      <c r="W97" s="16">
        <f>IFERROR(__xludf.DUMMYFUNCTION("""COMPUTED_VALUE"""),2.0)</f>
        <v>2</v>
      </c>
      <c r="X97" s="16">
        <f>IFERROR(__xludf.DUMMYFUNCTION("""COMPUTED_VALUE"""),2.0)</f>
        <v>2</v>
      </c>
      <c r="Y97" s="16">
        <f>IFERROR(__xludf.DUMMYFUNCTION("""COMPUTED_VALUE"""),26.8)</f>
        <v>26.8</v>
      </c>
      <c r="Z97" s="16">
        <f>IFERROR(__xludf.DUMMYFUNCTION("""COMPUTED_VALUE"""),12.6)</f>
        <v>12.6</v>
      </c>
      <c r="AA97" s="16">
        <f>IFERROR(__xludf.DUMMYFUNCTION("""COMPUTED_VALUE"""),0.0)</f>
        <v>0</v>
      </c>
      <c r="AB97" s="16">
        <f>IFERROR(__xludf.DUMMYFUNCTION("""COMPUTED_VALUE"""),2.0)</f>
        <v>2</v>
      </c>
      <c r="AC97" s="16">
        <f>IFERROR(__xludf.DUMMYFUNCTION("""COMPUTED_VALUE"""),0.0)</f>
        <v>0</v>
      </c>
      <c r="AD97" s="16">
        <f>IFERROR(__xludf.DUMMYFUNCTION("""COMPUTED_VALUE"""),10.0)</f>
        <v>10</v>
      </c>
      <c r="AE97" s="16">
        <f>IFERROR(__xludf.DUMMYFUNCTION("""COMPUTED_VALUE"""),16.2)</f>
        <v>16.2</v>
      </c>
      <c r="AF97" s="16">
        <f>IFERROR(__xludf.DUMMYFUNCTION("""COMPUTED_VALUE"""),25.4)</f>
        <v>25.4</v>
      </c>
      <c r="AG97" s="16">
        <f>IFERROR(__xludf.DUMMYFUNCTION("""COMPUTED_VALUE"""),1.0)</f>
        <v>1</v>
      </c>
      <c r="AH97" s="16">
        <f>IFERROR(__xludf.DUMMYFUNCTION("""COMPUTED_VALUE"""),0.0)</f>
        <v>0</v>
      </c>
      <c r="AI97" s="16">
        <f>IFERROR(__xludf.DUMMYFUNCTION("""COMPUTED_VALUE"""),2.0)</f>
        <v>2</v>
      </c>
      <c r="AJ97" s="16">
        <f>IFERROR(__xludf.DUMMYFUNCTION("""COMPUTED_VALUE"""),0.0)</f>
        <v>0</v>
      </c>
      <c r="AK97" s="16">
        <f>IFERROR(__xludf.DUMMYFUNCTION("""COMPUTED_VALUE"""),6.199999999999999)</f>
        <v>6.2</v>
      </c>
      <c r="AL97" s="16">
        <f>IFERROR(__xludf.DUMMYFUNCTION("""COMPUTED_VALUE"""),6.6)</f>
        <v>6.6</v>
      </c>
      <c r="AM97" s="16">
        <f>IFERROR(__xludf.DUMMYFUNCTION("""COMPUTED_VALUE"""),1.0)</f>
        <v>1</v>
      </c>
      <c r="AN97" s="16">
        <f>IFERROR(__xludf.DUMMYFUNCTION("""COMPUTED_VALUE"""),1.0)</f>
        <v>1</v>
      </c>
      <c r="AO97" s="16">
        <f>IFERROR(__xludf.DUMMYFUNCTION("""COMPUTED_VALUE"""),1.0)</f>
        <v>1</v>
      </c>
      <c r="AP97" s="16">
        <f>IFERROR(__xludf.DUMMYFUNCTION("""COMPUTED_VALUE"""),1.0)</f>
        <v>1</v>
      </c>
      <c r="AQ97" s="16">
        <f>IFERROR(__xludf.DUMMYFUNCTION("""COMPUTED_VALUE"""),9.799999999999999)</f>
        <v>9.8</v>
      </c>
      <c r="AR97" s="16">
        <f>IFERROR(__xludf.DUMMYFUNCTION("""COMPUTED_VALUE"""),13.399999999999999)</f>
        <v>13.4</v>
      </c>
      <c r="AS97" s="16">
        <f>IFERROR(__xludf.DUMMYFUNCTION("""COMPUTED_VALUE"""),1.0)</f>
        <v>1</v>
      </c>
      <c r="AT97" s="16">
        <f>IFERROR(__xludf.DUMMYFUNCTION("""COMPUTED_VALUE"""),1.0)</f>
        <v>1</v>
      </c>
      <c r="AU97" s="16">
        <f>IFERROR(__xludf.DUMMYFUNCTION("""COMPUTED_VALUE"""),2.0)</f>
        <v>2</v>
      </c>
      <c r="AV97" s="16">
        <f>IFERROR(__xludf.DUMMYFUNCTION("""COMPUTED_VALUE"""),2.0)</f>
        <v>2</v>
      </c>
      <c r="AW97" s="16">
        <f>IFERROR(__xludf.DUMMYFUNCTION("""COMPUTED_VALUE"""),1.6)</f>
        <v>1.6</v>
      </c>
      <c r="AX97" s="16">
        <f>IFERROR(__xludf.DUMMYFUNCTION("""COMPUTED_VALUE"""),3.0)</f>
        <v>3</v>
      </c>
      <c r="AY97" s="16">
        <f>IFERROR(__xludf.DUMMYFUNCTION("""COMPUTED_VALUE"""),1.0)</f>
        <v>1</v>
      </c>
      <c r="AZ97" s="16">
        <f>IFERROR(__xludf.DUMMYFUNCTION("""COMPUTED_VALUE"""),-1.0)</f>
        <v>-1</v>
      </c>
      <c r="BA97" s="16">
        <f>IFERROR(__xludf.DUMMYFUNCTION("""COMPUTED_VALUE"""),5.0)</f>
        <v>5</v>
      </c>
      <c r="BB97" s="16">
        <f>IFERROR(__xludf.DUMMYFUNCTION("""COMPUTED_VALUE"""),-5.0)</f>
        <v>-5</v>
      </c>
      <c r="BC97" s="16">
        <f>IFERROR(__xludf.DUMMYFUNCTION("""COMPUTED_VALUE"""),2.0)</f>
        <v>2</v>
      </c>
      <c r="BD97" s="16">
        <f>IFERROR(__xludf.DUMMYFUNCTION("""COMPUTED_VALUE"""),4.0)</f>
        <v>4</v>
      </c>
      <c r="BE97" s="16">
        <f>IFERROR(__xludf.DUMMYFUNCTION("""COMPUTED_VALUE"""),2.0)</f>
        <v>2</v>
      </c>
      <c r="BF97" s="16">
        <f>IFERROR(__xludf.DUMMYFUNCTION("""COMPUTED_VALUE"""),4.0)</f>
        <v>4</v>
      </c>
      <c r="BG97" s="16">
        <f>IFERROR(__xludf.DUMMYFUNCTION("""COMPUTED_VALUE"""),1.0)</f>
        <v>1</v>
      </c>
      <c r="BH97" s="16">
        <f>IFERROR(__xludf.DUMMYFUNCTION("""COMPUTED_VALUE"""),-1.0)</f>
        <v>-1</v>
      </c>
      <c r="BI97" s="16">
        <f>IFERROR(__xludf.DUMMYFUNCTION("""COMPUTED_VALUE"""),2.0)</f>
        <v>2</v>
      </c>
      <c r="BJ97" s="16">
        <f>IFERROR(__xludf.DUMMYFUNCTION("""COMPUTED_VALUE"""),-2.0)</f>
        <v>-2</v>
      </c>
      <c r="BK97" s="16">
        <f>IFERROR(__xludf.DUMMYFUNCTION("""COMPUTED_VALUE"""),5.0)</f>
        <v>5</v>
      </c>
      <c r="BL97" s="16">
        <f>IFERROR(__xludf.DUMMYFUNCTION("""COMPUTED_VALUE"""),5.0)</f>
        <v>5</v>
      </c>
      <c r="BM97" s="16">
        <f>IFERROR(__xludf.DUMMYFUNCTION("""COMPUTED_VALUE"""),0.0)</f>
        <v>0</v>
      </c>
      <c r="BN97" s="16">
        <f>IFERROR(__xludf.DUMMYFUNCTION("""COMPUTED_VALUE"""),0.0)</f>
        <v>0</v>
      </c>
      <c r="BO97" s="16">
        <f>IFERROR(__xludf.DUMMYFUNCTION("""COMPUTED_VALUE"""),0.0)</f>
        <v>0</v>
      </c>
      <c r="BP97" s="16">
        <f>IFERROR(__xludf.DUMMYFUNCTION("""COMPUTED_VALUE"""),0.0)</f>
        <v>0</v>
      </c>
      <c r="BQ97" s="16">
        <f>IFERROR(__xludf.DUMMYFUNCTION("""COMPUTED_VALUE"""),12.0)</f>
        <v>12</v>
      </c>
      <c r="BR97" s="16">
        <f>IFERROR(__xludf.DUMMYFUNCTION("""COMPUTED_VALUE"""),12.0)</f>
        <v>12</v>
      </c>
      <c r="BS97" s="16">
        <f>IFERROR(__xludf.DUMMYFUNCTION("""COMPUTED_VALUE"""),3.0)</f>
        <v>3</v>
      </c>
      <c r="BT97" s="16">
        <f>IFERROR(__xludf.DUMMYFUNCTION("""COMPUTED_VALUE"""),3.0)</f>
        <v>3</v>
      </c>
      <c r="BU97" s="16">
        <f>IFERROR(__xludf.DUMMYFUNCTION("""COMPUTED_VALUE"""),6.0)</f>
        <v>6</v>
      </c>
      <c r="BV97" s="16">
        <f>IFERROR(__xludf.DUMMYFUNCTION("""COMPUTED_VALUE"""),6.0)</f>
        <v>6</v>
      </c>
      <c r="BW97" s="16">
        <f>IFERROR(__xludf.DUMMYFUNCTION("""COMPUTED_VALUE"""),0.0)</f>
        <v>0</v>
      </c>
      <c r="BX97" s="16">
        <f>IFERROR(__xludf.DUMMYFUNCTION("""COMPUTED_VALUE"""),0.0)</f>
        <v>0</v>
      </c>
      <c r="BY97" s="16" t="str">
        <f>IFERROR(__xludf.DUMMYFUNCTION("""COMPUTED_VALUE"""),"R(1) C(0)")</f>
        <v>R(1) C(0)</v>
      </c>
      <c r="BZ97" s="16" t="str">
        <f>IFERROR(__xludf.DUMMYFUNCTION("""COMPUTED_VALUE"""),"R(1) C(0)")</f>
        <v>R(1) C(0)</v>
      </c>
      <c r="CA97" s="16" t="str">
        <f>IFERROR(__xludf.DUMMYFUNCTION("""COMPUTED_VALUE"""),"R(1)")</f>
        <v>R(1)</v>
      </c>
      <c r="CB97" s="16" t="str">
        <f>IFERROR(__xludf.DUMMYFUNCTION("""COMPUTED_VALUE"""),"C(0)")</f>
        <v>C(0)</v>
      </c>
      <c r="CC97" s="16"/>
      <c r="CD97" s="16"/>
      <c r="CE97" s="16">
        <f>IFERROR(__xludf.DUMMYFUNCTION("""COMPUTED_VALUE"""),1.0)</f>
        <v>1</v>
      </c>
      <c r="CF97" s="16">
        <f>IFERROR(__xludf.DUMMYFUNCTION("""COMPUTED_VALUE"""),0.0)</f>
        <v>0</v>
      </c>
      <c r="CG97" s="16" t="str">
        <f>IFERROR(__xludf.DUMMYFUNCTION("""COMPUTED_VALUE"""),"4-0")</f>
        <v>4-0</v>
      </c>
      <c r="CH97" s="16">
        <f>IFERROR(__xludf.DUMMYFUNCTION("""COMPUTED_VALUE"""),4.0)</f>
        <v>4</v>
      </c>
      <c r="CI97" s="16">
        <f>IFERROR(__xludf.DUMMYFUNCTION("""COMPUTED_VALUE"""),0.0)</f>
        <v>0</v>
      </c>
      <c r="CJ97" s="16">
        <f>IFERROR(__xludf.DUMMYFUNCTION("""COMPUTED_VALUE"""),0.0)</f>
        <v>0</v>
      </c>
      <c r="CK97" s="16">
        <f>IFERROR(__xludf.DUMMYFUNCTION("""COMPUTED_VALUE"""),2.0)</f>
        <v>2</v>
      </c>
      <c r="CL97" s="16" t="str">
        <f>IFERROR(__xludf.DUMMYFUNCTION("""COMPUTED_VALUE"""),"1WR-C")</f>
        <v>1WR-C</v>
      </c>
      <c r="CM97" s="16" t="str">
        <f>IFERROR(__xludf.DUMMYFUNCTION("""COMPUTED_VALUE"""),"E")</f>
        <v>E</v>
      </c>
      <c r="CN97" s="16">
        <f>IFERROR(__xludf.DUMMYFUNCTION("""COMPUTED_VALUE"""),10.0)</f>
        <v>10</v>
      </c>
      <c r="CO97" s="16" t="str">
        <f>IFERROR(__xludf.DUMMYFUNCTION("""COMPUTED_VALUE"""),"C")</f>
        <v>C</v>
      </c>
      <c r="CP97" s="16" t="str">
        <f>IFERROR(__xludf.DUMMYFUNCTION("""COMPUTED_VALUE"""),"0p72")</f>
        <v>0p72</v>
      </c>
      <c r="CQ97" s="16">
        <f>IFERROR(__xludf.DUMMYFUNCTION("""COMPUTED_VALUE"""),11.0)</f>
        <v>11</v>
      </c>
      <c r="CR97" s="16">
        <f>IFERROR(__xludf.DUMMYFUNCTION("""COMPUTED_VALUE"""),13.0)</f>
        <v>13</v>
      </c>
      <c r="CS97" s="16">
        <f>IFERROR(__xludf.DUMMYFUNCTION("""COMPUTED_VALUE"""),24.0)</f>
        <v>24</v>
      </c>
      <c r="CT97" s="16">
        <f>IFERROR(__xludf.DUMMYFUNCTION("""COMPUTED_VALUE"""),11.0)</f>
        <v>11</v>
      </c>
      <c r="CU97" s="16">
        <f>IFERROR(__xludf.DUMMYFUNCTION("""COMPUTED_VALUE"""),13.0)</f>
        <v>13</v>
      </c>
      <c r="CV97" s="179">
        <f>IFERROR(__xludf.DUMMYFUNCTION("""COMPUTED_VALUE"""),20.666666666666664)</f>
        <v>20.66666667</v>
      </c>
      <c r="CW97" s="179">
        <f>IFERROR(__xludf.DUMMYFUNCTION("""COMPUTED_VALUE"""),5.0)</f>
        <v>5</v>
      </c>
      <c r="CX97" s="179">
        <f>IFERROR(__xludf.DUMMYFUNCTION("""COMPUTED_VALUE"""),4.0)</f>
        <v>4</v>
      </c>
      <c r="CY97" s="16" t="str">
        <f>IFERROR(__xludf.DUMMYFUNCTION("""COMPUTED_VALUE"""),"RP")</f>
        <v>RP</v>
      </c>
      <c r="CZ97" s="16" t="str">
        <f>IFERROR(__xludf.DUMMYFUNCTION("""COMPUTED_VALUE"""),"CP")</f>
        <v>CP</v>
      </c>
      <c r="DA97" s="16"/>
      <c r="DB97" s="16"/>
      <c r="DC97" s="16"/>
      <c r="DD97" s="16"/>
      <c r="DE97" s="16"/>
      <c r="DF97" s="16"/>
      <c r="DG97" s="16"/>
      <c r="DH97" s="16"/>
      <c r="DI97" s="16"/>
      <c r="DJ97" s="16"/>
      <c r="DK97" s="16"/>
    </row>
    <row r="98">
      <c r="A98" s="16">
        <f>IFERROR(__xludf.DUMMYFUNCTION("""COMPUTED_VALUE"""),12710.0)</f>
        <v>12710</v>
      </c>
      <c r="B98" s="16" t="str">
        <f>IFERROR(__xludf.DUMMYFUNCTION("""COMPUTED_VALUE"""),"Corbin Burnes")</f>
        <v>Corbin Burnes</v>
      </c>
      <c r="C98" s="153">
        <f>IFERROR(__xludf.DUMMYFUNCTION("""COMPUTED_VALUE"""),1.57)</f>
        <v>1.57</v>
      </c>
      <c r="D98" s="16"/>
      <c r="E98" s="16" t="str">
        <f>IFERROR(__xludf.DUMMYFUNCTION("""COMPUTED_VALUE"""),"R")</f>
        <v>R</v>
      </c>
      <c r="F98" s="16">
        <f>IFERROR(__xludf.DUMMYFUNCTION("""COMPUTED_VALUE"""),194.0)</f>
        <v>194</v>
      </c>
      <c r="G98" s="16">
        <f>IFERROR(__xludf.DUMMYFUNCTION("""COMPUTED_VALUE"""),23.0)</f>
        <v>23</v>
      </c>
      <c r="H98" s="16">
        <f>IFERROR(__xludf.DUMMYFUNCTION("""COMPUTED_VALUE"""),28.0)</f>
        <v>28</v>
      </c>
      <c r="I98" s="16">
        <f>IFERROR(__xludf.DUMMYFUNCTION("""COMPUTED_VALUE"""),-1.0)</f>
        <v>-1</v>
      </c>
      <c r="J98" s="16">
        <f>IFERROR(__xludf.DUMMYFUNCTION("""COMPUTED_VALUE"""),0.0)</f>
        <v>0</v>
      </c>
      <c r="K98" s="16">
        <f>IFERROR(__xludf.DUMMYFUNCTION("""COMPUTED_VALUE"""),-3.0)</f>
        <v>-3</v>
      </c>
      <c r="L98" s="16">
        <f>IFERROR(__xludf.DUMMYFUNCTION("""COMPUTED_VALUE"""),0.0)</f>
        <v>0</v>
      </c>
      <c r="M98" s="16">
        <f>IFERROR(__xludf.DUMMYFUNCTION("""COMPUTED_VALUE"""),4.0)</f>
        <v>4</v>
      </c>
      <c r="N98" s="16">
        <f>IFERROR(__xludf.DUMMYFUNCTION("""COMPUTED_VALUE"""),5.0)</f>
        <v>5</v>
      </c>
      <c r="O98" s="16">
        <f>IFERROR(__xludf.DUMMYFUNCTION("""COMPUTED_VALUE"""),2.0)</f>
        <v>2</v>
      </c>
      <c r="P98" s="16">
        <f>IFERROR(__xludf.DUMMYFUNCTION("""COMPUTED_VALUE"""),2.0)</f>
        <v>2</v>
      </c>
      <c r="Q98" s="16">
        <f>IFERROR(__xludf.DUMMYFUNCTION("""COMPUTED_VALUE"""),2.0)</f>
        <v>2</v>
      </c>
      <c r="R98" s="16">
        <f>IFERROR(__xludf.DUMMYFUNCTION("""COMPUTED_VALUE"""),2.0)</f>
        <v>2</v>
      </c>
      <c r="S98" s="16">
        <f>IFERROR(__xludf.DUMMYFUNCTION("""COMPUTED_VALUE"""),13.0)</f>
        <v>13</v>
      </c>
      <c r="T98" s="16">
        <f>IFERROR(__xludf.DUMMYFUNCTION("""COMPUTED_VALUE"""),15.5)</f>
        <v>15.5</v>
      </c>
      <c r="U98" s="16">
        <f>IFERROR(__xludf.DUMMYFUNCTION("""COMPUTED_VALUE"""),0.0)</f>
        <v>0</v>
      </c>
      <c r="V98" s="16">
        <f>IFERROR(__xludf.DUMMYFUNCTION("""COMPUTED_VALUE"""),0.0)</f>
        <v>0</v>
      </c>
      <c r="W98" s="16">
        <f>IFERROR(__xludf.DUMMYFUNCTION("""COMPUTED_VALUE"""),0.0)</f>
        <v>0</v>
      </c>
      <c r="X98" s="16">
        <f>IFERROR(__xludf.DUMMYFUNCTION("""COMPUTED_VALUE"""),0.0)</f>
        <v>0</v>
      </c>
      <c r="Y98" s="16">
        <f>IFERROR(__xludf.DUMMYFUNCTION("""COMPUTED_VALUE"""),17.0)</f>
        <v>17</v>
      </c>
      <c r="Z98" s="16">
        <f>IFERROR(__xludf.DUMMYFUNCTION("""COMPUTED_VALUE"""),20.5)</f>
        <v>20.5</v>
      </c>
      <c r="AA98" s="16">
        <f>IFERROR(__xludf.DUMMYFUNCTION("""COMPUTED_VALUE"""),1.0)</f>
        <v>1</v>
      </c>
      <c r="AB98" s="16">
        <f>IFERROR(__xludf.DUMMYFUNCTION("""COMPUTED_VALUE"""),1.0)</f>
        <v>1</v>
      </c>
      <c r="AC98" s="16">
        <f>IFERROR(__xludf.DUMMYFUNCTION("""COMPUTED_VALUE"""),5.0)</f>
        <v>5</v>
      </c>
      <c r="AD98" s="16">
        <f>IFERROR(__xludf.DUMMYFUNCTION("""COMPUTED_VALUE"""),5.0)</f>
        <v>5</v>
      </c>
      <c r="AE98" s="16">
        <f>IFERROR(__xludf.DUMMYFUNCTION("""COMPUTED_VALUE"""),14.8)</f>
        <v>14.8</v>
      </c>
      <c r="AF98" s="16">
        <f>IFERROR(__xludf.DUMMYFUNCTION("""COMPUTED_VALUE"""),26.7)</f>
        <v>26.7</v>
      </c>
      <c r="AG98" s="16">
        <f>IFERROR(__xludf.DUMMYFUNCTION("""COMPUTED_VALUE"""),1.0)</f>
        <v>1</v>
      </c>
      <c r="AH98" s="16">
        <f>IFERROR(__xludf.DUMMYFUNCTION("""COMPUTED_VALUE"""),0.0)</f>
        <v>0</v>
      </c>
      <c r="AI98" s="16">
        <f>IFERROR(__xludf.DUMMYFUNCTION("""COMPUTED_VALUE"""),2.0)</f>
        <v>2</v>
      </c>
      <c r="AJ98" s="16">
        <f>IFERROR(__xludf.DUMMYFUNCTION("""COMPUTED_VALUE"""),0.0)</f>
        <v>0</v>
      </c>
      <c r="AK98" s="16">
        <f>IFERROR(__xludf.DUMMYFUNCTION("""COMPUTED_VALUE"""),12.4)</f>
        <v>12.4</v>
      </c>
      <c r="AL98" s="16">
        <f>IFERROR(__xludf.DUMMYFUNCTION("""COMPUTED_VALUE"""),12.7)</f>
        <v>12.7</v>
      </c>
      <c r="AM98" s="16">
        <f>IFERROR(__xludf.DUMMYFUNCTION("""COMPUTED_VALUE"""),0.0)</f>
        <v>0</v>
      </c>
      <c r="AN98" s="16">
        <f>IFERROR(__xludf.DUMMYFUNCTION("""COMPUTED_VALUE"""),0.0)</f>
        <v>0</v>
      </c>
      <c r="AO98" s="16">
        <f>IFERROR(__xludf.DUMMYFUNCTION("""COMPUTED_VALUE"""),0.0)</f>
        <v>0</v>
      </c>
      <c r="AP98" s="16">
        <f>IFERROR(__xludf.DUMMYFUNCTION("""COMPUTED_VALUE"""),0.0)</f>
        <v>0</v>
      </c>
      <c r="AQ98" s="16">
        <f>IFERROR(__xludf.DUMMYFUNCTION("""COMPUTED_VALUE"""),12.4)</f>
        <v>12.4</v>
      </c>
      <c r="AR98" s="16">
        <f>IFERROR(__xludf.DUMMYFUNCTION("""COMPUTED_VALUE"""),15.5)</f>
        <v>15.5</v>
      </c>
      <c r="AS98" s="16">
        <f>IFERROR(__xludf.DUMMYFUNCTION("""COMPUTED_VALUE"""),1.0)</f>
        <v>1</v>
      </c>
      <c r="AT98" s="16">
        <f>IFERROR(__xludf.DUMMYFUNCTION("""COMPUTED_VALUE"""),1.0)</f>
        <v>1</v>
      </c>
      <c r="AU98" s="16">
        <f>IFERROR(__xludf.DUMMYFUNCTION("""COMPUTED_VALUE"""),2.0)</f>
        <v>2</v>
      </c>
      <c r="AV98" s="16">
        <f>IFERROR(__xludf.DUMMYFUNCTION("""COMPUTED_VALUE"""),2.0)</f>
        <v>2</v>
      </c>
      <c r="AW98" s="16">
        <f>IFERROR(__xludf.DUMMYFUNCTION("""COMPUTED_VALUE"""),0.6)</f>
        <v>0.6</v>
      </c>
      <c r="AX98" s="16">
        <f>IFERROR(__xludf.DUMMYFUNCTION("""COMPUTED_VALUE"""),2.8)</f>
        <v>2.8</v>
      </c>
      <c r="AY98" s="16">
        <f>IFERROR(__xludf.DUMMYFUNCTION("""COMPUTED_VALUE"""),2.0)</f>
        <v>2</v>
      </c>
      <c r="AZ98" s="16">
        <f>IFERROR(__xludf.DUMMYFUNCTION("""COMPUTED_VALUE"""),-1.0)</f>
        <v>-1</v>
      </c>
      <c r="BA98" s="16">
        <f>IFERROR(__xludf.DUMMYFUNCTION("""COMPUTED_VALUE"""),10.0)</f>
        <v>10</v>
      </c>
      <c r="BB98" s="16">
        <f>IFERROR(__xludf.DUMMYFUNCTION("""COMPUTED_VALUE"""),-5.0)</f>
        <v>-5</v>
      </c>
      <c r="BC98" s="16">
        <f>IFERROR(__xludf.DUMMYFUNCTION("""COMPUTED_VALUE"""),1.0)</f>
        <v>1</v>
      </c>
      <c r="BD98" s="16">
        <f>IFERROR(__xludf.DUMMYFUNCTION("""COMPUTED_VALUE"""),5.0)</f>
        <v>5</v>
      </c>
      <c r="BE98" s="16">
        <f>IFERROR(__xludf.DUMMYFUNCTION("""COMPUTED_VALUE"""),1.0)</f>
        <v>1</v>
      </c>
      <c r="BF98" s="16">
        <f>IFERROR(__xludf.DUMMYFUNCTION("""COMPUTED_VALUE"""),5.0)</f>
        <v>5</v>
      </c>
      <c r="BG98" s="16">
        <f>IFERROR(__xludf.DUMMYFUNCTION("""COMPUTED_VALUE"""),2.0)</f>
        <v>2</v>
      </c>
      <c r="BH98" s="16">
        <f>IFERROR(__xludf.DUMMYFUNCTION("""COMPUTED_VALUE"""),-2.0)</f>
        <v>-2</v>
      </c>
      <c r="BI98" s="16">
        <f>IFERROR(__xludf.DUMMYFUNCTION("""COMPUTED_VALUE"""),4.0)</f>
        <v>4</v>
      </c>
      <c r="BJ98" s="16">
        <f>IFERROR(__xludf.DUMMYFUNCTION("""COMPUTED_VALUE"""),-4.0)</f>
        <v>-4</v>
      </c>
      <c r="BK98" s="16">
        <f>IFERROR(__xludf.DUMMYFUNCTION("""COMPUTED_VALUE"""),5.0)</f>
        <v>5</v>
      </c>
      <c r="BL98" s="16">
        <f>IFERROR(__xludf.DUMMYFUNCTION("""COMPUTED_VALUE"""),5.0)</f>
        <v>5</v>
      </c>
      <c r="BM98" s="16">
        <f>IFERROR(__xludf.DUMMYFUNCTION("""COMPUTED_VALUE"""),0.0)</f>
        <v>0</v>
      </c>
      <c r="BN98" s="16">
        <f>IFERROR(__xludf.DUMMYFUNCTION("""COMPUTED_VALUE"""),0.0)</f>
        <v>0</v>
      </c>
      <c r="BO98" s="16">
        <f>IFERROR(__xludf.DUMMYFUNCTION("""COMPUTED_VALUE"""),0.0)</f>
        <v>0</v>
      </c>
      <c r="BP98" s="16">
        <f>IFERROR(__xludf.DUMMYFUNCTION("""COMPUTED_VALUE"""),0.0)</f>
        <v>0</v>
      </c>
      <c r="BQ98" s="16">
        <f>IFERROR(__xludf.DUMMYFUNCTION("""COMPUTED_VALUE"""),8.0)</f>
        <v>8</v>
      </c>
      <c r="BR98" s="16">
        <f>IFERROR(__xludf.DUMMYFUNCTION("""COMPUTED_VALUE"""),7.0)</f>
        <v>7</v>
      </c>
      <c r="BS98" s="16">
        <f>IFERROR(__xludf.DUMMYFUNCTION("""COMPUTED_VALUE"""),2.0)</f>
        <v>2</v>
      </c>
      <c r="BT98" s="16">
        <f>IFERROR(__xludf.DUMMYFUNCTION("""COMPUTED_VALUE"""),2.0)</f>
        <v>2</v>
      </c>
      <c r="BU98" s="16">
        <f>IFERROR(__xludf.DUMMYFUNCTION("""COMPUTED_VALUE"""),4.0)</f>
        <v>4</v>
      </c>
      <c r="BV98" s="16">
        <f>IFERROR(__xludf.DUMMYFUNCTION("""COMPUTED_VALUE"""),4.0)</f>
        <v>4</v>
      </c>
      <c r="BW98" s="16">
        <f>IFERROR(__xludf.DUMMYFUNCTION("""COMPUTED_VALUE"""),9.0)</f>
        <v>9</v>
      </c>
      <c r="BX98" s="16">
        <f>IFERROR(__xludf.DUMMYFUNCTION("""COMPUTED_VALUE"""),9.0)</f>
        <v>9</v>
      </c>
      <c r="BY98" s="16" t="str">
        <f>IFERROR(__xludf.DUMMYFUNCTION("""COMPUTED_VALUE"""),"S(6*)")</f>
        <v>S(6*)</v>
      </c>
      <c r="BZ98" s="16" t="str">
        <f>IFERROR(__xludf.DUMMYFUNCTION("""COMPUTED_VALUE"""),"S(6)")</f>
        <v>S(6)</v>
      </c>
      <c r="CA98" s="16" t="str">
        <f>IFERROR(__xludf.DUMMYFUNCTION("""COMPUTED_VALUE"""),"S(6)")</f>
        <v>S(6)</v>
      </c>
      <c r="CB98" s="16"/>
      <c r="CC98" s="16"/>
      <c r="CD98" s="16">
        <f>IFERROR(__xludf.DUMMYFUNCTION("""COMPUTED_VALUE"""),6.0)</f>
        <v>6</v>
      </c>
      <c r="CE98" s="16"/>
      <c r="CF98" s="16"/>
      <c r="CG98" s="16" t="str">
        <f>IFERROR(__xludf.DUMMYFUNCTION("""COMPUTED_VALUE"""),"5-30")</f>
        <v>5-30</v>
      </c>
      <c r="CH98" s="16">
        <f>IFERROR(__xludf.DUMMYFUNCTION("""COMPUTED_VALUE"""),5.0)</f>
        <v>5</v>
      </c>
      <c r="CI98" s="16">
        <f>IFERROR(__xludf.DUMMYFUNCTION("""COMPUTED_VALUE"""),30.0)</f>
        <v>30</v>
      </c>
      <c r="CJ98" s="16">
        <f>IFERROR(__xludf.DUMMYFUNCTION("""COMPUTED_VALUE"""),5.0)</f>
        <v>5</v>
      </c>
      <c r="CK98" s="16">
        <f>IFERROR(__xludf.DUMMYFUNCTION("""COMPUTED_VALUE"""),8.0)</f>
        <v>8</v>
      </c>
      <c r="CL98" s="16" t="str">
        <f>IFERROR(__xludf.DUMMYFUNCTION("""COMPUTED_VALUE"""),"1WR-C")</f>
        <v>1WR-C</v>
      </c>
      <c r="CM98" s="16" t="str">
        <f>IFERROR(__xludf.DUMMYFUNCTION("""COMPUTED_VALUE"""),"E")</f>
        <v>E</v>
      </c>
      <c r="CN98" s="16">
        <f>IFERROR(__xludf.DUMMYFUNCTION("""COMPUTED_VALUE"""),10.0)</f>
        <v>10</v>
      </c>
      <c r="CO98" s="16" t="str">
        <f>IFERROR(__xludf.DUMMYFUNCTION("""COMPUTED_VALUE"""),"C")</f>
        <v>C</v>
      </c>
      <c r="CP98" s="16" t="str">
        <f>IFERROR(__xludf.DUMMYFUNCTION("""COMPUTED_VALUE"""),"0p72")</f>
        <v>0p72</v>
      </c>
      <c r="CQ98" s="16">
        <f>IFERROR(__xludf.DUMMYFUNCTION("""COMPUTED_VALUE"""),26.0)</f>
        <v>26</v>
      </c>
      <c r="CR98" s="16">
        <f>IFERROR(__xludf.DUMMYFUNCTION("""COMPUTED_VALUE"""),4.0)</f>
        <v>4</v>
      </c>
      <c r="CS98" s="16">
        <f>IFERROR(__xludf.DUMMYFUNCTION("""COMPUTED_VALUE"""),30.0)</f>
        <v>30</v>
      </c>
      <c r="CT98" s="16">
        <f>IFERROR(__xludf.DUMMYFUNCTION("""COMPUTED_VALUE"""),26.0)</f>
        <v>26</v>
      </c>
      <c r="CU98" s="16">
        <f>IFERROR(__xludf.DUMMYFUNCTION("""COMPUTED_VALUE"""),4.0)</f>
        <v>4</v>
      </c>
      <c r="CV98" s="179">
        <f>IFERROR(__xludf.DUMMYFUNCTION("""COMPUTED_VALUE"""),20.333333333333336)</f>
        <v>20.33333333</v>
      </c>
      <c r="CW98" s="179">
        <f>IFERROR(__xludf.DUMMYFUNCTION("""COMPUTED_VALUE"""),5.0)</f>
        <v>5</v>
      </c>
      <c r="CX98" s="179">
        <f>IFERROR(__xludf.DUMMYFUNCTION("""COMPUTED_VALUE"""),4.0)</f>
        <v>4</v>
      </c>
      <c r="CY98" s="16" t="str">
        <f>IFERROR(__xludf.DUMMYFUNCTION("""COMPUTED_VALUE"""),"SP")</f>
        <v>SP</v>
      </c>
      <c r="CZ98" s="16"/>
      <c r="DA98" s="16"/>
      <c r="DB98" s="16"/>
      <c r="DC98" s="16"/>
      <c r="DD98" s="16"/>
      <c r="DE98" s="16"/>
      <c r="DF98" s="16"/>
      <c r="DG98" s="16"/>
      <c r="DH98" s="16"/>
      <c r="DI98" s="16"/>
      <c r="DJ98" s="16"/>
      <c r="DK98" s="16"/>
    </row>
    <row r="99">
      <c r="A99" s="16">
        <f>IFERROR(__xludf.DUMMYFUNCTION("""COMPUTED_VALUE"""),13108.0)</f>
        <v>13108</v>
      </c>
      <c r="B99" s="16" t="str">
        <f>IFERROR(__xludf.DUMMYFUNCTION("""COMPUTED_VALUE"""),"Landen Roupp")</f>
        <v>Landen Roupp</v>
      </c>
      <c r="C99" s="153">
        <f>IFERROR(__xludf.DUMMYFUNCTION("""COMPUTED_VALUE"""),0.89)</f>
        <v>0.89</v>
      </c>
      <c r="D99" s="16"/>
      <c r="E99" s="16" t="str">
        <f>IFERROR(__xludf.DUMMYFUNCTION("""COMPUTED_VALUE"""),"R")</f>
        <v>R</v>
      </c>
      <c r="F99" s="16">
        <f>IFERROR(__xludf.DUMMYFUNCTION("""COMPUTED_VALUE"""),50.0)</f>
        <v>50</v>
      </c>
      <c r="G99" s="16">
        <f>IFERROR(__xludf.DUMMYFUNCTION("""COMPUTED_VALUE"""),9.0)</f>
        <v>9</v>
      </c>
      <c r="H99" s="16">
        <f>IFERROR(__xludf.DUMMYFUNCTION("""COMPUTED_VALUE"""),34.0)</f>
        <v>34</v>
      </c>
      <c r="I99" s="16">
        <f>IFERROR(__xludf.DUMMYFUNCTION("""COMPUTED_VALUE"""),-2.0)</f>
        <v>-2</v>
      </c>
      <c r="J99" s="16">
        <f>IFERROR(__xludf.DUMMYFUNCTION("""COMPUTED_VALUE"""),1.0)</f>
        <v>1</v>
      </c>
      <c r="K99" s="16">
        <f>IFERROR(__xludf.DUMMYFUNCTION("""COMPUTED_VALUE"""),-6.0)</f>
        <v>-6</v>
      </c>
      <c r="L99" s="16">
        <f>IFERROR(__xludf.DUMMYFUNCTION("""COMPUTED_VALUE"""),3.0)</f>
        <v>3</v>
      </c>
      <c r="M99" s="16">
        <f>IFERROR(__xludf.DUMMYFUNCTION("""COMPUTED_VALUE"""),30.0)</f>
        <v>30</v>
      </c>
      <c r="N99" s="16">
        <f>IFERROR(__xludf.DUMMYFUNCTION("""COMPUTED_VALUE"""),6.0)</f>
        <v>6</v>
      </c>
      <c r="O99" s="16">
        <f>IFERROR(__xludf.DUMMYFUNCTION("""COMPUTED_VALUE"""),-3.0)</f>
        <v>-3</v>
      </c>
      <c r="P99" s="16">
        <f>IFERROR(__xludf.DUMMYFUNCTION("""COMPUTED_VALUE"""),1.0)</f>
        <v>1</v>
      </c>
      <c r="Q99" s="16">
        <f>IFERROR(__xludf.DUMMYFUNCTION("""COMPUTED_VALUE"""),-3.0)</f>
        <v>-3</v>
      </c>
      <c r="R99" s="16">
        <f>IFERROR(__xludf.DUMMYFUNCTION("""COMPUTED_VALUE"""),1.0)</f>
        <v>1</v>
      </c>
      <c r="S99" s="16">
        <f>IFERROR(__xludf.DUMMYFUNCTION("""COMPUTED_VALUE"""),3.8)</f>
        <v>3.8</v>
      </c>
      <c r="T99" s="16">
        <f>IFERROR(__xludf.DUMMYFUNCTION("""COMPUTED_VALUE"""),19.5)</f>
        <v>19.5</v>
      </c>
      <c r="U99" s="16">
        <f>IFERROR(__xludf.DUMMYFUNCTION("""COMPUTED_VALUE"""),2.0)</f>
        <v>2</v>
      </c>
      <c r="V99" s="16">
        <f>IFERROR(__xludf.DUMMYFUNCTION("""COMPUTED_VALUE"""),-1.0)</f>
        <v>-1</v>
      </c>
      <c r="W99" s="16">
        <f>IFERROR(__xludf.DUMMYFUNCTION("""COMPUTED_VALUE"""),4.0)</f>
        <v>4</v>
      </c>
      <c r="X99" s="16">
        <f>IFERROR(__xludf.DUMMYFUNCTION("""COMPUTED_VALUE"""),-2.0)</f>
        <v>-2</v>
      </c>
      <c r="Y99" s="16">
        <f>IFERROR(__xludf.DUMMYFUNCTION("""COMPUTED_VALUE"""),33.8)</f>
        <v>33.8</v>
      </c>
      <c r="Z99" s="16">
        <f>IFERROR(__xludf.DUMMYFUNCTION("""COMPUTED_VALUE"""),25.5)</f>
        <v>25.5</v>
      </c>
      <c r="AA99" s="16">
        <f>IFERROR(__xludf.DUMMYFUNCTION("""COMPUTED_VALUE"""),-1.0)</f>
        <v>-1</v>
      </c>
      <c r="AB99" s="16">
        <f>IFERROR(__xludf.DUMMYFUNCTION("""COMPUTED_VALUE"""),0.0)</f>
        <v>0</v>
      </c>
      <c r="AC99" s="16">
        <f>IFERROR(__xludf.DUMMYFUNCTION("""COMPUTED_VALUE"""),-5.0)</f>
        <v>-5</v>
      </c>
      <c r="AD99" s="16">
        <f>IFERROR(__xludf.DUMMYFUNCTION("""COMPUTED_VALUE"""),0.0)</f>
        <v>0</v>
      </c>
      <c r="AE99" s="16">
        <f>IFERROR(__xludf.DUMMYFUNCTION("""COMPUTED_VALUE"""),7.4)</f>
        <v>7.4</v>
      </c>
      <c r="AF99" s="16">
        <f>IFERROR(__xludf.DUMMYFUNCTION("""COMPUTED_VALUE"""),32.0)</f>
        <v>32</v>
      </c>
      <c r="AG99" s="16">
        <f>IFERROR(__xludf.DUMMYFUNCTION("""COMPUTED_VALUE"""),2.0)</f>
        <v>2</v>
      </c>
      <c r="AH99" s="16">
        <f>IFERROR(__xludf.DUMMYFUNCTION("""COMPUTED_VALUE"""),0.0)</f>
        <v>0</v>
      </c>
      <c r="AI99" s="16">
        <f>IFERROR(__xludf.DUMMYFUNCTION("""COMPUTED_VALUE"""),4.0)</f>
        <v>4</v>
      </c>
      <c r="AJ99" s="16">
        <f>IFERROR(__xludf.DUMMYFUNCTION("""COMPUTED_VALUE"""),0.0)</f>
        <v>0</v>
      </c>
      <c r="AK99" s="16">
        <f>IFERROR(__xludf.DUMMYFUNCTION("""COMPUTED_VALUE"""),3.8)</f>
        <v>3.8</v>
      </c>
      <c r="AL99" s="16">
        <f>IFERROR(__xludf.DUMMYFUNCTION("""COMPUTED_VALUE"""),19.5)</f>
        <v>19.5</v>
      </c>
      <c r="AM99" s="16">
        <f>IFERROR(__xludf.DUMMYFUNCTION("""COMPUTED_VALUE"""),2.0)</f>
        <v>2</v>
      </c>
      <c r="AN99" s="16">
        <f>IFERROR(__xludf.DUMMYFUNCTION("""COMPUTED_VALUE"""),-1.0)</f>
        <v>-1</v>
      </c>
      <c r="AO99" s="16">
        <f>IFERROR(__xludf.DUMMYFUNCTION("""COMPUTED_VALUE"""),2.0)</f>
        <v>2</v>
      </c>
      <c r="AP99" s="16">
        <f>IFERROR(__xludf.DUMMYFUNCTION("""COMPUTED_VALUE"""),-1.0)</f>
        <v>-1</v>
      </c>
      <c r="AQ99" s="16">
        <f>IFERROR(__xludf.DUMMYFUNCTION("""COMPUTED_VALUE"""),7.4)</f>
        <v>7.4</v>
      </c>
      <c r="AR99" s="16">
        <f>IFERROR(__xludf.DUMMYFUNCTION("""COMPUTED_VALUE"""),32.0)</f>
        <v>32</v>
      </c>
      <c r="AS99" s="16">
        <f>IFERROR(__xludf.DUMMYFUNCTION("""COMPUTED_VALUE"""),1.0)</f>
        <v>1</v>
      </c>
      <c r="AT99" s="16">
        <f>IFERROR(__xludf.DUMMYFUNCTION("""COMPUTED_VALUE"""),-2.0)</f>
        <v>-2</v>
      </c>
      <c r="AU99" s="16">
        <f>IFERROR(__xludf.DUMMYFUNCTION("""COMPUTED_VALUE"""),2.0)</f>
        <v>2</v>
      </c>
      <c r="AV99" s="16">
        <f>IFERROR(__xludf.DUMMYFUNCTION("""COMPUTED_VALUE"""),-4.0)</f>
        <v>-4</v>
      </c>
      <c r="AW99" s="16">
        <f>IFERROR(__xludf.DUMMYFUNCTION("""COMPUTED_VALUE"""),0.0)</f>
        <v>0</v>
      </c>
      <c r="AX99" s="16">
        <f>IFERROR(__xludf.DUMMYFUNCTION("""COMPUTED_VALUE"""),0.0)</f>
        <v>0</v>
      </c>
      <c r="AY99" s="16">
        <f>IFERROR(__xludf.DUMMYFUNCTION("""COMPUTED_VALUE"""),2.0)</f>
        <v>2</v>
      </c>
      <c r="AZ99" s="16">
        <f>IFERROR(__xludf.DUMMYFUNCTION("""COMPUTED_VALUE"""),2.0)</f>
        <v>2</v>
      </c>
      <c r="BA99" s="16">
        <f>IFERROR(__xludf.DUMMYFUNCTION("""COMPUTED_VALUE"""),10.0)</f>
        <v>10</v>
      </c>
      <c r="BB99" s="16">
        <f>IFERROR(__xludf.DUMMYFUNCTION("""COMPUTED_VALUE"""),10.0)</f>
        <v>10</v>
      </c>
      <c r="BC99" s="16"/>
      <c r="BD99" s="16">
        <f>IFERROR(__xludf.DUMMYFUNCTION("""COMPUTED_VALUE"""),0.0)</f>
        <v>0</v>
      </c>
      <c r="BE99" s="16">
        <f>IFERROR(__xludf.DUMMYFUNCTION("""COMPUTED_VALUE"""),0.0)</f>
        <v>0</v>
      </c>
      <c r="BF99" s="16">
        <f>IFERROR(__xludf.DUMMYFUNCTION("""COMPUTED_VALUE"""),0.0)</f>
        <v>0</v>
      </c>
      <c r="BG99" s="16">
        <f>IFERROR(__xludf.DUMMYFUNCTION("""COMPUTED_VALUE"""),3.0)</f>
        <v>3</v>
      </c>
      <c r="BH99" s="16">
        <f>IFERROR(__xludf.DUMMYFUNCTION("""COMPUTED_VALUE"""),2.0)</f>
        <v>2</v>
      </c>
      <c r="BI99" s="16">
        <f>IFERROR(__xludf.DUMMYFUNCTION("""COMPUTED_VALUE"""),6.0)</f>
        <v>6</v>
      </c>
      <c r="BJ99" s="16">
        <f>IFERROR(__xludf.DUMMYFUNCTION("""COMPUTED_VALUE"""),4.0)</f>
        <v>4</v>
      </c>
      <c r="BK99" s="16">
        <f>IFERROR(__xludf.DUMMYFUNCTION("""COMPUTED_VALUE"""),0.0)</f>
        <v>0</v>
      </c>
      <c r="BL99" s="16">
        <f>IFERROR(__xludf.DUMMYFUNCTION("""COMPUTED_VALUE"""),5.0)</f>
        <v>5</v>
      </c>
      <c r="BM99" s="16">
        <f>IFERROR(__xludf.DUMMYFUNCTION("""COMPUTED_VALUE"""),1.0)</f>
        <v>1</v>
      </c>
      <c r="BN99" s="16">
        <f>IFERROR(__xludf.DUMMYFUNCTION("""COMPUTED_VALUE"""),0.0)</f>
        <v>0</v>
      </c>
      <c r="BO99" s="16">
        <f>IFERROR(__xludf.DUMMYFUNCTION("""COMPUTED_VALUE"""),1.0)</f>
        <v>1</v>
      </c>
      <c r="BP99" s="16">
        <f>IFERROR(__xludf.DUMMYFUNCTION("""COMPUTED_VALUE"""),0.0)</f>
        <v>0</v>
      </c>
      <c r="BQ99" s="16">
        <f>IFERROR(__xludf.DUMMYFUNCTION("""COMPUTED_VALUE"""),6.0)</f>
        <v>6</v>
      </c>
      <c r="BR99" s="16">
        <f>IFERROR(__xludf.DUMMYFUNCTION("""COMPUTED_VALUE"""),6.0)</f>
        <v>6</v>
      </c>
      <c r="BS99" s="16">
        <f>IFERROR(__xludf.DUMMYFUNCTION("""COMPUTED_VALUE"""),1.0)</f>
        <v>1</v>
      </c>
      <c r="BT99" s="16">
        <f>IFERROR(__xludf.DUMMYFUNCTION("""COMPUTED_VALUE"""),1.0)</f>
        <v>1</v>
      </c>
      <c r="BU99" s="16">
        <f>IFERROR(__xludf.DUMMYFUNCTION("""COMPUTED_VALUE"""),2.0)</f>
        <v>2</v>
      </c>
      <c r="BV99" s="16">
        <f>IFERROR(__xludf.DUMMYFUNCTION("""COMPUTED_VALUE"""),2.0)</f>
        <v>2</v>
      </c>
      <c r="BW99" s="16">
        <f>IFERROR(__xludf.DUMMYFUNCTION("""COMPUTED_VALUE"""),0.0)</f>
        <v>0</v>
      </c>
      <c r="BX99" s="16">
        <f>IFERROR(__xludf.DUMMYFUNCTION("""COMPUTED_VALUE"""),0.0)</f>
        <v>0</v>
      </c>
      <c r="BY99" s="16" t="str">
        <f>IFERROR(__xludf.DUMMYFUNCTION("""COMPUTED_VALUE"""),"S(5) R(3)")</f>
        <v>S(5) R(3)</v>
      </c>
      <c r="BZ99" s="16" t="str">
        <f>IFERROR(__xludf.DUMMYFUNCTION("""COMPUTED_VALUE"""),"S(5) R(3)")</f>
        <v>S(5) R(3)</v>
      </c>
      <c r="CA99" s="16" t="str">
        <f>IFERROR(__xludf.DUMMYFUNCTION("""COMPUTED_VALUE"""),"S(5)")</f>
        <v>S(5)</v>
      </c>
      <c r="CB99" s="16" t="str">
        <f>IFERROR(__xludf.DUMMYFUNCTION("""COMPUTED_VALUE"""),"R(3)")</f>
        <v>R(3)</v>
      </c>
      <c r="CC99" s="16"/>
      <c r="CD99" s="16">
        <f>IFERROR(__xludf.DUMMYFUNCTION("""COMPUTED_VALUE"""),5.0)</f>
        <v>5</v>
      </c>
      <c r="CE99" s="16">
        <f>IFERROR(__xludf.DUMMYFUNCTION("""COMPUTED_VALUE"""),3.0)</f>
        <v>3</v>
      </c>
      <c r="CF99" s="16"/>
      <c r="CG99" s="16" t="str">
        <f>IFERROR(__xludf.DUMMYFUNCTION("""COMPUTED_VALUE"""),"2-0")</f>
        <v>2-0</v>
      </c>
      <c r="CH99" s="16">
        <f>IFERROR(__xludf.DUMMYFUNCTION("""COMPUTED_VALUE"""),2.0)</f>
        <v>2</v>
      </c>
      <c r="CI99" s="16">
        <f>IFERROR(__xludf.DUMMYFUNCTION("""COMPUTED_VALUE"""),0.0)</f>
        <v>0</v>
      </c>
      <c r="CJ99" s="16">
        <f>IFERROR(__xludf.DUMMYFUNCTION("""COMPUTED_VALUE"""),14.0)</f>
        <v>14</v>
      </c>
      <c r="CK99" s="16">
        <f>IFERROR(__xludf.DUMMYFUNCTION("""COMPUTED_VALUE"""),13.0)</f>
        <v>13</v>
      </c>
      <c r="CL99" s="16" t="str">
        <f>IFERROR(__xludf.DUMMYFUNCTION("""COMPUTED_VALUE"""),"1WR-C")</f>
        <v>1WR-C</v>
      </c>
      <c r="CM99" s="16" t="str">
        <f>IFERROR(__xludf.DUMMYFUNCTION("""COMPUTED_VALUE"""),"E")</f>
        <v>E</v>
      </c>
      <c r="CN99" s="16">
        <f>IFERROR(__xludf.DUMMYFUNCTION("""COMPUTED_VALUE"""),10.0)</f>
        <v>10</v>
      </c>
      <c r="CO99" s="16" t="str">
        <f>IFERROR(__xludf.DUMMYFUNCTION("""COMPUTED_VALUE"""),"C")</f>
        <v>C</v>
      </c>
      <c r="CP99" s="16" t="str">
        <f>IFERROR(__xludf.DUMMYFUNCTION("""COMPUTED_VALUE"""),"1p30")</f>
        <v>1p30</v>
      </c>
      <c r="CQ99" s="16">
        <f>IFERROR(__xludf.DUMMYFUNCTION("""COMPUTED_VALUE"""),17.0)</f>
        <v>17</v>
      </c>
      <c r="CR99" s="16">
        <f>IFERROR(__xludf.DUMMYFUNCTION("""COMPUTED_VALUE"""),13.0)</f>
        <v>13</v>
      </c>
      <c r="CS99" s="16">
        <f>IFERROR(__xludf.DUMMYFUNCTION("""COMPUTED_VALUE"""),30.0)</f>
        <v>30</v>
      </c>
      <c r="CT99" s="16">
        <f>IFERROR(__xludf.DUMMYFUNCTION("""COMPUTED_VALUE"""),17.0)</f>
        <v>17</v>
      </c>
      <c r="CU99" s="16">
        <f>IFERROR(__xludf.DUMMYFUNCTION("""COMPUTED_VALUE"""),13.0)</f>
        <v>13</v>
      </c>
      <c r="CV99" s="179">
        <f>IFERROR(__xludf.DUMMYFUNCTION("""COMPUTED_VALUE"""),20.333333333333336)</f>
        <v>20.33333333</v>
      </c>
      <c r="CW99" s="179">
        <f>IFERROR(__xludf.DUMMYFUNCTION("""COMPUTED_VALUE"""),4.0)</f>
        <v>4</v>
      </c>
      <c r="CX99" s="179">
        <f>IFERROR(__xludf.DUMMYFUNCTION("""COMPUTED_VALUE"""),2.0)</f>
        <v>2</v>
      </c>
      <c r="CY99" s="16" t="str">
        <f>IFERROR(__xludf.DUMMYFUNCTION("""COMPUTED_VALUE"""),"SP")</f>
        <v>SP</v>
      </c>
      <c r="CZ99" s="16" t="str">
        <f>IFERROR(__xludf.DUMMYFUNCTION("""COMPUTED_VALUE"""),"RP")</f>
        <v>RP</v>
      </c>
      <c r="DA99" s="16"/>
      <c r="DB99" s="16"/>
      <c r="DC99" s="16"/>
      <c r="DD99" s="16"/>
      <c r="DE99" s="16"/>
      <c r="DF99" s="16"/>
      <c r="DG99" s="16"/>
      <c r="DH99" s="16"/>
      <c r="DI99" s="16"/>
      <c r="DJ99" s="16"/>
      <c r="DK99" s="16"/>
    </row>
    <row r="100">
      <c r="A100" s="16">
        <f>IFERROR(__xludf.DUMMYFUNCTION("""COMPUTED_VALUE"""),13423.0)</f>
        <v>13423</v>
      </c>
      <c r="B100" s="16" t="str">
        <f>IFERROR(__xludf.DUMMYFUNCTION("""COMPUTED_VALUE"""),"Tommy Nance")</f>
        <v>Tommy Nance</v>
      </c>
      <c r="C100" s="153">
        <f>IFERROR(__xludf.DUMMYFUNCTION("""COMPUTED_VALUE"""),0.0)</f>
        <v>0</v>
      </c>
      <c r="D100" s="16"/>
      <c r="E100" s="16" t="str">
        <f>IFERROR(__xludf.DUMMYFUNCTION("""COMPUTED_VALUE"""),"R")</f>
        <v>R</v>
      </c>
      <c r="F100" s="16">
        <f>IFERROR(__xludf.DUMMYFUNCTION("""COMPUTED_VALUE"""),22.0)</f>
        <v>22</v>
      </c>
      <c r="G100" s="16">
        <f>IFERROR(__xludf.DUMMYFUNCTION("""COMPUTED_VALUE"""),23.0)</f>
        <v>23</v>
      </c>
      <c r="H100" s="16">
        <f>IFERROR(__xludf.DUMMYFUNCTION("""COMPUTED_VALUE"""),20.0)</f>
        <v>20</v>
      </c>
      <c r="I100" s="16">
        <f>IFERROR(__xludf.DUMMYFUNCTION("""COMPUTED_VALUE"""),-1.0)</f>
        <v>-1</v>
      </c>
      <c r="J100" s="16">
        <f>IFERROR(__xludf.DUMMYFUNCTION("""COMPUTED_VALUE"""),-1.0)</f>
        <v>-1</v>
      </c>
      <c r="K100" s="16">
        <f>IFERROR(__xludf.DUMMYFUNCTION("""COMPUTED_VALUE"""),-3.0)</f>
        <v>-3</v>
      </c>
      <c r="L100" s="16">
        <f>IFERROR(__xludf.DUMMYFUNCTION("""COMPUTED_VALUE"""),-3.0)</f>
        <v>-3</v>
      </c>
      <c r="M100" s="16">
        <f>IFERROR(__xludf.DUMMYFUNCTION("""COMPUTED_VALUE"""),24.0)</f>
        <v>24</v>
      </c>
      <c r="N100" s="16">
        <f>IFERROR(__xludf.DUMMYFUNCTION("""COMPUTED_VALUE"""),0.0)</f>
        <v>0</v>
      </c>
      <c r="O100" s="16">
        <f>IFERROR(__xludf.DUMMYFUNCTION("""COMPUTED_VALUE"""),-3.0)</f>
        <v>-3</v>
      </c>
      <c r="P100" s="16">
        <f>IFERROR(__xludf.DUMMYFUNCTION("""COMPUTED_VALUE"""),3.0)</f>
        <v>3</v>
      </c>
      <c r="Q100" s="16">
        <f>IFERROR(__xludf.DUMMYFUNCTION("""COMPUTED_VALUE"""),-3.0)</f>
        <v>-3</v>
      </c>
      <c r="R100" s="16">
        <f>IFERROR(__xludf.DUMMYFUNCTION("""COMPUTED_VALUE"""),3.0)</f>
        <v>3</v>
      </c>
      <c r="S100" s="16">
        <f>IFERROR(__xludf.DUMMYFUNCTION("""COMPUTED_VALUE"""),2.2)</f>
        <v>2.2</v>
      </c>
      <c r="T100" s="16">
        <f>IFERROR(__xludf.DUMMYFUNCTION("""COMPUTED_VALUE"""),19.6)</f>
        <v>19.6</v>
      </c>
      <c r="U100" s="16">
        <f>IFERROR(__xludf.DUMMYFUNCTION("""COMPUTED_VALUE"""),2.0)</f>
        <v>2</v>
      </c>
      <c r="V100" s="16">
        <f>IFERROR(__xludf.DUMMYFUNCTION("""COMPUTED_VALUE"""),-1.0)</f>
        <v>-1</v>
      </c>
      <c r="W100" s="16">
        <f>IFERROR(__xludf.DUMMYFUNCTION("""COMPUTED_VALUE"""),4.0)</f>
        <v>4</v>
      </c>
      <c r="X100" s="16">
        <f>IFERROR(__xludf.DUMMYFUNCTION("""COMPUTED_VALUE"""),-2.0)</f>
        <v>-2</v>
      </c>
      <c r="Y100" s="16">
        <f>IFERROR(__xludf.DUMMYFUNCTION("""COMPUTED_VALUE"""),26.2)</f>
        <v>26.2</v>
      </c>
      <c r="Z100" s="16">
        <f>IFERROR(__xludf.DUMMYFUNCTION("""COMPUTED_VALUE"""),19.6)</f>
        <v>19.6</v>
      </c>
      <c r="AA100" s="16">
        <f>IFERROR(__xludf.DUMMYFUNCTION("""COMPUTED_VALUE"""),0.0)</f>
        <v>0</v>
      </c>
      <c r="AB100" s="16">
        <f>IFERROR(__xludf.DUMMYFUNCTION("""COMPUTED_VALUE"""),1.0)</f>
        <v>1</v>
      </c>
      <c r="AC100" s="16">
        <f>IFERROR(__xludf.DUMMYFUNCTION("""COMPUTED_VALUE"""),0.0)</f>
        <v>0</v>
      </c>
      <c r="AD100" s="16">
        <f>IFERROR(__xludf.DUMMYFUNCTION("""COMPUTED_VALUE"""),5.0)</f>
        <v>5</v>
      </c>
      <c r="AE100" s="16">
        <f>IFERROR(__xludf.DUMMYFUNCTION("""COMPUTED_VALUE"""),8.8)</f>
        <v>8.8</v>
      </c>
      <c r="AF100" s="16">
        <f>IFERROR(__xludf.DUMMYFUNCTION("""COMPUTED_VALUE"""),40.4)</f>
        <v>40.4</v>
      </c>
      <c r="AG100" s="16">
        <f>IFERROR(__xludf.DUMMYFUNCTION("""COMPUTED_VALUE"""),2.0)</f>
        <v>2</v>
      </c>
      <c r="AH100" s="16">
        <f>IFERROR(__xludf.DUMMYFUNCTION("""COMPUTED_VALUE"""),-1.0)</f>
        <v>-1</v>
      </c>
      <c r="AI100" s="16">
        <f>IFERROR(__xludf.DUMMYFUNCTION("""COMPUTED_VALUE"""),4.0)</f>
        <v>4</v>
      </c>
      <c r="AJ100" s="16">
        <f>IFERROR(__xludf.DUMMYFUNCTION("""COMPUTED_VALUE"""),-2.0)</f>
        <v>-2</v>
      </c>
      <c r="AK100" s="16">
        <f>IFERROR(__xludf.DUMMYFUNCTION("""COMPUTED_VALUE"""),0.0)</f>
        <v>0</v>
      </c>
      <c r="AL100" s="16">
        <f>IFERROR(__xludf.DUMMYFUNCTION("""COMPUTED_VALUE"""),18.8)</f>
        <v>18.8</v>
      </c>
      <c r="AM100" s="16">
        <f>IFERROR(__xludf.DUMMYFUNCTION("""COMPUTED_VALUE"""),3.0)</f>
        <v>3</v>
      </c>
      <c r="AN100" s="16">
        <f>IFERROR(__xludf.DUMMYFUNCTION("""COMPUTED_VALUE"""),-1.0)</f>
        <v>-1</v>
      </c>
      <c r="AO100" s="16">
        <f>IFERROR(__xludf.DUMMYFUNCTION("""COMPUTED_VALUE"""),3.0)</f>
        <v>3</v>
      </c>
      <c r="AP100" s="16">
        <f>IFERROR(__xludf.DUMMYFUNCTION("""COMPUTED_VALUE"""),-1.0)</f>
        <v>-1</v>
      </c>
      <c r="AQ100" s="16">
        <f>IFERROR(__xludf.DUMMYFUNCTION("""COMPUTED_VALUE"""),0.0)</f>
        <v>0</v>
      </c>
      <c r="AR100" s="16">
        <f>IFERROR(__xludf.DUMMYFUNCTION("""COMPUTED_VALUE"""),37.199999999999996)</f>
        <v>37.2</v>
      </c>
      <c r="AS100" s="16">
        <f>IFERROR(__xludf.DUMMYFUNCTION("""COMPUTED_VALUE"""),3.0)</f>
        <v>3</v>
      </c>
      <c r="AT100" s="16">
        <f>IFERROR(__xludf.DUMMYFUNCTION("""COMPUTED_VALUE"""),-2.0)</f>
        <v>-2</v>
      </c>
      <c r="AU100" s="16">
        <f>IFERROR(__xludf.DUMMYFUNCTION("""COMPUTED_VALUE"""),6.0)</f>
        <v>6</v>
      </c>
      <c r="AV100" s="16">
        <f>IFERROR(__xludf.DUMMYFUNCTION("""COMPUTED_VALUE"""),-4.0)</f>
        <v>-4</v>
      </c>
      <c r="AW100" s="16">
        <f>IFERROR(__xludf.DUMMYFUNCTION("""COMPUTED_VALUE"""),2.2)</f>
        <v>2.2</v>
      </c>
      <c r="AX100" s="16">
        <f>IFERROR(__xludf.DUMMYFUNCTION("""COMPUTED_VALUE"""),0.8)</f>
        <v>0.8</v>
      </c>
      <c r="AY100" s="16">
        <f>IFERROR(__xludf.DUMMYFUNCTION("""COMPUTED_VALUE"""),0.0)</f>
        <v>0</v>
      </c>
      <c r="AZ100" s="16">
        <f>IFERROR(__xludf.DUMMYFUNCTION("""COMPUTED_VALUE"""),1.0)</f>
        <v>1</v>
      </c>
      <c r="BA100" s="16">
        <f>IFERROR(__xludf.DUMMYFUNCTION("""COMPUTED_VALUE"""),0.0)</f>
        <v>0</v>
      </c>
      <c r="BB100" s="16">
        <f>IFERROR(__xludf.DUMMYFUNCTION("""COMPUTED_VALUE"""),5.0)</f>
        <v>5</v>
      </c>
      <c r="BC100" s="16"/>
      <c r="BD100" s="16">
        <f>IFERROR(__xludf.DUMMYFUNCTION("""COMPUTED_VALUE"""),0.0)</f>
        <v>0</v>
      </c>
      <c r="BE100" s="16">
        <f>IFERROR(__xludf.DUMMYFUNCTION("""COMPUTED_VALUE"""),3.0)</f>
        <v>3</v>
      </c>
      <c r="BF100" s="16">
        <f>IFERROR(__xludf.DUMMYFUNCTION("""COMPUTED_VALUE"""),0.0)</f>
        <v>0</v>
      </c>
      <c r="BG100" s="16">
        <f>IFERROR(__xludf.DUMMYFUNCTION("""COMPUTED_VALUE"""),0.0)</f>
        <v>0</v>
      </c>
      <c r="BH100" s="16">
        <f>IFERROR(__xludf.DUMMYFUNCTION("""COMPUTED_VALUE"""),2.0)</f>
        <v>2</v>
      </c>
      <c r="BI100" s="16">
        <f>IFERROR(__xludf.DUMMYFUNCTION("""COMPUTED_VALUE"""),0.0)</f>
        <v>0</v>
      </c>
      <c r="BJ100" s="16">
        <f>IFERROR(__xludf.DUMMYFUNCTION("""COMPUTED_VALUE"""),4.0)</f>
        <v>4</v>
      </c>
      <c r="BK100" s="16">
        <f>IFERROR(__xludf.DUMMYFUNCTION("""COMPUTED_VALUE"""),0.0)</f>
        <v>0</v>
      </c>
      <c r="BL100" s="16">
        <f>IFERROR(__xludf.DUMMYFUNCTION("""COMPUTED_VALUE"""),5.0)</f>
        <v>5</v>
      </c>
      <c r="BM100" s="16">
        <f>IFERROR(__xludf.DUMMYFUNCTION("""COMPUTED_VALUE"""),1.0)</f>
        <v>1</v>
      </c>
      <c r="BN100" s="16">
        <f>IFERROR(__xludf.DUMMYFUNCTION("""COMPUTED_VALUE"""),0.0)</f>
        <v>0</v>
      </c>
      <c r="BO100" s="16">
        <f>IFERROR(__xludf.DUMMYFUNCTION("""COMPUTED_VALUE"""),1.0)</f>
        <v>1</v>
      </c>
      <c r="BP100" s="16">
        <f>IFERROR(__xludf.DUMMYFUNCTION("""COMPUTED_VALUE"""),0.0)</f>
        <v>0</v>
      </c>
      <c r="BQ100" s="16">
        <f>IFERROR(__xludf.DUMMYFUNCTION("""COMPUTED_VALUE"""),12.0)</f>
        <v>12</v>
      </c>
      <c r="BR100" s="16">
        <f>IFERROR(__xludf.DUMMYFUNCTION("""COMPUTED_VALUE"""),12.0)</f>
        <v>12</v>
      </c>
      <c r="BS100" s="16">
        <f>IFERROR(__xludf.DUMMYFUNCTION("""COMPUTED_VALUE"""),3.0)</f>
        <v>3</v>
      </c>
      <c r="BT100" s="16">
        <f>IFERROR(__xludf.DUMMYFUNCTION("""COMPUTED_VALUE"""),3.0)</f>
        <v>3</v>
      </c>
      <c r="BU100" s="16">
        <f>IFERROR(__xludf.DUMMYFUNCTION("""COMPUTED_VALUE"""),6.0)</f>
        <v>6</v>
      </c>
      <c r="BV100" s="16">
        <f>IFERROR(__xludf.DUMMYFUNCTION("""COMPUTED_VALUE"""),6.0)</f>
        <v>6</v>
      </c>
      <c r="BW100" s="16">
        <f>IFERROR(__xludf.DUMMYFUNCTION("""COMPUTED_VALUE"""),9.0)</f>
        <v>9</v>
      </c>
      <c r="BX100" s="16">
        <f>IFERROR(__xludf.DUMMYFUNCTION("""COMPUTED_VALUE"""),9.0)</f>
        <v>9</v>
      </c>
      <c r="BY100" s="16" t="str">
        <f>IFERROR(__xludf.DUMMYFUNCTION("""COMPUTED_VALUE"""),"R(1)")</f>
        <v>R(1)</v>
      </c>
      <c r="BZ100" s="16" t="str">
        <f>IFERROR(__xludf.DUMMYFUNCTION("""COMPUTED_VALUE"""),"R(1)")</f>
        <v>R(1)</v>
      </c>
      <c r="CA100" s="16" t="str">
        <f>IFERROR(__xludf.DUMMYFUNCTION("""COMPUTED_VALUE"""),"R(1)")</f>
        <v>R(1)</v>
      </c>
      <c r="CB100" s="16"/>
      <c r="CC100" s="16"/>
      <c r="CD100" s="16"/>
      <c r="CE100" s="16">
        <f>IFERROR(__xludf.DUMMYFUNCTION("""COMPUTED_VALUE"""),1.0)</f>
        <v>1</v>
      </c>
      <c r="CF100" s="16"/>
      <c r="CG100" s="16" t="str">
        <f>IFERROR(__xludf.DUMMYFUNCTION("""COMPUTED_VALUE"""),"3-51")</f>
        <v>3-51</v>
      </c>
      <c r="CH100" s="16">
        <f>IFERROR(__xludf.DUMMYFUNCTION("""COMPUTED_VALUE"""),3.0)</f>
        <v>3</v>
      </c>
      <c r="CI100" s="16">
        <f>IFERROR(__xludf.DUMMYFUNCTION("""COMPUTED_VALUE"""),51.0)</f>
        <v>51</v>
      </c>
      <c r="CJ100" s="16">
        <f>IFERROR(__xludf.DUMMYFUNCTION("""COMPUTED_VALUE"""),0.0)</f>
        <v>0</v>
      </c>
      <c r="CK100" s="16">
        <f>IFERROR(__xludf.DUMMYFUNCTION("""COMPUTED_VALUE"""),20.0)</f>
        <v>20</v>
      </c>
      <c r="CL100" s="16" t="str">
        <f>IFERROR(__xludf.DUMMYFUNCTION("""COMPUTED_VALUE"""),"1WR-C")</f>
        <v>1WR-C</v>
      </c>
      <c r="CM100" s="16" t="str">
        <f>IFERROR(__xludf.DUMMYFUNCTION("""COMPUTED_VALUE"""),"E")</f>
        <v>E</v>
      </c>
      <c r="CN100" s="16">
        <f>IFERROR(__xludf.DUMMYFUNCTION("""COMPUTED_VALUE"""),10.0)</f>
        <v>10</v>
      </c>
      <c r="CO100" s="16" t="str">
        <f>IFERROR(__xludf.DUMMYFUNCTION("""COMPUTED_VALUE"""),"C")</f>
        <v>C</v>
      </c>
      <c r="CP100" s="16" t="str">
        <f>IFERROR(__xludf.DUMMYFUNCTION("""COMPUTED_VALUE"""),"1p20")</f>
        <v>1p20</v>
      </c>
      <c r="CQ100" s="16">
        <f>IFERROR(__xludf.DUMMYFUNCTION("""COMPUTED_VALUE"""),18.0)</f>
        <v>18</v>
      </c>
      <c r="CR100" s="16">
        <f>IFERROR(__xludf.DUMMYFUNCTION("""COMPUTED_VALUE"""),11.0)</f>
        <v>11</v>
      </c>
      <c r="CS100" s="16">
        <f>IFERROR(__xludf.DUMMYFUNCTION("""COMPUTED_VALUE"""),29.0)</f>
        <v>29</v>
      </c>
      <c r="CT100" s="16">
        <f>IFERROR(__xludf.DUMMYFUNCTION("""COMPUTED_VALUE"""),18.0)</f>
        <v>18</v>
      </c>
      <c r="CU100" s="16">
        <f>IFERROR(__xludf.DUMMYFUNCTION("""COMPUTED_VALUE"""),11.0)</f>
        <v>11</v>
      </c>
      <c r="CV100" s="179">
        <f>IFERROR(__xludf.DUMMYFUNCTION("""COMPUTED_VALUE"""),20.333333333333336)</f>
        <v>20.33333333</v>
      </c>
      <c r="CW100" s="179">
        <f>IFERROR(__xludf.DUMMYFUNCTION("""COMPUTED_VALUE"""),4.0)</f>
        <v>4</v>
      </c>
      <c r="CX100" s="179">
        <f>IFERROR(__xludf.DUMMYFUNCTION("""COMPUTED_VALUE"""),3.0)</f>
        <v>3</v>
      </c>
      <c r="CY100" s="16" t="str">
        <f>IFERROR(__xludf.DUMMYFUNCTION("""COMPUTED_VALUE"""),"RP")</f>
        <v>RP</v>
      </c>
      <c r="CZ100" s="16"/>
      <c r="DA100" s="16"/>
      <c r="DB100" s="16"/>
      <c r="DC100" s="16"/>
      <c r="DD100" s="16"/>
      <c r="DE100" s="16"/>
      <c r="DF100" s="16"/>
      <c r="DG100" s="16"/>
      <c r="DH100" s="16"/>
      <c r="DI100" s="16"/>
      <c r="DJ100" s="16"/>
      <c r="DK100" s="16"/>
    </row>
    <row r="101">
      <c r="A101" s="16">
        <f>IFERROR(__xludf.DUMMYFUNCTION("""COMPUTED_VALUE"""),12573.0)</f>
        <v>12573</v>
      </c>
      <c r="B101" s="16" t="str">
        <f>IFERROR(__xludf.DUMMYFUNCTION("""COMPUTED_VALUE"""),"Ben Brown")</f>
        <v>Ben Brown</v>
      </c>
      <c r="C101" s="153">
        <f>IFERROR(__xludf.DUMMYFUNCTION("""COMPUTED_VALUE"""),1.22)</f>
        <v>1.22</v>
      </c>
      <c r="D101" s="16"/>
      <c r="E101" s="16" t="str">
        <f>IFERROR(__xludf.DUMMYFUNCTION("""COMPUTED_VALUE"""),"R")</f>
        <v>R</v>
      </c>
      <c r="F101" s="16">
        <f>IFERROR(__xludf.DUMMYFUNCTION("""COMPUTED_VALUE"""),55.0)</f>
        <v>55</v>
      </c>
      <c r="G101" s="16">
        <f>IFERROR(__xludf.DUMMYFUNCTION("""COMPUTED_VALUE"""),37.0)</f>
        <v>37</v>
      </c>
      <c r="H101" s="16">
        <f>IFERROR(__xludf.DUMMYFUNCTION("""COMPUTED_VALUE"""),41.0)</f>
        <v>41</v>
      </c>
      <c r="I101" s="16">
        <f>IFERROR(__xludf.DUMMYFUNCTION("""COMPUTED_VALUE"""),1.0)</f>
        <v>1</v>
      </c>
      <c r="J101" s="16">
        <f>IFERROR(__xludf.DUMMYFUNCTION("""COMPUTED_VALUE"""),2.0)</f>
        <v>2</v>
      </c>
      <c r="K101" s="16">
        <f>IFERROR(__xludf.DUMMYFUNCTION("""COMPUTED_VALUE"""),3.0)</f>
        <v>3</v>
      </c>
      <c r="L101" s="16">
        <f>IFERROR(__xludf.DUMMYFUNCTION("""COMPUTED_VALUE"""),6.0)</f>
        <v>6</v>
      </c>
      <c r="M101" s="16">
        <f>IFERROR(__xludf.DUMMYFUNCTION("""COMPUTED_VALUE"""),14.0)</f>
        <v>14</v>
      </c>
      <c r="N101" s="16">
        <f>IFERROR(__xludf.DUMMYFUNCTION("""COMPUTED_VALUE"""),5.0)</f>
        <v>5</v>
      </c>
      <c r="O101" s="16">
        <f>IFERROR(__xludf.DUMMYFUNCTION("""COMPUTED_VALUE"""),-2.0)</f>
        <v>-2</v>
      </c>
      <c r="P101" s="16">
        <f>IFERROR(__xludf.DUMMYFUNCTION("""COMPUTED_VALUE"""),2.0)</f>
        <v>2</v>
      </c>
      <c r="Q101" s="16">
        <f>IFERROR(__xludf.DUMMYFUNCTION("""COMPUTED_VALUE"""),-2.0)</f>
        <v>-2</v>
      </c>
      <c r="R101" s="16">
        <f>IFERROR(__xludf.DUMMYFUNCTION("""COMPUTED_VALUE"""),2.0)</f>
        <v>2</v>
      </c>
      <c r="S101" s="16">
        <f>IFERROR(__xludf.DUMMYFUNCTION("""COMPUTED_VALUE"""),12.6)</f>
        <v>12.6</v>
      </c>
      <c r="T101" s="16">
        <f>IFERROR(__xludf.DUMMYFUNCTION("""COMPUTED_VALUE"""),9.6)</f>
        <v>9.6</v>
      </c>
      <c r="U101" s="16">
        <f>IFERROR(__xludf.DUMMYFUNCTION("""COMPUTED_VALUE"""),0.0)</f>
        <v>0</v>
      </c>
      <c r="V101" s="16">
        <f>IFERROR(__xludf.DUMMYFUNCTION("""COMPUTED_VALUE"""),1.0)</f>
        <v>1</v>
      </c>
      <c r="W101" s="16">
        <f>IFERROR(__xludf.DUMMYFUNCTION("""COMPUTED_VALUE"""),0.0)</f>
        <v>0</v>
      </c>
      <c r="X101" s="16">
        <f>IFERROR(__xludf.DUMMYFUNCTION("""COMPUTED_VALUE"""),2.0)</f>
        <v>2</v>
      </c>
      <c r="Y101" s="16">
        <f>IFERROR(__xludf.DUMMYFUNCTION("""COMPUTED_VALUE"""),26.6)</f>
        <v>26.6</v>
      </c>
      <c r="Z101" s="16">
        <f>IFERROR(__xludf.DUMMYFUNCTION("""COMPUTED_VALUE"""),14.6)</f>
        <v>14.6</v>
      </c>
      <c r="AA101" s="16">
        <f>IFERROR(__xludf.DUMMYFUNCTION("""COMPUTED_VALUE"""),0.0)</f>
        <v>0</v>
      </c>
      <c r="AB101" s="16">
        <f>IFERROR(__xludf.DUMMYFUNCTION("""COMPUTED_VALUE"""),2.0)</f>
        <v>2</v>
      </c>
      <c r="AC101" s="16">
        <f>IFERROR(__xludf.DUMMYFUNCTION("""COMPUTED_VALUE"""),0.0)</f>
        <v>0</v>
      </c>
      <c r="AD101" s="16">
        <f>IFERROR(__xludf.DUMMYFUNCTION("""COMPUTED_VALUE"""),10.0)</f>
        <v>10</v>
      </c>
      <c r="AE101" s="16">
        <f>IFERROR(__xludf.DUMMYFUNCTION("""COMPUTED_VALUE"""),19.9)</f>
        <v>19.9</v>
      </c>
      <c r="AF101" s="16">
        <f>IFERROR(__xludf.DUMMYFUNCTION("""COMPUTED_VALUE"""),17.3)</f>
        <v>17.3</v>
      </c>
      <c r="AG101" s="16">
        <f>IFERROR(__xludf.DUMMYFUNCTION("""COMPUTED_VALUE"""),1.0)</f>
        <v>1</v>
      </c>
      <c r="AH101" s="16">
        <f>IFERROR(__xludf.DUMMYFUNCTION("""COMPUTED_VALUE"""),1.0)</f>
        <v>1</v>
      </c>
      <c r="AI101" s="16">
        <f>IFERROR(__xludf.DUMMYFUNCTION("""COMPUTED_VALUE"""),2.0)</f>
        <v>2</v>
      </c>
      <c r="AJ101" s="16">
        <f>IFERROR(__xludf.DUMMYFUNCTION("""COMPUTED_VALUE"""),2.0)</f>
        <v>2</v>
      </c>
      <c r="AK101" s="16">
        <f>IFERROR(__xludf.DUMMYFUNCTION("""COMPUTED_VALUE"""),11.2)</f>
        <v>11.2</v>
      </c>
      <c r="AL101" s="16">
        <f>IFERROR(__xludf.DUMMYFUNCTION("""COMPUTED_VALUE"""),9.0)</f>
        <v>9</v>
      </c>
      <c r="AM101" s="16">
        <f>IFERROR(__xludf.DUMMYFUNCTION("""COMPUTED_VALUE"""),0.0)</f>
        <v>0</v>
      </c>
      <c r="AN101" s="16">
        <f>IFERROR(__xludf.DUMMYFUNCTION("""COMPUTED_VALUE"""),1.0)</f>
        <v>1</v>
      </c>
      <c r="AO101" s="16">
        <f>IFERROR(__xludf.DUMMYFUNCTION("""COMPUTED_VALUE"""),0.0)</f>
        <v>0</v>
      </c>
      <c r="AP101" s="16">
        <f>IFERROR(__xludf.DUMMYFUNCTION("""COMPUTED_VALUE"""),1.0)</f>
        <v>1</v>
      </c>
      <c r="AQ101" s="16">
        <f>IFERROR(__xludf.DUMMYFUNCTION("""COMPUTED_VALUE"""),14.299999999999999)</f>
        <v>14.3</v>
      </c>
      <c r="AR101" s="16">
        <f>IFERROR(__xludf.DUMMYFUNCTION("""COMPUTED_VALUE"""),14.9)</f>
        <v>14.9</v>
      </c>
      <c r="AS101" s="16">
        <f>IFERROR(__xludf.DUMMYFUNCTION("""COMPUTED_VALUE"""),1.0)</f>
        <v>1</v>
      </c>
      <c r="AT101" s="16">
        <f>IFERROR(__xludf.DUMMYFUNCTION("""COMPUTED_VALUE"""),1.0)</f>
        <v>1</v>
      </c>
      <c r="AU101" s="16">
        <f>IFERROR(__xludf.DUMMYFUNCTION("""COMPUTED_VALUE"""),2.0)</f>
        <v>2</v>
      </c>
      <c r="AV101" s="16">
        <f>IFERROR(__xludf.DUMMYFUNCTION("""COMPUTED_VALUE"""),2.0)</f>
        <v>2</v>
      </c>
      <c r="AW101" s="16">
        <f>IFERROR(__xludf.DUMMYFUNCTION("""COMPUTED_VALUE"""),1.4)</f>
        <v>1.4</v>
      </c>
      <c r="AX101" s="16">
        <f>IFERROR(__xludf.DUMMYFUNCTION("""COMPUTED_VALUE"""),0.6)</f>
        <v>0.6</v>
      </c>
      <c r="AY101" s="16">
        <f>IFERROR(__xludf.DUMMYFUNCTION("""COMPUTED_VALUE"""),1.0)</f>
        <v>1</v>
      </c>
      <c r="AZ101" s="16">
        <f>IFERROR(__xludf.DUMMYFUNCTION("""COMPUTED_VALUE"""),2.0)</f>
        <v>2</v>
      </c>
      <c r="BA101" s="16">
        <f>IFERROR(__xludf.DUMMYFUNCTION("""COMPUTED_VALUE"""),5.0)</f>
        <v>5</v>
      </c>
      <c r="BB101" s="16">
        <f>IFERROR(__xludf.DUMMYFUNCTION("""COMPUTED_VALUE"""),10.0)</f>
        <v>10</v>
      </c>
      <c r="BC101" s="16">
        <f>IFERROR(__xludf.DUMMYFUNCTION("""COMPUTED_VALUE"""),2.0)</f>
        <v>2</v>
      </c>
      <c r="BD101" s="16">
        <f>IFERROR(__xludf.DUMMYFUNCTION("""COMPUTED_VALUE"""),1.0)</f>
        <v>1</v>
      </c>
      <c r="BE101" s="16">
        <f>IFERROR(__xludf.DUMMYFUNCTION("""COMPUTED_VALUE"""),2.0)</f>
        <v>2</v>
      </c>
      <c r="BF101" s="16">
        <f>IFERROR(__xludf.DUMMYFUNCTION("""COMPUTED_VALUE"""),1.0)</f>
        <v>1</v>
      </c>
      <c r="BG101" s="16">
        <f>IFERROR(__xludf.DUMMYFUNCTION("""COMPUTED_VALUE"""),1.0)</f>
        <v>1</v>
      </c>
      <c r="BH101" s="16">
        <f>IFERROR(__xludf.DUMMYFUNCTION("""COMPUTED_VALUE"""),2.0)</f>
        <v>2</v>
      </c>
      <c r="BI101" s="16">
        <f>IFERROR(__xludf.DUMMYFUNCTION("""COMPUTED_VALUE"""),2.0)</f>
        <v>2</v>
      </c>
      <c r="BJ101" s="16">
        <f>IFERROR(__xludf.DUMMYFUNCTION("""COMPUTED_VALUE"""),4.0)</f>
        <v>4</v>
      </c>
      <c r="BK101" s="16">
        <f>IFERROR(__xludf.DUMMYFUNCTION("""COMPUTED_VALUE"""),5.0)</f>
        <v>5</v>
      </c>
      <c r="BL101" s="16">
        <f>IFERROR(__xludf.DUMMYFUNCTION("""COMPUTED_VALUE"""),5.0)</f>
        <v>5</v>
      </c>
      <c r="BM101" s="16">
        <f>IFERROR(__xludf.DUMMYFUNCTION("""COMPUTED_VALUE"""),0.0)</f>
        <v>0</v>
      </c>
      <c r="BN101" s="16">
        <f>IFERROR(__xludf.DUMMYFUNCTION("""COMPUTED_VALUE"""),0.0)</f>
        <v>0</v>
      </c>
      <c r="BO101" s="16">
        <f>IFERROR(__xludf.DUMMYFUNCTION("""COMPUTED_VALUE"""),0.0)</f>
        <v>0</v>
      </c>
      <c r="BP101" s="16">
        <f>IFERROR(__xludf.DUMMYFUNCTION("""COMPUTED_VALUE"""),0.0)</f>
        <v>0</v>
      </c>
      <c r="BQ101" s="16">
        <f>IFERROR(__xludf.DUMMYFUNCTION("""COMPUTED_VALUE"""),4.0)</f>
        <v>4</v>
      </c>
      <c r="BR101" s="16">
        <f>IFERROR(__xludf.DUMMYFUNCTION("""COMPUTED_VALUE"""),2.0)</f>
        <v>2</v>
      </c>
      <c r="BS101" s="16">
        <f>IFERROR(__xludf.DUMMYFUNCTION("""COMPUTED_VALUE"""),-1.0)</f>
        <v>-1</v>
      </c>
      <c r="BT101" s="16">
        <f>IFERROR(__xludf.DUMMYFUNCTION("""COMPUTED_VALUE"""),-2.0)</f>
        <v>-2</v>
      </c>
      <c r="BU101" s="16">
        <f>IFERROR(__xludf.DUMMYFUNCTION("""COMPUTED_VALUE"""),-2.0)</f>
        <v>-2</v>
      </c>
      <c r="BV101" s="16">
        <f>IFERROR(__xludf.DUMMYFUNCTION("""COMPUTED_VALUE"""),-4.0)</f>
        <v>-4</v>
      </c>
      <c r="BW101" s="16">
        <f>IFERROR(__xludf.DUMMYFUNCTION("""COMPUTED_VALUE"""),0.0)</f>
        <v>0</v>
      </c>
      <c r="BX101" s="16">
        <f>IFERROR(__xludf.DUMMYFUNCTION("""COMPUTED_VALUE"""),0.0)</f>
        <v>0</v>
      </c>
      <c r="BY101" s="16" t="str">
        <f>IFERROR(__xludf.DUMMYFUNCTION("""COMPUTED_VALUE"""),"S(5) R(4)")</f>
        <v>S(5) R(4)</v>
      </c>
      <c r="BZ101" s="16" t="str">
        <f>IFERROR(__xludf.DUMMYFUNCTION("""COMPUTED_VALUE"""),"S(5) R(4)")</f>
        <v>S(5) R(4)</v>
      </c>
      <c r="CA101" s="16" t="str">
        <f>IFERROR(__xludf.DUMMYFUNCTION("""COMPUTED_VALUE"""),"S(5)")</f>
        <v>S(5)</v>
      </c>
      <c r="CB101" s="16" t="str">
        <f>IFERROR(__xludf.DUMMYFUNCTION("""COMPUTED_VALUE"""),"R(4)")</f>
        <v>R(4)</v>
      </c>
      <c r="CC101" s="16"/>
      <c r="CD101" s="16">
        <f>IFERROR(__xludf.DUMMYFUNCTION("""COMPUTED_VALUE"""),5.0)</f>
        <v>5</v>
      </c>
      <c r="CE101" s="16">
        <f>IFERROR(__xludf.DUMMYFUNCTION("""COMPUTED_VALUE"""),4.0)</f>
        <v>4</v>
      </c>
      <c r="CF101" s="16"/>
      <c r="CG101" s="16" t="str">
        <f>IFERROR(__xludf.DUMMYFUNCTION("""COMPUTED_VALUE"""),"4-0")</f>
        <v>4-0</v>
      </c>
      <c r="CH101" s="16">
        <f>IFERROR(__xludf.DUMMYFUNCTION("""COMPUTED_VALUE"""),4.0)</f>
        <v>4</v>
      </c>
      <c r="CI101" s="16">
        <f>IFERROR(__xludf.DUMMYFUNCTION("""COMPUTED_VALUE"""),0.0)</f>
        <v>0</v>
      </c>
      <c r="CJ101" s="16">
        <f>IFERROR(__xludf.DUMMYFUNCTION("""COMPUTED_VALUE"""),0.0)</f>
        <v>0</v>
      </c>
      <c r="CK101" s="16">
        <f>IFERROR(__xludf.DUMMYFUNCTION("""COMPUTED_VALUE"""),8.0)</f>
        <v>8</v>
      </c>
      <c r="CL101" s="16" t="str">
        <f>IFERROR(__xludf.DUMMYFUNCTION("""COMPUTED_VALUE"""),"1WR-C")</f>
        <v>1WR-C</v>
      </c>
      <c r="CM101" s="16" t="str">
        <f>IFERROR(__xludf.DUMMYFUNCTION("""COMPUTED_VALUE"""),"E")</f>
        <v>E</v>
      </c>
      <c r="CN101" s="16">
        <f>IFERROR(__xludf.DUMMYFUNCTION("""COMPUTED_VALUE"""),10.0)</f>
        <v>10</v>
      </c>
      <c r="CO101" s="16" t="str">
        <f>IFERROR(__xludf.DUMMYFUNCTION("""COMPUTED_VALUE"""),"C")</f>
        <v>C</v>
      </c>
      <c r="CP101" s="16" t="str">
        <f>IFERROR(__xludf.DUMMYFUNCTION("""COMPUTED_VALUE"""),"5p30")</f>
        <v>5p30</v>
      </c>
      <c r="CQ101" s="16">
        <f>IFERROR(__xludf.DUMMYFUNCTION("""COMPUTED_VALUE"""),10.0)</f>
        <v>10</v>
      </c>
      <c r="CR101" s="16">
        <f>IFERROR(__xludf.DUMMYFUNCTION("""COMPUTED_VALUE"""),35.0)</f>
        <v>35</v>
      </c>
      <c r="CS101" s="16">
        <f>IFERROR(__xludf.DUMMYFUNCTION("""COMPUTED_VALUE"""),45.0)</f>
        <v>45</v>
      </c>
      <c r="CT101" s="16">
        <f>IFERROR(__xludf.DUMMYFUNCTION("""COMPUTED_VALUE"""),10.0)</f>
        <v>10</v>
      </c>
      <c r="CU101" s="16">
        <f>IFERROR(__xludf.DUMMYFUNCTION("""COMPUTED_VALUE"""),35.0)</f>
        <v>35</v>
      </c>
      <c r="CV101" s="179">
        <f>IFERROR(__xludf.DUMMYFUNCTION("""COMPUTED_VALUE"""),20.333333333333332)</f>
        <v>20.33333333</v>
      </c>
      <c r="CW101" s="179">
        <f>IFERROR(__xludf.DUMMYFUNCTION("""COMPUTED_VALUE"""),0.0)</f>
        <v>0</v>
      </c>
      <c r="CX101" s="179">
        <f>IFERROR(__xludf.DUMMYFUNCTION("""COMPUTED_VALUE"""),2.0)</f>
        <v>2</v>
      </c>
      <c r="CY101" s="16" t="str">
        <f>IFERROR(__xludf.DUMMYFUNCTION("""COMPUTED_VALUE"""),"SP")</f>
        <v>SP</v>
      </c>
      <c r="CZ101" s="16" t="str">
        <f>IFERROR(__xludf.DUMMYFUNCTION("""COMPUTED_VALUE"""),"RP")</f>
        <v>RP</v>
      </c>
      <c r="DA101" s="16"/>
      <c r="DB101" s="16"/>
      <c r="DC101" s="16"/>
      <c r="DD101" s="16"/>
      <c r="DE101" s="16"/>
      <c r="DF101" s="16"/>
      <c r="DG101" s="16"/>
      <c r="DH101" s="16"/>
      <c r="DI101" s="16"/>
      <c r="DJ101" s="16"/>
      <c r="DK101" s="16"/>
    </row>
    <row r="102">
      <c r="A102" s="16">
        <f>IFERROR(__xludf.DUMMYFUNCTION("""COMPUTED_VALUE"""),13507.0)</f>
        <v>13507</v>
      </c>
      <c r="B102" s="16" t="str">
        <f>IFERROR(__xludf.DUMMYFUNCTION("""COMPUTED_VALUE"""),"Yoshinobu Yamamoto")</f>
        <v>Yoshinobu Yamamoto</v>
      </c>
      <c r="C102" s="153">
        <f>IFERROR(__xludf.DUMMYFUNCTION("""COMPUTED_VALUE"""),1.42)</f>
        <v>1.42</v>
      </c>
      <c r="D102" s="16"/>
      <c r="E102" s="16" t="str">
        <f>IFERROR(__xludf.DUMMYFUNCTION("""COMPUTED_VALUE"""),"R")</f>
        <v>R</v>
      </c>
      <c r="F102" s="16">
        <f>IFERROR(__xludf.DUMMYFUNCTION("""COMPUTED_VALUE"""),90.0)</f>
        <v>90</v>
      </c>
      <c r="G102" s="16">
        <f>IFERROR(__xludf.DUMMYFUNCTION("""COMPUTED_VALUE"""),37.0)</f>
        <v>37</v>
      </c>
      <c r="H102" s="16">
        <f>IFERROR(__xludf.DUMMYFUNCTION("""COMPUTED_VALUE"""),37.0)</f>
        <v>37</v>
      </c>
      <c r="I102" s="16">
        <f>IFERROR(__xludf.DUMMYFUNCTION("""COMPUTED_VALUE"""),1.0)</f>
        <v>1</v>
      </c>
      <c r="J102" s="16">
        <f>IFERROR(__xludf.DUMMYFUNCTION("""COMPUTED_VALUE"""),1.0)</f>
        <v>1</v>
      </c>
      <c r="K102" s="16">
        <f>IFERROR(__xludf.DUMMYFUNCTION("""COMPUTED_VALUE"""),3.0)</f>
        <v>3</v>
      </c>
      <c r="L102" s="16">
        <f>IFERROR(__xludf.DUMMYFUNCTION("""COMPUTED_VALUE"""),3.0)</f>
        <v>3</v>
      </c>
      <c r="M102" s="16">
        <f>IFERROR(__xludf.DUMMYFUNCTION("""COMPUTED_VALUE"""),8.0)</f>
        <v>8</v>
      </c>
      <c r="N102" s="16">
        <f>IFERROR(__xludf.DUMMYFUNCTION("""COMPUTED_VALUE"""),1.0)</f>
        <v>1</v>
      </c>
      <c r="O102" s="16">
        <f>IFERROR(__xludf.DUMMYFUNCTION("""COMPUTED_VALUE"""),0.0)</f>
        <v>0</v>
      </c>
      <c r="P102" s="16">
        <f>IFERROR(__xludf.DUMMYFUNCTION("""COMPUTED_VALUE"""),3.0)</f>
        <v>3</v>
      </c>
      <c r="Q102" s="16">
        <f>IFERROR(__xludf.DUMMYFUNCTION("""COMPUTED_VALUE"""),0.0)</f>
        <v>0</v>
      </c>
      <c r="R102" s="16">
        <f>IFERROR(__xludf.DUMMYFUNCTION("""COMPUTED_VALUE"""),3.0)</f>
        <v>3</v>
      </c>
      <c r="S102" s="16">
        <f>IFERROR(__xludf.DUMMYFUNCTION("""COMPUTED_VALUE"""),7.0)</f>
        <v>7</v>
      </c>
      <c r="T102" s="16">
        <f>IFERROR(__xludf.DUMMYFUNCTION("""COMPUTED_VALUE"""),22.3)</f>
        <v>22.3</v>
      </c>
      <c r="U102" s="16">
        <f>IFERROR(__xludf.DUMMYFUNCTION("""COMPUTED_VALUE"""),1.0)</f>
        <v>1</v>
      </c>
      <c r="V102" s="16">
        <f>IFERROR(__xludf.DUMMYFUNCTION("""COMPUTED_VALUE"""),-1.0)</f>
        <v>-1</v>
      </c>
      <c r="W102" s="16">
        <f>IFERROR(__xludf.DUMMYFUNCTION("""COMPUTED_VALUE"""),2.0)</f>
        <v>2</v>
      </c>
      <c r="X102" s="16">
        <f>IFERROR(__xludf.DUMMYFUNCTION("""COMPUTED_VALUE"""),-2.0)</f>
        <v>-2</v>
      </c>
      <c r="Y102" s="16">
        <f>IFERROR(__xludf.DUMMYFUNCTION("""COMPUTED_VALUE"""),15.1)</f>
        <v>15.1</v>
      </c>
      <c r="Z102" s="16">
        <f>IFERROR(__xludf.DUMMYFUNCTION("""COMPUTED_VALUE"""),23.3)</f>
        <v>23.3</v>
      </c>
      <c r="AA102" s="16">
        <f>IFERROR(__xludf.DUMMYFUNCTION("""COMPUTED_VALUE"""),2.0)</f>
        <v>2</v>
      </c>
      <c r="AB102" s="16">
        <f>IFERROR(__xludf.DUMMYFUNCTION("""COMPUTED_VALUE"""),0.0)</f>
        <v>0</v>
      </c>
      <c r="AC102" s="16">
        <f>IFERROR(__xludf.DUMMYFUNCTION("""COMPUTED_VALUE"""),10.0)</f>
        <v>10</v>
      </c>
      <c r="AD102" s="16">
        <f>IFERROR(__xludf.DUMMYFUNCTION("""COMPUTED_VALUE"""),0.0)</f>
        <v>0</v>
      </c>
      <c r="AE102" s="16">
        <f>IFERROR(__xludf.DUMMYFUNCTION("""COMPUTED_VALUE"""),8.5)</f>
        <v>8.5</v>
      </c>
      <c r="AF102" s="16">
        <f>IFERROR(__xludf.DUMMYFUNCTION("""COMPUTED_VALUE"""),43.6)</f>
        <v>43.6</v>
      </c>
      <c r="AG102" s="16">
        <f>IFERROR(__xludf.DUMMYFUNCTION("""COMPUTED_VALUE"""),2.0)</f>
        <v>2</v>
      </c>
      <c r="AH102" s="16">
        <f>IFERROR(__xludf.DUMMYFUNCTION("""COMPUTED_VALUE"""),-2.0)</f>
        <v>-2</v>
      </c>
      <c r="AI102" s="16">
        <f>IFERROR(__xludf.DUMMYFUNCTION("""COMPUTED_VALUE"""),4.0)</f>
        <v>4</v>
      </c>
      <c r="AJ102" s="16">
        <f>IFERROR(__xludf.DUMMYFUNCTION("""COMPUTED_VALUE"""),-4.0)</f>
        <v>-4</v>
      </c>
      <c r="AK102" s="16">
        <f>IFERROR(__xludf.DUMMYFUNCTION("""COMPUTED_VALUE"""),7.0)</f>
        <v>7</v>
      </c>
      <c r="AL102" s="16">
        <f>IFERROR(__xludf.DUMMYFUNCTION("""COMPUTED_VALUE"""),20.900000000000002)</f>
        <v>20.9</v>
      </c>
      <c r="AM102" s="16">
        <f>IFERROR(__xludf.DUMMYFUNCTION("""COMPUTED_VALUE"""),1.0)</f>
        <v>1</v>
      </c>
      <c r="AN102" s="16">
        <f>IFERROR(__xludf.DUMMYFUNCTION("""COMPUTED_VALUE"""),-1.0)</f>
        <v>-1</v>
      </c>
      <c r="AO102" s="16">
        <f>IFERROR(__xludf.DUMMYFUNCTION("""COMPUTED_VALUE"""),1.0)</f>
        <v>1</v>
      </c>
      <c r="AP102" s="16">
        <f>IFERROR(__xludf.DUMMYFUNCTION("""COMPUTED_VALUE"""),-1.0)</f>
        <v>-1</v>
      </c>
      <c r="AQ102" s="16">
        <f>IFERROR(__xludf.DUMMYFUNCTION("""COMPUTED_VALUE"""),8.5)</f>
        <v>8.5</v>
      </c>
      <c r="AR102" s="16">
        <f>IFERROR(__xludf.DUMMYFUNCTION("""COMPUTED_VALUE"""),38.0)</f>
        <v>38</v>
      </c>
      <c r="AS102" s="16">
        <f>IFERROR(__xludf.DUMMYFUNCTION("""COMPUTED_VALUE"""),1.0)</f>
        <v>1</v>
      </c>
      <c r="AT102" s="16">
        <f>IFERROR(__xludf.DUMMYFUNCTION("""COMPUTED_VALUE"""),-2.0)</f>
        <v>-2</v>
      </c>
      <c r="AU102" s="16">
        <f>IFERROR(__xludf.DUMMYFUNCTION("""COMPUTED_VALUE"""),2.0)</f>
        <v>2</v>
      </c>
      <c r="AV102" s="16">
        <f>IFERROR(__xludf.DUMMYFUNCTION("""COMPUTED_VALUE"""),-4.0)</f>
        <v>-4</v>
      </c>
      <c r="AW102" s="16">
        <f>IFERROR(__xludf.DUMMYFUNCTION("""COMPUTED_VALUE"""),0.0)</f>
        <v>0</v>
      </c>
      <c r="AX102" s="16">
        <f>IFERROR(__xludf.DUMMYFUNCTION("""COMPUTED_VALUE"""),1.4)</f>
        <v>1.4</v>
      </c>
      <c r="AY102" s="16">
        <f>IFERROR(__xludf.DUMMYFUNCTION("""COMPUTED_VALUE"""),2.0)</f>
        <v>2</v>
      </c>
      <c r="AZ102" s="16">
        <f>IFERROR(__xludf.DUMMYFUNCTION("""COMPUTED_VALUE"""),1.0)</f>
        <v>1</v>
      </c>
      <c r="BA102" s="16">
        <f>IFERROR(__xludf.DUMMYFUNCTION("""COMPUTED_VALUE"""),10.0)</f>
        <v>10</v>
      </c>
      <c r="BB102" s="16">
        <f>IFERROR(__xludf.DUMMYFUNCTION("""COMPUTED_VALUE"""),5.0)</f>
        <v>5</v>
      </c>
      <c r="BC102" s="16">
        <f>IFERROR(__xludf.DUMMYFUNCTION("""COMPUTED_VALUE"""),0.0)</f>
        <v>0</v>
      </c>
      <c r="BD102" s="16">
        <f>IFERROR(__xludf.DUMMYFUNCTION("""COMPUTED_VALUE"""),2.0)</f>
        <v>2</v>
      </c>
      <c r="BE102" s="16">
        <f>IFERROR(__xludf.DUMMYFUNCTION("""COMPUTED_VALUE"""),0.0)</f>
        <v>0</v>
      </c>
      <c r="BF102" s="16">
        <f>IFERROR(__xludf.DUMMYFUNCTION("""COMPUTED_VALUE"""),2.0)</f>
        <v>2</v>
      </c>
      <c r="BG102" s="16">
        <f>IFERROR(__xludf.DUMMYFUNCTION("""COMPUTED_VALUE"""),3.0)</f>
        <v>3</v>
      </c>
      <c r="BH102" s="16">
        <f>IFERROR(__xludf.DUMMYFUNCTION("""COMPUTED_VALUE"""),1.0)</f>
        <v>1</v>
      </c>
      <c r="BI102" s="16">
        <f>IFERROR(__xludf.DUMMYFUNCTION("""COMPUTED_VALUE"""),6.0)</f>
        <v>6</v>
      </c>
      <c r="BJ102" s="16">
        <f>IFERROR(__xludf.DUMMYFUNCTION("""COMPUTED_VALUE"""),2.0)</f>
        <v>2</v>
      </c>
      <c r="BK102" s="16">
        <f>IFERROR(__xludf.DUMMYFUNCTION("""COMPUTED_VALUE"""),5.0)</f>
        <v>5</v>
      </c>
      <c r="BL102" s="16">
        <f>IFERROR(__xludf.DUMMYFUNCTION("""COMPUTED_VALUE"""),5.0)</f>
        <v>5</v>
      </c>
      <c r="BM102" s="16">
        <f>IFERROR(__xludf.DUMMYFUNCTION("""COMPUTED_VALUE"""),0.0)</f>
        <v>0</v>
      </c>
      <c r="BN102" s="16">
        <f>IFERROR(__xludf.DUMMYFUNCTION("""COMPUTED_VALUE"""),0.0)</f>
        <v>0</v>
      </c>
      <c r="BO102" s="16">
        <f>IFERROR(__xludf.DUMMYFUNCTION("""COMPUTED_VALUE"""),0.0)</f>
        <v>0</v>
      </c>
      <c r="BP102" s="16">
        <f>IFERROR(__xludf.DUMMYFUNCTION("""COMPUTED_VALUE"""),0.0)</f>
        <v>0</v>
      </c>
      <c r="BQ102" s="16">
        <f>IFERROR(__xludf.DUMMYFUNCTION("""COMPUTED_VALUE"""),8.0)</f>
        <v>8</v>
      </c>
      <c r="BR102" s="16">
        <f>IFERROR(__xludf.DUMMYFUNCTION("""COMPUTED_VALUE"""),7.0)</f>
        <v>7</v>
      </c>
      <c r="BS102" s="16">
        <f>IFERROR(__xludf.DUMMYFUNCTION("""COMPUTED_VALUE"""),2.0)</f>
        <v>2</v>
      </c>
      <c r="BT102" s="16">
        <f>IFERROR(__xludf.DUMMYFUNCTION("""COMPUTED_VALUE"""),2.0)</f>
        <v>2</v>
      </c>
      <c r="BU102" s="16">
        <f>IFERROR(__xludf.DUMMYFUNCTION("""COMPUTED_VALUE"""),4.0)</f>
        <v>4</v>
      </c>
      <c r="BV102" s="16">
        <f>IFERROR(__xludf.DUMMYFUNCTION("""COMPUTED_VALUE"""),4.0)</f>
        <v>4</v>
      </c>
      <c r="BW102" s="16">
        <f>IFERROR(__xludf.DUMMYFUNCTION("""COMPUTED_VALUE"""),-1.0)</f>
        <v>-1</v>
      </c>
      <c r="BX102" s="16">
        <f>IFERROR(__xludf.DUMMYFUNCTION("""COMPUTED_VALUE"""),-1.0)</f>
        <v>-1</v>
      </c>
      <c r="BY102" s="16" t="str">
        <f>IFERROR(__xludf.DUMMYFUNCTION("""COMPUTED_VALUE"""),"S(5)")</f>
        <v>S(5)</v>
      </c>
      <c r="BZ102" s="16" t="str">
        <f>IFERROR(__xludf.DUMMYFUNCTION("""COMPUTED_VALUE"""),"S(5)")</f>
        <v>S(5)</v>
      </c>
      <c r="CA102" s="16" t="str">
        <f>IFERROR(__xludf.DUMMYFUNCTION("""COMPUTED_VALUE"""),"S(5)")</f>
        <v>S(5)</v>
      </c>
      <c r="CB102" s="16"/>
      <c r="CC102" s="16"/>
      <c r="CD102" s="16">
        <f>IFERROR(__xludf.DUMMYFUNCTION("""COMPUTED_VALUE"""),5.0)</f>
        <v>5</v>
      </c>
      <c r="CE102" s="16"/>
      <c r="CF102" s="16"/>
      <c r="CG102" s="16" t="str">
        <f>IFERROR(__xludf.DUMMYFUNCTION("""COMPUTED_VALUE"""),"2-0")</f>
        <v>2-0</v>
      </c>
      <c r="CH102" s="16">
        <f>IFERROR(__xludf.DUMMYFUNCTION("""COMPUTED_VALUE"""),2.0)</f>
        <v>2</v>
      </c>
      <c r="CI102" s="16">
        <f>IFERROR(__xludf.DUMMYFUNCTION("""COMPUTED_VALUE"""),0.0)</f>
        <v>0</v>
      </c>
      <c r="CJ102" s="16">
        <f>IFERROR(__xludf.DUMMYFUNCTION("""COMPUTED_VALUE"""),0.0)</f>
        <v>0</v>
      </c>
      <c r="CK102" s="16">
        <f>IFERROR(__xludf.DUMMYFUNCTION("""COMPUTED_VALUE"""),4.0)</f>
        <v>4</v>
      </c>
      <c r="CL102" s="16" t="str">
        <f>IFERROR(__xludf.DUMMYFUNCTION("""COMPUTED_VALUE"""),"1WR-C")</f>
        <v>1WR-C</v>
      </c>
      <c r="CM102" s="16" t="str">
        <f>IFERROR(__xludf.DUMMYFUNCTION("""COMPUTED_VALUE"""),"E")</f>
        <v>E</v>
      </c>
      <c r="CN102" s="16">
        <f>IFERROR(__xludf.DUMMYFUNCTION("""COMPUTED_VALUE"""),10.0)</f>
        <v>10</v>
      </c>
      <c r="CO102" s="16" t="str">
        <f>IFERROR(__xludf.DUMMYFUNCTION("""COMPUTED_VALUE"""),"C")</f>
        <v>C</v>
      </c>
      <c r="CP102" s="16" t="str">
        <f>IFERROR(__xludf.DUMMYFUNCTION("""COMPUTED_VALUE"""),"3p50")</f>
        <v>3p50</v>
      </c>
      <c r="CQ102" s="16">
        <f>IFERROR(__xludf.DUMMYFUNCTION("""COMPUTED_VALUE"""),42.0)</f>
        <v>42</v>
      </c>
      <c r="CR102" s="16">
        <f>IFERROR(__xludf.DUMMYFUNCTION("""COMPUTED_VALUE"""),6.0)</f>
        <v>6</v>
      </c>
      <c r="CS102" s="16">
        <f>IFERROR(__xludf.DUMMYFUNCTION("""COMPUTED_VALUE"""),48.0)</f>
        <v>48</v>
      </c>
      <c r="CT102" s="16">
        <f>IFERROR(__xludf.DUMMYFUNCTION("""COMPUTED_VALUE"""),42.0)</f>
        <v>42</v>
      </c>
      <c r="CU102" s="16">
        <f>IFERROR(__xludf.DUMMYFUNCTION("""COMPUTED_VALUE"""),6.0)</f>
        <v>6</v>
      </c>
      <c r="CV102" s="179">
        <f>IFERROR(__xludf.DUMMYFUNCTION("""COMPUTED_VALUE"""),20.0)</f>
        <v>20</v>
      </c>
      <c r="CW102" s="179">
        <f>IFERROR(__xludf.DUMMYFUNCTION("""COMPUTED_VALUE"""),2.0)</f>
        <v>2</v>
      </c>
      <c r="CX102" s="179">
        <f>IFERROR(__xludf.DUMMYFUNCTION("""COMPUTED_VALUE"""),0.0)</f>
        <v>0</v>
      </c>
      <c r="CY102" s="16" t="str">
        <f>IFERROR(__xludf.DUMMYFUNCTION("""COMPUTED_VALUE"""),"SP")</f>
        <v>SP</v>
      </c>
      <c r="CZ102" s="16"/>
      <c r="DA102" s="16"/>
      <c r="DB102" s="16"/>
      <c r="DC102" s="16"/>
      <c r="DD102" s="16"/>
      <c r="DE102" s="16"/>
      <c r="DF102" s="16"/>
      <c r="DG102" s="16"/>
      <c r="DH102" s="16"/>
      <c r="DI102" s="16"/>
      <c r="DJ102" s="16"/>
      <c r="DK102" s="16"/>
    </row>
    <row r="103">
      <c r="A103" s="16">
        <f>IFERROR(__xludf.DUMMYFUNCTION("""COMPUTED_VALUE"""),13288.0)</f>
        <v>13288</v>
      </c>
      <c r="B103" s="16" t="str">
        <f>IFERROR(__xludf.DUMMYFUNCTION("""COMPUTED_VALUE"""),"Phil Maton")</f>
        <v>Phil Maton</v>
      </c>
      <c r="C103" s="153">
        <f>IFERROR(__xludf.DUMMYFUNCTION("""COMPUTED_VALUE"""),0.68)</f>
        <v>0.68</v>
      </c>
      <c r="D103" s="16"/>
      <c r="E103" s="16" t="str">
        <f>IFERROR(__xludf.DUMMYFUNCTION("""COMPUTED_VALUE"""),"R")</f>
        <v>R</v>
      </c>
      <c r="F103" s="16">
        <f>IFERROR(__xludf.DUMMYFUNCTION("""COMPUTED_VALUE"""),64.0)</f>
        <v>64</v>
      </c>
      <c r="G103" s="16">
        <f>IFERROR(__xludf.DUMMYFUNCTION("""COMPUTED_VALUE"""),23.0)</f>
        <v>23</v>
      </c>
      <c r="H103" s="16">
        <f>IFERROR(__xludf.DUMMYFUNCTION("""COMPUTED_VALUE"""),28.0)</f>
        <v>28</v>
      </c>
      <c r="I103" s="16">
        <f>IFERROR(__xludf.DUMMYFUNCTION("""COMPUTED_VALUE"""),-1.0)</f>
        <v>-1</v>
      </c>
      <c r="J103" s="16">
        <f>IFERROR(__xludf.DUMMYFUNCTION("""COMPUTED_VALUE"""),0.0)</f>
        <v>0</v>
      </c>
      <c r="K103" s="16">
        <f>IFERROR(__xludf.DUMMYFUNCTION("""COMPUTED_VALUE"""),-3.0)</f>
        <v>-3</v>
      </c>
      <c r="L103" s="16">
        <f>IFERROR(__xludf.DUMMYFUNCTION("""COMPUTED_VALUE"""),0.0)</f>
        <v>0</v>
      </c>
      <c r="M103" s="16">
        <f>IFERROR(__xludf.DUMMYFUNCTION("""COMPUTED_VALUE"""),10.0)</f>
        <v>10</v>
      </c>
      <c r="N103" s="16">
        <f>IFERROR(__xludf.DUMMYFUNCTION("""COMPUTED_VALUE"""),12.0)</f>
        <v>12</v>
      </c>
      <c r="O103" s="16">
        <f>IFERROR(__xludf.DUMMYFUNCTION("""COMPUTED_VALUE"""),0.0)</f>
        <v>0</v>
      </c>
      <c r="P103" s="16">
        <f>IFERROR(__xludf.DUMMYFUNCTION("""COMPUTED_VALUE"""),-2.0)</f>
        <v>-2</v>
      </c>
      <c r="Q103" s="16">
        <f>IFERROR(__xludf.DUMMYFUNCTION("""COMPUTED_VALUE"""),0.0)</f>
        <v>0</v>
      </c>
      <c r="R103" s="16">
        <f>IFERROR(__xludf.DUMMYFUNCTION("""COMPUTED_VALUE"""),-2.0)</f>
        <v>-2</v>
      </c>
      <c r="S103" s="16">
        <f>IFERROR(__xludf.DUMMYFUNCTION("""COMPUTED_VALUE"""),6.4)</f>
        <v>6.4</v>
      </c>
      <c r="T103" s="16">
        <f>IFERROR(__xludf.DUMMYFUNCTION("""COMPUTED_VALUE"""),8.8)</f>
        <v>8.8</v>
      </c>
      <c r="U103" s="16">
        <f>IFERROR(__xludf.DUMMYFUNCTION("""COMPUTED_VALUE"""),2.0)</f>
        <v>2</v>
      </c>
      <c r="V103" s="16">
        <f>IFERROR(__xludf.DUMMYFUNCTION("""COMPUTED_VALUE"""),1.0)</f>
        <v>1</v>
      </c>
      <c r="W103" s="16">
        <f>IFERROR(__xludf.DUMMYFUNCTION("""COMPUTED_VALUE"""),4.0)</f>
        <v>4</v>
      </c>
      <c r="X103" s="16">
        <f>IFERROR(__xludf.DUMMYFUNCTION("""COMPUTED_VALUE"""),2.0)</f>
        <v>2</v>
      </c>
      <c r="Y103" s="16">
        <f>IFERROR(__xludf.DUMMYFUNCTION("""COMPUTED_VALUE"""),16.5)</f>
        <v>16.5</v>
      </c>
      <c r="Z103" s="16">
        <f>IFERROR(__xludf.DUMMYFUNCTION("""COMPUTED_VALUE"""),20.8)</f>
        <v>20.8</v>
      </c>
      <c r="AA103" s="16">
        <f>IFERROR(__xludf.DUMMYFUNCTION("""COMPUTED_VALUE"""),1.0)</f>
        <v>1</v>
      </c>
      <c r="AB103" s="16">
        <f>IFERROR(__xludf.DUMMYFUNCTION("""COMPUTED_VALUE"""),1.0)</f>
        <v>1</v>
      </c>
      <c r="AC103" s="16">
        <f>IFERROR(__xludf.DUMMYFUNCTION("""COMPUTED_VALUE"""),5.0)</f>
        <v>5</v>
      </c>
      <c r="AD103" s="16">
        <f>IFERROR(__xludf.DUMMYFUNCTION("""COMPUTED_VALUE"""),5.0)</f>
        <v>5</v>
      </c>
      <c r="AE103" s="16">
        <f>IFERROR(__xludf.DUMMYFUNCTION("""COMPUTED_VALUE"""),17.1)</f>
        <v>17.1</v>
      </c>
      <c r="AF103" s="16">
        <f>IFERROR(__xludf.DUMMYFUNCTION("""COMPUTED_VALUE"""),17.2)</f>
        <v>17.2</v>
      </c>
      <c r="AG103" s="16">
        <f>IFERROR(__xludf.DUMMYFUNCTION("""COMPUTED_VALUE"""),1.0)</f>
        <v>1</v>
      </c>
      <c r="AH103" s="16">
        <f>IFERROR(__xludf.DUMMYFUNCTION("""COMPUTED_VALUE"""),1.0)</f>
        <v>1</v>
      </c>
      <c r="AI103" s="16">
        <f>IFERROR(__xludf.DUMMYFUNCTION("""COMPUTED_VALUE"""),2.0)</f>
        <v>2</v>
      </c>
      <c r="AJ103" s="16">
        <f>IFERROR(__xludf.DUMMYFUNCTION("""COMPUTED_VALUE"""),2.0)</f>
        <v>2</v>
      </c>
      <c r="AK103" s="16">
        <f>IFERROR(__xludf.DUMMYFUNCTION("""COMPUTED_VALUE"""),3.8000000000000003)</f>
        <v>3.8</v>
      </c>
      <c r="AL103" s="16">
        <f>IFERROR(__xludf.DUMMYFUNCTION("""COMPUTED_VALUE"""),8.0)</f>
        <v>8</v>
      </c>
      <c r="AM103" s="16">
        <f>IFERROR(__xludf.DUMMYFUNCTION("""COMPUTED_VALUE"""),2.0)</f>
        <v>2</v>
      </c>
      <c r="AN103" s="16">
        <f>IFERROR(__xludf.DUMMYFUNCTION("""COMPUTED_VALUE"""),1.0)</f>
        <v>1</v>
      </c>
      <c r="AO103" s="16">
        <f>IFERROR(__xludf.DUMMYFUNCTION("""COMPUTED_VALUE"""),2.0)</f>
        <v>2</v>
      </c>
      <c r="AP103" s="16">
        <f>IFERROR(__xludf.DUMMYFUNCTION("""COMPUTED_VALUE"""),1.0)</f>
        <v>1</v>
      </c>
      <c r="AQ103" s="16">
        <f>IFERROR(__xludf.DUMMYFUNCTION("""COMPUTED_VALUE"""),6.700000000000001)</f>
        <v>6.7</v>
      </c>
      <c r="AR103" s="16">
        <f>IFERROR(__xludf.DUMMYFUNCTION("""COMPUTED_VALUE"""),14.0)</f>
        <v>14</v>
      </c>
      <c r="AS103" s="16">
        <f>IFERROR(__xludf.DUMMYFUNCTION("""COMPUTED_VALUE"""),2.0)</f>
        <v>2</v>
      </c>
      <c r="AT103" s="16">
        <f>IFERROR(__xludf.DUMMYFUNCTION("""COMPUTED_VALUE"""),1.0)</f>
        <v>1</v>
      </c>
      <c r="AU103" s="16">
        <f>IFERROR(__xludf.DUMMYFUNCTION("""COMPUTED_VALUE"""),4.0)</f>
        <v>4</v>
      </c>
      <c r="AV103" s="16">
        <f>IFERROR(__xludf.DUMMYFUNCTION("""COMPUTED_VALUE"""),2.0)</f>
        <v>2</v>
      </c>
      <c r="AW103" s="16">
        <f>IFERROR(__xludf.DUMMYFUNCTION("""COMPUTED_VALUE"""),2.6)</f>
        <v>2.6</v>
      </c>
      <c r="AX103" s="16">
        <f>IFERROR(__xludf.DUMMYFUNCTION("""COMPUTED_VALUE"""),0.8)</f>
        <v>0.8</v>
      </c>
      <c r="AY103" s="16">
        <f>IFERROR(__xludf.DUMMYFUNCTION("""COMPUTED_VALUE"""),-1.0)</f>
        <v>-1</v>
      </c>
      <c r="AZ103" s="16">
        <f>IFERROR(__xludf.DUMMYFUNCTION("""COMPUTED_VALUE"""),1.0)</f>
        <v>1</v>
      </c>
      <c r="BA103" s="16">
        <f>IFERROR(__xludf.DUMMYFUNCTION("""COMPUTED_VALUE"""),-5.0)</f>
        <v>-5</v>
      </c>
      <c r="BB103" s="16">
        <f>IFERROR(__xludf.DUMMYFUNCTION("""COMPUTED_VALUE"""),5.0)</f>
        <v>5</v>
      </c>
      <c r="BC103" s="16">
        <f>IFERROR(__xludf.DUMMYFUNCTION("""COMPUTED_VALUE"""),4.0)</f>
        <v>4</v>
      </c>
      <c r="BD103" s="16">
        <f>IFERROR(__xludf.DUMMYFUNCTION("""COMPUTED_VALUE"""),1.0)</f>
        <v>1</v>
      </c>
      <c r="BE103" s="16">
        <f>IFERROR(__xludf.DUMMYFUNCTION("""COMPUTED_VALUE"""),4.0)</f>
        <v>4</v>
      </c>
      <c r="BF103" s="16">
        <f>IFERROR(__xludf.DUMMYFUNCTION("""COMPUTED_VALUE"""),1.0)</f>
        <v>1</v>
      </c>
      <c r="BG103" s="16">
        <f>IFERROR(__xludf.DUMMYFUNCTION("""COMPUTED_VALUE"""),-1.0)</f>
        <v>-1</v>
      </c>
      <c r="BH103" s="16">
        <f>IFERROR(__xludf.DUMMYFUNCTION("""COMPUTED_VALUE"""),2.0)</f>
        <v>2</v>
      </c>
      <c r="BI103" s="16">
        <f>IFERROR(__xludf.DUMMYFUNCTION("""COMPUTED_VALUE"""),-2.0)</f>
        <v>-2</v>
      </c>
      <c r="BJ103" s="16">
        <f>IFERROR(__xludf.DUMMYFUNCTION("""COMPUTED_VALUE"""),4.0)</f>
        <v>4</v>
      </c>
      <c r="BK103" s="16">
        <f>IFERROR(__xludf.DUMMYFUNCTION("""COMPUTED_VALUE"""),5.0)</f>
        <v>5</v>
      </c>
      <c r="BL103" s="16">
        <f>IFERROR(__xludf.DUMMYFUNCTION("""COMPUTED_VALUE"""),5.0)</f>
        <v>5</v>
      </c>
      <c r="BM103" s="16">
        <f>IFERROR(__xludf.DUMMYFUNCTION("""COMPUTED_VALUE"""),0.0)</f>
        <v>0</v>
      </c>
      <c r="BN103" s="16">
        <f>IFERROR(__xludf.DUMMYFUNCTION("""COMPUTED_VALUE"""),0.0)</f>
        <v>0</v>
      </c>
      <c r="BO103" s="16">
        <f>IFERROR(__xludf.DUMMYFUNCTION("""COMPUTED_VALUE"""),0.0)</f>
        <v>0</v>
      </c>
      <c r="BP103" s="16">
        <f>IFERROR(__xludf.DUMMYFUNCTION("""COMPUTED_VALUE"""),0.0)</f>
        <v>0</v>
      </c>
      <c r="BQ103" s="16">
        <f>IFERROR(__xludf.DUMMYFUNCTION("""COMPUTED_VALUE"""),5.0)</f>
        <v>5</v>
      </c>
      <c r="BR103" s="16">
        <f>IFERROR(__xludf.DUMMYFUNCTION("""COMPUTED_VALUE"""),5.0)</f>
        <v>5</v>
      </c>
      <c r="BS103" s="16">
        <f>IFERROR(__xludf.DUMMYFUNCTION("""COMPUTED_VALUE"""),0.0)</f>
        <v>0</v>
      </c>
      <c r="BT103" s="16">
        <f>IFERROR(__xludf.DUMMYFUNCTION("""COMPUTED_VALUE"""),0.0)</f>
        <v>0</v>
      </c>
      <c r="BU103" s="16">
        <f>IFERROR(__xludf.DUMMYFUNCTION("""COMPUTED_VALUE"""),0.0)</f>
        <v>0</v>
      </c>
      <c r="BV103" s="16">
        <f>IFERROR(__xludf.DUMMYFUNCTION("""COMPUTED_VALUE"""),0.0)</f>
        <v>0</v>
      </c>
      <c r="BW103" s="16">
        <f>IFERROR(__xludf.DUMMYFUNCTION("""COMPUTED_VALUE"""),-3.0)</f>
        <v>-3</v>
      </c>
      <c r="BX103" s="16">
        <f>IFERROR(__xludf.DUMMYFUNCTION("""COMPUTED_VALUE"""),-3.0)</f>
        <v>-3</v>
      </c>
      <c r="BY103" s="16" t="str">
        <f>IFERROR(__xludf.DUMMYFUNCTION("""COMPUTED_VALUE"""),"R(1) C(2)")</f>
        <v>R(1) C(2)</v>
      </c>
      <c r="BZ103" s="16" t="str">
        <f>IFERROR(__xludf.DUMMYFUNCTION("""COMPUTED_VALUE"""),"R(1) C(2)")</f>
        <v>R(1) C(2)</v>
      </c>
      <c r="CA103" s="16" t="str">
        <f>IFERROR(__xludf.DUMMYFUNCTION("""COMPUTED_VALUE"""),"R(1)")</f>
        <v>R(1)</v>
      </c>
      <c r="CB103" s="16" t="str">
        <f>IFERROR(__xludf.DUMMYFUNCTION("""COMPUTED_VALUE"""),"C(2)")</f>
        <v>C(2)</v>
      </c>
      <c r="CC103" s="16"/>
      <c r="CD103" s="16"/>
      <c r="CE103" s="16">
        <f>IFERROR(__xludf.DUMMYFUNCTION("""COMPUTED_VALUE"""),1.0)</f>
        <v>1</v>
      </c>
      <c r="CF103" s="16">
        <f>IFERROR(__xludf.DUMMYFUNCTION("""COMPUTED_VALUE"""),2.0)</f>
        <v>2</v>
      </c>
      <c r="CG103" s="16" t="str">
        <f>IFERROR(__xludf.DUMMYFUNCTION("""COMPUTED_VALUE"""),"2-0")</f>
        <v>2-0</v>
      </c>
      <c r="CH103" s="16">
        <f>IFERROR(__xludf.DUMMYFUNCTION("""COMPUTED_VALUE"""),2.0)</f>
        <v>2</v>
      </c>
      <c r="CI103" s="16">
        <f>IFERROR(__xludf.DUMMYFUNCTION("""COMPUTED_VALUE"""),0.0)</f>
        <v>0</v>
      </c>
      <c r="CJ103" s="16">
        <f>IFERROR(__xludf.DUMMYFUNCTION("""COMPUTED_VALUE"""),0.0)</f>
        <v>0</v>
      </c>
      <c r="CK103" s="16">
        <f>IFERROR(__xludf.DUMMYFUNCTION("""COMPUTED_VALUE"""),3.0)</f>
        <v>3</v>
      </c>
      <c r="CL103" s="16" t="str">
        <f>IFERROR(__xludf.DUMMYFUNCTION("""COMPUTED_VALUE"""),"1WR-C")</f>
        <v>1WR-C</v>
      </c>
      <c r="CM103" s="16" t="str">
        <f>IFERROR(__xludf.DUMMYFUNCTION("""COMPUTED_VALUE"""),"E")</f>
        <v>E</v>
      </c>
      <c r="CN103" s="16">
        <f>IFERROR(__xludf.DUMMYFUNCTION("""COMPUTED_VALUE"""),10.0)</f>
        <v>10</v>
      </c>
      <c r="CO103" s="16" t="str">
        <f>IFERROR(__xludf.DUMMYFUNCTION("""COMPUTED_VALUE"""),"C")</f>
        <v>C</v>
      </c>
      <c r="CP103" s="16" t="str">
        <f>IFERROR(__xludf.DUMMYFUNCTION("""COMPUTED_VALUE"""),"0p72")</f>
        <v>0p72</v>
      </c>
      <c r="CQ103" s="16">
        <f>IFERROR(__xludf.DUMMYFUNCTION("""COMPUTED_VALUE"""),7.0)</f>
        <v>7</v>
      </c>
      <c r="CR103" s="16">
        <f>IFERROR(__xludf.DUMMYFUNCTION("""COMPUTED_VALUE"""),19.0)</f>
        <v>19</v>
      </c>
      <c r="CS103" s="16">
        <f>IFERROR(__xludf.DUMMYFUNCTION("""COMPUTED_VALUE"""),26.0)</f>
        <v>26</v>
      </c>
      <c r="CT103" s="16">
        <f>IFERROR(__xludf.DUMMYFUNCTION("""COMPUTED_VALUE"""),7.0)</f>
        <v>7</v>
      </c>
      <c r="CU103" s="16">
        <f>IFERROR(__xludf.DUMMYFUNCTION("""COMPUTED_VALUE"""),19.0)</f>
        <v>19</v>
      </c>
      <c r="CV103" s="179">
        <f>IFERROR(__xludf.DUMMYFUNCTION("""COMPUTED_VALUE"""),20.0)</f>
        <v>20</v>
      </c>
      <c r="CW103" s="179">
        <f>IFERROR(__xludf.DUMMYFUNCTION("""COMPUTED_VALUE"""),5.0)</f>
        <v>5</v>
      </c>
      <c r="CX103" s="179">
        <f>IFERROR(__xludf.DUMMYFUNCTION("""COMPUTED_VALUE"""),4.0)</f>
        <v>4</v>
      </c>
      <c r="CY103" s="16" t="str">
        <f>IFERROR(__xludf.DUMMYFUNCTION("""COMPUTED_VALUE"""),"RP")</f>
        <v>RP</v>
      </c>
      <c r="CZ103" s="16" t="str">
        <f>IFERROR(__xludf.DUMMYFUNCTION("""COMPUTED_VALUE"""),"CP")</f>
        <v>CP</v>
      </c>
      <c r="DA103" s="16"/>
      <c r="DB103" s="16"/>
      <c r="DC103" s="16"/>
      <c r="DD103" s="16"/>
      <c r="DE103" s="16"/>
      <c r="DF103" s="16"/>
      <c r="DG103" s="16"/>
      <c r="DH103" s="16"/>
      <c r="DI103" s="16"/>
      <c r="DJ103" s="16"/>
      <c r="DK103" s="16"/>
    </row>
    <row r="104">
      <c r="A104" s="16">
        <f>IFERROR(__xludf.DUMMYFUNCTION("""COMPUTED_VALUE"""),12935.0)</f>
        <v>12935</v>
      </c>
      <c r="B104" s="16" t="str">
        <f>IFERROR(__xludf.DUMMYFUNCTION("""COMPUTED_VALUE"""),"Jason Foley")</f>
        <v>Jason Foley</v>
      </c>
      <c r="C104" s="153">
        <f>IFERROR(__xludf.DUMMYFUNCTION("""COMPUTED_VALUE"""),0.64)</f>
        <v>0.64</v>
      </c>
      <c r="D104" s="16"/>
      <c r="E104" s="16" t="str">
        <f>IFERROR(__xludf.DUMMYFUNCTION("""COMPUTED_VALUE"""),"R")</f>
        <v>R</v>
      </c>
      <c r="F104" s="16">
        <f>IFERROR(__xludf.DUMMYFUNCTION("""COMPUTED_VALUE"""),60.0)</f>
        <v>60</v>
      </c>
      <c r="G104" s="16">
        <f>IFERROR(__xludf.DUMMYFUNCTION("""COMPUTED_VALUE"""),23.0)</f>
        <v>23</v>
      </c>
      <c r="H104" s="16">
        <f>IFERROR(__xludf.DUMMYFUNCTION("""COMPUTED_VALUE"""),12.0)</f>
        <v>12</v>
      </c>
      <c r="I104" s="16">
        <f>IFERROR(__xludf.DUMMYFUNCTION("""COMPUTED_VALUE"""),-1.0)</f>
        <v>-1</v>
      </c>
      <c r="J104" s="16">
        <f>IFERROR(__xludf.DUMMYFUNCTION("""COMPUTED_VALUE"""),-2.0)</f>
        <v>-2</v>
      </c>
      <c r="K104" s="16">
        <f>IFERROR(__xludf.DUMMYFUNCTION("""COMPUTED_VALUE"""),-3.0)</f>
        <v>-3</v>
      </c>
      <c r="L104" s="16">
        <f>IFERROR(__xludf.DUMMYFUNCTION("""COMPUTED_VALUE"""),-6.0)</f>
        <v>-6</v>
      </c>
      <c r="M104" s="16">
        <f>IFERROR(__xludf.DUMMYFUNCTION("""COMPUTED_VALUE"""),17.0)</f>
        <v>17</v>
      </c>
      <c r="N104" s="16">
        <f>IFERROR(__xludf.DUMMYFUNCTION("""COMPUTED_VALUE"""),1.0)</f>
        <v>1</v>
      </c>
      <c r="O104" s="16">
        <f>IFERROR(__xludf.DUMMYFUNCTION("""COMPUTED_VALUE"""),-2.0)</f>
        <v>-2</v>
      </c>
      <c r="P104" s="16">
        <f>IFERROR(__xludf.DUMMYFUNCTION("""COMPUTED_VALUE"""),3.0)</f>
        <v>3</v>
      </c>
      <c r="Q104" s="16">
        <f>IFERROR(__xludf.DUMMYFUNCTION("""COMPUTED_VALUE"""),-2.0)</f>
        <v>-2</v>
      </c>
      <c r="R104" s="16">
        <f>IFERROR(__xludf.DUMMYFUNCTION("""COMPUTED_VALUE"""),3.0)</f>
        <v>3</v>
      </c>
      <c r="S104" s="16">
        <f>IFERROR(__xludf.DUMMYFUNCTION("""COMPUTED_VALUE"""),4.1)</f>
        <v>4.1</v>
      </c>
      <c r="T104" s="16">
        <f>IFERROR(__xludf.DUMMYFUNCTION("""COMPUTED_VALUE"""),19.9)</f>
        <v>19.9</v>
      </c>
      <c r="U104" s="16">
        <f>IFERROR(__xludf.DUMMYFUNCTION("""COMPUTED_VALUE"""),2.0)</f>
        <v>2</v>
      </c>
      <c r="V104" s="16">
        <f>IFERROR(__xludf.DUMMYFUNCTION("""COMPUTED_VALUE"""),-1.0)</f>
        <v>-1</v>
      </c>
      <c r="W104" s="16">
        <f>IFERROR(__xludf.DUMMYFUNCTION("""COMPUTED_VALUE"""),4.0)</f>
        <v>4</v>
      </c>
      <c r="X104" s="16">
        <f>IFERROR(__xludf.DUMMYFUNCTION("""COMPUTED_VALUE"""),-2.0)</f>
        <v>-2</v>
      </c>
      <c r="Y104" s="16">
        <f>IFERROR(__xludf.DUMMYFUNCTION("""COMPUTED_VALUE"""),21.1)</f>
        <v>21.1</v>
      </c>
      <c r="Z104" s="16">
        <f>IFERROR(__xludf.DUMMYFUNCTION("""COMPUTED_VALUE"""),20.9)</f>
        <v>20.9</v>
      </c>
      <c r="AA104" s="16">
        <f>IFERROR(__xludf.DUMMYFUNCTION("""COMPUTED_VALUE"""),1.0)</f>
        <v>1</v>
      </c>
      <c r="AB104" s="16">
        <f>IFERROR(__xludf.DUMMYFUNCTION("""COMPUTED_VALUE"""),1.0)</f>
        <v>1</v>
      </c>
      <c r="AC104" s="16">
        <f>IFERROR(__xludf.DUMMYFUNCTION("""COMPUTED_VALUE"""),5.0)</f>
        <v>5</v>
      </c>
      <c r="AD104" s="16">
        <f>IFERROR(__xludf.DUMMYFUNCTION("""COMPUTED_VALUE"""),5.0)</f>
        <v>5</v>
      </c>
      <c r="AE104" s="16">
        <f>IFERROR(__xludf.DUMMYFUNCTION("""COMPUTED_VALUE"""),13.0)</f>
        <v>13</v>
      </c>
      <c r="AF104" s="16">
        <f>IFERROR(__xludf.DUMMYFUNCTION("""COMPUTED_VALUE"""),24.1)</f>
        <v>24.1</v>
      </c>
      <c r="AG104" s="16">
        <f>IFERROR(__xludf.DUMMYFUNCTION("""COMPUTED_VALUE"""),1.0)</f>
        <v>1</v>
      </c>
      <c r="AH104" s="16">
        <f>IFERROR(__xludf.DUMMYFUNCTION("""COMPUTED_VALUE"""),0.0)</f>
        <v>0</v>
      </c>
      <c r="AI104" s="16">
        <f>IFERROR(__xludf.DUMMYFUNCTION("""COMPUTED_VALUE"""),2.0)</f>
        <v>2</v>
      </c>
      <c r="AJ104" s="16">
        <f>IFERROR(__xludf.DUMMYFUNCTION("""COMPUTED_VALUE"""),0.0)</f>
        <v>0</v>
      </c>
      <c r="AK104" s="16">
        <f>IFERROR(__xludf.DUMMYFUNCTION("""COMPUTED_VALUE"""),2.3)</f>
        <v>2.3</v>
      </c>
      <c r="AL104" s="16">
        <f>IFERROR(__xludf.DUMMYFUNCTION("""COMPUTED_VALUE"""),19.9)</f>
        <v>19.9</v>
      </c>
      <c r="AM104" s="16">
        <f>IFERROR(__xludf.DUMMYFUNCTION("""COMPUTED_VALUE"""),2.0)</f>
        <v>2</v>
      </c>
      <c r="AN104" s="16">
        <f>IFERROR(__xludf.DUMMYFUNCTION("""COMPUTED_VALUE"""),-1.0)</f>
        <v>-1</v>
      </c>
      <c r="AO104" s="16">
        <f>IFERROR(__xludf.DUMMYFUNCTION("""COMPUTED_VALUE"""),2.0)</f>
        <v>2</v>
      </c>
      <c r="AP104" s="16">
        <f>IFERROR(__xludf.DUMMYFUNCTION("""COMPUTED_VALUE"""),-1.0)</f>
        <v>-1</v>
      </c>
      <c r="AQ104" s="16">
        <f>IFERROR(__xludf.DUMMYFUNCTION("""COMPUTED_VALUE"""),5.8)</f>
        <v>5.8</v>
      </c>
      <c r="AR104" s="16">
        <f>IFERROR(__xludf.DUMMYFUNCTION("""COMPUTED_VALUE"""),24.1)</f>
        <v>24.1</v>
      </c>
      <c r="AS104" s="16">
        <f>IFERROR(__xludf.DUMMYFUNCTION("""COMPUTED_VALUE"""),2.0)</f>
        <v>2</v>
      </c>
      <c r="AT104" s="16">
        <f>IFERROR(__xludf.DUMMYFUNCTION("""COMPUTED_VALUE"""),-1.0)</f>
        <v>-1</v>
      </c>
      <c r="AU104" s="16">
        <f>IFERROR(__xludf.DUMMYFUNCTION("""COMPUTED_VALUE"""),4.0)</f>
        <v>4</v>
      </c>
      <c r="AV104" s="16">
        <f>IFERROR(__xludf.DUMMYFUNCTION("""COMPUTED_VALUE"""),-2.0)</f>
        <v>-2</v>
      </c>
      <c r="AW104" s="16">
        <f>IFERROR(__xludf.DUMMYFUNCTION("""COMPUTED_VALUE"""),1.8)</f>
        <v>1.8</v>
      </c>
      <c r="AX104" s="16">
        <f>IFERROR(__xludf.DUMMYFUNCTION("""COMPUTED_VALUE"""),0.0)</f>
        <v>0</v>
      </c>
      <c r="AY104" s="16">
        <f>IFERROR(__xludf.DUMMYFUNCTION("""COMPUTED_VALUE"""),0.0)</f>
        <v>0</v>
      </c>
      <c r="AZ104" s="16">
        <f>IFERROR(__xludf.DUMMYFUNCTION("""COMPUTED_VALUE"""),2.0)</f>
        <v>2</v>
      </c>
      <c r="BA104" s="16">
        <f>IFERROR(__xludf.DUMMYFUNCTION("""COMPUTED_VALUE"""),0.0)</f>
        <v>0</v>
      </c>
      <c r="BB104" s="16">
        <f>IFERROR(__xludf.DUMMYFUNCTION("""COMPUTED_VALUE"""),10.0)</f>
        <v>10</v>
      </c>
      <c r="BC104" s="16"/>
      <c r="BD104" s="16">
        <f>IFERROR(__xludf.DUMMYFUNCTION("""COMPUTED_VALUE"""),0.0)</f>
        <v>0</v>
      </c>
      <c r="BE104" s="16">
        <f>IFERROR(__xludf.DUMMYFUNCTION("""COMPUTED_VALUE"""),3.0)</f>
        <v>3</v>
      </c>
      <c r="BF104" s="16">
        <f>IFERROR(__xludf.DUMMYFUNCTION("""COMPUTED_VALUE"""),0.0)</f>
        <v>0</v>
      </c>
      <c r="BG104" s="16">
        <f>IFERROR(__xludf.DUMMYFUNCTION("""COMPUTED_VALUE"""),0.0)</f>
        <v>0</v>
      </c>
      <c r="BH104" s="16">
        <f>IFERROR(__xludf.DUMMYFUNCTION("""COMPUTED_VALUE"""),2.0)</f>
        <v>2</v>
      </c>
      <c r="BI104" s="16">
        <f>IFERROR(__xludf.DUMMYFUNCTION("""COMPUTED_VALUE"""),0.0)</f>
        <v>0</v>
      </c>
      <c r="BJ104" s="16">
        <f>IFERROR(__xludf.DUMMYFUNCTION("""COMPUTED_VALUE"""),4.0)</f>
        <v>4</v>
      </c>
      <c r="BK104" s="16">
        <f>IFERROR(__xludf.DUMMYFUNCTION("""COMPUTED_VALUE"""),0.0)</f>
        <v>0</v>
      </c>
      <c r="BL104" s="16">
        <f>IFERROR(__xludf.DUMMYFUNCTION("""COMPUTED_VALUE"""),5.0)</f>
        <v>5</v>
      </c>
      <c r="BM104" s="16">
        <f>IFERROR(__xludf.DUMMYFUNCTION("""COMPUTED_VALUE"""),1.0)</f>
        <v>1</v>
      </c>
      <c r="BN104" s="16">
        <f>IFERROR(__xludf.DUMMYFUNCTION("""COMPUTED_VALUE"""),0.0)</f>
        <v>0</v>
      </c>
      <c r="BO104" s="16">
        <f>IFERROR(__xludf.DUMMYFUNCTION("""COMPUTED_VALUE"""),1.0)</f>
        <v>1</v>
      </c>
      <c r="BP104" s="16">
        <f>IFERROR(__xludf.DUMMYFUNCTION("""COMPUTED_VALUE"""),0.0)</f>
        <v>0</v>
      </c>
      <c r="BQ104" s="16">
        <f>IFERROR(__xludf.DUMMYFUNCTION("""COMPUTED_VALUE"""),8.0)</f>
        <v>8</v>
      </c>
      <c r="BR104" s="16">
        <f>IFERROR(__xludf.DUMMYFUNCTION("""COMPUTED_VALUE"""),8.0)</f>
        <v>8</v>
      </c>
      <c r="BS104" s="16">
        <f>IFERROR(__xludf.DUMMYFUNCTION("""COMPUTED_VALUE"""),2.0)</f>
        <v>2</v>
      </c>
      <c r="BT104" s="16">
        <f>IFERROR(__xludf.DUMMYFUNCTION("""COMPUTED_VALUE"""),2.0)</f>
        <v>2</v>
      </c>
      <c r="BU104" s="16">
        <f>IFERROR(__xludf.DUMMYFUNCTION("""COMPUTED_VALUE"""),4.0)</f>
        <v>4</v>
      </c>
      <c r="BV104" s="16">
        <f>IFERROR(__xludf.DUMMYFUNCTION("""COMPUTED_VALUE"""),4.0)</f>
        <v>4</v>
      </c>
      <c r="BW104" s="16">
        <f>IFERROR(__xludf.DUMMYFUNCTION("""COMPUTED_VALUE"""),6.0)</f>
        <v>6</v>
      </c>
      <c r="BX104" s="16">
        <f>IFERROR(__xludf.DUMMYFUNCTION("""COMPUTED_VALUE"""),6.0)</f>
        <v>6</v>
      </c>
      <c r="BY104" s="16" t="str">
        <f>IFERROR(__xludf.DUMMYFUNCTION("""COMPUTED_VALUE"""),"R(1) C(5)")</f>
        <v>R(1) C(5)</v>
      </c>
      <c r="BZ104" s="16" t="str">
        <f>IFERROR(__xludf.DUMMYFUNCTION("""COMPUTED_VALUE"""),"R(1) C(5)")</f>
        <v>R(1) C(5)</v>
      </c>
      <c r="CA104" s="16" t="str">
        <f>IFERROR(__xludf.DUMMYFUNCTION("""COMPUTED_VALUE"""),"R(1)")</f>
        <v>R(1)</v>
      </c>
      <c r="CB104" s="16" t="str">
        <f>IFERROR(__xludf.DUMMYFUNCTION("""COMPUTED_VALUE"""),"C(5)")</f>
        <v>C(5)</v>
      </c>
      <c r="CC104" s="16"/>
      <c r="CD104" s="16"/>
      <c r="CE104" s="16">
        <f>IFERROR(__xludf.DUMMYFUNCTION("""COMPUTED_VALUE"""),1.0)</f>
        <v>1</v>
      </c>
      <c r="CF104" s="16">
        <f>IFERROR(__xludf.DUMMYFUNCTION("""COMPUTED_VALUE"""),5.0)</f>
        <v>5</v>
      </c>
      <c r="CG104" s="16" t="str">
        <f>IFERROR(__xludf.DUMMYFUNCTION("""COMPUTED_VALUE"""),"4-0")</f>
        <v>4-0</v>
      </c>
      <c r="CH104" s="16">
        <f>IFERROR(__xludf.DUMMYFUNCTION("""COMPUTED_VALUE"""),4.0)</f>
        <v>4</v>
      </c>
      <c r="CI104" s="16">
        <f>IFERROR(__xludf.DUMMYFUNCTION("""COMPUTED_VALUE"""),0.0)</f>
        <v>0</v>
      </c>
      <c r="CJ104" s="16">
        <f>IFERROR(__xludf.DUMMYFUNCTION("""COMPUTED_VALUE"""),5.0)</f>
        <v>5</v>
      </c>
      <c r="CK104" s="16">
        <f>IFERROR(__xludf.DUMMYFUNCTION("""COMPUTED_VALUE"""),3.0)</f>
        <v>3</v>
      </c>
      <c r="CL104" s="16" t="str">
        <f>IFERROR(__xludf.DUMMYFUNCTION("""COMPUTED_VALUE"""),"1WR-C")</f>
        <v>1WR-C</v>
      </c>
      <c r="CM104" s="16" t="str">
        <f>IFERROR(__xludf.DUMMYFUNCTION("""COMPUTED_VALUE"""),"E")</f>
        <v>E</v>
      </c>
      <c r="CN104" s="16">
        <f>IFERROR(__xludf.DUMMYFUNCTION("""COMPUTED_VALUE"""),10.0)</f>
        <v>10</v>
      </c>
      <c r="CO104" s="16" t="str">
        <f>IFERROR(__xludf.DUMMYFUNCTION("""COMPUTED_VALUE"""),"C")</f>
        <v>C</v>
      </c>
      <c r="CP104" s="16" t="str">
        <f>IFERROR(__xludf.DUMMYFUNCTION("""COMPUTED_VALUE"""),"1p50")</f>
        <v>1p50</v>
      </c>
      <c r="CQ104" s="16">
        <f>IFERROR(__xludf.DUMMYFUNCTION("""COMPUTED_VALUE"""),17.0)</f>
        <v>17</v>
      </c>
      <c r="CR104" s="16">
        <f>IFERROR(__xludf.DUMMYFUNCTION("""COMPUTED_VALUE"""),15.0)</f>
        <v>15</v>
      </c>
      <c r="CS104" s="16">
        <f>IFERROR(__xludf.DUMMYFUNCTION("""COMPUTED_VALUE"""),32.0)</f>
        <v>32</v>
      </c>
      <c r="CT104" s="16">
        <f>IFERROR(__xludf.DUMMYFUNCTION("""COMPUTED_VALUE"""),17.0)</f>
        <v>17</v>
      </c>
      <c r="CU104" s="16">
        <f>IFERROR(__xludf.DUMMYFUNCTION("""COMPUTED_VALUE"""),15.0)</f>
        <v>15</v>
      </c>
      <c r="CV104" s="179">
        <f>IFERROR(__xludf.DUMMYFUNCTION("""COMPUTED_VALUE"""),19.666666666666664)</f>
        <v>19.66666667</v>
      </c>
      <c r="CW104" s="179">
        <f>IFERROR(__xludf.DUMMYFUNCTION("""COMPUTED_VALUE"""),4.0)</f>
        <v>4</v>
      </c>
      <c r="CX104" s="179">
        <f>IFERROR(__xludf.DUMMYFUNCTION("""COMPUTED_VALUE"""),0.0)</f>
        <v>0</v>
      </c>
      <c r="CY104" s="16" t="str">
        <f>IFERROR(__xludf.DUMMYFUNCTION("""COMPUTED_VALUE"""),"RP")</f>
        <v>RP</v>
      </c>
      <c r="CZ104" s="16" t="str">
        <f>IFERROR(__xludf.DUMMYFUNCTION("""COMPUTED_VALUE"""),"CP")</f>
        <v>CP</v>
      </c>
      <c r="DA104" s="16"/>
      <c r="DB104" s="16"/>
      <c r="DC104" s="16"/>
      <c r="DD104" s="16"/>
      <c r="DE104" s="16"/>
      <c r="DF104" s="16"/>
      <c r="DG104" s="16"/>
      <c r="DH104" s="16"/>
      <c r="DI104" s="16"/>
      <c r="DJ104" s="16"/>
      <c r="DK104" s="16"/>
    </row>
    <row r="105">
      <c r="A105" s="16">
        <f>IFERROR(__xludf.DUMMYFUNCTION("""COMPUTED_VALUE"""),12726.0)</f>
        <v>12726</v>
      </c>
      <c r="B105" s="16" t="str">
        <f>IFERROR(__xludf.DUMMYFUNCTION("""COMPUTED_VALUE"""),"Daniel Lynch")</f>
        <v>Daniel Lynch</v>
      </c>
      <c r="C105" s="153">
        <f>IFERROR(__xludf.DUMMYFUNCTION("""COMPUTED_VALUE"""),1.5)</f>
        <v>1.5</v>
      </c>
      <c r="D105" s="16"/>
      <c r="E105" s="16" t="str">
        <f>IFERROR(__xludf.DUMMYFUNCTION("""COMPUTED_VALUE"""),"L")</f>
        <v>L</v>
      </c>
      <c r="F105" s="16">
        <f>IFERROR(__xludf.DUMMYFUNCTION("""COMPUTED_VALUE"""),43.0)</f>
        <v>43</v>
      </c>
      <c r="G105" s="16">
        <f>IFERROR(__xludf.DUMMYFUNCTION("""COMPUTED_VALUE"""),36.0)</f>
        <v>36</v>
      </c>
      <c r="H105" s="16">
        <f>IFERROR(__xludf.DUMMYFUNCTION("""COMPUTED_VALUE"""),20.0)</f>
        <v>20</v>
      </c>
      <c r="I105" s="16">
        <f>IFERROR(__xludf.DUMMYFUNCTION("""COMPUTED_VALUE"""),1.0)</f>
        <v>1</v>
      </c>
      <c r="J105" s="16">
        <f>IFERROR(__xludf.DUMMYFUNCTION("""COMPUTED_VALUE"""),-1.0)</f>
        <v>-1</v>
      </c>
      <c r="K105" s="16">
        <f>IFERROR(__xludf.DUMMYFUNCTION("""COMPUTED_VALUE"""),3.0)</f>
        <v>3</v>
      </c>
      <c r="L105" s="16">
        <f>IFERROR(__xludf.DUMMYFUNCTION("""COMPUTED_VALUE"""),-3.0)</f>
        <v>-3</v>
      </c>
      <c r="M105" s="16">
        <f>IFERROR(__xludf.DUMMYFUNCTION("""COMPUTED_VALUE"""),10.0)</f>
        <v>10</v>
      </c>
      <c r="N105" s="16">
        <f>IFERROR(__xludf.DUMMYFUNCTION("""COMPUTED_VALUE"""),9.0)</f>
        <v>9</v>
      </c>
      <c r="O105" s="16">
        <f>IFERROR(__xludf.DUMMYFUNCTION("""COMPUTED_VALUE"""),0.0)</f>
        <v>0</v>
      </c>
      <c r="P105" s="16">
        <f>IFERROR(__xludf.DUMMYFUNCTION("""COMPUTED_VALUE"""),0.0)</f>
        <v>0</v>
      </c>
      <c r="Q105" s="16">
        <f>IFERROR(__xludf.DUMMYFUNCTION("""COMPUTED_VALUE"""),0.0)</f>
        <v>0</v>
      </c>
      <c r="R105" s="16">
        <f>IFERROR(__xludf.DUMMYFUNCTION("""COMPUTED_VALUE"""),0.0)</f>
        <v>0</v>
      </c>
      <c r="S105" s="16">
        <f>IFERROR(__xludf.DUMMYFUNCTION("""COMPUTED_VALUE"""),0.0)</f>
        <v>0</v>
      </c>
      <c r="T105" s="16">
        <f>IFERROR(__xludf.DUMMYFUNCTION("""COMPUTED_VALUE"""),12.4)</f>
        <v>12.4</v>
      </c>
      <c r="U105" s="16">
        <f>IFERROR(__xludf.DUMMYFUNCTION("""COMPUTED_VALUE"""),3.0)</f>
        <v>3</v>
      </c>
      <c r="V105" s="16">
        <f>IFERROR(__xludf.DUMMYFUNCTION("""COMPUTED_VALUE"""),1.0)</f>
        <v>1</v>
      </c>
      <c r="W105" s="16">
        <f>IFERROR(__xludf.DUMMYFUNCTION("""COMPUTED_VALUE"""),6.0)</f>
        <v>6</v>
      </c>
      <c r="X105" s="16">
        <f>IFERROR(__xludf.DUMMYFUNCTION("""COMPUTED_VALUE"""),2.0)</f>
        <v>2</v>
      </c>
      <c r="Y105" s="16">
        <f>IFERROR(__xludf.DUMMYFUNCTION("""COMPUTED_VALUE"""),10.0)</f>
        <v>10</v>
      </c>
      <c r="Z105" s="16">
        <f>IFERROR(__xludf.DUMMYFUNCTION("""COMPUTED_VALUE"""),21.5)</f>
        <v>21.5</v>
      </c>
      <c r="AA105" s="16">
        <f>IFERROR(__xludf.DUMMYFUNCTION("""COMPUTED_VALUE"""),2.0)</f>
        <v>2</v>
      </c>
      <c r="AB105" s="16">
        <f>IFERROR(__xludf.DUMMYFUNCTION("""COMPUTED_VALUE"""),1.0)</f>
        <v>1</v>
      </c>
      <c r="AC105" s="16">
        <f>IFERROR(__xludf.DUMMYFUNCTION("""COMPUTED_VALUE"""),10.0)</f>
        <v>10</v>
      </c>
      <c r="AD105" s="16">
        <f>IFERROR(__xludf.DUMMYFUNCTION("""COMPUTED_VALUE"""),5.0)</f>
        <v>5</v>
      </c>
      <c r="AE105" s="16">
        <f>IFERROR(__xludf.DUMMYFUNCTION("""COMPUTED_VALUE"""),0.0)</f>
        <v>0</v>
      </c>
      <c r="AF105" s="16">
        <f>IFERROR(__xludf.DUMMYFUNCTION("""COMPUTED_VALUE"""),31.1)</f>
        <v>31.1</v>
      </c>
      <c r="AG105" s="16">
        <f>IFERROR(__xludf.DUMMYFUNCTION("""COMPUTED_VALUE"""),3.0)</f>
        <v>3</v>
      </c>
      <c r="AH105" s="16">
        <f>IFERROR(__xludf.DUMMYFUNCTION("""COMPUTED_VALUE"""),0.0)</f>
        <v>0</v>
      </c>
      <c r="AI105" s="16">
        <f>IFERROR(__xludf.DUMMYFUNCTION("""COMPUTED_VALUE"""),6.0)</f>
        <v>6</v>
      </c>
      <c r="AJ105" s="16">
        <f>IFERROR(__xludf.DUMMYFUNCTION("""COMPUTED_VALUE"""),0.0)</f>
        <v>0</v>
      </c>
      <c r="AK105" s="16">
        <f>IFERROR(__xludf.DUMMYFUNCTION("""COMPUTED_VALUE"""),0.0)</f>
        <v>0</v>
      </c>
      <c r="AL105" s="16">
        <f>IFERROR(__xludf.DUMMYFUNCTION("""COMPUTED_VALUE"""),8.100000000000001)</f>
        <v>8.1</v>
      </c>
      <c r="AM105" s="16">
        <f>IFERROR(__xludf.DUMMYFUNCTION("""COMPUTED_VALUE"""),3.0)</f>
        <v>3</v>
      </c>
      <c r="AN105" s="16">
        <f>IFERROR(__xludf.DUMMYFUNCTION("""COMPUTED_VALUE"""),1.0)</f>
        <v>1</v>
      </c>
      <c r="AO105" s="16">
        <f>IFERROR(__xludf.DUMMYFUNCTION("""COMPUTED_VALUE"""),3.0)</f>
        <v>3</v>
      </c>
      <c r="AP105" s="16">
        <f>IFERROR(__xludf.DUMMYFUNCTION("""COMPUTED_VALUE"""),1.0)</f>
        <v>1</v>
      </c>
      <c r="AQ105" s="16">
        <f>IFERROR(__xludf.DUMMYFUNCTION("""COMPUTED_VALUE"""),0.0)</f>
        <v>0</v>
      </c>
      <c r="AR105" s="16">
        <f>IFERROR(__xludf.DUMMYFUNCTION("""COMPUTED_VALUE"""),13.900000000000002)</f>
        <v>13.9</v>
      </c>
      <c r="AS105" s="16">
        <f>IFERROR(__xludf.DUMMYFUNCTION("""COMPUTED_VALUE"""),3.0)</f>
        <v>3</v>
      </c>
      <c r="AT105" s="16">
        <f>IFERROR(__xludf.DUMMYFUNCTION("""COMPUTED_VALUE"""),1.0)</f>
        <v>1</v>
      </c>
      <c r="AU105" s="16">
        <f>IFERROR(__xludf.DUMMYFUNCTION("""COMPUTED_VALUE"""),6.0)</f>
        <v>6</v>
      </c>
      <c r="AV105" s="16">
        <f>IFERROR(__xludf.DUMMYFUNCTION("""COMPUTED_VALUE"""),2.0)</f>
        <v>2</v>
      </c>
      <c r="AW105" s="16">
        <f>IFERROR(__xludf.DUMMYFUNCTION("""COMPUTED_VALUE"""),0.0)</f>
        <v>0</v>
      </c>
      <c r="AX105" s="16">
        <f>IFERROR(__xludf.DUMMYFUNCTION("""COMPUTED_VALUE"""),4.3)</f>
        <v>4.3</v>
      </c>
      <c r="AY105" s="16">
        <f>IFERROR(__xludf.DUMMYFUNCTION("""COMPUTED_VALUE"""),2.0)</f>
        <v>2</v>
      </c>
      <c r="AZ105" s="16">
        <f>IFERROR(__xludf.DUMMYFUNCTION("""COMPUTED_VALUE"""),-2.0)</f>
        <v>-2</v>
      </c>
      <c r="BA105" s="16">
        <f>IFERROR(__xludf.DUMMYFUNCTION("""COMPUTED_VALUE"""),10.0)</f>
        <v>10</v>
      </c>
      <c r="BB105" s="16">
        <f>IFERROR(__xludf.DUMMYFUNCTION("""COMPUTED_VALUE"""),-10.0)</f>
        <v>-10</v>
      </c>
      <c r="BC105" s="16"/>
      <c r="BD105" s="16"/>
      <c r="BE105" s="16">
        <f>IFERROR(__xludf.DUMMYFUNCTION("""COMPUTED_VALUE"""),0.0)</f>
        <v>0</v>
      </c>
      <c r="BF105" s="16">
        <f>IFERROR(__xludf.DUMMYFUNCTION("""COMPUTED_VALUE"""),8.0)</f>
        <v>8</v>
      </c>
      <c r="BG105" s="16">
        <f>IFERROR(__xludf.DUMMYFUNCTION("""COMPUTED_VALUE"""),3.0)</f>
        <v>3</v>
      </c>
      <c r="BH105" s="16">
        <f>IFERROR(__xludf.DUMMYFUNCTION("""COMPUTED_VALUE"""),-3.0)</f>
        <v>-3</v>
      </c>
      <c r="BI105" s="16">
        <f>IFERROR(__xludf.DUMMYFUNCTION("""COMPUTED_VALUE"""),6.0)</f>
        <v>6</v>
      </c>
      <c r="BJ105" s="16">
        <f>IFERROR(__xludf.DUMMYFUNCTION("""COMPUTED_VALUE"""),-6.0)</f>
        <v>-6</v>
      </c>
      <c r="BK105" s="16">
        <f>IFERROR(__xludf.DUMMYFUNCTION("""COMPUTED_VALUE"""),0.0)</f>
        <v>0</v>
      </c>
      <c r="BL105" s="16">
        <f>IFERROR(__xludf.DUMMYFUNCTION("""COMPUTED_VALUE"""),0.0)</f>
        <v>0</v>
      </c>
      <c r="BM105" s="16">
        <f>IFERROR(__xludf.DUMMYFUNCTION("""COMPUTED_VALUE"""),1.0)</f>
        <v>1</v>
      </c>
      <c r="BN105" s="16">
        <f>IFERROR(__xludf.DUMMYFUNCTION("""COMPUTED_VALUE"""),1.0)</f>
        <v>1</v>
      </c>
      <c r="BO105" s="16">
        <f>IFERROR(__xludf.DUMMYFUNCTION("""COMPUTED_VALUE"""),1.0)</f>
        <v>1</v>
      </c>
      <c r="BP105" s="16">
        <f>IFERROR(__xludf.DUMMYFUNCTION("""COMPUTED_VALUE"""),1.0)</f>
        <v>1</v>
      </c>
      <c r="BQ105" s="16">
        <f>IFERROR(__xludf.DUMMYFUNCTION("""COMPUTED_VALUE"""),6.0)</f>
        <v>6</v>
      </c>
      <c r="BR105" s="16">
        <f>IFERROR(__xludf.DUMMYFUNCTION("""COMPUTED_VALUE"""),6.0)</f>
        <v>6</v>
      </c>
      <c r="BS105" s="16">
        <f>IFERROR(__xludf.DUMMYFUNCTION("""COMPUTED_VALUE"""),1.0)</f>
        <v>1</v>
      </c>
      <c r="BT105" s="16">
        <f>IFERROR(__xludf.DUMMYFUNCTION("""COMPUTED_VALUE"""),1.0)</f>
        <v>1</v>
      </c>
      <c r="BU105" s="16">
        <f>IFERROR(__xludf.DUMMYFUNCTION("""COMPUTED_VALUE"""),2.0)</f>
        <v>2</v>
      </c>
      <c r="BV105" s="16">
        <f>IFERROR(__xludf.DUMMYFUNCTION("""COMPUTED_VALUE"""),2.0)</f>
        <v>2</v>
      </c>
      <c r="BW105" s="16">
        <f>IFERROR(__xludf.DUMMYFUNCTION("""COMPUTED_VALUE"""),2.0)</f>
        <v>2</v>
      </c>
      <c r="BX105" s="16">
        <f>IFERROR(__xludf.DUMMYFUNCTION("""COMPUTED_VALUE"""),2.0)</f>
        <v>2</v>
      </c>
      <c r="BY105" s="16" t="str">
        <f>IFERROR(__xludf.DUMMYFUNCTION("""COMPUTED_VALUE"""),"S(4) R(3) C(0)")</f>
        <v>S(4) R(3) C(0)</v>
      </c>
      <c r="BZ105" s="16" t="str">
        <f>IFERROR(__xludf.DUMMYFUNCTION("""COMPUTED_VALUE"""),"S(4) R(3) C(0)")</f>
        <v>S(4) R(3) C(0)</v>
      </c>
      <c r="CA105" s="16" t="str">
        <f>IFERROR(__xludf.DUMMYFUNCTION("""COMPUTED_VALUE"""),"S(4)")</f>
        <v>S(4)</v>
      </c>
      <c r="CB105" s="16" t="str">
        <f>IFERROR(__xludf.DUMMYFUNCTION("""COMPUTED_VALUE"""),"R(3)")</f>
        <v>R(3)</v>
      </c>
      <c r="CC105" s="16" t="str">
        <f>IFERROR(__xludf.DUMMYFUNCTION("""COMPUTED_VALUE"""),"C(0)")</f>
        <v>C(0)</v>
      </c>
      <c r="CD105" s="16">
        <f>IFERROR(__xludf.DUMMYFUNCTION("""COMPUTED_VALUE"""),4.0)</f>
        <v>4</v>
      </c>
      <c r="CE105" s="16">
        <f>IFERROR(__xludf.DUMMYFUNCTION("""COMPUTED_VALUE"""),3.0)</f>
        <v>3</v>
      </c>
      <c r="CF105" s="16">
        <f>IFERROR(__xludf.DUMMYFUNCTION("""COMPUTED_VALUE"""),0.0)</f>
        <v>0</v>
      </c>
      <c r="CG105" s="16" t="str">
        <f>IFERROR(__xludf.DUMMYFUNCTION("""COMPUTED_VALUE"""),"2-33")</f>
        <v>2-33</v>
      </c>
      <c r="CH105" s="16">
        <f>IFERROR(__xludf.DUMMYFUNCTION("""COMPUTED_VALUE"""),2.0)</f>
        <v>2</v>
      </c>
      <c r="CI105" s="16">
        <f>IFERROR(__xludf.DUMMYFUNCTION("""COMPUTED_VALUE"""),33.0)</f>
        <v>33</v>
      </c>
      <c r="CJ105" s="16">
        <f>IFERROR(__xludf.DUMMYFUNCTION("""COMPUTED_VALUE"""),0.0)</f>
        <v>0</v>
      </c>
      <c r="CK105" s="16">
        <f>IFERROR(__xludf.DUMMYFUNCTION("""COMPUTED_VALUE"""),0.0)</f>
        <v>0</v>
      </c>
      <c r="CL105" s="16" t="str">
        <f>IFERROR(__xludf.DUMMYFUNCTION("""COMPUTED_VALUE"""),"1WL-C")</f>
        <v>1WL-C</v>
      </c>
      <c r="CM105" s="16" t="str">
        <f>IFERROR(__xludf.DUMMYFUNCTION("""COMPUTED_VALUE"""),"E")</f>
        <v>E</v>
      </c>
      <c r="CN105" s="16">
        <f>IFERROR(__xludf.DUMMYFUNCTION("""COMPUTED_VALUE"""),10.0)</f>
        <v>10</v>
      </c>
      <c r="CO105" s="16" t="str">
        <f>IFERROR(__xludf.DUMMYFUNCTION("""COMPUTED_VALUE"""),"C")</f>
        <v>C</v>
      </c>
      <c r="CP105" s="16" t="str">
        <f>IFERROR(__xludf.DUMMYFUNCTION("""COMPUTED_VALUE"""),"1p30")</f>
        <v>1p30</v>
      </c>
      <c r="CQ105" s="16">
        <f>IFERROR(__xludf.DUMMYFUNCTION("""COMPUTED_VALUE"""),53.0)</f>
        <v>53</v>
      </c>
      <c r="CR105" s="16">
        <f>IFERROR(__xludf.DUMMYFUNCTION("""COMPUTED_VALUE"""),-6.0)</f>
        <v>-6</v>
      </c>
      <c r="CS105" s="16">
        <f>IFERROR(__xludf.DUMMYFUNCTION("""COMPUTED_VALUE"""),47.0)</f>
        <v>47</v>
      </c>
      <c r="CT105" s="16">
        <f>IFERROR(__xludf.DUMMYFUNCTION("""COMPUTED_VALUE"""),53.0)</f>
        <v>53</v>
      </c>
      <c r="CU105" s="16">
        <f>IFERROR(__xludf.DUMMYFUNCTION("""COMPUTED_VALUE"""),-6.0)</f>
        <v>-6</v>
      </c>
      <c r="CV105" s="179">
        <f>IFERROR(__xludf.DUMMYFUNCTION("""COMPUTED_VALUE"""),19.666666666666664)</f>
        <v>19.66666667</v>
      </c>
      <c r="CW105" s="179">
        <f>IFERROR(__xludf.DUMMYFUNCTION("""COMPUTED_VALUE"""),4.0)</f>
        <v>4</v>
      </c>
      <c r="CX105" s="179">
        <f>IFERROR(__xludf.DUMMYFUNCTION("""COMPUTED_VALUE"""),2.0)</f>
        <v>2</v>
      </c>
      <c r="CY105" s="16" t="str">
        <f>IFERROR(__xludf.DUMMYFUNCTION("""COMPUTED_VALUE"""),"SP")</f>
        <v>SP</v>
      </c>
      <c r="CZ105" s="16" t="str">
        <f>IFERROR(__xludf.DUMMYFUNCTION("""COMPUTED_VALUE"""),"RP")</f>
        <v>RP</v>
      </c>
      <c r="DA105" s="16" t="str">
        <f>IFERROR(__xludf.DUMMYFUNCTION("""COMPUTED_VALUE"""),"CP")</f>
        <v>CP</v>
      </c>
      <c r="DB105" s="16"/>
      <c r="DC105" s="16"/>
      <c r="DD105" s="16"/>
      <c r="DE105" s="16"/>
      <c r="DF105" s="16"/>
      <c r="DG105" s="16"/>
      <c r="DH105" s="16"/>
      <c r="DI105" s="16"/>
      <c r="DJ105" s="16"/>
      <c r="DK105" s="16"/>
    </row>
    <row r="106">
      <c r="A106" s="16">
        <f>IFERROR(__xludf.DUMMYFUNCTION("""COMPUTED_VALUE"""),13012.0)</f>
        <v>13012</v>
      </c>
      <c r="B106" s="16" t="str">
        <f>IFERROR(__xludf.DUMMYFUNCTION("""COMPUTED_VALUE"""),"Jose Alvarado")</f>
        <v>Jose Alvarado</v>
      </c>
      <c r="C106" s="153">
        <f>IFERROR(__xludf.DUMMYFUNCTION("""COMPUTED_VALUE"""),0.23)</f>
        <v>0.23</v>
      </c>
      <c r="D106" s="16"/>
      <c r="E106" s="16" t="str">
        <f>IFERROR(__xludf.DUMMYFUNCTION("""COMPUTED_VALUE"""),"L")</f>
        <v>L</v>
      </c>
      <c r="F106" s="16">
        <f>IFERROR(__xludf.DUMMYFUNCTION("""COMPUTED_VALUE"""),62.0)</f>
        <v>62</v>
      </c>
      <c r="G106" s="16">
        <f>IFERROR(__xludf.DUMMYFUNCTION("""COMPUTED_VALUE"""),25.0)</f>
        <v>25</v>
      </c>
      <c r="H106" s="16">
        <f>IFERROR(__xludf.DUMMYFUNCTION("""COMPUTED_VALUE"""),29.0)</f>
        <v>29</v>
      </c>
      <c r="I106" s="16">
        <f>IFERROR(__xludf.DUMMYFUNCTION("""COMPUTED_VALUE"""),0.0)</f>
        <v>0</v>
      </c>
      <c r="J106" s="16">
        <f>IFERROR(__xludf.DUMMYFUNCTION("""COMPUTED_VALUE"""),0.0)</f>
        <v>0</v>
      </c>
      <c r="K106" s="16">
        <f>IFERROR(__xludf.DUMMYFUNCTION("""COMPUTED_VALUE"""),0.0)</f>
        <v>0</v>
      </c>
      <c r="L106" s="16">
        <f>IFERROR(__xludf.DUMMYFUNCTION("""COMPUTED_VALUE"""),0.0)</f>
        <v>0</v>
      </c>
      <c r="M106" s="16">
        <f>IFERROR(__xludf.DUMMYFUNCTION("""COMPUTED_VALUE"""),4.0)</f>
        <v>4</v>
      </c>
      <c r="N106" s="16">
        <f>IFERROR(__xludf.DUMMYFUNCTION("""COMPUTED_VALUE"""),19.0)</f>
        <v>19</v>
      </c>
      <c r="O106" s="16">
        <f>IFERROR(__xludf.DUMMYFUNCTION("""COMPUTED_VALUE"""),2.0)</f>
        <v>2</v>
      </c>
      <c r="P106" s="16">
        <f>IFERROR(__xludf.DUMMYFUNCTION("""COMPUTED_VALUE"""),-3.0)</f>
        <v>-3</v>
      </c>
      <c r="Q106" s="16">
        <f>IFERROR(__xludf.DUMMYFUNCTION("""COMPUTED_VALUE"""),2.0)</f>
        <v>2</v>
      </c>
      <c r="R106" s="16">
        <f>IFERROR(__xludf.DUMMYFUNCTION("""COMPUTED_VALUE"""),-3.0)</f>
        <v>-3</v>
      </c>
      <c r="S106" s="16">
        <f>IFERROR(__xludf.DUMMYFUNCTION("""COMPUTED_VALUE"""),0.2)</f>
        <v>0.2</v>
      </c>
      <c r="T106" s="16">
        <f>IFERROR(__xludf.DUMMYFUNCTION("""COMPUTED_VALUE"""),16.0)</f>
        <v>16</v>
      </c>
      <c r="U106" s="16">
        <f>IFERROR(__xludf.DUMMYFUNCTION("""COMPUTED_VALUE"""),2.0)</f>
        <v>2</v>
      </c>
      <c r="V106" s="16">
        <f>IFERROR(__xludf.DUMMYFUNCTION("""COMPUTED_VALUE"""),0.0)</f>
        <v>0</v>
      </c>
      <c r="W106" s="16">
        <f>IFERROR(__xludf.DUMMYFUNCTION("""COMPUTED_VALUE"""),4.0)</f>
        <v>4</v>
      </c>
      <c r="X106" s="16">
        <f>IFERROR(__xludf.DUMMYFUNCTION("""COMPUTED_VALUE"""),0.0)</f>
        <v>0</v>
      </c>
      <c r="Y106" s="16">
        <f>IFERROR(__xludf.DUMMYFUNCTION("""COMPUTED_VALUE"""),4.2)</f>
        <v>4.2</v>
      </c>
      <c r="Z106" s="16">
        <f>IFERROR(__xludf.DUMMYFUNCTION("""COMPUTED_VALUE"""),35.0)</f>
        <v>35</v>
      </c>
      <c r="AA106" s="16">
        <f>IFERROR(__xludf.DUMMYFUNCTION("""COMPUTED_VALUE"""),3.0)</f>
        <v>3</v>
      </c>
      <c r="AB106" s="16">
        <f>IFERROR(__xludf.DUMMYFUNCTION("""COMPUTED_VALUE"""),-2.0)</f>
        <v>-2</v>
      </c>
      <c r="AC106" s="16">
        <f>IFERROR(__xludf.DUMMYFUNCTION("""COMPUTED_VALUE"""),15.0)</f>
        <v>15</v>
      </c>
      <c r="AD106" s="16">
        <f>IFERROR(__xludf.DUMMYFUNCTION("""COMPUTED_VALUE"""),-10.0)</f>
        <v>-10</v>
      </c>
      <c r="AE106" s="16">
        <f>IFERROR(__xludf.DUMMYFUNCTION("""COMPUTED_VALUE"""),0.8)</f>
        <v>0.8</v>
      </c>
      <c r="AF106" s="16">
        <f>IFERROR(__xludf.DUMMYFUNCTION("""COMPUTED_VALUE"""),28.6)</f>
        <v>28.6</v>
      </c>
      <c r="AG106" s="16">
        <f>IFERROR(__xludf.DUMMYFUNCTION("""COMPUTED_VALUE"""),2.0)</f>
        <v>2</v>
      </c>
      <c r="AH106" s="16">
        <f>IFERROR(__xludf.DUMMYFUNCTION("""COMPUTED_VALUE"""),0.0)</f>
        <v>0</v>
      </c>
      <c r="AI106" s="16">
        <f>IFERROR(__xludf.DUMMYFUNCTION("""COMPUTED_VALUE"""),4.0)</f>
        <v>4</v>
      </c>
      <c r="AJ106" s="16">
        <f>IFERROR(__xludf.DUMMYFUNCTION("""COMPUTED_VALUE"""),0.0)</f>
        <v>0</v>
      </c>
      <c r="AK106" s="16">
        <f>IFERROR(__xludf.DUMMYFUNCTION("""COMPUTED_VALUE"""),0.0)</f>
        <v>0</v>
      </c>
      <c r="AL106" s="16">
        <f>IFERROR(__xludf.DUMMYFUNCTION("""COMPUTED_VALUE"""),14.4)</f>
        <v>14.4</v>
      </c>
      <c r="AM106" s="16">
        <f>IFERROR(__xludf.DUMMYFUNCTION("""COMPUTED_VALUE"""),3.0)</f>
        <v>3</v>
      </c>
      <c r="AN106" s="16">
        <f>IFERROR(__xludf.DUMMYFUNCTION("""COMPUTED_VALUE"""),0.0)</f>
        <v>0</v>
      </c>
      <c r="AO106" s="16">
        <f>IFERROR(__xludf.DUMMYFUNCTION("""COMPUTED_VALUE"""),3.0)</f>
        <v>3</v>
      </c>
      <c r="AP106" s="16">
        <f>IFERROR(__xludf.DUMMYFUNCTION("""COMPUTED_VALUE"""),0.0)</f>
        <v>0</v>
      </c>
      <c r="AQ106" s="16">
        <f>IFERROR(__xludf.DUMMYFUNCTION("""COMPUTED_VALUE"""),0.0)</f>
        <v>0</v>
      </c>
      <c r="AR106" s="16">
        <f>IFERROR(__xludf.DUMMYFUNCTION("""COMPUTED_VALUE"""),22.200000000000003)</f>
        <v>22.2</v>
      </c>
      <c r="AS106" s="16">
        <f>IFERROR(__xludf.DUMMYFUNCTION("""COMPUTED_VALUE"""),3.0)</f>
        <v>3</v>
      </c>
      <c r="AT106" s="16">
        <f>IFERROR(__xludf.DUMMYFUNCTION("""COMPUTED_VALUE"""),0.0)</f>
        <v>0</v>
      </c>
      <c r="AU106" s="16">
        <f>IFERROR(__xludf.DUMMYFUNCTION("""COMPUTED_VALUE"""),6.0)</f>
        <v>6</v>
      </c>
      <c r="AV106" s="16">
        <f>IFERROR(__xludf.DUMMYFUNCTION("""COMPUTED_VALUE"""),0.0)</f>
        <v>0</v>
      </c>
      <c r="AW106" s="16">
        <f>IFERROR(__xludf.DUMMYFUNCTION("""COMPUTED_VALUE"""),0.2)</f>
        <v>0.2</v>
      </c>
      <c r="AX106" s="16">
        <f>IFERROR(__xludf.DUMMYFUNCTION("""COMPUTED_VALUE"""),1.6)</f>
        <v>1.6</v>
      </c>
      <c r="AY106" s="16">
        <f>IFERROR(__xludf.DUMMYFUNCTION("""COMPUTED_VALUE"""),2.0)</f>
        <v>2</v>
      </c>
      <c r="AZ106" s="16">
        <f>IFERROR(__xludf.DUMMYFUNCTION("""COMPUTED_VALUE"""),1.0)</f>
        <v>1</v>
      </c>
      <c r="BA106" s="16">
        <f>IFERROR(__xludf.DUMMYFUNCTION("""COMPUTED_VALUE"""),10.0)</f>
        <v>10</v>
      </c>
      <c r="BB106" s="16">
        <f>IFERROR(__xludf.DUMMYFUNCTION("""COMPUTED_VALUE"""),5.0)</f>
        <v>5</v>
      </c>
      <c r="BC106" s="16"/>
      <c r="BD106" s="16">
        <f>IFERROR(__xludf.DUMMYFUNCTION("""COMPUTED_VALUE"""),2.0)</f>
        <v>2</v>
      </c>
      <c r="BE106" s="16">
        <f>IFERROR(__xludf.DUMMYFUNCTION("""COMPUTED_VALUE"""),0.0)</f>
        <v>0</v>
      </c>
      <c r="BF106" s="16">
        <f>IFERROR(__xludf.DUMMYFUNCTION("""COMPUTED_VALUE"""),2.0)</f>
        <v>2</v>
      </c>
      <c r="BG106" s="16">
        <f>IFERROR(__xludf.DUMMYFUNCTION("""COMPUTED_VALUE"""),3.0)</f>
        <v>3</v>
      </c>
      <c r="BH106" s="16">
        <f>IFERROR(__xludf.DUMMYFUNCTION("""COMPUTED_VALUE"""),1.0)</f>
        <v>1</v>
      </c>
      <c r="BI106" s="16">
        <f>IFERROR(__xludf.DUMMYFUNCTION("""COMPUTED_VALUE"""),6.0)</f>
        <v>6</v>
      </c>
      <c r="BJ106" s="16">
        <f>IFERROR(__xludf.DUMMYFUNCTION("""COMPUTED_VALUE"""),2.0)</f>
        <v>2</v>
      </c>
      <c r="BK106" s="16">
        <f>IFERROR(__xludf.DUMMYFUNCTION("""COMPUTED_VALUE"""),0.0)</f>
        <v>0</v>
      </c>
      <c r="BL106" s="16">
        <f>IFERROR(__xludf.DUMMYFUNCTION("""COMPUTED_VALUE"""),5.0)</f>
        <v>5</v>
      </c>
      <c r="BM106" s="16">
        <f>IFERROR(__xludf.DUMMYFUNCTION("""COMPUTED_VALUE"""),1.0)</f>
        <v>1</v>
      </c>
      <c r="BN106" s="16">
        <f>IFERROR(__xludf.DUMMYFUNCTION("""COMPUTED_VALUE"""),0.0)</f>
        <v>0</v>
      </c>
      <c r="BO106" s="16">
        <f>IFERROR(__xludf.DUMMYFUNCTION("""COMPUTED_VALUE"""),1.0)</f>
        <v>1</v>
      </c>
      <c r="BP106" s="16">
        <f>IFERROR(__xludf.DUMMYFUNCTION("""COMPUTED_VALUE"""),0.0)</f>
        <v>0</v>
      </c>
      <c r="BQ106" s="16">
        <f>IFERROR(__xludf.DUMMYFUNCTION("""COMPUTED_VALUE"""),7.0)</f>
        <v>7</v>
      </c>
      <c r="BR106" s="16">
        <f>IFERROR(__xludf.DUMMYFUNCTION("""COMPUTED_VALUE"""),6.0)</f>
        <v>6</v>
      </c>
      <c r="BS106" s="16">
        <f>IFERROR(__xludf.DUMMYFUNCTION("""COMPUTED_VALUE"""),2.0)</f>
        <v>2</v>
      </c>
      <c r="BT106" s="16">
        <f>IFERROR(__xludf.DUMMYFUNCTION("""COMPUTED_VALUE"""),1.0)</f>
        <v>1</v>
      </c>
      <c r="BU106" s="16">
        <f>IFERROR(__xludf.DUMMYFUNCTION("""COMPUTED_VALUE"""),4.0)</f>
        <v>4</v>
      </c>
      <c r="BV106" s="16">
        <f>IFERROR(__xludf.DUMMYFUNCTION("""COMPUTED_VALUE"""),2.0)</f>
        <v>2</v>
      </c>
      <c r="BW106" s="16">
        <f>IFERROR(__xludf.DUMMYFUNCTION("""COMPUTED_VALUE"""),5.0)</f>
        <v>5</v>
      </c>
      <c r="BX106" s="16">
        <f>IFERROR(__xludf.DUMMYFUNCTION("""COMPUTED_VALUE"""),5.0)</f>
        <v>5</v>
      </c>
      <c r="BY106" s="16" t="str">
        <f>IFERROR(__xludf.DUMMYFUNCTION("""COMPUTED_VALUE"""),"R(1) C(4)")</f>
        <v>R(1) C(4)</v>
      </c>
      <c r="BZ106" s="16" t="str">
        <f>IFERROR(__xludf.DUMMYFUNCTION("""COMPUTED_VALUE"""),"R(1) C(4)")</f>
        <v>R(1) C(4)</v>
      </c>
      <c r="CA106" s="16" t="str">
        <f>IFERROR(__xludf.DUMMYFUNCTION("""COMPUTED_VALUE"""),"R(1)")</f>
        <v>R(1)</v>
      </c>
      <c r="CB106" s="16" t="str">
        <f>IFERROR(__xludf.DUMMYFUNCTION("""COMPUTED_VALUE"""),"C(4)")</f>
        <v>C(4)</v>
      </c>
      <c r="CC106" s="16"/>
      <c r="CD106" s="16"/>
      <c r="CE106" s="16">
        <f>IFERROR(__xludf.DUMMYFUNCTION("""COMPUTED_VALUE"""),1.0)</f>
        <v>1</v>
      </c>
      <c r="CF106" s="16">
        <f>IFERROR(__xludf.DUMMYFUNCTION("""COMPUTED_VALUE"""),4.0)</f>
        <v>4</v>
      </c>
      <c r="CG106" s="16" t="str">
        <f>IFERROR(__xludf.DUMMYFUNCTION("""COMPUTED_VALUE"""),"4-0")</f>
        <v>4-0</v>
      </c>
      <c r="CH106" s="16">
        <f>IFERROR(__xludf.DUMMYFUNCTION("""COMPUTED_VALUE"""),4.0)</f>
        <v>4</v>
      </c>
      <c r="CI106" s="16">
        <f>IFERROR(__xludf.DUMMYFUNCTION("""COMPUTED_VALUE"""),0.0)</f>
        <v>0</v>
      </c>
      <c r="CJ106" s="16">
        <f>IFERROR(__xludf.DUMMYFUNCTION("""COMPUTED_VALUE"""),0.0)</f>
        <v>0</v>
      </c>
      <c r="CK106" s="16">
        <f>IFERROR(__xludf.DUMMYFUNCTION("""COMPUTED_VALUE"""),14.0)</f>
        <v>14</v>
      </c>
      <c r="CL106" s="16" t="str">
        <f>IFERROR(__xludf.DUMMYFUNCTION("""COMPUTED_VALUE"""),"1WL-C")</f>
        <v>1WL-C</v>
      </c>
      <c r="CM106" s="16" t="str">
        <f>IFERROR(__xludf.DUMMYFUNCTION("""COMPUTED_VALUE"""),"E")</f>
        <v>E</v>
      </c>
      <c r="CN106" s="16">
        <f>IFERROR(__xludf.DUMMYFUNCTION("""COMPUTED_VALUE"""),10.0)</f>
        <v>10</v>
      </c>
      <c r="CO106" s="16" t="str">
        <f>IFERROR(__xludf.DUMMYFUNCTION("""COMPUTED_VALUE"""),"C")</f>
        <v>C</v>
      </c>
      <c r="CP106" s="16" t="str">
        <f>IFERROR(__xludf.DUMMYFUNCTION("""COMPUTED_VALUE"""),"1p50")</f>
        <v>1p50</v>
      </c>
      <c r="CQ106" s="16">
        <f>IFERROR(__xludf.DUMMYFUNCTION("""COMPUTED_VALUE"""),55.0)</f>
        <v>55</v>
      </c>
      <c r="CR106" s="16">
        <f>IFERROR(__xludf.DUMMYFUNCTION("""COMPUTED_VALUE"""),-4.0)</f>
        <v>-4</v>
      </c>
      <c r="CS106" s="16">
        <f>IFERROR(__xludf.DUMMYFUNCTION("""COMPUTED_VALUE"""),51.0)</f>
        <v>51</v>
      </c>
      <c r="CT106" s="16">
        <f>IFERROR(__xludf.DUMMYFUNCTION("""COMPUTED_VALUE"""),55.0)</f>
        <v>55</v>
      </c>
      <c r="CU106" s="16">
        <f>IFERROR(__xludf.DUMMYFUNCTION("""COMPUTED_VALUE"""),-4.0)</f>
        <v>-4</v>
      </c>
      <c r="CV106" s="179">
        <f>IFERROR(__xludf.DUMMYFUNCTION("""COMPUTED_VALUE"""),19.666666666666664)</f>
        <v>19.66666667</v>
      </c>
      <c r="CW106" s="179">
        <f>IFERROR(__xludf.DUMMYFUNCTION("""COMPUTED_VALUE"""),4.0)</f>
        <v>4</v>
      </c>
      <c r="CX106" s="179">
        <f>IFERROR(__xludf.DUMMYFUNCTION("""COMPUTED_VALUE"""),0.0)</f>
        <v>0</v>
      </c>
      <c r="CY106" s="16" t="str">
        <f>IFERROR(__xludf.DUMMYFUNCTION("""COMPUTED_VALUE"""),"RP")</f>
        <v>RP</v>
      </c>
      <c r="CZ106" s="16" t="str">
        <f>IFERROR(__xludf.DUMMYFUNCTION("""COMPUTED_VALUE"""),"CP")</f>
        <v>CP</v>
      </c>
      <c r="DA106" s="16"/>
      <c r="DB106" s="16"/>
      <c r="DC106" s="16"/>
      <c r="DD106" s="16"/>
      <c r="DE106" s="16"/>
      <c r="DF106" s="16"/>
      <c r="DG106" s="16"/>
      <c r="DH106" s="16"/>
      <c r="DI106" s="16"/>
      <c r="DJ106" s="16"/>
      <c r="DK106" s="16"/>
    </row>
    <row r="107">
      <c r="A107" s="16">
        <f>IFERROR(__xludf.DUMMYFUNCTION("""COMPUTED_VALUE"""),13405.0)</f>
        <v>13405</v>
      </c>
      <c r="B107" s="16" t="str">
        <f>IFERROR(__xludf.DUMMYFUNCTION("""COMPUTED_VALUE"""),"Tayler Scott")</f>
        <v>Tayler Scott</v>
      </c>
      <c r="C107" s="153">
        <f>IFERROR(__xludf.DUMMYFUNCTION("""COMPUTED_VALUE"""),1.19)</f>
        <v>1.19</v>
      </c>
      <c r="D107" s="16"/>
      <c r="E107" s="16" t="str">
        <f>IFERROR(__xludf.DUMMYFUNCTION("""COMPUTED_VALUE"""),"R")</f>
        <v>R</v>
      </c>
      <c r="F107" s="16">
        <f>IFERROR(__xludf.DUMMYFUNCTION("""COMPUTED_VALUE"""),69.0)</f>
        <v>69</v>
      </c>
      <c r="G107" s="16">
        <f>IFERROR(__xludf.DUMMYFUNCTION("""COMPUTED_VALUE"""),21.0)</f>
        <v>21</v>
      </c>
      <c r="H107" s="16">
        <f>IFERROR(__xludf.DUMMYFUNCTION("""COMPUTED_VALUE"""),41.0)</f>
        <v>41</v>
      </c>
      <c r="I107" s="16">
        <f>IFERROR(__xludf.DUMMYFUNCTION("""COMPUTED_VALUE"""),-1.0)</f>
        <v>-1</v>
      </c>
      <c r="J107" s="16">
        <f>IFERROR(__xludf.DUMMYFUNCTION("""COMPUTED_VALUE"""),2.0)</f>
        <v>2</v>
      </c>
      <c r="K107" s="16">
        <f>IFERROR(__xludf.DUMMYFUNCTION("""COMPUTED_VALUE"""),-3.0)</f>
        <v>-3</v>
      </c>
      <c r="L107" s="16">
        <f>IFERROR(__xludf.DUMMYFUNCTION("""COMPUTED_VALUE"""),6.0)</f>
        <v>6</v>
      </c>
      <c r="M107" s="16">
        <f>IFERROR(__xludf.DUMMYFUNCTION("""COMPUTED_VALUE"""),22.0)</f>
        <v>22</v>
      </c>
      <c r="N107" s="16">
        <f>IFERROR(__xludf.DUMMYFUNCTION("""COMPUTED_VALUE"""),14.0)</f>
        <v>14</v>
      </c>
      <c r="O107" s="16">
        <f>IFERROR(__xludf.DUMMYFUNCTION("""COMPUTED_VALUE"""),-3.0)</f>
        <v>-3</v>
      </c>
      <c r="P107" s="16">
        <f>IFERROR(__xludf.DUMMYFUNCTION("""COMPUTED_VALUE"""),-2.0)</f>
        <v>-2</v>
      </c>
      <c r="Q107" s="16">
        <f>IFERROR(__xludf.DUMMYFUNCTION("""COMPUTED_VALUE"""),-3.0)</f>
        <v>-3</v>
      </c>
      <c r="R107" s="16">
        <f>IFERROR(__xludf.DUMMYFUNCTION("""COMPUTED_VALUE"""),-2.0)</f>
        <v>-2</v>
      </c>
      <c r="S107" s="16">
        <f>IFERROR(__xludf.DUMMYFUNCTION("""COMPUTED_VALUE"""),2.0)</f>
        <v>2</v>
      </c>
      <c r="T107" s="16">
        <f>IFERROR(__xludf.DUMMYFUNCTION("""COMPUTED_VALUE"""),2.4)</f>
        <v>2.4</v>
      </c>
      <c r="U107" s="16">
        <f>IFERROR(__xludf.DUMMYFUNCTION("""COMPUTED_VALUE"""),2.0)</f>
        <v>2</v>
      </c>
      <c r="V107" s="16">
        <f>IFERROR(__xludf.DUMMYFUNCTION("""COMPUTED_VALUE"""),2.0)</f>
        <v>2</v>
      </c>
      <c r="W107" s="16">
        <f>IFERROR(__xludf.DUMMYFUNCTION("""COMPUTED_VALUE"""),4.0)</f>
        <v>4</v>
      </c>
      <c r="X107" s="16">
        <f>IFERROR(__xludf.DUMMYFUNCTION("""COMPUTED_VALUE"""),4.0)</f>
        <v>4</v>
      </c>
      <c r="Y107" s="16">
        <f>IFERROR(__xludf.DUMMYFUNCTION("""COMPUTED_VALUE"""),24.0)</f>
        <v>24</v>
      </c>
      <c r="Z107" s="16">
        <f>IFERROR(__xludf.DUMMYFUNCTION("""COMPUTED_VALUE"""),16.4)</f>
        <v>16.4</v>
      </c>
      <c r="AA107" s="16">
        <f>IFERROR(__xludf.DUMMYFUNCTION("""COMPUTED_VALUE"""),0.0)</f>
        <v>0</v>
      </c>
      <c r="AB107" s="16">
        <f>IFERROR(__xludf.DUMMYFUNCTION("""COMPUTED_VALUE"""),1.0)</f>
        <v>1</v>
      </c>
      <c r="AC107" s="16">
        <f>IFERROR(__xludf.DUMMYFUNCTION("""COMPUTED_VALUE"""),0.0)</f>
        <v>0</v>
      </c>
      <c r="AD107" s="16">
        <f>IFERROR(__xludf.DUMMYFUNCTION("""COMPUTED_VALUE"""),5.0)</f>
        <v>5</v>
      </c>
      <c r="AE107" s="16">
        <f>IFERROR(__xludf.DUMMYFUNCTION("""COMPUTED_VALUE"""),8.0)</f>
        <v>8</v>
      </c>
      <c r="AF107" s="16">
        <f>IFERROR(__xludf.DUMMYFUNCTION("""COMPUTED_VALUE"""),4.8)</f>
        <v>4.8</v>
      </c>
      <c r="AG107" s="16">
        <f>IFERROR(__xludf.DUMMYFUNCTION("""COMPUTED_VALUE"""),2.0)</f>
        <v>2</v>
      </c>
      <c r="AH107" s="16">
        <f>IFERROR(__xludf.DUMMYFUNCTION("""COMPUTED_VALUE"""),2.0)</f>
        <v>2</v>
      </c>
      <c r="AI107" s="16">
        <f>IFERROR(__xludf.DUMMYFUNCTION("""COMPUTED_VALUE"""),4.0)</f>
        <v>4</v>
      </c>
      <c r="AJ107" s="16">
        <f>IFERROR(__xludf.DUMMYFUNCTION("""COMPUTED_VALUE"""),4.0)</f>
        <v>4</v>
      </c>
      <c r="AK107" s="16">
        <f>IFERROR(__xludf.DUMMYFUNCTION("""COMPUTED_VALUE"""),0.0)</f>
        <v>0</v>
      </c>
      <c r="AL107" s="16">
        <f>IFERROR(__xludf.DUMMYFUNCTION("""COMPUTED_VALUE"""),2.4)</f>
        <v>2.4</v>
      </c>
      <c r="AM107" s="16">
        <f>IFERROR(__xludf.DUMMYFUNCTION("""COMPUTED_VALUE"""),3.0)</f>
        <v>3</v>
      </c>
      <c r="AN107" s="16">
        <f>IFERROR(__xludf.DUMMYFUNCTION("""COMPUTED_VALUE"""),2.0)</f>
        <v>2</v>
      </c>
      <c r="AO107" s="16">
        <f>IFERROR(__xludf.DUMMYFUNCTION("""COMPUTED_VALUE"""),3.0)</f>
        <v>3</v>
      </c>
      <c r="AP107" s="16">
        <f>IFERROR(__xludf.DUMMYFUNCTION("""COMPUTED_VALUE"""),2.0)</f>
        <v>2</v>
      </c>
      <c r="AQ107" s="16">
        <f>IFERROR(__xludf.DUMMYFUNCTION("""COMPUTED_VALUE"""),0.0)</f>
        <v>0</v>
      </c>
      <c r="AR107" s="16">
        <f>IFERROR(__xludf.DUMMYFUNCTION("""COMPUTED_VALUE"""),4.8)</f>
        <v>4.8</v>
      </c>
      <c r="AS107" s="16">
        <f>IFERROR(__xludf.DUMMYFUNCTION("""COMPUTED_VALUE"""),3.0)</f>
        <v>3</v>
      </c>
      <c r="AT107" s="16">
        <f>IFERROR(__xludf.DUMMYFUNCTION("""COMPUTED_VALUE"""),2.0)</f>
        <v>2</v>
      </c>
      <c r="AU107" s="16">
        <f>IFERROR(__xludf.DUMMYFUNCTION("""COMPUTED_VALUE"""),6.0)</f>
        <v>6</v>
      </c>
      <c r="AV107" s="16">
        <f>IFERROR(__xludf.DUMMYFUNCTION("""COMPUTED_VALUE"""),4.0)</f>
        <v>4</v>
      </c>
      <c r="AW107" s="16">
        <f>IFERROR(__xludf.DUMMYFUNCTION("""COMPUTED_VALUE"""),2.0)</f>
        <v>2</v>
      </c>
      <c r="AX107" s="16">
        <f>IFERROR(__xludf.DUMMYFUNCTION("""COMPUTED_VALUE"""),0.0)</f>
        <v>0</v>
      </c>
      <c r="AY107" s="16">
        <f>IFERROR(__xludf.DUMMYFUNCTION("""COMPUTED_VALUE"""),0.0)</f>
        <v>0</v>
      </c>
      <c r="AZ107" s="16">
        <f>IFERROR(__xludf.DUMMYFUNCTION("""COMPUTED_VALUE"""),2.0)</f>
        <v>2</v>
      </c>
      <c r="BA107" s="16">
        <f>IFERROR(__xludf.DUMMYFUNCTION("""COMPUTED_VALUE"""),0.0)</f>
        <v>0</v>
      </c>
      <c r="BB107" s="16">
        <f>IFERROR(__xludf.DUMMYFUNCTION("""COMPUTED_VALUE"""),10.0)</f>
        <v>10</v>
      </c>
      <c r="BC107" s="16"/>
      <c r="BD107" s="16">
        <f>IFERROR(__xludf.DUMMYFUNCTION("""COMPUTED_VALUE"""),0.0)</f>
        <v>0</v>
      </c>
      <c r="BE107" s="16">
        <f>IFERROR(__xludf.DUMMYFUNCTION("""COMPUTED_VALUE"""),3.0)</f>
        <v>3</v>
      </c>
      <c r="BF107" s="16">
        <f>IFERROR(__xludf.DUMMYFUNCTION("""COMPUTED_VALUE"""),0.0)</f>
        <v>0</v>
      </c>
      <c r="BG107" s="16">
        <f>IFERROR(__xludf.DUMMYFUNCTION("""COMPUTED_VALUE"""),0.0)</f>
        <v>0</v>
      </c>
      <c r="BH107" s="16">
        <f>IFERROR(__xludf.DUMMYFUNCTION("""COMPUTED_VALUE"""),2.0)</f>
        <v>2</v>
      </c>
      <c r="BI107" s="16">
        <f>IFERROR(__xludf.DUMMYFUNCTION("""COMPUTED_VALUE"""),0.0)</f>
        <v>0</v>
      </c>
      <c r="BJ107" s="16">
        <f>IFERROR(__xludf.DUMMYFUNCTION("""COMPUTED_VALUE"""),4.0)</f>
        <v>4</v>
      </c>
      <c r="BK107" s="16">
        <f>IFERROR(__xludf.DUMMYFUNCTION("""COMPUTED_VALUE"""),0.0)</f>
        <v>0</v>
      </c>
      <c r="BL107" s="16">
        <f>IFERROR(__xludf.DUMMYFUNCTION("""COMPUTED_VALUE"""),5.0)</f>
        <v>5</v>
      </c>
      <c r="BM107" s="16">
        <f>IFERROR(__xludf.DUMMYFUNCTION("""COMPUTED_VALUE"""),1.0)</f>
        <v>1</v>
      </c>
      <c r="BN107" s="16">
        <f>IFERROR(__xludf.DUMMYFUNCTION("""COMPUTED_VALUE"""),0.0)</f>
        <v>0</v>
      </c>
      <c r="BO107" s="16">
        <f>IFERROR(__xludf.DUMMYFUNCTION("""COMPUTED_VALUE"""),1.0)</f>
        <v>1</v>
      </c>
      <c r="BP107" s="16">
        <f>IFERROR(__xludf.DUMMYFUNCTION("""COMPUTED_VALUE"""),0.0)</f>
        <v>0</v>
      </c>
      <c r="BQ107" s="16">
        <f>IFERROR(__xludf.DUMMYFUNCTION("""COMPUTED_VALUE"""),0.0)</f>
        <v>0</v>
      </c>
      <c r="BR107" s="16">
        <f>IFERROR(__xludf.DUMMYFUNCTION("""COMPUTED_VALUE"""),0.0)</f>
        <v>0</v>
      </c>
      <c r="BS107" s="16">
        <f>IFERROR(__xludf.DUMMYFUNCTION("""COMPUTED_VALUE"""),-3.0)</f>
        <v>-3</v>
      </c>
      <c r="BT107" s="16">
        <f>IFERROR(__xludf.DUMMYFUNCTION("""COMPUTED_VALUE"""),-3.0)</f>
        <v>-3</v>
      </c>
      <c r="BU107" s="16">
        <f>IFERROR(__xludf.DUMMYFUNCTION("""COMPUTED_VALUE"""),-6.0)</f>
        <v>-6</v>
      </c>
      <c r="BV107" s="16">
        <f>IFERROR(__xludf.DUMMYFUNCTION("""COMPUTED_VALUE"""),-6.0)</f>
        <v>-6</v>
      </c>
      <c r="BW107" s="16">
        <f>IFERROR(__xludf.DUMMYFUNCTION("""COMPUTED_VALUE"""),9.0)</f>
        <v>9</v>
      </c>
      <c r="BX107" s="16">
        <f>IFERROR(__xludf.DUMMYFUNCTION("""COMPUTED_VALUE"""),9.0)</f>
        <v>9</v>
      </c>
      <c r="BY107" s="16" t="str">
        <f>IFERROR(__xludf.DUMMYFUNCTION("""COMPUTED_VALUE"""),"R(1)")</f>
        <v>R(1)</v>
      </c>
      <c r="BZ107" s="16" t="str">
        <f>IFERROR(__xludf.DUMMYFUNCTION("""COMPUTED_VALUE"""),"R(1)")</f>
        <v>R(1)</v>
      </c>
      <c r="CA107" s="16" t="str">
        <f>IFERROR(__xludf.DUMMYFUNCTION("""COMPUTED_VALUE"""),"R(1)")</f>
        <v>R(1)</v>
      </c>
      <c r="CB107" s="16"/>
      <c r="CC107" s="16"/>
      <c r="CD107" s="16"/>
      <c r="CE107" s="16">
        <f>IFERROR(__xludf.DUMMYFUNCTION("""COMPUTED_VALUE"""),1.0)</f>
        <v>1</v>
      </c>
      <c r="CF107" s="16"/>
      <c r="CG107" s="16" t="str">
        <f>IFERROR(__xludf.DUMMYFUNCTION("""COMPUTED_VALUE"""),"3-0")</f>
        <v>3-0</v>
      </c>
      <c r="CH107" s="16">
        <f>IFERROR(__xludf.DUMMYFUNCTION("""COMPUTED_VALUE"""),3.0)</f>
        <v>3</v>
      </c>
      <c r="CI107" s="16">
        <f>IFERROR(__xludf.DUMMYFUNCTION("""COMPUTED_VALUE"""),0.0)</f>
        <v>0</v>
      </c>
      <c r="CJ107" s="16">
        <f>IFERROR(__xludf.DUMMYFUNCTION("""COMPUTED_VALUE"""),0.0)</f>
        <v>0</v>
      </c>
      <c r="CK107" s="16">
        <f>IFERROR(__xludf.DUMMYFUNCTION("""COMPUTED_VALUE"""),0.0)</f>
        <v>0</v>
      </c>
      <c r="CL107" s="16" t="str">
        <f>IFERROR(__xludf.DUMMYFUNCTION("""COMPUTED_VALUE"""),"1WR-C")</f>
        <v>1WR-C</v>
      </c>
      <c r="CM107" s="16" t="str">
        <f>IFERROR(__xludf.DUMMYFUNCTION("""COMPUTED_VALUE"""),"E")</f>
        <v>E</v>
      </c>
      <c r="CN107" s="16">
        <f>IFERROR(__xludf.DUMMYFUNCTION("""COMPUTED_VALUE"""),10.0)</f>
        <v>10</v>
      </c>
      <c r="CO107" s="16" t="str">
        <f>IFERROR(__xludf.DUMMYFUNCTION("""COMPUTED_VALUE"""),"C")</f>
        <v>C</v>
      </c>
      <c r="CP107" s="16" t="str">
        <f>IFERROR(__xludf.DUMMYFUNCTION("""COMPUTED_VALUE"""),"1p60")</f>
        <v>1p60</v>
      </c>
      <c r="CQ107" s="16">
        <f>IFERROR(__xludf.DUMMYFUNCTION("""COMPUTED_VALUE"""),6.0)</f>
        <v>6</v>
      </c>
      <c r="CR107" s="16">
        <f>IFERROR(__xludf.DUMMYFUNCTION("""COMPUTED_VALUE"""),31.0)</f>
        <v>31</v>
      </c>
      <c r="CS107" s="16">
        <f>IFERROR(__xludf.DUMMYFUNCTION("""COMPUTED_VALUE"""),37.0)</f>
        <v>37</v>
      </c>
      <c r="CT107" s="16">
        <f>IFERROR(__xludf.DUMMYFUNCTION("""COMPUTED_VALUE"""),6.0)</f>
        <v>6</v>
      </c>
      <c r="CU107" s="16">
        <f>IFERROR(__xludf.DUMMYFUNCTION("""COMPUTED_VALUE"""),31.0)</f>
        <v>31</v>
      </c>
      <c r="CV107" s="179">
        <f>IFERROR(__xludf.DUMMYFUNCTION("""COMPUTED_VALUE"""),19.333333333333336)</f>
        <v>19.33333333</v>
      </c>
      <c r="CW107" s="179">
        <f>IFERROR(__xludf.DUMMYFUNCTION("""COMPUTED_VALUE"""),4.0)</f>
        <v>4</v>
      </c>
      <c r="CX107" s="179">
        <f>IFERROR(__xludf.DUMMYFUNCTION("""COMPUTED_VALUE"""),1.0)</f>
        <v>1</v>
      </c>
      <c r="CY107" s="16" t="str">
        <f>IFERROR(__xludf.DUMMYFUNCTION("""COMPUTED_VALUE"""),"RP")</f>
        <v>RP</v>
      </c>
      <c r="CZ107" s="16"/>
      <c r="DA107" s="16"/>
      <c r="DB107" s="16"/>
      <c r="DC107" s="16"/>
      <c r="DD107" s="16"/>
      <c r="DE107" s="16"/>
      <c r="DF107" s="16"/>
      <c r="DG107" s="16"/>
      <c r="DH107" s="16"/>
      <c r="DI107" s="16"/>
      <c r="DJ107" s="16"/>
      <c r="DK107" s="16"/>
    </row>
    <row r="108">
      <c r="A108" s="16">
        <f>IFERROR(__xludf.DUMMYFUNCTION("""COMPUTED_VALUE"""),12697.0)</f>
        <v>12697</v>
      </c>
      <c r="B108" s="16" t="str">
        <f>IFERROR(__xludf.DUMMYFUNCTION("""COMPUTED_VALUE"""),"Cole Ragans")</f>
        <v>Cole Ragans</v>
      </c>
      <c r="C108" s="153">
        <f>IFERROR(__xludf.DUMMYFUNCTION("""COMPUTED_VALUE"""),2.37)</f>
        <v>2.37</v>
      </c>
      <c r="D108" s="16"/>
      <c r="E108" s="16" t="str">
        <f>IFERROR(__xludf.DUMMYFUNCTION("""COMPUTED_VALUE"""),"L")</f>
        <v>L</v>
      </c>
      <c r="F108" s="16">
        <f>IFERROR(__xludf.DUMMYFUNCTION("""COMPUTED_VALUE"""),186.0)</f>
        <v>186</v>
      </c>
      <c r="G108" s="16">
        <f>IFERROR(__xludf.DUMMYFUNCTION("""COMPUTED_VALUE"""),18.0)</f>
        <v>18</v>
      </c>
      <c r="H108" s="16">
        <f>IFERROR(__xludf.DUMMYFUNCTION("""COMPUTED_VALUE"""),45.0)</f>
        <v>45</v>
      </c>
      <c r="I108" s="16">
        <f>IFERROR(__xludf.DUMMYFUNCTION("""COMPUTED_VALUE"""),-1.0)</f>
        <v>-1</v>
      </c>
      <c r="J108" s="16">
        <f>IFERROR(__xludf.DUMMYFUNCTION("""COMPUTED_VALUE"""),2.0)</f>
        <v>2</v>
      </c>
      <c r="K108" s="16">
        <f>IFERROR(__xludf.DUMMYFUNCTION("""COMPUTED_VALUE"""),-3.0)</f>
        <v>-3</v>
      </c>
      <c r="L108" s="16">
        <f>IFERROR(__xludf.DUMMYFUNCTION("""COMPUTED_VALUE"""),6.0)</f>
        <v>6</v>
      </c>
      <c r="M108" s="16">
        <f>IFERROR(__xludf.DUMMYFUNCTION("""COMPUTED_VALUE"""),10.0)</f>
        <v>10</v>
      </c>
      <c r="N108" s="16">
        <f>IFERROR(__xludf.DUMMYFUNCTION("""COMPUTED_VALUE"""),10.0)</f>
        <v>10</v>
      </c>
      <c r="O108" s="16">
        <f>IFERROR(__xludf.DUMMYFUNCTION("""COMPUTED_VALUE"""),0.0)</f>
        <v>0</v>
      </c>
      <c r="P108" s="16">
        <f>IFERROR(__xludf.DUMMYFUNCTION("""COMPUTED_VALUE"""),-1.0)</f>
        <v>-1</v>
      </c>
      <c r="Q108" s="16">
        <f>IFERROR(__xludf.DUMMYFUNCTION("""COMPUTED_VALUE"""),0.0)</f>
        <v>0</v>
      </c>
      <c r="R108" s="16">
        <f>IFERROR(__xludf.DUMMYFUNCTION("""COMPUTED_VALUE"""),-1.0)</f>
        <v>-1</v>
      </c>
      <c r="S108" s="16">
        <f>IFERROR(__xludf.DUMMYFUNCTION("""COMPUTED_VALUE"""),20.5)</f>
        <v>20.5</v>
      </c>
      <c r="T108" s="16">
        <f>IFERROR(__xludf.DUMMYFUNCTION("""COMPUTED_VALUE"""),9.4)</f>
        <v>9.4</v>
      </c>
      <c r="U108" s="16">
        <f>IFERROR(__xludf.DUMMYFUNCTION("""COMPUTED_VALUE"""),-1.0)</f>
        <v>-1</v>
      </c>
      <c r="V108" s="16">
        <f>IFERROR(__xludf.DUMMYFUNCTION("""COMPUTED_VALUE"""),1.0)</f>
        <v>1</v>
      </c>
      <c r="W108" s="16">
        <f>IFERROR(__xludf.DUMMYFUNCTION("""COMPUTED_VALUE"""),-2.0)</f>
        <v>-2</v>
      </c>
      <c r="X108" s="16">
        <f>IFERROR(__xludf.DUMMYFUNCTION("""COMPUTED_VALUE"""),2.0)</f>
        <v>2</v>
      </c>
      <c r="Y108" s="16">
        <f>IFERROR(__xludf.DUMMYFUNCTION("""COMPUTED_VALUE"""),30.5)</f>
        <v>30.5</v>
      </c>
      <c r="Z108" s="16">
        <f>IFERROR(__xludf.DUMMYFUNCTION("""COMPUTED_VALUE"""),19.5)</f>
        <v>19.5</v>
      </c>
      <c r="AA108" s="16">
        <f>IFERROR(__xludf.DUMMYFUNCTION("""COMPUTED_VALUE"""),-1.0)</f>
        <v>-1</v>
      </c>
      <c r="AB108" s="16">
        <f>IFERROR(__xludf.DUMMYFUNCTION("""COMPUTED_VALUE"""),1.0)</f>
        <v>1</v>
      </c>
      <c r="AC108" s="16">
        <f>IFERROR(__xludf.DUMMYFUNCTION("""COMPUTED_VALUE"""),-5.0)</f>
        <v>-5</v>
      </c>
      <c r="AD108" s="16">
        <f>IFERROR(__xludf.DUMMYFUNCTION("""COMPUTED_VALUE"""),5.0)</f>
        <v>5</v>
      </c>
      <c r="AE108" s="16">
        <f>IFERROR(__xludf.DUMMYFUNCTION("""COMPUTED_VALUE"""),25.5)</f>
        <v>25.5</v>
      </c>
      <c r="AF108" s="16">
        <f>IFERROR(__xludf.DUMMYFUNCTION("""COMPUTED_VALUE"""),18.7)</f>
        <v>18.7</v>
      </c>
      <c r="AG108" s="16">
        <f>IFERROR(__xludf.DUMMYFUNCTION("""COMPUTED_VALUE"""),0.0)</f>
        <v>0</v>
      </c>
      <c r="AH108" s="16">
        <f>IFERROR(__xludf.DUMMYFUNCTION("""COMPUTED_VALUE"""),1.0)</f>
        <v>1</v>
      </c>
      <c r="AI108" s="16">
        <f>IFERROR(__xludf.DUMMYFUNCTION("""COMPUTED_VALUE"""),0.0)</f>
        <v>0</v>
      </c>
      <c r="AJ108" s="16">
        <f>IFERROR(__xludf.DUMMYFUNCTION("""COMPUTED_VALUE"""),2.0)</f>
        <v>2</v>
      </c>
      <c r="AK108" s="16">
        <f>IFERROR(__xludf.DUMMYFUNCTION("""COMPUTED_VALUE"""),20.5)</f>
        <v>20.5</v>
      </c>
      <c r="AL108" s="16">
        <f>IFERROR(__xludf.DUMMYFUNCTION("""COMPUTED_VALUE"""),8.4)</f>
        <v>8.4</v>
      </c>
      <c r="AM108" s="16">
        <f>IFERROR(__xludf.DUMMYFUNCTION("""COMPUTED_VALUE"""),-1.0)</f>
        <v>-1</v>
      </c>
      <c r="AN108" s="16">
        <f>IFERROR(__xludf.DUMMYFUNCTION("""COMPUTED_VALUE"""),1.0)</f>
        <v>1</v>
      </c>
      <c r="AO108" s="16">
        <f>IFERROR(__xludf.DUMMYFUNCTION("""COMPUTED_VALUE"""),-1.0)</f>
        <v>-1</v>
      </c>
      <c r="AP108" s="16">
        <f>IFERROR(__xludf.DUMMYFUNCTION("""COMPUTED_VALUE"""),1.0)</f>
        <v>1</v>
      </c>
      <c r="AQ108" s="16">
        <f>IFERROR(__xludf.DUMMYFUNCTION("""COMPUTED_VALUE"""),25.5)</f>
        <v>25.5</v>
      </c>
      <c r="AR108" s="16">
        <f>IFERROR(__xludf.DUMMYFUNCTION("""COMPUTED_VALUE"""),14.7)</f>
        <v>14.7</v>
      </c>
      <c r="AS108" s="16">
        <f>IFERROR(__xludf.DUMMYFUNCTION("""COMPUTED_VALUE"""),-1.0)</f>
        <v>-1</v>
      </c>
      <c r="AT108" s="16">
        <f>IFERROR(__xludf.DUMMYFUNCTION("""COMPUTED_VALUE"""),1.0)</f>
        <v>1</v>
      </c>
      <c r="AU108" s="16">
        <f>IFERROR(__xludf.DUMMYFUNCTION("""COMPUTED_VALUE"""),-2.0)</f>
        <v>-2</v>
      </c>
      <c r="AV108" s="16">
        <f>IFERROR(__xludf.DUMMYFUNCTION("""COMPUTED_VALUE"""),2.0)</f>
        <v>2</v>
      </c>
      <c r="AW108" s="16">
        <f>IFERROR(__xludf.DUMMYFUNCTION("""COMPUTED_VALUE"""),0.0)</f>
        <v>0</v>
      </c>
      <c r="AX108" s="16">
        <f>IFERROR(__xludf.DUMMYFUNCTION("""COMPUTED_VALUE"""),1.0)</f>
        <v>1</v>
      </c>
      <c r="AY108" s="16">
        <f>IFERROR(__xludf.DUMMYFUNCTION("""COMPUTED_VALUE"""),2.0)</f>
        <v>2</v>
      </c>
      <c r="AZ108" s="16">
        <f>IFERROR(__xludf.DUMMYFUNCTION("""COMPUTED_VALUE"""),1.0)</f>
        <v>1</v>
      </c>
      <c r="BA108" s="16">
        <f>IFERROR(__xludf.DUMMYFUNCTION("""COMPUTED_VALUE"""),10.0)</f>
        <v>10</v>
      </c>
      <c r="BB108" s="16">
        <f>IFERROR(__xludf.DUMMYFUNCTION("""COMPUTED_VALUE"""),5.0)</f>
        <v>5</v>
      </c>
      <c r="BC108" s="16">
        <f>IFERROR(__xludf.DUMMYFUNCTION("""COMPUTED_VALUE"""),0.0)</f>
        <v>0</v>
      </c>
      <c r="BD108" s="16"/>
      <c r="BE108" s="16">
        <f>IFERROR(__xludf.DUMMYFUNCTION("""COMPUTED_VALUE"""),0.0)</f>
        <v>0</v>
      </c>
      <c r="BF108" s="16">
        <f>IFERROR(__xludf.DUMMYFUNCTION("""COMPUTED_VALUE"""),1.0)</f>
        <v>1</v>
      </c>
      <c r="BG108" s="16">
        <f>IFERROR(__xludf.DUMMYFUNCTION("""COMPUTED_VALUE"""),3.0)</f>
        <v>3</v>
      </c>
      <c r="BH108" s="16">
        <f>IFERROR(__xludf.DUMMYFUNCTION("""COMPUTED_VALUE"""),2.0)</f>
        <v>2</v>
      </c>
      <c r="BI108" s="16">
        <f>IFERROR(__xludf.DUMMYFUNCTION("""COMPUTED_VALUE"""),6.0)</f>
        <v>6</v>
      </c>
      <c r="BJ108" s="16">
        <f>IFERROR(__xludf.DUMMYFUNCTION("""COMPUTED_VALUE"""),4.0)</f>
        <v>4</v>
      </c>
      <c r="BK108" s="16">
        <f>IFERROR(__xludf.DUMMYFUNCTION("""COMPUTED_VALUE"""),5.0)</f>
        <v>5</v>
      </c>
      <c r="BL108" s="16">
        <f>IFERROR(__xludf.DUMMYFUNCTION("""COMPUTED_VALUE"""),0.0)</f>
        <v>0</v>
      </c>
      <c r="BM108" s="16">
        <f>IFERROR(__xludf.DUMMYFUNCTION("""COMPUTED_VALUE"""),0.0)</f>
        <v>0</v>
      </c>
      <c r="BN108" s="16">
        <f>IFERROR(__xludf.DUMMYFUNCTION("""COMPUTED_VALUE"""),1.0)</f>
        <v>1</v>
      </c>
      <c r="BO108" s="16">
        <f>IFERROR(__xludf.DUMMYFUNCTION("""COMPUTED_VALUE"""),0.0)</f>
        <v>0</v>
      </c>
      <c r="BP108" s="16">
        <f>IFERROR(__xludf.DUMMYFUNCTION("""COMPUTED_VALUE"""),1.0)</f>
        <v>1</v>
      </c>
      <c r="BQ108" s="16">
        <f>IFERROR(__xludf.DUMMYFUNCTION("""COMPUTED_VALUE"""),5.0)</f>
        <v>5</v>
      </c>
      <c r="BR108" s="16">
        <f>IFERROR(__xludf.DUMMYFUNCTION("""COMPUTED_VALUE"""),4.0)</f>
        <v>4</v>
      </c>
      <c r="BS108" s="16">
        <f>IFERROR(__xludf.DUMMYFUNCTION("""COMPUTED_VALUE"""),0.0)</f>
        <v>0</v>
      </c>
      <c r="BT108" s="16">
        <f>IFERROR(__xludf.DUMMYFUNCTION("""COMPUTED_VALUE"""),-1.0)</f>
        <v>-1</v>
      </c>
      <c r="BU108" s="16">
        <f>IFERROR(__xludf.DUMMYFUNCTION("""COMPUTED_VALUE"""),0.0)</f>
        <v>0</v>
      </c>
      <c r="BV108" s="16">
        <f>IFERROR(__xludf.DUMMYFUNCTION("""COMPUTED_VALUE"""),-2.0)</f>
        <v>-2</v>
      </c>
      <c r="BW108" s="16">
        <f>IFERROR(__xludf.DUMMYFUNCTION("""COMPUTED_VALUE"""),0.0)</f>
        <v>0</v>
      </c>
      <c r="BX108" s="16">
        <f>IFERROR(__xludf.DUMMYFUNCTION("""COMPUTED_VALUE"""),0.0)</f>
        <v>0</v>
      </c>
      <c r="BY108" s="16" t="str">
        <f>IFERROR(__xludf.DUMMYFUNCTION("""COMPUTED_VALUE"""),"S(6)")</f>
        <v>S(6)</v>
      </c>
      <c r="BZ108" s="16" t="str">
        <f>IFERROR(__xludf.DUMMYFUNCTION("""COMPUTED_VALUE"""),"S(6)")</f>
        <v>S(6)</v>
      </c>
      <c r="CA108" s="16" t="str">
        <f>IFERROR(__xludf.DUMMYFUNCTION("""COMPUTED_VALUE"""),"S(6)")</f>
        <v>S(6)</v>
      </c>
      <c r="CB108" s="16"/>
      <c r="CC108" s="16"/>
      <c r="CD108" s="16">
        <f>IFERROR(__xludf.DUMMYFUNCTION("""COMPUTED_VALUE"""),6.0)</f>
        <v>6</v>
      </c>
      <c r="CE108" s="16"/>
      <c r="CF108" s="16"/>
      <c r="CG108" s="16" t="str">
        <f>IFERROR(__xludf.DUMMYFUNCTION("""COMPUTED_VALUE"""),"2-0")</f>
        <v>2-0</v>
      </c>
      <c r="CH108" s="16">
        <f>IFERROR(__xludf.DUMMYFUNCTION("""COMPUTED_VALUE"""),2.0)</f>
        <v>2</v>
      </c>
      <c r="CI108" s="16">
        <f>IFERROR(__xludf.DUMMYFUNCTION("""COMPUTED_VALUE"""),0.0)</f>
        <v>0</v>
      </c>
      <c r="CJ108" s="16">
        <f>IFERROR(__xludf.DUMMYFUNCTION("""COMPUTED_VALUE"""),0.0)</f>
        <v>0</v>
      </c>
      <c r="CK108" s="16">
        <f>IFERROR(__xludf.DUMMYFUNCTION("""COMPUTED_VALUE"""),13.0)</f>
        <v>13</v>
      </c>
      <c r="CL108" s="16" t="str">
        <f>IFERROR(__xludf.DUMMYFUNCTION("""COMPUTED_VALUE"""),"1WL-C")</f>
        <v>1WL-C</v>
      </c>
      <c r="CM108" s="16" t="str">
        <f>IFERROR(__xludf.DUMMYFUNCTION("""COMPUTED_VALUE"""),"E")</f>
        <v>E</v>
      </c>
      <c r="CN108" s="16">
        <f>IFERROR(__xludf.DUMMYFUNCTION("""COMPUTED_VALUE"""),10.0)</f>
        <v>10</v>
      </c>
      <c r="CO108" s="16" t="str">
        <f>IFERROR(__xludf.DUMMYFUNCTION("""COMPUTED_VALUE"""),"C")</f>
        <v>C</v>
      </c>
      <c r="CP108" s="16" t="str">
        <f>IFERROR(__xludf.DUMMYFUNCTION("""COMPUTED_VALUE"""),"0p72")</f>
        <v>0p72</v>
      </c>
      <c r="CQ108" s="16">
        <f>IFERROR(__xludf.DUMMYFUNCTION("""COMPUTED_VALUE"""),3.0)</f>
        <v>3</v>
      </c>
      <c r="CR108" s="16">
        <f>IFERROR(__xludf.DUMMYFUNCTION("""COMPUTED_VALUE"""),25.0)</f>
        <v>25</v>
      </c>
      <c r="CS108" s="16">
        <f>IFERROR(__xludf.DUMMYFUNCTION("""COMPUTED_VALUE"""),28.0)</f>
        <v>28</v>
      </c>
      <c r="CT108" s="16">
        <f>IFERROR(__xludf.DUMMYFUNCTION("""COMPUTED_VALUE"""),3.0)</f>
        <v>3</v>
      </c>
      <c r="CU108" s="16">
        <f>IFERROR(__xludf.DUMMYFUNCTION("""COMPUTED_VALUE"""),25.0)</f>
        <v>25</v>
      </c>
      <c r="CV108" s="179">
        <f>IFERROR(__xludf.DUMMYFUNCTION("""COMPUTED_VALUE"""),19.333333333333336)</f>
        <v>19.33333333</v>
      </c>
      <c r="CW108" s="179">
        <f>IFERROR(__xludf.DUMMYFUNCTION("""COMPUTED_VALUE"""),5.0)</f>
        <v>5</v>
      </c>
      <c r="CX108" s="179">
        <f>IFERROR(__xludf.DUMMYFUNCTION("""COMPUTED_VALUE"""),4.0)</f>
        <v>4</v>
      </c>
      <c r="CY108" s="16" t="str">
        <f>IFERROR(__xludf.DUMMYFUNCTION("""COMPUTED_VALUE"""),"SP")</f>
        <v>SP</v>
      </c>
      <c r="CZ108" s="16"/>
      <c r="DA108" s="16"/>
      <c r="DB108" s="16"/>
      <c r="DC108" s="16"/>
      <c r="DD108" s="16"/>
      <c r="DE108" s="16"/>
      <c r="DF108" s="16"/>
      <c r="DG108" s="16"/>
      <c r="DH108" s="16"/>
      <c r="DI108" s="16"/>
      <c r="DJ108" s="16"/>
      <c r="DK108" s="16"/>
    </row>
    <row r="109">
      <c r="A109" s="16">
        <f>IFERROR(__xludf.DUMMYFUNCTION("""COMPUTED_VALUE"""),12698.0)</f>
        <v>12698</v>
      </c>
      <c r="B109" s="16" t="str">
        <f>IFERROR(__xludf.DUMMYFUNCTION("""COMPUTED_VALUE"""),"Cole Sands")</f>
        <v>Cole Sands</v>
      </c>
      <c r="C109" s="153">
        <f>IFERROR(__xludf.DUMMYFUNCTION("""COMPUTED_VALUE"""),1.21)</f>
        <v>1.21</v>
      </c>
      <c r="D109" s="16"/>
      <c r="E109" s="16" t="str">
        <f>IFERROR(__xludf.DUMMYFUNCTION("""COMPUTED_VALUE"""),"R")</f>
        <v>R</v>
      </c>
      <c r="F109" s="16">
        <f>IFERROR(__xludf.DUMMYFUNCTION("""COMPUTED_VALUE"""),71.0)</f>
        <v>71</v>
      </c>
      <c r="G109" s="16">
        <f>IFERROR(__xludf.DUMMYFUNCTION("""COMPUTED_VALUE"""),39.0)</f>
        <v>39</v>
      </c>
      <c r="H109" s="16">
        <f>IFERROR(__xludf.DUMMYFUNCTION("""COMPUTED_VALUE"""),41.0)</f>
        <v>41</v>
      </c>
      <c r="I109" s="16">
        <f>IFERROR(__xludf.DUMMYFUNCTION("""COMPUTED_VALUE"""),2.0)</f>
        <v>2</v>
      </c>
      <c r="J109" s="16">
        <f>IFERROR(__xludf.DUMMYFUNCTION("""COMPUTED_VALUE"""),2.0)</f>
        <v>2</v>
      </c>
      <c r="K109" s="16">
        <f>IFERROR(__xludf.DUMMYFUNCTION("""COMPUTED_VALUE"""),6.0)</f>
        <v>6</v>
      </c>
      <c r="L109" s="16">
        <f>IFERROR(__xludf.DUMMYFUNCTION("""COMPUTED_VALUE"""),6.0)</f>
        <v>6</v>
      </c>
      <c r="M109" s="16">
        <f>IFERROR(__xludf.DUMMYFUNCTION("""COMPUTED_VALUE"""),4.0)</f>
        <v>4</v>
      </c>
      <c r="N109" s="16">
        <f>IFERROR(__xludf.DUMMYFUNCTION("""COMPUTED_VALUE"""),0.0)</f>
        <v>0</v>
      </c>
      <c r="O109" s="16">
        <f>IFERROR(__xludf.DUMMYFUNCTION("""COMPUTED_VALUE"""),2.0)</f>
        <v>2</v>
      </c>
      <c r="P109" s="16">
        <f>IFERROR(__xludf.DUMMYFUNCTION("""COMPUTED_VALUE"""),3.0)</f>
        <v>3</v>
      </c>
      <c r="Q109" s="16">
        <f>IFERROR(__xludf.DUMMYFUNCTION("""COMPUTED_VALUE"""),2.0)</f>
        <v>2</v>
      </c>
      <c r="R109" s="16">
        <f>IFERROR(__xludf.DUMMYFUNCTION("""COMPUTED_VALUE"""),3.0)</f>
        <v>3</v>
      </c>
      <c r="S109" s="16">
        <f>IFERROR(__xludf.DUMMYFUNCTION("""COMPUTED_VALUE"""),19.9)</f>
        <v>19.9</v>
      </c>
      <c r="T109" s="16">
        <f>IFERROR(__xludf.DUMMYFUNCTION("""COMPUTED_VALUE"""),7.9)</f>
        <v>7.9</v>
      </c>
      <c r="U109" s="16">
        <f>IFERROR(__xludf.DUMMYFUNCTION("""COMPUTED_VALUE"""),-1.0)</f>
        <v>-1</v>
      </c>
      <c r="V109" s="16">
        <f>IFERROR(__xludf.DUMMYFUNCTION("""COMPUTED_VALUE"""),1.0)</f>
        <v>1</v>
      </c>
      <c r="W109" s="16">
        <f>IFERROR(__xludf.DUMMYFUNCTION("""COMPUTED_VALUE"""),-2.0)</f>
        <v>-2</v>
      </c>
      <c r="X109" s="16">
        <f>IFERROR(__xludf.DUMMYFUNCTION("""COMPUTED_VALUE"""),2.0)</f>
        <v>2</v>
      </c>
      <c r="Y109" s="16">
        <f>IFERROR(__xludf.DUMMYFUNCTION("""COMPUTED_VALUE"""),23.9)</f>
        <v>23.9</v>
      </c>
      <c r="Z109" s="16">
        <f>IFERROR(__xludf.DUMMYFUNCTION("""COMPUTED_VALUE"""),7.9)</f>
        <v>7.9</v>
      </c>
      <c r="AA109" s="16">
        <f>IFERROR(__xludf.DUMMYFUNCTION("""COMPUTED_VALUE"""),0.0)</f>
        <v>0</v>
      </c>
      <c r="AB109" s="16">
        <f>IFERROR(__xludf.DUMMYFUNCTION("""COMPUTED_VALUE"""),2.0)</f>
        <v>2</v>
      </c>
      <c r="AC109" s="16">
        <f>IFERROR(__xludf.DUMMYFUNCTION("""COMPUTED_VALUE"""),0.0)</f>
        <v>0</v>
      </c>
      <c r="AD109" s="16">
        <f>IFERROR(__xludf.DUMMYFUNCTION("""COMPUTED_VALUE"""),10.0)</f>
        <v>10</v>
      </c>
      <c r="AE109" s="16">
        <f>IFERROR(__xludf.DUMMYFUNCTION("""COMPUTED_VALUE"""),26.5)</f>
        <v>26.5</v>
      </c>
      <c r="AF109" s="16">
        <f>IFERROR(__xludf.DUMMYFUNCTION("""COMPUTED_VALUE"""),13.6)</f>
        <v>13.6</v>
      </c>
      <c r="AG109" s="16">
        <f>IFERROR(__xludf.DUMMYFUNCTION("""COMPUTED_VALUE"""),0.0)</f>
        <v>0</v>
      </c>
      <c r="AH109" s="16">
        <f>IFERROR(__xludf.DUMMYFUNCTION("""COMPUTED_VALUE"""),2.0)</f>
        <v>2</v>
      </c>
      <c r="AI109" s="16">
        <f>IFERROR(__xludf.DUMMYFUNCTION("""COMPUTED_VALUE"""),0.0)</f>
        <v>0</v>
      </c>
      <c r="AJ109" s="16">
        <f>IFERROR(__xludf.DUMMYFUNCTION("""COMPUTED_VALUE"""),4.0)</f>
        <v>4</v>
      </c>
      <c r="AK109" s="16">
        <f>IFERROR(__xludf.DUMMYFUNCTION("""COMPUTED_VALUE"""),18.7)</f>
        <v>18.7</v>
      </c>
      <c r="AL109" s="16">
        <f>IFERROR(__xludf.DUMMYFUNCTION("""COMPUTED_VALUE"""),7.1000000000000005)</f>
        <v>7.1</v>
      </c>
      <c r="AM109" s="16">
        <f>IFERROR(__xludf.DUMMYFUNCTION("""COMPUTED_VALUE"""),-1.0)</f>
        <v>-1</v>
      </c>
      <c r="AN109" s="16">
        <f>IFERROR(__xludf.DUMMYFUNCTION("""COMPUTED_VALUE"""),1.0)</f>
        <v>1</v>
      </c>
      <c r="AO109" s="16">
        <f>IFERROR(__xludf.DUMMYFUNCTION("""COMPUTED_VALUE"""),-1.0)</f>
        <v>-1</v>
      </c>
      <c r="AP109" s="16">
        <f>IFERROR(__xludf.DUMMYFUNCTION("""COMPUTED_VALUE"""),1.0)</f>
        <v>1</v>
      </c>
      <c r="AQ109" s="16">
        <f>IFERROR(__xludf.DUMMYFUNCTION("""COMPUTED_VALUE"""),21.7)</f>
        <v>21.7</v>
      </c>
      <c r="AR109" s="16">
        <f>IFERROR(__xludf.DUMMYFUNCTION("""COMPUTED_VALUE"""),10.399999999999999)</f>
        <v>10.4</v>
      </c>
      <c r="AS109" s="16">
        <f>IFERROR(__xludf.DUMMYFUNCTION("""COMPUTED_VALUE"""),0.0)</f>
        <v>0</v>
      </c>
      <c r="AT109" s="16">
        <f>IFERROR(__xludf.DUMMYFUNCTION("""COMPUTED_VALUE"""),1.0)</f>
        <v>1</v>
      </c>
      <c r="AU109" s="16">
        <f>IFERROR(__xludf.DUMMYFUNCTION("""COMPUTED_VALUE"""),0.0)</f>
        <v>0</v>
      </c>
      <c r="AV109" s="16">
        <f>IFERROR(__xludf.DUMMYFUNCTION("""COMPUTED_VALUE"""),2.0)</f>
        <v>2</v>
      </c>
      <c r="AW109" s="16">
        <f>IFERROR(__xludf.DUMMYFUNCTION("""COMPUTED_VALUE"""),1.2)</f>
        <v>1.2</v>
      </c>
      <c r="AX109" s="16">
        <f>IFERROR(__xludf.DUMMYFUNCTION("""COMPUTED_VALUE"""),0.8)</f>
        <v>0.8</v>
      </c>
      <c r="AY109" s="16">
        <f>IFERROR(__xludf.DUMMYFUNCTION("""COMPUTED_VALUE"""),1.0)</f>
        <v>1</v>
      </c>
      <c r="AZ109" s="16">
        <f>IFERROR(__xludf.DUMMYFUNCTION("""COMPUTED_VALUE"""),1.0)</f>
        <v>1</v>
      </c>
      <c r="BA109" s="16">
        <f>IFERROR(__xludf.DUMMYFUNCTION("""COMPUTED_VALUE"""),5.0)</f>
        <v>5</v>
      </c>
      <c r="BB109" s="16">
        <f>IFERROR(__xludf.DUMMYFUNCTION("""COMPUTED_VALUE"""),5.0)</f>
        <v>5</v>
      </c>
      <c r="BC109" s="16">
        <f>IFERROR(__xludf.DUMMYFUNCTION("""COMPUTED_VALUE"""),2.0)</f>
        <v>2</v>
      </c>
      <c r="BD109" s="16">
        <f>IFERROR(__xludf.DUMMYFUNCTION("""COMPUTED_VALUE"""),0.0)</f>
        <v>0</v>
      </c>
      <c r="BE109" s="16">
        <f>IFERROR(__xludf.DUMMYFUNCTION("""COMPUTED_VALUE"""),2.0)</f>
        <v>2</v>
      </c>
      <c r="BF109" s="16">
        <f>IFERROR(__xludf.DUMMYFUNCTION("""COMPUTED_VALUE"""),0.0)</f>
        <v>0</v>
      </c>
      <c r="BG109" s="16">
        <f>IFERROR(__xludf.DUMMYFUNCTION("""COMPUTED_VALUE"""),1.0)</f>
        <v>1</v>
      </c>
      <c r="BH109" s="16">
        <f>IFERROR(__xludf.DUMMYFUNCTION("""COMPUTED_VALUE"""),2.0)</f>
        <v>2</v>
      </c>
      <c r="BI109" s="16">
        <f>IFERROR(__xludf.DUMMYFUNCTION("""COMPUTED_VALUE"""),2.0)</f>
        <v>2</v>
      </c>
      <c r="BJ109" s="16">
        <f>IFERROR(__xludf.DUMMYFUNCTION("""COMPUTED_VALUE"""),4.0)</f>
        <v>4</v>
      </c>
      <c r="BK109" s="16">
        <f>IFERROR(__xludf.DUMMYFUNCTION("""COMPUTED_VALUE"""),5.0)</f>
        <v>5</v>
      </c>
      <c r="BL109" s="16">
        <f>IFERROR(__xludf.DUMMYFUNCTION("""COMPUTED_VALUE"""),5.0)</f>
        <v>5</v>
      </c>
      <c r="BM109" s="16">
        <f>IFERROR(__xludf.DUMMYFUNCTION("""COMPUTED_VALUE"""),0.0)</f>
        <v>0</v>
      </c>
      <c r="BN109" s="16">
        <f>IFERROR(__xludf.DUMMYFUNCTION("""COMPUTED_VALUE"""),0.0)</f>
        <v>0</v>
      </c>
      <c r="BO109" s="16">
        <f>IFERROR(__xludf.DUMMYFUNCTION("""COMPUTED_VALUE"""),0.0)</f>
        <v>0</v>
      </c>
      <c r="BP109" s="16">
        <f>IFERROR(__xludf.DUMMYFUNCTION("""COMPUTED_VALUE"""),0.0)</f>
        <v>0</v>
      </c>
      <c r="BQ109" s="16">
        <f>IFERROR(__xludf.DUMMYFUNCTION("""COMPUTED_VALUE"""),0.0)</f>
        <v>0</v>
      </c>
      <c r="BR109" s="16">
        <f>IFERROR(__xludf.DUMMYFUNCTION("""COMPUTED_VALUE"""),0.0)</f>
        <v>0</v>
      </c>
      <c r="BS109" s="16">
        <f>IFERROR(__xludf.DUMMYFUNCTION("""COMPUTED_VALUE"""),-3.0)</f>
        <v>-3</v>
      </c>
      <c r="BT109" s="16">
        <f>IFERROR(__xludf.DUMMYFUNCTION("""COMPUTED_VALUE"""),-3.0)</f>
        <v>-3</v>
      </c>
      <c r="BU109" s="16">
        <f>IFERROR(__xludf.DUMMYFUNCTION("""COMPUTED_VALUE"""),-6.0)</f>
        <v>-6</v>
      </c>
      <c r="BV109" s="16">
        <f>IFERROR(__xludf.DUMMYFUNCTION("""COMPUTED_VALUE"""),-6.0)</f>
        <v>-6</v>
      </c>
      <c r="BW109" s="16">
        <f>IFERROR(__xludf.DUMMYFUNCTION("""COMPUTED_VALUE"""),0.0)</f>
        <v>0</v>
      </c>
      <c r="BX109" s="16">
        <f>IFERROR(__xludf.DUMMYFUNCTION("""COMPUTED_VALUE"""),0.0)</f>
        <v>0</v>
      </c>
      <c r="BY109" s="16" t="str">
        <f>IFERROR(__xludf.DUMMYFUNCTION("""COMPUTED_VALUE"""),"R(2) C(2)")</f>
        <v>R(2) C(2)</v>
      </c>
      <c r="BZ109" s="16" t="str">
        <f>IFERROR(__xludf.DUMMYFUNCTION("""COMPUTED_VALUE"""),"R(2) C(2)")</f>
        <v>R(2) C(2)</v>
      </c>
      <c r="CA109" s="16" t="str">
        <f>IFERROR(__xludf.DUMMYFUNCTION("""COMPUTED_VALUE"""),"R(2)")</f>
        <v>R(2)</v>
      </c>
      <c r="CB109" s="16" t="str">
        <f>IFERROR(__xludf.DUMMYFUNCTION("""COMPUTED_VALUE"""),"C(2)")</f>
        <v>C(2)</v>
      </c>
      <c r="CC109" s="16"/>
      <c r="CD109" s="16"/>
      <c r="CE109" s="16">
        <f>IFERROR(__xludf.DUMMYFUNCTION("""COMPUTED_VALUE"""),2.0)</f>
        <v>2</v>
      </c>
      <c r="CF109" s="16">
        <f>IFERROR(__xludf.DUMMYFUNCTION("""COMPUTED_VALUE"""),2.0)</f>
        <v>2</v>
      </c>
      <c r="CG109" s="16" t="str">
        <f>IFERROR(__xludf.DUMMYFUNCTION("""COMPUTED_VALUE"""),"4-20")</f>
        <v>4-20</v>
      </c>
      <c r="CH109" s="16">
        <f>IFERROR(__xludf.DUMMYFUNCTION("""COMPUTED_VALUE"""),4.0)</f>
        <v>4</v>
      </c>
      <c r="CI109" s="16">
        <f>IFERROR(__xludf.DUMMYFUNCTION("""COMPUTED_VALUE"""),20.0)</f>
        <v>20</v>
      </c>
      <c r="CJ109" s="16">
        <f>IFERROR(__xludf.DUMMYFUNCTION("""COMPUTED_VALUE"""),5.0)</f>
        <v>5</v>
      </c>
      <c r="CK109" s="16">
        <f>IFERROR(__xludf.DUMMYFUNCTION("""COMPUTED_VALUE"""),9.0)</f>
        <v>9</v>
      </c>
      <c r="CL109" s="16" t="str">
        <f>IFERROR(__xludf.DUMMYFUNCTION("""COMPUTED_VALUE"""),"1WR-C")</f>
        <v>1WR-C</v>
      </c>
      <c r="CM109" s="16" t="str">
        <f>IFERROR(__xludf.DUMMYFUNCTION("""COMPUTED_VALUE"""),"E")</f>
        <v>E</v>
      </c>
      <c r="CN109" s="16">
        <f>IFERROR(__xludf.DUMMYFUNCTION("""COMPUTED_VALUE"""),10.0)</f>
        <v>10</v>
      </c>
      <c r="CO109" s="16" t="str">
        <f>IFERROR(__xludf.DUMMYFUNCTION("""COMPUTED_VALUE"""),"C")</f>
        <v>C</v>
      </c>
      <c r="CP109" s="16" t="str">
        <f>IFERROR(__xludf.DUMMYFUNCTION("""COMPUTED_VALUE"""),"1p40")</f>
        <v>1p40</v>
      </c>
      <c r="CQ109" s="16">
        <f>IFERROR(__xludf.DUMMYFUNCTION("""COMPUTED_VALUE"""),6.0)</f>
        <v>6</v>
      </c>
      <c r="CR109" s="16">
        <f>IFERROR(__xludf.DUMMYFUNCTION("""COMPUTED_VALUE"""),31.0)</f>
        <v>31</v>
      </c>
      <c r="CS109" s="16">
        <f>IFERROR(__xludf.DUMMYFUNCTION("""COMPUTED_VALUE"""),37.0)</f>
        <v>37</v>
      </c>
      <c r="CT109" s="16">
        <f>IFERROR(__xludf.DUMMYFUNCTION("""COMPUTED_VALUE"""),6.0)</f>
        <v>6</v>
      </c>
      <c r="CU109" s="16">
        <f>IFERROR(__xludf.DUMMYFUNCTION("""COMPUTED_VALUE"""),31.0)</f>
        <v>31</v>
      </c>
      <c r="CV109" s="179">
        <f>IFERROR(__xludf.DUMMYFUNCTION("""COMPUTED_VALUE"""),19.333333333333336)</f>
        <v>19.33333333</v>
      </c>
      <c r="CW109" s="179">
        <f>IFERROR(__xludf.DUMMYFUNCTION("""COMPUTED_VALUE"""),4.0)</f>
        <v>4</v>
      </c>
      <c r="CX109" s="179">
        <f>IFERROR(__xludf.DUMMYFUNCTION("""COMPUTED_VALUE"""),1.0)</f>
        <v>1</v>
      </c>
      <c r="CY109" s="16" t="str">
        <f>IFERROR(__xludf.DUMMYFUNCTION("""COMPUTED_VALUE"""),"RP")</f>
        <v>RP</v>
      </c>
      <c r="CZ109" s="16" t="str">
        <f>IFERROR(__xludf.DUMMYFUNCTION("""COMPUTED_VALUE"""),"CP")</f>
        <v>CP</v>
      </c>
      <c r="DA109" s="16"/>
      <c r="DB109" s="16"/>
      <c r="DC109" s="16"/>
      <c r="DD109" s="16"/>
      <c r="DE109" s="16"/>
      <c r="DF109" s="16"/>
      <c r="DG109" s="16"/>
      <c r="DH109" s="16"/>
      <c r="DI109" s="16"/>
      <c r="DJ109" s="16"/>
      <c r="DK109" s="16"/>
    </row>
    <row r="110">
      <c r="A110" s="16">
        <f>IFERROR(__xludf.DUMMYFUNCTION("""COMPUTED_VALUE"""),13193.0)</f>
        <v>13193</v>
      </c>
      <c r="B110" s="16" t="str">
        <f>IFERROR(__xludf.DUMMYFUNCTION("""COMPUTED_VALUE"""),"Michael King")</f>
        <v>Michael King</v>
      </c>
      <c r="C110" s="153">
        <f>IFERROR(__xludf.DUMMYFUNCTION("""COMPUTED_VALUE"""),1.81)</f>
        <v>1.81</v>
      </c>
      <c r="D110" s="16"/>
      <c r="E110" s="16" t="str">
        <f>IFERROR(__xludf.DUMMYFUNCTION("""COMPUTED_VALUE"""),"R")</f>
        <v>R</v>
      </c>
      <c r="F110" s="16">
        <f>IFERROR(__xludf.DUMMYFUNCTION("""COMPUTED_VALUE"""),174.0)</f>
        <v>174</v>
      </c>
      <c r="G110" s="16">
        <f>IFERROR(__xludf.DUMMYFUNCTION("""COMPUTED_VALUE"""),28.0)</f>
        <v>28</v>
      </c>
      <c r="H110" s="16">
        <f>IFERROR(__xludf.DUMMYFUNCTION("""COMPUTED_VALUE"""),44.0)</f>
        <v>44</v>
      </c>
      <c r="I110" s="16">
        <f>IFERROR(__xludf.DUMMYFUNCTION("""COMPUTED_VALUE"""),0.0)</f>
        <v>0</v>
      </c>
      <c r="J110" s="16">
        <f>IFERROR(__xludf.DUMMYFUNCTION("""COMPUTED_VALUE"""),2.0)</f>
        <v>2</v>
      </c>
      <c r="K110" s="16">
        <f>IFERROR(__xludf.DUMMYFUNCTION("""COMPUTED_VALUE"""),0.0)</f>
        <v>0</v>
      </c>
      <c r="L110" s="16">
        <f>IFERROR(__xludf.DUMMYFUNCTION("""COMPUTED_VALUE"""),6.0)</f>
        <v>6</v>
      </c>
      <c r="M110" s="16">
        <f>IFERROR(__xludf.DUMMYFUNCTION("""COMPUTED_VALUE"""),11.0)</f>
        <v>11</v>
      </c>
      <c r="N110" s="16">
        <f>IFERROR(__xludf.DUMMYFUNCTION("""COMPUTED_VALUE"""),8.0)</f>
        <v>8</v>
      </c>
      <c r="O110" s="16">
        <f>IFERROR(__xludf.DUMMYFUNCTION("""COMPUTED_VALUE"""),-1.0)</f>
        <v>-1</v>
      </c>
      <c r="P110" s="16">
        <f>IFERROR(__xludf.DUMMYFUNCTION("""COMPUTED_VALUE"""),0.0)</f>
        <v>0</v>
      </c>
      <c r="Q110" s="16">
        <f>IFERROR(__xludf.DUMMYFUNCTION("""COMPUTED_VALUE"""),-1.0)</f>
        <v>-1</v>
      </c>
      <c r="R110" s="16">
        <f>IFERROR(__xludf.DUMMYFUNCTION("""COMPUTED_VALUE"""),0.0)</f>
        <v>0</v>
      </c>
      <c r="S110" s="16">
        <f>IFERROR(__xludf.DUMMYFUNCTION("""COMPUTED_VALUE"""),12.9)</f>
        <v>12.9</v>
      </c>
      <c r="T110" s="16">
        <f>IFERROR(__xludf.DUMMYFUNCTION("""COMPUTED_VALUE"""),13.0)</f>
        <v>13</v>
      </c>
      <c r="U110" s="16">
        <f>IFERROR(__xludf.DUMMYFUNCTION("""COMPUTED_VALUE"""),0.0)</f>
        <v>0</v>
      </c>
      <c r="V110" s="16">
        <f>IFERROR(__xludf.DUMMYFUNCTION("""COMPUTED_VALUE"""),1.0)</f>
        <v>1</v>
      </c>
      <c r="W110" s="16">
        <f>IFERROR(__xludf.DUMMYFUNCTION("""COMPUTED_VALUE"""),0.0)</f>
        <v>0</v>
      </c>
      <c r="X110" s="16">
        <f>IFERROR(__xludf.DUMMYFUNCTION("""COMPUTED_VALUE"""),2.0)</f>
        <v>2</v>
      </c>
      <c r="Y110" s="16">
        <f>IFERROR(__xludf.DUMMYFUNCTION("""COMPUTED_VALUE"""),24.0)</f>
        <v>24</v>
      </c>
      <c r="Z110" s="16">
        <f>IFERROR(__xludf.DUMMYFUNCTION("""COMPUTED_VALUE"""),21.0)</f>
        <v>21</v>
      </c>
      <c r="AA110" s="16">
        <f>IFERROR(__xludf.DUMMYFUNCTION("""COMPUTED_VALUE"""),0.0)</f>
        <v>0</v>
      </c>
      <c r="AB110" s="16">
        <f>IFERROR(__xludf.DUMMYFUNCTION("""COMPUTED_VALUE"""),1.0)</f>
        <v>1</v>
      </c>
      <c r="AC110" s="16">
        <f>IFERROR(__xludf.DUMMYFUNCTION("""COMPUTED_VALUE"""),0.0)</f>
        <v>0</v>
      </c>
      <c r="AD110" s="16">
        <f>IFERROR(__xludf.DUMMYFUNCTION("""COMPUTED_VALUE"""),5.0)</f>
        <v>5</v>
      </c>
      <c r="AE110" s="16">
        <f>IFERROR(__xludf.DUMMYFUNCTION("""COMPUTED_VALUE"""),19.1)</f>
        <v>19.1</v>
      </c>
      <c r="AF110" s="16">
        <f>IFERROR(__xludf.DUMMYFUNCTION("""COMPUTED_VALUE"""),21.9)</f>
        <v>21.9</v>
      </c>
      <c r="AG110" s="16">
        <f>IFERROR(__xludf.DUMMYFUNCTION("""COMPUTED_VALUE"""),1.0)</f>
        <v>1</v>
      </c>
      <c r="AH110" s="16">
        <f>IFERROR(__xludf.DUMMYFUNCTION("""COMPUTED_VALUE"""),1.0)</f>
        <v>1</v>
      </c>
      <c r="AI110" s="16">
        <f>IFERROR(__xludf.DUMMYFUNCTION("""COMPUTED_VALUE"""),2.0)</f>
        <v>2</v>
      </c>
      <c r="AJ110" s="16">
        <f>IFERROR(__xludf.DUMMYFUNCTION("""COMPUTED_VALUE"""),2.0)</f>
        <v>2</v>
      </c>
      <c r="AK110" s="16">
        <f>IFERROR(__xludf.DUMMYFUNCTION("""COMPUTED_VALUE"""),11.9)</f>
        <v>11.9</v>
      </c>
      <c r="AL110" s="16">
        <f>IFERROR(__xludf.DUMMYFUNCTION("""COMPUTED_VALUE"""),11.4)</f>
        <v>11.4</v>
      </c>
      <c r="AM110" s="16">
        <f>IFERROR(__xludf.DUMMYFUNCTION("""COMPUTED_VALUE"""),0.0)</f>
        <v>0</v>
      </c>
      <c r="AN110" s="16">
        <f>IFERROR(__xludf.DUMMYFUNCTION("""COMPUTED_VALUE"""),0.0)</f>
        <v>0</v>
      </c>
      <c r="AO110" s="16">
        <f>IFERROR(__xludf.DUMMYFUNCTION("""COMPUTED_VALUE"""),0.0)</f>
        <v>0</v>
      </c>
      <c r="AP110" s="16">
        <f>IFERROR(__xludf.DUMMYFUNCTION("""COMPUTED_VALUE"""),0.0)</f>
        <v>0</v>
      </c>
      <c r="AQ110" s="16">
        <f>IFERROR(__xludf.DUMMYFUNCTION("""COMPUTED_VALUE"""),15.100000000000001)</f>
        <v>15.1</v>
      </c>
      <c r="AR110" s="16">
        <f>IFERROR(__xludf.DUMMYFUNCTION("""COMPUTED_VALUE"""),15.499999999999998)</f>
        <v>15.5</v>
      </c>
      <c r="AS110" s="16">
        <f>IFERROR(__xludf.DUMMYFUNCTION("""COMPUTED_VALUE"""),1.0)</f>
        <v>1</v>
      </c>
      <c r="AT110" s="16">
        <f>IFERROR(__xludf.DUMMYFUNCTION("""COMPUTED_VALUE"""),1.0)</f>
        <v>1</v>
      </c>
      <c r="AU110" s="16">
        <f>IFERROR(__xludf.DUMMYFUNCTION("""COMPUTED_VALUE"""),2.0)</f>
        <v>2</v>
      </c>
      <c r="AV110" s="16">
        <f>IFERROR(__xludf.DUMMYFUNCTION("""COMPUTED_VALUE"""),2.0)</f>
        <v>2</v>
      </c>
      <c r="AW110" s="16">
        <f>IFERROR(__xludf.DUMMYFUNCTION("""COMPUTED_VALUE"""),1.0)</f>
        <v>1</v>
      </c>
      <c r="AX110" s="16">
        <f>IFERROR(__xludf.DUMMYFUNCTION("""COMPUTED_VALUE"""),1.6)</f>
        <v>1.6</v>
      </c>
      <c r="AY110" s="16">
        <f>IFERROR(__xludf.DUMMYFUNCTION("""COMPUTED_VALUE"""),1.0)</f>
        <v>1</v>
      </c>
      <c r="AZ110" s="16">
        <f>IFERROR(__xludf.DUMMYFUNCTION("""COMPUTED_VALUE"""),1.0)</f>
        <v>1</v>
      </c>
      <c r="BA110" s="16">
        <f>IFERROR(__xludf.DUMMYFUNCTION("""COMPUTED_VALUE"""),5.0)</f>
        <v>5</v>
      </c>
      <c r="BB110" s="16">
        <f>IFERROR(__xludf.DUMMYFUNCTION("""COMPUTED_VALUE"""),5.0)</f>
        <v>5</v>
      </c>
      <c r="BC110" s="16">
        <f>IFERROR(__xludf.DUMMYFUNCTION("""COMPUTED_VALUE"""),1.0)</f>
        <v>1</v>
      </c>
      <c r="BD110" s="16">
        <f>IFERROR(__xludf.DUMMYFUNCTION("""COMPUTED_VALUE"""),1.0)</f>
        <v>1</v>
      </c>
      <c r="BE110" s="16">
        <f>IFERROR(__xludf.DUMMYFUNCTION("""COMPUTED_VALUE"""),1.0)</f>
        <v>1</v>
      </c>
      <c r="BF110" s="16">
        <f>IFERROR(__xludf.DUMMYFUNCTION("""COMPUTED_VALUE"""),1.0)</f>
        <v>1</v>
      </c>
      <c r="BG110" s="16">
        <f>IFERROR(__xludf.DUMMYFUNCTION("""COMPUTED_VALUE"""),2.0)</f>
        <v>2</v>
      </c>
      <c r="BH110" s="16">
        <f>IFERROR(__xludf.DUMMYFUNCTION("""COMPUTED_VALUE"""),2.0)</f>
        <v>2</v>
      </c>
      <c r="BI110" s="16">
        <f>IFERROR(__xludf.DUMMYFUNCTION("""COMPUTED_VALUE"""),4.0)</f>
        <v>4</v>
      </c>
      <c r="BJ110" s="16">
        <f>IFERROR(__xludf.DUMMYFUNCTION("""COMPUTED_VALUE"""),4.0)</f>
        <v>4</v>
      </c>
      <c r="BK110" s="16">
        <f>IFERROR(__xludf.DUMMYFUNCTION("""COMPUTED_VALUE"""),5.0)</f>
        <v>5</v>
      </c>
      <c r="BL110" s="16">
        <f>IFERROR(__xludf.DUMMYFUNCTION("""COMPUTED_VALUE"""),5.0)</f>
        <v>5</v>
      </c>
      <c r="BM110" s="16">
        <f>IFERROR(__xludf.DUMMYFUNCTION("""COMPUTED_VALUE"""),0.0)</f>
        <v>0</v>
      </c>
      <c r="BN110" s="16">
        <f>IFERROR(__xludf.DUMMYFUNCTION("""COMPUTED_VALUE"""),0.0)</f>
        <v>0</v>
      </c>
      <c r="BO110" s="16">
        <f>IFERROR(__xludf.DUMMYFUNCTION("""COMPUTED_VALUE"""),0.0)</f>
        <v>0</v>
      </c>
      <c r="BP110" s="16">
        <f>IFERROR(__xludf.DUMMYFUNCTION("""COMPUTED_VALUE"""),0.0)</f>
        <v>0</v>
      </c>
      <c r="BQ110" s="16">
        <f>IFERROR(__xludf.DUMMYFUNCTION("""COMPUTED_VALUE"""),2.0)</f>
        <v>2</v>
      </c>
      <c r="BR110" s="16">
        <f>IFERROR(__xludf.DUMMYFUNCTION("""COMPUTED_VALUE"""),0.0)</f>
        <v>0</v>
      </c>
      <c r="BS110" s="16">
        <f>IFERROR(__xludf.DUMMYFUNCTION("""COMPUTED_VALUE"""),-2.0)</f>
        <v>-2</v>
      </c>
      <c r="BT110" s="16">
        <f>IFERROR(__xludf.DUMMYFUNCTION("""COMPUTED_VALUE"""),-3.0)</f>
        <v>-3</v>
      </c>
      <c r="BU110" s="16">
        <f>IFERROR(__xludf.DUMMYFUNCTION("""COMPUTED_VALUE"""),-4.0)</f>
        <v>-4</v>
      </c>
      <c r="BV110" s="16">
        <f>IFERROR(__xludf.DUMMYFUNCTION("""COMPUTED_VALUE"""),-6.0)</f>
        <v>-6</v>
      </c>
      <c r="BW110" s="16">
        <f>IFERROR(__xludf.DUMMYFUNCTION("""COMPUTED_VALUE"""),-3.0)</f>
        <v>-3</v>
      </c>
      <c r="BX110" s="16">
        <f>IFERROR(__xludf.DUMMYFUNCTION("""COMPUTED_VALUE"""),-3.0)</f>
        <v>-3</v>
      </c>
      <c r="BY110" s="16" t="str">
        <f>IFERROR(__xludf.DUMMYFUNCTION("""COMPUTED_VALUE"""),"S(5)")</f>
        <v>S(5)</v>
      </c>
      <c r="BZ110" s="16" t="str">
        <f>IFERROR(__xludf.DUMMYFUNCTION("""COMPUTED_VALUE"""),"S(5)")</f>
        <v>S(5)</v>
      </c>
      <c r="CA110" s="16" t="str">
        <f>IFERROR(__xludf.DUMMYFUNCTION("""COMPUTED_VALUE"""),"S(5)")</f>
        <v>S(5)</v>
      </c>
      <c r="CB110" s="16"/>
      <c r="CC110" s="16"/>
      <c r="CD110" s="16">
        <f>IFERROR(__xludf.DUMMYFUNCTION("""COMPUTED_VALUE"""),5.0)</f>
        <v>5</v>
      </c>
      <c r="CE110" s="16"/>
      <c r="CF110" s="16"/>
      <c r="CG110" s="16" t="str">
        <f>IFERROR(__xludf.DUMMYFUNCTION("""COMPUTED_VALUE"""),"1-8")</f>
        <v>1-8</v>
      </c>
      <c r="CH110" s="16">
        <f>IFERROR(__xludf.DUMMYFUNCTION("""COMPUTED_VALUE"""),1.0)</f>
        <v>1</v>
      </c>
      <c r="CI110" s="16">
        <f>IFERROR(__xludf.DUMMYFUNCTION("""COMPUTED_VALUE"""),8.0)</f>
        <v>8</v>
      </c>
      <c r="CJ110" s="16">
        <f>IFERROR(__xludf.DUMMYFUNCTION("""COMPUTED_VALUE"""),0.0)</f>
        <v>0</v>
      </c>
      <c r="CK110" s="16">
        <f>IFERROR(__xludf.DUMMYFUNCTION("""COMPUTED_VALUE"""),0.0)</f>
        <v>0</v>
      </c>
      <c r="CL110" s="16" t="str">
        <f>IFERROR(__xludf.DUMMYFUNCTION("""COMPUTED_VALUE"""),"1WR-C")</f>
        <v>1WR-C</v>
      </c>
      <c r="CM110" s="16" t="str">
        <f>IFERROR(__xludf.DUMMYFUNCTION("""COMPUTED_VALUE"""),"E")</f>
        <v>E</v>
      </c>
      <c r="CN110" s="16">
        <f>IFERROR(__xludf.DUMMYFUNCTION("""COMPUTED_VALUE"""),10.0)</f>
        <v>10</v>
      </c>
      <c r="CO110" s="16" t="str">
        <f>IFERROR(__xludf.DUMMYFUNCTION("""COMPUTED_VALUE"""),"C")</f>
        <v>C</v>
      </c>
      <c r="CP110" s="16" t="str">
        <f>IFERROR(__xludf.DUMMYFUNCTION("""COMPUTED_VALUE"""),"1p70")</f>
        <v>1p70</v>
      </c>
      <c r="CQ110" s="16">
        <f>IFERROR(__xludf.DUMMYFUNCTION("""COMPUTED_VALUE"""),8.0)</f>
        <v>8</v>
      </c>
      <c r="CR110" s="16">
        <f>IFERROR(__xludf.DUMMYFUNCTION("""COMPUTED_VALUE"""),20.0)</f>
        <v>20</v>
      </c>
      <c r="CS110" s="16">
        <f>IFERROR(__xludf.DUMMYFUNCTION("""COMPUTED_VALUE"""),28.0)</f>
        <v>28</v>
      </c>
      <c r="CT110" s="16">
        <f>IFERROR(__xludf.DUMMYFUNCTION("""COMPUTED_VALUE"""),8.0)</f>
        <v>8</v>
      </c>
      <c r="CU110" s="16">
        <f>IFERROR(__xludf.DUMMYFUNCTION("""COMPUTED_VALUE"""),20.0)</f>
        <v>20</v>
      </c>
      <c r="CV110" s="179">
        <f>IFERROR(__xludf.DUMMYFUNCTION("""COMPUTED_VALUE"""),19.0)</f>
        <v>19</v>
      </c>
      <c r="CW110" s="179">
        <f>IFERROR(__xludf.DUMMYFUNCTION("""COMPUTED_VALUE"""),4.0)</f>
        <v>4</v>
      </c>
      <c r="CX110" s="179">
        <f>IFERROR(__xludf.DUMMYFUNCTION("""COMPUTED_VALUE"""),3.0)</f>
        <v>3</v>
      </c>
      <c r="CY110" s="16" t="str">
        <f>IFERROR(__xludf.DUMMYFUNCTION("""COMPUTED_VALUE"""),"SP")</f>
        <v>SP</v>
      </c>
      <c r="CZ110" s="16"/>
      <c r="DA110" s="16"/>
      <c r="DB110" s="16"/>
      <c r="DC110" s="16"/>
      <c r="DD110" s="16"/>
      <c r="DE110" s="16"/>
      <c r="DF110" s="16"/>
      <c r="DG110" s="16"/>
      <c r="DH110" s="16"/>
      <c r="DI110" s="16"/>
      <c r="DJ110" s="16"/>
      <c r="DK110" s="16"/>
    </row>
    <row r="111">
      <c r="A111" s="16">
        <f>IFERROR(__xludf.DUMMYFUNCTION("""COMPUTED_VALUE"""),13167.0)</f>
        <v>13167</v>
      </c>
      <c r="B111" s="16" t="str">
        <f>IFERROR(__xludf.DUMMYFUNCTION("""COMPUTED_VALUE"""),"Matt Boyd")</f>
        <v>Matt Boyd</v>
      </c>
      <c r="C111" s="153">
        <f>IFERROR(__xludf.DUMMYFUNCTION("""COMPUTED_VALUE"""),1.32)</f>
        <v>1.32</v>
      </c>
      <c r="D111" s="16"/>
      <c r="E111" s="16" t="str">
        <f>IFERROR(__xludf.DUMMYFUNCTION("""COMPUTED_VALUE"""),"L")</f>
        <v>L</v>
      </c>
      <c r="F111" s="16">
        <f>IFERROR(__xludf.DUMMYFUNCTION("""COMPUTED_VALUE"""),40.0)</f>
        <v>40</v>
      </c>
      <c r="G111" s="16">
        <f>IFERROR(__xludf.DUMMYFUNCTION("""COMPUTED_VALUE"""),35.0)</f>
        <v>35</v>
      </c>
      <c r="H111" s="16">
        <f>IFERROR(__xludf.DUMMYFUNCTION("""COMPUTED_VALUE"""),36.0)</f>
        <v>36</v>
      </c>
      <c r="I111" s="16">
        <f>IFERROR(__xludf.DUMMYFUNCTION("""COMPUTED_VALUE"""),1.0)</f>
        <v>1</v>
      </c>
      <c r="J111" s="16">
        <f>IFERROR(__xludf.DUMMYFUNCTION("""COMPUTED_VALUE"""),1.0)</f>
        <v>1</v>
      </c>
      <c r="K111" s="16">
        <f>IFERROR(__xludf.DUMMYFUNCTION("""COMPUTED_VALUE"""),3.0)</f>
        <v>3</v>
      </c>
      <c r="L111" s="16">
        <f>IFERROR(__xludf.DUMMYFUNCTION("""COMPUTED_VALUE"""),3.0)</f>
        <v>3</v>
      </c>
      <c r="M111" s="16">
        <f>IFERROR(__xludf.DUMMYFUNCTION("""COMPUTED_VALUE"""),13.0)</f>
        <v>13</v>
      </c>
      <c r="N111" s="16">
        <f>IFERROR(__xludf.DUMMYFUNCTION("""COMPUTED_VALUE"""),8.0)</f>
        <v>8</v>
      </c>
      <c r="O111" s="16">
        <f>IFERROR(__xludf.DUMMYFUNCTION("""COMPUTED_VALUE"""),-1.0)</f>
        <v>-1</v>
      </c>
      <c r="P111" s="16">
        <f>IFERROR(__xludf.DUMMYFUNCTION("""COMPUTED_VALUE"""),0.0)</f>
        <v>0</v>
      </c>
      <c r="Q111" s="16">
        <f>IFERROR(__xludf.DUMMYFUNCTION("""COMPUTED_VALUE"""),-1.0)</f>
        <v>-1</v>
      </c>
      <c r="R111" s="16">
        <f>IFERROR(__xludf.DUMMYFUNCTION("""COMPUTED_VALUE"""),0.0)</f>
        <v>0</v>
      </c>
      <c r="S111" s="16">
        <f>IFERROR(__xludf.DUMMYFUNCTION("""COMPUTED_VALUE"""),3.6)</f>
        <v>3.6</v>
      </c>
      <c r="T111" s="16">
        <f>IFERROR(__xludf.DUMMYFUNCTION("""COMPUTED_VALUE"""),10.0)</f>
        <v>10</v>
      </c>
      <c r="U111" s="16">
        <f>IFERROR(__xludf.DUMMYFUNCTION("""COMPUTED_VALUE"""),2.0)</f>
        <v>2</v>
      </c>
      <c r="V111" s="16">
        <f>IFERROR(__xludf.DUMMYFUNCTION("""COMPUTED_VALUE"""),1.0)</f>
        <v>1</v>
      </c>
      <c r="W111" s="16">
        <f>IFERROR(__xludf.DUMMYFUNCTION("""COMPUTED_VALUE"""),4.0)</f>
        <v>4</v>
      </c>
      <c r="X111" s="16">
        <f>IFERROR(__xludf.DUMMYFUNCTION("""COMPUTED_VALUE"""),2.0)</f>
        <v>2</v>
      </c>
      <c r="Y111" s="16">
        <f>IFERROR(__xludf.DUMMYFUNCTION("""COMPUTED_VALUE"""),16.6)</f>
        <v>16.6</v>
      </c>
      <c r="Z111" s="16">
        <f>IFERROR(__xludf.DUMMYFUNCTION("""COMPUTED_VALUE"""),18.0)</f>
        <v>18</v>
      </c>
      <c r="AA111" s="16">
        <f>IFERROR(__xludf.DUMMYFUNCTION("""COMPUTED_VALUE"""),1.0)</f>
        <v>1</v>
      </c>
      <c r="AB111" s="16">
        <f>IFERROR(__xludf.DUMMYFUNCTION("""COMPUTED_VALUE"""),1.0)</f>
        <v>1</v>
      </c>
      <c r="AC111" s="16">
        <f>IFERROR(__xludf.DUMMYFUNCTION("""COMPUTED_VALUE"""),5.0)</f>
        <v>5</v>
      </c>
      <c r="AD111" s="16">
        <f>IFERROR(__xludf.DUMMYFUNCTION("""COMPUTED_VALUE"""),5.0)</f>
        <v>5</v>
      </c>
      <c r="AE111" s="16">
        <f>IFERROR(__xludf.DUMMYFUNCTION("""COMPUTED_VALUE"""),10.8)</f>
        <v>10.8</v>
      </c>
      <c r="AF111" s="16">
        <f>IFERROR(__xludf.DUMMYFUNCTION("""COMPUTED_VALUE"""),19.4)</f>
        <v>19.4</v>
      </c>
      <c r="AG111" s="16">
        <f>IFERROR(__xludf.DUMMYFUNCTION("""COMPUTED_VALUE"""),2.0)</f>
        <v>2</v>
      </c>
      <c r="AH111" s="16">
        <f>IFERROR(__xludf.DUMMYFUNCTION("""COMPUTED_VALUE"""),1.0)</f>
        <v>1</v>
      </c>
      <c r="AI111" s="16">
        <f>IFERROR(__xludf.DUMMYFUNCTION("""COMPUTED_VALUE"""),4.0)</f>
        <v>4</v>
      </c>
      <c r="AJ111" s="16">
        <f>IFERROR(__xludf.DUMMYFUNCTION("""COMPUTED_VALUE"""),2.0)</f>
        <v>2</v>
      </c>
      <c r="AK111" s="16">
        <f>IFERROR(__xludf.DUMMYFUNCTION("""COMPUTED_VALUE"""),1.2000000000000002)</f>
        <v>1.2</v>
      </c>
      <c r="AL111" s="16">
        <f>IFERROR(__xludf.DUMMYFUNCTION("""COMPUTED_VALUE"""),9.0)</f>
        <v>9</v>
      </c>
      <c r="AM111" s="16">
        <f>IFERROR(__xludf.DUMMYFUNCTION("""COMPUTED_VALUE"""),2.0)</f>
        <v>2</v>
      </c>
      <c r="AN111" s="16">
        <f>IFERROR(__xludf.DUMMYFUNCTION("""COMPUTED_VALUE"""),1.0)</f>
        <v>1</v>
      </c>
      <c r="AO111" s="16">
        <f>IFERROR(__xludf.DUMMYFUNCTION("""COMPUTED_VALUE"""),2.0)</f>
        <v>2</v>
      </c>
      <c r="AP111" s="16">
        <f>IFERROR(__xludf.DUMMYFUNCTION("""COMPUTED_VALUE"""),1.0)</f>
        <v>1</v>
      </c>
      <c r="AQ111" s="16">
        <f>IFERROR(__xludf.DUMMYFUNCTION("""COMPUTED_VALUE"""),1.200000000000001)</f>
        <v>1.2</v>
      </c>
      <c r="AR111" s="16">
        <f>IFERROR(__xludf.DUMMYFUNCTION("""COMPUTED_VALUE"""),15.399999999999999)</f>
        <v>15.4</v>
      </c>
      <c r="AS111" s="16">
        <f>IFERROR(__xludf.DUMMYFUNCTION("""COMPUTED_VALUE"""),2.0)</f>
        <v>2</v>
      </c>
      <c r="AT111" s="16">
        <f>IFERROR(__xludf.DUMMYFUNCTION("""COMPUTED_VALUE"""),1.0)</f>
        <v>1</v>
      </c>
      <c r="AU111" s="16">
        <f>IFERROR(__xludf.DUMMYFUNCTION("""COMPUTED_VALUE"""),4.0)</f>
        <v>4</v>
      </c>
      <c r="AV111" s="16">
        <f>IFERROR(__xludf.DUMMYFUNCTION("""COMPUTED_VALUE"""),2.0)</f>
        <v>2</v>
      </c>
      <c r="AW111" s="16">
        <f>IFERROR(__xludf.DUMMYFUNCTION("""COMPUTED_VALUE"""),2.4)</f>
        <v>2.4</v>
      </c>
      <c r="AX111" s="16">
        <f>IFERROR(__xludf.DUMMYFUNCTION("""COMPUTED_VALUE"""),1.0)</f>
        <v>1</v>
      </c>
      <c r="AY111" s="16">
        <f>IFERROR(__xludf.DUMMYFUNCTION("""COMPUTED_VALUE"""),0.0)</f>
        <v>0</v>
      </c>
      <c r="AZ111" s="16">
        <f>IFERROR(__xludf.DUMMYFUNCTION("""COMPUTED_VALUE"""),1.0)</f>
        <v>1</v>
      </c>
      <c r="BA111" s="16">
        <f>IFERROR(__xludf.DUMMYFUNCTION("""COMPUTED_VALUE"""),0.0)</f>
        <v>0</v>
      </c>
      <c r="BB111" s="16">
        <f>IFERROR(__xludf.DUMMYFUNCTION("""COMPUTED_VALUE"""),5.0)</f>
        <v>5</v>
      </c>
      <c r="BC111" s="16"/>
      <c r="BD111" s="16">
        <f>IFERROR(__xludf.DUMMYFUNCTION("""COMPUTED_VALUE"""),2.0)</f>
        <v>2</v>
      </c>
      <c r="BE111" s="16">
        <f>IFERROR(__xludf.DUMMYFUNCTION("""COMPUTED_VALUE"""),4.0)</f>
        <v>4</v>
      </c>
      <c r="BF111" s="16">
        <f>IFERROR(__xludf.DUMMYFUNCTION("""COMPUTED_VALUE"""),2.0)</f>
        <v>2</v>
      </c>
      <c r="BG111" s="16">
        <f>IFERROR(__xludf.DUMMYFUNCTION("""COMPUTED_VALUE"""),-1.0)</f>
        <v>-1</v>
      </c>
      <c r="BH111" s="16">
        <f>IFERROR(__xludf.DUMMYFUNCTION("""COMPUTED_VALUE"""),1.0)</f>
        <v>1</v>
      </c>
      <c r="BI111" s="16">
        <f>IFERROR(__xludf.DUMMYFUNCTION("""COMPUTED_VALUE"""),-2.0)</f>
        <v>-2</v>
      </c>
      <c r="BJ111" s="16">
        <f>IFERROR(__xludf.DUMMYFUNCTION("""COMPUTED_VALUE"""),2.0)</f>
        <v>2</v>
      </c>
      <c r="BK111" s="16">
        <f>IFERROR(__xludf.DUMMYFUNCTION("""COMPUTED_VALUE"""),0.0)</f>
        <v>0</v>
      </c>
      <c r="BL111" s="16">
        <f>IFERROR(__xludf.DUMMYFUNCTION("""COMPUTED_VALUE"""),5.0)</f>
        <v>5</v>
      </c>
      <c r="BM111" s="16">
        <f>IFERROR(__xludf.DUMMYFUNCTION("""COMPUTED_VALUE"""),1.0)</f>
        <v>1</v>
      </c>
      <c r="BN111" s="16">
        <f>IFERROR(__xludf.DUMMYFUNCTION("""COMPUTED_VALUE"""),0.0)</f>
        <v>0</v>
      </c>
      <c r="BO111" s="16">
        <f>IFERROR(__xludf.DUMMYFUNCTION("""COMPUTED_VALUE"""),1.0)</f>
        <v>1</v>
      </c>
      <c r="BP111" s="16">
        <f>IFERROR(__xludf.DUMMYFUNCTION("""COMPUTED_VALUE"""),0.0)</f>
        <v>0</v>
      </c>
      <c r="BQ111" s="16">
        <f>IFERROR(__xludf.DUMMYFUNCTION("""COMPUTED_VALUE"""),0.0)</f>
        <v>0</v>
      </c>
      <c r="BR111" s="16">
        <f>IFERROR(__xludf.DUMMYFUNCTION("""COMPUTED_VALUE"""),0.0)</f>
        <v>0</v>
      </c>
      <c r="BS111" s="16">
        <f>IFERROR(__xludf.DUMMYFUNCTION("""COMPUTED_VALUE"""),-3.0)</f>
        <v>-3</v>
      </c>
      <c r="BT111" s="16">
        <f>IFERROR(__xludf.DUMMYFUNCTION("""COMPUTED_VALUE"""),-3.0)</f>
        <v>-3</v>
      </c>
      <c r="BU111" s="16">
        <f>IFERROR(__xludf.DUMMYFUNCTION("""COMPUTED_VALUE"""),-6.0)</f>
        <v>-6</v>
      </c>
      <c r="BV111" s="16">
        <f>IFERROR(__xludf.DUMMYFUNCTION("""COMPUTED_VALUE"""),-6.0)</f>
        <v>-6</v>
      </c>
      <c r="BW111" s="16">
        <f>IFERROR(__xludf.DUMMYFUNCTION("""COMPUTED_VALUE"""),0.0)</f>
        <v>0</v>
      </c>
      <c r="BX111" s="16">
        <f>IFERROR(__xludf.DUMMYFUNCTION("""COMPUTED_VALUE"""),0.0)</f>
        <v>0</v>
      </c>
      <c r="BY111" s="16" t="str">
        <f>IFERROR(__xludf.DUMMYFUNCTION("""COMPUTED_VALUE"""),"S(5)")</f>
        <v>S(5)</v>
      </c>
      <c r="BZ111" s="16" t="str">
        <f>IFERROR(__xludf.DUMMYFUNCTION("""COMPUTED_VALUE"""),"S(5)")</f>
        <v>S(5)</v>
      </c>
      <c r="CA111" s="16" t="str">
        <f>IFERROR(__xludf.DUMMYFUNCTION("""COMPUTED_VALUE"""),"S(5)")</f>
        <v>S(5)</v>
      </c>
      <c r="CB111" s="16"/>
      <c r="CC111" s="16"/>
      <c r="CD111" s="16">
        <f>IFERROR(__xludf.DUMMYFUNCTION("""COMPUTED_VALUE"""),5.0)</f>
        <v>5</v>
      </c>
      <c r="CE111" s="16"/>
      <c r="CF111" s="16"/>
      <c r="CG111" s="16" t="str">
        <f>IFERROR(__xludf.DUMMYFUNCTION("""COMPUTED_VALUE"""),"2-36")</f>
        <v>2-36</v>
      </c>
      <c r="CH111" s="16">
        <f>IFERROR(__xludf.DUMMYFUNCTION("""COMPUTED_VALUE"""),2.0)</f>
        <v>2</v>
      </c>
      <c r="CI111" s="16">
        <f>IFERROR(__xludf.DUMMYFUNCTION("""COMPUTED_VALUE"""),36.0)</f>
        <v>36</v>
      </c>
      <c r="CJ111" s="16">
        <f>IFERROR(__xludf.DUMMYFUNCTION("""COMPUTED_VALUE"""),9.0)</f>
        <v>9</v>
      </c>
      <c r="CK111" s="16">
        <f>IFERROR(__xludf.DUMMYFUNCTION("""COMPUTED_VALUE"""),0.0)</f>
        <v>0</v>
      </c>
      <c r="CL111" s="16" t="str">
        <f>IFERROR(__xludf.DUMMYFUNCTION("""COMPUTED_VALUE"""),"1WL-C")</f>
        <v>1WL-C</v>
      </c>
      <c r="CM111" s="16" t="str">
        <f>IFERROR(__xludf.DUMMYFUNCTION("""COMPUTED_VALUE"""),"E")</f>
        <v>E</v>
      </c>
      <c r="CN111" s="16">
        <f>IFERROR(__xludf.DUMMYFUNCTION("""COMPUTED_VALUE"""),10.0)</f>
        <v>10</v>
      </c>
      <c r="CO111" s="16" t="str">
        <f>IFERROR(__xludf.DUMMYFUNCTION("""COMPUTED_VALUE"""),"C")</f>
        <v>C</v>
      </c>
      <c r="CP111" s="16" t="str">
        <f>IFERROR(__xludf.DUMMYFUNCTION("""COMPUTED_VALUE"""),"4p20")</f>
        <v>4p20</v>
      </c>
      <c r="CQ111" s="16">
        <f>IFERROR(__xludf.DUMMYFUNCTION("""COMPUTED_VALUE"""),14.0)</f>
        <v>14</v>
      </c>
      <c r="CR111" s="16">
        <f>IFERROR(__xludf.DUMMYFUNCTION("""COMPUTED_VALUE"""),16.0)</f>
        <v>16</v>
      </c>
      <c r="CS111" s="16">
        <f>IFERROR(__xludf.DUMMYFUNCTION("""COMPUTED_VALUE"""),30.0)</f>
        <v>30</v>
      </c>
      <c r="CT111" s="16">
        <f>IFERROR(__xludf.DUMMYFUNCTION("""COMPUTED_VALUE"""),14.0)</f>
        <v>14</v>
      </c>
      <c r="CU111" s="16">
        <f>IFERROR(__xludf.DUMMYFUNCTION("""COMPUTED_VALUE"""),16.0)</f>
        <v>16</v>
      </c>
      <c r="CV111" s="179">
        <f>IFERROR(__xludf.DUMMYFUNCTION("""COMPUTED_VALUE"""),18.666666666666664)</f>
        <v>18.66666667</v>
      </c>
      <c r="CW111" s="179">
        <f>IFERROR(__xludf.DUMMYFUNCTION("""COMPUTED_VALUE"""),1.0)</f>
        <v>1</v>
      </c>
      <c r="CX111" s="179">
        <f>IFERROR(__xludf.DUMMYFUNCTION("""COMPUTED_VALUE"""),3.0)</f>
        <v>3</v>
      </c>
      <c r="CY111" s="16" t="str">
        <f>IFERROR(__xludf.DUMMYFUNCTION("""COMPUTED_VALUE"""),"SP")</f>
        <v>SP</v>
      </c>
      <c r="CZ111" s="16"/>
      <c r="DA111" s="16"/>
      <c r="DB111" s="16"/>
      <c r="DC111" s="16"/>
      <c r="DD111" s="16"/>
      <c r="DE111" s="16"/>
      <c r="DF111" s="16"/>
      <c r="DG111" s="16"/>
      <c r="DH111" s="16"/>
      <c r="DI111" s="16"/>
      <c r="DJ111" s="16"/>
      <c r="DK111" s="16"/>
    </row>
    <row r="112">
      <c r="A112" s="16">
        <f>IFERROR(__xludf.DUMMYFUNCTION("""COMPUTED_VALUE"""),12983.0)</f>
        <v>12983</v>
      </c>
      <c r="B112" s="16" t="str">
        <f>IFERROR(__xludf.DUMMYFUNCTION("""COMPUTED_VALUE"""),"John Schreiber")</f>
        <v>John Schreiber</v>
      </c>
      <c r="C112" s="153">
        <f>IFERROR(__xludf.DUMMYFUNCTION("""COMPUTED_VALUE"""),0.46)</f>
        <v>0.46</v>
      </c>
      <c r="D112" s="16"/>
      <c r="E112" s="16" t="str">
        <f>IFERROR(__xludf.DUMMYFUNCTION("""COMPUTED_VALUE"""),"R")</f>
        <v>R</v>
      </c>
      <c r="F112" s="16">
        <f>IFERROR(__xludf.DUMMYFUNCTION("""COMPUTED_VALUE"""),52.0)</f>
        <v>52</v>
      </c>
      <c r="G112" s="16">
        <f>IFERROR(__xludf.DUMMYFUNCTION("""COMPUTED_VALUE"""),20.0)</f>
        <v>20</v>
      </c>
      <c r="H112" s="16">
        <f>IFERROR(__xludf.DUMMYFUNCTION("""COMPUTED_VALUE"""),21.0)</f>
        <v>21</v>
      </c>
      <c r="I112" s="16">
        <f>IFERROR(__xludf.DUMMYFUNCTION("""COMPUTED_VALUE"""),-1.0)</f>
        <v>-1</v>
      </c>
      <c r="J112" s="16">
        <f>IFERROR(__xludf.DUMMYFUNCTION("""COMPUTED_VALUE"""),-1.0)</f>
        <v>-1</v>
      </c>
      <c r="K112" s="16">
        <f>IFERROR(__xludf.DUMMYFUNCTION("""COMPUTED_VALUE"""),-3.0)</f>
        <v>-3</v>
      </c>
      <c r="L112" s="16">
        <f>IFERROR(__xludf.DUMMYFUNCTION("""COMPUTED_VALUE"""),-3.0)</f>
        <v>-3</v>
      </c>
      <c r="M112" s="16">
        <f>IFERROR(__xludf.DUMMYFUNCTION("""COMPUTED_VALUE"""),6.0)</f>
        <v>6</v>
      </c>
      <c r="N112" s="16">
        <f>IFERROR(__xludf.DUMMYFUNCTION("""COMPUTED_VALUE"""),14.0)</f>
        <v>14</v>
      </c>
      <c r="O112" s="16">
        <f>IFERROR(__xludf.DUMMYFUNCTION("""COMPUTED_VALUE"""),1.0)</f>
        <v>1</v>
      </c>
      <c r="P112" s="16">
        <f>IFERROR(__xludf.DUMMYFUNCTION("""COMPUTED_VALUE"""),-2.0)</f>
        <v>-2</v>
      </c>
      <c r="Q112" s="16">
        <f>IFERROR(__xludf.DUMMYFUNCTION("""COMPUTED_VALUE"""),1.0)</f>
        <v>1</v>
      </c>
      <c r="R112" s="16">
        <f>IFERROR(__xludf.DUMMYFUNCTION("""COMPUTED_VALUE"""),-2.0)</f>
        <v>-2</v>
      </c>
      <c r="S112" s="16">
        <f>IFERROR(__xludf.DUMMYFUNCTION("""COMPUTED_VALUE"""),23.1)</f>
        <v>23.1</v>
      </c>
      <c r="T112" s="16">
        <f>IFERROR(__xludf.DUMMYFUNCTION("""COMPUTED_VALUE"""),9.7)</f>
        <v>9.7</v>
      </c>
      <c r="U112" s="16">
        <f>IFERROR(__xludf.DUMMYFUNCTION("""COMPUTED_VALUE"""),-1.0)</f>
        <v>-1</v>
      </c>
      <c r="V112" s="16">
        <f>IFERROR(__xludf.DUMMYFUNCTION("""COMPUTED_VALUE"""),1.0)</f>
        <v>1</v>
      </c>
      <c r="W112" s="16">
        <f>IFERROR(__xludf.DUMMYFUNCTION("""COMPUTED_VALUE"""),-2.0)</f>
        <v>-2</v>
      </c>
      <c r="X112" s="16">
        <f>IFERROR(__xludf.DUMMYFUNCTION("""COMPUTED_VALUE"""),2.0)</f>
        <v>2</v>
      </c>
      <c r="Y112" s="16">
        <f>IFERROR(__xludf.DUMMYFUNCTION("""COMPUTED_VALUE"""),29.1)</f>
        <v>29.1</v>
      </c>
      <c r="Z112" s="16">
        <f>IFERROR(__xludf.DUMMYFUNCTION("""COMPUTED_VALUE"""),23.7)</f>
        <v>23.7</v>
      </c>
      <c r="AA112" s="16">
        <f>IFERROR(__xludf.DUMMYFUNCTION("""COMPUTED_VALUE"""),0.0)</f>
        <v>0</v>
      </c>
      <c r="AB112" s="16">
        <f>IFERROR(__xludf.DUMMYFUNCTION("""COMPUTED_VALUE"""),0.0)</f>
        <v>0</v>
      </c>
      <c r="AC112" s="16">
        <f>IFERROR(__xludf.DUMMYFUNCTION("""COMPUTED_VALUE"""),0.0)</f>
        <v>0</v>
      </c>
      <c r="AD112" s="16">
        <f>IFERROR(__xludf.DUMMYFUNCTION("""COMPUTED_VALUE"""),0.0)</f>
        <v>0</v>
      </c>
      <c r="AE112" s="16">
        <f>IFERROR(__xludf.DUMMYFUNCTION("""COMPUTED_VALUE"""),37.9)</f>
        <v>37.9</v>
      </c>
      <c r="AF112" s="16">
        <f>IFERROR(__xludf.DUMMYFUNCTION("""COMPUTED_VALUE"""),10.3)</f>
        <v>10.3</v>
      </c>
      <c r="AG112" s="16">
        <f>IFERROR(__xludf.DUMMYFUNCTION("""COMPUTED_VALUE"""),-1.0)</f>
        <v>-1</v>
      </c>
      <c r="AH112" s="16">
        <f>IFERROR(__xludf.DUMMYFUNCTION("""COMPUTED_VALUE"""),2.0)</f>
        <v>2</v>
      </c>
      <c r="AI112" s="16">
        <f>IFERROR(__xludf.DUMMYFUNCTION("""COMPUTED_VALUE"""),-2.0)</f>
        <v>-2</v>
      </c>
      <c r="AJ112" s="16">
        <f>IFERROR(__xludf.DUMMYFUNCTION("""COMPUTED_VALUE"""),4.0)</f>
        <v>4</v>
      </c>
      <c r="AK112" s="16">
        <f>IFERROR(__xludf.DUMMYFUNCTION("""COMPUTED_VALUE"""),23.1)</f>
        <v>23.1</v>
      </c>
      <c r="AL112" s="16">
        <f>IFERROR(__xludf.DUMMYFUNCTION("""COMPUTED_VALUE"""),9.7)</f>
        <v>9.7</v>
      </c>
      <c r="AM112" s="16">
        <f>IFERROR(__xludf.DUMMYFUNCTION("""COMPUTED_VALUE"""),-2.0)</f>
        <v>-2</v>
      </c>
      <c r="AN112" s="16">
        <f>IFERROR(__xludf.DUMMYFUNCTION("""COMPUTED_VALUE"""),1.0)</f>
        <v>1</v>
      </c>
      <c r="AO112" s="16">
        <f>IFERROR(__xludf.DUMMYFUNCTION("""COMPUTED_VALUE"""),-2.0)</f>
        <v>-2</v>
      </c>
      <c r="AP112" s="16">
        <f>IFERROR(__xludf.DUMMYFUNCTION("""COMPUTED_VALUE"""),1.0)</f>
        <v>1</v>
      </c>
      <c r="AQ112" s="16">
        <f>IFERROR(__xludf.DUMMYFUNCTION("""COMPUTED_VALUE"""),37.9)</f>
        <v>37.9</v>
      </c>
      <c r="AR112" s="16">
        <f>IFERROR(__xludf.DUMMYFUNCTION("""COMPUTED_VALUE"""),10.3)</f>
        <v>10.3</v>
      </c>
      <c r="AS112" s="16">
        <f>IFERROR(__xludf.DUMMYFUNCTION("""COMPUTED_VALUE"""),-2.0)</f>
        <v>-2</v>
      </c>
      <c r="AT112" s="16">
        <f>IFERROR(__xludf.DUMMYFUNCTION("""COMPUTED_VALUE"""),1.0)</f>
        <v>1</v>
      </c>
      <c r="AU112" s="16">
        <f>IFERROR(__xludf.DUMMYFUNCTION("""COMPUTED_VALUE"""),-4.0)</f>
        <v>-4</v>
      </c>
      <c r="AV112" s="16">
        <f>IFERROR(__xludf.DUMMYFUNCTION("""COMPUTED_VALUE"""),2.0)</f>
        <v>2</v>
      </c>
      <c r="AW112" s="16">
        <f>IFERROR(__xludf.DUMMYFUNCTION("""COMPUTED_VALUE"""),0.0)</f>
        <v>0</v>
      </c>
      <c r="AX112" s="16">
        <f>IFERROR(__xludf.DUMMYFUNCTION("""COMPUTED_VALUE"""),0.0)</f>
        <v>0</v>
      </c>
      <c r="AY112" s="16">
        <f>IFERROR(__xludf.DUMMYFUNCTION("""COMPUTED_VALUE"""),2.0)</f>
        <v>2</v>
      </c>
      <c r="AZ112" s="16">
        <f>IFERROR(__xludf.DUMMYFUNCTION("""COMPUTED_VALUE"""),2.0)</f>
        <v>2</v>
      </c>
      <c r="BA112" s="16">
        <f>IFERROR(__xludf.DUMMYFUNCTION("""COMPUTED_VALUE"""),10.0)</f>
        <v>10</v>
      </c>
      <c r="BB112" s="16">
        <f>IFERROR(__xludf.DUMMYFUNCTION("""COMPUTED_VALUE"""),10.0)</f>
        <v>10</v>
      </c>
      <c r="BC112" s="16">
        <f>IFERROR(__xludf.DUMMYFUNCTION("""COMPUTED_VALUE"""),0.0)</f>
        <v>0</v>
      </c>
      <c r="BD112" s="16">
        <f>IFERROR(__xludf.DUMMYFUNCTION("""COMPUTED_VALUE"""),0.0)</f>
        <v>0</v>
      </c>
      <c r="BE112" s="16">
        <f>IFERROR(__xludf.DUMMYFUNCTION("""COMPUTED_VALUE"""),0.0)</f>
        <v>0</v>
      </c>
      <c r="BF112" s="16">
        <f>IFERROR(__xludf.DUMMYFUNCTION("""COMPUTED_VALUE"""),0.0)</f>
        <v>0</v>
      </c>
      <c r="BG112" s="16">
        <f>IFERROR(__xludf.DUMMYFUNCTION("""COMPUTED_VALUE"""),3.0)</f>
        <v>3</v>
      </c>
      <c r="BH112" s="16">
        <f>IFERROR(__xludf.DUMMYFUNCTION("""COMPUTED_VALUE"""),2.0)</f>
        <v>2</v>
      </c>
      <c r="BI112" s="16">
        <f>IFERROR(__xludf.DUMMYFUNCTION("""COMPUTED_VALUE"""),6.0)</f>
        <v>6</v>
      </c>
      <c r="BJ112" s="16">
        <f>IFERROR(__xludf.DUMMYFUNCTION("""COMPUTED_VALUE"""),4.0)</f>
        <v>4</v>
      </c>
      <c r="BK112" s="16">
        <f>IFERROR(__xludf.DUMMYFUNCTION("""COMPUTED_VALUE"""),5.0)</f>
        <v>5</v>
      </c>
      <c r="BL112" s="16">
        <f>IFERROR(__xludf.DUMMYFUNCTION("""COMPUTED_VALUE"""),5.0)</f>
        <v>5</v>
      </c>
      <c r="BM112" s="16">
        <f>IFERROR(__xludf.DUMMYFUNCTION("""COMPUTED_VALUE"""),0.0)</f>
        <v>0</v>
      </c>
      <c r="BN112" s="16">
        <f>IFERROR(__xludf.DUMMYFUNCTION("""COMPUTED_VALUE"""),0.0)</f>
        <v>0</v>
      </c>
      <c r="BO112" s="16">
        <f>IFERROR(__xludf.DUMMYFUNCTION("""COMPUTED_VALUE"""),0.0)</f>
        <v>0</v>
      </c>
      <c r="BP112" s="16">
        <f>IFERROR(__xludf.DUMMYFUNCTION("""COMPUTED_VALUE"""),0.0)</f>
        <v>0</v>
      </c>
      <c r="BQ112" s="16">
        <f>IFERROR(__xludf.DUMMYFUNCTION("""COMPUTED_VALUE"""),12.0)</f>
        <v>12</v>
      </c>
      <c r="BR112" s="16">
        <f>IFERROR(__xludf.DUMMYFUNCTION("""COMPUTED_VALUE"""),12.0)</f>
        <v>12</v>
      </c>
      <c r="BS112" s="16">
        <f>IFERROR(__xludf.DUMMYFUNCTION("""COMPUTED_VALUE"""),3.0)</f>
        <v>3</v>
      </c>
      <c r="BT112" s="16">
        <f>IFERROR(__xludf.DUMMYFUNCTION("""COMPUTED_VALUE"""),3.0)</f>
        <v>3</v>
      </c>
      <c r="BU112" s="16">
        <f>IFERROR(__xludf.DUMMYFUNCTION("""COMPUTED_VALUE"""),6.0)</f>
        <v>6</v>
      </c>
      <c r="BV112" s="16">
        <f>IFERROR(__xludf.DUMMYFUNCTION("""COMPUTED_VALUE"""),6.0)</f>
        <v>6</v>
      </c>
      <c r="BW112" s="16">
        <f>IFERROR(__xludf.DUMMYFUNCTION("""COMPUTED_VALUE"""),-1.0)</f>
        <v>-1</v>
      </c>
      <c r="BX112" s="16">
        <f>IFERROR(__xludf.DUMMYFUNCTION("""COMPUTED_VALUE"""),-1.0)</f>
        <v>-1</v>
      </c>
      <c r="BY112" s="16" t="str">
        <f>IFERROR(__xludf.DUMMYFUNCTION("""COMPUTED_VALUE"""),"R(1) C(1)")</f>
        <v>R(1) C(1)</v>
      </c>
      <c r="BZ112" s="16" t="str">
        <f>IFERROR(__xludf.DUMMYFUNCTION("""COMPUTED_VALUE"""),"R(1) C(1)")</f>
        <v>R(1) C(1)</v>
      </c>
      <c r="CA112" s="16" t="str">
        <f>IFERROR(__xludf.DUMMYFUNCTION("""COMPUTED_VALUE"""),"R(1)")</f>
        <v>R(1)</v>
      </c>
      <c r="CB112" s="16" t="str">
        <f>IFERROR(__xludf.DUMMYFUNCTION("""COMPUTED_VALUE"""),"C(1)")</f>
        <v>C(1)</v>
      </c>
      <c r="CC112" s="16"/>
      <c r="CD112" s="16"/>
      <c r="CE112" s="16">
        <f>IFERROR(__xludf.DUMMYFUNCTION("""COMPUTED_VALUE"""),1.0)</f>
        <v>1</v>
      </c>
      <c r="CF112" s="16">
        <f>IFERROR(__xludf.DUMMYFUNCTION("""COMPUTED_VALUE"""),1.0)</f>
        <v>1</v>
      </c>
      <c r="CG112" s="16" t="str">
        <f>IFERROR(__xludf.DUMMYFUNCTION("""COMPUTED_VALUE"""),"4-28")</f>
        <v>4-28</v>
      </c>
      <c r="CH112" s="16">
        <f>IFERROR(__xludf.DUMMYFUNCTION("""COMPUTED_VALUE"""),4.0)</f>
        <v>4</v>
      </c>
      <c r="CI112" s="16">
        <f>IFERROR(__xludf.DUMMYFUNCTION("""COMPUTED_VALUE"""),28.0)</f>
        <v>28</v>
      </c>
      <c r="CJ112" s="16">
        <f>IFERROR(__xludf.DUMMYFUNCTION("""COMPUTED_VALUE"""),0.0)</f>
        <v>0</v>
      </c>
      <c r="CK112" s="16">
        <f>IFERROR(__xludf.DUMMYFUNCTION("""COMPUTED_VALUE"""),3.0)</f>
        <v>3</v>
      </c>
      <c r="CL112" s="16" t="str">
        <f>IFERROR(__xludf.DUMMYFUNCTION("""COMPUTED_VALUE"""),"1WR-C")</f>
        <v>1WR-C</v>
      </c>
      <c r="CM112" s="16" t="str">
        <f>IFERROR(__xludf.DUMMYFUNCTION("""COMPUTED_VALUE"""),"E")</f>
        <v>E</v>
      </c>
      <c r="CN112" s="16">
        <f>IFERROR(__xludf.DUMMYFUNCTION("""COMPUTED_VALUE"""),10.0)</f>
        <v>10</v>
      </c>
      <c r="CO112" s="16" t="str">
        <f>IFERROR(__xludf.DUMMYFUNCTION("""COMPUTED_VALUE"""),"C")</f>
        <v>C</v>
      </c>
      <c r="CP112" s="16" t="str">
        <f>IFERROR(__xludf.DUMMYFUNCTION("""COMPUTED_VALUE"""),"2p40")</f>
        <v>2p40</v>
      </c>
      <c r="CQ112" s="16">
        <f>IFERROR(__xludf.DUMMYFUNCTION("""COMPUTED_VALUE"""),10.0)</f>
        <v>10</v>
      </c>
      <c r="CR112" s="16">
        <f>IFERROR(__xludf.DUMMYFUNCTION("""COMPUTED_VALUE"""),24.0)</f>
        <v>24</v>
      </c>
      <c r="CS112" s="16">
        <f>IFERROR(__xludf.DUMMYFUNCTION("""COMPUTED_VALUE"""),34.0)</f>
        <v>34</v>
      </c>
      <c r="CT112" s="16">
        <f>IFERROR(__xludf.DUMMYFUNCTION("""COMPUTED_VALUE"""),10.0)</f>
        <v>10</v>
      </c>
      <c r="CU112" s="16">
        <f>IFERROR(__xludf.DUMMYFUNCTION("""COMPUTED_VALUE"""),24.0)</f>
        <v>24</v>
      </c>
      <c r="CV112" s="179">
        <f>IFERROR(__xludf.DUMMYFUNCTION("""COMPUTED_VALUE"""),18.666666666666664)</f>
        <v>18.66666667</v>
      </c>
      <c r="CW112" s="179">
        <f>IFERROR(__xludf.DUMMYFUNCTION("""COMPUTED_VALUE"""),3.0)</f>
        <v>3</v>
      </c>
      <c r="CX112" s="179">
        <f>IFERROR(__xludf.DUMMYFUNCTION("""COMPUTED_VALUE"""),1.0)</f>
        <v>1</v>
      </c>
      <c r="CY112" s="16" t="str">
        <f>IFERROR(__xludf.DUMMYFUNCTION("""COMPUTED_VALUE"""),"RP")</f>
        <v>RP</v>
      </c>
      <c r="CZ112" s="16" t="str">
        <f>IFERROR(__xludf.DUMMYFUNCTION("""COMPUTED_VALUE"""),"CP")</f>
        <v>CP</v>
      </c>
      <c r="DA112" s="16"/>
      <c r="DB112" s="16"/>
      <c r="DC112" s="16"/>
      <c r="DD112" s="16"/>
      <c r="DE112" s="16"/>
      <c r="DF112" s="16"/>
      <c r="DG112" s="16"/>
      <c r="DH112" s="16"/>
      <c r="DI112" s="16"/>
      <c r="DJ112" s="16"/>
      <c r="DK112" s="16"/>
    </row>
    <row r="113">
      <c r="A113" s="16">
        <f>IFERROR(__xludf.DUMMYFUNCTION("""COMPUTED_VALUE"""),13203.0)</f>
        <v>13203</v>
      </c>
      <c r="B113" s="16" t="str">
        <f>IFERROR(__xludf.DUMMYFUNCTION("""COMPUTED_VALUE"""),"Michael Wacha")</f>
        <v>Michael Wacha</v>
      </c>
      <c r="C113" s="153">
        <f>IFERROR(__xludf.DUMMYFUNCTION("""COMPUTED_VALUE"""),1.89)</f>
        <v>1.89</v>
      </c>
      <c r="D113" s="16"/>
      <c r="E113" s="16" t="str">
        <f>IFERROR(__xludf.DUMMYFUNCTION("""COMPUTED_VALUE"""),"R")</f>
        <v>R</v>
      </c>
      <c r="F113" s="16">
        <f>IFERROR(__xludf.DUMMYFUNCTION("""COMPUTED_VALUE"""),167.0)</f>
        <v>167</v>
      </c>
      <c r="G113" s="16">
        <f>IFERROR(__xludf.DUMMYFUNCTION("""COMPUTED_VALUE"""),25.0)</f>
        <v>25</v>
      </c>
      <c r="H113" s="16">
        <f>IFERROR(__xludf.DUMMYFUNCTION("""COMPUTED_VALUE"""),19.0)</f>
        <v>19</v>
      </c>
      <c r="I113" s="16">
        <f>IFERROR(__xludf.DUMMYFUNCTION("""COMPUTED_VALUE"""),0.0)</f>
        <v>0</v>
      </c>
      <c r="J113" s="16">
        <f>IFERROR(__xludf.DUMMYFUNCTION("""COMPUTED_VALUE"""),-1.0)</f>
        <v>-1</v>
      </c>
      <c r="K113" s="16">
        <f>IFERROR(__xludf.DUMMYFUNCTION("""COMPUTED_VALUE"""),0.0)</f>
        <v>0</v>
      </c>
      <c r="L113" s="16">
        <f>IFERROR(__xludf.DUMMYFUNCTION("""COMPUTED_VALUE"""),-3.0)</f>
        <v>-3</v>
      </c>
      <c r="M113" s="16">
        <f>IFERROR(__xludf.DUMMYFUNCTION("""COMPUTED_VALUE"""),3.0)</f>
        <v>3</v>
      </c>
      <c r="N113" s="16">
        <f>IFERROR(__xludf.DUMMYFUNCTION("""COMPUTED_VALUE"""),8.0)</f>
        <v>8</v>
      </c>
      <c r="O113" s="16">
        <f>IFERROR(__xludf.DUMMYFUNCTION("""COMPUTED_VALUE"""),2.0)</f>
        <v>2</v>
      </c>
      <c r="P113" s="16">
        <f>IFERROR(__xludf.DUMMYFUNCTION("""COMPUTED_VALUE"""),0.0)</f>
        <v>0</v>
      </c>
      <c r="Q113" s="16">
        <f>IFERROR(__xludf.DUMMYFUNCTION("""COMPUTED_VALUE"""),2.0)</f>
        <v>2</v>
      </c>
      <c r="R113" s="16">
        <f>IFERROR(__xludf.DUMMYFUNCTION("""COMPUTED_VALUE"""),0.0)</f>
        <v>0</v>
      </c>
      <c r="S113" s="16">
        <f>IFERROR(__xludf.DUMMYFUNCTION("""COMPUTED_VALUE"""),18.1)</f>
        <v>18.1</v>
      </c>
      <c r="T113" s="16">
        <f>IFERROR(__xludf.DUMMYFUNCTION("""COMPUTED_VALUE"""),16.7)</f>
        <v>16.7</v>
      </c>
      <c r="U113" s="16">
        <f>IFERROR(__xludf.DUMMYFUNCTION("""COMPUTED_VALUE"""),-1.0)</f>
        <v>-1</v>
      </c>
      <c r="V113" s="16">
        <f>IFERROR(__xludf.DUMMYFUNCTION("""COMPUTED_VALUE"""),0.0)</f>
        <v>0</v>
      </c>
      <c r="W113" s="16">
        <f>IFERROR(__xludf.DUMMYFUNCTION("""COMPUTED_VALUE"""),-2.0)</f>
        <v>-2</v>
      </c>
      <c r="X113" s="16">
        <f>IFERROR(__xludf.DUMMYFUNCTION("""COMPUTED_VALUE"""),0.0)</f>
        <v>0</v>
      </c>
      <c r="Y113" s="16">
        <f>IFERROR(__xludf.DUMMYFUNCTION("""COMPUTED_VALUE"""),21.1)</f>
        <v>21.1</v>
      </c>
      <c r="Z113" s="16">
        <f>IFERROR(__xludf.DUMMYFUNCTION("""COMPUTED_VALUE"""),24.7)</f>
        <v>24.7</v>
      </c>
      <c r="AA113" s="16">
        <f>IFERROR(__xludf.DUMMYFUNCTION("""COMPUTED_VALUE"""),1.0)</f>
        <v>1</v>
      </c>
      <c r="AB113" s="16">
        <f>IFERROR(__xludf.DUMMYFUNCTION("""COMPUTED_VALUE"""),0.0)</f>
        <v>0</v>
      </c>
      <c r="AC113" s="16">
        <f>IFERROR(__xludf.DUMMYFUNCTION("""COMPUTED_VALUE"""),5.0)</f>
        <v>5</v>
      </c>
      <c r="AD113" s="16">
        <f>IFERROR(__xludf.DUMMYFUNCTION("""COMPUTED_VALUE"""),0.0)</f>
        <v>0</v>
      </c>
      <c r="AE113" s="16">
        <f>IFERROR(__xludf.DUMMYFUNCTION("""COMPUTED_VALUE"""),32.1)</f>
        <v>32.1</v>
      </c>
      <c r="AF113" s="16">
        <f>IFERROR(__xludf.DUMMYFUNCTION("""COMPUTED_VALUE"""),24.9)</f>
        <v>24.9</v>
      </c>
      <c r="AG113" s="16">
        <f>IFERROR(__xludf.DUMMYFUNCTION("""COMPUTED_VALUE"""),0.0)</f>
        <v>0</v>
      </c>
      <c r="AH113" s="16">
        <f>IFERROR(__xludf.DUMMYFUNCTION("""COMPUTED_VALUE"""),0.0)</f>
        <v>0</v>
      </c>
      <c r="AI113" s="16">
        <f>IFERROR(__xludf.DUMMYFUNCTION("""COMPUTED_VALUE"""),0.0)</f>
        <v>0</v>
      </c>
      <c r="AJ113" s="16">
        <f>IFERROR(__xludf.DUMMYFUNCTION("""COMPUTED_VALUE"""),0.0)</f>
        <v>0</v>
      </c>
      <c r="AK113" s="16">
        <f>IFERROR(__xludf.DUMMYFUNCTION("""COMPUTED_VALUE"""),16.5)</f>
        <v>16.5</v>
      </c>
      <c r="AL113" s="16">
        <f>IFERROR(__xludf.DUMMYFUNCTION("""COMPUTED_VALUE"""),15.1)</f>
        <v>15.1</v>
      </c>
      <c r="AM113" s="16">
        <f>IFERROR(__xludf.DUMMYFUNCTION("""COMPUTED_VALUE"""),-1.0)</f>
        <v>-1</v>
      </c>
      <c r="AN113" s="16">
        <f>IFERROR(__xludf.DUMMYFUNCTION("""COMPUTED_VALUE"""),0.0)</f>
        <v>0</v>
      </c>
      <c r="AO113" s="16">
        <f>IFERROR(__xludf.DUMMYFUNCTION("""COMPUTED_VALUE"""),-1.0)</f>
        <v>-1</v>
      </c>
      <c r="AP113" s="16">
        <f>IFERROR(__xludf.DUMMYFUNCTION("""COMPUTED_VALUE"""),0.0)</f>
        <v>0</v>
      </c>
      <c r="AQ113" s="16">
        <f>IFERROR(__xludf.DUMMYFUNCTION("""COMPUTED_VALUE"""),25.700000000000003)</f>
        <v>25.7</v>
      </c>
      <c r="AR113" s="16">
        <f>IFERROR(__xludf.DUMMYFUNCTION("""COMPUTED_VALUE"""),18.5)</f>
        <v>18.5</v>
      </c>
      <c r="AS113" s="16">
        <f>IFERROR(__xludf.DUMMYFUNCTION("""COMPUTED_VALUE"""),-1.0)</f>
        <v>-1</v>
      </c>
      <c r="AT113" s="16">
        <f>IFERROR(__xludf.DUMMYFUNCTION("""COMPUTED_VALUE"""),0.0)</f>
        <v>0</v>
      </c>
      <c r="AU113" s="16">
        <f>IFERROR(__xludf.DUMMYFUNCTION("""COMPUTED_VALUE"""),-2.0)</f>
        <v>-2</v>
      </c>
      <c r="AV113" s="16">
        <f>IFERROR(__xludf.DUMMYFUNCTION("""COMPUTED_VALUE"""),0.0)</f>
        <v>0</v>
      </c>
      <c r="AW113" s="16">
        <f>IFERROR(__xludf.DUMMYFUNCTION("""COMPUTED_VALUE"""),1.6)</f>
        <v>1.6</v>
      </c>
      <c r="AX113" s="16">
        <f>IFERROR(__xludf.DUMMYFUNCTION("""COMPUTED_VALUE"""),1.6)</f>
        <v>1.6</v>
      </c>
      <c r="AY113" s="16">
        <f>IFERROR(__xludf.DUMMYFUNCTION("""COMPUTED_VALUE"""),1.0)</f>
        <v>1</v>
      </c>
      <c r="AZ113" s="16">
        <f>IFERROR(__xludf.DUMMYFUNCTION("""COMPUTED_VALUE"""),1.0)</f>
        <v>1</v>
      </c>
      <c r="BA113" s="16">
        <f>IFERROR(__xludf.DUMMYFUNCTION("""COMPUTED_VALUE"""),5.0)</f>
        <v>5</v>
      </c>
      <c r="BB113" s="16">
        <f>IFERROR(__xludf.DUMMYFUNCTION("""COMPUTED_VALUE"""),5.0)</f>
        <v>5</v>
      </c>
      <c r="BC113" s="16">
        <f>IFERROR(__xludf.DUMMYFUNCTION("""COMPUTED_VALUE"""),2.0)</f>
        <v>2</v>
      </c>
      <c r="BD113" s="16">
        <f>IFERROR(__xludf.DUMMYFUNCTION("""COMPUTED_VALUE"""),2.0)</f>
        <v>2</v>
      </c>
      <c r="BE113" s="16">
        <f>IFERROR(__xludf.DUMMYFUNCTION("""COMPUTED_VALUE"""),2.0)</f>
        <v>2</v>
      </c>
      <c r="BF113" s="16">
        <f>IFERROR(__xludf.DUMMYFUNCTION("""COMPUTED_VALUE"""),2.0)</f>
        <v>2</v>
      </c>
      <c r="BG113" s="16">
        <f>IFERROR(__xludf.DUMMYFUNCTION("""COMPUTED_VALUE"""),1.0)</f>
        <v>1</v>
      </c>
      <c r="BH113" s="16">
        <f>IFERROR(__xludf.DUMMYFUNCTION("""COMPUTED_VALUE"""),1.0)</f>
        <v>1</v>
      </c>
      <c r="BI113" s="16">
        <f>IFERROR(__xludf.DUMMYFUNCTION("""COMPUTED_VALUE"""),2.0)</f>
        <v>2</v>
      </c>
      <c r="BJ113" s="16">
        <f>IFERROR(__xludf.DUMMYFUNCTION("""COMPUTED_VALUE"""),2.0)</f>
        <v>2</v>
      </c>
      <c r="BK113" s="16">
        <f>IFERROR(__xludf.DUMMYFUNCTION("""COMPUTED_VALUE"""),5.0)</f>
        <v>5</v>
      </c>
      <c r="BL113" s="16">
        <f>IFERROR(__xludf.DUMMYFUNCTION("""COMPUTED_VALUE"""),5.0)</f>
        <v>5</v>
      </c>
      <c r="BM113" s="16">
        <f>IFERROR(__xludf.DUMMYFUNCTION("""COMPUTED_VALUE"""),0.0)</f>
        <v>0</v>
      </c>
      <c r="BN113" s="16">
        <f>IFERROR(__xludf.DUMMYFUNCTION("""COMPUTED_VALUE"""),0.0)</f>
        <v>0</v>
      </c>
      <c r="BO113" s="16">
        <f>IFERROR(__xludf.DUMMYFUNCTION("""COMPUTED_VALUE"""),0.0)</f>
        <v>0</v>
      </c>
      <c r="BP113" s="16">
        <f>IFERROR(__xludf.DUMMYFUNCTION("""COMPUTED_VALUE"""),0.0)</f>
        <v>0</v>
      </c>
      <c r="BQ113" s="16">
        <f>IFERROR(__xludf.DUMMYFUNCTION("""COMPUTED_VALUE"""),11.0)</f>
        <v>11</v>
      </c>
      <c r="BR113" s="16">
        <f>IFERROR(__xludf.DUMMYFUNCTION("""COMPUTED_VALUE"""),11.0)</f>
        <v>11</v>
      </c>
      <c r="BS113" s="16">
        <f>IFERROR(__xludf.DUMMYFUNCTION("""COMPUTED_VALUE"""),3.0)</f>
        <v>3</v>
      </c>
      <c r="BT113" s="16">
        <f>IFERROR(__xludf.DUMMYFUNCTION("""COMPUTED_VALUE"""),3.0)</f>
        <v>3</v>
      </c>
      <c r="BU113" s="16">
        <f>IFERROR(__xludf.DUMMYFUNCTION("""COMPUTED_VALUE"""),6.0)</f>
        <v>6</v>
      </c>
      <c r="BV113" s="16">
        <f>IFERROR(__xludf.DUMMYFUNCTION("""COMPUTED_VALUE"""),6.0)</f>
        <v>6</v>
      </c>
      <c r="BW113" s="16">
        <f>IFERROR(__xludf.DUMMYFUNCTION("""COMPUTED_VALUE"""),-1.0)</f>
        <v>-1</v>
      </c>
      <c r="BX113" s="16">
        <f>IFERROR(__xludf.DUMMYFUNCTION("""COMPUTED_VALUE"""),-1.0)</f>
        <v>-1</v>
      </c>
      <c r="BY113" s="16" t="str">
        <f>IFERROR(__xludf.DUMMYFUNCTION("""COMPUTED_VALUE"""),"S(6)")</f>
        <v>S(6)</v>
      </c>
      <c r="BZ113" s="16" t="str">
        <f>IFERROR(__xludf.DUMMYFUNCTION("""COMPUTED_VALUE"""),"S(6)")</f>
        <v>S(6)</v>
      </c>
      <c r="CA113" s="16" t="str">
        <f>IFERROR(__xludf.DUMMYFUNCTION("""COMPUTED_VALUE"""),"S(6)")</f>
        <v>S(6)</v>
      </c>
      <c r="CB113" s="16"/>
      <c r="CC113" s="16"/>
      <c r="CD113" s="16">
        <f>IFERROR(__xludf.DUMMYFUNCTION("""COMPUTED_VALUE"""),6.0)</f>
        <v>6</v>
      </c>
      <c r="CE113" s="16"/>
      <c r="CF113" s="16"/>
      <c r="CG113" s="16" t="str">
        <f>IFERROR(__xludf.DUMMYFUNCTION("""COMPUTED_VALUE"""),"1-0")</f>
        <v>1-0</v>
      </c>
      <c r="CH113" s="16">
        <f>IFERROR(__xludf.DUMMYFUNCTION("""COMPUTED_VALUE"""),1.0)</f>
        <v>1</v>
      </c>
      <c r="CI113" s="16">
        <f>IFERROR(__xludf.DUMMYFUNCTION("""COMPUTED_VALUE"""),0.0)</f>
        <v>0</v>
      </c>
      <c r="CJ113" s="16">
        <f>IFERROR(__xludf.DUMMYFUNCTION("""COMPUTED_VALUE"""),0.0)</f>
        <v>0</v>
      </c>
      <c r="CK113" s="16">
        <f>IFERROR(__xludf.DUMMYFUNCTION("""COMPUTED_VALUE"""),3.0)</f>
        <v>3</v>
      </c>
      <c r="CL113" s="16" t="str">
        <f>IFERROR(__xludf.DUMMYFUNCTION("""COMPUTED_VALUE"""),"1WR-C")</f>
        <v>1WR-C</v>
      </c>
      <c r="CM113" s="16" t="str">
        <f>IFERROR(__xludf.DUMMYFUNCTION("""COMPUTED_VALUE"""),"E")</f>
        <v>E</v>
      </c>
      <c r="CN113" s="16">
        <f>IFERROR(__xludf.DUMMYFUNCTION("""COMPUTED_VALUE"""),10.0)</f>
        <v>10</v>
      </c>
      <c r="CO113" s="16" t="str">
        <f>IFERROR(__xludf.DUMMYFUNCTION("""COMPUTED_VALUE"""),"C")</f>
        <v>C</v>
      </c>
      <c r="CP113" s="16" t="str">
        <f>IFERROR(__xludf.DUMMYFUNCTION("""COMPUTED_VALUE"""),"1p70")</f>
        <v>1p70</v>
      </c>
      <c r="CQ113" s="16">
        <f>IFERROR(__xludf.DUMMYFUNCTION("""COMPUTED_VALUE"""),15.0)</f>
        <v>15</v>
      </c>
      <c r="CR113" s="16">
        <f>IFERROR(__xludf.DUMMYFUNCTION("""COMPUTED_VALUE"""),10.0)</f>
        <v>10</v>
      </c>
      <c r="CS113" s="16">
        <f>IFERROR(__xludf.DUMMYFUNCTION("""COMPUTED_VALUE"""),25.0)</f>
        <v>25</v>
      </c>
      <c r="CT113" s="16">
        <f>IFERROR(__xludf.DUMMYFUNCTION("""COMPUTED_VALUE"""),15.0)</f>
        <v>15</v>
      </c>
      <c r="CU113" s="16">
        <f>IFERROR(__xludf.DUMMYFUNCTION("""COMPUTED_VALUE"""),10.0)</f>
        <v>10</v>
      </c>
      <c r="CV113" s="179">
        <f>IFERROR(__xludf.DUMMYFUNCTION("""COMPUTED_VALUE"""),18.666666666666664)</f>
        <v>18.66666667</v>
      </c>
      <c r="CW113" s="179">
        <f>IFERROR(__xludf.DUMMYFUNCTION("""COMPUTED_VALUE"""),4.0)</f>
        <v>4</v>
      </c>
      <c r="CX113" s="179">
        <f>IFERROR(__xludf.DUMMYFUNCTION("""COMPUTED_VALUE"""),3.0)</f>
        <v>3</v>
      </c>
      <c r="CY113" s="16" t="str">
        <f>IFERROR(__xludf.DUMMYFUNCTION("""COMPUTED_VALUE"""),"SP")</f>
        <v>SP</v>
      </c>
      <c r="CZ113" s="16"/>
      <c r="DA113" s="16"/>
      <c r="DB113" s="16"/>
      <c r="DC113" s="16"/>
      <c r="DD113" s="16"/>
      <c r="DE113" s="16"/>
      <c r="DF113" s="16"/>
      <c r="DG113" s="16"/>
      <c r="DH113" s="16"/>
      <c r="DI113" s="16"/>
      <c r="DJ113" s="16"/>
      <c r="DK113" s="16"/>
    </row>
    <row r="114">
      <c r="A114" s="16">
        <f>IFERROR(__xludf.DUMMYFUNCTION("""COMPUTED_VALUE"""),12805.0)</f>
        <v>12805</v>
      </c>
      <c r="B114" s="16" t="str">
        <f>IFERROR(__xludf.DUMMYFUNCTION("""COMPUTED_VALUE"""),"Erik Miller")</f>
        <v>Erik Miller</v>
      </c>
      <c r="C114" s="153">
        <f>IFERROR(__xludf.DUMMYFUNCTION("""COMPUTED_VALUE"""),0.29)</f>
        <v>0.29</v>
      </c>
      <c r="D114" s="16"/>
      <c r="E114" s="16" t="str">
        <f>IFERROR(__xludf.DUMMYFUNCTION("""COMPUTED_VALUE"""),"L")</f>
        <v>L</v>
      </c>
      <c r="F114" s="16">
        <f>IFERROR(__xludf.DUMMYFUNCTION("""COMPUTED_VALUE"""),67.0)</f>
        <v>67</v>
      </c>
      <c r="G114" s="16">
        <f>IFERROR(__xludf.DUMMYFUNCTION("""COMPUTED_VALUE"""),43.0)</f>
        <v>43</v>
      </c>
      <c r="H114" s="16">
        <f>IFERROR(__xludf.DUMMYFUNCTION("""COMPUTED_VALUE"""),42.0)</f>
        <v>42</v>
      </c>
      <c r="I114" s="16">
        <f>IFERROR(__xludf.DUMMYFUNCTION("""COMPUTED_VALUE"""),2.0)</f>
        <v>2</v>
      </c>
      <c r="J114" s="16">
        <f>IFERROR(__xludf.DUMMYFUNCTION("""COMPUTED_VALUE"""),2.0)</f>
        <v>2</v>
      </c>
      <c r="K114" s="16">
        <f>IFERROR(__xludf.DUMMYFUNCTION("""COMPUTED_VALUE"""),6.0)</f>
        <v>6</v>
      </c>
      <c r="L114" s="16">
        <f>IFERROR(__xludf.DUMMYFUNCTION("""COMPUTED_VALUE"""),6.0)</f>
        <v>6</v>
      </c>
      <c r="M114" s="16">
        <f>IFERROR(__xludf.DUMMYFUNCTION("""COMPUTED_VALUE"""),22.0)</f>
        <v>22</v>
      </c>
      <c r="N114" s="16">
        <f>IFERROR(__xludf.DUMMYFUNCTION("""COMPUTED_VALUE"""),19.0)</f>
        <v>19</v>
      </c>
      <c r="O114" s="16">
        <f>IFERROR(__xludf.DUMMYFUNCTION("""COMPUTED_VALUE"""),-3.0)</f>
        <v>-3</v>
      </c>
      <c r="P114" s="16">
        <f>IFERROR(__xludf.DUMMYFUNCTION("""COMPUTED_VALUE"""),-3.0)</f>
        <v>-3</v>
      </c>
      <c r="Q114" s="16">
        <f>IFERROR(__xludf.DUMMYFUNCTION("""COMPUTED_VALUE"""),-3.0)</f>
        <v>-3</v>
      </c>
      <c r="R114" s="16">
        <f>IFERROR(__xludf.DUMMYFUNCTION("""COMPUTED_VALUE"""),-3.0)</f>
        <v>-3</v>
      </c>
      <c r="S114" s="16">
        <f>IFERROR(__xludf.DUMMYFUNCTION("""COMPUTED_VALUE"""),6.0)</f>
        <v>6</v>
      </c>
      <c r="T114" s="16">
        <f>IFERROR(__xludf.DUMMYFUNCTION("""COMPUTED_VALUE"""),7.9)</f>
        <v>7.9</v>
      </c>
      <c r="U114" s="16">
        <f>IFERROR(__xludf.DUMMYFUNCTION("""COMPUTED_VALUE"""),2.0)</f>
        <v>2</v>
      </c>
      <c r="V114" s="16">
        <f>IFERROR(__xludf.DUMMYFUNCTION("""COMPUTED_VALUE"""),1.0)</f>
        <v>1</v>
      </c>
      <c r="W114" s="16">
        <f>IFERROR(__xludf.DUMMYFUNCTION("""COMPUTED_VALUE"""),4.0)</f>
        <v>4</v>
      </c>
      <c r="X114" s="16">
        <f>IFERROR(__xludf.DUMMYFUNCTION("""COMPUTED_VALUE"""),2.0)</f>
        <v>2</v>
      </c>
      <c r="Y114" s="16">
        <f>IFERROR(__xludf.DUMMYFUNCTION("""COMPUTED_VALUE"""),28.0)</f>
        <v>28</v>
      </c>
      <c r="Z114" s="16">
        <f>IFERROR(__xludf.DUMMYFUNCTION("""COMPUTED_VALUE"""),26.9)</f>
        <v>26.9</v>
      </c>
      <c r="AA114" s="16">
        <f>IFERROR(__xludf.DUMMYFUNCTION("""COMPUTED_VALUE"""),0.0)</f>
        <v>0</v>
      </c>
      <c r="AB114" s="16">
        <f>IFERROR(__xludf.DUMMYFUNCTION("""COMPUTED_VALUE"""),0.0)</f>
        <v>0</v>
      </c>
      <c r="AC114" s="16">
        <f>IFERROR(__xludf.DUMMYFUNCTION("""COMPUTED_VALUE"""),0.0)</f>
        <v>0</v>
      </c>
      <c r="AD114" s="16">
        <f>IFERROR(__xludf.DUMMYFUNCTION("""COMPUTED_VALUE"""),0.0)</f>
        <v>0</v>
      </c>
      <c r="AE114" s="16">
        <f>IFERROR(__xludf.DUMMYFUNCTION("""COMPUTED_VALUE"""),12.0)</f>
        <v>12</v>
      </c>
      <c r="AF114" s="16">
        <f>IFERROR(__xludf.DUMMYFUNCTION("""COMPUTED_VALUE"""),21.9)</f>
        <v>21.9</v>
      </c>
      <c r="AG114" s="16">
        <f>IFERROR(__xludf.DUMMYFUNCTION("""COMPUTED_VALUE"""),2.0)</f>
        <v>2</v>
      </c>
      <c r="AH114" s="16">
        <f>IFERROR(__xludf.DUMMYFUNCTION("""COMPUTED_VALUE"""),1.0)</f>
        <v>1</v>
      </c>
      <c r="AI114" s="16">
        <f>IFERROR(__xludf.DUMMYFUNCTION("""COMPUTED_VALUE"""),4.0)</f>
        <v>4</v>
      </c>
      <c r="AJ114" s="16">
        <f>IFERROR(__xludf.DUMMYFUNCTION("""COMPUTED_VALUE"""),2.0)</f>
        <v>2</v>
      </c>
      <c r="AK114" s="16">
        <f>IFERROR(__xludf.DUMMYFUNCTION("""COMPUTED_VALUE"""),6.0)</f>
        <v>6</v>
      </c>
      <c r="AL114" s="16">
        <f>IFERROR(__xludf.DUMMYFUNCTION("""COMPUTED_VALUE"""),4.7)</f>
        <v>4.7</v>
      </c>
      <c r="AM114" s="16">
        <f>IFERROR(__xludf.DUMMYFUNCTION("""COMPUTED_VALUE"""),1.0)</f>
        <v>1</v>
      </c>
      <c r="AN114" s="16">
        <f>IFERROR(__xludf.DUMMYFUNCTION("""COMPUTED_VALUE"""),2.0)</f>
        <v>2</v>
      </c>
      <c r="AO114" s="16">
        <f>IFERROR(__xludf.DUMMYFUNCTION("""COMPUTED_VALUE"""),1.0)</f>
        <v>1</v>
      </c>
      <c r="AP114" s="16">
        <f>IFERROR(__xludf.DUMMYFUNCTION("""COMPUTED_VALUE"""),2.0)</f>
        <v>2</v>
      </c>
      <c r="AQ114" s="16">
        <f>IFERROR(__xludf.DUMMYFUNCTION("""COMPUTED_VALUE"""),12.0)</f>
        <v>12</v>
      </c>
      <c r="AR114" s="16">
        <f>IFERROR(__xludf.DUMMYFUNCTION("""COMPUTED_VALUE"""),9.099999999999998)</f>
        <v>9.1</v>
      </c>
      <c r="AS114" s="16">
        <f>IFERROR(__xludf.DUMMYFUNCTION("""COMPUTED_VALUE"""),1.0)</f>
        <v>1</v>
      </c>
      <c r="AT114" s="16">
        <f>IFERROR(__xludf.DUMMYFUNCTION("""COMPUTED_VALUE"""),1.0)</f>
        <v>1</v>
      </c>
      <c r="AU114" s="16">
        <f>IFERROR(__xludf.DUMMYFUNCTION("""COMPUTED_VALUE"""),2.0)</f>
        <v>2</v>
      </c>
      <c r="AV114" s="16">
        <f>IFERROR(__xludf.DUMMYFUNCTION("""COMPUTED_VALUE"""),2.0)</f>
        <v>2</v>
      </c>
      <c r="AW114" s="16">
        <f>IFERROR(__xludf.DUMMYFUNCTION("""COMPUTED_VALUE"""),0.0)</f>
        <v>0</v>
      </c>
      <c r="AX114" s="16">
        <f>IFERROR(__xludf.DUMMYFUNCTION("""COMPUTED_VALUE"""),3.2)</f>
        <v>3.2</v>
      </c>
      <c r="AY114" s="16">
        <f>IFERROR(__xludf.DUMMYFUNCTION("""COMPUTED_VALUE"""),2.0)</f>
        <v>2</v>
      </c>
      <c r="AZ114" s="16">
        <f>IFERROR(__xludf.DUMMYFUNCTION("""COMPUTED_VALUE"""),-1.0)</f>
        <v>-1</v>
      </c>
      <c r="BA114" s="16">
        <f>IFERROR(__xludf.DUMMYFUNCTION("""COMPUTED_VALUE"""),10.0)</f>
        <v>10</v>
      </c>
      <c r="BB114" s="16">
        <f>IFERROR(__xludf.DUMMYFUNCTION("""COMPUTED_VALUE"""),-5.0)</f>
        <v>-5</v>
      </c>
      <c r="BC114" s="16"/>
      <c r="BD114" s="16"/>
      <c r="BE114" s="16">
        <f>IFERROR(__xludf.DUMMYFUNCTION("""COMPUTED_VALUE"""),0.0)</f>
        <v>0</v>
      </c>
      <c r="BF114" s="16">
        <f>IFERROR(__xludf.DUMMYFUNCTION("""COMPUTED_VALUE"""),6.0)</f>
        <v>6</v>
      </c>
      <c r="BG114" s="16">
        <f>IFERROR(__xludf.DUMMYFUNCTION("""COMPUTED_VALUE"""),3.0)</f>
        <v>3</v>
      </c>
      <c r="BH114" s="16">
        <f>IFERROR(__xludf.DUMMYFUNCTION("""COMPUTED_VALUE"""),-2.0)</f>
        <v>-2</v>
      </c>
      <c r="BI114" s="16">
        <f>IFERROR(__xludf.DUMMYFUNCTION("""COMPUTED_VALUE"""),6.0)</f>
        <v>6</v>
      </c>
      <c r="BJ114" s="16">
        <f>IFERROR(__xludf.DUMMYFUNCTION("""COMPUTED_VALUE"""),-4.0)</f>
        <v>-4</v>
      </c>
      <c r="BK114" s="16">
        <f>IFERROR(__xludf.DUMMYFUNCTION("""COMPUTED_VALUE"""),0.0)</f>
        <v>0</v>
      </c>
      <c r="BL114" s="16">
        <f>IFERROR(__xludf.DUMMYFUNCTION("""COMPUTED_VALUE"""),0.0)</f>
        <v>0</v>
      </c>
      <c r="BM114" s="16">
        <f>IFERROR(__xludf.DUMMYFUNCTION("""COMPUTED_VALUE"""),1.0)</f>
        <v>1</v>
      </c>
      <c r="BN114" s="16">
        <f>IFERROR(__xludf.DUMMYFUNCTION("""COMPUTED_VALUE"""),1.0)</f>
        <v>1</v>
      </c>
      <c r="BO114" s="16">
        <f>IFERROR(__xludf.DUMMYFUNCTION("""COMPUTED_VALUE"""),1.0)</f>
        <v>1</v>
      </c>
      <c r="BP114" s="16">
        <f>IFERROR(__xludf.DUMMYFUNCTION("""COMPUTED_VALUE"""),1.0)</f>
        <v>1</v>
      </c>
      <c r="BQ114" s="16">
        <f>IFERROR(__xludf.DUMMYFUNCTION("""COMPUTED_VALUE"""),5.0)</f>
        <v>5</v>
      </c>
      <c r="BR114" s="16">
        <f>IFERROR(__xludf.DUMMYFUNCTION("""COMPUTED_VALUE"""),2.0)</f>
        <v>2</v>
      </c>
      <c r="BS114" s="16">
        <f>IFERROR(__xludf.DUMMYFUNCTION("""COMPUTED_VALUE"""),0.0)</f>
        <v>0</v>
      </c>
      <c r="BT114" s="16">
        <f>IFERROR(__xludf.DUMMYFUNCTION("""COMPUTED_VALUE"""),-2.0)</f>
        <v>-2</v>
      </c>
      <c r="BU114" s="16">
        <f>IFERROR(__xludf.DUMMYFUNCTION("""COMPUTED_VALUE"""),0.0)</f>
        <v>0</v>
      </c>
      <c r="BV114" s="16">
        <f>IFERROR(__xludf.DUMMYFUNCTION("""COMPUTED_VALUE"""),-4.0)</f>
        <v>-4</v>
      </c>
      <c r="BW114" s="16">
        <f>IFERROR(__xludf.DUMMYFUNCTION("""COMPUTED_VALUE"""),1.0)</f>
        <v>1</v>
      </c>
      <c r="BX114" s="16">
        <f>IFERROR(__xludf.DUMMYFUNCTION("""COMPUTED_VALUE"""),1.0)</f>
        <v>1</v>
      </c>
      <c r="BY114" s="16" t="str">
        <f>IFERROR(__xludf.DUMMYFUNCTION("""COMPUTED_VALUE"""),"S(1) R(1)")</f>
        <v>S(1) R(1)</v>
      </c>
      <c r="BZ114" s="16" t="str">
        <f>IFERROR(__xludf.DUMMYFUNCTION("""COMPUTED_VALUE"""),"S(1) R(1)")</f>
        <v>S(1) R(1)</v>
      </c>
      <c r="CA114" s="16" t="str">
        <f>IFERROR(__xludf.DUMMYFUNCTION("""COMPUTED_VALUE"""),"S(1)")</f>
        <v>S(1)</v>
      </c>
      <c r="CB114" s="16" t="str">
        <f>IFERROR(__xludf.DUMMYFUNCTION("""COMPUTED_VALUE"""),"R(1)")</f>
        <v>R(1)</v>
      </c>
      <c r="CC114" s="16"/>
      <c r="CD114" s="16">
        <f>IFERROR(__xludf.DUMMYFUNCTION("""COMPUTED_VALUE"""),1.0)</f>
        <v>1</v>
      </c>
      <c r="CE114" s="16">
        <f>IFERROR(__xludf.DUMMYFUNCTION("""COMPUTED_VALUE"""),1.0)</f>
        <v>1</v>
      </c>
      <c r="CF114" s="16"/>
      <c r="CG114" s="16" t="str">
        <f>IFERROR(__xludf.DUMMYFUNCTION("""COMPUTED_VALUE"""),"3-21")</f>
        <v>3-21</v>
      </c>
      <c r="CH114" s="16">
        <f>IFERROR(__xludf.DUMMYFUNCTION("""COMPUTED_VALUE"""),3.0)</f>
        <v>3</v>
      </c>
      <c r="CI114" s="16">
        <f>IFERROR(__xludf.DUMMYFUNCTION("""COMPUTED_VALUE"""),21.0)</f>
        <v>21</v>
      </c>
      <c r="CJ114" s="16">
        <f>IFERROR(__xludf.DUMMYFUNCTION("""COMPUTED_VALUE"""),0.0)</f>
        <v>0</v>
      </c>
      <c r="CK114" s="16">
        <f>IFERROR(__xludf.DUMMYFUNCTION("""COMPUTED_VALUE"""),2.0)</f>
        <v>2</v>
      </c>
      <c r="CL114" s="16" t="str">
        <f>IFERROR(__xludf.DUMMYFUNCTION("""COMPUTED_VALUE"""),"1WL-C")</f>
        <v>1WL-C</v>
      </c>
      <c r="CM114" s="16" t="str">
        <f>IFERROR(__xludf.DUMMYFUNCTION("""COMPUTED_VALUE"""),"E")</f>
        <v>E</v>
      </c>
      <c r="CN114" s="16">
        <f>IFERROR(__xludf.DUMMYFUNCTION("""COMPUTED_VALUE"""),10.0)</f>
        <v>10</v>
      </c>
      <c r="CO114" s="16" t="str">
        <f>IFERROR(__xludf.DUMMYFUNCTION("""COMPUTED_VALUE"""),"C")</f>
        <v>C</v>
      </c>
      <c r="CP114" s="16" t="str">
        <f>IFERROR(__xludf.DUMMYFUNCTION("""COMPUTED_VALUE"""),"0p72")</f>
        <v>0p72</v>
      </c>
      <c r="CQ114" s="16">
        <f>IFERROR(__xludf.DUMMYFUNCTION("""COMPUTED_VALUE"""),31.0)</f>
        <v>31</v>
      </c>
      <c r="CR114" s="16">
        <f>IFERROR(__xludf.DUMMYFUNCTION("""COMPUTED_VALUE"""),-1.0)</f>
        <v>-1</v>
      </c>
      <c r="CS114" s="16">
        <f>IFERROR(__xludf.DUMMYFUNCTION("""COMPUTED_VALUE"""),30.0)</f>
        <v>30</v>
      </c>
      <c r="CT114" s="16">
        <f>IFERROR(__xludf.DUMMYFUNCTION("""COMPUTED_VALUE"""),31.0)</f>
        <v>31</v>
      </c>
      <c r="CU114" s="16">
        <f>IFERROR(__xludf.DUMMYFUNCTION("""COMPUTED_VALUE"""),-1.0)</f>
        <v>-1</v>
      </c>
      <c r="CV114" s="179">
        <f>IFERROR(__xludf.DUMMYFUNCTION("""COMPUTED_VALUE"""),18.666666666666664)</f>
        <v>18.66666667</v>
      </c>
      <c r="CW114" s="179">
        <f>IFERROR(__xludf.DUMMYFUNCTION("""COMPUTED_VALUE"""),5.0)</f>
        <v>5</v>
      </c>
      <c r="CX114" s="179">
        <f>IFERROR(__xludf.DUMMYFUNCTION("""COMPUTED_VALUE"""),4.0)</f>
        <v>4</v>
      </c>
      <c r="CY114" s="16" t="str">
        <f>IFERROR(__xludf.DUMMYFUNCTION("""COMPUTED_VALUE"""),"SP")</f>
        <v>SP</v>
      </c>
      <c r="CZ114" s="16" t="str">
        <f>IFERROR(__xludf.DUMMYFUNCTION("""COMPUTED_VALUE"""),"RP")</f>
        <v>RP</v>
      </c>
      <c r="DA114" s="16"/>
      <c r="DB114" s="16"/>
      <c r="DC114" s="16"/>
      <c r="DD114" s="16"/>
      <c r="DE114" s="16"/>
      <c r="DF114" s="16"/>
      <c r="DG114" s="16"/>
      <c r="DH114" s="16"/>
      <c r="DI114" s="16"/>
      <c r="DJ114" s="16"/>
      <c r="DK114" s="16"/>
    </row>
    <row r="115">
      <c r="A115" s="16">
        <f>IFERROR(__xludf.DUMMYFUNCTION("""COMPUTED_VALUE"""),13341.0)</f>
        <v>13341</v>
      </c>
      <c r="B115" s="16" t="str">
        <f>IFERROR(__xludf.DUMMYFUNCTION("""COMPUTED_VALUE"""),"Ryan Thompson")</f>
        <v>Ryan Thompson</v>
      </c>
      <c r="C115" s="153">
        <f>IFERROR(__xludf.DUMMYFUNCTION("""COMPUTED_VALUE"""),0.72)</f>
        <v>0.72</v>
      </c>
      <c r="D115" s="16"/>
      <c r="E115" s="16" t="str">
        <f>IFERROR(__xludf.DUMMYFUNCTION("""COMPUTED_VALUE"""),"R")</f>
        <v>R</v>
      </c>
      <c r="F115" s="16">
        <f>IFERROR(__xludf.DUMMYFUNCTION("""COMPUTED_VALUE"""),66.0)</f>
        <v>66</v>
      </c>
      <c r="G115" s="16">
        <f>IFERROR(__xludf.DUMMYFUNCTION("""COMPUTED_VALUE"""),6.0)</f>
        <v>6</v>
      </c>
      <c r="H115" s="16">
        <f>IFERROR(__xludf.DUMMYFUNCTION("""COMPUTED_VALUE"""),26.0)</f>
        <v>26</v>
      </c>
      <c r="I115" s="16">
        <f>IFERROR(__xludf.DUMMYFUNCTION("""COMPUTED_VALUE"""),-2.0)</f>
        <v>-2</v>
      </c>
      <c r="J115" s="16">
        <f>IFERROR(__xludf.DUMMYFUNCTION("""COMPUTED_VALUE"""),0.0)</f>
        <v>0</v>
      </c>
      <c r="K115" s="16">
        <f>IFERROR(__xludf.DUMMYFUNCTION("""COMPUTED_VALUE"""),-6.0)</f>
        <v>-6</v>
      </c>
      <c r="L115" s="16">
        <f>IFERROR(__xludf.DUMMYFUNCTION("""COMPUTED_VALUE"""),0.0)</f>
        <v>0</v>
      </c>
      <c r="M115" s="16">
        <f>IFERROR(__xludf.DUMMYFUNCTION("""COMPUTED_VALUE"""),0.0)</f>
        <v>0</v>
      </c>
      <c r="N115" s="16">
        <f>IFERROR(__xludf.DUMMYFUNCTION("""COMPUTED_VALUE"""),6.0)</f>
        <v>6</v>
      </c>
      <c r="O115" s="16">
        <f>IFERROR(__xludf.DUMMYFUNCTION("""COMPUTED_VALUE"""),3.0)</f>
        <v>3</v>
      </c>
      <c r="P115" s="16">
        <f>IFERROR(__xludf.DUMMYFUNCTION("""COMPUTED_VALUE"""),1.0)</f>
        <v>1</v>
      </c>
      <c r="Q115" s="16">
        <f>IFERROR(__xludf.DUMMYFUNCTION("""COMPUTED_VALUE"""),3.0)</f>
        <v>3</v>
      </c>
      <c r="R115" s="16">
        <f>IFERROR(__xludf.DUMMYFUNCTION("""COMPUTED_VALUE"""),1.0)</f>
        <v>1</v>
      </c>
      <c r="S115" s="16">
        <f>IFERROR(__xludf.DUMMYFUNCTION("""COMPUTED_VALUE"""),21.7)</f>
        <v>21.7</v>
      </c>
      <c r="T115" s="16">
        <f>IFERROR(__xludf.DUMMYFUNCTION("""COMPUTED_VALUE"""),20.0)</f>
        <v>20</v>
      </c>
      <c r="U115" s="16">
        <f>IFERROR(__xludf.DUMMYFUNCTION("""COMPUTED_VALUE"""),-1.0)</f>
        <v>-1</v>
      </c>
      <c r="V115" s="16">
        <f>IFERROR(__xludf.DUMMYFUNCTION("""COMPUTED_VALUE"""),-1.0)</f>
        <v>-1</v>
      </c>
      <c r="W115" s="16">
        <f>IFERROR(__xludf.DUMMYFUNCTION("""COMPUTED_VALUE"""),-2.0)</f>
        <v>-2</v>
      </c>
      <c r="X115" s="16">
        <f>IFERROR(__xludf.DUMMYFUNCTION("""COMPUTED_VALUE"""),-2.0)</f>
        <v>-2</v>
      </c>
      <c r="Y115" s="16">
        <f>IFERROR(__xludf.DUMMYFUNCTION("""COMPUTED_VALUE"""),21.7)</f>
        <v>21.7</v>
      </c>
      <c r="Z115" s="16">
        <f>IFERROR(__xludf.DUMMYFUNCTION("""COMPUTED_VALUE"""),26.0)</f>
        <v>26</v>
      </c>
      <c r="AA115" s="16">
        <f>IFERROR(__xludf.DUMMYFUNCTION("""COMPUTED_VALUE"""),1.0)</f>
        <v>1</v>
      </c>
      <c r="AB115" s="16">
        <f>IFERROR(__xludf.DUMMYFUNCTION("""COMPUTED_VALUE"""),0.0)</f>
        <v>0</v>
      </c>
      <c r="AC115" s="16">
        <f>IFERROR(__xludf.DUMMYFUNCTION("""COMPUTED_VALUE"""),5.0)</f>
        <v>5</v>
      </c>
      <c r="AD115" s="16">
        <f>IFERROR(__xludf.DUMMYFUNCTION("""COMPUTED_VALUE"""),0.0)</f>
        <v>0</v>
      </c>
      <c r="AE115" s="16">
        <f>IFERROR(__xludf.DUMMYFUNCTION("""COMPUTED_VALUE"""),31.9)</f>
        <v>31.9</v>
      </c>
      <c r="AF115" s="16">
        <f>IFERROR(__xludf.DUMMYFUNCTION("""COMPUTED_VALUE"""),28.4)</f>
        <v>28.4</v>
      </c>
      <c r="AG115" s="16">
        <f>IFERROR(__xludf.DUMMYFUNCTION("""COMPUTED_VALUE"""),0.0)</f>
        <v>0</v>
      </c>
      <c r="AH115" s="16">
        <f>IFERROR(__xludf.DUMMYFUNCTION("""COMPUTED_VALUE"""),0.0)</f>
        <v>0</v>
      </c>
      <c r="AI115" s="16">
        <f>IFERROR(__xludf.DUMMYFUNCTION("""COMPUTED_VALUE"""),0.0)</f>
        <v>0</v>
      </c>
      <c r="AJ115" s="16">
        <f>IFERROR(__xludf.DUMMYFUNCTION("""COMPUTED_VALUE"""),0.0)</f>
        <v>0</v>
      </c>
      <c r="AK115" s="16">
        <f>IFERROR(__xludf.DUMMYFUNCTION("""COMPUTED_VALUE"""),21.5)</f>
        <v>21.5</v>
      </c>
      <c r="AL115" s="16">
        <f>IFERROR(__xludf.DUMMYFUNCTION("""COMPUTED_VALUE"""),19.2)</f>
        <v>19.2</v>
      </c>
      <c r="AM115" s="16">
        <f>IFERROR(__xludf.DUMMYFUNCTION("""COMPUTED_VALUE"""),-2.0)</f>
        <v>-2</v>
      </c>
      <c r="AN115" s="16">
        <f>IFERROR(__xludf.DUMMYFUNCTION("""COMPUTED_VALUE"""),-1.0)</f>
        <v>-1</v>
      </c>
      <c r="AO115" s="16">
        <f>IFERROR(__xludf.DUMMYFUNCTION("""COMPUTED_VALUE"""),-2.0)</f>
        <v>-2</v>
      </c>
      <c r="AP115" s="16">
        <f>IFERROR(__xludf.DUMMYFUNCTION("""COMPUTED_VALUE"""),-1.0)</f>
        <v>-1</v>
      </c>
      <c r="AQ115" s="16">
        <f>IFERROR(__xludf.DUMMYFUNCTION("""COMPUTED_VALUE"""),31.099999999999998)</f>
        <v>31.1</v>
      </c>
      <c r="AR115" s="16">
        <f>IFERROR(__xludf.DUMMYFUNCTION("""COMPUTED_VALUE"""),25.2)</f>
        <v>25.2</v>
      </c>
      <c r="AS115" s="16">
        <f>IFERROR(__xludf.DUMMYFUNCTION("""COMPUTED_VALUE"""),-1.0)</f>
        <v>-1</v>
      </c>
      <c r="AT115" s="16">
        <f>IFERROR(__xludf.DUMMYFUNCTION("""COMPUTED_VALUE"""),-1.0)</f>
        <v>-1</v>
      </c>
      <c r="AU115" s="16">
        <f>IFERROR(__xludf.DUMMYFUNCTION("""COMPUTED_VALUE"""),-2.0)</f>
        <v>-2</v>
      </c>
      <c r="AV115" s="16">
        <f>IFERROR(__xludf.DUMMYFUNCTION("""COMPUTED_VALUE"""),-2.0)</f>
        <v>-2</v>
      </c>
      <c r="AW115" s="16">
        <f>IFERROR(__xludf.DUMMYFUNCTION("""COMPUTED_VALUE"""),0.2)</f>
        <v>0.2</v>
      </c>
      <c r="AX115" s="16">
        <f>IFERROR(__xludf.DUMMYFUNCTION("""COMPUTED_VALUE"""),0.8)</f>
        <v>0.8</v>
      </c>
      <c r="AY115" s="16">
        <f>IFERROR(__xludf.DUMMYFUNCTION("""COMPUTED_VALUE"""),2.0)</f>
        <v>2</v>
      </c>
      <c r="AZ115" s="16">
        <f>IFERROR(__xludf.DUMMYFUNCTION("""COMPUTED_VALUE"""),1.0)</f>
        <v>1</v>
      </c>
      <c r="BA115" s="16">
        <f>IFERROR(__xludf.DUMMYFUNCTION("""COMPUTED_VALUE"""),10.0)</f>
        <v>10</v>
      </c>
      <c r="BB115" s="16">
        <f>IFERROR(__xludf.DUMMYFUNCTION("""COMPUTED_VALUE"""),5.0)</f>
        <v>5</v>
      </c>
      <c r="BC115" s="16">
        <f>IFERROR(__xludf.DUMMYFUNCTION("""COMPUTED_VALUE"""),0.0)</f>
        <v>0</v>
      </c>
      <c r="BD115" s="16">
        <f>IFERROR(__xludf.DUMMYFUNCTION("""COMPUTED_VALUE"""),1.0)</f>
        <v>1</v>
      </c>
      <c r="BE115" s="16">
        <f>IFERROR(__xludf.DUMMYFUNCTION("""COMPUTED_VALUE"""),0.0)</f>
        <v>0</v>
      </c>
      <c r="BF115" s="16">
        <f>IFERROR(__xludf.DUMMYFUNCTION("""COMPUTED_VALUE"""),1.0)</f>
        <v>1</v>
      </c>
      <c r="BG115" s="16">
        <f>IFERROR(__xludf.DUMMYFUNCTION("""COMPUTED_VALUE"""),3.0)</f>
        <v>3</v>
      </c>
      <c r="BH115" s="16">
        <f>IFERROR(__xludf.DUMMYFUNCTION("""COMPUTED_VALUE"""),2.0)</f>
        <v>2</v>
      </c>
      <c r="BI115" s="16">
        <f>IFERROR(__xludf.DUMMYFUNCTION("""COMPUTED_VALUE"""),6.0)</f>
        <v>6</v>
      </c>
      <c r="BJ115" s="16">
        <f>IFERROR(__xludf.DUMMYFUNCTION("""COMPUTED_VALUE"""),4.0)</f>
        <v>4</v>
      </c>
      <c r="BK115" s="16">
        <f>IFERROR(__xludf.DUMMYFUNCTION("""COMPUTED_VALUE"""),5.0)</f>
        <v>5</v>
      </c>
      <c r="BL115" s="16">
        <f>IFERROR(__xludf.DUMMYFUNCTION("""COMPUTED_VALUE"""),5.0)</f>
        <v>5</v>
      </c>
      <c r="BM115" s="16">
        <f>IFERROR(__xludf.DUMMYFUNCTION("""COMPUTED_VALUE"""),0.0)</f>
        <v>0</v>
      </c>
      <c r="BN115" s="16">
        <f>IFERROR(__xludf.DUMMYFUNCTION("""COMPUTED_VALUE"""),0.0)</f>
        <v>0</v>
      </c>
      <c r="BO115" s="16">
        <f>IFERROR(__xludf.DUMMYFUNCTION("""COMPUTED_VALUE"""),0.0)</f>
        <v>0</v>
      </c>
      <c r="BP115" s="16">
        <f>IFERROR(__xludf.DUMMYFUNCTION("""COMPUTED_VALUE"""),0.0)</f>
        <v>0</v>
      </c>
      <c r="BQ115" s="16">
        <f>IFERROR(__xludf.DUMMYFUNCTION("""COMPUTED_VALUE"""),9.0)</f>
        <v>9</v>
      </c>
      <c r="BR115" s="16">
        <f>IFERROR(__xludf.DUMMYFUNCTION("""COMPUTED_VALUE"""),9.0)</f>
        <v>9</v>
      </c>
      <c r="BS115" s="16">
        <f>IFERROR(__xludf.DUMMYFUNCTION("""COMPUTED_VALUE"""),3.0)</f>
        <v>3</v>
      </c>
      <c r="BT115" s="16">
        <f>IFERROR(__xludf.DUMMYFUNCTION("""COMPUTED_VALUE"""),3.0)</f>
        <v>3</v>
      </c>
      <c r="BU115" s="16">
        <f>IFERROR(__xludf.DUMMYFUNCTION("""COMPUTED_VALUE"""),6.0)</f>
        <v>6</v>
      </c>
      <c r="BV115" s="16">
        <f>IFERROR(__xludf.DUMMYFUNCTION("""COMPUTED_VALUE"""),6.0)</f>
        <v>6</v>
      </c>
      <c r="BW115" s="16">
        <f>IFERROR(__xludf.DUMMYFUNCTION("""COMPUTED_VALUE"""),9.0)</f>
        <v>9</v>
      </c>
      <c r="BX115" s="16">
        <f>IFERROR(__xludf.DUMMYFUNCTION("""COMPUTED_VALUE"""),9.0)</f>
        <v>9</v>
      </c>
      <c r="BY115" s="16" t="str">
        <f>IFERROR(__xludf.DUMMYFUNCTION("""COMPUTED_VALUE"""),"R(1) C(1)")</f>
        <v>R(1) C(1)</v>
      </c>
      <c r="BZ115" s="16" t="str">
        <f>IFERROR(__xludf.DUMMYFUNCTION("""COMPUTED_VALUE"""),"R(1) C(1)")</f>
        <v>R(1) C(1)</v>
      </c>
      <c r="CA115" s="16" t="str">
        <f>IFERROR(__xludf.DUMMYFUNCTION("""COMPUTED_VALUE"""),"R(1)")</f>
        <v>R(1)</v>
      </c>
      <c r="CB115" s="16" t="str">
        <f>IFERROR(__xludf.DUMMYFUNCTION("""COMPUTED_VALUE"""),"C(1)")</f>
        <v>C(1)</v>
      </c>
      <c r="CC115" s="16"/>
      <c r="CD115" s="16"/>
      <c r="CE115" s="16">
        <f>IFERROR(__xludf.DUMMYFUNCTION("""COMPUTED_VALUE"""),1.0)</f>
        <v>1</v>
      </c>
      <c r="CF115" s="16">
        <f>IFERROR(__xludf.DUMMYFUNCTION("""COMPUTED_VALUE"""),1.0)</f>
        <v>1</v>
      </c>
      <c r="CG115" s="16" t="str">
        <f>IFERROR(__xludf.DUMMYFUNCTION("""COMPUTED_VALUE"""),"2-22")</f>
        <v>2-22</v>
      </c>
      <c r="CH115" s="16">
        <f>IFERROR(__xludf.DUMMYFUNCTION("""COMPUTED_VALUE"""),2.0)</f>
        <v>2</v>
      </c>
      <c r="CI115" s="16">
        <f>IFERROR(__xludf.DUMMYFUNCTION("""COMPUTED_VALUE"""),22.0)</f>
        <v>22</v>
      </c>
      <c r="CJ115" s="16">
        <f>IFERROR(__xludf.DUMMYFUNCTION("""COMPUTED_VALUE"""),0.0)</f>
        <v>0</v>
      </c>
      <c r="CK115" s="16">
        <f>IFERROR(__xludf.DUMMYFUNCTION("""COMPUTED_VALUE"""),6.0)</f>
        <v>6</v>
      </c>
      <c r="CL115" s="16" t="str">
        <f>IFERROR(__xludf.DUMMYFUNCTION("""COMPUTED_VALUE"""),"1WR-C")</f>
        <v>1WR-C</v>
      </c>
      <c r="CM115" s="16" t="str">
        <f>IFERROR(__xludf.DUMMYFUNCTION("""COMPUTED_VALUE"""),"E")</f>
        <v>E</v>
      </c>
      <c r="CN115" s="16">
        <f>IFERROR(__xludf.DUMMYFUNCTION("""COMPUTED_VALUE"""),10.0)</f>
        <v>10</v>
      </c>
      <c r="CO115" s="16" t="str">
        <f>IFERROR(__xludf.DUMMYFUNCTION("""COMPUTED_VALUE"""),"C")</f>
        <v>C</v>
      </c>
      <c r="CP115" s="16" t="str">
        <f>IFERROR(__xludf.DUMMYFUNCTION("""COMPUTED_VALUE"""),"1p60")</f>
        <v>1p60</v>
      </c>
      <c r="CQ115" s="16">
        <f>IFERROR(__xludf.DUMMYFUNCTION("""COMPUTED_VALUE"""),18.0)</f>
        <v>18</v>
      </c>
      <c r="CR115" s="16">
        <f>IFERROR(__xludf.DUMMYFUNCTION("""COMPUTED_VALUE"""),11.0)</f>
        <v>11</v>
      </c>
      <c r="CS115" s="16">
        <f>IFERROR(__xludf.DUMMYFUNCTION("""COMPUTED_VALUE"""),29.0)</f>
        <v>29</v>
      </c>
      <c r="CT115" s="16">
        <f>IFERROR(__xludf.DUMMYFUNCTION("""COMPUTED_VALUE"""),18.0)</f>
        <v>18</v>
      </c>
      <c r="CU115" s="16">
        <f>IFERROR(__xludf.DUMMYFUNCTION("""COMPUTED_VALUE"""),11.0)</f>
        <v>11</v>
      </c>
      <c r="CV115" s="179">
        <f>IFERROR(__xludf.DUMMYFUNCTION("""COMPUTED_VALUE"""),18.333333333333336)</f>
        <v>18.33333333</v>
      </c>
      <c r="CW115" s="179">
        <f>IFERROR(__xludf.DUMMYFUNCTION("""COMPUTED_VALUE"""),4.0)</f>
        <v>4</v>
      </c>
      <c r="CX115" s="179">
        <f>IFERROR(__xludf.DUMMYFUNCTION("""COMPUTED_VALUE"""),1.0)</f>
        <v>1</v>
      </c>
      <c r="CY115" s="16" t="str">
        <f>IFERROR(__xludf.DUMMYFUNCTION("""COMPUTED_VALUE"""),"RP")</f>
        <v>RP</v>
      </c>
      <c r="CZ115" s="16" t="str">
        <f>IFERROR(__xludf.DUMMYFUNCTION("""COMPUTED_VALUE"""),"CP")</f>
        <v>CP</v>
      </c>
      <c r="DA115" s="16"/>
      <c r="DB115" s="16"/>
      <c r="DC115" s="16"/>
      <c r="DD115" s="16"/>
      <c r="DE115" s="16"/>
      <c r="DF115" s="16"/>
      <c r="DG115" s="16"/>
      <c r="DH115" s="16"/>
      <c r="DI115" s="16"/>
      <c r="DJ115" s="16"/>
      <c r="DK115" s="16"/>
    </row>
    <row r="116">
      <c r="A116" s="16">
        <f>IFERROR(__xludf.DUMMYFUNCTION("""COMPUTED_VALUE"""),13380.0)</f>
        <v>13380</v>
      </c>
      <c r="B116" s="16" t="str">
        <f>IFERROR(__xludf.DUMMYFUNCTION("""COMPUTED_VALUE"""),"Sonny Gray")</f>
        <v>Sonny Gray</v>
      </c>
      <c r="C116" s="153">
        <f>IFERROR(__xludf.DUMMYFUNCTION("""COMPUTED_VALUE"""),0.97)</f>
        <v>0.97</v>
      </c>
      <c r="D116" s="16"/>
      <c r="E116" s="16" t="str">
        <f>IFERROR(__xludf.DUMMYFUNCTION("""COMPUTED_VALUE"""),"R")</f>
        <v>R</v>
      </c>
      <c r="F116" s="16">
        <f>IFERROR(__xludf.DUMMYFUNCTION("""COMPUTED_VALUE"""),166.0)</f>
        <v>166</v>
      </c>
      <c r="G116" s="16">
        <f>IFERROR(__xludf.DUMMYFUNCTION("""COMPUTED_VALUE"""),38.0)</f>
        <v>38</v>
      </c>
      <c r="H116" s="16">
        <f>IFERROR(__xludf.DUMMYFUNCTION("""COMPUTED_VALUE"""),44.0)</f>
        <v>44</v>
      </c>
      <c r="I116" s="16">
        <f>IFERROR(__xludf.DUMMYFUNCTION("""COMPUTED_VALUE"""),1.0)</f>
        <v>1</v>
      </c>
      <c r="J116" s="16">
        <f>IFERROR(__xludf.DUMMYFUNCTION("""COMPUTED_VALUE"""),2.0)</f>
        <v>2</v>
      </c>
      <c r="K116" s="16">
        <f>IFERROR(__xludf.DUMMYFUNCTION("""COMPUTED_VALUE"""),3.0)</f>
        <v>3</v>
      </c>
      <c r="L116" s="16">
        <f>IFERROR(__xludf.DUMMYFUNCTION("""COMPUTED_VALUE"""),6.0)</f>
        <v>6</v>
      </c>
      <c r="M116" s="16">
        <f>IFERROR(__xludf.DUMMYFUNCTION("""COMPUTED_VALUE"""),5.0)</f>
        <v>5</v>
      </c>
      <c r="N116" s="16">
        <f>IFERROR(__xludf.DUMMYFUNCTION("""COMPUTED_VALUE"""),3.0)</f>
        <v>3</v>
      </c>
      <c r="O116" s="16">
        <f>IFERROR(__xludf.DUMMYFUNCTION("""COMPUTED_VALUE"""),2.0)</f>
        <v>2</v>
      </c>
      <c r="P116" s="16">
        <f>IFERROR(__xludf.DUMMYFUNCTION("""COMPUTED_VALUE"""),2.0)</f>
        <v>2</v>
      </c>
      <c r="Q116" s="16">
        <f>IFERROR(__xludf.DUMMYFUNCTION("""COMPUTED_VALUE"""),2.0)</f>
        <v>2</v>
      </c>
      <c r="R116" s="16">
        <f>IFERROR(__xludf.DUMMYFUNCTION("""COMPUTED_VALUE"""),2.0)</f>
        <v>2</v>
      </c>
      <c r="S116" s="16">
        <f>IFERROR(__xludf.DUMMYFUNCTION("""COMPUTED_VALUE"""),17.8)</f>
        <v>17.8</v>
      </c>
      <c r="T116" s="16">
        <f>IFERROR(__xludf.DUMMYFUNCTION("""COMPUTED_VALUE"""),11.1)</f>
        <v>11.1</v>
      </c>
      <c r="U116" s="16">
        <f>IFERROR(__xludf.DUMMYFUNCTION("""COMPUTED_VALUE"""),0.0)</f>
        <v>0</v>
      </c>
      <c r="V116" s="16">
        <f>IFERROR(__xludf.DUMMYFUNCTION("""COMPUTED_VALUE"""),1.0)</f>
        <v>1</v>
      </c>
      <c r="W116" s="16">
        <f>IFERROR(__xludf.DUMMYFUNCTION("""COMPUTED_VALUE"""),0.0)</f>
        <v>0</v>
      </c>
      <c r="X116" s="16">
        <f>IFERROR(__xludf.DUMMYFUNCTION("""COMPUTED_VALUE"""),2.0)</f>
        <v>2</v>
      </c>
      <c r="Y116" s="16">
        <f>IFERROR(__xludf.DUMMYFUNCTION("""COMPUTED_VALUE"""),22.8)</f>
        <v>22.8</v>
      </c>
      <c r="Z116" s="16">
        <f>IFERROR(__xludf.DUMMYFUNCTION("""COMPUTED_VALUE"""),14.1)</f>
        <v>14.1</v>
      </c>
      <c r="AA116" s="16">
        <f>IFERROR(__xludf.DUMMYFUNCTION("""COMPUTED_VALUE"""),0.0)</f>
        <v>0</v>
      </c>
      <c r="AB116" s="16">
        <f>IFERROR(__xludf.DUMMYFUNCTION("""COMPUTED_VALUE"""),2.0)</f>
        <v>2</v>
      </c>
      <c r="AC116" s="16">
        <f>IFERROR(__xludf.DUMMYFUNCTION("""COMPUTED_VALUE"""),0.0)</f>
        <v>0</v>
      </c>
      <c r="AD116" s="16">
        <f>IFERROR(__xludf.DUMMYFUNCTION("""COMPUTED_VALUE"""),10.0)</f>
        <v>10</v>
      </c>
      <c r="AE116" s="16">
        <f>IFERROR(__xludf.DUMMYFUNCTION("""COMPUTED_VALUE"""),39.2)</f>
        <v>39.2</v>
      </c>
      <c r="AF116" s="16">
        <f>IFERROR(__xludf.DUMMYFUNCTION("""COMPUTED_VALUE"""),21.2)</f>
        <v>21.2</v>
      </c>
      <c r="AG116" s="16">
        <f>IFERROR(__xludf.DUMMYFUNCTION("""COMPUTED_VALUE"""),-1.0)</f>
        <v>-1</v>
      </c>
      <c r="AH116" s="16">
        <f>IFERROR(__xludf.DUMMYFUNCTION("""COMPUTED_VALUE"""),1.0)</f>
        <v>1</v>
      </c>
      <c r="AI116" s="16">
        <f>IFERROR(__xludf.DUMMYFUNCTION("""COMPUTED_VALUE"""),-2.0)</f>
        <v>-2</v>
      </c>
      <c r="AJ116" s="16">
        <f>IFERROR(__xludf.DUMMYFUNCTION("""COMPUTED_VALUE"""),2.0)</f>
        <v>2</v>
      </c>
      <c r="AK116" s="16">
        <f>IFERROR(__xludf.DUMMYFUNCTION("""COMPUTED_VALUE"""),15.4)</f>
        <v>15.4</v>
      </c>
      <c r="AL116" s="16">
        <f>IFERROR(__xludf.DUMMYFUNCTION("""COMPUTED_VALUE"""),9.5)</f>
        <v>9.5</v>
      </c>
      <c r="AM116" s="16">
        <f>IFERROR(__xludf.DUMMYFUNCTION("""COMPUTED_VALUE"""),0.0)</f>
        <v>0</v>
      </c>
      <c r="AN116" s="16">
        <f>IFERROR(__xludf.DUMMYFUNCTION("""COMPUTED_VALUE"""),1.0)</f>
        <v>1</v>
      </c>
      <c r="AO116" s="16">
        <f>IFERROR(__xludf.DUMMYFUNCTION("""COMPUTED_VALUE"""),0.0)</f>
        <v>0</v>
      </c>
      <c r="AP116" s="16">
        <f>IFERROR(__xludf.DUMMYFUNCTION("""COMPUTED_VALUE"""),1.0)</f>
        <v>1</v>
      </c>
      <c r="AQ116" s="16">
        <f>IFERROR(__xludf.DUMMYFUNCTION("""COMPUTED_VALUE"""),29.6)</f>
        <v>29.6</v>
      </c>
      <c r="AR116" s="16">
        <f>IFERROR(__xludf.DUMMYFUNCTION("""COMPUTED_VALUE"""),14.799999999999999)</f>
        <v>14.8</v>
      </c>
      <c r="AS116" s="16">
        <f>IFERROR(__xludf.DUMMYFUNCTION("""COMPUTED_VALUE"""),-1.0)</f>
        <v>-1</v>
      </c>
      <c r="AT116" s="16">
        <f>IFERROR(__xludf.DUMMYFUNCTION("""COMPUTED_VALUE"""),1.0)</f>
        <v>1</v>
      </c>
      <c r="AU116" s="16">
        <f>IFERROR(__xludf.DUMMYFUNCTION("""COMPUTED_VALUE"""),-2.0)</f>
        <v>-2</v>
      </c>
      <c r="AV116" s="16">
        <f>IFERROR(__xludf.DUMMYFUNCTION("""COMPUTED_VALUE"""),2.0)</f>
        <v>2</v>
      </c>
      <c r="AW116" s="16">
        <f>IFERROR(__xludf.DUMMYFUNCTION("""COMPUTED_VALUE"""),2.4)</f>
        <v>2.4</v>
      </c>
      <c r="AX116" s="16">
        <f>IFERROR(__xludf.DUMMYFUNCTION("""COMPUTED_VALUE"""),1.6)</f>
        <v>1.6</v>
      </c>
      <c r="AY116" s="16">
        <f>IFERROR(__xludf.DUMMYFUNCTION("""COMPUTED_VALUE"""),0.0)</f>
        <v>0</v>
      </c>
      <c r="AZ116" s="16">
        <f>IFERROR(__xludf.DUMMYFUNCTION("""COMPUTED_VALUE"""),1.0)</f>
        <v>1</v>
      </c>
      <c r="BA116" s="16">
        <f>IFERROR(__xludf.DUMMYFUNCTION("""COMPUTED_VALUE"""),0.0)</f>
        <v>0</v>
      </c>
      <c r="BB116" s="16">
        <f>IFERROR(__xludf.DUMMYFUNCTION("""COMPUTED_VALUE"""),5.0)</f>
        <v>5</v>
      </c>
      <c r="BC116" s="16">
        <f>IFERROR(__xludf.DUMMYFUNCTION("""COMPUTED_VALUE"""),4.0)</f>
        <v>4</v>
      </c>
      <c r="BD116" s="16">
        <f>IFERROR(__xludf.DUMMYFUNCTION("""COMPUTED_VALUE"""),3.0)</f>
        <v>3</v>
      </c>
      <c r="BE116" s="16">
        <f>IFERROR(__xludf.DUMMYFUNCTION("""COMPUTED_VALUE"""),4.0)</f>
        <v>4</v>
      </c>
      <c r="BF116" s="16">
        <f>IFERROR(__xludf.DUMMYFUNCTION("""COMPUTED_VALUE"""),3.0)</f>
        <v>3</v>
      </c>
      <c r="BG116" s="16">
        <f>IFERROR(__xludf.DUMMYFUNCTION("""COMPUTED_VALUE"""),-1.0)</f>
        <v>-1</v>
      </c>
      <c r="BH116" s="16">
        <f>IFERROR(__xludf.DUMMYFUNCTION("""COMPUTED_VALUE"""),0.0)</f>
        <v>0</v>
      </c>
      <c r="BI116" s="16">
        <f>IFERROR(__xludf.DUMMYFUNCTION("""COMPUTED_VALUE"""),-2.0)</f>
        <v>-2</v>
      </c>
      <c r="BJ116" s="16">
        <f>IFERROR(__xludf.DUMMYFUNCTION("""COMPUTED_VALUE"""),0.0)</f>
        <v>0</v>
      </c>
      <c r="BK116" s="16">
        <f>IFERROR(__xludf.DUMMYFUNCTION("""COMPUTED_VALUE"""),5.0)</f>
        <v>5</v>
      </c>
      <c r="BL116" s="16">
        <f>IFERROR(__xludf.DUMMYFUNCTION("""COMPUTED_VALUE"""),5.0)</f>
        <v>5</v>
      </c>
      <c r="BM116" s="16">
        <f>IFERROR(__xludf.DUMMYFUNCTION("""COMPUTED_VALUE"""),0.0)</f>
        <v>0</v>
      </c>
      <c r="BN116" s="16">
        <f>IFERROR(__xludf.DUMMYFUNCTION("""COMPUTED_VALUE"""),0.0)</f>
        <v>0</v>
      </c>
      <c r="BO116" s="16">
        <f>IFERROR(__xludf.DUMMYFUNCTION("""COMPUTED_VALUE"""),0.0)</f>
        <v>0</v>
      </c>
      <c r="BP116" s="16">
        <f>IFERROR(__xludf.DUMMYFUNCTION("""COMPUTED_VALUE"""),0.0)</f>
        <v>0</v>
      </c>
      <c r="BQ116" s="16">
        <f>IFERROR(__xludf.DUMMYFUNCTION("""COMPUTED_VALUE"""),5.0)</f>
        <v>5</v>
      </c>
      <c r="BR116" s="16">
        <f>IFERROR(__xludf.DUMMYFUNCTION("""COMPUTED_VALUE"""),10.0)</f>
        <v>10</v>
      </c>
      <c r="BS116" s="16">
        <f>IFERROR(__xludf.DUMMYFUNCTION("""COMPUTED_VALUE"""),0.0)</f>
        <v>0</v>
      </c>
      <c r="BT116" s="16">
        <f>IFERROR(__xludf.DUMMYFUNCTION("""COMPUTED_VALUE"""),3.0)</f>
        <v>3</v>
      </c>
      <c r="BU116" s="16">
        <f>IFERROR(__xludf.DUMMYFUNCTION("""COMPUTED_VALUE"""),0.0)</f>
        <v>0</v>
      </c>
      <c r="BV116" s="16">
        <f>IFERROR(__xludf.DUMMYFUNCTION("""COMPUTED_VALUE"""),6.0)</f>
        <v>6</v>
      </c>
      <c r="BW116" s="16">
        <f>IFERROR(__xludf.DUMMYFUNCTION("""COMPUTED_VALUE"""),4.0)</f>
        <v>4</v>
      </c>
      <c r="BX116" s="16">
        <f>IFERROR(__xludf.DUMMYFUNCTION("""COMPUTED_VALUE"""),4.0)</f>
        <v>4</v>
      </c>
      <c r="BY116" s="16" t="str">
        <f>IFERROR(__xludf.DUMMYFUNCTION("""COMPUTED_VALUE"""),"S(6)")</f>
        <v>S(6)</v>
      </c>
      <c r="BZ116" s="16" t="str">
        <f>IFERROR(__xludf.DUMMYFUNCTION("""COMPUTED_VALUE"""),"S(6)")</f>
        <v>S(6)</v>
      </c>
      <c r="CA116" s="16" t="str">
        <f>IFERROR(__xludf.DUMMYFUNCTION("""COMPUTED_VALUE"""),"S(6)")</f>
        <v>S(6)</v>
      </c>
      <c r="CB116" s="16"/>
      <c r="CC116" s="16"/>
      <c r="CD116" s="16">
        <f>IFERROR(__xludf.DUMMYFUNCTION("""COMPUTED_VALUE"""),6.0)</f>
        <v>6</v>
      </c>
      <c r="CE116" s="16"/>
      <c r="CF116" s="16"/>
      <c r="CG116" s="16" t="str">
        <f>IFERROR(__xludf.DUMMYFUNCTION("""COMPUTED_VALUE"""),"3-0")</f>
        <v>3-0</v>
      </c>
      <c r="CH116" s="16">
        <f>IFERROR(__xludf.DUMMYFUNCTION("""COMPUTED_VALUE"""),3.0)</f>
        <v>3</v>
      </c>
      <c r="CI116" s="16">
        <f>IFERROR(__xludf.DUMMYFUNCTION("""COMPUTED_VALUE"""),0.0)</f>
        <v>0</v>
      </c>
      <c r="CJ116" s="16">
        <f>IFERROR(__xludf.DUMMYFUNCTION("""COMPUTED_VALUE"""),2.0)</f>
        <v>2</v>
      </c>
      <c r="CK116" s="16">
        <f>IFERROR(__xludf.DUMMYFUNCTION("""COMPUTED_VALUE"""),9.0)</f>
        <v>9</v>
      </c>
      <c r="CL116" s="16" t="str">
        <f>IFERROR(__xludf.DUMMYFUNCTION("""COMPUTED_VALUE"""),"1WR-C")</f>
        <v>1WR-C</v>
      </c>
      <c r="CM116" s="16" t="str">
        <f>IFERROR(__xludf.DUMMYFUNCTION("""COMPUTED_VALUE"""),"E")</f>
        <v>E</v>
      </c>
      <c r="CN116" s="16">
        <f>IFERROR(__xludf.DUMMYFUNCTION("""COMPUTED_VALUE"""),10.0)</f>
        <v>10</v>
      </c>
      <c r="CO116" s="16" t="str">
        <f>IFERROR(__xludf.DUMMYFUNCTION("""COMPUTED_VALUE"""),"C")</f>
        <v>C</v>
      </c>
      <c r="CP116" s="16" t="str">
        <f>IFERROR(__xludf.DUMMYFUNCTION("""COMPUTED_VALUE"""),"1p70")</f>
        <v>1p70</v>
      </c>
      <c r="CQ116" s="16">
        <f>IFERROR(__xludf.DUMMYFUNCTION("""COMPUTED_VALUE"""),-1.0)</f>
        <v>-1</v>
      </c>
      <c r="CR116" s="16">
        <f>IFERROR(__xludf.DUMMYFUNCTION("""COMPUTED_VALUE"""),36.0)</f>
        <v>36</v>
      </c>
      <c r="CS116" s="16">
        <f>IFERROR(__xludf.DUMMYFUNCTION("""COMPUTED_VALUE"""),35.0)</f>
        <v>35</v>
      </c>
      <c r="CT116" s="16">
        <f>IFERROR(__xludf.DUMMYFUNCTION("""COMPUTED_VALUE"""),-1.0)</f>
        <v>-1</v>
      </c>
      <c r="CU116" s="16">
        <f>IFERROR(__xludf.DUMMYFUNCTION("""COMPUTED_VALUE"""),36.0)</f>
        <v>36</v>
      </c>
      <c r="CV116" s="179">
        <f>IFERROR(__xludf.DUMMYFUNCTION("""COMPUTED_VALUE"""),18.333333333333336)</f>
        <v>18.33333333</v>
      </c>
      <c r="CW116" s="179">
        <f>IFERROR(__xludf.DUMMYFUNCTION("""COMPUTED_VALUE"""),4.0)</f>
        <v>4</v>
      </c>
      <c r="CX116" s="179">
        <f>IFERROR(__xludf.DUMMYFUNCTION("""COMPUTED_VALUE"""),3.0)</f>
        <v>3</v>
      </c>
      <c r="CY116" s="16" t="str">
        <f>IFERROR(__xludf.DUMMYFUNCTION("""COMPUTED_VALUE"""),"SP")</f>
        <v>SP</v>
      </c>
      <c r="CZ116" s="16"/>
      <c r="DA116" s="16"/>
      <c r="DB116" s="16"/>
      <c r="DC116" s="16"/>
      <c r="DD116" s="16"/>
      <c r="DE116" s="16"/>
      <c r="DF116" s="16"/>
      <c r="DG116" s="16"/>
      <c r="DH116" s="16"/>
      <c r="DI116" s="16"/>
      <c r="DJ116" s="16"/>
      <c r="DK116" s="16"/>
    </row>
    <row r="117">
      <c r="A117" s="16">
        <f>IFERROR(__xludf.DUMMYFUNCTION("""COMPUTED_VALUE"""),12631.0)</f>
        <v>12631</v>
      </c>
      <c r="B117" s="16" t="str">
        <f>IFERROR(__xludf.DUMMYFUNCTION("""COMPUTED_VALUE"""),"Bryan Woo")</f>
        <v>Bryan Woo</v>
      </c>
      <c r="C117" s="153">
        <f>IFERROR(__xludf.DUMMYFUNCTION("""COMPUTED_VALUE"""),1.78)</f>
        <v>1.78</v>
      </c>
      <c r="D117" s="16"/>
      <c r="E117" s="16" t="str">
        <f>IFERROR(__xludf.DUMMYFUNCTION("""COMPUTED_VALUE"""),"R")</f>
        <v>R</v>
      </c>
      <c r="F117" s="16">
        <f>IFERROR(__xludf.DUMMYFUNCTION("""COMPUTED_VALUE"""),121.0)</f>
        <v>121</v>
      </c>
      <c r="G117" s="16">
        <f>IFERROR(__xludf.DUMMYFUNCTION("""COMPUTED_VALUE"""),21.0)</f>
        <v>21</v>
      </c>
      <c r="H117" s="16">
        <f>IFERROR(__xludf.DUMMYFUNCTION("""COMPUTED_VALUE"""),22.0)</f>
        <v>22</v>
      </c>
      <c r="I117" s="16">
        <f>IFERROR(__xludf.DUMMYFUNCTION("""COMPUTED_VALUE"""),-1.0)</f>
        <v>-1</v>
      </c>
      <c r="J117" s="16">
        <f>IFERROR(__xludf.DUMMYFUNCTION("""COMPUTED_VALUE"""),-1.0)</f>
        <v>-1</v>
      </c>
      <c r="K117" s="16">
        <f>IFERROR(__xludf.DUMMYFUNCTION("""COMPUTED_VALUE"""),-3.0)</f>
        <v>-3</v>
      </c>
      <c r="L117" s="16">
        <f>IFERROR(__xludf.DUMMYFUNCTION("""COMPUTED_VALUE"""),-3.0)</f>
        <v>-3</v>
      </c>
      <c r="M117" s="16">
        <f>IFERROR(__xludf.DUMMYFUNCTION("""COMPUTED_VALUE"""),0.0)</f>
        <v>0</v>
      </c>
      <c r="N117" s="16">
        <f>IFERROR(__xludf.DUMMYFUNCTION("""COMPUTED_VALUE"""),0.0)</f>
        <v>0</v>
      </c>
      <c r="O117" s="16">
        <f>IFERROR(__xludf.DUMMYFUNCTION("""COMPUTED_VALUE"""),3.0)</f>
        <v>3</v>
      </c>
      <c r="P117" s="16">
        <f>IFERROR(__xludf.DUMMYFUNCTION("""COMPUTED_VALUE"""),3.0)</f>
        <v>3</v>
      </c>
      <c r="Q117" s="16">
        <f>IFERROR(__xludf.DUMMYFUNCTION("""COMPUTED_VALUE"""),3.0)</f>
        <v>3</v>
      </c>
      <c r="R117" s="16">
        <f>IFERROR(__xludf.DUMMYFUNCTION("""COMPUTED_VALUE"""),3.0)</f>
        <v>3</v>
      </c>
      <c r="S117" s="16">
        <f>IFERROR(__xludf.DUMMYFUNCTION("""COMPUTED_VALUE"""),12.5)</f>
        <v>12.5</v>
      </c>
      <c r="T117" s="16">
        <f>IFERROR(__xludf.DUMMYFUNCTION("""COMPUTED_VALUE"""),8.9)</f>
        <v>8.9</v>
      </c>
      <c r="U117" s="16">
        <f>IFERROR(__xludf.DUMMYFUNCTION("""COMPUTED_VALUE"""),0.0)</f>
        <v>0</v>
      </c>
      <c r="V117" s="16">
        <f>IFERROR(__xludf.DUMMYFUNCTION("""COMPUTED_VALUE"""),1.0)</f>
        <v>1</v>
      </c>
      <c r="W117" s="16">
        <f>IFERROR(__xludf.DUMMYFUNCTION("""COMPUTED_VALUE"""),0.0)</f>
        <v>0</v>
      </c>
      <c r="X117" s="16">
        <f>IFERROR(__xludf.DUMMYFUNCTION("""COMPUTED_VALUE"""),2.0)</f>
        <v>2</v>
      </c>
      <c r="Y117" s="16">
        <f>IFERROR(__xludf.DUMMYFUNCTION("""COMPUTED_VALUE"""),12.5)</f>
        <v>12.5</v>
      </c>
      <c r="Z117" s="16">
        <f>IFERROR(__xludf.DUMMYFUNCTION("""COMPUTED_VALUE"""),8.9)</f>
        <v>8.9</v>
      </c>
      <c r="AA117" s="16">
        <f>IFERROR(__xludf.DUMMYFUNCTION("""COMPUTED_VALUE"""),2.0)</f>
        <v>2</v>
      </c>
      <c r="AB117" s="16">
        <f>IFERROR(__xludf.DUMMYFUNCTION("""COMPUTED_VALUE"""),2.0)</f>
        <v>2</v>
      </c>
      <c r="AC117" s="16">
        <f>IFERROR(__xludf.DUMMYFUNCTION("""COMPUTED_VALUE"""),10.0)</f>
        <v>10</v>
      </c>
      <c r="AD117" s="16">
        <f>IFERROR(__xludf.DUMMYFUNCTION("""COMPUTED_VALUE"""),10.0)</f>
        <v>10</v>
      </c>
      <c r="AE117" s="16">
        <f>IFERROR(__xludf.DUMMYFUNCTION("""COMPUTED_VALUE"""),21.1)</f>
        <v>21.1</v>
      </c>
      <c r="AF117" s="16">
        <f>IFERROR(__xludf.DUMMYFUNCTION("""COMPUTED_VALUE"""),16.7)</f>
        <v>16.7</v>
      </c>
      <c r="AG117" s="16">
        <f>IFERROR(__xludf.DUMMYFUNCTION("""COMPUTED_VALUE"""),1.0)</f>
        <v>1</v>
      </c>
      <c r="AH117" s="16">
        <f>IFERROR(__xludf.DUMMYFUNCTION("""COMPUTED_VALUE"""),1.0)</f>
        <v>1</v>
      </c>
      <c r="AI117" s="16">
        <f>IFERROR(__xludf.DUMMYFUNCTION("""COMPUTED_VALUE"""),2.0)</f>
        <v>2</v>
      </c>
      <c r="AJ117" s="16">
        <f>IFERROR(__xludf.DUMMYFUNCTION("""COMPUTED_VALUE"""),2.0)</f>
        <v>2</v>
      </c>
      <c r="AK117" s="16">
        <f>IFERROR(__xludf.DUMMYFUNCTION("""COMPUTED_VALUE"""),10.3)</f>
        <v>10.3</v>
      </c>
      <c r="AL117" s="16">
        <f>IFERROR(__xludf.DUMMYFUNCTION("""COMPUTED_VALUE"""),7.1000000000000005)</f>
        <v>7.1</v>
      </c>
      <c r="AM117" s="16">
        <f>IFERROR(__xludf.DUMMYFUNCTION("""COMPUTED_VALUE"""),1.0)</f>
        <v>1</v>
      </c>
      <c r="AN117" s="16">
        <f>IFERROR(__xludf.DUMMYFUNCTION("""COMPUTED_VALUE"""),1.0)</f>
        <v>1</v>
      </c>
      <c r="AO117" s="16">
        <f>IFERROR(__xludf.DUMMYFUNCTION("""COMPUTED_VALUE"""),1.0)</f>
        <v>1</v>
      </c>
      <c r="AP117" s="16">
        <f>IFERROR(__xludf.DUMMYFUNCTION("""COMPUTED_VALUE"""),1.0)</f>
        <v>1</v>
      </c>
      <c r="AQ117" s="16">
        <f>IFERROR(__xludf.DUMMYFUNCTION("""COMPUTED_VALUE"""),12.3)</f>
        <v>12.3</v>
      </c>
      <c r="AR117" s="16">
        <f>IFERROR(__xludf.DUMMYFUNCTION("""COMPUTED_VALUE"""),9.5)</f>
        <v>9.5</v>
      </c>
      <c r="AS117" s="16">
        <f>IFERROR(__xludf.DUMMYFUNCTION("""COMPUTED_VALUE"""),1.0)</f>
        <v>1</v>
      </c>
      <c r="AT117" s="16">
        <f>IFERROR(__xludf.DUMMYFUNCTION("""COMPUTED_VALUE"""),1.0)</f>
        <v>1</v>
      </c>
      <c r="AU117" s="16">
        <f>IFERROR(__xludf.DUMMYFUNCTION("""COMPUTED_VALUE"""),2.0)</f>
        <v>2</v>
      </c>
      <c r="AV117" s="16">
        <f>IFERROR(__xludf.DUMMYFUNCTION("""COMPUTED_VALUE"""),2.0)</f>
        <v>2</v>
      </c>
      <c r="AW117" s="16">
        <f>IFERROR(__xludf.DUMMYFUNCTION("""COMPUTED_VALUE"""),2.2)</f>
        <v>2.2</v>
      </c>
      <c r="AX117" s="16">
        <f>IFERROR(__xludf.DUMMYFUNCTION("""COMPUTED_VALUE"""),1.8)</f>
        <v>1.8</v>
      </c>
      <c r="AY117" s="16">
        <f>IFERROR(__xludf.DUMMYFUNCTION("""COMPUTED_VALUE"""),0.0)</f>
        <v>0</v>
      </c>
      <c r="AZ117" s="16">
        <f>IFERROR(__xludf.DUMMYFUNCTION("""COMPUTED_VALUE"""),0.0)</f>
        <v>0</v>
      </c>
      <c r="BA117" s="16">
        <f>IFERROR(__xludf.DUMMYFUNCTION("""COMPUTED_VALUE"""),0.0)</f>
        <v>0</v>
      </c>
      <c r="BB117" s="16">
        <f>IFERROR(__xludf.DUMMYFUNCTION("""COMPUTED_VALUE"""),0.0)</f>
        <v>0</v>
      </c>
      <c r="BC117" s="16">
        <f>IFERROR(__xludf.DUMMYFUNCTION("""COMPUTED_VALUE"""),3.0)</f>
        <v>3</v>
      </c>
      <c r="BD117" s="16">
        <f>IFERROR(__xludf.DUMMYFUNCTION("""COMPUTED_VALUE"""),2.0)</f>
        <v>2</v>
      </c>
      <c r="BE117" s="16">
        <f>IFERROR(__xludf.DUMMYFUNCTION("""COMPUTED_VALUE"""),3.0)</f>
        <v>3</v>
      </c>
      <c r="BF117" s="16">
        <f>IFERROR(__xludf.DUMMYFUNCTION("""COMPUTED_VALUE"""),2.0)</f>
        <v>2</v>
      </c>
      <c r="BG117" s="16">
        <f>IFERROR(__xludf.DUMMYFUNCTION("""COMPUTED_VALUE"""),0.0)</f>
        <v>0</v>
      </c>
      <c r="BH117" s="16">
        <f>IFERROR(__xludf.DUMMYFUNCTION("""COMPUTED_VALUE"""),1.0)</f>
        <v>1</v>
      </c>
      <c r="BI117" s="16">
        <f>IFERROR(__xludf.DUMMYFUNCTION("""COMPUTED_VALUE"""),0.0)</f>
        <v>0</v>
      </c>
      <c r="BJ117" s="16">
        <f>IFERROR(__xludf.DUMMYFUNCTION("""COMPUTED_VALUE"""),2.0)</f>
        <v>2</v>
      </c>
      <c r="BK117" s="16">
        <f>IFERROR(__xludf.DUMMYFUNCTION("""COMPUTED_VALUE"""),5.0)</f>
        <v>5</v>
      </c>
      <c r="BL117" s="16">
        <f>IFERROR(__xludf.DUMMYFUNCTION("""COMPUTED_VALUE"""),5.0)</f>
        <v>5</v>
      </c>
      <c r="BM117" s="16">
        <f>IFERROR(__xludf.DUMMYFUNCTION("""COMPUTED_VALUE"""),0.0)</f>
        <v>0</v>
      </c>
      <c r="BN117" s="16">
        <f>IFERROR(__xludf.DUMMYFUNCTION("""COMPUTED_VALUE"""),0.0)</f>
        <v>0</v>
      </c>
      <c r="BO117" s="16">
        <f>IFERROR(__xludf.DUMMYFUNCTION("""COMPUTED_VALUE"""),0.0)</f>
        <v>0</v>
      </c>
      <c r="BP117" s="16">
        <f>IFERROR(__xludf.DUMMYFUNCTION("""COMPUTED_VALUE"""),0.0)</f>
        <v>0</v>
      </c>
      <c r="BQ117" s="16">
        <f>IFERROR(__xludf.DUMMYFUNCTION("""COMPUTED_VALUE"""),5.0)</f>
        <v>5</v>
      </c>
      <c r="BR117" s="16">
        <f>IFERROR(__xludf.DUMMYFUNCTION("""COMPUTED_VALUE"""),5.0)</f>
        <v>5</v>
      </c>
      <c r="BS117" s="16">
        <f>IFERROR(__xludf.DUMMYFUNCTION("""COMPUTED_VALUE"""),0.0)</f>
        <v>0</v>
      </c>
      <c r="BT117" s="16">
        <f>IFERROR(__xludf.DUMMYFUNCTION("""COMPUTED_VALUE"""),0.0)</f>
        <v>0</v>
      </c>
      <c r="BU117" s="16">
        <f>IFERROR(__xludf.DUMMYFUNCTION("""COMPUTED_VALUE"""),0.0)</f>
        <v>0</v>
      </c>
      <c r="BV117" s="16">
        <f>IFERROR(__xludf.DUMMYFUNCTION("""COMPUTED_VALUE"""),0.0)</f>
        <v>0</v>
      </c>
      <c r="BW117" s="16">
        <f>IFERROR(__xludf.DUMMYFUNCTION("""COMPUTED_VALUE"""),-1.0)</f>
        <v>-1</v>
      </c>
      <c r="BX117" s="16">
        <f>IFERROR(__xludf.DUMMYFUNCTION("""COMPUTED_VALUE"""),-1.0)</f>
        <v>-1</v>
      </c>
      <c r="BY117" s="16" t="str">
        <f>IFERROR(__xludf.DUMMYFUNCTION("""COMPUTED_VALUE"""),"S(6)")</f>
        <v>S(6)</v>
      </c>
      <c r="BZ117" s="16" t="str">
        <f>IFERROR(__xludf.DUMMYFUNCTION("""COMPUTED_VALUE"""),"S(6)")</f>
        <v>S(6)</v>
      </c>
      <c r="CA117" s="16" t="str">
        <f>IFERROR(__xludf.DUMMYFUNCTION("""COMPUTED_VALUE"""),"S(6)")</f>
        <v>S(6)</v>
      </c>
      <c r="CB117" s="16"/>
      <c r="CC117" s="16"/>
      <c r="CD117" s="16">
        <f>IFERROR(__xludf.DUMMYFUNCTION("""COMPUTED_VALUE"""),6.0)</f>
        <v>6</v>
      </c>
      <c r="CE117" s="16"/>
      <c r="CF117" s="16"/>
      <c r="CG117" s="16" t="str">
        <f>IFERROR(__xludf.DUMMYFUNCTION("""COMPUTED_VALUE"""),"3-0")</f>
        <v>3-0</v>
      </c>
      <c r="CH117" s="16">
        <f>IFERROR(__xludf.DUMMYFUNCTION("""COMPUTED_VALUE"""),3.0)</f>
        <v>3</v>
      </c>
      <c r="CI117" s="16">
        <f>IFERROR(__xludf.DUMMYFUNCTION("""COMPUTED_VALUE"""),0.0)</f>
        <v>0</v>
      </c>
      <c r="CJ117" s="16">
        <f>IFERROR(__xludf.DUMMYFUNCTION("""COMPUTED_VALUE"""),0.0)</f>
        <v>0</v>
      </c>
      <c r="CK117" s="16">
        <f>IFERROR(__xludf.DUMMYFUNCTION("""COMPUTED_VALUE"""),0.0)</f>
        <v>0</v>
      </c>
      <c r="CL117" s="16" t="str">
        <f>IFERROR(__xludf.DUMMYFUNCTION("""COMPUTED_VALUE"""),"1WR-C")</f>
        <v>1WR-C</v>
      </c>
      <c r="CM117" s="16" t="str">
        <f>IFERROR(__xludf.DUMMYFUNCTION("""COMPUTED_VALUE"""),"E")</f>
        <v>E</v>
      </c>
      <c r="CN117" s="16">
        <f>IFERROR(__xludf.DUMMYFUNCTION("""COMPUTED_VALUE"""),10.0)</f>
        <v>10</v>
      </c>
      <c r="CO117" s="16" t="str">
        <f>IFERROR(__xludf.DUMMYFUNCTION("""COMPUTED_VALUE"""),"C")</f>
        <v>C</v>
      </c>
      <c r="CP117" s="16" t="str">
        <f>IFERROR(__xludf.DUMMYFUNCTION("""COMPUTED_VALUE"""),"3p50")</f>
        <v>3p50</v>
      </c>
      <c r="CQ117" s="16">
        <f>IFERROR(__xludf.DUMMYFUNCTION("""COMPUTED_VALUE"""),15.0)</f>
        <v>15</v>
      </c>
      <c r="CR117" s="16">
        <f>IFERROR(__xludf.DUMMYFUNCTION("""COMPUTED_VALUE"""),19.0)</f>
        <v>19</v>
      </c>
      <c r="CS117" s="16">
        <f>IFERROR(__xludf.DUMMYFUNCTION("""COMPUTED_VALUE"""),34.0)</f>
        <v>34</v>
      </c>
      <c r="CT117" s="16">
        <f>IFERROR(__xludf.DUMMYFUNCTION("""COMPUTED_VALUE"""),15.0)</f>
        <v>15</v>
      </c>
      <c r="CU117" s="16">
        <f>IFERROR(__xludf.DUMMYFUNCTION("""COMPUTED_VALUE"""),19.0)</f>
        <v>19</v>
      </c>
      <c r="CV117" s="179">
        <f>IFERROR(__xludf.DUMMYFUNCTION("""COMPUTED_VALUE"""),18.333333333333332)</f>
        <v>18.33333333</v>
      </c>
      <c r="CW117" s="179">
        <f>IFERROR(__xludf.DUMMYFUNCTION("""COMPUTED_VALUE"""),2.0)</f>
        <v>2</v>
      </c>
      <c r="CX117" s="179">
        <f>IFERROR(__xludf.DUMMYFUNCTION("""COMPUTED_VALUE"""),0.0)</f>
        <v>0</v>
      </c>
      <c r="CY117" s="16" t="str">
        <f>IFERROR(__xludf.DUMMYFUNCTION("""COMPUTED_VALUE"""),"SP")</f>
        <v>SP</v>
      </c>
      <c r="CZ117" s="16"/>
      <c r="DA117" s="16"/>
      <c r="DB117" s="16"/>
      <c r="DC117" s="16"/>
      <c r="DD117" s="16"/>
      <c r="DE117" s="16"/>
      <c r="DF117" s="16"/>
      <c r="DG117" s="16"/>
      <c r="DH117" s="16"/>
      <c r="DI117" s="16"/>
      <c r="DJ117" s="16"/>
      <c r="DK117" s="16"/>
    </row>
    <row r="118">
      <c r="A118" s="16">
        <f>IFERROR(__xludf.DUMMYFUNCTION("""COMPUTED_VALUE"""),12571.0)</f>
        <v>12571</v>
      </c>
      <c r="B118" s="16" t="str">
        <f>IFERROR(__xludf.DUMMYFUNCTION("""COMPUTED_VALUE"""),"Bailey Ober")</f>
        <v>Bailey Ober</v>
      </c>
      <c r="C118" s="153">
        <f>IFERROR(__xludf.DUMMYFUNCTION("""COMPUTED_VALUE"""),1.46)</f>
        <v>1.46</v>
      </c>
      <c r="D118" s="16"/>
      <c r="E118" s="16" t="str">
        <f>IFERROR(__xludf.DUMMYFUNCTION("""COMPUTED_VALUE"""),"R")</f>
        <v>R</v>
      </c>
      <c r="F118" s="16">
        <f>IFERROR(__xludf.DUMMYFUNCTION("""COMPUTED_VALUE"""),179.0)</f>
        <v>179</v>
      </c>
      <c r="G118" s="16">
        <f>IFERROR(__xludf.DUMMYFUNCTION("""COMPUTED_VALUE"""),34.0)</f>
        <v>34</v>
      </c>
      <c r="H118" s="16">
        <f>IFERROR(__xludf.DUMMYFUNCTION("""COMPUTED_VALUE"""),34.0)</f>
        <v>34</v>
      </c>
      <c r="I118" s="16">
        <f>IFERROR(__xludf.DUMMYFUNCTION("""COMPUTED_VALUE"""),1.0)</f>
        <v>1</v>
      </c>
      <c r="J118" s="16">
        <f>IFERROR(__xludf.DUMMYFUNCTION("""COMPUTED_VALUE"""),1.0)</f>
        <v>1</v>
      </c>
      <c r="K118" s="16">
        <f>IFERROR(__xludf.DUMMYFUNCTION("""COMPUTED_VALUE"""),3.0)</f>
        <v>3</v>
      </c>
      <c r="L118" s="16">
        <f>IFERROR(__xludf.DUMMYFUNCTION("""COMPUTED_VALUE"""),3.0)</f>
        <v>3</v>
      </c>
      <c r="M118" s="16">
        <f>IFERROR(__xludf.DUMMYFUNCTION("""COMPUTED_VALUE"""),1.0)</f>
        <v>1</v>
      </c>
      <c r="N118" s="16">
        <f>IFERROR(__xludf.DUMMYFUNCTION("""COMPUTED_VALUE"""),8.0)</f>
        <v>8</v>
      </c>
      <c r="O118" s="16">
        <f>IFERROR(__xludf.DUMMYFUNCTION("""COMPUTED_VALUE"""),3.0)</f>
        <v>3</v>
      </c>
      <c r="P118" s="16">
        <f>IFERROR(__xludf.DUMMYFUNCTION("""COMPUTED_VALUE"""),0.0)</f>
        <v>0</v>
      </c>
      <c r="Q118" s="16">
        <f>IFERROR(__xludf.DUMMYFUNCTION("""COMPUTED_VALUE"""),3.0)</f>
        <v>3</v>
      </c>
      <c r="R118" s="16">
        <f>IFERROR(__xludf.DUMMYFUNCTION("""COMPUTED_VALUE"""),0.0)</f>
        <v>0</v>
      </c>
      <c r="S118" s="16">
        <f>IFERROR(__xludf.DUMMYFUNCTION("""COMPUTED_VALUE"""),9.5)</f>
        <v>9.5</v>
      </c>
      <c r="T118" s="16">
        <f>IFERROR(__xludf.DUMMYFUNCTION("""COMPUTED_VALUE"""),11.0)</f>
        <v>11</v>
      </c>
      <c r="U118" s="16">
        <f>IFERROR(__xludf.DUMMYFUNCTION("""COMPUTED_VALUE"""),1.0)</f>
        <v>1</v>
      </c>
      <c r="V118" s="16">
        <f>IFERROR(__xludf.DUMMYFUNCTION("""COMPUTED_VALUE"""),1.0)</f>
        <v>1</v>
      </c>
      <c r="W118" s="16">
        <f>IFERROR(__xludf.DUMMYFUNCTION("""COMPUTED_VALUE"""),2.0)</f>
        <v>2</v>
      </c>
      <c r="X118" s="16">
        <f>IFERROR(__xludf.DUMMYFUNCTION("""COMPUTED_VALUE"""),2.0)</f>
        <v>2</v>
      </c>
      <c r="Y118" s="16">
        <f>IFERROR(__xludf.DUMMYFUNCTION("""COMPUTED_VALUE"""),10.5)</f>
        <v>10.5</v>
      </c>
      <c r="Z118" s="16">
        <f>IFERROR(__xludf.DUMMYFUNCTION("""COMPUTED_VALUE"""),19.1)</f>
        <v>19.1</v>
      </c>
      <c r="AA118" s="16">
        <f>IFERROR(__xludf.DUMMYFUNCTION("""COMPUTED_VALUE"""),2.0)</f>
        <v>2</v>
      </c>
      <c r="AB118" s="16">
        <f>IFERROR(__xludf.DUMMYFUNCTION("""COMPUTED_VALUE"""),1.0)</f>
        <v>1</v>
      </c>
      <c r="AC118" s="16">
        <f>IFERROR(__xludf.DUMMYFUNCTION("""COMPUTED_VALUE"""),10.0)</f>
        <v>10</v>
      </c>
      <c r="AD118" s="16">
        <f>IFERROR(__xludf.DUMMYFUNCTION("""COMPUTED_VALUE"""),5.0)</f>
        <v>5</v>
      </c>
      <c r="AE118" s="16">
        <f>IFERROR(__xludf.DUMMYFUNCTION("""COMPUTED_VALUE"""),22.0)</f>
        <v>22</v>
      </c>
      <c r="AF118" s="16">
        <f>IFERROR(__xludf.DUMMYFUNCTION("""COMPUTED_VALUE"""),29.0)</f>
        <v>29</v>
      </c>
      <c r="AG118" s="16">
        <f>IFERROR(__xludf.DUMMYFUNCTION("""COMPUTED_VALUE"""),1.0)</f>
        <v>1</v>
      </c>
      <c r="AH118" s="16">
        <f>IFERROR(__xludf.DUMMYFUNCTION("""COMPUTED_VALUE"""),0.0)</f>
        <v>0</v>
      </c>
      <c r="AI118" s="16">
        <f>IFERROR(__xludf.DUMMYFUNCTION("""COMPUTED_VALUE"""),2.0)</f>
        <v>2</v>
      </c>
      <c r="AJ118" s="16">
        <f>IFERROR(__xludf.DUMMYFUNCTION("""COMPUTED_VALUE"""),0.0)</f>
        <v>0</v>
      </c>
      <c r="AK118" s="16">
        <f>IFERROR(__xludf.DUMMYFUNCTION("""COMPUTED_VALUE"""),6.9)</f>
        <v>6.9</v>
      </c>
      <c r="AL118" s="16">
        <f>IFERROR(__xludf.DUMMYFUNCTION("""COMPUTED_VALUE"""),7.6)</f>
        <v>7.6</v>
      </c>
      <c r="AM118" s="16">
        <f>IFERROR(__xludf.DUMMYFUNCTION("""COMPUTED_VALUE"""),1.0)</f>
        <v>1</v>
      </c>
      <c r="AN118" s="16">
        <f>IFERROR(__xludf.DUMMYFUNCTION("""COMPUTED_VALUE"""),1.0)</f>
        <v>1</v>
      </c>
      <c r="AO118" s="16">
        <f>IFERROR(__xludf.DUMMYFUNCTION("""COMPUTED_VALUE"""),1.0)</f>
        <v>1</v>
      </c>
      <c r="AP118" s="16">
        <f>IFERROR(__xludf.DUMMYFUNCTION("""COMPUTED_VALUE"""),1.0)</f>
        <v>1</v>
      </c>
      <c r="AQ118" s="16">
        <f>IFERROR(__xludf.DUMMYFUNCTION("""COMPUTED_VALUE"""),11.6)</f>
        <v>11.6</v>
      </c>
      <c r="AR118" s="16">
        <f>IFERROR(__xludf.DUMMYFUNCTION("""COMPUTED_VALUE"""),15.4)</f>
        <v>15.4</v>
      </c>
      <c r="AS118" s="16">
        <f>IFERROR(__xludf.DUMMYFUNCTION("""COMPUTED_VALUE"""),1.0)</f>
        <v>1</v>
      </c>
      <c r="AT118" s="16">
        <f>IFERROR(__xludf.DUMMYFUNCTION("""COMPUTED_VALUE"""),1.0)</f>
        <v>1</v>
      </c>
      <c r="AU118" s="16">
        <f>IFERROR(__xludf.DUMMYFUNCTION("""COMPUTED_VALUE"""),2.0)</f>
        <v>2</v>
      </c>
      <c r="AV118" s="16">
        <f>IFERROR(__xludf.DUMMYFUNCTION("""COMPUTED_VALUE"""),2.0)</f>
        <v>2</v>
      </c>
      <c r="AW118" s="16">
        <f>IFERROR(__xludf.DUMMYFUNCTION("""COMPUTED_VALUE"""),2.6)</f>
        <v>2.6</v>
      </c>
      <c r="AX118" s="16">
        <f>IFERROR(__xludf.DUMMYFUNCTION("""COMPUTED_VALUE"""),3.4)</f>
        <v>3.4</v>
      </c>
      <c r="AY118" s="16">
        <f>IFERROR(__xludf.DUMMYFUNCTION("""COMPUTED_VALUE"""),-1.0)</f>
        <v>-1</v>
      </c>
      <c r="AZ118" s="16">
        <f>IFERROR(__xludf.DUMMYFUNCTION("""COMPUTED_VALUE"""),-1.0)</f>
        <v>-1</v>
      </c>
      <c r="BA118" s="16">
        <f>IFERROR(__xludf.DUMMYFUNCTION("""COMPUTED_VALUE"""),-5.0)</f>
        <v>-5</v>
      </c>
      <c r="BB118" s="16">
        <f>IFERROR(__xludf.DUMMYFUNCTION("""COMPUTED_VALUE"""),-5.0)</f>
        <v>-5</v>
      </c>
      <c r="BC118" s="16"/>
      <c r="BD118" s="16"/>
      <c r="BE118" s="16">
        <f>IFERROR(__xludf.DUMMYFUNCTION("""COMPUTED_VALUE"""),4.0)</f>
        <v>4</v>
      </c>
      <c r="BF118" s="16">
        <f>IFERROR(__xludf.DUMMYFUNCTION("""COMPUTED_VALUE"""),5.0)</f>
        <v>5</v>
      </c>
      <c r="BG118" s="16">
        <f>IFERROR(__xludf.DUMMYFUNCTION("""COMPUTED_VALUE"""),-1.0)</f>
        <v>-1</v>
      </c>
      <c r="BH118" s="16">
        <f>IFERROR(__xludf.DUMMYFUNCTION("""COMPUTED_VALUE"""),-2.0)</f>
        <v>-2</v>
      </c>
      <c r="BI118" s="16">
        <f>IFERROR(__xludf.DUMMYFUNCTION("""COMPUTED_VALUE"""),-2.0)</f>
        <v>-2</v>
      </c>
      <c r="BJ118" s="16">
        <f>IFERROR(__xludf.DUMMYFUNCTION("""COMPUTED_VALUE"""),-4.0)</f>
        <v>-4</v>
      </c>
      <c r="BK118" s="16">
        <f>IFERROR(__xludf.DUMMYFUNCTION("""COMPUTED_VALUE"""),0.0)</f>
        <v>0</v>
      </c>
      <c r="BL118" s="16">
        <f>IFERROR(__xludf.DUMMYFUNCTION("""COMPUTED_VALUE"""),0.0)</f>
        <v>0</v>
      </c>
      <c r="BM118" s="16">
        <f>IFERROR(__xludf.DUMMYFUNCTION("""COMPUTED_VALUE"""),1.0)</f>
        <v>1</v>
      </c>
      <c r="BN118" s="16">
        <f>IFERROR(__xludf.DUMMYFUNCTION("""COMPUTED_VALUE"""),1.0)</f>
        <v>1</v>
      </c>
      <c r="BO118" s="16">
        <f>IFERROR(__xludf.DUMMYFUNCTION("""COMPUTED_VALUE"""),1.0)</f>
        <v>1</v>
      </c>
      <c r="BP118" s="16">
        <f>IFERROR(__xludf.DUMMYFUNCTION("""COMPUTED_VALUE"""),1.0)</f>
        <v>1</v>
      </c>
      <c r="BQ118" s="16">
        <f>IFERROR(__xludf.DUMMYFUNCTION("""COMPUTED_VALUE"""),6.0)</f>
        <v>6</v>
      </c>
      <c r="BR118" s="16">
        <f>IFERROR(__xludf.DUMMYFUNCTION("""COMPUTED_VALUE"""),6.0)</f>
        <v>6</v>
      </c>
      <c r="BS118" s="16">
        <f>IFERROR(__xludf.DUMMYFUNCTION("""COMPUTED_VALUE"""),1.0)</f>
        <v>1</v>
      </c>
      <c r="BT118" s="16">
        <f>IFERROR(__xludf.DUMMYFUNCTION("""COMPUTED_VALUE"""),1.0)</f>
        <v>1</v>
      </c>
      <c r="BU118" s="16">
        <f>IFERROR(__xludf.DUMMYFUNCTION("""COMPUTED_VALUE"""),2.0)</f>
        <v>2</v>
      </c>
      <c r="BV118" s="16">
        <f>IFERROR(__xludf.DUMMYFUNCTION("""COMPUTED_VALUE"""),2.0)</f>
        <v>2</v>
      </c>
      <c r="BW118" s="16">
        <f>IFERROR(__xludf.DUMMYFUNCTION("""COMPUTED_VALUE"""),-5.0)</f>
        <v>-5</v>
      </c>
      <c r="BX118" s="16">
        <f>IFERROR(__xludf.DUMMYFUNCTION("""COMPUTED_VALUE"""),-5.0)</f>
        <v>-5</v>
      </c>
      <c r="BY118" s="16" t="str">
        <f>IFERROR(__xludf.DUMMYFUNCTION("""COMPUTED_VALUE"""),"S(6)")</f>
        <v>S(6)</v>
      </c>
      <c r="BZ118" s="16" t="str">
        <f>IFERROR(__xludf.DUMMYFUNCTION("""COMPUTED_VALUE"""),"S(6)")</f>
        <v>S(6)</v>
      </c>
      <c r="CA118" s="16" t="str">
        <f>IFERROR(__xludf.DUMMYFUNCTION("""COMPUTED_VALUE"""),"S(6)")</f>
        <v>S(6)</v>
      </c>
      <c r="CB118" s="16"/>
      <c r="CC118" s="16"/>
      <c r="CD118" s="16">
        <f>IFERROR(__xludf.DUMMYFUNCTION("""COMPUTED_VALUE"""),6.0)</f>
        <v>6</v>
      </c>
      <c r="CE118" s="16"/>
      <c r="CF118" s="16"/>
      <c r="CG118" s="16" t="str">
        <f>IFERROR(__xludf.DUMMYFUNCTION("""COMPUTED_VALUE"""),"2-8")</f>
        <v>2-8</v>
      </c>
      <c r="CH118" s="16">
        <f>IFERROR(__xludf.DUMMYFUNCTION("""COMPUTED_VALUE"""),2.0)</f>
        <v>2</v>
      </c>
      <c r="CI118" s="16">
        <f>IFERROR(__xludf.DUMMYFUNCTION("""COMPUTED_VALUE"""),8.0)</f>
        <v>8</v>
      </c>
      <c r="CJ118" s="16">
        <f>IFERROR(__xludf.DUMMYFUNCTION("""COMPUTED_VALUE"""),0.0)</f>
        <v>0</v>
      </c>
      <c r="CK118" s="16">
        <f>IFERROR(__xludf.DUMMYFUNCTION("""COMPUTED_VALUE"""),0.0)</f>
        <v>0</v>
      </c>
      <c r="CL118" s="16" t="str">
        <f>IFERROR(__xludf.DUMMYFUNCTION("""COMPUTED_VALUE"""),"1WR-C")</f>
        <v>1WR-C</v>
      </c>
      <c r="CM118" s="16" t="str">
        <f>IFERROR(__xludf.DUMMYFUNCTION("""COMPUTED_VALUE"""),"E")</f>
        <v>E</v>
      </c>
      <c r="CN118" s="16">
        <f>IFERROR(__xludf.DUMMYFUNCTION("""COMPUTED_VALUE"""),10.0)</f>
        <v>10</v>
      </c>
      <c r="CO118" s="16" t="str">
        <f>IFERROR(__xludf.DUMMYFUNCTION("""COMPUTED_VALUE"""),"C")</f>
        <v>C</v>
      </c>
      <c r="CP118" s="16" t="str">
        <f>IFERROR(__xludf.DUMMYFUNCTION("""COMPUTED_VALUE"""),"1p70")</f>
        <v>1p70</v>
      </c>
      <c r="CQ118" s="16">
        <f>IFERROR(__xludf.DUMMYFUNCTION("""COMPUTED_VALUE"""),19.0)</f>
        <v>19</v>
      </c>
      <c r="CR118" s="16">
        <f>IFERROR(__xludf.DUMMYFUNCTION("""COMPUTED_VALUE"""),7.0)</f>
        <v>7</v>
      </c>
      <c r="CS118" s="16">
        <f>IFERROR(__xludf.DUMMYFUNCTION("""COMPUTED_VALUE"""),26.0)</f>
        <v>26</v>
      </c>
      <c r="CT118" s="16">
        <f>IFERROR(__xludf.DUMMYFUNCTION("""COMPUTED_VALUE"""),19.0)</f>
        <v>19</v>
      </c>
      <c r="CU118" s="16">
        <f>IFERROR(__xludf.DUMMYFUNCTION("""COMPUTED_VALUE"""),7.0)</f>
        <v>7</v>
      </c>
      <c r="CV118" s="179">
        <f>IFERROR(__xludf.DUMMYFUNCTION("""COMPUTED_VALUE"""),18.0)</f>
        <v>18</v>
      </c>
      <c r="CW118" s="179">
        <f>IFERROR(__xludf.DUMMYFUNCTION("""COMPUTED_VALUE"""),4.0)</f>
        <v>4</v>
      </c>
      <c r="CX118" s="179">
        <f>IFERROR(__xludf.DUMMYFUNCTION("""COMPUTED_VALUE"""),3.0)</f>
        <v>3</v>
      </c>
      <c r="CY118" s="16" t="str">
        <f>IFERROR(__xludf.DUMMYFUNCTION("""COMPUTED_VALUE"""),"SP")</f>
        <v>SP</v>
      </c>
      <c r="CZ118" s="16"/>
      <c r="DA118" s="16"/>
      <c r="DB118" s="16"/>
      <c r="DC118" s="16"/>
      <c r="DD118" s="16"/>
      <c r="DE118" s="16"/>
      <c r="DF118" s="16"/>
      <c r="DG118" s="16"/>
      <c r="DH118" s="16"/>
      <c r="DI118" s="16"/>
      <c r="DJ118" s="16"/>
      <c r="DK118" s="16"/>
    </row>
    <row r="119">
      <c r="A119" s="16">
        <f>IFERROR(__xludf.DUMMYFUNCTION("""COMPUTED_VALUE"""),12675.0)</f>
        <v>12675</v>
      </c>
      <c r="B119" s="16" t="str">
        <f>IFERROR(__xludf.DUMMYFUNCTION("""COMPUTED_VALUE"""),"Chris Martin")</f>
        <v>Chris Martin</v>
      </c>
      <c r="C119" s="153">
        <f>IFERROR(__xludf.DUMMYFUNCTION("""COMPUTED_VALUE"""),0.22)</f>
        <v>0.22</v>
      </c>
      <c r="D119" s="16"/>
      <c r="E119" s="16" t="str">
        <f>IFERROR(__xludf.DUMMYFUNCTION("""COMPUTED_VALUE"""),"R")</f>
        <v>R</v>
      </c>
      <c r="F119" s="16">
        <f>IFERROR(__xludf.DUMMYFUNCTION("""COMPUTED_VALUE"""),44.0)</f>
        <v>44</v>
      </c>
      <c r="G119" s="16">
        <f>IFERROR(__xludf.DUMMYFUNCTION("""COMPUTED_VALUE"""),41.0)</f>
        <v>41</v>
      </c>
      <c r="H119" s="16">
        <f>IFERROR(__xludf.DUMMYFUNCTION("""COMPUTED_VALUE"""),31.0)</f>
        <v>31</v>
      </c>
      <c r="I119" s="16">
        <f>IFERROR(__xludf.DUMMYFUNCTION("""COMPUTED_VALUE"""),2.0)</f>
        <v>2</v>
      </c>
      <c r="J119" s="16">
        <f>IFERROR(__xludf.DUMMYFUNCTION("""COMPUTED_VALUE"""),0.0)</f>
        <v>0</v>
      </c>
      <c r="K119" s="16">
        <f>IFERROR(__xludf.DUMMYFUNCTION("""COMPUTED_VALUE"""),6.0)</f>
        <v>6</v>
      </c>
      <c r="L119" s="16">
        <f>IFERROR(__xludf.DUMMYFUNCTION("""COMPUTED_VALUE"""),0.0)</f>
        <v>0</v>
      </c>
      <c r="M119" s="16">
        <f>IFERROR(__xludf.DUMMYFUNCTION("""COMPUTED_VALUE"""),0.0)</f>
        <v>0</v>
      </c>
      <c r="N119" s="16">
        <f>IFERROR(__xludf.DUMMYFUNCTION("""COMPUTED_VALUE"""),0.0)</f>
        <v>0</v>
      </c>
      <c r="O119" s="16">
        <f>IFERROR(__xludf.DUMMYFUNCTION("""COMPUTED_VALUE"""),3.0)</f>
        <v>3</v>
      </c>
      <c r="P119" s="16">
        <f>IFERROR(__xludf.DUMMYFUNCTION("""COMPUTED_VALUE"""),3.0)</f>
        <v>3</v>
      </c>
      <c r="Q119" s="16">
        <f>IFERROR(__xludf.DUMMYFUNCTION("""COMPUTED_VALUE"""),3.0)</f>
        <v>3</v>
      </c>
      <c r="R119" s="16">
        <f>IFERROR(__xludf.DUMMYFUNCTION("""COMPUTED_VALUE"""),3.0)</f>
        <v>3</v>
      </c>
      <c r="S119" s="16">
        <f>IFERROR(__xludf.DUMMYFUNCTION("""COMPUTED_VALUE"""),21.4)</f>
        <v>21.4</v>
      </c>
      <c r="T119" s="16">
        <f>IFERROR(__xludf.DUMMYFUNCTION("""COMPUTED_VALUE"""),17.4)</f>
        <v>17.4</v>
      </c>
      <c r="U119" s="16">
        <f>IFERROR(__xludf.DUMMYFUNCTION("""COMPUTED_VALUE"""),-1.0)</f>
        <v>-1</v>
      </c>
      <c r="V119" s="16">
        <f>IFERROR(__xludf.DUMMYFUNCTION("""COMPUTED_VALUE"""),0.0)</f>
        <v>0</v>
      </c>
      <c r="W119" s="16">
        <f>IFERROR(__xludf.DUMMYFUNCTION("""COMPUTED_VALUE"""),-2.0)</f>
        <v>-2</v>
      </c>
      <c r="X119" s="16">
        <f>IFERROR(__xludf.DUMMYFUNCTION("""COMPUTED_VALUE"""),0.0)</f>
        <v>0</v>
      </c>
      <c r="Y119" s="16">
        <f>IFERROR(__xludf.DUMMYFUNCTION("""COMPUTED_VALUE"""),21.4)</f>
        <v>21.4</v>
      </c>
      <c r="Z119" s="16">
        <f>IFERROR(__xludf.DUMMYFUNCTION("""COMPUTED_VALUE"""),17.4)</f>
        <v>17.4</v>
      </c>
      <c r="AA119" s="16">
        <f>IFERROR(__xludf.DUMMYFUNCTION("""COMPUTED_VALUE"""),1.0)</f>
        <v>1</v>
      </c>
      <c r="AB119" s="16">
        <f>IFERROR(__xludf.DUMMYFUNCTION("""COMPUTED_VALUE"""),1.0)</f>
        <v>1</v>
      </c>
      <c r="AC119" s="16">
        <f>IFERROR(__xludf.DUMMYFUNCTION("""COMPUTED_VALUE"""),5.0)</f>
        <v>5</v>
      </c>
      <c r="AD119" s="16">
        <f>IFERROR(__xludf.DUMMYFUNCTION("""COMPUTED_VALUE"""),5.0)</f>
        <v>5</v>
      </c>
      <c r="AE119" s="16">
        <f>IFERROR(__xludf.DUMMYFUNCTION("""COMPUTED_VALUE"""),23.8)</f>
        <v>23.8</v>
      </c>
      <c r="AF119" s="16">
        <f>IFERROR(__xludf.DUMMYFUNCTION("""COMPUTED_VALUE"""),26.3)</f>
        <v>26.3</v>
      </c>
      <c r="AG119" s="16">
        <f>IFERROR(__xludf.DUMMYFUNCTION("""COMPUTED_VALUE"""),0.0)</f>
        <v>0</v>
      </c>
      <c r="AH119" s="16">
        <f>IFERROR(__xludf.DUMMYFUNCTION("""COMPUTED_VALUE"""),0.0)</f>
        <v>0</v>
      </c>
      <c r="AI119" s="16">
        <f>IFERROR(__xludf.DUMMYFUNCTION("""COMPUTED_VALUE"""),0.0)</f>
        <v>0</v>
      </c>
      <c r="AJ119" s="16">
        <f>IFERROR(__xludf.DUMMYFUNCTION("""COMPUTED_VALUE"""),0.0)</f>
        <v>0</v>
      </c>
      <c r="AK119" s="16">
        <f>IFERROR(__xludf.DUMMYFUNCTION("""COMPUTED_VALUE"""),20.599999999999998)</f>
        <v>20.6</v>
      </c>
      <c r="AL119" s="16">
        <f>IFERROR(__xludf.DUMMYFUNCTION("""COMPUTED_VALUE"""),14.599999999999998)</f>
        <v>14.6</v>
      </c>
      <c r="AM119" s="16">
        <f>IFERROR(__xludf.DUMMYFUNCTION("""COMPUTED_VALUE"""),-1.0)</f>
        <v>-1</v>
      </c>
      <c r="AN119" s="16">
        <f>IFERROR(__xludf.DUMMYFUNCTION("""COMPUTED_VALUE"""),0.0)</f>
        <v>0</v>
      </c>
      <c r="AO119" s="16">
        <f>IFERROR(__xludf.DUMMYFUNCTION("""COMPUTED_VALUE"""),-1.0)</f>
        <v>-1</v>
      </c>
      <c r="AP119" s="16">
        <f>IFERROR(__xludf.DUMMYFUNCTION("""COMPUTED_VALUE"""),0.0)</f>
        <v>0</v>
      </c>
      <c r="AQ119" s="16">
        <f>IFERROR(__xludf.DUMMYFUNCTION("""COMPUTED_VALUE"""),20.6)</f>
        <v>20.6</v>
      </c>
      <c r="AR119" s="16">
        <f>IFERROR(__xludf.DUMMYFUNCTION("""COMPUTED_VALUE"""),15.100000000000001)</f>
        <v>15.1</v>
      </c>
      <c r="AS119" s="16">
        <f>IFERROR(__xludf.DUMMYFUNCTION("""COMPUTED_VALUE"""),0.0)</f>
        <v>0</v>
      </c>
      <c r="AT119" s="16">
        <f>IFERROR(__xludf.DUMMYFUNCTION("""COMPUTED_VALUE"""),1.0)</f>
        <v>1</v>
      </c>
      <c r="AU119" s="16">
        <f>IFERROR(__xludf.DUMMYFUNCTION("""COMPUTED_VALUE"""),0.0)</f>
        <v>0</v>
      </c>
      <c r="AV119" s="16">
        <f>IFERROR(__xludf.DUMMYFUNCTION("""COMPUTED_VALUE"""),2.0)</f>
        <v>2</v>
      </c>
      <c r="AW119" s="16">
        <f>IFERROR(__xludf.DUMMYFUNCTION("""COMPUTED_VALUE"""),0.8)</f>
        <v>0.8</v>
      </c>
      <c r="AX119" s="16">
        <f>IFERROR(__xludf.DUMMYFUNCTION("""COMPUTED_VALUE"""),2.8)</f>
        <v>2.8</v>
      </c>
      <c r="AY119" s="16">
        <f>IFERROR(__xludf.DUMMYFUNCTION("""COMPUTED_VALUE"""),2.0)</f>
        <v>2</v>
      </c>
      <c r="AZ119" s="16">
        <f>IFERROR(__xludf.DUMMYFUNCTION("""COMPUTED_VALUE"""),-1.0)</f>
        <v>-1</v>
      </c>
      <c r="BA119" s="16">
        <f>IFERROR(__xludf.DUMMYFUNCTION("""COMPUTED_VALUE"""),10.0)</f>
        <v>10</v>
      </c>
      <c r="BB119" s="16">
        <f>IFERROR(__xludf.DUMMYFUNCTION("""COMPUTED_VALUE"""),-5.0)</f>
        <v>-5</v>
      </c>
      <c r="BC119" s="16">
        <f>IFERROR(__xludf.DUMMYFUNCTION("""COMPUTED_VALUE"""),1.0)</f>
        <v>1</v>
      </c>
      <c r="BD119" s="16">
        <f>IFERROR(__xludf.DUMMYFUNCTION("""COMPUTED_VALUE"""),4.0)</f>
        <v>4</v>
      </c>
      <c r="BE119" s="16">
        <f>IFERROR(__xludf.DUMMYFUNCTION("""COMPUTED_VALUE"""),1.0)</f>
        <v>1</v>
      </c>
      <c r="BF119" s="16">
        <f>IFERROR(__xludf.DUMMYFUNCTION("""COMPUTED_VALUE"""),4.0)</f>
        <v>4</v>
      </c>
      <c r="BG119" s="16">
        <f>IFERROR(__xludf.DUMMYFUNCTION("""COMPUTED_VALUE"""),2.0)</f>
        <v>2</v>
      </c>
      <c r="BH119" s="16">
        <f>IFERROR(__xludf.DUMMYFUNCTION("""COMPUTED_VALUE"""),-1.0)</f>
        <v>-1</v>
      </c>
      <c r="BI119" s="16">
        <f>IFERROR(__xludf.DUMMYFUNCTION("""COMPUTED_VALUE"""),4.0)</f>
        <v>4</v>
      </c>
      <c r="BJ119" s="16">
        <f>IFERROR(__xludf.DUMMYFUNCTION("""COMPUTED_VALUE"""),-2.0)</f>
        <v>-2</v>
      </c>
      <c r="BK119" s="16">
        <f>IFERROR(__xludf.DUMMYFUNCTION("""COMPUTED_VALUE"""),5.0)</f>
        <v>5</v>
      </c>
      <c r="BL119" s="16">
        <f>IFERROR(__xludf.DUMMYFUNCTION("""COMPUTED_VALUE"""),5.0)</f>
        <v>5</v>
      </c>
      <c r="BM119" s="16">
        <f>IFERROR(__xludf.DUMMYFUNCTION("""COMPUTED_VALUE"""),0.0)</f>
        <v>0</v>
      </c>
      <c r="BN119" s="16">
        <f>IFERROR(__xludf.DUMMYFUNCTION("""COMPUTED_VALUE"""),0.0)</f>
        <v>0</v>
      </c>
      <c r="BO119" s="16">
        <f>IFERROR(__xludf.DUMMYFUNCTION("""COMPUTED_VALUE"""),0.0)</f>
        <v>0</v>
      </c>
      <c r="BP119" s="16">
        <f>IFERROR(__xludf.DUMMYFUNCTION("""COMPUTED_VALUE"""),0.0)</f>
        <v>0</v>
      </c>
      <c r="BQ119" s="16">
        <f>IFERROR(__xludf.DUMMYFUNCTION("""COMPUTED_VALUE"""),8.0)</f>
        <v>8</v>
      </c>
      <c r="BR119" s="16">
        <f>IFERROR(__xludf.DUMMYFUNCTION("""COMPUTED_VALUE"""),10.0)</f>
        <v>10</v>
      </c>
      <c r="BS119" s="16">
        <f>IFERROR(__xludf.DUMMYFUNCTION("""COMPUTED_VALUE"""),2.0)</f>
        <v>2</v>
      </c>
      <c r="BT119" s="16">
        <f>IFERROR(__xludf.DUMMYFUNCTION("""COMPUTED_VALUE"""),3.0)</f>
        <v>3</v>
      </c>
      <c r="BU119" s="16">
        <f>IFERROR(__xludf.DUMMYFUNCTION("""COMPUTED_VALUE"""),4.0)</f>
        <v>4</v>
      </c>
      <c r="BV119" s="16">
        <f>IFERROR(__xludf.DUMMYFUNCTION("""COMPUTED_VALUE"""),6.0)</f>
        <v>6</v>
      </c>
      <c r="BW119" s="16">
        <f>IFERROR(__xludf.DUMMYFUNCTION("""COMPUTED_VALUE"""),3.0)</f>
        <v>3</v>
      </c>
      <c r="BX119" s="16">
        <f>IFERROR(__xludf.DUMMYFUNCTION("""COMPUTED_VALUE"""),3.0)</f>
        <v>3</v>
      </c>
      <c r="BY119" s="16" t="str">
        <f>IFERROR(__xludf.DUMMYFUNCTION("""COMPUTED_VALUE"""),"R(1) C(1)")</f>
        <v>R(1) C(1)</v>
      </c>
      <c r="BZ119" s="16" t="str">
        <f>IFERROR(__xludf.DUMMYFUNCTION("""COMPUTED_VALUE"""),"R(1) C(1)")</f>
        <v>R(1) C(1)</v>
      </c>
      <c r="CA119" s="16" t="str">
        <f>IFERROR(__xludf.DUMMYFUNCTION("""COMPUTED_VALUE"""),"R(1)")</f>
        <v>R(1)</v>
      </c>
      <c r="CB119" s="16" t="str">
        <f>IFERROR(__xludf.DUMMYFUNCTION("""COMPUTED_VALUE"""),"C(1)")</f>
        <v>C(1)</v>
      </c>
      <c r="CC119" s="16"/>
      <c r="CD119" s="16"/>
      <c r="CE119" s="16">
        <f>IFERROR(__xludf.DUMMYFUNCTION("""COMPUTED_VALUE"""),1.0)</f>
        <v>1</v>
      </c>
      <c r="CF119" s="16">
        <f>IFERROR(__xludf.DUMMYFUNCTION("""COMPUTED_VALUE"""),1.0)</f>
        <v>1</v>
      </c>
      <c r="CG119" s="16" t="str">
        <f>IFERROR(__xludf.DUMMYFUNCTION("""COMPUTED_VALUE"""),"2-33")</f>
        <v>2-33</v>
      </c>
      <c r="CH119" s="16">
        <f>IFERROR(__xludf.DUMMYFUNCTION("""COMPUTED_VALUE"""),2.0)</f>
        <v>2</v>
      </c>
      <c r="CI119" s="16">
        <f>IFERROR(__xludf.DUMMYFUNCTION("""COMPUTED_VALUE"""),33.0)</f>
        <v>33</v>
      </c>
      <c r="CJ119" s="16">
        <f>IFERROR(__xludf.DUMMYFUNCTION("""COMPUTED_VALUE"""),0.0)</f>
        <v>0</v>
      </c>
      <c r="CK119" s="16">
        <f>IFERROR(__xludf.DUMMYFUNCTION("""COMPUTED_VALUE"""),10.0)</f>
        <v>10</v>
      </c>
      <c r="CL119" s="16" t="str">
        <f>IFERROR(__xludf.DUMMYFUNCTION("""COMPUTED_VALUE"""),"1WR-C")</f>
        <v>1WR-C</v>
      </c>
      <c r="CM119" s="16" t="str">
        <f>IFERROR(__xludf.DUMMYFUNCTION("""COMPUTED_VALUE"""),"E")</f>
        <v>E</v>
      </c>
      <c r="CN119" s="16">
        <f>IFERROR(__xludf.DUMMYFUNCTION("""COMPUTED_VALUE"""),10.0)</f>
        <v>10</v>
      </c>
      <c r="CO119" s="16" t="str">
        <f>IFERROR(__xludf.DUMMYFUNCTION("""COMPUTED_VALUE"""),"C")</f>
        <v>C</v>
      </c>
      <c r="CP119" s="16" t="str">
        <f>IFERROR(__xludf.DUMMYFUNCTION("""COMPUTED_VALUE"""),"4p40")</f>
        <v>4p40</v>
      </c>
      <c r="CQ119" s="16">
        <f>IFERROR(__xludf.DUMMYFUNCTION("""COMPUTED_VALUE"""),29.0)</f>
        <v>29</v>
      </c>
      <c r="CR119" s="16">
        <f>IFERROR(__xludf.DUMMYFUNCTION("""COMPUTED_VALUE"""),9.0)</f>
        <v>9</v>
      </c>
      <c r="CS119" s="16">
        <f>IFERROR(__xludf.DUMMYFUNCTION("""COMPUTED_VALUE"""),38.0)</f>
        <v>38</v>
      </c>
      <c r="CT119" s="16">
        <f>IFERROR(__xludf.DUMMYFUNCTION("""COMPUTED_VALUE"""),29.0)</f>
        <v>29</v>
      </c>
      <c r="CU119" s="16">
        <f>IFERROR(__xludf.DUMMYFUNCTION("""COMPUTED_VALUE"""),9.0)</f>
        <v>9</v>
      </c>
      <c r="CV119" s="179">
        <f>IFERROR(__xludf.DUMMYFUNCTION("""COMPUTED_VALUE"""),17.666666666666664)</f>
        <v>17.66666667</v>
      </c>
      <c r="CW119" s="179">
        <f>IFERROR(__xludf.DUMMYFUNCTION("""COMPUTED_VALUE"""),1.0)</f>
        <v>1</v>
      </c>
      <c r="CX119" s="179">
        <f>IFERROR(__xludf.DUMMYFUNCTION("""COMPUTED_VALUE"""),1.0)</f>
        <v>1</v>
      </c>
      <c r="CY119" s="16" t="str">
        <f>IFERROR(__xludf.DUMMYFUNCTION("""COMPUTED_VALUE"""),"RP")</f>
        <v>RP</v>
      </c>
      <c r="CZ119" s="16" t="str">
        <f>IFERROR(__xludf.DUMMYFUNCTION("""COMPUTED_VALUE"""),"CP")</f>
        <v>CP</v>
      </c>
      <c r="DA119" s="16"/>
      <c r="DB119" s="16"/>
      <c r="DC119" s="16"/>
      <c r="DD119" s="16"/>
      <c r="DE119" s="16"/>
      <c r="DF119" s="16"/>
      <c r="DG119" s="16"/>
      <c r="DH119" s="16"/>
      <c r="DI119" s="16"/>
      <c r="DJ119" s="16"/>
      <c r="DK119" s="16"/>
    </row>
    <row r="120">
      <c r="A120" s="16">
        <f>IFERROR(__xludf.DUMMYFUNCTION("""COMPUTED_VALUE"""),12605.0)</f>
        <v>12605</v>
      </c>
      <c r="B120" s="16" t="str">
        <f>IFERROR(__xludf.DUMMYFUNCTION("""COMPUTED_VALUE"""),"Brenan Hanifee")</f>
        <v>Brenan Hanifee</v>
      </c>
      <c r="C120" s="153">
        <f>IFERROR(__xludf.DUMMYFUNCTION("""COMPUTED_VALUE"""),1.47)</f>
        <v>1.47</v>
      </c>
      <c r="D120" s="16"/>
      <c r="E120" s="16" t="str">
        <f>IFERROR(__xludf.DUMMYFUNCTION("""COMPUTED_VALUE"""),"R")</f>
        <v>R</v>
      </c>
      <c r="F120" s="16">
        <f>IFERROR(__xludf.DUMMYFUNCTION("""COMPUTED_VALUE"""),29.0)</f>
        <v>29</v>
      </c>
      <c r="G120" s="16">
        <f>IFERROR(__xludf.DUMMYFUNCTION("""COMPUTED_VALUE"""),23.0)</f>
        <v>23</v>
      </c>
      <c r="H120" s="16">
        <f>IFERROR(__xludf.DUMMYFUNCTION("""COMPUTED_VALUE"""),13.0)</f>
        <v>13</v>
      </c>
      <c r="I120" s="16">
        <f>IFERROR(__xludf.DUMMYFUNCTION("""COMPUTED_VALUE"""),-1.0)</f>
        <v>-1</v>
      </c>
      <c r="J120" s="16">
        <f>IFERROR(__xludf.DUMMYFUNCTION("""COMPUTED_VALUE"""),-2.0)</f>
        <v>-2</v>
      </c>
      <c r="K120" s="16">
        <f>IFERROR(__xludf.DUMMYFUNCTION("""COMPUTED_VALUE"""),-3.0)</f>
        <v>-3</v>
      </c>
      <c r="L120" s="16">
        <f>IFERROR(__xludf.DUMMYFUNCTION("""COMPUTED_VALUE"""),-6.0)</f>
        <v>-6</v>
      </c>
      <c r="M120" s="16">
        <f>IFERROR(__xludf.DUMMYFUNCTION("""COMPUTED_VALUE"""),14.0)</f>
        <v>14</v>
      </c>
      <c r="N120" s="16">
        <f>IFERROR(__xludf.DUMMYFUNCTION("""COMPUTED_VALUE"""),0.0)</f>
        <v>0</v>
      </c>
      <c r="O120" s="16">
        <f>IFERROR(__xludf.DUMMYFUNCTION("""COMPUTED_VALUE"""),-2.0)</f>
        <v>-2</v>
      </c>
      <c r="P120" s="16">
        <f>IFERROR(__xludf.DUMMYFUNCTION("""COMPUTED_VALUE"""),3.0)</f>
        <v>3</v>
      </c>
      <c r="Q120" s="16">
        <f>IFERROR(__xludf.DUMMYFUNCTION("""COMPUTED_VALUE"""),-2.0)</f>
        <v>-2</v>
      </c>
      <c r="R120" s="16">
        <f>IFERROR(__xludf.DUMMYFUNCTION("""COMPUTED_VALUE"""),3.0)</f>
        <v>3</v>
      </c>
      <c r="S120" s="16">
        <f>IFERROR(__xludf.DUMMYFUNCTION("""COMPUTED_VALUE"""),9.9)</f>
        <v>9.9</v>
      </c>
      <c r="T120" s="16">
        <f>IFERROR(__xludf.DUMMYFUNCTION("""COMPUTED_VALUE"""),19.1)</f>
        <v>19.1</v>
      </c>
      <c r="U120" s="16">
        <f>IFERROR(__xludf.DUMMYFUNCTION("""COMPUTED_VALUE"""),1.0)</f>
        <v>1</v>
      </c>
      <c r="V120" s="16">
        <f>IFERROR(__xludf.DUMMYFUNCTION("""COMPUTED_VALUE"""),-1.0)</f>
        <v>-1</v>
      </c>
      <c r="W120" s="16">
        <f>IFERROR(__xludf.DUMMYFUNCTION("""COMPUTED_VALUE"""),2.0)</f>
        <v>2</v>
      </c>
      <c r="X120" s="16">
        <f>IFERROR(__xludf.DUMMYFUNCTION("""COMPUTED_VALUE"""),-2.0)</f>
        <v>-2</v>
      </c>
      <c r="Y120" s="16">
        <f>IFERROR(__xludf.DUMMYFUNCTION("""COMPUTED_VALUE"""),23.9)</f>
        <v>23.9</v>
      </c>
      <c r="Z120" s="16">
        <f>IFERROR(__xludf.DUMMYFUNCTION("""COMPUTED_VALUE"""),19.1)</f>
        <v>19.1</v>
      </c>
      <c r="AA120" s="16">
        <f>IFERROR(__xludf.DUMMYFUNCTION("""COMPUTED_VALUE"""),0.0)</f>
        <v>0</v>
      </c>
      <c r="AB120" s="16">
        <f>IFERROR(__xludf.DUMMYFUNCTION("""COMPUTED_VALUE"""),1.0)</f>
        <v>1</v>
      </c>
      <c r="AC120" s="16">
        <f>IFERROR(__xludf.DUMMYFUNCTION("""COMPUTED_VALUE"""),0.0)</f>
        <v>0</v>
      </c>
      <c r="AD120" s="16">
        <f>IFERROR(__xludf.DUMMYFUNCTION("""COMPUTED_VALUE"""),5.0)</f>
        <v>5</v>
      </c>
      <c r="AE120" s="16">
        <f>IFERROR(__xludf.DUMMYFUNCTION("""COMPUTED_VALUE"""),25.7)</f>
        <v>25.7</v>
      </c>
      <c r="AF120" s="16">
        <f>IFERROR(__xludf.DUMMYFUNCTION("""COMPUTED_VALUE"""),26.6)</f>
        <v>26.6</v>
      </c>
      <c r="AG120" s="16">
        <f>IFERROR(__xludf.DUMMYFUNCTION("""COMPUTED_VALUE"""),0.0)</f>
        <v>0</v>
      </c>
      <c r="AH120" s="16">
        <f>IFERROR(__xludf.DUMMYFUNCTION("""COMPUTED_VALUE"""),0.0)</f>
        <v>0</v>
      </c>
      <c r="AI120" s="16">
        <f>IFERROR(__xludf.DUMMYFUNCTION("""COMPUTED_VALUE"""),0.0)</f>
        <v>0</v>
      </c>
      <c r="AJ120" s="16">
        <f>IFERROR(__xludf.DUMMYFUNCTION("""COMPUTED_VALUE"""),0.0)</f>
        <v>0</v>
      </c>
      <c r="AK120" s="16">
        <f>IFERROR(__xludf.DUMMYFUNCTION("""COMPUTED_VALUE"""),8.5)</f>
        <v>8.5</v>
      </c>
      <c r="AL120" s="16">
        <f>IFERROR(__xludf.DUMMYFUNCTION("""COMPUTED_VALUE"""),19.1)</f>
        <v>19.1</v>
      </c>
      <c r="AM120" s="16">
        <f>IFERROR(__xludf.DUMMYFUNCTION("""COMPUTED_VALUE"""),1.0)</f>
        <v>1</v>
      </c>
      <c r="AN120" s="16">
        <f>IFERROR(__xludf.DUMMYFUNCTION("""COMPUTED_VALUE"""),-1.0)</f>
        <v>-1</v>
      </c>
      <c r="AO120" s="16">
        <f>IFERROR(__xludf.DUMMYFUNCTION("""COMPUTED_VALUE"""),1.0)</f>
        <v>1</v>
      </c>
      <c r="AP120" s="16">
        <f>IFERROR(__xludf.DUMMYFUNCTION("""COMPUTED_VALUE"""),-1.0)</f>
        <v>-1</v>
      </c>
      <c r="AQ120" s="16">
        <f>IFERROR(__xludf.DUMMYFUNCTION("""COMPUTED_VALUE"""),20.1)</f>
        <v>20.1</v>
      </c>
      <c r="AR120" s="16">
        <f>IFERROR(__xludf.DUMMYFUNCTION("""COMPUTED_VALUE"""),26.6)</f>
        <v>26.6</v>
      </c>
      <c r="AS120" s="16">
        <f>IFERROR(__xludf.DUMMYFUNCTION("""COMPUTED_VALUE"""),0.0)</f>
        <v>0</v>
      </c>
      <c r="AT120" s="16">
        <f>IFERROR(__xludf.DUMMYFUNCTION("""COMPUTED_VALUE"""),-1.0)</f>
        <v>-1</v>
      </c>
      <c r="AU120" s="16">
        <f>IFERROR(__xludf.DUMMYFUNCTION("""COMPUTED_VALUE"""),0.0)</f>
        <v>0</v>
      </c>
      <c r="AV120" s="16">
        <f>IFERROR(__xludf.DUMMYFUNCTION("""COMPUTED_VALUE"""),-2.0)</f>
        <v>-2</v>
      </c>
      <c r="AW120" s="16">
        <f>IFERROR(__xludf.DUMMYFUNCTION("""COMPUTED_VALUE"""),1.4)</f>
        <v>1.4</v>
      </c>
      <c r="AX120" s="16">
        <f>IFERROR(__xludf.DUMMYFUNCTION("""COMPUTED_VALUE"""),0.0)</f>
        <v>0</v>
      </c>
      <c r="AY120" s="16">
        <f>IFERROR(__xludf.DUMMYFUNCTION("""COMPUTED_VALUE"""),1.0)</f>
        <v>1</v>
      </c>
      <c r="AZ120" s="16">
        <f>IFERROR(__xludf.DUMMYFUNCTION("""COMPUTED_VALUE"""),2.0)</f>
        <v>2</v>
      </c>
      <c r="BA120" s="16">
        <f>IFERROR(__xludf.DUMMYFUNCTION("""COMPUTED_VALUE"""),5.0)</f>
        <v>5</v>
      </c>
      <c r="BB120" s="16">
        <f>IFERROR(__xludf.DUMMYFUNCTION("""COMPUTED_VALUE"""),10.0)</f>
        <v>10</v>
      </c>
      <c r="BC120" s="16"/>
      <c r="BD120" s="16">
        <f>IFERROR(__xludf.DUMMYFUNCTION("""COMPUTED_VALUE"""),0.0)</f>
        <v>0</v>
      </c>
      <c r="BE120" s="16">
        <f>IFERROR(__xludf.DUMMYFUNCTION("""COMPUTED_VALUE"""),2.0)</f>
        <v>2</v>
      </c>
      <c r="BF120" s="16">
        <f>IFERROR(__xludf.DUMMYFUNCTION("""COMPUTED_VALUE"""),0.0)</f>
        <v>0</v>
      </c>
      <c r="BG120" s="16">
        <f>IFERROR(__xludf.DUMMYFUNCTION("""COMPUTED_VALUE"""),1.0)</f>
        <v>1</v>
      </c>
      <c r="BH120" s="16">
        <f>IFERROR(__xludf.DUMMYFUNCTION("""COMPUTED_VALUE"""),2.0)</f>
        <v>2</v>
      </c>
      <c r="BI120" s="16">
        <f>IFERROR(__xludf.DUMMYFUNCTION("""COMPUTED_VALUE"""),2.0)</f>
        <v>2</v>
      </c>
      <c r="BJ120" s="16">
        <f>IFERROR(__xludf.DUMMYFUNCTION("""COMPUTED_VALUE"""),4.0)</f>
        <v>4</v>
      </c>
      <c r="BK120" s="16">
        <f>IFERROR(__xludf.DUMMYFUNCTION("""COMPUTED_VALUE"""),0.0)</f>
        <v>0</v>
      </c>
      <c r="BL120" s="16">
        <f>IFERROR(__xludf.DUMMYFUNCTION("""COMPUTED_VALUE"""),5.0)</f>
        <v>5</v>
      </c>
      <c r="BM120" s="16">
        <f>IFERROR(__xludf.DUMMYFUNCTION("""COMPUTED_VALUE"""),1.0)</f>
        <v>1</v>
      </c>
      <c r="BN120" s="16">
        <f>IFERROR(__xludf.DUMMYFUNCTION("""COMPUTED_VALUE"""),0.0)</f>
        <v>0</v>
      </c>
      <c r="BO120" s="16">
        <f>IFERROR(__xludf.DUMMYFUNCTION("""COMPUTED_VALUE"""),1.0)</f>
        <v>1</v>
      </c>
      <c r="BP120" s="16">
        <f>IFERROR(__xludf.DUMMYFUNCTION("""COMPUTED_VALUE"""),0.0)</f>
        <v>0</v>
      </c>
      <c r="BQ120" s="16">
        <f>IFERROR(__xludf.DUMMYFUNCTION("""COMPUTED_VALUE"""),8.0)</f>
        <v>8</v>
      </c>
      <c r="BR120" s="16">
        <f>IFERROR(__xludf.DUMMYFUNCTION("""COMPUTED_VALUE"""),8.0)</f>
        <v>8</v>
      </c>
      <c r="BS120" s="16">
        <f>IFERROR(__xludf.DUMMYFUNCTION("""COMPUTED_VALUE"""),2.0)</f>
        <v>2</v>
      </c>
      <c r="BT120" s="16">
        <f>IFERROR(__xludf.DUMMYFUNCTION("""COMPUTED_VALUE"""),2.0)</f>
        <v>2</v>
      </c>
      <c r="BU120" s="16">
        <f>IFERROR(__xludf.DUMMYFUNCTION("""COMPUTED_VALUE"""),4.0)</f>
        <v>4</v>
      </c>
      <c r="BV120" s="16">
        <f>IFERROR(__xludf.DUMMYFUNCTION("""COMPUTED_VALUE"""),4.0)</f>
        <v>4</v>
      </c>
      <c r="BW120" s="16">
        <f>IFERROR(__xludf.DUMMYFUNCTION("""COMPUTED_VALUE"""),3.0)</f>
        <v>3</v>
      </c>
      <c r="BX120" s="16">
        <f>IFERROR(__xludf.DUMMYFUNCTION("""COMPUTED_VALUE"""),3.0)</f>
        <v>3</v>
      </c>
      <c r="BY120" s="16" t="str">
        <f>IFERROR(__xludf.DUMMYFUNCTION("""COMPUTED_VALUE"""),"S(1) R(1)")</f>
        <v>S(1) R(1)</v>
      </c>
      <c r="BZ120" s="16" t="str">
        <f>IFERROR(__xludf.DUMMYFUNCTION("""COMPUTED_VALUE"""),"S(1) R(1)")</f>
        <v>S(1) R(1)</v>
      </c>
      <c r="CA120" s="16" t="str">
        <f>IFERROR(__xludf.DUMMYFUNCTION("""COMPUTED_VALUE"""),"S(1)")</f>
        <v>S(1)</v>
      </c>
      <c r="CB120" s="16" t="str">
        <f>IFERROR(__xludf.DUMMYFUNCTION("""COMPUTED_VALUE"""),"R(1)")</f>
        <v>R(1)</v>
      </c>
      <c r="CC120" s="16"/>
      <c r="CD120" s="16">
        <f>IFERROR(__xludf.DUMMYFUNCTION("""COMPUTED_VALUE"""),1.0)</f>
        <v>1</v>
      </c>
      <c r="CE120" s="16">
        <f>IFERROR(__xludf.DUMMYFUNCTION("""COMPUTED_VALUE"""),1.0)</f>
        <v>1</v>
      </c>
      <c r="CF120" s="16"/>
      <c r="CG120" s="16" t="str">
        <f>IFERROR(__xludf.DUMMYFUNCTION("""COMPUTED_VALUE"""),"3-50")</f>
        <v>3-50</v>
      </c>
      <c r="CH120" s="16">
        <f>IFERROR(__xludf.DUMMYFUNCTION("""COMPUTED_VALUE"""),3.0)</f>
        <v>3</v>
      </c>
      <c r="CI120" s="16">
        <f>IFERROR(__xludf.DUMMYFUNCTION("""COMPUTED_VALUE"""),50.0)</f>
        <v>50</v>
      </c>
      <c r="CJ120" s="16">
        <f>IFERROR(__xludf.DUMMYFUNCTION("""COMPUTED_VALUE"""),0.0)</f>
        <v>0</v>
      </c>
      <c r="CK120" s="16">
        <f>IFERROR(__xludf.DUMMYFUNCTION("""COMPUTED_VALUE"""),0.0)</f>
        <v>0</v>
      </c>
      <c r="CL120" s="16" t="str">
        <f>IFERROR(__xludf.DUMMYFUNCTION("""COMPUTED_VALUE"""),"1WR-C")</f>
        <v>1WR-C</v>
      </c>
      <c r="CM120" s="16" t="str">
        <f>IFERROR(__xludf.DUMMYFUNCTION("""COMPUTED_VALUE"""),"E")</f>
        <v>E</v>
      </c>
      <c r="CN120" s="16">
        <f>IFERROR(__xludf.DUMMYFUNCTION("""COMPUTED_VALUE"""),10.0)</f>
        <v>10</v>
      </c>
      <c r="CO120" s="16" t="str">
        <f>IFERROR(__xludf.DUMMYFUNCTION("""COMPUTED_VALUE"""),"C")</f>
        <v>C</v>
      </c>
      <c r="CP120" s="16" t="str">
        <f>IFERROR(__xludf.DUMMYFUNCTION("""COMPUTED_VALUE"""),"1p30")</f>
        <v>1p30</v>
      </c>
      <c r="CQ120" s="16">
        <f>IFERROR(__xludf.DUMMYFUNCTION("""COMPUTED_VALUE"""),10.0)</f>
        <v>10</v>
      </c>
      <c r="CR120" s="16">
        <f>IFERROR(__xludf.DUMMYFUNCTION("""COMPUTED_VALUE"""),15.0)</f>
        <v>15</v>
      </c>
      <c r="CS120" s="16">
        <f>IFERROR(__xludf.DUMMYFUNCTION("""COMPUTED_VALUE"""),25.0)</f>
        <v>25</v>
      </c>
      <c r="CT120" s="16">
        <f>IFERROR(__xludf.DUMMYFUNCTION("""COMPUTED_VALUE"""),10.0)</f>
        <v>10</v>
      </c>
      <c r="CU120" s="16">
        <f>IFERROR(__xludf.DUMMYFUNCTION("""COMPUTED_VALUE"""),15.0)</f>
        <v>15</v>
      </c>
      <c r="CV120" s="179">
        <f>IFERROR(__xludf.DUMMYFUNCTION("""COMPUTED_VALUE"""),17.666666666666664)</f>
        <v>17.66666667</v>
      </c>
      <c r="CW120" s="179">
        <f>IFERROR(__xludf.DUMMYFUNCTION("""COMPUTED_VALUE"""),4.0)</f>
        <v>4</v>
      </c>
      <c r="CX120" s="179">
        <f>IFERROR(__xludf.DUMMYFUNCTION("""COMPUTED_VALUE"""),2.0)</f>
        <v>2</v>
      </c>
      <c r="CY120" s="16" t="str">
        <f>IFERROR(__xludf.DUMMYFUNCTION("""COMPUTED_VALUE"""),"SP")</f>
        <v>SP</v>
      </c>
      <c r="CZ120" s="16" t="str">
        <f>IFERROR(__xludf.DUMMYFUNCTION("""COMPUTED_VALUE"""),"RP")</f>
        <v>RP</v>
      </c>
      <c r="DA120" s="16"/>
      <c r="DB120" s="16"/>
      <c r="DC120" s="16"/>
      <c r="DD120" s="16"/>
      <c r="DE120" s="16"/>
      <c r="DF120" s="16"/>
      <c r="DG120" s="16"/>
      <c r="DH120" s="16"/>
      <c r="DI120" s="16"/>
      <c r="DJ120" s="16"/>
      <c r="DK120" s="16"/>
    </row>
    <row r="121">
      <c r="A121" s="16">
        <f>IFERROR(__xludf.DUMMYFUNCTION("""COMPUTED_VALUE"""),13431.0)</f>
        <v>13431</v>
      </c>
      <c r="B121" s="16" t="str">
        <f>IFERROR(__xludf.DUMMYFUNCTION("""COMPUTED_VALUE"""),"Trent Thornton")</f>
        <v>Trent Thornton</v>
      </c>
      <c r="C121" s="153">
        <f>IFERROR(__xludf.DUMMYFUNCTION("""COMPUTED_VALUE"""),0.2)</f>
        <v>0.2</v>
      </c>
      <c r="D121" s="16"/>
      <c r="E121" s="16" t="str">
        <f>IFERROR(__xludf.DUMMYFUNCTION("""COMPUTED_VALUE"""),"R")</f>
        <v>R</v>
      </c>
      <c r="F121" s="16">
        <f>IFERROR(__xludf.DUMMYFUNCTION("""COMPUTED_VALUE"""),72.0)</f>
        <v>72</v>
      </c>
      <c r="G121" s="16">
        <f>IFERROR(__xludf.DUMMYFUNCTION("""COMPUTED_VALUE"""),39.0)</f>
        <v>39</v>
      </c>
      <c r="H121" s="16">
        <f>IFERROR(__xludf.DUMMYFUNCTION("""COMPUTED_VALUE"""),29.0)</f>
        <v>29</v>
      </c>
      <c r="I121" s="16">
        <f>IFERROR(__xludf.DUMMYFUNCTION("""COMPUTED_VALUE"""),2.0)</f>
        <v>2</v>
      </c>
      <c r="J121" s="16">
        <f>IFERROR(__xludf.DUMMYFUNCTION("""COMPUTED_VALUE"""),0.0)</f>
        <v>0</v>
      </c>
      <c r="K121" s="16">
        <f>IFERROR(__xludf.DUMMYFUNCTION("""COMPUTED_VALUE"""),6.0)</f>
        <v>6</v>
      </c>
      <c r="L121" s="16">
        <f>IFERROR(__xludf.DUMMYFUNCTION("""COMPUTED_VALUE"""),0.0)</f>
        <v>0</v>
      </c>
      <c r="M121" s="16">
        <f>IFERROR(__xludf.DUMMYFUNCTION("""COMPUTED_VALUE"""),2.0)</f>
        <v>2</v>
      </c>
      <c r="N121" s="16">
        <f>IFERROR(__xludf.DUMMYFUNCTION("""COMPUTED_VALUE"""),8.0)</f>
        <v>8</v>
      </c>
      <c r="O121" s="16">
        <f>IFERROR(__xludf.DUMMYFUNCTION("""COMPUTED_VALUE"""),2.0)</f>
        <v>2</v>
      </c>
      <c r="P121" s="16">
        <f>IFERROR(__xludf.DUMMYFUNCTION("""COMPUTED_VALUE"""),0.0)</f>
        <v>0</v>
      </c>
      <c r="Q121" s="16">
        <f>IFERROR(__xludf.DUMMYFUNCTION("""COMPUTED_VALUE"""),2.0)</f>
        <v>2</v>
      </c>
      <c r="R121" s="16">
        <f>IFERROR(__xludf.DUMMYFUNCTION("""COMPUTED_VALUE"""),0.0)</f>
        <v>0</v>
      </c>
      <c r="S121" s="16">
        <f>IFERROR(__xludf.DUMMYFUNCTION("""COMPUTED_VALUE"""),22.6)</f>
        <v>22.6</v>
      </c>
      <c r="T121" s="16">
        <f>IFERROR(__xludf.DUMMYFUNCTION("""COMPUTED_VALUE"""),11.0)</f>
        <v>11</v>
      </c>
      <c r="U121" s="16">
        <f>IFERROR(__xludf.DUMMYFUNCTION("""COMPUTED_VALUE"""),-1.0)</f>
        <v>-1</v>
      </c>
      <c r="V121" s="16">
        <f>IFERROR(__xludf.DUMMYFUNCTION("""COMPUTED_VALUE"""),1.0)</f>
        <v>1</v>
      </c>
      <c r="W121" s="16">
        <f>IFERROR(__xludf.DUMMYFUNCTION("""COMPUTED_VALUE"""),-2.0)</f>
        <v>-2</v>
      </c>
      <c r="X121" s="16">
        <f>IFERROR(__xludf.DUMMYFUNCTION("""COMPUTED_VALUE"""),2.0)</f>
        <v>2</v>
      </c>
      <c r="Y121" s="16">
        <f>IFERROR(__xludf.DUMMYFUNCTION("""COMPUTED_VALUE"""),24.6)</f>
        <v>24.6</v>
      </c>
      <c r="Z121" s="16">
        <f>IFERROR(__xludf.DUMMYFUNCTION("""COMPUTED_VALUE"""),19.0)</f>
        <v>19</v>
      </c>
      <c r="AA121" s="16">
        <f>IFERROR(__xludf.DUMMYFUNCTION("""COMPUTED_VALUE"""),0.0)</f>
        <v>0</v>
      </c>
      <c r="AB121" s="16">
        <f>IFERROR(__xludf.DUMMYFUNCTION("""COMPUTED_VALUE"""),1.0)</f>
        <v>1</v>
      </c>
      <c r="AC121" s="16">
        <f>IFERROR(__xludf.DUMMYFUNCTION("""COMPUTED_VALUE"""),0.0)</f>
        <v>0</v>
      </c>
      <c r="AD121" s="16">
        <f>IFERROR(__xludf.DUMMYFUNCTION("""COMPUTED_VALUE"""),5.0)</f>
        <v>5</v>
      </c>
      <c r="AE121" s="16">
        <f>IFERROR(__xludf.DUMMYFUNCTION("""COMPUTED_VALUE"""),40.6)</f>
        <v>40.6</v>
      </c>
      <c r="AF121" s="16">
        <f>IFERROR(__xludf.DUMMYFUNCTION("""COMPUTED_VALUE"""),21.4)</f>
        <v>21.4</v>
      </c>
      <c r="AG121" s="16">
        <f>IFERROR(__xludf.DUMMYFUNCTION("""COMPUTED_VALUE"""),-1.0)</f>
        <v>-1</v>
      </c>
      <c r="AH121" s="16">
        <f>IFERROR(__xludf.DUMMYFUNCTION("""COMPUTED_VALUE"""),1.0)</f>
        <v>1</v>
      </c>
      <c r="AI121" s="16">
        <f>IFERROR(__xludf.DUMMYFUNCTION("""COMPUTED_VALUE"""),-2.0)</f>
        <v>-2</v>
      </c>
      <c r="AJ121" s="16">
        <f>IFERROR(__xludf.DUMMYFUNCTION("""COMPUTED_VALUE"""),2.0)</f>
        <v>2</v>
      </c>
      <c r="AK121" s="16">
        <f>IFERROR(__xludf.DUMMYFUNCTION("""COMPUTED_VALUE"""),21.400000000000002)</f>
        <v>21.4</v>
      </c>
      <c r="AL121" s="16">
        <f>IFERROR(__xludf.DUMMYFUNCTION("""COMPUTED_VALUE"""),8.8)</f>
        <v>8.8</v>
      </c>
      <c r="AM121" s="16">
        <f>IFERROR(__xludf.DUMMYFUNCTION("""COMPUTED_VALUE"""),-1.0)</f>
        <v>-1</v>
      </c>
      <c r="AN121" s="16">
        <f>IFERROR(__xludf.DUMMYFUNCTION("""COMPUTED_VALUE"""),1.0)</f>
        <v>1</v>
      </c>
      <c r="AO121" s="16">
        <f>IFERROR(__xludf.DUMMYFUNCTION("""COMPUTED_VALUE"""),-1.0)</f>
        <v>-1</v>
      </c>
      <c r="AP121" s="16">
        <f>IFERROR(__xludf.DUMMYFUNCTION("""COMPUTED_VALUE"""),1.0)</f>
        <v>1</v>
      </c>
      <c r="AQ121" s="16">
        <f>IFERROR(__xludf.DUMMYFUNCTION("""COMPUTED_VALUE"""),35.800000000000004)</f>
        <v>35.8</v>
      </c>
      <c r="AR121" s="16">
        <f>IFERROR(__xludf.DUMMYFUNCTION("""COMPUTED_VALUE"""),12.599999999999998)</f>
        <v>12.6</v>
      </c>
      <c r="AS121" s="16">
        <f>IFERROR(__xludf.DUMMYFUNCTION("""COMPUTED_VALUE"""),-2.0)</f>
        <v>-2</v>
      </c>
      <c r="AT121" s="16">
        <f>IFERROR(__xludf.DUMMYFUNCTION("""COMPUTED_VALUE"""),1.0)</f>
        <v>1</v>
      </c>
      <c r="AU121" s="16">
        <f>IFERROR(__xludf.DUMMYFUNCTION("""COMPUTED_VALUE"""),-4.0)</f>
        <v>-4</v>
      </c>
      <c r="AV121" s="16">
        <f>IFERROR(__xludf.DUMMYFUNCTION("""COMPUTED_VALUE"""),2.0)</f>
        <v>2</v>
      </c>
      <c r="AW121" s="16">
        <f>IFERROR(__xludf.DUMMYFUNCTION("""COMPUTED_VALUE"""),1.2)</f>
        <v>1.2</v>
      </c>
      <c r="AX121" s="16">
        <f>IFERROR(__xludf.DUMMYFUNCTION("""COMPUTED_VALUE"""),2.2)</f>
        <v>2.2</v>
      </c>
      <c r="AY121" s="16">
        <f>IFERROR(__xludf.DUMMYFUNCTION("""COMPUTED_VALUE"""),1.0)</f>
        <v>1</v>
      </c>
      <c r="AZ121" s="16">
        <f>IFERROR(__xludf.DUMMYFUNCTION("""COMPUTED_VALUE"""),0.0)</f>
        <v>0</v>
      </c>
      <c r="BA121" s="16">
        <f>IFERROR(__xludf.DUMMYFUNCTION("""COMPUTED_VALUE"""),5.0)</f>
        <v>5</v>
      </c>
      <c r="BB121" s="16">
        <f>IFERROR(__xludf.DUMMYFUNCTION("""COMPUTED_VALUE"""),0.0)</f>
        <v>0</v>
      </c>
      <c r="BC121" s="16">
        <f>IFERROR(__xludf.DUMMYFUNCTION("""COMPUTED_VALUE"""),1.0)</f>
        <v>1</v>
      </c>
      <c r="BD121" s="16">
        <f>IFERROR(__xludf.DUMMYFUNCTION("""COMPUTED_VALUE"""),4.0)</f>
        <v>4</v>
      </c>
      <c r="BE121" s="16">
        <f>IFERROR(__xludf.DUMMYFUNCTION("""COMPUTED_VALUE"""),1.0)</f>
        <v>1</v>
      </c>
      <c r="BF121" s="16">
        <f>IFERROR(__xludf.DUMMYFUNCTION("""COMPUTED_VALUE"""),4.0)</f>
        <v>4</v>
      </c>
      <c r="BG121" s="16">
        <f>IFERROR(__xludf.DUMMYFUNCTION("""COMPUTED_VALUE"""),2.0)</f>
        <v>2</v>
      </c>
      <c r="BH121" s="16">
        <f>IFERROR(__xludf.DUMMYFUNCTION("""COMPUTED_VALUE"""),-1.0)</f>
        <v>-1</v>
      </c>
      <c r="BI121" s="16">
        <f>IFERROR(__xludf.DUMMYFUNCTION("""COMPUTED_VALUE"""),4.0)</f>
        <v>4</v>
      </c>
      <c r="BJ121" s="16">
        <f>IFERROR(__xludf.DUMMYFUNCTION("""COMPUTED_VALUE"""),-2.0)</f>
        <v>-2</v>
      </c>
      <c r="BK121" s="16">
        <f>IFERROR(__xludf.DUMMYFUNCTION("""COMPUTED_VALUE"""),5.0)</f>
        <v>5</v>
      </c>
      <c r="BL121" s="16">
        <f>IFERROR(__xludf.DUMMYFUNCTION("""COMPUTED_VALUE"""),5.0)</f>
        <v>5</v>
      </c>
      <c r="BM121" s="16">
        <f>IFERROR(__xludf.DUMMYFUNCTION("""COMPUTED_VALUE"""),0.0)</f>
        <v>0</v>
      </c>
      <c r="BN121" s="16">
        <f>IFERROR(__xludf.DUMMYFUNCTION("""COMPUTED_VALUE"""),0.0)</f>
        <v>0</v>
      </c>
      <c r="BO121" s="16">
        <f>IFERROR(__xludf.DUMMYFUNCTION("""COMPUTED_VALUE"""),0.0)</f>
        <v>0</v>
      </c>
      <c r="BP121" s="16">
        <f>IFERROR(__xludf.DUMMYFUNCTION("""COMPUTED_VALUE"""),0.0)</f>
        <v>0</v>
      </c>
      <c r="BQ121" s="16">
        <f>IFERROR(__xludf.DUMMYFUNCTION("""COMPUTED_VALUE"""),5.0)</f>
        <v>5</v>
      </c>
      <c r="BR121" s="16">
        <f>IFERROR(__xludf.DUMMYFUNCTION("""COMPUTED_VALUE"""),5.0)</f>
        <v>5</v>
      </c>
      <c r="BS121" s="16">
        <f>IFERROR(__xludf.DUMMYFUNCTION("""COMPUTED_VALUE"""),0.0)</f>
        <v>0</v>
      </c>
      <c r="BT121" s="16">
        <f>IFERROR(__xludf.DUMMYFUNCTION("""COMPUTED_VALUE"""),0.0)</f>
        <v>0</v>
      </c>
      <c r="BU121" s="16">
        <f>IFERROR(__xludf.DUMMYFUNCTION("""COMPUTED_VALUE"""),0.0)</f>
        <v>0</v>
      </c>
      <c r="BV121" s="16">
        <f>IFERROR(__xludf.DUMMYFUNCTION("""COMPUTED_VALUE"""),0.0)</f>
        <v>0</v>
      </c>
      <c r="BW121" s="16">
        <f>IFERROR(__xludf.DUMMYFUNCTION("""COMPUTED_VALUE"""),1.0)</f>
        <v>1</v>
      </c>
      <c r="BX121" s="16">
        <f>IFERROR(__xludf.DUMMYFUNCTION("""COMPUTED_VALUE"""),1.0)</f>
        <v>1</v>
      </c>
      <c r="BY121" s="16" t="str">
        <f>IFERROR(__xludf.DUMMYFUNCTION("""COMPUTED_VALUE"""),"R(1) C(0)")</f>
        <v>R(1) C(0)</v>
      </c>
      <c r="BZ121" s="16" t="str">
        <f>IFERROR(__xludf.DUMMYFUNCTION("""COMPUTED_VALUE"""),"R(1) C(0)")</f>
        <v>R(1) C(0)</v>
      </c>
      <c r="CA121" s="16" t="str">
        <f>IFERROR(__xludf.DUMMYFUNCTION("""COMPUTED_VALUE"""),"R(1)")</f>
        <v>R(1)</v>
      </c>
      <c r="CB121" s="16" t="str">
        <f>IFERROR(__xludf.DUMMYFUNCTION("""COMPUTED_VALUE"""),"C(0)")</f>
        <v>C(0)</v>
      </c>
      <c r="CC121" s="16"/>
      <c r="CD121" s="16"/>
      <c r="CE121" s="16">
        <f>IFERROR(__xludf.DUMMYFUNCTION("""COMPUTED_VALUE"""),1.0)</f>
        <v>1</v>
      </c>
      <c r="CF121" s="16">
        <f>IFERROR(__xludf.DUMMYFUNCTION("""COMPUTED_VALUE"""),0.0)</f>
        <v>0</v>
      </c>
      <c r="CG121" s="16" t="str">
        <f>IFERROR(__xludf.DUMMYFUNCTION("""COMPUTED_VALUE"""),"4-20")</f>
        <v>4-20</v>
      </c>
      <c r="CH121" s="16">
        <f>IFERROR(__xludf.DUMMYFUNCTION("""COMPUTED_VALUE"""),4.0)</f>
        <v>4</v>
      </c>
      <c r="CI121" s="16">
        <f>IFERROR(__xludf.DUMMYFUNCTION("""COMPUTED_VALUE"""),20.0)</f>
        <v>20</v>
      </c>
      <c r="CJ121" s="16">
        <f>IFERROR(__xludf.DUMMYFUNCTION("""COMPUTED_VALUE"""),0.0)</f>
        <v>0</v>
      </c>
      <c r="CK121" s="16">
        <f>IFERROR(__xludf.DUMMYFUNCTION("""COMPUTED_VALUE"""),12.0)</f>
        <v>12</v>
      </c>
      <c r="CL121" s="16" t="str">
        <f>IFERROR(__xludf.DUMMYFUNCTION("""COMPUTED_VALUE"""),"1WR-C")</f>
        <v>1WR-C</v>
      </c>
      <c r="CM121" s="16" t="str">
        <f>IFERROR(__xludf.DUMMYFUNCTION("""COMPUTED_VALUE"""),"E")</f>
        <v>E</v>
      </c>
      <c r="CN121" s="16">
        <f>IFERROR(__xludf.DUMMYFUNCTION("""COMPUTED_VALUE"""),10.0)</f>
        <v>10</v>
      </c>
      <c r="CO121" s="16" t="str">
        <f>IFERROR(__xludf.DUMMYFUNCTION("""COMPUTED_VALUE"""),"C")</f>
        <v>C</v>
      </c>
      <c r="CP121" s="16" t="str">
        <f>IFERROR(__xludf.DUMMYFUNCTION("""COMPUTED_VALUE"""),"0p72")</f>
        <v>0p72</v>
      </c>
      <c r="CQ121" s="16">
        <f>IFERROR(__xludf.DUMMYFUNCTION("""COMPUTED_VALUE"""),8.0)</f>
        <v>8</v>
      </c>
      <c r="CR121" s="16">
        <f>IFERROR(__xludf.DUMMYFUNCTION("""COMPUTED_VALUE"""),10.0)</f>
        <v>10</v>
      </c>
      <c r="CS121" s="16">
        <f>IFERROR(__xludf.DUMMYFUNCTION("""COMPUTED_VALUE"""),18.0)</f>
        <v>18</v>
      </c>
      <c r="CT121" s="16">
        <f>IFERROR(__xludf.DUMMYFUNCTION("""COMPUTED_VALUE"""),8.0)</f>
        <v>8</v>
      </c>
      <c r="CU121" s="16">
        <f>IFERROR(__xludf.DUMMYFUNCTION("""COMPUTED_VALUE"""),10.0)</f>
        <v>10</v>
      </c>
      <c r="CV121" s="179">
        <f>IFERROR(__xludf.DUMMYFUNCTION("""COMPUTED_VALUE"""),17.666666666666664)</f>
        <v>17.66666667</v>
      </c>
      <c r="CW121" s="179">
        <f>IFERROR(__xludf.DUMMYFUNCTION("""COMPUTED_VALUE"""),5.0)</f>
        <v>5</v>
      </c>
      <c r="CX121" s="179">
        <f>IFERROR(__xludf.DUMMYFUNCTION("""COMPUTED_VALUE"""),4.0)</f>
        <v>4</v>
      </c>
      <c r="CY121" s="16" t="str">
        <f>IFERROR(__xludf.DUMMYFUNCTION("""COMPUTED_VALUE"""),"RP")</f>
        <v>RP</v>
      </c>
      <c r="CZ121" s="16" t="str">
        <f>IFERROR(__xludf.DUMMYFUNCTION("""COMPUTED_VALUE"""),"CP")</f>
        <v>CP</v>
      </c>
      <c r="DA121" s="16"/>
      <c r="DB121" s="16"/>
      <c r="DC121" s="16"/>
      <c r="DD121" s="16"/>
      <c r="DE121" s="16"/>
      <c r="DF121" s="16"/>
      <c r="DG121" s="16"/>
      <c r="DH121" s="16"/>
      <c r="DI121" s="16"/>
      <c r="DJ121" s="16"/>
      <c r="DK121" s="16"/>
    </row>
    <row r="122">
      <c r="A122" s="16">
        <f>IFERROR(__xludf.DUMMYFUNCTION("""COMPUTED_VALUE"""),12773.0)</f>
        <v>12773</v>
      </c>
      <c r="B122" s="16" t="str">
        <f>IFERROR(__xludf.DUMMYFUNCTION("""COMPUTED_VALUE"""),"Dylan Floro")</f>
        <v>Dylan Floro</v>
      </c>
      <c r="C122" s="153">
        <f>IFERROR(__xludf.DUMMYFUNCTION("""COMPUTED_VALUE"""),0.56)</f>
        <v>0.56</v>
      </c>
      <c r="D122" s="16"/>
      <c r="E122" s="16" t="str">
        <f>IFERROR(__xludf.DUMMYFUNCTION("""COMPUTED_VALUE"""),"R")</f>
        <v>R</v>
      </c>
      <c r="F122" s="16">
        <f>IFERROR(__xludf.DUMMYFUNCTION("""COMPUTED_VALUE"""),69.0)</f>
        <v>69</v>
      </c>
      <c r="G122" s="16">
        <f>IFERROR(__xludf.DUMMYFUNCTION("""COMPUTED_VALUE"""),8.0)</f>
        <v>8</v>
      </c>
      <c r="H122" s="16">
        <f>IFERROR(__xludf.DUMMYFUNCTION("""COMPUTED_VALUE"""),15.0)</f>
        <v>15</v>
      </c>
      <c r="I122" s="16">
        <f>IFERROR(__xludf.DUMMYFUNCTION("""COMPUTED_VALUE"""),-2.0)</f>
        <v>-2</v>
      </c>
      <c r="J122" s="16">
        <f>IFERROR(__xludf.DUMMYFUNCTION("""COMPUTED_VALUE"""),-2.0)</f>
        <v>-2</v>
      </c>
      <c r="K122" s="16">
        <f>IFERROR(__xludf.DUMMYFUNCTION("""COMPUTED_VALUE"""),-6.0)</f>
        <v>-6</v>
      </c>
      <c r="L122" s="16">
        <f>IFERROR(__xludf.DUMMYFUNCTION("""COMPUTED_VALUE"""),-6.0)</f>
        <v>-6</v>
      </c>
      <c r="M122" s="16">
        <f>IFERROR(__xludf.DUMMYFUNCTION("""COMPUTED_VALUE"""),3.0)</f>
        <v>3</v>
      </c>
      <c r="N122" s="16">
        <f>IFERROR(__xludf.DUMMYFUNCTION("""COMPUTED_VALUE"""),6.0)</f>
        <v>6</v>
      </c>
      <c r="O122" s="16">
        <f>IFERROR(__xludf.DUMMYFUNCTION("""COMPUTED_VALUE"""),2.0)</f>
        <v>2</v>
      </c>
      <c r="P122" s="16">
        <f>IFERROR(__xludf.DUMMYFUNCTION("""COMPUTED_VALUE"""),1.0)</f>
        <v>1</v>
      </c>
      <c r="Q122" s="16">
        <f>IFERROR(__xludf.DUMMYFUNCTION("""COMPUTED_VALUE"""),2.0)</f>
        <v>2</v>
      </c>
      <c r="R122" s="16">
        <f>IFERROR(__xludf.DUMMYFUNCTION("""COMPUTED_VALUE"""),1.0)</f>
        <v>1</v>
      </c>
      <c r="S122" s="16">
        <f>IFERROR(__xludf.DUMMYFUNCTION("""COMPUTED_VALUE"""),18.3)</f>
        <v>18.3</v>
      </c>
      <c r="T122" s="16">
        <f>IFERROR(__xludf.DUMMYFUNCTION("""COMPUTED_VALUE"""),20.1)</f>
        <v>20.1</v>
      </c>
      <c r="U122" s="16">
        <f>IFERROR(__xludf.DUMMYFUNCTION("""COMPUTED_VALUE"""),-1.0)</f>
        <v>-1</v>
      </c>
      <c r="V122" s="16">
        <f>IFERROR(__xludf.DUMMYFUNCTION("""COMPUTED_VALUE"""),-1.0)</f>
        <v>-1</v>
      </c>
      <c r="W122" s="16">
        <f>IFERROR(__xludf.DUMMYFUNCTION("""COMPUTED_VALUE"""),-2.0)</f>
        <v>-2</v>
      </c>
      <c r="X122" s="16">
        <f>IFERROR(__xludf.DUMMYFUNCTION("""COMPUTED_VALUE"""),-2.0)</f>
        <v>-2</v>
      </c>
      <c r="Y122" s="16">
        <f>IFERROR(__xludf.DUMMYFUNCTION("""COMPUTED_VALUE"""),21.3)</f>
        <v>21.3</v>
      </c>
      <c r="Z122" s="16">
        <f>IFERROR(__xludf.DUMMYFUNCTION("""COMPUTED_VALUE"""),26.1)</f>
        <v>26.1</v>
      </c>
      <c r="AA122" s="16">
        <f>IFERROR(__xludf.DUMMYFUNCTION("""COMPUTED_VALUE"""),1.0)</f>
        <v>1</v>
      </c>
      <c r="AB122" s="16">
        <f>IFERROR(__xludf.DUMMYFUNCTION("""COMPUTED_VALUE"""),0.0)</f>
        <v>0</v>
      </c>
      <c r="AC122" s="16">
        <f>IFERROR(__xludf.DUMMYFUNCTION("""COMPUTED_VALUE"""),5.0)</f>
        <v>5</v>
      </c>
      <c r="AD122" s="16">
        <f>IFERROR(__xludf.DUMMYFUNCTION("""COMPUTED_VALUE"""),0.0)</f>
        <v>0</v>
      </c>
      <c r="AE122" s="16">
        <f>IFERROR(__xludf.DUMMYFUNCTION("""COMPUTED_VALUE"""),22.9)</f>
        <v>22.9</v>
      </c>
      <c r="AF122" s="16">
        <f>IFERROR(__xludf.DUMMYFUNCTION("""COMPUTED_VALUE"""),25.1)</f>
        <v>25.1</v>
      </c>
      <c r="AG122" s="16">
        <f>IFERROR(__xludf.DUMMYFUNCTION("""COMPUTED_VALUE"""),1.0)</f>
        <v>1</v>
      </c>
      <c r="AH122" s="16">
        <f>IFERROR(__xludf.DUMMYFUNCTION("""COMPUTED_VALUE"""),0.0)</f>
        <v>0</v>
      </c>
      <c r="AI122" s="16">
        <f>IFERROR(__xludf.DUMMYFUNCTION("""COMPUTED_VALUE"""),2.0)</f>
        <v>2</v>
      </c>
      <c r="AJ122" s="16">
        <f>IFERROR(__xludf.DUMMYFUNCTION("""COMPUTED_VALUE"""),0.0)</f>
        <v>0</v>
      </c>
      <c r="AK122" s="16">
        <f>IFERROR(__xludf.DUMMYFUNCTION("""COMPUTED_VALUE"""),17.3)</f>
        <v>17.3</v>
      </c>
      <c r="AL122" s="16">
        <f>IFERROR(__xludf.DUMMYFUNCTION("""COMPUTED_VALUE"""),19.700000000000003)</f>
        <v>19.7</v>
      </c>
      <c r="AM122" s="16">
        <f>IFERROR(__xludf.DUMMYFUNCTION("""COMPUTED_VALUE"""),-1.0)</f>
        <v>-1</v>
      </c>
      <c r="AN122" s="16">
        <f>IFERROR(__xludf.DUMMYFUNCTION("""COMPUTED_VALUE"""),-1.0)</f>
        <v>-1</v>
      </c>
      <c r="AO122" s="16">
        <f>IFERROR(__xludf.DUMMYFUNCTION("""COMPUTED_VALUE"""),-1.0)</f>
        <v>-1</v>
      </c>
      <c r="AP122" s="16">
        <f>IFERROR(__xludf.DUMMYFUNCTION("""COMPUTED_VALUE"""),-1.0)</f>
        <v>-1</v>
      </c>
      <c r="AQ122" s="16">
        <f>IFERROR(__xludf.DUMMYFUNCTION("""COMPUTED_VALUE"""),18.9)</f>
        <v>18.9</v>
      </c>
      <c r="AR122" s="16">
        <f>IFERROR(__xludf.DUMMYFUNCTION("""COMPUTED_VALUE"""),23.5)</f>
        <v>23.5</v>
      </c>
      <c r="AS122" s="16">
        <f>IFERROR(__xludf.DUMMYFUNCTION("""COMPUTED_VALUE"""),0.0)</f>
        <v>0</v>
      </c>
      <c r="AT122" s="16">
        <f>IFERROR(__xludf.DUMMYFUNCTION("""COMPUTED_VALUE"""),-1.0)</f>
        <v>-1</v>
      </c>
      <c r="AU122" s="16">
        <f>IFERROR(__xludf.DUMMYFUNCTION("""COMPUTED_VALUE"""),0.0)</f>
        <v>0</v>
      </c>
      <c r="AV122" s="16">
        <f>IFERROR(__xludf.DUMMYFUNCTION("""COMPUTED_VALUE"""),-2.0)</f>
        <v>-2</v>
      </c>
      <c r="AW122" s="16">
        <f>IFERROR(__xludf.DUMMYFUNCTION("""COMPUTED_VALUE"""),1.0)</f>
        <v>1</v>
      </c>
      <c r="AX122" s="16">
        <f>IFERROR(__xludf.DUMMYFUNCTION("""COMPUTED_VALUE"""),0.4)</f>
        <v>0.4</v>
      </c>
      <c r="AY122" s="16">
        <f>IFERROR(__xludf.DUMMYFUNCTION("""COMPUTED_VALUE"""),1.0)</f>
        <v>1</v>
      </c>
      <c r="AZ122" s="16">
        <f>IFERROR(__xludf.DUMMYFUNCTION("""COMPUTED_VALUE"""),2.0)</f>
        <v>2</v>
      </c>
      <c r="BA122" s="16">
        <f>IFERROR(__xludf.DUMMYFUNCTION("""COMPUTED_VALUE"""),5.0)</f>
        <v>5</v>
      </c>
      <c r="BB122" s="16">
        <f>IFERROR(__xludf.DUMMYFUNCTION("""COMPUTED_VALUE"""),10.0)</f>
        <v>10</v>
      </c>
      <c r="BC122" s="16">
        <f>IFERROR(__xludf.DUMMYFUNCTION("""COMPUTED_VALUE"""),0.0)</f>
        <v>0</v>
      </c>
      <c r="BD122" s="16">
        <f>IFERROR(__xludf.DUMMYFUNCTION("""COMPUTED_VALUE"""),0.0)</f>
        <v>0</v>
      </c>
      <c r="BE122" s="16">
        <f>IFERROR(__xludf.DUMMYFUNCTION("""COMPUTED_VALUE"""),0.0)</f>
        <v>0</v>
      </c>
      <c r="BF122" s="16">
        <f>IFERROR(__xludf.DUMMYFUNCTION("""COMPUTED_VALUE"""),0.0)</f>
        <v>0</v>
      </c>
      <c r="BG122" s="16">
        <f>IFERROR(__xludf.DUMMYFUNCTION("""COMPUTED_VALUE"""),3.0)</f>
        <v>3</v>
      </c>
      <c r="BH122" s="16">
        <f>IFERROR(__xludf.DUMMYFUNCTION("""COMPUTED_VALUE"""),2.0)</f>
        <v>2</v>
      </c>
      <c r="BI122" s="16">
        <f>IFERROR(__xludf.DUMMYFUNCTION("""COMPUTED_VALUE"""),6.0)</f>
        <v>6</v>
      </c>
      <c r="BJ122" s="16">
        <f>IFERROR(__xludf.DUMMYFUNCTION("""COMPUTED_VALUE"""),4.0)</f>
        <v>4</v>
      </c>
      <c r="BK122" s="16">
        <f>IFERROR(__xludf.DUMMYFUNCTION("""COMPUTED_VALUE"""),5.0)</f>
        <v>5</v>
      </c>
      <c r="BL122" s="16">
        <f>IFERROR(__xludf.DUMMYFUNCTION("""COMPUTED_VALUE"""),5.0)</f>
        <v>5</v>
      </c>
      <c r="BM122" s="16">
        <f>IFERROR(__xludf.DUMMYFUNCTION("""COMPUTED_VALUE"""),0.0)</f>
        <v>0</v>
      </c>
      <c r="BN122" s="16">
        <f>IFERROR(__xludf.DUMMYFUNCTION("""COMPUTED_VALUE"""),0.0)</f>
        <v>0</v>
      </c>
      <c r="BO122" s="16">
        <f>IFERROR(__xludf.DUMMYFUNCTION("""COMPUTED_VALUE"""),0.0)</f>
        <v>0</v>
      </c>
      <c r="BP122" s="16">
        <f>IFERROR(__xludf.DUMMYFUNCTION("""COMPUTED_VALUE"""),0.0)</f>
        <v>0</v>
      </c>
      <c r="BQ122" s="16">
        <f>IFERROR(__xludf.DUMMYFUNCTION("""COMPUTED_VALUE"""),12.0)</f>
        <v>12</v>
      </c>
      <c r="BR122" s="16">
        <f>IFERROR(__xludf.DUMMYFUNCTION("""COMPUTED_VALUE"""),12.0)</f>
        <v>12</v>
      </c>
      <c r="BS122" s="16">
        <f>IFERROR(__xludf.DUMMYFUNCTION("""COMPUTED_VALUE"""),3.0)</f>
        <v>3</v>
      </c>
      <c r="BT122" s="16">
        <f>IFERROR(__xludf.DUMMYFUNCTION("""COMPUTED_VALUE"""),3.0)</f>
        <v>3</v>
      </c>
      <c r="BU122" s="16">
        <f>IFERROR(__xludf.DUMMYFUNCTION("""COMPUTED_VALUE"""),6.0)</f>
        <v>6</v>
      </c>
      <c r="BV122" s="16">
        <f>IFERROR(__xludf.DUMMYFUNCTION("""COMPUTED_VALUE"""),6.0)</f>
        <v>6</v>
      </c>
      <c r="BW122" s="16">
        <f>IFERROR(__xludf.DUMMYFUNCTION("""COMPUTED_VALUE"""),5.0)</f>
        <v>5</v>
      </c>
      <c r="BX122" s="16">
        <f>IFERROR(__xludf.DUMMYFUNCTION("""COMPUTED_VALUE"""),5.0)</f>
        <v>5</v>
      </c>
      <c r="BY122" s="16" t="str">
        <f>IFERROR(__xludf.DUMMYFUNCTION("""COMPUTED_VALUE"""),"R(1)")</f>
        <v>R(1)</v>
      </c>
      <c r="BZ122" s="16" t="str">
        <f>IFERROR(__xludf.DUMMYFUNCTION("""COMPUTED_VALUE"""),"R(1)")</f>
        <v>R(1)</v>
      </c>
      <c r="CA122" s="16" t="str">
        <f>IFERROR(__xludf.DUMMYFUNCTION("""COMPUTED_VALUE"""),"R(1)")</f>
        <v>R(1)</v>
      </c>
      <c r="CB122" s="16"/>
      <c r="CC122" s="16"/>
      <c r="CD122" s="16"/>
      <c r="CE122" s="16">
        <f>IFERROR(__xludf.DUMMYFUNCTION("""COMPUTED_VALUE"""),1.0)</f>
        <v>1</v>
      </c>
      <c r="CF122" s="16"/>
      <c r="CG122" s="16" t="str">
        <f>IFERROR(__xludf.DUMMYFUNCTION("""COMPUTED_VALUE"""),"3-0")</f>
        <v>3-0</v>
      </c>
      <c r="CH122" s="16">
        <f>IFERROR(__xludf.DUMMYFUNCTION("""COMPUTED_VALUE"""),3.0)</f>
        <v>3</v>
      </c>
      <c r="CI122" s="16">
        <f>IFERROR(__xludf.DUMMYFUNCTION("""COMPUTED_VALUE"""),0.0)</f>
        <v>0</v>
      </c>
      <c r="CJ122" s="16">
        <f>IFERROR(__xludf.DUMMYFUNCTION("""COMPUTED_VALUE"""),0.0)</f>
        <v>0</v>
      </c>
      <c r="CK122" s="16">
        <f>IFERROR(__xludf.DUMMYFUNCTION("""COMPUTED_VALUE"""),2.0)</f>
        <v>2</v>
      </c>
      <c r="CL122" s="16" t="str">
        <f>IFERROR(__xludf.DUMMYFUNCTION("""COMPUTED_VALUE"""),"1WL-C")</f>
        <v>1WL-C</v>
      </c>
      <c r="CM122" s="16" t="str">
        <f>IFERROR(__xludf.DUMMYFUNCTION("""COMPUTED_VALUE"""),"E")</f>
        <v>E</v>
      </c>
      <c r="CN122" s="16">
        <f>IFERROR(__xludf.DUMMYFUNCTION("""COMPUTED_VALUE"""),10.0)</f>
        <v>10</v>
      </c>
      <c r="CO122" s="16" t="str">
        <f>IFERROR(__xludf.DUMMYFUNCTION("""COMPUTED_VALUE"""),"C")</f>
        <v>C</v>
      </c>
      <c r="CP122" s="16" t="str">
        <f>IFERROR(__xludf.DUMMYFUNCTION("""COMPUTED_VALUE"""),"1p60")</f>
        <v>1p60</v>
      </c>
      <c r="CQ122" s="16">
        <f>IFERROR(__xludf.DUMMYFUNCTION("""COMPUTED_VALUE"""),17.0)</f>
        <v>17</v>
      </c>
      <c r="CR122" s="16">
        <f>IFERROR(__xludf.DUMMYFUNCTION("""COMPUTED_VALUE"""),10.0)</f>
        <v>10</v>
      </c>
      <c r="CS122" s="16">
        <f>IFERROR(__xludf.DUMMYFUNCTION("""COMPUTED_VALUE"""),27.0)</f>
        <v>27</v>
      </c>
      <c r="CT122" s="16">
        <f>IFERROR(__xludf.DUMMYFUNCTION("""COMPUTED_VALUE"""),17.0)</f>
        <v>17</v>
      </c>
      <c r="CU122" s="16">
        <f>IFERROR(__xludf.DUMMYFUNCTION("""COMPUTED_VALUE"""),10.0)</f>
        <v>10</v>
      </c>
      <c r="CV122" s="179">
        <f>IFERROR(__xludf.DUMMYFUNCTION("""COMPUTED_VALUE"""),17.333333333333336)</f>
        <v>17.33333333</v>
      </c>
      <c r="CW122" s="179">
        <f>IFERROR(__xludf.DUMMYFUNCTION("""COMPUTED_VALUE"""),4.0)</f>
        <v>4</v>
      </c>
      <c r="CX122" s="179">
        <f>IFERROR(__xludf.DUMMYFUNCTION("""COMPUTED_VALUE"""),1.0)</f>
        <v>1</v>
      </c>
      <c r="CY122" s="16" t="str">
        <f>IFERROR(__xludf.DUMMYFUNCTION("""COMPUTED_VALUE"""),"RP")</f>
        <v>RP</v>
      </c>
      <c r="CZ122" s="16"/>
      <c r="DA122" s="16"/>
      <c r="DB122" s="16"/>
      <c r="DC122" s="16"/>
      <c r="DD122" s="16"/>
      <c r="DE122" s="16"/>
      <c r="DF122" s="16"/>
      <c r="DG122" s="16"/>
      <c r="DH122" s="16"/>
      <c r="DI122" s="16"/>
      <c r="DJ122" s="16"/>
      <c r="DK122" s="16"/>
    </row>
    <row r="123">
      <c r="A123" s="16">
        <f>IFERROR(__xludf.DUMMYFUNCTION("""COMPUTED_VALUE"""),12910.0)</f>
        <v>12910</v>
      </c>
      <c r="B123" s="16" t="str">
        <f>IFERROR(__xludf.DUMMYFUNCTION("""COMPUTED_VALUE"""),"Jake Cousins")</f>
        <v>Jake Cousins</v>
      </c>
      <c r="C123" s="153">
        <f>IFERROR(__xludf.DUMMYFUNCTION("""COMPUTED_VALUE"""),0.88)</f>
        <v>0.88</v>
      </c>
      <c r="D123" s="16"/>
      <c r="E123" s="16" t="str">
        <f>IFERROR(__xludf.DUMMYFUNCTION("""COMPUTED_VALUE"""),"R")</f>
        <v>R</v>
      </c>
      <c r="F123" s="16">
        <f>IFERROR(__xludf.DUMMYFUNCTION("""COMPUTED_VALUE"""),38.0)</f>
        <v>38</v>
      </c>
      <c r="G123" s="16">
        <f>IFERROR(__xludf.DUMMYFUNCTION("""COMPUTED_VALUE"""),50.0)</f>
        <v>50</v>
      </c>
      <c r="H123" s="16">
        <f>IFERROR(__xludf.DUMMYFUNCTION("""COMPUTED_VALUE"""),44.0)</f>
        <v>44</v>
      </c>
      <c r="I123" s="16">
        <f>IFERROR(__xludf.DUMMYFUNCTION("""COMPUTED_VALUE"""),3.0)</f>
        <v>3</v>
      </c>
      <c r="J123" s="16">
        <f>IFERROR(__xludf.DUMMYFUNCTION("""COMPUTED_VALUE"""),2.0)</f>
        <v>2</v>
      </c>
      <c r="K123" s="16">
        <f>IFERROR(__xludf.DUMMYFUNCTION("""COMPUTED_VALUE"""),9.0)</f>
        <v>9</v>
      </c>
      <c r="L123" s="16">
        <f>IFERROR(__xludf.DUMMYFUNCTION("""COMPUTED_VALUE"""),6.0)</f>
        <v>6</v>
      </c>
      <c r="M123" s="16">
        <f>IFERROR(__xludf.DUMMYFUNCTION("""COMPUTED_VALUE"""),28.0)</f>
        <v>28</v>
      </c>
      <c r="N123" s="16">
        <f>IFERROR(__xludf.DUMMYFUNCTION("""COMPUTED_VALUE"""),16.0)</f>
        <v>16</v>
      </c>
      <c r="O123" s="16">
        <f>IFERROR(__xludf.DUMMYFUNCTION("""COMPUTED_VALUE"""),-3.0)</f>
        <v>-3</v>
      </c>
      <c r="P123" s="16">
        <f>IFERROR(__xludf.DUMMYFUNCTION("""COMPUTED_VALUE"""),-3.0)</f>
        <v>-3</v>
      </c>
      <c r="Q123" s="16">
        <f>IFERROR(__xludf.DUMMYFUNCTION("""COMPUTED_VALUE"""),-3.0)</f>
        <v>-3</v>
      </c>
      <c r="R123" s="16">
        <f>IFERROR(__xludf.DUMMYFUNCTION("""COMPUTED_VALUE"""),-3.0)</f>
        <v>-3</v>
      </c>
      <c r="S123" s="16">
        <f>IFERROR(__xludf.DUMMYFUNCTION("""COMPUTED_VALUE"""),0.0)</f>
        <v>0</v>
      </c>
      <c r="T123" s="16">
        <f>IFERROR(__xludf.DUMMYFUNCTION("""COMPUTED_VALUE"""),7.0)</f>
        <v>7</v>
      </c>
      <c r="U123" s="16">
        <f>IFERROR(__xludf.DUMMYFUNCTION("""COMPUTED_VALUE"""),3.0)</f>
        <v>3</v>
      </c>
      <c r="V123" s="16">
        <f>IFERROR(__xludf.DUMMYFUNCTION("""COMPUTED_VALUE"""),2.0)</f>
        <v>2</v>
      </c>
      <c r="W123" s="16">
        <f>IFERROR(__xludf.DUMMYFUNCTION("""COMPUTED_VALUE"""),6.0)</f>
        <v>6</v>
      </c>
      <c r="X123" s="16">
        <f>IFERROR(__xludf.DUMMYFUNCTION("""COMPUTED_VALUE"""),4.0)</f>
        <v>4</v>
      </c>
      <c r="Y123" s="16">
        <f>IFERROR(__xludf.DUMMYFUNCTION("""COMPUTED_VALUE"""),28.0)</f>
        <v>28</v>
      </c>
      <c r="Z123" s="16">
        <f>IFERROR(__xludf.DUMMYFUNCTION("""COMPUTED_VALUE"""),23.0)</f>
        <v>23</v>
      </c>
      <c r="AA123" s="16">
        <f>IFERROR(__xludf.DUMMYFUNCTION("""COMPUTED_VALUE"""),0.0)</f>
        <v>0</v>
      </c>
      <c r="AB123" s="16">
        <f>IFERROR(__xludf.DUMMYFUNCTION("""COMPUTED_VALUE"""),0.0)</f>
        <v>0</v>
      </c>
      <c r="AC123" s="16">
        <f>IFERROR(__xludf.DUMMYFUNCTION("""COMPUTED_VALUE"""),0.0)</f>
        <v>0</v>
      </c>
      <c r="AD123" s="16">
        <f>IFERROR(__xludf.DUMMYFUNCTION("""COMPUTED_VALUE"""),0.0)</f>
        <v>0</v>
      </c>
      <c r="AE123" s="16">
        <f>IFERROR(__xludf.DUMMYFUNCTION("""COMPUTED_VALUE"""),0.0)</f>
        <v>0</v>
      </c>
      <c r="AF123" s="16">
        <f>IFERROR(__xludf.DUMMYFUNCTION("""COMPUTED_VALUE"""),21.6)</f>
        <v>21.6</v>
      </c>
      <c r="AG123" s="16">
        <f>IFERROR(__xludf.DUMMYFUNCTION("""COMPUTED_VALUE"""),3.0)</f>
        <v>3</v>
      </c>
      <c r="AH123" s="16">
        <f>IFERROR(__xludf.DUMMYFUNCTION("""COMPUTED_VALUE"""),1.0)</f>
        <v>1</v>
      </c>
      <c r="AI123" s="16">
        <f>IFERROR(__xludf.DUMMYFUNCTION("""COMPUTED_VALUE"""),6.0)</f>
        <v>6</v>
      </c>
      <c r="AJ123" s="16">
        <f>IFERROR(__xludf.DUMMYFUNCTION("""COMPUTED_VALUE"""),2.0)</f>
        <v>2</v>
      </c>
      <c r="AK123" s="16">
        <f>IFERROR(__xludf.DUMMYFUNCTION("""COMPUTED_VALUE"""),0.0)</f>
        <v>0</v>
      </c>
      <c r="AL123" s="16">
        <f>IFERROR(__xludf.DUMMYFUNCTION("""COMPUTED_VALUE"""),3.4)</f>
        <v>3.4</v>
      </c>
      <c r="AM123" s="16">
        <f>IFERROR(__xludf.DUMMYFUNCTION("""COMPUTED_VALUE"""),3.0)</f>
        <v>3</v>
      </c>
      <c r="AN123" s="16">
        <f>IFERROR(__xludf.DUMMYFUNCTION("""COMPUTED_VALUE"""),2.0)</f>
        <v>2</v>
      </c>
      <c r="AO123" s="16">
        <f>IFERROR(__xludf.DUMMYFUNCTION("""COMPUTED_VALUE"""),3.0)</f>
        <v>3</v>
      </c>
      <c r="AP123" s="16">
        <f>IFERROR(__xludf.DUMMYFUNCTION("""COMPUTED_VALUE"""),2.0)</f>
        <v>2</v>
      </c>
      <c r="AQ123" s="16">
        <f>IFERROR(__xludf.DUMMYFUNCTION("""COMPUTED_VALUE"""),0.0)</f>
        <v>0</v>
      </c>
      <c r="AR123" s="16">
        <f>IFERROR(__xludf.DUMMYFUNCTION("""COMPUTED_VALUE"""),7.200000000000001)</f>
        <v>7.2</v>
      </c>
      <c r="AS123" s="16">
        <f>IFERROR(__xludf.DUMMYFUNCTION("""COMPUTED_VALUE"""),3.0)</f>
        <v>3</v>
      </c>
      <c r="AT123" s="16">
        <f>IFERROR(__xludf.DUMMYFUNCTION("""COMPUTED_VALUE"""),2.0)</f>
        <v>2</v>
      </c>
      <c r="AU123" s="16">
        <f>IFERROR(__xludf.DUMMYFUNCTION("""COMPUTED_VALUE"""),6.0)</f>
        <v>6</v>
      </c>
      <c r="AV123" s="16">
        <f>IFERROR(__xludf.DUMMYFUNCTION("""COMPUTED_VALUE"""),4.0)</f>
        <v>4</v>
      </c>
      <c r="AW123" s="16">
        <f>IFERROR(__xludf.DUMMYFUNCTION("""COMPUTED_VALUE"""),0.0)</f>
        <v>0</v>
      </c>
      <c r="AX123" s="16">
        <f>IFERROR(__xludf.DUMMYFUNCTION("""COMPUTED_VALUE"""),3.6)</f>
        <v>3.6</v>
      </c>
      <c r="AY123" s="16">
        <f>IFERROR(__xludf.DUMMYFUNCTION("""COMPUTED_VALUE"""),2.0)</f>
        <v>2</v>
      </c>
      <c r="AZ123" s="16">
        <f>IFERROR(__xludf.DUMMYFUNCTION("""COMPUTED_VALUE"""),-2.0)</f>
        <v>-2</v>
      </c>
      <c r="BA123" s="16">
        <f>IFERROR(__xludf.DUMMYFUNCTION("""COMPUTED_VALUE"""),10.0)</f>
        <v>10</v>
      </c>
      <c r="BB123" s="16">
        <f>IFERROR(__xludf.DUMMYFUNCTION("""COMPUTED_VALUE"""),-10.0)</f>
        <v>-10</v>
      </c>
      <c r="BC123" s="16"/>
      <c r="BD123" s="16"/>
      <c r="BE123" s="16">
        <f>IFERROR(__xludf.DUMMYFUNCTION("""COMPUTED_VALUE"""),0.0)</f>
        <v>0</v>
      </c>
      <c r="BF123" s="16">
        <f>IFERROR(__xludf.DUMMYFUNCTION("""COMPUTED_VALUE"""),7.0)</f>
        <v>7</v>
      </c>
      <c r="BG123" s="16">
        <f>IFERROR(__xludf.DUMMYFUNCTION("""COMPUTED_VALUE"""),3.0)</f>
        <v>3</v>
      </c>
      <c r="BH123" s="16">
        <f>IFERROR(__xludf.DUMMYFUNCTION("""COMPUTED_VALUE"""),-3.0)</f>
        <v>-3</v>
      </c>
      <c r="BI123" s="16">
        <f>IFERROR(__xludf.DUMMYFUNCTION("""COMPUTED_VALUE"""),6.0)</f>
        <v>6</v>
      </c>
      <c r="BJ123" s="16">
        <f>IFERROR(__xludf.DUMMYFUNCTION("""COMPUTED_VALUE"""),-6.0)</f>
        <v>-6</v>
      </c>
      <c r="BK123" s="16">
        <f>IFERROR(__xludf.DUMMYFUNCTION("""COMPUTED_VALUE"""),0.0)</f>
        <v>0</v>
      </c>
      <c r="BL123" s="16">
        <f>IFERROR(__xludf.DUMMYFUNCTION("""COMPUTED_VALUE"""),0.0)</f>
        <v>0</v>
      </c>
      <c r="BM123" s="16">
        <f>IFERROR(__xludf.DUMMYFUNCTION("""COMPUTED_VALUE"""),1.0)</f>
        <v>1</v>
      </c>
      <c r="BN123" s="16">
        <f>IFERROR(__xludf.DUMMYFUNCTION("""COMPUTED_VALUE"""),1.0)</f>
        <v>1</v>
      </c>
      <c r="BO123" s="16">
        <f>IFERROR(__xludf.DUMMYFUNCTION("""COMPUTED_VALUE"""),1.0)</f>
        <v>1</v>
      </c>
      <c r="BP123" s="16">
        <f>IFERROR(__xludf.DUMMYFUNCTION("""COMPUTED_VALUE"""),1.0)</f>
        <v>1</v>
      </c>
      <c r="BQ123" s="16">
        <f>IFERROR(__xludf.DUMMYFUNCTION("""COMPUTED_VALUE"""),0.0)</f>
        <v>0</v>
      </c>
      <c r="BR123" s="16">
        <f>IFERROR(__xludf.DUMMYFUNCTION("""COMPUTED_VALUE"""),3.0)</f>
        <v>3</v>
      </c>
      <c r="BS123" s="16">
        <f>IFERROR(__xludf.DUMMYFUNCTION("""COMPUTED_VALUE"""),-3.0)</f>
        <v>-3</v>
      </c>
      <c r="BT123" s="16">
        <f>IFERROR(__xludf.DUMMYFUNCTION("""COMPUTED_VALUE"""),-1.0)</f>
        <v>-1</v>
      </c>
      <c r="BU123" s="16">
        <f>IFERROR(__xludf.DUMMYFUNCTION("""COMPUTED_VALUE"""),-6.0)</f>
        <v>-6</v>
      </c>
      <c r="BV123" s="16">
        <f>IFERROR(__xludf.DUMMYFUNCTION("""COMPUTED_VALUE"""),-2.0)</f>
        <v>-2</v>
      </c>
      <c r="BW123" s="16">
        <f>IFERROR(__xludf.DUMMYFUNCTION("""COMPUTED_VALUE"""),1.0)</f>
        <v>1</v>
      </c>
      <c r="BX123" s="16">
        <f>IFERROR(__xludf.DUMMYFUNCTION("""COMPUTED_VALUE"""),1.0)</f>
        <v>1</v>
      </c>
      <c r="BY123" s="16" t="str">
        <f>IFERROR(__xludf.DUMMYFUNCTION("""COMPUTED_VALUE"""),"R(1) C(0)")</f>
        <v>R(1) C(0)</v>
      </c>
      <c r="BZ123" s="16" t="str">
        <f>IFERROR(__xludf.DUMMYFUNCTION("""COMPUTED_VALUE"""),"R(1) C(0)")</f>
        <v>R(1) C(0)</v>
      </c>
      <c r="CA123" s="16" t="str">
        <f>IFERROR(__xludf.DUMMYFUNCTION("""COMPUTED_VALUE"""),"R(1)")</f>
        <v>R(1)</v>
      </c>
      <c r="CB123" s="16" t="str">
        <f>IFERROR(__xludf.DUMMYFUNCTION("""COMPUTED_VALUE"""),"C(0)")</f>
        <v>C(0)</v>
      </c>
      <c r="CC123" s="16"/>
      <c r="CD123" s="16"/>
      <c r="CE123" s="16">
        <f>IFERROR(__xludf.DUMMYFUNCTION("""COMPUTED_VALUE"""),1.0)</f>
        <v>1</v>
      </c>
      <c r="CF123" s="16">
        <f>IFERROR(__xludf.DUMMYFUNCTION("""COMPUTED_VALUE"""),0.0)</f>
        <v>0</v>
      </c>
      <c r="CG123" s="16" t="str">
        <f>IFERROR(__xludf.DUMMYFUNCTION("""COMPUTED_VALUE"""),"3-0")</f>
        <v>3-0</v>
      </c>
      <c r="CH123" s="16">
        <f>IFERROR(__xludf.DUMMYFUNCTION("""COMPUTED_VALUE"""),3.0)</f>
        <v>3</v>
      </c>
      <c r="CI123" s="16">
        <f>IFERROR(__xludf.DUMMYFUNCTION("""COMPUTED_VALUE"""),0.0)</f>
        <v>0</v>
      </c>
      <c r="CJ123" s="16">
        <f>IFERROR(__xludf.DUMMYFUNCTION("""COMPUTED_VALUE"""),0.0)</f>
        <v>0</v>
      </c>
      <c r="CK123" s="16">
        <f>IFERROR(__xludf.DUMMYFUNCTION("""COMPUTED_VALUE"""),20.0)</f>
        <v>20</v>
      </c>
      <c r="CL123" s="16" t="str">
        <f>IFERROR(__xludf.DUMMYFUNCTION("""COMPUTED_VALUE"""),"1WR-C")</f>
        <v>1WR-C</v>
      </c>
      <c r="CM123" s="16" t="str">
        <f>IFERROR(__xludf.DUMMYFUNCTION("""COMPUTED_VALUE"""),"E")</f>
        <v>E</v>
      </c>
      <c r="CN123" s="16">
        <f>IFERROR(__xludf.DUMMYFUNCTION("""COMPUTED_VALUE"""),10.0)</f>
        <v>10</v>
      </c>
      <c r="CO123" s="16" t="str">
        <f>IFERROR(__xludf.DUMMYFUNCTION("""COMPUTED_VALUE"""),"C")</f>
        <v>C</v>
      </c>
      <c r="CP123" s="16" t="str">
        <f>IFERROR(__xludf.DUMMYFUNCTION("""COMPUTED_VALUE"""),"1p30")</f>
        <v>1p30</v>
      </c>
      <c r="CQ123" s="16">
        <f>IFERROR(__xludf.DUMMYFUNCTION("""COMPUTED_VALUE"""),38.0)</f>
        <v>38</v>
      </c>
      <c r="CR123" s="16">
        <f>IFERROR(__xludf.DUMMYFUNCTION("""COMPUTED_VALUE"""),-2.0)</f>
        <v>-2</v>
      </c>
      <c r="CS123" s="16">
        <f>IFERROR(__xludf.DUMMYFUNCTION("""COMPUTED_VALUE"""),36.0)</f>
        <v>36</v>
      </c>
      <c r="CT123" s="16">
        <f>IFERROR(__xludf.DUMMYFUNCTION("""COMPUTED_VALUE"""),38.0)</f>
        <v>38</v>
      </c>
      <c r="CU123" s="16">
        <f>IFERROR(__xludf.DUMMYFUNCTION("""COMPUTED_VALUE"""),-2.0)</f>
        <v>-2</v>
      </c>
      <c r="CV123" s="179">
        <f>IFERROR(__xludf.DUMMYFUNCTION("""COMPUTED_VALUE"""),17.333333333333336)</f>
        <v>17.33333333</v>
      </c>
      <c r="CW123" s="179">
        <f>IFERROR(__xludf.DUMMYFUNCTION("""COMPUTED_VALUE"""),4.0)</f>
        <v>4</v>
      </c>
      <c r="CX123" s="179">
        <f>IFERROR(__xludf.DUMMYFUNCTION("""COMPUTED_VALUE"""),2.0)</f>
        <v>2</v>
      </c>
      <c r="CY123" s="16" t="str">
        <f>IFERROR(__xludf.DUMMYFUNCTION("""COMPUTED_VALUE"""),"RP")</f>
        <v>RP</v>
      </c>
      <c r="CZ123" s="16" t="str">
        <f>IFERROR(__xludf.DUMMYFUNCTION("""COMPUTED_VALUE"""),"CP")</f>
        <v>CP</v>
      </c>
      <c r="DA123" s="16"/>
      <c r="DB123" s="16"/>
      <c r="DC123" s="16"/>
      <c r="DD123" s="16"/>
      <c r="DE123" s="16"/>
      <c r="DF123" s="16"/>
      <c r="DG123" s="16"/>
      <c r="DH123" s="16"/>
      <c r="DI123" s="16"/>
      <c r="DJ123" s="16"/>
      <c r="DK123" s="16"/>
    </row>
    <row r="124">
      <c r="A124" s="16">
        <f>IFERROR(__xludf.DUMMYFUNCTION("""COMPUTED_VALUE"""),12731.0)</f>
        <v>12731</v>
      </c>
      <c r="B124" s="16" t="str">
        <f>IFERROR(__xludf.DUMMYFUNCTION("""COMPUTED_VALUE"""),"Danny Young")</f>
        <v>Danny Young</v>
      </c>
      <c r="C124" s="153">
        <f>IFERROR(__xludf.DUMMYFUNCTION("""COMPUTED_VALUE"""),0.0)</f>
        <v>0</v>
      </c>
      <c r="D124" s="16"/>
      <c r="E124" s="16" t="str">
        <f>IFERROR(__xludf.DUMMYFUNCTION("""COMPUTED_VALUE"""),"L")</f>
        <v>L</v>
      </c>
      <c r="F124" s="16">
        <f>IFERROR(__xludf.DUMMYFUNCTION("""COMPUTED_VALUE"""),38.0)</f>
        <v>38</v>
      </c>
      <c r="G124" s="16">
        <f>IFERROR(__xludf.DUMMYFUNCTION("""COMPUTED_VALUE"""),45.0)</f>
        <v>45</v>
      </c>
      <c r="H124" s="16">
        <f>IFERROR(__xludf.DUMMYFUNCTION("""COMPUTED_VALUE"""),36.0)</f>
        <v>36</v>
      </c>
      <c r="I124" s="16">
        <f>IFERROR(__xludf.DUMMYFUNCTION("""COMPUTED_VALUE"""),2.0)</f>
        <v>2</v>
      </c>
      <c r="J124" s="16">
        <f>IFERROR(__xludf.DUMMYFUNCTION("""COMPUTED_VALUE"""),1.0)</f>
        <v>1</v>
      </c>
      <c r="K124" s="16">
        <f>IFERROR(__xludf.DUMMYFUNCTION("""COMPUTED_VALUE"""),6.0)</f>
        <v>6</v>
      </c>
      <c r="L124" s="16">
        <f>IFERROR(__xludf.DUMMYFUNCTION("""COMPUTED_VALUE"""),3.0)</f>
        <v>3</v>
      </c>
      <c r="M124" s="16">
        <f>IFERROR(__xludf.DUMMYFUNCTION("""COMPUTED_VALUE"""),18.0)</f>
        <v>18</v>
      </c>
      <c r="N124" s="16">
        <f>IFERROR(__xludf.DUMMYFUNCTION("""COMPUTED_VALUE"""),13.0)</f>
        <v>13</v>
      </c>
      <c r="O124" s="16">
        <f>IFERROR(__xludf.DUMMYFUNCTION("""COMPUTED_VALUE"""),-3.0)</f>
        <v>-3</v>
      </c>
      <c r="P124" s="16">
        <f>IFERROR(__xludf.DUMMYFUNCTION("""COMPUTED_VALUE"""),-2.0)</f>
        <v>-2</v>
      </c>
      <c r="Q124" s="16">
        <f>IFERROR(__xludf.DUMMYFUNCTION("""COMPUTED_VALUE"""),-3.0)</f>
        <v>-3</v>
      </c>
      <c r="R124" s="16">
        <f>IFERROR(__xludf.DUMMYFUNCTION("""COMPUTED_VALUE"""),-2.0)</f>
        <v>-2</v>
      </c>
      <c r="S124" s="16">
        <f>IFERROR(__xludf.DUMMYFUNCTION("""COMPUTED_VALUE"""),8.4)</f>
        <v>8.4</v>
      </c>
      <c r="T124" s="16">
        <f>IFERROR(__xludf.DUMMYFUNCTION("""COMPUTED_VALUE"""),11.3)</f>
        <v>11.3</v>
      </c>
      <c r="U124" s="16">
        <f>IFERROR(__xludf.DUMMYFUNCTION("""COMPUTED_VALUE"""),1.0)</f>
        <v>1</v>
      </c>
      <c r="V124" s="16">
        <f>IFERROR(__xludf.DUMMYFUNCTION("""COMPUTED_VALUE"""),1.0)</f>
        <v>1</v>
      </c>
      <c r="W124" s="16">
        <f>IFERROR(__xludf.DUMMYFUNCTION("""COMPUTED_VALUE"""),2.0)</f>
        <v>2</v>
      </c>
      <c r="X124" s="16">
        <f>IFERROR(__xludf.DUMMYFUNCTION("""COMPUTED_VALUE"""),2.0)</f>
        <v>2</v>
      </c>
      <c r="Y124" s="16">
        <f>IFERROR(__xludf.DUMMYFUNCTION("""COMPUTED_VALUE"""),26.5)</f>
        <v>26.5</v>
      </c>
      <c r="Z124" s="16">
        <f>IFERROR(__xludf.DUMMYFUNCTION("""COMPUTED_VALUE"""),24.3)</f>
        <v>24.3</v>
      </c>
      <c r="AA124" s="16">
        <f>IFERROR(__xludf.DUMMYFUNCTION("""COMPUTED_VALUE"""),0.0)</f>
        <v>0</v>
      </c>
      <c r="AB124" s="16">
        <f>IFERROR(__xludf.DUMMYFUNCTION("""COMPUTED_VALUE"""),0.0)</f>
        <v>0</v>
      </c>
      <c r="AC124" s="16">
        <f>IFERROR(__xludf.DUMMYFUNCTION("""COMPUTED_VALUE"""),0.0)</f>
        <v>0</v>
      </c>
      <c r="AD124" s="16">
        <f>IFERROR(__xludf.DUMMYFUNCTION("""COMPUTED_VALUE"""),0.0)</f>
        <v>0</v>
      </c>
      <c r="AE124" s="16">
        <f>IFERROR(__xludf.DUMMYFUNCTION("""COMPUTED_VALUE"""),8.4)</f>
        <v>8.4</v>
      </c>
      <c r="AF124" s="16">
        <f>IFERROR(__xludf.DUMMYFUNCTION("""COMPUTED_VALUE"""),25.5)</f>
        <v>25.5</v>
      </c>
      <c r="AG124" s="16">
        <f>IFERROR(__xludf.DUMMYFUNCTION("""COMPUTED_VALUE"""),2.0)</f>
        <v>2</v>
      </c>
      <c r="AH124" s="16">
        <f>IFERROR(__xludf.DUMMYFUNCTION("""COMPUTED_VALUE"""),0.0)</f>
        <v>0</v>
      </c>
      <c r="AI124" s="16">
        <f>IFERROR(__xludf.DUMMYFUNCTION("""COMPUTED_VALUE"""),4.0)</f>
        <v>4</v>
      </c>
      <c r="AJ124" s="16">
        <f>IFERROR(__xludf.DUMMYFUNCTION("""COMPUTED_VALUE"""),0.0)</f>
        <v>0</v>
      </c>
      <c r="AK124" s="16">
        <f>IFERROR(__xludf.DUMMYFUNCTION("""COMPUTED_VALUE"""),8.4)</f>
        <v>8.4</v>
      </c>
      <c r="AL124" s="16">
        <f>IFERROR(__xludf.DUMMYFUNCTION("""COMPUTED_VALUE"""),8.9)</f>
        <v>8.9</v>
      </c>
      <c r="AM124" s="16">
        <f>IFERROR(__xludf.DUMMYFUNCTION("""COMPUTED_VALUE"""),1.0)</f>
        <v>1</v>
      </c>
      <c r="AN124" s="16">
        <f>IFERROR(__xludf.DUMMYFUNCTION("""COMPUTED_VALUE"""),1.0)</f>
        <v>1</v>
      </c>
      <c r="AO124" s="16">
        <f>IFERROR(__xludf.DUMMYFUNCTION("""COMPUTED_VALUE"""),1.0)</f>
        <v>1</v>
      </c>
      <c r="AP124" s="16">
        <f>IFERROR(__xludf.DUMMYFUNCTION("""COMPUTED_VALUE"""),1.0)</f>
        <v>1</v>
      </c>
      <c r="AQ124" s="16">
        <f>IFERROR(__xludf.DUMMYFUNCTION("""COMPUTED_VALUE"""),8.4)</f>
        <v>8.4</v>
      </c>
      <c r="AR124" s="16">
        <f>IFERROR(__xludf.DUMMYFUNCTION("""COMPUTED_VALUE"""),15.9)</f>
        <v>15.9</v>
      </c>
      <c r="AS124" s="16">
        <f>IFERROR(__xludf.DUMMYFUNCTION("""COMPUTED_VALUE"""),1.0)</f>
        <v>1</v>
      </c>
      <c r="AT124" s="16">
        <f>IFERROR(__xludf.DUMMYFUNCTION("""COMPUTED_VALUE"""),1.0)</f>
        <v>1</v>
      </c>
      <c r="AU124" s="16">
        <f>IFERROR(__xludf.DUMMYFUNCTION("""COMPUTED_VALUE"""),2.0)</f>
        <v>2</v>
      </c>
      <c r="AV124" s="16">
        <f>IFERROR(__xludf.DUMMYFUNCTION("""COMPUTED_VALUE"""),2.0)</f>
        <v>2</v>
      </c>
      <c r="AW124" s="16">
        <f>IFERROR(__xludf.DUMMYFUNCTION("""COMPUTED_VALUE"""),0.0)</f>
        <v>0</v>
      </c>
      <c r="AX124" s="16">
        <f>IFERROR(__xludf.DUMMYFUNCTION("""COMPUTED_VALUE"""),2.4)</f>
        <v>2.4</v>
      </c>
      <c r="AY124" s="16">
        <f>IFERROR(__xludf.DUMMYFUNCTION("""COMPUTED_VALUE"""),2.0)</f>
        <v>2</v>
      </c>
      <c r="AZ124" s="16">
        <f>IFERROR(__xludf.DUMMYFUNCTION("""COMPUTED_VALUE"""),0.0)</f>
        <v>0</v>
      </c>
      <c r="BA124" s="16">
        <f>IFERROR(__xludf.DUMMYFUNCTION("""COMPUTED_VALUE"""),10.0)</f>
        <v>10</v>
      </c>
      <c r="BB124" s="16">
        <f>IFERROR(__xludf.DUMMYFUNCTION("""COMPUTED_VALUE"""),0.0)</f>
        <v>0</v>
      </c>
      <c r="BC124" s="16">
        <f>IFERROR(__xludf.DUMMYFUNCTION("""COMPUTED_VALUE"""),0.0)</f>
        <v>0</v>
      </c>
      <c r="BD124" s="16">
        <f>IFERROR(__xludf.DUMMYFUNCTION("""COMPUTED_VALUE"""),3.0)</f>
        <v>3</v>
      </c>
      <c r="BE124" s="16">
        <f>IFERROR(__xludf.DUMMYFUNCTION("""COMPUTED_VALUE"""),0.0)</f>
        <v>0</v>
      </c>
      <c r="BF124" s="16">
        <f>IFERROR(__xludf.DUMMYFUNCTION("""COMPUTED_VALUE"""),3.0)</f>
        <v>3</v>
      </c>
      <c r="BG124" s="16">
        <f>IFERROR(__xludf.DUMMYFUNCTION("""COMPUTED_VALUE"""),3.0)</f>
        <v>3</v>
      </c>
      <c r="BH124" s="16">
        <f>IFERROR(__xludf.DUMMYFUNCTION("""COMPUTED_VALUE"""),0.0)</f>
        <v>0</v>
      </c>
      <c r="BI124" s="16">
        <f>IFERROR(__xludf.DUMMYFUNCTION("""COMPUTED_VALUE"""),6.0)</f>
        <v>6</v>
      </c>
      <c r="BJ124" s="16">
        <f>IFERROR(__xludf.DUMMYFUNCTION("""COMPUTED_VALUE"""),0.0)</f>
        <v>0</v>
      </c>
      <c r="BK124" s="16">
        <f>IFERROR(__xludf.DUMMYFUNCTION("""COMPUTED_VALUE"""),5.0)</f>
        <v>5</v>
      </c>
      <c r="BL124" s="16">
        <f>IFERROR(__xludf.DUMMYFUNCTION("""COMPUTED_VALUE"""),5.0)</f>
        <v>5</v>
      </c>
      <c r="BM124" s="16">
        <f>IFERROR(__xludf.DUMMYFUNCTION("""COMPUTED_VALUE"""),0.0)</f>
        <v>0</v>
      </c>
      <c r="BN124" s="16">
        <f>IFERROR(__xludf.DUMMYFUNCTION("""COMPUTED_VALUE"""),0.0)</f>
        <v>0</v>
      </c>
      <c r="BO124" s="16">
        <f>IFERROR(__xludf.DUMMYFUNCTION("""COMPUTED_VALUE"""),0.0)</f>
        <v>0</v>
      </c>
      <c r="BP124" s="16">
        <f>IFERROR(__xludf.DUMMYFUNCTION("""COMPUTED_VALUE"""),0.0)</f>
        <v>0</v>
      </c>
      <c r="BQ124" s="16">
        <f>IFERROR(__xludf.DUMMYFUNCTION("""COMPUTED_VALUE"""),1.0)</f>
        <v>1</v>
      </c>
      <c r="BR124" s="16">
        <f>IFERROR(__xludf.DUMMYFUNCTION("""COMPUTED_VALUE"""),3.0)</f>
        <v>3</v>
      </c>
      <c r="BS124" s="16">
        <f>IFERROR(__xludf.DUMMYFUNCTION("""COMPUTED_VALUE"""),-2.0)</f>
        <v>-2</v>
      </c>
      <c r="BT124" s="16">
        <f>IFERROR(__xludf.DUMMYFUNCTION("""COMPUTED_VALUE"""),-1.0)</f>
        <v>-1</v>
      </c>
      <c r="BU124" s="16">
        <f>IFERROR(__xludf.DUMMYFUNCTION("""COMPUTED_VALUE"""),-4.0)</f>
        <v>-4</v>
      </c>
      <c r="BV124" s="16">
        <f>IFERROR(__xludf.DUMMYFUNCTION("""COMPUTED_VALUE"""),-2.0)</f>
        <v>-2</v>
      </c>
      <c r="BW124" s="16">
        <f>IFERROR(__xludf.DUMMYFUNCTION("""COMPUTED_VALUE"""),-1.0)</f>
        <v>-1</v>
      </c>
      <c r="BX124" s="16">
        <f>IFERROR(__xludf.DUMMYFUNCTION("""COMPUTED_VALUE"""),-1.0)</f>
        <v>-1</v>
      </c>
      <c r="BY124" s="16" t="str">
        <f>IFERROR(__xludf.DUMMYFUNCTION("""COMPUTED_VALUE"""),"R(1)")</f>
        <v>R(1)</v>
      </c>
      <c r="BZ124" s="16" t="str">
        <f>IFERROR(__xludf.DUMMYFUNCTION("""COMPUTED_VALUE"""),"R(1)")</f>
        <v>R(1)</v>
      </c>
      <c r="CA124" s="16" t="str">
        <f>IFERROR(__xludf.DUMMYFUNCTION("""COMPUTED_VALUE"""),"R(1)")</f>
        <v>R(1)</v>
      </c>
      <c r="CB124" s="16"/>
      <c r="CC124" s="16"/>
      <c r="CD124" s="16"/>
      <c r="CE124" s="16">
        <f>IFERROR(__xludf.DUMMYFUNCTION("""COMPUTED_VALUE"""),1.0)</f>
        <v>1</v>
      </c>
      <c r="CF124" s="16"/>
      <c r="CG124" s="16" t="str">
        <f>IFERROR(__xludf.DUMMYFUNCTION("""COMPUTED_VALUE"""),"4-51")</f>
        <v>4-51</v>
      </c>
      <c r="CH124" s="16">
        <f>IFERROR(__xludf.DUMMYFUNCTION("""COMPUTED_VALUE"""),4.0)</f>
        <v>4</v>
      </c>
      <c r="CI124" s="16">
        <f>IFERROR(__xludf.DUMMYFUNCTION("""COMPUTED_VALUE"""),51.0)</f>
        <v>51</v>
      </c>
      <c r="CJ124" s="16">
        <f>IFERROR(__xludf.DUMMYFUNCTION("""COMPUTED_VALUE"""),0.0)</f>
        <v>0</v>
      </c>
      <c r="CK124" s="16">
        <f>IFERROR(__xludf.DUMMYFUNCTION("""COMPUTED_VALUE"""),20.0)</f>
        <v>20</v>
      </c>
      <c r="CL124" s="16" t="str">
        <f>IFERROR(__xludf.DUMMYFUNCTION("""COMPUTED_VALUE"""),"1WL-C")</f>
        <v>1WL-C</v>
      </c>
      <c r="CM124" s="16" t="str">
        <f>IFERROR(__xludf.DUMMYFUNCTION("""COMPUTED_VALUE"""),"E")</f>
        <v>E</v>
      </c>
      <c r="CN124" s="16">
        <f>IFERROR(__xludf.DUMMYFUNCTION("""COMPUTED_VALUE"""),10.0)</f>
        <v>10</v>
      </c>
      <c r="CO124" s="16" t="str">
        <f>IFERROR(__xludf.DUMMYFUNCTION("""COMPUTED_VALUE"""),"C")</f>
        <v>C</v>
      </c>
      <c r="CP124" s="16" t="str">
        <f>IFERROR(__xludf.DUMMYFUNCTION("""COMPUTED_VALUE"""),"1p30")</f>
        <v>1p30</v>
      </c>
      <c r="CQ124" s="16">
        <f>IFERROR(__xludf.DUMMYFUNCTION("""COMPUTED_VALUE"""),24.0)</f>
        <v>24</v>
      </c>
      <c r="CR124" s="16">
        <f>IFERROR(__xludf.DUMMYFUNCTION("""COMPUTED_VALUE"""),4.0)</f>
        <v>4</v>
      </c>
      <c r="CS124" s="16">
        <f>IFERROR(__xludf.DUMMYFUNCTION("""COMPUTED_VALUE"""),28.0)</f>
        <v>28</v>
      </c>
      <c r="CT124" s="16">
        <f>IFERROR(__xludf.DUMMYFUNCTION("""COMPUTED_VALUE"""),24.0)</f>
        <v>24</v>
      </c>
      <c r="CU124" s="16">
        <f>IFERROR(__xludf.DUMMYFUNCTION("""COMPUTED_VALUE"""),4.0)</f>
        <v>4</v>
      </c>
      <c r="CV124" s="179">
        <f>IFERROR(__xludf.DUMMYFUNCTION("""COMPUTED_VALUE"""),16.666666666666664)</f>
        <v>16.66666667</v>
      </c>
      <c r="CW124" s="179">
        <f>IFERROR(__xludf.DUMMYFUNCTION("""COMPUTED_VALUE"""),4.0)</f>
        <v>4</v>
      </c>
      <c r="CX124" s="179">
        <f>IFERROR(__xludf.DUMMYFUNCTION("""COMPUTED_VALUE"""),2.0)</f>
        <v>2</v>
      </c>
      <c r="CY124" s="16" t="str">
        <f>IFERROR(__xludf.DUMMYFUNCTION("""COMPUTED_VALUE"""),"RP")</f>
        <v>RP</v>
      </c>
      <c r="CZ124" s="16"/>
      <c r="DA124" s="16"/>
      <c r="DB124" s="16"/>
      <c r="DC124" s="16"/>
      <c r="DD124" s="16"/>
      <c r="DE124" s="16"/>
      <c r="DF124" s="16"/>
      <c r="DG124" s="16"/>
      <c r="DH124" s="16"/>
      <c r="DI124" s="16"/>
      <c r="DJ124" s="16"/>
      <c r="DK124" s="16"/>
    </row>
    <row r="125">
      <c r="A125" s="16">
        <f>IFERROR(__xludf.DUMMYFUNCTION("""COMPUTED_VALUE"""),13286.0)</f>
        <v>13286</v>
      </c>
      <c r="B125" s="16" t="str">
        <f>IFERROR(__xludf.DUMMYFUNCTION("""COMPUTED_VALUE"""),"Pete Fairbanks")</f>
        <v>Pete Fairbanks</v>
      </c>
      <c r="C125" s="153">
        <f>IFERROR(__xludf.DUMMYFUNCTION("""COMPUTED_VALUE"""),0.85)</f>
        <v>0.85</v>
      </c>
      <c r="D125" s="16"/>
      <c r="E125" s="16" t="str">
        <f>IFERROR(__xludf.DUMMYFUNCTION("""COMPUTED_VALUE"""),"R")</f>
        <v>R</v>
      </c>
      <c r="F125" s="16">
        <f>IFERROR(__xludf.DUMMYFUNCTION("""COMPUTED_VALUE"""),45.0)</f>
        <v>45</v>
      </c>
      <c r="G125" s="16">
        <f>IFERROR(__xludf.DUMMYFUNCTION("""COMPUTED_VALUE"""),26.0)</f>
        <v>26</v>
      </c>
      <c r="H125" s="16">
        <f>IFERROR(__xludf.DUMMYFUNCTION("""COMPUTED_VALUE"""),29.0)</f>
        <v>29</v>
      </c>
      <c r="I125" s="16">
        <f>IFERROR(__xludf.DUMMYFUNCTION("""COMPUTED_VALUE"""),0.0)</f>
        <v>0</v>
      </c>
      <c r="J125" s="16">
        <f>IFERROR(__xludf.DUMMYFUNCTION("""COMPUTED_VALUE"""),0.0)</f>
        <v>0</v>
      </c>
      <c r="K125" s="16">
        <f>IFERROR(__xludf.DUMMYFUNCTION("""COMPUTED_VALUE"""),0.0)</f>
        <v>0</v>
      </c>
      <c r="L125" s="16">
        <f>IFERROR(__xludf.DUMMYFUNCTION("""COMPUTED_VALUE"""),0.0)</f>
        <v>0</v>
      </c>
      <c r="M125" s="16">
        <f>IFERROR(__xludf.DUMMYFUNCTION("""COMPUTED_VALUE"""),9.0)</f>
        <v>9</v>
      </c>
      <c r="N125" s="16">
        <f>IFERROR(__xludf.DUMMYFUNCTION("""COMPUTED_VALUE"""),9.0)</f>
        <v>9</v>
      </c>
      <c r="O125" s="16">
        <f>IFERROR(__xludf.DUMMYFUNCTION("""COMPUTED_VALUE"""),0.0)</f>
        <v>0</v>
      </c>
      <c r="P125" s="16">
        <f>IFERROR(__xludf.DUMMYFUNCTION("""COMPUTED_VALUE"""),0.0)</f>
        <v>0</v>
      </c>
      <c r="Q125" s="16">
        <f>IFERROR(__xludf.DUMMYFUNCTION("""COMPUTED_VALUE"""),0.0)</f>
        <v>0</v>
      </c>
      <c r="R125" s="16">
        <f>IFERROR(__xludf.DUMMYFUNCTION("""COMPUTED_VALUE"""),0.0)</f>
        <v>0</v>
      </c>
      <c r="S125" s="16">
        <f>IFERROR(__xludf.DUMMYFUNCTION("""COMPUTED_VALUE"""),20.4)</f>
        <v>20.4</v>
      </c>
      <c r="T125" s="16">
        <f>IFERROR(__xludf.DUMMYFUNCTION("""COMPUTED_VALUE"""),5.4)</f>
        <v>5.4</v>
      </c>
      <c r="U125" s="16">
        <f>IFERROR(__xludf.DUMMYFUNCTION("""COMPUTED_VALUE"""),-1.0)</f>
        <v>-1</v>
      </c>
      <c r="V125" s="16">
        <f>IFERROR(__xludf.DUMMYFUNCTION("""COMPUTED_VALUE"""),2.0)</f>
        <v>2</v>
      </c>
      <c r="W125" s="16">
        <f>IFERROR(__xludf.DUMMYFUNCTION("""COMPUTED_VALUE"""),-2.0)</f>
        <v>-2</v>
      </c>
      <c r="X125" s="16">
        <f>IFERROR(__xludf.DUMMYFUNCTION("""COMPUTED_VALUE"""),4.0)</f>
        <v>4</v>
      </c>
      <c r="Y125" s="16">
        <f>IFERROR(__xludf.DUMMYFUNCTION("""COMPUTED_VALUE"""),29.4)</f>
        <v>29.4</v>
      </c>
      <c r="Z125" s="16">
        <f>IFERROR(__xludf.DUMMYFUNCTION("""COMPUTED_VALUE"""),14.4)</f>
        <v>14.4</v>
      </c>
      <c r="AA125" s="16">
        <f>IFERROR(__xludf.DUMMYFUNCTION("""COMPUTED_VALUE"""),0.0)</f>
        <v>0</v>
      </c>
      <c r="AB125" s="16">
        <f>IFERROR(__xludf.DUMMYFUNCTION("""COMPUTED_VALUE"""),2.0)</f>
        <v>2</v>
      </c>
      <c r="AC125" s="16">
        <f>IFERROR(__xludf.DUMMYFUNCTION("""COMPUTED_VALUE"""),0.0)</f>
        <v>0</v>
      </c>
      <c r="AD125" s="16">
        <f>IFERROR(__xludf.DUMMYFUNCTION("""COMPUTED_VALUE"""),10.0)</f>
        <v>10</v>
      </c>
      <c r="AE125" s="16">
        <f>IFERROR(__xludf.DUMMYFUNCTION("""COMPUTED_VALUE"""),22.1)</f>
        <v>22.1</v>
      </c>
      <c r="AF125" s="16">
        <f>IFERROR(__xludf.DUMMYFUNCTION("""COMPUTED_VALUE"""),9.3)</f>
        <v>9.3</v>
      </c>
      <c r="AG125" s="16">
        <f>IFERROR(__xludf.DUMMYFUNCTION("""COMPUTED_VALUE"""),1.0)</f>
        <v>1</v>
      </c>
      <c r="AH125" s="16">
        <f>IFERROR(__xludf.DUMMYFUNCTION("""COMPUTED_VALUE"""),2.0)</f>
        <v>2</v>
      </c>
      <c r="AI125" s="16">
        <f>IFERROR(__xludf.DUMMYFUNCTION("""COMPUTED_VALUE"""),2.0)</f>
        <v>2</v>
      </c>
      <c r="AJ125" s="16">
        <f>IFERROR(__xludf.DUMMYFUNCTION("""COMPUTED_VALUE"""),4.0)</f>
        <v>4</v>
      </c>
      <c r="AK125" s="16">
        <f>IFERROR(__xludf.DUMMYFUNCTION("""COMPUTED_VALUE"""),19.799999999999997)</f>
        <v>19.8</v>
      </c>
      <c r="AL125" s="16">
        <f>IFERROR(__xludf.DUMMYFUNCTION("""COMPUTED_VALUE"""),4.2)</f>
        <v>4.2</v>
      </c>
      <c r="AM125" s="16">
        <f>IFERROR(__xludf.DUMMYFUNCTION("""COMPUTED_VALUE"""),-1.0)</f>
        <v>-1</v>
      </c>
      <c r="AN125" s="16">
        <f>IFERROR(__xludf.DUMMYFUNCTION("""COMPUTED_VALUE"""),2.0)</f>
        <v>2</v>
      </c>
      <c r="AO125" s="16">
        <f>IFERROR(__xludf.DUMMYFUNCTION("""COMPUTED_VALUE"""),-1.0)</f>
        <v>-1</v>
      </c>
      <c r="AP125" s="16">
        <f>IFERROR(__xludf.DUMMYFUNCTION("""COMPUTED_VALUE"""),2.0)</f>
        <v>2</v>
      </c>
      <c r="AQ125" s="16">
        <f>IFERROR(__xludf.DUMMYFUNCTION("""COMPUTED_VALUE"""),19.700000000000003)</f>
        <v>19.7</v>
      </c>
      <c r="AR125" s="16">
        <f>IFERROR(__xludf.DUMMYFUNCTION("""COMPUTED_VALUE"""),4.500000000000001)</f>
        <v>4.5</v>
      </c>
      <c r="AS125" s="16">
        <f>IFERROR(__xludf.DUMMYFUNCTION("""COMPUTED_VALUE"""),0.0)</f>
        <v>0</v>
      </c>
      <c r="AT125" s="16">
        <f>IFERROR(__xludf.DUMMYFUNCTION("""COMPUTED_VALUE"""),2.0)</f>
        <v>2</v>
      </c>
      <c r="AU125" s="16">
        <f>IFERROR(__xludf.DUMMYFUNCTION("""COMPUTED_VALUE"""),0.0)</f>
        <v>0</v>
      </c>
      <c r="AV125" s="16">
        <f>IFERROR(__xludf.DUMMYFUNCTION("""COMPUTED_VALUE"""),4.0)</f>
        <v>4</v>
      </c>
      <c r="AW125" s="16">
        <f>IFERROR(__xludf.DUMMYFUNCTION("""COMPUTED_VALUE"""),0.6)</f>
        <v>0.6</v>
      </c>
      <c r="AX125" s="16">
        <f>IFERROR(__xludf.DUMMYFUNCTION("""COMPUTED_VALUE"""),1.2)</f>
        <v>1.2</v>
      </c>
      <c r="AY125" s="16">
        <f>IFERROR(__xludf.DUMMYFUNCTION("""COMPUTED_VALUE"""),2.0)</f>
        <v>2</v>
      </c>
      <c r="AZ125" s="16">
        <f>IFERROR(__xludf.DUMMYFUNCTION("""COMPUTED_VALUE"""),1.0)</f>
        <v>1</v>
      </c>
      <c r="BA125" s="16">
        <f>IFERROR(__xludf.DUMMYFUNCTION("""COMPUTED_VALUE"""),10.0)</f>
        <v>10</v>
      </c>
      <c r="BB125" s="16">
        <f>IFERROR(__xludf.DUMMYFUNCTION("""COMPUTED_VALUE"""),5.0)</f>
        <v>5</v>
      </c>
      <c r="BC125" s="16">
        <f>IFERROR(__xludf.DUMMYFUNCTION("""COMPUTED_VALUE"""),1.0)</f>
        <v>1</v>
      </c>
      <c r="BD125" s="16">
        <f>IFERROR(__xludf.DUMMYFUNCTION("""COMPUTED_VALUE"""),1.0)</f>
        <v>1</v>
      </c>
      <c r="BE125" s="16">
        <f>IFERROR(__xludf.DUMMYFUNCTION("""COMPUTED_VALUE"""),1.0)</f>
        <v>1</v>
      </c>
      <c r="BF125" s="16">
        <f>IFERROR(__xludf.DUMMYFUNCTION("""COMPUTED_VALUE"""),1.0)</f>
        <v>1</v>
      </c>
      <c r="BG125" s="16">
        <f>IFERROR(__xludf.DUMMYFUNCTION("""COMPUTED_VALUE"""),2.0)</f>
        <v>2</v>
      </c>
      <c r="BH125" s="16">
        <f>IFERROR(__xludf.DUMMYFUNCTION("""COMPUTED_VALUE"""),2.0)</f>
        <v>2</v>
      </c>
      <c r="BI125" s="16">
        <f>IFERROR(__xludf.DUMMYFUNCTION("""COMPUTED_VALUE"""),4.0)</f>
        <v>4</v>
      </c>
      <c r="BJ125" s="16">
        <f>IFERROR(__xludf.DUMMYFUNCTION("""COMPUTED_VALUE"""),4.0)</f>
        <v>4</v>
      </c>
      <c r="BK125" s="16">
        <f>IFERROR(__xludf.DUMMYFUNCTION("""COMPUTED_VALUE"""),5.0)</f>
        <v>5</v>
      </c>
      <c r="BL125" s="16">
        <f>IFERROR(__xludf.DUMMYFUNCTION("""COMPUTED_VALUE"""),5.0)</f>
        <v>5</v>
      </c>
      <c r="BM125" s="16">
        <f>IFERROR(__xludf.DUMMYFUNCTION("""COMPUTED_VALUE"""),0.0)</f>
        <v>0</v>
      </c>
      <c r="BN125" s="16">
        <f>IFERROR(__xludf.DUMMYFUNCTION("""COMPUTED_VALUE"""),0.0)</f>
        <v>0</v>
      </c>
      <c r="BO125" s="16">
        <f>IFERROR(__xludf.DUMMYFUNCTION("""COMPUTED_VALUE"""),0.0)</f>
        <v>0</v>
      </c>
      <c r="BP125" s="16">
        <f>IFERROR(__xludf.DUMMYFUNCTION("""COMPUTED_VALUE"""),0.0)</f>
        <v>0</v>
      </c>
      <c r="BQ125" s="16">
        <f>IFERROR(__xludf.DUMMYFUNCTION("""COMPUTED_VALUE"""),2.0)</f>
        <v>2</v>
      </c>
      <c r="BR125" s="16">
        <f>IFERROR(__xludf.DUMMYFUNCTION("""COMPUTED_VALUE"""),2.0)</f>
        <v>2</v>
      </c>
      <c r="BS125" s="16">
        <f>IFERROR(__xludf.DUMMYFUNCTION("""COMPUTED_VALUE"""),-2.0)</f>
        <v>-2</v>
      </c>
      <c r="BT125" s="16">
        <f>IFERROR(__xludf.DUMMYFUNCTION("""COMPUTED_VALUE"""),-2.0)</f>
        <v>-2</v>
      </c>
      <c r="BU125" s="16">
        <f>IFERROR(__xludf.DUMMYFUNCTION("""COMPUTED_VALUE"""),-4.0)</f>
        <v>-4</v>
      </c>
      <c r="BV125" s="16">
        <f>IFERROR(__xludf.DUMMYFUNCTION("""COMPUTED_VALUE"""),-4.0)</f>
        <v>-4</v>
      </c>
      <c r="BW125" s="16">
        <f>IFERROR(__xludf.DUMMYFUNCTION("""COMPUTED_VALUE"""),0.0)</f>
        <v>0</v>
      </c>
      <c r="BX125" s="16">
        <f>IFERROR(__xludf.DUMMYFUNCTION("""COMPUTED_VALUE"""),0.0)</f>
        <v>0</v>
      </c>
      <c r="BY125" s="16" t="str">
        <f>IFERROR(__xludf.DUMMYFUNCTION("""COMPUTED_VALUE"""),"R(1) C(5)")</f>
        <v>R(1) C(5)</v>
      </c>
      <c r="BZ125" s="16" t="str">
        <f>IFERROR(__xludf.DUMMYFUNCTION("""COMPUTED_VALUE"""),"R(1) C(5)")</f>
        <v>R(1) C(5)</v>
      </c>
      <c r="CA125" s="16" t="str">
        <f>IFERROR(__xludf.DUMMYFUNCTION("""COMPUTED_VALUE"""),"R(1)")</f>
        <v>R(1)</v>
      </c>
      <c r="CB125" s="16" t="str">
        <f>IFERROR(__xludf.DUMMYFUNCTION("""COMPUTED_VALUE"""),"C(5)")</f>
        <v>C(5)</v>
      </c>
      <c r="CC125" s="16"/>
      <c r="CD125" s="16"/>
      <c r="CE125" s="16">
        <f>IFERROR(__xludf.DUMMYFUNCTION("""COMPUTED_VALUE"""),1.0)</f>
        <v>1</v>
      </c>
      <c r="CF125" s="16">
        <f>IFERROR(__xludf.DUMMYFUNCTION("""COMPUTED_VALUE"""),5.0)</f>
        <v>5</v>
      </c>
      <c r="CG125" s="16" t="str">
        <f>IFERROR(__xludf.DUMMYFUNCTION("""COMPUTED_VALUE"""),"3-0")</f>
        <v>3-0</v>
      </c>
      <c r="CH125" s="16">
        <f>IFERROR(__xludf.DUMMYFUNCTION("""COMPUTED_VALUE"""),3.0)</f>
        <v>3</v>
      </c>
      <c r="CI125" s="16">
        <f>IFERROR(__xludf.DUMMYFUNCTION("""COMPUTED_VALUE"""),0.0)</f>
        <v>0</v>
      </c>
      <c r="CJ125" s="16">
        <f>IFERROR(__xludf.DUMMYFUNCTION("""COMPUTED_VALUE"""),8.0)</f>
        <v>8</v>
      </c>
      <c r="CK125" s="16">
        <f>IFERROR(__xludf.DUMMYFUNCTION("""COMPUTED_VALUE"""),10.0)</f>
        <v>10</v>
      </c>
      <c r="CL125" s="16" t="str">
        <f>IFERROR(__xludf.DUMMYFUNCTION("""COMPUTED_VALUE"""),"1WR-C")</f>
        <v>1WR-C</v>
      </c>
      <c r="CM125" s="16" t="str">
        <f>IFERROR(__xludf.DUMMYFUNCTION("""COMPUTED_VALUE"""),"E")</f>
        <v>E</v>
      </c>
      <c r="CN125" s="16">
        <f>IFERROR(__xludf.DUMMYFUNCTION("""COMPUTED_VALUE"""),10.0)</f>
        <v>10</v>
      </c>
      <c r="CO125" s="16" t="str">
        <f>IFERROR(__xludf.DUMMYFUNCTION("""COMPUTED_VALUE"""),"C")</f>
        <v>C</v>
      </c>
      <c r="CP125" s="16" t="str">
        <f>IFERROR(__xludf.DUMMYFUNCTION("""COMPUTED_VALUE"""),"5p40")</f>
        <v>5p40</v>
      </c>
      <c r="CQ125" s="16">
        <f>IFERROR(__xludf.DUMMYFUNCTION("""COMPUTED_VALUE"""),9.0)</f>
        <v>9</v>
      </c>
      <c r="CR125" s="16">
        <f>IFERROR(__xludf.DUMMYFUNCTION("""COMPUTED_VALUE"""),29.0)</f>
        <v>29</v>
      </c>
      <c r="CS125" s="16">
        <f>IFERROR(__xludf.DUMMYFUNCTION("""COMPUTED_VALUE"""),38.0)</f>
        <v>38</v>
      </c>
      <c r="CT125" s="16">
        <f>IFERROR(__xludf.DUMMYFUNCTION("""COMPUTED_VALUE"""),9.0)</f>
        <v>9</v>
      </c>
      <c r="CU125" s="16">
        <f>IFERROR(__xludf.DUMMYFUNCTION("""COMPUTED_VALUE"""),29.0)</f>
        <v>29</v>
      </c>
      <c r="CV125" s="179">
        <f>IFERROR(__xludf.DUMMYFUNCTION("""COMPUTED_VALUE"""),16.666666666666664)</f>
        <v>16.66666667</v>
      </c>
      <c r="CW125" s="179">
        <f>IFERROR(__xludf.DUMMYFUNCTION("""COMPUTED_VALUE"""),0.0)</f>
        <v>0</v>
      </c>
      <c r="CX125" s="179">
        <f>IFERROR(__xludf.DUMMYFUNCTION("""COMPUTED_VALUE"""),1.0)</f>
        <v>1</v>
      </c>
      <c r="CY125" s="16" t="str">
        <f>IFERROR(__xludf.DUMMYFUNCTION("""COMPUTED_VALUE"""),"RP")</f>
        <v>RP</v>
      </c>
      <c r="CZ125" s="16" t="str">
        <f>IFERROR(__xludf.DUMMYFUNCTION("""COMPUTED_VALUE"""),"CP")</f>
        <v>CP</v>
      </c>
      <c r="DA125" s="16"/>
      <c r="DB125" s="16"/>
      <c r="DC125" s="16"/>
      <c r="DD125" s="16"/>
      <c r="DE125" s="16"/>
      <c r="DF125" s="16"/>
      <c r="DG125" s="16"/>
      <c r="DH125" s="16"/>
      <c r="DI125" s="16"/>
      <c r="DJ125" s="16"/>
      <c r="DK125" s="16"/>
    </row>
    <row r="126">
      <c r="A126" s="16">
        <f>IFERROR(__xludf.DUMMYFUNCTION("""COMPUTED_VALUE"""),12829.0)</f>
        <v>12829</v>
      </c>
      <c r="B126" s="16" t="str">
        <f>IFERROR(__xludf.DUMMYFUNCTION("""COMPUTED_VALUE"""),"Garrett Cleavinger")</f>
        <v>Garrett Cleavinger</v>
      </c>
      <c r="C126" s="153">
        <f>IFERROR(__xludf.DUMMYFUNCTION("""COMPUTED_VALUE"""),0.64)</f>
        <v>0.64</v>
      </c>
      <c r="D126" s="16"/>
      <c r="E126" s="16" t="str">
        <f>IFERROR(__xludf.DUMMYFUNCTION("""COMPUTED_VALUE"""),"L")</f>
        <v>L</v>
      </c>
      <c r="F126" s="16">
        <f>IFERROR(__xludf.DUMMYFUNCTION("""COMPUTED_VALUE"""),60.0)</f>
        <v>60</v>
      </c>
      <c r="G126" s="16">
        <f>IFERROR(__xludf.DUMMYFUNCTION("""COMPUTED_VALUE"""),37.0)</f>
        <v>37</v>
      </c>
      <c r="H126" s="16">
        <f>IFERROR(__xludf.DUMMYFUNCTION("""COMPUTED_VALUE"""),33.0)</f>
        <v>33</v>
      </c>
      <c r="I126" s="16">
        <f>IFERROR(__xludf.DUMMYFUNCTION("""COMPUTED_VALUE"""),1.0)</f>
        <v>1</v>
      </c>
      <c r="J126" s="16">
        <f>IFERROR(__xludf.DUMMYFUNCTION("""COMPUTED_VALUE"""),1.0)</f>
        <v>1</v>
      </c>
      <c r="K126" s="16">
        <f>IFERROR(__xludf.DUMMYFUNCTION("""COMPUTED_VALUE"""),3.0)</f>
        <v>3</v>
      </c>
      <c r="L126" s="16">
        <f>IFERROR(__xludf.DUMMYFUNCTION("""COMPUTED_VALUE"""),3.0)</f>
        <v>3</v>
      </c>
      <c r="M126" s="16">
        <f>IFERROR(__xludf.DUMMYFUNCTION("""COMPUTED_VALUE"""),16.0)</f>
        <v>16</v>
      </c>
      <c r="N126" s="16">
        <f>IFERROR(__xludf.DUMMYFUNCTION("""COMPUTED_VALUE"""),18.0)</f>
        <v>18</v>
      </c>
      <c r="O126" s="16">
        <f>IFERROR(__xludf.DUMMYFUNCTION("""COMPUTED_VALUE"""),-2.0)</f>
        <v>-2</v>
      </c>
      <c r="P126" s="16">
        <f>IFERROR(__xludf.DUMMYFUNCTION("""COMPUTED_VALUE"""),-3.0)</f>
        <v>-3</v>
      </c>
      <c r="Q126" s="16">
        <f>IFERROR(__xludf.DUMMYFUNCTION("""COMPUTED_VALUE"""),-2.0)</f>
        <v>-2</v>
      </c>
      <c r="R126" s="16">
        <f>IFERROR(__xludf.DUMMYFUNCTION("""COMPUTED_VALUE"""),-3.0)</f>
        <v>-3</v>
      </c>
      <c r="S126" s="16">
        <f>IFERROR(__xludf.DUMMYFUNCTION("""COMPUTED_VALUE"""),15.4)</f>
        <v>15.4</v>
      </c>
      <c r="T126" s="16">
        <f>IFERROR(__xludf.DUMMYFUNCTION("""COMPUTED_VALUE"""),6.3)</f>
        <v>6.3</v>
      </c>
      <c r="U126" s="16">
        <f>IFERROR(__xludf.DUMMYFUNCTION("""COMPUTED_VALUE"""),0.0)</f>
        <v>0</v>
      </c>
      <c r="V126" s="16">
        <f>IFERROR(__xludf.DUMMYFUNCTION("""COMPUTED_VALUE"""),2.0)</f>
        <v>2</v>
      </c>
      <c r="W126" s="16">
        <f>IFERROR(__xludf.DUMMYFUNCTION("""COMPUTED_VALUE"""),0.0)</f>
        <v>0</v>
      </c>
      <c r="X126" s="16">
        <f>IFERROR(__xludf.DUMMYFUNCTION("""COMPUTED_VALUE"""),4.0)</f>
        <v>4</v>
      </c>
      <c r="Y126" s="16">
        <f>IFERROR(__xludf.DUMMYFUNCTION("""COMPUTED_VALUE"""),31.5)</f>
        <v>31.5</v>
      </c>
      <c r="Z126" s="16">
        <f>IFERROR(__xludf.DUMMYFUNCTION("""COMPUTED_VALUE"""),24.3)</f>
        <v>24.3</v>
      </c>
      <c r="AA126" s="16">
        <f>IFERROR(__xludf.DUMMYFUNCTION("""COMPUTED_VALUE"""),-1.0)</f>
        <v>-1</v>
      </c>
      <c r="AB126" s="16">
        <f>IFERROR(__xludf.DUMMYFUNCTION("""COMPUTED_VALUE"""),0.0)</f>
        <v>0</v>
      </c>
      <c r="AC126" s="16">
        <f>IFERROR(__xludf.DUMMYFUNCTION("""COMPUTED_VALUE"""),-5.0)</f>
        <v>-5</v>
      </c>
      <c r="AD126" s="16">
        <f>IFERROR(__xludf.DUMMYFUNCTION("""COMPUTED_VALUE"""),0.0)</f>
        <v>0</v>
      </c>
      <c r="AE126" s="16">
        <f>IFERROR(__xludf.DUMMYFUNCTION("""COMPUTED_VALUE"""),19.5)</f>
        <v>19.5</v>
      </c>
      <c r="AF126" s="16">
        <f>IFERROR(__xludf.DUMMYFUNCTION("""COMPUTED_VALUE"""),13.1)</f>
        <v>13.1</v>
      </c>
      <c r="AG126" s="16">
        <f>IFERROR(__xludf.DUMMYFUNCTION("""COMPUTED_VALUE"""),1.0)</f>
        <v>1</v>
      </c>
      <c r="AH126" s="16">
        <f>IFERROR(__xludf.DUMMYFUNCTION("""COMPUTED_VALUE"""),2.0)</f>
        <v>2</v>
      </c>
      <c r="AI126" s="16">
        <f>IFERROR(__xludf.DUMMYFUNCTION("""COMPUTED_VALUE"""),2.0)</f>
        <v>2</v>
      </c>
      <c r="AJ126" s="16">
        <f>IFERROR(__xludf.DUMMYFUNCTION("""COMPUTED_VALUE"""),4.0)</f>
        <v>4</v>
      </c>
      <c r="AK126" s="16">
        <f>IFERROR(__xludf.DUMMYFUNCTION("""COMPUTED_VALUE"""),15.4)</f>
        <v>15.4</v>
      </c>
      <c r="AL126" s="16">
        <f>IFERROR(__xludf.DUMMYFUNCTION("""COMPUTED_VALUE"""),4.699999999999999)</f>
        <v>4.7</v>
      </c>
      <c r="AM126" s="16">
        <f>IFERROR(__xludf.DUMMYFUNCTION("""COMPUTED_VALUE"""),0.0)</f>
        <v>0</v>
      </c>
      <c r="AN126" s="16">
        <f>IFERROR(__xludf.DUMMYFUNCTION("""COMPUTED_VALUE"""),2.0)</f>
        <v>2</v>
      </c>
      <c r="AO126" s="16">
        <f>IFERROR(__xludf.DUMMYFUNCTION("""COMPUTED_VALUE"""),0.0)</f>
        <v>0</v>
      </c>
      <c r="AP126" s="16">
        <f>IFERROR(__xludf.DUMMYFUNCTION("""COMPUTED_VALUE"""),2.0)</f>
        <v>2</v>
      </c>
      <c r="AQ126" s="16">
        <f>IFERROR(__xludf.DUMMYFUNCTION("""COMPUTED_VALUE"""),19.5)</f>
        <v>19.5</v>
      </c>
      <c r="AR126" s="16">
        <f>IFERROR(__xludf.DUMMYFUNCTION("""COMPUTED_VALUE"""),6.699999999999999)</f>
        <v>6.7</v>
      </c>
      <c r="AS126" s="16">
        <f>IFERROR(__xludf.DUMMYFUNCTION("""COMPUTED_VALUE"""),0.0)</f>
        <v>0</v>
      </c>
      <c r="AT126" s="16">
        <f>IFERROR(__xludf.DUMMYFUNCTION("""COMPUTED_VALUE"""),2.0)</f>
        <v>2</v>
      </c>
      <c r="AU126" s="16">
        <f>IFERROR(__xludf.DUMMYFUNCTION("""COMPUTED_VALUE"""),0.0)</f>
        <v>0</v>
      </c>
      <c r="AV126" s="16">
        <f>IFERROR(__xludf.DUMMYFUNCTION("""COMPUTED_VALUE"""),4.0)</f>
        <v>4</v>
      </c>
      <c r="AW126" s="16">
        <f>IFERROR(__xludf.DUMMYFUNCTION("""COMPUTED_VALUE"""),0.0)</f>
        <v>0</v>
      </c>
      <c r="AX126" s="16">
        <f>IFERROR(__xludf.DUMMYFUNCTION("""COMPUTED_VALUE"""),1.6)</f>
        <v>1.6</v>
      </c>
      <c r="AY126" s="16">
        <f>IFERROR(__xludf.DUMMYFUNCTION("""COMPUTED_VALUE"""),2.0)</f>
        <v>2</v>
      </c>
      <c r="AZ126" s="16">
        <f>IFERROR(__xludf.DUMMYFUNCTION("""COMPUTED_VALUE"""),1.0)</f>
        <v>1</v>
      </c>
      <c r="BA126" s="16">
        <f>IFERROR(__xludf.DUMMYFUNCTION("""COMPUTED_VALUE"""),10.0)</f>
        <v>10</v>
      </c>
      <c r="BB126" s="16">
        <f>IFERROR(__xludf.DUMMYFUNCTION("""COMPUTED_VALUE"""),5.0)</f>
        <v>5</v>
      </c>
      <c r="BC126" s="16">
        <f>IFERROR(__xludf.DUMMYFUNCTION("""COMPUTED_VALUE"""),0.0)</f>
        <v>0</v>
      </c>
      <c r="BD126" s="16">
        <f>IFERROR(__xludf.DUMMYFUNCTION("""COMPUTED_VALUE"""),1.0)</f>
        <v>1</v>
      </c>
      <c r="BE126" s="16">
        <f>IFERROR(__xludf.DUMMYFUNCTION("""COMPUTED_VALUE"""),0.0)</f>
        <v>0</v>
      </c>
      <c r="BF126" s="16">
        <f>IFERROR(__xludf.DUMMYFUNCTION("""COMPUTED_VALUE"""),1.0)</f>
        <v>1</v>
      </c>
      <c r="BG126" s="16">
        <f>IFERROR(__xludf.DUMMYFUNCTION("""COMPUTED_VALUE"""),3.0)</f>
        <v>3</v>
      </c>
      <c r="BH126" s="16">
        <f>IFERROR(__xludf.DUMMYFUNCTION("""COMPUTED_VALUE"""),2.0)</f>
        <v>2</v>
      </c>
      <c r="BI126" s="16">
        <f>IFERROR(__xludf.DUMMYFUNCTION("""COMPUTED_VALUE"""),6.0)</f>
        <v>6</v>
      </c>
      <c r="BJ126" s="16">
        <f>IFERROR(__xludf.DUMMYFUNCTION("""COMPUTED_VALUE"""),4.0)</f>
        <v>4</v>
      </c>
      <c r="BK126" s="16">
        <f>IFERROR(__xludf.DUMMYFUNCTION("""COMPUTED_VALUE"""),5.0)</f>
        <v>5</v>
      </c>
      <c r="BL126" s="16">
        <f>IFERROR(__xludf.DUMMYFUNCTION("""COMPUTED_VALUE"""),5.0)</f>
        <v>5</v>
      </c>
      <c r="BM126" s="16">
        <f>IFERROR(__xludf.DUMMYFUNCTION("""COMPUTED_VALUE"""),0.0)</f>
        <v>0</v>
      </c>
      <c r="BN126" s="16">
        <f>IFERROR(__xludf.DUMMYFUNCTION("""COMPUTED_VALUE"""),0.0)</f>
        <v>0</v>
      </c>
      <c r="BO126" s="16">
        <f>IFERROR(__xludf.DUMMYFUNCTION("""COMPUTED_VALUE"""),0.0)</f>
        <v>0</v>
      </c>
      <c r="BP126" s="16">
        <f>IFERROR(__xludf.DUMMYFUNCTION("""COMPUTED_VALUE"""),0.0)</f>
        <v>0</v>
      </c>
      <c r="BQ126" s="16">
        <f>IFERROR(__xludf.DUMMYFUNCTION("""COMPUTED_VALUE"""),1.0)</f>
        <v>1</v>
      </c>
      <c r="BR126" s="16">
        <f>IFERROR(__xludf.DUMMYFUNCTION("""COMPUTED_VALUE"""),0.0)</f>
        <v>0</v>
      </c>
      <c r="BS126" s="16">
        <f>IFERROR(__xludf.DUMMYFUNCTION("""COMPUTED_VALUE"""),-2.0)</f>
        <v>-2</v>
      </c>
      <c r="BT126" s="16">
        <f>IFERROR(__xludf.DUMMYFUNCTION("""COMPUTED_VALUE"""),-3.0)</f>
        <v>-3</v>
      </c>
      <c r="BU126" s="16">
        <f>IFERROR(__xludf.DUMMYFUNCTION("""COMPUTED_VALUE"""),-4.0)</f>
        <v>-4</v>
      </c>
      <c r="BV126" s="16">
        <f>IFERROR(__xludf.DUMMYFUNCTION("""COMPUTED_VALUE"""),-6.0)</f>
        <v>-6</v>
      </c>
      <c r="BW126" s="16">
        <f>IFERROR(__xludf.DUMMYFUNCTION("""COMPUTED_VALUE"""),9.0)</f>
        <v>9</v>
      </c>
      <c r="BX126" s="16">
        <f>IFERROR(__xludf.DUMMYFUNCTION("""COMPUTED_VALUE"""),9.0)</f>
        <v>9</v>
      </c>
      <c r="BY126" s="16" t="str">
        <f>IFERROR(__xludf.DUMMYFUNCTION("""COMPUTED_VALUE"""),"R(1) C(2)")</f>
        <v>R(1) C(2)</v>
      </c>
      <c r="BZ126" s="16" t="str">
        <f>IFERROR(__xludf.DUMMYFUNCTION("""COMPUTED_VALUE"""),"R(1) C(2)")</f>
        <v>R(1) C(2)</v>
      </c>
      <c r="CA126" s="16" t="str">
        <f>IFERROR(__xludf.DUMMYFUNCTION("""COMPUTED_VALUE"""),"R(1)")</f>
        <v>R(1)</v>
      </c>
      <c r="CB126" s="16" t="str">
        <f>IFERROR(__xludf.DUMMYFUNCTION("""COMPUTED_VALUE"""),"C(2)")</f>
        <v>C(2)</v>
      </c>
      <c r="CC126" s="16"/>
      <c r="CD126" s="16"/>
      <c r="CE126" s="16">
        <f>IFERROR(__xludf.DUMMYFUNCTION("""COMPUTED_VALUE"""),1.0)</f>
        <v>1</v>
      </c>
      <c r="CF126" s="16">
        <f>IFERROR(__xludf.DUMMYFUNCTION("""COMPUTED_VALUE"""),2.0)</f>
        <v>2</v>
      </c>
      <c r="CG126" s="16" t="str">
        <f>IFERROR(__xludf.DUMMYFUNCTION("""COMPUTED_VALUE"""),"5-0")</f>
        <v>5-0</v>
      </c>
      <c r="CH126" s="16">
        <f>IFERROR(__xludf.DUMMYFUNCTION("""COMPUTED_VALUE"""),5.0)</f>
        <v>5</v>
      </c>
      <c r="CI126" s="16">
        <f>IFERROR(__xludf.DUMMYFUNCTION("""COMPUTED_VALUE"""),0.0)</f>
        <v>0</v>
      </c>
      <c r="CJ126" s="16">
        <f>IFERROR(__xludf.DUMMYFUNCTION("""COMPUTED_VALUE"""),0.0)</f>
        <v>0</v>
      </c>
      <c r="CK126" s="16">
        <f>IFERROR(__xludf.DUMMYFUNCTION("""COMPUTED_VALUE"""),6.0)</f>
        <v>6</v>
      </c>
      <c r="CL126" s="16" t="str">
        <f>IFERROR(__xludf.DUMMYFUNCTION("""COMPUTED_VALUE"""),"1WR-C")</f>
        <v>1WR-C</v>
      </c>
      <c r="CM126" s="16" t="str">
        <f>IFERROR(__xludf.DUMMYFUNCTION("""COMPUTED_VALUE"""),"E")</f>
        <v>E</v>
      </c>
      <c r="CN126" s="16">
        <f>IFERROR(__xludf.DUMMYFUNCTION("""COMPUTED_VALUE"""),10.0)</f>
        <v>10</v>
      </c>
      <c r="CO126" s="16" t="str">
        <f>IFERROR(__xludf.DUMMYFUNCTION("""COMPUTED_VALUE"""),"C")</f>
        <v>C</v>
      </c>
      <c r="CP126" s="16" t="str">
        <f>IFERROR(__xludf.DUMMYFUNCTION("""COMPUTED_VALUE"""),"1p50")</f>
        <v>1p50</v>
      </c>
      <c r="CQ126" s="16">
        <f>IFERROR(__xludf.DUMMYFUNCTION("""COMPUTED_VALUE"""),10.0)</f>
        <v>10</v>
      </c>
      <c r="CR126" s="16">
        <f>IFERROR(__xludf.DUMMYFUNCTION("""COMPUTED_VALUE"""),17.0)</f>
        <v>17</v>
      </c>
      <c r="CS126" s="16">
        <f>IFERROR(__xludf.DUMMYFUNCTION("""COMPUTED_VALUE"""),27.0)</f>
        <v>27</v>
      </c>
      <c r="CT126" s="16">
        <f>IFERROR(__xludf.DUMMYFUNCTION("""COMPUTED_VALUE"""),10.0)</f>
        <v>10</v>
      </c>
      <c r="CU126" s="16">
        <f>IFERROR(__xludf.DUMMYFUNCTION("""COMPUTED_VALUE"""),17.0)</f>
        <v>17</v>
      </c>
      <c r="CV126" s="179">
        <f>IFERROR(__xludf.DUMMYFUNCTION("""COMPUTED_VALUE"""),16.333333333333336)</f>
        <v>16.33333333</v>
      </c>
      <c r="CW126" s="179">
        <f>IFERROR(__xludf.DUMMYFUNCTION("""COMPUTED_VALUE"""),4.0)</f>
        <v>4</v>
      </c>
      <c r="CX126" s="179">
        <f>IFERROR(__xludf.DUMMYFUNCTION("""COMPUTED_VALUE"""),0.0)</f>
        <v>0</v>
      </c>
      <c r="CY126" s="16" t="str">
        <f>IFERROR(__xludf.DUMMYFUNCTION("""COMPUTED_VALUE"""),"RP")</f>
        <v>RP</v>
      </c>
      <c r="CZ126" s="16" t="str">
        <f>IFERROR(__xludf.DUMMYFUNCTION("""COMPUTED_VALUE"""),"CP")</f>
        <v>CP</v>
      </c>
      <c r="DA126" s="16"/>
      <c r="DB126" s="16"/>
      <c r="DC126" s="16"/>
      <c r="DD126" s="16"/>
      <c r="DE126" s="16"/>
      <c r="DF126" s="16"/>
      <c r="DG126" s="16"/>
      <c r="DH126" s="16"/>
      <c r="DI126" s="16"/>
      <c r="DJ126" s="16"/>
      <c r="DK126" s="16"/>
    </row>
    <row r="127">
      <c r="A127" s="16">
        <f>IFERROR(__xludf.DUMMYFUNCTION("""COMPUTED_VALUE"""),13339.0)</f>
        <v>13339</v>
      </c>
      <c r="B127" s="16" t="str">
        <f>IFERROR(__xludf.DUMMYFUNCTION("""COMPUTED_VALUE"""),"Ryan Pepiot")</f>
        <v>Ryan Pepiot</v>
      </c>
      <c r="C127" s="153">
        <f>IFERROR(__xludf.DUMMYFUNCTION("""COMPUTED_VALUE"""),1.21)</f>
        <v>1.21</v>
      </c>
      <c r="D127" s="16"/>
      <c r="E127" s="16" t="str">
        <f>IFERROR(__xludf.DUMMYFUNCTION("""COMPUTED_VALUE"""),"R")</f>
        <v>R</v>
      </c>
      <c r="F127" s="16">
        <f>IFERROR(__xludf.DUMMYFUNCTION("""COMPUTED_VALUE"""),130.0)</f>
        <v>130</v>
      </c>
      <c r="G127" s="16">
        <f>IFERROR(__xludf.DUMMYFUNCTION("""COMPUTED_VALUE"""),35.0)</f>
        <v>35</v>
      </c>
      <c r="H127" s="16">
        <f>IFERROR(__xludf.DUMMYFUNCTION("""COMPUTED_VALUE"""),30.0)</f>
        <v>30</v>
      </c>
      <c r="I127" s="16">
        <f>IFERROR(__xludf.DUMMYFUNCTION("""COMPUTED_VALUE"""),1.0)</f>
        <v>1</v>
      </c>
      <c r="J127" s="16">
        <f>IFERROR(__xludf.DUMMYFUNCTION("""COMPUTED_VALUE"""),0.0)</f>
        <v>0</v>
      </c>
      <c r="K127" s="16">
        <f>IFERROR(__xludf.DUMMYFUNCTION("""COMPUTED_VALUE"""),3.0)</f>
        <v>3</v>
      </c>
      <c r="L127" s="16">
        <f>IFERROR(__xludf.DUMMYFUNCTION("""COMPUTED_VALUE"""),0.0)</f>
        <v>0</v>
      </c>
      <c r="M127" s="16">
        <f>IFERROR(__xludf.DUMMYFUNCTION("""COMPUTED_VALUE"""),14.0)</f>
        <v>14</v>
      </c>
      <c r="N127" s="16">
        <f>IFERROR(__xludf.DUMMYFUNCTION("""COMPUTED_VALUE"""),5.0)</f>
        <v>5</v>
      </c>
      <c r="O127" s="16">
        <f>IFERROR(__xludf.DUMMYFUNCTION("""COMPUTED_VALUE"""),-2.0)</f>
        <v>-2</v>
      </c>
      <c r="P127" s="16">
        <f>IFERROR(__xludf.DUMMYFUNCTION("""COMPUTED_VALUE"""),2.0)</f>
        <v>2</v>
      </c>
      <c r="Q127" s="16">
        <f>IFERROR(__xludf.DUMMYFUNCTION("""COMPUTED_VALUE"""),-2.0)</f>
        <v>-2</v>
      </c>
      <c r="R127" s="16">
        <f>IFERROR(__xludf.DUMMYFUNCTION("""COMPUTED_VALUE"""),2.0)</f>
        <v>2</v>
      </c>
      <c r="S127" s="16">
        <f>IFERROR(__xludf.DUMMYFUNCTION("""COMPUTED_VALUE"""),8.4)</f>
        <v>8.4</v>
      </c>
      <c r="T127" s="16">
        <f>IFERROR(__xludf.DUMMYFUNCTION("""COMPUTED_VALUE"""),11.5)</f>
        <v>11.5</v>
      </c>
      <c r="U127" s="16">
        <f>IFERROR(__xludf.DUMMYFUNCTION("""COMPUTED_VALUE"""),1.0)</f>
        <v>1</v>
      </c>
      <c r="V127" s="16">
        <f>IFERROR(__xludf.DUMMYFUNCTION("""COMPUTED_VALUE"""),1.0)</f>
        <v>1</v>
      </c>
      <c r="W127" s="16">
        <f>IFERROR(__xludf.DUMMYFUNCTION("""COMPUTED_VALUE"""),2.0)</f>
        <v>2</v>
      </c>
      <c r="X127" s="16">
        <f>IFERROR(__xludf.DUMMYFUNCTION("""COMPUTED_VALUE"""),2.0)</f>
        <v>2</v>
      </c>
      <c r="Y127" s="16">
        <f>IFERROR(__xludf.DUMMYFUNCTION("""COMPUTED_VALUE"""),22.4)</f>
        <v>22.4</v>
      </c>
      <c r="Z127" s="16">
        <f>IFERROR(__xludf.DUMMYFUNCTION("""COMPUTED_VALUE"""),16.5)</f>
        <v>16.5</v>
      </c>
      <c r="AA127" s="16">
        <f>IFERROR(__xludf.DUMMYFUNCTION("""COMPUTED_VALUE"""),1.0)</f>
        <v>1</v>
      </c>
      <c r="AB127" s="16">
        <f>IFERROR(__xludf.DUMMYFUNCTION("""COMPUTED_VALUE"""),1.0)</f>
        <v>1</v>
      </c>
      <c r="AC127" s="16">
        <f>IFERROR(__xludf.DUMMYFUNCTION("""COMPUTED_VALUE"""),5.0)</f>
        <v>5</v>
      </c>
      <c r="AD127" s="16">
        <f>IFERROR(__xludf.DUMMYFUNCTION("""COMPUTED_VALUE"""),5.0)</f>
        <v>5</v>
      </c>
      <c r="AE127" s="16">
        <f>IFERROR(__xludf.DUMMYFUNCTION("""COMPUTED_VALUE"""),18.3)</f>
        <v>18.3</v>
      </c>
      <c r="AF127" s="16">
        <f>IFERROR(__xludf.DUMMYFUNCTION("""COMPUTED_VALUE"""),20.5)</f>
        <v>20.5</v>
      </c>
      <c r="AG127" s="16">
        <f>IFERROR(__xludf.DUMMYFUNCTION("""COMPUTED_VALUE"""),1.0)</f>
        <v>1</v>
      </c>
      <c r="AH127" s="16">
        <f>IFERROR(__xludf.DUMMYFUNCTION("""COMPUTED_VALUE"""),1.0)</f>
        <v>1</v>
      </c>
      <c r="AI127" s="16">
        <f>IFERROR(__xludf.DUMMYFUNCTION("""COMPUTED_VALUE"""),2.0)</f>
        <v>2</v>
      </c>
      <c r="AJ127" s="16">
        <f>IFERROR(__xludf.DUMMYFUNCTION("""COMPUTED_VALUE"""),2.0)</f>
        <v>2</v>
      </c>
      <c r="AK127" s="16">
        <f>IFERROR(__xludf.DUMMYFUNCTION("""COMPUTED_VALUE"""),6.4)</f>
        <v>6.4</v>
      </c>
      <c r="AL127" s="16">
        <f>IFERROR(__xludf.DUMMYFUNCTION("""COMPUTED_VALUE"""),9.1)</f>
        <v>9.1</v>
      </c>
      <c r="AM127" s="16">
        <f>IFERROR(__xludf.DUMMYFUNCTION("""COMPUTED_VALUE"""),1.0)</f>
        <v>1</v>
      </c>
      <c r="AN127" s="16">
        <f>IFERROR(__xludf.DUMMYFUNCTION("""COMPUTED_VALUE"""),1.0)</f>
        <v>1</v>
      </c>
      <c r="AO127" s="16">
        <f>IFERROR(__xludf.DUMMYFUNCTION("""COMPUTED_VALUE"""),1.0)</f>
        <v>1</v>
      </c>
      <c r="AP127" s="16">
        <f>IFERROR(__xludf.DUMMYFUNCTION("""COMPUTED_VALUE"""),1.0)</f>
        <v>1</v>
      </c>
      <c r="AQ127" s="16">
        <f>IFERROR(__xludf.DUMMYFUNCTION("""COMPUTED_VALUE"""),10.3)</f>
        <v>10.3</v>
      </c>
      <c r="AR127" s="16">
        <f>IFERROR(__xludf.DUMMYFUNCTION("""COMPUTED_VALUE"""),10.9)</f>
        <v>10.9</v>
      </c>
      <c r="AS127" s="16">
        <f>IFERROR(__xludf.DUMMYFUNCTION("""COMPUTED_VALUE"""),1.0)</f>
        <v>1</v>
      </c>
      <c r="AT127" s="16">
        <f>IFERROR(__xludf.DUMMYFUNCTION("""COMPUTED_VALUE"""),1.0)</f>
        <v>1</v>
      </c>
      <c r="AU127" s="16">
        <f>IFERROR(__xludf.DUMMYFUNCTION("""COMPUTED_VALUE"""),2.0)</f>
        <v>2</v>
      </c>
      <c r="AV127" s="16">
        <f>IFERROR(__xludf.DUMMYFUNCTION("""COMPUTED_VALUE"""),2.0)</f>
        <v>2</v>
      </c>
      <c r="AW127" s="16">
        <f>IFERROR(__xludf.DUMMYFUNCTION("""COMPUTED_VALUE"""),2.0)</f>
        <v>2</v>
      </c>
      <c r="AX127" s="16">
        <f>IFERROR(__xludf.DUMMYFUNCTION("""COMPUTED_VALUE"""),2.4)</f>
        <v>2.4</v>
      </c>
      <c r="AY127" s="16">
        <f>IFERROR(__xludf.DUMMYFUNCTION("""COMPUTED_VALUE"""),0.0)</f>
        <v>0</v>
      </c>
      <c r="AZ127" s="16">
        <f>IFERROR(__xludf.DUMMYFUNCTION("""COMPUTED_VALUE"""),0.0)</f>
        <v>0</v>
      </c>
      <c r="BA127" s="16">
        <f>IFERROR(__xludf.DUMMYFUNCTION("""COMPUTED_VALUE"""),0.0)</f>
        <v>0</v>
      </c>
      <c r="BB127" s="16">
        <f>IFERROR(__xludf.DUMMYFUNCTION("""COMPUTED_VALUE"""),0.0)</f>
        <v>0</v>
      </c>
      <c r="BC127" s="16">
        <f>IFERROR(__xludf.DUMMYFUNCTION("""COMPUTED_VALUE"""),3.0)</f>
        <v>3</v>
      </c>
      <c r="BD127" s="16">
        <f>IFERROR(__xludf.DUMMYFUNCTION("""COMPUTED_VALUE"""),3.0)</f>
        <v>3</v>
      </c>
      <c r="BE127" s="16">
        <f>IFERROR(__xludf.DUMMYFUNCTION("""COMPUTED_VALUE"""),3.0)</f>
        <v>3</v>
      </c>
      <c r="BF127" s="16">
        <f>IFERROR(__xludf.DUMMYFUNCTION("""COMPUTED_VALUE"""),3.0)</f>
        <v>3</v>
      </c>
      <c r="BG127" s="16">
        <f>IFERROR(__xludf.DUMMYFUNCTION("""COMPUTED_VALUE"""),0.0)</f>
        <v>0</v>
      </c>
      <c r="BH127" s="16">
        <f>IFERROR(__xludf.DUMMYFUNCTION("""COMPUTED_VALUE"""),0.0)</f>
        <v>0</v>
      </c>
      <c r="BI127" s="16">
        <f>IFERROR(__xludf.DUMMYFUNCTION("""COMPUTED_VALUE"""),0.0)</f>
        <v>0</v>
      </c>
      <c r="BJ127" s="16">
        <f>IFERROR(__xludf.DUMMYFUNCTION("""COMPUTED_VALUE"""),0.0)</f>
        <v>0</v>
      </c>
      <c r="BK127" s="16">
        <f>IFERROR(__xludf.DUMMYFUNCTION("""COMPUTED_VALUE"""),5.0)</f>
        <v>5</v>
      </c>
      <c r="BL127" s="16">
        <f>IFERROR(__xludf.DUMMYFUNCTION("""COMPUTED_VALUE"""),5.0)</f>
        <v>5</v>
      </c>
      <c r="BM127" s="16">
        <f>IFERROR(__xludf.DUMMYFUNCTION("""COMPUTED_VALUE"""),0.0)</f>
        <v>0</v>
      </c>
      <c r="BN127" s="16">
        <f>IFERROR(__xludf.DUMMYFUNCTION("""COMPUTED_VALUE"""),0.0)</f>
        <v>0</v>
      </c>
      <c r="BO127" s="16">
        <f>IFERROR(__xludf.DUMMYFUNCTION("""COMPUTED_VALUE"""),0.0)</f>
        <v>0</v>
      </c>
      <c r="BP127" s="16">
        <f>IFERROR(__xludf.DUMMYFUNCTION("""COMPUTED_VALUE"""),0.0)</f>
        <v>0</v>
      </c>
      <c r="BQ127" s="16">
        <f>IFERROR(__xludf.DUMMYFUNCTION("""COMPUTED_VALUE"""),4.0)</f>
        <v>4</v>
      </c>
      <c r="BR127" s="16">
        <f>IFERROR(__xludf.DUMMYFUNCTION("""COMPUTED_VALUE"""),2.0)</f>
        <v>2</v>
      </c>
      <c r="BS127" s="16">
        <f>IFERROR(__xludf.DUMMYFUNCTION("""COMPUTED_VALUE"""),-1.0)</f>
        <v>-1</v>
      </c>
      <c r="BT127" s="16">
        <f>IFERROR(__xludf.DUMMYFUNCTION("""COMPUTED_VALUE"""),-2.0)</f>
        <v>-2</v>
      </c>
      <c r="BU127" s="16">
        <f>IFERROR(__xludf.DUMMYFUNCTION("""COMPUTED_VALUE"""),-2.0)</f>
        <v>-2</v>
      </c>
      <c r="BV127" s="16">
        <f>IFERROR(__xludf.DUMMYFUNCTION("""COMPUTED_VALUE"""),-4.0)</f>
        <v>-4</v>
      </c>
      <c r="BW127" s="16">
        <f>IFERROR(__xludf.DUMMYFUNCTION("""COMPUTED_VALUE"""),0.0)</f>
        <v>0</v>
      </c>
      <c r="BX127" s="16">
        <f>IFERROR(__xludf.DUMMYFUNCTION("""COMPUTED_VALUE"""),0.0)</f>
        <v>0</v>
      </c>
      <c r="BY127" s="16" t="str">
        <f>IFERROR(__xludf.DUMMYFUNCTION("""COMPUTED_VALUE"""),"S(5)")</f>
        <v>S(5)</v>
      </c>
      <c r="BZ127" s="16" t="str">
        <f>IFERROR(__xludf.DUMMYFUNCTION("""COMPUTED_VALUE"""),"S(5)")</f>
        <v>S(5)</v>
      </c>
      <c r="CA127" s="16" t="str">
        <f>IFERROR(__xludf.DUMMYFUNCTION("""COMPUTED_VALUE"""),"S(5)")</f>
        <v>S(5)</v>
      </c>
      <c r="CB127" s="16"/>
      <c r="CC127" s="16"/>
      <c r="CD127" s="16">
        <f>IFERROR(__xludf.DUMMYFUNCTION("""COMPUTED_VALUE"""),5.0)</f>
        <v>5</v>
      </c>
      <c r="CE127" s="16"/>
      <c r="CF127" s="16"/>
      <c r="CG127" s="16" t="str">
        <f>IFERROR(__xludf.DUMMYFUNCTION("""COMPUTED_VALUE"""),"3-0")</f>
        <v>3-0</v>
      </c>
      <c r="CH127" s="16">
        <f>IFERROR(__xludf.DUMMYFUNCTION("""COMPUTED_VALUE"""),3.0)</f>
        <v>3</v>
      </c>
      <c r="CI127" s="16">
        <f>IFERROR(__xludf.DUMMYFUNCTION("""COMPUTED_VALUE"""),0.0)</f>
        <v>0</v>
      </c>
      <c r="CJ127" s="16">
        <f>IFERROR(__xludf.DUMMYFUNCTION("""COMPUTED_VALUE"""),0.0)</f>
        <v>0</v>
      </c>
      <c r="CK127" s="16">
        <f>IFERROR(__xludf.DUMMYFUNCTION("""COMPUTED_VALUE"""),6.0)</f>
        <v>6</v>
      </c>
      <c r="CL127" s="16" t="str">
        <f>IFERROR(__xludf.DUMMYFUNCTION("""COMPUTED_VALUE"""),"1WR-C")</f>
        <v>1WR-C</v>
      </c>
      <c r="CM127" s="16" t="str">
        <f>IFERROR(__xludf.DUMMYFUNCTION("""COMPUTED_VALUE"""),"E")</f>
        <v>E</v>
      </c>
      <c r="CN127" s="16">
        <f>IFERROR(__xludf.DUMMYFUNCTION("""COMPUTED_VALUE"""),10.0)</f>
        <v>10</v>
      </c>
      <c r="CO127" s="16" t="str">
        <f>IFERROR(__xludf.DUMMYFUNCTION("""COMPUTED_VALUE"""),"C")</f>
        <v>C</v>
      </c>
      <c r="CP127" s="16" t="str">
        <f>IFERROR(__xludf.DUMMYFUNCTION("""COMPUTED_VALUE"""),"1p65")</f>
        <v>1p65</v>
      </c>
      <c r="CQ127" s="16">
        <f>IFERROR(__xludf.DUMMYFUNCTION("""COMPUTED_VALUE"""),11.0)</f>
        <v>11</v>
      </c>
      <c r="CR127" s="16">
        <f>IFERROR(__xludf.DUMMYFUNCTION("""COMPUTED_VALUE"""),10.0)</f>
        <v>10</v>
      </c>
      <c r="CS127" s="16">
        <f>IFERROR(__xludf.DUMMYFUNCTION("""COMPUTED_VALUE"""),21.0)</f>
        <v>21</v>
      </c>
      <c r="CT127" s="16">
        <f>IFERROR(__xludf.DUMMYFUNCTION("""COMPUTED_VALUE"""),11.0)</f>
        <v>11</v>
      </c>
      <c r="CU127" s="16">
        <f>IFERROR(__xludf.DUMMYFUNCTION("""COMPUTED_VALUE"""),10.0)</f>
        <v>10</v>
      </c>
      <c r="CV127" s="179">
        <f>IFERROR(__xludf.DUMMYFUNCTION("""COMPUTED_VALUE"""),16.333333333333336)</f>
        <v>16.33333333</v>
      </c>
      <c r="CW127" s="179">
        <f>IFERROR(__xludf.DUMMYFUNCTION("""COMPUTED_VALUE"""),4.0)</f>
        <v>4</v>
      </c>
      <c r="CX127" s="179">
        <f>IFERROR(__xludf.DUMMYFUNCTION("""COMPUTED_VALUE"""),2.0)</f>
        <v>2</v>
      </c>
      <c r="CY127" s="16" t="str">
        <f>IFERROR(__xludf.DUMMYFUNCTION("""COMPUTED_VALUE"""),"SP")</f>
        <v>SP</v>
      </c>
      <c r="CZ127" s="16"/>
      <c r="DA127" s="16"/>
      <c r="DB127" s="16"/>
      <c r="DC127" s="16"/>
      <c r="DD127" s="16"/>
      <c r="DE127" s="16"/>
      <c r="DF127" s="16"/>
      <c r="DG127" s="16"/>
      <c r="DH127" s="16"/>
      <c r="DI127" s="16"/>
      <c r="DJ127" s="16"/>
      <c r="DK127" s="16"/>
    </row>
    <row r="128">
      <c r="A128" s="16">
        <f>IFERROR(__xludf.DUMMYFUNCTION("""COMPUTED_VALUE"""),13067.0)</f>
        <v>13067</v>
      </c>
      <c r="B128" s="16" t="str">
        <f>IFERROR(__xludf.DUMMYFUNCTION("""COMPUTED_VALUE"""),"Keegan Akin")</f>
        <v>Keegan Akin</v>
      </c>
      <c r="C128" s="153">
        <f>IFERROR(__xludf.DUMMYFUNCTION("""COMPUTED_VALUE"""),1.01)</f>
        <v>1.01</v>
      </c>
      <c r="D128" s="16"/>
      <c r="E128" s="16" t="str">
        <f>IFERROR(__xludf.DUMMYFUNCTION("""COMPUTED_VALUE"""),"L")</f>
        <v>L</v>
      </c>
      <c r="F128" s="16">
        <f>IFERROR(__xludf.DUMMYFUNCTION("""COMPUTED_VALUE"""),79.0)</f>
        <v>79</v>
      </c>
      <c r="G128" s="16">
        <f>IFERROR(__xludf.DUMMYFUNCTION("""COMPUTED_VALUE"""),38.0)</f>
        <v>38</v>
      </c>
      <c r="H128" s="16">
        <f>IFERROR(__xludf.DUMMYFUNCTION("""COMPUTED_VALUE"""),48.0)</f>
        <v>48</v>
      </c>
      <c r="I128" s="16">
        <f>IFERROR(__xludf.DUMMYFUNCTION("""COMPUTED_VALUE"""),1.0)</f>
        <v>1</v>
      </c>
      <c r="J128" s="16">
        <f>IFERROR(__xludf.DUMMYFUNCTION("""COMPUTED_VALUE"""),2.0)</f>
        <v>2</v>
      </c>
      <c r="K128" s="16">
        <f>IFERROR(__xludf.DUMMYFUNCTION("""COMPUTED_VALUE"""),3.0)</f>
        <v>3</v>
      </c>
      <c r="L128" s="16">
        <f>IFERROR(__xludf.DUMMYFUNCTION("""COMPUTED_VALUE"""),6.0)</f>
        <v>6</v>
      </c>
      <c r="M128" s="16">
        <f>IFERROR(__xludf.DUMMYFUNCTION("""COMPUTED_VALUE"""),4.0)</f>
        <v>4</v>
      </c>
      <c r="N128" s="16">
        <f>IFERROR(__xludf.DUMMYFUNCTION("""COMPUTED_VALUE"""),4.0)</f>
        <v>4</v>
      </c>
      <c r="O128" s="16">
        <f>IFERROR(__xludf.DUMMYFUNCTION("""COMPUTED_VALUE"""),2.0)</f>
        <v>2</v>
      </c>
      <c r="P128" s="16">
        <f>IFERROR(__xludf.DUMMYFUNCTION("""COMPUTED_VALUE"""),2.0)</f>
        <v>2</v>
      </c>
      <c r="Q128" s="16">
        <f>IFERROR(__xludf.DUMMYFUNCTION("""COMPUTED_VALUE"""),2.0)</f>
        <v>2</v>
      </c>
      <c r="R128" s="16">
        <f>IFERROR(__xludf.DUMMYFUNCTION("""COMPUTED_VALUE"""),2.0)</f>
        <v>2</v>
      </c>
      <c r="S128" s="16">
        <f>IFERROR(__xludf.DUMMYFUNCTION("""COMPUTED_VALUE"""),9.9)</f>
        <v>9.9</v>
      </c>
      <c r="T128" s="16">
        <f>IFERROR(__xludf.DUMMYFUNCTION("""COMPUTED_VALUE"""),9.3)</f>
        <v>9.3</v>
      </c>
      <c r="U128" s="16">
        <f>IFERROR(__xludf.DUMMYFUNCTION("""COMPUTED_VALUE"""),1.0)</f>
        <v>1</v>
      </c>
      <c r="V128" s="16">
        <f>IFERROR(__xludf.DUMMYFUNCTION("""COMPUTED_VALUE"""),1.0)</f>
        <v>1</v>
      </c>
      <c r="W128" s="16">
        <f>IFERROR(__xludf.DUMMYFUNCTION("""COMPUTED_VALUE"""),2.0)</f>
        <v>2</v>
      </c>
      <c r="X128" s="16">
        <f>IFERROR(__xludf.DUMMYFUNCTION("""COMPUTED_VALUE"""),2.0)</f>
        <v>2</v>
      </c>
      <c r="Y128" s="16">
        <f>IFERROR(__xludf.DUMMYFUNCTION("""COMPUTED_VALUE"""),13.9)</f>
        <v>13.9</v>
      </c>
      <c r="Z128" s="16">
        <f>IFERROR(__xludf.DUMMYFUNCTION("""COMPUTED_VALUE"""),13.3)</f>
        <v>13.3</v>
      </c>
      <c r="AA128" s="16">
        <f>IFERROR(__xludf.DUMMYFUNCTION("""COMPUTED_VALUE"""),2.0)</f>
        <v>2</v>
      </c>
      <c r="AB128" s="16">
        <f>IFERROR(__xludf.DUMMYFUNCTION("""COMPUTED_VALUE"""),2.0)</f>
        <v>2</v>
      </c>
      <c r="AC128" s="16">
        <f>IFERROR(__xludf.DUMMYFUNCTION("""COMPUTED_VALUE"""),10.0)</f>
        <v>10</v>
      </c>
      <c r="AD128" s="16">
        <f>IFERROR(__xludf.DUMMYFUNCTION("""COMPUTED_VALUE"""),10.0)</f>
        <v>10</v>
      </c>
      <c r="AE128" s="16">
        <f>IFERROR(__xludf.DUMMYFUNCTION("""COMPUTED_VALUE"""),20.5)</f>
        <v>20.5</v>
      </c>
      <c r="AF128" s="16">
        <f>IFERROR(__xludf.DUMMYFUNCTION("""COMPUTED_VALUE"""),24.9)</f>
        <v>24.9</v>
      </c>
      <c r="AG128" s="16">
        <f>IFERROR(__xludf.DUMMYFUNCTION("""COMPUTED_VALUE"""),1.0)</f>
        <v>1</v>
      </c>
      <c r="AH128" s="16">
        <f>IFERROR(__xludf.DUMMYFUNCTION("""COMPUTED_VALUE"""),0.0)</f>
        <v>0</v>
      </c>
      <c r="AI128" s="16">
        <f>IFERROR(__xludf.DUMMYFUNCTION("""COMPUTED_VALUE"""),2.0)</f>
        <v>2</v>
      </c>
      <c r="AJ128" s="16">
        <f>IFERROR(__xludf.DUMMYFUNCTION("""COMPUTED_VALUE"""),0.0)</f>
        <v>0</v>
      </c>
      <c r="AK128" s="16">
        <f>IFERROR(__xludf.DUMMYFUNCTION("""COMPUTED_VALUE"""),9.5)</f>
        <v>9.5</v>
      </c>
      <c r="AL128" s="16">
        <f>IFERROR(__xludf.DUMMYFUNCTION("""COMPUTED_VALUE"""),5.700000000000001)</f>
        <v>5.7</v>
      </c>
      <c r="AM128" s="16">
        <f>IFERROR(__xludf.DUMMYFUNCTION("""COMPUTED_VALUE"""),1.0)</f>
        <v>1</v>
      </c>
      <c r="AN128" s="16">
        <f>IFERROR(__xludf.DUMMYFUNCTION("""COMPUTED_VALUE"""),2.0)</f>
        <v>2</v>
      </c>
      <c r="AO128" s="16">
        <f>IFERROR(__xludf.DUMMYFUNCTION("""COMPUTED_VALUE"""),1.0)</f>
        <v>1</v>
      </c>
      <c r="AP128" s="16">
        <f>IFERROR(__xludf.DUMMYFUNCTION("""COMPUTED_VALUE"""),2.0)</f>
        <v>2</v>
      </c>
      <c r="AQ128" s="16">
        <f>IFERROR(__xludf.DUMMYFUNCTION("""COMPUTED_VALUE"""),18.9)</f>
        <v>18.9</v>
      </c>
      <c r="AR128" s="16">
        <f>IFERROR(__xludf.DUMMYFUNCTION("""COMPUTED_VALUE"""),10.499999999999998)</f>
        <v>10.5</v>
      </c>
      <c r="AS128" s="16">
        <f>IFERROR(__xludf.DUMMYFUNCTION("""COMPUTED_VALUE"""),0.0)</f>
        <v>0</v>
      </c>
      <c r="AT128" s="16">
        <f>IFERROR(__xludf.DUMMYFUNCTION("""COMPUTED_VALUE"""),1.0)</f>
        <v>1</v>
      </c>
      <c r="AU128" s="16">
        <f>IFERROR(__xludf.DUMMYFUNCTION("""COMPUTED_VALUE"""),0.0)</f>
        <v>0</v>
      </c>
      <c r="AV128" s="16">
        <f>IFERROR(__xludf.DUMMYFUNCTION("""COMPUTED_VALUE"""),2.0)</f>
        <v>2</v>
      </c>
      <c r="AW128" s="16">
        <f>IFERROR(__xludf.DUMMYFUNCTION("""COMPUTED_VALUE"""),0.4)</f>
        <v>0.4</v>
      </c>
      <c r="AX128" s="16">
        <f>IFERROR(__xludf.DUMMYFUNCTION("""COMPUTED_VALUE"""),3.6)</f>
        <v>3.6</v>
      </c>
      <c r="AY128" s="16">
        <f>IFERROR(__xludf.DUMMYFUNCTION("""COMPUTED_VALUE"""),2.0)</f>
        <v>2</v>
      </c>
      <c r="AZ128" s="16">
        <f>IFERROR(__xludf.DUMMYFUNCTION("""COMPUTED_VALUE"""),-2.0)</f>
        <v>-2</v>
      </c>
      <c r="BA128" s="16">
        <f>IFERROR(__xludf.DUMMYFUNCTION("""COMPUTED_VALUE"""),10.0)</f>
        <v>10</v>
      </c>
      <c r="BB128" s="16">
        <f>IFERROR(__xludf.DUMMYFUNCTION("""COMPUTED_VALUE"""),-10.0)</f>
        <v>-10</v>
      </c>
      <c r="BC128" s="16">
        <f>IFERROR(__xludf.DUMMYFUNCTION("""COMPUTED_VALUE"""),0.0)</f>
        <v>0</v>
      </c>
      <c r="BD128" s="16"/>
      <c r="BE128" s="16">
        <f>IFERROR(__xludf.DUMMYFUNCTION("""COMPUTED_VALUE"""),0.0)</f>
        <v>0</v>
      </c>
      <c r="BF128" s="16">
        <f>IFERROR(__xludf.DUMMYFUNCTION("""COMPUTED_VALUE"""),7.0)</f>
        <v>7</v>
      </c>
      <c r="BG128" s="16">
        <f>IFERROR(__xludf.DUMMYFUNCTION("""COMPUTED_VALUE"""),3.0)</f>
        <v>3</v>
      </c>
      <c r="BH128" s="16">
        <f>IFERROR(__xludf.DUMMYFUNCTION("""COMPUTED_VALUE"""),-3.0)</f>
        <v>-3</v>
      </c>
      <c r="BI128" s="16">
        <f>IFERROR(__xludf.DUMMYFUNCTION("""COMPUTED_VALUE"""),6.0)</f>
        <v>6</v>
      </c>
      <c r="BJ128" s="16">
        <f>IFERROR(__xludf.DUMMYFUNCTION("""COMPUTED_VALUE"""),-6.0)</f>
        <v>-6</v>
      </c>
      <c r="BK128" s="16">
        <f>IFERROR(__xludf.DUMMYFUNCTION("""COMPUTED_VALUE"""),5.0)</f>
        <v>5</v>
      </c>
      <c r="BL128" s="16">
        <f>IFERROR(__xludf.DUMMYFUNCTION("""COMPUTED_VALUE"""),0.0)</f>
        <v>0</v>
      </c>
      <c r="BM128" s="16">
        <f>IFERROR(__xludf.DUMMYFUNCTION("""COMPUTED_VALUE"""),0.0)</f>
        <v>0</v>
      </c>
      <c r="BN128" s="16">
        <f>IFERROR(__xludf.DUMMYFUNCTION("""COMPUTED_VALUE"""),1.0)</f>
        <v>1</v>
      </c>
      <c r="BO128" s="16">
        <f>IFERROR(__xludf.DUMMYFUNCTION("""COMPUTED_VALUE"""),0.0)</f>
        <v>0</v>
      </c>
      <c r="BP128" s="16">
        <f>IFERROR(__xludf.DUMMYFUNCTION("""COMPUTED_VALUE"""),1.0)</f>
        <v>1</v>
      </c>
      <c r="BQ128" s="16">
        <f>IFERROR(__xludf.DUMMYFUNCTION("""COMPUTED_VALUE"""),0.0)</f>
        <v>0</v>
      </c>
      <c r="BR128" s="16">
        <f>IFERROR(__xludf.DUMMYFUNCTION("""COMPUTED_VALUE"""),0.0)</f>
        <v>0</v>
      </c>
      <c r="BS128" s="16">
        <f>IFERROR(__xludf.DUMMYFUNCTION("""COMPUTED_VALUE"""),-3.0)</f>
        <v>-3</v>
      </c>
      <c r="BT128" s="16">
        <f>IFERROR(__xludf.DUMMYFUNCTION("""COMPUTED_VALUE"""),-3.0)</f>
        <v>-3</v>
      </c>
      <c r="BU128" s="16">
        <f>IFERROR(__xludf.DUMMYFUNCTION("""COMPUTED_VALUE"""),-6.0)</f>
        <v>-6</v>
      </c>
      <c r="BV128" s="16">
        <f>IFERROR(__xludf.DUMMYFUNCTION("""COMPUTED_VALUE"""),-6.0)</f>
        <v>-6</v>
      </c>
      <c r="BW128" s="16">
        <f>IFERROR(__xludf.DUMMYFUNCTION("""COMPUTED_VALUE"""),-6.0)</f>
        <v>-6</v>
      </c>
      <c r="BX128" s="16">
        <f>IFERROR(__xludf.DUMMYFUNCTION("""COMPUTED_VALUE"""),-6.0)</f>
        <v>-6</v>
      </c>
      <c r="BY128" s="16" t="str">
        <f>IFERROR(__xludf.DUMMYFUNCTION("""COMPUTED_VALUE"""),"R(2) C(0)")</f>
        <v>R(2) C(0)</v>
      </c>
      <c r="BZ128" s="16" t="str">
        <f>IFERROR(__xludf.DUMMYFUNCTION("""COMPUTED_VALUE"""),"R(2) C(0)")</f>
        <v>R(2) C(0)</v>
      </c>
      <c r="CA128" s="16" t="str">
        <f>IFERROR(__xludf.DUMMYFUNCTION("""COMPUTED_VALUE"""),"R(2)")</f>
        <v>R(2)</v>
      </c>
      <c r="CB128" s="16" t="str">
        <f>IFERROR(__xludf.DUMMYFUNCTION("""COMPUTED_VALUE"""),"C(0)")</f>
        <v>C(0)</v>
      </c>
      <c r="CC128" s="16"/>
      <c r="CD128" s="16"/>
      <c r="CE128" s="16">
        <f>IFERROR(__xludf.DUMMYFUNCTION("""COMPUTED_VALUE"""),2.0)</f>
        <v>2</v>
      </c>
      <c r="CF128" s="16">
        <f>IFERROR(__xludf.DUMMYFUNCTION("""COMPUTED_VALUE"""),0.0)</f>
        <v>0</v>
      </c>
      <c r="CG128" s="16" t="str">
        <f>IFERROR(__xludf.DUMMYFUNCTION("""COMPUTED_VALUE"""),"2-0")</f>
        <v>2-0</v>
      </c>
      <c r="CH128" s="16">
        <f>IFERROR(__xludf.DUMMYFUNCTION("""COMPUTED_VALUE"""),2.0)</f>
        <v>2</v>
      </c>
      <c r="CI128" s="16">
        <f>IFERROR(__xludf.DUMMYFUNCTION("""COMPUTED_VALUE"""),0.0)</f>
        <v>0</v>
      </c>
      <c r="CJ128" s="16">
        <f>IFERROR(__xludf.DUMMYFUNCTION("""COMPUTED_VALUE"""),0.0)</f>
        <v>0</v>
      </c>
      <c r="CK128" s="16">
        <f>IFERROR(__xludf.DUMMYFUNCTION("""COMPUTED_VALUE"""),12.0)</f>
        <v>12</v>
      </c>
      <c r="CL128" s="16" t="str">
        <f>IFERROR(__xludf.DUMMYFUNCTION("""COMPUTED_VALUE"""),"1WL-C")</f>
        <v>1WL-C</v>
      </c>
      <c r="CM128" s="16" t="str">
        <f>IFERROR(__xludf.DUMMYFUNCTION("""COMPUTED_VALUE"""),"E")</f>
        <v>E</v>
      </c>
      <c r="CN128" s="16">
        <f>IFERROR(__xludf.DUMMYFUNCTION("""COMPUTED_VALUE"""),10.0)</f>
        <v>10</v>
      </c>
      <c r="CO128" s="16" t="str">
        <f>IFERROR(__xludf.DUMMYFUNCTION("""COMPUTED_VALUE"""),"C")</f>
        <v>C</v>
      </c>
      <c r="CP128" s="16" t="str">
        <f>IFERROR(__xludf.DUMMYFUNCTION("""COMPUTED_VALUE"""),"1p50")</f>
        <v>1p50</v>
      </c>
      <c r="CQ128" s="16">
        <f>IFERROR(__xludf.DUMMYFUNCTION("""COMPUTED_VALUE"""),30.0)</f>
        <v>30</v>
      </c>
      <c r="CR128" s="16">
        <f>IFERROR(__xludf.DUMMYFUNCTION("""COMPUTED_VALUE"""),3.0)</f>
        <v>3</v>
      </c>
      <c r="CS128" s="16">
        <f>IFERROR(__xludf.DUMMYFUNCTION("""COMPUTED_VALUE"""),33.0)</f>
        <v>33</v>
      </c>
      <c r="CT128" s="16">
        <f>IFERROR(__xludf.DUMMYFUNCTION("""COMPUTED_VALUE"""),30.0)</f>
        <v>30</v>
      </c>
      <c r="CU128" s="16">
        <f>IFERROR(__xludf.DUMMYFUNCTION("""COMPUTED_VALUE"""),3.0)</f>
        <v>3</v>
      </c>
      <c r="CV128" s="179">
        <f>IFERROR(__xludf.DUMMYFUNCTION("""COMPUTED_VALUE"""),16.0)</f>
        <v>16</v>
      </c>
      <c r="CW128" s="179">
        <f>IFERROR(__xludf.DUMMYFUNCTION("""COMPUTED_VALUE"""),4.0)</f>
        <v>4</v>
      </c>
      <c r="CX128" s="179">
        <f>IFERROR(__xludf.DUMMYFUNCTION("""COMPUTED_VALUE"""),0.0)</f>
        <v>0</v>
      </c>
      <c r="CY128" s="16" t="str">
        <f>IFERROR(__xludf.DUMMYFUNCTION("""COMPUTED_VALUE"""),"RP")</f>
        <v>RP</v>
      </c>
      <c r="CZ128" s="16" t="str">
        <f>IFERROR(__xludf.DUMMYFUNCTION("""COMPUTED_VALUE"""),"CP")</f>
        <v>CP</v>
      </c>
      <c r="DA128" s="16"/>
      <c r="DB128" s="16"/>
      <c r="DC128" s="16"/>
      <c r="DD128" s="16"/>
      <c r="DE128" s="16"/>
      <c r="DF128" s="16"/>
      <c r="DG128" s="16"/>
      <c r="DH128" s="16"/>
      <c r="DI128" s="16"/>
      <c r="DJ128" s="16"/>
      <c r="DK128" s="16"/>
    </row>
    <row r="129">
      <c r="A129" s="16">
        <f>IFERROR(__xludf.DUMMYFUNCTION("""COMPUTED_VALUE"""),12787.0)</f>
        <v>12787</v>
      </c>
      <c r="B129" s="16" t="str">
        <f>IFERROR(__xludf.DUMMYFUNCTION("""COMPUTED_VALUE"""),"Eli Morgan")</f>
        <v>Eli Morgan</v>
      </c>
      <c r="C129" s="153">
        <f>IFERROR(__xludf.DUMMYFUNCTION("""COMPUTED_VALUE"""),1.89)</f>
        <v>1.89</v>
      </c>
      <c r="D129" s="16"/>
      <c r="E129" s="16" t="str">
        <f>IFERROR(__xludf.DUMMYFUNCTION("""COMPUTED_VALUE"""),"R")</f>
        <v>R</v>
      </c>
      <c r="F129" s="16">
        <f>IFERROR(__xludf.DUMMYFUNCTION("""COMPUTED_VALUE"""),42.0)</f>
        <v>42</v>
      </c>
      <c r="G129" s="16">
        <f>IFERROR(__xludf.DUMMYFUNCTION("""COMPUTED_VALUE"""),9.0)</f>
        <v>9</v>
      </c>
      <c r="H129" s="16">
        <f>IFERROR(__xludf.DUMMYFUNCTION("""COMPUTED_VALUE"""),29.0)</f>
        <v>29</v>
      </c>
      <c r="I129" s="16">
        <f>IFERROR(__xludf.DUMMYFUNCTION("""COMPUTED_VALUE"""),-2.0)</f>
        <v>-2</v>
      </c>
      <c r="J129" s="16">
        <f>IFERROR(__xludf.DUMMYFUNCTION("""COMPUTED_VALUE"""),0.0)</f>
        <v>0</v>
      </c>
      <c r="K129" s="16">
        <f>IFERROR(__xludf.DUMMYFUNCTION("""COMPUTED_VALUE"""),-6.0)</f>
        <v>-6</v>
      </c>
      <c r="L129" s="16">
        <f>IFERROR(__xludf.DUMMYFUNCTION("""COMPUTED_VALUE"""),0.0)</f>
        <v>0</v>
      </c>
      <c r="M129" s="16">
        <f>IFERROR(__xludf.DUMMYFUNCTION("""COMPUTED_VALUE"""),0.0)</f>
        <v>0</v>
      </c>
      <c r="N129" s="16">
        <f>IFERROR(__xludf.DUMMYFUNCTION("""COMPUTED_VALUE"""),9.0)</f>
        <v>9</v>
      </c>
      <c r="O129" s="16">
        <f>IFERROR(__xludf.DUMMYFUNCTION("""COMPUTED_VALUE"""),3.0)</f>
        <v>3</v>
      </c>
      <c r="P129" s="16">
        <f>IFERROR(__xludf.DUMMYFUNCTION("""COMPUTED_VALUE"""),0.0)</f>
        <v>0</v>
      </c>
      <c r="Q129" s="16">
        <f>IFERROR(__xludf.DUMMYFUNCTION("""COMPUTED_VALUE"""),3.0)</f>
        <v>3</v>
      </c>
      <c r="R129" s="16">
        <f>IFERROR(__xludf.DUMMYFUNCTION("""COMPUTED_VALUE"""),0.0)</f>
        <v>0</v>
      </c>
      <c r="S129" s="16">
        <f>IFERROR(__xludf.DUMMYFUNCTION("""COMPUTED_VALUE"""),11.3)</f>
        <v>11.3</v>
      </c>
      <c r="T129" s="16">
        <f>IFERROR(__xludf.DUMMYFUNCTION("""COMPUTED_VALUE"""),7.1)</f>
        <v>7.1</v>
      </c>
      <c r="U129" s="16">
        <f>IFERROR(__xludf.DUMMYFUNCTION("""COMPUTED_VALUE"""),1.0)</f>
        <v>1</v>
      </c>
      <c r="V129" s="16">
        <f>IFERROR(__xludf.DUMMYFUNCTION("""COMPUTED_VALUE"""),2.0)</f>
        <v>2</v>
      </c>
      <c r="W129" s="16">
        <f>IFERROR(__xludf.DUMMYFUNCTION("""COMPUTED_VALUE"""),2.0)</f>
        <v>2</v>
      </c>
      <c r="X129" s="16">
        <f>IFERROR(__xludf.DUMMYFUNCTION("""COMPUTED_VALUE"""),4.0)</f>
        <v>4</v>
      </c>
      <c r="Y129" s="16">
        <f>IFERROR(__xludf.DUMMYFUNCTION("""COMPUTED_VALUE"""),11.3)</f>
        <v>11.3</v>
      </c>
      <c r="Z129" s="16">
        <f>IFERROR(__xludf.DUMMYFUNCTION("""COMPUTED_VALUE"""),16.1)</f>
        <v>16.1</v>
      </c>
      <c r="AA129" s="16">
        <f>IFERROR(__xludf.DUMMYFUNCTION("""COMPUTED_VALUE"""),2.0)</f>
        <v>2</v>
      </c>
      <c r="AB129" s="16">
        <f>IFERROR(__xludf.DUMMYFUNCTION("""COMPUTED_VALUE"""),2.0)</f>
        <v>2</v>
      </c>
      <c r="AC129" s="16">
        <f>IFERROR(__xludf.DUMMYFUNCTION("""COMPUTED_VALUE"""),10.0)</f>
        <v>10</v>
      </c>
      <c r="AD129" s="16">
        <f>IFERROR(__xludf.DUMMYFUNCTION("""COMPUTED_VALUE"""),10.0)</f>
        <v>10</v>
      </c>
      <c r="AE129" s="16">
        <f>IFERROR(__xludf.DUMMYFUNCTION("""COMPUTED_VALUE"""),23.5)</f>
        <v>23.5</v>
      </c>
      <c r="AF129" s="16">
        <f>IFERROR(__xludf.DUMMYFUNCTION("""COMPUTED_VALUE"""),16.0)</f>
        <v>16</v>
      </c>
      <c r="AG129" s="16">
        <f>IFERROR(__xludf.DUMMYFUNCTION("""COMPUTED_VALUE"""),0.0)</f>
        <v>0</v>
      </c>
      <c r="AH129" s="16">
        <f>IFERROR(__xludf.DUMMYFUNCTION("""COMPUTED_VALUE"""),1.0)</f>
        <v>1</v>
      </c>
      <c r="AI129" s="16">
        <f>IFERROR(__xludf.DUMMYFUNCTION("""COMPUTED_VALUE"""),0.0)</f>
        <v>0</v>
      </c>
      <c r="AJ129" s="16">
        <f>IFERROR(__xludf.DUMMYFUNCTION("""COMPUTED_VALUE"""),2.0)</f>
        <v>2</v>
      </c>
      <c r="AK129" s="16">
        <f>IFERROR(__xludf.DUMMYFUNCTION("""COMPUTED_VALUE"""),9.700000000000001)</f>
        <v>9.7</v>
      </c>
      <c r="AL129" s="16">
        <f>IFERROR(__xludf.DUMMYFUNCTION("""COMPUTED_VALUE"""),6.3)</f>
        <v>6.3</v>
      </c>
      <c r="AM129" s="16">
        <f>IFERROR(__xludf.DUMMYFUNCTION("""COMPUTED_VALUE"""),1.0)</f>
        <v>1</v>
      </c>
      <c r="AN129" s="16">
        <f>IFERROR(__xludf.DUMMYFUNCTION("""COMPUTED_VALUE"""),1.0)</f>
        <v>1</v>
      </c>
      <c r="AO129" s="16">
        <f>IFERROR(__xludf.DUMMYFUNCTION("""COMPUTED_VALUE"""),1.0)</f>
        <v>1</v>
      </c>
      <c r="AP129" s="16">
        <f>IFERROR(__xludf.DUMMYFUNCTION("""COMPUTED_VALUE"""),1.0)</f>
        <v>1</v>
      </c>
      <c r="AQ129" s="16">
        <f>IFERROR(__xludf.DUMMYFUNCTION("""COMPUTED_VALUE"""),17.1)</f>
        <v>17.1</v>
      </c>
      <c r="AR129" s="16">
        <f>IFERROR(__xludf.DUMMYFUNCTION("""COMPUTED_VALUE"""),12.8)</f>
        <v>12.8</v>
      </c>
      <c r="AS129" s="16">
        <f>IFERROR(__xludf.DUMMYFUNCTION("""COMPUTED_VALUE"""),0.0)</f>
        <v>0</v>
      </c>
      <c r="AT129" s="16">
        <f>IFERROR(__xludf.DUMMYFUNCTION("""COMPUTED_VALUE"""),1.0)</f>
        <v>1</v>
      </c>
      <c r="AU129" s="16">
        <f>IFERROR(__xludf.DUMMYFUNCTION("""COMPUTED_VALUE"""),0.0)</f>
        <v>0</v>
      </c>
      <c r="AV129" s="16">
        <f>IFERROR(__xludf.DUMMYFUNCTION("""COMPUTED_VALUE"""),2.0)</f>
        <v>2</v>
      </c>
      <c r="AW129" s="16">
        <f>IFERROR(__xludf.DUMMYFUNCTION("""COMPUTED_VALUE"""),1.6)</f>
        <v>1.6</v>
      </c>
      <c r="AX129" s="16">
        <f>IFERROR(__xludf.DUMMYFUNCTION("""COMPUTED_VALUE"""),0.8)</f>
        <v>0.8</v>
      </c>
      <c r="AY129" s="16">
        <f>IFERROR(__xludf.DUMMYFUNCTION("""COMPUTED_VALUE"""),1.0)</f>
        <v>1</v>
      </c>
      <c r="AZ129" s="16">
        <f>IFERROR(__xludf.DUMMYFUNCTION("""COMPUTED_VALUE"""),1.0)</f>
        <v>1</v>
      </c>
      <c r="BA129" s="16">
        <f>IFERROR(__xludf.DUMMYFUNCTION("""COMPUTED_VALUE"""),5.0)</f>
        <v>5</v>
      </c>
      <c r="BB129" s="16">
        <f>IFERROR(__xludf.DUMMYFUNCTION("""COMPUTED_VALUE"""),5.0)</f>
        <v>5</v>
      </c>
      <c r="BC129" s="16">
        <f>IFERROR(__xludf.DUMMYFUNCTION("""COMPUTED_VALUE"""),2.0)</f>
        <v>2</v>
      </c>
      <c r="BD129" s="16">
        <f>IFERROR(__xludf.DUMMYFUNCTION("""COMPUTED_VALUE"""),2.0)</f>
        <v>2</v>
      </c>
      <c r="BE129" s="16">
        <f>IFERROR(__xludf.DUMMYFUNCTION("""COMPUTED_VALUE"""),2.0)</f>
        <v>2</v>
      </c>
      <c r="BF129" s="16">
        <f>IFERROR(__xludf.DUMMYFUNCTION("""COMPUTED_VALUE"""),2.0)</f>
        <v>2</v>
      </c>
      <c r="BG129" s="16">
        <f>IFERROR(__xludf.DUMMYFUNCTION("""COMPUTED_VALUE"""),1.0)</f>
        <v>1</v>
      </c>
      <c r="BH129" s="16">
        <f>IFERROR(__xludf.DUMMYFUNCTION("""COMPUTED_VALUE"""),1.0)</f>
        <v>1</v>
      </c>
      <c r="BI129" s="16">
        <f>IFERROR(__xludf.DUMMYFUNCTION("""COMPUTED_VALUE"""),2.0)</f>
        <v>2</v>
      </c>
      <c r="BJ129" s="16">
        <f>IFERROR(__xludf.DUMMYFUNCTION("""COMPUTED_VALUE"""),2.0)</f>
        <v>2</v>
      </c>
      <c r="BK129" s="16">
        <f>IFERROR(__xludf.DUMMYFUNCTION("""COMPUTED_VALUE"""),5.0)</f>
        <v>5</v>
      </c>
      <c r="BL129" s="16">
        <f>IFERROR(__xludf.DUMMYFUNCTION("""COMPUTED_VALUE"""),5.0)</f>
        <v>5</v>
      </c>
      <c r="BM129" s="16">
        <f>IFERROR(__xludf.DUMMYFUNCTION("""COMPUTED_VALUE"""),0.0)</f>
        <v>0</v>
      </c>
      <c r="BN129" s="16">
        <f>IFERROR(__xludf.DUMMYFUNCTION("""COMPUTED_VALUE"""),0.0)</f>
        <v>0</v>
      </c>
      <c r="BO129" s="16">
        <f>IFERROR(__xludf.DUMMYFUNCTION("""COMPUTED_VALUE"""),0.0)</f>
        <v>0</v>
      </c>
      <c r="BP129" s="16">
        <f>IFERROR(__xludf.DUMMYFUNCTION("""COMPUTED_VALUE"""),0.0)</f>
        <v>0</v>
      </c>
      <c r="BQ129" s="16">
        <f>IFERROR(__xludf.DUMMYFUNCTION("""COMPUTED_VALUE"""),0.0)</f>
        <v>0</v>
      </c>
      <c r="BR129" s="16">
        <f>IFERROR(__xludf.DUMMYFUNCTION("""COMPUTED_VALUE"""),0.0)</f>
        <v>0</v>
      </c>
      <c r="BS129" s="16">
        <f>IFERROR(__xludf.DUMMYFUNCTION("""COMPUTED_VALUE"""),-3.0)</f>
        <v>-3</v>
      </c>
      <c r="BT129" s="16">
        <f>IFERROR(__xludf.DUMMYFUNCTION("""COMPUTED_VALUE"""),-3.0)</f>
        <v>-3</v>
      </c>
      <c r="BU129" s="16">
        <f>IFERROR(__xludf.DUMMYFUNCTION("""COMPUTED_VALUE"""),-6.0)</f>
        <v>-6</v>
      </c>
      <c r="BV129" s="16">
        <f>IFERROR(__xludf.DUMMYFUNCTION("""COMPUTED_VALUE"""),-6.0)</f>
        <v>-6</v>
      </c>
      <c r="BW129" s="16">
        <f>IFERROR(__xludf.DUMMYFUNCTION("""COMPUTED_VALUE"""),9.0)</f>
        <v>9</v>
      </c>
      <c r="BX129" s="16">
        <f>IFERROR(__xludf.DUMMYFUNCTION("""COMPUTED_VALUE"""),9.0)</f>
        <v>9</v>
      </c>
      <c r="BY129" s="16" t="str">
        <f>IFERROR(__xludf.DUMMYFUNCTION("""COMPUTED_VALUE"""),"R(2)")</f>
        <v>R(2)</v>
      </c>
      <c r="BZ129" s="16" t="str">
        <f>IFERROR(__xludf.DUMMYFUNCTION("""COMPUTED_VALUE"""),"R(2)")</f>
        <v>R(2)</v>
      </c>
      <c r="CA129" s="16" t="str">
        <f>IFERROR(__xludf.DUMMYFUNCTION("""COMPUTED_VALUE"""),"R(2)")</f>
        <v>R(2)</v>
      </c>
      <c r="CB129" s="16"/>
      <c r="CC129" s="16"/>
      <c r="CD129" s="16"/>
      <c r="CE129" s="16">
        <f>IFERROR(__xludf.DUMMYFUNCTION("""COMPUTED_VALUE"""),2.0)</f>
        <v>2</v>
      </c>
      <c r="CF129" s="16"/>
      <c r="CG129" s="16" t="str">
        <f>IFERROR(__xludf.DUMMYFUNCTION("""COMPUTED_VALUE"""),"3-0")</f>
        <v>3-0</v>
      </c>
      <c r="CH129" s="16">
        <f>IFERROR(__xludf.DUMMYFUNCTION("""COMPUTED_VALUE"""),3.0)</f>
        <v>3</v>
      </c>
      <c r="CI129" s="16">
        <f>IFERROR(__xludf.DUMMYFUNCTION("""COMPUTED_VALUE"""),0.0)</f>
        <v>0</v>
      </c>
      <c r="CJ129" s="16">
        <f>IFERROR(__xludf.DUMMYFUNCTION("""COMPUTED_VALUE"""),0.0)</f>
        <v>0</v>
      </c>
      <c r="CK129" s="16">
        <f>IFERROR(__xludf.DUMMYFUNCTION("""COMPUTED_VALUE"""),0.0)</f>
        <v>0</v>
      </c>
      <c r="CL129" s="16" t="str">
        <f>IFERROR(__xludf.DUMMYFUNCTION("""COMPUTED_VALUE"""),"1WR-C")</f>
        <v>1WR-C</v>
      </c>
      <c r="CM129" s="16" t="str">
        <f>IFERROR(__xludf.DUMMYFUNCTION("""COMPUTED_VALUE"""),"E")</f>
        <v>E</v>
      </c>
      <c r="CN129" s="16">
        <f>IFERROR(__xludf.DUMMYFUNCTION("""COMPUTED_VALUE"""),10.0)</f>
        <v>10</v>
      </c>
      <c r="CO129" s="16" t="str">
        <f>IFERROR(__xludf.DUMMYFUNCTION("""COMPUTED_VALUE"""),"C")</f>
        <v>C</v>
      </c>
      <c r="CP129" s="16" t="str">
        <f>IFERROR(__xludf.DUMMYFUNCTION("""COMPUTED_VALUE"""),"5p30")</f>
        <v>5p30</v>
      </c>
      <c r="CQ129" s="16">
        <f>IFERROR(__xludf.DUMMYFUNCTION("""COMPUTED_VALUE"""),11.0)</f>
        <v>11</v>
      </c>
      <c r="CR129" s="16">
        <f>IFERROR(__xludf.DUMMYFUNCTION("""COMPUTED_VALUE"""),20.0)</f>
        <v>20</v>
      </c>
      <c r="CS129" s="16">
        <f>IFERROR(__xludf.DUMMYFUNCTION("""COMPUTED_VALUE"""),31.0)</f>
        <v>31</v>
      </c>
      <c r="CT129" s="16">
        <f>IFERROR(__xludf.DUMMYFUNCTION("""COMPUTED_VALUE"""),11.0)</f>
        <v>11</v>
      </c>
      <c r="CU129" s="16">
        <f>IFERROR(__xludf.DUMMYFUNCTION("""COMPUTED_VALUE"""),20.0)</f>
        <v>20</v>
      </c>
      <c r="CV129" s="179">
        <f>IFERROR(__xludf.DUMMYFUNCTION("""COMPUTED_VALUE"""),16.0)</f>
        <v>16</v>
      </c>
      <c r="CW129" s="179">
        <f>IFERROR(__xludf.DUMMYFUNCTION("""COMPUTED_VALUE"""),0.0)</f>
        <v>0</v>
      </c>
      <c r="CX129" s="179">
        <f>IFERROR(__xludf.DUMMYFUNCTION("""COMPUTED_VALUE"""),2.0)</f>
        <v>2</v>
      </c>
      <c r="CY129" s="16" t="str">
        <f>IFERROR(__xludf.DUMMYFUNCTION("""COMPUTED_VALUE"""),"RP")</f>
        <v>RP</v>
      </c>
      <c r="CZ129" s="16"/>
      <c r="DA129" s="16"/>
      <c r="DB129" s="16"/>
      <c r="DC129" s="16"/>
      <c r="DD129" s="16"/>
      <c r="DE129" s="16"/>
      <c r="DF129" s="16"/>
      <c r="DG129" s="16"/>
      <c r="DH129" s="16"/>
      <c r="DI129" s="16"/>
      <c r="DJ129" s="16"/>
      <c r="DK129" s="16"/>
    </row>
    <row r="130">
      <c r="A130" s="16">
        <f>IFERROR(__xludf.DUMMYFUNCTION("""COMPUTED_VALUE"""),12572.0)</f>
        <v>12572</v>
      </c>
      <c r="B130" s="16" t="str">
        <f>IFERROR(__xludf.DUMMYFUNCTION("""COMPUTED_VALUE"""),"Beau Brieske")</f>
        <v>Beau Brieske</v>
      </c>
      <c r="C130" s="153">
        <f>IFERROR(__xludf.DUMMYFUNCTION("""COMPUTED_VALUE"""),0.5)</f>
        <v>0.5</v>
      </c>
      <c r="D130" s="16"/>
      <c r="E130" s="16" t="str">
        <f>IFERROR(__xludf.DUMMYFUNCTION("""COMPUTED_VALUE"""),"R")</f>
        <v>R</v>
      </c>
      <c r="F130" s="16">
        <f>IFERROR(__xludf.DUMMYFUNCTION("""COMPUTED_VALUE"""),68.0)</f>
        <v>68</v>
      </c>
      <c r="G130" s="16">
        <f>IFERROR(__xludf.DUMMYFUNCTION("""COMPUTED_VALUE"""),30.0)</f>
        <v>30</v>
      </c>
      <c r="H130" s="16">
        <f>IFERROR(__xludf.DUMMYFUNCTION("""COMPUTED_VALUE"""),30.0)</f>
        <v>30</v>
      </c>
      <c r="I130" s="16">
        <f>IFERROR(__xludf.DUMMYFUNCTION("""COMPUTED_VALUE"""),0.0)</f>
        <v>0</v>
      </c>
      <c r="J130" s="16">
        <f>IFERROR(__xludf.DUMMYFUNCTION("""COMPUTED_VALUE"""),0.0)</f>
        <v>0</v>
      </c>
      <c r="K130" s="16">
        <f>IFERROR(__xludf.DUMMYFUNCTION("""COMPUTED_VALUE"""),0.0)</f>
        <v>0</v>
      </c>
      <c r="L130" s="16">
        <f>IFERROR(__xludf.DUMMYFUNCTION("""COMPUTED_VALUE"""),0.0)</f>
        <v>0</v>
      </c>
      <c r="M130" s="16">
        <f>IFERROR(__xludf.DUMMYFUNCTION("""COMPUTED_VALUE"""),16.0)</f>
        <v>16</v>
      </c>
      <c r="N130" s="16">
        <f>IFERROR(__xludf.DUMMYFUNCTION("""COMPUTED_VALUE"""),10.0)</f>
        <v>10</v>
      </c>
      <c r="O130" s="16">
        <f>IFERROR(__xludf.DUMMYFUNCTION("""COMPUTED_VALUE"""),-2.0)</f>
        <v>-2</v>
      </c>
      <c r="P130" s="16">
        <f>IFERROR(__xludf.DUMMYFUNCTION("""COMPUTED_VALUE"""),-1.0)</f>
        <v>-1</v>
      </c>
      <c r="Q130" s="16">
        <f>IFERROR(__xludf.DUMMYFUNCTION("""COMPUTED_VALUE"""),-2.0)</f>
        <v>-2</v>
      </c>
      <c r="R130" s="16">
        <f>IFERROR(__xludf.DUMMYFUNCTION("""COMPUTED_VALUE"""),-1.0)</f>
        <v>-1</v>
      </c>
      <c r="S130" s="16">
        <f>IFERROR(__xludf.DUMMYFUNCTION("""COMPUTED_VALUE"""),8.1)</f>
        <v>8.1</v>
      </c>
      <c r="T130" s="16">
        <f>IFERROR(__xludf.DUMMYFUNCTION("""COMPUTED_VALUE"""),14.6)</f>
        <v>14.6</v>
      </c>
      <c r="U130" s="16">
        <f>IFERROR(__xludf.DUMMYFUNCTION("""COMPUTED_VALUE"""),1.0)</f>
        <v>1</v>
      </c>
      <c r="V130" s="16">
        <f>IFERROR(__xludf.DUMMYFUNCTION("""COMPUTED_VALUE"""),0.0)</f>
        <v>0</v>
      </c>
      <c r="W130" s="16">
        <f>IFERROR(__xludf.DUMMYFUNCTION("""COMPUTED_VALUE"""),2.0)</f>
        <v>2</v>
      </c>
      <c r="X130" s="16">
        <f>IFERROR(__xludf.DUMMYFUNCTION("""COMPUTED_VALUE"""),0.0)</f>
        <v>0</v>
      </c>
      <c r="Y130" s="16">
        <f>IFERROR(__xludf.DUMMYFUNCTION("""COMPUTED_VALUE"""),24.2)</f>
        <v>24.2</v>
      </c>
      <c r="Z130" s="16">
        <f>IFERROR(__xludf.DUMMYFUNCTION("""COMPUTED_VALUE"""),24.6)</f>
        <v>24.6</v>
      </c>
      <c r="AA130" s="16">
        <f>IFERROR(__xludf.DUMMYFUNCTION("""COMPUTED_VALUE"""),0.0)</f>
        <v>0</v>
      </c>
      <c r="AB130" s="16">
        <f>IFERROR(__xludf.DUMMYFUNCTION("""COMPUTED_VALUE"""),0.0)</f>
        <v>0</v>
      </c>
      <c r="AC130" s="16">
        <f>IFERROR(__xludf.DUMMYFUNCTION("""COMPUTED_VALUE"""),0.0)</f>
        <v>0</v>
      </c>
      <c r="AD130" s="16">
        <f>IFERROR(__xludf.DUMMYFUNCTION("""COMPUTED_VALUE"""),0.0)</f>
        <v>0</v>
      </c>
      <c r="AE130" s="16">
        <f>IFERROR(__xludf.DUMMYFUNCTION("""COMPUTED_VALUE"""),16.4)</f>
        <v>16.4</v>
      </c>
      <c r="AF130" s="16">
        <f>IFERROR(__xludf.DUMMYFUNCTION("""COMPUTED_VALUE"""),27.5)</f>
        <v>27.5</v>
      </c>
      <c r="AG130" s="16">
        <f>IFERROR(__xludf.DUMMYFUNCTION("""COMPUTED_VALUE"""),1.0)</f>
        <v>1</v>
      </c>
      <c r="AH130" s="16">
        <f>IFERROR(__xludf.DUMMYFUNCTION("""COMPUTED_VALUE"""),0.0)</f>
        <v>0</v>
      </c>
      <c r="AI130" s="16">
        <f>IFERROR(__xludf.DUMMYFUNCTION("""COMPUTED_VALUE"""),2.0)</f>
        <v>2</v>
      </c>
      <c r="AJ130" s="16">
        <f>IFERROR(__xludf.DUMMYFUNCTION("""COMPUTED_VALUE"""),0.0)</f>
        <v>0</v>
      </c>
      <c r="AK130" s="16">
        <f>IFERROR(__xludf.DUMMYFUNCTION("""COMPUTED_VALUE"""),8.1)</f>
        <v>8.1</v>
      </c>
      <c r="AL130" s="16">
        <f>IFERROR(__xludf.DUMMYFUNCTION("""COMPUTED_VALUE"""),13.2)</f>
        <v>13.2</v>
      </c>
      <c r="AM130" s="16">
        <f>IFERROR(__xludf.DUMMYFUNCTION("""COMPUTED_VALUE"""),1.0)</f>
        <v>1</v>
      </c>
      <c r="AN130" s="16">
        <f>IFERROR(__xludf.DUMMYFUNCTION("""COMPUTED_VALUE"""),0.0)</f>
        <v>0</v>
      </c>
      <c r="AO130" s="16">
        <f>IFERROR(__xludf.DUMMYFUNCTION("""COMPUTED_VALUE"""),1.0)</f>
        <v>1</v>
      </c>
      <c r="AP130" s="16">
        <f>IFERROR(__xludf.DUMMYFUNCTION("""COMPUTED_VALUE"""),0.0)</f>
        <v>0</v>
      </c>
      <c r="AQ130" s="16">
        <f>IFERROR(__xludf.DUMMYFUNCTION("""COMPUTED_VALUE"""),16.4)</f>
        <v>16.4</v>
      </c>
      <c r="AR130" s="16">
        <f>IFERROR(__xludf.DUMMYFUNCTION("""COMPUTED_VALUE"""),21.9)</f>
        <v>21.9</v>
      </c>
      <c r="AS130" s="16">
        <f>IFERROR(__xludf.DUMMYFUNCTION("""COMPUTED_VALUE"""),0.0)</f>
        <v>0</v>
      </c>
      <c r="AT130" s="16">
        <f>IFERROR(__xludf.DUMMYFUNCTION("""COMPUTED_VALUE"""),0.0)</f>
        <v>0</v>
      </c>
      <c r="AU130" s="16">
        <f>IFERROR(__xludf.DUMMYFUNCTION("""COMPUTED_VALUE"""),0.0)</f>
        <v>0</v>
      </c>
      <c r="AV130" s="16">
        <f>IFERROR(__xludf.DUMMYFUNCTION("""COMPUTED_VALUE"""),0.0)</f>
        <v>0</v>
      </c>
      <c r="AW130" s="16">
        <f>IFERROR(__xludf.DUMMYFUNCTION("""COMPUTED_VALUE"""),0.0)</f>
        <v>0</v>
      </c>
      <c r="AX130" s="16">
        <f>IFERROR(__xludf.DUMMYFUNCTION("""COMPUTED_VALUE"""),1.4)</f>
        <v>1.4</v>
      </c>
      <c r="AY130" s="16">
        <f>IFERROR(__xludf.DUMMYFUNCTION("""COMPUTED_VALUE"""),2.0)</f>
        <v>2</v>
      </c>
      <c r="AZ130" s="16">
        <f>IFERROR(__xludf.DUMMYFUNCTION("""COMPUTED_VALUE"""),1.0)</f>
        <v>1</v>
      </c>
      <c r="BA130" s="16">
        <f>IFERROR(__xludf.DUMMYFUNCTION("""COMPUTED_VALUE"""),10.0)</f>
        <v>10</v>
      </c>
      <c r="BB130" s="16">
        <f>IFERROR(__xludf.DUMMYFUNCTION("""COMPUTED_VALUE"""),5.0)</f>
        <v>5</v>
      </c>
      <c r="BC130" s="16">
        <f>IFERROR(__xludf.DUMMYFUNCTION("""COMPUTED_VALUE"""),0.0)</f>
        <v>0</v>
      </c>
      <c r="BD130" s="16">
        <f>IFERROR(__xludf.DUMMYFUNCTION("""COMPUTED_VALUE"""),1.0)</f>
        <v>1</v>
      </c>
      <c r="BE130" s="16">
        <f>IFERROR(__xludf.DUMMYFUNCTION("""COMPUTED_VALUE"""),0.0)</f>
        <v>0</v>
      </c>
      <c r="BF130" s="16">
        <f>IFERROR(__xludf.DUMMYFUNCTION("""COMPUTED_VALUE"""),1.0)</f>
        <v>1</v>
      </c>
      <c r="BG130" s="16">
        <f>IFERROR(__xludf.DUMMYFUNCTION("""COMPUTED_VALUE"""),3.0)</f>
        <v>3</v>
      </c>
      <c r="BH130" s="16">
        <f>IFERROR(__xludf.DUMMYFUNCTION("""COMPUTED_VALUE"""),2.0)</f>
        <v>2</v>
      </c>
      <c r="BI130" s="16">
        <f>IFERROR(__xludf.DUMMYFUNCTION("""COMPUTED_VALUE"""),6.0)</f>
        <v>6</v>
      </c>
      <c r="BJ130" s="16">
        <f>IFERROR(__xludf.DUMMYFUNCTION("""COMPUTED_VALUE"""),4.0)</f>
        <v>4</v>
      </c>
      <c r="BK130" s="16">
        <f>IFERROR(__xludf.DUMMYFUNCTION("""COMPUTED_VALUE"""),5.0)</f>
        <v>5</v>
      </c>
      <c r="BL130" s="16">
        <f>IFERROR(__xludf.DUMMYFUNCTION("""COMPUTED_VALUE"""),5.0)</f>
        <v>5</v>
      </c>
      <c r="BM130" s="16">
        <f>IFERROR(__xludf.DUMMYFUNCTION("""COMPUTED_VALUE"""),0.0)</f>
        <v>0</v>
      </c>
      <c r="BN130" s="16">
        <f>IFERROR(__xludf.DUMMYFUNCTION("""COMPUTED_VALUE"""),0.0)</f>
        <v>0</v>
      </c>
      <c r="BO130" s="16">
        <f>IFERROR(__xludf.DUMMYFUNCTION("""COMPUTED_VALUE"""),0.0)</f>
        <v>0</v>
      </c>
      <c r="BP130" s="16">
        <f>IFERROR(__xludf.DUMMYFUNCTION("""COMPUTED_VALUE"""),0.0)</f>
        <v>0</v>
      </c>
      <c r="BQ130" s="16">
        <f>IFERROR(__xludf.DUMMYFUNCTION("""COMPUTED_VALUE"""),6.0)</f>
        <v>6</v>
      </c>
      <c r="BR130" s="16">
        <f>IFERROR(__xludf.DUMMYFUNCTION("""COMPUTED_VALUE"""),4.0)</f>
        <v>4</v>
      </c>
      <c r="BS130" s="16">
        <f>IFERROR(__xludf.DUMMYFUNCTION("""COMPUTED_VALUE"""),1.0)</f>
        <v>1</v>
      </c>
      <c r="BT130" s="16">
        <f>IFERROR(__xludf.DUMMYFUNCTION("""COMPUTED_VALUE"""),-1.0)</f>
        <v>-1</v>
      </c>
      <c r="BU130" s="16">
        <f>IFERROR(__xludf.DUMMYFUNCTION("""COMPUTED_VALUE"""),2.0)</f>
        <v>2</v>
      </c>
      <c r="BV130" s="16">
        <f>IFERROR(__xludf.DUMMYFUNCTION("""COMPUTED_VALUE"""),-2.0)</f>
        <v>-2</v>
      </c>
      <c r="BW130" s="16">
        <f>IFERROR(__xludf.DUMMYFUNCTION("""COMPUTED_VALUE"""),0.0)</f>
        <v>0</v>
      </c>
      <c r="BX130" s="16">
        <f>IFERROR(__xludf.DUMMYFUNCTION("""COMPUTED_VALUE"""),0.0)</f>
        <v>0</v>
      </c>
      <c r="BY130" s="16" t="str">
        <f>IFERROR(__xludf.DUMMYFUNCTION("""COMPUTED_VALUE"""),"S(1) R(1) C(0)")</f>
        <v>S(1) R(1) C(0)</v>
      </c>
      <c r="BZ130" s="16" t="str">
        <f>IFERROR(__xludf.DUMMYFUNCTION("""COMPUTED_VALUE"""),"S(1) R(1) C(0)")</f>
        <v>S(1) R(1) C(0)</v>
      </c>
      <c r="CA130" s="16" t="str">
        <f>IFERROR(__xludf.DUMMYFUNCTION("""COMPUTED_VALUE"""),"S(1)")</f>
        <v>S(1)</v>
      </c>
      <c r="CB130" s="16" t="str">
        <f>IFERROR(__xludf.DUMMYFUNCTION("""COMPUTED_VALUE"""),"R(1)")</f>
        <v>R(1)</v>
      </c>
      <c r="CC130" s="16" t="str">
        <f>IFERROR(__xludf.DUMMYFUNCTION("""COMPUTED_VALUE"""),"C(0)")</f>
        <v>C(0)</v>
      </c>
      <c r="CD130" s="16">
        <f>IFERROR(__xludf.DUMMYFUNCTION("""COMPUTED_VALUE"""),1.0)</f>
        <v>1</v>
      </c>
      <c r="CE130" s="16">
        <f>IFERROR(__xludf.DUMMYFUNCTION("""COMPUTED_VALUE"""),1.0)</f>
        <v>1</v>
      </c>
      <c r="CF130" s="16">
        <f>IFERROR(__xludf.DUMMYFUNCTION("""COMPUTED_VALUE"""),0.0)</f>
        <v>0</v>
      </c>
      <c r="CG130" s="16" t="str">
        <f>IFERROR(__xludf.DUMMYFUNCTION("""COMPUTED_VALUE"""),"2-0")</f>
        <v>2-0</v>
      </c>
      <c r="CH130" s="16">
        <f>IFERROR(__xludf.DUMMYFUNCTION("""COMPUTED_VALUE"""),2.0)</f>
        <v>2</v>
      </c>
      <c r="CI130" s="16">
        <f>IFERROR(__xludf.DUMMYFUNCTION("""COMPUTED_VALUE"""),0.0)</f>
        <v>0</v>
      </c>
      <c r="CJ130" s="16">
        <f>IFERROR(__xludf.DUMMYFUNCTION("""COMPUTED_VALUE"""),0.0)</f>
        <v>0</v>
      </c>
      <c r="CK130" s="16">
        <f>IFERROR(__xludf.DUMMYFUNCTION("""COMPUTED_VALUE"""),0.0)</f>
        <v>0</v>
      </c>
      <c r="CL130" s="16" t="str">
        <f>IFERROR(__xludf.DUMMYFUNCTION("""COMPUTED_VALUE"""),"1WR-C")</f>
        <v>1WR-C</v>
      </c>
      <c r="CM130" s="16" t="str">
        <f>IFERROR(__xludf.DUMMYFUNCTION("""COMPUTED_VALUE"""),"E")</f>
        <v>E</v>
      </c>
      <c r="CN130" s="16">
        <f>IFERROR(__xludf.DUMMYFUNCTION("""COMPUTED_VALUE"""),10.0)</f>
        <v>10</v>
      </c>
      <c r="CO130" s="16" t="str">
        <f>IFERROR(__xludf.DUMMYFUNCTION("""COMPUTED_VALUE"""),"C")</f>
        <v>C</v>
      </c>
      <c r="CP130" s="16" t="str">
        <f>IFERROR(__xludf.DUMMYFUNCTION("""COMPUTED_VALUE"""),"1p60")</f>
        <v>1p60</v>
      </c>
      <c r="CQ130" s="16">
        <f>IFERROR(__xludf.DUMMYFUNCTION("""COMPUTED_VALUE"""),21.0)</f>
        <v>21</v>
      </c>
      <c r="CR130" s="16">
        <f>IFERROR(__xludf.DUMMYFUNCTION("""COMPUTED_VALUE"""),6.0)</f>
        <v>6</v>
      </c>
      <c r="CS130" s="16">
        <f>IFERROR(__xludf.DUMMYFUNCTION("""COMPUTED_VALUE"""),27.0)</f>
        <v>27</v>
      </c>
      <c r="CT130" s="16">
        <f>IFERROR(__xludf.DUMMYFUNCTION("""COMPUTED_VALUE"""),21.0)</f>
        <v>21</v>
      </c>
      <c r="CU130" s="16">
        <f>IFERROR(__xludf.DUMMYFUNCTION("""COMPUTED_VALUE"""),6.0)</f>
        <v>6</v>
      </c>
      <c r="CV130" s="179">
        <f>IFERROR(__xludf.DUMMYFUNCTION("""COMPUTED_VALUE"""),16.0)</f>
        <v>16</v>
      </c>
      <c r="CW130" s="179">
        <f>IFERROR(__xludf.DUMMYFUNCTION("""COMPUTED_VALUE"""),4.0)</f>
        <v>4</v>
      </c>
      <c r="CX130" s="179">
        <f>IFERROR(__xludf.DUMMYFUNCTION("""COMPUTED_VALUE"""),1.0)</f>
        <v>1</v>
      </c>
      <c r="CY130" s="16" t="str">
        <f>IFERROR(__xludf.DUMMYFUNCTION("""COMPUTED_VALUE"""),"SP")</f>
        <v>SP</v>
      </c>
      <c r="CZ130" s="16" t="str">
        <f>IFERROR(__xludf.DUMMYFUNCTION("""COMPUTED_VALUE"""),"RP")</f>
        <v>RP</v>
      </c>
      <c r="DA130" s="16" t="str">
        <f>IFERROR(__xludf.DUMMYFUNCTION("""COMPUTED_VALUE"""),"CP")</f>
        <v>CP</v>
      </c>
      <c r="DB130" s="16"/>
      <c r="DC130" s="16"/>
      <c r="DD130" s="16"/>
      <c r="DE130" s="16"/>
      <c r="DF130" s="16"/>
      <c r="DG130" s="16"/>
      <c r="DH130" s="16"/>
      <c r="DI130" s="16"/>
      <c r="DJ130" s="16"/>
      <c r="DK130" s="16"/>
    </row>
    <row r="131">
      <c r="A131" s="16">
        <f>IFERROR(__xludf.DUMMYFUNCTION("""COMPUTED_VALUE"""),12915.0)</f>
        <v>12915</v>
      </c>
      <c r="B131" s="16" t="str">
        <f>IFERROR(__xludf.DUMMYFUNCTION("""COMPUTED_VALUE"""),"Jake Junis")</f>
        <v>Jake Junis</v>
      </c>
      <c r="C131" s="153">
        <f>IFERROR(__xludf.DUMMYFUNCTION("""COMPUTED_VALUE"""),2.01)</f>
        <v>2.01</v>
      </c>
      <c r="D131" s="16"/>
      <c r="E131" s="16" t="str">
        <f>IFERROR(__xludf.DUMMYFUNCTION("""COMPUTED_VALUE"""),"R")</f>
        <v>R</v>
      </c>
      <c r="F131" s="16">
        <f>IFERROR(__xludf.DUMMYFUNCTION("""COMPUTED_VALUE"""),67.0)</f>
        <v>67</v>
      </c>
      <c r="G131" s="16">
        <f>IFERROR(__xludf.DUMMYFUNCTION("""COMPUTED_VALUE"""),16.0)</f>
        <v>16</v>
      </c>
      <c r="H131" s="16">
        <f>IFERROR(__xludf.DUMMYFUNCTION("""COMPUTED_VALUE"""),20.0)</f>
        <v>20</v>
      </c>
      <c r="I131" s="16">
        <f>IFERROR(__xludf.DUMMYFUNCTION("""COMPUTED_VALUE"""),-2.0)</f>
        <v>-2</v>
      </c>
      <c r="J131" s="16">
        <f>IFERROR(__xludf.DUMMYFUNCTION("""COMPUTED_VALUE"""),-1.0)</f>
        <v>-1</v>
      </c>
      <c r="K131" s="16">
        <f>IFERROR(__xludf.DUMMYFUNCTION("""COMPUTED_VALUE"""),-6.0)</f>
        <v>-6</v>
      </c>
      <c r="L131" s="16">
        <f>IFERROR(__xludf.DUMMYFUNCTION("""COMPUTED_VALUE"""),-3.0)</f>
        <v>-3</v>
      </c>
      <c r="M131" s="16">
        <f>IFERROR(__xludf.DUMMYFUNCTION("""COMPUTED_VALUE"""),0.0)</f>
        <v>0</v>
      </c>
      <c r="N131" s="16">
        <f>IFERROR(__xludf.DUMMYFUNCTION("""COMPUTED_VALUE"""),0.0)</f>
        <v>0</v>
      </c>
      <c r="O131" s="16">
        <f>IFERROR(__xludf.DUMMYFUNCTION("""COMPUTED_VALUE"""),3.0)</f>
        <v>3</v>
      </c>
      <c r="P131" s="16">
        <f>IFERROR(__xludf.DUMMYFUNCTION("""COMPUTED_VALUE"""),3.0)</f>
        <v>3</v>
      </c>
      <c r="Q131" s="16">
        <f>IFERROR(__xludf.DUMMYFUNCTION("""COMPUTED_VALUE"""),3.0)</f>
        <v>3</v>
      </c>
      <c r="R131" s="16">
        <f>IFERROR(__xludf.DUMMYFUNCTION("""COMPUTED_VALUE"""),3.0)</f>
        <v>3</v>
      </c>
      <c r="S131" s="16">
        <f>IFERROR(__xludf.DUMMYFUNCTION("""COMPUTED_VALUE"""),8.1)</f>
        <v>8.1</v>
      </c>
      <c r="T131" s="16">
        <f>IFERROR(__xludf.DUMMYFUNCTION("""COMPUTED_VALUE"""),11.4)</f>
        <v>11.4</v>
      </c>
      <c r="U131" s="16">
        <f>IFERROR(__xludf.DUMMYFUNCTION("""COMPUTED_VALUE"""),1.0)</f>
        <v>1</v>
      </c>
      <c r="V131" s="16">
        <f>IFERROR(__xludf.DUMMYFUNCTION("""COMPUTED_VALUE"""),1.0)</f>
        <v>1</v>
      </c>
      <c r="W131" s="16">
        <f>IFERROR(__xludf.DUMMYFUNCTION("""COMPUTED_VALUE"""),2.0)</f>
        <v>2</v>
      </c>
      <c r="X131" s="16">
        <f>IFERROR(__xludf.DUMMYFUNCTION("""COMPUTED_VALUE"""),2.0)</f>
        <v>2</v>
      </c>
      <c r="Y131" s="16">
        <f>IFERROR(__xludf.DUMMYFUNCTION("""COMPUTED_VALUE"""),8.1)</f>
        <v>8.1</v>
      </c>
      <c r="Z131" s="16">
        <f>IFERROR(__xludf.DUMMYFUNCTION("""COMPUTED_VALUE"""),11.4)</f>
        <v>11.4</v>
      </c>
      <c r="AA131" s="16">
        <f>IFERROR(__xludf.DUMMYFUNCTION("""COMPUTED_VALUE"""),2.0)</f>
        <v>2</v>
      </c>
      <c r="AB131" s="16">
        <f>IFERROR(__xludf.DUMMYFUNCTION("""COMPUTED_VALUE"""),2.0)</f>
        <v>2</v>
      </c>
      <c r="AC131" s="16">
        <f>IFERROR(__xludf.DUMMYFUNCTION("""COMPUTED_VALUE"""),10.0)</f>
        <v>10</v>
      </c>
      <c r="AD131" s="16">
        <f>IFERROR(__xludf.DUMMYFUNCTION("""COMPUTED_VALUE"""),10.0)</f>
        <v>10</v>
      </c>
      <c r="AE131" s="16">
        <f>IFERROR(__xludf.DUMMYFUNCTION("""COMPUTED_VALUE"""),25.4)</f>
        <v>25.4</v>
      </c>
      <c r="AF131" s="16">
        <f>IFERROR(__xludf.DUMMYFUNCTION("""COMPUTED_VALUE"""),23.7)</f>
        <v>23.7</v>
      </c>
      <c r="AG131" s="16">
        <f>IFERROR(__xludf.DUMMYFUNCTION("""COMPUTED_VALUE"""),0.0)</f>
        <v>0</v>
      </c>
      <c r="AH131" s="16">
        <f>IFERROR(__xludf.DUMMYFUNCTION("""COMPUTED_VALUE"""),1.0)</f>
        <v>1</v>
      </c>
      <c r="AI131" s="16">
        <f>IFERROR(__xludf.DUMMYFUNCTION("""COMPUTED_VALUE"""),0.0)</f>
        <v>0</v>
      </c>
      <c r="AJ131" s="16">
        <f>IFERROR(__xludf.DUMMYFUNCTION("""COMPUTED_VALUE"""),2.0)</f>
        <v>2</v>
      </c>
      <c r="AK131" s="16">
        <f>IFERROR(__xludf.DUMMYFUNCTION("""COMPUTED_VALUE"""),3.8)</f>
        <v>3.8</v>
      </c>
      <c r="AL131" s="16">
        <f>IFERROR(__xludf.DUMMYFUNCTION("""COMPUTED_VALUE"""),10.200000000000001)</f>
        <v>10.2</v>
      </c>
      <c r="AM131" s="16">
        <f>IFERROR(__xludf.DUMMYFUNCTION("""COMPUTED_VALUE"""),2.0)</f>
        <v>2</v>
      </c>
      <c r="AN131" s="16">
        <f>IFERROR(__xludf.DUMMYFUNCTION("""COMPUTED_VALUE"""),1.0)</f>
        <v>1</v>
      </c>
      <c r="AO131" s="16">
        <f>IFERROR(__xludf.DUMMYFUNCTION("""COMPUTED_VALUE"""),2.0)</f>
        <v>2</v>
      </c>
      <c r="AP131" s="16">
        <f>IFERROR(__xludf.DUMMYFUNCTION("""COMPUTED_VALUE"""),1.0)</f>
        <v>1</v>
      </c>
      <c r="AQ131" s="16">
        <f>IFERROR(__xludf.DUMMYFUNCTION("""COMPUTED_VALUE"""),8.2)</f>
        <v>8.2</v>
      </c>
      <c r="AR131" s="16">
        <f>IFERROR(__xludf.DUMMYFUNCTION("""COMPUTED_VALUE"""),18.9)</f>
        <v>18.9</v>
      </c>
      <c r="AS131" s="16">
        <f>IFERROR(__xludf.DUMMYFUNCTION("""COMPUTED_VALUE"""),1.0)</f>
        <v>1</v>
      </c>
      <c r="AT131" s="16">
        <f>IFERROR(__xludf.DUMMYFUNCTION("""COMPUTED_VALUE"""),0.0)</f>
        <v>0</v>
      </c>
      <c r="AU131" s="16">
        <f>IFERROR(__xludf.DUMMYFUNCTION("""COMPUTED_VALUE"""),2.0)</f>
        <v>2</v>
      </c>
      <c r="AV131" s="16">
        <f>IFERROR(__xludf.DUMMYFUNCTION("""COMPUTED_VALUE"""),0.0)</f>
        <v>0</v>
      </c>
      <c r="AW131" s="16">
        <f>IFERROR(__xludf.DUMMYFUNCTION("""COMPUTED_VALUE"""),4.3)</f>
        <v>4.3</v>
      </c>
      <c r="AX131" s="16">
        <f>IFERROR(__xludf.DUMMYFUNCTION("""COMPUTED_VALUE"""),1.2)</f>
        <v>1.2</v>
      </c>
      <c r="AY131" s="16">
        <f>IFERROR(__xludf.DUMMYFUNCTION("""COMPUTED_VALUE"""),-2.0)</f>
        <v>-2</v>
      </c>
      <c r="AZ131" s="16">
        <f>IFERROR(__xludf.DUMMYFUNCTION("""COMPUTED_VALUE"""),1.0)</f>
        <v>1</v>
      </c>
      <c r="BA131" s="16">
        <f>IFERROR(__xludf.DUMMYFUNCTION("""COMPUTED_VALUE"""),-10.0)</f>
        <v>-10</v>
      </c>
      <c r="BB131" s="16">
        <f>IFERROR(__xludf.DUMMYFUNCTION("""COMPUTED_VALUE"""),5.0)</f>
        <v>5</v>
      </c>
      <c r="BC131" s="16">
        <f>IFERROR(__xludf.DUMMYFUNCTION("""COMPUTED_VALUE"""),4.0)</f>
        <v>4</v>
      </c>
      <c r="BD131" s="16">
        <f>IFERROR(__xludf.DUMMYFUNCTION("""COMPUTED_VALUE"""),0.0)</f>
        <v>0</v>
      </c>
      <c r="BE131" s="16">
        <f>IFERROR(__xludf.DUMMYFUNCTION("""COMPUTED_VALUE"""),4.0)</f>
        <v>4</v>
      </c>
      <c r="BF131" s="16">
        <f>IFERROR(__xludf.DUMMYFUNCTION("""COMPUTED_VALUE"""),0.0)</f>
        <v>0</v>
      </c>
      <c r="BG131" s="16">
        <f>IFERROR(__xludf.DUMMYFUNCTION("""COMPUTED_VALUE"""),-1.0)</f>
        <v>-1</v>
      </c>
      <c r="BH131" s="16">
        <f>IFERROR(__xludf.DUMMYFUNCTION("""COMPUTED_VALUE"""),2.0)</f>
        <v>2</v>
      </c>
      <c r="BI131" s="16">
        <f>IFERROR(__xludf.DUMMYFUNCTION("""COMPUTED_VALUE"""),-2.0)</f>
        <v>-2</v>
      </c>
      <c r="BJ131" s="16">
        <f>IFERROR(__xludf.DUMMYFUNCTION("""COMPUTED_VALUE"""),4.0)</f>
        <v>4</v>
      </c>
      <c r="BK131" s="16">
        <f>IFERROR(__xludf.DUMMYFUNCTION("""COMPUTED_VALUE"""),5.0)</f>
        <v>5</v>
      </c>
      <c r="BL131" s="16">
        <f>IFERROR(__xludf.DUMMYFUNCTION("""COMPUTED_VALUE"""),5.0)</f>
        <v>5</v>
      </c>
      <c r="BM131" s="16">
        <f>IFERROR(__xludf.DUMMYFUNCTION("""COMPUTED_VALUE"""),0.0)</f>
        <v>0</v>
      </c>
      <c r="BN131" s="16">
        <f>IFERROR(__xludf.DUMMYFUNCTION("""COMPUTED_VALUE"""),0.0)</f>
        <v>0</v>
      </c>
      <c r="BO131" s="16">
        <f>IFERROR(__xludf.DUMMYFUNCTION("""COMPUTED_VALUE"""),0.0)</f>
        <v>0</v>
      </c>
      <c r="BP131" s="16">
        <f>IFERROR(__xludf.DUMMYFUNCTION("""COMPUTED_VALUE"""),0.0)</f>
        <v>0</v>
      </c>
      <c r="BQ131" s="16">
        <f>IFERROR(__xludf.DUMMYFUNCTION("""COMPUTED_VALUE"""),11.0)</f>
        <v>11</v>
      </c>
      <c r="BR131" s="16">
        <f>IFERROR(__xludf.DUMMYFUNCTION("""COMPUTED_VALUE"""),12.0)</f>
        <v>12</v>
      </c>
      <c r="BS131" s="16">
        <f>IFERROR(__xludf.DUMMYFUNCTION("""COMPUTED_VALUE"""),3.0)</f>
        <v>3</v>
      </c>
      <c r="BT131" s="16">
        <f>IFERROR(__xludf.DUMMYFUNCTION("""COMPUTED_VALUE"""),3.0)</f>
        <v>3</v>
      </c>
      <c r="BU131" s="16">
        <f>IFERROR(__xludf.DUMMYFUNCTION("""COMPUTED_VALUE"""),6.0)</f>
        <v>6</v>
      </c>
      <c r="BV131" s="16">
        <f>IFERROR(__xludf.DUMMYFUNCTION("""COMPUTED_VALUE"""),6.0)</f>
        <v>6</v>
      </c>
      <c r="BW131" s="16">
        <f>IFERROR(__xludf.DUMMYFUNCTION("""COMPUTED_VALUE"""),1.0)</f>
        <v>1</v>
      </c>
      <c r="BX131" s="16">
        <f>IFERROR(__xludf.DUMMYFUNCTION("""COMPUTED_VALUE"""),1.0)</f>
        <v>1</v>
      </c>
      <c r="BY131" s="16" t="str">
        <f>IFERROR(__xludf.DUMMYFUNCTION("""COMPUTED_VALUE"""),"S(5) R(3) C(0)")</f>
        <v>S(5) R(3) C(0)</v>
      </c>
      <c r="BZ131" s="16" t="str">
        <f>IFERROR(__xludf.DUMMYFUNCTION("""COMPUTED_VALUE"""),"S(5) R(3) C(0)")</f>
        <v>S(5) R(3) C(0)</v>
      </c>
      <c r="CA131" s="16" t="str">
        <f>IFERROR(__xludf.DUMMYFUNCTION("""COMPUTED_VALUE"""),"S(5)")</f>
        <v>S(5)</v>
      </c>
      <c r="CB131" s="16" t="str">
        <f>IFERROR(__xludf.DUMMYFUNCTION("""COMPUTED_VALUE"""),"R(3)")</f>
        <v>R(3)</v>
      </c>
      <c r="CC131" s="16" t="str">
        <f>IFERROR(__xludf.DUMMYFUNCTION("""COMPUTED_VALUE"""),"C(0)")</f>
        <v>C(0)</v>
      </c>
      <c r="CD131" s="16">
        <f>IFERROR(__xludf.DUMMYFUNCTION("""COMPUTED_VALUE"""),5.0)</f>
        <v>5</v>
      </c>
      <c r="CE131" s="16">
        <f>IFERROR(__xludf.DUMMYFUNCTION("""COMPUTED_VALUE"""),3.0)</f>
        <v>3</v>
      </c>
      <c r="CF131" s="16">
        <f>IFERROR(__xludf.DUMMYFUNCTION("""COMPUTED_VALUE"""),0.0)</f>
        <v>0</v>
      </c>
      <c r="CG131" s="16" t="str">
        <f>IFERROR(__xludf.DUMMYFUNCTION("""COMPUTED_VALUE"""),"2-0")</f>
        <v>2-0</v>
      </c>
      <c r="CH131" s="16">
        <f>IFERROR(__xludf.DUMMYFUNCTION("""COMPUTED_VALUE"""),2.0)</f>
        <v>2</v>
      </c>
      <c r="CI131" s="16">
        <f>IFERROR(__xludf.DUMMYFUNCTION("""COMPUTED_VALUE"""),0.0)</f>
        <v>0</v>
      </c>
      <c r="CJ131" s="16">
        <f>IFERROR(__xludf.DUMMYFUNCTION("""COMPUTED_VALUE"""),0.0)</f>
        <v>0</v>
      </c>
      <c r="CK131" s="16">
        <f>IFERROR(__xludf.DUMMYFUNCTION("""COMPUTED_VALUE"""),3.0)</f>
        <v>3</v>
      </c>
      <c r="CL131" s="16" t="str">
        <f>IFERROR(__xludf.DUMMYFUNCTION("""COMPUTED_VALUE"""),"1WR-C")</f>
        <v>1WR-C</v>
      </c>
      <c r="CM131" s="16" t="str">
        <f>IFERROR(__xludf.DUMMYFUNCTION("""COMPUTED_VALUE"""),"E")</f>
        <v>E</v>
      </c>
      <c r="CN131" s="16">
        <f>IFERROR(__xludf.DUMMYFUNCTION("""COMPUTED_VALUE"""),10.0)</f>
        <v>10</v>
      </c>
      <c r="CO131" s="16" t="str">
        <f>IFERROR(__xludf.DUMMYFUNCTION("""COMPUTED_VALUE"""),"C")</f>
        <v>C</v>
      </c>
      <c r="CP131" s="16" t="str">
        <f>IFERROR(__xludf.DUMMYFUNCTION("""COMPUTED_VALUE"""),"5p40")</f>
        <v>5p40</v>
      </c>
      <c r="CQ131" s="16">
        <f>IFERROR(__xludf.DUMMYFUNCTION("""COMPUTED_VALUE"""),7.0)</f>
        <v>7</v>
      </c>
      <c r="CR131" s="16">
        <f>IFERROR(__xludf.DUMMYFUNCTION("""COMPUTED_VALUE"""),30.0)</f>
        <v>30</v>
      </c>
      <c r="CS131" s="16">
        <f>IFERROR(__xludf.DUMMYFUNCTION("""COMPUTED_VALUE"""),37.0)</f>
        <v>37</v>
      </c>
      <c r="CT131" s="16">
        <f>IFERROR(__xludf.DUMMYFUNCTION("""COMPUTED_VALUE"""),7.0)</f>
        <v>7</v>
      </c>
      <c r="CU131" s="16">
        <f>IFERROR(__xludf.DUMMYFUNCTION("""COMPUTED_VALUE"""),30.0)</f>
        <v>30</v>
      </c>
      <c r="CV131" s="179">
        <f>IFERROR(__xludf.DUMMYFUNCTION("""COMPUTED_VALUE"""),15.666666666666666)</f>
        <v>15.66666667</v>
      </c>
      <c r="CW131" s="179">
        <f>IFERROR(__xludf.DUMMYFUNCTION("""COMPUTED_VALUE"""),0.0)</f>
        <v>0</v>
      </c>
      <c r="CX131" s="179">
        <f>IFERROR(__xludf.DUMMYFUNCTION("""COMPUTED_VALUE"""),1.0)</f>
        <v>1</v>
      </c>
      <c r="CY131" s="16" t="str">
        <f>IFERROR(__xludf.DUMMYFUNCTION("""COMPUTED_VALUE"""),"SP")</f>
        <v>SP</v>
      </c>
      <c r="CZ131" s="16" t="str">
        <f>IFERROR(__xludf.DUMMYFUNCTION("""COMPUTED_VALUE"""),"RP")</f>
        <v>RP</v>
      </c>
      <c r="DA131" s="16" t="str">
        <f>IFERROR(__xludf.DUMMYFUNCTION("""COMPUTED_VALUE"""),"CP")</f>
        <v>CP</v>
      </c>
      <c r="DB131" s="16"/>
      <c r="DC131" s="16"/>
      <c r="DD131" s="16"/>
      <c r="DE131" s="16"/>
      <c r="DF131" s="16"/>
      <c r="DG131" s="16"/>
      <c r="DH131" s="16"/>
      <c r="DI131" s="16"/>
      <c r="DJ131" s="16"/>
      <c r="DK131" s="16"/>
    </row>
    <row r="132">
      <c r="A132" s="16">
        <f>IFERROR(__xludf.DUMMYFUNCTION("""COMPUTED_VALUE"""),12589.0)</f>
        <v>12589</v>
      </c>
      <c r="B132" s="16" t="str">
        <f>IFERROR(__xludf.DUMMYFUNCTION("""COMPUTED_VALUE"""),"Bowden Francis")</f>
        <v>Bowden Francis</v>
      </c>
      <c r="C132" s="153">
        <f>IFERROR(__xludf.DUMMYFUNCTION("""COMPUTED_VALUE"""),1.39)</f>
        <v>1.39</v>
      </c>
      <c r="D132" s="16"/>
      <c r="E132" s="16" t="str">
        <f>IFERROR(__xludf.DUMMYFUNCTION("""COMPUTED_VALUE"""),"R")</f>
        <v>R</v>
      </c>
      <c r="F132" s="16">
        <f>IFERROR(__xludf.DUMMYFUNCTION("""COMPUTED_VALUE"""),104.0)</f>
        <v>104</v>
      </c>
      <c r="G132" s="16">
        <f>IFERROR(__xludf.DUMMYFUNCTION("""COMPUTED_VALUE"""),12.0)</f>
        <v>12</v>
      </c>
      <c r="H132" s="16">
        <f>IFERROR(__xludf.DUMMYFUNCTION("""COMPUTED_VALUE"""),35.0)</f>
        <v>35</v>
      </c>
      <c r="I132" s="16">
        <f>IFERROR(__xludf.DUMMYFUNCTION("""COMPUTED_VALUE"""),-2.0)</f>
        <v>-2</v>
      </c>
      <c r="J132" s="16">
        <f>IFERROR(__xludf.DUMMYFUNCTION("""COMPUTED_VALUE"""),1.0)</f>
        <v>1</v>
      </c>
      <c r="K132" s="16">
        <f>IFERROR(__xludf.DUMMYFUNCTION("""COMPUTED_VALUE"""),-6.0)</f>
        <v>-6</v>
      </c>
      <c r="L132" s="16">
        <f>IFERROR(__xludf.DUMMYFUNCTION("""COMPUTED_VALUE"""),3.0)</f>
        <v>3</v>
      </c>
      <c r="M132" s="16">
        <f>IFERROR(__xludf.DUMMYFUNCTION("""COMPUTED_VALUE"""),5.0)</f>
        <v>5</v>
      </c>
      <c r="N132" s="16">
        <f>IFERROR(__xludf.DUMMYFUNCTION("""COMPUTED_VALUE"""),2.0)</f>
        <v>2</v>
      </c>
      <c r="O132" s="16">
        <f>IFERROR(__xludf.DUMMYFUNCTION("""COMPUTED_VALUE"""),2.0)</f>
        <v>2</v>
      </c>
      <c r="P132" s="16">
        <f>IFERROR(__xludf.DUMMYFUNCTION("""COMPUTED_VALUE"""),3.0)</f>
        <v>3</v>
      </c>
      <c r="Q132" s="16">
        <f>IFERROR(__xludf.DUMMYFUNCTION("""COMPUTED_VALUE"""),2.0)</f>
        <v>2</v>
      </c>
      <c r="R132" s="16">
        <f>IFERROR(__xludf.DUMMYFUNCTION("""COMPUTED_VALUE"""),3.0)</f>
        <v>3</v>
      </c>
      <c r="S132" s="16">
        <f>IFERROR(__xludf.DUMMYFUNCTION("""COMPUTED_VALUE"""),6.6)</f>
        <v>6.6</v>
      </c>
      <c r="T132" s="16">
        <f>IFERROR(__xludf.DUMMYFUNCTION("""COMPUTED_VALUE"""),8.0)</f>
        <v>8</v>
      </c>
      <c r="U132" s="16">
        <f>IFERROR(__xludf.DUMMYFUNCTION("""COMPUTED_VALUE"""),2.0)</f>
        <v>2</v>
      </c>
      <c r="V132" s="16">
        <f>IFERROR(__xludf.DUMMYFUNCTION("""COMPUTED_VALUE"""),1.0)</f>
        <v>1</v>
      </c>
      <c r="W132" s="16">
        <f>IFERROR(__xludf.DUMMYFUNCTION("""COMPUTED_VALUE"""),4.0)</f>
        <v>4</v>
      </c>
      <c r="X132" s="16">
        <f>IFERROR(__xludf.DUMMYFUNCTION("""COMPUTED_VALUE"""),2.0)</f>
        <v>2</v>
      </c>
      <c r="Y132" s="16">
        <f>IFERROR(__xludf.DUMMYFUNCTION("""COMPUTED_VALUE"""),11.6)</f>
        <v>11.6</v>
      </c>
      <c r="Z132" s="16">
        <f>IFERROR(__xludf.DUMMYFUNCTION("""COMPUTED_VALUE"""),10.0)</f>
        <v>10</v>
      </c>
      <c r="AA132" s="16">
        <f>IFERROR(__xludf.DUMMYFUNCTION("""COMPUTED_VALUE"""),2.0)</f>
        <v>2</v>
      </c>
      <c r="AB132" s="16">
        <f>IFERROR(__xludf.DUMMYFUNCTION("""COMPUTED_VALUE"""),2.0)</f>
        <v>2</v>
      </c>
      <c r="AC132" s="16">
        <f>IFERROR(__xludf.DUMMYFUNCTION("""COMPUTED_VALUE"""),10.0)</f>
        <v>10</v>
      </c>
      <c r="AD132" s="16">
        <f>IFERROR(__xludf.DUMMYFUNCTION("""COMPUTED_VALUE"""),10.0)</f>
        <v>10</v>
      </c>
      <c r="AE132" s="16">
        <f>IFERROR(__xludf.DUMMYFUNCTION("""COMPUTED_VALUE"""),19.8)</f>
        <v>19.8</v>
      </c>
      <c r="AF132" s="16">
        <f>IFERROR(__xludf.DUMMYFUNCTION("""COMPUTED_VALUE"""),21.9)</f>
        <v>21.9</v>
      </c>
      <c r="AG132" s="16">
        <f>IFERROR(__xludf.DUMMYFUNCTION("""COMPUTED_VALUE"""),1.0)</f>
        <v>1</v>
      </c>
      <c r="AH132" s="16">
        <f>IFERROR(__xludf.DUMMYFUNCTION("""COMPUTED_VALUE"""),1.0)</f>
        <v>1</v>
      </c>
      <c r="AI132" s="16">
        <f>IFERROR(__xludf.DUMMYFUNCTION("""COMPUTED_VALUE"""),2.0)</f>
        <v>2</v>
      </c>
      <c r="AJ132" s="16">
        <f>IFERROR(__xludf.DUMMYFUNCTION("""COMPUTED_VALUE"""),2.0)</f>
        <v>2</v>
      </c>
      <c r="AK132" s="16">
        <f>IFERROR(__xludf.DUMMYFUNCTION("""COMPUTED_VALUE"""),2.9999999999999996)</f>
        <v>3</v>
      </c>
      <c r="AL132" s="16">
        <f>IFERROR(__xludf.DUMMYFUNCTION("""COMPUTED_VALUE"""),4.8)</f>
        <v>4.8</v>
      </c>
      <c r="AM132" s="16">
        <f>IFERROR(__xludf.DUMMYFUNCTION("""COMPUTED_VALUE"""),2.0)</f>
        <v>2</v>
      </c>
      <c r="AN132" s="16">
        <f>IFERROR(__xludf.DUMMYFUNCTION("""COMPUTED_VALUE"""),2.0)</f>
        <v>2</v>
      </c>
      <c r="AO132" s="16">
        <f>IFERROR(__xludf.DUMMYFUNCTION("""COMPUTED_VALUE"""),2.0)</f>
        <v>2</v>
      </c>
      <c r="AP132" s="16">
        <f>IFERROR(__xludf.DUMMYFUNCTION("""COMPUTED_VALUE"""),2.0)</f>
        <v>2</v>
      </c>
      <c r="AQ132" s="16">
        <f>IFERROR(__xludf.DUMMYFUNCTION("""COMPUTED_VALUE"""),5.4)</f>
        <v>5.4</v>
      </c>
      <c r="AR132" s="16">
        <f>IFERROR(__xludf.DUMMYFUNCTION("""COMPUTED_VALUE"""),9.099999999999998)</f>
        <v>9.1</v>
      </c>
      <c r="AS132" s="16">
        <f>IFERROR(__xludf.DUMMYFUNCTION("""COMPUTED_VALUE"""),2.0)</f>
        <v>2</v>
      </c>
      <c r="AT132" s="16">
        <f>IFERROR(__xludf.DUMMYFUNCTION("""COMPUTED_VALUE"""),1.0)</f>
        <v>1</v>
      </c>
      <c r="AU132" s="16">
        <f>IFERROR(__xludf.DUMMYFUNCTION("""COMPUTED_VALUE"""),4.0)</f>
        <v>4</v>
      </c>
      <c r="AV132" s="16">
        <f>IFERROR(__xludf.DUMMYFUNCTION("""COMPUTED_VALUE"""),2.0)</f>
        <v>2</v>
      </c>
      <c r="AW132" s="16">
        <f>IFERROR(__xludf.DUMMYFUNCTION("""COMPUTED_VALUE"""),3.6)</f>
        <v>3.6</v>
      </c>
      <c r="AX132" s="16">
        <f>IFERROR(__xludf.DUMMYFUNCTION("""COMPUTED_VALUE"""),3.2)</f>
        <v>3.2</v>
      </c>
      <c r="AY132" s="16">
        <f>IFERROR(__xludf.DUMMYFUNCTION("""COMPUTED_VALUE"""),-2.0)</f>
        <v>-2</v>
      </c>
      <c r="AZ132" s="16">
        <f>IFERROR(__xludf.DUMMYFUNCTION("""COMPUTED_VALUE"""),-1.0)</f>
        <v>-1</v>
      </c>
      <c r="BA132" s="16">
        <f>IFERROR(__xludf.DUMMYFUNCTION("""COMPUTED_VALUE"""),-10.0)</f>
        <v>-10</v>
      </c>
      <c r="BB132" s="16">
        <f>IFERROR(__xludf.DUMMYFUNCTION("""COMPUTED_VALUE"""),-5.0)</f>
        <v>-5</v>
      </c>
      <c r="BC132" s="16">
        <f>IFERROR(__xludf.DUMMYFUNCTION("""COMPUTED_VALUE"""),7.0)</f>
        <v>7</v>
      </c>
      <c r="BD132" s="16"/>
      <c r="BE132" s="16">
        <f>IFERROR(__xludf.DUMMYFUNCTION("""COMPUTED_VALUE"""),7.0)</f>
        <v>7</v>
      </c>
      <c r="BF132" s="16">
        <f>IFERROR(__xludf.DUMMYFUNCTION("""COMPUTED_VALUE"""),6.0)</f>
        <v>6</v>
      </c>
      <c r="BG132" s="16">
        <f>IFERROR(__xludf.DUMMYFUNCTION("""COMPUTED_VALUE"""),-3.0)</f>
        <v>-3</v>
      </c>
      <c r="BH132" s="16">
        <f>IFERROR(__xludf.DUMMYFUNCTION("""COMPUTED_VALUE"""),-2.0)</f>
        <v>-2</v>
      </c>
      <c r="BI132" s="16">
        <f>IFERROR(__xludf.DUMMYFUNCTION("""COMPUTED_VALUE"""),-6.0)</f>
        <v>-6</v>
      </c>
      <c r="BJ132" s="16">
        <f>IFERROR(__xludf.DUMMYFUNCTION("""COMPUTED_VALUE"""),-4.0)</f>
        <v>-4</v>
      </c>
      <c r="BK132" s="16">
        <f>IFERROR(__xludf.DUMMYFUNCTION("""COMPUTED_VALUE"""),5.0)</f>
        <v>5</v>
      </c>
      <c r="BL132" s="16">
        <f>IFERROR(__xludf.DUMMYFUNCTION("""COMPUTED_VALUE"""),0.0)</f>
        <v>0</v>
      </c>
      <c r="BM132" s="16">
        <f>IFERROR(__xludf.DUMMYFUNCTION("""COMPUTED_VALUE"""),0.0)</f>
        <v>0</v>
      </c>
      <c r="BN132" s="16">
        <f>IFERROR(__xludf.DUMMYFUNCTION("""COMPUTED_VALUE"""),1.0)</f>
        <v>1</v>
      </c>
      <c r="BO132" s="16">
        <f>IFERROR(__xludf.DUMMYFUNCTION("""COMPUTED_VALUE"""),0.0)</f>
        <v>0</v>
      </c>
      <c r="BP132" s="16">
        <f>IFERROR(__xludf.DUMMYFUNCTION("""COMPUTED_VALUE"""),1.0)</f>
        <v>1</v>
      </c>
      <c r="BQ132" s="16">
        <f>IFERROR(__xludf.DUMMYFUNCTION("""COMPUTED_VALUE"""),12.0)</f>
        <v>12</v>
      </c>
      <c r="BR132" s="16">
        <f>IFERROR(__xludf.DUMMYFUNCTION("""COMPUTED_VALUE"""),12.0)</f>
        <v>12</v>
      </c>
      <c r="BS132" s="16">
        <f>IFERROR(__xludf.DUMMYFUNCTION("""COMPUTED_VALUE"""),3.0)</f>
        <v>3</v>
      </c>
      <c r="BT132" s="16">
        <f>IFERROR(__xludf.DUMMYFUNCTION("""COMPUTED_VALUE"""),3.0)</f>
        <v>3</v>
      </c>
      <c r="BU132" s="16">
        <f>IFERROR(__xludf.DUMMYFUNCTION("""COMPUTED_VALUE"""),6.0)</f>
        <v>6</v>
      </c>
      <c r="BV132" s="16">
        <f>IFERROR(__xludf.DUMMYFUNCTION("""COMPUTED_VALUE"""),6.0)</f>
        <v>6</v>
      </c>
      <c r="BW132" s="16">
        <f>IFERROR(__xludf.DUMMYFUNCTION("""COMPUTED_VALUE"""),-4.0)</f>
        <v>-4</v>
      </c>
      <c r="BX132" s="16">
        <f>IFERROR(__xludf.DUMMYFUNCTION("""COMPUTED_VALUE"""),-4.0)</f>
        <v>-4</v>
      </c>
      <c r="BY132" s="16" t="str">
        <f>IFERROR(__xludf.DUMMYFUNCTION("""COMPUTED_VALUE"""),"S(6) R(3)")</f>
        <v>S(6) R(3)</v>
      </c>
      <c r="BZ132" s="16" t="str">
        <f>IFERROR(__xludf.DUMMYFUNCTION("""COMPUTED_VALUE"""),"S(6) R(3)")</f>
        <v>S(6) R(3)</v>
      </c>
      <c r="CA132" s="16" t="str">
        <f>IFERROR(__xludf.DUMMYFUNCTION("""COMPUTED_VALUE"""),"S(6)")</f>
        <v>S(6)</v>
      </c>
      <c r="CB132" s="16" t="str">
        <f>IFERROR(__xludf.DUMMYFUNCTION("""COMPUTED_VALUE"""),"R(3)")</f>
        <v>R(3)</v>
      </c>
      <c r="CC132" s="16"/>
      <c r="CD132" s="16">
        <f>IFERROR(__xludf.DUMMYFUNCTION("""COMPUTED_VALUE"""),6.0)</f>
        <v>6</v>
      </c>
      <c r="CE132" s="16">
        <f>IFERROR(__xludf.DUMMYFUNCTION("""COMPUTED_VALUE"""),3.0)</f>
        <v>3</v>
      </c>
      <c r="CF132" s="16"/>
      <c r="CG132" s="16" t="str">
        <f>IFERROR(__xludf.DUMMYFUNCTION("""COMPUTED_VALUE"""),"2-0")</f>
        <v>2-0</v>
      </c>
      <c r="CH132" s="16">
        <f>IFERROR(__xludf.DUMMYFUNCTION("""COMPUTED_VALUE"""),2.0)</f>
        <v>2</v>
      </c>
      <c r="CI132" s="16">
        <f>IFERROR(__xludf.DUMMYFUNCTION("""COMPUTED_VALUE"""),0.0)</f>
        <v>0</v>
      </c>
      <c r="CJ132" s="16">
        <f>IFERROR(__xludf.DUMMYFUNCTION("""COMPUTED_VALUE"""),4.0)</f>
        <v>4</v>
      </c>
      <c r="CK132" s="16">
        <f>IFERROR(__xludf.DUMMYFUNCTION("""COMPUTED_VALUE"""),0.0)</f>
        <v>0</v>
      </c>
      <c r="CL132" s="16" t="str">
        <f>IFERROR(__xludf.DUMMYFUNCTION("""COMPUTED_VALUE"""),"1WR-C")</f>
        <v>1WR-C</v>
      </c>
      <c r="CM132" s="16" t="str">
        <f>IFERROR(__xludf.DUMMYFUNCTION("""COMPUTED_VALUE"""),"E")</f>
        <v>E</v>
      </c>
      <c r="CN132" s="16">
        <f>IFERROR(__xludf.DUMMYFUNCTION("""COMPUTED_VALUE"""),10.0)</f>
        <v>10</v>
      </c>
      <c r="CO132" s="16" t="str">
        <f>IFERROR(__xludf.DUMMYFUNCTION("""COMPUTED_VALUE"""),"C")</f>
        <v>C</v>
      </c>
      <c r="CP132" s="16" t="str">
        <f>IFERROR(__xludf.DUMMYFUNCTION("""COMPUTED_VALUE"""),"2p50")</f>
        <v>2p50</v>
      </c>
      <c r="CQ132" s="16">
        <f>IFERROR(__xludf.DUMMYFUNCTION("""COMPUTED_VALUE"""),8.0)</f>
        <v>8</v>
      </c>
      <c r="CR132" s="16">
        <f>IFERROR(__xludf.DUMMYFUNCTION("""COMPUTED_VALUE"""),22.0)</f>
        <v>22</v>
      </c>
      <c r="CS132" s="16">
        <f>IFERROR(__xludf.DUMMYFUNCTION("""COMPUTED_VALUE"""),30.0)</f>
        <v>30</v>
      </c>
      <c r="CT132" s="16">
        <f>IFERROR(__xludf.DUMMYFUNCTION("""COMPUTED_VALUE"""),8.0)</f>
        <v>8</v>
      </c>
      <c r="CU132" s="16">
        <f>IFERROR(__xludf.DUMMYFUNCTION("""COMPUTED_VALUE"""),22.0)</f>
        <v>22</v>
      </c>
      <c r="CV132" s="179">
        <f>IFERROR(__xludf.DUMMYFUNCTION("""COMPUTED_VALUE"""),15.666666666666666)</f>
        <v>15.66666667</v>
      </c>
      <c r="CW132" s="179">
        <f>IFERROR(__xludf.DUMMYFUNCTION("""COMPUTED_VALUE"""),3.0)</f>
        <v>3</v>
      </c>
      <c r="CX132" s="179">
        <f>IFERROR(__xludf.DUMMYFUNCTION("""COMPUTED_VALUE"""),0.0)</f>
        <v>0</v>
      </c>
      <c r="CY132" s="16" t="str">
        <f>IFERROR(__xludf.DUMMYFUNCTION("""COMPUTED_VALUE"""),"SP")</f>
        <v>SP</v>
      </c>
      <c r="CZ132" s="16" t="str">
        <f>IFERROR(__xludf.DUMMYFUNCTION("""COMPUTED_VALUE"""),"RP")</f>
        <v>RP</v>
      </c>
      <c r="DA132" s="16"/>
      <c r="DB132" s="16"/>
      <c r="DC132" s="16"/>
      <c r="DD132" s="16"/>
      <c r="DE132" s="16"/>
      <c r="DF132" s="16"/>
      <c r="DG132" s="16"/>
      <c r="DH132" s="16"/>
      <c r="DI132" s="16"/>
      <c r="DJ132" s="16"/>
      <c r="DK132" s="16"/>
    </row>
    <row r="133">
      <c r="A133" s="16">
        <f>IFERROR(__xludf.DUMMYFUNCTION("""COMPUTED_VALUE"""),13289.0)</f>
        <v>13289</v>
      </c>
      <c r="B133" s="16" t="str">
        <f>IFERROR(__xludf.DUMMYFUNCTION("""COMPUTED_VALUE"""),"Pierce Johnson")</f>
        <v>Pierce Johnson</v>
      </c>
      <c r="C133" s="153">
        <f>IFERROR(__xludf.DUMMYFUNCTION("""COMPUTED_VALUE"""),0.6)</f>
        <v>0.6</v>
      </c>
      <c r="D133" s="16"/>
      <c r="E133" s="16" t="str">
        <f>IFERROR(__xludf.DUMMYFUNCTION("""COMPUTED_VALUE"""),"R")</f>
        <v>R</v>
      </c>
      <c r="F133" s="16">
        <f>IFERROR(__xludf.DUMMYFUNCTION("""COMPUTED_VALUE"""),56.0)</f>
        <v>56</v>
      </c>
      <c r="G133" s="16">
        <f>IFERROR(__xludf.DUMMYFUNCTION("""COMPUTED_VALUE"""),43.0)</f>
        <v>43</v>
      </c>
      <c r="H133" s="16">
        <f>IFERROR(__xludf.DUMMYFUNCTION("""COMPUTED_VALUE"""),27.0)</f>
        <v>27</v>
      </c>
      <c r="I133" s="16">
        <f>IFERROR(__xludf.DUMMYFUNCTION("""COMPUTED_VALUE"""),2.0)</f>
        <v>2</v>
      </c>
      <c r="J133" s="16">
        <f>IFERROR(__xludf.DUMMYFUNCTION("""COMPUTED_VALUE"""),0.0)</f>
        <v>0</v>
      </c>
      <c r="K133" s="16">
        <f>IFERROR(__xludf.DUMMYFUNCTION("""COMPUTED_VALUE"""),6.0)</f>
        <v>6</v>
      </c>
      <c r="L133" s="16">
        <f>IFERROR(__xludf.DUMMYFUNCTION("""COMPUTED_VALUE"""),0.0)</f>
        <v>0</v>
      </c>
      <c r="M133" s="16">
        <f>IFERROR(__xludf.DUMMYFUNCTION("""COMPUTED_VALUE"""),14.0)</f>
        <v>14</v>
      </c>
      <c r="N133" s="16">
        <f>IFERROR(__xludf.DUMMYFUNCTION("""COMPUTED_VALUE"""),14.0)</f>
        <v>14</v>
      </c>
      <c r="O133" s="16">
        <f>IFERROR(__xludf.DUMMYFUNCTION("""COMPUTED_VALUE"""),-2.0)</f>
        <v>-2</v>
      </c>
      <c r="P133" s="16">
        <f>IFERROR(__xludf.DUMMYFUNCTION("""COMPUTED_VALUE"""),-2.0)</f>
        <v>-2</v>
      </c>
      <c r="Q133" s="16">
        <f>IFERROR(__xludf.DUMMYFUNCTION("""COMPUTED_VALUE"""),-2.0)</f>
        <v>-2</v>
      </c>
      <c r="R133" s="16">
        <f>IFERROR(__xludf.DUMMYFUNCTION("""COMPUTED_VALUE"""),-2.0)</f>
        <v>-2</v>
      </c>
      <c r="S133" s="16">
        <f>IFERROR(__xludf.DUMMYFUNCTION("""COMPUTED_VALUE"""),6.5)</f>
        <v>6.5</v>
      </c>
      <c r="T133" s="16">
        <f>IFERROR(__xludf.DUMMYFUNCTION("""COMPUTED_VALUE"""),18.0)</f>
        <v>18</v>
      </c>
      <c r="U133" s="16">
        <f>IFERROR(__xludf.DUMMYFUNCTION("""COMPUTED_VALUE"""),2.0)</f>
        <v>2</v>
      </c>
      <c r="V133" s="16">
        <f>IFERROR(__xludf.DUMMYFUNCTION("""COMPUTED_VALUE"""),0.0)</f>
        <v>0</v>
      </c>
      <c r="W133" s="16">
        <f>IFERROR(__xludf.DUMMYFUNCTION("""COMPUTED_VALUE"""),4.0)</f>
        <v>4</v>
      </c>
      <c r="X133" s="16">
        <f>IFERROR(__xludf.DUMMYFUNCTION("""COMPUTED_VALUE"""),0.0)</f>
        <v>0</v>
      </c>
      <c r="Y133" s="16">
        <f>IFERROR(__xludf.DUMMYFUNCTION("""COMPUTED_VALUE"""),20.5)</f>
        <v>20.5</v>
      </c>
      <c r="Z133" s="16">
        <f>IFERROR(__xludf.DUMMYFUNCTION("""COMPUTED_VALUE"""),31.9)</f>
        <v>31.9</v>
      </c>
      <c r="AA133" s="16">
        <f>IFERROR(__xludf.DUMMYFUNCTION("""COMPUTED_VALUE"""),1.0)</f>
        <v>1</v>
      </c>
      <c r="AB133" s="16">
        <f>IFERROR(__xludf.DUMMYFUNCTION("""COMPUTED_VALUE"""),-1.0)</f>
        <v>-1</v>
      </c>
      <c r="AC133" s="16">
        <f>IFERROR(__xludf.DUMMYFUNCTION("""COMPUTED_VALUE"""),5.0)</f>
        <v>5</v>
      </c>
      <c r="AD133" s="16">
        <f>IFERROR(__xludf.DUMMYFUNCTION("""COMPUTED_VALUE"""),-5.0)</f>
        <v>-5</v>
      </c>
      <c r="AE133" s="16">
        <f>IFERROR(__xludf.DUMMYFUNCTION("""COMPUTED_VALUE"""),15.1)</f>
        <v>15.1</v>
      </c>
      <c r="AF133" s="16">
        <f>IFERROR(__xludf.DUMMYFUNCTION("""COMPUTED_VALUE"""),26.5)</f>
        <v>26.5</v>
      </c>
      <c r="AG133" s="16">
        <f>IFERROR(__xludf.DUMMYFUNCTION("""COMPUTED_VALUE"""),1.0)</f>
        <v>1</v>
      </c>
      <c r="AH133" s="16">
        <f>IFERROR(__xludf.DUMMYFUNCTION("""COMPUTED_VALUE"""),0.0)</f>
        <v>0</v>
      </c>
      <c r="AI133" s="16">
        <f>IFERROR(__xludf.DUMMYFUNCTION("""COMPUTED_VALUE"""),2.0)</f>
        <v>2</v>
      </c>
      <c r="AJ133" s="16">
        <f>IFERROR(__xludf.DUMMYFUNCTION("""COMPUTED_VALUE"""),0.0)</f>
        <v>0</v>
      </c>
      <c r="AK133" s="16">
        <f>IFERROR(__xludf.DUMMYFUNCTION("""COMPUTED_VALUE"""),4.9)</f>
        <v>4.9</v>
      </c>
      <c r="AL133" s="16">
        <f>IFERROR(__xludf.DUMMYFUNCTION("""COMPUTED_VALUE"""),16.6)</f>
        <v>16.6</v>
      </c>
      <c r="AM133" s="16">
        <f>IFERROR(__xludf.DUMMYFUNCTION("""COMPUTED_VALUE"""),1.0)</f>
        <v>1</v>
      </c>
      <c r="AN133" s="16">
        <f>IFERROR(__xludf.DUMMYFUNCTION("""COMPUTED_VALUE"""),-1.0)</f>
        <v>-1</v>
      </c>
      <c r="AO133" s="16">
        <f>IFERROR(__xludf.DUMMYFUNCTION("""COMPUTED_VALUE"""),1.0)</f>
        <v>1</v>
      </c>
      <c r="AP133" s="16">
        <f>IFERROR(__xludf.DUMMYFUNCTION("""COMPUTED_VALUE"""),-1.0)</f>
        <v>-1</v>
      </c>
      <c r="AQ133" s="16">
        <f>IFERROR(__xludf.DUMMYFUNCTION("""COMPUTED_VALUE"""),8.7)</f>
        <v>8.7</v>
      </c>
      <c r="AR133" s="16">
        <f>IFERROR(__xludf.DUMMYFUNCTION("""COMPUTED_VALUE"""),20.9)</f>
        <v>20.9</v>
      </c>
      <c r="AS133" s="16">
        <f>IFERROR(__xludf.DUMMYFUNCTION("""COMPUTED_VALUE"""),1.0)</f>
        <v>1</v>
      </c>
      <c r="AT133" s="16">
        <f>IFERROR(__xludf.DUMMYFUNCTION("""COMPUTED_VALUE"""),0.0)</f>
        <v>0</v>
      </c>
      <c r="AU133" s="16">
        <f>IFERROR(__xludf.DUMMYFUNCTION("""COMPUTED_VALUE"""),2.0)</f>
        <v>2</v>
      </c>
      <c r="AV133" s="16">
        <f>IFERROR(__xludf.DUMMYFUNCTION("""COMPUTED_VALUE"""),0.0)</f>
        <v>0</v>
      </c>
      <c r="AW133" s="16">
        <f>IFERROR(__xludf.DUMMYFUNCTION("""COMPUTED_VALUE"""),1.6)</f>
        <v>1.6</v>
      </c>
      <c r="AX133" s="16">
        <f>IFERROR(__xludf.DUMMYFUNCTION("""COMPUTED_VALUE"""),1.4)</f>
        <v>1.4</v>
      </c>
      <c r="AY133" s="16">
        <f>IFERROR(__xludf.DUMMYFUNCTION("""COMPUTED_VALUE"""),1.0)</f>
        <v>1</v>
      </c>
      <c r="AZ133" s="16">
        <f>IFERROR(__xludf.DUMMYFUNCTION("""COMPUTED_VALUE"""),1.0)</f>
        <v>1</v>
      </c>
      <c r="BA133" s="16">
        <f>IFERROR(__xludf.DUMMYFUNCTION("""COMPUTED_VALUE"""),5.0)</f>
        <v>5</v>
      </c>
      <c r="BB133" s="16">
        <f>IFERROR(__xludf.DUMMYFUNCTION("""COMPUTED_VALUE"""),5.0)</f>
        <v>5</v>
      </c>
      <c r="BC133" s="16">
        <f>IFERROR(__xludf.DUMMYFUNCTION("""COMPUTED_VALUE"""),3.0)</f>
        <v>3</v>
      </c>
      <c r="BD133" s="16">
        <f>IFERROR(__xludf.DUMMYFUNCTION("""COMPUTED_VALUE"""),1.0)</f>
        <v>1</v>
      </c>
      <c r="BE133" s="16">
        <f>IFERROR(__xludf.DUMMYFUNCTION("""COMPUTED_VALUE"""),3.0)</f>
        <v>3</v>
      </c>
      <c r="BF133" s="16">
        <f>IFERROR(__xludf.DUMMYFUNCTION("""COMPUTED_VALUE"""),1.0)</f>
        <v>1</v>
      </c>
      <c r="BG133" s="16">
        <f>IFERROR(__xludf.DUMMYFUNCTION("""COMPUTED_VALUE"""),0.0)</f>
        <v>0</v>
      </c>
      <c r="BH133" s="16">
        <f>IFERROR(__xludf.DUMMYFUNCTION("""COMPUTED_VALUE"""),2.0)</f>
        <v>2</v>
      </c>
      <c r="BI133" s="16">
        <f>IFERROR(__xludf.DUMMYFUNCTION("""COMPUTED_VALUE"""),0.0)</f>
        <v>0</v>
      </c>
      <c r="BJ133" s="16">
        <f>IFERROR(__xludf.DUMMYFUNCTION("""COMPUTED_VALUE"""),4.0)</f>
        <v>4</v>
      </c>
      <c r="BK133" s="16">
        <f>IFERROR(__xludf.DUMMYFUNCTION("""COMPUTED_VALUE"""),5.0)</f>
        <v>5</v>
      </c>
      <c r="BL133" s="16">
        <f>IFERROR(__xludf.DUMMYFUNCTION("""COMPUTED_VALUE"""),5.0)</f>
        <v>5</v>
      </c>
      <c r="BM133" s="16">
        <f>IFERROR(__xludf.DUMMYFUNCTION("""COMPUTED_VALUE"""),0.0)</f>
        <v>0</v>
      </c>
      <c r="BN133" s="16">
        <f>IFERROR(__xludf.DUMMYFUNCTION("""COMPUTED_VALUE"""),0.0)</f>
        <v>0</v>
      </c>
      <c r="BO133" s="16">
        <f>IFERROR(__xludf.DUMMYFUNCTION("""COMPUTED_VALUE"""),0.0)</f>
        <v>0</v>
      </c>
      <c r="BP133" s="16">
        <f>IFERROR(__xludf.DUMMYFUNCTION("""COMPUTED_VALUE"""),0.0)</f>
        <v>0</v>
      </c>
      <c r="BQ133" s="16">
        <f>IFERROR(__xludf.DUMMYFUNCTION("""COMPUTED_VALUE"""),5.0)</f>
        <v>5</v>
      </c>
      <c r="BR133" s="16">
        <f>IFERROR(__xludf.DUMMYFUNCTION("""COMPUTED_VALUE"""),12.0)</f>
        <v>12</v>
      </c>
      <c r="BS133" s="16">
        <f>IFERROR(__xludf.DUMMYFUNCTION("""COMPUTED_VALUE"""),0.0)</f>
        <v>0</v>
      </c>
      <c r="BT133" s="16">
        <f>IFERROR(__xludf.DUMMYFUNCTION("""COMPUTED_VALUE"""),3.0)</f>
        <v>3</v>
      </c>
      <c r="BU133" s="16">
        <f>IFERROR(__xludf.DUMMYFUNCTION("""COMPUTED_VALUE"""),0.0)</f>
        <v>0</v>
      </c>
      <c r="BV133" s="16">
        <f>IFERROR(__xludf.DUMMYFUNCTION("""COMPUTED_VALUE"""),6.0)</f>
        <v>6</v>
      </c>
      <c r="BW133" s="16">
        <f>IFERROR(__xludf.DUMMYFUNCTION("""COMPUTED_VALUE"""),3.0)</f>
        <v>3</v>
      </c>
      <c r="BX133" s="16">
        <f>IFERROR(__xludf.DUMMYFUNCTION("""COMPUTED_VALUE"""),3.0)</f>
        <v>3</v>
      </c>
      <c r="BY133" s="16" t="str">
        <f>IFERROR(__xludf.DUMMYFUNCTION("""COMPUTED_VALUE"""),"R(1) C(1)")</f>
        <v>R(1) C(1)</v>
      </c>
      <c r="BZ133" s="16" t="str">
        <f>IFERROR(__xludf.DUMMYFUNCTION("""COMPUTED_VALUE"""),"R(1) C(1)")</f>
        <v>R(1) C(1)</v>
      </c>
      <c r="CA133" s="16" t="str">
        <f>IFERROR(__xludf.DUMMYFUNCTION("""COMPUTED_VALUE"""),"R(1)")</f>
        <v>R(1)</v>
      </c>
      <c r="CB133" s="16" t="str">
        <f>IFERROR(__xludf.DUMMYFUNCTION("""COMPUTED_VALUE"""),"C(1)")</f>
        <v>C(1)</v>
      </c>
      <c r="CC133" s="16"/>
      <c r="CD133" s="16"/>
      <c r="CE133" s="16">
        <f>IFERROR(__xludf.DUMMYFUNCTION("""COMPUTED_VALUE"""),1.0)</f>
        <v>1</v>
      </c>
      <c r="CF133" s="16">
        <f>IFERROR(__xludf.DUMMYFUNCTION("""COMPUTED_VALUE"""),1.0)</f>
        <v>1</v>
      </c>
      <c r="CG133" s="16" t="str">
        <f>IFERROR(__xludf.DUMMYFUNCTION("""COMPUTED_VALUE"""),"2-0")</f>
        <v>2-0</v>
      </c>
      <c r="CH133" s="16">
        <f>IFERROR(__xludf.DUMMYFUNCTION("""COMPUTED_VALUE"""),2.0)</f>
        <v>2</v>
      </c>
      <c r="CI133" s="16">
        <f>IFERROR(__xludf.DUMMYFUNCTION("""COMPUTED_VALUE"""),0.0)</f>
        <v>0</v>
      </c>
      <c r="CJ133" s="16">
        <f>IFERROR(__xludf.DUMMYFUNCTION("""COMPUTED_VALUE"""),0.0)</f>
        <v>0</v>
      </c>
      <c r="CK133" s="16">
        <f>IFERROR(__xludf.DUMMYFUNCTION("""COMPUTED_VALUE"""),7.0)</f>
        <v>7</v>
      </c>
      <c r="CL133" s="16" t="str">
        <f>IFERROR(__xludf.DUMMYFUNCTION("""COMPUTED_VALUE"""),"1WR-C")</f>
        <v>1WR-C</v>
      </c>
      <c r="CM133" s="16" t="str">
        <f>IFERROR(__xludf.DUMMYFUNCTION("""COMPUTED_VALUE"""),"E")</f>
        <v>E</v>
      </c>
      <c r="CN133" s="16">
        <f>IFERROR(__xludf.DUMMYFUNCTION("""COMPUTED_VALUE"""),10.0)</f>
        <v>10</v>
      </c>
      <c r="CO133" s="16" t="str">
        <f>IFERROR(__xludf.DUMMYFUNCTION("""COMPUTED_VALUE"""),"C")</f>
        <v>C</v>
      </c>
      <c r="CP133" s="16" t="str">
        <f>IFERROR(__xludf.DUMMYFUNCTION("""COMPUTED_VALUE"""),"2p50")</f>
        <v>2p50</v>
      </c>
      <c r="CQ133" s="16">
        <f>IFERROR(__xludf.DUMMYFUNCTION("""COMPUTED_VALUE"""),23.0)</f>
        <v>23</v>
      </c>
      <c r="CR133" s="16">
        <f>IFERROR(__xludf.DUMMYFUNCTION("""COMPUTED_VALUE"""),7.0)</f>
        <v>7</v>
      </c>
      <c r="CS133" s="16">
        <f>IFERROR(__xludf.DUMMYFUNCTION("""COMPUTED_VALUE"""),30.0)</f>
        <v>30</v>
      </c>
      <c r="CT133" s="16">
        <f>IFERROR(__xludf.DUMMYFUNCTION("""COMPUTED_VALUE"""),23.0)</f>
        <v>23</v>
      </c>
      <c r="CU133" s="16">
        <f>IFERROR(__xludf.DUMMYFUNCTION("""COMPUTED_VALUE"""),7.0)</f>
        <v>7</v>
      </c>
      <c r="CV133" s="179">
        <f>IFERROR(__xludf.DUMMYFUNCTION("""COMPUTED_VALUE"""),15.333333333333334)</f>
        <v>15.33333333</v>
      </c>
      <c r="CW133" s="179">
        <f>IFERROR(__xludf.DUMMYFUNCTION("""COMPUTED_VALUE"""),3.0)</f>
        <v>3</v>
      </c>
      <c r="CX133" s="179">
        <f>IFERROR(__xludf.DUMMYFUNCTION("""COMPUTED_VALUE"""),0.0)</f>
        <v>0</v>
      </c>
      <c r="CY133" s="16" t="str">
        <f>IFERROR(__xludf.DUMMYFUNCTION("""COMPUTED_VALUE"""),"RP")</f>
        <v>RP</v>
      </c>
      <c r="CZ133" s="16" t="str">
        <f>IFERROR(__xludf.DUMMYFUNCTION("""COMPUTED_VALUE"""),"CP")</f>
        <v>CP</v>
      </c>
      <c r="DA133" s="16"/>
      <c r="DB133" s="16"/>
      <c r="DC133" s="16"/>
      <c r="DD133" s="16"/>
      <c r="DE133" s="16"/>
      <c r="DF133" s="16"/>
      <c r="DG133" s="16"/>
      <c r="DH133" s="16"/>
      <c r="DI133" s="16"/>
      <c r="DJ133" s="16"/>
      <c r="DK133" s="16"/>
    </row>
    <row r="134">
      <c r="A134" s="16">
        <f>IFERROR(__xludf.DUMMYFUNCTION("""COMPUTED_VALUE"""),12610.0)</f>
        <v>12610</v>
      </c>
      <c r="B134" s="16" t="str">
        <f>IFERROR(__xludf.DUMMYFUNCTION("""COMPUTED_VALUE"""),"Brent Honeywell")</f>
        <v>Brent Honeywell</v>
      </c>
      <c r="C134" s="153">
        <f>IFERROR(__xludf.DUMMYFUNCTION("""COMPUTED_VALUE"""),1.15)</f>
        <v>1.15</v>
      </c>
      <c r="D134" s="16"/>
      <c r="E134" s="16" t="str">
        <f>IFERROR(__xludf.DUMMYFUNCTION("""COMPUTED_VALUE"""),"R")</f>
        <v>R</v>
      </c>
      <c r="F134" s="16">
        <f>IFERROR(__xludf.DUMMYFUNCTION("""COMPUTED_VALUE"""),38.0)</f>
        <v>38</v>
      </c>
      <c r="G134" s="16">
        <f>IFERROR(__xludf.DUMMYFUNCTION("""COMPUTED_VALUE"""),20.0)</f>
        <v>20</v>
      </c>
      <c r="H134" s="16">
        <f>IFERROR(__xludf.DUMMYFUNCTION("""COMPUTED_VALUE"""),0.0)</f>
        <v>0</v>
      </c>
      <c r="I134" s="16">
        <f>IFERROR(__xludf.DUMMYFUNCTION("""COMPUTED_VALUE"""),-1.0)</f>
        <v>-1</v>
      </c>
      <c r="J134" s="16">
        <f>IFERROR(__xludf.DUMMYFUNCTION("""COMPUTED_VALUE"""),-3.0)</f>
        <v>-3</v>
      </c>
      <c r="K134" s="16">
        <f>IFERROR(__xludf.DUMMYFUNCTION("""COMPUTED_VALUE"""),-3.0)</f>
        <v>-3</v>
      </c>
      <c r="L134" s="16">
        <f>IFERROR(__xludf.DUMMYFUNCTION("""COMPUTED_VALUE"""),-9.0)</f>
        <v>-9</v>
      </c>
      <c r="M134" s="16">
        <f>IFERROR(__xludf.DUMMYFUNCTION("""COMPUTED_VALUE"""),12.0)</f>
        <v>12</v>
      </c>
      <c r="N134" s="16">
        <f>IFERROR(__xludf.DUMMYFUNCTION("""COMPUTED_VALUE"""),4.0)</f>
        <v>4</v>
      </c>
      <c r="O134" s="16">
        <f>IFERROR(__xludf.DUMMYFUNCTION("""COMPUTED_VALUE"""),-1.0)</f>
        <v>-1</v>
      </c>
      <c r="P134" s="16">
        <f>IFERROR(__xludf.DUMMYFUNCTION("""COMPUTED_VALUE"""),2.0)</f>
        <v>2</v>
      </c>
      <c r="Q134" s="16">
        <f>IFERROR(__xludf.DUMMYFUNCTION("""COMPUTED_VALUE"""),-1.0)</f>
        <v>-1</v>
      </c>
      <c r="R134" s="16">
        <f>IFERROR(__xludf.DUMMYFUNCTION("""COMPUTED_VALUE"""),2.0)</f>
        <v>2</v>
      </c>
      <c r="S134" s="16">
        <f>IFERROR(__xludf.DUMMYFUNCTION("""COMPUTED_VALUE"""),9.3)</f>
        <v>9.3</v>
      </c>
      <c r="T134" s="16">
        <f>IFERROR(__xludf.DUMMYFUNCTION("""COMPUTED_VALUE"""),24.0)</f>
        <v>24</v>
      </c>
      <c r="U134" s="16">
        <f>IFERROR(__xludf.DUMMYFUNCTION("""COMPUTED_VALUE"""),1.0)</f>
        <v>1</v>
      </c>
      <c r="V134" s="16">
        <f>IFERROR(__xludf.DUMMYFUNCTION("""COMPUTED_VALUE"""),-1.0)</f>
        <v>-1</v>
      </c>
      <c r="W134" s="16">
        <f>IFERROR(__xludf.DUMMYFUNCTION("""COMPUTED_VALUE"""),2.0)</f>
        <v>2</v>
      </c>
      <c r="X134" s="16">
        <f>IFERROR(__xludf.DUMMYFUNCTION("""COMPUTED_VALUE"""),-2.0)</f>
        <v>-2</v>
      </c>
      <c r="Y134" s="16">
        <f>IFERROR(__xludf.DUMMYFUNCTION("""COMPUTED_VALUE"""),21.3)</f>
        <v>21.3</v>
      </c>
      <c r="Z134" s="16">
        <f>IFERROR(__xludf.DUMMYFUNCTION("""COMPUTED_VALUE"""),28.0)</f>
        <v>28</v>
      </c>
      <c r="AA134" s="16">
        <f>IFERROR(__xludf.DUMMYFUNCTION("""COMPUTED_VALUE"""),1.0)</f>
        <v>1</v>
      </c>
      <c r="AB134" s="16">
        <f>IFERROR(__xludf.DUMMYFUNCTION("""COMPUTED_VALUE"""),0.0)</f>
        <v>0</v>
      </c>
      <c r="AC134" s="16">
        <f>IFERROR(__xludf.DUMMYFUNCTION("""COMPUTED_VALUE"""),5.0)</f>
        <v>5</v>
      </c>
      <c r="AD134" s="16">
        <f>IFERROR(__xludf.DUMMYFUNCTION("""COMPUTED_VALUE"""),0.0)</f>
        <v>0</v>
      </c>
      <c r="AE134" s="16">
        <f>IFERROR(__xludf.DUMMYFUNCTION("""COMPUTED_VALUE"""),17.3)</f>
        <v>17.3</v>
      </c>
      <c r="AF134" s="16">
        <f>IFERROR(__xludf.DUMMYFUNCTION("""COMPUTED_VALUE"""),35.1)</f>
        <v>35.1</v>
      </c>
      <c r="AG134" s="16">
        <f>IFERROR(__xludf.DUMMYFUNCTION("""COMPUTED_VALUE"""),1.0)</f>
        <v>1</v>
      </c>
      <c r="AH134" s="16">
        <f>IFERROR(__xludf.DUMMYFUNCTION("""COMPUTED_VALUE"""),-1.0)</f>
        <v>-1</v>
      </c>
      <c r="AI134" s="16">
        <f>IFERROR(__xludf.DUMMYFUNCTION("""COMPUTED_VALUE"""),2.0)</f>
        <v>2</v>
      </c>
      <c r="AJ134" s="16">
        <f>IFERROR(__xludf.DUMMYFUNCTION("""COMPUTED_VALUE"""),-2.0)</f>
        <v>-2</v>
      </c>
      <c r="AK134" s="16">
        <f>IFERROR(__xludf.DUMMYFUNCTION("""COMPUTED_VALUE"""),9.3)</f>
        <v>9.3</v>
      </c>
      <c r="AL134" s="16">
        <f>IFERROR(__xludf.DUMMYFUNCTION("""COMPUTED_VALUE"""),22.6)</f>
        <v>22.6</v>
      </c>
      <c r="AM134" s="16">
        <f>IFERROR(__xludf.DUMMYFUNCTION("""COMPUTED_VALUE"""),1.0)</f>
        <v>1</v>
      </c>
      <c r="AN134" s="16">
        <f>IFERROR(__xludf.DUMMYFUNCTION("""COMPUTED_VALUE"""),-2.0)</f>
        <v>-2</v>
      </c>
      <c r="AO134" s="16">
        <f>IFERROR(__xludf.DUMMYFUNCTION("""COMPUTED_VALUE"""),1.0)</f>
        <v>1</v>
      </c>
      <c r="AP134" s="16">
        <f>IFERROR(__xludf.DUMMYFUNCTION("""COMPUTED_VALUE"""),-2.0)</f>
        <v>-2</v>
      </c>
      <c r="AQ134" s="16">
        <f>IFERROR(__xludf.DUMMYFUNCTION("""COMPUTED_VALUE"""),17.3)</f>
        <v>17.3</v>
      </c>
      <c r="AR134" s="16">
        <f>IFERROR(__xludf.DUMMYFUNCTION("""COMPUTED_VALUE"""),29.5)</f>
        <v>29.5</v>
      </c>
      <c r="AS134" s="16">
        <f>IFERROR(__xludf.DUMMYFUNCTION("""COMPUTED_VALUE"""),0.0)</f>
        <v>0</v>
      </c>
      <c r="AT134" s="16">
        <f>IFERROR(__xludf.DUMMYFUNCTION("""COMPUTED_VALUE"""),-1.0)</f>
        <v>-1</v>
      </c>
      <c r="AU134" s="16">
        <f>IFERROR(__xludf.DUMMYFUNCTION("""COMPUTED_VALUE"""),0.0)</f>
        <v>0</v>
      </c>
      <c r="AV134" s="16">
        <f>IFERROR(__xludf.DUMMYFUNCTION("""COMPUTED_VALUE"""),-2.0)</f>
        <v>-2</v>
      </c>
      <c r="AW134" s="16">
        <f>IFERROR(__xludf.DUMMYFUNCTION("""COMPUTED_VALUE"""),0.0)</f>
        <v>0</v>
      </c>
      <c r="AX134" s="16">
        <f>IFERROR(__xludf.DUMMYFUNCTION("""COMPUTED_VALUE"""),1.4)</f>
        <v>1.4</v>
      </c>
      <c r="AY134" s="16">
        <f>IFERROR(__xludf.DUMMYFUNCTION("""COMPUTED_VALUE"""),2.0)</f>
        <v>2</v>
      </c>
      <c r="AZ134" s="16">
        <f>IFERROR(__xludf.DUMMYFUNCTION("""COMPUTED_VALUE"""),1.0)</f>
        <v>1</v>
      </c>
      <c r="BA134" s="16">
        <f>IFERROR(__xludf.DUMMYFUNCTION("""COMPUTED_VALUE"""),10.0)</f>
        <v>10</v>
      </c>
      <c r="BB134" s="16">
        <f>IFERROR(__xludf.DUMMYFUNCTION("""COMPUTED_VALUE"""),5.0)</f>
        <v>5</v>
      </c>
      <c r="BC134" s="16"/>
      <c r="BD134" s="16">
        <f>IFERROR(__xludf.DUMMYFUNCTION("""COMPUTED_VALUE"""),2.0)</f>
        <v>2</v>
      </c>
      <c r="BE134" s="16">
        <f>IFERROR(__xludf.DUMMYFUNCTION("""COMPUTED_VALUE"""),0.0)</f>
        <v>0</v>
      </c>
      <c r="BF134" s="16">
        <f>IFERROR(__xludf.DUMMYFUNCTION("""COMPUTED_VALUE"""),2.0)</f>
        <v>2</v>
      </c>
      <c r="BG134" s="16">
        <f>IFERROR(__xludf.DUMMYFUNCTION("""COMPUTED_VALUE"""),3.0)</f>
        <v>3</v>
      </c>
      <c r="BH134" s="16">
        <f>IFERROR(__xludf.DUMMYFUNCTION("""COMPUTED_VALUE"""),1.0)</f>
        <v>1</v>
      </c>
      <c r="BI134" s="16">
        <f>IFERROR(__xludf.DUMMYFUNCTION("""COMPUTED_VALUE"""),6.0)</f>
        <v>6</v>
      </c>
      <c r="BJ134" s="16">
        <f>IFERROR(__xludf.DUMMYFUNCTION("""COMPUTED_VALUE"""),2.0)</f>
        <v>2</v>
      </c>
      <c r="BK134" s="16">
        <f>IFERROR(__xludf.DUMMYFUNCTION("""COMPUTED_VALUE"""),0.0)</f>
        <v>0</v>
      </c>
      <c r="BL134" s="16">
        <f>IFERROR(__xludf.DUMMYFUNCTION("""COMPUTED_VALUE"""),5.0)</f>
        <v>5</v>
      </c>
      <c r="BM134" s="16">
        <f>IFERROR(__xludf.DUMMYFUNCTION("""COMPUTED_VALUE"""),1.0)</f>
        <v>1</v>
      </c>
      <c r="BN134" s="16">
        <f>IFERROR(__xludf.DUMMYFUNCTION("""COMPUTED_VALUE"""),0.0)</f>
        <v>0</v>
      </c>
      <c r="BO134" s="16">
        <f>IFERROR(__xludf.DUMMYFUNCTION("""COMPUTED_VALUE"""),1.0)</f>
        <v>1</v>
      </c>
      <c r="BP134" s="16">
        <f>IFERROR(__xludf.DUMMYFUNCTION("""COMPUTED_VALUE"""),0.0)</f>
        <v>0</v>
      </c>
      <c r="BQ134" s="16">
        <f>IFERROR(__xludf.DUMMYFUNCTION("""COMPUTED_VALUE"""),12.0)</f>
        <v>12</v>
      </c>
      <c r="BR134" s="16">
        <f>IFERROR(__xludf.DUMMYFUNCTION("""COMPUTED_VALUE"""),12.0)</f>
        <v>12</v>
      </c>
      <c r="BS134" s="16">
        <f>IFERROR(__xludf.DUMMYFUNCTION("""COMPUTED_VALUE"""),3.0)</f>
        <v>3</v>
      </c>
      <c r="BT134" s="16">
        <f>IFERROR(__xludf.DUMMYFUNCTION("""COMPUTED_VALUE"""),3.0)</f>
        <v>3</v>
      </c>
      <c r="BU134" s="16">
        <f>IFERROR(__xludf.DUMMYFUNCTION("""COMPUTED_VALUE"""),6.0)</f>
        <v>6</v>
      </c>
      <c r="BV134" s="16">
        <f>IFERROR(__xludf.DUMMYFUNCTION("""COMPUTED_VALUE"""),6.0)</f>
        <v>6</v>
      </c>
      <c r="BW134" s="16">
        <f>IFERROR(__xludf.DUMMYFUNCTION("""COMPUTED_VALUE"""),3.0)</f>
        <v>3</v>
      </c>
      <c r="BX134" s="16">
        <f>IFERROR(__xludf.DUMMYFUNCTION("""COMPUTED_VALUE"""),3.0)</f>
        <v>3</v>
      </c>
      <c r="BY134" s="16" t="str">
        <f>IFERROR(__xludf.DUMMYFUNCTION("""COMPUTED_VALUE"""),"R(2) C(0)")</f>
        <v>R(2) C(0)</v>
      </c>
      <c r="BZ134" s="16" t="str">
        <f>IFERROR(__xludf.DUMMYFUNCTION("""COMPUTED_VALUE"""),"R(2) C(0)")</f>
        <v>R(2) C(0)</v>
      </c>
      <c r="CA134" s="16" t="str">
        <f>IFERROR(__xludf.DUMMYFUNCTION("""COMPUTED_VALUE"""),"R(2)")</f>
        <v>R(2)</v>
      </c>
      <c r="CB134" s="16" t="str">
        <f>IFERROR(__xludf.DUMMYFUNCTION("""COMPUTED_VALUE"""),"C(0)")</f>
        <v>C(0)</v>
      </c>
      <c r="CC134" s="16"/>
      <c r="CD134" s="16"/>
      <c r="CE134" s="16">
        <f>IFERROR(__xludf.DUMMYFUNCTION("""COMPUTED_VALUE"""),2.0)</f>
        <v>2</v>
      </c>
      <c r="CF134" s="16">
        <f>IFERROR(__xludf.DUMMYFUNCTION("""COMPUTED_VALUE"""),0.0)</f>
        <v>0</v>
      </c>
      <c r="CG134" s="16" t="str">
        <f>IFERROR(__xludf.DUMMYFUNCTION("""COMPUTED_VALUE"""),"2-0")</f>
        <v>2-0</v>
      </c>
      <c r="CH134" s="16">
        <f>IFERROR(__xludf.DUMMYFUNCTION("""COMPUTED_VALUE"""),2.0)</f>
        <v>2</v>
      </c>
      <c r="CI134" s="16">
        <f>IFERROR(__xludf.DUMMYFUNCTION("""COMPUTED_VALUE"""),0.0)</f>
        <v>0</v>
      </c>
      <c r="CJ134" s="16">
        <f>IFERROR(__xludf.DUMMYFUNCTION("""COMPUTED_VALUE"""),9.0)</f>
        <v>9</v>
      </c>
      <c r="CK134" s="16">
        <f>IFERROR(__xludf.DUMMYFUNCTION("""COMPUTED_VALUE"""),12.0)</f>
        <v>12</v>
      </c>
      <c r="CL134" s="16" t="str">
        <f>IFERROR(__xludf.DUMMYFUNCTION("""COMPUTED_VALUE"""),"1WR-C")</f>
        <v>1WR-C</v>
      </c>
      <c r="CM134" s="16" t="str">
        <f>IFERROR(__xludf.DUMMYFUNCTION("""COMPUTED_VALUE"""),"E")</f>
        <v>E</v>
      </c>
      <c r="CN134" s="16">
        <f>IFERROR(__xludf.DUMMYFUNCTION("""COMPUTED_VALUE"""),10.0)</f>
        <v>10</v>
      </c>
      <c r="CO134" s="16" t="str">
        <f>IFERROR(__xludf.DUMMYFUNCTION("""COMPUTED_VALUE"""),"C")</f>
        <v>C</v>
      </c>
      <c r="CP134" s="16" t="str">
        <f>IFERROR(__xludf.DUMMYFUNCTION("""COMPUTED_VALUE"""),"1p20")</f>
        <v>1p20</v>
      </c>
      <c r="CQ134" s="16">
        <f>IFERROR(__xludf.DUMMYFUNCTION("""COMPUTED_VALUE"""),29.0)</f>
        <v>29</v>
      </c>
      <c r="CR134" s="16">
        <f>IFERROR(__xludf.DUMMYFUNCTION("""COMPUTED_VALUE"""),-2.0)</f>
        <v>-2</v>
      </c>
      <c r="CS134" s="16">
        <f>IFERROR(__xludf.DUMMYFUNCTION("""COMPUTED_VALUE"""),27.0)</f>
        <v>27</v>
      </c>
      <c r="CT134" s="16">
        <f>IFERROR(__xludf.DUMMYFUNCTION("""COMPUTED_VALUE"""),29.0)</f>
        <v>29</v>
      </c>
      <c r="CU134" s="16">
        <f>IFERROR(__xludf.DUMMYFUNCTION("""COMPUTED_VALUE"""),-2.0)</f>
        <v>-2</v>
      </c>
      <c r="CV134" s="179">
        <f>IFERROR(__xludf.DUMMYFUNCTION("""COMPUTED_VALUE"""),15.333333333333334)</f>
        <v>15.33333333</v>
      </c>
      <c r="CW134" s="179">
        <f>IFERROR(__xludf.DUMMYFUNCTION("""COMPUTED_VALUE"""),4.0)</f>
        <v>4</v>
      </c>
      <c r="CX134" s="179">
        <f>IFERROR(__xludf.DUMMYFUNCTION("""COMPUTED_VALUE"""),3.0)</f>
        <v>3</v>
      </c>
      <c r="CY134" s="16" t="str">
        <f>IFERROR(__xludf.DUMMYFUNCTION("""COMPUTED_VALUE"""),"RP")</f>
        <v>RP</v>
      </c>
      <c r="CZ134" s="16" t="str">
        <f>IFERROR(__xludf.DUMMYFUNCTION("""COMPUTED_VALUE"""),"CP")</f>
        <v>CP</v>
      </c>
      <c r="DA134" s="16"/>
      <c r="DB134" s="16"/>
      <c r="DC134" s="16"/>
      <c r="DD134" s="16"/>
      <c r="DE134" s="16"/>
      <c r="DF134" s="16"/>
      <c r="DG134" s="16"/>
      <c r="DH134" s="16"/>
      <c r="DI134" s="16"/>
      <c r="DJ134" s="16"/>
      <c r="DK134" s="16"/>
    </row>
    <row r="135">
      <c r="A135" s="16">
        <f>IFERROR(__xludf.DUMMYFUNCTION("""COMPUTED_VALUE"""),12873.0)</f>
        <v>12873</v>
      </c>
      <c r="B135" s="16" t="str">
        <f>IFERROR(__xludf.DUMMYFUNCTION("""COMPUTED_VALUE"""),"Hogan Harris")</f>
        <v>Hogan Harris</v>
      </c>
      <c r="C135" s="153">
        <f>IFERROR(__xludf.DUMMYFUNCTION("""COMPUTED_VALUE"""),1.97)</f>
        <v>1.97</v>
      </c>
      <c r="D135" s="16"/>
      <c r="E135" s="16" t="str">
        <f>IFERROR(__xludf.DUMMYFUNCTION("""COMPUTED_VALUE"""),"L")</f>
        <v>L</v>
      </c>
      <c r="F135" s="16">
        <f>IFERROR(__xludf.DUMMYFUNCTION("""COMPUTED_VALUE"""),72.0)</f>
        <v>72</v>
      </c>
      <c r="G135" s="16">
        <f>IFERROR(__xludf.DUMMYFUNCTION("""COMPUTED_VALUE"""),24.0)</f>
        <v>24</v>
      </c>
      <c r="H135" s="16">
        <f>IFERROR(__xludf.DUMMYFUNCTION("""COMPUTED_VALUE"""),17.0)</f>
        <v>17</v>
      </c>
      <c r="I135" s="16">
        <f>IFERROR(__xludf.DUMMYFUNCTION("""COMPUTED_VALUE"""),-1.0)</f>
        <v>-1</v>
      </c>
      <c r="J135" s="16">
        <f>IFERROR(__xludf.DUMMYFUNCTION("""COMPUTED_VALUE"""),-1.0)</f>
        <v>-1</v>
      </c>
      <c r="K135" s="16">
        <f>IFERROR(__xludf.DUMMYFUNCTION("""COMPUTED_VALUE"""),-3.0)</f>
        <v>-3</v>
      </c>
      <c r="L135" s="16">
        <f>IFERROR(__xludf.DUMMYFUNCTION("""COMPUTED_VALUE"""),-3.0)</f>
        <v>-3</v>
      </c>
      <c r="M135" s="16">
        <f>IFERROR(__xludf.DUMMYFUNCTION("""COMPUTED_VALUE"""),25.0)</f>
        <v>25</v>
      </c>
      <c r="N135" s="16">
        <f>IFERROR(__xludf.DUMMYFUNCTION("""COMPUTED_VALUE"""),12.0)</f>
        <v>12</v>
      </c>
      <c r="O135" s="16">
        <f>IFERROR(__xludf.DUMMYFUNCTION("""COMPUTED_VALUE"""),-3.0)</f>
        <v>-3</v>
      </c>
      <c r="P135" s="16">
        <f>IFERROR(__xludf.DUMMYFUNCTION("""COMPUTED_VALUE"""),-2.0)</f>
        <v>-2</v>
      </c>
      <c r="Q135" s="16">
        <f>IFERROR(__xludf.DUMMYFUNCTION("""COMPUTED_VALUE"""),-3.0)</f>
        <v>-3</v>
      </c>
      <c r="R135" s="16">
        <f>IFERROR(__xludf.DUMMYFUNCTION("""COMPUTED_VALUE"""),-2.0)</f>
        <v>-2</v>
      </c>
      <c r="S135" s="16">
        <f>IFERROR(__xludf.DUMMYFUNCTION("""COMPUTED_VALUE"""),11.6)</f>
        <v>11.6</v>
      </c>
      <c r="T135" s="16">
        <f>IFERROR(__xludf.DUMMYFUNCTION("""COMPUTED_VALUE"""),8.9)</f>
        <v>8.9</v>
      </c>
      <c r="U135" s="16">
        <f>IFERROR(__xludf.DUMMYFUNCTION("""COMPUTED_VALUE"""),1.0)</f>
        <v>1</v>
      </c>
      <c r="V135" s="16">
        <f>IFERROR(__xludf.DUMMYFUNCTION("""COMPUTED_VALUE"""),1.0)</f>
        <v>1</v>
      </c>
      <c r="W135" s="16">
        <f>IFERROR(__xludf.DUMMYFUNCTION("""COMPUTED_VALUE"""),2.0)</f>
        <v>2</v>
      </c>
      <c r="X135" s="16">
        <f>IFERROR(__xludf.DUMMYFUNCTION("""COMPUTED_VALUE"""),2.0)</f>
        <v>2</v>
      </c>
      <c r="Y135" s="16">
        <f>IFERROR(__xludf.DUMMYFUNCTION("""COMPUTED_VALUE"""),36.6)</f>
        <v>36.6</v>
      </c>
      <c r="Z135" s="16">
        <f>IFERROR(__xludf.DUMMYFUNCTION("""COMPUTED_VALUE"""),20.9)</f>
        <v>20.9</v>
      </c>
      <c r="AA135" s="16">
        <f>IFERROR(__xludf.DUMMYFUNCTION("""COMPUTED_VALUE"""),-1.0)</f>
        <v>-1</v>
      </c>
      <c r="AB135" s="16">
        <f>IFERROR(__xludf.DUMMYFUNCTION("""COMPUTED_VALUE"""),1.0)</f>
        <v>1</v>
      </c>
      <c r="AC135" s="16">
        <f>IFERROR(__xludf.DUMMYFUNCTION("""COMPUTED_VALUE"""),-5.0)</f>
        <v>-5</v>
      </c>
      <c r="AD135" s="16">
        <f>IFERROR(__xludf.DUMMYFUNCTION("""COMPUTED_VALUE"""),5.0)</f>
        <v>5</v>
      </c>
      <c r="AE135" s="16">
        <f>IFERROR(__xludf.DUMMYFUNCTION("""COMPUTED_VALUE"""),26.6)</f>
        <v>26.6</v>
      </c>
      <c r="AF135" s="16">
        <f>IFERROR(__xludf.DUMMYFUNCTION("""COMPUTED_VALUE"""),11.9)</f>
        <v>11.9</v>
      </c>
      <c r="AG135" s="16">
        <f>IFERROR(__xludf.DUMMYFUNCTION("""COMPUTED_VALUE"""),0.0)</f>
        <v>0</v>
      </c>
      <c r="AH135" s="16">
        <f>IFERROR(__xludf.DUMMYFUNCTION("""COMPUTED_VALUE"""),2.0)</f>
        <v>2</v>
      </c>
      <c r="AI135" s="16">
        <f>IFERROR(__xludf.DUMMYFUNCTION("""COMPUTED_VALUE"""),0.0)</f>
        <v>0</v>
      </c>
      <c r="AJ135" s="16">
        <f>IFERROR(__xludf.DUMMYFUNCTION("""COMPUTED_VALUE"""),4.0)</f>
        <v>4</v>
      </c>
      <c r="AK135" s="16">
        <f>IFERROR(__xludf.DUMMYFUNCTION("""COMPUTED_VALUE"""),10.0)</f>
        <v>10</v>
      </c>
      <c r="AL135" s="16">
        <f>IFERROR(__xludf.DUMMYFUNCTION("""COMPUTED_VALUE"""),8.5)</f>
        <v>8.5</v>
      </c>
      <c r="AM135" s="16">
        <f>IFERROR(__xludf.DUMMYFUNCTION("""COMPUTED_VALUE"""),1.0)</f>
        <v>1</v>
      </c>
      <c r="AN135" s="16">
        <f>IFERROR(__xludf.DUMMYFUNCTION("""COMPUTED_VALUE"""),1.0)</f>
        <v>1</v>
      </c>
      <c r="AO135" s="16">
        <f>IFERROR(__xludf.DUMMYFUNCTION("""COMPUTED_VALUE"""),1.0)</f>
        <v>1</v>
      </c>
      <c r="AP135" s="16">
        <f>IFERROR(__xludf.DUMMYFUNCTION("""COMPUTED_VALUE"""),1.0)</f>
        <v>1</v>
      </c>
      <c r="AQ135" s="16">
        <f>IFERROR(__xludf.DUMMYFUNCTION("""COMPUTED_VALUE"""),20.200000000000003)</f>
        <v>20.2</v>
      </c>
      <c r="AR135" s="16">
        <f>IFERROR(__xludf.DUMMYFUNCTION("""COMPUTED_VALUE"""),10.3)</f>
        <v>10.3</v>
      </c>
      <c r="AS135" s="16">
        <f>IFERROR(__xludf.DUMMYFUNCTION("""COMPUTED_VALUE"""),0.0)</f>
        <v>0</v>
      </c>
      <c r="AT135" s="16">
        <f>IFERROR(__xludf.DUMMYFUNCTION("""COMPUTED_VALUE"""),1.0)</f>
        <v>1</v>
      </c>
      <c r="AU135" s="16">
        <f>IFERROR(__xludf.DUMMYFUNCTION("""COMPUTED_VALUE"""),0.0)</f>
        <v>0</v>
      </c>
      <c r="AV135" s="16">
        <f>IFERROR(__xludf.DUMMYFUNCTION("""COMPUTED_VALUE"""),2.0)</f>
        <v>2</v>
      </c>
      <c r="AW135" s="16">
        <f>IFERROR(__xludf.DUMMYFUNCTION("""COMPUTED_VALUE"""),1.6)</f>
        <v>1.6</v>
      </c>
      <c r="AX135" s="16">
        <f>IFERROR(__xludf.DUMMYFUNCTION("""COMPUTED_VALUE"""),0.4)</f>
        <v>0.4</v>
      </c>
      <c r="AY135" s="16">
        <f>IFERROR(__xludf.DUMMYFUNCTION("""COMPUTED_VALUE"""),1.0)</f>
        <v>1</v>
      </c>
      <c r="AZ135" s="16">
        <f>IFERROR(__xludf.DUMMYFUNCTION("""COMPUTED_VALUE"""),2.0)</f>
        <v>2</v>
      </c>
      <c r="BA135" s="16">
        <f>IFERROR(__xludf.DUMMYFUNCTION("""COMPUTED_VALUE"""),5.0)</f>
        <v>5</v>
      </c>
      <c r="BB135" s="16">
        <f>IFERROR(__xludf.DUMMYFUNCTION("""COMPUTED_VALUE"""),10.0)</f>
        <v>10</v>
      </c>
      <c r="BC135" s="16">
        <f>IFERROR(__xludf.DUMMYFUNCTION("""COMPUTED_VALUE"""),3.0)</f>
        <v>3</v>
      </c>
      <c r="BD135" s="16">
        <f>IFERROR(__xludf.DUMMYFUNCTION("""COMPUTED_VALUE"""),1.0)</f>
        <v>1</v>
      </c>
      <c r="BE135" s="16">
        <f>IFERROR(__xludf.DUMMYFUNCTION("""COMPUTED_VALUE"""),3.0)</f>
        <v>3</v>
      </c>
      <c r="BF135" s="16">
        <f>IFERROR(__xludf.DUMMYFUNCTION("""COMPUTED_VALUE"""),1.0)</f>
        <v>1</v>
      </c>
      <c r="BG135" s="16">
        <f>IFERROR(__xludf.DUMMYFUNCTION("""COMPUTED_VALUE"""),0.0)</f>
        <v>0</v>
      </c>
      <c r="BH135" s="16">
        <f>IFERROR(__xludf.DUMMYFUNCTION("""COMPUTED_VALUE"""),2.0)</f>
        <v>2</v>
      </c>
      <c r="BI135" s="16">
        <f>IFERROR(__xludf.DUMMYFUNCTION("""COMPUTED_VALUE"""),0.0)</f>
        <v>0</v>
      </c>
      <c r="BJ135" s="16">
        <f>IFERROR(__xludf.DUMMYFUNCTION("""COMPUTED_VALUE"""),4.0)</f>
        <v>4</v>
      </c>
      <c r="BK135" s="16">
        <f>IFERROR(__xludf.DUMMYFUNCTION("""COMPUTED_VALUE"""),5.0)</f>
        <v>5</v>
      </c>
      <c r="BL135" s="16">
        <f>IFERROR(__xludf.DUMMYFUNCTION("""COMPUTED_VALUE"""),5.0)</f>
        <v>5</v>
      </c>
      <c r="BM135" s="16">
        <f>IFERROR(__xludf.DUMMYFUNCTION("""COMPUTED_VALUE"""),0.0)</f>
        <v>0</v>
      </c>
      <c r="BN135" s="16">
        <f>IFERROR(__xludf.DUMMYFUNCTION("""COMPUTED_VALUE"""),0.0)</f>
        <v>0</v>
      </c>
      <c r="BO135" s="16">
        <f>IFERROR(__xludf.DUMMYFUNCTION("""COMPUTED_VALUE"""),0.0)</f>
        <v>0</v>
      </c>
      <c r="BP135" s="16">
        <f>IFERROR(__xludf.DUMMYFUNCTION("""COMPUTED_VALUE"""),0.0)</f>
        <v>0</v>
      </c>
      <c r="BQ135" s="16">
        <f>IFERROR(__xludf.DUMMYFUNCTION("""COMPUTED_VALUE"""),8.0)</f>
        <v>8</v>
      </c>
      <c r="BR135" s="16">
        <f>IFERROR(__xludf.DUMMYFUNCTION("""COMPUTED_VALUE"""),12.0)</f>
        <v>12</v>
      </c>
      <c r="BS135" s="16">
        <f>IFERROR(__xludf.DUMMYFUNCTION("""COMPUTED_VALUE"""),2.0)</f>
        <v>2</v>
      </c>
      <c r="BT135" s="16">
        <f>IFERROR(__xludf.DUMMYFUNCTION("""COMPUTED_VALUE"""),3.0)</f>
        <v>3</v>
      </c>
      <c r="BU135" s="16">
        <f>IFERROR(__xludf.DUMMYFUNCTION("""COMPUTED_VALUE"""),4.0)</f>
        <v>4</v>
      </c>
      <c r="BV135" s="16">
        <f>IFERROR(__xludf.DUMMYFUNCTION("""COMPUTED_VALUE"""),6.0)</f>
        <v>6</v>
      </c>
      <c r="BW135" s="16">
        <f>IFERROR(__xludf.DUMMYFUNCTION("""COMPUTED_VALUE"""),-3.0)</f>
        <v>-3</v>
      </c>
      <c r="BX135" s="16">
        <f>IFERROR(__xludf.DUMMYFUNCTION("""COMPUTED_VALUE"""),-3.0)</f>
        <v>-3</v>
      </c>
      <c r="BY135" s="16" t="str">
        <f>IFERROR(__xludf.DUMMYFUNCTION("""COMPUTED_VALUE"""),"S(5) R(3)")</f>
        <v>S(5) R(3)</v>
      </c>
      <c r="BZ135" s="16" t="str">
        <f>IFERROR(__xludf.DUMMYFUNCTION("""COMPUTED_VALUE"""),"S(5) R(3)")</f>
        <v>S(5) R(3)</v>
      </c>
      <c r="CA135" s="16" t="str">
        <f>IFERROR(__xludf.DUMMYFUNCTION("""COMPUTED_VALUE"""),"S(5)")</f>
        <v>S(5)</v>
      </c>
      <c r="CB135" s="16" t="str">
        <f>IFERROR(__xludf.DUMMYFUNCTION("""COMPUTED_VALUE"""),"R(3)")</f>
        <v>R(3)</v>
      </c>
      <c r="CC135" s="16"/>
      <c r="CD135" s="16">
        <f>IFERROR(__xludf.DUMMYFUNCTION("""COMPUTED_VALUE"""),5.0)</f>
        <v>5</v>
      </c>
      <c r="CE135" s="16">
        <f>IFERROR(__xludf.DUMMYFUNCTION("""COMPUTED_VALUE"""),3.0)</f>
        <v>3</v>
      </c>
      <c r="CF135" s="16"/>
      <c r="CG135" s="16" t="str">
        <f>IFERROR(__xludf.DUMMYFUNCTION("""COMPUTED_VALUE"""),"2-20")</f>
        <v>2-20</v>
      </c>
      <c r="CH135" s="16">
        <f>IFERROR(__xludf.DUMMYFUNCTION("""COMPUTED_VALUE"""),2.0)</f>
        <v>2</v>
      </c>
      <c r="CI135" s="16">
        <f>IFERROR(__xludf.DUMMYFUNCTION("""COMPUTED_VALUE"""),20.0)</f>
        <v>20</v>
      </c>
      <c r="CJ135" s="16">
        <f>IFERROR(__xludf.DUMMYFUNCTION("""COMPUTED_VALUE"""),5.0)</f>
        <v>5</v>
      </c>
      <c r="CK135" s="16">
        <f>IFERROR(__xludf.DUMMYFUNCTION("""COMPUTED_VALUE"""),9.0)</f>
        <v>9</v>
      </c>
      <c r="CL135" s="16" t="str">
        <f>IFERROR(__xludf.DUMMYFUNCTION("""COMPUTED_VALUE"""),"1WR-C")</f>
        <v>1WR-C</v>
      </c>
      <c r="CM135" s="16" t="str">
        <f>IFERROR(__xludf.DUMMYFUNCTION("""COMPUTED_VALUE"""),"E")</f>
        <v>E</v>
      </c>
      <c r="CN135" s="16">
        <f>IFERROR(__xludf.DUMMYFUNCTION("""COMPUTED_VALUE"""),10.0)</f>
        <v>10</v>
      </c>
      <c r="CO135" s="16" t="str">
        <f>IFERROR(__xludf.DUMMYFUNCTION("""COMPUTED_VALUE"""),"C")</f>
        <v>C</v>
      </c>
      <c r="CP135" s="16" t="str">
        <f>IFERROR(__xludf.DUMMYFUNCTION("""COMPUTED_VALUE"""),"1p40")</f>
        <v>1p40</v>
      </c>
      <c r="CQ135" s="16">
        <f>IFERROR(__xludf.DUMMYFUNCTION("""COMPUTED_VALUE"""),1.0)</f>
        <v>1</v>
      </c>
      <c r="CR135" s="16">
        <f>IFERROR(__xludf.DUMMYFUNCTION("""COMPUTED_VALUE"""),29.0)</f>
        <v>29</v>
      </c>
      <c r="CS135" s="16">
        <f>IFERROR(__xludf.DUMMYFUNCTION("""COMPUTED_VALUE"""),30.0)</f>
        <v>30</v>
      </c>
      <c r="CT135" s="16">
        <f>IFERROR(__xludf.DUMMYFUNCTION("""COMPUTED_VALUE"""),1.0)</f>
        <v>1</v>
      </c>
      <c r="CU135" s="16">
        <f>IFERROR(__xludf.DUMMYFUNCTION("""COMPUTED_VALUE"""),29.0)</f>
        <v>29</v>
      </c>
      <c r="CV135" s="179">
        <f>IFERROR(__xludf.DUMMYFUNCTION("""COMPUTED_VALUE"""),15.333333333333334)</f>
        <v>15.33333333</v>
      </c>
      <c r="CW135" s="179">
        <f>IFERROR(__xludf.DUMMYFUNCTION("""COMPUTED_VALUE"""),4.0)</f>
        <v>4</v>
      </c>
      <c r="CX135" s="179">
        <f>IFERROR(__xludf.DUMMYFUNCTION("""COMPUTED_VALUE"""),1.0)</f>
        <v>1</v>
      </c>
      <c r="CY135" s="16" t="str">
        <f>IFERROR(__xludf.DUMMYFUNCTION("""COMPUTED_VALUE"""),"SP")</f>
        <v>SP</v>
      </c>
      <c r="CZ135" s="16" t="str">
        <f>IFERROR(__xludf.DUMMYFUNCTION("""COMPUTED_VALUE"""),"RP")</f>
        <v>RP</v>
      </c>
      <c r="DA135" s="16"/>
      <c r="DB135" s="16"/>
      <c r="DC135" s="16"/>
      <c r="DD135" s="16"/>
      <c r="DE135" s="16"/>
      <c r="DF135" s="16"/>
      <c r="DG135" s="16"/>
      <c r="DH135" s="16"/>
      <c r="DI135" s="16"/>
      <c r="DJ135" s="16"/>
      <c r="DK135" s="16"/>
    </row>
    <row r="136">
      <c r="A136" s="16">
        <f>IFERROR(__xludf.DUMMYFUNCTION("""COMPUTED_VALUE"""),12779.0)</f>
        <v>12779</v>
      </c>
      <c r="B136" s="16" t="str">
        <f>IFERROR(__xludf.DUMMYFUNCTION("""COMPUTED_VALUE"""),"Eduard Bazardo")</f>
        <v>Eduard Bazardo</v>
      </c>
      <c r="C136" s="153">
        <f>IFERROR(__xludf.DUMMYFUNCTION("""COMPUTED_VALUE"""),0.0)</f>
        <v>0</v>
      </c>
      <c r="D136" s="16"/>
      <c r="E136" s="16" t="str">
        <f>IFERROR(__xludf.DUMMYFUNCTION("""COMPUTED_VALUE"""),"R")</f>
        <v>R</v>
      </c>
      <c r="F136" s="16">
        <f>IFERROR(__xludf.DUMMYFUNCTION("""COMPUTED_VALUE"""),28.0)</f>
        <v>28</v>
      </c>
      <c r="G136" s="16">
        <f>IFERROR(__xludf.DUMMYFUNCTION("""COMPUTED_VALUE"""),33.0)</f>
        <v>33</v>
      </c>
      <c r="H136" s="16">
        <f>IFERROR(__xludf.DUMMYFUNCTION("""COMPUTED_VALUE"""),49.0)</f>
        <v>49</v>
      </c>
      <c r="I136" s="16">
        <f>IFERROR(__xludf.DUMMYFUNCTION("""COMPUTED_VALUE"""),1.0)</f>
        <v>1</v>
      </c>
      <c r="J136" s="16">
        <f>IFERROR(__xludf.DUMMYFUNCTION("""COMPUTED_VALUE"""),2.0)</f>
        <v>2</v>
      </c>
      <c r="K136" s="16">
        <f>IFERROR(__xludf.DUMMYFUNCTION("""COMPUTED_VALUE"""),3.0)</f>
        <v>3</v>
      </c>
      <c r="L136" s="16">
        <f>IFERROR(__xludf.DUMMYFUNCTION("""COMPUTED_VALUE"""),6.0)</f>
        <v>6</v>
      </c>
      <c r="M136" s="16">
        <f>IFERROR(__xludf.DUMMYFUNCTION("""COMPUTED_VALUE"""),12.0)</f>
        <v>12</v>
      </c>
      <c r="N136" s="16">
        <f>IFERROR(__xludf.DUMMYFUNCTION("""COMPUTED_VALUE"""),7.0)</f>
        <v>7</v>
      </c>
      <c r="O136" s="16">
        <f>IFERROR(__xludf.DUMMYFUNCTION("""COMPUTED_VALUE"""),-1.0)</f>
        <v>-1</v>
      </c>
      <c r="P136" s="16">
        <f>IFERROR(__xludf.DUMMYFUNCTION("""COMPUTED_VALUE"""),1.0)</f>
        <v>1</v>
      </c>
      <c r="Q136" s="16">
        <f>IFERROR(__xludf.DUMMYFUNCTION("""COMPUTED_VALUE"""),-1.0)</f>
        <v>-1</v>
      </c>
      <c r="R136" s="16">
        <f>IFERROR(__xludf.DUMMYFUNCTION("""COMPUTED_VALUE"""),1.0)</f>
        <v>1</v>
      </c>
      <c r="S136" s="16">
        <f>IFERROR(__xludf.DUMMYFUNCTION("""COMPUTED_VALUE"""),15.0)</f>
        <v>15</v>
      </c>
      <c r="T136" s="16">
        <f>IFERROR(__xludf.DUMMYFUNCTION("""COMPUTED_VALUE"""),3.9)</f>
        <v>3.9</v>
      </c>
      <c r="U136" s="16">
        <f>IFERROR(__xludf.DUMMYFUNCTION("""COMPUTED_VALUE"""),0.0)</f>
        <v>0</v>
      </c>
      <c r="V136" s="16">
        <f>IFERROR(__xludf.DUMMYFUNCTION("""COMPUTED_VALUE"""),2.0)</f>
        <v>2</v>
      </c>
      <c r="W136" s="16">
        <f>IFERROR(__xludf.DUMMYFUNCTION("""COMPUTED_VALUE"""),0.0)</f>
        <v>0</v>
      </c>
      <c r="X136" s="16">
        <f>IFERROR(__xludf.DUMMYFUNCTION("""COMPUTED_VALUE"""),4.0)</f>
        <v>4</v>
      </c>
      <c r="Y136" s="16">
        <f>IFERROR(__xludf.DUMMYFUNCTION("""COMPUTED_VALUE"""),27.0)</f>
        <v>27</v>
      </c>
      <c r="Z136" s="16">
        <f>IFERROR(__xludf.DUMMYFUNCTION("""COMPUTED_VALUE"""),10.9)</f>
        <v>10.9</v>
      </c>
      <c r="AA136" s="16">
        <f>IFERROR(__xludf.DUMMYFUNCTION("""COMPUTED_VALUE"""),0.0)</f>
        <v>0</v>
      </c>
      <c r="AB136" s="16">
        <f>IFERROR(__xludf.DUMMYFUNCTION("""COMPUTED_VALUE"""),2.0)</f>
        <v>2</v>
      </c>
      <c r="AC136" s="16">
        <f>IFERROR(__xludf.DUMMYFUNCTION("""COMPUTED_VALUE"""),0.0)</f>
        <v>0</v>
      </c>
      <c r="AD136" s="16">
        <f>IFERROR(__xludf.DUMMYFUNCTION("""COMPUTED_VALUE"""),10.0)</f>
        <v>10</v>
      </c>
      <c r="AE136" s="16">
        <f>IFERROR(__xludf.DUMMYFUNCTION("""COMPUTED_VALUE"""),24.0)</f>
        <v>24</v>
      </c>
      <c r="AF136" s="16">
        <f>IFERROR(__xludf.DUMMYFUNCTION("""COMPUTED_VALUE"""),6.9)</f>
        <v>6.9</v>
      </c>
      <c r="AG136" s="16">
        <f>IFERROR(__xludf.DUMMYFUNCTION("""COMPUTED_VALUE"""),0.0)</f>
        <v>0</v>
      </c>
      <c r="AH136" s="16">
        <f>IFERROR(__xludf.DUMMYFUNCTION("""COMPUTED_VALUE"""),2.0)</f>
        <v>2</v>
      </c>
      <c r="AI136" s="16">
        <f>IFERROR(__xludf.DUMMYFUNCTION("""COMPUTED_VALUE"""),0.0)</f>
        <v>0</v>
      </c>
      <c r="AJ136" s="16">
        <f>IFERROR(__xludf.DUMMYFUNCTION("""COMPUTED_VALUE"""),4.0)</f>
        <v>4</v>
      </c>
      <c r="AK136" s="16">
        <f>IFERROR(__xludf.DUMMYFUNCTION("""COMPUTED_VALUE"""),12.0)</f>
        <v>12</v>
      </c>
      <c r="AL136" s="16">
        <f>IFERROR(__xludf.DUMMYFUNCTION("""COMPUTED_VALUE"""),3.9)</f>
        <v>3.9</v>
      </c>
      <c r="AM136" s="16">
        <f>IFERROR(__xludf.DUMMYFUNCTION("""COMPUTED_VALUE"""),0.0)</f>
        <v>0</v>
      </c>
      <c r="AN136" s="16">
        <f>IFERROR(__xludf.DUMMYFUNCTION("""COMPUTED_VALUE"""),2.0)</f>
        <v>2</v>
      </c>
      <c r="AO136" s="16">
        <f>IFERROR(__xludf.DUMMYFUNCTION("""COMPUTED_VALUE"""),0.0)</f>
        <v>0</v>
      </c>
      <c r="AP136" s="16">
        <f>IFERROR(__xludf.DUMMYFUNCTION("""COMPUTED_VALUE"""),2.0)</f>
        <v>2</v>
      </c>
      <c r="AQ136" s="16">
        <f>IFERROR(__xludf.DUMMYFUNCTION("""COMPUTED_VALUE"""),12.0)</f>
        <v>12</v>
      </c>
      <c r="AR136" s="16">
        <f>IFERROR(__xludf.DUMMYFUNCTION("""COMPUTED_VALUE"""),6.9)</f>
        <v>6.9</v>
      </c>
      <c r="AS136" s="16">
        <f>IFERROR(__xludf.DUMMYFUNCTION("""COMPUTED_VALUE"""),1.0)</f>
        <v>1</v>
      </c>
      <c r="AT136" s="16">
        <f>IFERROR(__xludf.DUMMYFUNCTION("""COMPUTED_VALUE"""),2.0)</f>
        <v>2</v>
      </c>
      <c r="AU136" s="16">
        <f>IFERROR(__xludf.DUMMYFUNCTION("""COMPUTED_VALUE"""),2.0)</f>
        <v>2</v>
      </c>
      <c r="AV136" s="16">
        <f>IFERROR(__xludf.DUMMYFUNCTION("""COMPUTED_VALUE"""),4.0)</f>
        <v>4</v>
      </c>
      <c r="AW136" s="16">
        <f>IFERROR(__xludf.DUMMYFUNCTION("""COMPUTED_VALUE"""),3.0)</f>
        <v>3</v>
      </c>
      <c r="AX136" s="16">
        <f>IFERROR(__xludf.DUMMYFUNCTION("""COMPUTED_VALUE"""),0.0)</f>
        <v>0</v>
      </c>
      <c r="AY136" s="16">
        <f>IFERROR(__xludf.DUMMYFUNCTION("""COMPUTED_VALUE"""),-1.0)</f>
        <v>-1</v>
      </c>
      <c r="AZ136" s="16">
        <f>IFERROR(__xludf.DUMMYFUNCTION("""COMPUTED_VALUE"""),2.0)</f>
        <v>2</v>
      </c>
      <c r="BA136" s="16">
        <f>IFERROR(__xludf.DUMMYFUNCTION("""COMPUTED_VALUE"""),-5.0)</f>
        <v>-5</v>
      </c>
      <c r="BB136" s="16">
        <f>IFERROR(__xludf.DUMMYFUNCTION("""COMPUTED_VALUE"""),10.0)</f>
        <v>10</v>
      </c>
      <c r="BC136" s="16">
        <f>IFERROR(__xludf.DUMMYFUNCTION("""COMPUTED_VALUE"""),6.0)</f>
        <v>6</v>
      </c>
      <c r="BD136" s="16">
        <f>IFERROR(__xludf.DUMMYFUNCTION("""COMPUTED_VALUE"""),0.0)</f>
        <v>0</v>
      </c>
      <c r="BE136" s="16">
        <f>IFERROR(__xludf.DUMMYFUNCTION("""COMPUTED_VALUE"""),6.0)</f>
        <v>6</v>
      </c>
      <c r="BF136" s="16">
        <f>IFERROR(__xludf.DUMMYFUNCTION("""COMPUTED_VALUE"""),0.0)</f>
        <v>0</v>
      </c>
      <c r="BG136" s="16">
        <f>IFERROR(__xludf.DUMMYFUNCTION("""COMPUTED_VALUE"""),-3.0)</f>
        <v>-3</v>
      </c>
      <c r="BH136" s="16">
        <f>IFERROR(__xludf.DUMMYFUNCTION("""COMPUTED_VALUE"""),2.0)</f>
        <v>2</v>
      </c>
      <c r="BI136" s="16">
        <f>IFERROR(__xludf.DUMMYFUNCTION("""COMPUTED_VALUE"""),-6.0)</f>
        <v>-6</v>
      </c>
      <c r="BJ136" s="16">
        <f>IFERROR(__xludf.DUMMYFUNCTION("""COMPUTED_VALUE"""),4.0)</f>
        <v>4</v>
      </c>
      <c r="BK136" s="16">
        <f>IFERROR(__xludf.DUMMYFUNCTION("""COMPUTED_VALUE"""),5.0)</f>
        <v>5</v>
      </c>
      <c r="BL136" s="16">
        <f>IFERROR(__xludf.DUMMYFUNCTION("""COMPUTED_VALUE"""),5.0)</f>
        <v>5</v>
      </c>
      <c r="BM136" s="16">
        <f>IFERROR(__xludf.DUMMYFUNCTION("""COMPUTED_VALUE"""),0.0)</f>
        <v>0</v>
      </c>
      <c r="BN136" s="16">
        <f>IFERROR(__xludf.DUMMYFUNCTION("""COMPUTED_VALUE"""),0.0)</f>
        <v>0</v>
      </c>
      <c r="BO136" s="16">
        <f>IFERROR(__xludf.DUMMYFUNCTION("""COMPUTED_VALUE"""),0.0)</f>
        <v>0</v>
      </c>
      <c r="BP136" s="16">
        <f>IFERROR(__xludf.DUMMYFUNCTION("""COMPUTED_VALUE"""),0.0)</f>
        <v>0</v>
      </c>
      <c r="BQ136" s="16">
        <f>IFERROR(__xludf.DUMMYFUNCTION("""COMPUTED_VALUE"""),5.0)</f>
        <v>5</v>
      </c>
      <c r="BR136" s="16">
        <f>IFERROR(__xludf.DUMMYFUNCTION("""COMPUTED_VALUE"""),10.0)</f>
        <v>10</v>
      </c>
      <c r="BS136" s="16">
        <f>IFERROR(__xludf.DUMMYFUNCTION("""COMPUTED_VALUE"""),0.0)</f>
        <v>0</v>
      </c>
      <c r="BT136" s="16">
        <f>IFERROR(__xludf.DUMMYFUNCTION("""COMPUTED_VALUE"""),3.0)</f>
        <v>3</v>
      </c>
      <c r="BU136" s="16">
        <f>IFERROR(__xludf.DUMMYFUNCTION("""COMPUTED_VALUE"""),0.0)</f>
        <v>0</v>
      </c>
      <c r="BV136" s="16">
        <f>IFERROR(__xludf.DUMMYFUNCTION("""COMPUTED_VALUE"""),6.0)</f>
        <v>6</v>
      </c>
      <c r="BW136" s="16">
        <f>IFERROR(__xludf.DUMMYFUNCTION("""COMPUTED_VALUE"""),1.0)</f>
        <v>1</v>
      </c>
      <c r="BX136" s="16">
        <f>IFERROR(__xludf.DUMMYFUNCTION("""COMPUTED_VALUE"""),1.0)</f>
        <v>1</v>
      </c>
      <c r="BY136" s="16" t="str">
        <f>IFERROR(__xludf.DUMMYFUNCTION("""COMPUTED_VALUE"""),"R(2)")</f>
        <v>R(2)</v>
      </c>
      <c r="BZ136" s="16" t="str">
        <f>IFERROR(__xludf.DUMMYFUNCTION("""COMPUTED_VALUE"""),"R(2)")</f>
        <v>R(2)</v>
      </c>
      <c r="CA136" s="16" t="str">
        <f>IFERROR(__xludf.DUMMYFUNCTION("""COMPUTED_VALUE"""),"R(2)")</f>
        <v>R(2)</v>
      </c>
      <c r="CB136" s="16"/>
      <c r="CC136" s="16"/>
      <c r="CD136" s="16"/>
      <c r="CE136" s="16">
        <f>IFERROR(__xludf.DUMMYFUNCTION("""COMPUTED_VALUE"""),2.0)</f>
        <v>2</v>
      </c>
      <c r="CF136" s="16"/>
      <c r="CG136" s="16" t="str">
        <f>IFERROR(__xludf.DUMMYFUNCTION("""COMPUTED_VALUE"""),"2-0")</f>
        <v>2-0</v>
      </c>
      <c r="CH136" s="16">
        <f>IFERROR(__xludf.DUMMYFUNCTION("""COMPUTED_VALUE"""),2.0)</f>
        <v>2</v>
      </c>
      <c r="CI136" s="16">
        <f>IFERROR(__xludf.DUMMYFUNCTION("""COMPUTED_VALUE"""),0.0)</f>
        <v>0</v>
      </c>
      <c r="CJ136" s="16">
        <f>IFERROR(__xludf.DUMMYFUNCTION("""COMPUTED_VALUE"""),0.0)</f>
        <v>0</v>
      </c>
      <c r="CK136" s="16">
        <f>IFERROR(__xludf.DUMMYFUNCTION("""COMPUTED_VALUE"""),20.0)</f>
        <v>20</v>
      </c>
      <c r="CL136" s="16" t="str">
        <f>IFERROR(__xludf.DUMMYFUNCTION("""COMPUTED_VALUE"""),"1WR-C")</f>
        <v>1WR-C</v>
      </c>
      <c r="CM136" s="16" t="str">
        <f>IFERROR(__xludf.DUMMYFUNCTION("""COMPUTED_VALUE"""),"E")</f>
        <v>E</v>
      </c>
      <c r="CN136" s="16">
        <f>IFERROR(__xludf.DUMMYFUNCTION("""COMPUTED_VALUE"""),10.0)</f>
        <v>10</v>
      </c>
      <c r="CO136" s="16" t="str">
        <f>IFERROR(__xludf.DUMMYFUNCTION("""COMPUTED_VALUE"""),"C")</f>
        <v>C</v>
      </c>
      <c r="CP136" s="16" t="str">
        <f>IFERROR(__xludf.DUMMYFUNCTION("""COMPUTED_VALUE"""),"5p20")</f>
        <v>5p20</v>
      </c>
      <c r="CQ136" s="16">
        <f>IFERROR(__xludf.DUMMYFUNCTION("""COMPUTED_VALUE"""),-7.0)</f>
        <v>-7</v>
      </c>
      <c r="CR136" s="16">
        <f>IFERROR(__xludf.DUMMYFUNCTION("""COMPUTED_VALUE"""),51.0)</f>
        <v>51</v>
      </c>
      <c r="CS136" s="16">
        <f>IFERROR(__xludf.DUMMYFUNCTION("""COMPUTED_VALUE"""),44.0)</f>
        <v>44</v>
      </c>
      <c r="CT136" s="16">
        <f>IFERROR(__xludf.DUMMYFUNCTION("""COMPUTED_VALUE"""),-7.0)</f>
        <v>-7</v>
      </c>
      <c r="CU136" s="16">
        <f>IFERROR(__xludf.DUMMYFUNCTION("""COMPUTED_VALUE"""),51.0)</f>
        <v>51</v>
      </c>
      <c r="CV136" s="179">
        <f>IFERROR(__xludf.DUMMYFUNCTION("""COMPUTED_VALUE"""),15.333333333333334)</f>
        <v>15.33333333</v>
      </c>
      <c r="CW136" s="179">
        <f>IFERROR(__xludf.DUMMYFUNCTION("""COMPUTED_VALUE"""),0.0)</f>
        <v>0</v>
      </c>
      <c r="CX136" s="179">
        <f>IFERROR(__xludf.DUMMYFUNCTION("""COMPUTED_VALUE"""),3.0)</f>
        <v>3</v>
      </c>
      <c r="CY136" s="16" t="str">
        <f>IFERROR(__xludf.DUMMYFUNCTION("""COMPUTED_VALUE"""),"RP")</f>
        <v>RP</v>
      </c>
      <c r="CZ136" s="16"/>
      <c r="DA136" s="16"/>
      <c r="DB136" s="16"/>
      <c r="DC136" s="16"/>
      <c r="DD136" s="16"/>
      <c r="DE136" s="16"/>
      <c r="DF136" s="16"/>
      <c r="DG136" s="16"/>
      <c r="DH136" s="16"/>
      <c r="DI136" s="16"/>
      <c r="DJ136" s="16"/>
      <c r="DK136" s="16"/>
    </row>
    <row r="137">
      <c r="A137" s="16">
        <f>IFERROR(__xludf.DUMMYFUNCTION("""COMPUTED_VALUE"""),13076.0)</f>
        <v>13076</v>
      </c>
      <c r="B137" s="16" t="str">
        <f>IFERROR(__xludf.DUMMYFUNCTION("""COMPUTED_VALUE"""),"Kevin Ginkel")</f>
        <v>Kevin Ginkel</v>
      </c>
      <c r="C137" s="153">
        <f>IFERROR(__xludf.DUMMYFUNCTION("""COMPUTED_VALUE"""),0.55)</f>
        <v>0.55</v>
      </c>
      <c r="D137" s="16"/>
      <c r="E137" s="16" t="str">
        <f>IFERROR(__xludf.DUMMYFUNCTION("""COMPUTED_VALUE"""),"R")</f>
        <v>R</v>
      </c>
      <c r="F137" s="16">
        <f>IFERROR(__xludf.DUMMYFUNCTION("""COMPUTED_VALUE"""),70.0)</f>
        <v>70</v>
      </c>
      <c r="G137" s="16">
        <f>IFERROR(__xludf.DUMMYFUNCTION("""COMPUTED_VALUE"""),42.0)</f>
        <v>42</v>
      </c>
      <c r="H137" s="16">
        <f>IFERROR(__xludf.DUMMYFUNCTION("""COMPUTED_VALUE"""),27.0)</f>
        <v>27</v>
      </c>
      <c r="I137" s="16">
        <f>IFERROR(__xludf.DUMMYFUNCTION("""COMPUTED_VALUE"""),2.0)</f>
        <v>2</v>
      </c>
      <c r="J137" s="16">
        <f>IFERROR(__xludf.DUMMYFUNCTION("""COMPUTED_VALUE"""),0.0)</f>
        <v>0</v>
      </c>
      <c r="K137" s="16">
        <f>IFERROR(__xludf.DUMMYFUNCTION("""COMPUTED_VALUE"""),6.0)</f>
        <v>6</v>
      </c>
      <c r="L137" s="16">
        <f>IFERROR(__xludf.DUMMYFUNCTION("""COMPUTED_VALUE"""),0.0)</f>
        <v>0</v>
      </c>
      <c r="M137" s="16">
        <f>IFERROR(__xludf.DUMMYFUNCTION("""COMPUTED_VALUE"""),4.0)</f>
        <v>4</v>
      </c>
      <c r="N137" s="16">
        <f>IFERROR(__xludf.DUMMYFUNCTION("""COMPUTED_VALUE"""),2.0)</f>
        <v>2</v>
      </c>
      <c r="O137" s="16">
        <f>IFERROR(__xludf.DUMMYFUNCTION("""COMPUTED_VALUE"""),2.0)</f>
        <v>2</v>
      </c>
      <c r="P137" s="16">
        <f>IFERROR(__xludf.DUMMYFUNCTION("""COMPUTED_VALUE"""),3.0)</f>
        <v>3</v>
      </c>
      <c r="Q137" s="16">
        <f>IFERROR(__xludf.DUMMYFUNCTION("""COMPUTED_VALUE"""),2.0)</f>
        <v>2</v>
      </c>
      <c r="R137" s="16">
        <f>IFERROR(__xludf.DUMMYFUNCTION("""COMPUTED_VALUE"""),3.0)</f>
        <v>3</v>
      </c>
      <c r="S137" s="16">
        <f>IFERROR(__xludf.DUMMYFUNCTION("""COMPUTED_VALUE"""),20.9)</f>
        <v>20.9</v>
      </c>
      <c r="T137" s="16">
        <f>IFERROR(__xludf.DUMMYFUNCTION("""COMPUTED_VALUE"""),20.5)</f>
        <v>20.5</v>
      </c>
      <c r="U137" s="16">
        <f>IFERROR(__xludf.DUMMYFUNCTION("""COMPUTED_VALUE"""),-1.0)</f>
        <v>-1</v>
      </c>
      <c r="V137" s="16">
        <f>IFERROR(__xludf.DUMMYFUNCTION("""COMPUTED_VALUE"""),-1.0)</f>
        <v>-1</v>
      </c>
      <c r="W137" s="16">
        <f>IFERROR(__xludf.DUMMYFUNCTION("""COMPUTED_VALUE"""),-2.0)</f>
        <v>-2</v>
      </c>
      <c r="X137" s="16">
        <f>IFERROR(__xludf.DUMMYFUNCTION("""COMPUTED_VALUE"""),-2.0)</f>
        <v>-2</v>
      </c>
      <c r="Y137" s="16">
        <f>IFERROR(__xludf.DUMMYFUNCTION("""COMPUTED_VALUE"""),24.9)</f>
        <v>24.9</v>
      </c>
      <c r="Z137" s="16">
        <f>IFERROR(__xludf.DUMMYFUNCTION("""COMPUTED_VALUE"""),22.5)</f>
        <v>22.5</v>
      </c>
      <c r="AA137" s="16">
        <f>IFERROR(__xludf.DUMMYFUNCTION("""COMPUTED_VALUE"""),0.0)</f>
        <v>0</v>
      </c>
      <c r="AB137" s="16">
        <f>IFERROR(__xludf.DUMMYFUNCTION("""COMPUTED_VALUE"""),0.0)</f>
        <v>0</v>
      </c>
      <c r="AC137" s="16">
        <f>IFERROR(__xludf.DUMMYFUNCTION("""COMPUTED_VALUE"""),0.0)</f>
        <v>0</v>
      </c>
      <c r="AD137" s="16">
        <f>IFERROR(__xludf.DUMMYFUNCTION("""COMPUTED_VALUE"""),0.0)</f>
        <v>0</v>
      </c>
      <c r="AE137" s="16">
        <f>IFERROR(__xludf.DUMMYFUNCTION("""COMPUTED_VALUE"""),32.8)</f>
        <v>32.8</v>
      </c>
      <c r="AF137" s="16">
        <f>IFERROR(__xludf.DUMMYFUNCTION("""COMPUTED_VALUE"""),30.4)</f>
        <v>30.4</v>
      </c>
      <c r="AG137" s="16">
        <f>IFERROR(__xludf.DUMMYFUNCTION("""COMPUTED_VALUE"""),0.0)</f>
        <v>0</v>
      </c>
      <c r="AH137" s="16">
        <f>IFERROR(__xludf.DUMMYFUNCTION("""COMPUTED_VALUE"""),0.0)</f>
        <v>0</v>
      </c>
      <c r="AI137" s="16">
        <f>IFERROR(__xludf.DUMMYFUNCTION("""COMPUTED_VALUE"""),0.0)</f>
        <v>0</v>
      </c>
      <c r="AJ137" s="16">
        <f>IFERROR(__xludf.DUMMYFUNCTION("""COMPUTED_VALUE"""),0.0)</f>
        <v>0</v>
      </c>
      <c r="AK137" s="16">
        <f>IFERROR(__xludf.DUMMYFUNCTION("""COMPUTED_VALUE"""),19.7)</f>
        <v>19.7</v>
      </c>
      <c r="AL137" s="16">
        <f>IFERROR(__xludf.DUMMYFUNCTION("""COMPUTED_VALUE"""),20.1)</f>
        <v>20.1</v>
      </c>
      <c r="AM137" s="16">
        <f>IFERROR(__xludf.DUMMYFUNCTION("""COMPUTED_VALUE"""),-1.0)</f>
        <v>-1</v>
      </c>
      <c r="AN137" s="16">
        <f>IFERROR(__xludf.DUMMYFUNCTION("""COMPUTED_VALUE"""),-1.0)</f>
        <v>-1</v>
      </c>
      <c r="AO137" s="16">
        <f>IFERROR(__xludf.DUMMYFUNCTION("""COMPUTED_VALUE"""),-1.0)</f>
        <v>-1</v>
      </c>
      <c r="AP137" s="16">
        <f>IFERROR(__xludf.DUMMYFUNCTION("""COMPUTED_VALUE"""),-1.0)</f>
        <v>-1</v>
      </c>
      <c r="AQ137" s="16">
        <f>IFERROR(__xludf.DUMMYFUNCTION("""COMPUTED_VALUE"""),27.999999999999996)</f>
        <v>28</v>
      </c>
      <c r="AR137" s="16">
        <f>IFERROR(__xludf.DUMMYFUNCTION("""COMPUTED_VALUE"""),28.799999999999997)</f>
        <v>28.8</v>
      </c>
      <c r="AS137" s="16">
        <f>IFERROR(__xludf.DUMMYFUNCTION("""COMPUTED_VALUE"""),-1.0)</f>
        <v>-1</v>
      </c>
      <c r="AT137" s="16">
        <f>IFERROR(__xludf.DUMMYFUNCTION("""COMPUTED_VALUE"""),-1.0)</f>
        <v>-1</v>
      </c>
      <c r="AU137" s="16">
        <f>IFERROR(__xludf.DUMMYFUNCTION("""COMPUTED_VALUE"""),-2.0)</f>
        <v>-2</v>
      </c>
      <c r="AV137" s="16">
        <f>IFERROR(__xludf.DUMMYFUNCTION("""COMPUTED_VALUE"""),-2.0)</f>
        <v>-2</v>
      </c>
      <c r="AW137" s="16">
        <f>IFERROR(__xludf.DUMMYFUNCTION("""COMPUTED_VALUE"""),1.2)</f>
        <v>1.2</v>
      </c>
      <c r="AX137" s="16">
        <f>IFERROR(__xludf.DUMMYFUNCTION("""COMPUTED_VALUE"""),0.4)</f>
        <v>0.4</v>
      </c>
      <c r="AY137" s="16">
        <f>IFERROR(__xludf.DUMMYFUNCTION("""COMPUTED_VALUE"""),1.0)</f>
        <v>1</v>
      </c>
      <c r="AZ137" s="16">
        <f>IFERROR(__xludf.DUMMYFUNCTION("""COMPUTED_VALUE"""),2.0)</f>
        <v>2</v>
      </c>
      <c r="BA137" s="16">
        <f>IFERROR(__xludf.DUMMYFUNCTION("""COMPUTED_VALUE"""),5.0)</f>
        <v>5</v>
      </c>
      <c r="BB137" s="16">
        <f>IFERROR(__xludf.DUMMYFUNCTION("""COMPUTED_VALUE"""),10.0)</f>
        <v>10</v>
      </c>
      <c r="BC137" s="16">
        <f>IFERROR(__xludf.DUMMYFUNCTION("""COMPUTED_VALUE"""),2.0)</f>
        <v>2</v>
      </c>
      <c r="BD137" s="16">
        <f>IFERROR(__xludf.DUMMYFUNCTION("""COMPUTED_VALUE"""),1.0)</f>
        <v>1</v>
      </c>
      <c r="BE137" s="16">
        <f>IFERROR(__xludf.DUMMYFUNCTION("""COMPUTED_VALUE"""),2.0)</f>
        <v>2</v>
      </c>
      <c r="BF137" s="16">
        <f>IFERROR(__xludf.DUMMYFUNCTION("""COMPUTED_VALUE"""),1.0)</f>
        <v>1</v>
      </c>
      <c r="BG137" s="16">
        <f>IFERROR(__xludf.DUMMYFUNCTION("""COMPUTED_VALUE"""),1.0)</f>
        <v>1</v>
      </c>
      <c r="BH137" s="16">
        <f>IFERROR(__xludf.DUMMYFUNCTION("""COMPUTED_VALUE"""),2.0)</f>
        <v>2</v>
      </c>
      <c r="BI137" s="16">
        <f>IFERROR(__xludf.DUMMYFUNCTION("""COMPUTED_VALUE"""),2.0)</f>
        <v>2</v>
      </c>
      <c r="BJ137" s="16">
        <f>IFERROR(__xludf.DUMMYFUNCTION("""COMPUTED_VALUE"""),4.0)</f>
        <v>4</v>
      </c>
      <c r="BK137" s="16">
        <f>IFERROR(__xludf.DUMMYFUNCTION("""COMPUTED_VALUE"""),5.0)</f>
        <v>5</v>
      </c>
      <c r="BL137" s="16">
        <f>IFERROR(__xludf.DUMMYFUNCTION("""COMPUTED_VALUE"""),5.0)</f>
        <v>5</v>
      </c>
      <c r="BM137" s="16">
        <f>IFERROR(__xludf.DUMMYFUNCTION("""COMPUTED_VALUE"""),0.0)</f>
        <v>0</v>
      </c>
      <c r="BN137" s="16">
        <f>IFERROR(__xludf.DUMMYFUNCTION("""COMPUTED_VALUE"""),0.0)</f>
        <v>0</v>
      </c>
      <c r="BO137" s="16">
        <f>IFERROR(__xludf.DUMMYFUNCTION("""COMPUTED_VALUE"""),0.0)</f>
        <v>0</v>
      </c>
      <c r="BP137" s="16">
        <f>IFERROR(__xludf.DUMMYFUNCTION("""COMPUTED_VALUE"""),0.0)</f>
        <v>0</v>
      </c>
      <c r="BQ137" s="16">
        <f>IFERROR(__xludf.DUMMYFUNCTION("""COMPUTED_VALUE"""),3.0)</f>
        <v>3</v>
      </c>
      <c r="BR137" s="16">
        <f>IFERROR(__xludf.DUMMYFUNCTION("""COMPUTED_VALUE"""),6.0)</f>
        <v>6</v>
      </c>
      <c r="BS137" s="16">
        <f>IFERROR(__xludf.DUMMYFUNCTION("""COMPUTED_VALUE"""),-1.0)</f>
        <v>-1</v>
      </c>
      <c r="BT137" s="16">
        <f>IFERROR(__xludf.DUMMYFUNCTION("""COMPUTED_VALUE"""),1.0)</f>
        <v>1</v>
      </c>
      <c r="BU137" s="16">
        <f>IFERROR(__xludf.DUMMYFUNCTION("""COMPUTED_VALUE"""),-2.0)</f>
        <v>-2</v>
      </c>
      <c r="BV137" s="16">
        <f>IFERROR(__xludf.DUMMYFUNCTION("""COMPUTED_VALUE"""),2.0)</f>
        <v>2</v>
      </c>
      <c r="BW137" s="16">
        <f>IFERROR(__xludf.DUMMYFUNCTION("""COMPUTED_VALUE"""),2.0)</f>
        <v>2</v>
      </c>
      <c r="BX137" s="16">
        <f>IFERROR(__xludf.DUMMYFUNCTION("""COMPUTED_VALUE"""),2.0)</f>
        <v>2</v>
      </c>
      <c r="BY137" s="16" t="str">
        <f>IFERROR(__xludf.DUMMYFUNCTION("""COMPUTED_VALUE"""),"R(1) C(2)")</f>
        <v>R(1) C(2)</v>
      </c>
      <c r="BZ137" s="16" t="str">
        <f>IFERROR(__xludf.DUMMYFUNCTION("""COMPUTED_VALUE"""),"R(1) C(2)")</f>
        <v>R(1) C(2)</v>
      </c>
      <c r="CA137" s="16" t="str">
        <f>IFERROR(__xludf.DUMMYFUNCTION("""COMPUTED_VALUE"""),"R(1)")</f>
        <v>R(1)</v>
      </c>
      <c r="CB137" s="16" t="str">
        <f>IFERROR(__xludf.DUMMYFUNCTION("""COMPUTED_VALUE"""),"C(2)")</f>
        <v>C(2)</v>
      </c>
      <c r="CC137" s="16"/>
      <c r="CD137" s="16"/>
      <c r="CE137" s="16">
        <f>IFERROR(__xludf.DUMMYFUNCTION("""COMPUTED_VALUE"""),1.0)</f>
        <v>1</v>
      </c>
      <c r="CF137" s="16">
        <f>IFERROR(__xludf.DUMMYFUNCTION("""COMPUTED_VALUE"""),2.0)</f>
        <v>2</v>
      </c>
      <c r="CG137" s="16" t="str">
        <f>IFERROR(__xludf.DUMMYFUNCTION("""COMPUTED_VALUE"""),"3-0")</f>
        <v>3-0</v>
      </c>
      <c r="CH137" s="16">
        <f>IFERROR(__xludf.DUMMYFUNCTION("""COMPUTED_VALUE"""),3.0)</f>
        <v>3</v>
      </c>
      <c r="CI137" s="16">
        <f>IFERROR(__xludf.DUMMYFUNCTION("""COMPUTED_VALUE"""),0.0)</f>
        <v>0</v>
      </c>
      <c r="CJ137" s="16">
        <f>IFERROR(__xludf.DUMMYFUNCTION("""COMPUTED_VALUE"""),0.0)</f>
        <v>0</v>
      </c>
      <c r="CK137" s="16">
        <f>IFERROR(__xludf.DUMMYFUNCTION("""COMPUTED_VALUE"""),13.0)</f>
        <v>13</v>
      </c>
      <c r="CL137" s="16" t="str">
        <f>IFERROR(__xludf.DUMMYFUNCTION("""COMPUTED_VALUE"""),"1WL-C")</f>
        <v>1WL-C</v>
      </c>
      <c r="CM137" s="16" t="str">
        <f>IFERROR(__xludf.DUMMYFUNCTION("""COMPUTED_VALUE"""),"E")</f>
        <v>E</v>
      </c>
      <c r="CN137" s="16">
        <f>IFERROR(__xludf.DUMMYFUNCTION("""COMPUTED_VALUE"""),10.0)</f>
        <v>10</v>
      </c>
      <c r="CO137" s="16" t="str">
        <f>IFERROR(__xludf.DUMMYFUNCTION("""COMPUTED_VALUE"""),"C")</f>
        <v>C</v>
      </c>
      <c r="CP137" s="16" t="str">
        <f>IFERROR(__xludf.DUMMYFUNCTION("""COMPUTED_VALUE"""),"1p60")</f>
        <v>1p60</v>
      </c>
      <c r="CQ137" s="16">
        <f>IFERROR(__xludf.DUMMYFUNCTION("""COMPUTED_VALUE"""),8.0)</f>
        <v>8</v>
      </c>
      <c r="CR137" s="16">
        <f>IFERROR(__xludf.DUMMYFUNCTION("""COMPUTED_VALUE"""),14.0)</f>
        <v>14</v>
      </c>
      <c r="CS137" s="16">
        <f>IFERROR(__xludf.DUMMYFUNCTION("""COMPUTED_VALUE"""),22.0)</f>
        <v>22</v>
      </c>
      <c r="CT137" s="16">
        <f>IFERROR(__xludf.DUMMYFUNCTION("""COMPUTED_VALUE"""),8.0)</f>
        <v>8</v>
      </c>
      <c r="CU137" s="16">
        <f>IFERROR(__xludf.DUMMYFUNCTION("""COMPUTED_VALUE"""),14.0)</f>
        <v>14</v>
      </c>
      <c r="CV137" s="179">
        <f>IFERROR(__xludf.DUMMYFUNCTION("""COMPUTED_VALUE"""),15.0)</f>
        <v>15</v>
      </c>
      <c r="CW137" s="179">
        <f>IFERROR(__xludf.DUMMYFUNCTION("""COMPUTED_VALUE"""),4.0)</f>
        <v>4</v>
      </c>
      <c r="CX137" s="179">
        <f>IFERROR(__xludf.DUMMYFUNCTION("""COMPUTED_VALUE"""),1.0)</f>
        <v>1</v>
      </c>
      <c r="CY137" s="16" t="str">
        <f>IFERROR(__xludf.DUMMYFUNCTION("""COMPUTED_VALUE"""),"RP")</f>
        <v>RP</v>
      </c>
      <c r="CZ137" s="16" t="str">
        <f>IFERROR(__xludf.DUMMYFUNCTION("""COMPUTED_VALUE"""),"CP")</f>
        <v>CP</v>
      </c>
      <c r="DA137" s="16"/>
      <c r="DB137" s="16"/>
      <c r="DC137" s="16"/>
      <c r="DD137" s="16"/>
      <c r="DE137" s="16"/>
      <c r="DF137" s="16"/>
      <c r="DG137" s="16"/>
      <c r="DH137" s="16"/>
      <c r="DI137" s="16"/>
      <c r="DJ137" s="16"/>
      <c r="DK137" s="16"/>
    </row>
    <row r="138">
      <c r="A138" s="16">
        <f>IFERROR(__xludf.DUMMYFUNCTION("""COMPUTED_VALUE"""),12511.0)</f>
        <v>12511</v>
      </c>
      <c r="B138" s="16" t="str">
        <f>IFERROR(__xludf.DUMMYFUNCTION("""COMPUTED_VALUE"""),"AJ Minter")</f>
        <v>AJ Minter</v>
      </c>
      <c r="C138" s="153">
        <f>IFERROR(__xludf.DUMMYFUNCTION("""COMPUTED_VALUE"""),1.54)</f>
        <v>1.54</v>
      </c>
      <c r="D138" s="16"/>
      <c r="E138" s="16" t="str">
        <f>IFERROR(__xludf.DUMMYFUNCTION("""COMPUTED_VALUE"""),"L")</f>
        <v>L</v>
      </c>
      <c r="F138" s="16">
        <f>IFERROR(__xludf.DUMMYFUNCTION("""COMPUTED_VALUE"""),34.0)</f>
        <v>34</v>
      </c>
      <c r="G138" s="16">
        <f>IFERROR(__xludf.DUMMYFUNCTION("""COMPUTED_VALUE"""),33.0)</f>
        <v>33</v>
      </c>
      <c r="H138" s="16">
        <f>IFERROR(__xludf.DUMMYFUNCTION("""COMPUTED_VALUE"""),32.0)</f>
        <v>32</v>
      </c>
      <c r="I138" s="16">
        <f>IFERROR(__xludf.DUMMYFUNCTION("""COMPUTED_VALUE"""),1.0)</f>
        <v>1</v>
      </c>
      <c r="J138" s="16">
        <f>IFERROR(__xludf.DUMMYFUNCTION("""COMPUTED_VALUE"""),1.0)</f>
        <v>1</v>
      </c>
      <c r="K138" s="16">
        <f>IFERROR(__xludf.DUMMYFUNCTION("""COMPUTED_VALUE"""),3.0)</f>
        <v>3</v>
      </c>
      <c r="L138" s="16">
        <f>IFERROR(__xludf.DUMMYFUNCTION("""COMPUTED_VALUE"""),3.0)</f>
        <v>3</v>
      </c>
      <c r="M138" s="16">
        <f>IFERROR(__xludf.DUMMYFUNCTION("""COMPUTED_VALUE"""),0.0)</f>
        <v>0</v>
      </c>
      <c r="N138" s="16">
        <f>IFERROR(__xludf.DUMMYFUNCTION("""COMPUTED_VALUE"""),14.0)</f>
        <v>14</v>
      </c>
      <c r="O138" s="16">
        <f>IFERROR(__xludf.DUMMYFUNCTION("""COMPUTED_VALUE"""),3.0)</f>
        <v>3</v>
      </c>
      <c r="P138" s="16">
        <f>IFERROR(__xludf.DUMMYFUNCTION("""COMPUTED_VALUE"""),-2.0)</f>
        <v>-2</v>
      </c>
      <c r="Q138" s="16">
        <f>IFERROR(__xludf.DUMMYFUNCTION("""COMPUTED_VALUE"""),3.0)</f>
        <v>3</v>
      </c>
      <c r="R138" s="16">
        <f>IFERROR(__xludf.DUMMYFUNCTION("""COMPUTED_VALUE"""),-2.0)</f>
        <v>-2</v>
      </c>
      <c r="S138" s="16">
        <f>IFERROR(__xludf.DUMMYFUNCTION("""COMPUTED_VALUE"""),12.3)</f>
        <v>12.3</v>
      </c>
      <c r="T138" s="16">
        <f>IFERROR(__xludf.DUMMYFUNCTION("""COMPUTED_VALUE"""),4.9)</f>
        <v>4.9</v>
      </c>
      <c r="U138" s="16">
        <f>IFERROR(__xludf.DUMMYFUNCTION("""COMPUTED_VALUE"""),1.0)</f>
        <v>1</v>
      </c>
      <c r="V138" s="16">
        <f>IFERROR(__xludf.DUMMYFUNCTION("""COMPUTED_VALUE"""),2.0)</f>
        <v>2</v>
      </c>
      <c r="W138" s="16">
        <f>IFERROR(__xludf.DUMMYFUNCTION("""COMPUTED_VALUE"""),2.0)</f>
        <v>2</v>
      </c>
      <c r="X138" s="16">
        <f>IFERROR(__xludf.DUMMYFUNCTION("""COMPUTED_VALUE"""),4.0)</f>
        <v>4</v>
      </c>
      <c r="Y138" s="16">
        <f>IFERROR(__xludf.DUMMYFUNCTION("""COMPUTED_VALUE"""),12.3)</f>
        <v>12.3</v>
      </c>
      <c r="Z138" s="16">
        <f>IFERROR(__xludf.DUMMYFUNCTION("""COMPUTED_VALUE"""),18.9)</f>
        <v>18.9</v>
      </c>
      <c r="AA138" s="16">
        <f>IFERROR(__xludf.DUMMYFUNCTION("""COMPUTED_VALUE"""),2.0)</f>
        <v>2</v>
      </c>
      <c r="AB138" s="16">
        <f>IFERROR(__xludf.DUMMYFUNCTION("""COMPUTED_VALUE"""),1.0)</f>
        <v>1</v>
      </c>
      <c r="AC138" s="16">
        <f>IFERROR(__xludf.DUMMYFUNCTION("""COMPUTED_VALUE"""),10.0)</f>
        <v>10</v>
      </c>
      <c r="AD138" s="16">
        <f>IFERROR(__xludf.DUMMYFUNCTION("""COMPUTED_VALUE"""),5.0)</f>
        <v>5</v>
      </c>
      <c r="AE138" s="16">
        <f>IFERROR(__xludf.DUMMYFUNCTION("""COMPUTED_VALUE"""),36.5)</f>
        <v>36.5</v>
      </c>
      <c r="AF138" s="16">
        <f>IFERROR(__xludf.DUMMYFUNCTION("""COMPUTED_VALUE"""),12.1)</f>
        <v>12.1</v>
      </c>
      <c r="AG138" s="16">
        <f>IFERROR(__xludf.DUMMYFUNCTION("""COMPUTED_VALUE"""),-1.0)</f>
        <v>-1</v>
      </c>
      <c r="AH138" s="16">
        <f>IFERROR(__xludf.DUMMYFUNCTION("""COMPUTED_VALUE"""),2.0)</f>
        <v>2</v>
      </c>
      <c r="AI138" s="16">
        <f>IFERROR(__xludf.DUMMYFUNCTION("""COMPUTED_VALUE"""),-2.0)</f>
        <v>-2</v>
      </c>
      <c r="AJ138" s="16">
        <f>IFERROR(__xludf.DUMMYFUNCTION("""COMPUTED_VALUE"""),4.0)</f>
        <v>4</v>
      </c>
      <c r="AK138" s="16">
        <f>IFERROR(__xludf.DUMMYFUNCTION("""COMPUTED_VALUE"""),4.300000000000001)</f>
        <v>4.3</v>
      </c>
      <c r="AL138" s="16">
        <f>IFERROR(__xludf.DUMMYFUNCTION("""COMPUTED_VALUE"""),2.5000000000000004)</f>
        <v>2.5</v>
      </c>
      <c r="AM138" s="16">
        <f>IFERROR(__xludf.DUMMYFUNCTION("""COMPUTED_VALUE"""),2.0)</f>
        <v>2</v>
      </c>
      <c r="AN138" s="16">
        <f>IFERROR(__xludf.DUMMYFUNCTION("""COMPUTED_VALUE"""),2.0)</f>
        <v>2</v>
      </c>
      <c r="AO138" s="16">
        <f>IFERROR(__xludf.DUMMYFUNCTION("""COMPUTED_VALUE"""),2.0)</f>
        <v>2</v>
      </c>
      <c r="AP138" s="16">
        <f>IFERROR(__xludf.DUMMYFUNCTION("""COMPUTED_VALUE"""),2.0)</f>
        <v>2</v>
      </c>
      <c r="AQ138" s="16">
        <f>IFERROR(__xludf.DUMMYFUNCTION("""COMPUTED_VALUE"""),4.5)</f>
        <v>4.5</v>
      </c>
      <c r="AR138" s="16">
        <f>IFERROR(__xludf.DUMMYFUNCTION("""COMPUTED_VALUE"""),2.5)</f>
        <v>2.5</v>
      </c>
      <c r="AS138" s="16">
        <f>IFERROR(__xludf.DUMMYFUNCTION("""COMPUTED_VALUE"""),2.0)</f>
        <v>2</v>
      </c>
      <c r="AT138" s="16">
        <f>IFERROR(__xludf.DUMMYFUNCTION("""COMPUTED_VALUE"""),2.0)</f>
        <v>2</v>
      </c>
      <c r="AU138" s="16">
        <f>IFERROR(__xludf.DUMMYFUNCTION("""COMPUTED_VALUE"""),4.0)</f>
        <v>4</v>
      </c>
      <c r="AV138" s="16">
        <f>IFERROR(__xludf.DUMMYFUNCTION("""COMPUTED_VALUE"""),4.0)</f>
        <v>4</v>
      </c>
      <c r="AW138" s="16">
        <f>IFERROR(__xludf.DUMMYFUNCTION("""COMPUTED_VALUE"""),8.0)</f>
        <v>8</v>
      </c>
      <c r="AX138" s="16">
        <f>IFERROR(__xludf.DUMMYFUNCTION("""COMPUTED_VALUE"""),2.4)</f>
        <v>2.4</v>
      </c>
      <c r="AY138" s="16">
        <f>IFERROR(__xludf.DUMMYFUNCTION("""COMPUTED_VALUE"""),-3.0)</f>
        <v>-3</v>
      </c>
      <c r="AZ138" s="16">
        <f>IFERROR(__xludf.DUMMYFUNCTION("""COMPUTED_VALUE"""),0.0)</f>
        <v>0</v>
      </c>
      <c r="BA138" s="16">
        <f>IFERROR(__xludf.DUMMYFUNCTION("""COMPUTED_VALUE"""),-15.0)</f>
        <v>-15</v>
      </c>
      <c r="BB138" s="16">
        <f>IFERROR(__xludf.DUMMYFUNCTION("""COMPUTED_VALUE"""),0.0)</f>
        <v>0</v>
      </c>
      <c r="BC138" s="16">
        <f>IFERROR(__xludf.DUMMYFUNCTION("""COMPUTED_VALUE"""),8.0)</f>
        <v>8</v>
      </c>
      <c r="BD138" s="16"/>
      <c r="BE138" s="16">
        <f>IFERROR(__xludf.DUMMYFUNCTION("""COMPUTED_VALUE"""),8.0)</f>
        <v>8</v>
      </c>
      <c r="BF138" s="16">
        <f>IFERROR(__xludf.DUMMYFUNCTION("""COMPUTED_VALUE"""),4.0)</f>
        <v>4</v>
      </c>
      <c r="BG138" s="16">
        <f>IFERROR(__xludf.DUMMYFUNCTION("""COMPUTED_VALUE"""),-3.0)</f>
        <v>-3</v>
      </c>
      <c r="BH138" s="16">
        <f>IFERROR(__xludf.DUMMYFUNCTION("""COMPUTED_VALUE"""),-1.0)</f>
        <v>-1</v>
      </c>
      <c r="BI138" s="16">
        <f>IFERROR(__xludf.DUMMYFUNCTION("""COMPUTED_VALUE"""),-6.0)</f>
        <v>-6</v>
      </c>
      <c r="BJ138" s="16">
        <f>IFERROR(__xludf.DUMMYFUNCTION("""COMPUTED_VALUE"""),-2.0)</f>
        <v>-2</v>
      </c>
      <c r="BK138" s="16">
        <f>IFERROR(__xludf.DUMMYFUNCTION("""COMPUTED_VALUE"""),5.0)</f>
        <v>5</v>
      </c>
      <c r="BL138" s="16">
        <f>IFERROR(__xludf.DUMMYFUNCTION("""COMPUTED_VALUE"""),0.0)</f>
        <v>0</v>
      </c>
      <c r="BM138" s="16">
        <f>IFERROR(__xludf.DUMMYFUNCTION("""COMPUTED_VALUE"""),0.0)</f>
        <v>0</v>
      </c>
      <c r="BN138" s="16">
        <f>IFERROR(__xludf.DUMMYFUNCTION("""COMPUTED_VALUE"""),1.0)</f>
        <v>1</v>
      </c>
      <c r="BO138" s="16">
        <f>IFERROR(__xludf.DUMMYFUNCTION("""COMPUTED_VALUE"""),0.0)</f>
        <v>0</v>
      </c>
      <c r="BP138" s="16">
        <f>IFERROR(__xludf.DUMMYFUNCTION("""COMPUTED_VALUE"""),1.0)</f>
        <v>1</v>
      </c>
      <c r="BQ138" s="16">
        <f>IFERROR(__xludf.DUMMYFUNCTION("""COMPUTED_VALUE"""),10.0)</f>
        <v>10</v>
      </c>
      <c r="BR138" s="16">
        <f>IFERROR(__xludf.DUMMYFUNCTION("""COMPUTED_VALUE"""),12.0)</f>
        <v>12</v>
      </c>
      <c r="BS138" s="16">
        <f>IFERROR(__xludf.DUMMYFUNCTION("""COMPUTED_VALUE"""),3.0)</f>
        <v>3</v>
      </c>
      <c r="BT138" s="16">
        <f>IFERROR(__xludf.DUMMYFUNCTION("""COMPUTED_VALUE"""),3.0)</f>
        <v>3</v>
      </c>
      <c r="BU138" s="16">
        <f>IFERROR(__xludf.DUMMYFUNCTION("""COMPUTED_VALUE"""),6.0)</f>
        <v>6</v>
      </c>
      <c r="BV138" s="16">
        <f>IFERROR(__xludf.DUMMYFUNCTION("""COMPUTED_VALUE"""),6.0)</f>
        <v>6</v>
      </c>
      <c r="BW138" s="16">
        <f>IFERROR(__xludf.DUMMYFUNCTION("""COMPUTED_VALUE"""),-2.0)</f>
        <v>-2</v>
      </c>
      <c r="BX138" s="16">
        <f>IFERROR(__xludf.DUMMYFUNCTION("""COMPUTED_VALUE"""),-2.0)</f>
        <v>-2</v>
      </c>
      <c r="BY138" s="16" t="str">
        <f>IFERROR(__xludf.DUMMYFUNCTION("""COMPUTED_VALUE"""),"R(1) C(0)")</f>
        <v>R(1) C(0)</v>
      </c>
      <c r="BZ138" s="16" t="str">
        <f>IFERROR(__xludf.DUMMYFUNCTION("""COMPUTED_VALUE"""),"R(1) C(0)")</f>
        <v>R(1) C(0)</v>
      </c>
      <c r="CA138" s="16" t="str">
        <f>IFERROR(__xludf.DUMMYFUNCTION("""COMPUTED_VALUE"""),"R(1)")</f>
        <v>R(1)</v>
      </c>
      <c r="CB138" s="16" t="str">
        <f>IFERROR(__xludf.DUMMYFUNCTION("""COMPUTED_VALUE"""),"C(0)")</f>
        <v>C(0)</v>
      </c>
      <c r="CC138" s="16"/>
      <c r="CD138" s="16"/>
      <c r="CE138" s="16">
        <f>IFERROR(__xludf.DUMMYFUNCTION("""COMPUTED_VALUE"""),1.0)</f>
        <v>1</v>
      </c>
      <c r="CF138" s="16">
        <f>IFERROR(__xludf.DUMMYFUNCTION("""COMPUTED_VALUE"""),0.0)</f>
        <v>0</v>
      </c>
      <c r="CG138" s="16" t="str">
        <f>IFERROR(__xludf.DUMMYFUNCTION("""COMPUTED_VALUE"""),"3-0")</f>
        <v>3-0</v>
      </c>
      <c r="CH138" s="16">
        <f>IFERROR(__xludf.DUMMYFUNCTION("""COMPUTED_VALUE"""),3.0)</f>
        <v>3</v>
      </c>
      <c r="CI138" s="16">
        <f>IFERROR(__xludf.DUMMYFUNCTION("""COMPUTED_VALUE"""),0.0)</f>
        <v>0</v>
      </c>
      <c r="CJ138" s="16">
        <f>IFERROR(__xludf.DUMMYFUNCTION("""COMPUTED_VALUE"""),0.0)</f>
        <v>0</v>
      </c>
      <c r="CK138" s="16">
        <f>IFERROR(__xludf.DUMMYFUNCTION("""COMPUTED_VALUE"""),0.0)</f>
        <v>0</v>
      </c>
      <c r="CL138" s="16" t="str">
        <f>IFERROR(__xludf.DUMMYFUNCTION("""COMPUTED_VALUE"""),"1WL-C")</f>
        <v>1WL-C</v>
      </c>
      <c r="CM138" s="16" t="str">
        <f>IFERROR(__xludf.DUMMYFUNCTION("""COMPUTED_VALUE"""),"E")</f>
        <v>E</v>
      </c>
      <c r="CN138" s="16">
        <f>IFERROR(__xludf.DUMMYFUNCTION("""COMPUTED_VALUE"""),10.0)</f>
        <v>10</v>
      </c>
      <c r="CO138" s="16" t="str">
        <f>IFERROR(__xludf.DUMMYFUNCTION("""COMPUTED_VALUE"""),"C")</f>
        <v>C</v>
      </c>
      <c r="CP138" s="16" t="str">
        <f>IFERROR(__xludf.DUMMYFUNCTION("""COMPUTED_VALUE"""),"5p30")</f>
        <v>5p30</v>
      </c>
      <c r="CQ138" s="16">
        <f>IFERROR(__xludf.DUMMYFUNCTION("""COMPUTED_VALUE"""),7.0)</f>
        <v>7</v>
      </c>
      <c r="CR138" s="16">
        <f>IFERROR(__xludf.DUMMYFUNCTION("""COMPUTED_VALUE"""),25.0)</f>
        <v>25</v>
      </c>
      <c r="CS138" s="16">
        <f>IFERROR(__xludf.DUMMYFUNCTION("""COMPUTED_VALUE"""),32.0)</f>
        <v>32</v>
      </c>
      <c r="CT138" s="16">
        <f>IFERROR(__xludf.DUMMYFUNCTION("""COMPUTED_VALUE"""),7.0)</f>
        <v>7</v>
      </c>
      <c r="CU138" s="16">
        <f>IFERROR(__xludf.DUMMYFUNCTION("""COMPUTED_VALUE"""),25.0)</f>
        <v>25</v>
      </c>
      <c r="CV138" s="179">
        <f>IFERROR(__xludf.DUMMYFUNCTION("""COMPUTED_VALUE"""),15.0)</f>
        <v>15</v>
      </c>
      <c r="CW138" s="179">
        <f>IFERROR(__xludf.DUMMYFUNCTION("""COMPUTED_VALUE"""),0.0)</f>
        <v>0</v>
      </c>
      <c r="CX138" s="179">
        <f>IFERROR(__xludf.DUMMYFUNCTION("""COMPUTED_VALUE"""),2.0)</f>
        <v>2</v>
      </c>
      <c r="CY138" s="16" t="str">
        <f>IFERROR(__xludf.DUMMYFUNCTION("""COMPUTED_VALUE"""),"RP")</f>
        <v>RP</v>
      </c>
      <c r="CZ138" s="16" t="str">
        <f>IFERROR(__xludf.DUMMYFUNCTION("""COMPUTED_VALUE"""),"CP")</f>
        <v>CP</v>
      </c>
      <c r="DA138" s="16"/>
      <c r="DB138" s="16"/>
      <c r="DC138" s="16"/>
      <c r="DD138" s="16"/>
      <c r="DE138" s="16"/>
      <c r="DF138" s="16"/>
      <c r="DG138" s="16"/>
      <c r="DH138" s="16"/>
      <c r="DI138" s="16"/>
      <c r="DJ138" s="16"/>
      <c r="DK138" s="16"/>
    </row>
    <row r="139">
      <c r="A139" s="16">
        <f>IFERROR(__xludf.DUMMYFUNCTION("""COMPUTED_VALUE"""),12692.0)</f>
        <v>12692</v>
      </c>
      <c r="B139" s="16" t="str">
        <f>IFERROR(__xludf.DUMMYFUNCTION("""COMPUTED_VALUE"""),"Clay Holmes")</f>
        <v>Clay Holmes</v>
      </c>
      <c r="C139" s="153">
        <f>IFERROR(__xludf.DUMMYFUNCTION("""COMPUTED_VALUE"""),0.53)</f>
        <v>0.53</v>
      </c>
      <c r="D139" s="16"/>
      <c r="E139" s="16" t="str">
        <f>IFERROR(__xludf.DUMMYFUNCTION("""COMPUTED_VALUE"""),"R")</f>
        <v>R</v>
      </c>
      <c r="F139" s="16">
        <f>IFERROR(__xludf.DUMMYFUNCTION("""COMPUTED_VALUE"""),63.0)</f>
        <v>63</v>
      </c>
      <c r="G139" s="16">
        <f>IFERROR(__xludf.DUMMYFUNCTION("""COMPUTED_VALUE"""),17.0)</f>
        <v>17</v>
      </c>
      <c r="H139" s="16">
        <f>IFERROR(__xludf.DUMMYFUNCTION("""COMPUTED_VALUE"""),45.0)</f>
        <v>45</v>
      </c>
      <c r="I139" s="16">
        <f>IFERROR(__xludf.DUMMYFUNCTION("""COMPUTED_VALUE"""),-1.0)</f>
        <v>-1</v>
      </c>
      <c r="J139" s="16">
        <f>IFERROR(__xludf.DUMMYFUNCTION("""COMPUTED_VALUE"""),2.0)</f>
        <v>2</v>
      </c>
      <c r="K139" s="16">
        <f>IFERROR(__xludf.DUMMYFUNCTION("""COMPUTED_VALUE"""),-3.0)</f>
        <v>-3</v>
      </c>
      <c r="L139" s="16">
        <f>IFERROR(__xludf.DUMMYFUNCTION("""COMPUTED_VALUE"""),6.0)</f>
        <v>6</v>
      </c>
      <c r="M139" s="16">
        <f>IFERROR(__xludf.DUMMYFUNCTION("""COMPUTED_VALUE"""),8.0)</f>
        <v>8</v>
      </c>
      <c r="N139" s="16">
        <f>IFERROR(__xludf.DUMMYFUNCTION("""COMPUTED_VALUE"""),9.0)</f>
        <v>9</v>
      </c>
      <c r="O139" s="16">
        <f>IFERROR(__xludf.DUMMYFUNCTION("""COMPUTED_VALUE"""),0.0)</f>
        <v>0</v>
      </c>
      <c r="P139" s="16">
        <f>IFERROR(__xludf.DUMMYFUNCTION("""COMPUTED_VALUE"""),0.0)</f>
        <v>0</v>
      </c>
      <c r="Q139" s="16">
        <f>IFERROR(__xludf.DUMMYFUNCTION("""COMPUTED_VALUE"""),0.0)</f>
        <v>0</v>
      </c>
      <c r="R139" s="16">
        <f>IFERROR(__xludf.DUMMYFUNCTION("""COMPUTED_VALUE"""),0.0)</f>
        <v>0</v>
      </c>
      <c r="S139" s="16">
        <f>IFERROR(__xludf.DUMMYFUNCTION("""COMPUTED_VALUE"""),21.1)</f>
        <v>21.1</v>
      </c>
      <c r="T139" s="16">
        <f>IFERROR(__xludf.DUMMYFUNCTION("""COMPUTED_VALUE"""),17.4)</f>
        <v>17.4</v>
      </c>
      <c r="U139" s="16">
        <f>IFERROR(__xludf.DUMMYFUNCTION("""COMPUTED_VALUE"""),-1.0)</f>
        <v>-1</v>
      </c>
      <c r="V139" s="16">
        <f>IFERROR(__xludf.DUMMYFUNCTION("""COMPUTED_VALUE"""),0.0)</f>
        <v>0</v>
      </c>
      <c r="W139" s="16">
        <f>IFERROR(__xludf.DUMMYFUNCTION("""COMPUTED_VALUE"""),-2.0)</f>
        <v>-2</v>
      </c>
      <c r="X139" s="16">
        <f>IFERROR(__xludf.DUMMYFUNCTION("""COMPUTED_VALUE"""),0.0)</f>
        <v>0</v>
      </c>
      <c r="Y139" s="16">
        <f>IFERROR(__xludf.DUMMYFUNCTION("""COMPUTED_VALUE"""),29.1)</f>
        <v>29.1</v>
      </c>
      <c r="Z139" s="16">
        <f>IFERROR(__xludf.DUMMYFUNCTION("""COMPUTED_VALUE"""),26.3)</f>
        <v>26.3</v>
      </c>
      <c r="AA139" s="16">
        <f>IFERROR(__xludf.DUMMYFUNCTION("""COMPUTED_VALUE"""),0.0)</f>
        <v>0</v>
      </c>
      <c r="AB139" s="16">
        <f>IFERROR(__xludf.DUMMYFUNCTION("""COMPUTED_VALUE"""),0.0)</f>
        <v>0</v>
      </c>
      <c r="AC139" s="16">
        <f>IFERROR(__xludf.DUMMYFUNCTION("""COMPUTED_VALUE"""),0.0)</f>
        <v>0</v>
      </c>
      <c r="AD139" s="16">
        <f>IFERROR(__xludf.DUMMYFUNCTION("""COMPUTED_VALUE"""),0.0)</f>
        <v>0</v>
      </c>
      <c r="AE139" s="16">
        <f>IFERROR(__xludf.DUMMYFUNCTION("""COMPUTED_VALUE"""),21.3)</f>
        <v>21.3</v>
      </c>
      <c r="AF139" s="16">
        <f>IFERROR(__xludf.DUMMYFUNCTION("""COMPUTED_VALUE"""),28.0)</f>
        <v>28</v>
      </c>
      <c r="AG139" s="16">
        <f>IFERROR(__xludf.DUMMYFUNCTION("""COMPUTED_VALUE"""),1.0)</f>
        <v>1</v>
      </c>
      <c r="AH139" s="16">
        <f>IFERROR(__xludf.DUMMYFUNCTION("""COMPUTED_VALUE"""),0.0)</f>
        <v>0</v>
      </c>
      <c r="AI139" s="16">
        <f>IFERROR(__xludf.DUMMYFUNCTION("""COMPUTED_VALUE"""),2.0)</f>
        <v>2</v>
      </c>
      <c r="AJ139" s="16">
        <f>IFERROR(__xludf.DUMMYFUNCTION("""COMPUTED_VALUE"""),0.0)</f>
        <v>0</v>
      </c>
      <c r="AK139" s="16">
        <f>IFERROR(__xludf.DUMMYFUNCTION("""COMPUTED_VALUE"""),21.1)</f>
        <v>21.1</v>
      </c>
      <c r="AL139" s="16">
        <f>IFERROR(__xludf.DUMMYFUNCTION("""COMPUTED_VALUE"""),17.2)</f>
        <v>17.2</v>
      </c>
      <c r="AM139" s="16">
        <f>IFERROR(__xludf.DUMMYFUNCTION("""COMPUTED_VALUE"""),-1.0)</f>
        <v>-1</v>
      </c>
      <c r="AN139" s="16">
        <f>IFERROR(__xludf.DUMMYFUNCTION("""COMPUTED_VALUE"""),-1.0)</f>
        <v>-1</v>
      </c>
      <c r="AO139" s="16">
        <f>IFERROR(__xludf.DUMMYFUNCTION("""COMPUTED_VALUE"""),-1.0)</f>
        <v>-1</v>
      </c>
      <c r="AP139" s="16">
        <f>IFERROR(__xludf.DUMMYFUNCTION("""COMPUTED_VALUE"""),-1.0)</f>
        <v>-1</v>
      </c>
      <c r="AQ139" s="16">
        <f>IFERROR(__xludf.DUMMYFUNCTION("""COMPUTED_VALUE"""),21.3)</f>
        <v>21.3</v>
      </c>
      <c r="AR139" s="16">
        <f>IFERROR(__xludf.DUMMYFUNCTION("""COMPUTED_VALUE"""),27.2)</f>
        <v>27.2</v>
      </c>
      <c r="AS139" s="16">
        <f>IFERROR(__xludf.DUMMYFUNCTION("""COMPUTED_VALUE"""),0.0)</f>
        <v>0</v>
      </c>
      <c r="AT139" s="16">
        <f>IFERROR(__xludf.DUMMYFUNCTION("""COMPUTED_VALUE"""),-1.0)</f>
        <v>-1</v>
      </c>
      <c r="AU139" s="16">
        <f>IFERROR(__xludf.DUMMYFUNCTION("""COMPUTED_VALUE"""),0.0)</f>
        <v>0</v>
      </c>
      <c r="AV139" s="16">
        <f>IFERROR(__xludf.DUMMYFUNCTION("""COMPUTED_VALUE"""),-2.0)</f>
        <v>-2</v>
      </c>
      <c r="AW139" s="16">
        <f>IFERROR(__xludf.DUMMYFUNCTION("""COMPUTED_VALUE"""),0.0)</f>
        <v>0</v>
      </c>
      <c r="AX139" s="16">
        <f>IFERROR(__xludf.DUMMYFUNCTION("""COMPUTED_VALUE"""),0.2)</f>
        <v>0.2</v>
      </c>
      <c r="AY139" s="16">
        <f>IFERROR(__xludf.DUMMYFUNCTION("""COMPUTED_VALUE"""),2.0)</f>
        <v>2</v>
      </c>
      <c r="AZ139" s="16">
        <f>IFERROR(__xludf.DUMMYFUNCTION("""COMPUTED_VALUE"""),2.0)</f>
        <v>2</v>
      </c>
      <c r="BA139" s="16">
        <f>IFERROR(__xludf.DUMMYFUNCTION("""COMPUTED_VALUE"""),10.0)</f>
        <v>10</v>
      </c>
      <c r="BB139" s="16">
        <f>IFERROR(__xludf.DUMMYFUNCTION("""COMPUTED_VALUE"""),10.0)</f>
        <v>10</v>
      </c>
      <c r="BC139" s="16">
        <f>IFERROR(__xludf.DUMMYFUNCTION("""COMPUTED_VALUE"""),0.0)</f>
        <v>0</v>
      </c>
      <c r="BD139" s="16">
        <f>IFERROR(__xludf.DUMMYFUNCTION("""COMPUTED_VALUE"""),0.0)</f>
        <v>0</v>
      </c>
      <c r="BE139" s="16">
        <f>IFERROR(__xludf.DUMMYFUNCTION("""COMPUTED_VALUE"""),0.0)</f>
        <v>0</v>
      </c>
      <c r="BF139" s="16">
        <f>IFERROR(__xludf.DUMMYFUNCTION("""COMPUTED_VALUE"""),0.0)</f>
        <v>0</v>
      </c>
      <c r="BG139" s="16">
        <f>IFERROR(__xludf.DUMMYFUNCTION("""COMPUTED_VALUE"""),3.0)</f>
        <v>3</v>
      </c>
      <c r="BH139" s="16">
        <f>IFERROR(__xludf.DUMMYFUNCTION("""COMPUTED_VALUE"""),2.0)</f>
        <v>2</v>
      </c>
      <c r="BI139" s="16">
        <f>IFERROR(__xludf.DUMMYFUNCTION("""COMPUTED_VALUE"""),6.0)</f>
        <v>6</v>
      </c>
      <c r="BJ139" s="16">
        <f>IFERROR(__xludf.DUMMYFUNCTION("""COMPUTED_VALUE"""),4.0)</f>
        <v>4</v>
      </c>
      <c r="BK139" s="16">
        <f>IFERROR(__xludf.DUMMYFUNCTION("""COMPUTED_VALUE"""),5.0)</f>
        <v>5</v>
      </c>
      <c r="BL139" s="16">
        <f>IFERROR(__xludf.DUMMYFUNCTION("""COMPUTED_VALUE"""),5.0)</f>
        <v>5</v>
      </c>
      <c r="BM139" s="16">
        <f>IFERROR(__xludf.DUMMYFUNCTION("""COMPUTED_VALUE"""),0.0)</f>
        <v>0</v>
      </c>
      <c r="BN139" s="16">
        <f>IFERROR(__xludf.DUMMYFUNCTION("""COMPUTED_VALUE"""),0.0)</f>
        <v>0</v>
      </c>
      <c r="BO139" s="16">
        <f>IFERROR(__xludf.DUMMYFUNCTION("""COMPUTED_VALUE"""),0.0)</f>
        <v>0</v>
      </c>
      <c r="BP139" s="16">
        <f>IFERROR(__xludf.DUMMYFUNCTION("""COMPUTED_VALUE"""),0.0)</f>
        <v>0</v>
      </c>
      <c r="BQ139" s="16">
        <f>IFERROR(__xludf.DUMMYFUNCTION("""COMPUTED_VALUE"""),3.0)</f>
        <v>3</v>
      </c>
      <c r="BR139" s="16">
        <f>IFERROR(__xludf.DUMMYFUNCTION("""COMPUTED_VALUE"""),1.0)</f>
        <v>1</v>
      </c>
      <c r="BS139" s="16">
        <f>IFERROR(__xludf.DUMMYFUNCTION("""COMPUTED_VALUE"""),-1.0)</f>
        <v>-1</v>
      </c>
      <c r="BT139" s="16">
        <f>IFERROR(__xludf.DUMMYFUNCTION("""COMPUTED_VALUE"""),-2.0)</f>
        <v>-2</v>
      </c>
      <c r="BU139" s="16">
        <f>IFERROR(__xludf.DUMMYFUNCTION("""COMPUTED_VALUE"""),-2.0)</f>
        <v>-2</v>
      </c>
      <c r="BV139" s="16">
        <f>IFERROR(__xludf.DUMMYFUNCTION("""COMPUTED_VALUE"""),-4.0)</f>
        <v>-4</v>
      </c>
      <c r="BW139" s="16">
        <f>IFERROR(__xludf.DUMMYFUNCTION("""COMPUTED_VALUE"""),-1.0)</f>
        <v>-1</v>
      </c>
      <c r="BX139" s="16">
        <f>IFERROR(__xludf.DUMMYFUNCTION("""COMPUTED_VALUE"""),-1.0)</f>
        <v>-1</v>
      </c>
      <c r="BY139" s="16" t="str">
        <f>IFERROR(__xludf.DUMMYFUNCTION("""COMPUTED_VALUE"""),"R(1) C(5)")</f>
        <v>R(1) C(5)</v>
      </c>
      <c r="BZ139" s="16" t="str">
        <f>IFERROR(__xludf.DUMMYFUNCTION("""COMPUTED_VALUE"""),"R(1) C(5)")</f>
        <v>R(1) C(5)</v>
      </c>
      <c r="CA139" s="16" t="str">
        <f>IFERROR(__xludf.DUMMYFUNCTION("""COMPUTED_VALUE"""),"R(1)")</f>
        <v>R(1)</v>
      </c>
      <c r="CB139" s="16" t="str">
        <f>IFERROR(__xludf.DUMMYFUNCTION("""COMPUTED_VALUE"""),"C(5)")</f>
        <v>C(5)</v>
      </c>
      <c r="CC139" s="16"/>
      <c r="CD139" s="16"/>
      <c r="CE139" s="16">
        <f>IFERROR(__xludf.DUMMYFUNCTION("""COMPUTED_VALUE"""),1.0)</f>
        <v>1</v>
      </c>
      <c r="CF139" s="16">
        <f>IFERROR(__xludf.DUMMYFUNCTION("""COMPUTED_VALUE"""),5.0)</f>
        <v>5</v>
      </c>
      <c r="CG139" s="16" t="str">
        <f>IFERROR(__xludf.DUMMYFUNCTION("""COMPUTED_VALUE"""),"4-0")</f>
        <v>4-0</v>
      </c>
      <c r="CH139" s="16">
        <f>IFERROR(__xludf.DUMMYFUNCTION("""COMPUTED_VALUE"""),4.0)</f>
        <v>4</v>
      </c>
      <c r="CI139" s="16">
        <f>IFERROR(__xludf.DUMMYFUNCTION("""COMPUTED_VALUE"""),0.0)</f>
        <v>0</v>
      </c>
      <c r="CJ139" s="16">
        <f>IFERROR(__xludf.DUMMYFUNCTION("""COMPUTED_VALUE"""),0.0)</f>
        <v>0</v>
      </c>
      <c r="CK139" s="16">
        <f>IFERROR(__xludf.DUMMYFUNCTION("""COMPUTED_VALUE"""),14.0)</f>
        <v>14</v>
      </c>
      <c r="CL139" s="16" t="str">
        <f>IFERROR(__xludf.DUMMYFUNCTION("""COMPUTED_VALUE"""),"1WR-C")</f>
        <v>1WR-C</v>
      </c>
      <c r="CM139" s="16" t="str">
        <f>IFERROR(__xludf.DUMMYFUNCTION("""COMPUTED_VALUE"""),"E")</f>
        <v>E</v>
      </c>
      <c r="CN139" s="16">
        <f>IFERROR(__xludf.DUMMYFUNCTION("""COMPUTED_VALUE"""),10.0)</f>
        <v>10</v>
      </c>
      <c r="CO139" s="16" t="str">
        <f>IFERROR(__xludf.DUMMYFUNCTION("""COMPUTED_VALUE"""),"C")</f>
        <v>C</v>
      </c>
      <c r="CP139" s="16" t="str">
        <f>IFERROR(__xludf.DUMMYFUNCTION("""COMPUTED_VALUE"""),"1p50")</f>
        <v>1p50</v>
      </c>
      <c r="CQ139" s="16">
        <f>IFERROR(__xludf.DUMMYFUNCTION("""COMPUTED_VALUE"""),10.0)</f>
        <v>10</v>
      </c>
      <c r="CR139" s="16">
        <f>IFERROR(__xludf.DUMMYFUNCTION("""COMPUTED_VALUE"""),13.0)</f>
        <v>13</v>
      </c>
      <c r="CS139" s="16">
        <f>IFERROR(__xludf.DUMMYFUNCTION("""COMPUTED_VALUE"""),23.0)</f>
        <v>23</v>
      </c>
      <c r="CT139" s="16">
        <f>IFERROR(__xludf.DUMMYFUNCTION("""COMPUTED_VALUE"""),10.0)</f>
        <v>10</v>
      </c>
      <c r="CU139" s="16">
        <f>IFERROR(__xludf.DUMMYFUNCTION("""COMPUTED_VALUE"""),13.0)</f>
        <v>13</v>
      </c>
      <c r="CV139" s="179">
        <f>IFERROR(__xludf.DUMMYFUNCTION("""COMPUTED_VALUE"""),15.0)</f>
        <v>15</v>
      </c>
      <c r="CW139" s="179">
        <f>IFERROR(__xludf.DUMMYFUNCTION("""COMPUTED_VALUE"""),4.0)</f>
        <v>4</v>
      </c>
      <c r="CX139" s="179">
        <f>IFERROR(__xludf.DUMMYFUNCTION("""COMPUTED_VALUE"""),0.0)</f>
        <v>0</v>
      </c>
      <c r="CY139" s="16" t="str">
        <f>IFERROR(__xludf.DUMMYFUNCTION("""COMPUTED_VALUE"""),"RP")</f>
        <v>RP</v>
      </c>
      <c r="CZ139" s="16" t="str">
        <f>IFERROR(__xludf.DUMMYFUNCTION("""COMPUTED_VALUE"""),"CP")</f>
        <v>CP</v>
      </c>
      <c r="DA139" s="16"/>
      <c r="DB139" s="16"/>
      <c r="DC139" s="16"/>
      <c r="DD139" s="16"/>
      <c r="DE139" s="16"/>
      <c r="DF139" s="16"/>
      <c r="DG139" s="16"/>
      <c r="DH139" s="16"/>
      <c r="DI139" s="16"/>
      <c r="DJ139" s="16"/>
      <c r="DK139" s="16"/>
    </row>
    <row r="140">
      <c r="A140" s="16">
        <f>IFERROR(__xludf.DUMMYFUNCTION("""COMPUTED_VALUE"""),13014.0)</f>
        <v>13014</v>
      </c>
      <c r="B140" s="16" t="str">
        <f>IFERROR(__xludf.DUMMYFUNCTION("""COMPUTED_VALUE"""),"Jose Berrios")</f>
        <v>Jose Berrios</v>
      </c>
      <c r="C140" s="153">
        <f>IFERROR(__xludf.DUMMYFUNCTION("""COMPUTED_VALUE"""),1.03)</f>
        <v>1.03</v>
      </c>
      <c r="D140" s="16"/>
      <c r="E140" s="16" t="str">
        <f>IFERROR(__xludf.DUMMYFUNCTION("""COMPUTED_VALUE"""),"R")</f>
        <v>R</v>
      </c>
      <c r="F140" s="16">
        <f>IFERROR(__xludf.DUMMYFUNCTION("""COMPUTED_VALUE"""),192.0)</f>
        <v>192</v>
      </c>
      <c r="G140" s="16">
        <f>IFERROR(__xludf.DUMMYFUNCTION("""COMPUTED_VALUE"""),21.0)</f>
        <v>21</v>
      </c>
      <c r="H140" s="16">
        <f>IFERROR(__xludf.DUMMYFUNCTION("""COMPUTED_VALUE"""),15.0)</f>
        <v>15</v>
      </c>
      <c r="I140" s="16">
        <f>IFERROR(__xludf.DUMMYFUNCTION("""COMPUTED_VALUE"""),-1.0)</f>
        <v>-1</v>
      </c>
      <c r="J140" s="16">
        <f>IFERROR(__xludf.DUMMYFUNCTION("""COMPUTED_VALUE"""),-2.0)</f>
        <v>-2</v>
      </c>
      <c r="K140" s="16">
        <f>IFERROR(__xludf.DUMMYFUNCTION("""COMPUTED_VALUE"""),-3.0)</f>
        <v>-3</v>
      </c>
      <c r="L140" s="16">
        <f>IFERROR(__xludf.DUMMYFUNCTION("""COMPUTED_VALUE"""),-6.0)</f>
        <v>-6</v>
      </c>
      <c r="M140" s="16">
        <f>IFERROR(__xludf.DUMMYFUNCTION("""COMPUTED_VALUE"""),9.0)</f>
        <v>9</v>
      </c>
      <c r="N140" s="16">
        <f>IFERROR(__xludf.DUMMYFUNCTION("""COMPUTED_VALUE"""),3.0)</f>
        <v>3</v>
      </c>
      <c r="O140" s="16">
        <f>IFERROR(__xludf.DUMMYFUNCTION("""COMPUTED_VALUE"""),0.0)</f>
        <v>0</v>
      </c>
      <c r="P140" s="16">
        <f>IFERROR(__xludf.DUMMYFUNCTION("""COMPUTED_VALUE"""),2.0)</f>
        <v>2</v>
      </c>
      <c r="Q140" s="16">
        <f>IFERROR(__xludf.DUMMYFUNCTION("""COMPUTED_VALUE"""),0.0)</f>
        <v>0</v>
      </c>
      <c r="R140" s="16">
        <f>IFERROR(__xludf.DUMMYFUNCTION("""COMPUTED_VALUE"""),2.0)</f>
        <v>2</v>
      </c>
      <c r="S140" s="16">
        <f>IFERROR(__xludf.DUMMYFUNCTION("""COMPUTED_VALUE"""),7.1)</f>
        <v>7.1</v>
      </c>
      <c r="T140" s="16">
        <f>IFERROR(__xludf.DUMMYFUNCTION("""COMPUTED_VALUE"""),18.1)</f>
        <v>18.1</v>
      </c>
      <c r="U140" s="16">
        <f>IFERROR(__xludf.DUMMYFUNCTION("""COMPUTED_VALUE"""),1.0)</f>
        <v>1</v>
      </c>
      <c r="V140" s="16">
        <f>IFERROR(__xludf.DUMMYFUNCTION("""COMPUTED_VALUE"""),0.0)</f>
        <v>0</v>
      </c>
      <c r="W140" s="16">
        <f>IFERROR(__xludf.DUMMYFUNCTION("""COMPUTED_VALUE"""),2.0)</f>
        <v>2</v>
      </c>
      <c r="X140" s="16">
        <f>IFERROR(__xludf.DUMMYFUNCTION("""COMPUTED_VALUE"""),0.0)</f>
        <v>0</v>
      </c>
      <c r="Y140" s="16">
        <f>IFERROR(__xludf.DUMMYFUNCTION("""COMPUTED_VALUE"""),16.1)</f>
        <v>16.1</v>
      </c>
      <c r="Z140" s="16">
        <f>IFERROR(__xludf.DUMMYFUNCTION("""COMPUTED_VALUE"""),21.1)</f>
        <v>21.1</v>
      </c>
      <c r="AA140" s="16">
        <f>IFERROR(__xludf.DUMMYFUNCTION("""COMPUTED_VALUE"""),1.0)</f>
        <v>1</v>
      </c>
      <c r="AB140" s="16">
        <f>IFERROR(__xludf.DUMMYFUNCTION("""COMPUTED_VALUE"""),1.0)</f>
        <v>1</v>
      </c>
      <c r="AC140" s="16">
        <f>IFERROR(__xludf.DUMMYFUNCTION("""COMPUTED_VALUE"""),5.0)</f>
        <v>5</v>
      </c>
      <c r="AD140" s="16">
        <f>IFERROR(__xludf.DUMMYFUNCTION("""COMPUTED_VALUE"""),5.0)</f>
        <v>5</v>
      </c>
      <c r="AE140" s="16">
        <f>IFERROR(__xludf.DUMMYFUNCTION("""COMPUTED_VALUE"""),20.3)</f>
        <v>20.3</v>
      </c>
      <c r="AF140" s="16">
        <f>IFERROR(__xludf.DUMMYFUNCTION("""COMPUTED_VALUE"""),27.5)</f>
        <v>27.5</v>
      </c>
      <c r="AG140" s="16">
        <f>IFERROR(__xludf.DUMMYFUNCTION("""COMPUTED_VALUE"""),1.0)</f>
        <v>1</v>
      </c>
      <c r="AH140" s="16">
        <f>IFERROR(__xludf.DUMMYFUNCTION("""COMPUTED_VALUE"""),0.0)</f>
        <v>0</v>
      </c>
      <c r="AI140" s="16">
        <f>IFERROR(__xludf.DUMMYFUNCTION("""COMPUTED_VALUE"""),2.0)</f>
        <v>2</v>
      </c>
      <c r="AJ140" s="16">
        <f>IFERROR(__xludf.DUMMYFUNCTION("""COMPUTED_VALUE"""),0.0)</f>
        <v>0</v>
      </c>
      <c r="AK140" s="16">
        <f>IFERROR(__xludf.DUMMYFUNCTION("""COMPUTED_VALUE"""),3.8999999999999995)</f>
        <v>3.9</v>
      </c>
      <c r="AL140" s="16">
        <f>IFERROR(__xludf.DUMMYFUNCTION("""COMPUTED_VALUE"""),15.700000000000001)</f>
        <v>15.7</v>
      </c>
      <c r="AM140" s="16">
        <f>IFERROR(__xludf.DUMMYFUNCTION("""COMPUTED_VALUE"""),2.0)</f>
        <v>2</v>
      </c>
      <c r="AN140" s="16">
        <f>IFERROR(__xludf.DUMMYFUNCTION("""COMPUTED_VALUE"""),0.0)</f>
        <v>0</v>
      </c>
      <c r="AO140" s="16">
        <f>IFERROR(__xludf.DUMMYFUNCTION("""COMPUTED_VALUE"""),2.0)</f>
        <v>2</v>
      </c>
      <c r="AP140" s="16">
        <f>IFERROR(__xludf.DUMMYFUNCTION("""COMPUTED_VALUE"""),0.0)</f>
        <v>0</v>
      </c>
      <c r="AQ140" s="16">
        <f>IFERROR(__xludf.DUMMYFUNCTION("""COMPUTED_VALUE"""),7.5)</f>
        <v>7.5</v>
      </c>
      <c r="AR140" s="16">
        <f>IFERROR(__xludf.DUMMYFUNCTION("""COMPUTED_VALUE"""),17.9)</f>
        <v>17.9</v>
      </c>
      <c r="AS140" s="16">
        <f>IFERROR(__xludf.DUMMYFUNCTION("""COMPUTED_VALUE"""),1.0)</f>
        <v>1</v>
      </c>
      <c r="AT140" s="16">
        <f>IFERROR(__xludf.DUMMYFUNCTION("""COMPUTED_VALUE"""),0.0)</f>
        <v>0</v>
      </c>
      <c r="AU140" s="16">
        <f>IFERROR(__xludf.DUMMYFUNCTION("""COMPUTED_VALUE"""),2.0)</f>
        <v>2</v>
      </c>
      <c r="AV140" s="16">
        <f>IFERROR(__xludf.DUMMYFUNCTION("""COMPUTED_VALUE"""),0.0)</f>
        <v>0</v>
      </c>
      <c r="AW140" s="16">
        <f>IFERROR(__xludf.DUMMYFUNCTION("""COMPUTED_VALUE"""),3.2)</f>
        <v>3.2</v>
      </c>
      <c r="AX140" s="16">
        <f>IFERROR(__xludf.DUMMYFUNCTION("""COMPUTED_VALUE"""),2.4)</f>
        <v>2.4</v>
      </c>
      <c r="AY140" s="16">
        <f>IFERROR(__xludf.DUMMYFUNCTION("""COMPUTED_VALUE"""),-1.0)</f>
        <v>-1</v>
      </c>
      <c r="AZ140" s="16">
        <f>IFERROR(__xludf.DUMMYFUNCTION("""COMPUTED_VALUE"""),0.0)</f>
        <v>0</v>
      </c>
      <c r="BA140" s="16">
        <f>IFERROR(__xludf.DUMMYFUNCTION("""COMPUTED_VALUE"""),-5.0)</f>
        <v>-5</v>
      </c>
      <c r="BB140" s="16">
        <f>IFERROR(__xludf.DUMMYFUNCTION("""COMPUTED_VALUE"""),0.0)</f>
        <v>0</v>
      </c>
      <c r="BC140" s="16">
        <f>IFERROR(__xludf.DUMMYFUNCTION("""COMPUTED_VALUE"""),6.0)</f>
        <v>6</v>
      </c>
      <c r="BD140" s="16">
        <f>IFERROR(__xludf.DUMMYFUNCTION("""COMPUTED_VALUE"""),3.0)</f>
        <v>3</v>
      </c>
      <c r="BE140" s="16">
        <f>IFERROR(__xludf.DUMMYFUNCTION("""COMPUTED_VALUE"""),6.0)</f>
        <v>6</v>
      </c>
      <c r="BF140" s="16">
        <f>IFERROR(__xludf.DUMMYFUNCTION("""COMPUTED_VALUE"""),3.0)</f>
        <v>3</v>
      </c>
      <c r="BG140" s="16">
        <f>IFERROR(__xludf.DUMMYFUNCTION("""COMPUTED_VALUE"""),-3.0)</f>
        <v>-3</v>
      </c>
      <c r="BH140" s="16">
        <f>IFERROR(__xludf.DUMMYFUNCTION("""COMPUTED_VALUE"""),0.0)</f>
        <v>0</v>
      </c>
      <c r="BI140" s="16">
        <f>IFERROR(__xludf.DUMMYFUNCTION("""COMPUTED_VALUE"""),-6.0)</f>
        <v>-6</v>
      </c>
      <c r="BJ140" s="16">
        <f>IFERROR(__xludf.DUMMYFUNCTION("""COMPUTED_VALUE"""),0.0)</f>
        <v>0</v>
      </c>
      <c r="BK140" s="16">
        <f>IFERROR(__xludf.DUMMYFUNCTION("""COMPUTED_VALUE"""),5.0)</f>
        <v>5</v>
      </c>
      <c r="BL140" s="16">
        <f>IFERROR(__xludf.DUMMYFUNCTION("""COMPUTED_VALUE"""),5.0)</f>
        <v>5</v>
      </c>
      <c r="BM140" s="16">
        <f>IFERROR(__xludf.DUMMYFUNCTION("""COMPUTED_VALUE"""),0.0)</f>
        <v>0</v>
      </c>
      <c r="BN140" s="16">
        <f>IFERROR(__xludf.DUMMYFUNCTION("""COMPUTED_VALUE"""),0.0)</f>
        <v>0</v>
      </c>
      <c r="BO140" s="16">
        <f>IFERROR(__xludf.DUMMYFUNCTION("""COMPUTED_VALUE"""),0.0)</f>
        <v>0</v>
      </c>
      <c r="BP140" s="16">
        <f>IFERROR(__xludf.DUMMYFUNCTION("""COMPUTED_VALUE"""),0.0)</f>
        <v>0</v>
      </c>
      <c r="BQ140" s="16">
        <f>IFERROR(__xludf.DUMMYFUNCTION("""COMPUTED_VALUE"""),12.0)</f>
        <v>12</v>
      </c>
      <c r="BR140" s="16">
        <f>IFERROR(__xludf.DUMMYFUNCTION("""COMPUTED_VALUE"""),12.0)</f>
        <v>12</v>
      </c>
      <c r="BS140" s="16">
        <f>IFERROR(__xludf.DUMMYFUNCTION("""COMPUTED_VALUE"""),3.0)</f>
        <v>3</v>
      </c>
      <c r="BT140" s="16">
        <f>IFERROR(__xludf.DUMMYFUNCTION("""COMPUTED_VALUE"""),3.0)</f>
        <v>3</v>
      </c>
      <c r="BU140" s="16">
        <f>IFERROR(__xludf.DUMMYFUNCTION("""COMPUTED_VALUE"""),6.0)</f>
        <v>6</v>
      </c>
      <c r="BV140" s="16">
        <f>IFERROR(__xludf.DUMMYFUNCTION("""COMPUTED_VALUE"""),6.0)</f>
        <v>6</v>
      </c>
      <c r="BW140" s="16">
        <f>IFERROR(__xludf.DUMMYFUNCTION("""COMPUTED_VALUE"""),-1.0)</f>
        <v>-1</v>
      </c>
      <c r="BX140" s="16">
        <f>IFERROR(__xludf.DUMMYFUNCTION("""COMPUTED_VALUE"""),-1.0)</f>
        <v>-1</v>
      </c>
      <c r="BY140" s="16" t="str">
        <f>IFERROR(__xludf.DUMMYFUNCTION("""COMPUTED_VALUE"""),"S(6)")</f>
        <v>S(6)</v>
      </c>
      <c r="BZ140" s="16" t="str">
        <f>IFERROR(__xludf.DUMMYFUNCTION("""COMPUTED_VALUE"""),"S(6)")</f>
        <v>S(6)</v>
      </c>
      <c r="CA140" s="16" t="str">
        <f>IFERROR(__xludf.DUMMYFUNCTION("""COMPUTED_VALUE"""),"S(6)")</f>
        <v>S(6)</v>
      </c>
      <c r="CB140" s="16"/>
      <c r="CC140" s="16"/>
      <c r="CD140" s="16">
        <f>IFERROR(__xludf.DUMMYFUNCTION("""COMPUTED_VALUE"""),6.0)</f>
        <v>6</v>
      </c>
      <c r="CE140" s="16"/>
      <c r="CF140" s="16"/>
      <c r="CG140" s="16" t="str">
        <f>IFERROR(__xludf.DUMMYFUNCTION("""COMPUTED_VALUE"""),"3-15")</f>
        <v>3-15</v>
      </c>
      <c r="CH140" s="16">
        <f>IFERROR(__xludf.DUMMYFUNCTION("""COMPUTED_VALUE"""),3.0)</f>
        <v>3</v>
      </c>
      <c r="CI140" s="16">
        <f>IFERROR(__xludf.DUMMYFUNCTION("""COMPUTED_VALUE"""),15.0)</f>
        <v>15</v>
      </c>
      <c r="CJ140" s="16">
        <f>IFERROR(__xludf.DUMMYFUNCTION("""COMPUTED_VALUE"""),0.0)</f>
        <v>0</v>
      </c>
      <c r="CK140" s="16">
        <f>IFERROR(__xludf.DUMMYFUNCTION("""COMPUTED_VALUE"""),0.0)</f>
        <v>0</v>
      </c>
      <c r="CL140" s="16" t="str">
        <f>IFERROR(__xludf.DUMMYFUNCTION("""COMPUTED_VALUE"""),"1WR-C")</f>
        <v>1WR-C</v>
      </c>
      <c r="CM140" s="16" t="str">
        <f>IFERROR(__xludf.DUMMYFUNCTION("""COMPUTED_VALUE"""),"E")</f>
        <v>E</v>
      </c>
      <c r="CN140" s="16">
        <f>IFERROR(__xludf.DUMMYFUNCTION("""COMPUTED_VALUE"""),10.0)</f>
        <v>10</v>
      </c>
      <c r="CO140" s="16" t="str">
        <f>IFERROR(__xludf.DUMMYFUNCTION("""COMPUTED_VALUE"""),"C")</f>
        <v>C</v>
      </c>
      <c r="CP140" s="16" t="str">
        <f>IFERROR(__xludf.DUMMYFUNCTION("""COMPUTED_VALUE"""),"0p72")</f>
        <v>0p72</v>
      </c>
      <c r="CQ140" s="16">
        <f>IFERROR(__xludf.DUMMYFUNCTION("""COMPUTED_VALUE"""),5.0)</f>
        <v>5</v>
      </c>
      <c r="CR140" s="16">
        <f>IFERROR(__xludf.DUMMYFUNCTION("""COMPUTED_VALUE"""),7.0)</f>
        <v>7</v>
      </c>
      <c r="CS140" s="16">
        <f>IFERROR(__xludf.DUMMYFUNCTION("""COMPUTED_VALUE"""),12.0)</f>
        <v>12</v>
      </c>
      <c r="CT140" s="16">
        <f>IFERROR(__xludf.DUMMYFUNCTION("""COMPUTED_VALUE"""),5.0)</f>
        <v>5</v>
      </c>
      <c r="CU140" s="16">
        <f>IFERROR(__xludf.DUMMYFUNCTION("""COMPUTED_VALUE"""),7.0)</f>
        <v>7</v>
      </c>
      <c r="CV140" s="179">
        <f>IFERROR(__xludf.DUMMYFUNCTION("""COMPUTED_VALUE"""),14.666666666666668)</f>
        <v>14.66666667</v>
      </c>
      <c r="CW140" s="179">
        <f>IFERROR(__xludf.DUMMYFUNCTION("""COMPUTED_VALUE"""),5.0)</f>
        <v>5</v>
      </c>
      <c r="CX140" s="179">
        <f>IFERROR(__xludf.DUMMYFUNCTION("""COMPUTED_VALUE"""),4.0)</f>
        <v>4</v>
      </c>
      <c r="CY140" s="16" t="str">
        <f>IFERROR(__xludf.DUMMYFUNCTION("""COMPUTED_VALUE"""),"SP")</f>
        <v>SP</v>
      </c>
      <c r="CZ140" s="16"/>
      <c r="DA140" s="16"/>
      <c r="DB140" s="16"/>
      <c r="DC140" s="16"/>
      <c r="DD140" s="16"/>
      <c r="DE140" s="16"/>
      <c r="DF140" s="16"/>
      <c r="DG140" s="16"/>
      <c r="DH140" s="16"/>
      <c r="DI140" s="16"/>
      <c r="DJ140" s="16"/>
      <c r="DK140" s="16"/>
    </row>
    <row r="141">
      <c r="A141" s="16">
        <f>IFERROR(__xludf.DUMMYFUNCTION("""COMPUTED_VALUE"""),12750.0)</f>
        <v>12750</v>
      </c>
      <c r="B141" s="16" t="str">
        <f>IFERROR(__xludf.DUMMYFUNCTION("""COMPUTED_VALUE"""),"Declan Cronin")</f>
        <v>Declan Cronin</v>
      </c>
      <c r="C141" s="153">
        <f>IFERROR(__xludf.DUMMYFUNCTION("""COMPUTED_VALUE"""),0.31)</f>
        <v>0.31</v>
      </c>
      <c r="D141" s="16"/>
      <c r="E141" s="16" t="str">
        <f>IFERROR(__xludf.DUMMYFUNCTION("""COMPUTED_VALUE"""),"R")</f>
        <v>R</v>
      </c>
      <c r="F141" s="16">
        <f>IFERROR(__xludf.DUMMYFUNCTION("""COMPUTED_VALUE"""),70.0)</f>
        <v>70</v>
      </c>
      <c r="G141" s="16">
        <f>IFERROR(__xludf.DUMMYFUNCTION("""COMPUTED_VALUE"""),21.0)</f>
        <v>21</v>
      </c>
      <c r="H141" s="16">
        <f>IFERROR(__xludf.DUMMYFUNCTION("""COMPUTED_VALUE"""),31.0)</f>
        <v>31</v>
      </c>
      <c r="I141" s="16">
        <f>IFERROR(__xludf.DUMMYFUNCTION("""COMPUTED_VALUE"""),-1.0)</f>
        <v>-1</v>
      </c>
      <c r="J141" s="16">
        <f>IFERROR(__xludf.DUMMYFUNCTION("""COMPUTED_VALUE"""),0.0)</f>
        <v>0</v>
      </c>
      <c r="K141" s="16">
        <f>IFERROR(__xludf.DUMMYFUNCTION("""COMPUTED_VALUE"""),-3.0)</f>
        <v>-3</v>
      </c>
      <c r="L141" s="16">
        <f>IFERROR(__xludf.DUMMYFUNCTION("""COMPUTED_VALUE"""),0.0)</f>
        <v>0</v>
      </c>
      <c r="M141" s="16">
        <f>IFERROR(__xludf.DUMMYFUNCTION("""COMPUTED_VALUE"""),4.0)</f>
        <v>4</v>
      </c>
      <c r="N141" s="16">
        <f>IFERROR(__xludf.DUMMYFUNCTION("""COMPUTED_VALUE"""),10.0)</f>
        <v>10</v>
      </c>
      <c r="O141" s="16">
        <f>IFERROR(__xludf.DUMMYFUNCTION("""COMPUTED_VALUE"""),2.0)</f>
        <v>2</v>
      </c>
      <c r="P141" s="16">
        <f>IFERROR(__xludf.DUMMYFUNCTION("""COMPUTED_VALUE"""),-1.0)</f>
        <v>-1</v>
      </c>
      <c r="Q141" s="16">
        <f>IFERROR(__xludf.DUMMYFUNCTION("""COMPUTED_VALUE"""),2.0)</f>
        <v>2</v>
      </c>
      <c r="R141" s="16">
        <f>IFERROR(__xludf.DUMMYFUNCTION("""COMPUTED_VALUE"""),-1.0)</f>
        <v>-1</v>
      </c>
      <c r="S141" s="16">
        <f>IFERROR(__xludf.DUMMYFUNCTION("""COMPUTED_VALUE"""),27.9)</f>
        <v>27.9</v>
      </c>
      <c r="T141" s="16">
        <f>IFERROR(__xludf.DUMMYFUNCTION("""COMPUTED_VALUE"""),17.1)</f>
        <v>17.1</v>
      </c>
      <c r="U141" s="16">
        <f>IFERROR(__xludf.DUMMYFUNCTION("""COMPUTED_VALUE"""),-2.0)</f>
        <v>-2</v>
      </c>
      <c r="V141" s="16">
        <f>IFERROR(__xludf.DUMMYFUNCTION("""COMPUTED_VALUE"""),0.0)</f>
        <v>0</v>
      </c>
      <c r="W141" s="16">
        <f>IFERROR(__xludf.DUMMYFUNCTION("""COMPUTED_VALUE"""),-4.0)</f>
        <v>-4</v>
      </c>
      <c r="X141" s="16">
        <f>IFERROR(__xludf.DUMMYFUNCTION("""COMPUTED_VALUE"""),0.0)</f>
        <v>0</v>
      </c>
      <c r="Y141" s="16">
        <f>IFERROR(__xludf.DUMMYFUNCTION("""COMPUTED_VALUE"""),31.9)</f>
        <v>31.9</v>
      </c>
      <c r="Z141" s="16">
        <f>IFERROR(__xludf.DUMMYFUNCTION("""COMPUTED_VALUE"""),27.1)</f>
        <v>27.1</v>
      </c>
      <c r="AA141" s="16">
        <f>IFERROR(__xludf.DUMMYFUNCTION("""COMPUTED_VALUE"""),-1.0)</f>
        <v>-1</v>
      </c>
      <c r="AB141" s="16">
        <f>IFERROR(__xludf.DUMMYFUNCTION("""COMPUTED_VALUE"""),0.0)</f>
        <v>0</v>
      </c>
      <c r="AC141" s="16">
        <f>IFERROR(__xludf.DUMMYFUNCTION("""COMPUTED_VALUE"""),-5.0)</f>
        <v>-5</v>
      </c>
      <c r="AD141" s="16">
        <f>IFERROR(__xludf.DUMMYFUNCTION("""COMPUTED_VALUE"""),0.0)</f>
        <v>0</v>
      </c>
      <c r="AE141" s="16">
        <f>IFERROR(__xludf.DUMMYFUNCTION("""COMPUTED_VALUE"""),42.1)</f>
        <v>42.1</v>
      </c>
      <c r="AF141" s="16">
        <f>IFERROR(__xludf.DUMMYFUNCTION("""COMPUTED_VALUE"""),21.6)</f>
        <v>21.6</v>
      </c>
      <c r="AG141" s="16">
        <f>IFERROR(__xludf.DUMMYFUNCTION("""COMPUTED_VALUE"""),-1.0)</f>
        <v>-1</v>
      </c>
      <c r="AH141" s="16">
        <f>IFERROR(__xludf.DUMMYFUNCTION("""COMPUTED_VALUE"""),1.0)</f>
        <v>1</v>
      </c>
      <c r="AI141" s="16">
        <f>IFERROR(__xludf.DUMMYFUNCTION("""COMPUTED_VALUE"""),-2.0)</f>
        <v>-2</v>
      </c>
      <c r="AJ141" s="16">
        <f>IFERROR(__xludf.DUMMYFUNCTION("""COMPUTED_VALUE"""),2.0)</f>
        <v>2</v>
      </c>
      <c r="AK141" s="16">
        <f>IFERROR(__xludf.DUMMYFUNCTION("""COMPUTED_VALUE"""),27.9)</f>
        <v>27.9</v>
      </c>
      <c r="AL141" s="16">
        <f>IFERROR(__xludf.DUMMYFUNCTION("""COMPUTED_VALUE"""),17.1)</f>
        <v>17.1</v>
      </c>
      <c r="AM141" s="16">
        <f>IFERROR(__xludf.DUMMYFUNCTION("""COMPUTED_VALUE"""),-2.0)</f>
        <v>-2</v>
      </c>
      <c r="AN141" s="16">
        <f>IFERROR(__xludf.DUMMYFUNCTION("""COMPUTED_VALUE"""),-1.0)</f>
        <v>-1</v>
      </c>
      <c r="AO141" s="16">
        <f>IFERROR(__xludf.DUMMYFUNCTION("""COMPUTED_VALUE"""),-2.0)</f>
        <v>-2</v>
      </c>
      <c r="AP141" s="16">
        <f>IFERROR(__xludf.DUMMYFUNCTION("""COMPUTED_VALUE"""),-1.0)</f>
        <v>-1</v>
      </c>
      <c r="AQ141" s="16">
        <f>IFERROR(__xludf.DUMMYFUNCTION("""COMPUTED_VALUE"""),42.1)</f>
        <v>42.1</v>
      </c>
      <c r="AR141" s="16">
        <f>IFERROR(__xludf.DUMMYFUNCTION("""COMPUTED_VALUE"""),21.6)</f>
        <v>21.6</v>
      </c>
      <c r="AS141" s="16">
        <f>IFERROR(__xludf.DUMMYFUNCTION("""COMPUTED_VALUE"""),-2.0)</f>
        <v>-2</v>
      </c>
      <c r="AT141" s="16">
        <f>IFERROR(__xludf.DUMMYFUNCTION("""COMPUTED_VALUE"""),0.0)</f>
        <v>0</v>
      </c>
      <c r="AU141" s="16">
        <f>IFERROR(__xludf.DUMMYFUNCTION("""COMPUTED_VALUE"""),-4.0)</f>
        <v>-4</v>
      </c>
      <c r="AV141" s="16">
        <f>IFERROR(__xludf.DUMMYFUNCTION("""COMPUTED_VALUE"""),0.0)</f>
        <v>0</v>
      </c>
      <c r="AW141" s="16">
        <f>IFERROR(__xludf.DUMMYFUNCTION("""COMPUTED_VALUE"""),0.0)</f>
        <v>0</v>
      </c>
      <c r="AX141" s="16">
        <f>IFERROR(__xludf.DUMMYFUNCTION("""COMPUTED_VALUE"""),0.0)</f>
        <v>0</v>
      </c>
      <c r="AY141" s="16">
        <f>IFERROR(__xludf.DUMMYFUNCTION("""COMPUTED_VALUE"""),2.0)</f>
        <v>2</v>
      </c>
      <c r="AZ141" s="16">
        <f>IFERROR(__xludf.DUMMYFUNCTION("""COMPUTED_VALUE"""),2.0)</f>
        <v>2</v>
      </c>
      <c r="BA141" s="16">
        <f>IFERROR(__xludf.DUMMYFUNCTION("""COMPUTED_VALUE"""),10.0)</f>
        <v>10</v>
      </c>
      <c r="BB141" s="16">
        <f>IFERROR(__xludf.DUMMYFUNCTION("""COMPUTED_VALUE"""),10.0)</f>
        <v>10</v>
      </c>
      <c r="BC141" s="16">
        <f>IFERROR(__xludf.DUMMYFUNCTION("""COMPUTED_VALUE"""),0.0)</f>
        <v>0</v>
      </c>
      <c r="BD141" s="16">
        <f>IFERROR(__xludf.DUMMYFUNCTION("""COMPUTED_VALUE"""),0.0)</f>
        <v>0</v>
      </c>
      <c r="BE141" s="16">
        <f>IFERROR(__xludf.DUMMYFUNCTION("""COMPUTED_VALUE"""),0.0)</f>
        <v>0</v>
      </c>
      <c r="BF141" s="16">
        <f>IFERROR(__xludf.DUMMYFUNCTION("""COMPUTED_VALUE"""),0.0)</f>
        <v>0</v>
      </c>
      <c r="BG141" s="16">
        <f>IFERROR(__xludf.DUMMYFUNCTION("""COMPUTED_VALUE"""),3.0)</f>
        <v>3</v>
      </c>
      <c r="BH141" s="16">
        <f>IFERROR(__xludf.DUMMYFUNCTION("""COMPUTED_VALUE"""),2.0)</f>
        <v>2</v>
      </c>
      <c r="BI141" s="16">
        <f>IFERROR(__xludf.DUMMYFUNCTION("""COMPUTED_VALUE"""),6.0)</f>
        <v>6</v>
      </c>
      <c r="BJ141" s="16">
        <f>IFERROR(__xludf.DUMMYFUNCTION("""COMPUTED_VALUE"""),4.0)</f>
        <v>4</v>
      </c>
      <c r="BK141" s="16">
        <f>IFERROR(__xludf.DUMMYFUNCTION("""COMPUTED_VALUE"""),5.0)</f>
        <v>5</v>
      </c>
      <c r="BL141" s="16">
        <f>IFERROR(__xludf.DUMMYFUNCTION("""COMPUTED_VALUE"""),5.0)</f>
        <v>5</v>
      </c>
      <c r="BM141" s="16">
        <f>IFERROR(__xludf.DUMMYFUNCTION("""COMPUTED_VALUE"""),0.0)</f>
        <v>0</v>
      </c>
      <c r="BN141" s="16">
        <f>IFERROR(__xludf.DUMMYFUNCTION("""COMPUTED_VALUE"""),0.0)</f>
        <v>0</v>
      </c>
      <c r="BO141" s="16">
        <f>IFERROR(__xludf.DUMMYFUNCTION("""COMPUTED_VALUE"""),0.0)</f>
        <v>0</v>
      </c>
      <c r="BP141" s="16">
        <f>IFERROR(__xludf.DUMMYFUNCTION("""COMPUTED_VALUE"""),0.0)</f>
        <v>0</v>
      </c>
      <c r="BQ141" s="16">
        <f>IFERROR(__xludf.DUMMYFUNCTION("""COMPUTED_VALUE"""),12.0)</f>
        <v>12</v>
      </c>
      <c r="BR141" s="16">
        <f>IFERROR(__xludf.DUMMYFUNCTION("""COMPUTED_VALUE"""),12.0)</f>
        <v>12</v>
      </c>
      <c r="BS141" s="16">
        <f>IFERROR(__xludf.DUMMYFUNCTION("""COMPUTED_VALUE"""),3.0)</f>
        <v>3</v>
      </c>
      <c r="BT141" s="16">
        <f>IFERROR(__xludf.DUMMYFUNCTION("""COMPUTED_VALUE"""),3.0)</f>
        <v>3</v>
      </c>
      <c r="BU141" s="16">
        <f>IFERROR(__xludf.DUMMYFUNCTION("""COMPUTED_VALUE"""),6.0)</f>
        <v>6</v>
      </c>
      <c r="BV141" s="16">
        <f>IFERROR(__xludf.DUMMYFUNCTION("""COMPUTED_VALUE"""),6.0)</f>
        <v>6</v>
      </c>
      <c r="BW141" s="16">
        <f>IFERROR(__xludf.DUMMYFUNCTION("""COMPUTED_VALUE"""),3.0)</f>
        <v>3</v>
      </c>
      <c r="BX141" s="16">
        <f>IFERROR(__xludf.DUMMYFUNCTION("""COMPUTED_VALUE"""),3.0)</f>
        <v>3</v>
      </c>
      <c r="BY141" s="16" t="str">
        <f>IFERROR(__xludf.DUMMYFUNCTION("""COMPUTED_VALUE"""),"R(2)")</f>
        <v>R(2)</v>
      </c>
      <c r="BZ141" s="16" t="str">
        <f>IFERROR(__xludf.DUMMYFUNCTION("""COMPUTED_VALUE"""),"R(2)")</f>
        <v>R(2)</v>
      </c>
      <c r="CA141" s="16" t="str">
        <f>IFERROR(__xludf.DUMMYFUNCTION("""COMPUTED_VALUE"""),"R(2)")</f>
        <v>R(2)</v>
      </c>
      <c r="CB141" s="16"/>
      <c r="CC141" s="16"/>
      <c r="CD141" s="16"/>
      <c r="CE141" s="16">
        <f>IFERROR(__xludf.DUMMYFUNCTION("""COMPUTED_VALUE"""),2.0)</f>
        <v>2</v>
      </c>
      <c r="CF141" s="16"/>
      <c r="CG141" s="16" t="str">
        <f>IFERROR(__xludf.DUMMYFUNCTION("""COMPUTED_VALUE"""),"4-20")</f>
        <v>4-20</v>
      </c>
      <c r="CH141" s="16">
        <f>IFERROR(__xludf.DUMMYFUNCTION("""COMPUTED_VALUE"""),4.0)</f>
        <v>4</v>
      </c>
      <c r="CI141" s="16">
        <f>IFERROR(__xludf.DUMMYFUNCTION("""COMPUTED_VALUE"""),20.0)</f>
        <v>20</v>
      </c>
      <c r="CJ141" s="16">
        <f>IFERROR(__xludf.DUMMYFUNCTION("""COMPUTED_VALUE"""),0.0)</f>
        <v>0</v>
      </c>
      <c r="CK141" s="16">
        <f>IFERROR(__xludf.DUMMYFUNCTION("""COMPUTED_VALUE"""),2.0)</f>
        <v>2</v>
      </c>
      <c r="CL141" s="16" t="str">
        <f>IFERROR(__xludf.DUMMYFUNCTION("""COMPUTED_VALUE"""),"1WR-C")</f>
        <v>1WR-C</v>
      </c>
      <c r="CM141" s="16" t="str">
        <f>IFERROR(__xludf.DUMMYFUNCTION("""COMPUTED_VALUE"""),"E")</f>
        <v>E</v>
      </c>
      <c r="CN141" s="16">
        <f>IFERROR(__xludf.DUMMYFUNCTION("""COMPUTED_VALUE"""),10.0)</f>
        <v>10</v>
      </c>
      <c r="CO141" s="16" t="str">
        <f>IFERROR(__xludf.DUMMYFUNCTION("""COMPUTED_VALUE"""),"C")</f>
        <v>C</v>
      </c>
      <c r="CP141" s="16" t="str">
        <f>IFERROR(__xludf.DUMMYFUNCTION("""COMPUTED_VALUE"""),"1p40")</f>
        <v>1p40</v>
      </c>
      <c r="CQ141" s="16">
        <f>IFERROR(__xludf.DUMMYFUNCTION("""COMPUTED_VALUE"""),4.0)</f>
        <v>4</v>
      </c>
      <c r="CR141" s="16">
        <f>IFERROR(__xludf.DUMMYFUNCTION("""COMPUTED_VALUE"""),20.0)</f>
        <v>20</v>
      </c>
      <c r="CS141" s="16">
        <f>IFERROR(__xludf.DUMMYFUNCTION("""COMPUTED_VALUE"""),24.0)</f>
        <v>24</v>
      </c>
      <c r="CT141" s="16">
        <f>IFERROR(__xludf.DUMMYFUNCTION("""COMPUTED_VALUE"""),4.0)</f>
        <v>4</v>
      </c>
      <c r="CU141" s="16">
        <f>IFERROR(__xludf.DUMMYFUNCTION("""COMPUTED_VALUE"""),20.0)</f>
        <v>20</v>
      </c>
      <c r="CV141" s="179">
        <f>IFERROR(__xludf.DUMMYFUNCTION("""COMPUTED_VALUE"""),14.333333333333334)</f>
        <v>14.33333333</v>
      </c>
      <c r="CW141" s="179">
        <f>IFERROR(__xludf.DUMMYFUNCTION("""COMPUTED_VALUE"""),4.0)</f>
        <v>4</v>
      </c>
      <c r="CX141" s="179">
        <f>IFERROR(__xludf.DUMMYFUNCTION("""COMPUTED_VALUE"""),1.0)</f>
        <v>1</v>
      </c>
      <c r="CY141" s="16" t="str">
        <f>IFERROR(__xludf.DUMMYFUNCTION("""COMPUTED_VALUE"""),"RP")</f>
        <v>RP</v>
      </c>
      <c r="CZ141" s="16"/>
      <c r="DA141" s="16"/>
      <c r="DB141" s="16"/>
      <c r="DC141" s="16"/>
      <c r="DD141" s="16"/>
      <c r="DE141" s="16"/>
      <c r="DF141" s="16"/>
      <c r="DG141" s="16"/>
      <c r="DH141" s="16"/>
      <c r="DI141" s="16"/>
      <c r="DJ141" s="16"/>
      <c r="DK141" s="16"/>
    </row>
    <row r="142">
      <c r="A142" s="16">
        <f>IFERROR(__xludf.DUMMYFUNCTION("""COMPUTED_VALUE"""),13422.0)</f>
        <v>13422</v>
      </c>
      <c r="B142" s="16" t="str">
        <f>IFERROR(__xludf.DUMMYFUNCTION("""COMPUTED_VALUE"""),"Tommy Kahnle")</f>
        <v>Tommy Kahnle</v>
      </c>
      <c r="C142" s="153">
        <f>IFERROR(__xludf.DUMMYFUNCTION("""COMPUTED_VALUE"""),0.9)</f>
        <v>0.9</v>
      </c>
      <c r="D142" s="16"/>
      <c r="E142" s="16" t="str">
        <f>IFERROR(__xludf.DUMMYFUNCTION("""COMPUTED_VALUE"""),"R")</f>
        <v>R</v>
      </c>
      <c r="F142" s="16">
        <f>IFERROR(__xludf.DUMMYFUNCTION("""COMPUTED_VALUE"""),43.0)</f>
        <v>43</v>
      </c>
      <c r="G142" s="16">
        <f>IFERROR(__xludf.DUMMYFUNCTION("""COMPUTED_VALUE"""),37.0)</f>
        <v>37</v>
      </c>
      <c r="H142" s="16">
        <f>IFERROR(__xludf.DUMMYFUNCTION("""COMPUTED_VALUE"""),26.0)</f>
        <v>26</v>
      </c>
      <c r="I142" s="16">
        <f>IFERROR(__xludf.DUMMYFUNCTION("""COMPUTED_VALUE"""),1.0)</f>
        <v>1</v>
      </c>
      <c r="J142" s="16">
        <f>IFERROR(__xludf.DUMMYFUNCTION("""COMPUTED_VALUE"""),0.0)</f>
        <v>0</v>
      </c>
      <c r="K142" s="16">
        <f>IFERROR(__xludf.DUMMYFUNCTION("""COMPUTED_VALUE"""),3.0)</f>
        <v>3</v>
      </c>
      <c r="L142" s="16">
        <f>IFERROR(__xludf.DUMMYFUNCTION("""COMPUTED_VALUE"""),0.0)</f>
        <v>0</v>
      </c>
      <c r="M142" s="16">
        <f>IFERROR(__xludf.DUMMYFUNCTION("""COMPUTED_VALUE"""),11.0)</f>
        <v>11</v>
      </c>
      <c r="N142" s="16">
        <f>IFERROR(__xludf.DUMMYFUNCTION("""COMPUTED_VALUE"""),16.0)</f>
        <v>16</v>
      </c>
      <c r="O142" s="16">
        <f>IFERROR(__xludf.DUMMYFUNCTION("""COMPUTED_VALUE"""),-1.0)</f>
        <v>-1</v>
      </c>
      <c r="P142" s="16">
        <f>IFERROR(__xludf.DUMMYFUNCTION("""COMPUTED_VALUE"""),-3.0)</f>
        <v>-3</v>
      </c>
      <c r="Q142" s="16">
        <f>IFERROR(__xludf.DUMMYFUNCTION("""COMPUTED_VALUE"""),-1.0)</f>
        <v>-1</v>
      </c>
      <c r="R142" s="16">
        <f>IFERROR(__xludf.DUMMYFUNCTION("""COMPUTED_VALUE"""),-3.0)</f>
        <v>-3</v>
      </c>
      <c r="S142" s="16">
        <f>IFERROR(__xludf.DUMMYFUNCTION("""COMPUTED_VALUE"""),4.5)</f>
        <v>4.5</v>
      </c>
      <c r="T142" s="16">
        <f>IFERROR(__xludf.DUMMYFUNCTION("""COMPUTED_VALUE"""),10.5)</f>
        <v>10.5</v>
      </c>
      <c r="U142" s="16">
        <f>IFERROR(__xludf.DUMMYFUNCTION("""COMPUTED_VALUE"""),2.0)</f>
        <v>2</v>
      </c>
      <c r="V142" s="16">
        <f>IFERROR(__xludf.DUMMYFUNCTION("""COMPUTED_VALUE"""),1.0)</f>
        <v>1</v>
      </c>
      <c r="W142" s="16">
        <f>IFERROR(__xludf.DUMMYFUNCTION("""COMPUTED_VALUE"""),4.0)</f>
        <v>4</v>
      </c>
      <c r="X142" s="16">
        <f>IFERROR(__xludf.DUMMYFUNCTION("""COMPUTED_VALUE"""),2.0)</f>
        <v>2</v>
      </c>
      <c r="Y142" s="16">
        <f>IFERROR(__xludf.DUMMYFUNCTION("""COMPUTED_VALUE"""),15.5)</f>
        <v>15.5</v>
      </c>
      <c r="Z142" s="16">
        <f>IFERROR(__xludf.DUMMYFUNCTION("""COMPUTED_VALUE"""),26.5)</f>
        <v>26.5</v>
      </c>
      <c r="AA142" s="16">
        <f>IFERROR(__xludf.DUMMYFUNCTION("""COMPUTED_VALUE"""),1.0)</f>
        <v>1</v>
      </c>
      <c r="AB142" s="16">
        <f>IFERROR(__xludf.DUMMYFUNCTION("""COMPUTED_VALUE"""),0.0)</f>
        <v>0</v>
      </c>
      <c r="AC142" s="16">
        <f>IFERROR(__xludf.DUMMYFUNCTION("""COMPUTED_VALUE"""),5.0)</f>
        <v>5</v>
      </c>
      <c r="AD142" s="16">
        <f>IFERROR(__xludf.DUMMYFUNCTION("""COMPUTED_VALUE"""),0.0)</f>
        <v>0</v>
      </c>
      <c r="AE142" s="16">
        <f>IFERROR(__xludf.DUMMYFUNCTION("""COMPUTED_VALUE"""),11.4)</f>
        <v>11.4</v>
      </c>
      <c r="AF142" s="16">
        <f>IFERROR(__xludf.DUMMYFUNCTION("""COMPUTED_VALUE"""),26.2)</f>
        <v>26.2</v>
      </c>
      <c r="AG142" s="16">
        <f>IFERROR(__xludf.DUMMYFUNCTION("""COMPUTED_VALUE"""),2.0)</f>
        <v>2</v>
      </c>
      <c r="AH142" s="16">
        <f>IFERROR(__xludf.DUMMYFUNCTION("""COMPUTED_VALUE"""),0.0)</f>
        <v>0</v>
      </c>
      <c r="AI142" s="16">
        <f>IFERROR(__xludf.DUMMYFUNCTION("""COMPUTED_VALUE"""),4.0)</f>
        <v>4</v>
      </c>
      <c r="AJ142" s="16">
        <f>IFERROR(__xludf.DUMMYFUNCTION("""COMPUTED_VALUE"""),0.0)</f>
        <v>0</v>
      </c>
      <c r="AK142" s="16">
        <f>IFERROR(__xludf.DUMMYFUNCTION("""COMPUTED_VALUE"""),3.3)</f>
        <v>3.3</v>
      </c>
      <c r="AL142" s="16">
        <f>IFERROR(__xludf.DUMMYFUNCTION("""COMPUTED_VALUE"""),7.9)</f>
        <v>7.9</v>
      </c>
      <c r="AM142" s="16">
        <f>IFERROR(__xludf.DUMMYFUNCTION("""COMPUTED_VALUE"""),2.0)</f>
        <v>2</v>
      </c>
      <c r="AN142" s="16">
        <f>IFERROR(__xludf.DUMMYFUNCTION("""COMPUTED_VALUE"""),1.0)</f>
        <v>1</v>
      </c>
      <c r="AO142" s="16">
        <f>IFERROR(__xludf.DUMMYFUNCTION("""COMPUTED_VALUE"""),2.0)</f>
        <v>2</v>
      </c>
      <c r="AP142" s="16">
        <f>IFERROR(__xludf.DUMMYFUNCTION("""COMPUTED_VALUE"""),1.0)</f>
        <v>1</v>
      </c>
      <c r="AQ142" s="16">
        <f>IFERROR(__xludf.DUMMYFUNCTION("""COMPUTED_VALUE"""),6.6000000000000005)</f>
        <v>6.6</v>
      </c>
      <c r="AR142" s="16">
        <f>IFERROR(__xludf.DUMMYFUNCTION("""COMPUTED_VALUE"""),15.799999999999999)</f>
        <v>15.8</v>
      </c>
      <c r="AS142" s="16">
        <f>IFERROR(__xludf.DUMMYFUNCTION("""COMPUTED_VALUE"""),2.0)</f>
        <v>2</v>
      </c>
      <c r="AT142" s="16">
        <f>IFERROR(__xludf.DUMMYFUNCTION("""COMPUTED_VALUE"""),1.0)</f>
        <v>1</v>
      </c>
      <c r="AU142" s="16">
        <f>IFERROR(__xludf.DUMMYFUNCTION("""COMPUTED_VALUE"""),4.0)</f>
        <v>4</v>
      </c>
      <c r="AV142" s="16">
        <f>IFERROR(__xludf.DUMMYFUNCTION("""COMPUTED_VALUE"""),2.0)</f>
        <v>2</v>
      </c>
      <c r="AW142" s="16">
        <f>IFERROR(__xludf.DUMMYFUNCTION("""COMPUTED_VALUE"""),1.2)</f>
        <v>1.2</v>
      </c>
      <c r="AX142" s="16">
        <f>IFERROR(__xludf.DUMMYFUNCTION("""COMPUTED_VALUE"""),2.6)</f>
        <v>2.6</v>
      </c>
      <c r="AY142" s="16">
        <f>IFERROR(__xludf.DUMMYFUNCTION("""COMPUTED_VALUE"""),1.0)</f>
        <v>1</v>
      </c>
      <c r="AZ142" s="16">
        <f>IFERROR(__xludf.DUMMYFUNCTION("""COMPUTED_VALUE"""),-1.0)</f>
        <v>-1</v>
      </c>
      <c r="BA142" s="16">
        <f>IFERROR(__xludf.DUMMYFUNCTION("""COMPUTED_VALUE"""),5.0)</f>
        <v>5</v>
      </c>
      <c r="BB142" s="16">
        <f>IFERROR(__xludf.DUMMYFUNCTION("""COMPUTED_VALUE"""),-5.0)</f>
        <v>-5</v>
      </c>
      <c r="BC142" s="16"/>
      <c r="BD142" s="16"/>
      <c r="BE142" s="16">
        <f>IFERROR(__xludf.DUMMYFUNCTION("""COMPUTED_VALUE"""),0.0)</f>
        <v>0</v>
      </c>
      <c r="BF142" s="16">
        <f>IFERROR(__xludf.DUMMYFUNCTION("""COMPUTED_VALUE"""),4.0)</f>
        <v>4</v>
      </c>
      <c r="BG142" s="16">
        <f>IFERROR(__xludf.DUMMYFUNCTION("""COMPUTED_VALUE"""),3.0)</f>
        <v>3</v>
      </c>
      <c r="BH142" s="16">
        <f>IFERROR(__xludf.DUMMYFUNCTION("""COMPUTED_VALUE"""),-1.0)</f>
        <v>-1</v>
      </c>
      <c r="BI142" s="16">
        <f>IFERROR(__xludf.DUMMYFUNCTION("""COMPUTED_VALUE"""),6.0)</f>
        <v>6</v>
      </c>
      <c r="BJ142" s="16">
        <f>IFERROR(__xludf.DUMMYFUNCTION("""COMPUTED_VALUE"""),-2.0)</f>
        <v>-2</v>
      </c>
      <c r="BK142" s="16">
        <f>IFERROR(__xludf.DUMMYFUNCTION("""COMPUTED_VALUE"""),0.0)</f>
        <v>0</v>
      </c>
      <c r="BL142" s="16">
        <f>IFERROR(__xludf.DUMMYFUNCTION("""COMPUTED_VALUE"""),0.0)</f>
        <v>0</v>
      </c>
      <c r="BM142" s="16">
        <f>IFERROR(__xludf.DUMMYFUNCTION("""COMPUTED_VALUE"""),1.0)</f>
        <v>1</v>
      </c>
      <c r="BN142" s="16">
        <f>IFERROR(__xludf.DUMMYFUNCTION("""COMPUTED_VALUE"""),1.0)</f>
        <v>1</v>
      </c>
      <c r="BO142" s="16">
        <f>IFERROR(__xludf.DUMMYFUNCTION("""COMPUTED_VALUE"""),1.0)</f>
        <v>1</v>
      </c>
      <c r="BP142" s="16">
        <f>IFERROR(__xludf.DUMMYFUNCTION("""COMPUTED_VALUE"""),1.0)</f>
        <v>1</v>
      </c>
      <c r="BQ142" s="16">
        <f>IFERROR(__xludf.DUMMYFUNCTION("""COMPUTED_VALUE"""),8.0)</f>
        <v>8</v>
      </c>
      <c r="BR142" s="16">
        <f>IFERROR(__xludf.DUMMYFUNCTION("""COMPUTED_VALUE"""),7.0)</f>
        <v>7</v>
      </c>
      <c r="BS142" s="16">
        <f>IFERROR(__xludf.DUMMYFUNCTION("""COMPUTED_VALUE"""),2.0)</f>
        <v>2</v>
      </c>
      <c r="BT142" s="16">
        <f>IFERROR(__xludf.DUMMYFUNCTION("""COMPUTED_VALUE"""),2.0)</f>
        <v>2</v>
      </c>
      <c r="BU142" s="16">
        <f>IFERROR(__xludf.DUMMYFUNCTION("""COMPUTED_VALUE"""),4.0)</f>
        <v>4</v>
      </c>
      <c r="BV142" s="16">
        <f>IFERROR(__xludf.DUMMYFUNCTION("""COMPUTED_VALUE"""),4.0)</f>
        <v>4</v>
      </c>
      <c r="BW142" s="16">
        <f>IFERROR(__xludf.DUMMYFUNCTION("""COMPUTED_VALUE"""),-2.0)</f>
        <v>-2</v>
      </c>
      <c r="BX142" s="16">
        <f>IFERROR(__xludf.DUMMYFUNCTION("""COMPUTED_VALUE"""),-2.0)</f>
        <v>-2</v>
      </c>
      <c r="BY142" s="16" t="str">
        <f>IFERROR(__xludf.DUMMYFUNCTION("""COMPUTED_VALUE"""),"R(1) C(0)")</f>
        <v>R(1) C(0)</v>
      </c>
      <c r="BZ142" s="16" t="str">
        <f>IFERROR(__xludf.DUMMYFUNCTION("""COMPUTED_VALUE"""),"R(1) C(0)")</f>
        <v>R(1) C(0)</v>
      </c>
      <c r="CA142" s="16" t="str">
        <f>IFERROR(__xludf.DUMMYFUNCTION("""COMPUTED_VALUE"""),"R(1)")</f>
        <v>R(1)</v>
      </c>
      <c r="CB142" s="16" t="str">
        <f>IFERROR(__xludf.DUMMYFUNCTION("""COMPUTED_VALUE"""),"C(0)")</f>
        <v>C(0)</v>
      </c>
      <c r="CC142" s="16"/>
      <c r="CD142" s="16"/>
      <c r="CE142" s="16">
        <f>IFERROR(__xludf.DUMMYFUNCTION("""COMPUTED_VALUE"""),1.0)</f>
        <v>1</v>
      </c>
      <c r="CF142" s="16">
        <f>IFERROR(__xludf.DUMMYFUNCTION("""COMPUTED_VALUE"""),0.0)</f>
        <v>0</v>
      </c>
      <c r="CG142" s="16" t="str">
        <f>IFERROR(__xludf.DUMMYFUNCTION("""COMPUTED_VALUE"""),"3-0")</f>
        <v>3-0</v>
      </c>
      <c r="CH142" s="16">
        <f>IFERROR(__xludf.DUMMYFUNCTION("""COMPUTED_VALUE"""),3.0)</f>
        <v>3</v>
      </c>
      <c r="CI142" s="16">
        <f>IFERROR(__xludf.DUMMYFUNCTION("""COMPUTED_VALUE"""),0.0)</f>
        <v>0</v>
      </c>
      <c r="CJ142" s="16">
        <f>IFERROR(__xludf.DUMMYFUNCTION("""COMPUTED_VALUE"""),0.0)</f>
        <v>0</v>
      </c>
      <c r="CK142" s="16">
        <f>IFERROR(__xludf.DUMMYFUNCTION("""COMPUTED_VALUE"""),4.0)</f>
        <v>4</v>
      </c>
      <c r="CL142" s="16" t="str">
        <f>IFERROR(__xludf.DUMMYFUNCTION("""COMPUTED_VALUE"""),"1WR-C")</f>
        <v>1WR-C</v>
      </c>
      <c r="CM142" s="16" t="str">
        <f>IFERROR(__xludf.DUMMYFUNCTION("""COMPUTED_VALUE"""),"E")</f>
        <v>E</v>
      </c>
      <c r="CN142" s="16">
        <f>IFERROR(__xludf.DUMMYFUNCTION("""COMPUTED_VALUE"""),10.0)</f>
        <v>10</v>
      </c>
      <c r="CO142" s="16" t="str">
        <f>IFERROR(__xludf.DUMMYFUNCTION("""COMPUTED_VALUE"""),"C")</f>
        <v>C</v>
      </c>
      <c r="CP142" s="16" t="str">
        <f>IFERROR(__xludf.DUMMYFUNCTION("""COMPUTED_VALUE"""),"4p40")</f>
        <v>4p40</v>
      </c>
      <c r="CQ142" s="16">
        <f>IFERROR(__xludf.DUMMYFUNCTION("""COMPUTED_VALUE"""),37.0)</f>
        <v>37</v>
      </c>
      <c r="CR142" s="16">
        <f>IFERROR(__xludf.DUMMYFUNCTION("""COMPUTED_VALUE"""),0.0)</f>
        <v>0</v>
      </c>
      <c r="CS142" s="16">
        <f>IFERROR(__xludf.DUMMYFUNCTION("""COMPUTED_VALUE"""),37.0)</f>
        <v>37</v>
      </c>
      <c r="CT142" s="16">
        <f>IFERROR(__xludf.DUMMYFUNCTION("""COMPUTED_VALUE"""),37.0)</f>
        <v>37</v>
      </c>
      <c r="CU142" s="16">
        <f>IFERROR(__xludf.DUMMYFUNCTION("""COMPUTED_VALUE"""),0.0)</f>
        <v>0</v>
      </c>
      <c r="CV142" s="179">
        <f>IFERROR(__xludf.DUMMYFUNCTION("""COMPUTED_VALUE"""),14.333333333333334)</f>
        <v>14.33333333</v>
      </c>
      <c r="CW142" s="179">
        <f>IFERROR(__xludf.DUMMYFUNCTION("""COMPUTED_VALUE"""),1.0)</f>
        <v>1</v>
      </c>
      <c r="CX142" s="179">
        <f>IFERROR(__xludf.DUMMYFUNCTION("""COMPUTED_VALUE"""),1.0)</f>
        <v>1</v>
      </c>
      <c r="CY142" s="16" t="str">
        <f>IFERROR(__xludf.DUMMYFUNCTION("""COMPUTED_VALUE"""),"RP")</f>
        <v>RP</v>
      </c>
      <c r="CZ142" s="16" t="str">
        <f>IFERROR(__xludf.DUMMYFUNCTION("""COMPUTED_VALUE"""),"CP")</f>
        <v>CP</v>
      </c>
      <c r="DA142" s="16"/>
      <c r="DB142" s="16"/>
      <c r="DC142" s="16"/>
      <c r="DD142" s="16"/>
      <c r="DE142" s="16"/>
      <c r="DF142" s="16"/>
      <c r="DG142" s="16"/>
      <c r="DH142" s="16"/>
      <c r="DI142" s="16"/>
      <c r="DJ142" s="16"/>
      <c r="DK142" s="16"/>
    </row>
    <row r="143">
      <c r="A143" s="16">
        <f>IFERROR(__xludf.DUMMYFUNCTION("""COMPUTED_VALUE"""),13299.0)</f>
        <v>13299</v>
      </c>
      <c r="B143" s="16" t="str">
        <f>IFERROR(__xludf.DUMMYFUNCTION("""COMPUTED_VALUE"""),"Randy Rodriguez")</f>
        <v>Randy Rodriguez</v>
      </c>
      <c r="C143" s="153">
        <f>IFERROR(__xludf.DUMMYFUNCTION("""COMPUTED_VALUE"""),0.0)</f>
        <v>0</v>
      </c>
      <c r="D143" s="16"/>
      <c r="E143" s="16" t="str">
        <f>IFERROR(__xludf.DUMMYFUNCTION("""COMPUTED_VALUE"""),"R")</f>
        <v>R</v>
      </c>
      <c r="F143" s="16">
        <f>IFERROR(__xludf.DUMMYFUNCTION("""COMPUTED_VALUE"""),52.0)</f>
        <v>52</v>
      </c>
      <c r="G143" s="16">
        <f>IFERROR(__xludf.DUMMYFUNCTION("""COMPUTED_VALUE"""),33.0)</f>
        <v>33</v>
      </c>
      <c r="H143" s="16">
        <f>IFERROR(__xludf.DUMMYFUNCTION("""COMPUTED_VALUE"""),25.0)</f>
        <v>25</v>
      </c>
      <c r="I143" s="16">
        <f>IFERROR(__xludf.DUMMYFUNCTION("""COMPUTED_VALUE"""),1.0)</f>
        <v>1</v>
      </c>
      <c r="J143" s="16">
        <f>IFERROR(__xludf.DUMMYFUNCTION("""COMPUTED_VALUE"""),0.0)</f>
        <v>0</v>
      </c>
      <c r="K143" s="16">
        <f>IFERROR(__xludf.DUMMYFUNCTION("""COMPUTED_VALUE"""),3.0)</f>
        <v>3</v>
      </c>
      <c r="L143" s="16">
        <f>IFERROR(__xludf.DUMMYFUNCTION("""COMPUTED_VALUE"""),0.0)</f>
        <v>0</v>
      </c>
      <c r="M143" s="16">
        <f>IFERROR(__xludf.DUMMYFUNCTION("""COMPUTED_VALUE"""),11.0)</f>
        <v>11</v>
      </c>
      <c r="N143" s="16">
        <f>IFERROR(__xludf.DUMMYFUNCTION("""COMPUTED_VALUE"""),8.0)</f>
        <v>8</v>
      </c>
      <c r="O143" s="16">
        <f>IFERROR(__xludf.DUMMYFUNCTION("""COMPUTED_VALUE"""),-1.0)</f>
        <v>-1</v>
      </c>
      <c r="P143" s="16">
        <f>IFERROR(__xludf.DUMMYFUNCTION("""COMPUTED_VALUE"""),0.0)</f>
        <v>0</v>
      </c>
      <c r="Q143" s="16">
        <f>IFERROR(__xludf.DUMMYFUNCTION("""COMPUTED_VALUE"""),-1.0)</f>
        <v>-1</v>
      </c>
      <c r="R143" s="16">
        <f>IFERROR(__xludf.DUMMYFUNCTION("""COMPUTED_VALUE"""),0.0)</f>
        <v>0</v>
      </c>
      <c r="S143" s="16">
        <f>IFERROR(__xludf.DUMMYFUNCTION("""COMPUTED_VALUE"""),18.0)</f>
        <v>18</v>
      </c>
      <c r="T143" s="16">
        <f>IFERROR(__xludf.DUMMYFUNCTION("""COMPUTED_VALUE"""),13.0)</f>
        <v>13</v>
      </c>
      <c r="U143" s="16">
        <f>IFERROR(__xludf.DUMMYFUNCTION("""COMPUTED_VALUE"""),0.0)</f>
        <v>0</v>
      </c>
      <c r="V143" s="16">
        <f>IFERROR(__xludf.DUMMYFUNCTION("""COMPUTED_VALUE"""),1.0)</f>
        <v>1</v>
      </c>
      <c r="W143" s="16">
        <f>IFERROR(__xludf.DUMMYFUNCTION("""COMPUTED_VALUE"""),0.0)</f>
        <v>0</v>
      </c>
      <c r="X143" s="16">
        <f>IFERROR(__xludf.DUMMYFUNCTION("""COMPUTED_VALUE"""),2.0)</f>
        <v>2</v>
      </c>
      <c r="Y143" s="16">
        <f>IFERROR(__xludf.DUMMYFUNCTION("""COMPUTED_VALUE"""),29.0)</f>
        <v>29</v>
      </c>
      <c r="Z143" s="16">
        <f>IFERROR(__xludf.DUMMYFUNCTION("""COMPUTED_VALUE"""),21.0)</f>
        <v>21</v>
      </c>
      <c r="AA143" s="16">
        <f>IFERROR(__xludf.DUMMYFUNCTION("""COMPUTED_VALUE"""),0.0)</f>
        <v>0</v>
      </c>
      <c r="AB143" s="16">
        <f>IFERROR(__xludf.DUMMYFUNCTION("""COMPUTED_VALUE"""),1.0)</f>
        <v>1</v>
      </c>
      <c r="AC143" s="16">
        <f>IFERROR(__xludf.DUMMYFUNCTION("""COMPUTED_VALUE"""),0.0)</f>
        <v>0</v>
      </c>
      <c r="AD143" s="16">
        <f>IFERROR(__xludf.DUMMYFUNCTION("""COMPUTED_VALUE"""),5.0)</f>
        <v>5</v>
      </c>
      <c r="AE143" s="16">
        <f>IFERROR(__xludf.DUMMYFUNCTION("""COMPUTED_VALUE"""),28.3)</f>
        <v>28.3</v>
      </c>
      <c r="AF143" s="16">
        <f>IFERROR(__xludf.DUMMYFUNCTION("""COMPUTED_VALUE"""),23.3)</f>
        <v>23.3</v>
      </c>
      <c r="AG143" s="16">
        <f>IFERROR(__xludf.DUMMYFUNCTION("""COMPUTED_VALUE"""),0.0)</f>
        <v>0</v>
      </c>
      <c r="AH143" s="16">
        <f>IFERROR(__xludf.DUMMYFUNCTION("""COMPUTED_VALUE"""),1.0)</f>
        <v>1</v>
      </c>
      <c r="AI143" s="16">
        <f>IFERROR(__xludf.DUMMYFUNCTION("""COMPUTED_VALUE"""),0.0)</f>
        <v>0</v>
      </c>
      <c r="AJ143" s="16">
        <f>IFERROR(__xludf.DUMMYFUNCTION("""COMPUTED_VALUE"""),2.0)</f>
        <v>2</v>
      </c>
      <c r="AK143" s="16">
        <f>IFERROR(__xludf.DUMMYFUNCTION("""COMPUTED_VALUE"""),17.2)</f>
        <v>17.2</v>
      </c>
      <c r="AL143" s="16">
        <f>IFERROR(__xludf.DUMMYFUNCTION("""COMPUTED_VALUE"""),12.6)</f>
        <v>12.6</v>
      </c>
      <c r="AM143" s="16">
        <f>IFERROR(__xludf.DUMMYFUNCTION("""COMPUTED_VALUE"""),-1.0)</f>
        <v>-1</v>
      </c>
      <c r="AN143" s="16">
        <f>IFERROR(__xludf.DUMMYFUNCTION("""COMPUTED_VALUE"""),0.0)</f>
        <v>0</v>
      </c>
      <c r="AO143" s="16">
        <f>IFERROR(__xludf.DUMMYFUNCTION("""COMPUTED_VALUE"""),-1.0)</f>
        <v>-1</v>
      </c>
      <c r="AP143" s="16">
        <f>IFERROR(__xludf.DUMMYFUNCTION("""COMPUTED_VALUE"""),0.0)</f>
        <v>0</v>
      </c>
      <c r="AQ143" s="16">
        <f>IFERROR(__xludf.DUMMYFUNCTION("""COMPUTED_VALUE"""),25.1)</f>
        <v>25.1</v>
      </c>
      <c r="AR143" s="16">
        <f>IFERROR(__xludf.DUMMYFUNCTION("""COMPUTED_VALUE"""),21.7)</f>
        <v>21.7</v>
      </c>
      <c r="AS143" s="16">
        <f>IFERROR(__xludf.DUMMYFUNCTION("""COMPUTED_VALUE"""),-1.0)</f>
        <v>-1</v>
      </c>
      <c r="AT143" s="16">
        <f>IFERROR(__xludf.DUMMYFUNCTION("""COMPUTED_VALUE"""),0.0)</f>
        <v>0</v>
      </c>
      <c r="AU143" s="16">
        <f>IFERROR(__xludf.DUMMYFUNCTION("""COMPUTED_VALUE"""),-2.0)</f>
        <v>-2</v>
      </c>
      <c r="AV143" s="16">
        <f>IFERROR(__xludf.DUMMYFUNCTION("""COMPUTED_VALUE"""),0.0)</f>
        <v>0</v>
      </c>
      <c r="AW143" s="16">
        <f>IFERROR(__xludf.DUMMYFUNCTION("""COMPUTED_VALUE"""),0.8)</f>
        <v>0.8</v>
      </c>
      <c r="AX143" s="16">
        <f>IFERROR(__xludf.DUMMYFUNCTION("""COMPUTED_VALUE"""),0.4)</f>
        <v>0.4</v>
      </c>
      <c r="AY143" s="16">
        <f>IFERROR(__xludf.DUMMYFUNCTION("""COMPUTED_VALUE"""),2.0)</f>
        <v>2</v>
      </c>
      <c r="AZ143" s="16">
        <f>IFERROR(__xludf.DUMMYFUNCTION("""COMPUTED_VALUE"""),2.0)</f>
        <v>2</v>
      </c>
      <c r="BA143" s="16">
        <f>IFERROR(__xludf.DUMMYFUNCTION("""COMPUTED_VALUE"""),10.0)</f>
        <v>10</v>
      </c>
      <c r="BB143" s="16">
        <f>IFERROR(__xludf.DUMMYFUNCTION("""COMPUTED_VALUE"""),10.0)</f>
        <v>10</v>
      </c>
      <c r="BC143" s="16">
        <f>IFERROR(__xludf.DUMMYFUNCTION("""COMPUTED_VALUE"""),1.0)</f>
        <v>1</v>
      </c>
      <c r="BD143" s="16">
        <f>IFERROR(__xludf.DUMMYFUNCTION("""COMPUTED_VALUE"""),0.0)</f>
        <v>0</v>
      </c>
      <c r="BE143" s="16">
        <f>IFERROR(__xludf.DUMMYFUNCTION("""COMPUTED_VALUE"""),1.0)</f>
        <v>1</v>
      </c>
      <c r="BF143" s="16">
        <f>IFERROR(__xludf.DUMMYFUNCTION("""COMPUTED_VALUE"""),0.0)</f>
        <v>0</v>
      </c>
      <c r="BG143" s="16">
        <f>IFERROR(__xludf.DUMMYFUNCTION("""COMPUTED_VALUE"""),2.0)</f>
        <v>2</v>
      </c>
      <c r="BH143" s="16">
        <f>IFERROR(__xludf.DUMMYFUNCTION("""COMPUTED_VALUE"""),2.0)</f>
        <v>2</v>
      </c>
      <c r="BI143" s="16">
        <f>IFERROR(__xludf.DUMMYFUNCTION("""COMPUTED_VALUE"""),4.0)</f>
        <v>4</v>
      </c>
      <c r="BJ143" s="16">
        <f>IFERROR(__xludf.DUMMYFUNCTION("""COMPUTED_VALUE"""),4.0)</f>
        <v>4</v>
      </c>
      <c r="BK143" s="16">
        <f>IFERROR(__xludf.DUMMYFUNCTION("""COMPUTED_VALUE"""),5.0)</f>
        <v>5</v>
      </c>
      <c r="BL143" s="16">
        <f>IFERROR(__xludf.DUMMYFUNCTION("""COMPUTED_VALUE"""),5.0)</f>
        <v>5</v>
      </c>
      <c r="BM143" s="16">
        <f>IFERROR(__xludf.DUMMYFUNCTION("""COMPUTED_VALUE"""),0.0)</f>
        <v>0</v>
      </c>
      <c r="BN143" s="16">
        <f>IFERROR(__xludf.DUMMYFUNCTION("""COMPUTED_VALUE"""),0.0)</f>
        <v>0</v>
      </c>
      <c r="BO143" s="16">
        <f>IFERROR(__xludf.DUMMYFUNCTION("""COMPUTED_VALUE"""),0.0)</f>
        <v>0</v>
      </c>
      <c r="BP143" s="16">
        <f>IFERROR(__xludf.DUMMYFUNCTION("""COMPUTED_VALUE"""),0.0)</f>
        <v>0</v>
      </c>
      <c r="BQ143" s="16">
        <f>IFERROR(__xludf.DUMMYFUNCTION("""COMPUTED_VALUE"""),2.0)</f>
        <v>2</v>
      </c>
      <c r="BR143" s="16">
        <f>IFERROR(__xludf.DUMMYFUNCTION("""COMPUTED_VALUE"""),2.0)</f>
        <v>2</v>
      </c>
      <c r="BS143" s="16">
        <f>IFERROR(__xludf.DUMMYFUNCTION("""COMPUTED_VALUE"""),-2.0)</f>
        <v>-2</v>
      </c>
      <c r="BT143" s="16">
        <f>IFERROR(__xludf.DUMMYFUNCTION("""COMPUTED_VALUE"""),-2.0)</f>
        <v>-2</v>
      </c>
      <c r="BU143" s="16">
        <f>IFERROR(__xludf.DUMMYFUNCTION("""COMPUTED_VALUE"""),-4.0)</f>
        <v>-4</v>
      </c>
      <c r="BV143" s="16">
        <f>IFERROR(__xludf.DUMMYFUNCTION("""COMPUTED_VALUE"""),-4.0)</f>
        <v>-4</v>
      </c>
      <c r="BW143" s="16">
        <f>IFERROR(__xludf.DUMMYFUNCTION("""COMPUTED_VALUE"""),0.0)</f>
        <v>0</v>
      </c>
      <c r="BX143" s="16">
        <f>IFERROR(__xludf.DUMMYFUNCTION("""COMPUTED_VALUE"""),0.0)</f>
        <v>0</v>
      </c>
      <c r="BY143" s="16" t="str">
        <f>IFERROR(__xludf.DUMMYFUNCTION("""COMPUTED_VALUE"""),"R(2)")</f>
        <v>R(2)</v>
      </c>
      <c r="BZ143" s="16" t="str">
        <f>IFERROR(__xludf.DUMMYFUNCTION("""COMPUTED_VALUE"""),"R(2)")</f>
        <v>R(2)</v>
      </c>
      <c r="CA143" s="16" t="str">
        <f>IFERROR(__xludf.DUMMYFUNCTION("""COMPUTED_VALUE"""),"R(2)")</f>
        <v>R(2)</v>
      </c>
      <c r="CB143" s="16"/>
      <c r="CC143" s="16"/>
      <c r="CD143" s="16"/>
      <c r="CE143" s="16">
        <f>IFERROR(__xludf.DUMMYFUNCTION("""COMPUTED_VALUE"""),2.0)</f>
        <v>2</v>
      </c>
      <c r="CF143" s="16"/>
      <c r="CG143" s="16" t="str">
        <f>IFERROR(__xludf.DUMMYFUNCTION("""COMPUTED_VALUE"""),"2-0")</f>
        <v>2-0</v>
      </c>
      <c r="CH143" s="16">
        <f>IFERROR(__xludf.DUMMYFUNCTION("""COMPUTED_VALUE"""),2.0)</f>
        <v>2</v>
      </c>
      <c r="CI143" s="16">
        <f>IFERROR(__xludf.DUMMYFUNCTION("""COMPUTED_VALUE"""),0.0)</f>
        <v>0</v>
      </c>
      <c r="CJ143" s="16">
        <f>IFERROR(__xludf.DUMMYFUNCTION("""COMPUTED_VALUE"""),0.0)</f>
        <v>0</v>
      </c>
      <c r="CK143" s="16">
        <f>IFERROR(__xludf.DUMMYFUNCTION("""COMPUTED_VALUE"""),17.0)</f>
        <v>17</v>
      </c>
      <c r="CL143" s="16" t="str">
        <f>IFERROR(__xludf.DUMMYFUNCTION("""COMPUTED_VALUE"""),"1WR-C")</f>
        <v>1WR-C</v>
      </c>
      <c r="CM143" s="16" t="str">
        <f>IFERROR(__xludf.DUMMYFUNCTION("""COMPUTED_VALUE"""),"E")</f>
        <v>E</v>
      </c>
      <c r="CN143" s="16">
        <f>IFERROR(__xludf.DUMMYFUNCTION("""COMPUTED_VALUE"""),10.0)</f>
        <v>10</v>
      </c>
      <c r="CO143" s="16" t="str">
        <f>IFERROR(__xludf.DUMMYFUNCTION("""COMPUTED_VALUE"""),"C")</f>
        <v>C</v>
      </c>
      <c r="CP143" s="16" t="str">
        <f>IFERROR(__xludf.DUMMYFUNCTION("""COMPUTED_VALUE"""),"5p30")</f>
        <v>5p30</v>
      </c>
      <c r="CQ143" s="16">
        <f>IFERROR(__xludf.DUMMYFUNCTION("""COMPUTED_VALUE"""),9.0)</f>
        <v>9</v>
      </c>
      <c r="CR143" s="16">
        <f>IFERROR(__xludf.DUMMYFUNCTION("""COMPUTED_VALUE"""),19.0)</f>
        <v>19</v>
      </c>
      <c r="CS143" s="16">
        <f>IFERROR(__xludf.DUMMYFUNCTION("""COMPUTED_VALUE"""),28.0)</f>
        <v>28</v>
      </c>
      <c r="CT143" s="16">
        <f>IFERROR(__xludf.DUMMYFUNCTION("""COMPUTED_VALUE"""),9.0)</f>
        <v>9</v>
      </c>
      <c r="CU143" s="16">
        <f>IFERROR(__xludf.DUMMYFUNCTION("""COMPUTED_VALUE"""),19.0)</f>
        <v>19</v>
      </c>
      <c r="CV143" s="179">
        <f>IFERROR(__xludf.DUMMYFUNCTION("""COMPUTED_VALUE"""),14.333333333333334)</f>
        <v>14.33333333</v>
      </c>
      <c r="CW143" s="179">
        <f>IFERROR(__xludf.DUMMYFUNCTION("""COMPUTED_VALUE"""),0.0)</f>
        <v>0</v>
      </c>
      <c r="CX143" s="179">
        <f>IFERROR(__xludf.DUMMYFUNCTION("""COMPUTED_VALUE"""),2.0)</f>
        <v>2</v>
      </c>
      <c r="CY143" s="16" t="str">
        <f>IFERROR(__xludf.DUMMYFUNCTION("""COMPUTED_VALUE"""),"RP")</f>
        <v>RP</v>
      </c>
      <c r="CZ143" s="16"/>
      <c r="DA143" s="16"/>
      <c r="DB143" s="16"/>
      <c r="DC143" s="16"/>
      <c r="DD143" s="16"/>
      <c r="DE143" s="16"/>
      <c r="DF143" s="16"/>
      <c r="DG143" s="16"/>
      <c r="DH143" s="16"/>
      <c r="DI143" s="16"/>
      <c r="DJ143" s="16"/>
      <c r="DK143" s="16"/>
    </row>
    <row r="144">
      <c r="A144" s="16">
        <f>IFERROR(__xludf.DUMMYFUNCTION("""COMPUTED_VALUE"""),12702.0)</f>
        <v>12702</v>
      </c>
      <c r="B144" s="16" t="str">
        <f>IFERROR(__xludf.DUMMYFUNCTION("""COMPUTED_VALUE"""),"Collin Snider")</f>
        <v>Collin Snider</v>
      </c>
      <c r="C144" s="153">
        <f>IFERROR(__xludf.DUMMYFUNCTION("""COMPUTED_VALUE"""),1.04)</f>
        <v>1.04</v>
      </c>
      <c r="D144" s="16"/>
      <c r="E144" s="16" t="str">
        <f>IFERROR(__xludf.DUMMYFUNCTION("""COMPUTED_VALUE"""),"R")</f>
        <v>R</v>
      </c>
      <c r="F144" s="16">
        <f>IFERROR(__xludf.DUMMYFUNCTION("""COMPUTED_VALUE"""),42.0)</f>
        <v>42</v>
      </c>
      <c r="G144" s="16">
        <f>IFERROR(__xludf.DUMMYFUNCTION("""COMPUTED_VALUE"""),27.0)</f>
        <v>27</v>
      </c>
      <c r="H144" s="16">
        <f>IFERROR(__xludf.DUMMYFUNCTION("""COMPUTED_VALUE"""),43.0)</f>
        <v>43</v>
      </c>
      <c r="I144" s="16">
        <f>IFERROR(__xludf.DUMMYFUNCTION("""COMPUTED_VALUE"""),0.0)</f>
        <v>0</v>
      </c>
      <c r="J144" s="16">
        <f>IFERROR(__xludf.DUMMYFUNCTION("""COMPUTED_VALUE"""),2.0)</f>
        <v>2</v>
      </c>
      <c r="K144" s="16">
        <f>IFERROR(__xludf.DUMMYFUNCTION("""COMPUTED_VALUE"""),0.0)</f>
        <v>0</v>
      </c>
      <c r="L144" s="16">
        <f>IFERROR(__xludf.DUMMYFUNCTION("""COMPUTED_VALUE"""),6.0)</f>
        <v>6</v>
      </c>
      <c r="M144" s="16">
        <f>IFERROR(__xludf.DUMMYFUNCTION("""COMPUTED_VALUE"""),2.0)</f>
        <v>2</v>
      </c>
      <c r="N144" s="16">
        <f>IFERROR(__xludf.DUMMYFUNCTION("""COMPUTED_VALUE"""),8.0)</f>
        <v>8</v>
      </c>
      <c r="O144" s="16">
        <f>IFERROR(__xludf.DUMMYFUNCTION("""COMPUTED_VALUE"""),2.0)</f>
        <v>2</v>
      </c>
      <c r="P144" s="16">
        <f>IFERROR(__xludf.DUMMYFUNCTION("""COMPUTED_VALUE"""),0.0)</f>
        <v>0</v>
      </c>
      <c r="Q144" s="16">
        <f>IFERROR(__xludf.DUMMYFUNCTION("""COMPUTED_VALUE"""),2.0)</f>
        <v>2</v>
      </c>
      <c r="R144" s="16">
        <f>IFERROR(__xludf.DUMMYFUNCTION("""COMPUTED_VALUE"""),0.0)</f>
        <v>0</v>
      </c>
      <c r="S144" s="16">
        <f>IFERROR(__xludf.DUMMYFUNCTION("""COMPUTED_VALUE"""),22.5)</f>
        <v>22.5</v>
      </c>
      <c r="T144" s="16">
        <f>IFERROR(__xludf.DUMMYFUNCTION("""COMPUTED_VALUE"""),8.9)</f>
        <v>8.9</v>
      </c>
      <c r="U144" s="16">
        <f>IFERROR(__xludf.DUMMYFUNCTION("""COMPUTED_VALUE"""),-1.0)</f>
        <v>-1</v>
      </c>
      <c r="V144" s="16">
        <f>IFERROR(__xludf.DUMMYFUNCTION("""COMPUTED_VALUE"""),1.0)</f>
        <v>1</v>
      </c>
      <c r="W144" s="16">
        <f>IFERROR(__xludf.DUMMYFUNCTION("""COMPUTED_VALUE"""),-2.0)</f>
        <v>-2</v>
      </c>
      <c r="X144" s="16">
        <f>IFERROR(__xludf.DUMMYFUNCTION("""COMPUTED_VALUE"""),2.0)</f>
        <v>2</v>
      </c>
      <c r="Y144" s="16">
        <f>IFERROR(__xludf.DUMMYFUNCTION("""COMPUTED_VALUE"""),24.5)</f>
        <v>24.5</v>
      </c>
      <c r="Z144" s="16">
        <f>IFERROR(__xludf.DUMMYFUNCTION("""COMPUTED_VALUE"""),16.8)</f>
        <v>16.8</v>
      </c>
      <c r="AA144" s="16">
        <f>IFERROR(__xludf.DUMMYFUNCTION("""COMPUTED_VALUE"""),0.0)</f>
        <v>0</v>
      </c>
      <c r="AB144" s="16">
        <f>IFERROR(__xludf.DUMMYFUNCTION("""COMPUTED_VALUE"""),1.0)</f>
        <v>1</v>
      </c>
      <c r="AC144" s="16">
        <f>IFERROR(__xludf.DUMMYFUNCTION("""COMPUTED_VALUE"""),0.0)</f>
        <v>0</v>
      </c>
      <c r="AD144" s="16">
        <f>IFERROR(__xludf.DUMMYFUNCTION("""COMPUTED_VALUE"""),5.0)</f>
        <v>5</v>
      </c>
      <c r="AE144" s="16">
        <f>IFERROR(__xludf.DUMMYFUNCTION("""COMPUTED_VALUE"""),29.7)</f>
        <v>29.7</v>
      </c>
      <c r="AF144" s="16">
        <f>IFERROR(__xludf.DUMMYFUNCTION("""COMPUTED_VALUE"""),23.0)</f>
        <v>23</v>
      </c>
      <c r="AG144" s="16">
        <f>IFERROR(__xludf.DUMMYFUNCTION("""COMPUTED_VALUE"""),0.0)</f>
        <v>0</v>
      </c>
      <c r="AH144" s="16">
        <f>IFERROR(__xludf.DUMMYFUNCTION("""COMPUTED_VALUE"""),1.0)</f>
        <v>1</v>
      </c>
      <c r="AI144" s="16">
        <f>IFERROR(__xludf.DUMMYFUNCTION("""COMPUTED_VALUE"""),0.0)</f>
        <v>0</v>
      </c>
      <c r="AJ144" s="16">
        <f>IFERROR(__xludf.DUMMYFUNCTION("""COMPUTED_VALUE"""),2.0)</f>
        <v>2</v>
      </c>
      <c r="AK144" s="16">
        <f>IFERROR(__xludf.DUMMYFUNCTION("""COMPUTED_VALUE"""),22.5)</f>
        <v>22.5</v>
      </c>
      <c r="AL144" s="16">
        <f>IFERROR(__xludf.DUMMYFUNCTION("""COMPUTED_VALUE"""),5.7)</f>
        <v>5.7</v>
      </c>
      <c r="AM144" s="16">
        <f>IFERROR(__xludf.DUMMYFUNCTION("""COMPUTED_VALUE"""),-2.0)</f>
        <v>-2</v>
      </c>
      <c r="AN144" s="16">
        <f>IFERROR(__xludf.DUMMYFUNCTION("""COMPUTED_VALUE"""),2.0)</f>
        <v>2</v>
      </c>
      <c r="AO144" s="16">
        <f>IFERROR(__xludf.DUMMYFUNCTION("""COMPUTED_VALUE"""),-2.0)</f>
        <v>-2</v>
      </c>
      <c r="AP144" s="16">
        <f>IFERROR(__xludf.DUMMYFUNCTION("""COMPUTED_VALUE"""),2.0)</f>
        <v>2</v>
      </c>
      <c r="AQ144" s="16">
        <f>IFERROR(__xludf.DUMMYFUNCTION("""COMPUTED_VALUE"""),29.7)</f>
        <v>29.7</v>
      </c>
      <c r="AR144" s="16">
        <f>IFERROR(__xludf.DUMMYFUNCTION("""COMPUTED_VALUE"""),10.2)</f>
        <v>10.2</v>
      </c>
      <c r="AS144" s="16">
        <f>IFERROR(__xludf.DUMMYFUNCTION("""COMPUTED_VALUE"""),-1.0)</f>
        <v>-1</v>
      </c>
      <c r="AT144" s="16">
        <f>IFERROR(__xludf.DUMMYFUNCTION("""COMPUTED_VALUE"""),1.0)</f>
        <v>1</v>
      </c>
      <c r="AU144" s="16">
        <f>IFERROR(__xludf.DUMMYFUNCTION("""COMPUTED_VALUE"""),-2.0)</f>
        <v>-2</v>
      </c>
      <c r="AV144" s="16">
        <f>IFERROR(__xludf.DUMMYFUNCTION("""COMPUTED_VALUE"""),2.0)</f>
        <v>2</v>
      </c>
      <c r="AW144" s="16">
        <f>IFERROR(__xludf.DUMMYFUNCTION("""COMPUTED_VALUE"""),0.0)</f>
        <v>0</v>
      </c>
      <c r="AX144" s="16">
        <f>IFERROR(__xludf.DUMMYFUNCTION("""COMPUTED_VALUE"""),3.2)</f>
        <v>3.2</v>
      </c>
      <c r="AY144" s="16">
        <f>IFERROR(__xludf.DUMMYFUNCTION("""COMPUTED_VALUE"""),2.0)</f>
        <v>2</v>
      </c>
      <c r="AZ144" s="16">
        <f>IFERROR(__xludf.DUMMYFUNCTION("""COMPUTED_VALUE"""),-1.0)</f>
        <v>-1</v>
      </c>
      <c r="BA144" s="16">
        <f>IFERROR(__xludf.DUMMYFUNCTION("""COMPUTED_VALUE"""),10.0)</f>
        <v>10</v>
      </c>
      <c r="BB144" s="16">
        <f>IFERROR(__xludf.DUMMYFUNCTION("""COMPUTED_VALUE"""),-5.0)</f>
        <v>-5</v>
      </c>
      <c r="BC144" s="16">
        <f>IFERROR(__xludf.DUMMYFUNCTION("""COMPUTED_VALUE"""),0.0)</f>
        <v>0</v>
      </c>
      <c r="BD144" s="16">
        <f>IFERROR(__xludf.DUMMYFUNCTION("""COMPUTED_VALUE"""),6.0)</f>
        <v>6</v>
      </c>
      <c r="BE144" s="16">
        <f>IFERROR(__xludf.DUMMYFUNCTION("""COMPUTED_VALUE"""),0.0)</f>
        <v>0</v>
      </c>
      <c r="BF144" s="16">
        <f>IFERROR(__xludf.DUMMYFUNCTION("""COMPUTED_VALUE"""),6.0)</f>
        <v>6</v>
      </c>
      <c r="BG144" s="16">
        <f>IFERROR(__xludf.DUMMYFUNCTION("""COMPUTED_VALUE"""),3.0)</f>
        <v>3</v>
      </c>
      <c r="BH144" s="16">
        <f>IFERROR(__xludf.DUMMYFUNCTION("""COMPUTED_VALUE"""),-2.0)</f>
        <v>-2</v>
      </c>
      <c r="BI144" s="16">
        <f>IFERROR(__xludf.DUMMYFUNCTION("""COMPUTED_VALUE"""),6.0)</f>
        <v>6</v>
      </c>
      <c r="BJ144" s="16">
        <f>IFERROR(__xludf.DUMMYFUNCTION("""COMPUTED_VALUE"""),-4.0)</f>
        <v>-4</v>
      </c>
      <c r="BK144" s="16">
        <f>IFERROR(__xludf.DUMMYFUNCTION("""COMPUTED_VALUE"""),5.0)</f>
        <v>5</v>
      </c>
      <c r="BL144" s="16">
        <f>IFERROR(__xludf.DUMMYFUNCTION("""COMPUTED_VALUE"""),5.0)</f>
        <v>5</v>
      </c>
      <c r="BM144" s="16">
        <f>IFERROR(__xludf.DUMMYFUNCTION("""COMPUTED_VALUE"""),0.0)</f>
        <v>0</v>
      </c>
      <c r="BN144" s="16">
        <f>IFERROR(__xludf.DUMMYFUNCTION("""COMPUTED_VALUE"""),0.0)</f>
        <v>0</v>
      </c>
      <c r="BO144" s="16">
        <f>IFERROR(__xludf.DUMMYFUNCTION("""COMPUTED_VALUE"""),0.0)</f>
        <v>0</v>
      </c>
      <c r="BP144" s="16">
        <f>IFERROR(__xludf.DUMMYFUNCTION("""COMPUTED_VALUE"""),0.0)</f>
        <v>0</v>
      </c>
      <c r="BQ144" s="16">
        <f>IFERROR(__xludf.DUMMYFUNCTION("""COMPUTED_VALUE"""),9.0)</f>
        <v>9</v>
      </c>
      <c r="BR144" s="16">
        <f>IFERROR(__xludf.DUMMYFUNCTION("""COMPUTED_VALUE"""),2.0)</f>
        <v>2</v>
      </c>
      <c r="BS144" s="16">
        <f>IFERROR(__xludf.DUMMYFUNCTION("""COMPUTED_VALUE"""),3.0)</f>
        <v>3</v>
      </c>
      <c r="BT144" s="16">
        <f>IFERROR(__xludf.DUMMYFUNCTION("""COMPUTED_VALUE"""),-2.0)</f>
        <v>-2</v>
      </c>
      <c r="BU144" s="16">
        <f>IFERROR(__xludf.DUMMYFUNCTION("""COMPUTED_VALUE"""),6.0)</f>
        <v>6</v>
      </c>
      <c r="BV144" s="16">
        <f>IFERROR(__xludf.DUMMYFUNCTION("""COMPUTED_VALUE"""),-4.0)</f>
        <v>-4</v>
      </c>
      <c r="BW144" s="16">
        <f>IFERROR(__xludf.DUMMYFUNCTION("""COMPUTED_VALUE"""),1.0)</f>
        <v>1</v>
      </c>
      <c r="BX144" s="16">
        <f>IFERROR(__xludf.DUMMYFUNCTION("""COMPUTED_VALUE"""),1.0)</f>
        <v>1</v>
      </c>
      <c r="BY144" s="16" t="str">
        <f>IFERROR(__xludf.DUMMYFUNCTION("""COMPUTED_VALUE"""),"R(1)")</f>
        <v>R(1)</v>
      </c>
      <c r="BZ144" s="16" t="str">
        <f>IFERROR(__xludf.DUMMYFUNCTION("""COMPUTED_VALUE"""),"R(1)")</f>
        <v>R(1)</v>
      </c>
      <c r="CA144" s="16" t="str">
        <f>IFERROR(__xludf.DUMMYFUNCTION("""COMPUTED_VALUE"""),"R(1)")</f>
        <v>R(1)</v>
      </c>
      <c r="CB144" s="16"/>
      <c r="CC144" s="16"/>
      <c r="CD144" s="16"/>
      <c r="CE144" s="16">
        <f>IFERROR(__xludf.DUMMYFUNCTION("""COMPUTED_VALUE"""),1.0)</f>
        <v>1</v>
      </c>
      <c r="CF144" s="16"/>
      <c r="CG144" s="16" t="str">
        <f>IFERROR(__xludf.DUMMYFUNCTION("""COMPUTED_VALUE"""),"3-34")</f>
        <v>3-34</v>
      </c>
      <c r="CH144" s="16">
        <f>IFERROR(__xludf.DUMMYFUNCTION("""COMPUTED_VALUE"""),3.0)</f>
        <v>3</v>
      </c>
      <c r="CI144" s="16">
        <f>IFERROR(__xludf.DUMMYFUNCTION("""COMPUTED_VALUE"""),34.0)</f>
        <v>34</v>
      </c>
      <c r="CJ144" s="16">
        <f>IFERROR(__xludf.DUMMYFUNCTION("""COMPUTED_VALUE"""),0.0)</f>
        <v>0</v>
      </c>
      <c r="CK144" s="16">
        <f>IFERROR(__xludf.DUMMYFUNCTION("""COMPUTED_VALUE"""),5.0)</f>
        <v>5</v>
      </c>
      <c r="CL144" s="16" t="str">
        <f>IFERROR(__xludf.DUMMYFUNCTION("""COMPUTED_VALUE"""),"1WR-C")</f>
        <v>1WR-C</v>
      </c>
      <c r="CM144" s="16" t="str">
        <f>IFERROR(__xludf.DUMMYFUNCTION("""COMPUTED_VALUE"""),"E")</f>
        <v>E</v>
      </c>
      <c r="CN144" s="16">
        <f>IFERROR(__xludf.DUMMYFUNCTION("""COMPUTED_VALUE"""),10.0)</f>
        <v>10</v>
      </c>
      <c r="CO144" s="16" t="str">
        <f>IFERROR(__xludf.DUMMYFUNCTION("""COMPUTED_VALUE"""),"C")</f>
        <v>C</v>
      </c>
      <c r="CP144" s="16" t="str">
        <f>IFERROR(__xludf.DUMMYFUNCTION("""COMPUTED_VALUE"""),"2p40")</f>
        <v>2p40</v>
      </c>
      <c r="CQ144" s="16">
        <f>IFERROR(__xludf.DUMMYFUNCTION("""COMPUTED_VALUE"""),18.0)</f>
        <v>18</v>
      </c>
      <c r="CR144" s="16">
        <f>IFERROR(__xludf.DUMMYFUNCTION("""COMPUTED_VALUE"""),6.0)</f>
        <v>6</v>
      </c>
      <c r="CS144" s="16">
        <f>IFERROR(__xludf.DUMMYFUNCTION("""COMPUTED_VALUE"""),24.0)</f>
        <v>24</v>
      </c>
      <c r="CT144" s="16">
        <f>IFERROR(__xludf.DUMMYFUNCTION("""COMPUTED_VALUE"""),18.0)</f>
        <v>18</v>
      </c>
      <c r="CU144" s="16">
        <f>IFERROR(__xludf.DUMMYFUNCTION("""COMPUTED_VALUE"""),6.0)</f>
        <v>6</v>
      </c>
      <c r="CV144" s="179">
        <f>IFERROR(__xludf.DUMMYFUNCTION("""COMPUTED_VALUE"""),14.0)</f>
        <v>14</v>
      </c>
      <c r="CW144" s="179">
        <f>IFERROR(__xludf.DUMMYFUNCTION("""COMPUTED_VALUE"""),3.0)</f>
        <v>3</v>
      </c>
      <c r="CX144" s="179">
        <f>IFERROR(__xludf.DUMMYFUNCTION("""COMPUTED_VALUE"""),1.0)</f>
        <v>1</v>
      </c>
      <c r="CY144" s="16" t="str">
        <f>IFERROR(__xludf.DUMMYFUNCTION("""COMPUTED_VALUE"""),"RP")</f>
        <v>RP</v>
      </c>
      <c r="CZ144" s="16"/>
      <c r="DA144" s="16"/>
      <c r="DB144" s="16"/>
      <c r="DC144" s="16"/>
      <c r="DD144" s="16"/>
      <c r="DE144" s="16"/>
      <c r="DF144" s="16"/>
      <c r="DG144" s="16"/>
      <c r="DH144" s="16"/>
      <c r="DI144" s="16"/>
      <c r="DJ144" s="16"/>
      <c r="DK144" s="16"/>
    </row>
    <row r="145">
      <c r="A145" s="16">
        <f>IFERROR(__xludf.DUMMYFUNCTION("""COMPUTED_VALUE"""),12822.0)</f>
        <v>12822</v>
      </c>
      <c r="B145" s="16" t="str">
        <f>IFERROR(__xludf.DUMMYFUNCTION("""COMPUTED_VALUE"""),"Fraser Ellard")</f>
        <v>Fraser Ellard</v>
      </c>
      <c r="C145" s="153">
        <f>IFERROR(__xludf.DUMMYFUNCTION("""COMPUTED_VALUE"""),0.4)</f>
        <v>0.4</v>
      </c>
      <c r="D145" s="16"/>
      <c r="E145" s="16" t="str">
        <f>IFERROR(__xludf.DUMMYFUNCTION("""COMPUTED_VALUE"""),"L")</f>
        <v>L</v>
      </c>
      <c r="F145" s="16">
        <f>IFERROR(__xludf.DUMMYFUNCTION("""COMPUTED_VALUE"""),24.0)</f>
        <v>24</v>
      </c>
      <c r="G145" s="16">
        <f>IFERROR(__xludf.DUMMYFUNCTION("""COMPUTED_VALUE"""),32.0)</f>
        <v>32</v>
      </c>
      <c r="H145" s="16">
        <f>IFERROR(__xludf.DUMMYFUNCTION("""COMPUTED_VALUE"""),36.0)</f>
        <v>36</v>
      </c>
      <c r="I145" s="16">
        <f>IFERROR(__xludf.DUMMYFUNCTION("""COMPUTED_VALUE"""),1.0)</f>
        <v>1</v>
      </c>
      <c r="J145" s="16">
        <f>IFERROR(__xludf.DUMMYFUNCTION("""COMPUTED_VALUE"""),1.0)</f>
        <v>1</v>
      </c>
      <c r="K145" s="16">
        <f>IFERROR(__xludf.DUMMYFUNCTION("""COMPUTED_VALUE"""),3.0)</f>
        <v>3</v>
      </c>
      <c r="L145" s="16">
        <f>IFERROR(__xludf.DUMMYFUNCTION("""COMPUTED_VALUE"""),3.0)</f>
        <v>3</v>
      </c>
      <c r="M145" s="16">
        <f>IFERROR(__xludf.DUMMYFUNCTION("""COMPUTED_VALUE"""),7.0)</f>
        <v>7</v>
      </c>
      <c r="N145" s="16">
        <f>IFERROR(__xludf.DUMMYFUNCTION("""COMPUTED_VALUE"""),17.0)</f>
        <v>17</v>
      </c>
      <c r="O145" s="16">
        <f>IFERROR(__xludf.DUMMYFUNCTION("""COMPUTED_VALUE"""),1.0)</f>
        <v>1</v>
      </c>
      <c r="P145" s="16">
        <f>IFERROR(__xludf.DUMMYFUNCTION("""COMPUTED_VALUE"""),-3.0)</f>
        <v>-3</v>
      </c>
      <c r="Q145" s="16">
        <f>IFERROR(__xludf.DUMMYFUNCTION("""COMPUTED_VALUE"""),1.0)</f>
        <v>1</v>
      </c>
      <c r="R145" s="16">
        <f>IFERROR(__xludf.DUMMYFUNCTION("""COMPUTED_VALUE"""),-3.0)</f>
        <v>-3</v>
      </c>
      <c r="S145" s="16">
        <f>IFERROR(__xludf.DUMMYFUNCTION("""COMPUTED_VALUE"""),14.6)</f>
        <v>14.6</v>
      </c>
      <c r="T145" s="16">
        <f>IFERROR(__xludf.DUMMYFUNCTION("""COMPUTED_VALUE"""),3.0)</f>
        <v>3</v>
      </c>
      <c r="U145" s="16">
        <f>IFERROR(__xludf.DUMMYFUNCTION("""COMPUTED_VALUE"""),0.0)</f>
        <v>0</v>
      </c>
      <c r="V145" s="16">
        <f>IFERROR(__xludf.DUMMYFUNCTION("""COMPUTED_VALUE"""),2.0)</f>
        <v>2</v>
      </c>
      <c r="W145" s="16">
        <f>IFERROR(__xludf.DUMMYFUNCTION("""COMPUTED_VALUE"""),0.0)</f>
        <v>0</v>
      </c>
      <c r="X145" s="16">
        <f>IFERROR(__xludf.DUMMYFUNCTION("""COMPUTED_VALUE"""),4.0)</f>
        <v>4</v>
      </c>
      <c r="Y145" s="16">
        <f>IFERROR(__xludf.DUMMYFUNCTION("""COMPUTED_VALUE"""),21.5)</f>
        <v>21.5</v>
      </c>
      <c r="Z145" s="16">
        <f>IFERROR(__xludf.DUMMYFUNCTION("""COMPUTED_VALUE"""),20.0)</f>
        <v>20</v>
      </c>
      <c r="AA145" s="16">
        <f>IFERROR(__xludf.DUMMYFUNCTION("""COMPUTED_VALUE"""),1.0)</f>
        <v>1</v>
      </c>
      <c r="AB145" s="16">
        <f>IFERROR(__xludf.DUMMYFUNCTION("""COMPUTED_VALUE"""),1.0)</f>
        <v>1</v>
      </c>
      <c r="AC145" s="16">
        <f>IFERROR(__xludf.DUMMYFUNCTION("""COMPUTED_VALUE"""),5.0)</f>
        <v>5</v>
      </c>
      <c r="AD145" s="16">
        <f>IFERROR(__xludf.DUMMYFUNCTION("""COMPUTED_VALUE"""),5.0)</f>
        <v>5</v>
      </c>
      <c r="AE145" s="16">
        <f>IFERROR(__xludf.DUMMYFUNCTION("""COMPUTED_VALUE"""),24.0)</f>
        <v>24</v>
      </c>
      <c r="AF145" s="16">
        <f>IFERROR(__xludf.DUMMYFUNCTION("""COMPUTED_VALUE"""),11.4)</f>
        <v>11.4</v>
      </c>
      <c r="AG145" s="16">
        <f>IFERROR(__xludf.DUMMYFUNCTION("""COMPUTED_VALUE"""),0.0)</f>
        <v>0</v>
      </c>
      <c r="AH145" s="16">
        <f>IFERROR(__xludf.DUMMYFUNCTION("""COMPUTED_VALUE"""),2.0)</f>
        <v>2</v>
      </c>
      <c r="AI145" s="16">
        <f>IFERROR(__xludf.DUMMYFUNCTION("""COMPUTED_VALUE"""),0.0)</f>
        <v>0</v>
      </c>
      <c r="AJ145" s="16">
        <f>IFERROR(__xludf.DUMMYFUNCTION("""COMPUTED_VALUE"""),4.0)</f>
        <v>4</v>
      </c>
      <c r="AK145" s="16">
        <f>IFERROR(__xludf.DUMMYFUNCTION("""COMPUTED_VALUE"""),13.4)</f>
        <v>13.4</v>
      </c>
      <c r="AL145" s="16">
        <f>IFERROR(__xludf.DUMMYFUNCTION("""COMPUTED_VALUE"""),0.20000000000000018)</f>
        <v>0.2</v>
      </c>
      <c r="AM145" s="16">
        <f>IFERROR(__xludf.DUMMYFUNCTION("""COMPUTED_VALUE"""),0.0)</f>
        <v>0</v>
      </c>
      <c r="AN145" s="16">
        <f>IFERROR(__xludf.DUMMYFUNCTION("""COMPUTED_VALUE"""),2.0)</f>
        <v>2</v>
      </c>
      <c r="AO145" s="16">
        <f>IFERROR(__xludf.DUMMYFUNCTION("""COMPUTED_VALUE"""),0.0)</f>
        <v>0</v>
      </c>
      <c r="AP145" s="16">
        <f>IFERROR(__xludf.DUMMYFUNCTION("""COMPUTED_VALUE"""),2.0)</f>
        <v>2</v>
      </c>
      <c r="AQ145" s="16">
        <f>IFERROR(__xludf.DUMMYFUNCTION("""COMPUTED_VALUE"""),19.2)</f>
        <v>19.2</v>
      </c>
      <c r="AR145" s="16">
        <f>IFERROR(__xludf.DUMMYFUNCTION("""COMPUTED_VALUE"""),0.20000000000000107)</f>
        <v>0.2</v>
      </c>
      <c r="AS145" s="16">
        <f>IFERROR(__xludf.DUMMYFUNCTION("""COMPUTED_VALUE"""),0.0)</f>
        <v>0</v>
      </c>
      <c r="AT145" s="16">
        <f>IFERROR(__xludf.DUMMYFUNCTION("""COMPUTED_VALUE"""),2.0)</f>
        <v>2</v>
      </c>
      <c r="AU145" s="16">
        <f>IFERROR(__xludf.DUMMYFUNCTION("""COMPUTED_VALUE"""),0.0)</f>
        <v>0</v>
      </c>
      <c r="AV145" s="16">
        <f>IFERROR(__xludf.DUMMYFUNCTION("""COMPUTED_VALUE"""),4.0)</f>
        <v>4</v>
      </c>
      <c r="AW145" s="16">
        <f>IFERROR(__xludf.DUMMYFUNCTION("""COMPUTED_VALUE"""),1.2)</f>
        <v>1.2</v>
      </c>
      <c r="AX145" s="16">
        <f>IFERROR(__xludf.DUMMYFUNCTION("""COMPUTED_VALUE"""),2.8)</f>
        <v>2.8</v>
      </c>
      <c r="AY145" s="16">
        <f>IFERROR(__xludf.DUMMYFUNCTION("""COMPUTED_VALUE"""),1.0)</f>
        <v>1</v>
      </c>
      <c r="AZ145" s="16">
        <f>IFERROR(__xludf.DUMMYFUNCTION("""COMPUTED_VALUE"""),-1.0)</f>
        <v>-1</v>
      </c>
      <c r="BA145" s="16">
        <f>IFERROR(__xludf.DUMMYFUNCTION("""COMPUTED_VALUE"""),5.0)</f>
        <v>5</v>
      </c>
      <c r="BB145" s="16">
        <f>IFERROR(__xludf.DUMMYFUNCTION("""COMPUTED_VALUE"""),-5.0)</f>
        <v>-5</v>
      </c>
      <c r="BC145" s="16">
        <f>IFERROR(__xludf.DUMMYFUNCTION("""COMPUTED_VALUE"""),2.0)</f>
        <v>2</v>
      </c>
      <c r="BD145" s="16"/>
      <c r="BE145" s="16">
        <f>IFERROR(__xludf.DUMMYFUNCTION("""COMPUTED_VALUE"""),2.0)</f>
        <v>2</v>
      </c>
      <c r="BF145" s="16">
        <f>IFERROR(__xludf.DUMMYFUNCTION("""COMPUTED_VALUE"""),5.0)</f>
        <v>5</v>
      </c>
      <c r="BG145" s="16">
        <f>IFERROR(__xludf.DUMMYFUNCTION("""COMPUTED_VALUE"""),1.0)</f>
        <v>1</v>
      </c>
      <c r="BH145" s="16">
        <f>IFERROR(__xludf.DUMMYFUNCTION("""COMPUTED_VALUE"""),-2.0)</f>
        <v>-2</v>
      </c>
      <c r="BI145" s="16">
        <f>IFERROR(__xludf.DUMMYFUNCTION("""COMPUTED_VALUE"""),2.0)</f>
        <v>2</v>
      </c>
      <c r="BJ145" s="16">
        <f>IFERROR(__xludf.DUMMYFUNCTION("""COMPUTED_VALUE"""),-4.0)</f>
        <v>-4</v>
      </c>
      <c r="BK145" s="16">
        <f>IFERROR(__xludf.DUMMYFUNCTION("""COMPUTED_VALUE"""),5.0)</f>
        <v>5</v>
      </c>
      <c r="BL145" s="16">
        <f>IFERROR(__xludf.DUMMYFUNCTION("""COMPUTED_VALUE"""),0.0)</f>
        <v>0</v>
      </c>
      <c r="BM145" s="16">
        <f>IFERROR(__xludf.DUMMYFUNCTION("""COMPUTED_VALUE"""),0.0)</f>
        <v>0</v>
      </c>
      <c r="BN145" s="16">
        <f>IFERROR(__xludf.DUMMYFUNCTION("""COMPUTED_VALUE"""),1.0)</f>
        <v>1</v>
      </c>
      <c r="BO145" s="16">
        <f>IFERROR(__xludf.DUMMYFUNCTION("""COMPUTED_VALUE"""),0.0)</f>
        <v>0</v>
      </c>
      <c r="BP145" s="16">
        <f>IFERROR(__xludf.DUMMYFUNCTION("""COMPUTED_VALUE"""),1.0)</f>
        <v>1</v>
      </c>
      <c r="BQ145" s="16">
        <f>IFERROR(__xludf.DUMMYFUNCTION("""COMPUTED_VALUE"""),0.0)</f>
        <v>0</v>
      </c>
      <c r="BR145" s="16">
        <f>IFERROR(__xludf.DUMMYFUNCTION("""COMPUTED_VALUE"""),0.0)</f>
        <v>0</v>
      </c>
      <c r="BS145" s="16">
        <f>IFERROR(__xludf.DUMMYFUNCTION("""COMPUTED_VALUE"""),-3.0)</f>
        <v>-3</v>
      </c>
      <c r="BT145" s="16">
        <f>IFERROR(__xludf.DUMMYFUNCTION("""COMPUTED_VALUE"""),-3.0)</f>
        <v>-3</v>
      </c>
      <c r="BU145" s="16">
        <f>IFERROR(__xludf.DUMMYFUNCTION("""COMPUTED_VALUE"""),-6.0)</f>
        <v>-6</v>
      </c>
      <c r="BV145" s="16">
        <f>IFERROR(__xludf.DUMMYFUNCTION("""COMPUTED_VALUE"""),-6.0)</f>
        <v>-6</v>
      </c>
      <c r="BW145" s="16">
        <f>IFERROR(__xludf.DUMMYFUNCTION("""COMPUTED_VALUE"""),-1.0)</f>
        <v>-1</v>
      </c>
      <c r="BX145" s="16">
        <f>IFERROR(__xludf.DUMMYFUNCTION("""COMPUTED_VALUE"""),-1.0)</f>
        <v>-1</v>
      </c>
      <c r="BY145" s="16" t="str">
        <f>IFERROR(__xludf.DUMMYFUNCTION("""COMPUTED_VALUE"""),"R(1) C(0)")</f>
        <v>R(1) C(0)</v>
      </c>
      <c r="BZ145" s="16" t="str">
        <f>IFERROR(__xludf.DUMMYFUNCTION("""COMPUTED_VALUE"""),"R(1) C(0)")</f>
        <v>R(1) C(0)</v>
      </c>
      <c r="CA145" s="16" t="str">
        <f>IFERROR(__xludf.DUMMYFUNCTION("""COMPUTED_VALUE"""),"R(1)")</f>
        <v>R(1)</v>
      </c>
      <c r="CB145" s="16" t="str">
        <f>IFERROR(__xludf.DUMMYFUNCTION("""COMPUTED_VALUE"""),"C(0)")</f>
        <v>C(0)</v>
      </c>
      <c r="CC145" s="16"/>
      <c r="CD145" s="16"/>
      <c r="CE145" s="16">
        <f>IFERROR(__xludf.DUMMYFUNCTION("""COMPUTED_VALUE"""),1.0)</f>
        <v>1</v>
      </c>
      <c r="CF145" s="16">
        <f>IFERROR(__xludf.DUMMYFUNCTION("""COMPUTED_VALUE"""),0.0)</f>
        <v>0</v>
      </c>
      <c r="CG145" s="16" t="str">
        <f>IFERROR(__xludf.DUMMYFUNCTION("""COMPUTED_VALUE"""),"3-51")</f>
        <v>3-51</v>
      </c>
      <c r="CH145" s="16">
        <f>IFERROR(__xludf.DUMMYFUNCTION("""COMPUTED_VALUE"""),3.0)</f>
        <v>3</v>
      </c>
      <c r="CI145" s="16">
        <f>IFERROR(__xludf.DUMMYFUNCTION("""COMPUTED_VALUE"""),51.0)</f>
        <v>51</v>
      </c>
      <c r="CJ145" s="16">
        <f>IFERROR(__xludf.DUMMYFUNCTION("""COMPUTED_VALUE"""),0.0)</f>
        <v>0</v>
      </c>
      <c r="CK145" s="16">
        <f>IFERROR(__xludf.DUMMYFUNCTION("""COMPUTED_VALUE"""),20.0)</f>
        <v>20</v>
      </c>
      <c r="CL145" s="16" t="str">
        <f>IFERROR(__xludf.DUMMYFUNCTION("""COMPUTED_VALUE"""),"1WL-C")</f>
        <v>1WL-C</v>
      </c>
      <c r="CM145" s="16" t="str">
        <f>IFERROR(__xludf.DUMMYFUNCTION("""COMPUTED_VALUE"""),"E")</f>
        <v>E</v>
      </c>
      <c r="CN145" s="16">
        <f>IFERROR(__xludf.DUMMYFUNCTION("""COMPUTED_VALUE"""),10.0)</f>
        <v>10</v>
      </c>
      <c r="CO145" s="16" t="str">
        <f>IFERROR(__xludf.DUMMYFUNCTION("""COMPUTED_VALUE"""),"C")</f>
        <v>C</v>
      </c>
      <c r="CP145" s="16" t="str">
        <f>IFERROR(__xludf.DUMMYFUNCTION("""COMPUTED_VALUE"""),"1p20")</f>
        <v>1p20</v>
      </c>
      <c r="CQ145" s="16">
        <f>IFERROR(__xludf.DUMMYFUNCTION("""COMPUTED_VALUE"""),10.0)</f>
        <v>10</v>
      </c>
      <c r="CR145" s="16">
        <f>IFERROR(__xludf.DUMMYFUNCTION("""COMPUTED_VALUE"""),5.0)</f>
        <v>5</v>
      </c>
      <c r="CS145" s="16">
        <f>IFERROR(__xludf.DUMMYFUNCTION("""COMPUTED_VALUE"""),15.0)</f>
        <v>15</v>
      </c>
      <c r="CT145" s="16">
        <f>IFERROR(__xludf.DUMMYFUNCTION("""COMPUTED_VALUE"""),10.0)</f>
        <v>10</v>
      </c>
      <c r="CU145" s="16">
        <f>IFERROR(__xludf.DUMMYFUNCTION("""COMPUTED_VALUE"""),5.0)</f>
        <v>5</v>
      </c>
      <c r="CV145" s="179">
        <f>IFERROR(__xludf.DUMMYFUNCTION("""COMPUTED_VALUE"""),13.666666666666668)</f>
        <v>13.66666667</v>
      </c>
      <c r="CW145" s="179">
        <f>IFERROR(__xludf.DUMMYFUNCTION("""COMPUTED_VALUE"""),4.0)</f>
        <v>4</v>
      </c>
      <c r="CX145" s="179">
        <f>IFERROR(__xludf.DUMMYFUNCTION("""COMPUTED_VALUE"""),3.0)</f>
        <v>3</v>
      </c>
      <c r="CY145" s="16" t="str">
        <f>IFERROR(__xludf.DUMMYFUNCTION("""COMPUTED_VALUE"""),"RP")</f>
        <v>RP</v>
      </c>
      <c r="CZ145" s="16" t="str">
        <f>IFERROR(__xludf.DUMMYFUNCTION("""COMPUTED_VALUE"""),"CP")</f>
        <v>CP</v>
      </c>
      <c r="DA145" s="16"/>
      <c r="DB145" s="16"/>
      <c r="DC145" s="16"/>
      <c r="DD145" s="16"/>
      <c r="DE145" s="16"/>
      <c r="DF145" s="16"/>
      <c r="DG145" s="16"/>
      <c r="DH145" s="16"/>
      <c r="DI145" s="16"/>
      <c r="DJ145" s="16"/>
      <c r="DK145" s="16"/>
    </row>
    <row r="146">
      <c r="A146" s="16">
        <f>IFERROR(__xludf.DUMMYFUNCTION("""COMPUTED_VALUE"""),12553.0)</f>
        <v>12553</v>
      </c>
      <c r="B146" s="16" t="str">
        <f>IFERROR(__xludf.DUMMYFUNCTION("""COMPUTED_VALUE"""),"Anthony Bender")</f>
        <v>Anthony Bender</v>
      </c>
      <c r="C146" s="153">
        <f>IFERROR(__xludf.DUMMYFUNCTION("""COMPUTED_VALUE"""),0.49)</f>
        <v>0.49</v>
      </c>
      <c r="D146" s="16"/>
      <c r="E146" s="16" t="str">
        <f>IFERROR(__xludf.DUMMYFUNCTION("""COMPUTED_VALUE"""),"R")</f>
        <v>R</v>
      </c>
      <c r="F146" s="16">
        <f>IFERROR(__xludf.DUMMYFUNCTION("""COMPUTED_VALUE"""),53.0)</f>
        <v>53</v>
      </c>
      <c r="G146" s="16">
        <f>IFERROR(__xludf.DUMMYFUNCTION("""COMPUTED_VALUE"""),15.0)</f>
        <v>15</v>
      </c>
      <c r="H146" s="16">
        <f>IFERROR(__xludf.DUMMYFUNCTION("""COMPUTED_VALUE"""),43.0)</f>
        <v>43</v>
      </c>
      <c r="I146" s="16">
        <f>IFERROR(__xludf.DUMMYFUNCTION("""COMPUTED_VALUE"""),-2.0)</f>
        <v>-2</v>
      </c>
      <c r="J146" s="16">
        <f>IFERROR(__xludf.DUMMYFUNCTION("""COMPUTED_VALUE"""),2.0)</f>
        <v>2</v>
      </c>
      <c r="K146" s="16">
        <f>IFERROR(__xludf.DUMMYFUNCTION("""COMPUTED_VALUE"""),-6.0)</f>
        <v>-6</v>
      </c>
      <c r="L146" s="16">
        <f>IFERROR(__xludf.DUMMYFUNCTION("""COMPUTED_VALUE"""),6.0)</f>
        <v>6</v>
      </c>
      <c r="M146" s="16">
        <f>IFERROR(__xludf.DUMMYFUNCTION("""COMPUTED_VALUE"""),11.0)</f>
        <v>11</v>
      </c>
      <c r="N146" s="16">
        <f>IFERROR(__xludf.DUMMYFUNCTION("""COMPUTED_VALUE"""),6.0)</f>
        <v>6</v>
      </c>
      <c r="O146" s="16">
        <f>IFERROR(__xludf.DUMMYFUNCTION("""COMPUTED_VALUE"""),-1.0)</f>
        <v>-1</v>
      </c>
      <c r="P146" s="16">
        <f>IFERROR(__xludf.DUMMYFUNCTION("""COMPUTED_VALUE"""),1.0)</f>
        <v>1</v>
      </c>
      <c r="Q146" s="16">
        <f>IFERROR(__xludf.DUMMYFUNCTION("""COMPUTED_VALUE"""),-1.0)</f>
        <v>-1</v>
      </c>
      <c r="R146" s="16">
        <f>IFERROR(__xludf.DUMMYFUNCTION("""COMPUTED_VALUE"""),1.0)</f>
        <v>1</v>
      </c>
      <c r="S146" s="16">
        <f>IFERROR(__xludf.DUMMYFUNCTION("""COMPUTED_VALUE"""),27.2)</f>
        <v>27.2</v>
      </c>
      <c r="T146" s="16">
        <f>IFERROR(__xludf.DUMMYFUNCTION("""COMPUTED_VALUE"""),8.6)</f>
        <v>8.6</v>
      </c>
      <c r="U146" s="16">
        <f>IFERROR(__xludf.DUMMYFUNCTION("""COMPUTED_VALUE"""),-2.0)</f>
        <v>-2</v>
      </c>
      <c r="V146" s="16">
        <f>IFERROR(__xludf.DUMMYFUNCTION("""COMPUTED_VALUE"""),1.0)</f>
        <v>1</v>
      </c>
      <c r="W146" s="16">
        <f>IFERROR(__xludf.DUMMYFUNCTION("""COMPUTED_VALUE"""),-4.0)</f>
        <v>-4</v>
      </c>
      <c r="X146" s="16">
        <f>IFERROR(__xludf.DUMMYFUNCTION("""COMPUTED_VALUE"""),2.0)</f>
        <v>2</v>
      </c>
      <c r="Y146" s="16">
        <f>IFERROR(__xludf.DUMMYFUNCTION("""COMPUTED_VALUE"""),38.2)</f>
        <v>38.2</v>
      </c>
      <c r="Z146" s="16">
        <f>IFERROR(__xludf.DUMMYFUNCTION("""COMPUTED_VALUE"""),14.6)</f>
        <v>14.6</v>
      </c>
      <c r="AA146" s="16">
        <f>IFERROR(__xludf.DUMMYFUNCTION("""COMPUTED_VALUE"""),-2.0)</f>
        <v>-2</v>
      </c>
      <c r="AB146" s="16">
        <f>IFERROR(__xludf.DUMMYFUNCTION("""COMPUTED_VALUE"""),2.0)</f>
        <v>2</v>
      </c>
      <c r="AC146" s="16">
        <f>IFERROR(__xludf.DUMMYFUNCTION("""COMPUTED_VALUE"""),-10.0)</f>
        <v>-10</v>
      </c>
      <c r="AD146" s="16">
        <f>IFERROR(__xludf.DUMMYFUNCTION("""COMPUTED_VALUE"""),10.0)</f>
        <v>10</v>
      </c>
      <c r="AE146" s="16">
        <f>IFERROR(__xludf.DUMMYFUNCTION("""COMPUTED_VALUE"""),38.2)</f>
        <v>38.2</v>
      </c>
      <c r="AF146" s="16">
        <f>IFERROR(__xludf.DUMMYFUNCTION("""COMPUTED_VALUE"""),14.2)</f>
        <v>14.2</v>
      </c>
      <c r="AG146" s="16">
        <f>IFERROR(__xludf.DUMMYFUNCTION("""COMPUTED_VALUE"""),-1.0)</f>
        <v>-1</v>
      </c>
      <c r="AH146" s="16">
        <f>IFERROR(__xludf.DUMMYFUNCTION("""COMPUTED_VALUE"""),2.0)</f>
        <v>2</v>
      </c>
      <c r="AI146" s="16">
        <f>IFERROR(__xludf.DUMMYFUNCTION("""COMPUTED_VALUE"""),-2.0)</f>
        <v>-2</v>
      </c>
      <c r="AJ146" s="16">
        <f>IFERROR(__xludf.DUMMYFUNCTION("""COMPUTED_VALUE"""),4.0)</f>
        <v>4</v>
      </c>
      <c r="AK146" s="16">
        <f>IFERROR(__xludf.DUMMYFUNCTION("""COMPUTED_VALUE"""),27.2)</f>
        <v>27.2</v>
      </c>
      <c r="AL146" s="16">
        <f>IFERROR(__xludf.DUMMYFUNCTION("""COMPUTED_VALUE"""),8.6)</f>
        <v>8.6</v>
      </c>
      <c r="AM146" s="16">
        <f>IFERROR(__xludf.DUMMYFUNCTION("""COMPUTED_VALUE"""),-2.0)</f>
        <v>-2</v>
      </c>
      <c r="AN146" s="16">
        <f>IFERROR(__xludf.DUMMYFUNCTION("""COMPUTED_VALUE"""),1.0)</f>
        <v>1</v>
      </c>
      <c r="AO146" s="16">
        <f>IFERROR(__xludf.DUMMYFUNCTION("""COMPUTED_VALUE"""),-2.0)</f>
        <v>-2</v>
      </c>
      <c r="AP146" s="16">
        <f>IFERROR(__xludf.DUMMYFUNCTION("""COMPUTED_VALUE"""),1.0)</f>
        <v>1</v>
      </c>
      <c r="AQ146" s="16">
        <f>IFERROR(__xludf.DUMMYFUNCTION("""COMPUTED_VALUE"""),38.2)</f>
        <v>38.2</v>
      </c>
      <c r="AR146" s="16">
        <f>IFERROR(__xludf.DUMMYFUNCTION("""COMPUTED_VALUE"""),14.2)</f>
        <v>14.2</v>
      </c>
      <c r="AS146" s="16">
        <f>IFERROR(__xludf.DUMMYFUNCTION("""COMPUTED_VALUE"""),-2.0)</f>
        <v>-2</v>
      </c>
      <c r="AT146" s="16">
        <f>IFERROR(__xludf.DUMMYFUNCTION("""COMPUTED_VALUE"""),1.0)</f>
        <v>1</v>
      </c>
      <c r="AU146" s="16">
        <f>IFERROR(__xludf.DUMMYFUNCTION("""COMPUTED_VALUE"""),-4.0)</f>
        <v>-4</v>
      </c>
      <c r="AV146" s="16">
        <f>IFERROR(__xludf.DUMMYFUNCTION("""COMPUTED_VALUE"""),2.0)</f>
        <v>2</v>
      </c>
      <c r="AW146" s="16">
        <f>IFERROR(__xludf.DUMMYFUNCTION("""COMPUTED_VALUE"""),0.0)</f>
        <v>0</v>
      </c>
      <c r="AX146" s="16">
        <f>IFERROR(__xludf.DUMMYFUNCTION("""COMPUTED_VALUE"""),0.0)</f>
        <v>0</v>
      </c>
      <c r="AY146" s="16">
        <f>IFERROR(__xludf.DUMMYFUNCTION("""COMPUTED_VALUE"""),2.0)</f>
        <v>2</v>
      </c>
      <c r="AZ146" s="16">
        <f>IFERROR(__xludf.DUMMYFUNCTION("""COMPUTED_VALUE"""),2.0)</f>
        <v>2</v>
      </c>
      <c r="BA146" s="16">
        <f>IFERROR(__xludf.DUMMYFUNCTION("""COMPUTED_VALUE"""),10.0)</f>
        <v>10</v>
      </c>
      <c r="BB146" s="16">
        <f>IFERROR(__xludf.DUMMYFUNCTION("""COMPUTED_VALUE"""),10.0)</f>
        <v>10</v>
      </c>
      <c r="BC146" s="16">
        <f>IFERROR(__xludf.DUMMYFUNCTION("""COMPUTED_VALUE"""),0.0)</f>
        <v>0</v>
      </c>
      <c r="BD146" s="16">
        <f>IFERROR(__xludf.DUMMYFUNCTION("""COMPUTED_VALUE"""),0.0)</f>
        <v>0</v>
      </c>
      <c r="BE146" s="16">
        <f>IFERROR(__xludf.DUMMYFUNCTION("""COMPUTED_VALUE"""),0.0)</f>
        <v>0</v>
      </c>
      <c r="BF146" s="16">
        <f>IFERROR(__xludf.DUMMYFUNCTION("""COMPUTED_VALUE"""),0.0)</f>
        <v>0</v>
      </c>
      <c r="BG146" s="16">
        <f>IFERROR(__xludf.DUMMYFUNCTION("""COMPUTED_VALUE"""),3.0)</f>
        <v>3</v>
      </c>
      <c r="BH146" s="16">
        <f>IFERROR(__xludf.DUMMYFUNCTION("""COMPUTED_VALUE"""),2.0)</f>
        <v>2</v>
      </c>
      <c r="BI146" s="16">
        <f>IFERROR(__xludf.DUMMYFUNCTION("""COMPUTED_VALUE"""),6.0)</f>
        <v>6</v>
      </c>
      <c r="BJ146" s="16">
        <f>IFERROR(__xludf.DUMMYFUNCTION("""COMPUTED_VALUE"""),4.0)</f>
        <v>4</v>
      </c>
      <c r="BK146" s="16">
        <f>IFERROR(__xludf.DUMMYFUNCTION("""COMPUTED_VALUE"""),5.0)</f>
        <v>5</v>
      </c>
      <c r="BL146" s="16">
        <f>IFERROR(__xludf.DUMMYFUNCTION("""COMPUTED_VALUE"""),5.0)</f>
        <v>5</v>
      </c>
      <c r="BM146" s="16">
        <f>IFERROR(__xludf.DUMMYFUNCTION("""COMPUTED_VALUE"""),0.0)</f>
        <v>0</v>
      </c>
      <c r="BN146" s="16">
        <f>IFERROR(__xludf.DUMMYFUNCTION("""COMPUTED_VALUE"""),0.0)</f>
        <v>0</v>
      </c>
      <c r="BO146" s="16">
        <f>IFERROR(__xludf.DUMMYFUNCTION("""COMPUTED_VALUE"""),0.0)</f>
        <v>0</v>
      </c>
      <c r="BP146" s="16">
        <f>IFERROR(__xludf.DUMMYFUNCTION("""COMPUTED_VALUE"""),0.0)</f>
        <v>0</v>
      </c>
      <c r="BQ146" s="16">
        <f>IFERROR(__xludf.DUMMYFUNCTION("""COMPUTED_VALUE"""),9.0)</f>
        <v>9</v>
      </c>
      <c r="BR146" s="16">
        <f>IFERROR(__xludf.DUMMYFUNCTION("""COMPUTED_VALUE"""),9.0)</f>
        <v>9</v>
      </c>
      <c r="BS146" s="16">
        <f>IFERROR(__xludf.DUMMYFUNCTION("""COMPUTED_VALUE"""),3.0)</f>
        <v>3</v>
      </c>
      <c r="BT146" s="16">
        <f>IFERROR(__xludf.DUMMYFUNCTION("""COMPUTED_VALUE"""),3.0)</f>
        <v>3</v>
      </c>
      <c r="BU146" s="16">
        <f>IFERROR(__xludf.DUMMYFUNCTION("""COMPUTED_VALUE"""),6.0)</f>
        <v>6</v>
      </c>
      <c r="BV146" s="16">
        <f>IFERROR(__xludf.DUMMYFUNCTION("""COMPUTED_VALUE"""),6.0)</f>
        <v>6</v>
      </c>
      <c r="BW146" s="16">
        <f>IFERROR(__xludf.DUMMYFUNCTION("""COMPUTED_VALUE"""),4.0)</f>
        <v>4</v>
      </c>
      <c r="BX146" s="16">
        <f>IFERROR(__xludf.DUMMYFUNCTION("""COMPUTED_VALUE"""),4.0)</f>
        <v>4</v>
      </c>
      <c r="BY146" s="16" t="str">
        <f>IFERROR(__xludf.DUMMYFUNCTION("""COMPUTED_VALUE"""),"R(1) C(0)")</f>
        <v>R(1) C(0)</v>
      </c>
      <c r="BZ146" s="16" t="str">
        <f>IFERROR(__xludf.DUMMYFUNCTION("""COMPUTED_VALUE"""),"R(1) C(0)")</f>
        <v>R(1) C(0)</v>
      </c>
      <c r="CA146" s="16" t="str">
        <f>IFERROR(__xludf.DUMMYFUNCTION("""COMPUTED_VALUE"""),"R(1)")</f>
        <v>R(1)</v>
      </c>
      <c r="CB146" s="16" t="str">
        <f>IFERROR(__xludf.DUMMYFUNCTION("""COMPUTED_VALUE"""),"C(0)")</f>
        <v>C(0)</v>
      </c>
      <c r="CC146" s="16"/>
      <c r="CD146" s="16"/>
      <c r="CE146" s="16">
        <f>IFERROR(__xludf.DUMMYFUNCTION("""COMPUTED_VALUE"""),1.0)</f>
        <v>1</v>
      </c>
      <c r="CF146" s="16">
        <f>IFERROR(__xludf.DUMMYFUNCTION("""COMPUTED_VALUE"""),0.0)</f>
        <v>0</v>
      </c>
      <c r="CG146" s="16" t="str">
        <f>IFERROR(__xludf.DUMMYFUNCTION("""COMPUTED_VALUE"""),"4-0")</f>
        <v>4-0</v>
      </c>
      <c r="CH146" s="16">
        <f>IFERROR(__xludf.DUMMYFUNCTION("""COMPUTED_VALUE"""),4.0)</f>
        <v>4</v>
      </c>
      <c r="CI146" s="16">
        <f>IFERROR(__xludf.DUMMYFUNCTION("""COMPUTED_VALUE"""),0.0)</f>
        <v>0</v>
      </c>
      <c r="CJ146" s="16">
        <f>IFERROR(__xludf.DUMMYFUNCTION("""COMPUTED_VALUE"""),0.0)</f>
        <v>0</v>
      </c>
      <c r="CK146" s="16">
        <f>IFERROR(__xludf.DUMMYFUNCTION("""COMPUTED_VALUE"""),8.0)</f>
        <v>8</v>
      </c>
      <c r="CL146" s="16" t="str">
        <f>IFERROR(__xludf.DUMMYFUNCTION("""COMPUTED_VALUE"""),"1WR-C")</f>
        <v>1WR-C</v>
      </c>
      <c r="CM146" s="16" t="str">
        <f>IFERROR(__xludf.DUMMYFUNCTION("""COMPUTED_VALUE"""),"E")</f>
        <v>E</v>
      </c>
      <c r="CN146" s="16">
        <f>IFERROR(__xludf.DUMMYFUNCTION("""COMPUTED_VALUE"""),10.0)</f>
        <v>10</v>
      </c>
      <c r="CO146" s="16" t="str">
        <f>IFERROR(__xludf.DUMMYFUNCTION("""COMPUTED_VALUE"""),"C")</f>
        <v>C</v>
      </c>
      <c r="CP146" s="16" t="str">
        <f>IFERROR(__xludf.DUMMYFUNCTION("""COMPUTED_VALUE"""),"2p50")</f>
        <v>2p50</v>
      </c>
      <c r="CQ146" s="16">
        <f>IFERROR(__xludf.DUMMYFUNCTION("""COMPUTED_VALUE"""),-7.0)</f>
        <v>-7</v>
      </c>
      <c r="CR146" s="16">
        <f>IFERROR(__xludf.DUMMYFUNCTION("""COMPUTED_VALUE"""),46.0)</f>
        <v>46</v>
      </c>
      <c r="CS146" s="16">
        <f>IFERROR(__xludf.DUMMYFUNCTION("""COMPUTED_VALUE"""),39.0)</f>
        <v>39</v>
      </c>
      <c r="CT146" s="16">
        <f>IFERROR(__xludf.DUMMYFUNCTION("""COMPUTED_VALUE"""),-7.0)</f>
        <v>-7</v>
      </c>
      <c r="CU146" s="16">
        <f>IFERROR(__xludf.DUMMYFUNCTION("""COMPUTED_VALUE"""),46.0)</f>
        <v>46</v>
      </c>
      <c r="CV146" s="179">
        <f>IFERROR(__xludf.DUMMYFUNCTION("""COMPUTED_VALUE"""),13.666666666666666)</f>
        <v>13.66666667</v>
      </c>
      <c r="CW146" s="179">
        <f>IFERROR(__xludf.DUMMYFUNCTION("""COMPUTED_VALUE"""),3.0)</f>
        <v>3</v>
      </c>
      <c r="CX146" s="179">
        <f>IFERROR(__xludf.DUMMYFUNCTION("""COMPUTED_VALUE"""),0.0)</f>
        <v>0</v>
      </c>
      <c r="CY146" s="16" t="str">
        <f>IFERROR(__xludf.DUMMYFUNCTION("""COMPUTED_VALUE"""),"RP")</f>
        <v>RP</v>
      </c>
      <c r="CZ146" s="16" t="str">
        <f>IFERROR(__xludf.DUMMYFUNCTION("""COMPUTED_VALUE"""),"CP")</f>
        <v>CP</v>
      </c>
      <c r="DA146" s="16"/>
      <c r="DB146" s="16"/>
      <c r="DC146" s="16"/>
      <c r="DD146" s="16"/>
      <c r="DE146" s="16"/>
      <c r="DF146" s="16"/>
      <c r="DG146" s="16"/>
      <c r="DH146" s="16"/>
      <c r="DI146" s="16"/>
      <c r="DJ146" s="16"/>
      <c r="DK146" s="16"/>
    </row>
    <row r="147">
      <c r="A147" s="16">
        <f>IFERROR(__xludf.DUMMYFUNCTION("""COMPUTED_VALUE"""),13134.0)</f>
        <v>13134</v>
      </c>
      <c r="B147" s="16" t="str">
        <f>IFERROR(__xludf.DUMMYFUNCTION("""COMPUTED_VALUE"""),"Luis Ortiz")</f>
        <v>Luis Ortiz</v>
      </c>
      <c r="C147" s="153">
        <f>IFERROR(__xludf.DUMMYFUNCTION("""COMPUTED_VALUE"""),1.99)</f>
        <v>1.99</v>
      </c>
      <c r="D147" s="16"/>
      <c r="E147" s="16" t="str">
        <f>IFERROR(__xludf.DUMMYFUNCTION("""COMPUTED_VALUE"""),"R")</f>
        <v>R</v>
      </c>
      <c r="F147" s="16">
        <f>IFERROR(__xludf.DUMMYFUNCTION("""COMPUTED_VALUE"""),136.0)</f>
        <v>136</v>
      </c>
      <c r="G147" s="16">
        <f>IFERROR(__xludf.DUMMYFUNCTION("""COMPUTED_VALUE"""),17.0)</f>
        <v>17</v>
      </c>
      <c r="H147" s="16">
        <f>IFERROR(__xludf.DUMMYFUNCTION("""COMPUTED_VALUE"""),18.0)</f>
        <v>18</v>
      </c>
      <c r="I147" s="16">
        <f>IFERROR(__xludf.DUMMYFUNCTION("""COMPUTED_VALUE"""),-1.0)</f>
        <v>-1</v>
      </c>
      <c r="J147" s="16">
        <f>IFERROR(__xludf.DUMMYFUNCTION("""COMPUTED_VALUE"""),-1.0)</f>
        <v>-1</v>
      </c>
      <c r="K147" s="16">
        <f>IFERROR(__xludf.DUMMYFUNCTION("""COMPUTED_VALUE"""),-3.0)</f>
        <v>-3</v>
      </c>
      <c r="L147" s="16">
        <f>IFERROR(__xludf.DUMMYFUNCTION("""COMPUTED_VALUE"""),-3.0)</f>
        <v>-3</v>
      </c>
      <c r="M147" s="16">
        <f>IFERROR(__xludf.DUMMYFUNCTION("""COMPUTED_VALUE"""),8.0)</f>
        <v>8</v>
      </c>
      <c r="N147" s="16">
        <f>IFERROR(__xludf.DUMMYFUNCTION("""COMPUTED_VALUE"""),6.0)</f>
        <v>6</v>
      </c>
      <c r="O147" s="16">
        <f>IFERROR(__xludf.DUMMYFUNCTION("""COMPUTED_VALUE"""),0.0)</f>
        <v>0</v>
      </c>
      <c r="P147" s="16">
        <f>IFERROR(__xludf.DUMMYFUNCTION("""COMPUTED_VALUE"""),1.0)</f>
        <v>1</v>
      </c>
      <c r="Q147" s="16">
        <f>IFERROR(__xludf.DUMMYFUNCTION("""COMPUTED_VALUE"""),0.0)</f>
        <v>0</v>
      </c>
      <c r="R147" s="16">
        <f>IFERROR(__xludf.DUMMYFUNCTION("""COMPUTED_VALUE"""),1.0)</f>
        <v>1</v>
      </c>
      <c r="S147" s="16">
        <f>IFERROR(__xludf.DUMMYFUNCTION("""COMPUTED_VALUE"""),8.6)</f>
        <v>8.6</v>
      </c>
      <c r="T147" s="16">
        <f>IFERROR(__xludf.DUMMYFUNCTION("""COMPUTED_VALUE"""),10.8)</f>
        <v>10.8</v>
      </c>
      <c r="U147" s="16">
        <f>IFERROR(__xludf.DUMMYFUNCTION("""COMPUTED_VALUE"""),1.0)</f>
        <v>1</v>
      </c>
      <c r="V147" s="16">
        <f>IFERROR(__xludf.DUMMYFUNCTION("""COMPUTED_VALUE"""),1.0)</f>
        <v>1</v>
      </c>
      <c r="W147" s="16">
        <f>IFERROR(__xludf.DUMMYFUNCTION("""COMPUTED_VALUE"""),2.0)</f>
        <v>2</v>
      </c>
      <c r="X147" s="16">
        <f>IFERROR(__xludf.DUMMYFUNCTION("""COMPUTED_VALUE"""),2.0)</f>
        <v>2</v>
      </c>
      <c r="Y147" s="16">
        <f>IFERROR(__xludf.DUMMYFUNCTION("""COMPUTED_VALUE"""),16.6)</f>
        <v>16.6</v>
      </c>
      <c r="Z147" s="16">
        <f>IFERROR(__xludf.DUMMYFUNCTION("""COMPUTED_VALUE"""),16.9)</f>
        <v>16.9</v>
      </c>
      <c r="AA147" s="16">
        <f>IFERROR(__xludf.DUMMYFUNCTION("""COMPUTED_VALUE"""),1.0)</f>
        <v>1</v>
      </c>
      <c r="AB147" s="16">
        <f>IFERROR(__xludf.DUMMYFUNCTION("""COMPUTED_VALUE"""),1.0)</f>
        <v>1</v>
      </c>
      <c r="AC147" s="16">
        <f>IFERROR(__xludf.DUMMYFUNCTION("""COMPUTED_VALUE"""),5.0)</f>
        <v>5</v>
      </c>
      <c r="AD147" s="16">
        <f>IFERROR(__xludf.DUMMYFUNCTION("""COMPUTED_VALUE"""),5.0)</f>
        <v>5</v>
      </c>
      <c r="AE147" s="16">
        <f>IFERROR(__xludf.DUMMYFUNCTION("""COMPUTED_VALUE"""),25.4)</f>
        <v>25.4</v>
      </c>
      <c r="AF147" s="16">
        <f>IFERROR(__xludf.DUMMYFUNCTION("""COMPUTED_VALUE"""),17.4)</f>
        <v>17.4</v>
      </c>
      <c r="AG147" s="16">
        <f>IFERROR(__xludf.DUMMYFUNCTION("""COMPUTED_VALUE"""),0.0)</f>
        <v>0</v>
      </c>
      <c r="AH147" s="16">
        <f>IFERROR(__xludf.DUMMYFUNCTION("""COMPUTED_VALUE"""),1.0)</f>
        <v>1</v>
      </c>
      <c r="AI147" s="16">
        <f>IFERROR(__xludf.DUMMYFUNCTION("""COMPUTED_VALUE"""),0.0)</f>
        <v>0</v>
      </c>
      <c r="AJ147" s="16">
        <f>IFERROR(__xludf.DUMMYFUNCTION("""COMPUTED_VALUE"""),2.0)</f>
        <v>2</v>
      </c>
      <c r="AK147" s="16">
        <f>IFERROR(__xludf.DUMMYFUNCTION("""COMPUTED_VALUE"""),4.8)</f>
        <v>4.8</v>
      </c>
      <c r="AL147" s="16">
        <f>IFERROR(__xludf.DUMMYFUNCTION("""COMPUTED_VALUE"""),10.8)</f>
        <v>10.8</v>
      </c>
      <c r="AM147" s="16">
        <f>IFERROR(__xludf.DUMMYFUNCTION("""COMPUTED_VALUE"""),2.0)</f>
        <v>2</v>
      </c>
      <c r="AN147" s="16">
        <f>IFERROR(__xludf.DUMMYFUNCTION("""COMPUTED_VALUE"""),1.0)</f>
        <v>1</v>
      </c>
      <c r="AO147" s="16">
        <f>IFERROR(__xludf.DUMMYFUNCTION("""COMPUTED_VALUE"""),2.0)</f>
        <v>2</v>
      </c>
      <c r="AP147" s="16">
        <f>IFERROR(__xludf.DUMMYFUNCTION("""COMPUTED_VALUE"""),1.0)</f>
        <v>1</v>
      </c>
      <c r="AQ147" s="16">
        <f>IFERROR(__xludf.DUMMYFUNCTION("""COMPUTED_VALUE"""),10.2)</f>
        <v>10.2</v>
      </c>
      <c r="AR147" s="16">
        <f>IFERROR(__xludf.DUMMYFUNCTION("""COMPUTED_VALUE"""),17.4)</f>
        <v>17.4</v>
      </c>
      <c r="AS147" s="16">
        <f>IFERROR(__xludf.DUMMYFUNCTION("""COMPUTED_VALUE"""),1.0)</f>
        <v>1</v>
      </c>
      <c r="AT147" s="16">
        <f>IFERROR(__xludf.DUMMYFUNCTION("""COMPUTED_VALUE"""),0.0)</f>
        <v>0</v>
      </c>
      <c r="AU147" s="16">
        <f>IFERROR(__xludf.DUMMYFUNCTION("""COMPUTED_VALUE"""),2.0)</f>
        <v>2</v>
      </c>
      <c r="AV147" s="16">
        <f>IFERROR(__xludf.DUMMYFUNCTION("""COMPUTED_VALUE"""),0.0)</f>
        <v>0</v>
      </c>
      <c r="AW147" s="16">
        <f>IFERROR(__xludf.DUMMYFUNCTION("""COMPUTED_VALUE"""),3.8)</f>
        <v>3.8</v>
      </c>
      <c r="AX147" s="16">
        <f>IFERROR(__xludf.DUMMYFUNCTION("""COMPUTED_VALUE"""),0.0)</f>
        <v>0</v>
      </c>
      <c r="AY147" s="16">
        <f>IFERROR(__xludf.DUMMYFUNCTION("""COMPUTED_VALUE"""),-2.0)</f>
        <v>-2</v>
      </c>
      <c r="AZ147" s="16">
        <f>IFERROR(__xludf.DUMMYFUNCTION("""COMPUTED_VALUE"""),2.0)</f>
        <v>2</v>
      </c>
      <c r="BA147" s="16">
        <f>IFERROR(__xludf.DUMMYFUNCTION("""COMPUTED_VALUE"""),-10.0)</f>
        <v>-10</v>
      </c>
      <c r="BB147" s="16">
        <f>IFERROR(__xludf.DUMMYFUNCTION("""COMPUTED_VALUE"""),10.0)</f>
        <v>10</v>
      </c>
      <c r="BC147" s="16"/>
      <c r="BD147" s="16">
        <f>IFERROR(__xludf.DUMMYFUNCTION("""COMPUTED_VALUE"""),0.0)</f>
        <v>0</v>
      </c>
      <c r="BE147" s="16">
        <f>IFERROR(__xludf.DUMMYFUNCTION("""COMPUTED_VALUE"""),7.0)</f>
        <v>7</v>
      </c>
      <c r="BF147" s="16">
        <f>IFERROR(__xludf.DUMMYFUNCTION("""COMPUTED_VALUE"""),0.0)</f>
        <v>0</v>
      </c>
      <c r="BG147" s="16">
        <f>IFERROR(__xludf.DUMMYFUNCTION("""COMPUTED_VALUE"""),-3.0)</f>
        <v>-3</v>
      </c>
      <c r="BH147" s="16">
        <f>IFERROR(__xludf.DUMMYFUNCTION("""COMPUTED_VALUE"""),2.0)</f>
        <v>2</v>
      </c>
      <c r="BI147" s="16">
        <f>IFERROR(__xludf.DUMMYFUNCTION("""COMPUTED_VALUE"""),-6.0)</f>
        <v>-6</v>
      </c>
      <c r="BJ147" s="16">
        <f>IFERROR(__xludf.DUMMYFUNCTION("""COMPUTED_VALUE"""),4.0)</f>
        <v>4</v>
      </c>
      <c r="BK147" s="16">
        <f>IFERROR(__xludf.DUMMYFUNCTION("""COMPUTED_VALUE"""),0.0)</f>
        <v>0</v>
      </c>
      <c r="BL147" s="16">
        <f>IFERROR(__xludf.DUMMYFUNCTION("""COMPUTED_VALUE"""),5.0)</f>
        <v>5</v>
      </c>
      <c r="BM147" s="16">
        <f>IFERROR(__xludf.DUMMYFUNCTION("""COMPUTED_VALUE"""),1.0)</f>
        <v>1</v>
      </c>
      <c r="BN147" s="16">
        <f>IFERROR(__xludf.DUMMYFUNCTION("""COMPUTED_VALUE"""),0.0)</f>
        <v>0</v>
      </c>
      <c r="BO147" s="16">
        <f>IFERROR(__xludf.DUMMYFUNCTION("""COMPUTED_VALUE"""),1.0)</f>
        <v>1</v>
      </c>
      <c r="BP147" s="16">
        <f>IFERROR(__xludf.DUMMYFUNCTION("""COMPUTED_VALUE"""),0.0)</f>
        <v>0</v>
      </c>
      <c r="BQ147" s="16">
        <f>IFERROR(__xludf.DUMMYFUNCTION("""COMPUTED_VALUE"""),12.0)</f>
        <v>12</v>
      </c>
      <c r="BR147" s="16">
        <f>IFERROR(__xludf.DUMMYFUNCTION("""COMPUTED_VALUE"""),12.0)</f>
        <v>12</v>
      </c>
      <c r="BS147" s="16">
        <f>IFERROR(__xludf.DUMMYFUNCTION("""COMPUTED_VALUE"""),3.0)</f>
        <v>3</v>
      </c>
      <c r="BT147" s="16">
        <f>IFERROR(__xludf.DUMMYFUNCTION("""COMPUTED_VALUE"""),3.0)</f>
        <v>3</v>
      </c>
      <c r="BU147" s="16">
        <f>IFERROR(__xludf.DUMMYFUNCTION("""COMPUTED_VALUE"""),6.0)</f>
        <v>6</v>
      </c>
      <c r="BV147" s="16">
        <f>IFERROR(__xludf.DUMMYFUNCTION("""COMPUTED_VALUE"""),6.0)</f>
        <v>6</v>
      </c>
      <c r="BW147" s="16">
        <f>IFERROR(__xludf.DUMMYFUNCTION("""COMPUTED_VALUE"""),-4.0)</f>
        <v>-4</v>
      </c>
      <c r="BX147" s="16">
        <f>IFERROR(__xludf.DUMMYFUNCTION("""COMPUTED_VALUE"""),-4.0)</f>
        <v>-4</v>
      </c>
      <c r="BY147" s="16" t="str">
        <f>IFERROR(__xludf.DUMMYFUNCTION("""COMPUTED_VALUE"""),"S(6) R(3) C(0)")</f>
        <v>S(6) R(3) C(0)</v>
      </c>
      <c r="BZ147" s="16" t="str">
        <f>IFERROR(__xludf.DUMMYFUNCTION("""COMPUTED_VALUE"""),"S(6) R(3) C(0)")</f>
        <v>S(6) R(3) C(0)</v>
      </c>
      <c r="CA147" s="16" t="str">
        <f>IFERROR(__xludf.DUMMYFUNCTION("""COMPUTED_VALUE"""),"S(6)")</f>
        <v>S(6)</v>
      </c>
      <c r="CB147" s="16" t="str">
        <f>IFERROR(__xludf.DUMMYFUNCTION("""COMPUTED_VALUE"""),"R(3)")</f>
        <v>R(3)</v>
      </c>
      <c r="CC147" s="16" t="str">
        <f>IFERROR(__xludf.DUMMYFUNCTION("""COMPUTED_VALUE"""),"C(0)")</f>
        <v>C(0)</v>
      </c>
      <c r="CD147" s="16">
        <f>IFERROR(__xludf.DUMMYFUNCTION("""COMPUTED_VALUE"""),6.0)</f>
        <v>6</v>
      </c>
      <c r="CE147" s="16">
        <f>IFERROR(__xludf.DUMMYFUNCTION("""COMPUTED_VALUE"""),3.0)</f>
        <v>3</v>
      </c>
      <c r="CF147" s="16">
        <f>IFERROR(__xludf.DUMMYFUNCTION("""COMPUTED_VALUE"""),0.0)</f>
        <v>0</v>
      </c>
      <c r="CG147" s="16" t="str">
        <f>IFERROR(__xludf.DUMMYFUNCTION("""COMPUTED_VALUE"""),"3-42")</f>
        <v>3-42</v>
      </c>
      <c r="CH147" s="16">
        <f>IFERROR(__xludf.DUMMYFUNCTION("""COMPUTED_VALUE"""),3.0)</f>
        <v>3</v>
      </c>
      <c r="CI147" s="16">
        <f>IFERROR(__xludf.DUMMYFUNCTION("""COMPUTED_VALUE"""),42.0)</f>
        <v>42</v>
      </c>
      <c r="CJ147" s="16">
        <f>IFERROR(__xludf.DUMMYFUNCTION("""COMPUTED_VALUE"""),3.0)</f>
        <v>3</v>
      </c>
      <c r="CK147" s="16">
        <f>IFERROR(__xludf.DUMMYFUNCTION("""COMPUTED_VALUE"""),2.0)</f>
        <v>2</v>
      </c>
      <c r="CL147" s="16" t="str">
        <f>IFERROR(__xludf.DUMMYFUNCTION("""COMPUTED_VALUE"""),"1WR-C")</f>
        <v>1WR-C</v>
      </c>
      <c r="CM147" s="16" t="str">
        <f>IFERROR(__xludf.DUMMYFUNCTION("""COMPUTED_VALUE"""),"E")</f>
        <v>E</v>
      </c>
      <c r="CN147" s="16">
        <f>IFERROR(__xludf.DUMMYFUNCTION("""COMPUTED_VALUE"""),10.0)</f>
        <v>10</v>
      </c>
      <c r="CO147" s="16" t="str">
        <f>IFERROR(__xludf.DUMMYFUNCTION("""COMPUTED_VALUE"""),"C")</f>
        <v>C</v>
      </c>
      <c r="CP147" s="16" t="str">
        <f>IFERROR(__xludf.DUMMYFUNCTION("""COMPUTED_VALUE"""),"1p60")</f>
        <v>1p60</v>
      </c>
      <c r="CQ147" s="16">
        <f>IFERROR(__xludf.DUMMYFUNCTION("""COMPUTED_VALUE"""),-1.0)</f>
        <v>-1</v>
      </c>
      <c r="CR147" s="16">
        <f>IFERROR(__xludf.DUMMYFUNCTION("""COMPUTED_VALUE"""),28.0)</f>
        <v>28</v>
      </c>
      <c r="CS147" s="16">
        <f>IFERROR(__xludf.DUMMYFUNCTION("""COMPUTED_VALUE"""),27.0)</f>
        <v>27</v>
      </c>
      <c r="CT147" s="16">
        <f>IFERROR(__xludf.DUMMYFUNCTION("""COMPUTED_VALUE"""),-1.0)</f>
        <v>-1</v>
      </c>
      <c r="CU147" s="16">
        <f>IFERROR(__xludf.DUMMYFUNCTION("""COMPUTED_VALUE"""),28.0)</f>
        <v>28</v>
      </c>
      <c r="CV147" s="179">
        <f>IFERROR(__xludf.DUMMYFUNCTION("""COMPUTED_VALUE"""),13.666666666666666)</f>
        <v>13.66666667</v>
      </c>
      <c r="CW147" s="179">
        <f>IFERROR(__xludf.DUMMYFUNCTION("""COMPUTED_VALUE"""),4.0)</f>
        <v>4</v>
      </c>
      <c r="CX147" s="179">
        <f>IFERROR(__xludf.DUMMYFUNCTION("""COMPUTED_VALUE"""),1.0)</f>
        <v>1</v>
      </c>
      <c r="CY147" s="16" t="str">
        <f>IFERROR(__xludf.DUMMYFUNCTION("""COMPUTED_VALUE"""),"SP")</f>
        <v>SP</v>
      </c>
      <c r="CZ147" s="16" t="str">
        <f>IFERROR(__xludf.DUMMYFUNCTION("""COMPUTED_VALUE"""),"RP")</f>
        <v>RP</v>
      </c>
      <c r="DA147" s="16" t="str">
        <f>IFERROR(__xludf.DUMMYFUNCTION("""COMPUTED_VALUE"""),"CP")</f>
        <v>CP</v>
      </c>
      <c r="DB147" s="16"/>
      <c r="DC147" s="16"/>
      <c r="DD147" s="16"/>
      <c r="DE147" s="16"/>
      <c r="DF147" s="16"/>
      <c r="DG147" s="16"/>
      <c r="DH147" s="16"/>
      <c r="DI147" s="16"/>
      <c r="DJ147" s="16"/>
      <c r="DK147" s="16"/>
    </row>
    <row r="148">
      <c r="A148" s="16">
        <f>IFERROR(__xludf.DUMMYFUNCTION("""COMPUTED_VALUE"""),13086.0)</f>
        <v>13086</v>
      </c>
      <c r="B148" s="16" t="str">
        <f>IFERROR(__xludf.DUMMYFUNCTION("""COMPUTED_VALUE"""),"Kris Bubic")</f>
        <v>Kris Bubic</v>
      </c>
      <c r="C148" s="153">
        <f>IFERROR(__xludf.DUMMYFUNCTION("""COMPUTED_VALUE"""),1.27)</f>
        <v>1.27</v>
      </c>
      <c r="D148" s="16"/>
      <c r="E148" s="16" t="str">
        <f>IFERROR(__xludf.DUMMYFUNCTION("""COMPUTED_VALUE"""),"L")</f>
        <v>L</v>
      </c>
      <c r="F148" s="16">
        <f>IFERROR(__xludf.DUMMYFUNCTION("""COMPUTED_VALUE"""),30.0)</f>
        <v>30</v>
      </c>
      <c r="G148" s="16">
        <f>IFERROR(__xludf.DUMMYFUNCTION("""COMPUTED_VALUE"""),42.0)</f>
        <v>42</v>
      </c>
      <c r="H148" s="16">
        <f>IFERROR(__xludf.DUMMYFUNCTION("""COMPUTED_VALUE"""),50.0)</f>
        <v>50</v>
      </c>
      <c r="I148" s="16">
        <f>IFERROR(__xludf.DUMMYFUNCTION("""COMPUTED_VALUE"""),2.0)</f>
        <v>2</v>
      </c>
      <c r="J148" s="16">
        <f>IFERROR(__xludf.DUMMYFUNCTION("""COMPUTED_VALUE"""),3.0)</f>
        <v>3</v>
      </c>
      <c r="K148" s="16">
        <f>IFERROR(__xludf.DUMMYFUNCTION("""COMPUTED_VALUE"""),6.0)</f>
        <v>6</v>
      </c>
      <c r="L148" s="16">
        <f>IFERROR(__xludf.DUMMYFUNCTION("""COMPUTED_VALUE"""),9.0)</f>
        <v>9</v>
      </c>
      <c r="M148" s="16">
        <f>IFERROR(__xludf.DUMMYFUNCTION("""COMPUTED_VALUE"""),0.0)</f>
        <v>0</v>
      </c>
      <c r="N148" s="16">
        <f>IFERROR(__xludf.DUMMYFUNCTION("""COMPUTED_VALUE"""),0.0)</f>
        <v>0</v>
      </c>
      <c r="O148" s="16">
        <f>IFERROR(__xludf.DUMMYFUNCTION("""COMPUTED_VALUE"""),3.0)</f>
        <v>3</v>
      </c>
      <c r="P148" s="16">
        <f>IFERROR(__xludf.DUMMYFUNCTION("""COMPUTED_VALUE"""),3.0)</f>
        <v>3</v>
      </c>
      <c r="Q148" s="16">
        <f>IFERROR(__xludf.DUMMYFUNCTION("""COMPUTED_VALUE"""),3.0)</f>
        <v>3</v>
      </c>
      <c r="R148" s="16">
        <f>IFERROR(__xludf.DUMMYFUNCTION("""COMPUTED_VALUE"""),3.0)</f>
        <v>3</v>
      </c>
      <c r="S148" s="16">
        <f>IFERROR(__xludf.DUMMYFUNCTION("""COMPUTED_VALUE"""),24.5)</f>
        <v>24.5</v>
      </c>
      <c r="T148" s="16">
        <f>IFERROR(__xludf.DUMMYFUNCTION("""COMPUTED_VALUE"""),10.5)</f>
        <v>10.5</v>
      </c>
      <c r="U148" s="16">
        <f>IFERROR(__xludf.DUMMYFUNCTION("""COMPUTED_VALUE"""),-2.0)</f>
        <v>-2</v>
      </c>
      <c r="V148" s="16">
        <f>IFERROR(__xludf.DUMMYFUNCTION("""COMPUTED_VALUE"""),1.0)</f>
        <v>1</v>
      </c>
      <c r="W148" s="16">
        <f>IFERROR(__xludf.DUMMYFUNCTION("""COMPUTED_VALUE"""),-4.0)</f>
        <v>-4</v>
      </c>
      <c r="X148" s="16">
        <f>IFERROR(__xludf.DUMMYFUNCTION("""COMPUTED_VALUE"""),2.0)</f>
        <v>2</v>
      </c>
      <c r="Y148" s="16">
        <f>IFERROR(__xludf.DUMMYFUNCTION("""COMPUTED_VALUE"""),24.5)</f>
        <v>24.5</v>
      </c>
      <c r="Z148" s="16">
        <f>IFERROR(__xludf.DUMMYFUNCTION("""COMPUTED_VALUE"""),10.5)</f>
        <v>10.5</v>
      </c>
      <c r="AA148" s="16">
        <f>IFERROR(__xludf.DUMMYFUNCTION("""COMPUTED_VALUE"""),0.0)</f>
        <v>0</v>
      </c>
      <c r="AB148" s="16">
        <f>IFERROR(__xludf.DUMMYFUNCTION("""COMPUTED_VALUE"""),2.0)</f>
        <v>2</v>
      </c>
      <c r="AC148" s="16">
        <f>IFERROR(__xludf.DUMMYFUNCTION("""COMPUTED_VALUE"""),0.0)</f>
        <v>0</v>
      </c>
      <c r="AD148" s="16">
        <f>IFERROR(__xludf.DUMMYFUNCTION("""COMPUTED_VALUE"""),10.0)</f>
        <v>10</v>
      </c>
      <c r="AE148" s="16">
        <f>IFERROR(__xludf.DUMMYFUNCTION("""COMPUTED_VALUE"""),34.6)</f>
        <v>34.6</v>
      </c>
      <c r="AF148" s="16">
        <f>IFERROR(__xludf.DUMMYFUNCTION("""COMPUTED_VALUE"""),19.3)</f>
        <v>19.3</v>
      </c>
      <c r="AG148" s="16">
        <f>IFERROR(__xludf.DUMMYFUNCTION("""COMPUTED_VALUE"""),-1.0)</f>
        <v>-1</v>
      </c>
      <c r="AH148" s="16">
        <f>IFERROR(__xludf.DUMMYFUNCTION("""COMPUTED_VALUE"""),1.0)</f>
        <v>1</v>
      </c>
      <c r="AI148" s="16">
        <f>IFERROR(__xludf.DUMMYFUNCTION("""COMPUTED_VALUE"""),-2.0)</f>
        <v>-2</v>
      </c>
      <c r="AJ148" s="16">
        <f>IFERROR(__xludf.DUMMYFUNCTION("""COMPUTED_VALUE"""),2.0)</f>
        <v>2</v>
      </c>
      <c r="AK148" s="16">
        <f>IFERROR(__xludf.DUMMYFUNCTION("""COMPUTED_VALUE"""),23.1)</f>
        <v>23.1</v>
      </c>
      <c r="AL148" s="16">
        <f>IFERROR(__xludf.DUMMYFUNCTION("""COMPUTED_VALUE"""),10.5)</f>
        <v>10.5</v>
      </c>
      <c r="AM148" s="16">
        <f>IFERROR(__xludf.DUMMYFUNCTION("""COMPUTED_VALUE"""),-2.0)</f>
        <v>-2</v>
      </c>
      <c r="AN148" s="16">
        <f>IFERROR(__xludf.DUMMYFUNCTION("""COMPUTED_VALUE"""),1.0)</f>
        <v>1</v>
      </c>
      <c r="AO148" s="16">
        <f>IFERROR(__xludf.DUMMYFUNCTION("""COMPUTED_VALUE"""),-2.0)</f>
        <v>-2</v>
      </c>
      <c r="AP148" s="16">
        <f>IFERROR(__xludf.DUMMYFUNCTION("""COMPUTED_VALUE"""),1.0)</f>
        <v>1</v>
      </c>
      <c r="AQ148" s="16">
        <f>IFERROR(__xludf.DUMMYFUNCTION("""COMPUTED_VALUE"""),29.0)</f>
        <v>29</v>
      </c>
      <c r="AR148" s="16">
        <f>IFERROR(__xludf.DUMMYFUNCTION("""COMPUTED_VALUE"""),19.3)</f>
        <v>19.3</v>
      </c>
      <c r="AS148" s="16">
        <f>IFERROR(__xludf.DUMMYFUNCTION("""COMPUTED_VALUE"""),-1.0)</f>
        <v>-1</v>
      </c>
      <c r="AT148" s="16">
        <f>IFERROR(__xludf.DUMMYFUNCTION("""COMPUTED_VALUE"""),0.0)</f>
        <v>0</v>
      </c>
      <c r="AU148" s="16">
        <f>IFERROR(__xludf.DUMMYFUNCTION("""COMPUTED_VALUE"""),-2.0)</f>
        <v>-2</v>
      </c>
      <c r="AV148" s="16">
        <f>IFERROR(__xludf.DUMMYFUNCTION("""COMPUTED_VALUE"""),0.0)</f>
        <v>0</v>
      </c>
      <c r="AW148" s="16">
        <f>IFERROR(__xludf.DUMMYFUNCTION("""COMPUTED_VALUE"""),1.4)</f>
        <v>1.4</v>
      </c>
      <c r="AX148" s="16">
        <f>IFERROR(__xludf.DUMMYFUNCTION("""COMPUTED_VALUE"""),0.0)</f>
        <v>0</v>
      </c>
      <c r="AY148" s="16">
        <f>IFERROR(__xludf.DUMMYFUNCTION("""COMPUTED_VALUE"""),1.0)</f>
        <v>1</v>
      </c>
      <c r="AZ148" s="16">
        <f>IFERROR(__xludf.DUMMYFUNCTION("""COMPUTED_VALUE"""),2.0)</f>
        <v>2</v>
      </c>
      <c r="BA148" s="16">
        <f>IFERROR(__xludf.DUMMYFUNCTION("""COMPUTED_VALUE"""),5.0)</f>
        <v>5</v>
      </c>
      <c r="BB148" s="16">
        <f>IFERROR(__xludf.DUMMYFUNCTION("""COMPUTED_VALUE"""),10.0)</f>
        <v>10</v>
      </c>
      <c r="BC148" s="16">
        <f>IFERROR(__xludf.DUMMYFUNCTION("""COMPUTED_VALUE"""),3.0)</f>
        <v>3</v>
      </c>
      <c r="BD148" s="16"/>
      <c r="BE148" s="16">
        <f>IFERROR(__xludf.DUMMYFUNCTION("""COMPUTED_VALUE"""),3.0)</f>
        <v>3</v>
      </c>
      <c r="BF148" s="16">
        <f>IFERROR(__xludf.DUMMYFUNCTION("""COMPUTED_VALUE"""),0.0)</f>
        <v>0</v>
      </c>
      <c r="BG148" s="16">
        <f>IFERROR(__xludf.DUMMYFUNCTION("""COMPUTED_VALUE"""),0.0)</f>
        <v>0</v>
      </c>
      <c r="BH148" s="16">
        <f>IFERROR(__xludf.DUMMYFUNCTION("""COMPUTED_VALUE"""),2.0)</f>
        <v>2</v>
      </c>
      <c r="BI148" s="16">
        <f>IFERROR(__xludf.DUMMYFUNCTION("""COMPUTED_VALUE"""),0.0)</f>
        <v>0</v>
      </c>
      <c r="BJ148" s="16">
        <f>IFERROR(__xludf.DUMMYFUNCTION("""COMPUTED_VALUE"""),4.0)</f>
        <v>4</v>
      </c>
      <c r="BK148" s="16">
        <f>IFERROR(__xludf.DUMMYFUNCTION("""COMPUTED_VALUE"""),5.0)</f>
        <v>5</v>
      </c>
      <c r="BL148" s="16">
        <f>IFERROR(__xludf.DUMMYFUNCTION("""COMPUTED_VALUE"""),0.0)</f>
        <v>0</v>
      </c>
      <c r="BM148" s="16">
        <f>IFERROR(__xludf.DUMMYFUNCTION("""COMPUTED_VALUE"""),0.0)</f>
        <v>0</v>
      </c>
      <c r="BN148" s="16">
        <f>IFERROR(__xludf.DUMMYFUNCTION("""COMPUTED_VALUE"""),1.0)</f>
        <v>1</v>
      </c>
      <c r="BO148" s="16">
        <f>IFERROR(__xludf.DUMMYFUNCTION("""COMPUTED_VALUE"""),0.0)</f>
        <v>0</v>
      </c>
      <c r="BP148" s="16">
        <f>IFERROR(__xludf.DUMMYFUNCTION("""COMPUTED_VALUE"""),1.0)</f>
        <v>1</v>
      </c>
      <c r="BQ148" s="16">
        <f>IFERROR(__xludf.DUMMYFUNCTION("""COMPUTED_VALUE"""),0.0)</f>
        <v>0</v>
      </c>
      <c r="BR148" s="16">
        <f>IFERROR(__xludf.DUMMYFUNCTION("""COMPUTED_VALUE"""),1.0)</f>
        <v>1</v>
      </c>
      <c r="BS148" s="16">
        <f>IFERROR(__xludf.DUMMYFUNCTION("""COMPUTED_VALUE"""),-3.0)</f>
        <v>-3</v>
      </c>
      <c r="BT148" s="16">
        <f>IFERROR(__xludf.DUMMYFUNCTION("""COMPUTED_VALUE"""),-2.0)</f>
        <v>-2</v>
      </c>
      <c r="BU148" s="16">
        <f>IFERROR(__xludf.DUMMYFUNCTION("""COMPUTED_VALUE"""),-6.0)</f>
        <v>-6</v>
      </c>
      <c r="BV148" s="16">
        <f>IFERROR(__xludf.DUMMYFUNCTION("""COMPUTED_VALUE"""),-4.0)</f>
        <v>-4</v>
      </c>
      <c r="BW148" s="16">
        <f>IFERROR(__xludf.DUMMYFUNCTION("""COMPUTED_VALUE"""),-2.0)</f>
        <v>-2</v>
      </c>
      <c r="BX148" s="16">
        <f>IFERROR(__xludf.DUMMYFUNCTION("""COMPUTED_VALUE"""),-2.0)</f>
        <v>-2</v>
      </c>
      <c r="BY148" s="16" t="str">
        <f>IFERROR(__xludf.DUMMYFUNCTION("""COMPUTED_VALUE"""),"R(1) C(0)")</f>
        <v>R(1) C(0)</v>
      </c>
      <c r="BZ148" s="16" t="str">
        <f>IFERROR(__xludf.DUMMYFUNCTION("""COMPUTED_VALUE"""),"R(1) C(0)")</f>
        <v>R(1) C(0)</v>
      </c>
      <c r="CA148" s="16" t="str">
        <f>IFERROR(__xludf.DUMMYFUNCTION("""COMPUTED_VALUE"""),"R(1)")</f>
        <v>R(1)</v>
      </c>
      <c r="CB148" s="16" t="str">
        <f>IFERROR(__xludf.DUMMYFUNCTION("""COMPUTED_VALUE"""),"C(0)")</f>
        <v>C(0)</v>
      </c>
      <c r="CC148" s="16"/>
      <c r="CD148" s="16"/>
      <c r="CE148" s="16">
        <f>IFERROR(__xludf.DUMMYFUNCTION("""COMPUTED_VALUE"""),1.0)</f>
        <v>1</v>
      </c>
      <c r="CF148" s="16">
        <f>IFERROR(__xludf.DUMMYFUNCTION("""COMPUTED_VALUE"""),0.0)</f>
        <v>0</v>
      </c>
      <c r="CG148" s="16" t="str">
        <f>IFERROR(__xludf.DUMMYFUNCTION("""COMPUTED_VALUE"""),"3-47")</f>
        <v>3-47</v>
      </c>
      <c r="CH148" s="16">
        <f>IFERROR(__xludf.DUMMYFUNCTION("""COMPUTED_VALUE"""),3.0)</f>
        <v>3</v>
      </c>
      <c r="CI148" s="16">
        <f>IFERROR(__xludf.DUMMYFUNCTION("""COMPUTED_VALUE"""),47.0)</f>
        <v>47</v>
      </c>
      <c r="CJ148" s="16">
        <f>IFERROR(__xludf.DUMMYFUNCTION("""COMPUTED_VALUE"""),0.0)</f>
        <v>0</v>
      </c>
      <c r="CK148" s="16">
        <f>IFERROR(__xludf.DUMMYFUNCTION("""COMPUTED_VALUE"""),7.0)</f>
        <v>7</v>
      </c>
      <c r="CL148" s="16" t="str">
        <f>IFERROR(__xludf.DUMMYFUNCTION("""COMPUTED_VALUE"""),"1WL-C")</f>
        <v>1WL-C</v>
      </c>
      <c r="CM148" s="16" t="str">
        <f>IFERROR(__xludf.DUMMYFUNCTION("""COMPUTED_VALUE"""),"E")</f>
        <v>E</v>
      </c>
      <c r="CN148" s="16">
        <f>IFERROR(__xludf.DUMMYFUNCTION("""COMPUTED_VALUE"""),10.0)</f>
        <v>10</v>
      </c>
      <c r="CO148" s="16" t="str">
        <f>IFERROR(__xludf.DUMMYFUNCTION("""COMPUTED_VALUE"""),"C")</f>
        <v>C</v>
      </c>
      <c r="CP148" s="16" t="str">
        <f>IFERROR(__xludf.DUMMYFUNCTION("""COMPUTED_VALUE"""),"5p30")</f>
        <v>5p30</v>
      </c>
      <c r="CQ148" s="16">
        <f>IFERROR(__xludf.DUMMYFUNCTION("""COMPUTED_VALUE"""),-2.0)</f>
        <v>-2</v>
      </c>
      <c r="CR148" s="16">
        <f>IFERROR(__xludf.DUMMYFUNCTION("""COMPUTED_VALUE"""),38.0)</f>
        <v>38</v>
      </c>
      <c r="CS148" s="16">
        <f>IFERROR(__xludf.DUMMYFUNCTION("""COMPUTED_VALUE"""),36.0)</f>
        <v>36</v>
      </c>
      <c r="CT148" s="16">
        <f>IFERROR(__xludf.DUMMYFUNCTION("""COMPUTED_VALUE"""),-2.0)</f>
        <v>-2</v>
      </c>
      <c r="CU148" s="16">
        <f>IFERROR(__xludf.DUMMYFUNCTION("""COMPUTED_VALUE"""),38.0)</f>
        <v>38</v>
      </c>
      <c r="CV148" s="179">
        <f>IFERROR(__xludf.DUMMYFUNCTION("""COMPUTED_VALUE"""),13.333333333333334)</f>
        <v>13.33333333</v>
      </c>
      <c r="CW148" s="179">
        <f>IFERROR(__xludf.DUMMYFUNCTION("""COMPUTED_VALUE"""),0.0)</f>
        <v>0</v>
      </c>
      <c r="CX148" s="179">
        <f>IFERROR(__xludf.DUMMYFUNCTION("""COMPUTED_VALUE"""),2.0)</f>
        <v>2</v>
      </c>
      <c r="CY148" s="16" t="str">
        <f>IFERROR(__xludf.DUMMYFUNCTION("""COMPUTED_VALUE"""),"RP")</f>
        <v>RP</v>
      </c>
      <c r="CZ148" s="16" t="str">
        <f>IFERROR(__xludf.DUMMYFUNCTION("""COMPUTED_VALUE"""),"CP")</f>
        <v>CP</v>
      </c>
      <c r="DA148" s="16"/>
      <c r="DB148" s="16"/>
      <c r="DC148" s="16"/>
      <c r="DD148" s="16"/>
      <c r="DE148" s="16"/>
      <c r="DF148" s="16"/>
      <c r="DG148" s="16"/>
      <c r="DH148" s="16"/>
      <c r="DI148" s="16"/>
      <c r="DJ148" s="16"/>
      <c r="DK148" s="16"/>
    </row>
    <row r="149">
      <c r="A149" s="16">
        <f>IFERROR(__xludf.DUMMYFUNCTION("""COMPUTED_VALUE"""),12928.0)</f>
        <v>12928</v>
      </c>
      <c r="B149" s="16" t="str">
        <f>IFERROR(__xludf.DUMMYFUNCTION("""COMPUTED_VALUE"""),"Jared Koenig")</f>
        <v>Jared Koenig</v>
      </c>
      <c r="C149" s="153">
        <f>IFERROR(__xludf.DUMMYFUNCTION("""COMPUTED_VALUE"""),1.16)</f>
        <v>1.16</v>
      </c>
      <c r="D149" s="16"/>
      <c r="E149" s="16" t="str">
        <f>IFERROR(__xludf.DUMMYFUNCTION("""COMPUTED_VALUE"""),"L")</f>
        <v>L</v>
      </c>
      <c r="F149" s="16">
        <f>IFERROR(__xludf.DUMMYFUNCTION("""COMPUTED_VALUE"""),62.0)</f>
        <v>62</v>
      </c>
      <c r="G149" s="16">
        <f>IFERROR(__xludf.DUMMYFUNCTION("""COMPUTED_VALUE"""),21.0)</f>
        <v>21</v>
      </c>
      <c r="H149" s="16">
        <f>IFERROR(__xludf.DUMMYFUNCTION("""COMPUTED_VALUE"""),33.0)</f>
        <v>33</v>
      </c>
      <c r="I149" s="16">
        <f>IFERROR(__xludf.DUMMYFUNCTION("""COMPUTED_VALUE"""),-1.0)</f>
        <v>-1</v>
      </c>
      <c r="J149" s="16">
        <f>IFERROR(__xludf.DUMMYFUNCTION("""COMPUTED_VALUE"""),1.0)</f>
        <v>1</v>
      </c>
      <c r="K149" s="16">
        <f>IFERROR(__xludf.DUMMYFUNCTION("""COMPUTED_VALUE"""),-3.0)</f>
        <v>-3</v>
      </c>
      <c r="L149" s="16">
        <f>IFERROR(__xludf.DUMMYFUNCTION("""COMPUTED_VALUE"""),3.0)</f>
        <v>3</v>
      </c>
      <c r="M149" s="16">
        <f>IFERROR(__xludf.DUMMYFUNCTION("""COMPUTED_VALUE"""),1.0)</f>
        <v>1</v>
      </c>
      <c r="N149" s="16">
        <f>IFERROR(__xludf.DUMMYFUNCTION("""COMPUTED_VALUE"""),11.0)</f>
        <v>11</v>
      </c>
      <c r="O149" s="16">
        <f>IFERROR(__xludf.DUMMYFUNCTION("""COMPUTED_VALUE"""),3.0)</f>
        <v>3</v>
      </c>
      <c r="P149" s="16">
        <f>IFERROR(__xludf.DUMMYFUNCTION("""COMPUTED_VALUE"""),-1.0)</f>
        <v>-1</v>
      </c>
      <c r="Q149" s="16">
        <f>IFERROR(__xludf.DUMMYFUNCTION("""COMPUTED_VALUE"""),3.0)</f>
        <v>3</v>
      </c>
      <c r="R149" s="16">
        <f>IFERROR(__xludf.DUMMYFUNCTION("""COMPUTED_VALUE"""),-1.0)</f>
        <v>-1</v>
      </c>
      <c r="S149" s="16">
        <f>IFERROR(__xludf.DUMMYFUNCTION("""COMPUTED_VALUE"""),12.5)</f>
        <v>12.5</v>
      </c>
      <c r="T149" s="16">
        <f>IFERROR(__xludf.DUMMYFUNCTION("""COMPUTED_VALUE"""),20.0)</f>
        <v>20</v>
      </c>
      <c r="U149" s="16">
        <f>IFERROR(__xludf.DUMMYFUNCTION("""COMPUTED_VALUE"""),0.0)</f>
        <v>0</v>
      </c>
      <c r="V149" s="16">
        <f>IFERROR(__xludf.DUMMYFUNCTION("""COMPUTED_VALUE"""),-1.0)</f>
        <v>-1</v>
      </c>
      <c r="W149" s="16">
        <f>IFERROR(__xludf.DUMMYFUNCTION("""COMPUTED_VALUE"""),0.0)</f>
        <v>0</v>
      </c>
      <c r="X149" s="16">
        <f>IFERROR(__xludf.DUMMYFUNCTION("""COMPUTED_VALUE"""),-2.0)</f>
        <v>-2</v>
      </c>
      <c r="Y149" s="16">
        <f>IFERROR(__xludf.DUMMYFUNCTION("""COMPUTED_VALUE"""),13.5)</f>
        <v>13.5</v>
      </c>
      <c r="Z149" s="16">
        <f>IFERROR(__xludf.DUMMYFUNCTION("""COMPUTED_VALUE"""),31.0)</f>
        <v>31</v>
      </c>
      <c r="AA149" s="16">
        <f>IFERROR(__xludf.DUMMYFUNCTION("""COMPUTED_VALUE"""),2.0)</f>
        <v>2</v>
      </c>
      <c r="AB149" s="16">
        <f>IFERROR(__xludf.DUMMYFUNCTION("""COMPUTED_VALUE"""),-1.0)</f>
        <v>-1</v>
      </c>
      <c r="AC149" s="16">
        <f>IFERROR(__xludf.DUMMYFUNCTION("""COMPUTED_VALUE"""),10.0)</f>
        <v>10</v>
      </c>
      <c r="AD149" s="16">
        <f>IFERROR(__xludf.DUMMYFUNCTION("""COMPUTED_VALUE"""),-5.0)</f>
        <v>-5</v>
      </c>
      <c r="AE149" s="16">
        <f>IFERROR(__xludf.DUMMYFUNCTION("""COMPUTED_VALUE"""),16.7)</f>
        <v>16.7</v>
      </c>
      <c r="AF149" s="16">
        <f>IFERROR(__xludf.DUMMYFUNCTION("""COMPUTED_VALUE"""),22.5)</f>
        <v>22.5</v>
      </c>
      <c r="AG149" s="16">
        <f>IFERROR(__xludf.DUMMYFUNCTION("""COMPUTED_VALUE"""),1.0)</f>
        <v>1</v>
      </c>
      <c r="AH149" s="16">
        <f>IFERROR(__xludf.DUMMYFUNCTION("""COMPUTED_VALUE"""),1.0)</f>
        <v>1</v>
      </c>
      <c r="AI149" s="16">
        <f>IFERROR(__xludf.DUMMYFUNCTION("""COMPUTED_VALUE"""),2.0)</f>
        <v>2</v>
      </c>
      <c r="AJ149" s="16">
        <f>IFERROR(__xludf.DUMMYFUNCTION("""COMPUTED_VALUE"""),2.0)</f>
        <v>2</v>
      </c>
      <c r="AK149" s="16">
        <f>IFERROR(__xludf.DUMMYFUNCTION("""COMPUTED_VALUE"""),11.1)</f>
        <v>11.1</v>
      </c>
      <c r="AL149" s="16">
        <f>IFERROR(__xludf.DUMMYFUNCTION("""COMPUTED_VALUE"""),20.0)</f>
        <v>20</v>
      </c>
      <c r="AM149" s="16">
        <f>IFERROR(__xludf.DUMMYFUNCTION("""COMPUTED_VALUE"""),0.0)</f>
        <v>0</v>
      </c>
      <c r="AN149" s="16">
        <f>IFERROR(__xludf.DUMMYFUNCTION("""COMPUTED_VALUE"""),-1.0)</f>
        <v>-1</v>
      </c>
      <c r="AO149" s="16">
        <f>IFERROR(__xludf.DUMMYFUNCTION("""COMPUTED_VALUE"""),0.0)</f>
        <v>0</v>
      </c>
      <c r="AP149" s="16">
        <f>IFERROR(__xludf.DUMMYFUNCTION("""COMPUTED_VALUE"""),-1.0)</f>
        <v>-1</v>
      </c>
      <c r="AQ149" s="16">
        <f>IFERROR(__xludf.DUMMYFUNCTION("""COMPUTED_VALUE"""),11.1)</f>
        <v>11.1</v>
      </c>
      <c r="AR149" s="16">
        <f>IFERROR(__xludf.DUMMYFUNCTION("""COMPUTED_VALUE"""),22.5)</f>
        <v>22.5</v>
      </c>
      <c r="AS149" s="16">
        <f>IFERROR(__xludf.DUMMYFUNCTION("""COMPUTED_VALUE"""),1.0)</f>
        <v>1</v>
      </c>
      <c r="AT149" s="16">
        <f>IFERROR(__xludf.DUMMYFUNCTION("""COMPUTED_VALUE"""),0.0)</f>
        <v>0</v>
      </c>
      <c r="AU149" s="16">
        <f>IFERROR(__xludf.DUMMYFUNCTION("""COMPUTED_VALUE"""),2.0)</f>
        <v>2</v>
      </c>
      <c r="AV149" s="16">
        <f>IFERROR(__xludf.DUMMYFUNCTION("""COMPUTED_VALUE"""),0.0)</f>
        <v>0</v>
      </c>
      <c r="AW149" s="16">
        <f>IFERROR(__xludf.DUMMYFUNCTION("""COMPUTED_VALUE"""),1.4)</f>
        <v>1.4</v>
      </c>
      <c r="AX149" s="16">
        <f>IFERROR(__xludf.DUMMYFUNCTION("""COMPUTED_VALUE"""),0.0)</f>
        <v>0</v>
      </c>
      <c r="AY149" s="16">
        <f>IFERROR(__xludf.DUMMYFUNCTION("""COMPUTED_VALUE"""),1.0)</f>
        <v>1</v>
      </c>
      <c r="AZ149" s="16">
        <f>IFERROR(__xludf.DUMMYFUNCTION("""COMPUTED_VALUE"""),2.0)</f>
        <v>2</v>
      </c>
      <c r="BA149" s="16">
        <f>IFERROR(__xludf.DUMMYFUNCTION("""COMPUTED_VALUE"""),5.0)</f>
        <v>5</v>
      </c>
      <c r="BB149" s="16">
        <f>IFERROR(__xludf.DUMMYFUNCTION("""COMPUTED_VALUE"""),10.0)</f>
        <v>10</v>
      </c>
      <c r="BC149" s="16">
        <f>IFERROR(__xludf.DUMMYFUNCTION("""COMPUTED_VALUE"""),1.0)</f>
        <v>1</v>
      </c>
      <c r="BD149" s="16">
        <f>IFERROR(__xludf.DUMMYFUNCTION("""COMPUTED_VALUE"""),0.0)</f>
        <v>0</v>
      </c>
      <c r="BE149" s="16">
        <f>IFERROR(__xludf.DUMMYFUNCTION("""COMPUTED_VALUE"""),1.0)</f>
        <v>1</v>
      </c>
      <c r="BF149" s="16">
        <f>IFERROR(__xludf.DUMMYFUNCTION("""COMPUTED_VALUE"""),0.0)</f>
        <v>0</v>
      </c>
      <c r="BG149" s="16">
        <f>IFERROR(__xludf.DUMMYFUNCTION("""COMPUTED_VALUE"""),2.0)</f>
        <v>2</v>
      </c>
      <c r="BH149" s="16">
        <f>IFERROR(__xludf.DUMMYFUNCTION("""COMPUTED_VALUE"""),2.0)</f>
        <v>2</v>
      </c>
      <c r="BI149" s="16">
        <f>IFERROR(__xludf.DUMMYFUNCTION("""COMPUTED_VALUE"""),4.0)</f>
        <v>4</v>
      </c>
      <c r="BJ149" s="16">
        <f>IFERROR(__xludf.DUMMYFUNCTION("""COMPUTED_VALUE"""),4.0)</f>
        <v>4</v>
      </c>
      <c r="BK149" s="16">
        <f>IFERROR(__xludf.DUMMYFUNCTION("""COMPUTED_VALUE"""),5.0)</f>
        <v>5</v>
      </c>
      <c r="BL149" s="16">
        <f>IFERROR(__xludf.DUMMYFUNCTION("""COMPUTED_VALUE"""),5.0)</f>
        <v>5</v>
      </c>
      <c r="BM149" s="16">
        <f>IFERROR(__xludf.DUMMYFUNCTION("""COMPUTED_VALUE"""),0.0)</f>
        <v>0</v>
      </c>
      <c r="BN149" s="16">
        <f>IFERROR(__xludf.DUMMYFUNCTION("""COMPUTED_VALUE"""),0.0)</f>
        <v>0</v>
      </c>
      <c r="BO149" s="16">
        <f>IFERROR(__xludf.DUMMYFUNCTION("""COMPUTED_VALUE"""),0.0)</f>
        <v>0</v>
      </c>
      <c r="BP149" s="16">
        <f>IFERROR(__xludf.DUMMYFUNCTION("""COMPUTED_VALUE"""),0.0)</f>
        <v>0</v>
      </c>
      <c r="BQ149" s="16">
        <f>IFERROR(__xludf.DUMMYFUNCTION("""COMPUTED_VALUE"""),2.0)</f>
        <v>2</v>
      </c>
      <c r="BR149" s="16">
        <f>IFERROR(__xludf.DUMMYFUNCTION("""COMPUTED_VALUE"""),2.0)</f>
        <v>2</v>
      </c>
      <c r="BS149" s="16">
        <f>IFERROR(__xludf.DUMMYFUNCTION("""COMPUTED_VALUE"""),-2.0)</f>
        <v>-2</v>
      </c>
      <c r="BT149" s="16">
        <f>IFERROR(__xludf.DUMMYFUNCTION("""COMPUTED_VALUE"""),-2.0)</f>
        <v>-2</v>
      </c>
      <c r="BU149" s="16">
        <f>IFERROR(__xludf.DUMMYFUNCTION("""COMPUTED_VALUE"""),-4.0)</f>
        <v>-4</v>
      </c>
      <c r="BV149" s="16">
        <f>IFERROR(__xludf.DUMMYFUNCTION("""COMPUTED_VALUE"""),-4.0)</f>
        <v>-4</v>
      </c>
      <c r="BW149" s="16">
        <f>IFERROR(__xludf.DUMMYFUNCTION("""COMPUTED_VALUE"""),1.0)</f>
        <v>1</v>
      </c>
      <c r="BX149" s="16">
        <f>IFERROR(__xludf.DUMMYFUNCTION("""COMPUTED_VALUE"""),1.0)</f>
        <v>1</v>
      </c>
      <c r="BY149" s="16" t="str">
        <f>IFERROR(__xludf.DUMMYFUNCTION("""COMPUTED_VALUE"""),"S(1) R(1) C(0)")</f>
        <v>S(1) R(1) C(0)</v>
      </c>
      <c r="BZ149" s="16" t="str">
        <f>IFERROR(__xludf.DUMMYFUNCTION("""COMPUTED_VALUE"""),"S(1) R(1) C(0)")</f>
        <v>S(1) R(1) C(0)</v>
      </c>
      <c r="CA149" s="16" t="str">
        <f>IFERROR(__xludf.DUMMYFUNCTION("""COMPUTED_VALUE"""),"S(1)")</f>
        <v>S(1)</v>
      </c>
      <c r="CB149" s="16" t="str">
        <f>IFERROR(__xludf.DUMMYFUNCTION("""COMPUTED_VALUE"""),"R(1)")</f>
        <v>R(1)</v>
      </c>
      <c r="CC149" s="16" t="str">
        <f>IFERROR(__xludf.DUMMYFUNCTION("""COMPUTED_VALUE"""),"C(0)")</f>
        <v>C(0)</v>
      </c>
      <c r="CD149" s="16">
        <f>IFERROR(__xludf.DUMMYFUNCTION("""COMPUTED_VALUE"""),1.0)</f>
        <v>1</v>
      </c>
      <c r="CE149" s="16">
        <f>IFERROR(__xludf.DUMMYFUNCTION("""COMPUTED_VALUE"""),1.0)</f>
        <v>1</v>
      </c>
      <c r="CF149" s="16">
        <f>IFERROR(__xludf.DUMMYFUNCTION("""COMPUTED_VALUE"""),0.0)</f>
        <v>0</v>
      </c>
      <c r="CG149" s="16" t="str">
        <f>IFERROR(__xludf.DUMMYFUNCTION("""COMPUTED_VALUE"""),"4-47")</f>
        <v>4-47</v>
      </c>
      <c r="CH149" s="16">
        <f>IFERROR(__xludf.DUMMYFUNCTION("""COMPUTED_VALUE"""),4.0)</f>
        <v>4</v>
      </c>
      <c r="CI149" s="16">
        <f>IFERROR(__xludf.DUMMYFUNCTION("""COMPUTED_VALUE"""),47.0)</f>
        <v>47</v>
      </c>
      <c r="CJ149" s="16">
        <f>IFERROR(__xludf.DUMMYFUNCTION("""COMPUTED_VALUE"""),0.0)</f>
        <v>0</v>
      </c>
      <c r="CK149" s="16">
        <f>IFERROR(__xludf.DUMMYFUNCTION("""COMPUTED_VALUE"""),0.0)</f>
        <v>0</v>
      </c>
      <c r="CL149" s="16" t="str">
        <f>IFERROR(__xludf.DUMMYFUNCTION("""COMPUTED_VALUE"""),"1WR-C")</f>
        <v>1WR-C</v>
      </c>
      <c r="CM149" s="16" t="str">
        <f>IFERROR(__xludf.DUMMYFUNCTION("""COMPUTED_VALUE"""),"E")</f>
        <v>E</v>
      </c>
      <c r="CN149" s="16">
        <f>IFERROR(__xludf.DUMMYFUNCTION("""COMPUTED_VALUE"""),10.0)</f>
        <v>10</v>
      </c>
      <c r="CO149" s="16" t="str">
        <f>IFERROR(__xludf.DUMMYFUNCTION("""COMPUTED_VALUE"""),"C")</f>
        <v>C</v>
      </c>
      <c r="CP149" s="16" t="str">
        <f>IFERROR(__xludf.DUMMYFUNCTION("""COMPUTED_VALUE"""),"2p50")</f>
        <v>2p50</v>
      </c>
      <c r="CQ149" s="16">
        <f>IFERROR(__xludf.DUMMYFUNCTION("""COMPUTED_VALUE"""),19.0)</f>
        <v>19</v>
      </c>
      <c r="CR149" s="16">
        <f>IFERROR(__xludf.DUMMYFUNCTION("""COMPUTED_VALUE"""),6.0)</f>
        <v>6</v>
      </c>
      <c r="CS149" s="16">
        <f>IFERROR(__xludf.DUMMYFUNCTION("""COMPUTED_VALUE"""),25.0)</f>
        <v>25</v>
      </c>
      <c r="CT149" s="16">
        <f>IFERROR(__xludf.DUMMYFUNCTION("""COMPUTED_VALUE"""),19.0)</f>
        <v>19</v>
      </c>
      <c r="CU149" s="16">
        <f>IFERROR(__xludf.DUMMYFUNCTION("""COMPUTED_VALUE"""),6.0)</f>
        <v>6</v>
      </c>
      <c r="CV149" s="179">
        <f>IFERROR(__xludf.DUMMYFUNCTION("""COMPUTED_VALUE"""),13.333333333333334)</f>
        <v>13.33333333</v>
      </c>
      <c r="CW149" s="179">
        <f>IFERROR(__xludf.DUMMYFUNCTION("""COMPUTED_VALUE"""),3.0)</f>
        <v>3</v>
      </c>
      <c r="CX149" s="179">
        <f>IFERROR(__xludf.DUMMYFUNCTION("""COMPUTED_VALUE"""),0.0)</f>
        <v>0</v>
      </c>
      <c r="CY149" s="16" t="str">
        <f>IFERROR(__xludf.DUMMYFUNCTION("""COMPUTED_VALUE"""),"SP")</f>
        <v>SP</v>
      </c>
      <c r="CZ149" s="16" t="str">
        <f>IFERROR(__xludf.DUMMYFUNCTION("""COMPUTED_VALUE"""),"RP")</f>
        <v>RP</v>
      </c>
      <c r="DA149" s="16" t="str">
        <f>IFERROR(__xludf.DUMMYFUNCTION("""COMPUTED_VALUE"""),"CP")</f>
        <v>CP</v>
      </c>
      <c r="DB149" s="16"/>
      <c r="DC149" s="16"/>
      <c r="DD149" s="16"/>
      <c r="DE149" s="16"/>
      <c r="DF149" s="16"/>
      <c r="DG149" s="16"/>
      <c r="DH149" s="16"/>
      <c r="DI149" s="16"/>
      <c r="DJ149" s="16"/>
      <c r="DK149" s="16"/>
    </row>
    <row r="150">
      <c r="A150" s="16">
        <f>IFERROR(__xludf.DUMMYFUNCTION("""COMPUTED_VALUE"""),13398.0)</f>
        <v>13398</v>
      </c>
      <c r="B150" s="16" t="str">
        <f>IFERROR(__xludf.DUMMYFUNCTION("""COMPUTED_VALUE"""),"Tanner Bibee")</f>
        <v>Tanner Bibee</v>
      </c>
      <c r="C150" s="153">
        <f>IFERROR(__xludf.DUMMYFUNCTION("""COMPUTED_VALUE"""),1.12)</f>
        <v>1.12</v>
      </c>
      <c r="D150" s="16"/>
      <c r="E150" s="16" t="str">
        <f>IFERROR(__xludf.DUMMYFUNCTION("""COMPUTED_VALUE"""),"R")</f>
        <v>R</v>
      </c>
      <c r="F150" s="16">
        <f>IFERROR(__xludf.DUMMYFUNCTION("""COMPUTED_VALUE"""),174.0)</f>
        <v>174</v>
      </c>
      <c r="G150" s="16">
        <f>IFERROR(__xludf.DUMMYFUNCTION("""COMPUTED_VALUE"""),32.0)</f>
        <v>32</v>
      </c>
      <c r="H150" s="16">
        <f>IFERROR(__xludf.DUMMYFUNCTION("""COMPUTED_VALUE"""),34.0)</f>
        <v>34</v>
      </c>
      <c r="I150" s="16">
        <f>IFERROR(__xludf.DUMMYFUNCTION("""COMPUTED_VALUE"""),1.0)</f>
        <v>1</v>
      </c>
      <c r="J150" s="16">
        <f>IFERROR(__xludf.DUMMYFUNCTION("""COMPUTED_VALUE"""),1.0)</f>
        <v>1</v>
      </c>
      <c r="K150" s="16">
        <f>IFERROR(__xludf.DUMMYFUNCTION("""COMPUTED_VALUE"""),3.0)</f>
        <v>3</v>
      </c>
      <c r="L150" s="16">
        <f>IFERROR(__xludf.DUMMYFUNCTION("""COMPUTED_VALUE"""),3.0)</f>
        <v>3</v>
      </c>
      <c r="M150" s="16">
        <f>IFERROR(__xludf.DUMMYFUNCTION("""COMPUTED_VALUE"""),6.0)</f>
        <v>6</v>
      </c>
      <c r="N150" s="16">
        <f>IFERROR(__xludf.DUMMYFUNCTION("""COMPUTED_VALUE"""),4.0)</f>
        <v>4</v>
      </c>
      <c r="O150" s="16">
        <f>IFERROR(__xludf.DUMMYFUNCTION("""COMPUTED_VALUE"""),1.0)</f>
        <v>1</v>
      </c>
      <c r="P150" s="16">
        <f>IFERROR(__xludf.DUMMYFUNCTION("""COMPUTED_VALUE"""),2.0)</f>
        <v>2</v>
      </c>
      <c r="Q150" s="16">
        <f>IFERROR(__xludf.DUMMYFUNCTION("""COMPUTED_VALUE"""),1.0)</f>
        <v>1</v>
      </c>
      <c r="R150" s="16">
        <f>IFERROR(__xludf.DUMMYFUNCTION("""COMPUTED_VALUE"""),2.0)</f>
        <v>2</v>
      </c>
      <c r="S150" s="16">
        <f>IFERROR(__xludf.DUMMYFUNCTION("""COMPUTED_VALUE"""),18.0)</f>
        <v>18</v>
      </c>
      <c r="T150" s="16">
        <f>IFERROR(__xludf.DUMMYFUNCTION("""COMPUTED_VALUE"""),10.1)</f>
        <v>10.1</v>
      </c>
      <c r="U150" s="16">
        <f>IFERROR(__xludf.DUMMYFUNCTION("""COMPUTED_VALUE"""),0.0)</f>
        <v>0</v>
      </c>
      <c r="V150" s="16">
        <f>IFERROR(__xludf.DUMMYFUNCTION("""COMPUTED_VALUE"""),1.0)</f>
        <v>1</v>
      </c>
      <c r="W150" s="16">
        <f>IFERROR(__xludf.DUMMYFUNCTION("""COMPUTED_VALUE"""),0.0)</f>
        <v>0</v>
      </c>
      <c r="X150" s="16">
        <f>IFERROR(__xludf.DUMMYFUNCTION("""COMPUTED_VALUE"""),2.0)</f>
        <v>2</v>
      </c>
      <c r="Y150" s="16">
        <f>IFERROR(__xludf.DUMMYFUNCTION("""COMPUTED_VALUE"""),24.0)</f>
        <v>24</v>
      </c>
      <c r="Z150" s="16">
        <f>IFERROR(__xludf.DUMMYFUNCTION("""COMPUTED_VALUE"""),14.1)</f>
        <v>14.1</v>
      </c>
      <c r="AA150" s="16">
        <f>IFERROR(__xludf.DUMMYFUNCTION("""COMPUTED_VALUE"""),0.0)</f>
        <v>0</v>
      </c>
      <c r="AB150" s="16">
        <f>IFERROR(__xludf.DUMMYFUNCTION("""COMPUTED_VALUE"""),2.0)</f>
        <v>2</v>
      </c>
      <c r="AC150" s="16">
        <f>IFERROR(__xludf.DUMMYFUNCTION("""COMPUTED_VALUE"""),0.0)</f>
        <v>0</v>
      </c>
      <c r="AD150" s="16">
        <f>IFERROR(__xludf.DUMMYFUNCTION("""COMPUTED_VALUE"""),10.0)</f>
        <v>10</v>
      </c>
      <c r="AE150" s="16">
        <f>IFERROR(__xludf.DUMMYFUNCTION("""COMPUTED_VALUE"""),32.0)</f>
        <v>32</v>
      </c>
      <c r="AF150" s="16">
        <f>IFERROR(__xludf.DUMMYFUNCTION("""COMPUTED_VALUE"""),20.3)</f>
        <v>20.3</v>
      </c>
      <c r="AG150" s="16">
        <f>IFERROR(__xludf.DUMMYFUNCTION("""COMPUTED_VALUE"""),0.0)</f>
        <v>0</v>
      </c>
      <c r="AH150" s="16">
        <f>IFERROR(__xludf.DUMMYFUNCTION("""COMPUTED_VALUE"""),1.0)</f>
        <v>1</v>
      </c>
      <c r="AI150" s="16">
        <f>IFERROR(__xludf.DUMMYFUNCTION("""COMPUTED_VALUE"""),0.0)</f>
        <v>0</v>
      </c>
      <c r="AJ150" s="16">
        <f>IFERROR(__xludf.DUMMYFUNCTION("""COMPUTED_VALUE"""),2.0)</f>
        <v>2</v>
      </c>
      <c r="AK150" s="16">
        <f>IFERROR(__xludf.DUMMYFUNCTION("""COMPUTED_VALUE"""),16.0)</f>
        <v>16</v>
      </c>
      <c r="AL150" s="16">
        <f>IFERROR(__xludf.DUMMYFUNCTION("""COMPUTED_VALUE"""),8.9)</f>
        <v>8.9</v>
      </c>
      <c r="AM150" s="16">
        <f>IFERROR(__xludf.DUMMYFUNCTION("""COMPUTED_VALUE"""),-1.0)</f>
        <v>-1</v>
      </c>
      <c r="AN150" s="16">
        <f>IFERROR(__xludf.DUMMYFUNCTION("""COMPUTED_VALUE"""),1.0)</f>
        <v>1</v>
      </c>
      <c r="AO150" s="16">
        <f>IFERROR(__xludf.DUMMYFUNCTION("""COMPUTED_VALUE"""),-1.0)</f>
        <v>-1</v>
      </c>
      <c r="AP150" s="16">
        <f>IFERROR(__xludf.DUMMYFUNCTION("""COMPUTED_VALUE"""),1.0)</f>
        <v>1</v>
      </c>
      <c r="AQ150" s="16">
        <f>IFERROR(__xludf.DUMMYFUNCTION("""COMPUTED_VALUE"""),24.0)</f>
        <v>24</v>
      </c>
      <c r="AR150" s="16">
        <f>IFERROR(__xludf.DUMMYFUNCTION("""COMPUTED_VALUE"""),15.5)</f>
        <v>15.5</v>
      </c>
      <c r="AS150" s="16">
        <f>IFERROR(__xludf.DUMMYFUNCTION("""COMPUTED_VALUE"""),-1.0)</f>
        <v>-1</v>
      </c>
      <c r="AT150" s="16">
        <f>IFERROR(__xludf.DUMMYFUNCTION("""COMPUTED_VALUE"""),1.0)</f>
        <v>1</v>
      </c>
      <c r="AU150" s="16">
        <f>IFERROR(__xludf.DUMMYFUNCTION("""COMPUTED_VALUE"""),-2.0)</f>
        <v>-2</v>
      </c>
      <c r="AV150" s="16">
        <f>IFERROR(__xludf.DUMMYFUNCTION("""COMPUTED_VALUE"""),2.0)</f>
        <v>2</v>
      </c>
      <c r="AW150" s="16">
        <f>IFERROR(__xludf.DUMMYFUNCTION("""COMPUTED_VALUE"""),2.0)</f>
        <v>2</v>
      </c>
      <c r="AX150" s="16">
        <f>IFERROR(__xludf.DUMMYFUNCTION("""COMPUTED_VALUE"""),1.2)</f>
        <v>1.2</v>
      </c>
      <c r="AY150" s="16">
        <f>IFERROR(__xludf.DUMMYFUNCTION("""COMPUTED_VALUE"""),0.0)</f>
        <v>0</v>
      </c>
      <c r="AZ150" s="16">
        <f>IFERROR(__xludf.DUMMYFUNCTION("""COMPUTED_VALUE"""),1.0)</f>
        <v>1</v>
      </c>
      <c r="BA150" s="16">
        <f>IFERROR(__xludf.DUMMYFUNCTION("""COMPUTED_VALUE"""),0.0)</f>
        <v>0</v>
      </c>
      <c r="BB150" s="16">
        <f>IFERROR(__xludf.DUMMYFUNCTION("""COMPUTED_VALUE"""),5.0)</f>
        <v>5</v>
      </c>
      <c r="BC150" s="16">
        <f>IFERROR(__xludf.DUMMYFUNCTION("""COMPUTED_VALUE"""),3.0)</f>
        <v>3</v>
      </c>
      <c r="BD150" s="16">
        <f>IFERROR(__xludf.DUMMYFUNCTION("""COMPUTED_VALUE"""),2.0)</f>
        <v>2</v>
      </c>
      <c r="BE150" s="16">
        <f>IFERROR(__xludf.DUMMYFUNCTION("""COMPUTED_VALUE"""),3.0)</f>
        <v>3</v>
      </c>
      <c r="BF150" s="16">
        <f>IFERROR(__xludf.DUMMYFUNCTION("""COMPUTED_VALUE"""),2.0)</f>
        <v>2</v>
      </c>
      <c r="BG150" s="16">
        <f>IFERROR(__xludf.DUMMYFUNCTION("""COMPUTED_VALUE"""),0.0)</f>
        <v>0</v>
      </c>
      <c r="BH150" s="16">
        <f>IFERROR(__xludf.DUMMYFUNCTION("""COMPUTED_VALUE"""),1.0)</f>
        <v>1</v>
      </c>
      <c r="BI150" s="16">
        <f>IFERROR(__xludf.DUMMYFUNCTION("""COMPUTED_VALUE"""),0.0)</f>
        <v>0</v>
      </c>
      <c r="BJ150" s="16">
        <f>IFERROR(__xludf.DUMMYFUNCTION("""COMPUTED_VALUE"""),2.0)</f>
        <v>2</v>
      </c>
      <c r="BK150" s="16">
        <f>IFERROR(__xludf.DUMMYFUNCTION("""COMPUTED_VALUE"""),5.0)</f>
        <v>5</v>
      </c>
      <c r="BL150" s="16">
        <f>IFERROR(__xludf.DUMMYFUNCTION("""COMPUTED_VALUE"""),5.0)</f>
        <v>5</v>
      </c>
      <c r="BM150" s="16">
        <f>IFERROR(__xludf.DUMMYFUNCTION("""COMPUTED_VALUE"""),0.0)</f>
        <v>0</v>
      </c>
      <c r="BN150" s="16">
        <f>IFERROR(__xludf.DUMMYFUNCTION("""COMPUTED_VALUE"""),0.0)</f>
        <v>0</v>
      </c>
      <c r="BO150" s="16">
        <f>IFERROR(__xludf.DUMMYFUNCTION("""COMPUTED_VALUE"""),0.0)</f>
        <v>0</v>
      </c>
      <c r="BP150" s="16">
        <f>IFERROR(__xludf.DUMMYFUNCTION("""COMPUTED_VALUE"""),0.0)</f>
        <v>0</v>
      </c>
      <c r="BQ150" s="16">
        <f>IFERROR(__xludf.DUMMYFUNCTION("""COMPUTED_VALUE"""),1.0)</f>
        <v>1</v>
      </c>
      <c r="BR150" s="16">
        <f>IFERROR(__xludf.DUMMYFUNCTION("""COMPUTED_VALUE"""),2.0)</f>
        <v>2</v>
      </c>
      <c r="BS150" s="16">
        <f>IFERROR(__xludf.DUMMYFUNCTION("""COMPUTED_VALUE"""),-2.0)</f>
        <v>-2</v>
      </c>
      <c r="BT150" s="16">
        <f>IFERROR(__xludf.DUMMYFUNCTION("""COMPUTED_VALUE"""),-2.0)</f>
        <v>-2</v>
      </c>
      <c r="BU150" s="16">
        <f>IFERROR(__xludf.DUMMYFUNCTION("""COMPUTED_VALUE"""),-4.0)</f>
        <v>-4</v>
      </c>
      <c r="BV150" s="16">
        <f>IFERROR(__xludf.DUMMYFUNCTION("""COMPUTED_VALUE"""),-4.0)</f>
        <v>-4</v>
      </c>
      <c r="BW150" s="16">
        <f>IFERROR(__xludf.DUMMYFUNCTION("""COMPUTED_VALUE"""),-4.0)</f>
        <v>-4</v>
      </c>
      <c r="BX150" s="16">
        <f>IFERROR(__xludf.DUMMYFUNCTION("""COMPUTED_VALUE"""),-4.0)</f>
        <v>-4</v>
      </c>
      <c r="BY150" s="16" t="str">
        <f>IFERROR(__xludf.DUMMYFUNCTION("""COMPUTED_VALUE"""),"S(5)")</f>
        <v>S(5)</v>
      </c>
      <c r="BZ150" s="16" t="str">
        <f>IFERROR(__xludf.DUMMYFUNCTION("""COMPUTED_VALUE"""),"S(5)")</f>
        <v>S(5)</v>
      </c>
      <c r="CA150" s="16" t="str">
        <f>IFERROR(__xludf.DUMMYFUNCTION("""COMPUTED_VALUE"""),"S(5)")</f>
        <v>S(5)</v>
      </c>
      <c r="CB150" s="16"/>
      <c r="CC150" s="16"/>
      <c r="CD150" s="16">
        <f>IFERROR(__xludf.DUMMYFUNCTION("""COMPUTED_VALUE"""),5.0)</f>
        <v>5</v>
      </c>
      <c r="CE150" s="16"/>
      <c r="CF150" s="16"/>
      <c r="CG150" s="16" t="str">
        <f>IFERROR(__xludf.DUMMYFUNCTION("""COMPUTED_VALUE"""),"1-16")</f>
        <v>1-16</v>
      </c>
      <c r="CH150" s="16">
        <f>IFERROR(__xludf.DUMMYFUNCTION("""COMPUTED_VALUE"""),1.0)</f>
        <v>1</v>
      </c>
      <c r="CI150" s="16">
        <f>IFERROR(__xludf.DUMMYFUNCTION("""COMPUTED_VALUE"""),16.0)</f>
        <v>16</v>
      </c>
      <c r="CJ150" s="16">
        <f>IFERROR(__xludf.DUMMYFUNCTION("""COMPUTED_VALUE"""),0.0)</f>
        <v>0</v>
      </c>
      <c r="CK150" s="16">
        <f>IFERROR(__xludf.DUMMYFUNCTION("""COMPUTED_VALUE"""),2.0)</f>
        <v>2</v>
      </c>
      <c r="CL150" s="16" t="str">
        <f>IFERROR(__xludf.DUMMYFUNCTION("""COMPUTED_VALUE"""),"1WR-C")</f>
        <v>1WR-C</v>
      </c>
      <c r="CM150" s="16" t="str">
        <f>IFERROR(__xludf.DUMMYFUNCTION("""COMPUTED_VALUE"""),"E")</f>
        <v>E</v>
      </c>
      <c r="CN150" s="16">
        <f>IFERROR(__xludf.DUMMYFUNCTION("""COMPUTED_VALUE"""),10.0)</f>
        <v>10</v>
      </c>
      <c r="CO150" s="16" t="str">
        <f>IFERROR(__xludf.DUMMYFUNCTION("""COMPUTED_VALUE"""),"C")</f>
        <v>C</v>
      </c>
      <c r="CP150" s="16" t="str">
        <f>IFERROR(__xludf.DUMMYFUNCTION("""COMPUTED_VALUE"""),"1p70")</f>
        <v>1p70</v>
      </c>
      <c r="CQ150" s="16">
        <f>IFERROR(__xludf.DUMMYFUNCTION("""COMPUTED_VALUE"""),-3.0)</f>
        <v>-3</v>
      </c>
      <c r="CR150" s="16">
        <f>IFERROR(__xludf.DUMMYFUNCTION("""COMPUTED_VALUE"""),25.0)</f>
        <v>25</v>
      </c>
      <c r="CS150" s="16">
        <f>IFERROR(__xludf.DUMMYFUNCTION("""COMPUTED_VALUE"""),22.0)</f>
        <v>22</v>
      </c>
      <c r="CT150" s="16">
        <f>IFERROR(__xludf.DUMMYFUNCTION("""COMPUTED_VALUE"""),-3.0)</f>
        <v>-3</v>
      </c>
      <c r="CU150" s="16">
        <f>IFERROR(__xludf.DUMMYFUNCTION("""COMPUTED_VALUE"""),25.0)</f>
        <v>25</v>
      </c>
      <c r="CV150" s="179">
        <f>IFERROR(__xludf.DUMMYFUNCTION("""COMPUTED_VALUE"""),13.333333333333332)</f>
        <v>13.33333333</v>
      </c>
      <c r="CW150" s="179">
        <f>IFERROR(__xludf.DUMMYFUNCTION("""COMPUTED_VALUE"""),4.0)</f>
        <v>4</v>
      </c>
      <c r="CX150" s="179">
        <f>IFERROR(__xludf.DUMMYFUNCTION("""COMPUTED_VALUE"""),3.0)</f>
        <v>3</v>
      </c>
      <c r="CY150" s="16" t="str">
        <f>IFERROR(__xludf.DUMMYFUNCTION("""COMPUTED_VALUE"""),"SP")</f>
        <v>SP</v>
      </c>
      <c r="CZ150" s="16"/>
      <c r="DA150" s="16"/>
      <c r="DB150" s="16"/>
      <c r="DC150" s="16"/>
      <c r="DD150" s="16"/>
      <c r="DE150" s="16"/>
      <c r="DF150" s="16"/>
      <c r="DG150" s="16"/>
      <c r="DH150" s="16"/>
      <c r="DI150" s="16"/>
      <c r="DJ150" s="16"/>
      <c r="DK150" s="16"/>
    </row>
    <row r="151">
      <c r="A151" s="16">
        <f>IFERROR(__xludf.DUMMYFUNCTION("""COMPUTED_VALUE"""),13075.0)</f>
        <v>13075</v>
      </c>
      <c r="B151" s="16" t="str">
        <f>IFERROR(__xludf.DUMMYFUNCTION("""COMPUTED_VALUE"""),"Kevin Gausman")</f>
        <v>Kevin Gausman</v>
      </c>
      <c r="C151" s="153">
        <f>IFERROR(__xludf.DUMMYFUNCTION("""COMPUTED_VALUE"""),0.45)</f>
        <v>0.45</v>
      </c>
      <c r="D151" s="16"/>
      <c r="E151" s="16" t="str">
        <f>IFERROR(__xludf.DUMMYFUNCTION("""COMPUTED_VALUE"""),"R")</f>
        <v>R</v>
      </c>
      <c r="F151" s="16">
        <f>IFERROR(__xludf.DUMMYFUNCTION("""COMPUTED_VALUE"""),181.0)</f>
        <v>181</v>
      </c>
      <c r="G151" s="16">
        <f>IFERROR(__xludf.DUMMYFUNCTION("""COMPUTED_VALUE"""),20.0)</f>
        <v>20</v>
      </c>
      <c r="H151" s="16">
        <f>IFERROR(__xludf.DUMMYFUNCTION("""COMPUTED_VALUE"""),24.0)</f>
        <v>24</v>
      </c>
      <c r="I151" s="16">
        <f>IFERROR(__xludf.DUMMYFUNCTION("""COMPUTED_VALUE"""),-1.0)</f>
        <v>-1</v>
      </c>
      <c r="J151" s="16">
        <f>IFERROR(__xludf.DUMMYFUNCTION("""COMPUTED_VALUE"""),0.0)</f>
        <v>0</v>
      </c>
      <c r="K151" s="16">
        <f>IFERROR(__xludf.DUMMYFUNCTION("""COMPUTED_VALUE"""),-3.0)</f>
        <v>-3</v>
      </c>
      <c r="L151" s="16">
        <f>IFERROR(__xludf.DUMMYFUNCTION("""COMPUTED_VALUE"""),0.0)</f>
        <v>0</v>
      </c>
      <c r="M151" s="16">
        <f>IFERROR(__xludf.DUMMYFUNCTION("""COMPUTED_VALUE"""),7.0)</f>
        <v>7</v>
      </c>
      <c r="N151" s="16">
        <f>IFERROR(__xludf.DUMMYFUNCTION("""COMPUTED_VALUE"""),7.0)</f>
        <v>7</v>
      </c>
      <c r="O151" s="16">
        <f>IFERROR(__xludf.DUMMYFUNCTION("""COMPUTED_VALUE"""),1.0)</f>
        <v>1</v>
      </c>
      <c r="P151" s="16">
        <f>IFERROR(__xludf.DUMMYFUNCTION("""COMPUTED_VALUE"""),1.0)</f>
        <v>1</v>
      </c>
      <c r="Q151" s="16">
        <f>IFERROR(__xludf.DUMMYFUNCTION("""COMPUTED_VALUE"""),1.0)</f>
        <v>1</v>
      </c>
      <c r="R151" s="16">
        <f>IFERROR(__xludf.DUMMYFUNCTION("""COMPUTED_VALUE"""),1.0)</f>
        <v>1</v>
      </c>
      <c r="S151" s="16">
        <f>IFERROR(__xludf.DUMMYFUNCTION("""COMPUTED_VALUE"""),14.4)</f>
        <v>14.4</v>
      </c>
      <c r="T151" s="16">
        <f>IFERROR(__xludf.DUMMYFUNCTION("""COMPUTED_VALUE"""),16.6)</f>
        <v>16.6</v>
      </c>
      <c r="U151" s="16">
        <f>IFERROR(__xludf.DUMMYFUNCTION("""COMPUTED_VALUE"""),0.0)</f>
        <v>0</v>
      </c>
      <c r="V151" s="16">
        <f>IFERROR(__xludf.DUMMYFUNCTION("""COMPUTED_VALUE"""),0.0)</f>
        <v>0</v>
      </c>
      <c r="W151" s="16">
        <f>IFERROR(__xludf.DUMMYFUNCTION("""COMPUTED_VALUE"""),0.0)</f>
        <v>0</v>
      </c>
      <c r="X151" s="16">
        <f>IFERROR(__xludf.DUMMYFUNCTION("""COMPUTED_VALUE"""),0.0)</f>
        <v>0</v>
      </c>
      <c r="Y151" s="16">
        <f>IFERROR(__xludf.DUMMYFUNCTION("""COMPUTED_VALUE"""),21.4)</f>
        <v>21.4</v>
      </c>
      <c r="Z151" s="16">
        <f>IFERROR(__xludf.DUMMYFUNCTION("""COMPUTED_VALUE"""),23.6)</f>
        <v>23.6</v>
      </c>
      <c r="AA151" s="16">
        <f>IFERROR(__xludf.DUMMYFUNCTION("""COMPUTED_VALUE"""),1.0)</f>
        <v>1</v>
      </c>
      <c r="AB151" s="16">
        <f>IFERROR(__xludf.DUMMYFUNCTION("""COMPUTED_VALUE"""),0.0)</f>
        <v>0</v>
      </c>
      <c r="AC151" s="16">
        <f>IFERROR(__xludf.DUMMYFUNCTION("""COMPUTED_VALUE"""),5.0)</f>
        <v>5</v>
      </c>
      <c r="AD151" s="16">
        <f>IFERROR(__xludf.DUMMYFUNCTION("""COMPUTED_VALUE"""),0.0)</f>
        <v>0</v>
      </c>
      <c r="AE151" s="16">
        <f>IFERROR(__xludf.DUMMYFUNCTION("""COMPUTED_VALUE"""),25.0)</f>
        <v>25</v>
      </c>
      <c r="AF151" s="16">
        <f>IFERROR(__xludf.DUMMYFUNCTION("""COMPUTED_VALUE"""),31.0)</f>
        <v>31</v>
      </c>
      <c r="AG151" s="16">
        <f>IFERROR(__xludf.DUMMYFUNCTION("""COMPUTED_VALUE"""),0.0)</f>
        <v>0</v>
      </c>
      <c r="AH151" s="16">
        <f>IFERROR(__xludf.DUMMYFUNCTION("""COMPUTED_VALUE"""),0.0)</f>
        <v>0</v>
      </c>
      <c r="AI151" s="16">
        <f>IFERROR(__xludf.DUMMYFUNCTION("""COMPUTED_VALUE"""),0.0)</f>
        <v>0</v>
      </c>
      <c r="AJ151" s="16">
        <f>IFERROR(__xludf.DUMMYFUNCTION("""COMPUTED_VALUE"""),0.0)</f>
        <v>0</v>
      </c>
      <c r="AK151" s="16">
        <f>IFERROR(__xludf.DUMMYFUNCTION("""COMPUTED_VALUE"""),13.8)</f>
        <v>13.8</v>
      </c>
      <c r="AL151" s="16">
        <f>IFERROR(__xludf.DUMMYFUNCTION("""COMPUTED_VALUE"""),14.400000000000002)</f>
        <v>14.4</v>
      </c>
      <c r="AM151" s="16">
        <f>IFERROR(__xludf.DUMMYFUNCTION("""COMPUTED_VALUE"""),0.0)</f>
        <v>0</v>
      </c>
      <c r="AN151" s="16">
        <f>IFERROR(__xludf.DUMMYFUNCTION("""COMPUTED_VALUE"""),0.0)</f>
        <v>0</v>
      </c>
      <c r="AO151" s="16">
        <f>IFERROR(__xludf.DUMMYFUNCTION("""COMPUTED_VALUE"""),0.0)</f>
        <v>0</v>
      </c>
      <c r="AP151" s="16">
        <f>IFERROR(__xludf.DUMMYFUNCTION("""COMPUTED_VALUE"""),0.0)</f>
        <v>0</v>
      </c>
      <c r="AQ151" s="16">
        <f>IFERROR(__xludf.DUMMYFUNCTION("""COMPUTED_VALUE"""),22.6)</f>
        <v>22.6</v>
      </c>
      <c r="AR151" s="16">
        <f>IFERROR(__xludf.DUMMYFUNCTION("""COMPUTED_VALUE"""),22.2)</f>
        <v>22.2</v>
      </c>
      <c r="AS151" s="16">
        <f>IFERROR(__xludf.DUMMYFUNCTION("""COMPUTED_VALUE"""),0.0)</f>
        <v>0</v>
      </c>
      <c r="AT151" s="16">
        <f>IFERROR(__xludf.DUMMYFUNCTION("""COMPUTED_VALUE"""),0.0)</f>
        <v>0</v>
      </c>
      <c r="AU151" s="16">
        <f>IFERROR(__xludf.DUMMYFUNCTION("""COMPUTED_VALUE"""),0.0)</f>
        <v>0</v>
      </c>
      <c r="AV151" s="16">
        <f>IFERROR(__xludf.DUMMYFUNCTION("""COMPUTED_VALUE"""),0.0)</f>
        <v>0</v>
      </c>
      <c r="AW151" s="16">
        <f>IFERROR(__xludf.DUMMYFUNCTION("""COMPUTED_VALUE"""),0.6)</f>
        <v>0.6</v>
      </c>
      <c r="AX151" s="16">
        <f>IFERROR(__xludf.DUMMYFUNCTION("""COMPUTED_VALUE"""),2.2)</f>
        <v>2.2</v>
      </c>
      <c r="AY151" s="16">
        <f>IFERROR(__xludf.DUMMYFUNCTION("""COMPUTED_VALUE"""),2.0)</f>
        <v>2</v>
      </c>
      <c r="AZ151" s="16">
        <f>IFERROR(__xludf.DUMMYFUNCTION("""COMPUTED_VALUE"""),0.0)</f>
        <v>0</v>
      </c>
      <c r="BA151" s="16">
        <f>IFERROR(__xludf.DUMMYFUNCTION("""COMPUTED_VALUE"""),10.0)</f>
        <v>10</v>
      </c>
      <c r="BB151" s="16">
        <f>IFERROR(__xludf.DUMMYFUNCTION("""COMPUTED_VALUE"""),0.0)</f>
        <v>0</v>
      </c>
      <c r="BC151" s="16">
        <f>IFERROR(__xludf.DUMMYFUNCTION("""COMPUTED_VALUE"""),2.0)</f>
        <v>2</v>
      </c>
      <c r="BD151" s="16">
        <f>IFERROR(__xludf.DUMMYFUNCTION("""COMPUTED_VALUE"""),3.0)</f>
        <v>3</v>
      </c>
      <c r="BE151" s="16">
        <f>IFERROR(__xludf.DUMMYFUNCTION("""COMPUTED_VALUE"""),2.0)</f>
        <v>2</v>
      </c>
      <c r="BF151" s="16">
        <f>IFERROR(__xludf.DUMMYFUNCTION("""COMPUTED_VALUE"""),3.0)</f>
        <v>3</v>
      </c>
      <c r="BG151" s="16">
        <f>IFERROR(__xludf.DUMMYFUNCTION("""COMPUTED_VALUE"""),1.0)</f>
        <v>1</v>
      </c>
      <c r="BH151" s="16">
        <f>IFERROR(__xludf.DUMMYFUNCTION("""COMPUTED_VALUE"""),0.0)</f>
        <v>0</v>
      </c>
      <c r="BI151" s="16">
        <f>IFERROR(__xludf.DUMMYFUNCTION("""COMPUTED_VALUE"""),2.0)</f>
        <v>2</v>
      </c>
      <c r="BJ151" s="16">
        <f>IFERROR(__xludf.DUMMYFUNCTION("""COMPUTED_VALUE"""),0.0)</f>
        <v>0</v>
      </c>
      <c r="BK151" s="16">
        <f>IFERROR(__xludf.DUMMYFUNCTION("""COMPUTED_VALUE"""),5.0)</f>
        <v>5</v>
      </c>
      <c r="BL151" s="16">
        <f>IFERROR(__xludf.DUMMYFUNCTION("""COMPUTED_VALUE"""),5.0)</f>
        <v>5</v>
      </c>
      <c r="BM151" s="16">
        <f>IFERROR(__xludf.DUMMYFUNCTION("""COMPUTED_VALUE"""),0.0)</f>
        <v>0</v>
      </c>
      <c r="BN151" s="16">
        <f>IFERROR(__xludf.DUMMYFUNCTION("""COMPUTED_VALUE"""),0.0)</f>
        <v>0</v>
      </c>
      <c r="BO151" s="16">
        <f>IFERROR(__xludf.DUMMYFUNCTION("""COMPUTED_VALUE"""),0.0)</f>
        <v>0</v>
      </c>
      <c r="BP151" s="16">
        <f>IFERROR(__xludf.DUMMYFUNCTION("""COMPUTED_VALUE"""),0.0)</f>
        <v>0</v>
      </c>
      <c r="BQ151" s="16">
        <f>IFERROR(__xludf.DUMMYFUNCTION("""COMPUTED_VALUE"""),4.0)</f>
        <v>4</v>
      </c>
      <c r="BR151" s="16">
        <f>IFERROR(__xludf.DUMMYFUNCTION("""COMPUTED_VALUE"""),6.0)</f>
        <v>6</v>
      </c>
      <c r="BS151" s="16">
        <f>IFERROR(__xludf.DUMMYFUNCTION("""COMPUTED_VALUE"""),-1.0)</f>
        <v>-1</v>
      </c>
      <c r="BT151" s="16">
        <f>IFERROR(__xludf.DUMMYFUNCTION("""COMPUTED_VALUE"""),1.0)</f>
        <v>1</v>
      </c>
      <c r="BU151" s="16">
        <f>IFERROR(__xludf.DUMMYFUNCTION("""COMPUTED_VALUE"""),-2.0)</f>
        <v>-2</v>
      </c>
      <c r="BV151" s="16">
        <f>IFERROR(__xludf.DUMMYFUNCTION("""COMPUTED_VALUE"""),2.0)</f>
        <v>2</v>
      </c>
      <c r="BW151" s="16">
        <f>IFERROR(__xludf.DUMMYFUNCTION("""COMPUTED_VALUE"""),2.0)</f>
        <v>2</v>
      </c>
      <c r="BX151" s="16">
        <f>IFERROR(__xludf.DUMMYFUNCTION("""COMPUTED_VALUE"""),2.0)</f>
        <v>2</v>
      </c>
      <c r="BY151" s="16" t="str">
        <f>IFERROR(__xludf.DUMMYFUNCTION("""COMPUTED_VALUE"""),"S(6)")</f>
        <v>S(6)</v>
      </c>
      <c r="BZ151" s="16" t="str">
        <f>IFERROR(__xludf.DUMMYFUNCTION("""COMPUTED_VALUE"""),"S(6)")</f>
        <v>S(6)</v>
      </c>
      <c r="CA151" s="16" t="str">
        <f>IFERROR(__xludf.DUMMYFUNCTION("""COMPUTED_VALUE"""),"S(6)")</f>
        <v>S(6)</v>
      </c>
      <c r="CB151" s="16"/>
      <c r="CC151" s="16"/>
      <c r="CD151" s="16">
        <f>IFERROR(__xludf.DUMMYFUNCTION("""COMPUTED_VALUE"""),6.0)</f>
        <v>6</v>
      </c>
      <c r="CE151" s="16"/>
      <c r="CF151" s="16"/>
      <c r="CG151" s="16" t="str">
        <f>IFERROR(__xludf.DUMMYFUNCTION("""COMPUTED_VALUE"""),"3-8")</f>
        <v>3-8</v>
      </c>
      <c r="CH151" s="16">
        <f>IFERROR(__xludf.DUMMYFUNCTION("""COMPUTED_VALUE"""),3.0)</f>
        <v>3</v>
      </c>
      <c r="CI151" s="16">
        <f>IFERROR(__xludf.DUMMYFUNCTION("""COMPUTED_VALUE"""),8.0)</f>
        <v>8</v>
      </c>
      <c r="CJ151" s="16">
        <f>IFERROR(__xludf.DUMMYFUNCTION("""COMPUTED_VALUE"""),4.0)</f>
        <v>4</v>
      </c>
      <c r="CK151" s="16">
        <f>IFERROR(__xludf.DUMMYFUNCTION("""COMPUTED_VALUE"""),3.0)</f>
        <v>3</v>
      </c>
      <c r="CL151" s="16" t="str">
        <f>IFERROR(__xludf.DUMMYFUNCTION("""COMPUTED_VALUE"""),"1WL-C")</f>
        <v>1WL-C</v>
      </c>
      <c r="CM151" s="16" t="str">
        <f>IFERROR(__xludf.DUMMYFUNCTION("""COMPUTED_VALUE"""),"E")</f>
        <v>E</v>
      </c>
      <c r="CN151" s="16">
        <f>IFERROR(__xludf.DUMMYFUNCTION("""COMPUTED_VALUE"""),10.0)</f>
        <v>10</v>
      </c>
      <c r="CO151" s="16" t="str">
        <f>IFERROR(__xludf.DUMMYFUNCTION("""COMPUTED_VALUE"""),"C")</f>
        <v>C</v>
      </c>
      <c r="CP151" s="16" t="str">
        <f>IFERROR(__xludf.DUMMYFUNCTION("""COMPUTED_VALUE"""),"1p70")</f>
        <v>1p70</v>
      </c>
      <c r="CQ151" s="16">
        <f>IFERROR(__xludf.DUMMYFUNCTION("""COMPUTED_VALUE"""),13.0)</f>
        <v>13</v>
      </c>
      <c r="CR151" s="16">
        <f>IFERROR(__xludf.DUMMYFUNCTION("""COMPUTED_VALUE"""),3.0)</f>
        <v>3</v>
      </c>
      <c r="CS151" s="16">
        <f>IFERROR(__xludf.DUMMYFUNCTION("""COMPUTED_VALUE"""),16.0)</f>
        <v>16</v>
      </c>
      <c r="CT151" s="16">
        <f>IFERROR(__xludf.DUMMYFUNCTION("""COMPUTED_VALUE"""),13.0)</f>
        <v>13</v>
      </c>
      <c r="CU151" s="16">
        <f>IFERROR(__xludf.DUMMYFUNCTION("""COMPUTED_VALUE"""),3.0)</f>
        <v>3</v>
      </c>
      <c r="CV151" s="179">
        <f>IFERROR(__xludf.DUMMYFUNCTION("""COMPUTED_VALUE"""),13.333333333333332)</f>
        <v>13.33333333</v>
      </c>
      <c r="CW151" s="179">
        <f>IFERROR(__xludf.DUMMYFUNCTION("""COMPUTED_VALUE"""),4.0)</f>
        <v>4</v>
      </c>
      <c r="CX151" s="179">
        <f>IFERROR(__xludf.DUMMYFUNCTION("""COMPUTED_VALUE"""),3.0)</f>
        <v>3</v>
      </c>
      <c r="CY151" s="16" t="str">
        <f>IFERROR(__xludf.DUMMYFUNCTION("""COMPUTED_VALUE"""),"SP")</f>
        <v>SP</v>
      </c>
      <c r="CZ151" s="16"/>
      <c r="DA151" s="16"/>
      <c r="DB151" s="16"/>
      <c r="DC151" s="16"/>
      <c r="DD151" s="16"/>
      <c r="DE151" s="16"/>
      <c r="DF151" s="16"/>
      <c r="DG151" s="16"/>
      <c r="DH151" s="16"/>
      <c r="DI151" s="16"/>
      <c r="DJ151" s="16"/>
      <c r="DK151" s="16"/>
    </row>
    <row r="152">
      <c r="A152" s="16">
        <f>IFERROR(__xludf.DUMMYFUNCTION("""COMPUTED_VALUE"""),12845.0)</f>
        <v>12845</v>
      </c>
      <c r="B152" s="16" t="str">
        <f>IFERROR(__xludf.DUMMYFUNCTION("""COMPUTED_VALUE"""),"Gerrit Cole")</f>
        <v>Gerrit Cole</v>
      </c>
      <c r="C152" s="153">
        <f>IFERROR(__xludf.DUMMYFUNCTION("""COMPUTED_VALUE"""),1.89)</f>
        <v>1.89</v>
      </c>
      <c r="D152" s="16"/>
      <c r="E152" s="16" t="str">
        <f>IFERROR(__xludf.DUMMYFUNCTION("""COMPUTED_VALUE"""),"R")</f>
        <v>R</v>
      </c>
      <c r="F152" s="16">
        <f>IFERROR(__xludf.DUMMYFUNCTION("""COMPUTED_VALUE"""),95.0)</f>
        <v>95</v>
      </c>
      <c r="G152" s="16">
        <f>IFERROR(__xludf.DUMMYFUNCTION("""COMPUTED_VALUE"""),37.0)</f>
        <v>37</v>
      </c>
      <c r="H152" s="16">
        <f>IFERROR(__xludf.DUMMYFUNCTION("""COMPUTED_VALUE"""),22.0)</f>
        <v>22</v>
      </c>
      <c r="I152" s="16">
        <f>IFERROR(__xludf.DUMMYFUNCTION("""COMPUTED_VALUE"""),1.0)</f>
        <v>1</v>
      </c>
      <c r="J152" s="16">
        <f>IFERROR(__xludf.DUMMYFUNCTION("""COMPUTED_VALUE"""),-1.0)</f>
        <v>-1</v>
      </c>
      <c r="K152" s="16">
        <f>IFERROR(__xludf.DUMMYFUNCTION("""COMPUTED_VALUE"""),3.0)</f>
        <v>3</v>
      </c>
      <c r="L152" s="16">
        <f>IFERROR(__xludf.DUMMYFUNCTION("""COMPUTED_VALUE"""),-3.0)</f>
        <v>-3</v>
      </c>
      <c r="M152" s="16">
        <f>IFERROR(__xludf.DUMMYFUNCTION("""COMPUTED_VALUE"""),8.0)</f>
        <v>8</v>
      </c>
      <c r="N152" s="16">
        <f>IFERROR(__xludf.DUMMYFUNCTION("""COMPUTED_VALUE"""),6.0)</f>
        <v>6</v>
      </c>
      <c r="O152" s="16">
        <f>IFERROR(__xludf.DUMMYFUNCTION("""COMPUTED_VALUE"""),0.0)</f>
        <v>0</v>
      </c>
      <c r="P152" s="16">
        <f>IFERROR(__xludf.DUMMYFUNCTION("""COMPUTED_VALUE"""),1.0)</f>
        <v>1</v>
      </c>
      <c r="Q152" s="16">
        <f>IFERROR(__xludf.DUMMYFUNCTION("""COMPUTED_VALUE"""),0.0)</f>
        <v>0</v>
      </c>
      <c r="R152" s="16">
        <f>IFERROR(__xludf.DUMMYFUNCTION("""COMPUTED_VALUE"""),1.0)</f>
        <v>1</v>
      </c>
      <c r="S152" s="16">
        <f>IFERROR(__xludf.DUMMYFUNCTION("""COMPUTED_VALUE"""),11.6)</f>
        <v>11.6</v>
      </c>
      <c r="T152" s="16">
        <f>IFERROR(__xludf.DUMMYFUNCTION("""COMPUTED_VALUE"""),15.6)</f>
        <v>15.6</v>
      </c>
      <c r="U152" s="16">
        <f>IFERROR(__xludf.DUMMYFUNCTION("""COMPUTED_VALUE"""),1.0)</f>
        <v>1</v>
      </c>
      <c r="V152" s="16">
        <f>IFERROR(__xludf.DUMMYFUNCTION("""COMPUTED_VALUE"""),0.0)</f>
        <v>0</v>
      </c>
      <c r="W152" s="16">
        <f>IFERROR(__xludf.DUMMYFUNCTION("""COMPUTED_VALUE"""),2.0)</f>
        <v>2</v>
      </c>
      <c r="X152" s="16">
        <f>IFERROR(__xludf.DUMMYFUNCTION("""COMPUTED_VALUE"""),0.0)</f>
        <v>0</v>
      </c>
      <c r="Y152" s="16">
        <f>IFERROR(__xludf.DUMMYFUNCTION("""COMPUTED_VALUE"""),19.6)</f>
        <v>19.6</v>
      </c>
      <c r="Z152" s="16">
        <f>IFERROR(__xludf.DUMMYFUNCTION("""COMPUTED_VALUE"""),21.5)</f>
        <v>21.5</v>
      </c>
      <c r="AA152" s="16">
        <f>IFERROR(__xludf.DUMMYFUNCTION("""COMPUTED_VALUE"""),1.0)</f>
        <v>1</v>
      </c>
      <c r="AB152" s="16">
        <f>IFERROR(__xludf.DUMMYFUNCTION("""COMPUTED_VALUE"""),1.0)</f>
        <v>1</v>
      </c>
      <c r="AC152" s="16">
        <f>IFERROR(__xludf.DUMMYFUNCTION("""COMPUTED_VALUE"""),5.0)</f>
        <v>5</v>
      </c>
      <c r="AD152" s="16">
        <f>IFERROR(__xludf.DUMMYFUNCTION("""COMPUTED_VALUE"""),5.0)</f>
        <v>5</v>
      </c>
      <c r="AE152" s="16">
        <f>IFERROR(__xludf.DUMMYFUNCTION("""COMPUTED_VALUE"""),20.0)</f>
        <v>20</v>
      </c>
      <c r="AF152" s="16">
        <f>IFERROR(__xludf.DUMMYFUNCTION("""COMPUTED_VALUE"""),27.7)</f>
        <v>27.7</v>
      </c>
      <c r="AG152" s="16">
        <f>IFERROR(__xludf.DUMMYFUNCTION("""COMPUTED_VALUE"""),1.0)</f>
        <v>1</v>
      </c>
      <c r="AH152" s="16">
        <f>IFERROR(__xludf.DUMMYFUNCTION("""COMPUTED_VALUE"""),0.0)</f>
        <v>0</v>
      </c>
      <c r="AI152" s="16">
        <f>IFERROR(__xludf.DUMMYFUNCTION("""COMPUTED_VALUE"""),2.0)</f>
        <v>2</v>
      </c>
      <c r="AJ152" s="16">
        <f>IFERROR(__xludf.DUMMYFUNCTION("""COMPUTED_VALUE"""),0.0)</f>
        <v>0</v>
      </c>
      <c r="AK152" s="16">
        <f>IFERROR(__xludf.DUMMYFUNCTION("""COMPUTED_VALUE"""),10.4)</f>
        <v>10.4</v>
      </c>
      <c r="AL152" s="16">
        <f>IFERROR(__xludf.DUMMYFUNCTION("""COMPUTED_VALUE"""),12.6)</f>
        <v>12.6</v>
      </c>
      <c r="AM152" s="16">
        <f>IFERROR(__xludf.DUMMYFUNCTION("""COMPUTED_VALUE"""),0.0)</f>
        <v>0</v>
      </c>
      <c r="AN152" s="16">
        <f>IFERROR(__xludf.DUMMYFUNCTION("""COMPUTED_VALUE"""),0.0)</f>
        <v>0</v>
      </c>
      <c r="AO152" s="16">
        <f>IFERROR(__xludf.DUMMYFUNCTION("""COMPUTED_VALUE"""),0.0)</f>
        <v>0</v>
      </c>
      <c r="AP152" s="16">
        <f>IFERROR(__xludf.DUMMYFUNCTION("""COMPUTED_VALUE"""),0.0)</f>
        <v>0</v>
      </c>
      <c r="AQ152" s="16">
        <f>IFERROR(__xludf.DUMMYFUNCTION("""COMPUTED_VALUE"""),15.2)</f>
        <v>15.2</v>
      </c>
      <c r="AR152" s="16">
        <f>IFERROR(__xludf.DUMMYFUNCTION("""COMPUTED_VALUE"""),15.7)</f>
        <v>15.7</v>
      </c>
      <c r="AS152" s="16">
        <f>IFERROR(__xludf.DUMMYFUNCTION("""COMPUTED_VALUE"""),1.0)</f>
        <v>1</v>
      </c>
      <c r="AT152" s="16">
        <f>IFERROR(__xludf.DUMMYFUNCTION("""COMPUTED_VALUE"""),1.0)</f>
        <v>1</v>
      </c>
      <c r="AU152" s="16">
        <f>IFERROR(__xludf.DUMMYFUNCTION("""COMPUTED_VALUE"""),2.0)</f>
        <v>2</v>
      </c>
      <c r="AV152" s="16">
        <f>IFERROR(__xludf.DUMMYFUNCTION("""COMPUTED_VALUE"""),2.0)</f>
        <v>2</v>
      </c>
      <c r="AW152" s="16">
        <f>IFERROR(__xludf.DUMMYFUNCTION("""COMPUTED_VALUE"""),1.2)</f>
        <v>1.2</v>
      </c>
      <c r="AX152" s="16">
        <f>IFERROR(__xludf.DUMMYFUNCTION("""COMPUTED_VALUE"""),3.0)</f>
        <v>3</v>
      </c>
      <c r="AY152" s="16">
        <f>IFERROR(__xludf.DUMMYFUNCTION("""COMPUTED_VALUE"""),1.0)</f>
        <v>1</v>
      </c>
      <c r="AZ152" s="16">
        <f>IFERROR(__xludf.DUMMYFUNCTION("""COMPUTED_VALUE"""),-1.0)</f>
        <v>-1</v>
      </c>
      <c r="BA152" s="16">
        <f>IFERROR(__xludf.DUMMYFUNCTION("""COMPUTED_VALUE"""),5.0)</f>
        <v>5</v>
      </c>
      <c r="BB152" s="16">
        <f>IFERROR(__xludf.DUMMYFUNCTION("""COMPUTED_VALUE"""),-5.0)</f>
        <v>-5</v>
      </c>
      <c r="BC152" s="16">
        <f>IFERROR(__xludf.DUMMYFUNCTION("""COMPUTED_VALUE"""),0.0)</f>
        <v>0</v>
      </c>
      <c r="BD152" s="16">
        <f>IFERROR(__xludf.DUMMYFUNCTION("""COMPUTED_VALUE"""),4.0)</f>
        <v>4</v>
      </c>
      <c r="BE152" s="16">
        <f>IFERROR(__xludf.DUMMYFUNCTION("""COMPUTED_VALUE"""),0.0)</f>
        <v>0</v>
      </c>
      <c r="BF152" s="16">
        <f>IFERROR(__xludf.DUMMYFUNCTION("""COMPUTED_VALUE"""),4.0)</f>
        <v>4</v>
      </c>
      <c r="BG152" s="16">
        <f>IFERROR(__xludf.DUMMYFUNCTION("""COMPUTED_VALUE"""),3.0)</f>
        <v>3</v>
      </c>
      <c r="BH152" s="16">
        <f>IFERROR(__xludf.DUMMYFUNCTION("""COMPUTED_VALUE"""),-1.0)</f>
        <v>-1</v>
      </c>
      <c r="BI152" s="16">
        <f>IFERROR(__xludf.DUMMYFUNCTION("""COMPUTED_VALUE"""),6.0)</f>
        <v>6</v>
      </c>
      <c r="BJ152" s="16">
        <f>IFERROR(__xludf.DUMMYFUNCTION("""COMPUTED_VALUE"""),-2.0)</f>
        <v>-2</v>
      </c>
      <c r="BK152" s="16">
        <f>IFERROR(__xludf.DUMMYFUNCTION("""COMPUTED_VALUE"""),5.0)</f>
        <v>5</v>
      </c>
      <c r="BL152" s="16">
        <f>IFERROR(__xludf.DUMMYFUNCTION("""COMPUTED_VALUE"""),5.0)</f>
        <v>5</v>
      </c>
      <c r="BM152" s="16">
        <f>IFERROR(__xludf.DUMMYFUNCTION("""COMPUTED_VALUE"""),0.0)</f>
        <v>0</v>
      </c>
      <c r="BN152" s="16">
        <f>IFERROR(__xludf.DUMMYFUNCTION("""COMPUTED_VALUE"""),0.0)</f>
        <v>0</v>
      </c>
      <c r="BO152" s="16">
        <f>IFERROR(__xludf.DUMMYFUNCTION("""COMPUTED_VALUE"""),0.0)</f>
        <v>0</v>
      </c>
      <c r="BP152" s="16">
        <f>IFERROR(__xludf.DUMMYFUNCTION("""COMPUTED_VALUE"""),0.0)</f>
        <v>0</v>
      </c>
      <c r="BQ152" s="16">
        <f>IFERROR(__xludf.DUMMYFUNCTION("""COMPUTED_VALUE"""),8.0)</f>
        <v>8</v>
      </c>
      <c r="BR152" s="16">
        <f>IFERROR(__xludf.DUMMYFUNCTION("""COMPUTED_VALUE"""),7.0)</f>
        <v>7</v>
      </c>
      <c r="BS152" s="16">
        <f>IFERROR(__xludf.DUMMYFUNCTION("""COMPUTED_VALUE"""),2.0)</f>
        <v>2</v>
      </c>
      <c r="BT152" s="16">
        <f>IFERROR(__xludf.DUMMYFUNCTION("""COMPUTED_VALUE"""),2.0)</f>
        <v>2</v>
      </c>
      <c r="BU152" s="16">
        <f>IFERROR(__xludf.DUMMYFUNCTION("""COMPUTED_VALUE"""),4.0)</f>
        <v>4</v>
      </c>
      <c r="BV152" s="16">
        <f>IFERROR(__xludf.DUMMYFUNCTION("""COMPUTED_VALUE"""),4.0)</f>
        <v>4</v>
      </c>
      <c r="BW152" s="16">
        <f>IFERROR(__xludf.DUMMYFUNCTION("""COMPUTED_VALUE"""),5.0)</f>
        <v>5</v>
      </c>
      <c r="BX152" s="16">
        <f>IFERROR(__xludf.DUMMYFUNCTION("""COMPUTED_VALUE"""),5.0)</f>
        <v>5</v>
      </c>
      <c r="BY152" s="16" t="str">
        <f>IFERROR(__xludf.DUMMYFUNCTION("""COMPUTED_VALUE"""),"S(6)")</f>
        <v>S(6)</v>
      </c>
      <c r="BZ152" s="16" t="str">
        <f>IFERROR(__xludf.DUMMYFUNCTION("""COMPUTED_VALUE"""),"S(6)")</f>
        <v>S(6)</v>
      </c>
      <c r="CA152" s="16" t="str">
        <f>IFERROR(__xludf.DUMMYFUNCTION("""COMPUTED_VALUE"""),"S(6)")</f>
        <v>S(6)</v>
      </c>
      <c r="CB152" s="16"/>
      <c r="CC152" s="16"/>
      <c r="CD152" s="16">
        <f>IFERROR(__xludf.DUMMYFUNCTION("""COMPUTED_VALUE"""),6.0)</f>
        <v>6</v>
      </c>
      <c r="CE152" s="16"/>
      <c r="CF152" s="16"/>
      <c r="CG152" s="16" t="str">
        <f>IFERROR(__xludf.DUMMYFUNCTION("""COMPUTED_VALUE"""),"3-0")</f>
        <v>3-0</v>
      </c>
      <c r="CH152" s="16">
        <f>IFERROR(__xludf.DUMMYFUNCTION("""COMPUTED_VALUE"""),3.0)</f>
        <v>3</v>
      </c>
      <c r="CI152" s="16">
        <f>IFERROR(__xludf.DUMMYFUNCTION("""COMPUTED_VALUE"""),0.0)</f>
        <v>0</v>
      </c>
      <c r="CJ152" s="16">
        <f>IFERROR(__xludf.DUMMYFUNCTION("""COMPUTED_VALUE"""),0.0)</f>
        <v>0</v>
      </c>
      <c r="CK152" s="16">
        <f>IFERROR(__xludf.DUMMYFUNCTION("""COMPUTED_VALUE"""),0.0)</f>
        <v>0</v>
      </c>
      <c r="CL152" s="16" t="str">
        <f>IFERROR(__xludf.DUMMYFUNCTION("""COMPUTED_VALUE"""),"1WR-C")</f>
        <v>1WR-C</v>
      </c>
      <c r="CM152" s="16" t="str">
        <f>IFERROR(__xludf.DUMMYFUNCTION("""COMPUTED_VALUE"""),"E")</f>
        <v>E</v>
      </c>
      <c r="CN152" s="16">
        <f>IFERROR(__xludf.DUMMYFUNCTION("""COMPUTED_VALUE"""),10.0)</f>
        <v>10</v>
      </c>
      <c r="CO152" s="16" t="str">
        <f>IFERROR(__xludf.DUMMYFUNCTION("""COMPUTED_VALUE"""),"C")</f>
        <v>C</v>
      </c>
      <c r="CP152" s="16" t="str">
        <f>IFERROR(__xludf.DUMMYFUNCTION("""COMPUTED_VALUE"""),"4p40")</f>
        <v>4p40</v>
      </c>
      <c r="CQ152" s="16">
        <f>IFERROR(__xludf.DUMMYFUNCTION("""COMPUTED_VALUE"""),29.0)</f>
        <v>29</v>
      </c>
      <c r="CR152" s="16">
        <f>IFERROR(__xludf.DUMMYFUNCTION("""COMPUTED_VALUE"""),2.0)</f>
        <v>2</v>
      </c>
      <c r="CS152" s="16">
        <f>IFERROR(__xludf.DUMMYFUNCTION("""COMPUTED_VALUE"""),31.0)</f>
        <v>31</v>
      </c>
      <c r="CT152" s="16">
        <f>IFERROR(__xludf.DUMMYFUNCTION("""COMPUTED_VALUE"""),29.0)</f>
        <v>29</v>
      </c>
      <c r="CU152" s="16">
        <f>IFERROR(__xludf.DUMMYFUNCTION("""COMPUTED_VALUE"""),2.0)</f>
        <v>2</v>
      </c>
      <c r="CV152" s="179">
        <f>IFERROR(__xludf.DUMMYFUNCTION("""COMPUTED_VALUE"""),13.0)</f>
        <v>13</v>
      </c>
      <c r="CW152" s="179">
        <f>IFERROR(__xludf.DUMMYFUNCTION("""COMPUTED_VALUE"""),1.0)</f>
        <v>1</v>
      </c>
      <c r="CX152" s="179">
        <f>IFERROR(__xludf.DUMMYFUNCTION("""COMPUTED_VALUE"""),1.0)</f>
        <v>1</v>
      </c>
      <c r="CY152" s="16" t="str">
        <f>IFERROR(__xludf.DUMMYFUNCTION("""COMPUTED_VALUE"""),"SP")</f>
        <v>SP</v>
      </c>
      <c r="CZ152" s="16"/>
      <c r="DA152" s="16"/>
      <c r="DB152" s="16"/>
      <c r="DC152" s="16"/>
      <c r="DD152" s="16"/>
      <c r="DE152" s="16"/>
      <c r="DF152" s="16"/>
      <c r="DG152" s="16"/>
      <c r="DH152" s="16"/>
      <c r="DI152" s="16"/>
      <c r="DJ152" s="16"/>
      <c r="DK152" s="16"/>
    </row>
    <row r="153">
      <c r="A153" s="16">
        <f>IFERROR(__xludf.DUMMYFUNCTION("""COMPUTED_VALUE"""),13130.0)</f>
        <v>13130</v>
      </c>
      <c r="B153" s="16" t="str">
        <f>IFERROR(__xludf.DUMMYFUNCTION("""COMPUTED_VALUE"""),"Luis Gil")</f>
        <v>Luis Gil</v>
      </c>
      <c r="C153" s="153">
        <f>IFERROR(__xludf.DUMMYFUNCTION("""COMPUTED_VALUE"""),1.53)</f>
        <v>1.53</v>
      </c>
      <c r="D153" s="16"/>
      <c r="E153" s="16" t="str">
        <f>IFERROR(__xludf.DUMMYFUNCTION("""COMPUTED_VALUE"""),"R")</f>
        <v>R</v>
      </c>
      <c r="F153" s="16">
        <f>IFERROR(__xludf.DUMMYFUNCTION("""COMPUTED_VALUE"""),152.0)</f>
        <v>152</v>
      </c>
      <c r="G153" s="16">
        <f>IFERROR(__xludf.DUMMYFUNCTION("""COMPUTED_VALUE"""),27.0)</f>
        <v>27</v>
      </c>
      <c r="H153" s="16">
        <f>IFERROR(__xludf.DUMMYFUNCTION("""COMPUTED_VALUE"""),40.0)</f>
        <v>40</v>
      </c>
      <c r="I153" s="16">
        <f>IFERROR(__xludf.DUMMYFUNCTION("""COMPUTED_VALUE"""),0.0)</f>
        <v>0</v>
      </c>
      <c r="J153" s="16">
        <f>IFERROR(__xludf.DUMMYFUNCTION("""COMPUTED_VALUE"""),2.0)</f>
        <v>2</v>
      </c>
      <c r="K153" s="16">
        <f>IFERROR(__xludf.DUMMYFUNCTION("""COMPUTED_VALUE"""),0.0)</f>
        <v>0</v>
      </c>
      <c r="L153" s="16">
        <f>IFERROR(__xludf.DUMMYFUNCTION("""COMPUTED_VALUE"""),6.0)</f>
        <v>6</v>
      </c>
      <c r="M153" s="16">
        <f>IFERROR(__xludf.DUMMYFUNCTION("""COMPUTED_VALUE"""),18.0)</f>
        <v>18</v>
      </c>
      <c r="N153" s="16">
        <f>IFERROR(__xludf.DUMMYFUNCTION("""COMPUTED_VALUE"""),18.0)</f>
        <v>18</v>
      </c>
      <c r="O153" s="16">
        <f>IFERROR(__xludf.DUMMYFUNCTION("""COMPUTED_VALUE"""),-3.0)</f>
        <v>-3</v>
      </c>
      <c r="P153" s="16">
        <f>IFERROR(__xludf.DUMMYFUNCTION("""COMPUTED_VALUE"""),-3.0)</f>
        <v>-3</v>
      </c>
      <c r="Q153" s="16">
        <f>IFERROR(__xludf.DUMMYFUNCTION("""COMPUTED_VALUE"""),-3.0)</f>
        <v>-3</v>
      </c>
      <c r="R153" s="16">
        <f>IFERROR(__xludf.DUMMYFUNCTION("""COMPUTED_VALUE"""),-3.0)</f>
        <v>-3</v>
      </c>
      <c r="S153" s="16">
        <f>IFERROR(__xludf.DUMMYFUNCTION("""COMPUTED_VALUE"""),9.9)</f>
        <v>9.9</v>
      </c>
      <c r="T153" s="16">
        <f>IFERROR(__xludf.DUMMYFUNCTION("""COMPUTED_VALUE"""),2.8)</f>
        <v>2.8</v>
      </c>
      <c r="U153" s="16">
        <f>IFERROR(__xludf.DUMMYFUNCTION("""COMPUTED_VALUE"""),1.0)</f>
        <v>1</v>
      </c>
      <c r="V153" s="16">
        <f>IFERROR(__xludf.DUMMYFUNCTION("""COMPUTED_VALUE"""),2.0)</f>
        <v>2</v>
      </c>
      <c r="W153" s="16">
        <f>IFERROR(__xludf.DUMMYFUNCTION("""COMPUTED_VALUE"""),2.0)</f>
        <v>2</v>
      </c>
      <c r="X153" s="16">
        <f>IFERROR(__xludf.DUMMYFUNCTION("""COMPUTED_VALUE"""),4.0)</f>
        <v>4</v>
      </c>
      <c r="Y153" s="16">
        <f>IFERROR(__xludf.DUMMYFUNCTION("""COMPUTED_VALUE"""),27.8)</f>
        <v>27.8</v>
      </c>
      <c r="Z153" s="16">
        <f>IFERROR(__xludf.DUMMYFUNCTION("""COMPUTED_VALUE"""),20.9)</f>
        <v>20.9</v>
      </c>
      <c r="AA153" s="16">
        <f>IFERROR(__xludf.DUMMYFUNCTION("""COMPUTED_VALUE"""),0.0)</f>
        <v>0</v>
      </c>
      <c r="AB153" s="16">
        <f>IFERROR(__xludf.DUMMYFUNCTION("""COMPUTED_VALUE"""),1.0)</f>
        <v>1</v>
      </c>
      <c r="AC153" s="16">
        <f>IFERROR(__xludf.DUMMYFUNCTION("""COMPUTED_VALUE"""),0.0)</f>
        <v>0</v>
      </c>
      <c r="AD153" s="16">
        <f>IFERROR(__xludf.DUMMYFUNCTION("""COMPUTED_VALUE"""),5.0)</f>
        <v>5</v>
      </c>
      <c r="AE153" s="16">
        <f>IFERROR(__xludf.DUMMYFUNCTION("""COMPUTED_VALUE"""),25.5)</f>
        <v>25.5</v>
      </c>
      <c r="AF153" s="16">
        <f>IFERROR(__xludf.DUMMYFUNCTION("""COMPUTED_VALUE"""),8.1)</f>
        <v>8.1</v>
      </c>
      <c r="AG153" s="16">
        <f>IFERROR(__xludf.DUMMYFUNCTION("""COMPUTED_VALUE"""),0.0)</f>
        <v>0</v>
      </c>
      <c r="AH153" s="16">
        <f>IFERROR(__xludf.DUMMYFUNCTION("""COMPUTED_VALUE"""),2.0)</f>
        <v>2</v>
      </c>
      <c r="AI153" s="16">
        <f>IFERROR(__xludf.DUMMYFUNCTION("""COMPUTED_VALUE"""),0.0)</f>
        <v>0</v>
      </c>
      <c r="AJ153" s="16">
        <f>IFERROR(__xludf.DUMMYFUNCTION("""COMPUTED_VALUE"""),4.0)</f>
        <v>4</v>
      </c>
      <c r="AK153" s="16">
        <f>IFERROR(__xludf.DUMMYFUNCTION("""COMPUTED_VALUE"""),7.5)</f>
        <v>7.5</v>
      </c>
      <c r="AL153" s="16">
        <f>IFERROR(__xludf.DUMMYFUNCTION("""COMPUTED_VALUE"""),1.5999999999999999)</f>
        <v>1.6</v>
      </c>
      <c r="AM153" s="16">
        <f>IFERROR(__xludf.DUMMYFUNCTION("""COMPUTED_VALUE"""),1.0)</f>
        <v>1</v>
      </c>
      <c r="AN153" s="16">
        <f>IFERROR(__xludf.DUMMYFUNCTION("""COMPUTED_VALUE"""),2.0)</f>
        <v>2</v>
      </c>
      <c r="AO153" s="16">
        <f>IFERROR(__xludf.DUMMYFUNCTION("""COMPUTED_VALUE"""),1.0)</f>
        <v>1</v>
      </c>
      <c r="AP153" s="16">
        <f>IFERROR(__xludf.DUMMYFUNCTION("""COMPUTED_VALUE"""),2.0)</f>
        <v>2</v>
      </c>
      <c r="AQ153" s="16">
        <f>IFERROR(__xludf.DUMMYFUNCTION("""COMPUTED_VALUE"""),15.9)</f>
        <v>15.9</v>
      </c>
      <c r="AR153" s="16">
        <f>IFERROR(__xludf.DUMMYFUNCTION("""COMPUTED_VALUE"""),3.3)</f>
        <v>3.3</v>
      </c>
      <c r="AS153" s="16">
        <f>IFERROR(__xludf.DUMMYFUNCTION("""COMPUTED_VALUE"""),0.0)</f>
        <v>0</v>
      </c>
      <c r="AT153" s="16">
        <f>IFERROR(__xludf.DUMMYFUNCTION("""COMPUTED_VALUE"""),2.0)</f>
        <v>2</v>
      </c>
      <c r="AU153" s="16">
        <f>IFERROR(__xludf.DUMMYFUNCTION("""COMPUTED_VALUE"""),0.0)</f>
        <v>0</v>
      </c>
      <c r="AV153" s="16">
        <f>IFERROR(__xludf.DUMMYFUNCTION("""COMPUTED_VALUE"""),4.0)</f>
        <v>4</v>
      </c>
      <c r="AW153" s="16">
        <f>IFERROR(__xludf.DUMMYFUNCTION("""COMPUTED_VALUE"""),2.4)</f>
        <v>2.4</v>
      </c>
      <c r="AX153" s="16">
        <f>IFERROR(__xludf.DUMMYFUNCTION("""COMPUTED_VALUE"""),1.2)</f>
        <v>1.2</v>
      </c>
      <c r="AY153" s="16">
        <f>IFERROR(__xludf.DUMMYFUNCTION("""COMPUTED_VALUE"""),0.0)</f>
        <v>0</v>
      </c>
      <c r="AZ153" s="16">
        <f>IFERROR(__xludf.DUMMYFUNCTION("""COMPUTED_VALUE"""),1.0)</f>
        <v>1</v>
      </c>
      <c r="BA153" s="16">
        <f>IFERROR(__xludf.DUMMYFUNCTION("""COMPUTED_VALUE"""),0.0)</f>
        <v>0</v>
      </c>
      <c r="BB153" s="16">
        <f>IFERROR(__xludf.DUMMYFUNCTION("""COMPUTED_VALUE"""),5.0)</f>
        <v>5</v>
      </c>
      <c r="BC153" s="16"/>
      <c r="BD153" s="16"/>
      <c r="BE153" s="16">
        <f>IFERROR(__xludf.DUMMYFUNCTION("""COMPUTED_VALUE"""),2.0)</f>
        <v>2</v>
      </c>
      <c r="BF153" s="16">
        <f>IFERROR(__xludf.DUMMYFUNCTION("""COMPUTED_VALUE"""),2.0)</f>
        <v>2</v>
      </c>
      <c r="BG153" s="16">
        <f>IFERROR(__xludf.DUMMYFUNCTION("""COMPUTED_VALUE"""),1.0)</f>
        <v>1</v>
      </c>
      <c r="BH153" s="16">
        <f>IFERROR(__xludf.DUMMYFUNCTION("""COMPUTED_VALUE"""),1.0)</f>
        <v>1</v>
      </c>
      <c r="BI153" s="16">
        <f>IFERROR(__xludf.DUMMYFUNCTION("""COMPUTED_VALUE"""),2.0)</f>
        <v>2</v>
      </c>
      <c r="BJ153" s="16">
        <f>IFERROR(__xludf.DUMMYFUNCTION("""COMPUTED_VALUE"""),2.0)</f>
        <v>2</v>
      </c>
      <c r="BK153" s="16">
        <f>IFERROR(__xludf.DUMMYFUNCTION("""COMPUTED_VALUE"""),0.0)</f>
        <v>0</v>
      </c>
      <c r="BL153" s="16">
        <f>IFERROR(__xludf.DUMMYFUNCTION("""COMPUTED_VALUE"""),0.0)</f>
        <v>0</v>
      </c>
      <c r="BM153" s="16">
        <f>IFERROR(__xludf.DUMMYFUNCTION("""COMPUTED_VALUE"""),1.0)</f>
        <v>1</v>
      </c>
      <c r="BN153" s="16">
        <f>IFERROR(__xludf.DUMMYFUNCTION("""COMPUTED_VALUE"""),1.0)</f>
        <v>1</v>
      </c>
      <c r="BO153" s="16">
        <f>IFERROR(__xludf.DUMMYFUNCTION("""COMPUTED_VALUE"""),1.0)</f>
        <v>1</v>
      </c>
      <c r="BP153" s="16">
        <f>IFERROR(__xludf.DUMMYFUNCTION("""COMPUTED_VALUE"""),1.0)</f>
        <v>1</v>
      </c>
      <c r="BQ153" s="16">
        <f>IFERROR(__xludf.DUMMYFUNCTION("""COMPUTED_VALUE"""),0.0)</f>
        <v>0</v>
      </c>
      <c r="BR153" s="16">
        <f>IFERROR(__xludf.DUMMYFUNCTION("""COMPUTED_VALUE"""),0.0)</f>
        <v>0</v>
      </c>
      <c r="BS153" s="16">
        <f>IFERROR(__xludf.DUMMYFUNCTION("""COMPUTED_VALUE"""),-3.0)</f>
        <v>-3</v>
      </c>
      <c r="BT153" s="16">
        <f>IFERROR(__xludf.DUMMYFUNCTION("""COMPUTED_VALUE"""),-3.0)</f>
        <v>-3</v>
      </c>
      <c r="BU153" s="16">
        <f>IFERROR(__xludf.DUMMYFUNCTION("""COMPUTED_VALUE"""),-6.0)</f>
        <v>-6</v>
      </c>
      <c r="BV153" s="16">
        <f>IFERROR(__xludf.DUMMYFUNCTION("""COMPUTED_VALUE"""),-6.0)</f>
        <v>-6</v>
      </c>
      <c r="BW153" s="16">
        <f>IFERROR(__xludf.DUMMYFUNCTION("""COMPUTED_VALUE"""),-3.0)</f>
        <v>-3</v>
      </c>
      <c r="BX153" s="16">
        <f>IFERROR(__xludf.DUMMYFUNCTION("""COMPUTED_VALUE"""),-3.0)</f>
        <v>-3</v>
      </c>
      <c r="BY153" s="16" t="str">
        <f>IFERROR(__xludf.DUMMYFUNCTION("""COMPUTED_VALUE"""),"S(5)")</f>
        <v>S(5)</v>
      </c>
      <c r="BZ153" s="16" t="str">
        <f>IFERROR(__xludf.DUMMYFUNCTION("""COMPUTED_VALUE"""),"S(5)")</f>
        <v>S(5)</v>
      </c>
      <c r="CA153" s="16" t="str">
        <f>IFERROR(__xludf.DUMMYFUNCTION("""COMPUTED_VALUE"""),"S(5)")</f>
        <v>S(5)</v>
      </c>
      <c r="CB153" s="16"/>
      <c r="CC153" s="16"/>
      <c r="CD153" s="16">
        <f>IFERROR(__xludf.DUMMYFUNCTION("""COMPUTED_VALUE"""),5.0)</f>
        <v>5</v>
      </c>
      <c r="CE153" s="16"/>
      <c r="CF153" s="16"/>
      <c r="CG153" s="16" t="str">
        <f>IFERROR(__xludf.DUMMYFUNCTION("""COMPUTED_VALUE"""),"2-28")</f>
        <v>2-28</v>
      </c>
      <c r="CH153" s="16">
        <f>IFERROR(__xludf.DUMMYFUNCTION("""COMPUTED_VALUE"""),2.0)</f>
        <v>2</v>
      </c>
      <c r="CI153" s="16">
        <f>IFERROR(__xludf.DUMMYFUNCTION("""COMPUTED_VALUE"""),28.0)</f>
        <v>28</v>
      </c>
      <c r="CJ153" s="16">
        <f>IFERROR(__xludf.DUMMYFUNCTION("""COMPUTED_VALUE"""),5.0)</f>
        <v>5</v>
      </c>
      <c r="CK153" s="16">
        <f>IFERROR(__xludf.DUMMYFUNCTION("""COMPUTED_VALUE"""),8.0)</f>
        <v>8</v>
      </c>
      <c r="CL153" s="16" t="str">
        <f>IFERROR(__xludf.DUMMYFUNCTION("""COMPUTED_VALUE"""),"1WR-C")</f>
        <v>1WR-C</v>
      </c>
      <c r="CM153" s="16" t="str">
        <f>IFERROR(__xludf.DUMMYFUNCTION("""COMPUTED_VALUE"""),"E")</f>
        <v>E</v>
      </c>
      <c r="CN153" s="16">
        <f>IFERROR(__xludf.DUMMYFUNCTION("""COMPUTED_VALUE"""),10.0)</f>
        <v>10</v>
      </c>
      <c r="CO153" s="16" t="str">
        <f>IFERROR(__xludf.DUMMYFUNCTION("""COMPUTED_VALUE"""),"C")</f>
        <v>C</v>
      </c>
      <c r="CP153" s="16" t="str">
        <f>IFERROR(__xludf.DUMMYFUNCTION("""COMPUTED_VALUE"""),"1p70")</f>
        <v>1p70</v>
      </c>
      <c r="CQ153" s="16">
        <f>IFERROR(__xludf.DUMMYFUNCTION("""COMPUTED_VALUE"""),-3.0)</f>
        <v>-3</v>
      </c>
      <c r="CR153" s="16">
        <f>IFERROR(__xludf.DUMMYFUNCTION("""COMPUTED_VALUE"""),24.0)</f>
        <v>24</v>
      </c>
      <c r="CS153" s="16">
        <f>IFERROR(__xludf.DUMMYFUNCTION("""COMPUTED_VALUE"""),21.0)</f>
        <v>21</v>
      </c>
      <c r="CT153" s="16">
        <f>IFERROR(__xludf.DUMMYFUNCTION("""COMPUTED_VALUE"""),-3.0)</f>
        <v>-3</v>
      </c>
      <c r="CU153" s="16">
        <f>IFERROR(__xludf.DUMMYFUNCTION("""COMPUTED_VALUE"""),24.0)</f>
        <v>24</v>
      </c>
      <c r="CV153" s="179">
        <f>IFERROR(__xludf.DUMMYFUNCTION("""COMPUTED_VALUE"""),13.0)</f>
        <v>13</v>
      </c>
      <c r="CW153" s="179">
        <f>IFERROR(__xludf.DUMMYFUNCTION("""COMPUTED_VALUE"""),4.0)</f>
        <v>4</v>
      </c>
      <c r="CX153" s="179">
        <f>IFERROR(__xludf.DUMMYFUNCTION("""COMPUTED_VALUE"""),3.0)</f>
        <v>3</v>
      </c>
      <c r="CY153" s="16" t="str">
        <f>IFERROR(__xludf.DUMMYFUNCTION("""COMPUTED_VALUE"""),"SP")</f>
        <v>SP</v>
      </c>
      <c r="CZ153" s="16"/>
      <c r="DA153" s="16"/>
      <c r="DB153" s="16"/>
      <c r="DC153" s="16"/>
      <c r="DD153" s="16"/>
      <c r="DE153" s="16"/>
      <c r="DF153" s="16"/>
      <c r="DG153" s="16"/>
      <c r="DH153" s="16"/>
      <c r="DI153" s="16"/>
      <c r="DJ153" s="16"/>
      <c r="DK153" s="16"/>
    </row>
    <row r="154">
      <c r="A154" s="16">
        <f>IFERROR(__xludf.DUMMYFUNCTION("""COMPUTED_VALUE"""),12510.0)</f>
        <v>12510</v>
      </c>
      <c r="B154" s="16" t="str">
        <f>IFERROR(__xludf.DUMMYFUNCTION("""COMPUTED_VALUE"""),"Adrian Morejon")</f>
        <v>Adrian Morejon</v>
      </c>
      <c r="C154" s="153">
        <f>IFERROR(__xludf.DUMMYFUNCTION("""COMPUTED_VALUE"""),0.59)</f>
        <v>0.59</v>
      </c>
      <c r="D154" s="16"/>
      <c r="E154" s="16" t="str">
        <f>IFERROR(__xludf.DUMMYFUNCTION("""COMPUTED_VALUE"""),"L")</f>
        <v>L</v>
      </c>
      <c r="F154" s="16">
        <f>IFERROR(__xludf.DUMMYFUNCTION("""COMPUTED_VALUE"""),64.0)</f>
        <v>64</v>
      </c>
      <c r="G154" s="16">
        <f>IFERROR(__xludf.DUMMYFUNCTION("""COMPUTED_VALUE"""),31.0)</f>
        <v>31</v>
      </c>
      <c r="H154" s="16">
        <f>IFERROR(__xludf.DUMMYFUNCTION("""COMPUTED_VALUE"""),33.0)</f>
        <v>33</v>
      </c>
      <c r="I154" s="16">
        <f>IFERROR(__xludf.DUMMYFUNCTION("""COMPUTED_VALUE"""),0.0)</f>
        <v>0</v>
      </c>
      <c r="J154" s="16">
        <f>IFERROR(__xludf.DUMMYFUNCTION("""COMPUTED_VALUE"""),1.0)</f>
        <v>1</v>
      </c>
      <c r="K154" s="16">
        <f>IFERROR(__xludf.DUMMYFUNCTION("""COMPUTED_VALUE"""),0.0)</f>
        <v>0</v>
      </c>
      <c r="L154" s="16">
        <f>IFERROR(__xludf.DUMMYFUNCTION("""COMPUTED_VALUE"""),3.0)</f>
        <v>3</v>
      </c>
      <c r="M154" s="16">
        <f>IFERROR(__xludf.DUMMYFUNCTION("""COMPUTED_VALUE"""),8.0)</f>
        <v>8</v>
      </c>
      <c r="N154" s="16">
        <f>IFERROR(__xludf.DUMMYFUNCTION("""COMPUTED_VALUE"""),6.0)</f>
        <v>6</v>
      </c>
      <c r="O154" s="16">
        <f>IFERROR(__xludf.DUMMYFUNCTION("""COMPUTED_VALUE"""),0.0)</f>
        <v>0</v>
      </c>
      <c r="P154" s="16">
        <f>IFERROR(__xludf.DUMMYFUNCTION("""COMPUTED_VALUE"""),1.0)</f>
        <v>1</v>
      </c>
      <c r="Q154" s="16">
        <f>IFERROR(__xludf.DUMMYFUNCTION("""COMPUTED_VALUE"""),0.0)</f>
        <v>0</v>
      </c>
      <c r="R154" s="16">
        <f>IFERROR(__xludf.DUMMYFUNCTION("""COMPUTED_VALUE"""),1.0)</f>
        <v>1</v>
      </c>
      <c r="S154" s="16">
        <f>IFERROR(__xludf.DUMMYFUNCTION("""COMPUTED_VALUE"""),20.2)</f>
        <v>20.2</v>
      </c>
      <c r="T154" s="16">
        <f>IFERROR(__xludf.DUMMYFUNCTION("""COMPUTED_VALUE"""),20.0)</f>
        <v>20</v>
      </c>
      <c r="U154" s="16">
        <f>IFERROR(__xludf.DUMMYFUNCTION("""COMPUTED_VALUE"""),-1.0)</f>
        <v>-1</v>
      </c>
      <c r="V154" s="16">
        <f>IFERROR(__xludf.DUMMYFUNCTION("""COMPUTED_VALUE"""),-1.0)</f>
        <v>-1</v>
      </c>
      <c r="W154" s="16">
        <f>IFERROR(__xludf.DUMMYFUNCTION("""COMPUTED_VALUE"""),-2.0)</f>
        <v>-2</v>
      </c>
      <c r="X154" s="16">
        <f>IFERROR(__xludf.DUMMYFUNCTION("""COMPUTED_VALUE"""),-2.0)</f>
        <v>-2</v>
      </c>
      <c r="Y154" s="16">
        <f>IFERROR(__xludf.DUMMYFUNCTION("""COMPUTED_VALUE"""),28.2)</f>
        <v>28.2</v>
      </c>
      <c r="Z154" s="16">
        <f>IFERROR(__xludf.DUMMYFUNCTION("""COMPUTED_VALUE"""),26.0)</f>
        <v>26</v>
      </c>
      <c r="AA154" s="16">
        <f>IFERROR(__xludf.DUMMYFUNCTION("""COMPUTED_VALUE"""),0.0)</f>
        <v>0</v>
      </c>
      <c r="AB154" s="16">
        <f>IFERROR(__xludf.DUMMYFUNCTION("""COMPUTED_VALUE"""),0.0)</f>
        <v>0</v>
      </c>
      <c r="AC154" s="16">
        <f>IFERROR(__xludf.DUMMYFUNCTION("""COMPUTED_VALUE"""),0.0)</f>
        <v>0</v>
      </c>
      <c r="AD154" s="16">
        <f>IFERROR(__xludf.DUMMYFUNCTION("""COMPUTED_VALUE"""),0.0)</f>
        <v>0</v>
      </c>
      <c r="AE154" s="16">
        <f>IFERROR(__xludf.DUMMYFUNCTION("""COMPUTED_VALUE"""),31.0)</f>
        <v>31</v>
      </c>
      <c r="AF154" s="16">
        <f>IFERROR(__xludf.DUMMYFUNCTION("""COMPUTED_VALUE"""),32.0)</f>
        <v>32</v>
      </c>
      <c r="AG154" s="16">
        <f>IFERROR(__xludf.DUMMYFUNCTION("""COMPUTED_VALUE"""),0.0)</f>
        <v>0</v>
      </c>
      <c r="AH154" s="16">
        <f>IFERROR(__xludf.DUMMYFUNCTION("""COMPUTED_VALUE"""),0.0)</f>
        <v>0</v>
      </c>
      <c r="AI154" s="16">
        <f>IFERROR(__xludf.DUMMYFUNCTION("""COMPUTED_VALUE"""),0.0)</f>
        <v>0</v>
      </c>
      <c r="AJ154" s="16">
        <f>IFERROR(__xludf.DUMMYFUNCTION("""COMPUTED_VALUE"""),0.0)</f>
        <v>0</v>
      </c>
      <c r="AK154" s="16">
        <f>IFERROR(__xludf.DUMMYFUNCTION("""COMPUTED_VALUE"""),20.2)</f>
        <v>20.2</v>
      </c>
      <c r="AL154" s="16">
        <f>IFERROR(__xludf.DUMMYFUNCTION("""COMPUTED_VALUE"""),20.0)</f>
        <v>20</v>
      </c>
      <c r="AM154" s="16">
        <f>IFERROR(__xludf.DUMMYFUNCTION("""COMPUTED_VALUE"""),-1.0)</f>
        <v>-1</v>
      </c>
      <c r="AN154" s="16">
        <f>IFERROR(__xludf.DUMMYFUNCTION("""COMPUTED_VALUE"""),-1.0)</f>
        <v>-1</v>
      </c>
      <c r="AO154" s="16">
        <f>IFERROR(__xludf.DUMMYFUNCTION("""COMPUTED_VALUE"""),-1.0)</f>
        <v>-1</v>
      </c>
      <c r="AP154" s="16">
        <f>IFERROR(__xludf.DUMMYFUNCTION("""COMPUTED_VALUE"""),-1.0)</f>
        <v>-1</v>
      </c>
      <c r="AQ154" s="16">
        <f>IFERROR(__xludf.DUMMYFUNCTION("""COMPUTED_VALUE"""),31.0)</f>
        <v>31</v>
      </c>
      <c r="AR154" s="16">
        <f>IFERROR(__xludf.DUMMYFUNCTION("""COMPUTED_VALUE"""),32.0)</f>
        <v>32</v>
      </c>
      <c r="AS154" s="16">
        <f>IFERROR(__xludf.DUMMYFUNCTION("""COMPUTED_VALUE"""),-1.0)</f>
        <v>-1</v>
      </c>
      <c r="AT154" s="16">
        <f>IFERROR(__xludf.DUMMYFUNCTION("""COMPUTED_VALUE"""),-2.0)</f>
        <v>-2</v>
      </c>
      <c r="AU154" s="16">
        <f>IFERROR(__xludf.DUMMYFUNCTION("""COMPUTED_VALUE"""),-2.0)</f>
        <v>-2</v>
      </c>
      <c r="AV154" s="16">
        <f>IFERROR(__xludf.DUMMYFUNCTION("""COMPUTED_VALUE"""),-4.0)</f>
        <v>-4</v>
      </c>
      <c r="AW154" s="16">
        <f>IFERROR(__xludf.DUMMYFUNCTION("""COMPUTED_VALUE"""),0.0)</f>
        <v>0</v>
      </c>
      <c r="AX154" s="16">
        <f>IFERROR(__xludf.DUMMYFUNCTION("""COMPUTED_VALUE"""),0.0)</f>
        <v>0</v>
      </c>
      <c r="AY154" s="16">
        <f>IFERROR(__xludf.DUMMYFUNCTION("""COMPUTED_VALUE"""),2.0)</f>
        <v>2</v>
      </c>
      <c r="AZ154" s="16">
        <f>IFERROR(__xludf.DUMMYFUNCTION("""COMPUTED_VALUE"""),2.0)</f>
        <v>2</v>
      </c>
      <c r="BA154" s="16">
        <f>IFERROR(__xludf.DUMMYFUNCTION("""COMPUTED_VALUE"""),10.0)</f>
        <v>10</v>
      </c>
      <c r="BB154" s="16">
        <f>IFERROR(__xludf.DUMMYFUNCTION("""COMPUTED_VALUE"""),10.0)</f>
        <v>10</v>
      </c>
      <c r="BC154" s="16">
        <f>IFERROR(__xludf.DUMMYFUNCTION("""COMPUTED_VALUE"""),0.0)</f>
        <v>0</v>
      </c>
      <c r="BD154" s="16">
        <f>IFERROR(__xludf.DUMMYFUNCTION("""COMPUTED_VALUE"""),0.0)</f>
        <v>0</v>
      </c>
      <c r="BE154" s="16">
        <f>IFERROR(__xludf.DUMMYFUNCTION("""COMPUTED_VALUE"""),0.0)</f>
        <v>0</v>
      </c>
      <c r="BF154" s="16">
        <f>IFERROR(__xludf.DUMMYFUNCTION("""COMPUTED_VALUE"""),0.0)</f>
        <v>0</v>
      </c>
      <c r="BG154" s="16">
        <f>IFERROR(__xludf.DUMMYFUNCTION("""COMPUTED_VALUE"""),3.0)</f>
        <v>3</v>
      </c>
      <c r="BH154" s="16">
        <f>IFERROR(__xludf.DUMMYFUNCTION("""COMPUTED_VALUE"""),2.0)</f>
        <v>2</v>
      </c>
      <c r="BI154" s="16">
        <f>IFERROR(__xludf.DUMMYFUNCTION("""COMPUTED_VALUE"""),6.0)</f>
        <v>6</v>
      </c>
      <c r="BJ154" s="16">
        <f>IFERROR(__xludf.DUMMYFUNCTION("""COMPUTED_VALUE"""),4.0)</f>
        <v>4</v>
      </c>
      <c r="BK154" s="16">
        <f>IFERROR(__xludf.DUMMYFUNCTION("""COMPUTED_VALUE"""),5.0)</f>
        <v>5</v>
      </c>
      <c r="BL154" s="16">
        <f>IFERROR(__xludf.DUMMYFUNCTION("""COMPUTED_VALUE"""),5.0)</f>
        <v>5</v>
      </c>
      <c r="BM154" s="16">
        <f>IFERROR(__xludf.DUMMYFUNCTION("""COMPUTED_VALUE"""),0.0)</f>
        <v>0</v>
      </c>
      <c r="BN154" s="16">
        <f>IFERROR(__xludf.DUMMYFUNCTION("""COMPUTED_VALUE"""),0.0)</f>
        <v>0</v>
      </c>
      <c r="BO154" s="16">
        <f>IFERROR(__xludf.DUMMYFUNCTION("""COMPUTED_VALUE"""),0.0)</f>
        <v>0</v>
      </c>
      <c r="BP154" s="16">
        <f>IFERROR(__xludf.DUMMYFUNCTION("""COMPUTED_VALUE"""),0.0)</f>
        <v>0</v>
      </c>
      <c r="BQ154" s="16">
        <f>IFERROR(__xludf.DUMMYFUNCTION("""COMPUTED_VALUE"""),4.0)</f>
        <v>4</v>
      </c>
      <c r="BR154" s="16">
        <f>IFERROR(__xludf.DUMMYFUNCTION("""COMPUTED_VALUE"""),3.0)</f>
        <v>3</v>
      </c>
      <c r="BS154" s="16">
        <f>IFERROR(__xludf.DUMMYFUNCTION("""COMPUTED_VALUE"""),-1.0)</f>
        <v>-1</v>
      </c>
      <c r="BT154" s="16">
        <f>IFERROR(__xludf.DUMMYFUNCTION("""COMPUTED_VALUE"""),-1.0)</f>
        <v>-1</v>
      </c>
      <c r="BU154" s="16">
        <f>IFERROR(__xludf.DUMMYFUNCTION("""COMPUTED_VALUE"""),-2.0)</f>
        <v>-2</v>
      </c>
      <c r="BV154" s="16">
        <f>IFERROR(__xludf.DUMMYFUNCTION("""COMPUTED_VALUE"""),-2.0)</f>
        <v>-2</v>
      </c>
      <c r="BW154" s="16">
        <f>IFERROR(__xludf.DUMMYFUNCTION("""COMPUTED_VALUE"""),5.0)</f>
        <v>5</v>
      </c>
      <c r="BX154" s="16">
        <f>IFERROR(__xludf.DUMMYFUNCTION("""COMPUTED_VALUE"""),5.0)</f>
        <v>5</v>
      </c>
      <c r="BY154" s="16" t="str">
        <f>IFERROR(__xludf.DUMMYFUNCTION("""COMPUTED_VALUE"""),"R(1) C(1)")</f>
        <v>R(1) C(1)</v>
      </c>
      <c r="BZ154" s="16" t="str">
        <f>IFERROR(__xludf.DUMMYFUNCTION("""COMPUTED_VALUE"""),"R(1) C(1)")</f>
        <v>R(1) C(1)</v>
      </c>
      <c r="CA154" s="16" t="str">
        <f>IFERROR(__xludf.DUMMYFUNCTION("""COMPUTED_VALUE"""),"R(1)")</f>
        <v>R(1)</v>
      </c>
      <c r="CB154" s="16" t="str">
        <f>IFERROR(__xludf.DUMMYFUNCTION("""COMPUTED_VALUE"""),"C(1)")</f>
        <v>C(1)</v>
      </c>
      <c r="CC154" s="16"/>
      <c r="CD154" s="16"/>
      <c r="CE154" s="16">
        <f>IFERROR(__xludf.DUMMYFUNCTION("""COMPUTED_VALUE"""),1.0)</f>
        <v>1</v>
      </c>
      <c r="CF154" s="16">
        <f>IFERROR(__xludf.DUMMYFUNCTION("""COMPUTED_VALUE"""),1.0)</f>
        <v>1</v>
      </c>
      <c r="CG154" s="16" t="str">
        <f>IFERROR(__xludf.DUMMYFUNCTION("""COMPUTED_VALUE"""),"5-0")</f>
        <v>5-0</v>
      </c>
      <c r="CH154" s="16">
        <f>IFERROR(__xludf.DUMMYFUNCTION("""COMPUTED_VALUE"""),5.0)</f>
        <v>5</v>
      </c>
      <c r="CI154" s="16">
        <f>IFERROR(__xludf.DUMMYFUNCTION("""COMPUTED_VALUE"""),0.0)</f>
        <v>0</v>
      </c>
      <c r="CJ154" s="16">
        <f>IFERROR(__xludf.DUMMYFUNCTION("""COMPUTED_VALUE"""),5.0)</f>
        <v>5</v>
      </c>
      <c r="CK154" s="16">
        <f>IFERROR(__xludf.DUMMYFUNCTION("""COMPUTED_VALUE"""),20.0)</f>
        <v>20</v>
      </c>
      <c r="CL154" s="16" t="str">
        <f>IFERROR(__xludf.DUMMYFUNCTION("""COMPUTED_VALUE"""),"1WL-C")</f>
        <v>1WL-C</v>
      </c>
      <c r="CM154" s="16" t="str">
        <f>IFERROR(__xludf.DUMMYFUNCTION("""COMPUTED_VALUE"""),"E")</f>
        <v>E</v>
      </c>
      <c r="CN154" s="16">
        <f>IFERROR(__xludf.DUMMYFUNCTION("""COMPUTED_VALUE"""),10.0)</f>
        <v>10</v>
      </c>
      <c r="CO154" s="16" t="str">
        <f>IFERROR(__xludf.DUMMYFUNCTION("""COMPUTED_VALUE"""),"C")</f>
        <v>C</v>
      </c>
      <c r="CP154" s="16" t="str">
        <f>IFERROR(__xludf.DUMMYFUNCTION("""COMPUTED_VALUE"""),"1p50")</f>
        <v>1p50</v>
      </c>
      <c r="CQ154" s="16">
        <f>IFERROR(__xludf.DUMMYFUNCTION("""COMPUTED_VALUE"""),9.0)</f>
        <v>9</v>
      </c>
      <c r="CR154" s="16">
        <f>IFERROR(__xludf.DUMMYFUNCTION("""COMPUTED_VALUE"""),9.0)</f>
        <v>9</v>
      </c>
      <c r="CS154" s="16">
        <f>IFERROR(__xludf.DUMMYFUNCTION("""COMPUTED_VALUE"""),18.0)</f>
        <v>18</v>
      </c>
      <c r="CT154" s="16">
        <f>IFERROR(__xludf.DUMMYFUNCTION("""COMPUTED_VALUE"""),9.0)</f>
        <v>9</v>
      </c>
      <c r="CU154" s="16">
        <f>IFERROR(__xludf.DUMMYFUNCTION("""COMPUTED_VALUE"""),9.0)</f>
        <v>9</v>
      </c>
      <c r="CV154" s="179">
        <f>IFERROR(__xludf.DUMMYFUNCTION("""COMPUTED_VALUE"""),13.0)</f>
        <v>13</v>
      </c>
      <c r="CW154" s="179">
        <f>IFERROR(__xludf.DUMMYFUNCTION("""COMPUTED_VALUE"""),4.0)</f>
        <v>4</v>
      </c>
      <c r="CX154" s="179">
        <f>IFERROR(__xludf.DUMMYFUNCTION("""COMPUTED_VALUE"""),0.0)</f>
        <v>0</v>
      </c>
      <c r="CY154" s="16" t="str">
        <f>IFERROR(__xludf.DUMMYFUNCTION("""COMPUTED_VALUE"""),"RP")</f>
        <v>RP</v>
      </c>
      <c r="CZ154" s="16" t="str">
        <f>IFERROR(__xludf.DUMMYFUNCTION("""COMPUTED_VALUE"""),"CP")</f>
        <v>CP</v>
      </c>
      <c r="DA154" s="16"/>
      <c r="DB154" s="16"/>
      <c r="DC154" s="16"/>
      <c r="DD154" s="16"/>
      <c r="DE154" s="16"/>
      <c r="DF154" s="16"/>
      <c r="DG154" s="16"/>
      <c r="DH154" s="16"/>
      <c r="DI154" s="16"/>
      <c r="DJ154" s="16"/>
      <c r="DK154" s="16"/>
    </row>
    <row r="155">
      <c r="A155" s="16">
        <f>IFERROR(__xludf.DUMMYFUNCTION("""COMPUTED_VALUE"""),12767.0)</f>
        <v>12767</v>
      </c>
      <c r="B155" s="16" t="str">
        <f>IFERROR(__xludf.DUMMYFUNCTION("""COMPUTED_VALUE"""),"Drew Rasmussen")</f>
        <v>Drew Rasmussen</v>
      </c>
      <c r="C155" s="153">
        <f>IFERROR(__xludf.DUMMYFUNCTION("""COMPUTED_VALUE"""),1.0)</f>
        <v>1</v>
      </c>
      <c r="D155" s="16"/>
      <c r="E155" s="16" t="str">
        <f>IFERROR(__xludf.DUMMYFUNCTION("""COMPUTED_VALUE"""),"R")</f>
        <v>R</v>
      </c>
      <c r="F155" s="16">
        <f>IFERROR(__xludf.DUMMYFUNCTION("""COMPUTED_VALUE"""),29.0)</f>
        <v>29</v>
      </c>
      <c r="G155" s="16">
        <f>IFERROR(__xludf.DUMMYFUNCTION("""COMPUTED_VALUE"""),52.0)</f>
        <v>52</v>
      </c>
      <c r="H155" s="16">
        <f>IFERROR(__xludf.DUMMYFUNCTION("""COMPUTED_VALUE"""),28.0)</f>
        <v>28</v>
      </c>
      <c r="I155" s="16">
        <f>IFERROR(__xludf.DUMMYFUNCTION("""COMPUTED_VALUE"""),3.0)</f>
        <v>3</v>
      </c>
      <c r="J155" s="16">
        <f>IFERROR(__xludf.DUMMYFUNCTION("""COMPUTED_VALUE"""),0.0)</f>
        <v>0</v>
      </c>
      <c r="K155" s="16">
        <f>IFERROR(__xludf.DUMMYFUNCTION("""COMPUTED_VALUE"""),9.0)</f>
        <v>9</v>
      </c>
      <c r="L155" s="16">
        <f>IFERROR(__xludf.DUMMYFUNCTION("""COMPUTED_VALUE"""),0.0)</f>
        <v>0</v>
      </c>
      <c r="M155" s="16">
        <f>IFERROR(__xludf.DUMMYFUNCTION("""COMPUTED_VALUE"""),1.0)</f>
        <v>1</v>
      </c>
      <c r="N155" s="16">
        <f>IFERROR(__xludf.DUMMYFUNCTION("""COMPUTED_VALUE"""),5.0)</f>
        <v>5</v>
      </c>
      <c r="O155" s="16">
        <f>IFERROR(__xludf.DUMMYFUNCTION("""COMPUTED_VALUE"""),3.0)</f>
        <v>3</v>
      </c>
      <c r="P155" s="16">
        <f>IFERROR(__xludf.DUMMYFUNCTION("""COMPUTED_VALUE"""),2.0)</f>
        <v>2</v>
      </c>
      <c r="Q155" s="16">
        <f>IFERROR(__xludf.DUMMYFUNCTION("""COMPUTED_VALUE"""),3.0)</f>
        <v>3</v>
      </c>
      <c r="R155" s="16">
        <f>IFERROR(__xludf.DUMMYFUNCTION("""COMPUTED_VALUE"""),2.0)</f>
        <v>2</v>
      </c>
      <c r="S155" s="16">
        <f>IFERROR(__xludf.DUMMYFUNCTION("""COMPUTED_VALUE"""),8.3)</f>
        <v>8.3</v>
      </c>
      <c r="T155" s="16">
        <f>IFERROR(__xludf.DUMMYFUNCTION("""COMPUTED_VALUE"""),27.5)</f>
        <v>27.5</v>
      </c>
      <c r="U155" s="16">
        <f>IFERROR(__xludf.DUMMYFUNCTION("""COMPUTED_VALUE"""),1.0)</f>
        <v>1</v>
      </c>
      <c r="V155" s="16">
        <f>IFERROR(__xludf.DUMMYFUNCTION("""COMPUTED_VALUE"""),-2.0)</f>
        <v>-2</v>
      </c>
      <c r="W155" s="16">
        <f>IFERROR(__xludf.DUMMYFUNCTION("""COMPUTED_VALUE"""),2.0)</f>
        <v>2</v>
      </c>
      <c r="X155" s="16">
        <f>IFERROR(__xludf.DUMMYFUNCTION("""COMPUTED_VALUE"""),-4.0)</f>
        <v>-4</v>
      </c>
      <c r="Y155" s="16">
        <f>IFERROR(__xludf.DUMMYFUNCTION("""COMPUTED_VALUE"""),9.3)</f>
        <v>9.3</v>
      </c>
      <c r="Z155" s="16">
        <f>IFERROR(__xludf.DUMMYFUNCTION("""COMPUTED_VALUE"""),32.5)</f>
        <v>32.5</v>
      </c>
      <c r="AA155" s="16">
        <f>IFERROR(__xludf.DUMMYFUNCTION("""COMPUTED_VALUE"""),2.0)</f>
        <v>2</v>
      </c>
      <c r="AB155" s="16">
        <f>IFERROR(__xludf.DUMMYFUNCTION("""COMPUTED_VALUE"""),-1.0)</f>
        <v>-1</v>
      </c>
      <c r="AC155" s="16">
        <f>IFERROR(__xludf.DUMMYFUNCTION("""COMPUTED_VALUE"""),10.0)</f>
        <v>10</v>
      </c>
      <c r="AD155" s="16">
        <f>IFERROR(__xludf.DUMMYFUNCTION("""COMPUTED_VALUE"""),-5.0)</f>
        <v>-5</v>
      </c>
      <c r="AE155" s="16">
        <f>IFERROR(__xludf.DUMMYFUNCTION("""COMPUTED_VALUE"""),10.3)</f>
        <v>10.3</v>
      </c>
      <c r="AF155" s="16">
        <f>IFERROR(__xludf.DUMMYFUNCTION("""COMPUTED_VALUE"""),35.0)</f>
        <v>35</v>
      </c>
      <c r="AG155" s="16">
        <f>IFERROR(__xludf.DUMMYFUNCTION("""COMPUTED_VALUE"""),2.0)</f>
        <v>2</v>
      </c>
      <c r="AH155" s="16">
        <f>IFERROR(__xludf.DUMMYFUNCTION("""COMPUTED_VALUE"""),-1.0)</f>
        <v>-1</v>
      </c>
      <c r="AI155" s="16">
        <f>IFERROR(__xludf.DUMMYFUNCTION("""COMPUTED_VALUE"""),4.0)</f>
        <v>4</v>
      </c>
      <c r="AJ155" s="16">
        <f>IFERROR(__xludf.DUMMYFUNCTION("""COMPUTED_VALUE"""),-2.0)</f>
        <v>-2</v>
      </c>
      <c r="AK155" s="16">
        <f>IFERROR(__xludf.DUMMYFUNCTION("""COMPUTED_VALUE"""),8.3)</f>
        <v>8.3</v>
      </c>
      <c r="AL155" s="16">
        <f>IFERROR(__xludf.DUMMYFUNCTION("""COMPUTED_VALUE"""),27.5)</f>
        <v>27.5</v>
      </c>
      <c r="AM155" s="16">
        <f>IFERROR(__xludf.DUMMYFUNCTION("""COMPUTED_VALUE"""),1.0)</f>
        <v>1</v>
      </c>
      <c r="AN155" s="16">
        <f>IFERROR(__xludf.DUMMYFUNCTION("""COMPUTED_VALUE"""),-2.0)</f>
        <v>-2</v>
      </c>
      <c r="AO155" s="16">
        <f>IFERROR(__xludf.DUMMYFUNCTION("""COMPUTED_VALUE"""),1.0)</f>
        <v>1</v>
      </c>
      <c r="AP155" s="16">
        <f>IFERROR(__xludf.DUMMYFUNCTION("""COMPUTED_VALUE"""),-2.0)</f>
        <v>-2</v>
      </c>
      <c r="AQ155" s="16">
        <f>IFERROR(__xludf.DUMMYFUNCTION("""COMPUTED_VALUE"""),10.3)</f>
        <v>10.3</v>
      </c>
      <c r="AR155" s="16">
        <f>IFERROR(__xludf.DUMMYFUNCTION("""COMPUTED_VALUE"""),35.0)</f>
        <v>35</v>
      </c>
      <c r="AS155" s="16">
        <f>IFERROR(__xludf.DUMMYFUNCTION("""COMPUTED_VALUE"""),1.0)</f>
        <v>1</v>
      </c>
      <c r="AT155" s="16">
        <f>IFERROR(__xludf.DUMMYFUNCTION("""COMPUTED_VALUE"""),-2.0)</f>
        <v>-2</v>
      </c>
      <c r="AU155" s="16">
        <f>IFERROR(__xludf.DUMMYFUNCTION("""COMPUTED_VALUE"""),2.0)</f>
        <v>2</v>
      </c>
      <c r="AV155" s="16">
        <f>IFERROR(__xludf.DUMMYFUNCTION("""COMPUTED_VALUE"""),-4.0)</f>
        <v>-4</v>
      </c>
      <c r="AW155" s="16">
        <f>IFERROR(__xludf.DUMMYFUNCTION("""COMPUTED_VALUE"""),0.0)</f>
        <v>0</v>
      </c>
      <c r="AX155" s="16">
        <f>IFERROR(__xludf.DUMMYFUNCTION("""COMPUTED_VALUE"""),0.0)</f>
        <v>0</v>
      </c>
      <c r="AY155" s="16">
        <f>IFERROR(__xludf.DUMMYFUNCTION("""COMPUTED_VALUE"""),2.0)</f>
        <v>2</v>
      </c>
      <c r="AZ155" s="16">
        <f>IFERROR(__xludf.DUMMYFUNCTION("""COMPUTED_VALUE"""),2.0)</f>
        <v>2</v>
      </c>
      <c r="BA155" s="16">
        <f>IFERROR(__xludf.DUMMYFUNCTION("""COMPUTED_VALUE"""),10.0)</f>
        <v>10</v>
      </c>
      <c r="BB155" s="16">
        <f>IFERROR(__xludf.DUMMYFUNCTION("""COMPUTED_VALUE"""),10.0)</f>
        <v>10</v>
      </c>
      <c r="BC155" s="16">
        <f>IFERROR(__xludf.DUMMYFUNCTION("""COMPUTED_VALUE"""),0.0)</f>
        <v>0</v>
      </c>
      <c r="BD155" s="16">
        <f>IFERROR(__xludf.DUMMYFUNCTION("""COMPUTED_VALUE"""),0.0)</f>
        <v>0</v>
      </c>
      <c r="BE155" s="16">
        <f>IFERROR(__xludf.DUMMYFUNCTION("""COMPUTED_VALUE"""),0.0)</f>
        <v>0</v>
      </c>
      <c r="BF155" s="16">
        <f>IFERROR(__xludf.DUMMYFUNCTION("""COMPUTED_VALUE"""),0.0)</f>
        <v>0</v>
      </c>
      <c r="BG155" s="16">
        <f>IFERROR(__xludf.DUMMYFUNCTION("""COMPUTED_VALUE"""),3.0)</f>
        <v>3</v>
      </c>
      <c r="BH155" s="16">
        <f>IFERROR(__xludf.DUMMYFUNCTION("""COMPUTED_VALUE"""),2.0)</f>
        <v>2</v>
      </c>
      <c r="BI155" s="16">
        <f>IFERROR(__xludf.DUMMYFUNCTION("""COMPUTED_VALUE"""),6.0)</f>
        <v>6</v>
      </c>
      <c r="BJ155" s="16">
        <f>IFERROR(__xludf.DUMMYFUNCTION("""COMPUTED_VALUE"""),4.0)</f>
        <v>4</v>
      </c>
      <c r="BK155" s="16">
        <f>IFERROR(__xludf.DUMMYFUNCTION("""COMPUTED_VALUE"""),5.0)</f>
        <v>5</v>
      </c>
      <c r="BL155" s="16">
        <f>IFERROR(__xludf.DUMMYFUNCTION("""COMPUTED_VALUE"""),5.0)</f>
        <v>5</v>
      </c>
      <c r="BM155" s="16">
        <f>IFERROR(__xludf.DUMMYFUNCTION("""COMPUTED_VALUE"""),0.0)</f>
        <v>0</v>
      </c>
      <c r="BN155" s="16">
        <f>IFERROR(__xludf.DUMMYFUNCTION("""COMPUTED_VALUE"""),0.0)</f>
        <v>0</v>
      </c>
      <c r="BO155" s="16">
        <f>IFERROR(__xludf.DUMMYFUNCTION("""COMPUTED_VALUE"""),0.0)</f>
        <v>0</v>
      </c>
      <c r="BP155" s="16">
        <f>IFERROR(__xludf.DUMMYFUNCTION("""COMPUTED_VALUE"""),0.0)</f>
        <v>0</v>
      </c>
      <c r="BQ155" s="16">
        <f>IFERROR(__xludf.DUMMYFUNCTION("""COMPUTED_VALUE"""),1.0)</f>
        <v>1</v>
      </c>
      <c r="BR155" s="16">
        <f>IFERROR(__xludf.DUMMYFUNCTION("""COMPUTED_VALUE"""),1.0)</f>
        <v>1</v>
      </c>
      <c r="BS155" s="16">
        <f>IFERROR(__xludf.DUMMYFUNCTION("""COMPUTED_VALUE"""),-2.0)</f>
        <v>-2</v>
      </c>
      <c r="BT155" s="16">
        <f>IFERROR(__xludf.DUMMYFUNCTION("""COMPUTED_VALUE"""),-2.0)</f>
        <v>-2</v>
      </c>
      <c r="BU155" s="16">
        <f>IFERROR(__xludf.DUMMYFUNCTION("""COMPUTED_VALUE"""),-4.0)</f>
        <v>-4</v>
      </c>
      <c r="BV155" s="16">
        <f>IFERROR(__xludf.DUMMYFUNCTION("""COMPUTED_VALUE"""),-4.0)</f>
        <v>-4</v>
      </c>
      <c r="BW155" s="16">
        <f>IFERROR(__xludf.DUMMYFUNCTION("""COMPUTED_VALUE"""),4.0)</f>
        <v>4</v>
      </c>
      <c r="BX155" s="16">
        <f>IFERROR(__xludf.DUMMYFUNCTION("""COMPUTED_VALUE"""),4.0)</f>
        <v>4</v>
      </c>
      <c r="BY155" s="16" t="str">
        <f>IFERROR(__xludf.DUMMYFUNCTION("""COMPUTED_VALUE"""),"S(1) R(1) C(0)")</f>
        <v>S(1) R(1) C(0)</v>
      </c>
      <c r="BZ155" s="16" t="str">
        <f>IFERROR(__xludf.DUMMYFUNCTION("""COMPUTED_VALUE"""),"S(1) R(1) C(0)")</f>
        <v>S(1) R(1) C(0)</v>
      </c>
      <c r="CA155" s="16" t="str">
        <f>IFERROR(__xludf.DUMMYFUNCTION("""COMPUTED_VALUE"""),"S(1)")</f>
        <v>S(1)</v>
      </c>
      <c r="CB155" s="16" t="str">
        <f>IFERROR(__xludf.DUMMYFUNCTION("""COMPUTED_VALUE"""),"R(1)")</f>
        <v>R(1)</v>
      </c>
      <c r="CC155" s="16" t="str">
        <f>IFERROR(__xludf.DUMMYFUNCTION("""COMPUTED_VALUE"""),"C(0)")</f>
        <v>C(0)</v>
      </c>
      <c r="CD155" s="16">
        <f>IFERROR(__xludf.DUMMYFUNCTION("""COMPUTED_VALUE"""),1.0)</f>
        <v>1</v>
      </c>
      <c r="CE155" s="16">
        <f>IFERROR(__xludf.DUMMYFUNCTION("""COMPUTED_VALUE"""),1.0)</f>
        <v>1</v>
      </c>
      <c r="CF155" s="16">
        <f>IFERROR(__xludf.DUMMYFUNCTION("""COMPUTED_VALUE"""),0.0)</f>
        <v>0</v>
      </c>
      <c r="CG155" s="16" t="str">
        <f>IFERROR(__xludf.DUMMYFUNCTION("""COMPUTED_VALUE"""),"3-50")</f>
        <v>3-50</v>
      </c>
      <c r="CH155" s="16">
        <f>IFERROR(__xludf.DUMMYFUNCTION("""COMPUTED_VALUE"""),3.0)</f>
        <v>3</v>
      </c>
      <c r="CI155" s="16">
        <f>IFERROR(__xludf.DUMMYFUNCTION("""COMPUTED_VALUE"""),50.0)</f>
        <v>50</v>
      </c>
      <c r="CJ155" s="16">
        <f>IFERROR(__xludf.DUMMYFUNCTION("""COMPUTED_VALUE"""),0.0)</f>
        <v>0</v>
      </c>
      <c r="CK155" s="16">
        <f>IFERROR(__xludf.DUMMYFUNCTION("""COMPUTED_VALUE"""),8.0)</f>
        <v>8</v>
      </c>
      <c r="CL155" s="16" t="str">
        <f>IFERROR(__xludf.DUMMYFUNCTION("""COMPUTED_VALUE"""),"1WR-C")</f>
        <v>1WR-C</v>
      </c>
      <c r="CM155" s="16" t="str">
        <f>IFERROR(__xludf.DUMMYFUNCTION("""COMPUTED_VALUE"""),"E")</f>
        <v>E</v>
      </c>
      <c r="CN155" s="16">
        <f>IFERROR(__xludf.DUMMYFUNCTION("""COMPUTED_VALUE"""),10.0)</f>
        <v>10</v>
      </c>
      <c r="CO155" s="16" t="str">
        <f>IFERROR(__xludf.DUMMYFUNCTION("""COMPUTED_VALUE"""),"C")</f>
        <v>C</v>
      </c>
      <c r="CP155" s="16" t="str">
        <f>IFERROR(__xludf.DUMMYFUNCTION("""COMPUTED_VALUE"""),"5p30")</f>
        <v>5p30</v>
      </c>
      <c r="CQ155" s="16">
        <f>IFERROR(__xludf.DUMMYFUNCTION("""COMPUTED_VALUE"""),43.0)</f>
        <v>43</v>
      </c>
      <c r="CR155" s="16">
        <f>IFERROR(__xludf.DUMMYFUNCTION("""COMPUTED_VALUE"""),-5.0)</f>
        <v>-5</v>
      </c>
      <c r="CS155" s="16">
        <f>IFERROR(__xludf.DUMMYFUNCTION("""COMPUTED_VALUE"""),38.0)</f>
        <v>38</v>
      </c>
      <c r="CT155" s="16">
        <f>IFERROR(__xludf.DUMMYFUNCTION("""COMPUTED_VALUE"""),43.0)</f>
        <v>43</v>
      </c>
      <c r="CU155" s="16">
        <f>IFERROR(__xludf.DUMMYFUNCTION("""COMPUTED_VALUE"""),-5.0)</f>
        <v>-5</v>
      </c>
      <c r="CV155" s="179">
        <f>IFERROR(__xludf.DUMMYFUNCTION("""COMPUTED_VALUE"""),13.0)</f>
        <v>13</v>
      </c>
      <c r="CW155" s="179">
        <f>IFERROR(__xludf.DUMMYFUNCTION("""COMPUTED_VALUE"""),0.0)</f>
        <v>0</v>
      </c>
      <c r="CX155" s="179">
        <f>IFERROR(__xludf.DUMMYFUNCTION("""COMPUTED_VALUE"""),2.0)</f>
        <v>2</v>
      </c>
      <c r="CY155" s="16" t="str">
        <f>IFERROR(__xludf.DUMMYFUNCTION("""COMPUTED_VALUE"""),"SP")</f>
        <v>SP</v>
      </c>
      <c r="CZ155" s="16" t="str">
        <f>IFERROR(__xludf.DUMMYFUNCTION("""COMPUTED_VALUE"""),"RP")</f>
        <v>RP</v>
      </c>
      <c r="DA155" s="16" t="str">
        <f>IFERROR(__xludf.DUMMYFUNCTION("""COMPUTED_VALUE"""),"CP")</f>
        <v>CP</v>
      </c>
      <c r="DB155" s="16"/>
      <c r="DC155" s="16"/>
      <c r="DD155" s="16"/>
      <c r="DE155" s="16"/>
      <c r="DF155" s="16"/>
      <c r="DG155" s="16"/>
      <c r="DH155" s="16"/>
      <c r="DI155" s="16"/>
      <c r="DJ155" s="16"/>
      <c r="DK155" s="16"/>
    </row>
    <row r="156">
      <c r="A156" s="16">
        <f>IFERROR(__xludf.DUMMYFUNCTION("""COMPUTED_VALUE"""),12875.0)</f>
        <v>12875</v>
      </c>
      <c r="B156" s="16" t="str">
        <f>IFERROR(__xludf.DUMMYFUNCTION("""COMPUTED_VALUE"""),"Hunter Brown")</f>
        <v>Hunter Brown</v>
      </c>
      <c r="C156" s="153">
        <f>IFERROR(__xludf.DUMMYFUNCTION("""COMPUTED_VALUE"""),1.38)</f>
        <v>1.38</v>
      </c>
      <c r="D156" s="16"/>
      <c r="E156" s="16" t="str">
        <f>IFERROR(__xludf.DUMMYFUNCTION("""COMPUTED_VALUE"""),"R")</f>
        <v>R</v>
      </c>
      <c r="F156" s="16">
        <f>IFERROR(__xludf.DUMMYFUNCTION("""COMPUTED_VALUE"""),170.0)</f>
        <v>170</v>
      </c>
      <c r="G156" s="16">
        <f>IFERROR(__xludf.DUMMYFUNCTION("""COMPUTED_VALUE"""),35.0)</f>
        <v>35</v>
      </c>
      <c r="H156" s="16">
        <f>IFERROR(__xludf.DUMMYFUNCTION("""COMPUTED_VALUE"""),24.0)</f>
        <v>24</v>
      </c>
      <c r="I156" s="16">
        <f>IFERROR(__xludf.DUMMYFUNCTION("""COMPUTED_VALUE"""),1.0)</f>
        <v>1</v>
      </c>
      <c r="J156" s="16">
        <f>IFERROR(__xludf.DUMMYFUNCTION("""COMPUTED_VALUE"""),0.0)</f>
        <v>0</v>
      </c>
      <c r="K156" s="16">
        <f>IFERROR(__xludf.DUMMYFUNCTION("""COMPUTED_VALUE"""),3.0)</f>
        <v>3</v>
      </c>
      <c r="L156" s="16">
        <f>IFERROR(__xludf.DUMMYFUNCTION("""COMPUTED_VALUE"""),0.0)</f>
        <v>0</v>
      </c>
      <c r="M156" s="16">
        <f>IFERROR(__xludf.DUMMYFUNCTION("""COMPUTED_VALUE"""),11.0)</f>
        <v>11</v>
      </c>
      <c r="N156" s="16">
        <f>IFERROR(__xludf.DUMMYFUNCTION("""COMPUTED_VALUE"""),7.0)</f>
        <v>7</v>
      </c>
      <c r="O156" s="16">
        <f>IFERROR(__xludf.DUMMYFUNCTION("""COMPUTED_VALUE"""),-1.0)</f>
        <v>-1</v>
      </c>
      <c r="P156" s="16">
        <f>IFERROR(__xludf.DUMMYFUNCTION("""COMPUTED_VALUE"""),1.0)</f>
        <v>1</v>
      </c>
      <c r="Q156" s="16">
        <f>IFERROR(__xludf.DUMMYFUNCTION("""COMPUTED_VALUE"""),-1.0)</f>
        <v>-1</v>
      </c>
      <c r="R156" s="16">
        <f>IFERROR(__xludf.DUMMYFUNCTION("""COMPUTED_VALUE"""),1.0)</f>
        <v>1</v>
      </c>
      <c r="S156" s="16">
        <f>IFERROR(__xludf.DUMMYFUNCTION("""COMPUTED_VALUE"""),9.5)</f>
        <v>9.5</v>
      </c>
      <c r="T156" s="16">
        <f>IFERROR(__xludf.DUMMYFUNCTION("""COMPUTED_VALUE"""),25.4)</f>
        <v>25.4</v>
      </c>
      <c r="U156" s="16">
        <f>IFERROR(__xludf.DUMMYFUNCTION("""COMPUTED_VALUE"""),1.0)</f>
        <v>1</v>
      </c>
      <c r="V156" s="16">
        <f>IFERROR(__xludf.DUMMYFUNCTION("""COMPUTED_VALUE"""),-2.0)</f>
        <v>-2</v>
      </c>
      <c r="W156" s="16">
        <f>IFERROR(__xludf.DUMMYFUNCTION("""COMPUTED_VALUE"""),2.0)</f>
        <v>2</v>
      </c>
      <c r="X156" s="16">
        <f>IFERROR(__xludf.DUMMYFUNCTION("""COMPUTED_VALUE"""),-4.0)</f>
        <v>-4</v>
      </c>
      <c r="Y156" s="16">
        <f>IFERROR(__xludf.DUMMYFUNCTION("""COMPUTED_VALUE"""),20.5)</f>
        <v>20.5</v>
      </c>
      <c r="Z156" s="16">
        <f>IFERROR(__xludf.DUMMYFUNCTION("""COMPUTED_VALUE"""),32.4)</f>
        <v>32.4</v>
      </c>
      <c r="AA156" s="16">
        <f>IFERROR(__xludf.DUMMYFUNCTION("""COMPUTED_VALUE"""),1.0)</f>
        <v>1</v>
      </c>
      <c r="AB156" s="16">
        <f>IFERROR(__xludf.DUMMYFUNCTION("""COMPUTED_VALUE"""),-1.0)</f>
        <v>-1</v>
      </c>
      <c r="AC156" s="16">
        <f>IFERROR(__xludf.DUMMYFUNCTION("""COMPUTED_VALUE"""),5.0)</f>
        <v>5</v>
      </c>
      <c r="AD156" s="16">
        <f>IFERROR(__xludf.DUMMYFUNCTION("""COMPUTED_VALUE"""),-5.0)</f>
        <v>-5</v>
      </c>
      <c r="AE156" s="16">
        <f>IFERROR(__xludf.DUMMYFUNCTION("""COMPUTED_VALUE"""),16.3)</f>
        <v>16.3</v>
      </c>
      <c r="AF156" s="16">
        <f>IFERROR(__xludf.DUMMYFUNCTION("""COMPUTED_VALUE"""),30.2)</f>
        <v>30.2</v>
      </c>
      <c r="AG156" s="16">
        <f>IFERROR(__xludf.DUMMYFUNCTION("""COMPUTED_VALUE"""),1.0)</f>
        <v>1</v>
      </c>
      <c r="AH156" s="16">
        <f>IFERROR(__xludf.DUMMYFUNCTION("""COMPUTED_VALUE"""),0.0)</f>
        <v>0</v>
      </c>
      <c r="AI156" s="16">
        <f>IFERROR(__xludf.DUMMYFUNCTION("""COMPUTED_VALUE"""),2.0)</f>
        <v>2</v>
      </c>
      <c r="AJ156" s="16">
        <f>IFERROR(__xludf.DUMMYFUNCTION("""COMPUTED_VALUE"""),0.0)</f>
        <v>0</v>
      </c>
      <c r="AK156" s="16">
        <f>IFERROR(__xludf.DUMMYFUNCTION("""COMPUTED_VALUE"""),8.1)</f>
        <v>8.1</v>
      </c>
      <c r="AL156" s="16">
        <f>IFERROR(__xludf.DUMMYFUNCTION("""COMPUTED_VALUE"""),23.799999999999997)</f>
        <v>23.8</v>
      </c>
      <c r="AM156" s="16">
        <f>IFERROR(__xludf.DUMMYFUNCTION("""COMPUTED_VALUE"""),1.0)</f>
        <v>1</v>
      </c>
      <c r="AN156" s="16">
        <f>IFERROR(__xludf.DUMMYFUNCTION("""COMPUTED_VALUE"""),-2.0)</f>
        <v>-2</v>
      </c>
      <c r="AO156" s="16">
        <f>IFERROR(__xludf.DUMMYFUNCTION("""COMPUTED_VALUE"""),1.0)</f>
        <v>1</v>
      </c>
      <c r="AP156" s="16">
        <f>IFERROR(__xludf.DUMMYFUNCTION("""COMPUTED_VALUE"""),-2.0)</f>
        <v>-2</v>
      </c>
      <c r="AQ156" s="16">
        <f>IFERROR(__xludf.DUMMYFUNCTION("""COMPUTED_VALUE"""),10.700000000000001)</f>
        <v>10.7</v>
      </c>
      <c r="AR156" s="16">
        <f>IFERROR(__xludf.DUMMYFUNCTION("""COMPUTED_VALUE"""),23.799999999999997)</f>
        <v>23.8</v>
      </c>
      <c r="AS156" s="16">
        <f>IFERROR(__xludf.DUMMYFUNCTION("""COMPUTED_VALUE"""),1.0)</f>
        <v>1</v>
      </c>
      <c r="AT156" s="16">
        <f>IFERROR(__xludf.DUMMYFUNCTION("""COMPUTED_VALUE"""),-1.0)</f>
        <v>-1</v>
      </c>
      <c r="AU156" s="16">
        <f>IFERROR(__xludf.DUMMYFUNCTION("""COMPUTED_VALUE"""),2.0)</f>
        <v>2</v>
      </c>
      <c r="AV156" s="16">
        <f>IFERROR(__xludf.DUMMYFUNCTION("""COMPUTED_VALUE"""),-2.0)</f>
        <v>-2</v>
      </c>
      <c r="AW156" s="16">
        <f>IFERROR(__xludf.DUMMYFUNCTION("""COMPUTED_VALUE"""),1.4)</f>
        <v>1.4</v>
      </c>
      <c r="AX156" s="16">
        <f>IFERROR(__xludf.DUMMYFUNCTION("""COMPUTED_VALUE"""),1.6)</f>
        <v>1.6</v>
      </c>
      <c r="AY156" s="16">
        <f>IFERROR(__xludf.DUMMYFUNCTION("""COMPUTED_VALUE"""),1.0)</f>
        <v>1</v>
      </c>
      <c r="AZ156" s="16">
        <f>IFERROR(__xludf.DUMMYFUNCTION("""COMPUTED_VALUE"""),1.0)</f>
        <v>1</v>
      </c>
      <c r="BA156" s="16">
        <f>IFERROR(__xludf.DUMMYFUNCTION("""COMPUTED_VALUE"""),5.0)</f>
        <v>5</v>
      </c>
      <c r="BB156" s="16">
        <f>IFERROR(__xludf.DUMMYFUNCTION("""COMPUTED_VALUE"""),5.0)</f>
        <v>5</v>
      </c>
      <c r="BC156" s="16">
        <f>IFERROR(__xludf.DUMMYFUNCTION("""COMPUTED_VALUE"""),2.0)</f>
        <v>2</v>
      </c>
      <c r="BD156" s="16">
        <f>IFERROR(__xludf.DUMMYFUNCTION("""COMPUTED_VALUE"""),1.0)</f>
        <v>1</v>
      </c>
      <c r="BE156" s="16">
        <f>IFERROR(__xludf.DUMMYFUNCTION("""COMPUTED_VALUE"""),2.0)</f>
        <v>2</v>
      </c>
      <c r="BF156" s="16">
        <f>IFERROR(__xludf.DUMMYFUNCTION("""COMPUTED_VALUE"""),1.0)</f>
        <v>1</v>
      </c>
      <c r="BG156" s="16">
        <f>IFERROR(__xludf.DUMMYFUNCTION("""COMPUTED_VALUE"""),1.0)</f>
        <v>1</v>
      </c>
      <c r="BH156" s="16">
        <f>IFERROR(__xludf.DUMMYFUNCTION("""COMPUTED_VALUE"""),2.0)</f>
        <v>2</v>
      </c>
      <c r="BI156" s="16">
        <f>IFERROR(__xludf.DUMMYFUNCTION("""COMPUTED_VALUE"""),2.0)</f>
        <v>2</v>
      </c>
      <c r="BJ156" s="16">
        <f>IFERROR(__xludf.DUMMYFUNCTION("""COMPUTED_VALUE"""),4.0)</f>
        <v>4</v>
      </c>
      <c r="BK156" s="16">
        <f>IFERROR(__xludf.DUMMYFUNCTION("""COMPUTED_VALUE"""),5.0)</f>
        <v>5</v>
      </c>
      <c r="BL156" s="16">
        <f>IFERROR(__xludf.DUMMYFUNCTION("""COMPUTED_VALUE"""),5.0)</f>
        <v>5</v>
      </c>
      <c r="BM156" s="16">
        <f>IFERROR(__xludf.DUMMYFUNCTION("""COMPUTED_VALUE"""),0.0)</f>
        <v>0</v>
      </c>
      <c r="BN156" s="16">
        <f>IFERROR(__xludf.DUMMYFUNCTION("""COMPUTED_VALUE"""),0.0)</f>
        <v>0</v>
      </c>
      <c r="BO156" s="16">
        <f>IFERROR(__xludf.DUMMYFUNCTION("""COMPUTED_VALUE"""),0.0)</f>
        <v>0</v>
      </c>
      <c r="BP156" s="16">
        <f>IFERROR(__xludf.DUMMYFUNCTION("""COMPUTED_VALUE"""),0.0)</f>
        <v>0</v>
      </c>
      <c r="BQ156" s="16">
        <f>IFERROR(__xludf.DUMMYFUNCTION("""COMPUTED_VALUE"""),4.0)</f>
        <v>4</v>
      </c>
      <c r="BR156" s="16">
        <f>IFERROR(__xludf.DUMMYFUNCTION("""COMPUTED_VALUE"""),6.0)</f>
        <v>6</v>
      </c>
      <c r="BS156" s="16">
        <f>IFERROR(__xludf.DUMMYFUNCTION("""COMPUTED_VALUE"""),-1.0)</f>
        <v>-1</v>
      </c>
      <c r="BT156" s="16">
        <f>IFERROR(__xludf.DUMMYFUNCTION("""COMPUTED_VALUE"""),1.0)</f>
        <v>1</v>
      </c>
      <c r="BU156" s="16">
        <f>IFERROR(__xludf.DUMMYFUNCTION("""COMPUTED_VALUE"""),-2.0)</f>
        <v>-2</v>
      </c>
      <c r="BV156" s="16">
        <f>IFERROR(__xludf.DUMMYFUNCTION("""COMPUTED_VALUE"""),2.0)</f>
        <v>2</v>
      </c>
      <c r="BW156" s="16">
        <f>IFERROR(__xludf.DUMMYFUNCTION("""COMPUTED_VALUE"""),2.0)</f>
        <v>2</v>
      </c>
      <c r="BX156" s="16">
        <f>IFERROR(__xludf.DUMMYFUNCTION("""COMPUTED_VALUE"""),2.0)</f>
        <v>2</v>
      </c>
      <c r="BY156" s="16" t="str">
        <f>IFERROR(__xludf.DUMMYFUNCTION("""COMPUTED_VALUE"""),"S(6)")</f>
        <v>S(6)</v>
      </c>
      <c r="BZ156" s="16" t="str">
        <f>IFERROR(__xludf.DUMMYFUNCTION("""COMPUTED_VALUE"""),"S(6)")</f>
        <v>S(6)</v>
      </c>
      <c r="CA156" s="16" t="str">
        <f>IFERROR(__xludf.DUMMYFUNCTION("""COMPUTED_VALUE"""),"S(6)")</f>
        <v>S(6)</v>
      </c>
      <c r="CB156" s="16"/>
      <c r="CC156" s="16"/>
      <c r="CD156" s="16">
        <f>IFERROR(__xludf.DUMMYFUNCTION("""COMPUTED_VALUE"""),6.0)</f>
        <v>6</v>
      </c>
      <c r="CE156" s="16"/>
      <c r="CF156" s="16"/>
      <c r="CG156" s="16" t="str">
        <f>IFERROR(__xludf.DUMMYFUNCTION("""COMPUTED_VALUE"""),"4-8")</f>
        <v>4-8</v>
      </c>
      <c r="CH156" s="16">
        <f>IFERROR(__xludf.DUMMYFUNCTION("""COMPUTED_VALUE"""),4.0)</f>
        <v>4</v>
      </c>
      <c r="CI156" s="16">
        <f>IFERROR(__xludf.DUMMYFUNCTION("""COMPUTED_VALUE"""),8.0)</f>
        <v>8</v>
      </c>
      <c r="CJ156" s="16">
        <f>IFERROR(__xludf.DUMMYFUNCTION("""COMPUTED_VALUE"""),2.0)</f>
        <v>2</v>
      </c>
      <c r="CK156" s="16">
        <f>IFERROR(__xludf.DUMMYFUNCTION("""COMPUTED_VALUE"""),5.0)</f>
        <v>5</v>
      </c>
      <c r="CL156" s="16" t="str">
        <f>IFERROR(__xludf.DUMMYFUNCTION("""COMPUTED_VALUE"""),"1WR-C")</f>
        <v>1WR-C</v>
      </c>
      <c r="CM156" s="16" t="str">
        <f>IFERROR(__xludf.DUMMYFUNCTION("""COMPUTED_VALUE"""),"E")</f>
        <v>E</v>
      </c>
      <c r="CN156" s="16">
        <f>IFERROR(__xludf.DUMMYFUNCTION("""COMPUTED_VALUE"""),10.0)</f>
        <v>10</v>
      </c>
      <c r="CO156" s="16" t="str">
        <f>IFERROR(__xludf.DUMMYFUNCTION("""COMPUTED_VALUE"""),"C")</f>
        <v>C</v>
      </c>
      <c r="CP156" s="16" t="str">
        <f>IFERROR(__xludf.DUMMYFUNCTION("""COMPUTED_VALUE"""),"1p70")</f>
        <v>1p70</v>
      </c>
      <c r="CQ156" s="16">
        <f>IFERROR(__xludf.DUMMYFUNCTION("""COMPUTED_VALUE"""),19.0)</f>
        <v>19</v>
      </c>
      <c r="CR156" s="16">
        <f>IFERROR(__xludf.DUMMYFUNCTION("""COMPUTED_VALUE"""),-1.0)</f>
        <v>-1</v>
      </c>
      <c r="CS156" s="16">
        <f>IFERROR(__xludf.DUMMYFUNCTION("""COMPUTED_VALUE"""),18.0)</f>
        <v>18</v>
      </c>
      <c r="CT156" s="16">
        <f>IFERROR(__xludf.DUMMYFUNCTION("""COMPUTED_VALUE"""),19.0)</f>
        <v>19</v>
      </c>
      <c r="CU156" s="16">
        <f>IFERROR(__xludf.DUMMYFUNCTION("""COMPUTED_VALUE"""),-1.0)</f>
        <v>-1</v>
      </c>
      <c r="CV156" s="179">
        <f>IFERROR(__xludf.DUMMYFUNCTION("""COMPUTED_VALUE"""),12.666666666666668)</f>
        <v>12.66666667</v>
      </c>
      <c r="CW156" s="179">
        <f>IFERROR(__xludf.DUMMYFUNCTION("""COMPUTED_VALUE"""),4.0)</f>
        <v>4</v>
      </c>
      <c r="CX156" s="179">
        <f>IFERROR(__xludf.DUMMYFUNCTION("""COMPUTED_VALUE"""),3.0)</f>
        <v>3</v>
      </c>
      <c r="CY156" s="16" t="str">
        <f>IFERROR(__xludf.DUMMYFUNCTION("""COMPUTED_VALUE"""),"SP")</f>
        <v>SP</v>
      </c>
      <c r="CZ156" s="16"/>
      <c r="DA156" s="16"/>
      <c r="DB156" s="16"/>
      <c r="DC156" s="16"/>
      <c r="DD156" s="16"/>
      <c r="DE156" s="16"/>
      <c r="DF156" s="16"/>
      <c r="DG156" s="16"/>
      <c r="DH156" s="16"/>
      <c r="DI156" s="16"/>
      <c r="DJ156" s="16"/>
      <c r="DK156" s="16"/>
    </row>
    <row r="157">
      <c r="A157" s="16">
        <f>IFERROR(__xludf.DUMMYFUNCTION("""COMPUTED_VALUE"""),12927.0)</f>
        <v>12927</v>
      </c>
      <c r="B157" s="16" t="str">
        <f>IFERROR(__xludf.DUMMYFUNCTION("""COMPUTED_VALUE"""),"Jared Jones")</f>
        <v>Jared Jones</v>
      </c>
      <c r="C157" s="153">
        <f>IFERROR(__xludf.DUMMYFUNCTION("""COMPUTED_VALUE"""),1.11)</f>
        <v>1.11</v>
      </c>
      <c r="D157" s="16"/>
      <c r="E157" s="16" t="str">
        <f>IFERROR(__xludf.DUMMYFUNCTION("""COMPUTED_VALUE"""),"R")</f>
        <v>R</v>
      </c>
      <c r="F157" s="16">
        <f>IFERROR(__xludf.DUMMYFUNCTION("""COMPUTED_VALUE"""),122.0)</f>
        <v>122</v>
      </c>
      <c r="G157" s="16">
        <f>IFERROR(__xludf.DUMMYFUNCTION("""COMPUTED_VALUE"""),40.0)</f>
        <v>40</v>
      </c>
      <c r="H157" s="16">
        <f>IFERROR(__xludf.DUMMYFUNCTION("""COMPUTED_VALUE"""),25.0)</f>
        <v>25</v>
      </c>
      <c r="I157" s="16">
        <f>IFERROR(__xludf.DUMMYFUNCTION("""COMPUTED_VALUE"""),2.0)</f>
        <v>2</v>
      </c>
      <c r="J157" s="16">
        <f>IFERROR(__xludf.DUMMYFUNCTION("""COMPUTED_VALUE"""),0.0)</f>
        <v>0</v>
      </c>
      <c r="K157" s="16">
        <f>IFERROR(__xludf.DUMMYFUNCTION("""COMPUTED_VALUE"""),6.0)</f>
        <v>6</v>
      </c>
      <c r="L157" s="16">
        <f>IFERROR(__xludf.DUMMYFUNCTION("""COMPUTED_VALUE"""),0.0)</f>
        <v>0</v>
      </c>
      <c r="M157" s="16">
        <f>IFERROR(__xludf.DUMMYFUNCTION("""COMPUTED_VALUE"""),9.0)</f>
        <v>9</v>
      </c>
      <c r="N157" s="16">
        <f>IFERROR(__xludf.DUMMYFUNCTION("""COMPUTED_VALUE"""),6.0)</f>
        <v>6</v>
      </c>
      <c r="O157" s="16">
        <f>IFERROR(__xludf.DUMMYFUNCTION("""COMPUTED_VALUE"""),0.0)</f>
        <v>0</v>
      </c>
      <c r="P157" s="16">
        <f>IFERROR(__xludf.DUMMYFUNCTION("""COMPUTED_VALUE"""),1.0)</f>
        <v>1</v>
      </c>
      <c r="Q157" s="16">
        <f>IFERROR(__xludf.DUMMYFUNCTION("""COMPUTED_VALUE"""),0.0)</f>
        <v>0</v>
      </c>
      <c r="R157" s="16">
        <f>IFERROR(__xludf.DUMMYFUNCTION("""COMPUTED_VALUE"""),1.0)</f>
        <v>1</v>
      </c>
      <c r="S157" s="16">
        <f>IFERROR(__xludf.DUMMYFUNCTION("""COMPUTED_VALUE"""),13.6)</f>
        <v>13.6</v>
      </c>
      <c r="T157" s="16">
        <f>IFERROR(__xludf.DUMMYFUNCTION("""COMPUTED_VALUE"""),13.1)</f>
        <v>13.1</v>
      </c>
      <c r="U157" s="16">
        <f>IFERROR(__xludf.DUMMYFUNCTION("""COMPUTED_VALUE"""),0.0)</f>
        <v>0</v>
      </c>
      <c r="V157" s="16">
        <f>IFERROR(__xludf.DUMMYFUNCTION("""COMPUTED_VALUE"""),1.0)</f>
        <v>1</v>
      </c>
      <c r="W157" s="16">
        <f>IFERROR(__xludf.DUMMYFUNCTION("""COMPUTED_VALUE"""),0.0)</f>
        <v>0</v>
      </c>
      <c r="X157" s="16">
        <f>IFERROR(__xludf.DUMMYFUNCTION("""COMPUTED_VALUE"""),2.0)</f>
        <v>2</v>
      </c>
      <c r="Y157" s="16">
        <f>IFERROR(__xludf.DUMMYFUNCTION("""COMPUTED_VALUE"""),22.6)</f>
        <v>22.6</v>
      </c>
      <c r="Z157" s="16">
        <f>IFERROR(__xludf.DUMMYFUNCTION("""COMPUTED_VALUE"""),19.0)</f>
        <v>19</v>
      </c>
      <c r="AA157" s="16">
        <f>IFERROR(__xludf.DUMMYFUNCTION("""COMPUTED_VALUE"""),0.0)</f>
        <v>0</v>
      </c>
      <c r="AB157" s="16">
        <f>IFERROR(__xludf.DUMMYFUNCTION("""COMPUTED_VALUE"""),1.0)</f>
        <v>1</v>
      </c>
      <c r="AC157" s="16">
        <f>IFERROR(__xludf.DUMMYFUNCTION("""COMPUTED_VALUE"""),0.0)</f>
        <v>0</v>
      </c>
      <c r="AD157" s="16">
        <f>IFERROR(__xludf.DUMMYFUNCTION("""COMPUTED_VALUE"""),5.0)</f>
        <v>5</v>
      </c>
      <c r="AE157" s="16">
        <f>IFERROR(__xludf.DUMMYFUNCTION("""COMPUTED_VALUE"""),33.6)</f>
        <v>33.6</v>
      </c>
      <c r="AF157" s="16">
        <f>IFERROR(__xludf.DUMMYFUNCTION("""COMPUTED_VALUE"""),31.1)</f>
        <v>31.1</v>
      </c>
      <c r="AG157" s="16">
        <f>IFERROR(__xludf.DUMMYFUNCTION("""COMPUTED_VALUE"""),-1.0)</f>
        <v>-1</v>
      </c>
      <c r="AH157" s="16">
        <f>IFERROR(__xludf.DUMMYFUNCTION("""COMPUTED_VALUE"""),0.0)</f>
        <v>0</v>
      </c>
      <c r="AI157" s="16">
        <f>IFERROR(__xludf.DUMMYFUNCTION("""COMPUTED_VALUE"""),-2.0)</f>
        <v>-2</v>
      </c>
      <c r="AJ157" s="16">
        <f>IFERROR(__xludf.DUMMYFUNCTION("""COMPUTED_VALUE"""),0.0)</f>
        <v>0</v>
      </c>
      <c r="AK157" s="16">
        <f>IFERROR(__xludf.DUMMYFUNCTION("""COMPUTED_VALUE"""),11.399999999999999)</f>
        <v>11.4</v>
      </c>
      <c r="AL157" s="16">
        <f>IFERROR(__xludf.DUMMYFUNCTION("""COMPUTED_VALUE"""),9.7)</f>
        <v>9.7</v>
      </c>
      <c r="AM157" s="16">
        <f>IFERROR(__xludf.DUMMYFUNCTION("""COMPUTED_VALUE"""),0.0)</f>
        <v>0</v>
      </c>
      <c r="AN157" s="16">
        <f>IFERROR(__xludf.DUMMYFUNCTION("""COMPUTED_VALUE"""),1.0)</f>
        <v>1</v>
      </c>
      <c r="AO157" s="16">
        <f>IFERROR(__xludf.DUMMYFUNCTION("""COMPUTED_VALUE"""),0.0)</f>
        <v>0</v>
      </c>
      <c r="AP157" s="16">
        <f>IFERROR(__xludf.DUMMYFUNCTION("""COMPUTED_VALUE"""),1.0)</f>
        <v>1</v>
      </c>
      <c r="AQ157" s="16">
        <f>IFERROR(__xludf.DUMMYFUNCTION("""COMPUTED_VALUE"""),24.8)</f>
        <v>24.8</v>
      </c>
      <c r="AR157" s="16">
        <f>IFERROR(__xludf.DUMMYFUNCTION("""COMPUTED_VALUE"""),17.5)</f>
        <v>17.5</v>
      </c>
      <c r="AS157" s="16">
        <f>IFERROR(__xludf.DUMMYFUNCTION("""COMPUTED_VALUE"""),-1.0)</f>
        <v>-1</v>
      </c>
      <c r="AT157" s="16">
        <f>IFERROR(__xludf.DUMMYFUNCTION("""COMPUTED_VALUE"""),0.0)</f>
        <v>0</v>
      </c>
      <c r="AU157" s="16">
        <f>IFERROR(__xludf.DUMMYFUNCTION("""COMPUTED_VALUE"""),-2.0)</f>
        <v>-2</v>
      </c>
      <c r="AV157" s="16">
        <f>IFERROR(__xludf.DUMMYFUNCTION("""COMPUTED_VALUE"""),0.0)</f>
        <v>0</v>
      </c>
      <c r="AW157" s="16">
        <f>IFERROR(__xludf.DUMMYFUNCTION("""COMPUTED_VALUE"""),2.2)</f>
        <v>2.2</v>
      </c>
      <c r="AX157" s="16">
        <f>IFERROR(__xludf.DUMMYFUNCTION("""COMPUTED_VALUE"""),3.4)</f>
        <v>3.4</v>
      </c>
      <c r="AY157" s="16">
        <f>IFERROR(__xludf.DUMMYFUNCTION("""COMPUTED_VALUE"""),0.0)</f>
        <v>0</v>
      </c>
      <c r="AZ157" s="16">
        <f>IFERROR(__xludf.DUMMYFUNCTION("""COMPUTED_VALUE"""),-1.0)</f>
        <v>-1</v>
      </c>
      <c r="BA157" s="16">
        <f>IFERROR(__xludf.DUMMYFUNCTION("""COMPUTED_VALUE"""),0.0)</f>
        <v>0</v>
      </c>
      <c r="BB157" s="16">
        <f>IFERROR(__xludf.DUMMYFUNCTION("""COMPUTED_VALUE"""),-5.0)</f>
        <v>-5</v>
      </c>
      <c r="BC157" s="16"/>
      <c r="BD157" s="16"/>
      <c r="BE157" s="16">
        <f>IFERROR(__xludf.DUMMYFUNCTION("""COMPUTED_VALUE"""),3.0)</f>
        <v>3</v>
      </c>
      <c r="BF157" s="16">
        <f>IFERROR(__xludf.DUMMYFUNCTION("""COMPUTED_VALUE"""),6.0)</f>
        <v>6</v>
      </c>
      <c r="BG157" s="16">
        <f>IFERROR(__xludf.DUMMYFUNCTION("""COMPUTED_VALUE"""),0.0)</f>
        <v>0</v>
      </c>
      <c r="BH157" s="16">
        <f>IFERROR(__xludf.DUMMYFUNCTION("""COMPUTED_VALUE"""),-2.0)</f>
        <v>-2</v>
      </c>
      <c r="BI157" s="16">
        <f>IFERROR(__xludf.DUMMYFUNCTION("""COMPUTED_VALUE"""),0.0)</f>
        <v>0</v>
      </c>
      <c r="BJ157" s="16">
        <f>IFERROR(__xludf.DUMMYFUNCTION("""COMPUTED_VALUE"""),-4.0)</f>
        <v>-4</v>
      </c>
      <c r="BK157" s="16">
        <f>IFERROR(__xludf.DUMMYFUNCTION("""COMPUTED_VALUE"""),0.0)</f>
        <v>0</v>
      </c>
      <c r="BL157" s="16">
        <f>IFERROR(__xludf.DUMMYFUNCTION("""COMPUTED_VALUE"""),0.0)</f>
        <v>0</v>
      </c>
      <c r="BM157" s="16">
        <f>IFERROR(__xludf.DUMMYFUNCTION("""COMPUTED_VALUE"""),1.0)</f>
        <v>1</v>
      </c>
      <c r="BN157" s="16">
        <f>IFERROR(__xludf.DUMMYFUNCTION("""COMPUTED_VALUE"""),1.0)</f>
        <v>1</v>
      </c>
      <c r="BO157" s="16">
        <f>IFERROR(__xludf.DUMMYFUNCTION("""COMPUTED_VALUE"""),1.0)</f>
        <v>1</v>
      </c>
      <c r="BP157" s="16">
        <f>IFERROR(__xludf.DUMMYFUNCTION("""COMPUTED_VALUE"""),1.0)</f>
        <v>1</v>
      </c>
      <c r="BQ157" s="16">
        <f>IFERROR(__xludf.DUMMYFUNCTION("""COMPUTED_VALUE"""),9.0)</f>
        <v>9</v>
      </c>
      <c r="BR157" s="16">
        <f>IFERROR(__xludf.DUMMYFUNCTION("""COMPUTED_VALUE"""),9.0)</f>
        <v>9</v>
      </c>
      <c r="BS157" s="16">
        <f>IFERROR(__xludf.DUMMYFUNCTION("""COMPUTED_VALUE"""),3.0)</f>
        <v>3</v>
      </c>
      <c r="BT157" s="16">
        <f>IFERROR(__xludf.DUMMYFUNCTION("""COMPUTED_VALUE"""),3.0)</f>
        <v>3</v>
      </c>
      <c r="BU157" s="16">
        <f>IFERROR(__xludf.DUMMYFUNCTION("""COMPUTED_VALUE"""),6.0)</f>
        <v>6</v>
      </c>
      <c r="BV157" s="16">
        <f>IFERROR(__xludf.DUMMYFUNCTION("""COMPUTED_VALUE"""),6.0)</f>
        <v>6</v>
      </c>
      <c r="BW157" s="16">
        <f>IFERROR(__xludf.DUMMYFUNCTION("""COMPUTED_VALUE"""),-5.0)</f>
        <v>-5</v>
      </c>
      <c r="BX157" s="16">
        <f>IFERROR(__xludf.DUMMYFUNCTION("""COMPUTED_VALUE"""),-5.0)</f>
        <v>-5</v>
      </c>
      <c r="BY157" s="16" t="str">
        <f>IFERROR(__xludf.DUMMYFUNCTION("""COMPUTED_VALUE"""),"S(5)")</f>
        <v>S(5)</v>
      </c>
      <c r="BZ157" s="16" t="str">
        <f>IFERROR(__xludf.DUMMYFUNCTION("""COMPUTED_VALUE"""),"S(5)")</f>
        <v>S(5)</v>
      </c>
      <c r="CA157" s="16" t="str">
        <f>IFERROR(__xludf.DUMMYFUNCTION("""COMPUTED_VALUE"""),"S(5)")</f>
        <v>S(5)</v>
      </c>
      <c r="CB157" s="16"/>
      <c r="CC157" s="16"/>
      <c r="CD157" s="16">
        <f>IFERROR(__xludf.DUMMYFUNCTION("""COMPUTED_VALUE"""),5.0)</f>
        <v>5</v>
      </c>
      <c r="CE157" s="16"/>
      <c r="CF157" s="16"/>
      <c r="CG157" s="16" t="str">
        <f>IFERROR(__xludf.DUMMYFUNCTION("""COMPUTED_VALUE"""),"3-12")</f>
        <v>3-12</v>
      </c>
      <c r="CH157" s="16">
        <f>IFERROR(__xludf.DUMMYFUNCTION("""COMPUTED_VALUE"""),3.0)</f>
        <v>3</v>
      </c>
      <c r="CI157" s="16">
        <f>IFERROR(__xludf.DUMMYFUNCTION("""COMPUTED_VALUE"""),12.0)</f>
        <v>12</v>
      </c>
      <c r="CJ157" s="16">
        <f>IFERROR(__xludf.DUMMYFUNCTION("""COMPUTED_VALUE"""),0.0)</f>
        <v>0</v>
      </c>
      <c r="CK157" s="16">
        <f>IFERROR(__xludf.DUMMYFUNCTION("""COMPUTED_VALUE"""),5.0)</f>
        <v>5</v>
      </c>
      <c r="CL157" s="16" t="str">
        <f>IFERROR(__xludf.DUMMYFUNCTION("""COMPUTED_VALUE"""),"1WL-C")</f>
        <v>1WL-C</v>
      </c>
      <c r="CM157" s="16" t="str">
        <f>IFERROR(__xludf.DUMMYFUNCTION("""COMPUTED_VALUE"""),"E")</f>
        <v>E</v>
      </c>
      <c r="CN157" s="16">
        <f>IFERROR(__xludf.DUMMYFUNCTION("""COMPUTED_VALUE"""),10.0)</f>
        <v>10</v>
      </c>
      <c r="CO157" s="16" t="str">
        <f>IFERROR(__xludf.DUMMYFUNCTION("""COMPUTED_VALUE"""),"C")</f>
        <v>C</v>
      </c>
      <c r="CP157" s="16" t="str">
        <f>IFERROR(__xludf.DUMMYFUNCTION("""COMPUTED_VALUE"""),"2p65")</f>
        <v>2p65</v>
      </c>
      <c r="CQ157" s="16">
        <f>IFERROR(__xludf.DUMMYFUNCTION("""COMPUTED_VALUE"""),9.0)</f>
        <v>9</v>
      </c>
      <c r="CR157" s="16">
        <f>IFERROR(__xludf.DUMMYFUNCTION("""COMPUTED_VALUE"""),7.0)</f>
        <v>7</v>
      </c>
      <c r="CS157" s="16">
        <f>IFERROR(__xludf.DUMMYFUNCTION("""COMPUTED_VALUE"""),16.0)</f>
        <v>16</v>
      </c>
      <c r="CT157" s="16">
        <f>IFERROR(__xludf.DUMMYFUNCTION("""COMPUTED_VALUE"""),9.0)</f>
        <v>9</v>
      </c>
      <c r="CU157" s="16">
        <f>IFERROR(__xludf.DUMMYFUNCTION("""COMPUTED_VALUE"""),7.0)</f>
        <v>7</v>
      </c>
      <c r="CV157" s="179">
        <f>IFERROR(__xludf.DUMMYFUNCTION("""COMPUTED_VALUE"""),12.666666666666668)</f>
        <v>12.66666667</v>
      </c>
      <c r="CW157" s="179">
        <f>IFERROR(__xludf.DUMMYFUNCTION("""COMPUTED_VALUE"""),3.0)</f>
        <v>3</v>
      </c>
      <c r="CX157" s="179">
        <f>IFERROR(__xludf.DUMMYFUNCTION("""COMPUTED_VALUE"""),2.0)</f>
        <v>2</v>
      </c>
      <c r="CY157" s="16" t="str">
        <f>IFERROR(__xludf.DUMMYFUNCTION("""COMPUTED_VALUE"""),"SP")</f>
        <v>SP</v>
      </c>
      <c r="CZ157" s="16"/>
      <c r="DA157" s="16"/>
      <c r="DB157" s="16"/>
      <c r="DC157" s="16"/>
      <c r="DD157" s="16"/>
      <c r="DE157" s="16"/>
      <c r="DF157" s="16"/>
      <c r="DG157" s="16"/>
      <c r="DH157" s="16"/>
      <c r="DI157" s="16"/>
      <c r="DJ157" s="16"/>
      <c r="DK157" s="16"/>
    </row>
    <row r="158">
      <c r="A158" s="16">
        <f>IFERROR(__xludf.DUMMYFUNCTION("""COMPUTED_VALUE"""),13404.0)</f>
        <v>13404</v>
      </c>
      <c r="B158" s="16" t="str">
        <f>IFERROR(__xludf.DUMMYFUNCTION("""COMPUTED_VALUE"""),"Tayler Saucedo")</f>
        <v>Tayler Saucedo</v>
      </c>
      <c r="C158" s="153">
        <f>IFERROR(__xludf.DUMMYFUNCTION("""COMPUTED_VALUE"""),0.3)</f>
        <v>0.3</v>
      </c>
      <c r="D158" s="16"/>
      <c r="E158" s="16" t="str">
        <f>IFERROR(__xludf.DUMMYFUNCTION("""COMPUTED_VALUE"""),"L")</f>
        <v>L</v>
      </c>
      <c r="F158" s="16">
        <f>IFERROR(__xludf.DUMMYFUNCTION("""COMPUTED_VALUE"""),39.0)</f>
        <v>39</v>
      </c>
      <c r="G158" s="16">
        <f>IFERROR(__xludf.DUMMYFUNCTION("""COMPUTED_VALUE"""),29.0)</f>
        <v>29</v>
      </c>
      <c r="H158" s="16">
        <f>IFERROR(__xludf.DUMMYFUNCTION("""COMPUTED_VALUE"""),23.0)</f>
        <v>23</v>
      </c>
      <c r="I158" s="16">
        <f>IFERROR(__xludf.DUMMYFUNCTION("""COMPUTED_VALUE"""),0.0)</f>
        <v>0</v>
      </c>
      <c r="J158" s="16">
        <f>IFERROR(__xludf.DUMMYFUNCTION("""COMPUTED_VALUE"""),-1.0)</f>
        <v>-1</v>
      </c>
      <c r="K158" s="16">
        <f>IFERROR(__xludf.DUMMYFUNCTION("""COMPUTED_VALUE"""),0.0)</f>
        <v>0</v>
      </c>
      <c r="L158" s="16">
        <f>IFERROR(__xludf.DUMMYFUNCTION("""COMPUTED_VALUE"""),-3.0)</f>
        <v>-3</v>
      </c>
      <c r="M158" s="16">
        <f>IFERROR(__xludf.DUMMYFUNCTION("""COMPUTED_VALUE"""),14.0)</f>
        <v>14</v>
      </c>
      <c r="N158" s="16">
        <f>IFERROR(__xludf.DUMMYFUNCTION("""COMPUTED_VALUE"""),9.0)</f>
        <v>9</v>
      </c>
      <c r="O158" s="16">
        <f>IFERROR(__xludf.DUMMYFUNCTION("""COMPUTED_VALUE"""),-2.0)</f>
        <v>-2</v>
      </c>
      <c r="P158" s="16">
        <f>IFERROR(__xludf.DUMMYFUNCTION("""COMPUTED_VALUE"""),0.0)</f>
        <v>0</v>
      </c>
      <c r="Q158" s="16">
        <f>IFERROR(__xludf.DUMMYFUNCTION("""COMPUTED_VALUE"""),-2.0)</f>
        <v>-2</v>
      </c>
      <c r="R158" s="16">
        <f>IFERROR(__xludf.DUMMYFUNCTION("""COMPUTED_VALUE"""),0.0)</f>
        <v>0</v>
      </c>
      <c r="S158" s="16">
        <f>IFERROR(__xludf.DUMMYFUNCTION("""COMPUTED_VALUE"""),8.6)</f>
        <v>8.6</v>
      </c>
      <c r="T158" s="16">
        <f>IFERROR(__xludf.DUMMYFUNCTION("""COMPUTED_VALUE"""),23.5)</f>
        <v>23.5</v>
      </c>
      <c r="U158" s="16">
        <f>IFERROR(__xludf.DUMMYFUNCTION("""COMPUTED_VALUE"""),1.0)</f>
        <v>1</v>
      </c>
      <c r="V158" s="16">
        <f>IFERROR(__xludf.DUMMYFUNCTION("""COMPUTED_VALUE"""),-1.0)</f>
        <v>-1</v>
      </c>
      <c r="W158" s="16">
        <f>IFERROR(__xludf.DUMMYFUNCTION("""COMPUTED_VALUE"""),2.0)</f>
        <v>2</v>
      </c>
      <c r="X158" s="16">
        <f>IFERROR(__xludf.DUMMYFUNCTION("""COMPUTED_VALUE"""),-2.0)</f>
        <v>-2</v>
      </c>
      <c r="Y158" s="16">
        <f>IFERROR(__xludf.DUMMYFUNCTION("""COMPUTED_VALUE"""),22.6)</f>
        <v>22.6</v>
      </c>
      <c r="Z158" s="16">
        <f>IFERROR(__xludf.DUMMYFUNCTION("""COMPUTED_VALUE"""),32.5)</f>
        <v>32.5</v>
      </c>
      <c r="AA158" s="16">
        <f>IFERROR(__xludf.DUMMYFUNCTION("""COMPUTED_VALUE"""),0.0)</f>
        <v>0</v>
      </c>
      <c r="AB158" s="16">
        <f>IFERROR(__xludf.DUMMYFUNCTION("""COMPUTED_VALUE"""),-1.0)</f>
        <v>-1</v>
      </c>
      <c r="AC158" s="16">
        <f>IFERROR(__xludf.DUMMYFUNCTION("""COMPUTED_VALUE"""),0.0)</f>
        <v>0</v>
      </c>
      <c r="AD158" s="16">
        <f>IFERROR(__xludf.DUMMYFUNCTION("""COMPUTED_VALUE"""),-5.0)</f>
        <v>-5</v>
      </c>
      <c r="AE158" s="16">
        <f>IFERROR(__xludf.DUMMYFUNCTION("""COMPUTED_VALUE"""),14.9)</f>
        <v>14.9</v>
      </c>
      <c r="AF158" s="16">
        <f>IFERROR(__xludf.DUMMYFUNCTION("""COMPUTED_VALUE"""),32.5)</f>
        <v>32.5</v>
      </c>
      <c r="AG158" s="16">
        <f>IFERROR(__xludf.DUMMYFUNCTION("""COMPUTED_VALUE"""),1.0)</f>
        <v>1</v>
      </c>
      <c r="AH158" s="16">
        <f>IFERROR(__xludf.DUMMYFUNCTION("""COMPUTED_VALUE"""),0.0)</f>
        <v>0</v>
      </c>
      <c r="AI158" s="16">
        <f>IFERROR(__xludf.DUMMYFUNCTION("""COMPUTED_VALUE"""),2.0)</f>
        <v>2</v>
      </c>
      <c r="AJ158" s="16">
        <f>IFERROR(__xludf.DUMMYFUNCTION("""COMPUTED_VALUE"""),0.0)</f>
        <v>0</v>
      </c>
      <c r="AK158" s="16">
        <f>IFERROR(__xludf.DUMMYFUNCTION("""COMPUTED_VALUE"""),8.6)</f>
        <v>8.6</v>
      </c>
      <c r="AL158" s="16">
        <f>IFERROR(__xludf.DUMMYFUNCTION("""COMPUTED_VALUE"""),22.1)</f>
        <v>22.1</v>
      </c>
      <c r="AM158" s="16">
        <f>IFERROR(__xludf.DUMMYFUNCTION("""COMPUTED_VALUE"""),1.0)</f>
        <v>1</v>
      </c>
      <c r="AN158" s="16">
        <f>IFERROR(__xludf.DUMMYFUNCTION("""COMPUTED_VALUE"""),-2.0)</f>
        <v>-2</v>
      </c>
      <c r="AO158" s="16">
        <f>IFERROR(__xludf.DUMMYFUNCTION("""COMPUTED_VALUE"""),1.0)</f>
        <v>1</v>
      </c>
      <c r="AP158" s="16">
        <f>IFERROR(__xludf.DUMMYFUNCTION("""COMPUTED_VALUE"""),-2.0)</f>
        <v>-2</v>
      </c>
      <c r="AQ158" s="16">
        <f>IFERROR(__xludf.DUMMYFUNCTION("""COMPUTED_VALUE"""),14.9)</f>
        <v>14.9</v>
      </c>
      <c r="AR158" s="16">
        <f>IFERROR(__xludf.DUMMYFUNCTION("""COMPUTED_VALUE"""),26.9)</f>
        <v>26.9</v>
      </c>
      <c r="AS158" s="16">
        <f>IFERROR(__xludf.DUMMYFUNCTION("""COMPUTED_VALUE"""),1.0)</f>
        <v>1</v>
      </c>
      <c r="AT158" s="16">
        <f>IFERROR(__xludf.DUMMYFUNCTION("""COMPUTED_VALUE"""),-1.0)</f>
        <v>-1</v>
      </c>
      <c r="AU158" s="16">
        <f>IFERROR(__xludf.DUMMYFUNCTION("""COMPUTED_VALUE"""),2.0)</f>
        <v>2</v>
      </c>
      <c r="AV158" s="16">
        <f>IFERROR(__xludf.DUMMYFUNCTION("""COMPUTED_VALUE"""),-2.0)</f>
        <v>-2</v>
      </c>
      <c r="AW158" s="16">
        <f>IFERROR(__xludf.DUMMYFUNCTION("""COMPUTED_VALUE"""),0.0)</f>
        <v>0</v>
      </c>
      <c r="AX158" s="16">
        <f>IFERROR(__xludf.DUMMYFUNCTION("""COMPUTED_VALUE"""),1.4)</f>
        <v>1.4</v>
      </c>
      <c r="AY158" s="16">
        <f>IFERROR(__xludf.DUMMYFUNCTION("""COMPUTED_VALUE"""),2.0)</f>
        <v>2</v>
      </c>
      <c r="AZ158" s="16">
        <f>IFERROR(__xludf.DUMMYFUNCTION("""COMPUTED_VALUE"""),1.0)</f>
        <v>1</v>
      </c>
      <c r="BA158" s="16">
        <f>IFERROR(__xludf.DUMMYFUNCTION("""COMPUTED_VALUE"""),10.0)</f>
        <v>10</v>
      </c>
      <c r="BB158" s="16">
        <f>IFERROR(__xludf.DUMMYFUNCTION("""COMPUTED_VALUE"""),5.0)</f>
        <v>5</v>
      </c>
      <c r="BC158" s="16">
        <f>IFERROR(__xludf.DUMMYFUNCTION("""COMPUTED_VALUE"""),0.0)</f>
        <v>0</v>
      </c>
      <c r="BD158" s="16">
        <f>IFERROR(__xludf.DUMMYFUNCTION("""COMPUTED_VALUE"""),1.0)</f>
        <v>1</v>
      </c>
      <c r="BE158" s="16">
        <f>IFERROR(__xludf.DUMMYFUNCTION("""COMPUTED_VALUE"""),0.0)</f>
        <v>0</v>
      </c>
      <c r="BF158" s="16">
        <f>IFERROR(__xludf.DUMMYFUNCTION("""COMPUTED_VALUE"""),1.0)</f>
        <v>1</v>
      </c>
      <c r="BG158" s="16">
        <f>IFERROR(__xludf.DUMMYFUNCTION("""COMPUTED_VALUE"""),3.0)</f>
        <v>3</v>
      </c>
      <c r="BH158" s="16">
        <f>IFERROR(__xludf.DUMMYFUNCTION("""COMPUTED_VALUE"""),2.0)</f>
        <v>2</v>
      </c>
      <c r="BI158" s="16">
        <f>IFERROR(__xludf.DUMMYFUNCTION("""COMPUTED_VALUE"""),6.0)</f>
        <v>6</v>
      </c>
      <c r="BJ158" s="16">
        <f>IFERROR(__xludf.DUMMYFUNCTION("""COMPUTED_VALUE"""),4.0)</f>
        <v>4</v>
      </c>
      <c r="BK158" s="16">
        <f>IFERROR(__xludf.DUMMYFUNCTION("""COMPUTED_VALUE"""),5.0)</f>
        <v>5</v>
      </c>
      <c r="BL158" s="16">
        <f>IFERROR(__xludf.DUMMYFUNCTION("""COMPUTED_VALUE"""),5.0)</f>
        <v>5</v>
      </c>
      <c r="BM158" s="16">
        <f>IFERROR(__xludf.DUMMYFUNCTION("""COMPUTED_VALUE"""),0.0)</f>
        <v>0</v>
      </c>
      <c r="BN158" s="16">
        <f>IFERROR(__xludf.DUMMYFUNCTION("""COMPUTED_VALUE"""),0.0)</f>
        <v>0</v>
      </c>
      <c r="BO158" s="16">
        <f>IFERROR(__xludf.DUMMYFUNCTION("""COMPUTED_VALUE"""),0.0)</f>
        <v>0</v>
      </c>
      <c r="BP158" s="16">
        <f>IFERROR(__xludf.DUMMYFUNCTION("""COMPUTED_VALUE"""),0.0)</f>
        <v>0</v>
      </c>
      <c r="BQ158" s="16">
        <f>IFERROR(__xludf.DUMMYFUNCTION("""COMPUTED_VALUE"""),8.0)</f>
        <v>8</v>
      </c>
      <c r="BR158" s="16">
        <f>IFERROR(__xludf.DUMMYFUNCTION("""COMPUTED_VALUE"""),8.0)</f>
        <v>8</v>
      </c>
      <c r="BS158" s="16">
        <f>IFERROR(__xludf.DUMMYFUNCTION("""COMPUTED_VALUE"""),2.0)</f>
        <v>2</v>
      </c>
      <c r="BT158" s="16">
        <f>IFERROR(__xludf.DUMMYFUNCTION("""COMPUTED_VALUE"""),2.0)</f>
        <v>2</v>
      </c>
      <c r="BU158" s="16">
        <f>IFERROR(__xludf.DUMMYFUNCTION("""COMPUTED_VALUE"""),4.0)</f>
        <v>4</v>
      </c>
      <c r="BV158" s="16">
        <f>IFERROR(__xludf.DUMMYFUNCTION("""COMPUTED_VALUE"""),4.0)</f>
        <v>4</v>
      </c>
      <c r="BW158" s="16">
        <f>IFERROR(__xludf.DUMMYFUNCTION("""COMPUTED_VALUE"""),7.0)</f>
        <v>7</v>
      </c>
      <c r="BX158" s="16">
        <f>IFERROR(__xludf.DUMMYFUNCTION("""COMPUTED_VALUE"""),7.0)</f>
        <v>7</v>
      </c>
      <c r="BY158" s="16" t="str">
        <f>IFERROR(__xludf.DUMMYFUNCTION("""COMPUTED_VALUE"""),"R(1) C(2)")</f>
        <v>R(1) C(2)</v>
      </c>
      <c r="BZ158" s="16" t="str">
        <f>IFERROR(__xludf.DUMMYFUNCTION("""COMPUTED_VALUE"""),"R(1) C(2)")</f>
        <v>R(1) C(2)</v>
      </c>
      <c r="CA158" s="16" t="str">
        <f>IFERROR(__xludf.DUMMYFUNCTION("""COMPUTED_VALUE"""),"R(1)")</f>
        <v>R(1)</v>
      </c>
      <c r="CB158" s="16" t="str">
        <f>IFERROR(__xludf.DUMMYFUNCTION("""COMPUTED_VALUE"""),"C(2)")</f>
        <v>C(2)</v>
      </c>
      <c r="CC158" s="16"/>
      <c r="CD158" s="16"/>
      <c r="CE158" s="16">
        <f>IFERROR(__xludf.DUMMYFUNCTION("""COMPUTED_VALUE"""),1.0)</f>
        <v>1</v>
      </c>
      <c r="CF158" s="16">
        <f>IFERROR(__xludf.DUMMYFUNCTION("""COMPUTED_VALUE"""),2.0)</f>
        <v>2</v>
      </c>
      <c r="CG158" s="16" t="str">
        <f>IFERROR(__xludf.DUMMYFUNCTION("""COMPUTED_VALUE"""),"2-38")</f>
        <v>2-38</v>
      </c>
      <c r="CH158" s="16">
        <f>IFERROR(__xludf.DUMMYFUNCTION("""COMPUTED_VALUE"""),2.0)</f>
        <v>2</v>
      </c>
      <c r="CI158" s="16">
        <f>IFERROR(__xludf.DUMMYFUNCTION("""COMPUTED_VALUE"""),38.0)</f>
        <v>38</v>
      </c>
      <c r="CJ158" s="16">
        <f>IFERROR(__xludf.DUMMYFUNCTION("""COMPUTED_VALUE"""),0.0)</f>
        <v>0</v>
      </c>
      <c r="CK158" s="16">
        <f>IFERROR(__xludf.DUMMYFUNCTION("""COMPUTED_VALUE"""),5.0)</f>
        <v>5</v>
      </c>
      <c r="CL158" s="16" t="str">
        <f>IFERROR(__xludf.DUMMYFUNCTION("""COMPUTED_VALUE"""),"1WL-C")</f>
        <v>1WL-C</v>
      </c>
      <c r="CM158" s="16" t="str">
        <f>IFERROR(__xludf.DUMMYFUNCTION("""COMPUTED_VALUE"""),"E")</f>
        <v>E</v>
      </c>
      <c r="CN158" s="16">
        <f>IFERROR(__xludf.DUMMYFUNCTION("""COMPUTED_VALUE"""),10.0)</f>
        <v>10</v>
      </c>
      <c r="CO158" s="16" t="str">
        <f>IFERROR(__xludf.DUMMYFUNCTION("""COMPUTED_VALUE"""),"C")</f>
        <v>C</v>
      </c>
      <c r="CP158" s="16" t="str">
        <f>IFERROR(__xludf.DUMMYFUNCTION("""COMPUTED_VALUE"""),"2p30")</f>
        <v>2p30</v>
      </c>
      <c r="CQ158" s="16">
        <f>IFERROR(__xludf.DUMMYFUNCTION("""COMPUTED_VALUE"""),25.0)</f>
        <v>25</v>
      </c>
      <c r="CR158" s="16">
        <f>IFERROR(__xludf.DUMMYFUNCTION("""COMPUTED_VALUE"""),-1.0)</f>
        <v>-1</v>
      </c>
      <c r="CS158" s="16">
        <f>IFERROR(__xludf.DUMMYFUNCTION("""COMPUTED_VALUE"""),24.0)</f>
        <v>24</v>
      </c>
      <c r="CT158" s="16">
        <f>IFERROR(__xludf.DUMMYFUNCTION("""COMPUTED_VALUE"""),25.0)</f>
        <v>25</v>
      </c>
      <c r="CU158" s="16">
        <f>IFERROR(__xludf.DUMMYFUNCTION("""COMPUTED_VALUE"""),-1.0)</f>
        <v>-1</v>
      </c>
      <c r="CV158" s="179">
        <f>IFERROR(__xludf.DUMMYFUNCTION("""COMPUTED_VALUE"""),12.666666666666668)</f>
        <v>12.66666667</v>
      </c>
      <c r="CW158" s="179">
        <f>IFERROR(__xludf.DUMMYFUNCTION("""COMPUTED_VALUE"""),3.0)</f>
        <v>3</v>
      </c>
      <c r="CX158" s="179">
        <f>IFERROR(__xludf.DUMMYFUNCTION("""COMPUTED_VALUE"""),2.0)</f>
        <v>2</v>
      </c>
      <c r="CY158" s="16" t="str">
        <f>IFERROR(__xludf.DUMMYFUNCTION("""COMPUTED_VALUE"""),"RP")</f>
        <v>RP</v>
      </c>
      <c r="CZ158" s="16" t="str">
        <f>IFERROR(__xludf.DUMMYFUNCTION("""COMPUTED_VALUE"""),"CP")</f>
        <v>CP</v>
      </c>
      <c r="DA158" s="16"/>
      <c r="DB158" s="16"/>
      <c r="DC158" s="16"/>
      <c r="DD158" s="16"/>
      <c r="DE158" s="16"/>
      <c r="DF158" s="16"/>
      <c r="DG158" s="16"/>
      <c r="DH158" s="16"/>
      <c r="DI158" s="16"/>
      <c r="DJ158" s="16"/>
      <c r="DK158" s="16"/>
    </row>
    <row r="159">
      <c r="A159" s="16">
        <f>IFERROR(__xludf.DUMMYFUNCTION("""COMPUTED_VALUE"""),13228.0)</f>
        <v>13228</v>
      </c>
      <c r="B159" s="16" t="str">
        <f>IFERROR(__xludf.DUMMYFUNCTION("""COMPUTED_VALUE"""),"Nathan Eovaldi")</f>
        <v>Nathan Eovaldi</v>
      </c>
      <c r="C159" s="153">
        <f>IFERROR(__xludf.DUMMYFUNCTION("""COMPUTED_VALUE"""),1.21)</f>
        <v>1.21</v>
      </c>
      <c r="D159" s="16"/>
      <c r="E159" s="16" t="str">
        <f>IFERROR(__xludf.DUMMYFUNCTION("""COMPUTED_VALUE"""),"R")</f>
        <v>R</v>
      </c>
      <c r="F159" s="16">
        <f>IFERROR(__xludf.DUMMYFUNCTION("""COMPUTED_VALUE"""),171.0)</f>
        <v>171</v>
      </c>
      <c r="G159" s="16">
        <f>IFERROR(__xludf.DUMMYFUNCTION("""COMPUTED_VALUE"""),26.0)</f>
        <v>26</v>
      </c>
      <c r="H159" s="16">
        <f>IFERROR(__xludf.DUMMYFUNCTION("""COMPUTED_VALUE"""),29.0)</f>
        <v>29</v>
      </c>
      <c r="I159" s="16">
        <f>IFERROR(__xludf.DUMMYFUNCTION("""COMPUTED_VALUE"""),0.0)</f>
        <v>0</v>
      </c>
      <c r="J159" s="16">
        <f>IFERROR(__xludf.DUMMYFUNCTION("""COMPUTED_VALUE"""),0.0)</f>
        <v>0</v>
      </c>
      <c r="K159" s="16">
        <f>IFERROR(__xludf.DUMMYFUNCTION("""COMPUTED_VALUE"""),0.0)</f>
        <v>0</v>
      </c>
      <c r="L159" s="16">
        <f>IFERROR(__xludf.DUMMYFUNCTION("""COMPUTED_VALUE"""),0.0)</f>
        <v>0</v>
      </c>
      <c r="M159" s="16">
        <f>IFERROR(__xludf.DUMMYFUNCTION("""COMPUTED_VALUE"""),3.0)</f>
        <v>3</v>
      </c>
      <c r="N159" s="16">
        <f>IFERROR(__xludf.DUMMYFUNCTION("""COMPUTED_VALUE"""),6.0)</f>
        <v>6</v>
      </c>
      <c r="O159" s="16">
        <f>IFERROR(__xludf.DUMMYFUNCTION("""COMPUTED_VALUE"""),2.0)</f>
        <v>2</v>
      </c>
      <c r="P159" s="16">
        <f>IFERROR(__xludf.DUMMYFUNCTION("""COMPUTED_VALUE"""),1.0)</f>
        <v>1</v>
      </c>
      <c r="Q159" s="16">
        <f>IFERROR(__xludf.DUMMYFUNCTION("""COMPUTED_VALUE"""),2.0)</f>
        <v>2</v>
      </c>
      <c r="R159" s="16">
        <f>IFERROR(__xludf.DUMMYFUNCTION("""COMPUTED_VALUE"""),1.0)</f>
        <v>1</v>
      </c>
      <c r="S159" s="16">
        <f>IFERROR(__xludf.DUMMYFUNCTION("""COMPUTED_VALUE"""),19.0)</f>
        <v>19</v>
      </c>
      <c r="T159" s="16">
        <f>IFERROR(__xludf.DUMMYFUNCTION("""COMPUTED_VALUE"""),12.1)</f>
        <v>12.1</v>
      </c>
      <c r="U159" s="16">
        <f>IFERROR(__xludf.DUMMYFUNCTION("""COMPUTED_VALUE"""),-1.0)</f>
        <v>-1</v>
      </c>
      <c r="V159" s="16">
        <f>IFERROR(__xludf.DUMMYFUNCTION("""COMPUTED_VALUE"""),1.0)</f>
        <v>1</v>
      </c>
      <c r="W159" s="16">
        <f>IFERROR(__xludf.DUMMYFUNCTION("""COMPUTED_VALUE"""),-2.0)</f>
        <v>-2</v>
      </c>
      <c r="X159" s="16">
        <f>IFERROR(__xludf.DUMMYFUNCTION("""COMPUTED_VALUE"""),2.0)</f>
        <v>2</v>
      </c>
      <c r="Y159" s="16">
        <f>IFERROR(__xludf.DUMMYFUNCTION("""COMPUTED_VALUE"""),22.0)</f>
        <v>22</v>
      </c>
      <c r="Z159" s="16">
        <f>IFERROR(__xludf.DUMMYFUNCTION("""COMPUTED_VALUE"""),18.1)</f>
        <v>18.1</v>
      </c>
      <c r="AA159" s="16">
        <f>IFERROR(__xludf.DUMMYFUNCTION("""COMPUTED_VALUE"""),1.0)</f>
        <v>1</v>
      </c>
      <c r="AB159" s="16">
        <f>IFERROR(__xludf.DUMMYFUNCTION("""COMPUTED_VALUE"""),1.0)</f>
        <v>1</v>
      </c>
      <c r="AC159" s="16">
        <f>IFERROR(__xludf.DUMMYFUNCTION("""COMPUTED_VALUE"""),5.0)</f>
        <v>5</v>
      </c>
      <c r="AD159" s="16">
        <f>IFERROR(__xludf.DUMMYFUNCTION("""COMPUTED_VALUE"""),5.0)</f>
        <v>5</v>
      </c>
      <c r="AE159" s="16">
        <f>IFERROR(__xludf.DUMMYFUNCTION("""COMPUTED_VALUE"""),34.3)</f>
        <v>34.3</v>
      </c>
      <c r="AF159" s="16">
        <f>IFERROR(__xludf.DUMMYFUNCTION("""COMPUTED_VALUE"""),20.6)</f>
        <v>20.6</v>
      </c>
      <c r="AG159" s="16">
        <f>IFERROR(__xludf.DUMMYFUNCTION("""COMPUTED_VALUE"""),-1.0)</f>
        <v>-1</v>
      </c>
      <c r="AH159" s="16">
        <f>IFERROR(__xludf.DUMMYFUNCTION("""COMPUTED_VALUE"""),1.0)</f>
        <v>1</v>
      </c>
      <c r="AI159" s="16">
        <f>IFERROR(__xludf.DUMMYFUNCTION("""COMPUTED_VALUE"""),-2.0)</f>
        <v>-2</v>
      </c>
      <c r="AJ159" s="16">
        <f>IFERROR(__xludf.DUMMYFUNCTION("""COMPUTED_VALUE"""),2.0)</f>
        <v>2</v>
      </c>
      <c r="AK159" s="16">
        <f>IFERROR(__xludf.DUMMYFUNCTION("""COMPUTED_VALUE"""),16.6)</f>
        <v>16.6</v>
      </c>
      <c r="AL159" s="16">
        <f>IFERROR(__xludf.DUMMYFUNCTION("""COMPUTED_VALUE"""),10.1)</f>
        <v>10.1</v>
      </c>
      <c r="AM159" s="16">
        <f>IFERROR(__xludf.DUMMYFUNCTION("""COMPUTED_VALUE"""),-1.0)</f>
        <v>-1</v>
      </c>
      <c r="AN159" s="16">
        <f>IFERROR(__xludf.DUMMYFUNCTION("""COMPUTED_VALUE"""),1.0)</f>
        <v>1</v>
      </c>
      <c r="AO159" s="16">
        <f>IFERROR(__xludf.DUMMYFUNCTION("""COMPUTED_VALUE"""),-1.0)</f>
        <v>-1</v>
      </c>
      <c r="AP159" s="16">
        <f>IFERROR(__xludf.DUMMYFUNCTION("""COMPUTED_VALUE"""),1.0)</f>
        <v>1</v>
      </c>
      <c r="AQ159" s="16">
        <f>IFERROR(__xludf.DUMMYFUNCTION("""COMPUTED_VALUE"""),24.699999999999996)</f>
        <v>24.7</v>
      </c>
      <c r="AR159" s="16">
        <f>IFERROR(__xludf.DUMMYFUNCTION("""COMPUTED_VALUE"""),12.600000000000001)</f>
        <v>12.6</v>
      </c>
      <c r="AS159" s="16">
        <f>IFERROR(__xludf.DUMMYFUNCTION("""COMPUTED_VALUE"""),-1.0)</f>
        <v>-1</v>
      </c>
      <c r="AT159" s="16">
        <f>IFERROR(__xludf.DUMMYFUNCTION("""COMPUTED_VALUE"""),1.0)</f>
        <v>1</v>
      </c>
      <c r="AU159" s="16">
        <f>IFERROR(__xludf.DUMMYFUNCTION("""COMPUTED_VALUE"""),-2.0)</f>
        <v>-2</v>
      </c>
      <c r="AV159" s="16">
        <f>IFERROR(__xludf.DUMMYFUNCTION("""COMPUTED_VALUE"""),2.0)</f>
        <v>2</v>
      </c>
      <c r="AW159" s="16">
        <f>IFERROR(__xludf.DUMMYFUNCTION("""COMPUTED_VALUE"""),2.4)</f>
        <v>2.4</v>
      </c>
      <c r="AX159" s="16">
        <f>IFERROR(__xludf.DUMMYFUNCTION("""COMPUTED_VALUE"""),2.0)</f>
        <v>2</v>
      </c>
      <c r="AY159" s="16">
        <f>IFERROR(__xludf.DUMMYFUNCTION("""COMPUTED_VALUE"""),0.0)</f>
        <v>0</v>
      </c>
      <c r="AZ159" s="16">
        <f>IFERROR(__xludf.DUMMYFUNCTION("""COMPUTED_VALUE"""),0.0)</f>
        <v>0</v>
      </c>
      <c r="BA159" s="16">
        <f>IFERROR(__xludf.DUMMYFUNCTION("""COMPUTED_VALUE"""),0.0)</f>
        <v>0</v>
      </c>
      <c r="BB159" s="16">
        <f>IFERROR(__xludf.DUMMYFUNCTION("""COMPUTED_VALUE"""),0.0)</f>
        <v>0</v>
      </c>
      <c r="BC159" s="16">
        <f>IFERROR(__xludf.DUMMYFUNCTION("""COMPUTED_VALUE"""),3.0)</f>
        <v>3</v>
      </c>
      <c r="BD159" s="16">
        <f>IFERROR(__xludf.DUMMYFUNCTION("""COMPUTED_VALUE"""),3.0)</f>
        <v>3</v>
      </c>
      <c r="BE159" s="16">
        <f>IFERROR(__xludf.DUMMYFUNCTION("""COMPUTED_VALUE"""),3.0)</f>
        <v>3</v>
      </c>
      <c r="BF159" s="16">
        <f>IFERROR(__xludf.DUMMYFUNCTION("""COMPUTED_VALUE"""),3.0)</f>
        <v>3</v>
      </c>
      <c r="BG159" s="16">
        <f>IFERROR(__xludf.DUMMYFUNCTION("""COMPUTED_VALUE"""),0.0)</f>
        <v>0</v>
      </c>
      <c r="BH159" s="16">
        <f>IFERROR(__xludf.DUMMYFUNCTION("""COMPUTED_VALUE"""),0.0)</f>
        <v>0</v>
      </c>
      <c r="BI159" s="16">
        <f>IFERROR(__xludf.DUMMYFUNCTION("""COMPUTED_VALUE"""),0.0)</f>
        <v>0</v>
      </c>
      <c r="BJ159" s="16">
        <f>IFERROR(__xludf.DUMMYFUNCTION("""COMPUTED_VALUE"""),0.0)</f>
        <v>0</v>
      </c>
      <c r="BK159" s="16">
        <f>IFERROR(__xludf.DUMMYFUNCTION("""COMPUTED_VALUE"""),5.0)</f>
        <v>5</v>
      </c>
      <c r="BL159" s="16">
        <f>IFERROR(__xludf.DUMMYFUNCTION("""COMPUTED_VALUE"""),5.0)</f>
        <v>5</v>
      </c>
      <c r="BM159" s="16">
        <f>IFERROR(__xludf.DUMMYFUNCTION("""COMPUTED_VALUE"""),0.0)</f>
        <v>0</v>
      </c>
      <c r="BN159" s="16">
        <f>IFERROR(__xludf.DUMMYFUNCTION("""COMPUTED_VALUE"""),0.0)</f>
        <v>0</v>
      </c>
      <c r="BO159" s="16">
        <f>IFERROR(__xludf.DUMMYFUNCTION("""COMPUTED_VALUE"""),0.0)</f>
        <v>0</v>
      </c>
      <c r="BP159" s="16">
        <f>IFERROR(__xludf.DUMMYFUNCTION("""COMPUTED_VALUE"""),0.0)</f>
        <v>0</v>
      </c>
      <c r="BQ159" s="16">
        <f>IFERROR(__xludf.DUMMYFUNCTION("""COMPUTED_VALUE"""),6.0)</f>
        <v>6</v>
      </c>
      <c r="BR159" s="16">
        <f>IFERROR(__xludf.DUMMYFUNCTION("""COMPUTED_VALUE"""),5.0)</f>
        <v>5</v>
      </c>
      <c r="BS159" s="16">
        <f>IFERROR(__xludf.DUMMYFUNCTION("""COMPUTED_VALUE"""),1.0)</f>
        <v>1</v>
      </c>
      <c r="BT159" s="16">
        <f>IFERROR(__xludf.DUMMYFUNCTION("""COMPUTED_VALUE"""),0.0)</f>
        <v>0</v>
      </c>
      <c r="BU159" s="16">
        <f>IFERROR(__xludf.DUMMYFUNCTION("""COMPUTED_VALUE"""),2.0)</f>
        <v>2</v>
      </c>
      <c r="BV159" s="16">
        <f>IFERROR(__xludf.DUMMYFUNCTION("""COMPUTED_VALUE"""),0.0)</f>
        <v>0</v>
      </c>
      <c r="BW159" s="16">
        <f>IFERROR(__xludf.DUMMYFUNCTION("""COMPUTED_VALUE"""),-1.0)</f>
        <v>-1</v>
      </c>
      <c r="BX159" s="16">
        <f>IFERROR(__xludf.DUMMYFUNCTION("""COMPUTED_VALUE"""),-1.0)</f>
        <v>-1</v>
      </c>
      <c r="BY159" s="16" t="str">
        <f>IFERROR(__xludf.DUMMYFUNCTION("""COMPUTED_VALUE"""),"S(6)")</f>
        <v>S(6)</v>
      </c>
      <c r="BZ159" s="16" t="str">
        <f>IFERROR(__xludf.DUMMYFUNCTION("""COMPUTED_VALUE"""),"S(6)")</f>
        <v>S(6)</v>
      </c>
      <c r="CA159" s="16" t="str">
        <f>IFERROR(__xludf.DUMMYFUNCTION("""COMPUTED_VALUE"""),"S(6)")</f>
        <v>S(6)</v>
      </c>
      <c r="CB159" s="16"/>
      <c r="CC159" s="16"/>
      <c r="CD159" s="16">
        <f>IFERROR(__xludf.DUMMYFUNCTION("""COMPUTED_VALUE"""),6.0)</f>
        <v>6</v>
      </c>
      <c r="CE159" s="16"/>
      <c r="CF159" s="16"/>
      <c r="CG159" s="16" t="str">
        <f>IFERROR(__xludf.DUMMYFUNCTION("""COMPUTED_VALUE"""),"2-8")</f>
        <v>2-8</v>
      </c>
      <c r="CH159" s="16">
        <f>IFERROR(__xludf.DUMMYFUNCTION("""COMPUTED_VALUE"""),2.0)</f>
        <v>2</v>
      </c>
      <c r="CI159" s="16">
        <f>IFERROR(__xludf.DUMMYFUNCTION("""COMPUTED_VALUE"""),8.0)</f>
        <v>8</v>
      </c>
      <c r="CJ159" s="16">
        <f>IFERROR(__xludf.DUMMYFUNCTION("""COMPUTED_VALUE"""),0.0)</f>
        <v>0</v>
      </c>
      <c r="CK159" s="16">
        <f>IFERROR(__xludf.DUMMYFUNCTION("""COMPUTED_VALUE"""),3.0)</f>
        <v>3</v>
      </c>
      <c r="CL159" s="16" t="str">
        <f>IFERROR(__xludf.DUMMYFUNCTION("""COMPUTED_VALUE"""),"1WR-C")</f>
        <v>1WR-C</v>
      </c>
      <c r="CM159" s="16" t="str">
        <f>IFERROR(__xludf.DUMMYFUNCTION("""COMPUTED_VALUE"""),"E")</f>
        <v>E</v>
      </c>
      <c r="CN159" s="16">
        <f>IFERROR(__xludf.DUMMYFUNCTION("""COMPUTED_VALUE"""),10.0)</f>
        <v>10</v>
      </c>
      <c r="CO159" s="16" t="str">
        <f>IFERROR(__xludf.DUMMYFUNCTION("""COMPUTED_VALUE"""),"C")</f>
        <v>C</v>
      </c>
      <c r="CP159" s="16" t="str">
        <f>IFERROR(__xludf.DUMMYFUNCTION("""COMPUTED_VALUE"""),"1p70")</f>
        <v>1p70</v>
      </c>
      <c r="CQ159" s="16">
        <f>IFERROR(__xludf.DUMMYFUNCTION("""COMPUTED_VALUE"""),2.0)</f>
        <v>2</v>
      </c>
      <c r="CR159" s="16">
        <f>IFERROR(__xludf.DUMMYFUNCTION("""COMPUTED_VALUE"""),13.0)</f>
        <v>13</v>
      </c>
      <c r="CS159" s="16">
        <f>IFERROR(__xludf.DUMMYFUNCTION("""COMPUTED_VALUE"""),15.0)</f>
        <v>15</v>
      </c>
      <c r="CT159" s="16">
        <f>IFERROR(__xludf.DUMMYFUNCTION("""COMPUTED_VALUE"""),2.0)</f>
        <v>2</v>
      </c>
      <c r="CU159" s="16">
        <f>IFERROR(__xludf.DUMMYFUNCTION("""COMPUTED_VALUE"""),13.0)</f>
        <v>13</v>
      </c>
      <c r="CV159" s="179">
        <f>IFERROR(__xludf.DUMMYFUNCTION("""COMPUTED_VALUE"""),12.666666666666668)</f>
        <v>12.66666667</v>
      </c>
      <c r="CW159" s="179">
        <f>IFERROR(__xludf.DUMMYFUNCTION("""COMPUTED_VALUE"""),4.0)</f>
        <v>4</v>
      </c>
      <c r="CX159" s="179">
        <f>IFERROR(__xludf.DUMMYFUNCTION("""COMPUTED_VALUE"""),3.0)</f>
        <v>3</v>
      </c>
      <c r="CY159" s="16" t="str">
        <f>IFERROR(__xludf.DUMMYFUNCTION("""COMPUTED_VALUE"""),"SP")</f>
        <v>SP</v>
      </c>
      <c r="CZ159" s="16"/>
      <c r="DA159" s="16"/>
      <c r="DB159" s="16"/>
      <c r="DC159" s="16"/>
      <c r="DD159" s="16"/>
      <c r="DE159" s="16"/>
      <c r="DF159" s="16"/>
      <c r="DG159" s="16"/>
      <c r="DH159" s="16"/>
      <c r="DI159" s="16"/>
      <c r="DJ159" s="16"/>
      <c r="DK159" s="16"/>
    </row>
    <row r="160">
      <c r="A160" s="16">
        <f>IFERROR(__xludf.DUMMYFUNCTION("""COMPUTED_VALUE"""),13344.0)</f>
        <v>13344</v>
      </c>
      <c r="B160" s="16" t="str">
        <f>IFERROR(__xludf.DUMMYFUNCTION("""COMPUTED_VALUE"""),"Ryan Yarbrough")</f>
        <v>Ryan Yarbrough</v>
      </c>
      <c r="C160" s="153">
        <f>IFERROR(__xludf.DUMMYFUNCTION("""COMPUTED_VALUE"""),0.88)</f>
        <v>0.88</v>
      </c>
      <c r="D160" s="16"/>
      <c r="E160" s="16" t="str">
        <f>IFERROR(__xludf.DUMMYFUNCTION("""COMPUTED_VALUE"""),"L")</f>
        <v>L</v>
      </c>
      <c r="F160" s="16">
        <f>IFERROR(__xludf.DUMMYFUNCTION("""COMPUTED_VALUE"""),99.0)</f>
        <v>99</v>
      </c>
      <c r="G160" s="16">
        <f>IFERROR(__xludf.DUMMYFUNCTION("""COMPUTED_VALUE"""),24.0)</f>
        <v>24</v>
      </c>
      <c r="H160" s="16">
        <f>IFERROR(__xludf.DUMMYFUNCTION("""COMPUTED_VALUE"""),5.0)</f>
        <v>5</v>
      </c>
      <c r="I160" s="16">
        <f>IFERROR(__xludf.DUMMYFUNCTION("""COMPUTED_VALUE"""),-1.0)</f>
        <v>-1</v>
      </c>
      <c r="J160" s="16">
        <f>IFERROR(__xludf.DUMMYFUNCTION("""COMPUTED_VALUE"""),-3.0)</f>
        <v>-3</v>
      </c>
      <c r="K160" s="16">
        <f>IFERROR(__xludf.DUMMYFUNCTION("""COMPUTED_VALUE"""),-3.0)</f>
        <v>-3</v>
      </c>
      <c r="L160" s="16">
        <f>IFERROR(__xludf.DUMMYFUNCTION("""COMPUTED_VALUE"""),-9.0)</f>
        <v>-9</v>
      </c>
      <c r="M160" s="16">
        <f>IFERROR(__xludf.DUMMYFUNCTION("""COMPUTED_VALUE"""),3.0)</f>
        <v>3</v>
      </c>
      <c r="N160" s="16">
        <f>IFERROR(__xludf.DUMMYFUNCTION("""COMPUTED_VALUE"""),11.0)</f>
        <v>11</v>
      </c>
      <c r="O160" s="16">
        <f>IFERROR(__xludf.DUMMYFUNCTION("""COMPUTED_VALUE"""),2.0)</f>
        <v>2</v>
      </c>
      <c r="P160" s="16">
        <f>IFERROR(__xludf.DUMMYFUNCTION("""COMPUTED_VALUE"""),-1.0)</f>
        <v>-1</v>
      </c>
      <c r="Q160" s="16">
        <f>IFERROR(__xludf.DUMMYFUNCTION("""COMPUTED_VALUE"""),2.0)</f>
        <v>2</v>
      </c>
      <c r="R160" s="16">
        <f>IFERROR(__xludf.DUMMYFUNCTION("""COMPUTED_VALUE"""),-1.0)</f>
        <v>-1</v>
      </c>
      <c r="S160" s="16">
        <f>IFERROR(__xludf.DUMMYFUNCTION("""COMPUTED_VALUE"""),3.2)</f>
        <v>3.2</v>
      </c>
      <c r="T160" s="16">
        <f>IFERROR(__xludf.DUMMYFUNCTION("""COMPUTED_VALUE"""),10.2)</f>
        <v>10.2</v>
      </c>
      <c r="U160" s="16">
        <f>IFERROR(__xludf.DUMMYFUNCTION("""COMPUTED_VALUE"""),2.0)</f>
        <v>2</v>
      </c>
      <c r="V160" s="16">
        <f>IFERROR(__xludf.DUMMYFUNCTION("""COMPUTED_VALUE"""),1.0)</f>
        <v>1</v>
      </c>
      <c r="W160" s="16">
        <f>IFERROR(__xludf.DUMMYFUNCTION("""COMPUTED_VALUE"""),4.0)</f>
        <v>4</v>
      </c>
      <c r="X160" s="16">
        <f>IFERROR(__xludf.DUMMYFUNCTION("""COMPUTED_VALUE"""),2.0)</f>
        <v>2</v>
      </c>
      <c r="Y160" s="16">
        <f>IFERROR(__xludf.DUMMYFUNCTION("""COMPUTED_VALUE"""),6.2)</f>
        <v>6.2</v>
      </c>
      <c r="Z160" s="16">
        <f>IFERROR(__xludf.DUMMYFUNCTION("""COMPUTED_VALUE"""),21.2)</f>
        <v>21.2</v>
      </c>
      <c r="AA160" s="16">
        <f>IFERROR(__xludf.DUMMYFUNCTION("""COMPUTED_VALUE"""),2.0)</f>
        <v>2</v>
      </c>
      <c r="AB160" s="16">
        <f>IFERROR(__xludf.DUMMYFUNCTION("""COMPUTED_VALUE"""),1.0)</f>
        <v>1</v>
      </c>
      <c r="AC160" s="16">
        <f>IFERROR(__xludf.DUMMYFUNCTION("""COMPUTED_VALUE"""),10.0)</f>
        <v>10</v>
      </c>
      <c r="AD160" s="16">
        <f>IFERROR(__xludf.DUMMYFUNCTION("""COMPUTED_VALUE"""),5.0)</f>
        <v>5</v>
      </c>
      <c r="AE160" s="16">
        <f>IFERROR(__xludf.DUMMYFUNCTION("""COMPUTED_VALUE"""),9.8)</f>
        <v>9.8</v>
      </c>
      <c r="AF160" s="16">
        <f>IFERROR(__xludf.DUMMYFUNCTION("""COMPUTED_VALUE"""),20.5)</f>
        <v>20.5</v>
      </c>
      <c r="AG160" s="16">
        <f>IFERROR(__xludf.DUMMYFUNCTION("""COMPUTED_VALUE"""),2.0)</f>
        <v>2</v>
      </c>
      <c r="AH160" s="16">
        <f>IFERROR(__xludf.DUMMYFUNCTION("""COMPUTED_VALUE"""),1.0)</f>
        <v>1</v>
      </c>
      <c r="AI160" s="16">
        <f>IFERROR(__xludf.DUMMYFUNCTION("""COMPUTED_VALUE"""),4.0)</f>
        <v>4</v>
      </c>
      <c r="AJ160" s="16">
        <f>IFERROR(__xludf.DUMMYFUNCTION("""COMPUTED_VALUE"""),2.0)</f>
        <v>2</v>
      </c>
      <c r="AK160" s="16">
        <f>IFERROR(__xludf.DUMMYFUNCTION("""COMPUTED_VALUE"""),1.0)</f>
        <v>1</v>
      </c>
      <c r="AL160" s="16">
        <f>IFERROR(__xludf.DUMMYFUNCTION("""COMPUTED_VALUE"""),8.2)</f>
        <v>8.2</v>
      </c>
      <c r="AM160" s="16">
        <f>IFERROR(__xludf.DUMMYFUNCTION("""COMPUTED_VALUE"""),2.0)</f>
        <v>2</v>
      </c>
      <c r="AN160" s="16">
        <f>IFERROR(__xludf.DUMMYFUNCTION("""COMPUTED_VALUE"""),1.0)</f>
        <v>1</v>
      </c>
      <c r="AO160" s="16">
        <f>IFERROR(__xludf.DUMMYFUNCTION("""COMPUTED_VALUE"""),2.0)</f>
        <v>2</v>
      </c>
      <c r="AP160" s="16">
        <f>IFERROR(__xludf.DUMMYFUNCTION("""COMPUTED_VALUE"""),1.0)</f>
        <v>1</v>
      </c>
      <c r="AQ160" s="16">
        <f>IFERROR(__xludf.DUMMYFUNCTION("""COMPUTED_VALUE"""),1.0)</f>
        <v>1</v>
      </c>
      <c r="AR160" s="16">
        <f>IFERROR(__xludf.DUMMYFUNCTION("""COMPUTED_VALUE"""),12.5)</f>
        <v>12.5</v>
      </c>
      <c r="AS160" s="16">
        <f>IFERROR(__xludf.DUMMYFUNCTION("""COMPUTED_VALUE"""),2.0)</f>
        <v>2</v>
      </c>
      <c r="AT160" s="16">
        <f>IFERROR(__xludf.DUMMYFUNCTION("""COMPUTED_VALUE"""),1.0)</f>
        <v>1</v>
      </c>
      <c r="AU160" s="16">
        <f>IFERROR(__xludf.DUMMYFUNCTION("""COMPUTED_VALUE"""),4.0)</f>
        <v>4</v>
      </c>
      <c r="AV160" s="16">
        <f>IFERROR(__xludf.DUMMYFUNCTION("""COMPUTED_VALUE"""),2.0)</f>
        <v>2</v>
      </c>
      <c r="AW160" s="16">
        <f>IFERROR(__xludf.DUMMYFUNCTION("""COMPUTED_VALUE"""),2.2)</f>
        <v>2.2</v>
      </c>
      <c r="AX160" s="16">
        <f>IFERROR(__xludf.DUMMYFUNCTION("""COMPUTED_VALUE"""),2.0)</f>
        <v>2</v>
      </c>
      <c r="AY160" s="16">
        <f>IFERROR(__xludf.DUMMYFUNCTION("""COMPUTED_VALUE"""),0.0)</f>
        <v>0</v>
      </c>
      <c r="AZ160" s="16">
        <f>IFERROR(__xludf.DUMMYFUNCTION("""COMPUTED_VALUE"""),0.0)</f>
        <v>0</v>
      </c>
      <c r="BA160" s="16">
        <f>IFERROR(__xludf.DUMMYFUNCTION("""COMPUTED_VALUE"""),0.0)</f>
        <v>0</v>
      </c>
      <c r="BB160" s="16">
        <f>IFERROR(__xludf.DUMMYFUNCTION("""COMPUTED_VALUE"""),0.0)</f>
        <v>0</v>
      </c>
      <c r="BC160" s="16">
        <f>IFERROR(__xludf.DUMMYFUNCTION("""COMPUTED_VALUE"""),3.0)</f>
        <v>3</v>
      </c>
      <c r="BD160" s="16">
        <f>IFERROR(__xludf.DUMMYFUNCTION("""COMPUTED_VALUE"""),2.0)</f>
        <v>2</v>
      </c>
      <c r="BE160" s="16">
        <f>IFERROR(__xludf.DUMMYFUNCTION("""COMPUTED_VALUE"""),3.0)</f>
        <v>3</v>
      </c>
      <c r="BF160" s="16">
        <f>IFERROR(__xludf.DUMMYFUNCTION("""COMPUTED_VALUE"""),2.0)</f>
        <v>2</v>
      </c>
      <c r="BG160" s="16">
        <f>IFERROR(__xludf.DUMMYFUNCTION("""COMPUTED_VALUE"""),0.0)</f>
        <v>0</v>
      </c>
      <c r="BH160" s="16">
        <f>IFERROR(__xludf.DUMMYFUNCTION("""COMPUTED_VALUE"""),1.0)</f>
        <v>1</v>
      </c>
      <c r="BI160" s="16">
        <f>IFERROR(__xludf.DUMMYFUNCTION("""COMPUTED_VALUE"""),0.0)</f>
        <v>0</v>
      </c>
      <c r="BJ160" s="16">
        <f>IFERROR(__xludf.DUMMYFUNCTION("""COMPUTED_VALUE"""),2.0)</f>
        <v>2</v>
      </c>
      <c r="BK160" s="16">
        <f>IFERROR(__xludf.DUMMYFUNCTION("""COMPUTED_VALUE"""),5.0)</f>
        <v>5</v>
      </c>
      <c r="BL160" s="16">
        <f>IFERROR(__xludf.DUMMYFUNCTION("""COMPUTED_VALUE"""),5.0)</f>
        <v>5</v>
      </c>
      <c r="BM160" s="16">
        <f>IFERROR(__xludf.DUMMYFUNCTION("""COMPUTED_VALUE"""),0.0)</f>
        <v>0</v>
      </c>
      <c r="BN160" s="16">
        <f>IFERROR(__xludf.DUMMYFUNCTION("""COMPUTED_VALUE"""),0.0)</f>
        <v>0</v>
      </c>
      <c r="BO160" s="16">
        <f>IFERROR(__xludf.DUMMYFUNCTION("""COMPUTED_VALUE"""),0.0)</f>
        <v>0</v>
      </c>
      <c r="BP160" s="16">
        <f>IFERROR(__xludf.DUMMYFUNCTION("""COMPUTED_VALUE"""),0.0)</f>
        <v>0</v>
      </c>
      <c r="BQ160" s="16">
        <f>IFERROR(__xludf.DUMMYFUNCTION("""COMPUTED_VALUE"""),2.0)</f>
        <v>2</v>
      </c>
      <c r="BR160" s="16">
        <f>IFERROR(__xludf.DUMMYFUNCTION("""COMPUTED_VALUE"""),3.0)</f>
        <v>3</v>
      </c>
      <c r="BS160" s="16">
        <f>IFERROR(__xludf.DUMMYFUNCTION("""COMPUTED_VALUE"""),-2.0)</f>
        <v>-2</v>
      </c>
      <c r="BT160" s="16">
        <f>IFERROR(__xludf.DUMMYFUNCTION("""COMPUTED_VALUE"""),-1.0)</f>
        <v>-1</v>
      </c>
      <c r="BU160" s="16">
        <f>IFERROR(__xludf.DUMMYFUNCTION("""COMPUTED_VALUE"""),-4.0)</f>
        <v>-4</v>
      </c>
      <c r="BV160" s="16">
        <f>IFERROR(__xludf.DUMMYFUNCTION("""COMPUTED_VALUE"""),-2.0)</f>
        <v>-2</v>
      </c>
      <c r="BW160" s="16">
        <f>IFERROR(__xludf.DUMMYFUNCTION("""COMPUTED_VALUE"""),0.0)</f>
        <v>0</v>
      </c>
      <c r="BX160" s="16">
        <f>IFERROR(__xludf.DUMMYFUNCTION("""COMPUTED_VALUE"""),0.0)</f>
        <v>0</v>
      </c>
      <c r="BY160" s="16" t="str">
        <f>IFERROR(__xludf.DUMMYFUNCTION("""COMPUTED_VALUE"""),"R(3) C(0)")</f>
        <v>R(3) C(0)</v>
      </c>
      <c r="BZ160" s="16" t="str">
        <f>IFERROR(__xludf.DUMMYFUNCTION("""COMPUTED_VALUE"""),"R(3) C(0)")</f>
        <v>R(3) C(0)</v>
      </c>
      <c r="CA160" s="16" t="str">
        <f>IFERROR(__xludf.DUMMYFUNCTION("""COMPUTED_VALUE"""),"R(3)")</f>
        <v>R(3)</v>
      </c>
      <c r="CB160" s="16" t="str">
        <f>IFERROR(__xludf.DUMMYFUNCTION("""COMPUTED_VALUE"""),"C(0)")</f>
        <v>C(0)</v>
      </c>
      <c r="CC160" s="16"/>
      <c r="CD160" s="16"/>
      <c r="CE160" s="16">
        <f>IFERROR(__xludf.DUMMYFUNCTION("""COMPUTED_VALUE"""),3.0)</f>
        <v>3</v>
      </c>
      <c r="CF160" s="16">
        <f>IFERROR(__xludf.DUMMYFUNCTION("""COMPUTED_VALUE"""),0.0)</f>
        <v>0</v>
      </c>
      <c r="CG160" s="16" t="str">
        <f>IFERROR(__xludf.DUMMYFUNCTION("""COMPUTED_VALUE"""),"1-43")</f>
        <v>1-43</v>
      </c>
      <c r="CH160" s="16">
        <f>IFERROR(__xludf.DUMMYFUNCTION("""COMPUTED_VALUE"""),1.0)</f>
        <v>1</v>
      </c>
      <c r="CI160" s="16">
        <f>IFERROR(__xludf.DUMMYFUNCTION("""COMPUTED_VALUE"""),43.0)</f>
        <v>43</v>
      </c>
      <c r="CJ160" s="16">
        <f>IFERROR(__xludf.DUMMYFUNCTION("""COMPUTED_VALUE"""),0.0)</f>
        <v>0</v>
      </c>
      <c r="CK160" s="16">
        <f>IFERROR(__xludf.DUMMYFUNCTION("""COMPUTED_VALUE"""),0.0)</f>
        <v>0</v>
      </c>
      <c r="CL160" s="16" t="str">
        <f>IFERROR(__xludf.DUMMYFUNCTION("""COMPUTED_VALUE"""),"1WR-C")</f>
        <v>1WR-C</v>
      </c>
      <c r="CM160" s="16" t="str">
        <f>IFERROR(__xludf.DUMMYFUNCTION("""COMPUTED_VALUE"""),"E")</f>
        <v>E</v>
      </c>
      <c r="CN160" s="16">
        <f>IFERROR(__xludf.DUMMYFUNCTION("""COMPUTED_VALUE"""),10.0)</f>
        <v>10</v>
      </c>
      <c r="CO160" s="16" t="str">
        <f>IFERROR(__xludf.DUMMYFUNCTION("""COMPUTED_VALUE"""),"C")</f>
        <v>C</v>
      </c>
      <c r="CP160" s="16" t="str">
        <f>IFERROR(__xludf.DUMMYFUNCTION("""COMPUTED_VALUE"""),"1p60")</f>
        <v>1p60</v>
      </c>
      <c r="CQ160" s="16">
        <f>IFERROR(__xludf.DUMMYFUNCTION("""COMPUTED_VALUE"""),19.0)</f>
        <v>19</v>
      </c>
      <c r="CR160" s="16">
        <f>IFERROR(__xludf.DUMMYFUNCTION("""COMPUTED_VALUE"""),2.0)</f>
        <v>2</v>
      </c>
      <c r="CS160" s="16">
        <f>IFERROR(__xludf.DUMMYFUNCTION("""COMPUTED_VALUE"""),21.0)</f>
        <v>21</v>
      </c>
      <c r="CT160" s="16">
        <f>IFERROR(__xludf.DUMMYFUNCTION("""COMPUTED_VALUE"""),19.0)</f>
        <v>19</v>
      </c>
      <c r="CU160" s="16">
        <f>IFERROR(__xludf.DUMMYFUNCTION("""COMPUTED_VALUE"""),2.0)</f>
        <v>2</v>
      </c>
      <c r="CV160" s="179">
        <f>IFERROR(__xludf.DUMMYFUNCTION("""COMPUTED_VALUE"""),12.666666666666668)</f>
        <v>12.66666667</v>
      </c>
      <c r="CW160" s="179">
        <f>IFERROR(__xludf.DUMMYFUNCTION("""COMPUTED_VALUE"""),4.0)</f>
        <v>4</v>
      </c>
      <c r="CX160" s="179">
        <f>IFERROR(__xludf.DUMMYFUNCTION("""COMPUTED_VALUE"""),1.0)</f>
        <v>1</v>
      </c>
      <c r="CY160" s="16" t="str">
        <f>IFERROR(__xludf.DUMMYFUNCTION("""COMPUTED_VALUE"""),"RP")</f>
        <v>RP</v>
      </c>
      <c r="CZ160" s="16" t="str">
        <f>IFERROR(__xludf.DUMMYFUNCTION("""COMPUTED_VALUE"""),"CP")</f>
        <v>CP</v>
      </c>
      <c r="DA160" s="16"/>
      <c r="DB160" s="16"/>
      <c r="DC160" s="16"/>
      <c r="DD160" s="16"/>
      <c r="DE160" s="16"/>
      <c r="DF160" s="16"/>
      <c r="DG160" s="16"/>
      <c r="DH160" s="16"/>
      <c r="DI160" s="16"/>
      <c r="DJ160" s="16"/>
      <c r="DK160" s="16"/>
    </row>
    <row r="161">
      <c r="A161" s="16">
        <f>IFERROR(__xludf.DUMMYFUNCTION("""COMPUTED_VALUE"""),13026.0)</f>
        <v>13026</v>
      </c>
      <c r="B161" s="16" t="str">
        <f>IFERROR(__xludf.DUMMYFUNCTION("""COMPUTED_VALUE"""),"Jose Soriano")</f>
        <v>Jose Soriano</v>
      </c>
      <c r="C161" s="153">
        <f>IFERROR(__xludf.DUMMYFUNCTION("""COMPUTED_VALUE"""),1.39)</f>
        <v>1.39</v>
      </c>
      <c r="D161" s="16"/>
      <c r="E161" s="16" t="str">
        <f>IFERROR(__xludf.DUMMYFUNCTION("""COMPUTED_VALUE"""),"R")</f>
        <v>R</v>
      </c>
      <c r="F161" s="16">
        <f>IFERROR(__xludf.DUMMYFUNCTION("""COMPUTED_VALUE"""),113.0)</f>
        <v>113</v>
      </c>
      <c r="G161" s="16">
        <f>IFERROR(__xludf.DUMMYFUNCTION("""COMPUTED_VALUE"""),19.0)</f>
        <v>19</v>
      </c>
      <c r="H161" s="16">
        <f>IFERROR(__xludf.DUMMYFUNCTION("""COMPUTED_VALUE"""),24.0)</f>
        <v>24</v>
      </c>
      <c r="I161" s="16">
        <f>IFERROR(__xludf.DUMMYFUNCTION("""COMPUTED_VALUE"""),-1.0)</f>
        <v>-1</v>
      </c>
      <c r="J161" s="16">
        <f>IFERROR(__xludf.DUMMYFUNCTION("""COMPUTED_VALUE"""),0.0)</f>
        <v>0</v>
      </c>
      <c r="K161" s="16">
        <f>IFERROR(__xludf.DUMMYFUNCTION("""COMPUTED_VALUE"""),-3.0)</f>
        <v>-3</v>
      </c>
      <c r="L161" s="16">
        <f>IFERROR(__xludf.DUMMYFUNCTION("""COMPUTED_VALUE"""),0.0)</f>
        <v>0</v>
      </c>
      <c r="M161" s="16">
        <f>IFERROR(__xludf.DUMMYFUNCTION("""COMPUTED_VALUE"""),7.0)</f>
        <v>7</v>
      </c>
      <c r="N161" s="16">
        <f>IFERROR(__xludf.DUMMYFUNCTION("""COMPUTED_VALUE"""),19.0)</f>
        <v>19</v>
      </c>
      <c r="O161" s="16">
        <f>IFERROR(__xludf.DUMMYFUNCTION("""COMPUTED_VALUE"""),1.0)</f>
        <v>1</v>
      </c>
      <c r="P161" s="16">
        <f>IFERROR(__xludf.DUMMYFUNCTION("""COMPUTED_VALUE"""),-3.0)</f>
        <v>-3</v>
      </c>
      <c r="Q161" s="16">
        <f>IFERROR(__xludf.DUMMYFUNCTION("""COMPUTED_VALUE"""),1.0)</f>
        <v>1</v>
      </c>
      <c r="R161" s="16">
        <f>IFERROR(__xludf.DUMMYFUNCTION("""COMPUTED_VALUE"""),-3.0)</f>
        <v>-3</v>
      </c>
      <c r="S161" s="16">
        <f>IFERROR(__xludf.DUMMYFUNCTION("""COMPUTED_VALUE"""),7.8)</f>
        <v>7.8</v>
      </c>
      <c r="T161" s="16">
        <f>IFERROR(__xludf.DUMMYFUNCTION("""COMPUTED_VALUE"""),19.3)</f>
        <v>19.3</v>
      </c>
      <c r="U161" s="16">
        <f>IFERROR(__xludf.DUMMYFUNCTION("""COMPUTED_VALUE"""),1.0)</f>
        <v>1</v>
      </c>
      <c r="V161" s="16">
        <f>IFERROR(__xludf.DUMMYFUNCTION("""COMPUTED_VALUE"""),-1.0)</f>
        <v>-1</v>
      </c>
      <c r="W161" s="16">
        <f>IFERROR(__xludf.DUMMYFUNCTION("""COMPUTED_VALUE"""),2.0)</f>
        <v>2</v>
      </c>
      <c r="X161" s="16">
        <f>IFERROR(__xludf.DUMMYFUNCTION("""COMPUTED_VALUE"""),-2.0)</f>
        <v>-2</v>
      </c>
      <c r="Y161" s="16">
        <f>IFERROR(__xludf.DUMMYFUNCTION("""COMPUTED_VALUE"""),14.8)</f>
        <v>14.8</v>
      </c>
      <c r="Z161" s="16">
        <f>IFERROR(__xludf.DUMMYFUNCTION("""COMPUTED_VALUE"""),38.3)</f>
        <v>38.3</v>
      </c>
      <c r="AA161" s="16">
        <f>IFERROR(__xludf.DUMMYFUNCTION("""COMPUTED_VALUE"""),2.0)</f>
        <v>2</v>
      </c>
      <c r="AB161" s="16">
        <f>IFERROR(__xludf.DUMMYFUNCTION("""COMPUTED_VALUE"""),-2.0)</f>
        <v>-2</v>
      </c>
      <c r="AC161" s="16">
        <f>IFERROR(__xludf.DUMMYFUNCTION("""COMPUTED_VALUE"""),10.0)</f>
        <v>10</v>
      </c>
      <c r="AD161" s="16">
        <f>IFERROR(__xludf.DUMMYFUNCTION("""COMPUTED_VALUE"""),-10.0)</f>
        <v>-10</v>
      </c>
      <c r="AE161" s="16">
        <f>IFERROR(__xludf.DUMMYFUNCTION("""COMPUTED_VALUE"""),9.8)</f>
        <v>9.8</v>
      </c>
      <c r="AF161" s="16">
        <f>IFERROR(__xludf.DUMMYFUNCTION("""COMPUTED_VALUE"""),28.2)</f>
        <v>28.2</v>
      </c>
      <c r="AG161" s="16">
        <f>IFERROR(__xludf.DUMMYFUNCTION("""COMPUTED_VALUE"""),2.0)</f>
        <v>2</v>
      </c>
      <c r="AH161" s="16">
        <f>IFERROR(__xludf.DUMMYFUNCTION("""COMPUTED_VALUE"""),0.0)</f>
        <v>0</v>
      </c>
      <c r="AI161" s="16">
        <f>IFERROR(__xludf.DUMMYFUNCTION("""COMPUTED_VALUE"""),4.0)</f>
        <v>4</v>
      </c>
      <c r="AJ161" s="16">
        <f>IFERROR(__xludf.DUMMYFUNCTION("""COMPUTED_VALUE"""),0.0)</f>
        <v>0</v>
      </c>
      <c r="AK161" s="16">
        <f>IFERROR(__xludf.DUMMYFUNCTION("""COMPUTED_VALUE"""),7.8)</f>
        <v>7.8</v>
      </c>
      <c r="AL161" s="16">
        <f>IFERROR(__xludf.DUMMYFUNCTION("""COMPUTED_VALUE"""),18.5)</f>
        <v>18.5</v>
      </c>
      <c r="AM161" s="16">
        <f>IFERROR(__xludf.DUMMYFUNCTION("""COMPUTED_VALUE"""),1.0)</f>
        <v>1</v>
      </c>
      <c r="AN161" s="16">
        <f>IFERROR(__xludf.DUMMYFUNCTION("""COMPUTED_VALUE"""),-1.0)</f>
        <v>-1</v>
      </c>
      <c r="AO161" s="16">
        <f>IFERROR(__xludf.DUMMYFUNCTION("""COMPUTED_VALUE"""),1.0)</f>
        <v>1</v>
      </c>
      <c r="AP161" s="16">
        <f>IFERROR(__xludf.DUMMYFUNCTION("""COMPUTED_VALUE"""),-1.0)</f>
        <v>-1</v>
      </c>
      <c r="AQ161" s="16">
        <f>IFERROR(__xludf.DUMMYFUNCTION("""COMPUTED_VALUE"""),9.8)</f>
        <v>9.8</v>
      </c>
      <c r="AR161" s="16">
        <f>IFERROR(__xludf.DUMMYFUNCTION("""COMPUTED_VALUE"""),25.0)</f>
        <v>25</v>
      </c>
      <c r="AS161" s="16">
        <f>IFERROR(__xludf.DUMMYFUNCTION("""COMPUTED_VALUE"""),1.0)</f>
        <v>1</v>
      </c>
      <c r="AT161" s="16">
        <f>IFERROR(__xludf.DUMMYFUNCTION("""COMPUTED_VALUE"""),-1.0)</f>
        <v>-1</v>
      </c>
      <c r="AU161" s="16">
        <f>IFERROR(__xludf.DUMMYFUNCTION("""COMPUTED_VALUE"""),2.0)</f>
        <v>2</v>
      </c>
      <c r="AV161" s="16">
        <f>IFERROR(__xludf.DUMMYFUNCTION("""COMPUTED_VALUE"""),-2.0)</f>
        <v>-2</v>
      </c>
      <c r="AW161" s="16">
        <f>IFERROR(__xludf.DUMMYFUNCTION("""COMPUTED_VALUE"""),0.0)</f>
        <v>0</v>
      </c>
      <c r="AX161" s="16">
        <f>IFERROR(__xludf.DUMMYFUNCTION("""COMPUTED_VALUE"""),0.8)</f>
        <v>0.8</v>
      </c>
      <c r="AY161" s="16">
        <f>IFERROR(__xludf.DUMMYFUNCTION("""COMPUTED_VALUE"""),2.0)</f>
        <v>2</v>
      </c>
      <c r="AZ161" s="16">
        <f>IFERROR(__xludf.DUMMYFUNCTION("""COMPUTED_VALUE"""),1.0)</f>
        <v>1</v>
      </c>
      <c r="BA161" s="16">
        <f>IFERROR(__xludf.DUMMYFUNCTION("""COMPUTED_VALUE"""),10.0)</f>
        <v>10</v>
      </c>
      <c r="BB161" s="16">
        <f>IFERROR(__xludf.DUMMYFUNCTION("""COMPUTED_VALUE"""),5.0)</f>
        <v>5</v>
      </c>
      <c r="BC161" s="16">
        <f>IFERROR(__xludf.DUMMYFUNCTION("""COMPUTED_VALUE"""),0.0)</f>
        <v>0</v>
      </c>
      <c r="BD161" s="16">
        <f>IFERROR(__xludf.DUMMYFUNCTION("""COMPUTED_VALUE"""),1.0)</f>
        <v>1</v>
      </c>
      <c r="BE161" s="16">
        <f>IFERROR(__xludf.DUMMYFUNCTION("""COMPUTED_VALUE"""),0.0)</f>
        <v>0</v>
      </c>
      <c r="BF161" s="16">
        <f>IFERROR(__xludf.DUMMYFUNCTION("""COMPUTED_VALUE"""),1.0)</f>
        <v>1</v>
      </c>
      <c r="BG161" s="16">
        <f>IFERROR(__xludf.DUMMYFUNCTION("""COMPUTED_VALUE"""),3.0)</f>
        <v>3</v>
      </c>
      <c r="BH161" s="16">
        <f>IFERROR(__xludf.DUMMYFUNCTION("""COMPUTED_VALUE"""),2.0)</f>
        <v>2</v>
      </c>
      <c r="BI161" s="16">
        <f>IFERROR(__xludf.DUMMYFUNCTION("""COMPUTED_VALUE"""),6.0)</f>
        <v>6</v>
      </c>
      <c r="BJ161" s="16">
        <f>IFERROR(__xludf.DUMMYFUNCTION("""COMPUTED_VALUE"""),4.0)</f>
        <v>4</v>
      </c>
      <c r="BK161" s="16">
        <f>IFERROR(__xludf.DUMMYFUNCTION("""COMPUTED_VALUE"""),5.0)</f>
        <v>5</v>
      </c>
      <c r="BL161" s="16">
        <f>IFERROR(__xludf.DUMMYFUNCTION("""COMPUTED_VALUE"""),5.0)</f>
        <v>5</v>
      </c>
      <c r="BM161" s="16">
        <f>IFERROR(__xludf.DUMMYFUNCTION("""COMPUTED_VALUE"""),0.0)</f>
        <v>0</v>
      </c>
      <c r="BN161" s="16">
        <f>IFERROR(__xludf.DUMMYFUNCTION("""COMPUTED_VALUE"""),0.0)</f>
        <v>0</v>
      </c>
      <c r="BO161" s="16">
        <f>IFERROR(__xludf.DUMMYFUNCTION("""COMPUTED_VALUE"""),0.0)</f>
        <v>0</v>
      </c>
      <c r="BP161" s="16">
        <f>IFERROR(__xludf.DUMMYFUNCTION("""COMPUTED_VALUE"""),0.0)</f>
        <v>0</v>
      </c>
      <c r="BQ161" s="16">
        <f>IFERROR(__xludf.DUMMYFUNCTION("""COMPUTED_VALUE"""),12.0)</f>
        <v>12</v>
      </c>
      <c r="BR161" s="16">
        <f>IFERROR(__xludf.DUMMYFUNCTION("""COMPUTED_VALUE"""),7.0)</f>
        <v>7</v>
      </c>
      <c r="BS161" s="16">
        <f>IFERROR(__xludf.DUMMYFUNCTION("""COMPUTED_VALUE"""),3.0)</f>
        <v>3</v>
      </c>
      <c r="BT161" s="16">
        <f>IFERROR(__xludf.DUMMYFUNCTION("""COMPUTED_VALUE"""),2.0)</f>
        <v>2</v>
      </c>
      <c r="BU161" s="16">
        <f>IFERROR(__xludf.DUMMYFUNCTION("""COMPUTED_VALUE"""),6.0)</f>
        <v>6</v>
      </c>
      <c r="BV161" s="16">
        <f>IFERROR(__xludf.DUMMYFUNCTION("""COMPUTED_VALUE"""),4.0)</f>
        <v>4</v>
      </c>
      <c r="BW161" s="16">
        <f>IFERROR(__xludf.DUMMYFUNCTION("""COMPUTED_VALUE"""),-4.0)</f>
        <v>-4</v>
      </c>
      <c r="BX161" s="16">
        <f>IFERROR(__xludf.DUMMYFUNCTION("""COMPUTED_VALUE"""),-4.0)</f>
        <v>-4</v>
      </c>
      <c r="BY161" s="16" t="str">
        <f>IFERROR(__xludf.DUMMYFUNCTION("""COMPUTED_VALUE"""),"S(5) R(3)")</f>
        <v>S(5) R(3)</v>
      </c>
      <c r="BZ161" s="16" t="str">
        <f>IFERROR(__xludf.DUMMYFUNCTION("""COMPUTED_VALUE"""),"S(5) R(3)")</f>
        <v>S(5) R(3)</v>
      </c>
      <c r="CA161" s="16" t="str">
        <f>IFERROR(__xludf.DUMMYFUNCTION("""COMPUTED_VALUE"""),"S(5)")</f>
        <v>S(5)</v>
      </c>
      <c r="CB161" s="16" t="str">
        <f>IFERROR(__xludf.DUMMYFUNCTION("""COMPUTED_VALUE"""),"R(3)")</f>
        <v>R(3)</v>
      </c>
      <c r="CC161" s="16"/>
      <c r="CD161" s="16">
        <f>IFERROR(__xludf.DUMMYFUNCTION("""COMPUTED_VALUE"""),5.0)</f>
        <v>5</v>
      </c>
      <c r="CE161" s="16">
        <f>IFERROR(__xludf.DUMMYFUNCTION("""COMPUTED_VALUE"""),3.0)</f>
        <v>3</v>
      </c>
      <c r="CF161" s="16"/>
      <c r="CG161" s="16" t="str">
        <f>IFERROR(__xludf.DUMMYFUNCTION("""COMPUTED_VALUE"""),"2-26")</f>
        <v>2-26</v>
      </c>
      <c r="CH161" s="16">
        <f>IFERROR(__xludf.DUMMYFUNCTION("""COMPUTED_VALUE"""),2.0)</f>
        <v>2</v>
      </c>
      <c r="CI161" s="16">
        <f>IFERROR(__xludf.DUMMYFUNCTION("""COMPUTED_VALUE"""),26.0)</f>
        <v>26</v>
      </c>
      <c r="CJ161" s="16">
        <f>IFERROR(__xludf.DUMMYFUNCTION("""COMPUTED_VALUE"""),0.0)</f>
        <v>0</v>
      </c>
      <c r="CK161" s="16">
        <f>IFERROR(__xludf.DUMMYFUNCTION("""COMPUTED_VALUE"""),14.0)</f>
        <v>14</v>
      </c>
      <c r="CL161" s="16" t="str">
        <f>IFERROR(__xludf.DUMMYFUNCTION("""COMPUTED_VALUE"""),"1WR-C")</f>
        <v>1WR-C</v>
      </c>
      <c r="CM161" s="16" t="str">
        <f>IFERROR(__xludf.DUMMYFUNCTION("""COMPUTED_VALUE"""),"E")</f>
        <v>E</v>
      </c>
      <c r="CN161" s="16">
        <f>IFERROR(__xludf.DUMMYFUNCTION("""COMPUTED_VALUE"""),10.0)</f>
        <v>10</v>
      </c>
      <c r="CO161" s="16" t="str">
        <f>IFERROR(__xludf.DUMMYFUNCTION("""COMPUTED_VALUE"""),"C")</f>
        <v>C</v>
      </c>
      <c r="CP161" s="16" t="str">
        <f>IFERROR(__xludf.DUMMYFUNCTION("""COMPUTED_VALUE"""),"3p60")</f>
        <v>3p60</v>
      </c>
      <c r="CQ161" s="16">
        <f>IFERROR(__xludf.DUMMYFUNCTION("""COMPUTED_VALUE"""),39.0)</f>
        <v>39</v>
      </c>
      <c r="CR161" s="16">
        <f>IFERROR(__xludf.DUMMYFUNCTION("""COMPUTED_VALUE"""),-5.0)</f>
        <v>-5</v>
      </c>
      <c r="CS161" s="16">
        <f>IFERROR(__xludf.DUMMYFUNCTION("""COMPUTED_VALUE"""),34.0)</f>
        <v>34</v>
      </c>
      <c r="CT161" s="16">
        <f>IFERROR(__xludf.DUMMYFUNCTION("""COMPUTED_VALUE"""),39.0)</f>
        <v>39</v>
      </c>
      <c r="CU161" s="16">
        <f>IFERROR(__xludf.DUMMYFUNCTION("""COMPUTED_VALUE"""),-5.0)</f>
        <v>-5</v>
      </c>
      <c r="CV161" s="179">
        <f>IFERROR(__xludf.DUMMYFUNCTION("""COMPUTED_VALUE"""),12.666666666666666)</f>
        <v>12.66666667</v>
      </c>
      <c r="CW161" s="179">
        <f>IFERROR(__xludf.DUMMYFUNCTION("""COMPUTED_VALUE"""),2.0)</f>
        <v>2</v>
      </c>
      <c r="CX161" s="179">
        <f>IFERROR(__xludf.DUMMYFUNCTION("""COMPUTED_VALUE"""),1.0)</f>
        <v>1</v>
      </c>
      <c r="CY161" s="16" t="str">
        <f>IFERROR(__xludf.DUMMYFUNCTION("""COMPUTED_VALUE"""),"SP")</f>
        <v>SP</v>
      </c>
      <c r="CZ161" s="16" t="str">
        <f>IFERROR(__xludf.DUMMYFUNCTION("""COMPUTED_VALUE"""),"RP")</f>
        <v>RP</v>
      </c>
      <c r="DA161" s="16"/>
      <c r="DB161" s="16"/>
      <c r="DC161" s="16"/>
      <c r="DD161" s="16"/>
      <c r="DE161" s="16"/>
      <c r="DF161" s="16"/>
      <c r="DG161" s="16"/>
      <c r="DH161" s="16"/>
      <c r="DI161" s="16"/>
      <c r="DJ161" s="16"/>
      <c r="DK161" s="16"/>
    </row>
    <row r="162">
      <c r="A162" s="16">
        <f>IFERROR(__xludf.DUMMYFUNCTION("""COMPUTED_VALUE"""),13376.0)</f>
        <v>13376</v>
      </c>
      <c r="B162" s="16" t="str">
        <f>IFERROR(__xludf.DUMMYFUNCTION("""COMPUTED_VALUE"""),"Shota Imanaga")</f>
        <v>Shota Imanaga</v>
      </c>
      <c r="C162" s="153">
        <f>IFERROR(__xludf.DUMMYFUNCTION("""COMPUTED_VALUE"""),1.56)</f>
        <v>1.56</v>
      </c>
      <c r="D162" s="16"/>
      <c r="E162" s="16" t="str">
        <f>IFERROR(__xludf.DUMMYFUNCTION("""COMPUTED_VALUE"""),"L")</f>
        <v>L</v>
      </c>
      <c r="F162" s="16">
        <f>IFERROR(__xludf.DUMMYFUNCTION("""COMPUTED_VALUE"""),173.0)</f>
        <v>173</v>
      </c>
      <c r="G162" s="16">
        <f>IFERROR(__xludf.DUMMYFUNCTION("""COMPUTED_VALUE"""),34.0)</f>
        <v>34</v>
      </c>
      <c r="H162" s="16">
        <f>IFERROR(__xludf.DUMMYFUNCTION("""COMPUTED_VALUE"""),28.0)</f>
        <v>28</v>
      </c>
      <c r="I162" s="16">
        <f>IFERROR(__xludf.DUMMYFUNCTION("""COMPUTED_VALUE"""),1.0)</f>
        <v>1</v>
      </c>
      <c r="J162" s="16">
        <f>IFERROR(__xludf.DUMMYFUNCTION("""COMPUTED_VALUE"""),0.0)</f>
        <v>0</v>
      </c>
      <c r="K162" s="16">
        <f>IFERROR(__xludf.DUMMYFUNCTION("""COMPUTED_VALUE"""),3.0)</f>
        <v>3</v>
      </c>
      <c r="L162" s="16">
        <f>IFERROR(__xludf.DUMMYFUNCTION("""COMPUTED_VALUE"""),0.0)</f>
        <v>0</v>
      </c>
      <c r="M162" s="16">
        <f>IFERROR(__xludf.DUMMYFUNCTION("""COMPUTED_VALUE"""),0.0)</f>
        <v>0</v>
      </c>
      <c r="N162" s="16">
        <f>IFERROR(__xludf.DUMMYFUNCTION("""COMPUTED_VALUE"""),0.0)</f>
        <v>0</v>
      </c>
      <c r="O162" s="16">
        <f>IFERROR(__xludf.DUMMYFUNCTION("""COMPUTED_VALUE"""),3.0)</f>
        <v>3</v>
      </c>
      <c r="P162" s="16">
        <f>IFERROR(__xludf.DUMMYFUNCTION("""COMPUTED_VALUE"""),3.0)</f>
        <v>3</v>
      </c>
      <c r="Q162" s="16">
        <f>IFERROR(__xludf.DUMMYFUNCTION("""COMPUTED_VALUE"""),3.0)</f>
        <v>3</v>
      </c>
      <c r="R162" s="16">
        <f>IFERROR(__xludf.DUMMYFUNCTION("""COMPUTED_VALUE"""),3.0)</f>
        <v>3</v>
      </c>
      <c r="S162" s="16">
        <f>IFERROR(__xludf.DUMMYFUNCTION("""COMPUTED_VALUE"""),11.2)</f>
        <v>11.2</v>
      </c>
      <c r="T162" s="16">
        <f>IFERROR(__xludf.DUMMYFUNCTION("""COMPUTED_VALUE"""),13.9)</f>
        <v>13.9</v>
      </c>
      <c r="U162" s="16">
        <f>IFERROR(__xludf.DUMMYFUNCTION("""COMPUTED_VALUE"""),1.0)</f>
        <v>1</v>
      </c>
      <c r="V162" s="16">
        <f>IFERROR(__xludf.DUMMYFUNCTION("""COMPUTED_VALUE"""),0.0)</f>
        <v>0</v>
      </c>
      <c r="W162" s="16">
        <f>IFERROR(__xludf.DUMMYFUNCTION("""COMPUTED_VALUE"""),2.0)</f>
        <v>2</v>
      </c>
      <c r="X162" s="16">
        <f>IFERROR(__xludf.DUMMYFUNCTION("""COMPUTED_VALUE"""),0.0)</f>
        <v>0</v>
      </c>
      <c r="Y162" s="16">
        <f>IFERROR(__xludf.DUMMYFUNCTION("""COMPUTED_VALUE"""),11.2)</f>
        <v>11.2</v>
      </c>
      <c r="Z162" s="16">
        <f>IFERROR(__xludf.DUMMYFUNCTION("""COMPUTED_VALUE"""),13.9)</f>
        <v>13.9</v>
      </c>
      <c r="AA162" s="16">
        <f>IFERROR(__xludf.DUMMYFUNCTION("""COMPUTED_VALUE"""),2.0)</f>
        <v>2</v>
      </c>
      <c r="AB162" s="16">
        <f>IFERROR(__xludf.DUMMYFUNCTION("""COMPUTED_VALUE"""),2.0)</f>
        <v>2</v>
      </c>
      <c r="AC162" s="16">
        <f>IFERROR(__xludf.DUMMYFUNCTION("""COMPUTED_VALUE"""),10.0)</f>
        <v>10</v>
      </c>
      <c r="AD162" s="16">
        <f>IFERROR(__xludf.DUMMYFUNCTION("""COMPUTED_VALUE"""),10.0)</f>
        <v>10</v>
      </c>
      <c r="AE162" s="16">
        <f>IFERROR(__xludf.DUMMYFUNCTION("""COMPUTED_VALUE"""),19.0)</f>
        <v>19</v>
      </c>
      <c r="AF162" s="16">
        <f>IFERROR(__xludf.DUMMYFUNCTION("""COMPUTED_VALUE"""),24.9)</f>
        <v>24.9</v>
      </c>
      <c r="AG162" s="16">
        <f>IFERROR(__xludf.DUMMYFUNCTION("""COMPUTED_VALUE"""),1.0)</f>
        <v>1</v>
      </c>
      <c r="AH162" s="16">
        <f>IFERROR(__xludf.DUMMYFUNCTION("""COMPUTED_VALUE"""),0.0)</f>
        <v>0</v>
      </c>
      <c r="AI162" s="16">
        <f>IFERROR(__xludf.DUMMYFUNCTION("""COMPUTED_VALUE"""),2.0)</f>
        <v>2</v>
      </c>
      <c r="AJ162" s="16">
        <f>IFERROR(__xludf.DUMMYFUNCTION("""COMPUTED_VALUE"""),0.0)</f>
        <v>0</v>
      </c>
      <c r="AK162" s="16">
        <f>IFERROR(__xludf.DUMMYFUNCTION("""COMPUTED_VALUE"""),8.6)</f>
        <v>8.6</v>
      </c>
      <c r="AL162" s="16">
        <f>IFERROR(__xludf.DUMMYFUNCTION("""COMPUTED_VALUE"""),11.100000000000001)</f>
        <v>11.1</v>
      </c>
      <c r="AM162" s="16">
        <f>IFERROR(__xludf.DUMMYFUNCTION("""COMPUTED_VALUE"""),1.0)</f>
        <v>1</v>
      </c>
      <c r="AN162" s="16">
        <f>IFERROR(__xludf.DUMMYFUNCTION("""COMPUTED_VALUE"""),1.0)</f>
        <v>1</v>
      </c>
      <c r="AO162" s="16">
        <f>IFERROR(__xludf.DUMMYFUNCTION("""COMPUTED_VALUE"""),1.0)</f>
        <v>1</v>
      </c>
      <c r="AP162" s="16">
        <f>IFERROR(__xludf.DUMMYFUNCTION("""COMPUTED_VALUE"""),1.0)</f>
        <v>1</v>
      </c>
      <c r="AQ162" s="16">
        <f>IFERROR(__xludf.DUMMYFUNCTION("""COMPUTED_VALUE"""),8.6)</f>
        <v>8.6</v>
      </c>
      <c r="AR162" s="16">
        <f>IFERROR(__xludf.DUMMYFUNCTION("""COMPUTED_VALUE"""),13.7)</f>
        <v>13.7</v>
      </c>
      <c r="AS162" s="16">
        <f>IFERROR(__xludf.DUMMYFUNCTION("""COMPUTED_VALUE"""),1.0)</f>
        <v>1</v>
      </c>
      <c r="AT162" s="16">
        <f>IFERROR(__xludf.DUMMYFUNCTION("""COMPUTED_VALUE"""),1.0)</f>
        <v>1</v>
      </c>
      <c r="AU162" s="16">
        <f>IFERROR(__xludf.DUMMYFUNCTION("""COMPUTED_VALUE"""),2.0)</f>
        <v>2</v>
      </c>
      <c r="AV162" s="16">
        <f>IFERROR(__xludf.DUMMYFUNCTION("""COMPUTED_VALUE"""),2.0)</f>
        <v>2</v>
      </c>
      <c r="AW162" s="16">
        <f>IFERROR(__xludf.DUMMYFUNCTION("""COMPUTED_VALUE"""),2.6)</f>
        <v>2.6</v>
      </c>
      <c r="AX162" s="16">
        <f>IFERROR(__xludf.DUMMYFUNCTION("""COMPUTED_VALUE"""),2.8)</f>
        <v>2.8</v>
      </c>
      <c r="AY162" s="16">
        <f>IFERROR(__xludf.DUMMYFUNCTION("""COMPUTED_VALUE"""),-1.0)</f>
        <v>-1</v>
      </c>
      <c r="AZ162" s="16">
        <f>IFERROR(__xludf.DUMMYFUNCTION("""COMPUTED_VALUE"""),-1.0)</f>
        <v>-1</v>
      </c>
      <c r="BA162" s="16">
        <f>IFERROR(__xludf.DUMMYFUNCTION("""COMPUTED_VALUE"""),-5.0)</f>
        <v>-5</v>
      </c>
      <c r="BB162" s="16">
        <f>IFERROR(__xludf.DUMMYFUNCTION("""COMPUTED_VALUE"""),-5.0)</f>
        <v>-5</v>
      </c>
      <c r="BC162" s="16">
        <f>IFERROR(__xludf.DUMMYFUNCTION("""COMPUTED_VALUE"""),5.0)</f>
        <v>5</v>
      </c>
      <c r="BD162" s="16">
        <f>IFERROR(__xludf.DUMMYFUNCTION("""COMPUTED_VALUE"""),5.0)</f>
        <v>5</v>
      </c>
      <c r="BE162" s="16">
        <f>IFERROR(__xludf.DUMMYFUNCTION("""COMPUTED_VALUE"""),5.0)</f>
        <v>5</v>
      </c>
      <c r="BF162" s="16">
        <f>IFERROR(__xludf.DUMMYFUNCTION("""COMPUTED_VALUE"""),5.0)</f>
        <v>5</v>
      </c>
      <c r="BG162" s="16">
        <f>IFERROR(__xludf.DUMMYFUNCTION("""COMPUTED_VALUE"""),-2.0)</f>
        <v>-2</v>
      </c>
      <c r="BH162" s="16">
        <f>IFERROR(__xludf.DUMMYFUNCTION("""COMPUTED_VALUE"""),-2.0)</f>
        <v>-2</v>
      </c>
      <c r="BI162" s="16">
        <f>IFERROR(__xludf.DUMMYFUNCTION("""COMPUTED_VALUE"""),-4.0)</f>
        <v>-4</v>
      </c>
      <c r="BJ162" s="16">
        <f>IFERROR(__xludf.DUMMYFUNCTION("""COMPUTED_VALUE"""),-4.0)</f>
        <v>-4</v>
      </c>
      <c r="BK162" s="16">
        <f>IFERROR(__xludf.DUMMYFUNCTION("""COMPUTED_VALUE"""),5.0)</f>
        <v>5</v>
      </c>
      <c r="BL162" s="16">
        <f>IFERROR(__xludf.DUMMYFUNCTION("""COMPUTED_VALUE"""),5.0)</f>
        <v>5</v>
      </c>
      <c r="BM162" s="16">
        <f>IFERROR(__xludf.DUMMYFUNCTION("""COMPUTED_VALUE"""),0.0)</f>
        <v>0</v>
      </c>
      <c r="BN162" s="16">
        <f>IFERROR(__xludf.DUMMYFUNCTION("""COMPUTED_VALUE"""),0.0)</f>
        <v>0</v>
      </c>
      <c r="BO162" s="16">
        <f>IFERROR(__xludf.DUMMYFUNCTION("""COMPUTED_VALUE"""),0.0)</f>
        <v>0</v>
      </c>
      <c r="BP162" s="16">
        <f>IFERROR(__xludf.DUMMYFUNCTION("""COMPUTED_VALUE"""),0.0)</f>
        <v>0</v>
      </c>
      <c r="BQ162" s="16">
        <f>IFERROR(__xludf.DUMMYFUNCTION("""COMPUTED_VALUE"""),2.0)</f>
        <v>2</v>
      </c>
      <c r="BR162" s="16">
        <f>IFERROR(__xludf.DUMMYFUNCTION("""COMPUTED_VALUE"""),2.0)</f>
        <v>2</v>
      </c>
      <c r="BS162" s="16">
        <f>IFERROR(__xludf.DUMMYFUNCTION("""COMPUTED_VALUE"""),-2.0)</f>
        <v>-2</v>
      </c>
      <c r="BT162" s="16">
        <f>IFERROR(__xludf.DUMMYFUNCTION("""COMPUTED_VALUE"""),-2.0)</f>
        <v>-2</v>
      </c>
      <c r="BU162" s="16">
        <f>IFERROR(__xludf.DUMMYFUNCTION("""COMPUTED_VALUE"""),-4.0)</f>
        <v>-4</v>
      </c>
      <c r="BV162" s="16">
        <f>IFERROR(__xludf.DUMMYFUNCTION("""COMPUTED_VALUE"""),-4.0)</f>
        <v>-4</v>
      </c>
      <c r="BW162" s="16">
        <f>IFERROR(__xludf.DUMMYFUNCTION("""COMPUTED_VALUE"""),-6.0)</f>
        <v>-6</v>
      </c>
      <c r="BX162" s="16">
        <f>IFERROR(__xludf.DUMMYFUNCTION("""COMPUTED_VALUE"""),-6.0)</f>
        <v>-6</v>
      </c>
      <c r="BY162" s="16" t="str">
        <f>IFERROR(__xludf.DUMMYFUNCTION("""COMPUTED_VALUE"""),"S(6)")</f>
        <v>S(6)</v>
      </c>
      <c r="BZ162" s="16" t="str">
        <f>IFERROR(__xludf.DUMMYFUNCTION("""COMPUTED_VALUE"""),"S(6)")</f>
        <v>S(6)</v>
      </c>
      <c r="CA162" s="16" t="str">
        <f>IFERROR(__xludf.DUMMYFUNCTION("""COMPUTED_VALUE"""),"S(6)")</f>
        <v>S(6)</v>
      </c>
      <c r="CB162" s="16"/>
      <c r="CC162" s="16"/>
      <c r="CD162" s="16">
        <f>IFERROR(__xludf.DUMMYFUNCTION("""COMPUTED_VALUE"""),6.0)</f>
        <v>6</v>
      </c>
      <c r="CE162" s="16"/>
      <c r="CF162" s="16"/>
      <c r="CG162" s="16" t="str">
        <f>IFERROR(__xludf.DUMMYFUNCTION("""COMPUTED_VALUE"""),"2-0")</f>
        <v>2-0</v>
      </c>
      <c r="CH162" s="16">
        <f>IFERROR(__xludf.DUMMYFUNCTION("""COMPUTED_VALUE"""),2.0)</f>
        <v>2</v>
      </c>
      <c r="CI162" s="16">
        <f>IFERROR(__xludf.DUMMYFUNCTION("""COMPUTED_VALUE"""),0.0)</f>
        <v>0</v>
      </c>
      <c r="CJ162" s="16">
        <f>IFERROR(__xludf.DUMMYFUNCTION("""COMPUTED_VALUE"""),0.0)</f>
        <v>0</v>
      </c>
      <c r="CK162" s="16">
        <f>IFERROR(__xludf.DUMMYFUNCTION("""COMPUTED_VALUE"""),3.0)</f>
        <v>3</v>
      </c>
      <c r="CL162" s="16" t="str">
        <f>IFERROR(__xludf.DUMMYFUNCTION("""COMPUTED_VALUE"""),"1WL-C")</f>
        <v>1WL-C</v>
      </c>
      <c r="CM162" s="16" t="str">
        <f>IFERROR(__xludf.DUMMYFUNCTION("""COMPUTED_VALUE"""),"E")</f>
        <v>E</v>
      </c>
      <c r="CN162" s="16">
        <f>IFERROR(__xludf.DUMMYFUNCTION("""COMPUTED_VALUE"""),10.0)</f>
        <v>10</v>
      </c>
      <c r="CO162" s="16" t="str">
        <f>IFERROR(__xludf.DUMMYFUNCTION("""COMPUTED_VALUE"""),"C")</f>
        <v>C</v>
      </c>
      <c r="CP162" s="16" t="str">
        <f>IFERROR(__xludf.DUMMYFUNCTION("""COMPUTED_VALUE"""),"1p70")</f>
        <v>1p70</v>
      </c>
      <c r="CQ162" s="16">
        <f>IFERROR(__xludf.DUMMYFUNCTION("""COMPUTED_VALUE"""),10.0)</f>
        <v>10</v>
      </c>
      <c r="CR162" s="16">
        <f>IFERROR(__xludf.DUMMYFUNCTION("""COMPUTED_VALUE"""),3.0)</f>
        <v>3</v>
      </c>
      <c r="CS162" s="16">
        <f>IFERROR(__xludf.DUMMYFUNCTION("""COMPUTED_VALUE"""),13.0)</f>
        <v>13</v>
      </c>
      <c r="CT162" s="16">
        <f>IFERROR(__xludf.DUMMYFUNCTION("""COMPUTED_VALUE"""),10.0)</f>
        <v>10</v>
      </c>
      <c r="CU162" s="16">
        <f>IFERROR(__xludf.DUMMYFUNCTION("""COMPUTED_VALUE"""),3.0)</f>
        <v>3</v>
      </c>
      <c r="CV162" s="179">
        <f>IFERROR(__xludf.DUMMYFUNCTION("""COMPUTED_VALUE"""),12.333333333333332)</f>
        <v>12.33333333</v>
      </c>
      <c r="CW162" s="179">
        <f>IFERROR(__xludf.DUMMYFUNCTION("""COMPUTED_VALUE"""),4.0)</f>
        <v>4</v>
      </c>
      <c r="CX162" s="179">
        <f>IFERROR(__xludf.DUMMYFUNCTION("""COMPUTED_VALUE"""),3.0)</f>
        <v>3</v>
      </c>
      <c r="CY162" s="16" t="str">
        <f>IFERROR(__xludf.DUMMYFUNCTION("""COMPUTED_VALUE"""),"SP")</f>
        <v>SP</v>
      </c>
      <c r="CZ162" s="16"/>
      <c r="DA162" s="16"/>
      <c r="DB162" s="16"/>
      <c r="DC162" s="16"/>
      <c r="DD162" s="16"/>
      <c r="DE162" s="16"/>
      <c r="DF162" s="16"/>
      <c r="DG162" s="16"/>
      <c r="DH162" s="16"/>
      <c r="DI162" s="16"/>
      <c r="DJ162" s="16"/>
      <c r="DK162" s="16"/>
    </row>
    <row r="163">
      <c r="A163" s="16">
        <f>IFERROR(__xludf.DUMMYFUNCTION("""COMPUTED_VALUE"""),13329.0)</f>
        <v>13329</v>
      </c>
      <c r="B163" s="16" t="str">
        <f>IFERROR(__xludf.DUMMYFUNCTION("""COMPUTED_VALUE"""),"Ryan Burr")</f>
        <v>Ryan Burr</v>
      </c>
      <c r="C163" s="153">
        <f>IFERROR(__xludf.DUMMYFUNCTION("""COMPUTED_VALUE"""),0.0)</f>
        <v>0</v>
      </c>
      <c r="D163" s="16"/>
      <c r="E163" s="16" t="str">
        <f>IFERROR(__xludf.DUMMYFUNCTION("""COMPUTED_VALUE"""),"R")</f>
        <v>R</v>
      </c>
      <c r="F163" s="16">
        <f>IFERROR(__xludf.DUMMYFUNCTION("""COMPUTED_VALUE"""),33.0)</f>
        <v>33</v>
      </c>
      <c r="G163" s="16">
        <f>IFERROR(__xludf.DUMMYFUNCTION("""COMPUTED_VALUE"""),41.0)</f>
        <v>41</v>
      </c>
      <c r="H163" s="16">
        <f>IFERROR(__xludf.DUMMYFUNCTION("""COMPUTED_VALUE"""),45.0)</f>
        <v>45</v>
      </c>
      <c r="I163" s="16">
        <f>IFERROR(__xludf.DUMMYFUNCTION("""COMPUTED_VALUE"""),2.0)</f>
        <v>2</v>
      </c>
      <c r="J163" s="16">
        <f>IFERROR(__xludf.DUMMYFUNCTION("""COMPUTED_VALUE"""),2.0)</f>
        <v>2</v>
      </c>
      <c r="K163" s="16">
        <f>IFERROR(__xludf.DUMMYFUNCTION("""COMPUTED_VALUE"""),6.0)</f>
        <v>6</v>
      </c>
      <c r="L163" s="16">
        <f>IFERROR(__xludf.DUMMYFUNCTION("""COMPUTED_VALUE"""),6.0)</f>
        <v>6</v>
      </c>
      <c r="M163" s="16">
        <f>IFERROR(__xludf.DUMMYFUNCTION("""COMPUTED_VALUE"""),16.0)</f>
        <v>16</v>
      </c>
      <c r="N163" s="16">
        <f>IFERROR(__xludf.DUMMYFUNCTION("""COMPUTED_VALUE"""),7.0)</f>
        <v>7</v>
      </c>
      <c r="O163" s="16">
        <f>IFERROR(__xludf.DUMMYFUNCTION("""COMPUTED_VALUE"""),-2.0)</f>
        <v>-2</v>
      </c>
      <c r="P163" s="16">
        <f>IFERROR(__xludf.DUMMYFUNCTION("""COMPUTED_VALUE"""),1.0)</f>
        <v>1</v>
      </c>
      <c r="Q163" s="16">
        <f>IFERROR(__xludf.DUMMYFUNCTION("""COMPUTED_VALUE"""),-2.0)</f>
        <v>-2</v>
      </c>
      <c r="R163" s="16">
        <f>IFERROR(__xludf.DUMMYFUNCTION("""COMPUTED_VALUE"""),1.0)</f>
        <v>1</v>
      </c>
      <c r="S163" s="16">
        <f>IFERROR(__xludf.DUMMYFUNCTION("""COMPUTED_VALUE"""),14.1)</f>
        <v>14.1</v>
      </c>
      <c r="T163" s="16">
        <f>IFERROR(__xludf.DUMMYFUNCTION("""COMPUTED_VALUE"""),12.8)</f>
        <v>12.8</v>
      </c>
      <c r="U163" s="16">
        <f>IFERROR(__xludf.DUMMYFUNCTION("""COMPUTED_VALUE"""),0.0)</f>
        <v>0</v>
      </c>
      <c r="V163" s="16">
        <f>IFERROR(__xludf.DUMMYFUNCTION("""COMPUTED_VALUE"""),1.0)</f>
        <v>1</v>
      </c>
      <c r="W163" s="16">
        <f>IFERROR(__xludf.DUMMYFUNCTION("""COMPUTED_VALUE"""),0.0)</f>
        <v>0</v>
      </c>
      <c r="X163" s="16">
        <f>IFERROR(__xludf.DUMMYFUNCTION("""COMPUTED_VALUE"""),2.0)</f>
        <v>2</v>
      </c>
      <c r="Y163" s="16">
        <f>IFERROR(__xludf.DUMMYFUNCTION("""COMPUTED_VALUE"""),30.1)</f>
        <v>30.1</v>
      </c>
      <c r="Z163" s="16">
        <f>IFERROR(__xludf.DUMMYFUNCTION("""COMPUTED_VALUE"""),19.8)</f>
        <v>19.8</v>
      </c>
      <c r="AA163" s="16">
        <f>IFERROR(__xludf.DUMMYFUNCTION("""COMPUTED_VALUE"""),-1.0)</f>
        <v>-1</v>
      </c>
      <c r="AB163" s="16">
        <f>IFERROR(__xludf.DUMMYFUNCTION("""COMPUTED_VALUE"""),1.0)</f>
        <v>1</v>
      </c>
      <c r="AC163" s="16">
        <f>IFERROR(__xludf.DUMMYFUNCTION("""COMPUTED_VALUE"""),-5.0)</f>
        <v>-5</v>
      </c>
      <c r="AD163" s="16">
        <f>IFERROR(__xludf.DUMMYFUNCTION("""COMPUTED_VALUE"""),5.0)</f>
        <v>5</v>
      </c>
      <c r="AE163" s="16">
        <f>IFERROR(__xludf.DUMMYFUNCTION("""COMPUTED_VALUE"""),27.8)</f>
        <v>27.8</v>
      </c>
      <c r="AF163" s="16">
        <f>IFERROR(__xludf.DUMMYFUNCTION("""COMPUTED_VALUE"""),29.6)</f>
        <v>29.6</v>
      </c>
      <c r="AG163" s="16">
        <f>IFERROR(__xludf.DUMMYFUNCTION("""COMPUTED_VALUE"""),0.0)</f>
        <v>0</v>
      </c>
      <c r="AH163" s="16">
        <f>IFERROR(__xludf.DUMMYFUNCTION("""COMPUTED_VALUE"""),0.0)</f>
        <v>0</v>
      </c>
      <c r="AI163" s="16">
        <f>IFERROR(__xludf.DUMMYFUNCTION("""COMPUTED_VALUE"""),0.0)</f>
        <v>0</v>
      </c>
      <c r="AJ163" s="16">
        <f>IFERROR(__xludf.DUMMYFUNCTION("""COMPUTED_VALUE"""),0.0)</f>
        <v>0</v>
      </c>
      <c r="AK163" s="16">
        <f>IFERROR(__xludf.DUMMYFUNCTION("""COMPUTED_VALUE"""),13.7)</f>
        <v>13.7</v>
      </c>
      <c r="AL163" s="16">
        <f>IFERROR(__xludf.DUMMYFUNCTION("""COMPUTED_VALUE"""),10.600000000000001)</f>
        <v>10.6</v>
      </c>
      <c r="AM163" s="16">
        <f>IFERROR(__xludf.DUMMYFUNCTION("""COMPUTED_VALUE"""),0.0)</f>
        <v>0</v>
      </c>
      <c r="AN163" s="16">
        <f>IFERROR(__xludf.DUMMYFUNCTION("""COMPUTED_VALUE"""),1.0)</f>
        <v>1</v>
      </c>
      <c r="AO163" s="16">
        <f>IFERROR(__xludf.DUMMYFUNCTION("""COMPUTED_VALUE"""),0.0)</f>
        <v>0</v>
      </c>
      <c r="AP163" s="16">
        <f>IFERROR(__xludf.DUMMYFUNCTION("""COMPUTED_VALUE"""),1.0)</f>
        <v>1</v>
      </c>
      <c r="AQ163" s="16">
        <f>IFERROR(__xludf.DUMMYFUNCTION("""COMPUTED_VALUE"""),26.2)</f>
        <v>26.2</v>
      </c>
      <c r="AR163" s="16">
        <f>IFERROR(__xludf.DUMMYFUNCTION("""COMPUTED_VALUE"""),20.8)</f>
        <v>20.8</v>
      </c>
      <c r="AS163" s="16">
        <f>IFERROR(__xludf.DUMMYFUNCTION("""COMPUTED_VALUE"""),-1.0)</f>
        <v>-1</v>
      </c>
      <c r="AT163" s="16">
        <f>IFERROR(__xludf.DUMMYFUNCTION("""COMPUTED_VALUE"""),0.0)</f>
        <v>0</v>
      </c>
      <c r="AU163" s="16">
        <f>IFERROR(__xludf.DUMMYFUNCTION("""COMPUTED_VALUE"""),-2.0)</f>
        <v>-2</v>
      </c>
      <c r="AV163" s="16">
        <f>IFERROR(__xludf.DUMMYFUNCTION("""COMPUTED_VALUE"""),0.0)</f>
        <v>0</v>
      </c>
      <c r="AW163" s="16">
        <f>IFERROR(__xludf.DUMMYFUNCTION("""COMPUTED_VALUE"""),0.4)</f>
        <v>0.4</v>
      </c>
      <c r="AX163" s="16">
        <f>IFERROR(__xludf.DUMMYFUNCTION("""COMPUTED_VALUE"""),2.2)</f>
        <v>2.2</v>
      </c>
      <c r="AY163" s="16">
        <f>IFERROR(__xludf.DUMMYFUNCTION("""COMPUTED_VALUE"""),2.0)</f>
        <v>2</v>
      </c>
      <c r="AZ163" s="16">
        <f>IFERROR(__xludf.DUMMYFUNCTION("""COMPUTED_VALUE"""),0.0)</f>
        <v>0</v>
      </c>
      <c r="BA163" s="16">
        <f>IFERROR(__xludf.DUMMYFUNCTION("""COMPUTED_VALUE"""),10.0)</f>
        <v>10</v>
      </c>
      <c r="BB163" s="16">
        <f>IFERROR(__xludf.DUMMYFUNCTION("""COMPUTED_VALUE"""),0.0)</f>
        <v>0</v>
      </c>
      <c r="BC163" s="16"/>
      <c r="BD163" s="16">
        <f>IFERROR(__xludf.DUMMYFUNCTION("""COMPUTED_VALUE"""),4.0)</f>
        <v>4</v>
      </c>
      <c r="BE163" s="16">
        <f>IFERROR(__xludf.DUMMYFUNCTION("""COMPUTED_VALUE"""),1.0)</f>
        <v>1</v>
      </c>
      <c r="BF163" s="16">
        <f>IFERROR(__xludf.DUMMYFUNCTION("""COMPUTED_VALUE"""),4.0)</f>
        <v>4</v>
      </c>
      <c r="BG163" s="16">
        <f>IFERROR(__xludf.DUMMYFUNCTION("""COMPUTED_VALUE"""),2.0)</f>
        <v>2</v>
      </c>
      <c r="BH163" s="16">
        <f>IFERROR(__xludf.DUMMYFUNCTION("""COMPUTED_VALUE"""),-1.0)</f>
        <v>-1</v>
      </c>
      <c r="BI163" s="16">
        <f>IFERROR(__xludf.DUMMYFUNCTION("""COMPUTED_VALUE"""),4.0)</f>
        <v>4</v>
      </c>
      <c r="BJ163" s="16">
        <f>IFERROR(__xludf.DUMMYFUNCTION("""COMPUTED_VALUE"""),-2.0)</f>
        <v>-2</v>
      </c>
      <c r="BK163" s="16">
        <f>IFERROR(__xludf.DUMMYFUNCTION("""COMPUTED_VALUE"""),0.0)</f>
        <v>0</v>
      </c>
      <c r="BL163" s="16">
        <f>IFERROR(__xludf.DUMMYFUNCTION("""COMPUTED_VALUE"""),5.0)</f>
        <v>5</v>
      </c>
      <c r="BM163" s="16">
        <f>IFERROR(__xludf.DUMMYFUNCTION("""COMPUTED_VALUE"""),1.0)</f>
        <v>1</v>
      </c>
      <c r="BN163" s="16">
        <f>IFERROR(__xludf.DUMMYFUNCTION("""COMPUTED_VALUE"""),0.0)</f>
        <v>0</v>
      </c>
      <c r="BO163" s="16">
        <f>IFERROR(__xludf.DUMMYFUNCTION("""COMPUTED_VALUE"""),1.0)</f>
        <v>1</v>
      </c>
      <c r="BP163" s="16">
        <f>IFERROR(__xludf.DUMMYFUNCTION("""COMPUTED_VALUE"""),0.0)</f>
        <v>0</v>
      </c>
      <c r="BQ163" s="16">
        <f>IFERROR(__xludf.DUMMYFUNCTION("""COMPUTED_VALUE"""),0.0)</f>
        <v>0</v>
      </c>
      <c r="BR163" s="16">
        <f>IFERROR(__xludf.DUMMYFUNCTION("""COMPUTED_VALUE"""),0.0)</f>
        <v>0</v>
      </c>
      <c r="BS163" s="16">
        <f>IFERROR(__xludf.DUMMYFUNCTION("""COMPUTED_VALUE"""),-3.0)</f>
        <v>-3</v>
      </c>
      <c r="BT163" s="16">
        <f>IFERROR(__xludf.DUMMYFUNCTION("""COMPUTED_VALUE"""),-3.0)</f>
        <v>-3</v>
      </c>
      <c r="BU163" s="16">
        <f>IFERROR(__xludf.DUMMYFUNCTION("""COMPUTED_VALUE"""),-6.0)</f>
        <v>-6</v>
      </c>
      <c r="BV163" s="16">
        <f>IFERROR(__xludf.DUMMYFUNCTION("""COMPUTED_VALUE"""),-6.0)</f>
        <v>-6</v>
      </c>
      <c r="BW163" s="16">
        <f>IFERROR(__xludf.DUMMYFUNCTION("""COMPUTED_VALUE"""),0.0)</f>
        <v>0</v>
      </c>
      <c r="BX163" s="16">
        <f>IFERROR(__xludf.DUMMYFUNCTION("""COMPUTED_VALUE"""),0.0)</f>
        <v>0</v>
      </c>
      <c r="BY163" s="16" t="str">
        <f>IFERROR(__xludf.DUMMYFUNCTION("""COMPUTED_VALUE"""),"S(1) R(1)")</f>
        <v>S(1) R(1)</v>
      </c>
      <c r="BZ163" s="16" t="str">
        <f>IFERROR(__xludf.DUMMYFUNCTION("""COMPUTED_VALUE"""),"S(1) R(1)")</f>
        <v>S(1) R(1)</v>
      </c>
      <c r="CA163" s="16" t="str">
        <f>IFERROR(__xludf.DUMMYFUNCTION("""COMPUTED_VALUE"""),"S(1)")</f>
        <v>S(1)</v>
      </c>
      <c r="CB163" s="16" t="str">
        <f>IFERROR(__xludf.DUMMYFUNCTION("""COMPUTED_VALUE"""),"R(1)")</f>
        <v>R(1)</v>
      </c>
      <c r="CC163" s="16"/>
      <c r="CD163" s="16">
        <f>IFERROR(__xludf.DUMMYFUNCTION("""COMPUTED_VALUE"""),1.0)</f>
        <v>1</v>
      </c>
      <c r="CE163" s="16">
        <f>IFERROR(__xludf.DUMMYFUNCTION("""COMPUTED_VALUE"""),1.0)</f>
        <v>1</v>
      </c>
      <c r="CF163" s="16"/>
      <c r="CG163" s="16" t="str">
        <f>IFERROR(__xludf.DUMMYFUNCTION("""COMPUTED_VALUE"""),"3-44")</f>
        <v>3-44</v>
      </c>
      <c r="CH163" s="16">
        <f>IFERROR(__xludf.DUMMYFUNCTION("""COMPUTED_VALUE"""),3.0)</f>
        <v>3</v>
      </c>
      <c r="CI163" s="16">
        <f>IFERROR(__xludf.DUMMYFUNCTION("""COMPUTED_VALUE"""),44.0)</f>
        <v>44</v>
      </c>
      <c r="CJ163" s="16">
        <f>IFERROR(__xludf.DUMMYFUNCTION("""COMPUTED_VALUE"""),0.0)</f>
        <v>0</v>
      </c>
      <c r="CK163" s="16">
        <f>IFERROR(__xludf.DUMMYFUNCTION("""COMPUTED_VALUE"""),0.0)</f>
        <v>0</v>
      </c>
      <c r="CL163" s="16" t="str">
        <f>IFERROR(__xludf.DUMMYFUNCTION("""COMPUTED_VALUE"""),"1WR-C")</f>
        <v>1WR-C</v>
      </c>
      <c r="CM163" s="16" t="str">
        <f>IFERROR(__xludf.DUMMYFUNCTION("""COMPUTED_VALUE"""),"E")</f>
        <v>E</v>
      </c>
      <c r="CN163" s="16">
        <f>IFERROR(__xludf.DUMMYFUNCTION("""COMPUTED_VALUE"""),10.0)</f>
        <v>10</v>
      </c>
      <c r="CO163" s="16" t="str">
        <f>IFERROR(__xludf.DUMMYFUNCTION("""COMPUTED_VALUE"""),"C")</f>
        <v>C</v>
      </c>
      <c r="CP163" s="16" t="str">
        <f>IFERROR(__xludf.DUMMYFUNCTION("""COMPUTED_VALUE"""),"1p30")</f>
        <v>1p30</v>
      </c>
      <c r="CQ163" s="16">
        <f>IFERROR(__xludf.DUMMYFUNCTION("""COMPUTED_VALUE"""),6.0)</f>
        <v>6</v>
      </c>
      <c r="CR163" s="16">
        <f>IFERROR(__xludf.DUMMYFUNCTION("""COMPUTED_VALUE"""),7.0)</f>
        <v>7</v>
      </c>
      <c r="CS163" s="16">
        <f>IFERROR(__xludf.DUMMYFUNCTION("""COMPUTED_VALUE"""),13.0)</f>
        <v>13</v>
      </c>
      <c r="CT163" s="16">
        <f>IFERROR(__xludf.DUMMYFUNCTION("""COMPUTED_VALUE"""),6.0)</f>
        <v>6</v>
      </c>
      <c r="CU163" s="16">
        <f>IFERROR(__xludf.DUMMYFUNCTION("""COMPUTED_VALUE"""),7.0)</f>
        <v>7</v>
      </c>
      <c r="CV163" s="179">
        <f>IFERROR(__xludf.DUMMYFUNCTION("""COMPUTED_VALUE"""),12.333333333333332)</f>
        <v>12.33333333</v>
      </c>
      <c r="CW163" s="179">
        <f>IFERROR(__xludf.DUMMYFUNCTION("""COMPUTED_VALUE"""),4.0)</f>
        <v>4</v>
      </c>
      <c r="CX163" s="179">
        <f>IFERROR(__xludf.DUMMYFUNCTION("""COMPUTED_VALUE"""),2.0)</f>
        <v>2</v>
      </c>
      <c r="CY163" s="16" t="str">
        <f>IFERROR(__xludf.DUMMYFUNCTION("""COMPUTED_VALUE"""),"SP")</f>
        <v>SP</v>
      </c>
      <c r="CZ163" s="16" t="str">
        <f>IFERROR(__xludf.DUMMYFUNCTION("""COMPUTED_VALUE"""),"RP")</f>
        <v>RP</v>
      </c>
      <c r="DA163" s="16"/>
      <c r="DB163" s="16"/>
      <c r="DC163" s="16"/>
      <c r="DD163" s="16"/>
      <c r="DE163" s="16"/>
      <c r="DF163" s="16"/>
      <c r="DG163" s="16"/>
      <c r="DH163" s="16"/>
      <c r="DI163" s="16"/>
      <c r="DJ163" s="16"/>
      <c r="DK163" s="16"/>
    </row>
    <row r="164">
      <c r="A164" s="16">
        <f>IFERROR(__xludf.DUMMYFUNCTION("""COMPUTED_VALUE"""),13384.0)</f>
        <v>13384</v>
      </c>
      <c r="B164" s="16" t="str">
        <f>IFERROR(__xludf.DUMMYFUNCTION("""COMPUTED_VALUE"""),"Spencer Schwellenbach")</f>
        <v>Spencer Schwellenbach</v>
      </c>
      <c r="C164" s="153">
        <f>IFERROR(__xludf.DUMMYFUNCTION("""COMPUTED_VALUE"""),1.96)</f>
        <v>1.96</v>
      </c>
      <c r="D164" s="16"/>
      <c r="E164" s="16" t="str">
        <f>IFERROR(__xludf.DUMMYFUNCTION("""COMPUTED_VALUE"""),"R")</f>
        <v>R</v>
      </c>
      <c r="F164" s="16">
        <f>IFERROR(__xludf.DUMMYFUNCTION("""COMPUTED_VALUE"""),124.0)</f>
        <v>124</v>
      </c>
      <c r="G164" s="16">
        <f>IFERROR(__xludf.DUMMYFUNCTION("""COMPUTED_VALUE"""),24.0)</f>
        <v>24</v>
      </c>
      <c r="H164" s="16">
        <f>IFERROR(__xludf.DUMMYFUNCTION("""COMPUTED_VALUE"""),38.0)</f>
        <v>38</v>
      </c>
      <c r="I164" s="16">
        <f>IFERROR(__xludf.DUMMYFUNCTION("""COMPUTED_VALUE"""),-1.0)</f>
        <v>-1</v>
      </c>
      <c r="J164" s="16">
        <f>IFERROR(__xludf.DUMMYFUNCTION("""COMPUTED_VALUE"""),1.0)</f>
        <v>1</v>
      </c>
      <c r="K164" s="16">
        <f>IFERROR(__xludf.DUMMYFUNCTION("""COMPUTED_VALUE"""),-3.0)</f>
        <v>-3</v>
      </c>
      <c r="L164" s="16">
        <f>IFERROR(__xludf.DUMMYFUNCTION("""COMPUTED_VALUE"""),3.0)</f>
        <v>3</v>
      </c>
      <c r="M164" s="16">
        <f>IFERROR(__xludf.DUMMYFUNCTION("""COMPUTED_VALUE"""),3.0)</f>
        <v>3</v>
      </c>
      <c r="N164" s="16">
        <f>IFERROR(__xludf.DUMMYFUNCTION("""COMPUTED_VALUE"""),0.0)</f>
        <v>0</v>
      </c>
      <c r="O164" s="16">
        <f>IFERROR(__xludf.DUMMYFUNCTION("""COMPUTED_VALUE"""),2.0)</f>
        <v>2</v>
      </c>
      <c r="P164" s="16">
        <f>IFERROR(__xludf.DUMMYFUNCTION("""COMPUTED_VALUE"""),3.0)</f>
        <v>3</v>
      </c>
      <c r="Q164" s="16">
        <f>IFERROR(__xludf.DUMMYFUNCTION("""COMPUTED_VALUE"""),2.0)</f>
        <v>2</v>
      </c>
      <c r="R164" s="16">
        <f>IFERROR(__xludf.DUMMYFUNCTION("""COMPUTED_VALUE"""),3.0)</f>
        <v>3</v>
      </c>
      <c r="S164" s="16">
        <f>IFERROR(__xludf.DUMMYFUNCTION("""COMPUTED_VALUE"""),20.2)</f>
        <v>20.2</v>
      </c>
      <c r="T164" s="16">
        <f>IFERROR(__xludf.DUMMYFUNCTION("""COMPUTED_VALUE"""),10.1)</f>
        <v>10.1</v>
      </c>
      <c r="U164" s="16">
        <f>IFERROR(__xludf.DUMMYFUNCTION("""COMPUTED_VALUE"""),-1.0)</f>
        <v>-1</v>
      </c>
      <c r="V164" s="16">
        <f>IFERROR(__xludf.DUMMYFUNCTION("""COMPUTED_VALUE"""),1.0)</f>
        <v>1</v>
      </c>
      <c r="W164" s="16">
        <f>IFERROR(__xludf.DUMMYFUNCTION("""COMPUTED_VALUE"""),-2.0)</f>
        <v>-2</v>
      </c>
      <c r="X164" s="16">
        <f>IFERROR(__xludf.DUMMYFUNCTION("""COMPUTED_VALUE"""),2.0)</f>
        <v>2</v>
      </c>
      <c r="Y164" s="16">
        <f>IFERROR(__xludf.DUMMYFUNCTION("""COMPUTED_VALUE"""),23.2)</f>
        <v>23.2</v>
      </c>
      <c r="Z164" s="16">
        <f>IFERROR(__xludf.DUMMYFUNCTION("""COMPUTED_VALUE"""),10.1)</f>
        <v>10.1</v>
      </c>
      <c r="AA164" s="16">
        <f>IFERROR(__xludf.DUMMYFUNCTION("""COMPUTED_VALUE"""),0.0)</f>
        <v>0</v>
      </c>
      <c r="AB164" s="16">
        <f>IFERROR(__xludf.DUMMYFUNCTION("""COMPUTED_VALUE"""),2.0)</f>
        <v>2</v>
      </c>
      <c r="AC164" s="16">
        <f>IFERROR(__xludf.DUMMYFUNCTION("""COMPUTED_VALUE"""),0.0)</f>
        <v>0</v>
      </c>
      <c r="AD164" s="16">
        <f>IFERROR(__xludf.DUMMYFUNCTION("""COMPUTED_VALUE"""),10.0)</f>
        <v>10</v>
      </c>
      <c r="AE164" s="16">
        <f>IFERROR(__xludf.DUMMYFUNCTION("""COMPUTED_VALUE"""),39.2)</f>
        <v>39.2</v>
      </c>
      <c r="AF164" s="16">
        <f>IFERROR(__xludf.DUMMYFUNCTION("""COMPUTED_VALUE"""),23.5)</f>
        <v>23.5</v>
      </c>
      <c r="AG164" s="16">
        <f>IFERROR(__xludf.DUMMYFUNCTION("""COMPUTED_VALUE"""),-1.0)</f>
        <v>-1</v>
      </c>
      <c r="AH164" s="16">
        <f>IFERROR(__xludf.DUMMYFUNCTION("""COMPUTED_VALUE"""),1.0)</f>
        <v>1</v>
      </c>
      <c r="AI164" s="16">
        <f>IFERROR(__xludf.DUMMYFUNCTION("""COMPUTED_VALUE"""),-2.0)</f>
        <v>-2</v>
      </c>
      <c r="AJ164" s="16">
        <f>IFERROR(__xludf.DUMMYFUNCTION("""COMPUTED_VALUE"""),2.0)</f>
        <v>2</v>
      </c>
      <c r="AK164" s="16">
        <f>IFERROR(__xludf.DUMMYFUNCTION("""COMPUTED_VALUE"""),18.599999999999998)</f>
        <v>18.6</v>
      </c>
      <c r="AL164" s="16">
        <f>IFERROR(__xludf.DUMMYFUNCTION("""COMPUTED_VALUE"""),7.8999999999999995)</f>
        <v>7.9</v>
      </c>
      <c r="AM164" s="16">
        <f>IFERROR(__xludf.DUMMYFUNCTION("""COMPUTED_VALUE"""),-1.0)</f>
        <v>-1</v>
      </c>
      <c r="AN164" s="16">
        <f>IFERROR(__xludf.DUMMYFUNCTION("""COMPUTED_VALUE"""),1.0)</f>
        <v>1</v>
      </c>
      <c r="AO164" s="16">
        <f>IFERROR(__xludf.DUMMYFUNCTION("""COMPUTED_VALUE"""),-1.0)</f>
        <v>-1</v>
      </c>
      <c r="AP164" s="16">
        <f>IFERROR(__xludf.DUMMYFUNCTION("""COMPUTED_VALUE"""),1.0)</f>
        <v>1</v>
      </c>
      <c r="AQ164" s="16">
        <f>IFERROR(__xludf.DUMMYFUNCTION("""COMPUTED_VALUE"""),32.800000000000004)</f>
        <v>32.8</v>
      </c>
      <c r="AR164" s="16">
        <f>IFERROR(__xludf.DUMMYFUNCTION("""COMPUTED_VALUE"""),14.7)</f>
        <v>14.7</v>
      </c>
      <c r="AS164" s="16">
        <f>IFERROR(__xludf.DUMMYFUNCTION("""COMPUTED_VALUE"""),-2.0)</f>
        <v>-2</v>
      </c>
      <c r="AT164" s="16">
        <f>IFERROR(__xludf.DUMMYFUNCTION("""COMPUTED_VALUE"""),1.0)</f>
        <v>1</v>
      </c>
      <c r="AU164" s="16">
        <f>IFERROR(__xludf.DUMMYFUNCTION("""COMPUTED_VALUE"""),-4.0)</f>
        <v>-4</v>
      </c>
      <c r="AV164" s="16">
        <f>IFERROR(__xludf.DUMMYFUNCTION("""COMPUTED_VALUE"""),2.0)</f>
        <v>2</v>
      </c>
      <c r="AW164" s="16">
        <f>IFERROR(__xludf.DUMMYFUNCTION("""COMPUTED_VALUE"""),1.6)</f>
        <v>1.6</v>
      </c>
      <c r="AX164" s="16">
        <f>IFERROR(__xludf.DUMMYFUNCTION("""COMPUTED_VALUE"""),2.2)</f>
        <v>2.2</v>
      </c>
      <c r="AY164" s="16">
        <f>IFERROR(__xludf.DUMMYFUNCTION("""COMPUTED_VALUE"""),1.0)</f>
        <v>1</v>
      </c>
      <c r="AZ164" s="16">
        <f>IFERROR(__xludf.DUMMYFUNCTION("""COMPUTED_VALUE"""),0.0)</f>
        <v>0</v>
      </c>
      <c r="BA164" s="16">
        <f>IFERROR(__xludf.DUMMYFUNCTION("""COMPUTED_VALUE"""),5.0)</f>
        <v>5</v>
      </c>
      <c r="BB164" s="16">
        <f>IFERROR(__xludf.DUMMYFUNCTION("""COMPUTED_VALUE"""),0.0)</f>
        <v>0</v>
      </c>
      <c r="BC164" s="16">
        <f>IFERROR(__xludf.DUMMYFUNCTION("""COMPUTED_VALUE"""),3.0)</f>
        <v>3</v>
      </c>
      <c r="BD164" s="16">
        <f>IFERROR(__xludf.DUMMYFUNCTION("""COMPUTED_VALUE"""),3.0)</f>
        <v>3</v>
      </c>
      <c r="BE164" s="16">
        <f>IFERROR(__xludf.DUMMYFUNCTION("""COMPUTED_VALUE"""),3.0)</f>
        <v>3</v>
      </c>
      <c r="BF164" s="16">
        <f>IFERROR(__xludf.DUMMYFUNCTION("""COMPUTED_VALUE"""),3.0)</f>
        <v>3</v>
      </c>
      <c r="BG164" s="16">
        <f>IFERROR(__xludf.DUMMYFUNCTION("""COMPUTED_VALUE"""),0.0)</f>
        <v>0</v>
      </c>
      <c r="BH164" s="16">
        <f>IFERROR(__xludf.DUMMYFUNCTION("""COMPUTED_VALUE"""),0.0)</f>
        <v>0</v>
      </c>
      <c r="BI164" s="16">
        <f>IFERROR(__xludf.DUMMYFUNCTION("""COMPUTED_VALUE"""),0.0)</f>
        <v>0</v>
      </c>
      <c r="BJ164" s="16">
        <f>IFERROR(__xludf.DUMMYFUNCTION("""COMPUTED_VALUE"""),0.0)</f>
        <v>0</v>
      </c>
      <c r="BK164" s="16">
        <f>IFERROR(__xludf.DUMMYFUNCTION("""COMPUTED_VALUE"""),5.0)</f>
        <v>5</v>
      </c>
      <c r="BL164" s="16">
        <f>IFERROR(__xludf.DUMMYFUNCTION("""COMPUTED_VALUE"""),5.0)</f>
        <v>5</v>
      </c>
      <c r="BM164" s="16">
        <f>IFERROR(__xludf.DUMMYFUNCTION("""COMPUTED_VALUE"""),0.0)</f>
        <v>0</v>
      </c>
      <c r="BN164" s="16">
        <f>IFERROR(__xludf.DUMMYFUNCTION("""COMPUTED_VALUE"""),0.0)</f>
        <v>0</v>
      </c>
      <c r="BO164" s="16">
        <f>IFERROR(__xludf.DUMMYFUNCTION("""COMPUTED_VALUE"""),0.0)</f>
        <v>0</v>
      </c>
      <c r="BP164" s="16">
        <f>IFERROR(__xludf.DUMMYFUNCTION("""COMPUTED_VALUE"""),0.0)</f>
        <v>0</v>
      </c>
      <c r="BQ164" s="16">
        <f>IFERROR(__xludf.DUMMYFUNCTION("""COMPUTED_VALUE"""),7.0)</f>
        <v>7</v>
      </c>
      <c r="BR164" s="16">
        <f>IFERROR(__xludf.DUMMYFUNCTION("""COMPUTED_VALUE"""),5.0)</f>
        <v>5</v>
      </c>
      <c r="BS164" s="16">
        <f>IFERROR(__xludf.DUMMYFUNCTION("""COMPUTED_VALUE"""),2.0)</f>
        <v>2</v>
      </c>
      <c r="BT164" s="16">
        <f>IFERROR(__xludf.DUMMYFUNCTION("""COMPUTED_VALUE"""),0.0)</f>
        <v>0</v>
      </c>
      <c r="BU164" s="16">
        <f>IFERROR(__xludf.DUMMYFUNCTION("""COMPUTED_VALUE"""),4.0)</f>
        <v>4</v>
      </c>
      <c r="BV164" s="16">
        <f>IFERROR(__xludf.DUMMYFUNCTION("""COMPUTED_VALUE"""),0.0)</f>
        <v>0</v>
      </c>
      <c r="BW164" s="16">
        <f>IFERROR(__xludf.DUMMYFUNCTION("""COMPUTED_VALUE"""),-3.0)</f>
        <v>-3</v>
      </c>
      <c r="BX164" s="16">
        <f>IFERROR(__xludf.DUMMYFUNCTION("""COMPUTED_VALUE"""),-3.0)</f>
        <v>-3</v>
      </c>
      <c r="BY164" s="16" t="str">
        <f>IFERROR(__xludf.DUMMYFUNCTION("""COMPUTED_VALUE"""),"S(6)")</f>
        <v>S(6)</v>
      </c>
      <c r="BZ164" s="16" t="str">
        <f>IFERROR(__xludf.DUMMYFUNCTION("""COMPUTED_VALUE"""),"S(6)")</f>
        <v>S(6)</v>
      </c>
      <c r="CA164" s="16" t="str">
        <f>IFERROR(__xludf.DUMMYFUNCTION("""COMPUTED_VALUE"""),"S(6)")</f>
        <v>S(6)</v>
      </c>
      <c r="CB164" s="16"/>
      <c r="CC164" s="16"/>
      <c r="CD164" s="16">
        <f>IFERROR(__xludf.DUMMYFUNCTION("""COMPUTED_VALUE"""),6.0)</f>
        <v>6</v>
      </c>
      <c r="CE164" s="16"/>
      <c r="CF164" s="16"/>
      <c r="CG164" s="16" t="str">
        <f>IFERROR(__xludf.DUMMYFUNCTION("""COMPUTED_VALUE"""),"2-0")</f>
        <v>2-0</v>
      </c>
      <c r="CH164" s="16">
        <f>IFERROR(__xludf.DUMMYFUNCTION("""COMPUTED_VALUE"""),2.0)</f>
        <v>2</v>
      </c>
      <c r="CI164" s="16">
        <f>IFERROR(__xludf.DUMMYFUNCTION("""COMPUTED_VALUE"""),0.0)</f>
        <v>0</v>
      </c>
      <c r="CJ164" s="16">
        <f>IFERROR(__xludf.DUMMYFUNCTION("""COMPUTED_VALUE"""),0.0)</f>
        <v>0</v>
      </c>
      <c r="CK164" s="16">
        <f>IFERROR(__xludf.DUMMYFUNCTION("""COMPUTED_VALUE"""),5.0)</f>
        <v>5</v>
      </c>
      <c r="CL164" s="16" t="str">
        <f>IFERROR(__xludf.DUMMYFUNCTION("""COMPUTED_VALUE"""),"1WR-C")</f>
        <v>1WR-C</v>
      </c>
      <c r="CM164" s="16" t="str">
        <f>IFERROR(__xludf.DUMMYFUNCTION("""COMPUTED_VALUE"""),"E")</f>
        <v>E</v>
      </c>
      <c r="CN164" s="16">
        <f>IFERROR(__xludf.DUMMYFUNCTION("""COMPUTED_VALUE"""),10.0)</f>
        <v>10</v>
      </c>
      <c r="CO164" s="16" t="str">
        <f>IFERROR(__xludf.DUMMYFUNCTION("""COMPUTED_VALUE"""),"C")</f>
        <v>C</v>
      </c>
      <c r="CP164" s="16" t="str">
        <f>IFERROR(__xludf.DUMMYFUNCTION("""COMPUTED_VALUE"""),"1p60")</f>
        <v>1p60</v>
      </c>
      <c r="CQ164" s="16">
        <f>IFERROR(__xludf.DUMMYFUNCTION("""COMPUTED_VALUE"""),-1.0)</f>
        <v>-1</v>
      </c>
      <c r="CR164" s="16">
        <f>IFERROR(__xludf.DUMMYFUNCTION("""COMPUTED_VALUE"""),23.0)</f>
        <v>23</v>
      </c>
      <c r="CS164" s="16">
        <f>IFERROR(__xludf.DUMMYFUNCTION("""COMPUTED_VALUE"""),22.0)</f>
        <v>22</v>
      </c>
      <c r="CT164" s="16">
        <f>IFERROR(__xludf.DUMMYFUNCTION("""COMPUTED_VALUE"""),-1.0)</f>
        <v>-1</v>
      </c>
      <c r="CU164" s="16">
        <f>IFERROR(__xludf.DUMMYFUNCTION("""COMPUTED_VALUE"""),23.0)</f>
        <v>23</v>
      </c>
      <c r="CV164" s="179">
        <f>IFERROR(__xludf.DUMMYFUNCTION("""COMPUTED_VALUE"""),12.0)</f>
        <v>12</v>
      </c>
      <c r="CW164" s="179">
        <f>IFERROR(__xludf.DUMMYFUNCTION("""COMPUTED_VALUE"""),4.0)</f>
        <v>4</v>
      </c>
      <c r="CX164" s="179">
        <f>IFERROR(__xludf.DUMMYFUNCTION("""COMPUTED_VALUE"""),1.0)</f>
        <v>1</v>
      </c>
      <c r="CY164" s="16" t="str">
        <f>IFERROR(__xludf.DUMMYFUNCTION("""COMPUTED_VALUE"""),"SP")</f>
        <v>SP</v>
      </c>
      <c r="CZ164" s="16"/>
      <c r="DA164" s="16"/>
      <c r="DB164" s="16"/>
      <c r="DC164" s="16"/>
      <c r="DD164" s="16"/>
      <c r="DE164" s="16"/>
      <c r="DF164" s="16"/>
      <c r="DG164" s="16"/>
      <c r="DH164" s="16"/>
      <c r="DI164" s="16"/>
      <c r="DJ164" s="16"/>
      <c r="DK164" s="16"/>
    </row>
    <row r="165">
      <c r="A165" s="16">
        <f>IFERROR(__xludf.DUMMYFUNCTION("""COMPUTED_VALUE"""),12623.0)</f>
        <v>12623</v>
      </c>
      <c r="B165" s="16" t="str">
        <f>IFERROR(__xludf.DUMMYFUNCTION("""COMPUTED_VALUE"""),"Bryan Baker")</f>
        <v>Bryan Baker</v>
      </c>
      <c r="C165" s="153">
        <f>IFERROR(__xludf.DUMMYFUNCTION("""COMPUTED_VALUE"""),0.0)</f>
        <v>0</v>
      </c>
      <c r="D165" s="16"/>
      <c r="E165" s="16" t="str">
        <f>IFERROR(__xludf.DUMMYFUNCTION("""COMPUTED_VALUE"""),"R")</f>
        <v>R</v>
      </c>
      <c r="F165" s="16">
        <f>IFERROR(__xludf.DUMMYFUNCTION("""COMPUTED_VALUE"""),23.0)</f>
        <v>23</v>
      </c>
      <c r="G165" s="16">
        <f>IFERROR(__xludf.DUMMYFUNCTION("""COMPUTED_VALUE"""),21.0)</f>
        <v>21</v>
      </c>
      <c r="H165" s="16">
        <f>IFERROR(__xludf.DUMMYFUNCTION("""COMPUTED_VALUE"""),35.0)</f>
        <v>35</v>
      </c>
      <c r="I165" s="16">
        <f>IFERROR(__xludf.DUMMYFUNCTION("""COMPUTED_VALUE"""),-1.0)</f>
        <v>-1</v>
      </c>
      <c r="J165" s="16">
        <f>IFERROR(__xludf.DUMMYFUNCTION("""COMPUTED_VALUE"""),1.0)</f>
        <v>1</v>
      </c>
      <c r="K165" s="16">
        <f>IFERROR(__xludf.DUMMYFUNCTION("""COMPUTED_VALUE"""),-3.0)</f>
        <v>-3</v>
      </c>
      <c r="L165" s="16">
        <f>IFERROR(__xludf.DUMMYFUNCTION("""COMPUTED_VALUE"""),3.0)</f>
        <v>3</v>
      </c>
      <c r="M165" s="16">
        <f>IFERROR(__xludf.DUMMYFUNCTION("""COMPUTED_VALUE"""),13.0)</f>
        <v>13</v>
      </c>
      <c r="N165" s="16">
        <f>IFERROR(__xludf.DUMMYFUNCTION("""COMPUTED_VALUE"""),4.0)</f>
        <v>4</v>
      </c>
      <c r="O165" s="16">
        <f>IFERROR(__xludf.DUMMYFUNCTION("""COMPUTED_VALUE"""),-1.0)</f>
        <v>-1</v>
      </c>
      <c r="P165" s="16">
        <f>IFERROR(__xludf.DUMMYFUNCTION("""COMPUTED_VALUE"""),2.0)</f>
        <v>2</v>
      </c>
      <c r="Q165" s="16">
        <f>IFERROR(__xludf.DUMMYFUNCTION("""COMPUTED_VALUE"""),-1.0)</f>
        <v>-1</v>
      </c>
      <c r="R165" s="16">
        <f>IFERROR(__xludf.DUMMYFUNCTION("""COMPUTED_VALUE"""),2.0)</f>
        <v>2</v>
      </c>
      <c r="S165" s="16">
        <f>IFERROR(__xludf.DUMMYFUNCTION("""COMPUTED_VALUE"""),14.9)</f>
        <v>14.9</v>
      </c>
      <c r="T165" s="16">
        <f>IFERROR(__xludf.DUMMYFUNCTION("""COMPUTED_VALUE"""),15.6)</f>
        <v>15.6</v>
      </c>
      <c r="U165" s="16">
        <f>IFERROR(__xludf.DUMMYFUNCTION("""COMPUTED_VALUE"""),0.0)</f>
        <v>0</v>
      </c>
      <c r="V165" s="16">
        <f>IFERROR(__xludf.DUMMYFUNCTION("""COMPUTED_VALUE"""),0.0)</f>
        <v>0</v>
      </c>
      <c r="W165" s="16">
        <f>IFERROR(__xludf.DUMMYFUNCTION("""COMPUTED_VALUE"""),0.0)</f>
        <v>0</v>
      </c>
      <c r="X165" s="16">
        <f>IFERROR(__xludf.DUMMYFUNCTION("""COMPUTED_VALUE"""),0.0)</f>
        <v>0</v>
      </c>
      <c r="Y165" s="16">
        <f>IFERROR(__xludf.DUMMYFUNCTION("""COMPUTED_VALUE"""),27.8)</f>
        <v>27.8</v>
      </c>
      <c r="Z165" s="16">
        <f>IFERROR(__xludf.DUMMYFUNCTION("""COMPUTED_VALUE"""),19.6)</f>
        <v>19.6</v>
      </c>
      <c r="AA165" s="16">
        <f>IFERROR(__xludf.DUMMYFUNCTION("""COMPUTED_VALUE"""),0.0)</f>
        <v>0</v>
      </c>
      <c r="AB165" s="16">
        <f>IFERROR(__xludf.DUMMYFUNCTION("""COMPUTED_VALUE"""),1.0)</f>
        <v>1</v>
      </c>
      <c r="AC165" s="16">
        <f>IFERROR(__xludf.DUMMYFUNCTION("""COMPUTED_VALUE"""),0.0)</f>
        <v>0</v>
      </c>
      <c r="AD165" s="16">
        <f>IFERROR(__xludf.DUMMYFUNCTION("""COMPUTED_VALUE"""),5.0)</f>
        <v>5</v>
      </c>
      <c r="AE165" s="16">
        <f>IFERROR(__xludf.DUMMYFUNCTION("""COMPUTED_VALUE"""),31.9)</f>
        <v>31.9</v>
      </c>
      <c r="AF165" s="16">
        <f>IFERROR(__xludf.DUMMYFUNCTION("""COMPUTED_VALUE"""),39.5)</f>
        <v>39.5</v>
      </c>
      <c r="AG165" s="16">
        <f>IFERROR(__xludf.DUMMYFUNCTION("""COMPUTED_VALUE"""),0.0)</f>
        <v>0</v>
      </c>
      <c r="AH165" s="16">
        <f>IFERROR(__xludf.DUMMYFUNCTION("""COMPUTED_VALUE"""),-1.0)</f>
        <v>-1</v>
      </c>
      <c r="AI165" s="16">
        <f>IFERROR(__xludf.DUMMYFUNCTION("""COMPUTED_VALUE"""),0.0)</f>
        <v>0</v>
      </c>
      <c r="AJ165" s="16">
        <f>IFERROR(__xludf.DUMMYFUNCTION("""COMPUTED_VALUE"""),-2.0)</f>
        <v>-2</v>
      </c>
      <c r="AK165" s="16">
        <f>IFERROR(__xludf.DUMMYFUNCTION("""COMPUTED_VALUE"""),13.3)</f>
        <v>13.3</v>
      </c>
      <c r="AL165" s="16">
        <f>IFERROR(__xludf.DUMMYFUNCTION("""COMPUTED_VALUE"""),12.6)</f>
        <v>12.6</v>
      </c>
      <c r="AM165" s="16">
        <f>IFERROR(__xludf.DUMMYFUNCTION("""COMPUTED_VALUE"""),0.0)</f>
        <v>0</v>
      </c>
      <c r="AN165" s="16">
        <f>IFERROR(__xludf.DUMMYFUNCTION("""COMPUTED_VALUE"""),0.0)</f>
        <v>0</v>
      </c>
      <c r="AO165" s="16">
        <f>IFERROR(__xludf.DUMMYFUNCTION("""COMPUTED_VALUE"""),0.0)</f>
        <v>0</v>
      </c>
      <c r="AP165" s="16">
        <f>IFERROR(__xludf.DUMMYFUNCTION("""COMPUTED_VALUE"""),0.0)</f>
        <v>0</v>
      </c>
      <c r="AQ165" s="16">
        <f>IFERROR(__xludf.DUMMYFUNCTION("""COMPUTED_VALUE"""),25.5)</f>
        <v>25.5</v>
      </c>
      <c r="AR165" s="16">
        <f>IFERROR(__xludf.DUMMYFUNCTION("""COMPUTED_VALUE"""),27.5)</f>
        <v>27.5</v>
      </c>
      <c r="AS165" s="16">
        <f>IFERROR(__xludf.DUMMYFUNCTION("""COMPUTED_VALUE"""),-1.0)</f>
        <v>-1</v>
      </c>
      <c r="AT165" s="16">
        <f>IFERROR(__xludf.DUMMYFUNCTION("""COMPUTED_VALUE"""),-1.0)</f>
        <v>-1</v>
      </c>
      <c r="AU165" s="16">
        <f>IFERROR(__xludf.DUMMYFUNCTION("""COMPUTED_VALUE"""),-2.0)</f>
        <v>-2</v>
      </c>
      <c r="AV165" s="16">
        <f>IFERROR(__xludf.DUMMYFUNCTION("""COMPUTED_VALUE"""),-2.0)</f>
        <v>-2</v>
      </c>
      <c r="AW165" s="16">
        <f>IFERROR(__xludf.DUMMYFUNCTION("""COMPUTED_VALUE"""),1.6)</f>
        <v>1.6</v>
      </c>
      <c r="AX165" s="16">
        <f>IFERROR(__xludf.DUMMYFUNCTION("""COMPUTED_VALUE"""),3.0)</f>
        <v>3</v>
      </c>
      <c r="AY165" s="16">
        <f>IFERROR(__xludf.DUMMYFUNCTION("""COMPUTED_VALUE"""),1.0)</f>
        <v>1</v>
      </c>
      <c r="AZ165" s="16">
        <f>IFERROR(__xludf.DUMMYFUNCTION("""COMPUTED_VALUE"""),-1.0)</f>
        <v>-1</v>
      </c>
      <c r="BA165" s="16">
        <f>IFERROR(__xludf.DUMMYFUNCTION("""COMPUTED_VALUE"""),5.0)</f>
        <v>5</v>
      </c>
      <c r="BB165" s="16">
        <f>IFERROR(__xludf.DUMMYFUNCTION("""COMPUTED_VALUE"""),-5.0)</f>
        <v>-5</v>
      </c>
      <c r="BC165" s="16">
        <f>IFERROR(__xludf.DUMMYFUNCTION("""COMPUTED_VALUE"""),1.0)</f>
        <v>1</v>
      </c>
      <c r="BD165" s="16">
        <f>IFERROR(__xludf.DUMMYFUNCTION("""COMPUTED_VALUE"""),6.0)</f>
        <v>6</v>
      </c>
      <c r="BE165" s="16">
        <f>IFERROR(__xludf.DUMMYFUNCTION("""COMPUTED_VALUE"""),1.0)</f>
        <v>1</v>
      </c>
      <c r="BF165" s="16">
        <f>IFERROR(__xludf.DUMMYFUNCTION("""COMPUTED_VALUE"""),6.0)</f>
        <v>6</v>
      </c>
      <c r="BG165" s="16">
        <f>IFERROR(__xludf.DUMMYFUNCTION("""COMPUTED_VALUE"""),2.0)</f>
        <v>2</v>
      </c>
      <c r="BH165" s="16">
        <f>IFERROR(__xludf.DUMMYFUNCTION("""COMPUTED_VALUE"""),-2.0)</f>
        <v>-2</v>
      </c>
      <c r="BI165" s="16">
        <f>IFERROR(__xludf.DUMMYFUNCTION("""COMPUTED_VALUE"""),4.0)</f>
        <v>4</v>
      </c>
      <c r="BJ165" s="16">
        <f>IFERROR(__xludf.DUMMYFUNCTION("""COMPUTED_VALUE"""),-4.0)</f>
        <v>-4</v>
      </c>
      <c r="BK165" s="16">
        <f>IFERROR(__xludf.DUMMYFUNCTION("""COMPUTED_VALUE"""),5.0)</f>
        <v>5</v>
      </c>
      <c r="BL165" s="16">
        <f>IFERROR(__xludf.DUMMYFUNCTION("""COMPUTED_VALUE"""),5.0)</f>
        <v>5</v>
      </c>
      <c r="BM165" s="16">
        <f>IFERROR(__xludf.DUMMYFUNCTION("""COMPUTED_VALUE"""),0.0)</f>
        <v>0</v>
      </c>
      <c r="BN165" s="16">
        <f>IFERROR(__xludf.DUMMYFUNCTION("""COMPUTED_VALUE"""),0.0)</f>
        <v>0</v>
      </c>
      <c r="BO165" s="16">
        <f>IFERROR(__xludf.DUMMYFUNCTION("""COMPUTED_VALUE"""),0.0)</f>
        <v>0</v>
      </c>
      <c r="BP165" s="16">
        <f>IFERROR(__xludf.DUMMYFUNCTION("""COMPUTED_VALUE"""),0.0)</f>
        <v>0</v>
      </c>
      <c r="BQ165" s="16">
        <f>IFERROR(__xludf.DUMMYFUNCTION("""COMPUTED_VALUE"""),13.0)</f>
        <v>13</v>
      </c>
      <c r="BR165" s="16">
        <f>IFERROR(__xludf.DUMMYFUNCTION("""COMPUTED_VALUE"""),11.0)</f>
        <v>11</v>
      </c>
      <c r="BS165" s="16">
        <f>IFERROR(__xludf.DUMMYFUNCTION("""COMPUTED_VALUE"""),3.0)</f>
        <v>3</v>
      </c>
      <c r="BT165" s="16">
        <f>IFERROR(__xludf.DUMMYFUNCTION("""COMPUTED_VALUE"""),3.0)</f>
        <v>3</v>
      </c>
      <c r="BU165" s="16">
        <f>IFERROR(__xludf.DUMMYFUNCTION("""COMPUTED_VALUE"""),6.0)</f>
        <v>6</v>
      </c>
      <c r="BV165" s="16">
        <f>IFERROR(__xludf.DUMMYFUNCTION("""COMPUTED_VALUE"""),6.0)</f>
        <v>6</v>
      </c>
      <c r="BW165" s="16">
        <f>IFERROR(__xludf.DUMMYFUNCTION("""COMPUTED_VALUE"""),7.0)</f>
        <v>7</v>
      </c>
      <c r="BX165" s="16">
        <f>IFERROR(__xludf.DUMMYFUNCTION("""COMPUTED_VALUE"""),7.0)</f>
        <v>7</v>
      </c>
      <c r="BY165" s="16" t="str">
        <f>IFERROR(__xludf.DUMMYFUNCTION("""COMPUTED_VALUE"""),"R(1)")</f>
        <v>R(1)</v>
      </c>
      <c r="BZ165" s="16" t="str">
        <f>IFERROR(__xludf.DUMMYFUNCTION("""COMPUTED_VALUE"""),"R(1)")</f>
        <v>R(1)</v>
      </c>
      <c r="CA165" s="16" t="str">
        <f>IFERROR(__xludf.DUMMYFUNCTION("""COMPUTED_VALUE"""),"R(1)")</f>
        <v>R(1)</v>
      </c>
      <c r="CB165" s="16"/>
      <c r="CC165" s="16"/>
      <c r="CD165" s="16"/>
      <c r="CE165" s="16">
        <f>IFERROR(__xludf.DUMMYFUNCTION("""COMPUTED_VALUE"""),1.0)</f>
        <v>1</v>
      </c>
      <c r="CF165" s="16"/>
      <c r="CG165" s="16" t="str">
        <f>IFERROR(__xludf.DUMMYFUNCTION("""COMPUTED_VALUE"""),"4-0")</f>
        <v>4-0</v>
      </c>
      <c r="CH165" s="16">
        <f>IFERROR(__xludf.DUMMYFUNCTION("""COMPUTED_VALUE"""),4.0)</f>
        <v>4</v>
      </c>
      <c r="CI165" s="16">
        <f>IFERROR(__xludf.DUMMYFUNCTION("""COMPUTED_VALUE"""),0.0)</f>
        <v>0</v>
      </c>
      <c r="CJ165" s="16">
        <f>IFERROR(__xludf.DUMMYFUNCTION("""COMPUTED_VALUE"""),0.0)</f>
        <v>0</v>
      </c>
      <c r="CK165" s="16">
        <f>IFERROR(__xludf.DUMMYFUNCTION("""COMPUTED_VALUE"""),0.0)</f>
        <v>0</v>
      </c>
      <c r="CL165" s="16" t="str">
        <f>IFERROR(__xludf.DUMMYFUNCTION("""COMPUTED_VALUE"""),"1WR-C")</f>
        <v>1WR-C</v>
      </c>
      <c r="CM165" s="16" t="str">
        <f>IFERROR(__xludf.DUMMYFUNCTION("""COMPUTED_VALUE"""),"E")</f>
        <v>E</v>
      </c>
      <c r="CN165" s="16">
        <f>IFERROR(__xludf.DUMMYFUNCTION("""COMPUTED_VALUE"""),10.0)</f>
        <v>10</v>
      </c>
      <c r="CO165" s="16" t="str">
        <f>IFERROR(__xludf.DUMMYFUNCTION("""COMPUTED_VALUE"""),"C")</f>
        <v>C</v>
      </c>
      <c r="CP165" s="16" t="str">
        <f>IFERROR(__xludf.DUMMYFUNCTION("""COMPUTED_VALUE"""),"1p20")</f>
        <v>1p20</v>
      </c>
      <c r="CQ165" s="16">
        <f>IFERROR(__xludf.DUMMYFUNCTION("""COMPUTED_VALUE"""),9.0)</f>
        <v>9</v>
      </c>
      <c r="CR165" s="16">
        <f>IFERROR(__xludf.DUMMYFUNCTION("""COMPUTED_VALUE"""),3.0)</f>
        <v>3</v>
      </c>
      <c r="CS165" s="16">
        <f>IFERROR(__xludf.DUMMYFUNCTION("""COMPUTED_VALUE"""),12.0)</f>
        <v>12</v>
      </c>
      <c r="CT165" s="16">
        <f>IFERROR(__xludf.DUMMYFUNCTION("""COMPUTED_VALUE"""),9.0)</f>
        <v>9</v>
      </c>
      <c r="CU165" s="16">
        <f>IFERROR(__xludf.DUMMYFUNCTION("""COMPUTED_VALUE"""),3.0)</f>
        <v>3</v>
      </c>
      <c r="CV165" s="179">
        <f>IFERROR(__xludf.DUMMYFUNCTION("""COMPUTED_VALUE"""),12.0)</f>
        <v>12</v>
      </c>
      <c r="CW165" s="179">
        <f>IFERROR(__xludf.DUMMYFUNCTION("""COMPUTED_VALUE"""),4.0)</f>
        <v>4</v>
      </c>
      <c r="CX165" s="179">
        <f>IFERROR(__xludf.DUMMYFUNCTION("""COMPUTED_VALUE"""),3.0)</f>
        <v>3</v>
      </c>
      <c r="CY165" s="16" t="str">
        <f>IFERROR(__xludf.DUMMYFUNCTION("""COMPUTED_VALUE"""),"RP")</f>
        <v>RP</v>
      </c>
      <c r="CZ165" s="16"/>
      <c r="DA165" s="16"/>
      <c r="DB165" s="16"/>
      <c r="DC165" s="16"/>
      <c r="DD165" s="16"/>
      <c r="DE165" s="16"/>
      <c r="DF165" s="16"/>
      <c r="DG165" s="16"/>
      <c r="DH165" s="16"/>
      <c r="DI165" s="16"/>
      <c r="DJ165" s="16"/>
      <c r="DK165" s="16"/>
    </row>
    <row r="166">
      <c r="A166" s="16">
        <f>IFERROR(__xludf.DUMMYFUNCTION("""COMPUTED_VALUE"""),12964.0)</f>
        <v>12964</v>
      </c>
      <c r="B166" s="16" t="str">
        <f>IFERROR(__xludf.DUMMYFUNCTION("""COMPUTED_VALUE"""),"Joe Boyle")</f>
        <v>Joe Boyle</v>
      </c>
      <c r="C166" s="153">
        <f>IFERROR(__xludf.DUMMYFUNCTION("""COMPUTED_VALUE"""),0.0)</f>
        <v>0</v>
      </c>
      <c r="D166" s="16"/>
      <c r="E166" s="16" t="str">
        <f>IFERROR(__xludf.DUMMYFUNCTION("""COMPUTED_VALUE"""),"R")</f>
        <v>R</v>
      </c>
      <c r="F166" s="16">
        <f>IFERROR(__xludf.DUMMYFUNCTION("""COMPUTED_VALUE"""),48.0)</f>
        <v>48</v>
      </c>
      <c r="G166" s="16">
        <f>IFERROR(__xludf.DUMMYFUNCTION("""COMPUTED_VALUE"""),25.0)</f>
        <v>25</v>
      </c>
      <c r="H166" s="16">
        <f>IFERROR(__xludf.DUMMYFUNCTION("""COMPUTED_VALUE"""),37.0)</f>
        <v>37</v>
      </c>
      <c r="I166" s="16">
        <f>IFERROR(__xludf.DUMMYFUNCTION("""COMPUTED_VALUE"""),0.0)</f>
        <v>0</v>
      </c>
      <c r="J166" s="16">
        <f>IFERROR(__xludf.DUMMYFUNCTION("""COMPUTED_VALUE"""),1.0)</f>
        <v>1</v>
      </c>
      <c r="K166" s="16">
        <f>IFERROR(__xludf.DUMMYFUNCTION("""COMPUTED_VALUE"""),0.0)</f>
        <v>0</v>
      </c>
      <c r="L166" s="16">
        <f>IFERROR(__xludf.DUMMYFUNCTION("""COMPUTED_VALUE"""),3.0)</f>
        <v>3</v>
      </c>
      <c r="M166" s="16">
        <f>IFERROR(__xludf.DUMMYFUNCTION("""COMPUTED_VALUE"""),33.0)</f>
        <v>33</v>
      </c>
      <c r="N166" s="16">
        <f>IFERROR(__xludf.DUMMYFUNCTION("""COMPUTED_VALUE"""),28.0)</f>
        <v>28</v>
      </c>
      <c r="O166" s="16">
        <f>IFERROR(__xludf.DUMMYFUNCTION("""COMPUTED_VALUE"""),-3.0)</f>
        <v>-3</v>
      </c>
      <c r="P166" s="16">
        <f>IFERROR(__xludf.DUMMYFUNCTION("""COMPUTED_VALUE"""),-3.0)</f>
        <v>-3</v>
      </c>
      <c r="Q166" s="16">
        <f>IFERROR(__xludf.DUMMYFUNCTION("""COMPUTED_VALUE"""),-3.0)</f>
        <v>-3</v>
      </c>
      <c r="R166" s="16">
        <f>IFERROR(__xludf.DUMMYFUNCTION("""COMPUTED_VALUE"""),-3.0)</f>
        <v>-3</v>
      </c>
      <c r="S166" s="16">
        <f>IFERROR(__xludf.DUMMYFUNCTION("""COMPUTED_VALUE"""),12.2)</f>
        <v>12.2</v>
      </c>
      <c r="T166" s="16">
        <f>IFERROR(__xludf.DUMMYFUNCTION("""COMPUTED_VALUE"""),3.8)</f>
        <v>3.8</v>
      </c>
      <c r="U166" s="16">
        <f>IFERROR(__xludf.DUMMYFUNCTION("""COMPUTED_VALUE"""),1.0)</f>
        <v>1</v>
      </c>
      <c r="V166" s="16">
        <f>IFERROR(__xludf.DUMMYFUNCTION("""COMPUTED_VALUE"""),2.0)</f>
        <v>2</v>
      </c>
      <c r="W166" s="16">
        <f>IFERROR(__xludf.DUMMYFUNCTION("""COMPUTED_VALUE"""),2.0)</f>
        <v>2</v>
      </c>
      <c r="X166" s="16">
        <f>IFERROR(__xludf.DUMMYFUNCTION("""COMPUTED_VALUE"""),4.0)</f>
        <v>4</v>
      </c>
      <c r="Y166" s="16">
        <f>IFERROR(__xludf.DUMMYFUNCTION("""COMPUTED_VALUE"""),45.1)</f>
        <v>45.1</v>
      </c>
      <c r="Z166" s="16">
        <f>IFERROR(__xludf.DUMMYFUNCTION("""COMPUTED_VALUE"""),31.8)</f>
        <v>31.8</v>
      </c>
      <c r="AA166" s="16">
        <f>IFERROR(__xludf.DUMMYFUNCTION("""COMPUTED_VALUE"""),-2.0)</f>
        <v>-2</v>
      </c>
      <c r="AB166" s="16">
        <f>IFERROR(__xludf.DUMMYFUNCTION("""COMPUTED_VALUE"""),-1.0)</f>
        <v>-1</v>
      </c>
      <c r="AC166" s="16">
        <f>IFERROR(__xludf.DUMMYFUNCTION("""COMPUTED_VALUE"""),-10.0)</f>
        <v>-10</v>
      </c>
      <c r="AD166" s="16">
        <f>IFERROR(__xludf.DUMMYFUNCTION("""COMPUTED_VALUE"""),-5.0)</f>
        <v>-5</v>
      </c>
      <c r="AE166" s="16">
        <f>IFERROR(__xludf.DUMMYFUNCTION("""COMPUTED_VALUE"""),19.4)</f>
        <v>19.4</v>
      </c>
      <c r="AF166" s="16">
        <f>IFERROR(__xludf.DUMMYFUNCTION("""COMPUTED_VALUE"""),5.6)</f>
        <v>5.6</v>
      </c>
      <c r="AG166" s="16">
        <f>IFERROR(__xludf.DUMMYFUNCTION("""COMPUTED_VALUE"""),1.0)</f>
        <v>1</v>
      </c>
      <c r="AH166" s="16">
        <f>IFERROR(__xludf.DUMMYFUNCTION("""COMPUTED_VALUE"""),2.0)</f>
        <v>2</v>
      </c>
      <c r="AI166" s="16">
        <f>IFERROR(__xludf.DUMMYFUNCTION("""COMPUTED_VALUE"""),2.0)</f>
        <v>2</v>
      </c>
      <c r="AJ166" s="16">
        <f>IFERROR(__xludf.DUMMYFUNCTION("""COMPUTED_VALUE"""),4.0)</f>
        <v>4</v>
      </c>
      <c r="AK166" s="16">
        <f>IFERROR(__xludf.DUMMYFUNCTION("""COMPUTED_VALUE"""),12.1)</f>
        <v>12.1</v>
      </c>
      <c r="AL166" s="16">
        <f>IFERROR(__xludf.DUMMYFUNCTION("""COMPUTED_VALUE"""),3.1999999999999997)</f>
        <v>3.2</v>
      </c>
      <c r="AM166" s="16">
        <f>IFERROR(__xludf.DUMMYFUNCTION("""COMPUTED_VALUE"""),0.0)</f>
        <v>0</v>
      </c>
      <c r="AN166" s="16">
        <f>IFERROR(__xludf.DUMMYFUNCTION("""COMPUTED_VALUE"""),2.0)</f>
        <v>2</v>
      </c>
      <c r="AO166" s="16">
        <f>IFERROR(__xludf.DUMMYFUNCTION("""COMPUTED_VALUE"""),0.0)</f>
        <v>0</v>
      </c>
      <c r="AP166" s="16">
        <f>IFERROR(__xludf.DUMMYFUNCTION("""COMPUTED_VALUE"""),2.0)</f>
        <v>2</v>
      </c>
      <c r="AQ166" s="16">
        <f>IFERROR(__xludf.DUMMYFUNCTION("""COMPUTED_VALUE"""),19.0)</f>
        <v>19</v>
      </c>
      <c r="AR166" s="16">
        <f>IFERROR(__xludf.DUMMYFUNCTION("""COMPUTED_VALUE"""),3.1999999999999997)</f>
        <v>3.2</v>
      </c>
      <c r="AS166" s="16">
        <f>IFERROR(__xludf.DUMMYFUNCTION("""COMPUTED_VALUE"""),0.0)</f>
        <v>0</v>
      </c>
      <c r="AT166" s="16">
        <f>IFERROR(__xludf.DUMMYFUNCTION("""COMPUTED_VALUE"""),2.0)</f>
        <v>2</v>
      </c>
      <c r="AU166" s="16">
        <f>IFERROR(__xludf.DUMMYFUNCTION("""COMPUTED_VALUE"""),0.0)</f>
        <v>0</v>
      </c>
      <c r="AV166" s="16">
        <f>IFERROR(__xludf.DUMMYFUNCTION("""COMPUTED_VALUE"""),4.0)</f>
        <v>4</v>
      </c>
      <c r="AW166" s="16">
        <f>IFERROR(__xludf.DUMMYFUNCTION("""COMPUTED_VALUE"""),0.1)</f>
        <v>0.1</v>
      </c>
      <c r="AX166" s="16">
        <f>IFERROR(__xludf.DUMMYFUNCTION("""COMPUTED_VALUE"""),0.6)</f>
        <v>0.6</v>
      </c>
      <c r="AY166" s="16">
        <f>IFERROR(__xludf.DUMMYFUNCTION("""COMPUTED_VALUE"""),2.0)</f>
        <v>2</v>
      </c>
      <c r="AZ166" s="16">
        <f>IFERROR(__xludf.DUMMYFUNCTION("""COMPUTED_VALUE"""),2.0)</f>
        <v>2</v>
      </c>
      <c r="BA166" s="16">
        <f>IFERROR(__xludf.DUMMYFUNCTION("""COMPUTED_VALUE"""),10.0)</f>
        <v>10</v>
      </c>
      <c r="BB166" s="16">
        <f>IFERROR(__xludf.DUMMYFUNCTION("""COMPUTED_VALUE"""),10.0)</f>
        <v>10</v>
      </c>
      <c r="BC166" s="16">
        <f>IFERROR(__xludf.DUMMYFUNCTION("""COMPUTED_VALUE"""),0.0)</f>
        <v>0</v>
      </c>
      <c r="BD166" s="16">
        <f>IFERROR(__xludf.DUMMYFUNCTION("""COMPUTED_VALUE"""),2.0)</f>
        <v>2</v>
      </c>
      <c r="BE166" s="16">
        <f>IFERROR(__xludf.DUMMYFUNCTION("""COMPUTED_VALUE"""),0.0)</f>
        <v>0</v>
      </c>
      <c r="BF166" s="16">
        <f>IFERROR(__xludf.DUMMYFUNCTION("""COMPUTED_VALUE"""),2.0)</f>
        <v>2</v>
      </c>
      <c r="BG166" s="16">
        <f>IFERROR(__xludf.DUMMYFUNCTION("""COMPUTED_VALUE"""),3.0)</f>
        <v>3</v>
      </c>
      <c r="BH166" s="16">
        <f>IFERROR(__xludf.DUMMYFUNCTION("""COMPUTED_VALUE"""),1.0)</f>
        <v>1</v>
      </c>
      <c r="BI166" s="16">
        <f>IFERROR(__xludf.DUMMYFUNCTION("""COMPUTED_VALUE"""),6.0)</f>
        <v>6</v>
      </c>
      <c r="BJ166" s="16">
        <f>IFERROR(__xludf.DUMMYFUNCTION("""COMPUTED_VALUE"""),2.0)</f>
        <v>2</v>
      </c>
      <c r="BK166" s="16">
        <f>IFERROR(__xludf.DUMMYFUNCTION("""COMPUTED_VALUE"""),5.0)</f>
        <v>5</v>
      </c>
      <c r="BL166" s="16">
        <f>IFERROR(__xludf.DUMMYFUNCTION("""COMPUTED_VALUE"""),5.0)</f>
        <v>5</v>
      </c>
      <c r="BM166" s="16">
        <f>IFERROR(__xludf.DUMMYFUNCTION("""COMPUTED_VALUE"""),0.0)</f>
        <v>0</v>
      </c>
      <c r="BN166" s="16">
        <f>IFERROR(__xludf.DUMMYFUNCTION("""COMPUTED_VALUE"""),0.0)</f>
        <v>0</v>
      </c>
      <c r="BO166" s="16">
        <f>IFERROR(__xludf.DUMMYFUNCTION("""COMPUTED_VALUE"""),0.0)</f>
        <v>0</v>
      </c>
      <c r="BP166" s="16">
        <f>IFERROR(__xludf.DUMMYFUNCTION("""COMPUTED_VALUE"""),0.0)</f>
        <v>0</v>
      </c>
      <c r="BQ166" s="16">
        <f>IFERROR(__xludf.DUMMYFUNCTION("""COMPUTED_VALUE"""),1.0)</f>
        <v>1</v>
      </c>
      <c r="BR166" s="16">
        <f>IFERROR(__xludf.DUMMYFUNCTION("""COMPUTED_VALUE"""),0.0)</f>
        <v>0</v>
      </c>
      <c r="BS166" s="16">
        <f>IFERROR(__xludf.DUMMYFUNCTION("""COMPUTED_VALUE"""),-2.0)</f>
        <v>-2</v>
      </c>
      <c r="BT166" s="16">
        <f>IFERROR(__xludf.DUMMYFUNCTION("""COMPUTED_VALUE"""),-3.0)</f>
        <v>-3</v>
      </c>
      <c r="BU166" s="16">
        <f>IFERROR(__xludf.DUMMYFUNCTION("""COMPUTED_VALUE"""),-4.0)</f>
        <v>-4</v>
      </c>
      <c r="BV166" s="16">
        <f>IFERROR(__xludf.DUMMYFUNCTION("""COMPUTED_VALUE"""),-6.0)</f>
        <v>-6</v>
      </c>
      <c r="BW166" s="16">
        <f>IFERROR(__xludf.DUMMYFUNCTION("""COMPUTED_VALUE"""),9.0)</f>
        <v>9</v>
      </c>
      <c r="BX166" s="16">
        <f>IFERROR(__xludf.DUMMYFUNCTION("""COMPUTED_VALUE"""),9.0)</f>
        <v>9</v>
      </c>
      <c r="BY166" s="16" t="str">
        <f>IFERROR(__xludf.DUMMYFUNCTION("""COMPUTED_VALUE"""),"S(5) R(3)")</f>
        <v>S(5) R(3)</v>
      </c>
      <c r="BZ166" s="16" t="str">
        <f>IFERROR(__xludf.DUMMYFUNCTION("""COMPUTED_VALUE"""),"S(5) R(3)")</f>
        <v>S(5) R(3)</v>
      </c>
      <c r="CA166" s="16" t="str">
        <f>IFERROR(__xludf.DUMMYFUNCTION("""COMPUTED_VALUE"""),"S(5)")</f>
        <v>S(5)</v>
      </c>
      <c r="CB166" s="16" t="str">
        <f>IFERROR(__xludf.DUMMYFUNCTION("""COMPUTED_VALUE"""),"R(3)")</f>
        <v>R(3)</v>
      </c>
      <c r="CC166" s="16"/>
      <c r="CD166" s="16">
        <f>IFERROR(__xludf.DUMMYFUNCTION("""COMPUTED_VALUE"""),5.0)</f>
        <v>5</v>
      </c>
      <c r="CE166" s="16">
        <f>IFERROR(__xludf.DUMMYFUNCTION("""COMPUTED_VALUE"""),3.0)</f>
        <v>3</v>
      </c>
      <c r="CF166" s="16"/>
      <c r="CG166" s="16" t="str">
        <f>IFERROR(__xludf.DUMMYFUNCTION("""COMPUTED_VALUE"""),"4-30")</f>
        <v>4-30</v>
      </c>
      <c r="CH166" s="16">
        <f>IFERROR(__xludf.DUMMYFUNCTION("""COMPUTED_VALUE"""),4.0)</f>
        <v>4</v>
      </c>
      <c r="CI166" s="16">
        <f>IFERROR(__xludf.DUMMYFUNCTION("""COMPUTED_VALUE"""),30.0)</f>
        <v>30</v>
      </c>
      <c r="CJ166" s="16">
        <f>IFERROR(__xludf.DUMMYFUNCTION("""COMPUTED_VALUE"""),6.0)</f>
        <v>6</v>
      </c>
      <c r="CK166" s="16">
        <f>IFERROR(__xludf.DUMMYFUNCTION("""COMPUTED_VALUE"""),20.0)</f>
        <v>20</v>
      </c>
      <c r="CL166" s="16" t="str">
        <f>IFERROR(__xludf.DUMMYFUNCTION("""COMPUTED_VALUE"""),"1WR-C")</f>
        <v>1WR-C</v>
      </c>
      <c r="CM166" s="16" t="str">
        <f>IFERROR(__xludf.DUMMYFUNCTION("""COMPUTED_VALUE"""),"E")</f>
        <v>E</v>
      </c>
      <c r="CN166" s="16">
        <f>IFERROR(__xludf.DUMMYFUNCTION("""COMPUTED_VALUE"""),10.0)</f>
        <v>10</v>
      </c>
      <c r="CO166" s="16" t="str">
        <f>IFERROR(__xludf.DUMMYFUNCTION("""COMPUTED_VALUE"""),"C")</f>
        <v>C</v>
      </c>
      <c r="CP166" s="16" t="str">
        <f>IFERROR(__xludf.DUMMYFUNCTION("""COMPUTED_VALUE"""),"2p30")</f>
        <v>2p30</v>
      </c>
      <c r="CQ166" s="16">
        <f>IFERROR(__xludf.DUMMYFUNCTION("""COMPUTED_VALUE"""),3.0)</f>
        <v>3</v>
      </c>
      <c r="CR166" s="16">
        <f>IFERROR(__xludf.DUMMYFUNCTION("""COMPUTED_VALUE"""),15.0)</f>
        <v>15</v>
      </c>
      <c r="CS166" s="16">
        <f>IFERROR(__xludf.DUMMYFUNCTION("""COMPUTED_VALUE"""),18.0)</f>
        <v>18</v>
      </c>
      <c r="CT166" s="16">
        <f>IFERROR(__xludf.DUMMYFUNCTION("""COMPUTED_VALUE"""),3.0)</f>
        <v>3</v>
      </c>
      <c r="CU166" s="16">
        <f>IFERROR(__xludf.DUMMYFUNCTION("""COMPUTED_VALUE"""),15.0)</f>
        <v>15</v>
      </c>
      <c r="CV166" s="179">
        <f>IFERROR(__xludf.DUMMYFUNCTION("""COMPUTED_VALUE"""),12.0)</f>
        <v>12</v>
      </c>
      <c r="CW166" s="179">
        <f>IFERROR(__xludf.DUMMYFUNCTION("""COMPUTED_VALUE"""),3.0)</f>
        <v>3</v>
      </c>
      <c r="CX166" s="179">
        <f>IFERROR(__xludf.DUMMYFUNCTION("""COMPUTED_VALUE"""),2.0)</f>
        <v>2</v>
      </c>
      <c r="CY166" s="16" t="str">
        <f>IFERROR(__xludf.DUMMYFUNCTION("""COMPUTED_VALUE"""),"SP")</f>
        <v>SP</v>
      </c>
      <c r="CZ166" s="16" t="str">
        <f>IFERROR(__xludf.DUMMYFUNCTION("""COMPUTED_VALUE"""),"RP")</f>
        <v>RP</v>
      </c>
      <c r="DA166" s="16"/>
      <c r="DB166" s="16"/>
      <c r="DC166" s="16"/>
      <c r="DD166" s="16"/>
      <c r="DE166" s="16"/>
      <c r="DF166" s="16"/>
      <c r="DG166" s="16"/>
      <c r="DH166" s="16"/>
      <c r="DI166" s="16"/>
      <c r="DJ166" s="16"/>
      <c r="DK166" s="16"/>
    </row>
    <row r="167">
      <c r="A167" s="16">
        <f>IFERROR(__xludf.DUMMYFUNCTION("""COMPUTED_VALUE"""),13467.0)</f>
        <v>13467</v>
      </c>
      <c r="B167" s="16" t="str">
        <f>IFERROR(__xludf.DUMMYFUNCTION("""COMPUTED_VALUE"""),"Victor Gonzalez")</f>
        <v>Victor Gonzalez</v>
      </c>
      <c r="C167" s="153">
        <f>IFERROR(__xludf.DUMMYFUNCTION("""COMPUTED_VALUE"""),0.21)</f>
        <v>0.21</v>
      </c>
      <c r="D167" s="16"/>
      <c r="E167" s="16" t="str">
        <f>IFERROR(__xludf.DUMMYFUNCTION("""COMPUTED_VALUE"""),"L")</f>
        <v>L</v>
      </c>
      <c r="F167" s="16">
        <f>IFERROR(__xludf.DUMMYFUNCTION("""COMPUTED_VALUE"""),23.0)</f>
        <v>23</v>
      </c>
      <c r="G167" s="16">
        <f>IFERROR(__xludf.DUMMYFUNCTION("""COMPUTED_VALUE"""),0.0)</f>
        <v>0</v>
      </c>
      <c r="H167" s="16">
        <f>IFERROR(__xludf.DUMMYFUNCTION("""COMPUTED_VALUE"""),0.0)</f>
        <v>0</v>
      </c>
      <c r="I167" s="16">
        <f>IFERROR(__xludf.DUMMYFUNCTION("""COMPUTED_VALUE"""),-3.0)</f>
        <v>-3</v>
      </c>
      <c r="J167" s="16">
        <f>IFERROR(__xludf.DUMMYFUNCTION("""COMPUTED_VALUE"""),-3.0)</f>
        <v>-3</v>
      </c>
      <c r="K167" s="16">
        <f>IFERROR(__xludf.DUMMYFUNCTION("""COMPUTED_VALUE"""),-9.0)</f>
        <v>-9</v>
      </c>
      <c r="L167" s="16">
        <f>IFERROR(__xludf.DUMMYFUNCTION("""COMPUTED_VALUE"""),-9.0)</f>
        <v>-9</v>
      </c>
      <c r="M167" s="16">
        <f>IFERROR(__xludf.DUMMYFUNCTION("""COMPUTED_VALUE"""),13.0)</f>
        <v>13</v>
      </c>
      <c r="N167" s="16">
        <f>IFERROR(__xludf.DUMMYFUNCTION("""COMPUTED_VALUE"""),26.0)</f>
        <v>26</v>
      </c>
      <c r="O167" s="16">
        <f>IFERROR(__xludf.DUMMYFUNCTION("""COMPUTED_VALUE"""),-1.0)</f>
        <v>-1</v>
      </c>
      <c r="P167" s="16">
        <f>IFERROR(__xludf.DUMMYFUNCTION("""COMPUTED_VALUE"""),-3.0)</f>
        <v>-3</v>
      </c>
      <c r="Q167" s="16">
        <f>IFERROR(__xludf.DUMMYFUNCTION("""COMPUTED_VALUE"""),-1.0)</f>
        <v>-1</v>
      </c>
      <c r="R167" s="16">
        <f>IFERROR(__xludf.DUMMYFUNCTION("""COMPUTED_VALUE"""),-3.0)</f>
        <v>-3</v>
      </c>
      <c r="S167" s="16">
        <f>IFERROR(__xludf.DUMMYFUNCTION("""COMPUTED_VALUE"""),0.0)</f>
        <v>0</v>
      </c>
      <c r="T167" s="16">
        <f>IFERROR(__xludf.DUMMYFUNCTION("""COMPUTED_VALUE"""),6.1)</f>
        <v>6.1</v>
      </c>
      <c r="U167" s="16">
        <f>IFERROR(__xludf.DUMMYFUNCTION("""COMPUTED_VALUE"""),3.0)</f>
        <v>3</v>
      </c>
      <c r="V167" s="16">
        <f>IFERROR(__xludf.DUMMYFUNCTION("""COMPUTED_VALUE"""),2.0)</f>
        <v>2</v>
      </c>
      <c r="W167" s="16">
        <f>IFERROR(__xludf.DUMMYFUNCTION("""COMPUTED_VALUE"""),6.0)</f>
        <v>6</v>
      </c>
      <c r="X167" s="16">
        <f>IFERROR(__xludf.DUMMYFUNCTION("""COMPUTED_VALUE"""),4.0)</f>
        <v>4</v>
      </c>
      <c r="Y167" s="16">
        <f>IFERROR(__xludf.DUMMYFUNCTION("""COMPUTED_VALUE"""),13.0)</f>
        <v>13</v>
      </c>
      <c r="Z167" s="16">
        <f>IFERROR(__xludf.DUMMYFUNCTION("""COMPUTED_VALUE"""),32.1)</f>
        <v>32.1</v>
      </c>
      <c r="AA167" s="16">
        <f>IFERROR(__xludf.DUMMYFUNCTION("""COMPUTED_VALUE"""),2.0)</f>
        <v>2</v>
      </c>
      <c r="AB167" s="16">
        <f>IFERROR(__xludf.DUMMYFUNCTION("""COMPUTED_VALUE"""),-1.0)</f>
        <v>-1</v>
      </c>
      <c r="AC167" s="16">
        <f>IFERROR(__xludf.DUMMYFUNCTION("""COMPUTED_VALUE"""),10.0)</f>
        <v>10</v>
      </c>
      <c r="AD167" s="16">
        <f>IFERROR(__xludf.DUMMYFUNCTION("""COMPUTED_VALUE"""),-5.0)</f>
        <v>-5</v>
      </c>
      <c r="AE167" s="16">
        <f>IFERROR(__xludf.DUMMYFUNCTION("""COMPUTED_VALUE"""),0.0)</f>
        <v>0</v>
      </c>
      <c r="AF167" s="16">
        <f>IFERROR(__xludf.DUMMYFUNCTION("""COMPUTED_VALUE"""),19.2)</f>
        <v>19.2</v>
      </c>
      <c r="AG167" s="16">
        <f>IFERROR(__xludf.DUMMYFUNCTION("""COMPUTED_VALUE"""),3.0)</f>
        <v>3</v>
      </c>
      <c r="AH167" s="16">
        <f>IFERROR(__xludf.DUMMYFUNCTION("""COMPUTED_VALUE"""),1.0)</f>
        <v>1</v>
      </c>
      <c r="AI167" s="16">
        <f>IFERROR(__xludf.DUMMYFUNCTION("""COMPUTED_VALUE"""),6.0)</f>
        <v>6</v>
      </c>
      <c r="AJ167" s="16">
        <f>IFERROR(__xludf.DUMMYFUNCTION("""COMPUTED_VALUE"""),2.0)</f>
        <v>2</v>
      </c>
      <c r="AK167" s="16">
        <f>IFERROR(__xludf.DUMMYFUNCTION("""COMPUTED_VALUE"""),0.0)</f>
        <v>0</v>
      </c>
      <c r="AL167" s="16">
        <f>IFERROR(__xludf.DUMMYFUNCTION("""COMPUTED_VALUE"""),2.3)</f>
        <v>2.3</v>
      </c>
      <c r="AM167" s="16">
        <f>IFERROR(__xludf.DUMMYFUNCTION("""COMPUTED_VALUE"""),3.0)</f>
        <v>3</v>
      </c>
      <c r="AN167" s="16">
        <f>IFERROR(__xludf.DUMMYFUNCTION("""COMPUTED_VALUE"""),2.0)</f>
        <v>2</v>
      </c>
      <c r="AO167" s="16">
        <f>IFERROR(__xludf.DUMMYFUNCTION("""COMPUTED_VALUE"""),3.0)</f>
        <v>3</v>
      </c>
      <c r="AP167" s="16">
        <f>IFERROR(__xludf.DUMMYFUNCTION("""COMPUTED_VALUE"""),2.0)</f>
        <v>2</v>
      </c>
      <c r="AQ167" s="16">
        <f>IFERROR(__xludf.DUMMYFUNCTION("""COMPUTED_VALUE"""),0.0)</f>
        <v>0</v>
      </c>
      <c r="AR167" s="16">
        <f>IFERROR(__xludf.DUMMYFUNCTION("""COMPUTED_VALUE"""),4.0)</f>
        <v>4</v>
      </c>
      <c r="AS167" s="16">
        <f>IFERROR(__xludf.DUMMYFUNCTION("""COMPUTED_VALUE"""),3.0)</f>
        <v>3</v>
      </c>
      <c r="AT167" s="16">
        <f>IFERROR(__xludf.DUMMYFUNCTION("""COMPUTED_VALUE"""),2.0)</f>
        <v>2</v>
      </c>
      <c r="AU167" s="16">
        <f>IFERROR(__xludf.DUMMYFUNCTION("""COMPUTED_VALUE"""),6.0)</f>
        <v>6</v>
      </c>
      <c r="AV167" s="16">
        <f>IFERROR(__xludf.DUMMYFUNCTION("""COMPUTED_VALUE"""),4.0)</f>
        <v>4</v>
      </c>
      <c r="AW167" s="16">
        <f>IFERROR(__xludf.DUMMYFUNCTION("""COMPUTED_VALUE"""),0.0)</f>
        <v>0</v>
      </c>
      <c r="AX167" s="16">
        <f>IFERROR(__xludf.DUMMYFUNCTION("""COMPUTED_VALUE"""),3.8)</f>
        <v>3.8</v>
      </c>
      <c r="AY167" s="16">
        <f>IFERROR(__xludf.DUMMYFUNCTION("""COMPUTED_VALUE"""),2.0)</f>
        <v>2</v>
      </c>
      <c r="AZ167" s="16">
        <f>IFERROR(__xludf.DUMMYFUNCTION("""COMPUTED_VALUE"""),-2.0)</f>
        <v>-2</v>
      </c>
      <c r="BA167" s="16">
        <f>IFERROR(__xludf.DUMMYFUNCTION("""COMPUTED_VALUE"""),10.0)</f>
        <v>10</v>
      </c>
      <c r="BB167" s="16">
        <f>IFERROR(__xludf.DUMMYFUNCTION("""COMPUTED_VALUE"""),-10.0)</f>
        <v>-10</v>
      </c>
      <c r="BC167" s="16"/>
      <c r="BD167" s="16"/>
      <c r="BE167" s="16">
        <f>IFERROR(__xludf.DUMMYFUNCTION("""COMPUTED_VALUE"""),0.0)</f>
        <v>0</v>
      </c>
      <c r="BF167" s="16">
        <f>IFERROR(__xludf.DUMMYFUNCTION("""COMPUTED_VALUE"""),6.0)</f>
        <v>6</v>
      </c>
      <c r="BG167" s="16">
        <f>IFERROR(__xludf.DUMMYFUNCTION("""COMPUTED_VALUE"""),3.0)</f>
        <v>3</v>
      </c>
      <c r="BH167" s="16">
        <f>IFERROR(__xludf.DUMMYFUNCTION("""COMPUTED_VALUE"""),-2.0)</f>
        <v>-2</v>
      </c>
      <c r="BI167" s="16">
        <f>IFERROR(__xludf.DUMMYFUNCTION("""COMPUTED_VALUE"""),6.0)</f>
        <v>6</v>
      </c>
      <c r="BJ167" s="16">
        <f>IFERROR(__xludf.DUMMYFUNCTION("""COMPUTED_VALUE"""),-4.0)</f>
        <v>-4</v>
      </c>
      <c r="BK167" s="16">
        <f>IFERROR(__xludf.DUMMYFUNCTION("""COMPUTED_VALUE"""),0.0)</f>
        <v>0</v>
      </c>
      <c r="BL167" s="16">
        <f>IFERROR(__xludf.DUMMYFUNCTION("""COMPUTED_VALUE"""),0.0)</f>
        <v>0</v>
      </c>
      <c r="BM167" s="16">
        <f>IFERROR(__xludf.DUMMYFUNCTION("""COMPUTED_VALUE"""),1.0)</f>
        <v>1</v>
      </c>
      <c r="BN167" s="16">
        <f>IFERROR(__xludf.DUMMYFUNCTION("""COMPUTED_VALUE"""),1.0)</f>
        <v>1</v>
      </c>
      <c r="BO167" s="16">
        <f>IFERROR(__xludf.DUMMYFUNCTION("""COMPUTED_VALUE"""),1.0)</f>
        <v>1</v>
      </c>
      <c r="BP167" s="16">
        <f>IFERROR(__xludf.DUMMYFUNCTION("""COMPUTED_VALUE"""),1.0)</f>
        <v>1</v>
      </c>
      <c r="BQ167" s="16">
        <f>IFERROR(__xludf.DUMMYFUNCTION("""COMPUTED_VALUE"""),7.0)</f>
        <v>7</v>
      </c>
      <c r="BR167" s="16">
        <f>IFERROR(__xludf.DUMMYFUNCTION("""COMPUTED_VALUE"""),7.0)</f>
        <v>7</v>
      </c>
      <c r="BS167" s="16">
        <f>IFERROR(__xludf.DUMMYFUNCTION("""COMPUTED_VALUE"""),2.0)</f>
        <v>2</v>
      </c>
      <c r="BT167" s="16">
        <f>IFERROR(__xludf.DUMMYFUNCTION("""COMPUTED_VALUE"""),2.0)</f>
        <v>2</v>
      </c>
      <c r="BU167" s="16">
        <f>IFERROR(__xludf.DUMMYFUNCTION("""COMPUTED_VALUE"""),4.0)</f>
        <v>4</v>
      </c>
      <c r="BV167" s="16">
        <f>IFERROR(__xludf.DUMMYFUNCTION("""COMPUTED_VALUE"""),4.0)</f>
        <v>4</v>
      </c>
      <c r="BW167" s="16">
        <f>IFERROR(__xludf.DUMMYFUNCTION("""COMPUTED_VALUE"""),-1.0)</f>
        <v>-1</v>
      </c>
      <c r="BX167" s="16">
        <f>IFERROR(__xludf.DUMMYFUNCTION("""COMPUTED_VALUE"""),-1.0)</f>
        <v>-1</v>
      </c>
      <c r="BY167" s="16" t="str">
        <f>IFERROR(__xludf.DUMMYFUNCTION("""COMPUTED_VALUE"""),"R(1) C(1)")</f>
        <v>R(1) C(1)</v>
      </c>
      <c r="BZ167" s="16" t="str">
        <f>IFERROR(__xludf.DUMMYFUNCTION("""COMPUTED_VALUE"""),"R(1) C(1)")</f>
        <v>R(1) C(1)</v>
      </c>
      <c r="CA167" s="16" t="str">
        <f>IFERROR(__xludf.DUMMYFUNCTION("""COMPUTED_VALUE"""),"R(1)")</f>
        <v>R(1)</v>
      </c>
      <c r="CB167" s="16" t="str">
        <f>IFERROR(__xludf.DUMMYFUNCTION("""COMPUTED_VALUE"""),"C(1)")</f>
        <v>C(1)</v>
      </c>
      <c r="CC167" s="16"/>
      <c r="CD167" s="16"/>
      <c r="CE167" s="16">
        <f>IFERROR(__xludf.DUMMYFUNCTION("""COMPUTED_VALUE"""),1.0)</f>
        <v>1</v>
      </c>
      <c r="CF167" s="16">
        <f>IFERROR(__xludf.DUMMYFUNCTION("""COMPUTED_VALUE"""),1.0)</f>
        <v>1</v>
      </c>
      <c r="CG167" s="16" t="str">
        <f>IFERROR(__xludf.DUMMYFUNCTION("""COMPUTED_VALUE"""),"2-0")</f>
        <v>2-0</v>
      </c>
      <c r="CH167" s="16">
        <f>IFERROR(__xludf.DUMMYFUNCTION("""COMPUTED_VALUE"""),2.0)</f>
        <v>2</v>
      </c>
      <c r="CI167" s="16">
        <f>IFERROR(__xludf.DUMMYFUNCTION("""COMPUTED_VALUE"""),0.0)</f>
        <v>0</v>
      </c>
      <c r="CJ167" s="16">
        <f>IFERROR(__xludf.DUMMYFUNCTION("""COMPUTED_VALUE"""),0.0)</f>
        <v>0</v>
      </c>
      <c r="CK167" s="16">
        <f>IFERROR(__xludf.DUMMYFUNCTION("""COMPUTED_VALUE"""),0.0)</f>
        <v>0</v>
      </c>
      <c r="CL167" s="16" t="str">
        <f>IFERROR(__xludf.DUMMYFUNCTION("""COMPUTED_VALUE"""),"1WL-C")</f>
        <v>1WL-C</v>
      </c>
      <c r="CM167" s="16" t="str">
        <f>IFERROR(__xludf.DUMMYFUNCTION("""COMPUTED_VALUE"""),"E")</f>
        <v>E</v>
      </c>
      <c r="CN167" s="16">
        <f>IFERROR(__xludf.DUMMYFUNCTION("""COMPUTED_VALUE"""),10.0)</f>
        <v>10</v>
      </c>
      <c r="CO167" s="16" t="str">
        <f>IFERROR(__xludf.DUMMYFUNCTION("""COMPUTED_VALUE"""),"C")</f>
        <v>C</v>
      </c>
      <c r="CP167" s="16" t="str">
        <f>IFERROR(__xludf.DUMMYFUNCTION("""COMPUTED_VALUE"""),"1p20")</f>
        <v>1p20</v>
      </c>
      <c r="CQ167" s="16">
        <f>IFERROR(__xludf.DUMMYFUNCTION("""COMPUTED_VALUE"""),42.0)</f>
        <v>42</v>
      </c>
      <c r="CR167" s="16">
        <f>IFERROR(__xludf.DUMMYFUNCTION("""COMPUTED_VALUE"""),-14.0)</f>
        <v>-14</v>
      </c>
      <c r="CS167" s="16">
        <f>IFERROR(__xludf.DUMMYFUNCTION("""COMPUTED_VALUE"""),28.0)</f>
        <v>28</v>
      </c>
      <c r="CT167" s="16">
        <f>IFERROR(__xludf.DUMMYFUNCTION("""COMPUTED_VALUE"""),42.0)</f>
        <v>42</v>
      </c>
      <c r="CU167" s="16">
        <f>IFERROR(__xludf.DUMMYFUNCTION("""COMPUTED_VALUE"""),-14.0)</f>
        <v>-14</v>
      </c>
      <c r="CV167" s="179">
        <f>IFERROR(__xludf.DUMMYFUNCTION("""COMPUTED_VALUE"""),11.666666666666668)</f>
        <v>11.66666667</v>
      </c>
      <c r="CW167" s="179">
        <f>IFERROR(__xludf.DUMMYFUNCTION("""COMPUTED_VALUE"""),4.0)</f>
        <v>4</v>
      </c>
      <c r="CX167" s="179">
        <f>IFERROR(__xludf.DUMMYFUNCTION("""COMPUTED_VALUE"""),3.0)</f>
        <v>3</v>
      </c>
      <c r="CY167" s="16" t="str">
        <f>IFERROR(__xludf.DUMMYFUNCTION("""COMPUTED_VALUE"""),"RP")</f>
        <v>RP</v>
      </c>
      <c r="CZ167" s="16" t="str">
        <f>IFERROR(__xludf.DUMMYFUNCTION("""COMPUTED_VALUE"""),"CP")</f>
        <v>CP</v>
      </c>
      <c r="DA167" s="16"/>
      <c r="DB167" s="16"/>
      <c r="DC167" s="16"/>
      <c r="DD167" s="16"/>
      <c r="DE167" s="16"/>
      <c r="DF167" s="16"/>
      <c r="DG167" s="16"/>
      <c r="DH167" s="16"/>
      <c r="DI167" s="16"/>
      <c r="DJ167" s="16"/>
      <c r="DK167" s="16"/>
    </row>
    <row r="168">
      <c r="A168" s="16">
        <f>IFERROR(__xludf.DUMMYFUNCTION("""COMPUTED_VALUE"""),12982.0)</f>
        <v>12982</v>
      </c>
      <c r="B168" s="16" t="str">
        <f>IFERROR(__xludf.DUMMYFUNCTION("""COMPUTED_VALUE"""),"John King")</f>
        <v>John King</v>
      </c>
      <c r="C168" s="153">
        <f>IFERROR(__xludf.DUMMYFUNCTION("""COMPUTED_VALUE"""),0.96)</f>
        <v>0.96</v>
      </c>
      <c r="D168" s="16"/>
      <c r="E168" s="16" t="str">
        <f>IFERROR(__xludf.DUMMYFUNCTION("""COMPUTED_VALUE"""),"L")</f>
        <v>L</v>
      </c>
      <c r="F168" s="16">
        <f>IFERROR(__xludf.DUMMYFUNCTION("""COMPUTED_VALUE"""),60.0)</f>
        <v>60</v>
      </c>
      <c r="G168" s="16">
        <f>IFERROR(__xludf.DUMMYFUNCTION("""COMPUTED_VALUE"""),12.0)</f>
        <v>12</v>
      </c>
      <c r="H168" s="16">
        <f>IFERROR(__xludf.DUMMYFUNCTION("""COMPUTED_VALUE"""),7.0)</f>
        <v>7</v>
      </c>
      <c r="I168" s="16">
        <f>IFERROR(__xludf.DUMMYFUNCTION("""COMPUTED_VALUE"""),-2.0)</f>
        <v>-2</v>
      </c>
      <c r="J168" s="16">
        <f>IFERROR(__xludf.DUMMYFUNCTION("""COMPUTED_VALUE"""),-2.0)</f>
        <v>-2</v>
      </c>
      <c r="K168" s="16">
        <f>IFERROR(__xludf.DUMMYFUNCTION("""COMPUTED_VALUE"""),-6.0)</f>
        <v>-6</v>
      </c>
      <c r="L168" s="16">
        <f>IFERROR(__xludf.DUMMYFUNCTION("""COMPUTED_VALUE"""),-6.0)</f>
        <v>-6</v>
      </c>
      <c r="M168" s="16">
        <f>IFERROR(__xludf.DUMMYFUNCTION("""COMPUTED_VALUE"""),0.0)</f>
        <v>0</v>
      </c>
      <c r="N168" s="16">
        <f>IFERROR(__xludf.DUMMYFUNCTION("""COMPUTED_VALUE"""),6.0)</f>
        <v>6</v>
      </c>
      <c r="O168" s="16">
        <f>IFERROR(__xludf.DUMMYFUNCTION("""COMPUTED_VALUE"""),3.0)</f>
        <v>3</v>
      </c>
      <c r="P168" s="16">
        <f>IFERROR(__xludf.DUMMYFUNCTION("""COMPUTED_VALUE"""),1.0)</f>
        <v>1</v>
      </c>
      <c r="Q168" s="16">
        <f>IFERROR(__xludf.DUMMYFUNCTION("""COMPUTED_VALUE"""),3.0)</f>
        <v>3</v>
      </c>
      <c r="R168" s="16">
        <f>IFERROR(__xludf.DUMMYFUNCTION("""COMPUTED_VALUE"""),1.0)</f>
        <v>1</v>
      </c>
      <c r="S168" s="16">
        <f>IFERROR(__xludf.DUMMYFUNCTION("""COMPUTED_VALUE"""),20.1)</f>
        <v>20.1</v>
      </c>
      <c r="T168" s="16">
        <f>IFERROR(__xludf.DUMMYFUNCTION("""COMPUTED_VALUE"""),21.7)</f>
        <v>21.7</v>
      </c>
      <c r="U168" s="16">
        <f>IFERROR(__xludf.DUMMYFUNCTION("""COMPUTED_VALUE"""),-1.0)</f>
        <v>-1</v>
      </c>
      <c r="V168" s="16">
        <f>IFERROR(__xludf.DUMMYFUNCTION("""COMPUTED_VALUE"""),-1.0)</f>
        <v>-1</v>
      </c>
      <c r="W168" s="16">
        <f>IFERROR(__xludf.DUMMYFUNCTION("""COMPUTED_VALUE"""),-2.0)</f>
        <v>-2</v>
      </c>
      <c r="X168" s="16">
        <f>IFERROR(__xludf.DUMMYFUNCTION("""COMPUTED_VALUE"""),-2.0)</f>
        <v>-2</v>
      </c>
      <c r="Y168" s="16">
        <f>IFERROR(__xludf.DUMMYFUNCTION("""COMPUTED_VALUE"""),20.1)</f>
        <v>20.1</v>
      </c>
      <c r="Z168" s="16">
        <f>IFERROR(__xludf.DUMMYFUNCTION("""COMPUTED_VALUE"""),27.7)</f>
        <v>27.7</v>
      </c>
      <c r="AA168" s="16">
        <f>IFERROR(__xludf.DUMMYFUNCTION("""COMPUTED_VALUE"""),1.0)</f>
        <v>1</v>
      </c>
      <c r="AB168" s="16">
        <f>IFERROR(__xludf.DUMMYFUNCTION("""COMPUTED_VALUE"""),0.0)</f>
        <v>0</v>
      </c>
      <c r="AC168" s="16">
        <f>IFERROR(__xludf.DUMMYFUNCTION("""COMPUTED_VALUE"""),5.0)</f>
        <v>5</v>
      </c>
      <c r="AD168" s="16">
        <f>IFERROR(__xludf.DUMMYFUNCTION("""COMPUTED_VALUE"""),0.0)</f>
        <v>0</v>
      </c>
      <c r="AE168" s="16">
        <f>IFERROR(__xludf.DUMMYFUNCTION("""COMPUTED_VALUE"""),26.7)</f>
        <v>26.7</v>
      </c>
      <c r="AF168" s="16">
        <f>IFERROR(__xludf.DUMMYFUNCTION("""COMPUTED_VALUE"""),25.5)</f>
        <v>25.5</v>
      </c>
      <c r="AG168" s="16">
        <f>IFERROR(__xludf.DUMMYFUNCTION("""COMPUTED_VALUE"""),0.0)</f>
        <v>0</v>
      </c>
      <c r="AH168" s="16">
        <f>IFERROR(__xludf.DUMMYFUNCTION("""COMPUTED_VALUE"""),0.0)</f>
        <v>0</v>
      </c>
      <c r="AI168" s="16">
        <f>IFERROR(__xludf.DUMMYFUNCTION("""COMPUTED_VALUE"""),0.0)</f>
        <v>0</v>
      </c>
      <c r="AJ168" s="16">
        <f>IFERROR(__xludf.DUMMYFUNCTION("""COMPUTED_VALUE"""),0.0)</f>
        <v>0</v>
      </c>
      <c r="AK168" s="16">
        <f>IFERROR(__xludf.DUMMYFUNCTION("""COMPUTED_VALUE"""),17.900000000000002)</f>
        <v>17.9</v>
      </c>
      <c r="AL168" s="16">
        <f>IFERROR(__xludf.DUMMYFUNCTION("""COMPUTED_VALUE"""),21.5)</f>
        <v>21.5</v>
      </c>
      <c r="AM168" s="16">
        <f>IFERROR(__xludf.DUMMYFUNCTION("""COMPUTED_VALUE"""),-1.0)</f>
        <v>-1</v>
      </c>
      <c r="AN168" s="16">
        <f>IFERROR(__xludf.DUMMYFUNCTION("""COMPUTED_VALUE"""),-1.0)</f>
        <v>-1</v>
      </c>
      <c r="AO168" s="16">
        <f>IFERROR(__xludf.DUMMYFUNCTION("""COMPUTED_VALUE"""),-1.0)</f>
        <v>-1</v>
      </c>
      <c r="AP168" s="16">
        <f>IFERROR(__xludf.DUMMYFUNCTION("""COMPUTED_VALUE"""),-1.0)</f>
        <v>-1</v>
      </c>
      <c r="AQ168" s="16">
        <f>IFERROR(__xludf.DUMMYFUNCTION("""COMPUTED_VALUE"""),17.9)</f>
        <v>17.9</v>
      </c>
      <c r="AR168" s="16">
        <f>IFERROR(__xludf.DUMMYFUNCTION("""COMPUTED_VALUE"""),24.7)</f>
        <v>24.7</v>
      </c>
      <c r="AS168" s="16">
        <f>IFERROR(__xludf.DUMMYFUNCTION("""COMPUTED_VALUE"""),0.0)</f>
        <v>0</v>
      </c>
      <c r="AT168" s="16">
        <f>IFERROR(__xludf.DUMMYFUNCTION("""COMPUTED_VALUE"""),-1.0)</f>
        <v>-1</v>
      </c>
      <c r="AU168" s="16">
        <f>IFERROR(__xludf.DUMMYFUNCTION("""COMPUTED_VALUE"""),0.0)</f>
        <v>0</v>
      </c>
      <c r="AV168" s="16">
        <f>IFERROR(__xludf.DUMMYFUNCTION("""COMPUTED_VALUE"""),-2.0)</f>
        <v>-2</v>
      </c>
      <c r="AW168" s="16">
        <f>IFERROR(__xludf.DUMMYFUNCTION("""COMPUTED_VALUE"""),2.2)</f>
        <v>2.2</v>
      </c>
      <c r="AX168" s="16">
        <f>IFERROR(__xludf.DUMMYFUNCTION("""COMPUTED_VALUE"""),0.2)</f>
        <v>0.2</v>
      </c>
      <c r="AY168" s="16">
        <f>IFERROR(__xludf.DUMMYFUNCTION("""COMPUTED_VALUE"""),0.0)</f>
        <v>0</v>
      </c>
      <c r="AZ168" s="16">
        <f>IFERROR(__xludf.DUMMYFUNCTION("""COMPUTED_VALUE"""),2.0)</f>
        <v>2</v>
      </c>
      <c r="BA168" s="16">
        <f>IFERROR(__xludf.DUMMYFUNCTION("""COMPUTED_VALUE"""),0.0)</f>
        <v>0</v>
      </c>
      <c r="BB168" s="16">
        <f>IFERROR(__xludf.DUMMYFUNCTION("""COMPUTED_VALUE"""),10.0)</f>
        <v>10</v>
      </c>
      <c r="BC168" s="16">
        <f>IFERROR(__xludf.DUMMYFUNCTION("""COMPUTED_VALUE"""),3.0)</f>
        <v>3</v>
      </c>
      <c r="BD168" s="16">
        <f>IFERROR(__xludf.DUMMYFUNCTION("""COMPUTED_VALUE"""),0.0)</f>
        <v>0</v>
      </c>
      <c r="BE168" s="16">
        <f>IFERROR(__xludf.DUMMYFUNCTION("""COMPUTED_VALUE"""),3.0)</f>
        <v>3</v>
      </c>
      <c r="BF168" s="16">
        <f>IFERROR(__xludf.DUMMYFUNCTION("""COMPUTED_VALUE"""),0.0)</f>
        <v>0</v>
      </c>
      <c r="BG168" s="16">
        <f>IFERROR(__xludf.DUMMYFUNCTION("""COMPUTED_VALUE"""),0.0)</f>
        <v>0</v>
      </c>
      <c r="BH168" s="16">
        <f>IFERROR(__xludf.DUMMYFUNCTION("""COMPUTED_VALUE"""),2.0)</f>
        <v>2</v>
      </c>
      <c r="BI168" s="16">
        <f>IFERROR(__xludf.DUMMYFUNCTION("""COMPUTED_VALUE"""),0.0)</f>
        <v>0</v>
      </c>
      <c r="BJ168" s="16">
        <f>IFERROR(__xludf.DUMMYFUNCTION("""COMPUTED_VALUE"""),4.0)</f>
        <v>4</v>
      </c>
      <c r="BK168" s="16">
        <f>IFERROR(__xludf.DUMMYFUNCTION("""COMPUTED_VALUE"""),5.0)</f>
        <v>5</v>
      </c>
      <c r="BL168" s="16">
        <f>IFERROR(__xludf.DUMMYFUNCTION("""COMPUTED_VALUE"""),5.0)</f>
        <v>5</v>
      </c>
      <c r="BM168" s="16">
        <f>IFERROR(__xludf.DUMMYFUNCTION("""COMPUTED_VALUE"""),0.0)</f>
        <v>0</v>
      </c>
      <c r="BN168" s="16">
        <f>IFERROR(__xludf.DUMMYFUNCTION("""COMPUTED_VALUE"""),0.0)</f>
        <v>0</v>
      </c>
      <c r="BO168" s="16">
        <f>IFERROR(__xludf.DUMMYFUNCTION("""COMPUTED_VALUE"""),0.0)</f>
        <v>0</v>
      </c>
      <c r="BP168" s="16">
        <f>IFERROR(__xludf.DUMMYFUNCTION("""COMPUTED_VALUE"""),0.0)</f>
        <v>0</v>
      </c>
      <c r="BQ168" s="16">
        <f>IFERROR(__xludf.DUMMYFUNCTION("""COMPUTED_VALUE"""),12.0)</f>
        <v>12</v>
      </c>
      <c r="BR168" s="16">
        <f>IFERROR(__xludf.DUMMYFUNCTION("""COMPUTED_VALUE"""),12.0)</f>
        <v>12</v>
      </c>
      <c r="BS168" s="16">
        <f>IFERROR(__xludf.DUMMYFUNCTION("""COMPUTED_VALUE"""),3.0)</f>
        <v>3</v>
      </c>
      <c r="BT168" s="16">
        <f>IFERROR(__xludf.DUMMYFUNCTION("""COMPUTED_VALUE"""),3.0)</f>
        <v>3</v>
      </c>
      <c r="BU168" s="16">
        <f>IFERROR(__xludf.DUMMYFUNCTION("""COMPUTED_VALUE"""),6.0)</f>
        <v>6</v>
      </c>
      <c r="BV168" s="16">
        <f>IFERROR(__xludf.DUMMYFUNCTION("""COMPUTED_VALUE"""),6.0)</f>
        <v>6</v>
      </c>
      <c r="BW168" s="16">
        <f>IFERROR(__xludf.DUMMYFUNCTION("""COMPUTED_VALUE"""),7.0)</f>
        <v>7</v>
      </c>
      <c r="BX168" s="16">
        <f>IFERROR(__xludf.DUMMYFUNCTION("""COMPUTED_VALUE"""),7.0)</f>
        <v>7</v>
      </c>
      <c r="BY168" s="16" t="str">
        <f>IFERROR(__xludf.DUMMYFUNCTION("""COMPUTED_VALUE"""),"R(2)")</f>
        <v>R(2)</v>
      </c>
      <c r="BZ168" s="16" t="str">
        <f>IFERROR(__xludf.DUMMYFUNCTION("""COMPUTED_VALUE"""),"R(2)")</f>
        <v>R(2)</v>
      </c>
      <c r="CA168" s="16" t="str">
        <f>IFERROR(__xludf.DUMMYFUNCTION("""COMPUTED_VALUE"""),"R(2)")</f>
        <v>R(2)</v>
      </c>
      <c r="CB168" s="16"/>
      <c r="CC168" s="16"/>
      <c r="CD168" s="16"/>
      <c r="CE168" s="16">
        <f>IFERROR(__xludf.DUMMYFUNCTION("""COMPUTED_VALUE"""),2.0)</f>
        <v>2</v>
      </c>
      <c r="CF168" s="16"/>
      <c r="CG168" s="16" t="str">
        <f>IFERROR(__xludf.DUMMYFUNCTION("""COMPUTED_VALUE"""),"4-24")</f>
        <v>4-24</v>
      </c>
      <c r="CH168" s="16">
        <f>IFERROR(__xludf.DUMMYFUNCTION("""COMPUTED_VALUE"""),4.0)</f>
        <v>4</v>
      </c>
      <c r="CI168" s="16">
        <f>IFERROR(__xludf.DUMMYFUNCTION("""COMPUTED_VALUE"""),24.0)</f>
        <v>24</v>
      </c>
      <c r="CJ168" s="16">
        <f>IFERROR(__xludf.DUMMYFUNCTION("""COMPUTED_VALUE"""),5.0)</f>
        <v>5</v>
      </c>
      <c r="CK168" s="16">
        <f>IFERROR(__xludf.DUMMYFUNCTION("""COMPUTED_VALUE"""),11.0)</f>
        <v>11</v>
      </c>
      <c r="CL168" s="16" t="str">
        <f>IFERROR(__xludf.DUMMYFUNCTION("""COMPUTED_VALUE"""),"1WL-C")</f>
        <v>1WL-C</v>
      </c>
      <c r="CM168" s="16" t="str">
        <f>IFERROR(__xludf.DUMMYFUNCTION("""COMPUTED_VALUE"""),"E")</f>
        <v>E</v>
      </c>
      <c r="CN168" s="16">
        <f>IFERROR(__xludf.DUMMYFUNCTION("""COMPUTED_VALUE"""),10.0)</f>
        <v>10</v>
      </c>
      <c r="CO168" s="16" t="str">
        <f>IFERROR(__xludf.DUMMYFUNCTION("""COMPUTED_VALUE"""),"C")</f>
        <v>C</v>
      </c>
      <c r="CP168" s="16" t="str">
        <f>IFERROR(__xludf.DUMMYFUNCTION("""COMPUTED_VALUE"""),"1p40")</f>
        <v>1p40</v>
      </c>
      <c r="CQ168" s="16">
        <f>IFERROR(__xludf.DUMMYFUNCTION("""COMPUTED_VALUE"""),5.0)</f>
        <v>5</v>
      </c>
      <c r="CR168" s="16">
        <f>IFERROR(__xludf.DUMMYFUNCTION("""COMPUTED_VALUE"""),10.0)</f>
        <v>10</v>
      </c>
      <c r="CS168" s="16">
        <f>IFERROR(__xludf.DUMMYFUNCTION("""COMPUTED_VALUE"""),15.0)</f>
        <v>15</v>
      </c>
      <c r="CT168" s="16">
        <f>IFERROR(__xludf.DUMMYFUNCTION("""COMPUTED_VALUE"""),5.0)</f>
        <v>5</v>
      </c>
      <c r="CU168" s="16">
        <f>IFERROR(__xludf.DUMMYFUNCTION("""COMPUTED_VALUE"""),10.0)</f>
        <v>10</v>
      </c>
      <c r="CV168" s="179">
        <f>IFERROR(__xludf.DUMMYFUNCTION("""COMPUTED_VALUE"""),11.666666666666668)</f>
        <v>11.66666667</v>
      </c>
      <c r="CW168" s="179">
        <f>IFERROR(__xludf.DUMMYFUNCTION("""COMPUTED_VALUE"""),4.0)</f>
        <v>4</v>
      </c>
      <c r="CX168" s="179">
        <f>IFERROR(__xludf.DUMMYFUNCTION("""COMPUTED_VALUE"""),1.0)</f>
        <v>1</v>
      </c>
      <c r="CY168" s="16" t="str">
        <f>IFERROR(__xludf.DUMMYFUNCTION("""COMPUTED_VALUE"""),"RP")</f>
        <v>RP</v>
      </c>
      <c r="CZ168" s="16"/>
      <c r="DA168" s="16"/>
      <c r="DB168" s="16"/>
      <c r="DC168" s="16"/>
      <c r="DD168" s="16"/>
      <c r="DE168" s="16"/>
      <c r="DF168" s="16"/>
      <c r="DG168" s="16"/>
      <c r="DH168" s="16"/>
      <c r="DI168" s="16"/>
      <c r="DJ168" s="16"/>
      <c r="DK168" s="16"/>
    </row>
    <row r="169">
      <c r="A169" s="16">
        <f>IFERROR(__xludf.DUMMYFUNCTION("""COMPUTED_VALUE"""),12648.0)</f>
        <v>12648</v>
      </c>
      <c r="B169" s="16" t="str">
        <f>IFERROR(__xludf.DUMMYFUNCTION("""COMPUTED_VALUE"""),"Calvin Faucher")</f>
        <v>Calvin Faucher</v>
      </c>
      <c r="C169" s="153">
        <f>IFERROR(__xludf.DUMMYFUNCTION("""COMPUTED_VALUE"""),0.64)</f>
        <v>0.64</v>
      </c>
      <c r="D169" s="16"/>
      <c r="E169" s="16" t="str">
        <f>IFERROR(__xludf.DUMMYFUNCTION("""COMPUTED_VALUE"""),"R")</f>
        <v>R</v>
      </c>
      <c r="F169" s="16">
        <f>IFERROR(__xludf.DUMMYFUNCTION("""COMPUTED_VALUE"""),54.0)</f>
        <v>54</v>
      </c>
      <c r="G169" s="16">
        <f>IFERROR(__xludf.DUMMYFUNCTION("""COMPUTED_VALUE"""),32.0)</f>
        <v>32</v>
      </c>
      <c r="H169" s="16">
        <f>IFERROR(__xludf.DUMMYFUNCTION("""COMPUTED_VALUE"""),39.0)</f>
        <v>39</v>
      </c>
      <c r="I169" s="16">
        <f>IFERROR(__xludf.DUMMYFUNCTION("""COMPUTED_VALUE"""),1.0)</f>
        <v>1</v>
      </c>
      <c r="J169" s="16">
        <f>IFERROR(__xludf.DUMMYFUNCTION("""COMPUTED_VALUE"""),2.0)</f>
        <v>2</v>
      </c>
      <c r="K169" s="16">
        <f>IFERROR(__xludf.DUMMYFUNCTION("""COMPUTED_VALUE"""),3.0)</f>
        <v>3</v>
      </c>
      <c r="L169" s="16">
        <f>IFERROR(__xludf.DUMMYFUNCTION("""COMPUTED_VALUE"""),6.0)</f>
        <v>6</v>
      </c>
      <c r="M169" s="16">
        <f>IFERROR(__xludf.DUMMYFUNCTION("""COMPUTED_VALUE"""),22.0)</f>
        <v>22</v>
      </c>
      <c r="N169" s="16">
        <f>IFERROR(__xludf.DUMMYFUNCTION("""COMPUTED_VALUE"""),8.0)</f>
        <v>8</v>
      </c>
      <c r="O169" s="16">
        <f>IFERROR(__xludf.DUMMYFUNCTION("""COMPUTED_VALUE"""),-3.0)</f>
        <v>-3</v>
      </c>
      <c r="P169" s="16">
        <f>IFERROR(__xludf.DUMMYFUNCTION("""COMPUTED_VALUE"""),0.0)</f>
        <v>0</v>
      </c>
      <c r="Q169" s="16">
        <f>IFERROR(__xludf.DUMMYFUNCTION("""COMPUTED_VALUE"""),-3.0)</f>
        <v>-3</v>
      </c>
      <c r="R169" s="16">
        <f>IFERROR(__xludf.DUMMYFUNCTION("""COMPUTED_VALUE"""),0.0)</f>
        <v>0</v>
      </c>
      <c r="S169" s="16">
        <f>IFERROR(__xludf.DUMMYFUNCTION("""COMPUTED_VALUE"""),11.8)</f>
        <v>11.8</v>
      </c>
      <c r="T169" s="16">
        <f>IFERROR(__xludf.DUMMYFUNCTION("""COMPUTED_VALUE"""),15.6)</f>
        <v>15.6</v>
      </c>
      <c r="U169" s="16">
        <f>IFERROR(__xludf.DUMMYFUNCTION("""COMPUTED_VALUE"""),1.0)</f>
        <v>1</v>
      </c>
      <c r="V169" s="16">
        <f>IFERROR(__xludf.DUMMYFUNCTION("""COMPUTED_VALUE"""),0.0)</f>
        <v>0</v>
      </c>
      <c r="W169" s="16">
        <f>IFERROR(__xludf.DUMMYFUNCTION("""COMPUTED_VALUE"""),2.0)</f>
        <v>2</v>
      </c>
      <c r="X169" s="16">
        <f>IFERROR(__xludf.DUMMYFUNCTION("""COMPUTED_VALUE"""),0.0)</f>
        <v>0</v>
      </c>
      <c r="Y169" s="16">
        <f>IFERROR(__xludf.DUMMYFUNCTION("""COMPUTED_VALUE"""),33.8)</f>
        <v>33.8</v>
      </c>
      <c r="Z169" s="16">
        <f>IFERROR(__xludf.DUMMYFUNCTION("""COMPUTED_VALUE"""),23.6)</f>
        <v>23.6</v>
      </c>
      <c r="AA169" s="16">
        <f>IFERROR(__xludf.DUMMYFUNCTION("""COMPUTED_VALUE"""),-1.0)</f>
        <v>-1</v>
      </c>
      <c r="AB169" s="16">
        <f>IFERROR(__xludf.DUMMYFUNCTION("""COMPUTED_VALUE"""),0.0)</f>
        <v>0</v>
      </c>
      <c r="AC169" s="16">
        <f>IFERROR(__xludf.DUMMYFUNCTION("""COMPUTED_VALUE"""),-5.0)</f>
        <v>-5</v>
      </c>
      <c r="AD169" s="16">
        <f>IFERROR(__xludf.DUMMYFUNCTION("""COMPUTED_VALUE"""),0.0)</f>
        <v>0</v>
      </c>
      <c r="AE169" s="16">
        <f>IFERROR(__xludf.DUMMYFUNCTION("""COMPUTED_VALUE"""),28.7)</f>
        <v>28.7</v>
      </c>
      <c r="AF169" s="16">
        <f>IFERROR(__xludf.DUMMYFUNCTION("""COMPUTED_VALUE"""),25.5)</f>
        <v>25.5</v>
      </c>
      <c r="AG169" s="16">
        <f>IFERROR(__xludf.DUMMYFUNCTION("""COMPUTED_VALUE"""),0.0)</f>
        <v>0</v>
      </c>
      <c r="AH169" s="16">
        <f>IFERROR(__xludf.DUMMYFUNCTION("""COMPUTED_VALUE"""),0.0)</f>
        <v>0</v>
      </c>
      <c r="AI169" s="16">
        <f>IFERROR(__xludf.DUMMYFUNCTION("""COMPUTED_VALUE"""),0.0)</f>
        <v>0</v>
      </c>
      <c r="AJ169" s="16">
        <f>IFERROR(__xludf.DUMMYFUNCTION("""COMPUTED_VALUE"""),0.0)</f>
        <v>0</v>
      </c>
      <c r="AK169" s="16">
        <f>IFERROR(__xludf.DUMMYFUNCTION("""COMPUTED_VALUE"""),11.8)</f>
        <v>11.8</v>
      </c>
      <c r="AL169" s="16">
        <f>IFERROR(__xludf.DUMMYFUNCTION("""COMPUTED_VALUE"""),15.6)</f>
        <v>15.6</v>
      </c>
      <c r="AM169" s="16">
        <f>IFERROR(__xludf.DUMMYFUNCTION("""COMPUTED_VALUE"""),0.0)</f>
        <v>0</v>
      </c>
      <c r="AN169" s="16">
        <f>IFERROR(__xludf.DUMMYFUNCTION("""COMPUTED_VALUE"""),0.0)</f>
        <v>0</v>
      </c>
      <c r="AO169" s="16">
        <f>IFERROR(__xludf.DUMMYFUNCTION("""COMPUTED_VALUE"""),0.0)</f>
        <v>0</v>
      </c>
      <c r="AP169" s="16">
        <f>IFERROR(__xludf.DUMMYFUNCTION("""COMPUTED_VALUE"""),0.0)</f>
        <v>0</v>
      </c>
      <c r="AQ169" s="16">
        <f>IFERROR(__xludf.DUMMYFUNCTION("""COMPUTED_VALUE"""),28.7)</f>
        <v>28.7</v>
      </c>
      <c r="AR169" s="16">
        <f>IFERROR(__xludf.DUMMYFUNCTION("""COMPUTED_VALUE"""),25.5)</f>
        <v>25.5</v>
      </c>
      <c r="AS169" s="16">
        <f>IFERROR(__xludf.DUMMYFUNCTION("""COMPUTED_VALUE"""),-1.0)</f>
        <v>-1</v>
      </c>
      <c r="AT169" s="16">
        <f>IFERROR(__xludf.DUMMYFUNCTION("""COMPUTED_VALUE"""),-1.0)</f>
        <v>-1</v>
      </c>
      <c r="AU169" s="16">
        <f>IFERROR(__xludf.DUMMYFUNCTION("""COMPUTED_VALUE"""),-2.0)</f>
        <v>-2</v>
      </c>
      <c r="AV169" s="16">
        <f>IFERROR(__xludf.DUMMYFUNCTION("""COMPUTED_VALUE"""),-2.0)</f>
        <v>-2</v>
      </c>
      <c r="AW169" s="16">
        <f>IFERROR(__xludf.DUMMYFUNCTION("""COMPUTED_VALUE"""),0.0)</f>
        <v>0</v>
      </c>
      <c r="AX169" s="16">
        <f>IFERROR(__xludf.DUMMYFUNCTION("""COMPUTED_VALUE"""),0.0)</f>
        <v>0</v>
      </c>
      <c r="AY169" s="16">
        <f>IFERROR(__xludf.DUMMYFUNCTION("""COMPUTED_VALUE"""),2.0)</f>
        <v>2</v>
      </c>
      <c r="AZ169" s="16">
        <f>IFERROR(__xludf.DUMMYFUNCTION("""COMPUTED_VALUE"""),2.0)</f>
        <v>2</v>
      </c>
      <c r="BA169" s="16">
        <f>IFERROR(__xludf.DUMMYFUNCTION("""COMPUTED_VALUE"""),10.0)</f>
        <v>10</v>
      </c>
      <c r="BB169" s="16">
        <f>IFERROR(__xludf.DUMMYFUNCTION("""COMPUTED_VALUE"""),10.0)</f>
        <v>10</v>
      </c>
      <c r="BC169" s="16">
        <f>IFERROR(__xludf.DUMMYFUNCTION("""COMPUTED_VALUE"""),0.0)</f>
        <v>0</v>
      </c>
      <c r="BD169" s="16">
        <f>IFERROR(__xludf.DUMMYFUNCTION("""COMPUTED_VALUE"""),0.0)</f>
        <v>0</v>
      </c>
      <c r="BE169" s="16">
        <f>IFERROR(__xludf.DUMMYFUNCTION("""COMPUTED_VALUE"""),0.0)</f>
        <v>0</v>
      </c>
      <c r="BF169" s="16">
        <f>IFERROR(__xludf.DUMMYFUNCTION("""COMPUTED_VALUE"""),0.0)</f>
        <v>0</v>
      </c>
      <c r="BG169" s="16">
        <f>IFERROR(__xludf.DUMMYFUNCTION("""COMPUTED_VALUE"""),3.0)</f>
        <v>3</v>
      </c>
      <c r="BH169" s="16">
        <f>IFERROR(__xludf.DUMMYFUNCTION("""COMPUTED_VALUE"""),2.0)</f>
        <v>2</v>
      </c>
      <c r="BI169" s="16">
        <f>IFERROR(__xludf.DUMMYFUNCTION("""COMPUTED_VALUE"""),6.0)</f>
        <v>6</v>
      </c>
      <c r="BJ169" s="16">
        <f>IFERROR(__xludf.DUMMYFUNCTION("""COMPUTED_VALUE"""),4.0)</f>
        <v>4</v>
      </c>
      <c r="BK169" s="16">
        <f>IFERROR(__xludf.DUMMYFUNCTION("""COMPUTED_VALUE"""),5.0)</f>
        <v>5</v>
      </c>
      <c r="BL169" s="16">
        <f>IFERROR(__xludf.DUMMYFUNCTION("""COMPUTED_VALUE"""),5.0)</f>
        <v>5</v>
      </c>
      <c r="BM169" s="16">
        <f>IFERROR(__xludf.DUMMYFUNCTION("""COMPUTED_VALUE"""),0.0)</f>
        <v>0</v>
      </c>
      <c r="BN169" s="16">
        <f>IFERROR(__xludf.DUMMYFUNCTION("""COMPUTED_VALUE"""),0.0)</f>
        <v>0</v>
      </c>
      <c r="BO169" s="16">
        <f>IFERROR(__xludf.DUMMYFUNCTION("""COMPUTED_VALUE"""),0.0)</f>
        <v>0</v>
      </c>
      <c r="BP169" s="16">
        <f>IFERROR(__xludf.DUMMYFUNCTION("""COMPUTED_VALUE"""),0.0)</f>
        <v>0</v>
      </c>
      <c r="BQ169" s="16">
        <f>IFERROR(__xludf.DUMMYFUNCTION("""COMPUTED_VALUE"""),0.0)</f>
        <v>0</v>
      </c>
      <c r="BR169" s="16">
        <f>IFERROR(__xludf.DUMMYFUNCTION("""COMPUTED_VALUE"""),4.0)</f>
        <v>4</v>
      </c>
      <c r="BS169" s="16">
        <f>IFERROR(__xludf.DUMMYFUNCTION("""COMPUTED_VALUE"""),-3.0)</f>
        <v>-3</v>
      </c>
      <c r="BT169" s="16">
        <f>IFERROR(__xludf.DUMMYFUNCTION("""COMPUTED_VALUE"""),-1.0)</f>
        <v>-1</v>
      </c>
      <c r="BU169" s="16">
        <f>IFERROR(__xludf.DUMMYFUNCTION("""COMPUTED_VALUE"""),-6.0)</f>
        <v>-6</v>
      </c>
      <c r="BV169" s="16">
        <f>IFERROR(__xludf.DUMMYFUNCTION("""COMPUTED_VALUE"""),-2.0)</f>
        <v>-2</v>
      </c>
      <c r="BW169" s="16">
        <f>IFERROR(__xludf.DUMMYFUNCTION("""COMPUTED_VALUE"""),1.0)</f>
        <v>1</v>
      </c>
      <c r="BX169" s="16">
        <f>IFERROR(__xludf.DUMMYFUNCTION("""COMPUTED_VALUE"""),1.0)</f>
        <v>1</v>
      </c>
      <c r="BY169" s="16" t="str">
        <f>IFERROR(__xludf.DUMMYFUNCTION("""COMPUTED_VALUE"""),"R(1) C(3)")</f>
        <v>R(1) C(3)</v>
      </c>
      <c r="BZ169" s="16" t="str">
        <f>IFERROR(__xludf.DUMMYFUNCTION("""COMPUTED_VALUE"""),"R(1) C(3)")</f>
        <v>R(1) C(3)</v>
      </c>
      <c r="CA169" s="16" t="str">
        <f>IFERROR(__xludf.DUMMYFUNCTION("""COMPUTED_VALUE"""),"R(1)")</f>
        <v>R(1)</v>
      </c>
      <c r="CB169" s="16" t="str">
        <f>IFERROR(__xludf.DUMMYFUNCTION("""COMPUTED_VALUE"""),"C(3)")</f>
        <v>C(3)</v>
      </c>
      <c r="CC169" s="16"/>
      <c r="CD169" s="16"/>
      <c r="CE169" s="16">
        <f>IFERROR(__xludf.DUMMYFUNCTION("""COMPUTED_VALUE"""),1.0)</f>
        <v>1</v>
      </c>
      <c r="CF169" s="16">
        <f>IFERROR(__xludf.DUMMYFUNCTION("""COMPUTED_VALUE"""),3.0)</f>
        <v>3</v>
      </c>
      <c r="CG169" s="16" t="str">
        <f>IFERROR(__xludf.DUMMYFUNCTION("""COMPUTED_VALUE"""),"4-0")</f>
        <v>4-0</v>
      </c>
      <c r="CH169" s="16">
        <f>IFERROR(__xludf.DUMMYFUNCTION("""COMPUTED_VALUE"""),4.0)</f>
        <v>4</v>
      </c>
      <c r="CI169" s="16">
        <f>IFERROR(__xludf.DUMMYFUNCTION("""COMPUTED_VALUE"""),0.0)</f>
        <v>0</v>
      </c>
      <c r="CJ169" s="16">
        <f>IFERROR(__xludf.DUMMYFUNCTION("""COMPUTED_VALUE"""),0.0)</f>
        <v>0</v>
      </c>
      <c r="CK169" s="16">
        <f>IFERROR(__xludf.DUMMYFUNCTION("""COMPUTED_VALUE"""),20.0)</f>
        <v>20</v>
      </c>
      <c r="CL169" s="16" t="str">
        <f>IFERROR(__xludf.DUMMYFUNCTION("""COMPUTED_VALUE"""),"1WR-C")</f>
        <v>1WR-C</v>
      </c>
      <c r="CM169" s="16" t="str">
        <f>IFERROR(__xludf.DUMMYFUNCTION("""COMPUTED_VALUE"""),"E")</f>
        <v>E</v>
      </c>
      <c r="CN169" s="16">
        <f>IFERROR(__xludf.DUMMYFUNCTION("""COMPUTED_VALUE"""),10.0)</f>
        <v>10</v>
      </c>
      <c r="CO169" s="16" t="str">
        <f>IFERROR(__xludf.DUMMYFUNCTION("""COMPUTED_VALUE"""),"C")</f>
        <v>C</v>
      </c>
      <c r="CP169" s="16" t="str">
        <f>IFERROR(__xludf.DUMMYFUNCTION("""COMPUTED_VALUE"""),"2p50")</f>
        <v>2p50</v>
      </c>
      <c r="CQ169" s="16">
        <f>IFERROR(__xludf.DUMMYFUNCTION("""COMPUTED_VALUE"""),5.0)</f>
        <v>5</v>
      </c>
      <c r="CR169" s="16">
        <f>IFERROR(__xludf.DUMMYFUNCTION("""COMPUTED_VALUE"""),16.0)</f>
        <v>16</v>
      </c>
      <c r="CS169" s="16">
        <f>IFERROR(__xludf.DUMMYFUNCTION("""COMPUTED_VALUE"""),21.0)</f>
        <v>21</v>
      </c>
      <c r="CT169" s="16">
        <f>IFERROR(__xludf.DUMMYFUNCTION("""COMPUTED_VALUE"""),5.0)</f>
        <v>5</v>
      </c>
      <c r="CU169" s="16">
        <f>IFERROR(__xludf.DUMMYFUNCTION("""COMPUTED_VALUE"""),16.0)</f>
        <v>16</v>
      </c>
      <c r="CV169" s="179">
        <f>IFERROR(__xludf.DUMMYFUNCTION("""COMPUTED_VALUE"""),11.666666666666666)</f>
        <v>11.66666667</v>
      </c>
      <c r="CW169" s="179">
        <f>IFERROR(__xludf.DUMMYFUNCTION("""COMPUTED_VALUE"""),3.0)</f>
        <v>3</v>
      </c>
      <c r="CX169" s="179">
        <f>IFERROR(__xludf.DUMMYFUNCTION("""COMPUTED_VALUE"""),0.0)</f>
        <v>0</v>
      </c>
      <c r="CY169" s="16" t="str">
        <f>IFERROR(__xludf.DUMMYFUNCTION("""COMPUTED_VALUE"""),"RP")</f>
        <v>RP</v>
      </c>
      <c r="CZ169" s="16" t="str">
        <f>IFERROR(__xludf.DUMMYFUNCTION("""COMPUTED_VALUE"""),"CP")</f>
        <v>CP</v>
      </c>
      <c r="DA169" s="16"/>
      <c r="DB169" s="16"/>
      <c r="DC169" s="16"/>
      <c r="DD169" s="16"/>
      <c r="DE169" s="16"/>
      <c r="DF169" s="16"/>
      <c r="DG169" s="16"/>
      <c r="DH169" s="16"/>
      <c r="DI169" s="16"/>
      <c r="DJ169" s="16"/>
      <c r="DK169" s="16"/>
    </row>
    <row r="170">
      <c r="A170" s="16">
        <f>IFERROR(__xludf.DUMMYFUNCTION("""COMPUTED_VALUE"""),13370.0)</f>
        <v>13370</v>
      </c>
      <c r="B170" s="16" t="str">
        <f>IFERROR(__xludf.DUMMYFUNCTION("""COMPUTED_VALUE"""),"Shane Baz")</f>
        <v>Shane Baz</v>
      </c>
      <c r="C170" s="153">
        <f>IFERROR(__xludf.DUMMYFUNCTION("""COMPUTED_VALUE"""),1.99)</f>
        <v>1.99</v>
      </c>
      <c r="D170" s="16"/>
      <c r="E170" s="16" t="str">
        <f>IFERROR(__xludf.DUMMYFUNCTION("""COMPUTED_VALUE"""),"R")</f>
        <v>R</v>
      </c>
      <c r="F170" s="16">
        <f>IFERROR(__xludf.DUMMYFUNCTION("""COMPUTED_VALUE"""),79.0)</f>
        <v>79</v>
      </c>
      <c r="G170" s="16">
        <f>IFERROR(__xludf.DUMMYFUNCTION("""COMPUTED_VALUE"""),19.0)</f>
        <v>19</v>
      </c>
      <c r="H170" s="16">
        <f>IFERROR(__xludf.DUMMYFUNCTION("""COMPUTED_VALUE"""),26.0)</f>
        <v>26</v>
      </c>
      <c r="I170" s="16">
        <f>IFERROR(__xludf.DUMMYFUNCTION("""COMPUTED_VALUE"""),-1.0)</f>
        <v>-1</v>
      </c>
      <c r="J170" s="16">
        <f>IFERROR(__xludf.DUMMYFUNCTION("""COMPUTED_VALUE"""),0.0)</f>
        <v>0</v>
      </c>
      <c r="K170" s="16">
        <f>IFERROR(__xludf.DUMMYFUNCTION("""COMPUTED_VALUE"""),-3.0)</f>
        <v>-3</v>
      </c>
      <c r="L170" s="16">
        <f>IFERROR(__xludf.DUMMYFUNCTION("""COMPUTED_VALUE"""),0.0)</f>
        <v>0</v>
      </c>
      <c r="M170" s="16">
        <f>IFERROR(__xludf.DUMMYFUNCTION("""COMPUTED_VALUE"""),14.0)</f>
        <v>14</v>
      </c>
      <c r="N170" s="16">
        <f>IFERROR(__xludf.DUMMYFUNCTION("""COMPUTED_VALUE"""),6.0)</f>
        <v>6</v>
      </c>
      <c r="O170" s="16">
        <f>IFERROR(__xludf.DUMMYFUNCTION("""COMPUTED_VALUE"""),-2.0)</f>
        <v>-2</v>
      </c>
      <c r="P170" s="16">
        <f>IFERROR(__xludf.DUMMYFUNCTION("""COMPUTED_VALUE"""),1.0)</f>
        <v>1</v>
      </c>
      <c r="Q170" s="16">
        <f>IFERROR(__xludf.DUMMYFUNCTION("""COMPUTED_VALUE"""),-2.0)</f>
        <v>-2</v>
      </c>
      <c r="R170" s="16">
        <f>IFERROR(__xludf.DUMMYFUNCTION("""COMPUTED_VALUE"""),1.0)</f>
        <v>1</v>
      </c>
      <c r="S170" s="16">
        <f>IFERROR(__xludf.DUMMYFUNCTION("""COMPUTED_VALUE"""),4.1)</f>
        <v>4.1</v>
      </c>
      <c r="T170" s="16">
        <f>IFERROR(__xludf.DUMMYFUNCTION("""COMPUTED_VALUE"""),13.5)</f>
        <v>13.5</v>
      </c>
      <c r="U170" s="16">
        <f>IFERROR(__xludf.DUMMYFUNCTION("""COMPUTED_VALUE"""),2.0)</f>
        <v>2</v>
      </c>
      <c r="V170" s="16">
        <f>IFERROR(__xludf.DUMMYFUNCTION("""COMPUTED_VALUE"""),0.0)</f>
        <v>0</v>
      </c>
      <c r="W170" s="16">
        <f>IFERROR(__xludf.DUMMYFUNCTION("""COMPUTED_VALUE"""),4.0)</f>
        <v>4</v>
      </c>
      <c r="X170" s="16">
        <f>IFERROR(__xludf.DUMMYFUNCTION("""COMPUTED_VALUE"""),0.0)</f>
        <v>0</v>
      </c>
      <c r="Y170" s="16">
        <f>IFERROR(__xludf.DUMMYFUNCTION("""COMPUTED_VALUE"""),18.1)</f>
        <v>18.1</v>
      </c>
      <c r="Z170" s="16">
        <f>IFERROR(__xludf.DUMMYFUNCTION("""COMPUTED_VALUE"""),19.5)</f>
        <v>19.5</v>
      </c>
      <c r="AA170" s="16">
        <f>IFERROR(__xludf.DUMMYFUNCTION("""COMPUTED_VALUE"""),1.0)</f>
        <v>1</v>
      </c>
      <c r="AB170" s="16">
        <f>IFERROR(__xludf.DUMMYFUNCTION("""COMPUTED_VALUE"""),1.0)</f>
        <v>1</v>
      </c>
      <c r="AC170" s="16">
        <f>IFERROR(__xludf.DUMMYFUNCTION("""COMPUTED_VALUE"""),5.0)</f>
        <v>5</v>
      </c>
      <c r="AD170" s="16">
        <f>IFERROR(__xludf.DUMMYFUNCTION("""COMPUTED_VALUE"""),5.0)</f>
        <v>5</v>
      </c>
      <c r="AE170" s="16">
        <f>IFERROR(__xludf.DUMMYFUNCTION("""COMPUTED_VALUE"""),11.9)</f>
        <v>11.9</v>
      </c>
      <c r="AF170" s="16">
        <f>IFERROR(__xludf.DUMMYFUNCTION("""COMPUTED_VALUE"""),17.1)</f>
        <v>17.1</v>
      </c>
      <c r="AG170" s="16">
        <f>IFERROR(__xludf.DUMMYFUNCTION("""COMPUTED_VALUE"""),2.0)</f>
        <v>2</v>
      </c>
      <c r="AH170" s="16">
        <f>IFERROR(__xludf.DUMMYFUNCTION("""COMPUTED_VALUE"""),1.0)</f>
        <v>1</v>
      </c>
      <c r="AI170" s="16">
        <f>IFERROR(__xludf.DUMMYFUNCTION("""COMPUTED_VALUE"""),4.0)</f>
        <v>4</v>
      </c>
      <c r="AJ170" s="16">
        <f>IFERROR(__xludf.DUMMYFUNCTION("""COMPUTED_VALUE"""),2.0)</f>
        <v>2</v>
      </c>
      <c r="AK170" s="16">
        <f>IFERROR(__xludf.DUMMYFUNCTION("""COMPUTED_VALUE"""),1.4999999999999996)</f>
        <v>1.5</v>
      </c>
      <c r="AL170" s="16">
        <f>IFERROR(__xludf.DUMMYFUNCTION("""COMPUTED_VALUE"""),12.7)</f>
        <v>12.7</v>
      </c>
      <c r="AM170" s="16">
        <f>IFERROR(__xludf.DUMMYFUNCTION("""COMPUTED_VALUE"""),2.0)</f>
        <v>2</v>
      </c>
      <c r="AN170" s="16">
        <f>IFERROR(__xludf.DUMMYFUNCTION("""COMPUTED_VALUE"""),0.0)</f>
        <v>0</v>
      </c>
      <c r="AO170" s="16">
        <f>IFERROR(__xludf.DUMMYFUNCTION("""COMPUTED_VALUE"""),2.0)</f>
        <v>2</v>
      </c>
      <c r="AP170" s="16">
        <f>IFERROR(__xludf.DUMMYFUNCTION("""COMPUTED_VALUE"""),0.0)</f>
        <v>0</v>
      </c>
      <c r="AQ170" s="16">
        <f>IFERROR(__xludf.DUMMYFUNCTION("""COMPUTED_VALUE"""),1.5)</f>
        <v>1.5</v>
      </c>
      <c r="AR170" s="16">
        <f>IFERROR(__xludf.DUMMYFUNCTION("""COMPUTED_VALUE"""),13.900000000000002)</f>
        <v>13.9</v>
      </c>
      <c r="AS170" s="16">
        <f>IFERROR(__xludf.DUMMYFUNCTION("""COMPUTED_VALUE"""),2.0)</f>
        <v>2</v>
      </c>
      <c r="AT170" s="16">
        <f>IFERROR(__xludf.DUMMYFUNCTION("""COMPUTED_VALUE"""),1.0)</f>
        <v>1</v>
      </c>
      <c r="AU170" s="16">
        <f>IFERROR(__xludf.DUMMYFUNCTION("""COMPUTED_VALUE"""),4.0)</f>
        <v>4</v>
      </c>
      <c r="AV170" s="16">
        <f>IFERROR(__xludf.DUMMYFUNCTION("""COMPUTED_VALUE"""),2.0)</f>
        <v>2</v>
      </c>
      <c r="AW170" s="16">
        <f>IFERROR(__xludf.DUMMYFUNCTION("""COMPUTED_VALUE"""),2.6)</f>
        <v>2.6</v>
      </c>
      <c r="AX170" s="16">
        <f>IFERROR(__xludf.DUMMYFUNCTION("""COMPUTED_VALUE"""),0.8)</f>
        <v>0.8</v>
      </c>
      <c r="AY170" s="16">
        <f>IFERROR(__xludf.DUMMYFUNCTION("""COMPUTED_VALUE"""),-1.0)</f>
        <v>-1</v>
      </c>
      <c r="AZ170" s="16">
        <f>IFERROR(__xludf.DUMMYFUNCTION("""COMPUTED_VALUE"""),1.0)</f>
        <v>1</v>
      </c>
      <c r="BA170" s="16">
        <f>IFERROR(__xludf.DUMMYFUNCTION("""COMPUTED_VALUE"""),-5.0)</f>
        <v>-5</v>
      </c>
      <c r="BB170" s="16">
        <f>IFERROR(__xludf.DUMMYFUNCTION("""COMPUTED_VALUE"""),5.0)</f>
        <v>5</v>
      </c>
      <c r="BC170" s="16">
        <f>IFERROR(__xludf.DUMMYFUNCTION("""COMPUTED_VALUE"""),4.0)</f>
        <v>4</v>
      </c>
      <c r="BD170" s="16">
        <f>IFERROR(__xludf.DUMMYFUNCTION("""COMPUTED_VALUE"""),1.0)</f>
        <v>1</v>
      </c>
      <c r="BE170" s="16">
        <f>IFERROR(__xludf.DUMMYFUNCTION("""COMPUTED_VALUE"""),4.0)</f>
        <v>4</v>
      </c>
      <c r="BF170" s="16">
        <f>IFERROR(__xludf.DUMMYFUNCTION("""COMPUTED_VALUE"""),1.0)</f>
        <v>1</v>
      </c>
      <c r="BG170" s="16">
        <f>IFERROR(__xludf.DUMMYFUNCTION("""COMPUTED_VALUE"""),-1.0)</f>
        <v>-1</v>
      </c>
      <c r="BH170" s="16">
        <f>IFERROR(__xludf.DUMMYFUNCTION("""COMPUTED_VALUE"""),2.0)</f>
        <v>2</v>
      </c>
      <c r="BI170" s="16">
        <f>IFERROR(__xludf.DUMMYFUNCTION("""COMPUTED_VALUE"""),-2.0)</f>
        <v>-2</v>
      </c>
      <c r="BJ170" s="16">
        <f>IFERROR(__xludf.DUMMYFUNCTION("""COMPUTED_VALUE"""),4.0)</f>
        <v>4</v>
      </c>
      <c r="BK170" s="16">
        <f>IFERROR(__xludf.DUMMYFUNCTION("""COMPUTED_VALUE"""),5.0)</f>
        <v>5</v>
      </c>
      <c r="BL170" s="16">
        <f>IFERROR(__xludf.DUMMYFUNCTION("""COMPUTED_VALUE"""),5.0)</f>
        <v>5</v>
      </c>
      <c r="BM170" s="16">
        <f>IFERROR(__xludf.DUMMYFUNCTION("""COMPUTED_VALUE"""),0.0)</f>
        <v>0</v>
      </c>
      <c r="BN170" s="16">
        <f>IFERROR(__xludf.DUMMYFUNCTION("""COMPUTED_VALUE"""),0.0)</f>
        <v>0</v>
      </c>
      <c r="BO170" s="16">
        <f>IFERROR(__xludf.DUMMYFUNCTION("""COMPUTED_VALUE"""),0.0)</f>
        <v>0</v>
      </c>
      <c r="BP170" s="16">
        <f>IFERROR(__xludf.DUMMYFUNCTION("""COMPUTED_VALUE"""),0.0)</f>
        <v>0</v>
      </c>
      <c r="BQ170" s="16">
        <f>IFERROR(__xludf.DUMMYFUNCTION("""COMPUTED_VALUE"""),4.0)</f>
        <v>4</v>
      </c>
      <c r="BR170" s="16">
        <f>IFERROR(__xludf.DUMMYFUNCTION("""COMPUTED_VALUE"""),5.0)</f>
        <v>5</v>
      </c>
      <c r="BS170" s="16">
        <f>IFERROR(__xludf.DUMMYFUNCTION("""COMPUTED_VALUE"""),-1.0)</f>
        <v>-1</v>
      </c>
      <c r="BT170" s="16">
        <f>IFERROR(__xludf.DUMMYFUNCTION("""COMPUTED_VALUE"""),0.0)</f>
        <v>0</v>
      </c>
      <c r="BU170" s="16">
        <f>IFERROR(__xludf.DUMMYFUNCTION("""COMPUTED_VALUE"""),-2.0)</f>
        <v>-2</v>
      </c>
      <c r="BV170" s="16">
        <f>IFERROR(__xludf.DUMMYFUNCTION("""COMPUTED_VALUE"""),0.0)</f>
        <v>0</v>
      </c>
      <c r="BW170" s="16">
        <f>IFERROR(__xludf.DUMMYFUNCTION("""COMPUTED_VALUE"""),-3.0)</f>
        <v>-3</v>
      </c>
      <c r="BX170" s="16">
        <f>IFERROR(__xludf.DUMMYFUNCTION("""COMPUTED_VALUE"""),-3.0)</f>
        <v>-3</v>
      </c>
      <c r="BY170" s="16" t="str">
        <f>IFERROR(__xludf.DUMMYFUNCTION("""COMPUTED_VALUE"""),"S(5)")</f>
        <v>S(5)</v>
      </c>
      <c r="BZ170" s="16" t="str">
        <f>IFERROR(__xludf.DUMMYFUNCTION("""COMPUTED_VALUE"""),"S(5)")</f>
        <v>S(5)</v>
      </c>
      <c r="CA170" s="16" t="str">
        <f>IFERROR(__xludf.DUMMYFUNCTION("""COMPUTED_VALUE"""),"S(5)")</f>
        <v>S(5)</v>
      </c>
      <c r="CB170" s="16"/>
      <c r="CC170" s="16"/>
      <c r="CD170" s="16">
        <f>IFERROR(__xludf.DUMMYFUNCTION("""COMPUTED_VALUE"""),5.0)</f>
        <v>5</v>
      </c>
      <c r="CE170" s="16"/>
      <c r="CF170" s="16"/>
      <c r="CG170" s="16" t="str">
        <f>IFERROR(__xludf.DUMMYFUNCTION("""COMPUTED_VALUE"""),"2-0")</f>
        <v>2-0</v>
      </c>
      <c r="CH170" s="16">
        <f>IFERROR(__xludf.DUMMYFUNCTION("""COMPUTED_VALUE"""),2.0)</f>
        <v>2</v>
      </c>
      <c r="CI170" s="16">
        <f>IFERROR(__xludf.DUMMYFUNCTION("""COMPUTED_VALUE"""),0.0)</f>
        <v>0</v>
      </c>
      <c r="CJ170" s="16">
        <f>IFERROR(__xludf.DUMMYFUNCTION("""COMPUTED_VALUE"""),0.0)</f>
        <v>0</v>
      </c>
      <c r="CK170" s="16">
        <f>IFERROR(__xludf.DUMMYFUNCTION("""COMPUTED_VALUE"""),5.0)</f>
        <v>5</v>
      </c>
      <c r="CL170" s="16" t="str">
        <f>IFERROR(__xludf.DUMMYFUNCTION("""COMPUTED_VALUE"""),"1WR-C")</f>
        <v>1WR-C</v>
      </c>
      <c r="CM170" s="16" t="str">
        <f>IFERROR(__xludf.DUMMYFUNCTION("""COMPUTED_VALUE"""),"E")</f>
        <v>E</v>
      </c>
      <c r="CN170" s="16">
        <f>IFERROR(__xludf.DUMMYFUNCTION("""COMPUTED_VALUE"""),10.0)</f>
        <v>10</v>
      </c>
      <c r="CO170" s="16" t="str">
        <f>IFERROR(__xludf.DUMMYFUNCTION("""COMPUTED_VALUE"""),"C")</f>
        <v>C</v>
      </c>
      <c r="CP170" s="16" t="str">
        <f>IFERROR(__xludf.DUMMYFUNCTION("""COMPUTED_VALUE"""),"4p40")</f>
        <v>4p40</v>
      </c>
      <c r="CQ170" s="16">
        <f>IFERROR(__xludf.DUMMYFUNCTION("""COMPUTED_VALUE"""),5.0)</f>
        <v>5</v>
      </c>
      <c r="CR170" s="16">
        <f>IFERROR(__xludf.DUMMYFUNCTION("""COMPUTED_VALUE"""),19.0)</f>
        <v>19</v>
      </c>
      <c r="CS170" s="16">
        <f>IFERROR(__xludf.DUMMYFUNCTION("""COMPUTED_VALUE"""),24.0)</f>
        <v>24</v>
      </c>
      <c r="CT170" s="16">
        <f>IFERROR(__xludf.DUMMYFUNCTION("""COMPUTED_VALUE"""),5.0)</f>
        <v>5</v>
      </c>
      <c r="CU170" s="16">
        <f>IFERROR(__xludf.DUMMYFUNCTION("""COMPUTED_VALUE"""),19.0)</f>
        <v>19</v>
      </c>
      <c r="CV170" s="179">
        <f>IFERROR(__xludf.DUMMYFUNCTION("""COMPUTED_VALUE"""),11.666666666666666)</f>
        <v>11.66666667</v>
      </c>
      <c r="CW170" s="179">
        <f>IFERROR(__xludf.DUMMYFUNCTION("""COMPUTED_VALUE"""),1.0)</f>
        <v>1</v>
      </c>
      <c r="CX170" s="179">
        <f>IFERROR(__xludf.DUMMYFUNCTION("""COMPUTED_VALUE"""),1.0)</f>
        <v>1</v>
      </c>
      <c r="CY170" s="16" t="str">
        <f>IFERROR(__xludf.DUMMYFUNCTION("""COMPUTED_VALUE"""),"SP")</f>
        <v>SP</v>
      </c>
      <c r="CZ170" s="16"/>
      <c r="DA170" s="16"/>
      <c r="DB170" s="16"/>
      <c r="DC170" s="16"/>
      <c r="DD170" s="16"/>
      <c r="DE170" s="16"/>
      <c r="DF170" s="16"/>
      <c r="DG170" s="16"/>
      <c r="DH170" s="16"/>
      <c r="DI170" s="16"/>
      <c r="DJ170" s="16"/>
      <c r="DK170" s="16"/>
    </row>
    <row r="171">
      <c r="A171" s="16">
        <f>IFERROR(__xludf.DUMMYFUNCTION("""COMPUTED_VALUE"""),13269.0)</f>
        <v>13269</v>
      </c>
      <c r="B171" s="16" t="str">
        <f>IFERROR(__xludf.DUMMYFUNCTION("""COMPUTED_VALUE"""),"Pablo Lopez")</f>
        <v>Pablo Lopez</v>
      </c>
      <c r="C171" s="153">
        <f>IFERROR(__xludf.DUMMYFUNCTION("""COMPUTED_VALUE"""),1.21)</f>
        <v>1.21</v>
      </c>
      <c r="D171" s="16"/>
      <c r="E171" s="16" t="str">
        <f>IFERROR(__xludf.DUMMYFUNCTION("""COMPUTED_VALUE"""),"R")</f>
        <v>R</v>
      </c>
      <c r="F171" s="16">
        <f>IFERROR(__xludf.DUMMYFUNCTION("""COMPUTED_VALUE"""),185.0)</f>
        <v>185</v>
      </c>
      <c r="G171" s="16">
        <f>IFERROR(__xludf.DUMMYFUNCTION("""COMPUTED_VALUE"""),27.0)</f>
        <v>27</v>
      </c>
      <c r="H171" s="16">
        <f>IFERROR(__xludf.DUMMYFUNCTION("""COMPUTED_VALUE"""),37.0)</f>
        <v>37</v>
      </c>
      <c r="I171" s="16">
        <f>IFERROR(__xludf.DUMMYFUNCTION("""COMPUTED_VALUE"""),0.0)</f>
        <v>0</v>
      </c>
      <c r="J171" s="16">
        <f>IFERROR(__xludf.DUMMYFUNCTION("""COMPUTED_VALUE"""),1.0)</f>
        <v>1</v>
      </c>
      <c r="K171" s="16">
        <f>IFERROR(__xludf.DUMMYFUNCTION("""COMPUTED_VALUE"""),0.0)</f>
        <v>0</v>
      </c>
      <c r="L171" s="16">
        <f>IFERROR(__xludf.DUMMYFUNCTION("""COMPUTED_VALUE"""),3.0)</f>
        <v>3</v>
      </c>
      <c r="M171" s="16">
        <f>IFERROR(__xludf.DUMMYFUNCTION("""COMPUTED_VALUE"""),2.0)</f>
        <v>2</v>
      </c>
      <c r="N171" s="16">
        <f>IFERROR(__xludf.DUMMYFUNCTION("""COMPUTED_VALUE"""),4.0)</f>
        <v>4</v>
      </c>
      <c r="O171" s="16">
        <f>IFERROR(__xludf.DUMMYFUNCTION("""COMPUTED_VALUE"""),2.0)</f>
        <v>2</v>
      </c>
      <c r="P171" s="16">
        <f>IFERROR(__xludf.DUMMYFUNCTION("""COMPUTED_VALUE"""),2.0)</f>
        <v>2</v>
      </c>
      <c r="Q171" s="16">
        <f>IFERROR(__xludf.DUMMYFUNCTION("""COMPUTED_VALUE"""),2.0)</f>
        <v>2</v>
      </c>
      <c r="R171" s="16">
        <f>IFERROR(__xludf.DUMMYFUNCTION("""COMPUTED_VALUE"""),2.0)</f>
        <v>2</v>
      </c>
      <c r="S171" s="16">
        <f>IFERROR(__xludf.DUMMYFUNCTION("""COMPUTED_VALUE"""),20.4)</f>
        <v>20.4</v>
      </c>
      <c r="T171" s="16">
        <f>IFERROR(__xludf.DUMMYFUNCTION("""COMPUTED_VALUE"""),14.6)</f>
        <v>14.6</v>
      </c>
      <c r="U171" s="16">
        <f>IFERROR(__xludf.DUMMYFUNCTION("""COMPUTED_VALUE"""),-1.0)</f>
        <v>-1</v>
      </c>
      <c r="V171" s="16">
        <f>IFERROR(__xludf.DUMMYFUNCTION("""COMPUTED_VALUE"""),0.0)</f>
        <v>0</v>
      </c>
      <c r="W171" s="16">
        <f>IFERROR(__xludf.DUMMYFUNCTION("""COMPUTED_VALUE"""),-2.0)</f>
        <v>-2</v>
      </c>
      <c r="X171" s="16">
        <f>IFERROR(__xludf.DUMMYFUNCTION("""COMPUTED_VALUE"""),0.0)</f>
        <v>0</v>
      </c>
      <c r="Y171" s="16">
        <f>IFERROR(__xludf.DUMMYFUNCTION("""COMPUTED_VALUE"""),22.4)</f>
        <v>22.4</v>
      </c>
      <c r="Z171" s="16">
        <f>IFERROR(__xludf.DUMMYFUNCTION("""COMPUTED_VALUE"""),18.6)</f>
        <v>18.6</v>
      </c>
      <c r="AA171" s="16">
        <f>IFERROR(__xludf.DUMMYFUNCTION("""COMPUTED_VALUE"""),1.0)</f>
        <v>1</v>
      </c>
      <c r="AB171" s="16">
        <f>IFERROR(__xludf.DUMMYFUNCTION("""COMPUTED_VALUE"""),1.0)</f>
        <v>1</v>
      </c>
      <c r="AC171" s="16">
        <f>IFERROR(__xludf.DUMMYFUNCTION("""COMPUTED_VALUE"""),5.0)</f>
        <v>5</v>
      </c>
      <c r="AD171" s="16">
        <f>IFERROR(__xludf.DUMMYFUNCTION("""COMPUTED_VALUE"""),5.0)</f>
        <v>5</v>
      </c>
      <c r="AE171" s="16">
        <f>IFERROR(__xludf.DUMMYFUNCTION("""COMPUTED_VALUE"""),31.4)</f>
        <v>31.4</v>
      </c>
      <c r="AF171" s="16">
        <f>IFERROR(__xludf.DUMMYFUNCTION("""COMPUTED_VALUE"""),27.7)</f>
        <v>27.7</v>
      </c>
      <c r="AG171" s="16">
        <f>IFERROR(__xludf.DUMMYFUNCTION("""COMPUTED_VALUE"""),0.0)</f>
        <v>0</v>
      </c>
      <c r="AH171" s="16">
        <f>IFERROR(__xludf.DUMMYFUNCTION("""COMPUTED_VALUE"""),0.0)</f>
        <v>0</v>
      </c>
      <c r="AI171" s="16">
        <f>IFERROR(__xludf.DUMMYFUNCTION("""COMPUTED_VALUE"""),0.0)</f>
        <v>0</v>
      </c>
      <c r="AJ171" s="16">
        <f>IFERROR(__xludf.DUMMYFUNCTION("""COMPUTED_VALUE"""),0.0)</f>
        <v>0</v>
      </c>
      <c r="AK171" s="16">
        <f>IFERROR(__xludf.DUMMYFUNCTION("""COMPUTED_VALUE"""),18.2)</f>
        <v>18.2</v>
      </c>
      <c r="AL171" s="16">
        <f>IFERROR(__xludf.DUMMYFUNCTION("""COMPUTED_VALUE"""),12.0)</f>
        <v>12</v>
      </c>
      <c r="AM171" s="16">
        <f>IFERROR(__xludf.DUMMYFUNCTION("""COMPUTED_VALUE"""),-1.0)</f>
        <v>-1</v>
      </c>
      <c r="AN171" s="16">
        <f>IFERROR(__xludf.DUMMYFUNCTION("""COMPUTED_VALUE"""),0.0)</f>
        <v>0</v>
      </c>
      <c r="AO171" s="16">
        <f>IFERROR(__xludf.DUMMYFUNCTION("""COMPUTED_VALUE"""),-1.0)</f>
        <v>-1</v>
      </c>
      <c r="AP171" s="16">
        <f>IFERROR(__xludf.DUMMYFUNCTION("""COMPUTED_VALUE"""),0.0)</f>
        <v>0</v>
      </c>
      <c r="AQ171" s="16">
        <f>IFERROR(__xludf.DUMMYFUNCTION("""COMPUTED_VALUE"""),22.599999999999998)</f>
        <v>22.6</v>
      </c>
      <c r="AR171" s="16">
        <f>IFERROR(__xludf.DUMMYFUNCTION("""COMPUTED_VALUE"""),17.299999999999997)</f>
        <v>17.3</v>
      </c>
      <c r="AS171" s="16">
        <f>IFERROR(__xludf.DUMMYFUNCTION("""COMPUTED_VALUE"""),0.0)</f>
        <v>0</v>
      </c>
      <c r="AT171" s="16">
        <f>IFERROR(__xludf.DUMMYFUNCTION("""COMPUTED_VALUE"""),0.0)</f>
        <v>0</v>
      </c>
      <c r="AU171" s="16">
        <f>IFERROR(__xludf.DUMMYFUNCTION("""COMPUTED_VALUE"""),0.0)</f>
        <v>0</v>
      </c>
      <c r="AV171" s="16">
        <f>IFERROR(__xludf.DUMMYFUNCTION("""COMPUTED_VALUE"""),0.0)</f>
        <v>0</v>
      </c>
      <c r="AW171" s="16">
        <f>IFERROR(__xludf.DUMMYFUNCTION("""COMPUTED_VALUE"""),2.2)</f>
        <v>2.2</v>
      </c>
      <c r="AX171" s="16">
        <f>IFERROR(__xludf.DUMMYFUNCTION("""COMPUTED_VALUE"""),2.6)</f>
        <v>2.6</v>
      </c>
      <c r="AY171" s="16">
        <f>IFERROR(__xludf.DUMMYFUNCTION("""COMPUTED_VALUE"""),0.0)</f>
        <v>0</v>
      </c>
      <c r="AZ171" s="16">
        <f>IFERROR(__xludf.DUMMYFUNCTION("""COMPUTED_VALUE"""),-1.0)</f>
        <v>-1</v>
      </c>
      <c r="BA171" s="16">
        <f>IFERROR(__xludf.DUMMYFUNCTION("""COMPUTED_VALUE"""),0.0)</f>
        <v>0</v>
      </c>
      <c r="BB171" s="16">
        <f>IFERROR(__xludf.DUMMYFUNCTION("""COMPUTED_VALUE"""),-5.0)</f>
        <v>-5</v>
      </c>
      <c r="BC171" s="16">
        <f>IFERROR(__xludf.DUMMYFUNCTION("""COMPUTED_VALUE"""),4.0)</f>
        <v>4</v>
      </c>
      <c r="BD171" s="16">
        <f>IFERROR(__xludf.DUMMYFUNCTION("""COMPUTED_VALUE"""),4.0)</f>
        <v>4</v>
      </c>
      <c r="BE171" s="16">
        <f>IFERROR(__xludf.DUMMYFUNCTION("""COMPUTED_VALUE"""),4.0)</f>
        <v>4</v>
      </c>
      <c r="BF171" s="16">
        <f>IFERROR(__xludf.DUMMYFUNCTION("""COMPUTED_VALUE"""),4.0)</f>
        <v>4</v>
      </c>
      <c r="BG171" s="16">
        <f>IFERROR(__xludf.DUMMYFUNCTION("""COMPUTED_VALUE"""),-1.0)</f>
        <v>-1</v>
      </c>
      <c r="BH171" s="16">
        <f>IFERROR(__xludf.DUMMYFUNCTION("""COMPUTED_VALUE"""),-1.0)</f>
        <v>-1</v>
      </c>
      <c r="BI171" s="16">
        <f>IFERROR(__xludf.DUMMYFUNCTION("""COMPUTED_VALUE"""),-2.0)</f>
        <v>-2</v>
      </c>
      <c r="BJ171" s="16">
        <f>IFERROR(__xludf.DUMMYFUNCTION("""COMPUTED_VALUE"""),-2.0)</f>
        <v>-2</v>
      </c>
      <c r="BK171" s="16">
        <f>IFERROR(__xludf.DUMMYFUNCTION("""COMPUTED_VALUE"""),5.0)</f>
        <v>5</v>
      </c>
      <c r="BL171" s="16">
        <f>IFERROR(__xludf.DUMMYFUNCTION("""COMPUTED_VALUE"""),5.0)</f>
        <v>5</v>
      </c>
      <c r="BM171" s="16">
        <f>IFERROR(__xludf.DUMMYFUNCTION("""COMPUTED_VALUE"""),0.0)</f>
        <v>0</v>
      </c>
      <c r="BN171" s="16">
        <f>IFERROR(__xludf.DUMMYFUNCTION("""COMPUTED_VALUE"""),0.0)</f>
        <v>0</v>
      </c>
      <c r="BO171" s="16">
        <f>IFERROR(__xludf.DUMMYFUNCTION("""COMPUTED_VALUE"""),0.0)</f>
        <v>0</v>
      </c>
      <c r="BP171" s="16">
        <f>IFERROR(__xludf.DUMMYFUNCTION("""COMPUTED_VALUE"""),0.0)</f>
        <v>0</v>
      </c>
      <c r="BQ171" s="16">
        <f>IFERROR(__xludf.DUMMYFUNCTION("""COMPUTED_VALUE"""),5.0)</f>
        <v>5</v>
      </c>
      <c r="BR171" s="16">
        <f>IFERROR(__xludf.DUMMYFUNCTION("""COMPUTED_VALUE"""),5.0)</f>
        <v>5</v>
      </c>
      <c r="BS171" s="16">
        <f>IFERROR(__xludf.DUMMYFUNCTION("""COMPUTED_VALUE"""),0.0)</f>
        <v>0</v>
      </c>
      <c r="BT171" s="16">
        <f>IFERROR(__xludf.DUMMYFUNCTION("""COMPUTED_VALUE"""),0.0)</f>
        <v>0</v>
      </c>
      <c r="BU171" s="16">
        <f>IFERROR(__xludf.DUMMYFUNCTION("""COMPUTED_VALUE"""),0.0)</f>
        <v>0</v>
      </c>
      <c r="BV171" s="16">
        <f>IFERROR(__xludf.DUMMYFUNCTION("""COMPUTED_VALUE"""),0.0)</f>
        <v>0</v>
      </c>
      <c r="BW171" s="16">
        <f>IFERROR(__xludf.DUMMYFUNCTION("""COMPUTED_VALUE"""),-1.0)</f>
        <v>-1</v>
      </c>
      <c r="BX171" s="16">
        <f>IFERROR(__xludf.DUMMYFUNCTION("""COMPUTED_VALUE"""),-1.0)</f>
        <v>-1</v>
      </c>
      <c r="BY171" s="16" t="str">
        <f>IFERROR(__xludf.DUMMYFUNCTION("""COMPUTED_VALUE"""),"S(6)")</f>
        <v>S(6)</v>
      </c>
      <c r="BZ171" s="16" t="str">
        <f>IFERROR(__xludf.DUMMYFUNCTION("""COMPUTED_VALUE"""),"S(6)")</f>
        <v>S(6)</v>
      </c>
      <c r="CA171" s="16" t="str">
        <f>IFERROR(__xludf.DUMMYFUNCTION("""COMPUTED_VALUE"""),"S(6)")</f>
        <v>S(6)</v>
      </c>
      <c r="CB171" s="16"/>
      <c r="CC171" s="16"/>
      <c r="CD171" s="16">
        <f>IFERROR(__xludf.DUMMYFUNCTION("""COMPUTED_VALUE"""),6.0)</f>
        <v>6</v>
      </c>
      <c r="CE171" s="16"/>
      <c r="CF171" s="16"/>
      <c r="CG171" s="16" t="str">
        <f>IFERROR(__xludf.DUMMYFUNCTION("""COMPUTED_VALUE"""),"3-8")</f>
        <v>3-8</v>
      </c>
      <c r="CH171" s="16">
        <f>IFERROR(__xludf.DUMMYFUNCTION("""COMPUTED_VALUE"""),3.0)</f>
        <v>3</v>
      </c>
      <c r="CI171" s="16">
        <f>IFERROR(__xludf.DUMMYFUNCTION("""COMPUTED_VALUE"""),8.0)</f>
        <v>8</v>
      </c>
      <c r="CJ171" s="16">
        <f>IFERROR(__xludf.DUMMYFUNCTION("""COMPUTED_VALUE"""),0.0)</f>
        <v>0</v>
      </c>
      <c r="CK171" s="16">
        <f>IFERROR(__xludf.DUMMYFUNCTION("""COMPUTED_VALUE"""),3.0)</f>
        <v>3</v>
      </c>
      <c r="CL171" s="16" t="str">
        <f>IFERROR(__xludf.DUMMYFUNCTION("""COMPUTED_VALUE"""),"1WL-C")</f>
        <v>1WL-C</v>
      </c>
      <c r="CM171" s="16" t="str">
        <f>IFERROR(__xludf.DUMMYFUNCTION("""COMPUTED_VALUE"""),"E")</f>
        <v>E</v>
      </c>
      <c r="CN171" s="16">
        <f>IFERROR(__xludf.DUMMYFUNCTION("""COMPUTED_VALUE"""),10.0)</f>
        <v>10</v>
      </c>
      <c r="CO171" s="16" t="str">
        <f>IFERROR(__xludf.DUMMYFUNCTION("""COMPUTED_VALUE"""),"C")</f>
        <v>C</v>
      </c>
      <c r="CP171" s="16" t="str">
        <f>IFERROR(__xludf.DUMMYFUNCTION("""COMPUTED_VALUE"""),"0p72")</f>
        <v>0p72</v>
      </c>
      <c r="CQ171" s="16">
        <f>IFERROR(__xludf.DUMMYFUNCTION("""COMPUTED_VALUE"""),2.0)</f>
        <v>2</v>
      </c>
      <c r="CR171" s="16">
        <f>IFERROR(__xludf.DUMMYFUNCTION("""COMPUTED_VALUE"""),3.0)</f>
        <v>3</v>
      </c>
      <c r="CS171" s="16">
        <f>IFERROR(__xludf.DUMMYFUNCTION("""COMPUTED_VALUE"""),5.0)</f>
        <v>5</v>
      </c>
      <c r="CT171" s="16">
        <f>IFERROR(__xludf.DUMMYFUNCTION("""COMPUTED_VALUE"""),2.0)</f>
        <v>2</v>
      </c>
      <c r="CU171" s="16">
        <f>IFERROR(__xludf.DUMMYFUNCTION("""COMPUTED_VALUE"""),3.0)</f>
        <v>3</v>
      </c>
      <c r="CV171" s="179">
        <f>IFERROR(__xludf.DUMMYFUNCTION("""COMPUTED_VALUE"""),11.333333333333334)</f>
        <v>11.33333333</v>
      </c>
      <c r="CW171" s="179">
        <f>IFERROR(__xludf.DUMMYFUNCTION("""COMPUTED_VALUE"""),5.0)</f>
        <v>5</v>
      </c>
      <c r="CX171" s="179">
        <f>IFERROR(__xludf.DUMMYFUNCTION("""COMPUTED_VALUE"""),4.0)</f>
        <v>4</v>
      </c>
      <c r="CY171" s="16" t="str">
        <f>IFERROR(__xludf.DUMMYFUNCTION("""COMPUTED_VALUE"""),"SP")</f>
        <v>SP</v>
      </c>
      <c r="CZ171" s="16"/>
      <c r="DA171" s="16"/>
      <c r="DB171" s="16"/>
      <c r="DC171" s="16"/>
      <c r="DD171" s="16"/>
      <c r="DE171" s="16"/>
      <c r="DF171" s="16"/>
      <c r="DG171" s="16"/>
      <c r="DH171" s="16"/>
      <c r="DI171" s="16"/>
      <c r="DJ171" s="16"/>
      <c r="DK171" s="16"/>
    </row>
    <row r="172">
      <c r="A172" s="16">
        <f>IFERROR(__xludf.DUMMYFUNCTION("""COMPUTED_VALUE"""),13044.0)</f>
        <v>13044</v>
      </c>
      <c r="B172" s="16" t="str">
        <f>IFERROR(__xludf.DUMMYFUNCTION("""COMPUTED_VALUE"""),"JT Chargois")</f>
        <v>JT Chargois</v>
      </c>
      <c r="C172" s="153">
        <f>IFERROR(__xludf.DUMMYFUNCTION("""COMPUTED_VALUE"""),1.19)</f>
        <v>1.19</v>
      </c>
      <c r="D172" s="16"/>
      <c r="E172" s="16" t="str">
        <f>IFERROR(__xludf.DUMMYFUNCTION("""COMPUTED_VALUE"""),"R")</f>
        <v>R</v>
      </c>
      <c r="F172" s="16">
        <f>IFERROR(__xludf.DUMMYFUNCTION("""COMPUTED_VALUE"""),36.0)</f>
        <v>36</v>
      </c>
      <c r="G172" s="16">
        <f>IFERROR(__xludf.DUMMYFUNCTION("""COMPUTED_VALUE"""),55.0)</f>
        <v>55</v>
      </c>
      <c r="H172" s="16">
        <f>IFERROR(__xludf.DUMMYFUNCTION("""COMPUTED_VALUE"""),0.0)</f>
        <v>0</v>
      </c>
      <c r="I172" s="16">
        <f>IFERROR(__xludf.DUMMYFUNCTION("""COMPUTED_VALUE"""),3.0)</f>
        <v>3</v>
      </c>
      <c r="J172" s="16">
        <f>IFERROR(__xludf.DUMMYFUNCTION("""COMPUTED_VALUE"""),-3.0)</f>
        <v>-3</v>
      </c>
      <c r="K172" s="16">
        <f>IFERROR(__xludf.DUMMYFUNCTION("""COMPUTED_VALUE"""),9.0)</f>
        <v>9</v>
      </c>
      <c r="L172" s="16">
        <f>IFERROR(__xludf.DUMMYFUNCTION("""COMPUTED_VALUE"""),-9.0)</f>
        <v>-9</v>
      </c>
      <c r="M172" s="16">
        <f>IFERROR(__xludf.DUMMYFUNCTION("""COMPUTED_VALUE"""),2.0)</f>
        <v>2</v>
      </c>
      <c r="N172" s="16">
        <f>IFERROR(__xludf.DUMMYFUNCTION("""COMPUTED_VALUE"""),15.0)</f>
        <v>15</v>
      </c>
      <c r="O172" s="16">
        <f>IFERROR(__xludf.DUMMYFUNCTION("""COMPUTED_VALUE"""),2.0)</f>
        <v>2</v>
      </c>
      <c r="P172" s="16">
        <f>IFERROR(__xludf.DUMMYFUNCTION("""COMPUTED_VALUE"""),-3.0)</f>
        <v>-3</v>
      </c>
      <c r="Q172" s="16">
        <f>IFERROR(__xludf.DUMMYFUNCTION("""COMPUTED_VALUE"""),2.0)</f>
        <v>2</v>
      </c>
      <c r="R172" s="16">
        <f>IFERROR(__xludf.DUMMYFUNCTION("""COMPUTED_VALUE"""),-3.0)</f>
        <v>-3</v>
      </c>
      <c r="S172" s="16">
        <f>IFERROR(__xludf.DUMMYFUNCTION("""COMPUTED_VALUE"""),8.0)</f>
        <v>8</v>
      </c>
      <c r="T172" s="16">
        <f>IFERROR(__xludf.DUMMYFUNCTION("""COMPUTED_VALUE"""),2.0)</f>
        <v>2</v>
      </c>
      <c r="U172" s="16">
        <f>IFERROR(__xludf.DUMMYFUNCTION("""COMPUTED_VALUE"""),1.0)</f>
        <v>1</v>
      </c>
      <c r="V172" s="16">
        <f>IFERROR(__xludf.DUMMYFUNCTION("""COMPUTED_VALUE"""),2.0)</f>
        <v>2</v>
      </c>
      <c r="W172" s="16">
        <f>IFERROR(__xludf.DUMMYFUNCTION("""COMPUTED_VALUE"""),2.0)</f>
        <v>2</v>
      </c>
      <c r="X172" s="16">
        <f>IFERROR(__xludf.DUMMYFUNCTION("""COMPUTED_VALUE"""),4.0)</f>
        <v>4</v>
      </c>
      <c r="Y172" s="16">
        <f>IFERROR(__xludf.DUMMYFUNCTION("""COMPUTED_VALUE"""),10.0)</f>
        <v>10</v>
      </c>
      <c r="Z172" s="16">
        <f>IFERROR(__xludf.DUMMYFUNCTION("""COMPUTED_VALUE"""),17.0)</f>
        <v>17</v>
      </c>
      <c r="AA172" s="16">
        <f>IFERROR(__xludf.DUMMYFUNCTION("""COMPUTED_VALUE"""),2.0)</f>
        <v>2</v>
      </c>
      <c r="AB172" s="16">
        <f>IFERROR(__xludf.DUMMYFUNCTION("""COMPUTED_VALUE"""),1.0)</f>
        <v>1</v>
      </c>
      <c r="AC172" s="16">
        <f>IFERROR(__xludf.DUMMYFUNCTION("""COMPUTED_VALUE"""),10.0)</f>
        <v>10</v>
      </c>
      <c r="AD172" s="16">
        <f>IFERROR(__xludf.DUMMYFUNCTION("""COMPUTED_VALUE"""),5.0)</f>
        <v>5</v>
      </c>
      <c r="AE172" s="16">
        <f>IFERROR(__xludf.DUMMYFUNCTION("""COMPUTED_VALUE"""),32.0)</f>
        <v>32</v>
      </c>
      <c r="AF172" s="16">
        <f>IFERROR(__xludf.DUMMYFUNCTION("""COMPUTED_VALUE"""),6.5)</f>
        <v>6.5</v>
      </c>
      <c r="AG172" s="16">
        <f>IFERROR(__xludf.DUMMYFUNCTION("""COMPUTED_VALUE"""),0.0)</f>
        <v>0</v>
      </c>
      <c r="AH172" s="16">
        <f>IFERROR(__xludf.DUMMYFUNCTION("""COMPUTED_VALUE"""),2.0)</f>
        <v>2</v>
      </c>
      <c r="AI172" s="16">
        <f>IFERROR(__xludf.DUMMYFUNCTION("""COMPUTED_VALUE"""),0.0)</f>
        <v>0</v>
      </c>
      <c r="AJ172" s="16">
        <f>IFERROR(__xludf.DUMMYFUNCTION("""COMPUTED_VALUE"""),4.0)</f>
        <v>4</v>
      </c>
      <c r="AK172" s="16">
        <f>IFERROR(__xludf.DUMMYFUNCTION("""COMPUTED_VALUE"""),0.0)</f>
        <v>0</v>
      </c>
      <c r="AL172" s="16">
        <f>IFERROR(__xludf.DUMMYFUNCTION("""COMPUTED_VALUE"""),0.6000000000000001)</f>
        <v>0.6</v>
      </c>
      <c r="AM172" s="16">
        <f>IFERROR(__xludf.DUMMYFUNCTION("""COMPUTED_VALUE"""),3.0)</f>
        <v>3</v>
      </c>
      <c r="AN172" s="16">
        <f>IFERROR(__xludf.DUMMYFUNCTION("""COMPUTED_VALUE"""),2.0)</f>
        <v>2</v>
      </c>
      <c r="AO172" s="16">
        <f>IFERROR(__xludf.DUMMYFUNCTION("""COMPUTED_VALUE"""),3.0)</f>
        <v>3</v>
      </c>
      <c r="AP172" s="16">
        <f>IFERROR(__xludf.DUMMYFUNCTION("""COMPUTED_VALUE"""),2.0)</f>
        <v>2</v>
      </c>
      <c r="AQ172" s="16">
        <f>IFERROR(__xludf.DUMMYFUNCTION("""COMPUTED_VALUE"""),0.0)</f>
        <v>0</v>
      </c>
      <c r="AR172" s="16">
        <f>IFERROR(__xludf.DUMMYFUNCTION("""COMPUTED_VALUE"""),0.9000000000000004)</f>
        <v>0.9</v>
      </c>
      <c r="AS172" s="16">
        <f>IFERROR(__xludf.DUMMYFUNCTION("""COMPUTED_VALUE"""),3.0)</f>
        <v>3</v>
      </c>
      <c r="AT172" s="16">
        <f>IFERROR(__xludf.DUMMYFUNCTION("""COMPUTED_VALUE"""),2.0)</f>
        <v>2</v>
      </c>
      <c r="AU172" s="16">
        <f>IFERROR(__xludf.DUMMYFUNCTION("""COMPUTED_VALUE"""),6.0)</f>
        <v>6</v>
      </c>
      <c r="AV172" s="16">
        <f>IFERROR(__xludf.DUMMYFUNCTION("""COMPUTED_VALUE"""),4.0)</f>
        <v>4</v>
      </c>
      <c r="AW172" s="16">
        <f>IFERROR(__xludf.DUMMYFUNCTION("""COMPUTED_VALUE"""),8.0)</f>
        <v>8</v>
      </c>
      <c r="AX172" s="16">
        <f>IFERROR(__xludf.DUMMYFUNCTION("""COMPUTED_VALUE"""),1.4)</f>
        <v>1.4</v>
      </c>
      <c r="AY172" s="16">
        <f>IFERROR(__xludf.DUMMYFUNCTION("""COMPUTED_VALUE"""),-3.0)</f>
        <v>-3</v>
      </c>
      <c r="AZ172" s="16">
        <f>IFERROR(__xludf.DUMMYFUNCTION("""COMPUTED_VALUE"""),1.0)</f>
        <v>1</v>
      </c>
      <c r="BA172" s="16">
        <f>IFERROR(__xludf.DUMMYFUNCTION("""COMPUTED_VALUE"""),-15.0)</f>
        <v>-15</v>
      </c>
      <c r="BB172" s="16">
        <f>IFERROR(__xludf.DUMMYFUNCTION("""COMPUTED_VALUE"""),5.0)</f>
        <v>5</v>
      </c>
      <c r="BC172" s="16"/>
      <c r="BD172" s="16">
        <f>IFERROR(__xludf.DUMMYFUNCTION("""COMPUTED_VALUE"""),1.0)</f>
        <v>1</v>
      </c>
      <c r="BE172" s="16">
        <f>IFERROR(__xludf.DUMMYFUNCTION("""COMPUTED_VALUE"""),8.0)</f>
        <v>8</v>
      </c>
      <c r="BF172" s="16">
        <f>IFERROR(__xludf.DUMMYFUNCTION("""COMPUTED_VALUE"""),1.0)</f>
        <v>1</v>
      </c>
      <c r="BG172" s="16">
        <f>IFERROR(__xludf.DUMMYFUNCTION("""COMPUTED_VALUE"""),-3.0)</f>
        <v>-3</v>
      </c>
      <c r="BH172" s="16">
        <f>IFERROR(__xludf.DUMMYFUNCTION("""COMPUTED_VALUE"""),2.0)</f>
        <v>2</v>
      </c>
      <c r="BI172" s="16">
        <f>IFERROR(__xludf.DUMMYFUNCTION("""COMPUTED_VALUE"""),-6.0)</f>
        <v>-6</v>
      </c>
      <c r="BJ172" s="16">
        <f>IFERROR(__xludf.DUMMYFUNCTION("""COMPUTED_VALUE"""),4.0)</f>
        <v>4</v>
      </c>
      <c r="BK172" s="16">
        <f>IFERROR(__xludf.DUMMYFUNCTION("""COMPUTED_VALUE"""),0.0)</f>
        <v>0</v>
      </c>
      <c r="BL172" s="16">
        <f>IFERROR(__xludf.DUMMYFUNCTION("""COMPUTED_VALUE"""),5.0)</f>
        <v>5</v>
      </c>
      <c r="BM172" s="16">
        <f>IFERROR(__xludf.DUMMYFUNCTION("""COMPUTED_VALUE"""),1.0)</f>
        <v>1</v>
      </c>
      <c r="BN172" s="16">
        <f>IFERROR(__xludf.DUMMYFUNCTION("""COMPUTED_VALUE"""),0.0)</f>
        <v>0</v>
      </c>
      <c r="BO172" s="16">
        <f>IFERROR(__xludf.DUMMYFUNCTION("""COMPUTED_VALUE"""),1.0)</f>
        <v>1</v>
      </c>
      <c r="BP172" s="16">
        <f>IFERROR(__xludf.DUMMYFUNCTION("""COMPUTED_VALUE"""),0.0)</f>
        <v>0</v>
      </c>
      <c r="BQ172" s="16">
        <f>IFERROR(__xludf.DUMMYFUNCTION("""COMPUTED_VALUE"""),2.0)</f>
        <v>2</v>
      </c>
      <c r="BR172" s="16">
        <f>IFERROR(__xludf.DUMMYFUNCTION("""COMPUTED_VALUE"""),2.0)</f>
        <v>2</v>
      </c>
      <c r="BS172" s="16">
        <f>IFERROR(__xludf.DUMMYFUNCTION("""COMPUTED_VALUE"""),-2.0)</f>
        <v>-2</v>
      </c>
      <c r="BT172" s="16">
        <f>IFERROR(__xludf.DUMMYFUNCTION("""COMPUTED_VALUE"""),-2.0)</f>
        <v>-2</v>
      </c>
      <c r="BU172" s="16">
        <f>IFERROR(__xludf.DUMMYFUNCTION("""COMPUTED_VALUE"""),-4.0)</f>
        <v>-4</v>
      </c>
      <c r="BV172" s="16">
        <f>IFERROR(__xludf.DUMMYFUNCTION("""COMPUTED_VALUE"""),-4.0)</f>
        <v>-4</v>
      </c>
      <c r="BW172" s="16">
        <f>IFERROR(__xludf.DUMMYFUNCTION("""COMPUTED_VALUE"""),1.0)</f>
        <v>1</v>
      </c>
      <c r="BX172" s="16">
        <f>IFERROR(__xludf.DUMMYFUNCTION("""COMPUTED_VALUE"""),1.0)</f>
        <v>1</v>
      </c>
      <c r="BY172" s="16" t="str">
        <f>IFERROR(__xludf.DUMMYFUNCTION("""COMPUTED_VALUE"""),"R(1)")</f>
        <v>R(1)</v>
      </c>
      <c r="BZ172" s="16" t="str">
        <f>IFERROR(__xludf.DUMMYFUNCTION("""COMPUTED_VALUE"""),"R(1)")</f>
        <v>R(1)</v>
      </c>
      <c r="CA172" s="16" t="str">
        <f>IFERROR(__xludf.DUMMYFUNCTION("""COMPUTED_VALUE"""),"R(1)")</f>
        <v>R(1)</v>
      </c>
      <c r="CB172" s="16"/>
      <c r="CC172" s="16"/>
      <c r="CD172" s="16"/>
      <c r="CE172" s="16">
        <f>IFERROR(__xludf.DUMMYFUNCTION("""COMPUTED_VALUE"""),1.0)</f>
        <v>1</v>
      </c>
      <c r="CF172" s="16"/>
      <c r="CG172" s="16" t="str">
        <f>IFERROR(__xludf.DUMMYFUNCTION("""COMPUTED_VALUE"""),"3-0")</f>
        <v>3-0</v>
      </c>
      <c r="CH172" s="16">
        <f>IFERROR(__xludf.DUMMYFUNCTION("""COMPUTED_VALUE"""),3.0)</f>
        <v>3</v>
      </c>
      <c r="CI172" s="16">
        <f>IFERROR(__xludf.DUMMYFUNCTION("""COMPUTED_VALUE"""),0.0)</f>
        <v>0</v>
      </c>
      <c r="CJ172" s="16">
        <f>IFERROR(__xludf.DUMMYFUNCTION("""COMPUTED_VALUE"""),0.0)</f>
        <v>0</v>
      </c>
      <c r="CK172" s="16">
        <f>IFERROR(__xludf.DUMMYFUNCTION("""COMPUTED_VALUE"""),0.0)</f>
        <v>0</v>
      </c>
      <c r="CL172" s="16" t="str">
        <f>IFERROR(__xludf.DUMMYFUNCTION("""COMPUTED_VALUE"""),"1WS-C")</f>
        <v>1WS-C</v>
      </c>
      <c r="CM172" s="16" t="str">
        <f>IFERROR(__xludf.DUMMYFUNCTION("""COMPUTED_VALUE"""),"E")</f>
        <v>E</v>
      </c>
      <c r="CN172" s="16">
        <f>IFERROR(__xludf.DUMMYFUNCTION("""COMPUTED_VALUE"""),10.0)</f>
        <v>10</v>
      </c>
      <c r="CO172" s="16" t="str">
        <f>IFERROR(__xludf.DUMMYFUNCTION("""COMPUTED_VALUE"""),"C")</f>
        <v>C</v>
      </c>
      <c r="CP172" s="16" t="str">
        <f>IFERROR(__xludf.DUMMYFUNCTION("""COMPUTED_VALUE"""),"5p30")</f>
        <v>5p30</v>
      </c>
      <c r="CQ172" s="16">
        <f>IFERROR(__xludf.DUMMYFUNCTION("""COMPUTED_VALUE"""),8.0)</f>
        <v>8</v>
      </c>
      <c r="CR172" s="16">
        <f>IFERROR(__xludf.DUMMYFUNCTION("""COMPUTED_VALUE"""),12.0)</f>
        <v>12</v>
      </c>
      <c r="CS172" s="16">
        <f>IFERROR(__xludf.DUMMYFUNCTION("""COMPUTED_VALUE"""),20.0)</f>
        <v>20</v>
      </c>
      <c r="CT172" s="16">
        <f>IFERROR(__xludf.DUMMYFUNCTION("""COMPUTED_VALUE"""),8.0)</f>
        <v>8</v>
      </c>
      <c r="CU172" s="16">
        <f>IFERROR(__xludf.DUMMYFUNCTION("""COMPUTED_VALUE"""),12.0)</f>
        <v>12</v>
      </c>
      <c r="CV172" s="179">
        <f>IFERROR(__xludf.DUMMYFUNCTION("""COMPUTED_VALUE"""),11.333333333333334)</f>
        <v>11.33333333</v>
      </c>
      <c r="CW172" s="179">
        <f>IFERROR(__xludf.DUMMYFUNCTION("""COMPUTED_VALUE"""),0.0)</f>
        <v>0</v>
      </c>
      <c r="CX172" s="179">
        <f>IFERROR(__xludf.DUMMYFUNCTION("""COMPUTED_VALUE"""),2.0)</f>
        <v>2</v>
      </c>
      <c r="CY172" s="16" t="str">
        <f>IFERROR(__xludf.DUMMYFUNCTION("""COMPUTED_VALUE"""),"RP")</f>
        <v>RP</v>
      </c>
      <c r="CZ172" s="16"/>
      <c r="DA172" s="16"/>
      <c r="DB172" s="16"/>
      <c r="DC172" s="16"/>
      <c r="DD172" s="16"/>
      <c r="DE172" s="16"/>
      <c r="DF172" s="16"/>
      <c r="DG172" s="16"/>
      <c r="DH172" s="16"/>
      <c r="DI172" s="16"/>
      <c r="DJ172" s="16"/>
      <c r="DK172" s="16"/>
    </row>
    <row r="173">
      <c r="A173" s="16">
        <f>IFERROR(__xludf.DUMMYFUNCTION("""COMPUTED_VALUE"""),12533.0)</f>
        <v>12533</v>
      </c>
      <c r="B173" s="16" t="str">
        <f>IFERROR(__xludf.DUMMYFUNCTION("""COMPUTED_VALUE"""),"Andre Pallante")</f>
        <v>Andre Pallante</v>
      </c>
      <c r="C173" s="153">
        <f>IFERROR(__xludf.DUMMYFUNCTION("""COMPUTED_VALUE"""),0.99)</f>
        <v>0.99</v>
      </c>
      <c r="D173" s="16"/>
      <c r="E173" s="16" t="str">
        <f>IFERROR(__xludf.DUMMYFUNCTION("""COMPUTED_VALUE"""),"R")</f>
        <v>R</v>
      </c>
      <c r="F173" s="16">
        <f>IFERROR(__xludf.DUMMYFUNCTION("""COMPUTED_VALUE"""),121.0)</f>
        <v>121</v>
      </c>
      <c r="G173" s="16">
        <f>IFERROR(__xludf.DUMMYFUNCTION("""COMPUTED_VALUE"""),16.0)</f>
        <v>16</v>
      </c>
      <c r="H173" s="16">
        <f>IFERROR(__xludf.DUMMYFUNCTION("""COMPUTED_VALUE"""),14.0)</f>
        <v>14</v>
      </c>
      <c r="I173" s="16">
        <f>IFERROR(__xludf.DUMMYFUNCTION("""COMPUTED_VALUE"""),-2.0)</f>
        <v>-2</v>
      </c>
      <c r="J173" s="16">
        <f>IFERROR(__xludf.DUMMYFUNCTION("""COMPUTED_VALUE"""),-2.0)</f>
        <v>-2</v>
      </c>
      <c r="K173" s="16">
        <f>IFERROR(__xludf.DUMMYFUNCTION("""COMPUTED_VALUE"""),-6.0)</f>
        <v>-6</v>
      </c>
      <c r="L173" s="16">
        <f>IFERROR(__xludf.DUMMYFUNCTION("""COMPUTED_VALUE"""),-6.0)</f>
        <v>-6</v>
      </c>
      <c r="M173" s="16">
        <f>IFERROR(__xludf.DUMMYFUNCTION("""COMPUTED_VALUE"""),12.0)</f>
        <v>12</v>
      </c>
      <c r="N173" s="16">
        <f>IFERROR(__xludf.DUMMYFUNCTION("""COMPUTED_VALUE"""),12.0)</f>
        <v>12</v>
      </c>
      <c r="O173" s="16">
        <f>IFERROR(__xludf.DUMMYFUNCTION("""COMPUTED_VALUE"""),-1.0)</f>
        <v>-1</v>
      </c>
      <c r="P173" s="16">
        <f>IFERROR(__xludf.DUMMYFUNCTION("""COMPUTED_VALUE"""),-2.0)</f>
        <v>-2</v>
      </c>
      <c r="Q173" s="16">
        <f>IFERROR(__xludf.DUMMYFUNCTION("""COMPUTED_VALUE"""),-1.0)</f>
        <v>-1</v>
      </c>
      <c r="R173" s="16">
        <f>IFERROR(__xludf.DUMMYFUNCTION("""COMPUTED_VALUE"""),-2.0)</f>
        <v>-2</v>
      </c>
      <c r="S173" s="16">
        <f>IFERROR(__xludf.DUMMYFUNCTION("""COMPUTED_VALUE"""),10.0)</f>
        <v>10</v>
      </c>
      <c r="T173" s="16">
        <f>IFERROR(__xludf.DUMMYFUNCTION("""COMPUTED_VALUE"""),21.0)</f>
        <v>21</v>
      </c>
      <c r="U173" s="16">
        <f>IFERROR(__xludf.DUMMYFUNCTION("""COMPUTED_VALUE"""),1.0)</f>
        <v>1</v>
      </c>
      <c r="V173" s="16">
        <f>IFERROR(__xludf.DUMMYFUNCTION("""COMPUTED_VALUE"""),-1.0)</f>
        <v>-1</v>
      </c>
      <c r="W173" s="16">
        <f>IFERROR(__xludf.DUMMYFUNCTION("""COMPUTED_VALUE"""),2.0)</f>
        <v>2</v>
      </c>
      <c r="X173" s="16">
        <f>IFERROR(__xludf.DUMMYFUNCTION("""COMPUTED_VALUE"""),-2.0)</f>
        <v>-2</v>
      </c>
      <c r="Y173" s="16">
        <f>IFERROR(__xludf.DUMMYFUNCTION("""COMPUTED_VALUE"""),22.0)</f>
        <v>22</v>
      </c>
      <c r="Z173" s="16">
        <f>IFERROR(__xludf.DUMMYFUNCTION("""COMPUTED_VALUE"""),33.0)</f>
        <v>33</v>
      </c>
      <c r="AA173" s="16">
        <f>IFERROR(__xludf.DUMMYFUNCTION("""COMPUTED_VALUE"""),1.0)</f>
        <v>1</v>
      </c>
      <c r="AB173" s="16">
        <f>IFERROR(__xludf.DUMMYFUNCTION("""COMPUTED_VALUE"""),-1.0)</f>
        <v>-1</v>
      </c>
      <c r="AC173" s="16">
        <f>IFERROR(__xludf.DUMMYFUNCTION("""COMPUTED_VALUE"""),5.0)</f>
        <v>5</v>
      </c>
      <c r="AD173" s="16">
        <f>IFERROR(__xludf.DUMMYFUNCTION("""COMPUTED_VALUE"""),-5.0)</f>
        <v>-5</v>
      </c>
      <c r="AE173" s="16">
        <f>IFERROR(__xludf.DUMMYFUNCTION("""COMPUTED_VALUE"""),10.6)</f>
        <v>10.6</v>
      </c>
      <c r="AF173" s="16">
        <f>IFERROR(__xludf.DUMMYFUNCTION("""COMPUTED_VALUE"""),32.8)</f>
        <v>32.8</v>
      </c>
      <c r="AG173" s="16">
        <f>IFERROR(__xludf.DUMMYFUNCTION("""COMPUTED_VALUE"""),2.0)</f>
        <v>2</v>
      </c>
      <c r="AH173" s="16">
        <f>IFERROR(__xludf.DUMMYFUNCTION("""COMPUTED_VALUE"""),-1.0)</f>
        <v>-1</v>
      </c>
      <c r="AI173" s="16">
        <f>IFERROR(__xludf.DUMMYFUNCTION("""COMPUTED_VALUE"""),4.0)</f>
        <v>4</v>
      </c>
      <c r="AJ173" s="16">
        <f>IFERROR(__xludf.DUMMYFUNCTION("""COMPUTED_VALUE"""),-2.0)</f>
        <v>-2</v>
      </c>
      <c r="AK173" s="16">
        <f>IFERROR(__xludf.DUMMYFUNCTION("""COMPUTED_VALUE"""),10.0)</f>
        <v>10</v>
      </c>
      <c r="AL173" s="16">
        <f>IFERROR(__xludf.DUMMYFUNCTION("""COMPUTED_VALUE"""),19.6)</f>
        <v>19.6</v>
      </c>
      <c r="AM173" s="16">
        <f>IFERROR(__xludf.DUMMYFUNCTION("""COMPUTED_VALUE"""),1.0)</f>
        <v>1</v>
      </c>
      <c r="AN173" s="16">
        <f>IFERROR(__xludf.DUMMYFUNCTION("""COMPUTED_VALUE"""),-1.0)</f>
        <v>-1</v>
      </c>
      <c r="AO173" s="16">
        <f>IFERROR(__xludf.DUMMYFUNCTION("""COMPUTED_VALUE"""),1.0)</f>
        <v>1</v>
      </c>
      <c r="AP173" s="16">
        <f>IFERROR(__xludf.DUMMYFUNCTION("""COMPUTED_VALUE"""),-1.0)</f>
        <v>-1</v>
      </c>
      <c r="AQ173" s="16">
        <f>IFERROR(__xludf.DUMMYFUNCTION("""COMPUTED_VALUE"""),10.6)</f>
        <v>10.6</v>
      </c>
      <c r="AR173" s="16">
        <f>IFERROR(__xludf.DUMMYFUNCTION("""COMPUTED_VALUE"""),27.199999999999996)</f>
        <v>27.2</v>
      </c>
      <c r="AS173" s="16">
        <f>IFERROR(__xludf.DUMMYFUNCTION("""COMPUTED_VALUE"""),1.0)</f>
        <v>1</v>
      </c>
      <c r="AT173" s="16">
        <f>IFERROR(__xludf.DUMMYFUNCTION("""COMPUTED_VALUE"""),-1.0)</f>
        <v>-1</v>
      </c>
      <c r="AU173" s="16">
        <f>IFERROR(__xludf.DUMMYFUNCTION("""COMPUTED_VALUE"""),2.0)</f>
        <v>2</v>
      </c>
      <c r="AV173" s="16">
        <f>IFERROR(__xludf.DUMMYFUNCTION("""COMPUTED_VALUE"""),-2.0)</f>
        <v>-2</v>
      </c>
      <c r="AW173" s="16">
        <f>IFERROR(__xludf.DUMMYFUNCTION("""COMPUTED_VALUE"""),0.0)</f>
        <v>0</v>
      </c>
      <c r="AX173" s="16">
        <f>IFERROR(__xludf.DUMMYFUNCTION("""COMPUTED_VALUE"""),1.4)</f>
        <v>1.4</v>
      </c>
      <c r="AY173" s="16">
        <f>IFERROR(__xludf.DUMMYFUNCTION("""COMPUTED_VALUE"""),2.0)</f>
        <v>2</v>
      </c>
      <c r="AZ173" s="16">
        <f>IFERROR(__xludf.DUMMYFUNCTION("""COMPUTED_VALUE"""),1.0)</f>
        <v>1</v>
      </c>
      <c r="BA173" s="16">
        <f>IFERROR(__xludf.DUMMYFUNCTION("""COMPUTED_VALUE"""),10.0)</f>
        <v>10</v>
      </c>
      <c r="BB173" s="16">
        <f>IFERROR(__xludf.DUMMYFUNCTION("""COMPUTED_VALUE"""),5.0)</f>
        <v>5</v>
      </c>
      <c r="BC173" s="16">
        <f>IFERROR(__xludf.DUMMYFUNCTION("""COMPUTED_VALUE"""),0.0)</f>
        <v>0</v>
      </c>
      <c r="BD173" s="16">
        <f>IFERROR(__xludf.DUMMYFUNCTION("""COMPUTED_VALUE"""),1.0)</f>
        <v>1</v>
      </c>
      <c r="BE173" s="16">
        <f>IFERROR(__xludf.DUMMYFUNCTION("""COMPUTED_VALUE"""),0.0)</f>
        <v>0</v>
      </c>
      <c r="BF173" s="16">
        <f>IFERROR(__xludf.DUMMYFUNCTION("""COMPUTED_VALUE"""),1.0)</f>
        <v>1</v>
      </c>
      <c r="BG173" s="16">
        <f>IFERROR(__xludf.DUMMYFUNCTION("""COMPUTED_VALUE"""),3.0)</f>
        <v>3</v>
      </c>
      <c r="BH173" s="16">
        <f>IFERROR(__xludf.DUMMYFUNCTION("""COMPUTED_VALUE"""),2.0)</f>
        <v>2</v>
      </c>
      <c r="BI173" s="16">
        <f>IFERROR(__xludf.DUMMYFUNCTION("""COMPUTED_VALUE"""),6.0)</f>
        <v>6</v>
      </c>
      <c r="BJ173" s="16">
        <f>IFERROR(__xludf.DUMMYFUNCTION("""COMPUTED_VALUE"""),4.0)</f>
        <v>4</v>
      </c>
      <c r="BK173" s="16">
        <f>IFERROR(__xludf.DUMMYFUNCTION("""COMPUTED_VALUE"""),5.0)</f>
        <v>5</v>
      </c>
      <c r="BL173" s="16">
        <f>IFERROR(__xludf.DUMMYFUNCTION("""COMPUTED_VALUE"""),5.0)</f>
        <v>5</v>
      </c>
      <c r="BM173" s="16">
        <f>IFERROR(__xludf.DUMMYFUNCTION("""COMPUTED_VALUE"""),0.0)</f>
        <v>0</v>
      </c>
      <c r="BN173" s="16">
        <f>IFERROR(__xludf.DUMMYFUNCTION("""COMPUTED_VALUE"""),0.0)</f>
        <v>0</v>
      </c>
      <c r="BO173" s="16">
        <f>IFERROR(__xludf.DUMMYFUNCTION("""COMPUTED_VALUE"""),0.0)</f>
        <v>0</v>
      </c>
      <c r="BP173" s="16">
        <f>IFERROR(__xludf.DUMMYFUNCTION("""COMPUTED_VALUE"""),0.0)</f>
        <v>0</v>
      </c>
      <c r="BQ173" s="16">
        <f>IFERROR(__xludf.DUMMYFUNCTION("""COMPUTED_VALUE"""),9.0)</f>
        <v>9</v>
      </c>
      <c r="BR173" s="16">
        <f>IFERROR(__xludf.DUMMYFUNCTION("""COMPUTED_VALUE"""),9.0)</f>
        <v>9</v>
      </c>
      <c r="BS173" s="16">
        <f>IFERROR(__xludf.DUMMYFUNCTION("""COMPUTED_VALUE"""),3.0)</f>
        <v>3</v>
      </c>
      <c r="BT173" s="16">
        <f>IFERROR(__xludf.DUMMYFUNCTION("""COMPUTED_VALUE"""),3.0)</f>
        <v>3</v>
      </c>
      <c r="BU173" s="16">
        <f>IFERROR(__xludf.DUMMYFUNCTION("""COMPUTED_VALUE"""),6.0)</f>
        <v>6</v>
      </c>
      <c r="BV173" s="16">
        <f>IFERROR(__xludf.DUMMYFUNCTION("""COMPUTED_VALUE"""),6.0)</f>
        <v>6</v>
      </c>
      <c r="BW173" s="16">
        <f>IFERROR(__xludf.DUMMYFUNCTION("""COMPUTED_VALUE"""),8.0)</f>
        <v>8</v>
      </c>
      <c r="BX173" s="16">
        <f>IFERROR(__xludf.DUMMYFUNCTION("""COMPUTED_VALUE"""),8.0)</f>
        <v>8</v>
      </c>
      <c r="BY173" s="16" t="str">
        <f>IFERROR(__xludf.DUMMYFUNCTION("""COMPUTED_VALUE"""),"S(5) R(3)")</f>
        <v>S(5) R(3)</v>
      </c>
      <c r="BZ173" s="16" t="str">
        <f>IFERROR(__xludf.DUMMYFUNCTION("""COMPUTED_VALUE"""),"S(5) R(3)")</f>
        <v>S(5) R(3)</v>
      </c>
      <c r="CA173" s="16" t="str">
        <f>IFERROR(__xludf.DUMMYFUNCTION("""COMPUTED_VALUE"""),"S(5)")</f>
        <v>S(5)</v>
      </c>
      <c r="CB173" s="16" t="str">
        <f>IFERROR(__xludf.DUMMYFUNCTION("""COMPUTED_VALUE"""),"R(3)")</f>
        <v>R(3)</v>
      </c>
      <c r="CC173" s="16"/>
      <c r="CD173" s="16">
        <f>IFERROR(__xludf.DUMMYFUNCTION("""COMPUTED_VALUE"""),5.0)</f>
        <v>5</v>
      </c>
      <c r="CE173" s="16">
        <f>IFERROR(__xludf.DUMMYFUNCTION("""COMPUTED_VALUE"""),3.0)</f>
        <v>3</v>
      </c>
      <c r="CF173" s="16"/>
      <c r="CG173" s="16" t="str">
        <f>IFERROR(__xludf.DUMMYFUNCTION("""COMPUTED_VALUE"""),"4-0")</f>
        <v>4-0</v>
      </c>
      <c r="CH173" s="16">
        <f>IFERROR(__xludf.DUMMYFUNCTION("""COMPUTED_VALUE"""),4.0)</f>
        <v>4</v>
      </c>
      <c r="CI173" s="16">
        <f>IFERROR(__xludf.DUMMYFUNCTION("""COMPUTED_VALUE"""),0.0)</f>
        <v>0</v>
      </c>
      <c r="CJ173" s="16">
        <f>IFERROR(__xludf.DUMMYFUNCTION("""COMPUTED_VALUE"""),5.0)</f>
        <v>5</v>
      </c>
      <c r="CK173" s="16">
        <f>IFERROR(__xludf.DUMMYFUNCTION("""COMPUTED_VALUE"""),20.0)</f>
        <v>20</v>
      </c>
      <c r="CL173" s="16" t="str">
        <f>IFERROR(__xludf.DUMMYFUNCTION("""COMPUTED_VALUE"""),"1WR-C")</f>
        <v>1WR-C</v>
      </c>
      <c r="CM173" s="16" t="str">
        <f>IFERROR(__xludf.DUMMYFUNCTION("""COMPUTED_VALUE"""),"E")</f>
        <v>E</v>
      </c>
      <c r="CN173" s="16">
        <f>IFERROR(__xludf.DUMMYFUNCTION("""COMPUTED_VALUE"""),10.0)</f>
        <v>10</v>
      </c>
      <c r="CO173" s="16" t="str">
        <f>IFERROR(__xludf.DUMMYFUNCTION("""COMPUTED_VALUE"""),"C")</f>
        <v>C</v>
      </c>
      <c r="CP173" s="16" t="str">
        <f>IFERROR(__xludf.DUMMYFUNCTION("""COMPUTED_VALUE"""),"1p60")</f>
        <v>1p60</v>
      </c>
      <c r="CQ173" s="16">
        <f>IFERROR(__xludf.DUMMYFUNCTION("""COMPUTED_VALUE"""),29.0)</f>
        <v>29</v>
      </c>
      <c r="CR173" s="16">
        <f>IFERROR(__xludf.DUMMYFUNCTION("""COMPUTED_VALUE"""),-5.0)</f>
        <v>-5</v>
      </c>
      <c r="CS173" s="16">
        <f>IFERROR(__xludf.DUMMYFUNCTION("""COMPUTED_VALUE"""),24.0)</f>
        <v>24</v>
      </c>
      <c r="CT173" s="16">
        <f>IFERROR(__xludf.DUMMYFUNCTION("""COMPUTED_VALUE"""),29.0)</f>
        <v>29</v>
      </c>
      <c r="CU173" s="16">
        <f>IFERROR(__xludf.DUMMYFUNCTION("""COMPUTED_VALUE"""),-5.0)</f>
        <v>-5</v>
      </c>
      <c r="CV173" s="179">
        <f>IFERROR(__xludf.DUMMYFUNCTION("""COMPUTED_VALUE"""),11.333333333333332)</f>
        <v>11.33333333</v>
      </c>
      <c r="CW173" s="179">
        <f>IFERROR(__xludf.DUMMYFUNCTION("""COMPUTED_VALUE"""),4.0)</f>
        <v>4</v>
      </c>
      <c r="CX173" s="179">
        <f>IFERROR(__xludf.DUMMYFUNCTION("""COMPUTED_VALUE"""),1.0)</f>
        <v>1</v>
      </c>
      <c r="CY173" s="16" t="str">
        <f>IFERROR(__xludf.DUMMYFUNCTION("""COMPUTED_VALUE"""),"SP")</f>
        <v>SP</v>
      </c>
      <c r="CZ173" s="16" t="str">
        <f>IFERROR(__xludf.DUMMYFUNCTION("""COMPUTED_VALUE"""),"RP")</f>
        <v>RP</v>
      </c>
      <c r="DA173" s="16"/>
      <c r="DB173" s="16"/>
      <c r="DC173" s="16"/>
      <c r="DD173" s="16"/>
      <c r="DE173" s="16"/>
      <c r="DF173" s="16"/>
      <c r="DG173" s="16"/>
      <c r="DH173" s="16"/>
      <c r="DI173" s="16"/>
      <c r="DJ173" s="16"/>
      <c r="DK173" s="16"/>
    </row>
    <row r="174">
      <c r="A174" s="16">
        <f>IFERROR(__xludf.DUMMYFUNCTION("""COMPUTED_VALUE"""),12677.0)</f>
        <v>12677</v>
      </c>
      <c r="B174" s="16" t="str">
        <f>IFERROR(__xludf.DUMMYFUNCTION("""COMPUTED_VALUE"""),"Chris Roycroft")</f>
        <v>Chris Roycroft</v>
      </c>
      <c r="C174" s="153">
        <f>IFERROR(__xludf.DUMMYFUNCTION("""COMPUTED_VALUE"""),0.0)</f>
        <v>0</v>
      </c>
      <c r="D174" s="16"/>
      <c r="E174" s="16" t="str">
        <f>IFERROR(__xludf.DUMMYFUNCTION("""COMPUTED_VALUE"""),"R")</f>
        <v>R</v>
      </c>
      <c r="F174" s="16">
        <f>IFERROR(__xludf.DUMMYFUNCTION("""COMPUTED_VALUE"""),34.0)</f>
        <v>34</v>
      </c>
      <c r="G174" s="16">
        <f>IFERROR(__xludf.DUMMYFUNCTION("""COMPUTED_VALUE"""),20.0)</f>
        <v>20</v>
      </c>
      <c r="H174" s="16">
        <f>IFERROR(__xludf.DUMMYFUNCTION("""COMPUTED_VALUE"""),25.0)</f>
        <v>25</v>
      </c>
      <c r="I174" s="16">
        <f>IFERROR(__xludf.DUMMYFUNCTION("""COMPUTED_VALUE"""),-1.0)</f>
        <v>-1</v>
      </c>
      <c r="J174" s="16">
        <f>IFERROR(__xludf.DUMMYFUNCTION("""COMPUTED_VALUE"""),0.0)</f>
        <v>0</v>
      </c>
      <c r="K174" s="16">
        <f>IFERROR(__xludf.DUMMYFUNCTION("""COMPUTED_VALUE"""),-3.0)</f>
        <v>-3</v>
      </c>
      <c r="L174" s="16">
        <f>IFERROR(__xludf.DUMMYFUNCTION("""COMPUTED_VALUE"""),0.0)</f>
        <v>0</v>
      </c>
      <c r="M174" s="16">
        <f>IFERROR(__xludf.DUMMYFUNCTION("""COMPUTED_VALUE"""),28.0)</f>
        <v>28</v>
      </c>
      <c r="N174" s="16">
        <f>IFERROR(__xludf.DUMMYFUNCTION("""COMPUTED_VALUE"""),9.0)</f>
        <v>9</v>
      </c>
      <c r="O174" s="16">
        <f>IFERROR(__xludf.DUMMYFUNCTION("""COMPUTED_VALUE"""),-3.0)</f>
        <v>-3</v>
      </c>
      <c r="P174" s="16">
        <f>IFERROR(__xludf.DUMMYFUNCTION("""COMPUTED_VALUE"""),0.0)</f>
        <v>0</v>
      </c>
      <c r="Q174" s="16">
        <f>IFERROR(__xludf.DUMMYFUNCTION("""COMPUTED_VALUE"""),-3.0)</f>
        <v>-3</v>
      </c>
      <c r="R174" s="16">
        <f>IFERROR(__xludf.DUMMYFUNCTION("""COMPUTED_VALUE"""),0.0)</f>
        <v>0</v>
      </c>
      <c r="S174" s="16">
        <f>IFERROR(__xludf.DUMMYFUNCTION("""COMPUTED_VALUE"""),18.8)</f>
        <v>18.8</v>
      </c>
      <c r="T174" s="16">
        <f>IFERROR(__xludf.DUMMYFUNCTION("""COMPUTED_VALUE"""),12.6)</f>
        <v>12.6</v>
      </c>
      <c r="U174" s="16">
        <f>IFERROR(__xludf.DUMMYFUNCTION("""COMPUTED_VALUE"""),-1.0)</f>
        <v>-1</v>
      </c>
      <c r="V174" s="16">
        <f>IFERROR(__xludf.DUMMYFUNCTION("""COMPUTED_VALUE"""),1.0)</f>
        <v>1</v>
      </c>
      <c r="W174" s="16">
        <f>IFERROR(__xludf.DUMMYFUNCTION("""COMPUTED_VALUE"""),-2.0)</f>
        <v>-2</v>
      </c>
      <c r="X174" s="16">
        <f>IFERROR(__xludf.DUMMYFUNCTION("""COMPUTED_VALUE"""),2.0)</f>
        <v>2</v>
      </c>
      <c r="Y174" s="16">
        <f>IFERROR(__xludf.DUMMYFUNCTION("""COMPUTED_VALUE"""),46.8)</f>
        <v>46.8</v>
      </c>
      <c r="Z174" s="16">
        <f>IFERROR(__xludf.DUMMYFUNCTION("""COMPUTED_VALUE"""),21.5)</f>
        <v>21.5</v>
      </c>
      <c r="AA174" s="16">
        <f>IFERROR(__xludf.DUMMYFUNCTION("""COMPUTED_VALUE"""),-2.0)</f>
        <v>-2</v>
      </c>
      <c r="AB174" s="16">
        <f>IFERROR(__xludf.DUMMYFUNCTION("""COMPUTED_VALUE"""),1.0)</f>
        <v>1</v>
      </c>
      <c r="AC174" s="16">
        <f>IFERROR(__xludf.DUMMYFUNCTION("""COMPUTED_VALUE"""),-10.0)</f>
        <v>-10</v>
      </c>
      <c r="AD174" s="16">
        <f>IFERROR(__xludf.DUMMYFUNCTION("""COMPUTED_VALUE"""),5.0)</f>
        <v>5</v>
      </c>
      <c r="AE174" s="16">
        <f>IFERROR(__xludf.DUMMYFUNCTION("""COMPUTED_VALUE"""),35.6)</f>
        <v>35.6</v>
      </c>
      <c r="AF174" s="16">
        <f>IFERROR(__xludf.DUMMYFUNCTION("""COMPUTED_VALUE"""),15.1)</f>
        <v>15.1</v>
      </c>
      <c r="AG174" s="16">
        <f>IFERROR(__xludf.DUMMYFUNCTION("""COMPUTED_VALUE"""),-1.0)</f>
        <v>-1</v>
      </c>
      <c r="AH174" s="16">
        <f>IFERROR(__xludf.DUMMYFUNCTION("""COMPUTED_VALUE"""),1.0)</f>
        <v>1</v>
      </c>
      <c r="AI174" s="16">
        <f>IFERROR(__xludf.DUMMYFUNCTION("""COMPUTED_VALUE"""),-2.0)</f>
        <v>-2</v>
      </c>
      <c r="AJ174" s="16">
        <f>IFERROR(__xludf.DUMMYFUNCTION("""COMPUTED_VALUE"""),2.0)</f>
        <v>2</v>
      </c>
      <c r="AK174" s="16">
        <f>IFERROR(__xludf.DUMMYFUNCTION("""COMPUTED_VALUE"""),18.8)</f>
        <v>18.8</v>
      </c>
      <c r="AL174" s="16">
        <f>IFERROR(__xludf.DUMMYFUNCTION("""COMPUTED_VALUE"""),12.6)</f>
        <v>12.6</v>
      </c>
      <c r="AM174" s="16">
        <f>IFERROR(__xludf.DUMMYFUNCTION("""COMPUTED_VALUE"""),-1.0)</f>
        <v>-1</v>
      </c>
      <c r="AN174" s="16">
        <f>IFERROR(__xludf.DUMMYFUNCTION("""COMPUTED_VALUE"""),0.0)</f>
        <v>0</v>
      </c>
      <c r="AO174" s="16">
        <f>IFERROR(__xludf.DUMMYFUNCTION("""COMPUTED_VALUE"""),-1.0)</f>
        <v>-1</v>
      </c>
      <c r="AP174" s="16">
        <f>IFERROR(__xludf.DUMMYFUNCTION("""COMPUTED_VALUE"""),0.0)</f>
        <v>0</v>
      </c>
      <c r="AQ174" s="16">
        <f>IFERROR(__xludf.DUMMYFUNCTION("""COMPUTED_VALUE"""),35.6)</f>
        <v>35.6</v>
      </c>
      <c r="AR174" s="16">
        <f>IFERROR(__xludf.DUMMYFUNCTION("""COMPUTED_VALUE"""),15.1)</f>
        <v>15.1</v>
      </c>
      <c r="AS174" s="16">
        <f>IFERROR(__xludf.DUMMYFUNCTION("""COMPUTED_VALUE"""),-2.0)</f>
        <v>-2</v>
      </c>
      <c r="AT174" s="16">
        <f>IFERROR(__xludf.DUMMYFUNCTION("""COMPUTED_VALUE"""),1.0)</f>
        <v>1</v>
      </c>
      <c r="AU174" s="16">
        <f>IFERROR(__xludf.DUMMYFUNCTION("""COMPUTED_VALUE"""),-4.0)</f>
        <v>-4</v>
      </c>
      <c r="AV174" s="16">
        <f>IFERROR(__xludf.DUMMYFUNCTION("""COMPUTED_VALUE"""),2.0)</f>
        <v>2</v>
      </c>
      <c r="AW174" s="16">
        <f>IFERROR(__xludf.DUMMYFUNCTION("""COMPUTED_VALUE"""),0.0)</f>
        <v>0</v>
      </c>
      <c r="AX174" s="16">
        <f>IFERROR(__xludf.DUMMYFUNCTION("""COMPUTED_VALUE"""),0.0)</f>
        <v>0</v>
      </c>
      <c r="AY174" s="16">
        <f>IFERROR(__xludf.DUMMYFUNCTION("""COMPUTED_VALUE"""),2.0)</f>
        <v>2</v>
      </c>
      <c r="AZ174" s="16">
        <f>IFERROR(__xludf.DUMMYFUNCTION("""COMPUTED_VALUE"""),2.0)</f>
        <v>2</v>
      </c>
      <c r="BA174" s="16">
        <f>IFERROR(__xludf.DUMMYFUNCTION("""COMPUTED_VALUE"""),10.0)</f>
        <v>10</v>
      </c>
      <c r="BB174" s="16">
        <f>IFERROR(__xludf.DUMMYFUNCTION("""COMPUTED_VALUE"""),10.0)</f>
        <v>10</v>
      </c>
      <c r="BC174" s="16">
        <f>IFERROR(__xludf.DUMMYFUNCTION("""COMPUTED_VALUE"""),0.0)</f>
        <v>0</v>
      </c>
      <c r="BD174" s="16">
        <f>IFERROR(__xludf.DUMMYFUNCTION("""COMPUTED_VALUE"""),0.0)</f>
        <v>0</v>
      </c>
      <c r="BE174" s="16">
        <f>IFERROR(__xludf.DUMMYFUNCTION("""COMPUTED_VALUE"""),0.0)</f>
        <v>0</v>
      </c>
      <c r="BF174" s="16">
        <f>IFERROR(__xludf.DUMMYFUNCTION("""COMPUTED_VALUE"""),0.0)</f>
        <v>0</v>
      </c>
      <c r="BG174" s="16">
        <f>IFERROR(__xludf.DUMMYFUNCTION("""COMPUTED_VALUE"""),3.0)</f>
        <v>3</v>
      </c>
      <c r="BH174" s="16">
        <f>IFERROR(__xludf.DUMMYFUNCTION("""COMPUTED_VALUE"""),2.0)</f>
        <v>2</v>
      </c>
      <c r="BI174" s="16">
        <f>IFERROR(__xludf.DUMMYFUNCTION("""COMPUTED_VALUE"""),6.0)</f>
        <v>6</v>
      </c>
      <c r="BJ174" s="16">
        <f>IFERROR(__xludf.DUMMYFUNCTION("""COMPUTED_VALUE"""),4.0)</f>
        <v>4</v>
      </c>
      <c r="BK174" s="16">
        <f>IFERROR(__xludf.DUMMYFUNCTION("""COMPUTED_VALUE"""),5.0)</f>
        <v>5</v>
      </c>
      <c r="BL174" s="16">
        <f>IFERROR(__xludf.DUMMYFUNCTION("""COMPUTED_VALUE"""),5.0)</f>
        <v>5</v>
      </c>
      <c r="BM174" s="16">
        <f>IFERROR(__xludf.DUMMYFUNCTION("""COMPUTED_VALUE"""),0.0)</f>
        <v>0</v>
      </c>
      <c r="BN174" s="16">
        <f>IFERROR(__xludf.DUMMYFUNCTION("""COMPUTED_VALUE"""),0.0)</f>
        <v>0</v>
      </c>
      <c r="BO174" s="16">
        <f>IFERROR(__xludf.DUMMYFUNCTION("""COMPUTED_VALUE"""),0.0)</f>
        <v>0</v>
      </c>
      <c r="BP174" s="16">
        <f>IFERROR(__xludf.DUMMYFUNCTION("""COMPUTED_VALUE"""),0.0)</f>
        <v>0</v>
      </c>
      <c r="BQ174" s="16">
        <f>IFERROR(__xludf.DUMMYFUNCTION("""COMPUTED_VALUE"""),6.0)</f>
        <v>6</v>
      </c>
      <c r="BR174" s="16">
        <f>IFERROR(__xludf.DUMMYFUNCTION("""COMPUTED_VALUE"""),6.0)</f>
        <v>6</v>
      </c>
      <c r="BS174" s="16">
        <f>IFERROR(__xludf.DUMMYFUNCTION("""COMPUTED_VALUE"""),1.0)</f>
        <v>1</v>
      </c>
      <c r="BT174" s="16">
        <f>IFERROR(__xludf.DUMMYFUNCTION("""COMPUTED_VALUE"""),1.0)</f>
        <v>1</v>
      </c>
      <c r="BU174" s="16">
        <f>IFERROR(__xludf.DUMMYFUNCTION("""COMPUTED_VALUE"""),2.0)</f>
        <v>2</v>
      </c>
      <c r="BV174" s="16">
        <f>IFERROR(__xludf.DUMMYFUNCTION("""COMPUTED_VALUE"""),2.0)</f>
        <v>2</v>
      </c>
      <c r="BW174" s="16">
        <f>IFERROR(__xludf.DUMMYFUNCTION("""COMPUTED_VALUE"""),2.0)</f>
        <v>2</v>
      </c>
      <c r="BX174" s="16">
        <f>IFERROR(__xludf.DUMMYFUNCTION("""COMPUTED_VALUE"""),2.0)</f>
        <v>2</v>
      </c>
      <c r="BY174" s="16" t="str">
        <f>IFERROR(__xludf.DUMMYFUNCTION("""COMPUTED_VALUE"""),"R(2)")</f>
        <v>R(2)</v>
      </c>
      <c r="BZ174" s="16" t="str">
        <f>IFERROR(__xludf.DUMMYFUNCTION("""COMPUTED_VALUE"""),"R(2)")</f>
        <v>R(2)</v>
      </c>
      <c r="CA174" s="16" t="str">
        <f>IFERROR(__xludf.DUMMYFUNCTION("""COMPUTED_VALUE"""),"R(2)")</f>
        <v>R(2)</v>
      </c>
      <c r="CB174" s="16"/>
      <c r="CC174" s="16"/>
      <c r="CD174" s="16"/>
      <c r="CE174" s="16">
        <f>IFERROR(__xludf.DUMMYFUNCTION("""COMPUTED_VALUE"""),2.0)</f>
        <v>2</v>
      </c>
      <c r="CF174" s="16"/>
      <c r="CG174" s="16" t="str">
        <f>IFERROR(__xludf.DUMMYFUNCTION("""COMPUTED_VALUE"""),"4-42")</f>
        <v>4-42</v>
      </c>
      <c r="CH174" s="16">
        <f>IFERROR(__xludf.DUMMYFUNCTION("""COMPUTED_VALUE"""),4.0)</f>
        <v>4</v>
      </c>
      <c r="CI174" s="16">
        <f>IFERROR(__xludf.DUMMYFUNCTION("""COMPUTED_VALUE"""),42.0)</f>
        <v>42</v>
      </c>
      <c r="CJ174" s="16">
        <f>IFERROR(__xludf.DUMMYFUNCTION("""COMPUTED_VALUE"""),0.0)</f>
        <v>0</v>
      </c>
      <c r="CK174" s="16">
        <f>IFERROR(__xludf.DUMMYFUNCTION("""COMPUTED_VALUE"""),5.0)</f>
        <v>5</v>
      </c>
      <c r="CL174" s="16" t="str">
        <f>IFERROR(__xludf.DUMMYFUNCTION("""COMPUTED_VALUE"""),"1WR-C")</f>
        <v>1WR-C</v>
      </c>
      <c r="CM174" s="16" t="str">
        <f>IFERROR(__xludf.DUMMYFUNCTION("""COMPUTED_VALUE"""),"E")</f>
        <v>E</v>
      </c>
      <c r="CN174" s="16">
        <f>IFERROR(__xludf.DUMMYFUNCTION("""COMPUTED_VALUE"""),10.0)</f>
        <v>10</v>
      </c>
      <c r="CO174" s="16" t="str">
        <f>IFERROR(__xludf.DUMMYFUNCTION("""COMPUTED_VALUE"""),"C")</f>
        <v>C</v>
      </c>
      <c r="CP174" s="16" t="str">
        <f>IFERROR(__xludf.DUMMYFUNCTION("""COMPUTED_VALUE"""),"1p20")</f>
        <v>1p20</v>
      </c>
      <c r="CQ174" s="16">
        <f>IFERROR(__xludf.DUMMYFUNCTION("""COMPUTED_VALUE"""),-7.0)</f>
        <v>-7</v>
      </c>
      <c r="CR174" s="16">
        <f>IFERROR(__xludf.DUMMYFUNCTION("""COMPUTED_VALUE"""),27.0)</f>
        <v>27</v>
      </c>
      <c r="CS174" s="16">
        <f>IFERROR(__xludf.DUMMYFUNCTION("""COMPUTED_VALUE"""),20.0)</f>
        <v>20</v>
      </c>
      <c r="CT174" s="16">
        <f>IFERROR(__xludf.DUMMYFUNCTION("""COMPUTED_VALUE"""),-7.0)</f>
        <v>-7</v>
      </c>
      <c r="CU174" s="16">
        <f>IFERROR(__xludf.DUMMYFUNCTION("""COMPUTED_VALUE"""),27.0)</f>
        <v>27</v>
      </c>
      <c r="CV174" s="179">
        <f>IFERROR(__xludf.DUMMYFUNCTION("""COMPUTED_VALUE"""),11.333333333333332)</f>
        <v>11.33333333</v>
      </c>
      <c r="CW174" s="179">
        <f>IFERROR(__xludf.DUMMYFUNCTION("""COMPUTED_VALUE"""),4.0)</f>
        <v>4</v>
      </c>
      <c r="CX174" s="179">
        <f>IFERROR(__xludf.DUMMYFUNCTION("""COMPUTED_VALUE"""),3.0)</f>
        <v>3</v>
      </c>
      <c r="CY174" s="16" t="str">
        <f>IFERROR(__xludf.DUMMYFUNCTION("""COMPUTED_VALUE"""),"RP")</f>
        <v>RP</v>
      </c>
      <c r="CZ174" s="16"/>
      <c r="DA174" s="16"/>
      <c r="DB174" s="16"/>
      <c r="DC174" s="16"/>
      <c r="DD174" s="16"/>
      <c r="DE174" s="16"/>
      <c r="DF174" s="16"/>
      <c r="DG174" s="16"/>
      <c r="DH174" s="16"/>
      <c r="DI174" s="16"/>
      <c r="DJ174" s="16"/>
      <c r="DK174" s="16"/>
    </row>
    <row r="175">
      <c r="A175" s="16">
        <f>IFERROR(__xludf.DUMMYFUNCTION("""COMPUTED_VALUE"""),12903.0)</f>
        <v>12903</v>
      </c>
      <c r="B175" s="16" t="str">
        <f>IFERROR(__xludf.DUMMYFUNCTION("""COMPUTED_VALUE"""),"Jacob Webb")</f>
        <v>Jacob Webb</v>
      </c>
      <c r="C175" s="153">
        <f>IFERROR(__xludf.DUMMYFUNCTION("""COMPUTED_VALUE"""),0.76)</f>
        <v>0.76</v>
      </c>
      <c r="D175" s="16"/>
      <c r="E175" s="16" t="str">
        <f>IFERROR(__xludf.DUMMYFUNCTION("""COMPUTED_VALUE"""),"R")</f>
        <v>R</v>
      </c>
      <c r="F175" s="16">
        <f>IFERROR(__xludf.DUMMYFUNCTION("""COMPUTED_VALUE"""),57.0)</f>
        <v>57</v>
      </c>
      <c r="G175" s="16">
        <f>IFERROR(__xludf.DUMMYFUNCTION("""COMPUTED_VALUE"""),39.0)</f>
        <v>39</v>
      </c>
      <c r="H175" s="16">
        <f>IFERROR(__xludf.DUMMYFUNCTION("""COMPUTED_VALUE"""),21.0)</f>
        <v>21</v>
      </c>
      <c r="I175" s="16">
        <f>IFERROR(__xludf.DUMMYFUNCTION("""COMPUTED_VALUE"""),2.0)</f>
        <v>2</v>
      </c>
      <c r="J175" s="16">
        <f>IFERROR(__xludf.DUMMYFUNCTION("""COMPUTED_VALUE"""),-1.0)</f>
        <v>-1</v>
      </c>
      <c r="K175" s="16">
        <f>IFERROR(__xludf.DUMMYFUNCTION("""COMPUTED_VALUE"""),6.0)</f>
        <v>6</v>
      </c>
      <c r="L175" s="16">
        <f>IFERROR(__xludf.DUMMYFUNCTION("""COMPUTED_VALUE"""),-3.0)</f>
        <v>-3</v>
      </c>
      <c r="M175" s="16">
        <f>IFERROR(__xludf.DUMMYFUNCTION("""COMPUTED_VALUE"""),12.0)</f>
        <v>12</v>
      </c>
      <c r="N175" s="16">
        <f>IFERROR(__xludf.DUMMYFUNCTION("""COMPUTED_VALUE"""),18.0)</f>
        <v>18</v>
      </c>
      <c r="O175" s="16">
        <f>IFERROR(__xludf.DUMMYFUNCTION("""COMPUTED_VALUE"""),-1.0)</f>
        <v>-1</v>
      </c>
      <c r="P175" s="16">
        <f>IFERROR(__xludf.DUMMYFUNCTION("""COMPUTED_VALUE"""),-3.0)</f>
        <v>-3</v>
      </c>
      <c r="Q175" s="16">
        <f>IFERROR(__xludf.DUMMYFUNCTION("""COMPUTED_VALUE"""),-1.0)</f>
        <v>-1</v>
      </c>
      <c r="R175" s="16">
        <f>IFERROR(__xludf.DUMMYFUNCTION("""COMPUTED_VALUE"""),-3.0)</f>
        <v>-3</v>
      </c>
      <c r="S175" s="16">
        <f>IFERROR(__xludf.DUMMYFUNCTION("""COMPUTED_VALUE"""),0.8)</f>
        <v>0.8</v>
      </c>
      <c r="T175" s="16">
        <f>IFERROR(__xludf.DUMMYFUNCTION("""COMPUTED_VALUE"""),12.4)</f>
        <v>12.4</v>
      </c>
      <c r="U175" s="16">
        <f>IFERROR(__xludf.DUMMYFUNCTION("""COMPUTED_VALUE"""),2.0)</f>
        <v>2</v>
      </c>
      <c r="V175" s="16">
        <f>IFERROR(__xludf.DUMMYFUNCTION("""COMPUTED_VALUE"""),1.0)</f>
        <v>1</v>
      </c>
      <c r="W175" s="16">
        <f>IFERROR(__xludf.DUMMYFUNCTION("""COMPUTED_VALUE"""),4.0)</f>
        <v>4</v>
      </c>
      <c r="X175" s="16">
        <f>IFERROR(__xludf.DUMMYFUNCTION("""COMPUTED_VALUE"""),2.0)</f>
        <v>2</v>
      </c>
      <c r="Y175" s="16">
        <f>IFERROR(__xludf.DUMMYFUNCTION("""COMPUTED_VALUE"""),12.8)</f>
        <v>12.8</v>
      </c>
      <c r="Z175" s="16">
        <f>IFERROR(__xludf.DUMMYFUNCTION("""COMPUTED_VALUE"""),30.4)</f>
        <v>30.4</v>
      </c>
      <c r="AA175" s="16">
        <f>IFERROR(__xludf.DUMMYFUNCTION("""COMPUTED_VALUE"""),2.0)</f>
        <v>2</v>
      </c>
      <c r="AB175" s="16">
        <f>IFERROR(__xludf.DUMMYFUNCTION("""COMPUTED_VALUE"""),-1.0)</f>
        <v>-1</v>
      </c>
      <c r="AC175" s="16">
        <f>IFERROR(__xludf.DUMMYFUNCTION("""COMPUTED_VALUE"""),10.0)</f>
        <v>10</v>
      </c>
      <c r="AD175" s="16">
        <f>IFERROR(__xludf.DUMMYFUNCTION("""COMPUTED_VALUE"""),-5.0)</f>
        <v>-5</v>
      </c>
      <c r="AE175" s="16">
        <f>IFERROR(__xludf.DUMMYFUNCTION("""COMPUTED_VALUE"""),0.8)</f>
        <v>0.8</v>
      </c>
      <c r="AF175" s="16">
        <f>IFERROR(__xludf.DUMMYFUNCTION("""COMPUTED_VALUE"""),25.1)</f>
        <v>25.1</v>
      </c>
      <c r="AG175" s="16">
        <f>IFERROR(__xludf.DUMMYFUNCTION("""COMPUTED_VALUE"""),2.0)</f>
        <v>2</v>
      </c>
      <c r="AH175" s="16">
        <f>IFERROR(__xludf.DUMMYFUNCTION("""COMPUTED_VALUE"""),0.0)</f>
        <v>0</v>
      </c>
      <c r="AI175" s="16">
        <f>IFERROR(__xludf.DUMMYFUNCTION("""COMPUTED_VALUE"""),4.0)</f>
        <v>4</v>
      </c>
      <c r="AJ175" s="16">
        <f>IFERROR(__xludf.DUMMYFUNCTION("""COMPUTED_VALUE"""),0.0)</f>
        <v>0</v>
      </c>
      <c r="AK175" s="16">
        <f>IFERROR(__xludf.DUMMYFUNCTION("""COMPUTED_VALUE"""),0.8)</f>
        <v>0.8</v>
      </c>
      <c r="AL175" s="16">
        <f>IFERROR(__xludf.DUMMYFUNCTION("""COMPUTED_VALUE"""),11.4)</f>
        <v>11.4</v>
      </c>
      <c r="AM175" s="16">
        <f>IFERROR(__xludf.DUMMYFUNCTION("""COMPUTED_VALUE"""),2.0)</f>
        <v>2</v>
      </c>
      <c r="AN175" s="16">
        <f>IFERROR(__xludf.DUMMYFUNCTION("""COMPUTED_VALUE"""),0.0)</f>
        <v>0</v>
      </c>
      <c r="AO175" s="16">
        <f>IFERROR(__xludf.DUMMYFUNCTION("""COMPUTED_VALUE"""),2.0)</f>
        <v>2</v>
      </c>
      <c r="AP175" s="16">
        <f>IFERROR(__xludf.DUMMYFUNCTION("""COMPUTED_VALUE"""),0.0)</f>
        <v>0</v>
      </c>
      <c r="AQ175" s="16">
        <f>IFERROR(__xludf.DUMMYFUNCTION("""COMPUTED_VALUE"""),0.8)</f>
        <v>0.8</v>
      </c>
      <c r="AR175" s="16">
        <f>IFERROR(__xludf.DUMMYFUNCTION("""COMPUTED_VALUE"""),21.1)</f>
        <v>21.1</v>
      </c>
      <c r="AS175" s="16">
        <f>IFERROR(__xludf.DUMMYFUNCTION("""COMPUTED_VALUE"""),2.0)</f>
        <v>2</v>
      </c>
      <c r="AT175" s="16">
        <f>IFERROR(__xludf.DUMMYFUNCTION("""COMPUTED_VALUE"""),0.0)</f>
        <v>0</v>
      </c>
      <c r="AU175" s="16">
        <f>IFERROR(__xludf.DUMMYFUNCTION("""COMPUTED_VALUE"""),4.0)</f>
        <v>4</v>
      </c>
      <c r="AV175" s="16">
        <f>IFERROR(__xludf.DUMMYFUNCTION("""COMPUTED_VALUE"""),0.0)</f>
        <v>0</v>
      </c>
      <c r="AW175" s="16">
        <f>IFERROR(__xludf.DUMMYFUNCTION("""COMPUTED_VALUE"""),0.0)</f>
        <v>0</v>
      </c>
      <c r="AX175" s="16">
        <f>IFERROR(__xludf.DUMMYFUNCTION("""COMPUTED_VALUE"""),1.0)</f>
        <v>1</v>
      </c>
      <c r="AY175" s="16">
        <f>IFERROR(__xludf.DUMMYFUNCTION("""COMPUTED_VALUE"""),2.0)</f>
        <v>2</v>
      </c>
      <c r="AZ175" s="16">
        <f>IFERROR(__xludf.DUMMYFUNCTION("""COMPUTED_VALUE"""),1.0)</f>
        <v>1</v>
      </c>
      <c r="BA175" s="16">
        <f>IFERROR(__xludf.DUMMYFUNCTION("""COMPUTED_VALUE"""),10.0)</f>
        <v>10</v>
      </c>
      <c r="BB175" s="16">
        <f>IFERROR(__xludf.DUMMYFUNCTION("""COMPUTED_VALUE"""),5.0)</f>
        <v>5</v>
      </c>
      <c r="BC175" s="16"/>
      <c r="BD175" s="16">
        <f>IFERROR(__xludf.DUMMYFUNCTION("""COMPUTED_VALUE"""),2.0)</f>
        <v>2</v>
      </c>
      <c r="BE175" s="16">
        <f>IFERROR(__xludf.DUMMYFUNCTION("""COMPUTED_VALUE"""),0.0)</f>
        <v>0</v>
      </c>
      <c r="BF175" s="16">
        <f>IFERROR(__xludf.DUMMYFUNCTION("""COMPUTED_VALUE"""),2.0)</f>
        <v>2</v>
      </c>
      <c r="BG175" s="16">
        <f>IFERROR(__xludf.DUMMYFUNCTION("""COMPUTED_VALUE"""),3.0)</f>
        <v>3</v>
      </c>
      <c r="BH175" s="16">
        <f>IFERROR(__xludf.DUMMYFUNCTION("""COMPUTED_VALUE"""),1.0)</f>
        <v>1</v>
      </c>
      <c r="BI175" s="16">
        <f>IFERROR(__xludf.DUMMYFUNCTION("""COMPUTED_VALUE"""),6.0)</f>
        <v>6</v>
      </c>
      <c r="BJ175" s="16">
        <f>IFERROR(__xludf.DUMMYFUNCTION("""COMPUTED_VALUE"""),2.0)</f>
        <v>2</v>
      </c>
      <c r="BK175" s="16">
        <f>IFERROR(__xludf.DUMMYFUNCTION("""COMPUTED_VALUE"""),0.0)</f>
        <v>0</v>
      </c>
      <c r="BL175" s="16">
        <f>IFERROR(__xludf.DUMMYFUNCTION("""COMPUTED_VALUE"""),5.0)</f>
        <v>5</v>
      </c>
      <c r="BM175" s="16">
        <f>IFERROR(__xludf.DUMMYFUNCTION("""COMPUTED_VALUE"""),1.0)</f>
        <v>1</v>
      </c>
      <c r="BN175" s="16">
        <f>IFERROR(__xludf.DUMMYFUNCTION("""COMPUTED_VALUE"""),0.0)</f>
        <v>0</v>
      </c>
      <c r="BO175" s="16">
        <f>IFERROR(__xludf.DUMMYFUNCTION("""COMPUTED_VALUE"""),1.0)</f>
        <v>1</v>
      </c>
      <c r="BP175" s="16">
        <f>IFERROR(__xludf.DUMMYFUNCTION("""COMPUTED_VALUE"""),0.0)</f>
        <v>0</v>
      </c>
      <c r="BQ175" s="16">
        <f>IFERROR(__xludf.DUMMYFUNCTION("""COMPUTED_VALUE"""),0.0)</f>
        <v>0</v>
      </c>
      <c r="BR175" s="16">
        <f>IFERROR(__xludf.DUMMYFUNCTION("""COMPUTED_VALUE"""),0.0)</f>
        <v>0</v>
      </c>
      <c r="BS175" s="16">
        <f>IFERROR(__xludf.DUMMYFUNCTION("""COMPUTED_VALUE"""),-3.0)</f>
        <v>-3</v>
      </c>
      <c r="BT175" s="16">
        <f>IFERROR(__xludf.DUMMYFUNCTION("""COMPUTED_VALUE"""),-3.0)</f>
        <v>-3</v>
      </c>
      <c r="BU175" s="16">
        <f>IFERROR(__xludf.DUMMYFUNCTION("""COMPUTED_VALUE"""),-6.0)</f>
        <v>-6</v>
      </c>
      <c r="BV175" s="16">
        <f>IFERROR(__xludf.DUMMYFUNCTION("""COMPUTED_VALUE"""),-6.0)</f>
        <v>-6</v>
      </c>
      <c r="BW175" s="16">
        <f>IFERROR(__xludf.DUMMYFUNCTION("""COMPUTED_VALUE"""),0.0)</f>
        <v>0</v>
      </c>
      <c r="BX175" s="16">
        <f>IFERROR(__xludf.DUMMYFUNCTION("""COMPUTED_VALUE"""),0.0)</f>
        <v>0</v>
      </c>
      <c r="BY175" s="16" t="str">
        <f>IFERROR(__xludf.DUMMYFUNCTION("""COMPUTED_VALUE"""),"R(1) C(1)")</f>
        <v>R(1) C(1)</v>
      </c>
      <c r="BZ175" s="16" t="str">
        <f>IFERROR(__xludf.DUMMYFUNCTION("""COMPUTED_VALUE"""),"R(1) C(1)")</f>
        <v>R(1) C(1)</v>
      </c>
      <c r="CA175" s="16" t="str">
        <f>IFERROR(__xludf.DUMMYFUNCTION("""COMPUTED_VALUE"""),"R(1)")</f>
        <v>R(1)</v>
      </c>
      <c r="CB175" s="16" t="str">
        <f>IFERROR(__xludf.DUMMYFUNCTION("""COMPUTED_VALUE"""),"C(1)")</f>
        <v>C(1)</v>
      </c>
      <c r="CC175" s="16"/>
      <c r="CD175" s="16"/>
      <c r="CE175" s="16">
        <f>IFERROR(__xludf.DUMMYFUNCTION("""COMPUTED_VALUE"""),1.0)</f>
        <v>1</v>
      </c>
      <c r="CF175" s="16">
        <f>IFERROR(__xludf.DUMMYFUNCTION("""COMPUTED_VALUE"""),1.0)</f>
        <v>1</v>
      </c>
      <c r="CG175" s="16" t="str">
        <f>IFERROR(__xludf.DUMMYFUNCTION("""COMPUTED_VALUE"""),"2-0")</f>
        <v>2-0</v>
      </c>
      <c r="CH175" s="16">
        <f>IFERROR(__xludf.DUMMYFUNCTION("""COMPUTED_VALUE"""),2.0)</f>
        <v>2</v>
      </c>
      <c r="CI175" s="16">
        <f>IFERROR(__xludf.DUMMYFUNCTION("""COMPUTED_VALUE"""),0.0)</f>
        <v>0</v>
      </c>
      <c r="CJ175" s="16">
        <f>IFERROR(__xludf.DUMMYFUNCTION("""COMPUTED_VALUE"""),0.0)</f>
        <v>0</v>
      </c>
      <c r="CK175" s="16">
        <f>IFERROR(__xludf.DUMMYFUNCTION("""COMPUTED_VALUE"""),0.0)</f>
        <v>0</v>
      </c>
      <c r="CL175" s="16" t="str">
        <f>IFERROR(__xludf.DUMMYFUNCTION("""COMPUTED_VALUE"""),"1WR-C")</f>
        <v>1WR-C</v>
      </c>
      <c r="CM175" s="16" t="str">
        <f>IFERROR(__xludf.DUMMYFUNCTION("""COMPUTED_VALUE"""),"E")</f>
        <v>E</v>
      </c>
      <c r="CN175" s="16">
        <f>IFERROR(__xludf.DUMMYFUNCTION("""COMPUTED_VALUE"""),10.0)</f>
        <v>10</v>
      </c>
      <c r="CO175" s="16" t="str">
        <f>IFERROR(__xludf.DUMMYFUNCTION("""COMPUTED_VALUE"""),"C")</f>
        <v>C</v>
      </c>
      <c r="CP175" s="16" t="str">
        <f>IFERROR(__xludf.DUMMYFUNCTION("""COMPUTED_VALUE"""),"2p50")</f>
        <v>2p50</v>
      </c>
      <c r="CQ175" s="16">
        <f>IFERROR(__xludf.DUMMYFUNCTION("""COMPUTED_VALUE"""),40.0)</f>
        <v>40</v>
      </c>
      <c r="CR175" s="16">
        <f>IFERROR(__xludf.DUMMYFUNCTION("""COMPUTED_VALUE"""),-8.0)</f>
        <v>-8</v>
      </c>
      <c r="CS175" s="16">
        <f>IFERROR(__xludf.DUMMYFUNCTION("""COMPUTED_VALUE"""),32.0)</f>
        <v>32</v>
      </c>
      <c r="CT175" s="16">
        <f>IFERROR(__xludf.DUMMYFUNCTION("""COMPUTED_VALUE"""),40.0)</f>
        <v>40</v>
      </c>
      <c r="CU175" s="16">
        <f>IFERROR(__xludf.DUMMYFUNCTION("""COMPUTED_VALUE"""),-8.0)</f>
        <v>-8</v>
      </c>
      <c r="CV175" s="179">
        <f>IFERROR(__xludf.DUMMYFUNCTION("""COMPUTED_VALUE"""),11.0)</f>
        <v>11</v>
      </c>
      <c r="CW175" s="179">
        <f>IFERROR(__xludf.DUMMYFUNCTION("""COMPUTED_VALUE"""),3.0)</f>
        <v>3</v>
      </c>
      <c r="CX175" s="179">
        <f>IFERROR(__xludf.DUMMYFUNCTION("""COMPUTED_VALUE"""),0.0)</f>
        <v>0</v>
      </c>
      <c r="CY175" s="16" t="str">
        <f>IFERROR(__xludf.DUMMYFUNCTION("""COMPUTED_VALUE"""),"RP")</f>
        <v>RP</v>
      </c>
      <c r="CZ175" s="16" t="str">
        <f>IFERROR(__xludf.DUMMYFUNCTION("""COMPUTED_VALUE"""),"CP")</f>
        <v>CP</v>
      </c>
      <c r="DA175" s="16"/>
      <c r="DB175" s="16"/>
      <c r="DC175" s="16"/>
      <c r="DD175" s="16"/>
      <c r="DE175" s="16"/>
      <c r="DF175" s="16"/>
      <c r="DG175" s="16"/>
      <c r="DH175" s="16"/>
      <c r="DI175" s="16"/>
      <c r="DJ175" s="16"/>
      <c r="DK175" s="16"/>
    </row>
    <row r="176">
      <c r="A176" s="16">
        <f>IFERROR(__xludf.DUMMYFUNCTION("""COMPUTED_VALUE"""),13004.0)</f>
        <v>13004</v>
      </c>
      <c r="B176" s="16" t="str">
        <f>IFERROR(__xludf.DUMMYFUNCTION("""COMPUTED_VALUE"""),"Jorge Alcala")</f>
        <v>Jorge Alcala</v>
      </c>
      <c r="C176" s="153">
        <f>IFERROR(__xludf.DUMMYFUNCTION("""COMPUTED_VALUE"""),1.15)</f>
        <v>1.15</v>
      </c>
      <c r="D176" s="16"/>
      <c r="E176" s="16" t="str">
        <f>IFERROR(__xludf.DUMMYFUNCTION("""COMPUTED_VALUE"""),"R")</f>
        <v>R</v>
      </c>
      <c r="F176" s="16">
        <f>IFERROR(__xludf.DUMMYFUNCTION("""COMPUTED_VALUE"""),58.0)</f>
        <v>58</v>
      </c>
      <c r="G176" s="16">
        <f>IFERROR(__xludf.DUMMYFUNCTION("""COMPUTED_VALUE"""),38.0)</f>
        <v>38</v>
      </c>
      <c r="H176" s="16">
        <f>IFERROR(__xludf.DUMMYFUNCTION("""COMPUTED_VALUE"""),23.0)</f>
        <v>23</v>
      </c>
      <c r="I176" s="16">
        <f>IFERROR(__xludf.DUMMYFUNCTION("""COMPUTED_VALUE"""),1.0)</f>
        <v>1</v>
      </c>
      <c r="J176" s="16">
        <f>IFERROR(__xludf.DUMMYFUNCTION("""COMPUTED_VALUE"""),-1.0)</f>
        <v>-1</v>
      </c>
      <c r="K176" s="16">
        <f>IFERROR(__xludf.DUMMYFUNCTION("""COMPUTED_VALUE"""),3.0)</f>
        <v>3</v>
      </c>
      <c r="L176" s="16">
        <f>IFERROR(__xludf.DUMMYFUNCTION("""COMPUTED_VALUE"""),-3.0)</f>
        <v>-3</v>
      </c>
      <c r="M176" s="16">
        <f>IFERROR(__xludf.DUMMYFUNCTION("""COMPUTED_VALUE"""),9.0)</f>
        <v>9</v>
      </c>
      <c r="N176" s="16">
        <f>IFERROR(__xludf.DUMMYFUNCTION("""COMPUTED_VALUE"""),10.0)</f>
        <v>10</v>
      </c>
      <c r="O176" s="16">
        <f>IFERROR(__xludf.DUMMYFUNCTION("""COMPUTED_VALUE"""),0.0)</f>
        <v>0</v>
      </c>
      <c r="P176" s="16">
        <f>IFERROR(__xludf.DUMMYFUNCTION("""COMPUTED_VALUE"""),-1.0)</f>
        <v>-1</v>
      </c>
      <c r="Q176" s="16">
        <f>IFERROR(__xludf.DUMMYFUNCTION("""COMPUTED_VALUE"""),0.0)</f>
        <v>0</v>
      </c>
      <c r="R176" s="16">
        <f>IFERROR(__xludf.DUMMYFUNCTION("""COMPUTED_VALUE"""),-1.0)</f>
        <v>-1</v>
      </c>
      <c r="S176" s="16">
        <f>IFERROR(__xludf.DUMMYFUNCTION("""COMPUTED_VALUE"""),4.4)</f>
        <v>4.4</v>
      </c>
      <c r="T176" s="16">
        <f>IFERROR(__xludf.DUMMYFUNCTION("""COMPUTED_VALUE"""),7.0)</f>
        <v>7</v>
      </c>
      <c r="U176" s="16">
        <f>IFERROR(__xludf.DUMMYFUNCTION("""COMPUTED_VALUE"""),2.0)</f>
        <v>2</v>
      </c>
      <c r="V176" s="16">
        <f>IFERROR(__xludf.DUMMYFUNCTION("""COMPUTED_VALUE"""),2.0)</f>
        <v>2</v>
      </c>
      <c r="W176" s="16">
        <f>IFERROR(__xludf.DUMMYFUNCTION("""COMPUTED_VALUE"""),4.0)</f>
        <v>4</v>
      </c>
      <c r="X176" s="16">
        <f>IFERROR(__xludf.DUMMYFUNCTION("""COMPUTED_VALUE"""),4.0)</f>
        <v>4</v>
      </c>
      <c r="Y176" s="16">
        <f>IFERROR(__xludf.DUMMYFUNCTION("""COMPUTED_VALUE"""),13.4)</f>
        <v>13.4</v>
      </c>
      <c r="Z176" s="16">
        <f>IFERROR(__xludf.DUMMYFUNCTION("""COMPUTED_VALUE"""),17.0)</f>
        <v>17</v>
      </c>
      <c r="AA176" s="16">
        <f>IFERROR(__xludf.DUMMYFUNCTION("""COMPUTED_VALUE"""),2.0)</f>
        <v>2</v>
      </c>
      <c r="AB176" s="16">
        <f>IFERROR(__xludf.DUMMYFUNCTION("""COMPUTED_VALUE"""),1.0)</f>
        <v>1</v>
      </c>
      <c r="AC176" s="16">
        <f>IFERROR(__xludf.DUMMYFUNCTION("""COMPUTED_VALUE"""),10.0)</f>
        <v>10</v>
      </c>
      <c r="AD176" s="16">
        <f>IFERROR(__xludf.DUMMYFUNCTION("""COMPUTED_VALUE"""),5.0)</f>
        <v>5</v>
      </c>
      <c r="AE176" s="16">
        <f>IFERROR(__xludf.DUMMYFUNCTION("""COMPUTED_VALUE"""),14.3)</f>
        <v>14.3</v>
      </c>
      <c r="AF176" s="16">
        <f>IFERROR(__xludf.DUMMYFUNCTION("""COMPUTED_VALUE"""),19.9)</f>
        <v>19.9</v>
      </c>
      <c r="AG176" s="16">
        <f>IFERROR(__xludf.DUMMYFUNCTION("""COMPUTED_VALUE"""),1.0)</f>
        <v>1</v>
      </c>
      <c r="AH176" s="16">
        <f>IFERROR(__xludf.DUMMYFUNCTION("""COMPUTED_VALUE"""),1.0)</f>
        <v>1</v>
      </c>
      <c r="AI176" s="16">
        <f>IFERROR(__xludf.DUMMYFUNCTION("""COMPUTED_VALUE"""),2.0)</f>
        <v>2</v>
      </c>
      <c r="AJ176" s="16">
        <f>IFERROR(__xludf.DUMMYFUNCTION("""COMPUTED_VALUE"""),2.0)</f>
        <v>2</v>
      </c>
      <c r="AK176" s="16">
        <f>IFERROR(__xludf.DUMMYFUNCTION("""COMPUTED_VALUE"""),1.6000000000000005)</f>
        <v>1.6</v>
      </c>
      <c r="AL176" s="16">
        <f>IFERROR(__xludf.DUMMYFUNCTION("""COMPUTED_VALUE"""),4.8)</f>
        <v>4.8</v>
      </c>
      <c r="AM176" s="16">
        <f>IFERROR(__xludf.DUMMYFUNCTION("""COMPUTED_VALUE"""),2.0)</f>
        <v>2</v>
      </c>
      <c r="AN176" s="16">
        <f>IFERROR(__xludf.DUMMYFUNCTION("""COMPUTED_VALUE"""),2.0)</f>
        <v>2</v>
      </c>
      <c r="AO176" s="16">
        <f>IFERROR(__xludf.DUMMYFUNCTION("""COMPUTED_VALUE"""),2.0)</f>
        <v>2</v>
      </c>
      <c r="AP176" s="16">
        <f>IFERROR(__xludf.DUMMYFUNCTION("""COMPUTED_VALUE"""),2.0)</f>
        <v>2</v>
      </c>
      <c r="AQ176" s="16">
        <f>IFERROR(__xludf.DUMMYFUNCTION("""COMPUTED_VALUE"""),3.1000000000000014)</f>
        <v>3.1</v>
      </c>
      <c r="AR176" s="16">
        <f>IFERROR(__xludf.DUMMYFUNCTION("""COMPUTED_VALUE"""),11.099999999999998)</f>
        <v>11.1</v>
      </c>
      <c r="AS176" s="16">
        <f>IFERROR(__xludf.DUMMYFUNCTION("""COMPUTED_VALUE"""),2.0)</f>
        <v>2</v>
      </c>
      <c r="AT176" s="16">
        <f>IFERROR(__xludf.DUMMYFUNCTION("""COMPUTED_VALUE"""),1.0)</f>
        <v>1</v>
      </c>
      <c r="AU176" s="16">
        <f>IFERROR(__xludf.DUMMYFUNCTION("""COMPUTED_VALUE"""),4.0)</f>
        <v>4</v>
      </c>
      <c r="AV176" s="16">
        <f>IFERROR(__xludf.DUMMYFUNCTION("""COMPUTED_VALUE"""),2.0)</f>
        <v>2</v>
      </c>
      <c r="AW176" s="16">
        <f>IFERROR(__xludf.DUMMYFUNCTION("""COMPUTED_VALUE"""),2.8)</f>
        <v>2.8</v>
      </c>
      <c r="AX176" s="16">
        <f>IFERROR(__xludf.DUMMYFUNCTION("""COMPUTED_VALUE"""),2.2)</f>
        <v>2.2</v>
      </c>
      <c r="AY176" s="16">
        <f>IFERROR(__xludf.DUMMYFUNCTION("""COMPUTED_VALUE"""),-1.0)</f>
        <v>-1</v>
      </c>
      <c r="AZ176" s="16">
        <f>IFERROR(__xludf.DUMMYFUNCTION("""COMPUTED_VALUE"""),0.0)</f>
        <v>0</v>
      </c>
      <c r="BA176" s="16">
        <f>IFERROR(__xludf.DUMMYFUNCTION("""COMPUTED_VALUE"""),-5.0)</f>
        <v>-5</v>
      </c>
      <c r="BB176" s="16">
        <f>IFERROR(__xludf.DUMMYFUNCTION("""COMPUTED_VALUE"""),0.0)</f>
        <v>0</v>
      </c>
      <c r="BC176" s="16"/>
      <c r="BD176" s="16"/>
      <c r="BE176" s="16">
        <f>IFERROR(__xludf.DUMMYFUNCTION("""COMPUTED_VALUE"""),4.0)</f>
        <v>4</v>
      </c>
      <c r="BF176" s="16">
        <f>IFERROR(__xludf.DUMMYFUNCTION("""COMPUTED_VALUE"""),4.0)</f>
        <v>4</v>
      </c>
      <c r="BG176" s="16">
        <f>IFERROR(__xludf.DUMMYFUNCTION("""COMPUTED_VALUE"""),-1.0)</f>
        <v>-1</v>
      </c>
      <c r="BH176" s="16">
        <f>IFERROR(__xludf.DUMMYFUNCTION("""COMPUTED_VALUE"""),-1.0)</f>
        <v>-1</v>
      </c>
      <c r="BI176" s="16">
        <f>IFERROR(__xludf.DUMMYFUNCTION("""COMPUTED_VALUE"""),-2.0)</f>
        <v>-2</v>
      </c>
      <c r="BJ176" s="16">
        <f>IFERROR(__xludf.DUMMYFUNCTION("""COMPUTED_VALUE"""),-2.0)</f>
        <v>-2</v>
      </c>
      <c r="BK176" s="16">
        <f>IFERROR(__xludf.DUMMYFUNCTION("""COMPUTED_VALUE"""),0.0)</f>
        <v>0</v>
      </c>
      <c r="BL176" s="16">
        <f>IFERROR(__xludf.DUMMYFUNCTION("""COMPUTED_VALUE"""),0.0)</f>
        <v>0</v>
      </c>
      <c r="BM176" s="16">
        <f>IFERROR(__xludf.DUMMYFUNCTION("""COMPUTED_VALUE"""),1.0)</f>
        <v>1</v>
      </c>
      <c r="BN176" s="16">
        <f>IFERROR(__xludf.DUMMYFUNCTION("""COMPUTED_VALUE"""),1.0)</f>
        <v>1</v>
      </c>
      <c r="BO176" s="16">
        <f>IFERROR(__xludf.DUMMYFUNCTION("""COMPUTED_VALUE"""),1.0)</f>
        <v>1</v>
      </c>
      <c r="BP176" s="16">
        <f>IFERROR(__xludf.DUMMYFUNCTION("""COMPUTED_VALUE"""),1.0)</f>
        <v>1</v>
      </c>
      <c r="BQ176" s="16">
        <f>IFERROR(__xludf.DUMMYFUNCTION("""COMPUTED_VALUE"""),0.0)</f>
        <v>0</v>
      </c>
      <c r="BR176" s="16">
        <f>IFERROR(__xludf.DUMMYFUNCTION("""COMPUTED_VALUE"""),0.0)</f>
        <v>0</v>
      </c>
      <c r="BS176" s="16">
        <f>IFERROR(__xludf.DUMMYFUNCTION("""COMPUTED_VALUE"""),-3.0)</f>
        <v>-3</v>
      </c>
      <c r="BT176" s="16">
        <f>IFERROR(__xludf.DUMMYFUNCTION("""COMPUTED_VALUE"""),-3.0)</f>
        <v>-3</v>
      </c>
      <c r="BU176" s="16">
        <f>IFERROR(__xludf.DUMMYFUNCTION("""COMPUTED_VALUE"""),-6.0)</f>
        <v>-6</v>
      </c>
      <c r="BV176" s="16">
        <f>IFERROR(__xludf.DUMMYFUNCTION("""COMPUTED_VALUE"""),-6.0)</f>
        <v>-6</v>
      </c>
      <c r="BW176" s="16">
        <f>IFERROR(__xludf.DUMMYFUNCTION("""COMPUTED_VALUE"""),5.0)</f>
        <v>5</v>
      </c>
      <c r="BX176" s="16">
        <f>IFERROR(__xludf.DUMMYFUNCTION("""COMPUTED_VALUE"""),5.0)</f>
        <v>5</v>
      </c>
      <c r="BY176" s="16" t="str">
        <f>IFERROR(__xludf.DUMMYFUNCTION("""COMPUTED_VALUE"""),"R(1)")</f>
        <v>R(1)</v>
      </c>
      <c r="BZ176" s="16" t="str">
        <f>IFERROR(__xludf.DUMMYFUNCTION("""COMPUTED_VALUE"""),"R(1)")</f>
        <v>R(1)</v>
      </c>
      <c r="CA176" s="16" t="str">
        <f>IFERROR(__xludf.DUMMYFUNCTION("""COMPUTED_VALUE"""),"R(1)")</f>
        <v>R(1)</v>
      </c>
      <c r="CB176" s="16"/>
      <c r="CC176" s="16"/>
      <c r="CD176" s="16"/>
      <c r="CE176" s="16">
        <f>IFERROR(__xludf.DUMMYFUNCTION("""COMPUTED_VALUE"""),1.0)</f>
        <v>1</v>
      </c>
      <c r="CF176" s="16"/>
      <c r="CG176" s="16" t="str">
        <f>IFERROR(__xludf.DUMMYFUNCTION("""COMPUTED_VALUE"""),"4-0")</f>
        <v>4-0</v>
      </c>
      <c r="CH176" s="16">
        <f>IFERROR(__xludf.DUMMYFUNCTION("""COMPUTED_VALUE"""),4.0)</f>
        <v>4</v>
      </c>
      <c r="CI176" s="16">
        <f>IFERROR(__xludf.DUMMYFUNCTION("""COMPUTED_VALUE"""),0.0)</f>
        <v>0</v>
      </c>
      <c r="CJ176" s="16">
        <f>IFERROR(__xludf.DUMMYFUNCTION("""COMPUTED_VALUE"""),0.0)</f>
        <v>0</v>
      </c>
      <c r="CK176" s="16">
        <f>IFERROR(__xludf.DUMMYFUNCTION("""COMPUTED_VALUE"""),16.0)</f>
        <v>16</v>
      </c>
      <c r="CL176" s="16" t="str">
        <f>IFERROR(__xludf.DUMMYFUNCTION("""COMPUTED_VALUE"""),"1WR-C")</f>
        <v>1WR-C</v>
      </c>
      <c r="CM176" s="16" t="str">
        <f>IFERROR(__xludf.DUMMYFUNCTION("""COMPUTED_VALUE"""),"E")</f>
        <v>E</v>
      </c>
      <c r="CN176" s="16">
        <f>IFERROR(__xludf.DUMMYFUNCTION("""COMPUTED_VALUE"""),10.0)</f>
        <v>10</v>
      </c>
      <c r="CO176" s="16" t="str">
        <f>IFERROR(__xludf.DUMMYFUNCTION("""COMPUTED_VALUE"""),"C")</f>
        <v>C</v>
      </c>
      <c r="CP176" s="16" t="str">
        <f>IFERROR(__xludf.DUMMYFUNCTION("""COMPUTED_VALUE"""),"1p50")</f>
        <v>1p50</v>
      </c>
      <c r="CQ176" s="16">
        <f>IFERROR(__xludf.DUMMYFUNCTION("""COMPUTED_VALUE"""),13.0)</f>
        <v>13</v>
      </c>
      <c r="CR176" s="16">
        <f>IFERROR(__xludf.DUMMYFUNCTION("""COMPUTED_VALUE"""),4.0)</f>
        <v>4</v>
      </c>
      <c r="CS176" s="16">
        <f>IFERROR(__xludf.DUMMYFUNCTION("""COMPUTED_VALUE"""),17.0)</f>
        <v>17</v>
      </c>
      <c r="CT176" s="16">
        <f>IFERROR(__xludf.DUMMYFUNCTION("""COMPUTED_VALUE"""),13.0)</f>
        <v>13</v>
      </c>
      <c r="CU176" s="16">
        <f>IFERROR(__xludf.DUMMYFUNCTION("""COMPUTED_VALUE"""),4.0)</f>
        <v>4</v>
      </c>
      <c r="CV176" s="179">
        <f>IFERROR(__xludf.DUMMYFUNCTION("""COMPUTED_VALUE"""),11.0)</f>
        <v>11</v>
      </c>
      <c r="CW176" s="179">
        <f>IFERROR(__xludf.DUMMYFUNCTION("""COMPUTED_VALUE"""),4.0)</f>
        <v>4</v>
      </c>
      <c r="CX176" s="179">
        <f>IFERROR(__xludf.DUMMYFUNCTION("""COMPUTED_VALUE"""),0.0)</f>
        <v>0</v>
      </c>
      <c r="CY176" s="16" t="str">
        <f>IFERROR(__xludf.DUMMYFUNCTION("""COMPUTED_VALUE"""),"RP")</f>
        <v>RP</v>
      </c>
      <c r="CZ176" s="16"/>
      <c r="DA176" s="16"/>
      <c r="DB176" s="16"/>
      <c r="DC176" s="16"/>
      <c r="DD176" s="16"/>
      <c r="DE176" s="16"/>
      <c r="DF176" s="16"/>
      <c r="DG176" s="16"/>
      <c r="DH176" s="16"/>
      <c r="DI176" s="16"/>
      <c r="DJ176" s="16"/>
      <c r="DK176" s="16"/>
    </row>
    <row r="177">
      <c r="A177" s="16">
        <f>IFERROR(__xludf.DUMMYFUNCTION("""COMPUTED_VALUE"""),12970.0)</f>
        <v>12970</v>
      </c>
      <c r="B177" s="16" t="str">
        <f>IFERROR(__xludf.DUMMYFUNCTION("""COMPUTED_VALUE"""),"Joe Ryan")</f>
        <v>Joe Ryan</v>
      </c>
      <c r="C177" s="153">
        <f>IFERROR(__xludf.DUMMYFUNCTION("""COMPUTED_VALUE"""),1.53)</f>
        <v>1.53</v>
      </c>
      <c r="D177" s="16"/>
      <c r="E177" s="16" t="str">
        <f>IFERROR(__xludf.DUMMYFUNCTION("""COMPUTED_VALUE"""),"R")</f>
        <v>R</v>
      </c>
      <c r="F177" s="16">
        <f>IFERROR(__xludf.DUMMYFUNCTION("""COMPUTED_VALUE"""),135.0)</f>
        <v>135</v>
      </c>
      <c r="G177" s="16">
        <f>IFERROR(__xludf.DUMMYFUNCTION("""COMPUTED_VALUE"""),28.0)</f>
        <v>28</v>
      </c>
      <c r="H177" s="16">
        <f>IFERROR(__xludf.DUMMYFUNCTION("""COMPUTED_VALUE"""),41.0)</f>
        <v>41</v>
      </c>
      <c r="I177" s="16">
        <f>IFERROR(__xludf.DUMMYFUNCTION("""COMPUTED_VALUE"""),0.0)</f>
        <v>0</v>
      </c>
      <c r="J177" s="16">
        <f>IFERROR(__xludf.DUMMYFUNCTION("""COMPUTED_VALUE"""),2.0)</f>
        <v>2</v>
      </c>
      <c r="K177" s="16">
        <f>IFERROR(__xludf.DUMMYFUNCTION("""COMPUTED_VALUE"""),0.0)</f>
        <v>0</v>
      </c>
      <c r="L177" s="16">
        <f>IFERROR(__xludf.DUMMYFUNCTION("""COMPUTED_VALUE"""),6.0)</f>
        <v>6</v>
      </c>
      <c r="M177" s="16">
        <f>IFERROR(__xludf.DUMMYFUNCTION("""COMPUTED_VALUE"""),0.0)</f>
        <v>0</v>
      </c>
      <c r="N177" s="16">
        <f>IFERROR(__xludf.DUMMYFUNCTION("""COMPUTED_VALUE"""),2.0)</f>
        <v>2</v>
      </c>
      <c r="O177" s="16">
        <f>IFERROR(__xludf.DUMMYFUNCTION("""COMPUTED_VALUE"""),3.0)</f>
        <v>3</v>
      </c>
      <c r="P177" s="16">
        <f>IFERROR(__xludf.DUMMYFUNCTION("""COMPUTED_VALUE"""),3.0)</f>
        <v>3</v>
      </c>
      <c r="Q177" s="16">
        <f>IFERROR(__xludf.DUMMYFUNCTION("""COMPUTED_VALUE"""),3.0)</f>
        <v>3</v>
      </c>
      <c r="R177" s="16">
        <f>IFERROR(__xludf.DUMMYFUNCTION("""COMPUTED_VALUE"""),3.0)</f>
        <v>3</v>
      </c>
      <c r="S177" s="16">
        <f>IFERROR(__xludf.DUMMYFUNCTION("""COMPUTED_VALUE"""),9.3)</f>
        <v>9.3</v>
      </c>
      <c r="T177" s="16">
        <f>IFERROR(__xludf.DUMMYFUNCTION("""COMPUTED_VALUE"""),14.6)</f>
        <v>14.6</v>
      </c>
      <c r="U177" s="16">
        <f>IFERROR(__xludf.DUMMYFUNCTION("""COMPUTED_VALUE"""),1.0)</f>
        <v>1</v>
      </c>
      <c r="V177" s="16">
        <f>IFERROR(__xludf.DUMMYFUNCTION("""COMPUTED_VALUE"""),0.0)</f>
        <v>0</v>
      </c>
      <c r="W177" s="16">
        <f>IFERROR(__xludf.DUMMYFUNCTION("""COMPUTED_VALUE"""),2.0)</f>
        <v>2</v>
      </c>
      <c r="X177" s="16">
        <f>IFERROR(__xludf.DUMMYFUNCTION("""COMPUTED_VALUE"""),0.0)</f>
        <v>0</v>
      </c>
      <c r="Y177" s="16">
        <f>IFERROR(__xludf.DUMMYFUNCTION("""COMPUTED_VALUE"""),9.3)</f>
        <v>9.3</v>
      </c>
      <c r="Z177" s="16">
        <f>IFERROR(__xludf.DUMMYFUNCTION("""COMPUTED_VALUE"""),16.6)</f>
        <v>16.6</v>
      </c>
      <c r="AA177" s="16">
        <f>IFERROR(__xludf.DUMMYFUNCTION("""COMPUTED_VALUE"""),2.0)</f>
        <v>2</v>
      </c>
      <c r="AB177" s="16">
        <f>IFERROR(__xludf.DUMMYFUNCTION("""COMPUTED_VALUE"""),1.0)</f>
        <v>1</v>
      </c>
      <c r="AC177" s="16">
        <f>IFERROR(__xludf.DUMMYFUNCTION("""COMPUTED_VALUE"""),10.0)</f>
        <v>10</v>
      </c>
      <c r="AD177" s="16">
        <f>IFERROR(__xludf.DUMMYFUNCTION("""COMPUTED_VALUE"""),5.0)</f>
        <v>5</v>
      </c>
      <c r="AE177" s="16">
        <f>IFERROR(__xludf.DUMMYFUNCTION("""COMPUTED_VALUE"""),23.3)</f>
        <v>23.3</v>
      </c>
      <c r="AF177" s="16">
        <f>IFERROR(__xludf.DUMMYFUNCTION("""COMPUTED_VALUE"""),35.8)</f>
        <v>35.8</v>
      </c>
      <c r="AG177" s="16">
        <f>IFERROR(__xludf.DUMMYFUNCTION("""COMPUTED_VALUE"""),0.0)</f>
        <v>0</v>
      </c>
      <c r="AH177" s="16">
        <f>IFERROR(__xludf.DUMMYFUNCTION("""COMPUTED_VALUE"""),-1.0)</f>
        <v>-1</v>
      </c>
      <c r="AI177" s="16">
        <f>IFERROR(__xludf.DUMMYFUNCTION("""COMPUTED_VALUE"""),0.0)</f>
        <v>0</v>
      </c>
      <c r="AJ177" s="16">
        <f>IFERROR(__xludf.DUMMYFUNCTION("""COMPUTED_VALUE"""),-2.0)</f>
        <v>-2</v>
      </c>
      <c r="AK177" s="16">
        <f>IFERROR(__xludf.DUMMYFUNCTION("""COMPUTED_VALUE"""),7.1000000000000005)</f>
        <v>7.1</v>
      </c>
      <c r="AL177" s="16">
        <f>IFERROR(__xludf.DUMMYFUNCTION("""COMPUTED_VALUE"""),12.0)</f>
        <v>12</v>
      </c>
      <c r="AM177" s="16">
        <f>IFERROR(__xludf.DUMMYFUNCTION("""COMPUTED_VALUE"""),1.0)</f>
        <v>1</v>
      </c>
      <c r="AN177" s="16">
        <f>IFERROR(__xludf.DUMMYFUNCTION("""COMPUTED_VALUE"""),0.0)</f>
        <v>0</v>
      </c>
      <c r="AO177" s="16">
        <f>IFERROR(__xludf.DUMMYFUNCTION("""COMPUTED_VALUE"""),1.0)</f>
        <v>1</v>
      </c>
      <c r="AP177" s="16">
        <f>IFERROR(__xludf.DUMMYFUNCTION("""COMPUTED_VALUE"""),0.0)</f>
        <v>0</v>
      </c>
      <c r="AQ177" s="16">
        <f>IFERROR(__xludf.DUMMYFUNCTION("""COMPUTED_VALUE"""),14.5)</f>
        <v>14.5</v>
      </c>
      <c r="AR177" s="16">
        <f>IFERROR(__xludf.DUMMYFUNCTION("""COMPUTED_VALUE"""),25.4)</f>
        <v>25.4</v>
      </c>
      <c r="AS177" s="16">
        <f>IFERROR(__xludf.DUMMYFUNCTION("""COMPUTED_VALUE"""),1.0)</f>
        <v>1</v>
      </c>
      <c r="AT177" s="16">
        <f>IFERROR(__xludf.DUMMYFUNCTION("""COMPUTED_VALUE"""),-1.0)</f>
        <v>-1</v>
      </c>
      <c r="AU177" s="16">
        <f>IFERROR(__xludf.DUMMYFUNCTION("""COMPUTED_VALUE"""),2.0)</f>
        <v>2</v>
      </c>
      <c r="AV177" s="16">
        <f>IFERROR(__xludf.DUMMYFUNCTION("""COMPUTED_VALUE"""),-2.0)</f>
        <v>-2</v>
      </c>
      <c r="AW177" s="16">
        <f>IFERROR(__xludf.DUMMYFUNCTION("""COMPUTED_VALUE"""),2.2)</f>
        <v>2.2</v>
      </c>
      <c r="AX177" s="16">
        <f>IFERROR(__xludf.DUMMYFUNCTION("""COMPUTED_VALUE"""),2.6)</f>
        <v>2.6</v>
      </c>
      <c r="AY177" s="16">
        <f>IFERROR(__xludf.DUMMYFUNCTION("""COMPUTED_VALUE"""),0.0)</f>
        <v>0</v>
      </c>
      <c r="AZ177" s="16">
        <f>IFERROR(__xludf.DUMMYFUNCTION("""COMPUTED_VALUE"""),-1.0)</f>
        <v>-1</v>
      </c>
      <c r="BA177" s="16">
        <f>IFERROR(__xludf.DUMMYFUNCTION("""COMPUTED_VALUE"""),0.0)</f>
        <v>0</v>
      </c>
      <c r="BB177" s="16">
        <f>IFERROR(__xludf.DUMMYFUNCTION("""COMPUTED_VALUE"""),-5.0)</f>
        <v>-5</v>
      </c>
      <c r="BC177" s="16">
        <f>IFERROR(__xludf.DUMMYFUNCTION("""COMPUTED_VALUE"""),4.0)</f>
        <v>4</v>
      </c>
      <c r="BD177" s="16">
        <f>IFERROR(__xludf.DUMMYFUNCTION("""COMPUTED_VALUE"""),5.0)</f>
        <v>5</v>
      </c>
      <c r="BE177" s="16">
        <f>IFERROR(__xludf.DUMMYFUNCTION("""COMPUTED_VALUE"""),4.0)</f>
        <v>4</v>
      </c>
      <c r="BF177" s="16">
        <f>IFERROR(__xludf.DUMMYFUNCTION("""COMPUTED_VALUE"""),5.0)</f>
        <v>5</v>
      </c>
      <c r="BG177" s="16">
        <f>IFERROR(__xludf.DUMMYFUNCTION("""COMPUTED_VALUE"""),-1.0)</f>
        <v>-1</v>
      </c>
      <c r="BH177" s="16">
        <f>IFERROR(__xludf.DUMMYFUNCTION("""COMPUTED_VALUE"""),-2.0)</f>
        <v>-2</v>
      </c>
      <c r="BI177" s="16">
        <f>IFERROR(__xludf.DUMMYFUNCTION("""COMPUTED_VALUE"""),-2.0)</f>
        <v>-2</v>
      </c>
      <c r="BJ177" s="16">
        <f>IFERROR(__xludf.DUMMYFUNCTION("""COMPUTED_VALUE"""),-4.0)</f>
        <v>-4</v>
      </c>
      <c r="BK177" s="16">
        <f>IFERROR(__xludf.DUMMYFUNCTION("""COMPUTED_VALUE"""),5.0)</f>
        <v>5</v>
      </c>
      <c r="BL177" s="16">
        <f>IFERROR(__xludf.DUMMYFUNCTION("""COMPUTED_VALUE"""),5.0)</f>
        <v>5</v>
      </c>
      <c r="BM177" s="16">
        <f>IFERROR(__xludf.DUMMYFUNCTION("""COMPUTED_VALUE"""),0.0)</f>
        <v>0</v>
      </c>
      <c r="BN177" s="16">
        <f>IFERROR(__xludf.DUMMYFUNCTION("""COMPUTED_VALUE"""),0.0)</f>
        <v>0</v>
      </c>
      <c r="BO177" s="16">
        <f>IFERROR(__xludf.DUMMYFUNCTION("""COMPUTED_VALUE"""),0.0)</f>
        <v>0</v>
      </c>
      <c r="BP177" s="16">
        <f>IFERROR(__xludf.DUMMYFUNCTION("""COMPUTED_VALUE"""),0.0)</f>
        <v>0</v>
      </c>
      <c r="BQ177" s="16">
        <f>IFERROR(__xludf.DUMMYFUNCTION("""COMPUTED_VALUE"""),6.0)</f>
        <v>6</v>
      </c>
      <c r="BR177" s="16">
        <f>IFERROR(__xludf.DUMMYFUNCTION("""COMPUTED_VALUE"""),5.0)</f>
        <v>5</v>
      </c>
      <c r="BS177" s="16">
        <f>IFERROR(__xludf.DUMMYFUNCTION("""COMPUTED_VALUE"""),1.0)</f>
        <v>1</v>
      </c>
      <c r="BT177" s="16">
        <f>IFERROR(__xludf.DUMMYFUNCTION("""COMPUTED_VALUE"""),0.0)</f>
        <v>0</v>
      </c>
      <c r="BU177" s="16">
        <f>IFERROR(__xludf.DUMMYFUNCTION("""COMPUTED_VALUE"""),2.0)</f>
        <v>2</v>
      </c>
      <c r="BV177" s="16">
        <f>IFERROR(__xludf.DUMMYFUNCTION("""COMPUTED_VALUE"""),0.0)</f>
        <v>0</v>
      </c>
      <c r="BW177" s="16">
        <f>IFERROR(__xludf.DUMMYFUNCTION("""COMPUTED_VALUE"""),0.0)</f>
        <v>0</v>
      </c>
      <c r="BX177" s="16">
        <f>IFERROR(__xludf.DUMMYFUNCTION("""COMPUTED_VALUE"""),0.0)</f>
        <v>0</v>
      </c>
      <c r="BY177" s="16" t="str">
        <f>IFERROR(__xludf.DUMMYFUNCTION("""COMPUTED_VALUE"""),"S(6)")</f>
        <v>S(6)</v>
      </c>
      <c r="BZ177" s="16" t="str">
        <f>IFERROR(__xludf.DUMMYFUNCTION("""COMPUTED_VALUE"""),"S(6)")</f>
        <v>S(6)</v>
      </c>
      <c r="CA177" s="16" t="str">
        <f>IFERROR(__xludf.DUMMYFUNCTION("""COMPUTED_VALUE"""),"S(6)")</f>
        <v>S(6)</v>
      </c>
      <c r="CB177" s="16"/>
      <c r="CC177" s="16"/>
      <c r="CD177" s="16">
        <f>IFERROR(__xludf.DUMMYFUNCTION("""COMPUTED_VALUE"""),6.0)</f>
        <v>6</v>
      </c>
      <c r="CE177" s="16"/>
      <c r="CF177" s="16"/>
      <c r="CG177" s="16" t="str">
        <f>IFERROR(__xludf.DUMMYFUNCTION("""COMPUTED_VALUE"""),"4-21")</f>
        <v>4-21</v>
      </c>
      <c r="CH177" s="16">
        <f>IFERROR(__xludf.DUMMYFUNCTION("""COMPUTED_VALUE"""),4.0)</f>
        <v>4</v>
      </c>
      <c r="CI177" s="16">
        <f>IFERROR(__xludf.DUMMYFUNCTION("""COMPUTED_VALUE"""),21.0)</f>
        <v>21</v>
      </c>
      <c r="CJ177" s="16">
        <f>IFERROR(__xludf.DUMMYFUNCTION("""COMPUTED_VALUE"""),3.0)</f>
        <v>3</v>
      </c>
      <c r="CK177" s="16">
        <f>IFERROR(__xludf.DUMMYFUNCTION("""COMPUTED_VALUE"""),3.0)</f>
        <v>3</v>
      </c>
      <c r="CL177" s="16" t="str">
        <f>IFERROR(__xludf.DUMMYFUNCTION("""COMPUTED_VALUE"""),"1WR-C")</f>
        <v>1WR-C</v>
      </c>
      <c r="CM177" s="16" t="str">
        <f>IFERROR(__xludf.DUMMYFUNCTION("""COMPUTED_VALUE"""),"E")</f>
        <v>E</v>
      </c>
      <c r="CN177" s="16">
        <f>IFERROR(__xludf.DUMMYFUNCTION("""COMPUTED_VALUE"""),10.0)</f>
        <v>10</v>
      </c>
      <c r="CO177" s="16" t="str">
        <f>IFERROR(__xludf.DUMMYFUNCTION("""COMPUTED_VALUE"""),"C")</f>
        <v>C</v>
      </c>
      <c r="CP177" s="16" t="str">
        <f>IFERROR(__xludf.DUMMYFUNCTION("""COMPUTED_VALUE"""),"2p60")</f>
        <v>2p60</v>
      </c>
      <c r="CQ177" s="16">
        <f>IFERROR(__xludf.DUMMYFUNCTION("""COMPUTED_VALUE"""),18.0)</f>
        <v>18</v>
      </c>
      <c r="CR177" s="16">
        <f>IFERROR(__xludf.DUMMYFUNCTION("""COMPUTED_VALUE"""),1.0)</f>
        <v>1</v>
      </c>
      <c r="CS177" s="16">
        <f>IFERROR(__xludf.DUMMYFUNCTION("""COMPUTED_VALUE"""),19.0)</f>
        <v>19</v>
      </c>
      <c r="CT177" s="16">
        <f>IFERROR(__xludf.DUMMYFUNCTION("""COMPUTED_VALUE"""),18.0)</f>
        <v>18</v>
      </c>
      <c r="CU177" s="16">
        <f>IFERROR(__xludf.DUMMYFUNCTION("""COMPUTED_VALUE"""),1.0)</f>
        <v>1</v>
      </c>
      <c r="CV177" s="179">
        <f>IFERROR(__xludf.DUMMYFUNCTION("""COMPUTED_VALUE"""),10.666666666666668)</f>
        <v>10.66666667</v>
      </c>
      <c r="CW177" s="179">
        <f>IFERROR(__xludf.DUMMYFUNCTION("""COMPUTED_VALUE"""),3.0)</f>
        <v>3</v>
      </c>
      <c r="CX177" s="179">
        <f>IFERROR(__xludf.DUMMYFUNCTION("""COMPUTED_VALUE"""),1.0)</f>
        <v>1</v>
      </c>
      <c r="CY177" s="16" t="str">
        <f>IFERROR(__xludf.DUMMYFUNCTION("""COMPUTED_VALUE"""),"SP")</f>
        <v>SP</v>
      </c>
      <c r="CZ177" s="16"/>
      <c r="DA177" s="16"/>
      <c r="DB177" s="16"/>
      <c r="DC177" s="16"/>
      <c r="DD177" s="16"/>
      <c r="DE177" s="16"/>
      <c r="DF177" s="16"/>
      <c r="DG177" s="16"/>
      <c r="DH177" s="16"/>
      <c r="DI177" s="16"/>
      <c r="DJ177" s="16"/>
      <c r="DK177" s="16"/>
    </row>
    <row r="178">
      <c r="A178" s="16">
        <f>IFERROR(__xludf.DUMMYFUNCTION("""COMPUTED_VALUE"""),13396.0)</f>
        <v>13396</v>
      </c>
      <c r="B178" s="16" t="str">
        <f>IFERROR(__xludf.DUMMYFUNCTION("""COMPUTED_VALUE"""),"Taj Bradley")</f>
        <v>Taj Bradley</v>
      </c>
      <c r="C178" s="153">
        <f>IFERROR(__xludf.DUMMYFUNCTION("""COMPUTED_VALUE"""),1.04)</f>
        <v>1.04</v>
      </c>
      <c r="D178" s="16"/>
      <c r="E178" s="16" t="str">
        <f>IFERROR(__xludf.DUMMYFUNCTION("""COMPUTED_VALUE"""),"R")</f>
        <v>R</v>
      </c>
      <c r="F178" s="16">
        <f>IFERROR(__xludf.DUMMYFUNCTION("""COMPUTED_VALUE"""),138.0)</f>
        <v>138</v>
      </c>
      <c r="G178" s="16">
        <f>IFERROR(__xludf.DUMMYFUNCTION("""COMPUTED_VALUE"""),37.0)</f>
        <v>37</v>
      </c>
      <c r="H178" s="16">
        <f>IFERROR(__xludf.DUMMYFUNCTION("""COMPUTED_VALUE"""),30.0)</f>
        <v>30</v>
      </c>
      <c r="I178" s="16">
        <f>IFERROR(__xludf.DUMMYFUNCTION("""COMPUTED_VALUE"""),1.0)</f>
        <v>1</v>
      </c>
      <c r="J178" s="16">
        <f>IFERROR(__xludf.DUMMYFUNCTION("""COMPUTED_VALUE"""),0.0)</f>
        <v>0</v>
      </c>
      <c r="K178" s="16">
        <f>IFERROR(__xludf.DUMMYFUNCTION("""COMPUTED_VALUE"""),3.0)</f>
        <v>3</v>
      </c>
      <c r="L178" s="16">
        <f>IFERROR(__xludf.DUMMYFUNCTION("""COMPUTED_VALUE"""),0.0)</f>
        <v>0</v>
      </c>
      <c r="M178" s="16">
        <f>IFERROR(__xludf.DUMMYFUNCTION("""COMPUTED_VALUE"""),9.0)</f>
        <v>9</v>
      </c>
      <c r="N178" s="16">
        <f>IFERROR(__xludf.DUMMYFUNCTION("""COMPUTED_VALUE"""),9.0)</f>
        <v>9</v>
      </c>
      <c r="O178" s="16">
        <f>IFERROR(__xludf.DUMMYFUNCTION("""COMPUTED_VALUE"""),0.0)</f>
        <v>0</v>
      </c>
      <c r="P178" s="16">
        <f>IFERROR(__xludf.DUMMYFUNCTION("""COMPUTED_VALUE"""),0.0)</f>
        <v>0</v>
      </c>
      <c r="Q178" s="16">
        <f>IFERROR(__xludf.DUMMYFUNCTION("""COMPUTED_VALUE"""),0.0)</f>
        <v>0</v>
      </c>
      <c r="R178" s="16">
        <f>IFERROR(__xludf.DUMMYFUNCTION("""COMPUTED_VALUE"""),0.0)</f>
        <v>0</v>
      </c>
      <c r="S178" s="16">
        <f>IFERROR(__xludf.DUMMYFUNCTION("""COMPUTED_VALUE"""),18.6)</f>
        <v>18.6</v>
      </c>
      <c r="T178" s="16">
        <f>IFERROR(__xludf.DUMMYFUNCTION("""COMPUTED_VALUE"""),10.9)</f>
        <v>10.9</v>
      </c>
      <c r="U178" s="16">
        <f>IFERROR(__xludf.DUMMYFUNCTION("""COMPUTED_VALUE"""),-1.0)</f>
        <v>-1</v>
      </c>
      <c r="V178" s="16">
        <f>IFERROR(__xludf.DUMMYFUNCTION("""COMPUTED_VALUE"""),1.0)</f>
        <v>1</v>
      </c>
      <c r="W178" s="16">
        <f>IFERROR(__xludf.DUMMYFUNCTION("""COMPUTED_VALUE"""),-2.0)</f>
        <v>-2</v>
      </c>
      <c r="X178" s="16">
        <f>IFERROR(__xludf.DUMMYFUNCTION("""COMPUTED_VALUE"""),2.0)</f>
        <v>2</v>
      </c>
      <c r="Y178" s="16">
        <f>IFERROR(__xludf.DUMMYFUNCTION("""COMPUTED_VALUE"""),27.6)</f>
        <v>27.6</v>
      </c>
      <c r="Z178" s="16">
        <f>IFERROR(__xludf.DUMMYFUNCTION("""COMPUTED_VALUE"""),19.9)</f>
        <v>19.9</v>
      </c>
      <c r="AA178" s="16">
        <f>IFERROR(__xludf.DUMMYFUNCTION("""COMPUTED_VALUE"""),0.0)</f>
        <v>0</v>
      </c>
      <c r="AB178" s="16">
        <f>IFERROR(__xludf.DUMMYFUNCTION("""COMPUTED_VALUE"""),1.0)</f>
        <v>1</v>
      </c>
      <c r="AC178" s="16">
        <f>IFERROR(__xludf.DUMMYFUNCTION("""COMPUTED_VALUE"""),0.0)</f>
        <v>0</v>
      </c>
      <c r="AD178" s="16">
        <f>IFERROR(__xludf.DUMMYFUNCTION("""COMPUTED_VALUE"""),5.0)</f>
        <v>5</v>
      </c>
      <c r="AE178" s="16">
        <f>IFERROR(__xludf.DUMMYFUNCTION("""COMPUTED_VALUE"""),30.1)</f>
        <v>30.1</v>
      </c>
      <c r="AF178" s="16">
        <f>IFERROR(__xludf.DUMMYFUNCTION("""COMPUTED_VALUE"""),21.1)</f>
        <v>21.1</v>
      </c>
      <c r="AG178" s="16">
        <f>IFERROR(__xludf.DUMMYFUNCTION("""COMPUTED_VALUE"""),0.0)</f>
        <v>0</v>
      </c>
      <c r="AH178" s="16">
        <f>IFERROR(__xludf.DUMMYFUNCTION("""COMPUTED_VALUE"""),1.0)</f>
        <v>1</v>
      </c>
      <c r="AI178" s="16">
        <f>IFERROR(__xludf.DUMMYFUNCTION("""COMPUTED_VALUE"""),0.0)</f>
        <v>0</v>
      </c>
      <c r="AJ178" s="16">
        <f>IFERROR(__xludf.DUMMYFUNCTION("""COMPUTED_VALUE"""),2.0)</f>
        <v>2</v>
      </c>
      <c r="AK178" s="16">
        <f>IFERROR(__xludf.DUMMYFUNCTION("""COMPUTED_VALUE"""),17.0)</f>
        <v>17</v>
      </c>
      <c r="AL178" s="16">
        <f>IFERROR(__xludf.DUMMYFUNCTION("""COMPUTED_VALUE"""),7.5)</f>
        <v>7.5</v>
      </c>
      <c r="AM178" s="16">
        <f>IFERROR(__xludf.DUMMYFUNCTION("""COMPUTED_VALUE"""),-1.0)</f>
        <v>-1</v>
      </c>
      <c r="AN178" s="16">
        <f>IFERROR(__xludf.DUMMYFUNCTION("""COMPUTED_VALUE"""),1.0)</f>
        <v>1</v>
      </c>
      <c r="AO178" s="16">
        <f>IFERROR(__xludf.DUMMYFUNCTION("""COMPUTED_VALUE"""),-1.0)</f>
        <v>-1</v>
      </c>
      <c r="AP178" s="16">
        <f>IFERROR(__xludf.DUMMYFUNCTION("""COMPUTED_VALUE"""),1.0)</f>
        <v>1</v>
      </c>
      <c r="AQ178" s="16">
        <f>IFERROR(__xludf.DUMMYFUNCTION("""COMPUTED_VALUE"""),23.700000000000003)</f>
        <v>23.7</v>
      </c>
      <c r="AR178" s="16">
        <f>IFERROR(__xludf.DUMMYFUNCTION("""COMPUTED_VALUE"""),7.500000000000002)</f>
        <v>7.5</v>
      </c>
      <c r="AS178" s="16">
        <f>IFERROR(__xludf.DUMMYFUNCTION("""COMPUTED_VALUE"""),-1.0)</f>
        <v>-1</v>
      </c>
      <c r="AT178" s="16">
        <f>IFERROR(__xludf.DUMMYFUNCTION("""COMPUTED_VALUE"""),2.0)</f>
        <v>2</v>
      </c>
      <c r="AU178" s="16">
        <f>IFERROR(__xludf.DUMMYFUNCTION("""COMPUTED_VALUE"""),-2.0)</f>
        <v>-2</v>
      </c>
      <c r="AV178" s="16">
        <f>IFERROR(__xludf.DUMMYFUNCTION("""COMPUTED_VALUE"""),4.0)</f>
        <v>4</v>
      </c>
      <c r="AW178" s="16">
        <f>IFERROR(__xludf.DUMMYFUNCTION("""COMPUTED_VALUE"""),1.6)</f>
        <v>1.6</v>
      </c>
      <c r="AX178" s="16">
        <f>IFERROR(__xludf.DUMMYFUNCTION("""COMPUTED_VALUE"""),3.4)</f>
        <v>3.4</v>
      </c>
      <c r="AY178" s="16">
        <f>IFERROR(__xludf.DUMMYFUNCTION("""COMPUTED_VALUE"""),1.0)</f>
        <v>1</v>
      </c>
      <c r="AZ178" s="16">
        <f>IFERROR(__xludf.DUMMYFUNCTION("""COMPUTED_VALUE"""),-1.0)</f>
        <v>-1</v>
      </c>
      <c r="BA178" s="16">
        <f>IFERROR(__xludf.DUMMYFUNCTION("""COMPUTED_VALUE"""),5.0)</f>
        <v>5</v>
      </c>
      <c r="BB178" s="16">
        <f>IFERROR(__xludf.DUMMYFUNCTION("""COMPUTED_VALUE"""),-5.0)</f>
        <v>-5</v>
      </c>
      <c r="BC178" s="16">
        <f>IFERROR(__xludf.DUMMYFUNCTION("""COMPUTED_VALUE"""),3.0)</f>
        <v>3</v>
      </c>
      <c r="BD178" s="16">
        <f>IFERROR(__xludf.DUMMYFUNCTION("""COMPUTED_VALUE"""),5.0)</f>
        <v>5</v>
      </c>
      <c r="BE178" s="16">
        <f>IFERROR(__xludf.DUMMYFUNCTION("""COMPUTED_VALUE"""),3.0)</f>
        <v>3</v>
      </c>
      <c r="BF178" s="16">
        <f>IFERROR(__xludf.DUMMYFUNCTION("""COMPUTED_VALUE"""),5.0)</f>
        <v>5</v>
      </c>
      <c r="BG178" s="16">
        <f>IFERROR(__xludf.DUMMYFUNCTION("""COMPUTED_VALUE"""),0.0)</f>
        <v>0</v>
      </c>
      <c r="BH178" s="16">
        <f>IFERROR(__xludf.DUMMYFUNCTION("""COMPUTED_VALUE"""),-2.0)</f>
        <v>-2</v>
      </c>
      <c r="BI178" s="16">
        <f>IFERROR(__xludf.DUMMYFUNCTION("""COMPUTED_VALUE"""),0.0)</f>
        <v>0</v>
      </c>
      <c r="BJ178" s="16">
        <f>IFERROR(__xludf.DUMMYFUNCTION("""COMPUTED_VALUE"""),-4.0)</f>
        <v>-4</v>
      </c>
      <c r="BK178" s="16">
        <f>IFERROR(__xludf.DUMMYFUNCTION("""COMPUTED_VALUE"""),5.0)</f>
        <v>5</v>
      </c>
      <c r="BL178" s="16">
        <f>IFERROR(__xludf.DUMMYFUNCTION("""COMPUTED_VALUE"""),5.0)</f>
        <v>5</v>
      </c>
      <c r="BM178" s="16">
        <f>IFERROR(__xludf.DUMMYFUNCTION("""COMPUTED_VALUE"""),0.0)</f>
        <v>0</v>
      </c>
      <c r="BN178" s="16">
        <f>IFERROR(__xludf.DUMMYFUNCTION("""COMPUTED_VALUE"""),0.0)</f>
        <v>0</v>
      </c>
      <c r="BO178" s="16">
        <f>IFERROR(__xludf.DUMMYFUNCTION("""COMPUTED_VALUE"""),0.0)</f>
        <v>0</v>
      </c>
      <c r="BP178" s="16">
        <f>IFERROR(__xludf.DUMMYFUNCTION("""COMPUTED_VALUE"""),0.0)</f>
        <v>0</v>
      </c>
      <c r="BQ178" s="16">
        <f>IFERROR(__xludf.DUMMYFUNCTION("""COMPUTED_VALUE"""),5.0)</f>
        <v>5</v>
      </c>
      <c r="BR178" s="16">
        <f>IFERROR(__xludf.DUMMYFUNCTION("""COMPUTED_VALUE"""),9.0)</f>
        <v>9</v>
      </c>
      <c r="BS178" s="16">
        <f>IFERROR(__xludf.DUMMYFUNCTION("""COMPUTED_VALUE"""),0.0)</f>
        <v>0</v>
      </c>
      <c r="BT178" s="16">
        <f>IFERROR(__xludf.DUMMYFUNCTION("""COMPUTED_VALUE"""),3.0)</f>
        <v>3</v>
      </c>
      <c r="BU178" s="16">
        <f>IFERROR(__xludf.DUMMYFUNCTION("""COMPUTED_VALUE"""),0.0)</f>
        <v>0</v>
      </c>
      <c r="BV178" s="16">
        <f>IFERROR(__xludf.DUMMYFUNCTION("""COMPUTED_VALUE"""),6.0)</f>
        <v>6</v>
      </c>
      <c r="BW178" s="16">
        <f>IFERROR(__xludf.DUMMYFUNCTION("""COMPUTED_VALUE"""),-2.0)</f>
        <v>-2</v>
      </c>
      <c r="BX178" s="16">
        <f>IFERROR(__xludf.DUMMYFUNCTION("""COMPUTED_VALUE"""),-2.0)</f>
        <v>-2</v>
      </c>
      <c r="BY178" s="16" t="str">
        <f>IFERROR(__xludf.DUMMYFUNCTION("""COMPUTED_VALUE"""),"S(6)")</f>
        <v>S(6)</v>
      </c>
      <c r="BZ178" s="16" t="str">
        <f>IFERROR(__xludf.DUMMYFUNCTION("""COMPUTED_VALUE"""),"S(6)")</f>
        <v>S(6)</v>
      </c>
      <c r="CA178" s="16" t="str">
        <f>IFERROR(__xludf.DUMMYFUNCTION("""COMPUTED_VALUE"""),"S(6)")</f>
        <v>S(6)</v>
      </c>
      <c r="CB178" s="16"/>
      <c r="CC178" s="16"/>
      <c r="CD178" s="16">
        <f>IFERROR(__xludf.DUMMYFUNCTION("""COMPUTED_VALUE"""),6.0)</f>
        <v>6</v>
      </c>
      <c r="CE178" s="16"/>
      <c r="CF178" s="16"/>
      <c r="CG178" s="16" t="str">
        <f>IFERROR(__xludf.DUMMYFUNCTION("""COMPUTED_VALUE"""),"3-0")</f>
        <v>3-0</v>
      </c>
      <c r="CH178" s="16">
        <f>IFERROR(__xludf.DUMMYFUNCTION("""COMPUTED_VALUE"""),3.0)</f>
        <v>3</v>
      </c>
      <c r="CI178" s="16">
        <f>IFERROR(__xludf.DUMMYFUNCTION("""COMPUTED_VALUE"""),0.0)</f>
        <v>0</v>
      </c>
      <c r="CJ178" s="16">
        <f>IFERROR(__xludf.DUMMYFUNCTION("""COMPUTED_VALUE"""),0.0)</f>
        <v>0</v>
      </c>
      <c r="CK178" s="16">
        <f>IFERROR(__xludf.DUMMYFUNCTION("""COMPUTED_VALUE"""),6.0)</f>
        <v>6</v>
      </c>
      <c r="CL178" s="16" t="str">
        <f>IFERROR(__xludf.DUMMYFUNCTION("""COMPUTED_VALUE"""),"1WR-C")</f>
        <v>1WR-C</v>
      </c>
      <c r="CM178" s="16" t="str">
        <f>IFERROR(__xludf.DUMMYFUNCTION("""COMPUTED_VALUE"""),"E")</f>
        <v>E</v>
      </c>
      <c r="CN178" s="16">
        <f>IFERROR(__xludf.DUMMYFUNCTION("""COMPUTED_VALUE"""),10.0)</f>
        <v>10</v>
      </c>
      <c r="CO178" s="16" t="str">
        <f>IFERROR(__xludf.DUMMYFUNCTION("""COMPUTED_VALUE"""),"C")</f>
        <v>C</v>
      </c>
      <c r="CP178" s="16" t="str">
        <f>IFERROR(__xludf.DUMMYFUNCTION("""COMPUTED_VALUE"""),"1p60")</f>
        <v>1p60</v>
      </c>
      <c r="CQ178" s="16">
        <f>IFERROR(__xludf.DUMMYFUNCTION("""COMPUTED_VALUE"""),3.0)</f>
        <v>3</v>
      </c>
      <c r="CR178" s="16">
        <f>IFERROR(__xludf.DUMMYFUNCTION("""COMPUTED_VALUE"""),11.0)</f>
        <v>11</v>
      </c>
      <c r="CS178" s="16">
        <f>IFERROR(__xludf.DUMMYFUNCTION("""COMPUTED_VALUE"""),14.0)</f>
        <v>14</v>
      </c>
      <c r="CT178" s="16">
        <f>IFERROR(__xludf.DUMMYFUNCTION("""COMPUTED_VALUE"""),3.0)</f>
        <v>3</v>
      </c>
      <c r="CU178" s="16">
        <f>IFERROR(__xludf.DUMMYFUNCTION("""COMPUTED_VALUE"""),11.0)</f>
        <v>11</v>
      </c>
      <c r="CV178" s="179">
        <f>IFERROR(__xludf.DUMMYFUNCTION("""COMPUTED_VALUE"""),10.666666666666668)</f>
        <v>10.66666667</v>
      </c>
      <c r="CW178" s="179">
        <f>IFERROR(__xludf.DUMMYFUNCTION("""COMPUTED_VALUE"""),4.0)</f>
        <v>4</v>
      </c>
      <c r="CX178" s="179">
        <f>IFERROR(__xludf.DUMMYFUNCTION("""COMPUTED_VALUE"""),1.0)</f>
        <v>1</v>
      </c>
      <c r="CY178" s="16" t="str">
        <f>IFERROR(__xludf.DUMMYFUNCTION("""COMPUTED_VALUE"""),"SP")</f>
        <v>SP</v>
      </c>
      <c r="CZ178" s="16"/>
      <c r="DA178" s="16"/>
      <c r="DB178" s="16"/>
      <c r="DC178" s="16"/>
      <c r="DD178" s="16"/>
      <c r="DE178" s="16"/>
      <c r="DF178" s="16"/>
      <c r="DG178" s="16"/>
      <c r="DH178" s="16"/>
      <c r="DI178" s="16"/>
      <c r="DJ178" s="16"/>
      <c r="DK178" s="16"/>
    </row>
    <row r="179">
      <c r="A179" s="16">
        <f>IFERROR(__xludf.DUMMYFUNCTION("""COMPUTED_VALUE"""),13503.0)</f>
        <v>13503</v>
      </c>
      <c r="B179" s="16" t="str">
        <f>IFERROR(__xludf.DUMMYFUNCTION("""COMPUTED_VALUE"""),"Yimi Garcia")</f>
        <v>Yimi Garcia</v>
      </c>
      <c r="C179" s="153">
        <f>IFERROR(__xludf.DUMMYFUNCTION("""COMPUTED_VALUE"""),0.62)</f>
        <v>0.62</v>
      </c>
      <c r="D179" s="16"/>
      <c r="E179" s="16" t="str">
        <f>IFERROR(__xludf.DUMMYFUNCTION("""COMPUTED_VALUE"""),"R")</f>
        <v>R</v>
      </c>
      <c r="F179" s="16">
        <f>IFERROR(__xludf.DUMMYFUNCTION("""COMPUTED_VALUE"""),39.0)</f>
        <v>39</v>
      </c>
      <c r="G179" s="16">
        <f>IFERROR(__xludf.DUMMYFUNCTION("""COMPUTED_VALUE"""),48.0)</f>
        <v>48</v>
      </c>
      <c r="H179" s="16">
        <f>IFERROR(__xludf.DUMMYFUNCTION("""COMPUTED_VALUE"""),46.0)</f>
        <v>46</v>
      </c>
      <c r="I179" s="16">
        <f>IFERROR(__xludf.DUMMYFUNCTION("""COMPUTED_VALUE"""),2.0)</f>
        <v>2</v>
      </c>
      <c r="J179" s="16">
        <f>IFERROR(__xludf.DUMMYFUNCTION("""COMPUTED_VALUE"""),2.0)</f>
        <v>2</v>
      </c>
      <c r="K179" s="16">
        <f>IFERROR(__xludf.DUMMYFUNCTION("""COMPUTED_VALUE"""),6.0)</f>
        <v>6</v>
      </c>
      <c r="L179" s="16">
        <f>IFERROR(__xludf.DUMMYFUNCTION("""COMPUTED_VALUE"""),6.0)</f>
        <v>6</v>
      </c>
      <c r="M179" s="16">
        <f>IFERROR(__xludf.DUMMYFUNCTION("""COMPUTED_VALUE"""),7.0)</f>
        <v>7</v>
      </c>
      <c r="N179" s="16">
        <f>IFERROR(__xludf.DUMMYFUNCTION("""COMPUTED_VALUE"""),3.0)</f>
        <v>3</v>
      </c>
      <c r="O179" s="16">
        <f>IFERROR(__xludf.DUMMYFUNCTION("""COMPUTED_VALUE"""),1.0)</f>
        <v>1</v>
      </c>
      <c r="P179" s="16">
        <f>IFERROR(__xludf.DUMMYFUNCTION("""COMPUTED_VALUE"""),2.0)</f>
        <v>2</v>
      </c>
      <c r="Q179" s="16">
        <f>IFERROR(__xludf.DUMMYFUNCTION("""COMPUTED_VALUE"""),1.0)</f>
        <v>1</v>
      </c>
      <c r="R179" s="16">
        <f>IFERROR(__xludf.DUMMYFUNCTION("""COMPUTED_VALUE"""),2.0)</f>
        <v>2</v>
      </c>
      <c r="S179" s="16">
        <f>IFERROR(__xludf.DUMMYFUNCTION("""COMPUTED_VALUE"""),14.3)</f>
        <v>14.3</v>
      </c>
      <c r="T179" s="16">
        <f>IFERROR(__xludf.DUMMYFUNCTION("""COMPUTED_VALUE"""),0.0)</f>
        <v>0</v>
      </c>
      <c r="U179" s="16">
        <f>IFERROR(__xludf.DUMMYFUNCTION("""COMPUTED_VALUE"""),0.0)</f>
        <v>0</v>
      </c>
      <c r="V179" s="16">
        <f>IFERROR(__xludf.DUMMYFUNCTION("""COMPUTED_VALUE"""),3.0)</f>
        <v>3</v>
      </c>
      <c r="W179" s="16">
        <f>IFERROR(__xludf.DUMMYFUNCTION("""COMPUTED_VALUE"""),0.0)</f>
        <v>0</v>
      </c>
      <c r="X179" s="16">
        <f>IFERROR(__xludf.DUMMYFUNCTION("""COMPUTED_VALUE"""),6.0)</f>
        <v>6</v>
      </c>
      <c r="Y179" s="16">
        <f>IFERROR(__xludf.DUMMYFUNCTION("""COMPUTED_VALUE"""),21.3)</f>
        <v>21.3</v>
      </c>
      <c r="Z179" s="16">
        <f>IFERROR(__xludf.DUMMYFUNCTION("""COMPUTED_VALUE"""),3.0)</f>
        <v>3</v>
      </c>
      <c r="AA179" s="16">
        <f>IFERROR(__xludf.DUMMYFUNCTION("""COMPUTED_VALUE"""),1.0)</f>
        <v>1</v>
      </c>
      <c r="AB179" s="16">
        <f>IFERROR(__xludf.DUMMYFUNCTION("""COMPUTED_VALUE"""),3.0)</f>
        <v>3</v>
      </c>
      <c r="AC179" s="16">
        <f>IFERROR(__xludf.DUMMYFUNCTION("""COMPUTED_VALUE"""),5.0)</f>
        <v>5</v>
      </c>
      <c r="AD179" s="16">
        <f>IFERROR(__xludf.DUMMYFUNCTION("""COMPUTED_VALUE"""),15.0)</f>
        <v>15</v>
      </c>
      <c r="AE179" s="16">
        <f>IFERROR(__xludf.DUMMYFUNCTION("""COMPUTED_VALUE"""),56.0)</f>
        <v>56</v>
      </c>
      <c r="AF179" s="16">
        <f>IFERROR(__xludf.DUMMYFUNCTION("""COMPUTED_VALUE"""),0.0)</f>
        <v>0</v>
      </c>
      <c r="AG179" s="16">
        <f>IFERROR(__xludf.DUMMYFUNCTION("""COMPUTED_VALUE"""),-2.0)</f>
        <v>-2</v>
      </c>
      <c r="AH179" s="16">
        <f>IFERROR(__xludf.DUMMYFUNCTION("""COMPUTED_VALUE"""),3.0)</f>
        <v>3</v>
      </c>
      <c r="AI179" s="16">
        <f>IFERROR(__xludf.DUMMYFUNCTION("""COMPUTED_VALUE"""),-4.0)</f>
        <v>-4</v>
      </c>
      <c r="AJ179" s="16">
        <f>IFERROR(__xludf.DUMMYFUNCTION("""COMPUTED_VALUE"""),6.0)</f>
        <v>6</v>
      </c>
      <c r="AK179" s="16">
        <f>IFERROR(__xludf.DUMMYFUNCTION("""COMPUTED_VALUE"""),0.6000000000000014)</f>
        <v>0.6</v>
      </c>
      <c r="AL179" s="16">
        <f>IFERROR(__xludf.DUMMYFUNCTION("""COMPUTED_VALUE"""),0.0)</f>
        <v>0</v>
      </c>
      <c r="AM179" s="16">
        <f>IFERROR(__xludf.DUMMYFUNCTION("""COMPUTED_VALUE"""),2.0)</f>
        <v>2</v>
      </c>
      <c r="AN179" s="16">
        <f>IFERROR(__xludf.DUMMYFUNCTION("""COMPUTED_VALUE"""),3.0)</f>
        <v>3</v>
      </c>
      <c r="AO179" s="16">
        <f>IFERROR(__xludf.DUMMYFUNCTION("""COMPUTED_VALUE"""),2.0)</f>
        <v>2</v>
      </c>
      <c r="AP179" s="16">
        <f>IFERROR(__xludf.DUMMYFUNCTION("""COMPUTED_VALUE"""),3.0)</f>
        <v>3</v>
      </c>
      <c r="AQ179" s="16">
        <f>IFERROR(__xludf.DUMMYFUNCTION("""COMPUTED_VALUE"""),1.2000000000000028)</f>
        <v>1.2</v>
      </c>
      <c r="AR179" s="16">
        <f>IFERROR(__xludf.DUMMYFUNCTION("""COMPUTED_VALUE"""),0.0)</f>
        <v>0</v>
      </c>
      <c r="AS179" s="16">
        <f>IFERROR(__xludf.DUMMYFUNCTION("""COMPUTED_VALUE"""),2.0)</f>
        <v>2</v>
      </c>
      <c r="AT179" s="16">
        <f>IFERROR(__xludf.DUMMYFUNCTION("""COMPUTED_VALUE"""),3.0)</f>
        <v>3</v>
      </c>
      <c r="AU179" s="16">
        <f>IFERROR(__xludf.DUMMYFUNCTION("""COMPUTED_VALUE"""),4.0)</f>
        <v>4</v>
      </c>
      <c r="AV179" s="16">
        <f>IFERROR(__xludf.DUMMYFUNCTION("""COMPUTED_VALUE"""),6.0)</f>
        <v>6</v>
      </c>
      <c r="AW179" s="16">
        <f>IFERROR(__xludf.DUMMYFUNCTION("""COMPUTED_VALUE"""),13.7)</f>
        <v>13.7</v>
      </c>
      <c r="AX179" s="16">
        <f>IFERROR(__xludf.DUMMYFUNCTION("""COMPUTED_VALUE"""),0.0)</f>
        <v>0</v>
      </c>
      <c r="AY179" s="16">
        <f>IFERROR(__xludf.DUMMYFUNCTION("""COMPUTED_VALUE"""),-3.0)</f>
        <v>-3</v>
      </c>
      <c r="AZ179" s="16">
        <f>IFERROR(__xludf.DUMMYFUNCTION("""COMPUTED_VALUE"""),2.0)</f>
        <v>2</v>
      </c>
      <c r="BA179" s="16">
        <f>IFERROR(__xludf.DUMMYFUNCTION("""COMPUTED_VALUE"""),-15.0)</f>
        <v>-15</v>
      </c>
      <c r="BB179" s="16">
        <f>IFERROR(__xludf.DUMMYFUNCTION("""COMPUTED_VALUE"""),10.0)</f>
        <v>10</v>
      </c>
      <c r="BC179" s="16"/>
      <c r="BD179" s="16"/>
      <c r="BE179" s="16">
        <f>IFERROR(__xludf.DUMMYFUNCTION("""COMPUTED_VALUE"""),8.0)</f>
        <v>8</v>
      </c>
      <c r="BF179" s="16">
        <f>IFERROR(__xludf.DUMMYFUNCTION("""COMPUTED_VALUE"""),0.0)</f>
        <v>0</v>
      </c>
      <c r="BG179" s="16">
        <f>IFERROR(__xludf.DUMMYFUNCTION("""COMPUTED_VALUE"""),-3.0)</f>
        <v>-3</v>
      </c>
      <c r="BH179" s="16">
        <f>IFERROR(__xludf.DUMMYFUNCTION("""COMPUTED_VALUE"""),2.0)</f>
        <v>2</v>
      </c>
      <c r="BI179" s="16">
        <f>IFERROR(__xludf.DUMMYFUNCTION("""COMPUTED_VALUE"""),-6.0)</f>
        <v>-6</v>
      </c>
      <c r="BJ179" s="16">
        <f>IFERROR(__xludf.DUMMYFUNCTION("""COMPUTED_VALUE"""),4.0)</f>
        <v>4</v>
      </c>
      <c r="BK179" s="16">
        <f>IFERROR(__xludf.DUMMYFUNCTION("""COMPUTED_VALUE"""),0.0)</f>
        <v>0</v>
      </c>
      <c r="BL179" s="16">
        <f>IFERROR(__xludf.DUMMYFUNCTION("""COMPUTED_VALUE"""),0.0)</f>
        <v>0</v>
      </c>
      <c r="BM179" s="16">
        <f>IFERROR(__xludf.DUMMYFUNCTION("""COMPUTED_VALUE"""),1.0)</f>
        <v>1</v>
      </c>
      <c r="BN179" s="16">
        <f>IFERROR(__xludf.DUMMYFUNCTION("""COMPUTED_VALUE"""),1.0)</f>
        <v>1</v>
      </c>
      <c r="BO179" s="16">
        <f>IFERROR(__xludf.DUMMYFUNCTION("""COMPUTED_VALUE"""),1.0)</f>
        <v>1</v>
      </c>
      <c r="BP179" s="16">
        <f>IFERROR(__xludf.DUMMYFUNCTION("""COMPUTED_VALUE"""),1.0)</f>
        <v>1</v>
      </c>
      <c r="BQ179" s="16">
        <f>IFERROR(__xludf.DUMMYFUNCTION("""COMPUTED_VALUE"""),0.0)</f>
        <v>0</v>
      </c>
      <c r="BR179" s="16">
        <f>IFERROR(__xludf.DUMMYFUNCTION("""COMPUTED_VALUE"""),0.0)</f>
        <v>0</v>
      </c>
      <c r="BS179" s="16">
        <f>IFERROR(__xludf.DUMMYFUNCTION("""COMPUTED_VALUE"""),-3.0)</f>
        <v>-3</v>
      </c>
      <c r="BT179" s="16">
        <f>IFERROR(__xludf.DUMMYFUNCTION("""COMPUTED_VALUE"""),-3.0)</f>
        <v>-3</v>
      </c>
      <c r="BU179" s="16">
        <f>IFERROR(__xludf.DUMMYFUNCTION("""COMPUTED_VALUE"""),-6.0)</f>
        <v>-6</v>
      </c>
      <c r="BV179" s="16">
        <f>IFERROR(__xludf.DUMMYFUNCTION("""COMPUTED_VALUE"""),-6.0)</f>
        <v>-6</v>
      </c>
      <c r="BW179" s="16">
        <f>IFERROR(__xludf.DUMMYFUNCTION("""COMPUTED_VALUE"""),5.0)</f>
        <v>5</v>
      </c>
      <c r="BX179" s="16">
        <f>IFERROR(__xludf.DUMMYFUNCTION("""COMPUTED_VALUE"""),5.0)</f>
        <v>5</v>
      </c>
      <c r="BY179" s="16" t="str">
        <f>IFERROR(__xludf.DUMMYFUNCTION("""COMPUTED_VALUE"""),"R(1) C(3)")</f>
        <v>R(1) C(3)</v>
      </c>
      <c r="BZ179" s="16" t="str">
        <f>IFERROR(__xludf.DUMMYFUNCTION("""COMPUTED_VALUE"""),"R(1) C(3)")</f>
        <v>R(1) C(3)</v>
      </c>
      <c r="CA179" s="16" t="str">
        <f>IFERROR(__xludf.DUMMYFUNCTION("""COMPUTED_VALUE"""),"R(1)")</f>
        <v>R(1)</v>
      </c>
      <c r="CB179" s="16" t="str">
        <f>IFERROR(__xludf.DUMMYFUNCTION("""COMPUTED_VALUE"""),"C(3)")</f>
        <v>C(3)</v>
      </c>
      <c r="CC179" s="16"/>
      <c r="CD179" s="16"/>
      <c r="CE179" s="16">
        <f>IFERROR(__xludf.DUMMYFUNCTION("""COMPUTED_VALUE"""),1.0)</f>
        <v>1</v>
      </c>
      <c r="CF179" s="16">
        <f>IFERROR(__xludf.DUMMYFUNCTION("""COMPUTED_VALUE"""),3.0)</f>
        <v>3</v>
      </c>
      <c r="CG179" s="16" t="str">
        <f>IFERROR(__xludf.DUMMYFUNCTION("""COMPUTED_VALUE"""),"2-0")</f>
        <v>2-0</v>
      </c>
      <c r="CH179" s="16">
        <f>IFERROR(__xludf.DUMMYFUNCTION("""COMPUTED_VALUE"""),2.0)</f>
        <v>2</v>
      </c>
      <c r="CI179" s="16">
        <f>IFERROR(__xludf.DUMMYFUNCTION("""COMPUTED_VALUE"""),0.0)</f>
        <v>0</v>
      </c>
      <c r="CJ179" s="16">
        <f>IFERROR(__xludf.DUMMYFUNCTION("""COMPUTED_VALUE"""),0.0)</f>
        <v>0</v>
      </c>
      <c r="CK179" s="16">
        <f>IFERROR(__xludf.DUMMYFUNCTION("""COMPUTED_VALUE"""),5.0)</f>
        <v>5</v>
      </c>
      <c r="CL179" s="16" t="str">
        <f>IFERROR(__xludf.DUMMYFUNCTION("""COMPUTED_VALUE"""),"1WR-C")</f>
        <v>1WR-C</v>
      </c>
      <c r="CM179" s="16" t="str">
        <f>IFERROR(__xludf.DUMMYFUNCTION("""COMPUTED_VALUE"""),"E")</f>
        <v>E</v>
      </c>
      <c r="CN179" s="16">
        <f>IFERROR(__xludf.DUMMYFUNCTION("""COMPUTED_VALUE"""),10.0)</f>
        <v>10</v>
      </c>
      <c r="CO179" s="16" t="str">
        <f>IFERROR(__xludf.DUMMYFUNCTION("""COMPUTED_VALUE"""),"C")</f>
        <v>C</v>
      </c>
      <c r="CP179" s="16" t="str">
        <f>IFERROR(__xludf.DUMMYFUNCTION("""COMPUTED_VALUE"""),"5p40")</f>
        <v>5p40</v>
      </c>
      <c r="CQ179" s="16">
        <f>IFERROR(__xludf.DUMMYFUNCTION("""COMPUTED_VALUE"""),-12.0)</f>
        <v>-12</v>
      </c>
      <c r="CR179" s="16">
        <f>IFERROR(__xludf.DUMMYFUNCTION("""COMPUTED_VALUE"""),53.0)</f>
        <v>53</v>
      </c>
      <c r="CS179" s="16">
        <f>IFERROR(__xludf.DUMMYFUNCTION("""COMPUTED_VALUE"""),41.0)</f>
        <v>41</v>
      </c>
      <c r="CT179" s="16">
        <f>IFERROR(__xludf.DUMMYFUNCTION("""COMPUTED_VALUE"""),-12.0)</f>
        <v>-12</v>
      </c>
      <c r="CU179" s="16">
        <f>IFERROR(__xludf.DUMMYFUNCTION("""COMPUTED_VALUE"""),53.0)</f>
        <v>53</v>
      </c>
      <c r="CV179" s="179">
        <f>IFERROR(__xludf.DUMMYFUNCTION("""COMPUTED_VALUE"""),10.666666666666666)</f>
        <v>10.66666667</v>
      </c>
      <c r="CW179" s="179">
        <f>IFERROR(__xludf.DUMMYFUNCTION("""COMPUTED_VALUE"""),0.0)</f>
        <v>0</v>
      </c>
      <c r="CX179" s="179">
        <f>IFERROR(__xludf.DUMMYFUNCTION("""COMPUTED_VALUE"""),1.0)</f>
        <v>1</v>
      </c>
      <c r="CY179" s="16" t="str">
        <f>IFERROR(__xludf.DUMMYFUNCTION("""COMPUTED_VALUE"""),"RP")</f>
        <v>RP</v>
      </c>
      <c r="CZ179" s="16" t="str">
        <f>IFERROR(__xludf.DUMMYFUNCTION("""COMPUTED_VALUE"""),"CP")</f>
        <v>CP</v>
      </c>
      <c r="DA179" s="16"/>
      <c r="DB179" s="16"/>
      <c r="DC179" s="16"/>
      <c r="DD179" s="16"/>
      <c r="DE179" s="16"/>
      <c r="DF179" s="16"/>
      <c r="DG179" s="16"/>
      <c r="DH179" s="16"/>
      <c r="DI179" s="16"/>
      <c r="DJ179" s="16"/>
      <c r="DK179" s="16"/>
    </row>
    <row r="180">
      <c r="A180" s="16">
        <f>IFERROR(__xludf.DUMMYFUNCTION("""COMPUTED_VALUE"""),13512.0)</f>
        <v>13512</v>
      </c>
      <c r="B180" s="16" t="str">
        <f>IFERROR(__xludf.DUMMYFUNCTION("""COMPUTED_VALUE"""),"Yusei Kikuchi")</f>
        <v>Yusei Kikuchi</v>
      </c>
      <c r="C180" s="153">
        <f>IFERROR(__xludf.DUMMYFUNCTION("""COMPUTED_VALUE"""),0.72)</f>
        <v>0.72</v>
      </c>
      <c r="D180" s="16"/>
      <c r="E180" s="16" t="str">
        <f>IFERROR(__xludf.DUMMYFUNCTION("""COMPUTED_VALUE"""),"L")</f>
        <v>L</v>
      </c>
      <c r="F180" s="16">
        <f>IFERROR(__xludf.DUMMYFUNCTION("""COMPUTED_VALUE"""),176.0)</f>
        <v>176</v>
      </c>
      <c r="G180" s="16">
        <f>IFERROR(__xludf.DUMMYFUNCTION("""COMPUTED_VALUE"""),33.0)</f>
        <v>33</v>
      </c>
      <c r="H180" s="16">
        <f>IFERROR(__xludf.DUMMYFUNCTION("""COMPUTED_VALUE"""),37.0)</f>
        <v>37</v>
      </c>
      <c r="I180" s="16">
        <f>IFERROR(__xludf.DUMMYFUNCTION("""COMPUTED_VALUE"""),1.0)</f>
        <v>1</v>
      </c>
      <c r="J180" s="16">
        <f>IFERROR(__xludf.DUMMYFUNCTION("""COMPUTED_VALUE"""),1.0)</f>
        <v>1</v>
      </c>
      <c r="K180" s="16">
        <f>IFERROR(__xludf.DUMMYFUNCTION("""COMPUTED_VALUE"""),3.0)</f>
        <v>3</v>
      </c>
      <c r="L180" s="16">
        <f>IFERROR(__xludf.DUMMYFUNCTION("""COMPUTED_VALUE"""),3.0)</f>
        <v>3</v>
      </c>
      <c r="M180" s="16">
        <f>IFERROR(__xludf.DUMMYFUNCTION("""COMPUTED_VALUE"""),4.0)</f>
        <v>4</v>
      </c>
      <c r="N180" s="16">
        <f>IFERROR(__xludf.DUMMYFUNCTION("""COMPUTED_VALUE"""),4.0)</f>
        <v>4</v>
      </c>
      <c r="O180" s="16">
        <f>IFERROR(__xludf.DUMMYFUNCTION("""COMPUTED_VALUE"""),2.0)</f>
        <v>2</v>
      </c>
      <c r="P180" s="16">
        <f>IFERROR(__xludf.DUMMYFUNCTION("""COMPUTED_VALUE"""),2.0)</f>
        <v>2</v>
      </c>
      <c r="Q180" s="16">
        <f>IFERROR(__xludf.DUMMYFUNCTION("""COMPUTED_VALUE"""),2.0)</f>
        <v>2</v>
      </c>
      <c r="R180" s="16">
        <f>IFERROR(__xludf.DUMMYFUNCTION("""COMPUTED_VALUE"""),2.0)</f>
        <v>2</v>
      </c>
      <c r="S180" s="16">
        <f>IFERROR(__xludf.DUMMYFUNCTION("""COMPUTED_VALUE"""),15.1)</f>
        <v>15.1</v>
      </c>
      <c r="T180" s="16">
        <f>IFERROR(__xludf.DUMMYFUNCTION("""COMPUTED_VALUE"""),18.3)</f>
        <v>18.3</v>
      </c>
      <c r="U180" s="16">
        <f>IFERROR(__xludf.DUMMYFUNCTION("""COMPUTED_VALUE"""),0.0)</f>
        <v>0</v>
      </c>
      <c r="V180" s="16">
        <f>IFERROR(__xludf.DUMMYFUNCTION("""COMPUTED_VALUE"""),0.0)</f>
        <v>0</v>
      </c>
      <c r="W180" s="16">
        <f>IFERROR(__xludf.DUMMYFUNCTION("""COMPUTED_VALUE"""),0.0)</f>
        <v>0</v>
      </c>
      <c r="X180" s="16">
        <f>IFERROR(__xludf.DUMMYFUNCTION("""COMPUTED_VALUE"""),0.0)</f>
        <v>0</v>
      </c>
      <c r="Y180" s="16">
        <f>IFERROR(__xludf.DUMMYFUNCTION("""COMPUTED_VALUE"""),19.0)</f>
        <v>19</v>
      </c>
      <c r="Z180" s="16">
        <f>IFERROR(__xludf.DUMMYFUNCTION("""COMPUTED_VALUE"""),22.3)</f>
        <v>22.3</v>
      </c>
      <c r="AA180" s="16">
        <f>IFERROR(__xludf.DUMMYFUNCTION("""COMPUTED_VALUE"""),1.0)</f>
        <v>1</v>
      </c>
      <c r="AB180" s="16">
        <f>IFERROR(__xludf.DUMMYFUNCTION("""COMPUTED_VALUE"""),1.0)</f>
        <v>1</v>
      </c>
      <c r="AC180" s="16">
        <f>IFERROR(__xludf.DUMMYFUNCTION("""COMPUTED_VALUE"""),5.0)</f>
        <v>5</v>
      </c>
      <c r="AD180" s="16">
        <f>IFERROR(__xludf.DUMMYFUNCTION("""COMPUTED_VALUE"""),5.0)</f>
        <v>5</v>
      </c>
      <c r="AE180" s="16">
        <f>IFERROR(__xludf.DUMMYFUNCTION("""COMPUTED_VALUE"""),24.0)</f>
        <v>24</v>
      </c>
      <c r="AF180" s="16">
        <f>IFERROR(__xludf.DUMMYFUNCTION("""COMPUTED_VALUE"""),28.0)</f>
        <v>28</v>
      </c>
      <c r="AG180" s="16">
        <f>IFERROR(__xludf.DUMMYFUNCTION("""COMPUTED_VALUE"""),0.0)</f>
        <v>0</v>
      </c>
      <c r="AH180" s="16">
        <f>IFERROR(__xludf.DUMMYFUNCTION("""COMPUTED_VALUE"""),0.0)</f>
        <v>0</v>
      </c>
      <c r="AI180" s="16">
        <f>IFERROR(__xludf.DUMMYFUNCTION("""COMPUTED_VALUE"""),0.0)</f>
        <v>0</v>
      </c>
      <c r="AJ180" s="16">
        <f>IFERROR(__xludf.DUMMYFUNCTION("""COMPUTED_VALUE"""),0.0)</f>
        <v>0</v>
      </c>
      <c r="AK180" s="16">
        <f>IFERROR(__xludf.DUMMYFUNCTION("""COMPUTED_VALUE"""),12.3)</f>
        <v>12.3</v>
      </c>
      <c r="AL180" s="16">
        <f>IFERROR(__xludf.DUMMYFUNCTION("""COMPUTED_VALUE"""),15.9)</f>
        <v>15.9</v>
      </c>
      <c r="AM180" s="16">
        <f>IFERROR(__xludf.DUMMYFUNCTION("""COMPUTED_VALUE"""),0.0)</f>
        <v>0</v>
      </c>
      <c r="AN180" s="16">
        <f>IFERROR(__xludf.DUMMYFUNCTION("""COMPUTED_VALUE"""),0.0)</f>
        <v>0</v>
      </c>
      <c r="AO180" s="16">
        <f>IFERROR(__xludf.DUMMYFUNCTION("""COMPUTED_VALUE"""),0.0)</f>
        <v>0</v>
      </c>
      <c r="AP180" s="16">
        <f>IFERROR(__xludf.DUMMYFUNCTION("""COMPUTED_VALUE"""),0.0)</f>
        <v>0</v>
      </c>
      <c r="AQ180" s="16">
        <f>IFERROR(__xludf.DUMMYFUNCTION("""COMPUTED_VALUE"""),12.8)</f>
        <v>12.8</v>
      </c>
      <c r="AR180" s="16">
        <f>IFERROR(__xludf.DUMMYFUNCTION("""COMPUTED_VALUE"""),18.4)</f>
        <v>18.4</v>
      </c>
      <c r="AS180" s="16">
        <f>IFERROR(__xludf.DUMMYFUNCTION("""COMPUTED_VALUE"""),1.0)</f>
        <v>1</v>
      </c>
      <c r="AT180" s="16">
        <f>IFERROR(__xludf.DUMMYFUNCTION("""COMPUTED_VALUE"""),0.0)</f>
        <v>0</v>
      </c>
      <c r="AU180" s="16">
        <f>IFERROR(__xludf.DUMMYFUNCTION("""COMPUTED_VALUE"""),2.0)</f>
        <v>2</v>
      </c>
      <c r="AV180" s="16">
        <f>IFERROR(__xludf.DUMMYFUNCTION("""COMPUTED_VALUE"""),0.0)</f>
        <v>0</v>
      </c>
      <c r="AW180" s="16">
        <f>IFERROR(__xludf.DUMMYFUNCTION("""COMPUTED_VALUE"""),2.8)</f>
        <v>2.8</v>
      </c>
      <c r="AX180" s="16">
        <f>IFERROR(__xludf.DUMMYFUNCTION("""COMPUTED_VALUE"""),2.4)</f>
        <v>2.4</v>
      </c>
      <c r="AY180" s="16">
        <f>IFERROR(__xludf.DUMMYFUNCTION("""COMPUTED_VALUE"""),-1.0)</f>
        <v>-1</v>
      </c>
      <c r="AZ180" s="16">
        <f>IFERROR(__xludf.DUMMYFUNCTION("""COMPUTED_VALUE"""),0.0)</f>
        <v>0</v>
      </c>
      <c r="BA180" s="16">
        <f>IFERROR(__xludf.DUMMYFUNCTION("""COMPUTED_VALUE"""),-5.0)</f>
        <v>-5</v>
      </c>
      <c r="BB180" s="16">
        <f>IFERROR(__xludf.DUMMYFUNCTION("""COMPUTED_VALUE"""),0.0)</f>
        <v>0</v>
      </c>
      <c r="BC180" s="16">
        <f>IFERROR(__xludf.DUMMYFUNCTION("""COMPUTED_VALUE"""),5.0)</f>
        <v>5</v>
      </c>
      <c r="BD180" s="16">
        <f>IFERROR(__xludf.DUMMYFUNCTION("""COMPUTED_VALUE"""),3.0)</f>
        <v>3</v>
      </c>
      <c r="BE180" s="16">
        <f>IFERROR(__xludf.DUMMYFUNCTION("""COMPUTED_VALUE"""),5.0)</f>
        <v>5</v>
      </c>
      <c r="BF180" s="16">
        <f>IFERROR(__xludf.DUMMYFUNCTION("""COMPUTED_VALUE"""),3.0)</f>
        <v>3</v>
      </c>
      <c r="BG180" s="16">
        <f>IFERROR(__xludf.DUMMYFUNCTION("""COMPUTED_VALUE"""),-2.0)</f>
        <v>-2</v>
      </c>
      <c r="BH180" s="16">
        <f>IFERROR(__xludf.DUMMYFUNCTION("""COMPUTED_VALUE"""),0.0)</f>
        <v>0</v>
      </c>
      <c r="BI180" s="16">
        <f>IFERROR(__xludf.DUMMYFUNCTION("""COMPUTED_VALUE"""),-4.0)</f>
        <v>-4</v>
      </c>
      <c r="BJ180" s="16">
        <f>IFERROR(__xludf.DUMMYFUNCTION("""COMPUTED_VALUE"""),0.0)</f>
        <v>0</v>
      </c>
      <c r="BK180" s="16">
        <f>IFERROR(__xludf.DUMMYFUNCTION("""COMPUTED_VALUE"""),5.0)</f>
        <v>5</v>
      </c>
      <c r="BL180" s="16">
        <f>IFERROR(__xludf.DUMMYFUNCTION("""COMPUTED_VALUE"""),5.0)</f>
        <v>5</v>
      </c>
      <c r="BM180" s="16">
        <f>IFERROR(__xludf.DUMMYFUNCTION("""COMPUTED_VALUE"""),0.0)</f>
        <v>0</v>
      </c>
      <c r="BN180" s="16">
        <f>IFERROR(__xludf.DUMMYFUNCTION("""COMPUTED_VALUE"""),0.0)</f>
        <v>0</v>
      </c>
      <c r="BO180" s="16">
        <f>IFERROR(__xludf.DUMMYFUNCTION("""COMPUTED_VALUE"""),0.0)</f>
        <v>0</v>
      </c>
      <c r="BP180" s="16">
        <f>IFERROR(__xludf.DUMMYFUNCTION("""COMPUTED_VALUE"""),0.0)</f>
        <v>0</v>
      </c>
      <c r="BQ180" s="16">
        <f>IFERROR(__xludf.DUMMYFUNCTION("""COMPUTED_VALUE"""),2.0)</f>
        <v>2</v>
      </c>
      <c r="BR180" s="16">
        <f>IFERROR(__xludf.DUMMYFUNCTION("""COMPUTED_VALUE"""),2.0)</f>
        <v>2</v>
      </c>
      <c r="BS180" s="16">
        <f>IFERROR(__xludf.DUMMYFUNCTION("""COMPUTED_VALUE"""),-2.0)</f>
        <v>-2</v>
      </c>
      <c r="BT180" s="16">
        <f>IFERROR(__xludf.DUMMYFUNCTION("""COMPUTED_VALUE"""),-2.0)</f>
        <v>-2</v>
      </c>
      <c r="BU180" s="16">
        <f>IFERROR(__xludf.DUMMYFUNCTION("""COMPUTED_VALUE"""),-4.0)</f>
        <v>-4</v>
      </c>
      <c r="BV180" s="16">
        <f>IFERROR(__xludf.DUMMYFUNCTION("""COMPUTED_VALUE"""),-4.0)</f>
        <v>-4</v>
      </c>
      <c r="BW180" s="16">
        <f>IFERROR(__xludf.DUMMYFUNCTION("""COMPUTED_VALUE"""),-3.0)</f>
        <v>-3</v>
      </c>
      <c r="BX180" s="16">
        <f>IFERROR(__xludf.DUMMYFUNCTION("""COMPUTED_VALUE"""),-3.0)</f>
        <v>-3</v>
      </c>
      <c r="BY180" s="16" t="str">
        <f>IFERROR(__xludf.DUMMYFUNCTION("""COMPUTED_VALUE"""),"S(6)")</f>
        <v>S(6)</v>
      </c>
      <c r="BZ180" s="16" t="str">
        <f>IFERROR(__xludf.DUMMYFUNCTION("""COMPUTED_VALUE"""),"S(6)")</f>
        <v>S(6)</v>
      </c>
      <c r="CA180" s="16" t="str">
        <f>IFERROR(__xludf.DUMMYFUNCTION("""COMPUTED_VALUE"""),"S(6)")</f>
        <v>S(6)</v>
      </c>
      <c r="CB180" s="16"/>
      <c r="CC180" s="16"/>
      <c r="CD180" s="16">
        <f>IFERROR(__xludf.DUMMYFUNCTION("""COMPUTED_VALUE"""),6.0)</f>
        <v>6</v>
      </c>
      <c r="CE180" s="16"/>
      <c r="CF180" s="16"/>
      <c r="CG180" s="16" t="str">
        <f>IFERROR(__xludf.DUMMYFUNCTION("""COMPUTED_VALUE"""),"3-0")</f>
        <v>3-0</v>
      </c>
      <c r="CH180" s="16">
        <f>IFERROR(__xludf.DUMMYFUNCTION("""COMPUTED_VALUE"""),3.0)</f>
        <v>3</v>
      </c>
      <c r="CI180" s="16">
        <f>IFERROR(__xludf.DUMMYFUNCTION("""COMPUTED_VALUE"""),0.0)</f>
        <v>0</v>
      </c>
      <c r="CJ180" s="16">
        <f>IFERROR(__xludf.DUMMYFUNCTION("""COMPUTED_VALUE"""),0.0)</f>
        <v>0</v>
      </c>
      <c r="CK180" s="16">
        <f>IFERROR(__xludf.DUMMYFUNCTION("""COMPUTED_VALUE"""),4.0)</f>
        <v>4</v>
      </c>
      <c r="CL180" s="16" t="str">
        <f>IFERROR(__xludf.DUMMYFUNCTION("""COMPUTED_VALUE"""),"1WL-C")</f>
        <v>1WL-C</v>
      </c>
      <c r="CM180" s="16" t="str">
        <f>IFERROR(__xludf.DUMMYFUNCTION("""COMPUTED_VALUE"""),"E")</f>
        <v>E</v>
      </c>
      <c r="CN180" s="16">
        <f>IFERROR(__xludf.DUMMYFUNCTION("""COMPUTED_VALUE"""),10.0)</f>
        <v>10</v>
      </c>
      <c r="CO180" s="16" t="str">
        <f>IFERROR(__xludf.DUMMYFUNCTION("""COMPUTED_VALUE"""),"C")</f>
        <v>C</v>
      </c>
      <c r="CP180" s="16" t="str">
        <f>IFERROR(__xludf.DUMMYFUNCTION("""COMPUTED_VALUE"""),"0p72")</f>
        <v>0p72</v>
      </c>
      <c r="CQ180" s="16">
        <f>IFERROR(__xludf.DUMMYFUNCTION("""COMPUTED_VALUE"""),-1.0)</f>
        <v>-1</v>
      </c>
      <c r="CR180" s="16">
        <f>IFERROR(__xludf.DUMMYFUNCTION("""COMPUTED_VALUE"""),6.0)</f>
        <v>6</v>
      </c>
      <c r="CS180" s="16">
        <f>IFERROR(__xludf.DUMMYFUNCTION("""COMPUTED_VALUE"""),5.0)</f>
        <v>5</v>
      </c>
      <c r="CT180" s="16">
        <f>IFERROR(__xludf.DUMMYFUNCTION("""COMPUTED_VALUE"""),-1.0)</f>
        <v>-1</v>
      </c>
      <c r="CU180" s="16">
        <f>IFERROR(__xludf.DUMMYFUNCTION("""COMPUTED_VALUE"""),6.0)</f>
        <v>6</v>
      </c>
      <c r="CV180" s="179">
        <f>IFERROR(__xludf.DUMMYFUNCTION("""COMPUTED_VALUE"""),10.333333333333334)</f>
        <v>10.33333333</v>
      </c>
      <c r="CW180" s="179">
        <f>IFERROR(__xludf.DUMMYFUNCTION("""COMPUTED_VALUE"""),5.0)</f>
        <v>5</v>
      </c>
      <c r="CX180" s="179">
        <f>IFERROR(__xludf.DUMMYFUNCTION("""COMPUTED_VALUE"""),4.0)</f>
        <v>4</v>
      </c>
      <c r="CY180" s="16" t="str">
        <f>IFERROR(__xludf.DUMMYFUNCTION("""COMPUTED_VALUE"""),"SP")</f>
        <v>SP</v>
      </c>
      <c r="CZ180" s="16"/>
      <c r="DA180" s="16"/>
      <c r="DB180" s="16"/>
      <c r="DC180" s="16"/>
      <c r="DD180" s="16"/>
      <c r="DE180" s="16"/>
      <c r="DF180" s="16"/>
      <c r="DG180" s="16"/>
      <c r="DH180" s="16"/>
      <c r="DI180" s="16"/>
      <c r="DJ180" s="16"/>
      <c r="DK180" s="16"/>
    </row>
    <row r="181">
      <c r="A181" s="16">
        <f>IFERROR(__xludf.DUMMYFUNCTION("""COMPUTED_VALUE"""),12838.0)</f>
        <v>12838</v>
      </c>
      <c r="B181" s="16" t="str">
        <f>IFERROR(__xludf.DUMMYFUNCTION("""COMPUTED_VALUE"""),"Gavin Stone")</f>
        <v>Gavin Stone</v>
      </c>
      <c r="C181" s="153">
        <f>IFERROR(__xludf.DUMMYFUNCTION("""COMPUTED_VALUE"""),0.96)</f>
        <v>0.96</v>
      </c>
      <c r="D181" s="16"/>
      <c r="E181" s="16" t="str">
        <f>IFERROR(__xludf.DUMMYFUNCTION("""COMPUTED_VALUE"""),"R")</f>
        <v>R</v>
      </c>
      <c r="F181" s="16">
        <f>IFERROR(__xludf.DUMMYFUNCTION("""COMPUTED_VALUE"""),140.0)</f>
        <v>140</v>
      </c>
      <c r="G181" s="16">
        <f>IFERROR(__xludf.DUMMYFUNCTION("""COMPUTED_VALUE"""),25.0)</f>
        <v>25</v>
      </c>
      <c r="H181" s="16">
        <f>IFERROR(__xludf.DUMMYFUNCTION("""COMPUTED_VALUE"""),13.0)</f>
        <v>13</v>
      </c>
      <c r="I181" s="16">
        <f>IFERROR(__xludf.DUMMYFUNCTION("""COMPUTED_VALUE"""),0.0)</f>
        <v>0</v>
      </c>
      <c r="J181" s="16">
        <f>IFERROR(__xludf.DUMMYFUNCTION("""COMPUTED_VALUE"""),-2.0)</f>
        <v>-2</v>
      </c>
      <c r="K181" s="16">
        <f>IFERROR(__xludf.DUMMYFUNCTION("""COMPUTED_VALUE"""),0.0)</f>
        <v>0</v>
      </c>
      <c r="L181" s="16">
        <f>IFERROR(__xludf.DUMMYFUNCTION("""COMPUTED_VALUE"""),-6.0)</f>
        <v>-6</v>
      </c>
      <c r="M181" s="16">
        <f>IFERROR(__xludf.DUMMYFUNCTION("""COMPUTED_VALUE"""),10.0)</f>
        <v>10</v>
      </c>
      <c r="N181" s="16">
        <f>IFERROR(__xludf.DUMMYFUNCTION("""COMPUTED_VALUE"""),1.0)</f>
        <v>1</v>
      </c>
      <c r="O181" s="16">
        <f>IFERROR(__xludf.DUMMYFUNCTION("""COMPUTED_VALUE"""),0.0)</f>
        <v>0</v>
      </c>
      <c r="P181" s="16">
        <f>IFERROR(__xludf.DUMMYFUNCTION("""COMPUTED_VALUE"""),3.0)</f>
        <v>3</v>
      </c>
      <c r="Q181" s="16">
        <f>IFERROR(__xludf.DUMMYFUNCTION("""COMPUTED_VALUE"""),0.0)</f>
        <v>0</v>
      </c>
      <c r="R181" s="16">
        <f>IFERROR(__xludf.DUMMYFUNCTION("""COMPUTED_VALUE"""),3.0)</f>
        <v>3</v>
      </c>
      <c r="S181" s="16">
        <f>IFERROR(__xludf.DUMMYFUNCTION("""COMPUTED_VALUE"""),9.4)</f>
        <v>9.4</v>
      </c>
      <c r="T181" s="16">
        <f>IFERROR(__xludf.DUMMYFUNCTION("""COMPUTED_VALUE"""),23.4)</f>
        <v>23.4</v>
      </c>
      <c r="U181" s="16">
        <f>IFERROR(__xludf.DUMMYFUNCTION("""COMPUTED_VALUE"""),1.0)</f>
        <v>1</v>
      </c>
      <c r="V181" s="16">
        <f>IFERROR(__xludf.DUMMYFUNCTION("""COMPUTED_VALUE"""),-1.0)</f>
        <v>-1</v>
      </c>
      <c r="W181" s="16">
        <f>IFERROR(__xludf.DUMMYFUNCTION("""COMPUTED_VALUE"""),2.0)</f>
        <v>2</v>
      </c>
      <c r="X181" s="16">
        <f>IFERROR(__xludf.DUMMYFUNCTION("""COMPUTED_VALUE"""),-2.0)</f>
        <v>-2</v>
      </c>
      <c r="Y181" s="16">
        <f>IFERROR(__xludf.DUMMYFUNCTION("""COMPUTED_VALUE"""),19.4)</f>
        <v>19.4</v>
      </c>
      <c r="Z181" s="16">
        <f>IFERROR(__xludf.DUMMYFUNCTION("""COMPUTED_VALUE"""),24.4)</f>
        <v>24.4</v>
      </c>
      <c r="AA181" s="16">
        <f>IFERROR(__xludf.DUMMYFUNCTION("""COMPUTED_VALUE"""),1.0)</f>
        <v>1</v>
      </c>
      <c r="AB181" s="16">
        <f>IFERROR(__xludf.DUMMYFUNCTION("""COMPUTED_VALUE"""),0.0)</f>
        <v>0</v>
      </c>
      <c r="AC181" s="16">
        <f>IFERROR(__xludf.DUMMYFUNCTION("""COMPUTED_VALUE"""),5.0)</f>
        <v>5</v>
      </c>
      <c r="AD181" s="16">
        <f>IFERROR(__xludf.DUMMYFUNCTION("""COMPUTED_VALUE"""),0.0)</f>
        <v>0</v>
      </c>
      <c r="AE181" s="16">
        <f>IFERROR(__xludf.DUMMYFUNCTION("""COMPUTED_VALUE"""),17.1)</f>
        <v>17.1</v>
      </c>
      <c r="AF181" s="16">
        <f>IFERROR(__xludf.DUMMYFUNCTION("""COMPUTED_VALUE"""),36.8)</f>
        <v>36.8</v>
      </c>
      <c r="AG181" s="16">
        <f>IFERROR(__xludf.DUMMYFUNCTION("""COMPUTED_VALUE"""),1.0)</f>
        <v>1</v>
      </c>
      <c r="AH181" s="16">
        <f>IFERROR(__xludf.DUMMYFUNCTION("""COMPUTED_VALUE"""),-1.0)</f>
        <v>-1</v>
      </c>
      <c r="AI181" s="16">
        <f>IFERROR(__xludf.DUMMYFUNCTION("""COMPUTED_VALUE"""),2.0)</f>
        <v>2</v>
      </c>
      <c r="AJ181" s="16">
        <f>IFERROR(__xludf.DUMMYFUNCTION("""COMPUTED_VALUE"""),-2.0)</f>
        <v>-2</v>
      </c>
      <c r="AK181" s="16">
        <f>IFERROR(__xludf.DUMMYFUNCTION("""COMPUTED_VALUE"""),8.6)</f>
        <v>8.6</v>
      </c>
      <c r="AL181" s="16">
        <f>IFERROR(__xludf.DUMMYFUNCTION("""COMPUTED_VALUE"""),20.599999999999998)</f>
        <v>20.6</v>
      </c>
      <c r="AM181" s="16">
        <f>IFERROR(__xludf.DUMMYFUNCTION("""COMPUTED_VALUE"""),1.0)</f>
        <v>1</v>
      </c>
      <c r="AN181" s="16">
        <f>IFERROR(__xludf.DUMMYFUNCTION("""COMPUTED_VALUE"""),-1.0)</f>
        <v>-1</v>
      </c>
      <c r="AO181" s="16">
        <f>IFERROR(__xludf.DUMMYFUNCTION("""COMPUTED_VALUE"""),1.0)</f>
        <v>1</v>
      </c>
      <c r="AP181" s="16">
        <f>IFERROR(__xludf.DUMMYFUNCTION("""COMPUTED_VALUE"""),-1.0)</f>
        <v>-1</v>
      </c>
      <c r="AQ181" s="16">
        <f>IFERROR(__xludf.DUMMYFUNCTION("""COMPUTED_VALUE"""),13.900000000000002)</f>
        <v>13.9</v>
      </c>
      <c r="AR181" s="16">
        <f>IFERROR(__xludf.DUMMYFUNCTION("""COMPUTED_VALUE"""),25.599999999999998)</f>
        <v>25.6</v>
      </c>
      <c r="AS181" s="16">
        <f>IFERROR(__xludf.DUMMYFUNCTION("""COMPUTED_VALUE"""),1.0)</f>
        <v>1</v>
      </c>
      <c r="AT181" s="16">
        <f>IFERROR(__xludf.DUMMYFUNCTION("""COMPUTED_VALUE"""),-1.0)</f>
        <v>-1</v>
      </c>
      <c r="AU181" s="16">
        <f>IFERROR(__xludf.DUMMYFUNCTION("""COMPUTED_VALUE"""),2.0)</f>
        <v>2</v>
      </c>
      <c r="AV181" s="16">
        <f>IFERROR(__xludf.DUMMYFUNCTION("""COMPUTED_VALUE"""),-2.0)</f>
        <v>-2</v>
      </c>
      <c r="AW181" s="16">
        <f>IFERROR(__xludf.DUMMYFUNCTION("""COMPUTED_VALUE"""),0.8)</f>
        <v>0.8</v>
      </c>
      <c r="AX181" s="16">
        <f>IFERROR(__xludf.DUMMYFUNCTION("""COMPUTED_VALUE"""),2.8)</f>
        <v>2.8</v>
      </c>
      <c r="AY181" s="16">
        <f>IFERROR(__xludf.DUMMYFUNCTION("""COMPUTED_VALUE"""),2.0)</f>
        <v>2</v>
      </c>
      <c r="AZ181" s="16">
        <f>IFERROR(__xludf.DUMMYFUNCTION("""COMPUTED_VALUE"""),-1.0)</f>
        <v>-1</v>
      </c>
      <c r="BA181" s="16">
        <f>IFERROR(__xludf.DUMMYFUNCTION("""COMPUTED_VALUE"""),10.0)</f>
        <v>10</v>
      </c>
      <c r="BB181" s="16">
        <f>IFERROR(__xludf.DUMMYFUNCTION("""COMPUTED_VALUE"""),-5.0)</f>
        <v>-5</v>
      </c>
      <c r="BC181" s="16">
        <f>IFERROR(__xludf.DUMMYFUNCTION("""COMPUTED_VALUE"""),0.0)</f>
        <v>0</v>
      </c>
      <c r="BD181" s="16">
        <f>IFERROR(__xludf.DUMMYFUNCTION("""COMPUTED_VALUE"""),3.0)</f>
        <v>3</v>
      </c>
      <c r="BE181" s="16">
        <f>IFERROR(__xludf.DUMMYFUNCTION("""COMPUTED_VALUE"""),0.0)</f>
        <v>0</v>
      </c>
      <c r="BF181" s="16">
        <f>IFERROR(__xludf.DUMMYFUNCTION("""COMPUTED_VALUE"""),3.0)</f>
        <v>3</v>
      </c>
      <c r="BG181" s="16">
        <f>IFERROR(__xludf.DUMMYFUNCTION("""COMPUTED_VALUE"""),3.0)</f>
        <v>3</v>
      </c>
      <c r="BH181" s="16">
        <f>IFERROR(__xludf.DUMMYFUNCTION("""COMPUTED_VALUE"""),0.0)</f>
        <v>0</v>
      </c>
      <c r="BI181" s="16">
        <f>IFERROR(__xludf.DUMMYFUNCTION("""COMPUTED_VALUE"""),6.0)</f>
        <v>6</v>
      </c>
      <c r="BJ181" s="16">
        <f>IFERROR(__xludf.DUMMYFUNCTION("""COMPUTED_VALUE"""),0.0)</f>
        <v>0</v>
      </c>
      <c r="BK181" s="16">
        <f>IFERROR(__xludf.DUMMYFUNCTION("""COMPUTED_VALUE"""),5.0)</f>
        <v>5</v>
      </c>
      <c r="BL181" s="16">
        <f>IFERROR(__xludf.DUMMYFUNCTION("""COMPUTED_VALUE"""),5.0)</f>
        <v>5</v>
      </c>
      <c r="BM181" s="16">
        <f>IFERROR(__xludf.DUMMYFUNCTION("""COMPUTED_VALUE"""),0.0)</f>
        <v>0</v>
      </c>
      <c r="BN181" s="16">
        <f>IFERROR(__xludf.DUMMYFUNCTION("""COMPUTED_VALUE"""),0.0)</f>
        <v>0</v>
      </c>
      <c r="BO181" s="16">
        <f>IFERROR(__xludf.DUMMYFUNCTION("""COMPUTED_VALUE"""),0.0)</f>
        <v>0</v>
      </c>
      <c r="BP181" s="16">
        <f>IFERROR(__xludf.DUMMYFUNCTION("""COMPUTED_VALUE"""),0.0)</f>
        <v>0</v>
      </c>
      <c r="BQ181" s="16">
        <f>IFERROR(__xludf.DUMMYFUNCTION("""COMPUTED_VALUE"""),7.0)</f>
        <v>7</v>
      </c>
      <c r="BR181" s="16">
        <f>IFERROR(__xludf.DUMMYFUNCTION("""COMPUTED_VALUE"""),7.0)</f>
        <v>7</v>
      </c>
      <c r="BS181" s="16">
        <f>IFERROR(__xludf.DUMMYFUNCTION("""COMPUTED_VALUE"""),2.0)</f>
        <v>2</v>
      </c>
      <c r="BT181" s="16">
        <f>IFERROR(__xludf.DUMMYFUNCTION("""COMPUTED_VALUE"""),2.0)</f>
        <v>2</v>
      </c>
      <c r="BU181" s="16">
        <f>IFERROR(__xludf.DUMMYFUNCTION("""COMPUTED_VALUE"""),4.0)</f>
        <v>4</v>
      </c>
      <c r="BV181" s="16">
        <f>IFERROR(__xludf.DUMMYFUNCTION("""COMPUTED_VALUE"""),4.0)</f>
        <v>4</v>
      </c>
      <c r="BW181" s="16">
        <f>IFERROR(__xludf.DUMMYFUNCTION("""COMPUTED_VALUE"""),0.0)</f>
        <v>0</v>
      </c>
      <c r="BX181" s="16">
        <f>IFERROR(__xludf.DUMMYFUNCTION("""COMPUTED_VALUE"""),0.0)</f>
        <v>0</v>
      </c>
      <c r="BY181" s="16" t="str">
        <f>IFERROR(__xludf.DUMMYFUNCTION("""COMPUTED_VALUE"""),"S(5)")</f>
        <v>S(5)</v>
      </c>
      <c r="BZ181" s="16" t="str">
        <f>IFERROR(__xludf.DUMMYFUNCTION("""COMPUTED_VALUE"""),"S(5)")</f>
        <v>S(5)</v>
      </c>
      <c r="CA181" s="16" t="str">
        <f>IFERROR(__xludf.DUMMYFUNCTION("""COMPUTED_VALUE"""),"S(5)")</f>
        <v>S(5)</v>
      </c>
      <c r="CB181" s="16"/>
      <c r="CC181" s="16"/>
      <c r="CD181" s="16">
        <f>IFERROR(__xludf.DUMMYFUNCTION("""COMPUTED_VALUE"""),5.0)</f>
        <v>5</v>
      </c>
      <c r="CE181" s="16"/>
      <c r="CF181" s="16"/>
      <c r="CG181" s="16" t="str">
        <f>IFERROR(__xludf.DUMMYFUNCTION("""COMPUTED_VALUE"""),"2-0")</f>
        <v>2-0</v>
      </c>
      <c r="CH181" s="16">
        <f>IFERROR(__xludf.DUMMYFUNCTION("""COMPUTED_VALUE"""),2.0)</f>
        <v>2</v>
      </c>
      <c r="CI181" s="16">
        <f>IFERROR(__xludf.DUMMYFUNCTION("""COMPUTED_VALUE"""),0.0)</f>
        <v>0</v>
      </c>
      <c r="CJ181" s="16">
        <f>IFERROR(__xludf.DUMMYFUNCTION("""COMPUTED_VALUE"""),0.0)</f>
        <v>0</v>
      </c>
      <c r="CK181" s="16">
        <f>IFERROR(__xludf.DUMMYFUNCTION("""COMPUTED_VALUE"""),14.0)</f>
        <v>14</v>
      </c>
      <c r="CL181" s="16" t="str">
        <f>IFERROR(__xludf.DUMMYFUNCTION("""COMPUTED_VALUE"""),"1WR-C")</f>
        <v>1WR-C</v>
      </c>
      <c r="CM181" s="16" t="str">
        <f>IFERROR(__xludf.DUMMYFUNCTION("""COMPUTED_VALUE"""),"E")</f>
        <v>E</v>
      </c>
      <c r="CN181" s="16">
        <f>IFERROR(__xludf.DUMMYFUNCTION("""COMPUTED_VALUE"""),10.0)</f>
        <v>10</v>
      </c>
      <c r="CO181" s="16" t="str">
        <f>IFERROR(__xludf.DUMMYFUNCTION("""COMPUTED_VALUE"""),"C")</f>
        <v>C</v>
      </c>
      <c r="CP181" s="16" t="str">
        <f>IFERROR(__xludf.DUMMYFUNCTION("""COMPUTED_VALUE"""),"1p70")</f>
        <v>1p70</v>
      </c>
      <c r="CQ181" s="16">
        <f>IFERROR(__xludf.DUMMYFUNCTION("""COMPUTED_VALUE"""),32.0)</f>
        <v>32</v>
      </c>
      <c r="CR181" s="16">
        <f>IFERROR(__xludf.DUMMYFUNCTION("""COMPUTED_VALUE"""),-11.0)</f>
        <v>-11</v>
      </c>
      <c r="CS181" s="16">
        <f>IFERROR(__xludf.DUMMYFUNCTION("""COMPUTED_VALUE"""),21.0)</f>
        <v>21</v>
      </c>
      <c r="CT181" s="16">
        <f>IFERROR(__xludf.DUMMYFUNCTION("""COMPUTED_VALUE"""),32.0)</f>
        <v>32</v>
      </c>
      <c r="CU181" s="16">
        <f>IFERROR(__xludf.DUMMYFUNCTION("""COMPUTED_VALUE"""),-11.0)</f>
        <v>-11</v>
      </c>
      <c r="CV181" s="179">
        <f>IFERROR(__xludf.DUMMYFUNCTION("""COMPUTED_VALUE"""),10.333333333333334)</f>
        <v>10.33333333</v>
      </c>
      <c r="CW181" s="179">
        <f>IFERROR(__xludf.DUMMYFUNCTION("""COMPUTED_VALUE"""),4.0)</f>
        <v>4</v>
      </c>
      <c r="CX181" s="179">
        <f>IFERROR(__xludf.DUMMYFUNCTION("""COMPUTED_VALUE"""),3.0)</f>
        <v>3</v>
      </c>
      <c r="CY181" s="16" t="str">
        <f>IFERROR(__xludf.DUMMYFUNCTION("""COMPUTED_VALUE"""),"SP")</f>
        <v>SP</v>
      </c>
      <c r="CZ181" s="16"/>
      <c r="DA181" s="16"/>
      <c r="DB181" s="16"/>
      <c r="DC181" s="16"/>
      <c r="DD181" s="16"/>
      <c r="DE181" s="16"/>
      <c r="DF181" s="16"/>
      <c r="DG181" s="16"/>
      <c r="DH181" s="16"/>
      <c r="DI181" s="16"/>
      <c r="DJ181" s="16"/>
      <c r="DK181" s="16"/>
    </row>
    <row r="182">
      <c r="A182" s="16">
        <f>IFERROR(__xludf.DUMMYFUNCTION("""COMPUTED_VALUE"""),12890.0)</f>
        <v>12890</v>
      </c>
      <c r="B182" s="16" t="str">
        <f>IFERROR(__xludf.DUMMYFUNCTION("""COMPUTED_VALUE"""),"Jack Flaherty")</f>
        <v>Jack Flaherty</v>
      </c>
      <c r="C182" s="153">
        <f>IFERROR(__xludf.DUMMYFUNCTION("""COMPUTED_VALUE"""),1.72)</f>
        <v>1.72</v>
      </c>
      <c r="D182" s="16"/>
      <c r="E182" s="16" t="str">
        <f>IFERROR(__xludf.DUMMYFUNCTION("""COMPUTED_VALUE"""),"R")</f>
        <v>R</v>
      </c>
      <c r="F182" s="16">
        <f>IFERROR(__xludf.DUMMYFUNCTION("""COMPUTED_VALUE"""),162.0)</f>
        <v>162</v>
      </c>
      <c r="G182" s="16">
        <f>IFERROR(__xludf.DUMMYFUNCTION("""COMPUTED_VALUE"""),37.0)</f>
        <v>37</v>
      </c>
      <c r="H182" s="16">
        <f>IFERROR(__xludf.DUMMYFUNCTION("""COMPUTED_VALUE"""),43.0)</f>
        <v>43</v>
      </c>
      <c r="I182" s="16">
        <f>IFERROR(__xludf.DUMMYFUNCTION("""COMPUTED_VALUE"""),1.0)</f>
        <v>1</v>
      </c>
      <c r="J182" s="16">
        <f>IFERROR(__xludf.DUMMYFUNCTION("""COMPUTED_VALUE"""),2.0)</f>
        <v>2</v>
      </c>
      <c r="K182" s="16">
        <f>IFERROR(__xludf.DUMMYFUNCTION("""COMPUTED_VALUE"""),3.0)</f>
        <v>3</v>
      </c>
      <c r="L182" s="16">
        <f>IFERROR(__xludf.DUMMYFUNCTION("""COMPUTED_VALUE"""),6.0)</f>
        <v>6</v>
      </c>
      <c r="M182" s="16">
        <f>IFERROR(__xludf.DUMMYFUNCTION("""COMPUTED_VALUE"""),2.0)</f>
        <v>2</v>
      </c>
      <c r="N182" s="16">
        <f>IFERROR(__xludf.DUMMYFUNCTION("""COMPUTED_VALUE"""),6.0)</f>
        <v>6</v>
      </c>
      <c r="O182" s="16">
        <f>IFERROR(__xludf.DUMMYFUNCTION("""COMPUTED_VALUE"""),2.0)</f>
        <v>2</v>
      </c>
      <c r="P182" s="16">
        <f>IFERROR(__xludf.DUMMYFUNCTION("""COMPUTED_VALUE"""),1.0)</f>
        <v>1</v>
      </c>
      <c r="Q182" s="16">
        <f>IFERROR(__xludf.DUMMYFUNCTION("""COMPUTED_VALUE"""),2.0)</f>
        <v>2</v>
      </c>
      <c r="R182" s="16">
        <f>IFERROR(__xludf.DUMMYFUNCTION("""COMPUTED_VALUE"""),1.0)</f>
        <v>1</v>
      </c>
      <c r="S182" s="16">
        <f>IFERROR(__xludf.DUMMYFUNCTION("""COMPUTED_VALUE"""),11.2)</f>
        <v>11.2</v>
      </c>
      <c r="T182" s="16">
        <f>IFERROR(__xludf.DUMMYFUNCTION("""COMPUTED_VALUE"""),11.9)</f>
        <v>11.9</v>
      </c>
      <c r="U182" s="16">
        <f>IFERROR(__xludf.DUMMYFUNCTION("""COMPUTED_VALUE"""),1.0)</f>
        <v>1</v>
      </c>
      <c r="V182" s="16">
        <f>IFERROR(__xludf.DUMMYFUNCTION("""COMPUTED_VALUE"""),1.0)</f>
        <v>1</v>
      </c>
      <c r="W182" s="16">
        <f>IFERROR(__xludf.DUMMYFUNCTION("""COMPUTED_VALUE"""),2.0)</f>
        <v>2</v>
      </c>
      <c r="X182" s="16">
        <f>IFERROR(__xludf.DUMMYFUNCTION("""COMPUTED_VALUE"""),2.0)</f>
        <v>2</v>
      </c>
      <c r="Y182" s="16">
        <f>IFERROR(__xludf.DUMMYFUNCTION("""COMPUTED_VALUE"""),13.2)</f>
        <v>13.2</v>
      </c>
      <c r="Z182" s="16">
        <f>IFERROR(__xludf.DUMMYFUNCTION("""COMPUTED_VALUE"""),17.9)</f>
        <v>17.9</v>
      </c>
      <c r="AA182" s="16">
        <f>IFERROR(__xludf.DUMMYFUNCTION("""COMPUTED_VALUE"""),2.0)</f>
        <v>2</v>
      </c>
      <c r="AB182" s="16">
        <f>IFERROR(__xludf.DUMMYFUNCTION("""COMPUTED_VALUE"""),1.0)</f>
        <v>1</v>
      </c>
      <c r="AC182" s="16">
        <f>IFERROR(__xludf.DUMMYFUNCTION("""COMPUTED_VALUE"""),10.0)</f>
        <v>10</v>
      </c>
      <c r="AD182" s="16">
        <f>IFERROR(__xludf.DUMMYFUNCTION("""COMPUTED_VALUE"""),5.0)</f>
        <v>5</v>
      </c>
      <c r="AE182" s="16">
        <f>IFERROR(__xludf.DUMMYFUNCTION("""COMPUTED_VALUE"""),19.8)</f>
        <v>19.8</v>
      </c>
      <c r="AF182" s="16">
        <f>IFERROR(__xludf.DUMMYFUNCTION("""COMPUTED_VALUE"""),27.4)</f>
        <v>27.4</v>
      </c>
      <c r="AG182" s="16">
        <f>IFERROR(__xludf.DUMMYFUNCTION("""COMPUTED_VALUE"""),1.0)</f>
        <v>1</v>
      </c>
      <c r="AH182" s="16">
        <f>IFERROR(__xludf.DUMMYFUNCTION("""COMPUTED_VALUE"""),0.0)</f>
        <v>0</v>
      </c>
      <c r="AI182" s="16">
        <f>IFERROR(__xludf.DUMMYFUNCTION("""COMPUTED_VALUE"""),2.0)</f>
        <v>2</v>
      </c>
      <c r="AJ182" s="16">
        <f>IFERROR(__xludf.DUMMYFUNCTION("""COMPUTED_VALUE"""),0.0)</f>
        <v>0</v>
      </c>
      <c r="AK182" s="16">
        <f>IFERROR(__xludf.DUMMYFUNCTION("""COMPUTED_VALUE"""),9.399999999999999)</f>
        <v>9.4</v>
      </c>
      <c r="AL182" s="16">
        <f>IFERROR(__xludf.DUMMYFUNCTION("""COMPUTED_VALUE"""),8.3)</f>
        <v>8.3</v>
      </c>
      <c r="AM182" s="16">
        <f>IFERROR(__xludf.DUMMYFUNCTION("""COMPUTED_VALUE"""),1.0)</f>
        <v>1</v>
      </c>
      <c r="AN182" s="16">
        <f>IFERROR(__xludf.DUMMYFUNCTION("""COMPUTED_VALUE"""),1.0)</f>
        <v>1</v>
      </c>
      <c r="AO182" s="16">
        <f>IFERROR(__xludf.DUMMYFUNCTION("""COMPUTED_VALUE"""),1.0)</f>
        <v>1</v>
      </c>
      <c r="AP182" s="16">
        <f>IFERROR(__xludf.DUMMYFUNCTION("""COMPUTED_VALUE"""),1.0)</f>
        <v>1</v>
      </c>
      <c r="AQ182" s="16">
        <f>IFERROR(__xludf.DUMMYFUNCTION("""COMPUTED_VALUE"""),12.600000000000001)</f>
        <v>12.6</v>
      </c>
      <c r="AR182" s="16">
        <f>IFERROR(__xludf.DUMMYFUNCTION("""COMPUTED_VALUE"""),12.999999999999998)</f>
        <v>13</v>
      </c>
      <c r="AS182" s="16">
        <f>IFERROR(__xludf.DUMMYFUNCTION("""COMPUTED_VALUE"""),1.0)</f>
        <v>1</v>
      </c>
      <c r="AT182" s="16">
        <f>IFERROR(__xludf.DUMMYFUNCTION("""COMPUTED_VALUE"""),1.0)</f>
        <v>1</v>
      </c>
      <c r="AU182" s="16">
        <f>IFERROR(__xludf.DUMMYFUNCTION("""COMPUTED_VALUE"""),2.0)</f>
        <v>2</v>
      </c>
      <c r="AV182" s="16">
        <f>IFERROR(__xludf.DUMMYFUNCTION("""COMPUTED_VALUE"""),2.0)</f>
        <v>2</v>
      </c>
      <c r="AW182" s="16">
        <f>IFERROR(__xludf.DUMMYFUNCTION("""COMPUTED_VALUE"""),1.8)</f>
        <v>1.8</v>
      </c>
      <c r="AX182" s="16">
        <f>IFERROR(__xludf.DUMMYFUNCTION("""COMPUTED_VALUE"""),3.6)</f>
        <v>3.6</v>
      </c>
      <c r="AY182" s="16">
        <f>IFERROR(__xludf.DUMMYFUNCTION("""COMPUTED_VALUE"""),0.0)</f>
        <v>0</v>
      </c>
      <c r="AZ182" s="16">
        <f>IFERROR(__xludf.DUMMYFUNCTION("""COMPUTED_VALUE"""),-2.0)</f>
        <v>-2</v>
      </c>
      <c r="BA182" s="16">
        <f>IFERROR(__xludf.DUMMYFUNCTION("""COMPUTED_VALUE"""),0.0)</f>
        <v>0</v>
      </c>
      <c r="BB182" s="16">
        <f>IFERROR(__xludf.DUMMYFUNCTION("""COMPUTED_VALUE"""),-10.0)</f>
        <v>-10</v>
      </c>
      <c r="BC182" s="16">
        <f>IFERROR(__xludf.DUMMYFUNCTION("""COMPUTED_VALUE"""),2.0)</f>
        <v>2</v>
      </c>
      <c r="BD182" s="16">
        <f>IFERROR(__xludf.DUMMYFUNCTION("""COMPUTED_VALUE"""),7.0)</f>
        <v>7</v>
      </c>
      <c r="BE182" s="16">
        <f>IFERROR(__xludf.DUMMYFUNCTION("""COMPUTED_VALUE"""),2.0)</f>
        <v>2</v>
      </c>
      <c r="BF182" s="16">
        <f>IFERROR(__xludf.DUMMYFUNCTION("""COMPUTED_VALUE"""),7.0)</f>
        <v>7</v>
      </c>
      <c r="BG182" s="16">
        <f>IFERROR(__xludf.DUMMYFUNCTION("""COMPUTED_VALUE"""),1.0)</f>
        <v>1</v>
      </c>
      <c r="BH182" s="16">
        <f>IFERROR(__xludf.DUMMYFUNCTION("""COMPUTED_VALUE"""),-3.0)</f>
        <v>-3</v>
      </c>
      <c r="BI182" s="16">
        <f>IFERROR(__xludf.DUMMYFUNCTION("""COMPUTED_VALUE"""),2.0)</f>
        <v>2</v>
      </c>
      <c r="BJ182" s="16">
        <f>IFERROR(__xludf.DUMMYFUNCTION("""COMPUTED_VALUE"""),-6.0)</f>
        <v>-6</v>
      </c>
      <c r="BK182" s="16">
        <f>IFERROR(__xludf.DUMMYFUNCTION("""COMPUTED_VALUE"""),5.0)</f>
        <v>5</v>
      </c>
      <c r="BL182" s="16">
        <f>IFERROR(__xludf.DUMMYFUNCTION("""COMPUTED_VALUE"""),5.0)</f>
        <v>5</v>
      </c>
      <c r="BM182" s="16">
        <f>IFERROR(__xludf.DUMMYFUNCTION("""COMPUTED_VALUE"""),0.0)</f>
        <v>0</v>
      </c>
      <c r="BN182" s="16">
        <f>IFERROR(__xludf.DUMMYFUNCTION("""COMPUTED_VALUE"""),0.0)</f>
        <v>0</v>
      </c>
      <c r="BO182" s="16">
        <f>IFERROR(__xludf.DUMMYFUNCTION("""COMPUTED_VALUE"""),0.0)</f>
        <v>0</v>
      </c>
      <c r="BP182" s="16">
        <f>IFERROR(__xludf.DUMMYFUNCTION("""COMPUTED_VALUE"""),0.0)</f>
        <v>0</v>
      </c>
      <c r="BQ182" s="16">
        <f>IFERROR(__xludf.DUMMYFUNCTION("""COMPUTED_VALUE"""),2.0)</f>
        <v>2</v>
      </c>
      <c r="BR182" s="16">
        <f>IFERROR(__xludf.DUMMYFUNCTION("""COMPUTED_VALUE"""),0.0)</f>
        <v>0</v>
      </c>
      <c r="BS182" s="16">
        <f>IFERROR(__xludf.DUMMYFUNCTION("""COMPUTED_VALUE"""),-2.0)</f>
        <v>-2</v>
      </c>
      <c r="BT182" s="16">
        <f>IFERROR(__xludf.DUMMYFUNCTION("""COMPUTED_VALUE"""),-3.0)</f>
        <v>-3</v>
      </c>
      <c r="BU182" s="16">
        <f>IFERROR(__xludf.DUMMYFUNCTION("""COMPUTED_VALUE"""),-4.0)</f>
        <v>-4</v>
      </c>
      <c r="BV182" s="16">
        <f>IFERROR(__xludf.DUMMYFUNCTION("""COMPUTED_VALUE"""),-6.0)</f>
        <v>-6</v>
      </c>
      <c r="BW182" s="16">
        <f>IFERROR(__xludf.DUMMYFUNCTION("""COMPUTED_VALUE"""),0.0)</f>
        <v>0</v>
      </c>
      <c r="BX182" s="16">
        <f>IFERROR(__xludf.DUMMYFUNCTION("""COMPUTED_VALUE"""),0.0)</f>
        <v>0</v>
      </c>
      <c r="BY182" s="16" t="str">
        <f>IFERROR(__xludf.DUMMYFUNCTION("""COMPUTED_VALUE"""),"S(6)")</f>
        <v>S(6)</v>
      </c>
      <c r="BZ182" s="16" t="str">
        <f>IFERROR(__xludf.DUMMYFUNCTION("""COMPUTED_VALUE"""),"S(6)")</f>
        <v>S(6)</v>
      </c>
      <c r="CA182" s="16" t="str">
        <f>IFERROR(__xludf.DUMMYFUNCTION("""COMPUTED_VALUE"""),"S(6)")</f>
        <v>S(6)</v>
      </c>
      <c r="CB182" s="16"/>
      <c r="CC182" s="16"/>
      <c r="CD182" s="16">
        <f>IFERROR(__xludf.DUMMYFUNCTION("""COMPUTED_VALUE"""),6.0)</f>
        <v>6</v>
      </c>
      <c r="CE182" s="16"/>
      <c r="CF182" s="16"/>
      <c r="CG182" s="16" t="str">
        <f>IFERROR(__xludf.DUMMYFUNCTION("""COMPUTED_VALUE"""),"3-0")</f>
        <v>3-0</v>
      </c>
      <c r="CH182" s="16">
        <f>IFERROR(__xludf.DUMMYFUNCTION("""COMPUTED_VALUE"""),3.0)</f>
        <v>3</v>
      </c>
      <c r="CI182" s="16">
        <f>IFERROR(__xludf.DUMMYFUNCTION("""COMPUTED_VALUE"""),0.0)</f>
        <v>0</v>
      </c>
      <c r="CJ182" s="16">
        <f>IFERROR(__xludf.DUMMYFUNCTION("""COMPUTED_VALUE"""),0.0)</f>
        <v>0</v>
      </c>
      <c r="CK182" s="16">
        <f>IFERROR(__xludf.DUMMYFUNCTION("""COMPUTED_VALUE"""),8.0)</f>
        <v>8</v>
      </c>
      <c r="CL182" s="16" t="str">
        <f>IFERROR(__xludf.DUMMYFUNCTION("""COMPUTED_VALUE"""),"1WR-C")</f>
        <v>1WR-C</v>
      </c>
      <c r="CM182" s="16" t="str">
        <f>IFERROR(__xludf.DUMMYFUNCTION("""COMPUTED_VALUE"""),"E")</f>
        <v>E</v>
      </c>
      <c r="CN182" s="16">
        <f>IFERROR(__xludf.DUMMYFUNCTION("""COMPUTED_VALUE"""),10.0)</f>
        <v>10</v>
      </c>
      <c r="CO182" s="16" t="str">
        <f>IFERROR(__xludf.DUMMYFUNCTION("""COMPUTED_VALUE"""),"C")</f>
        <v>C</v>
      </c>
      <c r="CP182" s="16" t="str">
        <f>IFERROR(__xludf.DUMMYFUNCTION("""COMPUTED_VALUE"""),"1p70")</f>
        <v>1p70</v>
      </c>
      <c r="CQ182" s="16">
        <f>IFERROR(__xludf.DUMMYFUNCTION("""COMPUTED_VALUE"""),20.0)</f>
        <v>20</v>
      </c>
      <c r="CR182" s="16">
        <f>IFERROR(__xludf.DUMMYFUNCTION("""COMPUTED_VALUE"""),-5.0)</f>
        <v>-5</v>
      </c>
      <c r="CS182" s="16">
        <f>IFERROR(__xludf.DUMMYFUNCTION("""COMPUTED_VALUE"""),15.0)</f>
        <v>15</v>
      </c>
      <c r="CT182" s="16">
        <f>IFERROR(__xludf.DUMMYFUNCTION("""COMPUTED_VALUE"""),20.0)</f>
        <v>20</v>
      </c>
      <c r="CU182" s="16">
        <f>IFERROR(__xludf.DUMMYFUNCTION("""COMPUTED_VALUE"""),-5.0)</f>
        <v>-5</v>
      </c>
      <c r="CV182" s="179">
        <f>IFERROR(__xludf.DUMMYFUNCTION("""COMPUTED_VALUE"""),10.333333333333334)</f>
        <v>10.33333333</v>
      </c>
      <c r="CW182" s="179">
        <f>IFERROR(__xludf.DUMMYFUNCTION("""COMPUTED_VALUE"""),4.0)</f>
        <v>4</v>
      </c>
      <c r="CX182" s="179">
        <f>IFERROR(__xludf.DUMMYFUNCTION("""COMPUTED_VALUE"""),3.0)</f>
        <v>3</v>
      </c>
      <c r="CY182" s="16" t="str">
        <f>IFERROR(__xludf.DUMMYFUNCTION("""COMPUTED_VALUE"""),"SP")</f>
        <v>SP</v>
      </c>
      <c r="CZ182" s="16"/>
      <c r="DA182" s="16"/>
      <c r="DB182" s="16"/>
      <c r="DC182" s="16"/>
      <c r="DD182" s="16"/>
      <c r="DE182" s="16"/>
      <c r="DF182" s="16"/>
      <c r="DG182" s="16"/>
      <c r="DH182" s="16"/>
      <c r="DI182" s="16"/>
      <c r="DJ182" s="16"/>
      <c r="DK182" s="16"/>
    </row>
    <row r="183">
      <c r="A183" s="16">
        <f>IFERROR(__xludf.DUMMYFUNCTION("""COMPUTED_VALUE"""),12920.0)</f>
        <v>12920</v>
      </c>
      <c r="B183" s="16" t="str">
        <f>IFERROR(__xludf.DUMMYFUNCTION("""COMPUTED_VALUE"""),"Jalen Beeks")</f>
        <v>Jalen Beeks</v>
      </c>
      <c r="C183" s="153">
        <f>IFERROR(__xludf.DUMMYFUNCTION("""COMPUTED_VALUE"""),0.0)</f>
        <v>0</v>
      </c>
      <c r="D183" s="16"/>
      <c r="E183" s="16" t="str">
        <f>IFERROR(__xludf.DUMMYFUNCTION("""COMPUTED_VALUE"""),"L")</f>
        <v>L</v>
      </c>
      <c r="F183" s="16">
        <f>IFERROR(__xludf.DUMMYFUNCTION("""COMPUTED_VALUE"""),70.0)</f>
        <v>70</v>
      </c>
      <c r="G183" s="16">
        <f>IFERROR(__xludf.DUMMYFUNCTION("""COMPUTED_VALUE"""),24.0)</f>
        <v>24</v>
      </c>
      <c r="H183" s="16">
        <f>IFERROR(__xludf.DUMMYFUNCTION("""COMPUTED_VALUE"""),10.0)</f>
        <v>10</v>
      </c>
      <c r="I183" s="16">
        <f>IFERROR(__xludf.DUMMYFUNCTION("""COMPUTED_VALUE"""),-1.0)</f>
        <v>-1</v>
      </c>
      <c r="J183" s="16">
        <f>IFERROR(__xludf.DUMMYFUNCTION("""COMPUTED_VALUE"""),-2.0)</f>
        <v>-2</v>
      </c>
      <c r="K183" s="16">
        <f>IFERROR(__xludf.DUMMYFUNCTION("""COMPUTED_VALUE"""),-3.0)</f>
        <v>-3</v>
      </c>
      <c r="L183" s="16">
        <f>IFERROR(__xludf.DUMMYFUNCTION("""COMPUTED_VALUE"""),-6.0)</f>
        <v>-6</v>
      </c>
      <c r="M183" s="16">
        <f>IFERROR(__xludf.DUMMYFUNCTION("""COMPUTED_VALUE"""),13.0)</f>
        <v>13</v>
      </c>
      <c r="N183" s="16">
        <f>IFERROR(__xludf.DUMMYFUNCTION("""COMPUTED_VALUE"""),7.0)</f>
        <v>7</v>
      </c>
      <c r="O183" s="16">
        <f>IFERROR(__xludf.DUMMYFUNCTION("""COMPUTED_VALUE"""),-1.0)</f>
        <v>-1</v>
      </c>
      <c r="P183" s="16">
        <f>IFERROR(__xludf.DUMMYFUNCTION("""COMPUTED_VALUE"""),1.0)</f>
        <v>1</v>
      </c>
      <c r="Q183" s="16">
        <f>IFERROR(__xludf.DUMMYFUNCTION("""COMPUTED_VALUE"""),-1.0)</f>
        <v>-1</v>
      </c>
      <c r="R183" s="16">
        <f>IFERROR(__xludf.DUMMYFUNCTION("""COMPUTED_VALUE"""),1.0)</f>
        <v>1</v>
      </c>
      <c r="S183" s="16">
        <f>IFERROR(__xludf.DUMMYFUNCTION("""COMPUTED_VALUE"""),6.1)</f>
        <v>6.1</v>
      </c>
      <c r="T183" s="16">
        <f>IFERROR(__xludf.DUMMYFUNCTION("""COMPUTED_VALUE"""),28.7)</f>
        <v>28.7</v>
      </c>
      <c r="U183" s="16">
        <f>IFERROR(__xludf.DUMMYFUNCTION("""COMPUTED_VALUE"""),2.0)</f>
        <v>2</v>
      </c>
      <c r="V183" s="16">
        <f>IFERROR(__xludf.DUMMYFUNCTION("""COMPUTED_VALUE"""),-2.0)</f>
        <v>-2</v>
      </c>
      <c r="W183" s="16">
        <f>IFERROR(__xludf.DUMMYFUNCTION("""COMPUTED_VALUE"""),4.0)</f>
        <v>4</v>
      </c>
      <c r="X183" s="16">
        <f>IFERROR(__xludf.DUMMYFUNCTION("""COMPUTED_VALUE"""),-4.0)</f>
        <v>-4</v>
      </c>
      <c r="Y183" s="16">
        <f>IFERROR(__xludf.DUMMYFUNCTION("""COMPUTED_VALUE"""),19.1)</f>
        <v>19.1</v>
      </c>
      <c r="Z183" s="16">
        <f>IFERROR(__xludf.DUMMYFUNCTION("""COMPUTED_VALUE"""),35.7)</f>
        <v>35.7</v>
      </c>
      <c r="AA183" s="16">
        <f>IFERROR(__xludf.DUMMYFUNCTION("""COMPUTED_VALUE"""),1.0)</f>
        <v>1</v>
      </c>
      <c r="AB183" s="16">
        <f>IFERROR(__xludf.DUMMYFUNCTION("""COMPUTED_VALUE"""),-2.0)</f>
        <v>-2</v>
      </c>
      <c r="AC183" s="16">
        <f>IFERROR(__xludf.DUMMYFUNCTION("""COMPUTED_VALUE"""),5.0)</f>
        <v>5</v>
      </c>
      <c r="AD183" s="16">
        <f>IFERROR(__xludf.DUMMYFUNCTION("""COMPUTED_VALUE"""),-10.0)</f>
        <v>-10</v>
      </c>
      <c r="AE183" s="16">
        <f>IFERROR(__xludf.DUMMYFUNCTION("""COMPUTED_VALUE"""),11.5)</f>
        <v>11.5</v>
      </c>
      <c r="AF183" s="16">
        <f>IFERROR(__xludf.DUMMYFUNCTION("""COMPUTED_VALUE"""),34.8)</f>
        <v>34.8</v>
      </c>
      <c r="AG183" s="16">
        <f>IFERROR(__xludf.DUMMYFUNCTION("""COMPUTED_VALUE"""),2.0)</f>
        <v>2</v>
      </c>
      <c r="AH183" s="16">
        <f>IFERROR(__xludf.DUMMYFUNCTION("""COMPUTED_VALUE"""),-1.0)</f>
        <v>-1</v>
      </c>
      <c r="AI183" s="16">
        <f>IFERROR(__xludf.DUMMYFUNCTION("""COMPUTED_VALUE"""),4.0)</f>
        <v>4</v>
      </c>
      <c r="AJ183" s="16">
        <f>IFERROR(__xludf.DUMMYFUNCTION("""COMPUTED_VALUE"""),-2.0)</f>
        <v>-2</v>
      </c>
      <c r="AK183" s="16">
        <f>IFERROR(__xludf.DUMMYFUNCTION("""COMPUTED_VALUE"""),6.1)</f>
        <v>6.1</v>
      </c>
      <c r="AL183" s="16">
        <f>IFERROR(__xludf.DUMMYFUNCTION("""COMPUTED_VALUE"""),27.5)</f>
        <v>27.5</v>
      </c>
      <c r="AM183" s="16">
        <f>IFERROR(__xludf.DUMMYFUNCTION("""COMPUTED_VALUE"""),1.0)</f>
        <v>1</v>
      </c>
      <c r="AN183" s="16">
        <f>IFERROR(__xludf.DUMMYFUNCTION("""COMPUTED_VALUE"""),-2.0)</f>
        <v>-2</v>
      </c>
      <c r="AO183" s="16">
        <f>IFERROR(__xludf.DUMMYFUNCTION("""COMPUTED_VALUE"""),1.0)</f>
        <v>1</v>
      </c>
      <c r="AP183" s="16">
        <f>IFERROR(__xludf.DUMMYFUNCTION("""COMPUTED_VALUE"""),-2.0)</f>
        <v>-2</v>
      </c>
      <c r="AQ183" s="16">
        <f>IFERROR(__xludf.DUMMYFUNCTION("""COMPUTED_VALUE"""),11.5)</f>
        <v>11.5</v>
      </c>
      <c r="AR183" s="16">
        <f>IFERROR(__xludf.DUMMYFUNCTION("""COMPUTED_VALUE"""),29.999999999999996)</f>
        <v>30</v>
      </c>
      <c r="AS183" s="16">
        <f>IFERROR(__xludf.DUMMYFUNCTION("""COMPUTED_VALUE"""),1.0)</f>
        <v>1</v>
      </c>
      <c r="AT183" s="16">
        <f>IFERROR(__xludf.DUMMYFUNCTION("""COMPUTED_VALUE"""),-1.0)</f>
        <v>-1</v>
      </c>
      <c r="AU183" s="16">
        <f>IFERROR(__xludf.DUMMYFUNCTION("""COMPUTED_VALUE"""),2.0)</f>
        <v>2</v>
      </c>
      <c r="AV183" s="16">
        <f>IFERROR(__xludf.DUMMYFUNCTION("""COMPUTED_VALUE"""),-2.0)</f>
        <v>-2</v>
      </c>
      <c r="AW183" s="16">
        <f>IFERROR(__xludf.DUMMYFUNCTION("""COMPUTED_VALUE"""),0.0)</f>
        <v>0</v>
      </c>
      <c r="AX183" s="16">
        <f>IFERROR(__xludf.DUMMYFUNCTION("""COMPUTED_VALUE"""),1.2)</f>
        <v>1.2</v>
      </c>
      <c r="AY183" s="16">
        <f>IFERROR(__xludf.DUMMYFUNCTION("""COMPUTED_VALUE"""),2.0)</f>
        <v>2</v>
      </c>
      <c r="AZ183" s="16">
        <f>IFERROR(__xludf.DUMMYFUNCTION("""COMPUTED_VALUE"""),1.0)</f>
        <v>1</v>
      </c>
      <c r="BA183" s="16">
        <f>IFERROR(__xludf.DUMMYFUNCTION("""COMPUTED_VALUE"""),10.0)</f>
        <v>10</v>
      </c>
      <c r="BB183" s="16">
        <f>IFERROR(__xludf.DUMMYFUNCTION("""COMPUTED_VALUE"""),5.0)</f>
        <v>5</v>
      </c>
      <c r="BC183" s="16">
        <f>IFERROR(__xludf.DUMMYFUNCTION("""COMPUTED_VALUE"""),0.0)</f>
        <v>0</v>
      </c>
      <c r="BD183" s="16">
        <f>IFERROR(__xludf.DUMMYFUNCTION("""COMPUTED_VALUE"""),2.0)</f>
        <v>2</v>
      </c>
      <c r="BE183" s="16">
        <f>IFERROR(__xludf.DUMMYFUNCTION("""COMPUTED_VALUE"""),0.0)</f>
        <v>0</v>
      </c>
      <c r="BF183" s="16">
        <f>IFERROR(__xludf.DUMMYFUNCTION("""COMPUTED_VALUE"""),2.0)</f>
        <v>2</v>
      </c>
      <c r="BG183" s="16">
        <f>IFERROR(__xludf.DUMMYFUNCTION("""COMPUTED_VALUE"""),3.0)</f>
        <v>3</v>
      </c>
      <c r="BH183" s="16">
        <f>IFERROR(__xludf.DUMMYFUNCTION("""COMPUTED_VALUE"""),1.0)</f>
        <v>1</v>
      </c>
      <c r="BI183" s="16">
        <f>IFERROR(__xludf.DUMMYFUNCTION("""COMPUTED_VALUE"""),6.0)</f>
        <v>6</v>
      </c>
      <c r="BJ183" s="16">
        <f>IFERROR(__xludf.DUMMYFUNCTION("""COMPUTED_VALUE"""),2.0)</f>
        <v>2</v>
      </c>
      <c r="BK183" s="16">
        <f>IFERROR(__xludf.DUMMYFUNCTION("""COMPUTED_VALUE"""),5.0)</f>
        <v>5</v>
      </c>
      <c r="BL183" s="16">
        <f>IFERROR(__xludf.DUMMYFUNCTION("""COMPUTED_VALUE"""),5.0)</f>
        <v>5</v>
      </c>
      <c r="BM183" s="16">
        <f>IFERROR(__xludf.DUMMYFUNCTION("""COMPUTED_VALUE"""),0.0)</f>
        <v>0</v>
      </c>
      <c r="BN183" s="16">
        <f>IFERROR(__xludf.DUMMYFUNCTION("""COMPUTED_VALUE"""),0.0)</f>
        <v>0</v>
      </c>
      <c r="BO183" s="16">
        <f>IFERROR(__xludf.DUMMYFUNCTION("""COMPUTED_VALUE"""),0.0)</f>
        <v>0</v>
      </c>
      <c r="BP183" s="16">
        <f>IFERROR(__xludf.DUMMYFUNCTION("""COMPUTED_VALUE"""),0.0)</f>
        <v>0</v>
      </c>
      <c r="BQ183" s="16">
        <f>IFERROR(__xludf.DUMMYFUNCTION("""COMPUTED_VALUE"""),8.0)</f>
        <v>8</v>
      </c>
      <c r="BR183" s="16">
        <f>IFERROR(__xludf.DUMMYFUNCTION("""COMPUTED_VALUE"""),8.0)</f>
        <v>8</v>
      </c>
      <c r="BS183" s="16">
        <f>IFERROR(__xludf.DUMMYFUNCTION("""COMPUTED_VALUE"""),2.0)</f>
        <v>2</v>
      </c>
      <c r="BT183" s="16">
        <f>IFERROR(__xludf.DUMMYFUNCTION("""COMPUTED_VALUE"""),2.0)</f>
        <v>2</v>
      </c>
      <c r="BU183" s="16">
        <f>IFERROR(__xludf.DUMMYFUNCTION("""COMPUTED_VALUE"""),4.0)</f>
        <v>4</v>
      </c>
      <c r="BV183" s="16">
        <f>IFERROR(__xludf.DUMMYFUNCTION("""COMPUTED_VALUE"""),4.0)</f>
        <v>4</v>
      </c>
      <c r="BW183" s="16">
        <f>IFERROR(__xludf.DUMMYFUNCTION("""COMPUTED_VALUE"""),-3.0)</f>
        <v>-3</v>
      </c>
      <c r="BX183" s="16">
        <f>IFERROR(__xludf.DUMMYFUNCTION("""COMPUTED_VALUE"""),-3.0)</f>
        <v>-3</v>
      </c>
      <c r="BY183" s="16" t="str">
        <f>IFERROR(__xludf.DUMMYFUNCTION("""COMPUTED_VALUE"""),"R(1) C(2)")</f>
        <v>R(1) C(2)</v>
      </c>
      <c r="BZ183" s="16" t="str">
        <f>IFERROR(__xludf.DUMMYFUNCTION("""COMPUTED_VALUE"""),"R(1) C(2)")</f>
        <v>R(1) C(2)</v>
      </c>
      <c r="CA183" s="16" t="str">
        <f>IFERROR(__xludf.DUMMYFUNCTION("""COMPUTED_VALUE"""),"R(1)")</f>
        <v>R(1)</v>
      </c>
      <c r="CB183" s="16" t="str">
        <f>IFERROR(__xludf.DUMMYFUNCTION("""COMPUTED_VALUE"""),"C(2)")</f>
        <v>C(2)</v>
      </c>
      <c r="CC183" s="16"/>
      <c r="CD183" s="16"/>
      <c r="CE183" s="16">
        <f>IFERROR(__xludf.DUMMYFUNCTION("""COMPUTED_VALUE"""),1.0)</f>
        <v>1</v>
      </c>
      <c r="CF183" s="16">
        <f>IFERROR(__xludf.DUMMYFUNCTION("""COMPUTED_VALUE"""),2.0)</f>
        <v>2</v>
      </c>
      <c r="CG183" s="16" t="str">
        <f>IFERROR(__xludf.DUMMYFUNCTION("""COMPUTED_VALUE"""),"4-21")</f>
        <v>4-21</v>
      </c>
      <c r="CH183" s="16">
        <f>IFERROR(__xludf.DUMMYFUNCTION("""COMPUTED_VALUE"""),4.0)</f>
        <v>4</v>
      </c>
      <c r="CI183" s="16">
        <f>IFERROR(__xludf.DUMMYFUNCTION("""COMPUTED_VALUE"""),21.0)</f>
        <v>21</v>
      </c>
      <c r="CJ183" s="16">
        <f>IFERROR(__xludf.DUMMYFUNCTION("""COMPUTED_VALUE"""),0.0)</f>
        <v>0</v>
      </c>
      <c r="CK183" s="16">
        <f>IFERROR(__xludf.DUMMYFUNCTION("""COMPUTED_VALUE"""),20.0)</f>
        <v>20</v>
      </c>
      <c r="CL183" s="16" t="str">
        <f>IFERROR(__xludf.DUMMYFUNCTION("""COMPUTED_VALUE"""),"1WL-C")</f>
        <v>1WL-C</v>
      </c>
      <c r="CM183" s="16" t="str">
        <f>IFERROR(__xludf.DUMMYFUNCTION("""COMPUTED_VALUE"""),"E")</f>
        <v>E</v>
      </c>
      <c r="CN183" s="16">
        <f>IFERROR(__xludf.DUMMYFUNCTION("""COMPUTED_VALUE"""),10.0)</f>
        <v>10</v>
      </c>
      <c r="CO183" s="16" t="str">
        <f>IFERROR(__xludf.DUMMYFUNCTION("""COMPUTED_VALUE"""),"C")</f>
        <v>C</v>
      </c>
      <c r="CP183" s="16" t="str">
        <f>IFERROR(__xludf.DUMMYFUNCTION("""COMPUTED_VALUE"""),"0p72")</f>
        <v>0p72</v>
      </c>
      <c r="CQ183" s="16">
        <f>IFERROR(__xludf.DUMMYFUNCTION("""COMPUTED_VALUE"""),32.0)</f>
        <v>32</v>
      </c>
      <c r="CR183" s="16">
        <f>IFERROR(__xludf.DUMMYFUNCTION("""COMPUTED_VALUE"""),-14.0)</f>
        <v>-14</v>
      </c>
      <c r="CS183" s="16">
        <f>IFERROR(__xludf.DUMMYFUNCTION("""COMPUTED_VALUE"""),18.0)</f>
        <v>18</v>
      </c>
      <c r="CT183" s="16">
        <f>IFERROR(__xludf.DUMMYFUNCTION("""COMPUTED_VALUE"""),32.0)</f>
        <v>32</v>
      </c>
      <c r="CU183" s="16">
        <f>IFERROR(__xludf.DUMMYFUNCTION("""COMPUTED_VALUE"""),-14.0)</f>
        <v>-14</v>
      </c>
      <c r="CV183" s="179">
        <f>IFERROR(__xludf.DUMMYFUNCTION("""COMPUTED_VALUE"""),10.333333333333334)</f>
        <v>10.33333333</v>
      </c>
      <c r="CW183" s="179">
        <f>IFERROR(__xludf.DUMMYFUNCTION("""COMPUTED_VALUE"""),5.0)</f>
        <v>5</v>
      </c>
      <c r="CX183" s="179">
        <f>IFERROR(__xludf.DUMMYFUNCTION("""COMPUTED_VALUE"""),4.0)</f>
        <v>4</v>
      </c>
      <c r="CY183" s="16" t="str">
        <f>IFERROR(__xludf.DUMMYFUNCTION("""COMPUTED_VALUE"""),"RP")</f>
        <v>RP</v>
      </c>
      <c r="CZ183" s="16" t="str">
        <f>IFERROR(__xludf.DUMMYFUNCTION("""COMPUTED_VALUE"""),"CP")</f>
        <v>CP</v>
      </c>
      <c r="DA183" s="16"/>
      <c r="DB183" s="16"/>
      <c r="DC183" s="16"/>
      <c r="DD183" s="16"/>
      <c r="DE183" s="16"/>
      <c r="DF183" s="16"/>
      <c r="DG183" s="16"/>
      <c r="DH183" s="16"/>
      <c r="DI183" s="16"/>
      <c r="DJ183" s="16"/>
      <c r="DK183" s="16"/>
    </row>
    <row r="184">
      <c r="A184" s="16">
        <f>IFERROR(__xludf.DUMMYFUNCTION("""COMPUTED_VALUE"""),13470.0)</f>
        <v>13470</v>
      </c>
      <c r="B184" s="16" t="str">
        <f>IFERROR(__xludf.DUMMYFUNCTION("""COMPUTED_VALUE"""),"Victor Vodnik")</f>
        <v>Victor Vodnik</v>
      </c>
      <c r="C184" s="153">
        <f>IFERROR(__xludf.DUMMYFUNCTION("""COMPUTED_VALUE"""),0.78)</f>
        <v>0.78</v>
      </c>
      <c r="D184" s="16"/>
      <c r="E184" s="16" t="str">
        <f>IFERROR(__xludf.DUMMYFUNCTION("""COMPUTED_VALUE"""),"R")</f>
        <v>R</v>
      </c>
      <c r="F184" s="16">
        <f>IFERROR(__xludf.DUMMYFUNCTION("""COMPUTED_VALUE"""),74.0)</f>
        <v>74</v>
      </c>
      <c r="G184" s="16">
        <f>IFERROR(__xludf.DUMMYFUNCTION("""COMPUTED_VALUE"""),8.0)</f>
        <v>8</v>
      </c>
      <c r="H184" s="16">
        <f>IFERROR(__xludf.DUMMYFUNCTION("""COMPUTED_VALUE"""),29.0)</f>
        <v>29</v>
      </c>
      <c r="I184" s="16">
        <f>IFERROR(__xludf.DUMMYFUNCTION("""COMPUTED_VALUE"""),-2.0)</f>
        <v>-2</v>
      </c>
      <c r="J184" s="16">
        <f>IFERROR(__xludf.DUMMYFUNCTION("""COMPUTED_VALUE"""),0.0)</f>
        <v>0</v>
      </c>
      <c r="K184" s="16">
        <f>IFERROR(__xludf.DUMMYFUNCTION("""COMPUTED_VALUE"""),-6.0)</f>
        <v>-6</v>
      </c>
      <c r="L184" s="16">
        <f>IFERROR(__xludf.DUMMYFUNCTION("""COMPUTED_VALUE"""),0.0)</f>
        <v>0</v>
      </c>
      <c r="M184" s="16">
        <f>IFERROR(__xludf.DUMMYFUNCTION("""COMPUTED_VALUE"""),23.0)</f>
        <v>23</v>
      </c>
      <c r="N184" s="16">
        <f>IFERROR(__xludf.DUMMYFUNCTION("""COMPUTED_VALUE"""),10.0)</f>
        <v>10</v>
      </c>
      <c r="O184" s="16">
        <f>IFERROR(__xludf.DUMMYFUNCTION("""COMPUTED_VALUE"""),-3.0)</f>
        <v>-3</v>
      </c>
      <c r="P184" s="16">
        <f>IFERROR(__xludf.DUMMYFUNCTION("""COMPUTED_VALUE"""),-1.0)</f>
        <v>-1</v>
      </c>
      <c r="Q184" s="16">
        <f>IFERROR(__xludf.DUMMYFUNCTION("""COMPUTED_VALUE"""),-3.0)</f>
        <v>-3</v>
      </c>
      <c r="R184" s="16">
        <f>IFERROR(__xludf.DUMMYFUNCTION("""COMPUTED_VALUE"""),-1.0)</f>
        <v>-1</v>
      </c>
      <c r="S184" s="16">
        <f>IFERROR(__xludf.DUMMYFUNCTION("""COMPUTED_VALUE"""),12.2)</f>
        <v>12.2</v>
      </c>
      <c r="T184" s="16">
        <f>IFERROR(__xludf.DUMMYFUNCTION("""COMPUTED_VALUE"""),20.2)</f>
        <v>20.2</v>
      </c>
      <c r="U184" s="16">
        <f>IFERROR(__xludf.DUMMYFUNCTION("""COMPUTED_VALUE"""),1.0)</f>
        <v>1</v>
      </c>
      <c r="V184" s="16">
        <f>IFERROR(__xludf.DUMMYFUNCTION("""COMPUTED_VALUE"""),-1.0)</f>
        <v>-1</v>
      </c>
      <c r="W184" s="16">
        <f>IFERROR(__xludf.DUMMYFUNCTION("""COMPUTED_VALUE"""),2.0)</f>
        <v>2</v>
      </c>
      <c r="X184" s="16">
        <f>IFERROR(__xludf.DUMMYFUNCTION("""COMPUTED_VALUE"""),-2.0)</f>
        <v>-2</v>
      </c>
      <c r="Y184" s="16">
        <f>IFERROR(__xludf.DUMMYFUNCTION("""COMPUTED_VALUE"""),35.2)</f>
        <v>35.2</v>
      </c>
      <c r="Z184" s="16">
        <f>IFERROR(__xludf.DUMMYFUNCTION("""COMPUTED_VALUE"""),30.2)</f>
        <v>30.2</v>
      </c>
      <c r="AA184" s="16">
        <f>IFERROR(__xludf.DUMMYFUNCTION("""COMPUTED_VALUE"""),-1.0)</f>
        <v>-1</v>
      </c>
      <c r="AB184" s="16">
        <f>IFERROR(__xludf.DUMMYFUNCTION("""COMPUTED_VALUE"""),-1.0)</f>
        <v>-1</v>
      </c>
      <c r="AC184" s="16">
        <f>IFERROR(__xludf.DUMMYFUNCTION("""COMPUTED_VALUE"""),-5.0)</f>
        <v>-5</v>
      </c>
      <c r="AD184" s="16">
        <f>IFERROR(__xludf.DUMMYFUNCTION("""COMPUTED_VALUE"""),-5.0)</f>
        <v>-5</v>
      </c>
      <c r="AE184" s="16">
        <f>IFERROR(__xludf.DUMMYFUNCTION("""COMPUTED_VALUE"""),15.7)</f>
        <v>15.7</v>
      </c>
      <c r="AF184" s="16">
        <f>IFERROR(__xludf.DUMMYFUNCTION("""COMPUTED_VALUE"""),31.1)</f>
        <v>31.1</v>
      </c>
      <c r="AG184" s="16">
        <f>IFERROR(__xludf.DUMMYFUNCTION("""COMPUTED_VALUE"""),1.0)</f>
        <v>1</v>
      </c>
      <c r="AH184" s="16">
        <f>IFERROR(__xludf.DUMMYFUNCTION("""COMPUTED_VALUE"""),0.0)</f>
        <v>0</v>
      </c>
      <c r="AI184" s="16">
        <f>IFERROR(__xludf.DUMMYFUNCTION("""COMPUTED_VALUE"""),2.0)</f>
        <v>2</v>
      </c>
      <c r="AJ184" s="16">
        <f>IFERROR(__xludf.DUMMYFUNCTION("""COMPUTED_VALUE"""),0.0)</f>
        <v>0</v>
      </c>
      <c r="AK184" s="16">
        <f>IFERROR(__xludf.DUMMYFUNCTION("""COMPUTED_VALUE"""),12.2)</f>
        <v>12.2</v>
      </c>
      <c r="AL184" s="16">
        <f>IFERROR(__xludf.DUMMYFUNCTION("""COMPUTED_VALUE"""),18.8)</f>
        <v>18.8</v>
      </c>
      <c r="AM184" s="16">
        <f>IFERROR(__xludf.DUMMYFUNCTION("""COMPUTED_VALUE"""),0.0)</f>
        <v>0</v>
      </c>
      <c r="AN184" s="16">
        <f>IFERROR(__xludf.DUMMYFUNCTION("""COMPUTED_VALUE"""),-1.0)</f>
        <v>-1</v>
      </c>
      <c r="AO184" s="16">
        <f>IFERROR(__xludf.DUMMYFUNCTION("""COMPUTED_VALUE"""),0.0)</f>
        <v>0</v>
      </c>
      <c r="AP184" s="16">
        <f>IFERROR(__xludf.DUMMYFUNCTION("""COMPUTED_VALUE"""),-1.0)</f>
        <v>-1</v>
      </c>
      <c r="AQ184" s="16">
        <f>IFERROR(__xludf.DUMMYFUNCTION("""COMPUTED_VALUE"""),15.7)</f>
        <v>15.7</v>
      </c>
      <c r="AR184" s="16">
        <f>IFERROR(__xludf.DUMMYFUNCTION("""COMPUTED_VALUE"""),25.5)</f>
        <v>25.5</v>
      </c>
      <c r="AS184" s="16">
        <f>IFERROR(__xludf.DUMMYFUNCTION("""COMPUTED_VALUE"""),0.0)</f>
        <v>0</v>
      </c>
      <c r="AT184" s="16">
        <f>IFERROR(__xludf.DUMMYFUNCTION("""COMPUTED_VALUE"""),-1.0)</f>
        <v>-1</v>
      </c>
      <c r="AU184" s="16">
        <f>IFERROR(__xludf.DUMMYFUNCTION("""COMPUTED_VALUE"""),0.0)</f>
        <v>0</v>
      </c>
      <c r="AV184" s="16">
        <f>IFERROR(__xludf.DUMMYFUNCTION("""COMPUTED_VALUE"""),-2.0)</f>
        <v>-2</v>
      </c>
      <c r="AW184" s="16">
        <f>IFERROR(__xludf.DUMMYFUNCTION("""COMPUTED_VALUE"""),0.0)</f>
        <v>0</v>
      </c>
      <c r="AX184" s="16">
        <f>IFERROR(__xludf.DUMMYFUNCTION("""COMPUTED_VALUE"""),1.4)</f>
        <v>1.4</v>
      </c>
      <c r="AY184" s="16">
        <f>IFERROR(__xludf.DUMMYFUNCTION("""COMPUTED_VALUE"""),2.0)</f>
        <v>2</v>
      </c>
      <c r="AZ184" s="16">
        <f>IFERROR(__xludf.DUMMYFUNCTION("""COMPUTED_VALUE"""),1.0)</f>
        <v>1</v>
      </c>
      <c r="BA184" s="16">
        <f>IFERROR(__xludf.DUMMYFUNCTION("""COMPUTED_VALUE"""),10.0)</f>
        <v>10</v>
      </c>
      <c r="BB184" s="16">
        <f>IFERROR(__xludf.DUMMYFUNCTION("""COMPUTED_VALUE"""),5.0)</f>
        <v>5</v>
      </c>
      <c r="BC184" s="16">
        <f>IFERROR(__xludf.DUMMYFUNCTION("""COMPUTED_VALUE"""),0.0)</f>
        <v>0</v>
      </c>
      <c r="BD184" s="16">
        <f>IFERROR(__xludf.DUMMYFUNCTION("""COMPUTED_VALUE"""),2.0)</f>
        <v>2</v>
      </c>
      <c r="BE184" s="16">
        <f>IFERROR(__xludf.DUMMYFUNCTION("""COMPUTED_VALUE"""),0.0)</f>
        <v>0</v>
      </c>
      <c r="BF184" s="16">
        <f>IFERROR(__xludf.DUMMYFUNCTION("""COMPUTED_VALUE"""),2.0)</f>
        <v>2</v>
      </c>
      <c r="BG184" s="16">
        <f>IFERROR(__xludf.DUMMYFUNCTION("""COMPUTED_VALUE"""),3.0)</f>
        <v>3</v>
      </c>
      <c r="BH184" s="16">
        <f>IFERROR(__xludf.DUMMYFUNCTION("""COMPUTED_VALUE"""),1.0)</f>
        <v>1</v>
      </c>
      <c r="BI184" s="16">
        <f>IFERROR(__xludf.DUMMYFUNCTION("""COMPUTED_VALUE"""),6.0)</f>
        <v>6</v>
      </c>
      <c r="BJ184" s="16">
        <f>IFERROR(__xludf.DUMMYFUNCTION("""COMPUTED_VALUE"""),2.0)</f>
        <v>2</v>
      </c>
      <c r="BK184" s="16">
        <f>IFERROR(__xludf.DUMMYFUNCTION("""COMPUTED_VALUE"""),5.0)</f>
        <v>5</v>
      </c>
      <c r="BL184" s="16">
        <f>IFERROR(__xludf.DUMMYFUNCTION("""COMPUTED_VALUE"""),5.0)</f>
        <v>5</v>
      </c>
      <c r="BM184" s="16">
        <f>IFERROR(__xludf.DUMMYFUNCTION("""COMPUTED_VALUE"""),0.0)</f>
        <v>0</v>
      </c>
      <c r="BN184" s="16">
        <f>IFERROR(__xludf.DUMMYFUNCTION("""COMPUTED_VALUE"""),0.0)</f>
        <v>0</v>
      </c>
      <c r="BO184" s="16">
        <f>IFERROR(__xludf.DUMMYFUNCTION("""COMPUTED_VALUE"""),0.0)</f>
        <v>0</v>
      </c>
      <c r="BP184" s="16">
        <f>IFERROR(__xludf.DUMMYFUNCTION("""COMPUTED_VALUE"""),0.0)</f>
        <v>0</v>
      </c>
      <c r="BQ184" s="16">
        <f>IFERROR(__xludf.DUMMYFUNCTION("""COMPUTED_VALUE"""),10.0)</f>
        <v>10</v>
      </c>
      <c r="BR184" s="16">
        <f>IFERROR(__xludf.DUMMYFUNCTION("""COMPUTED_VALUE"""),10.0)</f>
        <v>10</v>
      </c>
      <c r="BS184" s="16">
        <f>IFERROR(__xludf.DUMMYFUNCTION("""COMPUTED_VALUE"""),3.0)</f>
        <v>3</v>
      </c>
      <c r="BT184" s="16">
        <f>IFERROR(__xludf.DUMMYFUNCTION("""COMPUTED_VALUE"""),3.0)</f>
        <v>3</v>
      </c>
      <c r="BU184" s="16">
        <f>IFERROR(__xludf.DUMMYFUNCTION("""COMPUTED_VALUE"""),6.0)</f>
        <v>6</v>
      </c>
      <c r="BV184" s="16">
        <f>IFERROR(__xludf.DUMMYFUNCTION("""COMPUTED_VALUE"""),6.0)</f>
        <v>6</v>
      </c>
      <c r="BW184" s="16">
        <f>IFERROR(__xludf.DUMMYFUNCTION("""COMPUTED_VALUE"""),-2.0)</f>
        <v>-2</v>
      </c>
      <c r="BX184" s="16">
        <f>IFERROR(__xludf.DUMMYFUNCTION("""COMPUTED_VALUE"""),-2.0)</f>
        <v>-2</v>
      </c>
      <c r="BY184" s="16" t="str">
        <f>IFERROR(__xludf.DUMMYFUNCTION("""COMPUTED_VALUE"""),"R(2) C(3)")</f>
        <v>R(2) C(3)</v>
      </c>
      <c r="BZ184" s="16" t="str">
        <f>IFERROR(__xludf.DUMMYFUNCTION("""COMPUTED_VALUE"""),"R(2) C(3)")</f>
        <v>R(2) C(3)</v>
      </c>
      <c r="CA184" s="16" t="str">
        <f>IFERROR(__xludf.DUMMYFUNCTION("""COMPUTED_VALUE"""),"R(2)")</f>
        <v>R(2)</v>
      </c>
      <c r="CB184" s="16" t="str">
        <f>IFERROR(__xludf.DUMMYFUNCTION("""COMPUTED_VALUE"""),"C(3)")</f>
        <v>C(3)</v>
      </c>
      <c r="CC184" s="16"/>
      <c r="CD184" s="16"/>
      <c r="CE184" s="16">
        <f>IFERROR(__xludf.DUMMYFUNCTION("""COMPUTED_VALUE"""),2.0)</f>
        <v>2</v>
      </c>
      <c r="CF184" s="16">
        <f>IFERROR(__xludf.DUMMYFUNCTION("""COMPUTED_VALUE"""),3.0)</f>
        <v>3</v>
      </c>
      <c r="CG184" s="16" t="str">
        <f>IFERROR(__xludf.DUMMYFUNCTION("""COMPUTED_VALUE"""),"4-0")</f>
        <v>4-0</v>
      </c>
      <c r="CH184" s="16">
        <f>IFERROR(__xludf.DUMMYFUNCTION("""COMPUTED_VALUE"""),4.0)</f>
        <v>4</v>
      </c>
      <c r="CI184" s="16">
        <f>IFERROR(__xludf.DUMMYFUNCTION("""COMPUTED_VALUE"""),0.0)</f>
        <v>0</v>
      </c>
      <c r="CJ184" s="16">
        <f>IFERROR(__xludf.DUMMYFUNCTION("""COMPUTED_VALUE"""),0.0)</f>
        <v>0</v>
      </c>
      <c r="CK184" s="16">
        <f>IFERROR(__xludf.DUMMYFUNCTION("""COMPUTED_VALUE"""),11.0)</f>
        <v>11</v>
      </c>
      <c r="CL184" s="16" t="str">
        <f>IFERROR(__xludf.DUMMYFUNCTION("""COMPUTED_VALUE"""),"1WR-C")</f>
        <v>1WR-C</v>
      </c>
      <c r="CM184" s="16" t="str">
        <f>IFERROR(__xludf.DUMMYFUNCTION("""COMPUTED_VALUE"""),"E")</f>
        <v>E</v>
      </c>
      <c r="CN184" s="16">
        <f>IFERROR(__xludf.DUMMYFUNCTION("""COMPUTED_VALUE"""),10.0)</f>
        <v>10</v>
      </c>
      <c r="CO184" s="16" t="str">
        <f>IFERROR(__xludf.DUMMYFUNCTION("""COMPUTED_VALUE"""),"C")</f>
        <v>C</v>
      </c>
      <c r="CP184" s="16" t="str">
        <f>IFERROR(__xludf.DUMMYFUNCTION("""COMPUTED_VALUE"""),"1p40")</f>
        <v>1p40</v>
      </c>
      <c r="CQ184" s="16">
        <f>IFERROR(__xludf.DUMMYFUNCTION("""COMPUTED_VALUE"""),12.0)</f>
        <v>12</v>
      </c>
      <c r="CR184" s="16">
        <f>IFERROR(__xludf.DUMMYFUNCTION("""COMPUTED_VALUE"""),2.0)</f>
        <v>2</v>
      </c>
      <c r="CS184" s="16">
        <f>IFERROR(__xludf.DUMMYFUNCTION("""COMPUTED_VALUE"""),14.0)</f>
        <v>14</v>
      </c>
      <c r="CT184" s="16">
        <f>IFERROR(__xludf.DUMMYFUNCTION("""COMPUTED_VALUE"""),12.0)</f>
        <v>12</v>
      </c>
      <c r="CU184" s="16">
        <f>IFERROR(__xludf.DUMMYFUNCTION("""COMPUTED_VALUE"""),2.0)</f>
        <v>2</v>
      </c>
      <c r="CV184" s="179">
        <f>IFERROR(__xludf.DUMMYFUNCTION("""COMPUTED_VALUE"""),10.333333333333332)</f>
        <v>10.33333333</v>
      </c>
      <c r="CW184" s="179">
        <f>IFERROR(__xludf.DUMMYFUNCTION("""COMPUTED_VALUE"""),4.0)</f>
        <v>4</v>
      </c>
      <c r="CX184" s="179">
        <f>IFERROR(__xludf.DUMMYFUNCTION("""COMPUTED_VALUE"""),1.0)</f>
        <v>1</v>
      </c>
      <c r="CY184" s="16" t="str">
        <f>IFERROR(__xludf.DUMMYFUNCTION("""COMPUTED_VALUE"""),"RP")</f>
        <v>RP</v>
      </c>
      <c r="CZ184" s="16" t="str">
        <f>IFERROR(__xludf.DUMMYFUNCTION("""COMPUTED_VALUE"""),"CP")</f>
        <v>CP</v>
      </c>
      <c r="DA184" s="16"/>
      <c r="DB184" s="16"/>
      <c r="DC184" s="16"/>
      <c r="DD184" s="16"/>
      <c r="DE184" s="16"/>
      <c r="DF184" s="16"/>
      <c r="DG184" s="16"/>
      <c r="DH184" s="16"/>
      <c r="DI184" s="16"/>
      <c r="DJ184" s="16"/>
      <c r="DK184" s="16"/>
    </row>
    <row r="185">
      <c r="A185" s="16">
        <f>IFERROR(__xludf.DUMMYFUNCTION("""COMPUTED_VALUE"""),13355.0)</f>
        <v>13355</v>
      </c>
      <c r="B185" s="16" t="str">
        <f>IFERROR(__xludf.DUMMYFUNCTION("""COMPUTED_VALUE"""),"Scott Alexander")</f>
        <v>Scott Alexander</v>
      </c>
      <c r="C185" s="153">
        <f>IFERROR(__xludf.DUMMYFUNCTION("""COMPUTED_VALUE"""),0.89)</f>
        <v>0.89</v>
      </c>
      <c r="D185" s="16"/>
      <c r="E185" s="16" t="str">
        <f>IFERROR(__xludf.DUMMYFUNCTION("""COMPUTED_VALUE"""),"L")</f>
        <v>L</v>
      </c>
      <c r="F185" s="16">
        <f>IFERROR(__xludf.DUMMYFUNCTION("""COMPUTED_VALUE"""),39.0)</f>
        <v>39</v>
      </c>
      <c r="G185" s="16">
        <f>IFERROR(__xludf.DUMMYFUNCTION("""COMPUTED_VALUE"""),20.0)</f>
        <v>20</v>
      </c>
      <c r="H185" s="16">
        <f>IFERROR(__xludf.DUMMYFUNCTION("""COMPUTED_VALUE"""),20.0)</f>
        <v>20</v>
      </c>
      <c r="I185" s="16">
        <f>IFERROR(__xludf.DUMMYFUNCTION("""COMPUTED_VALUE"""),-1.0)</f>
        <v>-1</v>
      </c>
      <c r="J185" s="16">
        <f>IFERROR(__xludf.DUMMYFUNCTION("""COMPUTED_VALUE"""),-1.0)</f>
        <v>-1</v>
      </c>
      <c r="K185" s="16">
        <f>IFERROR(__xludf.DUMMYFUNCTION("""COMPUTED_VALUE"""),-3.0)</f>
        <v>-3</v>
      </c>
      <c r="L185" s="16">
        <f>IFERROR(__xludf.DUMMYFUNCTION("""COMPUTED_VALUE"""),-3.0)</f>
        <v>-3</v>
      </c>
      <c r="M185" s="16">
        <f>IFERROR(__xludf.DUMMYFUNCTION("""COMPUTED_VALUE"""),0.0)</f>
        <v>0</v>
      </c>
      <c r="N185" s="16">
        <f>IFERROR(__xludf.DUMMYFUNCTION("""COMPUTED_VALUE"""),7.0)</f>
        <v>7</v>
      </c>
      <c r="O185" s="16">
        <f>IFERROR(__xludf.DUMMYFUNCTION("""COMPUTED_VALUE"""),3.0)</f>
        <v>3</v>
      </c>
      <c r="P185" s="16">
        <f>IFERROR(__xludf.DUMMYFUNCTION("""COMPUTED_VALUE"""),1.0)</f>
        <v>1</v>
      </c>
      <c r="Q185" s="16">
        <f>IFERROR(__xludf.DUMMYFUNCTION("""COMPUTED_VALUE"""),3.0)</f>
        <v>3</v>
      </c>
      <c r="R185" s="16">
        <f>IFERROR(__xludf.DUMMYFUNCTION("""COMPUTED_VALUE"""),1.0)</f>
        <v>1</v>
      </c>
      <c r="S185" s="16">
        <f>IFERROR(__xludf.DUMMYFUNCTION("""COMPUTED_VALUE"""),7.6)</f>
        <v>7.6</v>
      </c>
      <c r="T185" s="16">
        <f>IFERROR(__xludf.DUMMYFUNCTION("""COMPUTED_VALUE"""),16.3)</f>
        <v>16.3</v>
      </c>
      <c r="U185" s="16">
        <f>IFERROR(__xludf.DUMMYFUNCTION("""COMPUTED_VALUE"""),1.0)</f>
        <v>1</v>
      </c>
      <c r="V185" s="16">
        <f>IFERROR(__xludf.DUMMYFUNCTION("""COMPUTED_VALUE"""),0.0)</f>
        <v>0</v>
      </c>
      <c r="W185" s="16">
        <f>IFERROR(__xludf.DUMMYFUNCTION("""COMPUTED_VALUE"""),2.0)</f>
        <v>2</v>
      </c>
      <c r="X185" s="16">
        <f>IFERROR(__xludf.DUMMYFUNCTION("""COMPUTED_VALUE"""),0.0)</f>
        <v>0</v>
      </c>
      <c r="Y185" s="16">
        <f>IFERROR(__xludf.DUMMYFUNCTION("""COMPUTED_VALUE"""),7.6)</f>
        <v>7.6</v>
      </c>
      <c r="Z185" s="16">
        <f>IFERROR(__xludf.DUMMYFUNCTION("""COMPUTED_VALUE"""),23.3)</f>
        <v>23.3</v>
      </c>
      <c r="AA185" s="16">
        <f>IFERROR(__xludf.DUMMYFUNCTION("""COMPUTED_VALUE"""),2.0)</f>
        <v>2</v>
      </c>
      <c r="AB185" s="16">
        <f>IFERROR(__xludf.DUMMYFUNCTION("""COMPUTED_VALUE"""),0.0)</f>
        <v>0</v>
      </c>
      <c r="AC185" s="16">
        <f>IFERROR(__xludf.DUMMYFUNCTION("""COMPUTED_VALUE"""),10.0)</f>
        <v>10</v>
      </c>
      <c r="AD185" s="16">
        <f>IFERROR(__xludf.DUMMYFUNCTION("""COMPUTED_VALUE"""),0.0)</f>
        <v>0</v>
      </c>
      <c r="AE185" s="16">
        <f>IFERROR(__xludf.DUMMYFUNCTION("""COMPUTED_VALUE"""),13.4)</f>
        <v>13.4</v>
      </c>
      <c r="AF185" s="16">
        <f>IFERROR(__xludf.DUMMYFUNCTION("""COMPUTED_VALUE"""),30.4)</f>
        <v>30.4</v>
      </c>
      <c r="AG185" s="16">
        <f>IFERROR(__xludf.DUMMYFUNCTION("""COMPUTED_VALUE"""),1.0)</f>
        <v>1</v>
      </c>
      <c r="AH185" s="16">
        <f>IFERROR(__xludf.DUMMYFUNCTION("""COMPUTED_VALUE"""),0.0)</f>
        <v>0</v>
      </c>
      <c r="AI185" s="16">
        <f>IFERROR(__xludf.DUMMYFUNCTION("""COMPUTED_VALUE"""),2.0)</f>
        <v>2</v>
      </c>
      <c r="AJ185" s="16">
        <f>IFERROR(__xludf.DUMMYFUNCTION("""COMPUTED_VALUE"""),0.0)</f>
        <v>0</v>
      </c>
      <c r="AK185" s="16">
        <f>IFERROR(__xludf.DUMMYFUNCTION("""COMPUTED_VALUE"""),7.6)</f>
        <v>7.6</v>
      </c>
      <c r="AL185" s="16">
        <f>IFERROR(__xludf.DUMMYFUNCTION("""COMPUTED_VALUE"""),13.5)</f>
        <v>13.5</v>
      </c>
      <c r="AM185" s="16">
        <f>IFERROR(__xludf.DUMMYFUNCTION("""COMPUTED_VALUE"""),1.0)</f>
        <v>1</v>
      </c>
      <c r="AN185" s="16">
        <f>IFERROR(__xludf.DUMMYFUNCTION("""COMPUTED_VALUE"""),0.0)</f>
        <v>0</v>
      </c>
      <c r="AO185" s="16">
        <f>IFERROR(__xludf.DUMMYFUNCTION("""COMPUTED_VALUE"""),1.0)</f>
        <v>1</v>
      </c>
      <c r="AP185" s="16">
        <f>IFERROR(__xludf.DUMMYFUNCTION("""COMPUTED_VALUE"""),0.0)</f>
        <v>0</v>
      </c>
      <c r="AQ185" s="16">
        <f>IFERROR(__xludf.DUMMYFUNCTION("""COMPUTED_VALUE"""),13.4)</f>
        <v>13.4</v>
      </c>
      <c r="AR185" s="16">
        <f>IFERROR(__xludf.DUMMYFUNCTION("""COMPUTED_VALUE"""),19.2)</f>
        <v>19.2</v>
      </c>
      <c r="AS185" s="16">
        <f>IFERROR(__xludf.DUMMYFUNCTION("""COMPUTED_VALUE"""),1.0)</f>
        <v>1</v>
      </c>
      <c r="AT185" s="16">
        <f>IFERROR(__xludf.DUMMYFUNCTION("""COMPUTED_VALUE"""),0.0)</f>
        <v>0</v>
      </c>
      <c r="AU185" s="16">
        <f>IFERROR(__xludf.DUMMYFUNCTION("""COMPUTED_VALUE"""),2.0)</f>
        <v>2</v>
      </c>
      <c r="AV185" s="16">
        <f>IFERROR(__xludf.DUMMYFUNCTION("""COMPUTED_VALUE"""),0.0)</f>
        <v>0</v>
      </c>
      <c r="AW185" s="16">
        <f>IFERROR(__xludf.DUMMYFUNCTION("""COMPUTED_VALUE"""),0.0)</f>
        <v>0</v>
      </c>
      <c r="AX185" s="16">
        <f>IFERROR(__xludf.DUMMYFUNCTION("""COMPUTED_VALUE"""),2.8)</f>
        <v>2.8</v>
      </c>
      <c r="AY185" s="16">
        <f>IFERROR(__xludf.DUMMYFUNCTION("""COMPUTED_VALUE"""),2.0)</f>
        <v>2</v>
      </c>
      <c r="AZ185" s="16">
        <f>IFERROR(__xludf.DUMMYFUNCTION("""COMPUTED_VALUE"""),-1.0)</f>
        <v>-1</v>
      </c>
      <c r="BA185" s="16">
        <f>IFERROR(__xludf.DUMMYFUNCTION("""COMPUTED_VALUE"""),10.0)</f>
        <v>10</v>
      </c>
      <c r="BB185" s="16">
        <f>IFERROR(__xludf.DUMMYFUNCTION("""COMPUTED_VALUE"""),-5.0)</f>
        <v>-5</v>
      </c>
      <c r="BC185" s="16"/>
      <c r="BD185" s="16">
        <f>IFERROR(__xludf.DUMMYFUNCTION("""COMPUTED_VALUE"""),6.0)</f>
        <v>6</v>
      </c>
      <c r="BE185" s="16">
        <f>IFERROR(__xludf.DUMMYFUNCTION("""COMPUTED_VALUE"""),0.0)</f>
        <v>0</v>
      </c>
      <c r="BF185" s="16">
        <f>IFERROR(__xludf.DUMMYFUNCTION("""COMPUTED_VALUE"""),6.0)</f>
        <v>6</v>
      </c>
      <c r="BG185" s="16">
        <f>IFERROR(__xludf.DUMMYFUNCTION("""COMPUTED_VALUE"""),3.0)</f>
        <v>3</v>
      </c>
      <c r="BH185" s="16">
        <f>IFERROR(__xludf.DUMMYFUNCTION("""COMPUTED_VALUE"""),-2.0)</f>
        <v>-2</v>
      </c>
      <c r="BI185" s="16">
        <f>IFERROR(__xludf.DUMMYFUNCTION("""COMPUTED_VALUE"""),6.0)</f>
        <v>6</v>
      </c>
      <c r="BJ185" s="16">
        <f>IFERROR(__xludf.DUMMYFUNCTION("""COMPUTED_VALUE"""),-4.0)</f>
        <v>-4</v>
      </c>
      <c r="BK185" s="16">
        <f>IFERROR(__xludf.DUMMYFUNCTION("""COMPUTED_VALUE"""),0.0)</f>
        <v>0</v>
      </c>
      <c r="BL185" s="16">
        <f>IFERROR(__xludf.DUMMYFUNCTION("""COMPUTED_VALUE"""),5.0)</f>
        <v>5</v>
      </c>
      <c r="BM185" s="16">
        <f>IFERROR(__xludf.DUMMYFUNCTION("""COMPUTED_VALUE"""),1.0)</f>
        <v>1</v>
      </c>
      <c r="BN185" s="16">
        <f>IFERROR(__xludf.DUMMYFUNCTION("""COMPUTED_VALUE"""),0.0)</f>
        <v>0</v>
      </c>
      <c r="BO185" s="16">
        <f>IFERROR(__xludf.DUMMYFUNCTION("""COMPUTED_VALUE"""),1.0)</f>
        <v>1</v>
      </c>
      <c r="BP185" s="16">
        <f>IFERROR(__xludf.DUMMYFUNCTION("""COMPUTED_VALUE"""),0.0)</f>
        <v>0</v>
      </c>
      <c r="BQ185" s="16">
        <f>IFERROR(__xludf.DUMMYFUNCTION("""COMPUTED_VALUE"""),8.0)</f>
        <v>8</v>
      </c>
      <c r="BR185" s="16">
        <f>IFERROR(__xludf.DUMMYFUNCTION("""COMPUTED_VALUE"""),8.0)</f>
        <v>8</v>
      </c>
      <c r="BS185" s="16">
        <f>IFERROR(__xludf.DUMMYFUNCTION("""COMPUTED_VALUE"""),2.0)</f>
        <v>2</v>
      </c>
      <c r="BT185" s="16">
        <f>IFERROR(__xludf.DUMMYFUNCTION("""COMPUTED_VALUE"""),2.0)</f>
        <v>2</v>
      </c>
      <c r="BU185" s="16">
        <f>IFERROR(__xludf.DUMMYFUNCTION("""COMPUTED_VALUE"""),4.0)</f>
        <v>4</v>
      </c>
      <c r="BV185" s="16">
        <f>IFERROR(__xludf.DUMMYFUNCTION("""COMPUTED_VALUE"""),4.0)</f>
        <v>4</v>
      </c>
      <c r="BW185" s="16">
        <f>IFERROR(__xludf.DUMMYFUNCTION("""COMPUTED_VALUE"""),1.0)</f>
        <v>1</v>
      </c>
      <c r="BX185" s="16">
        <f>IFERROR(__xludf.DUMMYFUNCTION("""COMPUTED_VALUE"""),1.0)</f>
        <v>1</v>
      </c>
      <c r="BY185" s="16" t="str">
        <f>IFERROR(__xludf.DUMMYFUNCTION("""COMPUTED_VALUE"""),"R(1)")</f>
        <v>R(1)</v>
      </c>
      <c r="BZ185" s="16" t="str">
        <f>IFERROR(__xludf.DUMMYFUNCTION("""COMPUTED_VALUE"""),"R(1)")</f>
        <v>R(1)</v>
      </c>
      <c r="CA185" s="16" t="str">
        <f>IFERROR(__xludf.DUMMYFUNCTION("""COMPUTED_VALUE"""),"R(1)")</f>
        <v>R(1)</v>
      </c>
      <c r="CB185" s="16"/>
      <c r="CC185" s="16"/>
      <c r="CD185" s="16"/>
      <c r="CE185" s="16">
        <f>IFERROR(__xludf.DUMMYFUNCTION("""COMPUTED_VALUE"""),1.0)</f>
        <v>1</v>
      </c>
      <c r="CF185" s="16"/>
      <c r="CG185" s="16" t="str">
        <f>IFERROR(__xludf.DUMMYFUNCTION("""COMPUTED_VALUE"""),"3-0")</f>
        <v>3-0</v>
      </c>
      <c r="CH185" s="16">
        <f>IFERROR(__xludf.DUMMYFUNCTION("""COMPUTED_VALUE"""),3.0)</f>
        <v>3</v>
      </c>
      <c r="CI185" s="16">
        <f>IFERROR(__xludf.DUMMYFUNCTION("""COMPUTED_VALUE"""),0.0)</f>
        <v>0</v>
      </c>
      <c r="CJ185" s="16">
        <f>IFERROR(__xludf.DUMMYFUNCTION("""COMPUTED_VALUE"""),0.0)</f>
        <v>0</v>
      </c>
      <c r="CK185" s="16">
        <f>IFERROR(__xludf.DUMMYFUNCTION("""COMPUTED_VALUE"""),11.0)</f>
        <v>11</v>
      </c>
      <c r="CL185" s="16" t="str">
        <f>IFERROR(__xludf.DUMMYFUNCTION("""COMPUTED_VALUE"""),"1WL-C")</f>
        <v>1WL-C</v>
      </c>
      <c r="CM185" s="16" t="str">
        <f>IFERROR(__xludf.DUMMYFUNCTION("""COMPUTED_VALUE"""),"E")</f>
        <v>E</v>
      </c>
      <c r="CN185" s="16">
        <f>IFERROR(__xludf.DUMMYFUNCTION("""COMPUTED_VALUE"""),10.0)</f>
        <v>10</v>
      </c>
      <c r="CO185" s="16" t="str">
        <f>IFERROR(__xludf.DUMMYFUNCTION("""COMPUTED_VALUE"""),"C")</f>
        <v>C</v>
      </c>
      <c r="CP185" s="16" t="str">
        <f>IFERROR(__xludf.DUMMYFUNCTION("""COMPUTED_VALUE"""),"5p30")</f>
        <v>5p30</v>
      </c>
      <c r="CQ185" s="16">
        <f>IFERROR(__xludf.DUMMYFUNCTION("""COMPUTED_VALUE"""),38.0)</f>
        <v>38</v>
      </c>
      <c r="CR185" s="16">
        <f>IFERROR(__xludf.DUMMYFUNCTION("""COMPUTED_VALUE"""),-7.0)</f>
        <v>-7</v>
      </c>
      <c r="CS185" s="16">
        <f>IFERROR(__xludf.DUMMYFUNCTION("""COMPUTED_VALUE"""),31.0)</f>
        <v>31</v>
      </c>
      <c r="CT185" s="16">
        <f>IFERROR(__xludf.DUMMYFUNCTION("""COMPUTED_VALUE"""),38.0)</f>
        <v>38</v>
      </c>
      <c r="CU185" s="16">
        <f>IFERROR(__xludf.DUMMYFUNCTION("""COMPUTED_VALUE"""),-7.0)</f>
        <v>-7</v>
      </c>
      <c r="CV185" s="179">
        <f>IFERROR(__xludf.DUMMYFUNCTION("""COMPUTED_VALUE"""),10.0)</f>
        <v>10</v>
      </c>
      <c r="CW185" s="179">
        <f>IFERROR(__xludf.DUMMYFUNCTION("""COMPUTED_VALUE"""),0.0)</f>
        <v>0</v>
      </c>
      <c r="CX185" s="179">
        <f>IFERROR(__xludf.DUMMYFUNCTION("""COMPUTED_VALUE"""),2.0)</f>
        <v>2</v>
      </c>
      <c r="CY185" s="16" t="str">
        <f>IFERROR(__xludf.DUMMYFUNCTION("""COMPUTED_VALUE"""),"RP")</f>
        <v>RP</v>
      </c>
      <c r="CZ185" s="16"/>
      <c r="DA185" s="16"/>
      <c r="DB185" s="16"/>
      <c r="DC185" s="16"/>
      <c r="DD185" s="16"/>
      <c r="DE185" s="16"/>
      <c r="DF185" s="16"/>
      <c r="DG185" s="16"/>
      <c r="DH185" s="16"/>
      <c r="DI185" s="16"/>
      <c r="DJ185" s="16"/>
      <c r="DK185" s="16"/>
    </row>
    <row r="186">
      <c r="A186" s="16">
        <f>IFERROR(__xludf.DUMMYFUNCTION("""COMPUTED_VALUE"""),12841.0)</f>
        <v>12841</v>
      </c>
      <c r="B186" s="16" t="str">
        <f>IFERROR(__xludf.DUMMYFUNCTION("""COMPUTED_VALUE"""),"George Kirby")</f>
        <v>George Kirby</v>
      </c>
      <c r="C186" s="153">
        <f>IFERROR(__xludf.DUMMYFUNCTION("""COMPUTED_VALUE"""),0.9)</f>
        <v>0.9</v>
      </c>
      <c r="D186" s="16"/>
      <c r="E186" s="16" t="str">
        <f>IFERROR(__xludf.DUMMYFUNCTION("""COMPUTED_VALUE"""),"R")</f>
        <v>R</v>
      </c>
      <c r="F186" s="16">
        <f>IFERROR(__xludf.DUMMYFUNCTION("""COMPUTED_VALUE"""),191.0)</f>
        <v>191</v>
      </c>
      <c r="G186" s="16">
        <f>IFERROR(__xludf.DUMMYFUNCTION("""COMPUTED_VALUE"""),30.0)</f>
        <v>30</v>
      </c>
      <c r="H186" s="16">
        <f>IFERROR(__xludf.DUMMYFUNCTION("""COMPUTED_VALUE"""),21.0)</f>
        <v>21</v>
      </c>
      <c r="I186" s="16">
        <f>IFERROR(__xludf.DUMMYFUNCTION("""COMPUTED_VALUE"""),0.0)</f>
        <v>0</v>
      </c>
      <c r="J186" s="16">
        <f>IFERROR(__xludf.DUMMYFUNCTION("""COMPUTED_VALUE"""),-1.0)</f>
        <v>-1</v>
      </c>
      <c r="K186" s="16">
        <f>IFERROR(__xludf.DUMMYFUNCTION("""COMPUTED_VALUE"""),0.0)</f>
        <v>0</v>
      </c>
      <c r="L186" s="16">
        <f>IFERROR(__xludf.DUMMYFUNCTION("""COMPUTED_VALUE"""),-3.0)</f>
        <v>-3</v>
      </c>
      <c r="M186" s="16">
        <f>IFERROR(__xludf.DUMMYFUNCTION("""COMPUTED_VALUE"""),0.0)</f>
        <v>0</v>
      </c>
      <c r="N186" s="16">
        <f>IFERROR(__xludf.DUMMYFUNCTION("""COMPUTED_VALUE"""),0.0)</f>
        <v>0</v>
      </c>
      <c r="O186" s="16">
        <f>IFERROR(__xludf.DUMMYFUNCTION("""COMPUTED_VALUE"""),3.0)</f>
        <v>3</v>
      </c>
      <c r="P186" s="16">
        <f>IFERROR(__xludf.DUMMYFUNCTION("""COMPUTED_VALUE"""),3.0)</f>
        <v>3</v>
      </c>
      <c r="Q186" s="16">
        <f>IFERROR(__xludf.DUMMYFUNCTION("""COMPUTED_VALUE"""),3.0)</f>
        <v>3</v>
      </c>
      <c r="R186" s="16">
        <f>IFERROR(__xludf.DUMMYFUNCTION("""COMPUTED_VALUE"""),3.0)</f>
        <v>3</v>
      </c>
      <c r="S186" s="16">
        <f>IFERROR(__xludf.DUMMYFUNCTION("""COMPUTED_VALUE"""),19.4)</f>
        <v>19.4</v>
      </c>
      <c r="T186" s="16">
        <f>IFERROR(__xludf.DUMMYFUNCTION("""COMPUTED_VALUE"""),16.0)</f>
        <v>16</v>
      </c>
      <c r="U186" s="16">
        <f>IFERROR(__xludf.DUMMYFUNCTION("""COMPUTED_VALUE"""),-1.0)</f>
        <v>-1</v>
      </c>
      <c r="V186" s="16">
        <f>IFERROR(__xludf.DUMMYFUNCTION("""COMPUTED_VALUE"""),0.0)</f>
        <v>0</v>
      </c>
      <c r="W186" s="16">
        <f>IFERROR(__xludf.DUMMYFUNCTION("""COMPUTED_VALUE"""),-2.0)</f>
        <v>-2</v>
      </c>
      <c r="X186" s="16">
        <f>IFERROR(__xludf.DUMMYFUNCTION("""COMPUTED_VALUE"""),0.0)</f>
        <v>0</v>
      </c>
      <c r="Y186" s="16">
        <f>IFERROR(__xludf.DUMMYFUNCTION("""COMPUTED_VALUE"""),19.4)</f>
        <v>19.4</v>
      </c>
      <c r="Z186" s="16">
        <f>IFERROR(__xludf.DUMMYFUNCTION("""COMPUTED_VALUE"""),16.0)</f>
        <v>16</v>
      </c>
      <c r="AA186" s="16">
        <f>IFERROR(__xludf.DUMMYFUNCTION("""COMPUTED_VALUE"""),1.0)</f>
        <v>1</v>
      </c>
      <c r="AB186" s="16">
        <f>IFERROR(__xludf.DUMMYFUNCTION("""COMPUTED_VALUE"""),2.0)</f>
        <v>2</v>
      </c>
      <c r="AC186" s="16">
        <f>IFERROR(__xludf.DUMMYFUNCTION("""COMPUTED_VALUE"""),5.0)</f>
        <v>5</v>
      </c>
      <c r="AD186" s="16">
        <f>IFERROR(__xludf.DUMMYFUNCTION("""COMPUTED_VALUE"""),10.0)</f>
        <v>10</v>
      </c>
      <c r="AE186" s="16">
        <f>IFERROR(__xludf.DUMMYFUNCTION("""COMPUTED_VALUE"""),35.2)</f>
        <v>35.2</v>
      </c>
      <c r="AF186" s="16">
        <f>IFERROR(__xludf.DUMMYFUNCTION("""COMPUTED_VALUE"""),25.2)</f>
        <v>25.2</v>
      </c>
      <c r="AG186" s="16">
        <f>IFERROR(__xludf.DUMMYFUNCTION("""COMPUTED_VALUE"""),-1.0)</f>
        <v>-1</v>
      </c>
      <c r="AH186" s="16">
        <f>IFERROR(__xludf.DUMMYFUNCTION("""COMPUTED_VALUE"""),0.0)</f>
        <v>0</v>
      </c>
      <c r="AI186" s="16">
        <f>IFERROR(__xludf.DUMMYFUNCTION("""COMPUTED_VALUE"""),-2.0)</f>
        <v>-2</v>
      </c>
      <c r="AJ186" s="16">
        <f>IFERROR(__xludf.DUMMYFUNCTION("""COMPUTED_VALUE"""),0.0)</f>
        <v>0</v>
      </c>
      <c r="AK186" s="16">
        <f>IFERROR(__xludf.DUMMYFUNCTION("""COMPUTED_VALUE"""),17.0)</f>
        <v>17</v>
      </c>
      <c r="AL186" s="16">
        <f>IFERROR(__xludf.DUMMYFUNCTION("""COMPUTED_VALUE"""),14.8)</f>
        <v>14.8</v>
      </c>
      <c r="AM186" s="16">
        <f>IFERROR(__xludf.DUMMYFUNCTION("""COMPUTED_VALUE"""),-1.0)</f>
        <v>-1</v>
      </c>
      <c r="AN186" s="16">
        <f>IFERROR(__xludf.DUMMYFUNCTION("""COMPUTED_VALUE"""),0.0)</f>
        <v>0</v>
      </c>
      <c r="AO186" s="16">
        <f>IFERROR(__xludf.DUMMYFUNCTION("""COMPUTED_VALUE"""),-1.0)</f>
        <v>-1</v>
      </c>
      <c r="AP186" s="16">
        <f>IFERROR(__xludf.DUMMYFUNCTION("""COMPUTED_VALUE"""),0.0)</f>
        <v>0</v>
      </c>
      <c r="AQ186" s="16">
        <f>IFERROR(__xludf.DUMMYFUNCTION("""COMPUTED_VALUE"""),25.6)</f>
        <v>25.6</v>
      </c>
      <c r="AR186" s="16">
        <f>IFERROR(__xludf.DUMMYFUNCTION("""COMPUTED_VALUE"""),20.4)</f>
        <v>20.4</v>
      </c>
      <c r="AS186" s="16">
        <f>IFERROR(__xludf.DUMMYFUNCTION("""COMPUTED_VALUE"""),-1.0)</f>
        <v>-1</v>
      </c>
      <c r="AT186" s="16">
        <f>IFERROR(__xludf.DUMMYFUNCTION("""COMPUTED_VALUE"""),0.0)</f>
        <v>0</v>
      </c>
      <c r="AU186" s="16">
        <f>IFERROR(__xludf.DUMMYFUNCTION("""COMPUTED_VALUE"""),-2.0)</f>
        <v>-2</v>
      </c>
      <c r="AV186" s="16">
        <f>IFERROR(__xludf.DUMMYFUNCTION("""COMPUTED_VALUE"""),0.0)</f>
        <v>0</v>
      </c>
      <c r="AW186" s="16">
        <f>IFERROR(__xludf.DUMMYFUNCTION("""COMPUTED_VALUE"""),2.4)</f>
        <v>2.4</v>
      </c>
      <c r="AX186" s="16">
        <f>IFERROR(__xludf.DUMMYFUNCTION("""COMPUTED_VALUE"""),1.2)</f>
        <v>1.2</v>
      </c>
      <c r="AY186" s="16">
        <f>IFERROR(__xludf.DUMMYFUNCTION("""COMPUTED_VALUE"""),0.0)</f>
        <v>0</v>
      </c>
      <c r="AZ186" s="16">
        <f>IFERROR(__xludf.DUMMYFUNCTION("""COMPUTED_VALUE"""),1.0)</f>
        <v>1</v>
      </c>
      <c r="BA186" s="16">
        <f>IFERROR(__xludf.DUMMYFUNCTION("""COMPUTED_VALUE"""),0.0)</f>
        <v>0</v>
      </c>
      <c r="BB186" s="16">
        <f>IFERROR(__xludf.DUMMYFUNCTION("""COMPUTED_VALUE"""),5.0)</f>
        <v>5</v>
      </c>
      <c r="BC186" s="16">
        <f>IFERROR(__xludf.DUMMYFUNCTION("""COMPUTED_VALUE"""),4.0)</f>
        <v>4</v>
      </c>
      <c r="BD186" s="16">
        <f>IFERROR(__xludf.DUMMYFUNCTION("""COMPUTED_VALUE"""),2.0)</f>
        <v>2</v>
      </c>
      <c r="BE186" s="16">
        <f>IFERROR(__xludf.DUMMYFUNCTION("""COMPUTED_VALUE"""),4.0)</f>
        <v>4</v>
      </c>
      <c r="BF186" s="16">
        <f>IFERROR(__xludf.DUMMYFUNCTION("""COMPUTED_VALUE"""),2.0)</f>
        <v>2</v>
      </c>
      <c r="BG186" s="16">
        <f>IFERROR(__xludf.DUMMYFUNCTION("""COMPUTED_VALUE"""),-1.0)</f>
        <v>-1</v>
      </c>
      <c r="BH186" s="16">
        <f>IFERROR(__xludf.DUMMYFUNCTION("""COMPUTED_VALUE"""),1.0)</f>
        <v>1</v>
      </c>
      <c r="BI186" s="16">
        <f>IFERROR(__xludf.DUMMYFUNCTION("""COMPUTED_VALUE"""),-2.0)</f>
        <v>-2</v>
      </c>
      <c r="BJ186" s="16">
        <f>IFERROR(__xludf.DUMMYFUNCTION("""COMPUTED_VALUE"""),2.0)</f>
        <v>2</v>
      </c>
      <c r="BK186" s="16">
        <f>IFERROR(__xludf.DUMMYFUNCTION("""COMPUTED_VALUE"""),5.0)</f>
        <v>5</v>
      </c>
      <c r="BL186" s="16">
        <f>IFERROR(__xludf.DUMMYFUNCTION("""COMPUTED_VALUE"""),5.0)</f>
        <v>5</v>
      </c>
      <c r="BM186" s="16">
        <f>IFERROR(__xludf.DUMMYFUNCTION("""COMPUTED_VALUE"""),0.0)</f>
        <v>0</v>
      </c>
      <c r="BN186" s="16">
        <f>IFERROR(__xludf.DUMMYFUNCTION("""COMPUTED_VALUE"""),0.0)</f>
        <v>0</v>
      </c>
      <c r="BO186" s="16">
        <f>IFERROR(__xludf.DUMMYFUNCTION("""COMPUTED_VALUE"""),0.0)</f>
        <v>0</v>
      </c>
      <c r="BP186" s="16">
        <f>IFERROR(__xludf.DUMMYFUNCTION("""COMPUTED_VALUE"""),0.0)</f>
        <v>0</v>
      </c>
      <c r="BQ186" s="16">
        <f>IFERROR(__xludf.DUMMYFUNCTION("""COMPUTED_VALUE"""),2.0)</f>
        <v>2</v>
      </c>
      <c r="BR186" s="16">
        <f>IFERROR(__xludf.DUMMYFUNCTION("""COMPUTED_VALUE"""),2.0)</f>
        <v>2</v>
      </c>
      <c r="BS186" s="16">
        <f>IFERROR(__xludf.DUMMYFUNCTION("""COMPUTED_VALUE"""),-2.0)</f>
        <v>-2</v>
      </c>
      <c r="BT186" s="16">
        <f>IFERROR(__xludf.DUMMYFUNCTION("""COMPUTED_VALUE"""),-2.0)</f>
        <v>-2</v>
      </c>
      <c r="BU186" s="16">
        <f>IFERROR(__xludf.DUMMYFUNCTION("""COMPUTED_VALUE"""),-4.0)</f>
        <v>-4</v>
      </c>
      <c r="BV186" s="16">
        <f>IFERROR(__xludf.DUMMYFUNCTION("""COMPUTED_VALUE"""),-4.0)</f>
        <v>-4</v>
      </c>
      <c r="BW186" s="16">
        <f>IFERROR(__xludf.DUMMYFUNCTION("""COMPUTED_VALUE"""),5.0)</f>
        <v>5</v>
      </c>
      <c r="BX186" s="16">
        <f>IFERROR(__xludf.DUMMYFUNCTION("""COMPUTED_VALUE"""),5.0)</f>
        <v>5</v>
      </c>
      <c r="BY186" s="16" t="str">
        <f>IFERROR(__xludf.DUMMYFUNCTION("""COMPUTED_VALUE"""),"S(6*)")</f>
        <v>S(6*)</v>
      </c>
      <c r="BZ186" s="16" t="str">
        <f>IFERROR(__xludf.DUMMYFUNCTION("""COMPUTED_VALUE"""),"S(6)")</f>
        <v>S(6)</v>
      </c>
      <c r="CA186" s="16" t="str">
        <f>IFERROR(__xludf.DUMMYFUNCTION("""COMPUTED_VALUE"""),"S(6)")</f>
        <v>S(6)</v>
      </c>
      <c r="CB186" s="16"/>
      <c r="CC186" s="16"/>
      <c r="CD186" s="16">
        <f>IFERROR(__xludf.DUMMYFUNCTION("""COMPUTED_VALUE"""),6.0)</f>
        <v>6</v>
      </c>
      <c r="CE186" s="16"/>
      <c r="CF186" s="16"/>
      <c r="CG186" s="16" t="str">
        <f>IFERROR(__xludf.DUMMYFUNCTION("""COMPUTED_VALUE"""),"5-8")</f>
        <v>5-8</v>
      </c>
      <c r="CH186" s="16">
        <f>IFERROR(__xludf.DUMMYFUNCTION("""COMPUTED_VALUE"""),5.0)</f>
        <v>5</v>
      </c>
      <c r="CI186" s="16">
        <f>IFERROR(__xludf.DUMMYFUNCTION("""COMPUTED_VALUE"""),8.0)</f>
        <v>8</v>
      </c>
      <c r="CJ186" s="16">
        <f>IFERROR(__xludf.DUMMYFUNCTION("""COMPUTED_VALUE"""),2.0)</f>
        <v>2</v>
      </c>
      <c r="CK186" s="16">
        <f>IFERROR(__xludf.DUMMYFUNCTION("""COMPUTED_VALUE"""),5.0)</f>
        <v>5</v>
      </c>
      <c r="CL186" s="16" t="str">
        <f>IFERROR(__xludf.DUMMYFUNCTION("""COMPUTED_VALUE"""),"1WR-C")</f>
        <v>1WR-C</v>
      </c>
      <c r="CM186" s="16" t="str">
        <f>IFERROR(__xludf.DUMMYFUNCTION("""COMPUTED_VALUE"""),"E")</f>
        <v>E</v>
      </c>
      <c r="CN186" s="16">
        <f>IFERROR(__xludf.DUMMYFUNCTION("""COMPUTED_VALUE"""),10.0)</f>
        <v>10</v>
      </c>
      <c r="CO186" s="16" t="str">
        <f>IFERROR(__xludf.DUMMYFUNCTION("""COMPUTED_VALUE"""),"C")</f>
        <v>C</v>
      </c>
      <c r="CP186" s="16" t="str">
        <f>IFERROR(__xludf.DUMMYFUNCTION("""COMPUTED_VALUE"""),"0p72")</f>
        <v>0p72</v>
      </c>
      <c r="CQ186" s="16">
        <f>IFERROR(__xludf.DUMMYFUNCTION("""COMPUTED_VALUE"""),-5.0)</f>
        <v>-5</v>
      </c>
      <c r="CR186" s="16">
        <f>IFERROR(__xludf.DUMMYFUNCTION("""COMPUTED_VALUE"""),13.0)</f>
        <v>13</v>
      </c>
      <c r="CS186" s="16">
        <f>IFERROR(__xludf.DUMMYFUNCTION("""COMPUTED_VALUE"""),8.0)</f>
        <v>8</v>
      </c>
      <c r="CT186" s="16">
        <f>IFERROR(__xludf.DUMMYFUNCTION("""COMPUTED_VALUE"""),-5.0)</f>
        <v>-5</v>
      </c>
      <c r="CU186" s="16">
        <f>IFERROR(__xludf.DUMMYFUNCTION("""COMPUTED_VALUE"""),13.0)</f>
        <v>13</v>
      </c>
      <c r="CV186" s="179">
        <f>IFERROR(__xludf.DUMMYFUNCTION("""COMPUTED_VALUE"""),10.0)</f>
        <v>10</v>
      </c>
      <c r="CW186" s="179">
        <f>IFERROR(__xludf.DUMMYFUNCTION("""COMPUTED_VALUE"""),5.0)</f>
        <v>5</v>
      </c>
      <c r="CX186" s="179">
        <f>IFERROR(__xludf.DUMMYFUNCTION("""COMPUTED_VALUE"""),4.0)</f>
        <v>4</v>
      </c>
      <c r="CY186" s="16" t="str">
        <f>IFERROR(__xludf.DUMMYFUNCTION("""COMPUTED_VALUE"""),"SP")</f>
        <v>SP</v>
      </c>
      <c r="CZ186" s="16"/>
      <c r="DA186" s="16"/>
      <c r="DB186" s="16"/>
      <c r="DC186" s="16"/>
      <c r="DD186" s="16"/>
      <c r="DE186" s="16"/>
      <c r="DF186" s="16"/>
      <c r="DG186" s="16"/>
      <c r="DH186" s="16"/>
      <c r="DI186" s="16"/>
      <c r="DJ186" s="16"/>
      <c r="DK186" s="16"/>
    </row>
    <row r="187">
      <c r="A187" s="16">
        <f>IFERROR(__xludf.DUMMYFUNCTION("""COMPUTED_VALUE"""),13417.0)</f>
        <v>13417</v>
      </c>
      <c r="B187" s="16" t="str">
        <f>IFERROR(__xludf.DUMMYFUNCTION("""COMPUTED_VALUE"""),"TJ McFarland")</f>
        <v>TJ McFarland</v>
      </c>
      <c r="C187" s="153">
        <f>IFERROR(__xludf.DUMMYFUNCTION("""COMPUTED_VALUE"""),0.51)</f>
        <v>0.51</v>
      </c>
      <c r="D187" s="16"/>
      <c r="E187" s="16" t="str">
        <f>IFERROR(__xludf.DUMMYFUNCTION("""COMPUTED_VALUE"""),"L")</f>
        <v>L</v>
      </c>
      <c r="F187" s="16">
        <f>IFERROR(__xludf.DUMMYFUNCTION("""COMPUTED_VALUE"""),57.0)</f>
        <v>57</v>
      </c>
      <c r="G187" s="16">
        <f>IFERROR(__xludf.DUMMYFUNCTION("""COMPUTED_VALUE"""),20.0)</f>
        <v>20</v>
      </c>
      <c r="H187" s="16">
        <f>IFERROR(__xludf.DUMMYFUNCTION("""COMPUTED_VALUE"""),3.0)</f>
        <v>3</v>
      </c>
      <c r="I187" s="16">
        <f>IFERROR(__xludf.DUMMYFUNCTION("""COMPUTED_VALUE"""),-1.0)</f>
        <v>-1</v>
      </c>
      <c r="J187" s="16">
        <f>IFERROR(__xludf.DUMMYFUNCTION("""COMPUTED_VALUE"""),-3.0)</f>
        <v>-3</v>
      </c>
      <c r="K187" s="16">
        <f>IFERROR(__xludf.DUMMYFUNCTION("""COMPUTED_VALUE"""),-3.0)</f>
        <v>-3</v>
      </c>
      <c r="L187" s="16">
        <f>IFERROR(__xludf.DUMMYFUNCTION("""COMPUTED_VALUE"""),-9.0)</f>
        <v>-9</v>
      </c>
      <c r="M187" s="16">
        <f>IFERROR(__xludf.DUMMYFUNCTION("""COMPUTED_VALUE"""),0.0)</f>
        <v>0</v>
      </c>
      <c r="N187" s="16">
        <f>IFERROR(__xludf.DUMMYFUNCTION("""COMPUTED_VALUE"""),9.0)</f>
        <v>9</v>
      </c>
      <c r="O187" s="16">
        <f>IFERROR(__xludf.DUMMYFUNCTION("""COMPUTED_VALUE"""),3.0)</f>
        <v>3</v>
      </c>
      <c r="P187" s="16">
        <f>IFERROR(__xludf.DUMMYFUNCTION("""COMPUTED_VALUE"""),0.0)</f>
        <v>0</v>
      </c>
      <c r="Q187" s="16">
        <f>IFERROR(__xludf.DUMMYFUNCTION("""COMPUTED_VALUE"""),3.0)</f>
        <v>3</v>
      </c>
      <c r="R187" s="16">
        <f>IFERROR(__xludf.DUMMYFUNCTION("""COMPUTED_VALUE"""),0.0)</f>
        <v>0</v>
      </c>
      <c r="S187" s="16">
        <f>IFERROR(__xludf.DUMMYFUNCTION("""COMPUTED_VALUE"""),16.6)</f>
        <v>16.6</v>
      </c>
      <c r="T187" s="16">
        <f>IFERROR(__xludf.DUMMYFUNCTION("""COMPUTED_VALUE"""),19.8)</f>
        <v>19.8</v>
      </c>
      <c r="U187" s="16">
        <f>IFERROR(__xludf.DUMMYFUNCTION("""COMPUTED_VALUE"""),0.0)</f>
        <v>0</v>
      </c>
      <c r="V187" s="16">
        <f>IFERROR(__xludf.DUMMYFUNCTION("""COMPUTED_VALUE"""),-1.0)</f>
        <v>-1</v>
      </c>
      <c r="W187" s="16">
        <f>IFERROR(__xludf.DUMMYFUNCTION("""COMPUTED_VALUE"""),0.0)</f>
        <v>0</v>
      </c>
      <c r="X187" s="16">
        <f>IFERROR(__xludf.DUMMYFUNCTION("""COMPUTED_VALUE"""),-2.0)</f>
        <v>-2</v>
      </c>
      <c r="Y187" s="16">
        <f>IFERROR(__xludf.DUMMYFUNCTION("""COMPUTED_VALUE"""),16.6)</f>
        <v>16.6</v>
      </c>
      <c r="Z187" s="16">
        <f>IFERROR(__xludf.DUMMYFUNCTION("""COMPUTED_VALUE"""),28.8)</f>
        <v>28.8</v>
      </c>
      <c r="AA187" s="16">
        <f>IFERROR(__xludf.DUMMYFUNCTION("""COMPUTED_VALUE"""),1.0)</f>
        <v>1</v>
      </c>
      <c r="AB187" s="16">
        <f>IFERROR(__xludf.DUMMYFUNCTION("""COMPUTED_VALUE"""),-1.0)</f>
        <v>-1</v>
      </c>
      <c r="AC187" s="16">
        <f>IFERROR(__xludf.DUMMYFUNCTION("""COMPUTED_VALUE"""),5.0)</f>
        <v>5</v>
      </c>
      <c r="AD187" s="16">
        <f>IFERROR(__xludf.DUMMYFUNCTION("""COMPUTED_VALUE"""),-5.0)</f>
        <v>-5</v>
      </c>
      <c r="AE187" s="16">
        <f>IFERROR(__xludf.DUMMYFUNCTION("""COMPUTED_VALUE"""),25.8)</f>
        <v>25.8</v>
      </c>
      <c r="AF187" s="16">
        <f>IFERROR(__xludf.DUMMYFUNCTION("""COMPUTED_VALUE"""),30.4)</f>
        <v>30.4</v>
      </c>
      <c r="AG187" s="16">
        <f>IFERROR(__xludf.DUMMYFUNCTION("""COMPUTED_VALUE"""),0.0)</f>
        <v>0</v>
      </c>
      <c r="AH187" s="16">
        <f>IFERROR(__xludf.DUMMYFUNCTION("""COMPUTED_VALUE"""),0.0)</f>
        <v>0</v>
      </c>
      <c r="AI187" s="16">
        <f>IFERROR(__xludf.DUMMYFUNCTION("""COMPUTED_VALUE"""),0.0)</f>
        <v>0</v>
      </c>
      <c r="AJ187" s="16">
        <f>IFERROR(__xludf.DUMMYFUNCTION("""COMPUTED_VALUE"""),0.0)</f>
        <v>0</v>
      </c>
      <c r="AK187" s="16">
        <f>IFERROR(__xludf.DUMMYFUNCTION("""COMPUTED_VALUE"""),16.6)</f>
        <v>16.6</v>
      </c>
      <c r="AL187" s="16">
        <f>IFERROR(__xludf.DUMMYFUNCTION("""COMPUTED_VALUE"""),18.0)</f>
        <v>18</v>
      </c>
      <c r="AM187" s="16">
        <f>IFERROR(__xludf.DUMMYFUNCTION("""COMPUTED_VALUE"""),-1.0)</f>
        <v>-1</v>
      </c>
      <c r="AN187" s="16">
        <f>IFERROR(__xludf.DUMMYFUNCTION("""COMPUTED_VALUE"""),-1.0)</f>
        <v>-1</v>
      </c>
      <c r="AO187" s="16">
        <f>IFERROR(__xludf.DUMMYFUNCTION("""COMPUTED_VALUE"""),-1.0)</f>
        <v>-1</v>
      </c>
      <c r="AP187" s="16">
        <f>IFERROR(__xludf.DUMMYFUNCTION("""COMPUTED_VALUE"""),-1.0)</f>
        <v>-1</v>
      </c>
      <c r="AQ187" s="16">
        <f>IFERROR(__xludf.DUMMYFUNCTION("""COMPUTED_VALUE"""),25.8)</f>
        <v>25.8</v>
      </c>
      <c r="AR187" s="16">
        <f>IFERROR(__xludf.DUMMYFUNCTION("""COMPUTED_VALUE"""),23.2)</f>
        <v>23.2</v>
      </c>
      <c r="AS187" s="16">
        <f>IFERROR(__xludf.DUMMYFUNCTION("""COMPUTED_VALUE"""),-1.0)</f>
        <v>-1</v>
      </c>
      <c r="AT187" s="16">
        <f>IFERROR(__xludf.DUMMYFUNCTION("""COMPUTED_VALUE"""),0.0)</f>
        <v>0</v>
      </c>
      <c r="AU187" s="16">
        <f>IFERROR(__xludf.DUMMYFUNCTION("""COMPUTED_VALUE"""),-2.0)</f>
        <v>-2</v>
      </c>
      <c r="AV187" s="16">
        <f>IFERROR(__xludf.DUMMYFUNCTION("""COMPUTED_VALUE"""),0.0)</f>
        <v>0</v>
      </c>
      <c r="AW187" s="16">
        <f>IFERROR(__xludf.DUMMYFUNCTION("""COMPUTED_VALUE"""),0.0)</f>
        <v>0</v>
      </c>
      <c r="AX187" s="16">
        <f>IFERROR(__xludf.DUMMYFUNCTION("""COMPUTED_VALUE"""),1.8)</f>
        <v>1.8</v>
      </c>
      <c r="AY187" s="16">
        <f>IFERROR(__xludf.DUMMYFUNCTION("""COMPUTED_VALUE"""),2.0)</f>
        <v>2</v>
      </c>
      <c r="AZ187" s="16">
        <f>IFERROR(__xludf.DUMMYFUNCTION("""COMPUTED_VALUE"""),0.0)</f>
        <v>0</v>
      </c>
      <c r="BA187" s="16">
        <f>IFERROR(__xludf.DUMMYFUNCTION("""COMPUTED_VALUE"""),10.0)</f>
        <v>10</v>
      </c>
      <c r="BB187" s="16">
        <f>IFERROR(__xludf.DUMMYFUNCTION("""COMPUTED_VALUE"""),0.0)</f>
        <v>0</v>
      </c>
      <c r="BC187" s="16">
        <f>IFERROR(__xludf.DUMMYFUNCTION("""COMPUTED_VALUE"""),0.0)</f>
        <v>0</v>
      </c>
      <c r="BD187" s="16">
        <f>IFERROR(__xludf.DUMMYFUNCTION("""COMPUTED_VALUE"""),3.0)</f>
        <v>3</v>
      </c>
      <c r="BE187" s="16">
        <f>IFERROR(__xludf.DUMMYFUNCTION("""COMPUTED_VALUE"""),0.0)</f>
        <v>0</v>
      </c>
      <c r="BF187" s="16">
        <f>IFERROR(__xludf.DUMMYFUNCTION("""COMPUTED_VALUE"""),3.0)</f>
        <v>3</v>
      </c>
      <c r="BG187" s="16">
        <f>IFERROR(__xludf.DUMMYFUNCTION("""COMPUTED_VALUE"""),3.0)</f>
        <v>3</v>
      </c>
      <c r="BH187" s="16">
        <f>IFERROR(__xludf.DUMMYFUNCTION("""COMPUTED_VALUE"""),0.0)</f>
        <v>0</v>
      </c>
      <c r="BI187" s="16">
        <f>IFERROR(__xludf.DUMMYFUNCTION("""COMPUTED_VALUE"""),6.0)</f>
        <v>6</v>
      </c>
      <c r="BJ187" s="16">
        <f>IFERROR(__xludf.DUMMYFUNCTION("""COMPUTED_VALUE"""),0.0)</f>
        <v>0</v>
      </c>
      <c r="BK187" s="16">
        <f>IFERROR(__xludf.DUMMYFUNCTION("""COMPUTED_VALUE"""),5.0)</f>
        <v>5</v>
      </c>
      <c r="BL187" s="16">
        <f>IFERROR(__xludf.DUMMYFUNCTION("""COMPUTED_VALUE"""),5.0)</f>
        <v>5</v>
      </c>
      <c r="BM187" s="16">
        <f>IFERROR(__xludf.DUMMYFUNCTION("""COMPUTED_VALUE"""),0.0)</f>
        <v>0</v>
      </c>
      <c r="BN187" s="16">
        <f>IFERROR(__xludf.DUMMYFUNCTION("""COMPUTED_VALUE"""),0.0)</f>
        <v>0</v>
      </c>
      <c r="BO187" s="16">
        <f>IFERROR(__xludf.DUMMYFUNCTION("""COMPUTED_VALUE"""),0.0)</f>
        <v>0</v>
      </c>
      <c r="BP187" s="16">
        <f>IFERROR(__xludf.DUMMYFUNCTION("""COMPUTED_VALUE"""),0.0)</f>
        <v>0</v>
      </c>
      <c r="BQ187" s="16">
        <f>IFERROR(__xludf.DUMMYFUNCTION("""COMPUTED_VALUE"""),12.0)</f>
        <v>12</v>
      </c>
      <c r="BR187" s="16">
        <f>IFERROR(__xludf.DUMMYFUNCTION("""COMPUTED_VALUE"""),12.0)</f>
        <v>12</v>
      </c>
      <c r="BS187" s="16">
        <f>IFERROR(__xludf.DUMMYFUNCTION("""COMPUTED_VALUE"""),3.0)</f>
        <v>3</v>
      </c>
      <c r="BT187" s="16">
        <f>IFERROR(__xludf.DUMMYFUNCTION("""COMPUTED_VALUE"""),3.0)</f>
        <v>3</v>
      </c>
      <c r="BU187" s="16">
        <f>IFERROR(__xludf.DUMMYFUNCTION("""COMPUTED_VALUE"""),6.0)</f>
        <v>6</v>
      </c>
      <c r="BV187" s="16">
        <f>IFERROR(__xludf.DUMMYFUNCTION("""COMPUTED_VALUE"""),6.0)</f>
        <v>6</v>
      </c>
      <c r="BW187" s="16">
        <f>IFERROR(__xludf.DUMMYFUNCTION("""COMPUTED_VALUE"""),3.0)</f>
        <v>3</v>
      </c>
      <c r="BX187" s="16">
        <f>IFERROR(__xludf.DUMMYFUNCTION("""COMPUTED_VALUE"""),3.0)</f>
        <v>3</v>
      </c>
      <c r="BY187" s="16" t="str">
        <f>IFERROR(__xludf.DUMMYFUNCTION("""COMPUTED_VALUE"""),"R(1)")</f>
        <v>R(1)</v>
      </c>
      <c r="BZ187" s="16" t="str">
        <f>IFERROR(__xludf.DUMMYFUNCTION("""COMPUTED_VALUE"""),"R(1)")</f>
        <v>R(1)</v>
      </c>
      <c r="CA187" s="16" t="str">
        <f>IFERROR(__xludf.DUMMYFUNCTION("""COMPUTED_VALUE"""),"R(1)")</f>
        <v>R(1)</v>
      </c>
      <c r="CB187" s="16"/>
      <c r="CC187" s="16"/>
      <c r="CD187" s="16"/>
      <c r="CE187" s="16">
        <f>IFERROR(__xludf.DUMMYFUNCTION("""COMPUTED_VALUE"""),1.0)</f>
        <v>1</v>
      </c>
      <c r="CF187" s="16"/>
      <c r="CG187" s="16" t="str">
        <f>IFERROR(__xludf.DUMMYFUNCTION("""COMPUTED_VALUE"""),"4-0")</f>
        <v>4-0</v>
      </c>
      <c r="CH187" s="16">
        <f>IFERROR(__xludf.DUMMYFUNCTION("""COMPUTED_VALUE"""),4.0)</f>
        <v>4</v>
      </c>
      <c r="CI187" s="16">
        <f>IFERROR(__xludf.DUMMYFUNCTION("""COMPUTED_VALUE"""),0.0)</f>
        <v>0</v>
      </c>
      <c r="CJ187" s="16">
        <f>IFERROR(__xludf.DUMMYFUNCTION("""COMPUTED_VALUE"""),0.0)</f>
        <v>0</v>
      </c>
      <c r="CK187" s="16">
        <f>IFERROR(__xludf.DUMMYFUNCTION("""COMPUTED_VALUE"""),0.0)</f>
        <v>0</v>
      </c>
      <c r="CL187" s="16" t="str">
        <f>IFERROR(__xludf.DUMMYFUNCTION("""COMPUTED_VALUE"""),"1WL-C")</f>
        <v>1WL-C</v>
      </c>
      <c r="CM187" s="16" t="str">
        <f>IFERROR(__xludf.DUMMYFUNCTION("""COMPUTED_VALUE"""),"E")</f>
        <v>E</v>
      </c>
      <c r="CN187" s="16">
        <f>IFERROR(__xludf.DUMMYFUNCTION("""COMPUTED_VALUE"""),10.0)</f>
        <v>10</v>
      </c>
      <c r="CO187" s="16" t="str">
        <f>IFERROR(__xludf.DUMMYFUNCTION("""COMPUTED_VALUE"""),"C")</f>
        <v>C</v>
      </c>
      <c r="CP187" s="16" t="str">
        <f>IFERROR(__xludf.DUMMYFUNCTION("""COMPUTED_VALUE"""),"0p72")</f>
        <v>0p72</v>
      </c>
      <c r="CQ187" s="16">
        <f>IFERROR(__xludf.DUMMYFUNCTION("""COMPUTED_VALUE"""),24.0)</f>
        <v>24</v>
      </c>
      <c r="CR187" s="16">
        <f>IFERROR(__xludf.DUMMYFUNCTION("""COMPUTED_VALUE"""),-11.0)</f>
        <v>-11</v>
      </c>
      <c r="CS187" s="16">
        <f>IFERROR(__xludf.DUMMYFUNCTION("""COMPUTED_VALUE"""),13.0)</f>
        <v>13</v>
      </c>
      <c r="CT187" s="16">
        <f>IFERROR(__xludf.DUMMYFUNCTION("""COMPUTED_VALUE"""),24.0)</f>
        <v>24</v>
      </c>
      <c r="CU187" s="16">
        <f>IFERROR(__xludf.DUMMYFUNCTION("""COMPUTED_VALUE"""),-11.0)</f>
        <v>-11</v>
      </c>
      <c r="CV187" s="179">
        <f>IFERROR(__xludf.DUMMYFUNCTION("""COMPUTED_VALUE"""),9.666666666666666)</f>
        <v>9.666666667</v>
      </c>
      <c r="CW187" s="179">
        <f>IFERROR(__xludf.DUMMYFUNCTION("""COMPUTED_VALUE"""),5.0)</f>
        <v>5</v>
      </c>
      <c r="CX187" s="179">
        <f>IFERROR(__xludf.DUMMYFUNCTION("""COMPUTED_VALUE"""),4.0)</f>
        <v>4</v>
      </c>
      <c r="CY187" s="16" t="str">
        <f>IFERROR(__xludf.DUMMYFUNCTION("""COMPUTED_VALUE"""),"RP")</f>
        <v>RP</v>
      </c>
      <c r="CZ187" s="16"/>
      <c r="DA187" s="16"/>
      <c r="DB187" s="16"/>
      <c r="DC187" s="16"/>
      <c r="DD187" s="16"/>
      <c r="DE187" s="16"/>
      <c r="DF187" s="16"/>
      <c r="DG187" s="16"/>
      <c r="DH187" s="16"/>
      <c r="DI187" s="16"/>
      <c r="DJ187" s="16"/>
      <c r="DK187" s="16"/>
    </row>
    <row r="188">
      <c r="A188" s="16">
        <f>IFERROR(__xludf.DUMMYFUNCTION("""COMPUTED_VALUE"""),12655.0)</f>
        <v>12655</v>
      </c>
      <c r="B188" s="16" t="str">
        <f>IFERROR(__xludf.DUMMYFUNCTION("""COMPUTED_VALUE"""),"Carlos Rodon")</f>
        <v>Carlos Rodon</v>
      </c>
      <c r="C188" s="153">
        <f>IFERROR(__xludf.DUMMYFUNCTION("""COMPUTED_VALUE"""),0.98)</f>
        <v>0.98</v>
      </c>
      <c r="D188" s="16"/>
      <c r="E188" s="16" t="str">
        <f>IFERROR(__xludf.DUMMYFUNCTION("""COMPUTED_VALUE"""),"L")</f>
        <v>L</v>
      </c>
      <c r="F188" s="16">
        <f>IFERROR(__xludf.DUMMYFUNCTION("""COMPUTED_VALUE"""),175.0)</f>
        <v>175</v>
      </c>
      <c r="G188" s="16">
        <f>IFERROR(__xludf.DUMMYFUNCTION("""COMPUTED_VALUE"""),33.0)</f>
        <v>33</v>
      </c>
      <c r="H188" s="16">
        <f>IFERROR(__xludf.DUMMYFUNCTION("""COMPUTED_VALUE"""),33.0)</f>
        <v>33</v>
      </c>
      <c r="I188" s="16">
        <f>IFERROR(__xludf.DUMMYFUNCTION("""COMPUTED_VALUE"""),1.0)</f>
        <v>1</v>
      </c>
      <c r="J188" s="16">
        <f>IFERROR(__xludf.DUMMYFUNCTION("""COMPUTED_VALUE"""),1.0)</f>
        <v>1</v>
      </c>
      <c r="K188" s="16">
        <f>IFERROR(__xludf.DUMMYFUNCTION("""COMPUTED_VALUE"""),3.0)</f>
        <v>3</v>
      </c>
      <c r="L188" s="16">
        <f>IFERROR(__xludf.DUMMYFUNCTION("""COMPUTED_VALUE"""),3.0)</f>
        <v>3</v>
      </c>
      <c r="M188" s="16">
        <f>IFERROR(__xludf.DUMMYFUNCTION("""COMPUTED_VALUE"""),8.0)</f>
        <v>8</v>
      </c>
      <c r="N188" s="16">
        <f>IFERROR(__xludf.DUMMYFUNCTION("""COMPUTED_VALUE"""),9.0)</f>
        <v>9</v>
      </c>
      <c r="O188" s="16">
        <f>IFERROR(__xludf.DUMMYFUNCTION("""COMPUTED_VALUE"""),0.0)</f>
        <v>0</v>
      </c>
      <c r="P188" s="16">
        <f>IFERROR(__xludf.DUMMYFUNCTION("""COMPUTED_VALUE"""),0.0)</f>
        <v>0</v>
      </c>
      <c r="Q188" s="16">
        <f>IFERROR(__xludf.DUMMYFUNCTION("""COMPUTED_VALUE"""),0.0)</f>
        <v>0</v>
      </c>
      <c r="R188" s="16">
        <f>IFERROR(__xludf.DUMMYFUNCTION("""COMPUTED_VALUE"""),0.0)</f>
        <v>0</v>
      </c>
      <c r="S188" s="16">
        <f>IFERROR(__xludf.DUMMYFUNCTION("""COMPUTED_VALUE"""),13.3)</f>
        <v>13.3</v>
      </c>
      <c r="T188" s="16">
        <f>IFERROR(__xludf.DUMMYFUNCTION("""COMPUTED_VALUE"""),12.4)</f>
        <v>12.4</v>
      </c>
      <c r="U188" s="16">
        <f>IFERROR(__xludf.DUMMYFUNCTION("""COMPUTED_VALUE"""),0.0)</f>
        <v>0</v>
      </c>
      <c r="V188" s="16">
        <f>IFERROR(__xludf.DUMMYFUNCTION("""COMPUTED_VALUE"""),1.0)</f>
        <v>1</v>
      </c>
      <c r="W188" s="16">
        <f>IFERROR(__xludf.DUMMYFUNCTION("""COMPUTED_VALUE"""),0.0)</f>
        <v>0</v>
      </c>
      <c r="X188" s="16">
        <f>IFERROR(__xludf.DUMMYFUNCTION("""COMPUTED_VALUE"""),2.0)</f>
        <v>2</v>
      </c>
      <c r="Y188" s="16">
        <f>IFERROR(__xludf.DUMMYFUNCTION("""COMPUTED_VALUE"""),21.3)</f>
        <v>21.3</v>
      </c>
      <c r="Z188" s="16">
        <f>IFERROR(__xludf.DUMMYFUNCTION("""COMPUTED_VALUE"""),21.4)</f>
        <v>21.4</v>
      </c>
      <c r="AA188" s="16">
        <f>IFERROR(__xludf.DUMMYFUNCTION("""COMPUTED_VALUE"""),1.0)</f>
        <v>1</v>
      </c>
      <c r="AB188" s="16">
        <f>IFERROR(__xludf.DUMMYFUNCTION("""COMPUTED_VALUE"""),1.0)</f>
        <v>1</v>
      </c>
      <c r="AC188" s="16">
        <f>IFERROR(__xludf.DUMMYFUNCTION("""COMPUTED_VALUE"""),5.0)</f>
        <v>5</v>
      </c>
      <c r="AD188" s="16">
        <f>IFERROR(__xludf.DUMMYFUNCTION("""COMPUTED_VALUE"""),5.0)</f>
        <v>5</v>
      </c>
      <c r="AE188" s="16">
        <f>IFERROR(__xludf.DUMMYFUNCTION("""COMPUTED_VALUE"""),22.4)</f>
        <v>22.4</v>
      </c>
      <c r="AF188" s="16">
        <f>IFERROR(__xludf.DUMMYFUNCTION("""COMPUTED_VALUE"""),28.2)</f>
        <v>28.2</v>
      </c>
      <c r="AG188" s="16">
        <f>IFERROR(__xludf.DUMMYFUNCTION("""COMPUTED_VALUE"""),1.0)</f>
        <v>1</v>
      </c>
      <c r="AH188" s="16">
        <f>IFERROR(__xludf.DUMMYFUNCTION("""COMPUTED_VALUE"""),0.0)</f>
        <v>0</v>
      </c>
      <c r="AI188" s="16">
        <f>IFERROR(__xludf.DUMMYFUNCTION("""COMPUTED_VALUE"""),2.0)</f>
        <v>2</v>
      </c>
      <c r="AJ188" s="16">
        <f>IFERROR(__xludf.DUMMYFUNCTION("""COMPUTED_VALUE"""),0.0)</f>
        <v>0</v>
      </c>
      <c r="AK188" s="16">
        <f>IFERROR(__xludf.DUMMYFUNCTION("""COMPUTED_VALUE"""),11.9)</f>
        <v>11.9</v>
      </c>
      <c r="AL188" s="16">
        <f>IFERROR(__xludf.DUMMYFUNCTION("""COMPUTED_VALUE"""),8.8)</f>
        <v>8.8</v>
      </c>
      <c r="AM188" s="16">
        <f>IFERROR(__xludf.DUMMYFUNCTION("""COMPUTED_VALUE"""),0.0)</f>
        <v>0</v>
      </c>
      <c r="AN188" s="16">
        <f>IFERROR(__xludf.DUMMYFUNCTION("""COMPUTED_VALUE"""),1.0)</f>
        <v>1</v>
      </c>
      <c r="AO188" s="16">
        <f>IFERROR(__xludf.DUMMYFUNCTION("""COMPUTED_VALUE"""),0.0)</f>
        <v>0</v>
      </c>
      <c r="AP188" s="16">
        <f>IFERROR(__xludf.DUMMYFUNCTION("""COMPUTED_VALUE"""),1.0)</f>
        <v>1</v>
      </c>
      <c r="AQ188" s="16">
        <f>IFERROR(__xludf.DUMMYFUNCTION("""COMPUTED_VALUE"""),16.799999999999997)</f>
        <v>16.8</v>
      </c>
      <c r="AR188" s="16">
        <f>IFERROR(__xludf.DUMMYFUNCTION("""COMPUTED_VALUE"""),13.799999999999999)</f>
        <v>13.8</v>
      </c>
      <c r="AS188" s="16">
        <f>IFERROR(__xludf.DUMMYFUNCTION("""COMPUTED_VALUE"""),0.0)</f>
        <v>0</v>
      </c>
      <c r="AT188" s="16">
        <f>IFERROR(__xludf.DUMMYFUNCTION("""COMPUTED_VALUE"""),1.0)</f>
        <v>1</v>
      </c>
      <c r="AU188" s="16">
        <f>IFERROR(__xludf.DUMMYFUNCTION("""COMPUTED_VALUE"""),0.0)</f>
        <v>0</v>
      </c>
      <c r="AV188" s="16">
        <f>IFERROR(__xludf.DUMMYFUNCTION("""COMPUTED_VALUE"""),2.0)</f>
        <v>2</v>
      </c>
      <c r="AW188" s="16">
        <f>IFERROR(__xludf.DUMMYFUNCTION("""COMPUTED_VALUE"""),1.4)</f>
        <v>1.4</v>
      </c>
      <c r="AX188" s="16">
        <f>IFERROR(__xludf.DUMMYFUNCTION("""COMPUTED_VALUE"""),3.6)</f>
        <v>3.6</v>
      </c>
      <c r="AY188" s="16">
        <f>IFERROR(__xludf.DUMMYFUNCTION("""COMPUTED_VALUE"""),1.0)</f>
        <v>1</v>
      </c>
      <c r="AZ188" s="16">
        <f>IFERROR(__xludf.DUMMYFUNCTION("""COMPUTED_VALUE"""),-2.0)</f>
        <v>-2</v>
      </c>
      <c r="BA188" s="16">
        <f>IFERROR(__xludf.DUMMYFUNCTION("""COMPUTED_VALUE"""),5.0)</f>
        <v>5</v>
      </c>
      <c r="BB188" s="16">
        <f>IFERROR(__xludf.DUMMYFUNCTION("""COMPUTED_VALUE"""),-10.0)</f>
        <v>-10</v>
      </c>
      <c r="BC188" s="16">
        <f>IFERROR(__xludf.DUMMYFUNCTION("""COMPUTED_VALUE"""),1.0)</f>
        <v>1</v>
      </c>
      <c r="BD188" s="16">
        <f>IFERROR(__xludf.DUMMYFUNCTION("""COMPUTED_VALUE"""),5.0)</f>
        <v>5</v>
      </c>
      <c r="BE188" s="16">
        <f>IFERROR(__xludf.DUMMYFUNCTION("""COMPUTED_VALUE"""),1.0)</f>
        <v>1</v>
      </c>
      <c r="BF188" s="16">
        <f>IFERROR(__xludf.DUMMYFUNCTION("""COMPUTED_VALUE"""),5.0)</f>
        <v>5</v>
      </c>
      <c r="BG188" s="16">
        <f>IFERROR(__xludf.DUMMYFUNCTION("""COMPUTED_VALUE"""),2.0)</f>
        <v>2</v>
      </c>
      <c r="BH188" s="16">
        <f>IFERROR(__xludf.DUMMYFUNCTION("""COMPUTED_VALUE"""),-2.0)</f>
        <v>-2</v>
      </c>
      <c r="BI188" s="16">
        <f>IFERROR(__xludf.DUMMYFUNCTION("""COMPUTED_VALUE"""),4.0)</f>
        <v>4</v>
      </c>
      <c r="BJ188" s="16">
        <f>IFERROR(__xludf.DUMMYFUNCTION("""COMPUTED_VALUE"""),-4.0)</f>
        <v>-4</v>
      </c>
      <c r="BK188" s="16">
        <f>IFERROR(__xludf.DUMMYFUNCTION("""COMPUTED_VALUE"""),5.0)</f>
        <v>5</v>
      </c>
      <c r="BL188" s="16">
        <f>IFERROR(__xludf.DUMMYFUNCTION("""COMPUTED_VALUE"""),5.0)</f>
        <v>5</v>
      </c>
      <c r="BM188" s="16">
        <f>IFERROR(__xludf.DUMMYFUNCTION("""COMPUTED_VALUE"""),0.0)</f>
        <v>0</v>
      </c>
      <c r="BN188" s="16">
        <f>IFERROR(__xludf.DUMMYFUNCTION("""COMPUTED_VALUE"""),0.0)</f>
        <v>0</v>
      </c>
      <c r="BO188" s="16">
        <f>IFERROR(__xludf.DUMMYFUNCTION("""COMPUTED_VALUE"""),0.0)</f>
        <v>0</v>
      </c>
      <c r="BP188" s="16">
        <f>IFERROR(__xludf.DUMMYFUNCTION("""COMPUTED_VALUE"""),0.0)</f>
        <v>0</v>
      </c>
      <c r="BQ188" s="16">
        <f>IFERROR(__xludf.DUMMYFUNCTION("""COMPUTED_VALUE"""),2.0)</f>
        <v>2</v>
      </c>
      <c r="BR188" s="16">
        <f>IFERROR(__xludf.DUMMYFUNCTION("""COMPUTED_VALUE"""),0.0)</f>
        <v>0</v>
      </c>
      <c r="BS188" s="16">
        <f>IFERROR(__xludf.DUMMYFUNCTION("""COMPUTED_VALUE"""),-2.0)</f>
        <v>-2</v>
      </c>
      <c r="BT188" s="16">
        <f>IFERROR(__xludf.DUMMYFUNCTION("""COMPUTED_VALUE"""),-3.0)</f>
        <v>-3</v>
      </c>
      <c r="BU188" s="16">
        <f>IFERROR(__xludf.DUMMYFUNCTION("""COMPUTED_VALUE"""),-4.0)</f>
        <v>-4</v>
      </c>
      <c r="BV188" s="16">
        <f>IFERROR(__xludf.DUMMYFUNCTION("""COMPUTED_VALUE"""),-6.0)</f>
        <v>-6</v>
      </c>
      <c r="BW188" s="16">
        <f>IFERROR(__xludf.DUMMYFUNCTION("""COMPUTED_VALUE"""),2.0)</f>
        <v>2</v>
      </c>
      <c r="BX188" s="16">
        <f>IFERROR(__xludf.DUMMYFUNCTION("""COMPUTED_VALUE"""),2.0)</f>
        <v>2</v>
      </c>
      <c r="BY188" s="16" t="str">
        <f>IFERROR(__xludf.DUMMYFUNCTION("""COMPUTED_VALUE"""),"S(6)")</f>
        <v>S(6)</v>
      </c>
      <c r="BZ188" s="16" t="str">
        <f>IFERROR(__xludf.DUMMYFUNCTION("""COMPUTED_VALUE"""),"S(6)")</f>
        <v>S(6)</v>
      </c>
      <c r="CA188" s="16" t="str">
        <f>IFERROR(__xludf.DUMMYFUNCTION("""COMPUTED_VALUE"""),"S(6)")</f>
        <v>S(6)</v>
      </c>
      <c r="CB188" s="16"/>
      <c r="CC188" s="16"/>
      <c r="CD188" s="16">
        <f>IFERROR(__xludf.DUMMYFUNCTION("""COMPUTED_VALUE"""),6.0)</f>
        <v>6</v>
      </c>
      <c r="CE188" s="16"/>
      <c r="CF188" s="16"/>
      <c r="CG188" s="16" t="str">
        <f>IFERROR(__xludf.DUMMYFUNCTION("""COMPUTED_VALUE"""),"4-0")</f>
        <v>4-0</v>
      </c>
      <c r="CH188" s="16">
        <f>IFERROR(__xludf.DUMMYFUNCTION("""COMPUTED_VALUE"""),4.0)</f>
        <v>4</v>
      </c>
      <c r="CI188" s="16">
        <f>IFERROR(__xludf.DUMMYFUNCTION("""COMPUTED_VALUE"""),0.0)</f>
        <v>0</v>
      </c>
      <c r="CJ188" s="16">
        <f>IFERROR(__xludf.DUMMYFUNCTION("""COMPUTED_VALUE"""),4.0)</f>
        <v>4</v>
      </c>
      <c r="CK188" s="16">
        <f>IFERROR(__xludf.DUMMYFUNCTION("""COMPUTED_VALUE"""),3.0)</f>
        <v>3</v>
      </c>
      <c r="CL188" s="16" t="str">
        <f>IFERROR(__xludf.DUMMYFUNCTION("""COMPUTED_VALUE"""),"1WL-C")</f>
        <v>1WL-C</v>
      </c>
      <c r="CM188" s="16" t="str">
        <f>IFERROR(__xludf.DUMMYFUNCTION("""COMPUTED_VALUE"""),"E")</f>
        <v>E</v>
      </c>
      <c r="CN188" s="16">
        <f>IFERROR(__xludf.DUMMYFUNCTION("""COMPUTED_VALUE"""),10.0)</f>
        <v>10</v>
      </c>
      <c r="CO188" s="16" t="str">
        <f>IFERROR(__xludf.DUMMYFUNCTION("""COMPUTED_VALUE"""),"C")</f>
        <v>C</v>
      </c>
      <c r="CP188" s="16" t="str">
        <f>IFERROR(__xludf.DUMMYFUNCTION("""COMPUTED_VALUE"""),"0p72")</f>
        <v>0p72</v>
      </c>
      <c r="CQ188" s="16">
        <f>IFERROR(__xludf.DUMMYFUNCTION("""COMPUTED_VALUE"""),15.0)</f>
        <v>15</v>
      </c>
      <c r="CR188" s="16">
        <f>IFERROR(__xludf.DUMMYFUNCTION("""COMPUTED_VALUE"""),-7.0)</f>
        <v>-7</v>
      </c>
      <c r="CS188" s="16">
        <f>IFERROR(__xludf.DUMMYFUNCTION("""COMPUTED_VALUE"""),8.0)</f>
        <v>8</v>
      </c>
      <c r="CT188" s="16">
        <f>IFERROR(__xludf.DUMMYFUNCTION("""COMPUTED_VALUE"""),15.0)</f>
        <v>15</v>
      </c>
      <c r="CU188" s="16">
        <f>IFERROR(__xludf.DUMMYFUNCTION("""COMPUTED_VALUE"""),-7.0)</f>
        <v>-7</v>
      </c>
      <c r="CV188" s="179">
        <f>IFERROR(__xludf.DUMMYFUNCTION("""COMPUTED_VALUE"""),9.333333333333334)</f>
        <v>9.333333333</v>
      </c>
      <c r="CW188" s="179">
        <f>IFERROR(__xludf.DUMMYFUNCTION("""COMPUTED_VALUE"""),5.0)</f>
        <v>5</v>
      </c>
      <c r="CX188" s="179">
        <f>IFERROR(__xludf.DUMMYFUNCTION("""COMPUTED_VALUE"""),4.0)</f>
        <v>4</v>
      </c>
      <c r="CY188" s="16" t="str">
        <f>IFERROR(__xludf.DUMMYFUNCTION("""COMPUTED_VALUE"""),"SP")</f>
        <v>SP</v>
      </c>
      <c r="CZ188" s="16"/>
      <c r="DA188" s="16"/>
      <c r="DB188" s="16"/>
      <c r="DC188" s="16"/>
      <c r="DD188" s="16"/>
      <c r="DE188" s="16"/>
      <c r="DF188" s="16"/>
      <c r="DG188" s="16"/>
      <c r="DH188" s="16"/>
      <c r="DI188" s="16"/>
      <c r="DJ188" s="16"/>
      <c r="DK188" s="16"/>
    </row>
    <row r="189">
      <c r="A189" s="16">
        <f>IFERROR(__xludf.DUMMYFUNCTION("""COMPUTED_VALUE"""),13352.0)</f>
        <v>13352</v>
      </c>
      <c r="B189" s="16" t="str">
        <f>IFERROR(__xludf.DUMMYFUNCTION("""COMPUTED_VALUE"""),"Sam Long")</f>
        <v>Sam Long</v>
      </c>
      <c r="C189" s="153">
        <f>IFERROR(__xludf.DUMMYFUNCTION("""COMPUTED_VALUE"""),0.79)</f>
        <v>0.79</v>
      </c>
      <c r="D189" s="16"/>
      <c r="E189" s="16" t="str">
        <f>IFERROR(__xludf.DUMMYFUNCTION("""COMPUTED_VALUE"""),"L")</f>
        <v>L</v>
      </c>
      <c r="F189" s="16">
        <f>IFERROR(__xludf.DUMMYFUNCTION("""COMPUTED_VALUE"""),43.0)</f>
        <v>43</v>
      </c>
      <c r="G189" s="16">
        <f>IFERROR(__xludf.DUMMYFUNCTION("""COMPUTED_VALUE"""),27.0)</f>
        <v>27</v>
      </c>
      <c r="H189" s="16">
        <f>IFERROR(__xludf.DUMMYFUNCTION("""COMPUTED_VALUE"""),32.0)</f>
        <v>32</v>
      </c>
      <c r="I189" s="16">
        <f>IFERROR(__xludf.DUMMYFUNCTION("""COMPUTED_VALUE"""),0.0)</f>
        <v>0</v>
      </c>
      <c r="J189" s="16">
        <f>IFERROR(__xludf.DUMMYFUNCTION("""COMPUTED_VALUE"""),1.0)</f>
        <v>1</v>
      </c>
      <c r="K189" s="16">
        <f>IFERROR(__xludf.DUMMYFUNCTION("""COMPUTED_VALUE"""),0.0)</f>
        <v>0</v>
      </c>
      <c r="L189" s="16">
        <f>IFERROR(__xludf.DUMMYFUNCTION("""COMPUTED_VALUE"""),3.0)</f>
        <v>3</v>
      </c>
      <c r="M189" s="16">
        <f>IFERROR(__xludf.DUMMYFUNCTION("""COMPUTED_VALUE"""),6.0)</f>
        <v>6</v>
      </c>
      <c r="N189" s="16">
        <f>IFERROR(__xludf.DUMMYFUNCTION("""COMPUTED_VALUE"""),15.0)</f>
        <v>15</v>
      </c>
      <c r="O189" s="16">
        <f>IFERROR(__xludf.DUMMYFUNCTION("""COMPUTED_VALUE"""),1.0)</f>
        <v>1</v>
      </c>
      <c r="P189" s="16">
        <f>IFERROR(__xludf.DUMMYFUNCTION("""COMPUTED_VALUE"""),-3.0)</f>
        <v>-3</v>
      </c>
      <c r="Q189" s="16">
        <f>IFERROR(__xludf.DUMMYFUNCTION("""COMPUTED_VALUE"""),1.0)</f>
        <v>1</v>
      </c>
      <c r="R189" s="16">
        <f>IFERROR(__xludf.DUMMYFUNCTION("""COMPUTED_VALUE"""),-3.0)</f>
        <v>-3</v>
      </c>
      <c r="S189" s="16">
        <f>IFERROR(__xludf.DUMMYFUNCTION("""COMPUTED_VALUE"""),11.6)</f>
        <v>11.6</v>
      </c>
      <c r="T189" s="16">
        <f>IFERROR(__xludf.DUMMYFUNCTION("""COMPUTED_VALUE"""),7.4)</f>
        <v>7.4</v>
      </c>
      <c r="U189" s="16">
        <f>IFERROR(__xludf.DUMMYFUNCTION("""COMPUTED_VALUE"""),1.0)</f>
        <v>1</v>
      </c>
      <c r="V189" s="16">
        <f>IFERROR(__xludf.DUMMYFUNCTION("""COMPUTED_VALUE"""),2.0)</f>
        <v>2</v>
      </c>
      <c r="W189" s="16">
        <f>IFERROR(__xludf.DUMMYFUNCTION("""COMPUTED_VALUE"""),2.0)</f>
        <v>2</v>
      </c>
      <c r="X189" s="16">
        <f>IFERROR(__xludf.DUMMYFUNCTION("""COMPUTED_VALUE"""),4.0)</f>
        <v>4</v>
      </c>
      <c r="Y189" s="16">
        <f>IFERROR(__xludf.DUMMYFUNCTION("""COMPUTED_VALUE"""),17.6)</f>
        <v>17.6</v>
      </c>
      <c r="Z189" s="16">
        <f>IFERROR(__xludf.DUMMYFUNCTION("""COMPUTED_VALUE"""),22.5)</f>
        <v>22.5</v>
      </c>
      <c r="AA189" s="16">
        <f>IFERROR(__xludf.DUMMYFUNCTION("""COMPUTED_VALUE"""),1.0)</f>
        <v>1</v>
      </c>
      <c r="AB189" s="16">
        <f>IFERROR(__xludf.DUMMYFUNCTION("""COMPUTED_VALUE"""),0.0)</f>
        <v>0</v>
      </c>
      <c r="AC189" s="16">
        <f>IFERROR(__xludf.DUMMYFUNCTION("""COMPUTED_VALUE"""),5.0)</f>
        <v>5</v>
      </c>
      <c r="AD189" s="16">
        <f>IFERROR(__xludf.DUMMYFUNCTION("""COMPUTED_VALUE"""),0.0)</f>
        <v>0</v>
      </c>
      <c r="AE189" s="16">
        <f>IFERROR(__xludf.DUMMYFUNCTION("""COMPUTED_VALUE"""),18.8)</f>
        <v>18.8</v>
      </c>
      <c r="AF189" s="16">
        <f>IFERROR(__xludf.DUMMYFUNCTION("""COMPUTED_VALUE"""),17.2)</f>
        <v>17.2</v>
      </c>
      <c r="AG189" s="16">
        <f>IFERROR(__xludf.DUMMYFUNCTION("""COMPUTED_VALUE"""),1.0)</f>
        <v>1</v>
      </c>
      <c r="AH189" s="16">
        <f>IFERROR(__xludf.DUMMYFUNCTION("""COMPUTED_VALUE"""),1.0)</f>
        <v>1</v>
      </c>
      <c r="AI189" s="16">
        <f>IFERROR(__xludf.DUMMYFUNCTION("""COMPUTED_VALUE"""),2.0)</f>
        <v>2</v>
      </c>
      <c r="AJ189" s="16">
        <f>IFERROR(__xludf.DUMMYFUNCTION("""COMPUTED_VALUE"""),2.0)</f>
        <v>2</v>
      </c>
      <c r="AK189" s="16">
        <f>IFERROR(__xludf.DUMMYFUNCTION("""COMPUTED_VALUE"""),9.799999999999999)</f>
        <v>9.8</v>
      </c>
      <c r="AL189" s="16">
        <f>IFERROR(__xludf.DUMMYFUNCTION("""COMPUTED_VALUE"""),5.4)</f>
        <v>5.4</v>
      </c>
      <c r="AM189" s="16">
        <f>IFERROR(__xludf.DUMMYFUNCTION("""COMPUTED_VALUE"""),1.0)</f>
        <v>1</v>
      </c>
      <c r="AN189" s="16">
        <f>IFERROR(__xludf.DUMMYFUNCTION("""COMPUTED_VALUE"""),2.0)</f>
        <v>2</v>
      </c>
      <c r="AO189" s="16">
        <f>IFERROR(__xludf.DUMMYFUNCTION("""COMPUTED_VALUE"""),1.0)</f>
        <v>1</v>
      </c>
      <c r="AP189" s="16">
        <f>IFERROR(__xludf.DUMMYFUNCTION("""COMPUTED_VALUE"""),2.0)</f>
        <v>2</v>
      </c>
      <c r="AQ189" s="16">
        <f>IFERROR(__xludf.DUMMYFUNCTION("""COMPUTED_VALUE"""),11.600000000000001)</f>
        <v>11.6</v>
      </c>
      <c r="AR189" s="16">
        <f>IFERROR(__xludf.DUMMYFUNCTION("""COMPUTED_VALUE"""),9.2)</f>
        <v>9.2</v>
      </c>
      <c r="AS189" s="16">
        <f>IFERROR(__xludf.DUMMYFUNCTION("""COMPUTED_VALUE"""),1.0)</f>
        <v>1</v>
      </c>
      <c r="AT189" s="16">
        <f>IFERROR(__xludf.DUMMYFUNCTION("""COMPUTED_VALUE"""),1.0)</f>
        <v>1</v>
      </c>
      <c r="AU189" s="16">
        <f>IFERROR(__xludf.DUMMYFUNCTION("""COMPUTED_VALUE"""),2.0)</f>
        <v>2</v>
      </c>
      <c r="AV189" s="16">
        <f>IFERROR(__xludf.DUMMYFUNCTION("""COMPUTED_VALUE"""),2.0)</f>
        <v>2</v>
      </c>
      <c r="AW189" s="16">
        <f>IFERROR(__xludf.DUMMYFUNCTION("""COMPUTED_VALUE"""),1.8)</f>
        <v>1.8</v>
      </c>
      <c r="AX189" s="16">
        <f>IFERROR(__xludf.DUMMYFUNCTION("""COMPUTED_VALUE"""),2.0)</f>
        <v>2</v>
      </c>
      <c r="AY189" s="16">
        <f>IFERROR(__xludf.DUMMYFUNCTION("""COMPUTED_VALUE"""),0.0)</f>
        <v>0</v>
      </c>
      <c r="AZ189" s="16">
        <f>IFERROR(__xludf.DUMMYFUNCTION("""COMPUTED_VALUE"""),0.0)</f>
        <v>0</v>
      </c>
      <c r="BA189" s="16">
        <f>IFERROR(__xludf.DUMMYFUNCTION("""COMPUTED_VALUE"""),0.0)</f>
        <v>0</v>
      </c>
      <c r="BB189" s="16">
        <f>IFERROR(__xludf.DUMMYFUNCTION("""COMPUTED_VALUE"""),0.0)</f>
        <v>0</v>
      </c>
      <c r="BC189" s="16">
        <f>IFERROR(__xludf.DUMMYFUNCTION("""COMPUTED_VALUE"""),4.0)</f>
        <v>4</v>
      </c>
      <c r="BD189" s="16">
        <f>IFERROR(__xludf.DUMMYFUNCTION("""COMPUTED_VALUE"""),3.0)</f>
        <v>3</v>
      </c>
      <c r="BE189" s="16">
        <f>IFERROR(__xludf.DUMMYFUNCTION("""COMPUTED_VALUE"""),4.0)</f>
        <v>4</v>
      </c>
      <c r="BF189" s="16">
        <f>IFERROR(__xludf.DUMMYFUNCTION("""COMPUTED_VALUE"""),3.0)</f>
        <v>3</v>
      </c>
      <c r="BG189" s="16">
        <f>IFERROR(__xludf.DUMMYFUNCTION("""COMPUTED_VALUE"""),-1.0)</f>
        <v>-1</v>
      </c>
      <c r="BH189" s="16">
        <f>IFERROR(__xludf.DUMMYFUNCTION("""COMPUTED_VALUE"""),0.0)</f>
        <v>0</v>
      </c>
      <c r="BI189" s="16">
        <f>IFERROR(__xludf.DUMMYFUNCTION("""COMPUTED_VALUE"""),-2.0)</f>
        <v>-2</v>
      </c>
      <c r="BJ189" s="16">
        <f>IFERROR(__xludf.DUMMYFUNCTION("""COMPUTED_VALUE"""),0.0)</f>
        <v>0</v>
      </c>
      <c r="BK189" s="16">
        <f>IFERROR(__xludf.DUMMYFUNCTION("""COMPUTED_VALUE"""),5.0)</f>
        <v>5</v>
      </c>
      <c r="BL189" s="16">
        <f>IFERROR(__xludf.DUMMYFUNCTION("""COMPUTED_VALUE"""),5.0)</f>
        <v>5</v>
      </c>
      <c r="BM189" s="16">
        <f>IFERROR(__xludf.DUMMYFUNCTION("""COMPUTED_VALUE"""),0.0)</f>
        <v>0</v>
      </c>
      <c r="BN189" s="16">
        <f>IFERROR(__xludf.DUMMYFUNCTION("""COMPUTED_VALUE"""),0.0)</f>
        <v>0</v>
      </c>
      <c r="BO189" s="16">
        <f>IFERROR(__xludf.DUMMYFUNCTION("""COMPUTED_VALUE"""),0.0)</f>
        <v>0</v>
      </c>
      <c r="BP189" s="16">
        <f>IFERROR(__xludf.DUMMYFUNCTION("""COMPUTED_VALUE"""),0.0)</f>
        <v>0</v>
      </c>
      <c r="BQ189" s="16">
        <f>IFERROR(__xludf.DUMMYFUNCTION("""COMPUTED_VALUE"""),0.0)</f>
        <v>0</v>
      </c>
      <c r="BR189" s="16">
        <f>IFERROR(__xludf.DUMMYFUNCTION("""COMPUTED_VALUE"""),0.0)</f>
        <v>0</v>
      </c>
      <c r="BS189" s="16">
        <f>IFERROR(__xludf.DUMMYFUNCTION("""COMPUTED_VALUE"""),-3.0)</f>
        <v>-3</v>
      </c>
      <c r="BT189" s="16">
        <f>IFERROR(__xludf.DUMMYFUNCTION("""COMPUTED_VALUE"""),-3.0)</f>
        <v>-3</v>
      </c>
      <c r="BU189" s="16">
        <f>IFERROR(__xludf.DUMMYFUNCTION("""COMPUTED_VALUE"""),-6.0)</f>
        <v>-6</v>
      </c>
      <c r="BV189" s="16">
        <f>IFERROR(__xludf.DUMMYFUNCTION("""COMPUTED_VALUE"""),-6.0)</f>
        <v>-6</v>
      </c>
      <c r="BW189" s="16">
        <f>IFERROR(__xludf.DUMMYFUNCTION("""COMPUTED_VALUE"""),-2.0)</f>
        <v>-2</v>
      </c>
      <c r="BX189" s="16">
        <f>IFERROR(__xludf.DUMMYFUNCTION("""COMPUTED_VALUE"""),-2.0)</f>
        <v>-2</v>
      </c>
      <c r="BY189" s="16" t="str">
        <f>IFERROR(__xludf.DUMMYFUNCTION("""COMPUTED_VALUE"""),"R(1) C(0)")</f>
        <v>R(1) C(0)</v>
      </c>
      <c r="BZ189" s="16" t="str">
        <f>IFERROR(__xludf.DUMMYFUNCTION("""COMPUTED_VALUE"""),"R(1) C(0)")</f>
        <v>R(1) C(0)</v>
      </c>
      <c r="CA189" s="16" t="str">
        <f>IFERROR(__xludf.DUMMYFUNCTION("""COMPUTED_VALUE"""),"R(1)")</f>
        <v>R(1)</v>
      </c>
      <c r="CB189" s="16" t="str">
        <f>IFERROR(__xludf.DUMMYFUNCTION("""COMPUTED_VALUE"""),"C(0)")</f>
        <v>C(0)</v>
      </c>
      <c r="CC189" s="16"/>
      <c r="CD189" s="16"/>
      <c r="CE189" s="16">
        <f>IFERROR(__xludf.DUMMYFUNCTION("""COMPUTED_VALUE"""),1.0)</f>
        <v>1</v>
      </c>
      <c r="CF189" s="16">
        <f>IFERROR(__xludf.DUMMYFUNCTION("""COMPUTED_VALUE"""),0.0)</f>
        <v>0</v>
      </c>
      <c r="CG189" s="16" t="str">
        <f>IFERROR(__xludf.DUMMYFUNCTION("""COMPUTED_VALUE"""),"3-0")</f>
        <v>3-0</v>
      </c>
      <c r="CH189" s="16">
        <f>IFERROR(__xludf.DUMMYFUNCTION("""COMPUTED_VALUE"""),3.0)</f>
        <v>3</v>
      </c>
      <c r="CI189" s="16">
        <f>IFERROR(__xludf.DUMMYFUNCTION("""COMPUTED_VALUE"""),0.0)</f>
        <v>0</v>
      </c>
      <c r="CJ189" s="16">
        <f>IFERROR(__xludf.DUMMYFUNCTION("""COMPUTED_VALUE"""),10.0)</f>
        <v>10</v>
      </c>
      <c r="CK189" s="16">
        <f>IFERROR(__xludf.DUMMYFUNCTION("""COMPUTED_VALUE"""),16.0)</f>
        <v>16</v>
      </c>
      <c r="CL189" s="16" t="str">
        <f>IFERROR(__xludf.DUMMYFUNCTION("""COMPUTED_VALUE"""),"1WL-C")</f>
        <v>1WL-C</v>
      </c>
      <c r="CM189" s="16" t="str">
        <f>IFERROR(__xludf.DUMMYFUNCTION("""COMPUTED_VALUE"""),"E")</f>
        <v>E</v>
      </c>
      <c r="CN189" s="16">
        <f>IFERROR(__xludf.DUMMYFUNCTION("""COMPUTED_VALUE"""),10.0)</f>
        <v>10</v>
      </c>
      <c r="CO189" s="16" t="str">
        <f>IFERROR(__xludf.DUMMYFUNCTION("""COMPUTED_VALUE"""),"C")</f>
        <v>C</v>
      </c>
      <c r="CP189" s="16" t="str">
        <f>IFERROR(__xludf.DUMMYFUNCTION("""COMPUTED_VALUE"""),"1p40")</f>
        <v>1p40</v>
      </c>
      <c r="CQ189" s="16">
        <f>IFERROR(__xludf.DUMMYFUNCTION("""COMPUTED_VALUE"""),5.0)</f>
        <v>5</v>
      </c>
      <c r="CR189" s="16">
        <f>IFERROR(__xludf.DUMMYFUNCTION("""COMPUTED_VALUE"""),4.0)</f>
        <v>4</v>
      </c>
      <c r="CS189" s="16">
        <f>IFERROR(__xludf.DUMMYFUNCTION("""COMPUTED_VALUE"""),9.0)</f>
        <v>9</v>
      </c>
      <c r="CT189" s="16">
        <f>IFERROR(__xludf.DUMMYFUNCTION("""COMPUTED_VALUE"""),5.0)</f>
        <v>5</v>
      </c>
      <c r="CU189" s="16">
        <f>IFERROR(__xludf.DUMMYFUNCTION("""COMPUTED_VALUE"""),4.0)</f>
        <v>4</v>
      </c>
      <c r="CV189" s="179">
        <f>IFERROR(__xludf.DUMMYFUNCTION("""COMPUTED_VALUE"""),9.333333333333332)</f>
        <v>9.333333333</v>
      </c>
      <c r="CW189" s="179">
        <f>IFERROR(__xludf.DUMMYFUNCTION("""COMPUTED_VALUE"""),4.0)</f>
        <v>4</v>
      </c>
      <c r="CX189" s="179">
        <f>IFERROR(__xludf.DUMMYFUNCTION("""COMPUTED_VALUE"""),1.0)</f>
        <v>1</v>
      </c>
      <c r="CY189" s="16" t="str">
        <f>IFERROR(__xludf.DUMMYFUNCTION("""COMPUTED_VALUE"""),"RP")</f>
        <v>RP</v>
      </c>
      <c r="CZ189" s="16" t="str">
        <f>IFERROR(__xludf.DUMMYFUNCTION("""COMPUTED_VALUE"""),"CP")</f>
        <v>CP</v>
      </c>
      <c r="DA189" s="16"/>
      <c r="DB189" s="16"/>
      <c r="DC189" s="16"/>
      <c r="DD189" s="16"/>
      <c r="DE189" s="16"/>
      <c r="DF189" s="16"/>
      <c r="DG189" s="16"/>
      <c r="DH189" s="16"/>
      <c r="DI189" s="16"/>
      <c r="DJ189" s="16"/>
      <c r="DK189" s="16"/>
    </row>
    <row r="190">
      <c r="A190" s="16">
        <f>IFERROR(__xludf.DUMMYFUNCTION("""COMPUTED_VALUE"""),13101.0)</f>
        <v>13101</v>
      </c>
      <c r="B190" s="16" t="str">
        <f>IFERROR(__xludf.DUMMYFUNCTION("""COMPUTED_VALUE"""),"Kyle Nicolas")</f>
        <v>Kyle Nicolas</v>
      </c>
      <c r="C190" s="153">
        <f>IFERROR(__xludf.DUMMYFUNCTION("""COMPUTED_VALUE"""),0.18)</f>
        <v>0.18</v>
      </c>
      <c r="D190" s="16"/>
      <c r="E190" s="16" t="str">
        <f>IFERROR(__xludf.DUMMYFUNCTION("""COMPUTED_VALUE"""),"R")</f>
        <v>R</v>
      </c>
      <c r="F190" s="16">
        <f>IFERROR(__xludf.DUMMYFUNCTION("""COMPUTED_VALUE"""),55.0)</f>
        <v>55</v>
      </c>
      <c r="G190" s="16">
        <f>IFERROR(__xludf.DUMMYFUNCTION("""COMPUTED_VALUE"""),20.0)</f>
        <v>20</v>
      </c>
      <c r="H190" s="16">
        <f>IFERROR(__xludf.DUMMYFUNCTION("""COMPUTED_VALUE"""),29.0)</f>
        <v>29</v>
      </c>
      <c r="I190" s="16">
        <f>IFERROR(__xludf.DUMMYFUNCTION("""COMPUTED_VALUE"""),-1.0)</f>
        <v>-1</v>
      </c>
      <c r="J190" s="16">
        <f>IFERROR(__xludf.DUMMYFUNCTION("""COMPUTED_VALUE"""),0.0)</f>
        <v>0</v>
      </c>
      <c r="K190" s="16">
        <f>IFERROR(__xludf.DUMMYFUNCTION("""COMPUTED_VALUE"""),-3.0)</f>
        <v>-3</v>
      </c>
      <c r="L190" s="16">
        <f>IFERROR(__xludf.DUMMYFUNCTION("""COMPUTED_VALUE"""),0.0)</f>
        <v>0</v>
      </c>
      <c r="M190" s="16">
        <f>IFERROR(__xludf.DUMMYFUNCTION("""COMPUTED_VALUE"""),23.0)</f>
        <v>23</v>
      </c>
      <c r="N190" s="16">
        <f>IFERROR(__xludf.DUMMYFUNCTION("""COMPUTED_VALUE"""),16.0)</f>
        <v>16</v>
      </c>
      <c r="O190" s="16">
        <f>IFERROR(__xludf.DUMMYFUNCTION("""COMPUTED_VALUE"""),-3.0)</f>
        <v>-3</v>
      </c>
      <c r="P190" s="16">
        <f>IFERROR(__xludf.DUMMYFUNCTION("""COMPUTED_VALUE"""),-3.0)</f>
        <v>-3</v>
      </c>
      <c r="Q190" s="16">
        <f>IFERROR(__xludf.DUMMYFUNCTION("""COMPUTED_VALUE"""),-3.0)</f>
        <v>-3</v>
      </c>
      <c r="R190" s="16">
        <f>IFERROR(__xludf.DUMMYFUNCTION("""COMPUTED_VALUE"""),-3.0)</f>
        <v>-3</v>
      </c>
      <c r="S190" s="16">
        <f>IFERROR(__xludf.DUMMYFUNCTION("""COMPUTED_VALUE"""),4.2)</f>
        <v>4.2</v>
      </c>
      <c r="T190" s="16">
        <f>IFERROR(__xludf.DUMMYFUNCTION("""COMPUTED_VALUE"""),19.8)</f>
        <v>19.8</v>
      </c>
      <c r="U190" s="16">
        <f>IFERROR(__xludf.DUMMYFUNCTION("""COMPUTED_VALUE"""),2.0)</f>
        <v>2</v>
      </c>
      <c r="V190" s="16">
        <f>IFERROR(__xludf.DUMMYFUNCTION("""COMPUTED_VALUE"""),-1.0)</f>
        <v>-1</v>
      </c>
      <c r="W190" s="16">
        <f>IFERROR(__xludf.DUMMYFUNCTION("""COMPUTED_VALUE"""),4.0)</f>
        <v>4</v>
      </c>
      <c r="X190" s="16">
        <f>IFERROR(__xludf.DUMMYFUNCTION("""COMPUTED_VALUE"""),-2.0)</f>
        <v>-2</v>
      </c>
      <c r="Y190" s="16">
        <f>IFERROR(__xludf.DUMMYFUNCTION("""COMPUTED_VALUE"""),27.2)</f>
        <v>27.2</v>
      </c>
      <c r="Z190" s="16">
        <f>IFERROR(__xludf.DUMMYFUNCTION("""COMPUTED_VALUE"""),35.8)</f>
        <v>35.8</v>
      </c>
      <c r="AA190" s="16">
        <f>IFERROR(__xludf.DUMMYFUNCTION("""COMPUTED_VALUE"""),0.0)</f>
        <v>0</v>
      </c>
      <c r="AB190" s="16">
        <f>IFERROR(__xludf.DUMMYFUNCTION("""COMPUTED_VALUE"""),-2.0)</f>
        <v>-2</v>
      </c>
      <c r="AC190" s="16">
        <f>IFERROR(__xludf.DUMMYFUNCTION("""COMPUTED_VALUE"""),0.0)</f>
        <v>0</v>
      </c>
      <c r="AD190" s="16">
        <f>IFERROR(__xludf.DUMMYFUNCTION("""COMPUTED_VALUE"""),-10.0)</f>
        <v>-10</v>
      </c>
      <c r="AE190" s="16">
        <f>IFERROR(__xludf.DUMMYFUNCTION("""COMPUTED_VALUE"""),10.4)</f>
        <v>10.4</v>
      </c>
      <c r="AF190" s="16">
        <f>IFERROR(__xludf.DUMMYFUNCTION("""COMPUTED_VALUE"""),21.0)</f>
        <v>21</v>
      </c>
      <c r="AG190" s="16">
        <f>IFERROR(__xludf.DUMMYFUNCTION("""COMPUTED_VALUE"""),2.0)</f>
        <v>2</v>
      </c>
      <c r="AH190" s="16">
        <f>IFERROR(__xludf.DUMMYFUNCTION("""COMPUTED_VALUE"""),1.0)</f>
        <v>1</v>
      </c>
      <c r="AI190" s="16">
        <f>IFERROR(__xludf.DUMMYFUNCTION("""COMPUTED_VALUE"""),4.0)</f>
        <v>4</v>
      </c>
      <c r="AJ190" s="16">
        <f>IFERROR(__xludf.DUMMYFUNCTION("""COMPUTED_VALUE"""),2.0)</f>
        <v>2</v>
      </c>
      <c r="AK190" s="16">
        <f>IFERROR(__xludf.DUMMYFUNCTION("""COMPUTED_VALUE"""),3.2)</f>
        <v>3.2</v>
      </c>
      <c r="AL190" s="16">
        <f>IFERROR(__xludf.DUMMYFUNCTION("""COMPUTED_VALUE"""),19.8)</f>
        <v>19.8</v>
      </c>
      <c r="AM190" s="16">
        <f>IFERROR(__xludf.DUMMYFUNCTION("""COMPUTED_VALUE"""),2.0)</f>
        <v>2</v>
      </c>
      <c r="AN190" s="16">
        <f>IFERROR(__xludf.DUMMYFUNCTION("""COMPUTED_VALUE"""),-1.0)</f>
        <v>-1</v>
      </c>
      <c r="AO190" s="16">
        <f>IFERROR(__xludf.DUMMYFUNCTION("""COMPUTED_VALUE"""),2.0)</f>
        <v>2</v>
      </c>
      <c r="AP190" s="16">
        <f>IFERROR(__xludf.DUMMYFUNCTION("""COMPUTED_VALUE"""),-1.0)</f>
        <v>-1</v>
      </c>
      <c r="AQ190" s="16">
        <f>IFERROR(__xludf.DUMMYFUNCTION("""COMPUTED_VALUE"""),6.4)</f>
        <v>6.4</v>
      </c>
      <c r="AR190" s="16">
        <f>IFERROR(__xludf.DUMMYFUNCTION("""COMPUTED_VALUE"""),21.0)</f>
        <v>21</v>
      </c>
      <c r="AS190" s="16">
        <f>IFERROR(__xludf.DUMMYFUNCTION("""COMPUTED_VALUE"""),2.0)</f>
        <v>2</v>
      </c>
      <c r="AT190" s="16">
        <f>IFERROR(__xludf.DUMMYFUNCTION("""COMPUTED_VALUE"""),0.0)</f>
        <v>0</v>
      </c>
      <c r="AU190" s="16">
        <f>IFERROR(__xludf.DUMMYFUNCTION("""COMPUTED_VALUE"""),4.0)</f>
        <v>4</v>
      </c>
      <c r="AV190" s="16">
        <f>IFERROR(__xludf.DUMMYFUNCTION("""COMPUTED_VALUE"""),0.0)</f>
        <v>0</v>
      </c>
      <c r="AW190" s="16">
        <f>IFERROR(__xludf.DUMMYFUNCTION("""COMPUTED_VALUE"""),1.0)</f>
        <v>1</v>
      </c>
      <c r="AX190" s="16">
        <f>IFERROR(__xludf.DUMMYFUNCTION("""COMPUTED_VALUE"""),0.0)</f>
        <v>0</v>
      </c>
      <c r="AY190" s="16">
        <f>IFERROR(__xludf.DUMMYFUNCTION("""COMPUTED_VALUE"""),1.0)</f>
        <v>1</v>
      </c>
      <c r="AZ190" s="16">
        <f>IFERROR(__xludf.DUMMYFUNCTION("""COMPUTED_VALUE"""),2.0)</f>
        <v>2</v>
      </c>
      <c r="BA190" s="16">
        <f>IFERROR(__xludf.DUMMYFUNCTION("""COMPUTED_VALUE"""),5.0)</f>
        <v>5</v>
      </c>
      <c r="BB190" s="16">
        <f>IFERROR(__xludf.DUMMYFUNCTION("""COMPUTED_VALUE"""),10.0)</f>
        <v>10</v>
      </c>
      <c r="BC190" s="16"/>
      <c r="BD190" s="16">
        <f>IFERROR(__xludf.DUMMYFUNCTION("""COMPUTED_VALUE"""),0.0)</f>
        <v>0</v>
      </c>
      <c r="BE190" s="16">
        <f>IFERROR(__xludf.DUMMYFUNCTION("""COMPUTED_VALUE"""),1.0)</f>
        <v>1</v>
      </c>
      <c r="BF190" s="16">
        <f>IFERROR(__xludf.DUMMYFUNCTION("""COMPUTED_VALUE"""),0.0)</f>
        <v>0</v>
      </c>
      <c r="BG190" s="16">
        <f>IFERROR(__xludf.DUMMYFUNCTION("""COMPUTED_VALUE"""),2.0)</f>
        <v>2</v>
      </c>
      <c r="BH190" s="16">
        <f>IFERROR(__xludf.DUMMYFUNCTION("""COMPUTED_VALUE"""),2.0)</f>
        <v>2</v>
      </c>
      <c r="BI190" s="16">
        <f>IFERROR(__xludf.DUMMYFUNCTION("""COMPUTED_VALUE"""),4.0)</f>
        <v>4</v>
      </c>
      <c r="BJ190" s="16">
        <f>IFERROR(__xludf.DUMMYFUNCTION("""COMPUTED_VALUE"""),4.0)</f>
        <v>4</v>
      </c>
      <c r="BK190" s="16">
        <f>IFERROR(__xludf.DUMMYFUNCTION("""COMPUTED_VALUE"""),0.0)</f>
        <v>0</v>
      </c>
      <c r="BL190" s="16">
        <f>IFERROR(__xludf.DUMMYFUNCTION("""COMPUTED_VALUE"""),5.0)</f>
        <v>5</v>
      </c>
      <c r="BM190" s="16">
        <f>IFERROR(__xludf.DUMMYFUNCTION("""COMPUTED_VALUE"""),1.0)</f>
        <v>1</v>
      </c>
      <c r="BN190" s="16">
        <f>IFERROR(__xludf.DUMMYFUNCTION("""COMPUTED_VALUE"""),0.0)</f>
        <v>0</v>
      </c>
      <c r="BO190" s="16">
        <f>IFERROR(__xludf.DUMMYFUNCTION("""COMPUTED_VALUE"""),1.0)</f>
        <v>1</v>
      </c>
      <c r="BP190" s="16">
        <f>IFERROR(__xludf.DUMMYFUNCTION("""COMPUTED_VALUE"""),0.0)</f>
        <v>0</v>
      </c>
      <c r="BQ190" s="16">
        <f>IFERROR(__xludf.DUMMYFUNCTION("""COMPUTED_VALUE"""),6.0)</f>
        <v>6</v>
      </c>
      <c r="BR190" s="16">
        <f>IFERROR(__xludf.DUMMYFUNCTION("""COMPUTED_VALUE"""),4.0)</f>
        <v>4</v>
      </c>
      <c r="BS190" s="16">
        <f>IFERROR(__xludf.DUMMYFUNCTION("""COMPUTED_VALUE"""),1.0)</f>
        <v>1</v>
      </c>
      <c r="BT190" s="16">
        <f>IFERROR(__xludf.DUMMYFUNCTION("""COMPUTED_VALUE"""),-1.0)</f>
        <v>-1</v>
      </c>
      <c r="BU190" s="16">
        <f>IFERROR(__xludf.DUMMYFUNCTION("""COMPUTED_VALUE"""),2.0)</f>
        <v>2</v>
      </c>
      <c r="BV190" s="16">
        <f>IFERROR(__xludf.DUMMYFUNCTION("""COMPUTED_VALUE"""),-2.0)</f>
        <v>-2</v>
      </c>
      <c r="BW190" s="16">
        <f>IFERROR(__xludf.DUMMYFUNCTION("""COMPUTED_VALUE"""),-4.0)</f>
        <v>-4</v>
      </c>
      <c r="BX190" s="16">
        <f>IFERROR(__xludf.DUMMYFUNCTION("""COMPUTED_VALUE"""),-4.0)</f>
        <v>-4</v>
      </c>
      <c r="BY190" s="16" t="str">
        <f>IFERROR(__xludf.DUMMYFUNCTION("""COMPUTED_VALUE"""),"R(1)")</f>
        <v>R(1)</v>
      </c>
      <c r="BZ190" s="16" t="str">
        <f>IFERROR(__xludf.DUMMYFUNCTION("""COMPUTED_VALUE"""),"R(1)")</f>
        <v>R(1)</v>
      </c>
      <c r="CA190" s="16" t="str">
        <f>IFERROR(__xludf.DUMMYFUNCTION("""COMPUTED_VALUE"""),"R(1)")</f>
        <v>R(1)</v>
      </c>
      <c r="CB190" s="16"/>
      <c r="CC190" s="16"/>
      <c r="CD190" s="16"/>
      <c r="CE190" s="16">
        <f>IFERROR(__xludf.DUMMYFUNCTION("""COMPUTED_VALUE"""),1.0)</f>
        <v>1</v>
      </c>
      <c r="CF190" s="16"/>
      <c r="CG190" s="16" t="str">
        <f>IFERROR(__xludf.DUMMYFUNCTION("""COMPUTED_VALUE"""),"3-0")</f>
        <v>3-0</v>
      </c>
      <c r="CH190" s="16">
        <f>IFERROR(__xludf.DUMMYFUNCTION("""COMPUTED_VALUE"""),3.0)</f>
        <v>3</v>
      </c>
      <c r="CI190" s="16">
        <f>IFERROR(__xludf.DUMMYFUNCTION("""COMPUTED_VALUE"""),0.0)</f>
        <v>0</v>
      </c>
      <c r="CJ190" s="16">
        <f>IFERROR(__xludf.DUMMYFUNCTION("""COMPUTED_VALUE"""),7.0)</f>
        <v>7</v>
      </c>
      <c r="CK190" s="16">
        <f>IFERROR(__xludf.DUMMYFUNCTION("""COMPUTED_VALUE"""),20.0)</f>
        <v>20</v>
      </c>
      <c r="CL190" s="16" t="str">
        <f>IFERROR(__xludf.DUMMYFUNCTION("""COMPUTED_VALUE"""),"1WR-C")</f>
        <v>1WR-C</v>
      </c>
      <c r="CM190" s="16" t="str">
        <f>IFERROR(__xludf.DUMMYFUNCTION("""COMPUTED_VALUE"""),"E")</f>
        <v>E</v>
      </c>
      <c r="CN190" s="16">
        <f>IFERROR(__xludf.DUMMYFUNCTION("""COMPUTED_VALUE"""),10.0)</f>
        <v>10</v>
      </c>
      <c r="CO190" s="16" t="str">
        <f>IFERROR(__xludf.DUMMYFUNCTION("""COMPUTED_VALUE"""),"C")</f>
        <v>C</v>
      </c>
      <c r="CP190" s="16" t="str">
        <f>IFERROR(__xludf.DUMMYFUNCTION("""COMPUTED_VALUE"""),"1p50")</f>
        <v>1p50</v>
      </c>
      <c r="CQ190" s="16">
        <f>IFERROR(__xludf.DUMMYFUNCTION("""COMPUTED_VALUE"""),20.0)</f>
        <v>20</v>
      </c>
      <c r="CR190" s="16">
        <f>IFERROR(__xludf.DUMMYFUNCTION("""COMPUTED_VALUE"""),-2.0)</f>
        <v>-2</v>
      </c>
      <c r="CS190" s="16">
        <f>IFERROR(__xludf.DUMMYFUNCTION("""COMPUTED_VALUE"""),18.0)</f>
        <v>18</v>
      </c>
      <c r="CT190" s="16">
        <f>IFERROR(__xludf.DUMMYFUNCTION("""COMPUTED_VALUE"""),20.0)</f>
        <v>20</v>
      </c>
      <c r="CU190" s="16">
        <f>IFERROR(__xludf.DUMMYFUNCTION("""COMPUTED_VALUE"""),-2.0)</f>
        <v>-2</v>
      </c>
      <c r="CV190" s="179">
        <f>IFERROR(__xludf.DUMMYFUNCTION("""COMPUTED_VALUE"""),9.333333333333332)</f>
        <v>9.333333333</v>
      </c>
      <c r="CW190" s="179">
        <f>IFERROR(__xludf.DUMMYFUNCTION("""COMPUTED_VALUE"""),4.0)</f>
        <v>4</v>
      </c>
      <c r="CX190" s="179">
        <f>IFERROR(__xludf.DUMMYFUNCTION("""COMPUTED_VALUE"""),0.0)</f>
        <v>0</v>
      </c>
      <c r="CY190" s="16" t="str">
        <f>IFERROR(__xludf.DUMMYFUNCTION("""COMPUTED_VALUE"""),"RP")</f>
        <v>RP</v>
      </c>
      <c r="CZ190" s="16"/>
      <c r="DA190" s="16"/>
      <c r="DB190" s="16"/>
      <c r="DC190" s="16"/>
      <c r="DD190" s="16"/>
      <c r="DE190" s="16"/>
      <c r="DF190" s="16"/>
      <c r="DG190" s="16"/>
      <c r="DH190" s="16"/>
      <c r="DI190" s="16"/>
      <c r="DJ190" s="16"/>
      <c r="DK190" s="16"/>
    </row>
    <row r="191">
      <c r="A191" s="16">
        <f>IFERROR(__xludf.DUMMYFUNCTION("""COMPUTED_VALUE"""),13509.0)</f>
        <v>13509</v>
      </c>
      <c r="B191" s="16" t="str">
        <f>IFERROR(__xludf.DUMMYFUNCTION("""COMPUTED_VALUE"""),"Yuki Matsui")</f>
        <v>Yuki Matsui</v>
      </c>
      <c r="C191" s="153">
        <f>IFERROR(__xludf.DUMMYFUNCTION("""COMPUTED_VALUE"""),0.61)</f>
        <v>0.61</v>
      </c>
      <c r="D191" s="16"/>
      <c r="E191" s="16" t="str">
        <f>IFERROR(__xludf.DUMMYFUNCTION("""COMPUTED_VALUE"""),"L")</f>
        <v>L</v>
      </c>
      <c r="F191" s="16">
        <f>IFERROR(__xludf.DUMMYFUNCTION("""COMPUTED_VALUE"""),63.0)</f>
        <v>63</v>
      </c>
      <c r="G191" s="16">
        <f>IFERROR(__xludf.DUMMYFUNCTION("""COMPUTED_VALUE"""),40.0)</f>
        <v>40</v>
      </c>
      <c r="H191" s="16">
        <f>IFERROR(__xludf.DUMMYFUNCTION("""COMPUTED_VALUE"""),31.0)</f>
        <v>31</v>
      </c>
      <c r="I191" s="16">
        <f>IFERROR(__xludf.DUMMYFUNCTION("""COMPUTED_VALUE"""),2.0)</f>
        <v>2</v>
      </c>
      <c r="J191" s="16">
        <f>IFERROR(__xludf.DUMMYFUNCTION("""COMPUTED_VALUE"""),0.0)</f>
        <v>0</v>
      </c>
      <c r="K191" s="16">
        <f>IFERROR(__xludf.DUMMYFUNCTION("""COMPUTED_VALUE"""),6.0)</f>
        <v>6</v>
      </c>
      <c r="L191" s="16">
        <f>IFERROR(__xludf.DUMMYFUNCTION("""COMPUTED_VALUE"""),0.0)</f>
        <v>0</v>
      </c>
      <c r="M191" s="16">
        <f>IFERROR(__xludf.DUMMYFUNCTION("""COMPUTED_VALUE"""),10.0)</f>
        <v>10</v>
      </c>
      <c r="N191" s="16">
        <f>IFERROR(__xludf.DUMMYFUNCTION("""COMPUTED_VALUE"""),12.0)</f>
        <v>12</v>
      </c>
      <c r="O191" s="16">
        <f>IFERROR(__xludf.DUMMYFUNCTION("""COMPUTED_VALUE"""),0.0)</f>
        <v>0</v>
      </c>
      <c r="P191" s="16">
        <f>IFERROR(__xludf.DUMMYFUNCTION("""COMPUTED_VALUE"""),-2.0)</f>
        <v>-2</v>
      </c>
      <c r="Q191" s="16">
        <f>IFERROR(__xludf.DUMMYFUNCTION("""COMPUTED_VALUE"""),0.0)</f>
        <v>0</v>
      </c>
      <c r="R191" s="16">
        <f>IFERROR(__xludf.DUMMYFUNCTION("""COMPUTED_VALUE"""),-2.0)</f>
        <v>-2</v>
      </c>
      <c r="S191" s="16">
        <f>IFERROR(__xludf.DUMMYFUNCTION("""COMPUTED_VALUE"""),12.1)</f>
        <v>12.1</v>
      </c>
      <c r="T191" s="16">
        <f>IFERROR(__xludf.DUMMYFUNCTION("""COMPUTED_VALUE"""),6.6)</f>
        <v>6.6</v>
      </c>
      <c r="U191" s="16">
        <f>IFERROR(__xludf.DUMMYFUNCTION("""COMPUTED_VALUE"""),1.0)</f>
        <v>1</v>
      </c>
      <c r="V191" s="16">
        <f>IFERROR(__xludf.DUMMYFUNCTION("""COMPUTED_VALUE"""),2.0)</f>
        <v>2</v>
      </c>
      <c r="W191" s="16">
        <f>IFERROR(__xludf.DUMMYFUNCTION("""COMPUTED_VALUE"""),2.0)</f>
        <v>2</v>
      </c>
      <c r="X191" s="16">
        <f>IFERROR(__xludf.DUMMYFUNCTION("""COMPUTED_VALUE"""),4.0)</f>
        <v>4</v>
      </c>
      <c r="Y191" s="16">
        <f>IFERROR(__xludf.DUMMYFUNCTION("""COMPUTED_VALUE"""),22.1)</f>
        <v>22.1</v>
      </c>
      <c r="Z191" s="16">
        <f>IFERROR(__xludf.DUMMYFUNCTION("""COMPUTED_VALUE"""),18.5)</f>
        <v>18.5</v>
      </c>
      <c r="AA191" s="16">
        <f>IFERROR(__xludf.DUMMYFUNCTION("""COMPUTED_VALUE"""),1.0)</f>
        <v>1</v>
      </c>
      <c r="AB191" s="16">
        <f>IFERROR(__xludf.DUMMYFUNCTION("""COMPUTED_VALUE"""),1.0)</f>
        <v>1</v>
      </c>
      <c r="AC191" s="16">
        <f>IFERROR(__xludf.DUMMYFUNCTION("""COMPUTED_VALUE"""),5.0)</f>
        <v>5</v>
      </c>
      <c r="AD191" s="16">
        <f>IFERROR(__xludf.DUMMYFUNCTION("""COMPUTED_VALUE"""),5.0)</f>
        <v>5</v>
      </c>
      <c r="AE191" s="16">
        <f>IFERROR(__xludf.DUMMYFUNCTION("""COMPUTED_VALUE"""),30.4)</f>
        <v>30.4</v>
      </c>
      <c r="AF191" s="16">
        <f>IFERROR(__xludf.DUMMYFUNCTION("""COMPUTED_VALUE"""),19.4)</f>
        <v>19.4</v>
      </c>
      <c r="AG191" s="16">
        <f>IFERROR(__xludf.DUMMYFUNCTION("""COMPUTED_VALUE"""),0.0)</f>
        <v>0</v>
      </c>
      <c r="AH191" s="16">
        <f>IFERROR(__xludf.DUMMYFUNCTION("""COMPUTED_VALUE"""),1.0)</f>
        <v>1</v>
      </c>
      <c r="AI191" s="16">
        <f>IFERROR(__xludf.DUMMYFUNCTION("""COMPUTED_VALUE"""),0.0)</f>
        <v>0</v>
      </c>
      <c r="AJ191" s="16">
        <f>IFERROR(__xludf.DUMMYFUNCTION("""COMPUTED_VALUE"""),2.0)</f>
        <v>2</v>
      </c>
      <c r="AK191" s="16">
        <f>IFERROR(__xludf.DUMMYFUNCTION("""COMPUTED_VALUE"""),9.5)</f>
        <v>9.5</v>
      </c>
      <c r="AL191" s="16">
        <f>IFERROR(__xludf.DUMMYFUNCTION("""COMPUTED_VALUE"""),4.6)</f>
        <v>4.6</v>
      </c>
      <c r="AM191" s="16">
        <f>IFERROR(__xludf.DUMMYFUNCTION("""COMPUTED_VALUE"""),1.0)</f>
        <v>1</v>
      </c>
      <c r="AN191" s="16">
        <f>IFERROR(__xludf.DUMMYFUNCTION("""COMPUTED_VALUE"""),2.0)</f>
        <v>2</v>
      </c>
      <c r="AO191" s="16">
        <f>IFERROR(__xludf.DUMMYFUNCTION("""COMPUTED_VALUE"""),1.0)</f>
        <v>1</v>
      </c>
      <c r="AP191" s="16">
        <f>IFERROR(__xludf.DUMMYFUNCTION("""COMPUTED_VALUE"""),2.0)</f>
        <v>2</v>
      </c>
      <c r="AQ191" s="16">
        <f>IFERROR(__xludf.DUMMYFUNCTION("""COMPUTED_VALUE"""),20.0)</f>
        <v>20</v>
      </c>
      <c r="AR191" s="16">
        <f>IFERROR(__xludf.DUMMYFUNCTION("""COMPUTED_VALUE"""),11.399999999999999)</f>
        <v>11.4</v>
      </c>
      <c r="AS191" s="16">
        <f>IFERROR(__xludf.DUMMYFUNCTION("""COMPUTED_VALUE"""),0.0)</f>
        <v>0</v>
      </c>
      <c r="AT191" s="16">
        <f>IFERROR(__xludf.DUMMYFUNCTION("""COMPUTED_VALUE"""),1.0)</f>
        <v>1</v>
      </c>
      <c r="AU191" s="16">
        <f>IFERROR(__xludf.DUMMYFUNCTION("""COMPUTED_VALUE"""),0.0)</f>
        <v>0</v>
      </c>
      <c r="AV191" s="16">
        <f>IFERROR(__xludf.DUMMYFUNCTION("""COMPUTED_VALUE"""),2.0)</f>
        <v>2</v>
      </c>
      <c r="AW191" s="16">
        <f>IFERROR(__xludf.DUMMYFUNCTION("""COMPUTED_VALUE"""),2.6)</f>
        <v>2.6</v>
      </c>
      <c r="AX191" s="16">
        <f>IFERROR(__xludf.DUMMYFUNCTION("""COMPUTED_VALUE"""),2.0)</f>
        <v>2</v>
      </c>
      <c r="AY191" s="16">
        <f>IFERROR(__xludf.DUMMYFUNCTION("""COMPUTED_VALUE"""),-1.0)</f>
        <v>-1</v>
      </c>
      <c r="AZ191" s="16">
        <f>IFERROR(__xludf.DUMMYFUNCTION("""COMPUTED_VALUE"""),0.0)</f>
        <v>0</v>
      </c>
      <c r="BA191" s="16">
        <f>IFERROR(__xludf.DUMMYFUNCTION("""COMPUTED_VALUE"""),-5.0)</f>
        <v>-5</v>
      </c>
      <c r="BB191" s="16">
        <f>IFERROR(__xludf.DUMMYFUNCTION("""COMPUTED_VALUE"""),0.0)</f>
        <v>0</v>
      </c>
      <c r="BC191" s="16"/>
      <c r="BD191" s="16"/>
      <c r="BE191" s="16">
        <f>IFERROR(__xludf.DUMMYFUNCTION("""COMPUTED_VALUE"""),3.0)</f>
        <v>3</v>
      </c>
      <c r="BF191" s="16">
        <f>IFERROR(__xludf.DUMMYFUNCTION("""COMPUTED_VALUE"""),3.0)</f>
        <v>3</v>
      </c>
      <c r="BG191" s="16">
        <f>IFERROR(__xludf.DUMMYFUNCTION("""COMPUTED_VALUE"""),0.0)</f>
        <v>0</v>
      </c>
      <c r="BH191" s="16">
        <f>IFERROR(__xludf.DUMMYFUNCTION("""COMPUTED_VALUE"""),0.0)</f>
        <v>0</v>
      </c>
      <c r="BI191" s="16">
        <f>IFERROR(__xludf.DUMMYFUNCTION("""COMPUTED_VALUE"""),0.0)</f>
        <v>0</v>
      </c>
      <c r="BJ191" s="16">
        <f>IFERROR(__xludf.DUMMYFUNCTION("""COMPUTED_VALUE"""),0.0)</f>
        <v>0</v>
      </c>
      <c r="BK191" s="16">
        <f>IFERROR(__xludf.DUMMYFUNCTION("""COMPUTED_VALUE"""),0.0)</f>
        <v>0</v>
      </c>
      <c r="BL191" s="16">
        <f>IFERROR(__xludf.DUMMYFUNCTION("""COMPUTED_VALUE"""),0.0)</f>
        <v>0</v>
      </c>
      <c r="BM191" s="16">
        <f>IFERROR(__xludf.DUMMYFUNCTION("""COMPUTED_VALUE"""),1.0)</f>
        <v>1</v>
      </c>
      <c r="BN191" s="16">
        <f>IFERROR(__xludf.DUMMYFUNCTION("""COMPUTED_VALUE"""),1.0)</f>
        <v>1</v>
      </c>
      <c r="BO191" s="16">
        <f>IFERROR(__xludf.DUMMYFUNCTION("""COMPUTED_VALUE"""),1.0)</f>
        <v>1</v>
      </c>
      <c r="BP191" s="16">
        <f>IFERROR(__xludf.DUMMYFUNCTION("""COMPUTED_VALUE"""),1.0)</f>
        <v>1</v>
      </c>
      <c r="BQ191" s="16">
        <f>IFERROR(__xludf.DUMMYFUNCTION("""COMPUTED_VALUE"""),0.0)</f>
        <v>0</v>
      </c>
      <c r="BR191" s="16">
        <f>IFERROR(__xludf.DUMMYFUNCTION("""COMPUTED_VALUE"""),0.0)</f>
        <v>0</v>
      </c>
      <c r="BS191" s="16">
        <f>IFERROR(__xludf.DUMMYFUNCTION("""COMPUTED_VALUE"""),-3.0)</f>
        <v>-3</v>
      </c>
      <c r="BT191" s="16">
        <f>IFERROR(__xludf.DUMMYFUNCTION("""COMPUTED_VALUE"""),-3.0)</f>
        <v>-3</v>
      </c>
      <c r="BU191" s="16">
        <f>IFERROR(__xludf.DUMMYFUNCTION("""COMPUTED_VALUE"""),-6.0)</f>
        <v>-6</v>
      </c>
      <c r="BV191" s="16">
        <f>IFERROR(__xludf.DUMMYFUNCTION("""COMPUTED_VALUE"""),-6.0)</f>
        <v>-6</v>
      </c>
      <c r="BW191" s="16">
        <f>IFERROR(__xludf.DUMMYFUNCTION("""COMPUTED_VALUE"""),-3.0)</f>
        <v>-3</v>
      </c>
      <c r="BX191" s="16">
        <f>IFERROR(__xludf.DUMMYFUNCTION("""COMPUTED_VALUE"""),-3.0)</f>
        <v>-3</v>
      </c>
      <c r="BY191" s="16" t="str">
        <f>IFERROR(__xludf.DUMMYFUNCTION("""COMPUTED_VALUE"""),"R(1)")</f>
        <v>R(1)</v>
      </c>
      <c r="BZ191" s="16" t="str">
        <f>IFERROR(__xludf.DUMMYFUNCTION("""COMPUTED_VALUE"""),"R(1)")</f>
        <v>R(1)</v>
      </c>
      <c r="CA191" s="16" t="str">
        <f>IFERROR(__xludf.DUMMYFUNCTION("""COMPUTED_VALUE"""),"R(1)")</f>
        <v>R(1)</v>
      </c>
      <c r="CB191" s="16"/>
      <c r="CC191" s="16"/>
      <c r="CD191" s="16"/>
      <c r="CE191" s="16">
        <f>IFERROR(__xludf.DUMMYFUNCTION("""COMPUTED_VALUE"""),1.0)</f>
        <v>1</v>
      </c>
      <c r="CF191" s="16"/>
      <c r="CG191" s="16" t="str">
        <f>IFERROR(__xludf.DUMMYFUNCTION("""COMPUTED_VALUE"""),"3-23")</f>
        <v>3-23</v>
      </c>
      <c r="CH191" s="16">
        <f>IFERROR(__xludf.DUMMYFUNCTION("""COMPUTED_VALUE"""),3.0)</f>
        <v>3</v>
      </c>
      <c r="CI191" s="16">
        <f>IFERROR(__xludf.DUMMYFUNCTION("""COMPUTED_VALUE"""),23.0)</f>
        <v>23</v>
      </c>
      <c r="CJ191" s="16">
        <f>IFERROR(__xludf.DUMMYFUNCTION("""COMPUTED_VALUE"""),0.0)</f>
        <v>0</v>
      </c>
      <c r="CK191" s="16">
        <f>IFERROR(__xludf.DUMMYFUNCTION("""COMPUTED_VALUE"""),20.0)</f>
        <v>20</v>
      </c>
      <c r="CL191" s="16" t="str">
        <f>IFERROR(__xludf.DUMMYFUNCTION("""COMPUTED_VALUE"""),"1WL-C")</f>
        <v>1WL-C</v>
      </c>
      <c r="CM191" s="16" t="str">
        <f>IFERROR(__xludf.DUMMYFUNCTION("""COMPUTED_VALUE"""),"E")</f>
        <v>E</v>
      </c>
      <c r="CN191" s="16">
        <f>IFERROR(__xludf.DUMMYFUNCTION("""COMPUTED_VALUE"""),10.0)</f>
        <v>10</v>
      </c>
      <c r="CO191" s="16" t="str">
        <f>IFERROR(__xludf.DUMMYFUNCTION("""COMPUTED_VALUE"""),"C")</f>
        <v>C</v>
      </c>
      <c r="CP191" s="16" t="str">
        <f>IFERROR(__xludf.DUMMYFUNCTION("""COMPUTED_VALUE"""),"1p50")</f>
        <v>1p50</v>
      </c>
      <c r="CQ191" s="16">
        <f>IFERROR(__xludf.DUMMYFUNCTION("""COMPUTED_VALUE"""),4.0)</f>
        <v>4</v>
      </c>
      <c r="CR191" s="16">
        <f>IFERROR(__xludf.DUMMYFUNCTION("""COMPUTED_VALUE"""),8.0)</f>
        <v>8</v>
      </c>
      <c r="CS191" s="16">
        <f>IFERROR(__xludf.DUMMYFUNCTION("""COMPUTED_VALUE"""),12.0)</f>
        <v>12</v>
      </c>
      <c r="CT191" s="16">
        <f>IFERROR(__xludf.DUMMYFUNCTION("""COMPUTED_VALUE"""),4.0)</f>
        <v>4</v>
      </c>
      <c r="CU191" s="16">
        <f>IFERROR(__xludf.DUMMYFUNCTION("""COMPUTED_VALUE"""),8.0)</f>
        <v>8</v>
      </c>
      <c r="CV191" s="179">
        <f>IFERROR(__xludf.DUMMYFUNCTION("""COMPUTED_VALUE"""),9.333333333333332)</f>
        <v>9.333333333</v>
      </c>
      <c r="CW191" s="179">
        <f>IFERROR(__xludf.DUMMYFUNCTION("""COMPUTED_VALUE"""),4.0)</f>
        <v>4</v>
      </c>
      <c r="CX191" s="179">
        <f>IFERROR(__xludf.DUMMYFUNCTION("""COMPUTED_VALUE"""),0.0)</f>
        <v>0</v>
      </c>
      <c r="CY191" s="16" t="str">
        <f>IFERROR(__xludf.DUMMYFUNCTION("""COMPUTED_VALUE"""),"RP")</f>
        <v>RP</v>
      </c>
      <c r="CZ191" s="16"/>
      <c r="DA191" s="16"/>
      <c r="DB191" s="16"/>
      <c r="DC191" s="16"/>
      <c r="DD191" s="16"/>
      <c r="DE191" s="16"/>
      <c r="DF191" s="16"/>
      <c r="DG191" s="16"/>
      <c r="DH191" s="16"/>
      <c r="DI191" s="16"/>
      <c r="DJ191" s="16"/>
      <c r="DK191" s="16"/>
    </row>
    <row r="192">
      <c r="A192" s="16">
        <f>IFERROR(__xludf.DUMMYFUNCTION("""COMPUTED_VALUE"""),13068.0)</f>
        <v>13068</v>
      </c>
      <c r="B192" s="16" t="str">
        <f>IFERROR(__xludf.DUMMYFUNCTION("""COMPUTED_VALUE"""),"Keegan Thompson")</f>
        <v>Keegan Thompson</v>
      </c>
      <c r="C192" s="153">
        <f>IFERROR(__xludf.DUMMYFUNCTION("""COMPUTED_VALUE"""),1.42)</f>
        <v>1.42</v>
      </c>
      <c r="D192" s="16"/>
      <c r="E192" s="16" t="str">
        <f>IFERROR(__xludf.DUMMYFUNCTION("""COMPUTED_VALUE"""),"R")</f>
        <v>R</v>
      </c>
      <c r="F192" s="16">
        <f>IFERROR(__xludf.DUMMYFUNCTION("""COMPUTED_VALUE"""),30.0)</f>
        <v>30</v>
      </c>
      <c r="G192" s="16">
        <f>IFERROR(__xludf.DUMMYFUNCTION("""COMPUTED_VALUE"""),32.0)</f>
        <v>32</v>
      </c>
      <c r="H192" s="16">
        <f>IFERROR(__xludf.DUMMYFUNCTION("""COMPUTED_VALUE"""),42.0)</f>
        <v>42</v>
      </c>
      <c r="I192" s="16">
        <f>IFERROR(__xludf.DUMMYFUNCTION("""COMPUTED_VALUE"""),1.0)</f>
        <v>1</v>
      </c>
      <c r="J192" s="16">
        <f>IFERROR(__xludf.DUMMYFUNCTION("""COMPUTED_VALUE"""),2.0)</f>
        <v>2</v>
      </c>
      <c r="K192" s="16">
        <f>IFERROR(__xludf.DUMMYFUNCTION("""COMPUTED_VALUE"""),3.0)</f>
        <v>3</v>
      </c>
      <c r="L192" s="16">
        <f>IFERROR(__xludf.DUMMYFUNCTION("""COMPUTED_VALUE"""),6.0)</f>
        <v>6</v>
      </c>
      <c r="M192" s="16">
        <f>IFERROR(__xludf.DUMMYFUNCTION("""COMPUTED_VALUE"""),15.0)</f>
        <v>15</v>
      </c>
      <c r="N192" s="16">
        <f>IFERROR(__xludf.DUMMYFUNCTION("""COMPUTED_VALUE"""),29.0)</f>
        <v>29</v>
      </c>
      <c r="O192" s="16">
        <f>IFERROR(__xludf.DUMMYFUNCTION("""COMPUTED_VALUE"""),-2.0)</f>
        <v>-2</v>
      </c>
      <c r="P192" s="16">
        <f>IFERROR(__xludf.DUMMYFUNCTION("""COMPUTED_VALUE"""),-3.0)</f>
        <v>-3</v>
      </c>
      <c r="Q192" s="16">
        <f>IFERROR(__xludf.DUMMYFUNCTION("""COMPUTED_VALUE"""),-2.0)</f>
        <v>-2</v>
      </c>
      <c r="R192" s="16">
        <f>IFERROR(__xludf.DUMMYFUNCTION("""COMPUTED_VALUE"""),-3.0)</f>
        <v>-3</v>
      </c>
      <c r="S192" s="16">
        <f>IFERROR(__xludf.DUMMYFUNCTION("""COMPUTED_VALUE"""),8.8)</f>
        <v>8.8</v>
      </c>
      <c r="T192" s="16">
        <f>IFERROR(__xludf.DUMMYFUNCTION("""COMPUTED_VALUE"""),0.0)</f>
        <v>0</v>
      </c>
      <c r="U192" s="16">
        <f>IFERROR(__xludf.DUMMYFUNCTION("""COMPUTED_VALUE"""),1.0)</f>
        <v>1</v>
      </c>
      <c r="V192" s="16">
        <f>IFERROR(__xludf.DUMMYFUNCTION("""COMPUTED_VALUE"""),3.0)</f>
        <v>3</v>
      </c>
      <c r="W192" s="16">
        <f>IFERROR(__xludf.DUMMYFUNCTION("""COMPUTED_VALUE"""),2.0)</f>
        <v>2</v>
      </c>
      <c r="X192" s="16">
        <f>IFERROR(__xludf.DUMMYFUNCTION("""COMPUTED_VALUE"""),6.0)</f>
        <v>6</v>
      </c>
      <c r="Y192" s="16">
        <f>IFERROR(__xludf.DUMMYFUNCTION("""COMPUTED_VALUE"""),23.8)</f>
        <v>23.8</v>
      </c>
      <c r="Z192" s="16">
        <f>IFERROR(__xludf.DUMMYFUNCTION("""COMPUTED_VALUE"""),29.0)</f>
        <v>29</v>
      </c>
      <c r="AA192" s="16">
        <f>IFERROR(__xludf.DUMMYFUNCTION("""COMPUTED_VALUE"""),0.0)</f>
        <v>0</v>
      </c>
      <c r="AB192" s="16">
        <f>IFERROR(__xludf.DUMMYFUNCTION("""COMPUTED_VALUE"""),-1.0)</f>
        <v>-1</v>
      </c>
      <c r="AC192" s="16">
        <f>IFERROR(__xludf.DUMMYFUNCTION("""COMPUTED_VALUE"""),0.0)</f>
        <v>0</v>
      </c>
      <c r="AD192" s="16">
        <f>IFERROR(__xludf.DUMMYFUNCTION("""COMPUTED_VALUE"""),-5.0)</f>
        <v>-5</v>
      </c>
      <c r="AE192" s="16">
        <f>IFERROR(__xludf.DUMMYFUNCTION("""COMPUTED_VALUE"""),26.7)</f>
        <v>26.7</v>
      </c>
      <c r="AF192" s="16">
        <f>IFERROR(__xludf.DUMMYFUNCTION("""COMPUTED_VALUE"""),0.0)</f>
        <v>0</v>
      </c>
      <c r="AG192" s="16">
        <f>IFERROR(__xludf.DUMMYFUNCTION("""COMPUTED_VALUE"""),0.0)</f>
        <v>0</v>
      </c>
      <c r="AH192" s="16">
        <f>IFERROR(__xludf.DUMMYFUNCTION("""COMPUTED_VALUE"""),3.0)</f>
        <v>3</v>
      </c>
      <c r="AI192" s="16">
        <f>IFERROR(__xludf.DUMMYFUNCTION("""COMPUTED_VALUE"""),0.0)</f>
        <v>0</v>
      </c>
      <c r="AJ192" s="16">
        <f>IFERROR(__xludf.DUMMYFUNCTION("""COMPUTED_VALUE"""),6.0)</f>
        <v>6</v>
      </c>
      <c r="AK192" s="16">
        <f>IFERROR(__xludf.DUMMYFUNCTION("""COMPUTED_VALUE"""),4.700000000000001)</f>
        <v>4.7</v>
      </c>
      <c r="AL192" s="16">
        <f>IFERROR(__xludf.DUMMYFUNCTION("""COMPUTED_VALUE"""),0.0)</f>
        <v>0</v>
      </c>
      <c r="AM192" s="16">
        <f>IFERROR(__xludf.DUMMYFUNCTION("""COMPUTED_VALUE"""),2.0)</f>
        <v>2</v>
      </c>
      <c r="AN192" s="16">
        <f>IFERROR(__xludf.DUMMYFUNCTION("""COMPUTED_VALUE"""),3.0)</f>
        <v>3</v>
      </c>
      <c r="AO192" s="16">
        <f>IFERROR(__xludf.DUMMYFUNCTION("""COMPUTED_VALUE"""),2.0)</f>
        <v>2</v>
      </c>
      <c r="AP192" s="16">
        <f>IFERROR(__xludf.DUMMYFUNCTION("""COMPUTED_VALUE"""),3.0)</f>
        <v>3</v>
      </c>
      <c r="AQ192" s="16">
        <f>IFERROR(__xludf.DUMMYFUNCTION("""COMPUTED_VALUE"""),10.3)</f>
        <v>10.3</v>
      </c>
      <c r="AR192" s="16">
        <f>IFERROR(__xludf.DUMMYFUNCTION("""COMPUTED_VALUE"""),0.0)</f>
        <v>0</v>
      </c>
      <c r="AS192" s="16">
        <f>IFERROR(__xludf.DUMMYFUNCTION("""COMPUTED_VALUE"""),1.0)</f>
        <v>1</v>
      </c>
      <c r="AT192" s="16">
        <f>IFERROR(__xludf.DUMMYFUNCTION("""COMPUTED_VALUE"""),3.0)</f>
        <v>3</v>
      </c>
      <c r="AU192" s="16">
        <f>IFERROR(__xludf.DUMMYFUNCTION("""COMPUTED_VALUE"""),2.0)</f>
        <v>2</v>
      </c>
      <c r="AV192" s="16">
        <f>IFERROR(__xludf.DUMMYFUNCTION("""COMPUTED_VALUE"""),6.0)</f>
        <v>6</v>
      </c>
      <c r="AW192" s="16">
        <f>IFERROR(__xludf.DUMMYFUNCTION("""COMPUTED_VALUE"""),4.1)</f>
        <v>4.1</v>
      </c>
      <c r="AX192" s="16">
        <f>IFERROR(__xludf.DUMMYFUNCTION("""COMPUTED_VALUE"""),0.0)</f>
        <v>0</v>
      </c>
      <c r="AY192" s="16">
        <f>IFERROR(__xludf.DUMMYFUNCTION("""COMPUTED_VALUE"""),-2.0)</f>
        <v>-2</v>
      </c>
      <c r="AZ192" s="16">
        <f>IFERROR(__xludf.DUMMYFUNCTION("""COMPUTED_VALUE"""),2.0)</f>
        <v>2</v>
      </c>
      <c r="BA192" s="16">
        <f>IFERROR(__xludf.DUMMYFUNCTION("""COMPUTED_VALUE"""),-10.0)</f>
        <v>-10</v>
      </c>
      <c r="BB192" s="16">
        <f>IFERROR(__xludf.DUMMYFUNCTION("""COMPUTED_VALUE"""),10.0)</f>
        <v>10</v>
      </c>
      <c r="BC192" s="16"/>
      <c r="BD192" s="16"/>
      <c r="BE192" s="16">
        <f>IFERROR(__xludf.DUMMYFUNCTION("""COMPUTED_VALUE"""),8.0)</f>
        <v>8</v>
      </c>
      <c r="BF192" s="16">
        <f>IFERROR(__xludf.DUMMYFUNCTION("""COMPUTED_VALUE"""),0.0)</f>
        <v>0</v>
      </c>
      <c r="BG192" s="16">
        <f>IFERROR(__xludf.DUMMYFUNCTION("""COMPUTED_VALUE"""),-3.0)</f>
        <v>-3</v>
      </c>
      <c r="BH192" s="16">
        <f>IFERROR(__xludf.DUMMYFUNCTION("""COMPUTED_VALUE"""),2.0)</f>
        <v>2</v>
      </c>
      <c r="BI192" s="16">
        <f>IFERROR(__xludf.DUMMYFUNCTION("""COMPUTED_VALUE"""),-6.0)</f>
        <v>-6</v>
      </c>
      <c r="BJ192" s="16">
        <f>IFERROR(__xludf.DUMMYFUNCTION("""COMPUTED_VALUE"""),4.0)</f>
        <v>4</v>
      </c>
      <c r="BK192" s="16">
        <f>IFERROR(__xludf.DUMMYFUNCTION("""COMPUTED_VALUE"""),0.0)</f>
        <v>0</v>
      </c>
      <c r="BL192" s="16">
        <f>IFERROR(__xludf.DUMMYFUNCTION("""COMPUTED_VALUE"""),0.0)</f>
        <v>0</v>
      </c>
      <c r="BM192" s="16">
        <f>IFERROR(__xludf.DUMMYFUNCTION("""COMPUTED_VALUE"""),1.0)</f>
        <v>1</v>
      </c>
      <c r="BN192" s="16">
        <f>IFERROR(__xludf.DUMMYFUNCTION("""COMPUTED_VALUE"""),1.0)</f>
        <v>1</v>
      </c>
      <c r="BO192" s="16">
        <f>IFERROR(__xludf.DUMMYFUNCTION("""COMPUTED_VALUE"""),1.0)</f>
        <v>1</v>
      </c>
      <c r="BP192" s="16">
        <f>IFERROR(__xludf.DUMMYFUNCTION("""COMPUTED_VALUE"""),1.0)</f>
        <v>1</v>
      </c>
      <c r="BQ192" s="16">
        <f>IFERROR(__xludf.DUMMYFUNCTION("""COMPUTED_VALUE"""),5.0)</f>
        <v>5</v>
      </c>
      <c r="BR192" s="16">
        <f>IFERROR(__xludf.DUMMYFUNCTION("""COMPUTED_VALUE"""),5.0)</f>
        <v>5</v>
      </c>
      <c r="BS192" s="16">
        <f>IFERROR(__xludf.DUMMYFUNCTION("""COMPUTED_VALUE"""),0.0)</f>
        <v>0</v>
      </c>
      <c r="BT192" s="16">
        <f>IFERROR(__xludf.DUMMYFUNCTION("""COMPUTED_VALUE"""),0.0)</f>
        <v>0</v>
      </c>
      <c r="BU192" s="16">
        <f>IFERROR(__xludf.DUMMYFUNCTION("""COMPUTED_VALUE"""),0.0)</f>
        <v>0</v>
      </c>
      <c r="BV192" s="16">
        <f>IFERROR(__xludf.DUMMYFUNCTION("""COMPUTED_VALUE"""),0.0)</f>
        <v>0</v>
      </c>
      <c r="BW192" s="16">
        <f>IFERROR(__xludf.DUMMYFUNCTION("""COMPUTED_VALUE"""),-1.0)</f>
        <v>-1</v>
      </c>
      <c r="BX192" s="16">
        <f>IFERROR(__xludf.DUMMYFUNCTION("""COMPUTED_VALUE"""),-1.0)</f>
        <v>-1</v>
      </c>
      <c r="BY192" s="16" t="str">
        <f>IFERROR(__xludf.DUMMYFUNCTION("""COMPUTED_VALUE"""),"R(2) C(1)")</f>
        <v>R(2) C(1)</v>
      </c>
      <c r="BZ192" s="16" t="str">
        <f>IFERROR(__xludf.DUMMYFUNCTION("""COMPUTED_VALUE"""),"R(2) C(1)")</f>
        <v>R(2) C(1)</v>
      </c>
      <c r="CA192" s="16" t="str">
        <f>IFERROR(__xludf.DUMMYFUNCTION("""COMPUTED_VALUE"""),"R(2)")</f>
        <v>R(2)</v>
      </c>
      <c r="CB192" s="16" t="str">
        <f>IFERROR(__xludf.DUMMYFUNCTION("""COMPUTED_VALUE"""),"C(1)")</f>
        <v>C(1)</v>
      </c>
      <c r="CC192" s="16"/>
      <c r="CD192" s="16"/>
      <c r="CE192" s="16">
        <f>IFERROR(__xludf.DUMMYFUNCTION("""COMPUTED_VALUE"""),2.0)</f>
        <v>2</v>
      </c>
      <c r="CF192" s="16">
        <f>IFERROR(__xludf.DUMMYFUNCTION("""COMPUTED_VALUE"""),1.0)</f>
        <v>1</v>
      </c>
      <c r="CG192" s="16" t="str">
        <f>IFERROR(__xludf.DUMMYFUNCTION("""COMPUTED_VALUE"""),"3-51")</f>
        <v>3-51</v>
      </c>
      <c r="CH192" s="16">
        <f>IFERROR(__xludf.DUMMYFUNCTION("""COMPUTED_VALUE"""),3.0)</f>
        <v>3</v>
      </c>
      <c r="CI192" s="16">
        <f>IFERROR(__xludf.DUMMYFUNCTION("""COMPUTED_VALUE"""),51.0)</f>
        <v>51</v>
      </c>
      <c r="CJ192" s="16">
        <f>IFERROR(__xludf.DUMMYFUNCTION("""COMPUTED_VALUE"""),0.0)</f>
        <v>0</v>
      </c>
      <c r="CK192" s="16">
        <f>IFERROR(__xludf.DUMMYFUNCTION("""COMPUTED_VALUE"""),0.0)</f>
        <v>0</v>
      </c>
      <c r="CL192" s="16" t="str">
        <f>IFERROR(__xludf.DUMMYFUNCTION("""COMPUTED_VALUE"""),"1WR-C")</f>
        <v>1WR-C</v>
      </c>
      <c r="CM192" s="16" t="str">
        <f>IFERROR(__xludf.DUMMYFUNCTION("""COMPUTED_VALUE"""),"E")</f>
        <v>E</v>
      </c>
      <c r="CN192" s="16">
        <f>IFERROR(__xludf.DUMMYFUNCTION("""COMPUTED_VALUE"""),10.0)</f>
        <v>10</v>
      </c>
      <c r="CO192" s="16" t="str">
        <f>IFERROR(__xludf.DUMMYFUNCTION("""COMPUTED_VALUE"""),"C")</f>
        <v>C</v>
      </c>
      <c r="CP192" s="16" t="str">
        <f>IFERROR(__xludf.DUMMYFUNCTION("""COMPUTED_VALUE"""),"5p20")</f>
        <v>5p20</v>
      </c>
      <c r="CQ192" s="16">
        <f>IFERROR(__xludf.DUMMYFUNCTION("""COMPUTED_VALUE"""),-8.0)</f>
        <v>-8</v>
      </c>
      <c r="CR192" s="16">
        <f>IFERROR(__xludf.DUMMYFUNCTION("""COMPUTED_VALUE"""),34.0)</f>
        <v>34</v>
      </c>
      <c r="CS192" s="16">
        <f>IFERROR(__xludf.DUMMYFUNCTION("""COMPUTED_VALUE"""),26.0)</f>
        <v>26</v>
      </c>
      <c r="CT192" s="16">
        <f>IFERROR(__xludf.DUMMYFUNCTION("""COMPUTED_VALUE"""),-8.0)</f>
        <v>-8</v>
      </c>
      <c r="CU192" s="16">
        <f>IFERROR(__xludf.DUMMYFUNCTION("""COMPUTED_VALUE"""),34.0)</f>
        <v>34</v>
      </c>
      <c r="CV192" s="179">
        <f>IFERROR(__xludf.DUMMYFUNCTION("""COMPUTED_VALUE"""),9.0)</f>
        <v>9</v>
      </c>
      <c r="CW192" s="179">
        <f>IFERROR(__xludf.DUMMYFUNCTION("""COMPUTED_VALUE"""),0.0)</f>
        <v>0</v>
      </c>
      <c r="CX192" s="179">
        <f>IFERROR(__xludf.DUMMYFUNCTION("""COMPUTED_VALUE"""),3.0)</f>
        <v>3</v>
      </c>
      <c r="CY192" s="16" t="str">
        <f>IFERROR(__xludf.DUMMYFUNCTION("""COMPUTED_VALUE"""),"RP")</f>
        <v>RP</v>
      </c>
      <c r="CZ192" s="16" t="str">
        <f>IFERROR(__xludf.DUMMYFUNCTION("""COMPUTED_VALUE"""),"CP")</f>
        <v>CP</v>
      </c>
      <c r="DA192" s="16"/>
      <c r="DB192" s="16"/>
      <c r="DC192" s="16"/>
      <c r="DD192" s="16"/>
      <c r="DE192" s="16"/>
      <c r="DF192" s="16"/>
      <c r="DG192" s="16"/>
      <c r="DH192" s="16"/>
      <c r="DI192" s="16"/>
      <c r="DJ192" s="16"/>
      <c r="DK192" s="16"/>
    </row>
    <row r="193">
      <c r="A193" s="16">
        <f>IFERROR(__xludf.DUMMYFUNCTION("""COMPUTED_VALUE"""),12743.0)</f>
        <v>12743</v>
      </c>
      <c r="B193" s="16" t="str">
        <f>IFERROR(__xludf.DUMMYFUNCTION("""COMPUTED_VALUE"""),"David Peterson")</f>
        <v>David Peterson</v>
      </c>
      <c r="C193" s="153">
        <f>IFERROR(__xludf.DUMMYFUNCTION("""COMPUTED_VALUE"""),2.16)</f>
        <v>2.16</v>
      </c>
      <c r="D193" s="16"/>
      <c r="E193" s="16" t="str">
        <f>IFERROR(__xludf.DUMMYFUNCTION("""COMPUTED_VALUE"""),"L")</f>
        <v>L</v>
      </c>
      <c r="F193" s="16">
        <f>IFERROR(__xludf.DUMMYFUNCTION("""COMPUTED_VALUE"""),121.0)</f>
        <v>121</v>
      </c>
      <c r="G193" s="16">
        <f>IFERROR(__xludf.DUMMYFUNCTION("""COMPUTED_VALUE"""),39.0)</f>
        <v>39</v>
      </c>
      <c r="H193" s="16">
        <f>IFERROR(__xludf.DUMMYFUNCTION("""COMPUTED_VALUE"""),13.0)</f>
        <v>13</v>
      </c>
      <c r="I193" s="16">
        <f>IFERROR(__xludf.DUMMYFUNCTION("""COMPUTED_VALUE"""),2.0)</f>
        <v>2</v>
      </c>
      <c r="J193" s="16">
        <f>IFERROR(__xludf.DUMMYFUNCTION("""COMPUTED_VALUE"""),-2.0)</f>
        <v>-2</v>
      </c>
      <c r="K193" s="16">
        <f>IFERROR(__xludf.DUMMYFUNCTION("""COMPUTED_VALUE"""),6.0)</f>
        <v>6</v>
      </c>
      <c r="L193" s="16">
        <f>IFERROR(__xludf.DUMMYFUNCTION("""COMPUTED_VALUE"""),-6.0)</f>
        <v>-6</v>
      </c>
      <c r="M193" s="16">
        <f>IFERROR(__xludf.DUMMYFUNCTION("""COMPUTED_VALUE"""),2.0)</f>
        <v>2</v>
      </c>
      <c r="N193" s="16">
        <f>IFERROR(__xludf.DUMMYFUNCTION("""COMPUTED_VALUE"""),14.0)</f>
        <v>14</v>
      </c>
      <c r="O193" s="16">
        <f>IFERROR(__xludf.DUMMYFUNCTION("""COMPUTED_VALUE"""),2.0)</f>
        <v>2</v>
      </c>
      <c r="P193" s="16">
        <f>IFERROR(__xludf.DUMMYFUNCTION("""COMPUTED_VALUE"""),-2.0)</f>
        <v>-2</v>
      </c>
      <c r="Q193" s="16">
        <f>IFERROR(__xludf.DUMMYFUNCTION("""COMPUTED_VALUE"""),2.0)</f>
        <v>2</v>
      </c>
      <c r="R193" s="16">
        <f>IFERROR(__xludf.DUMMYFUNCTION("""COMPUTED_VALUE"""),-2.0)</f>
        <v>-2</v>
      </c>
      <c r="S193" s="16">
        <f>IFERROR(__xludf.DUMMYFUNCTION("""COMPUTED_VALUE"""),15.1)</f>
        <v>15.1</v>
      </c>
      <c r="T193" s="16">
        <f>IFERROR(__xludf.DUMMYFUNCTION("""COMPUTED_VALUE"""),19.1)</f>
        <v>19.1</v>
      </c>
      <c r="U193" s="16">
        <f>IFERROR(__xludf.DUMMYFUNCTION("""COMPUTED_VALUE"""),0.0)</f>
        <v>0</v>
      </c>
      <c r="V193" s="16">
        <f>IFERROR(__xludf.DUMMYFUNCTION("""COMPUTED_VALUE"""),-1.0)</f>
        <v>-1</v>
      </c>
      <c r="W193" s="16">
        <f>IFERROR(__xludf.DUMMYFUNCTION("""COMPUTED_VALUE"""),0.0)</f>
        <v>0</v>
      </c>
      <c r="X193" s="16">
        <f>IFERROR(__xludf.DUMMYFUNCTION("""COMPUTED_VALUE"""),-2.0)</f>
        <v>-2</v>
      </c>
      <c r="Y193" s="16">
        <f>IFERROR(__xludf.DUMMYFUNCTION("""COMPUTED_VALUE"""),17.1)</f>
        <v>17.1</v>
      </c>
      <c r="Z193" s="16">
        <f>IFERROR(__xludf.DUMMYFUNCTION("""COMPUTED_VALUE"""),33.1)</f>
        <v>33.1</v>
      </c>
      <c r="AA193" s="16">
        <f>IFERROR(__xludf.DUMMYFUNCTION("""COMPUTED_VALUE"""),1.0)</f>
        <v>1</v>
      </c>
      <c r="AB193" s="16">
        <f>IFERROR(__xludf.DUMMYFUNCTION("""COMPUTED_VALUE"""),-1.0)</f>
        <v>-1</v>
      </c>
      <c r="AC193" s="16">
        <f>IFERROR(__xludf.DUMMYFUNCTION("""COMPUTED_VALUE"""),5.0)</f>
        <v>5</v>
      </c>
      <c r="AD193" s="16">
        <f>IFERROR(__xludf.DUMMYFUNCTION("""COMPUTED_VALUE"""),-5.0)</f>
        <v>-5</v>
      </c>
      <c r="AE193" s="16">
        <f>IFERROR(__xludf.DUMMYFUNCTION("""COMPUTED_VALUE"""),20.5)</f>
        <v>20.5</v>
      </c>
      <c r="AF193" s="16">
        <f>IFERROR(__xludf.DUMMYFUNCTION("""COMPUTED_VALUE"""),26.5)</f>
        <v>26.5</v>
      </c>
      <c r="AG193" s="16">
        <f>IFERROR(__xludf.DUMMYFUNCTION("""COMPUTED_VALUE"""),1.0)</f>
        <v>1</v>
      </c>
      <c r="AH193" s="16">
        <f>IFERROR(__xludf.DUMMYFUNCTION("""COMPUTED_VALUE"""),0.0)</f>
        <v>0</v>
      </c>
      <c r="AI193" s="16">
        <f>IFERROR(__xludf.DUMMYFUNCTION("""COMPUTED_VALUE"""),2.0)</f>
        <v>2</v>
      </c>
      <c r="AJ193" s="16">
        <f>IFERROR(__xludf.DUMMYFUNCTION("""COMPUTED_VALUE"""),0.0)</f>
        <v>0</v>
      </c>
      <c r="AK193" s="16">
        <f>IFERROR(__xludf.DUMMYFUNCTION("""COMPUTED_VALUE"""),13.299999999999999)</f>
        <v>13.3</v>
      </c>
      <c r="AL193" s="16">
        <f>IFERROR(__xludf.DUMMYFUNCTION("""COMPUTED_VALUE"""),19.1)</f>
        <v>19.1</v>
      </c>
      <c r="AM193" s="16">
        <f>IFERROR(__xludf.DUMMYFUNCTION("""COMPUTED_VALUE"""),0.0)</f>
        <v>0</v>
      </c>
      <c r="AN193" s="16">
        <f>IFERROR(__xludf.DUMMYFUNCTION("""COMPUTED_VALUE"""),-1.0)</f>
        <v>-1</v>
      </c>
      <c r="AO193" s="16">
        <f>IFERROR(__xludf.DUMMYFUNCTION("""COMPUTED_VALUE"""),0.0)</f>
        <v>0</v>
      </c>
      <c r="AP193" s="16">
        <f>IFERROR(__xludf.DUMMYFUNCTION("""COMPUTED_VALUE"""),-1.0)</f>
        <v>-1</v>
      </c>
      <c r="AQ193" s="16">
        <f>IFERROR(__xludf.DUMMYFUNCTION("""COMPUTED_VALUE"""),13.3)</f>
        <v>13.3</v>
      </c>
      <c r="AR193" s="16">
        <f>IFERROR(__xludf.DUMMYFUNCTION("""COMPUTED_VALUE"""),26.5)</f>
        <v>26.5</v>
      </c>
      <c r="AS193" s="16">
        <f>IFERROR(__xludf.DUMMYFUNCTION("""COMPUTED_VALUE"""),1.0)</f>
        <v>1</v>
      </c>
      <c r="AT193" s="16">
        <f>IFERROR(__xludf.DUMMYFUNCTION("""COMPUTED_VALUE"""),-1.0)</f>
        <v>-1</v>
      </c>
      <c r="AU193" s="16">
        <f>IFERROR(__xludf.DUMMYFUNCTION("""COMPUTED_VALUE"""),2.0)</f>
        <v>2</v>
      </c>
      <c r="AV193" s="16">
        <f>IFERROR(__xludf.DUMMYFUNCTION("""COMPUTED_VALUE"""),-2.0)</f>
        <v>-2</v>
      </c>
      <c r="AW193" s="16">
        <f>IFERROR(__xludf.DUMMYFUNCTION("""COMPUTED_VALUE"""),1.8)</f>
        <v>1.8</v>
      </c>
      <c r="AX193" s="16">
        <f>IFERROR(__xludf.DUMMYFUNCTION("""COMPUTED_VALUE"""),0.0)</f>
        <v>0</v>
      </c>
      <c r="AY193" s="16">
        <f>IFERROR(__xludf.DUMMYFUNCTION("""COMPUTED_VALUE"""),0.0)</f>
        <v>0</v>
      </c>
      <c r="AZ193" s="16">
        <f>IFERROR(__xludf.DUMMYFUNCTION("""COMPUTED_VALUE"""),2.0)</f>
        <v>2</v>
      </c>
      <c r="BA193" s="16">
        <f>IFERROR(__xludf.DUMMYFUNCTION("""COMPUTED_VALUE"""),0.0)</f>
        <v>0</v>
      </c>
      <c r="BB193" s="16">
        <f>IFERROR(__xludf.DUMMYFUNCTION("""COMPUTED_VALUE"""),10.0)</f>
        <v>10</v>
      </c>
      <c r="BC193" s="16">
        <f>IFERROR(__xludf.DUMMYFUNCTION("""COMPUTED_VALUE"""),2.0)</f>
        <v>2</v>
      </c>
      <c r="BD193" s="16">
        <f>IFERROR(__xludf.DUMMYFUNCTION("""COMPUTED_VALUE"""),0.0)</f>
        <v>0</v>
      </c>
      <c r="BE193" s="16">
        <f>IFERROR(__xludf.DUMMYFUNCTION("""COMPUTED_VALUE"""),2.0)</f>
        <v>2</v>
      </c>
      <c r="BF193" s="16">
        <f>IFERROR(__xludf.DUMMYFUNCTION("""COMPUTED_VALUE"""),0.0)</f>
        <v>0</v>
      </c>
      <c r="BG193" s="16">
        <f>IFERROR(__xludf.DUMMYFUNCTION("""COMPUTED_VALUE"""),1.0)</f>
        <v>1</v>
      </c>
      <c r="BH193" s="16">
        <f>IFERROR(__xludf.DUMMYFUNCTION("""COMPUTED_VALUE"""),2.0)</f>
        <v>2</v>
      </c>
      <c r="BI193" s="16">
        <f>IFERROR(__xludf.DUMMYFUNCTION("""COMPUTED_VALUE"""),2.0)</f>
        <v>2</v>
      </c>
      <c r="BJ193" s="16">
        <f>IFERROR(__xludf.DUMMYFUNCTION("""COMPUTED_VALUE"""),4.0)</f>
        <v>4</v>
      </c>
      <c r="BK193" s="16">
        <f>IFERROR(__xludf.DUMMYFUNCTION("""COMPUTED_VALUE"""),5.0)</f>
        <v>5</v>
      </c>
      <c r="BL193" s="16">
        <f>IFERROR(__xludf.DUMMYFUNCTION("""COMPUTED_VALUE"""),5.0)</f>
        <v>5</v>
      </c>
      <c r="BM193" s="16">
        <f>IFERROR(__xludf.DUMMYFUNCTION("""COMPUTED_VALUE"""),0.0)</f>
        <v>0</v>
      </c>
      <c r="BN193" s="16">
        <f>IFERROR(__xludf.DUMMYFUNCTION("""COMPUTED_VALUE"""),0.0)</f>
        <v>0</v>
      </c>
      <c r="BO193" s="16">
        <f>IFERROR(__xludf.DUMMYFUNCTION("""COMPUTED_VALUE"""),0.0)</f>
        <v>0</v>
      </c>
      <c r="BP193" s="16">
        <f>IFERROR(__xludf.DUMMYFUNCTION("""COMPUTED_VALUE"""),0.0)</f>
        <v>0</v>
      </c>
      <c r="BQ193" s="16">
        <f>IFERROR(__xludf.DUMMYFUNCTION("""COMPUTED_VALUE"""),6.0)</f>
        <v>6</v>
      </c>
      <c r="BR193" s="16">
        <f>IFERROR(__xludf.DUMMYFUNCTION("""COMPUTED_VALUE"""),8.0)</f>
        <v>8</v>
      </c>
      <c r="BS193" s="16">
        <f>IFERROR(__xludf.DUMMYFUNCTION("""COMPUTED_VALUE"""),1.0)</f>
        <v>1</v>
      </c>
      <c r="BT193" s="16">
        <f>IFERROR(__xludf.DUMMYFUNCTION("""COMPUTED_VALUE"""),2.0)</f>
        <v>2</v>
      </c>
      <c r="BU193" s="16">
        <f>IFERROR(__xludf.DUMMYFUNCTION("""COMPUTED_VALUE"""),2.0)</f>
        <v>2</v>
      </c>
      <c r="BV193" s="16">
        <f>IFERROR(__xludf.DUMMYFUNCTION("""COMPUTED_VALUE"""),4.0)</f>
        <v>4</v>
      </c>
      <c r="BW193" s="16">
        <f>IFERROR(__xludf.DUMMYFUNCTION("""COMPUTED_VALUE"""),-4.0)</f>
        <v>-4</v>
      </c>
      <c r="BX193" s="16">
        <f>IFERROR(__xludf.DUMMYFUNCTION("""COMPUTED_VALUE"""),-4.0)</f>
        <v>-4</v>
      </c>
      <c r="BY193" s="16" t="str">
        <f>IFERROR(__xludf.DUMMYFUNCTION("""COMPUTED_VALUE"""),"S(6)")</f>
        <v>S(6)</v>
      </c>
      <c r="BZ193" s="16" t="str">
        <f>IFERROR(__xludf.DUMMYFUNCTION("""COMPUTED_VALUE"""),"S(6)")</f>
        <v>S(6)</v>
      </c>
      <c r="CA193" s="16" t="str">
        <f>IFERROR(__xludf.DUMMYFUNCTION("""COMPUTED_VALUE"""),"S(6)")</f>
        <v>S(6)</v>
      </c>
      <c r="CB193" s="16"/>
      <c r="CC193" s="16"/>
      <c r="CD193" s="16">
        <f>IFERROR(__xludf.DUMMYFUNCTION("""COMPUTED_VALUE"""),6.0)</f>
        <v>6</v>
      </c>
      <c r="CE193" s="16"/>
      <c r="CF193" s="16"/>
      <c r="CG193" s="16" t="str">
        <f>IFERROR(__xludf.DUMMYFUNCTION("""COMPUTED_VALUE"""),"2-51")</f>
        <v>2-51</v>
      </c>
      <c r="CH193" s="16">
        <f>IFERROR(__xludf.DUMMYFUNCTION("""COMPUTED_VALUE"""),2.0)</f>
        <v>2</v>
      </c>
      <c r="CI193" s="16">
        <f>IFERROR(__xludf.DUMMYFUNCTION("""COMPUTED_VALUE"""),51.0)</f>
        <v>51</v>
      </c>
      <c r="CJ193" s="16">
        <f>IFERROR(__xludf.DUMMYFUNCTION("""COMPUTED_VALUE"""),3.0)</f>
        <v>3</v>
      </c>
      <c r="CK193" s="16">
        <f>IFERROR(__xludf.DUMMYFUNCTION("""COMPUTED_VALUE"""),7.0)</f>
        <v>7</v>
      </c>
      <c r="CL193" s="16" t="str">
        <f>IFERROR(__xludf.DUMMYFUNCTION("""COMPUTED_VALUE"""),"1WL-C")</f>
        <v>1WL-C</v>
      </c>
      <c r="CM193" s="16" t="str">
        <f>IFERROR(__xludf.DUMMYFUNCTION("""COMPUTED_VALUE"""),"E")</f>
        <v>E</v>
      </c>
      <c r="CN193" s="16">
        <f>IFERROR(__xludf.DUMMYFUNCTION("""COMPUTED_VALUE"""),10.0)</f>
        <v>10</v>
      </c>
      <c r="CO193" s="16" t="str">
        <f>IFERROR(__xludf.DUMMYFUNCTION("""COMPUTED_VALUE"""),"C")</f>
        <v>C</v>
      </c>
      <c r="CP193" s="16" t="str">
        <f>IFERROR(__xludf.DUMMYFUNCTION("""COMPUTED_VALUE"""),"3p50")</f>
        <v>3p50</v>
      </c>
      <c r="CQ193" s="16">
        <f>IFERROR(__xludf.DUMMYFUNCTION("""COMPUTED_VALUE"""),21.0)</f>
        <v>21</v>
      </c>
      <c r="CR193" s="16">
        <f>IFERROR(__xludf.DUMMYFUNCTION("""COMPUTED_VALUE"""),0.0)</f>
        <v>0</v>
      </c>
      <c r="CS193" s="16">
        <f>IFERROR(__xludf.DUMMYFUNCTION("""COMPUTED_VALUE"""),21.0)</f>
        <v>21</v>
      </c>
      <c r="CT193" s="16">
        <f>IFERROR(__xludf.DUMMYFUNCTION("""COMPUTED_VALUE"""),21.0)</f>
        <v>21</v>
      </c>
      <c r="CU193" s="16">
        <f>IFERROR(__xludf.DUMMYFUNCTION("""COMPUTED_VALUE"""),0.0)</f>
        <v>0</v>
      </c>
      <c r="CV193" s="179">
        <f>IFERROR(__xludf.DUMMYFUNCTION("""COMPUTED_VALUE"""),9.0)</f>
        <v>9</v>
      </c>
      <c r="CW193" s="179">
        <f>IFERROR(__xludf.DUMMYFUNCTION("""COMPUTED_VALUE"""),2.0)</f>
        <v>2</v>
      </c>
      <c r="CX193" s="179">
        <f>IFERROR(__xludf.DUMMYFUNCTION("""COMPUTED_VALUE"""),0.0)</f>
        <v>0</v>
      </c>
      <c r="CY193" s="16" t="str">
        <f>IFERROR(__xludf.DUMMYFUNCTION("""COMPUTED_VALUE"""),"SP")</f>
        <v>SP</v>
      </c>
      <c r="CZ193" s="16"/>
      <c r="DA193" s="16"/>
      <c r="DB193" s="16"/>
      <c r="DC193" s="16"/>
      <c r="DD193" s="16"/>
      <c r="DE193" s="16"/>
      <c r="DF193" s="16"/>
      <c r="DG193" s="16"/>
      <c r="DH193" s="16"/>
      <c r="DI193" s="16"/>
      <c r="DJ193" s="16"/>
      <c r="DK193" s="16"/>
    </row>
    <row r="194">
      <c r="A194" s="16">
        <f>IFERROR(__xludf.DUMMYFUNCTION("""COMPUTED_VALUE"""),12852.0)</f>
        <v>12852</v>
      </c>
      <c r="B194" s="16" t="str">
        <f>IFERROR(__xludf.DUMMYFUNCTION("""COMPUTED_VALUE"""),"Grant Holmes")</f>
        <v>Grant Holmes</v>
      </c>
      <c r="C194" s="153">
        <f>IFERROR(__xludf.DUMMYFUNCTION("""COMPUTED_VALUE"""),1.16)</f>
        <v>1.16</v>
      </c>
      <c r="D194" s="16"/>
      <c r="E194" s="16" t="str">
        <f>IFERROR(__xludf.DUMMYFUNCTION("""COMPUTED_VALUE"""),"R")</f>
        <v>R</v>
      </c>
      <c r="F194" s="16">
        <f>IFERROR(__xludf.DUMMYFUNCTION("""COMPUTED_VALUE"""),68.0)</f>
        <v>68</v>
      </c>
      <c r="G194" s="16">
        <f>IFERROR(__xludf.DUMMYFUNCTION("""COMPUTED_VALUE"""),25.0)</f>
        <v>25</v>
      </c>
      <c r="H194" s="16">
        <f>IFERROR(__xludf.DUMMYFUNCTION("""COMPUTED_VALUE"""),35.0)</f>
        <v>35</v>
      </c>
      <c r="I194" s="16">
        <f>IFERROR(__xludf.DUMMYFUNCTION("""COMPUTED_VALUE"""),0.0)</f>
        <v>0</v>
      </c>
      <c r="J194" s="16">
        <f>IFERROR(__xludf.DUMMYFUNCTION("""COMPUTED_VALUE"""),1.0)</f>
        <v>1</v>
      </c>
      <c r="K194" s="16">
        <f>IFERROR(__xludf.DUMMYFUNCTION("""COMPUTED_VALUE"""),0.0)</f>
        <v>0</v>
      </c>
      <c r="L194" s="16">
        <f>IFERROR(__xludf.DUMMYFUNCTION("""COMPUTED_VALUE"""),3.0)</f>
        <v>3</v>
      </c>
      <c r="M194" s="16">
        <f>IFERROR(__xludf.DUMMYFUNCTION("""COMPUTED_VALUE"""),0.0)</f>
        <v>0</v>
      </c>
      <c r="N194" s="16">
        <f>IFERROR(__xludf.DUMMYFUNCTION("""COMPUTED_VALUE"""),2.0)</f>
        <v>2</v>
      </c>
      <c r="O194" s="16">
        <f>IFERROR(__xludf.DUMMYFUNCTION("""COMPUTED_VALUE"""),3.0)</f>
        <v>3</v>
      </c>
      <c r="P194" s="16">
        <f>IFERROR(__xludf.DUMMYFUNCTION("""COMPUTED_VALUE"""),3.0)</f>
        <v>3</v>
      </c>
      <c r="Q194" s="16">
        <f>IFERROR(__xludf.DUMMYFUNCTION("""COMPUTED_VALUE"""),3.0)</f>
        <v>3</v>
      </c>
      <c r="R194" s="16">
        <f>IFERROR(__xludf.DUMMYFUNCTION("""COMPUTED_VALUE"""),3.0)</f>
        <v>3</v>
      </c>
      <c r="S194" s="16">
        <f>IFERROR(__xludf.DUMMYFUNCTION("""COMPUTED_VALUE"""),25.8)</f>
        <v>25.8</v>
      </c>
      <c r="T194" s="16">
        <f>IFERROR(__xludf.DUMMYFUNCTION("""COMPUTED_VALUE"""),15.4)</f>
        <v>15.4</v>
      </c>
      <c r="U194" s="16">
        <f>IFERROR(__xludf.DUMMYFUNCTION("""COMPUTED_VALUE"""),-2.0)</f>
        <v>-2</v>
      </c>
      <c r="V194" s="16">
        <f>IFERROR(__xludf.DUMMYFUNCTION("""COMPUTED_VALUE"""),0.0)</f>
        <v>0</v>
      </c>
      <c r="W194" s="16">
        <f>IFERROR(__xludf.DUMMYFUNCTION("""COMPUTED_VALUE"""),-4.0)</f>
        <v>-4</v>
      </c>
      <c r="X194" s="16">
        <f>IFERROR(__xludf.DUMMYFUNCTION("""COMPUTED_VALUE"""),0.0)</f>
        <v>0</v>
      </c>
      <c r="Y194" s="16">
        <f>IFERROR(__xludf.DUMMYFUNCTION("""COMPUTED_VALUE"""),25.8)</f>
        <v>25.8</v>
      </c>
      <c r="Z194" s="16">
        <f>IFERROR(__xludf.DUMMYFUNCTION("""COMPUTED_VALUE"""),17.5)</f>
        <v>17.5</v>
      </c>
      <c r="AA194" s="16">
        <f>IFERROR(__xludf.DUMMYFUNCTION("""COMPUTED_VALUE"""),0.0)</f>
        <v>0</v>
      </c>
      <c r="AB194" s="16">
        <f>IFERROR(__xludf.DUMMYFUNCTION("""COMPUTED_VALUE"""),1.0)</f>
        <v>1</v>
      </c>
      <c r="AC194" s="16">
        <f>IFERROR(__xludf.DUMMYFUNCTION("""COMPUTED_VALUE"""),0.0)</f>
        <v>0</v>
      </c>
      <c r="AD194" s="16">
        <f>IFERROR(__xludf.DUMMYFUNCTION("""COMPUTED_VALUE"""),5.0)</f>
        <v>5</v>
      </c>
      <c r="AE194" s="16">
        <f>IFERROR(__xludf.DUMMYFUNCTION("""COMPUTED_VALUE"""),34.5)</f>
        <v>34.5</v>
      </c>
      <c r="AF194" s="16">
        <f>IFERROR(__xludf.DUMMYFUNCTION("""COMPUTED_VALUE"""),27.5)</f>
        <v>27.5</v>
      </c>
      <c r="AG194" s="16">
        <f>IFERROR(__xludf.DUMMYFUNCTION("""COMPUTED_VALUE"""),-1.0)</f>
        <v>-1</v>
      </c>
      <c r="AH194" s="16">
        <f>IFERROR(__xludf.DUMMYFUNCTION("""COMPUTED_VALUE"""),0.0)</f>
        <v>0</v>
      </c>
      <c r="AI194" s="16">
        <f>IFERROR(__xludf.DUMMYFUNCTION("""COMPUTED_VALUE"""),-2.0)</f>
        <v>-2</v>
      </c>
      <c r="AJ194" s="16">
        <f>IFERROR(__xludf.DUMMYFUNCTION("""COMPUTED_VALUE"""),0.0)</f>
        <v>0</v>
      </c>
      <c r="AK194" s="16">
        <f>IFERROR(__xludf.DUMMYFUNCTION("""COMPUTED_VALUE"""),25.8)</f>
        <v>25.8</v>
      </c>
      <c r="AL194" s="16">
        <f>IFERROR(__xludf.DUMMYFUNCTION("""COMPUTED_VALUE"""),11.4)</f>
        <v>11.4</v>
      </c>
      <c r="AM194" s="16">
        <f>IFERROR(__xludf.DUMMYFUNCTION("""COMPUTED_VALUE"""),-2.0)</f>
        <v>-2</v>
      </c>
      <c r="AN194" s="16">
        <f>IFERROR(__xludf.DUMMYFUNCTION("""COMPUTED_VALUE"""),0.0)</f>
        <v>0</v>
      </c>
      <c r="AO194" s="16">
        <f>IFERROR(__xludf.DUMMYFUNCTION("""COMPUTED_VALUE"""),-2.0)</f>
        <v>-2</v>
      </c>
      <c r="AP194" s="16">
        <f>IFERROR(__xludf.DUMMYFUNCTION("""COMPUTED_VALUE"""),0.0)</f>
        <v>0</v>
      </c>
      <c r="AQ194" s="16">
        <f>IFERROR(__xludf.DUMMYFUNCTION("""COMPUTED_VALUE"""),34.5)</f>
        <v>34.5</v>
      </c>
      <c r="AR194" s="16">
        <f>IFERROR(__xludf.DUMMYFUNCTION("""COMPUTED_VALUE"""),11.5)</f>
        <v>11.5</v>
      </c>
      <c r="AS194" s="16">
        <f>IFERROR(__xludf.DUMMYFUNCTION("""COMPUTED_VALUE"""),-2.0)</f>
        <v>-2</v>
      </c>
      <c r="AT194" s="16">
        <f>IFERROR(__xludf.DUMMYFUNCTION("""COMPUTED_VALUE"""),1.0)</f>
        <v>1</v>
      </c>
      <c r="AU194" s="16">
        <f>IFERROR(__xludf.DUMMYFUNCTION("""COMPUTED_VALUE"""),-4.0)</f>
        <v>-4</v>
      </c>
      <c r="AV194" s="16">
        <f>IFERROR(__xludf.DUMMYFUNCTION("""COMPUTED_VALUE"""),2.0)</f>
        <v>2</v>
      </c>
      <c r="AW194" s="16">
        <f>IFERROR(__xludf.DUMMYFUNCTION("""COMPUTED_VALUE"""),0.0)</f>
        <v>0</v>
      </c>
      <c r="AX194" s="16">
        <f>IFERROR(__xludf.DUMMYFUNCTION("""COMPUTED_VALUE"""),4.0)</f>
        <v>4</v>
      </c>
      <c r="AY194" s="16">
        <f>IFERROR(__xludf.DUMMYFUNCTION("""COMPUTED_VALUE"""),2.0)</f>
        <v>2</v>
      </c>
      <c r="AZ194" s="16">
        <f>IFERROR(__xludf.DUMMYFUNCTION("""COMPUTED_VALUE"""),-2.0)</f>
        <v>-2</v>
      </c>
      <c r="BA194" s="16">
        <f>IFERROR(__xludf.DUMMYFUNCTION("""COMPUTED_VALUE"""),10.0)</f>
        <v>10</v>
      </c>
      <c r="BB194" s="16">
        <f>IFERROR(__xludf.DUMMYFUNCTION("""COMPUTED_VALUE"""),-10.0)</f>
        <v>-10</v>
      </c>
      <c r="BC194" s="16">
        <f>IFERROR(__xludf.DUMMYFUNCTION("""COMPUTED_VALUE"""),0.0)</f>
        <v>0</v>
      </c>
      <c r="BD194" s="16">
        <f>IFERROR(__xludf.DUMMYFUNCTION("""COMPUTED_VALUE"""),7.0)</f>
        <v>7</v>
      </c>
      <c r="BE194" s="16">
        <f>IFERROR(__xludf.DUMMYFUNCTION("""COMPUTED_VALUE"""),0.0)</f>
        <v>0</v>
      </c>
      <c r="BF194" s="16">
        <f>IFERROR(__xludf.DUMMYFUNCTION("""COMPUTED_VALUE"""),7.0)</f>
        <v>7</v>
      </c>
      <c r="BG194" s="16">
        <f>IFERROR(__xludf.DUMMYFUNCTION("""COMPUTED_VALUE"""),3.0)</f>
        <v>3</v>
      </c>
      <c r="BH194" s="16">
        <f>IFERROR(__xludf.DUMMYFUNCTION("""COMPUTED_VALUE"""),-3.0)</f>
        <v>-3</v>
      </c>
      <c r="BI194" s="16">
        <f>IFERROR(__xludf.DUMMYFUNCTION("""COMPUTED_VALUE"""),6.0)</f>
        <v>6</v>
      </c>
      <c r="BJ194" s="16">
        <f>IFERROR(__xludf.DUMMYFUNCTION("""COMPUTED_VALUE"""),-6.0)</f>
        <v>-6</v>
      </c>
      <c r="BK194" s="16">
        <f>IFERROR(__xludf.DUMMYFUNCTION("""COMPUTED_VALUE"""),5.0)</f>
        <v>5</v>
      </c>
      <c r="BL194" s="16">
        <f>IFERROR(__xludf.DUMMYFUNCTION("""COMPUTED_VALUE"""),5.0)</f>
        <v>5</v>
      </c>
      <c r="BM194" s="16">
        <f>IFERROR(__xludf.DUMMYFUNCTION("""COMPUTED_VALUE"""),0.0)</f>
        <v>0</v>
      </c>
      <c r="BN194" s="16">
        <f>IFERROR(__xludf.DUMMYFUNCTION("""COMPUTED_VALUE"""),0.0)</f>
        <v>0</v>
      </c>
      <c r="BO194" s="16">
        <f>IFERROR(__xludf.DUMMYFUNCTION("""COMPUTED_VALUE"""),0.0)</f>
        <v>0</v>
      </c>
      <c r="BP194" s="16">
        <f>IFERROR(__xludf.DUMMYFUNCTION("""COMPUTED_VALUE"""),0.0)</f>
        <v>0</v>
      </c>
      <c r="BQ194" s="16">
        <f>IFERROR(__xludf.DUMMYFUNCTION("""COMPUTED_VALUE"""),6.0)</f>
        <v>6</v>
      </c>
      <c r="BR194" s="16">
        <f>IFERROR(__xludf.DUMMYFUNCTION("""COMPUTED_VALUE"""),7.0)</f>
        <v>7</v>
      </c>
      <c r="BS194" s="16">
        <f>IFERROR(__xludf.DUMMYFUNCTION("""COMPUTED_VALUE"""),1.0)</f>
        <v>1</v>
      </c>
      <c r="BT194" s="16">
        <f>IFERROR(__xludf.DUMMYFUNCTION("""COMPUTED_VALUE"""),2.0)</f>
        <v>2</v>
      </c>
      <c r="BU194" s="16">
        <f>IFERROR(__xludf.DUMMYFUNCTION("""COMPUTED_VALUE"""),2.0)</f>
        <v>2</v>
      </c>
      <c r="BV194" s="16">
        <f>IFERROR(__xludf.DUMMYFUNCTION("""COMPUTED_VALUE"""),4.0)</f>
        <v>4</v>
      </c>
      <c r="BW194" s="16">
        <f>IFERROR(__xludf.DUMMYFUNCTION("""COMPUTED_VALUE"""),2.0)</f>
        <v>2</v>
      </c>
      <c r="BX194" s="16">
        <f>IFERROR(__xludf.DUMMYFUNCTION("""COMPUTED_VALUE"""),2.0)</f>
        <v>2</v>
      </c>
      <c r="BY194" s="16" t="str">
        <f>IFERROR(__xludf.DUMMYFUNCTION("""COMPUTED_VALUE"""),"S(4) R(3)")</f>
        <v>S(4) R(3)</v>
      </c>
      <c r="BZ194" s="16" t="str">
        <f>IFERROR(__xludf.DUMMYFUNCTION("""COMPUTED_VALUE"""),"S(4) R(3)")</f>
        <v>S(4) R(3)</v>
      </c>
      <c r="CA194" s="16" t="str">
        <f>IFERROR(__xludf.DUMMYFUNCTION("""COMPUTED_VALUE"""),"S(4)")</f>
        <v>S(4)</v>
      </c>
      <c r="CB194" s="16" t="str">
        <f>IFERROR(__xludf.DUMMYFUNCTION("""COMPUTED_VALUE"""),"R(3)")</f>
        <v>R(3)</v>
      </c>
      <c r="CC194" s="16"/>
      <c r="CD194" s="16">
        <f>IFERROR(__xludf.DUMMYFUNCTION("""COMPUTED_VALUE"""),4.0)</f>
        <v>4</v>
      </c>
      <c r="CE194" s="16">
        <f>IFERROR(__xludf.DUMMYFUNCTION("""COMPUTED_VALUE"""),3.0)</f>
        <v>3</v>
      </c>
      <c r="CF194" s="16"/>
      <c r="CG194" s="16" t="str">
        <f>IFERROR(__xludf.DUMMYFUNCTION("""COMPUTED_VALUE"""),"4-0")</f>
        <v>4-0</v>
      </c>
      <c r="CH194" s="16">
        <f>IFERROR(__xludf.DUMMYFUNCTION("""COMPUTED_VALUE"""),4.0)</f>
        <v>4</v>
      </c>
      <c r="CI194" s="16">
        <f>IFERROR(__xludf.DUMMYFUNCTION("""COMPUTED_VALUE"""),0.0)</f>
        <v>0</v>
      </c>
      <c r="CJ194" s="16">
        <f>IFERROR(__xludf.DUMMYFUNCTION("""COMPUTED_VALUE"""),0.0)</f>
        <v>0</v>
      </c>
      <c r="CK194" s="16">
        <f>IFERROR(__xludf.DUMMYFUNCTION("""COMPUTED_VALUE"""),6.0)</f>
        <v>6</v>
      </c>
      <c r="CL194" s="16" t="str">
        <f>IFERROR(__xludf.DUMMYFUNCTION("""COMPUTED_VALUE"""),"1WL-C")</f>
        <v>1WL-C</v>
      </c>
      <c r="CM194" s="16" t="str">
        <f>IFERROR(__xludf.DUMMYFUNCTION("""COMPUTED_VALUE"""),"E")</f>
        <v>E</v>
      </c>
      <c r="CN194" s="16">
        <f>IFERROR(__xludf.DUMMYFUNCTION("""COMPUTED_VALUE"""),10.0)</f>
        <v>10</v>
      </c>
      <c r="CO194" s="16" t="str">
        <f>IFERROR(__xludf.DUMMYFUNCTION("""COMPUTED_VALUE"""),"C")</f>
        <v>C</v>
      </c>
      <c r="CP194" s="16" t="str">
        <f>IFERROR(__xludf.DUMMYFUNCTION("""COMPUTED_VALUE"""),"1p40")</f>
        <v>1p40</v>
      </c>
      <c r="CQ194" s="16">
        <f>IFERROR(__xludf.DUMMYFUNCTION("""COMPUTED_VALUE"""),9.0)</f>
        <v>9</v>
      </c>
      <c r="CR194" s="16">
        <f>IFERROR(__xludf.DUMMYFUNCTION("""COMPUTED_VALUE"""),1.0)</f>
        <v>1</v>
      </c>
      <c r="CS194" s="16">
        <f>IFERROR(__xludf.DUMMYFUNCTION("""COMPUTED_VALUE"""),10.0)</f>
        <v>10</v>
      </c>
      <c r="CT194" s="16">
        <f>IFERROR(__xludf.DUMMYFUNCTION("""COMPUTED_VALUE"""),9.0)</f>
        <v>9</v>
      </c>
      <c r="CU194" s="16">
        <f>IFERROR(__xludf.DUMMYFUNCTION("""COMPUTED_VALUE"""),1.0)</f>
        <v>1</v>
      </c>
      <c r="CV194" s="179">
        <f>IFERROR(__xludf.DUMMYFUNCTION("""COMPUTED_VALUE"""),8.666666666666666)</f>
        <v>8.666666667</v>
      </c>
      <c r="CW194" s="179">
        <f>IFERROR(__xludf.DUMMYFUNCTION("""COMPUTED_VALUE"""),4.0)</f>
        <v>4</v>
      </c>
      <c r="CX194" s="179">
        <f>IFERROR(__xludf.DUMMYFUNCTION("""COMPUTED_VALUE"""),1.0)</f>
        <v>1</v>
      </c>
      <c r="CY194" s="16" t="str">
        <f>IFERROR(__xludf.DUMMYFUNCTION("""COMPUTED_VALUE"""),"SP")</f>
        <v>SP</v>
      </c>
      <c r="CZ194" s="16" t="str">
        <f>IFERROR(__xludf.DUMMYFUNCTION("""COMPUTED_VALUE"""),"RP")</f>
        <v>RP</v>
      </c>
      <c r="DA194" s="16"/>
      <c r="DB194" s="16"/>
      <c r="DC194" s="16"/>
      <c r="DD194" s="16"/>
      <c r="DE194" s="16"/>
      <c r="DF194" s="16"/>
      <c r="DG194" s="16"/>
      <c r="DH194" s="16"/>
      <c r="DI194" s="16"/>
      <c r="DJ194" s="16"/>
      <c r="DK194" s="16"/>
    </row>
    <row r="195">
      <c r="A195" s="16">
        <f>IFERROR(__xludf.DUMMYFUNCTION("""COMPUTED_VALUE"""),12499.0)</f>
        <v>12499</v>
      </c>
      <c r="B195" s="16" t="str">
        <f>IFERROR(__xludf.DUMMYFUNCTION("""COMPUTED_VALUE"""),"Adam Cimber")</f>
        <v>Adam Cimber</v>
      </c>
      <c r="C195" s="153">
        <f>IFERROR(__xludf.DUMMYFUNCTION("""COMPUTED_VALUE"""),0.0)</f>
        <v>0</v>
      </c>
      <c r="D195" s="16"/>
      <c r="E195" s="16" t="str">
        <f>IFERROR(__xludf.DUMMYFUNCTION("""COMPUTED_VALUE"""),"R")</f>
        <v>R</v>
      </c>
      <c r="F195" s="16">
        <f>IFERROR(__xludf.DUMMYFUNCTION("""COMPUTED_VALUE"""),24.0)</f>
        <v>24</v>
      </c>
      <c r="G195" s="16">
        <f>IFERROR(__xludf.DUMMYFUNCTION("""COMPUTED_VALUE"""),30.0)</f>
        <v>30</v>
      </c>
      <c r="H195" s="16">
        <f>IFERROR(__xludf.DUMMYFUNCTION("""COMPUTED_VALUE"""),10.0)</f>
        <v>10</v>
      </c>
      <c r="I195" s="16">
        <f>IFERROR(__xludf.DUMMYFUNCTION("""COMPUTED_VALUE"""),0.0)</f>
        <v>0</v>
      </c>
      <c r="J195" s="16">
        <f>IFERROR(__xludf.DUMMYFUNCTION("""COMPUTED_VALUE"""),-2.0)</f>
        <v>-2</v>
      </c>
      <c r="K195" s="16">
        <f>IFERROR(__xludf.DUMMYFUNCTION("""COMPUTED_VALUE"""),0.0)</f>
        <v>0</v>
      </c>
      <c r="L195" s="16">
        <f>IFERROR(__xludf.DUMMYFUNCTION("""COMPUTED_VALUE"""),-6.0)</f>
        <v>-6</v>
      </c>
      <c r="M195" s="16">
        <f>IFERROR(__xludf.DUMMYFUNCTION("""COMPUTED_VALUE"""),20.0)</f>
        <v>20</v>
      </c>
      <c r="N195" s="16">
        <f>IFERROR(__xludf.DUMMYFUNCTION("""COMPUTED_VALUE"""),17.0)</f>
        <v>17</v>
      </c>
      <c r="O195" s="16">
        <f>IFERROR(__xludf.DUMMYFUNCTION("""COMPUTED_VALUE"""),-3.0)</f>
        <v>-3</v>
      </c>
      <c r="P195" s="16">
        <f>IFERROR(__xludf.DUMMYFUNCTION("""COMPUTED_VALUE"""),-3.0)</f>
        <v>-3</v>
      </c>
      <c r="Q195" s="16">
        <f>IFERROR(__xludf.DUMMYFUNCTION("""COMPUTED_VALUE"""),-3.0)</f>
        <v>-3</v>
      </c>
      <c r="R195" s="16">
        <f>IFERROR(__xludf.DUMMYFUNCTION("""COMPUTED_VALUE"""),-3.0)</f>
        <v>-3</v>
      </c>
      <c r="S195" s="16">
        <f>IFERROR(__xludf.DUMMYFUNCTION("""COMPUTED_VALUE"""),17.8)</f>
        <v>17.8</v>
      </c>
      <c r="T195" s="16">
        <f>IFERROR(__xludf.DUMMYFUNCTION("""COMPUTED_VALUE"""),11.5)</f>
        <v>11.5</v>
      </c>
      <c r="U195" s="16">
        <f>IFERROR(__xludf.DUMMYFUNCTION("""COMPUTED_VALUE"""),0.0)</f>
        <v>0</v>
      </c>
      <c r="V195" s="16">
        <f>IFERROR(__xludf.DUMMYFUNCTION("""COMPUTED_VALUE"""),1.0)</f>
        <v>1</v>
      </c>
      <c r="W195" s="16">
        <f>IFERROR(__xludf.DUMMYFUNCTION("""COMPUTED_VALUE"""),0.0)</f>
        <v>0</v>
      </c>
      <c r="X195" s="16">
        <f>IFERROR(__xludf.DUMMYFUNCTION("""COMPUTED_VALUE"""),2.0)</f>
        <v>2</v>
      </c>
      <c r="Y195" s="16">
        <f>IFERROR(__xludf.DUMMYFUNCTION("""COMPUTED_VALUE"""),37.8)</f>
        <v>37.8</v>
      </c>
      <c r="Z195" s="16">
        <f>IFERROR(__xludf.DUMMYFUNCTION("""COMPUTED_VALUE"""),28.5)</f>
        <v>28.5</v>
      </c>
      <c r="AA195" s="16">
        <f>IFERROR(__xludf.DUMMYFUNCTION("""COMPUTED_VALUE"""),-2.0)</f>
        <v>-2</v>
      </c>
      <c r="AB195" s="16">
        <f>IFERROR(__xludf.DUMMYFUNCTION("""COMPUTED_VALUE"""),-1.0)</f>
        <v>-1</v>
      </c>
      <c r="AC195" s="16">
        <f>IFERROR(__xludf.DUMMYFUNCTION("""COMPUTED_VALUE"""),-10.0)</f>
        <v>-10</v>
      </c>
      <c r="AD195" s="16">
        <f>IFERROR(__xludf.DUMMYFUNCTION("""COMPUTED_VALUE"""),-5.0)</f>
        <v>-5</v>
      </c>
      <c r="AE195" s="16">
        <f>IFERROR(__xludf.DUMMYFUNCTION("""COMPUTED_VALUE"""),25.3)</f>
        <v>25.3</v>
      </c>
      <c r="AF195" s="16">
        <f>IFERROR(__xludf.DUMMYFUNCTION("""COMPUTED_VALUE"""),11.5)</f>
        <v>11.5</v>
      </c>
      <c r="AG195" s="16">
        <f>IFERROR(__xludf.DUMMYFUNCTION("""COMPUTED_VALUE"""),0.0)</f>
        <v>0</v>
      </c>
      <c r="AH195" s="16">
        <f>IFERROR(__xludf.DUMMYFUNCTION("""COMPUTED_VALUE"""),2.0)</f>
        <v>2</v>
      </c>
      <c r="AI195" s="16">
        <f>IFERROR(__xludf.DUMMYFUNCTION("""COMPUTED_VALUE"""),0.0)</f>
        <v>0</v>
      </c>
      <c r="AJ195" s="16">
        <f>IFERROR(__xludf.DUMMYFUNCTION("""COMPUTED_VALUE"""),4.0)</f>
        <v>4</v>
      </c>
      <c r="AK195" s="16">
        <f>IFERROR(__xludf.DUMMYFUNCTION("""COMPUTED_VALUE"""),17.8)</f>
        <v>17.8</v>
      </c>
      <c r="AL195" s="16">
        <f>IFERROR(__xludf.DUMMYFUNCTION("""COMPUTED_VALUE"""),11.5)</f>
        <v>11.5</v>
      </c>
      <c r="AM195" s="16">
        <f>IFERROR(__xludf.DUMMYFUNCTION("""COMPUTED_VALUE"""),-1.0)</f>
        <v>-1</v>
      </c>
      <c r="AN195" s="16">
        <f>IFERROR(__xludf.DUMMYFUNCTION("""COMPUTED_VALUE"""),0.0)</f>
        <v>0</v>
      </c>
      <c r="AO195" s="16">
        <f>IFERROR(__xludf.DUMMYFUNCTION("""COMPUTED_VALUE"""),-1.0)</f>
        <v>-1</v>
      </c>
      <c r="AP195" s="16">
        <f>IFERROR(__xludf.DUMMYFUNCTION("""COMPUTED_VALUE"""),0.0)</f>
        <v>0</v>
      </c>
      <c r="AQ195" s="16">
        <f>IFERROR(__xludf.DUMMYFUNCTION("""COMPUTED_VALUE"""),25.3)</f>
        <v>25.3</v>
      </c>
      <c r="AR195" s="16">
        <f>IFERROR(__xludf.DUMMYFUNCTION("""COMPUTED_VALUE"""),11.5)</f>
        <v>11.5</v>
      </c>
      <c r="AS195" s="16">
        <f>IFERROR(__xludf.DUMMYFUNCTION("""COMPUTED_VALUE"""),-1.0)</f>
        <v>-1</v>
      </c>
      <c r="AT195" s="16">
        <f>IFERROR(__xludf.DUMMYFUNCTION("""COMPUTED_VALUE"""),1.0)</f>
        <v>1</v>
      </c>
      <c r="AU195" s="16">
        <f>IFERROR(__xludf.DUMMYFUNCTION("""COMPUTED_VALUE"""),-2.0)</f>
        <v>-2</v>
      </c>
      <c r="AV195" s="16">
        <f>IFERROR(__xludf.DUMMYFUNCTION("""COMPUTED_VALUE"""),2.0)</f>
        <v>2</v>
      </c>
      <c r="AW195" s="16">
        <f>IFERROR(__xludf.DUMMYFUNCTION("""COMPUTED_VALUE"""),0.0)</f>
        <v>0</v>
      </c>
      <c r="AX195" s="16">
        <f>IFERROR(__xludf.DUMMYFUNCTION("""COMPUTED_VALUE"""),0.0)</f>
        <v>0</v>
      </c>
      <c r="AY195" s="16">
        <f>IFERROR(__xludf.DUMMYFUNCTION("""COMPUTED_VALUE"""),2.0)</f>
        <v>2</v>
      </c>
      <c r="AZ195" s="16">
        <f>IFERROR(__xludf.DUMMYFUNCTION("""COMPUTED_VALUE"""),2.0)</f>
        <v>2</v>
      </c>
      <c r="BA195" s="16">
        <f>IFERROR(__xludf.DUMMYFUNCTION("""COMPUTED_VALUE"""),10.0)</f>
        <v>10</v>
      </c>
      <c r="BB195" s="16">
        <f>IFERROR(__xludf.DUMMYFUNCTION("""COMPUTED_VALUE"""),10.0)</f>
        <v>10</v>
      </c>
      <c r="BC195" s="16">
        <f>IFERROR(__xludf.DUMMYFUNCTION("""COMPUTED_VALUE"""),0.0)</f>
        <v>0</v>
      </c>
      <c r="BD195" s="16">
        <f>IFERROR(__xludf.DUMMYFUNCTION("""COMPUTED_VALUE"""),0.0)</f>
        <v>0</v>
      </c>
      <c r="BE195" s="16">
        <f>IFERROR(__xludf.DUMMYFUNCTION("""COMPUTED_VALUE"""),0.0)</f>
        <v>0</v>
      </c>
      <c r="BF195" s="16">
        <f>IFERROR(__xludf.DUMMYFUNCTION("""COMPUTED_VALUE"""),0.0)</f>
        <v>0</v>
      </c>
      <c r="BG195" s="16">
        <f>IFERROR(__xludf.DUMMYFUNCTION("""COMPUTED_VALUE"""),3.0)</f>
        <v>3</v>
      </c>
      <c r="BH195" s="16">
        <f>IFERROR(__xludf.DUMMYFUNCTION("""COMPUTED_VALUE"""),2.0)</f>
        <v>2</v>
      </c>
      <c r="BI195" s="16">
        <f>IFERROR(__xludf.DUMMYFUNCTION("""COMPUTED_VALUE"""),6.0)</f>
        <v>6</v>
      </c>
      <c r="BJ195" s="16">
        <f>IFERROR(__xludf.DUMMYFUNCTION("""COMPUTED_VALUE"""),4.0)</f>
        <v>4</v>
      </c>
      <c r="BK195" s="16">
        <f>IFERROR(__xludf.DUMMYFUNCTION("""COMPUTED_VALUE"""),5.0)</f>
        <v>5</v>
      </c>
      <c r="BL195" s="16">
        <f>IFERROR(__xludf.DUMMYFUNCTION("""COMPUTED_VALUE"""),5.0)</f>
        <v>5</v>
      </c>
      <c r="BM195" s="16">
        <f>IFERROR(__xludf.DUMMYFUNCTION("""COMPUTED_VALUE"""),0.0)</f>
        <v>0</v>
      </c>
      <c r="BN195" s="16">
        <f>IFERROR(__xludf.DUMMYFUNCTION("""COMPUTED_VALUE"""),0.0)</f>
        <v>0</v>
      </c>
      <c r="BO195" s="16">
        <f>IFERROR(__xludf.DUMMYFUNCTION("""COMPUTED_VALUE"""),0.0)</f>
        <v>0</v>
      </c>
      <c r="BP195" s="16">
        <f>IFERROR(__xludf.DUMMYFUNCTION("""COMPUTED_VALUE"""),0.0)</f>
        <v>0</v>
      </c>
      <c r="BQ195" s="16">
        <f>IFERROR(__xludf.DUMMYFUNCTION("""COMPUTED_VALUE"""),4.0)</f>
        <v>4</v>
      </c>
      <c r="BR195" s="16">
        <f>IFERROR(__xludf.DUMMYFUNCTION("""COMPUTED_VALUE"""),9.0)</f>
        <v>9</v>
      </c>
      <c r="BS195" s="16">
        <f>IFERROR(__xludf.DUMMYFUNCTION("""COMPUTED_VALUE"""),-1.0)</f>
        <v>-1</v>
      </c>
      <c r="BT195" s="16">
        <f>IFERROR(__xludf.DUMMYFUNCTION("""COMPUTED_VALUE"""),3.0)</f>
        <v>3</v>
      </c>
      <c r="BU195" s="16">
        <f>IFERROR(__xludf.DUMMYFUNCTION("""COMPUTED_VALUE"""),-2.0)</f>
        <v>-2</v>
      </c>
      <c r="BV195" s="16">
        <f>IFERROR(__xludf.DUMMYFUNCTION("""COMPUTED_VALUE"""),6.0)</f>
        <v>6</v>
      </c>
      <c r="BW195" s="16">
        <f>IFERROR(__xludf.DUMMYFUNCTION("""COMPUTED_VALUE"""),-2.0)</f>
        <v>-2</v>
      </c>
      <c r="BX195" s="16">
        <f>IFERROR(__xludf.DUMMYFUNCTION("""COMPUTED_VALUE"""),-2.0)</f>
        <v>-2</v>
      </c>
      <c r="BY195" s="16" t="str">
        <f>IFERROR(__xludf.DUMMYFUNCTION("""COMPUTED_VALUE"""),"R(1)")</f>
        <v>R(1)</v>
      </c>
      <c r="BZ195" s="16" t="str">
        <f>IFERROR(__xludf.DUMMYFUNCTION("""COMPUTED_VALUE"""),"R(1)")</f>
        <v>R(1)</v>
      </c>
      <c r="CA195" s="16" t="str">
        <f>IFERROR(__xludf.DUMMYFUNCTION("""COMPUTED_VALUE"""),"R(1)")</f>
        <v>R(1)</v>
      </c>
      <c r="CB195" s="16"/>
      <c r="CC195" s="16"/>
      <c r="CD195" s="16"/>
      <c r="CE195" s="16">
        <f>IFERROR(__xludf.DUMMYFUNCTION("""COMPUTED_VALUE"""),1.0)</f>
        <v>1</v>
      </c>
      <c r="CF195" s="16"/>
      <c r="CG195" s="16" t="str">
        <f>IFERROR(__xludf.DUMMYFUNCTION("""COMPUTED_VALUE"""),"2-0")</f>
        <v>2-0</v>
      </c>
      <c r="CH195" s="16">
        <f>IFERROR(__xludf.DUMMYFUNCTION("""COMPUTED_VALUE"""),2.0)</f>
        <v>2</v>
      </c>
      <c r="CI195" s="16">
        <f>IFERROR(__xludf.DUMMYFUNCTION("""COMPUTED_VALUE"""),0.0)</f>
        <v>0</v>
      </c>
      <c r="CJ195" s="16">
        <f>IFERROR(__xludf.DUMMYFUNCTION("""COMPUTED_VALUE"""),0.0)</f>
        <v>0</v>
      </c>
      <c r="CK195" s="16">
        <f>IFERROR(__xludf.DUMMYFUNCTION("""COMPUTED_VALUE"""),8.0)</f>
        <v>8</v>
      </c>
      <c r="CL195" s="16" t="str">
        <f>IFERROR(__xludf.DUMMYFUNCTION("""COMPUTED_VALUE"""),"1WR-C")</f>
        <v>1WR-C</v>
      </c>
      <c r="CM195" s="16" t="str">
        <f>IFERROR(__xludf.DUMMYFUNCTION("""COMPUTED_VALUE"""),"E")</f>
        <v>E</v>
      </c>
      <c r="CN195" s="16">
        <f>IFERROR(__xludf.DUMMYFUNCTION("""COMPUTED_VALUE"""),10.0)</f>
        <v>10</v>
      </c>
      <c r="CO195" s="16" t="str">
        <f>IFERROR(__xludf.DUMMYFUNCTION("""COMPUTED_VALUE"""),"C")</f>
        <v>C</v>
      </c>
      <c r="CP195" s="16" t="str">
        <f>IFERROR(__xludf.DUMMYFUNCTION("""COMPUTED_VALUE"""),"3p20")</f>
        <v>3p20</v>
      </c>
      <c r="CQ195" s="16">
        <f>IFERROR(__xludf.DUMMYFUNCTION("""COMPUTED_VALUE"""),-2.0)</f>
        <v>-2</v>
      </c>
      <c r="CR195" s="16">
        <f>IFERROR(__xludf.DUMMYFUNCTION("""COMPUTED_VALUE"""),14.0)</f>
        <v>14</v>
      </c>
      <c r="CS195" s="16">
        <f>IFERROR(__xludf.DUMMYFUNCTION("""COMPUTED_VALUE"""),12.0)</f>
        <v>12</v>
      </c>
      <c r="CT195" s="16">
        <f>IFERROR(__xludf.DUMMYFUNCTION("""COMPUTED_VALUE"""),-2.0)</f>
        <v>-2</v>
      </c>
      <c r="CU195" s="16">
        <f>IFERROR(__xludf.DUMMYFUNCTION("""COMPUTED_VALUE"""),14.0)</f>
        <v>14</v>
      </c>
      <c r="CV195" s="179">
        <f>IFERROR(__xludf.DUMMYFUNCTION("""COMPUTED_VALUE"""),8.333333333333334)</f>
        <v>8.333333333</v>
      </c>
      <c r="CW195" s="179">
        <f>IFERROR(__xludf.DUMMYFUNCTION("""COMPUTED_VALUE"""),2.0)</f>
        <v>2</v>
      </c>
      <c r="CX195" s="179">
        <f>IFERROR(__xludf.DUMMYFUNCTION("""COMPUTED_VALUE"""),3.0)</f>
        <v>3</v>
      </c>
      <c r="CY195" s="16" t="str">
        <f>IFERROR(__xludf.DUMMYFUNCTION("""COMPUTED_VALUE"""),"RP")</f>
        <v>RP</v>
      </c>
      <c r="CZ195" s="16"/>
      <c r="DA195" s="16"/>
      <c r="DB195" s="16"/>
      <c r="DC195" s="16"/>
      <c r="DD195" s="16"/>
      <c r="DE195" s="16"/>
      <c r="DF195" s="16"/>
      <c r="DG195" s="16"/>
      <c r="DH195" s="16"/>
      <c r="DI195" s="16"/>
      <c r="DJ195" s="16"/>
      <c r="DK195" s="16"/>
    </row>
    <row r="196">
      <c r="A196" s="16">
        <f>IFERROR(__xludf.DUMMYFUNCTION("""COMPUTED_VALUE"""),13232.0)</f>
        <v>13232</v>
      </c>
      <c r="B196" s="16" t="str">
        <f>IFERROR(__xludf.DUMMYFUNCTION("""COMPUTED_VALUE"""),"Nestor Cortes Jr")</f>
        <v>Nestor Cortes Jr</v>
      </c>
      <c r="C196" s="153">
        <f>IFERROR(__xludf.DUMMYFUNCTION("""COMPUTED_VALUE"""),0.67)</f>
        <v>0.67</v>
      </c>
      <c r="D196" s="16"/>
      <c r="E196" s="16" t="str">
        <f>IFERROR(__xludf.DUMMYFUNCTION("""COMPUTED_VALUE"""),"L")</f>
        <v>L</v>
      </c>
      <c r="F196" s="16">
        <f>IFERROR(__xludf.DUMMYFUNCTION("""COMPUTED_VALUE"""),174.0)</f>
        <v>174</v>
      </c>
      <c r="G196" s="16">
        <f>IFERROR(__xludf.DUMMYFUNCTION("""COMPUTED_VALUE"""),32.0)</f>
        <v>32</v>
      </c>
      <c r="H196" s="16">
        <f>IFERROR(__xludf.DUMMYFUNCTION("""COMPUTED_VALUE"""),22.0)</f>
        <v>22</v>
      </c>
      <c r="I196" s="16">
        <f>IFERROR(__xludf.DUMMYFUNCTION("""COMPUTED_VALUE"""),1.0)</f>
        <v>1</v>
      </c>
      <c r="J196" s="16">
        <f>IFERROR(__xludf.DUMMYFUNCTION("""COMPUTED_VALUE"""),-1.0)</f>
        <v>-1</v>
      </c>
      <c r="K196" s="16">
        <f>IFERROR(__xludf.DUMMYFUNCTION("""COMPUTED_VALUE"""),3.0)</f>
        <v>3</v>
      </c>
      <c r="L196" s="16">
        <f>IFERROR(__xludf.DUMMYFUNCTION("""COMPUTED_VALUE"""),-3.0)</f>
        <v>-3</v>
      </c>
      <c r="M196" s="16">
        <f>IFERROR(__xludf.DUMMYFUNCTION("""COMPUTED_VALUE"""),5.0)</f>
        <v>5</v>
      </c>
      <c r="N196" s="16">
        <f>IFERROR(__xludf.DUMMYFUNCTION("""COMPUTED_VALUE"""),3.0)</f>
        <v>3</v>
      </c>
      <c r="O196" s="16">
        <f>IFERROR(__xludf.DUMMYFUNCTION("""COMPUTED_VALUE"""),2.0)</f>
        <v>2</v>
      </c>
      <c r="P196" s="16">
        <f>IFERROR(__xludf.DUMMYFUNCTION("""COMPUTED_VALUE"""),2.0)</f>
        <v>2</v>
      </c>
      <c r="Q196" s="16">
        <f>IFERROR(__xludf.DUMMYFUNCTION("""COMPUTED_VALUE"""),2.0)</f>
        <v>2</v>
      </c>
      <c r="R196" s="16">
        <f>IFERROR(__xludf.DUMMYFUNCTION("""COMPUTED_VALUE"""),2.0)</f>
        <v>2</v>
      </c>
      <c r="S196" s="16">
        <f>IFERROR(__xludf.DUMMYFUNCTION("""COMPUTED_VALUE"""),12.3)</f>
        <v>12.3</v>
      </c>
      <c r="T196" s="16">
        <f>IFERROR(__xludf.DUMMYFUNCTION("""COMPUTED_VALUE"""),19.3)</f>
        <v>19.3</v>
      </c>
      <c r="U196" s="16">
        <f>IFERROR(__xludf.DUMMYFUNCTION("""COMPUTED_VALUE"""),1.0)</f>
        <v>1</v>
      </c>
      <c r="V196" s="16">
        <f>IFERROR(__xludf.DUMMYFUNCTION("""COMPUTED_VALUE"""),-1.0)</f>
        <v>-1</v>
      </c>
      <c r="W196" s="16">
        <f>IFERROR(__xludf.DUMMYFUNCTION("""COMPUTED_VALUE"""),2.0)</f>
        <v>2</v>
      </c>
      <c r="X196" s="16">
        <f>IFERROR(__xludf.DUMMYFUNCTION("""COMPUTED_VALUE"""),-2.0)</f>
        <v>-2</v>
      </c>
      <c r="Y196" s="16">
        <f>IFERROR(__xludf.DUMMYFUNCTION("""COMPUTED_VALUE"""),17.3)</f>
        <v>17.3</v>
      </c>
      <c r="Z196" s="16">
        <f>IFERROR(__xludf.DUMMYFUNCTION("""COMPUTED_VALUE"""),22.3)</f>
        <v>22.3</v>
      </c>
      <c r="AA196" s="16">
        <f>IFERROR(__xludf.DUMMYFUNCTION("""COMPUTED_VALUE"""),1.0)</f>
        <v>1</v>
      </c>
      <c r="AB196" s="16">
        <f>IFERROR(__xludf.DUMMYFUNCTION("""COMPUTED_VALUE"""),1.0)</f>
        <v>1</v>
      </c>
      <c r="AC196" s="16">
        <f>IFERROR(__xludf.DUMMYFUNCTION("""COMPUTED_VALUE"""),5.0)</f>
        <v>5</v>
      </c>
      <c r="AD196" s="16">
        <f>IFERROR(__xludf.DUMMYFUNCTION("""COMPUTED_VALUE"""),5.0)</f>
        <v>5</v>
      </c>
      <c r="AE196" s="16">
        <f>IFERROR(__xludf.DUMMYFUNCTION("""COMPUTED_VALUE"""),16.5)</f>
        <v>16.5</v>
      </c>
      <c r="AF196" s="16">
        <f>IFERROR(__xludf.DUMMYFUNCTION("""COMPUTED_VALUE"""),37.8)</f>
        <v>37.8</v>
      </c>
      <c r="AG196" s="16">
        <f>IFERROR(__xludf.DUMMYFUNCTION("""COMPUTED_VALUE"""),1.0)</f>
        <v>1</v>
      </c>
      <c r="AH196" s="16">
        <f>IFERROR(__xludf.DUMMYFUNCTION("""COMPUTED_VALUE"""),-1.0)</f>
        <v>-1</v>
      </c>
      <c r="AI196" s="16">
        <f>IFERROR(__xludf.DUMMYFUNCTION("""COMPUTED_VALUE"""),2.0)</f>
        <v>2</v>
      </c>
      <c r="AJ196" s="16">
        <f>IFERROR(__xludf.DUMMYFUNCTION("""COMPUTED_VALUE"""),-2.0)</f>
        <v>-2</v>
      </c>
      <c r="AK196" s="16">
        <f>IFERROR(__xludf.DUMMYFUNCTION("""COMPUTED_VALUE"""),11.9)</f>
        <v>11.9</v>
      </c>
      <c r="AL196" s="16">
        <f>IFERROR(__xludf.DUMMYFUNCTION("""COMPUTED_VALUE"""),16.5)</f>
        <v>16.5</v>
      </c>
      <c r="AM196" s="16">
        <f>IFERROR(__xludf.DUMMYFUNCTION("""COMPUTED_VALUE"""),0.0)</f>
        <v>0</v>
      </c>
      <c r="AN196" s="16">
        <f>IFERROR(__xludf.DUMMYFUNCTION("""COMPUTED_VALUE"""),-1.0)</f>
        <v>-1</v>
      </c>
      <c r="AO196" s="16">
        <f>IFERROR(__xludf.DUMMYFUNCTION("""COMPUTED_VALUE"""),0.0)</f>
        <v>0</v>
      </c>
      <c r="AP196" s="16">
        <f>IFERROR(__xludf.DUMMYFUNCTION("""COMPUTED_VALUE"""),-1.0)</f>
        <v>-1</v>
      </c>
      <c r="AQ196" s="16">
        <f>IFERROR(__xludf.DUMMYFUNCTION("""COMPUTED_VALUE"""),14.9)</f>
        <v>14.9</v>
      </c>
      <c r="AR196" s="16">
        <f>IFERROR(__xludf.DUMMYFUNCTION("""COMPUTED_VALUE"""),26.599999999999998)</f>
        <v>26.6</v>
      </c>
      <c r="AS196" s="16">
        <f>IFERROR(__xludf.DUMMYFUNCTION("""COMPUTED_VALUE"""),1.0)</f>
        <v>1</v>
      </c>
      <c r="AT196" s="16">
        <f>IFERROR(__xludf.DUMMYFUNCTION("""COMPUTED_VALUE"""),-1.0)</f>
        <v>-1</v>
      </c>
      <c r="AU196" s="16">
        <f>IFERROR(__xludf.DUMMYFUNCTION("""COMPUTED_VALUE"""),2.0)</f>
        <v>2</v>
      </c>
      <c r="AV196" s="16">
        <f>IFERROR(__xludf.DUMMYFUNCTION("""COMPUTED_VALUE"""),-2.0)</f>
        <v>-2</v>
      </c>
      <c r="AW196" s="16">
        <f>IFERROR(__xludf.DUMMYFUNCTION("""COMPUTED_VALUE"""),0.4)</f>
        <v>0.4</v>
      </c>
      <c r="AX196" s="16">
        <f>IFERROR(__xludf.DUMMYFUNCTION("""COMPUTED_VALUE"""),2.8)</f>
        <v>2.8</v>
      </c>
      <c r="AY196" s="16">
        <f>IFERROR(__xludf.DUMMYFUNCTION("""COMPUTED_VALUE"""),2.0)</f>
        <v>2</v>
      </c>
      <c r="AZ196" s="16">
        <f>IFERROR(__xludf.DUMMYFUNCTION("""COMPUTED_VALUE"""),-1.0)</f>
        <v>-1</v>
      </c>
      <c r="BA196" s="16">
        <f>IFERROR(__xludf.DUMMYFUNCTION("""COMPUTED_VALUE"""),10.0)</f>
        <v>10</v>
      </c>
      <c r="BB196" s="16">
        <f>IFERROR(__xludf.DUMMYFUNCTION("""COMPUTED_VALUE"""),-5.0)</f>
        <v>-5</v>
      </c>
      <c r="BC196" s="16">
        <f>IFERROR(__xludf.DUMMYFUNCTION("""COMPUTED_VALUE"""),0.0)</f>
        <v>0</v>
      </c>
      <c r="BD196" s="16">
        <f>IFERROR(__xludf.DUMMYFUNCTION("""COMPUTED_VALUE"""),5.0)</f>
        <v>5</v>
      </c>
      <c r="BE196" s="16">
        <f>IFERROR(__xludf.DUMMYFUNCTION("""COMPUTED_VALUE"""),0.0)</f>
        <v>0</v>
      </c>
      <c r="BF196" s="16">
        <f>IFERROR(__xludf.DUMMYFUNCTION("""COMPUTED_VALUE"""),5.0)</f>
        <v>5</v>
      </c>
      <c r="BG196" s="16">
        <f>IFERROR(__xludf.DUMMYFUNCTION("""COMPUTED_VALUE"""),3.0)</f>
        <v>3</v>
      </c>
      <c r="BH196" s="16">
        <f>IFERROR(__xludf.DUMMYFUNCTION("""COMPUTED_VALUE"""),-2.0)</f>
        <v>-2</v>
      </c>
      <c r="BI196" s="16">
        <f>IFERROR(__xludf.DUMMYFUNCTION("""COMPUTED_VALUE"""),6.0)</f>
        <v>6</v>
      </c>
      <c r="BJ196" s="16">
        <f>IFERROR(__xludf.DUMMYFUNCTION("""COMPUTED_VALUE"""),-4.0)</f>
        <v>-4</v>
      </c>
      <c r="BK196" s="16">
        <f>IFERROR(__xludf.DUMMYFUNCTION("""COMPUTED_VALUE"""),5.0)</f>
        <v>5</v>
      </c>
      <c r="BL196" s="16">
        <f>IFERROR(__xludf.DUMMYFUNCTION("""COMPUTED_VALUE"""),5.0)</f>
        <v>5</v>
      </c>
      <c r="BM196" s="16">
        <f>IFERROR(__xludf.DUMMYFUNCTION("""COMPUTED_VALUE"""),0.0)</f>
        <v>0</v>
      </c>
      <c r="BN196" s="16">
        <f>IFERROR(__xludf.DUMMYFUNCTION("""COMPUTED_VALUE"""),0.0)</f>
        <v>0</v>
      </c>
      <c r="BO196" s="16">
        <f>IFERROR(__xludf.DUMMYFUNCTION("""COMPUTED_VALUE"""),0.0)</f>
        <v>0</v>
      </c>
      <c r="BP196" s="16">
        <f>IFERROR(__xludf.DUMMYFUNCTION("""COMPUTED_VALUE"""),0.0)</f>
        <v>0</v>
      </c>
      <c r="BQ196" s="16">
        <f>IFERROR(__xludf.DUMMYFUNCTION("""COMPUTED_VALUE"""),5.0)</f>
        <v>5</v>
      </c>
      <c r="BR196" s="16">
        <f>IFERROR(__xludf.DUMMYFUNCTION("""COMPUTED_VALUE"""),4.0)</f>
        <v>4</v>
      </c>
      <c r="BS196" s="16">
        <f>IFERROR(__xludf.DUMMYFUNCTION("""COMPUTED_VALUE"""),0.0)</f>
        <v>0</v>
      </c>
      <c r="BT196" s="16">
        <f>IFERROR(__xludf.DUMMYFUNCTION("""COMPUTED_VALUE"""),-1.0)</f>
        <v>-1</v>
      </c>
      <c r="BU196" s="16">
        <f>IFERROR(__xludf.DUMMYFUNCTION("""COMPUTED_VALUE"""),0.0)</f>
        <v>0</v>
      </c>
      <c r="BV196" s="16">
        <f>IFERROR(__xludf.DUMMYFUNCTION("""COMPUTED_VALUE"""),-2.0)</f>
        <v>-2</v>
      </c>
      <c r="BW196" s="16">
        <f>IFERROR(__xludf.DUMMYFUNCTION("""COMPUTED_VALUE"""),-4.0)</f>
        <v>-4</v>
      </c>
      <c r="BX196" s="16">
        <f>IFERROR(__xludf.DUMMYFUNCTION("""COMPUTED_VALUE"""),-4.0)</f>
        <v>-4</v>
      </c>
      <c r="BY196" s="16" t="str">
        <f>IFERROR(__xludf.DUMMYFUNCTION("""COMPUTED_VALUE"""),"S(5)")</f>
        <v>S(5)</v>
      </c>
      <c r="BZ196" s="16" t="str">
        <f>IFERROR(__xludf.DUMMYFUNCTION("""COMPUTED_VALUE"""),"S(5)")</f>
        <v>S(5)</v>
      </c>
      <c r="CA196" s="16" t="str">
        <f>IFERROR(__xludf.DUMMYFUNCTION("""COMPUTED_VALUE"""),"S(5)")</f>
        <v>S(5)</v>
      </c>
      <c r="CB196" s="16"/>
      <c r="CC196" s="16"/>
      <c r="CD196" s="16">
        <f>IFERROR(__xludf.DUMMYFUNCTION("""COMPUTED_VALUE"""),5.0)</f>
        <v>5</v>
      </c>
      <c r="CE196" s="16"/>
      <c r="CF196" s="16"/>
      <c r="CG196" s="16" t="str">
        <f>IFERROR(__xludf.DUMMYFUNCTION("""COMPUTED_VALUE"""),"2-0")</f>
        <v>2-0</v>
      </c>
      <c r="CH196" s="16">
        <f>IFERROR(__xludf.DUMMYFUNCTION("""COMPUTED_VALUE"""),2.0)</f>
        <v>2</v>
      </c>
      <c r="CI196" s="16">
        <f>IFERROR(__xludf.DUMMYFUNCTION("""COMPUTED_VALUE"""),0.0)</f>
        <v>0</v>
      </c>
      <c r="CJ196" s="16">
        <f>IFERROR(__xludf.DUMMYFUNCTION("""COMPUTED_VALUE"""),2.0)</f>
        <v>2</v>
      </c>
      <c r="CK196" s="16">
        <f>IFERROR(__xludf.DUMMYFUNCTION("""COMPUTED_VALUE"""),2.0)</f>
        <v>2</v>
      </c>
      <c r="CL196" s="16" t="str">
        <f>IFERROR(__xludf.DUMMYFUNCTION("""COMPUTED_VALUE"""),"1WR-C")</f>
        <v>1WR-C</v>
      </c>
      <c r="CM196" s="16" t="str">
        <f>IFERROR(__xludf.DUMMYFUNCTION("""COMPUTED_VALUE"""),"E")</f>
        <v>E</v>
      </c>
      <c r="CN196" s="16">
        <f>IFERROR(__xludf.DUMMYFUNCTION("""COMPUTED_VALUE"""),10.0)</f>
        <v>10</v>
      </c>
      <c r="CO196" s="16" t="str">
        <f>IFERROR(__xludf.DUMMYFUNCTION("""COMPUTED_VALUE"""),"C")</f>
        <v>C</v>
      </c>
      <c r="CP196" s="16" t="str">
        <f>IFERROR(__xludf.DUMMYFUNCTION("""COMPUTED_VALUE"""),"1p70")</f>
        <v>1p70</v>
      </c>
      <c r="CQ196" s="16">
        <f>IFERROR(__xludf.DUMMYFUNCTION("""COMPUTED_VALUE"""),32.0)</f>
        <v>32</v>
      </c>
      <c r="CR196" s="16">
        <f>IFERROR(__xludf.DUMMYFUNCTION("""COMPUTED_VALUE"""),-14.0)</f>
        <v>-14</v>
      </c>
      <c r="CS196" s="16">
        <f>IFERROR(__xludf.DUMMYFUNCTION("""COMPUTED_VALUE"""),18.0)</f>
        <v>18</v>
      </c>
      <c r="CT196" s="16">
        <f>IFERROR(__xludf.DUMMYFUNCTION("""COMPUTED_VALUE"""),32.0)</f>
        <v>32</v>
      </c>
      <c r="CU196" s="16">
        <f>IFERROR(__xludf.DUMMYFUNCTION("""COMPUTED_VALUE"""),-14.0)</f>
        <v>-14</v>
      </c>
      <c r="CV196" s="179">
        <f>IFERROR(__xludf.DUMMYFUNCTION("""COMPUTED_VALUE"""),8.333333333333334)</f>
        <v>8.333333333</v>
      </c>
      <c r="CW196" s="179">
        <f>IFERROR(__xludf.DUMMYFUNCTION("""COMPUTED_VALUE"""),4.0)</f>
        <v>4</v>
      </c>
      <c r="CX196" s="179">
        <f>IFERROR(__xludf.DUMMYFUNCTION("""COMPUTED_VALUE"""),3.0)</f>
        <v>3</v>
      </c>
      <c r="CY196" s="16" t="str">
        <f>IFERROR(__xludf.DUMMYFUNCTION("""COMPUTED_VALUE"""),"SP")</f>
        <v>SP</v>
      </c>
      <c r="CZ196" s="16"/>
      <c r="DA196" s="16"/>
      <c r="DB196" s="16"/>
      <c r="DC196" s="16"/>
      <c r="DD196" s="16"/>
      <c r="DE196" s="16"/>
      <c r="DF196" s="16"/>
      <c r="DG196" s="16"/>
      <c r="DH196" s="16"/>
      <c r="DI196" s="16"/>
      <c r="DJ196" s="16"/>
      <c r="DK196" s="16"/>
    </row>
    <row r="197">
      <c r="A197" s="16">
        <f>IFERROR(__xludf.DUMMYFUNCTION("""COMPUTED_VALUE"""),13508.0)</f>
        <v>13508</v>
      </c>
      <c r="B197" s="16" t="str">
        <f>IFERROR(__xludf.DUMMYFUNCTION("""COMPUTED_VALUE"""),"Yu Darvish")</f>
        <v>Yu Darvish</v>
      </c>
      <c r="C197" s="153">
        <f>IFERROR(__xludf.DUMMYFUNCTION("""COMPUTED_VALUE"""),1.84)</f>
        <v>1.84</v>
      </c>
      <c r="D197" s="16"/>
      <c r="E197" s="16" t="str">
        <f>IFERROR(__xludf.DUMMYFUNCTION("""COMPUTED_VALUE"""),"R")</f>
        <v>R</v>
      </c>
      <c r="F197" s="16">
        <f>IFERROR(__xludf.DUMMYFUNCTION("""COMPUTED_VALUE"""),82.0)</f>
        <v>82</v>
      </c>
      <c r="G197" s="16">
        <f>IFERROR(__xludf.DUMMYFUNCTION("""COMPUTED_VALUE"""),28.0)</f>
        <v>28</v>
      </c>
      <c r="H197" s="16">
        <f>IFERROR(__xludf.DUMMYFUNCTION("""COMPUTED_VALUE"""),25.0)</f>
        <v>25</v>
      </c>
      <c r="I197" s="16">
        <f>IFERROR(__xludf.DUMMYFUNCTION("""COMPUTED_VALUE"""),0.0)</f>
        <v>0</v>
      </c>
      <c r="J197" s="16">
        <f>IFERROR(__xludf.DUMMYFUNCTION("""COMPUTED_VALUE"""),0.0)</f>
        <v>0</v>
      </c>
      <c r="K197" s="16">
        <f>IFERROR(__xludf.DUMMYFUNCTION("""COMPUTED_VALUE"""),0.0)</f>
        <v>0</v>
      </c>
      <c r="L197" s="16">
        <f>IFERROR(__xludf.DUMMYFUNCTION("""COMPUTED_VALUE"""),0.0)</f>
        <v>0</v>
      </c>
      <c r="M197" s="16">
        <f>IFERROR(__xludf.DUMMYFUNCTION("""COMPUTED_VALUE"""),4.0)</f>
        <v>4</v>
      </c>
      <c r="N197" s="16">
        <f>IFERROR(__xludf.DUMMYFUNCTION("""COMPUTED_VALUE"""),8.0)</f>
        <v>8</v>
      </c>
      <c r="O197" s="16">
        <f>IFERROR(__xludf.DUMMYFUNCTION("""COMPUTED_VALUE"""),2.0)</f>
        <v>2</v>
      </c>
      <c r="P197" s="16">
        <f>IFERROR(__xludf.DUMMYFUNCTION("""COMPUTED_VALUE"""),0.0)</f>
        <v>0</v>
      </c>
      <c r="Q197" s="16">
        <f>IFERROR(__xludf.DUMMYFUNCTION("""COMPUTED_VALUE"""),2.0)</f>
        <v>2</v>
      </c>
      <c r="R197" s="16">
        <f>IFERROR(__xludf.DUMMYFUNCTION("""COMPUTED_VALUE"""),0.0)</f>
        <v>0</v>
      </c>
      <c r="S197" s="16">
        <f>IFERROR(__xludf.DUMMYFUNCTION("""COMPUTED_VALUE"""),10.2)</f>
        <v>10.2</v>
      </c>
      <c r="T197" s="16">
        <f>IFERROR(__xludf.DUMMYFUNCTION("""COMPUTED_VALUE"""),13.1)</f>
        <v>13.1</v>
      </c>
      <c r="U197" s="16">
        <f>IFERROR(__xludf.DUMMYFUNCTION("""COMPUTED_VALUE"""),1.0)</f>
        <v>1</v>
      </c>
      <c r="V197" s="16">
        <f>IFERROR(__xludf.DUMMYFUNCTION("""COMPUTED_VALUE"""),1.0)</f>
        <v>1</v>
      </c>
      <c r="W197" s="16">
        <f>IFERROR(__xludf.DUMMYFUNCTION("""COMPUTED_VALUE"""),2.0)</f>
        <v>2</v>
      </c>
      <c r="X197" s="16">
        <f>IFERROR(__xludf.DUMMYFUNCTION("""COMPUTED_VALUE"""),2.0)</f>
        <v>2</v>
      </c>
      <c r="Y197" s="16">
        <f>IFERROR(__xludf.DUMMYFUNCTION("""COMPUTED_VALUE"""),14.2)</f>
        <v>14.2</v>
      </c>
      <c r="Z197" s="16">
        <f>IFERROR(__xludf.DUMMYFUNCTION("""COMPUTED_VALUE"""),21.1)</f>
        <v>21.1</v>
      </c>
      <c r="AA197" s="16">
        <f>IFERROR(__xludf.DUMMYFUNCTION("""COMPUTED_VALUE"""),2.0)</f>
        <v>2</v>
      </c>
      <c r="AB197" s="16">
        <f>IFERROR(__xludf.DUMMYFUNCTION("""COMPUTED_VALUE"""),1.0)</f>
        <v>1</v>
      </c>
      <c r="AC197" s="16">
        <f>IFERROR(__xludf.DUMMYFUNCTION("""COMPUTED_VALUE"""),10.0)</f>
        <v>10</v>
      </c>
      <c r="AD197" s="16">
        <f>IFERROR(__xludf.DUMMYFUNCTION("""COMPUTED_VALUE"""),5.0)</f>
        <v>5</v>
      </c>
      <c r="AE197" s="16">
        <f>IFERROR(__xludf.DUMMYFUNCTION("""COMPUTED_VALUE"""),17.2)</f>
        <v>17.2</v>
      </c>
      <c r="AF197" s="16">
        <f>IFERROR(__xludf.DUMMYFUNCTION("""COMPUTED_VALUE"""),32.0)</f>
        <v>32</v>
      </c>
      <c r="AG197" s="16">
        <f>IFERROR(__xludf.DUMMYFUNCTION("""COMPUTED_VALUE"""),1.0)</f>
        <v>1</v>
      </c>
      <c r="AH197" s="16">
        <f>IFERROR(__xludf.DUMMYFUNCTION("""COMPUTED_VALUE"""),0.0)</f>
        <v>0</v>
      </c>
      <c r="AI197" s="16">
        <f>IFERROR(__xludf.DUMMYFUNCTION("""COMPUTED_VALUE"""),2.0)</f>
        <v>2</v>
      </c>
      <c r="AJ197" s="16">
        <f>IFERROR(__xludf.DUMMYFUNCTION("""COMPUTED_VALUE"""),0.0)</f>
        <v>0</v>
      </c>
      <c r="AK197" s="16">
        <f>IFERROR(__xludf.DUMMYFUNCTION("""COMPUTED_VALUE"""),8.2)</f>
        <v>8.2</v>
      </c>
      <c r="AL197" s="16">
        <f>IFERROR(__xludf.DUMMYFUNCTION("""COMPUTED_VALUE"""),9.7)</f>
        <v>9.7</v>
      </c>
      <c r="AM197" s="16">
        <f>IFERROR(__xludf.DUMMYFUNCTION("""COMPUTED_VALUE"""),1.0)</f>
        <v>1</v>
      </c>
      <c r="AN197" s="16">
        <f>IFERROR(__xludf.DUMMYFUNCTION("""COMPUTED_VALUE"""),1.0)</f>
        <v>1</v>
      </c>
      <c r="AO197" s="16">
        <f>IFERROR(__xludf.DUMMYFUNCTION("""COMPUTED_VALUE"""),1.0)</f>
        <v>1</v>
      </c>
      <c r="AP197" s="16">
        <f>IFERROR(__xludf.DUMMYFUNCTION("""COMPUTED_VALUE"""),1.0)</f>
        <v>1</v>
      </c>
      <c r="AQ197" s="16">
        <f>IFERROR(__xludf.DUMMYFUNCTION("""COMPUTED_VALUE"""),9.2)</f>
        <v>9.2</v>
      </c>
      <c r="AR197" s="16">
        <f>IFERROR(__xludf.DUMMYFUNCTION("""COMPUTED_VALUE"""),18.4)</f>
        <v>18.4</v>
      </c>
      <c r="AS197" s="16">
        <f>IFERROR(__xludf.DUMMYFUNCTION("""COMPUTED_VALUE"""),1.0)</f>
        <v>1</v>
      </c>
      <c r="AT197" s="16">
        <f>IFERROR(__xludf.DUMMYFUNCTION("""COMPUTED_VALUE"""),0.0)</f>
        <v>0</v>
      </c>
      <c r="AU197" s="16">
        <f>IFERROR(__xludf.DUMMYFUNCTION("""COMPUTED_VALUE"""),2.0)</f>
        <v>2</v>
      </c>
      <c r="AV197" s="16">
        <f>IFERROR(__xludf.DUMMYFUNCTION("""COMPUTED_VALUE"""),0.0)</f>
        <v>0</v>
      </c>
      <c r="AW197" s="16">
        <f>IFERROR(__xludf.DUMMYFUNCTION("""COMPUTED_VALUE"""),2.0)</f>
        <v>2</v>
      </c>
      <c r="AX197" s="16">
        <f>IFERROR(__xludf.DUMMYFUNCTION("""COMPUTED_VALUE"""),3.4)</f>
        <v>3.4</v>
      </c>
      <c r="AY197" s="16">
        <f>IFERROR(__xludf.DUMMYFUNCTION("""COMPUTED_VALUE"""),0.0)</f>
        <v>0</v>
      </c>
      <c r="AZ197" s="16">
        <f>IFERROR(__xludf.DUMMYFUNCTION("""COMPUTED_VALUE"""),-1.0)</f>
        <v>-1</v>
      </c>
      <c r="BA197" s="16">
        <f>IFERROR(__xludf.DUMMYFUNCTION("""COMPUTED_VALUE"""),0.0)</f>
        <v>0</v>
      </c>
      <c r="BB197" s="16">
        <f>IFERROR(__xludf.DUMMYFUNCTION("""COMPUTED_VALUE"""),-5.0)</f>
        <v>-5</v>
      </c>
      <c r="BC197" s="16">
        <f>IFERROR(__xludf.DUMMYFUNCTION("""COMPUTED_VALUE"""),3.0)</f>
        <v>3</v>
      </c>
      <c r="BD197" s="16"/>
      <c r="BE197" s="16">
        <f>IFERROR(__xludf.DUMMYFUNCTION("""COMPUTED_VALUE"""),3.0)</f>
        <v>3</v>
      </c>
      <c r="BF197" s="16">
        <f>IFERROR(__xludf.DUMMYFUNCTION("""COMPUTED_VALUE"""),5.0)</f>
        <v>5</v>
      </c>
      <c r="BG197" s="16">
        <f>IFERROR(__xludf.DUMMYFUNCTION("""COMPUTED_VALUE"""),0.0)</f>
        <v>0</v>
      </c>
      <c r="BH197" s="16">
        <f>IFERROR(__xludf.DUMMYFUNCTION("""COMPUTED_VALUE"""),-2.0)</f>
        <v>-2</v>
      </c>
      <c r="BI197" s="16">
        <f>IFERROR(__xludf.DUMMYFUNCTION("""COMPUTED_VALUE"""),0.0)</f>
        <v>0</v>
      </c>
      <c r="BJ197" s="16">
        <f>IFERROR(__xludf.DUMMYFUNCTION("""COMPUTED_VALUE"""),-4.0)</f>
        <v>-4</v>
      </c>
      <c r="BK197" s="16">
        <f>IFERROR(__xludf.DUMMYFUNCTION("""COMPUTED_VALUE"""),5.0)</f>
        <v>5</v>
      </c>
      <c r="BL197" s="16">
        <f>IFERROR(__xludf.DUMMYFUNCTION("""COMPUTED_VALUE"""),0.0)</f>
        <v>0</v>
      </c>
      <c r="BM197" s="16">
        <f>IFERROR(__xludf.DUMMYFUNCTION("""COMPUTED_VALUE"""),0.0)</f>
        <v>0</v>
      </c>
      <c r="BN197" s="16">
        <f>IFERROR(__xludf.DUMMYFUNCTION("""COMPUTED_VALUE"""),1.0)</f>
        <v>1</v>
      </c>
      <c r="BO197" s="16">
        <f>IFERROR(__xludf.DUMMYFUNCTION("""COMPUTED_VALUE"""),0.0)</f>
        <v>0</v>
      </c>
      <c r="BP197" s="16">
        <f>IFERROR(__xludf.DUMMYFUNCTION("""COMPUTED_VALUE"""),1.0)</f>
        <v>1</v>
      </c>
      <c r="BQ197" s="16">
        <f>IFERROR(__xludf.DUMMYFUNCTION("""COMPUTED_VALUE"""),6.0)</f>
        <v>6</v>
      </c>
      <c r="BR197" s="16">
        <f>IFERROR(__xludf.DUMMYFUNCTION("""COMPUTED_VALUE"""),6.0)</f>
        <v>6</v>
      </c>
      <c r="BS197" s="16">
        <f>IFERROR(__xludf.DUMMYFUNCTION("""COMPUTED_VALUE"""),1.0)</f>
        <v>1</v>
      </c>
      <c r="BT197" s="16">
        <f>IFERROR(__xludf.DUMMYFUNCTION("""COMPUTED_VALUE"""),1.0)</f>
        <v>1</v>
      </c>
      <c r="BU197" s="16">
        <f>IFERROR(__xludf.DUMMYFUNCTION("""COMPUTED_VALUE"""),2.0)</f>
        <v>2</v>
      </c>
      <c r="BV197" s="16">
        <f>IFERROR(__xludf.DUMMYFUNCTION("""COMPUTED_VALUE"""),2.0)</f>
        <v>2</v>
      </c>
      <c r="BW197" s="16">
        <f>IFERROR(__xludf.DUMMYFUNCTION("""COMPUTED_VALUE"""),4.0)</f>
        <v>4</v>
      </c>
      <c r="BX197" s="16">
        <f>IFERROR(__xludf.DUMMYFUNCTION("""COMPUTED_VALUE"""),4.0)</f>
        <v>4</v>
      </c>
      <c r="BY197" s="16" t="str">
        <f>IFERROR(__xludf.DUMMYFUNCTION("""COMPUTED_VALUE"""),"S(5)")</f>
        <v>S(5)</v>
      </c>
      <c r="BZ197" s="16" t="str">
        <f>IFERROR(__xludf.DUMMYFUNCTION("""COMPUTED_VALUE"""),"S(5)")</f>
        <v>S(5)</v>
      </c>
      <c r="CA197" s="16" t="str">
        <f>IFERROR(__xludf.DUMMYFUNCTION("""COMPUTED_VALUE"""),"S(5)")</f>
        <v>S(5)</v>
      </c>
      <c r="CB197" s="16"/>
      <c r="CC197" s="16"/>
      <c r="CD197" s="16">
        <f>IFERROR(__xludf.DUMMYFUNCTION("""COMPUTED_VALUE"""),5.0)</f>
        <v>5</v>
      </c>
      <c r="CE197" s="16"/>
      <c r="CF197" s="16"/>
      <c r="CG197" s="16" t="str">
        <f>IFERROR(__xludf.DUMMYFUNCTION("""COMPUTED_VALUE"""),"3-0")</f>
        <v>3-0</v>
      </c>
      <c r="CH197" s="16">
        <f>IFERROR(__xludf.DUMMYFUNCTION("""COMPUTED_VALUE"""),3.0)</f>
        <v>3</v>
      </c>
      <c r="CI197" s="16">
        <f>IFERROR(__xludf.DUMMYFUNCTION("""COMPUTED_VALUE"""),0.0)</f>
        <v>0</v>
      </c>
      <c r="CJ197" s="16">
        <f>IFERROR(__xludf.DUMMYFUNCTION("""COMPUTED_VALUE"""),0.0)</f>
        <v>0</v>
      </c>
      <c r="CK197" s="16">
        <f>IFERROR(__xludf.DUMMYFUNCTION("""COMPUTED_VALUE"""),5.0)</f>
        <v>5</v>
      </c>
      <c r="CL197" s="16" t="str">
        <f>IFERROR(__xludf.DUMMYFUNCTION("""COMPUTED_VALUE"""),"1WR-C")</f>
        <v>1WR-C</v>
      </c>
      <c r="CM197" s="16" t="str">
        <f>IFERROR(__xludf.DUMMYFUNCTION("""COMPUTED_VALUE"""),"E")</f>
        <v>E</v>
      </c>
      <c r="CN197" s="16">
        <f>IFERROR(__xludf.DUMMYFUNCTION("""COMPUTED_VALUE"""),10.0)</f>
        <v>10</v>
      </c>
      <c r="CO197" s="16" t="str">
        <f>IFERROR(__xludf.DUMMYFUNCTION("""COMPUTED_VALUE"""),"C")</f>
        <v>C</v>
      </c>
      <c r="CP197" s="16" t="str">
        <f>IFERROR(__xludf.DUMMYFUNCTION("""COMPUTED_VALUE"""),"5p50")</f>
        <v>5p50</v>
      </c>
      <c r="CQ197" s="16">
        <f>IFERROR(__xludf.DUMMYFUNCTION("""COMPUTED_VALUE"""),21.0)</f>
        <v>21</v>
      </c>
      <c r="CR197" s="16">
        <f>IFERROR(__xludf.DUMMYFUNCTION("""COMPUTED_VALUE"""),2.0)</f>
        <v>2</v>
      </c>
      <c r="CS197" s="16">
        <f>IFERROR(__xludf.DUMMYFUNCTION("""COMPUTED_VALUE"""),23.0)</f>
        <v>23</v>
      </c>
      <c r="CT197" s="16">
        <f>IFERROR(__xludf.DUMMYFUNCTION("""COMPUTED_VALUE"""),21.0)</f>
        <v>21</v>
      </c>
      <c r="CU197" s="16">
        <f>IFERROR(__xludf.DUMMYFUNCTION("""COMPUTED_VALUE"""),2.0)</f>
        <v>2</v>
      </c>
      <c r="CV197" s="179">
        <f>IFERROR(__xludf.DUMMYFUNCTION("""COMPUTED_VALUE"""),8.333333333333334)</f>
        <v>8.333333333</v>
      </c>
      <c r="CW197" s="179">
        <f>IFERROR(__xludf.DUMMYFUNCTION("""COMPUTED_VALUE"""),0.0)</f>
        <v>0</v>
      </c>
      <c r="CX197" s="179">
        <f>IFERROR(__xludf.DUMMYFUNCTION("""COMPUTED_VALUE"""),0.0)</f>
        <v>0</v>
      </c>
      <c r="CY197" s="16" t="str">
        <f>IFERROR(__xludf.DUMMYFUNCTION("""COMPUTED_VALUE"""),"SP")</f>
        <v>SP</v>
      </c>
      <c r="CZ197" s="16"/>
      <c r="DA197" s="16"/>
      <c r="DB197" s="16"/>
      <c r="DC197" s="16"/>
      <c r="DD197" s="16"/>
      <c r="DE197" s="16"/>
      <c r="DF197" s="16"/>
      <c r="DG197" s="16"/>
      <c r="DH197" s="16"/>
      <c r="DI197" s="16"/>
      <c r="DJ197" s="16"/>
      <c r="DK197" s="16"/>
    </row>
    <row r="198">
      <c r="A198" s="16">
        <f>IFERROR(__xludf.DUMMYFUNCTION("""COMPUTED_VALUE"""),12914.0)</f>
        <v>12914</v>
      </c>
      <c r="B198" s="16" t="str">
        <f>IFERROR(__xludf.DUMMYFUNCTION("""COMPUTED_VALUE"""),"Jake Irvin")</f>
        <v>Jake Irvin</v>
      </c>
      <c r="C198" s="153">
        <f>IFERROR(__xludf.DUMMYFUNCTION("""COMPUTED_VALUE"""),0.91)</f>
        <v>0.91</v>
      </c>
      <c r="D198" s="16"/>
      <c r="E198" s="16" t="str">
        <f>IFERROR(__xludf.DUMMYFUNCTION("""COMPUTED_VALUE"""),"R")</f>
        <v>R</v>
      </c>
      <c r="F198" s="16">
        <f>IFERROR(__xludf.DUMMYFUNCTION("""COMPUTED_VALUE"""),188.0)</f>
        <v>188</v>
      </c>
      <c r="G198" s="16">
        <f>IFERROR(__xludf.DUMMYFUNCTION("""COMPUTED_VALUE"""),18.0)</f>
        <v>18</v>
      </c>
      <c r="H198" s="16">
        <f>IFERROR(__xludf.DUMMYFUNCTION("""COMPUTED_VALUE"""),20.0)</f>
        <v>20</v>
      </c>
      <c r="I198" s="16">
        <f>IFERROR(__xludf.DUMMYFUNCTION("""COMPUTED_VALUE"""),-1.0)</f>
        <v>-1</v>
      </c>
      <c r="J198" s="16">
        <f>IFERROR(__xludf.DUMMYFUNCTION("""COMPUTED_VALUE"""),-1.0)</f>
        <v>-1</v>
      </c>
      <c r="K198" s="16">
        <f>IFERROR(__xludf.DUMMYFUNCTION("""COMPUTED_VALUE"""),-3.0)</f>
        <v>-3</v>
      </c>
      <c r="L198" s="16">
        <f>IFERROR(__xludf.DUMMYFUNCTION("""COMPUTED_VALUE"""),-3.0)</f>
        <v>-3</v>
      </c>
      <c r="M198" s="16">
        <f>IFERROR(__xludf.DUMMYFUNCTION("""COMPUTED_VALUE"""),8.0)</f>
        <v>8</v>
      </c>
      <c r="N198" s="16">
        <f>IFERROR(__xludf.DUMMYFUNCTION("""COMPUTED_VALUE"""),3.0)</f>
        <v>3</v>
      </c>
      <c r="O198" s="16">
        <f>IFERROR(__xludf.DUMMYFUNCTION("""COMPUTED_VALUE"""),0.0)</f>
        <v>0</v>
      </c>
      <c r="P198" s="16">
        <f>IFERROR(__xludf.DUMMYFUNCTION("""COMPUTED_VALUE"""),2.0)</f>
        <v>2</v>
      </c>
      <c r="Q198" s="16">
        <f>IFERROR(__xludf.DUMMYFUNCTION("""COMPUTED_VALUE"""),0.0)</f>
        <v>0</v>
      </c>
      <c r="R198" s="16">
        <f>IFERROR(__xludf.DUMMYFUNCTION("""COMPUTED_VALUE"""),2.0)</f>
        <v>2</v>
      </c>
      <c r="S198" s="16">
        <f>IFERROR(__xludf.DUMMYFUNCTION("""COMPUTED_VALUE"""),14.3)</f>
        <v>14.3</v>
      </c>
      <c r="T198" s="16">
        <f>IFERROR(__xludf.DUMMYFUNCTION("""COMPUTED_VALUE"""),16.3)</f>
        <v>16.3</v>
      </c>
      <c r="U198" s="16">
        <f>IFERROR(__xludf.DUMMYFUNCTION("""COMPUTED_VALUE"""),0.0)</f>
        <v>0</v>
      </c>
      <c r="V198" s="16">
        <f>IFERROR(__xludf.DUMMYFUNCTION("""COMPUTED_VALUE"""),0.0)</f>
        <v>0</v>
      </c>
      <c r="W198" s="16">
        <f>IFERROR(__xludf.DUMMYFUNCTION("""COMPUTED_VALUE"""),0.0)</f>
        <v>0</v>
      </c>
      <c r="X198" s="16">
        <f>IFERROR(__xludf.DUMMYFUNCTION("""COMPUTED_VALUE"""),0.0)</f>
        <v>0</v>
      </c>
      <c r="Y198" s="16">
        <f>IFERROR(__xludf.DUMMYFUNCTION("""COMPUTED_VALUE"""),22.4)</f>
        <v>22.4</v>
      </c>
      <c r="Z198" s="16">
        <f>IFERROR(__xludf.DUMMYFUNCTION("""COMPUTED_VALUE"""),19.3)</f>
        <v>19.3</v>
      </c>
      <c r="AA198" s="16">
        <f>IFERROR(__xludf.DUMMYFUNCTION("""COMPUTED_VALUE"""),1.0)</f>
        <v>1</v>
      </c>
      <c r="AB198" s="16">
        <f>IFERROR(__xludf.DUMMYFUNCTION("""COMPUTED_VALUE"""),1.0)</f>
        <v>1</v>
      </c>
      <c r="AC198" s="16">
        <f>IFERROR(__xludf.DUMMYFUNCTION("""COMPUTED_VALUE"""),5.0)</f>
        <v>5</v>
      </c>
      <c r="AD198" s="16">
        <f>IFERROR(__xludf.DUMMYFUNCTION("""COMPUTED_VALUE"""),5.0)</f>
        <v>5</v>
      </c>
      <c r="AE198" s="16">
        <f>IFERROR(__xludf.DUMMYFUNCTION("""COMPUTED_VALUE"""),31.9)</f>
        <v>31.9</v>
      </c>
      <c r="AF198" s="16">
        <f>IFERROR(__xludf.DUMMYFUNCTION("""COMPUTED_VALUE"""),29.4)</f>
        <v>29.4</v>
      </c>
      <c r="AG198" s="16">
        <f>IFERROR(__xludf.DUMMYFUNCTION("""COMPUTED_VALUE"""),0.0)</f>
        <v>0</v>
      </c>
      <c r="AH198" s="16">
        <f>IFERROR(__xludf.DUMMYFUNCTION("""COMPUTED_VALUE"""),0.0)</f>
        <v>0</v>
      </c>
      <c r="AI198" s="16">
        <f>IFERROR(__xludf.DUMMYFUNCTION("""COMPUTED_VALUE"""),0.0)</f>
        <v>0</v>
      </c>
      <c r="AJ198" s="16">
        <f>IFERROR(__xludf.DUMMYFUNCTION("""COMPUTED_VALUE"""),0.0)</f>
        <v>0</v>
      </c>
      <c r="AK198" s="16">
        <f>IFERROR(__xludf.DUMMYFUNCTION("""COMPUTED_VALUE"""),10.9)</f>
        <v>10.9</v>
      </c>
      <c r="AL198" s="16">
        <f>IFERROR(__xludf.DUMMYFUNCTION("""COMPUTED_VALUE"""),14.100000000000001)</f>
        <v>14.1</v>
      </c>
      <c r="AM198" s="16">
        <f>IFERROR(__xludf.DUMMYFUNCTION("""COMPUTED_VALUE"""),0.0)</f>
        <v>0</v>
      </c>
      <c r="AN198" s="16">
        <f>IFERROR(__xludf.DUMMYFUNCTION("""COMPUTED_VALUE"""),0.0)</f>
        <v>0</v>
      </c>
      <c r="AO198" s="16">
        <f>IFERROR(__xludf.DUMMYFUNCTION("""COMPUTED_VALUE"""),0.0)</f>
        <v>0</v>
      </c>
      <c r="AP198" s="16">
        <f>IFERROR(__xludf.DUMMYFUNCTION("""COMPUTED_VALUE"""),0.0)</f>
        <v>0</v>
      </c>
      <c r="AQ198" s="16">
        <f>IFERROR(__xludf.DUMMYFUNCTION("""COMPUTED_VALUE"""),18.299999999999997)</f>
        <v>18.3</v>
      </c>
      <c r="AR198" s="16">
        <f>IFERROR(__xludf.DUMMYFUNCTION("""COMPUTED_VALUE"""),20.599999999999998)</f>
        <v>20.6</v>
      </c>
      <c r="AS198" s="16">
        <f>IFERROR(__xludf.DUMMYFUNCTION("""COMPUTED_VALUE"""),0.0)</f>
        <v>0</v>
      </c>
      <c r="AT198" s="16">
        <f>IFERROR(__xludf.DUMMYFUNCTION("""COMPUTED_VALUE"""),0.0)</f>
        <v>0</v>
      </c>
      <c r="AU198" s="16">
        <f>IFERROR(__xludf.DUMMYFUNCTION("""COMPUTED_VALUE"""),0.0)</f>
        <v>0</v>
      </c>
      <c r="AV198" s="16">
        <f>IFERROR(__xludf.DUMMYFUNCTION("""COMPUTED_VALUE"""),0.0)</f>
        <v>0</v>
      </c>
      <c r="AW198" s="16">
        <f>IFERROR(__xludf.DUMMYFUNCTION("""COMPUTED_VALUE"""),3.4)</f>
        <v>3.4</v>
      </c>
      <c r="AX198" s="16">
        <f>IFERROR(__xludf.DUMMYFUNCTION("""COMPUTED_VALUE"""),2.2)</f>
        <v>2.2</v>
      </c>
      <c r="AY198" s="16">
        <f>IFERROR(__xludf.DUMMYFUNCTION("""COMPUTED_VALUE"""),-2.0)</f>
        <v>-2</v>
      </c>
      <c r="AZ198" s="16">
        <f>IFERROR(__xludf.DUMMYFUNCTION("""COMPUTED_VALUE"""),0.0)</f>
        <v>0</v>
      </c>
      <c r="BA198" s="16">
        <f>IFERROR(__xludf.DUMMYFUNCTION("""COMPUTED_VALUE"""),-10.0)</f>
        <v>-10</v>
      </c>
      <c r="BB198" s="16">
        <f>IFERROR(__xludf.DUMMYFUNCTION("""COMPUTED_VALUE"""),0.0)</f>
        <v>0</v>
      </c>
      <c r="BC198" s="16">
        <f>IFERROR(__xludf.DUMMYFUNCTION("""COMPUTED_VALUE"""),5.0)</f>
        <v>5</v>
      </c>
      <c r="BD198" s="16">
        <f>IFERROR(__xludf.DUMMYFUNCTION("""COMPUTED_VALUE"""),3.0)</f>
        <v>3</v>
      </c>
      <c r="BE198" s="16">
        <f>IFERROR(__xludf.DUMMYFUNCTION("""COMPUTED_VALUE"""),5.0)</f>
        <v>5</v>
      </c>
      <c r="BF198" s="16">
        <f>IFERROR(__xludf.DUMMYFUNCTION("""COMPUTED_VALUE"""),3.0)</f>
        <v>3</v>
      </c>
      <c r="BG198" s="16">
        <f>IFERROR(__xludf.DUMMYFUNCTION("""COMPUTED_VALUE"""),-2.0)</f>
        <v>-2</v>
      </c>
      <c r="BH198" s="16">
        <f>IFERROR(__xludf.DUMMYFUNCTION("""COMPUTED_VALUE"""),0.0)</f>
        <v>0</v>
      </c>
      <c r="BI198" s="16">
        <f>IFERROR(__xludf.DUMMYFUNCTION("""COMPUTED_VALUE"""),-4.0)</f>
        <v>-4</v>
      </c>
      <c r="BJ198" s="16">
        <f>IFERROR(__xludf.DUMMYFUNCTION("""COMPUTED_VALUE"""),0.0)</f>
        <v>0</v>
      </c>
      <c r="BK198" s="16">
        <f>IFERROR(__xludf.DUMMYFUNCTION("""COMPUTED_VALUE"""),5.0)</f>
        <v>5</v>
      </c>
      <c r="BL198" s="16">
        <f>IFERROR(__xludf.DUMMYFUNCTION("""COMPUTED_VALUE"""),5.0)</f>
        <v>5</v>
      </c>
      <c r="BM198" s="16">
        <f>IFERROR(__xludf.DUMMYFUNCTION("""COMPUTED_VALUE"""),0.0)</f>
        <v>0</v>
      </c>
      <c r="BN198" s="16">
        <f>IFERROR(__xludf.DUMMYFUNCTION("""COMPUTED_VALUE"""),0.0)</f>
        <v>0</v>
      </c>
      <c r="BO198" s="16">
        <f>IFERROR(__xludf.DUMMYFUNCTION("""COMPUTED_VALUE"""),0.0)</f>
        <v>0</v>
      </c>
      <c r="BP198" s="16">
        <f>IFERROR(__xludf.DUMMYFUNCTION("""COMPUTED_VALUE"""),0.0)</f>
        <v>0</v>
      </c>
      <c r="BQ198" s="16">
        <f>IFERROR(__xludf.DUMMYFUNCTION("""COMPUTED_VALUE"""),11.0)</f>
        <v>11</v>
      </c>
      <c r="BR198" s="16">
        <f>IFERROR(__xludf.DUMMYFUNCTION("""COMPUTED_VALUE"""),12.0)</f>
        <v>12</v>
      </c>
      <c r="BS198" s="16">
        <f>IFERROR(__xludf.DUMMYFUNCTION("""COMPUTED_VALUE"""),3.0)</f>
        <v>3</v>
      </c>
      <c r="BT198" s="16">
        <f>IFERROR(__xludf.DUMMYFUNCTION("""COMPUTED_VALUE"""),3.0)</f>
        <v>3</v>
      </c>
      <c r="BU198" s="16">
        <f>IFERROR(__xludf.DUMMYFUNCTION("""COMPUTED_VALUE"""),6.0)</f>
        <v>6</v>
      </c>
      <c r="BV198" s="16">
        <f>IFERROR(__xludf.DUMMYFUNCTION("""COMPUTED_VALUE"""),6.0)</f>
        <v>6</v>
      </c>
      <c r="BW198" s="16">
        <f>IFERROR(__xludf.DUMMYFUNCTION("""COMPUTED_VALUE"""),-4.0)</f>
        <v>-4</v>
      </c>
      <c r="BX198" s="16">
        <f>IFERROR(__xludf.DUMMYFUNCTION("""COMPUTED_VALUE"""),-4.0)</f>
        <v>-4</v>
      </c>
      <c r="BY198" s="16" t="str">
        <f>IFERROR(__xludf.DUMMYFUNCTION("""COMPUTED_VALUE"""),"S(6)")</f>
        <v>S(6)</v>
      </c>
      <c r="BZ198" s="16" t="str">
        <f>IFERROR(__xludf.DUMMYFUNCTION("""COMPUTED_VALUE"""),"S(6)")</f>
        <v>S(6)</v>
      </c>
      <c r="CA198" s="16" t="str">
        <f>IFERROR(__xludf.DUMMYFUNCTION("""COMPUTED_VALUE"""),"S(6)")</f>
        <v>S(6)</v>
      </c>
      <c r="CB198" s="16"/>
      <c r="CC198" s="16"/>
      <c r="CD198" s="16">
        <f>IFERROR(__xludf.DUMMYFUNCTION("""COMPUTED_VALUE"""),6.0)</f>
        <v>6</v>
      </c>
      <c r="CE198" s="16"/>
      <c r="CF198" s="16"/>
      <c r="CG198" s="16" t="str">
        <f>IFERROR(__xludf.DUMMYFUNCTION("""COMPUTED_VALUE"""),"3-15")</f>
        <v>3-15</v>
      </c>
      <c r="CH198" s="16">
        <f>IFERROR(__xludf.DUMMYFUNCTION("""COMPUTED_VALUE"""),3.0)</f>
        <v>3</v>
      </c>
      <c r="CI198" s="16">
        <f>IFERROR(__xludf.DUMMYFUNCTION("""COMPUTED_VALUE"""),15.0)</f>
        <v>15</v>
      </c>
      <c r="CJ198" s="16">
        <f>IFERROR(__xludf.DUMMYFUNCTION("""COMPUTED_VALUE"""),2.0)</f>
        <v>2</v>
      </c>
      <c r="CK198" s="16">
        <f>IFERROR(__xludf.DUMMYFUNCTION("""COMPUTED_VALUE"""),5.0)</f>
        <v>5</v>
      </c>
      <c r="CL198" s="16" t="str">
        <f>IFERROR(__xludf.DUMMYFUNCTION("""COMPUTED_VALUE"""),"1WR-C")</f>
        <v>1WR-C</v>
      </c>
      <c r="CM198" s="16" t="str">
        <f>IFERROR(__xludf.DUMMYFUNCTION("""COMPUTED_VALUE"""),"E")</f>
        <v>E</v>
      </c>
      <c r="CN198" s="16">
        <f>IFERROR(__xludf.DUMMYFUNCTION("""COMPUTED_VALUE"""),10.0)</f>
        <v>10</v>
      </c>
      <c r="CO198" s="16" t="str">
        <f>IFERROR(__xludf.DUMMYFUNCTION("""COMPUTED_VALUE"""),"C")</f>
        <v>C</v>
      </c>
      <c r="CP198" s="16" t="str">
        <f>IFERROR(__xludf.DUMMYFUNCTION("""COMPUTED_VALUE"""),"0p72")</f>
        <v>0p72</v>
      </c>
      <c r="CQ198" s="16">
        <f>IFERROR(__xludf.DUMMYFUNCTION("""COMPUTED_VALUE"""),-6.0)</f>
        <v>-6</v>
      </c>
      <c r="CR198" s="16">
        <f>IFERROR(__xludf.DUMMYFUNCTION("""COMPUTED_VALUE"""),10.0)</f>
        <v>10</v>
      </c>
      <c r="CS198" s="16">
        <f>IFERROR(__xludf.DUMMYFUNCTION("""COMPUTED_VALUE"""),4.0)</f>
        <v>4</v>
      </c>
      <c r="CT198" s="16">
        <f>IFERROR(__xludf.DUMMYFUNCTION("""COMPUTED_VALUE"""),-6.0)</f>
        <v>-6</v>
      </c>
      <c r="CU198" s="16">
        <f>IFERROR(__xludf.DUMMYFUNCTION("""COMPUTED_VALUE"""),10.0)</f>
        <v>10</v>
      </c>
      <c r="CV198" s="179">
        <f>IFERROR(__xludf.DUMMYFUNCTION("""COMPUTED_VALUE"""),8.333333333333334)</f>
        <v>8.333333333</v>
      </c>
      <c r="CW198" s="179">
        <f>IFERROR(__xludf.DUMMYFUNCTION("""COMPUTED_VALUE"""),5.0)</f>
        <v>5</v>
      </c>
      <c r="CX198" s="179">
        <f>IFERROR(__xludf.DUMMYFUNCTION("""COMPUTED_VALUE"""),4.0)</f>
        <v>4</v>
      </c>
      <c r="CY198" s="16" t="str">
        <f>IFERROR(__xludf.DUMMYFUNCTION("""COMPUTED_VALUE"""),"SP")</f>
        <v>SP</v>
      </c>
      <c r="CZ198" s="16"/>
      <c r="DA198" s="16"/>
      <c r="DB198" s="16"/>
      <c r="DC198" s="16"/>
      <c r="DD198" s="16"/>
      <c r="DE198" s="16"/>
      <c r="DF198" s="16"/>
      <c r="DG198" s="16"/>
      <c r="DH198" s="16"/>
      <c r="DI198" s="16"/>
      <c r="DJ198" s="16"/>
      <c r="DK198" s="16"/>
    </row>
    <row r="199">
      <c r="A199" s="16">
        <f>IFERROR(__xludf.DUMMYFUNCTION("""COMPUTED_VALUE"""),13282.0)</f>
        <v>13282</v>
      </c>
      <c r="B199" s="16" t="str">
        <f>IFERROR(__xludf.DUMMYFUNCTION("""COMPUTED_VALUE"""),"Pedro Avila")</f>
        <v>Pedro Avila</v>
      </c>
      <c r="C199" s="153">
        <f>IFERROR(__xludf.DUMMYFUNCTION("""COMPUTED_VALUE"""),0.21)</f>
        <v>0.21</v>
      </c>
      <c r="D199" s="16"/>
      <c r="E199" s="16" t="str">
        <f>IFERROR(__xludf.DUMMYFUNCTION("""COMPUTED_VALUE"""),"R")</f>
        <v>R</v>
      </c>
      <c r="F199" s="16">
        <f>IFERROR(__xludf.DUMMYFUNCTION("""COMPUTED_VALUE"""),83.0)</f>
        <v>83</v>
      </c>
      <c r="G199" s="16">
        <f>IFERROR(__xludf.DUMMYFUNCTION("""COMPUTED_VALUE"""),27.0)</f>
        <v>27</v>
      </c>
      <c r="H199" s="16">
        <f>IFERROR(__xludf.DUMMYFUNCTION("""COMPUTED_VALUE"""),24.0)</f>
        <v>24</v>
      </c>
      <c r="I199" s="16">
        <f>IFERROR(__xludf.DUMMYFUNCTION("""COMPUTED_VALUE"""),0.0)</f>
        <v>0</v>
      </c>
      <c r="J199" s="16">
        <f>IFERROR(__xludf.DUMMYFUNCTION("""COMPUTED_VALUE"""),0.0)</f>
        <v>0</v>
      </c>
      <c r="K199" s="16">
        <f>IFERROR(__xludf.DUMMYFUNCTION("""COMPUTED_VALUE"""),0.0)</f>
        <v>0</v>
      </c>
      <c r="L199" s="16">
        <f>IFERROR(__xludf.DUMMYFUNCTION("""COMPUTED_VALUE"""),0.0)</f>
        <v>0</v>
      </c>
      <c r="M199" s="16">
        <f>IFERROR(__xludf.DUMMYFUNCTION("""COMPUTED_VALUE"""),18.0)</f>
        <v>18</v>
      </c>
      <c r="N199" s="16">
        <f>IFERROR(__xludf.DUMMYFUNCTION("""COMPUTED_VALUE"""),11.0)</f>
        <v>11</v>
      </c>
      <c r="O199" s="16">
        <f>IFERROR(__xludf.DUMMYFUNCTION("""COMPUTED_VALUE"""),-3.0)</f>
        <v>-3</v>
      </c>
      <c r="P199" s="16">
        <f>IFERROR(__xludf.DUMMYFUNCTION("""COMPUTED_VALUE"""),-1.0)</f>
        <v>-1</v>
      </c>
      <c r="Q199" s="16">
        <f>IFERROR(__xludf.DUMMYFUNCTION("""COMPUTED_VALUE"""),-3.0)</f>
        <v>-3</v>
      </c>
      <c r="R199" s="16">
        <f>IFERROR(__xludf.DUMMYFUNCTION("""COMPUTED_VALUE"""),-1.0)</f>
        <v>-1</v>
      </c>
      <c r="S199" s="16">
        <f>IFERROR(__xludf.DUMMYFUNCTION("""COMPUTED_VALUE"""),4.8)</f>
        <v>4.8</v>
      </c>
      <c r="T199" s="16">
        <f>IFERROR(__xludf.DUMMYFUNCTION("""COMPUTED_VALUE"""),21.5)</f>
        <v>21.5</v>
      </c>
      <c r="U199" s="16">
        <f>IFERROR(__xludf.DUMMYFUNCTION("""COMPUTED_VALUE"""),2.0)</f>
        <v>2</v>
      </c>
      <c r="V199" s="16">
        <f>IFERROR(__xludf.DUMMYFUNCTION("""COMPUTED_VALUE"""),-1.0)</f>
        <v>-1</v>
      </c>
      <c r="W199" s="16">
        <f>IFERROR(__xludf.DUMMYFUNCTION("""COMPUTED_VALUE"""),4.0)</f>
        <v>4</v>
      </c>
      <c r="X199" s="16">
        <f>IFERROR(__xludf.DUMMYFUNCTION("""COMPUTED_VALUE"""),-2.0)</f>
        <v>-2</v>
      </c>
      <c r="Y199" s="16">
        <f>IFERROR(__xludf.DUMMYFUNCTION("""COMPUTED_VALUE"""),22.9)</f>
        <v>22.9</v>
      </c>
      <c r="Z199" s="16">
        <f>IFERROR(__xludf.DUMMYFUNCTION("""COMPUTED_VALUE"""),32.5)</f>
        <v>32.5</v>
      </c>
      <c r="AA199" s="16">
        <f>IFERROR(__xludf.DUMMYFUNCTION("""COMPUTED_VALUE"""),0.0)</f>
        <v>0</v>
      </c>
      <c r="AB199" s="16">
        <f>IFERROR(__xludf.DUMMYFUNCTION("""COMPUTED_VALUE"""),-1.0)</f>
        <v>-1</v>
      </c>
      <c r="AC199" s="16">
        <f>IFERROR(__xludf.DUMMYFUNCTION("""COMPUTED_VALUE"""),0.0)</f>
        <v>0</v>
      </c>
      <c r="AD199" s="16">
        <f>IFERROR(__xludf.DUMMYFUNCTION("""COMPUTED_VALUE"""),-5.0)</f>
        <v>-5</v>
      </c>
      <c r="AE199" s="16">
        <f>IFERROR(__xludf.DUMMYFUNCTION("""COMPUTED_VALUE"""),5.0)</f>
        <v>5</v>
      </c>
      <c r="AF199" s="16">
        <f>IFERROR(__xludf.DUMMYFUNCTION("""COMPUTED_VALUE"""),36.9)</f>
        <v>36.9</v>
      </c>
      <c r="AG199" s="16">
        <f>IFERROR(__xludf.DUMMYFUNCTION("""COMPUTED_VALUE"""),2.0)</f>
        <v>2</v>
      </c>
      <c r="AH199" s="16">
        <f>IFERROR(__xludf.DUMMYFUNCTION("""COMPUTED_VALUE"""),-1.0)</f>
        <v>-1</v>
      </c>
      <c r="AI199" s="16">
        <f>IFERROR(__xludf.DUMMYFUNCTION("""COMPUTED_VALUE"""),4.0)</f>
        <v>4</v>
      </c>
      <c r="AJ199" s="16">
        <f>IFERROR(__xludf.DUMMYFUNCTION("""COMPUTED_VALUE"""),-2.0)</f>
        <v>-2</v>
      </c>
      <c r="AK199" s="16">
        <f>IFERROR(__xludf.DUMMYFUNCTION("""COMPUTED_VALUE"""),4.8)</f>
        <v>4.8</v>
      </c>
      <c r="AL199" s="16">
        <f>IFERROR(__xludf.DUMMYFUNCTION("""COMPUTED_VALUE"""),19.1)</f>
        <v>19.1</v>
      </c>
      <c r="AM199" s="16">
        <f>IFERROR(__xludf.DUMMYFUNCTION("""COMPUTED_VALUE"""),2.0)</f>
        <v>2</v>
      </c>
      <c r="AN199" s="16">
        <f>IFERROR(__xludf.DUMMYFUNCTION("""COMPUTED_VALUE"""),-1.0)</f>
        <v>-1</v>
      </c>
      <c r="AO199" s="16">
        <f>IFERROR(__xludf.DUMMYFUNCTION("""COMPUTED_VALUE"""),2.0)</f>
        <v>2</v>
      </c>
      <c r="AP199" s="16">
        <f>IFERROR(__xludf.DUMMYFUNCTION("""COMPUTED_VALUE"""),-1.0)</f>
        <v>-1</v>
      </c>
      <c r="AQ199" s="16">
        <f>IFERROR(__xludf.DUMMYFUNCTION("""COMPUTED_VALUE"""),5.0)</f>
        <v>5</v>
      </c>
      <c r="AR199" s="16">
        <f>IFERROR(__xludf.DUMMYFUNCTION("""COMPUTED_VALUE"""),27.299999999999997)</f>
        <v>27.3</v>
      </c>
      <c r="AS199" s="16">
        <f>IFERROR(__xludf.DUMMYFUNCTION("""COMPUTED_VALUE"""),2.0)</f>
        <v>2</v>
      </c>
      <c r="AT199" s="16">
        <f>IFERROR(__xludf.DUMMYFUNCTION("""COMPUTED_VALUE"""),-1.0)</f>
        <v>-1</v>
      </c>
      <c r="AU199" s="16">
        <f>IFERROR(__xludf.DUMMYFUNCTION("""COMPUTED_VALUE"""),4.0)</f>
        <v>4</v>
      </c>
      <c r="AV199" s="16">
        <f>IFERROR(__xludf.DUMMYFUNCTION("""COMPUTED_VALUE"""),-2.0)</f>
        <v>-2</v>
      </c>
      <c r="AW199" s="16">
        <f>IFERROR(__xludf.DUMMYFUNCTION("""COMPUTED_VALUE"""),0.0)</f>
        <v>0</v>
      </c>
      <c r="AX199" s="16">
        <f>IFERROR(__xludf.DUMMYFUNCTION("""COMPUTED_VALUE"""),2.4)</f>
        <v>2.4</v>
      </c>
      <c r="AY199" s="16">
        <f>IFERROR(__xludf.DUMMYFUNCTION("""COMPUTED_VALUE"""),2.0)</f>
        <v>2</v>
      </c>
      <c r="AZ199" s="16">
        <f>IFERROR(__xludf.DUMMYFUNCTION("""COMPUTED_VALUE"""),0.0)</f>
        <v>0</v>
      </c>
      <c r="BA199" s="16">
        <f>IFERROR(__xludf.DUMMYFUNCTION("""COMPUTED_VALUE"""),10.0)</f>
        <v>10</v>
      </c>
      <c r="BB199" s="16">
        <f>IFERROR(__xludf.DUMMYFUNCTION("""COMPUTED_VALUE"""),0.0)</f>
        <v>0</v>
      </c>
      <c r="BC199" s="16">
        <f>IFERROR(__xludf.DUMMYFUNCTION("""COMPUTED_VALUE"""),0.0)</f>
        <v>0</v>
      </c>
      <c r="BD199" s="16">
        <f>IFERROR(__xludf.DUMMYFUNCTION("""COMPUTED_VALUE"""),4.0)</f>
        <v>4</v>
      </c>
      <c r="BE199" s="16">
        <f>IFERROR(__xludf.DUMMYFUNCTION("""COMPUTED_VALUE"""),0.0)</f>
        <v>0</v>
      </c>
      <c r="BF199" s="16">
        <f>IFERROR(__xludf.DUMMYFUNCTION("""COMPUTED_VALUE"""),4.0)</f>
        <v>4</v>
      </c>
      <c r="BG199" s="16">
        <f>IFERROR(__xludf.DUMMYFUNCTION("""COMPUTED_VALUE"""),3.0)</f>
        <v>3</v>
      </c>
      <c r="BH199" s="16">
        <f>IFERROR(__xludf.DUMMYFUNCTION("""COMPUTED_VALUE"""),-1.0)</f>
        <v>-1</v>
      </c>
      <c r="BI199" s="16">
        <f>IFERROR(__xludf.DUMMYFUNCTION("""COMPUTED_VALUE"""),6.0)</f>
        <v>6</v>
      </c>
      <c r="BJ199" s="16">
        <f>IFERROR(__xludf.DUMMYFUNCTION("""COMPUTED_VALUE"""),-2.0)</f>
        <v>-2</v>
      </c>
      <c r="BK199" s="16">
        <f>IFERROR(__xludf.DUMMYFUNCTION("""COMPUTED_VALUE"""),5.0)</f>
        <v>5</v>
      </c>
      <c r="BL199" s="16">
        <f>IFERROR(__xludf.DUMMYFUNCTION("""COMPUTED_VALUE"""),5.0)</f>
        <v>5</v>
      </c>
      <c r="BM199" s="16">
        <f>IFERROR(__xludf.DUMMYFUNCTION("""COMPUTED_VALUE"""),0.0)</f>
        <v>0</v>
      </c>
      <c r="BN199" s="16">
        <f>IFERROR(__xludf.DUMMYFUNCTION("""COMPUTED_VALUE"""),0.0)</f>
        <v>0</v>
      </c>
      <c r="BO199" s="16">
        <f>IFERROR(__xludf.DUMMYFUNCTION("""COMPUTED_VALUE"""),0.0)</f>
        <v>0</v>
      </c>
      <c r="BP199" s="16">
        <f>IFERROR(__xludf.DUMMYFUNCTION("""COMPUTED_VALUE"""),0.0)</f>
        <v>0</v>
      </c>
      <c r="BQ199" s="16">
        <f>IFERROR(__xludf.DUMMYFUNCTION("""COMPUTED_VALUE"""),8.0)</f>
        <v>8</v>
      </c>
      <c r="BR199" s="16">
        <f>IFERROR(__xludf.DUMMYFUNCTION("""COMPUTED_VALUE"""),10.0)</f>
        <v>10</v>
      </c>
      <c r="BS199" s="16">
        <f>IFERROR(__xludf.DUMMYFUNCTION("""COMPUTED_VALUE"""),2.0)</f>
        <v>2</v>
      </c>
      <c r="BT199" s="16">
        <f>IFERROR(__xludf.DUMMYFUNCTION("""COMPUTED_VALUE"""),3.0)</f>
        <v>3</v>
      </c>
      <c r="BU199" s="16">
        <f>IFERROR(__xludf.DUMMYFUNCTION("""COMPUTED_VALUE"""),4.0)</f>
        <v>4</v>
      </c>
      <c r="BV199" s="16">
        <f>IFERROR(__xludf.DUMMYFUNCTION("""COMPUTED_VALUE"""),6.0)</f>
        <v>6</v>
      </c>
      <c r="BW199" s="16">
        <f>IFERROR(__xludf.DUMMYFUNCTION("""COMPUTED_VALUE"""),-5.0)</f>
        <v>-5</v>
      </c>
      <c r="BX199" s="16">
        <f>IFERROR(__xludf.DUMMYFUNCTION("""COMPUTED_VALUE"""),-5.0)</f>
        <v>-5</v>
      </c>
      <c r="BY199" s="16" t="str">
        <f>IFERROR(__xludf.DUMMYFUNCTION("""COMPUTED_VALUE"""),"R(2) C(0)")</f>
        <v>R(2) C(0)</v>
      </c>
      <c r="BZ199" s="16" t="str">
        <f>IFERROR(__xludf.DUMMYFUNCTION("""COMPUTED_VALUE"""),"R(2) C(0)")</f>
        <v>R(2) C(0)</v>
      </c>
      <c r="CA199" s="16" t="str">
        <f>IFERROR(__xludf.DUMMYFUNCTION("""COMPUTED_VALUE"""),"R(2)")</f>
        <v>R(2)</v>
      </c>
      <c r="CB199" s="16" t="str">
        <f>IFERROR(__xludf.DUMMYFUNCTION("""COMPUTED_VALUE"""),"C(0)")</f>
        <v>C(0)</v>
      </c>
      <c r="CC199" s="16"/>
      <c r="CD199" s="16"/>
      <c r="CE199" s="16">
        <f>IFERROR(__xludf.DUMMYFUNCTION("""COMPUTED_VALUE"""),2.0)</f>
        <v>2</v>
      </c>
      <c r="CF199" s="16">
        <f>IFERROR(__xludf.DUMMYFUNCTION("""COMPUTED_VALUE"""),0.0)</f>
        <v>0</v>
      </c>
      <c r="CG199" s="16" t="str">
        <f>IFERROR(__xludf.DUMMYFUNCTION("""COMPUTED_VALUE"""),"2-0")</f>
        <v>2-0</v>
      </c>
      <c r="CH199" s="16">
        <f>IFERROR(__xludf.DUMMYFUNCTION("""COMPUTED_VALUE"""),2.0)</f>
        <v>2</v>
      </c>
      <c r="CI199" s="16">
        <f>IFERROR(__xludf.DUMMYFUNCTION("""COMPUTED_VALUE"""),0.0)</f>
        <v>0</v>
      </c>
      <c r="CJ199" s="16">
        <f>IFERROR(__xludf.DUMMYFUNCTION("""COMPUTED_VALUE"""),0.0)</f>
        <v>0</v>
      </c>
      <c r="CK199" s="16">
        <f>IFERROR(__xludf.DUMMYFUNCTION("""COMPUTED_VALUE"""),19.0)</f>
        <v>19</v>
      </c>
      <c r="CL199" s="16" t="str">
        <f>IFERROR(__xludf.DUMMYFUNCTION("""COMPUTED_VALUE"""),"1WR-C")</f>
        <v>1WR-C</v>
      </c>
      <c r="CM199" s="16" t="str">
        <f>IFERROR(__xludf.DUMMYFUNCTION("""COMPUTED_VALUE"""),"E")</f>
        <v>E</v>
      </c>
      <c r="CN199" s="16">
        <f>IFERROR(__xludf.DUMMYFUNCTION("""COMPUTED_VALUE"""),10.0)</f>
        <v>10</v>
      </c>
      <c r="CO199" s="16" t="str">
        <f>IFERROR(__xludf.DUMMYFUNCTION("""COMPUTED_VALUE"""),"C")</f>
        <v>C</v>
      </c>
      <c r="CP199" s="16" t="str">
        <f>IFERROR(__xludf.DUMMYFUNCTION("""COMPUTED_VALUE"""),"1p50")</f>
        <v>1p50</v>
      </c>
      <c r="CQ199" s="16">
        <f>IFERROR(__xludf.DUMMYFUNCTION("""COMPUTED_VALUE"""),31.0)</f>
        <v>31</v>
      </c>
      <c r="CR199" s="16">
        <f>IFERROR(__xludf.DUMMYFUNCTION("""COMPUTED_VALUE"""),-9.0)</f>
        <v>-9</v>
      </c>
      <c r="CS199" s="16">
        <f>IFERROR(__xludf.DUMMYFUNCTION("""COMPUTED_VALUE"""),22.0)</f>
        <v>22</v>
      </c>
      <c r="CT199" s="16">
        <f>IFERROR(__xludf.DUMMYFUNCTION("""COMPUTED_VALUE"""),31.0)</f>
        <v>31</v>
      </c>
      <c r="CU199" s="16">
        <f>IFERROR(__xludf.DUMMYFUNCTION("""COMPUTED_VALUE"""),-9.0)</f>
        <v>-9</v>
      </c>
      <c r="CV199" s="179">
        <f>IFERROR(__xludf.DUMMYFUNCTION("""COMPUTED_VALUE"""),8.333333333333332)</f>
        <v>8.333333333</v>
      </c>
      <c r="CW199" s="179">
        <f>IFERROR(__xludf.DUMMYFUNCTION("""COMPUTED_VALUE"""),4.0)</f>
        <v>4</v>
      </c>
      <c r="CX199" s="179">
        <f>IFERROR(__xludf.DUMMYFUNCTION("""COMPUTED_VALUE"""),0.0)</f>
        <v>0</v>
      </c>
      <c r="CY199" s="16" t="str">
        <f>IFERROR(__xludf.DUMMYFUNCTION("""COMPUTED_VALUE"""),"RP")</f>
        <v>RP</v>
      </c>
      <c r="CZ199" s="16" t="str">
        <f>IFERROR(__xludf.DUMMYFUNCTION("""COMPUTED_VALUE"""),"CP")</f>
        <v>CP</v>
      </c>
      <c r="DA199" s="16"/>
      <c r="DB199" s="16"/>
      <c r="DC199" s="16"/>
      <c r="DD199" s="16"/>
      <c r="DE199" s="16"/>
      <c r="DF199" s="16"/>
      <c r="DG199" s="16"/>
      <c r="DH199" s="16"/>
      <c r="DI199" s="16"/>
      <c r="DJ199" s="16"/>
      <c r="DK199" s="16"/>
    </row>
    <row r="200">
      <c r="A200" s="16">
        <f>IFERROR(__xludf.DUMMYFUNCTION("""COMPUTED_VALUE"""),13330.0)</f>
        <v>13330</v>
      </c>
      <c r="B200" s="16" t="str">
        <f>IFERROR(__xludf.DUMMYFUNCTION("""COMPUTED_VALUE"""),"Ryan Feltner")</f>
        <v>Ryan Feltner</v>
      </c>
      <c r="C200" s="153">
        <f>IFERROR(__xludf.DUMMYFUNCTION("""COMPUTED_VALUE"""),0.51)</f>
        <v>0.51</v>
      </c>
      <c r="D200" s="16"/>
      <c r="E200" s="16" t="str">
        <f>IFERROR(__xludf.DUMMYFUNCTION("""COMPUTED_VALUE"""),"R")</f>
        <v>R</v>
      </c>
      <c r="F200" s="16">
        <f>IFERROR(__xludf.DUMMYFUNCTION("""COMPUTED_VALUE"""),162.0)</f>
        <v>162</v>
      </c>
      <c r="G200" s="16">
        <f>IFERROR(__xludf.DUMMYFUNCTION("""COMPUTED_VALUE"""),17.0)</f>
        <v>17</v>
      </c>
      <c r="H200" s="16">
        <f>IFERROR(__xludf.DUMMYFUNCTION("""COMPUTED_VALUE"""),22.0)</f>
        <v>22</v>
      </c>
      <c r="I200" s="16">
        <f>IFERROR(__xludf.DUMMYFUNCTION("""COMPUTED_VALUE"""),-1.0)</f>
        <v>-1</v>
      </c>
      <c r="J200" s="16">
        <f>IFERROR(__xludf.DUMMYFUNCTION("""COMPUTED_VALUE"""),-1.0)</f>
        <v>-1</v>
      </c>
      <c r="K200" s="16">
        <f>IFERROR(__xludf.DUMMYFUNCTION("""COMPUTED_VALUE"""),-3.0)</f>
        <v>-3</v>
      </c>
      <c r="L200" s="16">
        <f>IFERROR(__xludf.DUMMYFUNCTION("""COMPUTED_VALUE"""),-3.0)</f>
        <v>-3</v>
      </c>
      <c r="M200" s="16">
        <f>IFERROR(__xludf.DUMMYFUNCTION("""COMPUTED_VALUE"""),6.0)</f>
        <v>6</v>
      </c>
      <c r="N200" s="16">
        <f>IFERROR(__xludf.DUMMYFUNCTION("""COMPUTED_VALUE"""),8.0)</f>
        <v>8</v>
      </c>
      <c r="O200" s="16">
        <f>IFERROR(__xludf.DUMMYFUNCTION("""COMPUTED_VALUE"""),1.0)</f>
        <v>1</v>
      </c>
      <c r="P200" s="16">
        <f>IFERROR(__xludf.DUMMYFUNCTION("""COMPUTED_VALUE"""),0.0)</f>
        <v>0</v>
      </c>
      <c r="Q200" s="16">
        <f>IFERROR(__xludf.DUMMYFUNCTION("""COMPUTED_VALUE"""),1.0)</f>
        <v>1</v>
      </c>
      <c r="R200" s="16">
        <f>IFERROR(__xludf.DUMMYFUNCTION("""COMPUTED_VALUE"""),0.0)</f>
        <v>0</v>
      </c>
      <c r="S200" s="16">
        <f>IFERROR(__xludf.DUMMYFUNCTION("""COMPUTED_VALUE"""),20.7)</f>
        <v>20.7</v>
      </c>
      <c r="T200" s="16">
        <f>IFERROR(__xludf.DUMMYFUNCTION("""COMPUTED_VALUE"""),18.5)</f>
        <v>18.5</v>
      </c>
      <c r="U200" s="16">
        <f>IFERROR(__xludf.DUMMYFUNCTION("""COMPUTED_VALUE"""),-1.0)</f>
        <v>-1</v>
      </c>
      <c r="V200" s="16">
        <f>IFERROR(__xludf.DUMMYFUNCTION("""COMPUTED_VALUE"""),0.0)</f>
        <v>0</v>
      </c>
      <c r="W200" s="16">
        <f>IFERROR(__xludf.DUMMYFUNCTION("""COMPUTED_VALUE"""),-2.0)</f>
        <v>-2</v>
      </c>
      <c r="X200" s="16">
        <f>IFERROR(__xludf.DUMMYFUNCTION("""COMPUTED_VALUE"""),0.0)</f>
        <v>0</v>
      </c>
      <c r="Y200" s="16">
        <f>IFERROR(__xludf.DUMMYFUNCTION("""COMPUTED_VALUE"""),26.7)</f>
        <v>26.7</v>
      </c>
      <c r="Z200" s="16">
        <f>IFERROR(__xludf.DUMMYFUNCTION("""COMPUTED_VALUE"""),26.5)</f>
        <v>26.5</v>
      </c>
      <c r="AA200" s="16">
        <f>IFERROR(__xludf.DUMMYFUNCTION("""COMPUTED_VALUE"""),0.0)</f>
        <v>0</v>
      </c>
      <c r="AB200" s="16">
        <f>IFERROR(__xludf.DUMMYFUNCTION("""COMPUTED_VALUE"""),0.0)</f>
        <v>0</v>
      </c>
      <c r="AC200" s="16">
        <f>IFERROR(__xludf.DUMMYFUNCTION("""COMPUTED_VALUE"""),0.0)</f>
        <v>0</v>
      </c>
      <c r="AD200" s="16">
        <f>IFERROR(__xludf.DUMMYFUNCTION("""COMPUTED_VALUE"""),0.0)</f>
        <v>0</v>
      </c>
      <c r="AE200" s="16">
        <f>IFERROR(__xludf.DUMMYFUNCTION("""COMPUTED_VALUE"""),33.5)</f>
        <v>33.5</v>
      </c>
      <c r="AF200" s="16">
        <f>IFERROR(__xludf.DUMMYFUNCTION("""COMPUTED_VALUE"""),26.6)</f>
        <v>26.6</v>
      </c>
      <c r="AG200" s="16">
        <f>IFERROR(__xludf.DUMMYFUNCTION("""COMPUTED_VALUE"""),-1.0)</f>
        <v>-1</v>
      </c>
      <c r="AH200" s="16">
        <f>IFERROR(__xludf.DUMMYFUNCTION("""COMPUTED_VALUE"""),0.0)</f>
        <v>0</v>
      </c>
      <c r="AI200" s="16">
        <f>IFERROR(__xludf.DUMMYFUNCTION("""COMPUTED_VALUE"""),-2.0)</f>
        <v>-2</v>
      </c>
      <c r="AJ200" s="16">
        <f>IFERROR(__xludf.DUMMYFUNCTION("""COMPUTED_VALUE"""),0.0)</f>
        <v>0</v>
      </c>
      <c r="AK200" s="16">
        <f>IFERROR(__xludf.DUMMYFUNCTION("""COMPUTED_VALUE"""),18.9)</f>
        <v>18.9</v>
      </c>
      <c r="AL200" s="16">
        <f>IFERROR(__xludf.DUMMYFUNCTION("""COMPUTED_VALUE"""),16.3)</f>
        <v>16.3</v>
      </c>
      <c r="AM200" s="16">
        <f>IFERROR(__xludf.DUMMYFUNCTION("""COMPUTED_VALUE"""),-1.0)</f>
        <v>-1</v>
      </c>
      <c r="AN200" s="16">
        <f>IFERROR(__xludf.DUMMYFUNCTION("""COMPUTED_VALUE"""),0.0)</f>
        <v>0</v>
      </c>
      <c r="AO200" s="16">
        <f>IFERROR(__xludf.DUMMYFUNCTION("""COMPUTED_VALUE"""),-1.0)</f>
        <v>-1</v>
      </c>
      <c r="AP200" s="16">
        <f>IFERROR(__xludf.DUMMYFUNCTION("""COMPUTED_VALUE"""),0.0)</f>
        <v>0</v>
      </c>
      <c r="AQ200" s="16">
        <f>IFERROR(__xludf.DUMMYFUNCTION("""COMPUTED_VALUE"""),26.3)</f>
        <v>26.3</v>
      </c>
      <c r="AR200" s="16">
        <f>IFERROR(__xludf.DUMMYFUNCTION("""COMPUTED_VALUE"""),17.8)</f>
        <v>17.8</v>
      </c>
      <c r="AS200" s="16">
        <f>IFERROR(__xludf.DUMMYFUNCTION("""COMPUTED_VALUE"""),-1.0)</f>
        <v>-1</v>
      </c>
      <c r="AT200" s="16">
        <f>IFERROR(__xludf.DUMMYFUNCTION("""COMPUTED_VALUE"""),0.0)</f>
        <v>0</v>
      </c>
      <c r="AU200" s="16">
        <f>IFERROR(__xludf.DUMMYFUNCTION("""COMPUTED_VALUE"""),-2.0)</f>
        <v>-2</v>
      </c>
      <c r="AV200" s="16">
        <f>IFERROR(__xludf.DUMMYFUNCTION("""COMPUTED_VALUE"""),0.0)</f>
        <v>0</v>
      </c>
      <c r="AW200" s="16">
        <f>IFERROR(__xludf.DUMMYFUNCTION("""COMPUTED_VALUE"""),1.8)</f>
        <v>1.8</v>
      </c>
      <c r="AX200" s="16">
        <f>IFERROR(__xludf.DUMMYFUNCTION("""COMPUTED_VALUE"""),2.2)</f>
        <v>2.2</v>
      </c>
      <c r="AY200" s="16">
        <f>IFERROR(__xludf.DUMMYFUNCTION("""COMPUTED_VALUE"""),0.0)</f>
        <v>0</v>
      </c>
      <c r="AZ200" s="16">
        <f>IFERROR(__xludf.DUMMYFUNCTION("""COMPUTED_VALUE"""),0.0)</f>
        <v>0</v>
      </c>
      <c r="BA200" s="16">
        <f>IFERROR(__xludf.DUMMYFUNCTION("""COMPUTED_VALUE"""),0.0)</f>
        <v>0</v>
      </c>
      <c r="BB200" s="16">
        <f>IFERROR(__xludf.DUMMYFUNCTION("""COMPUTED_VALUE"""),0.0)</f>
        <v>0</v>
      </c>
      <c r="BC200" s="16">
        <f>IFERROR(__xludf.DUMMYFUNCTION("""COMPUTED_VALUE"""),2.0)</f>
        <v>2</v>
      </c>
      <c r="BD200" s="16">
        <f>IFERROR(__xludf.DUMMYFUNCTION("""COMPUTED_VALUE"""),2.0)</f>
        <v>2</v>
      </c>
      <c r="BE200" s="16">
        <f>IFERROR(__xludf.DUMMYFUNCTION("""COMPUTED_VALUE"""),2.0)</f>
        <v>2</v>
      </c>
      <c r="BF200" s="16">
        <f>IFERROR(__xludf.DUMMYFUNCTION("""COMPUTED_VALUE"""),2.0)</f>
        <v>2</v>
      </c>
      <c r="BG200" s="16">
        <f>IFERROR(__xludf.DUMMYFUNCTION("""COMPUTED_VALUE"""),1.0)</f>
        <v>1</v>
      </c>
      <c r="BH200" s="16">
        <f>IFERROR(__xludf.DUMMYFUNCTION("""COMPUTED_VALUE"""),1.0)</f>
        <v>1</v>
      </c>
      <c r="BI200" s="16">
        <f>IFERROR(__xludf.DUMMYFUNCTION("""COMPUTED_VALUE"""),2.0)</f>
        <v>2</v>
      </c>
      <c r="BJ200" s="16">
        <f>IFERROR(__xludf.DUMMYFUNCTION("""COMPUTED_VALUE"""),2.0)</f>
        <v>2</v>
      </c>
      <c r="BK200" s="16">
        <f>IFERROR(__xludf.DUMMYFUNCTION("""COMPUTED_VALUE"""),5.0)</f>
        <v>5</v>
      </c>
      <c r="BL200" s="16">
        <f>IFERROR(__xludf.DUMMYFUNCTION("""COMPUTED_VALUE"""),5.0)</f>
        <v>5</v>
      </c>
      <c r="BM200" s="16">
        <f>IFERROR(__xludf.DUMMYFUNCTION("""COMPUTED_VALUE"""),0.0)</f>
        <v>0</v>
      </c>
      <c r="BN200" s="16">
        <f>IFERROR(__xludf.DUMMYFUNCTION("""COMPUTED_VALUE"""),0.0)</f>
        <v>0</v>
      </c>
      <c r="BO200" s="16">
        <f>IFERROR(__xludf.DUMMYFUNCTION("""COMPUTED_VALUE"""),0.0)</f>
        <v>0</v>
      </c>
      <c r="BP200" s="16">
        <f>IFERROR(__xludf.DUMMYFUNCTION("""COMPUTED_VALUE"""),0.0)</f>
        <v>0</v>
      </c>
      <c r="BQ200" s="16">
        <f>IFERROR(__xludf.DUMMYFUNCTION("""COMPUTED_VALUE"""),12.0)</f>
        <v>12</v>
      </c>
      <c r="BR200" s="16">
        <f>IFERROR(__xludf.DUMMYFUNCTION("""COMPUTED_VALUE"""),11.0)</f>
        <v>11</v>
      </c>
      <c r="BS200" s="16">
        <f>IFERROR(__xludf.DUMMYFUNCTION("""COMPUTED_VALUE"""),3.0)</f>
        <v>3</v>
      </c>
      <c r="BT200" s="16">
        <f>IFERROR(__xludf.DUMMYFUNCTION("""COMPUTED_VALUE"""),3.0)</f>
        <v>3</v>
      </c>
      <c r="BU200" s="16">
        <f>IFERROR(__xludf.DUMMYFUNCTION("""COMPUTED_VALUE"""),6.0)</f>
        <v>6</v>
      </c>
      <c r="BV200" s="16">
        <f>IFERROR(__xludf.DUMMYFUNCTION("""COMPUTED_VALUE"""),6.0)</f>
        <v>6</v>
      </c>
      <c r="BW200" s="16">
        <f>IFERROR(__xludf.DUMMYFUNCTION("""COMPUTED_VALUE"""),6.0)</f>
        <v>6</v>
      </c>
      <c r="BX200" s="16">
        <f>IFERROR(__xludf.DUMMYFUNCTION("""COMPUTED_VALUE"""),6.0)</f>
        <v>6</v>
      </c>
      <c r="BY200" s="16" t="str">
        <f>IFERROR(__xludf.DUMMYFUNCTION("""COMPUTED_VALUE"""),"S(5)")</f>
        <v>S(5)</v>
      </c>
      <c r="BZ200" s="16" t="str">
        <f>IFERROR(__xludf.DUMMYFUNCTION("""COMPUTED_VALUE"""),"S(5)")</f>
        <v>S(5)</v>
      </c>
      <c r="CA200" s="16" t="str">
        <f>IFERROR(__xludf.DUMMYFUNCTION("""COMPUTED_VALUE"""),"S(5)")</f>
        <v>S(5)</v>
      </c>
      <c r="CB200" s="16"/>
      <c r="CC200" s="16"/>
      <c r="CD200" s="16">
        <f>IFERROR(__xludf.DUMMYFUNCTION("""COMPUTED_VALUE"""),5.0)</f>
        <v>5</v>
      </c>
      <c r="CE200" s="16"/>
      <c r="CF200" s="16"/>
      <c r="CG200" s="16" t="str">
        <f>IFERROR(__xludf.DUMMYFUNCTION("""COMPUTED_VALUE"""),"4-0")</f>
        <v>4-0</v>
      </c>
      <c r="CH200" s="16">
        <f>IFERROR(__xludf.DUMMYFUNCTION("""COMPUTED_VALUE"""),4.0)</f>
        <v>4</v>
      </c>
      <c r="CI200" s="16">
        <f>IFERROR(__xludf.DUMMYFUNCTION("""COMPUTED_VALUE"""),0.0)</f>
        <v>0</v>
      </c>
      <c r="CJ200" s="16">
        <f>IFERROR(__xludf.DUMMYFUNCTION("""COMPUTED_VALUE"""),0.0)</f>
        <v>0</v>
      </c>
      <c r="CK200" s="16">
        <f>IFERROR(__xludf.DUMMYFUNCTION("""COMPUTED_VALUE"""),5.0)</f>
        <v>5</v>
      </c>
      <c r="CL200" s="16" t="str">
        <f>IFERROR(__xludf.DUMMYFUNCTION("""COMPUTED_VALUE"""),"1WR-C")</f>
        <v>1WR-C</v>
      </c>
      <c r="CM200" s="16" t="str">
        <f>IFERROR(__xludf.DUMMYFUNCTION("""COMPUTED_VALUE"""),"E")</f>
        <v>E</v>
      </c>
      <c r="CN200" s="16">
        <f>IFERROR(__xludf.DUMMYFUNCTION("""COMPUTED_VALUE"""),10.0)</f>
        <v>10</v>
      </c>
      <c r="CO200" s="16" t="str">
        <f>IFERROR(__xludf.DUMMYFUNCTION("""COMPUTED_VALUE"""),"C")</f>
        <v>C</v>
      </c>
      <c r="CP200" s="16" t="str">
        <f>IFERROR(__xludf.DUMMYFUNCTION("""COMPUTED_VALUE"""),"1p70")</f>
        <v>1p70</v>
      </c>
      <c r="CQ200" s="16">
        <f>IFERROR(__xludf.DUMMYFUNCTION("""COMPUTED_VALUE"""),-1.0)</f>
        <v>-1</v>
      </c>
      <c r="CR200" s="16">
        <f>IFERROR(__xludf.DUMMYFUNCTION("""COMPUTED_VALUE"""),5.0)</f>
        <v>5</v>
      </c>
      <c r="CS200" s="16">
        <f>IFERROR(__xludf.DUMMYFUNCTION("""COMPUTED_VALUE"""),4.0)</f>
        <v>4</v>
      </c>
      <c r="CT200" s="16">
        <f>IFERROR(__xludf.DUMMYFUNCTION("""COMPUTED_VALUE"""),-1.0)</f>
        <v>-1</v>
      </c>
      <c r="CU200" s="16">
        <f>IFERROR(__xludf.DUMMYFUNCTION("""COMPUTED_VALUE"""),5.0)</f>
        <v>5</v>
      </c>
      <c r="CV200" s="179">
        <f>IFERROR(__xludf.DUMMYFUNCTION("""COMPUTED_VALUE"""),8.0)</f>
        <v>8</v>
      </c>
      <c r="CW200" s="179">
        <f>IFERROR(__xludf.DUMMYFUNCTION("""COMPUTED_VALUE"""),4.0)</f>
        <v>4</v>
      </c>
      <c r="CX200" s="179">
        <f>IFERROR(__xludf.DUMMYFUNCTION("""COMPUTED_VALUE"""),3.0)</f>
        <v>3</v>
      </c>
      <c r="CY200" s="16" t="str">
        <f>IFERROR(__xludf.DUMMYFUNCTION("""COMPUTED_VALUE"""),"SP")</f>
        <v>SP</v>
      </c>
      <c r="CZ200" s="16"/>
      <c r="DA200" s="16"/>
      <c r="DB200" s="16"/>
      <c r="DC200" s="16"/>
      <c r="DD200" s="16"/>
      <c r="DE200" s="16"/>
      <c r="DF200" s="16"/>
      <c r="DG200" s="16"/>
      <c r="DH200" s="16"/>
      <c r="DI200" s="16"/>
      <c r="DJ200" s="16"/>
      <c r="DK200" s="16"/>
    </row>
    <row r="201">
      <c r="A201" s="16">
        <f>IFERROR(__xludf.DUMMYFUNCTION("""COMPUTED_VALUE"""),13097.0)</f>
        <v>13097</v>
      </c>
      <c r="B201" s="16" t="str">
        <f>IFERROR(__xludf.DUMMYFUNCTION("""COMPUTED_VALUE"""),"Kyle Leahy")</f>
        <v>Kyle Leahy</v>
      </c>
      <c r="C201" s="153">
        <f>IFERROR(__xludf.DUMMYFUNCTION("""COMPUTED_VALUE"""),0.3)</f>
        <v>0.3</v>
      </c>
      <c r="D201" s="16"/>
      <c r="E201" s="16" t="str">
        <f>IFERROR(__xludf.DUMMYFUNCTION("""COMPUTED_VALUE"""),"R")</f>
        <v>R</v>
      </c>
      <c r="F201" s="16">
        <f>IFERROR(__xludf.DUMMYFUNCTION("""COMPUTED_VALUE"""),49.0)</f>
        <v>49</v>
      </c>
      <c r="G201" s="16">
        <f>IFERROR(__xludf.DUMMYFUNCTION("""COMPUTED_VALUE"""),21.0)</f>
        <v>21</v>
      </c>
      <c r="H201" s="16">
        <f>IFERROR(__xludf.DUMMYFUNCTION("""COMPUTED_VALUE"""),7.0)</f>
        <v>7</v>
      </c>
      <c r="I201" s="16">
        <f>IFERROR(__xludf.DUMMYFUNCTION("""COMPUTED_VALUE"""),-1.0)</f>
        <v>-1</v>
      </c>
      <c r="J201" s="16">
        <f>IFERROR(__xludf.DUMMYFUNCTION("""COMPUTED_VALUE"""),-2.0)</f>
        <v>-2</v>
      </c>
      <c r="K201" s="16">
        <f>IFERROR(__xludf.DUMMYFUNCTION("""COMPUTED_VALUE"""),-3.0)</f>
        <v>-3</v>
      </c>
      <c r="L201" s="16">
        <f>IFERROR(__xludf.DUMMYFUNCTION("""COMPUTED_VALUE"""),-6.0)</f>
        <v>-6</v>
      </c>
      <c r="M201" s="16">
        <f>IFERROR(__xludf.DUMMYFUNCTION("""COMPUTED_VALUE"""),4.0)</f>
        <v>4</v>
      </c>
      <c r="N201" s="16">
        <f>IFERROR(__xludf.DUMMYFUNCTION("""COMPUTED_VALUE"""),2.0)</f>
        <v>2</v>
      </c>
      <c r="O201" s="16">
        <f>IFERROR(__xludf.DUMMYFUNCTION("""COMPUTED_VALUE"""),2.0)</f>
        <v>2</v>
      </c>
      <c r="P201" s="16">
        <f>IFERROR(__xludf.DUMMYFUNCTION("""COMPUTED_VALUE"""),3.0)</f>
        <v>3</v>
      </c>
      <c r="Q201" s="16">
        <f>IFERROR(__xludf.DUMMYFUNCTION("""COMPUTED_VALUE"""),2.0)</f>
        <v>2</v>
      </c>
      <c r="R201" s="16">
        <f>IFERROR(__xludf.DUMMYFUNCTION("""COMPUTED_VALUE"""),3.0)</f>
        <v>3</v>
      </c>
      <c r="S201" s="16">
        <f>IFERROR(__xludf.DUMMYFUNCTION("""COMPUTED_VALUE"""),22.4)</f>
        <v>22.4</v>
      </c>
      <c r="T201" s="16">
        <f>IFERROR(__xludf.DUMMYFUNCTION("""COMPUTED_VALUE"""),9.5)</f>
        <v>9.5</v>
      </c>
      <c r="U201" s="16">
        <f>IFERROR(__xludf.DUMMYFUNCTION("""COMPUTED_VALUE"""),-1.0)</f>
        <v>-1</v>
      </c>
      <c r="V201" s="16">
        <f>IFERROR(__xludf.DUMMYFUNCTION("""COMPUTED_VALUE"""),1.0)</f>
        <v>1</v>
      </c>
      <c r="W201" s="16">
        <f>IFERROR(__xludf.DUMMYFUNCTION("""COMPUTED_VALUE"""),-2.0)</f>
        <v>-2</v>
      </c>
      <c r="X201" s="16">
        <f>IFERROR(__xludf.DUMMYFUNCTION("""COMPUTED_VALUE"""),2.0)</f>
        <v>2</v>
      </c>
      <c r="Y201" s="16">
        <f>IFERROR(__xludf.DUMMYFUNCTION("""COMPUTED_VALUE"""),26.4)</f>
        <v>26.4</v>
      </c>
      <c r="Z201" s="16">
        <f>IFERROR(__xludf.DUMMYFUNCTION("""COMPUTED_VALUE"""),11.5)</f>
        <v>11.5</v>
      </c>
      <c r="AA201" s="16">
        <f>IFERROR(__xludf.DUMMYFUNCTION("""COMPUTED_VALUE"""),0.0)</f>
        <v>0</v>
      </c>
      <c r="AB201" s="16">
        <f>IFERROR(__xludf.DUMMYFUNCTION("""COMPUTED_VALUE"""),2.0)</f>
        <v>2</v>
      </c>
      <c r="AC201" s="16">
        <f>IFERROR(__xludf.DUMMYFUNCTION("""COMPUTED_VALUE"""),0.0)</f>
        <v>0</v>
      </c>
      <c r="AD201" s="16">
        <f>IFERROR(__xludf.DUMMYFUNCTION("""COMPUTED_VALUE"""),10.0)</f>
        <v>10</v>
      </c>
      <c r="AE201" s="16">
        <f>IFERROR(__xludf.DUMMYFUNCTION("""COMPUTED_VALUE"""),47.3)</f>
        <v>47.3</v>
      </c>
      <c r="AF201" s="16">
        <f>IFERROR(__xludf.DUMMYFUNCTION("""COMPUTED_VALUE"""),12.5)</f>
        <v>12.5</v>
      </c>
      <c r="AG201" s="16">
        <f>IFERROR(__xludf.DUMMYFUNCTION("""COMPUTED_VALUE"""),-2.0)</f>
        <v>-2</v>
      </c>
      <c r="AH201" s="16">
        <f>IFERROR(__xludf.DUMMYFUNCTION("""COMPUTED_VALUE"""),2.0)</f>
        <v>2</v>
      </c>
      <c r="AI201" s="16">
        <f>IFERROR(__xludf.DUMMYFUNCTION("""COMPUTED_VALUE"""),-4.0)</f>
        <v>-4</v>
      </c>
      <c r="AJ201" s="16">
        <f>IFERROR(__xludf.DUMMYFUNCTION("""COMPUTED_VALUE"""),4.0)</f>
        <v>4</v>
      </c>
      <c r="AK201" s="16">
        <f>IFERROR(__xludf.DUMMYFUNCTION("""COMPUTED_VALUE"""),19.2)</f>
        <v>19.2</v>
      </c>
      <c r="AL201" s="16">
        <f>IFERROR(__xludf.DUMMYFUNCTION("""COMPUTED_VALUE"""),9.5)</f>
        <v>9.5</v>
      </c>
      <c r="AM201" s="16">
        <f>IFERROR(__xludf.DUMMYFUNCTION("""COMPUTED_VALUE"""),-1.0)</f>
        <v>-1</v>
      </c>
      <c r="AN201" s="16">
        <f>IFERROR(__xludf.DUMMYFUNCTION("""COMPUTED_VALUE"""),1.0)</f>
        <v>1</v>
      </c>
      <c r="AO201" s="16">
        <f>IFERROR(__xludf.DUMMYFUNCTION("""COMPUTED_VALUE"""),-1.0)</f>
        <v>-1</v>
      </c>
      <c r="AP201" s="16">
        <f>IFERROR(__xludf.DUMMYFUNCTION("""COMPUTED_VALUE"""),1.0)</f>
        <v>1</v>
      </c>
      <c r="AQ201" s="16">
        <f>IFERROR(__xludf.DUMMYFUNCTION("""COMPUTED_VALUE"""),34.5)</f>
        <v>34.5</v>
      </c>
      <c r="AR201" s="16">
        <f>IFERROR(__xludf.DUMMYFUNCTION("""COMPUTED_VALUE"""),12.5)</f>
        <v>12.5</v>
      </c>
      <c r="AS201" s="16">
        <f>IFERROR(__xludf.DUMMYFUNCTION("""COMPUTED_VALUE"""),-2.0)</f>
        <v>-2</v>
      </c>
      <c r="AT201" s="16">
        <f>IFERROR(__xludf.DUMMYFUNCTION("""COMPUTED_VALUE"""),1.0)</f>
        <v>1</v>
      </c>
      <c r="AU201" s="16">
        <f>IFERROR(__xludf.DUMMYFUNCTION("""COMPUTED_VALUE"""),-4.0)</f>
        <v>-4</v>
      </c>
      <c r="AV201" s="16">
        <f>IFERROR(__xludf.DUMMYFUNCTION("""COMPUTED_VALUE"""),2.0)</f>
        <v>2</v>
      </c>
      <c r="AW201" s="16">
        <f>IFERROR(__xludf.DUMMYFUNCTION("""COMPUTED_VALUE"""),3.2)</f>
        <v>3.2</v>
      </c>
      <c r="AX201" s="16">
        <f>IFERROR(__xludf.DUMMYFUNCTION("""COMPUTED_VALUE"""),0.0)</f>
        <v>0</v>
      </c>
      <c r="AY201" s="16">
        <f>IFERROR(__xludf.DUMMYFUNCTION("""COMPUTED_VALUE"""),-1.0)</f>
        <v>-1</v>
      </c>
      <c r="AZ201" s="16">
        <f>IFERROR(__xludf.DUMMYFUNCTION("""COMPUTED_VALUE"""),2.0)</f>
        <v>2</v>
      </c>
      <c r="BA201" s="16">
        <f>IFERROR(__xludf.DUMMYFUNCTION("""COMPUTED_VALUE"""),-5.0)</f>
        <v>-5</v>
      </c>
      <c r="BB201" s="16">
        <f>IFERROR(__xludf.DUMMYFUNCTION("""COMPUTED_VALUE"""),10.0)</f>
        <v>10</v>
      </c>
      <c r="BC201" s="16">
        <f>IFERROR(__xludf.DUMMYFUNCTION("""COMPUTED_VALUE"""),5.0)</f>
        <v>5</v>
      </c>
      <c r="BD201" s="16">
        <f>IFERROR(__xludf.DUMMYFUNCTION("""COMPUTED_VALUE"""),0.0)</f>
        <v>0</v>
      </c>
      <c r="BE201" s="16">
        <f>IFERROR(__xludf.DUMMYFUNCTION("""COMPUTED_VALUE"""),5.0)</f>
        <v>5</v>
      </c>
      <c r="BF201" s="16">
        <f>IFERROR(__xludf.DUMMYFUNCTION("""COMPUTED_VALUE"""),0.0)</f>
        <v>0</v>
      </c>
      <c r="BG201" s="16">
        <f>IFERROR(__xludf.DUMMYFUNCTION("""COMPUTED_VALUE"""),-2.0)</f>
        <v>-2</v>
      </c>
      <c r="BH201" s="16">
        <f>IFERROR(__xludf.DUMMYFUNCTION("""COMPUTED_VALUE"""),2.0)</f>
        <v>2</v>
      </c>
      <c r="BI201" s="16">
        <f>IFERROR(__xludf.DUMMYFUNCTION("""COMPUTED_VALUE"""),-4.0)</f>
        <v>-4</v>
      </c>
      <c r="BJ201" s="16">
        <f>IFERROR(__xludf.DUMMYFUNCTION("""COMPUTED_VALUE"""),4.0)</f>
        <v>4</v>
      </c>
      <c r="BK201" s="16">
        <f>IFERROR(__xludf.DUMMYFUNCTION("""COMPUTED_VALUE"""),5.0)</f>
        <v>5</v>
      </c>
      <c r="BL201" s="16">
        <f>IFERROR(__xludf.DUMMYFUNCTION("""COMPUTED_VALUE"""),5.0)</f>
        <v>5</v>
      </c>
      <c r="BM201" s="16">
        <f>IFERROR(__xludf.DUMMYFUNCTION("""COMPUTED_VALUE"""),0.0)</f>
        <v>0</v>
      </c>
      <c r="BN201" s="16">
        <f>IFERROR(__xludf.DUMMYFUNCTION("""COMPUTED_VALUE"""),0.0)</f>
        <v>0</v>
      </c>
      <c r="BO201" s="16">
        <f>IFERROR(__xludf.DUMMYFUNCTION("""COMPUTED_VALUE"""),0.0)</f>
        <v>0</v>
      </c>
      <c r="BP201" s="16">
        <f>IFERROR(__xludf.DUMMYFUNCTION("""COMPUTED_VALUE"""),0.0)</f>
        <v>0</v>
      </c>
      <c r="BQ201" s="16">
        <f>IFERROR(__xludf.DUMMYFUNCTION("""COMPUTED_VALUE"""),12.0)</f>
        <v>12</v>
      </c>
      <c r="BR201" s="16">
        <f>IFERROR(__xludf.DUMMYFUNCTION("""COMPUTED_VALUE"""),12.0)</f>
        <v>12</v>
      </c>
      <c r="BS201" s="16">
        <f>IFERROR(__xludf.DUMMYFUNCTION("""COMPUTED_VALUE"""),3.0)</f>
        <v>3</v>
      </c>
      <c r="BT201" s="16">
        <f>IFERROR(__xludf.DUMMYFUNCTION("""COMPUTED_VALUE"""),3.0)</f>
        <v>3</v>
      </c>
      <c r="BU201" s="16">
        <f>IFERROR(__xludf.DUMMYFUNCTION("""COMPUTED_VALUE"""),6.0)</f>
        <v>6</v>
      </c>
      <c r="BV201" s="16">
        <f>IFERROR(__xludf.DUMMYFUNCTION("""COMPUTED_VALUE"""),6.0)</f>
        <v>6</v>
      </c>
      <c r="BW201" s="16">
        <f>IFERROR(__xludf.DUMMYFUNCTION("""COMPUTED_VALUE"""),-3.0)</f>
        <v>-3</v>
      </c>
      <c r="BX201" s="16">
        <f>IFERROR(__xludf.DUMMYFUNCTION("""COMPUTED_VALUE"""),-3.0)</f>
        <v>-3</v>
      </c>
      <c r="BY201" s="16" t="str">
        <f>IFERROR(__xludf.DUMMYFUNCTION("""COMPUTED_VALUE"""),"R(2) C(0)")</f>
        <v>R(2) C(0)</v>
      </c>
      <c r="BZ201" s="16" t="str">
        <f>IFERROR(__xludf.DUMMYFUNCTION("""COMPUTED_VALUE"""),"R(2) C(0)")</f>
        <v>R(2) C(0)</v>
      </c>
      <c r="CA201" s="16" t="str">
        <f>IFERROR(__xludf.DUMMYFUNCTION("""COMPUTED_VALUE"""),"R(2)")</f>
        <v>R(2)</v>
      </c>
      <c r="CB201" s="16" t="str">
        <f>IFERROR(__xludf.DUMMYFUNCTION("""COMPUTED_VALUE"""),"C(0)")</f>
        <v>C(0)</v>
      </c>
      <c r="CC201" s="16"/>
      <c r="CD201" s="16"/>
      <c r="CE201" s="16">
        <f>IFERROR(__xludf.DUMMYFUNCTION("""COMPUTED_VALUE"""),2.0)</f>
        <v>2</v>
      </c>
      <c r="CF201" s="16">
        <f>IFERROR(__xludf.DUMMYFUNCTION("""COMPUTED_VALUE"""),0.0)</f>
        <v>0</v>
      </c>
      <c r="CG201" s="16" t="str">
        <f>IFERROR(__xludf.DUMMYFUNCTION("""COMPUTED_VALUE"""),"3-30")</f>
        <v>3-30</v>
      </c>
      <c r="CH201" s="16">
        <f>IFERROR(__xludf.DUMMYFUNCTION("""COMPUTED_VALUE"""),3.0)</f>
        <v>3</v>
      </c>
      <c r="CI201" s="16">
        <f>IFERROR(__xludf.DUMMYFUNCTION("""COMPUTED_VALUE"""),30.0)</f>
        <v>30</v>
      </c>
      <c r="CJ201" s="16">
        <f>IFERROR(__xludf.DUMMYFUNCTION("""COMPUTED_VALUE"""),0.0)</f>
        <v>0</v>
      </c>
      <c r="CK201" s="16">
        <f>IFERROR(__xludf.DUMMYFUNCTION("""COMPUTED_VALUE"""),15.0)</f>
        <v>15</v>
      </c>
      <c r="CL201" s="16" t="str">
        <f>IFERROR(__xludf.DUMMYFUNCTION("""COMPUTED_VALUE"""),"1WS-C")</f>
        <v>1WS-C</v>
      </c>
      <c r="CM201" s="16" t="str">
        <f>IFERROR(__xludf.DUMMYFUNCTION("""COMPUTED_VALUE"""),"E")</f>
        <v>E</v>
      </c>
      <c r="CN201" s="16">
        <f>IFERROR(__xludf.DUMMYFUNCTION("""COMPUTED_VALUE"""),10.0)</f>
        <v>10</v>
      </c>
      <c r="CO201" s="16" t="str">
        <f>IFERROR(__xludf.DUMMYFUNCTION("""COMPUTED_VALUE"""),"C")</f>
        <v>C</v>
      </c>
      <c r="CP201" s="16" t="str">
        <f>IFERROR(__xludf.DUMMYFUNCTION("""COMPUTED_VALUE"""),"1p30")</f>
        <v>1p30</v>
      </c>
      <c r="CQ201" s="16">
        <f>IFERROR(__xludf.DUMMYFUNCTION("""COMPUTED_VALUE"""),-15.0)</f>
        <v>-15</v>
      </c>
      <c r="CR201" s="16">
        <f>IFERROR(__xludf.DUMMYFUNCTION("""COMPUTED_VALUE"""),36.0)</f>
        <v>36</v>
      </c>
      <c r="CS201" s="16">
        <f>IFERROR(__xludf.DUMMYFUNCTION("""COMPUTED_VALUE"""),21.0)</f>
        <v>21</v>
      </c>
      <c r="CT201" s="16">
        <f>IFERROR(__xludf.DUMMYFUNCTION("""COMPUTED_VALUE"""),-15.0)</f>
        <v>-15</v>
      </c>
      <c r="CU201" s="16">
        <f>IFERROR(__xludf.DUMMYFUNCTION("""COMPUTED_VALUE"""),36.0)</f>
        <v>36</v>
      </c>
      <c r="CV201" s="179">
        <f>IFERROR(__xludf.DUMMYFUNCTION("""COMPUTED_VALUE"""),8.0)</f>
        <v>8</v>
      </c>
      <c r="CW201" s="179">
        <f>IFERROR(__xludf.DUMMYFUNCTION("""COMPUTED_VALUE"""),4.0)</f>
        <v>4</v>
      </c>
      <c r="CX201" s="179">
        <f>IFERROR(__xludf.DUMMYFUNCTION("""COMPUTED_VALUE"""),2.0)</f>
        <v>2</v>
      </c>
      <c r="CY201" s="16" t="str">
        <f>IFERROR(__xludf.DUMMYFUNCTION("""COMPUTED_VALUE"""),"RP")</f>
        <v>RP</v>
      </c>
      <c r="CZ201" s="16" t="str">
        <f>IFERROR(__xludf.DUMMYFUNCTION("""COMPUTED_VALUE"""),"CP")</f>
        <v>CP</v>
      </c>
      <c r="DA201" s="16"/>
      <c r="DB201" s="16"/>
      <c r="DC201" s="16"/>
      <c r="DD201" s="16"/>
      <c r="DE201" s="16"/>
      <c r="DF201" s="16"/>
      <c r="DG201" s="16"/>
      <c r="DH201" s="16"/>
      <c r="DI201" s="16"/>
      <c r="DJ201" s="16"/>
      <c r="DK201" s="16"/>
    </row>
    <row r="202">
      <c r="A202" s="16">
        <f>IFERROR(__xludf.DUMMYFUNCTION("""COMPUTED_VALUE"""),13362.0)</f>
        <v>13362</v>
      </c>
      <c r="B202" s="16" t="str">
        <f>IFERROR(__xludf.DUMMYFUNCTION("""COMPUTED_VALUE"""),"Sean Manaea")</f>
        <v>Sean Manaea</v>
      </c>
      <c r="C202" s="153">
        <f>IFERROR(__xludf.DUMMYFUNCTION("""COMPUTED_VALUE"""),1.49)</f>
        <v>1.49</v>
      </c>
      <c r="D202" s="16"/>
      <c r="E202" s="16" t="str">
        <f>IFERROR(__xludf.DUMMYFUNCTION("""COMPUTED_VALUE"""),"L")</f>
        <v>L</v>
      </c>
      <c r="F202" s="16">
        <f>IFERROR(__xludf.DUMMYFUNCTION("""COMPUTED_VALUE"""),182.0)</f>
        <v>182</v>
      </c>
      <c r="G202" s="16">
        <f>IFERROR(__xludf.DUMMYFUNCTION("""COMPUTED_VALUE"""),37.0)</f>
        <v>37</v>
      </c>
      <c r="H202" s="16">
        <f>IFERROR(__xludf.DUMMYFUNCTION("""COMPUTED_VALUE"""),28.0)</f>
        <v>28</v>
      </c>
      <c r="I202" s="16">
        <f>IFERROR(__xludf.DUMMYFUNCTION("""COMPUTED_VALUE"""),1.0)</f>
        <v>1</v>
      </c>
      <c r="J202" s="16">
        <f>IFERROR(__xludf.DUMMYFUNCTION("""COMPUTED_VALUE"""),0.0)</f>
        <v>0</v>
      </c>
      <c r="K202" s="16">
        <f>IFERROR(__xludf.DUMMYFUNCTION("""COMPUTED_VALUE"""),3.0)</f>
        <v>3</v>
      </c>
      <c r="L202" s="16">
        <f>IFERROR(__xludf.DUMMYFUNCTION("""COMPUTED_VALUE"""),0.0)</f>
        <v>0</v>
      </c>
      <c r="M202" s="16">
        <f>IFERROR(__xludf.DUMMYFUNCTION("""COMPUTED_VALUE"""),7.0)</f>
        <v>7</v>
      </c>
      <c r="N202" s="16">
        <f>IFERROR(__xludf.DUMMYFUNCTION("""COMPUTED_VALUE"""),11.0)</f>
        <v>11</v>
      </c>
      <c r="O202" s="16">
        <f>IFERROR(__xludf.DUMMYFUNCTION("""COMPUTED_VALUE"""),1.0)</f>
        <v>1</v>
      </c>
      <c r="P202" s="16">
        <f>IFERROR(__xludf.DUMMYFUNCTION("""COMPUTED_VALUE"""),-1.0)</f>
        <v>-1</v>
      </c>
      <c r="Q202" s="16">
        <f>IFERROR(__xludf.DUMMYFUNCTION("""COMPUTED_VALUE"""),1.0)</f>
        <v>1</v>
      </c>
      <c r="R202" s="16">
        <f>IFERROR(__xludf.DUMMYFUNCTION("""COMPUTED_VALUE"""),-1.0)</f>
        <v>-1</v>
      </c>
      <c r="S202" s="16">
        <f>IFERROR(__xludf.DUMMYFUNCTION("""COMPUTED_VALUE"""),17.7)</f>
        <v>17.7</v>
      </c>
      <c r="T202" s="16">
        <f>IFERROR(__xludf.DUMMYFUNCTION("""COMPUTED_VALUE"""),7.2)</f>
        <v>7.2</v>
      </c>
      <c r="U202" s="16">
        <f>IFERROR(__xludf.DUMMYFUNCTION("""COMPUTED_VALUE"""),0.0)</f>
        <v>0</v>
      </c>
      <c r="V202" s="16">
        <f>IFERROR(__xludf.DUMMYFUNCTION("""COMPUTED_VALUE"""),2.0)</f>
        <v>2</v>
      </c>
      <c r="W202" s="16">
        <f>IFERROR(__xludf.DUMMYFUNCTION("""COMPUTED_VALUE"""),0.0)</f>
        <v>0</v>
      </c>
      <c r="X202" s="16">
        <f>IFERROR(__xludf.DUMMYFUNCTION("""COMPUTED_VALUE"""),4.0)</f>
        <v>4</v>
      </c>
      <c r="Y202" s="16">
        <f>IFERROR(__xludf.DUMMYFUNCTION("""COMPUTED_VALUE"""),24.7)</f>
        <v>24.7</v>
      </c>
      <c r="Z202" s="16">
        <f>IFERROR(__xludf.DUMMYFUNCTION("""COMPUTED_VALUE"""),18.1)</f>
        <v>18.1</v>
      </c>
      <c r="AA202" s="16">
        <f>IFERROR(__xludf.DUMMYFUNCTION("""COMPUTED_VALUE"""),0.0)</f>
        <v>0</v>
      </c>
      <c r="AB202" s="16">
        <f>IFERROR(__xludf.DUMMYFUNCTION("""COMPUTED_VALUE"""),1.0)</f>
        <v>1</v>
      </c>
      <c r="AC202" s="16">
        <f>IFERROR(__xludf.DUMMYFUNCTION("""COMPUTED_VALUE"""),0.0)</f>
        <v>0</v>
      </c>
      <c r="AD202" s="16">
        <f>IFERROR(__xludf.DUMMYFUNCTION("""COMPUTED_VALUE"""),5.0)</f>
        <v>5</v>
      </c>
      <c r="AE202" s="16">
        <f>IFERROR(__xludf.DUMMYFUNCTION("""COMPUTED_VALUE"""),33.2)</f>
        <v>33.2</v>
      </c>
      <c r="AF202" s="16">
        <f>IFERROR(__xludf.DUMMYFUNCTION("""COMPUTED_VALUE"""),14.7)</f>
        <v>14.7</v>
      </c>
      <c r="AG202" s="16">
        <f>IFERROR(__xludf.DUMMYFUNCTION("""COMPUTED_VALUE"""),-1.0)</f>
        <v>-1</v>
      </c>
      <c r="AH202" s="16">
        <f>IFERROR(__xludf.DUMMYFUNCTION("""COMPUTED_VALUE"""),2.0)</f>
        <v>2</v>
      </c>
      <c r="AI202" s="16">
        <f>IFERROR(__xludf.DUMMYFUNCTION("""COMPUTED_VALUE"""),-2.0)</f>
        <v>-2</v>
      </c>
      <c r="AJ202" s="16">
        <f>IFERROR(__xludf.DUMMYFUNCTION("""COMPUTED_VALUE"""),4.0)</f>
        <v>4</v>
      </c>
      <c r="AK202" s="16">
        <f>IFERROR(__xludf.DUMMYFUNCTION("""COMPUTED_VALUE"""),13.399999999999999)</f>
        <v>13.4</v>
      </c>
      <c r="AL202" s="16">
        <f>IFERROR(__xludf.DUMMYFUNCTION("""COMPUTED_VALUE"""),5.800000000000001)</f>
        <v>5.8</v>
      </c>
      <c r="AM202" s="16">
        <f>IFERROR(__xludf.DUMMYFUNCTION("""COMPUTED_VALUE"""),0.0)</f>
        <v>0</v>
      </c>
      <c r="AN202" s="16">
        <f>IFERROR(__xludf.DUMMYFUNCTION("""COMPUTED_VALUE"""),1.0)</f>
        <v>1</v>
      </c>
      <c r="AO202" s="16">
        <f>IFERROR(__xludf.DUMMYFUNCTION("""COMPUTED_VALUE"""),0.0)</f>
        <v>0</v>
      </c>
      <c r="AP202" s="16">
        <f>IFERROR(__xludf.DUMMYFUNCTION("""COMPUTED_VALUE"""),1.0)</f>
        <v>1</v>
      </c>
      <c r="AQ202" s="16">
        <f>IFERROR(__xludf.DUMMYFUNCTION("""COMPUTED_VALUE"""),16.000000000000004)</f>
        <v>16</v>
      </c>
      <c r="AR202" s="16">
        <f>IFERROR(__xludf.DUMMYFUNCTION("""COMPUTED_VALUE"""),9.1)</f>
        <v>9.1</v>
      </c>
      <c r="AS202" s="16">
        <f>IFERROR(__xludf.DUMMYFUNCTION("""COMPUTED_VALUE"""),0.0)</f>
        <v>0</v>
      </c>
      <c r="AT202" s="16">
        <f>IFERROR(__xludf.DUMMYFUNCTION("""COMPUTED_VALUE"""),1.0)</f>
        <v>1</v>
      </c>
      <c r="AU202" s="16">
        <f>IFERROR(__xludf.DUMMYFUNCTION("""COMPUTED_VALUE"""),0.0)</f>
        <v>0</v>
      </c>
      <c r="AV202" s="16">
        <f>IFERROR(__xludf.DUMMYFUNCTION("""COMPUTED_VALUE"""),2.0)</f>
        <v>2</v>
      </c>
      <c r="AW202" s="16">
        <f>IFERROR(__xludf.DUMMYFUNCTION("""COMPUTED_VALUE"""),4.3)</f>
        <v>4.3</v>
      </c>
      <c r="AX202" s="16">
        <f>IFERROR(__xludf.DUMMYFUNCTION("""COMPUTED_VALUE"""),1.4)</f>
        <v>1.4</v>
      </c>
      <c r="AY202" s="16">
        <f>IFERROR(__xludf.DUMMYFUNCTION("""COMPUTED_VALUE"""),-2.0)</f>
        <v>-2</v>
      </c>
      <c r="AZ202" s="16">
        <f>IFERROR(__xludf.DUMMYFUNCTION("""COMPUTED_VALUE"""),1.0)</f>
        <v>1</v>
      </c>
      <c r="BA202" s="16">
        <f>IFERROR(__xludf.DUMMYFUNCTION("""COMPUTED_VALUE"""),-10.0)</f>
        <v>-10</v>
      </c>
      <c r="BB202" s="16">
        <f>IFERROR(__xludf.DUMMYFUNCTION("""COMPUTED_VALUE"""),5.0)</f>
        <v>5</v>
      </c>
      <c r="BC202" s="16">
        <f>IFERROR(__xludf.DUMMYFUNCTION("""COMPUTED_VALUE"""),7.0)</f>
        <v>7</v>
      </c>
      <c r="BD202" s="16">
        <f>IFERROR(__xludf.DUMMYFUNCTION("""COMPUTED_VALUE"""),1.0)</f>
        <v>1</v>
      </c>
      <c r="BE202" s="16">
        <f>IFERROR(__xludf.DUMMYFUNCTION("""COMPUTED_VALUE"""),7.0)</f>
        <v>7</v>
      </c>
      <c r="BF202" s="16">
        <f>IFERROR(__xludf.DUMMYFUNCTION("""COMPUTED_VALUE"""),1.0)</f>
        <v>1</v>
      </c>
      <c r="BG202" s="16">
        <f>IFERROR(__xludf.DUMMYFUNCTION("""COMPUTED_VALUE"""),-3.0)</f>
        <v>-3</v>
      </c>
      <c r="BH202" s="16">
        <f>IFERROR(__xludf.DUMMYFUNCTION("""COMPUTED_VALUE"""),2.0)</f>
        <v>2</v>
      </c>
      <c r="BI202" s="16">
        <f>IFERROR(__xludf.DUMMYFUNCTION("""COMPUTED_VALUE"""),-6.0)</f>
        <v>-6</v>
      </c>
      <c r="BJ202" s="16">
        <f>IFERROR(__xludf.DUMMYFUNCTION("""COMPUTED_VALUE"""),4.0)</f>
        <v>4</v>
      </c>
      <c r="BK202" s="16">
        <f>IFERROR(__xludf.DUMMYFUNCTION("""COMPUTED_VALUE"""),5.0)</f>
        <v>5</v>
      </c>
      <c r="BL202" s="16">
        <f>IFERROR(__xludf.DUMMYFUNCTION("""COMPUTED_VALUE"""),5.0)</f>
        <v>5</v>
      </c>
      <c r="BM202" s="16">
        <f>IFERROR(__xludf.DUMMYFUNCTION("""COMPUTED_VALUE"""),0.0)</f>
        <v>0</v>
      </c>
      <c r="BN202" s="16">
        <f>IFERROR(__xludf.DUMMYFUNCTION("""COMPUTED_VALUE"""),0.0)</f>
        <v>0</v>
      </c>
      <c r="BO202" s="16">
        <f>IFERROR(__xludf.DUMMYFUNCTION("""COMPUTED_VALUE"""),0.0)</f>
        <v>0</v>
      </c>
      <c r="BP202" s="16">
        <f>IFERROR(__xludf.DUMMYFUNCTION("""COMPUTED_VALUE"""),0.0)</f>
        <v>0</v>
      </c>
      <c r="BQ202" s="16">
        <f>IFERROR(__xludf.DUMMYFUNCTION("""COMPUTED_VALUE"""),3.0)</f>
        <v>3</v>
      </c>
      <c r="BR202" s="16">
        <f>IFERROR(__xludf.DUMMYFUNCTION("""COMPUTED_VALUE"""),7.0)</f>
        <v>7</v>
      </c>
      <c r="BS202" s="16">
        <f>IFERROR(__xludf.DUMMYFUNCTION("""COMPUTED_VALUE"""),-1.0)</f>
        <v>-1</v>
      </c>
      <c r="BT202" s="16">
        <f>IFERROR(__xludf.DUMMYFUNCTION("""COMPUTED_VALUE"""),2.0)</f>
        <v>2</v>
      </c>
      <c r="BU202" s="16">
        <f>IFERROR(__xludf.DUMMYFUNCTION("""COMPUTED_VALUE"""),-2.0)</f>
        <v>-2</v>
      </c>
      <c r="BV202" s="16">
        <f>IFERROR(__xludf.DUMMYFUNCTION("""COMPUTED_VALUE"""),4.0)</f>
        <v>4</v>
      </c>
      <c r="BW202" s="16">
        <f>IFERROR(__xludf.DUMMYFUNCTION("""COMPUTED_VALUE"""),2.0)</f>
        <v>2</v>
      </c>
      <c r="BX202" s="16">
        <f>IFERROR(__xludf.DUMMYFUNCTION("""COMPUTED_VALUE"""),2.0)</f>
        <v>2</v>
      </c>
      <c r="BY202" s="16" t="str">
        <f>IFERROR(__xludf.DUMMYFUNCTION("""COMPUTED_VALUE"""),"S(6)")</f>
        <v>S(6)</v>
      </c>
      <c r="BZ202" s="16" t="str">
        <f>IFERROR(__xludf.DUMMYFUNCTION("""COMPUTED_VALUE"""),"S(6)")</f>
        <v>S(6)</v>
      </c>
      <c r="CA202" s="16" t="str">
        <f>IFERROR(__xludf.DUMMYFUNCTION("""COMPUTED_VALUE"""),"S(6)")</f>
        <v>S(6)</v>
      </c>
      <c r="CB202" s="16"/>
      <c r="CC202" s="16"/>
      <c r="CD202" s="16">
        <f>IFERROR(__xludf.DUMMYFUNCTION("""COMPUTED_VALUE"""),6.0)</f>
        <v>6</v>
      </c>
      <c r="CE202" s="16"/>
      <c r="CF202" s="16"/>
      <c r="CG202" s="16" t="str">
        <f>IFERROR(__xludf.DUMMYFUNCTION("""COMPUTED_VALUE"""),"4-16")</f>
        <v>4-16</v>
      </c>
      <c r="CH202" s="16">
        <f>IFERROR(__xludf.DUMMYFUNCTION("""COMPUTED_VALUE"""),4.0)</f>
        <v>4</v>
      </c>
      <c r="CI202" s="16">
        <f>IFERROR(__xludf.DUMMYFUNCTION("""COMPUTED_VALUE"""),16.0)</f>
        <v>16</v>
      </c>
      <c r="CJ202" s="16">
        <f>IFERROR(__xludf.DUMMYFUNCTION("""COMPUTED_VALUE"""),0.0)</f>
        <v>0</v>
      </c>
      <c r="CK202" s="16">
        <f>IFERROR(__xludf.DUMMYFUNCTION("""COMPUTED_VALUE"""),4.0)</f>
        <v>4</v>
      </c>
      <c r="CL202" s="16" t="str">
        <f>IFERROR(__xludf.DUMMYFUNCTION("""COMPUTED_VALUE"""),"1WR-C")</f>
        <v>1WR-C</v>
      </c>
      <c r="CM202" s="16" t="str">
        <f>IFERROR(__xludf.DUMMYFUNCTION("""COMPUTED_VALUE"""),"E")</f>
        <v>E</v>
      </c>
      <c r="CN202" s="16">
        <f>IFERROR(__xludf.DUMMYFUNCTION("""COMPUTED_VALUE"""),10.0)</f>
        <v>10</v>
      </c>
      <c r="CO202" s="16" t="str">
        <f>IFERROR(__xludf.DUMMYFUNCTION("""COMPUTED_VALUE"""),"C")</f>
        <v>C</v>
      </c>
      <c r="CP202" s="16" t="str">
        <f>IFERROR(__xludf.DUMMYFUNCTION("""COMPUTED_VALUE"""),"0p72")</f>
        <v>0p72</v>
      </c>
      <c r="CQ202" s="16">
        <f>IFERROR(__xludf.DUMMYFUNCTION("""COMPUTED_VALUE"""),-16.0)</f>
        <v>-16</v>
      </c>
      <c r="CR202" s="16">
        <f>IFERROR(__xludf.DUMMYFUNCTION("""COMPUTED_VALUE"""),28.0)</f>
        <v>28</v>
      </c>
      <c r="CS202" s="16">
        <f>IFERROR(__xludf.DUMMYFUNCTION("""COMPUTED_VALUE"""),12.0)</f>
        <v>12</v>
      </c>
      <c r="CT202" s="16">
        <f>IFERROR(__xludf.DUMMYFUNCTION("""COMPUTED_VALUE"""),-16.0)</f>
        <v>-16</v>
      </c>
      <c r="CU202" s="16">
        <f>IFERROR(__xludf.DUMMYFUNCTION("""COMPUTED_VALUE"""),28.0)</f>
        <v>28</v>
      </c>
      <c r="CV202" s="179">
        <f>IFERROR(__xludf.DUMMYFUNCTION("""COMPUTED_VALUE"""),7.666666666666667)</f>
        <v>7.666666667</v>
      </c>
      <c r="CW202" s="179">
        <f>IFERROR(__xludf.DUMMYFUNCTION("""COMPUTED_VALUE"""),5.0)</f>
        <v>5</v>
      </c>
      <c r="CX202" s="179">
        <f>IFERROR(__xludf.DUMMYFUNCTION("""COMPUTED_VALUE"""),4.0)</f>
        <v>4</v>
      </c>
      <c r="CY202" s="16" t="str">
        <f>IFERROR(__xludf.DUMMYFUNCTION("""COMPUTED_VALUE"""),"SP")</f>
        <v>SP</v>
      </c>
      <c r="CZ202" s="16"/>
      <c r="DA202" s="16"/>
      <c r="DB202" s="16"/>
      <c r="DC202" s="16"/>
      <c r="DD202" s="16"/>
      <c r="DE202" s="16"/>
      <c r="DF202" s="16"/>
      <c r="DG202" s="16"/>
      <c r="DH202" s="16"/>
      <c r="DI202" s="16"/>
      <c r="DJ202" s="16"/>
      <c r="DK202" s="16"/>
    </row>
    <row r="203">
      <c r="A203" s="16">
        <f>IFERROR(__xludf.DUMMYFUNCTION("""COMPUTED_VALUE"""),12666.0)</f>
        <v>12666</v>
      </c>
      <c r="B203" s="16" t="str">
        <f>IFERROR(__xludf.DUMMYFUNCTION("""COMPUTED_VALUE"""),"Chad Green")</f>
        <v>Chad Green</v>
      </c>
      <c r="C203" s="153">
        <f>IFERROR(__xludf.DUMMYFUNCTION("""COMPUTED_VALUE"""),0.63)</f>
        <v>0.63</v>
      </c>
      <c r="D203" s="16"/>
      <c r="E203" s="16" t="str">
        <f>IFERROR(__xludf.DUMMYFUNCTION("""COMPUTED_VALUE"""),"R")</f>
        <v>R</v>
      </c>
      <c r="F203" s="16">
        <f>IFERROR(__xludf.DUMMYFUNCTION("""COMPUTED_VALUE"""),53.0)</f>
        <v>53</v>
      </c>
      <c r="G203" s="16">
        <f>IFERROR(__xludf.DUMMYFUNCTION("""COMPUTED_VALUE"""),35.0)</f>
        <v>35</v>
      </c>
      <c r="H203" s="16">
        <f>IFERROR(__xludf.DUMMYFUNCTION("""COMPUTED_VALUE"""),14.0)</f>
        <v>14</v>
      </c>
      <c r="I203" s="16">
        <f>IFERROR(__xludf.DUMMYFUNCTION("""COMPUTED_VALUE"""),1.0)</f>
        <v>1</v>
      </c>
      <c r="J203" s="16">
        <f>IFERROR(__xludf.DUMMYFUNCTION("""COMPUTED_VALUE"""),-2.0)</f>
        <v>-2</v>
      </c>
      <c r="K203" s="16">
        <f>IFERROR(__xludf.DUMMYFUNCTION("""COMPUTED_VALUE"""),3.0)</f>
        <v>3</v>
      </c>
      <c r="L203" s="16">
        <f>IFERROR(__xludf.DUMMYFUNCTION("""COMPUTED_VALUE"""),-6.0)</f>
        <v>-6</v>
      </c>
      <c r="M203" s="16">
        <f>IFERROR(__xludf.DUMMYFUNCTION("""COMPUTED_VALUE"""),4.0)</f>
        <v>4</v>
      </c>
      <c r="N203" s="16">
        <f>IFERROR(__xludf.DUMMYFUNCTION("""COMPUTED_VALUE"""),3.0)</f>
        <v>3</v>
      </c>
      <c r="O203" s="16">
        <f>IFERROR(__xludf.DUMMYFUNCTION("""COMPUTED_VALUE"""),2.0)</f>
        <v>2</v>
      </c>
      <c r="P203" s="16">
        <f>IFERROR(__xludf.DUMMYFUNCTION("""COMPUTED_VALUE"""),2.0)</f>
        <v>2</v>
      </c>
      <c r="Q203" s="16">
        <f>IFERROR(__xludf.DUMMYFUNCTION("""COMPUTED_VALUE"""),2.0)</f>
        <v>2</v>
      </c>
      <c r="R203" s="16">
        <f>IFERROR(__xludf.DUMMYFUNCTION("""COMPUTED_VALUE"""),2.0)</f>
        <v>2</v>
      </c>
      <c r="S203" s="16">
        <f>IFERROR(__xludf.DUMMYFUNCTION("""COMPUTED_VALUE"""),12.1)</f>
        <v>12.1</v>
      </c>
      <c r="T203" s="16">
        <f>IFERROR(__xludf.DUMMYFUNCTION("""COMPUTED_VALUE"""),10.4)</f>
        <v>10.4</v>
      </c>
      <c r="U203" s="16">
        <f>IFERROR(__xludf.DUMMYFUNCTION("""COMPUTED_VALUE"""),1.0)</f>
        <v>1</v>
      </c>
      <c r="V203" s="16">
        <f>IFERROR(__xludf.DUMMYFUNCTION("""COMPUTED_VALUE"""),1.0)</f>
        <v>1</v>
      </c>
      <c r="W203" s="16">
        <f>IFERROR(__xludf.DUMMYFUNCTION("""COMPUTED_VALUE"""),2.0)</f>
        <v>2</v>
      </c>
      <c r="X203" s="16">
        <f>IFERROR(__xludf.DUMMYFUNCTION("""COMPUTED_VALUE"""),2.0)</f>
        <v>2</v>
      </c>
      <c r="Y203" s="16">
        <f>IFERROR(__xludf.DUMMYFUNCTION("""COMPUTED_VALUE"""),16.1)</f>
        <v>16.1</v>
      </c>
      <c r="Z203" s="16">
        <f>IFERROR(__xludf.DUMMYFUNCTION("""COMPUTED_VALUE"""),13.4)</f>
        <v>13.4</v>
      </c>
      <c r="AA203" s="16">
        <f>IFERROR(__xludf.DUMMYFUNCTION("""COMPUTED_VALUE"""),1.0)</f>
        <v>1</v>
      </c>
      <c r="AB203" s="16">
        <f>IFERROR(__xludf.DUMMYFUNCTION("""COMPUTED_VALUE"""),2.0)</f>
        <v>2</v>
      </c>
      <c r="AC203" s="16">
        <f>IFERROR(__xludf.DUMMYFUNCTION("""COMPUTED_VALUE"""),5.0)</f>
        <v>5</v>
      </c>
      <c r="AD203" s="16">
        <f>IFERROR(__xludf.DUMMYFUNCTION("""COMPUTED_VALUE"""),10.0)</f>
        <v>10</v>
      </c>
      <c r="AE203" s="16">
        <f>IFERROR(__xludf.DUMMYFUNCTION("""COMPUTED_VALUE"""),34.0)</f>
        <v>34</v>
      </c>
      <c r="AF203" s="16">
        <f>IFERROR(__xludf.DUMMYFUNCTION("""COMPUTED_VALUE"""),16.5)</f>
        <v>16.5</v>
      </c>
      <c r="AG203" s="16">
        <f>IFERROR(__xludf.DUMMYFUNCTION("""COMPUTED_VALUE"""),-1.0)</f>
        <v>-1</v>
      </c>
      <c r="AH203" s="16">
        <f>IFERROR(__xludf.DUMMYFUNCTION("""COMPUTED_VALUE"""),1.0)</f>
        <v>1</v>
      </c>
      <c r="AI203" s="16">
        <f>IFERROR(__xludf.DUMMYFUNCTION("""COMPUTED_VALUE"""),-2.0)</f>
        <v>-2</v>
      </c>
      <c r="AJ203" s="16">
        <f>IFERROR(__xludf.DUMMYFUNCTION("""COMPUTED_VALUE"""),2.0)</f>
        <v>2</v>
      </c>
      <c r="AK203" s="16">
        <f>IFERROR(__xludf.DUMMYFUNCTION("""COMPUTED_VALUE"""),6.6)</f>
        <v>6.6</v>
      </c>
      <c r="AL203" s="16">
        <f>IFERROR(__xludf.DUMMYFUNCTION("""COMPUTED_VALUE"""),8.6)</f>
        <v>8.6</v>
      </c>
      <c r="AM203" s="16">
        <f>IFERROR(__xludf.DUMMYFUNCTION("""COMPUTED_VALUE"""),1.0)</f>
        <v>1</v>
      </c>
      <c r="AN203" s="16">
        <f>IFERROR(__xludf.DUMMYFUNCTION("""COMPUTED_VALUE"""),1.0)</f>
        <v>1</v>
      </c>
      <c r="AO203" s="16">
        <f>IFERROR(__xludf.DUMMYFUNCTION("""COMPUTED_VALUE"""),1.0)</f>
        <v>1</v>
      </c>
      <c r="AP203" s="16">
        <f>IFERROR(__xludf.DUMMYFUNCTION("""COMPUTED_VALUE"""),1.0)</f>
        <v>1</v>
      </c>
      <c r="AQ203" s="16">
        <f>IFERROR(__xludf.DUMMYFUNCTION("""COMPUTED_VALUE"""),12.0)</f>
        <v>12</v>
      </c>
      <c r="AR203" s="16">
        <f>IFERROR(__xludf.DUMMYFUNCTION("""COMPUTED_VALUE"""),9.3)</f>
        <v>9.3</v>
      </c>
      <c r="AS203" s="16">
        <f>IFERROR(__xludf.DUMMYFUNCTION("""COMPUTED_VALUE"""),1.0)</f>
        <v>1</v>
      </c>
      <c r="AT203" s="16">
        <f>IFERROR(__xludf.DUMMYFUNCTION("""COMPUTED_VALUE"""),1.0)</f>
        <v>1</v>
      </c>
      <c r="AU203" s="16">
        <f>IFERROR(__xludf.DUMMYFUNCTION("""COMPUTED_VALUE"""),2.0)</f>
        <v>2</v>
      </c>
      <c r="AV203" s="16">
        <f>IFERROR(__xludf.DUMMYFUNCTION("""COMPUTED_VALUE"""),2.0)</f>
        <v>2</v>
      </c>
      <c r="AW203" s="16">
        <f>IFERROR(__xludf.DUMMYFUNCTION("""COMPUTED_VALUE"""),5.5)</f>
        <v>5.5</v>
      </c>
      <c r="AX203" s="16">
        <f>IFERROR(__xludf.DUMMYFUNCTION("""COMPUTED_VALUE"""),1.8)</f>
        <v>1.8</v>
      </c>
      <c r="AY203" s="16">
        <f>IFERROR(__xludf.DUMMYFUNCTION("""COMPUTED_VALUE"""),-3.0)</f>
        <v>-3</v>
      </c>
      <c r="AZ203" s="16">
        <f>IFERROR(__xludf.DUMMYFUNCTION("""COMPUTED_VALUE"""),0.0)</f>
        <v>0</v>
      </c>
      <c r="BA203" s="16">
        <f>IFERROR(__xludf.DUMMYFUNCTION("""COMPUTED_VALUE"""),-15.0)</f>
        <v>-15</v>
      </c>
      <c r="BB203" s="16">
        <f>IFERROR(__xludf.DUMMYFUNCTION("""COMPUTED_VALUE"""),0.0)</f>
        <v>0</v>
      </c>
      <c r="BC203" s="16">
        <f>IFERROR(__xludf.DUMMYFUNCTION("""COMPUTED_VALUE"""),8.0)</f>
        <v>8</v>
      </c>
      <c r="BD203" s="16">
        <f>IFERROR(__xludf.DUMMYFUNCTION("""COMPUTED_VALUE"""),2.0)</f>
        <v>2</v>
      </c>
      <c r="BE203" s="16">
        <f>IFERROR(__xludf.DUMMYFUNCTION("""COMPUTED_VALUE"""),8.0)</f>
        <v>8</v>
      </c>
      <c r="BF203" s="16">
        <f>IFERROR(__xludf.DUMMYFUNCTION("""COMPUTED_VALUE"""),2.0)</f>
        <v>2</v>
      </c>
      <c r="BG203" s="16">
        <f>IFERROR(__xludf.DUMMYFUNCTION("""COMPUTED_VALUE"""),-3.0)</f>
        <v>-3</v>
      </c>
      <c r="BH203" s="16">
        <f>IFERROR(__xludf.DUMMYFUNCTION("""COMPUTED_VALUE"""),1.0)</f>
        <v>1</v>
      </c>
      <c r="BI203" s="16">
        <f>IFERROR(__xludf.DUMMYFUNCTION("""COMPUTED_VALUE"""),-6.0)</f>
        <v>-6</v>
      </c>
      <c r="BJ203" s="16">
        <f>IFERROR(__xludf.DUMMYFUNCTION("""COMPUTED_VALUE"""),2.0)</f>
        <v>2</v>
      </c>
      <c r="BK203" s="16">
        <f>IFERROR(__xludf.DUMMYFUNCTION("""COMPUTED_VALUE"""),5.0)</f>
        <v>5</v>
      </c>
      <c r="BL203" s="16">
        <f>IFERROR(__xludf.DUMMYFUNCTION("""COMPUTED_VALUE"""),5.0)</f>
        <v>5</v>
      </c>
      <c r="BM203" s="16">
        <f>IFERROR(__xludf.DUMMYFUNCTION("""COMPUTED_VALUE"""),0.0)</f>
        <v>0</v>
      </c>
      <c r="BN203" s="16">
        <f>IFERROR(__xludf.DUMMYFUNCTION("""COMPUTED_VALUE"""),0.0)</f>
        <v>0</v>
      </c>
      <c r="BO203" s="16">
        <f>IFERROR(__xludf.DUMMYFUNCTION("""COMPUTED_VALUE"""),0.0)</f>
        <v>0</v>
      </c>
      <c r="BP203" s="16">
        <f>IFERROR(__xludf.DUMMYFUNCTION("""COMPUTED_VALUE"""),0.0)</f>
        <v>0</v>
      </c>
      <c r="BQ203" s="16">
        <f>IFERROR(__xludf.DUMMYFUNCTION("""COMPUTED_VALUE"""),10.0)</f>
        <v>10</v>
      </c>
      <c r="BR203" s="16">
        <f>IFERROR(__xludf.DUMMYFUNCTION("""COMPUTED_VALUE"""),12.0)</f>
        <v>12</v>
      </c>
      <c r="BS203" s="16">
        <f>IFERROR(__xludf.DUMMYFUNCTION("""COMPUTED_VALUE"""),3.0)</f>
        <v>3</v>
      </c>
      <c r="BT203" s="16">
        <f>IFERROR(__xludf.DUMMYFUNCTION("""COMPUTED_VALUE"""),3.0)</f>
        <v>3</v>
      </c>
      <c r="BU203" s="16">
        <f>IFERROR(__xludf.DUMMYFUNCTION("""COMPUTED_VALUE"""),6.0)</f>
        <v>6</v>
      </c>
      <c r="BV203" s="16">
        <f>IFERROR(__xludf.DUMMYFUNCTION("""COMPUTED_VALUE"""),6.0)</f>
        <v>6</v>
      </c>
      <c r="BW203" s="16">
        <f>IFERROR(__xludf.DUMMYFUNCTION("""COMPUTED_VALUE"""),3.0)</f>
        <v>3</v>
      </c>
      <c r="BX203" s="16">
        <f>IFERROR(__xludf.DUMMYFUNCTION("""COMPUTED_VALUE"""),3.0)</f>
        <v>3</v>
      </c>
      <c r="BY203" s="16" t="str">
        <f>IFERROR(__xludf.DUMMYFUNCTION("""COMPUTED_VALUE"""),"R(1) C(5)")</f>
        <v>R(1) C(5)</v>
      </c>
      <c r="BZ203" s="16" t="str">
        <f>IFERROR(__xludf.DUMMYFUNCTION("""COMPUTED_VALUE"""),"R(1) C(5)")</f>
        <v>R(1) C(5)</v>
      </c>
      <c r="CA203" s="16" t="str">
        <f>IFERROR(__xludf.DUMMYFUNCTION("""COMPUTED_VALUE"""),"R(1)")</f>
        <v>R(1)</v>
      </c>
      <c r="CB203" s="16" t="str">
        <f>IFERROR(__xludf.DUMMYFUNCTION("""COMPUTED_VALUE"""),"C(5)")</f>
        <v>C(5)</v>
      </c>
      <c r="CC203" s="16"/>
      <c r="CD203" s="16"/>
      <c r="CE203" s="16">
        <f>IFERROR(__xludf.DUMMYFUNCTION("""COMPUTED_VALUE"""),1.0)</f>
        <v>1</v>
      </c>
      <c r="CF203" s="16">
        <f>IFERROR(__xludf.DUMMYFUNCTION("""COMPUTED_VALUE"""),5.0)</f>
        <v>5</v>
      </c>
      <c r="CG203" s="16" t="str">
        <f>IFERROR(__xludf.DUMMYFUNCTION("""COMPUTED_VALUE"""),"3-0")</f>
        <v>3-0</v>
      </c>
      <c r="CH203" s="16">
        <f>IFERROR(__xludf.DUMMYFUNCTION("""COMPUTED_VALUE"""),3.0)</f>
        <v>3</v>
      </c>
      <c r="CI203" s="16">
        <f>IFERROR(__xludf.DUMMYFUNCTION("""COMPUTED_VALUE"""),0.0)</f>
        <v>0</v>
      </c>
      <c r="CJ203" s="16">
        <f>IFERROR(__xludf.DUMMYFUNCTION("""COMPUTED_VALUE"""),0.0)</f>
        <v>0</v>
      </c>
      <c r="CK203" s="16">
        <f>IFERROR(__xludf.DUMMYFUNCTION("""COMPUTED_VALUE"""),4.0)</f>
        <v>4</v>
      </c>
      <c r="CL203" s="16" t="str">
        <f>IFERROR(__xludf.DUMMYFUNCTION("""COMPUTED_VALUE"""),"1WL-C")</f>
        <v>1WL-C</v>
      </c>
      <c r="CM203" s="16" t="str">
        <f>IFERROR(__xludf.DUMMYFUNCTION("""COMPUTED_VALUE"""),"E")</f>
        <v>E</v>
      </c>
      <c r="CN203" s="16">
        <f>IFERROR(__xludf.DUMMYFUNCTION("""COMPUTED_VALUE"""),10.0)</f>
        <v>10</v>
      </c>
      <c r="CO203" s="16" t="str">
        <f>IFERROR(__xludf.DUMMYFUNCTION("""COMPUTED_VALUE"""),"C")</f>
        <v>C</v>
      </c>
      <c r="CP203" s="16" t="str">
        <f>IFERROR(__xludf.DUMMYFUNCTION("""COMPUTED_VALUE"""),"3p50")</f>
        <v>3p50</v>
      </c>
      <c r="CQ203" s="16">
        <f>IFERROR(__xludf.DUMMYFUNCTION("""COMPUTED_VALUE"""),-2.0)</f>
        <v>-2</v>
      </c>
      <c r="CR203" s="16">
        <f>IFERROR(__xludf.DUMMYFUNCTION("""COMPUTED_VALUE"""),21.0)</f>
        <v>21</v>
      </c>
      <c r="CS203" s="16">
        <f>IFERROR(__xludf.DUMMYFUNCTION("""COMPUTED_VALUE"""),19.0)</f>
        <v>19</v>
      </c>
      <c r="CT203" s="16">
        <f>IFERROR(__xludf.DUMMYFUNCTION("""COMPUTED_VALUE"""),-2.0)</f>
        <v>-2</v>
      </c>
      <c r="CU203" s="16">
        <f>IFERROR(__xludf.DUMMYFUNCTION("""COMPUTED_VALUE"""),21.0)</f>
        <v>21</v>
      </c>
      <c r="CV203" s="179">
        <f>IFERROR(__xludf.DUMMYFUNCTION("""COMPUTED_VALUE"""),7.666666666666667)</f>
        <v>7.666666667</v>
      </c>
      <c r="CW203" s="179">
        <f>IFERROR(__xludf.DUMMYFUNCTION("""COMPUTED_VALUE"""),2.0)</f>
        <v>2</v>
      </c>
      <c r="CX203" s="179">
        <f>IFERROR(__xludf.DUMMYFUNCTION("""COMPUTED_VALUE"""),0.0)</f>
        <v>0</v>
      </c>
      <c r="CY203" s="16" t="str">
        <f>IFERROR(__xludf.DUMMYFUNCTION("""COMPUTED_VALUE"""),"RP")</f>
        <v>RP</v>
      </c>
      <c r="CZ203" s="16" t="str">
        <f>IFERROR(__xludf.DUMMYFUNCTION("""COMPUTED_VALUE"""),"CP")</f>
        <v>CP</v>
      </c>
      <c r="DA203" s="16"/>
      <c r="DB203" s="16"/>
      <c r="DC203" s="16"/>
      <c r="DD203" s="16"/>
      <c r="DE203" s="16"/>
      <c r="DF203" s="16"/>
      <c r="DG203" s="16"/>
      <c r="DH203" s="16"/>
      <c r="DI203" s="16"/>
      <c r="DJ203" s="16"/>
      <c r="DK203" s="16"/>
    </row>
    <row r="204">
      <c r="A204" s="16">
        <f>IFERROR(__xludf.DUMMYFUNCTION("""COMPUTED_VALUE"""),12552.0)</f>
        <v>12552</v>
      </c>
      <c r="B204" s="16" t="str">
        <f>IFERROR(__xludf.DUMMYFUNCTION("""COMPUTED_VALUE"""),"Anthony Banda")</f>
        <v>Anthony Banda</v>
      </c>
      <c r="C204" s="153">
        <f>IFERROR(__xludf.DUMMYFUNCTION("""COMPUTED_VALUE"""),0.48)</f>
        <v>0.48</v>
      </c>
      <c r="D204" s="16"/>
      <c r="E204" s="16" t="str">
        <f>IFERROR(__xludf.DUMMYFUNCTION("""COMPUTED_VALUE"""),"L")</f>
        <v>L</v>
      </c>
      <c r="F204" s="16">
        <f>IFERROR(__xludf.DUMMYFUNCTION("""COMPUTED_VALUE"""),50.0)</f>
        <v>50</v>
      </c>
      <c r="G204" s="16">
        <f>IFERROR(__xludf.DUMMYFUNCTION("""COMPUTED_VALUE"""),36.0)</f>
        <v>36</v>
      </c>
      <c r="H204" s="16">
        <f>IFERROR(__xludf.DUMMYFUNCTION("""COMPUTED_VALUE"""),25.0)</f>
        <v>25</v>
      </c>
      <c r="I204" s="16">
        <f>IFERROR(__xludf.DUMMYFUNCTION("""COMPUTED_VALUE"""),1.0)</f>
        <v>1</v>
      </c>
      <c r="J204" s="16">
        <f>IFERROR(__xludf.DUMMYFUNCTION("""COMPUTED_VALUE"""),0.0)</f>
        <v>0</v>
      </c>
      <c r="K204" s="16">
        <f>IFERROR(__xludf.DUMMYFUNCTION("""COMPUTED_VALUE"""),3.0)</f>
        <v>3</v>
      </c>
      <c r="L204" s="16">
        <f>IFERROR(__xludf.DUMMYFUNCTION("""COMPUTED_VALUE"""),0.0)</f>
        <v>0</v>
      </c>
      <c r="M204" s="16">
        <f>IFERROR(__xludf.DUMMYFUNCTION("""COMPUTED_VALUE"""),5.0)</f>
        <v>5</v>
      </c>
      <c r="N204" s="16">
        <f>IFERROR(__xludf.DUMMYFUNCTION("""COMPUTED_VALUE"""),4.0)</f>
        <v>4</v>
      </c>
      <c r="O204" s="16">
        <f>IFERROR(__xludf.DUMMYFUNCTION("""COMPUTED_VALUE"""),2.0)</f>
        <v>2</v>
      </c>
      <c r="P204" s="16">
        <f>IFERROR(__xludf.DUMMYFUNCTION("""COMPUTED_VALUE"""),2.0)</f>
        <v>2</v>
      </c>
      <c r="Q204" s="16">
        <f>IFERROR(__xludf.DUMMYFUNCTION("""COMPUTED_VALUE"""),2.0)</f>
        <v>2</v>
      </c>
      <c r="R204" s="16">
        <f>IFERROR(__xludf.DUMMYFUNCTION("""COMPUTED_VALUE"""),2.0)</f>
        <v>2</v>
      </c>
      <c r="S204" s="16">
        <f>IFERROR(__xludf.DUMMYFUNCTION("""COMPUTED_VALUE"""),12.9)</f>
        <v>12.9</v>
      </c>
      <c r="T204" s="16">
        <f>IFERROR(__xludf.DUMMYFUNCTION("""COMPUTED_VALUE"""),16.1)</f>
        <v>16.1</v>
      </c>
      <c r="U204" s="16">
        <f>IFERROR(__xludf.DUMMYFUNCTION("""COMPUTED_VALUE"""),0.0)</f>
        <v>0</v>
      </c>
      <c r="V204" s="16">
        <f>IFERROR(__xludf.DUMMYFUNCTION("""COMPUTED_VALUE"""),0.0)</f>
        <v>0</v>
      </c>
      <c r="W204" s="16">
        <f>IFERROR(__xludf.DUMMYFUNCTION("""COMPUTED_VALUE"""),0.0)</f>
        <v>0</v>
      </c>
      <c r="X204" s="16">
        <f>IFERROR(__xludf.DUMMYFUNCTION("""COMPUTED_VALUE"""),0.0)</f>
        <v>0</v>
      </c>
      <c r="Y204" s="16">
        <f>IFERROR(__xludf.DUMMYFUNCTION("""COMPUTED_VALUE"""),17.9)</f>
        <v>17.9</v>
      </c>
      <c r="Z204" s="16">
        <f>IFERROR(__xludf.DUMMYFUNCTION("""COMPUTED_VALUE"""),20.1)</f>
        <v>20.1</v>
      </c>
      <c r="AA204" s="16">
        <f>IFERROR(__xludf.DUMMYFUNCTION("""COMPUTED_VALUE"""),1.0)</f>
        <v>1</v>
      </c>
      <c r="AB204" s="16">
        <f>IFERROR(__xludf.DUMMYFUNCTION("""COMPUTED_VALUE"""),1.0)</f>
        <v>1</v>
      </c>
      <c r="AC204" s="16">
        <f>IFERROR(__xludf.DUMMYFUNCTION("""COMPUTED_VALUE"""),5.0)</f>
        <v>5</v>
      </c>
      <c r="AD204" s="16">
        <f>IFERROR(__xludf.DUMMYFUNCTION("""COMPUTED_VALUE"""),5.0)</f>
        <v>5</v>
      </c>
      <c r="AE204" s="16">
        <f>IFERROR(__xludf.DUMMYFUNCTION("""COMPUTED_VALUE"""),19.4)</f>
        <v>19.4</v>
      </c>
      <c r="AF204" s="16">
        <f>IFERROR(__xludf.DUMMYFUNCTION("""COMPUTED_VALUE"""),28.1)</f>
        <v>28.1</v>
      </c>
      <c r="AG204" s="16">
        <f>IFERROR(__xludf.DUMMYFUNCTION("""COMPUTED_VALUE"""),1.0)</f>
        <v>1</v>
      </c>
      <c r="AH204" s="16">
        <f>IFERROR(__xludf.DUMMYFUNCTION("""COMPUTED_VALUE"""),0.0)</f>
        <v>0</v>
      </c>
      <c r="AI204" s="16">
        <f>IFERROR(__xludf.DUMMYFUNCTION("""COMPUTED_VALUE"""),2.0)</f>
        <v>2</v>
      </c>
      <c r="AJ204" s="16">
        <f>IFERROR(__xludf.DUMMYFUNCTION("""COMPUTED_VALUE"""),0.0)</f>
        <v>0</v>
      </c>
      <c r="AK204" s="16">
        <f>IFERROR(__xludf.DUMMYFUNCTION("""COMPUTED_VALUE"""),12.9)</f>
        <v>12.9</v>
      </c>
      <c r="AL204" s="16">
        <f>IFERROR(__xludf.DUMMYFUNCTION("""COMPUTED_VALUE"""),13.100000000000001)</f>
        <v>13.1</v>
      </c>
      <c r="AM204" s="16">
        <f>IFERROR(__xludf.DUMMYFUNCTION("""COMPUTED_VALUE"""),0.0)</f>
        <v>0</v>
      </c>
      <c r="AN204" s="16">
        <f>IFERROR(__xludf.DUMMYFUNCTION("""COMPUTED_VALUE"""),0.0)</f>
        <v>0</v>
      </c>
      <c r="AO204" s="16">
        <f>IFERROR(__xludf.DUMMYFUNCTION("""COMPUTED_VALUE"""),0.0)</f>
        <v>0</v>
      </c>
      <c r="AP204" s="16">
        <f>IFERROR(__xludf.DUMMYFUNCTION("""COMPUTED_VALUE"""),0.0)</f>
        <v>0</v>
      </c>
      <c r="AQ204" s="16">
        <f>IFERROR(__xludf.DUMMYFUNCTION("""COMPUTED_VALUE"""),19.4)</f>
        <v>19.4</v>
      </c>
      <c r="AR204" s="16">
        <f>IFERROR(__xludf.DUMMYFUNCTION("""COMPUTED_VALUE"""),16.1)</f>
        <v>16.1</v>
      </c>
      <c r="AS204" s="16">
        <f>IFERROR(__xludf.DUMMYFUNCTION("""COMPUTED_VALUE"""),0.0)</f>
        <v>0</v>
      </c>
      <c r="AT204" s="16">
        <f>IFERROR(__xludf.DUMMYFUNCTION("""COMPUTED_VALUE"""),1.0)</f>
        <v>1</v>
      </c>
      <c r="AU204" s="16">
        <f>IFERROR(__xludf.DUMMYFUNCTION("""COMPUTED_VALUE"""),0.0)</f>
        <v>0</v>
      </c>
      <c r="AV204" s="16">
        <f>IFERROR(__xludf.DUMMYFUNCTION("""COMPUTED_VALUE"""),2.0)</f>
        <v>2</v>
      </c>
      <c r="AW204" s="16">
        <f>IFERROR(__xludf.DUMMYFUNCTION("""COMPUTED_VALUE"""),0.0)</f>
        <v>0</v>
      </c>
      <c r="AX204" s="16">
        <f>IFERROR(__xludf.DUMMYFUNCTION("""COMPUTED_VALUE"""),3.0)</f>
        <v>3</v>
      </c>
      <c r="AY204" s="16">
        <f>IFERROR(__xludf.DUMMYFUNCTION("""COMPUTED_VALUE"""),2.0)</f>
        <v>2</v>
      </c>
      <c r="AZ204" s="16">
        <f>IFERROR(__xludf.DUMMYFUNCTION("""COMPUTED_VALUE"""),-1.0)</f>
        <v>-1</v>
      </c>
      <c r="BA204" s="16">
        <f>IFERROR(__xludf.DUMMYFUNCTION("""COMPUTED_VALUE"""),10.0)</f>
        <v>10</v>
      </c>
      <c r="BB204" s="16">
        <f>IFERROR(__xludf.DUMMYFUNCTION("""COMPUTED_VALUE"""),-5.0)</f>
        <v>-5</v>
      </c>
      <c r="BC204" s="16">
        <f>IFERROR(__xludf.DUMMYFUNCTION("""COMPUTED_VALUE"""),0.0)</f>
        <v>0</v>
      </c>
      <c r="BD204" s="16">
        <f>IFERROR(__xludf.DUMMYFUNCTION("""COMPUTED_VALUE"""),5.0)</f>
        <v>5</v>
      </c>
      <c r="BE204" s="16">
        <f>IFERROR(__xludf.DUMMYFUNCTION("""COMPUTED_VALUE"""),0.0)</f>
        <v>0</v>
      </c>
      <c r="BF204" s="16">
        <f>IFERROR(__xludf.DUMMYFUNCTION("""COMPUTED_VALUE"""),5.0)</f>
        <v>5</v>
      </c>
      <c r="BG204" s="16">
        <f>IFERROR(__xludf.DUMMYFUNCTION("""COMPUTED_VALUE"""),3.0)</f>
        <v>3</v>
      </c>
      <c r="BH204" s="16">
        <f>IFERROR(__xludf.DUMMYFUNCTION("""COMPUTED_VALUE"""),-2.0)</f>
        <v>-2</v>
      </c>
      <c r="BI204" s="16">
        <f>IFERROR(__xludf.DUMMYFUNCTION("""COMPUTED_VALUE"""),6.0)</f>
        <v>6</v>
      </c>
      <c r="BJ204" s="16">
        <f>IFERROR(__xludf.DUMMYFUNCTION("""COMPUTED_VALUE"""),-4.0)</f>
        <v>-4</v>
      </c>
      <c r="BK204" s="16">
        <f>IFERROR(__xludf.DUMMYFUNCTION("""COMPUTED_VALUE"""),5.0)</f>
        <v>5</v>
      </c>
      <c r="BL204" s="16">
        <f>IFERROR(__xludf.DUMMYFUNCTION("""COMPUTED_VALUE"""),5.0)</f>
        <v>5</v>
      </c>
      <c r="BM204" s="16">
        <f>IFERROR(__xludf.DUMMYFUNCTION("""COMPUTED_VALUE"""),0.0)</f>
        <v>0</v>
      </c>
      <c r="BN204" s="16">
        <f>IFERROR(__xludf.DUMMYFUNCTION("""COMPUTED_VALUE"""),0.0)</f>
        <v>0</v>
      </c>
      <c r="BO204" s="16">
        <f>IFERROR(__xludf.DUMMYFUNCTION("""COMPUTED_VALUE"""),0.0)</f>
        <v>0</v>
      </c>
      <c r="BP204" s="16">
        <f>IFERROR(__xludf.DUMMYFUNCTION("""COMPUTED_VALUE"""),0.0)</f>
        <v>0</v>
      </c>
      <c r="BQ204" s="16">
        <f>IFERROR(__xludf.DUMMYFUNCTION("""COMPUTED_VALUE"""),0.0)</f>
        <v>0</v>
      </c>
      <c r="BR204" s="16">
        <f>IFERROR(__xludf.DUMMYFUNCTION("""COMPUTED_VALUE"""),0.0)</f>
        <v>0</v>
      </c>
      <c r="BS204" s="16">
        <f>IFERROR(__xludf.DUMMYFUNCTION("""COMPUTED_VALUE"""),-3.0)</f>
        <v>-3</v>
      </c>
      <c r="BT204" s="16">
        <f>IFERROR(__xludf.DUMMYFUNCTION("""COMPUTED_VALUE"""),-3.0)</f>
        <v>-3</v>
      </c>
      <c r="BU204" s="16">
        <f>IFERROR(__xludf.DUMMYFUNCTION("""COMPUTED_VALUE"""),-6.0)</f>
        <v>-6</v>
      </c>
      <c r="BV204" s="16">
        <f>IFERROR(__xludf.DUMMYFUNCTION("""COMPUTED_VALUE"""),-6.0)</f>
        <v>-6</v>
      </c>
      <c r="BW204" s="16">
        <f>IFERROR(__xludf.DUMMYFUNCTION("""COMPUTED_VALUE"""),3.0)</f>
        <v>3</v>
      </c>
      <c r="BX204" s="16">
        <f>IFERROR(__xludf.DUMMYFUNCTION("""COMPUTED_VALUE"""),3.0)</f>
        <v>3</v>
      </c>
      <c r="BY204" s="16" t="str">
        <f>IFERROR(__xludf.DUMMYFUNCTION("""COMPUTED_VALUE"""),"S(1) R(1) C(1)")</f>
        <v>S(1) R(1) C(1)</v>
      </c>
      <c r="BZ204" s="16" t="str">
        <f>IFERROR(__xludf.DUMMYFUNCTION("""COMPUTED_VALUE"""),"S(1) R(1) C(1)")</f>
        <v>S(1) R(1) C(1)</v>
      </c>
      <c r="CA204" s="16" t="str">
        <f>IFERROR(__xludf.DUMMYFUNCTION("""COMPUTED_VALUE"""),"S(1)")</f>
        <v>S(1)</v>
      </c>
      <c r="CB204" s="16" t="str">
        <f>IFERROR(__xludf.DUMMYFUNCTION("""COMPUTED_VALUE"""),"R(1)")</f>
        <v>R(1)</v>
      </c>
      <c r="CC204" s="16" t="str">
        <f>IFERROR(__xludf.DUMMYFUNCTION("""COMPUTED_VALUE"""),"C(1)")</f>
        <v>C(1)</v>
      </c>
      <c r="CD204" s="16">
        <f>IFERROR(__xludf.DUMMYFUNCTION("""COMPUTED_VALUE"""),1.0)</f>
        <v>1</v>
      </c>
      <c r="CE204" s="16">
        <f>IFERROR(__xludf.DUMMYFUNCTION("""COMPUTED_VALUE"""),1.0)</f>
        <v>1</v>
      </c>
      <c r="CF204" s="16">
        <f>IFERROR(__xludf.DUMMYFUNCTION("""COMPUTED_VALUE"""),1.0)</f>
        <v>1</v>
      </c>
      <c r="CG204" s="16" t="str">
        <f>IFERROR(__xludf.DUMMYFUNCTION("""COMPUTED_VALUE"""),"4-0")</f>
        <v>4-0</v>
      </c>
      <c r="CH204" s="16">
        <f>IFERROR(__xludf.DUMMYFUNCTION("""COMPUTED_VALUE"""),4.0)</f>
        <v>4</v>
      </c>
      <c r="CI204" s="16">
        <f>IFERROR(__xludf.DUMMYFUNCTION("""COMPUTED_VALUE"""),0.0)</f>
        <v>0</v>
      </c>
      <c r="CJ204" s="16">
        <f>IFERROR(__xludf.DUMMYFUNCTION("""COMPUTED_VALUE"""),0.0)</f>
        <v>0</v>
      </c>
      <c r="CK204" s="16">
        <f>IFERROR(__xludf.DUMMYFUNCTION("""COMPUTED_VALUE"""),4.0)</f>
        <v>4</v>
      </c>
      <c r="CL204" s="16" t="str">
        <f>IFERROR(__xludf.DUMMYFUNCTION("""COMPUTED_VALUE"""),"1WL-C")</f>
        <v>1WL-C</v>
      </c>
      <c r="CM204" s="16" t="str">
        <f>IFERROR(__xludf.DUMMYFUNCTION("""COMPUTED_VALUE"""),"E")</f>
        <v>E</v>
      </c>
      <c r="CN204" s="16">
        <f>IFERROR(__xludf.DUMMYFUNCTION("""COMPUTED_VALUE"""),10.0)</f>
        <v>10</v>
      </c>
      <c r="CO204" s="16" t="str">
        <f>IFERROR(__xludf.DUMMYFUNCTION("""COMPUTED_VALUE"""),"C")</f>
        <v>C</v>
      </c>
      <c r="CP204" s="16" t="str">
        <f>IFERROR(__xludf.DUMMYFUNCTION("""COMPUTED_VALUE"""),"2p40")</f>
        <v>2p40</v>
      </c>
      <c r="CQ204" s="16">
        <f>IFERROR(__xludf.DUMMYFUNCTION("""COMPUTED_VALUE"""),22.0)</f>
        <v>22</v>
      </c>
      <c r="CR204" s="16">
        <f>IFERROR(__xludf.DUMMYFUNCTION("""COMPUTED_VALUE"""),-6.0)</f>
        <v>-6</v>
      </c>
      <c r="CS204" s="16">
        <f>IFERROR(__xludf.DUMMYFUNCTION("""COMPUTED_VALUE"""),16.0)</f>
        <v>16</v>
      </c>
      <c r="CT204" s="16">
        <f>IFERROR(__xludf.DUMMYFUNCTION("""COMPUTED_VALUE"""),22.0)</f>
        <v>22</v>
      </c>
      <c r="CU204" s="16">
        <f>IFERROR(__xludf.DUMMYFUNCTION("""COMPUTED_VALUE"""),-6.0)</f>
        <v>-6</v>
      </c>
      <c r="CV204" s="179">
        <f>IFERROR(__xludf.DUMMYFUNCTION("""COMPUTED_VALUE"""),7.333333333333334)</f>
        <v>7.333333333</v>
      </c>
      <c r="CW204" s="179">
        <f>IFERROR(__xludf.DUMMYFUNCTION("""COMPUTED_VALUE"""),3.0)</f>
        <v>3</v>
      </c>
      <c r="CX204" s="179">
        <f>IFERROR(__xludf.DUMMYFUNCTION("""COMPUTED_VALUE"""),1.0)</f>
        <v>1</v>
      </c>
      <c r="CY204" s="16" t="str">
        <f>IFERROR(__xludf.DUMMYFUNCTION("""COMPUTED_VALUE"""),"SP")</f>
        <v>SP</v>
      </c>
      <c r="CZ204" s="16" t="str">
        <f>IFERROR(__xludf.DUMMYFUNCTION("""COMPUTED_VALUE"""),"RP")</f>
        <v>RP</v>
      </c>
      <c r="DA204" s="16" t="str">
        <f>IFERROR(__xludf.DUMMYFUNCTION("""COMPUTED_VALUE"""),"CP")</f>
        <v>CP</v>
      </c>
      <c r="DB204" s="16"/>
      <c r="DC204" s="16"/>
      <c r="DD204" s="16"/>
      <c r="DE204" s="16"/>
      <c r="DF204" s="16"/>
      <c r="DG204" s="16"/>
      <c r="DH204" s="16"/>
      <c r="DI204" s="16"/>
      <c r="DJ204" s="16"/>
      <c r="DK204" s="16"/>
    </row>
    <row r="205">
      <c r="A205" s="16">
        <f>IFERROR(__xludf.DUMMYFUNCTION("""COMPUTED_VALUE"""),12791.0)</f>
        <v>12791</v>
      </c>
      <c r="B205" s="16" t="str">
        <f>IFERROR(__xludf.DUMMYFUNCTION("""COMPUTED_VALUE"""),"Elvis Peguero")</f>
        <v>Elvis Peguero</v>
      </c>
      <c r="C205" s="153">
        <f>IFERROR(__xludf.DUMMYFUNCTION("""COMPUTED_VALUE"""),0.37)</f>
        <v>0.37</v>
      </c>
      <c r="D205" s="16"/>
      <c r="E205" s="16" t="str">
        <f>IFERROR(__xludf.DUMMYFUNCTION("""COMPUTED_VALUE"""),"R")</f>
        <v>R</v>
      </c>
      <c r="F205" s="16">
        <f>IFERROR(__xludf.DUMMYFUNCTION("""COMPUTED_VALUE"""),51.0)</f>
        <v>51</v>
      </c>
      <c r="G205" s="16">
        <f>IFERROR(__xludf.DUMMYFUNCTION("""COMPUTED_VALUE"""),27.0)</f>
        <v>27</v>
      </c>
      <c r="H205" s="16">
        <f>IFERROR(__xludf.DUMMYFUNCTION("""COMPUTED_VALUE"""),17.0)</f>
        <v>17</v>
      </c>
      <c r="I205" s="16">
        <f>IFERROR(__xludf.DUMMYFUNCTION("""COMPUTED_VALUE"""),0.0)</f>
        <v>0</v>
      </c>
      <c r="J205" s="16">
        <f>IFERROR(__xludf.DUMMYFUNCTION("""COMPUTED_VALUE"""),-1.0)</f>
        <v>-1</v>
      </c>
      <c r="K205" s="16">
        <f>IFERROR(__xludf.DUMMYFUNCTION("""COMPUTED_VALUE"""),0.0)</f>
        <v>0</v>
      </c>
      <c r="L205" s="16">
        <f>IFERROR(__xludf.DUMMYFUNCTION("""COMPUTED_VALUE"""),-3.0)</f>
        <v>-3</v>
      </c>
      <c r="M205" s="16">
        <f>IFERROR(__xludf.DUMMYFUNCTION("""COMPUTED_VALUE"""),5.0)</f>
        <v>5</v>
      </c>
      <c r="N205" s="16">
        <f>IFERROR(__xludf.DUMMYFUNCTION("""COMPUTED_VALUE"""),21.0)</f>
        <v>21</v>
      </c>
      <c r="O205" s="16">
        <f>IFERROR(__xludf.DUMMYFUNCTION("""COMPUTED_VALUE"""),2.0)</f>
        <v>2</v>
      </c>
      <c r="P205" s="16">
        <f>IFERROR(__xludf.DUMMYFUNCTION("""COMPUTED_VALUE"""),-3.0)</f>
        <v>-3</v>
      </c>
      <c r="Q205" s="16">
        <f>IFERROR(__xludf.DUMMYFUNCTION("""COMPUTED_VALUE"""),2.0)</f>
        <v>2</v>
      </c>
      <c r="R205" s="16">
        <f>IFERROR(__xludf.DUMMYFUNCTION("""COMPUTED_VALUE"""),-3.0)</f>
        <v>-3</v>
      </c>
      <c r="S205" s="16">
        <f>IFERROR(__xludf.DUMMYFUNCTION("""COMPUTED_VALUE"""),26.1)</f>
        <v>26.1</v>
      </c>
      <c r="T205" s="16">
        <f>IFERROR(__xludf.DUMMYFUNCTION("""COMPUTED_VALUE"""),20.0)</f>
        <v>20</v>
      </c>
      <c r="U205" s="16">
        <f>IFERROR(__xludf.DUMMYFUNCTION("""COMPUTED_VALUE"""),-2.0)</f>
        <v>-2</v>
      </c>
      <c r="V205" s="16">
        <f>IFERROR(__xludf.DUMMYFUNCTION("""COMPUTED_VALUE"""),-1.0)</f>
        <v>-1</v>
      </c>
      <c r="W205" s="16">
        <f>IFERROR(__xludf.DUMMYFUNCTION("""COMPUTED_VALUE"""),-4.0)</f>
        <v>-4</v>
      </c>
      <c r="X205" s="16">
        <f>IFERROR(__xludf.DUMMYFUNCTION("""COMPUTED_VALUE"""),-2.0)</f>
        <v>-2</v>
      </c>
      <c r="Y205" s="16">
        <f>IFERROR(__xludf.DUMMYFUNCTION("""COMPUTED_VALUE"""),31.1)</f>
        <v>31.1</v>
      </c>
      <c r="Z205" s="16">
        <f>IFERROR(__xludf.DUMMYFUNCTION("""COMPUTED_VALUE"""),41.0)</f>
        <v>41</v>
      </c>
      <c r="AA205" s="16">
        <f>IFERROR(__xludf.DUMMYFUNCTION("""COMPUTED_VALUE"""),-1.0)</f>
        <v>-1</v>
      </c>
      <c r="AB205" s="16">
        <f>IFERROR(__xludf.DUMMYFUNCTION("""COMPUTED_VALUE"""),-2.0)</f>
        <v>-2</v>
      </c>
      <c r="AC205" s="16">
        <f>IFERROR(__xludf.DUMMYFUNCTION("""COMPUTED_VALUE"""),-5.0)</f>
        <v>-5</v>
      </c>
      <c r="AD205" s="16">
        <f>IFERROR(__xludf.DUMMYFUNCTION("""COMPUTED_VALUE"""),-10.0)</f>
        <v>-10</v>
      </c>
      <c r="AE205" s="16">
        <f>IFERROR(__xludf.DUMMYFUNCTION("""COMPUTED_VALUE"""),31.0)</f>
        <v>31</v>
      </c>
      <c r="AF205" s="16">
        <f>IFERROR(__xludf.DUMMYFUNCTION("""COMPUTED_VALUE"""),23.1)</f>
        <v>23.1</v>
      </c>
      <c r="AG205" s="16">
        <f>IFERROR(__xludf.DUMMYFUNCTION("""COMPUTED_VALUE"""),0.0)</f>
        <v>0</v>
      </c>
      <c r="AH205" s="16">
        <f>IFERROR(__xludf.DUMMYFUNCTION("""COMPUTED_VALUE"""),1.0)</f>
        <v>1</v>
      </c>
      <c r="AI205" s="16">
        <f>IFERROR(__xludf.DUMMYFUNCTION("""COMPUTED_VALUE"""),0.0)</f>
        <v>0</v>
      </c>
      <c r="AJ205" s="16">
        <f>IFERROR(__xludf.DUMMYFUNCTION("""COMPUTED_VALUE"""),2.0)</f>
        <v>2</v>
      </c>
      <c r="AK205" s="16">
        <f>IFERROR(__xludf.DUMMYFUNCTION("""COMPUTED_VALUE"""),26.1)</f>
        <v>26.1</v>
      </c>
      <c r="AL205" s="16">
        <f>IFERROR(__xludf.DUMMYFUNCTION("""COMPUTED_VALUE"""),19.0)</f>
        <v>19</v>
      </c>
      <c r="AM205" s="16">
        <f>IFERROR(__xludf.DUMMYFUNCTION("""COMPUTED_VALUE"""),-2.0)</f>
        <v>-2</v>
      </c>
      <c r="AN205" s="16">
        <f>IFERROR(__xludf.DUMMYFUNCTION("""COMPUTED_VALUE"""),-1.0)</f>
        <v>-1</v>
      </c>
      <c r="AO205" s="16">
        <f>IFERROR(__xludf.DUMMYFUNCTION("""COMPUTED_VALUE"""),-2.0)</f>
        <v>-2</v>
      </c>
      <c r="AP205" s="16">
        <f>IFERROR(__xludf.DUMMYFUNCTION("""COMPUTED_VALUE"""),-1.0)</f>
        <v>-1</v>
      </c>
      <c r="AQ205" s="16">
        <f>IFERROR(__xludf.DUMMYFUNCTION("""COMPUTED_VALUE"""),31.0)</f>
        <v>31</v>
      </c>
      <c r="AR205" s="16">
        <f>IFERROR(__xludf.DUMMYFUNCTION("""COMPUTED_VALUE"""),19.1)</f>
        <v>19.1</v>
      </c>
      <c r="AS205" s="16">
        <f>IFERROR(__xludf.DUMMYFUNCTION("""COMPUTED_VALUE"""),-1.0)</f>
        <v>-1</v>
      </c>
      <c r="AT205" s="16">
        <f>IFERROR(__xludf.DUMMYFUNCTION("""COMPUTED_VALUE"""),0.0)</f>
        <v>0</v>
      </c>
      <c r="AU205" s="16">
        <f>IFERROR(__xludf.DUMMYFUNCTION("""COMPUTED_VALUE"""),-2.0)</f>
        <v>-2</v>
      </c>
      <c r="AV205" s="16">
        <f>IFERROR(__xludf.DUMMYFUNCTION("""COMPUTED_VALUE"""),0.0)</f>
        <v>0</v>
      </c>
      <c r="AW205" s="16">
        <f>IFERROR(__xludf.DUMMYFUNCTION("""COMPUTED_VALUE"""),0.0)</f>
        <v>0</v>
      </c>
      <c r="AX205" s="16">
        <f>IFERROR(__xludf.DUMMYFUNCTION("""COMPUTED_VALUE"""),1.0)</f>
        <v>1</v>
      </c>
      <c r="AY205" s="16">
        <f>IFERROR(__xludf.DUMMYFUNCTION("""COMPUTED_VALUE"""),2.0)</f>
        <v>2</v>
      </c>
      <c r="AZ205" s="16">
        <f>IFERROR(__xludf.DUMMYFUNCTION("""COMPUTED_VALUE"""),1.0)</f>
        <v>1</v>
      </c>
      <c r="BA205" s="16">
        <f>IFERROR(__xludf.DUMMYFUNCTION("""COMPUTED_VALUE"""),10.0)</f>
        <v>10</v>
      </c>
      <c r="BB205" s="16">
        <f>IFERROR(__xludf.DUMMYFUNCTION("""COMPUTED_VALUE"""),5.0)</f>
        <v>5</v>
      </c>
      <c r="BC205" s="16">
        <f>IFERROR(__xludf.DUMMYFUNCTION("""COMPUTED_VALUE"""),0.0)</f>
        <v>0</v>
      </c>
      <c r="BD205" s="16">
        <f>IFERROR(__xludf.DUMMYFUNCTION("""COMPUTED_VALUE"""),1.0)</f>
        <v>1</v>
      </c>
      <c r="BE205" s="16">
        <f>IFERROR(__xludf.DUMMYFUNCTION("""COMPUTED_VALUE"""),0.0)</f>
        <v>0</v>
      </c>
      <c r="BF205" s="16">
        <f>IFERROR(__xludf.DUMMYFUNCTION("""COMPUTED_VALUE"""),1.0)</f>
        <v>1</v>
      </c>
      <c r="BG205" s="16">
        <f>IFERROR(__xludf.DUMMYFUNCTION("""COMPUTED_VALUE"""),3.0)</f>
        <v>3</v>
      </c>
      <c r="BH205" s="16">
        <f>IFERROR(__xludf.DUMMYFUNCTION("""COMPUTED_VALUE"""),2.0)</f>
        <v>2</v>
      </c>
      <c r="BI205" s="16">
        <f>IFERROR(__xludf.DUMMYFUNCTION("""COMPUTED_VALUE"""),6.0)</f>
        <v>6</v>
      </c>
      <c r="BJ205" s="16">
        <f>IFERROR(__xludf.DUMMYFUNCTION("""COMPUTED_VALUE"""),4.0)</f>
        <v>4</v>
      </c>
      <c r="BK205" s="16">
        <f>IFERROR(__xludf.DUMMYFUNCTION("""COMPUTED_VALUE"""),5.0)</f>
        <v>5</v>
      </c>
      <c r="BL205" s="16">
        <f>IFERROR(__xludf.DUMMYFUNCTION("""COMPUTED_VALUE"""),5.0)</f>
        <v>5</v>
      </c>
      <c r="BM205" s="16">
        <f>IFERROR(__xludf.DUMMYFUNCTION("""COMPUTED_VALUE"""),0.0)</f>
        <v>0</v>
      </c>
      <c r="BN205" s="16">
        <f>IFERROR(__xludf.DUMMYFUNCTION("""COMPUTED_VALUE"""),0.0)</f>
        <v>0</v>
      </c>
      <c r="BO205" s="16">
        <f>IFERROR(__xludf.DUMMYFUNCTION("""COMPUTED_VALUE"""),0.0)</f>
        <v>0</v>
      </c>
      <c r="BP205" s="16">
        <f>IFERROR(__xludf.DUMMYFUNCTION("""COMPUTED_VALUE"""),0.0)</f>
        <v>0</v>
      </c>
      <c r="BQ205" s="16">
        <f>IFERROR(__xludf.DUMMYFUNCTION("""COMPUTED_VALUE"""),11.0)</f>
        <v>11</v>
      </c>
      <c r="BR205" s="16">
        <f>IFERROR(__xludf.DUMMYFUNCTION("""COMPUTED_VALUE"""),10.0)</f>
        <v>10</v>
      </c>
      <c r="BS205" s="16">
        <f>IFERROR(__xludf.DUMMYFUNCTION("""COMPUTED_VALUE"""),3.0)</f>
        <v>3</v>
      </c>
      <c r="BT205" s="16">
        <f>IFERROR(__xludf.DUMMYFUNCTION("""COMPUTED_VALUE"""),3.0)</f>
        <v>3</v>
      </c>
      <c r="BU205" s="16">
        <f>IFERROR(__xludf.DUMMYFUNCTION("""COMPUTED_VALUE"""),6.0)</f>
        <v>6</v>
      </c>
      <c r="BV205" s="16">
        <f>IFERROR(__xludf.DUMMYFUNCTION("""COMPUTED_VALUE"""),6.0)</f>
        <v>6</v>
      </c>
      <c r="BW205" s="16">
        <f>IFERROR(__xludf.DUMMYFUNCTION("""COMPUTED_VALUE"""),1.0)</f>
        <v>1</v>
      </c>
      <c r="BX205" s="16">
        <f>IFERROR(__xludf.DUMMYFUNCTION("""COMPUTED_VALUE"""),1.0)</f>
        <v>1</v>
      </c>
      <c r="BY205" s="16" t="str">
        <f>IFERROR(__xludf.DUMMYFUNCTION("""COMPUTED_VALUE"""),"R(1) C(1)")</f>
        <v>R(1) C(1)</v>
      </c>
      <c r="BZ205" s="16" t="str">
        <f>IFERROR(__xludf.DUMMYFUNCTION("""COMPUTED_VALUE"""),"R(1) C(1)")</f>
        <v>R(1) C(1)</v>
      </c>
      <c r="CA205" s="16" t="str">
        <f>IFERROR(__xludf.DUMMYFUNCTION("""COMPUTED_VALUE"""),"R(1)")</f>
        <v>R(1)</v>
      </c>
      <c r="CB205" s="16" t="str">
        <f>IFERROR(__xludf.DUMMYFUNCTION("""COMPUTED_VALUE"""),"C(1)")</f>
        <v>C(1)</v>
      </c>
      <c r="CC205" s="16"/>
      <c r="CD205" s="16"/>
      <c r="CE205" s="16">
        <f>IFERROR(__xludf.DUMMYFUNCTION("""COMPUTED_VALUE"""),1.0)</f>
        <v>1</v>
      </c>
      <c r="CF205" s="16">
        <f>IFERROR(__xludf.DUMMYFUNCTION("""COMPUTED_VALUE"""),1.0)</f>
        <v>1</v>
      </c>
      <c r="CG205" s="16" t="str">
        <f>IFERROR(__xludf.DUMMYFUNCTION("""COMPUTED_VALUE"""),"4-28")</f>
        <v>4-28</v>
      </c>
      <c r="CH205" s="16">
        <f>IFERROR(__xludf.DUMMYFUNCTION("""COMPUTED_VALUE"""),4.0)</f>
        <v>4</v>
      </c>
      <c r="CI205" s="16">
        <f>IFERROR(__xludf.DUMMYFUNCTION("""COMPUTED_VALUE"""),28.0)</f>
        <v>28</v>
      </c>
      <c r="CJ205" s="16">
        <f>IFERROR(__xludf.DUMMYFUNCTION("""COMPUTED_VALUE"""),7.0)</f>
        <v>7</v>
      </c>
      <c r="CK205" s="16">
        <f>IFERROR(__xludf.DUMMYFUNCTION("""COMPUTED_VALUE"""),20.0)</f>
        <v>20</v>
      </c>
      <c r="CL205" s="16" t="str">
        <f>IFERROR(__xludf.DUMMYFUNCTION("""COMPUTED_VALUE"""),"1WR-C")</f>
        <v>1WR-C</v>
      </c>
      <c r="CM205" s="16" t="str">
        <f>IFERROR(__xludf.DUMMYFUNCTION("""COMPUTED_VALUE"""),"E")</f>
        <v>E</v>
      </c>
      <c r="CN205" s="16">
        <f>IFERROR(__xludf.DUMMYFUNCTION("""COMPUTED_VALUE"""),10.0)</f>
        <v>10</v>
      </c>
      <c r="CO205" s="16" t="str">
        <f>IFERROR(__xludf.DUMMYFUNCTION("""COMPUTED_VALUE"""),"C")</f>
        <v>C</v>
      </c>
      <c r="CP205" s="16" t="str">
        <f>IFERROR(__xludf.DUMMYFUNCTION("""COMPUTED_VALUE"""),"1p40")</f>
        <v>1p40</v>
      </c>
      <c r="CQ205" s="16">
        <f>IFERROR(__xludf.DUMMYFUNCTION("""COMPUTED_VALUE"""),11.0)</f>
        <v>11</v>
      </c>
      <c r="CR205" s="16">
        <f>IFERROR(__xludf.DUMMYFUNCTION("""COMPUTED_VALUE"""),-2.0)</f>
        <v>-2</v>
      </c>
      <c r="CS205" s="16">
        <f>IFERROR(__xludf.DUMMYFUNCTION("""COMPUTED_VALUE"""),9.0)</f>
        <v>9</v>
      </c>
      <c r="CT205" s="16">
        <f>IFERROR(__xludf.DUMMYFUNCTION("""COMPUTED_VALUE"""),11.0)</f>
        <v>11</v>
      </c>
      <c r="CU205" s="16">
        <f>IFERROR(__xludf.DUMMYFUNCTION("""COMPUTED_VALUE"""),-2.0)</f>
        <v>-2</v>
      </c>
      <c r="CV205" s="179">
        <f>IFERROR(__xludf.DUMMYFUNCTION("""COMPUTED_VALUE"""),7.333333333333334)</f>
        <v>7.333333333</v>
      </c>
      <c r="CW205" s="179">
        <f>IFERROR(__xludf.DUMMYFUNCTION("""COMPUTED_VALUE"""),4.0)</f>
        <v>4</v>
      </c>
      <c r="CX205" s="179">
        <f>IFERROR(__xludf.DUMMYFUNCTION("""COMPUTED_VALUE"""),1.0)</f>
        <v>1</v>
      </c>
      <c r="CY205" s="16" t="str">
        <f>IFERROR(__xludf.DUMMYFUNCTION("""COMPUTED_VALUE"""),"RP")</f>
        <v>RP</v>
      </c>
      <c r="CZ205" s="16" t="str">
        <f>IFERROR(__xludf.DUMMYFUNCTION("""COMPUTED_VALUE"""),"CP")</f>
        <v>CP</v>
      </c>
      <c r="DA205" s="16"/>
      <c r="DB205" s="16"/>
      <c r="DC205" s="16"/>
      <c r="DD205" s="16"/>
      <c r="DE205" s="16"/>
      <c r="DF205" s="16"/>
      <c r="DG205" s="16"/>
      <c r="DH205" s="16"/>
      <c r="DI205" s="16"/>
      <c r="DJ205" s="16"/>
      <c r="DK205" s="16"/>
    </row>
    <row r="206">
      <c r="A206" s="16">
        <f>IFERROR(__xludf.DUMMYFUNCTION("""COMPUTED_VALUE"""),13202.0)</f>
        <v>13202</v>
      </c>
      <c r="B206" s="16" t="str">
        <f>IFERROR(__xludf.DUMMYFUNCTION("""COMPUTED_VALUE"""),"Michael Tonkin")</f>
        <v>Michael Tonkin</v>
      </c>
      <c r="C206" s="153">
        <f>IFERROR(__xludf.DUMMYFUNCTION("""COMPUTED_VALUE"""),0.0)</f>
        <v>0</v>
      </c>
      <c r="D206" s="16"/>
      <c r="E206" s="16" t="str">
        <f>IFERROR(__xludf.DUMMYFUNCTION("""COMPUTED_VALUE"""),"R")</f>
        <v>R</v>
      </c>
      <c r="F206" s="16">
        <f>IFERROR(__xludf.DUMMYFUNCTION("""COMPUTED_VALUE"""),79.0)</f>
        <v>79</v>
      </c>
      <c r="G206" s="16">
        <f>IFERROR(__xludf.DUMMYFUNCTION("""COMPUTED_VALUE"""),23.0)</f>
        <v>23</v>
      </c>
      <c r="H206" s="16">
        <f>IFERROR(__xludf.DUMMYFUNCTION("""COMPUTED_VALUE"""),36.0)</f>
        <v>36</v>
      </c>
      <c r="I206" s="16">
        <f>IFERROR(__xludf.DUMMYFUNCTION("""COMPUTED_VALUE"""),-1.0)</f>
        <v>-1</v>
      </c>
      <c r="J206" s="16">
        <f>IFERROR(__xludf.DUMMYFUNCTION("""COMPUTED_VALUE"""),1.0)</f>
        <v>1</v>
      </c>
      <c r="K206" s="16">
        <f>IFERROR(__xludf.DUMMYFUNCTION("""COMPUTED_VALUE"""),-3.0)</f>
        <v>-3</v>
      </c>
      <c r="L206" s="16">
        <f>IFERROR(__xludf.DUMMYFUNCTION("""COMPUTED_VALUE"""),3.0)</f>
        <v>3</v>
      </c>
      <c r="M206" s="16">
        <f>IFERROR(__xludf.DUMMYFUNCTION("""COMPUTED_VALUE"""),12.0)</f>
        <v>12</v>
      </c>
      <c r="N206" s="16">
        <f>IFERROR(__xludf.DUMMYFUNCTION("""COMPUTED_VALUE"""),10.0)</f>
        <v>10</v>
      </c>
      <c r="O206" s="16">
        <f>IFERROR(__xludf.DUMMYFUNCTION("""COMPUTED_VALUE"""),-1.0)</f>
        <v>-1</v>
      </c>
      <c r="P206" s="16">
        <f>IFERROR(__xludf.DUMMYFUNCTION("""COMPUTED_VALUE"""),-1.0)</f>
        <v>-1</v>
      </c>
      <c r="Q206" s="16">
        <f>IFERROR(__xludf.DUMMYFUNCTION("""COMPUTED_VALUE"""),-1.0)</f>
        <v>-1</v>
      </c>
      <c r="R206" s="16">
        <f>IFERROR(__xludf.DUMMYFUNCTION("""COMPUTED_VALUE"""),-1.0)</f>
        <v>-1</v>
      </c>
      <c r="S206" s="16">
        <f>IFERROR(__xludf.DUMMYFUNCTION("""COMPUTED_VALUE"""),16.1)</f>
        <v>16.1</v>
      </c>
      <c r="T206" s="16">
        <f>IFERROR(__xludf.DUMMYFUNCTION("""COMPUTED_VALUE"""),15.3)</f>
        <v>15.3</v>
      </c>
      <c r="U206" s="16">
        <f>IFERROR(__xludf.DUMMYFUNCTION("""COMPUTED_VALUE"""),0.0)</f>
        <v>0</v>
      </c>
      <c r="V206" s="16">
        <f>IFERROR(__xludf.DUMMYFUNCTION("""COMPUTED_VALUE"""),0.0)</f>
        <v>0</v>
      </c>
      <c r="W206" s="16">
        <f>IFERROR(__xludf.DUMMYFUNCTION("""COMPUTED_VALUE"""),0.0)</f>
        <v>0</v>
      </c>
      <c r="X206" s="16">
        <f>IFERROR(__xludf.DUMMYFUNCTION("""COMPUTED_VALUE"""),0.0)</f>
        <v>0</v>
      </c>
      <c r="Y206" s="16">
        <f>IFERROR(__xludf.DUMMYFUNCTION("""COMPUTED_VALUE"""),28.1)</f>
        <v>28.1</v>
      </c>
      <c r="Z206" s="16">
        <f>IFERROR(__xludf.DUMMYFUNCTION("""COMPUTED_VALUE"""),25.4)</f>
        <v>25.4</v>
      </c>
      <c r="AA206" s="16">
        <f>IFERROR(__xludf.DUMMYFUNCTION("""COMPUTED_VALUE"""),0.0)</f>
        <v>0</v>
      </c>
      <c r="AB206" s="16">
        <f>IFERROR(__xludf.DUMMYFUNCTION("""COMPUTED_VALUE"""),0.0)</f>
        <v>0</v>
      </c>
      <c r="AC206" s="16">
        <f>IFERROR(__xludf.DUMMYFUNCTION("""COMPUTED_VALUE"""),0.0)</f>
        <v>0</v>
      </c>
      <c r="AD206" s="16">
        <f>IFERROR(__xludf.DUMMYFUNCTION("""COMPUTED_VALUE"""),0.0)</f>
        <v>0</v>
      </c>
      <c r="AE206" s="16">
        <f>IFERROR(__xludf.DUMMYFUNCTION("""COMPUTED_VALUE"""),28.2)</f>
        <v>28.2</v>
      </c>
      <c r="AF206" s="16">
        <f>IFERROR(__xludf.DUMMYFUNCTION("""COMPUTED_VALUE"""),20.1)</f>
        <v>20.1</v>
      </c>
      <c r="AG206" s="16">
        <f>IFERROR(__xludf.DUMMYFUNCTION("""COMPUTED_VALUE"""),0.0)</f>
        <v>0</v>
      </c>
      <c r="AH206" s="16">
        <f>IFERROR(__xludf.DUMMYFUNCTION("""COMPUTED_VALUE"""),1.0)</f>
        <v>1</v>
      </c>
      <c r="AI206" s="16">
        <f>IFERROR(__xludf.DUMMYFUNCTION("""COMPUTED_VALUE"""),0.0)</f>
        <v>0</v>
      </c>
      <c r="AJ206" s="16">
        <f>IFERROR(__xludf.DUMMYFUNCTION("""COMPUTED_VALUE"""),2.0)</f>
        <v>2</v>
      </c>
      <c r="AK206" s="16">
        <f>IFERROR(__xludf.DUMMYFUNCTION("""COMPUTED_VALUE"""),14.700000000000001)</f>
        <v>14.7</v>
      </c>
      <c r="AL206" s="16">
        <f>IFERROR(__xludf.DUMMYFUNCTION("""COMPUTED_VALUE"""),15.100000000000001)</f>
        <v>15.1</v>
      </c>
      <c r="AM206" s="16">
        <f>IFERROR(__xludf.DUMMYFUNCTION("""COMPUTED_VALUE"""),0.0)</f>
        <v>0</v>
      </c>
      <c r="AN206" s="16">
        <f>IFERROR(__xludf.DUMMYFUNCTION("""COMPUTED_VALUE"""),0.0)</f>
        <v>0</v>
      </c>
      <c r="AO206" s="16">
        <f>IFERROR(__xludf.DUMMYFUNCTION("""COMPUTED_VALUE"""),0.0)</f>
        <v>0</v>
      </c>
      <c r="AP206" s="16">
        <f>IFERROR(__xludf.DUMMYFUNCTION("""COMPUTED_VALUE"""),0.0)</f>
        <v>0</v>
      </c>
      <c r="AQ206" s="16">
        <f>IFERROR(__xludf.DUMMYFUNCTION("""COMPUTED_VALUE"""),22.6)</f>
        <v>22.6</v>
      </c>
      <c r="AR206" s="16">
        <f>IFERROR(__xludf.DUMMYFUNCTION("""COMPUTED_VALUE"""),19.3)</f>
        <v>19.3</v>
      </c>
      <c r="AS206" s="16">
        <f>IFERROR(__xludf.DUMMYFUNCTION("""COMPUTED_VALUE"""),0.0)</f>
        <v>0</v>
      </c>
      <c r="AT206" s="16">
        <f>IFERROR(__xludf.DUMMYFUNCTION("""COMPUTED_VALUE"""),0.0)</f>
        <v>0</v>
      </c>
      <c r="AU206" s="16">
        <f>IFERROR(__xludf.DUMMYFUNCTION("""COMPUTED_VALUE"""),0.0)</f>
        <v>0</v>
      </c>
      <c r="AV206" s="16">
        <f>IFERROR(__xludf.DUMMYFUNCTION("""COMPUTED_VALUE"""),0.0)</f>
        <v>0</v>
      </c>
      <c r="AW206" s="16">
        <f>IFERROR(__xludf.DUMMYFUNCTION("""COMPUTED_VALUE"""),1.4)</f>
        <v>1.4</v>
      </c>
      <c r="AX206" s="16">
        <f>IFERROR(__xludf.DUMMYFUNCTION("""COMPUTED_VALUE"""),0.2)</f>
        <v>0.2</v>
      </c>
      <c r="AY206" s="16">
        <f>IFERROR(__xludf.DUMMYFUNCTION("""COMPUTED_VALUE"""),1.0)</f>
        <v>1</v>
      </c>
      <c r="AZ206" s="16">
        <f>IFERROR(__xludf.DUMMYFUNCTION("""COMPUTED_VALUE"""),2.0)</f>
        <v>2</v>
      </c>
      <c r="BA206" s="16">
        <f>IFERROR(__xludf.DUMMYFUNCTION("""COMPUTED_VALUE"""),5.0)</f>
        <v>5</v>
      </c>
      <c r="BB206" s="16">
        <f>IFERROR(__xludf.DUMMYFUNCTION("""COMPUTED_VALUE"""),10.0)</f>
        <v>10</v>
      </c>
      <c r="BC206" s="16">
        <f>IFERROR(__xludf.DUMMYFUNCTION("""COMPUTED_VALUE"""),1.0)</f>
        <v>1</v>
      </c>
      <c r="BD206" s="16">
        <f>IFERROR(__xludf.DUMMYFUNCTION("""COMPUTED_VALUE"""),0.0)</f>
        <v>0</v>
      </c>
      <c r="BE206" s="16">
        <f>IFERROR(__xludf.DUMMYFUNCTION("""COMPUTED_VALUE"""),1.0)</f>
        <v>1</v>
      </c>
      <c r="BF206" s="16">
        <f>IFERROR(__xludf.DUMMYFUNCTION("""COMPUTED_VALUE"""),0.0)</f>
        <v>0</v>
      </c>
      <c r="BG206" s="16">
        <f>IFERROR(__xludf.DUMMYFUNCTION("""COMPUTED_VALUE"""),2.0)</f>
        <v>2</v>
      </c>
      <c r="BH206" s="16">
        <f>IFERROR(__xludf.DUMMYFUNCTION("""COMPUTED_VALUE"""),2.0)</f>
        <v>2</v>
      </c>
      <c r="BI206" s="16">
        <f>IFERROR(__xludf.DUMMYFUNCTION("""COMPUTED_VALUE"""),4.0)</f>
        <v>4</v>
      </c>
      <c r="BJ206" s="16">
        <f>IFERROR(__xludf.DUMMYFUNCTION("""COMPUTED_VALUE"""),4.0)</f>
        <v>4</v>
      </c>
      <c r="BK206" s="16">
        <f>IFERROR(__xludf.DUMMYFUNCTION("""COMPUTED_VALUE"""),5.0)</f>
        <v>5</v>
      </c>
      <c r="BL206" s="16">
        <f>IFERROR(__xludf.DUMMYFUNCTION("""COMPUTED_VALUE"""),5.0)</f>
        <v>5</v>
      </c>
      <c r="BM206" s="16">
        <f>IFERROR(__xludf.DUMMYFUNCTION("""COMPUTED_VALUE"""),0.0)</f>
        <v>0</v>
      </c>
      <c r="BN206" s="16">
        <f>IFERROR(__xludf.DUMMYFUNCTION("""COMPUTED_VALUE"""),0.0)</f>
        <v>0</v>
      </c>
      <c r="BO206" s="16">
        <f>IFERROR(__xludf.DUMMYFUNCTION("""COMPUTED_VALUE"""),0.0)</f>
        <v>0</v>
      </c>
      <c r="BP206" s="16">
        <f>IFERROR(__xludf.DUMMYFUNCTION("""COMPUTED_VALUE"""),0.0)</f>
        <v>0</v>
      </c>
      <c r="BQ206" s="16">
        <f>IFERROR(__xludf.DUMMYFUNCTION("""COMPUTED_VALUE"""),0.0)</f>
        <v>0</v>
      </c>
      <c r="BR206" s="16">
        <f>IFERROR(__xludf.DUMMYFUNCTION("""COMPUTED_VALUE"""),0.0)</f>
        <v>0</v>
      </c>
      <c r="BS206" s="16">
        <f>IFERROR(__xludf.DUMMYFUNCTION("""COMPUTED_VALUE"""),-3.0)</f>
        <v>-3</v>
      </c>
      <c r="BT206" s="16">
        <f>IFERROR(__xludf.DUMMYFUNCTION("""COMPUTED_VALUE"""),-3.0)</f>
        <v>-3</v>
      </c>
      <c r="BU206" s="16">
        <f>IFERROR(__xludf.DUMMYFUNCTION("""COMPUTED_VALUE"""),-6.0)</f>
        <v>-6</v>
      </c>
      <c r="BV206" s="16">
        <f>IFERROR(__xludf.DUMMYFUNCTION("""COMPUTED_VALUE"""),-6.0)</f>
        <v>-6</v>
      </c>
      <c r="BW206" s="16">
        <f>IFERROR(__xludf.DUMMYFUNCTION("""COMPUTED_VALUE"""),1.0)</f>
        <v>1</v>
      </c>
      <c r="BX206" s="16">
        <f>IFERROR(__xludf.DUMMYFUNCTION("""COMPUTED_VALUE"""),1.0)</f>
        <v>1</v>
      </c>
      <c r="BY206" s="16" t="str">
        <f>IFERROR(__xludf.DUMMYFUNCTION("""COMPUTED_VALUE"""),"R(2) C(1)")</f>
        <v>R(2) C(1)</v>
      </c>
      <c r="BZ206" s="16" t="str">
        <f>IFERROR(__xludf.DUMMYFUNCTION("""COMPUTED_VALUE"""),"R(2) C(1)")</f>
        <v>R(2) C(1)</v>
      </c>
      <c r="CA206" s="16" t="str">
        <f>IFERROR(__xludf.DUMMYFUNCTION("""COMPUTED_VALUE"""),"R(2)")</f>
        <v>R(2)</v>
      </c>
      <c r="CB206" s="16" t="str">
        <f>IFERROR(__xludf.DUMMYFUNCTION("""COMPUTED_VALUE"""),"C(1)")</f>
        <v>C(1)</v>
      </c>
      <c r="CC206" s="16"/>
      <c r="CD206" s="16"/>
      <c r="CE206" s="16">
        <f>IFERROR(__xludf.DUMMYFUNCTION("""COMPUTED_VALUE"""),2.0)</f>
        <v>2</v>
      </c>
      <c r="CF206" s="16">
        <f>IFERROR(__xludf.DUMMYFUNCTION("""COMPUTED_VALUE"""),1.0)</f>
        <v>1</v>
      </c>
      <c r="CG206" s="16" t="str">
        <f>IFERROR(__xludf.DUMMYFUNCTION("""COMPUTED_VALUE"""),"4-0")</f>
        <v>4-0</v>
      </c>
      <c r="CH206" s="16">
        <f>IFERROR(__xludf.DUMMYFUNCTION("""COMPUTED_VALUE"""),4.0)</f>
        <v>4</v>
      </c>
      <c r="CI206" s="16">
        <f>IFERROR(__xludf.DUMMYFUNCTION("""COMPUTED_VALUE"""),0.0)</f>
        <v>0</v>
      </c>
      <c r="CJ206" s="16">
        <f>IFERROR(__xludf.DUMMYFUNCTION("""COMPUTED_VALUE"""),4.0)</f>
        <v>4</v>
      </c>
      <c r="CK206" s="16">
        <f>IFERROR(__xludf.DUMMYFUNCTION("""COMPUTED_VALUE"""),11.0)</f>
        <v>11</v>
      </c>
      <c r="CL206" s="16" t="str">
        <f>IFERROR(__xludf.DUMMYFUNCTION("""COMPUTED_VALUE"""),"1WR-C")</f>
        <v>1WR-C</v>
      </c>
      <c r="CM206" s="16" t="str">
        <f>IFERROR(__xludf.DUMMYFUNCTION("""COMPUTED_VALUE"""),"E")</f>
        <v>E</v>
      </c>
      <c r="CN206" s="16">
        <f>IFERROR(__xludf.DUMMYFUNCTION("""COMPUTED_VALUE"""),10.0)</f>
        <v>10</v>
      </c>
      <c r="CO206" s="16" t="str">
        <f>IFERROR(__xludf.DUMMYFUNCTION("""COMPUTED_VALUE"""),"C")</f>
        <v>C</v>
      </c>
      <c r="CP206" s="16" t="str">
        <f>IFERROR(__xludf.DUMMYFUNCTION("""COMPUTED_VALUE"""),"1p50")</f>
        <v>1p50</v>
      </c>
      <c r="CQ206" s="16">
        <f>IFERROR(__xludf.DUMMYFUNCTION("""COMPUTED_VALUE"""),-1.0)</f>
        <v>-1</v>
      </c>
      <c r="CR206" s="16">
        <f>IFERROR(__xludf.DUMMYFUNCTION("""COMPUTED_VALUE"""),12.0)</f>
        <v>12</v>
      </c>
      <c r="CS206" s="16">
        <f>IFERROR(__xludf.DUMMYFUNCTION("""COMPUTED_VALUE"""),11.0)</f>
        <v>11</v>
      </c>
      <c r="CT206" s="16">
        <f>IFERROR(__xludf.DUMMYFUNCTION("""COMPUTED_VALUE"""),-1.0)</f>
        <v>-1</v>
      </c>
      <c r="CU206" s="16">
        <f>IFERROR(__xludf.DUMMYFUNCTION("""COMPUTED_VALUE"""),12.0)</f>
        <v>12</v>
      </c>
      <c r="CV206" s="179">
        <f>IFERROR(__xludf.DUMMYFUNCTION("""COMPUTED_VALUE"""),7.333333333333334)</f>
        <v>7.333333333</v>
      </c>
      <c r="CW206" s="179">
        <f>IFERROR(__xludf.DUMMYFUNCTION("""COMPUTED_VALUE"""),4.0)</f>
        <v>4</v>
      </c>
      <c r="CX206" s="179">
        <f>IFERROR(__xludf.DUMMYFUNCTION("""COMPUTED_VALUE"""),0.0)</f>
        <v>0</v>
      </c>
      <c r="CY206" s="16" t="str">
        <f>IFERROR(__xludf.DUMMYFUNCTION("""COMPUTED_VALUE"""),"RP")</f>
        <v>RP</v>
      </c>
      <c r="CZ206" s="16" t="str">
        <f>IFERROR(__xludf.DUMMYFUNCTION("""COMPUTED_VALUE"""),"CP")</f>
        <v>CP</v>
      </c>
      <c r="DA206" s="16"/>
      <c r="DB206" s="16"/>
      <c r="DC206" s="16"/>
      <c r="DD206" s="16"/>
      <c r="DE206" s="16"/>
      <c r="DF206" s="16"/>
      <c r="DG206" s="16"/>
      <c r="DH206" s="16"/>
      <c r="DI206" s="16"/>
      <c r="DJ206" s="16"/>
      <c r="DK206" s="16"/>
    </row>
    <row r="207">
      <c r="A207" s="16">
        <f>IFERROR(__xludf.DUMMYFUNCTION("""COMPUTED_VALUE"""),12984.0)</f>
        <v>12984</v>
      </c>
      <c r="B207" s="16" t="str">
        <f>IFERROR(__xludf.DUMMYFUNCTION("""COMPUTED_VALUE"""),"JoJo Romero")</f>
        <v>JoJo Romero</v>
      </c>
      <c r="C207" s="153">
        <f>IFERROR(__xludf.DUMMYFUNCTION("""COMPUTED_VALUE"""),0.73)</f>
        <v>0.73</v>
      </c>
      <c r="D207" s="16"/>
      <c r="E207" s="16" t="str">
        <f>IFERROR(__xludf.DUMMYFUNCTION("""COMPUTED_VALUE"""),"L")</f>
        <v>L</v>
      </c>
      <c r="F207" s="16">
        <f>IFERROR(__xludf.DUMMYFUNCTION("""COMPUTED_VALUE"""),59.0)</f>
        <v>59</v>
      </c>
      <c r="G207" s="16">
        <f>IFERROR(__xludf.DUMMYFUNCTION("""COMPUTED_VALUE"""),44.0)</f>
        <v>44</v>
      </c>
      <c r="H207" s="16">
        <f>IFERROR(__xludf.DUMMYFUNCTION("""COMPUTED_VALUE"""),11.0)</f>
        <v>11</v>
      </c>
      <c r="I207" s="16">
        <f>IFERROR(__xludf.DUMMYFUNCTION("""COMPUTED_VALUE"""),2.0)</f>
        <v>2</v>
      </c>
      <c r="J207" s="16">
        <f>IFERROR(__xludf.DUMMYFUNCTION("""COMPUTED_VALUE"""),-2.0)</f>
        <v>-2</v>
      </c>
      <c r="K207" s="16">
        <f>IFERROR(__xludf.DUMMYFUNCTION("""COMPUTED_VALUE"""),6.0)</f>
        <v>6</v>
      </c>
      <c r="L207" s="16">
        <f>IFERROR(__xludf.DUMMYFUNCTION("""COMPUTED_VALUE"""),-6.0)</f>
        <v>-6</v>
      </c>
      <c r="M207" s="16">
        <f>IFERROR(__xludf.DUMMYFUNCTION("""COMPUTED_VALUE"""),6.0)</f>
        <v>6</v>
      </c>
      <c r="N207" s="16">
        <f>IFERROR(__xludf.DUMMYFUNCTION("""COMPUTED_VALUE"""),6.0)</f>
        <v>6</v>
      </c>
      <c r="O207" s="16">
        <f>IFERROR(__xludf.DUMMYFUNCTION("""COMPUTED_VALUE"""),1.0)</f>
        <v>1</v>
      </c>
      <c r="P207" s="16">
        <f>IFERROR(__xludf.DUMMYFUNCTION("""COMPUTED_VALUE"""),1.0)</f>
        <v>1</v>
      </c>
      <c r="Q207" s="16">
        <f>IFERROR(__xludf.DUMMYFUNCTION("""COMPUTED_VALUE"""),1.0)</f>
        <v>1</v>
      </c>
      <c r="R207" s="16">
        <f>IFERROR(__xludf.DUMMYFUNCTION("""COMPUTED_VALUE"""),1.0)</f>
        <v>1</v>
      </c>
      <c r="S207" s="16">
        <f>IFERROR(__xludf.DUMMYFUNCTION("""COMPUTED_VALUE"""),6.4)</f>
        <v>6.4</v>
      </c>
      <c r="T207" s="16">
        <f>IFERROR(__xludf.DUMMYFUNCTION("""COMPUTED_VALUE"""),19.5)</f>
        <v>19.5</v>
      </c>
      <c r="U207" s="16">
        <f>IFERROR(__xludf.DUMMYFUNCTION("""COMPUTED_VALUE"""),2.0)</f>
        <v>2</v>
      </c>
      <c r="V207" s="16">
        <f>IFERROR(__xludf.DUMMYFUNCTION("""COMPUTED_VALUE"""),-1.0)</f>
        <v>-1</v>
      </c>
      <c r="W207" s="16">
        <f>IFERROR(__xludf.DUMMYFUNCTION("""COMPUTED_VALUE"""),4.0)</f>
        <v>4</v>
      </c>
      <c r="X207" s="16">
        <f>IFERROR(__xludf.DUMMYFUNCTION("""COMPUTED_VALUE"""),-2.0)</f>
        <v>-2</v>
      </c>
      <c r="Y207" s="16">
        <f>IFERROR(__xludf.DUMMYFUNCTION("""COMPUTED_VALUE"""),12.4)</f>
        <v>12.4</v>
      </c>
      <c r="Z207" s="16">
        <f>IFERROR(__xludf.DUMMYFUNCTION("""COMPUTED_VALUE"""),25.5)</f>
        <v>25.5</v>
      </c>
      <c r="AA207" s="16">
        <f>IFERROR(__xludf.DUMMYFUNCTION("""COMPUTED_VALUE"""),2.0)</f>
        <v>2</v>
      </c>
      <c r="AB207" s="16">
        <f>IFERROR(__xludf.DUMMYFUNCTION("""COMPUTED_VALUE"""),0.0)</f>
        <v>0</v>
      </c>
      <c r="AC207" s="16">
        <f>IFERROR(__xludf.DUMMYFUNCTION("""COMPUTED_VALUE"""),10.0)</f>
        <v>10</v>
      </c>
      <c r="AD207" s="16">
        <f>IFERROR(__xludf.DUMMYFUNCTION("""COMPUTED_VALUE"""),0.0)</f>
        <v>0</v>
      </c>
      <c r="AE207" s="16">
        <f>IFERROR(__xludf.DUMMYFUNCTION("""COMPUTED_VALUE"""),8.8)</f>
        <v>8.8</v>
      </c>
      <c r="AF207" s="16">
        <f>IFERROR(__xludf.DUMMYFUNCTION("""COMPUTED_VALUE"""),37.5)</f>
        <v>37.5</v>
      </c>
      <c r="AG207" s="16">
        <f>IFERROR(__xludf.DUMMYFUNCTION("""COMPUTED_VALUE"""),2.0)</f>
        <v>2</v>
      </c>
      <c r="AH207" s="16">
        <f>IFERROR(__xludf.DUMMYFUNCTION("""COMPUTED_VALUE"""),-1.0)</f>
        <v>-1</v>
      </c>
      <c r="AI207" s="16">
        <f>IFERROR(__xludf.DUMMYFUNCTION("""COMPUTED_VALUE"""),4.0)</f>
        <v>4</v>
      </c>
      <c r="AJ207" s="16">
        <f>IFERROR(__xludf.DUMMYFUNCTION("""COMPUTED_VALUE"""),-2.0)</f>
        <v>-2</v>
      </c>
      <c r="AK207" s="16">
        <f>IFERROR(__xludf.DUMMYFUNCTION("""COMPUTED_VALUE"""),6.2)</f>
        <v>6.2</v>
      </c>
      <c r="AL207" s="16">
        <f>IFERROR(__xludf.DUMMYFUNCTION("""COMPUTED_VALUE"""),15.9)</f>
        <v>15.9</v>
      </c>
      <c r="AM207" s="16">
        <f>IFERROR(__xludf.DUMMYFUNCTION("""COMPUTED_VALUE"""),1.0)</f>
        <v>1</v>
      </c>
      <c r="AN207" s="16">
        <f>IFERROR(__xludf.DUMMYFUNCTION("""COMPUTED_VALUE"""),0.0)</f>
        <v>0</v>
      </c>
      <c r="AO207" s="16">
        <f>IFERROR(__xludf.DUMMYFUNCTION("""COMPUTED_VALUE"""),1.0)</f>
        <v>1</v>
      </c>
      <c r="AP207" s="16">
        <f>IFERROR(__xludf.DUMMYFUNCTION("""COMPUTED_VALUE"""),0.0)</f>
        <v>0</v>
      </c>
      <c r="AQ207" s="16">
        <f>IFERROR(__xludf.DUMMYFUNCTION("""COMPUTED_VALUE"""),8.0)</f>
        <v>8</v>
      </c>
      <c r="AR207" s="16">
        <f>IFERROR(__xludf.DUMMYFUNCTION("""COMPUTED_VALUE"""),23.1)</f>
        <v>23.1</v>
      </c>
      <c r="AS207" s="16">
        <f>IFERROR(__xludf.DUMMYFUNCTION("""COMPUTED_VALUE"""),1.0)</f>
        <v>1</v>
      </c>
      <c r="AT207" s="16">
        <f>IFERROR(__xludf.DUMMYFUNCTION("""COMPUTED_VALUE"""),0.0)</f>
        <v>0</v>
      </c>
      <c r="AU207" s="16">
        <f>IFERROR(__xludf.DUMMYFUNCTION("""COMPUTED_VALUE"""),2.0)</f>
        <v>2</v>
      </c>
      <c r="AV207" s="16">
        <f>IFERROR(__xludf.DUMMYFUNCTION("""COMPUTED_VALUE"""),0.0)</f>
        <v>0</v>
      </c>
      <c r="AW207" s="16">
        <f>IFERROR(__xludf.DUMMYFUNCTION("""COMPUTED_VALUE"""),0.2)</f>
        <v>0.2</v>
      </c>
      <c r="AX207" s="16">
        <f>IFERROR(__xludf.DUMMYFUNCTION("""COMPUTED_VALUE"""),3.6)</f>
        <v>3.6</v>
      </c>
      <c r="AY207" s="16">
        <f>IFERROR(__xludf.DUMMYFUNCTION("""COMPUTED_VALUE"""),2.0)</f>
        <v>2</v>
      </c>
      <c r="AZ207" s="16">
        <f>IFERROR(__xludf.DUMMYFUNCTION("""COMPUTED_VALUE"""),-2.0)</f>
        <v>-2</v>
      </c>
      <c r="BA207" s="16">
        <f>IFERROR(__xludf.DUMMYFUNCTION("""COMPUTED_VALUE"""),10.0)</f>
        <v>10</v>
      </c>
      <c r="BB207" s="16">
        <f>IFERROR(__xludf.DUMMYFUNCTION("""COMPUTED_VALUE"""),-10.0)</f>
        <v>-10</v>
      </c>
      <c r="BC207" s="16">
        <f>IFERROR(__xludf.DUMMYFUNCTION("""COMPUTED_VALUE"""),0.0)</f>
        <v>0</v>
      </c>
      <c r="BD207" s="16">
        <f>IFERROR(__xludf.DUMMYFUNCTION("""COMPUTED_VALUE"""),6.0)</f>
        <v>6</v>
      </c>
      <c r="BE207" s="16">
        <f>IFERROR(__xludf.DUMMYFUNCTION("""COMPUTED_VALUE"""),0.0)</f>
        <v>0</v>
      </c>
      <c r="BF207" s="16">
        <f>IFERROR(__xludf.DUMMYFUNCTION("""COMPUTED_VALUE"""),6.0)</f>
        <v>6</v>
      </c>
      <c r="BG207" s="16">
        <f>IFERROR(__xludf.DUMMYFUNCTION("""COMPUTED_VALUE"""),3.0)</f>
        <v>3</v>
      </c>
      <c r="BH207" s="16">
        <f>IFERROR(__xludf.DUMMYFUNCTION("""COMPUTED_VALUE"""),-2.0)</f>
        <v>-2</v>
      </c>
      <c r="BI207" s="16">
        <f>IFERROR(__xludf.DUMMYFUNCTION("""COMPUTED_VALUE"""),6.0)</f>
        <v>6</v>
      </c>
      <c r="BJ207" s="16">
        <f>IFERROR(__xludf.DUMMYFUNCTION("""COMPUTED_VALUE"""),-4.0)</f>
        <v>-4</v>
      </c>
      <c r="BK207" s="16">
        <f>IFERROR(__xludf.DUMMYFUNCTION("""COMPUTED_VALUE"""),5.0)</f>
        <v>5</v>
      </c>
      <c r="BL207" s="16">
        <f>IFERROR(__xludf.DUMMYFUNCTION("""COMPUTED_VALUE"""),5.0)</f>
        <v>5</v>
      </c>
      <c r="BM207" s="16">
        <f>IFERROR(__xludf.DUMMYFUNCTION("""COMPUTED_VALUE"""),0.0)</f>
        <v>0</v>
      </c>
      <c r="BN207" s="16">
        <f>IFERROR(__xludf.DUMMYFUNCTION("""COMPUTED_VALUE"""),0.0)</f>
        <v>0</v>
      </c>
      <c r="BO207" s="16">
        <f>IFERROR(__xludf.DUMMYFUNCTION("""COMPUTED_VALUE"""),0.0)</f>
        <v>0</v>
      </c>
      <c r="BP207" s="16">
        <f>IFERROR(__xludf.DUMMYFUNCTION("""COMPUTED_VALUE"""),0.0)</f>
        <v>0</v>
      </c>
      <c r="BQ207" s="16">
        <f>IFERROR(__xludf.DUMMYFUNCTION("""COMPUTED_VALUE"""),8.0)</f>
        <v>8</v>
      </c>
      <c r="BR207" s="16">
        <f>IFERROR(__xludf.DUMMYFUNCTION("""COMPUTED_VALUE"""),8.0)</f>
        <v>8</v>
      </c>
      <c r="BS207" s="16">
        <f>IFERROR(__xludf.DUMMYFUNCTION("""COMPUTED_VALUE"""),2.0)</f>
        <v>2</v>
      </c>
      <c r="BT207" s="16">
        <f>IFERROR(__xludf.DUMMYFUNCTION("""COMPUTED_VALUE"""),2.0)</f>
        <v>2</v>
      </c>
      <c r="BU207" s="16">
        <f>IFERROR(__xludf.DUMMYFUNCTION("""COMPUTED_VALUE"""),4.0)</f>
        <v>4</v>
      </c>
      <c r="BV207" s="16">
        <f>IFERROR(__xludf.DUMMYFUNCTION("""COMPUTED_VALUE"""),4.0)</f>
        <v>4</v>
      </c>
      <c r="BW207" s="16">
        <f>IFERROR(__xludf.DUMMYFUNCTION("""COMPUTED_VALUE"""),-4.0)</f>
        <v>-4</v>
      </c>
      <c r="BX207" s="16">
        <f>IFERROR(__xludf.DUMMYFUNCTION("""COMPUTED_VALUE"""),-4.0)</f>
        <v>-4</v>
      </c>
      <c r="BY207" s="16" t="str">
        <f>IFERROR(__xludf.DUMMYFUNCTION("""COMPUTED_VALUE"""),"R(1) C(0)")</f>
        <v>R(1) C(0)</v>
      </c>
      <c r="BZ207" s="16" t="str">
        <f>IFERROR(__xludf.DUMMYFUNCTION("""COMPUTED_VALUE"""),"R(1) C(0)")</f>
        <v>R(1) C(0)</v>
      </c>
      <c r="CA207" s="16" t="str">
        <f>IFERROR(__xludf.DUMMYFUNCTION("""COMPUTED_VALUE"""),"R(1)")</f>
        <v>R(1)</v>
      </c>
      <c r="CB207" s="16" t="str">
        <f>IFERROR(__xludf.DUMMYFUNCTION("""COMPUTED_VALUE"""),"C(0)")</f>
        <v>C(0)</v>
      </c>
      <c r="CC207" s="16"/>
      <c r="CD207" s="16"/>
      <c r="CE207" s="16">
        <f>IFERROR(__xludf.DUMMYFUNCTION("""COMPUTED_VALUE"""),1.0)</f>
        <v>1</v>
      </c>
      <c r="CF207" s="16">
        <f>IFERROR(__xludf.DUMMYFUNCTION("""COMPUTED_VALUE"""),0.0)</f>
        <v>0</v>
      </c>
      <c r="CG207" s="16" t="str">
        <f>IFERROR(__xludf.DUMMYFUNCTION("""COMPUTED_VALUE"""),"2-0")</f>
        <v>2-0</v>
      </c>
      <c r="CH207" s="16">
        <f>IFERROR(__xludf.DUMMYFUNCTION("""COMPUTED_VALUE"""),2.0)</f>
        <v>2</v>
      </c>
      <c r="CI207" s="16">
        <f>IFERROR(__xludf.DUMMYFUNCTION("""COMPUTED_VALUE"""),0.0)</f>
        <v>0</v>
      </c>
      <c r="CJ207" s="16">
        <f>IFERROR(__xludf.DUMMYFUNCTION("""COMPUTED_VALUE"""),0.0)</f>
        <v>0</v>
      </c>
      <c r="CK207" s="16">
        <f>IFERROR(__xludf.DUMMYFUNCTION("""COMPUTED_VALUE"""),3.0)</f>
        <v>3</v>
      </c>
      <c r="CL207" s="16" t="str">
        <f>IFERROR(__xludf.DUMMYFUNCTION("""COMPUTED_VALUE"""),"1WL-C")</f>
        <v>1WL-C</v>
      </c>
      <c r="CM207" s="16" t="str">
        <f>IFERROR(__xludf.DUMMYFUNCTION("""COMPUTED_VALUE"""),"E")</f>
        <v>E</v>
      </c>
      <c r="CN207" s="16">
        <f>IFERROR(__xludf.DUMMYFUNCTION("""COMPUTED_VALUE"""),10.0)</f>
        <v>10</v>
      </c>
      <c r="CO207" s="16" t="str">
        <f>IFERROR(__xludf.DUMMYFUNCTION("""COMPUTED_VALUE"""),"C")</f>
        <v>C</v>
      </c>
      <c r="CP207" s="16" t="str">
        <f>IFERROR(__xludf.DUMMYFUNCTION("""COMPUTED_VALUE"""),"1p50")</f>
        <v>1p50</v>
      </c>
      <c r="CQ207" s="16">
        <f>IFERROR(__xludf.DUMMYFUNCTION("""COMPUTED_VALUE"""),48.0)</f>
        <v>48</v>
      </c>
      <c r="CR207" s="16">
        <f>IFERROR(__xludf.DUMMYFUNCTION("""COMPUTED_VALUE"""),-19.0)</f>
        <v>-19</v>
      </c>
      <c r="CS207" s="16">
        <f>IFERROR(__xludf.DUMMYFUNCTION("""COMPUTED_VALUE"""),29.0)</f>
        <v>29</v>
      </c>
      <c r="CT207" s="16">
        <f>IFERROR(__xludf.DUMMYFUNCTION("""COMPUTED_VALUE"""),48.0)</f>
        <v>48</v>
      </c>
      <c r="CU207" s="16">
        <f>IFERROR(__xludf.DUMMYFUNCTION("""COMPUTED_VALUE"""),-19.0)</f>
        <v>-19</v>
      </c>
      <c r="CV207" s="179">
        <f>IFERROR(__xludf.DUMMYFUNCTION("""COMPUTED_VALUE"""),7.333333333333334)</f>
        <v>7.333333333</v>
      </c>
      <c r="CW207" s="179">
        <f>IFERROR(__xludf.DUMMYFUNCTION("""COMPUTED_VALUE"""),4.0)</f>
        <v>4</v>
      </c>
      <c r="CX207" s="179">
        <f>IFERROR(__xludf.DUMMYFUNCTION("""COMPUTED_VALUE"""),0.0)</f>
        <v>0</v>
      </c>
      <c r="CY207" s="16" t="str">
        <f>IFERROR(__xludf.DUMMYFUNCTION("""COMPUTED_VALUE"""),"RP")</f>
        <v>RP</v>
      </c>
      <c r="CZ207" s="16" t="str">
        <f>IFERROR(__xludf.DUMMYFUNCTION("""COMPUTED_VALUE"""),"CP")</f>
        <v>CP</v>
      </c>
      <c r="DA207" s="16"/>
      <c r="DB207" s="16"/>
      <c r="DC207" s="16"/>
      <c r="DD207" s="16"/>
      <c r="DE207" s="16"/>
      <c r="DF207" s="16"/>
      <c r="DG207" s="16"/>
      <c r="DH207" s="16"/>
      <c r="DI207" s="16"/>
      <c r="DJ207" s="16"/>
      <c r="DK207" s="16"/>
    </row>
    <row r="208">
      <c r="A208" s="16">
        <f>IFERROR(__xludf.DUMMYFUNCTION("""COMPUTED_VALUE"""),12826.0)</f>
        <v>12826</v>
      </c>
      <c r="B208" s="16" t="str">
        <f>IFERROR(__xludf.DUMMYFUNCTION("""COMPUTED_VALUE"""),"Gabe Speier")</f>
        <v>Gabe Speier</v>
      </c>
      <c r="C208" s="153">
        <f>IFERROR(__xludf.DUMMYFUNCTION("""COMPUTED_VALUE"""),0.0)</f>
        <v>0</v>
      </c>
      <c r="D208" s="16"/>
      <c r="E208" s="16" t="str">
        <f>IFERROR(__xludf.DUMMYFUNCTION("""COMPUTED_VALUE"""),"L")</f>
        <v>L</v>
      </c>
      <c r="F208" s="16">
        <f>IFERROR(__xludf.DUMMYFUNCTION("""COMPUTED_VALUE"""),24.0)</f>
        <v>24</v>
      </c>
      <c r="G208" s="16">
        <f>IFERROR(__xludf.DUMMYFUNCTION("""COMPUTED_VALUE"""),41.0)</f>
        <v>41</v>
      </c>
      <c r="H208" s="16">
        <f>IFERROR(__xludf.DUMMYFUNCTION("""COMPUTED_VALUE"""),33.0)</f>
        <v>33</v>
      </c>
      <c r="I208" s="16">
        <f>IFERROR(__xludf.DUMMYFUNCTION("""COMPUTED_VALUE"""),2.0)</f>
        <v>2</v>
      </c>
      <c r="J208" s="16">
        <f>IFERROR(__xludf.DUMMYFUNCTION("""COMPUTED_VALUE"""),1.0)</f>
        <v>1</v>
      </c>
      <c r="K208" s="16">
        <f>IFERROR(__xludf.DUMMYFUNCTION("""COMPUTED_VALUE"""),6.0)</f>
        <v>6</v>
      </c>
      <c r="L208" s="16">
        <f>IFERROR(__xludf.DUMMYFUNCTION("""COMPUTED_VALUE"""),3.0)</f>
        <v>3</v>
      </c>
      <c r="M208" s="16">
        <f>IFERROR(__xludf.DUMMYFUNCTION("""COMPUTED_VALUE"""),23.0)</f>
        <v>23</v>
      </c>
      <c r="N208" s="16">
        <f>IFERROR(__xludf.DUMMYFUNCTION("""COMPUTED_VALUE"""),18.0)</f>
        <v>18</v>
      </c>
      <c r="O208" s="16">
        <f>IFERROR(__xludf.DUMMYFUNCTION("""COMPUTED_VALUE"""),-3.0)</f>
        <v>-3</v>
      </c>
      <c r="P208" s="16">
        <f>IFERROR(__xludf.DUMMYFUNCTION("""COMPUTED_VALUE"""),-3.0)</f>
        <v>-3</v>
      </c>
      <c r="Q208" s="16">
        <f>IFERROR(__xludf.DUMMYFUNCTION("""COMPUTED_VALUE"""),-3.0)</f>
        <v>-3</v>
      </c>
      <c r="R208" s="16">
        <f>IFERROR(__xludf.DUMMYFUNCTION("""COMPUTED_VALUE"""),-3.0)</f>
        <v>-3</v>
      </c>
      <c r="S208" s="16">
        <f>IFERROR(__xludf.DUMMYFUNCTION("""COMPUTED_VALUE"""),5.0)</f>
        <v>5</v>
      </c>
      <c r="T208" s="16">
        <f>IFERROR(__xludf.DUMMYFUNCTION("""COMPUTED_VALUE"""),17.0)</f>
        <v>17</v>
      </c>
      <c r="U208" s="16">
        <f>IFERROR(__xludf.DUMMYFUNCTION("""COMPUTED_VALUE"""),2.0)</f>
        <v>2</v>
      </c>
      <c r="V208" s="16">
        <f>IFERROR(__xludf.DUMMYFUNCTION("""COMPUTED_VALUE"""),0.0)</f>
        <v>0</v>
      </c>
      <c r="W208" s="16">
        <f>IFERROR(__xludf.DUMMYFUNCTION("""COMPUTED_VALUE"""),4.0)</f>
        <v>4</v>
      </c>
      <c r="X208" s="16">
        <f>IFERROR(__xludf.DUMMYFUNCTION("""COMPUTED_VALUE"""),0.0)</f>
        <v>0</v>
      </c>
      <c r="Y208" s="16">
        <f>IFERROR(__xludf.DUMMYFUNCTION("""COMPUTED_VALUE"""),27.9)</f>
        <v>27.9</v>
      </c>
      <c r="Z208" s="16">
        <f>IFERROR(__xludf.DUMMYFUNCTION("""COMPUTED_VALUE"""),35.0)</f>
        <v>35</v>
      </c>
      <c r="AA208" s="16">
        <f>IFERROR(__xludf.DUMMYFUNCTION("""COMPUTED_VALUE"""),0.0)</f>
        <v>0</v>
      </c>
      <c r="AB208" s="16">
        <f>IFERROR(__xludf.DUMMYFUNCTION("""COMPUTED_VALUE"""),-2.0)</f>
        <v>-2</v>
      </c>
      <c r="AC208" s="16">
        <f>IFERROR(__xludf.DUMMYFUNCTION("""COMPUTED_VALUE"""),0.0)</f>
        <v>0</v>
      </c>
      <c r="AD208" s="16">
        <f>IFERROR(__xludf.DUMMYFUNCTION("""COMPUTED_VALUE"""),-10.0)</f>
        <v>-10</v>
      </c>
      <c r="AE208" s="16">
        <f>IFERROR(__xludf.DUMMYFUNCTION("""COMPUTED_VALUE"""),7.6)</f>
        <v>7.6</v>
      </c>
      <c r="AF208" s="16">
        <f>IFERROR(__xludf.DUMMYFUNCTION("""COMPUTED_VALUE"""),28.0)</f>
        <v>28</v>
      </c>
      <c r="AG208" s="16">
        <f>IFERROR(__xludf.DUMMYFUNCTION("""COMPUTED_VALUE"""),2.0)</f>
        <v>2</v>
      </c>
      <c r="AH208" s="16">
        <f>IFERROR(__xludf.DUMMYFUNCTION("""COMPUTED_VALUE"""),0.0)</f>
        <v>0</v>
      </c>
      <c r="AI208" s="16">
        <f>IFERROR(__xludf.DUMMYFUNCTION("""COMPUTED_VALUE"""),4.0)</f>
        <v>4</v>
      </c>
      <c r="AJ208" s="16">
        <f>IFERROR(__xludf.DUMMYFUNCTION("""COMPUTED_VALUE"""),0.0)</f>
        <v>0</v>
      </c>
      <c r="AK208" s="16">
        <f>IFERROR(__xludf.DUMMYFUNCTION("""COMPUTED_VALUE"""),4.2)</f>
        <v>4.2</v>
      </c>
      <c r="AL208" s="16">
        <f>IFERROR(__xludf.DUMMYFUNCTION("""COMPUTED_VALUE"""),16.2)</f>
        <v>16.2</v>
      </c>
      <c r="AM208" s="16">
        <f>IFERROR(__xludf.DUMMYFUNCTION("""COMPUTED_VALUE"""),2.0)</f>
        <v>2</v>
      </c>
      <c r="AN208" s="16">
        <f>IFERROR(__xludf.DUMMYFUNCTION("""COMPUTED_VALUE"""),0.0)</f>
        <v>0</v>
      </c>
      <c r="AO208" s="16">
        <f>IFERROR(__xludf.DUMMYFUNCTION("""COMPUTED_VALUE"""),2.0)</f>
        <v>2</v>
      </c>
      <c r="AP208" s="16">
        <f>IFERROR(__xludf.DUMMYFUNCTION("""COMPUTED_VALUE"""),0.0)</f>
        <v>0</v>
      </c>
      <c r="AQ208" s="16">
        <f>IFERROR(__xludf.DUMMYFUNCTION("""COMPUTED_VALUE"""),4.3999999999999995)</f>
        <v>4.4</v>
      </c>
      <c r="AR208" s="16">
        <f>IFERROR(__xludf.DUMMYFUNCTION("""COMPUTED_VALUE"""),24.8)</f>
        <v>24.8</v>
      </c>
      <c r="AS208" s="16">
        <f>IFERROR(__xludf.DUMMYFUNCTION("""COMPUTED_VALUE"""),2.0)</f>
        <v>2</v>
      </c>
      <c r="AT208" s="16">
        <f>IFERROR(__xludf.DUMMYFUNCTION("""COMPUTED_VALUE"""),-1.0)</f>
        <v>-1</v>
      </c>
      <c r="AU208" s="16">
        <f>IFERROR(__xludf.DUMMYFUNCTION("""COMPUTED_VALUE"""),4.0)</f>
        <v>4</v>
      </c>
      <c r="AV208" s="16">
        <f>IFERROR(__xludf.DUMMYFUNCTION("""COMPUTED_VALUE"""),-2.0)</f>
        <v>-2</v>
      </c>
      <c r="AW208" s="16">
        <f>IFERROR(__xludf.DUMMYFUNCTION("""COMPUTED_VALUE"""),0.8)</f>
        <v>0.8</v>
      </c>
      <c r="AX208" s="16">
        <f>IFERROR(__xludf.DUMMYFUNCTION("""COMPUTED_VALUE"""),0.8)</f>
        <v>0.8</v>
      </c>
      <c r="AY208" s="16">
        <f>IFERROR(__xludf.DUMMYFUNCTION("""COMPUTED_VALUE"""),2.0)</f>
        <v>2</v>
      </c>
      <c r="AZ208" s="16">
        <f>IFERROR(__xludf.DUMMYFUNCTION("""COMPUTED_VALUE"""),1.0)</f>
        <v>1</v>
      </c>
      <c r="BA208" s="16">
        <f>IFERROR(__xludf.DUMMYFUNCTION("""COMPUTED_VALUE"""),10.0)</f>
        <v>10</v>
      </c>
      <c r="BB208" s="16">
        <f>IFERROR(__xludf.DUMMYFUNCTION("""COMPUTED_VALUE"""),5.0)</f>
        <v>5</v>
      </c>
      <c r="BC208" s="16">
        <f>IFERROR(__xludf.DUMMYFUNCTION("""COMPUTED_VALUE"""),2.0)</f>
        <v>2</v>
      </c>
      <c r="BD208" s="16">
        <f>IFERROR(__xludf.DUMMYFUNCTION("""COMPUTED_VALUE"""),1.0)</f>
        <v>1</v>
      </c>
      <c r="BE208" s="16">
        <f>IFERROR(__xludf.DUMMYFUNCTION("""COMPUTED_VALUE"""),2.0)</f>
        <v>2</v>
      </c>
      <c r="BF208" s="16">
        <f>IFERROR(__xludf.DUMMYFUNCTION("""COMPUTED_VALUE"""),1.0)</f>
        <v>1</v>
      </c>
      <c r="BG208" s="16">
        <f>IFERROR(__xludf.DUMMYFUNCTION("""COMPUTED_VALUE"""),1.0)</f>
        <v>1</v>
      </c>
      <c r="BH208" s="16">
        <f>IFERROR(__xludf.DUMMYFUNCTION("""COMPUTED_VALUE"""),2.0)</f>
        <v>2</v>
      </c>
      <c r="BI208" s="16">
        <f>IFERROR(__xludf.DUMMYFUNCTION("""COMPUTED_VALUE"""),2.0)</f>
        <v>2</v>
      </c>
      <c r="BJ208" s="16">
        <f>IFERROR(__xludf.DUMMYFUNCTION("""COMPUTED_VALUE"""),4.0)</f>
        <v>4</v>
      </c>
      <c r="BK208" s="16">
        <f>IFERROR(__xludf.DUMMYFUNCTION("""COMPUTED_VALUE"""),5.0)</f>
        <v>5</v>
      </c>
      <c r="BL208" s="16">
        <f>IFERROR(__xludf.DUMMYFUNCTION("""COMPUTED_VALUE"""),5.0)</f>
        <v>5</v>
      </c>
      <c r="BM208" s="16">
        <f>IFERROR(__xludf.DUMMYFUNCTION("""COMPUTED_VALUE"""),0.0)</f>
        <v>0</v>
      </c>
      <c r="BN208" s="16">
        <f>IFERROR(__xludf.DUMMYFUNCTION("""COMPUTED_VALUE"""),0.0)</f>
        <v>0</v>
      </c>
      <c r="BO208" s="16">
        <f>IFERROR(__xludf.DUMMYFUNCTION("""COMPUTED_VALUE"""),0.0)</f>
        <v>0</v>
      </c>
      <c r="BP208" s="16">
        <f>IFERROR(__xludf.DUMMYFUNCTION("""COMPUTED_VALUE"""),0.0)</f>
        <v>0</v>
      </c>
      <c r="BQ208" s="16">
        <f>IFERROR(__xludf.DUMMYFUNCTION("""COMPUTED_VALUE"""),0.0)</f>
        <v>0</v>
      </c>
      <c r="BR208" s="16">
        <f>IFERROR(__xludf.DUMMYFUNCTION("""COMPUTED_VALUE"""),3.0)</f>
        <v>3</v>
      </c>
      <c r="BS208" s="16">
        <f>IFERROR(__xludf.DUMMYFUNCTION("""COMPUTED_VALUE"""),-3.0)</f>
        <v>-3</v>
      </c>
      <c r="BT208" s="16">
        <f>IFERROR(__xludf.DUMMYFUNCTION("""COMPUTED_VALUE"""),-1.0)</f>
        <v>-1</v>
      </c>
      <c r="BU208" s="16">
        <f>IFERROR(__xludf.DUMMYFUNCTION("""COMPUTED_VALUE"""),-6.0)</f>
        <v>-6</v>
      </c>
      <c r="BV208" s="16">
        <f>IFERROR(__xludf.DUMMYFUNCTION("""COMPUTED_VALUE"""),-2.0)</f>
        <v>-2</v>
      </c>
      <c r="BW208" s="16">
        <f>IFERROR(__xludf.DUMMYFUNCTION("""COMPUTED_VALUE"""),9.0)</f>
        <v>9</v>
      </c>
      <c r="BX208" s="16">
        <f>IFERROR(__xludf.DUMMYFUNCTION("""COMPUTED_VALUE"""),9.0)</f>
        <v>9</v>
      </c>
      <c r="BY208" s="16" t="str">
        <f>IFERROR(__xludf.DUMMYFUNCTION("""COMPUTED_VALUE"""),"R(1)")</f>
        <v>R(1)</v>
      </c>
      <c r="BZ208" s="16" t="str">
        <f>IFERROR(__xludf.DUMMYFUNCTION("""COMPUTED_VALUE"""),"R(1)")</f>
        <v>R(1)</v>
      </c>
      <c r="CA208" s="16" t="str">
        <f>IFERROR(__xludf.DUMMYFUNCTION("""COMPUTED_VALUE"""),"R(1)")</f>
        <v>R(1)</v>
      </c>
      <c r="CB208" s="16"/>
      <c r="CC208" s="16"/>
      <c r="CD208" s="16"/>
      <c r="CE208" s="16">
        <f>IFERROR(__xludf.DUMMYFUNCTION("""COMPUTED_VALUE"""),1.0)</f>
        <v>1</v>
      </c>
      <c r="CF208" s="16"/>
      <c r="CG208" s="16" t="str">
        <f>IFERROR(__xludf.DUMMYFUNCTION("""COMPUTED_VALUE"""),"4-0")</f>
        <v>4-0</v>
      </c>
      <c r="CH208" s="16">
        <f>IFERROR(__xludf.DUMMYFUNCTION("""COMPUTED_VALUE"""),4.0)</f>
        <v>4</v>
      </c>
      <c r="CI208" s="16">
        <f>IFERROR(__xludf.DUMMYFUNCTION("""COMPUTED_VALUE"""),0.0)</f>
        <v>0</v>
      </c>
      <c r="CJ208" s="16">
        <f>IFERROR(__xludf.DUMMYFUNCTION("""COMPUTED_VALUE"""),0.0)</f>
        <v>0</v>
      </c>
      <c r="CK208" s="16">
        <f>IFERROR(__xludf.DUMMYFUNCTION("""COMPUTED_VALUE"""),9.0)</f>
        <v>9</v>
      </c>
      <c r="CL208" s="16" t="str">
        <f>IFERROR(__xludf.DUMMYFUNCTION("""COMPUTED_VALUE"""),"1WL-C")</f>
        <v>1WL-C</v>
      </c>
      <c r="CM208" s="16" t="str">
        <f>IFERROR(__xludf.DUMMYFUNCTION("""COMPUTED_VALUE"""),"E")</f>
        <v>E</v>
      </c>
      <c r="CN208" s="16">
        <f>IFERROR(__xludf.DUMMYFUNCTION("""COMPUTED_VALUE"""),10.0)</f>
        <v>10</v>
      </c>
      <c r="CO208" s="16" t="str">
        <f>IFERROR(__xludf.DUMMYFUNCTION("""COMPUTED_VALUE"""),"C")</f>
        <v>C</v>
      </c>
      <c r="CP208" s="16" t="str">
        <f>IFERROR(__xludf.DUMMYFUNCTION("""COMPUTED_VALUE"""),"5p20")</f>
        <v>5p20</v>
      </c>
      <c r="CQ208" s="16">
        <f>IFERROR(__xludf.DUMMYFUNCTION("""COMPUTED_VALUE"""),23.0)</f>
        <v>23</v>
      </c>
      <c r="CR208" s="16">
        <f>IFERROR(__xludf.DUMMYFUNCTION("""COMPUTED_VALUE"""),-5.0)</f>
        <v>-5</v>
      </c>
      <c r="CS208" s="16">
        <f>IFERROR(__xludf.DUMMYFUNCTION("""COMPUTED_VALUE"""),18.0)</f>
        <v>18</v>
      </c>
      <c r="CT208" s="16">
        <f>IFERROR(__xludf.DUMMYFUNCTION("""COMPUTED_VALUE"""),23.0)</f>
        <v>23</v>
      </c>
      <c r="CU208" s="16">
        <f>IFERROR(__xludf.DUMMYFUNCTION("""COMPUTED_VALUE"""),-5.0)</f>
        <v>-5</v>
      </c>
      <c r="CV208" s="179">
        <f>IFERROR(__xludf.DUMMYFUNCTION("""COMPUTED_VALUE"""),7.333333333333333)</f>
        <v>7.333333333</v>
      </c>
      <c r="CW208" s="179">
        <f>IFERROR(__xludf.DUMMYFUNCTION("""COMPUTED_VALUE"""),0.0)</f>
        <v>0</v>
      </c>
      <c r="CX208" s="179">
        <f>IFERROR(__xludf.DUMMYFUNCTION("""COMPUTED_VALUE"""),3.0)</f>
        <v>3</v>
      </c>
      <c r="CY208" s="16" t="str">
        <f>IFERROR(__xludf.DUMMYFUNCTION("""COMPUTED_VALUE"""),"RP")</f>
        <v>RP</v>
      </c>
      <c r="CZ208" s="16"/>
      <c r="DA208" s="16"/>
      <c r="DB208" s="16"/>
      <c r="DC208" s="16"/>
      <c r="DD208" s="16"/>
      <c r="DE208" s="16"/>
      <c r="DF208" s="16"/>
      <c r="DG208" s="16"/>
      <c r="DH208" s="16"/>
      <c r="DI208" s="16"/>
      <c r="DJ208" s="16"/>
      <c r="DK208" s="16"/>
    </row>
    <row r="209">
      <c r="A209" s="16">
        <f>IFERROR(__xludf.DUMMYFUNCTION("""COMPUTED_VALUE"""),13248.0)</f>
        <v>13248</v>
      </c>
      <c r="B209" s="16" t="str">
        <f>IFERROR(__xludf.DUMMYFUNCTION("""COMPUTED_VALUE"""),"Nick Sandlin")</f>
        <v>Nick Sandlin</v>
      </c>
      <c r="C209" s="153">
        <f>IFERROR(__xludf.DUMMYFUNCTION("""COMPUTED_VALUE"""),0.0)</f>
        <v>0</v>
      </c>
      <c r="D209" s="16"/>
      <c r="E209" s="16" t="str">
        <f>IFERROR(__xludf.DUMMYFUNCTION("""COMPUTED_VALUE"""),"R")</f>
        <v>R</v>
      </c>
      <c r="F209" s="16">
        <f>IFERROR(__xludf.DUMMYFUNCTION("""COMPUTED_VALUE"""),58.0)</f>
        <v>58</v>
      </c>
      <c r="G209" s="16">
        <f>IFERROR(__xludf.DUMMYFUNCTION("""COMPUTED_VALUE"""),42.0)</f>
        <v>42</v>
      </c>
      <c r="H209" s="16">
        <f>IFERROR(__xludf.DUMMYFUNCTION("""COMPUTED_VALUE"""),35.0)</f>
        <v>35</v>
      </c>
      <c r="I209" s="16">
        <f>IFERROR(__xludf.DUMMYFUNCTION("""COMPUTED_VALUE"""),2.0)</f>
        <v>2</v>
      </c>
      <c r="J209" s="16">
        <f>IFERROR(__xludf.DUMMYFUNCTION("""COMPUTED_VALUE"""),1.0)</f>
        <v>1</v>
      </c>
      <c r="K209" s="16">
        <f>IFERROR(__xludf.DUMMYFUNCTION("""COMPUTED_VALUE"""),6.0)</f>
        <v>6</v>
      </c>
      <c r="L209" s="16">
        <f>IFERROR(__xludf.DUMMYFUNCTION("""COMPUTED_VALUE"""),3.0)</f>
        <v>3</v>
      </c>
      <c r="M209" s="16">
        <f>IFERROR(__xludf.DUMMYFUNCTION("""COMPUTED_VALUE"""),3.0)</f>
        <v>3</v>
      </c>
      <c r="N209" s="16">
        <f>IFERROR(__xludf.DUMMYFUNCTION("""COMPUTED_VALUE"""),23.0)</f>
        <v>23</v>
      </c>
      <c r="O209" s="16">
        <f>IFERROR(__xludf.DUMMYFUNCTION("""COMPUTED_VALUE"""),2.0)</f>
        <v>2</v>
      </c>
      <c r="P209" s="16">
        <f>IFERROR(__xludf.DUMMYFUNCTION("""COMPUTED_VALUE"""),-3.0)</f>
        <v>-3</v>
      </c>
      <c r="Q209" s="16">
        <f>IFERROR(__xludf.DUMMYFUNCTION("""COMPUTED_VALUE"""),2.0)</f>
        <v>2</v>
      </c>
      <c r="R209" s="16">
        <f>IFERROR(__xludf.DUMMYFUNCTION("""COMPUTED_VALUE"""),-3.0)</f>
        <v>-3</v>
      </c>
      <c r="S209" s="16">
        <f>IFERROR(__xludf.DUMMYFUNCTION("""COMPUTED_VALUE"""),9.1)</f>
        <v>9.1</v>
      </c>
      <c r="T209" s="16">
        <f>IFERROR(__xludf.DUMMYFUNCTION("""COMPUTED_VALUE"""),7.3)</f>
        <v>7.3</v>
      </c>
      <c r="U209" s="16">
        <f>IFERROR(__xludf.DUMMYFUNCTION("""COMPUTED_VALUE"""),1.0)</f>
        <v>1</v>
      </c>
      <c r="V209" s="16">
        <f>IFERROR(__xludf.DUMMYFUNCTION("""COMPUTED_VALUE"""),2.0)</f>
        <v>2</v>
      </c>
      <c r="W209" s="16">
        <f>IFERROR(__xludf.DUMMYFUNCTION("""COMPUTED_VALUE"""),2.0)</f>
        <v>2</v>
      </c>
      <c r="X209" s="16">
        <f>IFERROR(__xludf.DUMMYFUNCTION("""COMPUTED_VALUE"""),4.0)</f>
        <v>4</v>
      </c>
      <c r="Y209" s="16">
        <f>IFERROR(__xludf.DUMMYFUNCTION("""COMPUTED_VALUE"""),12.0)</f>
        <v>12</v>
      </c>
      <c r="Z209" s="16">
        <f>IFERROR(__xludf.DUMMYFUNCTION("""COMPUTED_VALUE"""),30.3)</f>
        <v>30.3</v>
      </c>
      <c r="AA209" s="16">
        <f>IFERROR(__xludf.DUMMYFUNCTION("""COMPUTED_VALUE"""),2.0)</f>
        <v>2</v>
      </c>
      <c r="AB209" s="16">
        <f>IFERROR(__xludf.DUMMYFUNCTION("""COMPUTED_VALUE"""),-1.0)</f>
        <v>-1</v>
      </c>
      <c r="AC209" s="16">
        <f>IFERROR(__xludf.DUMMYFUNCTION("""COMPUTED_VALUE"""),10.0)</f>
        <v>10</v>
      </c>
      <c r="AD209" s="16">
        <f>IFERROR(__xludf.DUMMYFUNCTION("""COMPUTED_VALUE"""),-5.0)</f>
        <v>-5</v>
      </c>
      <c r="AE209" s="16">
        <f>IFERROR(__xludf.DUMMYFUNCTION("""COMPUTED_VALUE"""),19.3)</f>
        <v>19.3</v>
      </c>
      <c r="AF209" s="16">
        <f>IFERROR(__xludf.DUMMYFUNCTION("""COMPUTED_VALUE"""),22.7)</f>
        <v>22.7</v>
      </c>
      <c r="AG209" s="16">
        <f>IFERROR(__xludf.DUMMYFUNCTION("""COMPUTED_VALUE"""),1.0)</f>
        <v>1</v>
      </c>
      <c r="AH209" s="16">
        <f>IFERROR(__xludf.DUMMYFUNCTION("""COMPUTED_VALUE"""),1.0)</f>
        <v>1</v>
      </c>
      <c r="AI209" s="16">
        <f>IFERROR(__xludf.DUMMYFUNCTION("""COMPUTED_VALUE"""),2.0)</f>
        <v>2</v>
      </c>
      <c r="AJ209" s="16">
        <f>IFERROR(__xludf.DUMMYFUNCTION("""COMPUTED_VALUE"""),2.0)</f>
        <v>2</v>
      </c>
      <c r="AK209" s="16">
        <f>IFERROR(__xludf.DUMMYFUNCTION("""COMPUTED_VALUE"""),6.699999999999999)</f>
        <v>6.7</v>
      </c>
      <c r="AL209" s="16">
        <f>IFERROR(__xludf.DUMMYFUNCTION("""COMPUTED_VALUE"""),2.5)</f>
        <v>2.5</v>
      </c>
      <c r="AM209" s="16">
        <f>IFERROR(__xludf.DUMMYFUNCTION("""COMPUTED_VALUE"""),1.0)</f>
        <v>1</v>
      </c>
      <c r="AN209" s="16">
        <f>IFERROR(__xludf.DUMMYFUNCTION("""COMPUTED_VALUE"""),2.0)</f>
        <v>2</v>
      </c>
      <c r="AO209" s="16">
        <f>IFERROR(__xludf.DUMMYFUNCTION("""COMPUTED_VALUE"""),1.0)</f>
        <v>1</v>
      </c>
      <c r="AP209" s="16">
        <f>IFERROR(__xludf.DUMMYFUNCTION("""COMPUTED_VALUE"""),2.0)</f>
        <v>2</v>
      </c>
      <c r="AQ209" s="16">
        <f>IFERROR(__xludf.DUMMYFUNCTION("""COMPUTED_VALUE"""),9.700000000000001)</f>
        <v>9.7</v>
      </c>
      <c r="AR209" s="16">
        <f>IFERROR(__xludf.DUMMYFUNCTION("""COMPUTED_VALUE"""),3.5)</f>
        <v>3.5</v>
      </c>
      <c r="AS209" s="16">
        <f>IFERROR(__xludf.DUMMYFUNCTION("""COMPUTED_VALUE"""),1.0)</f>
        <v>1</v>
      </c>
      <c r="AT209" s="16">
        <f>IFERROR(__xludf.DUMMYFUNCTION("""COMPUTED_VALUE"""),2.0)</f>
        <v>2</v>
      </c>
      <c r="AU209" s="16">
        <f>IFERROR(__xludf.DUMMYFUNCTION("""COMPUTED_VALUE"""),2.0)</f>
        <v>2</v>
      </c>
      <c r="AV209" s="16">
        <f>IFERROR(__xludf.DUMMYFUNCTION("""COMPUTED_VALUE"""),4.0)</f>
        <v>4</v>
      </c>
      <c r="AW209" s="16">
        <f>IFERROR(__xludf.DUMMYFUNCTION("""COMPUTED_VALUE"""),2.4)</f>
        <v>2.4</v>
      </c>
      <c r="AX209" s="16">
        <f>IFERROR(__xludf.DUMMYFUNCTION("""COMPUTED_VALUE"""),4.8)</f>
        <v>4.8</v>
      </c>
      <c r="AY209" s="16">
        <f>IFERROR(__xludf.DUMMYFUNCTION("""COMPUTED_VALUE"""),0.0)</f>
        <v>0</v>
      </c>
      <c r="AZ209" s="16">
        <f>IFERROR(__xludf.DUMMYFUNCTION("""COMPUTED_VALUE"""),-2.0)</f>
        <v>-2</v>
      </c>
      <c r="BA209" s="16">
        <f>IFERROR(__xludf.DUMMYFUNCTION("""COMPUTED_VALUE"""),0.0)</f>
        <v>0</v>
      </c>
      <c r="BB209" s="16">
        <f>IFERROR(__xludf.DUMMYFUNCTION("""COMPUTED_VALUE"""),-10.0)</f>
        <v>-10</v>
      </c>
      <c r="BC209" s="16">
        <f>IFERROR(__xludf.DUMMYFUNCTION("""COMPUTED_VALUE"""),3.0)</f>
        <v>3</v>
      </c>
      <c r="BD209" s="16"/>
      <c r="BE209" s="16">
        <f>IFERROR(__xludf.DUMMYFUNCTION("""COMPUTED_VALUE"""),3.0)</f>
        <v>3</v>
      </c>
      <c r="BF209" s="16">
        <f>IFERROR(__xludf.DUMMYFUNCTION("""COMPUTED_VALUE"""),8.0)</f>
        <v>8</v>
      </c>
      <c r="BG209" s="16">
        <f>IFERROR(__xludf.DUMMYFUNCTION("""COMPUTED_VALUE"""),0.0)</f>
        <v>0</v>
      </c>
      <c r="BH209" s="16">
        <f>IFERROR(__xludf.DUMMYFUNCTION("""COMPUTED_VALUE"""),-3.0)</f>
        <v>-3</v>
      </c>
      <c r="BI209" s="16">
        <f>IFERROR(__xludf.DUMMYFUNCTION("""COMPUTED_VALUE"""),0.0)</f>
        <v>0</v>
      </c>
      <c r="BJ209" s="16">
        <f>IFERROR(__xludf.DUMMYFUNCTION("""COMPUTED_VALUE"""),-6.0)</f>
        <v>-6</v>
      </c>
      <c r="BK209" s="16">
        <f>IFERROR(__xludf.DUMMYFUNCTION("""COMPUTED_VALUE"""),5.0)</f>
        <v>5</v>
      </c>
      <c r="BL209" s="16">
        <f>IFERROR(__xludf.DUMMYFUNCTION("""COMPUTED_VALUE"""),0.0)</f>
        <v>0</v>
      </c>
      <c r="BM209" s="16">
        <f>IFERROR(__xludf.DUMMYFUNCTION("""COMPUTED_VALUE"""),0.0)</f>
        <v>0</v>
      </c>
      <c r="BN209" s="16">
        <f>IFERROR(__xludf.DUMMYFUNCTION("""COMPUTED_VALUE"""),1.0)</f>
        <v>1</v>
      </c>
      <c r="BO209" s="16">
        <f>IFERROR(__xludf.DUMMYFUNCTION("""COMPUTED_VALUE"""),0.0)</f>
        <v>0</v>
      </c>
      <c r="BP209" s="16">
        <f>IFERROR(__xludf.DUMMYFUNCTION("""COMPUTED_VALUE"""),1.0)</f>
        <v>1</v>
      </c>
      <c r="BQ209" s="16">
        <f>IFERROR(__xludf.DUMMYFUNCTION("""COMPUTED_VALUE"""),7.0)</f>
        <v>7</v>
      </c>
      <c r="BR209" s="16">
        <f>IFERROR(__xludf.DUMMYFUNCTION("""COMPUTED_VALUE"""),4.0)</f>
        <v>4</v>
      </c>
      <c r="BS209" s="16">
        <f>IFERROR(__xludf.DUMMYFUNCTION("""COMPUTED_VALUE"""),2.0)</f>
        <v>2</v>
      </c>
      <c r="BT209" s="16">
        <f>IFERROR(__xludf.DUMMYFUNCTION("""COMPUTED_VALUE"""),-1.0)</f>
        <v>-1</v>
      </c>
      <c r="BU209" s="16">
        <f>IFERROR(__xludf.DUMMYFUNCTION("""COMPUTED_VALUE"""),4.0)</f>
        <v>4</v>
      </c>
      <c r="BV209" s="16">
        <f>IFERROR(__xludf.DUMMYFUNCTION("""COMPUTED_VALUE"""),-2.0)</f>
        <v>-2</v>
      </c>
      <c r="BW209" s="16">
        <f>IFERROR(__xludf.DUMMYFUNCTION("""COMPUTED_VALUE"""),1.0)</f>
        <v>1</v>
      </c>
      <c r="BX209" s="16">
        <f>IFERROR(__xludf.DUMMYFUNCTION("""COMPUTED_VALUE"""),1.0)</f>
        <v>1</v>
      </c>
      <c r="BY209" s="16" t="str">
        <f>IFERROR(__xludf.DUMMYFUNCTION("""COMPUTED_VALUE"""),"R(1) C(0)")</f>
        <v>R(1) C(0)</v>
      </c>
      <c r="BZ209" s="16" t="str">
        <f>IFERROR(__xludf.DUMMYFUNCTION("""COMPUTED_VALUE"""),"R(1) C(0)")</f>
        <v>R(1) C(0)</v>
      </c>
      <c r="CA209" s="16" t="str">
        <f>IFERROR(__xludf.DUMMYFUNCTION("""COMPUTED_VALUE"""),"R(1)")</f>
        <v>R(1)</v>
      </c>
      <c r="CB209" s="16" t="str">
        <f>IFERROR(__xludf.DUMMYFUNCTION("""COMPUTED_VALUE"""),"C(0)")</f>
        <v>C(0)</v>
      </c>
      <c r="CC209" s="16"/>
      <c r="CD209" s="16"/>
      <c r="CE209" s="16">
        <f>IFERROR(__xludf.DUMMYFUNCTION("""COMPUTED_VALUE"""),1.0)</f>
        <v>1</v>
      </c>
      <c r="CF209" s="16">
        <f>IFERROR(__xludf.DUMMYFUNCTION("""COMPUTED_VALUE"""),0.0)</f>
        <v>0</v>
      </c>
      <c r="CG209" s="16" t="str">
        <f>IFERROR(__xludf.DUMMYFUNCTION("""COMPUTED_VALUE"""),"2-0")</f>
        <v>2-0</v>
      </c>
      <c r="CH209" s="16">
        <f>IFERROR(__xludf.DUMMYFUNCTION("""COMPUTED_VALUE"""),2.0)</f>
        <v>2</v>
      </c>
      <c r="CI209" s="16">
        <f>IFERROR(__xludf.DUMMYFUNCTION("""COMPUTED_VALUE"""),0.0)</f>
        <v>0</v>
      </c>
      <c r="CJ209" s="16">
        <f>IFERROR(__xludf.DUMMYFUNCTION("""COMPUTED_VALUE"""),0.0)</f>
        <v>0</v>
      </c>
      <c r="CK209" s="16">
        <f>IFERROR(__xludf.DUMMYFUNCTION("""COMPUTED_VALUE"""),3.0)</f>
        <v>3</v>
      </c>
      <c r="CL209" s="16" t="str">
        <f>IFERROR(__xludf.DUMMYFUNCTION("""COMPUTED_VALUE"""),"1WR-C")</f>
        <v>1WR-C</v>
      </c>
      <c r="CM209" s="16" t="str">
        <f>IFERROR(__xludf.DUMMYFUNCTION("""COMPUTED_VALUE"""),"E")</f>
        <v>E</v>
      </c>
      <c r="CN209" s="16">
        <f>IFERROR(__xludf.DUMMYFUNCTION("""COMPUTED_VALUE"""),10.0)</f>
        <v>10</v>
      </c>
      <c r="CO209" s="16" t="str">
        <f>IFERROR(__xludf.DUMMYFUNCTION("""COMPUTED_VALUE"""),"C")</f>
        <v>C</v>
      </c>
      <c r="CP209" s="16" t="str">
        <f>IFERROR(__xludf.DUMMYFUNCTION("""COMPUTED_VALUE"""),"1p50")</f>
        <v>1p50</v>
      </c>
      <c r="CQ209" s="16">
        <f>IFERROR(__xludf.DUMMYFUNCTION("""COMPUTED_VALUE"""),29.0)</f>
        <v>29</v>
      </c>
      <c r="CR209" s="16">
        <f>IFERROR(__xludf.DUMMYFUNCTION("""COMPUTED_VALUE"""),-10.0)</f>
        <v>-10</v>
      </c>
      <c r="CS209" s="16">
        <f>IFERROR(__xludf.DUMMYFUNCTION("""COMPUTED_VALUE"""),19.0)</f>
        <v>19</v>
      </c>
      <c r="CT209" s="16">
        <f>IFERROR(__xludf.DUMMYFUNCTION("""COMPUTED_VALUE"""),29.0)</f>
        <v>29</v>
      </c>
      <c r="CU209" s="16">
        <f>IFERROR(__xludf.DUMMYFUNCTION("""COMPUTED_VALUE"""),-10.0)</f>
        <v>-10</v>
      </c>
      <c r="CV209" s="179">
        <f>IFERROR(__xludf.DUMMYFUNCTION("""COMPUTED_VALUE"""),7.0)</f>
        <v>7</v>
      </c>
      <c r="CW209" s="179">
        <f>IFERROR(__xludf.DUMMYFUNCTION("""COMPUTED_VALUE"""),4.0)</f>
        <v>4</v>
      </c>
      <c r="CX209" s="179">
        <f>IFERROR(__xludf.DUMMYFUNCTION("""COMPUTED_VALUE"""),0.0)</f>
        <v>0</v>
      </c>
      <c r="CY209" s="16" t="str">
        <f>IFERROR(__xludf.DUMMYFUNCTION("""COMPUTED_VALUE"""),"RP")</f>
        <v>RP</v>
      </c>
      <c r="CZ209" s="16" t="str">
        <f>IFERROR(__xludf.DUMMYFUNCTION("""COMPUTED_VALUE"""),"CP")</f>
        <v>CP</v>
      </c>
      <c r="DA209" s="16"/>
      <c r="DB209" s="16"/>
      <c r="DC209" s="16"/>
      <c r="DD209" s="16"/>
      <c r="DE209" s="16"/>
      <c r="DF209" s="16"/>
      <c r="DG209" s="16"/>
      <c r="DH209" s="16"/>
      <c r="DI209" s="16"/>
      <c r="DJ209" s="16"/>
      <c r="DK209" s="16"/>
    </row>
    <row r="210">
      <c r="A210" s="16">
        <f>IFERROR(__xludf.DUMMYFUNCTION("""COMPUTED_VALUE"""),13397.0)</f>
        <v>13397</v>
      </c>
      <c r="B210" s="16" t="str">
        <f>IFERROR(__xludf.DUMMYFUNCTION("""COMPUTED_VALUE"""),"Tanner Banks")</f>
        <v>Tanner Banks</v>
      </c>
      <c r="C210" s="153">
        <f>IFERROR(__xludf.DUMMYFUNCTION("""COMPUTED_VALUE"""),0.07)</f>
        <v>0.07</v>
      </c>
      <c r="D210" s="16"/>
      <c r="E210" s="16" t="str">
        <f>IFERROR(__xludf.DUMMYFUNCTION("""COMPUTED_VALUE"""),"L")</f>
        <v>L</v>
      </c>
      <c r="F210" s="16">
        <f>IFERROR(__xludf.DUMMYFUNCTION("""COMPUTED_VALUE"""),72.0)</f>
        <v>72</v>
      </c>
      <c r="G210" s="16">
        <f>IFERROR(__xludf.DUMMYFUNCTION("""COMPUTED_VALUE"""),39.0)</f>
        <v>39</v>
      </c>
      <c r="H210" s="16">
        <f>IFERROR(__xludf.DUMMYFUNCTION("""COMPUTED_VALUE"""),24.0)</f>
        <v>24</v>
      </c>
      <c r="I210" s="16">
        <f>IFERROR(__xludf.DUMMYFUNCTION("""COMPUTED_VALUE"""),2.0)</f>
        <v>2</v>
      </c>
      <c r="J210" s="16">
        <f>IFERROR(__xludf.DUMMYFUNCTION("""COMPUTED_VALUE"""),0.0)</f>
        <v>0</v>
      </c>
      <c r="K210" s="16">
        <f>IFERROR(__xludf.DUMMYFUNCTION("""COMPUTED_VALUE"""),6.0)</f>
        <v>6</v>
      </c>
      <c r="L210" s="16">
        <f>IFERROR(__xludf.DUMMYFUNCTION("""COMPUTED_VALUE"""),0.0)</f>
        <v>0</v>
      </c>
      <c r="M210" s="16">
        <f>IFERROR(__xludf.DUMMYFUNCTION("""COMPUTED_VALUE"""),3.0)</f>
        <v>3</v>
      </c>
      <c r="N210" s="16">
        <f>IFERROR(__xludf.DUMMYFUNCTION("""COMPUTED_VALUE"""),11.0)</f>
        <v>11</v>
      </c>
      <c r="O210" s="16">
        <f>IFERROR(__xludf.DUMMYFUNCTION("""COMPUTED_VALUE"""),2.0)</f>
        <v>2</v>
      </c>
      <c r="P210" s="16">
        <f>IFERROR(__xludf.DUMMYFUNCTION("""COMPUTED_VALUE"""),-1.0)</f>
        <v>-1</v>
      </c>
      <c r="Q210" s="16">
        <f>IFERROR(__xludf.DUMMYFUNCTION("""COMPUTED_VALUE"""),2.0)</f>
        <v>2</v>
      </c>
      <c r="R210" s="16">
        <f>IFERROR(__xludf.DUMMYFUNCTION("""COMPUTED_VALUE"""),-1.0)</f>
        <v>-1</v>
      </c>
      <c r="S210" s="16">
        <f>IFERROR(__xludf.DUMMYFUNCTION("""COMPUTED_VALUE"""),14.6)</f>
        <v>14.6</v>
      </c>
      <c r="T210" s="16">
        <f>IFERROR(__xludf.DUMMYFUNCTION("""COMPUTED_VALUE"""),19.6)</f>
        <v>19.6</v>
      </c>
      <c r="U210" s="16">
        <f>IFERROR(__xludf.DUMMYFUNCTION("""COMPUTED_VALUE"""),0.0)</f>
        <v>0</v>
      </c>
      <c r="V210" s="16">
        <f>IFERROR(__xludf.DUMMYFUNCTION("""COMPUTED_VALUE"""),-1.0)</f>
        <v>-1</v>
      </c>
      <c r="W210" s="16">
        <f>IFERROR(__xludf.DUMMYFUNCTION("""COMPUTED_VALUE"""),0.0)</f>
        <v>0</v>
      </c>
      <c r="X210" s="16">
        <f>IFERROR(__xludf.DUMMYFUNCTION("""COMPUTED_VALUE"""),-2.0)</f>
        <v>-2</v>
      </c>
      <c r="Y210" s="16">
        <f>IFERROR(__xludf.DUMMYFUNCTION("""COMPUTED_VALUE"""),17.5)</f>
        <v>17.5</v>
      </c>
      <c r="Z210" s="16">
        <f>IFERROR(__xludf.DUMMYFUNCTION("""COMPUTED_VALUE"""),30.7)</f>
        <v>30.7</v>
      </c>
      <c r="AA210" s="16">
        <f>IFERROR(__xludf.DUMMYFUNCTION("""COMPUTED_VALUE"""),1.0)</f>
        <v>1</v>
      </c>
      <c r="AB210" s="16">
        <f>IFERROR(__xludf.DUMMYFUNCTION("""COMPUTED_VALUE"""),-1.0)</f>
        <v>-1</v>
      </c>
      <c r="AC210" s="16">
        <f>IFERROR(__xludf.DUMMYFUNCTION("""COMPUTED_VALUE"""),5.0)</f>
        <v>5</v>
      </c>
      <c r="AD210" s="16">
        <f>IFERROR(__xludf.DUMMYFUNCTION("""COMPUTED_VALUE"""),-5.0)</f>
        <v>-5</v>
      </c>
      <c r="AE210" s="16">
        <f>IFERROR(__xludf.DUMMYFUNCTION("""COMPUTED_VALUE"""),23.8)</f>
        <v>23.8</v>
      </c>
      <c r="AF210" s="16">
        <f>IFERROR(__xludf.DUMMYFUNCTION("""COMPUTED_VALUE"""),25.0)</f>
        <v>25</v>
      </c>
      <c r="AG210" s="16">
        <f>IFERROR(__xludf.DUMMYFUNCTION("""COMPUTED_VALUE"""),0.0)</f>
        <v>0</v>
      </c>
      <c r="AH210" s="16">
        <f>IFERROR(__xludf.DUMMYFUNCTION("""COMPUTED_VALUE"""),0.0)</f>
        <v>0</v>
      </c>
      <c r="AI210" s="16">
        <f>IFERROR(__xludf.DUMMYFUNCTION("""COMPUTED_VALUE"""),0.0)</f>
        <v>0</v>
      </c>
      <c r="AJ210" s="16">
        <f>IFERROR(__xludf.DUMMYFUNCTION("""COMPUTED_VALUE"""),0.0)</f>
        <v>0</v>
      </c>
      <c r="AK210" s="16">
        <f>IFERROR(__xludf.DUMMYFUNCTION("""COMPUTED_VALUE"""),13.6)</f>
        <v>13.6</v>
      </c>
      <c r="AL210" s="16">
        <f>IFERROR(__xludf.DUMMYFUNCTION("""COMPUTED_VALUE"""),18.8)</f>
        <v>18.8</v>
      </c>
      <c r="AM210" s="16">
        <f>IFERROR(__xludf.DUMMYFUNCTION("""COMPUTED_VALUE"""),0.0)</f>
        <v>0</v>
      </c>
      <c r="AN210" s="16">
        <f>IFERROR(__xludf.DUMMYFUNCTION("""COMPUTED_VALUE"""),-1.0)</f>
        <v>-1</v>
      </c>
      <c r="AO210" s="16">
        <f>IFERROR(__xludf.DUMMYFUNCTION("""COMPUTED_VALUE"""),0.0)</f>
        <v>0</v>
      </c>
      <c r="AP210" s="16">
        <f>IFERROR(__xludf.DUMMYFUNCTION("""COMPUTED_VALUE"""),-1.0)</f>
        <v>-1</v>
      </c>
      <c r="AQ210" s="16">
        <f>IFERROR(__xludf.DUMMYFUNCTION("""COMPUTED_VALUE"""),19.8)</f>
        <v>19.8</v>
      </c>
      <c r="AR210" s="16">
        <f>IFERROR(__xludf.DUMMYFUNCTION("""COMPUTED_VALUE"""),21.8)</f>
        <v>21.8</v>
      </c>
      <c r="AS210" s="16">
        <f>IFERROR(__xludf.DUMMYFUNCTION("""COMPUTED_VALUE"""),0.0)</f>
        <v>0</v>
      </c>
      <c r="AT210" s="16">
        <f>IFERROR(__xludf.DUMMYFUNCTION("""COMPUTED_VALUE"""),0.0)</f>
        <v>0</v>
      </c>
      <c r="AU210" s="16">
        <f>IFERROR(__xludf.DUMMYFUNCTION("""COMPUTED_VALUE"""),0.0)</f>
        <v>0</v>
      </c>
      <c r="AV210" s="16">
        <f>IFERROR(__xludf.DUMMYFUNCTION("""COMPUTED_VALUE"""),0.0)</f>
        <v>0</v>
      </c>
      <c r="AW210" s="16">
        <f>IFERROR(__xludf.DUMMYFUNCTION("""COMPUTED_VALUE"""),1.0)</f>
        <v>1</v>
      </c>
      <c r="AX210" s="16">
        <f>IFERROR(__xludf.DUMMYFUNCTION("""COMPUTED_VALUE"""),0.8)</f>
        <v>0.8</v>
      </c>
      <c r="AY210" s="16">
        <f>IFERROR(__xludf.DUMMYFUNCTION("""COMPUTED_VALUE"""),1.0)</f>
        <v>1</v>
      </c>
      <c r="AZ210" s="16">
        <f>IFERROR(__xludf.DUMMYFUNCTION("""COMPUTED_VALUE"""),1.0)</f>
        <v>1</v>
      </c>
      <c r="BA210" s="16">
        <f>IFERROR(__xludf.DUMMYFUNCTION("""COMPUTED_VALUE"""),5.0)</f>
        <v>5</v>
      </c>
      <c r="BB210" s="16">
        <f>IFERROR(__xludf.DUMMYFUNCTION("""COMPUTED_VALUE"""),5.0)</f>
        <v>5</v>
      </c>
      <c r="BC210" s="16">
        <f>IFERROR(__xludf.DUMMYFUNCTION("""COMPUTED_VALUE"""),0.0)</f>
        <v>0</v>
      </c>
      <c r="BD210" s="16">
        <f>IFERROR(__xludf.DUMMYFUNCTION("""COMPUTED_VALUE"""),1.0)</f>
        <v>1</v>
      </c>
      <c r="BE210" s="16">
        <f>IFERROR(__xludf.DUMMYFUNCTION("""COMPUTED_VALUE"""),0.0)</f>
        <v>0</v>
      </c>
      <c r="BF210" s="16">
        <f>IFERROR(__xludf.DUMMYFUNCTION("""COMPUTED_VALUE"""),1.0)</f>
        <v>1</v>
      </c>
      <c r="BG210" s="16">
        <f>IFERROR(__xludf.DUMMYFUNCTION("""COMPUTED_VALUE"""),3.0)</f>
        <v>3</v>
      </c>
      <c r="BH210" s="16">
        <f>IFERROR(__xludf.DUMMYFUNCTION("""COMPUTED_VALUE"""),2.0)</f>
        <v>2</v>
      </c>
      <c r="BI210" s="16">
        <f>IFERROR(__xludf.DUMMYFUNCTION("""COMPUTED_VALUE"""),6.0)</f>
        <v>6</v>
      </c>
      <c r="BJ210" s="16">
        <f>IFERROR(__xludf.DUMMYFUNCTION("""COMPUTED_VALUE"""),4.0)</f>
        <v>4</v>
      </c>
      <c r="BK210" s="16">
        <f>IFERROR(__xludf.DUMMYFUNCTION("""COMPUTED_VALUE"""),5.0)</f>
        <v>5</v>
      </c>
      <c r="BL210" s="16">
        <f>IFERROR(__xludf.DUMMYFUNCTION("""COMPUTED_VALUE"""),5.0)</f>
        <v>5</v>
      </c>
      <c r="BM210" s="16">
        <f>IFERROR(__xludf.DUMMYFUNCTION("""COMPUTED_VALUE"""),0.0)</f>
        <v>0</v>
      </c>
      <c r="BN210" s="16">
        <f>IFERROR(__xludf.DUMMYFUNCTION("""COMPUTED_VALUE"""),0.0)</f>
        <v>0</v>
      </c>
      <c r="BO210" s="16">
        <f>IFERROR(__xludf.DUMMYFUNCTION("""COMPUTED_VALUE"""),0.0)</f>
        <v>0</v>
      </c>
      <c r="BP210" s="16">
        <f>IFERROR(__xludf.DUMMYFUNCTION("""COMPUTED_VALUE"""),0.0)</f>
        <v>0</v>
      </c>
      <c r="BQ210" s="16">
        <f>IFERROR(__xludf.DUMMYFUNCTION("""COMPUTED_VALUE"""),0.0)</f>
        <v>0</v>
      </c>
      <c r="BR210" s="16">
        <f>IFERROR(__xludf.DUMMYFUNCTION("""COMPUTED_VALUE"""),0.0)</f>
        <v>0</v>
      </c>
      <c r="BS210" s="16">
        <f>IFERROR(__xludf.DUMMYFUNCTION("""COMPUTED_VALUE"""),-3.0)</f>
        <v>-3</v>
      </c>
      <c r="BT210" s="16">
        <f>IFERROR(__xludf.DUMMYFUNCTION("""COMPUTED_VALUE"""),-3.0)</f>
        <v>-3</v>
      </c>
      <c r="BU210" s="16">
        <f>IFERROR(__xludf.DUMMYFUNCTION("""COMPUTED_VALUE"""),-6.0)</f>
        <v>-6</v>
      </c>
      <c r="BV210" s="16">
        <f>IFERROR(__xludf.DUMMYFUNCTION("""COMPUTED_VALUE"""),-6.0)</f>
        <v>-6</v>
      </c>
      <c r="BW210" s="16">
        <f>IFERROR(__xludf.DUMMYFUNCTION("""COMPUTED_VALUE"""),6.0)</f>
        <v>6</v>
      </c>
      <c r="BX210" s="16">
        <f>IFERROR(__xludf.DUMMYFUNCTION("""COMPUTED_VALUE"""),6.0)</f>
        <v>6</v>
      </c>
      <c r="BY210" s="16" t="str">
        <f>IFERROR(__xludf.DUMMYFUNCTION("""COMPUTED_VALUE"""),"R(1) C(1)")</f>
        <v>R(1) C(1)</v>
      </c>
      <c r="BZ210" s="16" t="str">
        <f>IFERROR(__xludf.DUMMYFUNCTION("""COMPUTED_VALUE"""),"R(1) C(1)")</f>
        <v>R(1) C(1)</v>
      </c>
      <c r="CA210" s="16" t="str">
        <f>IFERROR(__xludf.DUMMYFUNCTION("""COMPUTED_VALUE"""),"R(1)")</f>
        <v>R(1)</v>
      </c>
      <c r="CB210" s="16" t="str">
        <f>IFERROR(__xludf.DUMMYFUNCTION("""COMPUTED_VALUE"""),"C(1)")</f>
        <v>C(1)</v>
      </c>
      <c r="CC210" s="16"/>
      <c r="CD210" s="16"/>
      <c r="CE210" s="16">
        <f>IFERROR(__xludf.DUMMYFUNCTION("""COMPUTED_VALUE"""),1.0)</f>
        <v>1</v>
      </c>
      <c r="CF210" s="16">
        <f>IFERROR(__xludf.DUMMYFUNCTION("""COMPUTED_VALUE"""),1.0)</f>
        <v>1</v>
      </c>
      <c r="CG210" s="16" t="str">
        <f>IFERROR(__xludf.DUMMYFUNCTION("""COMPUTED_VALUE"""),"3-51")</f>
        <v>3-51</v>
      </c>
      <c r="CH210" s="16">
        <f>IFERROR(__xludf.DUMMYFUNCTION("""COMPUTED_VALUE"""),3.0)</f>
        <v>3</v>
      </c>
      <c r="CI210" s="16">
        <f>IFERROR(__xludf.DUMMYFUNCTION("""COMPUTED_VALUE"""),51.0)</f>
        <v>51</v>
      </c>
      <c r="CJ210" s="16">
        <f>IFERROR(__xludf.DUMMYFUNCTION("""COMPUTED_VALUE"""),0.0)</f>
        <v>0</v>
      </c>
      <c r="CK210" s="16">
        <f>IFERROR(__xludf.DUMMYFUNCTION("""COMPUTED_VALUE"""),0.0)</f>
        <v>0</v>
      </c>
      <c r="CL210" s="16" t="str">
        <f>IFERROR(__xludf.DUMMYFUNCTION("""COMPUTED_VALUE"""),"1WR-C")</f>
        <v>1WR-C</v>
      </c>
      <c r="CM210" s="16" t="str">
        <f>IFERROR(__xludf.DUMMYFUNCTION("""COMPUTED_VALUE"""),"E")</f>
        <v>E</v>
      </c>
      <c r="CN210" s="16">
        <f>IFERROR(__xludf.DUMMYFUNCTION("""COMPUTED_VALUE"""),10.0)</f>
        <v>10</v>
      </c>
      <c r="CO210" s="16" t="str">
        <f>IFERROR(__xludf.DUMMYFUNCTION("""COMPUTED_VALUE"""),"C")</f>
        <v>C</v>
      </c>
      <c r="CP210" s="16" t="str">
        <f>IFERROR(__xludf.DUMMYFUNCTION("""COMPUTED_VALUE"""),"1p60")</f>
        <v>1p60</v>
      </c>
      <c r="CQ210" s="16">
        <f>IFERROR(__xludf.DUMMYFUNCTION("""COMPUTED_VALUE"""),18.0)</f>
        <v>18</v>
      </c>
      <c r="CR210" s="16">
        <f>IFERROR(__xludf.DUMMYFUNCTION("""COMPUTED_VALUE"""),-6.0)</f>
        <v>-6</v>
      </c>
      <c r="CS210" s="16">
        <f>IFERROR(__xludf.DUMMYFUNCTION("""COMPUTED_VALUE"""),12.0)</f>
        <v>12</v>
      </c>
      <c r="CT210" s="16">
        <f>IFERROR(__xludf.DUMMYFUNCTION("""COMPUTED_VALUE"""),18.0)</f>
        <v>18</v>
      </c>
      <c r="CU210" s="16">
        <f>IFERROR(__xludf.DUMMYFUNCTION("""COMPUTED_VALUE"""),-6.0)</f>
        <v>-6</v>
      </c>
      <c r="CV210" s="179">
        <f>IFERROR(__xludf.DUMMYFUNCTION("""COMPUTED_VALUE"""),7.0)</f>
        <v>7</v>
      </c>
      <c r="CW210" s="179">
        <f>IFERROR(__xludf.DUMMYFUNCTION("""COMPUTED_VALUE"""),4.0)</f>
        <v>4</v>
      </c>
      <c r="CX210" s="179">
        <f>IFERROR(__xludf.DUMMYFUNCTION("""COMPUTED_VALUE"""),1.0)</f>
        <v>1</v>
      </c>
      <c r="CY210" s="16" t="str">
        <f>IFERROR(__xludf.DUMMYFUNCTION("""COMPUTED_VALUE"""),"RP")</f>
        <v>RP</v>
      </c>
      <c r="CZ210" s="16" t="str">
        <f>IFERROR(__xludf.DUMMYFUNCTION("""COMPUTED_VALUE"""),"CP")</f>
        <v>CP</v>
      </c>
      <c r="DA210" s="16"/>
      <c r="DB210" s="16"/>
      <c r="DC210" s="16"/>
      <c r="DD210" s="16"/>
      <c r="DE210" s="16"/>
      <c r="DF210" s="16"/>
      <c r="DG210" s="16"/>
      <c r="DH210" s="16"/>
      <c r="DI210" s="16"/>
      <c r="DJ210" s="16"/>
      <c r="DK210" s="16"/>
    </row>
    <row r="211">
      <c r="A211" s="16">
        <f>IFERROR(__xludf.DUMMYFUNCTION("""COMPUTED_VALUE"""),12568.0)</f>
        <v>12568</v>
      </c>
      <c r="B211" s="16" t="str">
        <f>IFERROR(__xludf.DUMMYFUNCTION("""COMPUTED_VALUE"""),"Austin Voth")</f>
        <v>Austin Voth</v>
      </c>
      <c r="C211" s="153">
        <f>IFERROR(__xludf.DUMMYFUNCTION("""COMPUTED_VALUE"""),0.0)</f>
        <v>0</v>
      </c>
      <c r="D211" s="16"/>
      <c r="E211" s="16" t="str">
        <f>IFERROR(__xludf.DUMMYFUNCTION("""COMPUTED_VALUE"""),"R")</f>
        <v>R</v>
      </c>
      <c r="F211" s="16">
        <f>IFERROR(__xludf.DUMMYFUNCTION("""COMPUTED_VALUE"""),61.0)</f>
        <v>61</v>
      </c>
      <c r="G211" s="16">
        <f>IFERROR(__xludf.DUMMYFUNCTION("""COMPUTED_VALUE"""),16.0)</f>
        <v>16</v>
      </c>
      <c r="H211" s="16">
        <f>IFERROR(__xludf.DUMMYFUNCTION("""COMPUTED_VALUE"""),42.0)</f>
        <v>42</v>
      </c>
      <c r="I211" s="16">
        <f>IFERROR(__xludf.DUMMYFUNCTION("""COMPUTED_VALUE"""),-2.0)</f>
        <v>-2</v>
      </c>
      <c r="J211" s="16">
        <f>IFERROR(__xludf.DUMMYFUNCTION("""COMPUTED_VALUE"""),2.0)</f>
        <v>2</v>
      </c>
      <c r="K211" s="16">
        <f>IFERROR(__xludf.DUMMYFUNCTION("""COMPUTED_VALUE"""),-6.0)</f>
        <v>-6</v>
      </c>
      <c r="L211" s="16">
        <f>IFERROR(__xludf.DUMMYFUNCTION("""COMPUTED_VALUE"""),6.0)</f>
        <v>6</v>
      </c>
      <c r="M211" s="16">
        <f>IFERROR(__xludf.DUMMYFUNCTION("""COMPUTED_VALUE"""),3.0)</f>
        <v>3</v>
      </c>
      <c r="N211" s="16">
        <f>IFERROR(__xludf.DUMMYFUNCTION("""COMPUTED_VALUE"""),11.0)</f>
        <v>11</v>
      </c>
      <c r="O211" s="16">
        <f>IFERROR(__xludf.DUMMYFUNCTION("""COMPUTED_VALUE"""),2.0)</f>
        <v>2</v>
      </c>
      <c r="P211" s="16">
        <f>IFERROR(__xludf.DUMMYFUNCTION("""COMPUTED_VALUE"""),-1.0)</f>
        <v>-1</v>
      </c>
      <c r="Q211" s="16">
        <f>IFERROR(__xludf.DUMMYFUNCTION("""COMPUTED_VALUE"""),2.0)</f>
        <v>2</v>
      </c>
      <c r="R211" s="16">
        <f>IFERROR(__xludf.DUMMYFUNCTION("""COMPUTED_VALUE"""),-1.0)</f>
        <v>-1</v>
      </c>
      <c r="S211" s="16">
        <f>IFERROR(__xludf.DUMMYFUNCTION("""COMPUTED_VALUE"""),11.8)</f>
        <v>11.8</v>
      </c>
      <c r="T211" s="16">
        <f>IFERROR(__xludf.DUMMYFUNCTION("""COMPUTED_VALUE"""),5.7)</f>
        <v>5.7</v>
      </c>
      <c r="U211" s="16">
        <f>IFERROR(__xludf.DUMMYFUNCTION("""COMPUTED_VALUE"""),1.0)</f>
        <v>1</v>
      </c>
      <c r="V211" s="16">
        <f>IFERROR(__xludf.DUMMYFUNCTION("""COMPUTED_VALUE"""),2.0)</f>
        <v>2</v>
      </c>
      <c r="W211" s="16">
        <f>IFERROR(__xludf.DUMMYFUNCTION("""COMPUTED_VALUE"""),2.0)</f>
        <v>2</v>
      </c>
      <c r="X211" s="16">
        <f>IFERROR(__xludf.DUMMYFUNCTION("""COMPUTED_VALUE"""),4.0)</f>
        <v>4</v>
      </c>
      <c r="Y211" s="16">
        <f>IFERROR(__xludf.DUMMYFUNCTION("""COMPUTED_VALUE"""),14.8)</f>
        <v>14.8</v>
      </c>
      <c r="Z211" s="16">
        <f>IFERROR(__xludf.DUMMYFUNCTION("""COMPUTED_VALUE"""),16.7)</f>
        <v>16.7</v>
      </c>
      <c r="AA211" s="16">
        <f>IFERROR(__xludf.DUMMYFUNCTION("""COMPUTED_VALUE"""),2.0)</f>
        <v>2</v>
      </c>
      <c r="AB211" s="16">
        <f>IFERROR(__xludf.DUMMYFUNCTION("""COMPUTED_VALUE"""),1.0)</f>
        <v>1</v>
      </c>
      <c r="AC211" s="16">
        <f>IFERROR(__xludf.DUMMYFUNCTION("""COMPUTED_VALUE"""),10.0)</f>
        <v>10</v>
      </c>
      <c r="AD211" s="16">
        <f>IFERROR(__xludf.DUMMYFUNCTION("""COMPUTED_VALUE"""),5.0)</f>
        <v>5</v>
      </c>
      <c r="AE211" s="16">
        <f>IFERROR(__xludf.DUMMYFUNCTION("""COMPUTED_VALUE"""),27.7)</f>
        <v>27.7</v>
      </c>
      <c r="AF211" s="16">
        <f>IFERROR(__xludf.DUMMYFUNCTION("""COMPUTED_VALUE"""),15.9)</f>
        <v>15.9</v>
      </c>
      <c r="AG211" s="16">
        <f>IFERROR(__xludf.DUMMYFUNCTION("""COMPUTED_VALUE"""),0.0)</f>
        <v>0</v>
      </c>
      <c r="AH211" s="16">
        <f>IFERROR(__xludf.DUMMYFUNCTION("""COMPUTED_VALUE"""),1.0)</f>
        <v>1</v>
      </c>
      <c r="AI211" s="16">
        <f>IFERROR(__xludf.DUMMYFUNCTION("""COMPUTED_VALUE"""),0.0)</f>
        <v>0</v>
      </c>
      <c r="AJ211" s="16">
        <f>IFERROR(__xludf.DUMMYFUNCTION("""COMPUTED_VALUE"""),2.0)</f>
        <v>2</v>
      </c>
      <c r="AK211" s="16">
        <f>IFERROR(__xludf.DUMMYFUNCTION("""COMPUTED_VALUE"""),9.4)</f>
        <v>9.4</v>
      </c>
      <c r="AL211" s="16">
        <f>IFERROR(__xludf.DUMMYFUNCTION("""COMPUTED_VALUE"""),2.3000000000000003)</f>
        <v>2.3</v>
      </c>
      <c r="AM211" s="16">
        <f>IFERROR(__xludf.DUMMYFUNCTION("""COMPUTED_VALUE"""),1.0)</f>
        <v>1</v>
      </c>
      <c r="AN211" s="16">
        <f>IFERROR(__xludf.DUMMYFUNCTION("""COMPUTED_VALUE"""),2.0)</f>
        <v>2</v>
      </c>
      <c r="AO211" s="16">
        <f>IFERROR(__xludf.DUMMYFUNCTION("""COMPUTED_VALUE"""),1.0)</f>
        <v>1</v>
      </c>
      <c r="AP211" s="16">
        <f>IFERROR(__xludf.DUMMYFUNCTION("""COMPUTED_VALUE"""),2.0)</f>
        <v>2</v>
      </c>
      <c r="AQ211" s="16">
        <f>IFERROR(__xludf.DUMMYFUNCTION("""COMPUTED_VALUE"""),18.1)</f>
        <v>18.1</v>
      </c>
      <c r="AR211" s="16">
        <f>IFERROR(__xludf.DUMMYFUNCTION("""COMPUTED_VALUE"""),2.3000000000000007)</f>
        <v>2.3</v>
      </c>
      <c r="AS211" s="16">
        <f>IFERROR(__xludf.DUMMYFUNCTION("""COMPUTED_VALUE"""),0.0)</f>
        <v>0</v>
      </c>
      <c r="AT211" s="16">
        <f>IFERROR(__xludf.DUMMYFUNCTION("""COMPUTED_VALUE"""),2.0)</f>
        <v>2</v>
      </c>
      <c r="AU211" s="16">
        <f>IFERROR(__xludf.DUMMYFUNCTION("""COMPUTED_VALUE"""),0.0)</f>
        <v>0</v>
      </c>
      <c r="AV211" s="16">
        <f>IFERROR(__xludf.DUMMYFUNCTION("""COMPUTED_VALUE"""),4.0)</f>
        <v>4</v>
      </c>
      <c r="AW211" s="16">
        <f>IFERROR(__xludf.DUMMYFUNCTION("""COMPUTED_VALUE"""),2.4)</f>
        <v>2.4</v>
      </c>
      <c r="AX211" s="16">
        <f>IFERROR(__xludf.DUMMYFUNCTION("""COMPUTED_VALUE"""),3.4)</f>
        <v>3.4</v>
      </c>
      <c r="AY211" s="16">
        <f>IFERROR(__xludf.DUMMYFUNCTION("""COMPUTED_VALUE"""),0.0)</f>
        <v>0</v>
      </c>
      <c r="AZ211" s="16">
        <f>IFERROR(__xludf.DUMMYFUNCTION("""COMPUTED_VALUE"""),-1.0)</f>
        <v>-1</v>
      </c>
      <c r="BA211" s="16">
        <f>IFERROR(__xludf.DUMMYFUNCTION("""COMPUTED_VALUE"""),0.0)</f>
        <v>0</v>
      </c>
      <c r="BB211" s="16">
        <f>IFERROR(__xludf.DUMMYFUNCTION("""COMPUTED_VALUE"""),-5.0)</f>
        <v>-5</v>
      </c>
      <c r="BC211" s="16">
        <f>IFERROR(__xludf.DUMMYFUNCTION("""COMPUTED_VALUE"""),4.0)</f>
        <v>4</v>
      </c>
      <c r="BD211" s="16">
        <f>IFERROR(__xludf.DUMMYFUNCTION("""COMPUTED_VALUE"""),5.0)</f>
        <v>5</v>
      </c>
      <c r="BE211" s="16">
        <f>IFERROR(__xludf.DUMMYFUNCTION("""COMPUTED_VALUE"""),4.0)</f>
        <v>4</v>
      </c>
      <c r="BF211" s="16">
        <f>IFERROR(__xludf.DUMMYFUNCTION("""COMPUTED_VALUE"""),5.0)</f>
        <v>5</v>
      </c>
      <c r="BG211" s="16">
        <f>IFERROR(__xludf.DUMMYFUNCTION("""COMPUTED_VALUE"""),-1.0)</f>
        <v>-1</v>
      </c>
      <c r="BH211" s="16">
        <f>IFERROR(__xludf.DUMMYFUNCTION("""COMPUTED_VALUE"""),-2.0)</f>
        <v>-2</v>
      </c>
      <c r="BI211" s="16">
        <f>IFERROR(__xludf.DUMMYFUNCTION("""COMPUTED_VALUE"""),-2.0)</f>
        <v>-2</v>
      </c>
      <c r="BJ211" s="16">
        <f>IFERROR(__xludf.DUMMYFUNCTION("""COMPUTED_VALUE"""),-4.0)</f>
        <v>-4</v>
      </c>
      <c r="BK211" s="16">
        <f>IFERROR(__xludf.DUMMYFUNCTION("""COMPUTED_VALUE"""),5.0)</f>
        <v>5</v>
      </c>
      <c r="BL211" s="16">
        <f>IFERROR(__xludf.DUMMYFUNCTION("""COMPUTED_VALUE"""),5.0)</f>
        <v>5</v>
      </c>
      <c r="BM211" s="16">
        <f>IFERROR(__xludf.DUMMYFUNCTION("""COMPUTED_VALUE"""),0.0)</f>
        <v>0</v>
      </c>
      <c r="BN211" s="16">
        <f>IFERROR(__xludf.DUMMYFUNCTION("""COMPUTED_VALUE"""),0.0)</f>
        <v>0</v>
      </c>
      <c r="BO211" s="16">
        <f>IFERROR(__xludf.DUMMYFUNCTION("""COMPUTED_VALUE"""),0.0)</f>
        <v>0</v>
      </c>
      <c r="BP211" s="16">
        <f>IFERROR(__xludf.DUMMYFUNCTION("""COMPUTED_VALUE"""),0.0)</f>
        <v>0</v>
      </c>
      <c r="BQ211" s="16">
        <f>IFERROR(__xludf.DUMMYFUNCTION("""COMPUTED_VALUE"""),0.0)</f>
        <v>0</v>
      </c>
      <c r="BR211" s="16">
        <f>IFERROR(__xludf.DUMMYFUNCTION("""COMPUTED_VALUE"""),0.0)</f>
        <v>0</v>
      </c>
      <c r="BS211" s="16">
        <f>IFERROR(__xludf.DUMMYFUNCTION("""COMPUTED_VALUE"""),-3.0)</f>
        <v>-3</v>
      </c>
      <c r="BT211" s="16">
        <f>IFERROR(__xludf.DUMMYFUNCTION("""COMPUTED_VALUE"""),-3.0)</f>
        <v>-3</v>
      </c>
      <c r="BU211" s="16">
        <f>IFERROR(__xludf.DUMMYFUNCTION("""COMPUTED_VALUE"""),-6.0)</f>
        <v>-6</v>
      </c>
      <c r="BV211" s="16">
        <f>IFERROR(__xludf.DUMMYFUNCTION("""COMPUTED_VALUE"""),-6.0)</f>
        <v>-6</v>
      </c>
      <c r="BW211" s="16">
        <f>IFERROR(__xludf.DUMMYFUNCTION("""COMPUTED_VALUE"""),1.0)</f>
        <v>1</v>
      </c>
      <c r="BX211" s="16">
        <f>IFERROR(__xludf.DUMMYFUNCTION("""COMPUTED_VALUE"""),1.0)</f>
        <v>1</v>
      </c>
      <c r="BY211" s="16" t="str">
        <f>IFERROR(__xludf.DUMMYFUNCTION("""COMPUTED_VALUE"""),"R(1)")</f>
        <v>R(1)</v>
      </c>
      <c r="BZ211" s="16" t="str">
        <f>IFERROR(__xludf.DUMMYFUNCTION("""COMPUTED_VALUE"""),"R(1)")</f>
        <v>R(1)</v>
      </c>
      <c r="CA211" s="16" t="str">
        <f>IFERROR(__xludf.DUMMYFUNCTION("""COMPUTED_VALUE"""),"R(1)")</f>
        <v>R(1)</v>
      </c>
      <c r="CB211" s="16"/>
      <c r="CC211" s="16"/>
      <c r="CD211" s="16"/>
      <c r="CE211" s="16">
        <f>IFERROR(__xludf.DUMMYFUNCTION("""COMPUTED_VALUE"""),1.0)</f>
        <v>1</v>
      </c>
      <c r="CF211" s="16"/>
      <c r="CG211" s="16" t="str">
        <f>IFERROR(__xludf.DUMMYFUNCTION("""COMPUTED_VALUE"""),"2-23")</f>
        <v>2-23</v>
      </c>
      <c r="CH211" s="16">
        <f>IFERROR(__xludf.DUMMYFUNCTION("""COMPUTED_VALUE"""),2.0)</f>
        <v>2</v>
      </c>
      <c r="CI211" s="16">
        <f>IFERROR(__xludf.DUMMYFUNCTION("""COMPUTED_VALUE"""),23.0)</f>
        <v>23</v>
      </c>
      <c r="CJ211" s="16">
        <f>IFERROR(__xludf.DUMMYFUNCTION("""COMPUTED_VALUE"""),0.0)</f>
        <v>0</v>
      </c>
      <c r="CK211" s="16">
        <f>IFERROR(__xludf.DUMMYFUNCTION("""COMPUTED_VALUE"""),0.0)</f>
        <v>0</v>
      </c>
      <c r="CL211" s="16" t="str">
        <f>IFERROR(__xludf.DUMMYFUNCTION("""COMPUTED_VALUE"""),"1WR-C")</f>
        <v>1WR-C</v>
      </c>
      <c r="CM211" s="16" t="str">
        <f>IFERROR(__xludf.DUMMYFUNCTION("""COMPUTED_VALUE"""),"E")</f>
        <v>E</v>
      </c>
      <c r="CN211" s="16">
        <f>IFERROR(__xludf.DUMMYFUNCTION("""COMPUTED_VALUE"""),10.0)</f>
        <v>10</v>
      </c>
      <c r="CO211" s="16" t="str">
        <f>IFERROR(__xludf.DUMMYFUNCTION("""COMPUTED_VALUE"""),"C")</f>
        <v>C</v>
      </c>
      <c r="CP211" s="16" t="str">
        <f>IFERROR(__xludf.DUMMYFUNCTION("""COMPUTED_VALUE"""),"1p50")</f>
        <v>1p50</v>
      </c>
      <c r="CQ211" s="16">
        <f>IFERROR(__xludf.DUMMYFUNCTION("""COMPUTED_VALUE"""),1.0)</f>
        <v>1</v>
      </c>
      <c r="CR211" s="16">
        <f>IFERROR(__xludf.DUMMYFUNCTION("""COMPUTED_VALUE"""),7.0)</f>
        <v>7</v>
      </c>
      <c r="CS211" s="16">
        <f>IFERROR(__xludf.DUMMYFUNCTION("""COMPUTED_VALUE"""),8.0)</f>
        <v>8</v>
      </c>
      <c r="CT211" s="16">
        <f>IFERROR(__xludf.DUMMYFUNCTION("""COMPUTED_VALUE"""),1.0)</f>
        <v>1</v>
      </c>
      <c r="CU211" s="16">
        <f>IFERROR(__xludf.DUMMYFUNCTION("""COMPUTED_VALUE"""),7.0)</f>
        <v>7</v>
      </c>
      <c r="CV211" s="179">
        <f>IFERROR(__xludf.DUMMYFUNCTION("""COMPUTED_VALUE"""),7.0)</f>
        <v>7</v>
      </c>
      <c r="CW211" s="179">
        <f>IFERROR(__xludf.DUMMYFUNCTION("""COMPUTED_VALUE"""),4.0)</f>
        <v>4</v>
      </c>
      <c r="CX211" s="179">
        <f>IFERROR(__xludf.DUMMYFUNCTION("""COMPUTED_VALUE"""),0.0)</f>
        <v>0</v>
      </c>
      <c r="CY211" s="16" t="str">
        <f>IFERROR(__xludf.DUMMYFUNCTION("""COMPUTED_VALUE"""),"RP")</f>
        <v>RP</v>
      </c>
      <c r="CZ211" s="16"/>
      <c r="DA211" s="16"/>
      <c r="DB211" s="16"/>
      <c r="DC211" s="16"/>
      <c r="DD211" s="16"/>
      <c r="DE211" s="16"/>
      <c r="DF211" s="16"/>
      <c r="DG211" s="16"/>
      <c r="DH211" s="16"/>
      <c r="DI211" s="16"/>
      <c r="DJ211" s="16"/>
      <c r="DK211" s="16"/>
    </row>
    <row r="212">
      <c r="A212" s="16">
        <f>IFERROR(__xludf.DUMMYFUNCTION("""COMPUTED_VALUE"""),12813.0)</f>
        <v>12813</v>
      </c>
      <c r="B212" s="16" t="str">
        <f>IFERROR(__xludf.DUMMYFUNCTION("""COMPUTED_VALUE"""),"Evan Phillips")</f>
        <v>Evan Phillips</v>
      </c>
      <c r="C212" s="153">
        <f>IFERROR(__xludf.DUMMYFUNCTION("""COMPUTED_VALUE"""),0.0)</f>
        <v>0</v>
      </c>
      <c r="D212" s="16"/>
      <c r="E212" s="16" t="str">
        <f>IFERROR(__xludf.DUMMYFUNCTION("""COMPUTED_VALUE"""),"R")</f>
        <v>R</v>
      </c>
      <c r="F212" s="16">
        <f>IFERROR(__xludf.DUMMYFUNCTION("""COMPUTED_VALUE"""),55.0)</f>
        <v>55</v>
      </c>
      <c r="G212" s="16">
        <f>IFERROR(__xludf.DUMMYFUNCTION("""COMPUTED_VALUE"""),24.0)</f>
        <v>24</v>
      </c>
      <c r="H212" s="16">
        <f>IFERROR(__xludf.DUMMYFUNCTION("""COMPUTED_VALUE"""),44.0)</f>
        <v>44</v>
      </c>
      <c r="I212" s="16">
        <f>IFERROR(__xludf.DUMMYFUNCTION("""COMPUTED_VALUE"""),-1.0)</f>
        <v>-1</v>
      </c>
      <c r="J212" s="16">
        <f>IFERROR(__xludf.DUMMYFUNCTION("""COMPUTED_VALUE"""),2.0)</f>
        <v>2</v>
      </c>
      <c r="K212" s="16">
        <f>IFERROR(__xludf.DUMMYFUNCTION("""COMPUTED_VALUE"""),-3.0)</f>
        <v>-3</v>
      </c>
      <c r="L212" s="16">
        <f>IFERROR(__xludf.DUMMYFUNCTION("""COMPUTED_VALUE"""),6.0)</f>
        <v>6</v>
      </c>
      <c r="M212" s="16">
        <f>IFERROR(__xludf.DUMMYFUNCTION("""COMPUTED_VALUE"""),6.0)</f>
        <v>6</v>
      </c>
      <c r="N212" s="16">
        <f>IFERROR(__xludf.DUMMYFUNCTION("""COMPUTED_VALUE"""),7.0)</f>
        <v>7</v>
      </c>
      <c r="O212" s="16">
        <f>IFERROR(__xludf.DUMMYFUNCTION("""COMPUTED_VALUE"""),1.0)</f>
        <v>1</v>
      </c>
      <c r="P212" s="16">
        <f>IFERROR(__xludf.DUMMYFUNCTION("""COMPUTED_VALUE"""),1.0)</f>
        <v>1</v>
      </c>
      <c r="Q212" s="16">
        <f>IFERROR(__xludf.DUMMYFUNCTION("""COMPUTED_VALUE"""),1.0)</f>
        <v>1</v>
      </c>
      <c r="R212" s="16">
        <f>IFERROR(__xludf.DUMMYFUNCTION("""COMPUTED_VALUE"""),1.0)</f>
        <v>1</v>
      </c>
      <c r="S212" s="16">
        <f>IFERROR(__xludf.DUMMYFUNCTION("""COMPUTED_VALUE"""),16.9)</f>
        <v>16.9</v>
      </c>
      <c r="T212" s="16">
        <f>IFERROR(__xludf.DUMMYFUNCTION("""COMPUTED_VALUE"""),12.4)</f>
        <v>12.4</v>
      </c>
      <c r="U212" s="16">
        <f>IFERROR(__xludf.DUMMYFUNCTION("""COMPUTED_VALUE"""),0.0)</f>
        <v>0</v>
      </c>
      <c r="V212" s="16">
        <f>IFERROR(__xludf.DUMMYFUNCTION("""COMPUTED_VALUE"""),1.0)</f>
        <v>1</v>
      </c>
      <c r="W212" s="16">
        <f>IFERROR(__xludf.DUMMYFUNCTION("""COMPUTED_VALUE"""),0.0)</f>
        <v>0</v>
      </c>
      <c r="X212" s="16">
        <f>IFERROR(__xludf.DUMMYFUNCTION("""COMPUTED_VALUE"""),2.0)</f>
        <v>2</v>
      </c>
      <c r="Y212" s="16">
        <f>IFERROR(__xludf.DUMMYFUNCTION("""COMPUTED_VALUE"""),22.9)</f>
        <v>22.9</v>
      </c>
      <c r="Z212" s="16">
        <f>IFERROR(__xludf.DUMMYFUNCTION("""COMPUTED_VALUE"""),19.4)</f>
        <v>19.4</v>
      </c>
      <c r="AA212" s="16">
        <f>IFERROR(__xludf.DUMMYFUNCTION("""COMPUTED_VALUE"""),0.0)</f>
        <v>0</v>
      </c>
      <c r="AB212" s="16">
        <f>IFERROR(__xludf.DUMMYFUNCTION("""COMPUTED_VALUE"""),1.0)</f>
        <v>1</v>
      </c>
      <c r="AC212" s="16">
        <f>IFERROR(__xludf.DUMMYFUNCTION("""COMPUTED_VALUE"""),0.0)</f>
        <v>0</v>
      </c>
      <c r="AD212" s="16">
        <f>IFERROR(__xludf.DUMMYFUNCTION("""COMPUTED_VALUE"""),5.0)</f>
        <v>5</v>
      </c>
      <c r="AE212" s="16">
        <f>IFERROR(__xludf.DUMMYFUNCTION("""COMPUTED_VALUE"""),33.1)</f>
        <v>33.1</v>
      </c>
      <c r="AF212" s="16">
        <f>IFERROR(__xludf.DUMMYFUNCTION("""COMPUTED_VALUE"""),18.4)</f>
        <v>18.4</v>
      </c>
      <c r="AG212" s="16">
        <f>IFERROR(__xludf.DUMMYFUNCTION("""COMPUTED_VALUE"""),-1.0)</f>
        <v>-1</v>
      </c>
      <c r="AH212" s="16">
        <f>IFERROR(__xludf.DUMMYFUNCTION("""COMPUTED_VALUE"""),1.0)</f>
        <v>1</v>
      </c>
      <c r="AI212" s="16">
        <f>IFERROR(__xludf.DUMMYFUNCTION("""COMPUTED_VALUE"""),-2.0)</f>
        <v>-2</v>
      </c>
      <c r="AJ212" s="16">
        <f>IFERROR(__xludf.DUMMYFUNCTION("""COMPUTED_VALUE"""),2.0)</f>
        <v>2</v>
      </c>
      <c r="AK212" s="16">
        <f>IFERROR(__xludf.DUMMYFUNCTION("""COMPUTED_VALUE"""),13.7)</f>
        <v>13.7</v>
      </c>
      <c r="AL212" s="16">
        <f>IFERROR(__xludf.DUMMYFUNCTION("""COMPUTED_VALUE"""),12.200000000000001)</f>
        <v>12.2</v>
      </c>
      <c r="AM212" s="16">
        <f>IFERROR(__xludf.DUMMYFUNCTION("""COMPUTED_VALUE"""),0.0)</f>
        <v>0</v>
      </c>
      <c r="AN212" s="16">
        <f>IFERROR(__xludf.DUMMYFUNCTION("""COMPUTED_VALUE"""),0.0)</f>
        <v>0</v>
      </c>
      <c r="AO212" s="16">
        <f>IFERROR(__xludf.DUMMYFUNCTION("""COMPUTED_VALUE"""),0.0)</f>
        <v>0</v>
      </c>
      <c r="AP212" s="16">
        <f>IFERROR(__xludf.DUMMYFUNCTION("""COMPUTED_VALUE"""),0.0)</f>
        <v>0</v>
      </c>
      <c r="AQ212" s="16">
        <f>IFERROR(__xludf.DUMMYFUNCTION("""COMPUTED_VALUE"""),20.3)</f>
        <v>20.3</v>
      </c>
      <c r="AR212" s="16">
        <f>IFERROR(__xludf.DUMMYFUNCTION("""COMPUTED_VALUE"""),17.599999999999998)</f>
        <v>17.6</v>
      </c>
      <c r="AS212" s="16">
        <f>IFERROR(__xludf.DUMMYFUNCTION("""COMPUTED_VALUE"""),0.0)</f>
        <v>0</v>
      </c>
      <c r="AT212" s="16">
        <f>IFERROR(__xludf.DUMMYFUNCTION("""COMPUTED_VALUE"""),0.0)</f>
        <v>0</v>
      </c>
      <c r="AU212" s="16">
        <f>IFERROR(__xludf.DUMMYFUNCTION("""COMPUTED_VALUE"""),0.0)</f>
        <v>0</v>
      </c>
      <c r="AV212" s="16">
        <f>IFERROR(__xludf.DUMMYFUNCTION("""COMPUTED_VALUE"""),0.0)</f>
        <v>0</v>
      </c>
      <c r="AW212" s="16">
        <f>IFERROR(__xludf.DUMMYFUNCTION("""COMPUTED_VALUE"""),3.2)</f>
        <v>3.2</v>
      </c>
      <c r="AX212" s="16">
        <f>IFERROR(__xludf.DUMMYFUNCTION("""COMPUTED_VALUE"""),0.2)</f>
        <v>0.2</v>
      </c>
      <c r="AY212" s="16">
        <f>IFERROR(__xludf.DUMMYFUNCTION("""COMPUTED_VALUE"""),-1.0)</f>
        <v>-1</v>
      </c>
      <c r="AZ212" s="16">
        <f>IFERROR(__xludf.DUMMYFUNCTION("""COMPUTED_VALUE"""),2.0)</f>
        <v>2</v>
      </c>
      <c r="BA212" s="16">
        <f>IFERROR(__xludf.DUMMYFUNCTION("""COMPUTED_VALUE"""),-5.0)</f>
        <v>-5</v>
      </c>
      <c r="BB212" s="16">
        <f>IFERROR(__xludf.DUMMYFUNCTION("""COMPUTED_VALUE"""),10.0)</f>
        <v>10</v>
      </c>
      <c r="BC212" s="16">
        <f>IFERROR(__xludf.DUMMYFUNCTION("""COMPUTED_VALUE"""),5.0)</f>
        <v>5</v>
      </c>
      <c r="BD212" s="16">
        <f>IFERROR(__xludf.DUMMYFUNCTION("""COMPUTED_VALUE"""),0.0)</f>
        <v>0</v>
      </c>
      <c r="BE212" s="16">
        <f>IFERROR(__xludf.DUMMYFUNCTION("""COMPUTED_VALUE"""),5.0)</f>
        <v>5</v>
      </c>
      <c r="BF212" s="16">
        <f>IFERROR(__xludf.DUMMYFUNCTION("""COMPUTED_VALUE"""),0.0)</f>
        <v>0</v>
      </c>
      <c r="BG212" s="16">
        <f>IFERROR(__xludf.DUMMYFUNCTION("""COMPUTED_VALUE"""),-2.0)</f>
        <v>-2</v>
      </c>
      <c r="BH212" s="16">
        <f>IFERROR(__xludf.DUMMYFUNCTION("""COMPUTED_VALUE"""),2.0)</f>
        <v>2</v>
      </c>
      <c r="BI212" s="16">
        <f>IFERROR(__xludf.DUMMYFUNCTION("""COMPUTED_VALUE"""),-4.0)</f>
        <v>-4</v>
      </c>
      <c r="BJ212" s="16">
        <f>IFERROR(__xludf.DUMMYFUNCTION("""COMPUTED_VALUE"""),4.0)</f>
        <v>4</v>
      </c>
      <c r="BK212" s="16">
        <f>IFERROR(__xludf.DUMMYFUNCTION("""COMPUTED_VALUE"""),5.0)</f>
        <v>5</v>
      </c>
      <c r="BL212" s="16">
        <f>IFERROR(__xludf.DUMMYFUNCTION("""COMPUTED_VALUE"""),5.0)</f>
        <v>5</v>
      </c>
      <c r="BM212" s="16">
        <f>IFERROR(__xludf.DUMMYFUNCTION("""COMPUTED_VALUE"""),0.0)</f>
        <v>0</v>
      </c>
      <c r="BN212" s="16">
        <f>IFERROR(__xludf.DUMMYFUNCTION("""COMPUTED_VALUE"""),0.0)</f>
        <v>0</v>
      </c>
      <c r="BO212" s="16">
        <f>IFERROR(__xludf.DUMMYFUNCTION("""COMPUTED_VALUE"""),0.0)</f>
        <v>0</v>
      </c>
      <c r="BP212" s="16">
        <f>IFERROR(__xludf.DUMMYFUNCTION("""COMPUTED_VALUE"""),0.0)</f>
        <v>0</v>
      </c>
      <c r="BQ212" s="16">
        <f>IFERROR(__xludf.DUMMYFUNCTION("""COMPUTED_VALUE"""),5.0)</f>
        <v>5</v>
      </c>
      <c r="BR212" s="16">
        <f>IFERROR(__xludf.DUMMYFUNCTION("""COMPUTED_VALUE"""),7.0)</f>
        <v>7</v>
      </c>
      <c r="BS212" s="16">
        <f>IFERROR(__xludf.DUMMYFUNCTION("""COMPUTED_VALUE"""),0.0)</f>
        <v>0</v>
      </c>
      <c r="BT212" s="16">
        <f>IFERROR(__xludf.DUMMYFUNCTION("""COMPUTED_VALUE"""),2.0)</f>
        <v>2</v>
      </c>
      <c r="BU212" s="16">
        <f>IFERROR(__xludf.DUMMYFUNCTION("""COMPUTED_VALUE"""),0.0)</f>
        <v>0</v>
      </c>
      <c r="BV212" s="16">
        <f>IFERROR(__xludf.DUMMYFUNCTION("""COMPUTED_VALUE"""),4.0)</f>
        <v>4</v>
      </c>
      <c r="BW212" s="16">
        <f>IFERROR(__xludf.DUMMYFUNCTION("""COMPUTED_VALUE"""),0.0)</f>
        <v>0</v>
      </c>
      <c r="BX212" s="16">
        <f>IFERROR(__xludf.DUMMYFUNCTION("""COMPUTED_VALUE"""),0.0)</f>
        <v>0</v>
      </c>
      <c r="BY212" s="16" t="str">
        <f>IFERROR(__xludf.DUMMYFUNCTION("""COMPUTED_VALUE"""),"R(1) C(4)")</f>
        <v>R(1) C(4)</v>
      </c>
      <c r="BZ212" s="16" t="str">
        <f>IFERROR(__xludf.DUMMYFUNCTION("""COMPUTED_VALUE"""),"R(1) C(4)")</f>
        <v>R(1) C(4)</v>
      </c>
      <c r="CA212" s="16" t="str">
        <f>IFERROR(__xludf.DUMMYFUNCTION("""COMPUTED_VALUE"""),"R(1)")</f>
        <v>R(1)</v>
      </c>
      <c r="CB212" s="16" t="str">
        <f>IFERROR(__xludf.DUMMYFUNCTION("""COMPUTED_VALUE"""),"C(4)")</f>
        <v>C(4)</v>
      </c>
      <c r="CC212" s="16"/>
      <c r="CD212" s="16"/>
      <c r="CE212" s="16">
        <f>IFERROR(__xludf.DUMMYFUNCTION("""COMPUTED_VALUE"""),1.0)</f>
        <v>1</v>
      </c>
      <c r="CF212" s="16">
        <f>IFERROR(__xludf.DUMMYFUNCTION("""COMPUTED_VALUE"""),4.0)</f>
        <v>4</v>
      </c>
      <c r="CG212" s="16" t="str">
        <f>IFERROR(__xludf.DUMMYFUNCTION("""COMPUTED_VALUE"""),"3-26")</f>
        <v>3-26</v>
      </c>
      <c r="CH212" s="16">
        <f>IFERROR(__xludf.DUMMYFUNCTION("""COMPUTED_VALUE"""),3.0)</f>
        <v>3</v>
      </c>
      <c r="CI212" s="16">
        <f>IFERROR(__xludf.DUMMYFUNCTION("""COMPUTED_VALUE"""),26.0)</f>
        <v>26</v>
      </c>
      <c r="CJ212" s="16">
        <f>IFERROR(__xludf.DUMMYFUNCTION("""COMPUTED_VALUE"""),0.0)</f>
        <v>0</v>
      </c>
      <c r="CK212" s="16">
        <f>IFERROR(__xludf.DUMMYFUNCTION("""COMPUTED_VALUE"""),3.0)</f>
        <v>3</v>
      </c>
      <c r="CL212" s="16" t="str">
        <f>IFERROR(__xludf.DUMMYFUNCTION("""COMPUTED_VALUE"""),"1WR-C")</f>
        <v>1WR-C</v>
      </c>
      <c r="CM212" s="16" t="str">
        <f>IFERROR(__xludf.DUMMYFUNCTION("""COMPUTED_VALUE"""),"E")</f>
        <v>E</v>
      </c>
      <c r="CN212" s="16">
        <f>IFERROR(__xludf.DUMMYFUNCTION("""COMPUTED_VALUE"""),10.0)</f>
        <v>10</v>
      </c>
      <c r="CO212" s="16" t="str">
        <f>IFERROR(__xludf.DUMMYFUNCTION("""COMPUTED_VALUE"""),"C")</f>
        <v>C</v>
      </c>
      <c r="CP212" s="16" t="str">
        <f>IFERROR(__xludf.DUMMYFUNCTION("""COMPUTED_VALUE"""),"1p50")</f>
        <v>1p50</v>
      </c>
      <c r="CQ212" s="16">
        <f>IFERROR(__xludf.DUMMYFUNCTION("""COMPUTED_VALUE"""),-13.0)</f>
        <v>-13</v>
      </c>
      <c r="CR212" s="16">
        <f>IFERROR(__xludf.DUMMYFUNCTION("""COMPUTED_VALUE"""),34.0)</f>
        <v>34</v>
      </c>
      <c r="CS212" s="16">
        <f>IFERROR(__xludf.DUMMYFUNCTION("""COMPUTED_VALUE"""),21.0)</f>
        <v>21</v>
      </c>
      <c r="CT212" s="16">
        <f>IFERROR(__xludf.DUMMYFUNCTION("""COMPUTED_VALUE"""),-13.0)</f>
        <v>-13</v>
      </c>
      <c r="CU212" s="16">
        <f>IFERROR(__xludf.DUMMYFUNCTION("""COMPUTED_VALUE"""),34.0)</f>
        <v>34</v>
      </c>
      <c r="CV212" s="179">
        <f>IFERROR(__xludf.DUMMYFUNCTION("""COMPUTED_VALUE"""),6.666666666666666)</f>
        <v>6.666666667</v>
      </c>
      <c r="CW212" s="179">
        <f>IFERROR(__xludf.DUMMYFUNCTION("""COMPUTED_VALUE"""),4.0)</f>
        <v>4</v>
      </c>
      <c r="CX212" s="179">
        <f>IFERROR(__xludf.DUMMYFUNCTION("""COMPUTED_VALUE"""),0.0)</f>
        <v>0</v>
      </c>
      <c r="CY212" s="16" t="str">
        <f>IFERROR(__xludf.DUMMYFUNCTION("""COMPUTED_VALUE"""),"RP")</f>
        <v>RP</v>
      </c>
      <c r="CZ212" s="16" t="str">
        <f>IFERROR(__xludf.DUMMYFUNCTION("""COMPUTED_VALUE"""),"CP")</f>
        <v>CP</v>
      </c>
      <c r="DA212" s="16"/>
      <c r="DB212" s="16"/>
      <c r="DC212" s="16"/>
      <c r="DD212" s="16"/>
      <c r="DE212" s="16"/>
      <c r="DF212" s="16"/>
      <c r="DG212" s="16"/>
      <c r="DH212" s="16"/>
      <c r="DI212" s="16"/>
      <c r="DJ212" s="16"/>
      <c r="DK212" s="16"/>
    </row>
    <row r="213">
      <c r="A213" s="16">
        <f>IFERROR(__xludf.DUMMYFUNCTION("""COMPUTED_VALUE"""),12971.0)</f>
        <v>12971</v>
      </c>
      <c r="B213" s="16" t="str">
        <f>IFERROR(__xludf.DUMMYFUNCTION("""COMPUTED_VALUE"""),"Joel Payamps")</f>
        <v>Joel Payamps</v>
      </c>
      <c r="C213" s="153">
        <f>IFERROR(__xludf.DUMMYFUNCTION("""COMPUTED_VALUE"""),0.89)</f>
        <v>0.89</v>
      </c>
      <c r="D213" s="16"/>
      <c r="E213" s="16" t="str">
        <f>IFERROR(__xludf.DUMMYFUNCTION("""COMPUTED_VALUE"""),"R")</f>
        <v>R</v>
      </c>
      <c r="F213" s="16">
        <f>IFERROR(__xludf.DUMMYFUNCTION("""COMPUTED_VALUE"""),59.0)</f>
        <v>59</v>
      </c>
      <c r="G213" s="16">
        <f>IFERROR(__xludf.DUMMYFUNCTION("""COMPUTED_VALUE"""),28.0)</f>
        <v>28</v>
      </c>
      <c r="H213" s="16">
        <f>IFERROR(__xludf.DUMMYFUNCTION("""COMPUTED_VALUE"""),34.0)</f>
        <v>34</v>
      </c>
      <c r="I213" s="16">
        <f>IFERROR(__xludf.DUMMYFUNCTION("""COMPUTED_VALUE"""),0.0)</f>
        <v>0</v>
      </c>
      <c r="J213" s="16">
        <f>IFERROR(__xludf.DUMMYFUNCTION("""COMPUTED_VALUE"""),1.0)</f>
        <v>1</v>
      </c>
      <c r="K213" s="16">
        <f>IFERROR(__xludf.DUMMYFUNCTION("""COMPUTED_VALUE"""),0.0)</f>
        <v>0</v>
      </c>
      <c r="L213" s="16">
        <f>IFERROR(__xludf.DUMMYFUNCTION("""COMPUTED_VALUE"""),3.0)</f>
        <v>3</v>
      </c>
      <c r="M213" s="16">
        <f>IFERROR(__xludf.DUMMYFUNCTION("""COMPUTED_VALUE"""),0.0)</f>
        <v>0</v>
      </c>
      <c r="N213" s="16">
        <f>IFERROR(__xludf.DUMMYFUNCTION("""COMPUTED_VALUE"""),8.0)</f>
        <v>8</v>
      </c>
      <c r="O213" s="16">
        <f>IFERROR(__xludf.DUMMYFUNCTION("""COMPUTED_VALUE"""),3.0)</f>
        <v>3</v>
      </c>
      <c r="P213" s="16">
        <f>IFERROR(__xludf.DUMMYFUNCTION("""COMPUTED_VALUE"""),0.0)</f>
        <v>0</v>
      </c>
      <c r="Q213" s="16">
        <f>IFERROR(__xludf.DUMMYFUNCTION("""COMPUTED_VALUE"""),3.0)</f>
        <v>3</v>
      </c>
      <c r="R213" s="16">
        <f>IFERROR(__xludf.DUMMYFUNCTION("""COMPUTED_VALUE"""),0.0)</f>
        <v>0</v>
      </c>
      <c r="S213" s="16">
        <f>IFERROR(__xludf.DUMMYFUNCTION("""COMPUTED_VALUE"""),14.9)</f>
        <v>14.9</v>
      </c>
      <c r="T213" s="16">
        <f>IFERROR(__xludf.DUMMYFUNCTION("""COMPUTED_VALUE"""),2.8)</f>
        <v>2.8</v>
      </c>
      <c r="U213" s="16">
        <f>IFERROR(__xludf.DUMMYFUNCTION("""COMPUTED_VALUE"""),0.0)</f>
        <v>0</v>
      </c>
      <c r="V213" s="16">
        <f>IFERROR(__xludf.DUMMYFUNCTION("""COMPUTED_VALUE"""),2.0)</f>
        <v>2</v>
      </c>
      <c r="W213" s="16">
        <f>IFERROR(__xludf.DUMMYFUNCTION("""COMPUTED_VALUE"""),0.0)</f>
        <v>0</v>
      </c>
      <c r="X213" s="16">
        <f>IFERROR(__xludf.DUMMYFUNCTION("""COMPUTED_VALUE"""),4.0)</f>
        <v>4</v>
      </c>
      <c r="Y213" s="16">
        <f>IFERROR(__xludf.DUMMYFUNCTION("""COMPUTED_VALUE"""),14.9)</f>
        <v>14.9</v>
      </c>
      <c r="Z213" s="16">
        <f>IFERROR(__xludf.DUMMYFUNCTION("""COMPUTED_VALUE"""),10.9)</f>
        <v>10.9</v>
      </c>
      <c r="AA213" s="16">
        <f>IFERROR(__xludf.DUMMYFUNCTION("""COMPUTED_VALUE"""),2.0)</f>
        <v>2</v>
      </c>
      <c r="AB213" s="16">
        <f>IFERROR(__xludf.DUMMYFUNCTION("""COMPUTED_VALUE"""),2.0)</f>
        <v>2</v>
      </c>
      <c r="AC213" s="16">
        <f>IFERROR(__xludf.DUMMYFUNCTION("""COMPUTED_VALUE"""),10.0)</f>
        <v>10</v>
      </c>
      <c r="AD213" s="16">
        <f>IFERROR(__xludf.DUMMYFUNCTION("""COMPUTED_VALUE"""),10.0)</f>
        <v>10</v>
      </c>
      <c r="AE213" s="16">
        <f>IFERROR(__xludf.DUMMYFUNCTION("""COMPUTED_VALUE"""),41.0)</f>
        <v>41</v>
      </c>
      <c r="AF213" s="16">
        <f>IFERROR(__xludf.DUMMYFUNCTION("""COMPUTED_VALUE"""),4.7)</f>
        <v>4.7</v>
      </c>
      <c r="AG213" s="16">
        <f>IFERROR(__xludf.DUMMYFUNCTION("""COMPUTED_VALUE"""),-1.0)</f>
        <v>-1</v>
      </c>
      <c r="AH213" s="16">
        <f>IFERROR(__xludf.DUMMYFUNCTION("""COMPUTED_VALUE"""),2.0)</f>
        <v>2</v>
      </c>
      <c r="AI213" s="16">
        <f>IFERROR(__xludf.DUMMYFUNCTION("""COMPUTED_VALUE"""),-2.0)</f>
        <v>-2</v>
      </c>
      <c r="AJ213" s="16">
        <f>IFERROR(__xludf.DUMMYFUNCTION("""COMPUTED_VALUE"""),4.0)</f>
        <v>4</v>
      </c>
      <c r="AK213" s="16">
        <f>IFERROR(__xludf.DUMMYFUNCTION("""COMPUTED_VALUE"""),9.9)</f>
        <v>9.9</v>
      </c>
      <c r="AL213" s="16">
        <f>IFERROR(__xludf.DUMMYFUNCTION("""COMPUTED_VALUE"""),2.8)</f>
        <v>2.8</v>
      </c>
      <c r="AM213" s="16">
        <f>IFERROR(__xludf.DUMMYFUNCTION("""COMPUTED_VALUE"""),1.0)</f>
        <v>1</v>
      </c>
      <c r="AN213" s="16">
        <f>IFERROR(__xludf.DUMMYFUNCTION("""COMPUTED_VALUE"""),2.0)</f>
        <v>2</v>
      </c>
      <c r="AO213" s="16">
        <f>IFERROR(__xludf.DUMMYFUNCTION("""COMPUTED_VALUE"""),1.0)</f>
        <v>1</v>
      </c>
      <c r="AP213" s="16">
        <f>IFERROR(__xludf.DUMMYFUNCTION("""COMPUTED_VALUE"""),2.0)</f>
        <v>2</v>
      </c>
      <c r="AQ213" s="16">
        <f>IFERROR(__xludf.DUMMYFUNCTION("""COMPUTED_VALUE"""),21.0)</f>
        <v>21</v>
      </c>
      <c r="AR213" s="16">
        <f>IFERROR(__xludf.DUMMYFUNCTION("""COMPUTED_VALUE"""),4.7)</f>
        <v>4.7</v>
      </c>
      <c r="AS213" s="16">
        <f>IFERROR(__xludf.DUMMYFUNCTION("""COMPUTED_VALUE"""),0.0)</f>
        <v>0</v>
      </c>
      <c r="AT213" s="16">
        <f>IFERROR(__xludf.DUMMYFUNCTION("""COMPUTED_VALUE"""),2.0)</f>
        <v>2</v>
      </c>
      <c r="AU213" s="16">
        <f>IFERROR(__xludf.DUMMYFUNCTION("""COMPUTED_VALUE"""),0.0)</f>
        <v>0</v>
      </c>
      <c r="AV213" s="16">
        <f>IFERROR(__xludf.DUMMYFUNCTION("""COMPUTED_VALUE"""),4.0)</f>
        <v>4</v>
      </c>
      <c r="AW213" s="16">
        <f>IFERROR(__xludf.DUMMYFUNCTION("""COMPUTED_VALUE"""),5.0)</f>
        <v>5</v>
      </c>
      <c r="AX213" s="16">
        <f>IFERROR(__xludf.DUMMYFUNCTION("""COMPUTED_VALUE"""),0.0)</f>
        <v>0</v>
      </c>
      <c r="AY213" s="16">
        <f>IFERROR(__xludf.DUMMYFUNCTION("""COMPUTED_VALUE"""),-3.0)</f>
        <v>-3</v>
      </c>
      <c r="AZ213" s="16">
        <f>IFERROR(__xludf.DUMMYFUNCTION("""COMPUTED_VALUE"""),2.0)</f>
        <v>2</v>
      </c>
      <c r="BA213" s="16">
        <f>IFERROR(__xludf.DUMMYFUNCTION("""COMPUTED_VALUE"""),-15.0)</f>
        <v>-15</v>
      </c>
      <c r="BB213" s="16">
        <f>IFERROR(__xludf.DUMMYFUNCTION("""COMPUTED_VALUE"""),10.0)</f>
        <v>10</v>
      </c>
      <c r="BC213" s="16"/>
      <c r="BD213" s="16">
        <f>IFERROR(__xludf.DUMMYFUNCTION("""COMPUTED_VALUE"""),0.0)</f>
        <v>0</v>
      </c>
      <c r="BE213" s="16">
        <f>IFERROR(__xludf.DUMMYFUNCTION("""COMPUTED_VALUE"""),6.0)</f>
        <v>6</v>
      </c>
      <c r="BF213" s="16">
        <f>IFERROR(__xludf.DUMMYFUNCTION("""COMPUTED_VALUE"""),0.0)</f>
        <v>0</v>
      </c>
      <c r="BG213" s="16">
        <f>IFERROR(__xludf.DUMMYFUNCTION("""COMPUTED_VALUE"""),-3.0)</f>
        <v>-3</v>
      </c>
      <c r="BH213" s="16">
        <f>IFERROR(__xludf.DUMMYFUNCTION("""COMPUTED_VALUE"""),2.0)</f>
        <v>2</v>
      </c>
      <c r="BI213" s="16">
        <f>IFERROR(__xludf.DUMMYFUNCTION("""COMPUTED_VALUE"""),-6.0)</f>
        <v>-6</v>
      </c>
      <c r="BJ213" s="16">
        <f>IFERROR(__xludf.DUMMYFUNCTION("""COMPUTED_VALUE"""),4.0)</f>
        <v>4</v>
      </c>
      <c r="BK213" s="16">
        <f>IFERROR(__xludf.DUMMYFUNCTION("""COMPUTED_VALUE"""),0.0)</f>
        <v>0</v>
      </c>
      <c r="BL213" s="16">
        <f>IFERROR(__xludf.DUMMYFUNCTION("""COMPUTED_VALUE"""),5.0)</f>
        <v>5</v>
      </c>
      <c r="BM213" s="16">
        <f>IFERROR(__xludf.DUMMYFUNCTION("""COMPUTED_VALUE"""),1.0)</f>
        <v>1</v>
      </c>
      <c r="BN213" s="16">
        <f>IFERROR(__xludf.DUMMYFUNCTION("""COMPUTED_VALUE"""),0.0)</f>
        <v>0</v>
      </c>
      <c r="BO213" s="16">
        <f>IFERROR(__xludf.DUMMYFUNCTION("""COMPUTED_VALUE"""),1.0)</f>
        <v>1</v>
      </c>
      <c r="BP213" s="16">
        <f>IFERROR(__xludf.DUMMYFUNCTION("""COMPUTED_VALUE"""),0.0)</f>
        <v>0</v>
      </c>
      <c r="BQ213" s="16">
        <f>IFERROR(__xludf.DUMMYFUNCTION("""COMPUTED_VALUE"""),0.0)</f>
        <v>0</v>
      </c>
      <c r="BR213" s="16">
        <f>IFERROR(__xludf.DUMMYFUNCTION("""COMPUTED_VALUE"""),0.0)</f>
        <v>0</v>
      </c>
      <c r="BS213" s="16">
        <f>IFERROR(__xludf.DUMMYFUNCTION("""COMPUTED_VALUE"""),-3.0)</f>
        <v>-3</v>
      </c>
      <c r="BT213" s="16">
        <f>IFERROR(__xludf.DUMMYFUNCTION("""COMPUTED_VALUE"""),-3.0)</f>
        <v>-3</v>
      </c>
      <c r="BU213" s="16">
        <f>IFERROR(__xludf.DUMMYFUNCTION("""COMPUTED_VALUE"""),-6.0)</f>
        <v>-6</v>
      </c>
      <c r="BV213" s="16">
        <f>IFERROR(__xludf.DUMMYFUNCTION("""COMPUTED_VALUE"""),-6.0)</f>
        <v>-6</v>
      </c>
      <c r="BW213" s="16">
        <f>IFERROR(__xludf.DUMMYFUNCTION("""COMPUTED_VALUE"""),0.0)</f>
        <v>0</v>
      </c>
      <c r="BX213" s="16">
        <f>IFERROR(__xludf.DUMMYFUNCTION("""COMPUTED_VALUE"""),0.0)</f>
        <v>0</v>
      </c>
      <c r="BY213" s="16" t="str">
        <f>IFERROR(__xludf.DUMMYFUNCTION("""COMPUTED_VALUE"""),"R(1) C(2)")</f>
        <v>R(1) C(2)</v>
      </c>
      <c r="BZ213" s="16" t="str">
        <f>IFERROR(__xludf.DUMMYFUNCTION("""COMPUTED_VALUE"""),"R(1) C(2)")</f>
        <v>R(1) C(2)</v>
      </c>
      <c r="CA213" s="16" t="str">
        <f>IFERROR(__xludf.DUMMYFUNCTION("""COMPUTED_VALUE"""),"R(1)")</f>
        <v>R(1)</v>
      </c>
      <c r="CB213" s="16" t="str">
        <f>IFERROR(__xludf.DUMMYFUNCTION("""COMPUTED_VALUE"""),"C(2)")</f>
        <v>C(2)</v>
      </c>
      <c r="CC213" s="16"/>
      <c r="CD213" s="16"/>
      <c r="CE213" s="16">
        <f>IFERROR(__xludf.DUMMYFUNCTION("""COMPUTED_VALUE"""),1.0)</f>
        <v>1</v>
      </c>
      <c r="CF213" s="16">
        <f>IFERROR(__xludf.DUMMYFUNCTION("""COMPUTED_VALUE"""),2.0)</f>
        <v>2</v>
      </c>
      <c r="CG213" s="16" t="str">
        <f>IFERROR(__xludf.DUMMYFUNCTION("""COMPUTED_VALUE"""),"2-50")</f>
        <v>2-50</v>
      </c>
      <c r="CH213" s="16">
        <f>IFERROR(__xludf.DUMMYFUNCTION("""COMPUTED_VALUE"""),2.0)</f>
        <v>2</v>
      </c>
      <c r="CI213" s="16">
        <f>IFERROR(__xludf.DUMMYFUNCTION("""COMPUTED_VALUE"""),50.0)</f>
        <v>50</v>
      </c>
      <c r="CJ213" s="16">
        <f>IFERROR(__xludf.DUMMYFUNCTION("""COMPUTED_VALUE"""),0.0)</f>
        <v>0</v>
      </c>
      <c r="CK213" s="16">
        <f>IFERROR(__xludf.DUMMYFUNCTION("""COMPUTED_VALUE"""),0.0)</f>
        <v>0</v>
      </c>
      <c r="CL213" s="16" t="str">
        <f>IFERROR(__xludf.DUMMYFUNCTION("""COMPUTED_VALUE"""),"1WR-C")</f>
        <v>1WR-C</v>
      </c>
      <c r="CM213" s="16" t="str">
        <f>IFERROR(__xludf.DUMMYFUNCTION("""COMPUTED_VALUE"""),"E")</f>
        <v>E</v>
      </c>
      <c r="CN213" s="16">
        <f>IFERROR(__xludf.DUMMYFUNCTION("""COMPUTED_VALUE"""),10.0)</f>
        <v>10</v>
      </c>
      <c r="CO213" s="16" t="str">
        <f>IFERROR(__xludf.DUMMYFUNCTION("""COMPUTED_VALUE"""),"C")</f>
        <v>C</v>
      </c>
      <c r="CP213" s="16" t="str">
        <f>IFERROR(__xludf.DUMMYFUNCTION("""COMPUTED_VALUE"""),"1p50")</f>
        <v>1p50</v>
      </c>
      <c r="CQ213" s="16">
        <f>IFERROR(__xludf.DUMMYFUNCTION("""COMPUTED_VALUE"""),-14.0)</f>
        <v>-14</v>
      </c>
      <c r="CR213" s="16">
        <f>IFERROR(__xludf.DUMMYFUNCTION("""COMPUTED_VALUE"""),35.0)</f>
        <v>35</v>
      </c>
      <c r="CS213" s="16">
        <f>IFERROR(__xludf.DUMMYFUNCTION("""COMPUTED_VALUE"""),21.0)</f>
        <v>21</v>
      </c>
      <c r="CT213" s="16">
        <f>IFERROR(__xludf.DUMMYFUNCTION("""COMPUTED_VALUE"""),-14.0)</f>
        <v>-14</v>
      </c>
      <c r="CU213" s="16">
        <f>IFERROR(__xludf.DUMMYFUNCTION("""COMPUTED_VALUE"""),35.0)</f>
        <v>35</v>
      </c>
      <c r="CV213" s="179">
        <f>IFERROR(__xludf.DUMMYFUNCTION("""COMPUTED_VALUE"""),6.333333333333334)</f>
        <v>6.333333333</v>
      </c>
      <c r="CW213" s="179">
        <f>IFERROR(__xludf.DUMMYFUNCTION("""COMPUTED_VALUE"""),4.0)</f>
        <v>4</v>
      </c>
      <c r="CX213" s="179">
        <f>IFERROR(__xludf.DUMMYFUNCTION("""COMPUTED_VALUE"""),0.0)</f>
        <v>0</v>
      </c>
      <c r="CY213" s="16" t="str">
        <f>IFERROR(__xludf.DUMMYFUNCTION("""COMPUTED_VALUE"""),"RP")</f>
        <v>RP</v>
      </c>
      <c r="CZ213" s="16" t="str">
        <f>IFERROR(__xludf.DUMMYFUNCTION("""COMPUTED_VALUE"""),"CP")</f>
        <v>CP</v>
      </c>
      <c r="DA213" s="16"/>
      <c r="DB213" s="16"/>
      <c r="DC213" s="16"/>
      <c r="DD213" s="16"/>
      <c r="DE213" s="16"/>
      <c r="DF213" s="16"/>
      <c r="DG213" s="16"/>
      <c r="DH213" s="16"/>
      <c r="DI213" s="16"/>
      <c r="DJ213" s="16"/>
      <c r="DK213" s="16"/>
    </row>
    <row r="214">
      <c r="A214" s="16">
        <f>IFERROR(__xludf.DUMMYFUNCTION("""COMPUTED_VALUE"""),12784.0)</f>
        <v>12784</v>
      </c>
      <c r="B214" s="16" t="str">
        <f>IFERROR(__xludf.DUMMYFUNCTION("""COMPUTED_VALUE"""),"Edwin Diaz")</f>
        <v>Edwin Diaz</v>
      </c>
      <c r="C214" s="153">
        <f>IFERROR(__xludf.DUMMYFUNCTION("""COMPUTED_VALUE"""),0.45)</f>
        <v>0.45</v>
      </c>
      <c r="D214" s="16"/>
      <c r="E214" s="16" t="str">
        <f>IFERROR(__xludf.DUMMYFUNCTION("""COMPUTED_VALUE"""),"R")</f>
        <v>R</v>
      </c>
      <c r="F214" s="16">
        <f>IFERROR(__xludf.DUMMYFUNCTION("""COMPUTED_VALUE"""),54.0)</f>
        <v>54</v>
      </c>
      <c r="G214" s="16">
        <f>IFERROR(__xludf.DUMMYFUNCTION("""COMPUTED_VALUE"""),35.0)</f>
        <v>35</v>
      </c>
      <c r="H214" s="16">
        <f>IFERROR(__xludf.DUMMYFUNCTION("""COMPUTED_VALUE"""),67.0)</f>
        <v>67</v>
      </c>
      <c r="I214" s="16">
        <f>IFERROR(__xludf.DUMMYFUNCTION("""COMPUTED_VALUE"""),1.0)</f>
        <v>1</v>
      </c>
      <c r="J214" s="16">
        <f>IFERROR(__xludf.DUMMYFUNCTION("""COMPUTED_VALUE"""),3.0)</f>
        <v>3</v>
      </c>
      <c r="K214" s="16">
        <f>IFERROR(__xludf.DUMMYFUNCTION("""COMPUTED_VALUE"""),3.0)</f>
        <v>3</v>
      </c>
      <c r="L214" s="16">
        <f>IFERROR(__xludf.DUMMYFUNCTION("""COMPUTED_VALUE"""),9.0)</f>
        <v>9</v>
      </c>
      <c r="M214" s="16">
        <f>IFERROR(__xludf.DUMMYFUNCTION("""COMPUTED_VALUE"""),23.0)</f>
        <v>23</v>
      </c>
      <c r="N214" s="16">
        <f>IFERROR(__xludf.DUMMYFUNCTION("""COMPUTED_VALUE"""),1.0)</f>
        <v>1</v>
      </c>
      <c r="O214" s="16">
        <f>IFERROR(__xludf.DUMMYFUNCTION("""COMPUTED_VALUE"""),-3.0)</f>
        <v>-3</v>
      </c>
      <c r="P214" s="16">
        <f>IFERROR(__xludf.DUMMYFUNCTION("""COMPUTED_VALUE"""),3.0)</f>
        <v>3</v>
      </c>
      <c r="Q214" s="16">
        <f>IFERROR(__xludf.DUMMYFUNCTION("""COMPUTED_VALUE"""),-3.0)</f>
        <v>-3</v>
      </c>
      <c r="R214" s="16">
        <f>IFERROR(__xludf.DUMMYFUNCTION("""COMPUTED_VALUE"""),3.0)</f>
        <v>3</v>
      </c>
      <c r="S214" s="16">
        <f>IFERROR(__xludf.DUMMYFUNCTION("""COMPUTED_VALUE"""),7.2)</f>
        <v>7.2</v>
      </c>
      <c r="T214" s="16">
        <f>IFERROR(__xludf.DUMMYFUNCTION("""COMPUTED_VALUE"""),4.1)</f>
        <v>4.1</v>
      </c>
      <c r="U214" s="16">
        <f>IFERROR(__xludf.DUMMYFUNCTION("""COMPUTED_VALUE"""),1.0)</f>
        <v>1</v>
      </c>
      <c r="V214" s="16">
        <f>IFERROR(__xludf.DUMMYFUNCTION("""COMPUTED_VALUE"""),2.0)</f>
        <v>2</v>
      </c>
      <c r="W214" s="16">
        <f>IFERROR(__xludf.DUMMYFUNCTION("""COMPUTED_VALUE"""),2.0)</f>
        <v>2</v>
      </c>
      <c r="X214" s="16">
        <f>IFERROR(__xludf.DUMMYFUNCTION("""COMPUTED_VALUE"""),4.0)</f>
        <v>4</v>
      </c>
      <c r="Y214" s="16">
        <f>IFERROR(__xludf.DUMMYFUNCTION("""COMPUTED_VALUE"""),30.2)</f>
        <v>30.2</v>
      </c>
      <c r="Z214" s="16">
        <f>IFERROR(__xludf.DUMMYFUNCTION("""COMPUTED_VALUE"""),5.1)</f>
        <v>5.1</v>
      </c>
      <c r="AA214" s="16">
        <f>IFERROR(__xludf.DUMMYFUNCTION("""COMPUTED_VALUE"""),-1.0)</f>
        <v>-1</v>
      </c>
      <c r="AB214" s="16">
        <f>IFERROR(__xludf.DUMMYFUNCTION("""COMPUTED_VALUE"""),3.0)</f>
        <v>3</v>
      </c>
      <c r="AC214" s="16">
        <f>IFERROR(__xludf.DUMMYFUNCTION("""COMPUTED_VALUE"""),-5.0)</f>
        <v>-5</v>
      </c>
      <c r="AD214" s="16">
        <f>IFERROR(__xludf.DUMMYFUNCTION("""COMPUTED_VALUE"""),15.0)</f>
        <v>15</v>
      </c>
      <c r="AE214" s="16">
        <f>IFERROR(__xludf.DUMMYFUNCTION("""COMPUTED_VALUE"""),20.8)</f>
        <v>20.8</v>
      </c>
      <c r="AF214" s="16">
        <f>IFERROR(__xludf.DUMMYFUNCTION("""COMPUTED_VALUE"""),7.1)</f>
        <v>7.1</v>
      </c>
      <c r="AG214" s="16">
        <f>IFERROR(__xludf.DUMMYFUNCTION("""COMPUTED_VALUE"""),1.0)</f>
        <v>1</v>
      </c>
      <c r="AH214" s="16">
        <f>IFERROR(__xludf.DUMMYFUNCTION("""COMPUTED_VALUE"""),2.0)</f>
        <v>2</v>
      </c>
      <c r="AI214" s="16">
        <f>IFERROR(__xludf.DUMMYFUNCTION("""COMPUTED_VALUE"""),2.0)</f>
        <v>2</v>
      </c>
      <c r="AJ214" s="16">
        <f>IFERROR(__xludf.DUMMYFUNCTION("""COMPUTED_VALUE"""),4.0)</f>
        <v>4</v>
      </c>
      <c r="AK214" s="16">
        <f>IFERROR(__xludf.DUMMYFUNCTION("""COMPUTED_VALUE"""),3.6)</f>
        <v>3.6</v>
      </c>
      <c r="AL214" s="16">
        <f>IFERROR(__xludf.DUMMYFUNCTION("""COMPUTED_VALUE"""),3.0999999999999996)</f>
        <v>3.1</v>
      </c>
      <c r="AM214" s="16">
        <f>IFERROR(__xludf.DUMMYFUNCTION("""COMPUTED_VALUE"""),2.0)</f>
        <v>2</v>
      </c>
      <c r="AN214" s="16">
        <f>IFERROR(__xludf.DUMMYFUNCTION("""COMPUTED_VALUE"""),2.0)</f>
        <v>2</v>
      </c>
      <c r="AO214" s="16">
        <f>IFERROR(__xludf.DUMMYFUNCTION("""COMPUTED_VALUE"""),2.0)</f>
        <v>2</v>
      </c>
      <c r="AP214" s="16">
        <f>IFERROR(__xludf.DUMMYFUNCTION("""COMPUTED_VALUE"""),2.0)</f>
        <v>2</v>
      </c>
      <c r="AQ214" s="16">
        <f>IFERROR(__xludf.DUMMYFUNCTION("""COMPUTED_VALUE"""),6.4)</f>
        <v>6.4</v>
      </c>
      <c r="AR214" s="16">
        <f>IFERROR(__xludf.DUMMYFUNCTION("""COMPUTED_VALUE"""),3.0999999999999996)</f>
        <v>3.1</v>
      </c>
      <c r="AS214" s="16">
        <f>IFERROR(__xludf.DUMMYFUNCTION("""COMPUTED_VALUE"""),2.0)</f>
        <v>2</v>
      </c>
      <c r="AT214" s="16">
        <f>IFERROR(__xludf.DUMMYFUNCTION("""COMPUTED_VALUE"""),2.0)</f>
        <v>2</v>
      </c>
      <c r="AU214" s="16">
        <f>IFERROR(__xludf.DUMMYFUNCTION("""COMPUTED_VALUE"""),4.0)</f>
        <v>4</v>
      </c>
      <c r="AV214" s="16">
        <f>IFERROR(__xludf.DUMMYFUNCTION("""COMPUTED_VALUE"""),4.0)</f>
        <v>4</v>
      </c>
      <c r="AW214" s="16">
        <f>IFERROR(__xludf.DUMMYFUNCTION("""COMPUTED_VALUE"""),3.6)</f>
        <v>3.6</v>
      </c>
      <c r="AX214" s="16">
        <f>IFERROR(__xludf.DUMMYFUNCTION("""COMPUTED_VALUE"""),1.0)</f>
        <v>1</v>
      </c>
      <c r="AY214" s="16">
        <f>IFERROR(__xludf.DUMMYFUNCTION("""COMPUTED_VALUE"""),-2.0)</f>
        <v>-2</v>
      </c>
      <c r="AZ214" s="16">
        <f>IFERROR(__xludf.DUMMYFUNCTION("""COMPUTED_VALUE"""),1.0)</f>
        <v>1</v>
      </c>
      <c r="BA214" s="16">
        <f>IFERROR(__xludf.DUMMYFUNCTION("""COMPUTED_VALUE"""),-10.0)</f>
        <v>-10</v>
      </c>
      <c r="BB214" s="16">
        <f>IFERROR(__xludf.DUMMYFUNCTION("""COMPUTED_VALUE"""),5.0)</f>
        <v>5</v>
      </c>
      <c r="BC214" s="16">
        <f>IFERROR(__xludf.DUMMYFUNCTION("""COMPUTED_VALUE"""),7.0)</f>
        <v>7</v>
      </c>
      <c r="BD214" s="16">
        <f>IFERROR(__xludf.DUMMYFUNCTION("""COMPUTED_VALUE"""),0.0)</f>
        <v>0</v>
      </c>
      <c r="BE214" s="16">
        <f>IFERROR(__xludf.DUMMYFUNCTION("""COMPUTED_VALUE"""),7.0)</f>
        <v>7</v>
      </c>
      <c r="BF214" s="16">
        <f>IFERROR(__xludf.DUMMYFUNCTION("""COMPUTED_VALUE"""),0.0)</f>
        <v>0</v>
      </c>
      <c r="BG214" s="16">
        <f>IFERROR(__xludf.DUMMYFUNCTION("""COMPUTED_VALUE"""),-3.0)</f>
        <v>-3</v>
      </c>
      <c r="BH214" s="16">
        <f>IFERROR(__xludf.DUMMYFUNCTION("""COMPUTED_VALUE"""),2.0)</f>
        <v>2</v>
      </c>
      <c r="BI214" s="16">
        <f>IFERROR(__xludf.DUMMYFUNCTION("""COMPUTED_VALUE"""),-6.0)</f>
        <v>-6</v>
      </c>
      <c r="BJ214" s="16">
        <f>IFERROR(__xludf.DUMMYFUNCTION("""COMPUTED_VALUE"""),4.0)</f>
        <v>4</v>
      </c>
      <c r="BK214" s="16">
        <f>IFERROR(__xludf.DUMMYFUNCTION("""COMPUTED_VALUE"""),5.0)</f>
        <v>5</v>
      </c>
      <c r="BL214" s="16">
        <f>IFERROR(__xludf.DUMMYFUNCTION("""COMPUTED_VALUE"""),5.0)</f>
        <v>5</v>
      </c>
      <c r="BM214" s="16">
        <f>IFERROR(__xludf.DUMMYFUNCTION("""COMPUTED_VALUE"""),0.0)</f>
        <v>0</v>
      </c>
      <c r="BN214" s="16">
        <f>IFERROR(__xludf.DUMMYFUNCTION("""COMPUTED_VALUE"""),0.0)</f>
        <v>0</v>
      </c>
      <c r="BO214" s="16">
        <f>IFERROR(__xludf.DUMMYFUNCTION("""COMPUTED_VALUE"""),0.0)</f>
        <v>0</v>
      </c>
      <c r="BP214" s="16">
        <f>IFERROR(__xludf.DUMMYFUNCTION("""COMPUTED_VALUE"""),0.0)</f>
        <v>0</v>
      </c>
      <c r="BQ214" s="16">
        <f>IFERROR(__xludf.DUMMYFUNCTION("""COMPUTED_VALUE"""),0.0)</f>
        <v>0</v>
      </c>
      <c r="BR214" s="16">
        <f>IFERROR(__xludf.DUMMYFUNCTION("""COMPUTED_VALUE"""),0.0)</f>
        <v>0</v>
      </c>
      <c r="BS214" s="16">
        <f>IFERROR(__xludf.DUMMYFUNCTION("""COMPUTED_VALUE"""),-3.0)</f>
        <v>-3</v>
      </c>
      <c r="BT214" s="16">
        <f>IFERROR(__xludf.DUMMYFUNCTION("""COMPUTED_VALUE"""),-3.0)</f>
        <v>-3</v>
      </c>
      <c r="BU214" s="16">
        <f>IFERROR(__xludf.DUMMYFUNCTION("""COMPUTED_VALUE"""),-6.0)</f>
        <v>-6</v>
      </c>
      <c r="BV214" s="16">
        <f>IFERROR(__xludf.DUMMYFUNCTION("""COMPUTED_VALUE"""),-6.0)</f>
        <v>-6</v>
      </c>
      <c r="BW214" s="16">
        <f>IFERROR(__xludf.DUMMYFUNCTION("""COMPUTED_VALUE"""),9.0)</f>
        <v>9</v>
      </c>
      <c r="BX214" s="16">
        <f>IFERROR(__xludf.DUMMYFUNCTION("""COMPUTED_VALUE"""),9.0)</f>
        <v>9</v>
      </c>
      <c r="BY214" s="16" t="str">
        <f>IFERROR(__xludf.DUMMYFUNCTION("""COMPUTED_VALUE"""),"R(1) C(4)")</f>
        <v>R(1) C(4)</v>
      </c>
      <c r="BZ214" s="16" t="str">
        <f>IFERROR(__xludf.DUMMYFUNCTION("""COMPUTED_VALUE"""),"R(1) C(4)")</f>
        <v>R(1) C(4)</v>
      </c>
      <c r="CA214" s="16" t="str">
        <f>IFERROR(__xludf.DUMMYFUNCTION("""COMPUTED_VALUE"""),"R(1)")</f>
        <v>R(1)</v>
      </c>
      <c r="CB214" s="16" t="str">
        <f>IFERROR(__xludf.DUMMYFUNCTION("""COMPUTED_VALUE"""),"C(4)")</f>
        <v>C(4)</v>
      </c>
      <c r="CC214" s="16"/>
      <c r="CD214" s="16"/>
      <c r="CE214" s="16">
        <f>IFERROR(__xludf.DUMMYFUNCTION("""COMPUTED_VALUE"""),1.0)</f>
        <v>1</v>
      </c>
      <c r="CF214" s="16">
        <f>IFERROR(__xludf.DUMMYFUNCTION("""COMPUTED_VALUE"""),4.0)</f>
        <v>4</v>
      </c>
      <c r="CG214" s="16" t="str">
        <f>IFERROR(__xludf.DUMMYFUNCTION("""COMPUTED_VALUE"""),"5-27")</f>
        <v>5-27</v>
      </c>
      <c r="CH214" s="16">
        <f>IFERROR(__xludf.DUMMYFUNCTION("""COMPUTED_VALUE"""),5.0)</f>
        <v>5</v>
      </c>
      <c r="CI214" s="16">
        <f>IFERROR(__xludf.DUMMYFUNCTION("""COMPUTED_VALUE"""),27.0)</f>
        <v>27</v>
      </c>
      <c r="CJ214" s="16">
        <f>IFERROR(__xludf.DUMMYFUNCTION("""COMPUTED_VALUE"""),0.0)</f>
        <v>0</v>
      </c>
      <c r="CK214" s="16">
        <f>IFERROR(__xludf.DUMMYFUNCTION("""COMPUTED_VALUE"""),13.0)</f>
        <v>13</v>
      </c>
      <c r="CL214" s="16" t="str">
        <f>IFERROR(__xludf.DUMMYFUNCTION("""COMPUTED_VALUE"""),"1WR-C")</f>
        <v>1WR-C</v>
      </c>
      <c r="CM214" s="16" t="str">
        <f>IFERROR(__xludf.DUMMYFUNCTION("""COMPUTED_VALUE"""),"E")</f>
        <v>E</v>
      </c>
      <c r="CN214" s="16">
        <f>IFERROR(__xludf.DUMMYFUNCTION("""COMPUTED_VALUE"""),10.0)</f>
        <v>10</v>
      </c>
      <c r="CO214" s="16" t="str">
        <f>IFERROR(__xludf.DUMMYFUNCTION("""COMPUTED_VALUE"""),"C")</f>
        <v>C</v>
      </c>
      <c r="CP214" s="16" t="str">
        <f>IFERROR(__xludf.DUMMYFUNCTION("""COMPUTED_VALUE"""),"2p50")</f>
        <v>2p50</v>
      </c>
      <c r="CQ214" s="16">
        <f>IFERROR(__xludf.DUMMYFUNCTION("""COMPUTED_VALUE"""),-17.0)</f>
        <v>-17</v>
      </c>
      <c r="CR214" s="16">
        <f>IFERROR(__xludf.DUMMYFUNCTION("""COMPUTED_VALUE"""),44.0)</f>
        <v>44</v>
      </c>
      <c r="CS214" s="16">
        <f>IFERROR(__xludf.DUMMYFUNCTION("""COMPUTED_VALUE"""),27.0)</f>
        <v>27</v>
      </c>
      <c r="CT214" s="16">
        <f>IFERROR(__xludf.DUMMYFUNCTION("""COMPUTED_VALUE"""),-17.0)</f>
        <v>-17</v>
      </c>
      <c r="CU214" s="16">
        <f>IFERROR(__xludf.DUMMYFUNCTION("""COMPUTED_VALUE"""),44.0)</f>
        <v>44</v>
      </c>
      <c r="CV214" s="179">
        <f>IFERROR(__xludf.DUMMYFUNCTION("""COMPUTED_VALUE"""),6.333333333333334)</f>
        <v>6.333333333</v>
      </c>
      <c r="CW214" s="179">
        <f>IFERROR(__xludf.DUMMYFUNCTION("""COMPUTED_VALUE"""),3.0)</f>
        <v>3</v>
      </c>
      <c r="CX214" s="179">
        <f>IFERROR(__xludf.DUMMYFUNCTION("""COMPUTED_VALUE"""),0.0)</f>
        <v>0</v>
      </c>
      <c r="CY214" s="16" t="str">
        <f>IFERROR(__xludf.DUMMYFUNCTION("""COMPUTED_VALUE"""),"RP")</f>
        <v>RP</v>
      </c>
      <c r="CZ214" s="16" t="str">
        <f>IFERROR(__xludf.DUMMYFUNCTION("""COMPUTED_VALUE"""),"CP")</f>
        <v>CP</v>
      </c>
      <c r="DA214" s="16"/>
      <c r="DB214" s="16"/>
      <c r="DC214" s="16"/>
      <c r="DD214" s="16"/>
      <c r="DE214" s="16"/>
      <c r="DF214" s="16"/>
      <c r="DG214" s="16"/>
      <c r="DH214" s="16"/>
      <c r="DI214" s="16"/>
      <c r="DJ214" s="16"/>
      <c r="DK214" s="16"/>
    </row>
    <row r="215">
      <c r="A215" s="16">
        <f>IFERROR(__xludf.DUMMYFUNCTION("""COMPUTED_VALUE"""),12746.0)</f>
        <v>12746</v>
      </c>
      <c r="B215" s="16" t="str">
        <f>IFERROR(__xludf.DUMMYFUNCTION("""COMPUTED_VALUE"""),"Davis Martin")</f>
        <v>Davis Martin</v>
      </c>
      <c r="C215" s="153">
        <f>IFERROR(__xludf.DUMMYFUNCTION("""COMPUTED_VALUE"""),0.81)</f>
        <v>0.81</v>
      </c>
      <c r="D215" s="16"/>
      <c r="E215" s="16" t="str">
        <f>IFERROR(__xludf.DUMMYFUNCTION("""COMPUTED_VALUE"""),"R")</f>
        <v>R</v>
      </c>
      <c r="F215" s="16">
        <f>IFERROR(__xludf.DUMMYFUNCTION("""COMPUTED_VALUE"""),50.0)</f>
        <v>50</v>
      </c>
      <c r="G215" s="16">
        <f>IFERROR(__xludf.DUMMYFUNCTION("""COMPUTED_VALUE"""),24.0)</f>
        <v>24</v>
      </c>
      <c r="H215" s="16">
        <f>IFERROR(__xludf.DUMMYFUNCTION("""COMPUTED_VALUE"""),21.0)</f>
        <v>21</v>
      </c>
      <c r="I215" s="16">
        <f>IFERROR(__xludf.DUMMYFUNCTION("""COMPUTED_VALUE"""),-1.0)</f>
        <v>-1</v>
      </c>
      <c r="J215" s="16">
        <f>IFERROR(__xludf.DUMMYFUNCTION("""COMPUTED_VALUE"""),-1.0)</f>
        <v>-1</v>
      </c>
      <c r="K215" s="16">
        <f>IFERROR(__xludf.DUMMYFUNCTION("""COMPUTED_VALUE"""),-3.0)</f>
        <v>-3</v>
      </c>
      <c r="L215" s="16">
        <f>IFERROR(__xludf.DUMMYFUNCTION("""COMPUTED_VALUE"""),-3.0)</f>
        <v>-3</v>
      </c>
      <c r="M215" s="16">
        <f>IFERROR(__xludf.DUMMYFUNCTION("""COMPUTED_VALUE"""),11.0)</f>
        <v>11</v>
      </c>
      <c r="N215" s="16">
        <f>IFERROR(__xludf.DUMMYFUNCTION("""COMPUTED_VALUE"""),18.0)</f>
        <v>18</v>
      </c>
      <c r="O215" s="16">
        <f>IFERROR(__xludf.DUMMYFUNCTION("""COMPUTED_VALUE"""),-1.0)</f>
        <v>-1</v>
      </c>
      <c r="P215" s="16">
        <f>IFERROR(__xludf.DUMMYFUNCTION("""COMPUTED_VALUE"""),-3.0)</f>
        <v>-3</v>
      </c>
      <c r="Q215" s="16">
        <f>IFERROR(__xludf.DUMMYFUNCTION("""COMPUTED_VALUE"""),-1.0)</f>
        <v>-1</v>
      </c>
      <c r="R215" s="16">
        <f>IFERROR(__xludf.DUMMYFUNCTION("""COMPUTED_VALUE"""),-3.0)</f>
        <v>-3</v>
      </c>
      <c r="S215" s="16">
        <f>IFERROR(__xludf.DUMMYFUNCTION("""COMPUTED_VALUE"""),18.0)</f>
        <v>18</v>
      </c>
      <c r="T215" s="16">
        <f>IFERROR(__xludf.DUMMYFUNCTION("""COMPUTED_VALUE"""),16.5)</f>
        <v>16.5</v>
      </c>
      <c r="U215" s="16">
        <f>IFERROR(__xludf.DUMMYFUNCTION("""COMPUTED_VALUE"""),0.0)</f>
        <v>0</v>
      </c>
      <c r="V215" s="16">
        <f>IFERROR(__xludf.DUMMYFUNCTION("""COMPUTED_VALUE"""),0.0)</f>
        <v>0</v>
      </c>
      <c r="W215" s="16">
        <f>IFERROR(__xludf.DUMMYFUNCTION("""COMPUTED_VALUE"""),0.0)</f>
        <v>0</v>
      </c>
      <c r="X215" s="16">
        <f>IFERROR(__xludf.DUMMYFUNCTION("""COMPUTED_VALUE"""),0.0)</f>
        <v>0</v>
      </c>
      <c r="Y215" s="16">
        <f>IFERROR(__xludf.DUMMYFUNCTION("""COMPUTED_VALUE"""),29.0)</f>
        <v>29</v>
      </c>
      <c r="Z215" s="16">
        <f>IFERROR(__xludf.DUMMYFUNCTION("""COMPUTED_VALUE"""),34.5)</f>
        <v>34.5</v>
      </c>
      <c r="AA215" s="16">
        <f>IFERROR(__xludf.DUMMYFUNCTION("""COMPUTED_VALUE"""),0.0)</f>
        <v>0</v>
      </c>
      <c r="AB215" s="16">
        <f>IFERROR(__xludf.DUMMYFUNCTION("""COMPUTED_VALUE"""),-1.0)</f>
        <v>-1</v>
      </c>
      <c r="AC215" s="16">
        <f>IFERROR(__xludf.DUMMYFUNCTION("""COMPUTED_VALUE"""),0.0)</f>
        <v>0</v>
      </c>
      <c r="AD215" s="16">
        <f>IFERROR(__xludf.DUMMYFUNCTION("""COMPUTED_VALUE"""),-5.0)</f>
        <v>-5</v>
      </c>
      <c r="AE215" s="16">
        <f>IFERROR(__xludf.DUMMYFUNCTION("""COMPUTED_VALUE"""),19.3)</f>
        <v>19.3</v>
      </c>
      <c r="AF215" s="16">
        <f>IFERROR(__xludf.DUMMYFUNCTION("""COMPUTED_VALUE"""),25.6)</f>
        <v>25.6</v>
      </c>
      <c r="AG215" s="16">
        <f>IFERROR(__xludf.DUMMYFUNCTION("""COMPUTED_VALUE"""),1.0)</f>
        <v>1</v>
      </c>
      <c r="AH215" s="16">
        <f>IFERROR(__xludf.DUMMYFUNCTION("""COMPUTED_VALUE"""),0.0)</f>
        <v>0</v>
      </c>
      <c r="AI215" s="16">
        <f>IFERROR(__xludf.DUMMYFUNCTION("""COMPUTED_VALUE"""),2.0)</f>
        <v>2</v>
      </c>
      <c r="AJ215" s="16">
        <f>IFERROR(__xludf.DUMMYFUNCTION("""COMPUTED_VALUE"""),0.0)</f>
        <v>0</v>
      </c>
      <c r="AK215" s="16">
        <f>IFERROR(__xludf.DUMMYFUNCTION("""COMPUTED_VALUE"""),17.6)</f>
        <v>17.6</v>
      </c>
      <c r="AL215" s="16">
        <f>IFERROR(__xludf.DUMMYFUNCTION("""COMPUTED_VALUE"""),14.7)</f>
        <v>14.7</v>
      </c>
      <c r="AM215" s="16">
        <f>IFERROR(__xludf.DUMMYFUNCTION("""COMPUTED_VALUE"""),-1.0)</f>
        <v>-1</v>
      </c>
      <c r="AN215" s="16">
        <f>IFERROR(__xludf.DUMMYFUNCTION("""COMPUTED_VALUE"""),0.0)</f>
        <v>0</v>
      </c>
      <c r="AO215" s="16">
        <f>IFERROR(__xludf.DUMMYFUNCTION("""COMPUTED_VALUE"""),-1.0)</f>
        <v>-1</v>
      </c>
      <c r="AP215" s="16">
        <f>IFERROR(__xludf.DUMMYFUNCTION("""COMPUTED_VALUE"""),0.0)</f>
        <v>0</v>
      </c>
      <c r="AQ215" s="16">
        <f>IFERROR(__xludf.DUMMYFUNCTION("""COMPUTED_VALUE"""),17.7)</f>
        <v>17.7</v>
      </c>
      <c r="AR215" s="16">
        <f>IFERROR(__xludf.DUMMYFUNCTION("""COMPUTED_VALUE"""),18.400000000000002)</f>
        <v>18.4</v>
      </c>
      <c r="AS215" s="16">
        <f>IFERROR(__xludf.DUMMYFUNCTION("""COMPUTED_VALUE"""),0.0)</f>
        <v>0</v>
      </c>
      <c r="AT215" s="16">
        <f>IFERROR(__xludf.DUMMYFUNCTION("""COMPUTED_VALUE"""),0.0)</f>
        <v>0</v>
      </c>
      <c r="AU215" s="16">
        <f>IFERROR(__xludf.DUMMYFUNCTION("""COMPUTED_VALUE"""),0.0)</f>
        <v>0</v>
      </c>
      <c r="AV215" s="16">
        <f>IFERROR(__xludf.DUMMYFUNCTION("""COMPUTED_VALUE"""),0.0)</f>
        <v>0</v>
      </c>
      <c r="AW215" s="16">
        <f>IFERROR(__xludf.DUMMYFUNCTION("""COMPUTED_VALUE"""),0.4)</f>
        <v>0.4</v>
      </c>
      <c r="AX215" s="16">
        <f>IFERROR(__xludf.DUMMYFUNCTION("""COMPUTED_VALUE"""),1.8)</f>
        <v>1.8</v>
      </c>
      <c r="AY215" s="16">
        <f>IFERROR(__xludf.DUMMYFUNCTION("""COMPUTED_VALUE"""),2.0)</f>
        <v>2</v>
      </c>
      <c r="AZ215" s="16">
        <f>IFERROR(__xludf.DUMMYFUNCTION("""COMPUTED_VALUE"""),0.0)</f>
        <v>0</v>
      </c>
      <c r="BA215" s="16">
        <f>IFERROR(__xludf.DUMMYFUNCTION("""COMPUTED_VALUE"""),10.0)</f>
        <v>10</v>
      </c>
      <c r="BB215" s="16">
        <f>IFERROR(__xludf.DUMMYFUNCTION("""COMPUTED_VALUE"""),0.0)</f>
        <v>0</v>
      </c>
      <c r="BC215" s="16">
        <f>IFERROR(__xludf.DUMMYFUNCTION("""COMPUTED_VALUE"""),0.0)</f>
        <v>0</v>
      </c>
      <c r="BD215" s="16">
        <f>IFERROR(__xludf.DUMMYFUNCTION("""COMPUTED_VALUE"""),3.0)</f>
        <v>3</v>
      </c>
      <c r="BE215" s="16">
        <f>IFERROR(__xludf.DUMMYFUNCTION("""COMPUTED_VALUE"""),0.0)</f>
        <v>0</v>
      </c>
      <c r="BF215" s="16">
        <f>IFERROR(__xludf.DUMMYFUNCTION("""COMPUTED_VALUE"""),3.0)</f>
        <v>3</v>
      </c>
      <c r="BG215" s="16">
        <f>IFERROR(__xludf.DUMMYFUNCTION("""COMPUTED_VALUE"""),3.0)</f>
        <v>3</v>
      </c>
      <c r="BH215" s="16">
        <f>IFERROR(__xludf.DUMMYFUNCTION("""COMPUTED_VALUE"""),0.0)</f>
        <v>0</v>
      </c>
      <c r="BI215" s="16">
        <f>IFERROR(__xludf.DUMMYFUNCTION("""COMPUTED_VALUE"""),6.0)</f>
        <v>6</v>
      </c>
      <c r="BJ215" s="16">
        <f>IFERROR(__xludf.DUMMYFUNCTION("""COMPUTED_VALUE"""),0.0)</f>
        <v>0</v>
      </c>
      <c r="BK215" s="16">
        <f>IFERROR(__xludf.DUMMYFUNCTION("""COMPUTED_VALUE"""),5.0)</f>
        <v>5</v>
      </c>
      <c r="BL215" s="16">
        <f>IFERROR(__xludf.DUMMYFUNCTION("""COMPUTED_VALUE"""),5.0)</f>
        <v>5</v>
      </c>
      <c r="BM215" s="16">
        <f>IFERROR(__xludf.DUMMYFUNCTION("""COMPUTED_VALUE"""),0.0)</f>
        <v>0</v>
      </c>
      <c r="BN215" s="16">
        <f>IFERROR(__xludf.DUMMYFUNCTION("""COMPUTED_VALUE"""),0.0)</f>
        <v>0</v>
      </c>
      <c r="BO215" s="16">
        <f>IFERROR(__xludf.DUMMYFUNCTION("""COMPUTED_VALUE"""),0.0)</f>
        <v>0</v>
      </c>
      <c r="BP215" s="16">
        <f>IFERROR(__xludf.DUMMYFUNCTION("""COMPUTED_VALUE"""),0.0)</f>
        <v>0</v>
      </c>
      <c r="BQ215" s="16">
        <f>IFERROR(__xludf.DUMMYFUNCTION("""COMPUTED_VALUE"""),6.0)</f>
        <v>6</v>
      </c>
      <c r="BR215" s="16">
        <f>IFERROR(__xludf.DUMMYFUNCTION("""COMPUTED_VALUE"""),7.0)</f>
        <v>7</v>
      </c>
      <c r="BS215" s="16">
        <f>IFERROR(__xludf.DUMMYFUNCTION("""COMPUTED_VALUE"""),1.0)</f>
        <v>1</v>
      </c>
      <c r="BT215" s="16">
        <f>IFERROR(__xludf.DUMMYFUNCTION("""COMPUTED_VALUE"""),2.0)</f>
        <v>2</v>
      </c>
      <c r="BU215" s="16">
        <f>IFERROR(__xludf.DUMMYFUNCTION("""COMPUTED_VALUE"""),2.0)</f>
        <v>2</v>
      </c>
      <c r="BV215" s="16">
        <f>IFERROR(__xludf.DUMMYFUNCTION("""COMPUTED_VALUE"""),4.0)</f>
        <v>4</v>
      </c>
      <c r="BW215" s="16">
        <f>IFERROR(__xludf.DUMMYFUNCTION("""COMPUTED_VALUE"""),-3.0)</f>
        <v>-3</v>
      </c>
      <c r="BX215" s="16">
        <f>IFERROR(__xludf.DUMMYFUNCTION("""COMPUTED_VALUE"""),-3.0)</f>
        <v>-3</v>
      </c>
      <c r="BY215" s="16" t="str">
        <f>IFERROR(__xludf.DUMMYFUNCTION("""COMPUTED_VALUE"""),"S(5) R(3)")</f>
        <v>S(5) R(3)</v>
      </c>
      <c r="BZ215" s="16" t="str">
        <f>IFERROR(__xludf.DUMMYFUNCTION("""COMPUTED_VALUE"""),"S(5) R(3)")</f>
        <v>S(5) R(3)</v>
      </c>
      <c r="CA215" s="16" t="str">
        <f>IFERROR(__xludf.DUMMYFUNCTION("""COMPUTED_VALUE"""),"S(5)")</f>
        <v>S(5)</v>
      </c>
      <c r="CB215" s="16" t="str">
        <f>IFERROR(__xludf.DUMMYFUNCTION("""COMPUTED_VALUE"""),"R(3)")</f>
        <v>R(3)</v>
      </c>
      <c r="CC215" s="16"/>
      <c r="CD215" s="16">
        <f>IFERROR(__xludf.DUMMYFUNCTION("""COMPUTED_VALUE"""),5.0)</f>
        <v>5</v>
      </c>
      <c r="CE215" s="16">
        <f>IFERROR(__xludf.DUMMYFUNCTION("""COMPUTED_VALUE"""),3.0)</f>
        <v>3</v>
      </c>
      <c r="CF215" s="16"/>
      <c r="CG215" s="16" t="str">
        <f>IFERROR(__xludf.DUMMYFUNCTION("""COMPUTED_VALUE"""),"2-28")</f>
        <v>2-28</v>
      </c>
      <c r="CH215" s="16">
        <f>IFERROR(__xludf.DUMMYFUNCTION("""COMPUTED_VALUE"""),2.0)</f>
        <v>2</v>
      </c>
      <c r="CI215" s="16">
        <f>IFERROR(__xludf.DUMMYFUNCTION("""COMPUTED_VALUE"""),28.0)</f>
        <v>28</v>
      </c>
      <c r="CJ215" s="16">
        <f>IFERROR(__xludf.DUMMYFUNCTION("""COMPUTED_VALUE"""),0.0)</f>
        <v>0</v>
      </c>
      <c r="CK215" s="16">
        <f>IFERROR(__xludf.DUMMYFUNCTION("""COMPUTED_VALUE"""),8.0)</f>
        <v>8</v>
      </c>
      <c r="CL215" s="16" t="str">
        <f>IFERROR(__xludf.DUMMYFUNCTION("""COMPUTED_VALUE"""),"1WL-C")</f>
        <v>1WL-C</v>
      </c>
      <c r="CM215" s="16" t="str">
        <f>IFERROR(__xludf.DUMMYFUNCTION("""COMPUTED_VALUE"""),"E")</f>
        <v>E</v>
      </c>
      <c r="CN215" s="16">
        <f>IFERROR(__xludf.DUMMYFUNCTION("""COMPUTED_VALUE"""),10.0)</f>
        <v>10</v>
      </c>
      <c r="CO215" s="16" t="str">
        <f>IFERROR(__xludf.DUMMYFUNCTION("""COMPUTED_VALUE"""),"C")</f>
        <v>C</v>
      </c>
      <c r="CP215" s="16" t="str">
        <f>IFERROR(__xludf.DUMMYFUNCTION("""COMPUTED_VALUE"""),"1p30")</f>
        <v>1p30</v>
      </c>
      <c r="CQ215" s="16">
        <f>IFERROR(__xludf.DUMMYFUNCTION("""COMPUTED_VALUE"""),15.0)</f>
        <v>15</v>
      </c>
      <c r="CR215" s="16">
        <f>IFERROR(__xludf.DUMMYFUNCTION("""COMPUTED_VALUE"""),-7.0)</f>
        <v>-7</v>
      </c>
      <c r="CS215" s="16">
        <f>IFERROR(__xludf.DUMMYFUNCTION("""COMPUTED_VALUE"""),8.0)</f>
        <v>8</v>
      </c>
      <c r="CT215" s="16">
        <f>IFERROR(__xludf.DUMMYFUNCTION("""COMPUTED_VALUE"""),15.0)</f>
        <v>15</v>
      </c>
      <c r="CU215" s="16">
        <f>IFERROR(__xludf.DUMMYFUNCTION("""COMPUTED_VALUE"""),-7.0)</f>
        <v>-7</v>
      </c>
      <c r="CV215" s="179">
        <f>IFERROR(__xludf.DUMMYFUNCTION("""COMPUTED_VALUE"""),6.333333333333333)</f>
        <v>6.333333333</v>
      </c>
      <c r="CW215" s="179">
        <f>IFERROR(__xludf.DUMMYFUNCTION("""COMPUTED_VALUE"""),4.0)</f>
        <v>4</v>
      </c>
      <c r="CX215" s="179">
        <f>IFERROR(__xludf.DUMMYFUNCTION("""COMPUTED_VALUE"""),2.0)</f>
        <v>2</v>
      </c>
      <c r="CY215" s="16" t="str">
        <f>IFERROR(__xludf.DUMMYFUNCTION("""COMPUTED_VALUE"""),"SP")</f>
        <v>SP</v>
      </c>
      <c r="CZ215" s="16" t="str">
        <f>IFERROR(__xludf.DUMMYFUNCTION("""COMPUTED_VALUE"""),"RP")</f>
        <v>RP</v>
      </c>
      <c r="DA215" s="16"/>
      <c r="DB215" s="16"/>
      <c r="DC215" s="16"/>
      <c r="DD215" s="16"/>
      <c r="DE215" s="16"/>
      <c r="DF215" s="16"/>
      <c r="DG215" s="16"/>
      <c r="DH215" s="16"/>
      <c r="DI215" s="16"/>
      <c r="DJ215" s="16"/>
      <c r="DK215" s="16"/>
    </row>
    <row r="216">
      <c r="A216" s="16">
        <f>IFERROR(__xludf.DUMMYFUNCTION("""COMPUTED_VALUE"""),13418.0)</f>
        <v>13418</v>
      </c>
      <c r="B216" s="16" t="str">
        <f>IFERROR(__xludf.DUMMYFUNCTION("""COMPUTED_VALUE"""),"Tobias Myers")</f>
        <v>Tobias Myers</v>
      </c>
      <c r="C216" s="153">
        <f>IFERROR(__xludf.DUMMYFUNCTION("""COMPUTED_VALUE"""),0.88)</f>
        <v>0.88</v>
      </c>
      <c r="D216" s="16"/>
      <c r="E216" s="16" t="str">
        <f>IFERROR(__xludf.DUMMYFUNCTION("""COMPUTED_VALUE"""),"R")</f>
        <v>R</v>
      </c>
      <c r="F216" s="16">
        <f>IFERROR(__xludf.DUMMYFUNCTION("""COMPUTED_VALUE"""),138.0)</f>
        <v>138</v>
      </c>
      <c r="G216" s="16">
        <f>IFERROR(__xludf.DUMMYFUNCTION("""COMPUTED_VALUE"""),17.0)</f>
        <v>17</v>
      </c>
      <c r="H216" s="16">
        <f>IFERROR(__xludf.DUMMYFUNCTION("""COMPUTED_VALUE"""),31.0)</f>
        <v>31</v>
      </c>
      <c r="I216" s="16">
        <f>IFERROR(__xludf.DUMMYFUNCTION("""COMPUTED_VALUE"""),-1.0)</f>
        <v>-1</v>
      </c>
      <c r="J216" s="16">
        <f>IFERROR(__xludf.DUMMYFUNCTION("""COMPUTED_VALUE"""),0.0)</f>
        <v>0</v>
      </c>
      <c r="K216" s="16">
        <f>IFERROR(__xludf.DUMMYFUNCTION("""COMPUTED_VALUE"""),-3.0)</f>
        <v>-3</v>
      </c>
      <c r="L216" s="16">
        <f>IFERROR(__xludf.DUMMYFUNCTION("""COMPUTED_VALUE"""),0.0)</f>
        <v>0</v>
      </c>
      <c r="M216" s="16">
        <f>IFERROR(__xludf.DUMMYFUNCTION("""COMPUTED_VALUE"""),8.0)</f>
        <v>8</v>
      </c>
      <c r="N216" s="16">
        <f>IFERROR(__xludf.DUMMYFUNCTION("""COMPUTED_VALUE"""),2.0)</f>
        <v>2</v>
      </c>
      <c r="O216" s="16">
        <f>IFERROR(__xludf.DUMMYFUNCTION("""COMPUTED_VALUE"""),0.0)</f>
        <v>0</v>
      </c>
      <c r="P216" s="16">
        <f>IFERROR(__xludf.DUMMYFUNCTION("""COMPUTED_VALUE"""),3.0)</f>
        <v>3</v>
      </c>
      <c r="Q216" s="16">
        <f>IFERROR(__xludf.DUMMYFUNCTION("""COMPUTED_VALUE"""),0.0)</f>
        <v>0</v>
      </c>
      <c r="R216" s="16">
        <f>IFERROR(__xludf.DUMMYFUNCTION("""COMPUTED_VALUE"""),3.0)</f>
        <v>3</v>
      </c>
      <c r="S216" s="16">
        <f>IFERROR(__xludf.DUMMYFUNCTION("""COMPUTED_VALUE"""),22.7)</f>
        <v>22.7</v>
      </c>
      <c r="T216" s="16">
        <f>IFERROR(__xludf.DUMMYFUNCTION("""COMPUTED_VALUE"""),16.8)</f>
        <v>16.8</v>
      </c>
      <c r="U216" s="16">
        <f>IFERROR(__xludf.DUMMYFUNCTION("""COMPUTED_VALUE"""),-1.0)</f>
        <v>-1</v>
      </c>
      <c r="V216" s="16">
        <f>IFERROR(__xludf.DUMMYFUNCTION("""COMPUTED_VALUE"""),0.0)</f>
        <v>0</v>
      </c>
      <c r="W216" s="16">
        <f>IFERROR(__xludf.DUMMYFUNCTION("""COMPUTED_VALUE"""),-2.0)</f>
        <v>-2</v>
      </c>
      <c r="X216" s="16">
        <f>IFERROR(__xludf.DUMMYFUNCTION("""COMPUTED_VALUE"""),0.0)</f>
        <v>0</v>
      </c>
      <c r="Y216" s="16">
        <f>IFERROR(__xludf.DUMMYFUNCTION("""COMPUTED_VALUE"""),30.7)</f>
        <v>30.7</v>
      </c>
      <c r="Z216" s="16">
        <f>IFERROR(__xludf.DUMMYFUNCTION("""COMPUTED_VALUE"""),18.8)</f>
        <v>18.8</v>
      </c>
      <c r="AA216" s="16">
        <f>IFERROR(__xludf.DUMMYFUNCTION("""COMPUTED_VALUE"""),-1.0)</f>
        <v>-1</v>
      </c>
      <c r="AB216" s="16">
        <f>IFERROR(__xludf.DUMMYFUNCTION("""COMPUTED_VALUE"""),1.0)</f>
        <v>1</v>
      </c>
      <c r="AC216" s="16">
        <f>IFERROR(__xludf.DUMMYFUNCTION("""COMPUTED_VALUE"""),-5.0)</f>
        <v>-5</v>
      </c>
      <c r="AD216" s="16">
        <f>IFERROR(__xludf.DUMMYFUNCTION("""COMPUTED_VALUE"""),5.0)</f>
        <v>5</v>
      </c>
      <c r="AE216" s="16">
        <f>IFERROR(__xludf.DUMMYFUNCTION("""COMPUTED_VALUE"""),30.4)</f>
        <v>30.4</v>
      </c>
      <c r="AF216" s="16">
        <f>IFERROR(__xludf.DUMMYFUNCTION("""COMPUTED_VALUE"""),28.6)</f>
        <v>28.6</v>
      </c>
      <c r="AG216" s="16">
        <f>IFERROR(__xludf.DUMMYFUNCTION("""COMPUTED_VALUE"""),0.0)</f>
        <v>0</v>
      </c>
      <c r="AH216" s="16">
        <f>IFERROR(__xludf.DUMMYFUNCTION("""COMPUTED_VALUE"""),0.0)</f>
        <v>0</v>
      </c>
      <c r="AI216" s="16">
        <f>IFERROR(__xludf.DUMMYFUNCTION("""COMPUTED_VALUE"""),0.0)</f>
        <v>0</v>
      </c>
      <c r="AJ216" s="16">
        <f>IFERROR(__xludf.DUMMYFUNCTION("""COMPUTED_VALUE"""),0.0)</f>
        <v>0</v>
      </c>
      <c r="AK216" s="16">
        <f>IFERROR(__xludf.DUMMYFUNCTION("""COMPUTED_VALUE"""),20.5)</f>
        <v>20.5</v>
      </c>
      <c r="AL216" s="16">
        <f>IFERROR(__xludf.DUMMYFUNCTION("""COMPUTED_VALUE"""),14.4)</f>
        <v>14.4</v>
      </c>
      <c r="AM216" s="16">
        <f>IFERROR(__xludf.DUMMYFUNCTION("""COMPUTED_VALUE"""),-1.0)</f>
        <v>-1</v>
      </c>
      <c r="AN216" s="16">
        <f>IFERROR(__xludf.DUMMYFUNCTION("""COMPUTED_VALUE"""),0.0)</f>
        <v>0</v>
      </c>
      <c r="AO216" s="16">
        <f>IFERROR(__xludf.DUMMYFUNCTION("""COMPUTED_VALUE"""),-1.0)</f>
        <v>-1</v>
      </c>
      <c r="AP216" s="16">
        <f>IFERROR(__xludf.DUMMYFUNCTION("""COMPUTED_VALUE"""),0.0)</f>
        <v>0</v>
      </c>
      <c r="AQ216" s="16">
        <f>IFERROR(__xludf.DUMMYFUNCTION("""COMPUTED_VALUE"""),21.599999999999998)</f>
        <v>21.6</v>
      </c>
      <c r="AR216" s="16">
        <f>IFERROR(__xludf.DUMMYFUNCTION("""COMPUTED_VALUE"""),19.0)</f>
        <v>19</v>
      </c>
      <c r="AS216" s="16">
        <f>IFERROR(__xludf.DUMMYFUNCTION("""COMPUTED_VALUE"""),0.0)</f>
        <v>0</v>
      </c>
      <c r="AT216" s="16">
        <f>IFERROR(__xludf.DUMMYFUNCTION("""COMPUTED_VALUE"""),0.0)</f>
        <v>0</v>
      </c>
      <c r="AU216" s="16">
        <f>IFERROR(__xludf.DUMMYFUNCTION("""COMPUTED_VALUE"""),0.0)</f>
        <v>0</v>
      </c>
      <c r="AV216" s="16">
        <f>IFERROR(__xludf.DUMMYFUNCTION("""COMPUTED_VALUE"""),0.0)</f>
        <v>0</v>
      </c>
      <c r="AW216" s="16">
        <f>IFERROR(__xludf.DUMMYFUNCTION("""COMPUTED_VALUE"""),2.2)</f>
        <v>2.2</v>
      </c>
      <c r="AX216" s="16">
        <f>IFERROR(__xludf.DUMMYFUNCTION("""COMPUTED_VALUE"""),2.4)</f>
        <v>2.4</v>
      </c>
      <c r="AY216" s="16">
        <f>IFERROR(__xludf.DUMMYFUNCTION("""COMPUTED_VALUE"""),0.0)</f>
        <v>0</v>
      </c>
      <c r="AZ216" s="16">
        <f>IFERROR(__xludf.DUMMYFUNCTION("""COMPUTED_VALUE"""),0.0)</f>
        <v>0</v>
      </c>
      <c r="BA216" s="16">
        <f>IFERROR(__xludf.DUMMYFUNCTION("""COMPUTED_VALUE"""),0.0)</f>
        <v>0</v>
      </c>
      <c r="BB216" s="16">
        <f>IFERROR(__xludf.DUMMYFUNCTION("""COMPUTED_VALUE"""),0.0)</f>
        <v>0</v>
      </c>
      <c r="BC216" s="16">
        <f>IFERROR(__xludf.DUMMYFUNCTION("""COMPUTED_VALUE"""),2.0)</f>
        <v>2</v>
      </c>
      <c r="BD216" s="16">
        <f>IFERROR(__xludf.DUMMYFUNCTION("""COMPUTED_VALUE"""),3.0)</f>
        <v>3</v>
      </c>
      <c r="BE216" s="16">
        <f>IFERROR(__xludf.DUMMYFUNCTION("""COMPUTED_VALUE"""),2.0)</f>
        <v>2</v>
      </c>
      <c r="BF216" s="16">
        <f>IFERROR(__xludf.DUMMYFUNCTION("""COMPUTED_VALUE"""),3.0)</f>
        <v>3</v>
      </c>
      <c r="BG216" s="16">
        <f>IFERROR(__xludf.DUMMYFUNCTION("""COMPUTED_VALUE"""),1.0)</f>
        <v>1</v>
      </c>
      <c r="BH216" s="16">
        <f>IFERROR(__xludf.DUMMYFUNCTION("""COMPUTED_VALUE"""),0.0)</f>
        <v>0</v>
      </c>
      <c r="BI216" s="16">
        <f>IFERROR(__xludf.DUMMYFUNCTION("""COMPUTED_VALUE"""),2.0)</f>
        <v>2</v>
      </c>
      <c r="BJ216" s="16">
        <f>IFERROR(__xludf.DUMMYFUNCTION("""COMPUTED_VALUE"""),0.0)</f>
        <v>0</v>
      </c>
      <c r="BK216" s="16">
        <f>IFERROR(__xludf.DUMMYFUNCTION("""COMPUTED_VALUE"""),5.0)</f>
        <v>5</v>
      </c>
      <c r="BL216" s="16">
        <f>IFERROR(__xludf.DUMMYFUNCTION("""COMPUTED_VALUE"""),5.0)</f>
        <v>5</v>
      </c>
      <c r="BM216" s="16">
        <f>IFERROR(__xludf.DUMMYFUNCTION("""COMPUTED_VALUE"""),0.0)</f>
        <v>0</v>
      </c>
      <c r="BN216" s="16">
        <f>IFERROR(__xludf.DUMMYFUNCTION("""COMPUTED_VALUE"""),0.0)</f>
        <v>0</v>
      </c>
      <c r="BO216" s="16">
        <f>IFERROR(__xludf.DUMMYFUNCTION("""COMPUTED_VALUE"""),0.0)</f>
        <v>0</v>
      </c>
      <c r="BP216" s="16">
        <f>IFERROR(__xludf.DUMMYFUNCTION("""COMPUTED_VALUE"""),0.0)</f>
        <v>0</v>
      </c>
      <c r="BQ216" s="16">
        <f>IFERROR(__xludf.DUMMYFUNCTION("""COMPUTED_VALUE"""),6.0)</f>
        <v>6</v>
      </c>
      <c r="BR216" s="16">
        <f>IFERROR(__xludf.DUMMYFUNCTION("""COMPUTED_VALUE"""),7.0)</f>
        <v>7</v>
      </c>
      <c r="BS216" s="16">
        <f>IFERROR(__xludf.DUMMYFUNCTION("""COMPUTED_VALUE"""),1.0)</f>
        <v>1</v>
      </c>
      <c r="BT216" s="16">
        <f>IFERROR(__xludf.DUMMYFUNCTION("""COMPUTED_VALUE"""),2.0)</f>
        <v>2</v>
      </c>
      <c r="BU216" s="16">
        <f>IFERROR(__xludf.DUMMYFUNCTION("""COMPUTED_VALUE"""),2.0)</f>
        <v>2</v>
      </c>
      <c r="BV216" s="16">
        <f>IFERROR(__xludf.DUMMYFUNCTION("""COMPUTED_VALUE"""),4.0)</f>
        <v>4</v>
      </c>
      <c r="BW216" s="16">
        <f>IFERROR(__xludf.DUMMYFUNCTION("""COMPUTED_VALUE"""),-2.0)</f>
        <v>-2</v>
      </c>
      <c r="BX216" s="16">
        <f>IFERROR(__xludf.DUMMYFUNCTION("""COMPUTED_VALUE"""),-2.0)</f>
        <v>-2</v>
      </c>
      <c r="BY216" s="16" t="str">
        <f>IFERROR(__xludf.DUMMYFUNCTION("""COMPUTED_VALUE"""),"S(5) R(3)")</f>
        <v>S(5) R(3)</v>
      </c>
      <c r="BZ216" s="16" t="str">
        <f>IFERROR(__xludf.DUMMYFUNCTION("""COMPUTED_VALUE"""),"S(5) R(3)")</f>
        <v>S(5) R(3)</v>
      </c>
      <c r="CA216" s="16" t="str">
        <f>IFERROR(__xludf.DUMMYFUNCTION("""COMPUTED_VALUE"""),"S(5)")</f>
        <v>S(5)</v>
      </c>
      <c r="CB216" s="16" t="str">
        <f>IFERROR(__xludf.DUMMYFUNCTION("""COMPUTED_VALUE"""),"R(3)")</f>
        <v>R(3)</v>
      </c>
      <c r="CC216" s="16"/>
      <c r="CD216" s="16">
        <f>IFERROR(__xludf.DUMMYFUNCTION("""COMPUTED_VALUE"""),5.0)</f>
        <v>5</v>
      </c>
      <c r="CE216" s="16">
        <f>IFERROR(__xludf.DUMMYFUNCTION("""COMPUTED_VALUE"""),3.0)</f>
        <v>3</v>
      </c>
      <c r="CF216" s="16"/>
      <c r="CG216" s="16" t="str">
        <f>IFERROR(__xludf.DUMMYFUNCTION("""COMPUTED_VALUE"""),"3-31")</f>
        <v>3-31</v>
      </c>
      <c r="CH216" s="16">
        <f>IFERROR(__xludf.DUMMYFUNCTION("""COMPUTED_VALUE"""),3.0)</f>
        <v>3</v>
      </c>
      <c r="CI216" s="16">
        <f>IFERROR(__xludf.DUMMYFUNCTION("""COMPUTED_VALUE"""),31.0)</f>
        <v>31</v>
      </c>
      <c r="CJ216" s="16">
        <f>IFERROR(__xludf.DUMMYFUNCTION("""COMPUTED_VALUE"""),14.0)</f>
        <v>14</v>
      </c>
      <c r="CK216" s="16">
        <f>IFERROR(__xludf.DUMMYFUNCTION("""COMPUTED_VALUE"""),6.0)</f>
        <v>6</v>
      </c>
      <c r="CL216" s="16" t="str">
        <f>IFERROR(__xludf.DUMMYFUNCTION("""COMPUTED_VALUE"""),"1WR-C")</f>
        <v>1WR-C</v>
      </c>
      <c r="CM216" s="16" t="str">
        <f>IFERROR(__xludf.DUMMYFUNCTION("""COMPUTED_VALUE"""),"E")</f>
        <v>E</v>
      </c>
      <c r="CN216" s="16">
        <f>IFERROR(__xludf.DUMMYFUNCTION("""COMPUTED_VALUE"""),10.0)</f>
        <v>10</v>
      </c>
      <c r="CO216" s="16" t="str">
        <f>IFERROR(__xludf.DUMMYFUNCTION("""COMPUTED_VALUE"""),"C")</f>
        <v>C</v>
      </c>
      <c r="CP216" s="16" t="str">
        <f>IFERROR(__xludf.DUMMYFUNCTION("""COMPUTED_VALUE"""),"1p70")</f>
        <v>1p70</v>
      </c>
      <c r="CQ216" s="16">
        <f>IFERROR(__xludf.DUMMYFUNCTION("""COMPUTED_VALUE"""),-7.0)</f>
        <v>-7</v>
      </c>
      <c r="CR216" s="16">
        <f>IFERROR(__xludf.DUMMYFUNCTION("""COMPUTED_VALUE"""),12.0)</f>
        <v>12</v>
      </c>
      <c r="CS216" s="16">
        <f>IFERROR(__xludf.DUMMYFUNCTION("""COMPUTED_VALUE"""),5.0)</f>
        <v>5</v>
      </c>
      <c r="CT216" s="16">
        <f>IFERROR(__xludf.DUMMYFUNCTION("""COMPUTED_VALUE"""),-7.0)</f>
        <v>-7</v>
      </c>
      <c r="CU216" s="16">
        <f>IFERROR(__xludf.DUMMYFUNCTION("""COMPUTED_VALUE"""),12.0)</f>
        <v>12</v>
      </c>
      <c r="CV216" s="179">
        <f>IFERROR(__xludf.DUMMYFUNCTION("""COMPUTED_VALUE"""),6.333333333333333)</f>
        <v>6.333333333</v>
      </c>
      <c r="CW216" s="179">
        <f>IFERROR(__xludf.DUMMYFUNCTION("""COMPUTED_VALUE"""),4.0)</f>
        <v>4</v>
      </c>
      <c r="CX216" s="179">
        <f>IFERROR(__xludf.DUMMYFUNCTION("""COMPUTED_VALUE"""),3.0)</f>
        <v>3</v>
      </c>
      <c r="CY216" s="16" t="str">
        <f>IFERROR(__xludf.DUMMYFUNCTION("""COMPUTED_VALUE"""),"SP")</f>
        <v>SP</v>
      </c>
      <c r="CZ216" s="16" t="str">
        <f>IFERROR(__xludf.DUMMYFUNCTION("""COMPUTED_VALUE"""),"RP")</f>
        <v>RP</v>
      </c>
      <c r="DA216" s="16"/>
      <c r="DB216" s="16"/>
      <c r="DC216" s="16"/>
      <c r="DD216" s="16"/>
      <c r="DE216" s="16"/>
      <c r="DF216" s="16"/>
      <c r="DG216" s="16"/>
      <c r="DH216" s="16"/>
      <c r="DI216" s="16"/>
      <c r="DJ216" s="16"/>
      <c r="DK216" s="16"/>
    </row>
    <row r="217">
      <c r="A217" s="16">
        <f>IFERROR(__xludf.DUMMYFUNCTION("""COMPUTED_VALUE"""),12691.0)</f>
        <v>12691</v>
      </c>
      <c r="B217" s="16" t="str">
        <f>IFERROR(__xludf.DUMMYFUNCTION("""COMPUTED_VALUE"""),"Clarke Schmidt")</f>
        <v>Clarke Schmidt</v>
      </c>
      <c r="C217" s="153">
        <f>IFERROR(__xludf.DUMMYFUNCTION("""COMPUTED_VALUE"""),1.76)</f>
        <v>1.76</v>
      </c>
      <c r="D217" s="16"/>
      <c r="E217" s="16" t="str">
        <f>IFERROR(__xludf.DUMMYFUNCTION("""COMPUTED_VALUE"""),"R")</f>
        <v>R</v>
      </c>
      <c r="F217" s="16">
        <f>IFERROR(__xludf.DUMMYFUNCTION("""COMPUTED_VALUE"""),85.0)</f>
        <v>85</v>
      </c>
      <c r="G217" s="16">
        <f>IFERROR(__xludf.DUMMYFUNCTION("""COMPUTED_VALUE"""),44.0)</f>
        <v>44</v>
      </c>
      <c r="H217" s="16">
        <f>IFERROR(__xludf.DUMMYFUNCTION("""COMPUTED_VALUE"""),22.0)</f>
        <v>22</v>
      </c>
      <c r="I217" s="16">
        <f>IFERROR(__xludf.DUMMYFUNCTION("""COMPUTED_VALUE"""),2.0)</f>
        <v>2</v>
      </c>
      <c r="J217" s="16">
        <f>IFERROR(__xludf.DUMMYFUNCTION("""COMPUTED_VALUE"""),-1.0)</f>
        <v>-1</v>
      </c>
      <c r="K217" s="16">
        <f>IFERROR(__xludf.DUMMYFUNCTION("""COMPUTED_VALUE"""),6.0)</f>
        <v>6</v>
      </c>
      <c r="L217" s="16">
        <f>IFERROR(__xludf.DUMMYFUNCTION("""COMPUTED_VALUE"""),-3.0)</f>
        <v>-3</v>
      </c>
      <c r="M217" s="16">
        <f>IFERROR(__xludf.DUMMYFUNCTION("""COMPUTED_VALUE"""),11.0)</f>
        <v>11</v>
      </c>
      <c r="N217" s="16">
        <f>IFERROR(__xludf.DUMMYFUNCTION("""COMPUTED_VALUE"""),10.0)</f>
        <v>10</v>
      </c>
      <c r="O217" s="16">
        <f>IFERROR(__xludf.DUMMYFUNCTION("""COMPUTED_VALUE"""),-1.0)</f>
        <v>-1</v>
      </c>
      <c r="P217" s="16">
        <f>IFERROR(__xludf.DUMMYFUNCTION("""COMPUTED_VALUE"""),-1.0)</f>
        <v>-1</v>
      </c>
      <c r="Q217" s="16">
        <f>IFERROR(__xludf.DUMMYFUNCTION("""COMPUTED_VALUE"""),-1.0)</f>
        <v>-1</v>
      </c>
      <c r="R217" s="16">
        <f>IFERROR(__xludf.DUMMYFUNCTION("""COMPUTED_VALUE"""),-1.0)</f>
        <v>-1</v>
      </c>
      <c r="S217" s="16">
        <f>IFERROR(__xludf.DUMMYFUNCTION("""COMPUTED_VALUE"""),16.0)</f>
        <v>16</v>
      </c>
      <c r="T217" s="16">
        <f>IFERROR(__xludf.DUMMYFUNCTION("""COMPUTED_VALUE"""),14.1)</f>
        <v>14.1</v>
      </c>
      <c r="U217" s="16">
        <f>IFERROR(__xludf.DUMMYFUNCTION("""COMPUTED_VALUE"""),0.0)</f>
        <v>0</v>
      </c>
      <c r="V217" s="16">
        <f>IFERROR(__xludf.DUMMYFUNCTION("""COMPUTED_VALUE"""),0.0)</f>
        <v>0</v>
      </c>
      <c r="W217" s="16">
        <f>IFERROR(__xludf.DUMMYFUNCTION("""COMPUTED_VALUE"""),0.0)</f>
        <v>0</v>
      </c>
      <c r="X217" s="16">
        <f>IFERROR(__xludf.DUMMYFUNCTION("""COMPUTED_VALUE"""),0.0)</f>
        <v>0</v>
      </c>
      <c r="Y217" s="16">
        <f>IFERROR(__xludf.DUMMYFUNCTION("""COMPUTED_VALUE"""),27.0)</f>
        <v>27</v>
      </c>
      <c r="Z217" s="16">
        <f>IFERROR(__xludf.DUMMYFUNCTION("""COMPUTED_VALUE"""),24.1)</f>
        <v>24.1</v>
      </c>
      <c r="AA217" s="16">
        <f>IFERROR(__xludf.DUMMYFUNCTION("""COMPUTED_VALUE"""),0.0)</f>
        <v>0</v>
      </c>
      <c r="AB217" s="16">
        <f>IFERROR(__xludf.DUMMYFUNCTION("""COMPUTED_VALUE"""),0.0)</f>
        <v>0</v>
      </c>
      <c r="AC217" s="16">
        <f>IFERROR(__xludf.DUMMYFUNCTION("""COMPUTED_VALUE"""),0.0)</f>
        <v>0</v>
      </c>
      <c r="AD217" s="16">
        <f>IFERROR(__xludf.DUMMYFUNCTION("""COMPUTED_VALUE"""),0.0)</f>
        <v>0</v>
      </c>
      <c r="AE217" s="16">
        <f>IFERROR(__xludf.DUMMYFUNCTION("""COMPUTED_VALUE"""),23.3)</f>
        <v>23.3</v>
      </c>
      <c r="AF217" s="16">
        <f>IFERROR(__xludf.DUMMYFUNCTION("""COMPUTED_VALUE"""),24.4)</f>
        <v>24.4</v>
      </c>
      <c r="AG217" s="16">
        <f>IFERROR(__xludf.DUMMYFUNCTION("""COMPUTED_VALUE"""),0.0)</f>
        <v>0</v>
      </c>
      <c r="AH217" s="16">
        <f>IFERROR(__xludf.DUMMYFUNCTION("""COMPUTED_VALUE"""),0.0)</f>
        <v>0</v>
      </c>
      <c r="AI217" s="16">
        <f>IFERROR(__xludf.DUMMYFUNCTION("""COMPUTED_VALUE"""),0.0)</f>
        <v>0</v>
      </c>
      <c r="AJ217" s="16">
        <f>IFERROR(__xludf.DUMMYFUNCTION("""COMPUTED_VALUE"""),0.0)</f>
        <v>0</v>
      </c>
      <c r="AK217" s="16">
        <f>IFERROR(__xludf.DUMMYFUNCTION("""COMPUTED_VALUE"""),14.0)</f>
        <v>14</v>
      </c>
      <c r="AL217" s="16">
        <f>IFERROR(__xludf.DUMMYFUNCTION("""COMPUTED_VALUE"""),13.299999999999999)</f>
        <v>13.3</v>
      </c>
      <c r="AM217" s="16">
        <f>IFERROR(__xludf.DUMMYFUNCTION("""COMPUTED_VALUE"""),0.0)</f>
        <v>0</v>
      </c>
      <c r="AN217" s="16">
        <f>IFERROR(__xludf.DUMMYFUNCTION("""COMPUTED_VALUE"""),0.0)</f>
        <v>0</v>
      </c>
      <c r="AO217" s="16">
        <f>IFERROR(__xludf.DUMMYFUNCTION("""COMPUTED_VALUE"""),0.0)</f>
        <v>0</v>
      </c>
      <c r="AP217" s="16">
        <f>IFERROR(__xludf.DUMMYFUNCTION("""COMPUTED_VALUE"""),0.0)</f>
        <v>0</v>
      </c>
      <c r="AQ217" s="16">
        <f>IFERROR(__xludf.DUMMYFUNCTION("""COMPUTED_VALUE"""),15.3)</f>
        <v>15.3</v>
      </c>
      <c r="AR217" s="16">
        <f>IFERROR(__xludf.DUMMYFUNCTION("""COMPUTED_VALUE"""),21.2)</f>
        <v>21.2</v>
      </c>
      <c r="AS217" s="16">
        <f>IFERROR(__xludf.DUMMYFUNCTION("""COMPUTED_VALUE"""),1.0)</f>
        <v>1</v>
      </c>
      <c r="AT217" s="16">
        <f>IFERROR(__xludf.DUMMYFUNCTION("""COMPUTED_VALUE"""),0.0)</f>
        <v>0</v>
      </c>
      <c r="AU217" s="16">
        <f>IFERROR(__xludf.DUMMYFUNCTION("""COMPUTED_VALUE"""),2.0)</f>
        <v>2</v>
      </c>
      <c r="AV217" s="16">
        <f>IFERROR(__xludf.DUMMYFUNCTION("""COMPUTED_VALUE"""),0.0)</f>
        <v>0</v>
      </c>
      <c r="AW217" s="16">
        <f>IFERROR(__xludf.DUMMYFUNCTION("""COMPUTED_VALUE"""),2.0)</f>
        <v>2</v>
      </c>
      <c r="AX217" s="16">
        <f>IFERROR(__xludf.DUMMYFUNCTION("""COMPUTED_VALUE"""),0.8)</f>
        <v>0.8</v>
      </c>
      <c r="AY217" s="16">
        <f>IFERROR(__xludf.DUMMYFUNCTION("""COMPUTED_VALUE"""),0.0)</f>
        <v>0</v>
      </c>
      <c r="AZ217" s="16">
        <f>IFERROR(__xludf.DUMMYFUNCTION("""COMPUTED_VALUE"""),1.0)</f>
        <v>1</v>
      </c>
      <c r="BA217" s="16">
        <f>IFERROR(__xludf.DUMMYFUNCTION("""COMPUTED_VALUE"""),0.0)</f>
        <v>0</v>
      </c>
      <c r="BB217" s="16">
        <f>IFERROR(__xludf.DUMMYFUNCTION("""COMPUTED_VALUE"""),5.0)</f>
        <v>5</v>
      </c>
      <c r="BC217" s="16">
        <f>IFERROR(__xludf.DUMMYFUNCTION("""COMPUTED_VALUE"""),1.0)</f>
        <v>1</v>
      </c>
      <c r="BD217" s="16">
        <f>IFERROR(__xludf.DUMMYFUNCTION("""COMPUTED_VALUE"""),0.0)</f>
        <v>0</v>
      </c>
      <c r="BE217" s="16">
        <f>IFERROR(__xludf.DUMMYFUNCTION("""COMPUTED_VALUE"""),1.0)</f>
        <v>1</v>
      </c>
      <c r="BF217" s="16">
        <f>IFERROR(__xludf.DUMMYFUNCTION("""COMPUTED_VALUE"""),0.0)</f>
        <v>0</v>
      </c>
      <c r="BG217" s="16">
        <f>IFERROR(__xludf.DUMMYFUNCTION("""COMPUTED_VALUE"""),2.0)</f>
        <v>2</v>
      </c>
      <c r="BH217" s="16">
        <f>IFERROR(__xludf.DUMMYFUNCTION("""COMPUTED_VALUE"""),2.0)</f>
        <v>2</v>
      </c>
      <c r="BI217" s="16">
        <f>IFERROR(__xludf.DUMMYFUNCTION("""COMPUTED_VALUE"""),4.0)</f>
        <v>4</v>
      </c>
      <c r="BJ217" s="16">
        <f>IFERROR(__xludf.DUMMYFUNCTION("""COMPUTED_VALUE"""),4.0)</f>
        <v>4</v>
      </c>
      <c r="BK217" s="16">
        <f>IFERROR(__xludf.DUMMYFUNCTION("""COMPUTED_VALUE"""),5.0)</f>
        <v>5</v>
      </c>
      <c r="BL217" s="16">
        <f>IFERROR(__xludf.DUMMYFUNCTION("""COMPUTED_VALUE"""),5.0)</f>
        <v>5</v>
      </c>
      <c r="BM217" s="16">
        <f>IFERROR(__xludf.DUMMYFUNCTION("""COMPUTED_VALUE"""),0.0)</f>
        <v>0</v>
      </c>
      <c r="BN217" s="16">
        <f>IFERROR(__xludf.DUMMYFUNCTION("""COMPUTED_VALUE"""),0.0)</f>
        <v>0</v>
      </c>
      <c r="BO217" s="16">
        <f>IFERROR(__xludf.DUMMYFUNCTION("""COMPUTED_VALUE"""),0.0)</f>
        <v>0</v>
      </c>
      <c r="BP217" s="16">
        <f>IFERROR(__xludf.DUMMYFUNCTION("""COMPUTED_VALUE"""),0.0)</f>
        <v>0</v>
      </c>
      <c r="BQ217" s="16">
        <f>IFERROR(__xludf.DUMMYFUNCTION("""COMPUTED_VALUE"""),0.0)</f>
        <v>0</v>
      </c>
      <c r="BR217" s="16">
        <f>IFERROR(__xludf.DUMMYFUNCTION("""COMPUTED_VALUE"""),8.0)</f>
        <v>8</v>
      </c>
      <c r="BS217" s="16">
        <f>IFERROR(__xludf.DUMMYFUNCTION("""COMPUTED_VALUE"""),-3.0)</f>
        <v>-3</v>
      </c>
      <c r="BT217" s="16">
        <f>IFERROR(__xludf.DUMMYFUNCTION("""COMPUTED_VALUE"""),2.0)</f>
        <v>2</v>
      </c>
      <c r="BU217" s="16">
        <f>IFERROR(__xludf.DUMMYFUNCTION("""COMPUTED_VALUE"""),-6.0)</f>
        <v>-6</v>
      </c>
      <c r="BV217" s="16">
        <f>IFERROR(__xludf.DUMMYFUNCTION("""COMPUTED_VALUE"""),4.0)</f>
        <v>4</v>
      </c>
      <c r="BW217" s="16">
        <f>IFERROR(__xludf.DUMMYFUNCTION("""COMPUTED_VALUE"""),-2.0)</f>
        <v>-2</v>
      </c>
      <c r="BX217" s="16">
        <f>IFERROR(__xludf.DUMMYFUNCTION("""COMPUTED_VALUE"""),-2.0)</f>
        <v>-2</v>
      </c>
      <c r="BY217" s="16" t="str">
        <f>IFERROR(__xludf.DUMMYFUNCTION("""COMPUTED_VALUE"""),"S(5)")</f>
        <v>S(5)</v>
      </c>
      <c r="BZ217" s="16" t="str">
        <f>IFERROR(__xludf.DUMMYFUNCTION("""COMPUTED_VALUE"""),"S(5)")</f>
        <v>S(5)</v>
      </c>
      <c r="CA217" s="16" t="str">
        <f>IFERROR(__xludf.DUMMYFUNCTION("""COMPUTED_VALUE"""),"S(5)")</f>
        <v>S(5)</v>
      </c>
      <c r="CB217" s="16"/>
      <c r="CC217" s="16"/>
      <c r="CD217" s="16">
        <f>IFERROR(__xludf.DUMMYFUNCTION("""COMPUTED_VALUE"""),5.0)</f>
        <v>5</v>
      </c>
      <c r="CE217" s="16"/>
      <c r="CF217" s="16"/>
      <c r="CG217" s="16" t="str">
        <f>IFERROR(__xludf.DUMMYFUNCTION("""COMPUTED_VALUE"""),"3-17")</f>
        <v>3-17</v>
      </c>
      <c r="CH217" s="16">
        <f>IFERROR(__xludf.DUMMYFUNCTION("""COMPUTED_VALUE"""),3.0)</f>
        <v>3</v>
      </c>
      <c r="CI217" s="16">
        <f>IFERROR(__xludf.DUMMYFUNCTION("""COMPUTED_VALUE"""),17.0)</f>
        <v>17</v>
      </c>
      <c r="CJ217" s="16">
        <f>IFERROR(__xludf.DUMMYFUNCTION("""COMPUTED_VALUE"""),0.0)</f>
        <v>0</v>
      </c>
      <c r="CK217" s="16">
        <f>IFERROR(__xludf.DUMMYFUNCTION("""COMPUTED_VALUE"""),5.0)</f>
        <v>5</v>
      </c>
      <c r="CL217" s="16" t="str">
        <f>IFERROR(__xludf.DUMMYFUNCTION("""COMPUTED_VALUE"""),"1WR-C")</f>
        <v>1WR-C</v>
      </c>
      <c r="CM217" s="16" t="str">
        <f>IFERROR(__xludf.DUMMYFUNCTION("""COMPUTED_VALUE"""),"E")</f>
        <v>E</v>
      </c>
      <c r="CN217" s="16">
        <f>IFERROR(__xludf.DUMMYFUNCTION("""COMPUTED_VALUE"""),10.0)</f>
        <v>10</v>
      </c>
      <c r="CO217" s="16" t="str">
        <f>IFERROR(__xludf.DUMMYFUNCTION("""COMPUTED_VALUE"""),"C")</f>
        <v>C</v>
      </c>
      <c r="CP217" s="16" t="str">
        <f>IFERROR(__xludf.DUMMYFUNCTION("""COMPUTED_VALUE"""),"5p50")</f>
        <v>5p50</v>
      </c>
      <c r="CQ217" s="16">
        <f>IFERROR(__xludf.DUMMYFUNCTION("""COMPUTED_VALUE"""),5.0)</f>
        <v>5</v>
      </c>
      <c r="CR217" s="16">
        <f>IFERROR(__xludf.DUMMYFUNCTION("""COMPUTED_VALUE"""),9.0)</f>
        <v>9</v>
      </c>
      <c r="CS217" s="16">
        <f>IFERROR(__xludf.DUMMYFUNCTION("""COMPUTED_VALUE"""),14.0)</f>
        <v>14</v>
      </c>
      <c r="CT217" s="16">
        <f>IFERROR(__xludf.DUMMYFUNCTION("""COMPUTED_VALUE"""),5.0)</f>
        <v>5</v>
      </c>
      <c r="CU217" s="16">
        <f>IFERROR(__xludf.DUMMYFUNCTION("""COMPUTED_VALUE"""),9.0)</f>
        <v>9</v>
      </c>
      <c r="CV217" s="179">
        <f>IFERROR(__xludf.DUMMYFUNCTION("""COMPUTED_VALUE"""),6.333333333333333)</f>
        <v>6.333333333</v>
      </c>
      <c r="CW217" s="179">
        <f>IFERROR(__xludf.DUMMYFUNCTION("""COMPUTED_VALUE"""),0.0)</f>
        <v>0</v>
      </c>
      <c r="CX217" s="179">
        <f>IFERROR(__xludf.DUMMYFUNCTION("""COMPUTED_VALUE"""),0.0)</f>
        <v>0</v>
      </c>
      <c r="CY217" s="16" t="str">
        <f>IFERROR(__xludf.DUMMYFUNCTION("""COMPUTED_VALUE"""),"SP")</f>
        <v>SP</v>
      </c>
      <c r="CZ217" s="16"/>
      <c r="DA217" s="16"/>
      <c r="DB217" s="16"/>
      <c r="DC217" s="16"/>
      <c r="DD217" s="16"/>
      <c r="DE217" s="16"/>
      <c r="DF217" s="16"/>
      <c r="DG217" s="16"/>
      <c r="DH217" s="16"/>
      <c r="DI217" s="16"/>
      <c r="DJ217" s="16"/>
      <c r="DK217" s="16"/>
    </row>
    <row r="218">
      <c r="A218" s="16">
        <f>IFERROR(__xludf.DUMMYFUNCTION("""COMPUTED_VALUE"""),13522.0)</f>
        <v>13522</v>
      </c>
      <c r="B218" s="16" t="str">
        <f>IFERROR(__xludf.DUMMYFUNCTION("""COMPUTED_VALUE"""),"Zack Littell")</f>
        <v>Zack Littell</v>
      </c>
      <c r="C218" s="153">
        <f>IFERROR(__xludf.DUMMYFUNCTION("""COMPUTED_VALUE"""),0.8)</f>
        <v>0.8</v>
      </c>
      <c r="D218" s="16"/>
      <c r="E218" s="16" t="str">
        <f>IFERROR(__xludf.DUMMYFUNCTION("""COMPUTED_VALUE"""),"R")</f>
        <v>R</v>
      </c>
      <c r="F218" s="16">
        <f>IFERROR(__xludf.DUMMYFUNCTION("""COMPUTED_VALUE"""),156.0)</f>
        <v>156</v>
      </c>
      <c r="G218" s="16">
        <f>IFERROR(__xludf.DUMMYFUNCTION("""COMPUTED_VALUE"""),20.0)</f>
        <v>20</v>
      </c>
      <c r="H218" s="16">
        <f>IFERROR(__xludf.DUMMYFUNCTION("""COMPUTED_VALUE"""),25.0)</f>
        <v>25</v>
      </c>
      <c r="I218" s="16">
        <f>IFERROR(__xludf.DUMMYFUNCTION("""COMPUTED_VALUE"""),-1.0)</f>
        <v>-1</v>
      </c>
      <c r="J218" s="16">
        <f>IFERROR(__xludf.DUMMYFUNCTION("""COMPUTED_VALUE"""),0.0)</f>
        <v>0</v>
      </c>
      <c r="K218" s="16">
        <f>IFERROR(__xludf.DUMMYFUNCTION("""COMPUTED_VALUE"""),-3.0)</f>
        <v>-3</v>
      </c>
      <c r="L218" s="16">
        <f>IFERROR(__xludf.DUMMYFUNCTION("""COMPUTED_VALUE"""),0.0)</f>
        <v>0</v>
      </c>
      <c r="M218" s="16">
        <f>IFERROR(__xludf.DUMMYFUNCTION("""COMPUTED_VALUE"""),2.0)</f>
        <v>2</v>
      </c>
      <c r="N218" s="16">
        <f>IFERROR(__xludf.DUMMYFUNCTION("""COMPUTED_VALUE"""),1.0)</f>
        <v>1</v>
      </c>
      <c r="O218" s="16">
        <f>IFERROR(__xludf.DUMMYFUNCTION("""COMPUTED_VALUE"""),2.0)</f>
        <v>2</v>
      </c>
      <c r="P218" s="16">
        <f>IFERROR(__xludf.DUMMYFUNCTION("""COMPUTED_VALUE"""),3.0)</f>
        <v>3</v>
      </c>
      <c r="Q218" s="16">
        <f>IFERROR(__xludf.DUMMYFUNCTION("""COMPUTED_VALUE"""),2.0)</f>
        <v>2</v>
      </c>
      <c r="R218" s="16">
        <f>IFERROR(__xludf.DUMMYFUNCTION("""COMPUTED_VALUE"""),3.0)</f>
        <v>3</v>
      </c>
      <c r="S218" s="16">
        <f>IFERROR(__xludf.DUMMYFUNCTION("""COMPUTED_VALUE"""),22.2)</f>
        <v>22.2</v>
      </c>
      <c r="T218" s="16">
        <f>IFERROR(__xludf.DUMMYFUNCTION("""COMPUTED_VALUE"""),24.8)</f>
        <v>24.8</v>
      </c>
      <c r="U218" s="16">
        <f>IFERROR(__xludf.DUMMYFUNCTION("""COMPUTED_VALUE"""),-1.0)</f>
        <v>-1</v>
      </c>
      <c r="V218" s="16">
        <f>IFERROR(__xludf.DUMMYFUNCTION("""COMPUTED_VALUE"""),-2.0)</f>
        <v>-2</v>
      </c>
      <c r="W218" s="16">
        <f>IFERROR(__xludf.DUMMYFUNCTION("""COMPUTED_VALUE"""),-2.0)</f>
        <v>-2</v>
      </c>
      <c r="X218" s="16">
        <f>IFERROR(__xludf.DUMMYFUNCTION("""COMPUTED_VALUE"""),-4.0)</f>
        <v>-4</v>
      </c>
      <c r="Y218" s="16">
        <f>IFERROR(__xludf.DUMMYFUNCTION("""COMPUTED_VALUE"""),24.2)</f>
        <v>24.2</v>
      </c>
      <c r="Z218" s="16">
        <f>IFERROR(__xludf.DUMMYFUNCTION("""COMPUTED_VALUE"""),25.8)</f>
        <v>25.8</v>
      </c>
      <c r="AA218" s="16">
        <f>IFERROR(__xludf.DUMMYFUNCTION("""COMPUTED_VALUE"""),0.0)</f>
        <v>0</v>
      </c>
      <c r="AB218" s="16">
        <f>IFERROR(__xludf.DUMMYFUNCTION("""COMPUTED_VALUE"""),0.0)</f>
        <v>0</v>
      </c>
      <c r="AC218" s="16">
        <f>IFERROR(__xludf.DUMMYFUNCTION("""COMPUTED_VALUE"""),0.0)</f>
        <v>0</v>
      </c>
      <c r="AD218" s="16">
        <f>IFERROR(__xludf.DUMMYFUNCTION("""COMPUTED_VALUE"""),0.0)</f>
        <v>0</v>
      </c>
      <c r="AE218" s="16">
        <f>IFERROR(__xludf.DUMMYFUNCTION("""COMPUTED_VALUE"""),32.7)</f>
        <v>32.7</v>
      </c>
      <c r="AF218" s="16">
        <f>IFERROR(__xludf.DUMMYFUNCTION("""COMPUTED_VALUE"""),33.9)</f>
        <v>33.9</v>
      </c>
      <c r="AG218" s="16">
        <f>IFERROR(__xludf.DUMMYFUNCTION("""COMPUTED_VALUE"""),0.0)</f>
        <v>0</v>
      </c>
      <c r="AH218" s="16">
        <f>IFERROR(__xludf.DUMMYFUNCTION("""COMPUTED_VALUE"""),-1.0)</f>
        <v>-1</v>
      </c>
      <c r="AI218" s="16">
        <f>IFERROR(__xludf.DUMMYFUNCTION("""COMPUTED_VALUE"""),0.0)</f>
        <v>0</v>
      </c>
      <c r="AJ218" s="16">
        <f>IFERROR(__xludf.DUMMYFUNCTION("""COMPUTED_VALUE"""),-2.0)</f>
        <v>-2</v>
      </c>
      <c r="AK218" s="16">
        <f>IFERROR(__xludf.DUMMYFUNCTION("""COMPUTED_VALUE"""),20.599999999999998)</f>
        <v>20.6</v>
      </c>
      <c r="AL218" s="16">
        <f>IFERROR(__xludf.DUMMYFUNCTION("""COMPUTED_VALUE"""),22.6)</f>
        <v>22.6</v>
      </c>
      <c r="AM218" s="16">
        <f>IFERROR(__xludf.DUMMYFUNCTION("""COMPUTED_VALUE"""),-1.0)</f>
        <v>-1</v>
      </c>
      <c r="AN218" s="16">
        <f>IFERROR(__xludf.DUMMYFUNCTION("""COMPUTED_VALUE"""),-2.0)</f>
        <v>-2</v>
      </c>
      <c r="AO218" s="16">
        <f>IFERROR(__xludf.DUMMYFUNCTION("""COMPUTED_VALUE"""),-1.0)</f>
        <v>-1</v>
      </c>
      <c r="AP218" s="16">
        <f>IFERROR(__xludf.DUMMYFUNCTION("""COMPUTED_VALUE"""),-2.0)</f>
        <v>-2</v>
      </c>
      <c r="AQ218" s="16">
        <f>IFERROR(__xludf.DUMMYFUNCTION("""COMPUTED_VALUE"""),26.300000000000004)</f>
        <v>26.3</v>
      </c>
      <c r="AR218" s="16">
        <f>IFERROR(__xludf.DUMMYFUNCTION("""COMPUTED_VALUE"""),25.099999999999998)</f>
        <v>25.1</v>
      </c>
      <c r="AS218" s="16">
        <f>IFERROR(__xludf.DUMMYFUNCTION("""COMPUTED_VALUE"""),-1.0)</f>
        <v>-1</v>
      </c>
      <c r="AT218" s="16">
        <f>IFERROR(__xludf.DUMMYFUNCTION("""COMPUTED_VALUE"""),-1.0)</f>
        <v>-1</v>
      </c>
      <c r="AU218" s="16">
        <f>IFERROR(__xludf.DUMMYFUNCTION("""COMPUTED_VALUE"""),-2.0)</f>
        <v>-2</v>
      </c>
      <c r="AV218" s="16">
        <f>IFERROR(__xludf.DUMMYFUNCTION("""COMPUTED_VALUE"""),-2.0)</f>
        <v>-2</v>
      </c>
      <c r="AW218" s="16">
        <f>IFERROR(__xludf.DUMMYFUNCTION("""COMPUTED_VALUE"""),1.6)</f>
        <v>1.6</v>
      </c>
      <c r="AX218" s="16">
        <f>IFERROR(__xludf.DUMMYFUNCTION("""COMPUTED_VALUE"""),2.2)</f>
        <v>2.2</v>
      </c>
      <c r="AY218" s="16">
        <f>IFERROR(__xludf.DUMMYFUNCTION("""COMPUTED_VALUE"""),1.0)</f>
        <v>1</v>
      </c>
      <c r="AZ218" s="16">
        <f>IFERROR(__xludf.DUMMYFUNCTION("""COMPUTED_VALUE"""),0.0)</f>
        <v>0</v>
      </c>
      <c r="BA218" s="16">
        <f>IFERROR(__xludf.DUMMYFUNCTION("""COMPUTED_VALUE"""),5.0)</f>
        <v>5</v>
      </c>
      <c r="BB218" s="16">
        <f>IFERROR(__xludf.DUMMYFUNCTION("""COMPUTED_VALUE"""),0.0)</f>
        <v>0</v>
      </c>
      <c r="BC218" s="16">
        <f>IFERROR(__xludf.DUMMYFUNCTION("""COMPUTED_VALUE"""),3.0)</f>
        <v>3</v>
      </c>
      <c r="BD218" s="16">
        <f>IFERROR(__xludf.DUMMYFUNCTION("""COMPUTED_VALUE"""),3.0)</f>
        <v>3</v>
      </c>
      <c r="BE218" s="16">
        <f>IFERROR(__xludf.DUMMYFUNCTION("""COMPUTED_VALUE"""),3.0)</f>
        <v>3</v>
      </c>
      <c r="BF218" s="16">
        <f>IFERROR(__xludf.DUMMYFUNCTION("""COMPUTED_VALUE"""),3.0)</f>
        <v>3</v>
      </c>
      <c r="BG218" s="16">
        <f>IFERROR(__xludf.DUMMYFUNCTION("""COMPUTED_VALUE"""),0.0)</f>
        <v>0</v>
      </c>
      <c r="BH218" s="16">
        <f>IFERROR(__xludf.DUMMYFUNCTION("""COMPUTED_VALUE"""),0.0)</f>
        <v>0</v>
      </c>
      <c r="BI218" s="16">
        <f>IFERROR(__xludf.DUMMYFUNCTION("""COMPUTED_VALUE"""),0.0)</f>
        <v>0</v>
      </c>
      <c r="BJ218" s="16">
        <f>IFERROR(__xludf.DUMMYFUNCTION("""COMPUTED_VALUE"""),0.0)</f>
        <v>0</v>
      </c>
      <c r="BK218" s="16">
        <f>IFERROR(__xludf.DUMMYFUNCTION("""COMPUTED_VALUE"""),5.0)</f>
        <v>5</v>
      </c>
      <c r="BL218" s="16">
        <f>IFERROR(__xludf.DUMMYFUNCTION("""COMPUTED_VALUE"""),5.0)</f>
        <v>5</v>
      </c>
      <c r="BM218" s="16">
        <f>IFERROR(__xludf.DUMMYFUNCTION("""COMPUTED_VALUE"""),0.0)</f>
        <v>0</v>
      </c>
      <c r="BN218" s="16">
        <f>IFERROR(__xludf.DUMMYFUNCTION("""COMPUTED_VALUE"""),0.0)</f>
        <v>0</v>
      </c>
      <c r="BO218" s="16">
        <f>IFERROR(__xludf.DUMMYFUNCTION("""COMPUTED_VALUE"""),0.0)</f>
        <v>0</v>
      </c>
      <c r="BP218" s="16">
        <f>IFERROR(__xludf.DUMMYFUNCTION("""COMPUTED_VALUE"""),0.0)</f>
        <v>0</v>
      </c>
      <c r="BQ218" s="16">
        <f>IFERROR(__xludf.DUMMYFUNCTION("""COMPUTED_VALUE"""),7.0)</f>
        <v>7</v>
      </c>
      <c r="BR218" s="16">
        <f>IFERROR(__xludf.DUMMYFUNCTION("""COMPUTED_VALUE"""),7.0)</f>
        <v>7</v>
      </c>
      <c r="BS218" s="16">
        <f>IFERROR(__xludf.DUMMYFUNCTION("""COMPUTED_VALUE"""),2.0)</f>
        <v>2</v>
      </c>
      <c r="BT218" s="16">
        <f>IFERROR(__xludf.DUMMYFUNCTION("""COMPUTED_VALUE"""),2.0)</f>
        <v>2</v>
      </c>
      <c r="BU218" s="16">
        <f>IFERROR(__xludf.DUMMYFUNCTION("""COMPUTED_VALUE"""),4.0)</f>
        <v>4</v>
      </c>
      <c r="BV218" s="16">
        <f>IFERROR(__xludf.DUMMYFUNCTION("""COMPUTED_VALUE"""),4.0)</f>
        <v>4</v>
      </c>
      <c r="BW218" s="16">
        <f>IFERROR(__xludf.DUMMYFUNCTION("""COMPUTED_VALUE"""),-3.0)</f>
        <v>-3</v>
      </c>
      <c r="BX218" s="16">
        <f>IFERROR(__xludf.DUMMYFUNCTION("""COMPUTED_VALUE"""),-3.0)</f>
        <v>-3</v>
      </c>
      <c r="BY218" s="16" t="str">
        <f>IFERROR(__xludf.DUMMYFUNCTION("""COMPUTED_VALUE"""),"S(5)")</f>
        <v>S(5)</v>
      </c>
      <c r="BZ218" s="16" t="str">
        <f>IFERROR(__xludf.DUMMYFUNCTION("""COMPUTED_VALUE"""),"S(5)")</f>
        <v>S(5)</v>
      </c>
      <c r="CA218" s="16" t="str">
        <f>IFERROR(__xludf.DUMMYFUNCTION("""COMPUTED_VALUE"""),"S(5)")</f>
        <v>S(5)</v>
      </c>
      <c r="CB218" s="16"/>
      <c r="CC218" s="16"/>
      <c r="CD218" s="16">
        <f>IFERROR(__xludf.DUMMYFUNCTION("""COMPUTED_VALUE"""),5.0)</f>
        <v>5</v>
      </c>
      <c r="CE218" s="16"/>
      <c r="CF218" s="16"/>
      <c r="CG218" s="16" t="str">
        <f>IFERROR(__xludf.DUMMYFUNCTION("""COMPUTED_VALUE"""),"3-10")</f>
        <v>3-10</v>
      </c>
      <c r="CH218" s="16">
        <f>IFERROR(__xludf.DUMMYFUNCTION("""COMPUTED_VALUE"""),3.0)</f>
        <v>3</v>
      </c>
      <c r="CI218" s="16">
        <f>IFERROR(__xludf.DUMMYFUNCTION("""COMPUTED_VALUE"""),10.0)</f>
        <v>10</v>
      </c>
      <c r="CJ218" s="16">
        <f>IFERROR(__xludf.DUMMYFUNCTION("""COMPUTED_VALUE"""),0.0)</f>
        <v>0</v>
      </c>
      <c r="CK218" s="16">
        <f>IFERROR(__xludf.DUMMYFUNCTION("""COMPUTED_VALUE"""),0.0)</f>
        <v>0</v>
      </c>
      <c r="CL218" s="16" t="str">
        <f>IFERROR(__xludf.DUMMYFUNCTION("""COMPUTED_VALUE"""),"1WR-C")</f>
        <v>1WR-C</v>
      </c>
      <c r="CM218" s="16" t="str">
        <f>IFERROR(__xludf.DUMMYFUNCTION("""COMPUTED_VALUE"""),"E")</f>
        <v>E</v>
      </c>
      <c r="CN218" s="16">
        <f>IFERROR(__xludf.DUMMYFUNCTION("""COMPUTED_VALUE"""),10.0)</f>
        <v>10</v>
      </c>
      <c r="CO218" s="16" t="str">
        <f>IFERROR(__xludf.DUMMYFUNCTION("""COMPUTED_VALUE"""),"C")</f>
        <v>C</v>
      </c>
      <c r="CP218" s="16" t="str">
        <f>IFERROR(__xludf.DUMMYFUNCTION("""COMPUTED_VALUE"""),"1p70")</f>
        <v>1p70</v>
      </c>
      <c r="CQ218" s="16">
        <f>IFERROR(__xludf.DUMMYFUNCTION("""COMPUTED_VALUE"""),3.0)</f>
        <v>3</v>
      </c>
      <c r="CR218" s="16">
        <f>IFERROR(__xludf.DUMMYFUNCTION("""COMPUTED_VALUE"""),-3.0)</f>
        <v>-3</v>
      </c>
      <c r="CS218" s="16">
        <f>IFERROR(__xludf.DUMMYFUNCTION("""COMPUTED_VALUE"""),0.0)</f>
        <v>0</v>
      </c>
      <c r="CT218" s="16">
        <f>IFERROR(__xludf.DUMMYFUNCTION("""COMPUTED_VALUE"""),3.0)</f>
        <v>3</v>
      </c>
      <c r="CU218" s="16">
        <f>IFERROR(__xludf.DUMMYFUNCTION("""COMPUTED_VALUE"""),-3.0)</f>
        <v>-3</v>
      </c>
      <c r="CV218" s="179">
        <f>IFERROR(__xludf.DUMMYFUNCTION("""COMPUTED_VALUE"""),6.0)</f>
        <v>6</v>
      </c>
      <c r="CW218" s="179">
        <f>IFERROR(__xludf.DUMMYFUNCTION("""COMPUTED_VALUE"""),4.0)</f>
        <v>4</v>
      </c>
      <c r="CX218" s="179">
        <f>IFERROR(__xludf.DUMMYFUNCTION("""COMPUTED_VALUE"""),3.0)</f>
        <v>3</v>
      </c>
      <c r="CY218" s="16" t="str">
        <f>IFERROR(__xludf.DUMMYFUNCTION("""COMPUTED_VALUE"""),"SP")</f>
        <v>SP</v>
      </c>
      <c r="CZ218" s="16"/>
      <c r="DA218" s="16"/>
      <c r="DB218" s="16"/>
      <c r="DC218" s="16"/>
      <c r="DD218" s="16"/>
      <c r="DE218" s="16"/>
      <c r="DF218" s="16"/>
      <c r="DG218" s="16"/>
      <c r="DH218" s="16"/>
      <c r="DI218" s="16"/>
      <c r="DJ218" s="16"/>
      <c r="DK218" s="16"/>
    </row>
    <row r="219">
      <c r="A219" s="16">
        <f>IFERROR(__xludf.DUMMYFUNCTION("""COMPUTED_VALUE"""),13301.0)</f>
        <v>13301</v>
      </c>
      <c r="B219" s="16" t="str">
        <f>IFERROR(__xludf.DUMMYFUNCTION("""COMPUTED_VALUE"""),"Ranger Suarez")</f>
        <v>Ranger Suarez</v>
      </c>
      <c r="C219" s="153">
        <f>IFERROR(__xludf.DUMMYFUNCTION("""COMPUTED_VALUE"""),0.77)</f>
        <v>0.77</v>
      </c>
      <c r="D219" s="16"/>
      <c r="E219" s="16" t="str">
        <f>IFERROR(__xludf.DUMMYFUNCTION("""COMPUTED_VALUE"""),"L")</f>
        <v>L</v>
      </c>
      <c r="F219" s="16">
        <f>IFERROR(__xludf.DUMMYFUNCTION("""COMPUTED_VALUE"""),151.0)</f>
        <v>151</v>
      </c>
      <c r="G219" s="16">
        <f>IFERROR(__xludf.DUMMYFUNCTION("""COMPUTED_VALUE"""),26.0)</f>
        <v>26</v>
      </c>
      <c r="H219" s="16">
        <f>IFERROR(__xludf.DUMMYFUNCTION("""COMPUTED_VALUE"""),26.0)</f>
        <v>26</v>
      </c>
      <c r="I219" s="16">
        <f>IFERROR(__xludf.DUMMYFUNCTION("""COMPUTED_VALUE"""),0.0)</f>
        <v>0</v>
      </c>
      <c r="J219" s="16">
        <f>IFERROR(__xludf.DUMMYFUNCTION("""COMPUTED_VALUE"""),0.0)</f>
        <v>0</v>
      </c>
      <c r="K219" s="16">
        <f>IFERROR(__xludf.DUMMYFUNCTION("""COMPUTED_VALUE"""),0.0)</f>
        <v>0</v>
      </c>
      <c r="L219" s="16">
        <f>IFERROR(__xludf.DUMMYFUNCTION("""COMPUTED_VALUE"""),0.0)</f>
        <v>0</v>
      </c>
      <c r="M219" s="16">
        <f>IFERROR(__xludf.DUMMYFUNCTION("""COMPUTED_VALUE"""),0.0)</f>
        <v>0</v>
      </c>
      <c r="N219" s="16">
        <f>IFERROR(__xludf.DUMMYFUNCTION("""COMPUTED_VALUE"""),7.0)</f>
        <v>7</v>
      </c>
      <c r="O219" s="16">
        <f>IFERROR(__xludf.DUMMYFUNCTION("""COMPUTED_VALUE"""),3.0)</f>
        <v>3</v>
      </c>
      <c r="P219" s="16">
        <f>IFERROR(__xludf.DUMMYFUNCTION("""COMPUTED_VALUE"""),1.0)</f>
        <v>1</v>
      </c>
      <c r="Q219" s="16">
        <f>IFERROR(__xludf.DUMMYFUNCTION("""COMPUTED_VALUE"""),3.0)</f>
        <v>3</v>
      </c>
      <c r="R219" s="16">
        <f>IFERROR(__xludf.DUMMYFUNCTION("""COMPUTED_VALUE"""),1.0)</f>
        <v>1</v>
      </c>
      <c r="S219" s="16">
        <f>IFERROR(__xludf.DUMMYFUNCTION("""COMPUTED_VALUE"""),23.4)</f>
        <v>23.4</v>
      </c>
      <c r="T219" s="16">
        <f>IFERROR(__xludf.DUMMYFUNCTION("""COMPUTED_VALUE"""),17.2)</f>
        <v>17.2</v>
      </c>
      <c r="U219" s="16">
        <f>IFERROR(__xludf.DUMMYFUNCTION("""COMPUTED_VALUE"""),-1.0)</f>
        <v>-1</v>
      </c>
      <c r="V219" s="16">
        <f>IFERROR(__xludf.DUMMYFUNCTION("""COMPUTED_VALUE"""),0.0)</f>
        <v>0</v>
      </c>
      <c r="W219" s="16">
        <f>IFERROR(__xludf.DUMMYFUNCTION("""COMPUTED_VALUE"""),-2.0)</f>
        <v>-2</v>
      </c>
      <c r="X219" s="16">
        <f>IFERROR(__xludf.DUMMYFUNCTION("""COMPUTED_VALUE"""),0.0)</f>
        <v>0</v>
      </c>
      <c r="Y219" s="16">
        <f>IFERROR(__xludf.DUMMYFUNCTION("""COMPUTED_VALUE"""),23.4)</f>
        <v>23.4</v>
      </c>
      <c r="Z219" s="16">
        <f>IFERROR(__xludf.DUMMYFUNCTION("""COMPUTED_VALUE"""),24.2)</f>
        <v>24.2</v>
      </c>
      <c r="AA219" s="16">
        <f>IFERROR(__xludf.DUMMYFUNCTION("""COMPUTED_VALUE"""),0.0)</f>
        <v>0</v>
      </c>
      <c r="AB219" s="16">
        <f>IFERROR(__xludf.DUMMYFUNCTION("""COMPUTED_VALUE"""),0.0)</f>
        <v>0</v>
      </c>
      <c r="AC219" s="16">
        <f>IFERROR(__xludf.DUMMYFUNCTION("""COMPUTED_VALUE"""),0.0)</f>
        <v>0</v>
      </c>
      <c r="AD219" s="16">
        <f>IFERROR(__xludf.DUMMYFUNCTION("""COMPUTED_VALUE"""),0.0)</f>
        <v>0</v>
      </c>
      <c r="AE219" s="16">
        <f>IFERROR(__xludf.DUMMYFUNCTION("""COMPUTED_VALUE"""),42.8)</f>
        <v>42.8</v>
      </c>
      <c r="AF219" s="16">
        <f>IFERROR(__xludf.DUMMYFUNCTION("""COMPUTED_VALUE"""),25.2)</f>
        <v>25.2</v>
      </c>
      <c r="AG219" s="16">
        <f>IFERROR(__xludf.DUMMYFUNCTION("""COMPUTED_VALUE"""),-1.0)</f>
        <v>-1</v>
      </c>
      <c r="AH219" s="16">
        <f>IFERROR(__xludf.DUMMYFUNCTION("""COMPUTED_VALUE"""),0.0)</f>
        <v>0</v>
      </c>
      <c r="AI219" s="16">
        <f>IFERROR(__xludf.DUMMYFUNCTION("""COMPUTED_VALUE"""),-2.0)</f>
        <v>-2</v>
      </c>
      <c r="AJ219" s="16">
        <f>IFERROR(__xludf.DUMMYFUNCTION("""COMPUTED_VALUE"""),0.0)</f>
        <v>0</v>
      </c>
      <c r="AK219" s="16">
        <f>IFERROR(__xludf.DUMMYFUNCTION("""COMPUTED_VALUE"""),21.4)</f>
        <v>21.4</v>
      </c>
      <c r="AL219" s="16">
        <f>IFERROR(__xludf.DUMMYFUNCTION("""COMPUTED_VALUE"""),16.4)</f>
        <v>16.4</v>
      </c>
      <c r="AM219" s="16">
        <f>IFERROR(__xludf.DUMMYFUNCTION("""COMPUTED_VALUE"""),-1.0)</f>
        <v>-1</v>
      </c>
      <c r="AN219" s="16">
        <f>IFERROR(__xludf.DUMMYFUNCTION("""COMPUTED_VALUE"""),0.0)</f>
        <v>0</v>
      </c>
      <c r="AO219" s="16">
        <f>IFERROR(__xludf.DUMMYFUNCTION("""COMPUTED_VALUE"""),-1.0)</f>
        <v>-1</v>
      </c>
      <c r="AP219" s="16">
        <f>IFERROR(__xludf.DUMMYFUNCTION("""COMPUTED_VALUE"""),0.0)</f>
        <v>0</v>
      </c>
      <c r="AQ219" s="16">
        <f>IFERROR(__xludf.DUMMYFUNCTION("""COMPUTED_VALUE"""),34.8)</f>
        <v>34.8</v>
      </c>
      <c r="AR219" s="16">
        <f>IFERROR(__xludf.DUMMYFUNCTION("""COMPUTED_VALUE"""),22.0)</f>
        <v>22</v>
      </c>
      <c r="AS219" s="16">
        <f>IFERROR(__xludf.DUMMYFUNCTION("""COMPUTED_VALUE"""),-2.0)</f>
        <v>-2</v>
      </c>
      <c r="AT219" s="16">
        <f>IFERROR(__xludf.DUMMYFUNCTION("""COMPUTED_VALUE"""),0.0)</f>
        <v>0</v>
      </c>
      <c r="AU219" s="16">
        <f>IFERROR(__xludf.DUMMYFUNCTION("""COMPUTED_VALUE"""),-4.0)</f>
        <v>-4</v>
      </c>
      <c r="AV219" s="16">
        <f>IFERROR(__xludf.DUMMYFUNCTION("""COMPUTED_VALUE"""),0.0)</f>
        <v>0</v>
      </c>
      <c r="AW219" s="16">
        <f>IFERROR(__xludf.DUMMYFUNCTION("""COMPUTED_VALUE"""),2.0)</f>
        <v>2</v>
      </c>
      <c r="AX219" s="16">
        <f>IFERROR(__xludf.DUMMYFUNCTION("""COMPUTED_VALUE"""),0.8)</f>
        <v>0.8</v>
      </c>
      <c r="AY219" s="16">
        <f>IFERROR(__xludf.DUMMYFUNCTION("""COMPUTED_VALUE"""),0.0)</f>
        <v>0</v>
      </c>
      <c r="AZ219" s="16">
        <f>IFERROR(__xludf.DUMMYFUNCTION("""COMPUTED_VALUE"""),1.0)</f>
        <v>1</v>
      </c>
      <c r="BA219" s="16">
        <f>IFERROR(__xludf.DUMMYFUNCTION("""COMPUTED_VALUE"""),0.0)</f>
        <v>0</v>
      </c>
      <c r="BB219" s="16">
        <f>IFERROR(__xludf.DUMMYFUNCTION("""COMPUTED_VALUE"""),5.0)</f>
        <v>5</v>
      </c>
      <c r="BC219" s="16">
        <f>IFERROR(__xludf.DUMMYFUNCTION("""COMPUTED_VALUE"""),2.0)</f>
        <v>2</v>
      </c>
      <c r="BD219" s="16">
        <f>IFERROR(__xludf.DUMMYFUNCTION("""COMPUTED_VALUE"""),1.0)</f>
        <v>1</v>
      </c>
      <c r="BE219" s="16">
        <f>IFERROR(__xludf.DUMMYFUNCTION("""COMPUTED_VALUE"""),2.0)</f>
        <v>2</v>
      </c>
      <c r="BF219" s="16">
        <f>IFERROR(__xludf.DUMMYFUNCTION("""COMPUTED_VALUE"""),1.0)</f>
        <v>1</v>
      </c>
      <c r="BG219" s="16">
        <f>IFERROR(__xludf.DUMMYFUNCTION("""COMPUTED_VALUE"""),1.0)</f>
        <v>1</v>
      </c>
      <c r="BH219" s="16">
        <f>IFERROR(__xludf.DUMMYFUNCTION("""COMPUTED_VALUE"""),2.0)</f>
        <v>2</v>
      </c>
      <c r="BI219" s="16">
        <f>IFERROR(__xludf.DUMMYFUNCTION("""COMPUTED_VALUE"""),2.0)</f>
        <v>2</v>
      </c>
      <c r="BJ219" s="16">
        <f>IFERROR(__xludf.DUMMYFUNCTION("""COMPUTED_VALUE"""),4.0)</f>
        <v>4</v>
      </c>
      <c r="BK219" s="16">
        <f>IFERROR(__xludf.DUMMYFUNCTION("""COMPUTED_VALUE"""),5.0)</f>
        <v>5</v>
      </c>
      <c r="BL219" s="16">
        <f>IFERROR(__xludf.DUMMYFUNCTION("""COMPUTED_VALUE"""),5.0)</f>
        <v>5</v>
      </c>
      <c r="BM219" s="16">
        <f>IFERROR(__xludf.DUMMYFUNCTION("""COMPUTED_VALUE"""),0.0)</f>
        <v>0</v>
      </c>
      <c r="BN219" s="16">
        <f>IFERROR(__xludf.DUMMYFUNCTION("""COMPUTED_VALUE"""),0.0)</f>
        <v>0</v>
      </c>
      <c r="BO219" s="16">
        <f>IFERROR(__xludf.DUMMYFUNCTION("""COMPUTED_VALUE"""),0.0)</f>
        <v>0</v>
      </c>
      <c r="BP219" s="16">
        <f>IFERROR(__xludf.DUMMYFUNCTION("""COMPUTED_VALUE"""),0.0)</f>
        <v>0</v>
      </c>
      <c r="BQ219" s="16">
        <f>IFERROR(__xludf.DUMMYFUNCTION("""COMPUTED_VALUE"""),4.0)</f>
        <v>4</v>
      </c>
      <c r="BR219" s="16">
        <f>IFERROR(__xludf.DUMMYFUNCTION("""COMPUTED_VALUE"""),4.0)</f>
        <v>4</v>
      </c>
      <c r="BS219" s="16">
        <f>IFERROR(__xludf.DUMMYFUNCTION("""COMPUTED_VALUE"""),-1.0)</f>
        <v>-1</v>
      </c>
      <c r="BT219" s="16">
        <f>IFERROR(__xludf.DUMMYFUNCTION("""COMPUTED_VALUE"""),-1.0)</f>
        <v>-1</v>
      </c>
      <c r="BU219" s="16">
        <f>IFERROR(__xludf.DUMMYFUNCTION("""COMPUTED_VALUE"""),-2.0)</f>
        <v>-2</v>
      </c>
      <c r="BV219" s="16">
        <f>IFERROR(__xludf.DUMMYFUNCTION("""COMPUTED_VALUE"""),-2.0)</f>
        <v>-2</v>
      </c>
      <c r="BW219" s="16">
        <f>IFERROR(__xludf.DUMMYFUNCTION("""COMPUTED_VALUE"""),0.0)</f>
        <v>0</v>
      </c>
      <c r="BX219" s="16">
        <f>IFERROR(__xludf.DUMMYFUNCTION("""COMPUTED_VALUE"""),0.0)</f>
        <v>0</v>
      </c>
      <c r="BY219" s="16" t="str">
        <f>IFERROR(__xludf.DUMMYFUNCTION("""COMPUTED_VALUE"""),"S(5)")</f>
        <v>S(5)</v>
      </c>
      <c r="BZ219" s="16" t="str">
        <f>IFERROR(__xludf.DUMMYFUNCTION("""COMPUTED_VALUE"""),"S(5)")</f>
        <v>S(5)</v>
      </c>
      <c r="CA219" s="16" t="str">
        <f>IFERROR(__xludf.DUMMYFUNCTION("""COMPUTED_VALUE"""),"S(5)")</f>
        <v>S(5)</v>
      </c>
      <c r="CB219" s="16"/>
      <c r="CC219" s="16"/>
      <c r="CD219" s="16">
        <f>IFERROR(__xludf.DUMMYFUNCTION("""COMPUTED_VALUE"""),5.0)</f>
        <v>5</v>
      </c>
      <c r="CE219" s="16"/>
      <c r="CF219" s="16"/>
      <c r="CG219" s="16" t="str">
        <f>IFERROR(__xludf.DUMMYFUNCTION("""COMPUTED_VALUE"""),"1-0")</f>
        <v>1-0</v>
      </c>
      <c r="CH219" s="16">
        <f>IFERROR(__xludf.DUMMYFUNCTION("""COMPUTED_VALUE"""),1.0)</f>
        <v>1</v>
      </c>
      <c r="CI219" s="16">
        <f>IFERROR(__xludf.DUMMYFUNCTION("""COMPUTED_VALUE"""),0.0)</f>
        <v>0</v>
      </c>
      <c r="CJ219" s="16">
        <f>IFERROR(__xludf.DUMMYFUNCTION("""COMPUTED_VALUE"""),5.0)</f>
        <v>5</v>
      </c>
      <c r="CK219" s="16">
        <f>IFERROR(__xludf.DUMMYFUNCTION("""COMPUTED_VALUE"""),0.0)</f>
        <v>0</v>
      </c>
      <c r="CL219" s="16" t="str">
        <f>IFERROR(__xludf.DUMMYFUNCTION("""COMPUTED_VALUE"""),"1WL-C")</f>
        <v>1WL-C</v>
      </c>
      <c r="CM219" s="16" t="str">
        <f>IFERROR(__xludf.DUMMYFUNCTION("""COMPUTED_VALUE"""),"E")</f>
        <v>E</v>
      </c>
      <c r="CN219" s="16">
        <f>IFERROR(__xludf.DUMMYFUNCTION("""COMPUTED_VALUE"""),10.0)</f>
        <v>10</v>
      </c>
      <c r="CO219" s="16" t="str">
        <f>IFERROR(__xludf.DUMMYFUNCTION("""COMPUTED_VALUE"""),"C")</f>
        <v>C</v>
      </c>
      <c r="CP219" s="16" t="str">
        <f>IFERROR(__xludf.DUMMYFUNCTION("""COMPUTED_VALUE"""),"1p70")</f>
        <v>1p70</v>
      </c>
      <c r="CQ219" s="16">
        <f>IFERROR(__xludf.DUMMYFUNCTION("""COMPUTED_VALUE"""),-6.0)</f>
        <v>-6</v>
      </c>
      <c r="CR219" s="16">
        <f>IFERROR(__xludf.DUMMYFUNCTION("""COMPUTED_VALUE"""),8.0)</f>
        <v>8</v>
      </c>
      <c r="CS219" s="16">
        <f>IFERROR(__xludf.DUMMYFUNCTION("""COMPUTED_VALUE"""),2.0)</f>
        <v>2</v>
      </c>
      <c r="CT219" s="16">
        <f>IFERROR(__xludf.DUMMYFUNCTION("""COMPUTED_VALUE"""),-6.0)</f>
        <v>-6</v>
      </c>
      <c r="CU219" s="16">
        <f>IFERROR(__xludf.DUMMYFUNCTION("""COMPUTED_VALUE"""),8.0)</f>
        <v>8</v>
      </c>
      <c r="CV219" s="179">
        <f>IFERROR(__xludf.DUMMYFUNCTION("""COMPUTED_VALUE"""),5.666666666666667)</f>
        <v>5.666666667</v>
      </c>
      <c r="CW219" s="179">
        <f>IFERROR(__xludf.DUMMYFUNCTION("""COMPUTED_VALUE"""),4.0)</f>
        <v>4</v>
      </c>
      <c r="CX219" s="179">
        <f>IFERROR(__xludf.DUMMYFUNCTION("""COMPUTED_VALUE"""),3.0)</f>
        <v>3</v>
      </c>
      <c r="CY219" s="16" t="str">
        <f>IFERROR(__xludf.DUMMYFUNCTION("""COMPUTED_VALUE"""),"SP")</f>
        <v>SP</v>
      </c>
      <c r="CZ219" s="16"/>
      <c r="DA219" s="16"/>
      <c r="DB219" s="16"/>
      <c r="DC219" s="16"/>
      <c r="DD219" s="16"/>
      <c r="DE219" s="16"/>
      <c r="DF219" s="16"/>
      <c r="DG219" s="16"/>
      <c r="DH219" s="16"/>
      <c r="DI219" s="16"/>
      <c r="DJ219" s="16"/>
      <c r="DK219" s="16"/>
    </row>
    <row r="220">
      <c r="A220" s="16">
        <f>IFERROR(__xludf.DUMMYFUNCTION("""COMPUTED_VALUE"""),13087.0)</f>
        <v>13087</v>
      </c>
      <c r="B220" s="16" t="str">
        <f>IFERROR(__xludf.DUMMYFUNCTION("""COMPUTED_VALUE"""),"Kutter Crawford")</f>
        <v>Kutter Crawford</v>
      </c>
      <c r="C220" s="153">
        <f>IFERROR(__xludf.DUMMYFUNCTION("""COMPUTED_VALUE"""),0.98)</f>
        <v>0.98</v>
      </c>
      <c r="D220" s="16"/>
      <c r="E220" s="16" t="str">
        <f>IFERROR(__xludf.DUMMYFUNCTION("""COMPUTED_VALUE"""),"R")</f>
        <v>R</v>
      </c>
      <c r="F220" s="16">
        <f>IFERROR(__xludf.DUMMYFUNCTION("""COMPUTED_VALUE"""),184.0)</f>
        <v>184</v>
      </c>
      <c r="G220" s="16">
        <f>IFERROR(__xludf.DUMMYFUNCTION("""COMPUTED_VALUE"""),27.0)</f>
        <v>27</v>
      </c>
      <c r="H220" s="16">
        <f>IFERROR(__xludf.DUMMYFUNCTION("""COMPUTED_VALUE"""),25.0)</f>
        <v>25</v>
      </c>
      <c r="I220" s="16">
        <f>IFERROR(__xludf.DUMMYFUNCTION("""COMPUTED_VALUE"""),0.0)</f>
        <v>0</v>
      </c>
      <c r="J220" s="16">
        <f>IFERROR(__xludf.DUMMYFUNCTION("""COMPUTED_VALUE"""),0.0)</f>
        <v>0</v>
      </c>
      <c r="K220" s="16">
        <f>IFERROR(__xludf.DUMMYFUNCTION("""COMPUTED_VALUE"""),0.0)</f>
        <v>0</v>
      </c>
      <c r="L220" s="16">
        <f>IFERROR(__xludf.DUMMYFUNCTION("""COMPUTED_VALUE"""),0.0)</f>
        <v>0</v>
      </c>
      <c r="M220" s="16">
        <f>IFERROR(__xludf.DUMMYFUNCTION("""COMPUTED_VALUE"""),5.0)</f>
        <v>5</v>
      </c>
      <c r="N220" s="16">
        <f>IFERROR(__xludf.DUMMYFUNCTION("""COMPUTED_VALUE"""),6.0)</f>
        <v>6</v>
      </c>
      <c r="O220" s="16">
        <f>IFERROR(__xludf.DUMMYFUNCTION("""COMPUTED_VALUE"""),2.0)</f>
        <v>2</v>
      </c>
      <c r="P220" s="16">
        <f>IFERROR(__xludf.DUMMYFUNCTION("""COMPUTED_VALUE"""),1.0)</f>
        <v>1</v>
      </c>
      <c r="Q220" s="16">
        <f>IFERROR(__xludf.DUMMYFUNCTION("""COMPUTED_VALUE"""),2.0)</f>
        <v>2</v>
      </c>
      <c r="R220" s="16">
        <f>IFERROR(__xludf.DUMMYFUNCTION("""COMPUTED_VALUE"""),1.0)</f>
        <v>1</v>
      </c>
      <c r="S220" s="16">
        <f>IFERROR(__xludf.DUMMYFUNCTION("""COMPUTED_VALUE"""),8.9)</f>
        <v>8.9</v>
      </c>
      <c r="T220" s="16">
        <f>IFERROR(__xludf.DUMMYFUNCTION("""COMPUTED_VALUE"""),13.5)</f>
        <v>13.5</v>
      </c>
      <c r="U220" s="16">
        <f>IFERROR(__xludf.DUMMYFUNCTION("""COMPUTED_VALUE"""),1.0)</f>
        <v>1</v>
      </c>
      <c r="V220" s="16">
        <f>IFERROR(__xludf.DUMMYFUNCTION("""COMPUTED_VALUE"""),0.0)</f>
        <v>0</v>
      </c>
      <c r="W220" s="16">
        <f>IFERROR(__xludf.DUMMYFUNCTION("""COMPUTED_VALUE"""),2.0)</f>
        <v>2</v>
      </c>
      <c r="X220" s="16">
        <f>IFERROR(__xludf.DUMMYFUNCTION("""COMPUTED_VALUE"""),0.0)</f>
        <v>0</v>
      </c>
      <c r="Y220" s="16">
        <f>IFERROR(__xludf.DUMMYFUNCTION("""COMPUTED_VALUE"""),13.9)</f>
        <v>13.9</v>
      </c>
      <c r="Z220" s="16">
        <f>IFERROR(__xludf.DUMMYFUNCTION("""COMPUTED_VALUE"""),19.5)</f>
        <v>19.5</v>
      </c>
      <c r="AA220" s="16">
        <f>IFERROR(__xludf.DUMMYFUNCTION("""COMPUTED_VALUE"""),2.0)</f>
        <v>2</v>
      </c>
      <c r="AB220" s="16">
        <f>IFERROR(__xludf.DUMMYFUNCTION("""COMPUTED_VALUE"""),1.0)</f>
        <v>1</v>
      </c>
      <c r="AC220" s="16">
        <f>IFERROR(__xludf.DUMMYFUNCTION("""COMPUTED_VALUE"""),10.0)</f>
        <v>10</v>
      </c>
      <c r="AD220" s="16">
        <f>IFERROR(__xludf.DUMMYFUNCTION("""COMPUTED_VALUE"""),5.0)</f>
        <v>5</v>
      </c>
      <c r="AE220" s="16">
        <f>IFERROR(__xludf.DUMMYFUNCTION("""COMPUTED_VALUE"""),24.1)</f>
        <v>24.1</v>
      </c>
      <c r="AF220" s="16">
        <f>IFERROR(__xludf.DUMMYFUNCTION("""COMPUTED_VALUE"""),32.2)</f>
        <v>32.2</v>
      </c>
      <c r="AG220" s="16">
        <f>IFERROR(__xludf.DUMMYFUNCTION("""COMPUTED_VALUE"""),0.0)</f>
        <v>0</v>
      </c>
      <c r="AH220" s="16">
        <f>IFERROR(__xludf.DUMMYFUNCTION("""COMPUTED_VALUE"""),0.0)</f>
        <v>0</v>
      </c>
      <c r="AI220" s="16">
        <f>IFERROR(__xludf.DUMMYFUNCTION("""COMPUTED_VALUE"""),0.0)</f>
        <v>0</v>
      </c>
      <c r="AJ220" s="16">
        <f>IFERROR(__xludf.DUMMYFUNCTION("""COMPUTED_VALUE"""),0.0)</f>
        <v>0</v>
      </c>
      <c r="AK220" s="16">
        <f>IFERROR(__xludf.DUMMYFUNCTION("""COMPUTED_VALUE"""),4.1000000000000005)</f>
        <v>4.1</v>
      </c>
      <c r="AL220" s="16">
        <f>IFERROR(__xludf.DUMMYFUNCTION("""COMPUTED_VALUE"""),10.3)</f>
        <v>10.3</v>
      </c>
      <c r="AM220" s="16">
        <f>IFERROR(__xludf.DUMMYFUNCTION("""COMPUTED_VALUE"""),2.0)</f>
        <v>2</v>
      </c>
      <c r="AN220" s="16">
        <f>IFERROR(__xludf.DUMMYFUNCTION("""COMPUTED_VALUE"""),1.0)</f>
        <v>1</v>
      </c>
      <c r="AO220" s="16">
        <f>IFERROR(__xludf.DUMMYFUNCTION("""COMPUTED_VALUE"""),2.0)</f>
        <v>2</v>
      </c>
      <c r="AP220" s="16">
        <f>IFERROR(__xludf.DUMMYFUNCTION("""COMPUTED_VALUE"""),1.0)</f>
        <v>1</v>
      </c>
      <c r="AQ220" s="16">
        <f>IFERROR(__xludf.DUMMYFUNCTION("""COMPUTED_VALUE"""),4.900000000000002)</f>
        <v>4.9</v>
      </c>
      <c r="AR220" s="16">
        <f>IFERROR(__xludf.DUMMYFUNCTION("""COMPUTED_VALUE"""),19.400000000000002)</f>
        <v>19.4</v>
      </c>
      <c r="AS220" s="16">
        <f>IFERROR(__xludf.DUMMYFUNCTION("""COMPUTED_VALUE"""),2.0)</f>
        <v>2</v>
      </c>
      <c r="AT220" s="16">
        <f>IFERROR(__xludf.DUMMYFUNCTION("""COMPUTED_VALUE"""),0.0)</f>
        <v>0</v>
      </c>
      <c r="AU220" s="16">
        <f>IFERROR(__xludf.DUMMYFUNCTION("""COMPUTED_VALUE"""),4.0)</f>
        <v>4</v>
      </c>
      <c r="AV220" s="16">
        <f>IFERROR(__xludf.DUMMYFUNCTION("""COMPUTED_VALUE"""),0.0)</f>
        <v>0</v>
      </c>
      <c r="AW220" s="16">
        <f>IFERROR(__xludf.DUMMYFUNCTION("""COMPUTED_VALUE"""),4.8)</f>
        <v>4.8</v>
      </c>
      <c r="AX220" s="16">
        <f>IFERROR(__xludf.DUMMYFUNCTION("""COMPUTED_VALUE"""),3.2)</f>
        <v>3.2</v>
      </c>
      <c r="AY220" s="16">
        <f>IFERROR(__xludf.DUMMYFUNCTION("""COMPUTED_VALUE"""),-3.0)</f>
        <v>-3</v>
      </c>
      <c r="AZ220" s="16">
        <f>IFERROR(__xludf.DUMMYFUNCTION("""COMPUTED_VALUE"""),-1.0)</f>
        <v>-1</v>
      </c>
      <c r="BA220" s="16">
        <f>IFERROR(__xludf.DUMMYFUNCTION("""COMPUTED_VALUE"""),-15.0)</f>
        <v>-15</v>
      </c>
      <c r="BB220" s="16">
        <f>IFERROR(__xludf.DUMMYFUNCTION("""COMPUTED_VALUE"""),-5.0)</f>
        <v>-5</v>
      </c>
      <c r="BC220" s="16"/>
      <c r="BD220" s="16">
        <f>IFERROR(__xludf.DUMMYFUNCTION("""COMPUTED_VALUE"""),5.0)</f>
        <v>5</v>
      </c>
      <c r="BE220" s="16">
        <f>IFERROR(__xludf.DUMMYFUNCTION("""COMPUTED_VALUE"""),8.0)</f>
        <v>8</v>
      </c>
      <c r="BF220" s="16">
        <f>IFERROR(__xludf.DUMMYFUNCTION("""COMPUTED_VALUE"""),5.0)</f>
        <v>5</v>
      </c>
      <c r="BG220" s="16">
        <f>IFERROR(__xludf.DUMMYFUNCTION("""COMPUTED_VALUE"""),-3.0)</f>
        <v>-3</v>
      </c>
      <c r="BH220" s="16">
        <f>IFERROR(__xludf.DUMMYFUNCTION("""COMPUTED_VALUE"""),-2.0)</f>
        <v>-2</v>
      </c>
      <c r="BI220" s="16">
        <f>IFERROR(__xludf.DUMMYFUNCTION("""COMPUTED_VALUE"""),-6.0)</f>
        <v>-6</v>
      </c>
      <c r="BJ220" s="16">
        <f>IFERROR(__xludf.DUMMYFUNCTION("""COMPUTED_VALUE"""),-4.0)</f>
        <v>-4</v>
      </c>
      <c r="BK220" s="16">
        <f>IFERROR(__xludf.DUMMYFUNCTION("""COMPUTED_VALUE"""),0.0)</f>
        <v>0</v>
      </c>
      <c r="BL220" s="16">
        <f>IFERROR(__xludf.DUMMYFUNCTION("""COMPUTED_VALUE"""),5.0)</f>
        <v>5</v>
      </c>
      <c r="BM220" s="16">
        <f>IFERROR(__xludf.DUMMYFUNCTION("""COMPUTED_VALUE"""),1.0)</f>
        <v>1</v>
      </c>
      <c r="BN220" s="16">
        <f>IFERROR(__xludf.DUMMYFUNCTION("""COMPUTED_VALUE"""),0.0)</f>
        <v>0</v>
      </c>
      <c r="BO220" s="16">
        <f>IFERROR(__xludf.DUMMYFUNCTION("""COMPUTED_VALUE"""),1.0)</f>
        <v>1</v>
      </c>
      <c r="BP220" s="16">
        <f>IFERROR(__xludf.DUMMYFUNCTION("""COMPUTED_VALUE"""),0.0)</f>
        <v>0</v>
      </c>
      <c r="BQ220" s="16">
        <f>IFERROR(__xludf.DUMMYFUNCTION("""COMPUTED_VALUE"""),4.0)</f>
        <v>4</v>
      </c>
      <c r="BR220" s="16">
        <f>IFERROR(__xludf.DUMMYFUNCTION("""COMPUTED_VALUE"""),4.0)</f>
        <v>4</v>
      </c>
      <c r="BS220" s="16">
        <f>IFERROR(__xludf.DUMMYFUNCTION("""COMPUTED_VALUE"""),-1.0)</f>
        <v>-1</v>
      </c>
      <c r="BT220" s="16">
        <f>IFERROR(__xludf.DUMMYFUNCTION("""COMPUTED_VALUE"""),-1.0)</f>
        <v>-1</v>
      </c>
      <c r="BU220" s="16">
        <f>IFERROR(__xludf.DUMMYFUNCTION("""COMPUTED_VALUE"""),-2.0)</f>
        <v>-2</v>
      </c>
      <c r="BV220" s="16">
        <f>IFERROR(__xludf.DUMMYFUNCTION("""COMPUTED_VALUE"""),-2.0)</f>
        <v>-2</v>
      </c>
      <c r="BW220" s="16">
        <f>IFERROR(__xludf.DUMMYFUNCTION("""COMPUTED_VALUE"""),-2.0)</f>
        <v>-2</v>
      </c>
      <c r="BX220" s="16">
        <f>IFERROR(__xludf.DUMMYFUNCTION("""COMPUTED_VALUE"""),-2.0)</f>
        <v>-2</v>
      </c>
      <c r="BY220" s="16" t="str">
        <f>IFERROR(__xludf.DUMMYFUNCTION("""COMPUTED_VALUE"""),"S(6)")</f>
        <v>S(6)</v>
      </c>
      <c r="BZ220" s="16" t="str">
        <f>IFERROR(__xludf.DUMMYFUNCTION("""COMPUTED_VALUE"""),"S(6)")</f>
        <v>S(6)</v>
      </c>
      <c r="CA220" s="16" t="str">
        <f>IFERROR(__xludf.DUMMYFUNCTION("""COMPUTED_VALUE"""),"S(6)")</f>
        <v>S(6)</v>
      </c>
      <c r="CB220" s="16"/>
      <c r="CC220" s="16"/>
      <c r="CD220" s="16">
        <f>IFERROR(__xludf.DUMMYFUNCTION("""COMPUTED_VALUE"""),6.0)</f>
        <v>6</v>
      </c>
      <c r="CE220" s="16"/>
      <c r="CF220" s="16"/>
      <c r="CG220" s="16" t="str">
        <f>IFERROR(__xludf.DUMMYFUNCTION("""COMPUTED_VALUE"""),"2-0")</f>
        <v>2-0</v>
      </c>
      <c r="CH220" s="16">
        <f>IFERROR(__xludf.DUMMYFUNCTION("""COMPUTED_VALUE"""),2.0)</f>
        <v>2</v>
      </c>
      <c r="CI220" s="16">
        <f>IFERROR(__xludf.DUMMYFUNCTION("""COMPUTED_VALUE"""),0.0)</f>
        <v>0</v>
      </c>
      <c r="CJ220" s="16">
        <f>IFERROR(__xludf.DUMMYFUNCTION("""COMPUTED_VALUE"""),0.0)</f>
        <v>0</v>
      </c>
      <c r="CK220" s="16">
        <f>IFERROR(__xludf.DUMMYFUNCTION("""COMPUTED_VALUE"""),4.0)</f>
        <v>4</v>
      </c>
      <c r="CL220" s="16" t="str">
        <f>IFERROR(__xludf.DUMMYFUNCTION("""COMPUTED_VALUE"""),"1WR-C")</f>
        <v>1WR-C</v>
      </c>
      <c r="CM220" s="16" t="str">
        <f>IFERROR(__xludf.DUMMYFUNCTION("""COMPUTED_VALUE"""),"E")</f>
        <v>E</v>
      </c>
      <c r="CN220" s="16">
        <f>IFERROR(__xludf.DUMMYFUNCTION("""COMPUTED_VALUE"""),12.0)</f>
        <v>12</v>
      </c>
      <c r="CO220" s="16" t="str">
        <f>IFERROR(__xludf.DUMMYFUNCTION("""COMPUTED_VALUE"""),"C")</f>
        <v>C</v>
      </c>
      <c r="CP220" s="16" t="str">
        <f>IFERROR(__xludf.DUMMYFUNCTION("""COMPUTED_VALUE"""),"0p72")</f>
        <v>0p72</v>
      </c>
      <c r="CQ220" s="16">
        <f>IFERROR(__xludf.DUMMYFUNCTION("""COMPUTED_VALUE"""),-2.0)</f>
        <v>-2</v>
      </c>
      <c r="CR220" s="16">
        <f>IFERROR(__xludf.DUMMYFUNCTION("""COMPUTED_VALUE"""),-4.0)</f>
        <v>-4</v>
      </c>
      <c r="CS220" s="16">
        <f>IFERROR(__xludf.DUMMYFUNCTION("""COMPUTED_VALUE"""),-6.0)</f>
        <v>-6</v>
      </c>
      <c r="CT220" s="16">
        <f>IFERROR(__xludf.DUMMYFUNCTION("""COMPUTED_VALUE"""),-2.0)</f>
        <v>-2</v>
      </c>
      <c r="CU220" s="16">
        <f>IFERROR(__xludf.DUMMYFUNCTION("""COMPUTED_VALUE"""),-4.0)</f>
        <v>-4</v>
      </c>
      <c r="CV220" s="179">
        <f>IFERROR(__xludf.DUMMYFUNCTION("""COMPUTED_VALUE"""),5.666666666666666)</f>
        <v>5.666666667</v>
      </c>
      <c r="CW220" s="179">
        <f>IFERROR(__xludf.DUMMYFUNCTION("""COMPUTED_VALUE"""),5.0)</f>
        <v>5</v>
      </c>
      <c r="CX220" s="179">
        <f>IFERROR(__xludf.DUMMYFUNCTION("""COMPUTED_VALUE"""),4.0)</f>
        <v>4</v>
      </c>
      <c r="CY220" s="16" t="str">
        <f>IFERROR(__xludf.DUMMYFUNCTION("""COMPUTED_VALUE"""),"SP")</f>
        <v>SP</v>
      </c>
      <c r="CZ220" s="16"/>
      <c r="DA220" s="16"/>
      <c r="DB220" s="16"/>
      <c r="DC220" s="16"/>
      <c r="DD220" s="16"/>
      <c r="DE220" s="16"/>
      <c r="DF220" s="16"/>
      <c r="DG220" s="16"/>
      <c r="DH220" s="16"/>
      <c r="DI220" s="16"/>
      <c r="DJ220" s="16"/>
      <c r="DK220" s="16"/>
    </row>
    <row r="221">
      <c r="A221" s="16">
        <f>IFERROR(__xludf.DUMMYFUNCTION("""COMPUTED_VALUE"""),12947.0)</f>
        <v>12947</v>
      </c>
      <c r="B221" s="16" t="str">
        <f>IFERROR(__xludf.DUMMYFUNCTION("""COMPUTED_VALUE"""),"Jeffrey Springs")</f>
        <v>Jeffrey Springs</v>
      </c>
      <c r="C221" s="153">
        <f>IFERROR(__xludf.DUMMYFUNCTION("""COMPUTED_VALUE"""),2.05)</f>
        <v>2.05</v>
      </c>
      <c r="D221" s="16"/>
      <c r="E221" s="16" t="str">
        <f>IFERROR(__xludf.DUMMYFUNCTION("""COMPUTED_VALUE"""),"L")</f>
        <v>L</v>
      </c>
      <c r="F221" s="16">
        <f>IFERROR(__xludf.DUMMYFUNCTION("""COMPUTED_VALUE"""),33.0)</f>
        <v>33</v>
      </c>
      <c r="G221" s="16">
        <f>IFERROR(__xludf.DUMMYFUNCTION("""COMPUTED_VALUE"""),25.0)</f>
        <v>25</v>
      </c>
      <c r="H221" s="16">
        <f>IFERROR(__xludf.DUMMYFUNCTION("""COMPUTED_VALUE"""),33.0)</f>
        <v>33</v>
      </c>
      <c r="I221" s="16">
        <f>IFERROR(__xludf.DUMMYFUNCTION("""COMPUTED_VALUE"""),0.0)</f>
        <v>0</v>
      </c>
      <c r="J221" s="16">
        <f>IFERROR(__xludf.DUMMYFUNCTION("""COMPUTED_VALUE"""),1.0)</f>
        <v>1</v>
      </c>
      <c r="K221" s="16">
        <f>IFERROR(__xludf.DUMMYFUNCTION("""COMPUTED_VALUE"""),0.0)</f>
        <v>0</v>
      </c>
      <c r="L221" s="16">
        <f>IFERROR(__xludf.DUMMYFUNCTION("""COMPUTED_VALUE"""),3.0)</f>
        <v>3</v>
      </c>
      <c r="M221" s="16">
        <f>IFERROR(__xludf.DUMMYFUNCTION("""COMPUTED_VALUE"""),0.0)</f>
        <v>0</v>
      </c>
      <c r="N221" s="16">
        <f>IFERROR(__xludf.DUMMYFUNCTION("""COMPUTED_VALUE"""),11.0)</f>
        <v>11</v>
      </c>
      <c r="O221" s="16">
        <f>IFERROR(__xludf.DUMMYFUNCTION("""COMPUTED_VALUE"""),3.0)</f>
        <v>3</v>
      </c>
      <c r="P221" s="16">
        <f>IFERROR(__xludf.DUMMYFUNCTION("""COMPUTED_VALUE"""),-1.0)</f>
        <v>-1</v>
      </c>
      <c r="Q221" s="16">
        <f>IFERROR(__xludf.DUMMYFUNCTION("""COMPUTED_VALUE"""),3.0)</f>
        <v>3</v>
      </c>
      <c r="R221" s="16">
        <f>IFERROR(__xludf.DUMMYFUNCTION("""COMPUTED_VALUE"""),-1.0)</f>
        <v>-1</v>
      </c>
      <c r="S221" s="16">
        <f>IFERROR(__xludf.DUMMYFUNCTION("""COMPUTED_VALUE"""),15.5)</f>
        <v>15.5</v>
      </c>
      <c r="T221" s="16">
        <f>IFERROR(__xludf.DUMMYFUNCTION("""COMPUTED_VALUE"""),15.1)</f>
        <v>15.1</v>
      </c>
      <c r="U221" s="16">
        <f>IFERROR(__xludf.DUMMYFUNCTION("""COMPUTED_VALUE"""),0.0)</f>
        <v>0</v>
      </c>
      <c r="V221" s="16">
        <f>IFERROR(__xludf.DUMMYFUNCTION("""COMPUTED_VALUE"""),0.0)</f>
        <v>0</v>
      </c>
      <c r="W221" s="16">
        <f>IFERROR(__xludf.DUMMYFUNCTION("""COMPUTED_VALUE"""),0.0)</f>
        <v>0</v>
      </c>
      <c r="X221" s="16">
        <f>IFERROR(__xludf.DUMMYFUNCTION("""COMPUTED_VALUE"""),0.0)</f>
        <v>0</v>
      </c>
      <c r="Y221" s="16">
        <f>IFERROR(__xludf.DUMMYFUNCTION("""COMPUTED_VALUE"""),15.5)</f>
        <v>15.5</v>
      </c>
      <c r="Z221" s="16">
        <f>IFERROR(__xludf.DUMMYFUNCTION("""COMPUTED_VALUE"""),26.1)</f>
        <v>26.1</v>
      </c>
      <c r="AA221" s="16">
        <f>IFERROR(__xludf.DUMMYFUNCTION("""COMPUTED_VALUE"""),1.0)</f>
        <v>1</v>
      </c>
      <c r="AB221" s="16">
        <f>IFERROR(__xludf.DUMMYFUNCTION("""COMPUTED_VALUE"""),0.0)</f>
        <v>0</v>
      </c>
      <c r="AC221" s="16">
        <f>IFERROR(__xludf.DUMMYFUNCTION("""COMPUTED_VALUE"""),5.0)</f>
        <v>5</v>
      </c>
      <c r="AD221" s="16">
        <f>IFERROR(__xludf.DUMMYFUNCTION("""COMPUTED_VALUE"""),0.0)</f>
        <v>0</v>
      </c>
      <c r="AE221" s="16">
        <f>IFERROR(__xludf.DUMMYFUNCTION("""COMPUTED_VALUE"""),23.3)</f>
        <v>23.3</v>
      </c>
      <c r="AF221" s="16">
        <f>IFERROR(__xludf.DUMMYFUNCTION("""COMPUTED_VALUE"""),21.8)</f>
        <v>21.8</v>
      </c>
      <c r="AG221" s="16">
        <f>IFERROR(__xludf.DUMMYFUNCTION("""COMPUTED_VALUE"""),0.0)</f>
        <v>0</v>
      </c>
      <c r="AH221" s="16">
        <f>IFERROR(__xludf.DUMMYFUNCTION("""COMPUTED_VALUE"""),1.0)</f>
        <v>1</v>
      </c>
      <c r="AI221" s="16">
        <f>IFERROR(__xludf.DUMMYFUNCTION("""COMPUTED_VALUE"""),0.0)</f>
        <v>0</v>
      </c>
      <c r="AJ221" s="16">
        <f>IFERROR(__xludf.DUMMYFUNCTION("""COMPUTED_VALUE"""),2.0)</f>
        <v>2</v>
      </c>
      <c r="AK221" s="16">
        <f>IFERROR(__xludf.DUMMYFUNCTION("""COMPUTED_VALUE"""),12.9)</f>
        <v>12.9</v>
      </c>
      <c r="AL221" s="16">
        <f>IFERROR(__xludf.DUMMYFUNCTION("""COMPUTED_VALUE"""),13.7)</f>
        <v>13.7</v>
      </c>
      <c r="AM221" s="16">
        <f>IFERROR(__xludf.DUMMYFUNCTION("""COMPUTED_VALUE"""),0.0)</f>
        <v>0</v>
      </c>
      <c r="AN221" s="16">
        <f>IFERROR(__xludf.DUMMYFUNCTION("""COMPUTED_VALUE"""),0.0)</f>
        <v>0</v>
      </c>
      <c r="AO221" s="16">
        <f>IFERROR(__xludf.DUMMYFUNCTION("""COMPUTED_VALUE"""),0.0)</f>
        <v>0</v>
      </c>
      <c r="AP221" s="16">
        <f>IFERROR(__xludf.DUMMYFUNCTION("""COMPUTED_VALUE"""),0.0)</f>
        <v>0</v>
      </c>
      <c r="AQ221" s="16">
        <f>IFERROR(__xludf.DUMMYFUNCTION("""COMPUTED_VALUE"""),12.9)</f>
        <v>12.9</v>
      </c>
      <c r="AR221" s="16">
        <f>IFERROR(__xludf.DUMMYFUNCTION("""COMPUTED_VALUE"""),16.200000000000003)</f>
        <v>16.2</v>
      </c>
      <c r="AS221" s="16">
        <f>IFERROR(__xludf.DUMMYFUNCTION("""COMPUTED_VALUE"""),1.0)</f>
        <v>1</v>
      </c>
      <c r="AT221" s="16">
        <f>IFERROR(__xludf.DUMMYFUNCTION("""COMPUTED_VALUE"""),1.0)</f>
        <v>1</v>
      </c>
      <c r="AU221" s="16">
        <f>IFERROR(__xludf.DUMMYFUNCTION("""COMPUTED_VALUE"""),2.0)</f>
        <v>2</v>
      </c>
      <c r="AV221" s="16">
        <f>IFERROR(__xludf.DUMMYFUNCTION("""COMPUTED_VALUE"""),2.0)</f>
        <v>2</v>
      </c>
      <c r="AW221" s="16">
        <f>IFERROR(__xludf.DUMMYFUNCTION("""COMPUTED_VALUE"""),2.6)</f>
        <v>2.6</v>
      </c>
      <c r="AX221" s="16">
        <f>IFERROR(__xludf.DUMMYFUNCTION("""COMPUTED_VALUE"""),1.4)</f>
        <v>1.4</v>
      </c>
      <c r="AY221" s="16">
        <f>IFERROR(__xludf.DUMMYFUNCTION("""COMPUTED_VALUE"""),-1.0)</f>
        <v>-1</v>
      </c>
      <c r="AZ221" s="16">
        <f>IFERROR(__xludf.DUMMYFUNCTION("""COMPUTED_VALUE"""),1.0)</f>
        <v>1</v>
      </c>
      <c r="BA221" s="16">
        <f>IFERROR(__xludf.DUMMYFUNCTION("""COMPUTED_VALUE"""),-5.0)</f>
        <v>-5</v>
      </c>
      <c r="BB221" s="16">
        <f>IFERROR(__xludf.DUMMYFUNCTION("""COMPUTED_VALUE"""),5.0)</f>
        <v>5</v>
      </c>
      <c r="BC221" s="16">
        <f>IFERROR(__xludf.DUMMYFUNCTION("""COMPUTED_VALUE"""),4.0)</f>
        <v>4</v>
      </c>
      <c r="BD221" s="16">
        <f>IFERROR(__xludf.DUMMYFUNCTION("""COMPUTED_VALUE"""),2.0)</f>
        <v>2</v>
      </c>
      <c r="BE221" s="16">
        <f>IFERROR(__xludf.DUMMYFUNCTION("""COMPUTED_VALUE"""),4.0)</f>
        <v>4</v>
      </c>
      <c r="BF221" s="16">
        <f>IFERROR(__xludf.DUMMYFUNCTION("""COMPUTED_VALUE"""),2.0)</f>
        <v>2</v>
      </c>
      <c r="BG221" s="16">
        <f>IFERROR(__xludf.DUMMYFUNCTION("""COMPUTED_VALUE"""),-1.0)</f>
        <v>-1</v>
      </c>
      <c r="BH221" s="16">
        <f>IFERROR(__xludf.DUMMYFUNCTION("""COMPUTED_VALUE"""),1.0)</f>
        <v>1</v>
      </c>
      <c r="BI221" s="16">
        <f>IFERROR(__xludf.DUMMYFUNCTION("""COMPUTED_VALUE"""),-2.0)</f>
        <v>-2</v>
      </c>
      <c r="BJ221" s="16">
        <f>IFERROR(__xludf.DUMMYFUNCTION("""COMPUTED_VALUE"""),2.0)</f>
        <v>2</v>
      </c>
      <c r="BK221" s="16">
        <f>IFERROR(__xludf.DUMMYFUNCTION("""COMPUTED_VALUE"""),5.0)</f>
        <v>5</v>
      </c>
      <c r="BL221" s="16">
        <f>IFERROR(__xludf.DUMMYFUNCTION("""COMPUTED_VALUE"""),5.0)</f>
        <v>5</v>
      </c>
      <c r="BM221" s="16">
        <f>IFERROR(__xludf.DUMMYFUNCTION("""COMPUTED_VALUE"""),0.0)</f>
        <v>0</v>
      </c>
      <c r="BN221" s="16">
        <f>IFERROR(__xludf.DUMMYFUNCTION("""COMPUTED_VALUE"""),0.0)</f>
        <v>0</v>
      </c>
      <c r="BO221" s="16">
        <f>IFERROR(__xludf.DUMMYFUNCTION("""COMPUTED_VALUE"""),0.0)</f>
        <v>0</v>
      </c>
      <c r="BP221" s="16">
        <f>IFERROR(__xludf.DUMMYFUNCTION("""COMPUTED_VALUE"""),0.0)</f>
        <v>0</v>
      </c>
      <c r="BQ221" s="16">
        <f>IFERROR(__xludf.DUMMYFUNCTION("""COMPUTED_VALUE"""),3.0)</f>
        <v>3</v>
      </c>
      <c r="BR221" s="16">
        <f>IFERROR(__xludf.DUMMYFUNCTION("""COMPUTED_VALUE"""),2.0)</f>
        <v>2</v>
      </c>
      <c r="BS221" s="16">
        <f>IFERROR(__xludf.DUMMYFUNCTION("""COMPUTED_VALUE"""),-1.0)</f>
        <v>-1</v>
      </c>
      <c r="BT221" s="16">
        <f>IFERROR(__xludf.DUMMYFUNCTION("""COMPUTED_VALUE"""),-2.0)</f>
        <v>-2</v>
      </c>
      <c r="BU221" s="16">
        <f>IFERROR(__xludf.DUMMYFUNCTION("""COMPUTED_VALUE"""),-2.0)</f>
        <v>-2</v>
      </c>
      <c r="BV221" s="16">
        <f>IFERROR(__xludf.DUMMYFUNCTION("""COMPUTED_VALUE"""),-4.0)</f>
        <v>-4</v>
      </c>
      <c r="BW221" s="16">
        <f>IFERROR(__xludf.DUMMYFUNCTION("""COMPUTED_VALUE"""),3.0)</f>
        <v>3</v>
      </c>
      <c r="BX221" s="16">
        <f>IFERROR(__xludf.DUMMYFUNCTION("""COMPUTED_VALUE"""),3.0)</f>
        <v>3</v>
      </c>
      <c r="BY221" s="16" t="str">
        <f>IFERROR(__xludf.DUMMYFUNCTION("""COMPUTED_VALUE"""),"S(5)")</f>
        <v>S(5)</v>
      </c>
      <c r="BZ221" s="16" t="str">
        <f>IFERROR(__xludf.DUMMYFUNCTION("""COMPUTED_VALUE"""),"S(5)")</f>
        <v>S(5)</v>
      </c>
      <c r="CA221" s="16" t="str">
        <f>IFERROR(__xludf.DUMMYFUNCTION("""COMPUTED_VALUE"""),"S(5)")</f>
        <v>S(5)</v>
      </c>
      <c r="CB221" s="16"/>
      <c r="CC221" s="16"/>
      <c r="CD221" s="16">
        <f>IFERROR(__xludf.DUMMYFUNCTION("""COMPUTED_VALUE"""),5.0)</f>
        <v>5</v>
      </c>
      <c r="CE221" s="16"/>
      <c r="CF221" s="16"/>
      <c r="CG221" s="16" t="str">
        <f>IFERROR(__xludf.DUMMYFUNCTION("""COMPUTED_VALUE"""),"3-0")</f>
        <v>3-0</v>
      </c>
      <c r="CH221" s="16">
        <f>IFERROR(__xludf.DUMMYFUNCTION("""COMPUTED_VALUE"""),3.0)</f>
        <v>3</v>
      </c>
      <c r="CI221" s="16">
        <f>IFERROR(__xludf.DUMMYFUNCTION("""COMPUTED_VALUE"""),0.0)</f>
        <v>0</v>
      </c>
      <c r="CJ221" s="16">
        <f>IFERROR(__xludf.DUMMYFUNCTION("""COMPUTED_VALUE"""),0.0)</f>
        <v>0</v>
      </c>
      <c r="CK221" s="16">
        <f>IFERROR(__xludf.DUMMYFUNCTION("""COMPUTED_VALUE"""),0.0)</f>
        <v>0</v>
      </c>
      <c r="CL221" s="16" t="str">
        <f>IFERROR(__xludf.DUMMYFUNCTION("""COMPUTED_VALUE"""),"1WL-C")</f>
        <v>1WL-C</v>
      </c>
      <c r="CM221" s="16" t="str">
        <f>IFERROR(__xludf.DUMMYFUNCTION("""COMPUTED_VALUE"""),"E")</f>
        <v>E</v>
      </c>
      <c r="CN221" s="16">
        <f>IFERROR(__xludf.DUMMYFUNCTION("""COMPUTED_VALUE"""),10.0)</f>
        <v>10</v>
      </c>
      <c r="CO221" s="16" t="str">
        <f>IFERROR(__xludf.DUMMYFUNCTION("""COMPUTED_VALUE"""),"C")</f>
        <v>C</v>
      </c>
      <c r="CP221" s="16" t="str">
        <f>IFERROR(__xludf.DUMMYFUNCTION("""COMPUTED_VALUE"""),"6p20")</f>
        <v>6p20</v>
      </c>
      <c r="CQ221" s="16">
        <f>IFERROR(__xludf.DUMMYFUNCTION("""COMPUTED_VALUE"""),1.0)</f>
        <v>1</v>
      </c>
      <c r="CR221" s="16">
        <f>IFERROR(__xludf.DUMMYFUNCTION("""COMPUTED_VALUE"""),9.0)</f>
        <v>9</v>
      </c>
      <c r="CS221" s="16">
        <f>IFERROR(__xludf.DUMMYFUNCTION("""COMPUTED_VALUE"""),10.0)</f>
        <v>10</v>
      </c>
      <c r="CT221" s="16">
        <f>IFERROR(__xludf.DUMMYFUNCTION("""COMPUTED_VALUE"""),1.0)</f>
        <v>1</v>
      </c>
      <c r="CU221" s="16">
        <f>IFERROR(__xludf.DUMMYFUNCTION("""COMPUTED_VALUE"""),9.0)</f>
        <v>9</v>
      </c>
      <c r="CV221" s="179">
        <f>IFERROR(__xludf.DUMMYFUNCTION("""COMPUTED_VALUE"""),5.666666666666666)</f>
        <v>5.666666667</v>
      </c>
      <c r="CW221" s="179">
        <f>IFERROR(__xludf.DUMMYFUNCTION("""COMPUTED_VALUE"""),-1.0)</f>
        <v>-1</v>
      </c>
      <c r="CX221" s="179">
        <f>IFERROR(__xludf.DUMMYFUNCTION("""COMPUTED_VALUE"""),3.0)</f>
        <v>3</v>
      </c>
      <c r="CY221" s="16" t="str">
        <f>IFERROR(__xludf.DUMMYFUNCTION("""COMPUTED_VALUE"""),"SP")</f>
        <v>SP</v>
      </c>
      <c r="CZ221" s="16"/>
      <c r="DA221" s="16"/>
      <c r="DB221" s="16"/>
      <c r="DC221" s="16"/>
      <c r="DD221" s="16"/>
      <c r="DE221" s="16"/>
      <c r="DF221" s="16"/>
      <c r="DG221" s="16"/>
      <c r="DH221" s="16"/>
      <c r="DI221" s="16"/>
      <c r="DJ221" s="16"/>
      <c r="DK221" s="16"/>
    </row>
    <row r="222">
      <c r="A222" s="16">
        <f>IFERROR(__xludf.DUMMYFUNCTION("""COMPUTED_VALUE"""),13361.0)</f>
        <v>13361</v>
      </c>
      <c r="B222" s="16" t="str">
        <f>IFERROR(__xludf.DUMMYFUNCTION("""COMPUTED_VALUE"""),"Sean Hjelle")</f>
        <v>Sean Hjelle</v>
      </c>
      <c r="C222" s="153">
        <f>IFERROR(__xludf.DUMMYFUNCTION("""COMPUTED_VALUE"""),0.32)</f>
        <v>0.32</v>
      </c>
      <c r="D222" s="16"/>
      <c r="E222" s="16" t="str">
        <f>IFERROR(__xludf.DUMMYFUNCTION("""COMPUTED_VALUE"""),"R")</f>
        <v>R</v>
      </c>
      <c r="F222" s="16">
        <f>IFERROR(__xludf.DUMMYFUNCTION("""COMPUTED_VALUE"""),81.0)</f>
        <v>81</v>
      </c>
      <c r="G222" s="16">
        <f>IFERROR(__xludf.DUMMYFUNCTION("""COMPUTED_VALUE"""),20.0)</f>
        <v>20</v>
      </c>
      <c r="H222" s="16">
        <f>IFERROR(__xludf.DUMMYFUNCTION("""COMPUTED_VALUE"""),28.0)</f>
        <v>28</v>
      </c>
      <c r="I222" s="16">
        <f>IFERROR(__xludf.DUMMYFUNCTION("""COMPUTED_VALUE"""),-1.0)</f>
        <v>-1</v>
      </c>
      <c r="J222" s="16">
        <f>IFERROR(__xludf.DUMMYFUNCTION("""COMPUTED_VALUE"""),0.0)</f>
        <v>0</v>
      </c>
      <c r="K222" s="16">
        <f>IFERROR(__xludf.DUMMYFUNCTION("""COMPUTED_VALUE"""),-3.0)</f>
        <v>-3</v>
      </c>
      <c r="L222" s="16">
        <f>IFERROR(__xludf.DUMMYFUNCTION("""COMPUTED_VALUE"""),0.0)</f>
        <v>0</v>
      </c>
      <c r="M222" s="16">
        <f>IFERROR(__xludf.DUMMYFUNCTION("""COMPUTED_VALUE"""),0.0)</f>
        <v>0</v>
      </c>
      <c r="N222" s="16">
        <f>IFERROR(__xludf.DUMMYFUNCTION("""COMPUTED_VALUE"""),0.0)</f>
        <v>0</v>
      </c>
      <c r="O222" s="16">
        <f>IFERROR(__xludf.DUMMYFUNCTION("""COMPUTED_VALUE"""),3.0)</f>
        <v>3</v>
      </c>
      <c r="P222" s="16">
        <f>IFERROR(__xludf.DUMMYFUNCTION("""COMPUTED_VALUE"""),3.0)</f>
        <v>3</v>
      </c>
      <c r="Q222" s="16">
        <f>IFERROR(__xludf.DUMMYFUNCTION("""COMPUTED_VALUE"""),3.0)</f>
        <v>3</v>
      </c>
      <c r="R222" s="16">
        <f>IFERROR(__xludf.DUMMYFUNCTION("""COMPUTED_VALUE"""),3.0)</f>
        <v>3</v>
      </c>
      <c r="S222" s="16">
        <f>IFERROR(__xludf.DUMMYFUNCTION("""COMPUTED_VALUE"""),15.3)</f>
        <v>15.3</v>
      </c>
      <c r="T222" s="16">
        <f>IFERROR(__xludf.DUMMYFUNCTION("""COMPUTED_VALUE"""),26.8)</f>
        <v>26.8</v>
      </c>
      <c r="U222" s="16">
        <f>IFERROR(__xludf.DUMMYFUNCTION("""COMPUTED_VALUE"""),0.0)</f>
        <v>0</v>
      </c>
      <c r="V222" s="16">
        <f>IFERROR(__xludf.DUMMYFUNCTION("""COMPUTED_VALUE"""),-2.0)</f>
        <v>-2</v>
      </c>
      <c r="W222" s="16">
        <f>IFERROR(__xludf.DUMMYFUNCTION("""COMPUTED_VALUE"""),0.0)</f>
        <v>0</v>
      </c>
      <c r="X222" s="16">
        <f>IFERROR(__xludf.DUMMYFUNCTION("""COMPUTED_VALUE"""),-4.0)</f>
        <v>-4</v>
      </c>
      <c r="Y222" s="16">
        <f>IFERROR(__xludf.DUMMYFUNCTION("""COMPUTED_VALUE"""),15.3)</f>
        <v>15.3</v>
      </c>
      <c r="Z222" s="16">
        <f>IFERROR(__xludf.DUMMYFUNCTION("""COMPUTED_VALUE"""),26.8)</f>
        <v>26.8</v>
      </c>
      <c r="AA222" s="16">
        <f>IFERROR(__xludf.DUMMYFUNCTION("""COMPUTED_VALUE"""),2.0)</f>
        <v>2</v>
      </c>
      <c r="AB222" s="16">
        <f>IFERROR(__xludf.DUMMYFUNCTION("""COMPUTED_VALUE"""),0.0)</f>
        <v>0</v>
      </c>
      <c r="AC222" s="16">
        <f>IFERROR(__xludf.DUMMYFUNCTION("""COMPUTED_VALUE"""),10.0)</f>
        <v>10</v>
      </c>
      <c r="AD222" s="16">
        <f>IFERROR(__xludf.DUMMYFUNCTION("""COMPUTED_VALUE"""),0.0)</f>
        <v>0</v>
      </c>
      <c r="AE222" s="16">
        <f>IFERROR(__xludf.DUMMYFUNCTION("""COMPUTED_VALUE"""),38.1)</f>
        <v>38.1</v>
      </c>
      <c r="AF222" s="16">
        <f>IFERROR(__xludf.DUMMYFUNCTION("""COMPUTED_VALUE"""),29.3)</f>
        <v>29.3</v>
      </c>
      <c r="AG222" s="16">
        <f>IFERROR(__xludf.DUMMYFUNCTION("""COMPUTED_VALUE"""),-1.0)</f>
        <v>-1</v>
      </c>
      <c r="AH222" s="16">
        <f>IFERROR(__xludf.DUMMYFUNCTION("""COMPUTED_VALUE"""),0.0)</f>
        <v>0</v>
      </c>
      <c r="AI222" s="16">
        <f>IFERROR(__xludf.DUMMYFUNCTION("""COMPUTED_VALUE"""),-2.0)</f>
        <v>-2</v>
      </c>
      <c r="AJ222" s="16">
        <f>IFERROR(__xludf.DUMMYFUNCTION("""COMPUTED_VALUE"""),0.0)</f>
        <v>0</v>
      </c>
      <c r="AK222" s="16">
        <f>IFERROR(__xludf.DUMMYFUNCTION("""COMPUTED_VALUE"""),8.3)</f>
        <v>8.3</v>
      </c>
      <c r="AL222" s="16">
        <f>IFERROR(__xludf.DUMMYFUNCTION("""COMPUTED_VALUE"""),26.8)</f>
        <v>26.8</v>
      </c>
      <c r="AM222" s="16">
        <f>IFERROR(__xludf.DUMMYFUNCTION("""COMPUTED_VALUE"""),1.0)</f>
        <v>1</v>
      </c>
      <c r="AN222" s="16">
        <f>IFERROR(__xludf.DUMMYFUNCTION("""COMPUTED_VALUE"""),-2.0)</f>
        <v>-2</v>
      </c>
      <c r="AO222" s="16">
        <f>IFERROR(__xludf.DUMMYFUNCTION("""COMPUTED_VALUE"""),1.0)</f>
        <v>1</v>
      </c>
      <c r="AP222" s="16">
        <f>IFERROR(__xludf.DUMMYFUNCTION("""COMPUTED_VALUE"""),-2.0)</f>
        <v>-2</v>
      </c>
      <c r="AQ222" s="16">
        <f>IFERROR(__xludf.DUMMYFUNCTION("""COMPUTED_VALUE"""),10.100000000000001)</f>
        <v>10.1</v>
      </c>
      <c r="AR222" s="16">
        <f>IFERROR(__xludf.DUMMYFUNCTION("""COMPUTED_VALUE"""),29.3)</f>
        <v>29.3</v>
      </c>
      <c r="AS222" s="16">
        <f>IFERROR(__xludf.DUMMYFUNCTION("""COMPUTED_VALUE"""),1.0)</f>
        <v>1</v>
      </c>
      <c r="AT222" s="16">
        <f>IFERROR(__xludf.DUMMYFUNCTION("""COMPUTED_VALUE"""),-1.0)</f>
        <v>-1</v>
      </c>
      <c r="AU222" s="16">
        <f>IFERROR(__xludf.DUMMYFUNCTION("""COMPUTED_VALUE"""),2.0)</f>
        <v>2</v>
      </c>
      <c r="AV222" s="16">
        <f>IFERROR(__xludf.DUMMYFUNCTION("""COMPUTED_VALUE"""),-2.0)</f>
        <v>-2</v>
      </c>
      <c r="AW222" s="16">
        <f>IFERROR(__xludf.DUMMYFUNCTION("""COMPUTED_VALUE"""),7.0)</f>
        <v>7</v>
      </c>
      <c r="AX222" s="16">
        <f>IFERROR(__xludf.DUMMYFUNCTION("""COMPUTED_VALUE"""),0.0)</f>
        <v>0</v>
      </c>
      <c r="AY222" s="16">
        <f>IFERROR(__xludf.DUMMYFUNCTION("""COMPUTED_VALUE"""),-3.0)</f>
        <v>-3</v>
      </c>
      <c r="AZ222" s="16">
        <f>IFERROR(__xludf.DUMMYFUNCTION("""COMPUTED_VALUE"""),2.0)</f>
        <v>2</v>
      </c>
      <c r="BA222" s="16">
        <f>IFERROR(__xludf.DUMMYFUNCTION("""COMPUTED_VALUE"""),-15.0)</f>
        <v>-15</v>
      </c>
      <c r="BB222" s="16">
        <f>IFERROR(__xludf.DUMMYFUNCTION("""COMPUTED_VALUE"""),10.0)</f>
        <v>10</v>
      </c>
      <c r="BC222" s="16">
        <f>IFERROR(__xludf.DUMMYFUNCTION("""COMPUTED_VALUE"""),8.0)</f>
        <v>8</v>
      </c>
      <c r="BD222" s="16">
        <f>IFERROR(__xludf.DUMMYFUNCTION("""COMPUTED_VALUE"""),0.0)</f>
        <v>0</v>
      </c>
      <c r="BE222" s="16">
        <f>IFERROR(__xludf.DUMMYFUNCTION("""COMPUTED_VALUE"""),8.0)</f>
        <v>8</v>
      </c>
      <c r="BF222" s="16">
        <f>IFERROR(__xludf.DUMMYFUNCTION("""COMPUTED_VALUE"""),0.0)</f>
        <v>0</v>
      </c>
      <c r="BG222" s="16">
        <f>IFERROR(__xludf.DUMMYFUNCTION("""COMPUTED_VALUE"""),-3.0)</f>
        <v>-3</v>
      </c>
      <c r="BH222" s="16">
        <f>IFERROR(__xludf.DUMMYFUNCTION("""COMPUTED_VALUE"""),2.0)</f>
        <v>2</v>
      </c>
      <c r="BI222" s="16">
        <f>IFERROR(__xludf.DUMMYFUNCTION("""COMPUTED_VALUE"""),-6.0)</f>
        <v>-6</v>
      </c>
      <c r="BJ222" s="16">
        <f>IFERROR(__xludf.DUMMYFUNCTION("""COMPUTED_VALUE"""),4.0)</f>
        <v>4</v>
      </c>
      <c r="BK222" s="16">
        <f>IFERROR(__xludf.DUMMYFUNCTION("""COMPUTED_VALUE"""),5.0)</f>
        <v>5</v>
      </c>
      <c r="BL222" s="16">
        <f>IFERROR(__xludf.DUMMYFUNCTION("""COMPUTED_VALUE"""),5.0)</f>
        <v>5</v>
      </c>
      <c r="BM222" s="16">
        <f>IFERROR(__xludf.DUMMYFUNCTION("""COMPUTED_VALUE"""),0.0)</f>
        <v>0</v>
      </c>
      <c r="BN222" s="16">
        <f>IFERROR(__xludf.DUMMYFUNCTION("""COMPUTED_VALUE"""),0.0)</f>
        <v>0</v>
      </c>
      <c r="BO222" s="16">
        <f>IFERROR(__xludf.DUMMYFUNCTION("""COMPUTED_VALUE"""),0.0)</f>
        <v>0</v>
      </c>
      <c r="BP222" s="16">
        <f>IFERROR(__xludf.DUMMYFUNCTION("""COMPUTED_VALUE"""),0.0)</f>
        <v>0</v>
      </c>
      <c r="BQ222" s="16">
        <f>IFERROR(__xludf.DUMMYFUNCTION("""COMPUTED_VALUE"""),11.0)</f>
        <v>11</v>
      </c>
      <c r="BR222" s="16">
        <f>IFERROR(__xludf.DUMMYFUNCTION("""COMPUTED_VALUE"""),11.0)</f>
        <v>11</v>
      </c>
      <c r="BS222" s="16">
        <f>IFERROR(__xludf.DUMMYFUNCTION("""COMPUTED_VALUE"""),3.0)</f>
        <v>3</v>
      </c>
      <c r="BT222" s="16">
        <f>IFERROR(__xludf.DUMMYFUNCTION("""COMPUTED_VALUE"""),3.0)</f>
        <v>3</v>
      </c>
      <c r="BU222" s="16">
        <f>IFERROR(__xludf.DUMMYFUNCTION("""COMPUTED_VALUE"""),6.0)</f>
        <v>6</v>
      </c>
      <c r="BV222" s="16">
        <f>IFERROR(__xludf.DUMMYFUNCTION("""COMPUTED_VALUE"""),6.0)</f>
        <v>6</v>
      </c>
      <c r="BW222" s="16">
        <f>IFERROR(__xludf.DUMMYFUNCTION("""COMPUTED_VALUE"""),-1.0)</f>
        <v>-1</v>
      </c>
      <c r="BX222" s="16">
        <f>IFERROR(__xludf.DUMMYFUNCTION("""COMPUTED_VALUE"""),-1.0)</f>
        <v>-1</v>
      </c>
      <c r="BY222" s="16" t="str">
        <f>IFERROR(__xludf.DUMMYFUNCTION("""COMPUTED_VALUE"""),"R(2)")</f>
        <v>R(2)</v>
      </c>
      <c r="BZ222" s="16" t="str">
        <f>IFERROR(__xludf.DUMMYFUNCTION("""COMPUTED_VALUE"""),"R(2)")</f>
        <v>R(2)</v>
      </c>
      <c r="CA222" s="16" t="str">
        <f>IFERROR(__xludf.DUMMYFUNCTION("""COMPUTED_VALUE"""),"R(2)")</f>
        <v>R(2)</v>
      </c>
      <c r="CB222" s="16"/>
      <c r="CC222" s="16"/>
      <c r="CD222" s="16"/>
      <c r="CE222" s="16">
        <f>IFERROR(__xludf.DUMMYFUNCTION("""COMPUTED_VALUE"""),2.0)</f>
        <v>2</v>
      </c>
      <c r="CF222" s="16"/>
      <c r="CG222" s="16" t="str">
        <f>IFERROR(__xludf.DUMMYFUNCTION("""COMPUTED_VALUE"""),"2-0")</f>
        <v>2-0</v>
      </c>
      <c r="CH222" s="16">
        <f>IFERROR(__xludf.DUMMYFUNCTION("""COMPUTED_VALUE"""),2.0)</f>
        <v>2</v>
      </c>
      <c r="CI222" s="16">
        <f>IFERROR(__xludf.DUMMYFUNCTION("""COMPUTED_VALUE"""),0.0)</f>
        <v>0</v>
      </c>
      <c r="CJ222" s="16">
        <f>IFERROR(__xludf.DUMMYFUNCTION("""COMPUTED_VALUE"""),0.0)</f>
        <v>0</v>
      </c>
      <c r="CK222" s="16">
        <f>IFERROR(__xludf.DUMMYFUNCTION("""COMPUTED_VALUE"""),0.0)</f>
        <v>0</v>
      </c>
      <c r="CL222" s="16" t="str">
        <f>IFERROR(__xludf.DUMMYFUNCTION("""COMPUTED_VALUE"""),"1WR-C")</f>
        <v>1WR-C</v>
      </c>
      <c r="CM222" s="16" t="str">
        <f>IFERROR(__xludf.DUMMYFUNCTION("""COMPUTED_VALUE"""),"E")</f>
        <v>E</v>
      </c>
      <c r="CN222" s="16">
        <f>IFERROR(__xludf.DUMMYFUNCTION("""COMPUTED_VALUE"""),10.0)</f>
        <v>10</v>
      </c>
      <c r="CO222" s="16" t="str">
        <f>IFERROR(__xludf.DUMMYFUNCTION("""COMPUTED_VALUE"""),"C")</f>
        <v>C</v>
      </c>
      <c r="CP222" s="16" t="str">
        <f>IFERROR(__xludf.DUMMYFUNCTION("""COMPUTED_VALUE"""),"2p50")</f>
        <v>2p50</v>
      </c>
      <c r="CQ222" s="16">
        <f>IFERROR(__xludf.DUMMYFUNCTION("""COMPUTED_VALUE"""),-4.0)</f>
        <v>-4</v>
      </c>
      <c r="CR222" s="16">
        <f>IFERROR(__xludf.DUMMYFUNCTION("""COMPUTED_VALUE"""),15.0)</f>
        <v>15</v>
      </c>
      <c r="CS222" s="16">
        <f>IFERROR(__xludf.DUMMYFUNCTION("""COMPUTED_VALUE"""),11.0)</f>
        <v>11</v>
      </c>
      <c r="CT222" s="16">
        <f>IFERROR(__xludf.DUMMYFUNCTION("""COMPUTED_VALUE"""),-4.0)</f>
        <v>-4</v>
      </c>
      <c r="CU222" s="16">
        <f>IFERROR(__xludf.DUMMYFUNCTION("""COMPUTED_VALUE"""),15.0)</f>
        <v>15</v>
      </c>
      <c r="CV222" s="179">
        <f>IFERROR(__xludf.DUMMYFUNCTION("""COMPUTED_VALUE"""),5.333333333333334)</f>
        <v>5.333333333</v>
      </c>
      <c r="CW222" s="179">
        <f>IFERROR(__xludf.DUMMYFUNCTION("""COMPUTED_VALUE"""),3.0)</f>
        <v>3</v>
      </c>
      <c r="CX222" s="179">
        <f>IFERROR(__xludf.DUMMYFUNCTION("""COMPUTED_VALUE"""),0.0)</f>
        <v>0</v>
      </c>
      <c r="CY222" s="16" t="str">
        <f>IFERROR(__xludf.DUMMYFUNCTION("""COMPUTED_VALUE"""),"RP")</f>
        <v>RP</v>
      </c>
      <c r="CZ222" s="16"/>
      <c r="DA222" s="16"/>
      <c r="DB222" s="16"/>
      <c r="DC222" s="16"/>
      <c r="DD222" s="16"/>
      <c r="DE222" s="16"/>
      <c r="DF222" s="16"/>
      <c r="DG222" s="16"/>
      <c r="DH222" s="16"/>
      <c r="DI222" s="16"/>
      <c r="DJ222" s="16"/>
      <c r="DK222" s="16"/>
    </row>
    <row r="223">
      <c r="A223" s="16">
        <f>IFERROR(__xludf.DUMMYFUNCTION("""COMPUTED_VALUE"""),13343.0)</f>
        <v>13343</v>
      </c>
      <c r="B223" s="16" t="str">
        <f>IFERROR(__xludf.DUMMYFUNCTION("""COMPUTED_VALUE"""),"Ryan Weathers")</f>
        <v>Ryan Weathers</v>
      </c>
      <c r="C223" s="153">
        <f>IFERROR(__xludf.DUMMYFUNCTION("""COMPUTED_VALUE"""),1.9)</f>
        <v>1.9</v>
      </c>
      <c r="D223" s="16"/>
      <c r="E223" s="16" t="str">
        <f>IFERROR(__xludf.DUMMYFUNCTION("""COMPUTED_VALUE"""),"L")</f>
        <v>L</v>
      </c>
      <c r="F223" s="16">
        <f>IFERROR(__xludf.DUMMYFUNCTION("""COMPUTED_VALUE"""),87.0)</f>
        <v>87</v>
      </c>
      <c r="G223" s="16">
        <f>IFERROR(__xludf.DUMMYFUNCTION("""COMPUTED_VALUE"""),29.0)</f>
        <v>29</v>
      </c>
      <c r="H223" s="16">
        <f>IFERROR(__xludf.DUMMYFUNCTION("""COMPUTED_VALUE"""),23.0)</f>
        <v>23</v>
      </c>
      <c r="I223" s="16">
        <f>IFERROR(__xludf.DUMMYFUNCTION("""COMPUTED_VALUE"""),0.0)</f>
        <v>0</v>
      </c>
      <c r="J223" s="16">
        <f>IFERROR(__xludf.DUMMYFUNCTION("""COMPUTED_VALUE"""),-1.0)</f>
        <v>-1</v>
      </c>
      <c r="K223" s="16">
        <f>IFERROR(__xludf.DUMMYFUNCTION("""COMPUTED_VALUE"""),0.0)</f>
        <v>0</v>
      </c>
      <c r="L223" s="16">
        <f>IFERROR(__xludf.DUMMYFUNCTION("""COMPUTED_VALUE"""),-3.0)</f>
        <v>-3</v>
      </c>
      <c r="M223" s="16">
        <f>IFERROR(__xludf.DUMMYFUNCTION("""COMPUTED_VALUE"""),13.0)</f>
        <v>13</v>
      </c>
      <c r="N223" s="16">
        <f>IFERROR(__xludf.DUMMYFUNCTION("""COMPUTED_VALUE"""),3.0)</f>
        <v>3</v>
      </c>
      <c r="O223" s="16">
        <f>IFERROR(__xludf.DUMMYFUNCTION("""COMPUTED_VALUE"""),-1.0)</f>
        <v>-1</v>
      </c>
      <c r="P223" s="16">
        <f>IFERROR(__xludf.DUMMYFUNCTION("""COMPUTED_VALUE"""),2.0)</f>
        <v>2</v>
      </c>
      <c r="Q223" s="16">
        <f>IFERROR(__xludf.DUMMYFUNCTION("""COMPUTED_VALUE"""),-1.0)</f>
        <v>-1</v>
      </c>
      <c r="R223" s="16">
        <f>IFERROR(__xludf.DUMMYFUNCTION("""COMPUTED_VALUE"""),2.0)</f>
        <v>2</v>
      </c>
      <c r="S223" s="16">
        <f>IFERROR(__xludf.DUMMYFUNCTION("""COMPUTED_VALUE"""),10.8)</f>
        <v>10.8</v>
      </c>
      <c r="T223" s="16">
        <f>IFERROR(__xludf.DUMMYFUNCTION("""COMPUTED_VALUE"""),13.3)</f>
        <v>13.3</v>
      </c>
      <c r="U223" s="16">
        <f>IFERROR(__xludf.DUMMYFUNCTION("""COMPUTED_VALUE"""),1.0)</f>
        <v>1</v>
      </c>
      <c r="V223" s="16">
        <f>IFERROR(__xludf.DUMMYFUNCTION("""COMPUTED_VALUE"""),0.0)</f>
        <v>0</v>
      </c>
      <c r="W223" s="16">
        <f>IFERROR(__xludf.DUMMYFUNCTION("""COMPUTED_VALUE"""),2.0)</f>
        <v>2</v>
      </c>
      <c r="X223" s="16">
        <f>IFERROR(__xludf.DUMMYFUNCTION("""COMPUTED_VALUE"""),0.0)</f>
        <v>0</v>
      </c>
      <c r="Y223" s="16">
        <f>IFERROR(__xludf.DUMMYFUNCTION("""COMPUTED_VALUE"""),23.8)</f>
        <v>23.8</v>
      </c>
      <c r="Z223" s="16">
        <f>IFERROR(__xludf.DUMMYFUNCTION("""COMPUTED_VALUE"""),16.3)</f>
        <v>16.3</v>
      </c>
      <c r="AA223" s="16">
        <f>IFERROR(__xludf.DUMMYFUNCTION("""COMPUTED_VALUE"""),0.0)</f>
        <v>0</v>
      </c>
      <c r="AB223" s="16">
        <f>IFERROR(__xludf.DUMMYFUNCTION("""COMPUTED_VALUE"""),1.0)</f>
        <v>1</v>
      </c>
      <c r="AC223" s="16">
        <f>IFERROR(__xludf.DUMMYFUNCTION("""COMPUTED_VALUE"""),0.0)</f>
        <v>0</v>
      </c>
      <c r="AD223" s="16">
        <f>IFERROR(__xludf.DUMMYFUNCTION("""COMPUTED_VALUE"""),5.0)</f>
        <v>5</v>
      </c>
      <c r="AE223" s="16">
        <f>IFERROR(__xludf.DUMMYFUNCTION("""COMPUTED_VALUE"""),18.5)</f>
        <v>18.5</v>
      </c>
      <c r="AF223" s="16">
        <f>IFERROR(__xludf.DUMMYFUNCTION("""COMPUTED_VALUE"""),28.4)</f>
        <v>28.4</v>
      </c>
      <c r="AG223" s="16">
        <f>IFERROR(__xludf.DUMMYFUNCTION("""COMPUTED_VALUE"""),1.0)</f>
        <v>1</v>
      </c>
      <c r="AH223" s="16">
        <f>IFERROR(__xludf.DUMMYFUNCTION("""COMPUTED_VALUE"""),0.0)</f>
        <v>0</v>
      </c>
      <c r="AI223" s="16">
        <f>IFERROR(__xludf.DUMMYFUNCTION("""COMPUTED_VALUE"""),2.0)</f>
        <v>2</v>
      </c>
      <c r="AJ223" s="16">
        <f>IFERROR(__xludf.DUMMYFUNCTION("""COMPUTED_VALUE"""),0.0)</f>
        <v>0</v>
      </c>
      <c r="AK223" s="16">
        <f>IFERROR(__xludf.DUMMYFUNCTION("""COMPUTED_VALUE"""),10.8)</f>
        <v>10.8</v>
      </c>
      <c r="AL223" s="16">
        <f>IFERROR(__xludf.DUMMYFUNCTION("""COMPUTED_VALUE"""),10.100000000000001)</f>
        <v>10.1</v>
      </c>
      <c r="AM223" s="16">
        <f>IFERROR(__xludf.DUMMYFUNCTION("""COMPUTED_VALUE"""),0.0)</f>
        <v>0</v>
      </c>
      <c r="AN223" s="16">
        <f>IFERROR(__xludf.DUMMYFUNCTION("""COMPUTED_VALUE"""),1.0)</f>
        <v>1</v>
      </c>
      <c r="AO223" s="16">
        <f>IFERROR(__xludf.DUMMYFUNCTION("""COMPUTED_VALUE"""),0.0)</f>
        <v>0</v>
      </c>
      <c r="AP223" s="16">
        <f>IFERROR(__xludf.DUMMYFUNCTION("""COMPUTED_VALUE"""),1.0)</f>
        <v>1</v>
      </c>
      <c r="AQ223" s="16">
        <f>IFERROR(__xludf.DUMMYFUNCTION("""COMPUTED_VALUE"""),18.5)</f>
        <v>18.5</v>
      </c>
      <c r="AR223" s="16">
        <f>IFERROR(__xludf.DUMMYFUNCTION("""COMPUTED_VALUE"""),15.599999999999998)</f>
        <v>15.6</v>
      </c>
      <c r="AS223" s="16">
        <f>IFERROR(__xludf.DUMMYFUNCTION("""COMPUTED_VALUE"""),0.0)</f>
        <v>0</v>
      </c>
      <c r="AT223" s="16">
        <f>IFERROR(__xludf.DUMMYFUNCTION("""COMPUTED_VALUE"""),1.0)</f>
        <v>1</v>
      </c>
      <c r="AU223" s="16">
        <f>IFERROR(__xludf.DUMMYFUNCTION("""COMPUTED_VALUE"""),0.0)</f>
        <v>0</v>
      </c>
      <c r="AV223" s="16">
        <f>IFERROR(__xludf.DUMMYFUNCTION("""COMPUTED_VALUE"""),2.0)</f>
        <v>2</v>
      </c>
      <c r="AW223" s="16">
        <f>IFERROR(__xludf.DUMMYFUNCTION("""COMPUTED_VALUE"""),0.0)</f>
        <v>0</v>
      </c>
      <c r="AX223" s="16">
        <f>IFERROR(__xludf.DUMMYFUNCTION("""COMPUTED_VALUE"""),3.2)</f>
        <v>3.2</v>
      </c>
      <c r="AY223" s="16">
        <f>IFERROR(__xludf.DUMMYFUNCTION("""COMPUTED_VALUE"""),2.0)</f>
        <v>2</v>
      </c>
      <c r="AZ223" s="16">
        <f>IFERROR(__xludf.DUMMYFUNCTION("""COMPUTED_VALUE"""),-1.0)</f>
        <v>-1</v>
      </c>
      <c r="BA223" s="16">
        <f>IFERROR(__xludf.DUMMYFUNCTION("""COMPUTED_VALUE"""),10.0)</f>
        <v>10</v>
      </c>
      <c r="BB223" s="16">
        <f>IFERROR(__xludf.DUMMYFUNCTION("""COMPUTED_VALUE"""),-5.0)</f>
        <v>-5</v>
      </c>
      <c r="BC223" s="16"/>
      <c r="BD223" s="16">
        <f>IFERROR(__xludf.DUMMYFUNCTION("""COMPUTED_VALUE"""),5.0)</f>
        <v>5</v>
      </c>
      <c r="BE223" s="16">
        <f>IFERROR(__xludf.DUMMYFUNCTION("""COMPUTED_VALUE"""),0.0)</f>
        <v>0</v>
      </c>
      <c r="BF223" s="16">
        <f>IFERROR(__xludf.DUMMYFUNCTION("""COMPUTED_VALUE"""),5.0)</f>
        <v>5</v>
      </c>
      <c r="BG223" s="16">
        <f>IFERROR(__xludf.DUMMYFUNCTION("""COMPUTED_VALUE"""),3.0)</f>
        <v>3</v>
      </c>
      <c r="BH223" s="16">
        <f>IFERROR(__xludf.DUMMYFUNCTION("""COMPUTED_VALUE"""),-2.0)</f>
        <v>-2</v>
      </c>
      <c r="BI223" s="16">
        <f>IFERROR(__xludf.DUMMYFUNCTION("""COMPUTED_VALUE"""),6.0)</f>
        <v>6</v>
      </c>
      <c r="BJ223" s="16">
        <f>IFERROR(__xludf.DUMMYFUNCTION("""COMPUTED_VALUE"""),-4.0)</f>
        <v>-4</v>
      </c>
      <c r="BK223" s="16">
        <f>IFERROR(__xludf.DUMMYFUNCTION("""COMPUTED_VALUE"""),0.0)</f>
        <v>0</v>
      </c>
      <c r="BL223" s="16">
        <f>IFERROR(__xludf.DUMMYFUNCTION("""COMPUTED_VALUE"""),5.0)</f>
        <v>5</v>
      </c>
      <c r="BM223" s="16">
        <f>IFERROR(__xludf.DUMMYFUNCTION("""COMPUTED_VALUE"""),1.0)</f>
        <v>1</v>
      </c>
      <c r="BN223" s="16">
        <f>IFERROR(__xludf.DUMMYFUNCTION("""COMPUTED_VALUE"""),0.0)</f>
        <v>0</v>
      </c>
      <c r="BO223" s="16">
        <f>IFERROR(__xludf.DUMMYFUNCTION("""COMPUTED_VALUE"""),1.0)</f>
        <v>1</v>
      </c>
      <c r="BP223" s="16">
        <f>IFERROR(__xludf.DUMMYFUNCTION("""COMPUTED_VALUE"""),0.0)</f>
        <v>0</v>
      </c>
      <c r="BQ223" s="16">
        <f>IFERROR(__xludf.DUMMYFUNCTION("""COMPUTED_VALUE"""),5.0)</f>
        <v>5</v>
      </c>
      <c r="BR223" s="16">
        <f>IFERROR(__xludf.DUMMYFUNCTION("""COMPUTED_VALUE"""),5.0)</f>
        <v>5</v>
      </c>
      <c r="BS223" s="16">
        <f>IFERROR(__xludf.DUMMYFUNCTION("""COMPUTED_VALUE"""),0.0)</f>
        <v>0</v>
      </c>
      <c r="BT223" s="16">
        <f>IFERROR(__xludf.DUMMYFUNCTION("""COMPUTED_VALUE"""),0.0)</f>
        <v>0</v>
      </c>
      <c r="BU223" s="16">
        <f>IFERROR(__xludf.DUMMYFUNCTION("""COMPUTED_VALUE"""),0.0)</f>
        <v>0</v>
      </c>
      <c r="BV223" s="16">
        <f>IFERROR(__xludf.DUMMYFUNCTION("""COMPUTED_VALUE"""),0.0)</f>
        <v>0</v>
      </c>
      <c r="BW223" s="16">
        <f>IFERROR(__xludf.DUMMYFUNCTION("""COMPUTED_VALUE"""),-1.0)</f>
        <v>-1</v>
      </c>
      <c r="BX223" s="16">
        <f>IFERROR(__xludf.DUMMYFUNCTION("""COMPUTED_VALUE"""),-1.0)</f>
        <v>-1</v>
      </c>
      <c r="BY223" s="16" t="str">
        <f>IFERROR(__xludf.DUMMYFUNCTION("""COMPUTED_VALUE"""),"S(5)")</f>
        <v>S(5)</v>
      </c>
      <c r="BZ223" s="16" t="str">
        <f>IFERROR(__xludf.DUMMYFUNCTION("""COMPUTED_VALUE"""),"S(5)")</f>
        <v>S(5)</v>
      </c>
      <c r="CA223" s="16" t="str">
        <f>IFERROR(__xludf.DUMMYFUNCTION("""COMPUTED_VALUE"""),"S(5)")</f>
        <v>S(5)</v>
      </c>
      <c r="CB223" s="16"/>
      <c r="CC223" s="16"/>
      <c r="CD223" s="16">
        <f>IFERROR(__xludf.DUMMYFUNCTION("""COMPUTED_VALUE"""),5.0)</f>
        <v>5</v>
      </c>
      <c r="CE223" s="16"/>
      <c r="CF223" s="16"/>
      <c r="CG223" s="16" t="str">
        <f>IFERROR(__xludf.DUMMYFUNCTION("""COMPUTED_VALUE"""),"3-0")</f>
        <v>3-0</v>
      </c>
      <c r="CH223" s="16">
        <f>IFERROR(__xludf.DUMMYFUNCTION("""COMPUTED_VALUE"""),3.0)</f>
        <v>3</v>
      </c>
      <c r="CI223" s="16">
        <f>IFERROR(__xludf.DUMMYFUNCTION("""COMPUTED_VALUE"""),0.0)</f>
        <v>0</v>
      </c>
      <c r="CJ223" s="16">
        <f>IFERROR(__xludf.DUMMYFUNCTION("""COMPUTED_VALUE"""),4.0)</f>
        <v>4</v>
      </c>
      <c r="CK223" s="16">
        <f>IFERROR(__xludf.DUMMYFUNCTION("""COMPUTED_VALUE"""),4.0)</f>
        <v>4</v>
      </c>
      <c r="CL223" s="16" t="str">
        <f>IFERROR(__xludf.DUMMYFUNCTION("""COMPUTED_VALUE"""),"1WR-C")</f>
        <v>1WR-C</v>
      </c>
      <c r="CM223" s="16" t="str">
        <f>IFERROR(__xludf.DUMMYFUNCTION("""COMPUTED_VALUE"""),"E")</f>
        <v>E</v>
      </c>
      <c r="CN223" s="16">
        <f>IFERROR(__xludf.DUMMYFUNCTION("""COMPUTED_VALUE"""),10.0)</f>
        <v>10</v>
      </c>
      <c r="CO223" s="16" t="str">
        <f>IFERROR(__xludf.DUMMYFUNCTION("""COMPUTED_VALUE"""),"C")</f>
        <v>C</v>
      </c>
      <c r="CP223" s="16" t="str">
        <f>IFERROR(__xludf.DUMMYFUNCTION("""COMPUTED_VALUE"""),"5p50")</f>
        <v>5p50</v>
      </c>
      <c r="CQ223" s="16">
        <f>IFERROR(__xludf.DUMMYFUNCTION("""COMPUTED_VALUE"""),20.0)</f>
        <v>20</v>
      </c>
      <c r="CR223" s="16">
        <f>IFERROR(__xludf.DUMMYFUNCTION("""COMPUTED_VALUE"""),-2.0)</f>
        <v>-2</v>
      </c>
      <c r="CS223" s="16">
        <f>IFERROR(__xludf.DUMMYFUNCTION("""COMPUTED_VALUE"""),18.0)</f>
        <v>18</v>
      </c>
      <c r="CT223" s="16">
        <f>IFERROR(__xludf.DUMMYFUNCTION("""COMPUTED_VALUE"""),20.0)</f>
        <v>20</v>
      </c>
      <c r="CU223" s="16">
        <f>IFERROR(__xludf.DUMMYFUNCTION("""COMPUTED_VALUE"""),-2.0)</f>
        <v>-2</v>
      </c>
      <c r="CV223" s="179">
        <f>IFERROR(__xludf.DUMMYFUNCTION("""COMPUTED_VALUE"""),5.333333333333333)</f>
        <v>5.333333333</v>
      </c>
      <c r="CW223" s="179">
        <f>IFERROR(__xludf.DUMMYFUNCTION("""COMPUTED_VALUE"""),0.0)</f>
        <v>0</v>
      </c>
      <c r="CX223" s="179">
        <f>IFERROR(__xludf.DUMMYFUNCTION("""COMPUTED_VALUE"""),0.0)</f>
        <v>0</v>
      </c>
      <c r="CY223" s="16" t="str">
        <f>IFERROR(__xludf.DUMMYFUNCTION("""COMPUTED_VALUE"""),"SP")</f>
        <v>SP</v>
      </c>
      <c r="CZ223" s="16"/>
      <c r="DA223" s="16"/>
      <c r="DB223" s="16"/>
      <c r="DC223" s="16"/>
      <c r="DD223" s="16"/>
      <c r="DE223" s="16"/>
      <c r="DF223" s="16"/>
      <c r="DG223" s="16"/>
      <c r="DH223" s="16"/>
      <c r="DI223" s="16"/>
      <c r="DJ223" s="16"/>
      <c r="DK223" s="16"/>
    </row>
    <row r="224">
      <c r="A224" s="16">
        <f>IFERROR(__xludf.DUMMYFUNCTION("""COMPUTED_VALUE"""),12650.0)</f>
        <v>12650</v>
      </c>
      <c r="B224" s="16" t="str">
        <f>IFERROR(__xludf.DUMMYFUNCTION("""COMPUTED_VALUE"""),"Camilo Doval")</f>
        <v>Camilo Doval</v>
      </c>
      <c r="C224" s="153">
        <f>IFERROR(__xludf.DUMMYFUNCTION("""COMPUTED_VALUE"""),0.0)</f>
        <v>0</v>
      </c>
      <c r="D224" s="16"/>
      <c r="E224" s="16" t="str">
        <f>IFERROR(__xludf.DUMMYFUNCTION("""COMPUTED_VALUE"""),"R")</f>
        <v>R</v>
      </c>
      <c r="F224" s="16">
        <f>IFERROR(__xludf.DUMMYFUNCTION("""COMPUTED_VALUE"""),59.0)</f>
        <v>59</v>
      </c>
      <c r="G224" s="16">
        <f>IFERROR(__xludf.DUMMYFUNCTION("""COMPUTED_VALUE"""),25.0)</f>
        <v>25</v>
      </c>
      <c r="H224" s="16">
        <f>IFERROR(__xludf.DUMMYFUNCTION("""COMPUTED_VALUE"""),44.0)</f>
        <v>44</v>
      </c>
      <c r="I224" s="16">
        <f>IFERROR(__xludf.DUMMYFUNCTION("""COMPUTED_VALUE"""),0.0)</f>
        <v>0</v>
      </c>
      <c r="J224" s="16">
        <f>IFERROR(__xludf.DUMMYFUNCTION("""COMPUTED_VALUE"""),2.0)</f>
        <v>2</v>
      </c>
      <c r="K224" s="16">
        <f>IFERROR(__xludf.DUMMYFUNCTION("""COMPUTED_VALUE"""),0.0)</f>
        <v>0</v>
      </c>
      <c r="L224" s="16">
        <f>IFERROR(__xludf.DUMMYFUNCTION("""COMPUTED_VALUE"""),6.0)</f>
        <v>6</v>
      </c>
      <c r="M224" s="16">
        <f>IFERROR(__xludf.DUMMYFUNCTION("""COMPUTED_VALUE"""),25.0)</f>
        <v>25</v>
      </c>
      <c r="N224" s="16">
        <f>IFERROR(__xludf.DUMMYFUNCTION("""COMPUTED_VALUE"""),18.0)</f>
        <v>18</v>
      </c>
      <c r="O224" s="16">
        <f>IFERROR(__xludf.DUMMYFUNCTION("""COMPUTED_VALUE"""),-3.0)</f>
        <v>-3</v>
      </c>
      <c r="P224" s="16">
        <f>IFERROR(__xludf.DUMMYFUNCTION("""COMPUTED_VALUE"""),-3.0)</f>
        <v>-3</v>
      </c>
      <c r="Q224" s="16">
        <f>IFERROR(__xludf.DUMMYFUNCTION("""COMPUTED_VALUE"""),-3.0)</f>
        <v>-3</v>
      </c>
      <c r="R224" s="16">
        <f>IFERROR(__xludf.DUMMYFUNCTION("""COMPUTED_VALUE"""),-3.0)</f>
        <v>-3</v>
      </c>
      <c r="S224" s="16">
        <f>IFERROR(__xludf.DUMMYFUNCTION("""COMPUTED_VALUE"""),16.0)</f>
        <v>16</v>
      </c>
      <c r="T224" s="16">
        <f>IFERROR(__xludf.DUMMYFUNCTION("""COMPUTED_VALUE"""),10.9)</f>
        <v>10.9</v>
      </c>
      <c r="U224" s="16">
        <f>IFERROR(__xludf.DUMMYFUNCTION("""COMPUTED_VALUE"""),0.0)</f>
        <v>0</v>
      </c>
      <c r="V224" s="16">
        <f>IFERROR(__xludf.DUMMYFUNCTION("""COMPUTED_VALUE"""),1.0)</f>
        <v>1</v>
      </c>
      <c r="W224" s="16">
        <f>IFERROR(__xludf.DUMMYFUNCTION("""COMPUTED_VALUE"""),0.0)</f>
        <v>0</v>
      </c>
      <c r="X224" s="16">
        <f>IFERROR(__xludf.DUMMYFUNCTION("""COMPUTED_VALUE"""),2.0)</f>
        <v>2</v>
      </c>
      <c r="Y224" s="16">
        <f>IFERROR(__xludf.DUMMYFUNCTION("""COMPUTED_VALUE"""),41.0)</f>
        <v>41</v>
      </c>
      <c r="Z224" s="16">
        <f>IFERROR(__xludf.DUMMYFUNCTION("""COMPUTED_VALUE"""),29.0)</f>
        <v>29</v>
      </c>
      <c r="AA224" s="16">
        <f>IFERROR(__xludf.DUMMYFUNCTION("""COMPUTED_VALUE"""),-2.0)</f>
        <v>-2</v>
      </c>
      <c r="AB224" s="16">
        <f>IFERROR(__xludf.DUMMYFUNCTION("""COMPUTED_VALUE"""),-1.0)</f>
        <v>-1</v>
      </c>
      <c r="AC224" s="16">
        <f>IFERROR(__xludf.DUMMYFUNCTION("""COMPUTED_VALUE"""),-10.0)</f>
        <v>-10</v>
      </c>
      <c r="AD224" s="16">
        <f>IFERROR(__xludf.DUMMYFUNCTION("""COMPUTED_VALUE"""),-5.0)</f>
        <v>-5</v>
      </c>
      <c r="AE224" s="16">
        <f>IFERROR(__xludf.DUMMYFUNCTION("""COMPUTED_VALUE"""),27.1)</f>
        <v>27.1</v>
      </c>
      <c r="AF224" s="16">
        <f>IFERROR(__xludf.DUMMYFUNCTION("""COMPUTED_VALUE"""),23.7)</f>
        <v>23.7</v>
      </c>
      <c r="AG224" s="16">
        <f>IFERROR(__xludf.DUMMYFUNCTION("""COMPUTED_VALUE"""),0.0)</f>
        <v>0</v>
      </c>
      <c r="AH224" s="16">
        <f>IFERROR(__xludf.DUMMYFUNCTION("""COMPUTED_VALUE"""),1.0)</f>
        <v>1</v>
      </c>
      <c r="AI224" s="16">
        <f>IFERROR(__xludf.DUMMYFUNCTION("""COMPUTED_VALUE"""),0.0)</f>
        <v>0</v>
      </c>
      <c r="AJ224" s="16">
        <f>IFERROR(__xludf.DUMMYFUNCTION("""COMPUTED_VALUE"""),2.0)</f>
        <v>2</v>
      </c>
      <c r="AK224" s="16">
        <f>IFERROR(__xludf.DUMMYFUNCTION("""COMPUTED_VALUE"""),15.2)</f>
        <v>15.2</v>
      </c>
      <c r="AL224" s="16">
        <f>IFERROR(__xludf.DUMMYFUNCTION("""COMPUTED_VALUE"""),10.9)</f>
        <v>10.9</v>
      </c>
      <c r="AM224" s="16">
        <f>IFERROR(__xludf.DUMMYFUNCTION("""COMPUTED_VALUE"""),0.0)</f>
        <v>0</v>
      </c>
      <c r="AN224" s="16">
        <f>IFERROR(__xludf.DUMMYFUNCTION("""COMPUTED_VALUE"""),1.0)</f>
        <v>1</v>
      </c>
      <c r="AO224" s="16">
        <f>IFERROR(__xludf.DUMMYFUNCTION("""COMPUTED_VALUE"""),0.0)</f>
        <v>0</v>
      </c>
      <c r="AP224" s="16">
        <f>IFERROR(__xludf.DUMMYFUNCTION("""COMPUTED_VALUE"""),1.0)</f>
        <v>1</v>
      </c>
      <c r="AQ224" s="16">
        <f>IFERROR(__xludf.DUMMYFUNCTION("""COMPUTED_VALUE"""),23.900000000000002)</f>
        <v>23.9</v>
      </c>
      <c r="AR224" s="16">
        <f>IFERROR(__xludf.DUMMYFUNCTION("""COMPUTED_VALUE"""),23.7)</f>
        <v>23.7</v>
      </c>
      <c r="AS224" s="16">
        <f>IFERROR(__xludf.DUMMYFUNCTION("""COMPUTED_VALUE"""),-1.0)</f>
        <v>-1</v>
      </c>
      <c r="AT224" s="16">
        <f>IFERROR(__xludf.DUMMYFUNCTION("""COMPUTED_VALUE"""),-1.0)</f>
        <v>-1</v>
      </c>
      <c r="AU224" s="16">
        <f>IFERROR(__xludf.DUMMYFUNCTION("""COMPUTED_VALUE"""),-2.0)</f>
        <v>-2</v>
      </c>
      <c r="AV224" s="16">
        <f>IFERROR(__xludf.DUMMYFUNCTION("""COMPUTED_VALUE"""),-2.0)</f>
        <v>-2</v>
      </c>
      <c r="AW224" s="16">
        <f>IFERROR(__xludf.DUMMYFUNCTION("""COMPUTED_VALUE"""),0.8)</f>
        <v>0.8</v>
      </c>
      <c r="AX224" s="16">
        <f>IFERROR(__xludf.DUMMYFUNCTION("""COMPUTED_VALUE"""),0.0)</f>
        <v>0</v>
      </c>
      <c r="AY224" s="16">
        <f>IFERROR(__xludf.DUMMYFUNCTION("""COMPUTED_VALUE"""),2.0)</f>
        <v>2</v>
      </c>
      <c r="AZ224" s="16">
        <f>IFERROR(__xludf.DUMMYFUNCTION("""COMPUTED_VALUE"""),2.0)</f>
        <v>2</v>
      </c>
      <c r="BA224" s="16">
        <f>IFERROR(__xludf.DUMMYFUNCTION("""COMPUTED_VALUE"""),10.0)</f>
        <v>10</v>
      </c>
      <c r="BB224" s="16">
        <f>IFERROR(__xludf.DUMMYFUNCTION("""COMPUTED_VALUE"""),10.0)</f>
        <v>10</v>
      </c>
      <c r="BC224" s="16">
        <f>IFERROR(__xludf.DUMMYFUNCTION("""COMPUTED_VALUE"""),2.0)</f>
        <v>2</v>
      </c>
      <c r="BD224" s="16"/>
      <c r="BE224" s="16">
        <f>IFERROR(__xludf.DUMMYFUNCTION("""COMPUTED_VALUE"""),2.0)</f>
        <v>2</v>
      </c>
      <c r="BF224" s="16">
        <f>IFERROR(__xludf.DUMMYFUNCTION("""COMPUTED_VALUE"""),0.0)</f>
        <v>0</v>
      </c>
      <c r="BG224" s="16">
        <f>IFERROR(__xludf.DUMMYFUNCTION("""COMPUTED_VALUE"""),1.0)</f>
        <v>1</v>
      </c>
      <c r="BH224" s="16">
        <f>IFERROR(__xludf.DUMMYFUNCTION("""COMPUTED_VALUE"""),2.0)</f>
        <v>2</v>
      </c>
      <c r="BI224" s="16">
        <f>IFERROR(__xludf.DUMMYFUNCTION("""COMPUTED_VALUE"""),2.0)</f>
        <v>2</v>
      </c>
      <c r="BJ224" s="16">
        <f>IFERROR(__xludf.DUMMYFUNCTION("""COMPUTED_VALUE"""),4.0)</f>
        <v>4</v>
      </c>
      <c r="BK224" s="16">
        <f>IFERROR(__xludf.DUMMYFUNCTION("""COMPUTED_VALUE"""),5.0)</f>
        <v>5</v>
      </c>
      <c r="BL224" s="16">
        <f>IFERROR(__xludf.DUMMYFUNCTION("""COMPUTED_VALUE"""),0.0)</f>
        <v>0</v>
      </c>
      <c r="BM224" s="16">
        <f>IFERROR(__xludf.DUMMYFUNCTION("""COMPUTED_VALUE"""),0.0)</f>
        <v>0</v>
      </c>
      <c r="BN224" s="16">
        <f>IFERROR(__xludf.DUMMYFUNCTION("""COMPUTED_VALUE"""),1.0)</f>
        <v>1</v>
      </c>
      <c r="BO224" s="16">
        <f>IFERROR(__xludf.DUMMYFUNCTION("""COMPUTED_VALUE"""),0.0)</f>
        <v>0</v>
      </c>
      <c r="BP224" s="16">
        <f>IFERROR(__xludf.DUMMYFUNCTION("""COMPUTED_VALUE"""),1.0)</f>
        <v>1</v>
      </c>
      <c r="BQ224" s="16">
        <f>IFERROR(__xludf.DUMMYFUNCTION("""COMPUTED_VALUE"""),4.0)</f>
        <v>4</v>
      </c>
      <c r="BR224" s="16">
        <f>IFERROR(__xludf.DUMMYFUNCTION("""COMPUTED_VALUE"""),4.0)</f>
        <v>4</v>
      </c>
      <c r="BS224" s="16">
        <f>IFERROR(__xludf.DUMMYFUNCTION("""COMPUTED_VALUE"""),-1.0)</f>
        <v>-1</v>
      </c>
      <c r="BT224" s="16">
        <f>IFERROR(__xludf.DUMMYFUNCTION("""COMPUTED_VALUE"""),-1.0)</f>
        <v>-1</v>
      </c>
      <c r="BU224" s="16">
        <f>IFERROR(__xludf.DUMMYFUNCTION("""COMPUTED_VALUE"""),-2.0)</f>
        <v>-2</v>
      </c>
      <c r="BV224" s="16">
        <f>IFERROR(__xludf.DUMMYFUNCTION("""COMPUTED_VALUE"""),-2.0)</f>
        <v>-2</v>
      </c>
      <c r="BW224" s="16">
        <f>IFERROR(__xludf.DUMMYFUNCTION("""COMPUTED_VALUE"""),9.0)</f>
        <v>9</v>
      </c>
      <c r="BX224" s="16">
        <f>IFERROR(__xludf.DUMMYFUNCTION("""COMPUTED_VALUE"""),9.0)</f>
        <v>9</v>
      </c>
      <c r="BY224" s="16" t="str">
        <f>IFERROR(__xludf.DUMMYFUNCTION("""COMPUTED_VALUE"""),"R(1) C(5)")</f>
        <v>R(1) C(5)</v>
      </c>
      <c r="BZ224" s="16" t="str">
        <f>IFERROR(__xludf.DUMMYFUNCTION("""COMPUTED_VALUE"""),"R(1) C(5)")</f>
        <v>R(1) C(5)</v>
      </c>
      <c r="CA224" s="16" t="str">
        <f>IFERROR(__xludf.DUMMYFUNCTION("""COMPUTED_VALUE"""),"R(1)")</f>
        <v>R(1)</v>
      </c>
      <c r="CB224" s="16" t="str">
        <f>IFERROR(__xludf.DUMMYFUNCTION("""COMPUTED_VALUE"""),"C(5)")</f>
        <v>C(5)</v>
      </c>
      <c r="CC224" s="16"/>
      <c r="CD224" s="16"/>
      <c r="CE224" s="16">
        <f>IFERROR(__xludf.DUMMYFUNCTION("""COMPUTED_VALUE"""),1.0)</f>
        <v>1</v>
      </c>
      <c r="CF224" s="16">
        <f>IFERROR(__xludf.DUMMYFUNCTION("""COMPUTED_VALUE"""),5.0)</f>
        <v>5</v>
      </c>
      <c r="CG224" s="16" t="str">
        <f>IFERROR(__xludf.DUMMYFUNCTION("""COMPUTED_VALUE"""),"4-48")</f>
        <v>4-48</v>
      </c>
      <c r="CH224" s="16">
        <f>IFERROR(__xludf.DUMMYFUNCTION("""COMPUTED_VALUE"""),4.0)</f>
        <v>4</v>
      </c>
      <c r="CI224" s="16">
        <f>IFERROR(__xludf.DUMMYFUNCTION("""COMPUTED_VALUE"""),48.0)</f>
        <v>48</v>
      </c>
      <c r="CJ224" s="16">
        <f>IFERROR(__xludf.DUMMYFUNCTION("""COMPUTED_VALUE"""),0.0)</f>
        <v>0</v>
      </c>
      <c r="CK224" s="16">
        <f>IFERROR(__xludf.DUMMYFUNCTION("""COMPUTED_VALUE"""),20.0)</f>
        <v>20</v>
      </c>
      <c r="CL224" s="16" t="str">
        <f>IFERROR(__xludf.DUMMYFUNCTION("""COMPUTED_VALUE"""),"1WR-C")</f>
        <v>1WR-C</v>
      </c>
      <c r="CM224" s="16" t="str">
        <f>IFERROR(__xludf.DUMMYFUNCTION("""COMPUTED_VALUE"""),"E")</f>
        <v>E</v>
      </c>
      <c r="CN224" s="16">
        <f>IFERROR(__xludf.DUMMYFUNCTION("""COMPUTED_VALUE"""),10.0)</f>
        <v>10</v>
      </c>
      <c r="CO224" s="16" t="str">
        <f>IFERROR(__xludf.DUMMYFUNCTION("""COMPUTED_VALUE"""),"C")</f>
        <v>C</v>
      </c>
      <c r="CP224" s="16" t="str">
        <f>IFERROR(__xludf.DUMMYFUNCTION("""COMPUTED_VALUE"""),"1p50")</f>
        <v>1p50</v>
      </c>
      <c r="CQ224" s="16">
        <f>IFERROR(__xludf.DUMMYFUNCTION("""COMPUTED_VALUE"""),-5.0)</f>
        <v>-5</v>
      </c>
      <c r="CR224" s="16">
        <f>IFERROR(__xludf.DUMMYFUNCTION("""COMPUTED_VALUE"""),14.0)</f>
        <v>14</v>
      </c>
      <c r="CS224" s="16">
        <f>IFERROR(__xludf.DUMMYFUNCTION("""COMPUTED_VALUE"""),9.0)</f>
        <v>9</v>
      </c>
      <c r="CT224" s="16">
        <f>IFERROR(__xludf.DUMMYFUNCTION("""COMPUTED_VALUE"""),-5.0)</f>
        <v>-5</v>
      </c>
      <c r="CU224" s="16">
        <f>IFERROR(__xludf.DUMMYFUNCTION("""COMPUTED_VALUE"""),14.0)</f>
        <v>14</v>
      </c>
      <c r="CV224" s="179">
        <f>IFERROR(__xludf.DUMMYFUNCTION("""COMPUTED_VALUE"""),5.333333333333333)</f>
        <v>5.333333333</v>
      </c>
      <c r="CW224" s="179">
        <f>IFERROR(__xludf.DUMMYFUNCTION("""COMPUTED_VALUE"""),4.0)</f>
        <v>4</v>
      </c>
      <c r="CX224" s="179">
        <f>IFERROR(__xludf.DUMMYFUNCTION("""COMPUTED_VALUE"""),0.0)</f>
        <v>0</v>
      </c>
      <c r="CY224" s="16" t="str">
        <f>IFERROR(__xludf.DUMMYFUNCTION("""COMPUTED_VALUE"""),"RP")</f>
        <v>RP</v>
      </c>
      <c r="CZ224" s="16" t="str">
        <f>IFERROR(__xludf.DUMMYFUNCTION("""COMPUTED_VALUE"""),"CP")</f>
        <v>CP</v>
      </c>
      <c r="DA224" s="16"/>
      <c r="DB224" s="16"/>
      <c r="DC224" s="16"/>
      <c r="DD224" s="16"/>
      <c r="DE224" s="16"/>
      <c r="DF224" s="16"/>
      <c r="DG224" s="16"/>
      <c r="DH224" s="16"/>
      <c r="DI224" s="16"/>
      <c r="DJ224" s="16"/>
      <c r="DK224" s="16"/>
    </row>
    <row r="225">
      <c r="A225" s="16">
        <f>IFERROR(__xludf.DUMMYFUNCTION("""COMPUTED_VALUE"""),12997.0)</f>
        <v>12997</v>
      </c>
      <c r="B225" s="16" t="str">
        <f>IFERROR(__xludf.DUMMYFUNCTION("""COMPUTED_VALUE"""),"Jordan Hicks")</f>
        <v>Jordan Hicks</v>
      </c>
      <c r="C225" s="153">
        <f>IFERROR(__xludf.DUMMYFUNCTION("""COMPUTED_VALUE"""),0.62)</f>
        <v>0.62</v>
      </c>
      <c r="D225" s="16"/>
      <c r="E225" s="16" t="str">
        <f>IFERROR(__xludf.DUMMYFUNCTION("""COMPUTED_VALUE"""),"R")</f>
        <v>R</v>
      </c>
      <c r="F225" s="16">
        <f>IFERROR(__xludf.DUMMYFUNCTION("""COMPUTED_VALUE"""),110.0)</f>
        <v>110</v>
      </c>
      <c r="G225" s="16">
        <f>IFERROR(__xludf.DUMMYFUNCTION("""COMPUTED_VALUE"""),13.0)</f>
        <v>13</v>
      </c>
      <c r="H225" s="16">
        <f>IFERROR(__xludf.DUMMYFUNCTION("""COMPUTED_VALUE"""),25.0)</f>
        <v>25</v>
      </c>
      <c r="I225" s="16">
        <f>IFERROR(__xludf.DUMMYFUNCTION("""COMPUTED_VALUE"""),-2.0)</f>
        <v>-2</v>
      </c>
      <c r="J225" s="16">
        <f>IFERROR(__xludf.DUMMYFUNCTION("""COMPUTED_VALUE"""),0.0)</f>
        <v>0</v>
      </c>
      <c r="K225" s="16">
        <f>IFERROR(__xludf.DUMMYFUNCTION("""COMPUTED_VALUE"""),-6.0)</f>
        <v>-6</v>
      </c>
      <c r="L225" s="16">
        <f>IFERROR(__xludf.DUMMYFUNCTION("""COMPUTED_VALUE"""),0.0)</f>
        <v>0</v>
      </c>
      <c r="M225" s="16">
        <f>IFERROR(__xludf.DUMMYFUNCTION("""COMPUTED_VALUE"""),22.0)</f>
        <v>22</v>
      </c>
      <c r="N225" s="16">
        <f>IFERROR(__xludf.DUMMYFUNCTION("""COMPUTED_VALUE"""),5.0)</f>
        <v>5</v>
      </c>
      <c r="O225" s="16">
        <f>IFERROR(__xludf.DUMMYFUNCTION("""COMPUTED_VALUE"""),-3.0)</f>
        <v>-3</v>
      </c>
      <c r="P225" s="16">
        <f>IFERROR(__xludf.DUMMYFUNCTION("""COMPUTED_VALUE"""),2.0)</f>
        <v>2</v>
      </c>
      <c r="Q225" s="16">
        <f>IFERROR(__xludf.DUMMYFUNCTION("""COMPUTED_VALUE"""),-3.0)</f>
        <v>-3</v>
      </c>
      <c r="R225" s="16">
        <f>IFERROR(__xludf.DUMMYFUNCTION("""COMPUTED_VALUE"""),2.0)</f>
        <v>2</v>
      </c>
      <c r="S225" s="16">
        <f>IFERROR(__xludf.DUMMYFUNCTION("""COMPUTED_VALUE"""),20.8)</f>
        <v>20.8</v>
      </c>
      <c r="T225" s="16">
        <f>IFERROR(__xludf.DUMMYFUNCTION("""COMPUTED_VALUE"""),17.1)</f>
        <v>17.1</v>
      </c>
      <c r="U225" s="16">
        <f>IFERROR(__xludf.DUMMYFUNCTION("""COMPUTED_VALUE"""),-1.0)</f>
        <v>-1</v>
      </c>
      <c r="V225" s="16">
        <f>IFERROR(__xludf.DUMMYFUNCTION("""COMPUTED_VALUE"""),0.0)</f>
        <v>0</v>
      </c>
      <c r="W225" s="16">
        <f>IFERROR(__xludf.DUMMYFUNCTION("""COMPUTED_VALUE"""),-2.0)</f>
        <v>-2</v>
      </c>
      <c r="X225" s="16">
        <f>IFERROR(__xludf.DUMMYFUNCTION("""COMPUTED_VALUE"""),0.0)</f>
        <v>0</v>
      </c>
      <c r="Y225" s="16">
        <f>IFERROR(__xludf.DUMMYFUNCTION("""COMPUTED_VALUE"""),42.8)</f>
        <v>42.8</v>
      </c>
      <c r="Z225" s="16">
        <f>IFERROR(__xludf.DUMMYFUNCTION("""COMPUTED_VALUE"""),22.0)</f>
        <v>22</v>
      </c>
      <c r="AA225" s="16">
        <f>IFERROR(__xludf.DUMMYFUNCTION("""COMPUTED_VALUE"""),-2.0)</f>
        <v>-2</v>
      </c>
      <c r="AB225" s="16">
        <f>IFERROR(__xludf.DUMMYFUNCTION("""COMPUTED_VALUE"""),1.0)</f>
        <v>1</v>
      </c>
      <c r="AC225" s="16">
        <f>IFERROR(__xludf.DUMMYFUNCTION("""COMPUTED_VALUE"""),-10.0)</f>
        <v>-10</v>
      </c>
      <c r="AD225" s="16">
        <f>IFERROR(__xludf.DUMMYFUNCTION("""COMPUTED_VALUE"""),5.0)</f>
        <v>5</v>
      </c>
      <c r="AE225" s="16">
        <f>IFERROR(__xludf.DUMMYFUNCTION("""COMPUTED_VALUE"""),28.6)</f>
        <v>28.6</v>
      </c>
      <c r="AF225" s="16">
        <f>IFERROR(__xludf.DUMMYFUNCTION("""COMPUTED_VALUE"""),30.8)</f>
        <v>30.8</v>
      </c>
      <c r="AG225" s="16">
        <f>IFERROR(__xludf.DUMMYFUNCTION("""COMPUTED_VALUE"""),0.0)</f>
        <v>0</v>
      </c>
      <c r="AH225" s="16">
        <f>IFERROR(__xludf.DUMMYFUNCTION("""COMPUTED_VALUE"""),0.0)</f>
        <v>0</v>
      </c>
      <c r="AI225" s="16">
        <f>IFERROR(__xludf.DUMMYFUNCTION("""COMPUTED_VALUE"""),0.0)</f>
        <v>0</v>
      </c>
      <c r="AJ225" s="16">
        <f>IFERROR(__xludf.DUMMYFUNCTION("""COMPUTED_VALUE"""),0.0)</f>
        <v>0</v>
      </c>
      <c r="AK225" s="16">
        <f>IFERROR(__xludf.DUMMYFUNCTION("""COMPUTED_VALUE"""),20.0)</f>
        <v>20</v>
      </c>
      <c r="AL225" s="16">
        <f>IFERROR(__xludf.DUMMYFUNCTION("""COMPUTED_VALUE"""),15.500000000000002)</f>
        <v>15.5</v>
      </c>
      <c r="AM225" s="16">
        <f>IFERROR(__xludf.DUMMYFUNCTION("""COMPUTED_VALUE"""),-1.0)</f>
        <v>-1</v>
      </c>
      <c r="AN225" s="16">
        <f>IFERROR(__xludf.DUMMYFUNCTION("""COMPUTED_VALUE"""),0.0)</f>
        <v>0</v>
      </c>
      <c r="AO225" s="16">
        <f>IFERROR(__xludf.DUMMYFUNCTION("""COMPUTED_VALUE"""),-1.0)</f>
        <v>-1</v>
      </c>
      <c r="AP225" s="16">
        <f>IFERROR(__xludf.DUMMYFUNCTION("""COMPUTED_VALUE"""),0.0)</f>
        <v>0</v>
      </c>
      <c r="AQ225" s="16">
        <f>IFERROR(__xludf.DUMMYFUNCTION("""COMPUTED_VALUE"""),25.400000000000002)</f>
        <v>25.4</v>
      </c>
      <c r="AR225" s="16">
        <f>IFERROR(__xludf.DUMMYFUNCTION("""COMPUTED_VALUE"""),24.4)</f>
        <v>24.4</v>
      </c>
      <c r="AS225" s="16">
        <f>IFERROR(__xludf.DUMMYFUNCTION("""COMPUTED_VALUE"""),-1.0)</f>
        <v>-1</v>
      </c>
      <c r="AT225" s="16">
        <f>IFERROR(__xludf.DUMMYFUNCTION("""COMPUTED_VALUE"""),-1.0)</f>
        <v>-1</v>
      </c>
      <c r="AU225" s="16">
        <f>IFERROR(__xludf.DUMMYFUNCTION("""COMPUTED_VALUE"""),-2.0)</f>
        <v>-2</v>
      </c>
      <c r="AV225" s="16">
        <f>IFERROR(__xludf.DUMMYFUNCTION("""COMPUTED_VALUE"""),-2.0)</f>
        <v>-2</v>
      </c>
      <c r="AW225" s="16">
        <f>IFERROR(__xludf.DUMMYFUNCTION("""COMPUTED_VALUE"""),0.8)</f>
        <v>0.8</v>
      </c>
      <c r="AX225" s="16">
        <f>IFERROR(__xludf.DUMMYFUNCTION("""COMPUTED_VALUE"""),1.6)</f>
        <v>1.6</v>
      </c>
      <c r="AY225" s="16">
        <f>IFERROR(__xludf.DUMMYFUNCTION("""COMPUTED_VALUE"""),2.0)</f>
        <v>2</v>
      </c>
      <c r="AZ225" s="16">
        <f>IFERROR(__xludf.DUMMYFUNCTION("""COMPUTED_VALUE"""),1.0)</f>
        <v>1</v>
      </c>
      <c r="BA225" s="16">
        <f>IFERROR(__xludf.DUMMYFUNCTION("""COMPUTED_VALUE"""),10.0)</f>
        <v>10</v>
      </c>
      <c r="BB225" s="16">
        <f>IFERROR(__xludf.DUMMYFUNCTION("""COMPUTED_VALUE"""),5.0)</f>
        <v>5</v>
      </c>
      <c r="BC225" s="16">
        <f>IFERROR(__xludf.DUMMYFUNCTION("""COMPUTED_VALUE"""),2.0)</f>
        <v>2</v>
      </c>
      <c r="BD225" s="16">
        <f>IFERROR(__xludf.DUMMYFUNCTION("""COMPUTED_VALUE"""),3.0)</f>
        <v>3</v>
      </c>
      <c r="BE225" s="16">
        <f>IFERROR(__xludf.DUMMYFUNCTION("""COMPUTED_VALUE"""),2.0)</f>
        <v>2</v>
      </c>
      <c r="BF225" s="16">
        <f>IFERROR(__xludf.DUMMYFUNCTION("""COMPUTED_VALUE"""),3.0)</f>
        <v>3</v>
      </c>
      <c r="BG225" s="16">
        <f>IFERROR(__xludf.DUMMYFUNCTION("""COMPUTED_VALUE"""),1.0)</f>
        <v>1</v>
      </c>
      <c r="BH225" s="16">
        <f>IFERROR(__xludf.DUMMYFUNCTION("""COMPUTED_VALUE"""),0.0)</f>
        <v>0</v>
      </c>
      <c r="BI225" s="16">
        <f>IFERROR(__xludf.DUMMYFUNCTION("""COMPUTED_VALUE"""),2.0)</f>
        <v>2</v>
      </c>
      <c r="BJ225" s="16">
        <f>IFERROR(__xludf.DUMMYFUNCTION("""COMPUTED_VALUE"""),0.0)</f>
        <v>0</v>
      </c>
      <c r="BK225" s="16">
        <f>IFERROR(__xludf.DUMMYFUNCTION("""COMPUTED_VALUE"""),5.0)</f>
        <v>5</v>
      </c>
      <c r="BL225" s="16">
        <f>IFERROR(__xludf.DUMMYFUNCTION("""COMPUTED_VALUE"""),5.0)</f>
        <v>5</v>
      </c>
      <c r="BM225" s="16">
        <f>IFERROR(__xludf.DUMMYFUNCTION("""COMPUTED_VALUE"""),0.0)</f>
        <v>0</v>
      </c>
      <c r="BN225" s="16">
        <f>IFERROR(__xludf.DUMMYFUNCTION("""COMPUTED_VALUE"""),0.0)</f>
        <v>0</v>
      </c>
      <c r="BO225" s="16">
        <f>IFERROR(__xludf.DUMMYFUNCTION("""COMPUTED_VALUE"""),0.0)</f>
        <v>0</v>
      </c>
      <c r="BP225" s="16">
        <f>IFERROR(__xludf.DUMMYFUNCTION("""COMPUTED_VALUE"""),0.0)</f>
        <v>0</v>
      </c>
      <c r="BQ225" s="16">
        <f>IFERROR(__xludf.DUMMYFUNCTION("""COMPUTED_VALUE"""),10.0)</f>
        <v>10</v>
      </c>
      <c r="BR225" s="16">
        <f>IFERROR(__xludf.DUMMYFUNCTION("""COMPUTED_VALUE"""),12.0)</f>
        <v>12</v>
      </c>
      <c r="BS225" s="16">
        <f>IFERROR(__xludf.DUMMYFUNCTION("""COMPUTED_VALUE"""),3.0)</f>
        <v>3</v>
      </c>
      <c r="BT225" s="16">
        <f>IFERROR(__xludf.DUMMYFUNCTION("""COMPUTED_VALUE"""),3.0)</f>
        <v>3</v>
      </c>
      <c r="BU225" s="16">
        <f>IFERROR(__xludf.DUMMYFUNCTION("""COMPUTED_VALUE"""),6.0)</f>
        <v>6</v>
      </c>
      <c r="BV225" s="16">
        <f>IFERROR(__xludf.DUMMYFUNCTION("""COMPUTED_VALUE"""),6.0)</f>
        <v>6</v>
      </c>
      <c r="BW225" s="16">
        <f>IFERROR(__xludf.DUMMYFUNCTION("""COMPUTED_VALUE"""),2.0)</f>
        <v>2</v>
      </c>
      <c r="BX225" s="16">
        <f>IFERROR(__xludf.DUMMYFUNCTION("""COMPUTED_VALUE"""),2.0)</f>
        <v>2</v>
      </c>
      <c r="BY225" s="16" t="str">
        <f>IFERROR(__xludf.DUMMYFUNCTION("""COMPUTED_VALUE"""),"S(5) R(3) C(0)")</f>
        <v>S(5) R(3) C(0)</v>
      </c>
      <c r="BZ225" s="16" t="str">
        <f>IFERROR(__xludf.DUMMYFUNCTION("""COMPUTED_VALUE"""),"S(5) R(3) C(0)")</f>
        <v>S(5) R(3) C(0)</v>
      </c>
      <c r="CA225" s="16" t="str">
        <f>IFERROR(__xludf.DUMMYFUNCTION("""COMPUTED_VALUE"""),"S(5)")</f>
        <v>S(5)</v>
      </c>
      <c r="CB225" s="16" t="str">
        <f>IFERROR(__xludf.DUMMYFUNCTION("""COMPUTED_VALUE"""),"R(3)")</f>
        <v>R(3)</v>
      </c>
      <c r="CC225" s="16" t="str">
        <f>IFERROR(__xludf.DUMMYFUNCTION("""COMPUTED_VALUE"""),"C(0)")</f>
        <v>C(0)</v>
      </c>
      <c r="CD225" s="16">
        <f>IFERROR(__xludf.DUMMYFUNCTION("""COMPUTED_VALUE"""),5.0)</f>
        <v>5</v>
      </c>
      <c r="CE225" s="16">
        <f>IFERROR(__xludf.DUMMYFUNCTION("""COMPUTED_VALUE"""),3.0)</f>
        <v>3</v>
      </c>
      <c r="CF225" s="16">
        <f>IFERROR(__xludf.DUMMYFUNCTION("""COMPUTED_VALUE"""),0.0)</f>
        <v>0</v>
      </c>
      <c r="CG225" s="16" t="str">
        <f>IFERROR(__xludf.DUMMYFUNCTION("""COMPUTED_VALUE"""),"2-13")</f>
        <v>2-13</v>
      </c>
      <c r="CH225" s="16">
        <f>IFERROR(__xludf.DUMMYFUNCTION("""COMPUTED_VALUE"""),2.0)</f>
        <v>2</v>
      </c>
      <c r="CI225" s="16">
        <f>IFERROR(__xludf.DUMMYFUNCTION("""COMPUTED_VALUE"""),13.0)</f>
        <v>13</v>
      </c>
      <c r="CJ225" s="16">
        <f>IFERROR(__xludf.DUMMYFUNCTION("""COMPUTED_VALUE"""),6.0)</f>
        <v>6</v>
      </c>
      <c r="CK225" s="16">
        <f>IFERROR(__xludf.DUMMYFUNCTION("""COMPUTED_VALUE"""),13.0)</f>
        <v>13</v>
      </c>
      <c r="CL225" s="16" t="str">
        <f>IFERROR(__xludf.DUMMYFUNCTION("""COMPUTED_VALUE"""),"1WR-C")</f>
        <v>1WR-C</v>
      </c>
      <c r="CM225" s="16" t="str">
        <f>IFERROR(__xludf.DUMMYFUNCTION("""COMPUTED_VALUE"""),"E")</f>
        <v>E</v>
      </c>
      <c r="CN225" s="16">
        <f>IFERROR(__xludf.DUMMYFUNCTION("""COMPUTED_VALUE"""),10.0)</f>
        <v>10</v>
      </c>
      <c r="CO225" s="16" t="str">
        <f>IFERROR(__xludf.DUMMYFUNCTION("""COMPUTED_VALUE"""),"C")</f>
        <v>C</v>
      </c>
      <c r="CP225" s="16" t="str">
        <f>IFERROR(__xludf.DUMMYFUNCTION("""COMPUTED_VALUE"""),"2p60")</f>
        <v>2p60</v>
      </c>
      <c r="CQ225" s="16">
        <f>IFERROR(__xludf.DUMMYFUNCTION("""COMPUTED_VALUE"""),-6.0)</f>
        <v>-6</v>
      </c>
      <c r="CR225" s="16">
        <f>IFERROR(__xludf.DUMMYFUNCTION("""COMPUTED_VALUE"""),16.0)</f>
        <v>16</v>
      </c>
      <c r="CS225" s="16">
        <f>IFERROR(__xludf.DUMMYFUNCTION("""COMPUTED_VALUE"""),10.0)</f>
        <v>10</v>
      </c>
      <c r="CT225" s="16">
        <f>IFERROR(__xludf.DUMMYFUNCTION("""COMPUTED_VALUE"""),-6.0)</f>
        <v>-6</v>
      </c>
      <c r="CU225" s="16">
        <f>IFERROR(__xludf.DUMMYFUNCTION("""COMPUTED_VALUE"""),16.0)</f>
        <v>16</v>
      </c>
      <c r="CV225" s="179">
        <f>IFERROR(__xludf.DUMMYFUNCTION("""COMPUTED_VALUE"""),5.333333333333333)</f>
        <v>5.333333333</v>
      </c>
      <c r="CW225" s="179">
        <f>IFERROR(__xludf.DUMMYFUNCTION("""COMPUTED_VALUE"""),3.0)</f>
        <v>3</v>
      </c>
      <c r="CX225" s="179">
        <f>IFERROR(__xludf.DUMMYFUNCTION("""COMPUTED_VALUE"""),1.0)</f>
        <v>1</v>
      </c>
      <c r="CY225" s="16" t="str">
        <f>IFERROR(__xludf.DUMMYFUNCTION("""COMPUTED_VALUE"""),"SP")</f>
        <v>SP</v>
      </c>
      <c r="CZ225" s="16" t="str">
        <f>IFERROR(__xludf.DUMMYFUNCTION("""COMPUTED_VALUE"""),"RP")</f>
        <v>RP</v>
      </c>
      <c r="DA225" s="16" t="str">
        <f>IFERROR(__xludf.DUMMYFUNCTION("""COMPUTED_VALUE"""),"CP")</f>
        <v>CP</v>
      </c>
      <c r="DB225" s="16"/>
      <c r="DC225" s="16"/>
      <c r="DD225" s="16"/>
      <c r="DE225" s="16"/>
      <c r="DF225" s="16"/>
      <c r="DG225" s="16"/>
      <c r="DH225" s="16"/>
      <c r="DI225" s="16"/>
      <c r="DJ225" s="16"/>
      <c r="DK225" s="16"/>
    </row>
    <row r="226">
      <c r="A226" s="16">
        <f>IFERROR(__xludf.DUMMYFUNCTION("""COMPUTED_VALUE"""),13350.0)</f>
        <v>13350</v>
      </c>
      <c r="B226" s="16" t="str">
        <f>IFERROR(__xludf.DUMMYFUNCTION("""COMPUTED_VALUE"""),"Sam Hentges")</f>
        <v>Sam Hentges</v>
      </c>
      <c r="C226" s="153">
        <f>IFERROR(__xludf.DUMMYFUNCTION("""COMPUTED_VALUE"""),0.49)</f>
        <v>0.49</v>
      </c>
      <c r="D226" s="16"/>
      <c r="E226" s="16" t="str">
        <f>IFERROR(__xludf.DUMMYFUNCTION("""COMPUTED_VALUE"""),"L")</f>
        <v>L</v>
      </c>
      <c r="F226" s="16">
        <f>IFERROR(__xludf.DUMMYFUNCTION("""COMPUTED_VALUE"""),24.0)</f>
        <v>24</v>
      </c>
      <c r="G226" s="16">
        <f>IFERROR(__xludf.DUMMYFUNCTION("""COMPUTED_VALUE"""),47.0)</f>
        <v>47</v>
      </c>
      <c r="H226" s="16">
        <f>IFERROR(__xludf.DUMMYFUNCTION("""COMPUTED_VALUE"""),36.0)</f>
        <v>36</v>
      </c>
      <c r="I226" s="16">
        <f>IFERROR(__xludf.DUMMYFUNCTION("""COMPUTED_VALUE"""),2.0)</f>
        <v>2</v>
      </c>
      <c r="J226" s="16">
        <f>IFERROR(__xludf.DUMMYFUNCTION("""COMPUTED_VALUE"""),1.0)</f>
        <v>1</v>
      </c>
      <c r="K226" s="16">
        <f>IFERROR(__xludf.DUMMYFUNCTION("""COMPUTED_VALUE"""),6.0)</f>
        <v>6</v>
      </c>
      <c r="L226" s="16">
        <f>IFERROR(__xludf.DUMMYFUNCTION("""COMPUTED_VALUE"""),3.0)</f>
        <v>3</v>
      </c>
      <c r="M226" s="16">
        <f>IFERROR(__xludf.DUMMYFUNCTION("""COMPUTED_VALUE"""),0.0)</f>
        <v>0</v>
      </c>
      <c r="N226" s="16">
        <f>IFERROR(__xludf.DUMMYFUNCTION("""COMPUTED_VALUE"""),6.0)</f>
        <v>6</v>
      </c>
      <c r="O226" s="16">
        <f>IFERROR(__xludf.DUMMYFUNCTION("""COMPUTED_VALUE"""),3.0)</f>
        <v>3</v>
      </c>
      <c r="P226" s="16">
        <f>IFERROR(__xludf.DUMMYFUNCTION("""COMPUTED_VALUE"""),1.0)</f>
        <v>1</v>
      </c>
      <c r="Q226" s="16">
        <f>IFERROR(__xludf.DUMMYFUNCTION("""COMPUTED_VALUE"""),3.0)</f>
        <v>3</v>
      </c>
      <c r="R226" s="16">
        <f>IFERROR(__xludf.DUMMYFUNCTION("""COMPUTED_VALUE"""),1.0)</f>
        <v>1</v>
      </c>
      <c r="S226" s="16">
        <f>IFERROR(__xludf.DUMMYFUNCTION("""COMPUTED_VALUE"""),22.8)</f>
        <v>22.8</v>
      </c>
      <c r="T226" s="16">
        <f>IFERROR(__xludf.DUMMYFUNCTION("""COMPUTED_VALUE"""),9.0)</f>
        <v>9</v>
      </c>
      <c r="U226" s="16">
        <f>IFERROR(__xludf.DUMMYFUNCTION("""COMPUTED_VALUE"""),-1.0)</f>
        <v>-1</v>
      </c>
      <c r="V226" s="16">
        <f>IFERROR(__xludf.DUMMYFUNCTION("""COMPUTED_VALUE"""),1.0)</f>
        <v>1</v>
      </c>
      <c r="W226" s="16">
        <f>IFERROR(__xludf.DUMMYFUNCTION("""COMPUTED_VALUE"""),-2.0)</f>
        <v>-2</v>
      </c>
      <c r="X226" s="16">
        <f>IFERROR(__xludf.DUMMYFUNCTION("""COMPUTED_VALUE"""),2.0)</f>
        <v>2</v>
      </c>
      <c r="Y226" s="16">
        <f>IFERROR(__xludf.DUMMYFUNCTION("""COMPUTED_VALUE"""),22.8)</f>
        <v>22.8</v>
      </c>
      <c r="Z226" s="16">
        <f>IFERROR(__xludf.DUMMYFUNCTION("""COMPUTED_VALUE"""),15.0)</f>
        <v>15</v>
      </c>
      <c r="AA226" s="16">
        <f>IFERROR(__xludf.DUMMYFUNCTION("""COMPUTED_VALUE"""),0.0)</f>
        <v>0</v>
      </c>
      <c r="AB226" s="16">
        <f>IFERROR(__xludf.DUMMYFUNCTION("""COMPUTED_VALUE"""),2.0)</f>
        <v>2</v>
      </c>
      <c r="AC226" s="16">
        <f>IFERROR(__xludf.DUMMYFUNCTION("""COMPUTED_VALUE"""),0.0)</f>
        <v>0</v>
      </c>
      <c r="AD226" s="16">
        <f>IFERROR(__xludf.DUMMYFUNCTION("""COMPUTED_VALUE"""),10.0)</f>
        <v>10</v>
      </c>
      <c r="AE226" s="16">
        <f>IFERROR(__xludf.DUMMYFUNCTION("""COMPUTED_VALUE"""),49.4)</f>
        <v>49.4</v>
      </c>
      <c r="AF226" s="16">
        <f>IFERROR(__xludf.DUMMYFUNCTION("""COMPUTED_VALUE"""),21.8)</f>
        <v>21.8</v>
      </c>
      <c r="AG226" s="16">
        <f>IFERROR(__xludf.DUMMYFUNCTION("""COMPUTED_VALUE"""),-2.0)</f>
        <v>-2</v>
      </c>
      <c r="AH226" s="16">
        <f>IFERROR(__xludf.DUMMYFUNCTION("""COMPUTED_VALUE"""),1.0)</f>
        <v>1</v>
      </c>
      <c r="AI226" s="16">
        <f>IFERROR(__xludf.DUMMYFUNCTION("""COMPUTED_VALUE"""),-4.0)</f>
        <v>-4</v>
      </c>
      <c r="AJ226" s="16">
        <f>IFERROR(__xludf.DUMMYFUNCTION("""COMPUTED_VALUE"""),2.0)</f>
        <v>2</v>
      </c>
      <c r="AK226" s="16">
        <f>IFERROR(__xludf.DUMMYFUNCTION("""COMPUTED_VALUE"""),20.0)</f>
        <v>20</v>
      </c>
      <c r="AL226" s="16">
        <f>IFERROR(__xludf.DUMMYFUNCTION("""COMPUTED_VALUE"""),6.6)</f>
        <v>6.6</v>
      </c>
      <c r="AM226" s="16">
        <f>IFERROR(__xludf.DUMMYFUNCTION("""COMPUTED_VALUE"""),-1.0)</f>
        <v>-1</v>
      </c>
      <c r="AN226" s="16">
        <f>IFERROR(__xludf.DUMMYFUNCTION("""COMPUTED_VALUE"""),1.0)</f>
        <v>1</v>
      </c>
      <c r="AO226" s="16">
        <f>IFERROR(__xludf.DUMMYFUNCTION("""COMPUTED_VALUE"""),-1.0)</f>
        <v>-1</v>
      </c>
      <c r="AP226" s="16">
        <f>IFERROR(__xludf.DUMMYFUNCTION("""COMPUTED_VALUE"""),1.0)</f>
        <v>1</v>
      </c>
      <c r="AQ226" s="16">
        <f>IFERROR(__xludf.DUMMYFUNCTION("""COMPUTED_VALUE"""),38.2)</f>
        <v>38.2</v>
      </c>
      <c r="AR226" s="16">
        <f>IFERROR(__xludf.DUMMYFUNCTION("""COMPUTED_VALUE"""),12.200000000000001)</f>
        <v>12.2</v>
      </c>
      <c r="AS226" s="16">
        <f>IFERROR(__xludf.DUMMYFUNCTION("""COMPUTED_VALUE"""),-2.0)</f>
        <v>-2</v>
      </c>
      <c r="AT226" s="16">
        <f>IFERROR(__xludf.DUMMYFUNCTION("""COMPUTED_VALUE"""),1.0)</f>
        <v>1</v>
      </c>
      <c r="AU226" s="16">
        <f>IFERROR(__xludf.DUMMYFUNCTION("""COMPUTED_VALUE"""),-4.0)</f>
        <v>-4</v>
      </c>
      <c r="AV226" s="16">
        <f>IFERROR(__xludf.DUMMYFUNCTION("""COMPUTED_VALUE"""),2.0)</f>
        <v>2</v>
      </c>
      <c r="AW226" s="16">
        <f>IFERROR(__xludf.DUMMYFUNCTION("""COMPUTED_VALUE"""),2.8)</f>
        <v>2.8</v>
      </c>
      <c r="AX226" s="16">
        <f>IFERROR(__xludf.DUMMYFUNCTION("""COMPUTED_VALUE"""),2.4)</f>
        <v>2.4</v>
      </c>
      <c r="AY226" s="16">
        <f>IFERROR(__xludf.DUMMYFUNCTION("""COMPUTED_VALUE"""),-1.0)</f>
        <v>-1</v>
      </c>
      <c r="AZ226" s="16">
        <f>IFERROR(__xludf.DUMMYFUNCTION("""COMPUTED_VALUE"""),0.0)</f>
        <v>0</v>
      </c>
      <c r="BA226" s="16">
        <f>IFERROR(__xludf.DUMMYFUNCTION("""COMPUTED_VALUE"""),-5.0)</f>
        <v>-5</v>
      </c>
      <c r="BB226" s="16">
        <f>IFERROR(__xludf.DUMMYFUNCTION("""COMPUTED_VALUE"""),0.0)</f>
        <v>0</v>
      </c>
      <c r="BC226" s="16"/>
      <c r="BD226" s="16"/>
      <c r="BE226" s="16">
        <f>IFERROR(__xludf.DUMMYFUNCTION("""COMPUTED_VALUE"""),4.0)</f>
        <v>4</v>
      </c>
      <c r="BF226" s="16">
        <f>IFERROR(__xludf.DUMMYFUNCTION("""COMPUTED_VALUE"""),4.0)</f>
        <v>4</v>
      </c>
      <c r="BG226" s="16">
        <f>IFERROR(__xludf.DUMMYFUNCTION("""COMPUTED_VALUE"""),-1.0)</f>
        <v>-1</v>
      </c>
      <c r="BH226" s="16">
        <f>IFERROR(__xludf.DUMMYFUNCTION("""COMPUTED_VALUE"""),-1.0)</f>
        <v>-1</v>
      </c>
      <c r="BI226" s="16">
        <f>IFERROR(__xludf.DUMMYFUNCTION("""COMPUTED_VALUE"""),-2.0)</f>
        <v>-2</v>
      </c>
      <c r="BJ226" s="16">
        <f>IFERROR(__xludf.DUMMYFUNCTION("""COMPUTED_VALUE"""),-2.0)</f>
        <v>-2</v>
      </c>
      <c r="BK226" s="16">
        <f>IFERROR(__xludf.DUMMYFUNCTION("""COMPUTED_VALUE"""),0.0)</f>
        <v>0</v>
      </c>
      <c r="BL226" s="16">
        <f>IFERROR(__xludf.DUMMYFUNCTION("""COMPUTED_VALUE"""),0.0)</f>
        <v>0</v>
      </c>
      <c r="BM226" s="16">
        <f>IFERROR(__xludf.DUMMYFUNCTION("""COMPUTED_VALUE"""),1.0)</f>
        <v>1</v>
      </c>
      <c r="BN226" s="16">
        <f>IFERROR(__xludf.DUMMYFUNCTION("""COMPUTED_VALUE"""),1.0)</f>
        <v>1</v>
      </c>
      <c r="BO226" s="16">
        <f>IFERROR(__xludf.DUMMYFUNCTION("""COMPUTED_VALUE"""),1.0)</f>
        <v>1</v>
      </c>
      <c r="BP226" s="16">
        <f>IFERROR(__xludf.DUMMYFUNCTION("""COMPUTED_VALUE"""),1.0)</f>
        <v>1</v>
      </c>
      <c r="BQ226" s="16">
        <f>IFERROR(__xludf.DUMMYFUNCTION("""COMPUTED_VALUE"""),4.0)</f>
        <v>4</v>
      </c>
      <c r="BR226" s="16">
        <f>IFERROR(__xludf.DUMMYFUNCTION("""COMPUTED_VALUE"""),12.0)</f>
        <v>12</v>
      </c>
      <c r="BS226" s="16">
        <f>IFERROR(__xludf.DUMMYFUNCTION("""COMPUTED_VALUE"""),-1.0)</f>
        <v>-1</v>
      </c>
      <c r="BT226" s="16">
        <f>IFERROR(__xludf.DUMMYFUNCTION("""COMPUTED_VALUE"""),3.0)</f>
        <v>3</v>
      </c>
      <c r="BU226" s="16">
        <f>IFERROR(__xludf.DUMMYFUNCTION("""COMPUTED_VALUE"""),-2.0)</f>
        <v>-2</v>
      </c>
      <c r="BV226" s="16">
        <f>IFERROR(__xludf.DUMMYFUNCTION("""COMPUTED_VALUE"""),6.0)</f>
        <v>6</v>
      </c>
      <c r="BW226" s="16">
        <f>IFERROR(__xludf.DUMMYFUNCTION("""COMPUTED_VALUE"""),-1.0)</f>
        <v>-1</v>
      </c>
      <c r="BX226" s="16">
        <f>IFERROR(__xludf.DUMMYFUNCTION("""COMPUTED_VALUE"""),-1.0)</f>
        <v>-1</v>
      </c>
      <c r="BY226" s="16" t="str">
        <f>IFERROR(__xludf.DUMMYFUNCTION("""COMPUTED_VALUE"""),"R(1)")</f>
        <v>R(1)</v>
      </c>
      <c r="BZ226" s="16" t="str">
        <f>IFERROR(__xludf.DUMMYFUNCTION("""COMPUTED_VALUE"""),"R(1)")</f>
        <v>R(1)</v>
      </c>
      <c r="CA226" s="16" t="str">
        <f>IFERROR(__xludf.DUMMYFUNCTION("""COMPUTED_VALUE"""),"R(1)")</f>
        <v>R(1)</v>
      </c>
      <c r="CB226" s="16"/>
      <c r="CC226" s="16"/>
      <c r="CD226" s="16"/>
      <c r="CE226" s="16">
        <f>IFERROR(__xludf.DUMMYFUNCTION("""COMPUTED_VALUE"""),1.0)</f>
        <v>1</v>
      </c>
      <c r="CF226" s="16"/>
      <c r="CG226" s="16" t="str">
        <f>IFERROR(__xludf.DUMMYFUNCTION("""COMPUTED_VALUE"""),"2-0")</f>
        <v>2-0</v>
      </c>
      <c r="CH226" s="16">
        <f>IFERROR(__xludf.DUMMYFUNCTION("""COMPUTED_VALUE"""),2.0)</f>
        <v>2</v>
      </c>
      <c r="CI226" s="16">
        <f>IFERROR(__xludf.DUMMYFUNCTION("""COMPUTED_VALUE"""),0.0)</f>
        <v>0</v>
      </c>
      <c r="CJ226" s="16">
        <f>IFERROR(__xludf.DUMMYFUNCTION("""COMPUTED_VALUE"""),0.0)</f>
        <v>0</v>
      </c>
      <c r="CK226" s="16">
        <f>IFERROR(__xludf.DUMMYFUNCTION("""COMPUTED_VALUE"""),0.0)</f>
        <v>0</v>
      </c>
      <c r="CL226" s="16" t="str">
        <f>IFERROR(__xludf.DUMMYFUNCTION("""COMPUTED_VALUE"""),"1WL-C")</f>
        <v>1WL-C</v>
      </c>
      <c r="CM226" s="16" t="str">
        <f>IFERROR(__xludf.DUMMYFUNCTION("""COMPUTED_VALUE"""),"E")</f>
        <v>E</v>
      </c>
      <c r="CN226" s="16">
        <f>IFERROR(__xludf.DUMMYFUNCTION("""COMPUTED_VALUE"""),10.0)</f>
        <v>10</v>
      </c>
      <c r="CO226" s="16" t="str">
        <f>IFERROR(__xludf.DUMMYFUNCTION("""COMPUTED_VALUE"""),"C")</f>
        <v>C</v>
      </c>
      <c r="CP226" s="16" t="str">
        <f>IFERROR(__xludf.DUMMYFUNCTION("""COMPUTED_VALUE"""),"5p20")</f>
        <v>5p20</v>
      </c>
      <c r="CQ226" s="16">
        <f>IFERROR(__xludf.DUMMYFUNCTION("""COMPUTED_VALUE"""),-10.0)</f>
        <v>-10</v>
      </c>
      <c r="CR226" s="16">
        <f>IFERROR(__xludf.DUMMYFUNCTION("""COMPUTED_VALUE"""),26.0)</f>
        <v>26</v>
      </c>
      <c r="CS226" s="16">
        <f>IFERROR(__xludf.DUMMYFUNCTION("""COMPUTED_VALUE"""),16.0)</f>
        <v>16</v>
      </c>
      <c r="CT226" s="16">
        <f>IFERROR(__xludf.DUMMYFUNCTION("""COMPUTED_VALUE"""),-10.0)</f>
        <v>-10</v>
      </c>
      <c r="CU226" s="16">
        <f>IFERROR(__xludf.DUMMYFUNCTION("""COMPUTED_VALUE"""),26.0)</f>
        <v>26</v>
      </c>
      <c r="CV226" s="179">
        <f>IFERROR(__xludf.DUMMYFUNCTION("""COMPUTED_VALUE"""),5.0)</f>
        <v>5</v>
      </c>
      <c r="CW226" s="179">
        <f>IFERROR(__xludf.DUMMYFUNCTION("""COMPUTED_VALUE"""),0.0)</f>
        <v>0</v>
      </c>
      <c r="CX226" s="179">
        <f>IFERROR(__xludf.DUMMYFUNCTION("""COMPUTED_VALUE"""),3.0)</f>
        <v>3</v>
      </c>
      <c r="CY226" s="16" t="str">
        <f>IFERROR(__xludf.DUMMYFUNCTION("""COMPUTED_VALUE"""),"RP")</f>
        <v>RP</v>
      </c>
      <c r="CZ226" s="16"/>
      <c r="DA226" s="16"/>
      <c r="DB226" s="16"/>
      <c r="DC226" s="16"/>
      <c r="DD226" s="16"/>
      <c r="DE226" s="16"/>
      <c r="DF226" s="16"/>
      <c r="DG226" s="16"/>
      <c r="DH226" s="16"/>
      <c r="DI226" s="16"/>
      <c r="DJ226" s="16"/>
      <c r="DK226" s="16"/>
    </row>
    <row r="227">
      <c r="A227" s="16">
        <f>IFERROR(__xludf.DUMMYFUNCTION("""COMPUTED_VALUE"""),12954.0)</f>
        <v>12954</v>
      </c>
      <c r="B227" s="16" t="str">
        <f>IFERROR(__xludf.DUMMYFUNCTION("""COMPUTED_VALUE"""),"Jesus Luzardo")</f>
        <v>Jesus Luzardo</v>
      </c>
      <c r="C227" s="153">
        <f>IFERROR(__xludf.DUMMYFUNCTION("""COMPUTED_VALUE"""),1.01)</f>
        <v>1.01</v>
      </c>
      <c r="D227" s="16"/>
      <c r="E227" s="16" t="str">
        <f>IFERROR(__xludf.DUMMYFUNCTION("""COMPUTED_VALUE"""),"L")</f>
        <v>L</v>
      </c>
      <c r="F227" s="16">
        <f>IFERROR(__xludf.DUMMYFUNCTION("""COMPUTED_VALUE"""),67.0)</f>
        <v>67</v>
      </c>
      <c r="G227" s="16">
        <f>IFERROR(__xludf.DUMMYFUNCTION("""COMPUTED_VALUE"""),29.0)</f>
        <v>29</v>
      </c>
      <c r="H227" s="16">
        <f>IFERROR(__xludf.DUMMYFUNCTION("""COMPUTED_VALUE"""),20.0)</f>
        <v>20</v>
      </c>
      <c r="I227" s="16">
        <f>IFERROR(__xludf.DUMMYFUNCTION("""COMPUTED_VALUE"""),0.0)</f>
        <v>0</v>
      </c>
      <c r="J227" s="16">
        <f>IFERROR(__xludf.DUMMYFUNCTION("""COMPUTED_VALUE"""),-1.0)</f>
        <v>-1</v>
      </c>
      <c r="K227" s="16">
        <f>IFERROR(__xludf.DUMMYFUNCTION("""COMPUTED_VALUE"""),0.0)</f>
        <v>0</v>
      </c>
      <c r="L227" s="16">
        <f>IFERROR(__xludf.DUMMYFUNCTION("""COMPUTED_VALUE"""),-3.0)</f>
        <v>-3</v>
      </c>
      <c r="M227" s="16">
        <f>IFERROR(__xludf.DUMMYFUNCTION("""COMPUTED_VALUE"""),14.0)</f>
        <v>14</v>
      </c>
      <c r="N227" s="16">
        <f>IFERROR(__xludf.DUMMYFUNCTION("""COMPUTED_VALUE"""),8.0)</f>
        <v>8</v>
      </c>
      <c r="O227" s="16">
        <f>IFERROR(__xludf.DUMMYFUNCTION("""COMPUTED_VALUE"""),-2.0)</f>
        <v>-2</v>
      </c>
      <c r="P227" s="16">
        <f>IFERROR(__xludf.DUMMYFUNCTION("""COMPUTED_VALUE"""),0.0)</f>
        <v>0</v>
      </c>
      <c r="Q227" s="16">
        <f>IFERROR(__xludf.DUMMYFUNCTION("""COMPUTED_VALUE"""),-2.0)</f>
        <v>-2</v>
      </c>
      <c r="R227" s="16">
        <f>IFERROR(__xludf.DUMMYFUNCTION("""COMPUTED_VALUE"""),0.0)</f>
        <v>0</v>
      </c>
      <c r="S227" s="16">
        <f>IFERROR(__xludf.DUMMYFUNCTION("""COMPUTED_VALUE"""),8.9)</f>
        <v>8.9</v>
      </c>
      <c r="T227" s="16">
        <f>IFERROR(__xludf.DUMMYFUNCTION("""COMPUTED_VALUE"""),14.3)</f>
        <v>14.3</v>
      </c>
      <c r="U227" s="16">
        <f>IFERROR(__xludf.DUMMYFUNCTION("""COMPUTED_VALUE"""),1.0)</f>
        <v>1</v>
      </c>
      <c r="V227" s="16">
        <f>IFERROR(__xludf.DUMMYFUNCTION("""COMPUTED_VALUE"""),0.0)</f>
        <v>0</v>
      </c>
      <c r="W227" s="16">
        <f>IFERROR(__xludf.DUMMYFUNCTION("""COMPUTED_VALUE"""),2.0)</f>
        <v>2</v>
      </c>
      <c r="X227" s="16">
        <f>IFERROR(__xludf.DUMMYFUNCTION("""COMPUTED_VALUE"""),0.0)</f>
        <v>0</v>
      </c>
      <c r="Y227" s="16">
        <f>IFERROR(__xludf.DUMMYFUNCTION("""COMPUTED_VALUE"""),22.9)</f>
        <v>22.9</v>
      </c>
      <c r="Z227" s="16">
        <f>IFERROR(__xludf.DUMMYFUNCTION("""COMPUTED_VALUE"""),22.3)</f>
        <v>22.3</v>
      </c>
      <c r="AA227" s="16">
        <f>IFERROR(__xludf.DUMMYFUNCTION("""COMPUTED_VALUE"""),0.0)</f>
        <v>0</v>
      </c>
      <c r="AB227" s="16">
        <f>IFERROR(__xludf.DUMMYFUNCTION("""COMPUTED_VALUE"""),1.0)</f>
        <v>1</v>
      </c>
      <c r="AC227" s="16">
        <f>IFERROR(__xludf.DUMMYFUNCTION("""COMPUTED_VALUE"""),0.0)</f>
        <v>0</v>
      </c>
      <c r="AD227" s="16">
        <f>IFERROR(__xludf.DUMMYFUNCTION("""COMPUTED_VALUE"""),5.0)</f>
        <v>5</v>
      </c>
      <c r="AE227" s="16">
        <f>IFERROR(__xludf.DUMMYFUNCTION("""COMPUTED_VALUE"""),22.9)</f>
        <v>22.9</v>
      </c>
      <c r="AF227" s="16">
        <f>IFERROR(__xludf.DUMMYFUNCTION("""COMPUTED_VALUE"""),26.5)</f>
        <v>26.5</v>
      </c>
      <c r="AG227" s="16">
        <f>IFERROR(__xludf.DUMMYFUNCTION("""COMPUTED_VALUE"""),1.0)</f>
        <v>1</v>
      </c>
      <c r="AH227" s="16">
        <f>IFERROR(__xludf.DUMMYFUNCTION("""COMPUTED_VALUE"""),0.0)</f>
        <v>0</v>
      </c>
      <c r="AI227" s="16">
        <f>IFERROR(__xludf.DUMMYFUNCTION("""COMPUTED_VALUE"""),2.0)</f>
        <v>2</v>
      </c>
      <c r="AJ227" s="16">
        <f>IFERROR(__xludf.DUMMYFUNCTION("""COMPUTED_VALUE"""),0.0)</f>
        <v>0</v>
      </c>
      <c r="AK227" s="16">
        <f>IFERROR(__xludf.DUMMYFUNCTION("""COMPUTED_VALUE"""),5.7)</f>
        <v>5.7</v>
      </c>
      <c r="AL227" s="16">
        <f>IFERROR(__xludf.DUMMYFUNCTION("""COMPUTED_VALUE"""),12.3)</f>
        <v>12.3</v>
      </c>
      <c r="AM227" s="16">
        <f>IFERROR(__xludf.DUMMYFUNCTION("""COMPUTED_VALUE"""),1.0)</f>
        <v>1</v>
      </c>
      <c r="AN227" s="16">
        <f>IFERROR(__xludf.DUMMYFUNCTION("""COMPUTED_VALUE"""),0.0)</f>
        <v>0</v>
      </c>
      <c r="AO227" s="16">
        <f>IFERROR(__xludf.DUMMYFUNCTION("""COMPUTED_VALUE"""),1.0)</f>
        <v>1</v>
      </c>
      <c r="AP227" s="16">
        <f>IFERROR(__xludf.DUMMYFUNCTION("""COMPUTED_VALUE"""),0.0)</f>
        <v>0</v>
      </c>
      <c r="AQ227" s="16">
        <f>IFERROR(__xludf.DUMMYFUNCTION("""COMPUTED_VALUE"""),10.099999999999998)</f>
        <v>10.1</v>
      </c>
      <c r="AR227" s="16">
        <f>IFERROR(__xludf.DUMMYFUNCTION("""COMPUTED_VALUE"""),18.5)</f>
        <v>18.5</v>
      </c>
      <c r="AS227" s="16">
        <f>IFERROR(__xludf.DUMMYFUNCTION("""COMPUTED_VALUE"""),1.0)</f>
        <v>1</v>
      </c>
      <c r="AT227" s="16">
        <f>IFERROR(__xludf.DUMMYFUNCTION("""COMPUTED_VALUE"""),0.0)</f>
        <v>0</v>
      </c>
      <c r="AU227" s="16">
        <f>IFERROR(__xludf.DUMMYFUNCTION("""COMPUTED_VALUE"""),2.0)</f>
        <v>2</v>
      </c>
      <c r="AV227" s="16">
        <f>IFERROR(__xludf.DUMMYFUNCTION("""COMPUTED_VALUE"""),0.0)</f>
        <v>0</v>
      </c>
      <c r="AW227" s="16">
        <f>IFERROR(__xludf.DUMMYFUNCTION("""COMPUTED_VALUE"""),3.2)</f>
        <v>3.2</v>
      </c>
      <c r="AX227" s="16">
        <f>IFERROR(__xludf.DUMMYFUNCTION("""COMPUTED_VALUE"""),2.0)</f>
        <v>2</v>
      </c>
      <c r="AY227" s="16">
        <f>IFERROR(__xludf.DUMMYFUNCTION("""COMPUTED_VALUE"""),-1.0)</f>
        <v>-1</v>
      </c>
      <c r="AZ227" s="16">
        <f>IFERROR(__xludf.DUMMYFUNCTION("""COMPUTED_VALUE"""),0.0)</f>
        <v>0</v>
      </c>
      <c r="BA227" s="16">
        <f>IFERROR(__xludf.DUMMYFUNCTION("""COMPUTED_VALUE"""),-5.0)</f>
        <v>-5</v>
      </c>
      <c r="BB227" s="16">
        <f>IFERROR(__xludf.DUMMYFUNCTION("""COMPUTED_VALUE"""),0.0)</f>
        <v>0</v>
      </c>
      <c r="BC227" s="16">
        <f>IFERROR(__xludf.DUMMYFUNCTION("""COMPUTED_VALUE"""),5.0)</f>
        <v>5</v>
      </c>
      <c r="BD227" s="16">
        <f>IFERROR(__xludf.DUMMYFUNCTION("""COMPUTED_VALUE"""),3.0)</f>
        <v>3</v>
      </c>
      <c r="BE227" s="16">
        <f>IFERROR(__xludf.DUMMYFUNCTION("""COMPUTED_VALUE"""),5.0)</f>
        <v>5</v>
      </c>
      <c r="BF227" s="16">
        <f>IFERROR(__xludf.DUMMYFUNCTION("""COMPUTED_VALUE"""),3.0)</f>
        <v>3</v>
      </c>
      <c r="BG227" s="16">
        <f>IFERROR(__xludf.DUMMYFUNCTION("""COMPUTED_VALUE"""),-2.0)</f>
        <v>-2</v>
      </c>
      <c r="BH227" s="16">
        <f>IFERROR(__xludf.DUMMYFUNCTION("""COMPUTED_VALUE"""),0.0)</f>
        <v>0</v>
      </c>
      <c r="BI227" s="16">
        <f>IFERROR(__xludf.DUMMYFUNCTION("""COMPUTED_VALUE"""),-4.0)</f>
        <v>-4</v>
      </c>
      <c r="BJ227" s="16">
        <f>IFERROR(__xludf.DUMMYFUNCTION("""COMPUTED_VALUE"""),0.0)</f>
        <v>0</v>
      </c>
      <c r="BK227" s="16">
        <f>IFERROR(__xludf.DUMMYFUNCTION("""COMPUTED_VALUE"""),5.0)</f>
        <v>5</v>
      </c>
      <c r="BL227" s="16">
        <f>IFERROR(__xludf.DUMMYFUNCTION("""COMPUTED_VALUE"""),5.0)</f>
        <v>5</v>
      </c>
      <c r="BM227" s="16">
        <f>IFERROR(__xludf.DUMMYFUNCTION("""COMPUTED_VALUE"""),0.0)</f>
        <v>0</v>
      </c>
      <c r="BN227" s="16">
        <f>IFERROR(__xludf.DUMMYFUNCTION("""COMPUTED_VALUE"""),0.0)</f>
        <v>0</v>
      </c>
      <c r="BO227" s="16">
        <f>IFERROR(__xludf.DUMMYFUNCTION("""COMPUTED_VALUE"""),0.0)</f>
        <v>0</v>
      </c>
      <c r="BP227" s="16">
        <f>IFERROR(__xludf.DUMMYFUNCTION("""COMPUTED_VALUE"""),0.0)</f>
        <v>0</v>
      </c>
      <c r="BQ227" s="16">
        <f>IFERROR(__xludf.DUMMYFUNCTION("""COMPUTED_VALUE"""),11.0)</f>
        <v>11</v>
      </c>
      <c r="BR227" s="16">
        <f>IFERROR(__xludf.DUMMYFUNCTION("""COMPUTED_VALUE"""),10.0)</f>
        <v>10</v>
      </c>
      <c r="BS227" s="16">
        <f>IFERROR(__xludf.DUMMYFUNCTION("""COMPUTED_VALUE"""),3.0)</f>
        <v>3</v>
      </c>
      <c r="BT227" s="16">
        <f>IFERROR(__xludf.DUMMYFUNCTION("""COMPUTED_VALUE"""),3.0)</f>
        <v>3</v>
      </c>
      <c r="BU227" s="16">
        <f>IFERROR(__xludf.DUMMYFUNCTION("""COMPUTED_VALUE"""),6.0)</f>
        <v>6</v>
      </c>
      <c r="BV227" s="16">
        <f>IFERROR(__xludf.DUMMYFUNCTION("""COMPUTED_VALUE"""),6.0)</f>
        <v>6</v>
      </c>
      <c r="BW227" s="16">
        <f>IFERROR(__xludf.DUMMYFUNCTION("""COMPUTED_VALUE"""),-1.0)</f>
        <v>-1</v>
      </c>
      <c r="BX227" s="16">
        <f>IFERROR(__xludf.DUMMYFUNCTION("""COMPUTED_VALUE"""),-1.0)</f>
        <v>-1</v>
      </c>
      <c r="BY227" s="16" t="str">
        <f>IFERROR(__xludf.DUMMYFUNCTION("""COMPUTED_VALUE"""),"S(5)")</f>
        <v>S(5)</v>
      </c>
      <c r="BZ227" s="16" t="str">
        <f>IFERROR(__xludf.DUMMYFUNCTION("""COMPUTED_VALUE"""),"S(5)")</f>
        <v>S(5)</v>
      </c>
      <c r="CA227" s="16" t="str">
        <f>IFERROR(__xludf.DUMMYFUNCTION("""COMPUTED_VALUE"""),"S(5)")</f>
        <v>S(5)</v>
      </c>
      <c r="CB227" s="16"/>
      <c r="CC227" s="16"/>
      <c r="CD227" s="16">
        <f>IFERROR(__xludf.DUMMYFUNCTION("""COMPUTED_VALUE"""),5.0)</f>
        <v>5</v>
      </c>
      <c r="CE227" s="16"/>
      <c r="CF227" s="16"/>
      <c r="CG227" s="16" t="str">
        <f>IFERROR(__xludf.DUMMYFUNCTION("""COMPUTED_VALUE"""),"2-0")</f>
        <v>2-0</v>
      </c>
      <c r="CH227" s="16">
        <f>IFERROR(__xludf.DUMMYFUNCTION("""COMPUTED_VALUE"""),2.0)</f>
        <v>2</v>
      </c>
      <c r="CI227" s="16">
        <f>IFERROR(__xludf.DUMMYFUNCTION("""COMPUTED_VALUE"""),0.0)</f>
        <v>0</v>
      </c>
      <c r="CJ227" s="16">
        <f>IFERROR(__xludf.DUMMYFUNCTION("""COMPUTED_VALUE"""),0.0)</f>
        <v>0</v>
      </c>
      <c r="CK227" s="16">
        <f>IFERROR(__xludf.DUMMYFUNCTION("""COMPUTED_VALUE"""),10.0)</f>
        <v>10</v>
      </c>
      <c r="CL227" s="16" t="str">
        <f>IFERROR(__xludf.DUMMYFUNCTION("""COMPUTED_VALUE"""),"1WL-C")</f>
        <v>1WL-C</v>
      </c>
      <c r="CM227" s="16" t="str">
        <f>IFERROR(__xludf.DUMMYFUNCTION("""COMPUTED_VALUE"""),"E")</f>
        <v>E</v>
      </c>
      <c r="CN227" s="16">
        <f>IFERROR(__xludf.DUMMYFUNCTION("""COMPUTED_VALUE"""),10.0)</f>
        <v>10</v>
      </c>
      <c r="CO227" s="16" t="str">
        <f>IFERROR(__xludf.DUMMYFUNCTION("""COMPUTED_VALUE"""),"C")</f>
        <v>C</v>
      </c>
      <c r="CP227" s="16" t="str">
        <f>IFERROR(__xludf.DUMMYFUNCTION("""COMPUTED_VALUE"""),"5p40")</f>
        <v>5p40</v>
      </c>
      <c r="CQ227" s="16">
        <f>IFERROR(__xludf.DUMMYFUNCTION("""COMPUTED_VALUE"""),2.0)</f>
        <v>2</v>
      </c>
      <c r="CR227" s="16">
        <f>IFERROR(__xludf.DUMMYFUNCTION("""COMPUTED_VALUE"""),8.0)</f>
        <v>8</v>
      </c>
      <c r="CS227" s="16">
        <f>IFERROR(__xludf.DUMMYFUNCTION("""COMPUTED_VALUE"""),10.0)</f>
        <v>10</v>
      </c>
      <c r="CT227" s="16">
        <f>IFERROR(__xludf.DUMMYFUNCTION("""COMPUTED_VALUE"""),2.0)</f>
        <v>2</v>
      </c>
      <c r="CU227" s="16">
        <f>IFERROR(__xludf.DUMMYFUNCTION("""COMPUTED_VALUE"""),8.0)</f>
        <v>8</v>
      </c>
      <c r="CV227" s="179">
        <f>IFERROR(__xludf.DUMMYFUNCTION("""COMPUTED_VALUE"""),5.0)</f>
        <v>5</v>
      </c>
      <c r="CW227" s="179">
        <f>IFERROR(__xludf.DUMMYFUNCTION("""COMPUTED_VALUE"""),0.0)</f>
        <v>0</v>
      </c>
      <c r="CX227" s="179">
        <f>IFERROR(__xludf.DUMMYFUNCTION("""COMPUTED_VALUE"""),1.0)</f>
        <v>1</v>
      </c>
      <c r="CY227" s="16" t="str">
        <f>IFERROR(__xludf.DUMMYFUNCTION("""COMPUTED_VALUE"""),"SP")</f>
        <v>SP</v>
      </c>
      <c r="CZ227" s="16"/>
      <c r="DA227" s="16"/>
      <c r="DB227" s="16"/>
      <c r="DC227" s="16"/>
      <c r="DD227" s="16"/>
      <c r="DE227" s="16"/>
      <c r="DF227" s="16"/>
      <c r="DG227" s="16"/>
      <c r="DH227" s="16"/>
      <c r="DI227" s="16"/>
      <c r="DJ227" s="16"/>
      <c r="DK227" s="16"/>
    </row>
    <row r="228">
      <c r="A228" s="16">
        <f>IFERROR(__xludf.DUMMYFUNCTION("""COMPUTED_VALUE"""),12699.0)</f>
        <v>12699</v>
      </c>
      <c r="B228" s="16" t="str">
        <f>IFERROR(__xludf.DUMMYFUNCTION("""COMPUTED_VALUE"""),"Colin Holderman")</f>
        <v>Colin Holderman</v>
      </c>
      <c r="C228" s="153">
        <f>IFERROR(__xludf.DUMMYFUNCTION("""COMPUTED_VALUE"""),0.65)</f>
        <v>0.65</v>
      </c>
      <c r="D228" s="16"/>
      <c r="E228" s="16" t="str">
        <f>IFERROR(__xludf.DUMMYFUNCTION("""COMPUTED_VALUE"""),"R")</f>
        <v>R</v>
      </c>
      <c r="F228" s="16">
        <f>IFERROR(__xludf.DUMMYFUNCTION("""COMPUTED_VALUE"""),51.0)</f>
        <v>51</v>
      </c>
      <c r="G228" s="16">
        <f>IFERROR(__xludf.DUMMYFUNCTION("""COMPUTED_VALUE"""),26.0)</f>
        <v>26</v>
      </c>
      <c r="H228" s="16">
        <f>IFERROR(__xludf.DUMMYFUNCTION("""COMPUTED_VALUE"""),36.0)</f>
        <v>36</v>
      </c>
      <c r="I228" s="16">
        <f>IFERROR(__xludf.DUMMYFUNCTION("""COMPUTED_VALUE"""),0.0)</f>
        <v>0</v>
      </c>
      <c r="J228" s="16">
        <f>IFERROR(__xludf.DUMMYFUNCTION("""COMPUTED_VALUE"""),1.0)</f>
        <v>1</v>
      </c>
      <c r="K228" s="16">
        <f>IFERROR(__xludf.DUMMYFUNCTION("""COMPUTED_VALUE"""),0.0)</f>
        <v>0</v>
      </c>
      <c r="L228" s="16">
        <f>IFERROR(__xludf.DUMMYFUNCTION("""COMPUTED_VALUE"""),3.0)</f>
        <v>3</v>
      </c>
      <c r="M228" s="16">
        <f>IFERROR(__xludf.DUMMYFUNCTION("""COMPUTED_VALUE"""),27.0)</f>
        <v>27</v>
      </c>
      <c r="N228" s="16">
        <f>IFERROR(__xludf.DUMMYFUNCTION("""COMPUTED_VALUE"""),8.0)</f>
        <v>8</v>
      </c>
      <c r="O228" s="16">
        <f>IFERROR(__xludf.DUMMYFUNCTION("""COMPUTED_VALUE"""),-3.0)</f>
        <v>-3</v>
      </c>
      <c r="P228" s="16">
        <f>IFERROR(__xludf.DUMMYFUNCTION("""COMPUTED_VALUE"""),0.0)</f>
        <v>0</v>
      </c>
      <c r="Q228" s="16">
        <f>IFERROR(__xludf.DUMMYFUNCTION("""COMPUTED_VALUE"""),-3.0)</f>
        <v>-3</v>
      </c>
      <c r="R228" s="16">
        <f>IFERROR(__xludf.DUMMYFUNCTION("""COMPUTED_VALUE"""),0.0)</f>
        <v>0</v>
      </c>
      <c r="S228" s="16">
        <f>IFERROR(__xludf.DUMMYFUNCTION("""COMPUTED_VALUE"""),12.5)</f>
        <v>12.5</v>
      </c>
      <c r="T228" s="16">
        <f>IFERROR(__xludf.DUMMYFUNCTION("""COMPUTED_VALUE"""),5.8)</f>
        <v>5.8</v>
      </c>
      <c r="U228" s="16">
        <f>IFERROR(__xludf.DUMMYFUNCTION("""COMPUTED_VALUE"""),0.0)</f>
        <v>0</v>
      </c>
      <c r="V228" s="16">
        <f>IFERROR(__xludf.DUMMYFUNCTION("""COMPUTED_VALUE"""),2.0)</f>
        <v>2</v>
      </c>
      <c r="W228" s="16">
        <f>IFERROR(__xludf.DUMMYFUNCTION("""COMPUTED_VALUE"""),0.0)</f>
        <v>0</v>
      </c>
      <c r="X228" s="16">
        <f>IFERROR(__xludf.DUMMYFUNCTION("""COMPUTED_VALUE"""),4.0)</f>
        <v>4</v>
      </c>
      <c r="Y228" s="16">
        <f>IFERROR(__xludf.DUMMYFUNCTION("""COMPUTED_VALUE"""),39.5)</f>
        <v>39.5</v>
      </c>
      <c r="Z228" s="16">
        <f>IFERROR(__xludf.DUMMYFUNCTION("""COMPUTED_VALUE"""),13.8)</f>
        <v>13.8</v>
      </c>
      <c r="AA228" s="16">
        <f>IFERROR(__xludf.DUMMYFUNCTION("""COMPUTED_VALUE"""),-2.0)</f>
        <v>-2</v>
      </c>
      <c r="AB228" s="16">
        <f>IFERROR(__xludf.DUMMYFUNCTION("""COMPUTED_VALUE"""),2.0)</f>
        <v>2</v>
      </c>
      <c r="AC228" s="16">
        <f>IFERROR(__xludf.DUMMYFUNCTION("""COMPUTED_VALUE"""),-10.0)</f>
        <v>-10</v>
      </c>
      <c r="AD228" s="16">
        <f>IFERROR(__xludf.DUMMYFUNCTION("""COMPUTED_VALUE"""),10.0)</f>
        <v>10</v>
      </c>
      <c r="AE228" s="16">
        <f>IFERROR(__xludf.DUMMYFUNCTION("""COMPUTED_VALUE"""),25.4)</f>
        <v>25.4</v>
      </c>
      <c r="AF228" s="16">
        <f>IFERROR(__xludf.DUMMYFUNCTION("""COMPUTED_VALUE"""),13.6)</f>
        <v>13.6</v>
      </c>
      <c r="AG228" s="16">
        <f>IFERROR(__xludf.DUMMYFUNCTION("""COMPUTED_VALUE"""),0.0)</f>
        <v>0</v>
      </c>
      <c r="AH228" s="16">
        <f>IFERROR(__xludf.DUMMYFUNCTION("""COMPUTED_VALUE"""),2.0)</f>
        <v>2</v>
      </c>
      <c r="AI228" s="16">
        <f>IFERROR(__xludf.DUMMYFUNCTION("""COMPUTED_VALUE"""),0.0)</f>
        <v>0</v>
      </c>
      <c r="AJ228" s="16">
        <f>IFERROR(__xludf.DUMMYFUNCTION("""COMPUTED_VALUE"""),4.0)</f>
        <v>4</v>
      </c>
      <c r="AK228" s="16">
        <f>IFERROR(__xludf.DUMMYFUNCTION("""COMPUTED_VALUE"""),11.7)</f>
        <v>11.7</v>
      </c>
      <c r="AL228" s="16">
        <f>IFERROR(__xludf.DUMMYFUNCTION("""COMPUTED_VALUE"""),3.1999999999999997)</f>
        <v>3.2</v>
      </c>
      <c r="AM228" s="16">
        <f>IFERROR(__xludf.DUMMYFUNCTION("""COMPUTED_VALUE"""),0.0)</f>
        <v>0</v>
      </c>
      <c r="AN228" s="16">
        <f>IFERROR(__xludf.DUMMYFUNCTION("""COMPUTED_VALUE"""),2.0)</f>
        <v>2</v>
      </c>
      <c r="AO228" s="16">
        <f>IFERROR(__xludf.DUMMYFUNCTION("""COMPUTED_VALUE"""),0.0)</f>
        <v>0</v>
      </c>
      <c r="AP228" s="16">
        <f>IFERROR(__xludf.DUMMYFUNCTION("""COMPUTED_VALUE"""),2.0)</f>
        <v>2</v>
      </c>
      <c r="AQ228" s="16">
        <f>IFERROR(__xludf.DUMMYFUNCTION("""COMPUTED_VALUE"""),22.2)</f>
        <v>22.2</v>
      </c>
      <c r="AR228" s="16">
        <f>IFERROR(__xludf.DUMMYFUNCTION("""COMPUTED_VALUE"""),3.1999999999999993)</f>
        <v>3.2</v>
      </c>
      <c r="AS228" s="16">
        <f>IFERROR(__xludf.DUMMYFUNCTION("""COMPUTED_VALUE"""),0.0)</f>
        <v>0</v>
      </c>
      <c r="AT228" s="16">
        <f>IFERROR(__xludf.DUMMYFUNCTION("""COMPUTED_VALUE"""),2.0)</f>
        <v>2</v>
      </c>
      <c r="AU228" s="16">
        <f>IFERROR(__xludf.DUMMYFUNCTION("""COMPUTED_VALUE"""),0.0)</f>
        <v>0</v>
      </c>
      <c r="AV228" s="16">
        <f>IFERROR(__xludf.DUMMYFUNCTION("""COMPUTED_VALUE"""),4.0)</f>
        <v>4</v>
      </c>
      <c r="AW228" s="16">
        <f>IFERROR(__xludf.DUMMYFUNCTION("""COMPUTED_VALUE"""),0.8)</f>
        <v>0.8</v>
      </c>
      <c r="AX228" s="16">
        <f>IFERROR(__xludf.DUMMYFUNCTION("""COMPUTED_VALUE"""),2.6)</f>
        <v>2.6</v>
      </c>
      <c r="AY228" s="16">
        <f>IFERROR(__xludf.DUMMYFUNCTION("""COMPUTED_VALUE"""),2.0)</f>
        <v>2</v>
      </c>
      <c r="AZ228" s="16">
        <f>IFERROR(__xludf.DUMMYFUNCTION("""COMPUTED_VALUE"""),-1.0)</f>
        <v>-1</v>
      </c>
      <c r="BA228" s="16">
        <f>IFERROR(__xludf.DUMMYFUNCTION("""COMPUTED_VALUE"""),10.0)</f>
        <v>10</v>
      </c>
      <c r="BB228" s="16">
        <f>IFERROR(__xludf.DUMMYFUNCTION("""COMPUTED_VALUE"""),-5.0)</f>
        <v>-5</v>
      </c>
      <c r="BC228" s="16"/>
      <c r="BD228" s="16">
        <f>IFERROR(__xludf.DUMMYFUNCTION("""COMPUTED_VALUE"""),4.0)</f>
        <v>4</v>
      </c>
      <c r="BE228" s="16">
        <f>IFERROR(__xludf.DUMMYFUNCTION("""COMPUTED_VALUE"""),1.0)</f>
        <v>1</v>
      </c>
      <c r="BF228" s="16">
        <f>IFERROR(__xludf.DUMMYFUNCTION("""COMPUTED_VALUE"""),4.0)</f>
        <v>4</v>
      </c>
      <c r="BG228" s="16">
        <f>IFERROR(__xludf.DUMMYFUNCTION("""COMPUTED_VALUE"""),2.0)</f>
        <v>2</v>
      </c>
      <c r="BH228" s="16">
        <f>IFERROR(__xludf.DUMMYFUNCTION("""COMPUTED_VALUE"""),-1.0)</f>
        <v>-1</v>
      </c>
      <c r="BI228" s="16">
        <f>IFERROR(__xludf.DUMMYFUNCTION("""COMPUTED_VALUE"""),4.0)</f>
        <v>4</v>
      </c>
      <c r="BJ228" s="16">
        <f>IFERROR(__xludf.DUMMYFUNCTION("""COMPUTED_VALUE"""),-2.0)</f>
        <v>-2</v>
      </c>
      <c r="BK228" s="16">
        <f>IFERROR(__xludf.DUMMYFUNCTION("""COMPUTED_VALUE"""),0.0)</f>
        <v>0</v>
      </c>
      <c r="BL228" s="16">
        <f>IFERROR(__xludf.DUMMYFUNCTION("""COMPUTED_VALUE"""),5.0)</f>
        <v>5</v>
      </c>
      <c r="BM228" s="16">
        <f>IFERROR(__xludf.DUMMYFUNCTION("""COMPUTED_VALUE"""),1.0)</f>
        <v>1</v>
      </c>
      <c r="BN228" s="16">
        <f>IFERROR(__xludf.DUMMYFUNCTION("""COMPUTED_VALUE"""),0.0)</f>
        <v>0</v>
      </c>
      <c r="BO228" s="16">
        <f>IFERROR(__xludf.DUMMYFUNCTION("""COMPUTED_VALUE"""),1.0)</f>
        <v>1</v>
      </c>
      <c r="BP228" s="16">
        <f>IFERROR(__xludf.DUMMYFUNCTION("""COMPUTED_VALUE"""),0.0)</f>
        <v>0</v>
      </c>
      <c r="BQ228" s="16">
        <f>IFERROR(__xludf.DUMMYFUNCTION("""COMPUTED_VALUE"""),0.0)</f>
        <v>0</v>
      </c>
      <c r="BR228" s="16">
        <f>IFERROR(__xludf.DUMMYFUNCTION("""COMPUTED_VALUE"""),0.0)</f>
        <v>0</v>
      </c>
      <c r="BS228" s="16">
        <f>IFERROR(__xludf.DUMMYFUNCTION("""COMPUTED_VALUE"""),-3.0)</f>
        <v>-3</v>
      </c>
      <c r="BT228" s="16">
        <f>IFERROR(__xludf.DUMMYFUNCTION("""COMPUTED_VALUE"""),-3.0)</f>
        <v>-3</v>
      </c>
      <c r="BU228" s="16">
        <f>IFERROR(__xludf.DUMMYFUNCTION("""COMPUTED_VALUE"""),-6.0)</f>
        <v>-6</v>
      </c>
      <c r="BV228" s="16">
        <f>IFERROR(__xludf.DUMMYFUNCTION("""COMPUTED_VALUE"""),-6.0)</f>
        <v>-6</v>
      </c>
      <c r="BW228" s="16">
        <f>IFERROR(__xludf.DUMMYFUNCTION("""COMPUTED_VALUE"""),5.0)</f>
        <v>5</v>
      </c>
      <c r="BX228" s="16">
        <f>IFERROR(__xludf.DUMMYFUNCTION("""COMPUTED_VALUE"""),5.0)</f>
        <v>5</v>
      </c>
      <c r="BY228" s="16" t="str">
        <f>IFERROR(__xludf.DUMMYFUNCTION("""COMPUTED_VALUE"""),"R(1)")</f>
        <v>R(1)</v>
      </c>
      <c r="BZ228" s="16" t="str">
        <f>IFERROR(__xludf.DUMMYFUNCTION("""COMPUTED_VALUE"""),"R(1)")</f>
        <v>R(1)</v>
      </c>
      <c r="CA228" s="16" t="str">
        <f>IFERROR(__xludf.DUMMYFUNCTION("""COMPUTED_VALUE"""),"R(1)")</f>
        <v>R(1)</v>
      </c>
      <c r="CB228" s="16"/>
      <c r="CC228" s="16"/>
      <c r="CD228" s="16"/>
      <c r="CE228" s="16">
        <f>IFERROR(__xludf.DUMMYFUNCTION("""COMPUTED_VALUE"""),1.0)</f>
        <v>1</v>
      </c>
      <c r="CF228" s="16"/>
      <c r="CG228" s="16" t="str">
        <f>IFERROR(__xludf.DUMMYFUNCTION("""COMPUTED_VALUE"""),"4-0")</f>
        <v>4-0</v>
      </c>
      <c r="CH228" s="16">
        <f>IFERROR(__xludf.DUMMYFUNCTION("""COMPUTED_VALUE"""),4.0)</f>
        <v>4</v>
      </c>
      <c r="CI228" s="16">
        <f>IFERROR(__xludf.DUMMYFUNCTION("""COMPUTED_VALUE"""),0.0)</f>
        <v>0</v>
      </c>
      <c r="CJ228" s="16">
        <f>IFERROR(__xludf.DUMMYFUNCTION("""COMPUTED_VALUE"""),0.0)</f>
        <v>0</v>
      </c>
      <c r="CK228" s="16">
        <f>IFERROR(__xludf.DUMMYFUNCTION("""COMPUTED_VALUE"""),8.0)</f>
        <v>8</v>
      </c>
      <c r="CL228" s="16" t="str">
        <f>IFERROR(__xludf.DUMMYFUNCTION("""COMPUTED_VALUE"""),"1WR-C")</f>
        <v>1WR-C</v>
      </c>
      <c r="CM228" s="16" t="str">
        <f>IFERROR(__xludf.DUMMYFUNCTION("""COMPUTED_VALUE"""),"E")</f>
        <v>E</v>
      </c>
      <c r="CN228" s="16">
        <f>IFERROR(__xludf.DUMMYFUNCTION("""COMPUTED_VALUE"""),10.0)</f>
        <v>10</v>
      </c>
      <c r="CO228" s="16" t="str">
        <f>IFERROR(__xludf.DUMMYFUNCTION("""COMPUTED_VALUE"""),"C")</f>
        <v>C</v>
      </c>
      <c r="CP228" s="16" t="str">
        <f>IFERROR(__xludf.DUMMYFUNCTION("""COMPUTED_VALUE"""),"3p40")</f>
        <v>3p40</v>
      </c>
      <c r="CQ228" s="16">
        <f>IFERROR(__xludf.DUMMYFUNCTION("""COMPUTED_VALUE"""),-4.0)</f>
        <v>-4</v>
      </c>
      <c r="CR228" s="16">
        <f>IFERROR(__xludf.DUMMYFUNCTION("""COMPUTED_VALUE"""),14.0)</f>
        <v>14</v>
      </c>
      <c r="CS228" s="16">
        <f>IFERROR(__xludf.DUMMYFUNCTION("""COMPUTED_VALUE"""),10.0)</f>
        <v>10</v>
      </c>
      <c r="CT228" s="16">
        <f>IFERROR(__xludf.DUMMYFUNCTION("""COMPUTED_VALUE"""),-4.0)</f>
        <v>-4</v>
      </c>
      <c r="CU228" s="16">
        <f>IFERROR(__xludf.DUMMYFUNCTION("""COMPUTED_VALUE"""),14.0)</f>
        <v>14</v>
      </c>
      <c r="CV228" s="179">
        <f>IFERROR(__xludf.DUMMYFUNCTION("""COMPUTED_VALUE"""),5.0)</f>
        <v>5</v>
      </c>
      <c r="CW228" s="179">
        <f>IFERROR(__xludf.DUMMYFUNCTION("""COMPUTED_VALUE"""),2.0)</f>
        <v>2</v>
      </c>
      <c r="CX228" s="179">
        <f>IFERROR(__xludf.DUMMYFUNCTION("""COMPUTED_VALUE"""),1.0)</f>
        <v>1</v>
      </c>
      <c r="CY228" s="16" t="str">
        <f>IFERROR(__xludf.DUMMYFUNCTION("""COMPUTED_VALUE"""),"RP")</f>
        <v>RP</v>
      </c>
      <c r="CZ228" s="16"/>
      <c r="DA228" s="16"/>
      <c r="DB228" s="16"/>
      <c r="DC228" s="16"/>
      <c r="DD228" s="16"/>
      <c r="DE228" s="16"/>
      <c r="DF228" s="16"/>
      <c r="DG228" s="16"/>
      <c r="DH228" s="16"/>
      <c r="DI228" s="16"/>
      <c r="DJ228" s="16"/>
      <c r="DK228" s="16"/>
    </row>
    <row r="229">
      <c r="A229" s="16">
        <f>IFERROR(__xludf.DUMMYFUNCTION("""COMPUTED_VALUE"""),12654.0)</f>
        <v>12654</v>
      </c>
      <c r="B229" s="16" t="str">
        <f>IFERROR(__xludf.DUMMYFUNCTION("""COMPUTED_VALUE"""),"Carlos Hernandez")</f>
        <v>Carlos Hernandez</v>
      </c>
      <c r="C229" s="153">
        <f>IFERROR(__xludf.DUMMYFUNCTION("""COMPUTED_VALUE"""),0.48)</f>
        <v>0.48</v>
      </c>
      <c r="D229" s="16"/>
      <c r="E229" s="16" t="str">
        <f>IFERROR(__xludf.DUMMYFUNCTION("""COMPUTED_VALUE"""),"R")</f>
        <v>R</v>
      </c>
      <c r="F229" s="16">
        <f>IFERROR(__xludf.DUMMYFUNCTION("""COMPUTED_VALUE"""),30.0)</f>
        <v>30</v>
      </c>
      <c r="G229" s="16">
        <f>IFERROR(__xludf.DUMMYFUNCTION("""COMPUTED_VALUE"""),20.0)</f>
        <v>20</v>
      </c>
      <c r="H229" s="16">
        <f>IFERROR(__xludf.DUMMYFUNCTION("""COMPUTED_VALUE"""),23.0)</f>
        <v>23</v>
      </c>
      <c r="I229" s="16">
        <f>IFERROR(__xludf.DUMMYFUNCTION("""COMPUTED_VALUE"""),-1.0)</f>
        <v>-1</v>
      </c>
      <c r="J229" s="16">
        <f>IFERROR(__xludf.DUMMYFUNCTION("""COMPUTED_VALUE"""),-1.0)</f>
        <v>-1</v>
      </c>
      <c r="K229" s="16">
        <f>IFERROR(__xludf.DUMMYFUNCTION("""COMPUTED_VALUE"""),-3.0)</f>
        <v>-3</v>
      </c>
      <c r="L229" s="16">
        <f>IFERROR(__xludf.DUMMYFUNCTION("""COMPUTED_VALUE"""),-3.0)</f>
        <v>-3</v>
      </c>
      <c r="M229" s="16">
        <f>IFERROR(__xludf.DUMMYFUNCTION("""COMPUTED_VALUE"""),16.0)</f>
        <v>16</v>
      </c>
      <c r="N229" s="16">
        <f>IFERROR(__xludf.DUMMYFUNCTION("""COMPUTED_VALUE"""),22.0)</f>
        <v>22</v>
      </c>
      <c r="O229" s="16">
        <f>IFERROR(__xludf.DUMMYFUNCTION("""COMPUTED_VALUE"""),-2.0)</f>
        <v>-2</v>
      </c>
      <c r="P229" s="16">
        <f>IFERROR(__xludf.DUMMYFUNCTION("""COMPUTED_VALUE"""),-3.0)</f>
        <v>-3</v>
      </c>
      <c r="Q229" s="16">
        <f>IFERROR(__xludf.DUMMYFUNCTION("""COMPUTED_VALUE"""),-2.0)</f>
        <v>-2</v>
      </c>
      <c r="R229" s="16">
        <f>IFERROR(__xludf.DUMMYFUNCTION("""COMPUTED_VALUE"""),-3.0)</f>
        <v>-3</v>
      </c>
      <c r="S229" s="16">
        <f>IFERROR(__xludf.DUMMYFUNCTION("""COMPUTED_VALUE"""),15.4)</f>
        <v>15.4</v>
      </c>
      <c r="T229" s="16">
        <f>IFERROR(__xludf.DUMMYFUNCTION("""COMPUTED_VALUE"""),6.8)</f>
        <v>6.8</v>
      </c>
      <c r="U229" s="16">
        <f>IFERROR(__xludf.DUMMYFUNCTION("""COMPUTED_VALUE"""),0.0)</f>
        <v>0</v>
      </c>
      <c r="V229" s="16">
        <f>IFERROR(__xludf.DUMMYFUNCTION("""COMPUTED_VALUE"""),2.0)</f>
        <v>2</v>
      </c>
      <c r="W229" s="16">
        <f>IFERROR(__xludf.DUMMYFUNCTION("""COMPUTED_VALUE"""),0.0)</f>
        <v>0</v>
      </c>
      <c r="X229" s="16">
        <f>IFERROR(__xludf.DUMMYFUNCTION("""COMPUTED_VALUE"""),4.0)</f>
        <v>4</v>
      </c>
      <c r="Y229" s="16">
        <f>IFERROR(__xludf.DUMMYFUNCTION("""COMPUTED_VALUE"""),31.4)</f>
        <v>31.4</v>
      </c>
      <c r="Z229" s="16">
        <f>IFERROR(__xludf.DUMMYFUNCTION("""COMPUTED_VALUE"""),28.8)</f>
        <v>28.8</v>
      </c>
      <c r="AA229" s="16">
        <f>IFERROR(__xludf.DUMMYFUNCTION("""COMPUTED_VALUE"""),-1.0)</f>
        <v>-1</v>
      </c>
      <c r="AB229" s="16">
        <f>IFERROR(__xludf.DUMMYFUNCTION("""COMPUTED_VALUE"""),-1.0)</f>
        <v>-1</v>
      </c>
      <c r="AC229" s="16">
        <f>IFERROR(__xludf.DUMMYFUNCTION("""COMPUTED_VALUE"""),-5.0)</f>
        <v>-5</v>
      </c>
      <c r="AD229" s="16">
        <f>IFERROR(__xludf.DUMMYFUNCTION("""COMPUTED_VALUE"""),-5.0)</f>
        <v>-5</v>
      </c>
      <c r="AE229" s="16">
        <f>IFERROR(__xludf.DUMMYFUNCTION("""COMPUTED_VALUE"""),28.9)</f>
        <v>28.9</v>
      </c>
      <c r="AF229" s="16">
        <f>IFERROR(__xludf.DUMMYFUNCTION("""COMPUTED_VALUE"""),12.0)</f>
        <v>12</v>
      </c>
      <c r="AG229" s="16">
        <f>IFERROR(__xludf.DUMMYFUNCTION("""COMPUTED_VALUE"""),0.0)</f>
        <v>0</v>
      </c>
      <c r="AH229" s="16">
        <f>IFERROR(__xludf.DUMMYFUNCTION("""COMPUTED_VALUE"""),2.0)</f>
        <v>2</v>
      </c>
      <c r="AI229" s="16">
        <f>IFERROR(__xludf.DUMMYFUNCTION("""COMPUTED_VALUE"""),0.0)</f>
        <v>0</v>
      </c>
      <c r="AJ229" s="16">
        <f>IFERROR(__xludf.DUMMYFUNCTION("""COMPUTED_VALUE"""),4.0)</f>
        <v>4</v>
      </c>
      <c r="AK229" s="16">
        <f>IFERROR(__xludf.DUMMYFUNCTION("""COMPUTED_VALUE"""),15.4)</f>
        <v>15.4</v>
      </c>
      <c r="AL229" s="16">
        <f>IFERROR(__xludf.DUMMYFUNCTION("""COMPUTED_VALUE"""),6.8)</f>
        <v>6.8</v>
      </c>
      <c r="AM229" s="16">
        <f>IFERROR(__xludf.DUMMYFUNCTION("""COMPUTED_VALUE"""),0.0)</f>
        <v>0</v>
      </c>
      <c r="AN229" s="16">
        <f>IFERROR(__xludf.DUMMYFUNCTION("""COMPUTED_VALUE"""),1.0)</f>
        <v>1</v>
      </c>
      <c r="AO229" s="16">
        <f>IFERROR(__xludf.DUMMYFUNCTION("""COMPUTED_VALUE"""),0.0)</f>
        <v>0</v>
      </c>
      <c r="AP229" s="16">
        <f>IFERROR(__xludf.DUMMYFUNCTION("""COMPUTED_VALUE"""),1.0)</f>
        <v>1</v>
      </c>
      <c r="AQ229" s="16">
        <f>IFERROR(__xludf.DUMMYFUNCTION("""COMPUTED_VALUE"""),28.9)</f>
        <v>28.9</v>
      </c>
      <c r="AR229" s="16">
        <f>IFERROR(__xludf.DUMMYFUNCTION("""COMPUTED_VALUE"""),12.0)</f>
        <v>12</v>
      </c>
      <c r="AS229" s="16">
        <f>IFERROR(__xludf.DUMMYFUNCTION("""COMPUTED_VALUE"""),-1.0)</f>
        <v>-1</v>
      </c>
      <c r="AT229" s="16">
        <f>IFERROR(__xludf.DUMMYFUNCTION("""COMPUTED_VALUE"""),1.0)</f>
        <v>1</v>
      </c>
      <c r="AU229" s="16">
        <f>IFERROR(__xludf.DUMMYFUNCTION("""COMPUTED_VALUE"""),-2.0)</f>
        <v>-2</v>
      </c>
      <c r="AV229" s="16">
        <f>IFERROR(__xludf.DUMMYFUNCTION("""COMPUTED_VALUE"""),2.0)</f>
        <v>2</v>
      </c>
      <c r="AW229" s="16">
        <f>IFERROR(__xludf.DUMMYFUNCTION("""COMPUTED_VALUE"""),0.0)</f>
        <v>0</v>
      </c>
      <c r="AX229" s="16">
        <f>IFERROR(__xludf.DUMMYFUNCTION("""COMPUTED_VALUE"""),0.0)</f>
        <v>0</v>
      </c>
      <c r="AY229" s="16">
        <f>IFERROR(__xludf.DUMMYFUNCTION("""COMPUTED_VALUE"""),2.0)</f>
        <v>2</v>
      </c>
      <c r="AZ229" s="16">
        <f>IFERROR(__xludf.DUMMYFUNCTION("""COMPUTED_VALUE"""),2.0)</f>
        <v>2</v>
      </c>
      <c r="BA229" s="16">
        <f>IFERROR(__xludf.DUMMYFUNCTION("""COMPUTED_VALUE"""),10.0)</f>
        <v>10</v>
      </c>
      <c r="BB229" s="16">
        <f>IFERROR(__xludf.DUMMYFUNCTION("""COMPUTED_VALUE"""),10.0)</f>
        <v>10</v>
      </c>
      <c r="BC229" s="16">
        <f>IFERROR(__xludf.DUMMYFUNCTION("""COMPUTED_VALUE"""),0.0)</f>
        <v>0</v>
      </c>
      <c r="BD229" s="16"/>
      <c r="BE229" s="16">
        <f>IFERROR(__xludf.DUMMYFUNCTION("""COMPUTED_VALUE"""),0.0)</f>
        <v>0</v>
      </c>
      <c r="BF229" s="16">
        <f>IFERROR(__xludf.DUMMYFUNCTION("""COMPUTED_VALUE"""),0.0)</f>
        <v>0</v>
      </c>
      <c r="BG229" s="16">
        <f>IFERROR(__xludf.DUMMYFUNCTION("""COMPUTED_VALUE"""),3.0)</f>
        <v>3</v>
      </c>
      <c r="BH229" s="16">
        <f>IFERROR(__xludf.DUMMYFUNCTION("""COMPUTED_VALUE"""),2.0)</f>
        <v>2</v>
      </c>
      <c r="BI229" s="16">
        <f>IFERROR(__xludf.DUMMYFUNCTION("""COMPUTED_VALUE"""),6.0)</f>
        <v>6</v>
      </c>
      <c r="BJ229" s="16">
        <f>IFERROR(__xludf.DUMMYFUNCTION("""COMPUTED_VALUE"""),4.0)</f>
        <v>4</v>
      </c>
      <c r="BK229" s="16">
        <f>IFERROR(__xludf.DUMMYFUNCTION("""COMPUTED_VALUE"""),5.0)</f>
        <v>5</v>
      </c>
      <c r="BL229" s="16">
        <f>IFERROR(__xludf.DUMMYFUNCTION("""COMPUTED_VALUE"""),0.0)</f>
        <v>0</v>
      </c>
      <c r="BM229" s="16">
        <f>IFERROR(__xludf.DUMMYFUNCTION("""COMPUTED_VALUE"""),0.0)</f>
        <v>0</v>
      </c>
      <c r="BN229" s="16">
        <f>IFERROR(__xludf.DUMMYFUNCTION("""COMPUTED_VALUE"""),1.0)</f>
        <v>1</v>
      </c>
      <c r="BO229" s="16">
        <f>IFERROR(__xludf.DUMMYFUNCTION("""COMPUTED_VALUE"""),0.0)</f>
        <v>0</v>
      </c>
      <c r="BP229" s="16">
        <f>IFERROR(__xludf.DUMMYFUNCTION("""COMPUTED_VALUE"""),1.0)</f>
        <v>1</v>
      </c>
      <c r="BQ229" s="16">
        <f>IFERROR(__xludf.DUMMYFUNCTION("""COMPUTED_VALUE"""),0.0)</f>
        <v>0</v>
      </c>
      <c r="BR229" s="16">
        <f>IFERROR(__xludf.DUMMYFUNCTION("""COMPUTED_VALUE"""),0.0)</f>
        <v>0</v>
      </c>
      <c r="BS229" s="16">
        <f>IFERROR(__xludf.DUMMYFUNCTION("""COMPUTED_VALUE"""),-3.0)</f>
        <v>-3</v>
      </c>
      <c r="BT229" s="16">
        <f>IFERROR(__xludf.DUMMYFUNCTION("""COMPUTED_VALUE"""),-3.0)</f>
        <v>-3</v>
      </c>
      <c r="BU229" s="16">
        <f>IFERROR(__xludf.DUMMYFUNCTION("""COMPUTED_VALUE"""),-6.0)</f>
        <v>-6</v>
      </c>
      <c r="BV229" s="16">
        <f>IFERROR(__xludf.DUMMYFUNCTION("""COMPUTED_VALUE"""),-6.0)</f>
        <v>-6</v>
      </c>
      <c r="BW229" s="16">
        <f>IFERROR(__xludf.DUMMYFUNCTION("""COMPUTED_VALUE"""),9.0)</f>
        <v>9</v>
      </c>
      <c r="BX229" s="16">
        <f>IFERROR(__xludf.DUMMYFUNCTION("""COMPUTED_VALUE"""),9.0)</f>
        <v>9</v>
      </c>
      <c r="BY229" s="16" t="str">
        <f>IFERROR(__xludf.DUMMYFUNCTION("""COMPUTED_VALUE"""),"R(2)")</f>
        <v>R(2)</v>
      </c>
      <c r="BZ229" s="16" t="str">
        <f>IFERROR(__xludf.DUMMYFUNCTION("""COMPUTED_VALUE"""),"R(2)")</f>
        <v>R(2)</v>
      </c>
      <c r="CA229" s="16" t="str">
        <f>IFERROR(__xludf.DUMMYFUNCTION("""COMPUTED_VALUE"""),"R(2)")</f>
        <v>R(2)</v>
      </c>
      <c r="CB229" s="16"/>
      <c r="CC229" s="16"/>
      <c r="CD229" s="16"/>
      <c r="CE229" s="16">
        <f>IFERROR(__xludf.DUMMYFUNCTION("""COMPUTED_VALUE"""),2.0)</f>
        <v>2</v>
      </c>
      <c r="CF229" s="16"/>
      <c r="CG229" s="16" t="str">
        <f>IFERROR(__xludf.DUMMYFUNCTION("""COMPUTED_VALUE"""),"4-0")</f>
        <v>4-0</v>
      </c>
      <c r="CH229" s="16">
        <f>IFERROR(__xludf.DUMMYFUNCTION("""COMPUTED_VALUE"""),4.0)</f>
        <v>4</v>
      </c>
      <c r="CI229" s="16">
        <f>IFERROR(__xludf.DUMMYFUNCTION("""COMPUTED_VALUE"""),0.0)</f>
        <v>0</v>
      </c>
      <c r="CJ229" s="16">
        <f>IFERROR(__xludf.DUMMYFUNCTION("""COMPUTED_VALUE"""),0.0)</f>
        <v>0</v>
      </c>
      <c r="CK229" s="16">
        <f>IFERROR(__xludf.DUMMYFUNCTION("""COMPUTED_VALUE"""),7.0)</f>
        <v>7</v>
      </c>
      <c r="CL229" s="16" t="str">
        <f>IFERROR(__xludf.DUMMYFUNCTION("""COMPUTED_VALUE"""),"1WR-C")</f>
        <v>1WR-C</v>
      </c>
      <c r="CM229" s="16" t="str">
        <f>IFERROR(__xludf.DUMMYFUNCTION("""COMPUTED_VALUE"""),"E")</f>
        <v>E</v>
      </c>
      <c r="CN229" s="16">
        <f>IFERROR(__xludf.DUMMYFUNCTION("""COMPUTED_VALUE"""),10.0)</f>
        <v>10</v>
      </c>
      <c r="CO229" s="16" t="str">
        <f>IFERROR(__xludf.DUMMYFUNCTION("""COMPUTED_VALUE"""),"C")</f>
        <v>C</v>
      </c>
      <c r="CP229" s="16" t="str">
        <f>IFERROR(__xludf.DUMMYFUNCTION("""COMPUTED_VALUE"""),"5p20")</f>
        <v>5p20</v>
      </c>
      <c r="CQ229" s="16">
        <f>IFERROR(__xludf.DUMMYFUNCTION("""COMPUTED_VALUE"""),-2.0)</f>
        <v>-2</v>
      </c>
      <c r="CR229" s="16">
        <f>IFERROR(__xludf.DUMMYFUNCTION("""COMPUTED_VALUE"""),9.0)</f>
        <v>9</v>
      </c>
      <c r="CS229" s="16">
        <f>IFERROR(__xludf.DUMMYFUNCTION("""COMPUTED_VALUE"""),7.0)</f>
        <v>7</v>
      </c>
      <c r="CT229" s="16">
        <f>IFERROR(__xludf.DUMMYFUNCTION("""COMPUTED_VALUE"""),-2.0)</f>
        <v>-2</v>
      </c>
      <c r="CU229" s="16">
        <f>IFERROR(__xludf.DUMMYFUNCTION("""COMPUTED_VALUE"""),9.0)</f>
        <v>9</v>
      </c>
      <c r="CV229" s="179">
        <f>IFERROR(__xludf.DUMMYFUNCTION("""COMPUTED_VALUE"""),4.666666666666667)</f>
        <v>4.666666667</v>
      </c>
      <c r="CW229" s="179">
        <f>IFERROR(__xludf.DUMMYFUNCTION("""COMPUTED_VALUE"""),0.0)</f>
        <v>0</v>
      </c>
      <c r="CX229" s="179">
        <f>IFERROR(__xludf.DUMMYFUNCTION("""COMPUTED_VALUE"""),3.0)</f>
        <v>3</v>
      </c>
      <c r="CY229" s="16" t="str">
        <f>IFERROR(__xludf.DUMMYFUNCTION("""COMPUTED_VALUE"""),"RP")</f>
        <v>RP</v>
      </c>
      <c r="CZ229" s="16"/>
      <c r="DA229" s="16"/>
      <c r="DB229" s="16"/>
      <c r="DC229" s="16"/>
      <c r="DD229" s="16"/>
      <c r="DE229" s="16"/>
      <c r="DF229" s="16"/>
      <c r="DG229" s="16"/>
      <c r="DH229" s="16"/>
      <c r="DI229" s="16"/>
      <c r="DJ229" s="16"/>
      <c r="DK229" s="16"/>
    </row>
    <row r="230">
      <c r="A230" s="16">
        <f>IFERROR(__xludf.DUMMYFUNCTION("""COMPUTED_VALUE"""),13414.0)</f>
        <v>13414</v>
      </c>
      <c r="B230" s="16" t="str">
        <f>IFERROR(__xludf.DUMMYFUNCTION("""COMPUTED_VALUE"""),"Tim Hill")</f>
        <v>Tim Hill</v>
      </c>
      <c r="C230" s="153">
        <f>IFERROR(__xludf.DUMMYFUNCTION("""COMPUTED_VALUE"""),0.22)</f>
        <v>0.22</v>
      </c>
      <c r="D230" s="16"/>
      <c r="E230" s="16" t="str">
        <f>IFERROR(__xludf.DUMMYFUNCTION("""COMPUTED_VALUE"""),"L")</f>
        <v>L</v>
      </c>
      <c r="F230" s="16">
        <f>IFERROR(__xludf.DUMMYFUNCTION("""COMPUTED_VALUE"""),67.0)</f>
        <v>67</v>
      </c>
      <c r="G230" s="16">
        <f>IFERROR(__xludf.DUMMYFUNCTION("""COMPUTED_VALUE"""),0.0)</f>
        <v>0</v>
      </c>
      <c r="H230" s="16">
        <f>IFERROR(__xludf.DUMMYFUNCTION("""COMPUTED_VALUE"""),0.0)</f>
        <v>0</v>
      </c>
      <c r="I230" s="16">
        <f>IFERROR(__xludf.DUMMYFUNCTION("""COMPUTED_VALUE"""),-3.0)</f>
        <v>-3</v>
      </c>
      <c r="J230" s="16">
        <f>IFERROR(__xludf.DUMMYFUNCTION("""COMPUTED_VALUE"""),-3.0)</f>
        <v>-3</v>
      </c>
      <c r="K230" s="16">
        <f>IFERROR(__xludf.DUMMYFUNCTION("""COMPUTED_VALUE"""),-9.0)</f>
        <v>-9</v>
      </c>
      <c r="L230" s="16">
        <f>IFERROR(__xludf.DUMMYFUNCTION("""COMPUTED_VALUE"""),-9.0)</f>
        <v>-9</v>
      </c>
      <c r="M230" s="16">
        <f>IFERROR(__xludf.DUMMYFUNCTION("""COMPUTED_VALUE"""),6.0)</f>
        <v>6</v>
      </c>
      <c r="N230" s="16">
        <f>IFERROR(__xludf.DUMMYFUNCTION("""COMPUTED_VALUE"""),4.0)</f>
        <v>4</v>
      </c>
      <c r="O230" s="16">
        <f>IFERROR(__xludf.DUMMYFUNCTION("""COMPUTED_VALUE"""),1.0)</f>
        <v>1</v>
      </c>
      <c r="P230" s="16">
        <f>IFERROR(__xludf.DUMMYFUNCTION("""COMPUTED_VALUE"""),2.0)</f>
        <v>2</v>
      </c>
      <c r="Q230" s="16">
        <f>IFERROR(__xludf.DUMMYFUNCTION("""COMPUTED_VALUE"""),1.0)</f>
        <v>1</v>
      </c>
      <c r="R230" s="16">
        <f>IFERROR(__xludf.DUMMYFUNCTION("""COMPUTED_VALUE"""),2.0)</f>
        <v>2</v>
      </c>
      <c r="S230" s="16">
        <f>IFERROR(__xludf.DUMMYFUNCTION("""COMPUTED_VALUE"""),24.8)</f>
        <v>24.8</v>
      </c>
      <c r="T230" s="16">
        <f>IFERROR(__xludf.DUMMYFUNCTION("""COMPUTED_VALUE"""),29.9)</f>
        <v>29.9</v>
      </c>
      <c r="U230" s="16">
        <f>IFERROR(__xludf.DUMMYFUNCTION("""COMPUTED_VALUE"""),-2.0)</f>
        <v>-2</v>
      </c>
      <c r="V230" s="16">
        <f>IFERROR(__xludf.DUMMYFUNCTION("""COMPUTED_VALUE"""),-2.0)</f>
        <v>-2</v>
      </c>
      <c r="W230" s="16">
        <f>IFERROR(__xludf.DUMMYFUNCTION("""COMPUTED_VALUE"""),-4.0)</f>
        <v>-4</v>
      </c>
      <c r="X230" s="16">
        <f>IFERROR(__xludf.DUMMYFUNCTION("""COMPUTED_VALUE"""),-4.0)</f>
        <v>-4</v>
      </c>
      <c r="Y230" s="16">
        <f>IFERROR(__xludf.DUMMYFUNCTION("""COMPUTED_VALUE"""),30.8)</f>
        <v>30.8</v>
      </c>
      <c r="Z230" s="16">
        <f>IFERROR(__xludf.DUMMYFUNCTION("""COMPUTED_VALUE"""),33.8)</f>
        <v>33.8</v>
      </c>
      <c r="AA230" s="16">
        <f>IFERROR(__xludf.DUMMYFUNCTION("""COMPUTED_VALUE"""),-1.0)</f>
        <v>-1</v>
      </c>
      <c r="AB230" s="16">
        <f>IFERROR(__xludf.DUMMYFUNCTION("""COMPUTED_VALUE"""),-1.0)</f>
        <v>-1</v>
      </c>
      <c r="AC230" s="16">
        <f>IFERROR(__xludf.DUMMYFUNCTION("""COMPUTED_VALUE"""),-5.0)</f>
        <v>-5</v>
      </c>
      <c r="AD230" s="16">
        <f>IFERROR(__xludf.DUMMYFUNCTION("""COMPUTED_VALUE"""),-5.0)</f>
        <v>-5</v>
      </c>
      <c r="AE230" s="16">
        <f>IFERROR(__xludf.DUMMYFUNCTION("""COMPUTED_VALUE"""),30.8)</f>
        <v>30.8</v>
      </c>
      <c r="AF230" s="16">
        <f>IFERROR(__xludf.DUMMYFUNCTION("""COMPUTED_VALUE"""),29.9)</f>
        <v>29.9</v>
      </c>
      <c r="AG230" s="16">
        <f>IFERROR(__xludf.DUMMYFUNCTION("""COMPUTED_VALUE"""),0.0)</f>
        <v>0</v>
      </c>
      <c r="AH230" s="16">
        <f>IFERROR(__xludf.DUMMYFUNCTION("""COMPUTED_VALUE"""),0.0)</f>
        <v>0</v>
      </c>
      <c r="AI230" s="16">
        <f>IFERROR(__xludf.DUMMYFUNCTION("""COMPUTED_VALUE"""),0.0)</f>
        <v>0</v>
      </c>
      <c r="AJ230" s="16">
        <f>IFERROR(__xludf.DUMMYFUNCTION("""COMPUTED_VALUE"""),0.0)</f>
        <v>0</v>
      </c>
      <c r="AK230" s="16">
        <f>IFERROR(__xludf.DUMMYFUNCTION("""COMPUTED_VALUE"""),24.8)</f>
        <v>24.8</v>
      </c>
      <c r="AL230" s="16">
        <f>IFERROR(__xludf.DUMMYFUNCTION("""COMPUTED_VALUE"""),29.9)</f>
        <v>29.9</v>
      </c>
      <c r="AM230" s="16">
        <f>IFERROR(__xludf.DUMMYFUNCTION("""COMPUTED_VALUE"""),-2.0)</f>
        <v>-2</v>
      </c>
      <c r="AN230" s="16">
        <f>IFERROR(__xludf.DUMMYFUNCTION("""COMPUTED_VALUE"""),-3.0)</f>
        <v>-3</v>
      </c>
      <c r="AO230" s="16">
        <f>IFERROR(__xludf.DUMMYFUNCTION("""COMPUTED_VALUE"""),-2.0)</f>
        <v>-2</v>
      </c>
      <c r="AP230" s="16">
        <f>IFERROR(__xludf.DUMMYFUNCTION("""COMPUTED_VALUE"""),-3.0)</f>
        <v>-3</v>
      </c>
      <c r="AQ230" s="16">
        <f>IFERROR(__xludf.DUMMYFUNCTION("""COMPUTED_VALUE"""),30.8)</f>
        <v>30.8</v>
      </c>
      <c r="AR230" s="16">
        <f>IFERROR(__xludf.DUMMYFUNCTION("""COMPUTED_VALUE"""),29.9)</f>
        <v>29.9</v>
      </c>
      <c r="AS230" s="16">
        <f>IFERROR(__xludf.DUMMYFUNCTION("""COMPUTED_VALUE"""),-1.0)</f>
        <v>-1</v>
      </c>
      <c r="AT230" s="16">
        <f>IFERROR(__xludf.DUMMYFUNCTION("""COMPUTED_VALUE"""),-1.0)</f>
        <v>-1</v>
      </c>
      <c r="AU230" s="16">
        <f>IFERROR(__xludf.DUMMYFUNCTION("""COMPUTED_VALUE"""),-2.0)</f>
        <v>-2</v>
      </c>
      <c r="AV230" s="16">
        <f>IFERROR(__xludf.DUMMYFUNCTION("""COMPUTED_VALUE"""),-2.0)</f>
        <v>-2</v>
      </c>
      <c r="AW230" s="16">
        <f>IFERROR(__xludf.DUMMYFUNCTION("""COMPUTED_VALUE"""),0.0)</f>
        <v>0</v>
      </c>
      <c r="AX230" s="16">
        <f>IFERROR(__xludf.DUMMYFUNCTION("""COMPUTED_VALUE"""),0.0)</f>
        <v>0</v>
      </c>
      <c r="AY230" s="16">
        <f>IFERROR(__xludf.DUMMYFUNCTION("""COMPUTED_VALUE"""),2.0)</f>
        <v>2</v>
      </c>
      <c r="AZ230" s="16">
        <f>IFERROR(__xludf.DUMMYFUNCTION("""COMPUTED_VALUE"""),2.0)</f>
        <v>2</v>
      </c>
      <c r="BA230" s="16">
        <f>IFERROR(__xludf.DUMMYFUNCTION("""COMPUTED_VALUE"""),10.0)</f>
        <v>10</v>
      </c>
      <c r="BB230" s="16">
        <f>IFERROR(__xludf.DUMMYFUNCTION("""COMPUTED_VALUE"""),10.0)</f>
        <v>10</v>
      </c>
      <c r="BC230" s="16">
        <f>IFERROR(__xludf.DUMMYFUNCTION("""COMPUTED_VALUE"""),0.0)</f>
        <v>0</v>
      </c>
      <c r="BD230" s="16">
        <f>IFERROR(__xludf.DUMMYFUNCTION("""COMPUTED_VALUE"""),0.0)</f>
        <v>0</v>
      </c>
      <c r="BE230" s="16">
        <f>IFERROR(__xludf.DUMMYFUNCTION("""COMPUTED_VALUE"""),0.0)</f>
        <v>0</v>
      </c>
      <c r="BF230" s="16">
        <f>IFERROR(__xludf.DUMMYFUNCTION("""COMPUTED_VALUE"""),0.0)</f>
        <v>0</v>
      </c>
      <c r="BG230" s="16">
        <f>IFERROR(__xludf.DUMMYFUNCTION("""COMPUTED_VALUE"""),3.0)</f>
        <v>3</v>
      </c>
      <c r="BH230" s="16">
        <f>IFERROR(__xludf.DUMMYFUNCTION("""COMPUTED_VALUE"""),2.0)</f>
        <v>2</v>
      </c>
      <c r="BI230" s="16">
        <f>IFERROR(__xludf.DUMMYFUNCTION("""COMPUTED_VALUE"""),6.0)</f>
        <v>6</v>
      </c>
      <c r="BJ230" s="16">
        <f>IFERROR(__xludf.DUMMYFUNCTION("""COMPUTED_VALUE"""),4.0)</f>
        <v>4</v>
      </c>
      <c r="BK230" s="16">
        <f>IFERROR(__xludf.DUMMYFUNCTION("""COMPUTED_VALUE"""),5.0)</f>
        <v>5</v>
      </c>
      <c r="BL230" s="16">
        <f>IFERROR(__xludf.DUMMYFUNCTION("""COMPUTED_VALUE"""),5.0)</f>
        <v>5</v>
      </c>
      <c r="BM230" s="16">
        <f>IFERROR(__xludf.DUMMYFUNCTION("""COMPUTED_VALUE"""),0.0)</f>
        <v>0</v>
      </c>
      <c r="BN230" s="16">
        <f>IFERROR(__xludf.DUMMYFUNCTION("""COMPUTED_VALUE"""),0.0)</f>
        <v>0</v>
      </c>
      <c r="BO230" s="16">
        <f>IFERROR(__xludf.DUMMYFUNCTION("""COMPUTED_VALUE"""),0.0)</f>
        <v>0</v>
      </c>
      <c r="BP230" s="16">
        <f>IFERROR(__xludf.DUMMYFUNCTION("""COMPUTED_VALUE"""),0.0)</f>
        <v>0</v>
      </c>
      <c r="BQ230" s="16">
        <f>IFERROR(__xludf.DUMMYFUNCTION("""COMPUTED_VALUE"""),9.0)</f>
        <v>9</v>
      </c>
      <c r="BR230" s="16">
        <f>IFERROR(__xludf.DUMMYFUNCTION("""COMPUTED_VALUE"""),9.0)</f>
        <v>9</v>
      </c>
      <c r="BS230" s="16">
        <f>IFERROR(__xludf.DUMMYFUNCTION("""COMPUTED_VALUE"""),3.0)</f>
        <v>3</v>
      </c>
      <c r="BT230" s="16">
        <f>IFERROR(__xludf.DUMMYFUNCTION("""COMPUTED_VALUE"""),3.0)</f>
        <v>3</v>
      </c>
      <c r="BU230" s="16">
        <f>IFERROR(__xludf.DUMMYFUNCTION("""COMPUTED_VALUE"""),6.0)</f>
        <v>6</v>
      </c>
      <c r="BV230" s="16">
        <f>IFERROR(__xludf.DUMMYFUNCTION("""COMPUTED_VALUE"""),6.0)</f>
        <v>6</v>
      </c>
      <c r="BW230" s="16">
        <f>IFERROR(__xludf.DUMMYFUNCTION("""COMPUTED_VALUE"""),-2.0)</f>
        <v>-2</v>
      </c>
      <c r="BX230" s="16">
        <f>IFERROR(__xludf.DUMMYFUNCTION("""COMPUTED_VALUE"""),-2.0)</f>
        <v>-2</v>
      </c>
      <c r="BY230" s="16" t="str">
        <f>IFERROR(__xludf.DUMMYFUNCTION("""COMPUTED_VALUE"""),"R(1)")</f>
        <v>R(1)</v>
      </c>
      <c r="BZ230" s="16" t="str">
        <f>IFERROR(__xludf.DUMMYFUNCTION("""COMPUTED_VALUE"""),"R(1)")</f>
        <v>R(1)</v>
      </c>
      <c r="CA230" s="16" t="str">
        <f>IFERROR(__xludf.DUMMYFUNCTION("""COMPUTED_VALUE"""),"R(1)")</f>
        <v>R(1)</v>
      </c>
      <c r="CB230" s="16"/>
      <c r="CC230" s="16"/>
      <c r="CD230" s="16"/>
      <c r="CE230" s="16">
        <f>IFERROR(__xludf.DUMMYFUNCTION("""COMPUTED_VALUE"""),1.0)</f>
        <v>1</v>
      </c>
      <c r="CF230" s="16"/>
      <c r="CG230" s="16" t="str">
        <f>IFERROR(__xludf.DUMMYFUNCTION("""COMPUTED_VALUE"""),"3-43")</f>
        <v>3-43</v>
      </c>
      <c r="CH230" s="16">
        <f>IFERROR(__xludf.DUMMYFUNCTION("""COMPUTED_VALUE"""),3.0)</f>
        <v>3</v>
      </c>
      <c r="CI230" s="16">
        <f>IFERROR(__xludf.DUMMYFUNCTION("""COMPUTED_VALUE"""),43.0)</f>
        <v>43</v>
      </c>
      <c r="CJ230" s="16">
        <f>IFERROR(__xludf.DUMMYFUNCTION("""COMPUTED_VALUE"""),0.0)</f>
        <v>0</v>
      </c>
      <c r="CK230" s="16">
        <f>IFERROR(__xludf.DUMMYFUNCTION("""COMPUTED_VALUE"""),0.0)</f>
        <v>0</v>
      </c>
      <c r="CL230" s="16" t="str">
        <f>IFERROR(__xludf.DUMMYFUNCTION("""COMPUTED_VALUE"""),"1WR-C")</f>
        <v>1WR-C</v>
      </c>
      <c r="CM230" s="16" t="str">
        <f>IFERROR(__xludf.DUMMYFUNCTION("""COMPUTED_VALUE"""),"E")</f>
        <v>E</v>
      </c>
      <c r="CN230" s="16">
        <f>IFERROR(__xludf.DUMMYFUNCTION("""COMPUTED_VALUE"""),10.0)</f>
        <v>10</v>
      </c>
      <c r="CO230" s="16" t="str">
        <f>IFERROR(__xludf.DUMMYFUNCTION("""COMPUTED_VALUE"""),"C")</f>
        <v>C</v>
      </c>
      <c r="CP230" s="16" t="str">
        <f>IFERROR(__xludf.DUMMYFUNCTION("""COMPUTED_VALUE"""),"1p60")</f>
        <v>1p60</v>
      </c>
      <c r="CQ230" s="16">
        <f>IFERROR(__xludf.DUMMYFUNCTION("""COMPUTED_VALUE"""),1.0)</f>
        <v>1</v>
      </c>
      <c r="CR230" s="16">
        <f>IFERROR(__xludf.DUMMYFUNCTION("""COMPUTED_VALUE"""),-1.0)</f>
        <v>-1</v>
      </c>
      <c r="CS230" s="16">
        <f>IFERROR(__xludf.DUMMYFUNCTION("""COMPUTED_VALUE"""),0.0)</f>
        <v>0</v>
      </c>
      <c r="CT230" s="16">
        <f>IFERROR(__xludf.DUMMYFUNCTION("""COMPUTED_VALUE"""),1.0)</f>
        <v>1</v>
      </c>
      <c r="CU230" s="16">
        <f>IFERROR(__xludf.DUMMYFUNCTION("""COMPUTED_VALUE"""),-1.0)</f>
        <v>-1</v>
      </c>
      <c r="CV230" s="179">
        <f>IFERROR(__xludf.DUMMYFUNCTION("""COMPUTED_VALUE"""),4.666666666666667)</f>
        <v>4.666666667</v>
      </c>
      <c r="CW230" s="179">
        <f>IFERROR(__xludf.DUMMYFUNCTION("""COMPUTED_VALUE"""),4.0)</f>
        <v>4</v>
      </c>
      <c r="CX230" s="179">
        <f>IFERROR(__xludf.DUMMYFUNCTION("""COMPUTED_VALUE"""),1.0)</f>
        <v>1</v>
      </c>
      <c r="CY230" s="16" t="str">
        <f>IFERROR(__xludf.DUMMYFUNCTION("""COMPUTED_VALUE"""),"RP")</f>
        <v>RP</v>
      </c>
      <c r="CZ230" s="16"/>
      <c r="DA230" s="16"/>
      <c r="DB230" s="16"/>
      <c r="DC230" s="16"/>
      <c r="DD230" s="16"/>
      <c r="DE230" s="16"/>
      <c r="DF230" s="16"/>
      <c r="DG230" s="16"/>
      <c r="DH230" s="16"/>
      <c r="DI230" s="16"/>
      <c r="DJ230" s="16"/>
      <c r="DK230" s="16"/>
    </row>
    <row r="231">
      <c r="A231" s="16">
        <f>IFERROR(__xludf.DUMMYFUNCTION("""COMPUTED_VALUE"""),12539.0)</f>
        <v>12539</v>
      </c>
      <c r="B231" s="16" t="str">
        <f>IFERROR(__xludf.DUMMYFUNCTION("""COMPUTED_VALUE"""),"Andrew Chafin")</f>
        <v>Andrew Chafin</v>
      </c>
      <c r="C231" s="153">
        <f>IFERROR(__xludf.DUMMYFUNCTION("""COMPUTED_VALUE"""),0.26)</f>
        <v>0.26</v>
      </c>
      <c r="D231" s="16"/>
      <c r="E231" s="16" t="str">
        <f>IFERROR(__xludf.DUMMYFUNCTION("""COMPUTED_VALUE"""),"L")</f>
        <v>L</v>
      </c>
      <c r="F231" s="16">
        <f>IFERROR(__xludf.DUMMYFUNCTION("""COMPUTED_VALUE"""),56.0)</f>
        <v>56</v>
      </c>
      <c r="G231" s="16">
        <f>IFERROR(__xludf.DUMMYFUNCTION("""COMPUTED_VALUE"""),32.0)</f>
        <v>32</v>
      </c>
      <c r="H231" s="16">
        <f>IFERROR(__xludf.DUMMYFUNCTION("""COMPUTED_VALUE"""),42.0)</f>
        <v>42</v>
      </c>
      <c r="I231" s="16">
        <f>IFERROR(__xludf.DUMMYFUNCTION("""COMPUTED_VALUE"""),1.0)</f>
        <v>1</v>
      </c>
      <c r="J231" s="16">
        <f>IFERROR(__xludf.DUMMYFUNCTION("""COMPUTED_VALUE"""),2.0)</f>
        <v>2</v>
      </c>
      <c r="K231" s="16">
        <f>IFERROR(__xludf.DUMMYFUNCTION("""COMPUTED_VALUE"""),3.0)</f>
        <v>3</v>
      </c>
      <c r="L231" s="16">
        <f>IFERROR(__xludf.DUMMYFUNCTION("""COMPUTED_VALUE"""),6.0)</f>
        <v>6</v>
      </c>
      <c r="M231" s="16">
        <f>IFERROR(__xludf.DUMMYFUNCTION("""COMPUTED_VALUE"""),18.0)</f>
        <v>18</v>
      </c>
      <c r="N231" s="16">
        <f>IFERROR(__xludf.DUMMYFUNCTION("""COMPUTED_VALUE"""),15.0)</f>
        <v>15</v>
      </c>
      <c r="O231" s="16">
        <f>IFERROR(__xludf.DUMMYFUNCTION("""COMPUTED_VALUE"""),-3.0)</f>
        <v>-3</v>
      </c>
      <c r="P231" s="16">
        <f>IFERROR(__xludf.DUMMYFUNCTION("""COMPUTED_VALUE"""),-3.0)</f>
        <v>-3</v>
      </c>
      <c r="Q231" s="16">
        <f>IFERROR(__xludf.DUMMYFUNCTION("""COMPUTED_VALUE"""),-3.0)</f>
        <v>-3</v>
      </c>
      <c r="R231" s="16">
        <f>IFERROR(__xludf.DUMMYFUNCTION("""COMPUTED_VALUE"""),-3.0)</f>
        <v>-3</v>
      </c>
      <c r="S231" s="16">
        <f>IFERROR(__xludf.DUMMYFUNCTION("""COMPUTED_VALUE"""),20.5)</f>
        <v>20.5</v>
      </c>
      <c r="T231" s="16">
        <f>IFERROR(__xludf.DUMMYFUNCTION("""COMPUTED_VALUE"""),11.3)</f>
        <v>11.3</v>
      </c>
      <c r="U231" s="16">
        <f>IFERROR(__xludf.DUMMYFUNCTION("""COMPUTED_VALUE"""),-1.0)</f>
        <v>-1</v>
      </c>
      <c r="V231" s="16">
        <f>IFERROR(__xludf.DUMMYFUNCTION("""COMPUTED_VALUE"""),1.0)</f>
        <v>1</v>
      </c>
      <c r="W231" s="16">
        <f>IFERROR(__xludf.DUMMYFUNCTION("""COMPUTED_VALUE"""),-2.0)</f>
        <v>-2</v>
      </c>
      <c r="X231" s="16">
        <f>IFERROR(__xludf.DUMMYFUNCTION("""COMPUTED_VALUE"""),2.0)</f>
        <v>2</v>
      </c>
      <c r="Y231" s="16">
        <f>IFERROR(__xludf.DUMMYFUNCTION("""COMPUTED_VALUE"""),38.5)</f>
        <v>38.5</v>
      </c>
      <c r="Z231" s="16">
        <f>IFERROR(__xludf.DUMMYFUNCTION("""COMPUTED_VALUE"""),26.3)</f>
        <v>26.3</v>
      </c>
      <c r="AA231" s="16">
        <f>IFERROR(__xludf.DUMMYFUNCTION("""COMPUTED_VALUE"""),-2.0)</f>
        <v>-2</v>
      </c>
      <c r="AB231" s="16">
        <f>IFERROR(__xludf.DUMMYFUNCTION("""COMPUTED_VALUE"""),0.0)</f>
        <v>0</v>
      </c>
      <c r="AC231" s="16">
        <f>IFERROR(__xludf.DUMMYFUNCTION("""COMPUTED_VALUE"""),-10.0)</f>
        <v>-10</v>
      </c>
      <c r="AD231" s="16">
        <f>IFERROR(__xludf.DUMMYFUNCTION("""COMPUTED_VALUE"""),0.0)</f>
        <v>0</v>
      </c>
      <c r="AE231" s="16">
        <f>IFERROR(__xludf.DUMMYFUNCTION("""COMPUTED_VALUE"""),26.5)</f>
        <v>26.5</v>
      </c>
      <c r="AF231" s="16">
        <f>IFERROR(__xludf.DUMMYFUNCTION("""COMPUTED_VALUE"""),13.1)</f>
        <v>13.1</v>
      </c>
      <c r="AG231" s="16">
        <f>IFERROR(__xludf.DUMMYFUNCTION("""COMPUTED_VALUE"""),0.0)</f>
        <v>0</v>
      </c>
      <c r="AH231" s="16">
        <f>IFERROR(__xludf.DUMMYFUNCTION("""COMPUTED_VALUE"""),2.0)</f>
        <v>2</v>
      </c>
      <c r="AI231" s="16">
        <f>IFERROR(__xludf.DUMMYFUNCTION("""COMPUTED_VALUE"""),0.0)</f>
        <v>0</v>
      </c>
      <c r="AJ231" s="16">
        <f>IFERROR(__xludf.DUMMYFUNCTION("""COMPUTED_VALUE"""),4.0)</f>
        <v>4</v>
      </c>
      <c r="AK231" s="16">
        <f>IFERROR(__xludf.DUMMYFUNCTION("""COMPUTED_VALUE"""),19.3)</f>
        <v>19.3</v>
      </c>
      <c r="AL231" s="16">
        <f>IFERROR(__xludf.DUMMYFUNCTION("""COMPUTED_VALUE"""),10.700000000000001)</f>
        <v>10.7</v>
      </c>
      <c r="AM231" s="16">
        <f>IFERROR(__xludf.DUMMYFUNCTION("""COMPUTED_VALUE"""),-1.0)</f>
        <v>-1</v>
      </c>
      <c r="AN231" s="16">
        <f>IFERROR(__xludf.DUMMYFUNCTION("""COMPUTED_VALUE"""),1.0)</f>
        <v>1</v>
      </c>
      <c r="AO231" s="16">
        <f>IFERROR(__xludf.DUMMYFUNCTION("""COMPUTED_VALUE"""),-1.0)</f>
        <v>-1</v>
      </c>
      <c r="AP231" s="16">
        <f>IFERROR(__xludf.DUMMYFUNCTION("""COMPUTED_VALUE"""),1.0)</f>
        <v>1</v>
      </c>
      <c r="AQ231" s="16">
        <f>IFERROR(__xludf.DUMMYFUNCTION("""COMPUTED_VALUE"""),21.7)</f>
        <v>21.7</v>
      </c>
      <c r="AR231" s="16">
        <f>IFERROR(__xludf.DUMMYFUNCTION("""COMPUTED_VALUE"""),10.7)</f>
        <v>10.7</v>
      </c>
      <c r="AS231" s="16">
        <f>IFERROR(__xludf.DUMMYFUNCTION("""COMPUTED_VALUE"""),0.0)</f>
        <v>0</v>
      </c>
      <c r="AT231" s="16">
        <f>IFERROR(__xludf.DUMMYFUNCTION("""COMPUTED_VALUE"""),1.0)</f>
        <v>1</v>
      </c>
      <c r="AU231" s="16">
        <f>IFERROR(__xludf.DUMMYFUNCTION("""COMPUTED_VALUE"""),0.0)</f>
        <v>0</v>
      </c>
      <c r="AV231" s="16">
        <f>IFERROR(__xludf.DUMMYFUNCTION("""COMPUTED_VALUE"""),2.0)</f>
        <v>2</v>
      </c>
      <c r="AW231" s="16">
        <f>IFERROR(__xludf.DUMMYFUNCTION("""COMPUTED_VALUE"""),1.2)</f>
        <v>1.2</v>
      </c>
      <c r="AX231" s="16">
        <f>IFERROR(__xludf.DUMMYFUNCTION("""COMPUTED_VALUE"""),0.6)</f>
        <v>0.6</v>
      </c>
      <c r="AY231" s="16">
        <f>IFERROR(__xludf.DUMMYFUNCTION("""COMPUTED_VALUE"""),1.0)</f>
        <v>1</v>
      </c>
      <c r="AZ231" s="16">
        <f>IFERROR(__xludf.DUMMYFUNCTION("""COMPUTED_VALUE"""),2.0)</f>
        <v>2</v>
      </c>
      <c r="BA231" s="16">
        <f>IFERROR(__xludf.DUMMYFUNCTION("""COMPUTED_VALUE"""),5.0)</f>
        <v>5</v>
      </c>
      <c r="BB231" s="16">
        <f>IFERROR(__xludf.DUMMYFUNCTION("""COMPUTED_VALUE"""),10.0)</f>
        <v>10</v>
      </c>
      <c r="BC231" s="16">
        <f>IFERROR(__xludf.DUMMYFUNCTION("""COMPUTED_VALUE"""),1.0)</f>
        <v>1</v>
      </c>
      <c r="BD231" s="16">
        <f>IFERROR(__xludf.DUMMYFUNCTION("""COMPUTED_VALUE"""),1.0)</f>
        <v>1</v>
      </c>
      <c r="BE231" s="16">
        <f>IFERROR(__xludf.DUMMYFUNCTION("""COMPUTED_VALUE"""),1.0)</f>
        <v>1</v>
      </c>
      <c r="BF231" s="16">
        <f>IFERROR(__xludf.DUMMYFUNCTION("""COMPUTED_VALUE"""),1.0)</f>
        <v>1</v>
      </c>
      <c r="BG231" s="16">
        <f>IFERROR(__xludf.DUMMYFUNCTION("""COMPUTED_VALUE"""),2.0)</f>
        <v>2</v>
      </c>
      <c r="BH231" s="16">
        <f>IFERROR(__xludf.DUMMYFUNCTION("""COMPUTED_VALUE"""),2.0)</f>
        <v>2</v>
      </c>
      <c r="BI231" s="16">
        <f>IFERROR(__xludf.DUMMYFUNCTION("""COMPUTED_VALUE"""),4.0)</f>
        <v>4</v>
      </c>
      <c r="BJ231" s="16">
        <f>IFERROR(__xludf.DUMMYFUNCTION("""COMPUTED_VALUE"""),4.0)</f>
        <v>4</v>
      </c>
      <c r="BK231" s="16">
        <f>IFERROR(__xludf.DUMMYFUNCTION("""COMPUTED_VALUE"""),5.0)</f>
        <v>5</v>
      </c>
      <c r="BL231" s="16">
        <f>IFERROR(__xludf.DUMMYFUNCTION("""COMPUTED_VALUE"""),5.0)</f>
        <v>5</v>
      </c>
      <c r="BM231" s="16">
        <f>IFERROR(__xludf.DUMMYFUNCTION("""COMPUTED_VALUE"""),0.0)</f>
        <v>0</v>
      </c>
      <c r="BN231" s="16">
        <f>IFERROR(__xludf.DUMMYFUNCTION("""COMPUTED_VALUE"""),0.0)</f>
        <v>0</v>
      </c>
      <c r="BO231" s="16">
        <f>IFERROR(__xludf.DUMMYFUNCTION("""COMPUTED_VALUE"""),0.0)</f>
        <v>0</v>
      </c>
      <c r="BP231" s="16">
        <f>IFERROR(__xludf.DUMMYFUNCTION("""COMPUTED_VALUE"""),0.0)</f>
        <v>0</v>
      </c>
      <c r="BQ231" s="16">
        <f>IFERROR(__xludf.DUMMYFUNCTION("""COMPUTED_VALUE"""),0.0)</f>
        <v>0</v>
      </c>
      <c r="BR231" s="16">
        <f>IFERROR(__xludf.DUMMYFUNCTION("""COMPUTED_VALUE"""),2.0)</f>
        <v>2</v>
      </c>
      <c r="BS231" s="16">
        <f>IFERROR(__xludf.DUMMYFUNCTION("""COMPUTED_VALUE"""),-3.0)</f>
        <v>-3</v>
      </c>
      <c r="BT231" s="16">
        <f>IFERROR(__xludf.DUMMYFUNCTION("""COMPUTED_VALUE"""),-2.0)</f>
        <v>-2</v>
      </c>
      <c r="BU231" s="16">
        <f>IFERROR(__xludf.DUMMYFUNCTION("""COMPUTED_VALUE"""),-6.0)</f>
        <v>-6</v>
      </c>
      <c r="BV231" s="16">
        <f>IFERROR(__xludf.DUMMYFUNCTION("""COMPUTED_VALUE"""),-4.0)</f>
        <v>-4</v>
      </c>
      <c r="BW231" s="16">
        <f>IFERROR(__xludf.DUMMYFUNCTION("""COMPUTED_VALUE"""),0.0)</f>
        <v>0</v>
      </c>
      <c r="BX231" s="16">
        <f>IFERROR(__xludf.DUMMYFUNCTION("""COMPUTED_VALUE"""),0.0)</f>
        <v>0</v>
      </c>
      <c r="BY231" s="16" t="str">
        <f>IFERROR(__xludf.DUMMYFUNCTION("""COMPUTED_VALUE"""),"R(1) C(0)")</f>
        <v>R(1) C(0)</v>
      </c>
      <c r="BZ231" s="16" t="str">
        <f>IFERROR(__xludf.DUMMYFUNCTION("""COMPUTED_VALUE"""),"R(1) C(0)")</f>
        <v>R(1) C(0)</v>
      </c>
      <c r="CA231" s="16" t="str">
        <f>IFERROR(__xludf.DUMMYFUNCTION("""COMPUTED_VALUE"""),"R(1)")</f>
        <v>R(1)</v>
      </c>
      <c r="CB231" s="16" t="str">
        <f>IFERROR(__xludf.DUMMYFUNCTION("""COMPUTED_VALUE"""),"C(0)")</f>
        <v>C(0)</v>
      </c>
      <c r="CC231" s="16"/>
      <c r="CD231" s="16"/>
      <c r="CE231" s="16">
        <f>IFERROR(__xludf.DUMMYFUNCTION("""COMPUTED_VALUE"""),1.0)</f>
        <v>1</v>
      </c>
      <c r="CF231" s="16">
        <f>IFERROR(__xludf.DUMMYFUNCTION("""COMPUTED_VALUE"""),0.0)</f>
        <v>0</v>
      </c>
      <c r="CG231" s="16" t="str">
        <f>IFERROR(__xludf.DUMMYFUNCTION("""COMPUTED_VALUE"""),"4-0")</f>
        <v>4-0</v>
      </c>
      <c r="CH231" s="16">
        <f>IFERROR(__xludf.DUMMYFUNCTION("""COMPUTED_VALUE"""),4.0)</f>
        <v>4</v>
      </c>
      <c r="CI231" s="16">
        <f>IFERROR(__xludf.DUMMYFUNCTION("""COMPUTED_VALUE"""),0.0)</f>
        <v>0</v>
      </c>
      <c r="CJ231" s="16">
        <f>IFERROR(__xludf.DUMMYFUNCTION("""COMPUTED_VALUE"""),0.0)</f>
        <v>0</v>
      </c>
      <c r="CK231" s="16">
        <f>IFERROR(__xludf.DUMMYFUNCTION("""COMPUTED_VALUE"""),20.0)</f>
        <v>20</v>
      </c>
      <c r="CL231" s="16" t="str">
        <f>IFERROR(__xludf.DUMMYFUNCTION("""COMPUTED_VALUE"""),"1WR-C")</f>
        <v>1WR-C</v>
      </c>
      <c r="CM231" s="16" t="str">
        <f>IFERROR(__xludf.DUMMYFUNCTION("""COMPUTED_VALUE"""),"E")</f>
        <v>E</v>
      </c>
      <c r="CN231" s="16">
        <f>IFERROR(__xludf.DUMMYFUNCTION("""COMPUTED_VALUE"""),10.0)</f>
        <v>10</v>
      </c>
      <c r="CO231" s="16" t="str">
        <f>IFERROR(__xludf.DUMMYFUNCTION("""COMPUTED_VALUE"""),"C")</f>
        <v>C</v>
      </c>
      <c r="CP231" s="16" t="str">
        <f>IFERROR(__xludf.DUMMYFUNCTION("""COMPUTED_VALUE"""),"1p50")</f>
        <v>1p50</v>
      </c>
      <c r="CQ231" s="16">
        <f>IFERROR(__xludf.DUMMYFUNCTION("""COMPUTED_VALUE"""),-10.0)</f>
        <v>-10</v>
      </c>
      <c r="CR231" s="16">
        <f>IFERROR(__xludf.DUMMYFUNCTION("""COMPUTED_VALUE"""),22.0)</f>
        <v>22</v>
      </c>
      <c r="CS231" s="16">
        <f>IFERROR(__xludf.DUMMYFUNCTION("""COMPUTED_VALUE"""),12.0)</f>
        <v>12</v>
      </c>
      <c r="CT231" s="16">
        <f>IFERROR(__xludf.DUMMYFUNCTION("""COMPUTED_VALUE"""),-10.0)</f>
        <v>-10</v>
      </c>
      <c r="CU231" s="16">
        <f>IFERROR(__xludf.DUMMYFUNCTION("""COMPUTED_VALUE"""),22.0)</f>
        <v>22</v>
      </c>
      <c r="CV231" s="179">
        <f>IFERROR(__xludf.DUMMYFUNCTION("""COMPUTED_VALUE"""),4.666666666666667)</f>
        <v>4.666666667</v>
      </c>
      <c r="CW231" s="179">
        <f>IFERROR(__xludf.DUMMYFUNCTION("""COMPUTED_VALUE"""),4.0)</f>
        <v>4</v>
      </c>
      <c r="CX231" s="179">
        <f>IFERROR(__xludf.DUMMYFUNCTION("""COMPUTED_VALUE"""),0.0)</f>
        <v>0</v>
      </c>
      <c r="CY231" s="16" t="str">
        <f>IFERROR(__xludf.DUMMYFUNCTION("""COMPUTED_VALUE"""),"RP")</f>
        <v>RP</v>
      </c>
      <c r="CZ231" s="16" t="str">
        <f>IFERROR(__xludf.DUMMYFUNCTION("""COMPUTED_VALUE"""),"CP")</f>
        <v>CP</v>
      </c>
      <c r="DA231" s="16"/>
      <c r="DB231" s="16"/>
      <c r="DC231" s="16"/>
      <c r="DD231" s="16"/>
      <c r="DE231" s="16"/>
      <c r="DF231" s="16"/>
      <c r="DG231" s="16"/>
      <c r="DH231" s="16"/>
      <c r="DI231" s="16"/>
      <c r="DJ231" s="16"/>
      <c r="DK231" s="16"/>
    </row>
    <row r="232">
      <c r="A232" s="16">
        <f>IFERROR(__xludf.DUMMYFUNCTION("""COMPUTED_VALUE"""),12634.0)</f>
        <v>12634</v>
      </c>
      <c r="B232" s="16" t="str">
        <f>IFERROR(__xludf.DUMMYFUNCTION("""COMPUTED_VALUE"""),"Bryce Jarvis")</f>
        <v>Bryce Jarvis</v>
      </c>
      <c r="C232" s="153">
        <f>IFERROR(__xludf.DUMMYFUNCTION("""COMPUTED_VALUE"""),0.58)</f>
        <v>0.58</v>
      </c>
      <c r="D232" s="16"/>
      <c r="E232" s="16" t="str">
        <f>IFERROR(__xludf.DUMMYFUNCTION("""COMPUTED_VALUE"""),"R")</f>
        <v>R</v>
      </c>
      <c r="F232" s="16">
        <f>IFERROR(__xludf.DUMMYFUNCTION("""COMPUTED_VALUE"""),59.0)</f>
        <v>59</v>
      </c>
      <c r="G232" s="16">
        <f>IFERROR(__xludf.DUMMYFUNCTION("""COMPUTED_VALUE"""),1.0)</f>
        <v>1</v>
      </c>
      <c r="H232" s="16">
        <f>IFERROR(__xludf.DUMMYFUNCTION("""COMPUTED_VALUE"""),12.0)</f>
        <v>12</v>
      </c>
      <c r="I232" s="16">
        <f>IFERROR(__xludf.DUMMYFUNCTION("""COMPUTED_VALUE"""),-3.0)</f>
        <v>-3</v>
      </c>
      <c r="J232" s="16">
        <f>IFERROR(__xludf.DUMMYFUNCTION("""COMPUTED_VALUE"""),-2.0)</f>
        <v>-2</v>
      </c>
      <c r="K232" s="16">
        <f>IFERROR(__xludf.DUMMYFUNCTION("""COMPUTED_VALUE"""),-9.0)</f>
        <v>-9</v>
      </c>
      <c r="L232" s="16">
        <f>IFERROR(__xludf.DUMMYFUNCTION("""COMPUTED_VALUE"""),-6.0)</f>
        <v>-6</v>
      </c>
      <c r="M232" s="16">
        <f>IFERROR(__xludf.DUMMYFUNCTION("""COMPUTED_VALUE"""),20.0)</f>
        <v>20</v>
      </c>
      <c r="N232" s="16">
        <f>IFERROR(__xludf.DUMMYFUNCTION("""COMPUTED_VALUE"""),15.0)</f>
        <v>15</v>
      </c>
      <c r="O232" s="16">
        <f>IFERROR(__xludf.DUMMYFUNCTION("""COMPUTED_VALUE"""),-3.0)</f>
        <v>-3</v>
      </c>
      <c r="P232" s="16">
        <f>IFERROR(__xludf.DUMMYFUNCTION("""COMPUTED_VALUE"""),-3.0)</f>
        <v>-3</v>
      </c>
      <c r="Q232" s="16">
        <f>IFERROR(__xludf.DUMMYFUNCTION("""COMPUTED_VALUE"""),-3.0)</f>
        <v>-3</v>
      </c>
      <c r="R232" s="16">
        <f>IFERROR(__xludf.DUMMYFUNCTION("""COMPUTED_VALUE"""),-3.0)</f>
        <v>-3</v>
      </c>
      <c r="S232" s="16">
        <f>IFERROR(__xludf.DUMMYFUNCTION("""COMPUTED_VALUE"""),15.6)</f>
        <v>15.6</v>
      </c>
      <c r="T232" s="16">
        <f>IFERROR(__xludf.DUMMYFUNCTION("""COMPUTED_VALUE"""),12.3)</f>
        <v>12.3</v>
      </c>
      <c r="U232" s="16">
        <f>IFERROR(__xludf.DUMMYFUNCTION("""COMPUTED_VALUE"""),0.0)</f>
        <v>0</v>
      </c>
      <c r="V232" s="16">
        <f>IFERROR(__xludf.DUMMYFUNCTION("""COMPUTED_VALUE"""),1.0)</f>
        <v>1</v>
      </c>
      <c r="W232" s="16">
        <f>IFERROR(__xludf.DUMMYFUNCTION("""COMPUTED_VALUE"""),0.0)</f>
        <v>0</v>
      </c>
      <c r="X232" s="16">
        <f>IFERROR(__xludf.DUMMYFUNCTION("""COMPUTED_VALUE"""),2.0)</f>
        <v>2</v>
      </c>
      <c r="Y232" s="16">
        <f>IFERROR(__xludf.DUMMYFUNCTION("""COMPUTED_VALUE"""),35.6)</f>
        <v>35.6</v>
      </c>
      <c r="Z232" s="16">
        <f>IFERROR(__xludf.DUMMYFUNCTION("""COMPUTED_VALUE"""),27.3)</f>
        <v>27.3</v>
      </c>
      <c r="AA232" s="16">
        <f>IFERROR(__xludf.DUMMYFUNCTION("""COMPUTED_VALUE"""),-1.0)</f>
        <v>-1</v>
      </c>
      <c r="AB232" s="16">
        <f>IFERROR(__xludf.DUMMYFUNCTION("""COMPUTED_VALUE"""),0.0)</f>
        <v>0</v>
      </c>
      <c r="AC232" s="16">
        <f>IFERROR(__xludf.DUMMYFUNCTION("""COMPUTED_VALUE"""),-5.0)</f>
        <v>-5</v>
      </c>
      <c r="AD232" s="16">
        <f>IFERROR(__xludf.DUMMYFUNCTION("""COMPUTED_VALUE"""),0.0)</f>
        <v>0</v>
      </c>
      <c r="AE232" s="16">
        <f>IFERROR(__xludf.DUMMYFUNCTION("""COMPUTED_VALUE"""),20.1)</f>
        <v>20.1</v>
      </c>
      <c r="AF232" s="16">
        <f>IFERROR(__xludf.DUMMYFUNCTION("""COMPUTED_VALUE"""),21.8)</f>
        <v>21.8</v>
      </c>
      <c r="AG232" s="16">
        <f>IFERROR(__xludf.DUMMYFUNCTION("""COMPUTED_VALUE"""),1.0)</f>
        <v>1</v>
      </c>
      <c r="AH232" s="16">
        <f>IFERROR(__xludf.DUMMYFUNCTION("""COMPUTED_VALUE"""),1.0)</f>
        <v>1</v>
      </c>
      <c r="AI232" s="16">
        <f>IFERROR(__xludf.DUMMYFUNCTION("""COMPUTED_VALUE"""),2.0)</f>
        <v>2</v>
      </c>
      <c r="AJ232" s="16">
        <f>IFERROR(__xludf.DUMMYFUNCTION("""COMPUTED_VALUE"""),2.0)</f>
        <v>2</v>
      </c>
      <c r="AK232" s="16">
        <f>IFERROR(__xludf.DUMMYFUNCTION("""COMPUTED_VALUE"""),15.6)</f>
        <v>15.6</v>
      </c>
      <c r="AL232" s="16">
        <f>IFERROR(__xludf.DUMMYFUNCTION("""COMPUTED_VALUE"""),9.9)</f>
        <v>9.9</v>
      </c>
      <c r="AM232" s="16">
        <f>IFERROR(__xludf.DUMMYFUNCTION("""COMPUTED_VALUE"""),0.0)</f>
        <v>0</v>
      </c>
      <c r="AN232" s="16">
        <f>IFERROR(__xludf.DUMMYFUNCTION("""COMPUTED_VALUE"""),1.0)</f>
        <v>1</v>
      </c>
      <c r="AO232" s="16">
        <f>IFERROR(__xludf.DUMMYFUNCTION("""COMPUTED_VALUE"""),0.0)</f>
        <v>0</v>
      </c>
      <c r="AP232" s="16">
        <f>IFERROR(__xludf.DUMMYFUNCTION("""COMPUTED_VALUE"""),1.0)</f>
        <v>1</v>
      </c>
      <c r="AQ232" s="16">
        <f>IFERROR(__xludf.DUMMYFUNCTION("""COMPUTED_VALUE"""),20.1)</f>
        <v>20.1</v>
      </c>
      <c r="AR232" s="16">
        <f>IFERROR(__xludf.DUMMYFUNCTION("""COMPUTED_VALUE"""),12.200000000000001)</f>
        <v>12.2</v>
      </c>
      <c r="AS232" s="16">
        <f>IFERROR(__xludf.DUMMYFUNCTION("""COMPUTED_VALUE"""),0.0)</f>
        <v>0</v>
      </c>
      <c r="AT232" s="16">
        <f>IFERROR(__xludf.DUMMYFUNCTION("""COMPUTED_VALUE"""),1.0)</f>
        <v>1</v>
      </c>
      <c r="AU232" s="16">
        <f>IFERROR(__xludf.DUMMYFUNCTION("""COMPUTED_VALUE"""),0.0)</f>
        <v>0</v>
      </c>
      <c r="AV232" s="16">
        <f>IFERROR(__xludf.DUMMYFUNCTION("""COMPUTED_VALUE"""),2.0)</f>
        <v>2</v>
      </c>
      <c r="AW232" s="16">
        <f>IFERROR(__xludf.DUMMYFUNCTION("""COMPUTED_VALUE"""),0.0)</f>
        <v>0</v>
      </c>
      <c r="AX232" s="16">
        <f>IFERROR(__xludf.DUMMYFUNCTION("""COMPUTED_VALUE"""),2.4)</f>
        <v>2.4</v>
      </c>
      <c r="AY232" s="16">
        <f>IFERROR(__xludf.DUMMYFUNCTION("""COMPUTED_VALUE"""),2.0)</f>
        <v>2</v>
      </c>
      <c r="AZ232" s="16">
        <f>IFERROR(__xludf.DUMMYFUNCTION("""COMPUTED_VALUE"""),0.0)</f>
        <v>0</v>
      </c>
      <c r="BA232" s="16">
        <f>IFERROR(__xludf.DUMMYFUNCTION("""COMPUTED_VALUE"""),10.0)</f>
        <v>10</v>
      </c>
      <c r="BB232" s="16">
        <f>IFERROR(__xludf.DUMMYFUNCTION("""COMPUTED_VALUE"""),0.0)</f>
        <v>0</v>
      </c>
      <c r="BC232" s="16">
        <f>IFERROR(__xludf.DUMMYFUNCTION("""COMPUTED_VALUE"""),0.0)</f>
        <v>0</v>
      </c>
      <c r="BD232" s="16">
        <f>IFERROR(__xludf.DUMMYFUNCTION("""COMPUTED_VALUE"""),4.0)</f>
        <v>4</v>
      </c>
      <c r="BE232" s="16">
        <f>IFERROR(__xludf.DUMMYFUNCTION("""COMPUTED_VALUE"""),0.0)</f>
        <v>0</v>
      </c>
      <c r="BF232" s="16">
        <f>IFERROR(__xludf.DUMMYFUNCTION("""COMPUTED_VALUE"""),4.0)</f>
        <v>4</v>
      </c>
      <c r="BG232" s="16">
        <f>IFERROR(__xludf.DUMMYFUNCTION("""COMPUTED_VALUE"""),3.0)</f>
        <v>3</v>
      </c>
      <c r="BH232" s="16">
        <f>IFERROR(__xludf.DUMMYFUNCTION("""COMPUTED_VALUE"""),-1.0)</f>
        <v>-1</v>
      </c>
      <c r="BI232" s="16">
        <f>IFERROR(__xludf.DUMMYFUNCTION("""COMPUTED_VALUE"""),6.0)</f>
        <v>6</v>
      </c>
      <c r="BJ232" s="16">
        <f>IFERROR(__xludf.DUMMYFUNCTION("""COMPUTED_VALUE"""),-2.0)</f>
        <v>-2</v>
      </c>
      <c r="BK232" s="16">
        <f>IFERROR(__xludf.DUMMYFUNCTION("""COMPUTED_VALUE"""),5.0)</f>
        <v>5</v>
      </c>
      <c r="BL232" s="16">
        <f>IFERROR(__xludf.DUMMYFUNCTION("""COMPUTED_VALUE"""),5.0)</f>
        <v>5</v>
      </c>
      <c r="BM232" s="16">
        <f>IFERROR(__xludf.DUMMYFUNCTION("""COMPUTED_VALUE"""),0.0)</f>
        <v>0</v>
      </c>
      <c r="BN232" s="16">
        <f>IFERROR(__xludf.DUMMYFUNCTION("""COMPUTED_VALUE"""),0.0)</f>
        <v>0</v>
      </c>
      <c r="BO232" s="16">
        <f>IFERROR(__xludf.DUMMYFUNCTION("""COMPUTED_VALUE"""),0.0)</f>
        <v>0</v>
      </c>
      <c r="BP232" s="16">
        <f>IFERROR(__xludf.DUMMYFUNCTION("""COMPUTED_VALUE"""),0.0)</f>
        <v>0</v>
      </c>
      <c r="BQ232" s="16">
        <f>IFERROR(__xludf.DUMMYFUNCTION("""COMPUTED_VALUE"""),12.0)</f>
        <v>12</v>
      </c>
      <c r="BR232" s="16">
        <f>IFERROR(__xludf.DUMMYFUNCTION("""COMPUTED_VALUE"""),12.0)</f>
        <v>12</v>
      </c>
      <c r="BS232" s="16">
        <f>IFERROR(__xludf.DUMMYFUNCTION("""COMPUTED_VALUE"""),3.0)</f>
        <v>3</v>
      </c>
      <c r="BT232" s="16">
        <f>IFERROR(__xludf.DUMMYFUNCTION("""COMPUTED_VALUE"""),3.0)</f>
        <v>3</v>
      </c>
      <c r="BU232" s="16">
        <f>IFERROR(__xludf.DUMMYFUNCTION("""COMPUTED_VALUE"""),6.0)</f>
        <v>6</v>
      </c>
      <c r="BV232" s="16">
        <f>IFERROR(__xludf.DUMMYFUNCTION("""COMPUTED_VALUE"""),6.0)</f>
        <v>6</v>
      </c>
      <c r="BW232" s="16">
        <f>IFERROR(__xludf.DUMMYFUNCTION("""COMPUTED_VALUE"""),-1.0)</f>
        <v>-1</v>
      </c>
      <c r="BX232" s="16">
        <f>IFERROR(__xludf.DUMMYFUNCTION("""COMPUTED_VALUE"""),-1.0)</f>
        <v>-1</v>
      </c>
      <c r="BY232" s="16" t="str">
        <f>IFERROR(__xludf.DUMMYFUNCTION("""COMPUTED_VALUE"""),"R(2)")</f>
        <v>R(2)</v>
      </c>
      <c r="BZ232" s="16" t="str">
        <f>IFERROR(__xludf.DUMMYFUNCTION("""COMPUTED_VALUE"""),"R(2)")</f>
        <v>R(2)</v>
      </c>
      <c r="CA232" s="16" t="str">
        <f>IFERROR(__xludf.DUMMYFUNCTION("""COMPUTED_VALUE"""),"R(2)")</f>
        <v>R(2)</v>
      </c>
      <c r="CB232" s="16"/>
      <c r="CC232" s="16"/>
      <c r="CD232" s="16"/>
      <c r="CE232" s="16">
        <f>IFERROR(__xludf.DUMMYFUNCTION("""COMPUTED_VALUE"""),2.0)</f>
        <v>2</v>
      </c>
      <c r="CF232" s="16"/>
      <c r="CG232" s="16" t="str">
        <f>IFERROR(__xludf.DUMMYFUNCTION("""COMPUTED_VALUE"""),"3-0")</f>
        <v>3-0</v>
      </c>
      <c r="CH232" s="16">
        <f>IFERROR(__xludf.DUMMYFUNCTION("""COMPUTED_VALUE"""),3.0)</f>
        <v>3</v>
      </c>
      <c r="CI232" s="16">
        <f>IFERROR(__xludf.DUMMYFUNCTION("""COMPUTED_VALUE"""),0.0)</f>
        <v>0</v>
      </c>
      <c r="CJ232" s="16">
        <f>IFERROR(__xludf.DUMMYFUNCTION("""COMPUTED_VALUE"""),0.0)</f>
        <v>0</v>
      </c>
      <c r="CK232" s="16">
        <f>IFERROR(__xludf.DUMMYFUNCTION("""COMPUTED_VALUE"""),14.0)</f>
        <v>14</v>
      </c>
      <c r="CL232" s="16" t="str">
        <f>IFERROR(__xludf.DUMMYFUNCTION("""COMPUTED_VALUE"""),"1WL-C")</f>
        <v>1WL-C</v>
      </c>
      <c r="CM232" s="16" t="str">
        <f>IFERROR(__xludf.DUMMYFUNCTION("""COMPUTED_VALUE"""),"E")</f>
        <v>E</v>
      </c>
      <c r="CN232" s="16">
        <f>IFERROR(__xludf.DUMMYFUNCTION("""COMPUTED_VALUE"""),10.0)</f>
        <v>10</v>
      </c>
      <c r="CO232" s="16" t="str">
        <f>IFERROR(__xludf.DUMMYFUNCTION("""COMPUTED_VALUE"""),"C")</f>
        <v>C</v>
      </c>
      <c r="CP232" s="16" t="str">
        <f>IFERROR(__xludf.DUMMYFUNCTION("""COMPUTED_VALUE"""),"5p40")</f>
        <v>5p40</v>
      </c>
      <c r="CQ232" s="16">
        <f>IFERROR(__xludf.DUMMYFUNCTION("""COMPUTED_VALUE"""),7.0)</f>
        <v>7</v>
      </c>
      <c r="CR232" s="16">
        <f>IFERROR(__xludf.DUMMYFUNCTION("""COMPUTED_VALUE"""),2.0)</f>
        <v>2</v>
      </c>
      <c r="CS232" s="16">
        <f>IFERROR(__xludf.DUMMYFUNCTION("""COMPUTED_VALUE"""),9.0)</f>
        <v>9</v>
      </c>
      <c r="CT232" s="16">
        <f>IFERROR(__xludf.DUMMYFUNCTION("""COMPUTED_VALUE"""),7.0)</f>
        <v>7</v>
      </c>
      <c r="CU232" s="16">
        <f>IFERROR(__xludf.DUMMYFUNCTION("""COMPUTED_VALUE"""),2.0)</f>
        <v>2</v>
      </c>
      <c r="CV232" s="179">
        <f>IFERROR(__xludf.DUMMYFUNCTION("""COMPUTED_VALUE"""),4.666666666666666)</f>
        <v>4.666666667</v>
      </c>
      <c r="CW232" s="179">
        <f>IFERROR(__xludf.DUMMYFUNCTION("""COMPUTED_VALUE"""),0.0)</f>
        <v>0</v>
      </c>
      <c r="CX232" s="179">
        <f>IFERROR(__xludf.DUMMYFUNCTION("""COMPUTED_VALUE"""),1.0)</f>
        <v>1</v>
      </c>
      <c r="CY232" s="16" t="str">
        <f>IFERROR(__xludf.DUMMYFUNCTION("""COMPUTED_VALUE"""),"RP")</f>
        <v>RP</v>
      </c>
      <c r="CZ232" s="16"/>
      <c r="DA232" s="16"/>
      <c r="DB232" s="16"/>
      <c r="DC232" s="16"/>
      <c r="DD232" s="16"/>
      <c r="DE232" s="16"/>
      <c r="DF232" s="16"/>
      <c r="DG232" s="16"/>
      <c r="DH232" s="16"/>
      <c r="DI232" s="16"/>
      <c r="DJ232" s="16"/>
      <c r="DK232" s="16"/>
    </row>
    <row r="233">
      <c r="A233" s="16">
        <f>IFERROR(__xludf.DUMMYFUNCTION("""COMPUTED_VALUE"""),12854.0)</f>
        <v>12854</v>
      </c>
      <c r="B233" s="16" t="str">
        <f>IFERROR(__xludf.DUMMYFUNCTION("""COMPUTED_VALUE"""),"Grayson Rodriguez")</f>
        <v>Grayson Rodriguez</v>
      </c>
      <c r="C233" s="153">
        <f>IFERROR(__xludf.DUMMYFUNCTION("""COMPUTED_VALUE"""),1.08)</f>
        <v>1.08</v>
      </c>
      <c r="D233" s="16"/>
      <c r="E233" s="16" t="str">
        <f>IFERROR(__xludf.DUMMYFUNCTION("""COMPUTED_VALUE"""),"R")</f>
        <v>R</v>
      </c>
      <c r="F233" s="16">
        <f>IFERROR(__xludf.DUMMYFUNCTION("""COMPUTED_VALUE"""),117.0)</f>
        <v>117</v>
      </c>
      <c r="G233" s="16">
        <f>IFERROR(__xludf.DUMMYFUNCTION("""COMPUTED_VALUE"""),37.0)</f>
        <v>37</v>
      </c>
      <c r="H233" s="16">
        <f>IFERROR(__xludf.DUMMYFUNCTION("""COMPUTED_VALUE"""),29.0)</f>
        <v>29</v>
      </c>
      <c r="I233" s="16">
        <f>IFERROR(__xludf.DUMMYFUNCTION("""COMPUTED_VALUE"""),1.0)</f>
        <v>1</v>
      </c>
      <c r="J233" s="16">
        <f>IFERROR(__xludf.DUMMYFUNCTION("""COMPUTED_VALUE"""),0.0)</f>
        <v>0</v>
      </c>
      <c r="K233" s="16">
        <f>IFERROR(__xludf.DUMMYFUNCTION("""COMPUTED_VALUE"""),3.0)</f>
        <v>3</v>
      </c>
      <c r="L233" s="16">
        <f>IFERROR(__xludf.DUMMYFUNCTION("""COMPUTED_VALUE"""),0.0)</f>
        <v>0</v>
      </c>
      <c r="M233" s="16">
        <f>IFERROR(__xludf.DUMMYFUNCTION("""COMPUTED_VALUE"""),8.0)</f>
        <v>8</v>
      </c>
      <c r="N233" s="16">
        <f>IFERROR(__xludf.DUMMYFUNCTION("""COMPUTED_VALUE"""),6.0)</f>
        <v>6</v>
      </c>
      <c r="O233" s="16">
        <f>IFERROR(__xludf.DUMMYFUNCTION("""COMPUTED_VALUE"""),0.0)</f>
        <v>0</v>
      </c>
      <c r="P233" s="16">
        <f>IFERROR(__xludf.DUMMYFUNCTION("""COMPUTED_VALUE"""),1.0)</f>
        <v>1</v>
      </c>
      <c r="Q233" s="16">
        <f>IFERROR(__xludf.DUMMYFUNCTION("""COMPUTED_VALUE"""),0.0)</f>
        <v>0</v>
      </c>
      <c r="R233" s="16">
        <f>IFERROR(__xludf.DUMMYFUNCTION("""COMPUTED_VALUE"""),1.0)</f>
        <v>1</v>
      </c>
      <c r="S233" s="16">
        <f>IFERROR(__xludf.DUMMYFUNCTION("""COMPUTED_VALUE"""),8.6)</f>
        <v>8.6</v>
      </c>
      <c r="T233" s="16">
        <f>IFERROR(__xludf.DUMMYFUNCTION("""COMPUTED_VALUE"""),22.5)</f>
        <v>22.5</v>
      </c>
      <c r="U233" s="16">
        <f>IFERROR(__xludf.DUMMYFUNCTION("""COMPUTED_VALUE"""),1.0)</f>
        <v>1</v>
      </c>
      <c r="V233" s="16">
        <f>IFERROR(__xludf.DUMMYFUNCTION("""COMPUTED_VALUE"""),-1.0)</f>
        <v>-1</v>
      </c>
      <c r="W233" s="16">
        <f>IFERROR(__xludf.DUMMYFUNCTION("""COMPUTED_VALUE"""),2.0)</f>
        <v>2</v>
      </c>
      <c r="X233" s="16">
        <f>IFERROR(__xludf.DUMMYFUNCTION("""COMPUTED_VALUE"""),-2.0)</f>
        <v>-2</v>
      </c>
      <c r="Y233" s="16">
        <f>IFERROR(__xludf.DUMMYFUNCTION("""COMPUTED_VALUE"""),16.6)</f>
        <v>16.6</v>
      </c>
      <c r="Z233" s="16">
        <f>IFERROR(__xludf.DUMMYFUNCTION("""COMPUTED_VALUE"""),28.5)</f>
        <v>28.5</v>
      </c>
      <c r="AA233" s="16">
        <f>IFERROR(__xludf.DUMMYFUNCTION("""COMPUTED_VALUE"""),1.0)</f>
        <v>1</v>
      </c>
      <c r="AB233" s="16">
        <f>IFERROR(__xludf.DUMMYFUNCTION("""COMPUTED_VALUE"""),-1.0)</f>
        <v>-1</v>
      </c>
      <c r="AC233" s="16">
        <f>IFERROR(__xludf.DUMMYFUNCTION("""COMPUTED_VALUE"""),5.0)</f>
        <v>5</v>
      </c>
      <c r="AD233" s="16">
        <f>IFERROR(__xludf.DUMMYFUNCTION("""COMPUTED_VALUE"""),-5.0)</f>
        <v>-5</v>
      </c>
      <c r="AE233" s="16">
        <f>IFERROR(__xludf.DUMMYFUNCTION("""COMPUTED_VALUE"""),15.3)</f>
        <v>15.3</v>
      </c>
      <c r="AF233" s="16">
        <f>IFERROR(__xludf.DUMMYFUNCTION("""COMPUTED_VALUE"""),38.9)</f>
        <v>38.9</v>
      </c>
      <c r="AG233" s="16">
        <f>IFERROR(__xludf.DUMMYFUNCTION("""COMPUTED_VALUE"""),1.0)</f>
        <v>1</v>
      </c>
      <c r="AH233" s="16">
        <f>IFERROR(__xludf.DUMMYFUNCTION("""COMPUTED_VALUE"""),-1.0)</f>
        <v>-1</v>
      </c>
      <c r="AI233" s="16">
        <f>IFERROR(__xludf.DUMMYFUNCTION("""COMPUTED_VALUE"""),2.0)</f>
        <v>2</v>
      </c>
      <c r="AJ233" s="16">
        <f>IFERROR(__xludf.DUMMYFUNCTION("""COMPUTED_VALUE"""),-2.0)</f>
        <v>-2</v>
      </c>
      <c r="AK233" s="16">
        <f>IFERROR(__xludf.DUMMYFUNCTION("""COMPUTED_VALUE"""),7.8)</f>
        <v>7.8</v>
      </c>
      <c r="AL233" s="16">
        <f>IFERROR(__xludf.DUMMYFUNCTION("""COMPUTED_VALUE"""),19.7)</f>
        <v>19.7</v>
      </c>
      <c r="AM233" s="16">
        <f>IFERROR(__xludf.DUMMYFUNCTION("""COMPUTED_VALUE"""),1.0)</f>
        <v>1</v>
      </c>
      <c r="AN233" s="16">
        <f>IFERROR(__xludf.DUMMYFUNCTION("""COMPUTED_VALUE"""),-1.0)</f>
        <v>-1</v>
      </c>
      <c r="AO233" s="16">
        <f>IFERROR(__xludf.DUMMYFUNCTION("""COMPUTED_VALUE"""),1.0)</f>
        <v>1</v>
      </c>
      <c r="AP233" s="16">
        <f>IFERROR(__xludf.DUMMYFUNCTION("""COMPUTED_VALUE"""),-1.0)</f>
        <v>-1</v>
      </c>
      <c r="AQ233" s="16">
        <f>IFERROR(__xludf.DUMMYFUNCTION("""COMPUTED_VALUE"""),12.100000000000001)</f>
        <v>12.1</v>
      </c>
      <c r="AR233" s="16">
        <f>IFERROR(__xludf.DUMMYFUNCTION("""COMPUTED_VALUE"""),27.7)</f>
        <v>27.7</v>
      </c>
      <c r="AS233" s="16">
        <f>IFERROR(__xludf.DUMMYFUNCTION("""COMPUTED_VALUE"""),1.0)</f>
        <v>1</v>
      </c>
      <c r="AT233" s="16">
        <f>IFERROR(__xludf.DUMMYFUNCTION("""COMPUTED_VALUE"""),-1.0)</f>
        <v>-1</v>
      </c>
      <c r="AU233" s="16">
        <f>IFERROR(__xludf.DUMMYFUNCTION("""COMPUTED_VALUE"""),2.0)</f>
        <v>2</v>
      </c>
      <c r="AV233" s="16">
        <f>IFERROR(__xludf.DUMMYFUNCTION("""COMPUTED_VALUE"""),-2.0)</f>
        <v>-2</v>
      </c>
      <c r="AW233" s="16">
        <f>IFERROR(__xludf.DUMMYFUNCTION("""COMPUTED_VALUE"""),0.8)</f>
        <v>0.8</v>
      </c>
      <c r="AX233" s="16">
        <f>IFERROR(__xludf.DUMMYFUNCTION("""COMPUTED_VALUE"""),2.8)</f>
        <v>2.8</v>
      </c>
      <c r="AY233" s="16">
        <f>IFERROR(__xludf.DUMMYFUNCTION("""COMPUTED_VALUE"""),2.0)</f>
        <v>2</v>
      </c>
      <c r="AZ233" s="16">
        <f>IFERROR(__xludf.DUMMYFUNCTION("""COMPUTED_VALUE"""),-1.0)</f>
        <v>-1</v>
      </c>
      <c r="BA233" s="16">
        <f>IFERROR(__xludf.DUMMYFUNCTION("""COMPUTED_VALUE"""),10.0)</f>
        <v>10</v>
      </c>
      <c r="BB233" s="16">
        <f>IFERROR(__xludf.DUMMYFUNCTION("""COMPUTED_VALUE"""),-5.0)</f>
        <v>-5</v>
      </c>
      <c r="BC233" s="16">
        <f>IFERROR(__xludf.DUMMYFUNCTION("""COMPUTED_VALUE"""),1.0)</f>
        <v>1</v>
      </c>
      <c r="BD233" s="16">
        <f>IFERROR(__xludf.DUMMYFUNCTION("""COMPUTED_VALUE"""),5.0)</f>
        <v>5</v>
      </c>
      <c r="BE233" s="16">
        <f>IFERROR(__xludf.DUMMYFUNCTION("""COMPUTED_VALUE"""),1.0)</f>
        <v>1</v>
      </c>
      <c r="BF233" s="16">
        <f>IFERROR(__xludf.DUMMYFUNCTION("""COMPUTED_VALUE"""),5.0)</f>
        <v>5</v>
      </c>
      <c r="BG233" s="16">
        <f>IFERROR(__xludf.DUMMYFUNCTION("""COMPUTED_VALUE"""),2.0)</f>
        <v>2</v>
      </c>
      <c r="BH233" s="16">
        <f>IFERROR(__xludf.DUMMYFUNCTION("""COMPUTED_VALUE"""),-2.0)</f>
        <v>-2</v>
      </c>
      <c r="BI233" s="16">
        <f>IFERROR(__xludf.DUMMYFUNCTION("""COMPUTED_VALUE"""),4.0)</f>
        <v>4</v>
      </c>
      <c r="BJ233" s="16">
        <f>IFERROR(__xludf.DUMMYFUNCTION("""COMPUTED_VALUE"""),-4.0)</f>
        <v>-4</v>
      </c>
      <c r="BK233" s="16">
        <f>IFERROR(__xludf.DUMMYFUNCTION("""COMPUTED_VALUE"""),5.0)</f>
        <v>5</v>
      </c>
      <c r="BL233" s="16">
        <f>IFERROR(__xludf.DUMMYFUNCTION("""COMPUTED_VALUE"""),5.0)</f>
        <v>5</v>
      </c>
      <c r="BM233" s="16">
        <f>IFERROR(__xludf.DUMMYFUNCTION("""COMPUTED_VALUE"""),0.0)</f>
        <v>0</v>
      </c>
      <c r="BN233" s="16">
        <f>IFERROR(__xludf.DUMMYFUNCTION("""COMPUTED_VALUE"""),0.0)</f>
        <v>0</v>
      </c>
      <c r="BO233" s="16">
        <f>IFERROR(__xludf.DUMMYFUNCTION("""COMPUTED_VALUE"""),0.0)</f>
        <v>0</v>
      </c>
      <c r="BP233" s="16">
        <f>IFERROR(__xludf.DUMMYFUNCTION("""COMPUTED_VALUE"""),0.0)</f>
        <v>0</v>
      </c>
      <c r="BQ233" s="16">
        <f>IFERROR(__xludf.DUMMYFUNCTION("""COMPUTED_VALUE"""),9.0)</f>
        <v>9</v>
      </c>
      <c r="BR233" s="16">
        <f>IFERROR(__xludf.DUMMYFUNCTION("""COMPUTED_VALUE"""),9.0)</f>
        <v>9</v>
      </c>
      <c r="BS233" s="16">
        <f>IFERROR(__xludf.DUMMYFUNCTION("""COMPUTED_VALUE"""),3.0)</f>
        <v>3</v>
      </c>
      <c r="BT233" s="16">
        <f>IFERROR(__xludf.DUMMYFUNCTION("""COMPUTED_VALUE"""),3.0)</f>
        <v>3</v>
      </c>
      <c r="BU233" s="16">
        <f>IFERROR(__xludf.DUMMYFUNCTION("""COMPUTED_VALUE"""),6.0)</f>
        <v>6</v>
      </c>
      <c r="BV233" s="16">
        <f>IFERROR(__xludf.DUMMYFUNCTION("""COMPUTED_VALUE"""),6.0)</f>
        <v>6</v>
      </c>
      <c r="BW233" s="16">
        <f>IFERROR(__xludf.DUMMYFUNCTION("""COMPUTED_VALUE"""),-2.0)</f>
        <v>-2</v>
      </c>
      <c r="BX233" s="16">
        <f>IFERROR(__xludf.DUMMYFUNCTION("""COMPUTED_VALUE"""),-2.0)</f>
        <v>-2</v>
      </c>
      <c r="BY233" s="16" t="str">
        <f>IFERROR(__xludf.DUMMYFUNCTION("""COMPUTED_VALUE"""),"S(6)")</f>
        <v>S(6)</v>
      </c>
      <c r="BZ233" s="16" t="str">
        <f>IFERROR(__xludf.DUMMYFUNCTION("""COMPUTED_VALUE"""),"S(6)")</f>
        <v>S(6)</v>
      </c>
      <c r="CA233" s="16" t="str">
        <f>IFERROR(__xludf.DUMMYFUNCTION("""COMPUTED_VALUE"""),"S(6)")</f>
        <v>S(6)</v>
      </c>
      <c r="CB233" s="16"/>
      <c r="CC233" s="16"/>
      <c r="CD233" s="16">
        <f>IFERROR(__xludf.DUMMYFUNCTION("""COMPUTED_VALUE"""),6.0)</f>
        <v>6</v>
      </c>
      <c r="CE233" s="16"/>
      <c r="CF233" s="16"/>
      <c r="CG233" s="16" t="str">
        <f>IFERROR(__xludf.DUMMYFUNCTION("""COMPUTED_VALUE"""),"2-0")</f>
        <v>2-0</v>
      </c>
      <c r="CH233" s="16">
        <f>IFERROR(__xludf.DUMMYFUNCTION("""COMPUTED_VALUE"""),2.0)</f>
        <v>2</v>
      </c>
      <c r="CI233" s="16">
        <f>IFERROR(__xludf.DUMMYFUNCTION("""COMPUTED_VALUE"""),0.0)</f>
        <v>0</v>
      </c>
      <c r="CJ233" s="16">
        <f>IFERROR(__xludf.DUMMYFUNCTION("""COMPUTED_VALUE"""),0.0)</f>
        <v>0</v>
      </c>
      <c r="CK233" s="16">
        <f>IFERROR(__xludf.DUMMYFUNCTION("""COMPUTED_VALUE"""),11.0)</f>
        <v>11</v>
      </c>
      <c r="CL233" s="16" t="str">
        <f>IFERROR(__xludf.DUMMYFUNCTION("""COMPUTED_VALUE"""),"1WL-C")</f>
        <v>1WL-C</v>
      </c>
      <c r="CM233" s="16" t="str">
        <f>IFERROR(__xludf.DUMMYFUNCTION("""COMPUTED_VALUE"""),"E")</f>
        <v>E</v>
      </c>
      <c r="CN233" s="16">
        <f>IFERROR(__xludf.DUMMYFUNCTION("""COMPUTED_VALUE"""),10.0)</f>
        <v>10</v>
      </c>
      <c r="CO233" s="16" t="str">
        <f>IFERROR(__xludf.DUMMYFUNCTION("""COMPUTED_VALUE"""),"C")</f>
        <v>C</v>
      </c>
      <c r="CP233" s="16" t="str">
        <f>IFERROR(__xludf.DUMMYFUNCTION("""COMPUTED_VALUE"""),"3p50")</f>
        <v>3p50</v>
      </c>
      <c r="CQ233" s="16">
        <f>IFERROR(__xludf.DUMMYFUNCTION("""COMPUTED_VALUE"""),35.0)</f>
        <v>35</v>
      </c>
      <c r="CR233" s="16">
        <f>IFERROR(__xludf.DUMMYFUNCTION("""COMPUTED_VALUE"""),-14.0)</f>
        <v>-14</v>
      </c>
      <c r="CS233" s="16">
        <f>IFERROR(__xludf.DUMMYFUNCTION("""COMPUTED_VALUE"""),21.0)</f>
        <v>21</v>
      </c>
      <c r="CT233" s="16">
        <f>IFERROR(__xludf.DUMMYFUNCTION("""COMPUTED_VALUE"""),35.0)</f>
        <v>35</v>
      </c>
      <c r="CU233" s="16">
        <f>IFERROR(__xludf.DUMMYFUNCTION("""COMPUTED_VALUE"""),-14.0)</f>
        <v>-14</v>
      </c>
      <c r="CV233" s="179">
        <f>IFERROR(__xludf.DUMMYFUNCTION("""COMPUTED_VALUE"""),4.333333333333334)</f>
        <v>4.333333333</v>
      </c>
      <c r="CW233" s="179">
        <f>IFERROR(__xludf.DUMMYFUNCTION("""COMPUTED_VALUE"""),2.0)</f>
        <v>2</v>
      </c>
      <c r="CX233" s="179">
        <f>IFERROR(__xludf.DUMMYFUNCTION("""COMPUTED_VALUE"""),0.0)</f>
        <v>0</v>
      </c>
      <c r="CY233" s="16" t="str">
        <f>IFERROR(__xludf.DUMMYFUNCTION("""COMPUTED_VALUE"""),"SP")</f>
        <v>SP</v>
      </c>
      <c r="CZ233" s="16"/>
      <c r="DA233" s="16"/>
      <c r="DB233" s="16"/>
      <c r="DC233" s="16"/>
      <c r="DD233" s="16"/>
      <c r="DE233" s="16"/>
      <c r="DF233" s="16"/>
      <c r="DG233" s="16"/>
      <c r="DH233" s="16"/>
      <c r="DI233" s="16"/>
      <c r="DJ233" s="16"/>
      <c r="DK233" s="16"/>
    </row>
    <row r="234">
      <c r="A234" s="16">
        <f>IFERROR(__xludf.DUMMYFUNCTION("""COMPUTED_VALUE"""),13223.0)</f>
        <v>13223</v>
      </c>
      <c r="B234" s="16" t="str">
        <f>IFERROR(__xludf.DUMMYFUNCTION("""COMPUTED_VALUE"""),"Mitchell Parker")</f>
        <v>Mitchell Parker</v>
      </c>
      <c r="C234" s="153">
        <f>IFERROR(__xludf.DUMMYFUNCTION("""COMPUTED_VALUE"""),0.3)</f>
        <v>0.3</v>
      </c>
      <c r="D234" s="16"/>
      <c r="E234" s="16" t="str">
        <f>IFERROR(__xludf.DUMMYFUNCTION("""COMPUTED_VALUE"""),"L")</f>
        <v>L</v>
      </c>
      <c r="F234" s="16">
        <f>IFERROR(__xludf.DUMMYFUNCTION("""COMPUTED_VALUE"""),151.0)</f>
        <v>151</v>
      </c>
      <c r="G234" s="16">
        <f>IFERROR(__xludf.DUMMYFUNCTION("""COMPUTED_VALUE"""),30.0)</f>
        <v>30</v>
      </c>
      <c r="H234" s="16">
        <f>IFERROR(__xludf.DUMMYFUNCTION("""COMPUTED_VALUE"""),17.0)</f>
        <v>17</v>
      </c>
      <c r="I234" s="16">
        <f>IFERROR(__xludf.DUMMYFUNCTION("""COMPUTED_VALUE"""),0.0)</f>
        <v>0</v>
      </c>
      <c r="J234" s="16">
        <f>IFERROR(__xludf.DUMMYFUNCTION("""COMPUTED_VALUE"""),-1.0)</f>
        <v>-1</v>
      </c>
      <c r="K234" s="16">
        <f>IFERROR(__xludf.DUMMYFUNCTION("""COMPUTED_VALUE"""),0.0)</f>
        <v>0</v>
      </c>
      <c r="L234" s="16">
        <f>IFERROR(__xludf.DUMMYFUNCTION("""COMPUTED_VALUE"""),-3.0)</f>
        <v>-3</v>
      </c>
      <c r="M234" s="16">
        <f>IFERROR(__xludf.DUMMYFUNCTION("""COMPUTED_VALUE"""),2.0)</f>
        <v>2</v>
      </c>
      <c r="N234" s="16">
        <f>IFERROR(__xludf.DUMMYFUNCTION("""COMPUTED_VALUE"""),7.0)</f>
        <v>7</v>
      </c>
      <c r="O234" s="16">
        <f>IFERROR(__xludf.DUMMYFUNCTION("""COMPUTED_VALUE"""),2.0)</f>
        <v>2</v>
      </c>
      <c r="P234" s="16">
        <f>IFERROR(__xludf.DUMMYFUNCTION("""COMPUTED_VALUE"""),1.0)</f>
        <v>1</v>
      </c>
      <c r="Q234" s="16">
        <f>IFERROR(__xludf.DUMMYFUNCTION("""COMPUTED_VALUE"""),2.0)</f>
        <v>2</v>
      </c>
      <c r="R234" s="16">
        <f>IFERROR(__xludf.DUMMYFUNCTION("""COMPUTED_VALUE"""),1.0)</f>
        <v>1</v>
      </c>
      <c r="S234" s="16">
        <f>IFERROR(__xludf.DUMMYFUNCTION("""COMPUTED_VALUE"""),25.8)</f>
        <v>25.8</v>
      </c>
      <c r="T234" s="16">
        <f>IFERROR(__xludf.DUMMYFUNCTION("""COMPUTED_VALUE"""),16.0)</f>
        <v>16</v>
      </c>
      <c r="U234" s="16">
        <f>IFERROR(__xludf.DUMMYFUNCTION("""COMPUTED_VALUE"""),-2.0)</f>
        <v>-2</v>
      </c>
      <c r="V234" s="16">
        <f>IFERROR(__xludf.DUMMYFUNCTION("""COMPUTED_VALUE"""),0.0)</f>
        <v>0</v>
      </c>
      <c r="W234" s="16">
        <f>IFERROR(__xludf.DUMMYFUNCTION("""COMPUTED_VALUE"""),-4.0)</f>
        <v>-4</v>
      </c>
      <c r="X234" s="16">
        <f>IFERROR(__xludf.DUMMYFUNCTION("""COMPUTED_VALUE"""),0.0)</f>
        <v>0</v>
      </c>
      <c r="Y234" s="16">
        <f>IFERROR(__xludf.DUMMYFUNCTION("""COMPUTED_VALUE"""),27.8)</f>
        <v>27.8</v>
      </c>
      <c r="Z234" s="16">
        <f>IFERROR(__xludf.DUMMYFUNCTION("""COMPUTED_VALUE"""),22.9)</f>
        <v>22.9</v>
      </c>
      <c r="AA234" s="16">
        <f>IFERROR(__xludf.DUMMYFUNCTION("""COMPUTED_VALUE"""),0.0)</f>
        <v>0</v>
      </c>
      <c r="AB234" s="16">
        <f>IFERROR(__xludf.DUMMYFUNCTION("""COMPUTED_VALUE"""),0.0)</f>
        <v>0</v>
      </c>
      <c r="AC234" s="16">
        <f>IFERROR(__xludf.DUMMYFUNCTION("""COMPUTED_VALUE"""),0.0)</f>
        <v>0</v>
      </c>
      <c r="AD234" s="16">
        <f>IFERROR(__xludf.DUMMYFUNCTION("""COMPUTED_VALUE"""),0.0)</f>
        <v>0</v>
      </c>
      <c r="AE234" s="16">
        <f>IFERROR(__xludf.DUMMYFUNCTION("""COMPUTED_VALUE"""),33.3)</f>
        <v>33.3</v>
      </c>
      <c r="AF234" s="16">
        <f>IFERROR(__xludf.DUMMYFUNCTION("""COMPUTED_VALUE"""),28.5)</f>
        <v>28.5</v>
      </c>
      <c r="AG234" s="16">
        <f>IFERROR(__xludf.DUMMYFUNCTION("""COMPUTED_VALUE"""),-1.0)</f>
        <v>-1</v>
      </c>
      <c r="AH234" s="16">
        <f>IFERROR(__xludf.DUMMYFUNCTION("""COMPUTED_VALUE"""),0.0)</f>
        <v>0</v>
      </c>
      <c r="AI234" s="16">
        <f>IFERROR(__xludf.DUMMYFUNCTION("""COMPUTED_VALUE"""),-2.0)</f>
        <v>-2</v>
      </c>
      <c r="AJ234" s="16">
        <f>IFERROR(__xludf.DUMMYFUNCTION("""COMPUTED_VALUE"""),0.0)</f>
        <v>0</v>
      </c>
      <c r="AK234" s="16">
        <f>IFERROR(__xludf.DUMMYFUNCTION("""COMPUTED_VALUE"""),25.8)</f>
        <v>25.8</v>
      </c>
      <c r="AL234" s="16">
        <f>IFERROR(__xludf.DUMMYFUNCTION("""COMPUTED_VALUE"""),13.8)</f>
        <v>13.8</v>
      </c>
      <c r="AM234" s="16">
        <f>IFERROR(__xludf.DUMMYFUNCTION("""COMPUTED_VALUE"""),-2.0)</f>
        <v>-2</v>
      </c>
      <c r="AN234" s="16">
        <f>IFERROR(__xludf.DUMMYFUNCTION("""COMPUTED_VALUE"""),0.0)</f>
        <v>0</v>
      </c>
      <c r="AO234" s="16">
        <f>IFERROR(__xludf.DUMMYFUNCTION("""COMPUTED_VALUE"""),-2.0)</f>
        <v>-2</v>
      </c>
      <c r="AP234" s="16">
        <f>IFERROR(__xludf.DUMMYFUNCTION("""COMPUTED_VALUE"""),0.0)</f>
        <v>0</v>
      </c>
      <c r="AQ234" s="16">
        <f>IFERROR(__xludf.DUMMYFUNCTION("""COMPUTED_VALUE"""),33.3)</f>
        <v>33.3</v>
      </c>
      <c r="AR234" s="16">
        <f>IFERROR(__xludf.DUMMYFUNCTION("""COMPUTED_VALUE"""),19.7)</f>
        <v>19.7</v>
      </c>
      <c r="AS234" s="16">
        <f>IFERROR(__xludf.DUMMYFUNCTION("""COMPUTED_VALUE"""),-2.0)</f>
        <v>-2</v>
      </c>
      <c r="AT234" s="16">
        <f>IFERROR(__xludf.DUMMYFUNCTION("""COMPUTED_VALUE"""),0.0)</f>
        <v>0</v>
      </c>
      <c r="AU234" s="16">
        <f>IFERROR(__xludf.DUMMYFUNCTION("""COMPUTED_VALUE"""),-4.0)</f>
        <v>-4</v>
      </c>
      <c r="AV234" s="16">
        <f>IFERROR(__xludf.DUMMYFUNCTION("""COMPUTED_VALUE"""),0.0)</f>
        <v>0</v>
      </c>
      <c r="AW234" s="16">
        <f>IFERROR(__xludf.DUMMYFUNCTION("""COMPUTED_VALUE"""),0.0)</f>
        <v>0</v>
      </c>
      <c r="AX234" s="16">
        <f>IFERROR(__xludf.DUMMYFUNCTION("""COMPUTED_VALUE"""),2.2)</f>
        <v>2.2</v>
      </c>
      <c r="AY234" s="16">
        <f>IFERROR(__xludf.DUMMYFUNCTION("""COMPUTED_VALUE"""),2.0)</f>
        <v>2</v>
      </c>
      <c r="AZ234" s="16">
        <f>IFERROR(__xludf.DUMMYFUNCTION("""COMPUTED_VALUE"""),0.0)</f>
        <v>0</v>
      </c>
      <c r="BA234" s="16">
        <f>IFERROR(__xludf.DUMMYFUNCTION("""COMPUTED_VALUE"""),10.0)</f>
        <v>10</v>
      </c>
      <c r="BB234" s="16">
        <f>IFERROR(__xludf.DUMMYFUNCTION("""COMPUTED_VALUE"""),0.0)</f>
        <v>0</v>
      </c>
      <c r="BC234" s="16">
        <f>IFERROR(__xludf.DUMMYFUNCTION("""COMPUTED_VALUE"""),0.0)</f>
        <v>0</v>
      </c>
      <c r="BD234" s="16">
        <f>IFERROR(__xludf.DUMMYFUNCTION("""COMPUTED_VALUE"""),4.0)</f>
        <v>4</v>
      </c>
      <c r="BE234" s="16">
        <f>IFERROR(__xludf.DUMMYFUNCTION("""COMPUTED_VALUE"""),0.0)</f>
        <v>0</v>
      </c>
      <c r="BF234" s="16">
        <f>IFERROR(__xludf.DUMMYFUNCTION("""COMPUTED_VALUE"""),4.0)</f>
        <v>4</v>
      </c>
      <c r="BG234" s="16">
        <f>IFERROR(__xludf.DUMMYFUNCTION("""COMPUTED_VALUE"""),3.0)</f>
        <v>3</v>
      </c>
      <c r="BH234" s="16">
        <f>IFERROR(__xludf.DUMMYFUNCTION("""COMPUTED_VALUE"""),-1.0)</f>
        <v>-1</v>
      </c>
      <c r="BI234" s="16">
        <f>IFERROR(__xludf.DUMMYFUNCTION("""COMPUTED_VALUE"""),6.0)</f>
        <v>6</v>
      </c>
      <c r="BJ234" s="16">
        <f>IFERROR(__xludf.DUMMYFUNCTION("""COMPUTED_VALUE"""),-2.0)</f>
        <v>-2</v>
      </c>
      <c r="BK234" s="16">
        <f>IFERROR(__xludf.DUMMYFUNCTION("""COMPUTED_VALUE"""),5.0)</f>
        <v>5</v>
      </c>
      <c r="BL234" s="16">
        <f>IFERROR(__xludf.DUMMYFUNCTION("""COMPUTED_VALUE"""),5.0)</f>
        <v>5</v>
      </c>
      <c r="BM234" s="16">
        <f>IFERROR(__xludf.DUMMYFUNCTION("""COMPUTED_VALUE"""),0.0)</f>
        <v>0</v>
      </c>
      <c r="BN234" s="16">
        <f>IFERROR(__xludf.DUMMYFUNCTION("""COMPUTED_VALUE"""),0.0)</f>
        <v>0</v>
      </c>
      <c r="BO234" s="16">
        <f>IFERROR(__xludf.DUMMYFUNCTION("""COMPUTED_VALUE"""),0.0)</f>
        <v>0</v>
      </c>
      <c r="BP234" s="16">
        <f>IFERROR(__xludf.DUMMYFUNCTION("""COMPUTED_VALUE"""),0.0)</f>
        <v>0</v>
      </c>
      <c r="BQ234" s="16">
        <f>IFERROR(__xludf.DUMMYFUNCTION("""COMPUTED_VALUE"""),3.0)</f>
        <v>3</v>
      </c>
      <c r="BR234" s="16">
        <f>IFERROR(__xludf.DUMMYFUNCTION("""COMPUTED_VALUE"""),4.0)</f>
        <v>4</v>
      </c>
      <c r="BS234" s="16">
        <f>IFERROR(__xludf.DUMMYFUNCTION("""COMPUTED_VALUE"""),-1.0)</f>
        <v>-1</v>
      </c>
      <c r="BT234" s="16">
        <f>IFERROR(__xludf.DUMMYFUNCTION("""COMPUTED_VALUE"""),-1.0)</f>
        <v>-1</v>
      </c>
      <c r="BU234" s="16">
        <f>IFERROR(__xludf.DUMMYFUNCTION("""COMPUTED_VALUE"""),-2.0)</f>
        <v>-2</v>
      </c>
      <c r="BV234" s="16">
        <f>IFERROR(__xludf.DUMMYFUNCTION("""COMPUTED_VALUE"""),-2.0)</f>
        <v>-2</v>
      </c>
      <c r="BW234" s="16">
        <f>IFERROR(__xludf.DUMMYFUNCTION("""COMPUTED_VALUE"""),-4.0)</f>
        <v>-4</v>
      </c>
      <c r="BX234" s="16">
        <f>IFERROR(__xludf.DUMMYFUNCTION("""COMPUTED_VALUE"""),-4.0)</f>
        <v>-4</v>
      </c>
      <c r="BY234" s="16" t="str">
        <f>IFERROR(__xludf.DUMMYFUNCTION("""COMPUTED_VALUE"""),"S(5)")</f>
        <v>S(5)</v>
      </c>
      <c r="BZ234" s="16" t="str">
        <f>IFERROR(__xludf.DUMMYFUNCTION("""COMPUTED_VALUE"""),"S(5)")</f>
        <v>S(5)</v>
      </c>
      <c r="CA234" s="16" t="str">
        <f>IFERROR(__xludf.DUMMYFUNCTION("""COMPUTED_VALUE"""),"S(5)")</f>
        <v>S(5)</v>
      </c>
      <c r="CB234" s="16"/>
      <c r="CC234" s="16"/>
      <c r="CD234" s="16">
        <f>IFERROR(__xludf.DUMMYFUNCTION("""COMPUTED_VALUE"""),5.0)</f>
        <v>5</v>
      </c>
      <c r="CE234" s="16"/>
      <c r="CF234" s="16"/>
      <c r="CG234" s="16" t="str">
        <f>IFERROR(__xludf.DUMMYFUNCTION("""COMPUTED_VALUE"""),"5-47")</f>
        <v>5-47</v>
      </c>
      <c r="CH234" s="16">
        <f>IFERROR(__xludf.DUMMYFUNCTION("""COMPUTED_VALUE"""),5.0)</f>
        <v>5</v>
      </c>
      <c r="CI234" s="16">
        <f>IFERROR(__xludf.DUMMYFUNCTION("""COMPUTED_VALUE"""),47.0)</f>
        <v>47</v>
      </c>
      <c r="CJ234" s="16">
        <f>IFERROR(__xludf.DUMMYFUNCTION("""COMPUTED_VALUE"""),0.0)</f>
        <v>0</v>
      </c>
      <c r="CK234" s="16">
        <f>IFERROR(__xludf.DUMMYFUNCTION("""COMPUTED_VALUE"""),10.0)</f>
        <v>10</v>
      </c>
      <c r="CL234" s="16" t="str">
        <f>IFERROR(__xludf.DUMMYFUNCTION("""COMPUTED_VALUE"""),"1WL-C")</f>
        <v>1WL-C</v>
      </c>
      <c r="CM234" s="16" t="str">
        <f>IFERROR(__xludf.DUMMYFUNCTION("""COMPUTED_VALUE"""),"E")</f>
        <v>E</v>
      </c>
      <c r="CN234" s="16">
        <f>IFERROR(__xludf.DUMMYFUNCTION("""COMPUTED_VALUE"""),10.0)</f>
        <v>10</v>
      </c>
      <c r="CO234" s="16" t="str">
        <f>IFERROR(__xludf.DUMMYFUNCTION("""COMPUTED_VALUE"""),"C")</f>
        <v>C</v>
      </c>
      <c r="CP234" s="16" t="str">
        <f>IFERROR(__xludf.DUMMYFUNCTION("""COMPUTED_VALUE"""),"1p70")</f>
        <v>1p70</v>
      </c>
      <c r="CQ234" s="16">
        <f>IFERROR(__xludf.DUMMYFUNCTION("""COMPUTED_VALUE"""),4.0)</f>
        <v>4</v>
      </c>
      <c r="CR234" s="16">
        <f>IFERROR(__xludf.DUMMYFUNCTION("""COMPUTED_VALUE"""),-6.0)</f>
        <v>-6</v>
      </c>
      <c r="CS234" s="16">
        <f>IFERROR(__xludf.DUMMYFUNCTION("""COMPUTED_VALUE"""),-2.0)</f>
        <v>-2</v>
      </c>
      <c r="CT234" s="16">
        <f>IFERROR(__xludf.DUMMYFUNCTION("""COMPUTED_VALUE"""),4.0)</f>
        <v>4</v>
      </c>
      <c r="CU234" s="16">
        <f>IFERROR(__xludf.DUMMYFUNCTION("""COMPUTED_VALUE"""),-6.0)</f>
        <v>-6</v>
      </c>
      <c r="CV234" s="179">
        <f>IFERROR(__xludf.DUMMYFUNCTION("""COMPUTED_VALUE"""),4.333333333333334)</f>
        <v>4.333333333</v>
      </c>
      <c r="CW234" s="179">
        <f>IFERROR(__xludf.DUMMYFUNCTION("""COMPUTED_VALUE"""),4.0)</f>
        <v>4</v>
      </c>
      <c r="CX234" s="179">
        <f>IFERROR(__xludf.DUMMYFUNCTION("""COMPUTED_VALUE"""),3.0)</f>
        <v>3</v>
      </c>
      <c r="CY234" s="16" t="str">
        <f>IFERROR(__xludf.DUMMYFUNCTION("""COMPUTED_VALUE"""),"SP")</f>
        <v>SP</v>
      </c>
      <c r="CZ234" s="16"/>
      <c r="DA234" s="16"/>
      <c r="DB234" s="16"/>
      <c r="DC234" s="16"/>
      <c r="DD234" s="16"/>
      <c r="DE234" s="16"/>
      <c r="DF234" s="16"/>
      <c r="DG234" s="16"/>
      <c r="DH234" s="16"/>
      <c r="DI234" s="16"/>
      <c r="DJ234" s="16"/>
      <c r="DK234" s="16"/>
    </row>
    <row r="235">
      <c r="A235" s="16">
        <f>IFERROR(__xludf.DUMMYFUNCTION("""COMPUTED_VALUE"""),13090.0)</f>
        <v>13090</v>
      </c>
      <c r="B235" s="16" t="str">
        <f>IFERROR(__xludf.DUMMYFUNCTION("""COMPUTED_VALUE"""),"Kyle Finnegan")</f>
        <v>Kyle Finnegan</v>
      </c>
      <c r="C235" s="153">
        <f>IFERROR(__xludf.DUMMYFUNCTION("""COMPUTED_VALUE"""),0.68)</f>
        <v>0.68</v>
      </c>
      <c r="D235" s="16"/>
      <c r="E235" s="16" t="str">
        <f>IFERROR(__xludf.DUMMYFUNCTION("""COMPUTED_VALUE"""),"R")</f>
        <v>R</v>
      </c>
      <c r="F235" s="16">
        <f>IFERROR(__xludf.DUMMYFUNCTION("""COMPUTED_VALUE"""),64.0)</f>
        <v>64</v>
      </c>
      <c r="G235" s="16">
        <f>IFERROR(__xludf.DUMMYFUNCTION("""COMPUTED_VALUE"""),38.0)</f>
        <v>38</v>
      </c>
      <c r="H235" s="16">
        <f>IFERROR(__xludf.DUMMYFUNCTION("""COMPUTED_VALUE"""),13.0)</f>
        <v>13</v>
      </c>
      <c r="I235" s="16">
        <f>IFERROR(__xludf.DUMMYFUNCTION("""COMPUTED_VALUE"""),1.0)</f>
        <v>1</v>
      </c>
      <c r="J235" s="16">
        <f>IFERROR(__xludf.DUMMYFUNCTION("""COMPUTED_VALUE"""),-2.0)</f>
        <v>-2</v>
      </c>
      <c r="K235" s="16">
        <f>IFERROR(__xludf.DUMMYFUNCTION("""COMPUTED_VALUE"""),3.0)</f>
        <v>3</v>
      </c>
      <c r="L235" s="16">
        <f>IFERROR(__xludf.DUMMYFUNCTION("""COMPUTED_VALUE"""),-6.0)</f>
        <v>-6</v>
      </c>
      <c r="M235" s="16">
        <f>IFERROR(__xludf.DUMMYFUNCTION("""COMPUTED_VALUE"""),9.0)</f>
        <v>9</v>
      </c>
      <c r="N235" s="16">
        <f>IFERROR(__xludf.DUMMYFUNCTION("""COMPUTED_VALUE"""),8.0)</f>
        <v>8</v>
      </c>
      <c r="O235" s="16">
        <f>IFERROR(__xludf.DUMMYFUNCTION("""COMPUTED_VALUE"""),0.0)</f>
        <v>0</v>
      </c>
      <c r="P235" s="16">
        <f>IFERROR(__xludf.DUMMYFUNCTION("""COMPUTED_VALUE"""),0.0)</f>
        <v>0</v>
      </c>
      <c r="Q235" s="16">
        <f>IFERROR(__xludf.DUMMYFUNCTION("""COMPUTED_VALUE"""),0.0)</f>
        <v>0</v>
      </c>
      <c r="R235" s="16">
        <f>IFERROR(__xludf.DUMMYFUNCTION("""COMPUTED_VALUE"""),0.0)</f>
        <v>0</v>
      </c>
      <c r="S235" s="16">
        <f>IFERROR(__xludf.DUMMYFUNCTION("""COMPUTED_VALUE"""),8.7)</f>
        <v>8.7</v>
      </c>
      <c r="T235" s="16">
        <f>IFERROR(__xludf.DUMMYFUNCTION("""COMPUTED_VALUE"""),21.5)</f>
        <v>21.5</v>
      </c>
      <c r="U235" s="16">
        <f>IFERROR(__xludf.DUMMYFUNCTION("""COMPUTED_VALUE"""),1.0)</f>
        <v>1</v>
      </c>
      <c r="V235" s="16">
        <f>IFERROR(__xludf.DUMMYFUNCTION("""COMPUTED_VALUE"""),-1.0)</f>
        <v>-1</v>
      </c>
      <c r="W235" s="16">
        <f>IFERROR(__xludf.DUMMYFUNCTION("""COMPUTED_VALUE"""),2.0)</f>
        <v>2</v>
      </c>
      <c r="X235" s="16">
        <f>IFERROR(__xludf.DUMMYFUNCTION("""COMPUTED_VALUE"""),-2.0)</f>
        <v>-2</v>
      </c>
      <c r="Y235" s="16">
        <f>IFERROR(__xludf.DUMMYFUNCTION("""COMPUTED_VALUE"""),17.7)</f>
        <v>17.7</v>
      </c>
      <c r="Z235" s="16">
        <f>IFERROR(__xludf.DUMMYFUNCTION("""COMPUTED_VALUE"""),29.5)</f>
        <v>29.5</v>
      </c>
      <c r="AA235" s="16">
        <f>IFERROR(__xludf.DUMMYFUNCTION("""COMPUTED_VALUE"""),1.0)</f>
        <v>1</v>
      </c>
      <c r="AB235" s="16">
        <f>IFERROR(__xludf.DUMMYFUNCTION("""COMPUTED_VALUE"""),-1.0)</f>
        <v>-1</v>
      </c>
      <c r="AC235" s="16">
        <f>IFERROR(__xludf.DUMMYFUNCTION("""COMPUTED_VALUE"""),5.0)</f>
        <v>5</v>
      </c>
      <c r="AD235" s="16">
        <f>IFERROR(__xludf.DUMMYFUNCTION("""COMPUTED_VALUE"""),-5.0)</f>
        <v>-5</v>
      </c>
      <c r="AE235" s="16">
        <f>IFERROR(__xludf.DUMMYFUNCTION("""COMPUTED_VALUE"""),22.4)</f>
        <v>22.4</v>
      </c>
      <c r="AF235" s="16">
        <f>IFERROR(__xludf.DUMMYFUNCTION("""COMPUTED_VALUE"""),30.8)</f>
        <v>30.8</v>
      </c>
      <c r="AG235" s="16">
        <f>IFERROR(__xludf.DUMMYFUNCTION("""COMPUTED_VALUE"""),1.0)</f>
        <v>1</v>
      </c>
      <c r="AH235" s="16">
        <f>IFERROR(__xludf.DUMMYFUNCTION("""COMPUTED_VALUE"""),0.0)</f>
        <v>0</v>
      </c>
      <c r="AI235" s="16">
        <f>IFERROR(__xludf.DUMMYFUNCTION("""COMPUTED_VALUE"""),2.0)</f>
        <v>2</v>
      </c>
      <c r="AJ235" s="16">
        <f>IFERROR(__xludf.DUMMYFUNCTION("""COMPUTED_VALUE"""),0.0)</f>
        <v>0</v>
      </c>
      <c r="AK235" s="16">
        <f>IFERROR(__xludf.DUMMYFUNCTION("""COMPUTED_VALUE"""),5.1)</f>
        <v>5.1</v>
      </c>
      <c r="AL235" s="16">
        <f>IFERROR(__xludf.DUMMYFUNCTION("""COMPUTED_VALUE"""),20.1)</f>
        <v>20.1</v>
      </c>
      <c r="AM235" s="16">
        <f>IFERROR(__xludf.DUMMYFUNCTION("""COMPUTED_VALUE"""),1.0)</f>
        <v>1</v>
      </c>
      <c r="AN235" s="16">
        <f>IFERROR(__xludf.DUMMYFUNCTION("""COMPUTED_VALUE"""),-1.0)</f>
        <v>-1</v>
      </c>
      <c r="AO235" s="16">
        <f>IFERROR(__xludf.DUMMYFUNCTION("""COMPUTED_VALUE"""),1.0)</f>
        <v>1</v>
      </c>
      <c r="AP235" s="16">
        <f>IFERROR(__xludf.DUMMYFUNCTION("""COMPUTED_VALUE"""),-1.0)</f>
        <v>-1</v>
      </c>
      <c r="AQ235" s="16">
        <f>IFERROR(__xludf.DUMMYFUNCTION("""COMPUTED_VALUE"""),7.999999999999998)</f>
        <v>8</v>
      </c>
      <c r="AR235" s="16">
        <f>IFERROR(__xludf.DUMMYFUNCTION("""COMPUTED_VALUE"""),25.200000000000003)</f>
        <v>25.2</v>
      </c>
      <c r="AS235" s="16">
        <f>IFERROR(__xludf.DUMMYFUNCTION("""COMPUTED_VALUE"""),1.0)</f>
        <v>1</v>
      </c>
      <c r="AT235" s="16">
        <f>IFERROR(__xludf.DUMMYFUNCTION("""COMPUTED_VALUE"""),-1.0)</f>
        <v>-1</v>
      </c>
      <c r="AU235" s="16">
        <f>IFERROR(__xludf.DUMMYFUNCTION("""COMPUTED_VALUE"""),2.0)</f>
        <v>2</v>
      </c>
      <c r="AV235" s="16">
        <f>IFERROR(__xludf.DUMMYFUNCTION("""COMPUTED_VALUE"""),-2.0)</f>
        <v>-2</v>
      </c>
      <c r="AW235" s="16">
        <f>IFERROR(__xludf.DUMMYFUNCTION("""COMPUTED_VALUE"""),3.6)</f>
        <v>3.6</v>
      </c>
      <c r="AX235" s="16">
        <f>IFERROR(__xludf.DUMMYFUNCTION("""COMPUTED_VALUE"""),1.4)</f>
        <v>1.4</v>
      </c>
      <c r="AY235" s="16">
        <f>IFERROR(__xludf.DUMMYFUNCTION("""COMPUTED_VALUE"""),-2.0)</f>
        <v>-2</v>
      </c>
      <c r="AZ235" s="16">
        <f>IFERROR(__xludf.DUMMYFUNCTION("""COMPUTED_VALUE"""),1.0)</f>
        <v>1</v>
      </c>
      <c r="BA235" s="16">
        <f>IFERROR(__xludf.DUMMYFUNCTION("""COMPUTED_VALUE"""),-10.0)</f>
        <v>-10</v>
      </c>
      <c r="BB235" s="16">
        <f>IFERROR(__xludf.DUMMYFUNCTION("""COMPUTED_VALUE"""),5.0)</f>
        <v>5</v>
      </c>
      <c r="BC235" s="16">
        <f>IFERROR(__xludf.DUMMYFUNCTION("""COMPUTED_VALUE"""),5.0)</f>
        <v>5</v>
      </c>
      <c r="BD235" s="16">
        <f>IFERROR(__xludf.DUMMYFUNCTION("""COMPUTED_VALUE"""),2.0)</f>
        <v>2</v>
      </c>
      <c r="BE235" s="16">
        <f>IFERROR(__xludf.DUMMYFUNCTION("""COMPUTED_VALUE"""),5.0)</f>
        <v>5</v>
      </c>
      <c r="BF235" s="16">
        <f>IFERROR(__xludf.DUMMYFUNCTION("""COMPUTED_VALUE"""),2.0)</f>
        <v>2</v>
      </c>
      <c r="BG235" s="16">
        <f>IFERROR(__xludf.DUMMYFUNCTION("""COMPUTED_VALUE"""),-2.0)</f>
        <v>-2</v>
      </c>
      <c r="BH235" s="16">
        <f>IFERROR(__xludf.DUMMYFUNCTION("""COMPUTED_VALUE"""),1.0)</f>
        <v>1</v>
      </c>
      <c r="BI235" s="16">
        <f>IFERROR(__xludf.DUMMYFUNCTION("""COMPUTED_VALUE"""),-4.0)</f>
        <v>-4</v>
      </c>
      <c r="BJ235" s="16">
        <f>IFERROR(__xludf.DUMMYFUNCTION("""COMPUTED_VALUE"""),2.0)</f>
        <v>2</v>
      </c>
      <c r="BK235" s="16">
        <f>IFERROR(__xludf.DUMMYFUNCTION("""COMPUTED_VALUE"""),5.0)</f>
        <v>5</v>
      </c>
      <c r="BL235" s="16">
        <f>IFERROR(__xludf.DUMMYFUNCTION("""COMPUTED_VALUE"""),5.0)</f>
        <v>5</v>
      </c>
      <c r="BM235" s="16">
        <f>IFERROR(__xludf.DUMMYFUNCTION("""COMPUTED_VALUE"""),0.0)</f>
        <v>0</v>
      </c>
      <c r="BN235" s="16">
        <f>IFERROR(__xludf.DUMMYFUNCTION("""COMPUTED_VALUE"""),0.0)</f>
        <v>0</v>
      </c>
      <c r="BO235" s="16">
        <f>IFERROR(__xludf.DUMMYFUNCTION("""COMPUTED_VALUE"""),0.0)</f>
        <v>0</v>
      </c>
      <c r="BP235" s="16">
        <f>IFERROR(__xludf.DUMMYFUNCTION("""COMPUTED_VALUE"""),0.0)</f>
        <v>0</v>
      </c>
      <c r="BQ235" s="16">
        <f>IFERROR(__xludf.DUMMYFUNCTION("""COMPUTED_VALUE"""),9.0)</f>
        <v>9</v>
      </c>
      <c r="BR235" s="16">
        <f>IFERROR(__xludf.DUMMYFUNCTION("""COMPUTED_VALUE"""),9.0)</f>
        <v>9</v>
      </c>
      <c r="BS235" s="16">
        <f>IFERROR(__xludf.DUMMYFUNCTION("""COMPUTED_VALUE"""),3.0)</f>
        <v>3</v>
      </c>
      <c r="BT235" s="16">
        <f>IFERROR(__xludf.DUMMYFUNCTION("""COMPUTED_VALUE"""),3.0)</f>
        <v>3</v>
      </c>
      <c r="BU235" s="16">
        <f>IFERROR(__xludf.DUMMYFUNCTION("""COMPUTED_VALUE"""),6.0)</f>
        <v>6</v>
      </c>
      <c r="BV235" s="16">
        <f>IFERROR(__xludf.DUMMYFUNCTION("""COMPUTED_VALUE"""),6.0)</f>
        <v>6</v>
      </c>
      <c r="BW235" s="16">
        <f>IFERROR(__xludf.DUMMYFUNCTION("""COMPUTED_VALUE"""),3.0)</f>
        <v>3</v>
      </c>
      <c r="BX235" s="16">
        <f>IFERROR(__xludf.DUMMYFUNCTION("""COMPUTED_VALUE"""),3.0)</f>
        <v>3</v>
      </c>
      <c r="BY235" s="16" t="str">
        <f>IFERROR(__xludf.DUMMYFUNCTION("""COMPUTED_VALUE"""),"R(1) C(6)")</f>
        <v>R(1) C(6)</v>
      </c>
      <c r="BZ235" s="16" t="str">
        <f>IFERROR(__xludf.DUMMYFUNCTION("""COMPUTED_VALUE"""),"R(1) C(6)")</f>
        <v>R(1) C(6)</v>
      </c>
      <c r="CA235" s="16" t="str">
        <f>IFERROR(__xludf.DUMMYFUNCTION("""COMPUTED_VALUE"""),"R(1)")</f>
        <v>R(1)</v>
      </c>
      <c r="CB235" s="16" t="str">
        <f>IFERROR(__xludf.DUMMYFUNCTION("""COMPUTED_VALUE"""),"C(6)")</f>
        <v>C(6)</v>
      </c>
      <c r="CC235" s="16"/>
      <c r="CD235" s="16"/>
      <c r="CE235" s="16">
        <f>IFERROR(__xludf.DUMMYFUNCTION("""COMPUTED_VALUE"""),1.0)</f>
        <v>1</v>
      </c>
      <c r="CF235" s="16">
        <f>IFERROR(__xludf.DUMMYFUNCTION("""COMPUTED_VALUE"""),6.0)</f>
        <v>6</v>
      </c>
      <c r="CG235" s="16" t="str">
        <f>IFERROR(__xludf.DUMMYFUNCTION("""COMPUTED_VALUE"""),"4-0")</f>
        <v>4-0</v>
      </c>
      <c r="CH235" s="16">
        <f>IFERROR(__xludf.DUMMYFUNCTION("""COMPUTED_VALUE"""),4.0)</f>
        <v>4</v>
      </c>
      <c r="CI235" s="16">
        <f>IFERROR(__xludf.DUMMYFUNCTION("""COMPUTED_VALUE"""),0.0)</f>
        <v>0</v>
      </c>
      <c r="CJ235" s="16">
        <f>IFERROR(__xludf.DUMMYFUNCTION("""COMPUTED_VALUE"""),0.0)</f>
        <v>0</v>
      </c>
      <c r="CK235" s="16">
        <f>IFERROR(__xludf.DUMMYFUNCTION("""COMPUTED_VALUE"""),6.0)</f>
        <v>6</v>
      </c>
      <c r="CL235" s="16" t="str">
        <f>IFERROR(__xludf.DUMMYFUNCTION("""COMPUTED_VALUE"""),"1WR-C")</f>
        <v>1WR-C</v>
      </c>
      <c r="CM235" s="16" t="str">
        <f>IFERROR(__xludf.DUMMYFUNCTION("""COMPUTED_VALUE"""),"E")</f>
        <v>E</v>
      </c>
      <c r="CN235" s="16">
        <f>IFERROR(__xludf.DUMMYFUNCTION("""COMPUTED_VALUE"""),10.0)</f>
        <v>10</v>
      </c>
      <c r="CO235" s="16" t="str">
        <f>IFERROR(__xludf.DUMMYFUNCTION("""COMPUTED_VALUE"""),"C")</f>
        <v>C</v>
      </c>
      <c r="CP235" s="16" t="str">
        <f>IFERROR(__xludf.DUMMYFUNCTION("""COMPUTED_VALUE"""),"1p50")</f>
        <v>1p50</v>
      </c>
      <c r="CQ235" s="16">
        <f>IFERROR(__xludf.DUMMYFUNCTION("""COMPUTED_VALUE"""),7.0)</f>
        <v>7</v>
      </c>
      <c r="CR235" s="16">
        <f>IFERROR(__xludf.DUMMYFUNCTION("""COMPUTED_VALUE"""),-3.0)</f>
        <v>-3</v>
      </c>
      <c r="CS235" s="16">
        <f>IFERROR(__xludf.DUMMYFUNCTION("""COMPUTED_VALUE"""),4.0)</f>
        <v>4</v>
      </c>
      <c r="CT235" s="16">
        <f>IFERROR(__xludf.DUMMYFUNCTION("""COMPUTED_VALUE"""),7.0)</f>
        <v>7</v>
      </c>
      <c r="CU235" s="16">
        <f>IFERROR(__xludf.DUMMYFUNCTION("""COMPUTED_VALUE"""),-3.0)</f>
        <v>-3</v>
      </c>
      <c r="CV235" s="179">
        <f>IFERROR(__xludf.DUMMYFUNCTION("""COMPUTED_VALUE"""),4.333333333333333)</f>
        <v>4.333333333</v>
      </c>
      <c r="CW235" s="179">
        <f>IFERROR(__xludf.DUMMYFUNCTION("""COMPUTED_VALUE"""),4.0)</f>
        <v>4</v>
      </c>
      <c r="CX235" s="179">
        <f>IFERROR(__xludf.DUMMYFUNCTION("""COMPUTED_VALUE"""),0.0)</f>
        <v>0</v>
      </c>
      <c r="CY235" s="16" t="str">
        <f>IFERROR(__xludf.DUMMYFUNCTION("""COMPUTED_VALUE"""),"RP")</f>
        <v>RP</v>
      </c>
      <c r="CZ235" s="16" t="str">
        <f>IFERROR(__xludf.DUMMYFUNCTION("""COMPUTED_VALUE"""),"CP")</f>
        <v>CP</v>
      </c>
      <c r="DA235" s="16"/>
      <c r="DB235" s="16"/>
      <c r="DC235" s="16"/>
      <c r="DD235" s="16"/>
      <c r="DE235" s="16"/>
      <c r="DF235" s="16"/>
      <c r="DG235" s="16"/>
      <c r="DH235" s="16"/>
      <c r="DI235" s="16"/>
      <c r="DJ235" s="16"/>
      <c r="DK235" s="16"/>
    </row>
    <row r="236">
      <c r="A236" s="16">
        <f>IFERROR(__xludf.DUMMYFUNCTION("""COMPUTED_VALUE"""),12492.0)</f>
        <v>12492</v>
      </c>
      <c r="B236" s="16" t="str">
        <f>IFERROR(__xludf.DUMMYFUNCTION("""COMPUTED_VALUE"""),"Aaron Bummer")</f>
        <v>Aaron Bummer</v>
      </c>
      <c r="C236" s="153">
        <f>IFERROR(__xludf.DUMMYFUNCTION("""COMPUTED_VALUE"""),0.31)</f>
        <v>0.31</v>
      </c>
      <c r="D236" s="16"/>
      <c r="E236" s="16" t="str">
        <f>IFERROR(__xludf.DUMMYFUNCTION("""COMPUTED_VALUE"""),"L")</f>
        <v>L</v>
      </c>
      <c r="F236" s="16">
        <f>IFERROR(__xludf.DUMMYFUNCTION("""COMPUTED_VALUE"""),55.0)</f>
        <v>55</v>
      </c>
      <c r="G236" s="16">
        <f>IFERROR(__xludf.DUMMYFUNCTION("""COMPUTED_VALUE"""),42.0)</f>
        <v>42</v>
      </c>
      <c r="H236" s="16">
        <f>IFERROR(__xludf.DUMMYFUNCTION("""COMPUTED_VALUE"""),36.0)</f>
        <v>36</v>
      </c>
      <c r="I236" s="16">
        <f>IFERROR(__xludf.DUMMYFUNCTION("""COMPUTED_VALUE"""),2.0)</f>
        <v>2</v>
      </c>
      <c r="J236" s="16">
        <f>IFERROR(__xludf.DUMMYFUNCTION("""COMPUTED_VALUE"""),1.0)</f>
        <v>1</v>
      </c>
      <c r="K236" s="16">
        <f>IFERROR(__xludf.DUMMYFUNCTION("""COMPUTED_VALUE"""),6.0)</f>
        <v>6</v>
      </c>
      <c r="L236" s="16">
        <f>IFERROR(__xludf.DUMMYFUNCTION("""COMPUTED_VALUE"""),3.0)</f>
        <v>3</v>
      </c>
      <c r="M236" s="16">
        <f>IFERROR(__xludf.DUMMYFUNCTION("""COMPUTED_VALUE"""),7.0)</f>
        <v>7</v>
      </c>
      <c r="N236" s="16">
        <f>IFERROR(__xludf.DUMMYFUNCTION("""COMPUTED_VALUE"""),6.0)</f>
        <v>6</v>
      </c>
      <c r="O236" s="16">
        <f>IFERROR(__xludf.DUMMYFUNCTION("""COMPUTED_VALUE"""),1.0)</f>
        <v>1</v>
      </c>
      <c r="P236" s="16">
        <f>IFERROR(__xludf.DUMMYFUNCTION("""COMPUTED_VALUE"""),1.0)</f>
        <v>1</v>
      </c>
      <c r="Q236" s="16">
        <f>IFERROR(__xludf.DUMMYFUNCTION("""COMPUTED_VALUE"""),1.0)</f>
        <v>1</v>
      </c>
      <c r="R236" s="16">
        <f>IFERROR(__xludf.DUMMYFUNCTION("""COMPUTED_VALUE"""),1.0)</f>
        <v>1</v>
      </c>
      <c r="S236" s="16">
        <f>IFERROR(__xludf.DUMMYFUNCTION("""COMPUTED_VALUE"""),22.9)</f>
        <v>22.9</v>
      </c>
      <c r="T236" s="16">
        <f>IFERROR(__xludf.DUMMYFUNCTION("""COMPUTED_VALUE"""),25.5)</f>
        <v>25.5</v>
      </c>
      <c r="U236" s="16">
        <f>IFERROR(__xludf.DUMMYFUNCTION("""COMPUTED_VALUE"""),-1.0)</f>
        <v>-1</v>
      </c>
      <c r="V236" s="16">
        <f>IFERROR(__xludf.DUMMYFUNCTION("""COMPUTED_VALUE"""),-2.0)</f>
        <v>-2</v>
      </c>
      <c r="W236" s="16">
        <f>IFERROR(__xludf.DUMMYFUNCTION("""COMPUTED_VALUE"""),-2.0)</f>
        <v>-2</v>
      </c>
      <c r="X236" s="16">
        <f>IFERROR(__xludf.DUMMYFUNCTION("""COMPUTED_VALUE"""),-4.0)</f>
        <v>-4</v>
      </c>
      <c r="Y236" s="16">
        <f>IFERROR(__xludf.DUMMYFUNCTION("""COMPUTED_VALUE"""),29.9)</f>
        <v>29.9</v>
      </c>
      <c r="Z236" s="16">
        <f>IFERROR(__xludf.DUMMYFUNCTION("""COMPUTED_VALUE"""),31.5)</f>
        <v>31.5</v>
      </c>
      <c r="AA236" s="16">
        <f>IFERROR(__xludf.DUMMYFUNCTION("""COMPUTED_VALUE"""),-1.0)</f>
        <v>-1</v>
      </c>
      <c r="AB236" s="16">
        <f>IFERROR(__xludf.DUMMYFUNCTION("""COMPUTED_VALUE"""),-1.0)</f>
        <v>-1</v>
      </c>
      <c r="AC236" s="16">
        <f>IFERROR(__xludf.DUMMYFUNCTION("""COMPUTED_VALUE"""),-5.0)</f>
        <v>-5</v>
      </c>
      <c r="AD236" s="16">
        <f>IFERROR(__xludf.DUMMYFUNCTION("""COMPUTED_VALUE"""),-5.0)</f>
        <v>-5</v>
      </c>
      <c r="AE236" s="16">
        <f>IFERROR(__xludf.DUMMYFUNCTION("""COMPUTED_VALUE"""),29.1)</f>
        <v>29.1</v>
      </c>
      <c r="AF236" s="16">
        <f>IFERROR(__xludf.DUMMYFUNCTION("""COMPUTED_VALUE"""),32.5)</f>
        <v>32.5</v>
      </c>
      <c r="AG236" s="16">
        <f>IFERROR(__xludf.DUMMYFUNCTION("""COMPUTED_VALUE"""),0.0)</f>
        <v>0</v>
      </c>
      <c r="AH236" s="16">
        <f>IFERROR(__xludf.DUMMYFUNCTION("""COMPUTED_VALUE"""),0.0)</f>
        <v>0</v>
      </c>
      <c r="AI236" s="16">
        <f>IFERROR(__xludf.DUMMYFUNCTION("""COMPUTED_VALUE"""),0.0)</f>
        <v>0</v>
      </c>
      <c r="AJ236" s="16">
        <f>IFERROR(__xludf.DUMMYFUNCTION("""COMPUTED_VALUE"""),0.0)</f>
        <v>0</v>
      </c>
      <c r="AK236" s="16">
        <f>IFERROR(__xludf.DUMMYFUNCTION("""COMPUTED_VALUE"""),22.9)</f>
        <v>22.9</v>
      </c>
      <c r="AL236" s="16">
        <f>IFERROR(__xludf.DUMMYFUNCTION("""COMPUTED_VALUE"""),25.5)</f>
        <v>25.5</v>
      </c>
      <c r="AM236" s="16">
        <f>IFERROR(__xludf.DUMMYFUNCTION("""COMPUTED_VALUE"""),-2.0)</f>
        <v>-2</v>
      </c>
      <c r="AN236" s="16">
        <f>IFERROR(__xludf.DUMMYFUNCTION("""COMPUTED_VALUE"""),-2.0)</f>
        <v>-2</v>
      </c>
      <c r="AO236" s="16">
        <f>IFERROR(__xludf.DUMMYFUNCTION("""COMPUTED_VALUE"""),-2.0)</f>
        <v>-2</v>
      </c>
      <c r="AP236" s="16">
        <f>IFERROR(__xludf.DUMMYFUNCTION("""COMPUTED_VALUE"""),-2.0)</f>
        <v>-2</v>
      </c>
      <c r="AQ236" s="16">
        <f>IFERROR(__xludf.DUMMYFUNCTION("""COMPUTED_VALUE"""),29.1)</f>
        <v>29.1</v>
      </c>
      <c r="AR236" s="16">
        <f>IFERROR(__xludf.DUMMYFUNCTION("""COMPUTED_VALUE"""),32.5)</f>
        <v>32.5</v>
      </c>
      <c r="AS236" s="16">
        <f>IFERROR(__xludf.DUMMYFUNCTION("""COMPUTED_VALUE"""),-1.0)</f>
        <v>-1</v>
      </c>
      <c r="AT236" s="16">
        <f>IFERROR(__xludf.DUMMYFUNCTION("""COMPUTED_VALUE"""),-2.0)</f>
        <v>-2</v>
      </c>
      <c r="AU236" s="16">
        <f>IFERROR(__xludf.DUMMYFUNCTION("""COMPUTED_VALUE"""),-2.0)</f>
        <v>-2</v>
      </c>
      <c r="AV236" s="16">
        <f>IFERROR(__xludf.DUMMYFUNCTION("""COMPUTED_VALUE"""),-4.0)</f>
        <v>-4</v>
      </c>
      <c r="AW236" s="16">
        <f>IFERROR(__xludf.DUMMYFUNCTION("""COMPUTED_VALUE"""),0.0)</f>
        <v>0</v>
      </c>
      <c r="AX236" s="16">
        <f>IFERROR(__xludf.DUMMYFUNCTION("""COMPUTED_VALUE"""),0.0)</f>
        <v>0</v>
      </c>
      <c r="AY236" s="16">
        <f>IFERROR(__xludf.DUMMYFUNCTION("""COMPUTED_VALUE"""),2.0)</f>
        <v>2</v>
      </c>
      <c r="AZ236" s="16">
        <f>IFERROR(__xludf.DUMMYFUNCTION("""COMPUTED_VALUE"""),2.0)</f>
        <v>2</v>
      </c>
      <c r="BA236" s="16">
        <f>IFERROR(__xludf.DUMMYFUNCTION("""COMPUTED_VALUE"""),10.0)</f>
        <v>10</v>
      </c>
      <c r="BB236" s="16">
        <f>IFERROR(__xludf.DUMMYFUNCTION("""COMPUTED_VALUE"""),10.0)</f>
        <v>10</v>
      </c>
      <c r="BC236" s="16">
        <f>IFERROR(__xludf.DUMMYFUNCTION("""COMPUTED_VALUE"""),0.0)</f>
        <v>0</v>
      </c>
      <c r="BD236" s="16">
        <f>IFERROR(__xludf.DUMMYFUNCTION("""COMPUTED_VALUE"""),0.0)</f>
        <v>0</v>
      </c>
      <c r="BE236" s="16">
        <f>IFERROR(__xludf.DUMMYFUNCTION("""COMPUTED_VALUE"""),0.0)</f>
        <v>0</v>
      </c>
      <c r="BF236" s="16">
        <f>IFERROR(__xludf.DUMMYFUNCTION("""COMPUTED_VALUE"""),0.0)</f>
        <v>0</v>
      </c>
      <c r="BG236" s="16">
        <f>IFERROR(__xludf.DUMMYFUNCTION("""COMPUTED_VALUE"""),3.0)</f>
        <v>3</v>
      </c>
      <c r="BH236" s="16">
        <f>IFERROR(__xludf.DUMMYFUNCTION("""COMPUTED_VALUE"""),2.0)</f>
        <v>2</v>
      </c>
      <c r="BI236" s="16">
        <f>IFERROR(__xludf.DUMMYFUNCTION("""COMPUTED_VALUE"""),6.0)</f>
        <v>6</v>
      </c>
      <c r="BJ236" s="16">
        <f>IFERROR(__xludf.DUMMYFUNCTION("""COMPUTED_VALUE"""),4.0)</f>
        <v>4</v>
      </c>
      <c r="BK236" s="16">
        <f>IFERROR(__xludf.DUMMYFUNCTION("""COMPUTED_VALUE"""),5.0)</f>
        <v>5</v>
      </c>
      <c r="BL236" s="16">
        <f>IFERROR(__xludf.DUMMYFUNCTION("""COMPUTED_VALUE"""),5.0)</f>
        <v>5</v>
      </c>
      <c r="BM236" s="16">
        <f>IFERROR(__xludf.DUMMYFUNCTION("""COMPUTED_VALUE"""),0.0)</f>
        <v>0</v>
      </c>
      <c r="BN236" s="16">
        <f>IFERROR(__xludf.DUMMYFUNCTION("""COMPUTED_VALUE"""),0.0)</f>
        <v>0</v>
      </c>
      <c r="BO236" s="16">
        <f>IFERROR(__xludf.DUMMYFUNCTION("""COMPUTED_VALUE"""),0.0)</f>
        <v>0</v>
      </c>
      <c r="BP236" s="16">
        <f>IFERROR(__xludf.DUMMYFUNCTION("""COMPUTED_VALUE"""),0.0)</f>
        <v>0</v>
      </c>
      <c r="BQ236" s="16">
        <f>IFERROR(__xludf.DUMMYFUNCTION("""COMPUTED_VALUE"""),0.0)</f>
        <v>0</v>
      </c>
      <c r="BR236" s="16">
        <f>IFERROR(__xludf.DUMMYFUNCTION("""COMPUTED_VALUE"""),0.0)</f>
        <v>0</v>
      </c>
      <c r="BS236" s="16">
        <f>IFERROR(__xludf.DUMMYFUNCTION("""COMPUTED_VALUE"""),-3.0)</f>
        <v>-3</v>
      </c>
      <c r="BT236" s="16">
        <f>IFERROR(__xludf.DUMMYFUNCTION("""COMPUTED_VALUE"""),-3.0)</f>
        <v>-3</v>
      </c>
      <c r="BU236" s="16">
        <f>IFERROR(__xludf.DUMMYFUNCTION("""COMPUTED_VALUE"""),-6.0)</f>
        <v>-6</v>
      </c>
      <c r="BV236" s="16">
        <f>IFERROR(__xludf.DUMMYFUNCTION("""COMPUTED_VALUE"""),-6.0)</f>
        <v>-6</v>
      </c>
      <c r="BW236" s="16">
        <f>IFERROR(__xludf.DUMMYFUNCTION("""COMPUTED_VALUE"""),8.0)</f>
        <v>8</v>
      </c>
      <c r="BX236" s="16">
        <f>IFERROR(__xludf.DUMMYFUNCTION("""COMPUTED_VALUE"""),8.0)</f>
        <v>8</v>
      </c>
      <c r="BY236" s="16" t="str">
        <f>IFERROR(__xludf.DUMMYFUNCTION("""COMPUTED_VALUE"""),"R(1)")</f>
        <v>R(1)</v>
      </c>
      <c r="BZ236" s="16" t="str">
        <f>IFERROR(__xludf.DUMMYFUNCTION("""COMPUTED_VALUE"""),"R(1)")</f>
        <v>R(1)</v>
      </c>
      <c r="CA236" s="16" t="str">
        <f>IFERROR(__xludf.DUMMYFUNCTION("""COMPUTED_VALUE"""),"R(1)")</f>
        <v>R(1)</v>
      </c>
      <c r="CB236" s="16"/>
      <c r="CC236" s="16"/>
      <c r="CD236" s="16"/>
      <c r="CE236" s="16">
        <f>IFERROR(__xludf.DUMMYFUNCTION("""COMPUTED_VALUE"""),1.0)</f>
        <v>1</v>
      </c>
      <c r="CF236" s="16"/>
      <c r="CG236" s="16" t="str">
        <f>IFERROR(__xludf.DUMMYFUNCTION("""COMPUTED_VALUE"""),"4-26")</f>
        <v>4-26</v>
      </c>
      <c r="CH236" s="16">
        <f>IFERROR(__xludf.DUMMYFUNCTION("""COMPUTED_VALUE"""),4.0)</f>
        <v>4</v>
      </c>
      <c r="CI236" s="16">
        <f>IFERROR(__xludf.DUMMYFUNCTION("""COMPUTED_VALUE"""),26.0)</f>
        <v>26</v>
      </c>
      <c r="CJ236" s="16">
        <f>IFERROR(__xludf.DUMMYFUNCTION("""COMPUTED_VALUE"""),0.0)</f>
        <v>0</v>
      </c>
      <c r="CK236" s="16">
        <f>IFERROR(__xludf.DUMMYFUNCTION("""COMPUTED_VALUE"""),7.0)</f>
        <v>7</v>
      </c>
      <c r="CL236" s="16" t="str">
        <f>IFERROR(__xludf.DUMMYFUNCTION("""COMPUTED_VALUE"""),"1WL-C")</f>
        <v>1WL-C</v>
      </c>
      <c r="CM236" s="16" t="str">
        <f>IFERROR(__xludf.DUMMYFUNCTION("""COMPUTED_VALUE"""),"E")</f>
        <v>E</v>
      </c>
      <c r="CN236" s="16">
        <f>IFERROR(__xludf.DUMMYFUNCTION("""COMPUTED_VALUE"""),10.0)</f>
        <v>10</v>
      </c>
      <c r="CO236" s="16" t="str">
        <f>IFERROR(__xludf.DUMMYFUNCTION("""COMPUTED_VALUE"""),"C")</f>
        <v>C</v>
      </c>
      <c r="CP236" s="16" t="str">
        <f>IFERROR(__xludf.DUMMYFUNCTION("""COMPUTED_VALUE"""),"1p50")</f>
        <v>1p50</v>
      </c>
      <c r="CQ236" s="16">
        <f>IFERROR(__xludf.DUMMYFUNCTION("""COMPUTED_VALUE"""),6.0)</f>
        <v>6</v>
      </c>
      <c r="CR236" s="16">
        <f>IFERROR(__xludf.DUMMYFUNCTION("""COMPUTED_VALUE"""),-3.0)</f>
        <v>-3</v>
      </c>
      <c r="CS236" s="16">
        <f>IFERROR(__xludf.DUMMYFUNCTION("""COMPUTED_VALUE"""),3.0)</f>
        <v>3</v>
      </c>
      <c r="CT236" s="16">
        <f>IFERROR(__xludf.DUMMYFUNCTION("""COMPUTED_VALUE"""),6.0)</f>
        <v>6</v>
      </c>
      <c r="CU236" s="16">
        <f>IFERROR(__xludf.DUMMYFUNCTION("""COMPUTED_VALUE"""),-3.0)</f>
        <v>-3</v>
      </c>
      <c r="CV236" s="179">
        <f>IFERROR(__xludf.DUMMYFUNCTION("""COMPUTED_VALUE"""),4.0)</f>
        <v>4</v>
      </c>
      <c r="CW236" s="179">
        <f>IFERROR(__xludf.DUMMYFUNCTION("""COMPUTED_VALUE"""),4.0)</f>
        <v>4</v>
      </c>
      <c r="CX236" s="179">
        <f>IFERROR(__xludf.DUMMYFUNCTION("""COMPUTED_VALUE"""),0.0)</f>
        <v>0</v>
      </c>
      <c r="CY236" s="16" t="str">
        <f>IFERROR(__xludf.DUMMYFUNCTION("""COMPUTED_VALUE"""),"RP")</f>
        <v>RP</v>
      </c>
      <c r="CZ236" s="16"/>
      <c r="DA236" s="16"/>
      <c r="DB236" s="16"/>
      <c r="DC236" s="16"/>
      <c r="DD236" s="16"/>
      <c r="DE236" s="16"/>
      <c r="DF236" s="16"/>
      <c r="DG236" s="16"/>
      <c r="DH236" s="16"/>
      <c r="DI236" s="16"/>
      <c r="DJ236" s="16"/>
      <c r="DK236" s="16"/>
    </row>
    <row r="237">
      <c r="A237" s="16">
        <f>IFERROR(__xludf.DUMMYFUNCTION("""COMPUTED_VALUE"""),13347.0)</f>
        <v>13347</v>
      </c>
      <c r="B237" s="16" t="str">
        <f>IFERROR(__xludf.DUMMYFUNCTION("""COMPUTED_VALUE"""),"Ryne Stanek")</f>
        <v>Ryne Stanek</v>
      </c>
      <c r="C237" s="153">
        <f>IFERROR(__xludf.DUMMYFUNCTION("""COMPUTED_VALUE"""),0.0)</f>
        <v>0</v>
      </c>
      <c r="D237" s="16"/>
      <c r="E237" s="16" t="str">
        <f>IFERROR(__xludf.DUMMYFUNCTION("""COMPUTED_VALUE"""),"R")</f>
        <v>R</v>
      </c>
      <c r="F237" s="16">
        <f>IFERROR(__xludf.DUMMYFUNCTION("""COMPUTED_VALUE"""),55.0)</f>
        <v>55</v>
      </c>
      <c r="G237" s="16">
        <f>IFERROR(__xludf.DUMMYFUNCTION("""COMPUTED_VALUE"""),35.0)</f>
        <v>35</v>
      </c>
      <c r="H237" s="16">
        <f>IFERROR(__xludf.DUMMYFUNCTION("""COMPUTED_VALUE"""),36.0)</f>
        <v>36</v>
      </c>
      <c r="I237" s="16">
        <f>IFERROR(__xludf.DUMMYFUNCTION("""COMPUTED_VALUE"""),1.0)</f>
        <v>1</v>
      </c>
      <c r="J237" s="16">
        <f>IFERROR(__xludf.DUMMYFUNCTION("""COMPUTED_VALUE"""),1.0)</f>
        <v>1</v>
      </c>
      <c r="K237" s="16">
        <f>IFERROR(__xludf.DUMMYFUNCTION("""COMPUTED_VALUE"""),3.0)</f>
        <v>3</v>
      </c>
      <c r="L237" s="16">
        <f>IFERROR(__xludf.DUMMYFUNCTION("""COMPUTED_VALUE"""),3.0)</f>
        <v>3</v>
      </c>
      <c r="M237" s="16">
        <f>IFERROR(__xludf.DUMMYFUNCTION("""COMPUTED_VALUE"""),14.0)</f>
        <v>14</v>
      </c>
      <c r="N237" s="16">
        <f>IFERROR(__xludf.DUMMYFUNCTION("""COMPUTED_VALUE"""),12.0)</f>
        <v>12</v>
      </c>
      <c r="O237" s="16">
        <f>IFERROR(__xludf.DUMMYFUNCTION("""COMPUTED_VALUE"""),-2.0)</f>
        <v>-2</v>
      </c>
      <c r="P237" s="16">
        <f>IFERROR(__xludf.DUMMYFUNCTION("""COMPUTED_VALUE"""),-2.0)</f>
        <v>-2</v>
      </c>
      <c r="Q237" s="16">
        <f>IFERROR(__xludf.DUMMYFUNCTION("""COMPUTED_VALUE"""),-2.0)</f>
        <v>-2</v>
      </c>
      <c r="R237" s="16">
        <f>IFERROR(__xludf.DUMMYFUNCTION("""COMPUTED_VALUE"""),-2.0)</f>
        <v>-2</v>
      </c>
      <c r="S237" s="16">
        <f>IFERROR(__xludf.DUMMYFUNCTION("""COMPUTED_VALUE"""),13.8)</f>
        <v>13.8</v>
      </c>
      <c r="T237" s="16">
        <f>IFERROR(__xludf.DUMMYFUNCTION("""COMPUTED_VALUE"""),10.9)</f>
        <v>10.9</v>
      </c>
      <c r="U237" s="16">
        <f>IFERROR(__xludf.DUMMYFUNCTION("""COMPUTED_VALUE"""),0.0)</f>
        <v>0</v>
      </c>
      <c r="V237" s="16">
        <f>IFERROR(__xludf.DUMMYFUNCTION("""COMPUTED_VALUE"""),1.0)</f>
        <v>1</v>
      </c>
      <c r="W237" s="16">
        <f>IFERROR(__xludf.DUMMYFUNCTION("""COMPUTED_VALUE"""),0.0)</f>
        <v>0</v>
      </c>
      <c r="X237" s="16">
        <f>IFERROR(__xludf.DUMMYFUNCTION("""COMPUTED_VALUE"""),2.0)</f>
        <v>2</v>
      </c>
      <c r="Y237" s="16">
        <f>IFERROR(__xludf.DUMMYFUNCTION("""COMPUTED_VALUE"""),27.8)</f>
        <v>27.8</v>
      </c>
      <c r="Z237" s="16">
        <f>IFERROR(__xludf.DUMMYFUNCTION("""COMPUTED_VALUE"""),22.9)</f>
        <v>22.9</v>
      </c>
      <c r="AA237" s="16">
        <f>IFERROR(__xludf.DUMMYFUNCTION("""COMPUTED_VALUE"""),0.0)</f>
        <v>0</v>
      </c>
      <c r="AB237" s="16">
        <f>IFERROR(__xludf.DUMMYFUNCTION("""COMPUTED_VALUE"""),0.0)</f>
        <v>0</v>
      </c>
      <c r="AC237" s="16">
        <f>IFERROR(__xludf.DUMMYFUNCTION("""COMPUTED_VALUE"""),0.0)</f>
        <v>0</v>
      </c>
      <c r="AD237" s="16">
        <f>IFERROR(__xludf.DUMMYFUNCTION("""COMPUTED_VALUE"""),0.0)</f>
        <v>0</v>
      </c>
      <c r="AE237" s="16">
        <f>IFERROR(__xludf.DUMMYFUNCTION("""COMPUTED_VALUE"""),21.6)</f>
        <v>21.6</v>
      </c>
      <c r="AF237" s="16">
        <f>IFERROR(__xludf.DUMMYFUNCTION("""COMPUTED_VALUE"""),25.6)</f>
        <v>25.6</v>
      </c>
      <c r="AG237" s="16">
        <f>IFERROR(__xludf.DUMMYFUNCTION("""COMPUTED_VALUE"""),1.0)</f>
        <v>1</v>
      </c>
      <c r="AH237" s="16">
        <f>IFERROR(__xludf.DUMMYFUNCTION("""COMPUTED_VALUE"""),0.0)</f>
        <v>0</v>
      </c>
      <c r="AI237" s="16">
        <f>IFERROR(__xludf.DUMMYFUNCTION("""COMPUTED_VALUE"""),2.0)</f>
        <v>2</v>
      </c>
      <c r="AJ237" s="16">
        <f>IFERROR(__xludf.DUMMYFUNCTION("""COMPUTED_VALUE"""),0.0)</f>
        <v>0</v>
      </c>
      <c r="AK237" s="16">
        <f>IFERROR(__xludf.DUMMYFUNCTION("""COMPUTED_VALUE"""),12.200000000000001)</f>
        <v>12.2</v>
      </c>
      <c r="AL237" s="16">
        <f>IFERROR(__xludf.DUMMYFUNCTION("""COMPUTED_VALUE"""),7.7)</f>
        <v>7.7</v>
      </c>
      <c r="AM237" s="16">
        <f>IFERROR(__xludf.DUMMYFUNCTION("""COMPUTED_VALUE"""),0.0)</f>
        <v>0</v>
      </c>
      <c r="AN237" s="16">
        <f>IFERROR(__xludf.DUMMYFUNCTION("""COMPUTED_VALUE"""),1.0)</f>
        <v>1</v>
      </c>
      <c r="AO237" s="16">
        <f>IFERROR(__xludf.DUMMYFUNCTION("""COMPUTED_VALUE"""),0.0)</f>
        <v>0</v>
      </c>
      <c r="AP237" s="16">
        <f>IFERROR(__xludf.DUMMYFUNCTION("""COMPUTED_VALUE"""),1.0)</f>
        <v>1</v>
      </c>
      <c r="AQ237" s="16">
        <f>IFERROR(__xludf.DUMMYFUNCTION("""COMPUTED_VALUE"""),15.200000000000001)</f>
        <v>15.2</v>
      </c>
      <c r="AR237" s="16">
        <f>IFERROR(__xludf.DUMMYFUNCTION("""COMPUTED_VALUE"""),12.8)</f>
        <v>12.8</v>
      </c>
      <c r="AS237" s="16">
        <f>IFERROR(__xludf.DUMMYFUNCTION("""COMPUTED_VALUE"""),1.0)</f>
        <v>1</v>
      </c>
      <c r="AT237" s="16">
        <f>IFERROR(__xludf.DUMMYFUNCTION("""COMPUTED_VALUE"""),1.0)</f>
        <v>1</v>
      </c>
      <c r="AU237" s="16">
        <f>IFERROR(__xludf.DUMMYFUNCTION("""COMPUTED_VALUE"""),2.0)</f>
        <v>2</v>
      </c>
      <c r="AV237" s="16">
        <f>IFERROR(__xludf.DUMMYFUNCTION("""COMPUTED_VALUE"""),2.0)</f>
        <v>2</v>
      </c>
      <c r="AW237" s="16">
        <f>IFERROR(__xludf.DUMMYFUNCTION("""COMPUTED_VALUE"""),1.6)</f>
        <v>1.6</v>
      </c>
      <c r="AX237" s="16">
        <f>IFERROR(__xludf.DUMMYFUNCTION("""COMPUTED_VALUE"""),3.2)</f>
        <v>3.2</v>
      </c>
      <c r="AY237" s="16">
        <f>IFERROR(__xludf.DUMMYFUNCTION("""COMPUTED_VALUE"""),1.0)</f>
        <v>1</v>
      </c>
      <c r="AZ237" s="16">
        <f>IFERROR(__xludf.DUMMYFUNCTION("""COMPUTED_VALUE"""),-1.0)</f>
        <v>-1</v>
      </c>
      <c r="BA237" s="16">
        <f>IFERROR(__xludf.DUMMYFUNCTION("""COMPUTED_VALUE"""),5.0)</f>
        <v>5</v>
      </c>
      <c r="BB237" s="16">
        <f>IFERROR(__xludf.DUMMYFUNCTION("""COMPUTED_VALUE"""),-5.0)</f>
        <v>-5</v>
      </c>
      <c r="BC237" s="16">
        <f>IFERROR(__xludf.DUMMYFUNCTION("""COMPUTED_VALUE"""),2.0)</f>
        <v>2</v>
      </c>
      <c r="BD237" s="16">
        <f>IFERROR(__xludf.DUMMYFUNCTION("""COMPUTED_VALUE"""),5.0)</f>
        <v>5</v>
      </c>
      <c r="BE237" s="16">
        <f>IFERROR(__xludf.DUMMYFUNCTION("""COMPUTED_VALUE"""),2.0)</f>
        <v>2</v>
      </c>
      <c r="BF237" s="16">
        <f>IFERROR(__xludf.DUMMYFUNCTION("""COMPUTED_VALUE"""),5.0)</f>
        <v>5</v>
      </c>
      <c r="BG237" s="16">
        <f>IFERROR(__xludf.DUMMYFUNCTION("""COMPUTED_VALUE"""),1.0)</f>
        <v>1</v>
      </c>
      <c r="BH237" s="16">
        <f>IFERROR(__xludf.DUMMYFUNCTION("""COMPUTED_VALUE"""),-2.0)</f>
        <v>-2</v>
      </c>
      <c r="BI237" s="16">
        <f>IFERROR(__xludf.DUMMYFUNCTION("""COMPUTED_VALUE"""),2.0)</f>
        <v>2</v>
      </c>
      <c r="BJ237" s="16">
        <f>IFERROR(__xludf.DUMMYFUNCTION("""COMPUTED_VALUE"""),-4.0)</f>
        <v>-4</v>
      </c>
      <c r="BK237" s="16">
        <f>IFERROR(__xludf.DUMMYFUNCTION("""COMPUTED_VALUE"""),5.0)</f>
        <v>5</v>
      </c>
      <c r="BL237" s="16">
        <f>IFERROR(__xludf.DUMMYFUNCTION("""COMPUTED_VALUE"""),5.0)</f>
        <v>5</v>
      </c>
      <c r="BM237" s="16">
        <f>IFERROR(__xludf.DUMMYFUNCTION("""COMPUTED_VALUE"""),0.0)</f>
        <v>0</v>
      </c>
      <c r="BN237" s="16">
        <f>IFERROR(__xludf.DUMMYFUNCTION("""COMPUTED_VALUE"""),0.0)</f>
        <v>0</v>
      </c>
      <c r="BO237" s="16">
        <f>IFERROR(__xludf.DUMMYFUNCTION("""COMPUTED_VALUE"""),0.0)</f>
        <v>0</v>
      </c>
      <c r="BP237" s="16">
        <f>IFERROR(__xludf.DUMMYFUNCTION("""COMPUTED_VALUE"""),0.0)</f>
        <v>0</v>
      </c>
      <c r="BQ237" s="16">
        <f>IFERROR(__xludf.DUMMYFUNCTION("""COMPUTED_VALUE"""),3.0)</f>
        <v>3</v>
      </c>
      <c r="BR237" s="16">
        <f>IFERROR(__xludf.DUMMYFUNCTION("""COMPUTED_VALUE"""),4.0)</f>
        <v>4</v>
      </c>
      <c r="BS237" s="16">
        <f>IFERROR(__xludf.DUMMYFUNCTION("""COMPUTED_VALUE"""),-1.0)</f>
        <v>-1</v>
      </c>
      <c r="BT237" s="16">
        <f>IFERROR(__xludf.DUMMYFUNCTION("""COMPUTED_VALUE"""),-1.0)</f>
        <v>-1</v>
      </c>
      <c r="BU237" s="16">
        <f>IFERROR(__xludf.DUMMYFUNCTION("""COMPUTED_VALUE"""),-2.0)</f>
        <v>-2</v>
      </c>
      <c r="BV237" s="16">
        <f>IFERROR(__xludf.DUMMYFUNCTION("""COMPUTED_VALUE"""),-2.0)</f>
        <v>-2</v>
      </c>
      <c r="BW237" s="16">
        <f>IFERROR(__xludf.DUMMYFUNCTION("""COMPUTED_VALUE"""),-2.0)</f>
        <v>-2</v>
      </c>
      <c r="BX237" s="16">
        <f>IFERROR(__xludf.DUMMYFUNCTION("""COMPUTED_VALUE"""),-2.0)</f>
        <v>-2</v>
      </c>
      <c r="BY237" s="16" t="str">
        <f>IFERROR(__xludf.DUMMYFUNCTION("""COMPUTED_VALUE"""),"R(1) C(3)")</f>
        <v>R(1) C(3)</v>
      </c>
      <c r="BZ237" s="16" t="str">
        <f>IFERROR(__xludf.DUMMYFUNCTION("""COMPUTED_VALUE"""),"R(1) C(3)")</f>
        <v>R(1) C(3)</v>
      </c>
      <c r="CA237" s="16" t="str">
        <f>IFERROR(__xludf.DUMMYFUNCTION("""COMPUTED_VALUE"""),"R(1)")</f>
        <v>R(1)</v>
      </c>
      <c r="CB237" s="16" t="str">
        <f>IFERROR(__xludf.DUMMYFUNCTION("""COMPUTED_VALUE"""),"C(3)")</f>
        <v>C(3)</v>
      </c>
      <c r="CC237" s="16"/>
      <c r="CD237" s="16"/>
      <c r="CE237" s="16">
        <f>IFERROR(__xludf.DUMMYFUNCTION("""COMPUTED_VALUE"""),1.0)</f>
        <v>1</v>
      </c>
      <c r="CF237" s="16">
        <f>IFERROR(__xludf.DUMMYFUNCTION("""COMPUTED_VALUE"""),3.0)</f>
        <v>3</v>
      </c>
      <c r="CG237" s="16" t="str">
        <f>IFERROR(__xludf.DUMMYFUNCTION("""COMPUTED_VALUE"""),"3-0")</f>
        <v>3-0</v>
      </c>
      <c r="CH237" s="16">
        <f>IFERROR(__xludf.DUMMYFUNCTION("""COMPUTED_VALUE"""),3.0)</f>
        <v>3</v>
      </c>
      <c r="CI237" s="16">
        <f>IFERROR(__xludf.DUMMYFUNCTION("""COMPUTED_VALUE"""),0.0)</f>
        <v>0</v>
      </c>
      <c r="CJ237" s="16">
        <f>IFERROR(__xludf.DUMMYFUNCTION("""COMPUTED_VALUE"""),0.0)</f>
        <v>0</v>
      </c>
      <c r="CK237" s="16">
        <f>IFERROR(__xludf.DUMMYFUNCTION("""COMPUTED_VALUE"""),11.0)</f>
        <v>11</v>
      </c>
      <c r="CL237" s="16" t="str">
        <f>IFERROR(__xludf.DUMMYFUNCTION("""COMPUTED_VALUE"""),"1WR-C")</f>
        <v>1WR-C</v>
      </c>
      <c r="CM237" s="16" t="str">
        <f>IFERROR(__xludf.DUMMYFUNCTION("""COMPUTED_VALUE"""),"E")</f>
        <v>E</v>
      </c>
      <c r="CN237" s="16">
        <f>IFERROR(__xludf.DUMMYFUNCTION("""COMPUTED_VALUE"""),10.0)</f>
        <v>10</v>
      </c>
      <c r="CO237" s="16" t="str">
        <f>IFERROR(__xludf.DUMMYFUNCTION("""COMPUTED_VALUE"""),"C")</f>
        <v>C</v>
      </c>
      <c r="CP237" s="16" t="str">
        <f>IFERROR(__xludf.DUMMYFUNCTION("""COMPUTED_VALUE"""),"1p50")</f>
        <v>1p50</v>
      </c>
      <c r="CQ237" s="16">
        <f>IFERROR(__xludf.DUMMYFUNCTION("""COMPUTED_VALUE"""),10.0)</f>
        <v>10</v>
      </c>
      <c r="CR237" s="16">
        <f>IFERROR(__xludf.DUMMYFUNCTION("""COMPUTED_VALUE"""),-5.0)</f>
        <v>-5</v>
      </c>
      <c r="CS237" s="16">
        <f>IFERROR(__xludf.DUMMYFUNCTION("""COMPUTED_VALUE"""),5.0)</f>
        <v>5</v>
      </c>
      <c r="CT237" s="16">
        <f>IFERROR(__xludf.DUMMYFUNCTION("""COMPUTED_VALUE"""),10.0)</f>
        <v>10</v>
      </c>
      <c r="CU237" s="16">
        <f>IFERROR(__xludf.DUMMYFUNCTION("""COMPUTED_VALUE"""),-5.0)</f>
        <v>-5</v>
      </c>
      <c r="CV237" s="179">
        <f>IFERROR(__xludf.DUMMYFUNCTION("""COMPUTED_VALUE"""),4.0)</f>
        <v>4</v>
      </c>
      <c r="CW237" s="179">
        <f>IFERROR(__xludf.DUMMYFUNCTION("""COMPUTED_VALUE"""),4.0)</f>
        <v>4</v>
      </c>
      <c r="CX237" s="179">
        <f>IFERROR(__xludf.DUMMYFUNCTION("""COMPUTED_VALUE"""),0.0)</f>
        <v>0</v>
      </c>
      <c r="CY237" s="16" t="str">
        <f>IFERROR(__xludf.DUMMYFUNCTION("""COMPUTED_VALUE"""),"RP")</f>
        <v>RP</v>
      </c>
      <c r="CZ237" s="16" t="str">
        <f>IFERROR(__xludf.DUMMYFUNCTION("""COMPUTED_VALUE"""),"CP")</f>
        <v>CP</v>
      </c>
      <c r="DA237" s="16"/>
      <c r="DB237" s="16"/>
      <c r="DC237" s="16"/>
      <c r="DD237" s="16"/>
      <c r="DE237" s="16"/>
      <c r="DF237" s="16"/>
      <c r="DG237" s="16"/>
      <c r="DH237" s="16"/>
      <c r="DI237" s="16"/>
      <c r="DJ237" s="16"/>
      <c r="DK237" s="16"/>
    </row>
    <row r="238">
      <c r="A238" s="16">
        <f>IFERROR(__xludf.DUMMYFUNCTION("""COMPUTED_VALUE"""),13221.0)</f>
        <v>13221</v>
      </c>
      <c r="B238" s="16" t="str">
        <f>IFERROR(__xludf.DUMMYFUNCTION("""COMPUTED_VALUE"""),"Mitch Spence")</f>
        <v>Mitch Spence</v>
      </c>
      <c r="C238" s="153">
        <f>IFERROR(__xludf.DUMMYFUNCTION("""COMPUTED_VALUE"""),0.47)</f>
        <v>0.47</v>
      </c>
      <c r="D238" s="16"/>
      <c r="E238" s="16" t="str">
        <f>IFERROR(__xludf.DUMMYFUNCTION("""COMPUTED_VALUE"""),"R")</f>
        <v>R</v>
      </c>
      <c r="F238" s="16">
        <f>IFERROR(__xludf.DUMMYFUNCTION("""COMPUTED_VALUE"""),151.0)</f>
        <v>151</v>
      </c>
      <c r="G238" s="16">
        <f>IFERROR(__xludf.DUMMYFUNCTION("""COMPUTED_VALUE"""),28.0)</f>
        <v>28</v>
      </c>
      <c r="H238" s="16">
        <f>IFERROR(__xludf.DUMMYFUNCTION("""COMPUTED_VALUE"""),9.0)</f>
        <v>9</v>
      </c>
      <c r="I238" s="16">
        <f>IFERROR(__xludf.DUMMYFUNCTION("""COMPUTED_VALUE"""),0.0)</f>
        <v>0</v>
      </c>
      <c r="J238" s="16">
        <f>IFERROR(__xludf.DUMMYFUNCTION("""COMPUTED_VALUE"""),-2.0)</f>
        <v>-2</v>
      </c>
      <c r="K238" s="16">
        <f>IFERROR(__xludf.DUMMYFUNCTION("""COMPUTED_VALUE"""),0.0)</f>
        <v>0</v>
      </c>
      <c r="L238" s="16">
        <f>IFERROR(__xludf.DUMMYFUNCTION("""COMPUTED_VALUE"""),-6.0)</f>
        <v>-6</v>
      </c>
      <c r="M238" s="16">
        <f>IFERROR(__xludf.DUMMYFUNCTION("""COMPUTED_VALUE"""),1.0)</f>
        <v>1</v>
      </c>
      <c r="N238" s="16">
        <f>IFERROR(__xludf.DUMMYFUNCTION("""COMPUTED_VALUE"""),10.0)</f>
        <v>10</v>
      </c>
      <c r="O238" s="16">
        <f>IFERROR(__xludf.DUMMYFUNCTION("""COMPUTED_VALUE"""),3.0)</f>
        <v>3</v>
      </c>
      <c r="P238" s="16">
        <f>IFERROR(__xludf.DUMMYFUNCTION("""COMPUTED_VALUE"""),-1.0)</f>
        <v>-1</v>
      </c>
      <c r="Q238" s="16">
        <f>IFERROR(__xludf.DUMMYFUNCTION("""COMPUTED_VALUE"""),3.0)</f>
        <v>3</v>
      </c>
      <c r="R238" s="16">
        <f>IFERROR(__xludf.DUMMYFUNCTION("""COMPUTED_VALUE"""),-1.0)</f>
        <v>-1</v>
      </c>
      <c r="S238" s="16">
        <f>IFERROR(__xludf.DUMMYFUNCTION("""COMPUTED_VALUE"""),22.6)</f>
        <v>22.6</v>
      </c>
      <c r="T238" s="16">
        <f>IFERROR(__xludf.DUMMYFUNCTION("""COMPUTED_VALUE"""),17.3)</f>
        <v>17.3</v>
      </c>
      <c r="U238" s="16">
        <f>IFERROR(__xludf.DUMMYFUNCTION("""COMPUTED_VALUE"""),-1.0)</f>
        <v>-1</v>
      </c>
      <c r="V238" s="16">
        <f>IFERROR(__xludf.DUMMYFUNCTION("""COMPUTED_VALUE"""),0.0)</f>
        <v>0</v>
      </c>
      <c r="W238" s="16">
        <f>IFERROR(__xludf.DUMMYFUNCTION("""COMPUTED_VALUE"""),-2.0)</f>
        <v>-2</v>
      </c>
      <c r="X238" s="16">
        <f>IFERROR(__xludf.DUMMYFUNCTION("""COMPUTED_VALUE"""),0.0)</f>
        <v>0</v>
      </c>
      <c r="Y238" s="16">
        <f>IFERROR(__xludf.DUMMYFUNCTION("""COMPUTED_VALUE"""),23.6)</f>
        <v>23.6</v>
      </c>
      <c r="Z238" s="16">
        <f>IFERROR(__xludf.DUMMYFUNCTION("""COMPUTED_VALUE"""),27.3)</f>
        <v>27.3</v>
      </c>
      <c r="AA238" s="16">
        <f>IFERROR(__xludf.DUMMYFUNCTION("""COMPUTED_VALUE"""),0.0)</f>
        <v>0</v>
      </c>
      <c r="AB238" s="16">
        <f>IFERROR(__xludf.DUMMYFUNCTION("""COMPUTED_VALUE"""),0.0)</f>
        <v>0</v>
      </c>
      <c r="AC238" s="16">
        <f>IFERROR(__xludf.DUMMYFUNCTION("""COMPUTED_VALUE"""),0.0)</f>
        <v>0</v>
      </c>
      <c r="AD238" s="16">
        <f>IFERROR(__xludf.DUMMYFUNCTION("""COMPUTED_VALUE"""),0.0)</f>
        <v>0</v>
      </c>
      <c r="AE238" s="16">
        <f>IFERROR(__xludf.DUMMYFUNCTION("""COMPUTED_VALUE"""),42.4)</f>
        <v>42.4</v>
      </c>
      <c r="AF238" s="16">
        <f>IFERROR(__xludf.DUMMYFUNCTION("""COMPUTED_VALUE"""),28.7)</f>
        <v>28.7</v>
      </c>
      <c r="AG238" s="16">
        <f>IFERROR(__xludf.DUMMYFUNCTION("""COMPUTED_VALUE"""),-1.0)</f>
        <v>-1</v>
      </c>
      <c r="AH238" s="16">
        <f>IFERROR(__xludf.DUMMYFUNCTION("""COMPUTED_VALUE"""),0.0)</f>
        <v>0</v>
      </c>
      <c r="AI238" s="16">
        <f>IFERROR(__xludf.DUMMYFUNCTION("""COMPUTED_VALUE"""),-2.0)</f>
        <v>-2</v>
      </c>
      <c r="AJ238" s="16">
        <f>IFERROR(__xludf.DUMMYFUNCTION("""COMPUTED_VALUE"""),0.0)</f>
        <v>0</v>
      </c>
      <c r="AK238" s="16">
        <f>IFERROR(__xludf.DUMMYFUNCTION("""COMPUTED_VALUE"""),20.400000000000002)</f>
        <v>20.4</v>
      </c>
      <c r="AL238" s="16">
        <f>IFERROR(__xludf.DUMMYFUNCTION("""COMPUTED_VALUE"""),15.5)</f>
        <v>15.5</v>
      </c>
      <c r="AM238" s="16">
        <f>IFERROR(__xludf.DUMMYFUNCTION("""COMPUTED_VALUE"""),-1.0)</f>
        <v>-1</v>
      </c>
      <c r="AN238" s="16">
        <f>IFERROR(__xludf.DUMMYFUNCTION("""COMPUTED_VALUE"""),0.0)</f>
        <v>0</v>
      </c>
      <c r="AO238" s="16">
        <f>IFERROR(__xludf.DUMMYFUNCTION("""COMPUTED_VALUE"""),-1.0)</f>
        <v>-1</v>
      </c>
      <c r="AP238" s="16">
        <f>IFERROR(__xludf.DUMMYFUNCTION("""COMPUTED_VALUE"""),0.0)</f>
        <v>0</v>
      </c>
      <c r="AQ238" s="16">
        <f>IFERROR(__xludf.DUMMYFUNCTION("""COMPUTED_VALUE"""),33.599999999999994)</f>
        <v>33.6</v>
      </c>
      <c r="AR238" s="16">
        <f>IFERROR(__xludf.DUMMYFUNCTION("""COMPUTED_VALUE"""),21.5)</f>
        <v>21.5</v>
      </c>
      <c r="AS238" s="16">
        <f>IFERROR(__xludf.DUMMYFUNCTION("""COMPUTED_VALUE"""),-2.0)</f>
        <v>-2</v>
      </c>
      <c r="AT238" s="16">
        <f>IFERROR(__xludf.DUMMYFUNCTION("""COMPUTED_VALUE"""),0.0)</f>
        <v>0</v>
      </c>
      <c r="AU238" s="16">
        <f>IFERROR(__xludf.DUMMYFUNCTION("""COMPUTED_VALUE"""),-4.0)</f>
        <v>-4</v>
      </c>
      <c r="AV238" s="16">
        <f>IFERROR(__xludf.DUMMYFUNCTION("""COMPUTED_VALUE"""),0.0)</f>
        <v>0</v>
      </c>
      <c r="AW238" s="16">
        <f>IFERROR(__xludf.DUMMYFUNCTION("""COMPUTED_VALUE"""),2.2)</f>
        <v>2.2</v>
      </c>
      <c r="AX238" s="16">
        <f>IFERROR(__xludf.DUMMYFUNCTION("""COMPUTED_VALUE"""),1.8)</f>
        <v>1.8</v>
      </c>
      <c r="AY238" s="16">
        <f>IFERROR(__xludf.DUMMYFUNCTION("""COMPUTED_VALUE"""),0.0)</f>
        <v>0</v>
      </c>
      <c r="AZ238" s="16">
        <f>IFERROR(__xludf.DUMMYFUNCTION("""COMPUTED_VALUE"""),0.0)</f>
        <v>0</v>
      </c>
      <c r="BA238" s="16">
        <f>IFERROR(__xludf.DUMMYFUNCTION("""COMPUTED_VALUE"""),0.0)</f>
        <v>0</v>
      </c>
      <c r="BB238" s="16">
        <f>IFERROR(__xludf.DUMMYFUNCTION("""COMPUTED_VALUE"""),0.0)</f>
        <v>0</v>
      </c>
      <c r="BC238" s="16">
        <f>IFERROR(__xludf.DUMMYFUNCTION("""COMPUTED_VALUE"""),5.0)</f>
        <v>5</v>
      </c>
      <c r="BD238" s="16">
        <f>IFERROR(__xludf.DUMMYFUNCTION("""COMPUTED_VALUE"""),3.0)</f>
        <v>3</v>
      </c>
      <c r="BE238" s="16">
        <f>IFERROR(__xludf.DUMMYFUNCTION("""COMPUTED_VALUE"""),5.0)</f>
        <v>5</v>
      </c>
      <c r="BF238" s="16">
        <f>IFERROR(__xludf.DUMMYFUNCTION("""COMPUTED_VALUE"""),3.0)</f>
        <v>3</v>
      </c>
      <c r="BG238" s="16">
        <f>IFERROR(__xludf.DUMMYFUNCTION("""COMPUTED_VALUE"""),-2.0)</f>
        <v>-2</v>
      </c>
      <c r="BH238" s="16">
        <f>IFERROR(__xludf.DUMMYFUNCTION("""COMPUTED_VALUE"""),0.0)</f>
        <v>0</v>
      </c>
      <c r="BI238" s="16">
        <f>IFERROR(__xludf.DUMMYFUNCTION("""COMPUTED_VALUE"""),-4.0)</f>
        <v>-4</v>
      </c>
      <c r="BJ238" s="16">
        <f>IFERROR(__xludf.DUMMYFUNCTION("""COMPUTED_VALUE"""),0.0)</f>
        <v>0</v>
      </c>
      <c r="BK238" s="16">
        <f>IFERROR(__xludf.DUMMYFUNCTION("""COMPUTED_VALUE"""),5.0)</f>
        <v>5</v>
      </c>
      <c r="BL238" s="16">
        <f>IFERROR(__xludf.DUMMYFUNCTION("""COMPUTED_VALUE"""),5.0)</f>
        <v>5</v>
      </c>
      <c r="BM238" s="16">
        <f>IFERROR(__xludf.DUMMYFUNCTION("""COMPUTED_VALUE"""),0.0)</f>
        <v>0</v>
      </c>
      <c r="BN238" s="16">
        <f>IFERROR(__xludf.DUMMYFUNCTION("""COMPUTED_VALUE"""),0.0)</f>
        <v>0</v>
      </c>
      <c r="BO238" s="16">
        <f>IFERROR(__xludf.DUMMYFUNCTION("""COMPUTED_VALUE"""),0.0)</f>
        <v>0</v>
      </c>
      <c r="BP238" s="16">
        <f>IFERROR(__xludf.DUMMYFUNCTION("""COMPUTED_VALUE"""),0.0)</f>
        <v>0</v>
      </c>
      <c r="BQ238" s="16">
        <f>IFERROR(__xludf.DUMMYFUNCTION("""COMPUTED_VALUE"""),9.0)</f>
        <v>9</v>
      </c>
      <c r="BR238" s="16">
        <f>IFERROR(__xludf.DUMMYFUNCTION("""COMPUTED_VALUE"""),10.0)</f>
        <v>10</v>
      </c>
      <c r="BS238" s="16">
        <f>IFERROR(__xludf.DUMMYFUNCTION("""COMPUTED_VALUE"""),3.0)</f>
        <v>3</v>
      </c>
      <c r="BT238" s="16">
        <f>IFERROR(__xludf.DUMMYFUNCTION("""COMPUTED_VALUE"""),3.0)</f>
        <v>3</v>
      </c>
      <c r="BU238" s="16">
        <f>IFERROR(__xludf.DUMMYFUNCTION("""COMPUTED_VALUE"""),6.0)</f>
        <v>6</v>
      </c>
      <c r="BV238" s="16">
        <f>IFERROR(__xludf.DUMMYFUNCTION("""COMPUTED_VALUE"""),6.0)</f>
        <v>6</v>
      </c>
      <c r="BW238" s="16">
        <f>IFERROR(__xludf.DUMMYFUNCTION("""COMPUTED_VALUE"""),2.0)</f>
        <v>2</v>
      </c>
      <c r="BX238" s="16">
        <f>IFERROR(__xludf.DUMMYFUNCTION("""COMPUTED_VALUE"""),2.0)</f>
        <v>2</v>
      </c>
      <c r="BY238" s="16" t="str">
        <f>IFERROR(__xludf.DUMMYFUNCTION("""COMPUTED_VALUE"""),"S(5) R(3)")</f>
        <v>S(5) R(3)</v>
      </c>
      <c r="BZ238" s="16" t="str">
        <f>IFERROR(__xludf.DUMMYFUNCTION("""COMPUTED_VALUE"""),"S(5) R(3)")</f>
        <v>S(5) R(3)</v>
      </c>
      <c r="CA238" s="16" t="str">
        <f>IFERROR(__xludf.DUMMYFUNCTION("""COMPUTED_VALUE"""),"S(5)")</f>
        <v>S(5)</v>
      </c>
      <c r="CB238" s="16" t="str">
        <f>IFERROR(__xludf.DUMMYFUNCTION("""COMPUTED_VALUE"""),"R(3)")</f>
        <v>R(3)</v>
      </c>
      <c r="CC238" s="16"/>
      <c r="CD238" s="16">
        <f>IFERROR(__xludf.DUMMYFUNCTION("""COMPUTED_VALUE"""),5.0)</f>
        <v>5</v>
      </c>
      <c r="CE238" s="16">
        <f>IFERROR(__xludf.DUMMYFUNCTION("""COMPUTED_VALUE"""),3.0)</f>
        <v>3</v>
      </c>
      <c r="CF238" s="16"/>
      <c r="CG238" s="16" t="str">
        <f>IFERROR(__xludf.DUMMYFUNCTION("""COMPUTED_VALUE"""),"3-10")</f>
        <v>3-10</v>
      </c>
      <c r="CH238" s="16">
        <f>IFERROR(__xludf.DUMMYFUNCTION("""COMPUTED_VALUE"""),3.0)</f>
        <v>3</v>
      </c>
      <c r="CI238" s="16">
        <f>IFERROR(__xludf.DUMMYFUNCTION("""COMPUTED_VALUE"""),10.0)</f>
        <v>10</v>
      </c>
      <c r="CJ238" s="16">
        <f>IFERROR(__xludf.DUMMYFUNCTION("""COMPUTED_VALUE"""),2.0)</f>
        <v>2</v>
      </c>
      <c r="CK238" s="16">
        <f>IFERROR(__xludf.DUMMYFUNCTION("""COMPUTED_VALUE"""),11.0)</f>
        <v>11</v>
      </c>
      <c r="CL238" s="16" t="str">
        <f>IFERROR(__xludf.DUMMYFUNCTION("""COMPUTED_VALUE"""),"1WR-C")</f>
        <v>1WR-C</v>
      </c>
      <c r="CM238" s="16" t="str">
        <f>IFERROR(__xludf.DUMMYFUNCTION("""COMPUTED_VALUE"""),"E")</f>
        <v>E</v>
      </c>
      <c r="CN238" s="16">
        <f>IFERROR(__xludf.DUMMYFUNCTION("""COMPUTED_VALUE"""),10.0)</f>
        <v>10</v>
      </c>
      <c r="CO238" s="16" t="str">
        <f>IFERROR(__xludf.DUMMYFUNCTION("""COMPUTED_VALUE"""),"C")</f>
        <v>C</v>
      </c>
      <c r="CP238" s="16" t="str">
        <f>IFERROR(__xludf.DUMMYFUNCTION("""COMPUTED_VALUE"""),"1p70")</f>
        <v>1p70</v>
      </c>
      <c r="CQ238" s="16">
        <f>IFERROR(__xludf.DUMMYFUNCTION("""COMPUTED_VALUE"""),-4.0)</f>
        <v>-4</v>
      </c>
      <c r="CR238" s="16">
        <f>IFERROR(__xludf.DUMMYFUNCTION("""COMPUTED_VALUE"""),-1.0)</f>
        <v>-1</v>
      </c>
      <c r="CS238" s="16">
        <f>IFERROR(__xludf.DUMMYFUNCTION("""COMPUTED_VALUE"""),-5.0)</f>
        <v>-5</v>
      </c>
      <c r="CT238" s="16">
        <f>IFERROR(__xludf.DUMMYFUNCTION("""COMPUTED_VALUE"""),-4.0)</f>
        <v>-4</v>
      </c>
      <c r="CU238" s="16">
        <f>IFERROR(__xludf.DUMMYFUNCTION("""COMPUTED_VALUE"""),-1.0)</f>
        <v>-1</v>
      </c>
      <c r="CV238" s="179">
        <f>IFERROR(__xludf.DUMMYFUNCTION("""COMPUTED_VALUE"""),4.0)</f>
        <v>4</v>
      </c>
      <c r="CW238" s="179">
        <f>IFERROR(__xludf.DUMMYFUNCTION("""COMPUTED_VALUE"""),4.0)</f>
        <v>4</v>
      </c>
      <c r="CX238" s="179">
        <f>IFERROR(__xludf.DUMMYFUNCTION("""COMPUTED_VALUE"""),3.0)</f>
        <v>3</v>
      </c>
      <c r="CY238" s="16" t="str">
        <f>IFERROR(__xludf.DUMMYFUNCTION("""COMPUTED_VALUE"""),"SP")</f>
        <v>SP</v>
      </c>
      <c r="CZ238" s="16" t="str">
        <f>IFERROR(__xludf.DUMMYFUNCTION("""COMPUTED_VALUE"""),"RP")</f>
        <v>RP</v>
      </c>
      <c r="DA238" s="16"/>
      <c r="DB238" s="16"/>
      <c r="DC238" s="16"/>
      <c r="DD238" s="16"/>
      <c r="DE238" s="16"/>
      <c r="DF238" s="16"/>
      <c r="DG238" s="16"/>
      <c r="DH238" s="16"/>
      <c r="DI238" s="16"/>
      <c r="DJ238" s="16"/>
      <c r="DK238" s="16"/>
    </row>
    <row r="239">
      <c r="A239" s="16">
        <f>IFERROR(__xludf.DUMMYFUNCTION("""COMPUTED_VALUE"""),13220.0)</f>
        <v>13220</v>
      </c>
      <c r="B239" s="16" t="str">
        <f>IFERROR(__xludf.DUMMYFUNCTION("""COMPUTED_VALUE"""),"Mitch Keller")</f>
        <v>Mitch Keller</v>
      </c>
      <c r="C239" s="153">
        <f>IFERROR(__xludf.DUMMYFUNCTION("""COMPUTED_VALUE"""),0.61)</f>
        <v>0.61</v>
      </c>
      <c r="D239" s="16"/>
      <c r="E239" s="16" t="str">
        <f>IFERROR(__xludf.DUMMYFUNCTION("""COMPUTED_VALUE"""),"R")</f>
        <v>R</v>
      </c>
      <c r="F239" s="16">
        <f>IFERROR(__xludf.DUMMYFUNCTION("""COMPUTED_VALUE"""),178.0)</f>
        <v>178</v>
      </c>
      <c r="G239" s="16">
        <f>IFERROR(__xludf.DUMMYFUNCTION("""COMPUTED_VALUE"""),28.0)</f>
        <v>28</v>
      </c>
      <c r="H239" s="16">
        <f>IFERROR(__xludf.DUMMYFUNCTION("""COMPUTED_VALUE"""),17.0)</f>
        <v>17</v>
      </c>
      <c r="I239" s="16">
        <f>IFERROR(__xludf.DUMMYFUNCTION("""COMPUTED_VALUE"""),0.0)</f>
        <v>0</v>
      </c>
      <c r="J239" s="16">
        <f>IFERROR(__xludf.DUMMYFUNCTION("""COMPUTED_VALUE"""),-1.0)</f>
        <v>-1</v>
      </c>
      <c r="K239" s="16">
        <f>IFERROR(__xludf.DUMMYFUNCTION("""COMPUTED_VALUE"""),0.0)</f>
        <v>0</v>
      </c>
      <c r="L239" s="16">
        <f>IFERROR(__xludf.DUMMYFUNCTION("""COMPUTED_VALUE"""),-3.0)</f>
        <v>-3</v>
      </c>
      <c r="M239" s="16">
        <f>IFERROR(__xludf.DUMMYFUNCTION("""COMPUTED_VALUE"""),3.0)</f>
        <v>3</v>
      </c>
      <c r="N239" s="16">
        <f>IFERROR(__xludf.DUMMYFUNCTION("""COMPUTED_VALUE"""),9.0)</f>
        <v>9</v>
      </c>
      <c r="O239" s="16">
        <f>IFERROR(__xludf.DUMMYFUNCTION("""COMPUTED_VALUE"""),2.0)</f>
        <v>2</v>
      </c>
      <c r="P239" s="16">
        <f>IFERROR(__xludf.DUMMYFUNCTION("""COMPUTED_VALUE"""),0.0)</f>
        <v>0</v>
      </c>
      <c r="Q239" s="16">
        <f>IFERROR(__xludf.DUMMYFUNCTION("""COMPUTED_VALUE"""),2.0)</f>
        <v>2</v>
      </c>
      <c r="R239" s="16">
        <f>IFERROR(__xludf.DUMMYFUNCTION("""COMPUTED_VALUE"""),0.0)</f>
        <v>0</v>
      </c>
      <c r="S239" s="16">
        <f>IFERROR(__xludf.DUMMYFUNCTION("""COMPUTED_VALUE"""),18.0)</f>
        <v>18</v>
      </c>
      <c r="T239" s="16">
        <f>IFERROR(__xludf.DUMMYFUNCTION("""COMPUTED_VALUE"""),16.2)</f>
        <v>16.2</v>
      </c>
      <c r="U239" s="16">
        <f>IFERROR(__xludf.DUMMYFUNCTION("""COMPUTED_VALUE"""),0.0)</f>
        <v>0</v>
      </c>
      <c r="V239" s="16">
        <f>IFERROR(__xludf.DUMMYFUNCTION("""COMPUTED_VALUE"""),0.0)</f>
        <v>0</v>
      </c>
      <c r="W239" s="16">
        <f>IFERROR(__xludf.DUMMYFUNCTION("""COMPUTED_VALUE"""),0.0)</f>
        <v>0</v>
      </c>
      <c r="X239" s="16">
        <f>IFERROR(__xludf.DUMMYFUNCTION("""COMPUTED_VALUE"""),0.0)</f>
        <v>0</v>
      </c>
      <c r="Y239" s="16">
        <f>IFERROR(__xludf.DUMMYFUNCTION("""COMPUTED_VALUE"""),21.0)</f>
        <v>21</v>
      </c>
      <c r="Z239" s="16">
        <f>IFERROR(__xludf.DUMMYFUNCTION("""COMPUTED_VALUE"""),25.2)</f>
        <v>25.2</v>
      </c>
      <c r="AA239" s="16">
        <f>IFERROR(__xludf.DUMMYFUNCTION("""COMPUTED_VALUE"""),1.0)</f>
        <v>1</v>
      </c>
      <c r="AB239" s="16">
        <f>IFERROR(__xludf.DUMMYFUNCTION("""COMPUTED_VALUE"""),0.0)</f>
        <v>0</v>
      </c>
      <c r="AC239" s="16">
        <f>IFERROR(__xludf.DUMMYFUNCTION("""COMPUTED_VALUE"""),5.0)</f>
        <v>5</v>
      </c>
      <c r="AD239" s="16">
        <f>IFERROR(__xludf.DUMMYFUNCTION("""COMPUTED_VALUE"""),0.0)</f>
        <v>0</v>
      </c>
      <c r="AE239" s="16">
        <f>IFERROR(__xludf.DUMMYFUNCTION("""COMPUTED_VALUE"""),37.1)</f>
        <v>37.1</v>
      </c>
      <c r="AF239" s="16">
        <f>IFERROR(__xludf.DUMMYFUNCTION("""COMPUTED_VALUE"""),25.2)</f>
        <v>25.2</v>
      </c>
      <c r="AG239" s="16">
        <f>IFERROR(__xludf.DUMMYFUNCTION("""COMPUTED_VALUE"""),-1.0)</f>
        <v>-1</v>
      </c>
      <c r="AH239" s="16">
        <f>IFERROR(__xludf.DUMMYFUNCTION("""COMPUTED_VALUE"""),0.0)</f>
        <v>0</v>
      </c>
      <c r="AI239" s="16">
        <f>IFERROR(__xludf.DUMMYFUNCTION("""COMPUTED_VALUE"""),-2.0)</f>
        <v>-2</v>
      </c>
      <c r="AJ239" s="16">
        <f>IFERROR(__xludf.DUMMYFUNCTION("""COMPUTED_VALUE"""),0.0)</f>
        <v>0</v>
      </c>
      <c r="AK239" s="16">
        <f>IFERROR(__xludf.DUMMYFUNCTION("""COMPUTED_VALUE"""),15.2)</f>
        <v>15.2</v>
      </c>
      <c r="AL239" s="16">
        <f>IFERROR(__xludf.DUMMYFUNCTION("""COMPUTED_VALUE"""),15.799999999999999)</f>
        <v>15.8</v>
      </c>
      <c r="AM239" s="16">
        <f>IFERROR(__xludf.DUMMYFUNCTION("""COMPUTED_VALUE"""),0.0)</f>
        <v>0</v>
      </c>
      <c r="AN239" s="16">
        <f>IFERROR(__xludf.DUMMYFUNCTION("""COMPUTED_VALUE"""),0.0)</f>
        <v>0</v>
      </c>
      <c r="AO239" s="16">
        <f>IFERROR(__xludf.DUMMYFUNCTION("""COMPUTED_VALUE"""),0.0)</f>
        <v>0</v>
      </c>
      <c r="AP239" s="16">
        <f>IFERROR(__xludf.DUMMYFUNCTION("""COMPUTED_VALUE"""),0.0)</f>
        <v>0</v>
      </c>
      <c r="AQ239" s="16">
        <f>IFERROR(__xludf.DUMMYFUNCTION("""COMPUTED_VALUE"""),25.900000000000002)</f>
        <v>25.9</v>
      </c>
      <c r="AR239" s="16">
        <f>IFERROR(__xludf.DUMMYFUNCTION("""COMPUTED_VALUE"""),23.599999999999998)</f>
        <v>23.6</v>
      </c>
      <c r="AS239" s="16">
        <f>IFERROR(__xludf.DUMMYFUNCTION("""COMPUTED_VALUE"""),-1.0)</f>
        <v>-1</v>
      </c>
      <c r="AT239" s="16">
        <f>IFERROR(__xludf.DUMMYFUNCTION("""COMPUTED_VALUE"""),-1.0)</f>
        <v>-1</v>
      </c>
      <c r="AU239" s="16">
        <f>IFERROR(__xludf.DUMMYFUNCTION("""COMPUTED_VALUE"""),-2.0)</f>
        <v>-2</v>
      </c>
      <c r="AV239" s="16">
        <f>IFERROR(__xludf.DUMMYFUNCTION("""COMPUTED_VALUE"""),-2.0)</f>
        <v>-2</v>
      </c>
      <c r="AW239" s="16">
        <f>IFERROR(__xludf.DUMMYFUNCTION("""COMPUTED_VALUE"""),2.8)</f>
        <v>2.8</v>
      </c>
      <c r="AX239" s="16">
        <f>IFERROR(__xludf.DUMMYFUNCTION("""COMPUTED_VALUE"""),0.4)</f>
        <v>0.4</v>
      </c>
      <c r="AY239" s="16">
        <f>IFERROR(__xludf.DUMMYFUNCTION("""COMPUTED_VALUE"""),-1.0)</f>
        <v>-1</v>
      </c>
      <c r="AZ239" s="16">
        <f>IFERROR(__xludf.DUMMYFUNCTION("""COMPUTED_VALUE"""),2.0)</f>
        <v>2</v>
      </c>
      <c r="BA239" s="16">
        <f>IFERROR(__xludf.DUMMYFUNCTION("""COMPUTED_VALUE"""),-5.0)</f>
        <v>-5</v>
      </c>
      <c r="BB239" s="16">
        <f>IFERROR(__xludf.DUMMYFUNCTION("""COMPUTED_VALUE"""),10.0)</f>
        <v>10</v>
      </c>
      <c r="BC239" s="16">
        <f>IFERROR(__xludf.DUMMYFUNCTION("""COMPUTED_VALUE"""),5.0)</f>
        <v>5</v>
      </c>
      <c r="BD239" s="16">
        <f>IFERROR(__xludf.DUMMYFUNCTION("""COMPUTED_VALUE"""),1.0)</f>
        <v>1</v>
      </c>
      <c r="BE239" s="16">
        <f>IFERROR(__xludf.DUMMYFUNCTION("""COMPUTED_VALUE"""),5.0)</f>
        <v>5</v>
      </c>
      <c r="BF239" s="16">
        <f>IFERROR(__xludf.DUMMYFUNCTION("""COMPUTED_VALUE"""),1.0)</f>
        <v>1</v>
      </c>
      <c r="BG239" s="16">
        <f>IFERROR(__xludf.DUMMYFUNCTION("""COMPUTED_VALUE"""),-2.0)</f>
        <v>-2</v>
      </c>
      <c r="BH239" s="16">
        <f>IFERROR(__xludf.DUMMYFUNCTION("""COMPUTED_VALUE"""),2.0)</f>
        <v>2</v>
      </c>
      <c r="BI239" s="16">
        <f>IFERROR(__xludf.DUMMYFUNCTION("""COMPUTED_VALUE"""),-4.0)</f>
        <v>-4</v>
      </c>
      <c r="BJ239" s="16">
        <f>IFERROR(__xludf.DUMMYFUNCTION("""COMPUTED_VALUE"""),4.0)</f>
        <v>4</v>
      </c>
      <c r="BK239" s="16">
        <f>IFERROR(__xludf.DUMMYFUNCTION("""COMPUTED_VALUE"""),5.0)</f>
        <v>5</v>
      </c>
      <c r="BL239" s="16">
        <f>IFERROR(__xludf.DUMMYFUNCTION("""COMPUTED_VALUE"""),5.0)</f>
        <v>5</v>
      </c>
      <c r="BM239" s="16">
        <f>IFERROR(__xludf.DUMMYFUNCTION("""COMPUTED_VALUE"""),0.0)</f>
        <v>0</v>
      </c>
      <c r="BN239" s="16">
        <f>IFERROR(__xludf.DUMMYFUNCTION("""COMPUTED_VALUE"""),0.0)</f>
        <v>0</v>
      </c>
      <c r="BO239" s="16">
        <f>IFERROR(__xludf.DUMMYFUNCTION("""COMPUTED_VALUE"""),0.0)</f>
        <v>0</v>
      </c>
      <c r="BP239" s="16">
        <f>IFERROR(__xludf.DUMMYFUNCTION("""COMPUTED_VALUE"""),0.0)</f>
        <v>0</v>
      </c>
      <c r="BQ239" s="16">
        <f>IFERROR(__xludf.DUMMYFUNCTION("""COMPUTED_VALUE"""),4.0)</f>
        <v>4</v>
      </c>
      <c r="BR239" s="16">
        <f>IFERROR(__xludf.DUMMYFUNCTION("""COMPUTED_VALUE"""),4.0)</f>
        <v>4</v>
      </c>
      <c r="BS239" s="16">
        <f>IFERROR(__xludf.DUMMYFUNCTION("""COMPUTED_VALUE"""),-1.0)</f>
        <v>-1</v>
      </c>
      <c r="BT239" s="16">
        <f>IFERROR(__xludf.DUMMYFUNCTION("""COMPUTED_VALUE"""),-1.0)</f>
        <v>-1</v>
      </c>
      <c r="BU239" s="16">
        <f>IFERROR(__xludf.DUMMYFUNCTION("""COMPUTED_VALUE"""),-2.0)</f>
        <v>-2</v>
      </c>
      <c r="BV239" s="16">
        <f>IFERROR(__xludf.DUMMYFUNCTION("""COMPUTED_VALUE"""),-2.0)</f>
        <v>-2</v>
      </c>
      <c r="BW239" s="16">
        <f>IFERROR(__xludf.DUMMYFUNCTION("""COMPUTED_VALUE"""),6.0)</f>
        <v>6</v>
      </c>
      <c r="BX239" s="16">
        <f>IFERROR(__xludf.DUMMYFUNCTION("""COMPUTED_VALUE"""),6.0)</f>
        <v>6</v>
      </c>
      <c r="BY239" s="16" t="str">
        <f>IFERROR(__xludf.DUMMYFUNCTION("""COMPUTED_VALUE"""),"S(6)")</f>
        <v>S(6)</v>
      </c>
      <c r="BZ239" s="16" t="str">
        <f>IFERROR(__xludf.DUMMYFUNCTION("""COMPUTED_VALUE"""),"S(6)")</f>
        <v>S(6)</v>
      </c>
      <c r="CA239" s="16" t="str">
        <f>IFERROR(__xludf.DUMMYFUNCTION("""COMPUTED_VALUE"""),"S(6)")</f>
        <v>S(6)</v>
      </c>
      <c r="CB239" s="16"/>
      <c r="CC239" s="16"/>
      <c r="CD239" s="16">
        <f>IFERROR(__xludf.DUMMYFUNCTION("""COMPUTED_VALUE"""),6.0)</f>
        <v>6</v>
      </c>
      <c r="CE239" s="16"/>
      <c r="CF239" s="16"/>
      <c r="CG239" s="16" t="str">
        <f>IFERROR(__xludf.DUMMYFUNCTION("""COMPUTED_VALUE"""),"4-0")</f>
        <v>4-0</v>
      </c>
      <c r="CH239" s="16">
        <f>IFERROR(__xludf.DUMMYFUNCTION("""COMPUTED_VALUE"""),4.0)</f>
        <v>4</v>
      </c>
      <c r="CI239" s="16">
        <f>IFERROR(__xludf.DUMMYFUNCTION("""COMPUTED_VALUE"""),0.0)</f>
        <v>0</v>
      </c>
      <c r="CJ239" s="16">
        <f>IFERROR(__xludf.DUMMYFUNCTION("""COMPUTED_VALUE"""),3.0)</f>
        <v>3</v>
      </c>
      <c r="CK239" s="16">
        <f>IFERROR(__xludf.DUMMYFUNCTION("""COMPUTED_VALUE"""),0.0)</f>
        <v>0</v>
      </c>
      <c r="CL239" s="16" t="str">
        <f>IFERROR(__xludf.DUMMYFUNCTION("""COMPUTED_VALUE"""),"1WR-C")</f>
        <v>1WR-C</v>
      </c>
      <c r="CM239" s="16" t="str">
        <f>IFERROR(__xludf.DUMMYFUNCTION("""COMPUTED_VALUE"""),"E")</f>
        <v>E</v>
      </c>
      <c r="CN239" s="16">
        <f>IFERROR(__xludf.DUMMYFUNCTION("""COMPUTED_VALUE"""),10.0)</f>
        <v>10</v>
      </c>
      <c r="CO239" s="16" t="str">
        <f>IFERROR(__xludf.DUMMYFUNCTION("""COMPUTED_VALUE"""),"C")</f>
        <v>C</v>
      </c>
      <c r="CP239" s="16" t="str">
        <f>IFERROR(__xludf.DUMMYFUNCTION("""COMPUTED_VALUE"""),"1p70")</f>
        <v>1p70</v>
      </c>
      <c r="CQ239" s="16">
        <f>IFERROR(__xludf.DUMMYFUNCTION("""COMPUTED_VALUE"""),-8.0)</f>
        <v>-8</v>
      </c>
      <c r="CR239" s="16">
        <f>IFERROR(__xludf.DUMMYFUNCTION("""COMPUTED_VALUE"""),7.0)</f>
        <v>7</v>
      </c>
      <c r="CS239" s="16">
        <f>IFERROR(__xludf.DUMMYFUNCTION("""COMPUTED_VALUE"""),-1.0)</f>
        <v>-1</v>
      </c>
      <c r="CT239" s="16">
        <f>IFERROR(__xludf.DUMMYFUNCTION("""COMPUTED_VALUE"""),-8.0)</f>
        <v>-8</v>
      </c>
      <c r="CU239" s="16">
        <f>IFERROR(__xludf.DUMMYFUNCTION("""COMPUTED_VALUE"""),7.0)</f>
        <v>7</v>
      </c>
      <c r="CV239" s="179">
        <f>IFERROR(__xludf.DUMMYFUNCTION("""COMPUTED_VALUE"""),4.0)</f>
        <v>4</v>
      </c>
      <c r="CW239" s="179">
        <f>IFERROR(__xludf.DUMMYFUNCTION("""COMPUTED_VALUE"""),4.0)</f>
        <v>4</v>
      </c>
      <c r="CX239" s="179">
        <f>IFERROR(__xludf.DUMMYFUNCTION("""COMPUTED_VALUE"""),3.0)</f>
        <v>3</v>
      </c>
      <c r="CY239" s="16" t="str">
        <f>IFERROR(__xludf.DUMMYFUNCTION("""COMPUTED_VALUE"""),"SP")</f>
        <v>SP</v>
      </c>
      <c r="CZ239" s="16"/>
      <c r="DA239" s="16"/>
      <c r="DB239" s="16"/>
      <c r="DC239" s="16"/>
      <c r="DD239" s="16"/>
      <c r="DE239" s="16"/>
      <c r="DF239" s="16"/>
      <c r="DG239" s="16"/>
      <c r="DH239" s="16"/>
      <c r="DI239" s="16"/>
      <c r="DJ239" s="16"/>
      <c r="DK239" s="16"/>
    </row>
    <row r="240">
      <c r="A240" s="16">
        <f>IFERROR(__xludf.DUMMYFUNCTION("""COMPUTED_VALUE"""),13501.0)</f>
        <v>13501</v>
      </c>
      <c r="B240" s="16" t="str">
        <f>IFERROR(__xludf.DUMMYFUNCTION("""COMPUTED_VALUE"""),"Yennier Cano")</f>
        <v>Yennier Cano</v>
      </c>
      <c r="C240" s="153">
        <f>IFERROR(__xludf.DUMMYFUNCTION("""COMPUTED_VALUE"""),0.38)</f>
        <v>0.38</v>
      </c>
      <c r="D240" s="16"/>
      <c r="E240" s="16" t="str">
        <f>IFERROR(__xludf.DUMMYFUNCTION("""COMPUTED_VALUE"""),"R")</f>
        <v>R</v>
      </c>
      <c r="F240" s="16">
        <f>IFERROR(__xludf.DUMMYFUNCTION("""COMPUTED_VALUE"""),60.0)</f>
        <v>60</v>
      </c>
      <c r="G240" s="16">
        <f>IFERROR(__xludf.DUMMYFUNCTION("""COMPUTED_VALUE"""),8.0)</f>
        <v>8</v>
      </c>
      <c r="H240" s="16">
        <f>IFERROR(__xludf.DUMMYFUNCTION("""COMPUTED_VALUE"""),41.0)</f>
        <v>41</v>
      </c>
      <c r="I240" s="16">
        <f>IFERROR(__xludf.DUMMYFUNCTION("""COMPUTED_VALUE"""),-2.0)</f>
        <v>-2</v>
      </c>
      <c r="J240" s="16">
        <f>IFERROR(__xludf.DUMMYFUNCTION("""COMPUTED_VALUE"""),2.0)</f>
        <v>2</v>
      </c>
      <c r="K240" s="16">
        <f>IFERROR(__xludf.DUMMYFUNCTION("""COMPUTED_VALUE"""),-6.0)</f>
        <v>-6</v>
      </c>
      <c r="L240" s="16">
        <f>IFERROR(__xludf.DUMMYFUNCTION("""COMPUTED_VALUE"""),6.0)</f>
        <v>6</v>
      </c>
      <c r="M240" s="16">
        <f>IFERROR(__xludf.DUMMYFUNCTION("""COMPUTED_VALUE"""),6.0)</f>
        <v>6</v>
      </c>
      <c r="N240" s="16">
        <f>IFERROR(__xludf.DUMMYFUNCTION("""COMPUTED_VALUE"""),15.0)</f>
        <v>15</v>
      </c>
      <c r="O240" s="16">
        <f>IFERROR(__xludf.DUMMYFUNCTION("""COMPUTED_VALUE"""),1.0)</f>
        <v>1</v>
      </c>
      <c r="P240" s="16">
        <f>IFERROR(__xludf.DUMMYFUNCTION("""COMPUTED_VALUE"""),-3.0)</f>
        <v>-3</v>
      </c>
      <c r="Q240" s="16">
        <f>IFERROR(__xludf.DUMMYFUNCTION("""COMPUTED_VALUE"""),1.0)</f>
        <v>1</v>
      </c>
      <c r="R240" s="16">
        <f>IFERROR(__xludf.DUMMYFUNCTION("""COMPUTED_VALUE"""),-3.0)</f>
        <v>-3</v>
      </c>
      <c r="S240" s="16">
        <f>IFERROR(__xludf.DUMMYFUNCTION("""COMPUTED_VALUE"""),25.3)</f>
        <v>25.3</v>
      </c>
      <c r="T240" s="16">
        <f>IFERROR(__xludf.DUMMYFUNCTION("""COMPUTED_VALUE"""),11.5)</f>
        <v>11.5</v>
      </c>
      <c r="U240" s="16">
        <f>IFERROR(__xludf.DUMMYFUNCTION("""COMPUTED_VALUE"""),-2.0)</f>
        <v>-2</v>
      </c>
      <c r="V240" s="16">
        <f>IFERROR(__xludf.DUMMYFUNCTION("""COMPUTED_VALUE"""),1.0)</f>
        <v>1</v>
      </c>
      <c r="W240" s="16">
        <f>IFERROR(__xludf.DUMMYFUNCTION("""COMPUTED_VALUE"""),-4.0)</f>
        <v>-4</v>
      </c>
      <c r="X240" s="16">
        <f>IFERROR(__xludf.DUMMYFUNCTION("""COMPUTED_VALUE"""),2.0)</f>
        <v>2</v>
      </c>
      <c r="Y240" s="16">
        <f>IFERROR(__xludf.DUMMYFUNCTION("""COMPUTED_VALUE"""),31.3)</f>
        <v>31.3</v>
      </c>
      <c r="Z240" s="16">
        <f>IFERROR(__xludf.DUMMYFUNCTION("""COMPUTED_VALUE"""),26.5)</f>
        <v>26.5</v>
      </c>
      <c r="AA240" s="16">
        <f>IFERROR(__xludf.DUMMYFUNCTION("""COMPUTED_VALUE"""),-1.0)</f>
        <v>-1</v>
      </c>
      <c r="AB240" s="16">
        <f>IFERROR(__xludf.DUMMYFUNCTION("""COMPUTED_VALUE"""),0.0)</f>
        <v>0</v>
      </c>
      <c r="AC240" s="16">
        <f>IFERROR(__xludf.DUMMYFUNCTION("""COMPUTED_VALUE"""),-5.0)</f>
        <v>-5</v>
      </c>
      <c r="AD240" s="16">
        <f>IFERROR(__xludf.DUMMYFUNCTION("""COMPUTED_VALUE"""),0.0)</f>
        <v>0</v>
      </c>
      <c r="AE240" s="16">
        <f>IFERROR(__xludf.DUMMYFUNCTION("""COMPUTED_VALUE"""),44.1)</f>
        <v>44.1</v>
      </c>
      <c r="AF240" s="16">
        <f>IFERROR(__xludf.DUMMYFUNCTION("""COMPUTED_VALUE"""),14.0)</f>
        <v>14</v>
      </c>
      <c r="AG240" s="16">
        <f>IFERROR(__xludf.DUMMYFUNCTION("""COMPUTED_VALUE"""),-2.0)</f>
        <v>-2</v>
      </c>
      <c r="AH240" s="16">
        <f>IFERROR(__xludf.DUMMYFUNCTION("""COMPUTED_VALUE"""),2.0)</f>
        <v>2</v>
      </c>
      <c r="AI240" s="16">
        <f>IFERROR(__xludf.DUMMYFUNCTION("""COMPUTED_VALUE"""),-4.0)</f>
        <v>-4</v>
      </c>
      <c r="AJ240" s="16">
        <f>IFERROR(__xludf.DUMMYFUNCTION("""COMPUTED_VALUE"""),4.0)</f>
        <v>4</v>
      </c>
      <c r="AK240" s="16">
        <f>IFERROR(__xludf.DUMMYFUNCTION("""COMPUTED_VALUE"""),23.1)</f>
        <v>23.1</v>
      </c>
      <c r="AL240" s="16">
        <f>IFERROR(__xludf.DUMMYFUNCTION("""COMPUTED_VALUE"""),10.9)</f>
        <v>10.9</v>
      </c>
      <c r="AM240" s="16">
        <f>IFERROR(__xludf.DUMMYFUNCTION("""COMPUTED_VALUE"""),-2.0)</f>
        <v>-2</v>
      </c>
      <c r="AN240" s="16">
        <f>IFERROR(__xludf.DUMMYFUNCTION("""COMPUTED_VALUE"""),1.0)</f>
        <v>1</v>
      </c>
      <c r="AO240" s="16">
        <f>IFERROR(__xludf.DUMMYFUNCTION("""COMPUTED_VALUE"""),-2.0)</f>
        <v>-2</v>
      </c>
      <c r="AP240" s="16">
        <f>IFERROR(__xludf.DUMMYFUNCTION("""COMPUTED_VALUE"""),1.0)</f>
        <v>1</v>
      </c>
      <c r="AQ240" s="16">
        <f>IFERROR(__xludf.DUMMYFUNCTION("""COMPUTED_VALUE"""),35.3)</f>
        <v>35.3</v>
      </c>
      <c r="AR240" s="16">
        <f>IFERROR(__xludf.DUMMYFUNCTION("""COMPUTED_VALUE"""),11.6)</f>
        <v>11.6</v>
      </c>
      <c r="AS240" s="16">
        <f>IFERROR(__xludf.DUMMYFUNCTION("""COMPUTED_VALUE"""),-2.0)</f>
        <v>-2</v>
      </c>
      <c r="AT240" s="16">
        <f>IFERROR(__xludf.DUMMYFUNCTION("""COMPUTED_VALUE"""),1.0)</f>
        <v>1</v>
      </c>
      <c r="AU240" s="16">
        <f>IFERROR(__xludf.DUMMYFUNCTION("""COMPUTED_VALUE"""),-4.0)</f>
        <v>-4</v>
      </c>
      <c r="AV240" s="16">
        <f>IFERROR(__xludf.DUMMYFUNCTION("""COMPUTED_VALUE"""),2.0)</f>
        <v>2</v>
      </c>
      <c r="AW240" s="16">
        <f>IFERROR(__xludf.DUMMYFUNCTION("""COMPUTED_VALUE"""),2.2)</f>
        <v>2.2</v>
      </c>
      <c r="AX240" s="16">
        <f>IFERROR(__xludf.DUMMYFUNCTION("""COMPUTED_VALUE"""),0.6)</f>
        <v>0.6</v>
      </c>
      <c r="AY240" s="16">
        <f>IFERROR(__xludf.DUMMYFUNCTION("""COMPUTED_VALUE"""),0.0)</f>
        <v>0</v>
      </c>
      <c r="AZ240" s="16">
        <f>IFERROR(__xludf.DUMMYFUNCTION("""COMPUTED_VALUE"""),2.0)</f>
        <v>2</v>
      </c>
      <c r="BA240" s="16">
        <f>IFERROR(__xludf.DUMMYFUNCTION("""COMPUTED_VALUE"""),0.0)</f>
        <v>0</v>
      </c>
      <c r="BB240" s="16">
        <f>IFERROR(__xludf.DUMMYFUNCTION("""COMPUTED_VALUE"""),10.0)</f>
        <v>10</v>
      </c>
      <c r="BC240" s="16">
        <f>IFERROR(__xludf.DUMMYFUNCTION("""COMPUTED_VALUE"""),4.0)</f>
        <v>4</v>
      </c>
      <c r="BD240" s="16">
        <f>IFERROR(__xludf.DUMMYFUNCTION("""COMPUTED_VALUE"""),1.0)</f>
        <v>1</v>
      </c>
      <c r="BE240" s="16">
        <f>IFERROR(__xludf.DUMMYFUNCTION("""COMPUTED_VALUE"""),4.0)</f>
        <v>4</v>
      </c>
      <c r="BF240" s="16">
        <f>IFERROR(__xludf.DUMMYFUNCTION("""COMPUTED_VALUE"""),1.0)</f>
        <v>1</v>
      </c>
      <c r="BG240" s="16">
        <f>IFERROR(__xludf.DUMMYFUNCTION("""COMPUTED_VALUE"""),-1.0)</f>
        <v>-1</v>
      </c>
      <c r="BH240" s="16">
        <f>IFERROR(__xludf.DUMMYFUNCTION("""COMPUTED_VALUE"""),2.0)</f>
        <v>2</v>
      </c>
      <c r="BI240" s="16">
        <f>IFERROR(__xludf.DUMMYFUNCTION("""COMPUTED_VALUE"""),-2.0)</f>
        <v>-2</v>
      </c>
      <c r="BJ240" s="16">
        <f>IFERROR(__xludf.DUMMYFUNCTION("""COMPUTED_VALUE"""),4.0)</f>
        <v>4</v>
      </c>
      <c r="BK240" s="16">
        <f>IFERROR(__xludf.DUMMYFUNCTION("""COMPUTED_VALUE"""),5.0)</f>
        <v>5</v>
      </c>
      <c r="BL240" s="16">
        <f>IFERROR(__xludf.DUMMYFUNCTION("""COMPUTED_VALUE"""),5.0)</f>
        <v>5</v>
      </c>
      <c r="BM240" s="16">
        <f>IFERROR(__xludf.DUMMYFUNCTION("""COMPUTED_VALUE"""),0.0)</f>
        <v>0</v>
      </c>
      <c r="BN240" s="16">
        <f>IFERROR(__xludf.DUMMYFUNCTION("""COMPUTED_VALUE"""),0.0)</f>
        <v>0</v>
      </c>
      <c r="BO240" s="16">
        <f>IFERROR(__xludf.DUMMYFUNCTION("""COMPUTED_VALUE"""),0.0)</f>
        <v>0</v>
      </c>
      <c r="BP240" s="16">
        <f>IFERROR(__xludf.DUMMYFUNCTION("""COMPUTED_VALUE"""),0.0)</f>
        <v>0</v>
      </c>
      <c r="BQ240" s="16">
        <f>IFERROR(__xludf.DUMMYFUNCTION("""COMPUTED_VALUE"""),12.0)</f>
        <v>12</v>
      </c>
      <c r="BR240" s="16">
        <f>IFERROR(__xludf.DUMMYFUNCTION("""COMPUTED_VALUE"""),3.0)</f>
        <v>3</v>
      </c>
      <c r="BS240" s="16">
        <f>IFERROR(__xludf.DUMMYFUNCTION("""COMPUTED_VALUE"""),3.0)</f>
        <v>3</v>
      </c>
      <c r="BT240" s="16">
        <f>IFERROR(__xludf.DUMMYFUNCTION("""COMPUTED_VALUE"""),-1.0)</f>
        <v>-1</v>
      </c>
      <c r="BU240" s="16">
        <f>IFERROR(__xludf.DUMMYFUNCTION("""COMPUTED_VALUE"""),6.0)</f>
        <v>6</v>
      </c>
      <c r="BV240" s="16">
        <f>IFERROR(__xludf.DUMMYFUNCTION("""COMPUTED_VALUE"""),-2.0)</f>
        <v>-2</v>
      </c>
      <c r="BW240" s="16">
        <f>IFERROR(__xludf.DUMMYFUNCTION("""COMPUTED_VALUE"""),3.0)</f>
        <v>3</v>
      </c>
      <c r="BX240" s="16">
        <f>IFERROR(__xludf.DUMMYFUNCTION("""COMPUTED_VALUE"""),3.0)</f>
        <v>3</v>
      </c>
      <c r="BY240" s="16" t="str">
        <f>IFERROR(__xludf.DUMMYFUNCTION("""COMPUTED_VALUE"""),"R(1) C(2)")</f>
        <v>R(1) C(2)</v>
      </c>
      <c r="BZ240" s="16" t="str">
        <f>IFERROR(__xludf.DUMMYFUNCTION("""COMPUTED_VALUE"""),"R(1) C(2)")</f>
        <v>R(1) C(2)</v>
      </c>
      <c r="CA240" s="16" t="str">
        <f>IFERROR(__xludf.DUMMYFUNCTION("""COMPUTED_VALUE"""),"R(1)")</f>
        <v>R(1)</v>
      </c>
      <c r="CB240" s="16" t="str">
        <f>IFERROR(__xludf.DUMMYFUNCTION("""COMPUTED_VALUE"""),"C(2)")</f>
        <v>C(2)</v>
      </c>
      <c r="CC240" s="16"/>
      <c r="CD240" s="16"/>
      <c r="CE240" s="16">
        <f>IFERROR(__xludf.DUMMYFUNCTION("""COMPUTED_VALUE"""),1.0)</f>
        <v>1</v>
      </c>
      <c r="CF240" s="16">
        <f>IFERROR(__xludf.DUMMYFUNCTION("""COMPUTED_VALUE"""),2.0)</f>
        <v>2</v>
      </c>
      <c r="CG240" s="16" t="str">
        <f>IFERROR(__xludf.DUMMYFUNCTION("""COMPUTED_VALUE"""),"2-0")</f>
        <v>2-0</v>
      </c>
      <c r="CH240" s="16">
        <f>IFERROR(__xludf.DUMMYFUNCTION("""COMPUTED_VALUE"""),2.0)</f>
        <v>2</v>
      </c>
      <c r="CI240" s="16">
        <f>IFERROR(__xludf.DUMMYFUNCTION("""COMPUTED_VALUE"""),0.0)</f>
        <v>0</v>
      </c>
      <c r="CJ240" s="16">
        <f>IFERROR(__xludf.DUMMYFUNCTION("""COMPUTED_VALUE"""),5.0)</f>
        <v>5</v>
      </c>
      <c r="CK240" s="16">
        <f>IFERROR(__xludf.DUMMYFUNCTION("""COMPUTED_VALUE"""),0.0)</f>
        <v>0</v>
      </c>
      <c r="CL240" s="16" t="str">
        <f>IFERROR(__xludf.DUMMYFUNCTION("""COMPUTED_VALUE"""),"1WR-C")</f>
        <v>1WR-C</v>
      </c>
      <c r="CM240" s="16" t="str">
        <f>IFERROR(__xludf.DUMMYFUNCTION("""COMPUTED_VALUE"""),"E")</f>
        <v>E</v>
      </c>
      <c r="CN240" s="16">
        <f>IFERROR(__xludf.DUMMYFUNCTION("""COMPUTED_VALUE"""),10.0)</f>
        <v>10</v>
      </c>
      <c r="CO240" s="16" t="str">
        <f>IFERROR(__xludf.DUMMYFUNCTION("""COMPUTED_VALUE"""),"C")</f>
        <v>C</v>
      </c>
      <c r="CP240" s="16" t="str">
        <f>IFERROR(__xludf.DUMMYFUNCTION("""COMPUTED_VALUE"""),"0p72")</f>
        <v>0p72</v>
      </c>
      <c r="CQ240" s="16">
        <f>IFERROR(__xludf.DUMMYFUNCTION("""COMPUTED_VALUE"""),-20.0)</f>
        <v>-20</v>
      </c>
      <c r="CR240" s="16">
        <f>IFERROR(__xludf.DUMMYFUNCTION("""COMPUTED_VALUE"""),24.0)</f>
        <v>24</v>
      </c>
      <c r="CS240" s="16">
        <f>IFERROR(__xludf.DUMMYFUNCTION("""COMPUTED_VALUE"""),4.0)</f>
        <v>4</v>
      </c>
      <c r="CT240" s="16">
        <f>IFERROR(__xludf.DUMMYFUNCTION("""COMPUTED_VALUE"""),-20.0)</f>
        <v>-20</v>
      </c>
      <c r="CU240" s="16">
        <f>IFERROR(__xludf.DUMMYFUNCTION("""COMPUTED_VALUE"""),24.0)</f>
        <v>24</v>
      </c>
      <c r="CV240" s="179">
        <f>IFERROR(__xludf.DUMMYFUNCTION("""COMPUTED_VALUE"""),3.666666666666667)</f>
        <v>3.666666667</v>
      </c>
      <c r="CW240" s="179">
        <f>IFERROR(__xludf.DUMMYFUNCTION("""COMPUTED_VALUE"""),5.0)</f>
        <v>5</v>
      </c>
      <c r="CX240" s="179">
        <f>IFERROR(__xludf.DUMMYFUNCTION("""COMPUTED_VALUE"""),4.0)</f>
        <v>4</v>
      </c>
      <c r="CY240" s="16" t="str">
        <f>IFERROR(__xludf.DUMMYFUNCTION("""COMPUTED_VALUE"""),"RP")</f>
        <v>RP</v>
      </c>
      <c r="CZ240" s="16" t="str">
        <f>IFERROR(__xludf.DUMMYFUNCTION("""COMPUTED_VALUE"""),"CP")</f>
        <v>CP</v>
      </c>
      <c r="DA240" s="16"/>
      <c r="DB240" s="16"/>
      <c r="DC240" s="16"/>
      <c r="DD240" s="16"/>
      <c r="DE240" s="16"/>
      <c r="DF240" s="16"/>
      <c r="DG240" s="16"/>
      <c r="DH240" s="16"/>
      <c r="DI240" s="16"/>
      <c r="DJ240" s="16"/>
      <c r="DK240" s="16"/>
    </row>
    <row r="241">
      <c r="A241" s="16">
        <f>IFERROR(__xludf.DUMMYFUNCTION("""COMPUTED_VALUE"""),12879.0)</f>
        <v>12879</v>
      </c>
      <c r="B241" s="16" t="str">
        <f>IFERROR(__xludf.DUMMYFUNCTION("""COMPUTED_VALUE"""),"Hunter Harvey")</f>
        <v>Hunter Harvey</v>
      </c>
      <c r="C241" s="153">
        <f>IFERROR(__xludf.DUMMYFUNCTION("""COMPUTED_VALUE"""),0.0)</f>
        <v>0</v>
      </c>
      <c r="D241" s="16"/>
      <c r="E241" s="16" t="str">
        <f>IFERROR(__xludf.DUMMYFUNCTION("""COMPUTED_VALUE"""),"R")</f>
        <v>R</v>
      </c>
      <c r="F241" s="16">
        <f>IFERROR(__xludf.DUMMYFUNCTION("""COMPUTED_VALUE"""),51.0)</f>
        <v>51</v>
      </c>
      <c r="G241" s="16">
        <f>IFERROR(__xludf.DUMMYFUNCTION("""COMPUTED_VALUE"""),27.0)</f>
        <v>27</v>
      </c>
      <c r="H241" s="16">
        <f>IFERROR(__xludf.DUMMYFUNCTION("""COMPUTED_VALUE"""),35.0)</f>
        <v>35</v>
      </c>
      <c r="I241" s="16">
        <f>IFERROR(__xludf.DUMMYFUNCTION("""COMPUTED_VALUE"""),0.0)</f>
        <v>0</v>
      </c>
      <c r="J241" s="16">
        <f>IFERROR(__xludf.DUMMYFUNCTION("""COMPUTED_VALUE"""),1.0)</f>
        <v>1</v>
      </c>
      <c r="K241" s="16">
        <f>IFERROR(__xludf.DUMMYFUNCTION("""COMPUTED_VALUE"""),0.0)</f>
        <v>0</v>
      </c>
      <c r="L241" s="16">
        <f>IFERROR(__xludf.DUMMYFUNCTION("""COMPUTED_VALUE"""),3.0)</f>
        <v>3</v>
      </c>
      <c r="M241" s="16">
        <f>IFERROR(__xludf.DUMMYFUNCTION("""COMPUTED_VALUE"""),2.0)</f>
        <v>2</v>
      </c>
      <c r="N241" s="16">
        <f>IFERROR(__xludf.DUMMYFUNCTION("""COMPUTED_VALUE"""),10.0)</f>
        <v>10</v>
      </c>
      <c r="O241" s="16">
        <f>IFERROR(__xludf.DUMMYFUNCTION("""COMPUTED_VALUE"""),2.0)</f>
        <v>2</v>
      </c>
      <c r="P241" s="16">
        <f>IFERROR(__xludf.DUMMYFUNCTION("""COMPUTED_VALUE"""),-1.0)</f>
        <v>-1</v>
      </c>
      <c r="Q241" s="16">
        <f>IFERROR(__xludf.DUMMYFUNCTION("""COMPUTED_VALUE"""),2.0)</f>
        <v>2</v>
      </c>
      <c r="R241" s="16">
        <f>IFERROR(__xludf.DUMMYFUNCTION("""COMPUTED_VALUE"""),-1.0)</f>
        <v>-1</v>
      </c>
      <c r="S241" s="16">
        <f>IFERROR(__xludf.DUMMYFUNCTION("""COMPUTED_VALUE"""),21.4)</f>
        <v>21.4</v>
      </c>
      <c r="T241" s="16">
        <f>IFERROR(__xludf.DUMMYFUNCTION("""COMPUTED_VALUE"""),17.8)</f>
        <v>17.8</v>
      </c>
      <c r="U241" s="16">
        <f>IFERROR(__xludf.DUMMYFUNCTION("""COMPUTED_VALUE"""),-1.0)</f>
        <v>-1</v>
      </c>
      <c r="V241" s="16">
        <f>IFERROR(__xludf.DUMMYFUNCTION("""COMPUTED_VALUE"""),0.0)</f>
        <v>0</v>
      </c>
      <c r="W241" s="16">
        <f>IFERROR(__xludf.DUMMYFUNCTION("""COMPUTED_VALUE"""),-2.0)</f>
        <v>-2</v>
      </c>
      <c r="X241" s="16">
        <f>IFERROR(__xludf.DUMMYFUNCTION("""COMPUTED_VALUE"""),0.0)</f>
        <v>0</v>
      </c>
      <c r="Y241" s="16">
        <f>IFERROR(__xludf.DUMMYFUNCTION("""COMPUTED_VALUE"""),23.4)</f>
        <v>23.4</v>
      </c>
      <c r="Z241" s="16">
        <f>IFERROR(__xludf.DUMMYFUNCTION("""COMPUTED_VALUE"""),27.8)</f>
        <v>27.8</v>
      </c>
      <c r="AA241" s="16">
        <f>IFERROR(__xludf.DUMMYFUNCTION("""COMPUTED_VALUE"""),0.0)</f>
        <v>0</v>
      </c>
      <c r="AB241" s="16">
        <f>IFERROR(__xludf.DUMMYFUNCTION("""COMPUTED_VALUE"""),0.0)</f>
        <v>0</v>
      </c>
      <c r="AC241" s="16">
        <f>IFERROR(__xludf.DUMMYFUNCTION("""COMPUTED_VALUE"""),0.0)</f>
        <v>0</v>
      </c>
      <c r="AD241" s="16">
        <f>IFERROR(__xludf.DUMMYFUNCTION("""COMPUTED_VALUE"""),0.0)</f>
        <v>0</v>
      </c>
      <c r="AE241" s="16">
        <f>IFERROR(__xludf.DUMMYFUNCTION("""COMPUTED_VALUE"""),39.1)</f>
        <v>39.1</v>
      </c>
      <c r="AF241" s="16">
        <f>IFERROR(__xludf.DUMMYFUNCTION("""COMPUTED_VALUE"""),40.3)</f>
        <v>40.3</v>
      </c>
      <c r="AG241" s="16">
        <f>IFERROR(__xludf.DUMMYFUNCTION("""COMPUTED_VALUE"""),-1.0)</f>
        <v>-1</v>
      </c>
      <c r="AH241" s="16">
        <f>IFERROR(__xludf.DUMMYFUNCTION("""COMPUTED_VALUE"""),-1.0)</f>
        <v>-1</v>
      </c>
      <c r="AI241" s="16">
        <f>IFERROR(__xludf.DUMMYFUNCTION("""COMPUTED_VALUE"""),-2.0)</f>
        <v>-2</v>
      </c>
      <c r="AJ241" s="16">
        <f>IFERROR(__xludf.DUMMYFUNCTION("""COMPUTED_VALUE"""),-2.0)</f>
        <v>-2</v>
      </c>
      <c r="AK241" s="16">
        <f>IFERROR(__xludf.DUMMYFUNCTION("""COMPUTED_VALUE"""),20.799999999999997)</f>
        <v>20.8</v>
      </c>
      <c r="AL241" s="16">
        <f>IFERROR(__xludf.DUMMYFUNCTION("""COMPUTED_VALUE"""),16.0)</f>
        <v>16</v>
      </c>
      <c r="AM241" s="16">
        <f>IFERROR(__xludf.DUMMYFUNCTION("""COMPUTED_VALUE"""),-1.0)</f>
        <v>-1</v>
      </c>
      <c r="AN241" s="16">
        <f>IFERROR(__xludf.DUMMYFUNCTION("""COMPUTED_VALUE"""),0.0)</f>
        <v>0</v>
      </c>
      <c r="AO241" s="16">
        <f>IFERROR(__xludf.DUMMYFUNCTION("""COMPUTED_VALUE"""),-1.0)</f>
        <v>-1</v>
      </c>
      <c r="AP241" s="16">
        <f>IFERROR(__xludf.DUMMYFUNCTION("""COMPUTED_VALUE"""),0.0)</f>
        <v>0</v>
      </c>
      <c r="AQ241" s="16">
        <f>IFERROR(__xludf.DUMMYFUNCTION("""COMPUTED_VALUE"""),36.7)</f>
        <v>36.7</v>
      </c>
      <c r="AR241" s="16">
        <f>IFERROR(__xludf.DUMMYFUNCTION("""COMPUTED_VALUE"""),33.099999999999994)</f>
        <v>33.1</v>
      </c>
      <c r="AS241" s="16">
        <f>IFERROR(__xludf.DUMMYFUNCTION("""COMPUTED_VALUE"""),-2.0)</f>
        <v>-2</v>
      </c>
      <c r="AT241" s="16">
        <f>IFERROR(__xludf.DUMMYFUNCTION("""COMPUTED_VALUE"""),-2.0)</f>
        <v>-2</v>
      </c>
      <c r="AU241" s="16">
        <f>IFERROR(__xludf.DUMMYFUNCTION("""COMPUTED_VALUE"""),-4.0)</f>
        <v>-4</v>
      </c>
      <c r="AV241" s="16">
        <f>IFERROR(__xludf.DUMMYFUNCTION("""COMPUTED_VALUE"""),-4.0)</f>
        <v>-4</v>
      </c>
      <c r="AW241" s="16">
        <f>IFERROR(__xludf.DUMMYFUNCTION("""COMPUTED_VALUE"""),0.6)</f>
        <v>0.6</v>
      </c>
      <c r="AX241" s="16">
        <f>IFERROR(__xludf.DUMMYFUNCTION("""COMPUTED_VALUE"""),1.8)</f>
        <v>1.8</v>
      </c>
      <c r="AY241" s="16">
        <f>IFERROR(__xludf.DUMMYFUNCTION("""COMPUTED_VALUE"""),2.0)</f>
        <v>2</v>
      </c>
      <c r="AZ241" s="16">
        <f>IFERROR(__xludf.DUMMYFUNCTION("""COMPUTED_VALUE"""),0.0)</f>
        <v>0</v>
      </c>
      <c r="BA241" s="16">
        <f>IFERROR(__xludf.DUMMYFUNCTION("""COMPUTED_VALUE"""),10.0)</f>
        <v>10</v>
      </c>
      <c r="BB241" s="16">
        <f>IFERROR(__xludf.DUMMYFUNCTION("""COMPUTED_VALUE"""),0.0)</f>
        <v>0</v>
      </c>
      <c r="BC241" s="16">
        <f>IFERROR(__xludf.DUMMYFUNCTION("""COMPUTED_VALUE"""),0.0)</f>
        <v>0</v>
      </c>
      <c r="BD241" s="16">
        <f>IFERROR(__xludf.DUMMYFUNCTION("""COMPUTED_VALUE"""),2.0)</f>
        <v>2</v>
      </c>
      <c r="BE241" s="16">
        <f>IFERROR(__xludf.DUMMYFUNCTION("""COMPUTED_VALUE"""),0.0)</f>
        <v>0</v>
      </c>
      <c r="BF241" s="16">
        <f>IFERROR(__xludf.DUMMYFUNCTION("""COMPUTED_VALUE"""),2.0)</f>
        <v>2</v>
      </c>
      <c r="BG241" s="16">
        <f>IFERROR(__xludf.DUMMYFUNCTION("""COMPUTED_VALUE"""),3.0)</f>
        <v>3</v>
      </c>
      <c r="BH241" s="16">
        <f>IFERROR(__xludf.DUMMYFUNCTION("""COMPUTED_VALUE"""),1.0)</f>
        <v>1</v>
      </c>
      <c r="BI241" s="16">
        <f>IFERROR(__xludf.DUMMYFUNCTION("""COMPUTED_VALUE"""),6.0)</f>
        <v>6</v>
      </c>
      <c r="BJ241" s="16">
        <f>IFERROR(__xludf.DUMMYFUNCTION("""COMPUTED_VALUE"""),2.0)</f>
        <v>2</v>
      </c>
      <c r="BK241" s="16">
        <f>IFERROR(__xludf.DUMMYFUNCTION("""COMPUTED_VALUE"""),5.0)</f>
        <v>5</v>
      </c>
      <c r="BL241" s="16">
        <f>IFERROR(__xludf.DUMMYFUNCTION("""COMPUTED_VALUE"""),5.0)</f>
        <v>5</v>
      </c>
      <c r="BM241" s="16">
        <f>IFERROR(__xludf.DUMMYFUNCTION("""COMPUTED_VALUE"""),0.0)</f>
        <v>0</v>
      </c>
      <c r="BN241" s="16">
        <f>IFERROR(__xludf.DUMMYFUNCTION("""COMPUTED_VALUE"""),0.0)</f>
        <v>0</v>
      </c>
      <c r="BO241" s="16">
        <f>IFERROR(__xludf.DUMMYFUNCTION("""COMPUTED_VALUE"""),0.0)</f>
        <v>0</v>
      </c>
      <c r="BP241" s="16">
        <f>IFERROR(__xludf.DUMMYFUNCTION("""COMPUTED_VALUE"""),0.0)</f>
        <v>0</v>
      </c>
      <c r="BQ241" s="16">
        <f>IFERROR(__xludf.DUMMYFUNCTION("""COMPUTED_VALUE"""),8.0)</f>
        <v>8</v>
      </c>
      <c r="BR241" s="16">
        <f>IFERROR(__xludf.DUMMYFUNCTION("""COMPUTED_VALUE"""),3.0)</f>
        <v>3</v>
      </c>
      <c r="BS241" s="16">
        <f>IFERROR(__xludf.DUMMYFUNCTION("""COMPUTED_VALUE"""),2.0)</f>
        <v>2</v>
      </c>
      <c r="BT241" s="16">
        <f>IFERROR(__xludf.DUMMYFUNCTION("""COMPUTED_VALUE"""),-1.0)</f>
        <v>-1</v>
      </c>
      <c r="BU241" s="16">
        <f>IFERROR(__xludf.DUMMYFUNCTION("""COMPUTED_VALUE"""),4.0)</f>
        <v>4</v>
      </c>
      <c r="BV241" s="16">
        <f>IFERROR(__xludf.DUMMYFUNCTION("""COMPUTED_VALUE"""),-2.0)</f>
        <v>-2</v>
      </c>
      <c r="BW241" s="16">
        <f>IFERROR(__xludf.DUMMYFUNCTION("""COMPUTED_VALUE"""),9.0)</f>
        <v>9</v>
      </c>
      <c r="BX241" s="16">
        <f>IFERROR(__xludf.DUMMYFUNCTION("""COMPUTED_VALUE"""),9.0)</f>
        <v>9</v>
      </c>
      <c r="BY241" s="16" t="str">
        <f>IFERROR(__xludf.DUMMYFUNCTION("""COMPUTED_VALUE"""),"R(1) C(0)")</f>
        <v>R(1) C(0)</v>
      </c>
      <c r="BZ241" s="16" t="str">
        <f>IFERROR(__xludf.DUMMYFUNCTION("""COMPUTED_VALUE"""),"R(1) C(0)")</f>
        <v>R(1) C(0)</v>
      </c>
      <c r="CA241" s="16" t="str">
        <f>IFERROR(__xludf.DUMMYFUNCTION("""COMPUTED_VALUE"""),"R(1)")</f>
        <v>R(1)</v>
      </c>
      <c r="CB241" s="16" t="str">
        <f>IFERROR(__xludf.DUMMYFUNCTION("""COMPUTED_VALUE"""),"C(0)")</f>
        <v>C(0)</v>
      </c>
      <c r="CC241" s="16"/>
      <c r="CD241" s="16"/>
      <c r="CE241" s="16">
        <f>IFERROR(__xludf.DUMMYFUNCTION("""COMPUTED_VALUE"""),1.0)</f>
        <v>1</v>
      </c>
      <c r="CF241" s="16">
        <f>IFERROR(__xludf.DUMMYFUNCTION("""COMPUTED_VALUE"""),0.0)</f>
        <v>0</v>
      </c>
      <c r="CG241" s="16" t="str">
        <f>IFERROR(__xludf.DUMMYFUNCTION("""COMPUTED_VALUE"""),"5-0")</f>
        <v>5-0</v>
      </c>
      <c r="CH241" s="16">
        <f>IFERROR(__xludf.DUMMYFUNCTION("""COMPUTED_VALUE"""),5.0)</f>
        <v>5</v>
      </c>
      <c r="CI241" s="16">
        <f>IFERROR(__xludf.DUMMYFUNCTION("""COMPUTED_VALUE"""),0.0)</f>
        <v>0</v>
      </c>
      <c r="CJ241" s="16">
        <f>IFERROR(__xludf.DUMMYFUNCTION("""COMPUTED_VALUE"""),0.0)</f>
        <v>0</v>
      </c>
      <c r="CK241" s="16">
        <f>IFERROR(__xludf.DUMMYFUNCTION("""COMPUTED_VALUE"""),8.0)</f>
        <v>8</v>
      </c>
      <c r="CL241" s="16" t="str">
        <f>IFERROR(__xludf.DUMMYFUNCTION("""COMPUTED_VALUE"""),"1WR-C")</f>
        <v>1WR-C</v>
      </c>
      <c r="CM241" s="16" t="str">
        <f>IFERROR(__xludf.DUMMYFUNCTION("""COMPUTED_VALUE"""),"E")</f>
        <v>E</v>
      </c>
      <c r="CN241" s="16">
        <f>IFERROR(__xludf.DUMMYFUNCTION("""COMPUTED_VALUE"""),10.0)</f>
        <v>10</v>
      </c>
      <c r="CO241" s="16" t="str">
        <f>IFERROR(__xludf.DUMMYFUNCTION("""COMPUTED_VALUE"""),"C")</f>
        <v>C</v>
      </c>
      <c r="CP241" s="16" t="str">
        <f>IFERROR(__xludf.DUMMYFUNCTION("""COMPUTED_VALUE"""),"4p40")</f>
        <v>4p40</v>
      </c>
      <c r="CQ241" s="16">
        <f>IFERROR(__xludf.DUMMYFUNCTION("""COMPUTED_VALUE"""),13.0)</f>
        <v>13</v>
      </c>
      <c r="CR241" s="16">
        <f>IFERROR(__xludf.DUMMYFUNCTION("""COMPUTED_VALUE"""),-4.0)</f>
        <v>-4</v>
      </c>
      <c r="CS241" s="16">
        <f>IFERROR(__xludf.DUMMYFUNCTION("""COMPUTED_VALUE"""),9.0)</f>
        <v>9</v>
      </c>
      <c r="CT241" s="16">
        <f>IFERROR(__xludf.DUMMYFUNCTION("""COMPUTED_VALUE"""),13.0)</f>
        <v>13</v>
      </c>
      <c r="CU241" s="16">
        <f>IFERROR(__xludf.DUMMYFUNCTION("""COMPUTED_VALUE"""),-4.0)</f>
        <v>-4</v>
      </c>
      <c r="CV241" s="179">
        <f>IFERROR(__xludf.DUMMYFUNCTION("""COMPUTED_VALUE"""),3.666666666666667)</f>
        <v>3.666666667</v>
      </c>
      <c r="CW241" s="179">
        <f>IFERROR(__xludf.DUMMYFUNCTION("""COMPUTED_VALUE"""),1.0)</f>
        <v>1</v>
      </c>
      <c r="CX241" s="179">
        <f>IFERROR(__xludf.DUMMYFUNCTION("""COMPUTED_VALUE"""),1.0)</f>
        <v>1</v>
      </c>
      <c r="CY241" s="16" t="str">
        <f>IFERROR(__xludf.DUMMYFUNCTION("""COMPUTED_VALUE"""),"RP")</f>
        <v>RP</v>
      </c>
      <c r="CZ241" s="16" t="str">
        <f>IFERROR(__xludf.DUMMYFUNCTION("""COMPUTED_VALUE"""),"CP")</f>
        <v>CP</v>
      </c>
      <c r="DA241" s="16"/>
      <c r="DB241" s="16"/>
      <c r="DC241" s="16"/>
      <c r="DD241" s="16"/>
      <c r="DE241" s="16"/>
      <c r="DF241" s="16"/>
      <c r="DG241" s="16"/>
      <c r="DH241" s="16"/>
      <c r="DI241" s="16"/>
      <c r="DJ241" s="16"/>
      <c r="DK241" s="16"/>
    </row>
    <row r="242">
      <c r="A242" s="16">
        <f>IFERROR(__xludf.DUMMYFUNCTION("""COMPUTED_VALUE"""),13302.0)</f>
        <v>13302</v>
      </c>
      <c r="B242" s="16" t="str">
        <f>IFERROR(__xludf.DUMMYFUNCTION("""COMPUTED_VALUE"""),"Reed Garrett")</f>
        <v>Reed Garrett</v>
      </c>
      <c r="C242" s="153">
        <f>IFERROR(__xludf.DUMMYFUNCTION("""COMPUTED_VALUE"""),0.1)</f>
        <v>0.1</v>
      </c>
      <c r="D242" s="16"/>
      <c r="E242" s="16" t="str">
        <f>IFERROR(__xludf.DUMMYFUNCTION("""COMPUTED_VALUE"""),"R")</f>
        <v>R</v>
      </c>
      <c r="F242" s="16">
        <f>IFERROR(__xludf.DUMMYFUNCTION("""COMPUTED_VALUE"""),57.0)</f>
        <v>57</v>
      </c>
      <c r="G242" s="16">
        <f>IFERROR(__xludf.DUMMYFUNCTION("""COMPUTED_VALUE"""),41.0)</f>
        <v>41</v>
      </c>
      <c r="H242" s="16">
        <f>IFERROR(__xludf.DUMMYFUNCTION("""COMPUTED_VALUE"""),36.0)</f>
        <v>36</v>
      </c>
      <c r="I242" s="16">
        <f>IFERROR(__xludf.DUMMYFUNCTION("""COMPUTED_VALUE"""),2.0)</f>
        <v>2</v>
      </c>
      <c r="J242" s="16">
        <f>IFERROR(__xludf.DUMMYFUNCTION("""COMPUTED_VALUE"""),1.0)</f>
        <v>1</v>
      </c>
      <c r="K242" s="16">
        <f>IFERROR(__xludf.DUMMYFUNCTION("""COMPUTED_VALUE"""),6.0)</f>
        <v>6</v>
      </c>
      <c r="L242" s="16">
        <f>IFERROR(__xludf.DUMMYFUNCTION("""COMPUTED_VALUE"""),3.0)</f>
        <v>3</v>
      </c>
      <c r="M242" s="16">
        <f>IFERROR(__xludf.DUMMYFUNCTION("""COMPUTED_VALUE"""),12.0)</f>
        <v>12</v>
      </c>
      <c r="N242" s="16">
        <f>IFERROR(__xludf.DUMMYFUNCTION("""COMPUTED_VALUE"""),22.0)</f>
        <v>22</v>
      </c>
      <c r="O242" s="16">
        <f>IFERROR(__xludf.DUMMYFUNCTION("""COMPUTED_VALUE"""),-1.0)</f>
        <v>-1</v>
      </c>
      <c r="P242" s="16">
        <f>IFERROR(__xludf.DUMMYFUNCTION("""COMPUTED_VALUE"""),-3.0)</f>
        <v>-3</v>
      </c>
      <c r="Q242" s="16">
        <f>IFERROR(__xludf.DUMMYFUNCTION("""COMPUTED_VALUE"""),-1.0)</f>
        <v>-1</v>
      </c>
      <c r="R242" s="16">
        <f>IFERROR(__xludf.DUMMYFUNCTION("""COMPUTED_VALUE"""),-3.0)</f>
        <v>-3</v>
      </c>
      <c r="S242" s="16">
        <f>IFERROR(__xludf.DUMMYFUNCTION("""COMPUTED_VALUE"""),17.7)</f>
        <v>17.7</v>
      </c>
      <c r="T242" s="16">
        <f>IFERROR(__xludf.DUMMYFUNCTION("""COMPUTED_VALUE"""),12.5)</f>
        <v>12.5</v>
      </c>
      <c r="U242" s="16">
        <f>IFERROR(__xludf.DUMMYFUNCTION("""COMPUTED_VALUE"""),0.0)</f>
        <v>0</v>
      </c>
      <c r="V242" s="16">
        <f>IFERROR(__xludf.DUMMYFUNCTION("""COMPUTED_VALUE"""),1.0)</f>
        <v>1</v>
      </c>
      <c r="W242" s="16">
        <f>IFERROR(__xludf.DUMMYFUNCTION("""COMPUTED_VALUE"""),0.0)</f>
        <v>0</v>
      </c>
      <c r="X242" s="16">
        <f>IFERROR(__xludf.DUMMYFUNCTION("""COMPUTED_VALUE"""),2.0)</f>
        <v>2</v>
      </c>
      <c r="Y242" s="16">
        <f>IFERROR(__xludf.DUMMYFUNCTION("""COMPUTED_VALUE"""),29.7)</f>
        <v>29.7</v>
      </c>
      <c r="Z242" s="16">
        <f>IFERROR(__xludf.DUMMYFUNCTION("""COMPUTED_VALUE"""),34.5)</f>
        <v>34.5</v>
      </c>
      <c r="AA242" s="16">
        <f>IFERROR(__xludf.DUMMYFUNCTION("""COMPUTED_VALUE"""),-1.0)</f>
        <v>-1</v>
      </c>
      <c r="AB242" s="16">
        <f>IFERROR(__xludf.DUMMYFUNCTION("""COMPUTED_VALUE"""),-1.0)</f>
        <v>-1</v>
      </c>
      <c r="AC242" s="16">
        <f>IFERROR(__xludf.DUMMYFUNCTION("""COMPUTED_VALUE"""),-5.0)</f>
        <v>-5</v>
      </c>
      <c r="AD242" s="16">
        <f>IFERROR(__xludf.DUMMYFUNCTION("""COMPUTED_VALUE"""),-5.0)</f>
        <v>-5</v>
      </c>
      <c r="AE242" s="16">
        <f>IFERROR(__xludf.DUMMYFUNCTION("""COMPUTED_VALUE"""),25.0)</f>
        <v>25</v>
      </c>
      <c r="AF242" s="16">
        <f>IFERROR(__xludf.DUMMYFUNCTION("""COMPUTED_VALUE"""),19.2)</f>
        <v>19.2</v>
      </c>
      <c r="AG242" s="16">
        <f>IFERROR(__xludf.DUMMYFUNCTION("""COMPUTED_VALUE"""),0.0)</f>
        <v>0</v>
      </c>
      <c r="AH242" s="16">
        <f>IFERROR(__xludf.DUMMYFUNCTION("""COMPUTED_VALUE"""),1.0)</f>
        <v>1</v>
      </c>
      <c r="AI242" s="16">
        <f>IFERROR(__xludf.DUMMYFUNCTION("""COMPUTED_VALUE"""),0.0)</f>
        <v>0</v>
      </c>
      <c r="AJ242" s="16">
        <f>IFERROR(__xludf.DUMMYFUNCTION("""COMPUTED_VALUE"""),2.0)</f>
        <v>2</v>
      </c>
      <c r="AK242" s="16">
        <f>IFERROR(__xludf.DUMMYFUNCTION("""COMPUTED_VALUE"""),16.7)</f>
        <v>16.7</v>
      </c>
      <c r="AL242" s="16">
        <f>IFERROR(__xludf.DUMMYFUNCTION("""COMPUTED_VALUE"""),11.1)</f>
        <v>11.1</v>
      </c>
      <c r="AM242" s="16">
        <f>IFERROR(__xludf.DUMMYFUNCTION("""COMPUTED_VALUE"""),-1.0)</f>
        <v>-1</v>
      </c>
      <c r="AN242" s="16">
        <f>IFERROR(__xludf.DUMMYFUNCTION("""COMPUTED_VALUE"""),1.0)</f>
        <v>1</v>
      </c>
      <c r="AO242" s="16">
        <f>IFERROR(__xludf.DUMMYFUNCTION("""COMPUTED_VALUE"""),-1.0)</f>
        <v>-1</v>
      </c>
      <c r="AP242" s="16">
        <f>IFERROR(__xludf.DUMMYFUNCTION("""COMPUTED_VALUE"""),1.0)</f>
        <v>1</v>
      </c>
      <c r="AQ242" s="16">
        <f>IFERROR(__xludf.DUMMYFUNCTION("""COMPUTED_VALUE"""),21.0)</f>
        <v>21</v>
      </c>
      <c r="AR242" s="16">
        <f>IFERROR(__xludf.DUMMYFUNCTION("""COMPUTED_VALUE"""),13.6)</f>
        <v>13.6</v>
      </c>
      <c r="AS242" s="16">
        <f>IFERROR(__xludf.DUMMYFUNCTION("""COMPUTED_VALUE"""),0.0)</f>
        <v>0</v>
      </c>
      <c r="AT242" s="16">
        <f>IFERROR(__xludf.DUMMYFUNCTION("""COMPUTED_VALUE"""),1.0)</f>
        <v>1</v>
      </c>
      <c r="AU242" s="16">
        <f>IFERROR(__xludf.DUMMYFUNCTION("""COMPUTED_VALUE"""),0.0)</f>
        <v>0</v>
      </c>
      <c r="AV242" s="16">
        <f>IFERROR(__xludf.DUMMYFUNCTION("""COMPUTED_VALUE"""),2.0)</f>
        <v>2</v>
      </c>
      <c r="AW242" s="16">
        <f>IFERROR(__xludf.DUMMYFUNCTION("""COMPUTED_VALUE"""),1.0)</f>
        <v>1</v>
      </c>
      <c r="AX242" s="16">
        <f>IFERROR(__xludf.DUMMYFUNCTION("""COMPUTED_VALUE"""),1.4)</f>
        <v>1.4</v>
      </c>
      <c r="AY242" s="16">
        <f>IFERROR(__xludf.DUMMYFUNCTION("""COMPUTED_VALUE"""),1.0)</f>
        <v>1</v>
      </c>
      <c r="AZ242" s="16">
        <f>IFERROR(__xludf.DUMMYFUNCTION("""COMPUTED_VALUE"""),1.0)</f>
        <v>1</v>
      </c>
      <c r="BA242" s="16">
        <f>IFERROR(__xludf.DUMMYFUNCTION("""COMPUTED_VALUE"""),5.0)</f>
        <v>5</v>
      </c>
      <c r="BB242" s="16">
        <f>IFERROR(__xludf.DUMMYFUNCTION("""COMPUTED_VALUE"""),5.0)</f>
        <v>5</v>
      </c>
      <c r="BC242" s="16">
        <f>IFERROR(__xludf.DUMMYFUNCTION("""COMPUTED_VALUE"""),2.0)</f>
        <v>2</v>
      </c>
      <c r="BD242" s="16">
        <f>IFERROR(__xludf.DUMMYFUNCTION("""COMPUTED_VALUE"""),1.0)</f>
        <v>1</v>
      </c>
      <c r="BE242" s="16">
        <f>IFERROR(__xludf.DUMMYFUNCTION("""COMPUTED_VALUE"""),2.0)</f>
        <v>2</v>
      </c>
      <c r="BF242" s="16">
        <f>IFERROR(__xludf.DUMMYFUNCTION("""COMPUTED_VALUE"""),1.0)</f>
        <v>1</v>
      </c>
      <c r="BG242" s="16">
        <f>IFERROR(__xludf.DUMMYFUNCTION("""COMPUTED_VALUE"""),1.0)</f>
        <v>1</v>
      </c>
      <c r="BH242" s="16">
        <f>IFERROR(__xludf.DUMMYFUNCTION("""COMPUTED_VALUE"""),2.0)</f>
        <v>2</v>
      </c>
      <c r="BI242" s="16">
        <f>IFERROR(__xludf.DUMMYFUNCTION("""COMPUTED_VALUE"""),2.0)</f>
        <v>2</v>
      </c>
      <c r="BJ242" s="16">
        <f>IFERROR(__xludf.DUMMYFUNCTION("""COMPUTED_VALUE"""),4.0)</f>
        <v>4</v>
      </c>
      <c r="BK242" s="16">
        <f>IFERROR(__xludf.DUMMYFUNCTION("""COMPUTED_VALUE"""),5.0)</f>
        <v>5</v>
      </c>
      <c r="BL242" s="16">
        <f>IFERROR(__xludf.DUMMYFUNCTION("""COMPUTED_VALUE"""),5.0)</f>
        <v>5</v>
      </c>
      <c r="BM242" s="16">
        <f>IFERROR(__xludf.DUMMYFUNCTION("""COMPUTED_VALUE"""),0.0)</f>
        <v>0</v>
      </c>
      <c r="BN242" s="16">
        <f>IFERROR(__xludf.DUMMYFUNCTION("""COMPUTED_VALUE"""),0.0)</f>
        <v>0</v>
      </c>
      <c r="BO242" s="16">
        <f>IFERROR(__xludf.DUMMYFUNCTION("""COMPUTED_VALUE"""),0.0)</f>
        <v>0</v>
      </c>
      <c r="BP242" s="16">
        <f>IFERROR(__xludf.DUMMYFUNCTION("""COMPUTED_VALUE"""),0.0)</f>
        <v>0</v>
      </c>
      <c r="BQ242" s="16">
        <f>IFERROR(__xludf.DUMMYFUNCTION("""COMPUTED_VALUE"""),0.0)</f>
        <v>0</v>
      </c>
      <c r="BR242" s="16">
        <f>IFERROR(__xludf.DUMMYFUNCTION("""COMPUTED_VALUE"""),0.0)</f>
        <v>0</v>
      </c>
      <c r="BS242" s="16">
        <f>IFERROR(__xludf.DUMMYFUNCTION("""COMPUTED_VALUE"""),-3.0)</f>
        <v>-3</v>
      </c>
      <c r="BT242" s="16">
        <f>IFERROR(__xludf.DUMMYFUNCTION("""COMPUTED_VALUE"""),-3.0)</f>
        <v>-3</v>
      </c>
      <c r="BU242" s="16">
        <f>IFERROR(__xludf.DUMMYFUNCTION("""COMPUTED_VALUE"""),-6.0)</f>
        <v>-6</v>
      </c>
      <c r="BV242" s="16">
        <f>IFERROR(__xludf.DUMMYFUNCTION("""COMPUTED_VALUE"""),-6.0)</f>
        <v>-6</v>
      </c>
      <c r="BW242" s="16">
        <f>IFERROR(__xludf.DUMMYFUNCTION("""COMPUTED_VALUE"""),0.0)</f>
        <v>0</v>
      </c>
      <c r="BX242" s="16">
        <f>IFERROR(__xludf.DUMMYFUNCTION("""COMPUTED_VALUE"""),0.0)</f>
        <v>0</v>
      </c>
      <c r="BY242" s="16" t="str">
        <f>IFERROR(__xludf.DUMMYFUNCTION("""COMPUTED_VALUE"""),"R(1) C(2)")</f>
        <v>R(1) C(2)</v>
      </c>
      <c r="BZ242" s="16" t="str">
        <f>IFERROR(__xludf.DUMMYFUNCTION("""COMPUTED_VALUE"""),"R(1) C(2)")</f>
        <v>R(1) C(2)</v>
      </c>
      <c r="CA242" s="16" t="str">
        <f>IFERROR(__xludf.DUMMYFUNCTION("""COMPUTED_VALUE"""),"R(1)")</f>
        <v>R(1)</v>
      </c>
      <c r="CB242" s="16" t="str">
        <f>IFERROR(__xludf.DUMMYFUNCTION("""COMPUTED_VALUE"""),"C(2)")</f>
        <v>C(2)</v>
      </c>
      <c r="CC242" s="16"/>
      <c r="CD242" s="16"/>
      <c r="CE242" s="16">
        <f>IFERROR(__xludf.DUMMYFUNCTION("""COMPUTED_VALUE"""),1.0)</f>
        <v>1</v>
      </c>
      <c r="CF242" s="16">
        <f>IFERROR(__xludf.DUMMYFUNCTION("""COMPUTED_VALUE"""),2.0)</f>
        <v>2</v>
      </c>
      <c r="CG242" s="16" t="str">
        <f>IFERROR(__xludf.DUMMYFUNCTION("""COMPUTED_VALUE"""),"2-26")</f>
        <v>2-26</v>
      </c>
      <c r="CH242" s="16">
        <f>IFERROR(__xludf.DUMMYFUNCTION("""COMPUTED_VALUE"""),2.0)</f>
        <v>2</v>
      </c>
      <c r="CI242" s="16">
        <f>IFERROR(__xludf.DUMMYFUNCTION("""COMPUTED_VALUE"""),26.0)</f>
        <v>26</v>
      </c>
      <c r="CJ242" s="16">
        <f>IFERROR(__xludf.DUMMYFUNCTION("""COMPUTED_VALUE"""),0.0)</f>
        <v>0</v>
      </c>
      <c r="CK242" s="16">
        <f>IFERROR(__xludf.DUMMYFUNCTION("""COMPUTED_VALUE"""),11.0)</f>
        <v>11</v>
      </c>
      <c r="CL242" s="16" t="str">
        <f>IFERROR(__xludf.DUMMYFUNCTION("""COMPUTED_VALUE"""),"1WR-C")</f>
        <v>1WR-C</v>
      </c>
      <c r="CM242" s="16" t="str">
        <f>IFERROR(__xludf.DUMMYFUNCTION("""COMPUTED_VALUE"""),"E")</f>
        <v>E</v>
      </c>
      <c r="CN242" s="16">
        <f>IFERROR(__xludf.DUMMYFUNCTION("""COMPUTED_VALUE"""),10.0)</f>
        <v>10</v>
      </c>
      <c r="CO242" s="16" t="str">
        <f>IFERROR(__xludf.DUMMYFUNCTION("""COMPUTED_VALUE"""),"C")</f>
        <v>C</v>
      </c>
      <c r="CP242" s="16" t="str">
        <f>IFERROR(__xludf.DUMMYFUNCTION("""COMPUTED_VALUE"""),"3p50")</f>
        <v>3p50</v>
      </c>
      <c r="CQ242" s="16">
        <f>IFERROR(__xludf.DUMMYFUNCTION("""COMPUTED_VALUE"""),0.0)</f>
        <v>0</v>
      </c>
      <c r="CR242" s="16">
        <f>IFERROR(__xludf.DUMMYFUNCTION("""COMPUTED_VALUE"""),5.0)</f>
        <v>5</v>
      </c>
      <c r="CS242" s="16">
        <f>IFERROR(__xludf.DUMMYFUNCTION("""COMPUTED_VALUE"""),5.0)</f>
        <v>5</v>
      </c>
      <c r="CT242" s="16">
        <f>IFERROR(__xludf.DUMMYFUNCTION("""COMPUTED_VALUE"""),0.0)</f>
        <v>0</v>
      </c>
      <c r="CU242" s="16">
        <f>IFERROR(__xludf.DUMMYFUNCTION("""COMPUTED_VALUE"""),5.0)</f>
        <v>5</v>
      </c>
      <c r="CV242" s="179">
        <f>IFERROR(__xludf.DUMMYFUNCTION("""COMPUTED_VALUE"""),3.666666666666667)</f>
        <v>3.666666667</v>
      </c>
      <c r="CW242" s="179">
        <f>IFERROR(__xludf.DUMMYFUNCTION("""COMPUTED_VALUE"""),2.0)</f>
        <v>2</v>
      </c>
      <c r="CX242" s="179">
        <f>IFERROR(__xludf.DUMMYFUNCTION("""COMPUTED_VALUE"""),0.0)</f>
        <v>0</v>
      </c>
      <c r="CY242" s="16" t="str">
        <f>IFERROR(__xludf.DUMMYFUNCTION("""COMPUTED_VALUE"""),"RP")</f>
        <v>RP</v>
      </c>
      <c r="CZ242" s="16" t="str">
        <f>IFERROR(__xludf.DUMMYFUNCTION("""COMPUTED_VALUE"""),"CP")</f>
        <v>CP</v>
      </c>
      <c r="DA242" s="16"/>
      <c r="DB242" s="16"/>
      <c r="DC242" s="16"/>
      <c r="DD242" s="16"/>
      <c r="DE242" s="16"/>
      <c r="DF242" s="16"/>
      <c r="DG242" s="16"/>
      <c r="DH242" s="16"/>
      <c r="DI242" s="16"/>
      <c r="DJ242" s="16"/>
      <c r="DK242" s="16"/>
    </row>
    <row r="243">
      <c r="A243" s="16">
        <f>IFERROR(__xludf.DUMMYFUNCTION("""COMPUTED_VALUE"""),12541.0)</f>
        <v>12541</v>
      </c>
      <c r="B243" s="16" t="str">
        <f>IFERROR(__xludf.DUMMYFUNCTION("""COMPUTED_VALUE"""),"Andrew Kittredge")</f>
        <v>Andrew Kittredge</v>
      </c>
      <c r="C243" s="153">
        <f>IFERROR(__xludf.DUMMYFUNCTION("""COMPUTED_VALUE"""),0.61)</f>
        <v>0.61</v>
      </c>
      <c r="D243" s="16"/>
      <c r="E243" s="16" t="str">
        <f>IFERROR(__xludf.DUMMYFUNCTION("""COMPUTED_VALUE"""),"R")</f>
        <v>R</v>
      </c>
      <c r="F243" s="16">
        <f>IFERROR(__xludf.DUMMYFUNCTION("""COMPUTED_VALUE"""),71.0)</f>
        <v>71</v>
      </c>
      <c r="G243" s="16">
        <f>IFERROR(__xludf.DUMMYFUNCTION("""COMPUTED_VALUE"""),25.0)</f>
        <v>25</v>
      </c>
      <c r="H243" s="16">
        <f>IFERROR(__xludf.DUMMYFUNCTION("""COMPUTED_VALUE"""),27.0)</f>
        <v>27</v>
      </c>
      <c r="I243" s="16">
        <f>IFERROR(__xludf.DUMMYFUNCTION("""COMPUTED_VALUE"""),0.0)</f>
        <v>0</v>
      </c>
      <c r="J243" s="16">
        <f>IFERROR(__xludf.DUMMYFUNCTION("""COMPUTED_VALUE"""),0.0)</f>
        <v>0</v>
      </c>
      <c r="K243" s="16">
        <f>IFERROR(__xludf.DUMMYFUNCTION("""COMPUTED_VALUE"""),0.0)</f>
        <v>0</v>
      </c>
      <c r="L243" s="16">
        <f>IFERROR(__xludf.DUMMYFUNCTION("""COMPUTED_VALUE"""),0.0)</f>
        <v>0</v>
      </c>
      <c r="M243" s="16">
        <f>IFERROR(__xludf.DUMMYFUNCTION("""COMPUTED_VALUE"""),2.0)</f>
        <v>2</v>
      </c>
      <c r="N243" s="16">
        <f>IFERROR(__xludf.DUMMYFUNCTION("""COMPUTED_VALUE"""),7.0)</f>
        <v>7</v>
      </c>
      <c r="O243" s="16">
        <f>IFERROR(__xludf.DUMMYFUNCTION("""COMPUTED_VALUE"""),2.0)</f>
        <v>2</v>
      </c>
      <c r="P243" s="16">
        <f>IFERROR(__xludf.DUMMYFUNCTION("""COMPUTED_VALUE"""),1.0)</f>
        <v>1</v>
      </c>
      <c r="Q243" s="16">
        <f>IFERROR(__xludf.DUMMYFUNCTION("""COMPUTED_VALUE"""),2.0)</f>
        <v>2</v>
      </c>
      <c r="R243" s="16">
        <f>IFERROR(__xludf.DUMMYFUNCTION("""COMPUTED_VALUE"""),1.0)</f>
        <v>1</v>
      </c>
      <c r="S243" s="16">
        <f>IFERROR(__xludf.DUMMYFUNCTION("""COMPUTED_VALUE"""),26.6)</f>
        <v>26.6</v>
      </c>
      <c r="T243" s="16">
        <f>IFERROR(__xludf.DUMMYFUNCTION("""COMPUTED_VALUE"""),6.7)</f>
        <v>6.7</v>
      </c>
      <c r="U243" s="16">
        <f>IFERROR(__xludf.DUMMYFUNCTION("""COMPUTED_VALUE"""),-2.0)</f>
        <v>-2</v>
      </c>
      <c r="V243" s="16">
        <f>IFERROR(__xludf.DUMMYFUNCTION("""COMPUTED_VALUE"""),2.0)</f>
        <v>2</v>
      </c>
      <c r="W243" s="16">
        <f>IFERROR(__xludf.DUMMYFUNCTION("""COMPUTED_VALUE"""),-4.0)</f>
        <v>-4</v>
      </c>
      <c r="X243" s="16">
        <f>IFERROR(__xludf.DUMMYFUNCTION("""COMPUTED_VALUE"""),4.0)</f>
        <v>4</v>
      </c>
      <c r="Y243" s="16">
        <f>IFERROR(__xludf.DUMMYFUNCTION("""COMPUTED_VALUE"""),28.6)</f>
        <v>28.6</v>
      </c>
      <c r="Z243" s="16">
        <f>IFERROR(__xludf.DUMMYFUNCTION("""COMPUTED_VALUE"""),13.7)</f>
        <v>13.7</v>
      </c>
      <c r="AA243" s="16">
        <f>IFERROR(__xludf.DUMMYFUNCTION("""COMPUTED_VALUE"""),0.0)</f>
        <v>0</v>
      </c>
      <c r="AB243" s="16">
        <f>IFERROR(__xludf.DUMMYFUNCTION("""COMPUTED_VALUE"""),2.0)</f>
        <v>2</v>
      </c>
      <c r="AC243" s="16">
        <f>IFERROR(__xludf.DUMMYFUNCTION("""COMPUTED_VALUE"""),0.0)</f>
        <v>0</v>
      </c>
      <c r="AD243" s="16">
        <f>IFERROR(__xludf.DUMMYFUNCTION("""COMPUTED_VALUE"""),10.0)</f>
        <v>10</v>
      </c>
      <c r="AE243" s="16">
        <f>IFERROR(__xludf.DUMMYFUNCTION("""COMPUTED_VALUE"""),55.9)</f>
        <v>55.9</v>
      </c>
      <c r="AF243" s="16">
        <f>IFERROR(__xludf.DUMMYFUNCTION("""COMPUTED_VALUE"""),11.8)</f>
        <v>11.8</v>
      </c>
      <c r="AG243" s="16">
        <f>IFERROR(__xludf.DUMMYFUNCTION("""COMPUTED_VALUE"""),-2.0)</f>
        <v>-2</v>
      </c>
      <c r="AH243" s="16">
        <f>IFERROR(__xludf.DUMMYFUNCTION("""COMPUTED_VALUE"""),2.0)</f>
        <v>2</v>
      </c>
      <c r="AI243" s="16">
        <f>IFERROR(__xludf.DUMMYFUNCTION("""COMPUTED_VALUE"""),-4.0)</f>
        <v>-4</v>
      </c>
      <c r="AJ243" s="16">
        <f>IFERROR(__xludf.DUMMYFUNCTION("""COMPUTED_VALUE"""),4.0)</f>
        <v>4</v>
      </c>
      <c r="AK243" s="16">
        <f>IFERROR(__xludf.DUMMYFUNCTION("""COMPUTED_VALUE"""),21.1)</f>
        <v>21.1</v>
      </c>
      <c r="AL243" s="16">
        <f>IFERROR(__xludf.DUMMYFUNCTION("""COMPUTED_VALUE"""),5.5)</f>
        <v>5.5</v>
      </c>
      <c r="AM243" s="16">
        <f>IFERROR(__xludf.DUMMYFUNCTION("""COMPUTED_VALUE"""),-1.0)</f>
        <v>-1</v>
      </c>
      <c r="AN243" s="16">
        <f>IFERROR(__xludf.DUMMYFUNCTION("""COMPUTED_VALUE"""),2.0)</f>
        <v>2</v>
      </c>
      <c r="AO243" s="16">
        <f>IFERROR(__xludf.DUMMYFUNCTION("""COMPUTED_VALUE"""),-1.0)</f>
        <v>-1</v>
      </c>
      <c r="AP243" s="16">
        <f>IFERROR(__xludf.DUMMYFUNCTION("""COMPUTED_VALUE"""),2.0)</f>
        <v>2</v>
      </c>
      <c r="AQ243" s="16">
        <f>IFERROR(__xludf.DUMMYFUNCTION("""COMPUTED_VALUE"""),33.9)</f>
        <v>33.9</v>
      </c>
      <c r="AR243" s="16">
        <f>IFERROR(__xludf.DUMMYFUNCTION("""COMPUTED_VALUE"""),7.000000000000001)</f>
        <v>7</v>
      </c>
      <c r="AS243" s="16">
        <f>IFERROR(__xludf.DUMMYFUNCTION("""COMPUTED_VALUE"""),-2.0)</f>
        <v>-2</v>
      </c>
      <c r="AT243" s="16">
        <f>IFERROR(__xludf.DUMMYFUNCTION("""COMPUTED_VALUE"""),2.0)</f>
        <v>2</v>
      </c>
      <c r="AU243" s="16">
        <f>IFERROR(__xludf.DUMMYFUNCTION("""COMPUTED_VALUE"""),-4.0)</f>
        <v>-4</v>
      </c>
      <c r="AV243" s="16">
        <f>IFERROR(__xludf.DUMMYFUNCTION("""COMPUTED_VALUE"""),4.0)</f>
        <v>4</v>
      </c>
      <c r="AW243" s="16">
        <f>IFERROR(__xludf.DUMMYFUNCTION("""COMPUTED_VALUE"""),5.5)</f>
        <v>5.5</v>
      </c>
      <c r="AX243" s="16">
        <f>IFERROR(__xludf.DUMMYFUNCTION("""COMPUTED_VALUE"""),1.2)</f>
        <v>1.2</v>
      </c>
      <c r="AY243" s="16">
        <f>IFERROR(__xludf.DUMMYFUNCTION("""COMPUTED_VALUE"""),-3.0)</f>
        <v>-3</v>
      </c>
      <c r="AZ243" s="16">
        <f>IFERROR(__xludf.DUMMYFUNCTION("""COMPUTED_VALUE"""),1.0)</f>
        <v>1</v>
      </c>
      <c r="BA243" s="16">
        <f>IFERROR(__xludf.DUMMYFUNCTION("""COMPUTED_VALUE"""),-15.0)</f>
        <v>-15</v>
      </c>
      <c r="BB243" s="16">
        <f>IFERROR(__xludf.DUMMYFUNCTION("""COMPUTED_VALUE"""),5.0)</f>
        <v>5</v>
      </c>
      <c r="BC243" s="16">
        <f>IFERROR(__xludf.DUMMYFUNCTION("""COMPUTED_VALUE"""),8.0)</f>
        <v>8</v>
      </c>
      <c r="BD243" s="16">
        <f>IFERROR(__xludf.DUMMYFUNCTION("""COMPUTED_VALUE"""),1.0)</f>
        <v>1</v>
      </c>
      <c r="BE243" s="16">
        <f>IFERROR(__xludf.DUMMYFUNCTION("""COMPUTED_VALUE"""),8.0)</f>
        <v>8</v>
      </c>
      <c r="BF243" s="16">
        <f>IFERROR(__xludf.DUMMYFUNCTION("""COMPUTED_VALUE"""),1.0)</f>
        <v>1</v>
      </c>
      <c r="BG243" s="16">
        <f>IFERROR(__xludf.DUMMYFUNCTION("""COMPUTED_VALUE"""),-3.0)</f>
        <v>-3</v>
      </c>
      <c r="BH243" s="16">
        <f>IFERROR(__xludf.DUMMYFUNCTION("""COMPUTED_VALUE"""),2.0)</f>
        <v>2</v>
      </c>
      <c r="BI243" s="16">
        <f>IFERROR(__xludf.DUMMYFUNCTION("""COMPUTED_VALUE"""),-6.0)</f>
        <v>-6</v>
      </c>
      <c r="BJ243" s="16">
        <f>IFERROR(__xludf.DUMMYFUNCTION("""COMPUTED_VALUE"""),4.0)</f>
        <v>4</v>
      </c>
      <c r="BK243" s="16">
        <f>IFERROR(__xludf.DUMMYFUNCTION("""COMPUTED_VALUE"""),5.0)</f>
        <v>5</v>
      </c>
      <c r="BL243" s="16">
        <f>IFERROR(__xludf.DUMMYFUNCTION("""COMPUTED_VALUE"""),5.0)</f>
        <v>5</v>
      </c>
      <c r="BM243" s="16">
        <f>IFERROR(__xludf.DUMMYFUNCTION("""COMPUTED_VALUE"""),0.0)</f>
        <v>0</v>
      </c>
      <c r="BN243" s="16">
        <f>IFERROR(__xludf.DUMMYFUNCTION("""COMPUTED_VALUE"""),0.0)</f>
        <v>0</v>
      </c>
      <c r="BO243" s="16">
        <f>IFERROR(__xludf.DUMMYFUNCTION("""COMPUTED_VALUE"""),0.0)</f>
        <v>0</v>
      </c>
      <c r="BP243" s="16">
        <f>IFERROR(__xludf.DUMMYFUNCTION("""COMPUTED_VALUE"""),0.0)</f>
        <v>0</v>
      </c>
      <c r="BQ243" s="16">
        <f>IFERROR(__xludf.DUMMYFUNCTION("""COMPUTED_VALUE"""),8.0)</f>
        <v>8</v>
      </c>
      <c r="BR243" s="16">
        <f>IFERROR(__xludf.DUMMYFUNCTION("""COMPUTED_VALUE"""),10.0)</f>
        <v>10</v>
      </c>
      <c r="BS243" s="16">
        <f>IFERROR(__xludf.DUMMYFUNCTION("""COMPUTED_VALUE"""),2.0)</f>
        <v>2</v>
      </c>
      <c r="BT243" s="16">
        <f>IFERROR(__xludf.DUMMYFUNCTION("""COMPUTED_VALUE"""),3.0)</f>
        <v>3</v>
      </c>
      <c r="BU243" s="16">
        <f>IFERROR(__xludf.DUMMYFUNCTION("""COMPUTED_VALUE"""),4.0)</f>
        <v>4</v>
      </c>
      <c r="BV243" s="16">
        <f>IFERROR(__xludf.DUMMYFUNCTION("""COMPUTED_VALUE"""),6.0)</f>
        <v>6</v>
      </c>
      <c r="BW243" s="16">
        <f>IFERROR(__xludf.DUMMYFUNCTION("""COMPUTED_VALUE"""),5.0)</f>
        <v>5</v>
      </c>
      <c r="BX243" s="16">
        <f>IFERROR(__xludf.DUMMYFUNCTION("""COMPUTED_VALUE"""),5.0)</f>
        <v>5</v>
      </c>
      <c r="BY243" s="16" t="str">
        <f>IFERROR(__xludf.DUMMYFUNCTION("""COMPUTED_VALUE"""),"R(1) C(0)")</f>
        <v>R(1) C(0)</v>
      </c>
      <c r="BZ243" s="16" t="str">
        <f>IFERROR(__xludf.DUMMYFUNCTION("""COMPUTED_VALUE"""),"R(1) C(0)")</f>
        <v>R(1) C(0)</v>
      </c>
      <c r="CA243" s="16" t="str">
        <f>IFERROR(__xludf.DUMMYFUNCTION("""COMPUTED_VALUE"""),"R(1)")</f>
        <v>R(1)</v>
      </c>
      <c r="CB243" s="16" t="str">
        <f>IFERROR(__xludf.DUMMYFUNCTION("""COMPUTED_VALUE"""),"C(0)")</f>
        <v>C(0)</v>
      </c>
      <c r="CC243" s="16"/>
      <c r="CD243" s="16"/>
      <c r="CE243" s="16">
        <f>IFERROR(__xludf.DUMMYFUNCTION("""COMPUTED_VALUE"""),1.0)</f>
        <v>1</v>
      </c>
      <c r="CF243" s="16">
        <f>IFERROR(__xludf.DUMMYFUNCTION("""COMPUTED_VALUE"""),0.0)</f>
        <v>0</v>
      </c>
      <c r="CG243" s="16" t="str">
        <f>IFERROR(__xludf.DUMMYFUNCTION("""COMPUTED_VALUE"""),"4-20")</f>
        <v>4-20</v>
      </c>
      <c r="CH243" s="16">
        <f>IFERROR(__xludf.DUMMYFUNCTION("""COMPUTED_VALUE"""),4.0)</f>
        <v>4</v>
      </c>
      <c r="CI243" s="16">
        <f>IFERROR(__xludf.DUMMYFUNCTION("""COMPUTED_VALUE"""),20.0)</f>
        <v>20</v>
      </c>
      <c r="CJ243" s="16">
        <f>IFERROR(__xludf.DUMMYFUNCTION("""COMPUTED_VALUE"""),0.0)</f>
        <v>0</v>
      </c>
      <c r="CK243" s="16">
        <f>IFERROR(__xludf.DUMMYFUNCTION("""COMPUTED_VALUE"""),0.0)</f>
        <v>0</v>
      </c>
      <c r="CL243" s="16" t="str">
        <f>IFERROR(__xludf.DUMMYFUNCTION("""COMPUTED_VALUE"""),"1WR-C")</f>
        <v>1WR-C</v>
      </c>
      <c r="CM243" s="16" t="str">
        <f>IFERROR(__xludf.DUMMYFUNCTION("""COMPUTED_VALUE"""),"E")</f>
        <v>E</v>
      </c>
      <c r="CN243" s="16">
        <f>IFERROR(__xludf.DUMMYFUNCTION("""COMPUTED_VALUE"""),10.0)</f>
        <v>10</v>
      </c>
      <c r="CO243" s="16" t="str">
        <f>IFERROR(__xludf.DUMMYFUNCTION("""COMPUTED_VALUE"""),"C")</f>
        <v>C</v>
      </c>
      <c r="CP243" s="16" t="str">
        <f>IFERROR(__xludf.DUMMYFUNCTION("""COMPUTED_VALUE"""),"0p72")</f>
        <v>0p72</v>
      </c>
      <c r="CQ243" s="16">
        <f>IFERROR(__xludf.DUMMYFUNCTION("""COMPUTED_VALUE"""),-28.0)</f>
        <v>-28</v>
      </c>
      <c r="CR243" s="16">
        <f>IFERROR(__xludf.DUMMYFUNCTION("""COMPUTED_VALUE"""),40.0)</f>
        <v>40</v>
      </c>
      <c r="CS243" s="16">
        <f>IFERROR(__xludf.DUMMYFUNCTION("""COMPUTED_VALUE"""),12.0)</f>
        <v>12</v>
      </c>
      <c r="CT243" s="16">
        <f>IFERROR(__xludf.DUMMYFUNCTION("""COMPUTED_VALUE"""),-28.0)</f>
        <v>-28</v>
      </c>
      <c r="CU243" s="16">
        <f>IFERROR(__xludf.DUMMYFUNCTION("""COMPUTED_VALUE"""),40.0)</f>
        <v>40</v>
      </c>
      <c r="CV243" s="179">
        <f>IFERROR(__xludf.DUMMYFUNCTION("""COMPUTED_VALUE"""),3.666666666666667)</f>
        <v>3.666666667</v>
      </c>
      <c r="CW243" s="179">
        <f>IFERROR(__xludf.DUMMYFUNCTION("""COMPUTED_VALUE"""),5.0)</f>
        <v>5</v>
      </c>
      <c r="CX243" s="179">
        <f>IFERROR(__xludf.DUMMYFUNCTION("""COMPUTED_VALUE"""),4.0)</f>
        <v>4</v>
      </c>
      <c r="CY243" s="16" t="str">
        <f>IFERROR(__xludf.DUMMYFUNCTION("""COMPUTED_VALUE"""),"RP")</f>
        <v>RP</v>
      </c>
      <c r="CZ243" s="16" t="str">
        <f>IFERROR(__xludf.DUMMYFUNCTION("""COMPUTED_VALUE"""),"CP")</f>
        <v>CP</v>
      </c>
      <c r="DA243" s="16"/>
      <c r="DB243" s="16"/>
      <c r="DC243" s="16"/>
      <c r="DD243" s="16"/>
      <c r="DE243" s="16"/>
      <c r="DF243" s="16"/>
      <c r="DG243" s="16"/>
      <c r="DH243" s="16"/>
      <c r="DI243" s="16"/>
      <c r="DJ243" s="16"/>
      <c r="DK243" s="16"/>
    </row>
    <row r="244">
      <c r="A244" s="16">
        <f>IFERROR(__xludf.DUMMYFUNCTION("""COMPUTED_VALUE"""),12714.0)</f>
        <v>12714</v>
      </c>
      <c r="B244" s="16" t="str">
        <f>IFERROR(__xludf.DUMMYFUNCTION("""COMPUTED_VALUE"""),"Craig Kimbrel")</f>
        <v>Craig Kimbrel</v>
      </c>
      <c r="C244" s="153">
        <f>IFERROR(__xludf.DUMMYFUNCTION("""COMPUTED_VALUE"""),0.0)</f>
        <v>0</v>
      </c>
      <c r="D244" s="16"/>
      <c r="E244" s="16" t="str">
        <f>IFERROR(__xludf.DUMMYFUNCTION("""COMPUTED_VALUE"""),"R")</f>
        <v>R</v>
      </c>
      <c r="F244" s="16">
        <f>IFERROR(__xludf.DUMMYFUNCTION("""COMPUTED_VALUE"""),52.0)</f>
        <v>52</v>
      </c>
      <c r="G244" s="16">
        <f>IFERROR(__xludf.DUMMYFUNCTION("""COMPUTED_VALUE"""),43.0)</f>
        <v>43</v>
      </c>
      <c r="H244" s="16">
        <f>IFERROR(__xludf.DUMMYFUNCTION("""COMPUTED_VALUE"""),42.0)</f>
        <v>42</v>
      </c>
      <c r="I244" s="16">
        <f>IFERROR(__xludf.DUMMYFUNCTION("""COMPUTED_VALUE"""),2.0)</f>
        <v>2</v>
      </c>
      <c r="J244" s="16">
        <f>IFERROR(__xludf.DUMMYFUNCTION("""COMPUTED_VALUE"""),2.0)</f>
        <v>2</v>
      </c>
      <c r="K244" s="16">
        <f>IFERROR(__xludf.DUMMYFUNCTION("""COMPUTED_VALUE"""),6.0)</f>
        <v>6</v>
      </c>
      <c r="L244" s="16">
        <f>IFERROR(__xludf.DUMMYFUNCTION("""COMPUTED_VALUE"""),6.0)</f>
        <v>6</v>
      </c>
      <c r="M244" s="16">
        <f>IFERROR(__xludf.DUMMYFUNCTION("""COMPUTED_VALUE"""),21.0)</f>
        <v>21</v>
      </c>
      <c r="N244" s="16">
        <f>IFERROR(__xludf.DUMMYFUNCTION("""COMPUTED_VALUE"""),20.0)</f>
        <v>20</v>
      </c>
      <c r="O244" s="16">
        <f>IFERROR(__xludf.DUMMYFUNCTION("""COMPUTED_VALUE"""),-3.0)</f>
        <v>-3</v>
      </c>
      <c r="P244" s="16">
        <f>IFERROR(__xludf.DUMMYFUNCTION("""COMPUTED_VALUE"""),-3.0)</f>
        <v>-3</v>
      </c>
      <c r="Q244" s="16">
        <f>IFERROR(__xludf.DUMMYFUNCTION("""COMPUTED_VALUE"""),-3.0)</f>
        <v>-3</v>
      </c>
      <c r="R244" s="16">
        <f>IFERROR(__xludf.DUMMYFUNCTION("""COMPUTED_VALUE"""),-3.0)</f>
        <v>-3</v>
      </c>
      <c r="S244" s="16">
        <f>IFERROR(__xludf.DUMMYFUNCTION("""COMPUTED_VALUE"""),6.3)</f>
        <v>6.3</v>
      </c>
      <c r="T244" s="16">
        <f>IFERROR(__xludf.DUMMYFUNCTION("""COMPUTED_VALUE"""),9.4)</f>
        <v>9.4</v>
      </c>
      <c r="U244" s="16">
        <f>IFERROR(__xludf.DUMMYFUNCTION("""COMPUTED_VALUE"""),2.0)</f>
        <v>2</v>
      </c>
      <c r="V244" s="16">
        <f>IFERROR(__xludf.DUMMYFUNCTION("""COMPUTED_VALUE"""),1.0)</f>
        <v>1</v>
      </c>
      <c r="W244" s="16">
        <f>IFERROR(__xludf.DUMMYFUNCTION("""COMPUTED_VALUE"""),4.0)</f>
        <v>4</v>
      </c>
      <c r="X244" s="16">
        <f>IFERROR(__xludf.DUMMYFUNCTION("""COMPUTED_VALUE"""),2.0)</f>
        <v>2</v>
      </c>
      <c r="Y244" s="16">
        <f>IFERROR(__xludf.DUMMYFUNCTION("""COMPUTED_VALUE"""),27.3)</f>
        <v>27.3</v>
      </c>
      <c r="Z244" s="16">
        <f>IFERROR(__xludf.DUMMYFUNCTION("""COMPUTED_VALUE"""),29.4)</f>
        <v>29.4</v>
      </c>
      <c r="AA244" s="16">
        <f>IFERROR(__xludf.DUMMYFUNCTION("""COMPUTED_VALUE"""),0.0)</f>
        <v>0</v>
      </c>
      <c r="AB244" s="16">
        <f>IFERROR(__xludf.DUMMYFUNCTION("""COMPUTED_VALUE"""),-1.0)</f>
        <v>-1</v>
      </c>
      <c r="AC244" s="16">
        <f>IFERROR(__xludf.DUMMYFUNCTION("""COMPUTED_VALUE"""),0.0)</f>
        <v>0</v>
      </c>
      <c r="AD244" s="16">
        <f>IFERROR(__xludf.DUMMYFUNCTION("""COMPUTED_VALUE"""),-5.0)</f>
        <v>-5</v>
      </c>
      <c r="AE244" s="16">
        <f>IFERROR(__xludf.DUMMYFUNCTION("""COMPUTED_VALUE"""),19.0)</f>
        <v>19</v>
      </c>
      <c r="AF244" s="16">
        <f>IFERROR(__xludf.DUMMYFUNCTION("""COMPUTED_VALUE"""),18.4)</f>
        <v>18.4</v>
      </c>
      <c r="AG244" s="16">
        <f>IFERROR(__xludf.DUMMYFUNCTION("""COMPUTED_VALUE"""),1.0)</f>
        <v>1</v>
      </c>
      <c r="AH244" s="16">
        <f>IFERROR(__xludf.DUMMYFUNCTION("""COMPUTED_VALUE"""),1.0)</f>
        <v>1</v>
      </c>
      <c r="AI244" s="16">
        <f>IFERROR(__xludf.DUMMYFUNCTION("""COMPUTED_VALUE"""),2.0)</f>
        <v>2</v>
      </c>
      <c r="AJ244" s="16">
        <f>IFERROR(__xludf.DUMMYFUNCTION("""COMPUTED_VALUE"""),2.0)</f>
        <v>2</v>
      </c>
      <c r="AK244" s="16">
        <f>IFERROR(__xludf.DUMMYFUNCTION("""COMPUTED_VALUE"""),2.0)</f>
        <v>2</v>
      </c>
      <c r="AL244" s="16">
        <f>IFERROR(__xludf.DUMMYFUNCTION("""COMPUTED_VALUE"""),9.4)</f>
        <v>9.4</v>
      </c>
      <c r="AM244" s="16">
        <f>IFERROR(__xludf.DUMMYFUNCTION("""COMPUTED_VALUE"""),2.0)</f>
        <v>2</v>
      </c>
      <c r="AN244" s="16">
        <f>IFERROR(__xludf.DUMMYFUNCTION("""COMPUTED_VALUE"""),1.0)</f>
        <v>1</v>
      </c>
      <c r="AO244" s="16">
        <f>IFERROR(__xludf.DUMMYFUNCTION("""COMPUTED_VALUE"""),2.0)</f>
        <v>2</v>
      </c>
      <c r="AP244" s="16">
        <f>IFERROR(__xludf.DUMMYFUNCTION("""COMPUTED_VALUE"""),1.0)</f>
        <v>1</v>
      </c>
      <c r="AQ244" s="16">
        <f>IFERROR(__xludf.DUMMYFUNCTION("""COMPUTED_VALUE"""),1.8000000000000007)</f>
        <v>1.8</v>
      </c>
      <c r="AR244" s="16">
        <f>IFERROR(__xludf.DUMMYFUNCTION("""COMPUTED_VALUE"""),18.4)</f>
        <v>18.4</v>
      </c>
      <c r="AS244" s="16">
        <f>IFERROR(__xludf.DUMMYFUNCTION("""COMPUTED_VALUE"""),2.0)</f>
        <v>2</v>
      </c>
      <c r="AT244" s="16">
        <f>IFERROR(__xludf.DUMMYFUNCTION("""COMPUTED_VALUE"""),0.0)</f>
        <v>0</v>
      </c>
      <c r="AU244" s="16">
        <f>IFERROR(__xludf.DUMMYFUNCTION("""COMPUTED_VALUE"""),4.0)</f>
        <v>4</v>
      </c>
      <c r="AV244" s="16">
        <f>IFERROR(__xludf.DUMMYFUNCTION("""COMPUTED_VALUE"""),0.0)</f>
        <v>0</v>
      </c>
      <c r="AW244" s="16">
        <f>IFERROR(__xludf.DUMMYFUNCTION("""COMPUTED_VALUE"""),4.3)</f>
        <v>4.3</v>
      </c>
      <c r="AX244" s="16">
        <f>IFERROR(__xludf.DUMMYFUNCTION("""COMPUTED_VALUE"""),0.0)</f>
        <v>0</v>
      </c>
      <c r="AY244" s="16">
        <f>IFERROR(__xludf.DUMMYFUNCTION("""COMPUTED_VALUE"""),-2.0)</f>
        <v>-2</v>
      </c>
      <c r="AZ244" s="16">
        <f>IFERROR(__xludf.DUMMYFUNCTION("""COMPUTED_VALUE"""),2.0)</f>
        <v>2</v>
      </c>
      <c r="BA244" s="16">
        <f>IFERROR(__xludf.DUMMYFUNCTION("""COMPUTED_VALUE"""),-10.0)</f>
        <v>-10</v>
      </c>
      <c r="BB244" s="16">
        <f>IFERROR(__xludf.DUMMYFUNCTION("""COMPUTED_VALUE"""),10.0)</f>
        <v>10</v>
      </c>
      <c r="BC244" s="16"/>
      <c r="BD244" s="16">
        <f>IFERROR(__xludf.DUMMYFUNCTION("""COMPUTED_VALUE"""),0.0)</f>
        <v>0</v>
      </c>
      <c r="BE244" s="16">
        <f>IFERROR(__xludf.DUMMYFUNCTION("""COMPUTED_VALUE"""),7.0)</f>
        <v>7</v>
      </c>
      <c r="BF244" s="16">
        <f>IFERROR(__xludf.DUMMYFUNCTION("""COMPUTED_VALUE"""),0.0)</f>
        <v>0</v>
      </c>
      <c r="BG244" s="16">
        <f>IFERROR(__xludf.DUMMYFUNCTION("""COMPUTED_VALUE"""),-3.0)</f>
        <v>-3</v>
      </c>
      <c r="BH244" s="16">
        <f>IFERROR(__xludf.DUMMYFUNCTION("""COMPUTED_VALUE"""),2.0)</f>
        <v>2</v>
      </c>
      <c r="BI244" s="16">
        <f>IFERROR(__xludf.DUMMYFUNCTION("""COMPUTED_VALUE"""),-6.0)</f>
        <v>-6</v>
      </c>
      <c r="BJ244" s="16">
        <f>IFERROR(__xludf.DUMMYFUNCTION("""COMPUTED_VALUE"""),4.0)</f>
        <v>4</v>
      </c>
      <c r="BK244" s="16">
        <f>IFERROR(__xludf.DUMMYFUNCTION("""COMPUTED_VALUE"""),0.0)</f>
        <v>0</v>
      </c>
      <c r="BL244" s="16">
        <f>IFERROR(__xludf.DUMMYFUNCTION("""COMPUTED_VALUE"""),5.0)</f>
        <v>5</v>
      </c>
      <c r="BM244" s="16">
        <f>IFERROR(__xludf.DUMMYFUNCTION("""COMPUTED_VALUE"""),1.0)</f>
        <v>1</v>
      </c>
      <c r="BN244" s="16">
        <f>IFERROR(__xludf.DUMMYFUNCTION("""COMPUTED_VALUE"""),0.0)</f>
        <v>0</v>
      </c>
      <c r="BO244" s="16">
        <f>IFERROR(__xludf.DUMMYFUNCTION("""COMPUTED_VALUE"""),1.0)</f>
        <v>1</v>
      </c>
      <c r="BP244" s="16">
        <f>IFERROR(__xludf.DUMMYFUNCTION("""COMPUTED_VALUE"""),0.0)</f>
        <v>0</v>
      </c>
      <c r="BQ244" s="16">
        <f>IFERROR(__xludf.DUMMYFUNCTION("""COMPUTED_VALUE"""),0.0)</f>
        <v>0</v>
      </c>
      <c r="BR244" s="16">
        <f>IFERROR(__xludf.DUMMYFUNCTION("""COMPUTED_VALUE"""),0.0)</f>
        <v>0</v>
      </c>
      <c r="BS244" s="16">
        <f>IFERROR(__xludf.DUMMYFUNCTION("""COMPUTED_VALUE"""),-3.0)</f>
        <v>-3</v>
      </c>
      <c r="BT244" s="16">
        <f>IFERROR(__xludf.DUMMYFUNCTION("""COMPUTED_VALUE"""),-3.0)</f>
        <v>-3</v>
      </c>
      <c r="BU244" s="16">
        <f>IFERROR(__xludf.DUMMYFUNCTION("""COMPUTED_VALUE"""),-6.0)</f>
        <v>-6</v>
      </c>
      <c r="BV244" s="16">
        <f>IFERROR(__xludf.DUMMYFUNCTION("""COMPUTED_VALUE"""),-6.0)</f>
        <v>-6</v>
      </c>
      <c r="BW244" s="16">
        <f>IFERROR(__xludf.DUMMYFUNCTION("""COMPUTED_VALUE"""),9.0)</f>
        <v>9</v>
      </c>
      <c r="BX244" s="16">
        <f>IFERROR(__xludf.DUMMYFUNCTION("""COMPUTED_VALUE"""),9.0)</f>
        <v>9</v>
      </c>
      <c r="BY244" s="16" t="str">
        <f>IFERROR(__xludf.DUMMYFUNCTION("""COMPUTED_VALUE"""),"R(1) C(5)")</f>
        <v>R(1) C(5)</v>
      </c>
      <c r="BZ244" s="16" t="str">
        <f>IFERROR(__xludf.DUMMYFUNCTION("""COMPUTED_VALUE"""),"R(1) C(5)")</f>
        <v>R(1) C(5)</v>
      </c>
      <c r="CA244" s="16" t="str">
        <f>IFERROR(__xludf.DUMMYFUNCTION("""COMPUTED_VALUE"""),"R(1)")</f>
        <v>R(1)</v>
      </c>
      <c r="CB244" s="16" t="str">
        <f>IFERROR(__xludf.DUMMYFUNCTION("""COMPUTED_VALUE"""),"C(5)")</f>
        <v>C(5)</v>
      </c>
      <c r="CC244" s="16"/>
      <c r="CD244" s="16"/>
      <c r="CE244" s="16">
        <f>IFERROR(__xludf.DUMMYFUNCTION("""COMPUTED_VALUE"""),1.0)</f>
        <v>1</v>
      </c>
      <c r="CF244" s="16">
        <f>IFERROR(__xludf.DUMMYFUNCTION("""COMPUTED_VALUE"""),5.0)</f>
        <v>5</v>
      </c>
      <c r="CG244" s="16" t="str">
        <f>IFERROR(__xludf.DUMMYFUNCTION("""COMPUTED_VALUE"""),"4-28")</f>
        <v>4-28</v>
      </c>
      <c r="CH244" s="16">
        <f>IFERROR(__xludf.DUMMYFUNCTION("""COMPUTED_VALUE"""),4.0)</f>
        <v>4</v>
      </c>
      <c r="CI244" s="16">
        <f>IFERROR(__xludf.DUMMYFUNCTION("""COMPUTED_VALUE"""),28.0)</f>
        <v>28</v>
      </c>
      <c r="CJ244" s="16">
        <f>IFERROR(__xludf.DUMMYFUNCTION("""COMPUTED_VALUE"""),6.0)</f>
        <v>6</v>
      </c>
      <c r="CK244" s="16">
        <f>IFERROR(__xludf.DUMMYFUNCTION("""COMPUTED_VALUE"""),12.0)</f>
        <v>12</v>
      </c>
      <c r="CL244" s="16" t="str">
        <f>IFERROR(__xludf.DUMMYFUNCTION("""COMPUTED_VALUE"""),"1WR-C")</f>
        <v>1WR-C</v>
      </c>
      <c r="CM244" s="16" t="str">
        <f>IFERROR(__xludf.DUMMYFUNCTION("""COMPUTED_VALUE"""),"E")</f>
        <v>E</v>
      </c>
      <c r="CN244" s="16">
        <f>IFERROR(__xludf.DUMMYFUNCTION("""COMPUTED_VALUE"""),10.0)</f>
        <v>10</v>
      </c>
      <c r="CO244" s="16" t="str">
        <f>IFERROR(__xludf.DUMMYFUNCTION("""COMPUTED_VALUE"""),"C")</f>
        <v>C</v>
      </c>
      <c r="CP244" s="16" t="str">
        <f>IFERROR(__xludf.DUMMYFUNCTION("""COMPUTED_VALUE"""),"1p50")</f>
        <v>1p50</v>
      </c>
      <c r="CQ244" s="16">
        <f>IFERROR(__xludf.DUMMYFUNCTION("""COMPUTED_VALUE"""),-6.0)</f>
        <v>-6</v>
      </c>
      <c r="CR244" s="16">
        <f>IFERROR(__xludf.DUMMYFUNCTION("""COMPUTED_VALUE"""),11.0)</f>
        <v>11</v>
      </c>
      <c r="CS244" s="16">
        <f>IFERROR(__xludf.DUMMYFUNCTION("""COMPUTED_VALUE"""),5.0)</f>
        <v>5</v>
      </c>
      <c r="CT244" s="16">
        <f>IFERROR(__xludf.DUMMYFUNCTION("""COMPUTED_VALUE"""),-6.0)</f>
        <v>-6</v>
      </c>
      <c r="CU244" s="16">
        <f>IFERROR(__xludf.DUMMYFUNCTION("""COMPUTED_VALUE"""),11.0)</f>
        <v>11</v>
      </c>
      <c r="CV244" s="179">
        <f>IFERROR(__xludf.DUMMYFUNCTION("""COMPUTED_VALUE"""),3.6666666666666665)</f>
        <v>3.666666667</v>
      </c>
      <c r="CW244" s="179">
        <f>IFERROR(__xludf.DUMMYFUNCTION("""COMPUTED_VALUE"""),4.0)</f>
        <v>4</v>
      </c>
      <c r="CX244" s="179">
        <f>IFERROR(__xludf.DUMMYFUNCTION("""COMPUTED_VALUE"""),0.0)</f>
        <v>0</v>
      </c>
      <c r="CY244" s="16" t="str">
        <f>IFERROR(__xludf.DUMMYFUNCTION("""COMPUTED_VALUE"""),"RP")</f>
        <v>RP</v>
      </c>
      <c r="CZ244" s="16" t="str">
        <f>IFERROR(__xludf.DUMMYFUNCTION("""COMPUTED_VALUE"""),"CP")</f>
        <v>CP</v>
      </c>
      <c r="DA244" s="16"/>
      <c r="DB244" s="16"/>
      <c r="DC244" s="16"/>
      <c r="DD244" s="16"/>
      <c r="DE244" s="16"/>
      <c r="DF244" s="16"/>
      <c r="DG244" s="16"/>
      <c r="DH244" s="16"/>
      <c r="DI244" s="16"/>
      <c r="DJ244" s="16"/>
      <c r="DK244" s="16"/>
    </row>
    <row r="245">
      <c r="A245" s="16">
        <f>IFERROR(__xludf.DUMMYFUNCTION("""COMPUTED_VALUE"""),13129.0)</f>
        <v>13129</v>
      </c>
      <c r="B245" s="16" t="str">
        <f>IFERROR(__xludf.DUMMYFUNCTION("""COMPUTED_VALUE"""),"Luis Garcia")</f>
        <v>Luis Garcia</v>
      </c>
      <c r="C245" s="153">
        <f>IFERROR(__xludf.DUMMYFUNCTION("""COMPUTED_VALUE"""),0.0)</f>
        <v>0</v>
      </c>
      <c r="D245" s="16"/>
      <c r="E245" s="16" t="str">
        <f>IFERROR(__xludf.DUMMYFUNCTION("""COMPUTED_VALUE"""),"R")</f>
        <v>R</v>
      </c>
      <c r="F245" s="16">
        <f>IFERROR(__xludf.DUMMYFUNCTION("""COMPUTED_VALUE"""),59.0)</f>
        <v>59</v>
      </c>
      <c r="G245" s="16">
        <f>IFERROR(__xludf.DUMMYFUNCTION("""COMPUTED_VALUE"""),27.0)</f>
        <v>27</v>
      </c>
      <c r="H245" s="16">
        <f>IFERROR(__xludf.DUMMYFUNCTION("""COMPUTED_VALUE"""),17.0)</f>
        <v>17</v>
      </c>
      <c r="I245" s="16">
        <f>IFERROR(__xludf.DUMMYFUNCTION("""COMPUTED_VALUE"""),0.0)</f>
        <v>0</v>
      </c>
      <c r="J245" s="16">
        <f>IFERROR(__xludf.DUMMYFUNCTION("""COMPUTED_VALUE"""),-1.0)</f>
        <v>-1</v>
      </c>
      <c r="K245" s="16">
        <f>IFERROR(__xludf.DUMMYFUNCTION("""COMPUTED_VALUE"""),0.0)</f>
        <v>0</v>
      </c>
      <c r="L245" s="16">
        <f>IFERROR(__xludf.DUMMYFUNCTION("""COMPUTED_VALUE"""),-3.0)</f>
        <v>-3</v>
      </c>
      <c r="M245" s="16">
        <f>IFERROR(__xludf.DUMMYFUNCTION("""COMPUTED_VALUE"""),6.0)</f>
        <v>6</v>
      </c>
      <c r="N245" s="16">
        <f>IFERROR(__xludf.DUMMYFUNCTION("""COMPUTED_VALUE"""),0.0)</f>
        <v>0</v>
      </c>
      <c r="O245" s="16">
        <f>IFERROR(__xludf.DUMMYFUNCTION("""COMPUTED_VALUE"""),1.0)</f>
        <v>1</v>
      </c>
      <c r="P245" s="16">
        <f>IFERROR(__xludf.DUMMYFUNCTION("""COMPUTED_VALUE"""),3.0)</f>
        <v>3</v>
      </c>
      <c r="Q245" s="16">
        <f>IFERROR(__xludf.DUMMYFUNCTION("""COMPUTED_VALUE"""),1.0)</f>
        <v>1</v>
      </c>
      <c r="R245" s="16">
        <f>IFERROR(__xludf.DUMMYFUNCTION("""COMPUTED_VALUE"""),3.0)</f>
        <v>3</v>
      </c>
      <c r="S245" s="16">
        <f>IFERROR(__xludf.DUMMYFUNCTION("""COMPUTED_VALUE"""),20.7)</f>
        <v>20.7</v>
      </c>
      <c r="T245" s="16">
        <f>IFERROR(__xludf.DUMMYFUNCTION("""COMPUTED_VALUE"""),19.3)</f>
        <v>19.3</v>
      </c>
      <c r="U245" s="16">
        <f>IFERROR(__xludf.DUMMYFUNCTION("""COMPUTED_VALUE"""),-1.0)</f>
        <v>-1</v>
      </c>
      <c r="V245" s="16">
        <f>IFERROR(__xludf.DUMMYFUNCTION("""COMPUTED_VALUE"""),-1.0)</f>
        <v>-1</v>
      </c>
      <c r="W245" s="16">
        <f>IFERROR(__xludf.DUMMYFUNCTION("""COMPUTED_VALUE"""),-2.0)</f>
        <v>-2</v>
      </c>
      <c r="X245" s="16">
        <f>IFERROR(__xludf.DUMMYFUNCTION("""COMPUTED_VALUE"""),-2.0)</f>
        <v>-2</v>
      </c>
      <c r="Y245" s="16">
        <f>IFERROR(__xludf.DUMMYFUNCTION("""COMPUTED_VALUE"""),26.7)</f>
        <v>26.7</v>
      </c>
      <c r="Z245" s="16">
        <f>IFERROR(__xludf.DUMMYFUNCTION("""COMPUTED_VALUE"""),19.3)</f>
        <v>19.3</v>
      </c>
      <c r="AA245" s="16">
        <f>IFERROR(__xludf.DUMMYFUNCTION("""COMPUTED_VALUE"""),0.0)</f>
        <v>0</v>
      </c>
      <c r="AB245" s="16">
        <f>IFERROR(__xludf.DUMMYFUNCTION("""COMPUTED_VALUE"""),1.0)</f>
        <v>1</v>
      </c>
      <c r="AC245" s="16">
        <f>IFERROR(__xludf.DUMMYFUNCTION("""COMPUTED_VALUE"""),0.0)</f>
        <v>0</v>
      </c>
      <c r="AD245" s="16">
        <f>IFERROR(__xludf.DUMMYFUNCTION("""COMPUTED_VALUE"""),5.0)</f>
        <v>5</v>
      </c>
      <c r="AE245" s="16">
        <f>IFERROR(__xludf.DUMMYFUNCTION("""COMPUTED_VALUE"""),33.2)</f>
        <v>33.2</v>
      </c>
      <c r="AF245" s="16">
        <f>IFERROR(__xludf.DUMMYFUNCTION("""COMPUTED_VALUE"""),32.6)</f>
        <v>32.6</v>
      </c>
      <c r="AG245" s="16">
        <f>IFERROR(__xludf.DUMMYFUNCTION("""COMPUTED_VALUE"""),-1.0)</f>
        <v>-1</v>
      </c>
      <c r="AH245" s="16">
        <f>IFERROR(__xludf.DUMMYFUNCTION("""COMPUTED_VALUE"""),0.0)</f>
        <v>0</v>
      </c>
      <c r="AI245" s="16">
        <f>IFERROR(__xludf.DUMMYFUNCTION("""COMPUTED_VALUE"""),-2.0)</f>
        <v>-2</v>
      </c>
      <c r="AJ245" s="16">
        <f>IFERROR(__xludf.DUMMYFUNCTION("""COMPUTED_VALUE"""),0.0)</f>
        <v>0</v>
      </c>
      <c r="AK245" s="16">
        <f>IFERROR(__xludf.DUMMYFUNCTION("""COMPUTED_VALUE"""),19.099999999999998)</f>
        <v>19.1</v>
      </c>
      <c r="AL245" s="16">
        <f>IFERROR(__xludf.DUMMYFUNCTION("""COMPUTED_VALUE"""),16.900000000000002)</f>
        <v>16.9</v>
      </c>
      <c r="AM245" s="16">
        <f>IFERROR(__xludf.DUMMYFUNCTION("""COMPUTED_VALUE"""),-1.0)</f>
        <v>-1</v>
      </c>
      <c r="AN245" s="16">
        <f>IFERROR(__xludf.DUMMYFUNCTION("""COMPUTED_VALUE"""),-1.0)</f>
        <v>-1</v>
      </c>
      <c r="AO245" s="16">
        <f>IFERROR(__xludf.DUMMYFUNCTION("""COMPUTED_VALUE"""),-1.0)</f>
        <v>-1</v>
      </c>
      <c r="AP245" s="16">
        <f>IFERROR(__xludf.DUMMYFUNCTION("""COMPUTED_VALUE"""),-1.0)</f>
        <v>-1</v>
      </c>
      <c r="AQ245" s="16">
        <f>IFERROR(__xludf.DUMMYFUNCTION("""COMPUTED_VALUE"""),26.800000000000004)</f>
        <v>26.8</v>
      </c>
      <c r="AR245" s="16">
        <f>IFERROR(__xludf.DUMMYFUNCTION("""COMPUTED_VALUE"""),23.0)</f>
        <v>23</v>
      </c>
      <c r="AS245" s="16">
        <f>IFERROR(__xludf.DUMMYFUNCTION("""COMPUTED_VALUE"""),-1.0)</f>
        <v>-1</v>
      </c>
      <c r="AT245" s="16">
        <f>IFERROR(__xludf.DUMMYFUNCTION("""COMPUTED_VALUE"""),0.0)</f>
        <v>0</v>
      </c>
      <c r="AU245" s="16">
        <f>IFERROR(__xludf.DUMMYFUNCTION("""COMPUTED_VALUE"""),-2.0)</f>
        <v>-2</v>
      </c>
      <c r="AV245" s="16">
        <f>IFERROR(__xludf.DUMMYFUNCTION("""COMPUTED_VALUE"""),0.0)</f>
        <v>0</v>
      </c>
      <c r="AW245" s="16">
        <f>IFERROR(__xludf.DUMMYFUNCTION("""COMPUTED_VALUE"""),1.6)</f>
        <v>1.6</v>
      </c>
      <c r="AX245" s="16">
        <f>IFERROR(__xludf.DUMMYFUNCTION("""COMPUTED_VALUE"""),2.4)</f>
        <v>2.4</v>
      </c>
      <c r="AY245" s="16">
        <f>IFERROR(__xludf.DUMMYFUNCTION("""COMPUTED_VALUE"""),1.0)</f>
        <v>1</v>
      </c>
      <c r="AZ245" s="16">
        <f>IFERROR(__xludf.DUMMYFUNCTION("""COMPUTED_VALUE"""),0.0)</f>
        <v>0</v>
      </c>
      <c r="BA245" s="16">
        <f>IFERROR(__xludf.DUMMYFUNCTION("""COMPUTED_VALUE"""),5.0)</f>
        <v>5</v>
      </c>
      <c r="BB245" s="16">
        <f>IFERROR(__xludf.DUMMYFUNCTION("""COMPUTED_VALUE"""),0.0)</f>
        <v>0</v>
      </c>
      <c r="BC245" s="16">
        <f>IFERROR(__xludf.DUMMYFUNCTION("""COMPUTED_VALUE"""),2.0)</f>
        <v>2</v>
      </c>
      <c r="BD245" s="16">
        <f>IFERROR(__xludf.DUMMYFUNCTION("""COMPUTED_VALUE"""),4.0)</f>
        <v>4</v>
      </c>
      <c r="BE245" s="16">
        <f>IFERROR(__xludf.DUMMYFUNCTION("""COMPUTED_VALUE"""),2.0)</f>
        <v>2</v>
      </c>
      <c r="BF245" s="16">
        <f>IFERROR(__xludf.DUMMYFUNCTION("""COMPUTED_VALUE"""),4.0)</f>
        <v>4</v>
      </c>
      <c r="BG245" s="16">
        <f>IFERROR(__xludf.DUMMYFUNCTION("""COMPUTED_VALUE"""),1.0)</f>
        <v>1</v>
      </c>
      <c r="BH245" s="16">
        <f>IFERROR(__xludf.DUMMYFUNCTION("""COMPUTED_VALUE"""),-1.0)</f>
        <v>-1</v>
      </c>
      <c r="BI245" s="16">
        <f>IFERROR(__xludf.DUMMYFUNCTION("""COMPUTED_VALUE"""),2.0)</f>
        <v>2</v>
      </c>
      <c r="BJ245" s="16">
        <f>IFERROR(__xludf.DUMMYFUNCTION("""COMPUTED_VALUE"""),-2.0)</f>
        <v>-2</v>
      </c>
      <c r="BK245" s="16">
        <f>IFERROR(__xludf.DUMMYFUNCTION("""COMPUTED_VALUE"""),5.0)</f>
        <v>5</v>
      </c>
      <c r="BL245" s="16">
        <f>IFERROR(__xludf.DUMMYFUNCTION("""COMPUTED_VALUE"""),5.0)</f>
        <v>5</v>
      </c>
      <c r="BM245" s="16">
        <f>IFERROR(__xludf.DUMMYFUNCTION("""COMPUTED_VALUE"""),0.0)</f>
        <v>0</v>
      </c>
      <c r="BN245" s="16">
        <f>IFERROR(__xludf.DUMMYFUNCTION("""COMPUTED_VALUE"""),0.0)</f>
        <v>0</v>
      </c>
      <c r="BO245" s="16">
        <f>IFERROR(__xludf.DUMMYFUNCTION("""COMPUTED_VALUE"""),0.0)</f>
        <v>0</v>
      </c>
      <c r="BP245" s="16">
        <f>IFERROR(__xludf.DUMMYFUNCTION("""COMPUTED_VALUE"""),0.0)</f>
        <v>0</v>
      </c>
      <c r="BQ245" s="16">
        <f>IFERROR(__xludf.DUMMYFUNCTION("""COMPUTED_VALUE"""),5.0)</f>
        <v>5</v>
      </c>
      <c r="BR245" s="16">
        <f>IFERROR(__xludf.DUMMYFUNCTION("""COMPUTED_VALUE"""),5.0)</f>
        <v>5</v>
      </c>
      <c r="BS245" s="16">
        <f>IFERROR(__xludf.DUMMYFUNCTION("""COMPUTED_VALUE"""),0.0)</f>
        <v>0</v>
      </c>
      <c r="BT245" s="16">
        <f>IFERROR(__xludf.DUMMYFUNCTION("""COMPUTED_VALUE"""),0.0)</f>
        <v>0</v>
      </c>
      <c r="BU245" s="16">
        <f>IFERROR(__xludf.DUMMYFUNCTION("""COMPUTED_VALUE"""),0.0)</f>
        <v>0</v>
      </c>
      <c r="BV245" s="16">
        <f>IFERROR(__xludf.DUMMYFUNCTION("""COMPUTED_VALUE"""),0.0)</f>
        <v>0</v>
      </c>
      <c r="BW245" s="16">
        <f>IFERROR(__xludf.DUMMYFUNCTION("""COMPUTED_VALUE"""),6.0)</f>
        <v>6</v>
      </c>
      <c r="BX245" s="16">
        <f>IFERROR(__xludf.DUMMYFUNCTION("""COMPUTED_VALUE"""),6.0)</f>
        <v>6</v>
      </c>
      <c r="BY245" s="16" t="str">
        <f>IFERROR(__xludf.DUMMYFUNCTION("""COMPUTED_VALUE"""),"R(1) C(2)")</f>
        <v>R(1) C(2)</v>
      </c>
      <c r="BZ245" s="16" t="str">
        <f>IFERROR(__xludf.DUMMYFUNCTION("""COMPUTED_VALUE"""),"R(1) C(2)")</f>
        <v>R(1) C(2)</v>
      </c>
      <c r="CA245" s="16" t="str">
        <f>IFERROR(__xludf.DUMMYFUNCTION("""COMPUTED_VALUE"""),"R(1)")</f>
        <v>R(1)</v>
      </c>
      <c r="CB245" s="16" t="str">
        <f>IFERROR(__xludf.DUMMYFUNCTION("""COMPUTED_VALUE"""),"C(2)")</f>
        <v>C(2)</v>
      </c>
      <c r="CC245" s="16"/>
      <c r="CD245" s="16"/>
      <c r="CE245" s="16">
        <f>IFERROR(__xludf.DUMMYFUNCTION("""COMPUTED_VALUE"""),1.0)</f>
        <v>1</v>
      </c>
      <c r="CF245" s="16">
        <f>IFERROR(__xludf.DUMMYFUNCTION("""COMPUTED_VALUE"""),2.0)</f>
        <v>2</v>
      </c>
      <c r="CG245" s="16" t="str">
        <f>IFERROR(__xludf.DUMMYFUNCTION("""COMPUTED_VALUE"""),"3-0")</f>
        <v>3-0</v>
      </c>
      <c r="CH245" s="16">
        <f>IFERROR(__xludf.DUMMYFUNCTION("""COMPUTED_VALUE"""),3.0)</f>
        <v>3</v>
      </c>
      <c r="CI245" s="16">
        <f>IFERROR(__xludf.DUMMYFUNCTION("""COMPUTED_VALUE"""),0.0)</f>
        <v>0</v>
      </c>
      <c r="CJ245" s="16">
        <f>IFERROR(__xludf.DUMMYFUNCTION("""COMPUTED_VALUE"""),0.0)</f>
        <v>0</v>
      </c>
      <c r="CK245" s="16">
        <f>IFERROR(__xludf.DUMMYFUNCTION("""COMPUTED_VALUE"""),19.0)</f>
        <v>19</v>
      </c>
      <c r="CL245" s="16" t="str">
        <f>IFERROR(__xludf.DUMMYFUNCTION("""COMPUTED_VALUE"""),"1WR-C")</f>
        <v>1WR-C</v>
      </c>
      <c r="CM245" s="16" t="str">
        <f>IFERROR(__xludf.DUMMYFUNCTION("""COMPUTED_VALUE"""),"E")</f>
        <v>E</v>
      </c>
      <c r="CN245" s="16">
        <f>IFERROR(__xludf.DUMMYFUNCTION("""COMPUTED_VALUE"""),10.0)</f>
        <v>10</v>
      </c>
      <c r="CO245" s="16" t="str">
        <f>IFERROR(__xludf.DUMMYFUNCTION("""COMPUTED_VALUE"""),"C")</f>
        <v>C</v>
      </c>
      <c r="CP245" s="16" t="str">
        <f>IFERROR(__xludf.DUMMYFUNCTION("""COMPUTED_VALUE"""),"2p50")</f>
        <v>2p50</v>
      </c>
      <c r="CQ245" s="16">
        <f>IFERROR(__xludf.DUMMYFUNCTION("""COMPUTED_VALUE"""),1.0)</f>
        <v>1</v>
      </c>
      <c r="CR245" s="16">
        <f>IFERROR(__xludf.DUMMYFUNCTION("""COMPUTED_VALUE"""),0.0)</f>
        <v>0</v>
      </c>
      <c r="CS245" s="16">
        <f>IFERROR(__xludf.DUMMYFUNCTION("""COMPUTED_VALUE"""),1.0)</f>
        <v>1</v>
      </c>
      <c r="CT245" s="16">
        <f>IFERROR(__xludf.DUMMYFUNCTION("""COMPUTED_VALUE"""),1.0)</f>
        <v>1</v>
      </c>
      <c r="CU245" s="16">
        <f>IFERROR(__xludf.DUMMYFUNCTION("""COMPUTED_VALUE"""),0.0)</f>
        <v>0</v>
      </c>
      <c r="CV245" s="179">
        <f>IFERROR(__xludf.DUMMYFUNCTION("""COMPUTED_VALUE"""),3.3333333333333335)</f>
        <v>3.333333333</v>
      </c>
      <c r="CW245" s="179">
        <f>IFERROR(__xludf.DUMMYFUNCTION("""COMPUTED_VALUE"""),3.0)</f>
        <v>3</v>
      </c>
      <c r="CX245" s="179">
        <f>IFERROR(__xludf.DUMMYFUNCTION("""COMPUTED_VALUE"""),0.0)</f>
        <v>0</v>
      </c>
      <c r="CY245" s="16" t="str">
        <f>IFERROR(__xludf.DUMMYFUNCTION("""COMPUTED_VALUE"""),"RP")</f>
        <v>RP</v>
      </c>
      <c r="CZ245" s="16" t="str">
        <f>IFERROR(__xludf.DUMMYFUNCTION("""COMPUTED_VALUE"""),"CP")</f>
        <v>CP</v>
      </c>
      <c r="DA245" s="16"/>
      <c r="DB245" s="16"/>
      <c r="DC245" s="16"/>
      <c r="DD245" s="16"/>
      <c r="DE245" s="16"/>
      <c r="DF245" s="16"/>
      <c r="DG245" s="16"/>
      <c r="DH245" s="16"/>
      <c r="DI245" s="16"/>
      <c r="DJ245" s="16"/>
      <c r="DK245" s="16"/>
    </row>
    <row r="246">
      <c r="A246" s="16">
        <f>IFERROR(__xludf.DUMMYFUNCTION("""COMPUTED_VALUE"""),13461.0)</f>
        <v>13461</v>
      </c>
      <c r="B246" s="16" t="str">
        <f>IFERROR(__xludf.DUMMYFUNCTION("""COMPUTED_VALUE"""),"Tylor Megill")</f>
        <v>Tylor Megill</v>
      </c>
      <c r="C246" s="153">
        <f>IFERROR(__xludf.DUMMYFUNCTION("""COMPUTED_VALUE"""),0.48)</f>
        <v>0.48</v>
      </c>
      <c r="D246" s="16"/>
      <c r="E246" s="16" t="str">
        <f>IFERROR(__xludf.DUMMYFUNCTION("""COMPUTED_VALUE"""),"R")</f>
        <v>R</v>
      </c>
      <c r="F246" s="16">
        <f>IFERROR(__xludf.DUMMYFUNCTION("""COMPUTED_VALUE"""),78.0)</f>
        <v>78</v>
      </c>
      <c r="G246" s="16">
        <f>IFERROR(__xludf.DUMMYFUNCTION("""COMPUTED_VALUE"""),39.0)</f>
        <v>39</v>
      </c>
      <c r="H246" s="16">
        <f>IFERROR(__xludf.DUMMYFUNCTION("""COMPUTED_VALUE"""),28.0)</f>
        <v>28</v>
      </c>
      <c r="I246" s="16">
        <f>IFERROR(__xludf.DUMMYFUNCTION("""COMPUTED_VALUE"""),2.0)</f>
        <v>2</v>
      </c>
      <c r="J246" s="16">
        <f>IFERROR(__xludf.DUMMYFUNCTION("""COMPUTED_VALUE"""),0.0)</f>
        <v>0</v>
      </c>
      <c r="K246" s="16">
        <f>IFERROR(__xludf.DUMMYFUNCTION("""COMPUTED_VALUE"""),6.0)</f>
        <v>6</v>
      </c>
      <c r="L246" s="16">
        <f>IFERROR(__xludf.DUMMYFUNCTION("""COMPUTED_VALUE"""),0.0)</f>
        <v>0</v>
      </c>
      <c r="M246" s="16">
        <f>IFERROR(__xludf.DUMMYFUNCTION("""COMPUTED_VALUE"""),15.0)</f>
        <v>15</v>
      </c>
      <c r="N246" s="16">
        <f>IFERROR(__xludf.DUMMYFUNCTION("""COMPUTED_VALUE"""),10.0)</f>
        <v>10</v>
      </c>
      <c r="O246" s="16">
        <f>IFERROR(__xludf.DUMMYFUNCTION("""COMPUTED_VALUE"""),-2.0)</f>
        <v>-2</v>
      </c>
      <c r="P246" s="16">
        <f>IFERROR(__xludf.DUMMYFUNCTION("""COMPUTED_VALUE"""),-1.0)</f>
        <v>-1</v>
      </c>
      <c r="Q246" s="16">
        <f>IFERROR(__xludf.DUMMYFUNCTION("""COMPUTED_VALUE"""),-2.0)</f>
        <v>-2</v>
      </c>
      <c r="R246" s="16">
        <f>IFERROR(__xludf.DUMMYFUNCTION("""COMPUTED_VALUE"""),-1.0)</f>
        <v>-1</v>
      </c>
      <c r="S246" s="16">
        <f>IFERROR(__xludf.DUMMYFUNCTION("""COMPUTED_VALUE"""),15.0)</f>
        <v>15</v>
      </c>
      <c r="T246" s="16">
        <f>IFERROR(__xludf.DUMMYFUNCTION("""COMPUTED_VALUE"""),17.1)</f>
        <v>17.1</v>
      </c>
      <c r="U246" s="16">
        <f>IFERROR(__xludf.DUMMYFUNCTION("""COMPUTED_VALUE"""),0.0)</f>
        <v>0</v>
      </c>
      <c r="V246" s="16">
        <f>IFERROR(__xludf.DUMMYFUNCTION("""COMPUTED_VALUE"""),0.0)</f>
        <v>0</v>
      </c>
      <c r="W246" s="16">
        <f>IFERROR(__xludf.DUMMYFUNCTION("""COMPUTED_VALUE"""),0.0)</f>
        <v>0</v>
      </c>
      <c r="X246" s="16">
        <f>IFERROR(__xludf.DUMMYFUNCTION("""COMPUTED_VALUE"""),0.0)</f>
        <v>0</v>
      </c>
      <c r="Y246" s="16">
        <f>IFERROR(__xludf.DUMMYFUNCTION("""COMPUTED_VALUE"""),30.0)</f>
        <v>30</v>
      </c>
      <c r="Z246" s="16">
        <f>IFERROR(__xludf.DUMMYFUNCTION("""COMPUTED_VALUE"""),27.0)</f>
        <v>27</v>
      </c>
      <c r="AA246" s="16">
        <f>IFERROR(__xludf.DUMMYFUNCTION("""COMPUTED_VALUE"""),-1.0)</f>
        <v>-1</v>
      </c>
      <c r="AB246" s="16">
        <f>IFERROR(__xludf.DUMMYFUNCTION("""COMPUTED_VALUE"""),0.0)</f>
        <v>0</v>
      </c>
      <c r="AC246" s="16">
        <f>IFERROR(__xludf.DUMMYFUNCTION("""COMPUTED_VALUE"""),-5.0)</f>
        <v>-5</v>
      </c>
      <c r="AD246" s="16">
        <f>IFERROR(__xludf.DUMMYFUNCTION("""COMPUTED_VALUE"""),0.0)</f>
        <v>0</v>
      </c>
      <c r="AE246" s="16">
        <f>IFERROR(__xludf.DUMMYFUNCTION("""COMPUTED_VALUE"""),22.7)</f>
        <v>22.7</v>
      </c>
      <c r="AF246" s="16">
        <f>IFERROR(__xludf.DUMMYFUNCTION("""COMPUTED_VALUE"""),27.1)</f>
        <v>27.1</v>
      </c>
      <c r="AG246" s="16">
        <f>IFERROR(__xludf.DUMMYFUNCTION("""COMPUTED_VALUE"""),1.0)</f>
        <v>1</v>
      </c>
      <c r="AH246" s="16">
        <f>IFERROR(__xludf.DUMMYFUNCTION("""COMPUTED_VALUE"""),0.0)</f>
        <v>0</v>
      </c>
      <c r="AI246" s="16">
        <f>IFERROR(__xludf.DUMMYFUNCTION("""COMPUTED_VALUE"""),2.0)</f>
        <v>2</v>
      </c>
      <c r="AJ246" s="16">
        <f>IFERROR(__xludf.DUMMYFUNCTION("""COMPUTED_VALUE"""),0.0)</f>
        <v>0</v>
      </c>
      <c r="AK246" s="16">
        <f>IFERROR(__xludf.DUMMYFUNCTION("""COMPUTED_VALUE"""),14.8)</f>
        <v>14.8</v>
      </c>
      <c r="AL246" s="16">
        <f>IFERROR(__xludf.DUMMYFUNCTION("""COMPUTED_VALUE"""),15.3)</f>
        <v>15.3</v>
      </c>
      <c r="AM246" s="16">
        <f>IFERROR(__xludf.DUMMYFUNCTION("""COMPUTED_VALUE"""),0.0)</f>
        <v>0</v>
      </c>
      <c r="AN246" s="16">
        <f>IFERROR(__xludf.DUMMYFUNCTION("""COMPUTED_VALUE"""),0.0)</f>
        <v>0</v>
      </c>
      <c r="AO246" s="16">
        <f>IFERROR(__xludf.DUMMYFUNCTION("""COMPUTED_VALUE"""),0.0)</f>
        <v>0</v>
      </c>
      <c r="AP246" s="16">
        <f>IFERROR(__xludf.DUMMYFUNCTION("""COMPUTED_VALUE"""),0.0)</f>
        <v>0</v>
      </c>
      <c r="AQ246" s="16">
        <f>IFERROR(__xludf.DUMMYFUNCTION("""COMPUTED_VALUE"""),21.9)</f>
        <v>21.9</v>
      </c>
      <c r="AR246" s="16">
        <f>IFERROR(__xludf.DUMMYFUNCTION("""COMPUTED_VALUE"""),19.900000000000002)</f>
        <v>19.9</v>
      </c>
      <c r="AS246" s="16">
        <f>IFERROR(__xludf.DUMMYFUNCTION("""COMPUTED_VALUE"""),0.0)</f>
        <v>0</v>
      </c>
      <c r="AT246" s="16">
        <f>IFERROR(__xludf.DUMMYFUNCTION("""COMPUTED_VALUE"""),0.0)</f>
        <v>0</v>
      </c>
      <c r="AU246" s="16">
        <f>IFERROR(__xludf.DUMMYFUNCTION("""COMPUTED_VALUE"""),0.0)</f>
        <v>0</v>
      </c>
      <c r="AV246" s="16">
        <f>IFERROR(__xludf.DUMMYFUNCTION("""COMPUTED_VALUE"""),0.0)</f>
        <v>0</v>
      </c>
      <c r="AW246" s="16">
        <f>IFERROR(__xludf.DUMMYFUNCTION("""COMPUTED_VALUE"""),0.2)</f>
        <v>0.2</v>
      </c>
      <c r="AX246" s="16">
        <f>IFERROR(__xludf.DUMMYFUNCTION("""COMPUTED_VALUE"""),1.8)</f>
        <v>1.8</v>
      </c>
      <c r="AY246" s="16">
        <f>IFERROR(__xludf.DUMMYFUNCTION("""COMPUTED_VALUE"""),2.0)</f>
        <v>2</v>
      </c>
      <c r="AZ246" s="16">
        <f>IFERROR(__xludf.DUMMYFUNCTION("""COMPUTED_VALUE"""),0.0)</f>
        <v>0</v>
      </c>
      <c r="BA246" s="16">
        <f>IFERROR(__xludf.DUMMYFUNCTION("""COMPUTED_VALUE"""),10.0)</f>
        <v>10</v>
      </c>
      <c r="BB246" s="16">
        <f>IFERROR(__xludf.DUMMYFUNCTION("""COMPUTED_VALUE"""),0.0)</f>
        <v>0</v>
      </c>
      <c r="BC246" s="16">
        <f>IFERROR(__xludf.DUMMYFUNCTION("""COMPUTED_VALUE"""),0.0)</f>
        <v>0</v>
      </c>
      <c r="BD246" s="16">
        <f>IFERROR(__xludf.DUMMYFUNCTION("""COMPUTED_VALUE"""),3.0)</f>
        <v>3</v>
      </c>
      <c r="BE246" s="16">
        <f>IFERROR(__xludf.DUMMYFUNCTION("""COMPUTED_VALUE"""),0.0)</f>
        <v>0</v>
      </c>
      <c r="BF246" s="16">
        <f>IFERROR(__xludf.DUMMYFUNCTION("""COMPUTED_VALUE"""),3.0)</f>
        <v>3</v>
      </c>
      <c r="BG246" s="16">
        <f>IFERROR(__xludf.DUMMYFUNCTION("""COMPUTED_VALUE"""),3.0)</f>
        <v>3</v>
      </c>
      <c r="BH246" s="16">
        <f>IFERROR(__xludf.DUMMYFUNCTION("""COMPUTED_VALUE"""),0.0)</f>
        <v>0</v>
      </c>
      <c r="BI246" s="16">
        <f>IFERROR(__xludf.DUMMYFUNCTION("""COMPUTED_VALUE"""),6.0)</f>
        <v>6</v>
      </c>
      <c r="BJ246" s="16">
        <f>IFERROR(__xludf.DUMMYFUNCTION("""COMPUTED_VALUE"""),0.0)</f>
        <v>0</v>
      </c>
      <c r="BK246" s="16">
        <f>IFERROR(__xludf.DUMMYFUNCTION("""COMPUTED_VALUE"""),5.0)</f>
        <v>5</v>
      </c>
      <c r="BL246" s="16">
        <f>IFERROR(__xludf.DUMMYFUNCTION("""COMPUTED_VALUE"""),5.0)</f>
        <v>5</v>
      </c>
      <c r="BM246" s="16">
        <f>IFERROR(__xludf.DUMMYFUNCTION("""COMPUTED_VALUE"""),0.0)</f>
        <v>0</v>
      </c>
      <c r="BN246" s="16">
        <f>IFERROR(__xludf.DUMMYFUNCTION("""COMPUTED_VALUE"""),0.0)</f>
        <v>0</v>
      </c>
      <c r="BO246" s="16">
        <f>IFERROR(__xludf.DUMMYFUNCTION("""COMPUTED_VALUE"""),0.0)</f>
        <v>0</v>
      </c>
      <c r="BP246" s="16">
        <f>IFERROR(__xludf.DUMMYFUNCTION("""COMPUTED_VALUE"""),0.0)</f>
        <v>0</v>
      </c>
      <c r="BQ246" s="16">
        <f>IFERROR(__xludf.DUMMYFUNCTION("""COMPUTED_VALUE"""),0.0)</f>
        <v>0</v>
      </c>
      <c r="BR246" s="16">
        <f>IFERROR(__xludf.DUMMYFUNCTION("""COMPUTED_VALUE"""),1.0)</f>
        <v>1</v>
      </c>
      <c r="BS246" s="16">
        <f>IFERROR(__xludf.DUMMYFUNCTION("""COMPUTED_VALUE"""),-3.0)</f>
        <v>-3</v>
      </c>
      <c r="BT246" s="16">
        <f>IFERROR(__xludf.DUMMYFUNCTION("""COMPUTED_VALUE"""),-2.0)</f>
        <v>-2</v>
      </c>
      <c r="BU246" s="16">
        <f>IFERROR(__xludf.DUMMYFUNCTION("""COMPUTED_VALUE"""),-6.0)</f>
        <v>-6</v>
      </c>
      <c r="BV246" s="16">
        <f>IFERROR(__xludf.DUMMYFUNCTION("""COMPUTED_VALUE"""),-4.0)</f>
        <v>-4</v>
      </c>
      <c r="BW246" s="16">
        <f>IFERROR(__xludf.DUMMYFUNCTION("""COMPUTED_VALUE"""),-2.0)</f>
        <v>-2</v>
      </c>
      <c r="BX246" s="16">
        <f>IFERROR(__xludf.DUMMYFUNCTION("""COMPUTED_VALUE"""),-2.0)</f>
        <v>-2</v>
      </c>
      <c r="BY246" s="16" t="str">
        <f>IFERROR(__xludf.DUMMYFUNCTION("""COMPUTED_VALUE"""),"S(5)")</f>
        <v>S(5)</v>
      </c>
      <c r="BZ246" s="16" t="str">
        <f>IFERROR(__xludf.DUMMYFUNCTION("""COMPUTED_VALUE"""),"S(5)")</f>
        <v>S(5)</v>
      </c>
      <c r="CA246" s="16" t="str">
        <f>IFERROR(__xludf.DUMMYFUNCTION("""COMPUTED_VALUE"""),"S(5)")</f>
        <v>S(5)</v>
      </c>
      <c r="CB246" s="16"/>
      <c r="CC246" s="16"/>
      <c r="CD246" s="16">
        <f>IFERROR(__xludf.DUMMYFUNCTION("""COMPUTED_VALUE"""),5.0)</f>
        <v>5</v>
      </c>
      <c r="CE246" s="16"/>
      <c r="CF246" s="16"/>
      <c r="CG246" s="16" t="str">
        <f>IFERROR(__xludf.DUMMYFUNCTION("""COMPUTED_VALUE"""),"2-0")</f>
        <v>2-0</v>
      </c>
      <c r="CH246" s="16">
        <f>IFERROR(__xludf.DUMMYFUNCTION("""COMPUTED_VALUE"""),2.0)</f>
        <v>2</v>
      </c>
      <c r="CI246" s="16">
        <f>IFERROR(__xludf.DUMMYFUNCTION("""COMPUTED_VALUE"""),0.0)</f>
        <v>0</v>
      </c>
      <c r="CJ246" s="16">
        <f>IFERROR(__xludf.DUMMYFUNCTION("""COMPUTED_VALUE"""),0.0)</f>
        <v>0</v>
      </c>
      <c r="CK246" s="16">
        <f>IFERROR(__xludf.DUMMYFUNCTION("""COMPUTED_VALUE"""),11.0)</f>
        <v>11</v>
      </c>
      <c r="CL246" s="16" t="str">
        <f>IFERROR(__xludf.DUMMYFUNCTION("""COMPUTED_VALUE"""),"1WR-C")</f>
        <v>1WR-C</v>
      </c>
      <c r="CM246" s="16" t="str">
        <f>IFERROR(__xludf.DUMMYFUNCTION("""COMPUTED_VALUE"""),"E")</f>
        <v>E</v>
      </c>
      <c r="CN246" s="16">
        <f>IFERROR(__xludf.DUMMYFUNCTION("""COMPUTED_VALUE"""),10.0)</f>
        <v>10</v>
      </c>
      <c r="CO246" s="16" t="str">
        <f>IFERROR(__xludf.DUMMYFUNCTION("""COMPUTED_VALUE"""),"C")</f>
        <v>C</v>
      </c>
      <c r="CP246" s="16" t="str">
        <f>IFERROR(__xludf.DUMMYFUNCTION("""COMPUTED_VALUE"""),"3p40")</f>
        <v>3p40</v>
      </c>
      <c r="CQ246" s="16">
        <f>IFERROR(__xludf.DUMMYFUNCTION("""COMPUTED_VALUE"""),11.0)</f>
        <v>11</v>
      </c>
      <c r="CR246" s="16">
        <f>IFERROR(__xludf.DUMMYFUNCTION("""COMPUTED_VALUE"""),-5.0)</f>
        <v>-5</v>
      </c>
      <c r="CS246" s="16">
        <f>IFERROR(__xludf.DUMMYFUNCTION("""COMPUTED_VALUE"""),6.0)</f>
        <v>6</v>
      </c>
      <c r="CT246" s="16">
        <f>IFERROR(__xludf.DUMMYFUNCTION("""COMPUTED_VALUE"""),11.0)</f>
        <v>11</v>
      </c>
      <c r="CU246" s="16">
        <f>IFERROR(__xludf.DUMMYFUNCTION("""COMPUTED_VALUE"""),-5.0)</f>
        <v>-5</v>
      </c>
      <c r="CV246" s="179">
        <f>IFERROR(__xludf.DUMMYFUNCTION("""COMPUTED_VALUE"""),3.3333333333333335)</f>
        <v>3.333333333</v>
      </c>
      <c r="CW246" s="179">
        <f>IFERROR(__xludf.DUMMYFUNCTION("""COMPUTED_VALUE"""),2.0)</f>
        <v>2</v>
      </c>
      <c r="CX246" s="179">
        <f>IFERROR(__xludf.DUMMYFUNCTION("""COMPUTED_VALUE"""),1.0)</f>
        <v>1</v>
      </c>
      <c r="CY246" s="16" t="str">
        <f>IFERROR(__xludf.DUMMYFUNCTION("""COMPUTED_VALUE"""),"SP")</f>
        <v>SP</v>
      </c>
      <c r="CZ246" s="16"/>
      <c r="DA246" s="16"/>
      <c r="DB246" s="16"/>
      <c r="DC246" s="16"/>
      <c r="DD246" s="16"/>
      <c r="DE246" s="16"/>
      <c r="DF246" s="16"/>
      <c r="DG246" s="16"/>
      <c r="DH246" s="16"/>
      <c r="DI246" s="16"/>
      <c r="DJ246" s="16"/>
      <c r="DK246" s="16"/>
    </row>
    <row r="247">
      <c r="A247" s="16">
        <f>IFERROR(__xludf.DUMMYFUNCTION("""COMPUTED_VALUE"""),12695.0)</f>
        <v>12695</v>
      </c>
      <c r="B247" s="16" t="str">
        <f>IFERROR(__xludf.DUMMYFUNCTION("""COMPUTED_VALUE"""),"Cody Bradford")</f>
        <v>Cody Bradford</v>
      </c>
      <c r="C247" s="153">
        <f>IFERROR(__xludf.DUMMYFUNCTION("""COMPUTED_VALUE"""),1.3)</f>
        <v>1.3</v>
      </c>
      <c r="D247" s="16"/>
      <c r="E247" s="16" t="str">
        <f>IFERROR(__xludf.DUMMYFUNCTION("""COMPUTED_VALUE"""),"L")</f>
        <v>L</v>
      </c>
      <c r="F247" s="16">
        <f>IFERROR(__xludf.DUMMYFUNCTION("""COMPUTED_VALUE"""),76.0)</f>
        <v>76</v>
      </c>
      <c r="G247" s="16">
        <f>IFERROR(__xludf.DUMMYFUNCTION("""COMPUTED_VALUE"""),16.0)</f>
        <v>16</v>
      </c>
      <c r="H247" s="16">
        <f>IFERROR(__xludf.DUMMYFUNCTION("""COMPUTED_VALUE"""),23.0)</f>
        <v>23</v>
      </c>
      <c r="I247" s="16">
        <f>IFERROR(__xludf.DUMMYFUNCTION("""COMPUTED_VALUE"""),-2.0)</f>
        <v>-2</v>
      </c>
      <c r="J247" s="16">
        <f>IFERROR(__xludf.DUMMYFUNCTION("""COMPUTED_VALUE"""),-1.0)</f>
        <v>-1</v>
      </c>
      <c r="K247" s="16">
        <f>IFERROR(__xludf.DUMMYFUNCTION("""COMPUTED_VALUE"""),-6.0)</f>
        <v>-6</v>
      </c>
      <c r="L247" s="16">
        <f>IFERROR(__xludf.DUMMYFUNCTION("""COMPUTED_VALUE"""),-3.0)</f>
        <v>-3</v>
      </c>
      <c r="M247" s="16">
        <f>IFERROR(__xludf.DUMMYFUNCTION("""COMPUTED_VALUE"""),0.0)</f>
        <v>0</v>
      </c>
      <c r="N247" s="16">
        <f>IFERROR(__xludf.DUMMYFUNCTION("""COMPUTED_VALUE"""),2.0)</f>
        <v>2</v>
      </c>
      <c r="O247" s="16">
        <f>IFERROR(__xludf.DUMMYFUNCTION("""COMPUTED_VALUE"""),3.0)</f>
        <v>3</v>
      </c>
      <c r="P247" s="16">
        <f>IFERROR(__xludf.DUMMYFUNCTION("""COMPUTED_VALUE"""),3.0)</f>
        <v>3</v>
      </c>
      <c r="Q247" s="16">
        <f>IFERROR(__xludf.DUMMYFUNCTION("""COMPUTED_VALUE"""),3.0)</f>
        <v>3</v>
      </c>
      <c r="R247" s="16">
        <f>IFERROR(__xludf.DUMMYFUNCTION("""COMPUTED_VALUE"""),3.0)</f>
        <v>3</v>
      </c>
      <c r="S247" s="16">
        <f>IFERROR(__xludf.DUMMYFUNCTION("""COMPUTED_VALUE"""),15.9)</f>
        <v>15.9</v>
      </c>
      <c r="T247" s="16">
        <f>IFERROR(__xludf.DUMMYFUNCTION("""COMPUTED_VALUE"""),13.4)</f>
        <v>13.4</v>
      </c>
      <c r="U247" s="16">
        <f>IFERROR(__xludf.DUMMYFUNCTION("""COMPUTED_VALUE"""),0.0)</f>
        <v>0</v>
      </c>
      <c r="V247" s="16">
        <f>IFERROR(__xludf.DUMMYFUNCTION("""COMPUTED_VALUE"""),0.0)</f>
        <v>0</v>
      </c>
      <c r="W247" s="16">
        <f>IFERROR(__xludf.DUMMYFUNCTION("""COMPUTED_VALUE"""),0.0)</f>
        <v>0</v>
      </c>
      <c r="X247" s="16">
        <f>IFERROR(__xludf.DUMMYFUNCTION("""COMPUTED_VALUE"""),0.0)</f>
        <v>0</v>
      </c>
      <c r="Y247" s="16">
        <f>IFERROR(__xludf.DUMMYFUNCTION("""COMPUTED_VALUE"""),15.9)</f>
        <v>15.9</v>
      </c>
      <c r="Z247" s="16">
        <f>IFERROR(__xludf.DUMMYFUNCTION("""COMPUTED_VALUE"""),15.4)</f>
        <v>15.4</v>
      </c>
      <c r="AA247" s="16">
        <f>IFERROR(__xludf.DUMMYFUNCTION("""COMPUTED_VALUE"""),1.0)</f>
        <v>1</v>
      </c>
      <c r="AB247" s="16">
        <f>IFERROR(__xludf.DUMMYFUNCTION("""COMPUTED_VALUE"""),2.0)</f>
        <v>2</v>
      </c>
      <c r="AC247" s="16">
        <f>IFERROR(__xludf.DUMMYFUNCTION("""COMPUTED_VALUE"""),5.0)</f>
        <v>5</v>
      </c>
      <c r="AD247" s="16">
        <f>IFERROR(__xludf.DUMMYFUNCTION("""COMPUTED_VALUE"""),10.0)</f>
        <v>10</v>
      </c>
      <c r="AE247" s="16">
        <f>IFERROR(__xludf.DUMMYFUNCTION("""COMPUTED_VALUE"""),31.8)</f>
        <v>31.8</v>
      </c>
      <c r="AF247" s="16">
        <f>IFERROR(__xludf.DUMMYFUNCTION("""COMPUTED_VALUE"""),25.4)</f>
        <v>25.4</v>
      </c>
      <c r="AG247" s="16">
        <f>IFERROR(__xludf.DUMMYFUNCTION("""COMPUTED_VALUE"""),0.0)</f>
        <v>0</v>
      </c>
      <c r="AH247" s="16">
        <f>IFERROR(__xludf.DUMMYFUNCTION("""COMPUTED_VALUE"""),0.0)</f>
        <v>0</v>
      </c>
      <c r="AI247" s="16">
        <f>IFERROR(__xludf.DUMMYFUNCTION("""COMPUTED_VALUE"""),0.0)</f>
        <v>0</v>
      </c>
      <c r="AJ247" s="16">
        <f>IFERROR(__xludf.DUMMYFUNCTION("""COMPUTED_VALUE"""),0.0)</f>
        <v>0</v>
      </c>
      <c r="AK247" s="16">
        <f>IFERROR(__xludf.DUMMYFUNCTION("""COMPUTED_VALUE"""),15.9)</f>
        <v>15.9</v>
      </c>
      <c r="AL247" s="16">
        <f>IFERROR(__xludf.DUMMYFUNCTION("""COMPUTED_VALUE"""),10.4)</f>
        <v>10.4</v>
      </c>
      <c r="AM247" s="16">
        <f>IFERROR(__xludf.DUMMYFUNCTION("""COMPUTED_VALUE"""),-1.0)</f>
        <v>-1</v>
      </c>
      <c r="AN247" s="16">
        <f>IFERROR(__xludf.DUMMYFUNCTION("""COMPUTED_VALUE"""),1.0)</f>
        <v>1</v>
      </c>
      <c r="AO247" s="16">
        <f>IFERROR(__xludf.DUMMYFUNCTION("""COMPUTED_VALUE"""),-1.0)</f>
        <v>-1</v>
      </c>
      <c r="AP247" s="16">
        <f>IFERROR(__xludf.DUMMYFUNCTION("""COMPUTED_VALUE"""),1.0)</f>
        <v>1</v>
      </c>
      <c r="AQ247" s="16">
        <f>IFERROR(__xludf.DUMMYFUNCTION("""COMPUTED_VALUE"""),31.8)</f>
        <v>31.8</v>
      </c>
      <c r="AR247" s="16">
        <f>IFERROR(__xludf.DUMMYFUNCTION("""COMPUTED_VALUE"""),13.399999999999999)</f>
        <v>13.4</v>
      </c>
      <c r="AS247" s="16">
        <f>IFERROR(__xludf.DUMMYFUNCTION("""COMPUTED_VALUE"""),-2.0)</f>
        <v>-2</v>
      </c>
      <c r="AT247" s="16">
        <f>IFERROR(__xludf.DUMMYFUNCTION("""COMPUTED_VALUE"""),1.0)</f>
        <v>1</v>
      </c>
      <c r="AU247" s="16">
        <f>IFERROR(__xludf.DUMMYFUNCTION("""COMPUTED_VALUE"""),-4.0)</f>
        <v>-4</v>
      </c>
      <c r="AV247" s="16">
        <f>IFERROR(__xludf.DUMMYFUNCTION("""COMPUTED_VALUE"""),2.0)</f>
        <v>2</v>
      </c>
      <c r="AW247" s="16">
        <f>IFERROR(__xludf.DUMMYFUNCTION("""COMPUTED_VALUE"""),0.0)</f>
        <v>0</v>
      </c>
      <c r="AX247" s="16">
        <f>IFERROR(__xludf.DUMMYFUNCTION("""COMPUTED_VALUE"""),3.0)</f>
        <v>3</v>
      </c>
      <c r="AY247" s="16">
        <f>IFERROR(__xludf.DUMMYFUNCTION("""COMPUTED_VALUE"""),2.0)</f>
        <v>2</v>
      </c>
      <c r="AZ247" s="16">
        <f>IFERROR(__xludf.DUMMYFUNCTION("""COMPUTED_VALUE"""),-1.0)</f>
        <v>-1</v>
      </c>
      <c r="BA247" s="16">
        <f>IFERROR(__xludf.DUMMYFUNCTION("""COMPUTED_VALUE"""),10.0)</f>
        <v>10</v>
      </c>
      <c r="BB247" s="16">
        <f>IFERROR(__xludf.DUMMYFUNCTION("""COMPUTED_VALUE"""),-5.0)</f>
        <v>-5</v>
      </c>
      <c r="BC247" s="16">
        <f>IFERROR(__xludf.DUMMYFUNCTION("""COMPUTED_VALUE"""),0.0)</f>
        <v>0</v>
      </c>
      <c r="BD247" s="16">
        <f>IFERROR(__xludf.DUMMYFUNCTION("""COMPUTED_VALUE"""),4.0)</f>
        <v>4</v>
      </c>
      <c r="BE247" s="16">
        <f>IFERROR(__xludf.DUMMYFUNCTION("""COMPUTED_VALUE"""),0.0)</f>
        <v>0</v>
      </c>
      <c r="BF247" s="16">
        <f>IFERROR(__xludf.DUMMYFUNCTION("""COMPUTED_VALUE"""),4.0)</f>
        <v>4</v>
      </c>
      <c r="BG247" s="16">
        <f>IFERROR(__xludf.DUMMYFUNCTION("""COMPUTED_VALUE"""),3.0)</f>
        <v>3</v>
      </c>
      <c r="BH247" s="16">
        <f>IFERROR(__xludf.DUMMYFUNCTION("""COMPUTED_VALUE"""),-1.0)</f>
        <v>-1</v>
      </c>
      <c r="BI247" s="16">
        <f>IFERROR(__xludf.DUMMYFUNCTION("""COMPUTED_VALUE"""),6.0)</f>
        <v>6</v>
      </c>
      <c r="BJ247" s="16">
        <f>IFERROR(__xludf.DUMMYFUNCTION("""COMPUTED_VALUE"""),-2.0)</f>
        <v>-2</v>
      </c>
      <c r="BK247" s="16">
        <f>IFERROR(__xludf.DUMMYFUNCTION("""COMPUTED_VALUE"""),5.0)</f>
        <v>5</v>
      </c>
      <c r="BL247" s="16">
        <f>IFERROR(__xludf.DUMMYFUNCTION("""COMPUTED_VALUE"""),5.0)</f>
        <v>5</v>
      </c>
      <c r="BM247" s="16">
        <f>IFERROR(__xludf.DUMMYFUNCTION("""COMPUTED_VALUE"""),0.0)</f>
        <v>0</v>
      </c>
      <c r="BN247" s="16">
        <f>IFERROR(__xludf.DUMMYFUNCTION("""COMPUTED_VALUE"""),0.0)</f>
        <v>0</v>
      </c>
      <c r="BO247" s="16">
        <f>IFERROR(__xludf.DUMMYFUNCTION("""COMPUTED_VALUE"""),0.0)</f>
        <v>0</v>
      </c>
      <c r="BP247" s="16">
        <f>IFERROR(__xludf.DUMMYFUNCTION("""COMPUTED_VALUE"""),0.0)</f>
        <v>0</v>
      </c>
      <c r="BQ247" s="16">
        <f>IFERROR(__xludf.DUMMYFUNCTION("""COMPUTED_VALUE"""),0.0)</f>
        <v>0</v>
      </c>
      <c r="BR247" s="16">
        <f>IFERROR(__xludf.DUMMYFUNCTION("""COMPUTED_VALUE"""),0.0)</f>
        <v>0</v>
      </c>
      <c r="BS247" s="16">
        <f>IFERROR(__xludf.DUMMYFUNCTION("""COMPUTED_VALUE"""),-3.0)</f>
        <v>-3</v>
      </c>
      <c r="BT247" s="16">
        <f>IFERROR(__xludf.DUMMYFUNCTION("""COMPUTED_VALUE"""),-3.0)</f>
        <v>-3</v>
      </c>
      <c r="BU247" s="16">
        <f>IFERROR(__xludf.DUMMYFUNCTION("""COMPUTED_VALUE"""),-6.0)</f>
        <v>-6</v>
      </c>
      <c r="BV247" s="16">
        <f>IFERROR(__xludf.DUMMYFUNCTION("""COMPUTED_VALUE"""),-6.0)</f>
        <v>-6</v>
      </c>
      <c r="BW247" s="16">
        <f>IFERROR(__xludf.DUMMYFUNCTION("""COMPUTED_VALUE"""),0.0)</f>
        <v>0</v>
      </c>
      <c r="BX247" s="16">
        <f>IFERROR(__xludf.DUMMYFUNCTION("""COMPUTED_VALUE"""),0.0)</f>
        <v>0</v>
      </c>
      <c r="BY247" s="16" t="str">
        <f>IFERROR(__xludf.DUMMYFUNCTION("""COMPUTED_VALUE"""),"S(6)")</f>
        <v>S(6)</v>
      </c>
      <c r="BZ247" s="16" t="str">
        <f>IFERROR(__xludf.DUMMYFUNCTION("""COMPUTED_VALUE"""),"S(6)")</f>
        <v>S(6)</v>
      </c>
      <c r="CA247" s="16" t="str">
        <f>IFERROR(__xludf.DUMMYFUNCTION("""COMPUTED_VALUE"""),"S(6)")</f>
        <v>S(6)</v>
      </c>
      <c r="CB247" s="16"/>
      <c r="CC247" s="16"/>
      <c r="CD247" s="16">
        <f>IFERROR(__xludf.DUMMYFUNCTION("""COMPUTED_VALUE"""),6.0)</f>
        <v>6</v>
      </c>
      <c r="CE247" s="16"/>
      <c r="CF247" s="16"/>
      <c r="CG247" s="16" t="str">
        <f>IFERROR(__xludf.DUMMYFUNCTION("""COMPUTED_VALUE"""),"2-19")</f>
        <v>2-19</v>
      </c>
      <c r="CH247" s="16">
        <f>IFERROR(__xludf.DUMMYFUNCTION("""COMPUTED_VALUE"""),2.0)</f>
        <v>2</v>
      </c>
      <c r="CI247" s="16">
        <f>IFERROR(__xludf.DUMMYFUNCTION("""COMPUTED_VALUE"""),19.0)</f>
        <v>19</v>
      </c>
      <c r="CJ247" s="16">
        <f>IFERROR(__xludf.DUMMYFUNCTION("""COMPUTED_VALUE"""),0.0)</f>
        <v>0</v>
      </c>
      <c r="CK247" s="16">
        <f>IFERROR(__xludf.DUMMYFUNCTION("""COMPUTED_VALUE"""),2.0)</f>
        <v>2</v>
      </c>
      <c r="CL247" s="16" t="str">
        <f>IFERROR(__xludf.DUMMYFUNCTION("""COMPUTED_VALUE"""),"1WL-C")</f>
        <v>1WL-C</v>
      </c>
      <c r="CM247" s="16" t="str">
        <f>IFERROR(__xludf.DUMMYFUNCTION("""COMPUTED_VALUE"""),"E")</f>
        <v>E</v>
      </c>
      <c r="CN247" s="16">
        <f>IFERROR(__xludf.DUMMYFUNCTION("""COMPUTED_VALUE"""),10.0)</f>
        <v>10</v>
      </c>
      <c r="CO247" s="16" t="str">
        <f>IFERROR(__xludf.DUMMYFUNCTION("""COMPUTED_VALUE"""),"C")</f>
        <v>C</v>
      </c>
      <c r="CP247" s="16" t="str">
        <f>IFERROR(__xludf.DUMMYFUNCTION("""COMPUTED_VALUE"""),"5p40")</f>
        <v>5p40</v>
      </c>
      <c r="CQ247" s="16">
        <f>IFERROR(__xludf.DUMMYFUNCTION("""COMPUTED_VALUE"""),7.0)</f>
        <v>7</v>
      </c>
      <c r="CR247" s="16">
        <f>IFERROR(__xludf.DUMMYFUNCTION("""COMPUTED_VALUE"""),0.0)</f>
        <v>0</v>
      </c>
      <c r="CS247" s="16">
        <f>IFERROR(__xludf.DUMMYFUNCTION("""COMPUTED_VALUE"""),7.0)</f>
        <v>7</v>
      </c>
      <c r="CT247" s="16">
        <f>IFERROR(__xludf.DUMMYFUNCTION("""COMPUTED_VALUE"""),7.0)</f>
        <v>7</v>
      </c>
      <c r="CU247" s="16">
        <f>IFERROR(__xludf.DUMMYFUNCTION("""COMPUTED_VALUE"""),0.0)</f>
        <v>0</v>
      </c>
      <c r="CV247" s="179">
        <f>IFERROR(__xludf.DUMMYFUNCTION("""COMPUTED_VALUE"""),3.3333333333333335)</f>
        <v>3.333333333</v>
      </c>
      <c r="CW247" s="179">
        <f>IFERROR(__xludf.DUMMYFUNCTION("""COMPUTED_VALUE"""),0.0)</f>
        <v>0</v>
      </c>
      <c r="CX247" s="179">
        <f>IFERROR(__xludf.DUMMYFUNCTION("""COMPUTED_VALUE"""),1.0)</f>
        <v>1</v>
      </c>
      <c r="CY247" s="16" t="str">
        <f>IFERROR(__xludf.DUMMYFUNCTION("""COMPUTED_VALUE"""),"SP")</f>
        <v>SP</v>
      </c>
      <c r="CZ247" s="16"/>
      <c r="DA247" s="16"/>
      <c r="DB247" s="16"/>
      <c r="DC247" s="16"/>
      <c r="DD247" s="16"/>
      <c r="DE247" s="16"/>
      <c r="DF247" s="16"/>
      <c r="DG247" s="16"/>
      <c r="DH247" s="16"/>
      <c r="DI247" s="16"/>
      <c r="DJ247" s="16"/>
      <c r="DK247" s="16"/>
    </row>
    <row r="248">
      <c r="A248" s="16">
        <f>IFERROR(__xludf.DUMMYFUNCTION("""COMPUTED_VALUE"""),13240.0)</f>
        <v>13240</v>
      </c>
      <c r="B248" s="16" t="str">
        <f>IFERROR(__xludf.DUMMYFUNCTION("""COMPUTED_VALUE"""),"Nick Lodolo")</f>
        <v>Nick Lodolo</v>
      </c>
      <c r="C248" s="153">
        <f>IFERROR(__xludf.DUMMYFUNCTION("""COMPUTED_VALUE"""),0.94)</f>
        <v>0.94</v>
      </c>
      <c r="D248" s="16"/>
      <c r="E248" s="16" t="str">
        <f>IFERROR(__xludf.DUMMYFUNCTION("""COMPUTED_VALUE"""),"L")</f>
        <v>L</v>
      </c>
      <c r="F248" s="16">
        <f>IFERROR(__xludf.DUMMYFUNCTION("""COMPUTED_VALUE"""),115.0)</f>
        <v>115</v>
      </c>
      <c r="G248" s="16">
        <f>IFERROR(__xludf.DUMMYFUNCTION("""COMPUTED_VALUE"""),26.0)</f>
        <v>26</v>
      </c>
      <c r="H248" s="16">
        <f>IFERROR(__xludf.DUMMYFUNCTION("""COMPUTED_VALUE"""),31.0)</f>
        <v>31</v>
      </c>
      <c r="I248" s="16">
        <f>IFERROR(__xludf.DUMMYFUNCTION("""COMPUTED_VALUE"""),0.0)</f>
        <v>0</v>
      </c>
      <c r="J248" s="16">
        <f>IFERROR(__xludf.DUMMYFUNCTION("""COMPUTED_VALUE"""),0.0)</f>
        <v>0</v>
      </c>
      <c r="K248" s="16">
        <f>IFERROR(__xludf.DUMMYFUNCTION("""COMPUTED_VALUE"""),0.0)</f>
        <v>0</v>
      </c>
      <c r="L248" s="16">
        <f>IFERROR(__xludf.DUMMYFUNCTION("""COMPUTED_VALUE"""),0.0)</f>
        <v>0</v>
      </c>
      <c r="M248" s="16">
        <f>IFERROR(__xludf.DUMMYFUNCTION("""COMPUTED_VALUE"""),17.0)</f>
        <v>17</v>
      </c>
      <c r="N248" s="16">
        <f>IFERROR(__xludf.DUMMYFUNCTION("""COMPUTED_VALUE"""),9.0)</f>
        <v>9</v>
      </c>
      <c r="O248" s="16">
        <f>IFERROR(__xludf.DUMMYFUNCTION("""COMPUTED_VALUE"""),-2.0)</f>
        <v>-2</v>
      </c>
      <c r="P248" s="16">
        <f>IFERROR(__xludf.DUMMYFUNCTION("""COMPUTED_VALUE"""),0.0)</f>
        <v>0</v>
      </c>
      <c r="Q248" s="16">
        <f>IFERROR(__xludf.DUMMYFUNCTION("""COMPUTED_VALUE"""),-2.0)</f>
        <v>-2</v>
      </c>
      <c r="R248" s="16">
        <f>IFERROR(__xludf.DUMMYFUNCTION("""COMPUTED_VALUE"""),0.0)</f>
        <v>0</v>
      </c>
      <c r="S248" s="16">
        <f>IFERROR(__xludf.DUMMYFUNCTION("""COMPUTED_VALUE"""),17.8)</f>
        <v>17.8</v>
      </c>
      <c r="T248" s="16">
        <f>IFERROR(__xludf.DUMMYFUNCTION("""COMPUTED_VALUE"""),13.0)</f>
        <v>13</v>
      </c>
      <c r="U248" s="16">
        <f>IFERROR(__xludf.DUMMYFUNCTION("""COMPUTED_VALUE"""),0.0)</f>
        <v>0</v>
      </c>
      <c r="V248" s="16">
        <f>IFERROR(__xludf.DUMMYFUNCTION("""COMPUTED_VALUE"""),1.0)</f>
        <v>1</v>
      </c>
      <c r="W248" s="16">
        <f>IFERROR(__xludf.DUMMYFUNCTION("""COMPUTED_VALUE"""),0.0)</f>
        <v>0</v>
      </c>
      <c r="X248" s="16">
        <f>IFERROR(__xludf.DUMMYFUNCTION("""COMPUTED_VALUE"""),2.0)</f>
        <v>2</v>
      </c>
      <c r="Y248" s="16">
        <f>IFERROR(__xludf.DUMMYFUNCTION("""COMPUTED_VALUE"""),34.8)</f>
        <v>34.8</v>
      </c>
      <c r="Z248" s="16">
        <f>IFERROR(__xludf.DUMMYFUNCTION("""COMPUTED_VALUE"""),22.0)</f>
        <v>22</v>
      </c>
      <c r="AA248" s="16">
        <f>IFERROR(__xludf.DUMMYFUNCTION("""COMPUTED_VALUE"""),-1.0)</f>
        <v>-1</v>
      </c>
      <c r="AB248" s="16">
        <f>IFERROR(__xludf.DUMMYFUNCTION("""COMPUTED_VALUE"""),1.0)</f>
        <v>1</v>
      </c>
      <c r="AC248" s="16">
        <f>IFERROR(__xludf.DUMMYFUNCTION("""COMPUTED_VALUE"""),-5.0)</f>
        <v>-5</v>
      </c>
      <c r="AD248" s="16">
        <f>IFERROR(__xludf.DUMMYFUNCTION("""COMPUTED_VALUE"""),5.0)</f>
        <v>5</v>
      </c>
      <c r="AE248" s="16">
        <f>IFERROR(__xludf.DUMMYFUNCTION("""COMPUTED_VALUE"""),18.4)</f>
        <v>18.4</v>
      </c>
      <c r="AF248" s="16">
        <f>IFERROR(__xludf.DUMMYFUNCTION("""COMPUTED_VALUE"""),29.0)</f>
        <v>29</v>
      </c>
      <c r="AG248" s="16">
        <f>IFERROR(__xludf.DUMMYFUNCTION("""COMPUTED_VALUE"""),1.0)</f>
        <v>1</v>
      </c>
      <c r="AH248" s="16">
        <f>IFERROR(__xludf.DUMMYFUNCTION("""COMPUTED_VALUE"""),0.0)</f>
        <v>0</v>
      </c>
      <c r="AI248" s="16">
        <f>IFERROR(__xludf.DUMMYFUNCTION("""COMPUTED_VALUE"""),2.0)</f>
        <v>2</v>
      </c>
      <c r="AJ248" s="16">
        <f>IFERROR(__xludf.DUMMYFUNCTION("""COMPUTED_VALUE"""),0.0)</f>
        <v>0</v>
      </c>
      <c r="AK248" s="16">
        <f>IFERROR(__xludf.DUMMYFUNCTION("""COMPUTED_VALUE"""),17.8)</f>
        <v>17.8</v>
      </c>
      <c r="AL248" s="16">
        <f>IFERROR(__xludf.DUMMYFUNCTION("""COMPUTED_VALUE"""),10.4)</f>
        <v>10.4</v>
      </c>
      <c r="AM248" s="16">
        <f>IFERROR(__xludf.DUMMYFUNCTION("""COMPUTED_VALUE"""),-1.0)</f>
        <v>-1</v>
      </c>
      <c r="AN248" s="16">
        <f>IFERROR(__xludf.DUMMYFUNCTION("""COMPUTED_VALUE"""),1.0)</f>
        <v>1</v>
      </c>
      <c r="AO248" s="16">
        <f>IFERROR(__xludf.DUMMYFUNCTION("""COMPUTED_VALUE"""),-1.0)</f>
        <v>-1</v>
      </c>
      <c r="AP248" s="16">
        <f>IFERROR(__xludf.DUMMYFUNCTION("""COMPUTED_VALUE"""),1.0)</f>
        <v>1</v>
      </c>
      <c r="AQ248" s="16">
        <f>IFERROR(__xludf.DUMMYFUNCTION("""COMPUTED_VALUE"""),18.4)</f>
        <v>18.4</v>
      </c>
      <c r="AR248" s="16">
        <f>IFERROR(__xludf.DUMMYFUNCTION("""COMPUTED_VALUE"""),18.6)</f>
        <v>18.6</v>
      </c>
      <c r="AS248" s="16">
        <f>IFERROR(__xludf.DUMMYFUNCTION("""COMPUTED_VALUE"""),0.0)</f>
        <v>0</v>
      </c>
      <c r="AT248" s="16">
        <f>IFERROR(__xludf.DUMMYFUNCTION("""COMPUTED_VALUE"""),0.0)</f>
        <v>0</v>
      </c>
      <c r="AU248" s="16">
        <f>IFERROR(__xludf.DUMMYFUNCTION("""COMPUTED_VALUE"""),0.0)</f>
        <v>0</v>
      </c>
      <c r="AV248" s="16">
        <f>IFERROR(__xludf.DUMMYFUNCTION("""COMPUTED_VALUE"""),0.0)</f>
        <v>0</v>
      </c>
      <c r="AW248" s="16">
        <f>IFERROR(__xludf.DUMMYFUNCTION("""COMPUTED_VALUE"""),0.0)</f>
        <v>0</v>
      </c>
      <c r="AX248" s="16">
        <f>IFERROR(__xludf.DUMMYFUNCTION("""COMPUTED_VALUE"""),2.6)</f>
        <v>2.6</v>
      </c>
      <c r="AY248" s="16">
        <f>IFERROR(__xludf.DUMMYFUNCTION("""COMPUTED_VALUE"""),2.0)</f>
        <v>2</v>
      </c>
      <c r="AZ248" s="16">
        <f>IFERROR(__xludf.DUMMYFUNCTION("""COMPUTED_VALUE"""),-1.0)</f>
        <v>-1</v>
      </c>
      <c r="BA248" s="16">
        <f>IFERROR(__xludf.DUMMYFUNCTION("""COMPUTED_VALUE"""),10.0)</f>
        <v>10</v>
      </c>
      <c r="BB248" s="16">
        <f>IFERROR(__xludf.DUMMYFUNCTION("""COMPUTED_VALUE"""),-5.0)</f>
        <v>-5</v>
      </c>
      <c r="BC248" s="16">
        <f>IFERROR(__xludf.DUMMYFUNCTION("""COMPUTED_VALUE"""),0.0)</f>
        <v>0</v>
      </c>
      <c r="BD248" s="16"/>
      <c r="BE248" s="16">
        <f>IFERROR(__xludf.DUMMYFUNCTION("""COMPUTED_VALUE"""),0.0)</f>
        <v>0</v>
      </c>
      <c r="BF248" s="16">
        <f>IFERROR(__xludf.DUMMYFUNCTION("""COMPUTED_VALUE"""),2.0)</f>
        <v>2</v>
      </c>
      <c r="BG248" s="16">
        <f>IFERROR(__xludf.DUMMYFUNCTION("""COMPUTED_VALUE"""),3.0)</f>
        <v>3</v>
      </c>
      <c r="BH248" s="16">
        <f>IFERROR(__xludf.DUMMYFUNCTION("""COMPUTED_VALUE"""),1.0)</f>
        <v>1</v>
      </c>
      <c r="BI248" s="16">
        <f>IFERROR(__xludf.DUMMYFUNCTION("""COMPUTED_VALUE"""),6.0)</f>
        <v>6</v>
      </c>
      <c r="BJ248" s="16">
        <f>IFERROR(__xludf.DUMMYFUNCTION("""COMPUTED_VALUE"""),2.0)</f>
        <v>2</v>
      </c>
      <c r="BK248" s="16">
        <f>IFERROR(__xludf.DUMMYFUNCTION("""COMPUTED_VALUE"""),5.0)</f>
        <v>5</v>
      </c>
      <c r="BL248" s="16">
        <f>IFERROR(__xludf.DUMMYFUNCTION("""COMPUTED_VALUE"""),0.0)</f>
        <v>0</v>
      </c>
      <c r="BM248" s="16">
        <f>IFERROR(__xludf.DUMMYFUNCTION("""COMPUTED_VALUE"""),0.0)</f>
        <v>0</v>
      </c>
      <c r="BN248" s="16">
        <f>IFERROR(__xludf.DUMMYFUNCTION("""COMPUTED_VALUE"""),1.0)</f>
        <v>1</v>
      </c>
      <c r="BO248" s="16">
        <f>IFERROR(__xludf.DUMMYFUNCTION("""COMPUTED_VALUE"""),0.0)</f>
        <v>0</v>
      </c>
      <c r="BP248" s="16">
        <f>IFERROR(__xludf.DUMMYFUNCTION("""COMPUTED_VALUE"""),1.0)</f>
        <v>1</v>
      </c>
      <c r="BQ248" s="16">
        <f>IFERROR(__xludf.DUMMYFUNCTION("""COMPUTED_VALUE"""),0.0)</f>
        <v>0</v>
      </c>
      <c r="BR248" s="16">
        <f>IFERROR(__xludf.DUMMYFUNCTION("""COMPUTED_VALUE"""),0.0)</f>
        <v>0</v>
      </c>
      <c r="BS248" s="16">
        <f>IFERROR(__xludf.DUMMYFUNCTION("""COMPUTED_VALUE"""),-3.0)</f>
        <v>-3</v>
      </c>
      <c r="BT248" s="16">
        <f>IFERROR(__xludf.DUMMYFUNCTION("""COMPUTED_VALUE"""),-3.0)</f>
        <v>-3</v>
      </c>
      <c r="BU248" s="16">
        <f>IFERROR(__xludf.DUMMYFUNCTION("""COMPUTED_VALUE"""),-6.0)</f>
        <v>-6</v>
      </c>
      <c r="BV248" s="16">
        <f>IFERROR(__xludf.DUMMYFUNCTION("""COMPUTED_VALUE"""),-6.0)</f>
        <v>-6</v>
      </c>
      <c r="BW248" s="16">
        <f>IFERROR(__xludf.DUMMYFUNCTION("""COMPUTED_VALUE"""),1.0)</f>
        <v>1</v>
      </c>
      <c r="BX248" s="16">
        <f>IFERROR(__xludf.DUMMYFUNCTION("""COMPUTED_VALUE"""),1.0)</f>
        <v>1</v>
      </c>
      <c r="BY248" s="16" t="str">
        <f>IFERROR(__xludf.DUMMYFUNCTION("""COMPUTED_VALUE"""),"S(6)")</f>
        <v>S(6)</v>
      </c>
      <c r="BZ248" s="16" t="str">
        <f>IFERROR(__xludf.DUMMYFUNCTION("""COMPUTED_VALUE"""),"S(6)")</f>
        <v>S(6)</v>
      </c>
      <c r="CA248" s="16" t="str">
        <f>IFERROR(__xludf.DUMMYFUNCTION("""COMPUTED_VALUE"""),"S(6)")</f>
        <v>S(6)</v>
      </c>
      <c r="CB248" s="16"/>
      <c r="CC248" s="16"/>
      <c r="CD248" s="16">
        <f>IFERROR(__xludf.DUMMYFUNCTION("""COMPUTED_VALUE"""),6.0)</f>
        <v>6</v>
      </c>
      <c r="CE248" s="16"/>
      <c r="CF248" s="16"/>
      <c r="CG248" s="16" t="str">
        <f>IFERROR(__xludf.DUMMYFUNCTION("""COMPUTED_VALUE"""),"3-12")</f>
        <v>3-12</v>
      </c>
      <c r="CH248" s="16">
        <f>IFERROR(__xludf.DUMMYFUNCTION("""COMPUTED_VALUE"""),3.0)</f>
        <v>3</v>
      </c>
      <c r="CI248" s="16">
        <f>IFERROR(__xludf.DUMMYFUNCTION("""COMPUTED_VALUE"""),12.0)</f>
        <v>12</v>
      </c>
      <c r="CJ248" s="16">
        <f>IFERROR(__xludf.DUMMYFUNCTION("""COMPUTED_VALUE"""),0.0)</f>
        <v>0</v>
      </c>
      <c r="CK248" s="16">
        <f>IFERROR(__xludf.DUMMYFUNCTION("""COMPUTED_VALUE"""),1.0)</f>
        <v>1</v>
      </c>
      <c r="CL248" s="16" t="str">
        <f>IFERROR(__xludf.DUMMYFUNCTION("""COMPUTED_VALUE"""),"1WL-C")</f>
        <v>1WL-C</v>
      </c>
      <c r="CM248" s="16" t="str">
        <f>IFERROR(__xludf.DUMMYFUNCTION("""COMPUTED_VALUE"""),"E")</f>
        <v>E</v>
      </c>
      <c r="CN248" s="16">
        <f>IFERROR(__xludf.DUMMYFUNCTION("""COMPUTED_VALUE"""),10.0)</f>
        <v>10</v>
      </c>
      <c r="CO248" s="16" t="str">
        <f>IFERROR(__xludf.DUMMYFUNCTION("""COMPUTED_VALUE"""),"C")</f>
        <v>C</v>
      </c>
      <c r="CP248" s="16" t="str">
        <f>IFERROR(__xludf.DUMMYFUNCTION("""COMPUTED_VALUE"""),"3p50")</f>
        <v>3p50</v>
      </c>
      <c r="CQ248" s="16">
        <f>IFERROR(__xludf.DUMMYFUNCTION("""COMPUTED_VALUE"""),4.0)</f>
        <v>4</v>
      </c>
      <c r="CR248" s="16">
        <f>IFERROR(__xludf.DUMMYFUNCTION("""COMPUTED_VALUE"""),0.0)</f>
        <v>0</v>
      </c>
      <c r="CS248" s="16">
        <f>IFERROR(__xludf.DUMMYFUNCTION("""COMPUTED_VALUE"""),4.0)</f>
        <v>4</v>
      </c>
      <c r="CT248" s="16">
        <f>IFERROR(__xludf.DUMMYFUNCTION("""COMPUTED_VALUE"""),4.0)</f>
        <v>4</v>
      </c>
      <c r="CU248" s="16">
        <f>IFERROR(__xludf.DUMMYFUNCTION("""COMPUTED_VALUE"""),0.0)</f>
        <v>0</v>
      </c>
      <c r="CV248" s="179">
        <f>IFERROR(__xludf.DUMMYFUNCTION("""COMPUTED_VALUE"""),3.333333333333333)</f>
        <v>3.333333333</v>
      </c>
      <c r="CW248" s="179">
        <f>IFERROR(__xludf.DUMMYFUNCTION("""COMPUTED_VALUE"""),2.0)</f>
        <v>2</v>
      </c>
      <c r="CX248" s="179">
        <f>IFERROR(__xludf.DUMMYFUNCTION("""COMPUTED_VALUE"""),0.0)</f>
        <v>0</v>
      </c>
      <c r="CY248" s="16" t="str">
        <f>IFERROR(__xludf.DUMMYFUNCTION("""COMPUTED_VALUE"""),"SP")</f>
        <v>SP</v>
      </c>
      <c r="CZ248" s="16"/>
      <c r="DA248" s="16"/>
      <c r="DB248" s="16"/>
      <c r="DC248" s="16"/>
      <c r="DD248" s="16"/>
      <c r="DE248" s="16"/>
      <c r="DF248" s="16"/>
      <c r="DG248" s="16"/>
      <c r="DH248" s="16"/>
      <c r="DI248" s="16"/>
      <c r="DJ248" s="16"/>
      <c r="DK248" s="16"/>
    </row>
    <row r="249">
      <c r="A249" s="16">
        <f>IFERROR(__xludf.DUMMYFUNCTION("""COMPUTED_VALUE"""),13434.0)</f>
        <v>13434</v>
      </c>
      <c r="B249" s="16" t="str">
        <f>IFERROR(__xludf.DUMMYFUNCTION("""COMPUTED_VALUE"""),"Trevor Richards")</f>
        <v>Trevor Richards</v>
      </c>
      <c r="C249" s="153">
        <f>IFERROR(__xludf.DUMMYFUNCTION("""COMPUTED_VALUE"""),0.0)</f>
        <v>0</v>
      </c>
      <c r="D249" s="16"/>
      <c r="E249" s="16" t="str">
        <f>IFERROR(__xludf.DUMMYFUNCTION("""COMPUTED_VALUE"""),"R")</f>
        <v>R</v>
      </c>
      <c r="F249" s="16">
        <f>IFERROR(__xludf.DUMMYFUNCTION("""COMPUTED_VALUE"""),65.0)</f>
        <v>65</v>
      </c>
      <c r="G249" s="16">
        <f>IFERROR(__xludf.DUMMYFUNCTION("""COMPUTED_VALUE"""),18.0)</f>
        <v>18</v>
      </c>
      <c r="H249" s="16">
        <f>IFERROR(__xludf.DUMMYFUNCTION("""COMPUTED_VALUE"""),29.0)</f>
        <v>29</v>
      </c>
      <c r="I249" s="16">
        <f>IFERROR(__xludf.DUMMYFUNCTION("""COMPUTED_VALUE"""),-1.0)</f>
        <v>-1</v>
      </c>
      <c r="J249" s="16">
        <f>IFERROR(__xludf.DUMMYFUNCTION("""COMPUTED_VALUE"""),0.0)</f>
        <v>0</v>
      </c>
      <c r="K249" s="16">
        <f>IFERROR(__xludf.DUMMYFUNCTION("""COMPUTED_VALUE"""),-3.0)</f>
        <v>-3</v>
      </c>
      <c r="L249" s="16">
        <f>IFERROR(__xludf.DUMMYFUNCTION("""COMPUTED_VALUE"""),0.0)</f>
        <v>0</v>
      </c>
      <c r="M249" s="16">
        <f>IFERROR(__xludf.DUMMYFUNCTION("""COMPUTED_VALUE"""),17.0)</f>
        <v>17</v>
      </c>
      <c r="N249" s="16">
        <f>IFERROR(__xludf.DUMMYFUNCTION("""COMPUTED_VALUE"""),22.0)</f>
        <v>22</v>
      </c>
      <c r="O249" s="16">
        <f>IFERROR(__xludf.DUMMYFUNCTION("""COMPUTED_VALUE"""),-2.0)</f>
        <v>-2</v>
      </c>
      <c r="P249" s="16">
        <f>IFERROR(__xludf.DUMMYFUNCTION("""COMPUTED_VALUE"""),-3.0)</f>
        <v>-3</v>
      </c>
      <c r="Q249" s="16">
        <f>IFERROR(__xludf.DUMMYFUNCTION("""COMPUTED_VALUE"""),-2.0)</f>
        <v>-2</v>
      </c>
      <c r="R249" s="16">
        <f>IFERROR(__xludf.DUMMYFUNCTION("""COMPUTED_VALUE"""),-3.0)</f>
        <v>-3</v>
      </c>
      <c r="S249" s="16">
        <f>IFERROR(__xludf.DUMMYFUNCTION("""COMPUTED_VALUE"""),5.8)</f>
        <v>5.8</v>
      </c>
      <c r="T249" s="16">
        <f>IFERROR(__xludf.DUMMYFUNCTION("""COMPUTED_VALUE"""),5.4)</f>
        <v>5.4</v>
      </c>
      <c r="U249" s="16">
        <f>IFERROR(__xludf.DUMMYFUNCTION("""COMPUTED_VALUE"""),2.0)</f>
        <v>2</v>
      </c>
      <c r="V249" s="16">
        <f>IFERROR(__xludf.DUMMYFUNCTION("""COMPUTED_VALUE"""),2.0)</f>
        <v>2</v>
      </c>
      <c r="W249" s="16">
        <f>IFERROR(__xludf.DUMMYFUNCTION("""COMPUTED_VALUE"""),4.0)</f>
        <v>4</v>
      </c>
      <c r="X249" s="16">
        <f>IFERROR(__xludf.DUMMYFUNCTION("""COMPUTED_VALUE"""),4.0)</f>
        <v>4</v>
      </c>
      <c r="Y249" s="16">
        <f>IFERROR(__xludf.DUMMYFUNCTION("""COMPUTED_VALUE"""),22.8)</f>
        <v>22.8</v>
      </c>
      <c r="Z249" s="16">
        <f>IFERROR(__xludf.DUMMYFUNCTION("""COMPUTED_VALUE"""),27.4)</f>
        <v>27.4</v>
      </c>
      <c r="AA249" s="16">
        <f>IFERROR(__xludf.DUMMYFUNCTION("""COMPUTED_VALUE"""),0.0)</f>
        <v>0</v>
      </c>
      <c r="AB249" s="16">
        <f>IFERROR(__xludf.DUMMYFUNCTION("""COMPUTED_VALUE"""),0.0)</f>
        <v>0</v>
      </c>
      <c r="AC249" s="16">
        <f>IFERROR(__xludf.DUMMYFUNCTION("""COMPUTED_VALUE"""),0.0)</f>
        <v>0</v>
      </c>
      <c r="AD249" s="16">
        <f>IFERROR(__xludf.DUMMYFUNCTION("""COMPUTED_VALUE"""),0.0)</f>
        <v>0</v>
      </c>
      <c r="AE249" s="16">
        <f>IFERROR(__xludf.DUMMYFUNCTION("""COMPUTED_VALUE"""),9.8)</f>
        <v>9.8</v>
      </c>
      <c r="AF249" s="16">
        <f>IFERROR(__xludf.DUMMYFUNCTION("""COMPUTED_VALUE"""),17.0)</f>
        <v>17</v>
      </c>
      <c r="AG249" s="16">
        <f>IFERROR(__xludf.DUMMYFUNCTION("""COMPUTED_VALUE"""),2.0)</f>
        <v>2</v>
      </c>
      <c r="AH249" s="16">
        <f>IFERROR(__xludf.DUMMYFUNCTION("""COMPUTED_VALUE"""),1.0)</f>
        <v>1</v>
      </c>
      <c r="AI249" s="16">
        <f>IFERROR(__xludf.DUMMYFUNCTION("""COMPUTED_VALUE"""),4.0)</f>
        <v>4</v>
      </c>
      <c r="AJ249" s="16">
        <f>IFERROR(__xludf.DUMMYFUNCTION("""COMPUTED_VALUE"""),2.0)</f>
        <v>2</v>
      </c>
      <c r="AK249" s="16">
        <f>IFERROR(__xludf.DUMMYFUNCTION("""COMPUTED_VALUE"""),5.8)</f>
        <v>5.8</v>
      </c>
      <c r="AL249" s="16">
        <f>IFERROR(__xludf.DUMMYFUNCTION("""COMPUTED_VALUE"""),1.6000000000000005)</f>
        <v>1.6</v>
      </c>
      <c r="AM249" s="16">
        <f>IFERROR(__xludf.DUMMYFUNCTION("""COMPUTED_VALUE"""),1.0)</f>
        <v>1</v>
      </c>
      <c r="AN249" s="16">
        <f>IFERROR(__xludf.DUMMYFUNCTION("""COMPUTED_VALUE"""),2.0)</f>
        <v>2</v>
      </c>
      <c r="AO249" s="16">
        <f>IFERROR(__xludf.DUMMYFUNCTION("""COMPUTED_VALUE"""),1.0)</f>
        <v>1</v>
      </c>
      <c r="AP249" s="16">
        <f>IFERROR(__xludf.DUMMYFUNCTION("""COMPUTED_VALUE"""),2.0)</f>
        <v>2</v>
      </c>
      <c r="AQ249" s="16">
        <f>IFERROR(__xludf.DUMMYFUNCTION("""COMPUTED_VALUE"""),9.8)</f>
        <v>9.8</v>
      </c>
      <c r="AR249" s="16">
        <f>IFERROR(__xludf.DUMMYFUNCTION("""COMPUTED_VALUE"""),1.8000000000000007)</f>
        <v>1.8</v>
      </c>
      <c r="AS249" s="16">
        <f>IFERROR(__xludf.DUMMYFUNCTION("""COMPUTED_VALUE"""),1.0)</f>
        <v>1</v>
      </c>
      <c r="AT249" s="16">
        <f>IFERROR(__xludf.DUMMYFUNCTION("""COMPUTED_VALUE"""),2.0)</f>
        <v>2</v>
      </c>
      <c r="AU249" s="16">
        <f>IFERROR(__xludf.DUMMYFUNCTION("""COMPUTED_VALUE"""),2.0)</f>
        <v>2</v>
      </c>
      <c r="AV249" s="16">
        <f>IFERROR(__xludf.DUMMYFUNCTION("""COMPUTED_VALUE"""),4.0)</f>
        <v>4</v>
      </c>
      <c r="AW249" s="16">
        <f>IFERROR(__xludf.DUMMYFUNCTION("""COMPUTED_VALUE"""),0.0)</f>
        <v>0</v>
      </c>
      <c r="AX249" s="16">
        <f>IFERROR(__xludf.DUMMYFUNCTION("""COMPUTED_VALUE"""),3.8)</f>
        <v>3.8</v>
      </c>
      <c r="AY249" s="16">
        <f>IFERROR(__xludf.DUMMYFUNCTION("""COMPUTED_VALUE"""),2.0)</f>
        <v>2</v>
      </c>
      <c r="AZ249" s="16">
        <f>IFERROR(__xludf.DUMMYFUNCTION("""COMPUTED_VALUE"""),-2.0)</f>
        <v>-2</v>
      </c>
      <c r="BA249" s="16">
        <f>IFERROR(__xludf.DUMMYFUNCTION("""COMPUTED_VALUE"""),10.0)</f>
        <v>10</v>
      </c>
      <c r="BB249" s="16">
        <f>IFERROR(__xludf.DUMMYFUNCTION("""COMPUTED_VALUE"""),-10.0)</f>
        <v>-10</v>
      </c>
      <c r="BC249" s="16"/>
      <c r="BD249" s="16">
        <f>IFERROR(__xludf.DUMMYFUNCTION("""COMPUTED_VALUE"""),6.0)</f>
        <v>6</v>
      </c>
      <c r="BE249" s="16">
        <f>IFERROR(__xludf.DUMMYFUNCTION("""COMPUTED_VALUE"""),0.0)</f>
        <v>0</v>
      </c>
      <c r="BF249" s="16">
        <f>IFERROR(__xludf.DUMMYFUNCTION("""COMPUTED_VALUE"""),6.0)</f>
        <v>6</v>
      </c>
      <c r="BG249" s="16">
        <f>IFERROR(__xludf.DUMMYFUNCTION("""COMPUTED_VALUE"""),3.0)</f>
        <v>3</v>
      </c>
      <c r="BH249" s="16">
        <f>IFERROR(__xludf.DUMMYFUNCTION("""COMPUTED_VALUE"""),-2.0)</f>
        <v>-2</v>
      </c>
      <c r="BI249" s="16">
        <f>IFERROR(__xludf.DUMMYFUNCTION("""COMPUTED_VALUE"""),6.0)</f>
        <v>6</v>
      </c>
      <c r="BJ249" s="16">
        <f>IFERROR(__xludf.DUMMYFUNCTION("""COMPUTED_VALUE"""),-4.0)</f>
        <v>-4</v>
      </c>
      <c r="BK249" s="16">
        <f>IFERROR(__xludf.DUMMYFUNCTION("""COMPUTED_VALUE"""),0.0)</f>
        <v>0</v>
      </c>
      <c r="BL249" s="16">
        <f>IFERROR(__xludf.DUMMYFUNCTION("""COMPUTED_VALUE"""),5.0)</f>
        <v>5</v>
      </c>
      <c r="BM249" s="16">
        <f>IFERROR(__xludf.DUMMYFUNCTION("""COMPUTED_VALUE"""),1.0)</f>
        <v>1</v>
      </c>
      <c r="BN249" s="16">
        <f>IFERROR(__xludf.DUMMYFUNCTION("""COMPUTED_VALUE"""),0.0)</f>
        <v>0</v>
      </c>
      <c r="BO249" s="16">
        <f>IFERROR(__xludf.DUMMYFUNCTION("""COMPUTED_VALUE"""),1.0)</f>
        <v>1</v>
      </c>
      <c r="BP249" s="16">
        <f>IFERROR(__xludf.DUMMYFUNCTION("""COMPUTED_VALUE"""),0.0)</f>
        <v>0</v>
      </c>
      <c r="BQ249" s="16">
        <f>IFERROR(__xludf.DUMMYFUNCTION("""COMPUTED_VALUE"""),0.0)</f>
        <v>0</v>
      </c>
      <c r="BR249" s="16">
        <f>IFERROR(__xludf.DUMMYFUNCTION("""COMPUTED_VALUE"""),0.0)</f>
        <v>0</v>
      </c>
      <c r="BS249" s="16">
        <f>IFERROR(__xludf.DUMMYFUNCTION("""COMPUTED_VALUE"""),-3.0)</f>
        <v>-3</v>
      </c>
      <c r="BT249" s="16">
        <f>IFERROR(__xludf.DUMMYFUNCTION("""COMPUTED_VALUE"""),-3.0)</f>
        <v>-3</v>
      </c>
      <c r="BU249" s="16">
        <f>IFERROR(__xludf.DUMMYFUNCTION("""COMPUTED_VALUE"""),-6.0)</f>
        <v>-6</v>
      </c>
      <c r="BV249" s="16">
        <f>IFERROR(__xludf.DUMMYFUNCTION("""COMPUTED_VALUE"""),-6.0)</f>
        <v>-6</v>
      </c>
      <c r="BW249" s="16">
        <f>IFERROR(__xludf.DUMMYFUNCTION("""COMPUTED_VALUE"""),0.0)</f>
        <v>0</v>
      </c>
      <c r="BX249" s="16">
        <f>IFERROR(__xludf.DUMMYFUNCTION("""COMPUTED_VALUE"""),0.0)</f>
        <v>0</v>
      </c>
      <c r="BY249" s="16" t="str">
        <f>IFERROR(__xludf.DUMMYFUNCTION("""COMPUTED_VALUE"""),"S(1) R(1) C(0)")</f>
        <v>S(1) R(1) C(0)</v>
      </c>
      <c r="BZ249" s="16" t="str">
        <f>IFERROR(__xludf.DUMMYFUNCTION("""COMPUTED_VALUE"""),"S(1) R(1) C(0)")</f>
        <v>S(1) R(1) C(0)</v>
      </c>
      <c r="CA249" s="16" t="str">
        <f>IFERROR(__xludf.DUMMYFUNCTION("""COMPUTED_VALUE"""),"S(1)")</f>
        <v>S(1)</v>
      </c>
      <c r="CB249" s="16" t="str">
        <f>IFERROR(__xludf.DUMMYFUNCTION("""COMPUTED_VALUE"""),"R(1)")</f>
        <v>R(1)</v>
      </c>
      <c r="CC249" s="16" t="str">
        <f>IFERROR(__xludf.DUMMYFUNCTION("""COMPUTED_VALUE"""),"C(0)")</f>
        <v>C(0)</v>
      </c>
      <c r="CD249" s="16">
        <f>IFERROR(__xludf.DUMMYFUNCTION("""COMPUTED_VALUE"""),1.0)</f>
        <v>1</v>
      </c>
      <c r="CE249" s="16">
        <f>IFERROR(__xludf.DUMMYFUNCTION("""COMPUTED_VALUE"""),1.0)</f>
        <v>1</v>
      </c>
      <c r="CF249" s="16">
        <f>IFERROR(__xludf.DUMMYFUNCTION("""COMPUTED_VALUE"""),0.0)</f>
        <v>0</v>
      </c>
      <c r="CG249" s="16" t="str">
        <f>IFERROR(__xludf.DUMMYFUNCTION("""COMPUTED_VALUE"""),"4-51")</f>
        <v>4-51</v>
      </c>
      <c r="CH249" s="16">
        <f>IFERROR(__xludf.DUMMYFUNCTION("""COMPUTED_VALUE"""),4.0)</f>
        <v>4</v>
      </c>
      <c r="CI249" s="16">
        <f>IFERROR(__xludf.DUMMYFUNCTION("""COMPUTED_VALUE"""),51.0)</f>
        <v>51</v>
      </c>
      <c r="CJ249" s="16">
        <f>IFERROR(__xludf.DUMMYFUNCTION("""COMPUTED_VALUE"""),0.0)</f>
        <v>0</v>
      </c>
      <c r="CK249" s="16">
        <f>IFERROR(__xludf.DUMMYFUNCTION("""COMPUTED_VALUE"""),20.0)</f>
        <v>20</v>
      </c>
      <c r="CL249" s="16" t="str">
        <f>IFERROR(__xludf.DUMMYFUNCTION("""COMPUTED_VALUE"""),"1WR-C")</f>
        <v>1WR-C</v>
      </c>
      <c r="CM249" s="16" t="str">
        <f>IFERROR(__xludf.DUMMYFUNCTION("""COMPUTED_VALUE"""),"E")</f>
        <v>E</v>
      </c>
      <c r="CN249" s="16">
        <f>IFERROR(__xludf.DUMMYFUNCTION("""COMPUTED_VALUE"""),10.0)</f>
        <v>10</v>
      </c>
      <c r="CO249" s="16" t="str">
        <f>IFERROR(__xludf.DUMMYFUNCTION("""COMPUTED_VALUE"""),"C")</f>
        <v>C</v>
      </c>
      <c r="CP249" s="16" t="str">
        <f>IFERROR(__xludf.DUMMYFUNCTION("""COMPUTED_VALUE"""),"1p60")</f>
        <v>1p60</v>
      </c>
      <c r="CQ249" s="16">
        <f>IFERROR(__xludf.DUMMYFUNCTION("""COMPUTED_VALUE"""),17.0)</f>
        <v>17</v>
      </c>
      <c r="CR249" s="16">
        <f>IFERROR(__xludf.DUMMYFUNCTION("""COMPUTED_VALUE"""),-11.0)</f>
        <v>-11</v>
      </c>
      <c r="CS249" s="16">
        <f>IFERROR(__xludf.DUMMYFUNCTION("""COMPUTED_VALUE"""),6.0)</f>
        <v>6</v>
      </c>
      <c r="CT249" s="16">
        <f>IFERROR(__xludf.DUMMYFUNCTION("""COMPUTED_VALUE"""),17.0)</f>
        <v>17</v>
      </c>
      <c r="CU249" s="16">
        <f>IFERROR(__xludf.DUMMYFUNCTION("""COMPUTED_VALUE"""),-11.0)</f>
        <v>-11</v>
      </c>
      <c r="CV249" s="179">
        <f>IFERROR(__xludf.DUMMYFUNCTION("""COMPUTED_VALUE"""),3.333333333333333)</f>
        <v>3.333333333</v>
      </c>
      <c r="CW249" s="179">
        <f>IFERROR(__xludf.DUMMYFUNCTION("""COMPUTED_VALUE"""),4.0)</f>
        <v>4</v>
      </c>
      <c r="CX249" s="179">
        <f>IFERROR(__xludf.DUMMYFUNCTION("""COMPUTED_VALUE"""),1.0)</f>
        <v>1</v>
      </c>
      <c r="CY249" s="16" t="str">
        <f>IFERROR(__xludf.DUMMYFUNCTION("""COMPUTED_VALUE"""),"SP")</f>
        <v>SP</v>
      </c>
      <c r="CZ249" s="16" t="str">
        <f>IFERROR(__xludf.DUMMYFUNCTION("""COMPUTED_VALUE"""),"RP")</f>
        <v>RP</v>
      </c>
      <c r="DA249" s="16" t="str">
        <f>IFERROR(__xludf.DUMMYFUNCTION("""COMPUTED_VALUE"""),"CP")</f>
        <v>CP</v>
      </c>
      <c r="DB249" s="16"/>
      <c r="DC249" s="16"/>
      <c r="DD249" s="16"/>
      <c r="DE249" s="16"/>
      <c r="DF249" s="16"/>
      <c r="DG249" s="16"/>
      <c r="DH249" s="16"/>
      <c r="DI249" s="16"/>
      <c r="DJ249" s="16"/>
      <c r="DK249" s="16"/>
    </row>
    <row r="250">
      <c r="A250" s="16">
        <f>IFERROR(__xludf.DUMMYFUNCTION("""COMPUTED_VALUE"""),13356.0)</f>
        <v>13356</v>
      </c>
      <c r="B250" s="16" t="str">
        <f>IFERROR(__xludf.DUMMYFUNCTION("""COMPUTED_VALUE"""),"Scott Barlow")</f>
        <v>Scott Barlow</v>
      </c>
      <c r="C250" s="153">
        <f>IFERROR(__xludf.DUMMYFUNCTION("""COMPUTED_VALUE"""),0.17)</f>
        <v>0.17</v>
      </c>
      <c r="D250" s="16"/>
      <c r="E250" s="16" t="str">
        <f>IFERROR(__xludf.DUMMYFUNCTION("""COMPUTED_VALUE"""),"R")</f>
        <v>R</v>
      </c>
      <c r="F250" s="16">
        <f>IFERROR(__xludf.DUMMYFUNCTION("""COMPUTED_VALUE"""),55.0)</f>
        <v>55</v>
      </c>
      <c r="G250" s="16">
        <f>IFERROR(__xludf.DUMMYFUNCTION("""COMPUTED_VALUE"""),45.0)</f>
        <v>45</v>
      </c>
      <c r="H250" s="16">
        <f>IFERROR(__xludf.DUMMYFUNCTION("""COMPUTED_VALUE"""),32.0)</f>
        <v>32</v>
      </c>
      <c r="I250" s="16">
        <f>IFERROR(__xludf.DUMMYFUNCTION("""COMPUTED_VALUE"""),2.0)</f>
        <v>2</v>
      </c>
      <c r="J250" s="16">
        <f>IFERROR(__xludf.DUMMYFUNCTION("""COMPUTED_VALUE"""),1.0)</f>
        <v>1</v>
      </c>
      <c r="K250" s="16">
        <f>IFERROR(__xludf.DUMMYFUNCTION("""COMPUTED_VALUE"""),6.0)</f>
        <v>6</v>
      </c>
      <c r="L250" s="16">
        <f>IFERROR(__xludf.DUMMYFUNCTION("""COMPUTED_VALUE"""),3.0)</f>
        <v>3</v>
      </c>
      <c r="M250" s="16">
        <f>IFERROR(__xludf.DUMMYFUNCTION("""COMPUTED_VALUE"""),21.0)</f>
        <v>21</v>
      </c>
      <c r="N250" s="16">
        <f>IFERROR(__xludf.DUMMYFUNCTION("""COMPUTED_VALUE"""),18.0)</f>
        <v>18</v>
      </c>
      <c r="O250" s="16">
        <f>IFERROR(__xludf.DUMMYFUNCTION("""COMPUTED_VALUE"""),-3.0)</f>
        <v>-3</v>
      </c>
      <c r="P250" s="16">
        <f>IFERROR(__xludf.DUMMYFUNCTION("""COMPUTED_VALUE"""),-3.0)</f>
        <v>-3</v>
      </c>
      <c r="Q250" s="16">
        <f>IFERROR(__xludf.DUMMYFUNCTION("""COMPUTED_VALUE"""),-3.0)</f>
        <v>-3</v>
      </c>
      <c r="R250" s="16">
        <f>IFERROR(__xludf.DUMMYFUNCTION("""COMPUTED_VALUE"""),-3.0)</f>
        <v>-3</v>
      </c>
      <c r="S250" s="16">
        <f>IFERROR(__xludf.DUMMYFUNCTION("""COMPUTED_VALUE"""),4.3)</f>
        <v>4.3</v>
      </c>
      <c r="T250" s="16">
        <f>IFERROR(__xludf.DUMMYFUNCTION("""COMPUTED_VALUE"""),14.5)</f>
        <v>14.5</v>
      </c>
      <c r="U250" s="16">
        <f>IFERROR(__xludf.DUMMYFUNCTION("""COMPUTED_VALUE"""),2.0)</f>
        <v>2</v>
      </c>
      <c r="V250" s="16">
        <f>IFERROR(__xludf.DUMMYFUNCTION("""COMPUTED_VALUE"""),0.0)</f>
        <v>0</v>
      </c>
      <c r="W250" s="16">
        <f>IFERROR(__xludf.DUMMYFUNCTION("""COMPUTED_VALUE"""),4.0)</f>
        <v>4</v>
      </c>
      <c r="X250" s="16">
        <f>IFERROR(__xludf.DUMMYFUNCTION("""COMPUTED_VALUE"""),0.0)</f>
        <v>0</v>
      </c>
      <c r="Y250" s="16">
        <f>IFERROR(__xludf.DUMMYFUNCTION("""COMPUTED_VALUE"""),25.3)</f>
        <v>25.3</v>
      </c>
      <c r="Z250" s="16">
        <f>IFERROR(__xludf.DUMMYFUNCTION("""COMPUTED_VALUE"""),32.5)</f>
        <v>32.5</v>
      </c>
      <c r="AA250" s="16">
        <f>IFERROR(__xludf.DUMMYFUNCTION("""COMPUTED_VALUE"""),0.0)</f>
        <v>0</v>
      </c>
      <c r="AB250" s="16">
        <f>IFERROR(__xludf.DUMMYFUNCTION("""COMPUTED_VALUE"""),-1.0)</f>
        <v>-1</v>
      </c>
      <c r="AC250" s="16">
        <f>IFERROR(__xludf.DUMMYFUNCTION("""COMPUTED_VALUE"""),0.0)</f>
        <v>0</v>
      </c>
      <c r="AD250" s="16">
        <f>IFERROR(__xludf.DUMMYFUNCTION("""COMPUTED_VALUE"""),-5.0)</f>
        <v>-5</v>
      </c>
      <c r="AE250" s="16">
        <f>IFERROR(__xludf.DUMMYFUNCTION("""COMPUTED_VALUE"""),9.0)</f>
        <v>9</v>
      </c>
      <c r="AF250" s="16">
        <f>IFERROR(__xludf.DUMMYFUNCTION("""COMPUTED_VALUE"""),28.1)</f>
        <v>28.1</v>
      </c>
      <c r="AG250" s="16">
        <f>IFERROR(__xludf.DUMMYFUNCTION("""COMPUTED_VALUE"""),2.0)</f>
        <v>2</v>
      </c>
      <c r="AH250" s="16">
        <f>IFERROR(__xludf.DUMMYFUNCTION("""COMPUTED_VALUE"""),0.0)</f>
        <v>0</v>
      </c>
      <c r="AI250" s="16">
        <f>IFERROR(__xludf.DUMMYFUNCTION("""COMPUTED_VALUE"""),4.0)</f>
        <v>4</v>
      </c>
      <c r="AJ250" s="16">
        <f>IFERROR(__xludf.DUMMYFUNCTION("""COMPUTED_VALUE"""),0.0)</f>
        <v>0</v>
      </c>
      <c r="AK250" s="16">
        <f>IFERROR(__xludf.DUMMYFUNCTION("""COMPUTED_VALUE"""),3.3)</f>
        <v>3.3</v>
      </c>
      <c r="AL250" s="16">
        <f>IFERROR(__xludf.DUMMYFUNCTION("""COMPUTED_VALUE"""),12.7)</f>
        <v>12.7</v>
      </c>
      <c r="AM250" s="16">
        <f>IFERROR(__xludf.DUMMYFUNCTION("""COMPUTED_VALUE"""),2.0)</f>
        <v>2</v>
      </c>
      <c r="AN250" s="16">
        <f>IFERROR(__xludf.DUMMYFUNCTION("""COMPUTED_VALUE"""),0.0)</f>
        <v>0</v>
      </c>
      <c r="AO250" s="16">
        <f>IFERROR(__xludf.DUMMYFUNCTION("""COMPUTED_VALUE"""),2.0)</f>
        <v>2</v>
      </c>
      <c r="AP250" s="16">
        <f>IFERROR(__xludf.DUMMYFUNCTION("""COMPUTED_VALUE"""),0.0)</f>
        <v>0</v>
      </c>
      <c r="AQ250" s="16">
        <f>IFERROR(__xludf.DUMMYFUNCTION("""COMPUTED_VALUE"""),5.0)</f>
        <v>5</v>
      </c>
      <c r="AR250" s="16">
        <f>IFERROR(__xludf.DUMMYFUNCTION("""COMPUTED_VALUE"""),20.900000000000002)</f>
        <v>20.9</v>
      </c>
      <c r="AS250" s="16">
        <f>IFERROR(__xludf.DUMMYFUNCTION("""COMPUTED_VALUE"""),2.0)</f>
        <v>2</v>
      </c>
      <c r="AT250" s="16">
        <f>IFERROR(__xludf.DUMMYFUNCTION("""COMPUTED_VALUE"""),0.0)</f>
        <v>0</v>
      </c>
      <c r="AU250" s="16">
        <f>IFERROR(__xludf.DUMMYFUNCTION("""COMPUTED_VALUE"""),4.0)</f>
        <v>4</v>
      </c>
      <c r="AV250" s="16">
        <f>IFERROR(__xludf.DUMMYFUNCTION("""COMPUTED_VALUE"""),0.0)</f>
        <v>0</v>
      </c>
      <c r="AW250" s="16">
        <f>IFERROR(__xludf.DUMMYFUNCTION("""COMPUTED_VALUE"""),1.0)</f>
        <v>1</v>
      </c>
      <c r="AX250" s="16">
        <f>IFERROR(__xludf.DUMMYFUNCTION("""COMPUTED_VALUE"""),1.8)</f>
        <v>1.8</v>
      </c>
      <c r="AY250" s="16">
        <f>IFERROR(__xludf.DUMMYFUNCTION("""COMPUTED_VALUE"""),1.0)</f>
        <v>1</v>
      </c>
      <c r="AZ250" s="16">
        <f>IFERROR(__xludf.DUMMYFUNCTION("""COMPUTED_VALUE"""),0.0)</f>
        <v>0</v>
      </c>
      <c r="BA250" s="16">
        <f>IFERROR(__xludf.DUMMYFUNCTION("""COMPUTED_VALUE"""),5.0)</f>
        <v>5</v>
      </c>
      <c r="BB250" s="16">
        <f>IFERROR(__xludf.DUMMYFUNCTION("""COMPUTED_VALUE"""),0.0)</f>
        <v>0</v>
      </c>
      <c r="BC250" s="16"/>
      <c r="BD250" s="16">
        <f>IFERROR(__xludf.DUMMYFUNCTION("""COMPUTED_VALUE"""),4.0)</f>
        <v>4</v>
      </c>
      <c r="BE250" s="16">
        <f>IFERROR(__xludf.DUMMYFUNCTION("""COMPUTED_VALUE"""),0.0)</f>
        <v>0</v>
      </c>
      <c r="BF250" s="16">
        <f>IFERROR(__xludf.DUMMYFUNCTION("""COMPUTED_VALUE"""),4.0)</f>
        <v>4</v>
      </c>
      <c r="BG250" s="16">
        <f>IFERROR(__xludf.DUMMYFUNCTION("""COMPUTED_VALUE"""),3.0)</f>
        <v>3</v>
      </c>
      <c r="BH250" s="16">
        <f>IFERROR(__xludf.DUMMYFUNCTION("""COMPUTED_VALUE"""),-1.0)</f>
        <v>-1</v>
      </c>
      <c r="BI250" s="16">
        <f>IFERROR(__xludf.DUMMYFUNCTION("""COMPUTED_VALUE"""),6.0)</f>
        <v>6</v>
      </c>
      <c r="BJ250" s="16">
        <f>IFERROR(__xludf.DUMMYFUNCTION("""COMPUTED_VALUE"""),-2.0)</f>
        <v>-2</v>
      </c>
      <c r="BK250" s="16">
        <f>IFERROR(__xludf.DUMMYFUNCTION("""COMPUTED_VALUE"""),0.0)</f>
        <v>0</v>
      </c>
      <c r="BL250" s="16">
        <f>IFERROR(__xludf.DUMMYFUNCTION("""COMPUTED_VALUE"""),5.0)</f>
        <v>5</v>
      </c>
      <c r="BM250" s="16">
        <f>IFERROR(__xludf.DUMMYFUNCTION("""COMPUTED_VALUE"""),1.0)</f>
        <v>1</v>
      </c>
      <c r="BN250" s="16">
        <f>IFERROR(__xludf.DUMMYFUNCTION("""COMPUTED_VALUE"""),0.0)</f>
        <v>0</v>
      </c>
      <c r="BO250" s="16">
        <f>IFERROR(__xludf.DUMMYFUNCTION("""COMPUTED_VALUE"""),1.0)</f>
        <v>1</v>
      </c>
      <c r="BP250" s="16">
        <f>IFERROR(__xludf.DUMMYFUNCTION("""COMPUTED_VALUE"""),0.0)</f>
        <v>0</v>
      </c>
      <c r="BQ250" s="16">
        <f>IFERROR(__xludf.DUMMYFUNCTION("""COMPUTED_VALUE"""),0.0)</f>
        <v>0</v>
      </c>
      <c r="BR250" s="16">
        <f>IFERROR(__xludf.DUMMYFUNCTION("""COMPUTED_VALUE"""),0.0)</f>
        <v>0</v>
      </c>
      <c r="BS250" s="16">
        <f>IFERROR(__xludf.DUMMYFUNCTION("""COMPUTED_VALUE"""),-3.0)</f>
        <v>-3</v>
      </c>
      <c r="BT250" s="16">
        <f>IFERROR(__xludf.DUMMYFUNCTION("""COMPUTED_VALUE"""),-3.0)</f>
        <v>-3</v>
      </c>
      <c r="BU250" s="16">
        <f>IFERROR(__xludf.DUMMYFUNCTION("""COMPUTED_VALUE"""),-6.0)</f>
        <v>-6</v>
      </c>
      <c r="BV250" s="16">
        <f>IFERROR(__xludf.DUMMYFUNCTION("""COMPUTED_VALUE"""),-6.0)</f>
        <v>-6</v>
      </c>
      <c r="BW250" s="16">
        <f>IFERROR(__xludf.DUMMYFUNCTION("""COMPUTED_VALUE"""),8.0)</f>
        <v>8</v>
      </c>
      <c r="BX250" s="16">
        <f>IFERROR(__xludf.DUMMYFUNCTION("""COMPUTED_VALUE"""),8.0)</f>
        <v>8</v>
      </c>
      <c r="BY250" s="16" t="str">
        <f>IFERROR(__xludf.DUMMYFUNCTION("""COMPUTED_VALUE"""),"R(1) C(1)")</f>
        <v>R(1) C(1)</v>
      </c>
      <c r="BZ250" s="16" t="str">
        <f>IFERROR(__xludf.DUMMYFUNCTION("""COMPUTED_VALUE"""),"R(1) C(1)")</f>
        <v>R(1) C(1)</v>
      </c>
      <c r="CA250" s="16" t="str">
        <f>IFERROR(__xludf.DUMMYFUNCTION("""COMPUTED_VALUE"""),"R(1)")</f>
        <v>R(1)</v>
      </c>
      <c r="CB250" s="16" t="str">
        <f>IFERROR(__xludf.DUMMYFUNCTION("""COMPUTED_VALUE"""),"C(1)")</f>
        <v>C(1)</v>
      </c>
      <c r="CC250" s="16"/>
      <c r="CD250" s="16"/>
      <c r="CE250" s="16">
        <f>IFERROR(__xludf.DUMMYFUNCTION("""COMPUTED_VALUE"""),1.0)</f>
        <v>1</v>
      </c>
      <c r="CF250" s="16">
        <f>IFERROR(__xludf.DUMMYFUNCTION("""COMPUTED_VALUE"""),1.0)</f>
        <v>1</v>
      </c>
      <c r="CG250" s="16" t="str">
        <f>IFERROR(__xludf.DUMMYFUNCTION("""COMPUTED_VALUE"""),"5-0")</f>
        <v>5-0</v>
      </c>
      <c r="CH250" s="16">
        <f>IFERROR(__xludf.DUMMYFUNCTION("""COMPUTED_VALUE"""),5.0)</f>
        <v>5</v>
      </c>
      <c r="CI250" s="16">
        <f>IFERROR(__xludf.DUMMYFUNCTION("""COMPUTED_VALUE"""),0.0)</f>
        <v>0</v>
      </c>
      <c r="CJ250" s="16">
        <f>IFERROR(__xludf.DUMMYFUNCTION("""COMPUTED_VALUE"""),0.0)</f>
        <v>0</v>
      </c>
      <c r="CK250" s="16">
        <f>IFERROR(__xludf.DUMMYFUNCTION("""COMPUTED_VALUE"""),7.0)</f>
        <v>7</v>
      </c>
      <c r="CL250" s="16" t="str">
        <f>IFERROR(__xludf.DUMMYFUNCTION("""COMPUTED_VALUE"""),"1WR-C")</f>
        <v>1WR-C</v>
      </c>
      <c r="CM250" s="16" t="str">
        <f>IFERROR(__xludf.DUMMYFUNCTION("""COMPUTED_VALUE"""),"E")</f>
        <v>E</v>
      </c>
      <c r="CN250" s="16">
        <f>IFERROR(__xludf.DUMMYFUNCTION("""COMPUTED_VALUE"""),10.0)</f>
        <v>10</v>
      </c>
      <c r="CO250" s="16" t="str">
        <f>IFERROR(__xludf.DUMMYFUNCTION("""COMPUTED_VALUE"""),"C")</f>
        <v>C</v>
      </c>
      <c r="CP250" s="16" t="str">
        <f>IFERROR(__xludf.DUMMYFUNCTION("""COMPUTED_VALUE"""),"1p50")</f>
        <v>1p50</v>
      </c>
      <c r="CQ250" s="16">
        <f>IFERROR(__xludf.DUMMYFUNCTION("""COMPUTED_VALUE"""),23.0)</f>
        <v>23</v>
      </c>
      <c r="CR250" s="16">
        <f>IFERROR(__xludf.DUMMYFUNCTION("""COMPUTED_VALUE"""),-13.0)</f>
        <v>-13</v>
      </c>
      <c r="CS250" s="16">
        <f>IFERROR(__xludf.DUMMYFUNCTION("""COMPUTED_VALUE"""),10.0)</f>
        <v>10</v>
      </c>
      <c r="CT250" s="16">
        <f>IFERROR(__xludf.DUMMYFUNCTION("""COMPUTED_VALUE"""),23.0)</f>
        <v>23</v>
      </c>
      <c r="CU250" s="16">
        <f>IFERROR(__xludf.DUMMYFUNCTION("""COMPUTED_VALUE"""),-13.0)</f>
        <v>-13</v>
      </c>
      <c r="CV250" s="179">
        <f>IFERROR(__xludf.DUMMYFUNCTION("""COMPUTED_VALUE"""),3.0)</f>
        <v>3</v>
      </c>
      <c r="CW250" s="179">
        <f>IFERROR(__xludf.DUMMYFUNCTION("""COMPUTED_VALUE"""),4.0)</f>
        <v>4</v>
      </c>
      <c r="CX250" s="179">
        <f>IFERROR(__xludf.DUMMYFUNCTION("""COMPUTED_VALUE"""),0.0)</f>
        <v>0</v>
      </c>
      <c r="CY250" s="16" t="str">
        <f>IFERROR(__xludf.DUMMYFUNCTION("""COMPUTED_VALUE"""),"RP")</f>
        <v>RP</v>
      </c>
      <c r="CZ250" s="16" t="str">
        <f>IFERROR(__xludf.DUMMYFUNCTION("""COMPUTED_VALUE"""),"CP")</f>
        <v>CP</v>
      </c>
      <c r="DA250" s="16"/>
      <c r="DB250" s="16"/>
      <c r="DC250" s="16"/>
      <c r="DD250" s="16"/>
      <c r="DE250" s="16"/>
      <c r="DF250" s="16"/>
      <c r="DG250" s="16"/>
      <c r="DH250" s="16"/>
      <c r="DI250" s="16"/>
      <c r="DJ250" s="16"/>
      <c r="DK250" s="16"/>
    </row>
    <row r="251">
      <c r="A251" s="16">
        <f>IFERROR(__xludf.DUMMYFUNCTION("""COMPUTED_VALUE"""),13064.0)</f>
        <v>13064</v>
      </c>
      <c r="B251" s="16" t="str">
        <f>IFERROR(__xludf.DUMMYFUNCTION("""COMPUTED_VALUE"""),"Kaleb Ort")</f>
        <v>Kaleb Ort</v>
      </c>
      <c r="C251" s="153">
        <f>IFERROR(__xludf.DUMMYFUNCTION("""COMPUTED_VALUE"""),0.88)</f>
        <v>0.88</v>
      </c>
      <c r="D251" s="16"/>
      <c r="E251" s="16" t="str">
        <f>IFERROR(__xludf.DUMMYFUNCTION("""COMPUTED_VALUE"""),"R")</f>
        <v>R</v>
      </c>
      <c r="F251" s="16">
        <f>IFERROR(__xludf.DUMMYFUNCTION("""COMPUTED_VALUE"""),25.0)</f>
        <v>25</v>
      </c>
      <c r="G251" s="16">
        <f>IFERROR(__xludf.DUMMYFUNCTION("""COMPUTED_VALUE"""),35.0)</f>
        <v>35</v>
      </c>
      <c r="H251" s="16">
        <f>IFERROR(__xludf.DUMMYFUNCTION("""COMPUTED_VALUE"""),35.0)</f>
        <v>35</v>
      </c>
      <c r="I251" s="16">
        <f>IFERROR(__xludf.DUMMYFUNCTION("""COMPUTED_VALUE"""),1.0)</f>
        <v>1</v>
      </c>
      <c r="J251" s="16">
        <f>IFERROR(__xludf.DUMMYFUNCTION("""COMPUTED_VALUE"""),1.0)</f>
        <v>1</v>
      </c>
      <c r="K251" s="16">
        <f>IFERROR(__xludf.DUMMYFUNCTION("""COMPUTED_VALUE"""),3.0)</f>
        <v>3</v>
      </c>
      <c r="L251" s="16">
        <f>IFERROR(__xludf.DUMMYFUNCTION("""COMPUTED_VALUE"""),3.0)</f>
        <v>3</v>
      </c>
      <c r="M251" s="16">
        <f>IFERROR(__xludf.DUMMYFUNCTION("""COMPUTED_VALUE"""),1.0)</f>
        <v>1</v>
      </c>
      <c r="N251" s="16">
        <f>IFERROR(__xludf.DUMMYFUNCTION("""COMPUTED_VALUE"""),0.0)</f>
        <v>0</v>
      </c>
      <c r="O251" s="16">
        <f>IFERROR(__xludf.DUMMYFUNCTION("""COMPUTED_VALUE"""),3.0)</f>
        <v>3</v>
      </c>
      <c r="P251" s="16">
        <f>IFERROR(__xludf.DUMMYFUNCTION("""COMPUTED_VALUE"""),3.0)</f>
        <v>3</v>
      </c>
      <c r="Q251" s="16">
        <f>IFERROR(__xludf.DUMMYFUNCTION("""COMPUTED_VALUE"""),3.0)</f>
        <v>3</v>
      </c>
      <c r="R251" s="16">
        <f>IFERROR(__xludf.DUMMYFUNCTION("""COMPUTED_VALUE"""),3.0)</f>
        <v>3</v>
      </c>
      <c r="S251" s="16">
        <f>IFERROR(__xludf.DUMMYFUNCTION("""COMPUTED_VALUE"""),9.1)</f>
        <v>9.1</v>
      </c>
      <c r="T251" s="16">
        <f>IFERROR(__xludf.DUMMYFUNCTION("""COMPUTED_VALUE"""),9.1)</f>
        <v>9.1</v>
      </c>
      <c r="U251" s="16">
        <f>IFERROR(__xludf.DUMMYFUNCTION("""COMPUTED_VALUE"""),1.0)</f>
        <v>1</v>
      </c>
      <c r="V251" s="16">
        <f>IFERROR(__xludf.DUMMYFUNCTION("""COMPUTED_VALUE"""),1.0)</f>
        <v>1</v>
      </c>
      <c r="W251" s="16">
        <f>IFERROR(__xludf.DUMMYFUNCTION("""COMPUTED_VALUE"""),2.0)</f>
        <v>2</v>
      </c>
      <c r="X251" s="16">
        <f>IFERROR(__xludf.DUMMYFUNCTION("""COMPUTED_VALUE"""),2.0)</f>
        <v>2</v>
      </c>
      <c r="Y251" s="16">
        <f>IFERROR(__xludf.DUMMYFUNCTION("""COMPUTED_VALUE"""),10.1)</f>
        <v>10.1</v>
      </c>
      <c r="Z251" s="16">
        <f>IFERROR(__xludf.DUMMYFUNCTION("""COMPUTED_VALUE"""),9.1)</f>
        <v>9.1</v>
      </c>
      <c r="AA251" s="16">
        <f>IFERROR(__xludf.DUMMYFUNCTION("""COMPUTED_VALUE"""),2.0)</f>
        <v>2</v>
      </c>
      <c r="AB251" s="16">
        <f>IFERROR(__xludf.DUMMYFUNCTION("""COMPUTED_VALUE"""),2.0)</f>
        <v>2</v>
      </c>
      <c r="AC251" s="16">
        <f>IFERROR(__xludf.DUMMYFUNCTION("""COMPUTED_VALUE"""),10.0)</f>
        <v>10</v>
      </c>
      <c r="AD251" s="16">
        <f>IFERROR(__xludf.DUMMYFUNCTION("""COMPUTED_VALUE"""),10.0)</f>
        <v>10</v>
      </c>
      <c r="AE251" s="16">
        <f>IFERROR(__xludf.DUMMYFUNCTION("""COMPUTED_VALUE"""),36.1)</f>
        <v>36.1</v>
      </c>
      <c r="AF251" s="16">
        <f>IFERROR(__xludf.DUMMYFUNCTION("""COMPUTED_VALUE"""),36.1)</f>
        <v>36.1</v>
      </c>
      <c r="AG251" s="16">
        <f>IFERROR(__xludf.DUMMYFUNCTION("""COMPUTED_VALUE"""),-1.0)</f>
        <v>-1</v>
      </c>
      <c r="AH251" s="16">
        <f>IFERROR(__xludf.DUMMYFUNCTION("""COMPUTED_VALUE"""),-1.0)</f>
        <v>-1</v>
      </c>
      <c r="AI251" s="16">
        <f>IFERROR(__xludf.DUMMYFUNCTION("""COMPUTED_VALUE"""),-2.0)</f>
        <v>-2</v>
      </c>
      <c r="AJ251" s="16">
        <f>IFERROR(__xludf.DUMMYFUNCTION("""COMPUTED_VALUE"""),-2.0)</f>
        <v>-2</v>
      </c>
      <c r="AK251" s="16">
        <f>IFERROR(__xludf.DUMMYFUNCTION("""COMPUTED_VALUE"""),0.09999999999999964)</f>
        <v>0.1</v>
      </c>
      <c r="AL251" s="16">
        <f>IFERROR(__xludf.DUMMYFUNCTION("""COMPUTED_VALUE"""),0.09999999999999964)</f>
        <v>0.1</v>
      </c>
      <c r="AM251" s="16">
        <f>IFERROR(__xludf.DUMMYFUNCTION("""COMPUTED_VALUE"""),2.0)</f>
        <v>2</v>
      </c>
      <c r="AN251" s="16">
        <f>IFERROR(__xludf.DUMMYFUNCTION("""COMPUTED_VALUE"""),2.0)</f>
        <v>2</v>
      </c>
      <c r="AO251" s="16">
        <f>IFERROR(__xludf.DUMMYFUNCTION("""COMPUTED_VALUE"""),2.0)</f>
        <v>2</v>
      </c>
      <c r="AP251" s="16">
        <f>IFERROR(__xludf.DUMMYFUNCTION("""COMPUTED_VALUE"""),2.0)</f>
        <v>2</v>
      </c>
      <c r="AQ251" s="16">
        <f>IFERROR(__xludf.DUMMYFUNCTION("""COMPUTED_VALUE"""),0.10000000000000142)</f>
        <v>0.1</v>
      </c>
      <c r="AR251" s="16">
        <f>IFERROR(__xludf.DUMMYFUNCTION("""COMPUTED_VALUE"""),0.10000000000000142)</f>
        <v>0.1</v>
      </c>
      <c r="AS251" s="16">
        <f>IFERROR(__xludf.DUMMYFUNCTION("""COMPUTED_VALUE"""),2.0)</f>
        <v>2</v>
      </c>
      <c r="AT251" s="16">
        <f>IFERROR(__xludf.DUMMYFUNCTION("""COMPUTED_VALUE"""),2.0)</f>
        <v>2</v>
      </c>
      <c r="AU251" s="16">
        <f>IFERROR(__xludf.DUMMYFUNCTION("""COMPUTED_VALUE"""),4.0)</f>
        <v>4</v>
      </c>
      <c r="AV251" s="16">
        <f>IFERROR(__xludf.DUMMYFUNCTION("""COMPUTED_VALUE"""),4.0)</f>
        <v>4</v>
      </c>
      <c r="AW251" s="16">
        <f>IFERROR(__xludf.DUMMYFUNCTION("""COMPUTED_VALUE"""),9.0)</f>
        <v>9</v>
      </c>
      <c r="AX251" s="16">
        <f>IFERROR(__xludf.DUMMYFUNCTION("""COMPUTED_VALUE"""),9.0)</f>
        <v>9</v>
      </c>
      <c r="AY251" s="16">
        <f>IFERROR(__xludf.DUMMYFUNCTION("""COMPUTED_VALUE"""),-3.0)</f>
        <v>-3</v>
      </c>
      <c r="AZ251" s="16">
        <f>IFERROR(__xludf.DUMMYFUNCTION("""COMPUTED_VALUE"""),-3.0)</f>
        <v>-3</v>
      </c>
      <c r="BA251" s="16">
        <f>IFERROR(__xludf.DUMMYFUNCTION("""COMPUTED_VALUE"""),-15.0)</f>
        <v>-15</v>
      </c>
      <c r="BB251" s="16">
        <f>IFERROR(__xludf.DUMMYFUNCTION("""COMPUTED_VALUE"""),-15.0)</f>
        <v>-15</v>
      </c>
      <c r="BC251" s="16"/>
      <c r="BD251" s="16"/>
      <c r="BE251" s="16">
        <f>IFERROR(__xludf.DUMMYFUNCTION("""COMPUTED_VALUE"""),8.0)</f>
        <v>8</v>
      </c>
      <c r="BF251" s="16">
        <f>IFERROR(__xludf.DUMMYFUNCTION("""COMPUTED_VALUE"""),8.0)</f>
        <v>8</v>
      </c>
      <c r="BG251" s="16">
        <f>IFERROR(__xludf.DUMMYFUNCTION("""COMPUTED_VALUE"""),-3.0)</f>
        <v>-3</v>
      </c>
      <c r="BH251" s="16">
        <f>IFERROR(__xludf.DUMMYFUNCTION("""COMPUTED_VALUE"""),-3.0)</f>
        <v>-3</v>
      </c>
      <c r="BI251" s="16">
        <f>IFERROR(__xludf.DUMMYFUNCTION("""COMPUTED_VALUE"""),-6.0)</f>
        <v>-6</v>
      </c>
      <c r="BJ251" s="16">
        <f>IFERROR(__xludf.DUMMYFUNCTION("""COMPUTED_VALUE"""),-6.0)</f>
        <v>-6</v>
      </c>
      <c r="BK251" s="16">
        <f>IFERROR(__xludf.DUMMYFUNCTION("""COMPUTED_VALUE"""),0.0)</f>
        <v>0</v>
      </c>
      <c r="BL251" s="16">
        <f>IFERROR(__xludf.DUMMYFUNCTION("""COMPUTED_VALUE"""),0.0)</f>
        <v>0</v>
      </c>
      <c r="BM251" s="16">
        <f>IFERROR(__xludf.DUMMYFUNCTION("""COMPUTED_VALUE"""),1.0)</f>
        <v>1</v>
      </c>
      <c r="BN251" s="16">
        <f>IFERROR(__xludf.DUMMYFUNCTION("""COMPUTED_VALUE"""),1.0)</f>
        <v>1</v>
      </c>
      <c r="BO251" s="16">
        <f>IFERROR(__xludf.DUMMYFUNCTION("""COMPUTED_VALUE"""),1.0)</f>
        <v>1</v>
      </c>
      <c r="BP251" s="16">
        <f>IFERROR(__xludf.DUMMYFUNCTION("""COMPUTED_VALUE"""),1.0)</f>
        <v>1</v>
      </c>
      <c r="BQ251" s="16">
        <f>IFERROR(__xludf.DUMMYFUNCTION("""COMPUTED_VALUE"""),0.0)</f>
        <v>0</v>
      </c>
      <c r="BR251" s="16">
        <f>IFERROR(__xludf.DUMMYFUNCTION("""COMPUTED_VALUE"""),0.0)</f>
        <v>0</v>
      </c>
      <c r="BS251" s="16">
        <f>IFERROR(__xludf.DUMMYFUNCTION("""COMPUTED_VALUE"""),-3.0)</f>
        <v>-3</v>
      </c>
      <c r="BT251" s="16">
        <f>IFERROR(__xludf.DUMMYFUNCTION("""COMPUTED_VALUE"""),-3.0)</f>
        <v>-3</v>
      </c>
      <c r="BU251" s="16">
        <f>IFERROR(__xludf.DUMMYFUNCTION("""COMPUTED_VALUE"""),-6.0)</f>
        <v>-6</v>
      </c>
      <c r="BV251" s="16">
        <f>IFERROR(__xludf.DUMMYFUNCTION("""COMPUTED_VALUE"""),-6.0)</f>
        <v>-6</v>
      </c>
      <c r="BW251" s="16">
        <f>IFERROR(__xludf.DUMMYFUNCTION("""COMPUTED_VALUE"""),-1.0)</f>
        <v>-1</v>
      </c>
      <c r="BX251" s="16">
        <f>IFERROR(__xludf.DUMMYFUNCTION("""COMPUTED_VALUE"""),-1.0)</f>
        <v>-1</v>
      </c>
      <c r="BY251" s="16" t="str">
        <f>IFERROR(__xludf.DUMMYFUNCTION("""COMPUTED_VALUE"""),"R(2)")</f>
        <v>R(2)</v>
      </c>
      <c r="BZ251" s="16" t="str">
        <f>IFERROR(__xludf.DUMMYFUNCTION("""COMPUTED_VALUE"""),"R(2)")</f>
        <v>R(2)</v>
      </c>
      <c r="CA251" s="16" t="str">
        <f>IFERROR(__xludf.DUMMYFUNCTION("""COMPUTED_VALUE"""),"R(2)")</f>
        <v>R(2)</v>
      </c>
      <c r="CB251" s="16"/>
      <c r="CC251" s="16"/>
      <c r="CD251" s="16"/>
      <c r="CE251" s="16">
        <f>IFERROR(__xludf.DUMMYFUNCTION("""COMPUTED_VALUE"""),2.0)</f>
        <v>2</v>
      </c>
      <c r="CF251" s="16"/>
      <c r="CG251" s="16" t="str">
        <f>IFERROR(__xludf.DUMMYFUNCTION("""COMPUTED_VALUE"""),"3-51")</f>
        <v>3-51</v>
      </c>
      <c r="CH251" s="16">
        <f>IFERROR(__xludf.DUMMYFUNCTION("""COMPUTED_VALUE"""),3.0)</f>
        <v>3</v>
      </c>
      <c r="CI251" s="16">
        <f>IFERROR(__xludf.DUMMYFUNCTION("""COMPUTED_VALUE"""),51.0)</f>
        <v>51</v>
      </c>
      <c r="CJ251" s="16">
        <f>IFERROR(__xludf.DUMMYFUNCTION("""COMPUTED_VALUE"""),0.0)</f>
        <v>0</v>
      </c>
      <c r="CK251" s="16">
        <f>IFERROR(__xludf.DUMMYFUNCTION("""COMPUTED_VALUE"""),10.0)</f>
        <v>10</v>
      </c>
      <c r="CL251" s="16" t="str">
        <f>IFERROR(__xludf.DUMMYFUNCTION("""COMPUTED_VALUE"""),"1WR-C")</f>
        <v>1WR-C</v>
      </c>
      <c r="CM251" s="16" t="str">
        <f>IFERROR(__xludf.DUMMYFUNCTION("""COMPUTED_VALUE"""),"E")</f>
        <v>E</v>
      </c>
      <c r="CN251" s="16">
        <f>IFERROR(__xludf.DUMMYFUNCTION("""COMPUTED_VALUE"""),10.0)</f>
        <v>10</v>
      </c>
      <c r="CO251" s="16" t="str">
        <f>IFERROR(__xludf.DUMMYFUNCTION("""COMPUTED_VALUE"""),"C")</f>
        <v>C</v>
      </c>
      <c r="CP251" s="16" t="str">
        <f>IFERROR(__xludf.DUMMYFUNCTION("""COMPUTED_VALUE"""),"1p20")</f>
        <v>1p20</v>
      </c>
      <c r="CQ251" s="16">
        <f>IFERROR(__xludf.DUMMYFUNCTION("""COMPUTED_VALUE"""),-4.0)</f>
        <v>-4</v>
      </c>
      <c r="CR251" s="16">
        <f>IFERROR(__xludf.DUMMYFUNCTION("""COMPUTED_VALUE"""),-4.0)</f>
        <v>-4</v>
      </c>
      <c r="CS251" s="16">
        <f>IFERROR(__xludf.DUMMYFUNCTION("""COMPUTED_VALUE"""),-8.0)</f>
        <v>-8</v>
      </c>
      <c r="CT251" s="16">
        <f>IFERROR(__xludf.DUMMYFUNCTION("""COMPUTED_VALUE"""),-4.0)</f>
        <v>-4</v>
      </c>
      <c r="CU251" s="16">
        <f>IFERROR(__xludf.DUMMYFUNCTION("""COMPUTED_VALUE"""),-4.0)</f>
        <v>-4</v>
      </c>
      <c r="CV251" s="179">
        <f>IFERROR(__xludf.DUMMYFUNCTION("""COMPUTED_VALUE"""),3.0)</f>
        <v>3</v>
      </c>
      <c r="CW251" s="179">
        <f>IFERROR(__xludf.DUMMYFUNCTION("""COMPUTED_VALUE"""),4.0)</f>
        <v>4</v>
      </c>
      <c r="CX251" s="179">
        <f>IFERROR(__xludf.DUMMYFUNCTION("""COMPUTED_VALUE"""),3.0)</f>
        <v>3</v>
      </c>
      <c r="CY251" s="16" t="str">
        <f>IFERROR(__xludf.DUMMYFUNCTION("""COMPUTED_VALUE"""),"RP")</f>
        <v>RP</v>
      </c>
      <c r="CZ251" s="16"/>
      <c r="DA251" s="16"/>
      <c r="DB251" s="16"/>
      <c r="DC251" s="16"/>
      <c r="DD251" s="16"/>
      <c r="DE251" s="16"/>
      <c r="DF251" s="16"/>
      <c r="DG251" s="16"/>
      <c r="DH251" s="16"/>
      <c r="DI251" s="16"/>
      <c r="DJ251" s="16"/>
      <c r="DK251" s="16"/>
    </row>
    <row r="252">
      <c r="A252" s="16">
        <f>IFERROR(__xludf.DUMMYFUNCTION("""COMPUTED_VALUE"""),13274.0)</f>
        <v>13274</v>
      </c>
      <c r="B252" s="16" t="str">
        <f>IFERROR(__xludf.DUMMYFUNCTION("""COMPUTED_VALUE"""),"Patrick Sandoval")</f>
        <v>Patrick Sandoval</v>
      </c>
      <c r="C252" s="153">
        <f>IFERROR(__xludf.DUMMYFUNCTION("""COMPUTED_VALUE"""),0.0)</f>
        <v>0</v>
      </c>
      <c r="D252" s="16"/>
      <c r="E252" s="16" t="str">
        <f>IFERROR(__xludf.DUMMYFUNCTION("""COMPUTED_VALUE"""),"L")</f>
        <v>L</v>
      </c>
      <c r="F252" s="16">
        <f>IFERROR(__xludf.DUMMYFUNCTION("""COMPUTED_VALUE"""),80.0)</f>
        <v>80</v>
      </c>
      <c r="G252" s="16">
        <f>IFERROR(__xludf.DUMMYFUNCTION("""COMPUTED_VALUE"""),42.0)</f>
        <v>42</v>
      </c>
      <c r="H252" s="16">
        <f>IFERROR(__xludf.DUMMYFUNCTION("""COMPUTED_VALUE"""),23.0)</f>
        <v>23</v>
      </c>
      <c r="I252" s="16">
        <f>IFERROR(__xludf.DUMMYFUNCTION("""COMPUTED_VALUE"""),2.0)</f>
        <v>2</v>
      </c>
      <c r="J252" s="16">
        <f>IFERROR(__xludf.DUMMYFUNCTION("""COMPUTED_VALUE"""),-1.0)</f>
        <v>-1</v>
      </c>
      <c r="K252" s="16">
        <f>IFERROR(__xludf.DUMMYFUNCTION("""COMPUTED_VALUE"""),6.0)</f>
        <v>6</v>
      </c>
      <c r="L252" s="16">
        <f>IFERROR(__xludf.DUMMYFUNCTION("""COMPUTED_VALUE"""),-3.0)</f>
        <v>-3</v>
      </c>
      <c r="M252" s="16">
        <f>IFERROR(__xludf.DUMMYFUNCTION("""COMPUTED_VALUE"""),20.0)</f>
        <v>20</v>
      </c>
      <c r="N252" s="16">
        <f>IFERROR(__xludf.DUMMYFUNCTION("""COMPUTED_VALUE"""),10.0)</f>
        <v>10</v>
      </c>
      <c r="O252" s="16">
        <f>IFERROR(__xludf.DUMMYFUNCTION("""COMPUTED_VALUE"""),-3.0)</f>
        <v>-3</v>
      </c>
      <c r="P252" s="16">
        <f>IFERROR(__xludf.DUMMYFUNCTION("""COMPUTED_VALUE"""),-1.0)</f>
        <v>-1</v>
      </c>
      <c r="Q252" s="16">
        <f>IFERROR(__xludf.DUMMYFUNCTION("""COMPUTED_VALUE"""),-3.0)</f>
        <v>-3</v>
      </c>
      <c r="R252" s="16">
        <f>IFERROR(__xludf.DUMMYFUNCTION("""COMPUTED_VALUE"""),-1.0)</f>
        <v>-1</v>
      </c>
      <c r="S252" s="16">
        <f>IFERROR(__xludf.DUMMYFUNCTION("""COMPUTED_VALUE"""),4.9)</f>
        <v>4.9</v>
      </c>
      <c r="T252" s="16">
        <f>IFERROR(__xludf.DUMMYFUNCTION("""COMPUTED_VALUE"""),24.6)</f>
        <v>24.6</v>
      </c>
      <c r="U252" s="16">
        <f>IFERROR(__xludf.DUMMYFUNCTION("""COMPUTED_VALUE"""),2.0)</f>
        <v>2</v>
      </c>
      <c r="V252" s="16">
        <f>IFERROR(__xludf.DUMMYFUNCTION("""COMPUTED_VALUE"""),-2.0)</f>
        <v>-2</v>
      </c>
      <c r="W252" s="16">
        <f>IFERROR(__xludf.DUMMYFUNCTION("""COMPUTED_VALUE"""),4.0)</f>
        <v>4</v>
      </c>
      <c r="X252" s="16">
        <f>IFERROR(__xludf.DUMMYFUNCTION("""COMPUTED_VALUE"""),-4.0)</f>
        <v>-4</v>
      </c>
      <c r="Y252" s="16">
        <f>IFERROR(__xludf.DUMMYFUNCTION("""COMPUTED_VALUE"""),24.9)</f>
        <v>24.9</v>
      </c>
      <c r="Z252" s="16">
        <f>IFERROR(__xludf.DUMMYFUNCTION("""COMPUTED_VALUE"""),34.6)</f>
        <v>34.6</v>
      </c>
      <c r="AA252" s="16">
        <f>IFERROR(__xludf.DUMMYFUNCTION("""COMPUTED_VALUE"""),0.0)</f>
        <v>0</v>
      </c>
      <c r="AB252" s="16">
        <f>IFERROR(__xludf.DUMMYFUNCTION("""COMPUTED_VALUE"""),-2.0)</f>
        <v>-2</v>
      </c>
      <c r="AC252" s="16">
        <f>IFERROR(__xludf.DUMMYFUNCTION("""COMPUTED_VALUE"""),0.0)</f>
        <v>0</v>
      </c>
      <c r="AD252" s="16">
        <f>IFERROR(__xludf.DUMMYFUNCTION("""COMPUTED_VALUE"""),-10.0)</f>
        <v>-10</v>
      </c>
      <c r="AE252" s="16">
        <f>IFERROR(__xludf.DUMMYFUNCTION("""COMPUTED_VALUE"""),9.0)</f>
        <v>9</v>
      </c>
      <c r="AF252" s="16">
        <f>IFERROR(__xludf.DUMMYFUNCTION("""COMPUTED_VALUE"""),34.3)</f>
        <v>34.3</v>
      </c>
      <c r="AG252" s="16">
        <f>IFERROR(__xludf.DUMMYFUNCTION("""COMPUTED_VALUE"""),2.0)</f>
        <v>2</v>
      </c>
      <c r="AH252" s="16">
        <f>IFERROR(__xludf.DUMMYFUNCTION("""COMPUTED_VALUE"""),-1.0)</f>
        <v>-1</v>
      </c>
      <c r="AI252" s="16">
        <f>IFERROR(__xludf.DUMMYFUNCTION("""COMPUTED_VALUE"""),4.0)</f>
        <v>4</v>
      </c>
      <c r="AJ252" s="16">
        <f>IFERROR(__xludf.DUMMYFUNCTION("""COMPUTED_VALUE"""),-2.0)</f>
        <v>-2</v>
      </c>
      <c r="AK252" s="16">
        <f>IFERROR(__xludf.DUMMYFUNCTION("""COMPUTED_VALUE"""),3.7)</f>
        <v>3.7</v>
      </c>
      <c r="AL252" s="16">
        <f>IFERROR(__xludf.DUMMYFUNCTION("""COMPUTED_VALUE"""),23.400000000000002)</f>
        <v>23.4</v>
      </c>
      <c r="AM252" s="16">
        <f>IFERROR(__xludf.DUMMYFUNCTION("""COMPUTED_VALUE"""),2.0)</f>
        <v>2</v>
      </c>
      <c r="AN252" s="16">
        <f>IFERROR(__xludf.DUMMYFUNCTION("""COMPUTED_VALUE"""),-2.0)</f>
        <v>-2</v>
      </c>
      <c r="AO252" s="16">
        <f>IFERROR(__xludf.DUMMYFUNCTION("""COMPUTED_VALUE"""),2.0)</f>
        <v>2</v>
      </c>
      <c r="AP252" s="16">
        <f>IFERROR(__xludf.DUMMYFUNCTION("""COMPUTED_VALUE"""),-2.0)</f>
        <v>-2</v>
      </c>
      <c r="AQ252" s="16">
        <f>IFERROR(__xludf.DUMMYFUNCTION("""COMPUTED_VALUE"""),4.2)</f>
        <v>4.2</v>
      </c>
      <c r="AR252" s="16">
        <f>IFERROR(__xludf.DUMMYFUNCTION("""COMPUTED_VALUE"""),29.499999999999996)</f>
        <v>29.5</v>
      </c>
      <c r="AS252" s="16">
        <f>IFERROR(__xludf.DUMMYFUNCTION("""COMPUTED_VALUE"""),2.0)</f>
        <v>2</v>
      </c>
      <c r="AT252" s="16">
        <f>IFERROR(__xludf.DUMMYFUNCTION("""COMPUTED_VALUE"""),-1.0)</f>
        <v>-1</v>
      </c>
      <c r="AU252" s="16">
        <f>IFERROR(__xludf.DUMMYFUNCTION("""COMPUTED_VALUE"""),4.0)</f>
        <v>4</v>
      </c>
      <c r="AV252" s="16">
        <f>IFERROR(__xludf.DUMMYFUNCTION("""COMPUTED_VALUE"""),-2.0)</f>
        <v>-2</v>
      </c>
      <c r="AW252" s="16">
        <f>IFERROR(__xludf.DUMMYFUNCTION("""COMPUTED_VALUE"""),1.2)</f>
        <v>1.2</v>
      </c>
      <c r="AX252" s="16">
        <f>IFERROR(__xludf.DUMMYFUNCTION("""COMPUTED_VALUE"""),1.2)</f>
        <v>1.2</v>
      </c>
      <c r="AY252" s="16">
        <f>IFERROR(__xludf.DUMMYFUNCTION("""COMPUTED_VALUE"""),1.0)</f>
        <v>1</v>
      </c>
      <c r="AZ252" s="16">
        <f>IFERROR(__xludf.DUMMYFUNCTION("""COMPUTED_VALUE"""),1.0)</f>
        <v>1</v>
      </c>
      <c r="BA252" s="16">
        <f>IFERROR(__xludf.DUMMYFUNCTION("""COMPUTED_VALUE"""),5.0)</f>
        <v>5</v>
      </c>
      <c r="BB252" s="16">
        <f>IFERROR(__xludf.DUMMYFUNCTION("""COMPUTED_VALUE"""),5.0)</f>
        <v>5</v>
      </c>
      <c r="BC252" s="16">
        <f>IFERROR(__xludf.DUMMYFUNCTION("""COMPUTED_VALUE"""),1.0)</f>
        <v>1</v>
      </c>
      <c r="BD252" s="16">
        <f>IFERROR(__xludf.DUMMYFUNCTION("""COMPUTED_VALUE"""),1.0)</f>
        <v>1</v>
      </c>
      <c r="BE252" s="16">
        <f>IFERROR(__xludf.DUMMYFUNCTION("""COMPUTED_VALUE"""),1.0)</f>
        <v>1</v>
      </c>
      <c r="BF252" s="16">
        <f>IFERROR(__xludf.DUMMYFUNCTION("""COMPUTED_VALUE"""),1.0)</f>
        <v>1</v>
      </c>
      <c r="BG252" s="16">
        <f>IFERROR(__xludf.DUMMYFUNCTION("""COMPUTED_VALUE"""),2.0)</f>
        <v>2</v>
      </c>
      <c r="BH252" s="16">
        <f>IFERROR(__xludf.DUMMYFUNCTION("""COMPUTED_VALUE"""),2.0)</f>
        <v>2</v>
      </c>
      <c r="BI252" s="16">
        <f>IFERROR(__xludf.DUMMYFUNCTION("""COMPUTED_VALUE"""),4.0)</f>
        <v>4</v>
      </c>
      <c r="BJ252" s="16">
        <f>IFERROR(__xludf.DUMMYFUNCTION("""COMPUTED_VALUE"""),4.0)</f>
        <v>4</v>
      </c>
      <c r="BK252" s="16">
        <f>IFERROR(__xludf.DUMMYFUNCTION("""COMPUTED_VALUE"""),5.0)</f>
        <v>5</v>
      </c>
      <c r="BL252" s="16">
        <f>IFERROR(__xludf.DUMMYFUNCTION("""COMPUTED_VALUE"""),5.0)</f>
        <v>5</v>
      </c>
      <c r="BM252" s="16">
        <f>IFERROR(__xludf.DUMMYFUNCTION("""COMPUTED_VALUE"""),0.0)</f>
        <v>0</v>
      </c>
      <c r="BN252" s="16">
        <f>IFERROR(__xludf.DUMMYFUNCTION("""COMPUTED_VALUE"""),0.0)</f>
        <v>0</v>
      </c>
      <c r="BO252" s="16">
        <f>IFERROR(__xludf.DUMMYFUNCTION("""COMPUTED_VALUE"""),0.0)</f>
        <v>0</v>
      </c>
      <c r="BP252" s="16">
        <f>IFERROR(__xludf.DUMMYFUNCTION("""COMPUTED_VALUE"""),0.0)</f>
        <v>0</v>
      </c>
      <c r="BQ252" s="16">
        <f>IFERROR(__xludf.DUMMYFUNCTION("""COMPUTED_VALUE"""),3.0)</f>
        <v>3</v>
      </c>
      <c r="BR252" s="16">
        <f>IFERROR(__xludf.DUMMYFUNCTION("""COMPUTED_VALUE"""),11.0)</f>
        <v>11</v>
      </c>
      <c r="BS252" s="16">
        <f>IFERROR(__xludf.DUMMYFUNCTION("""COMPUTED_VALUE"""),-1.0)</f>
        <v>-1</v>
      </c>
      <c r="BT252" s="16">
        <f>IFERROR(__xludf.DUMMYFUNCTION("""COMPUTED_VALUE"""),3.0)</f>
        <v>3</v>
      </c>
      <c r="BU252" s="16">
        <f>IFERROR(__xludf.DUMMYFUNCTION("""COMPUTED_VALUE"""),-2.0)</f>
        <v>-2</v>
      </c>
      <c r="BV252" s="16">
        <f>IFERROR(__xludf.DUMMYFUNCTION("""COMPUTED_VALUE"""),6.0)</f>
        <v>6</v>
      </c>
      <c r="BW252" s="16">
        <f>IFERROR(__xludf.DUMMYFUNCTION("""COMPUTED_VALUE"""),-3.0)</f>
        <v>-3</v>
      </c>
      <c r="BX252" s="16">
        <f>IFERROR(__xludf.DUMMYFUNCTION("""COMPUTED_VALUE"""),-3.0)</f>
        <v>-3</v>
      </c>
      <c r="BY252" s="16" t="str">
        <f>IFERROR(__xludf.DUMMYFUNCTION("""COMPUTED_VALUE"""),"S(5)")</f>
        <v>S(5)</v>
      </c>
      <c r="BZ252" s="16" t="str">
        <f>IFERROR(__xludf.DUMMYFUNCTION("""COMPUTED_VALUE"""),"S(5)")</f>
        <v>S(5)</v>
      </c>
      <c r="CA252" s="16" t="str">
        <f>IFERROR(__xludf.DUMMYFUNCTION("""COMPUTED_VALUE"""),"S(5)")</f>
        <v>S(5)</v>
      </c>
      <c r="CB252" s="16"/>
      <c r="CC252" s="16"/>
      <c r="CD252" s="16">
        <f>IFERROR(__xludf.DUMMYFUNCTION("""COMPUTED_VALUE"""),5.0)</f>
        <v>5</v>
      </c>
      <c r="CE252" s="16"/>
      <c r="CF252" s="16"/>
      <c r="CG252" s="16" t="str">
        <f>IFERROR(__xludf.DUMMYFUNCTION("""COMPUTED_VALUE"""),"2-18")</f>
        <v>2-18</v>
      </c>
      <c r="CH252" s="16">
        <f>IFERROR(__xludf.DUMMYFUNCTION("""COMPUTED_VALUE"""),2.0)</f>
        <v>2</v>
      </c>
      <c r="CI252" s="16">
        <f>IFERROR(__xludf.DUMMYFUNCTION("""COMPUTED_VALUE"""),18.0)</f>
        <v>18</v>
      </c>
      <c r="CJ252" s="16">
        <f>IFERROR(__xludf.DUMMYFUNCTION("""COMPUTED_VALUE"""),9.0)</f>
        <v>9</v>
      </c>
      <c r="CK252" s="16">
        <f>IFERROR(__xludf.DUMMYFUNCTION("""COMPUTED_VALUE"""),16.0)</f>
        <v>16</v>
      </c>
      <c r="CL252" s="16" t="str">
        <f>IFERROR(__xludf.DUMMYFUNCTION("""COMPUTED_VALUE"""),"1WL-C")</f>
        <v>1WL-C</v>
      </c>
      <c r="CM252" s="16" t="str">
        <f>IFERROR(__xludf.DUMMYFUNCTION("""COMPUTED_VALUE"""),"E")</f>
        <v>E</v>
      </c>
      <c r="CN252" s="16">
        <f>IFERROR(__xludf.DUMMYFUNCTION("""COMPUTED_VALUE"""),10.0)</f>
        <v>10</v>
      </c>
      <c r="CO252" s="16" t="str">
        <f>IFERROR(__xludf.DUMMYFUNCTION("""COMPUTED_VALUE"""),"C")</f>
        <v>C</v>
      </c>
      <c r="CP252" s="16" t="str">
        <f>IFERROR(__xludf.DUMMYFUNCTION("""COMPUTED_VALUE"""),"5p40")</f>
        <v>5p40</v>
      </c>
      <c r="CQ252" s="16">
        <f>IFERROR(__xludf.DUMMYFUNCTION("""COMPUTED_VALUE"""),24.0)</f>
        <v>24</v>
      </c>
      <c r="CR252" s="16">
        <f>IFERROR(__xludf.DUMMYFUNCTION("""COMPUTED_VALUE"""),-9.0)</f>
        <v>-9</v>
      </c>
      <c r="CS252" s="16">
        <f>IFERROR(__xludf.DUMMYFUNCTION("""COMPUTED_VALUE"""),15.0)</f>
        <v>15</v>
      </c>
      <c r="CT252" s="16">
        <f>IFERROR(__xludf.DUMMYFUNCTION("""COMPUTED_VALUE"""),24.0)</f>
        <v>24</v>
      </c>
      <c r="CU252" s="16">
        <f>IFERROR(__xludf.DUMMYFUNCTION("""COMPUTED_VALUE"""),-9.0)</f>
        <v>-9</v>
      </c>
      <c r="CV252" s="179">
        <f>IFERROR(__xludf.DUMMYFUNCTION("""COMPUTED_VALUE"""),3.0)</f>
        <v>3</v>
      </c>
      <c r="CW252" s="179">
        <f>IFERROR(__xludf.DUMMYFUNCTION("""COMPUTED_VALUE"""),0.0)</f>
        <v>0</v>
      </c>
      <c r="CX252" s="179">
        <f>IFERROR(__xludf.DUMMYFUNCTION("""COMPUTED_VALUE"""),1.0)</f>
        <v>1</v>
      </c>
      <c r="CY252" s="16" t="str">
        <f>IFERROR(__xludf.DUMMYFUNCTION("""COMPUTED_VALUE"""),"SP")</f>
        <v>SP</v>
      </c>
      <c r="CZ252" s="16"/>
      <c r="DA252" s="16"/>
      <c r="DB252" s="16"/>
      <c r="DC252" s="16"/>
      <c r="DD252" s="16"/>
      <c r="DE252" s="16"/>
      <c r="DF252" s="16"/>
      <c r="DG252" s="16"/>
      <c r="DH252" s="16"/>
      <c r="DI252" s="16"/>
      <c r="DJ252" s="16"/>
      <c r="DK252" s="16"/>
    </row>
    <row r="253">
      <c r="A253" s="16">
        <f>IFERROR(__xludf.DUMMYFUNCTION("""COMPUTED_VALUE"""),13448.0)</f>
        <v>13448</v>
      </c>
      <c r="B253" s="16" t="str">
        <f>IFERROR(__xludf.DUMMYFUNCTION("""COMPUTED_VALUE"""),"Tyler Ferguson")</f>
        <v>Tyler Ferguson</v>
      </c>
      <c r="C253" s="153">
        <f>IFERROR(__xludf.DUMMYFUNCTION("""COMPUTED_VALUE"""),0.65)</f>
        <v>0.65</v>
      </c>
      <c r="D253" s="16"/>
      <c r="E253" s="16" t="str">
        <f>IFERROR(__xludf.DUMMYFUNCTION("""COMPUTED_VALUE"""),"R")</f>
        <v>R</v>
      </c>
      <c r="F253" s="16">
        <f>IFERROR(__xludf.DUMMYFUNCTION("""COMPUTED_VALUE"""),51.0)</f>
        <v>51</v>
      </c>
      <c r="G253" s="16">
        <f>IFERROR(__xludf.DUMMYFUNCTION("""COMPUTED_VALUE"""),21.0)</f>
        <v>21</v>
      </c>
      <c r="H253" s="16">
        <f>IFERROR(__xludf.DUMMYFUNCTION("""COMPUTED_VALUE"""),56.0)</f>
        <v>56</v>
      </c>
      <c r="I253" s="16">
        <f>IFERROR(__xludf.DUMMYFUNCTION("""COMPUTED_VALUE"""),-1.0)</f>
        <v>-1</v>
      </c>
      <c r="J253" s="16">
        <f>IFERROR(__xludf.DUMMYFUNCTION("""COMPUTED_VALUE"""),3.0)</f>
        <v>3</v>
      </c>
      <c r="K253" s="16">
        <f>IFERROR(__xludf.DUMMYFUNCTION("""COMPUTED_VALUE"""),-3.0)</f>
        <v>-3</v>
      </c>
      <c r="L253" s="16">
        <f>IFERROR(__xludf.DUMMYFUNCTION("""COMPUTED_VALUE"""),9.0)</f>
        <v>9</v>
      </c>
      <c r="M253" s="16">
        <f>IFERROR(__xludf.DUMMYFUNCTION("""COMPUTED_VALUE"""),21.0)</f>
        <v>21</v>
      </c>
      <c r="N253" s="16">
        <f>IFERROR(__xludf.DUMMYFUNCTION("""COMPUTED_VALUE"""),11.0)</f>
        <v>11</v>
      </c>
      <c r="O253" s="16">
        <f>IFERROR(__xludf.DUMMYFUNCTION("""COMPUTED_VALUE"""),-3.0)</f>
        <v>-3</v>
      </c>
      <c r="P253" s="16">
        <f>IFERROR(__xludf.DUMMYFUNCTION("""COMPUTED_VALUE"""),-1.0)</f>
        <v>-1</v>
      </c>
      <c r="Q253" s="16">
        <f>IFERROR(__xludf.DUMMYFUNCTION("""COMPUTED_VALUE"""),-3.0)</f>
        <v>-3</v>
      </c>
      <c r="R253" s="16">
        <f>IFERROR(__xludf.DUMMYFUNCTION("""COMPUTED_VALUE"""),-1.0)</f>
        <v>-1</v>
      </c>
      <c r="S253" s="16">
        <f>IFERROR(__xludf.DUMMYFUNCTION("""COMPUTED_VALUE"""),17.8)</f>
        <v>17.8</v>
      </c>
      <c r="T253" s="16">
        <f>IFERROR(__xludf.DUMMYFUNCTION("""COMPUTED_VALUE"""),0.0)</f>
        <v>0</v>
      </c>
      <c r="U253" s="16">
        <f>IFERROR(__xludf.DUMMYFUNCTION("""COMPUTED_VALUE"""),0.0)</f>
        <v>0</v>
      </c>
      <c r="V253" s="16">
        <f>IFERROR(__xludf.DUMMYFUNCTION("""COMPUTED_VALUE"""),3.0)</f>
        <v>3</v>
      </c>
      <c r="W253" s="16">
        <f>IFERROR(__xludf.DUMMYFUNCTION("""COMPUTED_VALUE"""),0.0)</f>
        <v>0</v>
      </c>
      <c r="X253" s="16">
        <f>IFERROR(__xludf.DUMMYFUNCTION("""COMPUTED_VALUE"""),6.0)</f>
        <v>6</v>
      </c>
      <c r="Y253" s="16">
        <f>IFERROR(__xludf.DUMMYFUNCTION("""COMPUTED_VALUE"""),38.8)</f>
        <v>38.8</v>
      </c>
      <c r="Z253" s="16">
        <f>IFERROR(__xludf.DUMMYFUNCTION("""COMPUTED_VALUE"""),11.0)</f>
        <v>11</v>
      </c>
      <c r="AA253" s="16">
        <f>IFERROR(__xludf.DUMMYFUNCTION("""COMPUTED_VALUE"""),-2.0)</f>
        <v>-2</v>
      </c>
      <c r="AB253" s="16">
        <f>IFERROR(__xludf.DUMMYFUNCTION("""COMPUTED_VALUE"""),2.0)</f>
        <v>2</v>
      </c>
      <c r="AC253" s="16">
        <f>IFERROR(__xludf.DUMMYFUNCTION("""COMPUTED_VALUE"""),-10.0)</f>
        <v>-10</v>
      </c>
      <c r="AD253" s="16">
        <f>IFERROR(__xludf.DUMMYFUNCTION("""COMPUTED_VALUE"""),10.0)</f>
        <v>10</v>
      </c>
      <c r="AE253" s="16">
        <f>IFERROR(__xludf.DUMMYFUNCTION("""COMPUTED_VALUE"""),47.6)</f>
        <v>47.6</v>
      </c>
      <c r="AF253" s="16">
        <f>IFERROR(__xludf.DUMMYFUNCTION("""COMPUTED_VALUE"""),0.0)</f>
        <v>0</v>
      </c>
      <c r="AG253" s="16">
        <f>IFERROR(__xludf.DUMMYFUNCTION("""COMPUTED_VALUE"""),-2.0)</f>
        <v>-2</v>
      </c>
      <c r="AH253" s="16">
        <f>IFERROR(__xludf.DUMMYFUNCTION("""COMPUTED_VALUE"""),3.0)</f>
        <v>3</v>
      </c>
      <c r="AI253" s="16">
        <f>IFERROR(__xludf.DUMMYFUNCTION("""COMPUTED_VALUE"""),-4.0)</f>
        <v>-4</v>
      </c>
      <c r="AJ253" s="16">
        <f>IFERROR(__xludf.DUMMYFUNCTION("""COMPUTED_VALUE"""),6.0)</f>
        <v>6</v>
      </c>
      <c r="AK253" s="16">
        <f>IFERROR(__xludf.DUMMYFUNCTION("""COMPUTED_VALUE"""),13.5)</f>
        <v>13.5</v>
      </c>
      <c r="AL253" s="16">
        <f>IFERROR(__xludf.DUMMYFUNCTION("""COMPUTED_VALUE"""),0.0)</f>
        <v>0</v>
      </c>
      <c r="AM253" s="16">
        <f>IFERROR(__xludf.DUMMYFUNCTION("""COMPUTED_VALUE"""),0.0)</f>
        <v>0</v>
      </c>
      <c r="AN253" s="16">
        <f>IFERROR(__xludf.DUMMYFUNCTION("""COMPUTED_VALUE"""),3.0)</f>
        <v>3</v>
      </c>
      <c r="AO253" s="16">
        <f>IFERROR(__xludf.DUMMYFUNCTION("""COMPUTED_VALUE"""),0.0)</f>
        <v>0</v>
      </c>
      <c r="AP253" s="16">
        <f>IFERROR(__xludf.DUMMYFUNCTION("""COMPUTED_VALUE"""),3.0)</f>
        <v>3</v>
      </c>
      <c r="AQ253" s="16">
        <f>IFERROR(__xludf.DUMMYFUNCTION("""COMPUTED_VALUE"""),30.400000000000002)</f>
        <v>30.4</v>
      </c>
      <c r="AR253" s="16">
        <f>IFERROR(__xludf.DUMMYFUNCTION("""COMPUTED_VALUE"""),0.0)</f>
        <v>0</v>
      </c>
      <c r="AS253" s="16">
        <f>IFERROR(__xludf.DUMMYFUNCTION("""COMPUTED_VALUE"""),-1.0)</f>
        <v>-1</v>
      </c>
      <c r="AT253" s="16">
        <f>IFERROR(__xludf.DUMMYFUNCTION("""COMPUTED_VALUE"""),3.0)</f>
        <v>3</v>
      </c>
      <c r="AU253" s="16">
        <f>IFERROR(__xludf.DUMMYFUNCTION("""COMPUTED_VALUE"""),-2.0)</f>
        <v>-2</v>
      </c>
      <c r="AV253" s="16">
        <f>IFERROR(__xludf.DUMMYFUNCTION("""COMPUTED_VALUE"""),6.0)</f>
        <v>6</v>
      </c>
      <c r="AW253" s="16">
        <f>IFERROR(__xludf.DUMMYFUNCTION("""COMPUTED_VALUE"""),4.3)</f>
        <v>4.3</v>
      </c>
      <c r="AX253" s="16">
        <f>IFERROR(__xludf.DUMMYFUNCTION("""COMPUTED_VALUE"""),0.0)</f>
        <v>0</v>
      </c>
      <c r="AY253" s="16">
        <f>IFERROR(__xludf.DUMMYFUNCTION("""COMPUTED_VALUE"""),-2.0)</f>
        <v>-2</v>
      </c>
      <c r="AZ253" s="16">
        <f>IFERROR(__xludf.DUMMYFUNCTION("""COMPUTED_VALUE"""),2.0)</f>
        <v>2</v>
      </c>
      <c r="BA253" s="16">
        <f>IFERROR(__xludf.DUMMYFUNCTION("""COMPUTED_VALUE"""),-10.0)</f>
        <v>-10</v>
      </c>
      <c r="BB253" s="16">
        <f>IFERROR(__xludf.DUMMYFUNCTION("""COMPUTED_VALUE"""),10.0)</f>
        <v>10</v>
      </c>
      <c r="BC253" s="16"/>
      <c r="BD253" s="16"/>
      <c r="BE253" s="16">
        <f>IFERROR(__xludf.DUMMYFUNCTION("""COMPUTED_VALUE"""),8.0)</f>
        <v>8</v>
      </c>
      <c r="BF253" s="16">
        <f>IFERROR(__xludf.DUMMYFUNCTION("""COMPUTED_VALUE"""),0.0)</f>
        <v>0</v>
      </c>
      <c r="BG253" s="16">
        <f>IFERROR(__xludf.DUMMYFUNCTION("""COMPUTED_VALUE"""),-3.0)</f>
        <v>-3</v>
      </c>
      <c r="BH253" s="16">
        <f>IFERROR(__xludf.DUMMYFUNCTION("""COMPUTED_VALUE"""),2.0)</f>
        <v>2</v>
      </c>
      <c r="BI253" s="16">
        <f>IFERROR(__xludf.DUMMYFUNCTION("""COMPUTED_VALUE"""),-6.0)</f>
        <v>-6</v>
      </c>
      <c r="BJ253" s="16">
        <f>IFERROR(__xludf.DUMMYFUNCTION("""COMPUTED_VALUE"""),4.0)</f>
        <v>4</v>
      </c>
      <c r="BK253" s="16">
        <f>IFERROR(__xludf.DUMMYFUNCTION("""COMPUTED_VALUE"""),0.0)</f>
        <v>0</v>
      </c>
      <c r="BL253" s="16">
        <f>IFERROR(__xludf.DUMMYFUNCTION("""COMPUTED_VALUE"""),0.0)</f>
        <v>0</v>
      </c>
      <c r="BM253" s="16">
        <f>IFERROR(__xludf.DUMMYFUNCTION("""COMPUTED_VALUE"""),1.0)</f>
        <v>1</v>
      </c>
      <c r="BN253" s="16">
        <f>IFERROR(__xludf.DUMMYFUNCTION("""COMPUTED_VALUE"""),1.0)</f>
        <v>1</v>
      </c>
      <c r="BO253" s="16">
        <f>IFERROR(__xludf.DUMMYFUNCTION("""COMPUTED_VALUE"""),1.0)</f>
        <v>1</v>
      </c>
      <c r="BP253" s="16">
        <f>IFERROR(__xludf.DUMMYFUNCTION("""COMPUTED_VALUE"""),1.0)</f>
        <v>1</v>
      </c>
      <c r="BQ253" s="16">
        <f>IFERROR(__xludf.DUMMYFUNCTION("""COMPUTED_VALUE"""),8.0)</f>
        <v>8</v>
      </c>
      <c r="BR253" s="16">
        <f>IFERROR(__xludf.DUMMYFUNCTION("""COMPUTED_VALUE"""),9.0)</f>
        <v>9</v>
      </c>
      <c r="BS253" s="16">
        <f>IFERROR(__xludf.DUMMYFUNCTION("""COMPUTED_VALUE"""),2.0)</f>
        <v>2</v>
      </c>
      <c r="BT253" s="16">
        <f>IFERROR(__xludf.DUMMYFUNCTION("""COMPUTED_VALUE"""),3.0)</f>
        <v>3</v>
      </c>
      <c r="BU253" s="16">
        <f>IFERROR(__xludf.DUMMYFUNCTION("""COMPUTED_VALUE"""),4.0)</f>
        <v>4</v>
      </c>
      <c r="BV253" s="16">
        <f>IFERROR(__xludf.DUMMYFUNCTION("""COMPUTED_VALUE"""),6.0)</f>
        <v>6</v>
      </c>
      <c r="BW253" s="16">
        <f>IFERROR(__xludf.DUMMYFUNCTION("""COMPUTED_VALUE"""),-4.0)</f>
        <v>-4</v>
      </c>
      <c r="BX253" s="16">
        <f>IFERROR(__xludf.DUMMYFUNCTION("""COMPUTED_VALUE"""),-4.0)</f>
        <v>-4</v>
      </c>
      <c r="BY253" s="16" t="str">
        <f>IFERROR(__xludf.DUMMYFUNCTION("""COMPUTED_VALUE"""),"R(1) C(1)")</f>
        <v>R(1) C(1)</v>
      </c>
      <c r="BZ253" s="16" t="str">
        <f>IFERROR(__xludf.DUMMYFUNCTION("""COMPUTED_VALUE"""),"R(1) C(1)")</f>
        <v>R(1) C(1)</v>
      </c>
      <c r="CA253" s="16" t="str">
        <f>IFERROR(__xludf.DUMMYFUNCTION("""COMPUTED_VALUE"""),"R(1)")</f>
        <v>R(1)</v>
      </c>
      <c r="CB253" s="16" t="str">
        <f>IFERROR(__xludf.DUMMYFUNCTION("""COMPUTED_VALUE"""),"C(1)")</f>
        <v>C(1)</v>
      </c>
      <c r="CC253" s="16"/>
      <c r="CD253" s="16"/>
      <c r="CE253" s="16">
        <f>IFERROR(__xludf.DUMMYFUNCTION("""COMPUTED_VALUE"""),1.0)</f>
        <v>1</v>
      </c>
      <c r="CF253" s="16">
        <f>IFERROR(__xludf.DUMMYFUNCTION("""COMPUTED_VALUE"""),1.0)</f>
        <v>1</v>
      </c>
      <c r="CG253" s="16" t="str">
        <f>IFERROR(__xludf.DUMMYFUNCTION("""COMPUTED_VALUE"""),"3-0")</f>
        <v>3-0</v>
      </c>
      <c r="CH253" s="16">
        <f>IFERROR(__xludf.DUMMYFUNCTION("""COMPUTED_VALUE"""),3.0)</f>
        <v>3</v>
      </c>
      <c r="CI253" s="16">
        <f>IFERROR(__xludf.DUMMYFUNCTION("""COMPUTED_VALUE"""),0.0)</f>
        <v>0</v>
      </c>
      <c r="CJ253" s="16">
        <f>IFERROR(__xludf.DUMMYFUNCTION("""COMPUTED_VALUE"""),8.0)</f>
        <v>8</v>
      </c>
      <c r="CK253" s="16">
        <f>IFERROR(__xludf.DUMMYFUNCTION("""COMPUTED_VALUE"""),4.0)</f>
        <v>4</v>
      </c>
      <c r="CL253" s="16" t="str">
        <f>IFERROR(__xludf.DUMMYFUNCTION("""COMPUTED_VALUE"""),"1WR-C")</f>
        <v>1WR-C</v>
      </c>
      <c r="CM253" s="16" t="str">
        <f>IFERROR(__xludf.DUMMYFUNCTION("""COMPUTED_VALUE"""),"E")</f>
        <v>E</v>
      </c>
      <c r="CN253" s="16">
        <f>IFERROR(__xludf.DUMMYFUNCTION("""COMPUTED_VALUE"""),10.0)</f>
        <v>10</v>
      </c>
      <c r="CO253" s="16" t="str">
        <f>IFERROR(__xludf.DUMMYFUNCTION("""COMPUTED_VALUE"""),"C")</f>
        <v>C</v>
      </c>
      <c r="CP253" s="16" t="str">
        <f>IFERROR(__xludf.DUMMYFUNCTION("""COMPUTED_VALUE"""),"1p40")</f>
        <v>1p40</v>
      </c>
      <c r="CQ253" s="16">
        <f>IFERROR(__xludf.DUMMYFUNCTION("""COMPUTED_VALUE"""),-33.0)</f>
        <v>-33</v>
      </c>
      <c r="CR253" s="16">
        <f>IFERROR(__xludf.DUMMYFUNCTION("""COMPUTED_VALUE"""),60.0)</f>
        <v>60</v>
      </c>
      <c r="CS253" s="16">
        <f>IFERROR(__xludf.DUMMYFUNCTION("""COMPUTED_VALUE"""),27.0)</f>
        <v>27</v>
      </c>
      <c r="CT253" s="16">
        <f>IFERROR(__xludf.DUMMYFUNCTION("""COMPUTED_VALUE"""),-33.0)</f>
        <v>-33</v>
      </c>
      <c r="CU253" s="16">
        <f>IFERROR(__xludf.DUMMYFUNCTION("""COMPUTED_VALUE"""),60.0)</f>
        <v>60</v>
      </c>
      <c r="CV253" s="179">
        <f>IFERROR(__xludf.DUMMYFUNCTION("""COMPUTED_VALUE"""),3.0)</f>
        <v>3</v>
      </c>
      <c r="CW253" s="179">
        <f>IFERROR(__xludf.DUMMYFUNCTION("""COMPUTED_VALUE"""),4.0)</f>
        <v>4</v>
      </c>
      <c r="CX253" s="179">
        <f>IFERROR(__xludf.DUMMYFUNCTION("""COMPUTED_VALUE"""),1.0)</f>
        <v>1</v>
      </c>
      <c r="CY253" s="16" t="str">
        <f>IFERROR(__xludf.DUMMYFUNCTION("""COMPUTED_VALUE"""),"RP")</f>
        <v>RP</v>
      </c>
      <c r="CZ253" s="16" t="str">
        <f>IFERROR(__xludf.DUMMYFUNCTION("""COMPUTED_VALUE"""),"CP")</f>
        <v>CP</v>
      </c>
      <c r="DA253" s="16"/>
      <c r="DB253" s="16"/>
      <c r="DC253" s="16"/>
      <c r="DD253" s="16"/>
      <c r="DE253" s="16"/>
      <c r="DF253" s="16"/>
      <c r="DG253" s="16"/>
      <c r="DH253" s="16"/>
      <c r="DI253" s="16"/>
      <c r="DJ253" s="16"/>
      <c r="DK253" s="16"/>
    </row>
    <row r="254">
      <c r="A254" s="16">
        <f>IFERROR(__xludf.DUMMYFUNCTION("""COMPUTED_VALUE"""),13043.0)</f>
        <v>13043</v>
      </c>
      <c r="B254" s="16" t="str">
        <f>IFERROR(__xludf.DUMMYFUNCTION("""COMPUTED_VALUE"""),"JP Sears")</f>
        <v>JP Sears</v>
      </c>
      <c r="C254" s="153">
        <f>IFERROR(__xludf.DUMMYFUNCTION("""COMPUTED_VALUE"""),0.69)</f>
        <v>0.69</v>
      </c>
      <c r="D254" s="16"/>
      <c r="E254" s="16" t="str">
        <f>IFERROR(__xludf.DUMMYFUNCTION("""COMPUTED_VALUE"""),"L")</f>
        <v>L</v>
      </c>
      <c r="F254" s="16">
        <f>IFERROR(__xludf.DUMMYFUNCTION("""COMPUTED_VALUE"""),181.0)</f>
        <v>181</v>
      </c>
      <c r="G254" s="16">
        <f>IFERROR(__xludf.DUMMYFUNCTION("""COMPUTED_VALUE"""),22.0)</f>
        <v>22</v>
      </c>
      <c r="H254" s="16">
        <f>IFERROR(__xludf.DUMMYFUNCTION("""COMPUTED_VALUE"""),14.0)</f>
        <v>14</v>
      </c>
      <c r="I254" s="16">
        <f>IFERROR(__xludf.DUMMYFUNCTION("""COMPUTED_VALUE"""),-1.0)</f>
        <v>-1</v>
      </c>
      <c r="J254" s="16">
        <f>IFERROR(__xludf.DUMMYFUNCTION("""COMPUTED_VALUE"""),-2.0)</f>
        <v>-2</v>
      </c>
      <c r="K254" s="16">
        <f>IFERROR(__xludf.DUMMYFUNCTION("""COMPUTED_VALUE"""),-3.0)</f>
        <v>-3</v>
      </c>
      <c r="L254" s="16">
        <f>IFERROR(__xludf.DUMMYFUNCTION("""COMPUTED_VALUE"""),-6.0)</f>
        <v>-6</v>
      </c>
      <c r="M254" s="16">
        <f>IFERROR(__xludf.DUMMYFUNCTION("""COMPUTED_VALUE"""),0.0)</f>
        <v>0</v>
      </c>
      <c r="N254" s="16">
        <f>IFERROR(__xludf.DUMMYFUNCTION("""COMPUTED_VALUE"""),7.0)</f>
        <v>7</v>
      </c>
      <c r="O254" s="16">
        <f>IFERROR(__xludf.DUMMYFUNCTION("""COMPUTED_VALUE"""),3.0)</f>
        <v>3</v>
      </c>
      <c r="P254" s="16">
        <f>IFERROR(__xludf.DUMMYFUNCTION("""COMPUTED_VALUE"""),1.0)</f>
        <v>1</v>
      </c>
      <c r="Q254" s="16">
        <f>IFERROR(__xludf.DUMMYFUNCTION("""COMPUTED_VALUE"""),3.0)</f>
        <v>3</v>
      </c>
      <c r="R254" s="16">
        <f>IFERROR(__xludf.DUMMYFUNCTION("""COMPUTED_VALUE"""),1.0)</f>
        <v>1</v>
      </c>
      <c r="S254" s="16">
        <f>IFERROR(__xludf.DUMMYFUNCTION("""COMPUTED_VALUE"""),11.9)</f>
        <v>11.9</v>
      </c>
      <c r="T254" s="16">
        <f>IFERROR(__xludf.DUMMYFUNCTION("""COMPUTED_VALUE"""),16.8)</f>
        <v>16.8</v>
      </c>
      <c r="U254" s="16">
        <f>IFERROR(__xludf.DUMMYFUNCTION("""COMPUTED_VALUE"""),1.0)</f>
        <v>1</v>
      </c>
      <c r="V254" s="16">
        <f>IFERROR(__xludf.DUMMYFUNCTION("""COMPUTED_VALUE"""),0.0)</f>
        <v>0</v>
      </c>
      <c r="W254" s="16">
        <f>IFERROR(__xludf.DUMMYFUNCTION("""COMPUTED_VALUE"""),2.0)</f>
        <v>2</v>
      </c>
      <c r="X254" s="16">
        <f>IFERROR(__xludf.DUMMYFUNCTION("""COMPUTED_VALUE"""),0.0)</f>
        <v>0</v>
      </c>
      <c r="Y254" s="16">
        <f>IFERROR(__xludf.DUMMYFUNCTION("""COMPUTED_VALUE"""),11.9)</f>
        <v>11.9</v>
      </c>
      <c r="Z254" s="16">
        <f>IFERROR(__xludf.DUMMYFUNCTION("""COMPUTED_VALUE"""),23.8)</f>
        <v>23.8</v>
      </c>
      <c r="AA254" s="16">
        <f>IFERROR(__xludf.DUMMYFUNCTION("""COMPUTED_VALUE"""),2.0)</f>
        <v>2</v>
      </c>
      <c r="AB254" s="16">
        <f>IFERROR(__xludf.DUMMYFUNCTION("""COMPUTED_VALUE"""),0.0)</f>
        <v>0</v>
      </c>
      <c r="AC254" s="16">
        <f>IFERROR(__xludf.DUMMYFUNCTION("""COMPUTED_VALUE"""),10.0)</f>
        <v>10</v>
      </c>
      <c r="AD254" s="16">
        <f>IFERROR(__xludf.DUMMYFUNCTION("""COMPUTED_VALUE"""),0.0)</f>
        <v>0</v>
      </c>
      <c r="AE254" s="16">
        <f>IFERROR(__xludf.DUMMYFUNCTION("""COMPUTED_VALUE"""),28.4)</f>
        <v>28.4</v>
      </c>
      <c r="AF254" s="16">
        <f>IFERROR(__xludf.DUMMYFUNCTION("""COMPUTED_VALUE"""),34.7)</f>
        <v>34.7</v>
      </c>
      <c r="AG254" s="16">
        <f>IFERROR(__xludf.DUMMYFUNCTION("""COMPUTED_VALUE"""),0.0)</f>
        <v>0</v>
      </c>
      <c r="AH254" s="16">
        <f>IFERROR(__xludf.DUMMYFUNCTION("""COMPUTED_VALUE"""),-1.0)</f>
        <v>-1</v>
      </c>
      <c r="AI254" s="16">
        <f>IFERROR(__xludf.DUMMYFUNCTION("""COMPUTED_VALUE"""),0.0)</f>
        <v>0</v>
      </c>
      <c r="AJ254" s="16">
        <f>IFERROR(__xludf.DUMMYFUNCTION("""COMPUTED_VALUE"""),-2.0)</f>
        <v>-2</v>
      </c>
      <c r="AK254" s="16">
        <f>IFERROR(__xludf.DUMMYFUNCTION("""COMPUTED_VALUE"""),9.100000000000001)</f>
        <v>9.1</v>
      </c>
      <c r="AL254" s="16">
        <f>IFERROR(__xludf.DUMMYFUNCTION("""COMPUTED_VALUE"""),13.4)</f>
        <v>13.4</v>
      </c>
      <c r="AM254" s="16">
        <f>IFERROR(__xludf.DUMMYFUNCTION("""COMPUTED_VALUE"""),1.0)</f>
        <v>1</v>
      </c>
      <c r="AN254" s="16">
        <f>IFERROR(__xludf.DUMMYFUNCTION("""COMPUTED_VALUE"""),0.0)</f>
        <v>0</v>
      </c>
      <c r="AO254" s="16">
        <f>IFERROR(__xludf.DUMMYFUNCTION("""COMPUTED_VALUE"""),1.0)</f>
        <v>1</v>
      </c>
      <c r="AP254" s="16">
        <f>IFERROR(__xludf.DUMMYFUNCTION("""COMPUTED_VALUE"""),0.0)</f>
        <v>0</v>
      </c>
      <c r="AQ254" s="16">
        <f>IFERROR(__xludf.DUMMYFUNCTION("""COMPUTED_VALUE"""),17.2)</f>
        <v>17.2</v>
      </c>
      <c r="AR254" s="16">
        <f>IFERROR(__xludf.DUMMYFUNCTION("""COMPUTED_VALUE"""),21.1)</f>
        <v>21.1</v>
      </c>
      <c r="AS254" s="16">
        <f>IFERROR(__xludf.DUMMYFUNCTION("""COMPUTED_VALUE"""),0.0)</f>
        <v>0</v>
      </c>
      <c r="AT254" s="16">
        <f>IFERROR(__xludf.DUMMYFUNCTION("""COMPUTED_VALUE"""),0.0)</f>
        <v>0</v>
      </c>
      <c r="AU254" s="16">
        <f>IFERROR(__xludf.DUMMYFUNCTION("""COMPUTED_VALUE"""),0.0)</f>
        <v>0</v>
      </c>
      <c r="AV254" s="16">
        <f>IFERROR(__xludf.DUMMYFUNCTION("""COMPUTED_VALUE"""),0.0)</f>
        <v>0</v>
      </c>
      <c r="AW254" s="16">
        <f>IFERROR(__xludf.DUMMYFUNCTION("""COMPUTED_VALUE"""),2.8)</f>
        <v>2.8</v>
      </c>
      <c r="AX254" s="16">
        <f>IFERROR(__xludf.DUMMYFUNCTION("""COMPUTED_VALUE"""),3.4)</f>
        <v>3.4</v>
      </c>
      <c r="AY254" s="16">
        <f>IFERROR(__xludf.DUMMYFUNCTION("""COMPUTED_VALUE"""),-1.0)</f>
        <v>-1</v>
      </c>
      <c r="AZ254" s="16">
        <f>IFERROR(__xludf.DUMMYFUNCTION("""COMPUTED_VALUE"""),-1.0)</f>
        <v>-1</v>
      </c>
      <c r="BA254" s="16">
        <f>IFERROR(__xludf.DUMMYFUNCTION("""COMPUTED_VALUE"""),-5.0)</f>
        <v>-5</v>
      </c>
      <c r="BB254" s="16">
        <f>IFERROR(__xludf.DUMMYFUNCTION("""COMPUTED_VALUE"""),-5.0)</f>
        <v>-5</v>
      </c>
      <c r="BC254" s="16">
        <f>IFERROR(__xludf.DUMMYFUNCTION("""COMPUTED_VALUE"""),6.0)</f>
        <v>6</v>
      </c>
      <c r="BD254" s="16">
        <f>IFERROR(__xludf.DUMMYFUNCTION("""COMPUTED_VALUE"""),6.0)</f>
        <v>6</v>
      </c>
      <c r="BE254" s="16">
        <f>IFERROR(__xludf.DUMMYFUNCTION("""COMPUTED_VALUE"""),6.0)</f>
        <v>6</v>
      </c>
      <c r="BF254" s="16">
        <f>IFERROR(__xludf.DUMMYFUNCTION("""COMPUTED_VALUE"""),6.0)</f>
        <v>6</v>
      </c>
      <c r="BG254" s="16">
        <f>IFERROR(__xludf.DUMMYFUNCTION("""COMPUTED_VALUE"""),-3.0)</f>
        <v>-3</v>
      </c>
      <c r="BH254" s="16">
        <f>IFERROR(__xludf.DUMMYFUNCTION("""COMPUTED_VALUE"""),-2.0)</f>
        <v>-2</v>
      </c>
      <c r="BI254" s="16">
        <f>IFERROR(__xludf.DUMMYFUNCTION("""COMPUTED_VALUE"""),-6.0)</f>
        <v>-6</v>
      </c>
      <c r="BJ254" s="16">
        <f>IFERROR(__xludf.DUMMYFUNCTION("""COMPUTED_VALUE"""),-4.0)</f>
        <v>-4</v>
      </c>
      <c r="BK254" s="16">
        <f>IFERROR(__xludf.DUMMYFUNCTION("""COMPUTED_VALUE"""),5.0)</f>
        <v>5</v>
      </c>
      <c r="BL254" s="16">
        <f>IFERROR(__xludf.DUMMYFUNCTION("""COMPUTED_VALUE"""),5.0)</f>
        <v>5</v>
      </c>
      <c r="BM254" s="16">
        <f>IFERROR(__xludf.DUMMYFUNCTION("""COMPUTED_VALUE"""),0.0)</f>
        <v>0</v>
      </c>
      <c r="BN254" s="16">
        <f>IFERROR(__xludf.DUMMYFUNCTION("""COMPUTED_VALUE"""),0.0)</f>
        <v>0</v>
      </c>
      <c r="BO254" s="16">
        <f>IFERROR(__xludf.DUMMYFUNCTION("""COMPUTED_VALUE"""),0.0)</f>
        <v>0</v>
      </c>
      <c r="BP254" s="16">
        <f>IFERROR(__xludf.DUMMYFUNCTION("""COMPUTED_VALUE"""),0.0)</f>
        <v>0</v>
      </c>
      <c r="BQ254" s="16">
        <f>IFERROR(__xludf.DUMMYFUNCTION("""COMPUTED_VALUE"""),8.0)</f>
        <v>8</v>
      </c>
      <c r="BR254" s="16">
        <f>IFERROR(__xludf.DUMMYFUNCTION("""COMPUTED_VALUE"""),8.0)</f>
        <v>8</v>
      </c>
      <c r="BS254" s="16">
        <f>IFERROR(__xludf.DUMMYFUNCTION("""COMPUTED_VALUE"""),2.0)</f>
        <v>2</v>
      </c>
      <c r="BT254" s="16">
        <f>IFERROR(__xludf.DUMMYFUNCTION("""COMPUTED_VALUE"""),2.0)</f>
        <v>2</v>
      </c>
      <c r="BU254" s="16">
        <f>IFERROR(__xludf.DUMMYFUNCTION("""COMPUTED_VALUE"""),4.0)</f>
        <v>4</v>
      </c>
      <c r="BV254" s="16">
        <f>IFERROR(__xludf.DUMMYFUNCTION("""COMPUTED_VALUE"""),4.0)</f>
        <v>4</v>
      </c>
      <c r="BW254" s="16">
        <f>IFERROR(__xludf.DUMMYFUNCTION("""COMPUTED_VALUE"""),4.0)</f>
        <v>4</v>
      </c>
      <c r="BX254" s="16">
        <f>IFERROR(__xludf.DUMMYFUNCTION("""COMPUTED_VALUE"""),4.0)</f>
        <v>4</v>
      </c>
      <c r="BY254" s="16" t="str">
        <f>IFERROR(__xludf.DUMMYFUNCTION("""COMPUTED_VALUE"""),"S(6)")</f>
        <v>S(6)</v>
      </c>
      <c r="BZ254" s="16" t="str">
        <f>IFERROR(__xludf.DUMMYFUNCTION("""COMPUTED_VALUE"""),"S(6)")</f>
        <v>S(6)</v>
      </c>
      <c r="CA254" s="16" t="str">
        <f>IFERROR(__xludf.DUMMYFUNCTION("""COMPUTED_VALUE"""),"S(6)")</f>
        <v>S(6)</v>
      </c>
      <c r="CB254" s="16"/>
      <c r="CC254" s="16"/>
      <c r="CD254" s="16">
        <f>IFERROR(__xludf.DUMMYFUNCTION("""COMPUTED_VALUE"""),6.0)</f>
        <v>6</v>
      </c>
      <c r="CE254" s="16"/>
      <c r="CF254" s="16"/>
      <c r="CG254" s="16" t="str">
        <f>IFERROR(__xludf.DUMMYFUNCTION("""COMPUTED_VALUE"""),"4-8")</f>
        <v>4-8</v>
      </c>
      <c r="CH254" s="16">
        <f>IFERROR(__xludf.DUMMYFUNCTION("""COMPUTED_VALUE"""),4.0)</f>
        <v>4</v>
      </c>
      <c r="CI254" s="16">
        <f>IFERROR(__xludf.DUMMYFUNCTION("""COMPUTED_VALUE"""),8.0)</f>
        <v>8</v>
      </c>
      <c r="CJ254" s="16">
        <f>IFERROR(__xludf.DUMMYFUNCTION("""COMPUTED_VALUE"""),2.0)</f>
        <v>2</v>
      </c>
      <c r="CK254" s="16">
        <f>IFERROR(__xludf.DUMMYFUNCTION("""COMPUTED_VALUE"""),0.0)</f>
        <v>0</v>
      </c>
      <c r="CL254" s="16" t="str">
        <f>IFERROR(__xludf.DUMMYFUNCTION("""COMPUTED_VALUE"""),"1WR-C")</f>
        <v>1WR-C</v>
      </c>
      <c r="CM254" s="16" t="str">
        <f>IFERROR(__xludf.DUMMYFUNCTION("""COMPUTED_VALUE"""),"E")</f>
        <v>E</v>
      </c>
      <c r="CN254" s="16">
        <f>IFERROR(__xludf.DUMMYFUNCTION("""COMPUTED_VALUE"""),10.0)</f>
        <v>10</v>
      </c>
      <c r="CO254" s="16" t="str">
        <f>IFERROR(__xludf.DUMMYFUNCTION("""COMPUTED_VALUE"""),"C")</f>
        <v>C</v>
      </c>
      <c r="CP254" s="16" t="str">
        <f>IFERROR(__xludf.DUMMYFUNCTION("""COMPUTED_VALUE"""),"0p72")</f>
        <v>0p72</v>
      </c>
      <c r="CQ254" s="16">
        <f>IFERROR(__xludf.DUMMYFUNCTION("""COMPUTED_VALUE"""),6.0)</f>
        <v>6</v>
      </c>
      <c r="CR254" s="16">
        <f>IFERROR(__xludf.DUMMYFUNCTION("""COMPUTED_VALUE"""),-12.0)</f>
        <v>-12</v>
      </c>
      <c r="CS254" s="16">
        <f>IFERROR(__xludf.DUMMYFUNCTION("""COMPUTED_VALUE"""),-6.0)</f>
        <v>-6</v>
      </c>
      <c r="CT254" s="16">
        <f>IFERROR(__xludf.DUMMYFUNCTION("""COMPUTED_VALUE"""),6.0)</f>
        <v>6</v>
      </c>
      <c r="CU254" s="16">
        <f>IFERROR(__xludf.DUMMYFUNCTION("""COMPUTED_VALUE"""),-12.0)</f>
        <v>-12</v>
      </c>
      <c r="CV254" s="179">
        <f>IFERROR(__xludf.DUMMYFUNCTION("""COMPUTED_VALUE"""),3.0)</f>
        <v>3</v>
      </c>
      <c r="CW254" s="179">
        <f>IFERROR(__xludf.DUMMYFUNCTION("""COMPUTED_VALUE"""),5.0)</f>
        <v>5</v>
      </c>
      <c r="CX254" s="179">
        <f>IFERROR(__xludf.DUMMYFUNCTION("""COMPUTED_VALUE"""),4.0)</f>
        <v>4</v>
      </c>
      <c r="CY254" s="16" t="str">
        <f>IFERROR(__xludf.DUMMYFUNCTION("""COMPUTED_VALUE"""),"SP")</f>
        <v>SP</v>
      </c>
      <c r="CZ254" s="16"/>
      <c r="DA254" s="16"/>
      <c r="DB254" s="16"/>
      <c r="DC254" s="16"/>
      <c r="DD254" s="16"/>
      <c r="DE254" s="16"/>
      <c r="DF254" s="16"/>
      <c r="DG254" s="16"/>
      <c r="DH254" s="16"/>
      <c r="DI254" s="16"/>
      <c r="DJ254" s="16"/>
      <c r="DK254" s="16"/>
    </row>
    <row r="255">
      <c r="A255" s="16">
        <f>IFERROR(__xludf.DUMMYFUNCTION("""COMPUTED_VALUE"""),12570.0)</f>
        <v>12570</v>
      </c>
      <c r="B255" s="16" t="str">
        <f>IFERROR(__xludf.DUMMYFUNCTION("""COMPUTED_VALUE"""),"Bailey Falter")</f>
        <v>Bailey Falter</v>
      </c>
      <c r="C255" s="153">
        <f>IFERROR(__xludf.DUMMYFUNCTION("""COMPUTED_VALUE"""),0.54)</f>
        <v>0.54</v>
      </c>
      <c r="D255" s="16"/>
      <c r="E255" s="16" t="str">
        <f>IFERROR(__xludf.DUMMYFUNCTION("""COMPUTED_VALUE"""),"L")</f>
        <v>L</v>
      </c>
      <c r="F255" s="16">
        <f>IFERROR(__xludf.DUMMYFUNCTION("""COMPUTED_VALUE"""),142.0)</f>
        <v>142</v>
      </c>
      <c r="G255" s="16">
        <f>IFERROR(__xludf.DUMMYFUNCTION("""COMPUTED_VALUE"""),7.0)</f>
        <v>7</v>
      </c>
      <c r="H255" s="16">
        <f>IFERROR(__xludf.DUMMYFUNCTION("""COMPUTED_VALUE"""),13.0)</f>
        <v>13</v>
      </c>
      <c r="I255" s="16">
        <f>IFERROR(__xludf.DUMMYFUNCTION("""COMPUTED_VALUE"""),-2.0)</f>
        <v>-2</v>
      </c>
      <c r="J255" s="16">
        <f>IFERROR(__xludf.DUMMYFUNCTION("""COMPUTED_VALUE"""),-2.0)</f>
        <v>-2</v>
      </c>
      <c r="K255" s="16">
        <f>IFERROR(__xludf.DUMMYFUNCTION("""COMPUTED_VALUE"""),-6.0)</f>
        <v>-6</v>
      </c>
      <c r="L255" s="16">
        <f>IFERROR(__xludf.DUMMYFUNCTION("""COMPUTED_VALUE"""),-6.0)</f>
        <v>-6</v>
      </c>
      <c r="M255" s="16">
        <f>IFERROR(__xludf.DUMMYFUNCTION("""COMPUTED_VALUE"""),2.0)</f>
        <v>2</v>
      </c>
      <c r="N255" s="16">
        <f>IFERROR(__xludf.DUMMYFUNCTION("""COMPUTED_VALUE"""),9.0)</f>
        <v>9</v>
      </c>
      <c r="O255" s="16">
        <f>IFERROR(__xludf.DUMMYFUNCTION("""COMPUTED_VALUE"""),2.0)</f>
        <v>2</v>
      </c>
      <c r="P255" s="16">
        <f>IFERROR(__xludf.DUMMYFUNCTION("""COMPUTED_VALUE"""),0.0)</f>
        <v>0</v>
      </c>
      <c r="Q255" s="16">
        <f>IFERROR(__xludf.DUMMYFUNCTION("""COMPUTED_VALUE"""),2.0)</f>
        <v>2</v>
      </c>
      <c r="R255" s="16">
        <f>IFERROR(__xludf.DUMMYFUNCTION("""COMPUTED_VALUE"""),0.0)</f>
        <v>0</v>
      </c>
      <c r="S255" s="16">
        <f>IFERROR(__xludf.DUMMYFUNCTION("""COMPUTED_VALUE"""),22.3)</f>
        <v>22.3</v>
      </c>
      <c r="T255" s="16">
        <f>IFERROR(__xludf.DUMMYFUNCTION("""COMPUTED_VALUE"""),14.8)</f>
        <v>14.8</v>
      </c>
      <c r="U255" s="16">
        <f>IFERROR(__xludf.DUMMYFUNCTION("""COMPUTED_VALUE"""),-1.0)</f>
        <v>-1</v>
      </c>
      <c r="V255" s="16">
        <f>IFERROR(__xludf.DUMMYFUNCTION("""COMPUTED_VALUE"""),0.0)</f>
        <v>0</v>
      </c>
      <c r="W255" s="16">
        <f>IFERROR(__xludf.DUMMYFUNCTION("""COMPUTED_VALUE"""),-2.0)</f>
        <v>-2</v>
      </c>
      <c r="X255" s="16">
        <f>IFERROR(__xludf.DUMMYFUNCTION("""COMPUTED_VALUE"""),0.0)</f>
        <v>0</v>
      </c>
      <c r="Y255" s="16">
        <f>IFERROR(__xludf.DUMMYFUNCTION("""COMPUTED_VALUE"""),24.3)</f>
        <v>24.3</v>
      </c>
      <c r="Z255" s="16">
        <f>IFERROR(__xludf.DUMMYFUNCTION("""COMPUTED_VALUE"""),23.9)</f>
        <v>23.9</v>
      </c>
      <c r="AA255" s="16">
        <f>IFERROR(__xludf.DUMMYFUNCTION("""COMPUTED_VALUE"""),0.0)</f>
        <v>0</v>
      </c>
      <c r="AB255" s="16">
        <f>IFERROR(__xludf.DUMMYFUNCTION("""COMPUTED_VALUE"""),0.0)</f>
        <v>0</v>
      </c>
      <c r="AC255" s="16">
        <f>IFERROR(__xludf.DUMMYFUNCTION("""COMPUTED_VALUE"""),0.0)</f>
        <v>0</v>
      </c>
      <c r="AD255" s="16">
        <f>IFERROR(__xludf.DUMMYFUNCTION("""COMPUTED_VALUE"""),0.0)</f>
        <v>0</v>
      </c>
      <c r="AE255" s="16">
        <f>IFERROR(__xludf.DUMMYFUNCTION("""COMPUTED_VALUE"""),39.3)</f>
        <v>39.3</v>
      </c>
      <c r="AF255" s="16">
        <f>IFERROR(__xludf.DUMMYFUNCTION("""COMPUTED_VALUE"""),27.6)</f>
        <v>27.6</v>
      </c>
      <c r="AG255" s="16">
        <f>IFERROR(__xludf.DUMMYFUNCTION("""COMPUTED_VALUE"""),-1.0)</f>
        <v>-1</v>
      </c>
      <c r="AH255" s="16">
        <f>IFERROR(__xludf.DUMMYFUNCTION("""COMPUTED_VALUE"""),0.0)</f>
        <v>0</v>
      </c>
      <c r="AI255" s="16">
        <f>IFERROR(__xludf.DUMMYFUNCTION("""COMPUTED_VALUE"""),-2.0)</f>
        <v>-2</v>
      </c>
      <c r="AJ255" s="16">
        <f>IFERROR(__xludf.DUMMYFUNCTION("""COMPUTED_VALUE"""),0.0)</f>
        <v>0</v>
      </c>
      <c r="AK255" s="16">
        <f>IFERROR(__xludf.DUMMYFUNCTION("""COMPUTED_VALUE"""),20.5)</f>
        <v>20.5</v>
      </c>
      <c r="AL255" s="16">
        <f>IFERROR(__xludf.DUMMYFUNCTION("""COMPUTED_VALUE"""),13.0)</f>
        <v>13</v>
      </c>
      <c r="AM255" s="16">
        <f>IFERROR(__xludf.DUMMYFUNCTION("""COMPUTED_VALUE"""),-1.0)</f>
        <v>-1</v>
      </c>
      <c r="AN255" s="16">
        <f>IFERROR(__xludf.DUMMYFUNCTION("""COMPUTED_VALUE"""),0.0)</f>
        <v>0</v>
      </c>
      <c r="AO255" s="16">
        <f>IFERROR(__xludf.DUMMYFUNCTION("""COMPUTED_VALUE"""),-1.0)</f>
        <v>-1</v>
      </c>
      <c r="AP255" s="16">
        <f>IFERROR(__xludf.DUMMYFUNCTION("""COMPUTED_VALUE"""),0.0)</f>
        <v>0</v>
      </c>
      <c r="AQ255" s="16">
        <f>IFERROR(__xludf.DUMMYFUNCTION("""COMPUTED_VALUE"""),32.099999999999994)</f>
        <v>32.1</v>
      </c>
      <c r="AR255" s="16">
        <f>IFERROR(__xludf.DUMMYFUNCTION("""COMPUTED_VALUE"""),20.400000000000002)</f>
        <v>20.4</v>
      </c>
      <c r="AS255" s="16">
        <f>IFERROR(__xludf.DUMMYFUNCTION("""COMPUTED_VALUE"""),-2.0)</f>
        <v>-2</v>
      </c>
      <c r="AT255" s="16">
        <f>IFERROR(__xludf.DUMMYFUNCTION("""COMPUTED_VALUE"""),0.0)</f>
        <v>0</v>
      </c>
      <c r="AU255" s="16">
        <f>IFERROR(__xludf.DUMMYFUNCTION("""COMPUTED_VALUE"""),-4.0)</f>
        <v>-4</v>
      </c>
      <c r="AV255" s="16">
        <f>IFERROR(__xludf.DUMMYFUNCTION("""COMPUTED_VALUE"""),0.0)</f>
        <v>0</v>
      </c>
      <c r="AW255" s="16">
        <f>IFERROR(__xludf.DUMMYFUNCTION("""COMPUTED_VALUE"""),1.8)</f>
        <v>1.8</v>
      </c>
      <c r="AX255" s="16">
        <f>IFERROR(__xludf.DUMMYFUNCTION("""COMPUTED_VALUE"""),1.8)</f>
        <v>1.8</v>
      </c>
      <c r="AY255" s="16">
        <f>IFERROR(__xludf.DUMMYFUNCTION("""COMPUTED_VALUE"""),0.0)</f>
        <v>0</v>
      </c>
      <c r="AZ255" s="16">
        <f>IFERROR(__xludf.DUMMYFUNCTION("""COMPUTED_VALUE"""),0.0)</f>
        <v>0</v>
      </c>
      <c r="BA255" s="16">
        <f>IFERROR(__xludf.DUMMYFUNCTION("""COMPUTED_VALUE"""),0.0)</f>
        <v>0</v>
      </c>
      <c r="BB255" s="16">
        <f>IFERROR(__xludf.DUMMYFUNCTION("""COMPUTED_VALUE"""),0.0)</f>
        <v>0</v>
      </c>
      <c r="BC255" s="16">
        <f>IFERROR(__xludf.DUMMYFUNCTION("""COMPUTED_VALUE"""),2.0)</f>
        <v>2</v>
      </c>
      <c r="BD255" s="16">
        <f>IFERROR(__xludf.DUMMYFUNCTION("""COMPUTED_VALUE"""),4.0)</f>
        <v>4</v>
      </c>
      <c r="BE255" s="16">
        <f>IFERROR(__xludf.DUMMYFUNCTION("""COMPUTED_VALUE"""),2.0)</f>
        <v>2</v>
      </c>
      <c r="BF255" s="16">
        <f>IFERROR(__xludf.DUMMYFUNCTION("""COMPUTED_VALUE"""),4.0)</f>
        <v>4</v>
      </c>
      <c r="BG255" s="16">
        <f>IFERROR(__xludf.DUMMYFUNCTION("""COMPUTED_VALUE"""),1.0)</f>
        <v>1</v>
      </c>
      <c r="BH255" s="16">
        <f>IFERROR(__xludf.DUMMYFUNCTION("""COMPUTED_VALUE"""),-1.0)</f>
        <v>-1</v>
      </c>
      <c r="BI255" s="16">
        <f>IFERROR(__xludf.DUMMYFUNCTION("""COMPUTED_VALUE"""),2.0)</f>
        <v>2</v>
      </c>
      <c r="BJ255" s="16">
        <f>IFERROR(__xludf.DUMMYFUNCTION("""COMPUTED_VALUE"""),-2.0)</f>
        <v>-2</v>
      </c>
      <c r="BK255" s="16">
        <f>IFERROR(__xludf.DUMMYFUNCTION("""COMPUTED_VALUE"""),5.0)</f>
        <v>5</v>
      </c>
      <c r="BL255" s="16">
        <f>IFERROR(__xludf.DUMMYFUNCTION("""COMPUTED_VALUE"""),5.0)</f>
        <v>5</v>
      </c>
      <c r="BM255" s="16">
        <f>IFERROR(__xludf.DUMMYFUNCTION("""COMPUTED_VALUE"""),0.0)</f>
        <v>0</v>
      </c>
      <c r="BN255" s="16">
        <f>IFERROR(__xludf.DUMMYFUNCTION("""COMPUTED_VALUE"""),0.0)</f>
        <v>0</v>
      </c>
      <c r="BO255" s="16">
        <f>IFERROR(__xludf.DUMMYFUNCTION("""COMPUTED_VALUE"""),0.0)</f>
        <v>0</v>
      </c>
      <c r="BP255" s="16">
        <f>IFERROR(__xludf.DUMMYFUNCTION("""COMPUTED_VALUE"""),0.0)</f>
        <v>0</v>
      </c>
      <c r="BQ255" s="16">
        <f>IFERROR(__xludf.DUMMYFUNCTION("""COMPUTED_VALUE"""),12.0)</f>
        <v>12</v>
      </c>
      <c r="BR255" s="16">
        <f>IFERROR(__xludf.DUMMYFUNCTION("""COMPUTED_VALUE"""),14.0)</f>
        <v>14</v>
      </c>
      <c r="BS255" s="16">
        <f>IFERROR(__xludf.DUMMYFUNCTION("""COMPUTED_VALUE"""),3.0)</f>
        <v>3</v>
      </c>
      <c r="BT255" s="16">
        <f>IFERROR(__xludf.DUMMYFUNCTION("""COMPUTED_VALUE"""),3.0)</f>
        <v>3</v>
      </c>
      <c r="BU255" s="16">
        <f>IFERROR(__xludf.DUMMYFUNCTION("""COMPUTED_VALUE"""),6.0)</f>
        <v>6</v>
      </c>
      <c r="BV255" s="16">
        <f>IFERROR(__xludf.DUMMYFUNCTION("""COMPUTED_VALUE"""),6.0)</f>
        <v>6</v>
      </c>
      <c r="BW255" s="16">
        <f>IFERROR(__xludf.DUMMYFUNCTION("""COMPUTED_VALUE"""),1.0)</f>
        <v>1</v>
      </c>
      <c r="BX255" s="16">
        <f>IFERROR(__xludf.DUMMYFUNCTION("""COMPUTED_VALUE"""),1.0)</f>
        <v>1</v>
      </c>
      <c r="BY255" s="16" t="str">
        <f>IFERROR(__xludf.DUMMYFUNCTION("""COMPUTED_VALUE"""),"S(5)")</f>
        <v>S(5)</v>
      </c>
      <c r="BZ255" s="16" t="str">
        <f>IFERROR(__xludf.DUMMYFUNCTION("""COMPUTED_VALUE"""),"S(5)")</f>
        <v>S(5)</v>
      </c>
      <c r="CA255" s="16" t="str">
        <f>IFERROR(__xludf.DUMMYFUNCTION("""COMPUTED_VALUE"""),"S(5)")</f>
        <v>S(5)</v>
      </c>
      <c r="CB255" s="16"/>
      <c r="CC255" s="16"/>
      <c r="CD255" s="16">
        <f>IFERROR(__xludf.DUMMYFUNCTION("""COMPUTED_VALUE"""),5.0)</f>
        <v>5</v>
      </c>
      <c r="CE255" s="16"/>
      <c r="CF255" s="16"/>
      <c r="CG255" s="16" t="str">
        <f>IFERROR(__xludf.DUMMYFUNCTION("""COMPUTED_VALUE"""),"3-0")</f>
        <v>3-0</v>
      </c>
      <c r="CH255" s="16">
        <f>IFERROR(__xludf.DUMMYFUNCTION("""COMPUTED_VALUE"""),3.0)</f>
        <v>3</v>
      </c>
      <c r="CI255" s="16">
        <f>IFERROR(__xludf.DUMMYFUNCTION("""COMPUTED_VALUE"""),0.0)</f>
        <v>0</v>
      </c>
      <c r="CJ255" s="16">
        <f>IFERROR(__xludf.DUMMYFUNCTION("""COMPUTED_VALUE"""),0.0)</f>
        <v>0</v>
      </c>
      <c r="CK255" s="16">
        <f>IFERROR(__xludf.DUMMYFUNCTION("""COMPUTED_VALUE"""),0.0)</f>
        <v>0</v>
      </c>
      <c r="CL255" s="16" t="str">
        <f>IFERROR(__xludf.DUMMYFUNCTION("""COMPUTED_VALUE"""),"1WR-C")</f>
        <v>1WR-C</v>
      </c>
      <c r="CM255" s="16" t="str">
        <f>IFERROR(__xludf.DUMMYFUNCTION("""COMPUTED_VALUE"""),"E")</f>
        <v>E</v>
      </c>
      <c r="CN255" s="16">
        <f>IFERROR(__xludf.DUMMYFUNCTION("""COMPUTED_VALUE"""),10.0)</f>
        <v>10</v>
      </c>
      <c r="CO255" s="16" t="str">
        <f>IFERROR(__xludf.DUMMYFUNCTION("""COMPUTED_VALUE"""),"C")</f>
        <v>C</v>
      </c>
      <c r="CP255" s="16" t="str">
        <f>IFERROR(__xludf.DUMMYFUNCTION("""COMPUTED_VALUE"""),"1p70")</f>
        <v>1p70</v>
      </c>
      <c r="CQ255" s="16">
        <f>IFERROR(__xludf.DUMMYFUNCTION("""COMPUTED_VALUE"""),-5.0)</f>
        <v>-5</v>
      </c>
      <c r="CR255" s="16">
        <f>IFERROR(__xludf.DUMMYFUNCTION("""COMPUTED_VALUE"""),-2.0)</f>
        <v>-2</v>
      </c>
      <c r="CS255" s="16">
        <f>IFERROR(__xludf.DUMMYFUNCTION("""COMPUTED_VALUE"""),-7.0)</f>
        <v>-7</v>
      </c>
      <c r="CT255" s="16">
        <f>IFERROR(__xludf.DUMMYFUNCTION("""COMPUTED_VALUE"""),-5.0)</f>
        <v>-5</v>
      </c>
      <c r="CU255" s="16">
        <f>IFERROR(__xludf.DUMMYFUNCTION("""COMPUTED_VALUE"""),-2.0)</f>
        <v>-2</v>
      </c>
      <c r="CV255" s="179">
        <f>IFERROR(__xludf.DUMMYFUNCTION("""COMPUTED_VALUE"""),3.0)</f>
        <v>3</v>
      </c>
      <c r="CW255" s="179">
        <f>IFERROR(__xludf.DUMMYFUNCTION("""COMPUTED_VALUE"""),4.0)</f>
        <v>4</v>
      </c>
      <c r="CX255" s="179">
        <f>IFERROR(__xludf.DUMMYFUNCTION("""COMPUTED_VALUE"""),3.0)</f>
        <v>3</v>
      </c>
      <c r="CY255" s="16" t="str">
        <f>IFERROR(__xludf.DUMMYFUNCTION("""COMPUTED_VALUE"""),"SP")</f>
        <v>SP</v>
      </c>
      <c r="CZ255" s="16"/>
      <c r="DA255" s="16"/>
      <c r="DB255" s="16"/>
      <c r="DC255" s="16"/>
      <c r="DD255" s="16"/>
      <c r="DE255" s="16"/>
      <c r="DF255" s="16"/>
      <c r="DG255" s="16"/>
      <c r="DH255" s="16"/>
      <c r="DI255" s="16"/>
      <c r="DJ255" s="16"/>
      <c r="DK255" s="16"/>
    </row>
    <row r="256">
      <c r="A256" s="16">
        <f>IFERROR(__xludf.DUMMYFUNCTION("""COMPUTED_VALUE"""),13170.0)</f>
        <v>13170</v>
      </c>
      <c r="B256" s="16" t="str">
        <f>IFERROR(__xludf.DUMMYFUNCTION("""COMPUTED_VALUE"""),"Matt Festa")</f>
        <v>Matt Festa</v>
      </c>
      <c r="C256" s="153">
        <f>IFERROR(__xludf.DUMMYFUNCTION("""COMPUTED_VALUE"""),0.0)</f>
        <v>0</v>
      </c>
      <c r="D256" s="16"/>
      <c r="E256" s="16" t="str">
        <f>IFERROR(__xludf.DUMMYFUNCTION("""COMPUTED_VALUE"""),"R")</f>
        <v>R</v>
      </c>
      <c r="F256" s="16">
        <f>IFERROR(__xludf.DUMMYFUNCTION("""COMPUTED_VALUE"""),24.0)</f>
        <v>24</v>
      </c>
      <c r="G256" s="16">
        <f>IFERROR(__xludf.DUMMYFUNCTION("""COMPUTED_VALUE"""),16.0)</f>
        <v>16</v>
      </c>
      <c r="H256" s="16">
        <f>IFERROR(__xludf.DUMMYFUNCTION("""COMPUTED_VALUE"""),35.0)</f>
        <v>35</v>
      </c>
      <c r="I256" s="16">
        <f>IFERROR(__xludf.DUMMYFUNCTION("""COMPUTED_VALUE"""),-2.0)</f>
        <v>-2</v>
      </c>
      <c r="J256" s="16">
        <f>IFERROR(__xludf.DUMMYFUNCTION("""COMPUTED_VALUE"""),1.0)</f>
        <v>1</v>
      </c>
      <c r="K256" s="16">
        <f>IFERROR(__xludf.DUMMYFUNCTION("""COMPUTED_VALUE"""),-6.0)</f>
        <v>-6</v>
      </c>
      <c r="L256" s="16">
        <f>IFERROR(__xludf.DUMMYFUNCTION("""COMPUTED_VALUE"""),3.0)</f>
        <v>3</v>
      </c>
      <c r="M256" s="16">
        <f>IFERROR(__xludf.DUMMYFUNCTION("""COMPUTED_VALUE"""),2.0)</f>
        <v>2</v>
      </c>
      <c r="N256" s="16">
        <f>IFERROR(__xludf.DUMMYFUNCTION("""COMPUTED_VALUE"""),10.0)</f>
        <v>10</v>
      </c>
      <c r="O256" s="16">
        <f>IFERROR(__xludf.DUMMYFUNCTION("""COMPUTED_VALUE"""),2.0)</f>
        <v>2</v>
      </c>
      <c r="P256" s="16">
        <f>IFERROR(__xludf.DUMMYFUNCTION("""COMPUTED_VALUE"""),-1.0)</f>
        <v>-1</v>
      </c>
      <c r="Q256" s="16">
        <f>IFERROR(__xludf.DUMMYFUNCTION("""COMPUTED_VALUE"""),2.0)</f>
        <v>2</v>
      </c>
      <c r="R256" s="16">
        <f>IFERROR(__xludf.DUMMYFUNCTION("""COMPUTED_VALUE"""),-1.0)</f>
        <v>-1</v>
      </c>
      <c r="S256" s="16">
        <f>IFERROR(__xludf.DUMMYFUNCTION("""COMPUTED_VALUE"""),25.8)</f>
        <v>25.8</v>
      </c>
      <c r="T256" s="16">
        <f>IFERROR(__xludf.DUMMYFUNCTION("""COMPUTED_VALUE"""),10.4)</f>
        <v>10.4</v>
      </c>
      <c r="U256" s="16">
        <f>IFERROR(__xludf.DUMMYFUNCTION("""COMPUTED_VALUE"""),-2.0)</f>
        <v>-2</v>
      </c>
      <c r="V256" s="16">
        <f>IFERROR(__xludf.DUMMYFUNCTION("""COMPUTED_VALUE"""),1.0)</f>
        <v>1</v>
      </c>
      <c r="W256" s="16">
        <f>IFERROR(__xludf.DUMMYFUNCTION("""COMPUTED_VALUE"""),-4.0)</f>
        <v>-4</v>
      </c>
      <c r="X256" s="16">
        <f>IFERROR(__xludf.DUMMYFUNCTION("""COMPUTED_VALUE"""),2.0)</f>
        <v>2</v>
      </c>
      <c r="Y256" s="16">
        <f>IFERROR(__xludf.DUMMYFUNCTION("""COMPUTED_VALUE"""),27.8)</f>
        <v>27.8</v>
      </c>
      <c r="Z256" s="16">
        <f>IFERROR(__xludf.DUMMYFUNCTION("""COMPUTED_VALUE"""),20.4)</f>
        <v>20.4</v>
      </c>
      <c r="AA256" s="16">
        <f>IFERROR(__xludf.DUMMYFUNCTION("""COMPUTED_VALUE"""),0.0)</f>
        <v>0</v>
      </c>
      <c r="AB256" s="16">
        <f>IFERROR(__xludf.DUMMYFUNCTION("""COMPUTED_VALUE"""),1.0)</f>
        <v>1</v>
      </c>
      <c r="AC256" s="16">
        <f>IFERROR(__xludf.DUMMYFUNCTION("""COMPUTED_VALUE"""),0.0)</f>
        <v>0</v>
      </c>
      <c r="AD256" s="16">
        <f>IFERROR(__xludf.DUMMYFUNCTION("""COMPUTED_VALUE"""),5.0)</f>
        <v>5</v>
      </c>
      <c r="AE256" s="16">
        <f>IFERROR(__xludf.DUMMYFUNCTION("""COMPUTED_VALUE"""),52.5)</f>
        <v>52.5</v>
      </c>
      <c r="AF256" s="16">
        <f>IFERROR(__xludf.DUMMYFUNCTION("""COMPUTED_VALUE"""),21.9)</f>
        <v>21.9</v>
      </c>
      <c r="AG256" s="16">
        <f>IFERROR(__xludf.DUMMYFUNCTION("""COMPUTED_VALUE"""),-2.0)</f>
        <v>-2</v>
      </c>
      <c r="AH256" s="16">
        <f>IFERROR(__xludf.DUMMYFUNCTION("""COMPUTED_VALUE"""),1.0)</f>
        <v>1</v>
      </c>
      <c r="AI256" s="16">
        <f>IFERROR(__xludf.DUMMYFUNCTION("""COMPUTED_VALUE"""),-4.0)</f>
        <v>-4</v>
      </c>
      <c r="AJ256" s="16">
        <f>IFERROR(__xludf.DUMMYFUNCTION("""COMPUTED_VALUE"""),2.0)</f>
        <v>2</v>
      </c>
      <c r="AK256" s="16">
        <f>IFERROR(__xludf.DUMMYFUNCTION("""COMPUTED_VALUE"""),25.8)</f>
        <v>25.8</v>
      </c>
      <c r="AL256" s="16">
        <f>IFERROR(__xludf.DUMMYFUNCTION("""COMPUTED_VALUE"""),8.0)</f>
        <v>8</v>
      </c>
      <c r="AM256" s="16">
        <f>IFERROR(__xludf.DUMMYFUNCTION("""COMPUTED_VALUE"""),-2.0)</f>
        <v>-2</v>
      </c>
      <c r="AN256" s="16">
        <f>IFERROR(__xludf.DUMMYFUNCTION("""COMPUTED_VALUE"""),1.0)</f>
        <v>1</v>
      </c>
      <c r="AO256" s="16">
        <f>IFERROR(__xludf.DUMMYFUNCTION("""COMPUTED_VALUE"""),-2.0)</f>
        <v>-2</v>
      </c>
      <c r="AP256" s="16">
        <f>IFERROR(__xludf.DUMMYFUNCTION("""COMPUTED_VALUE"""),1.0)</f>
        <v>1</v>
      </c>
      <c r="AQ256" s="16">
        <f>IFERROR(__xludf.DUMMYFUNCTION("""COMPUTED_VALUE"""),52.5)</f>
        <v>52.5</v>
      </c>
      <c r="AR256" s="16">
        <f>IFERROR(__xludf.DUMMYFUNCTION("""COMPUTED_VALUE"""),12.299999999999999)</f>
        <v>12.3</v>
      </c>
      <c r="AS256" s="16">
        <f>IFERROR(__xludf.DUMMYFUNCTION("""COMPUTED_VALUE"""),-3.0)</f>
        <v>-3</v>
      </c>
      <c r="AT256" s="16">
        <f>IFERROR(__xludf.DUMMYFUNCTION("""COMPUTED_VALUE"""),1.0)</f>
        <v>1</v>
      </c>
      <c r="AU256" s="16">
        <f>IFERROR(__xludf.DUMMYFUNCTION("""COMPUTED_VALUE"""),-6.0)</f>
        <v>-6</v>
      </c>
      <c r="AV256" s="16">
        <f>IFERROR(__xludf.DUMMYFUNCTION("""COMPUTED_VALUE"""),2.0)</f>
        <v>2</v>
      </c>
      <c r="AW256" s="16">
        <f>IFERROR(__xludf.DUMMYFUNCTION("""COMPUTED_VALUE"""),0.0)</f>
        <v>0</v>
      </c>
      <c r="AX256" s="16">
        <f>IFERROR(__xludf.DUMMYFUNCTION("""COMPUTED_VALUE"""),2.4)</f>
        <v>2.4</v>
      </c>
      <c r="AY256" s="16">
        <f>IFERROR(__xludf.DUMMYFUNCTION("""COMPUTED_VALUE"""),2.0)</f>
        <v>2</v>
      </c>
      <c r="AZ256" s="16">
        <f>IFERROR(__xludf.DUMMYFUNCTION("""COMPUTED_VALUE"""),0.0)</f>
        <v>0</v>
      </c>
      <c r="BA256" s="16">
        <f>IFERROR(__xludf.DUMMYFUNCTION("""COMPUTED_VALUE"""),10.0)</f>
        <v>10</v>
      </c>
      <c r="BB256" s="16">
        <f>IFERROR(__xludf.DUMMYFUNCTION("""COMPUTED_VALUE"""),0.0)</f>
        <v>0</v>
      </c>
      <c r="BC256" s="16">
        <f>IFERROR(__xludf.DUMMYFUNCTION("""COMPUTED_VALUE"""),0.0)</f>
        <v>0</v>
      </c>
      <c r="BD256" s="16">
        <f>IFERROR(__xludf.DUMMYFUNCTION("""COMPUTED_VALUE"""),3.0)</f>
        <v>3</v>
      </c>
      <c r="BE256" s="16">
        <f>IFERROR(__xludf.DUMMYFUNCTION("""COMPUTED_VALUE"""),0.0)</f>
        <v>0</v>
      </c>
      <c r="BF256" s="16">
        <f>IFERROR(__xludf.DUMMYFUNCTION("""COMPUTED_VALUE"""),3.0)</f>
        <v>3</v>
      </c>
      <c r="BG256" s="16">
        <f>IFERROR(__xludf.DUMMYFUNCTION("""COMPUTED_VALUE"""),3.0)</f>
        <v>3</v>
      </c>
      <c r="BH256" s="16">
        <f>IFERROR(__xludf.DUMMYFUNCTION("""COMPUTED_VALUE"""),0.0)</f>
        <v>0</v>
      </c>
      <c r="BI256" s="16">
        <f>IFERROR(__xludf.DUMMYFUNCTION("""COMPUTED_VALUE"""),6.0)</f>
        <v>6</v>
      </c>
      <c r="BJ256" s="16">
        <f>IFERROR(__xludf.DUMMYFUNCTION("""COMPUTED_VALUE"""),0.0)</f>
        <v>0</v>
      </c>
      <c r="BK256" s="16">
        <f>IFERROR(__xludf.DUMMYFUNCTION("""COMPUTED_VALUE"""),5.0)</f>
        <v>5</v>
      </c>
      <c r="BL256" s="16">
        <f>IFERROR(__xludf.DUMMYFUNCTION("""COMPUTED_VALUE"""),5.0)</f>
        <v>5</v>
      </c>
      <c r="BM256" s="16">
        <f>IFERROR(__xludf.DUMMYFUNCTION("""COMPUTED_VALUE"""),0.0)</f>
        <v>0</v>
      </c>
      <c r="BN256" s="16">
        <f>IFERROR(__xludf.DUMMYFUNCTION("""COMPUTED_VALUE"""),0.0)</f>
        <v>0</v>
      </c>
      <c r="BO256" s="16">
        <f>IFERROR(__xludf.DUMMYFUNCTION("""COMPUTED_VALUE"""),0.0)</f>
        <v>0</v>
      </c>
      <c r="BP256" s="16">
        <f>IFERROR(__xludf.DUMMYFUNCTION("""COMPUTED_VALUE"""),0.0)</f>
        <v>0</v>
      </c>
      <c r="BQ256" s="16">
        <f>IFERROR(__xludf.DUMMYFUNCTION("""COMPUTED_VALUE"""),0.0)</f>
        <v>0</v>
      </c>
      <c r="BR256" s="16">
        <f>IFERROR(__xludf.DUMMYFUNCTION("""COMPUTED_VALUE"""),0.0)</f>
        <v>0</v>
      </c>
      <c r="BS256" s="16">
        <f>IFERROR(__xludf.DUMMYFUNCTION("""COMPUTED_VALUE"""),-3.0)</f>
        <v>-3</v>
      </c>
      <c r="BT256" s="16">
        <f>IFERROR(__xludf.DUMMYFUNCTION("""COMPUTED_VALUE"""),-3.0)</f>
        <v>-3</v>
      </c>
      <c r="BU256" s="16">
        <f>IFERROR(__xludf.DUMMYFUNCTION("""COMPUTED_VALUE"""),-6.0)</f>
        <v>-6</v>
      </c>
      <c r="BV256" s="16">
        <f>IFERROR(__xludf.DUMMYFUNCTION("""COMPUTED_VALUE"""),-6.0)</f>
        <v>-6</v>
      </c>
      <c r="BW256" s="16">
        <f>IFERROR(__xludf.DUMMYFUNCTION("""COMPUTED_VALUE"""),9.0)</f>
        <v>9</v>
      </c>
      <c r="BX256" s="16">
        <f>IFERROR(__xludf.DUMMYFUNCTION("""COMPUTED_VALUE"""),9.0)</f>
        <v>9</v>
      </c>
      <c r="BY256" s="16" t="str">
        <f>IFERROR(__xludf.DUMMYFUNCTION("""COMPUTED_VALUE"""),"R(1)")</f>
        <v>R(1)</v>
      </c>
      <c r="BZ256" s="16" t="str">
        <f>IFERROR(__xludf.DUMMYFUNCTION("""COMPUTED_VALUE"""),"R(1)")</f>
        <v>R(1)</v>
      </c>
      <c r="CA256" s="16" t="str">
        <f>IFERROR(__xludf.DUMMYFUNCTION("""COMPUTED_VALUE"""),"R(1)")</f>
        <v>R(1)</v>
      </c>
      <c r="CB256" s="16"/>
      <c r="CC256" s="16"/>
      <c r="CD256" s="16"/>
      <c r="CE256" s="16">
        <f>IFERROR(__xludf.DUMMYFUNCTION("""COMPUTED_VALUE"""),1.0)</f>
        <v>1</v>
      </c>
      <c r="CF256" s="16"/>
      <c r="CG256" s="16" t="str">
        <f>IFERROR(__xludf.DUMMYFUNCTION("""COMPUTED_VALUE"""),"4-0")</f>
        <v>4-0</v>
      </c>
      <c r="CH256" s="16">
        <f>IFERROR(__xludf.DUMMYFUNCTION("""COMPUTED_VALUE"""),4.0)</f>
        <v>4</v>
      </c>
      <c r="CI256" s="16">
        <f>IFERROR(__xludf.DUMMYFUNCTION("""COMPUTED_VALUE"""),0.0)</f>
        <v>0</v>
      </c>
      <c r="CJ256" s="16">
        <f>IFERROR(__xludf.DUMMYFUNCTION("""COMPUTED_VALUE"""),0.0)</f>
        <v>0</v>
      </c>
      <c r="CK256" s="16">
        <f>IFERROR(__xludf.DUMMYFUNCTION("""COMPUTED_VALUE"""),0.0)</f>
        <v>0</v>
      </c>
      <c r="CL256" s="16" t="str">
        <f>IFERROR(__xludf.DUMMYFUNCTION("""COMPUTED_VALUE"""),"1WR-C")</f>
        <v>1WR-C</v>
      </c>
      <c r="CM256" s="16" t="str">
        <f>IFERROR(__xludf.DUMMYFUNCTION("""COMPUTED_VALUE"""),"E")</f>
        <v>E</v>
      </c>
      <c r="CN256" s="16">
        <f>IFERROR(__xludf.DUMMYFUNCTION("""COMPUTED_VALUE"""),10.0)</f>
        <v>10</v>
      </c>
      <c r="CO256" s="16" t="str">
        <f>IFERROR(__xludf.DUMMYFUNCTION("""COMPUTED_VALUE"""),"C")</f>
        <v>C</v>
      </c>
      <c r="CP256" s="16" t="str">
        <f>IFERROR(__xludf.DUMMYFUNCTION("""COMPUTED_VALUE"""),"1p20")</f>
        <v>1p20</v>
      </c>
      <c r="CQ256" s="16">
        <f>IFERROR(__xludf.DUMMYFUNCTION("""COMPUTED_VALUE"""),-10.0)</f>
        <v>-10</v>
      </c>
      <c r="CR256" s="16">
        <f>IFERROR(__xludf.DUMMYFUNCTION("""COMPUTED_VALUE"""),8.0)</f>
        <v>8</v>
      </c>
      <c r="CS256" s="16">
        <f>IFERROR(__xludf.DUMMYFUNCTION("""COMPUTED_VALUE"""),-2.0)</f>
        <v>-2</v>
      </c>
      <c r="CT256" s="16">
        <f>IFERROR(__xludf.DUMMYFUNCTION("""COMPUTED_VALUE"""),-10.0)</f>
        <v>-10</v>
      </c>
      <c r="CU256" s="16">
        <f>IFERROR(__xludf.DUMMYFUNCTION("""COMPUTED_VALUE"""),8.0)</f>
        <v>8</v>
      </c>
      <c r="CV256" s="179">
        <f>IFERROR(__xludf.DUMMYFUNCTION("""COMPUTED_VALUE"""),3.0)</f>
        <v>3</v>
      </c>
      <c r="CW256" s="179">
        <f>IFERROR(__xludf.DUMMYFUNCTION("""COMPUTED_VALUE"""),4.0)</f>
        <v>4</v>
      </c>
      <c r="CX256" s="179">
        <f>IFERROR(__xludf.DUMMYFUNCTION("""COMPUTED_VALUE"""),3.0)</f>
        <v>3</v>
      </c>
      <c r="CY256" s="16" t="str">
        <f>IFERROR(__xludf.DUMMYFUNCTION("""COMPUTED_VALUE"""),"RP")</f>
        <v>RP</v>
      </c>
      <c r="CZ256" s="16"/>
      <c r="DA256" s="16"/>
      <c r="DB256" s="16"/>
      <c r="DC256" s="16"/>
      <c r="DD256" s="16"/>
      <c r="DE256" s="16"/>
      <c r="DF256" s="16"/>
      <c r="DG256" s="16"/>
      <c r="DH256" s="16"/>
      <c r="DI256" s="16"/>
      <c r="DJ256" s="16"/>
      <c r="DK256" s="16"/>
    </row>
    <row r="257">
      <c r="A257" s="16">
        <f>IFERROR(__xludf.DUMMYFUNCTION("""COMPUTED_VALUE"""),12825.0)</f>
        <v>12825</v>
      </c>
      <c r="B257" s="16" t="str">
        <f>IFERROR(__xludf.DUMMYFUNCTION("""COMPUTED_VALUE"""),"Freddy Peralta")</f>
        <v>Freddy Peralta</v>
      </c>
      <c r="C257" s="153">
        <f>IFERROR(__xludf.DUMMYFUNCTION("""COMPUTED_VALUE"""),1.12)</f>
        <v>1.12</v>
      </c>
      <c r="D257" s="16"/>
      <c r="E257" s="16" t="str">
        <f>IFERROR(__xludf.DUMMYFUNCTION("""COMPUTED_VALUE"""),"R")</f>
        <v>R</v>
      </c>
      <c r="F257" s="16">
        <f>IFERROR(__xludf.DUMMYFUNCTION("""COMPUTED_VALUE"""),174.0)</f>
        <v>174</v>
      </c>
      <c r="G257" s="16">
        <f>IFERROR(__xludf.DUMMYFUNCTION("""COMPUTED_VALUE"""),37.0)</f>
        <v>37</v>
      </c>
      <c r="H257" s="16">
        <f>IFERROR(__xludf.DUMMYFUNCTION("""COMPUTED_VALUE"""),34.0)</f>
        <v>34</v>
      </c>
      <c r="I257" s="16">
        <f>IFERROR(__xludf.DUMMYFUNCTION("""COMPUTED_VALUE"""),1.0)</f>
        <v>1</v>
      </c>
      <c r="J257" s="16">
        <f>IFERROR(__xludf.DUMMYFUNCTION("""COMPUTED_VALUE"""),1.0)</f>
        <v>1</v>
      </c>
      <c r="K257" s="16">
        <f>IFERROR(__xludf.DUMMYFUNCTION("""COMPUTED_VALUE"""),3.0)</f>
        <v>3</v>
      </c>
      <c r="L257" s="16">
        <f>IFERROR(__xludf.DUMMYFUNCTION("""COMPUTED_VALUE"""),3.0)</f>
        <v>3</v>
      </c>
      <c r="M257" s="16">
        <f>IFERROR(__xludf.DUMMYFUNCTION("""COMPUTED_VALUE"""),12.0)</f>
        <v>12</v>
      </c>
      <c r="N257" s="16">
        <f>IFERROR(__xludf.DUMMYFUNCTION("""COMPUTED_VALUE"""),12.0)</f>
        <v>12</v>
      </c>
      <c r="O257" s="16">
        <f>IFERROR(__xludf.DUMMYFUNCTION("""COMPUTED_VALUE"""),-1.0)</f>
        <v>-1</v>
      </c>
      <c r="P257" s="16">
        <f>IFERROR(__xludf.DUMMYFUNCTION("""COMPUTED_VALUE"""),-2.0)</f>
        <v>-2</v>
      </c>
      <c r="Q257" s="16">
        <f>IFERROR(__xludf.DUMMYFUNCTION("""COMPUTED_VALUE"""),-1.0)</f>
        <v>-1</v>
      </c>
      <c r="R257" s="16">
        <f>IFERROR(__xludf.DUMMYFUNCTION("""COMPUTED_VALUE"""),-2.0)</f>
        <v>-2</v>
      </c>
      <c r="S257" s="16">
        <f>IFERROR(__xludf.DUMMYFUNCTION("""COMPUTED_VALUE"""),11.7)</f>
        <v>11.7</v>
      </c>
      <c r="T257" s="16">
        <f>IFERROR(__xludf.DUMMYFUNCTION("""COMPUTED_VALUE"""),15.5)</f>
        <v>15.5</v>
      </c>
      <c r="U257" s="16">
        <f>IFERROR(__xludf.DUMMYFUNCTION("""COMPUTED_VALUE"""),1.0)</f>
        <v>1</v>
      </c>
      <c r="V257" s="16">
        <f>IFERROR(__xludf.DUMMYFUNCTION("""COMPUTED_VALUE"""),0.0)</f>
        <v>0</v>
      </c>
      <c r="W257" s="16">
        <f>IFERROR(__xludf.DUMMYFUNCTION("""COMPUTED_VALUE"""),2.0)</f>
        <v>2</v>
      </c>
      <c r="X257" s="16">
        <f>IFERROR(__xludf.DUMMYFUNCTION("""COMPUTED_VALUE"""),0.0)</f>
        <v>0</v>
      </c>
      <c r="Y257" s="16">
        <f>IFERROR(__xludf.DUMMYFUNCTION("""COMPUTED_VALUE"""),23.7)</f>
        <v>23.7</v>
      </c>
      <c r="Z257" s="16">
        <f>IFERROR(__xludf.DUMMYFUNCTION("""COMPUTED_VALUE"""),27.5)</f>
        <v>27.5</v>
      </c>
      <c r="AA257" s="16">
        <f>IFERROR(__xludf.DUMMYFUNCTION("""COMPUTED_VALUE"""),0.0)</f>
        <v>0</v>
      </c>
      <c r="AB257" s="16">
        <f>IFERROR(__xludf.DUMMYFUNCTION("""COMPUTED_VALUE"""),0.0)</f>
        <v>0</v>
      </c>
      <c r="AC257" s="16">
        <f>IFERROR(__xludf.DUMMYFUNCTION("""COMPUTED_VALUE"""),0.0)</f>
        <v>0</v>
      </c>
      <c r="AD257" s="16">
        <f>IFERROR(__xludf.DUMMYFUNCTION("""COMPUTED_VALUE"""),0.0)</f>
        <v>0</v>
      </c>
      <c r="AE257" s="16">
        <f>IFERROR(__xludf.DUMMYFUNCTION("""COMPUTED_VALUE"""),17.1)</f>
        <v>17.1</v>
      </c>
      <c r="AF257" s="16">
        <f>IFERROR(__xludf.DUMMYFUNCTION("""COMPUTED_VALUE"""),29.8)</f>
        <v>29.8</v>
      </c>
      <c r="AG257" s="16">
        <f>IFERROR(__xludf.DUMMYFUNCTION("""COMPUTED_VALUE"""),1.0)</f>
        <v>1</v>
      </c>
      <c r="AH257" s="16">
        <f>IFERROR(__xludf.DUMMYFUNCTION("""COMPUTED_VALUE"""),0.0)</f>
        <v>0</v>
      </c>
      <c r="AI257" s="16">
        <f>IFERROR(__xludf.DUMMYFUNCTION("""COMPUTED_VALUE"""),2.0)</f>
        <v>2</v>
      </c>
      <c r="AJ257" s="16">
        <f>IFERROR(__xludf.DUMMYFUNCTION("""COMPUTED_VALUE"""),0.0)</f>
        <v>0</v>
      </c>
      <c r="AK257" s="16">
        <f>IFERROR(__xludf.DUMMYFUNCTION("""COMPUTED_VALUE"""),10.7)</f>
        <v>10.7</v>
      </c>
      <c r="AL257" s="16">
        <f>IFERROR(__xludf.DUMMYFUNCTION("""COMPUTED_VALUE"""),11.7)</f>
        <v>11.7</v>
      </c>
      <c r="AM257" s="16">
        <f>IFERROR(__xludf.DUMMYFUNCTION("""COMPUTED_VALUE"""),0.0)</f>
        <v>0</v>
      </c>
      <c r="AN257" s="16">
        <f>IFERROR(__xludf.DUMMYFUNCTION("""COMPUTED_VALUE"""),0.0)</f>
        <v>0</v>
      </c>
      <c r="AO257" s="16">
        <f>IFERROR(__xludf.DUMMYFUNCTION("""COMPUTED_VALUE"""),0.0)</f>
        <v>0</v>
      </c>
      <c r="AP257" s="16">
        <f>IFERROR(__xludf.DUMMYFUNCTION("""COMPUTED_VALUE"""),0.0)</f>
        <v>0</v>
      </c>
      <c r="AQ257" s="16">
        <f>IFERROR(__xludf.DUMMYFUNCTION("""COMPUTED_VALUE"""),13.100000000000001)</f>
        <v>13.1</v>
      </c>
      <c r="AR257" s="16">
        <f>IFERROR(__xludf.DUMMYFUNCTION("""COMPUTED_VALUE"""),14.600000000000001)</f>
        <v>14.6</v>
      </c>
      <c r="AS257" s="16">
        <f>IFERROR(__xludf.DUMMYFUNCTION("""COMPUTED_VALUE"""),1.0)</f>
        <v>1</v>
      </c>
      <c r="AT257" s="16">
        <f>IFERROR(__xludf.DUMMYFUNCTION("""COMPUTED_VALUE"""),1.0)</f>
        <v>1</v>
      </c>
      <c r="AU257" s="16">
        <f>IFERROR(__xludf.DUMMYFUNCTION("""COMPUTED_VALUE"""),2.0)</f>
        <v>2</v>
      </c>
      <c r="AV257" s="16">
        <f>IFERROR(__xludf.DUMMYFUNCTION("""COMPUTED_VALUE"""),2.0)</f>
        <v>2</v>
      </c>
      <c r="AW257" s="16">
        <f>IFERROR(__xludf.DUMMYFUNCTION("""COMPUTED_VALUE"""),1.0)</f>
        <v>1</v>
      </c>
      <c r="AX257" s="16">
        <f>IFERROR(__xludf.DUMMYFUNCTION("""COMPUTED_VALUE"""),3.8)</f>
        <v>3.8</v>
      </c>
      <c r="AY257" s="16">
        <f>IFERROR(__xludf.DUMMYFUNCTION("""COMPUTED_VALUE"""),1.0)</f>
        <v>1</v>
      </c>
      <c r="AZ257" s="16">
        <f>IFERROR(__xludf.DUMMYFUNCTION("""COMPUTED_VALUE"""),-2.0)</f>
        <v>-2</v>
      </c>
      <c r="BA257" s="16">
        <f>IFERROR(__xludf.DUMMYFUNCTION("""COMPUTED_VALUE"""),5.0)</f>
        <v>5</v>
      </c>
      <c r="BB257" s="16">
        <f>IFERROR(__xludf.DUMMYFUNCTION("""COMPUTED_VALUE"""),-10.0)</f>
        <v>-10</v>
      </c>
      <c r="BC257" s="16">
        <f>IFERROR(__xludf.DUMMYFUNCTION("""COMPUTED_VALUE"""),1.0)</f>
        <v>1</v>
      </c>
      <c r="BD257" s="16">
        <f>IFERROR(__xludf.DUMMYFUNCTION("""COMPUTED_VALUE"""),7.0)</f>
        <v>7</v>
      </c>
      <c r="BE257" s="16">
        <f>IFERROR(__xludf.DUMMYFUNCTION("""COMPUTED_VALUE"""),1.0)</f>
        <v>1</v>
      </c>
      <c r="BF257" s="16">
        <f>IFERROR(__xludf.DUMMYFUNCTION("""COMPUTED_VALUE"""),7.0)</f>
        <v>7</v>
      </c>
      <c r="BG257" s="16">
        <f>IFERROR(__xludf.DUMMYFUNCTION("""COMPUTED_VALUE"""),2.0)</f>
        <v>2</v>
      </c>
      <c r="BH257" s="16">
        <f>IFERROR(__xludf.DUMMYFUNCTION("""COMPUTED_VALUE"""),-3.0)</f>
        <v>-3</v>
      </c>
      <c r="BI257" s="16">
        <f>IFERROR(__xludf.DUMMYFUNCTION("""COMPUTED_VALUE"""),4.0)</f>
        <v>4</v>
      </c>
      <c r="BJ257" s="16">
        <f>IFERROR(__xludf.DUMMYFUNCTION("""COMPUTED_VALUE"""),-6.0)</f>
        <v>-6</v>
      </c>
      <c r="BK257" s="16">
        <f>IFERROR(__xludf.DUMMYFUNCTION("""COMPUTED_VALUE"""),5.0)</f>
        <v>5</v>
      </c>
      <c r="BL257" s="16">
        <f>IFERROR(__xludf.DUMMYFUNCTION("""COMPUTED_VALUE"""),5.0)</f>
        <v>5</v>
      </c>
      <c r="BM257" s="16">
        <f>IFERROR(__xludf.DUMMYFUNCTION("""COMPUTED_VALUE"""),0.0)</f>
        <v>0</v>
      </c>
      <c r="BN257" s="16">
        <f>IFERROR(__xludf.DUMMYFUNCTION("""COMPUTED_VALUE"""),0.0)</f>
        <v>0</v>
      </c>
      <c r="BO257" s="16">
        <f>IFERROR(__xludf.DUMMYFUNCTION("""COMPUTED_VALUE"""),0.0)</f>
        <v>0</v>
      </c>
      <c r="BP257" s="16">
        <f>IFERROR(__xludf.DUMMYFUNCTION("""COMPUTED_VALUE"""),0.0)</f>
        <v>0</v>
      </c>
      <c r="BQ257" s="16">
        <f>IFERROR(__xludf.DUMMYFUNCTION("""COMPUTED_VALUE"""),0.0)</f>
        <v>0</v>
      </c>
      <c r="BR257" s="16">
        <f>IFERROR(__xludf.DUMMYFUNCTION("""COMPUTED_VALUE"""),4.0)</f>
        <v>4</v>
      </c>
      <c r="BS257" s="16">
        <f>IFERROR(__xludf.DUMMYFUNCTION("""COMPUTED_VALUE"""),-3.0)</f>
        <v>-3</v>
      </c>
      <c r="BT257" s="16">
        <f>IFERROR(__xludf.DUMMYFUNCTION("""COMPUTED_VALUE"""),-1.0)</f>
        <v>-1</v>
      </c>
      <c r="BU257" s="16">
        <f>IFERROR(__xludf.DUMMYFUNCTION("""COMPUTED_VALUE"""),-6.0)</f>
        <v>-6</v>
      </c>
      <c r="BV257" s="16">
        <f>IFERROR(__xludf.DUMMYFUNCTION("""COMPUTED_VALUE"""),-2.0)</f>
        <v>-2</v>
      </c>
      <c r="BW257" s="16">
        <f>IFERROR(__xludf.DUMMYFUNCTION("""COMPUTED_VALUE"""),2.0)</f>
        <v>2</v>
      </c>
      <c r="BX257" s="16">
        <f>IFERROR(__xludf.DUMMYFUNCTION("""COMPUTED_VALUE"""),2.0)</f>
        <v>2</v>
      </c>
      <c r="BY257" s="16" t="str">
        <f>IFERROR(__xludf.DUMMYFUNCTION("""COMPUTED_VALUE"""),"S(5)")</f>
        <v>S(5)</v>
      </c>
      <c r="BZ257" s="16" t="str">
        <f>IFERROR(__xludf.DUMMYFUNCTION("""COMPUTED_VALUE"""),"S(5)")</f>
        <v>S(5)</v>
      </c>
      <c r="CA257" s="16" t="str">
        <f>IFERROR(__xludf.DUMMYFUNCTION("""COMPUTED_VALUE"""),"S(5)")</f>
        <v>S(5)</v>
      </c>
      <c r="CB257" s="16"/>
      <c r="CC257" s="16"/>
      <c r="CD257" s="16">
        <f>IFERROR(__xludf.DUMMYFUNCTION("""COMPUTED_VALUE"""),5.0)</f>
        <v>5</v>
      </c>
      <c r="CE257" s="16"/>
      <c r="CF257" s="16"/>
      <c r="CG257" s="16" t="str">
        <f>IFERROR(__xludf.DUMMYFUNCTION("""COMPUTED_VALUE"""),"3-8")</f>
        <v>3-8</v>
      </c>
      <c r="CH257" s="16">
        <f>IFERROR(__xludf.DUMMYFUNCTION("""COMPUTED_VALUE"""),3.0)</f>
        <v>3</v>
      </c>
      <c r="CI257" s="16">
        <f>IFERROR(__xludf.DUMMYFUNCTION("""COMPUTED_VALUE"""),8.0)</f>
        <v>8</v>
      </c>
      <c r="CJ257" s="16">
        <f>IFERROR(__xludf.DUMMYFUNCTION("""COMPUTED_VALUE"""),2.0)</f>
        <v>2</v>
      </c>
      <c r="CK257" s="16">
        <f>IFERROR(__xludf.DUMMYFUNCTION("""COMPUTED_VALUE"""),10.0)</f>
        <v>10</v>
      </c>
      <c r="CL257" s="16" t="str">
        <f>IFERROR(__xludf.DUMMYFUNCTION("""COMPUTED_VALUE"""),"1WR-C")</f>
        <v>1WR-C</v>
      </c>
      <c r="CM257" s="16" t="str">
        <f>IFERROR(__xludf.DUMMYFUNCTION("""COMPUTED_VALUE"""),"E")</f>
        <v>E</v>
      </c>
      <c r="CN257" s="16">
        <f>IFERROR(__xludf.DUMMYFUNCTION("""COMPUTED_VALUE"""),10.0)</f>
        <v>10</v>
      </c>
      <c r="CO257" s="16" t="str">
        <f>IFERROR(__xludf.DUMMYFUNCTION("""COMPUTED_VALUE"""),"C")</f>
        <v>C</v>
      </c>
      <c r="CP257" s="16" t="str">
        <f>IFERROR(__xludf.DUMMYFUNCTION("""COMPUTED_VALUE"""),"0p72")</f>
        <v>0p72</v>
      </c>
      <c r="CQ257" s="16">
        <f>IFERROR(__xludf.DUMMYFUNCTION("""COMPUTED_VALUE"""),11.0)</f>
        <v>11</v>
      </c>
      <c r="CR257" s="16">
        <f>IFERROR(__xludf.DUMMYFUNCTION("""COMPUTED_VALUE"""),-15.0)</f>
        <v>-15</v>
      </c>
      <c r="CS257" s="16">
        <f>IFERROR(__xludf.DUMMYFUNCTION("""COMPUTED_VALUE"""),-4.0)</f>
        <v>-4</v>
      </c>
      <c r="CT257" s="16">
        <f>IFERROR(__xludf.DUMMYFUNCTION("""COMPUTED_VALUE"""),11.0)</f>
        <v>11</v>
      </c>
      <c r="CU257" s="16">
        <f>IFERROR(__xludf.DUMMYFUNCTION("""COMPUTED_VALUE"""),-15.0)</f>
        <v>-15</v>
      </c>
      <c r="CV257" s="179">
        <f>IFERROR(__xludf.DUMMYFUNCTION("""COMPUTED_VALUE"""),2.666666666666667)</f>
        <v>2.666666667</v>
      </c>
      <c r="CW257" s="179">
        <f>IFERROR(__xludf.DUMMYFUNCTION("""COMPUTED_VALUE"""),5.0)</f>
        <v>5</v>
      </c>
      <c r="CX257" s="179">
        <f>IFERROR(__xludf.DUMMYFUNCTION("""COMPUTED_VALUE"""),4.0)</f>
        <v>4</v>
      </c>
      <c r="CY257" s="16" t="str">
        <f>IFERROR(__xludf.DUMMYFUNCTION("""COMPUTED_VALUE"""),"SP")</f>
        <v>SP</v>
      </c>
      <c r="CZ257" s="16"/>
      <c r="DA257" s="16"/>
      <c r="DB257" s="16"/>
      <c r="DC257" s="16"/>
      <c r="DD257" s="16"/>
      <c r="DE257" s="16"/>
      <c r="DF257" s="16"/>
      <c r="DG257" s="16"/>
      <c r="DH257" s="16"/>
      <c r="DI257" s="16"/>
      <c r="DJ257" s="16"/>
      <c r="DK257" s="16"/>
    </row>
    <row r="258">
      <c r="A258" s="16">
        <f>IFERROR(__xludf.DUMMYFUNCTION("""COMPUTED_VALUE"""),13345.0)</f>
        <v>13345</v>
      </c>
      <c r="B258" s="16" t="str">
        <f>IFERROR(__xludf.DUMMYFUNCTION("""COMPUTED_VALUE"""),"Ryder Ryan")</f>
        <v>Ryder Ryan</v>
      </c>
      <c r="C258" s="153">
        <f>IFERROR(__xludf.DUMMYFUNCTION("""COMPUTED_VALUE"""),0.0)</f>
        <v>0</v>
      </c>
      <c r="D258" s="16"/>
      <c r="E258" s="16" t="str">
        <f>IFERROR(__xludf.DUMMYFUNCTION("""COMPUTED_VALUE"""),"R")</f>
        <v>R</v>
      </c>
      <c r="F258" s="16">
        <f>IFERROR(__xludf.DUMMYFUNCTION("""COMPUTED_VALUE"""),21.0)</f>
        <v>21</v>
      </c>
      <c r="G258" s="16">
        <f>IFERROR(__xludf.DUMMYFUNCTION("""COMPUTED_VALUE"""),11.0)</f>
        <v>11</v>
      </c>
      <c r="H258" s="16">
        <f>IFERROR(__xludf.DUMMYFUNCTION("""COMPUTED_VALUE"""),22.0)</f>
        <v>22</v>
      </c>
      <c r="I258" s="16">
        <f>IFERROR(__xludf.DUMMYFUNCTION("""COMPUTED_VALUE"""),-2.0)</f>
        <v>-2</v>
      </c>
      <c r="J258" s="16">
        <f>IFERROR(__xludf.DUMMYFUNCTION("""COMPUTED_VALUE"""),-1.0)</f>
        <v>-1</v>
      </c>
      <c r="K258" s="16">
        <f>IFERROR(__xludf.DUMMYFUNCTION("""COMPUTED_VALUE"""),-6.0)</f>
        <v>-6</v>
      </c>
      <c r="L258" s="16">
        <f>IFERROR(__xludf.DUMMYFUNCTION("""COMPUTED_VALUE"""),-3.0)</f>
        <v>-3</v>
      </c>
      <c r="M258" s="16">
        <f>IFERROR(__xludf.DUMMYFUNCTION("""COMPUTED_VALUE"""),29.0)</f>
        <v>29</v>
      </c>
      <c r="N258" s="16">
        <f>IFERROR(__xludf.DUMMYFUNCTION("""COMPUTED_VALUE"""),1.0)</f>
        <v>1</v>
      </c>
      <c r="O258" s="16">
        <f>IFERROR(__xludf.DUMMYFUNCTION("""COMPUTED_VALUE"""),-3.0)</f>
        <v>-3</v>
      </c>
      <c r="P258" s="16">
        <f>IFERROR(__xludf.DUMMYFUNCTION("""COMPUTED_VALUE"""),3.0)</f>
        <v>3</v>
      </c>
      <c r="Q258" s="16">
        <f>IFERROR(__xludf.DUMMYFUNCTION("""COMPUTED_VALUE"""),-3.0)</f>
        <v>-3</v>
      </c>
      <c r="R258" s="16">
        <f>IFERROR(__xludf.DUMMYFUNCTION("""COMPUTED_VALUE"""),3.0)</f>
        <v>3</v>
      </c>
      <c r="S258" s="16">
        <f>IFERROR(__xludf.DUMMYFUNCTION("""COMPUTED_VALUE"""),20.3)</f>
        <v>20.3</v>
      </c>
      <c r="T258" s="16">
        <f>IFERROR(__xludf.DUMMYFUNCTION("""COMPUTED_VALUE"""),15.1)</f>
        <v>15.1</v>
      </c>
      <c r="U258" s="16">
        <f>IFERROR(__xludf.DUMMYFUNCTION("""COMPUTED_VALUE"""),-1.0)</f>
        <v>-1</v>
      </c>
      <c r="V258" s="16">
        <f>IFERROR(__xludf.DUMMYFUNCTION("""COMPUTED_VALUE"""),0.0)</f>
        <v>0</v>
      </c>
      <c r="W258" s="16">
        <f>IFERROR(__xludf.DUMMYFUNCTION("""COMPUTED_VALUE"""),-2.0)</f>
        <v>-2</v>
      </c>
      <c r="X258" s="16">
        <f>IFERROR(__xludf.DUMMYFUNCTION("""COMPUTED_VALUE"""),0.0)</f>
        <v>0</v>
      </c>
      <c r="Y258" s="16">
        <f>IFERROR(__xludf.DUMMYFUNCTION("""COMPUTED_VALUE"""),49.3)</f>
        <v>49.3</v>
      </c>
      <c r="Z258" s="16">
        <f>IFERROR(__xludf.DUMMYFUNCTION("""COMPUTED_VALUE"""),16.1)</f>
        <v>16.1</v>
      </c>
      <c r="AA258" s="16">
        <f>IFERROR(__xludf.DUMMYFUNCTION("""COMPUTED_VALUE"""),-3.0)</f>
        <v>-3</v>
      </c>
      <c r="AB258" s="16">
        <f>IFERROR(__xludf.DUMMYFUNCTION("""COMPUTED_VALUE"""),2.0)</f>
        <v>2</v>
      </c>
      <c r="AC258" s="16">
        <f>IFERROR(__xludf.DUMMYFUNCTION("""COMPUTED_VALUE"""),-15.0)</f>
        <v>-15</v>
      </c>
      <c r="AD258" s="16">
        <f>IFERROR(__xludf.DUMMYFUNCTION("""COMPUTED_VALUE"""),10.0)</f>
        <v>10</v>
      </c>
      <c r="AE258" s="16">
        <f>IFERROR(__xludf.DUMMYFUNCTION("""COMPUTED_VALUE"""),34.3)</f>
        <v>34.3</v>
      </c>
      <c r="AF258" s="16">
        <f>IFERROR(__xludf.DUMMYFUNCTION("""COMPUTED_VALUE"""),31.5)</f>
        <v>31.5</v>
      </c>
      <c r="AG258" s="16">
        <f>IFERROR(__xludf.DUMMYFUNCTION("""COMPUTED_VALUE"""),-1.0)</f>
        <v>-1</v>
      </c>
      <c r="AH258" s="16">
        <f>IFERROR(__xludf.DUMMYFUNCTION("""COMPUTED_VALUE"""),0.0)</f>
        <v>0</v>
      </c>
      <c r="AI258" s="16">
        <f>IFERROR(__xludf.DUMMYFUNCTION("""COMPUTED_VALUE"""),-2.0)</f>
        <v>-2</v>
      </c>
      <c r="AJ258" s="16">
        <f>IFERROR(__xludf.DUMMYFUNCTION("""COMPUTED_VALUE"""),0.0)</f>
        <v>0</v>
      </c>
      <c r="AK258" s="16">
        <f>IFERROR(__xludf.DUMMYFUNCTION("""COMPUTED_VALUE"""),19.1)</f>
        <v>19.1</v>
      </c>
      <c r="AL258" s="16">
        <f>IFERROR(__xludf.DUMMYFUNCTION("""COMPUTED_VALUE"""),14.1)</f>
        <v>14.1</v>
      </c>
      <c r="AM258" s="16">
        <f>IFERROR(__xludf.DUMMYFUNCTION("""COMPUTED_VALUE"""),-1.0)</f>
        <v>-1</v>
      </c>
      <c r="AN258" s="16">
        <f>IFERROR(__xludf.DUMMYFUNCTION("""COMPUTED_VALUE"""),0.0)</f>
        <v>0</v>
      </c>
      <c r="AO258" s="16">
        <f>IFERROR(__xludf.DUMMYFUNCTION("""COMPUTED_VALUE"""),-1.0)</f>
        <v>-1</v>
      </c>
      <c r="AP258" s="16">
        <f>IFERROR(__xludf.DUMMYFUNCTION("""COMPUTED_VALUE"""),0.0)</f>
        <v>0</v>
      </c>
      <c r="AQ258" s="16">
        <f>IFERROR(__xludf.DUMMYFUNCTION("""COMPUTED_VALUE"""),29.499999999999996)</f>
        <v>29.5</v>
      </c>
      <c r="AR258" s="16">
        <f>IFERROR(__xludf.DUMMYFUNCTION("""COMPUTED_VALUE"""),27.5)</f>
        <v>27.5</v>
      </c>
      <c r="AS258" s="16">
        <f>IFERROR(__xludf.DUMMYFUNCTION("""COMPUTED_VALUE"""),-1.0)</f>
        <v>-1</v>
      </c>
      <c r="AT258" s="16">
        <f>IFERROR(__xludf.DUMMYFUNCTION("""COMPUTED_VALUE"""),-1.0)</f>
        <v>-1</v>
      </c>
      <c r="AU258" s="16">
        <f>IFERROR(__xludf.DUMMYFUNCTION("""COMPUTED_VALUE"""),-2.0)</f>
        <v>-2</v>
      </c>
      <c r="AV258" s="16">
        <f>IFERROR(__xludf.DUMMYFUNCTION("""COMPUTED_VALUE"""),-2.0)</f>
        <v>-2</v>
      </c>
      <c r="AW258" s="16">
        <f>IFERROR(__xludf.DUMMYFUNCTION("""COMPUTED_VALUE"""),1.2)</f>
        <v>1.2</v>
      </c>
      <c r="AX258" s="16">
        <f>IFERROR(__xludf.DUMMYFUNCTION("""COMPUTED_VALUE"""),1.0)</f>
        <v>1</v>
      </c>
      <c r="AY258" s="16">
        <f>IFERROR(__xludf.DUMMYFUNCTION("""COMPUTED_VALUE"""),1.0)</f>
        <v>1</v>
      </c>
      <c r="AZ258" s="16">
        <f>IFERROR(__xludf.DUMMYFUNCTION("""COMPUTED_VALUE"""),1.0)</f>
        <v>1</v>
      </c>
      <c r="BA258" s="16">
        <f>IFERROR(__xludf.DUMMYFUNCTION("""COMPUTED_VALUE"""),5.0)</f>
        <v>5</v>
      </c>
      <c r="BB258" s="16">
        <f>IFERROR(__xludf.DUMMYFUNCTION("""COMPUTED_VALUE"""),5.0)</f>
        <v>5</v>
      </c>
      <c r="BC258" s="16">
        <f>IFERROR(__xludf.DUMMYFUNCTION("""COMPUTED_VALUE"""),2.0)</f>
        <v>2</v>
      </c>
      <c r="BD258" s="16">
        <f>IFERROR(__xludf.DUMMYFUNCTION("""COMPUTED_VALUE"""),1.0)</f>
        <v>1</v>
      </c>
      <c r="BE258" s="16">
        <f>IFERROR(__xludf.DUMMYFUNCTION("""COMPUTED_VALUE"""),2.0)</f>
        <v>2</v>
      </c>
      <c r="BF258" s="16">
        <f>IFERROR(__xludf.DUMMYFUNCTION("""COMPUTED_VALUE"""),1.0)</f>
        <v>1</v>
      </c>
      <c r="BG258" s="16">
        <f>IFERROR(__xludf.DUMMYFUNCTION("""COMPUTED_VALUE"""),1.0)</f>
        <v>1</v>
      </c>
      <c r="BH258" s="16">
        <f>IFERROR(__xludf.DUMMYFUNCTION("""COMPUTED_VALUE"""),2.0)</f>
        <v>2</v>
      </c>
      <c r="BI258" s="16">
        <f>IFERROR(__xludf.DUMMYFUNCTION("""COMPUTED_VALUE"""),2.0)</f>
        <v>2</v>
      </c>
      <c r="BJ258" s="16">
        <f>IFERROR(__xludf.DUMMYFUNCTION("""COMPUTED_VALUE"""),4.0)</f>
        <v>4</v>
      </c>
      <c r="BK258" s="16">
        <f>IFERROR(__xludf.DUMMYFUNCTION("""COMPUTED_VALUE"""),5.0)</f>
        <v>5</v>
      </c>
      <c r="BL258" s="16">
        <f>IFERROR(__xludf.DUMMYFUNCTION("""COMPUTED_VALUE"""),5.0)</f>
        <v>5</v>
      </c>
      <c r="BM258" s="16">
        <f>IFERROR(__xludf.DUMMYFUNCTION("""COMPUTED_VALUE"""),0.0)</f>
        <v>0</v>
      </c>
      <c r="BN258" s="16">
        <f>IFERROR(__xludf.DUMMYFUNCTION("""COMPUTED_VALUE"""),0.0)</f>
        <v>0</v>
      </c>
      <c r="BO258" s="16">
        <f>IFERROR(__xludf.DUMMYFUNCTION("""COMPUTED_VALUE"""),0.0)</f>
        <v>0</v>
      </c>
      <c r="BP258" s="16">
        <f>IFERROR(__xludf.DUMMYFUNCTION("""COMPUTED_VALUE"""),0.0)</f>
        <v>0</v>
      </c>
      <c r="BQ258" s="16">
        <f>IFERROR(__xludf.DUMMYFUNCTION("""COMPUTED_VALUE"""),9.0)</f>
        <v>9</v>
      </c>
      <c r="BR258" s="16">
        <f>IFERROR(__xludf.DUMMYFUNCTION("""COMPUTED_VALUE"""),12.0)</f>
        <v>12</v>
      </c>
      <c r="BS258" s="16">
        <f>IFERROR(__xludf.DUMMYFUNCTION("""COMPUTED_VALUE"""),3.0)</f>
        <v>3</v>
      </c>
      <c r="BT258" s="16">
        <f>IFERROR(__xludf.DUMMYFUNCTION("""COMPUTED_VALUE"""),3.0)</f>
        <v>3</v>
      </c>
      <c r="BU258" s="16">
        <f>IFERROR(__xludf.DUMMYFUNCTION("""COMPUTED_VALUE"""),6.0)</f>
        <v>6</v>
      </c>
      <c r="BV258" s="16">
        <f>IFERROR(__xludf.DUMMYFUNCTION("""COMPUTED_VALUE"""),6.0)</f>
        <v>6</v>
      </c>
      <c r="BW258" s="16">
        <f>IFERROR(__xludf.DUMMYFUNCTION("""COMPUTED_VALUE"""),3.0)</f>
        <v>3</v>
      </c>
      <c r="BX258" s="16">
        <f>IFERROR(__xludf.DUMMYFUNCTION("""COMPUTED_VALUE"""),3.0)</f>
        <v>3</v>
      </c>
      <c r="BY258" s="16" t="str">
        <f>IFERROR(__xludf.DUMMYFUNCTION("""COMPUTED_VALUE"""),"R(2)")</f>
        <v>R(2)</v>
      </c>
      <c r="BZ258" s="16" t="str">
        <f>IFERROR(__xludf.DUMMYFUNCTION("""COMPUTED_VALUE"""),"R(2)")</f>
        <v>R(2)</v>
      </c>
      <c r="CA258" s="16" t="str">
        <f>IFERROR(__xludf.DUMMYFUNCTION("""COMPUTED_VALUE"""),"R(2)")</f>
        <v>R(2)</v>
      </c>
      <c r="CB258" s="16"/>
      <c r="CC258" s="16"/>
      <c r="CD258" s="16"/>
      <c r="CE258" s="16">
        <f>IFERROR(__xludf.DUMMYFUNCTION("""COMPUTED_VALUE"""),2.0)</f>
        <v>2</v>
      </c>
      <c r="CF258" s="16"/>
      <c r="CG258" s="16" t="str">
        <f>IFERROR(__xludf.DUMMYFUNCTION("""COMPUTED_VALUE"""),"3-0")</f>
        <v>3-0</v>
      </c>
      <c r="CH258" s="16">
        <f>IFERROR(__xludf.DUMMYFUNCTION("""COMPUTED_VALUE"""),3.0)</f>
        <v>3</v>
      </c>
      <c r="CI258" s="16">
        <f>IFERROR(__xludf.DUMMYFUNCTION("""COMPUTED_VALUE"""),0.0)</f>
        <v>0</v>
      </c>
      <c r="CJ258" s="16">
        <f>IFERROR(__xludf.DUMMYFUNCTION("""COMPUTED_VALUE"""),0.0)</f>
        <v>0</v>
      </c>
      <c r="CK258" s="16">
        <f>IFERROR(__xludf.DUMMYFUNCTION("""COMPUTED_VALUE"""),0.0)</f>
        <v>0</v>
      </c>
      <c r="CL258" s="16" t="str">
        <f>IFERROR(__xludf.DUMMYFUNCTION("""COMPUTED_VALUE"""),"1WR-C")</f>
        <v>1WR-C</v>
      </c>
      <c r="CM258" s="16" t="str">
        <f>IFERROR(__xludf.DUMMYFUNCTION("""COMPUTED_VALUE"""),"E")</f>
        <v>E</v>
      </c>
      <c r="CN258" s="16">
        <f>IFERROR(__xludf.DUMMYFUNCTION("""COMPUTED_VALUE"""),10.0)</f>
        <v>10</v>
      </c>
      <c r="CO258" s="16" t="str">
        <f>IFERROR(__xludf.DUMMYFUNCTION("""COMPUTED_VALUE"""),"C")</f>
        <v>C</v>
      </c>
      <c r="CP258" s="16" t="str">
        <f>IFERROR(__xludf.DUMMYFUNCTION("""COMPUTED_VALUE"""),"1p20")</f>
        <v>1p20</v>
      </c>
      <c r="CQ258" s="16">
        <f>IFERROR(__xludf.DUMMYFUNCTION("""COMPUTED_VALUE"""),-18.0)</f>
        <v>-18</v>
      </c>
      <c r="CR258" s="16">
        <f>IFERROR(__xludf.DUMMYFUNCTION("""COMPUTED_VALUE"""),23.0)</f>
        <v>23</v>
      </c>
      <c r="CS258" s="16">
        <f>IFERROR(__xludf.DUMMYFUNCTION("""COMPUTED_VALUE"""),5.0)</f>
        <v>5</v>
      </c>
      <c r="CT258" s="16">
        <f>IFERROR(__xludf.DUMMYFUNCTION("""COMPUTED_VALUE"""),-18.0)</f>
        <v>-18</v>
      </c>
      <c r="CU258" s="16">
        <f>IFERROR(__xludf.DUMMYFUNCTION("""COMPUTED_VALUE"""),23.0)</f>
        <v>23</v>
      </c>
      <c r="CV258" s="179">
        <f>IFERROR(__xludf.DUMMYFUNCTION("""COMPUTED_VALUE"""),2.666666666666667)</f>
        <v>2.666666667</v>
      </c>
      <c r="CW258" s="179">
        <f>IFERROR(__xludf.DUMMYFUNCTION("""COMPUTED_VALUE"""),4.0)</f>
        <v>4</v>
      </c>
      <c r="CX258" s="179">
        <f>IFERROR(__xludf.DUMMYFUNCTION("""COMPUTED_VALUE"""),3.0)</f>
        <v>3</v>
      </c>
      <c r="CY258" s="16" t="str">
        <f>IFERROR(__xludf.DUMMYFUNCTION("""COMPUTED_VALUE"""),"RP")</f>
        <v>RP</v>
      </c>
      <c r="CZ258" s="16"/>
      <c r="DA258" s="16"/>
      <c r="DB258" s="16"/>
      <c r="DC258" s="16"/>
      <c r="DD258" s="16"/>
      <c r="DE258" s="16"/>
      <c r="DF258" s="16"/>
      <c r="DG258" s="16"/>
      <c r="DH258" s="16"/>
      <c r="DI258" s="16"/>
      <c r="DJ258" s="16"/>
      <c r="DK258" s="16"/>
    </row>
    <row r="259">
      <c r="A259" s="16">
        <f>IFERROR(__xludf.DUMMYFUNCTION("""COMPUTED_VALUE"""),13092.0)</f>
        <v>13092</v>
      </c>
      <c r="B259" s="16" t="str">
        <f>IFERROR(__xludf.DUMMYFUNCTION("""COMPUTED_VALUE"""),"Kyle Gibson")</f>
        <v>Kyle Gibson</v>
      </c>
      <c r="C259" s="153">
        <f>IFERROR(__xludf.DUMMYFUNCTION("""COMPUTED_VALUE"""),0.29)</f>
        <v>0.29</v>
      </c>
      <c r="D259" s="16"/>
      <c r="E259" s="16" t="str">
        <f>IFERROR(__xludf.DUMMYFUNCTION("""COMPUTED_VALUE"""),"R")</f>
        <v>R</v>
      </c>
      <c r="F259" s="16">
        <f>IFERROR(__xludf.DUMMYFUNCTION("""COMPUTED_VALUE"""),170.0)</f>
        <v>170</v>
      </c>
      <c r="G259" s="16">
        <f>IFERROR(__xludf.DUMMYFUNCTION("""COMPUTED_VALUE"""),20.0)</f>
        <v>20</v>
      </c>
      <c r="H259" s="16">
        <f>IFERROR(__xludf.DUMMYFUNCTION("""COMPUTED_VALUE"""),22.0)</f>
        <v>22</v>
      </c>
      <c r="I259" s="16">
        <f>IFERROR(__xludf.DUMMYFUNCTION("""COMPUTED_VALUE"""),-1.0)</f>
        <v>-1</v>
      </c>
      <c r="J259" s="16">
        <f>IFERROR(__xludf.DUMMYFUNCTION("""COMPUTED_VALUE"""),-1.0)</f>
        <v>-1</v>
      </c>
      <c r="K259" s="16">
        <f>IFERROR(__xludf.DUMMYFUNCTION("""COMPUTED_VALUE"""),-3.0)</f>
        <v>-3</v>
      </c>
      <c r="L259" s="16">
        <f>IFERROR(__xludf.DUMMYFUNCTION("""COMPUTED_VALUE"""),-3.0)</f>
        <v>-3</v>
      </c>
      <c r="M259" s="16">
        <f>IFERROR(__xludf.DUMMYFUNCTION("""COMPUTED_VALUE"""),15.0)</f>
        <v>15</v>
      </c>
      <c r="N259" s="16">
        <f>IFERROR(__xludf.DUMMYFUNCTION("""COMPUTED_VALUE"""),7.0)</f>
        <v>7</v>
      </c>
      <c r="O259" s="16">
        <f>IFERROR(__xludf.DUMMYFUNCTION("""COMPUTED_VALUE"""),-2.0)</f>
        <v>-2</v>
      </c>
      <c r="P259" s="16">
        <f>IFERROR(__xludf.DUMMYFUNCTION("""COMPUTED_VALUE"""),1.0)</f>
        <v>1</v>
      </c>
      <c r="Q259" s="16">
        <f>IFERROR(__xludf.DUMMYFUNCTION("""COMPUTED_VALUE"""),-2.0)</f>
        <v>-2</v>
      </c>
      <c r="R259" s="16">
        <f>IFERROR(__xludf.DUMMYFUNCTION("""COMPUTED_VALUE"""),1.0)</f>
        <v>1</v>
      </c>
      <c r="S259" s="16">
        <f>IFERROR(__xludf.DUMMYFUNCTION("""COMPUTED_VALUE"""),19.0)</f>
        <v>19</v>
      </c>
      <c r="T259" s="16">
        <f>IFERROR(__xludf.DUMMYFUNCTION("""COMPUTED_VALUE"""),15.2)</f>
        <v>15.2</v>
      </c>
      <c r="U259" s="16">
        <f>IFERROR(__xludf.DUMMYFUNCTION("""COMPUTED_VALUE"""),-1.0)</f>
        <v>-1</v>
      </c>
      <c r="V259" s="16">
        <f>IFERROR(__xludf.DUMMYFUNCTION("""COMPUTED_VALUE"""),0.0)</f>
        <v>0</v>
      </c>
      <c r="W259" s="16">
        <f>IFERROR(__xludf.DUMMYFUNCTION("""COMPUTED_VALUE"""),-2.0)</f>
        <v>-2</v>
      </c>
      <c r="X259" s="16">
        <f>IFERROR(__xludf.DUMMYFUNCTION("""COMPUTED_VALUE"""),0.0)</f>
        <v>0</v>
      </c>
      <c r="Y259" s="16">
        <f>IFERROR(__xludf.DUMMYFUNCTION("""COMPUTED_VALUE"""),34.0)</f>
        <v>34</v>
      </c>
      <c r="Z259" s="16">
        <f>IFERROR(__xludf.DUMMYFUNCTION("""COMPUTED_VALUE"""),22.2)</f>
        <v>22.2</v>
      </c>
      <c r="AA259" s="16">
        <f>IFERROR(__xludf.DUMMYFUNCTION("""COMPUTED_VALUE"""),-1.0)</f>
        <v>-1</v>
      </c>
      <c r="AB259" s="16">
        <f>IFERROR(__xludf.DUMMYFUNCTION("""COMPUTED_VALUE"""),1.0)</f>
        <v>1</v>
      </c>
      <c r="AC259" s="16">
        <f>IFERROR(__xludf.DUMMYFUNCTION("""COMPUTED_VALUE"""),-5.0)</f>
        <v>-5</v>
      </c>
      <c r="AD259" s="16">
        <f>IFERROR(__xludf.DUMMYFUNCTION("""COMPUTED_VALUE"""),5.0)</f>
        <v>5</v>
      </c>
      <c r="AE259" s="16">
        <f>IFERROR(__xludf.DUMMYFUNCTION("""COMPUTED_VALUE"""),34.6)</f>
        <v>34.6</v>
      </c>
      <c r="AF259" s="16">
        <f>IFERROR(__xludf.DUMMYFUNCTION("""COMPUTED_VALUE"""),23.8)</f>
        <v>23.8</v>
      </c>
      <c r="AG259" s="16">
        <f>IFERROR(__xludf.DUMMYFUNCTION("""COMPUTED_VALUE"""),-1.0)</f>
        <v>-1</v>
      </c>
      <c r="AH259" s="16">
        <f>IFERROR(__xludf.DUMMYFUNCTION("""COMPUTED_VALUE"""),1.0)</f>
        <v>1</v>
      </c>
      <c r="AI259" s="16">
        <f>IFERROR(__xludf.DUMMYFUNCTION("""COMPUTED_VALUE"""),-2.0)</f>
        <v>-2</v>
      </c>
      <c r="AJ259" s="16">
        <f>IFERROR(__xludf.DUMMYFUNCTION("""COMPUTED_VALUE"""),2.0)</f>
        <v>2</v>
      </c>
      <c r="AK259" s="16">
        <f>IFERROR(__xludf.DUMMYFUNCTION("""COMPUTED_VALUE"""),16.8)</f>
        <v>16.8</v>
      </c>
      <c r="AL259" s="16">
        <f>IFERROR(__xludf.DUMMYFUNCTION("""COMPUTED_VALUE"""),13.0)</f>
        <v>13</v>
      </c>
      <c r="AM259" s="16">
        <f>IFERROR(__xludf.DUMMYFUNCTION("""COMPUTED_VALUE"""),-1.0)</f>
        <v>-1</v>
      </c>
      <c r="AN259" s="16">
        <f>IFERROR(__xludf.DUMMYFUNCTION("""COMPUTED_VALUE"""),0.0)</f>
        <v>0</v>
      </c>
      <c r="AO259" s="16">
        <f>IFERROR(__xludf.DUMMYFUNCTION("""COMPUTED_VALUE"""),-1.0)</f>
        <v>-1</v>
      </c>
      <c r="AP259" s="16">
        <f>IFERROR(__xludf.DUMMYFUNCTION("""COMPUTED_VALUE"""),0.0)</f>
        <v>0</v>
      </c>
      <c r="AQ259" s="16">
        <f>IFERROR(__xludf.DUMMYFUNCTION("""COMPUTED_VALUE"""),25.8)</f>
        <v>25.8</v>
      </c>
      <c r="AR259" s="16">
        <f>IFERROR(__xludf.DUMMYFUNCTION("""COMPUTED_VALUE"""),15.0)</f>
        <v>15</v>
      </c>
      <c r="AS259" s="16">
        <f>IFERROR(__xludf.DUMMYFUNCTION("""COMPUTED_VALUE"""),-1.0)</f>
        <v>-1</v>
      </c>
      <c r="AT259" s="16">
        <f>IFERROR(__xludf.DUMMYFUNCTION("""COMPUTED_VALUE"""),1.0)</f>
        <v>1</v>
      </c>
      <c r="AU259" s="16">
        <f>IFERROR(__xludf.DUMMYFUNCTION("""COMPUTED_VALUE"""),-2.0)</f>
        <v>-2</v>
      </c>
      <c r="AV259" s="16">
        <f>IFERROR(__xludf.DUMMYFUNCTION("""COMPUTED_VALUE"""),2.0)</f>
        <v>2</v>
      </c>
      <c r="AW259" s="16">
        <f>IFERROR(__xludf.DUMMYFUNCTION("""COMPUTED_VALUE"""),2.2)</f>
        <v>2.2</v>
      </c>
      <c r="AX259" s="16">
        <f>IFERROR(__xludf.DUMMYFUNCTION("""COMPUTED_VALUE"""),2.2)</f>
        <v>2.2</v>
      </c>
      <c r="AY259" s="16">
        <f>IFERROR(__xludf.DUMMYFUNCTION("""COMPUTED_VALUE"""),0.0)</f>
        <v>0</v>
      </c>
      <c r="AZ259" s="16">
        <f>IFERROR(__xludf.DUMMYFUNCTION("""COMPUTED_VALUE"""),0.0)</f>
        <v>0</v>
      </c>
      <c r="BA259" s="16">
        <f>IFERROR(__xludf.DUMMYFUNCTION("""COMPUTED_VALUE"""),0.0)</f>
        <v>0</v>
      </c>
      <c r="BB259" s="16">
        <f>IFERROR(__xludf.DUMMYFUNCTION("""COMPUTED_VALUE"""),0.0)</f>
        <v>0</v>
      </c>
      <c r="BC259" s="16">
        <f>IFERROR(__xludf.DUMMYFUNCTION("""COMPUTED_VALUE"""),4.0)</f>
        <v>4</v>
      </c>
      <c r="BD259" s="16">
        <f>IFERROR(__xludf.DUMMYFUNCTION("""COMPUTED_VALUE"""),3.0)</f>
        <v>3</v>
      </c>
      <c r="BE259" s="16">
        <f>IFERROR(__xludf.DUMMYFUNCTION("""COMPUTED_VALUE"""),4.0)</f>
        <v>4</v>
      </c>
      <c r="BF259" s="16">
        <f>IFERROR(__xludf.DUMMYFUNCTION("""COMPUTED_VALUE"""),3.0)</f>
        <v>3</v>
      </c>
      <c r="BG259" s="16">
        <f>IFERROR(__xludf.DUMMYFUNCTION("""COMPUTED_VALUE"""),-1.0)</f>
        <v>-1</v>
      </c>
      <c r="BH259" s="16">
        <f>IFERROR(__xludf.DUMMYFUNCTION("""COMPUTED_VALUE"""),0.0)</f>
        <v>0</v>
      </c>
      <c r="BI259" s="16">
        <f>IFERROR(__xludf.DUMMYFUNCTION("""COMPUTED_VALUE"""),-2.0)</f>
        <v>-2</v>
      </c>
      <c r="BJ259" s="16">
        <f>IFERROR(__xludf.DUMMYFUNCTION("""COMPUTED_VALUE"""),0.0)</f>
        <v>0</v>
      </c>
      <c r="BK259" s="16">
        <f>IFERROR(__xludf.DUMMYFUNCTION("""COMPUTED_VALUE"""),5.0)</f>
        <v>5</v>
      </c>
      <c r="BL259" s="16">
        <f>IFERROR(__xludf.DUMMYFUNCTION("""COMPUTED_VALUE"""),5.0)</f>
        <v>5</v>
      </c>
      <c r="BM259" s="16">
        <f>IFERROR(__xludf.DUMMYFUNCTION("""COMPUTED_VALUE"""),0.0)</f>
        <v>0</v>
      </c>
      <c r="BN259" s="16">
        <f>IFERROR(__xludf.DUMMYFUNCTION("""COMPUTED_VALUE"""),0.0)</f>
        <v>0</v>
      </c>
      <c r="BO259" s="16">
        <f>IFERROR(__xludf.DUMMYFUNCTION("""COMPUTED_VALUE"""),0.0)</f>
        <v>0</v>
      </c>
      <c r="BP259" s="16">
        <f>IFERROR(__xludf.DUMMYFUNCTION("""COMPUTED_VALUE"""),0.0)</f>
        <v>0</v>
      </c>
      <c r="BQ259" s="16">
        <f>IFERROR(__xludf.DUMMYFUNCTION("""COMPUTED_VALUE"""),10.0)</f>
        <v>10</v>
      </c>
      <c r="BR259" s="16">
        <f>IFERROR(__xludf.DUMMYFUNCTION("""COMPUTED_VALUE"""),12.0)</f>
        <v>12</v>
      </c>
      <c r="BS259" s="16">
        <f>IFERROR(__xludf.DUMMYFUNCTION("""COMPUTED_VALUE"""),3.0)</f>
        <v>3</v>
      </c>
      <c r="BT259" s="16">
        <f>IFERROR(__xludf.DUMMYFUNCTION("""COMPUTED_VALUE"""),3.0)</f>
        <v>3</v>
      </c>
      <c r="BU259" s="16">
        <f>IFERROR(__xludf.DUMMYFUNCTION("""COMPUTED_VALUE"""),6.0)</f>
        <v>6</v>
      </c>
      <c r="BV259" s="16">
        <f>IFERROR(__xludf.DUMMYFUNCTION("""COMPUTED_VALUE"""),6.0)</f>
        <v>6</v>
      </c>
      <c r="BW259" s="16">
        <f>IFERROR(__xludf.DUMMYFUNCTION("""COMPUTED_VALUE"""),-2.0)</f>
        <v>-2</v>
      </c>
      <c r="BX259" s="16">
        <f>IFERROR(__xludf.DUMMYFUNCTION("""COMPUTED_VALUE"""),-2.0)</f>
        <v>-2</v>
      </c>
      <c r="BY259" s="16" t="str">
        <f>IFERROR(__xludf.DUMMYFUNCTION("""COMPUTED_VALUE"""),"S(6)")</f>
        <v>S(6)</v>
      </c>
      <c r="BZ259" s="16" t="str">
        <f>IFERROR(__xludf.DUMMYFUNCTION("""COMPUTED_VALUE"""),"S(6)")</f>
        <v>S(6)</v>
      </c>
      <c r="CA259" s="16" t="str">
        <f>IFERROR(__xludf.DUMMYFUNCTION("""COMPUTED_VALUE"""),"S(6)")</f>
        <v>S(6)</v>
      </c>
      <c r="CB259" s="16"/>
      <c r="CC259" s="16"/>
      <c r="CD259" s="16">
        <f>IFERROR(__xludf.DUMMYFUNCTION("""COMPUTED_VALUE"""),6.0)</f>
        <v>6</v>
      </c>
      <c r="CE259" s="16"/>
      <c r="CF259" s="16"/>
      <c r="CG259" s="16" t="str">
        <f>IFERROR(__xludf.DUMMYFUNCTION("""COMPUTED_VALUE"""),"3-0")</f>
        <v>3-0</v>
      </c>
      <c r="CH259" s="16">
        <f>IFERROR(__xludf.DUMMYFUNCTION("""COMPUTED_VALUE"""),3.0)</f>
        <v>3</v>
      </c>
      <c r="CI259" s="16">
        <f>IFERROR(__xludf.DUMMYFUNCTION("""COMPUTED_VALUE"""),0.0)</f>
        <v>0</v>
      </c>
      <c r="CJ259" s="16">
        <f>IFERROR(__xludf.DUMMYFUNCTION("""COMPUTED_VALUE"""),0.0)</f>
        <v>0</v>
      </c>
      <c r="CK259" s="16">
        <f>IFERROR(__xludf.DUMMYFUNCTION("""COMPUTED_VALUE"""),6.0)</f>
        <v>6</v>
      </c>
      <c r="CL259" s="16" t="str">
        <f>IFERROR(__xludf.DUMMYFUNCTION("""COMPUTED_VALUE"""),"1WR-C")</f>
        <v>1WR-C</v>
      </c>
      <c r="CM259" s="16" t="str">
        <f>IFERROR(__xludf.DUMMYFUNCTION("""COMPUTED_VALUE"""),"E")</f>
        <v>E</v>
      </c>
      <c r="CN259" s="16">
        <f>IFERROR(__xludf.DUMMYFUNCTION("""COMPUTED_VALUE"""),10.0)</f>
        <v>10</v>
      </c>
      <c r="CO259" s="16" t="str">
        <f>IFERROR(__xludf.DUMMYFUNCTION("""COMPUTED_VALUE"""),"C")</f>
        <v>C</v>
      </c>
      <c r="CP259" s="16" t="str">
        <f>IFERROR(__xludf.DUMMYFUNCTION("""COMPUTED_VALUE"""),"1p70")</f>
        <v>1p70</v>
      </c>
      <c r="CQ259" s="16">
        <f>IFERROR(__xludf.DUMMYFUNCTION("""COMPUTED_VALUE"""),-13.0)</f>
        <v>-13</v>
      </c>
      <c r="CR259" s="16">
        <f>IFERROR(__xludf.DUMMYFUNCTION("""COMPUTED_VALUE"""),13.0)</f>
        <v>13</v>
      </c>
      <c r="CS259" s="16">
        <f>IFERROR(__xludf.DUMMYFUNCTION("""COMPUTED_VALUE"""),0.0)</f>
        <v>0</v>
      </c>
      <c r="CT259" s="16">
        <f>IFERROR(__xludf.DUMMYFUNCTION("""COMPUTED_VALUE"""),-13.0)</f>
        <v>-13</v>
      </c>
      <c r="CU259" s="16">
        <f>IFERROR(__xludf.DUMMYFUNCTION("""COMPUTED_VALUE"""),13.0)</f>
        <v>13</v>
      </c>
      <c r="CV259" s="179">
        <f>IFERROR(__xludf.DUMMYFUNCTION("""COMPUTED_VALUE"""),2.666666666666667)</f>
        <v>2.666666667</v>
      </c>
      <c r="CW259" s="179">
        <f>IFERROR(__xludf.DUMMYFUNCTION("""COMPUTED_VALUE"""),4.0)</f>
        <v>4</v>
      </c>
      <c r="CX259" s="179">
        <f>IFERROR(__xludf.DUMMYFUNCTION("""COMPUTED_VALUE"""),3.0)</f>
        <v>3</v>
      </c>
      <c r="CY259" s="16" t="str">
        <f>IFERROR(__xludf.DUMMYFUNCTION("""COMPUTED_VALUE"""),"SP")</f>
        <v>SP</v>
      </c>
      <c r="CZ259" s="16"/>
      <c r="DA259" s="16"/>
      <c r="DB259" s="16"/>
      <c r="DC259" s="16"/>
      <c r="DD259" s="16"/>
      <c r="DE259" s="16"/>
      <c r="DF259" s="16"/>
      <c r="DG259" s="16"/>
      <c r="DH259" s="16"/>
      <c r="DI259" s="16"/>
      <c r="DJ259" s="16"/>
      <c r="DK259" s="16"/>
    </row>
    <row r="260">
      <c r="A260" s="16">
        <f>IFERROR(__xludf.DUMMYFUNCTION("""COMPUTED_VALUE"""),12758.0)</f>
        <v>12758</v>
      </c>
      <c r="B260" s="16" t="str">
        <f>IFERROR(__xludf.DUMMYFUNCTION("""COMPUTED_VALUE"""),"DJ Herz")</f>
        <v>DJ Herz</v>
      </c>
      <c r="C260" s="153">
        <f>IFERROR(__xludf.DUMMYFUNCTION("""COMPUTED_VALUE"""),0.59)</f>
        <v>0.59</v>
      </c>
      <c r="D260" s="16"/>
      <c r="E260" s="16" t="str">
        <f>IFERROR(__xludf.DUMMYFUNCTION("""COMPUTED_VALUE"""),"L")</f>
        <v>L</v>
      </c>
      <c r="F260" s="16">
        <f>IFERROR(__xludf.DUMMYFUNCTION("""COMPUTED_VALUE"""),89.0)</f>
        <v>89</v>
      </c>
      <c r="G260" s="16">
        <f>IFERROR(__xludf.DUMMYFUNCTION("""COMPUTED_VALUE"""),30.0)</f>
        <v>30</v>
      </c>
      <c r="H260" s="16">
        <f>IFERROR(__xludf.DUMMYFUNCTION("""COMPUTED_VALUE"""),38.0)</f>
        <v>38</v>
      </c>
      <c r="I260" s="16">
        <f>IFERROR(__xludf.DUMMYFUNCTION("""COMPUTED_VALUE"""),0.0)</f>
        <v>0</v>
      </c>
      <c r="J260" s="16">
        <f>IFERROR(__xludf.DUMMYFUNCTION("""COMPUTED_VALUE"""),1.0)</f>
        <v>1</v>
      </c>
      <c r="K260" s="16">
        <f>IFERROR(__xludf.DUMMYFUNCTION("""COMPUTED_VALUE"""),0.0)</f>
        <v>0</v>
      </c>
      <c r="L260" s="16">
        <f>IFERROR(__xludf.DUMMYFUNCTION("""COMPUTED_VALUE"""),3.0)</f>
        <v>3</v>
      </c>
      <c r="M260" s="16">
        <f>IFERROR(__xludf.DUMMYFUNCTION("""COMPUTED_VALUE"""),11.0)</f>
        <v>11</v>
      </c>
      <c r="N260" s="16">
        <f>IFERROR(__xludf.DUMMYFUNCTION("""COMPUTED_VALUE"""),12.0)</f>
        <v>12</v>
      </c>
      <c r="O260" s="16">
        <f>IFERROR(__xludf.DUMMYFUNCTION("""COMPUTED_VALUE"""),-1.0)</f>
        <v>-1</v>
      </c>
      <c r="P260" s="16">
        <f>IFERROR(__xludf.DUMMYFUNCTION("""COMPUTED_VALUE"""),-2.0)</f>
        <v>-2</v>
      </c>
      <c r="Q260" s="16">
        <f>IFERROR(__xludf.DUMMYFUNCTION("""COMPUTED_VALUE"""),-1.0)</f>
        <v>-1</v>
      </c>
      <c r="R260" s="16">
        <f>IFERROR(__xludf.DUMMYFUNCTION("""COMPUTED_VALUE"""),-2.0)</f>
        <v>-2</v>
      </c>
      <c r="S260" s="16">
        <f>IFERROR(__xludf.DUMMYFUNCTION("""COMPUTED_VALUE"""),12.8)</f>
        <v>12.8</v>
      </c>
      <c r="T260" s="16">
        <f>IFERROR(__xludf.DUMMYFUNCTION("""COMPUTED_VALUE"""),9.9)</f>
        <v>9.9</v>
      </c>
      <c r="U260" s="16">
        <f>IFERROR(__xludf.DUMMYFUNCTION("""COMPUTED_VALUE"""),0.0)</f>
        <v>0</v>
      </c>
      <c r="V260" s="16">
        <f>IFERROR(__xludf.DUMMYFUNCTION("""COMPUTED_VALUE"""),1.0)</f>
        <v>1</v>
      </c>
      <c r="W260" s="16">
        <f>IFERROR(__xludf.DUMMYFUNCTION("""COMPUTED_VALUE"""),0.0)</f>
        <v>0</v>
      </c>
      <c r="X260" s="16">
        <f>IFERROR(__xludf.DUMMYFUNCTION("""COMPUTED_VALUE"""),2.0)</f>
        <v>2</v>
      </c>
      <c r="Y260" s="16">
        <f>IFERROR(__xludf.DUMMYFUNCTION("""COMPUTED_VALUE"""),23.8)</f>
        <v>23.8</v>
      </c>
      <c r="Z260" s="16">
        <f>IFERROR(__xludf.DUMMYFUNCTION("""COMPUTED_VALUE"""),21.9)</f>
        <v>21.9</v>
      </c>
      <c r="AA260" s="16">
        <f>IFERROR(__xludf.DUMMYFUNCTION("""COMPUTED_VALUE"""),0.0)</f>
        <v>0</v>
      </c>
      <c r="AB260" s="16">
        <f>IFERROR(__xludf.DUMMYFUNCTION("""COMPUTED_VALUE"""),1.0)</f>
        <v>1</v>
      </c>
      <c r="AC260" s="16">
        <f>IFERROR(__xludf.DUMMYFUNCTION("""COMPUTED_VALUE"""),0.0)</f>
        <v>0</v>
      </c>
      <c r="AD260" s="16">
        <f>IFERROR(__xludf.DUMMYFUNCTION("""COMPUTED_VALUE"""),5.0)</f>
        <v>5</v>
      </c>
      <c r="AE260" s="16">
        <f>IFERROR(__xludf.DUMMYFUNCTION("""COMPUTED_VALUE"""),21.9)</f>
        <v>21.9</v>
      </c>
      <c r="AF260" s="16">
        <f>IFERROR(__xludf.DUMMYFUNCTION("""COMPUTED_VALUE"""),17.1)</f>
        <v>17.1</v>
      </c>
      <c r="AG260" s="16">
        <f>IFERROR(__xludf.DUMMYFUNCTION("""COMPUTED_VALUE"""),1.0)</f>
        <v>1</v>
      </c>
      <c r="AH260" s="16">
        <f>IFERROR(__xludf.DUMMYFUNCTION("""COMPUTED_VALUE"""),1.0)</f>
        <v>1</v>
      </c>
      <c r="AI260" s="16">
        <f>IFERROR(__xludf.DUMMYFUNCTION("""COMPUTED_VALUE"""),2.0)</f>
        <v>2</v>
      </c>
      <c r="AJ260" s="16">
        <f>IFERROR(__xludf.DUMMYFUNCTION("""COMPUTED_VALUE"""),2.0)</f>
        <v>2</v>
      </c>
      <c r="AK260" s="16">
        <f>IFERROR(__xludf.DUMMYFUNCTION("""COMPUTED_VALUE"""),10.0)</f>
        <v>10</v>
      </c>
      <c r="AL260" s="16">
        <f>IFERROR(__xludf.DUMMYFUNCTION("""COMPUTED_VALUE"""),8.3)</f>
        <v>8.3</v>
      </c>
      <c r="AM260" s="16">
        <f>IFERROR(__xludf.DUMMYFUNCTION("""COMPUTED_VALUE"""),1.0)</f>
        <v>1</v>
      </c>
      <c r="AN260" s="16">
        <f>IFERROR(__xludf.DUMMYFUNCTION("""COMPUTED_VALUE"""),1.0)</f>
        <v>1</v>
      </c>
      <c r="AO260" s="16">
        <f>IFERROR(__xludf.DUMMYFUNCTION("""COMPUTED_VALUE"""),1.0)</f>
        <v>1</v>
      </c>
      <c r="AP260" s="16">
        <f>IFERROR(__xludf.DUMMYFUNCTION("""COMPUTED_VALUE"""),1.0)</f>
        <v>1</v>
      </c>
      <c r="AQ260" s="16">
        <f>IFERROR(__xludf.DUMMYFUNCTION("""COMPUTED_VALUE"""),10.7)</f>
        <v>10.7</v>
      </c>
      <c r="AR260" s="16">
        <f>IFERROR(__xludf.DUMMYFUNCTION("""COMPUTED_VALUE"""),10.700000000000001)</f>
        <v>10.7</v>
      </c>
      <c r="AS260" s="16">
        <f>IFERROR(__xludf.DUMMYFUNCTION("""COMPUTED_VALUE"""),1.0)</f>
        <v>1</v>
      </c>
      <c r="AT260" s="16">
        <f>IFERROR(__xludf.DUMMYFUNCTION("""COMPUTED_VALUE"""),1.0)</f>
        <v>1</v>
      </c>
      <c r="AU260" s="16">
        <f>IFERROR(__xludf.DUMMYFUNCTION("""COMPUTED_VALUE"""),2.0)</f>
        <v>2</v>
      </c>
      <c r="AV260" s="16">
        <f>IFERROR(__xludf.DUMMYFUNCTION("""COMPUTED_VALUE"""),2.0)</f>
        <v>2</v>
      </c>
      <c r="AW260" s="16">
        <f>IFERROR(__xludf.DUMMYFUNCTION("""COMPUTED_VALUE"""),2.8)</f>
        <v>2.8</v>
      </c>
      <c r="AX260" s="16">
        <f>IFERROR(__xludf.DUMMYFUNCTION("""COMPUTED_VALUE"""),1.6)</f>
        <v>1.6</v>
      </c>
      <c r="AY260" s="16">
        <f>IFERROR(__xludf.DUMMYFUNCTION("""COMPUTED_VALUE"""),-1.0)</f>
        <v>-1</v>
      </c>
      <c r="AZ260" s="16">
        <f>IFERROR(__xludf.DUMMYFUNCTION("""COMPUTED_VALUE"""),1.0)</f>
        <v>1</v>
      </c>
      <c r="BA260" s="16">
        <f>IFERROR(__xludf.DUMMYFUNCTION("""COMPUTED_VALUE"""),-5.0)</f>
        <v>-5</v>
      </c>
      <c r="BB260" s="16">
        <f>IFERROR(__xludf.DUMMYFUNCTION("""COMPUTED_VALUE"""),5.0)</f>
        <v>5</v>
      </c>
      <c r="BC260" s="16">
        <f>IFERROR(__xludf.DUMMYFUNCTION("""COMPUTED_VALUE"""),4.0)</f>
        <v>4</v>
      </c>
      <c r="BD260" s="16">
        <f>IFERROR(__xludf.DUMMYFUNCTION("""COMPUTED_VALUE"""),2.0)</f>
        <v>2</v>
      </c>
      <c r="BE260" s="16">
        <f>IFERROR(__xludf.DUMMYFUNCTION("""COMPUTED_VALUE"""),4.0)</f>
        <v>4</v>
      </c>
      <c r="BF260" s="16">
        <f>IFERROR(__xludf.DUMMYFUNCTION("""COMPUTED_VALUE"""),2.0)</f>
        <v>2</v>
      </c>
      <c r="BG260" s="16">
        <f>IFERROR(__xludf.DUMMYFUNCTION("""COMPUTED_VALUE"""),-1.0)</f>
        <v>-1</v>
      </c>
      <c r="BH260" s="16">
        <f>IFERROR(__xludf.DUMMYFUNCTION("""COMPUTED_VALUE"""),1.0)</f>
        <v>1</v>
      </c>
      <c r="BI260" s="16">
        <f>IFERROR(__xludf.DUMMYFUNCTION("""COMPUTED_VALUE"""),-2.0)</f>
        <v>-2</v>
      </c>
      <c r="BJ260" s="16">
        <f>IFERROR(__xludf.DUMMYFUNCTION("""COMPUTED_VALUE"""),2.0)</f>
        <v>2</v>
      </c>
      <c r="BK260" s="16">
        <f>IFERROR(__xludf.DUMMYFUNCTION("""COMPUTED_VALUE"""),5.0)</f>
        <v>5</v>
      </c>
      <c r="BL260" s="16">
        <f>IFERROR(__xludf.DUMMYFUNCTION("""COMPUTED_VALUE"""),5.0)</f>
        <v>5</v>
      </c>
      <c r="BM260" s="16">
        <f>IFERROR(__xludf.DUMMYFUNCTION("""COMPUTED_VALUE"""),0.0)</f>
        <v>0</v>
      </c>
      <c r="BN260" s="16">
        <f>IFERROR(__xludf.DUMMYFUNCTION("""COMPUTED_VALUE"""),0.0)</f>
        <v>0</v>
      </c>
      <c r="BO260" s="16">
        <f>IFERROR(__xludf.DUMMYFUNCTION("""COMPUTED_VALUE"""),0.0)</f>
        <v>0</v>
      </c>
      <c r="BP260" s="16">
        <f>IFERROR(__xludf.DUMMYFUNCTION("""COMPUTED_VALUE"""),0.0)</f>
        <v>0</v>
      </c>
      <c r="BQ260" s="16">
        <f>IFERROR(__xludf.DUMMYFUNCTION("""COMPUTED_VALUE"""),0.0)</f>
        <v>0</v>
      </c>
      <c r="BR260" s="16">
        <f>IFERROR(__xludf.DUMMYFUNCTION("""COMPUTED_VALUE"""),0.0)</f>
        <v>0</v>
      </c>
      <c r="BS260" s="16">
        <f>IFERROR(__xludf.DUMMYFUNCTION("""COMPUTED_VALUE"""),-3.0)</f>
        <v>-3</v>
      </c>
      <c r="BT260" s="16">
        <f>IFERROR(__xludf.DUMMYFUNCTION("""COMPUTED_VALUE"""),-3.0)</f>
        <v>-3</v>
      </c>
      <c r="BU260" s="16">
        <f>IFERROR(__xludf.DUMMYFUNCTION("""COMPUTED_VALUE"""),-6.0)</f>
        <v>-6</v>
      </c>
      <c r="BV260" s="16">
        <f>IFERROR(__xludf.DUMMYFUNCTION("""COMPUTED_VALUE"""),-6.0)</f>
        <v>-6</v>
      </c>
      <c r="BW260" s="16">
        <f>IFERROR(__xludf.DUMMYFUNCTION("""COMPUTED_VALUE"""),-4.0)</f>
        <v>-4</v>
      </c>
      <c r="BX260" s="16">
        <f>IFERROR(__xludf.DUMMYFUNCTION("""COMPUTED_VALUE"""),-4.0)</f>
        <v>-4</v>
      </c>
      <c r="BY260" s="16" t="str">
        <f>IFERROR(__xludf.DUMMYFUNCTION("""COMPUTED_VALUE"""),"S(5)")</f>
        <v>S(5)</v>
      </c>
      <c r="BZ260" s="16" t="str">
        <f>IFERROR(__xludf.DUMMYFUNCTION("""COMPUTED_VALUE"""),"S(5)")</f>
        <v>S(5)</v>
      </c>
      <c r="CA260" s="16" t="str">
        <f>IFERROR(__xludf.DUMMYFUNCTION("""COMPUTED_VALUE"""),"S(5)")</f>
        <v>S(5)</v>
      </c>
      <c r="CB260" s="16"/>
      <c r="CC260" s="16"/>
      <c r="CD260" s="16">
        <f>IFERROR(__xludf.DUMMYFUNCTION("""COMPUTED_VALUE"""),5.0)</f>
        <v>5</v>
      </c>
      <c r="CE260" s="16"/>
      <c r="CF260" s="16"/>
      <c r="CG260" s="16" t="str">
        <f>IFERROR(__xludf.DUMMYFUNCTION("""COMPUTED_VALUE"""),"3-0")</f>
        <v>3-0</v>
      </c>
      <c r="CH260" s="16">
        <f>IFERROR(__xludf.DUMMYFUNCTION("""COMPUTED_VALUE"""),3.0)</f>
        <v>3</v>
      </c>
      <c r="CI260" s="16">
        <f>IFERROR(__xludf.DUMMYFUNCTION("""COMPUTED_VALUE"""),0.0)</f>
        <v>0</v>
      </c>
      <c r="CJ260" s="16">
        <f>IFERROR(__xludf.DUMMYFUNCTION("""COMPUTED_VALUE"""),4.0)</f>
        <v>4</v>
      </c>
      <c r="CK260" s="16">
        <f>IFERROR(__xludf.DUMMYFUNCTION("""COMPUTED_VALUE"""),12.0)</f>
        <v>12</v>
      </c>
      <c r="CL260" s="16" t="str">
        <f>IFERROR(__xludf.DUMMYFUNCTION("""COMPUTED_VALUE"""),"1WR-C")</f>
        <v>1WR-C</v>
      </c>
      <c r="CM260" s="16" t="str">
        <f>IFERROR(__xludf.DUMMYFUNCTION("""COMPUTED_VALUE"""),"E")</f>
        <v>E</v>
      </c>
      <c r="CN260" s="16">
        <f>IFERROR(__xludf.DUMMYFUNCTION("""COMPUTED_VALUE"""),10.0)</f>
        <v>10</v>
      </c>
      <c r="CO260" s="16" t="str">
        <f>IFERROR(__xludf.DUMMYFUNCTION("""COMPUTED_VALUE"""),"C")</f>
        <v>C</v>
      </c>
      <c r="CP260" s="16" t="str">
        <f>IFERROR(__xludf.DUMMYFUNCTION("""COMPUTED_VALUE"""),"1p50")</f>
        <v>1p50</v>
      </c>
      <c r="CQ260" s="16">
        <f>IFERROR(__xludf.DUMMYFUNCTION("""COMPUTED_VALUE"""),-9.0)</f>
        <v>-9</v>
      </c>
      <c r="CR260" s="16">
        <f>IFERROR(__xludf.DUMMYFUNCTION("""COMPUTED_VALUE"""),14.0)</f>
        <v>14</v>
      </c>
      <c r="CS260" s="16">
        <f>IFERROR(__xludf.DUMMYFUNCTION("""COMPUTED_VALUE"""),5.0)</f>
        <v>5</v>
      </c>
      <c r="CT260" s="16">
        <f>IFERROR(__xludf.DUMMYFUNCTION("""COMPUTED_VALUE"""),-9.0)</f>
        <v>-9</v>
      </c>
      <c r="CU260" s="16">
        <f>IFERROR(__xludf.DUMMYFUNCTION("""COMPUTED_VALUE"""),14.0)</f>
        <v>14</v>
      </c>
      <c r="CV260" s="179">
        <f>IFERROR(__xludf.DUMMYFUNCTION("""COMPUTED_VALUE"""),2.666666666666667)</f>
        <v>2.666666667</v>
      </c>
      <c r="CW260" s="179">
        <f>IFERROR(__xludf.DUMMYFUNCTION("""COMPUTED_VALUE"""),4.0)</f>
        <v>4</v>
      </c>
      <c r="CX260" s="179">
        <f>IFERROR(__xludf.DUMMYFUNCTION("""COMPUTED_VALUE"""),0.0)</f>
        <v>0</v>
      </c>
      <c r="CY260" s="16" t="str">
        <f>IFERROR(__xludf.DUMMYFUNCTION("""COMPUTED_VALUE"""),"SP")</f>
        <v>SP</v>
      </c>
      <c r="CZ260" s="16"/>
      <c r="DA260" s="16"/>
      <c r="DB260" s="16"/>
      <c r="DC260" s="16"/>
      <c r="DD260" s="16"/>
      <c r="DE260" s="16"/>
      <c r="DF260" s="16"/>
      <c r="DG260" s="16"/>
      <c r="DH260" s="16"/>
      <c r="DI260" s="16"/>
      <c r="DJ260" s="16"/>
      <c r="DK260" s="16"/>
    </row>
    <row r="261">
      <c r="A261" s="16">
        <f>IFERROR(__xludf.DUMMYFUNCTION("""COMPUTED_VALUE"""),12891.0)</f>
        <v>12891</v>
      </c>
      <c r="B261" s="16" t="str">
        <f>IFERROR(__xludf.DUMMYFUNCTION("""COMPUTED_VALUE"""),"Jack Kochanowicz")</f>
        <v>Jack Kochanowicz</v>
      </c>
      <c r="C261" s="153">
        <f>IFERROR(__xludf.DUMMYFUNCTION("""COMPUTED_VALUE"""),0.96)</f>
        <v>0.96</v>
      </c>
      <c r="D261" s="16"/>
      <c r="E261" s="16" t="str">
        <f>IFERROR(__xludf.DUMMYFUNCTION("""COMPUTED_VALUE"""),"R")</f>
        <v>R</v>
      </c>
      <c r="F261" s="16">
        <f>IFERROR(__xludf.DUMMYFUNCTION("""COMPUTED_VALUE"""),65.0)</f>
        <v>65</v>
      </c>
      <c r="G261" s="16">
        <f>IFERROR(__xludf.DUMMYFUNCTION("""COMPUTED_VALUE"""),0.0)</f>
        <v>0</v>
      </c>
      <c r="H261" s="16">
        <f>IFERROR(__xludf.DUMMYFUNCTION("""COMPUTED_VALUE"""),0.0)</f>
        <v>0</v>
      </c>
      <c r="I261" s="16">
        <f>IFERROR(__xludf.DUMMYFUNCTION("""COMPUTED_VALUE"""),-3.0)</f>
        <v>-3</v>
      </c>
      <c r="J261" s="16">
        <f>IFERROR(__xludf.DUMMYFUNCTION("""COMPUTED_VALUE"""),-3.0)</f>
        <v>-3</v>
      </c>
      <c r="K261" s="16">
        <f>IFERROR(__xludf.DUMMYFUNCTION("""COMPUTED_VALUE"""),-9.0)</f>
        <v>-9</v>
      </c>
      <c r="L261" s="16">
        <f>IFERROR(__xludf.DUMMYFUNCTION("""COMPUTED_VALUE"""),-9.0)</f>
        <v>-9</v>
      </c>
      <c r="M261" s="16">
        <f>IFERROR(__xludf.DUMMYFUNCTION("""COMPUTED_VALUE"""),0.0)</f>
        <v>0</v>
      </c>
      <c r="N261" s="16">
        <f>IFERROR(__xludf.DUMMYFUNCTION("""COMPUTED_VALUE"""),0.0)</f>
        <v>0</v>
      </c>
      <c r="O261" s="16">
        <f>IFERROR(__xludf.DUMMYFUNCTION("""COMPUTED_VALUE"""),3.0)</f>
        <v>3</v>
      </c>
      <c r="P261" s="16">
        <f>IFERROR(__xludf.DUMMYFUNCTION("""COMPUTED_VALUE"""),3.0)</f>
        <v>3</v>
      </c>
      <c r="Q261" s="16">
        <f>IFERROR(__xludf.DUMMYFUNCTION("""COMPUTED_VALUE"""),3.0)</f>
        <v>3</v>
      </c>
      <c r="R261" s="16">
        <f>IFERROR(__xludf.DUMMYFUNCTION("""COMPUTED_VALUE"""),3.0)</f>
        <v>3</v>
      </c>
      <c r="S261" s="16">
        <f>IFERROR(__xludf.DUMMYFUNCTION("""COMPUTED_VALUE"""),28.5)</f>
        <v>28.5</v>
      </c>
      <c r="T261" s="16">
        <f>IFERROR(__xludf.DUMMYFUNCTION("""COMPUTED_VALUE"""),18.2)</f>
        <v>18.2</v>
      </c>
      <c r="U261" s="16">
        <f>IFERROR(__xludf.DUMMYFUNCTION("""COMPUTED_VALUE"""),-2.0)</f>
        <v>-2</v>
      </c>
      <c r="V261" s="16">
        <f>IFERROR(__xludf.DUMMYFUNCTION("""COMPUTED_VALUE"""),0.0)</f>
        <v>0</v>
      </c>
      <c r="W261" s="16">
        <f>IFERROR(__xludf.DUMMYFUNCTION("""COMPUTED_VALUE"""),-4.0)</f>
        <v>-4</v>
      </c>
      <c r="X261" s="16">
        <f>IFERROR(__xludf.DUMMYFUNCTION("""COMPUTED_VALUE"""),0.0)</f>
        <v>0</v>
      </c>
      <c r="Y261" s="16">
        <f>IFERROR(__xludf.DUMMYFUNCTION("""COMPUTED_VALUE"""),28.5)</f>
        <v>28.5</v>
      </c>
      <c r="Z261" s="16">
        <f>IFERROR(__xludf.DUMMYFUNCTION("""COMPUTED_VALUE"""),18.2)</f>
        <v>18.2</v>
      </c>
      <c r="AA261" s="16">
        <f>IFERROR(__xludf.DUMMYFUNCTION("""COMPUTED_VALUE"""),0.0)</f>
        <v>0</v>
      </c>
      <c r="AB261" s="16">
        <f>IFERROR(__xludf.DUMMYFUNCTION("""COMPUTED_VALUE"""),1.0)</f>
        <v>1</v>
      </c>
      <c r="AC261" s="16">
        <f>IFERROR(__xludf.DUMMYFUNCTION("""COMPUTED_VALUE"""),0.0)</f>
        <v>0</v>
      </c>
      <c r="AD261" s="16">
        <f>IFERROR(__xludf.DUMMYFUNCTION("""COMPUTED_VALUE"""),5.0)</f>
        <v>5</v>
      </c>
      <c r="AE261" s="16">
        <f>IFERROR(__xludf.DUMMYFUNCTION("""COMPUTED_VALUE"""),40.8)</f>
        <v>40.8</v>
      </c>
      <c r="AF261" s="16">
        <f>IFERROR(__xludf.DUMMYFUNCTION("""COMPUTED_VALUE"""),30.5)</f>
        <v>30.5</v>
      </c>
      <c r="AG261" s="16">
        <f>IFERROR(__xludf.DUMMYFUNCTION("""COMPUTED_VALUE"""),-1.0)</f>
        <v>-1</v>
      </c>
      <c r="AH261" s="16">
        <f>IFERROR(__xludf.DUMMYFUNCTION("""COMPUTED_VALUE"""),0.0)</f>
        <v>0</v>
      </c>
      <c r="AI261" s="16">
        <f>IFERROR(__xludf.DUMMYFUNCTION("""COMPUTED_VALUE"""),-2.0)</f>
        <v>-2</v>
      </c>
      <c r="AJ261" s="16">
        <f>IFERROR(__xludf.DUMMYFUNCTION("""COMPUTED_VALUE"""),0.0)</f>
        <v>0</v>
      </c>
      <c r="AK261" s="16">
        <f>IFERROR(__xludf.DUMMYFUNCTION("""COMPUTED_VALUE"""),28.5)</f>
        <v>28.5</v>
      </c>
      <c r="AL261" s="16">
        <f>IFERROR(__xludf.DUMMYFUNCTION("""COMPUTED_VALUE"""),14.1)</f>
        <v>14.1</v>
      </c>
      <c r="AM261" s="16">
        <f>IFERROR(__xludf.DUMMYFUNCTION("""COMPUTED_VALUE"""),-2.0)</f>
        <v>-2</v>
      </c>
      <c r="AN261" s="16">
        <f>IFERROR(__xludf.DUMMYFUNCTION("""COMPUTED_VALUE"""),0.0)</f>
        <v>0</v>
      </c>
      <c r="AO261" s="16">
        <f>IFERROR(__xludf.DUMMYFUNCTION("""COMPUTED_VALUE"""),-2.0)</f>
        <v>-2</v>
      </c>
      <c r="AP261" s="16">
        <f>IFERROR(__xludf.DUMMYFUNCTION("""COMPUTED_VALUE"""),0.0)</f>
        <v>0</v>
      </c>
      <c r="AQ261" s="16">
        <f>IFERROR(__xludf.DUMMYFUNCTION("""COMPUTED_VALUE"""),40.8)</f>
        <v>40.8</v>
      </c>
      <c r="AR261" s="16">
        <f>IFERROR(__xludf.DUMMYFUNCTION("""COMPUTED_VALUE"""),14.100000000000001)</f>
        <v>14.1</v>
      </c>
      <c r="AS261" s="16">
        <f>IFERROR(__xludf.DUMMYFUNCTION("""COMPUTED_VALUE"""),-2.0)</f>
        <v>-2</v>
      </c>
      <c r="AT261" s="16">
        <f>IFERROR(__xludf.DUMMYFUNCTION("""COMPUTED_VALUE"""),1.0)</f>
        <v>1</v>
      </c>
      <c r="AU261" s="16">
        <f>IFERROR(__xludf.DUMMYFUNCTION("""COMPUTED_VALUE"""),-4.0)</f>
        <v>-4</v>
      </c>
      <c r="AV261" s="16">
        <f>IFERROR(__xludf.DUMMYFUNCTION("""COMPUTED_VALUE"""),2.0)</f>
        <v>2</v>
      </c>
      <c r="AW261" s="16">
        <f>IFERROR(__xludf.DUMMYFUNCTION("""COMPUTED_VALUE"""),0.0)</f>
        <v>0</v>
      </c>
      <c r="AX261" s="16">
        <f>IFERROR(__xludf.DUMMYFUNCTION("""COMPUTED_VALUE"""),4.1)</f>
        <v>4.1</v>
      </c>
      <c r="AY261" s="16">
        <f>IFERROR(__xludf.DUMMYFUNCTION("""COMPUTED_VALUE"""),2.0)</f>
        <v>2</v>
      </c>
      <c r="AZ261" s="16">
        <f>IFERROR(__xludf.DUMMYFUNCTION("""COMPUTED_VALUE"""),-2.0)</f>
        <v>-2</v>
      </c>
      <c r="BA261" s="16">
        <f>IFERROR(__xludf.DUMMYFUNCTION("""COMPUTED_VALUE"""),10.0)</f>
        <v>10</v>
      </c>
      <c r="BB261" s="16">
        <f>IFERROR(__xludf.DUMMYFUNCTION("""COMPUTED_VALUE"""),-10.0)</f>
        <v>-10</v>
      </c>
      <c r="BC261" s="16">
        <f>IFERROR(__xludf.DUMMYFUNCTION("""COMPUTED_VALUE"""),0.0)</f>
        <v>0</v>
      </c>
      <c r="BD261" s="16">
        <f>IFERROR(__xludf.DUMMYFUNCTION("""COMPUTED_VALUE"""),6.0)</f>
        <v>6</v>
      </c>
      <c r="BE261" s="16">
        <f>IFERROR(__xludf.DUMMYFUNCTION("""COMPUTED_VALUE"""),0.0)</f>
        <v>0</v>
      </c>
      <c r="BF261" s="16">
        <f>IFERROR(__xludf.DUMMYFUNCTION("""COMPUTED_VALUE"""),6.0)</f>
        <v>6</v>
      </c>
      <c r="BG261" s="16">
        <f>IFERROR(__xludf.DUMMYFUNCTION("""COMPUTED_VALUE"""),3.0)</f>
        <v>3</v>
      </c>
      <c r="BH261" s="16">
        <f>IFERROR(__xludf.DUMMYFUNCTION("""COMPUTED_VALUE"""),-2.0)</f>
        <v>-2</v>
      </c>
      <c r="BI261" s="16">
        <f>IFERROR(__xludf.DUMMYFUNCTION("""COMPUTED_VALUE"""),6.0)</f>
        <v>6</v>
      </c>
      <c r="BJ261" s="16">
        <f>IFERROR(__xludf.DUMMYFUNCTION("""COMPUTED_VALUE"""),-4.0)</f>
        <v>-4</v>
      </c>
      <c r="BK261" s="16">
        <f>IFERROR(__xludf.DUMMYFUNCTION("""COMPUTED_VALUE"""),5.0)</f>
        <v>5</v>
      </c>
      <c r="BL261" s="16">
        <f>IFERROR(__xludf.DUMMYFUNCTION("""COMPUTED_VALUE"""),5.0)</f>
        <v>5</v>
      </c>
      <c r="BM261" s="16">
        <f>IFERROR(__xludf.DUMMYFUNCTION("""COMPUTED_VALUE"""),0.0)</f>
        <v>0</v>
      </c>
      <c r="BN261" s="16">
        <f>IFERROR(__xludf.DUMMYFUNCTION("""COMPUTED_VALUE"""),0.0)</f>
        <v>0</v>
      </c>
      <c r="BO261" s="16">
        <f>IFERROR(__xludf.DUMMYFUNCTION("""COMPUTED_VALUE"""),0.0)</f>
        <v>0</v>
      </c>
      <c r="BP261" s="16">
        <f>IFERROR(__xludf.DUMMYFUNCTION("""COMPUTED_VALUE"""),0.0)</f>
        <v>0</v>
      </c>
      <c r="BQ261" s="16">
        <f>IFERROR(__xludf.DUMMYFUNCTION("""COMPUTED_VALUE"""),12.0)</f>
        <v>12</v>
      </c>
      <c r="BR261" s="16">
        <f>IFERROR(__xludf.DUMMYFUNCTION("""COMPUTED_VALUE"""),12.0)</f>
        <v>12</v>
      </c>
      <c r="BS261" s="16">
        <f>IFERROR(__xludf.DUMMYFUNCTION("""COMPUTED_VALUE"""),3.0)</f>
        <v>3</v>
      </c>
      <c r="BT261" s="16">
        <f>IFERROR(__xludf.DUMMYFUNCTION("""COMPUTED_VALUE"""),3.0)</f>
        <v>3</v>
      </c>
      <c r="BU261" s="16">
        <f>IFERROR(__xludf.DUMMYFUNCTION("""COMPUTED_VALUE"""),6.0)</f>
        <v>6</v>
      </c>
      <c r="BV261" s="16">
        <f>IFERROR(__xludf.DUMMYFUNCTION("""COMPUTED_VALUE"""),6.0)</f>
        <v>6</v>
      </c>
      <c r="BW261" s="16">
        <f>IFERROR(__xludf.DUMMYFUNCTION("""COMPUTED_VALUE"""),-3.0)</f>
        <v>-3</v>
      </c>
      <c r="BX261" s="16">
        <f>IFERROR(__xludf.DUMMYFUNCTION("""COMPUTED_VALUE"""),-3.0)</f>
        <v>-3</v>
      </c>
      <c r="BY261" s="16" t="str">
        <f>IFERROR(__xludf.DUMMYFUNCTION("""COMPUTED_VALUE"""),"S(6)")</f>
        <v>S(6)</v>
      </c>
      <c r="BZ261" s="16" t="str">
        <f>IFERROR(__xludf.DUMMYFUNCTION("""COMPUTED_VALUE"""),"S(6)")</f>
        <v>S(6)</v>
      </c>
      <c r="CA261" s="16" t="str">
        <f>IFERROR(__xludf.DUMMYFUNCTION("""COMPUTED_VALUE"""),"S(6)")</f>
        <v>S(6)</v>
      </c>
      <c r="CB261" s="16"/>
      <c r="CC261" s="16"/>
      <c r="CD261" s="16">
        <f>IFERROR(__xludf.DUMMYFUNCTION("""COMPUTED_VALUE"""),6.0)</f>
        <v>6</v>
      </c>
      <c r="CE261" s="16"/>
      <c r="CF261" s="16"/>
      <c r="CG261" s="16" t="str">
        <f>IFERROR(__xludf.DUMMYFUNCTION("""COMPUTED_VALUE"""),"3-0")</f>
        <v>3-0</v>
      </c>
      <c r="CH261" s="16">
        <f>IFERROR(__xludf.DUMMYFUNCTION("""COMPUTED_VALUE"""),3.0)</f>
        <v>3</v>
      </c>
      <c r="CI261" s="16">
        <f>IFERROR(__xludf.DUMMYFUNCTION("""COMPUTED_VALUE"""),0.0)</f>
        <v>0</v>
      </c>
      <c r="CJ261" s="16">
        <f>IFERROR(__xludf.DUMMYFUNCTION("""COMPUTED_VALUE"""),0.0)</f>
        <v>0</v>
      </c>
      <c r="CK261" s="16">
        <f>IFERROR(__xludf.DUMMYFUNCTION("""COMPUTED_VALUE"""),3.0)</f>
        <v>3</v>
      </c>
      <c r="CL261" s="16" t="str">
        <f>IFERROR(__xludf.DUMMYFUNCTION("""COMPUTED_VALUE"""),"1WL-C")</f>
        <v>1WL-C</v>
      </c>
      <c r="CM261" s="16" t="str">
        <f>IFERROR(__xludf.DUMMYFUNCTION("""COMPUTED_VALUE"""),"E")</f>
        <v>E</v>
      </c>
      <c r="CN261" s="16">
        <f>IFERROR(__xludf.DUMMYFUNCTION("""COMPUTED_VALUE"""),10.0)</f>
        <v>10</v>
      </c>
      <c r="CO261" s="16" t="str">
        <f>IFERROR(__xludf.DUMMYFUNCTION("""COMPUTED_VALUE"""),"C")</f>
        <v>C</v>
      </c>
      <c r="CP261" s="16" t="str">
        <f>IFERROR(__xludf.DUMMYFUNCTION("""COMPUTED_VALUE"""),"1p30")</f>
        <v>1p30</v>
      </c>
      <c r="CQ261" s="16">
        <f>IFERROR(__xludf.DUMMYFUNCTION("""COMPUTED_VALUE"""),4.0)</f>
        <v>4</v>
      </c>
      <c r="CR261" s="16">
        <f>IFERROR(__xludf.DUMMYFUNCTION("""COMPUTED_VALUE"""),-7.0)</f>
        <v>-7</v>
      </c>
      <c r="CS261" s="16">
        <f>IFERROR(__xludf.DUMMYFUNCTION("""COMPUTED_VALUE"""),-3.0)</f>
        <v>-3</v>
      </c>
      <c r="CT261" s="16">
        <f>IFERROR(__xludf.DUMMYFUNCTION("""COMPUTED_VALUE"""),4.0)</f>
        <v>4</v>
      </c>
      <c r="CU261" s="16">
        <f>IFERROR(__xludf.DUMMYFUNCTION("""COMPUTED_VALUE"""),-7.0)</f>
        <v>-7</v>
      </c>
      <c r="CV261" s="179">
        <f>IFERROR(__xludf.DUMMYFUNCTION("""COMPUTED_VALUE"""),2.6666666666666665)</f>
        <v>2.666666667</v>
      </c>
      <c r="CW261" s="179">
        <f>IFERROR(__xludf.DUMMYFUNCTION("""COMPUTED_VALUE"""),4.0)</f>
        <v>4</v>
      </c>
      <c r="CX261" s="179">
        <f>IFERROR(__xludf.DUMMYFUNCTION("""COMPUTED_VALUE"""),2.0)</f>
        <v>2</v>
      </c>
      <c r="CY261" s="16" t="str">
        <f>IFERROR(__xludf.DUMMYFUNCTION("""COMPUTED_VALUE"""),"SP")</f>
        <v>SP</v>
      </c>
      <c r="CZ261" s="16"/>
      <c r="DA261" s="16"/>
      <c r="DB261" s="16"/>
      <c r="DC261" s="16"/>
      <c r="DD261" s="16"/>
      <c r="DE261" s="16"/>
      <c r="DF261" s="16"/>
      <c r="DG261" s="16"/>
      <c r="DH261" s="16"/>
      <c r="DI261" s="16"/>
      <c r="DJ261" s="16"/>
      <c r="DK261" s="16"/>
    </row>
    <row r="262">
      <c r="A262" s="16">
        <f>IFERROR(__xludf.DUMMYFUNCTION("""COMPUTED_VALUE"""),12924.0)</f>
        <v>12924</v>
      </c>
      <c r="B262" s="16" t="str">
        <f>IFERROR(__xludf.DUMMYFUNCTION("""COMPUTED_VALUE"""),"James Paxton")</f>
        <v>James Paxton</v>
      </c>
      <c r="C262" s="153">
        <f>IFERROR(__xludf.DUMMYFUNCTION("""COMPUTED_VALUE"""),0.07)</f>
        <v>0.07</v>
      </c>
      <c r="D262" s="16"/>
      <c r="E262" s="16" t="str">
        <f>IFERROR(__xludf.DUMMYFUNCTION("""COMPUTED_VALUE"""),"L")</f>
        <v>L</v>
      </c>
      <c r="F262" s="16">
        <f>IFERROR(__xludf.DUMMYFUNCTION("""COMPUTED_VALUE"""),100.0)</f>
        <v>100</v>
      </c>
      <c r="G262" s="16">
        <f>IFERROR(__xludf.DUMMYFUNCTION("""COMPUTED_VALUE"""),11.0)</f>
        <v>11</v>
      </c>
      <c r="H262" s="16">
        <f>IFERROR(__xludf.DUMMYFUNCTION("""COMPUTED_VALUE"""),11.0)</f>
        <v>11</v>
      </c>
      <c r="I262" s="16">
        <f>IFERROR(__xludf.DUMMYFUNCTION("""COMPUTED_VALUE"""),-2.0)</f>
        <v>-2</v>
      </c>
      <c r="J262" s="16">
        <f>IFERROR(__xludf.DUMMYFUNCTION("""COMPUTED_VALUE"""),-2.0)</f>
        <v>-2</v>
      </c>
      <c r="K262" s="16">
        <f>IFERROR(__xludf.DUMMYFUNCTION("""COMPUTED_VALUE"""),-6.0)</f>
        <v>-6</v>
      </c>
      <c r="L262" s="16">
        <f>IFERROR(__xludf.DUMMYFUNCTION("""COMPUTED_VALUE"""),-6.0)</f>
        <v>-6</v>
      </c>
      <c r="M262" s="16">
        <f>IFERROR(__xludf.DUMMYFUNCTION("""COMPUTED_VALUE"""),2.0)</f>
        <v>2</v>
      </c>
      <c r="N262" s="16">
        <f>IFERROR(__xludf.DUMMYFUNCTION("""COMPUTED_VALUE"""),19.0)</f>
        <v>19</v>
      </c>
      <c r="O262" s="16">
        <f>IFERROR(__xludf.DUMMYFUNCTION("""COMPUTED_VALUE"""),2.0)</f>
        <v>2</v>
      </c>
      <c r="P262" s="16">
        <f>IFERROR(__xludf.DUMMYFUNCTION("""COMPUTED_VALUE"""),-3.0)</f>
        <v>-3</v>
      </c>
      <c r="Q262" s="16">
        <f>IFERROR(__xludf.DUMMYFUNCTION("""COMPUTED_VALUE"""),2.0)</f>
        <v>2</v>
      </c>
      <c r="R262" s="16">
        <f>IFERROR(__xludf.DUMMYFUNCTION("""COMPUTED_VALUE"""),-3.0)</f>
        <v>-3</v>
      </c>
      <c r="S262" s="16">
        <f>IFERROR(__xludf.DUMMYFUNCTION("""COMPUTED_VALUE"""),22.8)</f>
        <v>22.8</v>
      </c>
      <c r="T262" s="16">
        <f>IFERROR(__xludf.DUMMYFUNCTION("""COMPUTED_VALUE"""),13.6)</f>
        <v>13.6</v>
      </c>
      <c r="U262" s="16">
        <f>IFERROR(__xludf.DUMMYFUNCTION("""COMPUTED_VALUE"""),-1.0)</f>
        <v>-1</v>
      </c>
      <c r="V262" s="16">
        <f>IFERROR(__xludf.DUMMYFUNCTION("""COMPUTED_VALUE"""),0.0)</f>
        <v>0</v>
      </c>
      <c r="W262" s="16">
        <f>IFERROR(__xludf.DUMMYFUNCTION("""COMPUTED_VALUE"""),-2.0)</f>
        <v>-2</v>
      </c>
      <c r="X262" s="16">
        <f>IFERROR(__xludf.DUMMYFUNCTION("""COMPUTED_VALUE"""),0.0)</f>
        <v>0</v>
      </c>
      <c r="Y262" s="16">
        <f>IFERROR(__xludf.DUMMYFUNCTION("""COMPUTED_VALUE"""),24.8)</f>
        <v>24.8</v>
      </c>
      <c r="Z262" s="16">
        <f>IFERROR(__xludf.DUMMYFUNCTION("""COMPUTED_VALUE"""),32.6)</f>
        <v>32.6</v>
      </c>
      <c r="AA262" s="16">
        <f>IFERROR(__xludf.DUMMYFUNCTION("""COMPUTED_VALUE"""),0.0)</f>
        <v>0</v>
      </c>
      <c r="AB262" s="16">
        <f>IFERROR(__xludf.DUMMYFUNCTION("""COMPUTED_VALUE"""),-1.0)</f>
        <v>-1</v>
      </c>
      <c r="AC262" s="16">
        <f>IFERROR(__xludf.DUMMYFUNCTION("""COMPUTED_VALUE"""),0.0)</f>
        <v>0</v>
      </c>
      <c r="AD262" s="16">
        <f>IFERROR(__xludf.DUMMYFUNCTION("""COMPUTED_VALUE"""),-5.0)</f>
        <v>-5</v>
      </c>
      <c r="AE262" s="16">
        <f>IFERROR(__xludf.DUMMYFUNCTION("""COMPUTED_VALUE"""),28.0)</f>
        <v>28</v>
      </c>
      <c r="AF262" s="16">
        <f>IFERROR(__xludf.DUMMYFUNCTION("""COMPUTED_VALUE"""),25.9)</f>
        <v>25.9</v>
      </c>
      <c r="AG262" s="16">
        <f>IFERROR(__xludf.DUMMYFUNCTION("""COMPUTED_VALUE"""),0.0)</f>
        <v>0</v>
      </c>
      <c r="AH262" s="16">
        <f>IFERROR(__xludf.DUMMYFUNCTION("""COMPUTED_VALUE"""),0.0)</f>
        <v>0</v>
      </c>
      <c r="AI262" s="16">
        <f>IFERROR(__xludf.DUMMYFUNCTION("""COMPUTED_VALUE"""),0.0)</f>
        <v>0</v>
      </c>
      <c r="AJ262" s="16">
        <f>IFERROR(__xludf.DUMMYFUNCTION("""COMPUTED_VALUE"""),0.0)</f>
        <v>0</v>
      </c>
      <c r="AK262" s="16">
        <f>IFERROR(__xludf.DUMMYFUNCTION("""COMPUTED_VALUE"""),22.400000000000002)</f>
        <v>22.4</v>
      </c>
      <c r="AL262" s="16">
        <f>IFERROR(__xludf.DUMMYFUNCTION("""COMPUTED_VALUE"""),11.6)</f>
        <v>11.6</v>
      </c>
      <c r="AM262" s="16">
        <f>IFERROR(__xludf.DUMMYFUNCTION("""COMPUTED_VALUE"""),-2.0)</f>
        <v>-2</v>
      </c>
      <c r="AN262" s="16">
        <f>IFERROR(__xludf.DUMMYFUNCTION("""COMPUTED_VALUE"""),0.0)</f>
        <v>0</v>
      </c>
      <c r="AO262" s="16">
        <f>IFERROR(__xludf.DUMMYFUNCTION("""COMPUTED_VALUE"""),-2.0)</f>
        <v>-2</v>
      </c>
      <c r="AP262" s="16">
        <f>IFERROR(__xludf.DUMMYFUNCTION("""COMPUTED_VALUE"""),0.0)</f>
        <v>0</v>
      </c>
      <c r="AQ262" s="16">
        <f>IFERROR(__xludf.DUMMYFUNCTION("""COMPUTED_VALUE"""),26.4)</f>
        <v>26.4</v>
      </c>
      <c r="AR262" s="16">
        <f>IFERROR(__xludf.DUMMYFUNCTION("""COMPUTED_VALUE"""),17.9)</f>
        <v>17.9</v>
      </c>
      <c r="AS262" s="16">
        <f>IFERROR(__xludf.DUMMYFUNCTION("""COMPUTED_VALUE"""),-1.0)</f>
        <v>-1</v>
      </c>
      <c r="AT262" s="16">
        <f>IFERROR(__xludf.DUMMYFUNCTION("""COMPUTED_VALUE"""),0.0)</f>
        <v>0</v>
      </c>
      <c r="AU262" s="16">
        <f>IFERROR(__xludf.DUMMYFUNCTION("""COMPUTED_VALUE"""),-2.0)</f>
        <v>-2</v>
      </c>
      <c r="AV262" s="16">
        <f>IFERROR(__xludf.DUMMYFUNCTION("""COMPUTED_VALUE"""),0.0)</f>
        <v>0</v>
      </c>
      <c r="AW262" s="16">
        <f>IFERROR(__xludf.DUMMYFUNCTION("""COMPUTED_VALUE"""),0.4)</f>
        <v>0.4</v>
      </c>
      <c r="AX262" s="16">
        <f>IFERROR(__xludf.DUMMYFUNCTION("""COMPUTED_VALUE"""),2.0)</f>
        <v>2</v>
      </c>
      <c r="AY262" s="16">
        <f>IFERROR(__xludf.DUMMYFUNCTION("""COMPUTED_VALUE"""),2.0)</f>
        <v>2</v>
      </c>
      <c r="AZ262" s="16">
        <f>IFERROR(__xludf.DUMMYFUNCTION("""COMPUTED_VALUE"""),0.0)</f>
        <v>0</v>
      </c>
      <c r="BA262" s="16">
        <f>IFERROR(__xludf.DUMMYFUNCTION("""COMPUTED_VALUE"""),10.0)</f>
        <v>10</v>
      </c>
      <c r="BB262" s="16">
        <f>IFERROR(__xludf.DUMMYFUNCTION("""COMPUTED_VALUE"""),0.0)</f>
        <v>0</v>
      </c>
      <c r="BC262" s="16">
        <f>IFERROR(__xludf.DUMMYFUNCTION("""COMPUTED_VALUE"""),0.0)</f>
        <v>0</v>
      </c>
      <c r="BD262" s="16">
        <f>IFERROR(__xludf.DUMMYFUNCTION("""COMPUTED_VALUE"""),2.0)</f>
        <v>2</v>
      </c>
      <c r="BE262" s="16">
        <f>IFERROR(__xludf.DUMMYFUNCTION("""COMPUTED_VALUE"""),0.0)</f>
        <v>0</v>
      </c>
      <c r="BF262" s="16">
        <f>IFERROR(__xludf.DUMMYFUNCTION("""COMPUTED_VALUE"""),2.0)</f>
        <v>2</v>
      </c>
      <c r="BG262" s="16">
        <f>IFERROR(__xludf.DUMMYFUNCTION("""COMPUTED_VALUE"""),3.0)</f>
        <v>3</v>
      </c>
      <c r="BH262" s="16">
        <f>IFERROR(__xludf.DUMMYFUNCTION("""COMPUTED_VALUE"""),1.0)</f>
        <v>1</v>
      </c>
      <c r="BI262" s="16">
        <f>IFERROR(__xludf.DUMMYFUNCTION("""COMPUTED_VALUE"""),6.0)</f>
        <v>6</v>
      </c>
      <c r="BJ262" s="16">
        <f>IFERROR(__xludf.DUMMYFUNCTION("""COMPUTED_VALUE"""),2.0)</f>
        <v>2</v>
      </c>
      <c r="BK262" s="16">
        <f>IFERROR(__xludf.DUMMYFUNCTION("""COMPUTED_VALUE"""),5.0)</f>
        <v>5</v>
      </c>
      <c r="BL262" s="16">
        <f>IFERROR(__xludf.DUMMYFUNCTION("""COMPUTED_VALUE"""),5.0)</f>
        <v>5</v>
      </c>
      <c r="BM262" s="16">
        <f>IFERROR(__xludf.DUMMYFUNCTION("""COMPUTED_VALUE"""),0.0)</f>
        <v>0</v>
      </c>
      <c r="BN262" s="16">
        <f>IFERROR(__xludf.DUMMYFUNCTION("""COMPUTED_VALUE"""),0.0)</f>
        <v>0</v>
      </c>
      <c r="BO262" s="16">
        <f>IFERROR(__xludf.DUMMYFUNCTION("""COMPUTED_VALUE"""),0.0)</f>
        <v>0</v>
      </c>
      <c r="BP262" s="16">
        <f>IFERROR(__xludf.DUMMYFUNCTION("""COMPUTED_VALUE"""),0.0)</f>
        <v>0</v>
      </c>
      <c r="BQ262" s="16">
        <f>IFERROR(__xludf.DUMMYFUNCTION("""COMPUTED_VALUE"""),7.0)</f>
        <v>7</v>
      </c>
      <c r="BR262" s="16">
        <f>IFERROR(__xludf.DUMMYFUNCTION("""COMPUTED_VALUE"""),9.0)</f>
        <v>9</v>
      </c>
      <c r="BS262" s="16">
        <f>IFERROR(__xludf.DUMMYFUNCTION("""COMPUTED_VALUE"""),2.0)</f>
        <v>2</v>
      </c>
      <c r="BT262" s="16">
        <f>IFERROR(__xludf.DUMMYFUNCTION("""COMPUTED_VALUE"""),3.0)</f>
        <v>3</v>
      </c>
      <c r="BU262" s="16">
        <f>IFERROR(__xludf.DUMMYFUNCTION("""COMPUTED_VALUE"""),4.0)</f>
        <v>4</v>
      </c>
      <c r="BV262" s="16">
        <f>IFERROR(__xludf.DUMMYFUNCTION("""COMPUTED_VALUE"""),6.0)</f>
        <v>6</v>
      </c>
      <c r="BW262" s="16">
        <f>IFERROR(__xludf.DUMMYFUNCTION("""COMPUTED_VALUE"""),0.0)</f>
        <v>0</v>
      </c>
      <c r="BX262" s="16">
        <f>IFERROR(__xludf.DUMMYFUNCTION("""COMPUTED_VALUE"""),0.0)</f>
        <v>0</v>
      </c>
      <c r="BY262" s="16" t="str">
        <f>IFERROR(__xludf.DUMMYFUNCTION("""COMPUTED_VALUE"""),"S(5)")</f>
        <v>S(5)</v>
      </c>
      <c r="BZ262" s="16" t="str">
        <f>IFERROR(__xludf.DUMMYFUNCTION("""COMPUTED_VALUE"""),"S(5)")</f>
        <v>S(5)</v>
      </c>
      <c r="CA262" s="16" t="str">
        <f>IFERROR(__xludf.DUMMYFUNCTION("""COMPUTED_VALUE"""),"S(5)")</f>
        <v>S(5)</v>
      </c>
      <c r="CB262" s="16"/>
      <c r="CC262" s="16"/>
      <c r="CD262" s="16">
        <f>IFERROR(__xludf.DUMMYFUNCTION("""COMPUTED_VALUE"""),5.0)</f>
        <v>5</v>
      </c>
      <c r="CE262" s="16"/>
      <c r="CF262" s="16"/>
      <c r="CG262" s="16" t="str">
        <f>IFERROR(__xludf.DUMMYFUNCTION("""COMPUTED_VALUE"""),"2-14")</f>
        <v>2-14</v>
      </c>
      <c r="CH262" s="16">
        <f>IFERROR(__xludf.DUMMYFUNCTION("""COMPUTED_VALUE"""),2.0)</f>
        <v>2</v>
      </c>
      <c r="CI262" s="16">
        <f>IFERROR(__xludf.DUMMYFUNCTION("""COMPUTED_VALUE"""),14.0)</f>
        <v>14</v>
      </c>
      <c r="CJ262" s="16">
        <f>IFERROR(__xludf.DUMMYFUNCTION("""COMPUTED_VALUE"""),0.0)</f>
        <v>0</v>
      </c>
      <c r="CK262" s="16">
        <f>IFERROR(__xludf.DUMMYFUNCTION("""COMPUTED_VALUE"""),8.0)</f>
        <v>8</v>
      </c>
      <c r="CL262" s="16" t="str">
        <f>IFERROR(__xludf.DUMMYFUNCTION("""COMPUTED_VALUE"""),"1WL-C")</f>
        <v>1WL-C</v>
      </c>
      <c r="CM262" s="16" t="str">
        <f>IFERROR(__xludf.DUMMYFUNCTION("""COMPUTED_VALUE"""),"E")</f>
        <v>E</v>
      </c>
      <c r="CN262" s="16">
        <f>IFERROR(__xludf.DUMMYFUNCTION("""COMPUTED_VALUE"""),10.0)</f>
        <v>10</v>
      </c>
      <c r="CO262" s="16" t="str">
        <f>IFERROR(__xludf.DUMMYFUNCTION("""COMPUTED_VALUE"""),"C")</f>
        <v>C</v>
      </c>
      <c r="CP262" s="16" t="str">
        <f>IFERROR(__xludf.DUMMYFUNCTION("""COMPUTED_VALUE"""),"2p50")</f>
        <v>2p50</v>
      </c>
      <c r="CQ262" s="16">
        <f>IFERROR(__xludf.DUMMYFUNCTION("""COMPUTED_VALUE"""),10.0)</f>
        <v>10</v>
      </c>
      <c r="CR262" s="16">
        <f>IFERROR(__xludf.DUMMYFUNCTION("""COMPUTED_VALUE"""),-6.0)</f>
        <v>-6</v>
      </c>
      <c r="CS262" s="16">
        <f>IFERROR(__xludf.DUMMYFUNCTION("""COMPUTED_VALUE"""),4.0)</f>
        <v>4</v>
      </c>
      <c r="CT262" s="16">
        <f>IFERROR(__xludf.DUMMYFUNCTION("""COMPUTED_VALUE"""),10.0)</f>
        <v>10</v>
      </c>
      <c r="CU262" s="16">
        <f>IFERROR(__xludf.DUMMYFUNCTION("""COMPUTED_VALUE"""),-6.0)</f>
        <v>-6</v>
      </c>
      <c r="CV262" s="179">
        <f>IFERROR(__xludf.DUMMYFUNCTION("""COMPUTED_VALUE"""),2.3333333333333335)</f>
        <v>2.333333333</v>
      </c>
      <c r="CW262" s="179">
        <f>IFERROR(__xludf.DUMMYFUNCTION("""COMPUTED_VALUE"""),3.0)</f>
        <v>3</v>
      </c>
      <c r="CX262" s="179">
        <f>IFERROR(__xludf.DUMMYFUNCTION("""COMPUTED_VALUE"""),0.0)</f>
        <v>0</v>
      </c>
      <c r="CY262" s="16" t="str">
        <f>IFERROR(__xludf.DUMMYFUNCTION("""COMPUTED_VALUE"""),"SP")</f>
        <v>SP</v>
      </c>
      <c r="CZ262" s="16"/>
      <c r="DA262" s="16"/>
      <c r="DB262" s="16"/>
      <c r="DC262" s="16"/>
      <c r="DD262" s="16"/>
      <c r="DE262" s="16"/>
      <c r="DF262" s="16"/>
      <c r="DG262" s="16"/>
      <c r="DH262" s="16"/>
      <c r="DI262" s="16"/>
      <c r="DJ262" s="16"/>
      <c r="DK262" s="16"/>
    </row>
    <row r="263">
      <c r="A263" s="16">
        <f>IFERROR(__xludf.DUMMYFUNCTION("""COMPUTED_VALUE"""),13340.0)</f>
        <v>13340</v>
      </c>
      <c r="B263" s="16" t="str">
        <f>IFERROR(__xludf.DUMMYFUNCTION("""COMPUTED_VALUE"""),"Ryan Pressly")</f>
        <v>Ryan Pressly</v>
      </c>
      <c r="C263" s="153">
        <f>IFERROR(__xludf.DUMMYFUNCTION("""COMPUTED_VALUE"""),0.2)</f>
        <v>0.2</v>
      </c>
      <c r="D263" s="16"/>
      <c r="E263" s="16" t="str">
        <f>IFERROR(__xludf.DUMMYFUNCTION("""COMPUTED_VALUE"""),"R")</f>
        <v>R</v>
      </c>
      <c r="F263" s="16">
        <f>IFERROR(__xludf.DUMMYFUNCTION("""COMPUTED_VALUE"""),57.0)</f>
        <v>57</v>
      </c>
      <c r="G263" s="16">
        <f>IFERROR(__xludf.DUMMYFUNCTION("""COMPUTED_VALUE"""),32.0)</f>
        <v>32</v>
      </c>
      <c r="H263" s="16">
        <f>IFERROR(__xludf.DUMMYFUNCTION("""COMPUTED_VALUE"""),22.0)</f>
        <v>22</v>
      </c>
      <c r="I263" s="16">
        <f>IFERROR(__xludf.DUMMYFUNCTION("""COMPUTED_VALUE"""),1.0)</f>
        <v>1</v>
      </c>
      <c r="J263" s="16">
        <f>IFERROR(__xludf.DUMMYFUNCTION("""COMPUTED_VALUE"""),-1.0)</f>
        <v>-1</v>
      </c>
      <c r="K263" s="16">
        <f>IFERROR(__xludf.DUMMYFUNCTION("""COMPUTED_VALUE"""),3.0)</f>
        <v>3</v>
      </c>
      <c r="L263" s="16">
        <f>IFERROR(__xludf.DUMMYFUNCTION("""COMPUTED_VALUE"""),-3.0)</f>
        <v>-3</v>
      </c>
      <c r="M263" s="16">
        <f>IFERROR(__xludf.DUMMYFUNCTION("""COMPUTED_VALUE"""),9.0)</f>
        <v>9</v>
      </c>
      <c r="N263" s="16">
        <f>IFERROR(__xludf.DUMMYFUNCTION("""COMPUTED_VALUE"""),7.0)</f>
        <v>7</v>
      </c>
      <c r="O263" s="16">
        <f>IFERROR(__xludf.DUMMYFUNCTION("""COMPUTED_VALUE"""),0.0)</f>
        <v>0</v>
      </c>
      <c r="P263" s="16">
        <f>IFERROR(__xludf.DUMMYFUNCTION("""COMPUTED_VALUE"""),1.0)</f>
        <v>1</v>
      </c>
      <c r="Q263" s="16">
        <f>IFERROR(__xludf.DUMMYFUNCTION("""COMPUTED_VALUE"""),0.0)</f>
        <v>0</v>
      </c>
      <c r="R263" s="16">
        <f>IFERROR(__xludf.DUMMYFUNCTION("""COMPUTED_VALUE"""),1.0)</f>
        <v>1</v>
      </c>
      <c r="S263" s="16">
        <f>IFERROR(__xludf.DUMMYFUNCTION("""COMPUTED_VALUE"""),18.9)</f>
        <v>18.9</v>
      </c>
      <c r="T263" s="16">
        <f>IFERROR(__xludf.DUMMYFUNCTION("""COMPUTED_VALUE"""),24.2)</f>
        <v>24.2</v>
      </c>
      <c r="U263" s="16">
        <f>IFERROR(__xludf.DUMMYFUNCTION("""COMPUTED_VALUE"""),-1.0)</f>
        <v>-1</v>
      </c>
      <c r="V263" s="16">
        <f>IFERROR(__xludf.DUMMYFUNCTION("""COMPUTED_VALUE"""),-2.0)</f>
        <v>-2</v>
      </c>
      <c r="W263" s="16">
        <f>IFERROR(__xludf.DUMMYFUNCTION("""COMPUTED_VALUE"""),-2.0)</f>
        <v>-2</v>
      </c>
      <c r="X263" s="16">
        <f>IFERROR(__xludf.DUMMYFUNCTION("""COMPUTED_VALUE"""),-4.0)</f>
        <v>-4</v>
      </c>
      <c r="Y263" s="16">
        <f>IFERROR(__xludf.DUMMYFUNCTION("""COMPUTED_VALUE"""),27.9)</f>
        <v>27.9</v>
      </c>
      <c r="Z263" s="16">
        <f>IFERROR(__xludf.DUMMYFUNCTION("""COMPUTED_VALUE"""),31.2)</f>
        <v>31.2</v>
      </c>
      <c r="AA263" s="16">
        <f>IFERROR(__xludf.DUMMYFUNCTION("""COMPUTED_VALUE"""),0.0)</f>
        <v>0</v>
      </c>
      <c r="AB263" s="16">
        <f>IFERROR(__xludf.DUMMYFUNCTION("""COMPUTED_VALUE"""),-1.0)</f>
        <v>-1</v>
      </c>
      <c r="AC263" s="16">
        <f>IFERROR(__xludf.DUMMYFUNCTION("""COMPUTED_VALUE"""),0.0)</f>
        <v>0</v>
      </c>
      <c r="AD263" s="16">
        <f>IFERROR(__xludf.DUMMYFUNCTION("""COMPUTED_VALUE"""),-5.0)</f>
        <v>-5</v>
      </c>
      <c r="AE263" s="16">
        <f>IFERROR(__xludf.DUMMYFUNCTION("""COMPUTED_VALUE"""),26.9)</f>
        <v>26.9</v>
      </c>
      <c r="AF263" s="16">
        <f>IFERROR(__xludf.DUMMYFUNCTION("""COMPUTED_VALUE"""),41.0)</f>
        <v>41</v>
      </c>
      <c r="AG263" s="16">
        <f>IFERROR(__xludf.DUMMYFUNCTION("""COMPUTED_VALUE"""),0.0)</f>
        <v>0</v>
      </c>
      <c r="AH263" s="16">
        <f>IFERROR(__xludf.DUMMYFUNCTION("""COMPUTED_VALUE"""),-1.0)</f>
        <v>-1</v>
      </c>
      <c r="AI263" s="16">
        <f>IFERROR(__xludf.DUMMYFUNCTION("""COMPUTED_VALUE"""),0.0)</f>
        <v>0</v>
      </c>
      <c r="AJ263" s="16">
        <f>IFERROR(__xludf.DUMMYFUNCTION("""COMPUTED_VALUE"""),-2.0)</f>
        <v>-2</v>
      </c>
      <c r="AK263" s="16">
        <f>IFERROR(__xludf.DUMMYFUNCTION("""COMPUTED_VALUE"""),18.9)</f>
        <v>18.9</v>
      </c>
      <c r="AL263" s="16">
        <f>IFERROR(__xludf.DUMMYFUNCTION("""COMPUTED_VALUE"""),23.0)</f>
        <v>23</v>
      </c>
      <c r="AM263" s="16">
        <f>IFERROR(__xludf.DUMMYFUNCTION("""COMPUTED_VALUE"""),-1.0)</f>
        <v>-1</v>
      </c>
      <c r="AN263" s="16">
        <f>IFERROR(__xludf.DUMMYFUNCTION("""COMPUTED_VALUE"""),-2.0)</f>
        <v>-2</v>
      </c>
      <c r="AO263" s="16">
        <f>IFERROR(__xludf.DUMMYFUNCTION("""COMPUTED_VALUE"""),-1.0)</f>
        <v>-1</v>
      </c>
      <c r="AP263" s="16">
        <f>IFERROR(__xludf.DUMMYFUNCTION("""COMPUTED_VALUE"""),-2.0)</f>
        <v>-2</v>
      </c>
      <c r="AQ263" s="16">
        <f>IFERROR(__xludf.DUMMYFUNCTION("""COMPUTED_VALUE"""),26.9)</f>
        <v>26.9</v>
      </c>
      <c r="AR263" s="16">
        <f>IFERROR(__xludf.DUMMYFUNCTION("""COMPUTED_VALUE"""),36.2)</f>
        <v>36.2</v>
      </c>
      <c r="AS263" s="16">
        <f>IFERROR(__xludf.DUMMYFUNCTION("""COMPUTED_VALUE"""),-1.0)</f>
        <v>-1</v>
      </c>
      <c r="AT263" s="16">
        <f>IFERROR(__xludf.DUMMYFUNCTION("""COMPUTED_VALUE"""),-2.0)</f>
        <v>-2</v>
      </c>
      <c r="AU263" s="16">
        <f>IFERROR(__xludf.DUMMYFUNCTION("""COMPUTED_VALUE"""),-2.0)</f>
        <v>-2</v>
      </c>
      <c r="AV263" s="16">
        <f>IFERROR(__xludf.DUMMYFUNCTION("""COMPUTED_VALUE"""),-4.0)</f>
        <v>-4</v>
      </c>
      <c r="AW263" s="16">
        <f>IFERROR(__xludf.DUMMYFUNCTION("""COMPUTED_VALUE"""),0.0)</f>
        <v>0</v>
      </c>
      <c r="AX263" s="16">
        <f>IFERROR(__xludf.DUMMYFUNCTION("""COMPUTED_VALUE"""),1.2)</f>
        <v>1.2</v>
      </c>
      <c r="AY263" s="16">
        <f>IFERROR(__xludf.DUMMYFUNCTION("""COMPUTED_VALUE"""),2.0)</f>
        <v>2</v>
      </c>
      <c r="AZ263" s="16">
        <f>IFERROR(__xludf.DUMMYFUNCTION("""COMPUTED_VALUE"""),1.0)</f>
        <v>1</v>
      </c>
      <c r="BA263" s="16">
        <f>IFERROR(__xludf.DUMMYFUNCTION("""COMPUTED_VALUE"""),10.0)</f>
        <v>10</v>
      </c>
      <c r="BB263" s="16">
        <f>IFERROR(__xludf.DUMMYFUNCTION("""COMPUTED_VALUE"""),5.0)</f>
        <v>5</v>
      </c>
      <c r="BC263" s="16">
        <f>IFERROR(__xludf.DUMMYFUNCTION("""COMPUTED_VALUE"""),0.0)</f>
        <v>0</v>
      </c>
      <c r="BD263" s="16">
        <f>IFERROR(__xludf.DUMMYFUNCTION("""COMPUTED_VALUE"""),2.0)</f>
        <v>2</v>
      </c>
      <c r="BE263" s="16">
        <f>IFERROR(__xludf.DUMMYFUNCTION("""COMPUTED_VALUE"""),0.0)</f>
        <v>0</v>
      </c>
      <c r="BF263" s="16">
        <f>IFERROR(__xludf.DUMMYFUNCTION("""COMPUTED_VALUE"""),2.0)</f>
        <v>2</v>
      </c>
      <c r="BG263" s="16">
        <f>IFERROR(__xludf.DUMMYFUNCTION("""COMPUTED_VALUE"""),3.0)</f>
        <v>3</v>
      </c>
      <c r="BH263" s="16">
        <f>IFERROR(__xludf.DUMMYFUNCTION("""COMPUTED_VALUE"""),1.0)</f>
        <v>1</v>
      </c>
      <c r="BI263" s="16">
        <f>IFERROR(__xludf.DUMMYFUNCTION("""COMPUTED_VALUE"""),6.0)</f>
        <v>6</v>
      </c>
      <c r="BJ263" s="16">
        <f>IFERROR(__xludf.DUMMYFUNCTION("""COMPUTED_VALUE"""),2.0)</f>
        <v>2</v>
      </c>
      <c r="BK263" s="16">
        <f>IFERROR(__xludf.DUMMYFUNCTION("""COMPUTED_VALUE"""),5.0)</f>
        <v>5</v>
      </c>
      <c r="BL263" s="16">
        <f>IFERROR(__xludf.DUMMYFUNCTION("""COMPUTED_VALUE"""),5.0)</f>
        <v>5</v>
      </c>
      <c r="BM263" s="16">
        <f>IFERROR(__xludf.DUMMYFUNCTION("""COMPUTED_VALUE"""),0.0)</f>
        <v>0</v>
      </c>
      <c r="BN263" s="16">
        <f>IFERROR(__xludf.DUMMYFUNCTION("""COMPUTED_VALUE"""),0.0)</f>
        <v>0</v>
      </c>
      <c r="BO263" s="16">
        <f>IFERROR(__xludf.DUMMYFUNCTION("""COMPUTED_VALUE"""),0.0)</f>
        <v>0</v>
      </c>
      <c r="BP263" s="16">
        <f>IFERROR(__xludf.DUMMYFUNCTION("""COMPUTED_VALUE"""),0.0)</f>
        <v>0</v>
      </c>
      <c r="BQ263" s="16">
        <f>IFERROR(__xludf.DUMMYFUNCTION("""COMPUTED_VALUE"""),7.0)</f>
        <v>7</v>
      </c>
      <c r="BR263" s="16">
        <f>IFERROR(__xludf.DUMMYFUNCTION("""COMPUTED_VALUE"""),6.0)</f>
        <v>6</v>
      </c>
      <c r="BS263" s="16">
        <f>IFERROR(__xludf.DUMMYFUNCTION("""COMPUTED_VALUE"""),2.0)</f>
        <v>2</v>
      </c>
      <c r="BT263" s="16">
        <f>IFERROR(__xludf.DUMMYFUNCTION("""COMPUTED_VALUE"""),1.0)</f>
        <v>1</v>
      </c>
      <c r="BU263" s="16">
        <f>IFERROR(__xludf.DUMMYFUNCTION("""COMPUTED_VALUE"""),4.0)</f>
        <v>4</v>
      </c>
      <c r="BV263" s="16">
        <f>IFERROR(__xludf.DUMMYFUNCTION("""COMPUTED_VALUE"""),2.0)</f>
        <v>2</v>
      </c>
      <c r="BW263" s="16">
        <f>IFERROR(__xludf.DUMMYFUNCTION("""COMPUTED_VALUE"""),-2.0)</f>
        <v>-2</v>
      </c>
      <c r="BX263" s="16">
        <f>IFERROR(__xludf.DUMMYFUNCTION("""COMPUTED_VALUE"""),-2.0)</f>
        <v>-2</v>
      </c>
      <c r="BY263" s="16" t="str">
        <f>IFERROR(__xludf.DUMMYFUNCTION("""COMPUTED_VALUE"""),"R(1) C(2)")</f>
        <v>R(1) C(2)</v>
      </c>
      <c r="BZ263" s="16" t="str">
        <f>IFERROR(__xludf.DUMMYFUNCTION("""COMPUTED_VALUE"""),"R(1) C(2)")</f>
        <v>R(1) C(2)</v>
      </c>
      <c r="CA263" s="16" t="str">
        <f>IFERROR(__xludf.DUMMYFUNCTION("""COMPUTED_VALUE"""),"R(1)")</f>
        <v>R(1)</v>
      </c>
      <c r="CB263" s="16" t="str">
        <f>IFERROR(__xludf.DUMMYFUNCTION("""COMPUTED_VALUE"""),"C(2)")</f>
        <v>C(2)</v>
      </c>
      <c r="CC263" s="16"/>
      <c r="CD263" s="16"/>
      <c r="CE263" s="16">
        <f>IFERROR(__xludf.DUMMYFUNCTION("""COMPUTED_VALUE"""),1.0)</f>
        <v>1</v>
      </c>
      <c r="CF263" s="16">
        <f>IFERROR(__xludf.DUMMYFUNCTION("""COMPUTED_VALUE"""),2.0)</f>
        <v>2</v>
      </c>
      <c r="CG263" s="16" t="str">
        <f>IFERROR(__xludf.DUMMYFUNCTION("""COMPUTED_VALUE"""),"4-0")</f>
        <v>4-0</v>
      </c>
      <c r="CH263" s="16">
        <f>IFERROR(__xludf.DUMMYFUNCTION("""COMPUTED_VALUE"""),4.0)</f>
        <v>4</v>
      </c>
      <c r="CI263" s="16">
        <f>IFERROR(__xludf.DUMMYFUNCTION("""COMPUTED_VALUE"""),0.0)</f>
        <v>0</v>
      </c>
      <c r="CJ263" s="16">
        <f>IFERROR(__xludf.DUMMYFUNCTION("""COMPUTED_VALUE"""),0.0)</f>
        <v>0</v>
      </c>
      <c r="CK263" s="16">
        <f>IFERROR(__xludf.DUMMYFUNCTION("""COMPUTED_VALUE"""),20.0)</f>
        <v>20</v>
      </c>
      <c r="CL263" s="16" t="str">
        <f>IFERROR(__xludf.DUMMYFUNCTION("""COMPUTED_VALUE"""),"1WR-C")</f>
        <v>1WR-C</v>
      </c>
      <c r="CM263" s="16" t="str">
        <f>IFERROR(__xludf.DUMMYFUNCTION("""COMPUTED_VALUE"""),"E")</f>
        <v>E</v>
      </c>
      <c r="CN263" s="16">
        <f>IFERROR(__xludf.DUMMYFUNCTION("""COMPUTED_VALUE"""),10.0)</f>
        <v>10</v>
      </c>
      <c r="CO263" s="16" t="str">
        <f>IFERROR(__xludf.DUMMYFUNCTION("""COMPUTED_VALUE"""),"C")</f>
        <v>C</v>
      </c>
      <c r="CP263" s="16" t="str">
        <f>IFERROR(__xludf.DUMMYFUNCTION("""COMPUTED_VALUE"""),"2p50")</f>
        <v>2p50</v>
      </c>
      <c r="CQ263" s="16">
        <f>IFERROR(__xludf.DUMMYFUNCTION("""COMPUTED_VALUE"""),18.0)</f>
        <v>18</v>
      </c>
      <c r="CR263" s="16">
        <f>IFERROR(__xludf.DUMMYFUNCTION("""COMPUTED_VALUE"""),-10.0)</f>
        <v>-10</v>
      </c>
      <c r="CS263" s="16">
        <f>IFERROR(__xludf.DUMMYFUNCTION("""COMPUTED_VALUE"""),8.0)</f>
        <v>8</v>
      </c>
      <c r="CT263" s="16">
        <f>IFERROR(__xludf.DUMMYFUNCTION("""COMPUTED_VALUE"""),18.0)</f>
        <v>18</v>
      </c>
      <c r="CU263" s="16">
        <f>IFERROR(__xludf.DUMMYFUNCTION("""COMPUTED_VALUE"""),-10.0)</f>
        <v>-10</v>
      </c>
      <c r="CV263" s="179">
        <f>IFERROR(__xludf.DUMMYFUNCTION("""COMPUTED_VALUE"""),2.3333333333333335)</f>
        <v>2.333333333</v>
      </c>
      <c r="CW263" s="179">
        <f>IFERROR(__xludf.DUMMYFUNCTION("""COMPUTED_VALUE"""),3.0)</f>
        <v>3</v>
      </c>
      <c r="CX263" s="179">
        <f>IFERROR(__xludf.DUMMYFUNCTION("""COMPUTED_VALUE"""),0.0)</f>
        <v>0</v>
      </c>
      <c r="CY263" s="16" t="str">
        <f>IFERROR(__xludf.DUMMYFUNCTION("""COMPUTED_VALUE"""),"RP")</f>
        <v>RP</v>
      </c>
      <c r="CZ263" s="16" t="str">
        <f>IFERROR(__xludf.DUMMYFUNCTION("""COMPUTED_VALUE"""),"CP")</f>
        <v>CP</v>
      </c>
      <c r="DA263" s="16"/>
      <c r="DB263" s="16"/>
      <c r="DC263" s="16"/>
      <c r="DD263" s="16"/>
      <c r="DE263" s="16"/>
      <c r="DF263" s="16"/>
      <c r="DG263" s="16"/>
      <c r="DH263" s="16"/>
      <c r="DI263" s="16"/>
      <c r="DJ263" s="16"/>
      <c r="DK263" s="16"/>
    </row>
    <row r="264">
      <c r="A264" s="16">
        <f>IFERROR(__xludf.DUMMYFUNCTION("""COMPUTED_VALUE"""),13195.0)</f>
        <v>13195</v>
      </c>
      <c r="B264" s="16" t="str">
        <f>IFERROR(__xludf.DUMMYFUNCTION("""COMPUTED_VALUE"""),"Michael Lorenzen")</f>
        <v>Michael Lorenzen</v>
      </c>
      <c r="C264" s="153">
        <f>IFERROR(__xludf.DUMMYFUNCTION("""COMPUTED_VALUE"""),1.5)</f>
        <v>1.5</v>
      </c>
      <c r="D264" s="16"/>
      <c r="E264" s="16" t="str">
        <f>IFERROR(__xludf.DUMMYFUNCTION("""COMPUTED_VALUE"""),"R")</f>
        <v>R</v>
      </c>
      <c r="F264" s="16">
        <f>IFERROR(__xludf.DUMMYFUNCTION("""COMPUTED_VALUE"""),130.0)</f>
        <v>130</v>
      </c>
      <c r="G264" s="16">
        <f>IFERROR(__xludf.DUMMYFUNCTION("""COMPUTED_VALUE"""),20.0)</f>
        <v>20</v>
      </c>
      <c r="H264" s="16">
        <f>IFERROR(__xludf.DUMMYFUNCTION("""COMPUTED_VALUE"""),10.0)</f>
        <v>10</v>
      </c>
      <c r="I264" s="16">
        <f>IFERROR(__xludf.DUMMYFUNCTION("""COMPUTED_VALUE"""),-1.0)</f>
        <v>-1</v>
      </c>
      <c r="J264" s="16">
        <f>IFERROR(__xludf.DUMMYFUNCTION("""COMPUTED_VALUE"""),-2.0)</f>
        <v>-2</v>
      </c>
      <c r="K264" s="16">
        <f>IFERROR(__xludf.DUMMYFUNCTION("""COMPUTED_VALUE"""),-3.0)</f>
        <v>-3</v>
      </c>
      <c r="L264" s="16">
        <f>IFERROR(__xludf.DUMMYFUNCTION("""COMPUTED_VALUE"""),-6.0)</f>
        <v>-6</v>
      </c>
      <c r="M264" s="16">
        <f>IFERROR(__xludf.DUMMYFUNCTION("""COMPUTED_VALUE"""),19.0)</f>
        <v>19</v>
      </c>
      <c r="N264" s="16">
        <f>IFERROR(__xludf.DUMMYFUNCTION("""COMPUTED_VALUE"""),13.0)</f>
        <v>13</v>
      </c>
      <c r="O264" s="16">
        <f>IFERROR(__xludf.DUMMYFUNCTION("""COMPUTED_VALUE"""),-3.0)</f>
        <v>-3</v>
      </c>
      <c r="P264" s="16">
        <f>IFERROR(__xludf.DUMMYFUNCTION("""COMPUTED_VALUE"""),-2.0)</f>
        <v>-2</v>
      </c>
      <c r="Q264" s="16">
        <f>IFERROR(__xludf.DUMMYFUNCTION("""COMPUTED_VALUE"""),-3.0)</f>
        <v>-3</v>
      </c>
      <c r="R264" s="16">
        <f>IFERROR(__xludf.DUMMYFUNCTION("""COMPUTED_VALUE"""),-2.0)</f>
        <v>-2</v>
      </c>
      <c r="S264" s="16">
        <f>IFERROR(__xludf.DUMMYFUNCTION("""COMPUTED_VALUE"""),4.2)</f>
        <v>4.2</v>
      </c>
      <c r="T264" s="16">
        <f>IFERROR(__xludf.DUMMYFUNCTION("""COMPUTED_VALUE"""),17.0)</f>
        <v>17</v>
      </c>
      <c r="U264" s="16">
        <f>IFERROR(__xludf.DUMMYFUNCTION("""COMPUTED_VALUE"""),2.0)</f>
        <v>2</v>
      </c>
      <c r="V264" s="16">
        <f>IFERROR(__xludf.DUMMYFUNCTION("""COMPUTED_VALUE"""),0.0)</f>
        <v>0</v>
      </c>
      <c r="W264" s="16">
        <f>IFERROR(__xludf.DUMMYFUNCTION("""COMPUTED_VALUE"""),4.0)</f>
        <v>4</v>
      </c>
      <c r="X264" s="16">
        <f>IFERROR(__xludf.DUMMYFUNCTION("""COMPUTED_VALUE"""),0.0)</f>
        <v>0</v>
      </c>
      <c r="Y264" s="16">
        <f>IFERROR(__xludf.DUMMYFUNCTION("""COMPUTED_VALUE"""),23.2)</f>
        <v>23.2</v>
      </c>
      <c r="Z264" s="16">
        <f>IFERROR(__xludf.DUMMYFUNCTION("""COMPUTED_VALUE"""),30.0)</f>
        <v>30</v>
      </c>
      <c r="AA264" s="16">
        <f>IFERROR(__xludf.DUMMYFUNCTION("""COMPUTED_VALUE"""),0.0)</f>
        <v>0</v>
      </c>
      <c r="AB264" s="16">
        <f>IFERROR(__xludf.DUMMYFUNCTION("""COMPUTED_VALUE"""),-1.0)</f>
        <v>-1</v>
      </c>
      <c r="AC264" s="16">
        <f>IFERROR(__xludf.DUMMYFUNCTION("""COMPUTED_VALUE"""),0.0)</f>
        <v>0</v>
      </c>
      <c r="AD264" s="16">
        <f>IFERROR(__xludf.DUMMYFUNCTION("""COMPUTED_VALUE"""),-5.0)</f>
        <v>-5</v>
      </c>
      <c r="AE264" s="16">
        <f>IFERROR(__xludf.DUMMYFUNCTION("""COMPUTED_VALUE"""),8.3)</f>
        <v>8.3</v>
      </c>
      <c r="AF264" s="16">
        <f>IFERROR(__xludf.DUMMYFUNCTION("""COMPUTED_VALUE"""),32.0)</f>
        <v>32</v>
      </c>
      <c r="AG264" s="16">
        <f>IFERROR(__xludf.DUMMYFUNCTION("""COMPUTED_VALUE"""),2.0)</f>
        <v>2</v>
      </c>
      <c r="AH264" s="16">
        <f>IFERROR(__xludf.DUMMYFUNCTION("""COMPUTED_VALUE"""),0.0)</f>
        <v>0</v>
      </c>
      <c r="AI264" s="16">
        <f>IFERROR(__xludf.DUMMYFUNCTION("""COMPUTED_VALUE"""),4.0)</f>
        <v>4</v>
      </c>
      <c r="AJ264" s="16">
        <f>IFERROR(__xludf.DUMMYFUNCTION("""COMPUTED_VALUE"""),0.0)</f>
        <v>0</v>
      </c>
      <c r="AK264" s="16">
        <f>IFERROR(__xludf.DUMMYFUNCTION("""COMPUTED_VALUE"""),3.0)</f>
        <v>3</v>
      </c>
      <c r="AL264" s="16">
        <f>IFERROR(__xludf.DUMMYFUNCTION("""COMPUTED_VALUE"""),14.4)</f>
        <v>14.4</v>
      </c>
      <c r="AM264" s="16">
        <f>IFERROR(__xludf.DUMMYFUNCTION("""COMPUTED_VALUE"""),2.0)</f>
        <v>2</v>
      </c>
      <c r="AN264" s="16">
        <f>IFERROR(__xludf.DUMMYFUNCTION("""COMPUTED_VALUE"""),0.0)</f>
        <v>0</v>
      </c>
      <c r="AO264" s="16">
        <f>IFERROR(__xludf.DUMMYFUNCTION("""COMPUTED_VALUE"""),2.0)</f>
        <v>2</v>
      </c>
      <c r="AP264" s="16">
        <f>IFERROR(__xludf.DUMMYFUNCTION("""COMPUTED_VALUE"""),0.0)</f>
        <v>0</v>
      </c>
      <c r="AQ264" s="16">
        <f>IFERROR(__xludf.DUMMYFUNCTION("""COMPUTED_VALUE"""),3.500000000000001)</f>
        <v>3.5</v>
      </c>
      <c r="AR264" s="16">
        <f>IFERROR(__xludf.DUMMYFUNCTION("""COMPUTED_VALUE"""),21.6)</f>
        <v>21.6</v>
      </c>
      <c r="AS264" s="16">
        <f>IFERROR(__xludf.DUMMYFUNCTION("""COMPUTED_VALUE"""),2.0)</f>
        <v>2</v>
      </c>
      <c r="AT264" s="16">
        <f>IFERROR(__xludf.DUMMYFUNCTION("""COMPUTED_VALUE"""),0.0)</f>
        <v>0</v>
      </c>
      <c r="AU264" s="16">
        <f>IFERROR(__xludf.DUMMYFUNCTION("""COMPUTED_VALUE"""),4.0)</f>
        <v>4</v>
      </c>
      <c r="AV264" s="16">
        <f>IFERROR(__xludf.DUMMYFUNCTION("""COMPUTED_VALUE"""),0.0)</f>
        <v>0</v>
      </c>
      <c r="AW264" s="16">
        <f>IFERROR(__xludf.DUMMYFUNCTION("""COMPUTED_VALUE"""),1.2)</f>
        <v>1.2</v>
      </c>
      <c r="AX264" s="16">
        <f>IFERROR(__xludf.DUMMYFUNCTION("""COMPUTED_VALUE"""),2.6)</f>
        <v>2.6</v>
      </c>
      <c r="AY264" s="16">
        <f>IFERROR(__xludf.DUMMYFUNCTION("""COMPUTED_VALUE"""),1.0)</f>
        <v>1</v>
      </c>
      <c r="AZ264" s="16">
        <f>IFERROR(__xludf.DUMMYFUNCTION("""COMPUTED_VALUE"""),-1.0)</f>
        <v>-1</v>
      </c>
      <c r="BA264" s="16">
        <f>IFERROR(__xludf.DUMMYFUNCTION("""COMPUTED_VALUE"""),5.0)</f>
        <v>5</v>
      </c>
      <c r="BB264" s="16">
        <f>IFERROR(__xludf.DUMMYFUNCTION("""COMPUTED_VALUE"""),-5.0)</f>
        <v>-5</v>
      </c>
      <c r="BC264" s="16"/>
      <c r="BD264" s="16">
        <f>IFERROR(__xludf.DUMMYFUNCTION("""COMPUTED_VALUE"""),5.0)</f>
        <v>5</v>
      </c>
      <c r="BE264" s="16">
        <f>IFERROR(__xludf.DUMMYFUNCTION("""COMPUTED_VALUE"""),1.0)</f>
        <v>1</v>
      </c>
      <c r="BF264" s="16">
        <f>IFERROR(__xludf.DUMMYFUNCTION("""COMPUTED_VALUE"""),5.0)</f>
        <v>5</v>
      </c>
      <c r="BG264" s="16">
        <f>IFERROR(__xludf.DUMMYFUNCTION("""COMPUTED_VALUE"""),2.0)</f>
        <v>2</v>
      </c>
      <c r="BH264" s="16">
        <f>IFERROR(__xludf.DUMMYFUNCTION("""COMPUTED_VALUE"""),-2.0)</f>
        <v>-2</v>
      </c>
      <c r="BI264" s="16">
        <f>IFERROR(__xludf.DUMMYFUNCTION("""COMPUTED_VALUE"""),4.0)</f>
        <v>4</v>
      </c>
      <c r="BJ264" s="16">
        <f>IFERROR(__xludf.DUMMYFUNCTION("""COMPUTED_VALUE"""),-4.0)</f>
        <v>-4</v>
      </c>
      <c r="BK264" s="16">
        <f>IFERROR(__xludf.DUMMYFUNCTION("""COMPUTED_VALUE"""),0.0)</f>
        <v>0</v>
      </c>
      <c r="BL264" s="16">
        <f>IFERROR(__xludf.DUMMYFUNCTION("""COMPUTED_VALUE"""),5.0)</f>
        <v>5</v>
      </c>
      <c r="BM264" s="16">
        <f>IFERROR(__xludf.DUMMYFUNCTION("""COMPUTED_VALUE"""),1.0)</f>
        <v>1</v>
      </c>
      <c r="BN264" s="16">
        <f>IFERROR(__xludf.DUMMYFUNCTION("""COMPUTED_VALUE"""),0.0)</f>
        <v>0</v>
      </c>
      <c r="BO264" s="16">
        <f>IFERROR(__xludf.DUMMYFUNCTION("""COMPUTED_VALUE"""),1.0)</f>
        <v>1</v>
      </c>
      <c r="BP264" s="16">
        <f>IFERROR(__xludf.DUMMYFUNCTION("""COMPUTED_VALUE"""),0.0)</f>
        <v>0</v>
      </c>
      <c r="BQ264" s="16">
        <f>IFERROR(__xludf.DUMMYFUNCTION("""COMPUTED_VALUE"""),12.0)</f>
        <v>12</v>
      </c>
      <c r="BR264" s="16">
        <f>IFERROR(__xludf.DUMMYFUNCTION("""COMPUTED_VALUE"""),12.0)</f>
        <v>12</v>
      </c>
      <c r="BS264" s="16">
        <f>IFERROR(__xludf.DUMMYFUNCTION("""COMPUTED_VALUE"""),3.0)</f>
        <v>3</v>
      </c>
      <c r="BT264" s="16">
        <f>IFERROR(__xludf.DUMMYFUNCTION("""COMPUTED_VALUE"""),3.0)</f>
        <v>3</v>
      </c>
      <c r="BU264" s="16">
        <f>IFERROR(__xludf.DUMMYFUNCTION("""COMPUTED_VALUE"""),6.0)</f>
        <v>6</v>
      </c>
      <c r="BV264" s="16">
        <f>IFERROR(__xludf.DUMMYFUNCTION("""COMPUTED_VALUE"""),6.0)</f>
        <v>6</v>
      </c>
      <c r="BW264" s="16">
        <f>IFERROR(__xludf.DUMMYFUNCTION("""COMPUTED_VALUE"""),0.0)</f>
        <v>0</v>
      </c>
      <c r="BX264" s="16">
        <f>IFERROR(__xludf.DUMMYFUNCTION("""COMPUTED_VALUE"""),0.0)</f>
        <v>0</v>
      </c>
      <c r="BY264" s="16" t="str">
        <f>IFERROR(__xludf.DUMMYFUNCTION("""COMPUTED_VALUE"""),"S(5) R(3)")</f>
        <v>S(5) R(3)</v>
      </c>
      <c r="BZ264" s="16" t="str">
        <f>IFERROR(__xludf.DUMMYFUNCTION("""COMPUTED_VALUE"""),"S(5) R(3)")</f>
        <v>S(5) R(3)</v>
      </c>
      <c r="CA264" s="16" t="str">
        <f>IFERROR(__xludf.DUMMYFUNCTION("""COMPUTED_VALUE"""),"S(5)")</f>
        <v>S(5)</v>
      </c>
      <c r="CB264" s="16" t="str">
        <f>IFERROR(__xludf.DUMMYFUNCTION("""COMPUTED_VALUE"""),"R(3)")</f>
        <v>R(3)</v>
      </c>
      <c r="CC264" s="16"/>
      <c r="CD264" s="16">
        <f>IFERROR(__xludf.DUMMYFUNCTION("""COMPUTED_VALUE"""),5.0)</f>
        <v>5</v>
      </c>
      <c r="CE264" s="16">
        <f>IFERROR(__xludf.DUMMYFUNCTION("""COMPUTED_VALUE"""),3.0)</f>
        <v>3</v>
      </c>
      <c r="CF264" s="16"/>
      <c r="CG264" s="16" t="str">
        <f>IFERROR(__xludf.DUMMYFUNCTION("""COMPUTED_VALUE"""),"2-22")</f>
        <v>2-22</v>
      </c>
      <c r="CH264" s="16">
        <f>IFERROR(__xludf.DUMMYFUNCTION("""COMPUTED_VALUE"""),2.0)</f>
        <v>2</v>
      </c>
      <c r="CI264" s="16">
        <f>IFERROR(__xludf.DUMMYFUNCTION("""COMPUTED_VALUE"""),22.0)</f>
        <v>22</v>
      </c>
      <c r="CJ264" s="16">
        <f>IFERROR(__xludf.DUMMYFUNCTION("""COMPUTED_VALUE"""),0.0)</f>
        <v>0</v>
      </c>
      <c r="CK264" s="16">
        <f>IFERROR(__xludf.DUMMYFUNCTION("""COMPUTED_VALUE"""),4.0)</f>
        <v>4</v>
      </c>
      <c r="CL264" s="16" t="str">
        <f>IFERROR(__xludf.DUMMYFUNCTION("""COMPUTED_VALUE"""),"1WR-C")</f>
        <v>1WR-C</v>
      </c>
      <c r="CM264" s="16" t="str">
        <f>IFERROR(__xludf.DUMMYFUNCTION("""COMPUTED_VALUE"""),"E")</f>
        <v>E</v>
      </c>
      <c r="CN264" s="16">
        <f>IFERROR(__xludf.DUMMYFUNCTION("""COMPUTED_VALUE"""),13.0)</f>
        <v>13</v>
      </c>
      <c r="CO264" s="16" t="str">
        <f>IFERROR(__xludf.DUMMYFUNCTION("""COMPUTED_VALUE"""),"C")</f>
        <v>C</v>
      </c>
      <c r="CP264" s="16" t="str">
        <f>IFERROR(__xludf.DUMMYFUNCTION("""COMPUTED_VALUE"""),"2p65")</f>
        <v>2p65</v>
      </c>
      <c r="CQ264" s="16">
        <f>IFERROR(__xludf.DUMMYFUNCTION("""COMPUTED_VALUE"""),24.0)</f>
        <v>24</v>
      </c>
      <c r="CR264" s="16">
        <f>IFERROR(__xludf.DUMMYFUNCTION("""COMPUTED_VALUE"""),-16.0)</f>
        <v>-16</v>
      </c>
      <c r="CS264" s="16">
        <f>IFERROR(__xludf.DUMMYFUNCTION("""COMPUTED_VALUE"""),8.0)</f>
        <v>8</v>
      </c>
      <c r="CT264" s="16">
        <f>IFERROR(__xludf.DUMMYFUNCTION("""COMPUTED_VALUE"""),24.0)</f>
        <v>24</v>
      </c>
      <c r="CU264" s="16">
        <f>IFERROR(__xludf.DUMMYFUNCTION("""COMPUTED_VALUE"""),-16.0)</f>
        <v>-16</v>
      </c>
      <c r="CV264" s="179">
        <f>IFERROR(__xludf.DUMMYFUNCTION("""COMPUTED_VALUE"""),2.3333333333333335)</f>
        <v>2.333333333</v>
      </c>
      <c r="CW264" s="179">
        <f>IFERROR(__xludf.DUMMYFUNCTION("""COMPUTED_VALUE"""),3.0)</f>
        <v>3</v>
      </c>
      <c r="CX264" s="179">
        <f>IFERROR(__xludf.DUMMYFUNCTION("""COMPUTED_VALUE"""),2.0)</f>
        <v>2</v>
      </c>
      <c r="CY264" s="16" t="str">
        <f>IFERROR(__xludf.DUMMYFUNCTION("""COMPUTED_VALUE"""),"SP")</f>
        <v>SP</v>
      </c>
      <c r="CZ264" s="16" t="str">
        <f>IFERROR(__xludf.DUMMYFUNCTION("""COMPUTED_VALUE"""),"RP")</f>
        <v>RP</v>
      </c>
      <c r="DA264" s="16"/>
      <c r="DB264" s="16"/>
      <c r="DC264" s="16"/>
      <c r="DD264" s="16"/>
      <c r="DE264" s="16"/>
      <c r="DF264" s="16"/>
      <c r="DG264" s="16"/>
      <c r="DH264" s="16"/>
      <c r="DI264" s="16"/>
      <c r="DJ264" s="16"/>
      <c r="DK264" s="16"/>
    </row>
    <row r="265">
      <c r="A265" s="16">
        <f>IFERROR(__xludf.DUMMYFUNCTION("""COMPUTED_VALUE"""),12881.0)</f>
        <v>12881</v>
      </c>
      <c r="B265" s="16" t="str">
        <f>IFERROR(__xludf.DUMMYFUNCTION("""COMPUTED_VALUE"""),"Hunter Stratton")</f>
        <v>Hunter Stratton</v>
      </c>
      <c r="C265" s="153">
        <f>IFERROR(__xludf.DUMMYFUNCTION("""COMPUTED_VALUE"""),0.76)</f>
        <v>0.76</v>
      </c>
      <c r="D265" s="16"/>
      <c r="E265" s="16" t="str">
        <f>IFERROR(__xludf.DUMMYFUNCTION("""COMPUTED_VALUE"""),"R")</f>
        <v>R</v>
      </c>
      <c r="F265" s="16">
        <f>IFERROR(__xludf.DUMMYFUNCTION("""COMPUTED_VALUE"""),38.0)</f>
        <v>38</v>
      </c>
      <c r="G265" s="16">
        <f>IFERROR(__xludf.DUMMYFUNCTION("""COMPUTED_VALUE"""),19.0)</f>
        <v>19</v>
      </c>
      <c r="H265" s="16">
        <f>IFERROR(__xludf.DUMMYFUNCTION("""COMPUTED_VALUE"""),24.0)</f>
        <v>24</v>
      </c>
      <c r="I265" s="16">
        <f>IFERROR(__xludf.DUMMYFUNCTION("""COMPUTED_VALUE"""),-1.0)</f>
        <v>-1</v>
      </c>
      <c r="J265" s="16">
        <f>IFERROR(__xludf.DUMMYFUNCTION("""COMPUTED_VALUE"""),0.0)</f>
        <v>0</v>
      </c>
      <c r="K265" s="16">
        <f>IFERROR(__xludf.DUMMYFUNCTION("""COMPUTED_VALUE"""),-3.0)</f>
        <v>-3</v>
      </c>
      <c r="L265" s="16">
        <f>IFERROR(__xludf.DUMMYFUNCTION("""COMPUTED_VALUE"""),0.0)</f>
        <v>0</v>
      </c>
      <c r="M265" s="16">
        <f>IFERROR(__xludf.DUMMYFUNCTION("""COMPUTED_VALUE"""),0.0)</f>
        <v>0</v>
      </c>
      <c r="N265" s="16">
        <f>IFERROR(__xludf.DUMMYFUNCTION("""COMPUTED_VALUE"""),2.0)</f>
        <v>2</v>
      </c>
      <c r="O265" s="16">
        <f>IFERROR(__xludf.DUMMYFUNCTION("""COMPUTED_VALUE"""),3.0)</f>
        <v>3</v>
      </c>
      <c r="P265" s="16">
        <f>IFERROR(__xludf.DUMMYFUNCTION("""COMPUTED_VALUE"""),3.0)</f>
        <v>3</v>
      </c>
      <c r="Q265" s="16">
        <f>IFERROR(__xludf.DUMMYFUNCTION("""COMPUTED_VALUE"""),3.0)</f>
        <v>3</v>
      </c>
      <c r="R265" s="16">
        <f>IFERROR(__xludf.DUMMYFUNCTION("""COMPUTED_VALUE"""),3.0)</f>
        <v>3</v>
      </c>
      <c r="S265" s="16">
        <f>IFERROR(__xludf.DUMMYFUNCTION("""COMPUTED_VALUE"""),29.5)</f>
        <v>29.5</v>
      </c>
      <c r="T265" s="16">
        <f>IFERROR(__xludf.DUMMYFUNCTION("""COMPUTED_VALUE"""),10.0)</f>
        <v>10</v>
      </c>
      <c r="U265" s="16">
        <f>IFERROR(__xludf.DUMMYFUNCTION("""COMPUTED_VALUE"""),-2.0)</f>
        <v>-2</v>
      </c>
      <c r="V265" s="16">
        <f>IFERROR(__xludf.DUMMYFUNCTION("""COMPUTED_VALUE"""),1.0)</f>
        <v>1</v>
      </c>
      <c r="W265" s="16">
        <f>IFERROR(__xludf.DUMMYFUNCTION("""COMPUTED_VALUE"""),-4.0)</f>
        <v>-4</v>
      </c>
      <c r="X265" s="16">
        <f>IFERROR(__xludf.DUMMYFUNCTION("""COMPUTED_VALUE"""),2.0)</f>
        <v>2</v>
      </c>
      <c r="Y265" s="16">
        <f>IFERROR(__xludf.DUMMYFUNCTION("""COMPUTED_VALUE"""),29.5)</f>
        <v>29.5</v>
      </c>
      <c r="Z265" s="16">
        <f>IFERROR(__xludf.DUMMYFUNCTION("""COMPUTED_VALUE"""),12.0)</f>
        <v>12</v>
      </c>
      <c r="AA265" s="16">
        <f>IFERROR(__xludf.DUMMYFUNCTION("""COMPUTED_VALUE"""),-1.0)</f>
        <v>-1</v>
      </c>
      <c r="AB265" s="16">
        <f>IFERROR(__xludf.DUMMYFUNCTION("""COMPUTED_VALUE"""),2.0)</f>
        <v>2</v>
      </c>
      <c r="AC265" s="16">
        <f>IFERROR(__xludf.DUMMYFUNCTION("""COMPUTED_VALUE"""),-5.0)</f>
        <v>-5</v>
      </c>
      <c r="AD265" s="16">
        <f>IFERROR(__xludf.DUMMYFUNCTION("""COMPUTED_VALUE"""),10.0)</f>
        <v>10</v>
      </c>
      <c r="AE265" s="16">
        <f>IFERROR(__xludf.DUMMYFUNCTION("""COMPUTED_VALUE"""),44.9)</f>
        <v>44.9</v>
      </c>
      <c r="AF265" s="16">
        <f>IFERROR(__xludf.DUMMYFUNCTION("""COMPUTED_VALUE"""),13.3)</f>
        <v>13.3</v>
      </c>
      <c r="AG265" s="16">
        <f>IFERROR(__xludf.DUMMYFUNCTION("""COMPUTED_VALUE"""),-2.0)</f>
        <v>-2</v>
      </c>
      <c r="AH265" s="16">
        <f>IFERROR(__xludf.DUMMYFUNCTION("""COMPUTED_VALUE"""),2.0)</f>
        <v>2</v>
      </c>
      <c r="AI265" s="16">
        <f>IFERROR(__xludf.DUMMYFUNCTION("""COMPUTED_VALUE"""),-4.0)</f>
        <v>-4</v>
      </c>
      <c r="AJ265" s="16">
        <f>IFERROR(__xludf.DUMMYFUNCTION("""COMPUTED_VALUE"""),4.0)</f>
        <v>4</v>
      </c>
      <c r="AK265" s="16">
        <f>IFERROR(__xludf.DUMMYFUNCTION("""COMPUTED_VALUE"""),29.5)</f>
        <v>29.5</v>
      </c>
      <c r="AL265" s="16">
        <f>IFERROR(__xludf.DUMMYFUNCTION("""COMPUTED_VALUE"""),9.0)</f>
        <v>9</v>
      </c>
      <c r="AM265" s="16">
        <f>IFERROR(__xludf.DUMMYFUNCTION("""COMPUTED_VALUE"""),-2.0)</f>
        <v>-2</v>
      </c>
      <c r="AN265" s="16">
        <f>IFERROR(__xludf.DUMMYFUNCTION("""COMPUTED_VALUE"""),1.0)</f>
        <v>1</v>
      </c>
      <c r="AO265" s="16">
        <f>IFERROR(__xludf.DUMMYFUNCTION("""COMPUTED_VALUE"""),-2.0)</f>
        <v>-2</v>
      </c>
      <c r="AP265" s="16">
        <f>IFERROR(__xludf.DUMMYFUNCTION("""COMPUTED_VALUE"""),1.0)</f>
        <v>1</v>
      </c>
      <c r="AQ265" s="16">
        <f>IFERROR(__xludf.DUMMYFUNCTION("""COMPUTED_VALUE"""),44.9)</f>
        <v>44.9</v>
      </c>
      <c r="AR265" s="16">
        <f>IFERROR(__xludf.DUMMYFUNCTION("""COMPUTED_VALUE"""),9.3)</f>
        <v>9.3</v>
      </c>
      <c r="AS265" s="16">
        <f>IFERROR(__xludf.DUMMYFUNCTION("""COMPUTED_VALUE"""),-3.0)</f>
        <v>-3</v>
      </c>
      <c r="AT265" s="16">
        <f>IFERROR(__xludf.DUMMYFUNCTION("""COMPUTED_VALUE"""),1.0)</f>
        <v>1</v>
      </c>
      <c r="AU265" s="16">
        <f>IFERROR(__xludf.DUMMYFUNCTION("""COMPUTED_VALUE"""),-6.0)</f>
        <v>-6</v>
      </c>
      <c r="AV265" s="16">
        <f>IFERROR(__xludf.DUMMYFUNCTION("""COMPUTED_VALUE"""),2.0)</f>
        <v>2</v>
      </c>
      <c r="AW265" s="16">
        <f>IFERROR(__xludf.DUMMYFUNCTION("""COMPUTED_VALUE"""),0.0)</f>
        <v>0</v>
      </c>
      <c r="AX265" s="16">
        <f>IFERROR(__xludf.DUMMYFUNCTION("""COMPUTED_VALUE"""),1.0)</f>
        <v>1</v>
      </c>
      <c r="AY265" s="16">
        <f>IFERROR(__xludf.DUMMYFUNCTION("""COMPUTED_VALUE"""),2.0)</f>
        <v>2</v>
      </c>
      <c r="AZ265" s="16">
        <f>IFERROR(__xludf.DUMMYFUNCTION("""COMPUTED_VALUE"""),1.0)</f>
        <v>1</v>
      </c>
      <c r="BA265" s="16">
        <f>IFERROR(__xludf.DUMMYFUNCTION("""COMPUTED_VALUE"""),10.0)</f>
        <v>10</v>
      </c>
      <c r="BB265" s="16">
        <f>IFERROR(__xludf.DUMMYFUNCTION("""COMPUTED_VALUE"""),5.0)</f>
        <v>5</v>
      </c>
      <c r="BC265" s="16">
        <f>IFERROR(__xludf.DUMMYFUNCTION("""COMPUTED_VALUE"""),0.0)</f>
        <v>0</v>
      </c>
      <c r="BD265" s="16">
        <f>IFERROR(__xludf.DUMMYFUNCTION("""COMPUTED_VALUE"""),2.0)</f>
        <v>2</v>
      </c>
      <c r="BE265" s="16">
        <f>IFERROR(__xludf.DUMMYFUNCTION("""COMPUTED_VALUE"""),0.0)</f>
        <v>0</v>
      </c>
      <c r="BF265" s="16">
        <f>IFERROR(__xludf.DUMMYFUNCTION("""COMPUTED_VALUE"""),2.0)</f>
        <v>2</v>
      </c>
      <c r="BG265" s="16">
        <f>IFERROR(__xludf.DUMMYFUNCTION("""COMPUTED_VALUE"""),3.0)</f>
        <v>3</v>
      </c>
      <c r="BH265" s="16">
        <f>IFERROR(__xludf.DUMMYFUNCTION("""COMPUTED_VALUE"""),1.0)</f>
        <v>1</v>
      </c>
      <c r="BI265" s="16">
        <f>IFERROR(__xludf.DUMMYFUNCTION("""COMPUTED_VALUE"""),6.0)</f>
        <v>6</v>
      </c>
      <c r="BJ265" s="16">
        <f>IFERROR(__xludf.DUMMYFUNCTION("""COMPUTED_VALUE"""),2.0)</f>
        <v>2</v>
      </c>
      <c r="BK265" s="16">
        <f>IFERROR(__xludf.DUMMYFUNCTION("""COMPUTED_VALUE"""),5.0)</f>
        <v>5</v>
      </c>
      <c r="BL265" s="16">
        <f>IFERROR(__xludf.DUMMYFUNCTION("""COMPUTED_VALUE"""),5.0)</f>
        <v>5</v>
      </c>
      <c r="BM265" s="16">
        <f>IFERROR(__xludf.DUMMYFUNCTION("""COMPUTED_VALUE"""),0.0)</f>
        <v>0</v>
      </c>
      <c r="BN265" s="16">
        <f>IFERROR(__xludf.DUMMYFUNCTION("""COMPUTED_VALUE"""),0.0)</f>
        <v>0</v>
      </c>
      <c r="BO265" s="16">
        <f>IFERROR(__xludf.DUMMYFUNCTION("""COMPUTED_VALUE"""),0.0)</f>
        <v>0</v>
      </c>
      <c r="BP265" s="16">
        <f>IFERROR(__xludf.DUMMYFUNCTION("""COMPUTED_VALUE"""),0.0)</f>
        <v>0</v>
      </c>
      <c r="BQ265" s="16">
        <f>IFERROR(__xludf.DUMMYFUNCTION("""COMPUTED_VALUE"""),0.0)</f>
        <v>0</v>
      </c>
      <c r="BR265" s="16">
        <f>IFERROR(__xludf.DUMMYFUNCTION("""COMPUTED_VALUE"""),0.0)</f>
        <v>0</v>
      </c>
      <c r="BS265" s="16">
        <f>IFERROR(__xludf.DUMMYFUNCTION("""COMPUTED_VALUE"""),-3.0)</f>
        <v>-3</v>
      </c>
      <c r="BT265" s="16">
        <f>IFERROR(__xludf.DUMMYFUNCTION("""COMPUTED_VALUE"""),-3.0)</f>
        <v>-3</v>
      </c>
      <c r="BU265" s="16">
        <f>IFERROR(__xludf.DUMMYFUNCTION("""COMPUTED_VALUE"""),-6.0)</f>
        <v>-6</v>
      </c>
      <c r="BV265" s="16">
        <f>IFERROR(__xludf.DUMMYFUNCTION("""COMPUTED_VALUE"""),-6.0)</f>
        <v>-6</v>
      </c>
      <c r="BW265" s="16">
        <f>IFERROR(__xludf.DUMMYFUNCTION("""COMPUTED_VALUE"""),-2.0)</f>
        <v>-2</v>
      </c>
      <c r="BX265" s="16">
        <f>IFERROR(__xludf.DUMMYFUNCTION("""COMPUTED_VALUE"""),-2.0)</f>
        <v>-2</v>
      </c>
      <c r="BY265" s="16" t="str">
        <f>IFERROR(__xludf.DUMMYFUNCTION("""COMPUTED_VALUE"""),"R(1) C(0)")</f>
        <v>R(1) C(0)</v>
      </c>
      <c r="BZ265" s="16" t="str">
        <f>IFERROR(__xludf.DUMMYFUNCTION("""COMPUTED_VALUE"""),"R(1) C(0)")</f>
        <v>R(1) C(0)</v>
      </c>
      <c r="CA265" s="16" t="str">
        <f>IFERROR(__xludf.DUMMYFUNCTION("""COMPUTED_VALUE"""),"R(1)")</f>
        <v>R(1)</v>
      </c>
      <c r="CB265" s="16" t="str">
        <f>IFERROR(__xludf.DUMMYFUNCTION("""COMPUTED_VALUE"""),"C(0)")</f>
        <v>C(0)</v>
      </c>
      <c r="CC265" s="16"/>
      <c r="CD265" s="16"/>
      <c r="CE265" s="16">
        <f>IFERROR(__xludf.DUMMYFUNCTION("""COMPUTED_VALUE"""),1.0)</f>
        <v>1</v>
      </c>
      <c r="CF265" s="16">
        <f>IFERROR(__xludf.DUMMYFUNCTION("""COMPUTED_VALUE"""),0.0)</f>
        <v>0</v>
      </c>
      <c r="CG265" s="16" t="str">
        <f>IFERROR(__xludf.DUMMYFUNCTION("""COMPUTED_VALUE"""),"3-51")</f>
        <v>3-51</v>
      </c>
      <c r="CH265" s="16">
        <f>IFERROR(__xludf.DUMMYFUNCTION("""COMPUTED_VALUE"""),3.0)</f>
        <v>3</v>
      </c>
      <c r="CI265" s="16">
        <f>IFERROR(__xludf.DUMMYFUNCTION("""COMPUTED_VALUE"""),51.0)</f>
        <v>51</v>
      </c>
      <c r="CJ265" s="16">
        <f>IFERROR(__xludf.DUMMYFUNCTION("""COMPUTED_VALUE"""),0.0)</f>
        <v>0</v>
      </c>
      <c r="CK265" s="16">
        <f>IFERROR(__xludf.DUMMYFUNCTION("""COMPUTED_VALUE"""),12.0)</f>
        <v>12</v>
      </c>
      <c r="CL265" s="16" t="str">
        <f>IFERROR(__xludf.DUMMYFUNCTION("""COMPUTED_VALUE"""),"1WR-C")</f>
        <v>1WR-C</v>
      </c>
      <c r="CM265" s="16" t="str">
        <f>IFERROR(__xludf.DUMMYFUNCTION("""COMPUTED_VALUE"""),"E")</f>
        <v>E</v>
      </c>
      <c r="CN265" s="16">
        <f>IFERROR(__xludf.DUMMYFUNCTION("""COMPUTED_VALUE"""),10.0)</f>
        <v>10</v>
      </c>
      <c r="CO265" s="16" t="str">
        <f>IFERROR(__xludf.DUMMYFUNCTION("""COMPUTED_VALUE"""),"C")</f>
        <v>C</v>
      </c>
      <c r="CP265" s="16" t="str">
        <f>IFERROR(__xludf.DUMMYFUNCTION("""COMPUTED_VALUE"""),"5p30")</f>
        <v>5p30</v>
      </c>
      <c r="CQ265" s="16">
        <f>IFERROR(__xludf.DUMMYFUNCTION("""COMPUTED_VALUE"""),-11.0)</f>
        <v>-11</v>
      </c>
      <c r="CR265" s="16">
        <f>IFERROR(__xludf.DUMMYFUNCTION("""COMPUTED_VALUE"""),23.0)</f>
        <v>23</v>
      </c>
      <c r="CS265" s="16">
        <f>IFERROR(__xludf.DUMMYFUNCTION("""COMPUTED_VALUE"""),12.0)</f>
        <v>12</v>
      </c>
      <c r="CT265" s="16">
        <f>IFERROR(__xludf.DUMMYFUNCTION("""COMPUTED_VALUE"""),-11.0)</f>
        <v>-11</v>
      </c>
      <c r="CU265" s="16">
        <f>IFERROR(__xludf.DUMMYFUNCTION("""COMPUTED_VALUE"""),23.0)</f>
        <v>23</v>
      </c>
      <c r="CV265" s="179">
        <f>IFERROR(__xludf.DUMMYFUNCTION("""COMPUTED_VALUE"""),2.3333333333333335)</f>
        <v>2.333333333</v>
      </c>
      <c r="CW265" s="179">
        <f>IFERROR(__xludf.DUMMYFUNCTION("""COMPUTED_VALUE"""),0.0)</f>
        <v>0</v>
      </c>
      <c r="CX265" s="179">
        <f>IFERROR(__xludf.DUMMYFUNCTION("""COMPUTED_VALUE"""),2.0)</f>
        <v>2</v>
      </c>
      <c r="CY265" s="16" t="str">
        <f>IFERROR(__xludf.DUMMYFUNCTION("""COMPUTED_VALUE"""),"RP")</f>
        <v>RP</v>
      </c>
      <c r="CZ265" s="16" t="str">
        <f>IFERROR(__xludf.DUMMYFUNCTION("""COMPUTED_VALUE"""),"CP")</f>
        <v>CP</v>
      </c>
      <c r="DA265" s="16"/>
      <c r="DB265" s="16"/>
      <c r="DC265" s="16"/>
      <c r="DD265" s="16"/>
      <c r="DE265" s="16"/>
      <c r="DF265" s="16"/>
      <c r="DG265" s="16"/>
      <c r="DH265" s="16"/>
      <c r="DI265" s="16"/>
      <c r="DJ265" s="16"/>
      <c r="DK265" s="16"/>
    </row>
    <row r="266">
      <c r="A266" s="16">
        <f>IFERROR(__xludf.DUMMYFUNCTION("""COMPUTED_VALUE"""),12968.0)</f>
        <v>12968</v>
      </c>
      <c r="B266" s="16" t="str">
        <f>IFERROR(__xludf.DUMMYFUNCTION("""COMPUTED_VALUE"""),"Joe Musgrove")</f>
        <v>Joe Musgrove</v>
      </c>
      <c r="C266" s="153">
        <f>IFERROR(__xludf.DUMMYFUNCTION("""COMPUTED_VALUE"""),0.92)</f>
        <v>0.92</v>
      </c>
      <c r="D266" s="16"/>
      <c r="E266" s="16" t="str">
        <f>IFERROR(__xludf.DUMMYFUNCTION("""COMPUTED_VALUE"""),"R")</f>
        <v>R</v>
      </c>
      <c r="F266" s="16">
        <f>IFERROR(__xludf.DUMMYFUNCTION("""COMPUTED_VALUE"""),100.0)</f>
        <v>100</v>
      </c>
      <c r="G266" s="16">
        <f>IFERROR(__xludf.DUMMYFUNCTION("""COMPUTED_VALUE"""),30.0)</f>
        <v>30</v>
      </c>
      <c r="H266" s="16">
        <f>IFERROR(__xludf.DUMMYFUNCTION("""COMPUTED_VALUE"""),29.0)</f>
        <v>29</v>
      </c>
      <c r="I266" s="16">
        <f>IFERROR(__xludf.DUMMYFUNCTION("""COMPUTED_VALUE"""),0.0)</f>
        <v>0</v>
      </c>
      <c r="J266" s="16">
        <f>IFERROR(__xludf.DUMMYFUNCTION("""COMPUTED_VALUE"""),0.0)</f>
        <v>0</v>
      </c>
      <c r="K266" s="16">
        <f>IFERROR(__xludf.DUMMYFUNCTION("""COMPUTED_VALUE"""),0.0)</f>
        <v>0</v>
      </c>
      <c r="L266" s="16">
        <f>IFERROR(__xludf.DUMMYFUNCTION("""COMPUTED_VALUE"""),0.0)</f>
        <v>0</v>
      </c>
      <c r="M266" s="16">
        <f>IFERROR(__xludf.DUMMYFUNCTION("""COMPUTED_VALUE"""),5.0)</f>
        <v>5</v>
      </c>
      <c r="N266" s="16">
        <f>IFERROR(__xludf.DUMMYFUNCTION("""COMPUTED_VALUE"""),3.0)</f>
        <v>3</v>
      </c>
      <c r="O266" s="16">
        <f>IFERROR(__xludf.DUMMYFUNCTION("""COMPUTED_VALUE"""),2.0)</f>
        <v>2</v>
      </c>
      <c r="P266" s="16">
        <f>IFERROR(__xludf.DUMMYFUNCTION("""COMPUTED_VALUE"""),2.0)</f>
        <v>2</v>
      </c>
      <c r="Q266" s="16">
        <f>IFERROR(__xludf.DUMMYFUNCTION("""COMPUTED_VALUE"""),2.0)</f>
        <v>2</v>
      </c>
      <c r="R266" s="16">
        <f>IFERROR(__xludf.DUMMYFUNCTION("""COMPUTED_VALUE"""),2.0)</f>
        <v>2</v>
      </c>
      <c r="S266" s="16">
        <f>IFERROR(__xludf.DUMMYFUNCTION("""COMPUTED_VALUE"""),15.1)</f>
        <v>15.1</v>
      </c>
      <c r="T266" s="16">
        <f>IFERROR(__xludf.DUMMYFUNCTION("""COMPUTED_VALUE"""),21.7)</f>
        <v>21.7</v>
      </c>
      <c r="U266" s="16">
        <f>IFERROR(__xludf.DUMMYFUNCTION("""COMPUTED_VALUE"""),0.0)</f>
        <v>0</v>
      </c>
      <c r="V266" s="16">
        <f>IFERROR(__xludf.DUMMYFUNCTION("""COMPUTED_VALUE"""),-1.0)</f>
        <v>-1</v>
      </c>
      <c r="W266" s="16">
        <f>IFERROR(__xludf.DUMMYFUNCTION("""COMPUTED_VALUE"""),0.0)</f>
        <v>0</v>
      </c>
      <c r="X266" s="16">
        <f>IFERROR(__xludf.DUMMYFUNCTION("""COMPUTED_VALUE"""),-2.0)</f>
        <v>-2</v>
      </c>
      <c r="Y266" s="16">
        <f>IFERROR(__xludf.DUMMYFUNCTION("""COMPUTED_VALUE"""),20.1)</f>
        <v>20.1</v>
      </c>
      <c r="Z266" s="16">
        <f>IFERROR(__xludf.DUMMYFUNCTION("""COMPUTED_VALUE"""),24.7)</f>
        <v>24.7</v>
      </c>
      <c r="AA266" s="16">
        <f>IFERROR(__xludf.DUMMYFUNCTION("""COMPUTED_VALUE"""),1.0)</f>
        <v>1</v>
      </c>
      <c r="AB266" s="16">
        <f>IFERROR(__xludf.DUMMYFUNCTION("""COMPUTED_VALUE"""),0.0)</f>
        <v>0</v>
      </c>
      <c r="AC266" s="16">
        <f>IFERROR(__xludf.DUMMYFUNCTION("""COMPUTED_VALUE"""),5.0)</f>
        <v>5</v>
      </c>
      <c r="AD266" s="16">
        <f>IFERROR(__xludf.DUMMYFUNCTION("""COMPUTED_VALUE"""),0.0)</f>
        <v>0</v>
      </c>
      <c r="AE266" s="16">
        <f>IFERROR(__xludf.DUMMYFUNCTION("""COMPUTED_VALUE"""),21.0)</f>
        <v>21</v>
      </c>
      <c r="AF266" s="16">
        <f>IFERROR(__xludf.DUMMYFUNCTION("""COMPUTED_VALUE"""),40.7)</f>
        <v>40.7</v>
      </c>
      <c r="AG266" s="16">
        <f>IFERROR(__xludf.DUMMYFUNCTION("""COMPUTED_VALUE"""),1.0)</f>
        <v>1</v>
      </c>
      <c r="AH266" s="16">
        <f>IFERROR(__xludf.DUMMYFUNCTION("""COMPUTED_VALUE"""),-1.0)</f>
        <v>-1</v>
      </c>
      <c r="AI266" s="16">
        <f>IFERROR(__xludf.DUMMYFUNCTION("""COMPUTED_VALUE"""),2.0)</f>
        <v>2</v>
      </c>
      <c r="AJ266" s="16">
        <f>IFERROR(__xludf.DUMMYFUNCTION("""COMPUTED_VALUE"""),-2.0)</f>
        <v>-2</v>
      </c>
      <c r="AK266" s="16">
        <f>IFERROR(__xludf.DUMMYFUNCTION("""COMPUTED_VALUE"""),14.9)</f>
        <v>14.9</v>
      </c>
      <c r="AL266" s="16">
        <f>IFERROR(__xludf.DUMMYFUNCTION("""COMPUTED_VALUE"""),17.9)</f>
        <v>17.9</v>
      </c>
      <c r="AM266" s="16">
        <f>IFERROR(__xludf.DUMMYFUNCTION("""COMPUTED_VALUE"""),0.0)</f>
        <v>0</v>
      </c>
      <c r="AN266" s="16">
        <f>IFERROR(__xludf.DUMMYFUNCTION("""COMPUTED_VALUE"""),-1.0)</f>
        <v>-1</v>
      </c>
      <c r="AO266" s="16">
        <f>IFERROR(__xludf.DUMMYFUNCTION("""COMPUTED_VALUE"""),0.0)</f>
        <v>0</v>
      </c>
      <c r="AP266" s="16">
        <f>IFERROR(__xludf.DUMMYFUNCTION("""COMPUTED_VALUE"""),-1.0)</f>
        <v>-1</v>
      </c>
      <c r="AQ266" s="16">
        <f>IFERROR(__xludf.DUMMYFUNCTION("""COMPUTED_VALUE"""),20.2)</f>
        <v>20.2</v>
      </c>
      <c r="AR266" s="16">
        <f>IFERROR(__xludf.DUMMYFUNCTION("""COMPUTED_VALUE"""),25.500000000000004)</f>
        <v>25.5</v>
      </c>
      <c r="AS266" s="16">
        <f>IFERROR(__xludf.DUMMYFUNCTION("""COMPUTED_VALUE"""),0.0)</f>
        <v>0</v>
      </c>
      <c r="AT266" s="16">
        <f>IFERROR(__xludf.DUMMYFUNCTION("""COMPUTED_VALUE"""),-1.0)</f>
        <v>-1</v>
      </c>
      <c r="AU266" s="16">
        <f>IFERROR(__xludf.DUMMYFUNCTION("""COMPUTED_VALUE"""),0.0)</f>
        <v>0</v>
      </c>
      <c r="AV266" s="16">
        <f>IFERROR(__xludf.DUMMYFUNCTION("""COMPUTED_VALUE"""),-2.0)</f>
        <v>-2</v>
      </c>
      <c r="AW266" s="16">
        <f>IFERROR(__xludf.DUMMYFUNCTION("""COMPUTED_VALUE"""),0.2)</f>
        <v>0.2</v>
      </c>
      <c r="AX266" s="16">
        <f>IFERROR(__xludf.DUMMYFUNCTION("""COMPUTED_VALUE"""),3.8)</f>
        <v>3.8</v>
      </c>
      <c r="AY266" s="16">
        <f>IFERROR(__xludf.DUMMYFUNCTION("""COMPUTED_VALUE"""),2.0)</f>
        <v>2</v>
      </c>
      <c r="AZ266" s="16">
        <f>IFERROR(__xludf.DUMMYFUNCTION("""COMPUTED_VALUE"""),-2.0)</f>
        <v>-2</v>
      </c>
      <c r="BA266" s="16">
        <f>IFERROR(__xludf.DUMMYFUNCTION("""COMPUTED_VALUE"""),10.0)</f>
        <v>10</v>
      </c>
      <c r="BB266" s="16">
        <f>IFERROR(__xludf.DUMMYFUNCTION("""COMPUTED_VALUE"""),-10.0)</f>
        <v>-10</v>
      </c>
      <c r="BC266" s="16">
        <f>IFERROR(__xludf.DUMMYFUNCTION("""COMPUTED_VALUE"""),0.0)</f>
        <v>0</v>
      </c>
      <c r="BD266" s="16">
        <f>IFERROR(__xludf.DUMMYFUNCTION("""COMPUTED_VALUE"""),7.0)</f>
        <v>7</v>
      </c>
      <c r="BE266" s="16">
        <f>IFERROR(__xludf.DUMMYFUNCTION("""COMPUTED_VALUE"""),0.0)</f>
        <v>0</v>
      </c>
      <c r="BF266" s="16">
        <f>IFERROR(__xludf.DUMMYFUNCTION("""COMPUTED_VALUE"""),7.0)</f>
        <v>7</v>
      </c>
      <c r="BG266" s="16">
        <f>IFERROR(__xludf.DUMMYFUNCTION("""COMPUTED_VALUE"""),3.0)</f>
        <v>3</v>
      </c>
      <c r="BH266" s="16">
        <f>IFERROR(__xludf.DUMMYFUNCTION("""COMPUTED_VALUE"""),-3.0)</f>
        <v>-3</v>
      </c>
      <c r="BI266" s="16">
        <f>IFERROR(__xludf.DUMMYFUNCTION("""COMPUTED_VALUE"""),6.0)</f>
        <v>6</v>
      </c>
      <c r="BJ266" s="16">
        <f>IFERROR(__xludf.DUMMYFUNCTION("""COMPUTED_VALUE"""),-6.0)</f>
        <v>-6</v>
      </c>
      <c r="BK266" s="16">
        <f>IFERROR(__xludf.DUMMYFUNCTION("""COMPUTED_VALUE"""),5.0)</f>
        <v>5</v>
      </c>
      <c r="BL266" s="16">
        <f>IFERROR(__xludf.DUMMYFUNCTION("""COMPUTED_VALUE"""),5.0)</f>
        <v>5</v>
      </c>
      <c r="BM266" s="16">
        <f>IFERROR(__xludf.DUMMYFUNCTION("""COMPUTED_VALUE"""),0.0)</f>
        <v>0</v>
      </c>
      <c r="BN266" s="16">
        <f>IFERROR(__xludf.DUMMYFUNCTION("""COMPUTED_VALUE"""),0.0)</f>
        <v>0</v>
      </c>
      <c r="BO266" s="16">
        <f>IFERROR(__xludf.DUMMYFUNCTION("""COMPUTED_VALUE"""),0.0)</f>
        <v>0</v>
      </c>
      <c r="BP266" s="16">
        <f>IFERROR(__xludf.DUMMYFUNCTION("""COMPUTED_VALUE"""),0.0)</f>
        <v>0</v>
      </c>
      <c r="BQ266" s="16">
        <f>IFERROR(__xludf.DUMMYFUNCTION("""COMPUTED_VALUE"""),12.0)</f>
        <v>12</v>
      </c>
      <c r="BR266" s="16">
        <f>IFERROR(__xludf.DUMMYFUNCTION("""COMPUTED_VALUE"""),9.0)</f>
        <v>9</v>
      </c>
      <c r="BS266" s="16">
        <f>IFERROR(__xludf.DUMMYFUNCTION("""COMPUTED_VALUE"""),3.0)</f>
        <v>3</v>
      </c>
      <c r="BT266" s="16">
        <f>IFERROR(__xludf.DUMMYFUNCTION("""COMPUTED_VALUE"""),3.0)</f>
        <v>3</v>
      </c>
      <c r="BU266" s="16">
        <f>IFERROR(__xludf.DUMMYFUNCTION("""COMPUTED_VALUE"""),6.0)</f>
        <v>6</v>
      </c>
      <c r="BV266" s="16">
        <f>IFERROR(__xludf.DUMMYFUNCTION("""COMPUTED_VALUE"""),6.0)</f>
        <v>6</v>
      </c>
      <c r="BW266" s="16">
        <f>IFERROR(__xludf.DUMMYFUNCTION("""COMPUTED_VALUE"""),-1.0)</f>
        <v>-1</v>
      </c>
      <c r="BX266" s="16">
        <f>IFERROR(__xludf.DUMMYFUNCTION("""COMPUTED_VALUE"""),-1.0)</f>
        <v>-1</v>
      </c>
      <c r="BY266" s="16" t="str">
        <f>IFERROR(__xludf.DUMMYFUNCTION("""COMPUTED_VALUE"""),"S(6)")</f>
        <v>S(6)</v>
      </c>
      <c r="BZ266" s="16" t="str">
        <f>IFERROR(__xludf.DUMMYFUNCTION("""COMPUTED_VALUE"""),"S(6)")</f>
        <v>S(6)</v>
      </c>
      <c r="CA266" s="16" t="str">
        <f>IFERROR(__xludf.DUMMYFUNCTION("""COMPUTED_VALUE"""),"S(6)")</f>
        <v>S(6)</v>
      </c>
      <c r="CB266" s="16"/>
      <c r="CC266" s="16"/>
      <c r="CD266" s="16">
        <f>IFERROR(__xludf.DUMMYFUNCTION("""COMPUTED_VALUE"""),6.0)</f>
        <v>6</v>
      </c>
      <c r="CE266" s="16"/>
      <c r="CF266" s="16"/>
      <c r="CG266" s="16" t="str">
        <f>IFERROR(__xludf.DUMMYFUNCTION("""COMPUTED_VALUE"""),"1-14")</f>
        <v>1-14</v>
      </c>
      <c r="CH266" s="16">
        <f>IFERROR(__xludf.DUMMYFUNCTION("""COMPUTED_VALUE"""),1.0)</f>
        <v>1</v>
      </c>
      <c r="CI266" s="16">
        <f>IFERROR(__xludf.DUMMYFUNCTION("""COMPUTED_VALUE"""),14.0)</f>
        <v>14</v>
      </c>
      <c r="CJ266" s="16">
        <f>IFERROR(__xludf.DUMMYFUNCTION("""COMPUTED_VALUE"""),0.0)</f>
        <v>0</v>
      </c>
      <c r="CK266" s="16">
        <f>IFERROR(__xludf.DUMMYFUNCTION("""COMPUTED_VALUE"""),0.0)</f>
        <v>0</v>
      </c>
      <c r="CL266" s="16" t="str">
        <f>IFERROR(__xludf.DUMMYFUNCTION("""COMPUTED_VALUE"""),"1WR-C")</f>
        <v>1WR-C</v>
      </c>
      <c r="CM266" s="16" t="str">
        <f>IFERROR(__xludf.DUMMYFUNCTION("""COMPUTED_VALUE"""),"E")</f>
        <v>E</v>
      </c>
      <c r="CN266" s="16">
        <f>IFERROR(__xludf.DUMMYFUNCTION("""COMPUTED_VALUE"""),12.0)</f>
        <v>12</v>
      </c>
      <c r="CO266" s="16" t="str">
        <f>IFERROR(__xludf.DUMMYFUNCTION("""COMPUTED_VALUE"""),"C")</f>
        <v>C</v>
      </c>
      <c r="CP266" s="16" t="str">
        <f>IFERROR(__xludf.DUMMYFUNCTION("""COMPUTED_VALUE"""),"3p50")</f>
        <v>3p50</v>
      </c>
      <c r="CQ266" s="16">
        <f>IFERROR(__xludf.DUMMYFUNCTION("""COMPUTED_VALUE"""),31.0)</f>
        <v>31</v>
      </c>
      <c r="CR266" s="16">
        <f>IFERROR(__xludf.DUMMYFUNCTION("""COMPUTED_VALUE"""),-15.0)</f>
        <v>-15</v>
      </c>
      <c r="CS266" s="16">
        <f>IFERROR(__xludf.DUMMYFUNCTION("""COMPUTED_VALUE"""),16.0)</f>
        <v>16</v>
      </c>
      <c r="CT266" s="16">
        <f>IFERROR(__xludf.DUMMYFUNCTION("""COMPUTED_VALUE"""),31.0)</f>
        <v>31</v>
      </c>
      <c r="CU266" s="16">
        <f>IFERROR(__xludf.DUMMYFUNCTION("""COMPUTED_VALUE"""),-15.0)</f>
        <v>-15</v>
      </c>
      <c r="CV266" s="179">
        <f>IFERROR(__xludf.DUMMYFUNCTION("""COMPUTED_VALUE"""),2.3333333333333335)</f>
        <v>2.333333333</v>
      </c>
      <c r="CW266" s="179">
        <f>IFERROR(__xludf.DUMMYFUNCTION("""COMPUTED_VALUE"""),2.0)</f>
        <v>2</v>
      </c>
      <c r="CX266" s="179">
        <f>IFERROR(__xludf.DUMMYFUNCTION("""COMPUTED_VALUE"""),0.0)</f>
        <v>0</v>
      </c>
      <c r="CY266" s="16" t="str">
        <f>IFERROR(__xludf.DUMMYFUNCTION("""COMPUTED_VALUE"""),"SP")</f>
        <v>SP</v>
      </c>
      <c r="CZ266" s="16"/>
      <c r="DA266" s="16"/>
      <c r="DB266" s="16"/>
      <c r="DC266" s="16"/>
      <c r="DD266" s="16"/>
      <c r="DE266" s="16"/>
      <c r="DF266" s="16"/>
      <c r="DG266" s="16"/>
      <c r="DH266" s="16"/>
      <c r="DI266" s="16"/>
      <c r="DJ266" s="16"/>
      <c r="DK266" s="16"/>
    </row>
    <row r="267">
      <c r="A267" s="16">
        <f>IFERROR(__xludf.DUMMYFUNCTION("""COMPUTED_VALUE"""),12630.0)</f>
        <v>12630</v>
      </c>
      <c r="B267" s="16" t="str">
        <f>IFERROR(__xludf.DUMMYFUNCTION("""COMPUTED_VALUE"""),"Bryan Sammons")</f>
        <v>Bryan Sammons</v>
      </c>
      <c r="C267" s="153">
        <f>IFERROR(__xludf.DUMMYFUNCTION("""COMPUTED_VALUE"""),0.79)</f>
        <v>0.79</v>
      </c>
      <c r="D267" s="16"/>
      <c r="E267" s="16" t="str">
        <f>IFERROR(__xludf.DUMMYFUNCTION("""COMPUTED_VALUE"""),"L")</f>
        <v>L</v>
      </c>
      <c r="F267" s="16">
        <f>IFERROR(__xludf.DUMMYFUNCTION("""COMPUTED_VALUE"""),27.0)</f>
        <v>27</v>
      </c>
      <c r="G267" s="16">
        <f>IFERROR(__xludf.DUMMYFUNCTION("""COMPUTED_VALUE"""),0.0)</f>
        <v>0</v>
      </c>
      <c r="H267" s="16">
        <f>IFERROR(__xludf.DUMMYFUNCTION("""COMPUTED_VALUE"""),21.0)</f>
        <v>21</v>
      </c>
      <c r="I267" s="16">
        <f>IFERROR(__xludf.DUMMYFUNCTION("""COMPUTED_VALUE"""),-3.0)</f>
        <v>-3</v>
      </c>
      <c r="J267" s="16">
        <f>IFERROR(__xludf.DUMMYFUNCTION("""COMPUTED_VALUE"""),-1.0)</f>
        <v>-1</v>
      </c>
      <c r="K267" s="16">
        <f>IFERROR(__xludf.DUMMYFUNCTION("""COMPUTED_VALUE"""),-9.0)</f>
        <v>-9</v>
      </c>
      <c r="L267" s="16">
        <f>IFERROR(__xludf.DUMMYFUNCTION("""COMPUTED_VALUE"""),-3.0)</f>
        <v>-3</v>
      </c>
      <c r="M267" s="16">
        <f>IFERROR(__xludf.DUMMYFUNCTION("""COMPUTED_VALUE"""),10.0)</f>
        <v>10</v>
      </c>
      <c r="N267" s="16">
        <f>IFERROR(__xludf.DUMMYFUNCTION("""COMPUTED_VALUE"""),11.0)</f>
        <v>11</v>
      </c>
      <c r="O267" s="16">
        <f>IFERROR(__xludf.DUMMYFUNCTION("""COMPUTED_VALUE"""),0.0)</f>
        <v>0</v>
      </c>
      <c r="P267" s="16">
        <f>IFERROR(__xludf.DUMMYFUNCTION("""COMPUTED_VALUE"""),-1.0)</f>
        <v>-1</v>
      </c>
      <c r="Q267" s="16">
        <f>IFERROR(__xludf.DUMMYFUNCTION("""COMPUTED_VALUE"""),0.0)</f>
        <v>0</v>
      </c>
      <c r="R267" s="16">
        <f>IFERROR(__xludf.DUMMYFUNCTION("""COMPUTED_VALUE"""),-1.0)</f>
        <v>-1</v>
      </c>
      <c r="S267" s="16">
        <f>IFERROR(__xludf.DUMMYFUNCTION("""COMPUTED_VALUE"""),5.6)</f>
        <v>5.6</v>
      </c>
      <c r="T267" s="16">
        <f>IFERROR(__xludf.DUMMYFUNCTION("""COMPUTED_VALUE"""),6.3)</f>
        <v>6.3</v>
      </c>
      <c r="U267" s="16">
        <f>IFERROR(__xludf.DUMMYFUNCTION("""COMPUTED_VALUE"""),2.0)</f>
        <v>2</v>
      </c>
      <c r="V267" s="16">
        <f>IFERROR(__xludf.DUMMYFUNCTION("""COMPUTED_VALUE"""),2.0)</f>
        <v>2</v>
      </c>
      <c r="W267" s="16">
        <f>IFERROR(__xludf.DUMMYFUNCTION("""COMPUTED_VALUE"""),4.0)</f>
        <v>4</v>
      </c>
      <c r="X267" s="16">
        <f>IFERROR(__xludf.DUMMYFUNCTION("""COMPUTED_VALUE"""),4.0)</f>
        <v>4</v>
      </c>
      <c r="Y267" s="16">
        <f>IFERROR(__xludf.DUMMYFUNCTION("""COMPUTED_VALUE"""),15.6)</f>
        <v>15.6</v>
      </c>
      <c r="Z267" s="16">
        <f>IFERROR(__xludf.DUMMYFUNCTION("""COMPUTED_VALUE"""),17.3)</f>
        <v>17.3</v>
      </c>
      <c r="AA267" s="16">
        <f>IFERROR(__xludf.DUMMYFUNCTION("""COMPUTED_VALUE"""),1.0)</f>
        <v>1</v>
      </c>
      <c r="AB267" s="16">
        <f>IFERROR(__xludf.DUMMYFUNCTION("""COMPUTED_VALUE"""),1.0)</f>
        <v>1</v>
      </c>
      <c r="AC267" s="16">
        <f>IFERROR(__xludf.DUMMYFUNCTION("""COMPUTED_VALUE"""),5.0)</f>
        <v>5</v>
      </c>
      <c r="AD267" s="16">
        <f>IFERROR(__xludf.DUMMYFUNCTION("""COMPUTED_VALUE"""),5.0)</f>
        <v>5</v>
      </c>
      <c r="AE267" s="16">
        <f>IFERROR(__xludf.DUMMYFUNCTION("""COMPUTED_VALUE"""),22.1)</f>
        <v>22.1</v>
      </c>
      <c r="AF267" s="16">
        <f>IFERROR(__xludf.DUMMYFUNCTION("""COMPUTED_VALUE"""),25.0)</f>
        <v>25</v>
      </c>
      <c r="AG267" s="16">
        <f>IFERROR(__xludf.DUMMYFUNCTION("""COMPUTED_VALUE"""),1.0)</f>
        <v>1</v>
      </c>
      <c r="AH267" s="16">
        <f>IFERROR(__xludf.DUMMYFUNCTION("""COMPUTED_VALUE"""),0.0)</f>
        <v>0</v>
      </c>
      <c r="AI267" s="16">
        <f>IFERROR(__xludf.DUMMYFUNCTION("""COMPUTED_VALUE"""),2.0)</f>
        <v>2</v>
      </c>
      <c r="AJ267" s="16">
        <f>IFERROR(__xludf.DUMMYFUNCTION("""COMPUTED_VALUE"""),0.0)</f>
        <v>0</v>
      </c>
      <c r="AK267" s="16">
        <f>IFERROR(__xludf.DUMMYFUNCTION("""COMPUTED_VALUE"""),0.09999999999999964)</f>
        <v>0.1</v>
      </c>
      <c r="AL267" s="16">
        <f>IFERROR(__xludf.DUMMYFUNCTION("""COMPUTED_VALUE"""),0.0)</f>
        <v>0</v>
      </c>
      <c r="AM267" s="16">
        <f>IFERROR(__xludf.DUMMYFUNCTION("""COMPUTED_VALUE"""),2.0)</f>
        <v>2</v>
      </c>
      <c r="AN267" s="16">
        <f>IFERROR(__xludf.DUMMYFUNCTION("""COMPUTED_VALUE"""),3.0)</f>
        <v>3</v>
      </c>
      <c r="AO267" s="16">
        <f>IFERROR(__xludf.DUMMYFUNCTION("""COMPUTED_VALUE"""),2.0)</f>
        <v>2</v>
      </c>
      <c r="AP267" s="16">
        <f>IFERROR(__xludf.DUMMYFUNCTION("""COMPUTED_VALUE"""),3.0)</f>
        <v>3</v>
      </c>
      <c r="AQ267" s="16">
        <f>IFERROR(__xludf.DUMMYFUNCTION("""COMPUTED_VALUE"""),0.10000000000000142)</f>
        <v>0.1</v>
      </c>
      <c r="AR267" s="16">
        <f>IFERROR(__xludf.DUMMYFUNCTION("""COMPUTED_VALUE"""),-0.1999999999999993)</f>
        <v>-0.2</v>
      </c>
      <c r="AS267" s="16">
        <f>IFERROR(__xludf.DUMMYFUNCTION("""COMPUTED_VALUE"""),2.0)</f>
        <v>2</v>
      </c>
      <c r="AT267" s="16">
        <f>IFERROR(__xludf.DUMMYFUNCTION("""COMPUTED_VALUE"""),2.0)</f>
        <v>2</v>
      </c>
      <c r="AU267" s="16">
        <f>IFERROR(__xludf.DUMMYFUNCTION("""COMPUTED_VALUE"""),4.0)</f>
        <v>4</v>
      </c>
      <c r="AV267" s="16">
        <f>IFERROR(__xludf.DUMMYFUNCTION("""COMPUTED_VALUE"""),4.0)</f>
        <v>4</v>
      </c>
      <c r="AW267" s="16">
        <f>IFERROR(__xludf.DUMMYFUNCTION("""COMPUTED_VALUE"""),5.5)</f>
        <v>5.5</v>
      </c>
      <c r="AX267" s="16">
        <f>IFERROR(__xludf.DUMMYFUNCTION("""COMPUTED_VALUE"""),6.3)</f>
        <v>6.3</v>
      </c>
      <c r="AY267" s="16">
        <f>IFERROR(__xludf.DUMMYFUNCTION("""COMPUTED_VALUE"""),-3.0)</f>
        <v>-3</v>
      </c>
      <c r="AZ267" s="16">
        <f>IFERROR(__xludf.DUMMYFUNCTION("""COMPUTED_VALUE"""),-3.0)</f>
        <v>-3</v>
      </c>
      <c r="BA267" s="16">
        <f>IFERROR(__xludf.DUMMYFUNCTION("""COMPUTED_VALUE"""),-15.0)</f>
        <v>-15</v>
      </c>
      <c r="BB267" s="16">
        <f>IFERROR(__xludf.DUMMYFUNCTION("""COMPUTED_VALUE"""),-15.0)</f>
        <v>-15</v>
      </c>
      <c r="BC267" s="16"/>
      <c r="BD267" s="16"/>
      <c r="BE267" s="16">
        <f>IFERROR(__xludf.DUMMYFUNCTION("""COMPUTED_VALUE"""),8.0)</f>
        <v>8</v>
      </c>
      <c r="BF267" s="16">
        <f>IFERROR(__xludf.DUMMYFUNCTION("""COMPUTED_VALUE"""),8.0)</f>
        <v>8</v>
      </c>
      <c r="BG267" s="16">
        <f>IFERROR(__xludf.DUMMYFUNCTION("""COMPUTED_VALUE"""),-3.0)</f>
        <v>-3</v>
      </c>
      <c r="BH267" s="16">
        <f>IFERROR(__xludf.DUMMYFUNCTION("""COMPUTED_VALUE"""),-3.0)</f>
        <v>-3</v>
      </c>
      <c r="BI267" s="16">
        <f>IFERROR(__xludf.DUMMYFUNCTION("""COMPUTED_VALUE"""),-6.0)</f>
        <v>-6</v>
      </c>
      <c r="BJ267" s="16">
        <f>IFERROR(__xludf.DUMMYFUNCTION("""COMPUTED_VALUE"""),-6.0)</f>
        <v>-6</v>
      </c>
      <c r="BK267" s="16">
        <f>IFERROR(__xludf.DUMMYFUNCTION("""COMPUTED_VALUE"""),0.0)</f>
        <v>0</v>
      </c>
      <c r="BL267" s="16">
        <f>IFERROR(__xludf.DUMMYFUNCTION("""COMPUTED_VALUE"""),0.0)</f>
        <v>0</v>
      </c>
      <c r="BM267" s="16">
        <f>IFERROR(__xludf.DUMMYFUNCTION("""COMPUTED_VALUE"""),1.0)</f>
        <v>1</v>
      </c>
      <c r="BN267" s="16">
        <f>IFERROR(__xludf.DUMMYFUNCTION("""COMPUTED_VALUE"""),1.0)</f>
        <v>1</v>
      </c>
      <c r="BO267" s="16">
        <f>IFERROR(__xludf.DUMMYFUNCTION("""COMPUTED_VALUE"""),1.0)</f>
        <v>1</v>
      </c>
      <c r="BP267" s="16">
        <f>IFERROR(__xludf.DUMMYFUNCTION("""COMPUTED_VALUE"""),1.0)</f>
        <v>1</v>
      </c>
      <c r="BQ267" s="16">
        <f>IFERROR(__xludf.DUMMYFUNCTION("""COMPUTED_VALUE"""),9.0)</f>
        <v>9</v>
      </c>
      <c r="BR267" s="16">
        <f>IFERROR(__xludf.DUMMYFUNCTION("""COMPUTED_VALUE"""),9.0)</f>
        <v>9</v>
      </c>
      <c r="BS267" s="16">
        <f>IFERROR(__xludf.DUMMYFUNCTION("""COMPUTED_VALUE"""),3.0)</f>
        <v>3</v>
      </c>
      <c r="BT267" s="16">
        <f>IFERROR(__xludf.DUMMYFUNCTION("""COMPUTED_VALUE"""),3.0)</f>
        <v>3</v>
      </c>
      <c r="BU267" s="16">
        <f>IFERROR(__xludf.DUMMYFUNCTION("""COMPUTED_VALUE"""),6.0)</f>
        <v>6</v>
      </c>
      <c r="BV267" s="16">
        <f>IFERROR(__xludf.DUMMYFUNCTION("""COMPUTED_VALUE"""),6.0)</f>
        <v>6</v>
      </c>
      <c r="BW267" s="16">
        <f>IFERROR(__xludf.DUMMYFUNCTION("""COMPUTED_VALUE"""),-1.0)</f>
        <v>-1</v>
      </c>
      <c r="BX267" s="16">
        <f>IFERROR(__xludf.DUMMYFUNCTION("""COMPUTED_VALUE"""),-1.0)</f>
        <v>-1</v>
      </c>
      <c r="BY267" s="16" t="str">
        <f>IFERROR(__xludf.DUMMYFUNCTION("""COMPUTED_VALUE"""),"R(4)")</f>
        <v>R(4)</v>
      </c>
      <c r="BZ267" s="16" t="str">
        <f>IFERROR(__xludf.DUMMYFUNCTION("""COMPUTED_VALUE"""),"R(4)")</f>
        <v>R(4)</v>
      </c>
      <c r="CA267" s="16" t="str">
        <f>IFERROR(__xludf.DUMMYFUNCTION("""COMPUTED_VALUE"""),"R(4)")</f>
        <v>R(4)</v>
      </c>
      <c r="CB267" s="16"/>
      <c r="CC267" s="16"/>
      <c r="CD267" s="16"/>
      <c r="CE267" s="16">
        <f>IFERROR(__xludf.DUMMYFUNCTION("""COMPUTED_VALUE"""),4.0)</f>
        <v>4</v>
      </c>
      <c r="CF267" s="16"/>
      <c r="CG267" s="16" t="str">
        <f>IFERROR(__xludf.DUMMYFUNCTION("""COMPUTED_VALUE"""),"3-0")</f>
        <v>3-0</v>
      </c>
      <c r="CH267" s="16">
        <f>IFERROR(__xludf.DUMMYFUNCTION("""COMPUTED_VALUE"""),3.0)</f>
        <v>3</v>
      </c>
      <c r="CI267" s="16">
        <f>IFERROR(__xludf.DUMMYFUNCTION("""COMPUTED_VALUE"""),0.0)</f>
        <v>0</v>
      </c>
      <c r="CJ267" s="16">
        <f>IFERROR(__xludf.DUMMYFUNCTION("""COMPUTED_VALUE"""),0.0)</f>
        <v>0</v>
      </c>
      <c r="CK267" s="16">
        <f>IFERROR(__xludf.DUMMYFUNCTION("""COMPUTED_VALUE"""),0.0)</f>
        <v>0</v>
      </c>
      <c r="CL267" s="16" t="str">
        <f>IFERROR(__xludf.DUMMYFUNCTION("""COMPUTED_VALUE"""),"1WL-C")</f>
        <v>1WL-C</v>
      </c>
      <c r="CM267" s="16" t="str">
        <f>IFERROR(__xludf.DUMMYFUNCTION("""COMPUTED_VALUE"""),"E")</f>
        <v>E</v>
      </c>
      <c r="CN267" s="16">
        <f>IFERROR(__xludf.DUMMYFUNCTION("""COMPUTED_VALUE"""),10.0)</f>
        <v>10</v>
      </c>
      <c r="CO267" s="16" t="str">
        <f>IFERROR(__xludf.DUMMYFUNCTION("""COMPUTED_VALUE"""),"C")</f>
        <v>C</v>
      </c>
      <c r="CP267" s="16" t="str">
        <f>IFERROR(__xludf.DUMMYFUNCTION("""COMPUTED_VALUE"""),"1p20")</f>
        <v>1p20</v>
      </c>
      <c r="CQ267" s="16">
        <f>IFERROR(__xludf.DUMMYFUNCTION("""COMPUTED_VALUE"""),-6.0)</f>
        <v>-6</v>
      </c>
      <c r="CR267" s="16">
        <f>IFERROR(__xludf.DUMMYFUNCTION("""COMPUTED_VALUE"""),-2.0)</f>
        <v>-2</v>
      </c>
      <c r="CS267" s="16">
        <f>IFERROR(__xludf.DUMMYFUNCTION("""COMPUTED_VALUE"""),-8.0)</f>
        <v>-8</v>
      </c>
      <c r="CT267" s="16">
        <f>IFERROR(__xludf.DUMMYFUNCTION("""COMPUTED_VALUE"""),-6.0)</f>
        <v>-6</v>
      </c>
      <c r="CU267" s="16">
        <f>IFERROR(__xludf.DUMMYFUNCTION("""COMPUTED_VALUE"""),-2.0)</f>
        <v>-2</v>
      </c>
      <c r="CV267" s="179">
        <f>IFERROR(__xludf.DUMMYFUNCTION("""COMPUTED_VALUE"""),2.333333333333333)</f>
        <v>2.333333333</v>
      </c>
      <c r="CW267" s="179">
        <f>IFERROR(__xludf.DUMMYFUNCTION("""COMPUTED_VALUE"""),4.0)</f>
        <v>4</v>
      </c>
      <c r="CX267" s="179">
        <f>IFERROR(__xludf.DUMMYFUNCTION("""COMPUTED_VALUE"""),3.0)</f>
        <v>3</v>
      </c>
      <c r="CY267" s="16" t="str">
        <f>IFERROR(__xludf.DUMMYFUNCTION("""COMPUTED_VALUE"""),"RP")</f>
        <v>RP</v>
      </c>
      <c r="CZ267" s="16"/>
      <c r="DA267" s="16"/>
      <c r="DB267" s="16"/>
      <c r="DC267" s="16"/>
      <c r="DD267" s="16"/>
      <c r="DE267" s="16"/>
      <c r="DF267" s="16"/>
      <c r="DG267" s="16"/>
      <c r="DH267" s="16"/>
      <c r="DI267" s="16"/>
      <c r="DJ267" s="16"/>
      <c r="DK267" s="16"/>
    </row>
    <row r="268">
      <c r="A268" s="16">
        <f>IFERROR(__xludf.DUMMYFUNCTION("""COMPUTED_VALUE"""),13137.0)</f>
        <v>13137</v>
      </c>
      <c r="B268" s="16" t="str">
        <f>IFERROR(__xludf.DUMMYFUNCTION("""COMPUTED_VALUE"""),"Luis Severino")</f>
        <v>Luis Severino</v>
      </c>
      <c r="C268" s="153">
        <f>IFERROR(__xludf.DUMMYFUNCTION("""COMPUTED_VALUE"""),0.79)</f>
        <v>0.79</v>
      </c>
      <c r="D268" s="16"/>
      <c r="E268" s="16" t="str">
        <f>IFERROR(__xludf.DUMMYFUNCTION("""COMPUTED_VALUE"""),"R")</f>
        <v>R</v>
      </c>
      <c r="F268" s="16">
        <f>IFERROR(__xludf.DUMMYFUNCTION("""COMPUTED_VALUE"""),182.0)</f>
        <v>182</v>
      </c>
      <c r="G268" s="16">
        <f>IFERROR(__xludf.DUMMYFUNCTION("""COMPUTED_VALUE"""),19.0)</f>
        <v>19</v>
      </c>
      <c r="H268" s="16">
        <f>IFERROR(__xludf.DUMMYFUNCTION("""COMPUTED_VALUE"""),25.0)</f>
        <v>25</v>
      </c>
      <c r="I268" s="16">
        <f>IFERROR(__xludf.DUMMYFUNCTION("""COMPUTED_VALUE"""),-1.0)</f>
        <v>-1</v>
      </c>
      <c r="J268" s="16">
        <f>IFERROR(__xludf.DUMMYFUNCTION("""COMPUTED_VALUE"""),0.0)</f>
        <v>0</v>
      </c>
      <c r="K268" s="16">
        <f>IFERROR(__xludf.DUMMYFUNCTION("""COMPUTED_VALUE"""),-3.0)</f>
        <v>-3</v>
      </c>
      <c r="L268" s="16">
        <f>IFERROR(__xludf.DUMMYFUNCTION("""COMPUTED_VALUE"""),0.0)</f>
        <v>0</v>
      </c>
      <c r="M268" s="16">
        <f>IFERROR(__xludf.DUMMYFUNCTION("""COMPUTED_VALUE"""),7.0)</f>
        <v>7</v>
      </c>
      <c r="N268" s="16">
        <f>IFERROR(__xludf.DUMMYFUNCTION("""COMPUTED_VALUE"""),10.0)</f>
        <v>10</v>
      </c>
      <c r="O268" s="16">
        <f>IFERROR(__xludf.DUMMYFUNCTION("""COMPUTED_VALUE"""),1.0)</f>
        <v>1</v>
      </c>
      <c r="P268" s="16">
        <f>IFERROR(__xludf.DUMMYFUNCTION("""COMPUTED_VALUE"""),-1.0)</f>
        <v>-1</v>
      </c>
      <c r="Q268" s="16">
        <f>IFERROR(__xludf.DUMMYFUNCTION("""COMPUTED_VALUE"""),1.0)</f>
        <v>1</v>
      </c>
      <c r="R268" s="16">
        <f>IFERROR(__xludf.DUMMYFUNCTION("""COMPUTED_VALUE"""),-1.0)</f>
        <v>-1</v>
      </c>
      <c r="S268" s="16">
        <f>IFERROR(__xludf.DUMMYFUNCTION("""COMPUTED_VALUE"""),22.0)</f>
        <v>22</v>
      </c>
      <c r="T268" s="16">
        <f>IFERROR(__xludf.DUMMYFUNCTION("""COMPUTED_VALUE"""),13.6)</f>
        <v>13.6</v>
      </c>
      <c r="U268" s="16">
        <f>IFERROR(__xludf.DUMMYFUNCTION("""COMPUTED_VALUE"""),-1.0)</f>
        <v>-1</v>
      </c>
      <c r="V268" s="16">
        <f>IFERROR(__xludf.DUMMYFUNCTION("""COMPUTED_VALUE"""),0.0)</f>
        <v>0</v>
      </c>
      <c r="W268" s="16">
        <f>IFERROR(__xludf.DUMMYFUNCTION("""COMPUTED_VALUE"""),-2.0)</f>
        <v>-2</v>
      </c>
      <c r="X268" s="16">
        <f>IFERROR(__xludf.DUMMYFUNCTION("""COMPUTED_VALUE"""),0.0)</f>
        <v>0</v>
      </c>
      <c r="Y268" s="16">
        <f>IFERROR(__xludf.DUMMYFUNCTION("""COMPUTED_VALUE"""),29.0)</f>
        <v>29</v>
      </c>
      <c r="Z268" s="16">
        <f>IFERROR(__xludf.DUMMYFUNCTION("""COMPUTED_VALUE"""),23.6)</f>
        <v>23.6</v>
      </c>
      <c r="AA268" s="16">
        <f>IFERROR(__xludf.DUMMYFUNCTION("""COMPUTED_VALUE"""),0.0)</f>
        <v>0</v>
      </c>
      <c r="AB268" s="16">
        <f>IFERROR(__xludf.DUMMYFUNCTION("""COMPUTED_VALUE"""),0.0)</f>
        <v>0</v>
      </c>
      <c r="AC268" s="16">
        <f>IFERROR(__xludf.DUMMYFUNCTION("""COMPUTED_VALUE"""),0.0)</f>
        <v>0</v>
      </c>
      <c r="AD268" s="16">
        <f>IFERROR(__xludf.DUMMYFUNCTION("""COMPUTED_VALUE"""),0.0)</f>
        <v>0</v>
      </c>
      <c r="AE268" s="16">
        <f>IFERROR(__xludf.DUMMYFUNCTION("""COMPUTED_VALUE"""),32.6)</f>
        <v>32.6</v>
      </c>
      <c r="AF268" s="16">
        <f>IFERROR(__xludf.DUMMYFUNCTION("""COMPUTED_VALUE"""),20.4)</f>
        <v>20.4</v>
      </c>
      <c r="AG268" s="16">
        <f>IFERROR(__xludf.DUMMYFUNCTION("""COMPUTED_VALUE"""),0.0)</f>
        <v>0</v>
      </c>
      <c r="AH268" s="16">
        <f>IFERROR(__xludf.DUMMYFUNCTION("""COMPUTED_VALUE"""),1.0)</f>
        <v>1</v>
      </c>
      <c r="AI268" s="16">
        <f>IFERROR(__xludf.DUMMYFUNCTION("""COMPUTED_VALUE"""),0.0)</f>
        <v>0</v>
      </c>
      <c r="AJ268" s="16">
        <f>IFERROR(__xludf.DUMMYFUNCTION("""COMPUTED_VALUE"""),2.0)</f>
        <v>2</v>
      </c>
      <c r="AK268" s="16">
        <f>IFERROR(__xludf.DUMMYFUNCTION("""COMPUTED_VALUE"""),18.8)</f>
        <v>18.8</v>
      </c>
      <c r="AL268" s="16">
        <f>IFERROR(__xludf.DUMMYFUNCTION("""COMPUTED_VALUE"""),12.6)</f>
        <v>12.6</v>
      </c>
      <c r="AM268" s="16">
        <f>IFERROR(__xludf.DUMMYFUNCTION("""COMPUTED_VALUE"""),-1.0)</f>
        <v>-1</v>
      </c>
      <c r="AN268" s="16">
        <f>IFERROR(__xludf.DUMMYFUNCTION("""COMPUTED_VALUE"""),0.0)</f>
        <v>0</v>
      </c>
      <c r="AO268" s="16">
        <f>IFERROR(__xludf.DUMMYFUNCTION("""COMPUTED_VALUE"""),-1.0)</f>
        <v>-1</v>
      </c>
      <c r="AP268" s="16">
        <f>IFERROR(__xludf.DUMMYFUNCTION("""COMPUTED_VALUE"""),0.0)</f>
        <v>0</v>
      </c>
      <c r="AQ268" s="16">
        <f>IFERROR(__xludf.DUMMYFUNCTION("""COMPUTED_VALUE"""),19.8)</f>
        <v>19.8</v>
      </c>
      <c r="AR268" s="16">
        <f>IFERROR(__xludf.DUMMYFUNCTION("""COMPUTED_VALUE"""),16.4)</f>
        <v>16.4</v>
      </c>
      <c r="AS268" s="16">
        <f>IFERROR(__xludf.DUMMYFUNCTION("""COMPUTED_VALUE"""),0.0)</f>
        <v>0</v>
      </c>
      <c r="AT268" s="16">
        <f>IFERROR(__xludf.DUMMYFUNCTION("""COMPUTED_VALUE"""),0.0)</f>
        <v>0</v>
      </c>
      <c r="AU268" s="16">
        <f>IFERROR(__xludf.DUMMYFUNCTION("""COMPUTED_VALUE"""),0.0)</f>
        <v>0</v>
      </c>
      <c r="AV268" s="16">
        <f>IFERROR(__xludf.DUMMYFUNCTION("""COMPUTED_VALUE"""),0.0)</f>
        <v>0</v>
      </c>
      <c r="AW268" s="16">
        <f>IFERROR(__xludf.DUMMYFUNCTION("""COMPUTED_VALUE"""),3.2)</f>
        <v>3.2</v>
      </c>
      <c r="AX268" s="16">
        <f>IFERROR(__xludf.DUMMYFUNCTION("""COMPUTED_VALUE"""),1.0)</f>
        <v>1</v>
      </c>
      <c r="AY268" s="16">
        <f>IFERROR(__xludf.DUMMYFUNCTION("""COMPUTED_VALUE"""),-1.0)</f>
        <v>-1</v>
      </c>
      <c r="AZ268" s="16">
        <f>IFERROR(__xludf.DUMMYFUNCTION("""COMPUTED_VALUE"""),1.0)</f>
        <v>1</v>
      </c>
      <c r="BA268" s="16">
        <f>IFERROR(__xludf.DUMMYFUNCTION("""COMPUTED_VALUE"""),-5.0)</f>
        <v>-5</v>
      </c>
      <c r="BB268" s="16">
        <f>IFERROR(__xludf.DUMMYFUNCTION("""COMPUTED_VALUE"""),5.0)</f>
        <v>5</v>
      </c>
      <c r="BC268" s="16">
        <f>IFERROR(__xludf.DUMMYFUNCTION("""COMPUTED_VALUE"""),6.0)</f>
        <v>6</v>
      </c>
      <c r="BD268" s="16">
        <f>IFERROR(__xludf.DUMMYFUNCTION("""COMPUTED_VALUE"""),0.0)</f>
        <v>0</v>
      </c>
      <c r="BE268" s="16">
        <f>IFERROR(__xludf.DUMMYFUNCTION("""COMPUTED_VALUE"""),6.0)</f>
        <v>6</v>
      </c>
      <c r="BF268" s="16">
        <f>IFERROR(__xludf.DUMMYFUNCTION("""COMPUTED_VALUE"""),0.0)</f>
        <v>0</v>
      </c>
      <c r="BG268" s="16">
        <f>IFERROR(__xludf.DUMMYFUNCTION("""COMPUTED_VALUE"""),-3.0)</f>
        <v>-3</v>
      </c>
      <c r="BH268" s="16">
        <f>IFERROR(__xludf.DUMMYFUNCTION("""COMPUTED_VALUE"""),2.0)</f>
        <v>2</v>
      </c>
      <c r="BI268" s="16">
        <f>IFERROR(__xludf.DUMMYFUNCTION("""COMPUTED_VALUE"""),-6.0)</f>
        <v>-6</v>
      </c>
      <c r="BJ268" s="16">
        <f>IFERROR(__xludf.DUMMYFUNCTION("""COMPUTED_VALUE"""),4.0)</f>
        <v>4</v>
      </c>
      <c r="BK268" s="16">
        <f>IFERROR(__xludf.DUMMYFUNCTION("""COMPUTED_VALUE"""),5.0)</f>
        <v>5</v>
      </c>
      <c r="BL268" s="16">
        <f>IFERROR(__xludf.DUMMYFUNCTION("""COMPUTED_VALUE"""),5.0)</f>
        <v>5</v>
      </c>
      <c r="BM268" s="16">
        <f>IFERROR(__xludf.DUMMYFUNCTION("""COMPUTED_VALUE"""),0.0)</f>
        <v>0</v>
      </c>
      <c r="BN268" s="16">
        <f>IFERROR(__xludf.DUMMYFUNCTION("""COMPUTED_VALUE"""),0.0)</f>
        <v>0</v>
      </c>
      <c r="BO268" s="16">
        <f>IFERROR(__xludf.DUMMYFUNCTION("""COMPUTED_VALUE"""),0.0)</f>
        <v>0</v>
      </c>
      <c r="BP268" s="16">
        <f>IFERROR(__xludf.DUMMYFUNCTION("""COMPUTED_VALUE"""),0.0)</f>
        <v>0</v>
      </c>
      <c r="BQ268" s="16">
        <f>IFERROR(__xludf.DUMMYFUNCTION("""COMPUTED_VALUE"""),6.0)</f>
        <v>6</v>
      </c>
      <c r="BR268" s="16">
        <f>IFERROR(__xludf.DUMMYFUNCTION("""COMPUTED_VALUE"""),7.0)</f>
        <v>7</v>
      </c>
      <c r="BS268" s="16">
        <f>IFERROR(__xludf.DUMMYFUNCTION("""COMPUTED_VALUE"""),1.0)</f>
        <v>1</v>
      </c>
      <c r="BT268" s="16">
        <f>IFERROR(__xludf.DUMMYFUNCTION("""COMPUTED_VALUE"""),2.0)</f>
        <v>2</v>
      </c>
      <c r="BU268" s="16">
        <f>IFERROR(__xludf.DUMMYFUNCTION("""COMPUTED_VALUE"""),2.0)</f>
        <v>2</v>
      </c>
      <c r="BV268" s="16">
        <f>IFERROR(__xludf.DUMMYFUNCTION("""COMPUTED_VALUE"""),4.0)</f>
        <v>4</v>
      </c>
      <c r="BW268" s="16">
        <f>IFERROR(__xludf.DUMMYFUNCTION("""COMPUTED_VALUE"""),0.0)</f>
        <v>0</v>
      </c>
      <c r="BX268" s="16">
        <f>IFERROR(__xludf.DUMMYFUNCTION("""COMPUTED_VALUE"""),0.0)</f>
        <v>0</v>
      </c>
      <c r="BY268" s="16" t="str">
        <f>IFERROR(__xludf.DUMMYFUNCTION("""COMPUTED_VALUE"""),"S(6)")</f>
        <v>S(6)</v>
      </c>
      <c r="BZ268" s="16" t="str">
        <f>IFERROR(__xludf.DUMMYFUNCTION("""COMPUTED_VALUE"""),"S(6)")</f>
        <v>S(6)</v>
      </c>
      <c r="CA268" s="16" t="str">
        <f>IFERROR(__xludf.DUMMYFUNCTION("""COMPUTED_VALUE"""),"S(6)")</f>
        <v>S(6)</v>
      </c>
      <c r="CB268" s="16"/>
      <c r="CC268" s="16"/>
      <c r="CD268" s="16">
        <f>IFERROR(__xludf.DUMMYFUNCTION("""COMPUTED_VALUE"""),6.0)</f>
        <v>6</v>
      </c>
      <c r="CE268" s="16"/>
      <c r="CF268" s="16"/>
      <c r="CG268" s="16" t="str">
        <f>IFERROR(__xludf.DUMMYFUNCTION("""COMPUTED_VALUE"""),"3-40")</f>
        <v>3-40</v>
      </c>
      <c r="CH268" s="16">
        <f>IFERROR(__xludf.DUMMYFUNCTION("""COMPUTED_VALUE"""),3.0)</f>
        <v>3</v>
      </c>
      <c r="CI268" s="16">
        <f>IFERROR(__xludf.DUMMYFUNCTION("""COMPUTED_VALUE"""),40.0)</f>
        <v>40</v>
      </c>
      <c r="CJ268" s="16">
        <f>IFERROR(__xludf.DUMMYFUNCTION("""COMPUTED_VALUE"""),4.0)</f>
        <v>4</v>
      </c>
      <c r="CK268" s="16">
        <f>IFERROR(__xludf.DUMMYFUNCTION("""COMPUTED_VALUE"""),7.0)</f>
        <v>7</v>
      </c>
      <c r="CL268" s="16" t="str">
        <f>IFERROR(__xludf.DUMMYFUNCTION("""COMPUTED_VALUE"""),"1WR-C")</f>
        <v>1WR-C</v>
      </c>
      <c r="CM268" s="16" t="str">
        <f>IFERROR(__xludf.DUMMYFUNCTION("""COMPUTED_VALUE"""),"E")</f>
        <v>E</v>
      </c>
      <c r="CN268" s="16">
        <f>IFERROR(__xludf.DUMMYFUNCTION("""COMPUTED_VALUE"""),10.0)</f>
        <v>10</v>
      </c>
      <c r="CO268" s="16" t="str">
        <f>IFERROR(__xludf.DUMMYFUNCTION("""COMPUTED_VALUE"""),"C")</f>
        <v>C</v>
      </c>
      <c r="CP268" s="16" t="str">
        <f>IFERROR(__xludf.DUMMYFUNCTION("""COMPUTED_VALUE"""),"1p70")</f>
        <v>1p70</v>
      </c>
      <c r="CQ268" s="16">
        <f>IFERROR(__xludf.DUMMYFUNCTION("""COMPUTED_VALUE"""),-14.0)</f>
        <v>-14</v>
      </c>
      <c r="CR268" s="16">
        <f>IFERROR(__xludf.DUMMYFUNCTION("""COMPUTED_VALUE"""),14.0)</f>
        <v>14</v>
      </c>
      <c r="CS268" s="16">
        <f>IFERROR(__xludf.DUMMYFUNCTION("""COMPUTED_VALUE"""),0.0)</f>
        <v>0</v>
      </c>
      <c r="CT268" s="16">
        <f>IFERROR(__xludf.DUMMYFUNCTION("""COMPUTED_VALUE"""),-14.0)</f>
        <v>-14</v>
      </c>
      <c r="CU268" s="16">
        <f>IFERROR(__xludf.DUMMYFUNCTION("""COMPUTED_VALUE"""),14.0)</f>
        <v>14</v>
      </c>
      <c r="CV268" s="179">
        <f>IFERROR(__xludf.DUMMYFUNCTION("""COMPUTED_VALUE"""),2.333333333333333)</f>
        <v>2.333333333</v>
      </c>
      <c r="CW268" s="179">
        <f>IFERROR(__xludf.DUMMYFUNCTION("""COMPUTED_VALUE"""),4.0)</f>
        <v>4</v>
      </c>
      <c r="CX268" s="179">
        <f>IFERROR(__xludf.DUMMYFUNCTION("""COMPUTED_VALUE"""),3.0)</f>
        <v>3</v>
      </c>
      <c r="CY268" s="16" t="str">
        <f>IFERROR(__xludf.DUMMYFUNCTION("""COMPUTED_VALUE"""),"SP")</f>
        <v>SP</v>
      </c>
      <c r="CZ268" s="16"/>
      <c r="DA268" s="16"/>
      <c r="DB268" s="16"/>
      <c r="DC268" s="16"/>
      <c r="DD268" s="16"/>
      <c r="DE268" s="16"/>
      <c r="DF268" s="16"/>
      <c r="DG268" s="16"/>
      <c r="DH268" s="16"/>
      <c r="DI268" s="16"/>
      <c r="DJ268" s="16"/>
      <c r="DK268" s="16"/>
    </row>
    <row r="269">
      <c r="A269" s="16">
        <f>IFERROR(__xludf.DUMMYFUNCTION("""COMPUTED_VALUE"""),12593.0)</f>
        <v>12593</v>
      </c>
      <c r="B269" s="16" t="str">
        <f>IFERROR(__xludf.DUMMYFUNCTION("""COMPUTED_VALUE"""),"Brady Singer")</f>
        <v>Brady Singer</v>
      </c>
      <c r="C269" s="153">
        <f>IFERROR(__xludf.DUMMYFUNCTION("""COMPUTED_VALUE"""),1.29)</f>
        <v>1.29</v>
      </c>
      <c r="D269" s="16"/>
      <c r="E269" s="16" t="str">
        <f>IFERROR(__xludf.DUMMYFUNCTION("""COMPUTED_VALUE"""),"R")</f>
        <v>R</v>
      </c>
      <c r="F269" s="16">
        <f>IFERROR(__xludf.DUMMYFUNCTION("""COMPUTED_VALUE"""),180.0)</f>
        <v>180</v>
      </c>
      <c r="G269" s="16">
        <f>IFERROR(__xludf.DUMMYFUNCTION("""COMPUTED_VALUE"""),24.0)</f>
        <v>24</v>
      </c>
      <c r="H269" s="16">
        <f>IFERROR(__xludf.DUMMYFUNCTION("""COMPUTED_VALUE"""),25.0)</f>
        <v>25</v>
      </c>
      <c r="I269" s="16">
        <f>IFERROR(__xludf.DUMMYFUNCTION("""COMPUTED_VALUE"""),-1.0)</f>
        <v>-1</v>
      </c>
      <c r="J269" s="16">
        <f>IFERROR(__xludf.DUMMYFUNCTION("""COMPUTED_VALUE"""),0.0)</f>
        <v>0</v>
      </c>
      <c r="K269" s="16">
        <f>IFERROR(__xludf.DUMMYFUNCTION("""COMPUTED_VALUE"""),-3.0)</f>
        <v>-3</v>
      </c>
      <c r="L269" s="16">
        <f>IFERROR(__xludf.DUMMYFUNCTION("""COMPUTED_VALUE"""),0.0)</f>
        <v>0</v>
      </c>
      <c r="M269" s="16">
        <f>IFERROR(__xludf.DUMMYFUNCTION("""COMPUTED_VALUE"""),11.0)</f>
        <v>11</v>
      </c>
      <c r="N269" s="16">
        <f>IFERROR(__xludf.DUMMYFUNCTION("""COMPUTED_VALUE"""),2.0)</f>
        <v>2</v>
      </c>
      <c r="O269" s="16">
        <f>IFERROR(__xludf.DUMMYFUNCTION("""COMPUTED_VALUE"""),-1.0)</f>
        <v>-1</v>
      </c>
      <c r="P269" s="16">
        <f>IFERROR(__xludf.DUMMYFUNCTION("""COMPUTED_VALUE"""),3.0)</f>
        <v>3</v>
      </c>
      <c r="Q269" s="16">
        <f>IFERROR(__xludf.DUMMYFUNCTION("""COMPUTED_VALUE"""),-1.0)</f>
        <v>-1</v>
      </c>
      <c r="R269" s="16">
        <f>IFERROR(__xludf.DUMMYFUNCTION("""COMPUTED_VALUE"""),3.0)</f>
        <v>3</v>
      </c>
      <c r="S269" s="16">
        <f>IFERROR(__xludf.DUMMYFUNCTION("""COMPUTED_VALUE"""),23.4)</f>
        <v>23.4</v>
      </c>
      <c r="T269" s="16">
        <f>IFERROR(__xludf.DUMMYFUNCTION("""COMPUTED_VALUE"""),10.4)</f>
        <v>10.4</v>
      </c>
      <c r="U269" s="16">
        <f>IFERROR(__xludf.DUMMYFUNCTION("""COMPUTED_VALUE"""),-1.0)</f>
        <v>-1</v>
      </c>
      <c r="V269" s="16">
        <f>IFERROR(__xludf.DUMMYFUNCTION("""COMPUTED_VALUE"""),1.0)</f>
        <v>1</v>
      </c>
      <c r="W269" s="16">
        <f>IFERROR(__xludf.DUMMYFUNCTION("""COMPUTED_VALUE"""),-2.0)</f>
        <v>-2</v>
      </c>
      <c r="X269" s="16">
        <f>IFERROR(__xludf.DUMMYFUNCTION("""COMPUTED_VALUE"""),2.0)</f>
        <v>2</v>
      </c>
      <c r="Y269" s="16">
        <f>IFERROR(__xludf.DUMMYFUNCTION("""COMPUTED_VALUE"""),34.4)</f>
        <v>34.4</v>
      </c>
      <c r="Z269" s="16">
        <f>IFERROR(__xludf.DUMMYFUNCTION("""COMPUTED_VALUE"""),12.4)</f>
        <v>12.4</v>
      </c>
      <c r="AA269" s="16">
        <f>IFERROR(__xludf.DUMMYFUNCTION("""COMPUTED_VALUE"""),-1.0)</f>
        <v>-1</v>
      </c>
      <c r="AB269" s="16">
        <f>IFERROR(__xludf.DUMMYFUNCTION("""COMPUTED_VALUE"""),2.0)</f>
        <v>2</v>
      </c>
      <c r="AC269" s="16">
        <f>IFERROR(__xludf.DUMMYFUNCTION("""COMPUTED_VALUE"""),-5.0)</f>
        <v>-5</v>
      </c>
      <c r="AD269" s="16">
        <f>IFERROR(__xludf.DUMMYFUNCTION("""COMPUTED_VALUE"""),10.0)</f>
        <v>10</v>
      </c>
      <c r="AE269" s="16">
        <f>IFERROR(__xludf.DUMMYFUNCTION("""COMPUTED_VALUE"""),40.5)</f>
        <v>40.5</v>
      </c>
      <c r="AF269" s="16">
        <f>IFERROR(__xludf.DUMMYFUNCTION("""COMPUTED_VALUE"""),16.0)</f>
        <v>16</v>
      </c>
      <c r="AG269" s="16">
        <f>IFERROR(__xludf.DUMMYFUNCTION("""COMPUTED_VALUE"""),-1.0)</f>
        <v>-1</v>
      </c>
      <c r="AH269" s="16">
        <f>IFERROR(__xludf.DUMMYFUNCTION("""COMPUTED_VALUE"""),1.0)</f>
        <v>1</v>
      </c>
      <c r="AI269" s="16">
        <f>IFERROR(__xludf.DUMMYFUNCTION("""COMPUTED_VALUE"""),-2.0)</f>
        <v>-2</v>
      </c>
      <c r="AJ269" s="16">
        <f>IFERROR(__xludf.DUMMYFUNCTION("""COMPUTED_VALUE"""),2.0)</f>
        <v>2</v>
      </c>
      <c r="AK269" s="16">
        <f>IFERROR(__xludf.DUMMYFUNCTION("""COMPUTED_VALUE"""),20.799999999999997)</f>
        <v>20.8</v>
      </c>
      <c r="AL269" s="16">
        <f>IFERROR(__xludf.DUMMYFUNCTION("""COMPUTED_VALUE"""),9.4)</f>
        <v>9.4</v>
      </c>
      <c r="AM269" s="16">
        <f>IFERROR(__xludf.DUMMYFUNCTION("""COMPUTED_VALUE"""),-1.0)</f>
        <v>-1</v>
      </c>
      <c r="AN269" s="16">
        <f>IFERROR(__xludf.DUMMYFUNCTION("""COMPUTED_VALUE"""),1.0)</f>
        <v>1</v>
      </c>
      <c r="AO269" s="16">
        <f>IFERROR(__xludf.DUMMYFUNCTION("""COMPUTED_VALUE"""),-1.0)</f>
        <v>-1</v>
      </c>
      <c r="AP269" s="16">
        <f>IFERROR(__xludf.DUMMYFUNCTION("""COMPUTED_VALUE"""),1.0)</f>
        <v>1</v>
      </c>
      <c r="AQ269" s="16">
        <f>IFERROR(__xludf.DUMMYFUNCTION("""COMPUTED_VALUE"""),30.1)</f>
        <v>30.1</v>
      </c>
      <c r="AR269" s="16">
        <f>IFERROR(__xludf.DUMMYFUNCTION("""COMPUTED_VALUE"""),12.0)</f>
        <v>12</v>
      </c>
      <c r="AS269" s="16">
        <f>IFERROR(__xludf.DUMMYFUNCTION("""COMPUTED_VALUE"""),-1.0)</f>
        <v>-1</v>
      </c>
      <c r="AT269" s="16">
        <f>IFERROR(__xludf.DUMMYFUNCTION("""COMPUTED_VALUE"""),1.0)</f>
        <v>1</v>
      </c>
      <c r="AU269" s="16">
        <f>IFERROR(__xludf.DUMMYFUNCTION("""COMPUTED_VALUE"""),-2.0)</f>
        <v>-2</v>
      </c>
      <c r="AV269" s="16">
        <f>IFERROR(__xludf.DUMMYFUNCTION("""COMPUTED_VALUE"""),2.0)</f>
        <v>2</v>
      </c>
      <c r="AW269" s="16">
        <f>IFERROR(__xludf.DUMMYFUNCTION("""COMPUTED_VALUE"""),2.6)</f>
        <v>2.6</v>
      </c>
      <c r="AX269" s="16">
        <f>IFERROR(__xludf.DUMMYFUNCTION("""COMPUTED_VALUE"""),1.0)</f>
        <v>1</v>
      </c>
      <c r="AY269" s="16">
        <f>IFERROR(__xludf.DUMMYFUNCTION("""COMPUTED_VALUE"""),-1.0)</f>
        <v>-1</v>
      </c>
      <c r="AZ269" s="16">
        <f>IFERROR(__xludf.DUMMYFUNCTION("""COMPUTED_VALUE"""),1.0)</f>
        <v>1</v>
      </c>
      <c r="BA269" s="16">
        <f>IFERROR(__xludf.DUMMYFUNCTION("""COMPUTED_VALUE"""),-5.0)</f>
        <v>-5</v>
      </c>
      <c r="BB269" s="16">
        <f>IFERROR(__xludf.DUMMYFUNCTION("""COMPUTED_VALUE"""),5.0)</f>
        <v>5</v>
      </c>
      <c r="BC269" s="16">
        <f>IFERROR(__xludf.DUMMYFUNCTION("""COMPUTED_VALUE"""),5.0)</f>
        <v>5</v>
      </c>
      <c r="BD269" s="16">
        <f>IFERROR(__xludf.DUMMYFUNCTION("""COMPUTED_VALUE"""),1.0)</f>
        <v>1</v>
      </c>
      <c r="BE269" s="16">
        <f>IFERROR(__xludf.DUMMYFUNCTION("""COMPUTED_VALUE"""),5.0)</f>
        <v>5</v>
      </c>
      <c r="BF269" s="16">
        <f>IFERROR(__xludf.DUMMYFUNCTION("""COMPUTED_VALUE"""),1.0)</f>
        <v>1</v>
      </c>
      <c r="BG269" s="16">
        <f>IFERROR(__xludf.DUMMYFUNCTION("""COMPUTED_VALUE"""),-2.0)</f>
        <v>-2</v>
      </c>
      <c r="BH269" s="16">
        <f>IFERROR(__xludf.DUMMYFUNCTION("""COMPUTED_VALUE"""),2.0)</f>
        <v>2</v>
      </c>
      <c r="BI269" s="16">
        <f>IFERROR(__xludf.DUMMYFUNCTION("""COMPUTED_VALUE"""),-4.0)</f>
        <v>-4</v>
      </c>
      <c r="BJ269" s="16">
        <f>IFERROR(__xludf.DUMMYFUNCTION("""COMPUTED_VALUE"""),4.0)</f>
        <v>4</v>
      </c>
      <c r="BK269" s="16">
        <f>IFERROR(__xludf.DUMMYFUNCTION("""COMPUTED_VALUE"""),5.0)</f>
        <v>5</v>
      </c>
      <c r="BL269" s="16">
        <f>IFERROR(__xludf.DUMMYFUNCTION("""COMPUTED_VALUE"""),5.0)</f>
        <v>5</v>
      </c>
      <c r="BM269" s="16">
        <f>IFERROR(__xludf.DUMMYFUNCTION("""COMPUTED_VALUE"""),0.0)</f>
        <v>0</v>
      </c>
      <c r="BN269" s="16">
        <f>IFERROR(__xludf.DUMMYFUNCTION("""COMPUTED_VALUE"""),0.0)</f>
        <v>0</v>
      </c>
      <c r="BO269" s="16">
        <f>IFERROR(__xludf.DUMMYFUNCTION("""COMPUTED_VALUE"""),0.0)</f>
        <v>0</v>
      </c>
      <c r="BP269" s="16">
        <f>IFERROR(__xludf.DUMMYFUNCTION("""COMPUTED_VALUE"""),0.0)</f>
        <v>0</v>
      </c>
      <c r="BQ269" s="16">
        <f>IFERROR(__xludf.DUMMYFUNCTION("""COMPUTED_VALUE"""),4.0)</f>
        <v>4</v>
      </c>
      <c r="BR269" s="16">
        <f>IFERROR(__xludf.DUMMYFUNCTION("""COMPUTED_VALUE"""),7.0)</f>
        <v>7</v>
      </c>
      <c r="BS269" s="16">
        <f>IFERROR(__xludf.DUMMYFUNCTION("""COMPUTED_VALUE"""),-1.0)</f>
        <v>-1</v>
      </c>
      <c r="BT269" s="16">
        <f>IFERROR(__xludf.DUMMYFUNCTION("""COMPUTED_VALUE"""),2.0)</f>
        <v>2</v>
      </c>
      <c r="BU269" s="16">
        <f>IFERROR(__xludf.DUMMYFUNCTION("""COMPUTED_VALUE"""),-2.0)</f>
        <v>-2</v>
      </c>
      <c r="BV269" s="16">
        <f>IFERROR(__xludf.DUMMYFUNCTION("""COMPUTED_VALUE"""),4.0)</f>
        <v>4</v>
      </c>
      <c r="BW269" s="16">
        <f>IFERROR(__xludf.DUMMYFUNCTION("""COMPUTED_VALUE"""),-1.0)</f>
        <v>-1</v>
      </c>
      <c r="BX269" s="16">
        <f>IFERROR(__xludf.DUMMYFUNCTION("""COMPUTED_VALUE"""),-1.0)</f>
        <v>-1</v>
      </c>
      <c r="BY269" s="16" t="str">
        <f>IFERROR(__xludf.DUMMYFUNCTION("""COMPUTED_VALUE"""),"S(5)")</f>
        <v>S(5)</v>
      </c>
      <c r="BZ269" s="16" t="str">
        <f>IFERROR(__xludf.DUMMYFUNCTION("""COMPUTED_VALUE"""),"S(5)")</f>
        <v>S(5)</v>
      </c>
      <c r="CA269" s="16" t="str">
        <f>IFERROR(__xludf.DUMMYFUNCTION("""COMPUTED_VALUE"""),"S(5)")</f>
        <v>S(5)</v>
      </c>
      <c r="CB269" s="16"/>
      <c r="CC269" s="16"/>
      <c r="CD269" s="16">
        <f>IFERROR(__xludf.DUMMYFUNCTION("""COMPUTED_VALUE"""),5.0)</f>
        <v>5</v>
      </c>
      <c r="CE269" s="16"/>
      <c r="CF269" s="16"/>
      <c r="CG269" s="16" t="str">
        <f>IFERROR(__xludf.DUMMYFUNCTION("""COMPUTED_VALUE"""),"2-8")</f>
        <v>2-8</v>
      </c>
      <c r="CH269" s="16">
        <f>IFERROR(__xludf.DUMMYFUNCTION("""COMPUTED_VALUE"""),2.0)</f>
        <v>2</v>
      </c>
      <c r="CI269" s="16">
        <f>IFERROR(__xludf.DUMMYFUNCTION("""COMPUTED_VALUE"""),8.0)</f>
        <v>8</v>
      </c>
      <c r="CJ269" s="16">
        <f>IFERROR(__xludf.DUMMYFUNCTION("""COMPUTED_VALUE"""),0.0)</f>
        <v>0</v>
      </c>
      <c r="CK269" s="16">
        <f>IFERROR(__xludf.DUMMYFUNCTION("""COMPUTED_VALUE"""),2.0)</f>
        <v>2</v>
      </c>
      <c r="CL269" s="16" t="str">
        <f>IFERROR(__xludf.DUMMYFUNCTION("""COMPUTED_VALUE"""),"1WR-C")</f>
        <v>1WR-C</v>
      </c>
      <c r="CM269" s="16" t="str">
        <f>IFERROR(__xludf.DUMMYFUNCTION("""COMPUTED_VALUE"""),"E")</f>
        <v>E</v>
      </c>
      <c r="CN269" s="16">
        <f>IFERROR(__xludf.DUMMYFUNCTION("""COMPUTED_VALUE"""),10.0)</f>
        <v>10</v>
      </c>
      <c r="CO269" s="16" t="str">
        <f>IFERROR(__xludf.DUMMYFUNCTION("""COMPUTED_VALUE"""),"C")</f>
        <v>C</v>
      </c>
      <c r="CP269" s="16" t="str">
        <f>IFERROR(__xludf.DUMMYFUNCTION("""COMPUTED_VALUE"""),"0p72")</f>
        <v>0p72</v>
      </c>
      <c r="CQ269" s="16">
        <f>IFERROR(__xludf.DUMMYFUNCTION("""COMPUTED_VALUE"""),-27.0)</f>
        <v>-27</v>
      </c>
      <c r="CR269" s="16">
        <f>IFERROR(__xludf.DUMMYFUNCTION("""COMPUTED_VALUE"""),33.0)</f>
        <v>33</v>
      </c>
      <c r="CS269" s="16">
        <f>IFERROR(__xludf.DUMMYFUNCTION("""COMPUTED_VALUE"""),6.0)</f>
        <v>6</v>
      </c>
      <c r="CT269" s="16">
        <f>IFERROR(__xludf.DUMMYFUNCTION("""COMPUTED_VALUE"""),-27.0)</f>
        <v>-27</v>
      </c>
      <c r="CU269" s="16">
        <f>IFERROR(__xludf.DUMMYFUNCTION("""COMPUTED_VALUE"""),33.0)</f>
        <v>33</v>
      </c>
      <c r="CV269" s="179">
        <f>IFERROR(__xludf.DUMMYFUNCTION("""COMPUTED_VALUE"""),2.0)</f>
        <v>2</v>
      </c>
      <c r="CW269" s="179">
        <f>IFERROR(__xludf.DUMMYFUNCTION("""COMPUTED_VALUE"""),5.0)</f>
        <v>5</v>
      </c>
      <c r="CX269" s="179">
        <f>IFERROR(__xludf.DUMMYFUNCTION("""COMPUTED_VALUE"""),4.0)</f>
        <v>4</v>
      </c>
      <c r="CY269" s="16" t="str">
        <f>IFERROR(__xludf.DUMMYFUNCTION("""COMPUTED_VALUE"""),"SP")</f>
        <v>SP</v>
      </c>
      <c r="CZ269" s="16"/>
      <c r="DA269" s="16"/>
      <c r="DB269" s="16"/>
      <c r="DC269" s="16"/>
      <c r="DD269" s="16"/>
      <c r="DE269" s="16"/>
      <c r="DF269" s="16"/>
      <c r="DG269" s="16"/>
      <c r="DH269" s="16"/>
      <c r="DI269" s="16"/>
      <c r="DJ269" s="16"/>
      <c r="DK269" s="16"/>
    </row>
    <row r="270">
      <c r="A270" s="16">
        <f>IFERROR(__xludf.DUMMYFUNCTION("""COMPUTED_VALUE"""),12603.0)</f>
        <v>12603</v>
      </c>
      <c r="B270" s="16" t="str">
        <f>IFERROR(__xludf.DUMMYFUNCTION("""COMPUTED_VALUE"""),"Brayan Bello")</f>
        <v>Brayan Bello</v>
      </c>
      <c r="C270" s="153">
        <f>IFERROR(__xludf.DUMMYFUNCTION("""COMPUTED_VALUE"""),0.69)</f>
        <v>0.69</v>
      </c>
      <c r="D270" s="16"/>
      <c r="E270" s="16" t="str">
        <f>IFERROR(__xludf.DUMMYFUNCTION("""COMPUTED_VALUE"""),"R")</f>
        <v>R</v>
      </c>
      <c r="F270" s="16">
        <f>IFERROR(__xludf.DUMMYFUNCTION("""COMPUTED_VALUE"""),162.0)</f>
        <v>162</v>
      </c>
      <c r="G270" s="16">
        <f>IFERROR(__xludf.DUMMYFUNCTION("""COMPUTED_VALUE"""),18.0)</f>
        <v>18</v>
      </c>
      <c r="H270" s="16">
        <f>IFERROR(__xludf.DUMMYFUNCTION("""COMPUTED_VALUE"""),30.0)</f>
        <v>30</v>
      </c>
      <c r="I270" s="16">
        <f>IFERROR(__xludf.DUMMYFUNCTION("""COMPUTED_VALUE"""),-1.0)</f>
        <v>-1</v>
      </c>
      <c r="J270" s="16">
        <f>IFERROR(__xludf.DUMMYFUNCTION("""COMPUTED_VALUE"""),0.0)</f>
        <v>0</v>
      </c>
      <c r="K270" s="16">
        <f>IFERROR(__xludf.DUMMYFUNCTION("""COMPUTED_VALUE"""),-3.0)</f>
        <v>-3</v>
      </c>
      <c r="L270" s="16">
        <f>IFERROR(__xludf.DUMMYFUNCTION("""COMPUTED_VALUE"""),0.0)</f>
        <v>0</v>
      </c>
      <c r="M270" s="16">
        <f>IFERROR(__xludf.DUMMYFUNCTION("""COMPUTED_VALUE"""),15.0)</f>
        <v>15</v>
      </c>
      <c r="N270" s="16">
        <f>IFERROR(__xludf.DUMMYFUNCTION("""COMPUTED_VALUE"""),7.0)</f>
        <v>7</v>
      </c>
      <c r="O270" s="16">
        <f>IFERROR(__xludf.DUMMYFUNCTION("""COMPUTED_VALUE"""),-2.0)</f>
        <v>-2</v>
      </c>
      <c r="P270" s="16">
        <f>IFERROR(__xludf.DUMMYFUNCTION("""COMPUTED_VALUE"""),1.0)</f>
        <v>1</v>
      </c>
      <c r="Q270" s="16">
        <f>IFERROR(__xludf.DUMMYFUNCTION("""COMPUTED_VALUE"""),-2.0)</f>
        <v>-2</v>
      </c>
      <c r="R270" s="16">
        <f>IFERROR(__xludf.DUMMYFUNCTION("""COMPUTED_VALUE"""),1.0)</f>
        <v>1</v>
      </c>
      <c r="S270" s="16">
        <f>IFERROR(__xludf.DUMMYFUNCTION("""COMPUTED_VALUE"""),15.5)</f>
        <v>15.5</v>
      </c>
      <c r="T270" s="16">
        <f>IFERROR(__xludf.DUMMYFUNCTION("""COMPUTED_VALUE"""),15.6)</f>
        <v>15.6</v>
      </c>
      <c r="U270" s="16">
        <f>IFERROR(__xludf.DUMMYFUNCTION("""COMPUTED_VALUE"""),0.0)</f>
        <v>0</v>
      </c>
      <c r="V270" s="16">
        <f>IFERROR(__xludf.DUMMYFUNCTION("""COMPUTED_VALUE"""),0.0)</f>
        <v>0</v>
      </c>
      <c r="W270" s="16">
        <f>IFERROR(__xludf.DUMMYFUNCTION("""COMPUTED_VALUE"""),0.0)</f>
        <v>0</v>
      </c>
      <c r="X270" s="16">
        <f>IFERROR(__xludf.DUMMYFUNCTION("""COMPUTED_VALUE"""),0.0)</f>
        <v>0</v>
      </c>
      <c r="Y270" s="16">
        <f>IFERROR(__xludf.DUMMYFUNCTION("""COMPUTED_VALUE"""),30.5)</f>
        <v>30.5</v>
      </c>
      <c r="Z270" s="16">
        <f>IFERROR(__xludf.DUMMYFUNCTION("""COMPUTED_VALUE"""),22.5)</f>
        <v>22.5</v>
      </c>
      <c r="AA270" s="16">
        <f>IFERROR(__xludf.DUMMYFUNCTION("""COMPUTED_VALUE"""),-1.0)</f>
        <v>-1</v>
      </c>
      <c r="AB270" s="16">
        <f>IFERROR(__xludf.DUMMYFUNCTION("""COMPUTED_VALUE"""),0.0)</f>
        <v>0</v>
      </c>
      <c r="AC270" s="16">
        <f>IFERROR(__xludf.DUMMYFUNCTION("""COMPUTED_VALUE"""),-5.0)</f>
        <v>-5</v>
      </c>
      <c r="AD270" s="16">
        <f>IFERROR(__xludf.DUMMYFUNCTION("""COMPUTED_VALUE"""),0.0)</f>
        <v>0</v>
      </c>
      <c r="AE270" s="16">
        <f>IFERROR(__xludf.DUMMYFUNCTION("""COMPUTED_VALUE"""),29.9)</f>
        <v>29.9</v>
      </c>
      <c r="AF270" s="16">
        <f>IFERROR(__xludf.DUMMYFUNCTION("""COMPUTED_VALUE"""),21.6)</f>
        <v>21.6</v>
      </c>
      <c r="AG270" s="16">
        <f>IFERROR(__xludf.DUMMYFUNCTION("""COMPUTED_VALUE"""),0.0)</f>
        <v>0</v>
      </c>
      <c r="AH270" s="16">
        <f>IFERROR(__xludf.DUMMYFUNCTION("""COMPUTED_VALUE"""),1.0)</f>
        <v>1</v>
      </c>
      <c r="AI270" s="16">
        <f>IFERROR(__xludf.DUMMYFUNCTION("""COMPUTED_VALUE"""),0.0)</f>
        <v>0</v>
      </c>
      <c r="AJ270" s="16">
        <f>IFERROR(__xludf.DUMMYFUNCTION("""COMPUTED_VALUE"""),2.0)</f>
        <v>2</v>
      </c>
      <c r="AK270" s="16">
        <f>IFERROR(__xludf.DUMMYFUNCTION("""COMPUTED_VALUE"""),12.9)</f>
        <v>12.9</v>
      </c>
      <c r="AL270" s="16">
        <f>IFERROR(__xludf.DUMMYFUNCTION("""COMPUTED_VALUE"""),14.799999999999999)</f>
        <v>14.8</v>
      </c>
      <c r="AM270" s="16">
        <f>IFERROR(__xludf.DUMMYFUNCTION("""COMPUTED_VALUE"""),0.0)</f>
        <v>0</v>
      </c>
      <c r="AN270" s="16">
        <f>IFERROR(__xludf.DUMMYFUNCTION("""COMPUTED_VALUE"""),0.0)</f>
        <v>0</v>
      </c>
      <c r="AO270" s="16">
        <f>IFERROR(__xludf.DUMMYFUNCTION("""COMPUTED_VALUE"""),0.0)</f>
        <v>0</v>
      </c>
      <c r="AP270" s="16">
        <f>IFERROR(__xludf.DUMMYFUNCTION("""COMPUTED_VALUE"""),0.0)</f>
        <v>0</v>
      </c>
      <c r="AQ270" s="16">
        <f>IFERROR(__xludf.DUMMYFUNCTION("""COMPUTED_VALUE"""),19.5)</f>
        <v>19.5</v>
      </c>
      <c r="AR270" s="16">
        <f>IFERROR(__xludf.DUMMYFUNCTION("""COMPUTED_VALUE"""),18.400000000000002)</f>
        <v>18.4</v>
      </c>
      <c r="AS270" s="16">
        <f>IFERROR(__xludf.DUMMYFUNCTION("""COMPUTED_VALUE"""),0.0)</f>
        <v>0</v>
      </c>
      <c r="AT270" s="16">
        <f>IFERROR(__xludf.DUMMYFUNCTION("""COMPUTED_VALUE"""),0.0)</f>
        <v>0</v>
      </c>
      <c r="AU270" s="16">
        <f>IFERROR(__xludf.DUMMYFUNCTION("""COMPUTED_VALUE"""),0.0)</f>
        <v>0</v>
      </c>
      <c r="AV270" s="16">
        <f>IFERROR(__xludf.DUMMYFUNCTION("""COMPUTED_VALUE"""),0.0)</f>
        <v>0</v>
      </c>
      <c r="AW270" s="16">
        <f>IFERROR(__xludf.DUMMYFUNCTION("""COMPUTED_VALUE"""),2.6)</f>
        <v>2.6</v>
      </c>
      <c r="AX270" s="16">
        <f>IFERROR(__xludf.DUMMYFUNCTION("""COMPUTED_VALUE"""),0.8)</f>
        <v>0.8</v>
      </c>
      <c r="AY270" s="16">
        <f>IFERROR(__xludf.DUMMYFUNCTION("""COMPUTED_VALUE"""),-1.0)</f>
        <v>-1</v>
      </c>
      <c r="AZ270" s="16">
        <f>IFERROR(__xludf.DUMMYFUNCTION("""COMPUTED_VALUE"""),1.0)</f>
        <v>1</v>
      </c>
      <c r="BA270" s="16">
        <f>IFERROR(__xludf.DUMMYFUNCTION("""COMPUTED_VALUE"""),-5.0)</f>
        <v>-5</v>
      </c>
      <c r="BB270" s="16">
        <f>IFERROR(__xludf.DUMMYFUNCTION("""COMPUTED_VALUE"""),5.0)</f>
        <v>5</v>
      </c>
      <c r="BC270" s="16">
        <f>IFERROR(__xludf.DUMMYFUNCTION("""COMPUTED_VALUE"""),4.0)</f>
        <v>4</v>
      </c>
      <c r="BD270" s="16">
        <f>IFERROR(__xludf.DUMMYFUNCTION("""COMPUTED_VALUE"""),0.0)</f>
        <v>0</v>
      </c>
      <c r="BE270" s="16">
        <f>IFERROR(__xludf.DUMMYFUNCTION("""COMPUTED_VALUE"""),4.0)</f>
        <v>4</v>
      </c>
      <c r="BF270" s="16">
        <f>IFERROR(__xludf.DUMMYFUNCTION("""COMPUTED_VALUE"""),0.0)</f>
        <v>0</v>
      </c>
      <c r="BG270" s="16">
        <f>IFERROR(__xludf.DUMMYFUNCTION("""COMPUTED_VALUE"""),-1.0)</f>
        <v>-1</v>
      </c>
      <c r="BH270" s="16">
        <f>IFERROR(__xludf.DUMMYFUNCTION("""COMPUTED_VALUE"""),2.0)</f>
        <v>2</v>
      </c>
      <c r="BI270" s="16">
        <f>IFERROR(__xludf.DUMMYFUNCTION("""COMPUTED_VALUE"""),-2.0)</f>
        <v>-2</v>
      </c>
      <c r="BJ270" s="16">
        <f>IFERROR(__xludf.DUMMYFUNCTION("""COMPUTED_VALUE"""),4.0)</f>
        <v>4</v>
      </c>
      <c r="BK270" s="16">
        <f>IFERROR(__xludf.DUMMYFUNCTION("""COMPUTED_VALUE"""),5.0)</f>
        <v>5</v>
      </c>
      <c r="BL270" s="16">
        <f>IFERROR(__xludf.DUMMYFUNCTION("""COMPUTED_VALUE"""),5.0)</f>
        <v>5</v>
      </c>
      <c r="BM270" s="16">
        <f>IFERROR(__xludf.DUMMYFUNCTION("""COMPUTED_VALUE"""),0.0)</f>
        <v>0</v>
      </c>
      <c r="BN270" s="16">
        <f>IFERROR(__xludf.DUMMYFUNCTION("""COMPUTED_VALUE"""),0.0)</f>
        <v>0</v>
      </c>
      <c r="BO270" s="16">
        <f>IFERROR(__xludf.DUMMYFUNCTION("""COMPUTED_VALUE"""),0.0)</f>
        <v>0</v>
      </c>
      <c r="BP270" s="16">
        <f>IFERROR(__xludf.DUMMYFUNCTION("""COMPUTED_VALUE"""),0.0)</f>
        <v>0</v>
      </c>
      <c r="BQ270" s="16">
        <f>IFERROR(__xludf.DUMMYFUNCTION("""COMPUTED_VALUE"""),6.0)</f>
        <v>6</v>
      </c>
      <c r="BR270" s="16">
        <f>IFERROR(__xludf.DUMMYFUNCTION("""COMPUTED_VALUE"""),6.0)</f>
        <v>6</v>
      </c>
      <c r="BS270" s="16">
        <f>IFERROR(__xludf.DUMMYFUNCTION("""COMPUTED_VALUE"""),1.0)</f>
        <v>1</v>
      </c>
      <c r="BT270" s="16">
        <f>IFERROR(__xludf.DUMMYFUNCTION("""COMPUTED_VALUE"""),1.0)</f>
        <v>1</v>
      </c>
      <c r="BU270" s="16">
        <f>IFERROR(__xludf.DUMMYFUNCTION("""COMPUTED_VALUE"""),2.0)</f>
        <v>2</v>
      </c>
      <c r="BV270" s="16">
        <f>IFERROR(__xludf.DUMMYFUNCTION("""COMPUTED_VALUE"""),2.0)</f>
        <v>2</v>
      </c>
      <c r="BW270" s="16">
        <f>IFERROR(__xludf.DUMMYFUNCTION("""COMPUTED_VALUE"""),0.0)</f>
        <v>0</v>
      </c>
      <c r="BX270" s="16">
        <f>IFERROR(__xludf.DUMMYFUNCTION("""COMPUTED_VALUE"""),0.0)</f>
        <v>0</v>
      </c>
      <c r="BY270" s="16" t="str">
        <f>IFERROR(__xludf.DUMMYFUNCTION("""COMPUTED_VALUE"""),"S(5)")</f>
        <v>S(5)</v>
      </c>
      <c r="BZ270" s="16" t="str">
        <f>IFERROR(__xludf.DUMMYFUNCTION("""COMPUTED_VALUE"""),"S(5)")</f>
        <v>S(5)</v>
      </c>
      <c r="CA270" s="16" t="str">
        <f>IFERROR(__xludf.DUMMYFUNCTION("""COMPUTED_VALUE"""),"S(5)")</f>
        <v>S(5)</v>
      </c>
      <c r="CB270" s="16"/>
      <c r="CC270" s="16"/>
      <c r="CD270" s="16">
        <f>IFERROR(__xludf.DUMMYFUNCTION("""COMPUTED_VALUE"""),5.0)</f>
        <v>5</v>
      </c>
      <c r="CE270" s="16"/>
      <c r="CF270" s="16"/>
      <c r="CG270" s="16" t="str">
        <f>IFERROR(__xludf.DUMMYFUNCTION("""COMPUTED_VALUE"""),"2-18")</f>
        <v>2-18</v>
      </c>
      <c r="CH270" s="16">
        <f>IFERROR(__xludf.DUMMYFUNCTION("""COMPUTED_VALUE"""),2.0)</f>
        <v>2</v>
      </c>
      <c r="CI270" s="16">
        <f>IFERROR(__xludf.DUMMYFUNCTION("""COMPUTED_VALUE"""),18.0)</f>
        <v>18</v>
      </c>
      <c r="CJ270" s="16">
        <f>IFERROR(__xludf.DUMMYFUNCTION("""COMPUTED_VALUE"""),2.0)</f>
        <v>2</v>
      </c>
      <c r="CK270" s="16">
        <f>IFERROR(__xludf.DUMMYFUNCTION("""COMPUTED_VALUE"""),7.0)</f>
        <v>7</v>
      </c>
      <c r="CL270" s="16" t="str">
        <f>IFERROR(__xludf.DUMMYFUNCTION("""COMPUTED_VALUE"""),"1WR-C")</f>
        <v>1WR-C</v>
      </c>
      <c r="CM270" s="16" t="str">
        <f>IFERROR(__xludf.DUMMYFUNCTION("""COMPUTED_VALUE"""),"E")</f>
        <v>E</v>
      </c>
      <c r="CN270" s="16">
        <f>IFERROR(__xludf.DUMMYFUNCTION("""COMPUTED_VALUE"""),10.0)</f>
        <v>10</v>
      </c>
      <c r="CO270" s="16" t="str">
        <f>IFERROR(__xludf.DUMMYFUNCTION("""COMPUTED_VALUE"""),"C")</f>
        <v>C</v>
      </c>
      <c r="CP270" s="16" t="str">
        <f>IFERROR(__xludf.DUMMYFUNCTION("""COMPUTED_VALUE"""),"1p70")</f>
        <v>1p70</v>
      </c>
      <c r="CQ270" s="16">
        <f>IFERROR(__xludf.DUMMYFUNCTION("""COMPUTED_VALUE"""),-15.0)</f>
        <v>-15</v>
      </c>
      <c r="CR270" s="16">
        <f>IFERROR(__xludf.DUMMYFUNCTION("""COMPUTED_VALUE"""),14.0)</f>
        <v>14</v>
      </c>
      <c r="CS270" s="16">
        <f>IFERROR(__xludf.DUMMYFUNCTION("""COMPUTED_VALUE"""),-1.0)</f>
        <v>-1</v>
      </c>
      <c r="CT270" s="16">
        <f>IFERROR(__xludf.DUMMYFUNCTION("""COMPUTED_VALUE"""),-15.0)</f>
        <v>-15</v>
      </c>
      <c r="CU270" s="16">
        <f>IFERROR(__xludf.DUMMYFUNCTION("""COMPUTED_VALUE"""),14.0)</f>
        <v>14</v>
      </c>
      <c r="CV270" s="179">
        <f>IFERROR(__xludf.DUMMYFUNCTION("""COMPUTED_VALUE"""),1.666666666666667)</f>
        <v>1.666666667</v>
      </c>
      <c r="CW270" s="179">
        <f>IFERROR(__xludf.DUMMYFUNCTION("""COMPUTED_VALUE"""),4.0)</f>
        <v>4</v>
      </c>
      <c r="CX270" s="179">
        <f>IFERROR(__xludf.DUMMYFUNCTION("""COMPUTED_VALUE"""),3.0)</f>
        <v>3</v>
      </c>
      <c r="CY270" s="16" t="str">
        <f>IFERROR(__xludf.DUMMYFUNCTION("""COMPUTED_VALUE"""),"SP")</f>
        <v>SP</v>
      </c>
      <c r="CZ270" s="16"/>
      <c r="DA270" s="16"/>
      <c r="DB270" s="16"/>
      <c r="DC270" s="16"/>
      <c r="DD270" s="16"/>
      <c r="DE270" s="16"/>
      <c r="DF270" s="16"/>
      <c r="DG270" s="16"/>
      <c r="DH270" s="16"/>
      <c r="DI270" s="16"/>
      <c r="DJ270" s="16"/>
      <c r="DK270" s="16"/>
    </row>
    <row r="271">
      <c r="A271" s="16">
        <f>IFERROR(__xludf.DUMMYFUNCTION("""COMPUTED_VALUE"""),13357.0)</f>
        <v>13357</v>
      </c>
      <c r="B271" s="16" t="str">
        <f>IFERROR(__xludf.DUMMYFUNCTION("""COMPUTED_VALUE"""),"Scott Blewett")</f>
        <v>Scott Blewett</v>
      </c>
      <c r="C271" s="153">
        <f>IFERROR(__xludf.DUMMYFUNCTION("""COMPUTED_VALUE"""),1.7)</f>
        <v>1.7</v>
      </c>
      <c r="D271" s="16"/>
      <c r="E271" s="16" t="str">
        <f>IFERROR(__xludf.DUMMYFUNCTION("""COMPUTED_VALUE"""),"R")</f>
        <v>R</v>
      </c>
      <c r="F271" s="16">
        <f>IFERROR(__xludf.DUMMYFUNCTION("""COMPUTED_VALUE"""),20.0)</f>
        <v>20</v>
      </c>
      <c r="G271" s="16">
        <f>IFERROR(__xludf.DUMMYFUNCTION("""COMPUTED_VALUE"""),32.0)</f>
        <v>32</v>
      </c>
      <c r="H271" s="16">
        <f>IFERROR(__xludf.DUMMYFUNCTION("""COMPUTED_VALUE"""),13.0)</f>
        <v>13</v>
      </c>
      <c r="I271" s="16">
        <f>IFERROR(__xludf.DUMMYFUNCTION("""COMPUTED_VALUE"""),1.0)</f>
        <v>1</v>
      </c>
      <c r="J271" s="16">
        <f>IFERROR(__xludf.DUMMYFUNCTION("""COMPUTED_VALUE"""),-2.0)</f>
        <v>-2</v>
      </c>
      <c r="K271" s="16">
        <f>IFERROR(__xludf.DUMMYFUNCTION("""COMPUTED_VALUE"""),3.0)</f>
        <v>3</v>
      </c>
      <c r="L271" s="16">
        <f>IFERROR(__xludf.DUMMYFUNCTION("""COMPUTED_VALUE"""),-6.0)</f>
        <v>-6</v>
      </c>
      <c r="M271" s="16">
        <f>IFERROR(__xludf.DUMMYFUNCTION("""COMPUTED_VALUE"""),11.0)</f>
        <v>11</v>
      </c>
      <c r="N271" s="16">
        <f>IFERROR(__xludf.DUMMYFUNCTION("""COMPUTED_VALUE"""),5.0)</f>
        <v>5</v>
      </c>
      <c r="O271" s="16">
        <f>IFERROR(__xludf.DUMMYFUNCTION("""COMPUTED_VALUE"""),-1.0)</f>
        <v>-1</v>
      </c>
      <c r="P271" s="16">
        <f>IFERROR(__xludf.DUMMYFUNCTION("""COMPUTED_VALUE"""),2.0)</f>
        <v>2</v>
      </c>
      <c r="Q271" s="16">
        <f>IFERROR(__xludf.DUMMYFUNCTION("""COMPUTED_VALUE"""),-1.0)</f>
        <v>-1</v>
      </c>
      <c r="R271" s="16">
        <f>IFERROR(__xludf.DUMMYFUNCTION("""COMPUTED_VALUE"""),2.0)</f>
        <v>2</v>
      </c>
      <c r="S271" s="16">
        <f>IFERROR(__xludf.DUMMYFUNCTION("""COMPUTED_VALUE"""),17.7)</f>
        <v>17.7</v>
      </c>
      <c r="T271" s="16">
        <f>IFERROR(__xludf.DUMMYFUNCTION("""COMPUTED_VALUE"""),9.0)</f>
        <v>9</v>
      </c>
      <c r="U271" s="16">
        <f>IFERROR(__xludf.DUMMYFUNCTION("""COMPUTED_VALUE"""),0.0)</f>
        <v>0</v>
      </c>
      <c r="V271" s="16">
        <f>IFERROR(__xludf.DUMMYFUNCTION("""COMPUTED_VALUE"""),1.0)</f>
        <v>1</v>
      </c>
      <c r="W271" s="16">
        <f>IFERROR(__xludf.DUMMYFUNCTION("""COMPUTED_VALUE"""),0.0)</f>
        <v>0</v>
      </c>
      <c r="X271" s="16">
        <f>IFERROR(__xludf.DUMMYFUNCTION("""COMPUTED_VALUE"""),2.0)</f>
        <v>2</v>
      </c>
      <c r="Y271" s="16">
        <f>IFERROR(__xludf.DUMMYFUNCTION("""COMPUTED_VALUE"""),28.7)</f>
        <v>28.7</v>
      </c>
      <c r="Z271" s="16">
        <f>IFERROR(__xludf.DUMMYFUNCTION("""COMPUTED_VALUE"""),14.0)</f>
        <v>14</v>
      </c>
      <c r="AA271" s="16">
        <f>IFERROR(__xludf.DUMMYFUNCTION("""COMPUTED_VALUE"""),0.0)</f>
        <v>0</v>
      </c>
      <c r="AB271" s="16">
        <f>IFERROR(__xludf.DUMMYFUNCTION("""COMPUTED_VALUE"""),2.0)</f>
        <v>2</v>
      </c>
      <c r="AC271" s="16">
        <f>IFERROR(__xludf.DUMMYFUNCTION("""COMPUTED_VALUE"""),0.0)</f>
        <v>0</v>
      </c>
      <c r="AD271" s="16">
        <f>IFERROR(__xludf.DUMMYFUNCTION("""COMPUTED_VALUE"""),10.0)</f>
        <v>10</v>
      </c>
      <c r="AE271" s="16">
        <f>IFERROR(__xludf.DUMMYFUNCTION("""COMPUTED_VALUE"""),46.5)</f>
        <v>46.5</v>
      </c>
      <c r="AF271" s="16">
        <f>IFERROR(__xludf.DUMMYFUNCTION("""COMPUTED_VALUE"""),16.0)</f>
        <v>16</v>
      </c>
      <c r="AG271" s="16">
        <f>IFERROR(__xludf.DUMMYFUNCTION("""COMPUTED_VALUE"""),-2.0)</f>
        <v>-2</v>
      </c>
      <c r="AH271" s="16">
        <f>IFERROR(__xludf.DUMMYFUNCTION("""COMPUTED_VALUE"""),1.0)</f>
        <v>1</v>
      </c>
      <c r="AI271" s="16">
        <f>IFERROR(__xludf.DUMMYFUNCTION("""COMPUTED_VALUE"""),-4.0)</f>
        <v>-4</v>
      </c>
      <c r="AJ271" s="16">
        <f>IFERROR(__xludf.DUMMYFUNCTION("""COMPUTED_VALUE"""),2.0)</f>
        <v>2</v>
      </c>
      <c r="AK271" s="16">
        <f>IFERROR(__xludf.DUMMYFUNCTION("""COMPUTED_VALUE"""),11.7)</f>
        <v>11.7</v>
      </c>
      <c r="AL271" s="16">
        <f>IFERROR(__xludf.DUMMYFUNCTION("""COMPUTED_VALUE"""),9.0)</f>
        <v>9</v>
      </c>
      <c r="AM271" s="16">
        <f>IFERROR(__xludf.DUMMYFUNCTION("""COMPUTED_VALUE"""),0.0)</f>
        <v>0</v>
      </c>
      <c r="AN271" s="16">
        <f>IFERROR(__xludf.DUMMYFUNCTION("""COMPUTED_VALUE"""),1.0)</f>
        <v>1</v>
      </c>
      <c r="AO271" s="16">
        <f>IFERROR(__xludf.DUMMYFUNCTION("""COMPUTED_VALUE"""),0.0)</f>
        <v>0</v>
      </c>
      <c r="AP271" s="16">
        <f>IFERROR(__xludf.DUMMYFUNCTION("""COMPUTED_VALUE"""),1.0)</f>
        <v>1</v>
      </c>
      <c r="AQ271" s="16">
        <f>IFERROR(__xludf.DUMMYFUNCTION("""COMPUTED_VALUE"""),22.5)</f>
        <v>22.5</v>
      </c>
      <c r="AR271" s="16">
        <f>IFERROR(__xludf.DUMMYFUNCTION("""COMPUTED_VALUE"""),16.0)</f>
        <v>16</v>
      </c>
      <c r="AS271" s="16">
        <f>IFERROR(__xludf.DUMMYFUNCTION("""COMPUTED_VALUE"""),0.0)</f>
        <v>0</v>
      </c>
      <c r="AT271" s="16">
        <f>IFERROR(__xludf.DUMMYFUNCTION("""COMPUTED_VALUE"""),1.0)</f>
        <v>1</v>
      </c>
      <c r="AU271" s="16">
        <f>IFERROR(__xludf.DUMMYFUNCTION("""COMPUTED_VALUE"""),0.0)</f>
        <v>0</v>
      </c>
      <c r="AV271" s="16">
        <f>IFERROR(__xludf.DUMMYFUNCTION("""COMPUTED_VALUE"""),2.0)</f>
        <v>2</v>
      </c>
      <c r="AW271" s="16">
        <f>IFERROR(__xludf.DUMMYFUNCTION("""COMPUTED_VALUE"""),6.0)</f>
        <v>6</v>
      </c>
      <c r="AX271" s="16">
        <f>IFERROR(__xludf.DUMMYFUNCTION("""COMPUTED_VALUE"""),0.0)</f>
        <v>0</v>
      </c>
      <c r="AY271" s="16">
        <f>IFERROR(__xludf.DUMMYFUNCTION("""COMPUTED_VALUE"""),-3.0)</f>
        <v>-3</v>
      </c>
      <c r="AZ271" s="16">
        <f>IFERROR(__xludf.DUMMYFUNCTION("""COMPUTED_VALUE"""),2.0)</f>
        <v>2</v>
      </c>
      <c r="BA271" s="16">
        <f>IFERROR(__xludf.DUMMYFUNCTION("""COMPUTED_VALUE"""),-15.0)</f>
        <v>-15</v>
      </c>
      <c r="BB271" s="16">
        <f>IFERROR(__xludf.DUMMYFUNCTION("""COMPUTED_VALUE"""),10.0)</f>
        <v>10</v>
      </c>
      <c r="BC271" s="16">
        <f>IFERROR(__xludf.DUMMYFUNCTION("""COMPUTED_VALUE"""),8.0)</f>
        <v>8</v>
      </c>
      <c r="BD271" s="16"/>
      <c r="BE271" s="16">
        <f>IFERROR(__xludf.DUMMYFUNCTION("""COMPUTED_VALUE"""),8.0)</f>
        <v>8</v>
      </c>
      <c r="BF271" s="16">
        <f>IFERROR(__xludf.DUMMYFUNCTION("""COMPUTED_VALUE"""),0.0)</f>
        <v>0</v>
      </c>
      <c r="BG271" s="16">
        <f>IFERROR(__xludf.DUMMYFUNCTION("""COMPUTED_VALUE"""),-3.0)</f>
        <v>-3</v>
      </c>
      <c r="BH271" s="16">
        <f>IFERROR(__xludf.DUMMYFUNCTION("""COMPUTED_VALUE"""),2.0)</f>
        <v>2</v>
      </c>
      <c r="BI271" s="16">
        <f>IFERROR(__xludf.DUMMYFUNCTION("""COMPUTED_VALUE"""),-6.0)</f>
        <v>-6</v>
      </c>
      <c r="BJ271" s="16">
        <f>IFERROR(__xludf.DUMMYFUNCTION("""COMPUTED_VALUE"""),4.0)</f>
        <v>4</v>
      </c>
      <c r="BK271" s="16">
        <f>IFERROR(__xludf.DUMMYFUNCTION("""COMPUTED_VALUE"""),5.0)</f>
        <v>5</v>
      </c>
      <c r="BL271" s="16">
        <f>IFERROR(__xludf.DUMMYFUNCTION("""COMPUTED_VALUE"""),0.0)</f>
        <v>0</v>
      </c>
      <c r="BM271" s="16">
        <f>IFERROR(__xludf.DUMMYFUNCTION("""COMPUTED_VALUE"""),0.0)</f>
        <v>0</v>
      </c>
      <c r="BN271" s="16">
        <f>IFERROR(__xludf.DUMMYFUNCTION("""COMPUTED_VALUE"""),1.0)</f>
        <v>1</v>
      </c>
      <c r="BO271" s="16">
        <f>IFERROR(__xludf.DUMMYFUNCTION("""COMPUTED_VALUE"""),0.0)</f>
        <v>0</v>
      </c>
      <c r="BP271" s="16">
        <f>IFERROR(__xludf.DUMMYFUNCTION("""COMPUTED_VALUE"""),1.0)</f>
        <v>1</v>
      </c>
      <c r="BQ271" s="16">
        <f>IFERROR(__xludf.DUMMYFUNCTION("""COMPUTED_VALUE"""),3.0)</f>
        <v>3</v>
      </c>
      <c r="BR271" s="16">
        <f>IFERROR(__xludf.DUMMYFUNCTION("""COMPUTED_VALUE"""),12.0)</f>
        <v>12</v>
      </c>
      <c r="BS271" s="16">
        <f>IFERROR(__xludf.DUMMYFUNCTION("""COMPUTED_VALUE"""),-1.0)</f>
        <v>-1</v>
      </c>
      <c r="BT271" s="16">
        <f>IFERROR(__xludf.DUMMYFUNCTION("""COMPUTED_VALUE"""),3.0)</f>
        <v>3</v>
      </c>
      <c r="BU271" s="16">
        <f>IFERROR(__xludf.DUMMYFUNCTION("""COMPUTED_VALUE"""),-2.0)</f>
        <v>-2</v>
      </c>
      <c r="BV271" s="16">
        <f>IFERROR(__xludf.DUMMYFUNCTION("""COMPUTED_VALUE"""),6.0)</f>
        <v>6</v>
      </c>
      <c r="BW271" s="16">
        <f>IFERROR(__xludf.DUMMYFUNCTION("""COMPUTED_VALUE"""),1.0)</f>
        <v>1</v>
      </c>
      <c r="BX271" s="16">
        <f>IFERROR(__xludf.DUMMYFUNCTION("""COMPUTED_VALUE"""),1.0)</f>
        <v>1</v>
      </c>
      <c r="BY271" s="16" t="str">
        <f>IFERROR(__xludf.DUMMYFUNCTION("""COMPUTED_VALUE"""),"R(3)")</f>
        <v>R(3)</v>
      </c>
      <c r="BZ271" s="16" t="str">
        <f>IFERROR(__xludf.DUMMYFUNCTION("""COMPUTED_VALUE"""),"R(3)")</f>
        <v>R(3)</v>
      </c>
      <c r="CA271" s="16" t="str">
        <f>IFERROR(__xludf.DUMMYFUNCTION("""COMPUTED_VALUE"""),"R(3)")</f>
        <v>R(3)</v>
      </c>
      <c r="CB271" s="16"/>
      <c r="CC271" s="16"/>
      <c r="CD271" s="16"/>
      <c r="CE271" s="16">
        <f>IFERROR(__xludf.DUMMYFUNCTION("""COMPUTED_VALUE"""),3.0)</f>
        <v>3</v>
      </c>
      <c r="CF271" s="16"/>
      <c r="CG271" s="16" t="str">
        <f>IFERROR(__xludf.DUMMYFUNCTION("""COMPUTED_VALUE"""),"3-0")</f>
        <v>3-0</v>
      </c>
      <c r="CH271" s="16">
        <f>IFERROR(__xludf.DUMMYFUNCTION("""COMPUTED_VALUE"""),3.0)</f>
        <v>3</v>
      </c>
      <c r="CI271" s="16">
        <f>IFERROR(__xludf.DUMMYFUNCTION("""COMPUTED_VALUE"""),0.0)</f>
        <v>0</v>
      </c>
      <c r="CJ271" s="16">
        <f>IFERROR(__xludf.DUMMYFUNCTION("""COMPUTED_VALUE"""),0.0)</f>
        <v>0</v>
      </c>
      <c r="CK271" s="16">
        <f>IFERROR(__xludf.DUMMYFUNCTION("""COMPUTED_VALUE"""),0.0)</f>
        <v>0</v>
      </c>
      <c r="CL271" s="16" t="str">
        <f>IFERROR(__xludf.DUMMYFUNCTION("""COMPUTED_VALUE"""),"1WR-C")</f>
        <v>1WR-C</v>
      </c>
      <c r="CM271" s="16" t="str">
        <f>IFERROR(__xludf.DUMMYFUNCTION("""COMPUTED_VALUE"""),"E")</f>
        <v>E</v>
      </c>
      <c r="CN271" s="16">
        <f>IFERROR(__xludf.DUMMYFUNCTION("""COMPUTED_VALUE"""),10.0)</f>
        <v>10</v>
      </c>
      <c r="CO271" s="16" t="str">
        <f>IFERROR(__xludf.DUMMYFUNCTION("""COMPUTED_VALUE"""),"C")</f>
        <v>C</v>
      </c>
      <c r="CP271" s="16" t="str">
        <f>IFERROR(__xludf.DUMMYFUNCTION("""COMPUTED_VALUE"""),"1p20")</f>
        <v>1p20</v>
      </c>
      <c r="CQ271" s="16">
        <f>IFERROR(__xludf.DUMMYFUNCTION("""COMPUTED_VALUE"""),-25.0)</f>
        <v>-25</v>
      </c>
      <c r="CR271" s="16">
        <f>IFERROR(__xludf.DUMMYFUNCTION("""COMPUTED_VALUE"""),34.0)</f>
        <v>34</v>
      </c>
      <c r="CS271" s="16">
        <f>IFERROR(__xludf.DUMMYFUNCTION("""COMPUTED_VALUE"""),9.0)</f>
        <v>9</v>
      </c>
      <c r="CT271" s="16">
        <f>IFERROR(__xludf.DUMMYFUNCTION("""COMPUTED_VALUE"""),-25.0)</f>
        <v>-25</v>
      </c>
      <c r="CU271" s="16">
        <f>IFERROR(__xludf.DUMMYFUNCTION("""COMPUTED_VALUE"""),34.0)</f>
        <v>34</v>
      </c>
      <c r="CV271" s="179">
        <f>IFERROR(__xludf.DUMMYFUNCTION("""COMPUTED_VALUE"""),1.666666666666667)</f>
        <v>1.666666667</v>
      </c>
      <c r="CW271" s="179">
        <f>IFERROR(__xludf.DUMMYFUNCTION("""COMPUTED_VALUE"""),4.0)</f>
        <v>4</v>
      </c>
      <c r="CX271" s="179">
        <f>IFERROR(__xludf.DUMMYFUNCTION("""COMPUTED_VALUE"""),3.0)</f>
        <v>3</v>
      </c>
      <c r="CY271" s="16" t="str">
        <f>IFERROR(__xludf.DUMMYFUNCTION("""COMPUTED_VALUE"""),"RP")</f>
        <v>RP</v>
      </c>
      <c r="CZ271" s="16"/>
      <c r="DA271" s="16"/>
      <c r="DB271" s="16"/>
      <c r="DC271" s="16"/>
      <c r="DD271" s="16"/>
      <c r="DE271" s="16"/>
      <c r="DF271" s="16"/>
      <c r="DG271" s="16"/>
      <c r="DH271" s="16"/>
      <c r="DI271" s="16"/>
      <c r="DJ271" s="16"/>
      <c r="DK271" s="16"/>
    </row>
    <row r="272">
      <c r="A272" s="16">
        <f>IFERROR(__xludf.DUMMYFUNCTION("""COMPUTED_VALUE"""),12496.0)</f>
        <v>12496</v>
      </c>
      <c r="B272" s="16" t="str">
        <f>IFERROR(__xludf.DUMMYFUNCTION("""COMPUTED_VALUE"""),"Aaron Nola")</f>
        <v>Aaron Nola</v>
      </c>
      <c r="C272" s="153">
        <f>IFERROR(__xludf.DUMMYFUNCTION("""COMPUTED_VALUE"""),1.63)</f>
        <v>1.63</v>
      </c>
      <c r="D272" s="16"/>
      <c r="E272" s="16" t="str">
        <f>IFERROR(__xludf.DUMMYFUNCTION("""COMPUTED_VALUE"""),"R")</f>
        <v>R</v>
      </c>
      <c r="F272" s="16">
        <f>IFERROR(__xludf.DUMMYFUNCTION("""COMPUTED_VALUE"""),199.0)</f>
        <v>199</v>
      </c>
      <c r="G272" s="16">
        <f>IFERROR(__xludf.DUMMYFUNCTION("""COMPUTED_VALUE"""),22.0)</f>
        <v>22</v>
      </c>
      <c r="H272" s="16">
        <f>IFERROR(__xludf.DUMMYFUNCTION("""COMPUTED_VALUE"""),32.0)</f>
        <v>32</v>
      </c>
      <c r="I272" s="16">
        <f>IFERROR(__xludf.DUMMYFUNCTION("""COMPUTED_VALUE"""),-1.0)</f>
        <v>-1</v>
      </c>
      <c r="J272" s="16">
        <f>IFERROR(__xludf.DUMMYFUNCTION("""COMPUTED_VALUE"""),1.0)</f>
        <v>1</v>
      </c>
      <c r="K272" s="16">
        <f>IFERROR(__xludf.DUMMYFUNCTION("""COMPUTED_VALUE"""),-3.0)</f>
        <v>-3</v>
      </c>
      <c r="L272" s="16">
        <f>IFERROR(__xludf.DUMMYFUNCTION("""COMPUTED_VALUE"""),3.0)</f>
        <v>3</v>
      </c>
      <c r="M272" s="16">
        <f>IFERROR(__xludf.DUMMYFUNCTION("""COMPUTED_VALUE"""),6.0)</f>
        <v>6</v>
      </c>
      <c r="N272" s="16">
        <f>IFERROR(__xludf.DUMMYFUNCTION("""COMPUTED_VALUE"""),3.0)</f>
        <v>3</v>
      </c>
      <c r="O272" s="16">
        <f>IFERROR(__xludf.DUMMYFUNCTION("""COMPUTED_VALUE"""),1.0)</f>
        <v>1</v>
      </c>
      <c r="P272" s="16">
        <f>IFERROR(__xludf.DUMMYFUNCTION("""COMPUTED_VALUE"""),2.0)</f>
        <v>2</v>
      </c>
      <c r="Q272" s="16">
        <f>IFERROR(__xludf.DUMMYFUNCTION("""COMPUTED_VALUE"""),1.0)</f>
        <v>1</v>
      </c>
      <c r="R272" s="16">
        <f>IFERROR(__xludf.DUMMYFUNCTION("""COMPUTED_VALUE"""),2.0)</f>
        <v>2</v>
      </c>
      <c r="S272" s="16">
        <f>IFERROR(__xludf.DUMMYFUNCTION("""COMPUTED_VALUE"""),14.7)</f>
        <v>14.7</v>
      </c>
      <c r="T272" s="16">
        <f>IFERROR(__xludf.DUMMYFUNCTION("""COMPUTED_VALUE"""),21.5)</f>
        <v>21.5</v>
      </c>
      <c r="U272" s="16">
        <f>IFERROR(__xludf.DUMMYFUNCTION("""COMPUTED_VALUE"""),0.0)</f>
        <v>0</v>
      </c>
      <c r="V272" s="16">
        <f>IFERROR(__xludf.DUMMYFUNCTION("""COMPUTED_VALUE"""),-1.0)</f>
        <v>-1</v>
      </c>
      <c r="W272" s="16">
        <f>IFERROR(__xludf.DUMMYFUNCTION("""COMPUTED_VALUE"""),0.0)</f>
        <v>0</v>
      </c>
      <c r="X272" s="16">
        <f>IFERROR(__xludf.DUMMYFUNCTION("""COMPUTED_VALUE"""),-2.0)</f>
        <v>-2</v>
      </c>
      <c r="Y272" s="16">
        <f>IFERROR(__xludf.DUMMYFUNCTION("""COMPUTED_VALUE"""),20.7)</f>
        <v>20.7</v>
      </c>
      <c r="Z272" s="16">
        <f>IFERROR(__xludf.DUMMYFUNCTION("""COMPUTED_VALUE"""),24.5)</f>
        <v>24.5</v>
      </c>
      <c r="AA272" s="16">
        <f>IFERROR(__xludf.DUMMYFUNCTION("""COMPUTED_VALUE"""),1.0)</f>
        <v>1</v>
      </c>
      <c r="AB272" s="16">
        <f>IFERROR(__xludf.DUMMYFUNCTION("""COMPUTED_VALUE"""),0.0)</f>
        <v>0</v>
      </c>
      <c r="AC272" s="16">
        <f>IFERROR(__xludf.DUMMYFUNCTION("""COMPUTED_VALUE"""),5.0)</f>
        <v>5</v>
      </c>
      <c r="AD272" s="16">
        <f>IFERROR(__xludf.DUMMYFUNCTION("""COMPUTED_VALUE"""),0.0)</f>
        <v>0</v>
      </c>
      <c r="AE272" s="16">
        <f>IFERROR(__xludf.DUMMYFUNCTION("""COMPUTED_VALUE"""),30.6)</f>
        <v>30.6</v>
      </c>
      <c r="AF272" s="16">
        <f>IFERROR(__xludf.DUMMYFUNCTION("""COMPUTED_VALUE"""),33.8)</f>
        <v>33.8</v>
      </c>
      <c r="AG272" s="16">
        <f>IFERROR(__xludf.DUMMYFUNCTION("""COMPUTED_VALUE"""),0.0)</f>
        <v>0</v>
      </c>
      <c r="AH272" s="16">
        <f>IFERROR(__xludf.DUMMYFUNCTION("""COMPUTED_VALUE"""),-1.0)</f>
        <v>-1</v>
      </c>
      <c r="AI272" s="16">
        <f>IFERROR(__xludf.DUMMYFUNCTION("""COMPUTED_VALUE"""),0.0)</f>
        <v>0</v>
      </c>
      <c r="AJ272" s="16">
        <f>IFERROR(__xludf.DUMMYFUNCTION("""COMPUTED_VALUE"""),-2.0)</f>
        <v>-2</v>
      </c>
      <c r="AK272" s="16">
        <f>IFERROR(__xludf.DUMMYFUNCTION("""COMPUTED_VALUE"""),11.1)</f>
        <v>11.1</v>
      </c>
      <c r="AL272" s="16">
        <f>IFERROR(__xludf.DUMMYFUNCTION("""COMPUTED_VALUE"""),19.7)</f>
        <v>19.7</v>
      </c>
      <c r="AM272" s="16">
        <f>IFERROR(__xludf.DUMMYFUNCTION("""COMPUTED_VALUE"""),0.0)</f>
        <v>0</v>
      </c>
      <c r="AN272" s="16">
        <f>IFERROR(__xludf.DUMMYFUNCTION("""COMPUTED_VALUE"""),-1.0)</f>
        <v>-1</v>
      </c>
      <c r="AO272" s="16">
        <f>IFERROR(__xludf.DUMMYFUNCTION("""COMPUTED_VALUE"""),0.0)</f>
        <v>0</v>
      </c>
      <c r="AP272" s="16">
        <f>IFERROR(__xludf.DUMMYFUNCTION("""COMPUTED_VALUE"""),-1.0)</f>
        <v>-1</v>
      </c>
      <c r="AQ272" s="16">
        <f>IFERROR(__xludf.DUMMYFUNCTION("""COMPUTED_VALUE"""),16.200000000000003)</f>
        <v>16.2</v>
      </c>
      <c r="AR272" s="16">
        <f>IFERROR(__xludf.DUMMYFUNCTION("""COMPUTED_VALUE"""),26.599999999999998)</f>
        <v>26.6</v>
      </c>
      <c r="AS272" s="16">
        <f>IFERROR(__xludf.DUMMYFUNCTION("""COMPUTED_VALUE"""),0.0)</f>
        <v>0</v>
      </c>
      <c r="AT272" s="16">
        <f>IFERROR(__xludf.DUMMYFUNCTION("""COMPUTED_VALUE"""),-1.0)</f>
        <v>-1</v>
      </c>
      <c r="AU272" s="16">
        <f>IFERROR(__xludf.DUMMYFUNCTION("""COMPUTED_VALUE"""),0.0)</f>
        <v>0</v>
      </c>
      <c r="AV272" s="16">
        <f>IFERROR(__xludf.DUMMYFUNCTION("""COMPUTED_VALUE"""),-2.0)</f>
        <v>-2</v>
      </c>
      <c r="AW272" s="16">
        <f>IFERROR(__xludf.DUMMYFUNCTION("""COMPUTED_VALUE"""),3.6)</f>
        <v>3.6</v>
      </c>
      <c r="AX272" s="16">
        <f>IFERROR(__xludf.DUMMYFUNCTION("""COMPUTED_VALUE"""),1.8)</f>
        <v>1.8</v>
      </c>
      <c r="AY272" s="16">
        <f>IFERROR(__xludf.DUMMYFUNCTION("""COMPUTED_VALUE"""),-2.0)</f>
        <v>-2</v>
      </c>
      <c r="AZ272" s="16">
        <f>IFERROR(__xludf.DUMMYFUNCTION("""COMPUTED_VALUE"""),0.0)</f>
        <v>0</v>
      </c>
      <c r="BA272" s="16">
        <f>IFERROR(__xludf.DUMMYFUNCTION("""COMPUTED_VALUE"""),-10.0)</f>
        <v>-10</v>
      </c>
      <c r="BB272" s="16">
        <f>IFERROR(__xludf.DUMMYFUNCTION("""COMPUTED_VALUE"""),0.0)</f>
        <v>0</v>
      </c>
      <c r="BC272" s="16">
        <f>IFERROR(__xludf.DUMMYFUNCTION("""COMPUTED_VALUE"""),4.0)</f>
        <v>4</v>
      </c>
      <c r="BD272" s="16">
        <f>IFERROR(__xludf.DUMMYFUNCTION("""COMPUTED_VALUE"""),3.0)</f>
        <v>3</v>
      </c>
      <c r="BE272" s="16">
        <f>IFERROR(__xludf.DUMMYFUNCTION("""COMPUTED_VALUE"""),4.0)</f>
        <v>4</v>
      </c>
      <c r="BF272" s="16">
        <f>IFERROR(__xludf.DUMMYFUNCTION("""COMPUTED_VALUE"""),3.0)</f>
        <v>3</v>
      </c>
      <c r="BG272" s="16">
        <f>IFERROR(__xludf.DUMMYFUNCTION("""COMPUTED_VALUE"""),-1.0)</f>
        <v>-1</v>
      </c>
      <c r="BH272" s="16">
        <f>IFERROR(__xludf.DUMMYFUNCTION("""COMPUTED_VALUE"""),0.0)</f>
        <v>0</v>
      </c>
      <c r="BI272" s="16">
        <f>IFERROR(__xludf.DUMMYFUNCTION("""COMPUTED_VALUE"""),-2.0)</f>
        <v>-2</v>
      </c>
      <c r="BJ272" s="16">
        <f>IFERROR(__xludf.DUMMYFUNCTION("""COMPUTED_VALUE"""),0.0)</f>
        <v>0</v>
      </c>
      <c r="BK272" s="16">
        <f>IFERROR(__xludf.DUMMYFUNCTION("""COMPUTED_VALUE"""),5.0)</f>
        <v>5</v>
      </c>
      <c r="BL272" s="16">
        <f>IFERROR(__xludf.DUMMYFUNCTION("""COMPUTED_VALUE"""),5.0)</f>
        <v>5</v>
      </c>
      <c r="BM272" s="16">
        <f>IFERROR(__xludf.DUMMYFUNCTION("""COMPUTED_VALUE"""),0.0)</f>
        <v>0</v>
      </c>
      <c r="BN272" s="16">
        <f>IFERROR(__xludf.DUMMYFUNCTION("""COMPUTED_VALUE"""),0.0)</f>
        <v>0</v>
      </c>
      <c r="BO272" s="16">
        <f>IFERROR(__xludf.DUMMYFUNCTION("""COMPUTED_VALUE"""),0.0)</f>
        <v>0</v>
      </c>
      <c r="BP272" s="16">
        <f>IFERROR(__xludf.DUMMYFUNCTION("""COMPUTED_VALUE"""),0.0)</f>
        <v>0</v>
      </c>
      <c r="BQ272" s="16">
        <f>IFERROR(__xludf.DUMMYFUNCTION("""COMPUTED_VALUE"""),5.0)</f>
        <v>5</v>
      </c>
      <c r="BR272" s="16">
        <f>IFERROR(__xludf.DUMMYFUNCTION("""COMPUTED_VALUE"""),3.0)</f>
        <v>3</v>
      </c>
      <c r="BS272" s="16">
        <f>IFERROR(__xludf.DUMMYFUNCTION("""COMPUTED_VALUE"""),0.0)</f>
        <v>0</v>
      </c>
      <c r="BT272" s="16">
        <f>IFERROR(__xludf.DUMMYFUNCTION("""COMPUTED_VALUE"""),-1.0)</f>
        <v>-1</v>
      </c>
      <c r="BU272" s="16">
        <f>IFERROR(__xludf.DUMMYFUNCTION("""COMPUTED_VALUE"""),0.0)</f>
        <v>0</v>
      </c>
      <c r="BV272" s="16">
        <f>IFERROR(__xludf.DUMMYFUNCTION("""COMPUTED_VALUE"""),-2.0)</f>
        <v>-2</v>
      </c>
      <c r="BW272" s="16">
        <f>IFERROR(__xludf.DUMMYFUNCTION("""COMPUTED_VALUE"""),0.0)</f>
        <v>0</v>
      </c>
      <c r="BX272" s="16">
        <f>IFERROR(__xludf.DUMMYFUNCTION("""COMPUTED_VALUE"""),0.0)</f>
        <v>0</v>
      </c>
      <c r="BY272" s="16" t="str">
        <f>IFERROR(__xludf.DUMMYFUNCTION("""COMPUTED_VALUE"""),"S(6*)")</f>
        <v>S(6*)</v>
      </c>
      <c r="BZ272" s="16" t="str">
        <f>IFERROR(__xludf.DUMMYFUNCTION("""COMPUTED_VALUE"""),"S(6)")</f>
        <v>S(6)</v>
      </c>
      <c r="CA272" s="16" t="str">
        <f>IFERROR(__xludf.DUMMYFUNCTION("""COMPUTED_VALUE"""),"S(6)")</f>
        <v>S(6)</v>
      </c>
      <c r="CB272" s="16"/>
      <c r="CC272" s="16"/>
      <c r="CD272" s="16">
        <f>IFERROR(__xludf.DUMMYFUNCTION("""COMPUTED_VALUE"""),6.0)</f>
        <v>6</v>
      </c>
      <c r="CE272" s="16"/>
      <c r="CF272" s="16"/>
      <c r="CG272" s="16" t="str">
        <f>IFERROR(__xludf.DUMMYFUNCTION("""COMPUTED_VALUE"""),"3-0")</f>
        <v>3-0</v>
      </c>
      <c r="CH272" s="16">
        <f>IFERROR(__xludf.DUMMYFUNCTION("""COMPUTED_VALUE"""),3.0)</f>
        <v>3</v>
      </c>
      <c r="CI272" s="16">
        <f>IFERROR(__xludf.DUMMYFUNCTION("""COMPUTED_VALUE"""),0.0)</f>
        <v>0</v>
      </c>
      <c r="CJ272" s="16">
        <f>IFERROR(__xludf.DUMMYFUNCTION("""COMPUTED_VALUE"""),0.0)</f>
        <v>0</v>
      </c>
      <c r="CK272" s="16">
        <f>IFERROR(__xludf.DUMMYFUNCTION("""COMPUTED_VALUE"""),1.0)</f>
        <v>1</v>
      </c>
      <c r="CL272" s="16" t="str">
        <f>IFERROR(__xludf.DUMMYFUNCTION("""COMPUTED_VALUE"""),"1WR-C")</f>
        <v>1WR-C</v>
      </c>
      <c r="CM272" s="16" t="str">
        <f>IFERROR(__xludf.DUMMYFUNCTION("""COMPUTED_VALUE"""),"E")</f>
        <v>E</v>
      </c>
      <c r="CN272" s="16">
        <f>IFERROR(__xludf.DUMMYFUNCTION("""COMPUTED_VALUE"""),10.0)</f>
        <v>10</v>
      </c>
      <c r="CO272" s="16" t="str">
        <f>IFERROR(__xludf.DUMMYFUNCTION("""COMPUTED_VALUE"""),"C")</f>
        <v>C</v>
      </c>
      <c r="CP272" s="16" t="str">
        <f>IFERROR(__xludf.DUMMYFUNCTION("""COMPUTED_VALUE"""),"0p72")</f>
        <v>0p72</v>
      </c>
      <c r="CQ272" s="16">
        <f>IFERROR(__xludf.DUMMYFUNCTION("""COMPUTED_VALUE"""),-9.0)</f>
        <v>-9</v>
      </c>
      <c r="CR272" s="16">
        <f>IFERROR(__xludf.DUMMYFUNCTION("""COMPUTED_VALUE"""),-4.0)</f>
        <v>-4</v>
      </c>
      <c r="CS272" s="16">
        <f>IFERROR(__xludf.DUMMYFUNCTION("""COMPUTED_VALUE"""),-13.0)</f>
        <v>-13</v>
      </c>
      <c r="CT272" s="16">
        <f>IFERROR(__xludf.DUMMYFUNCTION("""COMPUTED_VALUE"""),-9.0)</f>
        <v>-9</v>
      </c>
      <c r="CU272" s="16">
        <f>IFERROR(__xludf.DUMMYFUNCTION("""COMPUTED_VALUE"""),-4.0)</f>
        <v>-4</v>
      </c>
      <c r="CV272" s="179">
        <f>IFERROR(__xludf.DUMMYFUNCTION("""COMPUTED_VALUE"""),1.666666666666667)</f>
        <v>1.666666667</v>
      </c>
      <c r="CW272" s="179">
        <f>IFERROR(__xludf.DUMMYFUNCTION("""COMPUTED_VALUE"""),5.0)</f>
        <v>5</v>
      </c>
      <c r="CX272" s="179">
        <f>IFERROR(__xludf.DUMMYFUNCTION("""COMPUTED_VALUE"""),4.0)</f>
        <v>4</v>
      </c>
      <c r="CY272" s="16" t="str">
        <f>IFERROR(__xludf.DUMMYFUNCTION("""COMPUTED_VALUE"""),"SP")</f>
        <v>SP</v>
      </c>
      <c r="CZ272" s="16"/>
      <c r="DA272" s="16"/>
      <c r="DB272" s="16"/>
      <c r="DC272" s="16"/>
      <c r="DD272" s="16"/>
      <c r="DE272" s="16"/>
      <c r="DF272" s="16"/>
      <c r="DG272" s="16"/>
      <c r="DH272" s="16"/>
      <c r="DI272" s="16"/>
      <c r="DJ272" s="16"/>
      <c r="DK272" s="16"/>
    </row>
    <row r="273">
      <c r="A273" s="16">
        <f>IFERROR(__xludf.DUMMYFUNCTION("""COMPUTED_VALUE"""),13176.0)</f>
        <v>13176</v>
      </c>
      <c r="B273" s="16" t="str">
        <f>IFERROR(__xludf.DUMMYFUNCTION("""COMPUTED_VALUE"""),"Matt Waldron")</f>
        <v>Matt Waldron</v>
      </c>
      <c r="C273" s="153">
        <f>IFERROR(__xludf.DUMMYFUNCTION("""COMPUTED_VALUE"""),0.29)</f>
        <v>0.29</v>
      </c>
      <c r="D273" s="16"/>
      <c r="E273" s="16" t="str">
        <f>IFERROR(__xludf.DUMMYFUNCTION("""COMPUTED_VALUE"""),"R")</f>
        <v>R</v>
      </c>
      <c r="F273" s="16">
        <f>IFERROR(__xludf.DUMMYFUNCTION("""COMPUTED_VALUE"""),147.0)</f>
        <v>147</v>
      </c>
      <c r="G273" s="16">
        <f>IFERROR(__xludf.DUMMYFUNCTION("""COMPUTED_VALUE"""),21.0)</f>
        <v>21</v>
      </c>
      <c r="H273" s="16">
        <f>IFERROR(__xludf.DUMMYFUNCTION("""COMPUTED_VALUE"""),23.0)</f>
        <v>23</v>
      </c>
      <c r="I273" s="16">
        <f>IFERROR(__xludf.DUMMYFUNCTION("""COMPUTED_VALUE"""),-1.0)</f>
        <v>-1</v>
      </c>
      <c r="J273" s="16">
        <f>IFERROR(__xludf.DUMMYFUNCTION("""COMPUTED_VALUE"""),-1.0)</f>
        <v>-1</v>
      </c>
      <c r="K273" s="16">
        <f>IFERROR(__xludf.DUMMYFUNCTION("""COMPUTED_VALUE"""),-3.0)</f>
        <v>-3</v>
      </c>
      <c r="L273" s="16">
        <f>IFERROR(__xludf.DUMMYFUNCTION("""COMPUTED_VALUE"""),-3.0)</f>
        <v>-3</v>
      </c>
      <c r="M273" s="16">
        <f>IFERROR(__xludf.DUMMYFUNCTION("""COMPUTED_VALUE"""),8.0)</f>
        <v>8</v>
      </c>
      <c r="N273" s="16">
        <f>IFERROR(__xludf.DUMMYFUNCTION("""COMPUTED_VALUE"""),3.0)</f>
        <v>3</v>
      </c>
      <c r="O273" s="16">
        <f>IFERROR(__xludf.DUMMYFUNCTION("""COMPUTED_VALUE"""),0.0)</f>
        <v>0</v>
      </c>
      <c r="P273" s="16">
        <f>IFERROR(__xludf.DUMMYFUNCTION("""COMPUTED_VALUE"""),2.0)</f>
        <v>2</v>
      </c>
      <c r="Q273" s="16">
        <f>IFERROR(__xludf.DUMMYFUNCTION("""COMPUTED_VALUE"""),0.0)</f>
        <v>0</v>
      </c>
      <c r="R273" s="16">
        <f>IFERROR(__xludf.DUMMYFUNCTION("""COMPUTED_VALUE"""),2.0)</f>
        <v>2</v>
      </c>
      <c r="S273" s="16">
        <f>IFERROR(__xludf.DUMMYFUNCTION("""COMPUTED_VALUE"""),19.5)</f>
        <v>19.5</v>
      </c>
      <c r="T273" s="16">
        <f>IFERROR(__xludf.DUMMYFUNCTION("""COMPUTED_VALUE"""),19.0)</f>
        <v>19</v>
      </c>
      <c r="U273" s="16">
        <f>IFERROR(__xludf.DUMMYFUNCTION("""COMPUTED_VALUE"""),-1.0)</f>
        <v>-1</v>
      </c>
      <c r="V273" s="16">
        <f>IFERROR(__xludf.DUMMYFUNCTION("""COMPUTED_VALUE"""),-1.0)</f>
        <v>-1</v>
      </c>
      <c r="W273" s="16">
        <f>IFERROR(__xludf.DUMMYFUNCTION("""COMPUTED_VALUE"""),-2.0)</f>
        <v>-2</v>
      </c>
      <c r="X273" s="16">
        <f>IFERROR(__xludf.DUMMYFUNCTION("""COMPUTED_VALUE"""),-2.0)</f>
        <v>-2</v>
      </c>
      <c r="Y273" s="16">
        <f>IFERROR(__xludf.DUMMYFUNCTION("""COMPUTED_VALUE"""),27.5)</f>
        <v>27.5</v>
      </c>
      <c r="Z273" s="16">
        <f>IFERROR(__xludf.DUMMYFUNCTION("""COMPUTED_VALUE"""),22.0)</f>
        <v>22</v>
      </c>
      <c r="AA273" s="16">
        <f>IFERROR(__xludf.DUMMYFUNCTION("""COMPUTED_VALUE"""),0.0)</f>
        <v>0</v>
      </c>
      <c r="AB273" s="16">
        <f>IFERROR(__xludf.DUMMYFUNCTION("""COMPUTED_VALUE"""),1.0)</f>
        <v>1</v>
      </c>
      <c r="AC273" s="16">
        <f>IFERROR(__xludf.DUMMYFUNCTION("""COMPUTED_VALUE"""),0.0)</f>
        <v>0</v>
      </c>
      <c r="AD273" s="16">
        <f>IFERROR(__xludf.DUMMYFUNCTION("""COMPUTED_VALUE"""),5.0)</f>
        <v>5</v>
      </c>
      <c r="AE273" s="16">
        <f>IFERROR(__xludf.DUMMYFUNCTION("""COMPUTED_VALUE"""),36.3)</f>
        <v>36.3</v>
      </c>
      <c r="AF273" s="16">
        <f>IFERROR(__xludf.DUMMYFUNCTION("""COMPUTED_VALUE"""),29.9)</f>
        <v>29.9</v>
      </c>
      <c r="AG273" s="16">
        <f>IFERROR(__xludf.DUMMYFUNCTION("""COMPUTED_VALUE"""),-1.0)</f>
        <v>-1</v>
      </c>
      <c r="AH273" s="16">
        <f>IFERROR(__xludf.DUMMYFUNCTION("""COMPUTED_VALUE"""),0.0)</f>
        <v>0</v>
      </c>
      <c r="AI273" s="16">
        <f>IFERROR(__xludf.DUMMYFUNCTION("""COMPUTED_VALUE"""),-2.0)</f>
        <v>-2</v>
      </c>
      <c r="AJ273" s="16">
        <f>IFERROR(__xludf.DUMMYFUNCTION("""COMPUTED_VALUE"""),0.0)</f>
        <v>0</v>
      </c>
      <c r="AK273" s="16">
        <f>IFERROR(__xludf.DUMMYFUNCTION("""COMPUTED_VALUE"""),17.1)</f>
        <v>17.1</v>
      </c>
      <c r="AL273" s="16">
        <f>IFERROR(__xludf.DUMMYFUNCTION("""COMPUTED_VALUE"""),16.8)</f>
        <v>16.8</v>
      </c>
      <c r="AM273" s="16">
        <f>IFERROR(__xludf.DUMMYFUNCTION("""COMPUTED_VALUE"""),-1.0)</f>
        <v>-1</v>
      </c>
      <c r="AN273" s="16">
        <f>IFERROR(__xludf.DUMMYFUNCTION("""COMPUTED_VALUE"""),-1.0)</f>
        <v>-1</v>
      </c>
      <c r="AO273" s="16">
        <f>IFERROR(__xludf.DUMMYFUNCTION("""COMPUTED_VALUE"""),-1.0)</f>
        <v>-1</v>
      </c>
      <c r="AP273" s="16">
        <f>IFERROR(__xludf.DUMMYFUNCTION("""COMPUTED_VALUE"""),-1.0)</f>
        <v>-1</v>
      </c>
      <c r="AQ273" s="16">
        <f>IFERROR(__xludf.DUMMYFUNCTION("""COMPUTED_VALUE"""),26.699999999999996)</f>
        <v>26.7</v>
      </c>
      <c r="AR273" s="16">
        <f>IFERROR(__xludf.DUMMYFUNCTION("""COMPUTED_VALUE"""),21.099999999999998)</f>
        <v>21.1</v>
      </c>
      <c r="AS273" s="16">
        <f>IFERROR(__xludf.DUMMYFUNCTION("""COMPUTED_VALUE"""),-1.0)</f>
        <v>-1</v>
      </c>
      <c r="AT273" s="16">
        <f>IFERROR(__xludf.DUMMYFUNCTION("""COMPUTED_VALUE"""),0.0)</f>
        <v>0</v>
      </c>
      <c r="AU273" s="16">
        <f>IFERROR(__xludf.DUMMYFUNCTION("""COMPUTED_VALUE"""),-2.0)</f>
        <v>-2</v>
      </c>
      <c r="AV273" s="16">
        <f>IFERROR(__xludf.DUMMYFUNCTION("""COMPUTED_VALUE"""),0.0)</f>
        <v>0</v>
      </c>
      <c r="AW273" s="16">
        <f>IFERROR(__xludf.DUMMYFUNCTION("""COMPUTED_VALUE"""),2.4)</f>
        <v>2.4</v>
      </c>
      <c r="AX273" s="16">
        <f>IFERROR(__xludf.DUMMYFUNCTION("""COMPUTED_VALUE"""),2.2)</f>
        <v>2.2</v>
      </c>
      <c r="AY273" s="16">
        <f>IFERROR(__xludf.DUMMYFUNCTION("""COMPUTED_VALUE"""),0.0)</f>
        <v>0</v>
      </c>
      <c r="AZ273" s="16">
        <f>IFERROR(__xludf.DUMMYFUNCTION("""COMPUTED_VALUE"""),0.0)</f>
        <v>0</v>
      </c>
      <c r="BA273" s="16">
        <f>IFERROR(__xludf.DUMMYFUNCTION("""COMPUTED_VALUE"""),0.0)</f>
        <v>0</v>
      </c>
      <c r="BB273" s="16">
        <f>IFERROR(__xludf.DUMMYFUNCTION("""COMPUTED_VALUE"""),0.0)</f>
        <v>0</v>
      </c>
      <c r="BC273" s="16">
        <f>IFERROR(__xludf.DUMMYFUNCTION("""COMPUTED_VALUE"""),3.0)</f>
        <v>3</v>
      </c>
      <c r="BD273" s="16">
        <f>IFERROR(__xludf.DUMMYFUNCTION("""COMPUTED_VALUE"""),4.0)</f>
        <v>4</v>
      </c>
      <c r="BE273" s="16">
        <f>IFERROR(__xludf.DUMMYFUNCTION("""COMPUTED_VALUE"""),3.0)</f>
        <v>3</v>
      </c>
      <c r="BF273" s="16">
        <f>IFERROR(__xludf.DUMMYFUNCTION("""COMPUTED_VALUE"""),4.0)</f>
        <v>4</v>
      </c>
      <c r="BG273" s="16">
        <f>IFERROR(__xludf.DUMMYFUNCTION("""COMPUTED_VALUE"""),0.0)</f>
        <v>0</v>
      </c>
      <c r="BH273" s="16">
        <f>IFERROR(__xludf.DUMMYFUNCTION("""COMPUTED_VALUE"""),-1.0)</f>
        <v>-1</v>
      </c>
      <c r="BI273" s="16">
        <f>IFERROR(__xludf.DUMMYFUNCTION("""COMPUTED_VALUE"""),0.0)</f>
        <v>0</v>
      </c>
      <c r="BJ273" s="16">
        <f>IFERROR(__xludf.DUMMYFUNCTION("""COMPUTED_VALUE"""),-2.0)</f>
        <v>-2</v>
      </c>
      <c r="BK273" s="16">
        <f>IFERROR(__xludf.DUMMYFUNCTION("""COMPUTED_VALUE"""),5.0)</f>
        <v>5</v>
      </c>
      <c r="BL273" s="16">
        <f>IFERROR(__xludf.DUMMYFUNCTION("""COMPUTED_VALUE"""),5.0)</f>
        <v>5</v>
      </c>
      <c r="BM273" s="16">
        <f>IFERROR(__xludf.DUMMYFUNCTION("""COMPUTED_VALUE"""),0.0)</f>
        <v>0</v>
      </c>
      <c r="BN273" s="16">
        <f>IFERROR(__xludf.DUMMYFUNCTION("""COMPUTED_VALUE"""),0.0)</f>
        <v>0</v>
      </c>
      <c r="BO273" s="16">
        <f>IFERROR(__xludf.DUMMYFUNCTION("""COMPUTED_VALUE"""),0.0)</f>
        <v>0</v>
      </c>
      <c r="BP273" s="16">
        <f>IFERROR(__xludf.DUMMYFUNCTION("""COMPUTED_VALUE"""),0.0)</f>
        <v>0</v>
      </c>
      <c r="BQ273" s="16">
        <f>IFERROR(__xludf.DUMMYFUNCTION("""COMPUTED_VALUE"""),6.0)</f>
        <v>6</v>
      </c>
      <c r="BR273" s="16">
        <f>IFERROR(__xludf.DUMMYFUNCTION("""COMPUTED_VALUE"""),7.0)</f>
        <v>7</v>
      </c>
      <c r="BS273" s="16">
        <f>IFERROR(__xludf.DUMMYFUNCTION("""COMPUTED_VALUE"""),1.0)</f>
        <v>1</v>
      </c>
      <c r="BT273" s="16">
        <f>IFERROR(__xludf.DUMMYFUNCTION("""COMPUTED_VALUE"""),2.0)</f>
        <v>2</v>
      </c>
      <c r="BU273" s="16">
        <f>IFERROR(__xludf.DUMMYFUNCTION("""COMPUTED_VALUE"""),2.0)</f>
        <v>2</v>
      </c>
      <c r="BV273" s="16">
        <f>IFERROR(__xludf.DUMMYFUNCTION("""COMPUTED_VALUE"""),4.0)</f>
        <v>4</v>
      </c>
      <c r="BW273" s="16">
        <f>IFERROR(__xludf.DUMMYFUNCTION("""COMPUTED_VALUE"""),2.0)</f>
        <v>2</v>
      </c>
      <c r="BX273" s="16">
        <f>IFERROR(__xludf.DUMMYFUNCTION("""COMPUTED_VALUE"""),2.0)</f>
        <v>2</v>
      </c>
      <c r="BY273" s="16" t="str">
        <f>IFERROR(__xludf.DUMMYFUNCTION("""COMPUTED_VALUE"""),"S(6)")</f>
        <v>S(6)</v>
      </c>
      <c r="BZ273" s="16" t="str">
        <f>IFERROR(__xludf.DUMMYFUNCTION("""COMPUTED_VALUE"""),"S(6)")</f>
        <v>S(6)</v>
      </c>
      <c r="CA273" s="16" t="str">
        <f>IFERROR(__xludf.DUMMYFUNCTION("""COMPUTED_VALUE"""),"S(6)")</f>
        <v>S(6)</v>
      </c>
      <c r="CB273" s="16"/>
      <c r="CC273" s="16"/>
      <c r="CD273" s="16">
        <f>IFERROR(__xludf.DUMMYFUNCTION("""COMPUTED_VALUE"""),6.0)</f>
        <v>6</v>
      </c>
      <c r="CE273" s="16"/>
      <c r="CF273" s="16"/>
      <c r="CG273" s="16" t="str">
        <f>IFERROR(__xludf.DUMMYFUNCTION("""COMPUTED_VALUE"""),"4-0")</f>
        <v>4-0</v>
      </c>
      <c r="CH273" s="16">
        <f>IFERROR(__xludf.DUMMYFUNCTION("""COMPUTED_VALUE"""),4.0)</f>
        <v>4</v>
      </c>
      <c r="CI273" s="16">
        <f>IFERROR(__xludf.DUMMYFUNCTION("""COMPUTED_VALUE"""),0.0)</f>
        <v>0</v>
      </c>
      <c r="CJ273" s="16">
        <f>IFERROR(__xludf.DUMMYFUNCTION("""COMPUTED_VALUE"""),2.0)</f>
        <v>2</v>
      </c>
      <c r="CK273" s="16">
        <f>IFERROR(__xludf.DUMMYFUNCTION("""COMPUTED_VALUE"""),7.0)</f>
        <v>7</v>
      </c>
      <c r="CL273" s="16" t="str">
        <f>IFERROR(__xludf.DUMMYFUNCTION("""COMPUTED_VALUE"""),"1WR-C")</f>
        <v>1WR-C</v>
      </c>
      <c r="CM273" s="16" t="str">
        <f>IFERROR(__xludf.DUMMYFUNCTION("""COMPUTED_VALUE"""),"E")</f>
        <v>E</v>
      </c>
      <c r="CN273" s="16">
        <f>IFERROR(__xludf.DUMMYFUNCTION("""COMPUTED_VALUE"""),10.0)</f>
        <v>10</v>
      </c>
      <c r="CO273" s="16" t="str">
        <f>IFERROR(__xludf.DUMMYFUNCTION("""COMPUTED_VALUE"""),"C")</f>
        <v>C</v>
      </c>
      <c r="CP273" s="16" t="str">
        <f>IFERROR(__xludf.DUMMYFUNCTION("""COMPUTED_VALUE"""),"1p65")</f>
        <v>1p65</v>
      </c>
      <c r="CQ273" s="16">
        <f>IFERROR(__xludf.DUMMYFUNCTION("""COMPUTED_VALUE"""),-8.0)</f>
        <v>-8</v>
      </c>
      <c r="CR273" s="16">
        <f>IFERROR(__xludf.DUMMYFUNCTION("""COMPUTED_VALUE"""),3.0)</f>
        <v>3</v>
      </c>
      <c r="CS273" s="16">
        <f>IFERROR(__xludf.DUMMYFUNCTION("""COMPUTED_VALUE"""),-5.0)</f>
        <v>-5</v>
      </c>
      <c r="CT273" s="16">
        <f>IFERROR(__xludf.DUMMYFUNCTION("""COMPUTED_VALUE"""),-8.0)</f>
        <v>-8</v>
      </c>
      <c r="CU273" s="16">
        <f>IFERROR(__xludf.DUMMYFUNCTION("""COMPUTED_VALUE"""),3.0)</f>
        <v>3</v>
      </c>
      <c r="CV273" s="179">
        <f>IFERROR(__xludf.DUMMYFUNCTION("""COMPUTED_VALUE"""),1.666666666666667)</f>
        <v>1.666666667</v>
      </c>
      <c r="CW273" s="179">
        <f>IFERROR(__xludf.DUMMYFUNCTION("""COMPUTED_VALUE"""),4.0)</f>
        <v>4</v>
      </c>
      <c r="CX273" s="179">
        <f>IFERROR(__xludf.DUMMYFUNCTION("""COMPUTED_VALUE"""),2.0)</f>
        <v>2</v>
      </c>
      <c r="CY273" s="16" t="str">
        <f>IFERROR(__xludf.DUMMYFUNCTION("""COMPUTED_VALUE"""),"SP")</f>
        <v>SP</v>
      </c>
      <c r="CZ273" s="16"/>
      <c r="DA273" s="16"/>
      <c r="DB273" s="16"/>
      <c r="DC273" s="16"/>
      <c r="DD273" s="16"/>
      <c r="DE273" s="16"/>
      <c r="DF273" s="16"/>
      <c r="DG273" s="16"/>
      <c r="DH273" s="16"/>
      <c r="DI273" s="16"/>
      <c r="DJ273" s="16"/>
      <c r="DK273" s="16"/>
    </row>
    <row r="274">
      <c r="A274" s="16">
        <f>IFERROR(__xludf.DUMMYFUNCTION("""COMPUTED_VALUE"""),12612.0)</f>
        <v>12612</v>
      </c>
      <c r="B274" s="16" t="str">
        <f>IFERROR(__xludf.DUMMYFUNCTION("""COMPUTED_VALUE"""),"Brent Suter")</f>
        <v>Brent Suter</v>
      </c>
      <c r="C274" s="153">
        <f>IFERROR(__xludf.DUMMYFUNCTION("""COMPUTED_VALUE"""),0.61)</f>
        <v>0.61</v>
      </c>
      <c r="D274" s="16"/>
      <c r="E274" s="16" t="str">
        <f>IFERROR(__xludf.DUMMYFUNCTION("""COMPUTED_VALUE"""),"L")</f>
        <v>L</v>
      </c>
      <c r="F274" s="16">
        <f>IFERROR(__xludf.DUMMYFUNCTION("""COMPUTED_VALUE"""),66.0)</f>
        <v>66</v>
      </c>
      <c r="G274" s="16">
        <f>IFERROR(__xludf.DUMMYFUNCTION("""COMPUTED_VALUE"""),18.0)</f>
        <v>18</v>
      </c>
      <c r="H274" s="16">
        <f>IFERROR(__xludf.DUMMYFUNCTION("""COMPUTED_VALUE"""),13.0)</f>
        <v>13</v>
      </c>
      <c r="I274" s="16">
        <f>IFERROR(__xludf.DUMMYFUNCTION("""COMPUTED_VALUE"""),-1.0)</f>
        <v>-1</v>
      </c>
      <c r="J274" s="16">
        <f>IFERROR(__xludf.DUMMYFUNCTION("""COMPUTED_VALUE"""),-2.0)</f>
        <v>-2</v>
      </c>
      <c r="K274" s="16">
        <f>IFERROR(__xludf.DUMMYFUNCTION("""COMPUTED_VALUE"""),-3.0)</f>
        <v>-3</v>
      </c>
      <c r="L274" s="16">
        <f>IFERROR(__xludf.DUMMYFUNCTION("""COMPUTED_VALUE"""),-6.0)</f>
        <v>-6</v>
      </c>
      <c r="M274" s="16">
        <f>IFERROR(__xludf.DUMMYFUNCTION("""COMPUTED_VALUE"""),0.0)</f>
        <v>0</v>
      </c>
      <c r="N274" s="16">
        <f>IFERROR(__xludf.DUMMYFUNCTION("""COMPUTED_VALUE"""),5.0)</f>
        <v>5</v>
      </c>
      <c r="O274" s="16">
        <f>IFERROR(__xludf.DUMMYFUNCTION("""COMPUTED_VALUE"""),3.0)</f>
        <v>3</v>
      </c>
      <c r="P274" s="16">
        <f>IFERROR(__xludf.DUMMYFUNCTION("""COMPUTED_VALUE"""),2.0)</f>
        <v>2</v>
      </c>
      <c r="Q274" s="16">
        <f>IFERROR(__xludf.DUMMYFUNCTION("""COMPUTED_VALUE"""),3.0)</f>
        <v>3</v>
      </c>
      <c r="R274" s="16">
        <f>IFERROR(__xludf.DUMMYFUNCTION("""COMPUTED_VALUE"""),2.0)</f>
        <v>2</v>
      </c>
      <c r="S274" s="16">
        <f>IFERROR(__xludf.DUMMYFUNCTION("""COMPUTED_VALUE"""),10.1)</f>
        <v>10.1</v>
      </c>
      <c r="T274" s="16">
        <f>IFERROR(__xludf.DUMMYFUNCTION("""COMPUTED_VALUE"""),20.9)</f>
        <v>20.9</v>
      </c>
      <c r="U274" s="16">
        <f>IFERROR(__xludf.DUMMYFUNCTION("""COMPUTED_VALUE"""),1.0)</f>
        <v>1</v>
      </c>
      <c r="V274" s="16">
        <f>IFERROR(__xludf.DUMMYFUNCTION("""COMPUTED_VALUE"""),-1.0)</f>
        <v>-1</v>
      </c>
      <c r="W274" s="16">
        <f>IFERROR(__xludf.DUMMYFUNCTION("""COMPUTED_VALUE"""),2.0)</f>
        <v>2</v>
      </c>
      <c r="X274" s="16">
        <f>IFERROR(__xludf.DUMMYFUNCTION("""COMPUTED_VALUE"""),-2.0)</f>
        <v>-2</v>
      </c>
      <c r="Y274" s="16">
        <f>IFERROR(__xludf.DUMMYFUNCTION("""COMPUTED_VALUE"""),10.1)</f>
        <v>10.1</v>
      </c>
      <c r="Z274" s="16">
        <f>IFERROR(__xludf.DUMMYFUNCTION("""COMPUTED_VALUE"""),25.9)</f>
        <v>25.9</v>
      </c>
      <c r="AA274" s="16">
        <f>IFERROR(__xludf.DUMMYFUNCTION("""COMPUTED_VALUE"""),2.0)</f>
        <v>2</v>
      </c>
      <c r="AB274" s="16">
        <f>IFERROR(__xludf.DUMMYFUNCTION("""COMPUTED_VALUE"""),0.0)</f>
        <v>0</v>
      </c>
      <c r="AC274" s="16">
        <f>IFERROR(__xludf.DUMMYFUNCTION("""COMPUTED_VALUE"""),10.0)</f>
        <v>10</v>
      </c>
      <c r="AD274" s="16">
        <f>IFERROR(__xludf.DUMMYFUNCTION("""COMPUTED_VALUE"""),0.0)</f>
        <v>0</v>
      </c>
      <c r="AE274" s="16">
        <f>IFERROR(__xludf.DUMMYFUNCTION("""COMPUTED_VALUE"""),31.4)</f>
        <v>31.4</v>
      </c>
      <c r="AF274" s="16">
        <f>IFERROR(__xludf.DUMMYFUNCTION("""COMPUTED_VALUE"""),30.1)</f>
        <v>30.1</v>
      </c>
      <c r="AG274" s="16">
        <f>IFERROR(__xludf.DUMMYFUNCTION("""COMPUTED_VALUE"""),0.0)</f>
        <v>0</v>
      </c>
      <c r="AH274" s="16">
        <f>IFERROR(__xludf.DUMMYFUNCTION("""COMPUTED_VALUE"""),0.0)</f>
        <v>0</v>
      </c>
      <c r="AI274" s="16">
        <f>IFERROR(__xludf.DUMMYFUNCTION("""COMPUTED_VALUE"""),0.0)</f>
        <v>0</v>
      </c>
      <c r="AJ274" s="16">
        <f>IFERROR(__xludf.DUMMYFUNCTION("""COMPUTED_VALUE"""),0.0)</f>
        <v>0</v>
      </c>
      <c r="AK274" s="16">
        <f>IFERROR(__xludf.DUMMYFUNCTION("""COMPUTED_VALUE"""),4.8)</f>
        <v>4.8</v>
      </c>
      <c r="AL274" s="16">
        <f>IFERROR(__xludf.DUMMYFUNCTION("""COMPUTED_VALUE"""),19.7)</f>
        <v>19.7</v>
      </c>
      <c r="AM274" s="16">
        <f>IFERROR(__xludf.DUMMYFUNCTION("""COMPUTED_VALUE"""),2.0)</f>
        <v>2</v>
      </c>
      <c r="AN274" s="16">
        <f>IFERROR(__xludf.DUMMYFUNCTION("""COMPUTED_VALUE"""),-1.0)</f>
        <v>-1</v>
      </c>
      <c r="AO274" s="16">
        <f>IFERROR(__xludf.DUMMYFUNCTION("""COMPUTED_VALUE"""),2.0)</f>
        <v>2</v>
      </c>
      <c r="AP274" s="16">
        <f>IFERROR(__xludf.DUMMYFUNCTION("""COMPUTED_VALUE"""),-1.0)</f>
        <v>-1</v>
      </c>
      <c r="AQ274" s="16">
        <f>IFERROR(__xludf.DUMMYFUNCTION("""COMPUTED_VALUE"""),10.2)</f>
        <v>10.2</v>
      </c>
      <c r="AR274" s="16">
        <f>IFERROR(__xludf.DUMMYFUNCTION("""COMPUTED_VALUE"""),25.3)</f>
        <v>25.3</v>
      </c>
      <c r="AS274" s="16">
        <f>IFERROR(__xludf.DUMMYFUNCTION("""COMPUTED_VALUE"""),1.0)</f>
        <v>1</v>
      </c>
      <c r="AT274" s="16">
        <f>IFERROR(__xludf.DUMMYFUNCTION("""COMPUTED_VALUE"""),-1.0)</f>
        <v>-1</v>
      </c>
      <c r="AU274" s="16">
        <f>IFERROR(__xludf.DUMMYFUNCTION("""COMPUTED_VALUE"""),2.0)</f>
        <v>2</v>
      </c>
      <c r="AV274" s="16">
        <f>IFERROR(__xludf.DUMMYFUNCTION("""COMPUTED_VALUE"""),-2.0)</f>
        <v>-2</v>
      </c>
      <c r="AW274" s="16">
        <f>IFERROR(__xludf.DUMMYFUNCTION("""COMPUTED_VALUE"""),5.3)</f>
        <v>5.3</v>
      </c>
      <c r="AX274" s="16">
        <f>IFERROR(__xludf.DUMMYFUNCTION("""COMPUTED_VALUE"""),1.2)</f>
        <v>1.2</v>
      </c>
      <c r="AY274" s="16">
        <f>IFERROR(__xludf.DUMMYFUNCTION("""COMPUTED_VALUE"""),-3.0)</f>
        <v>-3</v>
      </c>
      <c r="AZ274" s="16">
        <f>IFERROR(__xludf.DUMMYFUNCTION("""COMPUTED_VALUE"""),1.0)</f>
        <v>1</v>
      </c>
      <c r="BA274" s="16">
        <f>IFERROR(__xludf.DUMMYFUNCTION("""COMPUTED_VALUE"""),-15.0)</f>
        <v>-15</v>
      </c>
      <c r="BB274" s="16">
        <f>IFERROR(__xludf.DUMMYFUNCTION("""COMPUTED_VALUE"""),5.0)</f>
        <v>5</v>
      </c>
      <c r="BC274" s="16">
        <f>IFERROR(__xludf.DUMMYFUNCTION("""COMPUTED_VALUE"""),7.0)</f>
        <v>7</v>
      </c>
      <c r="BD274" s="16">
        <f>IFERROR(__xludf.DUMMYFUNCTION("""COMPUTED_VALUE"""),1.0)</f>
        <v>1</v>
      </c>
      <c r="BE274" s="16">
        <f>IFERROR(__xludf.DUMMYFUNCTION("""COMPUTED_VALUE"""),7.0)</f>
        <v>7</v>
      </c>
      <c r="BF274" s="16">
        <f>IFERROR(__xludf.DUMMYFUNCTION("""COMPUTED_VALUE"""),1.0)</f>
        <v>1</v>
      </c>
      <c r="BG274" s="16">
        <f>IFERROR(__xludf.DUMMYFUNCTION("""COMPUTED_VALUE"""),-3.0)</f>
        <v>-3</v>
      </c>
      <c r="BH274" s="16">
        <f>IFERROR(__xludf.DUMMYFUNCTION("""COMPUTED_VALUE"""),2.0)</f>
        <v>2</v>
      </c>
      <c r="BI274" s="16">
        <f>IFERROR(__xludf.DUMMYFUNCTION("""COMPUTED_VALUE"""),-6.0)</f>
        <v>-6</v>
      </c>
      <c r="BJ274" s="16">
        <f>IFERROR(__xludf.DUMMYFUNCTION("""COMPUTED_VALUE"""),4.0)</f>
        <v>4</v>
      </c>
      <c r="BK274" s="16">
        <f>IFERROR(__xludf.DUMMYFUNCTION("""COMPUTED_VALUE"""),5.0)</f>
        <v>5</v>
      </c>
      <c r="BL274" s="16">
        <f>IFERROR(__xludf.DUMMYFUNCTION("""COMPUTED_VALUE"""),5.0)</f>
        <v>5</v>
      </c>
      <c r="BM274" s="16">
        <f>IFERROR(__xludf.DUMMYFUNCTION("""COMPUTED_VALUE"""),0.0)</f>
        <v>0</v>
      </c>
      <c r="BN274" s="16">
        <f>IFERROR(__xludf.DUMMYFUNCTION("""COMPUTED_VALUE"""),0.0)</f>
        <v>0</v>
      </c>
      <c r="BO274" s="16">
        <f>IFERROR(__xludf.DUMMYFUNCTION("""COMPUTED_VALUE"""),0.0)</f>
        <v>0</v>
      </c>
      <c r="BP274" s="16">
        <f>IFERROR(__xludf.DUMMYFUNCTION("""COMPUTED_VALUE"""),0.0)</f>
        <v>0</v>
      </c>
      <c r="BQ274" s="16">
        <f>IFERROR(__xludf.DUMMYFUNCTION("""COMPUTED_VALUE"""),6.0)</f>
        <v>6</v>
      </c>
      <c r="BR274" s="16">
        <f>IFERROR(__xludf.DUMMYFUNCTION("""COMPUTED_VALUE"""),6.0)</f>
        <v>6</v>
      </c>
      <c r="BS274" s="16">
        <f>IFERROR(__xludf.DUMMYFUNCTION("""COMPUTED_VALUE"""),1.0)</f>
        <v>1</v>
      </c>
      <c r="BT274" s="16">
        <f>IFERROR(__xludf.DUMMYFUNCTION("""COMPUTED_VALUE"""),1.0)</f>
        <v>1</v>
      </c>
      <c r="BU274" s="16">
        <f>IFERROR(__xludf.DUMMYFUNCTION("""COMPUTED_VALUE"""),2.0)</f>
        <v>2</v>
      </c>
      <c r="BV274" s="16">
        <f>IFERROR(__xludf.DUMMYFUNCTION("""COMPUTED_VALUE"""),2.0)</f>
        <v>2</v>
      </c>
      <c r="BW274" s="16">
        <f>IFERROR(__xludf.DUMMYFUNCTION("""COMPUTED_VALUE"""),-5.0)</f>
        <v>-5</v>
      </c>
      <c r="BX274" s="16">
        <f>IFERROR(__xludf.DUMMYFUNCTION("""COMPUTED_VALUE"""),-5.0)</f>
        <v>-5</v>
      </c>
      <c r="BY274" s="16" t="str">
        <f>IFERROR(__xludf.DUMMYFUNCTION("""COMPUTED_VALUE"""),"S(1) R(1) C(1)")</f>
        <v>S(1) R(1) C(1)</v>
      </c>
      <c r="BZ274" s="16" t="str">
        <f>IFERROR(__xludf.DUMMYFUNCTION("""COMPUTED_VALUE"""),"S(1) R(1) C(1)")</f>
        <v>S(1) R(1) C(1)</v>
      </c>
      <c r="CA274" s="16" t="str">
        <f>IFERROR(__xludf.DUMMYFUNCTION("""COMPUTED_VALUE"""),"S(1)")</f>
        <v>S(1)</v>
      </c>
      <c r="CB274" s="16" t="str">
        <f>IFERROR(__xludf.DUMMYFUNCTION("""COMPUTED_VALUE"""),"R(1)")</f>
        <v>R(1)</v>
      </c>
      <c r="CC274" s="16" t="str">
        <f>IFERROR(__xludf.DUMMYFUNCTION("""COMPUTED_VALUE"""),"C(1)")</f>
        <v>C(1)</v>
      </c>
      <c r="CD274" s="16">
        <f>IFERROR(__xludf.DUMMYFUNCTION("""COMPUTED_VALUE"""),1.0)</f>
        <v>1</v>
      </c>
      <c r="CE274" s="16">
        <f>IFERROR(__xludf.DUMMYFUNCTION("""COMPUTED_VALUE"""),1.0)</f>
        <v>1</v>
      </c>
      <c r="CF274" s="16">
        <f>IFERROR(__xludf.DUMMYFUNCTION("""COMPUTED_VALUE"""),1.0)</f>
        <v>1</v>
      </c>
      <c r="CG274" s="16" t="str">
        <f>IFERROR(__xludf.DUMMYFUNCTION("""COMPUTED_VALUE"""),"1-22")</f>
        <v>1-22</v>
      </c>
      <c r="CH274" s="16">
        <f>IFERROR(__xludf.DUMMYFUNCTION("""COMPUTED_VALUE"""),1.0)</f>
        <v>1</v>
      </c>
      <c r="CI274" s="16">
        <f>IFERROR(__xludf.DUMMYFUNCTION("""COMPUTED_VALUE"""),22.0)</f>
        <v>22</v>
      </c>
      <c r="CJ274" s="16">
        <f>IFERROR(__xludf.DUMMYFUNCTION("""COMPUTED_VALUE"""),0.0)</f>
        <v>0</v>
      </c>
      <c r="CK274" s="16">
        <f>IFERROR(__xludf.DUMMYFUNCTION("""COMPUTED_VALUE"""),6.0)</f>
        <v>6</v>
      </c>
      <c r="CL274" s="16" t="str">
        <f>IFERROR(__xludf.DUMMYFUNCTION("""COMPUTED_VALUE"""),"1WL-C")</f>
        <v>1WL-C</v>
      </c>
      <c r="CM274" s="16" t="str">
        <f>IFERROR(__xludf.DUMMYFUNCTION("""COMPUTED_VALUE"""),"E")</f>
        <v>E</v>
      </c>
      <c r="CN274" s="16">
        <f>IFERROR(__xludf.DUMMYFUNCTION("""COMPUTED_VALUE"""),10.0)</f>
        <v>10</v>
      </c>
      <c r="CO274" s="16" t="str">
        <f>IFERROR(__xludf.DUMMYFUNCTION("""COMPUTED_VALUE"""),"C")</f>
        <v>C</v>
      </c>
      <c r="CP274" s="16" t="str">
        <f>IFERROR(__xludf.DUMMYFUNCTION("""COMPUTED_VALUE"""),"3p60")</f>
        <v>3p60</v>
      </c>
      <c r="CQ274" s="16">
        <f>IFERROR(__xludf.DUMMYFUNCTION("""COMPUTED_VALUE"""),-3.0)</f>
        <v>-3</v>
      </c>
      <c r="CR274" s="16">
        <f>IFERROR(__xludf.DUMMYFUNCTION("""COMPUTED_VALUE"""),2.0)</f>
        <v>2</v>
      </c>
      <c r="CS274" s="16">
        <f>IFERROR(__xludf.DUMMYFUNCTION("""COMPUTED_VALUE"""),-1.0)</f>
        <v>-1</v>
      </c>
      <c r="CT274" s="16">
        <f>IFERROR(__xludf.DUMMYFUNCTION("""COMPUTED_VALUE"""),-3.0)</f>
        <v>-3</v>
      </c>
      <c r="CU274" s="16">
        <f>IFERROR(__xludf.DUMMYFUNCTION("""COMPUTED_VALUE"""),2.0)</f>
        <v>2</v>
      </c>
      <c r="CV274" s="179">
        <f>IFERROR(__xludf.DUMMYFUNCTION("""COMPUTED_VALUE"""),1.6666666666666667)</f>
        <v>1.666666667</v>
      </c>
      <c r="CW274" s="179">
        <f>IFERROR(__xludf.DUMMYFUNCTION("""COMPUTED_VALUE"""),2.0)</f>
        <v>2</v>
      </c>
      <c r="CX274" s="179">
        <f>IFERROR(__xludf.DUMMYFUNCTION("""COMPUTED_VALUE"""),1.0)</f>
        <v>1</v>
      </c>
      <c r="CY274" s="16" t="str">
        <f>IFERROR(__xludf.DUMMYFUNCTION("""COMPUTED_VALUE"""),"SP")</f>
        <v>SP</v>
      </c>
      <c r="CZ274" s="16" t="str">
        <f>IFERROR(__xludf.DUMMYFUNCTION("""COMPUTED_VALUE"""),"RP")</f>
        <v>RP</v>
      </c>
      <c r="DA274" s="16" t="str">
        <f>IFERROR(__xludf.DUMMYFUNCTION("""COMPUTED_VALUE"""),"CP")</f>
        <v>CP</v>
      </c>
      <c r="DB274" s="16"/>
      <c r="DC274" s="16"/>
      <c r="DD274" s="16"/>
      <c r="DE274" s="16"/>
      <c r="DF274" s="16"/>
      <c r="DG274" s="16"/>
      <c r="DH274" s="16"/>
      <c r="DI274" s="16"/>
      <c r="DJ274" s="16"/>
      <c r="DK274" s="16"/>
    </row>
    <row r="275">
      <c r="A275" s="16">
        <f>IFERROR(__xludf.DUMMYFUNCTION("""COMPUTED_VALUE"""),12640.0)</f>
        <v>12640</v>
      </c>
      <c r="B275" s="16" t="str">
        <f>IFERROR(__xludf.DUMMYFUNCTION("""COMPUTED_VALUE"""),"Burch Smith")</f>
        <v>Burch Smith</v>
      </c>
      <c r="C275" s="153">
        <f>IFERROR(__xludf.DUMMYFUNCTION("""COMPUTED_VALUE"""),0.0)</f>
        <v>0</v>
      </c>
      <c r="D275" s="16"/>
      <c r="E275" s="16" t="str">
        <f>IFERROR(__xludf.DUMMYFUNCTION("""COMPUTED_VALUE"""),"R")</f>
        <v>R</v>
      </c>
      <c r="F275" s="16">
        <f>IFERROR(__xludf.DUMMYFUNCTION("""COMPUTED_VALUE"""),56.0)</f>
        <v>56</v>
      </c>
      <c r="G275" s="16">
        <f>IFERROR(__xludf.DUMMYFUNCTION("""COMPUTED_VALUE"""),16.0)</f>
        <v>16</v>
      </c>
      <c r="H275" s="16">
        <f>IFERROR(__xludf.DUMMYFUNCTION("""COMPUTED_VALUE"""),18.0)</f>
        <v>18</v>
      </c>
      <c r="I275" s="16">
        <f>IFERROR(__xludf.DUMMYFUNCTION("""COMPUTED_VALUE"""),-2.0)</f>
        <v>-2</v>
      </c>
      <c r="J275" s="16">
        <f>IFERROR(__xludf.DUMMYFUNCTION("""COMPUTED_VALUE"""),-1.0)</f>
        <v>-1</v>
      </c>
      <c r="K275" s="16">
        <f>IFERROR(__xludf.DUMMYFUNCTION("""COMPUTED_VALUE"""),-6.0)</f>
        <v>-6</v>
      </c>
      <c r="L275" s="16">
        <f>IFERROR(__xludf.DUMMYFUNCTION("""COMPUTED_VALUE"""),-3.0)</f>
        <v>-3</v>
      </c>
      <c r="M275" s="16">
        <f>IFERROR(__xludf.DUMMYFUNCTION("""COMPUTED_VALUE"""),2.0)</f>
        <v>2</v>
      </c>
      <c r="N275" s="16">
        <f>IFERROR(__xludf.DUMMYFUNCTION("""COMPUTED_VALUE"""),3.0)</f>
        <v>3</v>
      </c>
      <c r="O275" s="16">
        <f>IFERROR(__xludf.DUMMYFUNCTION("""COMPUTED_VALUE"""),2.0)</f>
        <v>2</v>
      </c>
      <c r="P275" s="16">
        <f>IFERROR(__xludf.DUMMYFUNCTION("""COMPUTED_VALUE"""),2.0)</f>
        <v>2</v>
      </c>
      <c r="Q275" s="16">
        <f>IFERROR(__xludf.DUMMYFUNCTION("""COMPUTED_VALUE"""),2.0)</f>
        <v>2</v>
      </c>
      <c r="R275" s="16">
        <f>IFERROR(__xludf.DUMMYFUNCTION("""COMPUTED_VALUE"""),2.0)</f>
        <v>2</v>
      </c>
      <c r="S275" s="16">
        <f>IFERROR(__xludf.DUMMYFUNCTION("""COMPUTED_VALUE"""),32.6)</f>
        <v>32.6</v>
      </c>
      <c r="T275" s="16">
        <f>IFERROR(__xludf.DUMMYFUNCTION("""COMPUTED_VALUE"""),22.5)</f>
        <v>22.5</v>
      </c>
      <c r="U275" s="16">
        <f>IFERROR(__xludf.DUMMYFUNCTION("""COMPUTED_VALUE"""),-3.0)</f>
        <v>-3</v>
      </c>
      <c r="V275" s="16">
        <f>IFERROR(__xludf.DUMMYFUNCTION("""COMPUTED_VALUE"""),-1.0)</f>
        <v>-1</v>
      </c>
      <c r="W275" s="16">
        <f>IFERROR(__xludf.DUMMYFUNCTION("""COMPUTED_VALUE"""),-6.0)</f>
        <v>-6</v>
      </c>
      <c r="X275" s="16">
        <f>IFERROR(__xludf.DUMMYFUNCTION("""COMPUTED_VALUE"""),-2.0)</f>
        <v>-2</v>
      </c>
      <c r="Y275" s="16">
        <f>IFERROR(__xludf.DUMMYFUNCTION("""COMPUTED_VALUE"""),34.6)</f>
        <v>34.6</v>
      </c>
      <c r="Z275" s="16">
        <f>IFERROR(__xludf.DUMMYFUNCTION("""COMPUTED_VALUE"""),25.5)</f>
        <v>25.5</v>
      </c>
      <c r="AA275" s="16">
        <f>IFERROR(__xludf.DUMMYFUNCTION("""COMPUTED_VALUE"""),-1.0)</f>
        <v>-1</v>
      </c>
      <c r="AB275" s="16">
        <f>IFERROR(__xludf.DUMMYFUNCTION("""COMPUTED_VALUE"""),0.0)</f>
        <v>0</v>
      </c>
      <c r="AC275" s="16">
        <f>IFERROR(__xludf.DUMMYFUNCTION("""COMPUTED_VALUE"""),-5.0)</f>
        <v>-5</v>
      </c>
      <c r="AD275" s="16">
        <f>IFERROR(__xludf.DUMMYFUNCTION("""COMPUTED_VALUE"""),0.0)</f>
        <v>0</v>
      </c>
      <c r="AE275" s="16">
        <f>IFERROR(__xludf.DUMMYFUNCTION("""COMPUTED_VALUE"""),45.8)</f>
        <v>45.8</v>
      </c>
      <c r="AF275" s="16">
        <f>IFERROR(__xludf.DUMMYFUNCTION("""COMPUTED_VALUE"""),32.3)</f>
        <v>32.3</v>
      </c>
      <c r="AG275" s="16">
        <f>IFERROR(__xludf.DUMMYFUNCTION("""COMPUTED_VALUE"""),-2.0)</f>
        <v>-2</v>
      </c>
      <c r="AH275" s="16">
        <f>IFERROR(__xludf.DUMMYFUNCTION("""COMPUTED_VALUE"""),0.0)</f>
        <v>0</v>
      </c>
      <c r="AI275" s="16">
        <f>IFERROR(__xludf.DUMMYFUNCTION("""COMPUTED_VALUE"""),-4.0)</f>
        <v>-4</v>
      </c>
      <c r="AJ275" s="16">
        <f>IFERROR(__xludf.DUMMYFUNCTION("""COMPUTED_VALUE"""),0.0)</f>
        <v>0</v>
      </c>
      <c r="AK275" s="16">
        <f>IFERROR(__xludf.DUMMYFUNCTION("""COMPUTED_VALUE"""),31.8)</f>
        <v>31.8</v>
      </c>
      <c r="AL275" s="16">
        <f>IFERROR(__xludf.DUMMYFUNCTION("""COMPUTED_VALUE"""),20.9)</f>
        <v>20.9</v>
      </c>
      <c r="AM275" s="16">
        <f>IFERROR(__xludf.DUMMYFUNCTION("""COMPUTED_VALUE"""),-3.0)</f>
        <v>-3</v>
      </c>
      <c r="AN275" s="16">
        <f>IFERROR(__xludf.DUMMYFUNCTION("""COMPUTED_VALUE"""),-1.0)</f>
        <v>-1</v>
      </c>
      <c r="AO275" s="16">
        <f>IFERROR(__xludf.DUMMYFUNCTION("""COMPUTED_VALUE"""),-3.0)</f>
        <v>-3</v>
      </c>
      <c r="AP275" s="16">
        <f>IFERROR(__xludf.DUMMYFUNCTION("""COMPUTED_VALUE"""),-1.0)</f>
        <v>-1</v>
      </c>
      <c r="AQ275" s="16">
        <f>IFERROR(__xludf.DUMMYFUNCTION("""COMPUTED_VALUE"""),42.599999999999994)</f>
        <v>42.6</v>
      </c>
      <c r="AR275" s="16">
        <f>IFERROR(__xludf.DUMMYFUNCTION("""COMPUTED_VALUE"""),25.9)</f>
        <v>25.9</v>
      </c>
      <c r="AS275" s="16">
        <f>IFERROR(__xludf.DUMMYFUNCTION("""COMPUTED_VALUE"""),-2.0)</f>
        <v>-2</v>
      </c>
      <c r="AT275" s="16">
        <f>IFERROR(__xludf.DUMMYFUNCTION("""COMPUTED_VALUE"""),-1.0)</f>
        <v>-1</v>
      </c>
      <c r="AU275" s="16">
        <f>IFERROR(__xludf.DUMMYFUNCTION("""COMPUTED_VALUE"""),-4.0)</f>
        <v>-4</v>
      </c>
      <c r="AV275" s="16">
        <f>IFERROR(__xludf.DUMMYFUNCTION("""COMPUTED_VALUE"""),-2.0)</f>
        <v>-2</v>
      </c>
      <c r="AW275" s="16">
        <f>IFERROR(__xludf.DUMMYFUNCTION("""COMPUTED_VALUE"""),0.8)</f>
        <v>0.8</v>
      </c>
      <c r="AX275" s="16">
        <f>IFERROR(__xludf.DUMMYFUNCTION("""COMPUTED_VALUE"""),1.6)</f>
        <v>1.6</v>
      </c>
      <c r="AY275" s="16">
        <f>IFERROR(__xludf.DUMMYFUNCTION("""COMPUTED_VALUE"""),2.0)</f>
        <v>2</v>
      </c>
      <c r="AZ275" s="16">
        <f>IFERROR(__xludf.DUMMYFUNCTION("""COMPUTED_VALUE"""),1.0)</f>
        <v>1</v>
      </c>
      <c r="BA275" s="16">
        <f>IFERROR(__xludf.DUMMYFUNCTION("""COMPUTED_VALUE"""),10.0)</f>
        <v>10</v>
      </c>
      <c r="BB275" s="16">
        <f>IFERROR(__xludf.DUMMYFUNCTION("""COMPUTED_VALUE"""),5.0)</f>
        <v>5</v>
      </c>
      <c r="BC275" s="16">
        <f>IFERROR(__xludf.DUMMYFUNCTION("""COMPUTED_VALUE"""),1.0)</f>
        <v>1</v>
      </c>
      <c r="BD275" s="16">
        <f>IFERROR(__xludf.DUMMYFUNCTION("""COMPUTED_VALUE"""),3.0)</f>
        <v>3</v>
      </c>
      <c r="BE275" s="16">
        <f>IFERROR(__xludf.DUMMYFUNCTION("""COMPUTED_VALUE"""),1.0)</f>
        <v>1</v>
      </c>
      <c r="BF275" s="16">
        <f>IFERROR(__xludf.DUMMYFUNCTION("""COMPUTED_VALUE"""),3.0)</f>
        <v>3</v>
      </c>
      <c r="BG275" s="16">
        <f>IFERROR(__xludf.DUMMYFUNCTION("""COMPUTED_VALUE"""),2.0)</f>
        <v>2</v>
      </c>
      <c r="BH275" s="16">
        <f>IFERROR(__xludf.DUMMYFUNCTION("""COMPUTED_VALUE"""),0.0)</f>
        <v>0</v>
      </c>
      <c r="BI275" s="16">
        <f>IFERROR(__xludf.DUMMYFUNCTION("""COMPUTED_VALUE"""),4.0)</f>
        <v>4</v>
      </c>
      <c r="BJ275" s="16">
        <f>IFERROR(__xludf.DUMMYFUNCTION("""COMPUTED_VALUE"""),0.0)</f>
        <v>0</v>
      </c>
      <c r="BK275" s="16">
        <f>IFERROR(__xludf.DUMMYFUNCTION("""COMPUTED_VALUE"""),5.0)</f>
        <v>5</v>
      </c>
      <c r="BL275" s="16">
        <f>IFERROR(__xludf.DUMMYFUNCTION("""COMPUTED_VALUE"""),5.0)</f>
        <v>5</v>
      </c>
      <c r="BM275" s="16">
        <f>IFERROR(__xludf.DUMMYFUNCTION("""COMPUTED_VALUE"""),0.0)</f>
        <v>0</v>
      </c>
      <c r="BN275" s="16">
        <f>IFERROR(__xludf.DUMMYFUNCTION("""COMPUTED_VALUE"""),0.0)</f>
        <v>0</v>
      </c>
      <c r="BO275" s="16">
        <f>IFERROR(__xludf.DUMMYFUNCTION("""COMPUTED_VALUE"""),0.0)</f>
        <v>0</v>
      </c>
      <c r="BP275" s="16">
        <f>IFERROR(__xludf.DUMMYFUNCTION("""COMPUTED_VALUE"""),0.0)</f>
        <v>0</v>
      </c>
      <c r="BQ275" s="16">
        <f>IFERROR(__xludf.DUMMYFUNCTION("""COMPUTED_VALUE"""),11.0)</f>
        <v>11</v>
      </c>
      <c r="BR275" s="16">
        <f>IFERROR(__xludf.DUMMYFUNCTION("""COMPUTED_VALUE"""),10.0)</f>
        <v>10</v>
      </c>
      <c r="BS275" s="16">
        <f>IFERROR(__xludf.DUMMYFUNCTION("""COMPUTED_VALUE"""),3.0)</f>
        <v>3</v>
      </c>
      <c r="BT275" s="16">
        <f>IFERROR(__xludf.DUMMYFUNCTION("""COMPUTED_VALUE"""),3.0)</f>
        <v>3</v>
      </c>
      <c r="BU275" s="16">
        <f>IFERROR(__xludf.DUMMYFUNCTION("""COMPUTED_VALUE"""),6.0)</f>
        <v>6</v>
      </c>
      <c r="BV275" s="16">
        <f>IFERROR(__xludf.DUMMYFUNCTION("""COMPUTED_VALUE"""),6.0)</f>
        <v>6</v>
      </c>
      <c r="BW275" s="16">
        <f>IFERROR(__xludf.DUMMYFUNCTION("""COMPUTED_VALUE"""),2.0)</f>
        <v>2</v>
      </c>
      <c r="BX275" s="16">
        <f>IFERROR(__xludf.DUMMYFUNCTION("""COMPUTED_VALUE"""),2.0)</f>
        <v>2</v>
      </c>
      <c r="BY275" s="16" t="str">
        <f>IFERROR(__xludf.DUMMYFUNCTION("""COMPUTED_VALUE"""),"R(1)")</f>
        <v>R(1)</v>
      </c>
      <c r="BZ275" s="16" t="str">
        <f>IFERROR(__xludf.DUMMYFUNCTION("""COMPUTED_VALUE"""),"R(1)")</f>
        <v>R(1)</v>
      </c>
      <c r="CA275" s="16" t="str">
        <f>IFERROR(__xludf.DUMMYFUNCTION("""COMPUTED_VALUE"""),"R(1)")</f>
        <v>R(1)</v>
      </c>
      <c r="CB275" s="16"/>
      <c r="CC275" s="16"/>
      <c r="CD275" s="16"/>
      <c r="CE275" s="16">
        <f>IFERROR(__xludf.DUMMYFUNCTION("""COMPUTED_VALUE"""),1.0)</f>
        <v>1</v>
      </c>
      <c r="CF275" s="16"/>
      <c r="CG275" s="16" t="str">
        <f>IFERROR(__xludf.DUMMYFUNCTION("""COMPUTED_VALUE"""),"3-0")</f>
        <v>3-0</v>
      </c>
      <c r="CH275" s="16">
        <f>IFERROR(__xludf.DUMMYFUNCTION("""COMPUTED_VALUE"""),3.0)</f>
        <v>3</v>
      </c>
      <c r="CI275" s="16">
        <f>IFERROR(__xludf.DUMMYFUNCTION("""COMPUTED_VALUE"""),0.0)</f>
        <v>0</v>
      </c>
      <c r="CJ275" s="16">
        <f>IFERROR(__xludf.DUMMYFUNCTION("""COMPUTED_VALUE"""),6.0)</f>
        <v>6</v>
      </c>
      <c r="CK275" s="16">
        <f>IFERROR(__xludf.DUMMYFUNCTION("""COMPUTED_VALUE"""),11.0)</f>
        <v>11</v>
      </c>
      <c r="CL275" s="16" t="str">
        <f>IFERROR(__xludf.DUMMYFUNCTION("""COMPUTED_VALUE"""),"1WR-C")</f>
        <v>1WR-C</v>
      </c>
      <c r="CM275" s="16" t="str">
        <f>IFERROR(__xludf.DUMMYFUNCTION("""COMPUTED_VALUE"""),"E")</f>
        <v>E</v>
      </c>
      <c r="CN275" s="16">
        <f>IFERROR(__xludf.DUMMYFUNCTION("""COMPUTED_VALUE"""),10.0)</f>
        <v>10</v>
      </c>
      <c r="CO275" s="16" t="str">
        <f>IFERROR(__xludf.DUMMYFUNCTION("""COMPUTED_VALUE"""),"C")</f>
        <v>C</v>
      </c>
      <c r="CP275" s="16" t="str">
        <f>IFERROR(__xludf.DUMMYFUNCTION("""COMPUTED_VALUE"""),"1p50")</f>
        <v>1p50</v>
      </c>
      <c r="CQ275" s="16">
        <f>IFERROR(__xludf.DUMMYFUNCTION("""COMPUTED_VALUE"""),-6.0)</f>
        <v>-6</v>
      </c>
      <c r="CR275" s="16">
        <f>IFERROR(__xludf.DUMMYFUNCTION("""COMPUTED_VALUE"""),5.0)</f>
        <v>5</v>
      </c>
      <c r="CS275" s="16">
        <f>IFERROR(__xludf.DUMMYFUNCTION("""COMPUTED_VALUE"""),-1.0)</f>
        <v>-1</v>
      </c>
      <c r="CT275" s="16">
        <f>IFERROR(__xludf.DUMMYFUNCTION("""COMPUTED_VALUE"""),-6.0)</f>
        <v>-6</v>
      </c>
      <c r="CU275" s="16">
        <f>IFERROR(__xludf.DUMMYFUNCTION("""COMPUTED_VALUE"""),5.0)</f>
        <v>5</v>
      </c>
      <c r="CV275" s="179">
        <f>IFERROR(__xludf.DUMMYFUNCTION("""COMPUTED_VALUE"""),1.6666666666666665)</f>
        <v>1.666666667</v>
      </c>
      <c r="CW275" s="179">
        <f>IFERROR(__xludf.DUMMYFUNCTION("""COMPUTED_VALUE"""),4.0)</f>
        <v>4</v>
      </c>
      <c r="CX275" s="179">
        <f>IFERROR(__xludf.DUMMYFUNCTION("""COMPUTED_VALUE"""),0.0)</f>
        <v>0</v>
      </c>
      <c r="CY275" s="16" t="str">
        <f>IFERROR(__xludf.DUMMYFUNCTION("""COMPUTED_VALUE"""),"RP")</f>
        <v>RP</v>
      </c>
      <c r="CZ275" s="16"/>
      <c r="DA275" s="16"/>
      <c r="DB275" s="16"/>
      <c r="DC275" s="16"/>
      <c r="DD275" s="16"/>
      <c r="DE275" s="16"/>
      <c r="DF275" s="16"/>
      <c r="DG275" s="16"/>
      <c r="DH275" s="16"/>
      <c r="DI275" s="16"/>
      <c r="DJ275" s="16"/>
      <c r="DK275" s="16"/>
    </row>
    <row r="276">
      <c r="A276" s="16">
        <f>IFERROR(__xludf.DUMMYFUNCTION("""COMPUTED_VALUE"""),13372.0)</f>
        <v>13372</v>
      </c>
      <c r="B276" s="16" t="str">
        <f>IFERROR(__xludf.DUMMYFUNCTION("""COMPUTED_VALUE"""),"Shawn Dubin")</f>
        <v>Shawn Dubin</v>
      </c>
      <c r="C276" s="153">
        <f>IFERROR(__xludf.DUMMYFUNCTION("""COMPUTED_VALUE"""),0.0)</f>
        <v>0</v>
      </c>
      <c r="D276" s="16"/>
      <c r="E276" s="16" t="str">
        <f>IFERROR(__xludf.DUMMYFUNCTION("""COMPUTED_VALUE"""),"R")</f>
        <v>R</v>
      </c>
      <c r="F276" s="16">
        <f>IFERROR(__xludf.DUMMYFUNCTION("""COMPUTED_VALUE"""),45.0)</f>
        <v>45</v>
      </c>
      <c r="G276" s="16">
        <f>IFERROR(__xludf.DUMMYFUNCTION("""COMPUTED_VALUE"""),28.0)</f>
        <v>28</v>
      </c>
      <c r="H276" s="16">
        <f>IFERROR(__xludf.DUMMYFUNCTION("""COMPUTED_VALUE"""),27.0)</f>
        <v>27</v>
      </c>
      <c r="I276" s="16">
        <f>IFERROR(__xludf.DUMMYFUNCTION("""COMPUTED_VALUE"""),0.0)</f>
        <v>0</v>
      </c>
      <c r="J276" s="16">
        <f>IFERROR(__xludf.DUMMYFUNCTION("""COMPUTED_VALUE"""),0.0)</f>
        <v>0</v>
      </c>
      <c r="K276" s="16">
        <f>IFERROR(__xludf.DUMMYFUNCTION("""COMPUTED_VALUE"""),0.0)</f>
        <v>0</v>
      </c>
      <c r="L276" s="16">
        <f>IFERROR(__xludf.DUMMYFUNCTION("""COMPUTED_VALUE"""),0.0)</f>
        <v>0</v>
      </c>
      <c r="M276" s="16">
        <f>IFERROR(__xludf.DUMMYFUNCTION("""COMPUTED_VALUE"""),22.0)</f>
        <v>22</v>
      </c>
      <c r="N276" s="16">
        <f>IFERROR(__xludf.DUMMYFUNCTION("""COMPUTED_VALUE"""),15.0)</f>
        <v>15</v>
      </c>
      <c r="O276" s="16">
        <f>IFERROR(__xludf.DUMMYFUNCTION("""COMPUTED_VALUE"""),-3.0)</f>
        <v>-3</v>
      </c>
      <c r="P276" s="16">
        <f>IFERROR(__xludf.DUMMYFUNCTION("""COMPUTED_VALUE"""),-3.0)</f>
        <v>-3</v>
      </c>
      <c r="Q276" s="16">
        <f>IFERROR(__xludf.DUMMYFUNCTION("""COMPUTED_VALUE"""),-3.0)</f>
        <v>-3</v>
      </c>
      <c r="R276" s="16">
        <f>IFERROR(__xludf.DUMMYFUNCTION("""COMPUTED_VALUE"""),-3.0)</f>
        <v>-3</v>
      </c>
      <c r="S276" s="16">
        <f>IFERROR(__xludf.DUMMYFUNCTION("""COMPUTED_VALUE"""),18.3)</f>
        <v>18.3</v>
      </c>
      <c r="T276" s="16">
        <f>IFERROR(__xludf.DUMMYFUNCTION("""COMPUTED_VALUE"""),17.5)</f>
        <v>17.5</v>
      </c>
      <c r="U276" s="16">
        <f>IFERROR(__xludf.DUMMYFUNCTION("""COMPUTED_VALUE"""),-1.0)</f>
        <v>-1</v>
      </c>
      <c r="V276" s="16">
        <f>IFERROR(__xludf.DUMMYFUNCTION("""COMPUTED_VALUE"""),0.0)</f>
        <v>0</v>
      </c>
      <c r="W276" s="16">
        <f>IFERROR(__xludf.DUMMYFUNCTION("""COMPUTED_VALUE"""),-2.0)</f>
        <v>-2</v>
      </c>
      <c r="X276" s="16">
        <f>IFERROR(__xludf.DUMMYFUNCTION("""COMPUTED_VALUE"""),0.0)</f>
        <v>0</v>
      </c>
      <c r="Y276" s="16">
        <f>IFERROR(__xludf.DUMMYFUNCTION("""COMPUTED_VALUE"""),40.3)</f>
        <v>40.3</v>
      </c>
      <c r="Z276" s="16">
        <f>IFERROR(__xludf.DUMMYFUNCTION("""COMPUTED_VALUE"""),32.5)</f>
        <v>32.5</v>
      </c>
      <c r="AA276" s="16">
        <f>IFERROR(__xludf.DUMMYFUNCTION("""COMPUTED_VALUE"""),-2.0)</f>
        <v>-2</v>
      </c>
      <c r="AB276" s="16">
        <f>IFERROR(__xludf.DUMMYFUNCTION("""COMPUTED_VALUE"""),-1.0)</f>
        <v>-1</v>
      </c>
      <c r="AC276" s="16">
        <f>IFERROR(__xludf.DUMMYFUNCTION("""COMPUTED_VALUE"""),-10.0)</f>
        <v>-10</v>
      </c>
      <c r="AD276" s="16">
        <f>IFERROR(__xludf.DUMMYFUNCTION("""COMPUTED_VALUE"""),-5.0)</f>
        <v>-5</v>
      </c>
      <c r="AE276" s="16">
        <f>IFERROR(__xludf.DUMMYFUNCTION("""COMPUTED_VALUE"""),26.5)</f>
        <v>26.5</v>
      </c>
      <c r="AF276" s="16">
        <f>IFERROR(__xludf.DUMMYFUNCTION("""COMPUTED_VALUE"""),25.5)</f>
        <v>25.5</v>
      </c>
      <c r="AG276" s="16">
        <f>IFERROR(__xludf.DUMMYFUNCTION("""COMPUTED_VALUE"""),0.0)</f>
        <v>0</v>
      </c>
      <c r="AH276" s="16">
        <f>IFERROR(__xludf.DUMMYFUNCTION("""COMPUTED_VALUE"""),0.0)</f>
        <v>0</v>
      </c>
      <c r="AI276" s="16">
        <f>IFERROR(__xludf.DUMMYFUNCTION("""COMPUTED_VALUE"""),0.0)</f>
        <v>0</v>
      </c>
      <c r="AJ276" s="16">
        <f>IFERROR(__xludf.DUMMYFUNCTION("""COMPUTED_VALUE"""),0.0)</f>
        <v>0</v>
      </c>
      <c r="AK276" s="16">
        <f>IFERROR(__xludf.DUMMYFUNCTION("""COMPUTED_VALUE"""),18.3)</f>
        <v>18.3</v>
      </c>
      <c r="AL276" s="16">
        <f>IFERROR(__xludf.DUMMYFUNCTION("""COMPUTED_VALUE"""),17.5)</f>
        <v>17.5</v>
      </c>
      <c r="AM276" s="16">
        <f>IFERROR(__xludf.DUMMYFUNCTION("""COMPUTED_VALUE"""),-1.0)</f>
        <v>-1</v>
      </c>
      <c r="AN276" s="16">
        <f>IFERROR(__xludf.DUMMYFUNCTION("""COMPUTED_VALUE"""),-1.0)</f>
        <v>-1</v>
      </c>
      <c r="AO276" s="16">
        <f>IFERROR(__xludf.DUMMYFUNCTION("""COMPUTED_VALUE"""),-1.0)</f>
        <v>-1</v>
      </c>
      <c r="AP276" s="16">
        <f>IFERROR(__xludf.DUMMYFUNCTION("""COMPUTED_VALUE"""),-1.0)</f>
        <v>-1</v>
      </c>
      <c r="AQ276" s="16">
        <f>IFERROR(__xludf.DUMMYFUNCTION("""COMPUTED_VALUE"""),26.5)</f>
        <v>26.5</v>
      </c>
      <c r="AR276" s="16">
        <f>IFERROR(__xludf.DUMMYFUNCTION("""COMPUTED_VALUE"""),25.5)</f>
        <v>25.5</v>
      </c>
      <c r="AS276" s="16">
        <f>IFERROR(__xludf.DUMMYFUNCTION("""COMPUTED_VALUE"""),-1.0)</f>
        <v>-1</v>
      </c>
      <c r="AT276" s="16">
        <f>IFERROR(__xludf.DUMMYFUNCTION("""COMPUTED_VALUE"""),-1.0)</f>
        <v>-1</v>
      </c>
      <c r="AU276" s="16">
        <f>IFERROR(__xludf.DUMMYFUNCTION("""COMPUTED_VALUE"""),-2.0)</f>
        <v>-2</v>
      </c>
      <c r="AV276" s="16">
        <f>IFERROR(__xludf.DUMMYFUNCTION("""COMPUTED_VALUE"""),-2.0)</f>
        <v>-2</v>
      </c>
      <c r="AW276" s="16">
        <f>IFERROR(__xludf.DUMMYFUNCTION("""COMPUTED_VALUE"""),0.0)</f>
        <v>0</v>
      </c>
      <c r="AX276" s="16">
        <f>IFERROR(__xludf.DUMMYFUNCTION("""COMPUTED_VALUE"""),0.0)</f>
        <v>0</v>
      </c>
      <c r="AY276" s="16">
        <f>IFERROR(__xludf.DUMMYFUNCTION("""COMPUTED_VALUE"""),2.0)</f>
        <v>2</v>
      </c>
      <c r="AZ276" s="16">
        <f>IFERROR(__xludf.DUMMYFUNCTION("""COMPUTED_VALUE"""),2.0)</f>
        <v>2</v>
      </c>
      <c r="BA276" s="16">
        <f>IFERROR(__xludf.DUMMYFUNCTION("""COMPUTED_VALUE"""),10.0)</f>
        <v>10</v>
      </c>
      <c r="BB276" s="16">
        <f>IFERROR(__xludf.DUMMYFUNCTION("""COMPUTED_VALUE"""),10.0)</f>
        <v>10</v>
      </c>
      <c r="BC276" s="16">
        <f>IFERROR(__xludf.DUMMYFUNCTION("""COMPUTED_VALUE"""),0.0)</f>
        <v>0</v>
      </c>
      <c r="BD276" s="16">
        <f>IFERROR(__xludf.DUMMYFUNCTION("""COMPUTED_VALUE"""),0.0)</f>
        <v>0</v>
      </c>
      <c r="BE276" s="16">
        <f>IFERROR(__xludf.DUMMYFUNCTION("""COMPUTED_VALUE"""),0.0)</f>
        <v>0</v>
      </c>
      <c r="BF276" s="16">
        <f>IFERROR(__xludf.DUMMYFUNCTION("""COMPUTED_VALUE"""),0.0)</f>
        <v>0</v>
      </c>
      <c r="BG276" s="16">
        <f>IFERROR(__xludf.DUMMYFUNCTION("""COMPUTED_VALUE"""),3.0)</f>
        <v>3</v>
      </c>
      <c r="BH276" s="16">
        <f>IFERROR(__xludf.DUMMYFUNCTION("""COMPUTED_VALUE"""),2.0)</f>
        <v>2</v>
      </c>
      <c r="BI276" s="16">
        <f>IFERROR(__xludf.DUMMYFUNCTION("""COMPUTED_VALUE"""),6.0)</f>
        <v>6</v>
      </c>
      <c r="BJ276" s="16">
        <f>IFERROR(__xludf.DUMMYFUNCTION("""COMPUTED_VALUE"""),4.0)</f>
        <v>4</v>
      </c>
      <c r="BK276" s="16">
        <f>IFERROR(__xludf.DUMMYFUNCTION("""COMPUTED_VALUE"""),5.0)</f>
        <v>5</v>
      </c>
      <c r="BL276" s="16">
        <f>IFERROR(__xludf.DUMMYFUNCTION("""COMPUTED_VALUE"""),5.0)</f>
        <v>5</v>
      </c>
      <c r="BM276" s="16">
        <f>IFERROR(__xludf.DUMMYFUNCTION("""COMPUTED_VALUE"""),0.0)</f>
        <v>0</v>
      </c>
      <c r="BN276" s="16">
        <f>IFERROR(__xludf.DUMMYFUNCTION("""COMPUTED_VALUE"""),0.0)</f>
        <v>0</v>
      </c>
      <c r="BO276" s="16">
        <f>IFERROR(__xludf.DUMMYFUNCTION("""COMPUTED_VALUE"""),0.0)</f>
        <v>0</v>
      </c>
      <c r="BP276" s="16">
        <f>IFERROR(__xludf.DUMMYFUNCTION("""COMPUTED_VALUE"""),0.0)</f>
        <v>0</v>
      </c>
      <c r="BQ276" s="16">
        <f>IFERROR(__xludf.DUMMYFUNCTION("""COMPUTED_VALUE"""),2.0)</f>
        <v>2</v>
      </c>
      <c r="BR276" s="16">
        <f>IFERROR(__xludf.DUMMYFUNCTION("""COMPUTED_VALUE"""),4.0)</f>
        <v>4</v>
      </c>
      <c r="BS276" s="16">
        <f>IFERROR(__xludf.DUMMYFUNCTION("""COMPUTED_VALUE"""),-2.0)</f>
        <v>-2</v>
      </c>
      <c r="BT276" s="16">
        <f>IFERROR(__xludf.DUMMYFUNCTION("""COMPUTED_VALUE"""),-1.0)</f>
        <v>-1</v>
      </c>
      <c r="BU276" s="16">
        <f>IFERROR(__xludf.DUMMYFUNCTION("""COMPUTED_VALUE"""),-4.0)</f>
        <v>-4</v>
      </c>
      <c r="BV276" s="16">
        <f>IFERROR(__xludf.DUMMYFUNCTION("""COMPUTED_VALUE"""),-2.0)</f>
        <v>-2</v>
      </c>
      <c r="BW276" s="16">
        <f>IFERROR(__xludf.DUMMYFUNCTION("""COMPUTED_VALUE"""),-3.0)</f>
        <v>-3</v>
      </c>
      <c r="BX276" s="16">
        <f>IFERROR(__xludf.DUMMYFUNCTION("""COMPUTED_VALUE"""),-3.0)</f>
        <v>-3</v>
      </c>
      <c r="BY276" s="16" t="str">
        <f>IFERROR(__xludf.DUMMYFUNCTION("""COMPUTED_VALUE"""),"S(4) R(3) C(1)")</f>
        <v>S(4) R(3) C(1)</v>
      </c>
      <c r="BZ276" s="16" t="str">
        <f>IFERROR(__xludf.DUMMYFUNCTION("""COMPUTED_VALUE"""),"S(4) R(3) C(1)")</f>
        <v>S(4) R(3) C(1)</v>
      </c>
      <c r="CA276" s="16" t="str">
        <f>IFERROR(__xludf.DUMMYFUNCTION("""COMPUTED_VALUE"""),"S(4)")</f>
        <v>S(4)</v>
      </c>
      <c r="CB276" s="16" t="str">
        <f>IFERROR(__xludf.DUMMYFUNCTION("""COMPUTED_VALUE"""),"R(3)")</f>
        <v>R(3)</v>
      </c>
      <c r="CC276" s="16" t="str">
        <f>IFERROR(__xludf.DUMMYFUNCTION("""COMPUTED_VALUE"""),"C(1)")</f>
        <v>C(1)</v>
      </c>
      <c r="CD276" s="16">
        <f>IFERROR(__xludf.DUMMYFUNCTION("""COMPUTED_VALUE"""),4.0)</f>
        <v>4</v>
      </c>
      <c r="CE276" s="16">
        <f>IFERROR(__xludf.DUMMYFUNCTION("""COMPUTED_VALUE"""),3.0)</f>
        <v>3</v>
      </c>
      <c r="CF276" s="16">
        <f>IFERROR(__xludf.DUMMYFUNCTION("""COMPUTED_VALUE"""),1.0)</f>
        <v>1</v>
      </c>
      <c r="CG276" s="16" t="str">
        <f>IFERROR(__xludf.DUMMYFUNCTION("""COMPUTED_VALUE"""),"3-0")</f>
        <v>3-0</v>
      </c>
      <c r="CH276" s="16">
        <f>IFERROR(__xludf.DUMMYFUNCTION("""COMPUTED_VALUE"""),3.0)</f>
        <v>3</v>
      </c>
      <c r="CI276" s="16">
        <f>IFERROR(__xludf.DUMMYFUNCTION("""COMPUTED_VALUE"""),0.0)</f>
        <v>0</v>
      </c>
      <c r="CJ276" s="16">
        <f>IFERROR(__xludf.DUMMYFUNCTION("""COMPUTED_VALUE"""),0.0)</f>
        <v>0</v>
      </c>
      <c r="CK276" s="16">
        <f>IFERROR(__xludf.DUMMYFUNCTION("""COMPUTED_VALUE"""),4.0)</f>
        <v>4</v>
      </c>
      <c r="CL276" s="16" t="str">
        <f>IFERROR(__xludf.DUMMYFUNCTION("""COMPUTED_VALUE"""),"1WR-C")</f>
        <v>1WR-C</v>
      </c>
      <c r="CM276" s="16" t="str">
        <f>IFERROR(__xludf.DUMMYFUNCTION("""COMPUTED_VALUE"""),"E")</f>
        <v>E</v>
      </c>
      <c r="CN276" s="16">
        <f>IFERROR(__xludf.DUMMYFUNCTION("""COMPUTED_VALUE"""),10.0)</f>
        <v>10</v>
      </c>
      <c r="CO276" s="16" t="str">
        <f>IFERROR(__xludf.DUMMYFUNCTION("""COMPUTED_VALUE"""),"C")</f>
        <v>C</v>
      </c>
      <c r="CP276" s="16" t="str">
        <f>IFERROR(__xludf.DUMMYFUNCTION("""COMPUTED_VALUE"""),"2p30")</f>
        <v>2p30</v>
      </c>
      <c r="CQ276" s="16">
        <f>IFERROR(__xludf.DUMMYFUNCTION("""COMPUTED_VALUE"""),-6.0)</f>
        <v>-6</v>
      </c>
      <c r="CR276" s="16">
        <f>IFERROR(__xludf.DUMMYFUNCTION("""COMPUTED_VALUE"""),1.0)</f>
        <v>1</v>
      </c>
      <c r="CS276" s="16">
        <f>IFERROR(__xludf.DUMMYFUNCTION("""COMPUTED_VALUE"""),-5.0)</f>
        <v>-5</v>
      </c>
      <c r="CT276" s="16">
        <f>IFERROR(__xludf.DUMMYFUNCTION("""COMPUTED_VALUE"""),-6.0)</f>
        <v>-6</v>
      </c>
      <c r="CU276" s="16">
        <f>IFERROR(__xludf.DUMMYFUNCTION("""COMPUTED_VALUE"""),1.0)</f>
        <v>1</v>
      </c>
      <c r="CV276" s="179">
        <f>IFERROR(__xludf.DUMMYFUNCTION("""COMPUTED_VALUE"""),1.3333333333333335)</f>
        <v>1.333333333</v>
      </c>
      <c r="CW276" s="179">
        <f>IFERROR(__xludf.DUMMYFUNCTION("""COMPUTED_VALUE"""),3.0)</f>
        <v>3</v>
      </c>
      <c r="CX276" s="179">
        <f>IFERROR(__xludf.DUMMYFUNCTION("""COMPUTED_VALUE"""),2.0)</f>
        <v>2</v>
      </c>
      <c r="CY276" s="16" t="str">
        <f>IFERROR(__xludf.DUMMYFUNCTION("""COMPUTED_VALUE"""),"SP")</f>
        <v>SP</v>
      </c>
      <c r="CZ276" s="16" t="str">
        <f>IFERROR(__xludf.DUMMYFUNCTION("""COMPUTED_VALUE"""),"RP")</f>
        <v>RP</v>
      </c>
      <c r="DA276" s="16" t="str">
        <f>IFERROR(__xludf.DUMMYFUNCTION("""COMPUTED_VALUE"""),"CP")</f>
        <v>CP</v>
      </c>
      <c r="DB276" s="16"/>
      <c r="DC276" s="16"/>
      <c r="DD276" s="16"/>
      <c r="DE276" s="16"/>
      <c r="DF276" s="16"/>
      <c r="DG276" s="16"/>
      <c r="DH276" s="16"/>
      <c r="DI276" s="16"/>
      <c r="DJ276" s="16"/>
      <c r="DK276" s="16"/>
    </row>
    <row r="277">
      <c r="A277" s="16">
        <f>IFERROR(__xludf.DUMMYFUNCTION("""COMPUTED_VALUE"""),13190.0)</f>
        <v>13190</v>
      </c>
      <c r="B277" s="16" t="str">
        <f>IFERROR(__xludf.DUMMYFUNCTION("""COMPUTED_VALUE"""),"Michael Grove")</f>
        <v>Michael Grove</v>
      </c>
      <c r="C277" s="153">
        <f>IFERROR(__xludf.DUMMYFUNCTION("""COMPUTED_VALUE"""),0.0)</f>
        <v>0</v>
      </c>
      <c r="D277" s="16"/>
      <c r="E277" s="16" t="str">
        <f>IFERROR(__xludf.DUMMYFUNCTION("""COMPUTED_VALUE"""),"R")</f>
        <v>R</v>
      </c>
      <c r="F277" s="16">
        <f>IFERROR(__xludf.DUMMYFUNCTION("""COMPUTED_VALUE"""),51.0)</f>
        <v>51</v>
      </c>
      <c r="G277" s="16">
        <f>IFERROR(__xludf.DUMMYFUNCTION("""COMPUTED_VALUE"""),52.0)</f>
        <v>52</v>
      </c>
      <c r="H277" s="16">
        <f>IFERROR(__xludf.DUMMYFUNCTION("""COMPUTED_VALUE"""),20.0)</f>
        <v>20</v>
      </c>
      <c r="I277" s="16">
        <f>IFERROR(__xludf.DUMMYFUNCTION("""COMPUTED_VALUE"""),3.0)</f>
        <v>3</v>
      </c>
      <c r="J277" s="16">
        <f>IFERROR(__xludf.DUMMYFUNCTION("""COMPUTED_VALUE"""),-1.0)</f>
        <v>-1</v>
      </c>
      <c r="K277" s="16">
        <f>IFERROR(__xludf.DUMMYFUNCTION("""COMPUTED_VALUE"""),9.0)</f>
        <v>9</v>
      </c>
      <c r="L277" s="16">
        <f>IFERROR(__xludf.DUMMYFUNCTION("""COMPUTED_VALUE"""),-3.0)</f>
        <v>-3</v>
      </c>
      <c r="M277" s="16">
        <f>IFERROR(__xludf.DUMMYFUNCTION("""COMPUTED_VALUE"""),3.0)</f>
        <v>3</v>
      </c>
      <c r="N277" s="16">
        <f>IFERROR(__xludf.DUMMYFUNCTION("""COMPUTED_VALUE"""),11.0)</f>
        <v>11</v>
      </c>
      <c r="O277" s="16">
        <f>IFERROR(__xludf.DUMMYFUNCTION("""COMPUTED_VALUE"""),2.0)</f>
        <v>2</v>
      </c>
      <c r="P277" s="16">
        <f>IFERROR(__xludf.DUMMYFUNCTION("""COMPUTED_VALUE"""),-1.0)</f>
        <v>-1</v>
      </c>
      <c r="Q277" s="16">
        <f>IFERROR(__xludf.DUMMYFUNCTION("""COMPUTED_VALUE"""),2.0)</f>
        <v>2</v>
      </c>
      <c r="R277" s="16">
        <f>IFERROR(__xludf.DUMMYFUNCTION("""COMPUTED_VALUE"""),-1.0)</f>
        <v>-1</v>
      </c>
      <c r="S277" s="16">
        <f>IFERROR(__xludf.DUMMYFUNCTION("""COMPUTED_VALUE"""),11.3)</f>
        <v>11.3</v>
      </c>
      <c r="T277" s="16">
        <f>IFERROR(__xludf.DUMMYFUNCTION("""COMPUTED_VALUE"""),17.7)</f>
        <v>17.7</v>
      </c>
      <c r="U277" s="16">
        <f>IFERROR(__xludf.DUMMYFUNCTION("""COMPUTED_VALUE"""),1.0)</f>
        <v>1</v>
      </c>
      <c r="V277" s="16">
        <f>IFERROR(__xludf.DUMMYFUNCTION("""COMPUTED_VALUE"""),0.0)</f>
        <v>0</v>
      </c>
      <c r="W277" s="16">
        <f>IFERROR(__xludf.DUMMYFUNCTION("""COMPUTED_VALUE"""),2.0)</f>
        <v>2</v>
      </c>
      <c r="X277" s="16">
        <f>IFERROR(__xludf.DUMMYFUNCTION("""COMPUTED_VALUE"""),0.0)</f>
        <v>0</v>
      </c>
      <c r="Y277" s="16">
        <f>IFERROR(__xludf.DUMMYFUNCTION("""COMPUTED_VALUE"""),14.3)</f>
        <v>14.3</v>
      </c>
      <c r="Z277" s="16">
        <f>IFERROR(__xludf.DUMMYFUNCTION("""COMPUTED_VALUE"""),28.7)</f>
        <v>28.7</v>
      </c>
      <c r="AA277" s="16">
        <f>IFERROR(__xludf.DUMMYFUNCTION("""COMPUTED_VALUE"""),2.0)</f>
        <v>2</v>
      </c>
      <c r="AB277" s="16">
        <f>IFERROR(__xludf.DUMMYFUNCTION("""COMPUTED_VALUE"""),-1.0)</f>
        <v>-1</v>
      </c>
      <c r="AC277" s="16">
        <f>IFERROR(__xludf.DUMMYFUNCTION("""COMPUTED_VALUE"""),10.0)</f>
        <v>10</v>
      </c>
      <c r="AD277" s="16">
        <f>IFERROR(__xludf.DUMMYFUNCTION("""COMPUTED_VALUE"""),-5.0)</f>
        <v>-5</v>
      </c>
      <c r="AE277" s="16">
        <f>IFERROR(__xludf.DUMMYFUNCTION("""COMPUTED_VALUE"""),23.0)</f>
        <v>23</v>
      </c>
      <c r="AF277" s="16">
        <f>IFERROR(__xludf.DUMMYFUNCTION("""COMPUTED_VALUE"""),27.0)</f>
        <v>27</v>
      </c>
      <c r="AG277" s="16">
        <f>IFERROR(__xludf.DUMMYFUNCTION("""COMPUTED_VALUE"""),0.0)</f>
        <v>0</v>
      </c>
      <c r="AH277" s="16">
        <f>IFERROR(__xludf.DUMMYFUNCTION("""COMPUTED_VALUE"""),0.0)</f>
        <v>0</v>
      </c>
      <c r="AI277" s="16">
        <f>IFERROR(__xludf.DUMMYFUNCTION("""COMPUTED_VALUE"""),0.0)</f>
        <v>0</v>
      </c>
      <c r="AJ277" s="16">
        <f>IFERROR(__xludf.DUMMYFUNCTION("""COMPUTED_VALUE"""),0.0)</f>
        <v>0</v>
      </c>
      <c r="AK277" s="16">
        <f>IFERROR(__xludf.DUMMYFUNCTION("""COMPUTED_VALUE"""),9.5)</f>
        <v>9.5</v>
      </c>
      <c r="AL277" s="16">
        <f>IFERROR(__xludf.DUMMYFUNCTION("""COMPUTED_VALUE"""),15.7)</f>
        <v>15.7</v>
      </c>
      <c r="AM277" s="16">
        <f>IFERROR(__xludf.DUMMYFUNCTION("""COMPUTED_VALUE"""),1.0)</f>
        <v>1</v>
      </c>
      <c r="AN277" s="16">
        <f>IFERROR(__xludf.DUMMYFUNCTION("""COMPUTED_VALUE"""),0.0)</f>
        <v>0</v>
      </c>
      <c r="AO277" s="16">
        <f>IFERROR(__xludf.DUMMYFUNCTION("""COMPUTED_VALUE"""),1.0)</f>
        <v>1</v>
      </c>
      <c r="AP277" s="16">
        <f>IFERROR(__xludf.DUMMYFUNCTION("""COMPUTED_VALUE"""),0.0)</f>
        <v>0</v>
      </c>
      <c r="AQ277" s="16">
        <f>IFERROR(__xludf.DUMMYFUNCTION("""COMPUTED_VALUE"""),15.8)</f>
        <v>15.8</v>
      </c>
      <c r="AR277" s="16">
        <f>IFERROR(__xludf.DUMMYFUNCTION("""COMPUTED_VALUE"""),19.0)</f>
        <v>19</v>
      </c>
      <c r="AS277" s="16">
        <f>IFERROR(__xludf.DUMMYFUNCTION("""COMPUTED_VALUE"""),0.0)</f>
        <v>0</v>
      </c>
      <c r="AT277" s="16">
        <f>IFERROR(__xludf.DUMMYFUNCTION("""COMPUTED_VALUE"""),0.0)</f>
        <v>0</v>
      </c>
      <c r="AU277" s="16">
        <f>IFERROR(__xludf.DUMMYFUNCTION("""COMPUTED_VALUE"""),0.0)</f>
        <v>0</v>
      </c>
      <c r="AV277" s="16">
        <f>IFERROR(__xludf.DUMMYFUNCTION("""COMPUTED_VALUE"""),0.0)</f>
        <v>0</v>
      </c>
      <c r="AW277" s="16">
        <f>IFERROR(__xludf.DUMMYFUNCTION("""COMPUTED_VALUE"""),1.8)</f>
        <v>1.8</v>
      </c>
      <c r="AX277" s="16">
        <f>IFERROR(__xludf.DUMMYFUNCTION("""COMPUTED_VALUE"""),2.0)</f>
        <v>2</v>
      </c>
      <c r="AY277" s="16">
        <f>IFERROR(__xludf.DUMMYFUNCTION("""COMPUTED_VALUE"""),0.0)</f>
        <v>0</v>
      </c>
      <c r="AZ277" s="16">
        <f>IFERROR(__xludf.DUMMYFUNCTION("""COMPUTED_VALUE"""),0.0)</f>
        <v>0</v>
      </c>
      <c r="BA277" s="16">
        <f>IFERROR(__xludf.DUMMYFUNCTION("""COMPUTED_VALUE"""),0.0)</f>
        <v>0</v>
      </c>
      <c r="BB277" s="16">
        <f>IFERROR(__xludf.DUMMYFUNCTION("""COMPUTED_VALUE"""),0.0)</f>
        <v>0</v>
      </c>
      <c r="BC277" s="16">
        <f>IFERROR(__xludf.DUMMYFUNCTION("""COMPUTED_VALUE"""),2.0)</f>
        <v>2</v>
      </c>
      <c r="BD277" s="16">
        <f>IFERROR(__xludf.DUMMYFUNCTION("""COMPUTED_VALUE"""),2.0)</f>
        <v>2</v>
      </c>
      <c r="BE277" s="16">
        <f>IFERROR(__xludf.DUMMYFUNCTION("""COMPUTED_VALUE"""),2.0)</f>
        <v>2</v>
      </c>
      <c r="BF277" s="16">
        <f>IFERROR(__xludf.DUMMYFUNCTION("""COMPUTED_VALUE"""),2.0)</f>
        <v>2</v>
      </c>
      <c r="BG277" s="16">
        <f>IFERROR(__xludf.DUMMYFUNCTION("""COMPUTED_VALUE"""),1.0)</f>
        <v>1</v>
      </c>
      <c r="BH277" s="16">
        <f>IFERROR(__xludf.DUMMYFUNCTION("""COMPUTED_VALUE"""),1.0)</f>
        <v>1</v>
      </c>
      <c r="BI277" s="16">
        <f>IFERROR(__xludf.DUMMYFUNCTION("""COMPUTED_VALUE"""),2.0)</f>
        <v>2</v>
      </c>
      <c r="BJ277" s="16">
        <f>IFERROR(__xludf.DUMMYFUNCTION("""COMPUTED_VALUE"""),2.0)</f>
        <v>2</v>
      </c>
      <c r="BK277" s="16">
        <f>IFERROR(__xludf.DUMMYFUNCTION("""COMPUTED_VALUE"""),5.0)</f>
        <v>5</v>
      </c>
      <c r="BL277" s="16">
        <f>IFERROR(__xludf.DUMMYFUNCTION("""COMPUTED_VALUE"""),5.0)</f>
        <v>5</v>
      </c>
      <c r="BM277" s="16">
        <f>IFERROR(__xludf.DUMMYFUNCTION("""COMPUTED_VALUE"""),0.0)</f>
        <v>0</v>
      </c>
      <c r="BN277" s="16">
        <f>IFERROR(__xludf.DUMMYFUNCTION("""COMPUTED_VALUE"""),0.0)</f>
        <v>0</v>
      </c>
      <c r="BO277" s="16">
        <f>IFERROR(__xludf.DUMMYFUNCTION("""COMPUTED_VALUE"""),0.0)</f>
        <v>0</v>
      </c>
      <c r="BP277" s="16">
        <f>IFERROR(__xludf.DUMMYFUNCTION("""COMPUTED_VALUE"""),0.0)</f>
        <v>0</v>
      </c>
      <c r="BQ277" s="16">
        <f>IFERROR(__xludf.DUMMYFUNCTION("""COMPUTED_VALUE"""),0.0)</f>
        <v>0</v>
      </c>
      <c r="BR277" s="16">
        <f>IFERROR(__xludf.DUMMYFUNCTION("""COMPUTED_VALUE"""),2.0)</f>
        <v>2</v>
      </c>
      <c r="BS277" s="16">
        <f>IFERROR(__xludf.DUMMYFUNCTION("""COMPUTED_VALUE"""),-3.0)</f>
        <v>-3</v>
      </c>
      <c r="BT277" s="16">
        <f>IFERROR(__xludf.DUMMYFUNCTION("""COMPUTED_VALUE"""),-2.0)</f>
        <v>-2</v>
      </c>
      <c r="BU277" s="16">
        <f>IFERROR(__xludf.DUMMYFUNCTION("""COMPUTED_VALUE"""),-6.0)</f>
        <v>-6</v>
      </c>
      <c r="BV277" s="16">
        <f>IFERROR(__xludf.DUMMYFUNCTION("""COMPUTED_VALUE"""),-4.0)</f>
        <v>-4</v>
      </c>
      <c r="BW277" s="16">
        <f>IFERROR(__xludf.DUMMYFUNCTION("""COMPUTED_VALUE"""),-1.0)</f>
        <v>-1</v>
      </c>
      <c r="BX277" s="16">
        <f>IFERROR(__xludf.DUMMYFUNCTION("""COMPUTED_VALUE"""),-1.0)</f>
        <v>-1</v>
      </c>
      <c r="BY277" s="16" t="str">
        <f>IFERROR(__xludf.DUMMYFUNCTION("""COMPUTED_VALUE"""),"S(1) R(1)")</f>
        <v>S(1) R(1)</v>
      </c>
      <c r="BZ277" s="16" t="str">
        <f>IFERROR(__xludf.DUMMYFUNCTION("""COMPUTED_VALUE"""),"S(1) R(1)")</f>
        <v>S(1) R(1)</v>
      </c>
      <c r="CA277" s="16" t="str">
        <f>IFERROR(__xludf.DUMMYFUNCTION("""COMPUTED_VALUE"""),"S(1)")</f>
        <v>S(1)</v>
      </c>
      <c r="CB277" s="16" t="str">
        <f>IFERROR(__xludf.DUMMYFUNCTION("""COMPUTED_VALUE"""),"R(1)")</f>
        <v>R(1)</v>
      </c>
      <c r="CC277" s="16"/>
      <c r="CD277" s="16">
        <f>IFERROR(__xludf.DUMMYFUNCTION("""COMPUTED_VALUE"""),1.0)</f>
        <v>1</v>
      </c>
      <c r="CE277" s="16">
        <f>IFERROR(__xludf.DUMMYFUNCTION("""COMPUTED_VALUE"""),1.0)</f>
        <v>1</v>
      </c>
      <c r="CF277" s="16"/>
      <c r="CG277" s="16" t="str">
        <f>IFERROR(__xludf.DUMMYFUNCTION("""COMPUTED_VALUE"""),"3-0")</f>
        <v>3-0</v>
      </c>
      <c r="CH277" s="16">
        <f>IFERROR(__xludf.DUMMYFUNCTION("""COMPUTED_VALUE"""),3.0)</f>
        <v>3</v>
      </c>
      <c r="CI277" s="16">
        <f>IFERROR(__xludf.DUMMYFUNCTION("""COMPUTED_VALUE"""),0.0)</f>
        <v>0</v>
      </c>
      <c r="CJ277" s="16">
        <f>IFERROR(__xludf.DUMMYFUNCTION("""COMPUTED_VALUE"""),0.0)</f>
        <v>0</v>
      </c>
      <c r="CK277" s="16">
        <f>IFERROR(__xludf.DUMMYFUNCTION("""COMPUTED_VALUE"""),8.0)</f>
        <v>8</v>
      </c>
      <c r="CL277" s="16" t="str">
        <f>IFERROR(__xludf.DUMMYFUNCTION("""COMPUTED_VALUE"""),"1WR-C")</f>
        <v>1WR-C</v>
      </c>
      <c r="CM277" s="16" t="str">
        <f>IFERROR(__xludf.DUMMYFUNCTION("""COMPUTED_VALUE"""),"E")</f>
        <v>E</v>
      </c>
      <c r="CN277" s="16">
        <f>IFERROR(__xludf.DUMMYFUNCTION("""COMPUTED_VALUE"""),10.0)</f>
        <v>10</v>
      </c>
      <c r="CO277" s="16" t="str">
        <f>IFERROR(__xludf.DUMMYFUNCTION("""COMPUTED_VALUE"""),"C")</f>
        <v>C</v>
      </c>
      <c r="CP277" s="16" t="str">
        <f>IFERROR(__xludf.DUMMYFUNCTION("""COMPUTED_VALUE"""),"4p40")</f>
        <v>4p40</v>
      </c>
      <c r="CQ277" s="16">
        <f>IFERROR(__xludf.DUMMYFUNCTION("""COMPUTED_VALUE"""),20.0)</f>
        <v>20</v>
      </c>
      <c r="CR277" s="16">
        <f>IFERROR(__xludf.DUMMYFUNCTION("""COMPUTED_VALUE"""),-11.0)</f>
        <v>-11</v>
      </c>
      <c r="CS277" s="16">
        <f>IFERROR(__xludf.DUMMYFUNCTION("""COMPUTED_VALUE"""),9.0)</f>
        <v>9</v>
      </c>
      <c r="CT277" s="16">
        <f>IFERROR(__xludf.DUMMYFUNCTION("""COMPUTED_VALUE"""),20.0)</f>
        <v>20</v>
      </c>
      <c r="CU277" s="16">
        <f>IFERROR(__xludf.DUMMYFUNCTION("""COMPUTED_VALUE"""),-11.0)</f>
        <v>-11</v>
      </c>
      <c r="CV277" s="179">
        <f>IFERROR(__xludf.DUMMYFUNCTION("""COMPUTED_VALUE"""),1.3333333333333335)</f>
        <v>1.333333333</v>
      </c>
      <c r="CW277" s="179">
        <f>IFERROR(__xludf.DUMMYFUNCTION("""COMPUTED_VALUE"""),1.0)</f>
        <v>1</v>
      </c>
      <c r="CX277" s="179">
        <f>IFERROR(__xludf.DUMMYFUNCTION("""COMPUTED_VALUE"""),1.0)</f>
        <v>1</v>
      </c>
      <c r="CY277" s="16" t="str">
        <f>IFERROR(__xludf.DUMMYFUNCTION("""COMPUTED_VALUE"""),"SP")</f>
        <v>SP</v>
      </c>
      <c r="CZ277" s="16" t="str">
        <f>IFERROR(__xludf.DUMMYFUNCTION("""COMPUTED_VALUE"""),"RP")</f>
        <v>RP</v>
      </c>
      <c r="DA277" s="16"/>
      <c r="DB277" s="16"/>
      <c r="DC277" s="16"/>
      <c r="DD277" s="16"/>
      <c r="DE277" s="16"/>
      <c r="DF277" s="16"/>
      <c r="DG277" s="16"/>
      <c r="DH277" s="16"/>
      <c r="DI277" s="16"/>
      <c r="DJ277" s="16"/>
      <c r="DK277" s="16"/>
    </row>
    <row r="278">
      <c r="A278" s="16">
        <f>IFERROR(__xludf.DUMMYFUNCTION("""COMPUTED_VALUE"""),13109.0)</f>
        <v>13109</v>
      </c>
      <c r="B278" s="16" t="str">
        <f>IFERROR(__xludf.DUMMYFUNCTION("""COMPUTED_VALUE"""),"Landon Knack")</f>
        <v>Landon Knack</v>
      </c>
      <c r="C278" s="153">
        <f>IFERROR(__xludf.DUMMYFUNCTION("""COMPUTED_VALUE"""),0.98)</f>
        <v>0.98</v>
      </c>
      <c r="D278" s="16"/>
      <c r="E278" s="16" t="str">
        <f>IFERROR(__xludf.DUMMYFUNCTION("""COMPUTED_VALUE"""),"R")</f>
        <v>R</v>
      </c>
      <c r="F278" s="16">
        <f>IFERROR(__xludf.DUMMYFUNCTION("""COMPUTED_VALUE"""),69.0)</f>
        <v>69</v>
      </c>
      <c r="G278" s="16">
        <f>IFERROR(__xludf.DUMMYFUNCTION("""COMPUTED_VALUE"""),30.0)</f>
        <v>30</v>
      </c>
      <c r="H278" s="16">
        <f>IFERROR(__xludf.DUMMYFUNCTION("""COMPUTED_VALUE"""),26.0)</f>
        <v>26</v>
      </c>
      <c r="I278" s="16">
        <f>IFERROR(__xludf.DUMMYFUNCTION("""COMPUTED_VALUE"""),0.0)</f>
        <v>0</v>
      </c>
      <c r="J278" s="16">
        <f>IFERROR(__xludf.DUMMYFUNCTION("""COMPUTED_VALUE"""),0.0)</f>
        <v>0</v>
      </c>
      <c r="K278" s="16">
        <f>IFERROR(__xludf.DUMMYFUNCTION("""COMPUTED_VALUE"""),0.0)</f>
        <v>0</v>
      </c>
      <c r="L278" s="16">
        <f>IFERROR(__xludf.DUMMYFUNCTION("""COMPUTED_VALUE"""),0.0)</f>
        <v>0</v>
      </c>
      <c r="M278" s="16">
        <f>IFERROR(__xludf.DUMMYFUNCTION("""COMPUTED_VALUE"""),5.0)</f>
        <v>5</v>
      </c>
      <c r="N278" s="16">
        <f>IFERROR(__xludf.DUMMYFUNCTION("""COMPUTED_VALUE"""),5.0)</f>
        <v>5</v>
      </c>
      <c r="O278" s="16">
        <f>IFERROR(__xludf.DUMMYFUNCTION("""COMPUTED_VALUE"""),2.0)</f>
        <v>2</v>
      </c>
      <c r="P278" s="16">
        <f>IFERROR(__xludf.DUMMYFUNCTION("""COMPUTED_VALUE"""),2.0)</f>
        <v>2</v>
      </c>
      <c r="Q278" s="16">
        <f>IFERROR(__xludf.DUMMYFUNCTION("""COMPUTED_VALUE"""),2.0)</f>
        <v>2</v>
      </c>
      <c r="R278" s="16">
        <f>IFERROR(__xludf.DUMMYFUNCTION("""COMPUTED_VALUE"""),2.0)</f>
        <v>2</v>
      </c>
      <c r="S278" s="16">
        <f>IFERROR(__xludf.DUMMYFUNCTION("""COMPUTED_VALUE"""),9.7)</f>
        <v>9.7</v>
      </c>
      <c r="T278" s="16">
        <f>IFERROR(__xludf.DUMMYFUNCTION("""COMPUTED_VALUE"""),10.5)</f>
        <v>10.5</v>
      </c>
      <c r="U278" s="16">
        <f>IFERROR(__xludf.DUMMYFUNCTION("""COMPUTED_VALUE"""),1.0)</f>
        <v>1</v>
      </c>
      <c r="V278" s="16">
        <f>IFERROR(__xludf.DUMMYFUNCTION("""COMPUTED_VALUE"""),1.0)</f>
        <v>1</v>
      </c>
      <c r="W278" s="16">
        <f>IFERROR(__xludf.DUMMYFUNCTION("""COMPUTED_VALUE"""),2.0)</f>
        <v>2</v>
      </c>
      <c r="X278" s="16">
        <f>IFERROR(__xludf.DUMMYFUNCTION("""COMPUTED_VALUE"""),2.0)</f>
        <v>2</v>
      </c>
      <c r="Y278" s="16">
        <f>IFERROR(__xludf.DUMMYFUNCTION("""COMPUTED_VALUE"""),14.7)</f>
        <v>14.7</v>
      </c>
      <c r="Z278" s="16">
        <f>IFERROR(__xludf.DUMMYFUNCTION("""COMPUTED_VALUE"""),15.5)</f>
        <v>15.5</v>
      </c>
      <c r="AA278" s="16">
        <f>IFERROR(__xludf.DUMMYFUNCTION("""COMPUTED_VALUE"""),2.0)</f>
        <v>2</v>
      </c>
      <c r="AB278" s="16">
        <f>IFERROR(__xludf.DUMMYFUNCTION("""COMPUTED_VALUE"""),2.0)</f>
        <v>2</v>
      </c>
      <c r="AC278" s="16">
        <f>IFERROR(__xludf.DUMMYFUNCTION("""COMPUTED_VALUE"""),10.0)</f>
        <v>10</v>
      </c>
      <c r="AD278" s="16">
        <f>IFERROR(__xludf.DUMMYFUNCTION("""COMPUTED_VALUE"""),10.0)</f>
        <v>10</v>
      </c>
      <c r="AE278" s="16">
        <f>IFERROR(__xludf.DUMMYFUNCTION("""COMPUTED_VALUE"""),25.2)</f>
        <v>25.2</v>
      </c>
      <c r="AF278" s="16">
        <f>IFERROR(__xludf.DUMMYFUNCTION("""COMPUTED_VALUE"""),27.3)</f>
        <v>27.3</v>
      </c>
      <c r="AG278" s="16">
        <f>IFERROR(__xludf.DUMMYFUNCTION("""COMPUTED_VALUE"""),0.0)</f>
        <v>0</v>
      </c>
      <c r="AH278" s="16">
        <f>IFERROR(__xludf.DUMMYFUNCTION("""COMPUTED_VALUE"""),0.0)</f>
        <v>0</v>
      </c>
      <c r="AI278" s="16">
        <f>IFERROR(__xludf.DUMMYFUNCTION("""COMPUTED_VALUE"""),0.0)</f>
        <v>0</v>
      </c>
      <c r="AJ278" s="16">
        <f>IFERROR(__xludf.DUMMYFUNCTION("""COMPUTED_VALUE"""),0.0)</f>
        <v>0</v>
      </c>
      <c r="AK278" s="16">
        <f>IFERROR(__xludf.DUMMYFUNCTION("""COMPUTED_VALUE"""),6.8999999999999995)</f>
        <v>6.9</v>
      </c>
      <c r="AL278" s="16">
        <f>IFERROR(__xludf.DUMMYFUNCTION("""COMPUTED_VALUE"""),5.5)</f>
        <v>5.5</v>
      </c>
      <c r="AM278" s="16">
        <f>IFERROR(__xludf.DUMMYFUNCTION("""COMPUTED_VALUE"""),1.0)</f>
        <v>1</v>
      </c>
      <c r="AN278" s="16">
        <f>IFERROR(__xludf.DUMMYFUNCTION("""COMPUTED_VALUE"""),2.0)</f>
        <v>2</v>
      </c>
      <c r="AO278" s="16">
        <f>IFERROR(__xludf.DUMMYFUNCTION("""COMPUTED_VALUE"""),1.0)</f>
        <v>1</v>
      </c>
      <c r="AP278" s="16">
        <f>IFERROR(__xludf.DUMMYFUNCTION("""COMPUTED_VALUE"""),2.0)</f>
        <v>2</v>
      </c>
      <c r="AQ278" s="16">
        <f>IFERROR(__xludf.DUMMYFUNCTION("""COMPUTED_VALUE"""),14.0)</f>
        <v>14</v>
      </c>
      <c r="AR278" s="16">
        <f>IFERROR(__xludf.DUMMYFUNCTION("""COMPUTED_VALUE"""),7.300000000000001)</f>
        <v>7.3</v>
      </c>
      <c r="AS278" s="16">
        <f>IFERROR(__xludf.DUMMYFUNCTION("""COMPUTED_VALUE"""),1.0)</f>
        <v>1</v>
      </c>
      <c r="AT278" s="16">
        <f>IFERROR(__xludf.DUMMYFUNCTION("""COMPUTED_VALUE"""),2.0)</f>
        <v>2</v>
      </c>
      <c r="AU278" s="16">
        <f>IFERROR(__xludf.DUMMYFUNCTION("""COMPUTED_VALUE"""),2.0)</f>
        <v>2</v>
      </c>
      <c r="AV278" s="16">
        <f>IFERROR(__xludf.DUMMYFUNCTION("""COMPUTED_VALUE"""),4.0)</f>
        <v>4</v>
      </c>
      <c r="AW278" s="16">
        <f>IFERROR(__xludf.DUMMYFUNCTION("""COMPUTED_VALUE"""),2.8)</f>
        <v>2.8</v>
      </c>
      <c r="AX278" s="16">
        <f>IFERROR(__xludf.DUMMYFUNCTION("""COMPUTED_VALUE"""),5.0)</f>
        <v>5</v>
      </c>
      <c r="AY278" s="16">
        <f>IFERROR(__xludf.DUMMYFUNCTION("""COMPUTED_VALUE"""),-1.0)</f>
        <v>-1</v>
      </c>
      <c r="AZ278" s="16">
        <f>IFERROR(__xludf.DUMMYFUNCTION("""COMPUTED_VALUE"""),-3.0)</f>
        <v>-3</v>
      </c>
      <c r="BA278" s="16">
        <f>IFERROR(__xludf.DUMMYFUNCTION("""COMPUTED_VALUE"""),-5.0)</f>
        <v>-5</v>
      </c>
      <c r="BB278" s="16">
        <f>IFERROR(__xludf.DUMMYFUNCTION("""COMPUTED_VALUE"""),-15.0)</f>
        <v>-15</v>
      </c>
      <c r="BC278" s="16"/>
      <c r="BD278" s="16">
        <f>IFERROR(__xludf.DUMMYFUNCTION("""COMPUTED_VALUE"""),8.0)</f>
        <v>8</v>
      </c>
      <c r="BE278" s="16">
        <f>IFERROR(__xludf.DUMMYFUNCTION("""COMPUTED_VALUE"""),5.0)</f>
        <v>5</v>
      </c>
      <c r="BF278" s="16">
        <f>IFERROR(__xludf.DUMMYFUNCTION("""COMPUTED_VALUE"""),8.0)</f>
        <v>8</v>
      </c>
      <c r="BG278" s="16">
        <f>IFERROR(__xludf.DUMMYFUNCTION("""COMPUTED_VALUE"""),-2.0)</f>
        <v>-2</v>
      </c>
      <c r="BH278" s="16">
        <f>IFERROR(__xludf.DUMMYFUNCTION("""COMPUTED_VALUE"""),-3.0)</f>
        <v>-3</v>
      </c>
      <c r="BI278" s="16">
        <f>IFERROR(__xludf.DUMMYFUNCTION("""COMPUTED_VALUE"""),-4.0)</f>
        <v>-4</v>
      </c>
      <c r="BJ278" s="16">
        <f>IFERROR(__xludf.DUMMYFUNCTION("""COMPUTED_VALUE"""),-6.0)</f>
        <v>-6</v>
      </c>
      <c r="BK278" s="16">
        <f>IFERROR(__xludf.DUMMYFUNCTION("""COMPUTED_VALUE"""),0.0)</f>
        <v>0</v>
      </c>
      <c r="BL278" s="16">
        <f>IFERROR(__xludf.DUMMYFUNCTION("""COMPUTED_VALUE"""),5.0)</f>
        <v>5</v>
      </c>
      <c r="BM278" s="16">
        <f>IFERROR(__xludf.DUMMYFUNCTION("""COMPUTED_VALUE"""),1.0)</f>
        <v>1</v>
      </c>
      <c r="BN278" s="16">
        <f>IFERROR(__xludf.DUMMYFUNCTION("""COMPUTED_VALUE"""),0.0)</f>
        <v>0</v>
      </c>
      <c r="BO278" s="16">
        <f>IFERROR(__xludf.DUMMYFUNCTION("""COMPUTED_VALUE"""),1.0)</f>
        <v>1</v>
      </c>
      <c r="BP278" s="16">
        <f>IFERROR(__xludf.DUMMYFUNCTION("""COMPUTED_VALUE"""),0.0)</f>
        <v>0</v>
      </c>
      <c r="BQ278" s="16">
        <f>IFERROR(__xludf.DUMMYFUNCTION("""COMPUTED_VALUE"""),0.0)</f>
        <v>0</v>
      </c>
      <c r="BR278" s="16">
        <f>IFERROR(__xludf.DUMMYFUNCTION("""COMPUTED_VALUE"""),0.0)</f>
        <v>0</v>
      </c>
      <c r="BS278" s="16">
        <f>IFERROR(__xludf.DUMMYFUNCTION("""COMPUTED_VALUE"""),-3.0)</f>
        <v>-3</v>
      </c>
      <c r="BT278" s="16">
        <f>IFERROR(__xludf.DUMMYFUNCTION("""COMPUTED_VALUE"""),-3.0)</f>
        <v>-3</v>
      </c>
      <c r="BU278" s="16">
        <f>IFERROR(__xludf.DUMMYFUNCTION("""COMPUTED_VALUE"""),-6.0)</f>
        <v>-6</v>
      </c>
      <c r="BV278" s="16">
        <f>IFERROR(__xludf.DUMMYFUNCTION("""COMPUTED_VALUE"""),-6.0)</f>
        <v>-6</v>
      </c>
      <c r="BW278" s="16">
        <f>IFERROR(__xludf.DUMMYFUNCTION("""COMPUTED_VALUE"""),3.0)</f>
        <v>3</v>
      </c>
      <c r="BX278" s="16">
        <f>IFERROR(__xludf.DUMMYFUNCTION("""COMPUTED_VALUE"""),3.0)</f>
        <v>3</v>
      </c>
      <c r="BY278" s="16" t="str">
        <f>IFERROR(__xludf.DUMMYFUNCTION("""COMPUTED_VALUE"""),"S(5) R(4) C(0)")</f>
        <v>S(5) R(4) C(0)</v>
      </c>
      <c r="BZ278" s="16" t="str">
        <f>IFERROR(__xludf.DUMMYFUNCTION("""COMPUTED_VALUE"""),"S(5) R(4) C(0)")</f>
        <v>S(5) R(4) C(0)</v>
      </c>
      <c r="CA278" s="16" t="str">
        <f>IFERROR(__xludf.DUMMYFUNCTION("""COMPUTED_VALUE"""),"S(5)")</f>
        <v>S(5)</v>
      </c>
      <c r="CB278" s="16" t="str">
        <f>IFERROR(__xludf.DUMMYFUNCTION("""COMPUTED_VALUE"""),"R(4)")</f>
        <v>R(4)</v>
      </c>
      <c r="CC278" s="16" t="str">
        <f>IFERROR(__xludf.DUMMYFUNCTION("""COMPUTED_VALUE"""),"C(0)")</f>
        <v>C(0)</v>
      </c>
      <c r="CD278" s="16">
        <f>IFERROR(__xludf.DUMMYFUNCTION("""COMPUTED_VALUE"""),5.0)</f>
        <v>5</v>
      </c>
      <c r="CE278" s="16">
        <f>IFERROR(__xludf.DUMMYFUNCTION("""COMPUTED_VALUE"""),4.0)</f>
        <v>4</v>
      </c>
      <c r="CF278" s="16">
        <f>IFERROR(__xludf.DUMMYFUNCTION("""COMPUTED_VALUE"""),0.0)</f>
        <v>0</v>
      </c>
      <c r="CG278" s="16" t="str">
        <f>IFERROR(__xludf.DUMMYFUNCTION("""COMPUTED_VALUE"""),"4-0")</f>
        <v>4-0</v>
      </c>
      <c r="CH278" s="16">
        <f>IFERROR(__xludf.DUMMYFUNCTION("""COMPUTED_VALUE"""),4.0)</f>
        <v>4</v>
      </c>
      <c r="CI278" s="16">
        <f>IFERROR(__xludf.DUMMYFUNCTION("""COMPUTED_VALUE"""),0.0)</f>
        <v>0</v>
      </c>
      <c r="CJ278" s="16">
        <f>IFERROR(__xludf.DUMMYFUNCTION("""COMPUTED_VALUE"""),5.0)</f>
        <v>5</v>
      </c>
      <c r="CK278" s="16">
        <f>IFERROR(__xludf.DUMMYFUNCTION("""COMPUTED_VALUE"""),2.0)</f>
        <v>2</v>
      </c>
      <c r="CL278" s="16" t="str">
        <f>IFERROR(__xludf.DUMMYFUNCTION("""COMPUTED_VALUE"""),"1WL-C")</f>
        <v>1WL-C</v>
      </c>
      <c r="CM278" s="16" t="str">
        <f>IFERROR(__xludf.DUMMYFUNCTION("""COMPUTED_VALUE"""),"E")</f>
        <v>E</v>
      </c>
      <c r="CN278" s="16">
        <f>IFERROR(__xludf.DUMMYFUNCTION("""COMPUTED_VALUE"""),10.0)</f>
        <v>10</v>
      </c>
      <c r="CO278" s="16" t="str">
        <f>IFERROR(__xludf.DUMMYFUNCTION("""COMPUTED_VALUE"""),"C")</f>
        <v>C</v>
      </c>
      <c r="CP278" s="16" t="str">
        <f>IFERROR(__xludf.DUMMYFUNCTION("""COMPUTED_VALUE"""),"1p40")</f>
        <v>1p40</v>
      </c>
      <c r="CQ278" s="16">
        <f>IFERROR(__xludf.DUMMYFUNCTION("""COMPUTED_VALUE"""),3.0)</f>
        <v>3</v>
      </c>
      <c r="CR278" s="16">
        <f>IFERROR(__xludf.DUMMYFUNCTION("""COMPUTED_VALUE"""),-7.0)</f>
        <v>-7</v>
      </c>
      <c r="CS278" s="16">
        <f>IFERROR(__xludf.DUMMYFUNCTION("""COMPUTED_VALUE"""),-4.0)</f>
        <v>-4</v>
      </c>
      <c r="CT278" s="16">
        <f>IFERROR(__xludf.DUMMYFUNCTION("""COMPUTED_VALUE"""),3.0)</f>
        <v>3</v>
      </c>
      <c r="CU278" s="16">
        <f>IFERROR(__xludf.DUMMYFUNCTION("""COMPUTED_VALUE"""),-7.0)</f>
        <v>-7</v>
      </c>
      <c r="CV278" s="179">
        <f>IFERROR(__xludf.DUMMYFUNCTION("""COMPUTED_VALUE"""),1.3333333333333335)</f>
        <v>1.333333333</v>
      </c>
      <c r="CW278" s="179">
        <f>IFERROR(__xludf.DUMMYFUNCTION("""COMPUTED_VALUE"""),4.0)</f>
        <v>4</v>
      </c>
      <c r="CX278" s="179">
        <f>IFERROR(__xludf.DUMMYFUNCTION("""COMPUTED_VALUE"""),1.0)</f>
        <v>1</v>
      </c>
      <c r="CY278" s="16" t="str">
        <f>IFERROR(__xludf.DUMMYFUNCTION("""COMPUTED_VALUE"""),"SP")</f>
        <v>SP</v>
      </c>
      <c r="CZ278" s="16" t="str">
        <f>IFERROR(__xludf.DUMMYFUNCTION("""COMPUTED_VALUE"""),"RP")</f>
        <v>RP</v>
      </c>
      <c r="DA278" s="16" t="str">
        <f>IFERROR(__xludf.DUMMYFUNCTION("""COMPUTED_VALUE"""),"CP")</f>
        <v>CP</v>
      </c>
      <c r="DB278" s="16"/>
      <c r="DC278" s="16"/>
      <c r="DD278" s="16"/>
      <c r="DE278" s="16"/>
      <c r="DF278" s="16"/>
      <c r="DG278" s="16"/>
      <c r="DH278" s="16"/>
      <c r="DI278" s="16"/>
      <c r="DJ278" s="16"/>
      <c r="DK278" s="16"/>
    </row>
    <row r="279">
      <c r="A279" s="16">
        <f>IFERROR(__xludf.DUMMYFUNCTION("""COMPUTED_VALUE"""),13247.0)</f>
        <v>13247</v>
      </c>
      <c r="B279" s="16" t="str">
        <f>IFERROR(__xludf.DUMMYFUNCTION("""COMPUTED_VALUE"""),"Nick Pivetta")</f>
        <v>Nick Pivetta</v>
      </c>
      <c r="C279" s="153">
        <f>IFERROR(__xludf.DUMMYFUNCTION("""COMPUTED_VALUE"""),0.93)</f>
        <v>0.93</v>
      </c>
      <c r="D279" s="16"/>
      <c r="E279" s="16" t="str">
        <f>IFERROR(__xludf.DUMMYFUNCTION("""COMPUTED_VALUE"""),"R")</f>
        <v>R</v>
      </c>
      <c r="F279" s="16">
        <f>IFERROR(__xludf.DUMMYFUNCTION("""COMPUTED_VALUE"""),146.0)</f>
        <v>146</v>
      </c>
      <c r="G279" s="16">
        <f>IFERROR(__xludf.DUMMYFUNCTION("""COMPUTED_VALUE"""),44.0)</f>
        <v>44</v>
      </c>
      <c r="H279" s="16">
        <f>IFERROR(__xludf.DUMMYFUNCTION("""COMPUTED_VALUE"""),30.0)</f>
        <v>30</v>
      </c>
      <c r="I279" s="16">
        <f>IFERROR(__xludf.DUMMYFUNCTION("""COMPUTED_VALUE"""),2.0)</f>
        <v>2</v>
      </c>
      <c r="J279" s="16">
        <f>IFERROR(__xludf.DUMMYFUNCTION("""COMPUTED_VALUE"""),0.0)</f>
        <v>0</v>
      </c>
      <c r="K279" s="16">
        <f>IFERROR(__xludf.DUMMYFUNCTION("""COMPUTED_VALUE"""),6.0)</f>
        <v>6</v>
      </c>
      <c r="L279" s="16">
        <f>IFERROR(__xludf.DUMMYFUNCTION("""COMPUTED_VALUE"""),0.0)</f>
        <v>0</v>
      </c>
      <c r="M279" s="16">
        <f>IFERROR(__xludf.DUMMYFUNCTION("""COMPUTED_VALUE"""),5.0)</f>
        <v>5</v>
      </c>
      <c r="N279" s="16">
        <f>IFERROR(__xludf.DUMMYFUNCTION("""COMPUTED_VALUE"""),3.0)</f>
        <v>3</v>
      </c>
      <c r="O279" s="16">
        <f>IFERROR(__xludf.DUMMYFUNCTION("""COMPUTED_VALUE"""),2.0)</f>
        <v>2</v>
      </c>
      <c r="P279" s="16">
        <f>IFERROR(__xludf.DUMMYFUNCTION("""COMPUTED_VALUE"""),2.0)</f>
        <v>2</v>
      </c>
      <c r="Q279" s="16">
        <f>IFERROR(__xludf.DUMMYFUNCTION("""COMPUTED_VALUE"""),2.0)</f>
        <v>2</v>
      </c>
      <c r="R279" s="16">
        <f>IFERROR(__xludf.DUMMYFUNCTION("""COMPUTED_VALUE"""),2.0)</f>
        <v>2</v>
      </c>
      <c r="S279" s="16">
        <f>IFERROR(__xludf.DUMMYFUNCTION("""COMPUTED_VALUE"""),7.9)</f>
        <v>7.9</v>
      </c>
      <c r="T279" s="16">
        <f>IFERROR(__xludf.DUMMYFUNCTION("""COMPUTED_VALUE"""),17.7)</f>
        <v>17.7</v>
      </c>
      <c r="U279" s="16">
        <f>IFERROR(__xludf.DUMMYFUNCTION("""COMPUTED_VALUE"""),1.0)</f>
        <v>1</v>
      </c>
      <c r="V279" s="16">
        <f>IFERROR(__xludf.DUMMYFUNCTION("""COMPUTED_VALUE"""),0.0)</f>
        <v>0</v>
      </c>
      <c r="W279" s="16">
        <f>IFERROR(__xludf.DUMMYFUNCTION("""COMPUTED_VALUE"""),2.0)</f>
        <v>2</v>
      </c>
      <c r="X279" s="16">
        <f>IFERROR(__xludf.DUMMYFUNCTION("""COMPUTED_VALUE"""),0.0)</f>
        <v>0</v>
      </c>
      <c r="Y279" s="16">
        <f>IFERROR(__xludf.DUMMYFUNCTION("""COMPUTED_VALUE"""),12.9)</f>
        <v>12.9</v>
      </c>
      <c r="Z279" s="16">
        <f>IFERROR(__xludf.DUMMYFUNCTION("""COMPUTED_VALUE"""),20.7)</f>
        <v>20.7</v>
      </c>
      <c r="AA279" s="16">
        <f>IFERROR(__xludf.DUMMYFUNCTION("""COMPUTED_VALUE"""),2.0)</f>
        <v>2</v>
      </c>
      <c r="AB279" s="16">
        <f>IFERROR(__xludf.DUMMYFUNCTION("""COMPUTED_VALUE"""),1.0)</f>
        <v>1</v>
      </c>
      <c r="AC279" s="16">
        <f>IFERROR(__xludf.DUMMYFUNCTION("""COMPUTED_VALUE"""),10.0)</f>
        <v>10</v>
      </c>
      <c r="AD279" s="16">
        <f>IFERROR(__xludf.DUMMYFUNCTION("""COMPUTED_VALUE"""),5.0)</f>
        <v>5</v>
      </c>
      <c r="AE279" s="16">
        <f>IFERROR(__xludf.DUMMYFUNCTION("""COMPUTED_VALUE"""),21.3)</f>
        <v>21.3</v>
      </c>
      <c r="AF279" s="16">
        <f>IFERROR(__xludf.DUMMYFUNCTION("""COMPUTED_VALUE"""),42.1)</f>
        <v>42.1</v>
      </c>
      <c r="AG279" s="16">
        <f>IFERROR(__xludf.DUMMYFUNCTION("""COMPUTED_VALUE"""),1.0)</f>
        <v>1</v>
      </c>
      <c r="AH279" s="16">
        <f>IFERROR(__xludf.DUMMYFUNCTION("""COMPUTED_VALUE"""),-2.0)</f>
        <v>-2</v>
      </c>
      <c r="AI279" s="16">
        <f>IFERROR(__xludf.DUMMYFUNCTION("""COMPUTED_VALUE"""),2.0)</f>
        <v>2</v>
      </c>
      <c r="AJ279" s="16">
        <f>IFERROR(__xludf.DUMMYFUNCTION("""COMPUTED_VALUE"""),-4.0)</f>
        <v>-4</v>
      </c>
      <c r="AK279" s="16">
        <f>IFERROR(__xludf.DUMMYFUNCTION("""COMPUTED_VALUE"""),5.1000000000000005)</f>
        <v>5.1</v>
      </c>
      <c r="AL279" s="16">
        <f>IFERROR(__xludf.DUMMYFUNCTION("""COMPUTED_VALUE"""),12.2)</f>
        <v>12.2</v>
      </c>
      <c r="AM279" s="16">
        <f>IFERROR(__xludf.DUMMYFUNCTION("""COMPUTED_VALUE"""),1.0)</f>
        <v>1</v>
      </c>
      <c r="AN279" s="16">
        <f>IFERROR(__xludf.DUMMYFUNCTION("""COMPUTED_VALUE"""),0.0)</f>
        <v>0</v>
      </c>
      <c r="AO279" s="16">
        <f>IFERROR(__xludf.DUMMYFUNCTION("""COMPUTED_VALUE"""),1.0)</f>
        <v>1</v>
      </c>
      <c r="AP279" s="16">
        <f>IFERROR(__xludf.DUMMYFUNCTION("""COMPUTED_VALUE"""),0.0)</f>
        <v>0</v>
      </c>
      <c r="AQ279" s="16">
        <f>IFERROR(__xludf.DUMMYFUNCTION("""COMPUTED_VALUE"""),10.100000000000001)</f>
        <v>10.1</v>
      </c>
      <c r="AR279" s="16">
        <f>IFERROR(__xludf.DUMMYFUNCTION("""COMPUTED_VALUE"""),20.1)</f>
        <v>20.1</v>
      </c>
      <c r="AS279" s="16">
        <f>IFERROR(__xludf.DUMMYFUNCTION("""COMPUTED_VALUE"""),1.0)</f>
        <v>1</v>
      </c>
      <c r="AT279" s="16">
        <f>IFERROR(__xludf.DUMMYFUNCTION("""COMPUTED_VALUE"""),0.0)</f>
        <v>0</v>
      </c>
      <c r="AU279" s="16">
        <f>IFERROR(__xludf.DUMMYFUNCTION("""COMPUTED_VALUE"""),2.0)</f>
        <v>2</v>
      </c>
      <c r="AV279" s="16">
        <f>IFERROR(__xludf.DUMMYFUNCTION("""COMPUTED_VALUE"""),0.0)</f>
        <v>0</v>
      </c>
      <c r="AW279" s="16">
        <f>IFERROR(__xludf.DUMMYFUNCTION("""COMPUTED_VALUE"""),2.8)</f>
        <v>2.8</v>
      </c>
      <c r="AX279" s="16">
        <f>IFERROR(__xludf.DUMMYFUNCTION("""COMPUTED_VALUE"""),5.5)</f>
        <v>5.5</v>
      </c>
      <c r="AY279" s="16">
        <f>IFERROR(__xludf.DUMMYFUNCTION("""COMPUTED_VALUE"""),-1.0)</f>
        <v>-1</v>
      </c>
      <c r="AZ279" s="16">
        <f>IFERROR(__xludf.DUMMYFUNCTION("""COMPUTED_VALUE"""),-3.0)</f>
        <v>-3</v>
      </c>
      <c r="BA279" s="16">
        <f>IFERROR(__xludf.DUMMYFUNCTION("""COMPUTED_VALUE"""),-5.0)</f>
        <v>-5</v>
      </c>
      <c r="BB279" s="16">
        <f>IFERROR(__xludf.DUMMYFUNCTION("""COMPUTED_VALUE"""),-15.0)</f>
        <v>-15</v>
      </c>
      <c r="BC279" s="16"/>
      <c r="BD279" s="16">
        <f>IFERROR(__xludf.DUMMYFUNCTION("""COMPUTED_VALUE"""),8.0)</f>
        <v>8</v>
      </c>
      <c r="BE279" s="16">
        <f>IFERROR(__xludf.DUMMYFUNCTION("""COMPUTED_VALUE"""),5.0)</f>
        <v>5</v>
      </c>
      <c r="BF279" s="16">
        <f>IFERROR(__xludf.DUMMYFUNCTION("""COMPUTED_VALUE"""),8.0)</f>
        <v>8</v>
      </c>
      <c r="BG279" s="16">
        <f>IFERROR(__xludf.DUMMYFUNCTION("""COMPUTED_VALUE"""),-2.0)</f>
        <v>-2</v>
      </c>
      <c r="BH279" s="16">
        <f>IFERROR(__xludf.DUMMYFUNCTION("""COMPUTED_VALUE"""),-3.0)</f>
        <v>-3</v>
      </c>
      <c r="BI279" s="16">
        <f>IFERROR(__xludf.DUMMYFUNCTION("""COMPUTED_VALUE"""),-4.0)</f>
        <v>-4</v>
      </c>
      <c r="BJ279" s="16">
        <f>IFERROR(__xludf.DUMMYFUNCTION("""COMPUTED_VALUE"""),-6.0)</f>
        <v>-6</v>
      </c>
      <c r="BK279" s="16">
        <f>IFERROR(__xludf.DUMMYFUNCTION("""COMPUTED_VALUE"""),0.0)</f>
        <v>0</v>
      </c>
      <c r="BL279" s="16">
        <f>IFERROR(__xludf.DUMMYFUNCTION("""COMPUTED_VALUE"""),5.0)</f>
        <v>5</v>
      </c>
      <c r="BM279" s="16">
        <f>IFERROR(__xludf.DUMMYFUNCTION("""COMPUTED_VALUE"""),1.0)</f>
        <v>1</v>
      </c>
      <c r="BN279" s="16">
        <f>IFERROR(__xludf.DUMMYFUNCTION("""COMPUTED_VALUE"""),0.0)</f>
        <v>0</v>
      </c>
      <c r="BO279" s="16">
        <f>IFERROR(__xludf.DUMMYFUNCTION("""COMPUTED_VALUE"""),1.0)</f>
        <v>1</v>
      </c>
      <c r="BP279" s="16">
        <f>IFERROR(__xludf.DUMMYFUNCTION("""COMPUTED_VALUE"""),0.0)</f>
        <v>0</v>
      </c>
      <c r="BQ279" s="16">
        <f>IFERROR(__xludf.DUMMYFUNCTION("""COMPUTED_VALUE"""),4.0)</f>
        <v>4</v>
      </c>
      <c r="BR279" s="16">
        <f>IFERROR(__xludf.DUMMYFUNCTION("""COMPUTED_VALUE"""),6.0)</f>
        <v>6</v>
      </c>
      <c r="BS279" s="16">
        <f>IFERROR(__xludf.DUMMYFUNCTION("""COMPUTED_VALUE"""),-1.0)</f>
        <v>-1</v>
      </c>
      <c r="BT279" s="16">
        <f>IFERROR(__xludf.DUMMYFUNCTION("""COMPUTED_VALUE"""),1.0)</f>
        <v>1</v>
      </c>
      <c r="BU279" s="16">
        <f>IFERROR(__xludf.DUMMYFUNCTION("""COMPUTED_VALUE"""),-2.0)</f>
        <v>-2</v>
      </c>
      <c r="BV279" s="16">
        <f>IFERROR(__xludf.DUMMYFUNCTION("""COMPUTED_VALUE"""),2.0)</f>
        <v>2</v>
      </c>
      <c r="BW279" s="16">
        <f>IFERROR(__xludf.DUMMYFUNCTION("""COMPUTED_VALUE"""),0.0)</f>
        <v>0</v>
      </c>
      <c r="BX279" s="16">
        <f>IFERROR(__xludf.DUMMYFUNCTION("""COMPUTED_VALUE"""),0.0)</f>
        <v>0</v>
      </c>
      <c r="BY279" s="16" t="str">
        <f>IFERROR(__xludf.DUMMYFUNCTION("""COMPUTED_VALUE"""),"S(5) R(4)")</f>
        <v>S(5) R(4)</v>
      </c>
      <c r="BZ279" s="16" t="str">
        <f>IFERROR(__xludf.DUMMYFUNCTION("""COMPUTED_VALUE"""),"S(5) R(4)")</f>
        <v>S(5) R(4)</v>
      </c>
      <c r="CA279" s="16" t="str">
        <f>IFERROR(__xludf.DUMMYFUNCTION("""COMPUTED_VALUE"""),"S(5)")</f>
        <v>S(5)</v>
      </c>
      <c r="CB279" s="16" t="str">
        <f>IFERROR(__xludf.DUMMYFUNCTION("""COMPUTED_VALUE"""),"R(4)")</f>
        <v>R(4)</v>
      </c>
      <c r="CC279" s="16"/>
      <c r="CD279" s="16">
        <f>IFERROR(__xludf.DUMMYFUNCTION("""COMPUTED_VALUE"""),5.0)</f>
        <v>5</v>
      </c>
      <c r="CE279" s="16">
        <f>IFERROR(__xludf.DUMMYFUNCTION("""COMPUTED_VALUE"""),4.0)</f>
        <v>4</v>
      </c>
      <c r="CF279" s="16"/>
      <c r="CG279" s="16" t="str">
        <f>IFERROR(__xludf.DUMMYFUNCTION("""COMPUTED_VALUE"""),"2-10")</f>
        <v>2-10</v>
      </c>
      <c r="CH279" s="16">
        <f>IFERROR(__xludf.DUMMYFUNCTION("""COMPUTED_VALUE"""),2.0)</f>
        <v>2</v>
      </c>
      <c r="CI279" s="16">
        <f>IFERROR(__xludf.DUMMYFUNCTION("""COMPUTED_VALUE"""),10.0)</f>
        <v>10</v>
      </c>
      <c r="CJ279" s="16">
        <f>IFERROR(__xludf.DUMMYFUNCTION("""COMPUTED_VALUE"""),0.0)</f>
        <v>0</v>
      </c>
      <c r="CK279" s="16">
        <f>IFERROR(__xludf.DUMMYFUNCTION("""COMPUTED_VALUE"""),6.0)</f>
        <v>6</v>
      </c>
      <c r="CL279" s="16" t="str">
        <f>IFERROR(__xludf.DUMMYFUNCTION("""COMPUTED_VALUE"""),"1WR-C")</f>
        <v>1WR-C</v>
      </c>
      <c r="CM279" s="16" t="str">
        <f>IFERROR(__xludf.DUMMYFUNCTION("""COMPUTED_VALUE"""),"E")</f>
        <v>E</v>
      </c>
      <c r="CN279" s="16">
        <f>IFERROR(__xludf.DUMMYFUNCTION("""COMPUTED_VALUE"""),10.0)</f>
        <v>10</v>
      </c>
      <c r="CO279" s="16" t="str">
        <f>IFERROR(__xludf.DUMMYFUNCTION("""COMPUTED_VALUE"""),"C")</f>
        <v>C</v>
      </c>
      <c r="CP279" s="16" t="str">
        <f>IFERROR(__xludf.DUMMYFUNCTION("""COMPUTED_VALUE"""),"1p70")</f>
        <v>1p70</v>
      </c>
      <c r="CQ279" s="16">
        <f>IFERROR(__xludf.DUMMYFUNCTION("""COMPUTED_VALUE"""),15.0)</f>
        <v>15</v>
      </c>
      <c r="CR279" s="16">
        <f>IFERROR(__xludf.DUMMYFUNCTION("""COMPUTED_VALUE"""),-16.0)</f>
        <v>-16</v>
      </c>
      <c r="CS279" s="16">
        <f>IFERROR(__xludf.DUMMYFUNCTION("""COMPUTED_VALUE"""),-1.0)</f>
        <v>-1</v>
      </c>
      <c r="CT279" s="16">
        <f>IFERROR(__xludf.DUMMYFUNCTION("""COMPUTED_VALUE"""),15.0)</f>
        <v>15</v>
      </c>
      <c r="CU279" s="16">
        <f>IFERROR(__xludf.DUMMYFUNCTION("""COMPUTED_VALUE"""),-16.0)</f>
        <v>-16</v>
      </c>
      <c r="CV279" s="179">
        <f>IFERROR(__xludf.DUMMYFUNCTION("""COMPUTED_VALUE"""),1.333333333333333)</f>
        <v>1.333333333</v>
      </c>
      <c r="CW279" s="179">
        <f>IFERROR(__xludf.DUMMYFUNCTION("""COMPUTED_VALUE"""),4.0)</f>
        <v>4</v>
      </c>
      <c r="CX279" s="179">
        <f>IFERROR(__xludf.DUMMYFUNCTION("""COMPUTED_VALUE"""),3.0)</f>
        <v>3</v>
      </c>
      <c r="CY279" s="16" t="str">
        <f>IFERROR(__xludf.DUMMYFUNCTION("""COMPUTED_VALUE"""),"SP")</f>
        <v>SP</v>
      </c>
      <c r="CZ279" s="16" t="str">
        <f>IFERROR(__xludf.DUMMYFUNCTION("""COMPUTED_VALUE"""),"RP")</f>
        <v>RP</v>
      </c>
      <c r="DA279" s="16"/>
      <c r="DB279" s="16"/>
      <c r="DC279" s="16"/>
      <c r="DD279" s="16"/>
      <c r="DE279" s="16"/>
      <c r="DF279" s="16"/>
      <c r="DG279" s="16"/>
      <c r="DH279" s="16"/>
      <c r="DI279" s="16"/>
      <c r="DJ279" s="16"/>
      <c r="DK279" s="16"/>
    </row>
    <row r="280">
      <c r="A280" s="16">
        <f>IFERROR(__xludf.DUMMYFUNCTION("""COMPUTED_VALUE"""),12600.0)</f>
        <v>12600</v>
      </c>
      <c r="B280" s="16" t="str">
        <f>IFERROR(__xludf.DUMMYFUNCTION("""COMPUTED_VALUE"""),"Brandon Pfaadt")</f>
        <v>Brandon Pfaadt</v>
      </c>
      <c r="C280" s="153">
        <f>IFERROR(__xludf.DUMMYFUNCTION("""COMPUTED_VALUE"""),0.25)</f>
        <v>0.25</v>
      </c>
      <c r="D280" s="16"/>
      <c r="E280" s="16" t="str">
        <f>IFERROR(__xludf.DUMMYFUNCTION("""COMPUTED_VALUE"""),"R")</f>
        <v>R</v>
      </c>
      <c r="F280" s="16">
        <f>IFERROR(__xludf.DUMMYFUNCTION("""COMPUTED_VALUE"""),182.0)</f>
        <v>182</v>
      </c>
      <c r="G280" s="16">
        <f>IFERROR(__xludf.DUMMYFUNCTION("""COMPUTED_VALUE"""),19.0)</f>
        <v>19</v>
      </c>
      <c r="H280" s="16">
        <f>IFERROR(__xludf.DUMMYFUNCTION("""COMPUTED_VALUE"""),38.0)</f>
        <v>38</v>
      </c>
      <c r="I280" s="16">
        <f>IFERROR(__xludf.DUMMYFUNCTION("""COMPUTED_VALUE"""),-1.0)</f>
        <v>-1</v>
      </c>
      <c r="J280" s="16">
        <f>IFERROR(__xludf.DUMMYFUNCTION("""COMPUTED_VALUE"""),1.0)</f>
        <v>1</v>
      </c>
      <c r="K280" s="16">
        <f>IFERROR(__xludf.DUMMYFUNCTION("""COMPUTED_VALUE"""),-3.0)</f>
        <v>-3</v>
      </c>
      <c r="L280" s="16">
        <f>IFERROR(__xludf.DUMMYFUNCTION("""COMPUTED_VALUE"""),3.0)</f>
        <v>3</v>
      </c>
      <c r="M280" s="16">
        <f>IFERROR(__xludf.DUMMYFUNCTION("""COMPUTED_VALUE"""),3.0)</f>
        <v>3</v>
      </c>
      <c r="N280" s="16">
        <f>IFERROR(__xludf.DUMMYFUNCTION("""COMPUTED_VALUE"""),3.0)</f>
        <v>3</v>
      </c>
      <c r="O280" s="16">
        <f>IFERROR(__xludf.DUMMYFUNCTION("""COMPUTED_VALUE"""),2.0)</f>
        <v>2</v>
      </c>
      <c r="P280" s="16">
        <f>IFERROR(__xludf.DUMMYFUNCTION("""COMPUTED_VALUE"""),2.0)</f>
        <v>2</v>
      </c>
      <c r="Q280" s="16">
        <f>IFERROR(__xludf.DUMMYFUNCTION("""COMPUTED_VALUE"""),2.0)</f>
        <v>2</v>
      </c>
      <c r="R280" s="16">
        <f>IFERROR(__xludf.DUMMYFUNCTION("""COMPUTED_VALUE"""),2.0)</f>
        <v>2</v>
      </c>
      <c r="S280" s="16">
        <f>IFERROR(__xludf.DUMMYFUNCTION("""COMPUTED_VALUE"""),27.6)</f>
        <v>27.6</v>
      </c>
      <c r="T280" s="16">
        <f>IFERROR(__xludf.DUMMYFUNCTION("""COMPUTED_VALUE"""),13.6)</f>
        <v>13.6</v>
      </c>
      <c r="U280" s="16">
        <f>IFERROR(__xludf.DUMMYFUNCTION("""COMPUTED_VALUE"""),-2.0)</f>
        <v>-2</v>
      </c>
      <c r="V280" s="16">
        <f>IFERROR(__xludf.DUMMYFUNCTION("""COMPUTED_VALUE"""),0.0)</f>
        <v>0</v>
      </c>
      <c r="W280" s="16">
        <f>IFERROR(__xludf.DUMMYFUNCTION("""COMPUTED_VALUE"""),-4.0)</f>
        <v>-4</v>
      </c>
      <c r="X280" s="16">
        <f>IFERROR(__xludf.DUMMYFUNCTION("""COMPUTED_VALUE"""),0.0)</f>
        <v>0</v>
      </c>
      <c r="Y280" s="16">
        <f>IFERROR(__xludf.DUMMYFUNCTION("""COMPUTED_VALUE"""),30.6)</f>
        <v>30.6</v>
      </c>
      <c r="Z280" s="16">
        <f>IFERROR(__xludf.DUMMYFUNCTION("""COMPUTED_VALUE"""),16.5)</f>
        <v>16.5</v>
      </c>
      <c r="AA280" s="16">
        <f>IFERROR(__xludf.DUMMYFUNCTION("""COMPUTED_VALUE"""),-1.0)</f>
        <v>-1</v>
      </c>
      <c r="AB280" s="16">
        <f>IFERROR(__xludf.DUMMYFUNCTION("""COMPUTED_VALUE"""),1.0)</f>
        <v>1</v>
      </c>
      <c r="AC280" s="16">
        <f>IFERROR(__xludf.DUMMYFUNCTION("""COMPUTED_VALUE"""),-5.0)</f>
        <v>-5</v>
      </c>
      <c r="AD280" s="16">
        <f>IFERROR(__xludf.DUMMYFUNCTION("""COMPUTED_VALUE"""),5.0)</f>
        <v>5</v>
      </c>
      <c r="AE280" s="16">
        <f>IFERROR(__xludf.DUMMYFUNCTION("""COMPUTED_VALUE"""),43.2)</f>
        <v>43.2</v>
      </c>
      <c r="AF280" s="16">
        <f>IFERROR(__xludf.DUMMYFUNCTION("""COMPUTED_VALUE"""),24.6)</f>
        <v>24.6</v>
      </c>
      <c r="AG280" s="16">
        <f>IFERROR(__xludf.DUMMYFUNCTION("""COMPUTED_VALUE"""),-2.0)</f>
        <v>-2</v>
      </c>
      <c r="AH280" s="16">
        <f>IFERROR(__xludf.DUMMYFUNCTION("""COMPUTED_VALUE"""),0.0)</f>
        <v>0</v>
      </c>
      <c r="AI280" s="16">
        <f>IFERROR(__xludf.DUMMYFUNCTION("""COMPUTED_VALUE"""),-4.0)</f>
        <v>-4</v>
      </c>
      <c r="AJ280" s="16">
        <f>IFERROR(__xludf.DUMMYFUNCTION("""COMPUTED_VALUE"""),0.0)</f>
        <v>0</v>
      </c>
      <c r="AK280" s="16">
        <f>IFERROR(__xludf.DUMMYFUNCTION("""COMPUTED_VALUE"""),25.6)</f>
        <v>25.6</v>
      </c>
      <c r="AL280" s="16">
        <f>IFERROR(__xludf.DUMMYFUNCTION("""COMPUTED_VALUE"""),11.2)</f>
        <v>11.2</v>
      </c>
      <c r="AM280" s="16">
        <f>IFERROR(__xludf.DUMMYFUNCTION("""COMPUTED_VALUE"""),-2.0)</f>
        <v>-2</v>
      </c>
      <c r="AN280" s="16">
        <f>IFERROR(__xludf.DUMMYFUNCTION("""COMPUTED_VALUE"""),0.0)</f>
        <v>0</v>
      </c>
      <c r="AO280" s="16">
        <f>IFERROR(__xludf.DUMMYFUNCTION("""COMPUTED_VALUE"""),-2.0)</f>
        <v>-2</v>
      </c>
      <c r="AP280" s="16">
        <f>IFERROR(__xludf.DUMMYFUNCTION("""COMPUTED_VALUE"""),0.0)</f>
        <v>0</v>
      </c>
      <c r="AQ280" s="16">
        <f>IFERROR(__xludf.DUMMYFUNCTION("""COMPUTED_VALUE"""),35.2)</f>
        <v>35.2</v>
      </c>
      <c r="AR280" s="16">
        <f>IFERROR(__xludf.DUMMYFUNCTION("""COMPUTED_VALUE"""),15.000000000000002)</f>
        <v>15</v>
      </c>
      <c r="AS280" s="16">
        <f>IFERROR(__xludf.DUMMYFUNCTION("""COMPUTED_VALUE"""),-2.0)</f>
        <v>-2</v>
      </c>
      <c r="AT280" s="16">
        <f>IFERROR(__xludf.DUMMYFUNCTION("""COMPUTED_VALUE"""),1.0)</f>
        <v>1</v>
      </c>
      <c r="AU280" s="16">
        <f>IFERROR(__xludf.DUMMYFUNCTION("""COMPUTED_VALUE"""),-4.0)</f>
        <v>-4</v>
      </c>
      <c r="AV280" s="16">
        <f>IFERROR(__xludf.DUMMYFUNCTION("""COMPUTED_VALUE"""),2.0)</f>
        <v>2</v>
      </c>
      <c r="AW280" s="16">
        <f>IFERROR(__xludf.DUMMYFUNCTION("""COMPUTED_VALUE"""),2.0)</f>
        <v>2</v>
      </c>
      <c r="AX280" s="16">
        <f>IFERROR(__xludf.DUMMYFUNCTION("""COMPUTED_VALUE"""),2.4)</f>
        <v>2.4</v>
      </c>
      <c r="AY280" s="16">
        <f>IFERROR(__xludf.DUMMYFUNCTION("""COMPUTED_VALUE"""),0.0)</f>
        <v>0</v>
      </c>
      <c r="AZ280" s="16">
        <f>IFERROR(__xludf.DUMMYFUNCTION("""COMPUTED_VALUE"""),0.0)</f>
        <v>0</v>
      </c>
      <c r="BA280" s="16">
        <f>IFERROR(__xludf.DUMMYFUNCTION("""COMPUTED_VALUE"""),0.0)</f>
        <v>0</v>
      </c>
      <c r="BB280" s="16">
        <f>IFERROR(__xludf.DUMMYFUNCTION("""COMPUTED_VALUE"""),0.0)</f>
        <v>0</v>
      </c>
      <c r="BC280" s="16">
        <f>IFERROR(__xludf.DUMMYFUNCTION("""COMPUTED_VALUE"""),5.0)</f>
        <v>5</v>
      </c>
      <c r="BD280" s="16">
        <f>IFERROR(__xludf.DUMMYFUNCTION("""COMPUTED_VALUE"""),4.0)</f>
        <v>4</v>
      </c>
      <c r="BE280" s="16">
        <f>IFERROR(__xludf.DUMMYFUNCTION("""COMPUTED_VALUE"""),5.0)</f>
        <v>5</v>
      </c>
      <c r="BF280" s="16">
        <f>IFERROR(__xludf.DUMMYFUNCTION("""COMPUTED_VALUE"""),4.0)</f>
        <v>4</v>
      </c>
      <c r="BG280" s="16">
        <f>IFERROR(__xludf.DUMMYFUNCTION("""COMPUTED_VALUE"""),-2.0)</f>
        <v>-2</v>
      </c>
      <c r="BH280" s="16">
        <f>IFERROR(__xludf.DUMMYFUNCTION("""COMPUTED_VALUE"""),-1.0)</f>
        <v>-1</v>
      </c>
      <c r="BI280" s="16">
        <f>IFERROR(__xludf.DUMMYFUNCTION("""COMPUTED_VALUE"""),-4.0)</f>
        <v>-4</v>
      </c>
      <c r="BJ280" s="16">
        <f>IFERROR(__xludf.DUMMYFUNCTION("""COMPUTED_VALUE"""),-2.0)</f>
        <v>-2</v>
      </c>
      <c r="BK280" s="16">
        <f>IFERROR(__xludf.DUMMYFUNCTION("""COMPUTED_VALUE"""),5.0)</f>
        <v>5</v>
      </c>
      <c r="BL280" s="16">
        <f>IFERROR(__xludf.DUMMYFUNCTION("""COMPUTED_VALUE"""),5.0)</f>
        <v>5</v>
      </c>
      <c r="BM280" s="16">
        <f>IFERROR(__xludf.DUMMYFUNCTION("""COMPUTED_VALUE"""),0.0)</f>
        <v>0</v>
      </c>
      <c r="BN280" s="16">
        <f>IFERROR(__xludf.DUMMYFUNCTION("""COMPUTED_VALUE"""),0.0)</f>
        <v>0</v>
      </c>
      <c r="BO280" s="16">
        <f>IFERROR(__xludf.DUMMYFUNCTION("""COMPUTED_VALUE"""),0.0)</f>
        <v>0</v>
      </c>
      <c r="BP280" s="16">
        <f>IFERROR(__xludf.DUMMYFUNCTION("""COMPUTED_VALUE"""),0.0)</f>
        <v>0</v>
      </c>
      <c r="BQ280" s="16">
        <f>IFERROR(__xludf.DUMMYFUNCTION("""COMPUTED_VALUE"""),9.0)</f>
        <v>9</v>
      </c>
      <c r="BR280" s="16">
        <f>IFERROR(__xludf.DUMMYFUNCTION("""COMPUTED_VALUE"""),6.0)</f>
        <v>6</v>
      </c>
      <c r="BS280" s="16">
        <f>IFERROR(__xludf.DUMMYFUNCTION("""COMPUTED_VALUE"""),3.0)</f>
        <v>3</v>
      </c>
      <c r="BT280" s="16">
        <f>IFERROR(__xludf.DUMMYFUNCTION("""COMPUTED_VALUE"""),1.0)</f>
        <v>1</v>
      </c>
      <c r="BU280" s="16">
        <f>IFERROR(__xludf.DUMMYFUNCTION("""COMPUTED_VALUE"""),6.0)</f>
        <v>6</v>
      </c>
      <c r="BV280" s="16">
        <f>IFERROR(__xludf.DUMMYFUNCTION("""COMPUTED_VALUE"""),2.0)</f>
        <v>2</v>
      </c>
      <c r="BW280" s="16">
        <f>IFERROR(__xludf.DUMMYFUNCTION("""COMPUTED_VALUE"""),-1.0)</f>
        <v>-1</v>
      </c>
      <c r="BX280" s="16">
        <f>IFERROR(__xludf.DUMMYFUNCTION("""COMPUTED_VALUE"""),-1.0)</f>
        <v>-1</v>
      </c>
      <c r="BY280" s="16" t="str">
        <f>IFERROR(__xludf.DUMMYFUNCTION("""COMPUTED_VALUE"""),"S(6)")</f>
        <v>S(6)</v>
      </c>
      <c r="BZ280" s="16" t="str">
        <f>IFERROR(__xludf.DUMMYFUNCTION("""COMPUTED_VALUE"""),"S(6)")</f>
        <v>S(6)</v>
      </c>
      <c r="CA280" s="16" t="str">
        <f>IFERROR(__xludf.DUMMYFUNCTION("""COMPUTED_VALUE"""),"S(6)")</f>
        <v>S(6)</v>
      </c>
      <c r="CB280" s="16"/>
      <c r="CC280" s="16"/>
      <c r="CD280" s="16">
        <f>IFERROR(__xludf.DUMMYFUNCTION("""COMPUTED_VALUE"""),6.0)</f>
        <v>6</v>
      </c>
      <c r="CE280" s="16"/>
      <c r="CF280" s="16"/>
      <c r="CG280" s="16" t="str">
        <f>IFERROR(__xludf.DUMMYFUNCTION("""COMPUTED_VALUE"""),"3-8")</f>
        <v>3-8</v>
      </c>
      <c r="CH280" s="16">
        <f>IFERROR(__xludf.DUMMYFUNCTION("""COMPUTED_VALUE"""),3.0)</f>
        <v>3</v>
      </c>
      <c r="CI280" s="16">
        <f>IFERROR(__xludf.DUMMYFUNCTION("""COMPUTED_VALUE"""),8.0)</f>
        <v>8</v>
      </c>
      <c r="CJ280" s="16">
        <f>IFERROR(__xludf.DUMMYFUNCTION("""COMPUTED_VALUE"""),0.0)</f>
        <v>0</v>
      </c>
      <c r="CK280" s="16">
        <f>IFERROR(__xludf.DUMMYFUNCTION("""COMPUTED_VALUE"""),0.0)</f>
        <v>0</v>
      </c>
      <c r="CL280" s="16" t="str">
        <f>IFERROR(__xludf.DUMMYFUNCTION("""COMPUTED_VALUE"""),"1WR-C")</f>
        <v>1WR-C</v>
      </c>
      <c r="CM280" s="16" t="str">
        <f>IFERROR(__xludf.DUMMYFUNCTION("""COMPUTED_VALUE"""),"E")</f>
        <v>E</v>
      </c>
      <c r="CN280" s="16">
        <f>IFERROR(__xludf.DUMMYFUNCTION("""COMPUTED_VALUE"""),10.0)</f>
        <v>10</v>
      </c>
      <c r="CO280" s="16" t="str">
        <f>IFERROR(__xludf.DUMMYFUNCTION("""COMPUTED_VALUE"""),"C")</f>
        <v>C</v>
      </c>
      <c r="CP280" s="16" t="str">
        <f>IFERROR(__xludf.DUMMYFUNCTION("""COMPUTED_VALUE"""),"0p72")</f>
        <v>0p72</v>
      </c>
      <c r="CQ280" s="16">
        <f>IFERROR(__xludf.DUMMYFUNCTION("""COMPUTED_VALUE"""),-18.0)</f>
        <v>-18</v>
      </c>
      <c r="CR280" s="16">
        <f>IFERROR(__xludf.DUMMYFUNCTION("""COMPUTED_VALUE"""),12.0)</f>
        <v>12</v>
      </c>
      <c r="CS280" s="16">
        <f>IFERROR(__xludf.DUMMYFUNCTION("""COMPUTED_VALUE"""),-6.0)</f>
        <v>-6</v>
      </c>
      <c r="CT280" s="16">
        <f>IFERROR(__xludf.DUMMYFUNCTION("""COMPUTED_VALUE"""),-18.0)</f>
        <v>-18</v>
      </c>
      <c r="CU280" s="16">
        <f>IFERROR(__xludf.DUMMYFUNCTION("""COMPUTED_VALUE"""),12.0)</f>
        <v>12</v>
      </c>
      <c r="CV280" s="179">
        <f>IFERROR(__xludf.DUMMYFUNCTION("""COMPUTED_VALUE"""),1.0)</f>
        <v>1</v>
      </c>
      <c r="CW280" s="179">
        <f>IFERROR(__xludf.DUMMYFUNCTION("""COMPUTED_VALUE"""),5.0)</f>
        <v>5</v>
      </c>
      <c r="CX280" s="179">
        <f>IFERROR(__xludf.DUMMYFUNCTION("""COMPUTED_VALUE"""),4.0)</f>
        <v>4</v>
      </c>
      <c r="CY280" s="16" t="str">
        <f>IFERROR(__xludf.DUMMYFUNCTION("""COMPUTED_VALUE"""),"SP")</f>
        <v>SP</v>
      </c>
      <c r="CZ280" s="16"/>
      <c r="DA280" s="16"/>
      <c r="DB280" s="16"/>
      <c r="DC280" s="16"/>
      <c r="DD280" s="16"/>
      <c r="DE280" s="16"/>
      <c r="DF280" s="16"/>
      <c r="DG280" s="16"/>
      <c r="DH280" s="16"/>
      <c r="DI280" s="16"/>
      <c r="DJ280" s="16"/>
      <c r="DK280" s="16"/>
    </row>
    <row r="281">
      <c r="A281" s="16">
        <f>IFERROR(__xludf.DUMMYFUNCTION("""COMPUTED_VALUE"""),12952.0)</f>
        <v>12952</v>
      </c>
      <c r="B281" s="16" t="str">
        <f>IFERROR(__xludf.DUMMYFUNCTION("""COMPUTED_VALUE"""),"Jesse Chavez")</f>
        <v>Jesse Chavez</v>
      </c>
      <c r="C281" s="153">
        <f>IFERROR(__xludf.DUMMYFUNCTION("""COMPUTED_VALUE"""),0.48)</f>
        <v>0.48</v>
      </c>
      <c r="D281" s="16"/>
      <c r="E281" s="16" t="str">
        <f>IFERROR(__xludf.DUMMYFUNCTION("""COMPUTED_VALUE"""),"R")</f>
        <v>R</v>
      </c>
      <c r="F281" s="16">
        <f>IFERROR(__xludf.DUMMYFUNCTION("""COMPUTED_VALUE"""),63.0)</f>
        <v>63</v>
      </c>
      <c r="G281" s="16">
        <f>IFERROR(__xludf.DUMMYFUNCTION("""COMPUTED_VALUE"""),12.0)</f>
        <v>12</v>
      </c>
      <c r="H281" s="16">
        <f>IFERROR(__xludf.DUMMYFUNCTION("""COMPUTED_VALUE"""),28.0)</f>
        <v>28</v>
      </c>
      <c r="I281" s="16">
        <f>IFERROR(__xludf.DUMMYFUNCTION("""COMPUTED_VALUE"""),-2.0)</f>
        <v>-2</v>
      </c>
      <c r="J281" s="16">
        <f>IFERROR(__xludf.DUMMYFUNCTION("""COMPUTED_VALUE"""),0.0)</f>
        <v>0</v>
      </c>
      <c r="K281" s="16">
        <f>IFERROR(__xludf.DUMMYFUNCTION("""COMPUTED_VALUE"""),-6.0)</f>
        <v>-6</v>
      </c>
      <c r="L281" s="16">
        <f>IFERROR(__xludf.DUMMYFUNCTION("""COMPUTED_VALUE"""),0.0)</f>
        <v>0</v>
      </c>
      <c r="M281" s="16">
        <f>IFERROR(__xludf.DUMMYFUNCTION("""COMPUTED_VALUE"""),15.0)</f>
        <v>15</v>
      </c>
      <c r="N281" s="16">
        <f>IFERROR(__xludf.DUMMYFUNCTION("""COMPUTED_VALUE"""),0.0)</f>
        <v>0</v>
      </c>
      <c r="O281" s="16">
        <f>IFERROR(__xludf.DUMMYFUNCTION("""COMPUTED_VALUE"""),-2.0)</f>
        <v>-2</v>
      </c>
      <c r="P281" s="16">
        <f>IFERROR(__xludf.DUMMYFUNCTION("""COMPUTED_VALUE"""),3.0)</f>
        <v>3</v>
      </c>
      <c r="Q281" s="16">
        <f>IFERROR(__xludf.DUMMYFUNCTION("""COMPUTED_VALUE"""),-2.0)</f>
        <v>-2</v>
      </c>
      <c r="R281" s="16">
        <f>IFERROR(__xludf.DUMMYFUNCTION("""COMPUTED_VALUE"""),3.0)</f>
        <v>3</v>
      </c>
      <c r="S281" s="16">
        <f>IFERROR(__xludf.DUMMYFUNCTION("""COMPUTED_VALUE"""),18.6)</f>
        <v>18.6</v>
      </c>
      <c r="T281" s="16">
        <f>IFERROR(__xludf.DUMMYFUNCTION("""COMPUTED_VALUE"""),16.5)</f>
        <v>16.5</v>
      </c>
      <c r="U281" s="16">
        <f>IFERROR(__xludf.DUMMYFUNCTION("""COMPUTED_VALUE"""),-1.0)</f>
        <v>-1</v>
      </c>
      <c r="V281" s="16">
        <f>IFERROR(__xludf.DUMMYFUNCTION("""COMPUTED_VALUE"""),0.0)</f>
        <v>0</v>
      </c>
      <c r="W281" s="16">
        <f>IFERROR(__xludf.DUMMYFUNCTION("""COMPUTED_VALUE"""),-2.0)</f>
        <v>-2</v>
      </c>
      <c r="X281" s="16">
        <f>IFERROR(__xludf.DUMMYFUNCTION("""COMPUTED_VALUE"""),0.0)</f>
        <v>0</v>
      </c>
      <c r="Y281" s="16">
        <f>IFERROR(__xludf.DUMMYFUNCTION("""COMPUTED_VALUE"""),33.6)</f>
        <v>33.6</v>
      </c>
      <c r="Z281" s="16">
        <f>IFERROR(__xludf.DUMMYFUNCTION("""COMPUTED_VALUE"""),16.5)</f>
        <v>16.5</v>
      </c>
      <c r="AA281" s="16">
        <f>IFERROR(__xludf.DUMMYFUNCTION("""COMPUTED_VALUE"""),-1.0)</f>
        <v>-1</v>
      </c>
      <c r="AB281" s="16">
        <f>IFERROR(__xludf.DUMMYFUNCTION("""COMPUTED_VALUE"""),1.0)</f>
        <v>1</v>
      </c>
      <c r="AC281" s="16">
        <f>IFERROR(__xludf.DUMMYFUNCTION("""COMPUTED_VALUE"""),-5.0)</f>
        <v>-5</v>
      </c>
      <c r="AD281" s="16">
        <f>IFERROR(__xludf.DUMMYFUNCTION("""COMPUTED_VALUE"""),5.0)</f>
        <v>5</v>
      </c>
      <c r="AE281" s="16">
        <f>IFERROR(__xludf.DUMMYFUNCTION("""COMPUTED_VALUE"""),23.2)</f>
        <v>23.2</v>
      </c>
      <c r="AF281" s="16">
        <f>IFERROR(__xludf.DUMMYFUNCTION("""COMPUTED_VALUE"""),39.5)</f>
        <v>39.5</v>
      </c>
      <c r="AG281" s="16">
        <f>IFERROR(__xludf.DUMMYFUNCTION("""COMPUTED_VALUE"""),0.0)</f>
        <v>0</v>
      </c>
      <c r="AH281" s="16">
        <f>IFERROR(__xludf.DUMMYFUNCTION("""COMPUTED_VALUE"""),-1.0)</f>
        <v>-1</v>
      </c>
      <c r="AI281" s="16">
        <f>IFERROR(__xludf.DUMMYFUNCTION("""COMPUTED_VALUE"""),0.0)</f>
        <v>0</v>
      </c>
      <c r="AJ281" s="16">
        <f>IFERROR(__xludf.DUMMYFUNCTION("""COMPUTED_VALUE"""),-2.0)</f>
        <v>-2</v>
      </c>
      <c r="AK281" s="16">
        <f>IFERROR(__xludf.DUMMYFUNCTION("""COMPUTED_VALUE"""),18.400000000000002)</f>
        <v>18.4</v>
      </c>
      <c r="AL281" s="16">
        <f>IFERROR(__xludf.DUMMYFUNCTION("""COMPUTED_VALUE"""),11.2)</f>
        <v>11.2</v>
      </c>
      <c r="AM281" s="16">
        <f>IFERROR(__xludf.DUMMYFUNCTION("""COMPUTED_VALUE"""),-1.0)</f>
        <v>-1</v>
      </c>
      <c r="AN281" s="16">
        <f>IFERROR(__xludf.DUMMYFUNCTION("""COMPUTED_VALUE"""),0.0)</f>
        <v>0</v>
      </c>
      <c r="AO281" s="16">
        <f>IFERROR(__xludf.DUMMYFUNCTION("""COMPUTED_VALUE"""),-1.0)</f>
        <v>-1</v>
      </c>
      <c r="AP281" s="16">
        <f>IFERROR(__xludf.DUMMYFUNCTION("""COMPUTED_VALUE"""),0.0)</f>
        <v>0</v>
      </c>
      <c r="AQ281" s="16">
        <f>IFERROR(__xludf.DUMMYFUNCTION("""COMPUTED_VALUE"""),22.4)</f>
        <v>22.4</v>
      </c>
      <c r="AR281" s="16">
        <f>IFERROR(__xludf.DUMMYFUNCTION("""COMPUTED_VALUE"""),18.3)</f>
        <v>18.3</v>
      </c>
      <c r="AS281" s="16">
        <f>IFERROR(__xludf.DUMMYFUNCTION("""COMPUTED_VALUE"""),0.0)</f>
        <v>0</v>
      </c>
      <c r="AT281" s="16">
        <f>IFERROR(__xludf.DUMMYFUNCTION("""COMPUTED_VALUE"""),0.0)</f>
        <v>0</v>
      </c>
      <c r="AU281" s="16">
        <f>IFERROR(__xludf.DUMMYFUNCTION("""COMPUTED_VALUE"""),0.0)</f>
        <v>0</v>
      </c>
      <c r="AV281" s="16">
        <f>IFERROR(__xludf.DUMMYFUNCTION("""COMPUTED_VALUE"""),0.0)</f>
        <v>0</v>
      </c>
      <c r="AW281" s="16">
        <f>IFERROR(__xludf.DUMMYFUNCTION("""COMPUTED_VALUE"""),0.2)</f>
        <v>0.2</v>
      </c>
      <c r="AX281" s="16">
        <f>IFERROR(__xludf.DUMMYFUNCTION("""COMPUTED_VALUE"""),5.3)</f>
        <v>5.3</v>
      </c>
      <c r="AY281" s="16">
        <f>IFERROR(__xludf.DUMMYFUNCTION("""COMPUTED_VALUE"""),2.0)</f>
        <v>2</v>
      </c>
      <c r="AZ281" s="16">
        <f>IFERROR(__xludf.DUMMYFUNCTION("""COMPUTED_VALUE"""),-3.0)</f>
        <v>-3</v>
      </c>
      <c r="BA281" s="16">
        <f>IFERROR(__xludf.DUMMYFUNCTION("""COMPUTED_VALUE"""),10.0)</f>
        <v>10</v>
      </c>
      <c r="BB281" s="16">
        <f>IFERROR(__xludf.DUMMYFUNCTION("""COMPUTED_VALUE"""),-15.0)</f>
        <v>-15</v>
      </c>
      <c r="BC281" s="16">
        <f>IFERROR(__xludf.DUMMYFUNCTION("""COMPUTED_VALUE"""),0.0)</f>
        <v>0</v>
      </c>
      <c r="BD281" s="16">
        <f>IFERROR(__xludf.DUMMYFUNCTION("""COMPUTED_VALUE"""),8.0)</f>
        <v>8</v>
      </c>
      <c r="BE281" s="16">
        <f>IFERROR(__xludf.DUMMYFUNCTION("""COMPUTED_VALUE"""),0.0)</f>
        <v>0</v>
      </c>
      <c r="BF281" s="16">
        <f>IFERROR(__xludf.DUMMYFUNCTION("""COMPUTED_VALUE"""),8.0)</f>
        <v>8</v>
      </c>
      <c r="BG281" s="16">
        <f>IFERROR(__xludf.DUMMYFUNCTION("""COMPUTED_VALUE"""),3.0)</f>
        <v>3</v>
      </c>
      <c r="BH281" s="16">
        <f>IFERROR(__xludf.DUMMYFUNCTION("""COMPUTED_VALUE"""),-3.0)</f>
        <v>-3</v>
      </c>
      <c r="BI281" s="16">
        <f>IFERROR(__xludf.DUMMYFUNCTION("""COMPUTED_VALUE"""),6.0)</f>
        <v>6</v>
      </c>
      <c r="BJ281" s="16">
        <f>IFERROR(__xludf.DUMMYFUNCTION("""COMPUTED_VALUE"""),-6.0)</f>
        <v>-6</v>
      </c>
      <c r="BK281" s="16">
        <f>IFERROR(__xludf.DUMMYFUNCTION("""COMPUTED_VALUE"""),5.0)</f>
        <v>5</v>
      </c>
      <c r="BL281" s="16">
        <f>IFERROR(__xludf.DUMMYFUNCTION("""COMPUTED_VALUE"""),5.0)</f>
        <v>5</v>
      </c>
      <c r="BM281" s="16">
        <f>IFERROR(__xludf.DUMMYFUNCTION("""COMPUTED_VALUE"""),0.0)</f>
        <v>0</v>
      </c>
      <c r="BN281" s="16">
        <f>IFERROR(__xludf.DUMMYFUNCTION("""COMPUTED_VALUE"""),0.0)</f>
        <v>0</v>
      </c>
      <c r="BO281" s="16">
        <f>IFERROR(__xludf.DUMMYFUNCTION("""COMPUTED_VALUE"""),0.0)</f>
        <v>0</v>
      </c>
      <c r="BP281" s="16">
        <f>IFERROR(__xludf.DUMMYFUNCTION("""COMPUTED_VALUE"""),0.0)</f>
        <v>0</v>
      </c>
      <c r="BQ281" s="16">
        <f>IFERROR(__xludf.DUMMYFUNCTION("""COMPUTED_VALUE"""),10.0)</f>
        <v>10</v>
      </c>
      <c r="BR281" s="16">
        <f>IFERROR(__xludf.DUMMYFUNCTION("""COMPUTED_VALUE"""),10.0)</f>
        <v>10</v>
      </c>
      <c r="BS281" s="16">
        <f>IFERROR(__xludf.DUMMYFUNCTION("""COMPUTED_VALUE"""),3.0)</f>
        <v>3</v>
      </c>
      <c r="BT281" s="16">
        <f>IFERROR(__xludf.DUMMYFUNCTION("""COMPUTED_VALUE"""),3.0)</f>
        <v>3</v>
      </c>
      <c r="BU281" s="16">
        <f>IFERROR(__xludf.DUMMYFUNCTION("""COMPUTED_VALUE"""),6.0)</f>
        <v>6</v>
      </c>
      <c r="BV281" s="16">
        <f>IFERROR(__xludf.DUMMYFUNCTION("""COMPUTED_VALUE"""),6.0)</f>
        <v>6</v>
      </c>
      <c r="BW281" s="16">
        <f>IFERROR(__xludf.DUMMYFUNCTION("""COMPUTED_VALUE"""),3.0)</f>
        <v>3</v>
      </c>
      <c r="BX281" s="16">
        <f>IFERROR(__xludf.DUMMYFUNCTION("""COMPUTED_VALUE"""),3.0)</f>
        <v>3</v>
      </c>
      <c r="BY281" s="16" t="str">
        <f>IFERROR(__xludf.DUMMYFUNCTION("""COMPUTED_VALUE"""),"R(2)")</f>
        <v>R(2)</v>
      </c>
      <c r="BZ281" s="16" t="str">
        <f>IFERROR(__xludf.DUMMYFUNCTION("""COMPUTED_VALUE"""),"R(2)")</f>
        <v>R(2)</v>
      </c>
      <c r="CA281" s="16" t="str">
        <f>IFERROR(__xludf.DUMMYFUNCTION("""COMPUTED_VALUE"""),"R(2)")</f>
        <v>R(2)</v>
      </c>
      <c r="CB281" s="16"/>
      <c r="CC281" s="16"/>
      <c r="CD281" s="16"/>
      <c r="CE281" s="16">
        <f>IFERROR(__xludf.DUMMYFUNCTION("""COMPUTED_VALUE"""),2.0)</f>
        <v>2</v>
      </c>
      <c r="CF281" s="16"/>
      <c r="CG281" s="16" t="str">
        <f>IFERROR(__xludf.DUMMYFUNCTION("""COMPUTED_VALUE"""),"3-23")</f>
        <v>3-23</v>
      </c>
      <c r="CH281" s="16">
        <f>IFERROR(__xludf.DUMMYFUNCTION("""COMPUTED_VALUE"""),3.0)</f>
        <v>3</v>
      </c>
      <c r="CI281" s="16">
        <f>IFERROR(__xludf.DUMMYFUNCTION("""COMPUTED_VALUE"""),23.0)</f>
        <v>23</v>
      </c>
      <c r="CJ281" s="16">
        <f>IFERROR(__xludf.DUMMYFUNCTION("""COMPUTED_VALUE"""),5.0)</f>
        <v>5</v>
      </c>
      <c r="CK281" s="16">
        <f>IFERROR(__xludf.DUMMYFUNCTION("""COMPUTED_VALUE"""),0.0)</f>
        <v>0</v>
      </c>
      <c r="CL281" s="16" t="str">
        <f>IFERROR(__xludf.DUMMYFUNCTION("""COMPUTED_VALUE"""),"1WR-C")</f>
        <v>1WR-C</v>
      </c>
      <c r="CM281" s="16" t="str">
        <f>IFERROR(__xludf.DUMMYFUNCTION("""COMPUTED_VALUE"""),"E")</f>
        <v>E</v>
      </c>
      <c r="CN281" s="16">
        <f>IFERROR(__xludf.DUMMYFUNCTION("""COMPUTED_VALUE"""),10.0)</f>
        <v>10</v>
      </c>
      <c r="CO281" s="16" t="str">
        <f>IFERROR(__xludf.DUMMYFUNCTION("""COMPUTED_VALUE"""),"C")</f>
        <v>C</v>
      </c>
      <c r="CP281" s="16" t="str">
        <f>IFERROR(__xludf.DUMMYFUNCTION("""COMPUTED_VALUE"""),"1p40")</f>
        <v>1p40</v>
      </c>
      <c r="CQ281" s="16">
        <f>IFERROR(__xludf.DUMMYFUNCTION("""COMPUTED_VALUE"""),6.0)</f>
        <v>6</v>
      </c>
      <c r="CR281" s="16">
        <f>IFERROR(__xludf.DUMMYFUNCTION("""COMPUTED_VALUE"""),-9.0)</f>
        <v>-9</v>
      </c>
      <c r="CS281" s="16">
        <f>IFERROR(__xludf.DUMMYFUNCTION("""COMPUTED_VALUE"""),-3.0)</f>
        <v>-3</v>
      </c>
      <c r="CT281" s="16">
        <f>IFERROR(__xludf.DUMMYFUNCTION("""COMPUTED_VALUE"""),6.0)</f>
        <v>6</v>
      </c>
      <c r="CU281" s="16">
        <f>IFERROR(__xludf.DUMMYFUNCTION("""COMPUTED_VALUE"""),-9.0)</f>
        <v>-9</v>
      </c>
      <c r="CV281" s="179">
        <f>IFERROR(__xludf.DUMMYFUNCTION("""COMPUTED_VALUE"""),1.0)</f>
        <v>1</v>
      </c>
      <c r="CW281" s="179">
        <f>IFERROR(__xludf.DUMMYFUNCTION("""COMPUTED_VALUE"""),4.0)</f>
        <v>4</v>
      </c>
      <c r="CX281" s="179">
        <f>IFERROR(__xludf.DUMMYFUNCTION("""COMPUTED_VALUE"""),1.0)</f>
        <v>1</v>
      </c>
      <c r="CY281" s="16" t="str">
        <f>IFERROR(__xludf.DUMMYFUNCTION("""COMPUTED_VALUE"""),"RP")</f>
        <v>RP</v>
      </c>
      <c r="CZ281" s="16"/>
      <c r="DA281" s="16"/>
      <c r="DB281" s="16"/>
      <c r="DC281" s="16"/>
      <c r="DD281" s="16"/>
      <c r="DE281" s="16"/>
      <c r="DF281" s="16"/>
      <c r="DG281" s="16"/>
      <c r="DH281" s="16"/>
      <c r="DI281" s="16"/>
      <c r="DJ281" s="16"/>
      <c r="DK281" s="16"/>
    </row>
    <row r="282">
      <c r="A282" s="16">
        <f>IFERROR(__xludf.DUMMYFUNCTION("""COMPUTED_VALUE"""),12549.0)</f>
        <v>12549</v>
      </c>
      <c r="B282" s="16" t="str">
        <f>IFERROR(__xludf.DUMMYFUNCTION("""COMPUTED_VALUE"""),"Angel Chivilli")</f>
        <v>Angel Chivilli</v>
      </c>
      <c r="C282" s="153">
        <f>IFERROR(__xludf.DUMMYFUNCTION("""COMPUTED_VALUE"""),0.18)</f>
        <v>0.18</v>
      </c>
      <c r="D282" s="16"/>
      <c r="E282" s="16" t="str">
        <f>IFERROR(__xludf.DUMMYFUNCTION("""COMPUTED_VALUE"""),"R")</f>
        <v>R</v>
      </c>
      <c r="F282" s="16">
        <f>IFERROR(__xludf.DUMMYFUNCTION("""COMPUTED_VALUE"""),32.0)</f>
        <v>32</v>
      </c>
      <c r="G282" s="16">
        <f>IFERROR(__xludf.DUMMYFUNCTION("""COMPUTED_VALUE"""),15.0)</f>
        <v>15</v>
      </c>
      <c r="H282" s="16">
        <f>IFERROR(__xludf.DUMMYFUNCTION("""COMPUTED_VALUE"""),28.0)</f>
        <v>28</v>
      </c>
      <c r="I282" s="16">
        <f>IFERROR(__xludf.DUMMYFUNCTION("""COMPUTED_VALUE"""),-2.0)</f>
        <v>-2</v>
      </c>
      <c r="J282" s="16">
        <f>IFERROR(__xludf.DUMMYFUNCTION("""COMPUTED_VALUE"""),0.0)</f>
        <v>0</v>
      </c>
      <c r="K282" s="16">
        <f>IFERROR(__xludf.DUMMYFUNCTION("""COMPUTED_VALUE"""),-6.0)</f>
        <v>-6</v>
      </c>
      <c r="L282" s="16">
        <f>IFERROR(__xludf.DUMMYFUNCTION("""COMPUTED_VALUE"""),0.0)</f>
        <v>0</v>
      </c>
      <c r="M282" s="16">
        <f>IFERROR(__xludf.DUMMYFUNCTION("""COMPUTED_VALUE"""),12.0)</f>
        <v>12</v>
      </c>
      <c r="N282" s="16">
        <f>IFERROR(__xludf.DUMMYFUNCTION("""COMPUTED_VALUE"""),2.0)</f>
        <v>2</v>
      </c>
      <c r="O282" s="16">
        <f>IFERROR(__xludf.DUMMYFUNCTION("""COMPUTED_VALUE"""),-1.0)</f>
        <v>-1</v>
      </c>
      <c r="P282" s="16">
        <f>IFERROR(__xludf.DUMMYFUNCTION("""COMPUTED_VALUE"""),3.0)</f>
        <v>3</v>
      </c>
      <c r="Q282" s="16">
        <f>IFERROR(__xludf.DUMMYFUNCTION("""COMPUTED_VALUE"""),-1.0)</f>
        <v>-1</v>
      </c>
      <c r="R282" s="16">
        <f>IFERROR(__xludf.DUMMYFUNCTION("""COMPUTED_VALUE"""),3.0)</f>
        <v>3</v>
      </c>
      <c r="S282" s="16">
        <f>IFERROR(__xludf.DUMMYFUNCTION("""COMPUTED_VALUE"""),15.9)</f>
        <v>15.9</v>
      </c>
      <c r="T282" s="16">
        <f>IFERROR(__xludf.DUMMYFUNCTION("""COMPUTED_VALUE"""),16.9)</f>
        <v>16.9</v>
      </c>
      <c r="U282" s="16">
        <f>IFERROR(__xludf.DUMMYFUNCTION("""COMPUTED_VALUE"""),0.0)</f>
        <v>0</v>
      </c>
      <c r="V282" s="16">
        <f>IFERROR(__xludf.DUMMYFUNCTION("""COMPUTED_VALUE"""),0.0)</f>
        <v>0</v>
      </c>
      <c r="W282" s="16">
        <f>IFERROR(__xludf.DUMMYFUNCTION("""COMPUTED_VALUE"""),0.0)</f>
        <v>0</v>
      </c>
      <c r="X282" s="16">
        <f>IFERROR(__xludf.DUMMYFUNCTION("""COMPUTED_VALUE"""),0.0)</f>
        <v>0</v>
      </c>
      <c r="Y282" s="16">
        <f>IFERROR(__xludf.DUMMYFUNCTION("""COMPUTED_VALUE"""),27.9)</f>
        <v>27.9</v>
      </c>
      <c r="Z282" s="16">
        <f>IFERROR(__xludf.DUMMYFUNCTION("""COMPUTED_VALUE"""),18.9)</f>
        <v>18.9</v>
      </c>
      <c r="AA282" s="16">
        <f>IFERROR(__xludf.DUMMYFUNCTION("""COMPUTED_VALUE"""),0.0)</f>
        <v>0</v>
      </c>
      <c r="AB282" s="16">
        <f>IFERROR(__xludf.DUMMYFUNCTION("""COMPUTED_VALUE"""),1.0)</f>
        <v>1</v>
      </c>
      <c r="AC282" s="16">
        <f>IFERROR(__xludf.DUMMYFUNCTION("""COMPUTED_VALUE"""),0.0)</f>
        <v>0</v>
      </c>
      <c r="AD282" s="16">
        <f>IFERROR(__xludf.DUMMYFUNCTION("""COMPUTED_VALUE"""),5.0)</f>
        <v>5</v>
      </c>
      <c r="AE282" s="16">
        <f>IFERROR(__xludf.DUMMYFUNCTION("""COMPUTED_VALUE"""),33.3)</f>
        <v>33.3</v>
      </c>
      <c r="AF282" s="16">
        <f>IFERROR(__xludf.DUMMYFUNCTION("""COMPUTED_VALUE"""),43.1)</f>
        <v>43.1</v>
      </c>
      <c r="AG282" s="16">
        <f>IFERROR(__xludf.DUMMYFUNCTION("""COMPUTED_VALUE"""),-1.0)</f>
        <v>-1</v>
      </c>
      <c r="AH282" s="16">
        <f>IFERROR(__xludf.DUMMYFUNCTION("""COMPUTED_VALUE"""),-2.0)</f>
        <v>-2</v>
      </c>
      <c r="AI282" s="16">
        <f>IFERROR(__xludf.DUMMYFUNCTION("""COMPUTED_VALUE"""),-2.0)</f>
        <v>-2</v>
      </c>
      <c r="AJ282" s="16">
        <f>IFERROR(__xludf.DUMMYFUNCTION("""COMPUTED_VALUE"""),-4.0)</f>
        <v>-4</v>
      </c>
      <c r="AK282" s="16">
        <f>IFERROR(__xludf.DUMMYFUNCTION("""COMPUTED_VALUE"""),13.9)</f>
        <v>13.9</v>
      </c>
      <c r="AL282" s="16">
        <f>IFERROR(__xludf.DUMMYFUNCTION("""COMPUTED_VALUE"""),8.099999999999998)</f>
        <v>8.1</v>
      </c>
      <c r="AM282" s="16">
        <f>IFERROR(__xludf.DUMMYFUNCTION("""COMPUTED_VALUE"""),0.0)</f>
        <v>0</v>
      </c>
      <c r="AN282" s="16">
        <f>IFERROR(__xludf.DUMMYFUNCTION("""COMPUTED_VALUE"""),1.0)</f>
        <v>1</v>
      </c>
      <c r="AO282" s="16">
        <f>IFERROR(__xludf.DUMMYFUNCTION("""COMPUTED_VALUE"""),0.0)</f>
        <v>0</v>
      </c>
      <c r="AP282" s="16">
        <f>IFERROR(__xludf.DUMMYFUNCTION("""COMPUTED_VALUE"""),1.0)</f>
        <v>1</v>
      </c>
      <c r="AQ282" s="16">
        <f>IFERROR(__xludf.DUMMYFUNCTION("""COMPUTED_VALUE"""),25.299999999999997)</f>
        <v>25.3</v>
      </c>
      <c r="AR282" s="16">
        <f>IFERROR(__xludf.DUMMYFUNCTION("""COMPUTED_VALUE"""),7.899999999999999)</f>
        <v>7.9</v>
      </c>
      <c r="AS282" s="16">
        <f>IFERROR(__xludf.DUMMYFUNCTION("""COMPUTED_VALUE"""),-1.0)</f>
        <v>-1</v>
      </c>
      <c r="AT282" s="16">
        <f>IFERROR(__xludf.DUMMYFUNCTION("""COMPUTED_VALUE"""),2.0)</f>
        <v>2</v>
      </c>
      <c r="AU282" s="16">
        <f>IFERROR(__xludf.DUMMYFUNCTION("""COMPUTED_VALUE"""),-2.0)</f>
        <v>-2</v>
      </c>
      <c r="AV282" s="16">
        <f>IFERROR(__xludf.DUMMYFUNCTION("""COMPUTED_VALUE"""),4.0)</f>
        <v>4</v>
      </c>
      <c r="AW282" s="16">
        <f>IFERROR(__xludf.DUMMYFUNCTION("""COMPUTED_VALUE"""),2.0)</f>
        <v>2</v>
      </c>
      <c r="AX282" s="16">
        <f>IFERROR(__xludf.DUMMYFUNCTION("""COMPUTED_VALUE"""),8.8)</f>
        <v>8.8</v>
      </c>
      <c r="AY282" s="16">
        <f>IFERROR(__xludf.DUMMYFUNCTION("""COMPUTED_VALUE"""),0.0)</f>
        <v>0</v>
      </c>
      <c r="AZ282" s="16">
        <f>IFERROR(__xludf.DUMMYFUNCTION("""COMPUTED_VALUE"""),-3.0)</f>
        <v>-3</v>
      </c>
      <c r="BA282" s="16">
        <f>IFERROR(__xludf.DUMMYFUNCTION("""COMPUTED_VALUE"""),0.0)</f>
        <v>0</v>
      </c>
      <c r="BB282" s="16">
        <f>IFERROR(__xludf.DUMMYFUNCTION("""COMPUTED_VALUE"""),-15.0)</f>
        <v>-15</v>
      </c>
      <c r="BC282" s="16">
        <f>IFERROR(__xludf.DUMMYFUNCTION("""COMPUTED_VALUE"""),2.0)</f>
        <v>2</v>
      </c>
      <c r="BD282" s="16">
        <f>IFERROR(__xludf.DUMMYFUNCTION("""COMPUTED_VALUE"""),8.0)</f>
        <v>8</v>
      </c>
      <c r="BE282" s="16">
        <f>IFERROR(__xludf.DUMMYFUNCTION("""COMPUTED_VALUE"""),2.0)</f>
        <v>2</v>
      </c>
      <c r="BF282" s="16">
        <f>IFERROR(__xludf.DUMMYFUNCTION("""COMPUTED_VALUE"""),8.0)</f>
        <v>8</v>
      </c>
      <c r="BG282" s="16">
        <f>IFERROR(__xludf.DUMMYFUNCTION("""COMPUTED_VALUE"""),1.0)</f>
        <v>1</v>
      </c>
      <c r="BH282" s="16">
        <f>IFERROR(__xludf.DUMMYFUNCTION("""COMPUTED_VALUE"""),-3.0)</f>
        <v>-3</v>
      </c>
      <c r="BI282" s="16">
        <f>IFERROR(__xludf.DUMMYFUNCTION("""COMPUTED_VALUE"""),2.0)</f>
        <v>2</v>
      </c>
      <c r="BJ282" s="16">
        <f>IFERROR(__xludf.DUMMYFUNCTION("""COMPUTED_VALUE"""),-6.0)</f>
        <v>-6</v>
      </c>
      <c r="BK282" s="16">
        <f>IFERROR(__xludf.DUMMYFUNCTION("""COMPUTED_VALUE"""),5.0)</f>
        <v>5</v>
      </c>
      <c r="BL282" s="16">
        <f>IFERROR(__xludf.DUMMYFUNCTION("""COMPUTED_VALUE"""),5.0)</f>
        <v>5</v>
      </c>
      <c r="BM282" s="16">
        <f>IFERROR(__xludf.DUMMYFUNCTION("""COMPUTED_VALUE"""),0.0)</f>
        <v>0</v>
      </c>
      <c r="BN282" s="16">
        <f>IFERROR(__xludf.DUMMYFUNCTION("""COMPUTED_VALUE"""),0.0)</f>
        <v>0</v>
      </c>
      <c r="BO282" s="16">
        <f>IFERROR(__xludf.DUMMYFUNCTION("""COMPUTED_VALUE"""),0.0)</f>
        <v>0</v>
      </c>
      <c r="BP282" s="16">
        <f>IFERROR(__xludf.DUMMYFUNCTION("""COMPUTED_VALUE"""),0.0)</f>
        <v>0</v>
      </c>
      <c r="BQ282" s="16">
        <f>IFERROR(__xludf.DUMMYFUNCTION("""COMPUTED_VALUE"""),13.0)</f>
        <v>13</v>
      </c>
      <c r="BR282" s="16">
        <f>IFERROR(__xludf.DUMMYFUNCTION("""COMPUTED_VALUE"""),13.0)</f>
        <v>13</v>
      </c>
      <c r="BS282" s="16">
        <f>IFERROR(__xludf.DUMMYFUNCTION("""COMPUTED_VALUE"""),3.0)</f>
        <v>3</v>
      </c>
      <c r="BT282" s="16">
        <f>IFERROR(__xludf.DUMMYFUNCTION("""COMPUTED_VALUE"""),3.0)</f>
        <v>3</v>
      </c>
      <c r="BU282" s="16">
        <f>IFERROR(__xludf.DUMMYFUNCTION("""COMPUTED_VALUE"""),6.0)</f>
        <v>6</v>
      </c>
      <c r="BV282" s="16">
        <f>IFERROR(__xludf.DUMMYFUNCTION("""COMPUTED_VALUE"""),6.0)</f>
        <v>6</v>
      </c>
      <c r="BW282" s="16">
        <f>IFERROR(__xludf.DUMMYFUNCTION("""COMPUTED_VALUE"""),-2.0)</f>
        <v>-2</v>
      </c>
      <c r="BX282" s="16">
        <f>IFERROR(__xludf.DUMMYFUNCTION("""COMPUTED_VALUE"""),-2.0)</f>
        <v>-2</v>
      </c>
      <c r="BY282" s="16" t="str">
        <f>IFERROR(__xludf.DUMMYFUNCTION("""COMPUTED_VALUE"""),"R(1) C(0)")</f>
        <v>R(1) C(0)</v>
      </c>
      <c r="BZ282" s="16" t="str">
        <f>IFERROR(__xludf.DUMMYFUNCTION("""COMPUTED_VALUE"""),"R(1) C(0)")</f>
        <v>R(1) C(0)</v>
      </c>
      <c r="CA282" s="16" t="str">
        <f>IFERROR(__xludf.DUMMYFUNCTION("""COMPUTED_VALUE"""),"R(1)")</f>
        <v>R(1)</v>
      </c>
      <c r="CB282" s="16" t="str">
        <f>IFERROR(__xludf.DUMMYFUNCTION("""COMPUTED_VALUE"""),"C(0)")</f>
        <v>C(0)</v>
      </c>
      <c r="CC282" s="16"/>
      <c r="CD282" s="16"/>
      <c r="CE282" s="16">
        <f>IFERROR(__xludf.DUMMYFUNCTION("""COMPUTED_VALUE"""),1.0)</f>
        <v>1</v>
      </c>
      <c r="CF282" s="16">
        <f>IFERROR(__xludf.DUMMYFUNCTION("""COMPUTED_VALUE"""),0.0)</f>
        <v>0</v>
      </c>
      <c r="CG282" s="16" t="str">
        <f>IFERROR(__xludf.DUMMYFUNCTION("""COMPUTED_VALUE"""),"3-0")</f>
        <v>3-0</v>
      </c>
      <c r="CH282" s="16">
        <f>IFERROR(__xludf.DUMMYFUNCTION("""COMPUTED_VALUE"""),3.0)</f>
        <v>3</v>
      </c>
      <c r="CI282" s="16">
        <f>IFERROR(__xludf.DUMMYFUNCTION("""COMPUTED_VALUE"""),0.0)</f>
        <v>0</v>
      </c>
      <c r="CJ282" s="16">
        <f>IFERROR(__xludf.DUMMYFUNCTION("""COMPUTED_VALUE"""),0.0)</f>
        <v>0</v>
      </c>
      <c r="CK282" s="16">
        <f>IFERROR(__xludf.DUMMYFUNCTION("""COMPUTED_VALUE"""),0.0)</f>
        <v>0</v>
      </c>
      <c r="CL282" s="16" t="str">
        <f>IFERROR(__xludf.DUMMYFUNCTION("""COMPUTED_VALUE"""),"1WR-C")</f>
        <v>1WR-C</v>
      </c>
      <c r="CM282" s="16" t="str">
        <f>IFERROR(__xludf.DUMMYFUNCTION("""COMPUTED_VALUE"""),"E")</f>
        <v>E</v>
      </c>
      <c r="CN282" s="16">
        <f>IFERROR(__xludf.DUMMYFUNCTION("""COMPUTED_VALUE"""),10.0)</f>
        <v>10</v>
      </c>
      <c r="CO282" s="16" t="str">
        <f>IFERROR(__xludf.DUMMYFUNCTION("""COMPUTED_VALUE"""),"C")</f>
        <v>C</v>
      </c>
      <c r="CP282" s="16" t="str">
        <f>IFERROR(__xludf.DUMMYFUNCTION("""COMPUTED_VALUE"""),"1p30")</f>
        <v>1p30</v>
      </c>
      <c r="CQ282" s="16">
        <f>IFERROR(__xludf.DUMMYFUNCTION("""COMPUTED_VALUE"""),-3.0)</f>
        <v>-3</v>
      </c>
      <c r="CR282" s="16">
        <f>IFERROR(__xludf.DUMMYFUNCTION("""COMPUTED_VALUE"""),-6.0)</f>
        <v>-6</v>
      </c>
      <c r="CS282" s="16">
        <f>IFERROR(__xludf.DUMMYFUNCTION("""COMPUTED_VALUE"""),-9.0)</f>
        <v>-9</v>
      </c>
      <c r="CT282" s="16">
        <f>IFERROR(__xludf.DUMMYFUNCTION("""COMPUTED_VALUE"""),-3.0)</f>
        <v>-3</v>
      </c>
      <c r="CU282" s="16">
        <f>IFERROR(__xludf.DUMMYFUNCTION("""COMPUTED_VALUE"""),-6.0)</f>
        <v>-6</v>
      </c>
      <c r="CV282" s="179">
        <f>IFERROR(__xludf.DUMMYFUNCTION("""COMPUTED_VALUE"""),1.0)</f>
        <v>1</v>
      </c>
      <c r="CW282" s="179">
        <f>IFERROR(__xludf.DUMMYFUNCTION("""COMPUTED_VALUE"""),4.0)</f>
        <v>4</v>
      </c>
      <c r="CX282" s="179">
        <f>IFERROR(__xludf.DUMMYFUNCTION("""COMPUTED_VALUE"""),2.0)</f>
        <v>2</v>
      </c>
      <c r="CY282" s="16" t="str">
        <f>IFERROR(__xludf.DUMMYFUNCTION("""COMPUTED_VALUE"""),"RP")</f>
        <v>RP</v>
      </c>
      <c r="CZ282" s="16" t="str">
        <f>IFERROR(__xludf.DUMMYFUNCTION("""COMPUTED_VALUE"""),"CP")</f>
        <v>CP</v>
      </c>
      <c r="DA282" s="16"/>
      <c r="DB282" s="16"/>
      <c r="DC282" s="16"/>
      <c r="DD282" s="16"/>
      <c r="DE282" s="16"/>
      <c r="DF282" s="16"/>
      <c r="DG282" s="16"/>
      <c r="DH282" s="16"/>
      <c r="DI282" s="16"/>
      <c r="DJ282" s="16"/>
      <c r="DK282" s="16"/>
    </row>
    <row r="283">
      <c r="A283" s="16">
        <f>IFERROR(__xludf.DUMMYFUNCTION("""COMPUTED_VALUE"""),13321.0)</f>
        <v>13321</v>
      </c>
      <c r="B283" s="16" t="str">
        <f>IFERROR(__xludf.DUMMYFUNCTION("""COMPUTED_VALUE"""),"Ron Marinaccio")</f>
        <v>Ron Marinaccio</v>
      </c>
      <c r="C283" s="153">
        <f>IFERROR(__xludf.DUMMYFUNCTION("""COMPUTED_VALUE"""),0.37)</f>
        <v>0.37</v>
      </c>
      <c r="D283" s="16"/>
      <c r="E283" s="16" t="str">
        <f>IFERROR(__xludf.DUMMYFUNCTION("""COMPUTED_VALUE"""),"R")</f>
        <v>R</v>
      </c>
      <c r="F283" s="16">
        <f>IFERROR(__xludf.DUMMYFUNCTION("""COMPUTED_VALUE"""),23.0)</f>
        <v>23</v>
      </c>
      <c r="G283" s="16">
        <f>IFERROR(__xludf.DUMMYFUNCTION("""COMPUTED_VALUE"""),37.0)</f>
        <v>37</v>
      </c>
      <c r="H283" s="16">
        <f>IFERROR(__xludf.DUMMYFUNCTION("""COMPUTED_VALUE"""),27.0)</f>
        <v>27</v>
      </c>
      <c r="I283" s="16">
        <f>IFERROR(__xludf.DUMMYFUNCTION("""COMPUTED_VALUE"""),1.0)</f>
        <v>1</v>
      </c>
      <c r="J283" s="16">
        <f>IFERROR(__xludf.DUMMYFUNCTION("""COMPUTED_VALUE"""),0.0)</f>
        <v>0</v>
      </c>
      <c r="K283" s="16">
        <f>IFERROR(__xludf.DUMMYFUNCTION("""COMPUTED_VALUE"""),3.0)</f>
        <v>3</v>
      </c>
      <c r="L283" s="16">
        <f>IFERROR(__xludf.DUMMYFUNCTION("""COMPUTED_VALUE"""),0.0)</f>
        <v>0</v>
      </c>
      <c r="M283" s="16">
        <f>IFERROR(__xludf.DUMMYFUNCTION("""COMPUTED_VALUE"""),11.0)</f>
        <v>11</v>
      </c>
      <c r="N283" s="16">
        <f>IFERROR(__xludf.DUMMYFUNCTION("""COMPUTED_VALUE"""),19.0)</f>
        <v>19</v>
      </c>
      <c r="O283" s="16">
        <f>IFERROR(__xludf.DUMMYFUNCTION("""COMPUTED_VALUE"""),-1.0)</f>
        <v>-1</v>
      </c>
      <c r="P283" s="16">
        <f>IFERROR(__xludf.DUMMYFUNCTION("""COMPUTED_VALUE"""),-3.0)</f>
        <v>-3</v>
      </c>
      <c r="Q283" s="16">
        <f>IFERROR(__xludf.DUMMYFUNCTION("""COMPUTED_VALUE"""),-1.0)</f>
        <v>-1</v>
      </c>
      <c r="R283" s="16">
        <f>IFERROR(__xludf.DUMMYFUNCTION("""COMPUTED_VALUE"""),-3.0)</f>
        <v>-3</v>
      </c>
      <c r="S283" s="16">
        <f>IFERROR(__xludf.DUMMYFUNCTION("""COMPUTED_VALUE"""),7.1)</f>
        <v>7.1</v>
      </c>
      <c r="T283" s="16">
        <f>IFERROR(__xludf.DUMMYFUNCTION("""COMPUTED_VALUE"""),11.7)</f>
        <v>11.7</v>
      </c>
      <c r="U283" s="16">
        <f>IFERROR(__xludf.DUMMYFUNCTION("""COMPUTED_VALUE"""),1.0)</f>
        <v>1</v>
      </c>
      <c r="V283" s="16">
        <f>IFERROR(__xludf.DUMMYFUNCTION("""COMPUTED_VALUE"""),1.0)</f>
        <v>1</v>
      </c>
      <c r="W283" s="16">
        <f>IFERROR(__xludf.DUMMYFUNCTION("""COMPUTED_VALUE"""),2.0)</f>
        <v>2</v>
      </c>
      <c r="X283" s="16">
        <f>IFERROR(__xludf.DUMMYFUNCTION("""COMPUTED_VALUE"""),2.0)</f>
        <v>2</v>
      </c>
      <c r="Y283" s="16">
        <f>IFERROR(__xludf.DUMMYFUNCTION("""COMPUTED_VALUE"""),18.2)</f>
        <v>18.2</v>
      </c>
      <c r="Z283" s="16">
        <f>IFERROR(__xludf.DUMMYFUNCTION("""COMPUTED_VALUE"""),30.6)</f>
        <v>30.6</v>
      </c>
      <c r="AA283" s="16">
        <f>IFERROR(__xludf.DUMMYFUNCTION("""COMPUTED_VALUE"""),1.0)</f>
        <v>1</v>
      </c>
      <c r="AB283" s="16">
        <f>IFERROR(__xludf.DUMMYFUNCTION("""COMPUTED_VALUE"""),-1.0)</f>
        <v>-1</v>
      </c>
      <c r="AC283" s="16">
        <f>IFERROR(__xludf.DUMMYFUNCTION("""COMPUTED_VALUE"""),5.0)</f>
        <v>5</v>
      </c>
      <c r="AD283" s="16">
        <f>IFERROR(__xludf.DUMMYFUNCTION("""COMPUTED_VALUE"""),-5.0)</f>
        <v>-5</v>
      </c>
      <c r="AE283" s="16">
        <f>IFERROR(__xludf.DUMMYFUNCTION("""COMPUTED_VALUE"""),19.0)</f>
        <v>19</v>
      </c>
      <c r="AF283" s="16">
        <f>IFERROR(__xludf.DUMMYFUNCTION("""COMPUTED_VALUE"""),30.1)</f>
        <v>30.1</v>
      </c>
      <c r="AG283" s="16">
        <f>IFERROR(__xludf.DUMMYFUNCTION("""COMPUTED_VALUE"""),1.0)</f>
        <v>1</v>
      </c>
      <c r="AH283" s="16">
        <f>IFERROR(__xludf.DUMMYFUNCTION("""COMPUTED_VALUE"""),0.0)</f>
        <v>0</v>
      </c>
      <c r="AI283" s="16">
        <f>IFERROR(__xludf.DUMMYFUNCTION("""COMPUTED_VALUE"""),2.0)</f>
        <v>2</v>
      </c>
      <c r="AJ283" s="16">
        <f>IFERROR(__xludf.DUMMYFUNCTION("""COMPUTED_VALUE"""),0.0)</f>
        <v>0</v>
      </c>
      <c r="AK283" s="16">
        <f>IFERROR(__xludf.DUMMYFUNCTION("""COMPUTED_VALUE"""),4.3)</f>
        <v>4.3</v>
      </c>
      <c r="AL283" s="16">
        <f>IFERROR(__xludf.DUMMYFUNCTION("""COMPUTED_VALUE"""),7.6)</f>
        <v>7.6</v>
      </c>
      <c r="AM283" s="16">
        <f>IFERROR(__xludf.DUMMYFUNCTION("""COMPUTED_VALUE"""),2.0)</f>
        <v>2</v>
      </c>
      <c r="AN283" s="16">
        <f>IFERROR(__xludf.DUMMYFUNCTION("""COMPUTED_VALUE"""),1.0)</f>
        <v>1</v>
      </c>
      <c r="AO283" s="16">
        <f>IFERROR(__xludf.DUMMYFUNCTION("""COMPUTED_VALUE"""),2.0)</f>
        <v>2</v>
      </c>
      <c r="AP283" s="16">
        <f>IFERROR(__xludf.DUMMYFUNCTION("""COMPUTED_VALUE"""),1.0)</f>
        <v>1</v>
      </c>
      <c r="AQ283" s="16">
        <f>IFERROR(__xludf.DUMMYFUNCTION("""COMPUTED_VALUE"""),7.800000000000001)</f>
        <v>7.8</v>
      </c>
      <c r="AR283" s="16">
        <f>IFERROR(__xludf.DUMMYFUNCTION("""COMPUTED_VALUE"""),13.700000000000003)</f>
        <v>13.7</v>
      </c>
      <c r="AS283" s="16">
        <f>IFERROR(__xludf.DUMMYFUNCTION("""COMPUTED_VALUE"""),1.0)</f>
        <v>1</v>
      </c>
      <c r="AT283" s="16">
        <f>IFERROR(__xludf.DUMMYFUNCTION("""COMPUTED_VALUE"""),1.0)</f>
        <v>1</v>
      </c>
      <c r="AU283" s="16">
        <f>IFERROR(__xludf.DUMMYFUNCTION("""COMPUTED_VALUE"""),2.0)</f>
        <v>2</v>
      </c>
      <c r="AV283" s="16">
        <f>IFERROR(__xludf.DUMMYFUNCTION("""COMPUTED_VALUE"""),2.0)</f>
        <v>2</v>
      </c>
      <c r="AW283" s="16">
        <f>IFERROR(__xludf.DUMMYFUNCTION("""COMPUTED_VALUE"""),2.8)</f>
        <v>2.8</v>
      </c>
      <c r="AX283" s="16">
        <f>IFERROR(__xludf.DUMMYFUNCTION("""COMPUTED_VALUE"""),4.1)</f>
        <v>4.1</v>
      </c>
      <c r="AY283" s="16">
        <f>IFERROR(__xludf.DUMMYFUNCTION("""COMPUTED_VALUE"""),-1.0)</f>
        <v>-1</v>
      </c>
      <c r="AZ283" s="16">
        <f>IFERROR(__xludf.DUMMYFUNCTION("""COMPUTED_VALUE"""),-2.0)</f>
        <v>-2</v>
      </c>
      <c r="BA283" s="16">
        <f>IFERROR(__xludf.DUMMYFUNCTION("""COMPUTED_VALUE"""),-5.0)</f>
        <v>-5</v>
      </c>
      <c r="BB283" s="16">
        <f>IFERROR(__xludf.DUMMYFUNCTION("""COMPUTED_VALUE"""),-10.0)</f>
        <v>-10</v>
      </c>
      <c r="BC283" s="16">
        <f>IFERROR(__xludf.DUMMYFUNCTION("""COMPUTED_VALUE"""),3.0)</f>
        <v>3</v>
      </c>
      <c r="BD283" s="16">
        <f>IFERROR(__xludf.DUMMYFUNCTION("""COMPUTED_VALUE"""),7.0)</f>
        <v>7</v>
      </c>
      <c r="BE283" s="16">
        <f>IFERROR(__xludf.DUMMYFUNCTION("""COMPUTED_VALUE"""),3.0)</f>
        <v>3</v>
      </c>
      <c r="BF283" s="16">
        <f>IFERROR(__xludf.DUMMYFUNCTION("""COMPUTED_VALUE"""),7.0)</f>
        <v>7</v>
      </c>
      <c r="BG283" s="16">
        <f>IFERROR(__xludf.DUMMYFUNCTION("""COMPUTED_VALUE"""),0.0)</f>
        <v>0</v>
      </c>
      <c r="BH283" s="16">
        <f>IFERROR(__xludf.DUMMYFUNCTION("""COMPUTED_VALUE"""),-3.0)</f>
        <v>-3</v>
      </c>
      <c r="BI283" s="16">
        <f>IFERROR(__xludf.DUMMYFUNCTION("""COMPUTED_VALUE"""),0.0)</f>
        <v>0</v>
      </c>
      <c r="BJ283" s="16">
        <f>IFERROR(__xludf.DUMMYFUNCTION("""COMPUTED_VALUE"""),-6.0)</f>
        <v>-6</v>
      </c>
      <c r="BK283" s="16">
        <f>IFERROR(__xludf.DUMMYFUNCTION("""COMPUTED_VALUE"""),5.0)</f>
        <v>5</v>
      </c>
      <c r="BL283" s="16">
        <f>IFERROR(__xludf.DUMMYFUNCTION("""COMPUTED_VALUE"""),5.0)</f>
        <v>5</v>
      </c>
      <c r="BM283" s="16">
        <f>IFERROR(__xludf.DUMMYFUNCTION("""COMPUTED_VALUE"""),0.0)</f>
        <v>0</v>
      </c>
      <c r="BN283" s="16">
        <f>IFERROR(__xludf.DUMMYFUNCTION("""COMPUTED_VALUE"""),0.0)</f>
        <v>0</v>
      </c>
      <c r="BO283" s="16">
        <f>IFERROR(__xludf.DUMMYFUNCTION("""COMPUTED_VALUE"""),0.0)</f>
        <v>0</v>
      </c>
      <c r="BP283" s="16">
        <f>IFERROR(__xludf.DUMMYFUNCTION("""COMPUTED_VALUE"""),0.0)</f>
        <v>0</v>
      </c>
      <c r="BQ283" s="16">
        <f>IFERROR(__xludf.DUMMYFUNCTION("""COMPUTED_VALUE"""),11.0)</f>
        <v>11</v>
      </c>
      <c r="BR283" s="16">
        <f>IFERROR(__xludf.DUMMYFUNCTION("""COMPUTED_VALUE"""),6.0)</f>
        <v>6</v>
      </c>
      <c r="BS283" s="16">
        <f>IFERROR(__xludf.DUMMYFUNCTION("""COMPUTED_VALUE"""),3.0)</f>
        <v>3</v>
      </c>
      <c r="BT283" s="16">
        <f>IFERROR(__xludf.DUMMYFUNCTION("""COMPUTED_VALUE"""),1.0)</f>
        <v>1</v>
      </c>
      <c r="BU283" s="16">
        <f>IFERROR(__xludf.DUMMYFUNCTION("""COMPUTED_VALUE"""),6.0)</f>
        <v>6</v>
      </c>
      <c r="BV283" s="16">
        <f>IFERROR(__xludf.DUMMYFUNCTION("""COMPUTED_VALUE"""),2.0)</f>
        <v>2</v>
      </c>
      <c r="BW283" s="16">
        <f>IFERROR(__xludf.DUMMYFUNCTION("""COMPUTED_VALUE"""),9.0)</f>
        <v>9</v>
      </c>
      <c r="BX283" s="16">
        <f>IFERROR(__xludf.DUMMYFUNCTION("""COMPUTED_VALUE"""),9.0)</f>
        <v>9</v>
      </c>
      <c r="BY283" s="16" t="str">
        <f>IFERROR(__xludf.DUMMYFUNCTION("""COMPUTED_VALUE"""),"R(2)")</f>
        <v>R(2)</v>
      </c>
      <c r="BZ283" s="16" t="str">
        <f>IFERROR(__xludf.DUMMYFUNCTION("""COMPUTED_VALUE"""),"R(2)")</f>
        <v>R(2)</v>
      </c>
      <c r="CA283" s="16" t="str">
        <f>IFERROR(__xludf.DUMMYFUNCTION("""COMPUTED_VALUE"""),"R(2)")</f>
        <v>R(2)</v>
      </c>
      <c r="CB283" s="16"/>
      <c r="CC283" s="16"/>
      <c r="CD283" s="16"/>
      <c r="CE283" s="16">
        <f>IFERROR(__xludf.DUMMYFUNCTION("""COMPUTED_VALUE"""),2.0)</f>
        <v>2</v>
      </c>
      <c r="CF283" s="16"/>
      <c r="CG283" s="16" t="str">
        <f>IFERROR(__xludf.DUMMYFUNCTION("""COMPUTED_VALUE"""),"4-51")</f>
        <v>4-51</v>
      </c>
      <c r="CH283" s="16">
        <f>IFERROR(__xludf.DUMMYFUNCTION("""COMPUTED_VALUE"""),4.0)</f>
        <v>4</v>
      </c>
      <c r="CI283" s="16">
        <f>IFERROR(__xludf.DUMMYFUNCTION("""COMPUTED_VALUE"""),51.0)</f>
        <v>51</v>
      </c>
      <c r="CJ283" s="16">
        <f>IFERROR(__xludf.DUMMYFUNCTION("""COMPUTED_VALUE"""),13.0)</f>
        <v>13</v>
      </c>
      <c r="CK283" s="16">
        <f>IFERROR(__xludf.DUMMYFUNCTION("""COMPUTED_VALUE"""),0.0)</f>
        <v>0</v>
      </c>
      <c r="CL283" s="16" t="str">
        <f>IFERROR(__xludf.DUMMYFUNCTION("""COMPUTED_VALUE"""),"1WR-C")</f>
        <v>1WR-C</v>
      </c>
      <c r="CM283" s="16" t="str">
        <f>IFERROR(__xludf.DUMMYFUNCTION("""COMPUTED_VALUE"""),"E")</f>
        <v>E</v>
      </c>
      <c r="CN283" s="16">
        <f>IFERROR(__xludf.DUMMYFUNCTION("""COMPUTED_VALUE"""),10.0)</f>
        <v>10</v>
      </c>
      <c r="CO283" s="16" t="str">
        <f>IFERROR(__xludf.DUMMYFUNCTION("""COMPUTED_VALUE"""),"C")</f>
        <v>C</v>
      </c>
      <c r="CP283" s="16" t="str">
        <f>IFERROR(__xludf.DUMMYFUNCTION("""COMPUTED_VALUE"""),"1p20")</f>
        <v>1p20</v>
      </c>
      <c r="CQ283" s="16">
        <f>IFERROR(__xludf.DUMMYFUNCTION("""COMPUTED_VALUE"""),16.0)</f>
        <v>16</v>
      </c>
      <c r="CR283" s="16">
        <f>IFERROR(__xludf.DUMMYFUNCTION("""COMPUTED_VALUE"""),-17.0)</f>
        <v>-17</v>
      </c>
      <c r="CS283" s="16">
        <f>IFERROR(__xludf.DUMMYFUNCTION("""COMPUTED_VALUE"""),-1.0)</f>
        <v>-1</v>
      </c>
      <c r="CT283" s="16">
        <f>IFERROR(__xludf.DUMMYFUNCTION("""COMPUTED_VALUE"""),16.0)</f>
        <v>16</v>
      </c>
      <c r="CU283" s="16">
        <f>IFERROR(__xludf.DUMMYFUNCTION("""COMPUTED_VALUE"""),-17.0)</f>
        <v>-17</v>
      </c>
      <c r="CV283" s="179">
        <f>IFERROR(__xludf.DUMMYFUNCTION("""COMPUTED_VALUE"""),1.0)</f>
        <v>1</v>
      </c>
      <c r="CW283" s="179">
        <f>IFERROR(__xludf.DUMMYFUNCTION("""COMPUTED_VALUE"""),4.0)</f>
        <v>4</v>
      </c>
      <c r="CX283" s="179">
        <f>IFERROR(__xludf.DUMMYFUNCTION("""COMPUTED_VALUE"""),3.0)</f>
        <v>3</v>
      </c>
      <c r="CY283" s="16" t="str">
        <f>IFERROR(__xludf.DUMMYFUNCTION("""COMPUTED_VALUE"""),"RP")</f>
        <v>RP</v>
      </c>
      <c r="CZ283" s="16"/>
      <c r="DA283" s="16"/>
      <c r="DB283" s="16"/>
      <c r="DC283" s="16"/>
      <c r="DD283" s="16"/>
      <c r="DE283" s="16"/>
      <c r="DF283" s="16"/>
      <c r="DG283" s="16"/>
      <c r="DH283" s="16"/>
      <c r="DI283" s="16"/>
      <c r="DJ283" s="16"/>
      <c r="DK283" s="16"/>
    </row>
    <row r="284">
      <c r="A284" s="16">
        <f>IFERROR(__xludf.DUMMYFUNCTION("""COMPUTED_VALUE"""),13146.0)</f>
        <v>13146</v>
      </c>
      <c r="B284" s="16" t="str">
        <f>IFERROR(__xludf.DUMMYFUNCTION("""COMPUTED_VALUE"""),"MacKenzie Gore")</f>
        <v>MacKenzie Gore</v>
      </c>
      <c r="C284" s="153">
        <f>IFERROR(__xludf.DUMMYFUNCTION("""COMPUTED_VALUE"""),0.22)</f>
        <v>0.22</v>
      </c>
      <c r="D284" s="16"/>
      <c r="E284" s="16" t="str">
        <f>IFERROR(__xludf.DUMMYFUNCTION("""COMPUTED_VALUE"""),"L")</f>
        <v>L</v>
      </c>
      <c r="F284" s="16">
        <f>IFERROR(__xludf.DUMMYFUNCTION("""COMPUTED_VALUE"""),166.0)</f>
        <v>166</v>
      </c>
      <c r="G284" s="16">
        <f>IFERROR(__xludf.DUMMYFUNCTION("""COMPUTED_VALUE"""),21.0)</f>
        <v>21</v>
      </c>
      <c r="H284" s="16">
        <f>IFERROR(__xludf.DUMMYFUNCTION("""COMPUTED_VALUE"""),33.0)</f>
        <v>33</v>
      </c>
      <c r="I284" s="16">
        <f>IFERROR(__xludf.DUMMYFUNCTION("""COMPUTED_VALUE"""),-1.0)</f>
        <v>-1</v>
      </c>
      <c r="J284" s="16">
        <f>IFERROR(__xludf.DUMMYFUNCTION("""COMPUTED_VALUE"""),1.0)</f>
        <v>1</v>
      </c>
      <c r="K284" s="16">
        <f>IFERROR(__xludf.DUMMYFUNCTION("""COMPUTED_VALUE"""),-3.0)</f>
        <v>-3</v>
      </c>
      <c r="L284" s="16">
        <f>IFERROR(__xludf.DUMMYFUNCTION("""COMPUTED_VALUE"""),3.0)</f>
        <v>3</v>
      </c>
      <c r="M284" s="16">
        <f>IFERROR(__xludf.DUMMYFUNCTION("""COMPUTED_VALUE"""),14.0)</f>
        <v>14</v>
      </c>
      <c r="N284" s="16">
        <f>IFERROR(__xludf.DUMMYFUNCTION("""COMPUTED_VALUE"""),10.0)</f>
        <v>10</v>
      </c>
      <c r="O284" s="16">
        <f>IFERROR(__xludf.DUMMYFUNCTION("""COMPUTED_VALUE"""),-2.0)</f>
        <v>-2</v>
      </c>
      <c r="P284" s="16">
        <f>IFERROR(__xludf.DUMMYFUNCTION("""COMPUTED_VALUE"""),-1.0)</f>
        <v>-1</v>
      </c>
      <c r="Q284" s="16">
        <f>IFERROR(__xludf.DUMMYFUNCTION("""COMPUTED_VALUE"""),-2.0)</f>
        <v>-2</v>
      </c>
      <c r="R284" s="16">
        <f>IFERROR(__xludf.DUMMYFUNCTION("""COMPUTED_VALUE"""),-1.0)</f>
        <v>-1</v>
      </c>
      <c r="S284" s="16">
        <f>IFERROR(__xludf.DUMMYFUNCTION("""COMPUTED_VALUE"""),20.4)</f>
        <v>20.4</v>
      </c>
      <c r="T284" s="16">
        <f>IFERROR(__xludf.DUMMYFUNCTION("""COMPUTED_VALUE"""),18.6)</f>
        <v>18.6</v>
      </c>
      <c r="U284" s="16">
        <f>IFERROR(__xludf.DUMMYFUNCTION("""COMPUTED_VALUE"""),-1.0)</f>
        <v>-1</v>
      </c>
      <c r="V284" s="16">
        <f>IFERROR(__xludf.DUMMYFUNCTION("""COMPUTED_VALUE"""),-1.0)</f>
        <v>-1</v>
      </c>
      <c r="W284" s="16">
        <f>IFERROR(__xludf.DUMMYFUNCTION("""COMPUTED_VALUE"""),-2.0)</f>
        <v>-2</v>
      </c>
      <c r="X284" s="16">
        <f>IFERROR(__xludf.DUMMYFUNCTION("""COMPUTED_VALUE"""),-2.0)</f>
        <v>-2</v>
      </c>
      <c r="Y284" s="16">
        <f>IFERROR(__xludf.DUMMYFUNCTION("""COMPUTED_VALUE"""),34.3)</f>
        <v>34.3</v>
      </c>
      <c r="Z284" s="16">
        <f>IFERROR(__xludf.DUMMYFUNCTION("""COMPUTED_VALUE"""),28.6)</f>
        <v>28.6</v>
      </c>
      <c r="AA284" s="16">
        <f>IFERROR(__xludf.DUMMYFUNCTION("""COMPUTED_VALUE"""),-1.0)</f>
        <v>-1</v>
      </c>
      <c r="AB284" s="16">
        <f>IFERROR(__xludf.DUMMYFUNCTION("""COMPUTED_VALUE"""),-1.0)</f>
        <v>-1</v>
      </c>
      <c r="AC284" s="16">
        <f>IFERROR(__xludf.DUMMYFUNCTION("""COMPUTED_VALUE"""),-5.0)</f>
        <v>-5</v>
      </c>
      <c r="AD284" s="16">
        <f>IFERROR(__xludf.DUMMYFUNCTION("""COMPUTED_VALUE"""),-5.0)</f>
        <v>-5</v>
      </c>
      <c r="AE284" s="16">
        <f>IFERROR(__xludf.DUMMYFUNCTION("""COMPUTED_VALUE"""),37.4)</f>
        <v>37.4</v>
      </c>
      <c r="AF284" s="16">
        <f>IFERROR(__xludf.DUMMYFUNCTION("""COMPUTED_VALUE"""),25.7)</f>
        <v>25.7</v>
      </c>
      <c r="AG284" s="16">
        <f>IFERROR(__xludf.DUMMYFUNCTION("""COMPUTED_VALUE"""),-1.0)</f>
        <v>-1</v>
      </c>
      <c r="AH284" s="16">
        <f>IFERROR(__xludf.DUMMYFUNCTION("""COMPUTED_VALUE"""),0.0)</f>
        <v>0</v>
      </c>
      <c r="AI284" s="16">
        <f>IFERROR(__xludf.DUMMYFUNCTION("""COMPUTED_VALUE"""),-2.0)</f>
        <v>-2</v>
      </c>
      <c r="AJ284" s="16">
        <f>IFERROR(__xludf.DUMMYFUNCTION("""COMPUTED_VALUE"""),0.0)</f>
        <v>0</v>
      </c>
      <c r="AK284" s="16">
        <f>IFERROR(__xludf.DUMMYFUNCTION("""COMPUTED_VALUE"""),17.799999999999997)</f>
        <v>17.8</v>
      </c>
      <c r="AL284" s="16">
        <f>IFERROR(__xludf.DUMMYFUNCTION("""COMPUTED_VALUE"""),18.400000000000002)</f>
        <v>18.4</v>
      </c>
      <c r="AM284" s="16">
        <f>IFERROR(__xludf.DUMMYFUNCTION("""COMPUTED_VALUE"""),-1.0)</f>
        <v>-1</v>
      </c>
      <c r="AN284" s="16">
        <f>IFERROR(__xludf.DUMMYFUNCTION("""COMPUTED_VALUE"""),-1.0)</f>
        <v>-1</v>
      </c>
      <c r="AO284" s="16">
        <f>IFERROR(__xludf.DUMMYFUNCTION("""COMPUTED_VALUE"""),-1.0)</f>
        <v>-1</v>
      </c>
      <c r="AP284" s="16">
        <f>IFERROR(__xludf.DUMMYFUNCTION("""COMPUTED_VALUE"""),-1.0)</f>
        <v>-1</v>
      </c>
      <c r="AQ284" s="16">
        <f>IFERROR(__xludf.DUMMYFUNCTION("""COMPUTED_VALUE"""),27.0)</f>
        <v>27</v>
      </c>
      <c r="AR284" s="16">
        <f>IFERROR(__xludf.DUMMYFUNCTION("""COMPUTED_VALUE"""),24.9)</f>
        <v>24.9</v>
      </c>
      <c r="AS284" s="16">
        <f>IFERROR(__xludf.DUMMYFUNCTION("""COMPUTED_VALUE"""),-1.0)</f>
        <v>-1</v>
      </c>
      <c r="AT284" s="16">
        <f>IFERROR(__xludf.DUMMYFUNCTION("""COMPUTED_VALUE"""),-1.0)</f>
        <v>-1</v>
      </c>
      <c r="AU284" s="16">
        <f>IFERROR(__xludf.DUMMYFUNCTION("""COMPUTED_VALUE"""),-2.0)</f>
        <v>-2</v>
      </c>
      <c r="AV284" s="16">
        <f>IFERROR(__xludf.DUMMYFUNCTION("""COMPUTED_VALUE"""),-2.0)</f>
        <v>-2</v>
      </c>
      <c r="AW284" s="16">
        <f>IFERROR(__xludf.DUMMYFUNCTION("""COMPUTED_VALUE"""),2.6)</f>
        <v>2.6</v>
      </c>
      <c r="AX284" s="16">
        <f>IFERROR(__xludf.DUMMYFUNCTION("""COMPUTED_VALUE"""),0.2)</f>
        <v>0.2</v>
      </c>
      <c r="AY284" s="16">
        <f>IFERROR(__xludf.DUMMYFUNCTION("""COMPUTED_VALUE"""),-1.0)</f>
        <v>-1</v>
      </c>
      <c r="AZ284" s="16">
        <f>IFERROR(__xludf.DUMMYFUNCTION("""COMPUTED_VALUE"""),2.0)</f>
        <v>2</v>
      </c>
      <c r="BA284" s="16">
        <f>IFERROR(__xludf.DUMMYFUNCTION("""COMPUTED_VALUE"""),-5.0)</f>
        <v>-5</v>
      </c>
      <c r="BB284" s="16">
        <f>IFERROR(__xludf.DUMMYFUNCTION("""COMPUTED_VALUE"""),10.0)</f>
        <v>10</v>
      </c>
      <c r="BC284" s="16">
        <f>IFERROR(__xludf.DUMMYFUNCTION("""COMPUTED_VALUE"""),4.0)</f>
        <v>4</v>
      </c>
      <c r="BD284" s="16">
        <f>IFERROR(__xludf.DUMMYFUNCTION("""COMPUTED_VALUE"""),0.0)</f>
        <v>0</v>
      </c>
      <c r="BE284" s="16">
        <f>IFERROR(__xludf.DUMMYFUNCTION("""COMPUTED_VALUE"""),4.0)</f>
        <v>4</v>
      </c>
      <c r="BF284" s="16">
        <f>IFERROR(__xludf.DUMMYFUNCTION("""COMPUTED_VALUE"""),0.0)</f>
        <v>0</v>
      </c>
      <c r="BG284" s="16">
        <f>IFERROR(__xludf.DUMMYFUNCTION("""COMPUTED_VALUE"""),-1.0)</f>
        <v>-1</v>
      </c>
      <c r="BH284" s="16">
        <f>IFERROR(__xludf.DUMMYFUNCTION("""COMPUTED_VALUE"""),2.0)</f>
        <v>2</v>
      </c>
      <c r="BI284" s="16">
        <f>IFERROR(__xludf.DUMMYFUNCTION("""COMPUTED_VALUE"""),-2.0)</f>
        <v>-2</v>
      </c>
      <c r="BJ284" s="16">
        <f>IFERROR(__xludf.DUMMYFUNCTION("""COMPUTED_VALUE"""),4.0)</f>
        <v>4</v>
      </c>
      <c r="BK284" s="16">
        <f>IFERROR(__xludf.DUMMYFUNCTION("""COMPUTED_VALUE"""),5.0)</f>
        <v>5</v>
      </c>
      <c r="BL284" s="16">
        <f>IFERROR(__xludf.DUMMYFUNCTION("""COMPUTED_VALUE"""),5.0)</f>
        <v>5</v>
      </c>
      <c r="BM284" s="16">
        <f>IFERROR(__xludf.DUMMYFUNCTION("""COMPUTED_VALUE"""),0.0)</f>
        <v>0</v>
      </c>
      <c r="BN284" s="16">
        <f>IFERROR(__xludf.DUMMYFUNCTION("""COMPUTED_VALUE"""),0.0)</f>
        <v>0</v>
      </c>
      <c r="BO284" s="16">
        <f>IFERROR(__xludf.DUMMYFUNCTION("""COMPUTED_VALUE"""),0.0)</f>
        <v>0</v>
      </c>
      <c r="BP284" s="16">
        <f>IFERROR(__xludf.DUMMYFUNCTION("""COMPUTED_VALUE"""),0.0)</f>
        <v>0</v>
      </c>
      <c r="BQ284" s="16">
        <f>IFERROR(__xludf.DUMMYFUNCTION("""COMPUTED_VALUE"""),12.0)</f>
        <v>12</v>
      </c>
      <c r="BR284" s="16">
        <f>IFERROR(__xludf.DUMMYFUNCTION("""COMPUTED_VALUE"""),10.0)</f>
        <v>10</v>
      </c>
      <c r="BS284" s="16">
        <f>IFERROR(__xludf.DUMMYFUNCTION("""COMPUTED_VALUE"""),3.0)</f>
        <v>3</v>
      </c>
      <c r="BT284" s="16">
        <f>IFERROR(__xludf.DUMMYFUNCTION("""COMPUTED_VALUE"""),3.0)</f>
        <v>3</v>
      </c>
      <c r="BU284" s="16">
        <f>IFERROR(__xludf.DUMMYFUNCTION("""COMPUTED_VALUE"""),6.0)</f>
        <v>6</v>
      </c>
      <c r="BV284" s="16">
        <f>IFERROR(__xludf.DUMMYFUNCTION("""COMPUTED_VALUE"""),6.0)</f>
        <v>6</v>
      </c>
      <c r="BW284" s="16">
        <f>IFERROR(__xludf.DUMMYFUNCTION("""COMPUTED_VALUE"""),5.0)</f>
        <v>5</v>
      </c>
      <c r="BX284" s="16">
        <f>IFERROR(__xludf.DUMMYFUNCTION("""COMPUTED_VALUE"""),5.0)</f>
        <v>5</v>
      </c>
      <c r="BY284" s="16" t="str">
        <f>IFERROR(__xludf.DUMMYFUNCTION("""COMPUTED_VALUE"""),"S(5)")</f>
        <v>S(5)</v>
      </c>
      <c r="BZ284" s="16" t="str">
        <f>IFERROR(__xludf.DUMMYFUNCTION("""COMPUTED_VALUE"""),"S(5)")</f>
        <v>S(5)</v>
      </c>
      <c r="CA284" s="16" t="str">
        <f>IFERROR(__xludf.DUMMYFUNCTION("""COMPUTED_VALUE"""),"S(5)")</f>
        <v>S(5)</v>
      </c>
      <c r="CB284" s="16"/>
      <c r="CC284" s="16"/>
      <c r="CD284" s="16">
        <f>IFERROR(__xludf.DUMMYFUNCTION("""COMPUTED_VALUE"""),5.0)</f>
        <v>5</v>
      </c>
      <c r="CE284" s="16"/>
      <c r="CF284" s="16"/>
      <c r="CG284" s="16" t="str">
        <f>IFERROR(__xludf.DUMMYFUNCTION("""COMPUTED_VALUE"""),"4-26")</f>
        <v>4-26</v>
      </c>
      <c r="CH284" s="16">
        <f>IFERROR(__xludf.DUMMYFUNCTION("""COMPUTED_VALUE"""),4.0)</f>
        <v>4</v>
      </c>
      <c r="CI284" s="16">
        <f>IFERROR(__xludf.DUMMYFUNCTION("""COMPUTED_VALUE"""),26.0)</f>
        <v>26</v>
      </c>
      <c r="CJ284" s="16">
        <f>IFERROR(__xludf.DUMMYFUNCTION("""COMPUTED_VALUE"""),0.0)</f>
        <v>0</v>
      </c>
      <c r="CK284" s="16">
        <f>IFERROR(__xludf.DUMMYFUNCTION("""COMPUTED_VALUE"""),18.0)</f>
        <v>18</v>
      </c>
      <c r="CL284" s="16" t="str">
        <f>IFERROR(__xludf.DUMMYFUNCTION("""COMPUTED_VALUE"""),"1WL-C")</f>
        <v>1WL-C</v>
      </c>
      <c r="CM284" s="16" t="str">
        <f>IFERROR(__xludf.DUMMYFUNCTION("""COMPUTED_VALUE"""),"E")</f>
        <v>E</v>
      </c>
      <c r="CN284" s="16">
        <f>IFERROR(__xludf.DUMMYFUNCTION("""COMPUTED_VALUE"""),10.0)</f>
        <v>10</v>
      </c>
      <c r="CO284" s="16" t="str">
        <f>IFERROR(__xludf.DUMMYFUNCTION("""COMPUTED_VALUE"""),"C")</f>
        <v>C</v>
      </c>
      <c r="CP284" s="16" t="str">
        <f>IFERROR(__xludf.DUMMYFUNCTION("""COMPUTED_VALUE"""),"0p72")</f>
        <v>0p72</v>
      </c>
      <c r="CQ284" s="16">
        <f>IFERROR(__xludf.DUMMYFUNCTION("""COMPUTED_VALUE"""),-18.0)</f>
        <v>-18</v>
      </c>
      <c r="CR284" s="16">
        <f>IFERROR(__xludf.DUMMYFUNCTION("""COMPUTED_VALUE"""),12.0)</f>
        <v>12</v>
      </c>
      <c r="CS284" s="16">
        <f>IFERROR(__xludf.DUMMYFUNCTION("""COMPUTED_VALUE"""),-6.0)</f>
        <v>-6</v>
      </c>
      <c r="CT284" s="16">
        <f>IFERROR(__xludf.DUMMYFUNCTION("""COMPUTED_VALUE"""),-18.0)</f>
        <v>-18</v>
      </c>
      <c r="CU284" s="16">
        <f>IFERROR(__xludf.DUMMYFUNCTION("""COMPUTED_VALUE"""),12.0)</f>
        <v>12</v>
      </c>
      <c r="CV284" s="179">
        <f>IFERROR(__xludf.DUMMYFUNCTION("""COMPUTED_VALUE"""),1.0)</f>
        <v>1</v>
      </c>
      <c r="CW284" s="179">
        <f>IFERROR(__xludf.DUMMYFUNCTION("""COMPUTED_VALUE"""),5.0)</f>
        <v>5</v>
      </c>
      <c r="CX284" s="179">
        <f>IFERROR(__xludf.DUMMYFUNCTION("""COMPUTED_VALUE"""),4.0)</f>
        <v>4</v>
      </c>
      <c r="CY284" s="16" t="str">
        <f>IFERROR(__xludf.DUMMYFUNCTION("""COMPUTED_VALUE"""),"SP")</f>
        <v>SP</v>
      </c>
      <c r="CZ284" s="16"/>
      <c r="DA284" s="16"/>
      <c r="DB284" s="16"/>
      <c r="DC284" s="16"/>
      <c r="DD284" s="16"/>
      <c r="DE284" s="16"/>
      <c r="DF284" s="16"/>
      <c r="DG284" s="16"/>
      <c r="DH284" s="16"/>
      <c r="DI284" s="16"/>
      <c r="DJ284" s="16"/>
      <c r="DK284" s="16"/>
    </row>
    <row r="285">
      <c r="A285" s="16">
        <f>IFERROR(__xludf.DUMMYFUNCTION("""COMPUTED_VALUE"""),13346.0)</f>
        <v>13346</v>
      </c>
      <c r="B285" s="16" t="str">
        <f>IFERROR(__xludf.DUMMYFUNCTION("""COMPUTED_VALUE"""),"Ryne Nelson")</f>
        <v>Ryne Nelson</v>
      </c>
      <c r="C285" s="153">
        <f>IFERROR(__xludf.DUMMYFUNCTION("""COMPUTED_VALUE"""),0.61)</f>
        <v>0.61</v>
      </c>
      <c r="D285" s="16"/>
      <c r="E285" s="16" t="str">
        <f>IFERROR(__xludf.DUMMYFUNCTION("""COMPUTED_VALUE"""),"R")</f>
        <v>R</v>
      </c>
      <c r="F285" s="16">
        <f>IFERROR(__xludf.DUMMYFUNCTION("""COMPUTED_VALUE"""),151.0)</f>
        <v>151</v>
      </c>
      <c r="G285" s="16">
        <f>IFERROR(__xludf.DUMMYFUNCTION("""COMPUTED_VALUE"""),16.0)</f>
        <v>16</v>
      </c>
      <c r="H285" s="16">
        <f>IFERROR(__xludf.DUMMYFUNCTION("""COMPUTED_VALUE"""),22.0)</f>
        <v>22</v>
      </c>
      <c r="I285" s="16">
        <f>IFERROR(__xludf.DUMMYFUNCTION("""COMPUTED_VALUE"""),-2.0)</f>
        <v>-2</v>
      </c>
      <c r="J285" s="16">
        <f>IFERROR(__xludf.DUMMYFUNCTION("""COMPUTED_VALUE"""),-1.0)</f>
        <v>-1</v>
      </c>
      <c r="K285" s="16">
        <f>IFERROR(__xludf.DUMMYFUNCTION("""COMPUTED_VALUE"""),-6.0)</f>
        <v>-6</v>
      </c>
      <c r="L285" s="16">
        <f>IFERROR(__xludf.DUMMYFUNCTION("""COMPUTED_VALUE"""),-3.0)</f>
        <v>-3</v>
      </c>
      <c r="M285" s="16">
        <f>IFERROR(__xludf.DUMMYFUNCTION("""COMPUTED_VALUE"""),3.0)</f>
        <v>3</v>
      </c>
      <c r="N285" s="16">
        <f>IFERROR(__xludf.DUMMYFUNCTION("""COMPUTED_VALUE"""),2.0)</f>
        <v>2</v>
      </c>
      <c r="O285" s="16">
        <f>IFERROR(__xludf.DUMMYFUNCTION("""COMPUTED_VALUE"""),2.0)</f>
        <v>2</v>
      </c>
      <c r="P285" s="16">
        <f>IFERROR(__xludf.DUMMYFUNCTION("""COMPUTED_VALUE"""),3.0)</f>
        <v>3</v>
      </c>
      <c r="Q285" s="16">
        <f>IFERROR(__xludf.DUMMYFUNCTION("""COMPUTED_VALUE"""),2.0)</f>
        <v>2</v>
      </c>
      <c r="R285" s="16">
        <f>IFERROR(__xludf.DUMMYFUNCTION("""COMPUTED_VALUE"""),3.0)</f>
        <v>3</v>
      </c>
      <c r="S285" s="16">
        <f>IFERROR(__xludf.DUMMYFUNCTION("""COMPUTED_VALUE"""),17.2)</f>
        <v>17.2</v>
      </c>
      <c r="T285" s="16">
        <f>IFERROR(__xludf.DUMMYFUNCTION("""COMPUTED_VALUE"""),27.8)</f>
        <v>27.8</v>
      </c>
      <c r="U285" s="16">
        <f>IFERROR(__xludf.DUMMYFUNCTION("""COMPUTED_VALUE"""),0.0)</f>
        <v>0</v>
      </c>
      <c r="V285" s="16">
        <f>IFERROR(__xludf.DUMMYFUNCTION("""COMPUTED_VALUE"""),-2.0)</f>
        <v>-2</v>
      </c>
      <c r="W285" s="16">
        <f>IFERROR(__xludf.DUMMYFUNCTION("""COMPUTED_VALUE"""),0.0)</f>
        <v>0</v>
      </c>
      <c r="X285" s="16">
        <f>IFERROR(__xludf.DUMMYFUNCTION("""COMPUTED_VALUE"""),-4.0)</f>
        <v>-4</v>
      </c>
      <c r="Y285" s="16">
        <f>IFERROR(__xludf.DUMMYFUNCTION("""COMPUTED_VALUE"""),20.2)</f>
        <v>20.2</v>
      </c>
      <c r="Z285" s="16">
        <f>IFERROR(__xludf.DUMMYFUNCTION("""COMPUTED_VALUE"""),29.8)</f>
        <v>29.8</v>
      </c>
      <c r="AA285" s="16">
        <f>IFERROR(__xludf.DUMMYFUNCTION("""COMPUTED_VALUE"""),1.0)</f>
        <v>1</v>
      </c>
      <c r="AB285" s="16">
        <f>IFERROR(__xludf.DUMMYFUNCTION("""COMPUTED_VALUE"""),-1.0)</f>
        <v>-1</v>
      </c>
      <c r="AC285" s="16">
        <f>IFERROR(__xludf.DUMMYFUNCTION("""COMPUTED_VALUE"""),5.0)</f>
        <v>5</v>
      </c>
      <c r="AD285" s="16">
        <f>IFERROR(__xludf.DUMMYFUNCTION("""COMPUTED_VALUE"""),-5.0)</f>
        <v>-5</v>
      </c>
      <c r="AE285" s="16">
        <f>IFERROR(__xludf.DUMMYFUNCTION("""COMPUTED_VALUE"""),36.5)</f>
        <v>36.5</v>
      </c>
      <c r="AF285" s="16">
        <f>IFERROR(__xludf.DUMMYFUNCTION("""COMPUTED_VALUE"""),45.0)</f>
        <v>45</v>
      </c>
      <c r="AG285" s="16">
        <f>IFERROR(__xludf.DUMMYFUNCTION("""COMPUTED_VALUE"""),-1.0)</f>
        <v>-1</v>
      </c>
      <c r="AH285" s="16">
        <f>IFERROR(__xludf.DUMMYFUNCTION("""COMPUTED_VALUE"""),-2.0)</f>
        <v>-2</v>
      </c>
      <c r="AI285" s="16">
        <f>IFERROR(__xludf.DUMMYFUNCTION("""COMPUTED_VALUE"""),-2.0)</f>
        <v>-2</v>
      </c>
      <c r="AJ285" s="16">
        <f>IFERROR(__xludf.DUMMYFUNCTION("""COMPUTED_VALUE"""),-4.0)</f>
        <v>-4</v>
      </c>
      <c r="AK285" s="16">
        <f>IFERROR(__xludf.DUMMYFUNCTION("""COMPUTED_VALUE"""),15.0)</f>
        <v>15</v>
      </c>
      <c r="AL285" s="16">
        <f>IFERROR(__xludf.DUMMYFUNCTION("""COMPUTED_VALUE"""),26.8)</f>
        <v>26.8</v>
      </c>
      <c r="AM285" s="16">
        <f>IFERROR(__xludf.DUMMYFUNCTION("""COMPUTED_VALUE"""),0.0)</f>
        <v>0</v>
      </c>
      <c r="AN285" s="16">
        <f>IFERROR(__xludf.DUMMYFUNCTION("""COMPUTED_VALUE"""),-2.0)</f>
        <v>-2</v>
      </c>
      <c r="AO285" s="16">
        <f>IFERROR(__xludf.DUMMYFUNCTION("""COMPUTED_VALUE"""),0.0)</f>
        <v>0</v>
      </c>
      <c r="AP285" s="16">
        <f>IFERROR(__xludf.DUMMYFUNCTION("""COMPUTED_VALUE"""),-2.0)</f>
        <v>-2</v>
      </c>
      <c r="AQ285" s="16">
        <f>IFERROR(__xludf.DUMMYFUNCTION("""COMPUTED_VALUE"""),27.7)</f>
        <v>27.7</v>
      </c>
      <c r="AR285" s="16">
        <f>IFERROR(__xludf.DUMMYFUNCTION("""COMPUTED_VALUE"""),41.0)</f>
        <v>41</v>
      </c>
      <c r="AS285" s="16">
        <f>IFERROR(__xludf.DUMMYFUNCTION("""COMPUTED_VALUE"""),-1.0)</f>
        <v>-1</v>
      </c>
      <c r="AT285" s="16">
        <f>IFERROR(__xludf.DUMMYFUNCTION("""COMPUTED_VALUE"""),-2.0)</f>
        <v>-2</v>
      </c>
      <c r="AU285" s="16">
        <f>IFERROR(__xludf.DUMMYFUNCTION("""COMPUTED_VALUE"""),-2.0)</f>
        <v>-2</v>
      </c>
      <c r="AV285" s="16">
        <f>IFERROR(__xludf.DUMMYFUNCTION("""COMPUTED_VALUE"""),-4.0)</f>
        <v>-4</v>
      </c>
      <c r="AW285" s="16">
        <f>IFERROR(__xludf.DUMMYFUNCTION("""COMPUTED_VALUE"""),2.2)</f>
        <v>2.2</v>
      </c>
      <c r="AX285" s="16">
        <f>IFERROR(__xludf.DUMMYFUNCTION("""COMPUTED_VALUE"""),1.0)</f>
        <v>1</v>
      </c>
      <c r="AY285" s="16">
        <f>IFERROR(__xludf.DUMMYFUNCTION("""COMPUTED_VALUE"""),0.0)</f>
        <v>0</v>
      </c>
      <c r="AZ285" s="16">
        <f>IFERROR(__xludf.DUMMYFUNCTION("""COMPUTED_VALUE"""),1.0)</f>
        <v>1</v>
      </c>
      <c r="BA285" s="16">
        <f>IFERROR(__xludf.DUMMYFUNCTION("""COMPUTED_VALUE"""),0.0)</f>
        <v>0</v>
      </c>
      <c r="BB285" s="16">
        <f>IFERROR(__xludf.DUMMYFUNCTION("""COMPUTED_VALUE"""),5.0)</f>
        <v>5</v>
      </c>
      <c r="BC285" s="16">
        <f>IFERROR(__xludf.DUMMYFUNCTION("""COMPUTED_VALUE"""),5.0)</f>
        <v>5</v>
      </c>
      <c r="BD285" s="16">
        <f>IFERROR(__xludf.DUMMYFUNCTION("""COMPUTED_VALUE"""),2.0)</f>
        <v>2</v>
      </c>
      <c r="BE285" s="16">
        <f>IFERROR(__xludf.DUMMYFUNCTION("""COMPUTED_VALUE"""),5.0)</f>
        <v>5</v>
      </c>
      <c r="BF285" s="16">
        <f>IFERROR(__xludf.DUMMYFUNCTION("""COMPUTED_VALUE"""),2.0)</f>
        <v>2</v>
      </c>
      <c r="BG285" s="16">
        <f>IFERROR(__xludf.DUMMYFUNCTION("""COMPUTED_VALUE"""),-2.0)</f>
        <v>-2</v>
      </c>
      <c r="BH285" s="16">
        <f>IFERROR(__xludf.DUMMYFUNCTION("""COMPUTED_VALUE"""),1.0)</f>
        <v>1</v>
      </c>
      <c r="BI285" s="16">
        <f>IFERROR(__xludf.DUMMYFUNCTION("""COMPUTED_VALUE"""),-4.0)</f>
        <v>-4</v>
      </c>
      <c r="BJ285" s="16">
        <f>IFERROR(__xludf.DUMMYFUNCTION("""COMPUTED_VALUE"""),2.0)</f>
        <v>2</v>
      </c>
      <c r="BK285" s="16">
        <f>IFERROR(__xludf.DUMMYFUNCTION("""COMPUTED_VALUE"""),5.0)</f>
        <v>5</v>
      </c>
      <c r="BL285" s="16">
        <f>IFERROR(__xludf.DUMMYFUNCTION("""COMPUTED_VALUE"""),5.0)</f>
        <v>5</v>
      </c>
      <c r="BM285" s="16">
        <f>IFERROR(__xludf.DUMMYFUNCTION("""COMPUTED_VALUE"""),0.0)</f>
        <v>0</v>
      </c>
      <c r="BN285" s="16">
        <f>IFERROR(__xludf.DUMMYFUNCTION("""COMPUTED_VALUE"""),0.0)</f>
        <v>0</v>
      </c>
      <c r="BO285" s="16">
        <f>IFERROR(__xludf.DUMMYFUNCTION("""COMPUTED_VALUE"""),0.0)</f>
        <v>0</v>
      </c>
      <c r="BP285" s="16">
        <f>IFERROR(__xludf.DUMMYFUNCTION("""COMPUTED_VALUE"""),0.0)</f>
        <v>0</v>
      </c>
      <c r="BQ285" s="16">
        <f>IFERROR(__xludf.DUMMYFUNCTION("""COMPUTED_VALUE"""),12.0)</f>
        <v>12</v>
      </c>
      <c r="BR285" s="16">
        <f>IFERROR(__xludf.DUMMYFUNCTION("""COMPUTED_VALUE"""),14.0)</f>
        <v>14</v>
      </c>
      <c r="BS285" s="16">
        <f>IFERROR(__xludf.DUMMYFUNCTION("""COMPUTED_VALUE"""),3.0)</f>
        <v>3</v>
      </c>
      <c r="BT285" s="16">
        <f>IFERROR(__xludf.DUMMYFUNCTION("""COMPUTED_VALUE"""),3.0)</f>
        <v>3</v>
      </c>
      <c r="BU285" s="16">
        <f>IFERROR(__xludf.DUMMYFUNCTION("""COMPUTED_VALUE"""),6.0)</f>
        <v>6</v>
      </c>
      <c r="BV285" s="16">
        <f>IFERROR(__xludf.DUMMYFUNCTION("""COMPUTED_VALUE"""),6.0)</f>
        <v>6</v>
      </c>
      <c r="BW285" s="16">
        <f>IFERROR(__xludf.DUMMYFUNCTION("""COMPUTED_VALUE"""),-3.0)</f>
        <v>-3</v>
      </c>
      <c r="BX285" s="16">
        <f>IFERROR(__xludf.DUMMYFUNCTION("""COMPUTED_VALUE"""),-3.0)</f>
        <v>-3</v>
      </c>
      <c r="BY285" s="16" t="str">
        <f>IFERROR(__xludf.DUMMYFUNCTION("""COMPUTED_VALUE"""),"S(6) R(4) C(0)")</f>
        <v>S(6) R(4) C(0)</v>
      </c>
      <c r="BZ285" s="16" t="str">
        <f>IFERROR(__xludf.DUMMYFUNCTION("""COMPUTED_VALUE"""),"S(6) R(4) C(0)")</f>
        <v>S(6) R(4) C(0)</v>
      </c>
      <c r="CA285" s="16" t="str">
        <f>IFERROR(__xludf.DUMMYFUNCTION("""COMPUTED_VALUE"""),"S(6)")</f>
        <v>S(6)</v>
      </c>
      <c r="CB285" s="16" t="str">
        <f>IFERROR(__xludf.DUMMYFUNCTION("""COMPUTED_VALUE"""),"R(4)")</f>
        <v>R(4)</v>
      </c>
      <c r="CC285" s="16" t="str">
        <f>IFERROR(__xludf.DUMMYFUNCTION("""COMPUTED_VALUE"""),"C(0)")</f>
        <v>C(0)</v>
      </c>
      <c r="CD285" s="16">
        <f>IFERROR(__xludf.DUMMYFUNCTION("""COMPUTED_VALUE"""),6.0)</f>
        <v>6</v>
      </c>
      <c r="CE285" s="16">
        <f>IFERROR(__xludf.DUMMYFUNCTION("""COMPUTED_VALUE"""),4.0)</f>
        <v>4</v>
      </c>
      <c r="CF285" s="16">
        <f>IFERROR(__xludf.DUMMYFUNCTION("""COMPUTED_VALUE"""),0.0)</f>
        <v>0</v>
      </c>
      <c r="CG285" s="16" t="str">
        <f>IFERROR(__xludf.DUMMYFUNCTION("""COMPUTED_VALUE"""),"2-10")</f>
        <v>2-10</v>
      </c>
      <c r="CH285" s="16">
        <f>IFERROR(__xludf.DUMMYFUNCTION("""COMPUTED_VALUE"""),2.0)</f>
        <v>2</v>
      </c>
      <c r="CI285" s="16">
        <f>IFERROR(__xludf.DUMMYFUNCTION("""COMPUTED_VALUE"""),10.0)</f>
        <v>10</v>
      </c>
      <c r="CJ285" s="16">
        <f>IFERROR(__xludf.DUMMYFUNCTION("""COMPUTED_VALUE"""),0.0)</f>
        <v>0</v>
      </c>
      <c r="CK285" s="16">
        <f>IFERROR(__xludf.DUMMYFUNCTION("""COMPUTED_VALUE"""),5.0)</f>
        <v>5</v>
      </c>
      <c r="CL285" s="16" t="str">
        <f>IFERROR(__xludf.DUMMYFUNCTION("""COMPUTED_VALUE"""),"1WR-C")</f>
        <v>1WR-C</v>
      </c>
      <c r="CM285" s="16" t="str">
        <f>IFERROR(__xludf.DUMMYFUNCTION("""COMPUTED_VALUE"""),"E")</f>
        <v>E</v>
      </c>
      <c r="CN285" s="16">
        <f>IFERROR(__xludf.DUMMYFUNCTION("""COMPUTED_VALUE"""),10.0)</f>
        <v>10</v>
      </c>
      <c r="CO285" s="16" t="str">
        <f>IFERROR(__xludf.DUMMYFUNCTION("""COMPUTED_VALUE"""),"C")</f>
        <v>C</v>
      </c>
      <c r="CP285" s="16" t="str">
        <f>IFERROR(__xludf.DUMMYFUNCTION("""COMPUTED_VALUE"""),"2p65")</f>
        <v>2p65</v>
      </c>
      <c r="CQ285" s="16">
        <f>IFERROR(__xludf.DUMMYFUNCTION("""COMPUTED_VALUE"""),-1.0)</f>
        <v>-1</v>
      </c>
      <c r="CR285" s="16">
        <f>IFERROR(__xludf.DUMMYFUNCTION("""COMPUTED_VALUE"""),-6.0)</f>
        <v>-6</v>
      </c>
      <c r="CS285" s="16">
        <f>IFERROR(__xludf.DUMMYFUNCTION("""COMPUTED_VALUE"""),-7.0)</f>
        <v>-7</v>
      </c>
      <c r="CT285" s="16">
        <f>IFERROR(__xludf.DUMMYFUNCTION("""COMPUTED_VALUE"""),-1.0)</f>
        <v>-1</v>
      </c>
      <c r="CU285" s="16">
        <f>IFERROR(__xludf.DUMMYFUNCTION("""COMPUTED_VALUE"""),-6.0)</f>
        <v>-6</v>
      </c>
      <c r="CV285" s="179">
        <f>IFERROR(__xludf.DUMMYFUNCTION("""COMPUTED_VALUE"""),0.666666666666667)</f>
        <v>0.6666666667</v>
      </c>
      <c r="CW285" s="179">
        <f>IFERROR(__xludf.DUMMYFUNCTION("""COMPUTED_VALUE"""),3.0)</f>
        <v>3</v>
      </c>
      <c r="CX285" s="179">
        <f>IFERROR(__xludf.DUMMYFUNCTION("""COMPUTED_VALUE"""),2.0)</f>
        <v>2</v>
      </c>
      <c r="CY285" s="16" t="str">
        <f>IFERROR(__xludf.DUMMYFUNCTION("""COMPUTED_VALUE"""),"SP")</f>
        <v>SP</v>
      </c>
      <c r="CZ285" s="16" t="str">
        <f>IFERROR(__xludf.DUMMYFUNCTION("""COMPUTED_VALUE"""),"RP")</f>
        <v>RP</v>
      </c>
      <c r="DA285" s="16" t="str">
        <f>IFERROR(__xludf.DUMMYFUNCTION("""COMPUTED_VALUE"""),"CP")</f>
        <v>CP</v>
      </c>
      <c r="DB285" s="16"/>
      <c r="DC285" s="16"/>
      <c r="DD285" s="16"/>
      <c r="DE285" s="16"/>
      <c r="DF285" s="16"/>
      <c r="DG285" s="16"/>
      <c r="DH285" s="16"/>
      <c r="DI285" s="16"/>
      <c r="DJ285" s="16"/>
      <c r="DK285" s="16"/>
    </row>
    <row r="286">
      <c r="A286" s="16">
        <f>IFERROR(__xludf.DUMMYFUNCTION("""COMPUTED_VALUE"""),12774.0)</f>
        <v>12774</v>
      </c>
      <c r="B286" s="16" t="str">
        <f>IFERROR(__xludf.DUMMYFUNCTION("""COMPUTED_VALUE"""),"Dylan Lee")</f>
        <v>Dylan Lee</v>
      </c>
      <c r="C286" s="153">
        <f>IFERROR(__xludf.DUMMYFUNCTION("""COMPUTED_VALUE"""),0.94)</f>
        <v>0.94</v>
      </c>
      <c r="D286" s="16"/>
      <c r="E286" s="16" t="str">
        <f>IFERROR(__xludf.DUMMYFUNCTION("""COMPUTED_VALUE"""),"L")</f>
        <v>L</v>
      </c>
      <c r="F286" s="16">
        <f>IFERROR(__xludf.DUMMYFUNCTION("""COMPUTED_VALUE"""),60.0)</f>
        <v>60</v>
      </c>
      <c r="G286" s="16">
        <f>IFERROR(__xludf.DUMMYFUNCTION("""COMPUTED_VALUE"""),43.0)</f>
        <v>43</v>
      </c>
      <c r="H286" s="16">
        <f>IFERROR(__xludf.DUMMYFUNCTION("""COMPUTED_VALUE"""),44.0)</f>
        <v>44</v>
      </c>
      <c r="I286" s="16">
        <f>IFERROR(__xludf.DUMMYFUNCTION("""COMPUTED_VALUE"""),2.0)</f>
        <v>2</v>
      </c>
      <c r="J286" s="16">
        <f>IFERROR(__xludf.DUMMYFUNCTION("""COMPUTED_VALUE"""),2.0)</f>
        <v>2</v>
      </c>
      <c r="K286" s="16">
        <f>IFERROR(__xludf.DUMMYFUNCTION("""COMPUTED_VALUE"""),6.0)</f>
        <v>6</v>
      </c>
      <c r="L286" s="16">
        <f>IFERROR(__xludf.DUMMYFUNCTION("""COMPUTED_VALUE"""),6.0)</f>
        <v>6</v>
      </c>
      <c r="M286" s="16">
        <f>IFERROR(__xludf.DUMMYFUNCTION("""COMPUTED_VALUE"""),0.0)</f>
        <v>0</v>
      </c>
      <c r="N286" s="16">
        <f>IFERROR(__xludf.DUMMYFUNCTION("""COMPUTED_VALUE"""),9.0)</f>
        <v>9</v>
      </c>
      <c r="O286" s="16">
        <f>IFERROR(__xludf.DUMMYFUNCTION("""COMPUTED_VALUE"""),3.0)</f>
        <v>3</v>
      </c>
      <c r="P286" s="16">
        <f>IFERROR(__xludf.DUMMYFUNCTION("""COMPUTED_VALUE"""),0.0)</f>
        <v>0</v>
      </c>
      <c r="Q286" s="16">
        <f>IFERROR(__xludf.DUMMYFUNCTION("""COMPUTED_VALUE"""),3.0)</f>
        <v>3</v>
      </c>
      <c r="R286" s="16">
        <f>IFERROR(__xludf.DUMMYFUNCTION("""COMPUTED_VALUE"""),0.0)</f>
        <v>0</v>
      </c>
      <c r="S286" s="16">
        <f>IFERROR(__xludf.DUMMYFUNCTION("""COMPUTED_VALUE"""),24.4)</f>
        <v>24.4</v>
      </c>
      <c r="T286" s="16">
        <f>IFERROR(__xludf.DUMMYFUNCTION("""COMPUTED_VALUE"""),6.5)</f>
        <v>6.5</v>
      </c>
      <c r="U286" s="16">
        <f>IFERROR(__xludf.DUMMYFUNCTION("""COMPUTED_VALUE"""),-2.0)</f>
        <v>-2</v>
      </c>
      <c r="V286" s="16">
        <f>IFERROR(__xludf.DUMMYFUNCTION("""COMPUTED_VALUE"""),2.0)</f>
        <v>2</v>
      </c>
      <c r="W286" s="16">
        <f>IFERROR(__xludf.DUMMYFUNCTION("""COMPUTED_VALUE"""),-4.0)</f>
        <v>-4</v>
      </c>
      <c r="X286" s="16">
        <f>IFERROR(__xludf.DUMMYFUNCTION("""COMPUTED_VALUE"""),4.0)</f>
        <v>4</v>
      </c>
      <c r="Y286" s="16">
        <f>IFERROR(__xludf.DUMMYFUNCTION("""COMPUTED_VALUE"""),24.4)</f>
        <v>24.4</v>
      </c>
      <c r="Z286" s="16">
        <f>IFERROR(__xludf.DUMMYFUNCTION("""COMPUTED_VALUE"""),15.5)</f>
        <v>15.5</v>
      </c>
      <c r="AA286" s="16">
        <f>IFERROR(__xludf.DUMMYFUNCTION("""COMPUTED_VALUE"""),0.0)</f>
        <v>0</v>
      </c>
      <c r="AB286" s="16">
        <f>IFERROR(__xludf.DUMMYFUNCTION("""COMPUTED_VALUE"""),2.0)</f>
        <v>2</v>
      </c>
      <c r="AC286" s="16">
        <f>IFERROR(__xludf.DUMMYFUNCTION("""COMPUTED_VALUE"""),0.0)</f>
        <v>0</v>
      </c>
      <c r="AD286" s="16">
        <f>IFERROR(__xludf.DUMMYFUNCTION("""COMPUTED_VALUE"""),10.0)</f>
        <v>10</v>
      </c>
      <c r="AE286" s="16">
        <f>IFERROR(__xludf.DUMMYFUNCTION("""COMPUTED_VALUE"""),48.9)</f>
        <v>48.9</v>
      </c>
      <c r="AF286" s="16">
        <f>IFERROR(__xludf.DUMMYFUNCTION("""COMPUTED_VALUE"""),13.8)</f>
        <v>13.8</v>
      </c>
      <c r="AG286" s="16">
        <f>IFERROR(__xludf.DUMMYFUNCTION("""COMPUTED_VALUE"""),-2.0)</f>
        <v>-2</v>
      </c>
      <c r="AH286" s="16">
        <f>IFERROR(__xludf.DUMMYFUNCTION("""COMPUTED_VALUE"""),2.0)</f>
        <v>2</v>
      </c>
      <c r="AI286" s="16">
        <f>IFERROR(__xludf.DUMMYFUNCTION("""COMPUTED_VALUE"""),-4.0)</f>
        <v>-4</v>
      </c>
      <c r="AJ286" s="16">
        <f>IFERROR(__xludf.DUMMYFUNCTION("""COMPUTED_VALUE"""),4.0)</f>
        <v>4</v>
      </c>
      <c r="AK286" s="16">
        <f>IFERROR(__xludf.DUMMYFUNCTION("""COMPUTED_VALUE"""),20.799999999999997)</f>
        <v>20.8</v>
      </c>
      <c r="AL286" s="16">
        <f>IFERROR(__xludf.DUMMYFUNCTION("""COMPUTED_VALUE"""),5.1)</f>
        <v>5.1</v>
      </c>
      <c r="AM286" s="16">
        <f>IFERROR(__xludf.DUMMYFUNCTION("""COMPUTED_VALUE"""),-1.0)</f>
        <v>-1</v>
      </c>
      <c r="AN286" s="16">
        <f>IFERROR(__xludf.DUMMYFUNCTION("""COMPUTED_VALUE"""),2.0)</f>
        <v>2</v>
      </c>
      <c r="AO286" s="16">
        <f>IFERROR(__xludf.DUMMYFUNCTION("""COMPUTED_VALUE"""),-1.0)</f>
        <v>-1</v>
      </c>
      <c r="AP286" s="16">
        <f>IFERROR(__xludf.DUMMYFUNCTION("""COMPUTED_VALUE"""),2.0)</f>
        <v>2</v>
      </c>
      <c r="AQ286" s="16">
        <f>IFERROR(__xludf.DUMMYFUNCTION("""COMPUTED_VALUE"""),34.5)</f>
        <v>34.5</v>
      </c>
      <c r="AR286" s="16">
        <f>IFERROR(__xludf.DUMMYFUNCTION("""COMPUTED_VALUE"""),8.200000000000001)</f>
        <v>8.2</v>
      </c>
      <c r="AS286" s="16">
        <f>IFERROR(__xludf.DUMMYFUNCTION("""COMPUTED_VALUE"""),-2.0)</f>
        <v>-2</v>
      </c>
      <c r="AT286" s="16">
        <f>IFERROR(__xludf.DUMMYFUNCTION("""COMPUTED_VALUE"""),2.0)</f>
        <v>2</v>
      </c>
      <c r="AU286" s="16">
        <f>IFERROR(__xludf.DUMMYFUNCTION("""COMPUTED_VALUE"""),-4.0)</f>
        <v>-4</v>
      </c>
      <c r="AV286" s="16">
        <f>IFERROR(__xludf.DUMMYFUNCTION("""COMPUTED_VALUE"""),4.0)</f>
        <v>4</v>
      </c>
      <c r="AW286" s="16">
        <f>IFERROR(__xludf.DUMMYFUNCTION("""COMPUTED_VALUE"""),3.6)</f>
        <v>3.6</v>
      </c>
      <c r="AX286" s="16">
        <f>IFERROR(__xludf.DUMMYFUNCTION("""COMPUTED_VALUE"""),1.4)</f>
        <v>1.4</v>
      </c>
      <c r="AY286" s="16">
        <f>IFERROR(__xludf.DUMMYFUNCTION("""COMPUTED_VALUE"""),-2.0)</f>
        <v>-2</v>
      </c>
      <c r="AZ286" s="16">
        <f>IFERROR(__xludf.DUMMYFUNCTION("""COMPUTED_VALUE"""),1.0)</f>
        <v>1</v>
      </c>
      <c r="BA286" s="16">
        <f>IFERROR(__xludf.DUMMYFUNCTION("""COMPUTED_VALUE"""),-10.0)</f>
        <v>-10</v>
      </c>
      <c r="BB286" s="16">
        <f>IFERROR(__xludf.DUMMYFUNCTION("""COMPUTED_VALUE"""),5.0)</f>
        <v>5</v>
      </c>
      <c r="BC286" s="16">
        <f>IFERROR(__xludf.DUMMYFUNCTION("""COMPUTED_VALUE"""),5.0)</f>
        <v>5</v>
      </c>
      <c r="BD286" s="16">
        <f>IFERROR(__xludf.DUMMYFUNCTION("""COMPUTED_VALUE"""),2.0)</f>
        <v>2</v>
      </c>
      <c r="BE286" s="16">
        <f>IFERROR(__xludf.DUMMYFUNCTION("""COMPUTED_VALUE"""),5.0)</f>
        <v>5</v>
      </c>
      <c r="BF286" s="16">
        <f>IFERROR(__xludf.DUMMYFUNCTION("""COMPUTED_VALUE"""),2.0)</f>
        <v>2</v>
      </c>
      <c r="BG286" s="16">
        <f>IFERROR(__xludf.DUMMYFUNCTION("""COMPUTED_VALUE"""),-2.0)</f>
        <v>-2</v>
      </c>
      <c r="BH286" s="16">
        <f>IFERROR(__xludf.DUMMYFUNCTION("""COMPUTED_VALUE"""),1.0)</f>
        <v>1</v>
      </c>
      <c r="BI286" s="16">
        <f>IFERROR(__xludf.DUMMYFUNCTION("""COMPUTED_VALUE"""),-4.0)</f>
        <v>-4</v>
      </c>
      <c r="BJ286" s="16">
        <f>IFERROR(__xludf.DUMMYFUNCTION("""COMPUTED_VALUE"""),2.0)</f>
        <v>2</v>
      </c>
      <c r="BK286" s="16">
        <f>IFERROR(__xludf.DUMMYFUNCTION("""COMPUTED_VALUE"""),5.0)</f>
        <v>5</v>
      </c>
      <c r="BL286" s="16">
        <f>IFERROR(__xludf.DUMMYFUNCTION("""COMPUTED_VALUE"""),5.0)</f>
        <v>5</v>
      </c>
      <c r="BM286" s="16">
        <f>IFERROR(__xludf.DUMMYFUNCTION("""COMPUTED_VALUE"""),0.0)</f>
        <v>0</v>
      </c>
      <c r="BN286" s="16">
        <f>IFERROR(__xludf.DUMMYFUNCTION("""COMPUTED_VALUE"""),0.0)</f>
        <v>0</v>
      </c>
      <c r="BO286" s="16">
        <f>IFERROR(__xludf.DUMMYFUNCTION("""COMPUTED_VALUE"""),0.0)</f>
        <v>0</v>
      </c>
      <c r="BP286" s="16">
        <f>IFERROR(__xludf.DUMMYFUNCTION("""COMPUTED_VALUE"""),0.0)</f>
        <v>0</v>
      </c>
      <c r="BQ286" s="16">
        <f>IFERROR(__xludf.DUMMYFUNCTION("""COMPUTED_VALUE"""),0.0)</f>
        <v>0</v>
      </c>
      <c r="BR286" s="16">
        <f>IFERROR(__xludf.DUMMYFUNCTION("""COMPUTED_VALUE"""),3.0)</f>
        <v>3</v>
      </c>
      <c r="BS286" s="16">
        <f>IFERROR(__xludf.DUMMYFUNCTION("""COMPUTED_VALUE"""),-3.0)</f>
        <v>-3</v>
      </c>
      <c r="BT286" s="16">
        <f>IFERROR(__xludf.DUMMYFUNCTION("""COMPUTED_VALUE"""),-1.0)</f>
        <v>-1</v>
      </c>
      <c r="BU286" s="16">
        <f>IFERROR(__xludf.DUMMYFUNCTION("""COMPUTED_VALUE"""),-6.0)</f>
        <v>-6</v>
      </c>
      <c r="BV286" s="16">
        <f>IFERROR(__xludf.DUMMYFUNCTION("""COMPUTED_VALUE"""),-2.0)</f>
        <v>-2</v>
      </c>
      <c r="BW286" s="16">
        <f>IFERROR(__xludf.DUMMYFUNCTION("""COMPUTED_VALUE"""),-4.0)</f>
        <v>-4</v>
      </c>
      <c r="BX286" s="16">
        <f>IFERROR(__xludf.DUMMYFUNCTION("""COMPUTED_VALUE"""),-4.0)</f>
        <v>-4</v>
      </c>
      <c r="BY286" s="16" t="str">
        <f>IFERROR(__xludf.DUMMYFUNCTION("""COMPUTED_VALUE"""),"R(2)")</f>
        <v>R(2)</v>
      </c>
      <c r="BZ286" s="16" t="str">
        <f>IFERROR(__xludf.DUMMYFUNCTION("""COMPUTED_VALUE"""),"R(2)")</f>
        <v>R(2)</v>
      </c>
      <c r="CA286" s="16" t="str">
        <f>IFERROR(__xludf.DUMMYFUNCTION("""COMPUTED_VALUE"""),"R(2)")</f>
        <v>R(2)</v>
      </c>
      <c r="CB286" s="16"/>
      <c r="CC286" s="16"/>
      <c r="CD286" s="16"/>
      <c r="CE286" s="16">
        <f>IFERROR(__xludf.DUMMYFUNCTION("""COMPUTED_VALUE"""),2.0)</f>
        <v>2</v>
      </c>
      <c r="CF286" s="16"/>
      <c r="CG286" s="16" t="str">
        <f>IFERROR(__xludf.DUMMYFUNCTION("""COMPUTED_VALUE"""),"2-0")</f>
        <v>2-0</v>
      </c>
      <c r="CH286" s="16">
        <f>IFERROR(__xludf.DUMMYFUNCTION("""COMPUTED_VALUE"""),2.0)</f>
        <v>2</v>
      </c>
      <c r="CI286" s="16">
        <f>IFERROR(__xludf.DUMMYFUNCTION("""COMPUTED_VALUE"""),0.0)</f>
        <v>0</v>
      </c>
      <c r="CJ286" s="16">
        <f>IFERROR(__xludf.DUMMYFUNCTION("""COMPUTED_VALUE"""),0.0)</f>
        <v>0</v>
      </c>
      <c r="CK286" s="16">
        <f>IFERROR(__xludf.DUMMYFUNCTION("""COMPUTED_VALUE"""),0.0)</f>
        <v>0</v>
      </c>
      <c r="CL286" s="16" t="str">
        <f>IFERROR(__xludf.DUMMYFUNCTION("""COMPUTED_VALUE"""),"1WL-C")</f>
        <v>1WL-C</v>
      </c>
      <c r="CM286" s="16" t="str">
        <f>IFERROR(__xludf.DUMMYFUNCTION("""COMPUTED_VALUE"""),"E")</f>
        <v>E</v>
      </c>
      <c r="CN286" s="16">
        <f>IFERROR(__xludf.DUMMYFUNCTION("""COMPUTED_VALUE"""),10.0)</f>
        <v>10</v>
      </c>
      <c r="CO286" s="16" t="str">
        <f>IFERROR(__xludf.DUMMYFUNCTION("""COMPUTED_VALUE"""),"C")</f>
        <v>C</v>
      </c>
      <c r="CP286" s="16" t="str">
        <f>IFERROR(__xludf.DUMMYFUNCTION("""COMPUTED_VALUE"""),"1p40")</f>
        <v>1p40</v>
      </c>
      <c r="CQ286" s="16">
        <f>IFERROR(__xludf.DUMMYFUNCTION("""COMPUTED_VALUE"""),-24.0)</f>
        <v>-24</v>
      </c>
      <c r="CR286" s="16">
        <f>IFERROR(__xludf.DUMMYFUNCTION("""COMPUTED_VALUE"""),35.0)</f>
        <v>35</v>
      </c>
      <c r="CS286" s="16">
        <f>IFERROR(__xludf.DUMMYFUNCTION("""COMPUTED_VALUE"""),11.0)</f>
        <v>11</v>
      </c>
      <c r="CT286" s="16">
        <f>IFERROR(__xludf.DUMMYFUNCTION("""COMPUTED_VALUE"""),-24.0)</f>
        <v>-24</v>
      </c>
      <c r="CU286" s="16">
        <f>IFERROR(__xludf.DUMMYFUNCTION("""COMPUTED_VALUE"""),35.0)</f>
        <v>35</v>
      </c>
      <c r="CV286" s="179">
        <f>IFERROR(__xludf.DUMMYFUNCTION("""COMPUTED_VALUE"""),0.666666666666667)</f>
        <v>0.6666666667</v>
      </c>
      <c r="CW286" s="179">
        <f>IFERROR(__xludf.DUMMYFUNCTION("""COMPUTED_VALUE"""),4.0)</f>
        <v>4</v>
      </c>
      <c r="CX286" s="179">
        <f>IFERROR(__xludf.DUMMYFUNCTION("""COMPUTED_VALUE"""),1.0)</f>
        <v>1</v>
      </c>
      <c r="CY286" s="16" t="str">
        <f>IFERROR(__xludf.DUMMYFUNCTION("""COMPUTED_VALUE"""),"RP")</f>
        <v>RP</v>
      </c>
      <c r="CZ286" s="16"/>
      <c r="DA286" s="16"/>
      <c r="DB286" s="16"/>
      <c r="DC286" s="16"/>
      <c r="DD286" s="16"/>
      <c r="DE286" s="16"/>
      <c r="DF286" s="16"/>
      <c r="DG286" s="16"/>
      <c r="DH286" s="16"/>
      <c r="DI286" s="16"/>
      <c r="DJ286" s="16"/>
      <c r="DK286" s="16"/>
    </row>
    <row r="287">
      <c r="A287" s="16">
        <f>IFERROR(__xludf.DUMMYFUNCTION("""COMPUTED_VALUE"""),12749.0)</f>
        <v>12749</v>
      </c>
      <c r="B287" s="16" t="str">
        <f>IFERROR(__xludf.DUMMYFUNCTION("""COMPUTED_VALUE"""),"Dean Kremer")</f>
        <v>Dean Kremer</v>
      </c>
      <c r="C287" s="153">
        <f>IFERROR(__xludf.DUMMYFUNCTION("""COMPUTED_VALUE"""),0.29)</f>
        <v>0.29</v>
      </c>
      <c r="D287" s="16"/>
      <c r="E287" s="16" t="str">
        <f>IFERROR(__xludf.DUMMYFUNCTION("""COMPUTED_VALUE"""),"R")</f>
        <v>R</v>
      </c>
      <c r="F287" s="16">
        <f>IFERROR(__xludf.DUMMYFUNCTION("""COMPUTED_VALUE"""),130.0)</f>
        <v>130</v>
      </c>
      <c r="G287" s="16">
        <f>IFERROR(__xludf.DUMMYFUNCTION("""COMPUTED_VALUE"""),25.0)</f>
        <v>25</v>
      </c>
      <c r="H287" s="16">
        <f>IFERROR(__xludf.DUMMYFUNCTION("""COMPUTED_VALUE"""),22.0)</f>
        <v>22</v>
      </c>
      <c r="I287" s="16">
        <f>IFERROR(__xludf.DUMMYFUNCTION("""COMPUTED_VALUE"""),0.0)</f>
        <v>0</v>
      </c>
      <c r="J287" s="16">
        <f>IFERROR(__xludf.DUMMYFUNCTION("""COMPUTED_VALUE"""),-1.0)</f>
        <v>-1</v>
      </c>
      <c r="K287" s="16">
        <f>IFERROR(__xludf.DUMMYFUNCTION("""COMPUTED_VALUE"""),0.0)</f>
        <v>0</v>
      </c>
      <c r="L287" s="16">
        <f>IFERROR(__xludf.DUMMYFUNCTION("""COMPUTED_VALUE"""),-3.0)</f>
        <v>-3</v>
      </c>
      <c r="M287" s="16">
        <f>IFERROR(__xludf.DUMMYFUNCTION("""COMPUTED_VALUE"""),15.0)</f>
        <v>15</v>
      </c>
      <c r="N287" s="16">
        <f>IFERROR(__xludf.DUMMYFUNCTION("""COMPUTED_VALUE"""),8.0)</f>
        <v>8</v>
      </c>
      <c r="O287" s="16">
        <f>IFERROR(__xludf.DUMMYFUNCTION("""COMPUTED_VALUE"""),-2.0)</f>
        <v>-2</v>
      </c>
      <c r="P287" s="16">
        <f>IFERROR(__xludf.DUMMYFUNCTION("""COMPUTED_VALUE"""),0.0)</f>
        <v>0</v>
      </c>
      <c r="Q287" s="16">
        <f>IFERROR(__xludf.DUMMYFUNCTION("""COMPUTED_VALUE"""),-2.0)</f>
        <v>-2</v>
      </c>
      <c r="R287" s="16">
        <f>IFERROR(__xludf.DUMMYFUNCTION("""COMPUTED_VALUE"""),0.0)</f>
        <v>0</v>
      </c>
      <c r="S287" s="16">
        <f>IFERROR(__xludf.DUMMYFUNCTION("""COMPUTED_VALUE"""),9.9)</f>
        <v>9.9</v>
      </c>
      <c r="T287" s="16">
        <f>IFERROR(__xludf.DUMMYFUNCTION("""COMPUTED_VALUE"""),14.2)</f>
        <v>14.2</v>
      </c>
      <c r="U287" s="16">
        <f>IFERROR(__xludf.DUMMYFUNCTION("""COMPUTED_VALUE"""),1.0)</f>
        <v>1</v>
      </c>
      <c r="V287" s="16">
        <f>IFERROR(__xludf.DUMMYFUNCTION("""COMPUTED_VALUE"""),0.0)</f>
        <v>0</v>
      </c>
      <c r="W287" s="16">
        <f>IFERROR(__xludf.DUMMYFUNCTION("""COMPUTED_VALUE"""),2.0)</f>
        <v>2</v>
      </c>
      <c r="X287" s="16">
        <f>IFERROR(__xludf.DUMMYFUNCTION("""COMPUTED_VALUE"""),0.0)</f>
        <v>0</v>
      </c>
      <c r="Y287" s="16">
        <f>IFERROR(__xludf.DUMMYFUNCTION("""COMPUTED_VALUE"""),24.9)</f>
        <v>24.9</v>
      </c>
      <c r="Z287" s="16">
        <f>IFERROR(__xludf.DUMMYFUNCTION("""COMPUTED_VALUE"""),22.2)</f>
        <v>22.2</v>
      </c>
      <c r="AA287" s="16">
        <f>IFERROR(__xludf.DUMMYFUNCTION("""COMPUTED_VALUE"""),0.0)</f>
        <v>0</v>
      </c>
      <c r="AB287" s="16">
        <f>IFERROR(__xludf.DUMMYFUNCTION("""COMPUTED_VALUE"""),1.0)</f>
        <v>1</v>
      </c>
      <c r="AC287" s="16">
        <f>IFERROR(__xludf.DUMMYFUNCTION("""COMPUTED_VALUE"""),0.0)</f>
        <v>0</v>
      </c>
      <c r="AD287" s="16">
        <f>IFERROR(__xludf.DUMMYFUNCTION("""COMPUTED_VALUE"""),5.0)</f>
        <v>5</v>
      </c>
      <c r="AE287" s="16">
        <f>IFERROR(__xludf.DUMMYFUNCTION("""COMPUTED_VALUE"""),20.2)</f>
        <v>20.2</v>
      </c>
      <c r="AF287" s="16">
        <f>IFERROR(__xludf.DUMMYFUNCTION("""COMPUTED_VALUE"""),22.1)</f>
        <v>22.1</v>
      </c>
      <c r="AG287" s="16">
        <f>IFERROR(__xludf.DUMMYFUNCTION("""COMPUTED_VALUE"""),1.0)</f>
        <v>1</v>
      </c>
      <c r="AH287" s="16">
        <f>IFERROR(__xludf.DUMMYFUNCTION("""COMPUTED_VALUE"""),1.0)</f>
        <v>1</v>
      </c>
      <c r="AI287" s="16">
        <f>IFERROR(__xludf.DUMMYFUNCTION("""COMPUTED_VALUE"""),2.0)</f>
        <v>2</v>
      </c>
      <c r="AJ287" s="16">
        <f>IFERROR(__xludf.DUMMYFUNCTION("""COMPUTED_VALUE"""),2.0)</f>
        <v>2</v>
      </c>
      <c r="AK287" s="16">
        <f>IFERROR(__xludf.DUMMYFUNCTION("""COMPUTED_VALUE"""),6.9)</f>
        <v>6.9</v>
      </c>
      <c r="AL287" s="16">
        <f>IFERROR(__xludf.DUMMYFUNCTION("""COMPUTED_VALUE"""),13.0)</f>
        <v>13</v>
      </c>
      <c r="AM287" s="16">
        <f>IFERROR(__xludf.DUMMYFUNCTION("""COMPUTED_VALUE"""),1.0)</f>
        <v>1</v>
      </c>
      <c r="AN287" s="16">
        <f>IFERROR(__xludf.DUMMYFUNCTION("""COMPUTED_VALUE"""),0.0)</f>
        <v>0</v>
      </c>
      <c r="AO287" s="16">
        <f>IFERROR(__xludf.DUMMYFUNCTION("""COMPUTED_VALUE"""),1.0)</f>
        <v>1</v>
      </c>
      <c r="AP287" s="16">
        <f>IFERROR(__xludf.DUMMYFUNCTION("""COMPUTED_VALUE"""),0.0)</f>
        <v>0</v>
      </c>
      <c r="AQ287" s="16">
        <f>IFERROR(__xludf.DUMMYFUNCTION("""COMPUTED_VALUE"""),8.2)</f>
        <v>8.2</v>
      </c>
      <c r="AR287" s="16">
        <f>IFERROR(__xludf.DUMMYFUNCTION("""COMPUTED_VALUE"""),17.3)</f>
        <v>17.3</v>
      </c>
      <c r="AS287" s="16">
        <f>IFERROR(__xludf.DUMMYFUNCTION("""COMPUTED_VALUE"""),1.0)</f>
        <v>1</v>
      </c>
      <c r="AT287" s="16">
        <f>IFERROR(__xludf.DUMMYFUNCTION("""COMPUTED_VALUE"""),0.0)</f>
        <v>0</v>
      </c>
      <c r="AU287" s="16">
        <f>IFERROR(__xludf.DUMMYFUNCTION("""COMPUTED_VALUE"""),2.0)</f>
        <v>2</v>
      </c>
      <c r="AV287" s="16">
        <f>IFERROR(__xludf.DUMMYFUNCTION("""COMPUTED_VALUE"""),0.0)</f>
        <v>0</v>
      </c>
      <c r="AW287" s="16">
        <f>IFERROR(__xludf.DUMMYFUNCTION("""COMPUTED_VALUE"""),3.0)</f>
        <v>3</v>
      </c>
      <c r="AX287" s="16">
        <f>IFERROR(__xludf.DUMMYFUNCTION("""COMPUTED_VALUE"""),1.2)</f>
        <v>1.2</v>
      </c>
      <c r="AY287" s="16">
        <f>IFERROR(__xludf.DUMMYFUNCTION("""COMPUTED_VALUE"""),-1.0)</f>
        <v>-1</v>
      </c>
      <c r="AZ287" s="16">
        <f>IFERROR(__xludf.DUMMYFUNCTION("""COMPUTED_VALUE"""),1.0)</f>
        <v>1</v>
      </c>
      <c r="BA287" s="16">
        <f>IFERROR(__xludf.DUMMYFUNCTION("""COMPUTED_VALUE"""),-5.0)</f>
        <v>-5</v>
      </c>
      <c r="BB287" s="16">
        <f>IFERROR(__xludf.DUMMYFUNCTION("""COMPUTED_VALUE"""),5.0)</f>
        <v>5</v>
      </c>
      <c r="BC287" s="16">
        <f>IFERROR(__xludf.DUMMYFUNCTION("""COMPUTED_VALUE"""),5.0)</f>
        <v>5</v>
      </c>
      <c r="BD287" s="16">
        <f>IFERROR(__xludf.DUMMYFUNCTION("""COMPUTED_VALUE"""),2.0)</f>
        <v>2</v>
      </c>
      <c r="BE287" s="16">
        <f>IFERROR(__xludf.DUMMYFUNCTION("""COMPUTED_VALUE"""),5.0)</f>
        <v>5</v>
      </c>
      <c r="BF287" s="16">
        <f>IFERROR(__xludf.DUMMYFUNCTION("""COMPUTED_VALUE"""),2.0)</f>
        <v>2</v>
      </c>
      <c r="BG287" s="16">
        <f>IFERROR(__xludf.DUMMYFUNCTION("""COMPUTED_VALUE"""),-2.0)</f>
        <v>-2</v>
      </c>
      <c r="BH287" s="16">
        <f>IFERROR(__xludf.DUMMYFUNCTION("""COMPUTED_VALUE"""),1.0)</f>
        <v>1</v>
      </c>
      <c r="BI287" s="16">
        <f>IFERROR(__xludf.DUMMYFUNCTION("""COMPUTED_VALUE"""),-4.0)</f>
        <v>-4</v>
      </c>
      <c r="BJ287" s="16">
        <f>IFERROR(__xludf.DUMMYFUNCTION("""COMPUTED_VALUE"""),2.0)</f>
        <v>2</v>
      </c>
      <c r="BK287" s="16">
        <f>IFERROR(__xludf.DUMMYFUNCTION("""COMPUTED_VALUE"""),5.0)</f>
        <v>5</v>
      </c>
      <c r="BL287" s="16">
        <f>IFERROR(__xludf.DUMMYFUNCTION("""COMPUTED_VALUE"""),5.0)</f>
        <v>5</v>
      </c>
      <c r="BM287" s="16">
        <f>IFERROR(__xludf.DUMMYFUNCTION("""COMPUTED_VALUE"""),0.0)</f>
        <v>0</v>
      </c>
      <c r="BN287" s="16">
        <f>IFERROR(__xludf.DUMMYFUNCTION("""COMPUTED_VALUE"""),0.0)</f>
        <v>0</v>
      </c>
      <c r="BO287" s="16">
        <f>IFERROR(__xludf.DUMMYFUNCTION("""COMPUTED_VALUE"""),0.0)</f>
        <v>0</v>
      </c>
      <c r="BP287" s="16">
        <f>IFERROR(__xludf.DUMMYFUNCTION("""COMPUTED_VALUE"""),0.0)</f>
        <v>0</v>
      </c>
      <c r="BQ287" s="16">
        <f>IFERROR(__xludf.DUMMYFUNCTION("""COMPUTED_VALUE"""),0.0)</f>
        <v>0</v>
      </c>
      <c r="BR287" s="16">
        <f>IFERROR(__xludf.DUMMYFUNCTION("""COMPUTED_VALUE"""),2.0)</f>
        <v>2</v>
      </c>
      <c r="BS287" s="16">
        <f>IFERROR(__xludf.DUMMYFUNCTION("""COMPUTED_VALUE"""),-3.0)</f>
        <v>-3</v>
      </c>
      <c r="BT287" s="16">
        <f>IFERROR(__xludf.DUMMYFUNCTION("""COMPUTED_VALUE"""),-2.0)</f>
        <v>-2</v>
      </c>
      <c r="BU287" s="16">
        <f>IFERROR(__xludf.DUMMYFUNCTION("""COMPUTED_VALUE"""),-6.0)</f>
        <v>-6</v>
      </c>
      <c r="BV287" s="16">
        <f>IFERROR(__xludf.DUMMYFUNCTION("""COMPUTED_VALUE"""),-4.0)</f>
        <v>-4</v>
      </c>
      <c r="BW287" s="16">
        <f>IFERROR(__xludf.DUMMYFUNCTION("""COMPUTED_VALUE"""),-1.0)</f>
        <v>-1</v>
      </c>
      <c r="BX287" s="16">
        <f>IFERROR(__xludf.DUMMYFUNCTION("""COMPUTED_VALUE"""),-1.0)</f>
        <v>-1</v>
      </c>
      <c r="BY287" s="16" t="str">
        <f>IFERROR(__xludf.DUMMYFUNCTION("""COMPUTED_VALUE"""),"S(5)")</f>
        <v>S(5)</v>
      </c>
      <c r="BZ287" s="16" t="str">
        <f>IFERROR(__xludf.DUMMYFUNCTION("""COMPUTED_VALUE"""),"S(5)")</f>
        <v>S(5)</v>
      </c>
      <c r="CA287" s="16" t="str">
        <f>IFERROR(__xludf.DUMMYFUNCTION("""COMPUTED_VALUE"""),"S(5)")</f>
        <v>S(5)</v>
      </c>
      <c r="CB287" s="16"/>
      <c r="CC287" s="16"/>
      <c r="CD287" s="16">
        <f>IFERROR(__xludf.DUMMYFUNCTION("""COMPUTED_VALUE"""),5.0)</f>
        <v>5</v>
      </c>
      <c r="CE287" s="16"/>
      <c r="CF287" s="16"/>
      <c r="CG287" s="16" t="str">
        <f>IFERROR(__xludf.DUMMYFUNCTION("""COMPUTED_VALUE"""),"1-22")</f>
        <v>1-22</v>
      </c>
      <c r="CH287" s="16">
        <f>IFERROR(__xludf.DUMMYFUNCTION("""COMPUTED_VALUE"""),1.0)</f>
        <v>1</v>
      </c>
      <c r="CI287" s="16">
        <f>IFERROR(__xludf.DUMMYFUNCTION("""COMPUTED_VALUE"""),22.0)</f>
        <v>22</v>
      </c>
      <c r="CJ287" s="16">
        <f>IFERROR(__xludf.DUMMYFUNCTION("""COMPUTED_VALUE"""),3.0)</f>
        <v>3</v>
      </c>
      <c r="CK287" s="16">
        <f>IFERROR(__xludf.DUMMYFUNCTION("""COMPUTED_VALUE"""),1.0)</f>
        <v>1</v>
      </c>
      <c r="CL287" s="16" t="str">
        <f>IFERROR(__xludf.DUMMYFUNCTION("""COMPUTED_VALUE"""),"1WR-C")</f>
        <v>1WR-C</v>
      </c>
      <c r="CM287" s="16" t="str">
        <f>IFERROR(__xludf.DUMMYFUNCTION("""COMPUTED_VALUE"""),"E")</f>
        <v>E</v>
      </c>
      <c r="CN287" s="16">
        <f>IFERROR(__xludf.DUMMYFUNCTION("""COMPUTED_VALUE"""),10.0)</f>
        <v>10</v>
      </c>
      <c r="CO287" s="16" t="str">
        <f>IFERROR(__xludf.DUMMYFUNCTION("""COMPUTED_VALUE"""),"C")</f>
        <v>C</v>
      </c>
      <c r="CP287" s="16" t="str">
        <f>IFERROR(__xludf.DUMMYFUNCTION("""COMPUTED_VALUE"""),"2p65")</f>
        <v>2p65</v>
      </c>
      <c r="CQ287" s="16">
        <f>IFERROR(__xludf.DUMMYFUNCTION("""COMPUTED_VALUE"""),-10.0)</f>
        <v>-10</v>
      </c>
      <c r="CR287" s="16">
        <f>IFERROR(__xludf.DUMMYFUNCTION("""COMPUTED_VALUE"""),7.0)</f>
        <v>7</v>
      </c>
      <c r="CS287" s="16">
        <f>IFERROR(__xludf.DUMMYFUNCTION("""COMPUTED_VALUE"""),-3.0)</f>
        <v>-3</v>
      </c>
      <c r="CT287" s="16">
        <f>IFERROR(__xludf.DUMMYFUNCTION("""COMPUTED_VALUE"""),-10.0)</f>
        <v>-10</v>
      </c>
      <c r="CU287" s="16">
        <f>IFERROR(__xludf.DUMMYFUNCTION("""COMPUTED_VALUE"""),7.0)</f>
        <v>7</v>
      </c>
      <c r="CV287" s="179">
        <f>IFERROR(__xludf.DUMMYFUNCTION("""COMPUTED_VALUE"""),0.666666666666667)</f>
        <v>0.6666666667</v>
      </c>
      <c r="CW287" s="179">
        <f>IFERROR(__xludf.DUMMYFUNCTION("""COMPUTED_VALUE"""),3.0)</f>
        <v>3</v>
      </c>
      <c r="CX287" s="179">
        <f>IFERROR(__xludf.DUMMYFUNCTION("""COMPUTED_VALUE"""),2.0)</f>
        <v>2</v>
      </c>
      <c r="CY287" s="16" t="str">
        <f>IFERROR(__xludf.DUMMYFUNCTION("""COMPUTED_VALUE"""),"SP")</f>
        <v>SP</v>
      </c>
      <c r="CZ287" s="16"/>
      <c r="DA287" s="16"/>
      <c r="DB287" s="16"/>
      <c r="DC287" s="16"/>
      <c r="DD287" s="16"/>
      <c r="DE287" s="16"/>
      <c r="DF287" s="16"/>
      <c r="DG287" s="16"/>
      <c r="DH287" s="16"/>
      <c r="DI287" s="16"/>
      <c r="DJ287" s="16"/>
      <c r="DK287" s="16"/>
    </row>
    <row r="288">
      <c r="A288" s="16">
        <f>IFERROR(__xludf.DUMMYFUNCTION("""COMPUTED_VALUE"""),13020.0)</f>
        <v>13020</v>
      </c>
      <c r="B288" s="16" t="str">
        <f>IFERROR(__xludf.DUMMYFUNCTION("""COMPUTED_VALUE"""),"Jose Leclerc")</f>
        <v>Jose Leclerc</v>
      </c>
      <c r="C288" s="153">
        <f>IFERROR(__xludf.DUMMYFUNCTION("""COMPUTED_VALUE"""),0.0)</f>
        <v>0</v>
      </c>
      <c r="D288" s="16"/>
      <c r="E288" s="16" t="str">
        <f>IFERROR(__xludf.DUMMYFUNCTION("""COMPUTED_VALUE"""),"R")</f>
        <v>R</v>
      </c>
      <c r="F288" s="16">
        <f>IFERROR(__xludf.DUMMYFUNCTION("""COMPUTED_VALUE"""),67.0)</f>
        <v>67</v>
      </c>
      <c r="G288" s="16">
        <f>IFERROR(__xludf.DUMMYFUNCTION("""COMPUTED_VALUE"""),19.0)</f>
        <v>19</v>
      </c>
      <c r="H288" s="16">
        <f>IFERROR(__xludf.DUMMYFUNCTION("""COMPUTED_VALUE"""),53.0)</f>
        <v>53</v>
      </c>
      <c r="I288" s="16">
        <f>IFERROR(__xludf.DUMMYFUNCTION("""COMPUTED_VALUE"""),-1.0)</f>
        <v>-1</v>
      </c>
      <c r="J288" s="16">
        <f>IFERROR(__xludf.DUMMYFUNCTION("""COMPUTED_VALUE"""),3.0)</f>
        <v>3</v>
      </c>
      <c r="K288" s="16">
        <f>IFERROR(__xludf.DUMMYFUNCTION("""COMPUTED_VALUE"""),-3.0)</f>
        <v>-3</v>
      </c>
      <c r="L288" s="16">
        <f>IFERROR(__xludf.DUMMYFUNCTION("""COMPUTED_VALUE"""),9.0)</f>
        <v>9</v>
      </c>
      <c r="M288" s="16">
        <f>IFERROR(__xludf.DUMMYFUNCTION("""COMPUTED_VALUE"""),27.0)</f>
        <v>27</v>
      </c>
      <c r="N288" s="16">
        <f>IFERROR(__xludf.DUMMYFUNCTION("""COMPUTED_VALUE"""),9.0)</f>
        <v>9</v>
      </c>
      <c r="O288" s="16">
        <f>IFERROR(__xludf.DUMMYFUNCTION("""COMPUTED_VALUE"""),-3.0)</f>
        <v>-3</v>
      </c>
      <c r="P288" s="16">
        <f>IFERROR(__xludf.DUMMYFUNCTION("""COMPUTED_VALUE"""),0.0)</f>
        <v>0</v>
      </c>
      <c r="Q288" s="16">
        <f>IFERROR(__xludf.DUMMYFUNCTION("""COMPUTED_VALUE"""),-3.0)</f>
        <v>-3</v>
      </c>
      <c r="R288" s="16">
        <f>IFERROR(__xludf.DUMMYFUNCTION("""COMPUTED_VALUE"""),0.0)</f>
        <v>0</v>
      </c>
      <c r="S288" s="16">
        <f>IFERROR(__xludf.DUMMYFUNCTION("""COMPUTED_VALUE"""),22.8)</f>
        <v>22.8</v>
      </c>
      <c r="T288" s="16">
        <f>IFERROR(__xludf.DUMMYFUNCTION("""COMPUTED_VALUE"""),8.3)</f>
        <v>8.3</v>
      </c>
      <c r="U288" s="16">
        <f>IFERROR(__xludf.DUMMYFUNCTION("""COMPUTED_VALUE"""),-1.0)</f>
        <v>-1</v>
      </c>
      <c r="V288" s="16">
        <f>IFERROR(__xludf.DUMMYFUNCTION("""COMPUTED_VALUE"""),1.0)</f>
        <v>1</v>
      </c>
      <c r="W288" s="16">
        <f>IFERROR(__xludf.DUMMYFUNCTION("""COMPUTED_VALUE"""),-2.0)</f>
        <v>-2</v>
      </c>
      <c r="X288" s="16">
        <f>IFERROR(__xludf.DUMMYFUNCTION("""COMPUTED_VALUE"""),2.0)</f>
        <v>2</v>
      </c>
      <c r="Y288" s="16">
        <f>IFERROR(__xludf.DUMMYFUNCTION("""COMPUTED_VALUE"""),49.8)</f>
        <v>49.8</v>
      </c>
      <c r="Z288" s="16">
        <f>IFERROR(__xludf.DUMMYFUNCTION("""COMPUTED_VALUE"""),17.3)</f>
        <v>17.3</v>
      </c>
      <c r="AA288" s="16">
        <f>IFERROR(__xludf.DUMMYFUNCTION("""COMPUTED_VALUE"""),-3.0)</f>
        <v>-3</v>
      </c>
      <c r="AB288" s="16">
        <f>IFERROR(__xludf.DUMMYFUNCTION("""COMPUTED_VALUE"""),1.0)</f>
        <v>1</v>
      </c>
      <c r="AC288" s="16">
        <f>IFERROR(__xludf.DUMMYFUNCTION("""COMPUTED_VALUE"""),-15.0)</f>
        <v>-15</v>
      </c>
      <c r="AD288" s="16">
        <f>IFERROR(__xludf.DUMMYFUNCTION("""COMPUTED_VALUE"""),5.0)</f>
        <v>5</v>
      </c>
      <c r="AE288" s="16">
        <f>IFERROR(__xludf.DUMMYFUNCTION("""COMPUTED_VALUE"""),24.5)</f>
        <v>24.5</v>
      </c>
      <c r="AF288" s="16">
        <f>IFERROR(__xludf.DUMMYFUNCTION("""COMPUTED_VALUE"""),18.3)</f>
        <v>18.3</v>
      </c>
      <c r="AG288" s="16">
        <f>IFERROR(__xludf.DUMMYFUNCTION("""COMPUTED_VALUE"""),0.0)</f>
        <v>0</v>
      </c>
      <c r="AH288" s="16">
        <f>IFERROR(__xludf.DUMMYFUNCTION("""COMPUTED_VALUE"""),1.0)</f>
        <v>1</v>
      </c>
      <c r="AI288" s="16">
        <f>IFERROR(__xludf.DUMMYFUNCTION("""COMPUTED_VALUE"""),0.0)</f>
        <v>0</v>
      </c>
      <c r="AJ288" s="16">
        <f>IFERROR(__xludf.DUMMYFUNCTION("""COMPUTED_VALUE"""),2.0)</f>
        <v>2</v>
      </c>
      <c r="AK288" s="16">
        <f>IFERROR(__xludf.DUMMYFUNCTION("""COMPUTED_VALUE"""),22.2)</f>
        <v>22.2</v>
      </c>
      <c r="AL288" s="16">
        <f>IFERROR(__xludf.DUMMYFUNCTION("""COMPUTED_VALUE"""),6.300000000000001)</f>
        <v>6.3</v>
      </c>
      <c r="AM288" s="16">
        <f>IFERROR(__xludf.DUMMYFUNCTION("""COMPUTED_VALUE"""),-2.0)</f>
        <v>-2</v>
      </c>
      <c r="AN288" s="16">
        <f>IFERROR(__xludf.DUMMYFUNCTION("""COMPUTED_VALUE"""),1.0)</f>
        <v>1</v>
      </c>
      <c r="AO288" s="16">
        <f>IFERROR(__xludf.DUMMYFUNCTION("""COMPUTED_VALUE"""),-2.0)</f>
        <v>-2</v>
      </c>
      <c r="AP288" s="16">
        <f>IFERROR(__xludf.DUMMYFUNCTION("""COMPUTED_VALUE"""),1.0)</f>
        <v>1</v>
      </c>
      <c r="AQ288" s="16">
        <f>IFERROR(__xludf.DUMMYFUNCTION("""COMPUTED_VALUE"""),22.1)</f>
        <v>22.1</v>
      </c>
      <c r="AR288" s="16">
        <f>IFERROR(__xludf.DUMMYFUNCTION("""COMPUTED_VALUE"""),10.3)</f>
        <v>10.3</v>
      </c>
      <c r="AS288" s="16">
        <f>IFERROR(__xludf.DUMMYFUNCTION("""COMPUTED_VALUE"""),0.0)</f>
        <v>0</v>
      </c>
      <c r="AT288" s="16">
        <f>IFERROR(__xludf.DUMMYFUNCTION("""COMPUTED_VALUE"""),1.0)</f>
        <v>1</v>
      </c>
      <c r="AU288" s="16">
        <f>IFERROR(__xludf.DUMMYFUNCTION("""COMPUTED_VALUE"""),0.0)</f>
        <v>0</v>
      </c>
      <c r="AV288" s="16">
        <f>IFERROR(__xludf.DUMMYFUNCTION("""COMPUTED_VALUE"""),2.0)</f>
        <v>2</v>
      </c>
      <c r="AW288" s="16">
        <f>IFERROR(__xludf.DUMMYFUNCTION("""COMPUTED_VALUE"""),0.6)</f>
        <v>0.6</v>
      </c>
      <c r="AX288" s="16">
        <f>IFERROR(__xludf.DUMMYFUNCTION("""COMPUTED_VALUE"""),2.0)</f>
        <v>2</v>
      </c>
      <c r="AY288" s="16">
        <f>IFERROR(__xludf.DUMMYFUNCTION("""COMPUTED_VALUE"""),2.0)</f>
        <v>2</v>
      </c>
      <c r="AZ288" s="16">
        <f>IFERROR(__xludf.DUMMYFUNCTION("""COMPUTED_VALUE"""),0.0)</f>
        <v>0</v>
      </c>
      <c r="BA288" s="16">
        <f>IFERROR(__xludf.DUMMYFUNCTION("""COMPUTED_VALUE"""),10.0)</f>
        <v>10</v>
      </c>
      <c r="BB288" s="16">
        <f>IFERROR(__xludf.DUMMYFUNCTION("""COMPUTED_VALUE"""),0.0)</f>
        <v>0</v>
      </c>
      <c r="BC288" s="16">
        <f>IFERROR(__xludf.DUMMYFUNCTION("""COMPUTED_VALUE"""),0.0)</f>
        <v>0</v>
      </c>
      <c r="BD288" s="16">
        <f>IFERROR(__xludf.DUMMYFUNCTION("""COMPUTED_VALUE"""),2.0)</f>
        <v>2</v>
      </c>
      <c r="BE288" s="16">
        <f>IFERROR(__xludf.DUMMYFUNCTION("""COMPUTED_VALUE"""),0.0)</f>
        <v>0</v>
      </c>
      <c r="BF288" s="16">
        <f>IFERROR(__xludf.DUMMYFUNCTION("""COMPUTED_VALUE"""),2.0)</f>
        <v>2</v>
      </c>
      <c r="BG288" s="16">
        <f>IFERROR(__xludf.DUMMYFUNCTION("""COMPUTED_VALUE"""),3.0)</f>
        <v>3</v>
      </c>
      <c r="BH288" s="16">
        <f>IFERROR(__xludf.DUMMYFUNCTION("""COMPUTED_VALUE"""),1.0)</f>
        <v>1</v>
      </c>
      <c r="BI288" s="16">
        <f>IFERROR(__xludf.DUMMYFUNCTION("""COMPUTED_VALUE"""),6.0)</f>
        <v>6</v>
      </c>
      <c r="BJ288" s="16">
        <f>IFERROR(__xludf.DUMMYFUNCTION("""COMPUTED_VALUE"""),2.0)</f>
        <v>2</v>
      </c>
      <c r="BK288" s="16">
        <f>IFERROR(__xludf.DUMMYFUNCTION("""COMPUTED_VALUE"""),5.0)</f>
        <v>5</v>
      </c>
      <c r="BL288" s="16">
        <f>IFERROR(__xludf.DUMMYFUNCTION("""COMPUTED_VALUE"""),5.0)</f>
        <v>5</v>
      </c>
      <c r="BM288" s="16">
        <f>IFERROR(__xludf.DUMMYFUNCTION("""COMPUTED_VALUE"""),0.0)</f>
        <v>0</v>
      </c>
      <c r="BN288" s="16">
        <f>IFERROR(__xludf.DUMMYFUNCTION("""COMPUTED_VALUE"""),0.0)</f>
        <v>0</v>
      </c>
      <c r="BO288" s="16">
        <f>IFERROR(__xludf.DUMMYFUNCTION("""COMPUTED_VALUE"""),0.0)</f>
        <v>0</v>
      </c>
      <c r="BP288" s="16">
        <f>IFERROR(__xludf.DUMMYFUNCTION("""COMPUTED_VALUE"""),0.0)</f>
        <v>0</v>
      </c>
      <c r="BQ288" s="16">
        <f>IFERROR(__xludf.DUMMYFUNCTION("""COMPUTED_VALUE"""),0.0)</f>
        <v>0</v>
      </c>
      <c r="BR288" s="16">
        <f>IFERROR(__xludf.DUMMYFUNCTION("""COMPUTED_VALUE"""),0.0)</f>
        <v>0</v>
      </c>
      <c r="BS288" s="16">
        <f>IFERROR(__xludf.DUMMYFUNCTION("""COMPUTED_VALUE"""),-3.0)</f>
        <v>-3</v>
      </c>
      <c r="BT288" s="16">
        <f>IFERROR(__xludf.DUMMYFUNCTION("""COMPUTED_VALUE"""),-3.0)</f>
        <v>-3</v>
      </c>
      <c r="BU288" s="16">
        <f>IFERROR(__xludf.DUMMYFUNCTION("""COMPUTED_VALUE"""),-6.0)</f>
        <v>-6</v>
      </c>
      <c r="BV288" s="16">
        <f>IFERROR(__xludf.DUMMYFUNCTION("""COMPUTED_VALUE"""),-6.0)</f>
        <v>-6</v>
      </c>
      <c r="BW288" s="16">
        <f>IFERROR(__xludf.DUMMYFUNCTION("""COMPUTED_VALUE"""),5.0)</f>
        <v>5</v>
      </c>
      <c r="BX288" s="16">
        <f>IFERROR(__xludf.DUMMYFUNCTION("""COMPUTED_VALUE"""),5.0)</f>
        <v>5</v>
      </c>
      <c r="BY288" s="16" t="str">
        <f>IFERROR(__xludf.DUMMYFUNCTION("""COMPUTED_VALUE"""),"R(1) C(0)")</f>
        <v>R(1) C(0)</v>
      </c>
      <c r="BZ288" s="16" t="str">
        <f>IFERROR(__xludf.DUMMYFUNCTION("""COMPUTED_VALUE"""),"R(1) C(0)")</f>
        <v>R(1) C(0)</v>
      </c>
      <c r="CA288" s="16" t="str">
        <f>IFERROR(__xludf.DUMMYFUNCTION("""COMPUTED_VALUE"""),"R(1)")</f>
        <v>R(1)</v>
      </c>
      <c r="CB288" s="16" t="str">
        <f>IFERROR(__xludf.DUMMYFUNCTION("""COMPUTED_VALUE"""),"C(0)")</f>
        <v>C(0)</v>
      </c>
      <c r="CC288" s="16"/>
      <c r="CD288" s="16"/>
      <c r="CE288" s="16">
        <f>IFERROR(__xludf.DUMMYFUNCTION("""COMPUTED_VALUE"""),1.0)</f>
        <v>1</v>
      </c>
      <c r="CF288" s="16">
        <f>IFERROR(__xludf.DUMMYFUNCTION("""COMPUTED_VALUE"""),0.0)</f>
        <v>0</v>
      </c>
      <c r="CG288" s="16" t="str">
        <f>IFERROR(__xludf.DUMMYFUNCTION("""COMPUTED_VALUE"""),"2-21")</f>
        <v>2-21</v>
      </c>
      <c r="CH288" s="16">
        <f>IFERROR(__xludf.DUMMYFUNCTION("""COMPUTED_VALUE"""),2.0)</f>
        <v>2</v>
      </c>
      <c r="CI288" s="16">
        <f>IFERROR(__xludf.DUMMYFUNCTION("""COMPUTED_VALUE"""),21.0)</f>
        <v>21</v>
      </c>
      <c r="CJ288" s="16">
        <f>IFERROR(__xludf.DUMMYFUNCTION("""COMPUTED_VALUE"""),9.0)</f>
        <v>9</v>
      </c>
      <c r="CK288" s="16">
        <f>IFERROR(__xludf.DUMMYFUNCTION("""COMPUTED_VALUE"""),16.0)</f>
        <v>16</v>
      </c>
      <c r="CL288" s="16" t="str">
        <f>IFERROR(__xludf.DUMMYFUNCTION("""COMPUTED_VALUE"""),"1WR-C")</f>
        <v>1WR-C</v>
      </c>
      <c r="CM288" s="16" t="str">
        <f>IFERROR(__xludf.DUMMYFUNCTION("""COMPUTED_VALUE"""),"E")</f>
        <v>E</v>
      </c>
      <c r="CN288" s="16">
        <f>IFERROR(__xludf.DUMMYFUNCTION("""COMPUTED_VALUE"""),10.0)</f>
        <v>10</v>
      </c>
      <c r="CO288" s="16" t="str">
        <f>IFERROR(__xludf.DUMMYFUNCTION("""COMPUTED_VALUE"""),"C")</f>
        <v>C</v>
      </c>
      <c r="CP288" s="16" t="str">
        <f>IFERROR(__xludf.DUMMYFUNCTION("""COMPUTED_VALUE"""),"1p60")</f>
        <v>1p60</v>
      </c>
      <c r="CQ288" s="16">
        <f>IFERROR(__xludf.DUMMYFUNCTION("""COMPUTED_VALUE"""),-15.0)</f>
        <v>-15</v>
      </c>
      <c r="CR288" s="16">
        <f>IFERROR(__xludf.DUMMYFUNCTION("""COMPUTED_VALUE"""),17.0)</f>
        <v>17</v>
      </c>
      <c r="CS288" s="16">
        <f>IFERROR(__xludf.DUMMYFUNCTION("""COMPUTED_VALUE"""),2.0)</f>
        <v>2</v>
      </c>
      <c r="CT288" s="16">
        <f>IFERROR(__xludf.DUMMYFUNCTION("""COMPUTED_VALUE"""),-15.0)</f>
        <v>-15</v>
      </c>
      <c r="CU288" s="16">
        <f>IFERROR(__xludf.DUMMYFUNCTION("""COMPUTED_VALUE"""),17.0)</f>
        <v>17</v>
      </c>
      <c r="CV288" s="179">
        <f>IFERROR(__xludf.DUMMYFUNCTION("""COMPUTED_VALUE"""),0.666666666666667)</f>
        <v>0.6666666667</v>
      </c>
      <c r="CW288" s="179">
        <f>IFERROR(__xludf.DUMMYFUNCTION("""COMPUTED_VALUE"""),4.0)</f>
        <v>4</v>
      </c>
      <c r="CX288" s="179">
        <f>IFERROR(__xludf.DUMMYFUNCTION("""COMPUTED_VALUE"""),1.0)</f>
        <v>1</v>
      </c>
      <c r="CY288" s="16" t="str">
        <f>IFERROR(__xludf.DUMMYFUNCTION("""COMPUTED_VALUE"""),"RP")</f>
        <v>RP</v>
      </c>
      <c r="CZ288" s="16" t="str">
        <f>IFERROR(__xludf.DUMMYFUNCTION("""COMPUTED_VALUE"""),"CP")</f>
        <v>CP</v>
      </c>
      <c r="DA288" s="16"/>
      <c r="DB288" s="16"/>
      <c r="DC288" s="16"/>
      <c r="DD288" s="16"/>
      <c r="DE288" s="16"/>
      <c r="DF288" s="16"/>
      <c r="DG288" s="16"/>
      <c r="DH288" s="16"/>
      <c r="DI288" s="16"/>
      <c r="DJ288" s="16"/>
      <c r="DK288" s="16"/>
    </row>
    <row r="289">
      <c r="A289" s="16">
        <f>IFERROR(__xludf.DUMMYFUNCTION("""COMPUTED_VALUE"""),13374.0)</f>
        <v>13374</v>
      </c>
      <c r="B289" s="16" t="str">
        <f>IFERROR(__xludf.DUMMYFUNCTION("""COMPUTED_VALUE"""),"Shelby Miller")</f>
        <v>Shelby Miller</v>
      </c>
      <c r="C289" s="153">
        <f>IFERROR(__xludf.DUMMYFUNCTION("""COMPUTED_VALUE"""),0.0)</f>
        <v>0</v>
      </c>
      <c r="D289" s="16"/>
      <c r="E289" s="16" t="str">
        <f>IFERROR(__xludf.DUMMYFUNCTION("""COMPUTED_VALUE"""),"R")</f>
        <v>R</v>
      </c>
      <c r="F289" s="16">
        <f>IFERROR(__xludf.DUMMYFUNCTION("""COMPUTED_VALUE"""),56.0)</f>
        <v>56</v>
      </c>
      <c r="G289" s="16">
        <f>IFERROR(__xludf.DUMMYFUNCTION("""COMPUTED_VALUE"""),37.0)</f>
        <v>37</v>
      </c>
      <c r="H289" s="16">
        <f>IFERROR(__xludf.DUMMYFUNCTION("""COMPUTED_VALUE"""),13.0)</f>
        <v>13</v>
      </c>
      <c r="I289" s="16">
        <f>IFERROR(__xludf.DUMMYFUNCTION("""COMPUTED_VALUE"""),1.0)</f>
        <v>1</v>
      </c>
      <c r="J289" s="16">
        <f>IFERROR(__xludf.DUMMYFUNCTION("""COMPUTED_VALUE"""),-2.0)</f>
        <v>-2</v>
      </c>
      <c r="K289" s="16">
        <f>IFERROR(__xludf.DUMMYFUNCTION("""COMPUTED_VALUE"""),3.0)</f>
        <v>3</v>
      </c>
      <c r="L289" s="16">
        <f>IFERROR(__xludf.DUMMYFUNCTION("""COMPUTED_VALUE"""),-6.0)</f>
        <v>-6</v>
      </c>
      <c r="M289" s="16">
        <f>IFERROR(__xludf.DUMMYFUNCTION("""COMPUTED_VALUE"""),1.0)</f>
        <v>1</v>
      </c>
      <c r="N289" s="16">
        <f>IFERROR(__xludf.DUMMYFUNCTION("""COMPUTED_VALUE"""),8.0)</f>
        <v>8</v>
      </c>
      <c r="O289" s="16">
        <f>IFERROR(__xludf.DUMMYFUNCTION("""COMPUTED_VALUE"""),3.0)</f>
        <v>3</v>
      </c>
      <c r="P289" s="16">
        <f>IFERROR(__xludf.DUMMYFUNCTION("""COMPUTED_VALUE"""),0.0)</f>
        <v>0</v>
      </c>
      <c r="Q289" s="16">
        <f>IFERROR(__xludf.DUMMYFUNCTION("""COMPUTED_VALUE"""),3.0)</f>
        <v>3</v>
      </c>
      <c r="R289" s="16">
        <f>IFERROR(__xludf.DUMMYFUNCTION("""COMPUTED_VALUE"""),0.0)</f>
        <v>0</v>
      </c>
      <c r="S289" s="16">
        <f>IFERROR(__xludf.DUMMYFUNCTION("""COMPUTED_VALUE"""),4.6)</f>
        <v>4.6</v>
      </c>
      <c r="T289" s="16">
        <f>IFERROR(__xludf.DUMMYFUNCTION("""COMPUTED_VALUE"""),12.0)</f>
        <v>12</v>
      </c>
      <c r="U289" s="16">
        <f>IFERROR(__xludf.DUMMYFUNCTION("""COMPUTED_VALUE"""),2.0)</f>
        <v>2</v>
      </c>
      <c r="V289" s="16">
        <f>IFERROR(__xludf.DUMMYFUNCTION("""COMPUTED_VALUE"""),1.0)</f>
        <v>1</v>
      </c>
      <c r="W289" s="16">
        <f>IFERROR(__xludf.DUMMYFUNCTION("""COMPUTED_VALUE"""),4.0)</f>
        <v>4</v>
      </c>
      <c r="X289" s="16">
        <f>IFERROR(__xludf.DUMMYFUNCTION("""COMPUTED_VALUE"""),2.0)</f>
        <v>2</v>
      </c>
      <c r="Y289" s="16">
        <f>IFERROR(__xludf.DUMMYFUNCTION("""COMPUTED_VALUE"""),5.6)</f>
        <v>5.6</v>
      </c>
      <c r="Z289" s="16">
        <f>IFERROR(__xludf.DUMMYFUNCTION("""COMPUTED_VALUE"""),20.0)</f>
        <v>20</v>
      </c>
      <c r="AA289" s="16">
        <f>IFERROR(__xludf.DUMMYFUNCTION("""COMPUTED_VALUE"""),2.0)</f>
        <v>2</v>
      </c>
      <c r="AB289" s="16">
        <f>IFERROR(__xludf.DUMMYFUNCTION("""COMPUTED_VALUE"""),1.0)</f>
        <v>1</v>
      </c>
      <c r="AC289" s="16">
        <f>IFERROR(__xludf.DUMMYFUNCTION("""COMPUTED_VALUE"""),10.0)</f>
        <v>10</v>
      </c>
      <c r="AD289" s="16">
        <f>IFERROR(__xludf.DUMMYFUNCTION("""COMPUTED_VALUE"""),5.0)</f>
        <v>5</v>
      </c>
      <c r="AE289" s="16">
        <f>IFERROR(__xludf.DUMMYFUNCTION("""COMPUTED_VALUE"""),13.1)</f>
        <v>13.1</v>
      </c>
      <c r="AF289" s="16">
        <f>IFERROR(__xludf.DUMMYFUNCTION("""COMPUTED_VALUE"""),33.5)</f>
        <v>33.5</v>
      </c>
      <c r="AG289" s="16">
        <f>IFERROR(__xludf.DUMMYFUNCTION("""COMPUTED_VALUE"""),1.0)</f>
        <v>1</v>
      </c>
      <c r="AH289" s="16">
        <f>IFERROR(__xludf.DUMMYFUNCTION("""COMPUTED_VALUE"""),-1.0)</f>
        <v>-1</v>
      </c>
      <c r="AI289" s="16">
        <f>IFERROR(__xludf.DUMMYFUNCTION("""COMPUTED_VALUE"""),2.0)</f>
        <v>2</v>
      </c>
      <c r="AJ289" s="16">
        <f>IFERROR(__xludf.DUMMYFUNCTION("""COMPUTED_VALUE"""),-2.0)</f>
        <v>-2</v>
      </c>
      <c r="AK289" s="16">
        <f>IFERROR(__xludf.DUMMYFUNCTION("""COMPUTED_VALUE"""),2.5999999999999996)</f>
        <v>2.6</v>
      </c>
      <c r="AL289" s="16">
        <f>IFERROR(__xludf.DUMMYFUNCTION("""COMPUTED_VALUE"""),7.2)</f>
        <v>7.2</v>
      </c>
      <c r="AM289" s="16">
        <f>IFERROR(__xludf.DUMMYFUNCTION("""COMPUTED_VALUE"""),2.0)</f>
        <v>2</v>
      </c>
      <c r="AN289" s="16">
        <f>IFERROR(__xludf.DUMMYFUNCTION("""COMPUTED_VALUE"""),1.0)</f>
        <v>1</v>
      </c>
      <c r="AO289" s="16">
        <f>IFERROR(__xludf.DUMMYFUNCTION("""COMPUTED_VALUE"""),2.0)</f>
        <v>2</v>
      </c>
      <c r="AP289" s="16">
        <f>IFERROR(__xludf.DUMMYFUNCTION("""COMPUTED_VALUE"""),1.0)</f>
        <v>1</v>
      </c>
      <c r="AQ289" s="16">
        <f>IFERROR(__xludf.DUMMYFUNCTION("""COMPUTED_VALUE"""),5.1)</f>
        <v>5.1</v>
      </c>
      <c r="AR289" s="16">
        <f>IFERROR(__xludf.DUMMYFUNCTION("""COMPUTED_VALUE"""),14.3)</f>
        <v>14.3</v>
      </c>
      <c r="AS289" s="16">
        <f>IFERROR(__xludf.DUMMYFUNCTION("""COMPUTED_VALUE"""),2.0)</f>
        <v>2</v>
      </c>
      <c r="AT289" s="16">
        <f>IFERROR(__xludf.DUMMYFUNCTION("""COMPUTED_VALUE"""),1.0)</f>
        <v>1</v>
      </c>
      <c r="AU289" s="16">
        <f>IFERROR(__xludf.DUMMYFUNCTION("""COMPUTED_VALUE"""),4.0)</f>
        <v>4</v>
      </c>
      <c r="AV289" s="16">
        <f>IFERROR(__xludf.DUMMYFUNCTION("""COMPUTED_VALUE"""),2.0)</f>
        <v>2</v>
      </c>
      <c r="AW289" s="16">
        <f>IFERROR(__xludf.DUMMYFUNCTION("""COMPUTED_VALUE"""),2.0)</f>
        <v>2</v>
      </c>
      <c r="AX289" s="16">
        <f>IFERROR(__xludf.DUMMYFUNCTION("""COMPUTED_VALUE"""),4.8)</f>
        <v>4.8</v>
      </c>
      <c r="AY289" s="16">
        <f>IFERROR(__xludf.DUMMYFUNCTION("""COMPUTED_VALUE"""),0.0)</f>
        <v>0</v>
      </c>
      <c r="AZ289" s="16">
        <f>IFERROR(__xludf.DUMMYFUNCTION("""COMPUTED_VALUE"""),-2.0)</f>
        <v>-2</v>
      </c>
      <c r="BA289" s="16">
        <f>IFERROR(__xludf.DUMMYFUNCTION("""COMPUTED_VALUE"""),0.0)</f>
        <v>0</v>
      </c>
      <c r="BB289" s="16">
        <f>IFERROR(__xludf.DUMMYFUNCTION("""COMPUTED_VALUE"""),-10.0)</f>
        <v>-10</v>
      </c>
      <c r="BC289" s="16"/>
      <c r="BD289" s="16"/>
      <c r="BE289" s="16">
        <f>IFERROR(__xludf.DUMMYFUNCTION("""COMPUTED_VALUE"""),2.0)</f>
        <v>2</v>
      </c>
      <c r="BF289" s="16">
        <f>IFERROR(__xludf.DUMMYFUNCTION("""COMPUTED_VALUE"""),8.0)</f>
        <v>8</v>
      </c>
      <c r="BG289" s="16">
        <f>IFERROR(__xludf.DUMMYFUNCTION("""COMPUTED_VALUE"""),1.0)</f>
        <v>1</v>
      </c>
      <c r="BH289" s="16">
        <f>IFERROR(__xludf.DUMMYFUNCTION("""COMPUTED_VALUE"""),-3.0)</f>
        <v>-3</v>
      </c>
      <c r="BI289" s="16">
        <f>IFERROR(__xludf.DUMMYFUNCTION("""COMPUTED_VALUE"""),2.0)</f>
        <v>2</v>
      </c>
      <c r="BJ289" s="16">
        <f>IFERROR(__xludf.DUMMYFUNCTION("""COMPUTED_VALUE"""),-6.0)</f>
        <v>-6</v>
      </c>
      <c r="BK289" s="16">
        <f>IFERROR(__xludf.DUMMYFUNCTION("""COMPUTED_VALUE"""),0.0)</f>
        <v>0</v>
      </c>
      <c r="BL289" s="16">
        <f>IFERROR(__xludf.DUMMYFUNCTION("""COMPUTED_VALUE"""),0.0)</f>
        <v>0</v>
      </c>
      <c r="BM289" s="16">
        <f>IFERROR(__xludf.DUMMYFUNCTION("""COMPUTED_VALUE"""),1.0)</f>
        <v>1</v>
      </c>
      <c r="BN289" s="16">
        <f>IFERROR(__xludf.DUMMYFUNCTION("""COMPUTED_VALUE"""),1.0)</f>
        <v>1</v>
      </c>
      <c r="BO289" s="16">
        <f>IFERROR(__xludf.DUMMYFUNCTION("""COMPUTED_VALUE"""),1.0)</f>
        <v>1</v>
      </c>
      <c r="BP289" s="16">
        <f>IFERROR(__xludf.DUMMYFUNCTION("""COMPUTED_VALUE"""),1.0)</f>
        <v>1</v>
      </c>
      <c r="BQ289" s="16">
        <f>IFERROR(__xludf.DUMMYFUNCTION("""COMPUTED_VALUE"""),2.0)</f>
        <v>2</v>
      </c>
      <c r="BR289" s="16">
        <f>IFERROR(__xludf.DUMMYFUNCTION("""COMPUTED_VALUE"""),2.0)</f>
        <v>2</v>
      </c>
      <c r="BS289" s="16">
        <f>IFERROR(__xludf.DUMMYFUNCTION("""COMPUTED_VALUE"""),-2.0)</f>
        <v>-2</v>
      </c>
      <c r="BT289" s="16">
        <f>IFERROR(__xludf.DUMMYFUNCTION("""COMPUTED_VALUE"""),-2.0)</f>
        <v>-2</v>
      </c>
      <c r="BU289" s="16">
        <f>IFERROR(__xludf.DUMMYFUNCTION("""COMPUTED_VALUE"""),-4.0)</f>
        <v>-4</v>
      </c>
      <c r="BV289" s="16">
        <f>IFERROR(__xludf.DUMMYFUNCTION("""COMPUTED_VALUE"""),-4.0)</f>
        <v>-4</v>
      </c>
      <c r="BW289" s="16">
        <f>IFERROR(__xludf.DUMMYFUNCTION("""COMPUTED_VALUE"""),2.0)</f>
        <v>2</v>
      </c>
      <c r="BX289" s="16">
        <f>IFERROR(__xludf.DUMMYFUNCTION("""COMPUTED_VALUE"""),2.0)</f>
        <v>2</v>
      </c>
      <c r="BY289" s="16" t="str">
        <f>IFERROR(__xludf.DUMMYFUNCTION("""COMPUTED_VALUE"""),"R(1) C(1)")</f>
        <v>R(1) C(1)</v>
      </c>
      <c r="BZ289" s="16" t="str">
        <f>IFERROR(__xludf.DUMMYFUNCTION("""COMPUTED_VALUE"""),"R(1) C(1)")</f>
        <v>R(1) C(1)</v>
      </c>
      <c r="CA289" s="16" t="str">
        <f>IFERROR(__xludf.DUMMYFUNCTION("""COMPUTED_VALUE"""),"R(1)")</f>
        <v>R(1)</v>
      </c>
      <c r="CB289" s="16" t="str">
        <f>IFERROR(__xludf.DUMMYFUNCTION("""COMPUTED_VALUE"""),"C(1)")</f>
        <v>C(1)</v>
      </c>
      <c r="CC289" s="16"/>
      <c r="CD289" s="16"/>
      <c r="CE289" s="16">
        <f>IFERROR(__xludf.DUMMYFUNCTION("""COMPUTED_VALUE"""),1.0)</f>
        <v>1</v>
      </c>
      <c r="CF289" s="16">
        <f>IFERROR(__xludf.DUMMYFUNCTION("""COMPUTED_VALUE"""),1.0)</f>
        <v>1</v>
      </c>
      <c r="CG289" s="16" t="str">
        <f>IFERROR(__xludf.DUMMYFUNCTION("""COMPUTED_VALUE"""),"4-0")</f>
        <v>4-0</v>
      </c>
      <c r="CH289" s="16">
        <f>IFERROR(__xludf.DUMMYFUNCTION("""COMPUTED_VALUE"""),4.0)</f>
        <v>4</v>
      </c>
      <c r="CI289" s="16">
        <f>IFERROR(__xludf.DUMMYFUNCTION("""COMPUTED_VALUE"""),0.0)</f>
        <v>0</v>
      </c>
      <c r="CJ289" s="16">
        <f>IFERROR(__xludf.DUMMYFUNCTION("""COMPUTED_VALUE"""),0.0)</f>
        <v>0</v>
      </c>
      <c r="CK289" s="16">
        <f>IFERROR(__xludf.DUMMYFUNCTION("""COMPUTED_VALUE"""),3.0)</f>
        <v>3</v>
      </c>
      <c r="CL289" s="16" t="str">
        <f>IFERROR(__xludf.DUMMYFUNCTION("""COMPUTED_VALUE"""),"1WR-C")</f>
        <v>1WR-C</v>
      </c>
      <c r="CM289" s="16" t="str">
        <f>IFERROR(__xludf.DUMMYFUNCTION("""COMPUTED_VALUE"""),"E")</f>
        <v>E</v>
      </c>
      <c r="CN289" s="16">
        <f>IFERROR(__xludf.DUMMYFUNCTION("""COMPUTED_VALUE"""),10.0)</f>
        <v>10</v>
      </c>
      <c r="CO289" s="16" t="str">
        <f>IFERROR(__xludf.DUMMYFUNCTION("""COMPUTED_VALUE"""),"C")</f>
        <v>C</v>
      </c>
      <c r="CP289" s="16" t="str">
        <f>IFERROR(__xludf.DUMMYFUNCTION("""COMPUTED_VALUE"""),"2p50")</f>
        <v>2p50</v>
      </c>
      <c r="CQ289" s="16">
        <f>IFERROR(__xludf.DUMMYFUNCTION("""COMPUTED_VALUE"""),27.0)</f>
        <v>27</v>
      </c>
      <c r="CR289" s="16">
        <f>IFERROR(__xludf.DUMMYFUNCTION("""COMPUTED_VALUE"""),-17.0)</f>
        <v>-17</v>
      </c>
      <c r="CS289" s="16">
        <f>IFERROR(__xludf.DUMMYFUNCTION("""COMPUTED_VALUE"""),10.0)</f>
        <v>10</v>
      </c>
      <c r="CT289" s="16">
        <f>IFERROR(__xludf.DUMMYFUNCTION("""COMPUTED_VALUE"""),27.0)</f>
        <v>27</v>
      </c>
      <c r="CU289" s="16">
        <f>IFERROR(__xludf.DUMMYFUNCTION("""COMPUTED_VALUE"""),-17.0)</f>
        <v>-17</v>
      </c>
      <c r="CV289" s="179">
        <f>IFERROR(__xludf.DUMMYFUNCTION("""COMPUTED_VALUE"""),0.6666666666666665)</f>
        <v>0.6666666667</v>
      </c>
      <c r="CW289" s="179">
        <f>IFERROR(__xludf.DUMMYFUNCTION("""COMPUTED_VALUE"""),3.0)</f>
        <v>3</v>
      </c>
      <c r="CX289" s="179">
        <f>IFERROR(__xludf.DUMMYFUNCTION("""COMPUTED_VALUE"""),0.0)</f>
        <v>0</v>
      </c>
      <c r="CY289" s="16" t="str">
        <f>IFERROR(__xludf.DUMMYFUNCTION("""COMPUTED_VALUE"""),"RP")</f>
        <v>RP</v>
      </c>
      <c r="CZ289" s="16" t="str">
        <f>IFERROR(__xludf.DUMMYFUNCTION("""COMPUTED_VALUE"""),"CP")</f>
        <v>CP</v>
      </c>
      <c r="DA289" s="16"/>
      <c r="DB289" s="16"/>
      <c r="DC289" s="16"/>
      <c r="DD289" s="16"/>
      <c r="DE289" s="16"/>
      <c r="DF289" s="16"/>
      <c r="DG289" s="16"/>
      <c r="DH289" s="16"/>
      <c r="DI289" s="16"/>
      <c r="DJ289" s="16"/>
      <c r="DK289" s="16"/>
    </row>
    <row r="290">
      <c r="A290" s="16">
        <f>IFERROR(__xludf.DUMMYFUNCTION("""COMPUTED_VALUE"""),13178.0)</f>
        <v>13178</v>
      </c>
      <c r="B290" s="16" t="str">
        <f>IFERROR(__xludf.DUMMYFUNCTION("""COMPUTED_VALUE"""),"Matthew Liberatore")</f>
        <v>Matthew Liberatore</v>
      </c>
      <c r="C290" s="153">
        <f>IFERROR(__xludf.DUMMYFUNCTION("""COMPUTED_VALUE"""),0.25)</f>
        <v>0.25</v>
      </c>
      <c r="D290" s="16"/>
      <c r="E290" s="16" t="str">
        <f>IFERROR(__xludf.DUMMYFUNCTION("""COMPUTED_VALUE"""),"L")</f>
        <v>L</v>
      </c>
      <c r="F290" s="16">
        <f>IFERROR(__xludf.DUMMYFUNCTION("""COMPUTED_VALUE"""),86.0)</f>
        <v>86</v>
      </c>
      <c r="G290" s="16">
        <f>IFERROR(__xludf.DUMMYFUNCTION("""COMPUTED_VALUE"""),22.0)</f>
        <v>22</v>
      </c>
      <c r="H290" s="16">
        <f>IFERROR(__xludf.DUMMYFUNCTION("""COMPUTED_VALUE"""),21.0)</f>
        <v>21</v>
      </c>
      <c r="I290" s="16">
        <f>IFERROR(__xludf.DUMMYFUNCTION("""COMPUTED_VALUE"""),-1.0)</f>
        <v>-1</v>
      </c>
      <c r="J290" s="16">
        <f>IFERROR(__xludf.DUMMYFUNCTION("""COMPUTED_VALUE"""),-1.0)</f>
        <v>-1</v>
      </c>
      <c r="K290" s="16">
        <f>IFERROR(__xludf.DUMMYFUNCTION("""COMPUTED_VALUE"""),-3.0)</f>
        <v>-3</v>
      </c>
      <c r="L290" s="16">
        <f>IFERROR(__xludf.DUMMYFUNCTION("""COMPUTED_VALUE"""),-3.0)</f>
        <v>-3</v>
      </c>
      <c r="M290" s="16">
        <f>IFERROR(__xludf.DUMMYFUNCTION("""COMPUTED_VALUE"""),0.0)</f>
        <v>0</v>
      </c>
      <c r="N290" s="16">
        <f>IFERROR(__xludf.DUMMYFUNCTION("""COMPUTED_VALUE"""),13.0)</f>
        <v>13</v>
      </c>
      <c r="O290" s="16">
        <f>IFERROR(__xludf.DUMMYFUNCTION("""COMPUTED_VALUE"""),3.0)</f>
        <v>3</v>
      </c>
      <c r="P290" s="16">
        <f>IFERROR(__xludf.DUMMYFUNCTION("""COMPUTED_VALUE"""),-2.0)</f>
        <v>-2</v>
      </c>
      <c r="Q290" s="16">
        <f>IFERROR(__xludf.DUMMYFUNCTION("""COMPUTED_VALUE"""),3.0)</f>
        <v>3</v>
      </c>
      <c r="R290" s="16">
        <f>IFERROR(__xludf.DUMMYFUNCTION("""COMPUTED_VALUE"""),-2.0)</f>
        <v>-2</v>
      </c>
      <c r="S290" s="16">
        <f>IFERROR(__xludf.DUMMYFUNCTION("""COMPUTED_VALUE"""),18.3)</f>
        <v>18.3</v>
      </c>
      <c r="T290" s="16">
        <f>IFERROR(__xludf.DUMMYFUNCTION("""COMPUTED_VALUE"""),17.5)</f>
        <v>17.5</v>
      </c>
      <c r="U290" s="16">
        <f>IFERROR(__xludf.DUMMYFUNCTION("""COMPUTED_VALUE"""),-1.0)</f>
        <v>-1</v>
      </c>
      <c r="V290" s="16">
        <f>IFERROR(__xludf.DUMMYFUNCTION("""COMPUTED_VALUE"""),0.0)</f>
        <v>0</v>
      </c>
      <c r="W290" s="16">
        <f>IFERROR(__xludf.DUMMYFUNCTION("""COMPUTED_VALUE"""),-2.0)</f>
        <v>-2</v>
      </c>
      <c r="X290" s="16">
        <f>IFERROR(__xludf.DUMMYFUNCTION("""COMPUTED_VALUE"""),0.0)</f>
        <v>0</v>
      </c>
      <c r="Y290" s="16">
        <f>IFERROR(__xludf.DUMMYFUNCTION("""COMPUTED_VALUE"""),18.3)</f>
        <v>18.3</v>
      </c>
      <c r="Z290" s="16">
        <f>IFERROR(__xludf.DUMMYFUNCTION("""COMPUTED_VALUE"""),30.5)</f>
        <v>30.5</v>
      </c>
      <c r="AA290" s="16">
        <f>IFERROR(__xludf.DUMMYFUNCTION("""COMPUTED_VALUE"""),1.0)</f>
        <v>1</v>
      </c>
      <c r="AB290" s="16">
        <f>IFERROR(__xludf.DUMMYFUNCTION("""COMPUTED_VALUE"""),-1.0)</f>
        <v>-1</v>
      </c>
      <c r="AC290" s="16">
        <f>IFERROR(__xludf.DUMMYFUNCTION("""COMPUTED_VALUE"""),5.0)</f>
        <v>5</v>
      </c>
      <c r="AD290" s="16">
        <f>IFERROR(__xludf.DUMMYFUNCTION("""COMPUTED_VALUE"""),-5.0)</f>
        <v>-5</v>
      </c>
      <c r="AE290" s="16">
        <f>IFERROR(__xludf.DUMMYFUNCTION("""COMPUTED_VALUE"""),25.5)</f>
        <v>25.5</v>
      </c>
      <c r="AF290" s="16">
        <f>IFERROR(__xludf.DUMMYFUNCTION("""COMPUTED_VALUE"""),36.5)</f>
        <v>36.5</v>
      </c>
      <c r="AG290" s="16">
        <f>IFERROR(__xludf.DUMMYFUNCTION("""COMPUTED_VALUE"""),0.0)</f>
        <v>0</v>
      </c>
      <c r="AH290" s="16">
        <f>IFERROR(__xludf.DUMMYFUNCTION("""COMPUTED_VALUE"""),-1.0)</f>
        <v>-1</v>
      </c>
      <c r="AI290" s="16">
        <f>IFERROR(__xludf.DUMMYFUNCTION("""COMPUTED_VALUE"""),0.0)</f>
        <v>0</v>
      </c>
      <c r="AJ290" s="16">
        <f>IFERROR(__xludf.DUMMYFUNCTION("""COMPUTED_VALUE"""),-2.0)</f>
        <v>-2</v>
      </c>
      <c r="AK290" s="16">
        <f>IFERROR(__xludf.DUMMYFUNCTION("""COMPUTED_VALUE"""),17.7)</f>
        <v>17.7</v>
      </c>
      <c r="AL290" s="16">
        <f>IFERROR(__xludf.DUMMYFUNCTION("""COMPUTED_VALUE"""),14.3)</f>
        <v>14.3</v>
      </c>
      <c r="AM290" s="16">
        <f>IFERROR(__xludf.DUMMYFUNCTION("""COMPUTED_VALUE"""),-1.0)</f>
        <v>-1</v>
      </c>
      <c r="AN290" s="16">
        <f>IFERROR(__xludf.DUMMYFUNCTION("""COMPUTED_VALUE"""),0.0)</f>
        <v>0</v>
      </c>
      <c r="AO290" s="16">
        <f>IFERROR(__xludf.DUMMYFUNCTION("""COMPUTED_VALUE"""),-1.0)</f>
        <v>-1</v>
      </c>
      <c r="AP290" s="16">
        <f>IFERROR(__xludf.DUMMYFUNCTION("""COMPUTED_VALUE"""),0.0)</f>
        <v>0</v>
      </c>
      <c r="AQ290" s="16">
        <f>IFERROR(__xludf.DUMMYFUNCTION("""COMPUTED_VALUE"""),23.1)</f>
        <v>23.1</v>
      </c>
      <c r="AR290" s="16">
        <f>IFERROR(__xludf.DUMMYFUNCTION("""COMPUTED_VALUE"""),23.7)</f>
        <v>23.7</v>
      </c>
      <c r="AS290" s="16">
        <f>IFERROR(__xludf.DUMMYFUNCTION("""COMPUTED_VALUE"""),0.0)</f>
        <v>0</v>
      </c>
      <c r="AT290" s="16">
        <f>IFERROR(__xludf.DUMMYFUNCTION("""COMPUTED_VALUE"""),-1.0)</f>
        <v>-1</v>
      </c>
      <c r="AU290" s="16">
        <f>IFERROR(__xludf.DUMMYFUNCTION("""COMPUTED_VALUE"""),0.0)</f>
        <v>0</v>
      </c>
      <c r="AV290" s="16">
        <f>IFERROR(__xludf.DUMMYFUNCTION("""COMPUTED_VALUE"""),-2.0)</f>
        <v>-2</v>
      </c>
      <c r="AW290" s="16">
        <f>IFERROR(__xludf.DUMMYFUNCTION("""COMPUTED_VALUE"""),0.6)</f>
        <v>0.6</v>
      </c>
      <c r="AX290" s="16">
        <f>IFERROR(__xludf.DUMMYFUNCTION("""COMPUTED_VALUE"""),3.2)</f>
        <v>3.2</v>
      </c>
      <c r="AY290" s="16">
        <f>IFERROR(__xludf.DUMMYFUNCTION("""COMPUTED_VALUE"""),2.0)</f>
        <v>2</v>
      </c>
      <c r="AZ290" s="16">
        <f>IFERROR(__xludf.DUMMYFUNCTION("""COMPUTED_VALUE"""),-1.0)</f>
        <v>-1</v>
      </c>
      <c r="BA290" s="16">
        <f>IFERROR(__xludf.DUMMYFUNCTION("""COMPUTED_VALUE"""),10.0)</f>
        <v>10</v>
      </c>
      <c r="BB290" s="16">
        <f>IFERROR(__xludf.DUMMYFUNCTION("""COMPUTED_VALUE"""),-5.0)</f>
        <v>-5</v>
      </c>
      <c r="BC290" s="16">
        <f>IFERROR(__xludf.DUMMYFUNCTION("""COMPUTED_VALUE"""),0.0)</f>
        <v>0</v>
      </c>
      <c r="BD290" s="16">
        <f>IFERROR(__xludf.DUMMYFUNCTION("""COMPUTED_VALUE"""),6.0)</f>
        <v>6</v>
      </c>
      <c r="BE290" s="16">
        <f>IFERROR(__xludf.DUMMYFUNCTION("""COMPUTED_VALUE"""),0.0)</f>
        <v>0</v>
      </c>
      <c r="BF290" s="16">
        <f>IFERROR(__xludf.DUMMYFUNCTION("""COMPUTED_VALUE"""),6.0)</f>
        <v>6</v>
      </c>
      <c r="BG290" s="16">
        <f>IFERROR(__xludf.DUMMYFUNCTION("""COMPUTED_VALUE"""),3.0)</f>
        <v>3</v>
      </c>
      <c r="BH290" s="16">
        <f>IFERROR(__xludf.DUMMYFUNCTION("""COMPUTED_VALUE"""),-2.0)</f>
        <v>-2</v>
      </c>
      <c r="BI290" s="16">
        <f>IFERROR(__xludf.DUMMYFUNCTION("""COMPUTED_VALUE"""),6.0)</f>
        <v>6</v>
      </c>
      <c r="BJ290" s="16">
        <f>IFERROR(__xludf.DUMMYFUNCTION("""COMPUTED_VALUE"""),-4.0)</f>
        <v>-4</v>
      </c>
      <c r="BK290" s="16">
        <f>IFERROR(__xludf.DUMMYFUNCTION("""COMPUTED_VALUE"""),5.0)</f>
        <v>5</v>
      </c>
      <c r="BL290" s="16">
        <f>IFERROR(__xludf.DUMMYFUNCTION("""COMPUTED_VALUE"""),5.0)</f>
        <v>5</v>
      </c>
      <c r="BM290" s="16">
        <f>IFERROR(__xludf.DUMMYFUNCTION("""COMPUTED_VALUE"""),0.0)</f>
        <v>0</v>
      </c>
      <c r="BN290" s="16">
        <f>IFERROR(__xludf.DUMMYFUNCTION("""COMPUTED_VALUE"""),0.0)</f>
        <v>0</v>
      </c>
      <c r="BO290" s="16">
        <f>IFERROR(__xludf.DUMMYFUNCTION("""COMPUTED_VALUE"""),0.0)</f>
        <v>0</v>
      </c>
      <c r="BP290" s="16">
        <f>IFERROR(__xludf.DUMMYFUNCTION("""COMPUTED_VALUE"""),0.0)</f>
        <v>0</v>
      </c>
      <c r="BQ290" s="16">
        <f>IFERROR(__xludf.DUMMYFUNCTION("""COMPUTED_VALUE"""),10.0)</f>
        <v>10</v>
      </c>
      <c r="BR290" s="16">
        <f>IFERROR(__xludf.DUMMYFUNCTION("""COMPUTED_VALUE"""),9.0)</f>
        <v>9</v>
      </c>
      <c r="BS290" s="16">
        <f>IFERROR(__xludf.DUMMYFUNCTION("""COMPUTED_VALUE"""),3.0)</f>
        <v>3</v>
      </c>
      <c r="BT290" s="16">
        <f>IFERROR(__xludf.DUMMYFUNCTION("""COMPUTED_VALUE"""),3.0)</f>
        <v>3</v>
      </c>
      <c r="BU290" s="16">
        <f>IFERROR(__xludf.DUMMYFUNCTION("""COMPUTED_VALUE"""),6.0)</f>
        <v>6</v>
      </c>
      <c r="BV290" s="16">
        <f>IFERROR(__xludf.DUMMYFUNCTION("""COMPUTED_VALUE"""),6.0)</f>
        <v>6</v>
      </c>
      <c r="BW290" s="16">
        <f>IFERROR(__xludf.DUMMYFUNCTION("""COMPUTED_VALUE"""),0.0)</f>
        <v>0</v>
      </c>
      <c r="BX290" s="16">
        <f>IFERROR(__xludf.DUMMYFUNCTION("""COMPUTED_VALUE"""),0.0)</f>
        <v>0</v>
      </c>
      <c r="BY290" s="16" t="str">
        <f>IFERROR(__xludf.DUMMYFUNCTION("""COMPUTED_VALUE"""),"S(4) R(3)")</f>
        <v>S(4) R(3)</v>
      </c>
      <c r="BZ290" s="16" t="str">
        <f>IFERROR(__xludf.DUMMYFUNCTION("""COMPUTED_VALUE"""),"S(4) R(3)")</f>
        <v>S(4) R(3)</v>
      </c>
      <c r="CA290" s="16" t="str">
        <f>IFERROR(__xludf.DUMMYFUNCTION("""COMPUTED_VALUE"""),"S(4)")</f>
        <v>S(4)</v>
      </c>
      <c r="CB290" s="16" t="str">
        <f>IFERROR(__xludf.DUMMYFUNCTION("""COMPUTED_VALUE"""),"R(3)")</f>
        <v>R(3)</v>
      </c>
      <c r="CC290" s="16"/>
      <c r="CD290" s="16">
        <f>IFERROR(__xludf.DUMMYFUNCTION("""COMPUTED_VALUE"""),4.0)</f>
        <v>4</v>
      </c>
      <c r="CE290" s="16">
        <f>IFERROR(__xludf.DUMMYFUNCTION("""COMPUTED_VALUE"""),3.0)</f>
        <v>3</v>
      </c>
      <c r="CF290" s="16"/>
      <c r="CG290" s="16" t="str">
        <f>IFERROR(__xludf.DUMMYFUNCTION("""COMPUTED_VALUE"""),"2-17")</f>
        <v>2-17</v>
      </c>
      <c r="CH290" s="16">
        <f>IFERROR(__xludf.DUMMYFUNCTION("""COMPUTED_VALUE"""),2.0)</f>
        <v>2</v>
      </c>
      <c r="CI290" s="16">
        <f>IFERROR(__xludf.DUMMYFUNCTION("""COMPUTED_VALUE"""),17.0)</f>
        <v>17</v>
      </c>
      <c r="CJ290" s="16">
        <f>IFERROR(__xludf.DUMMYFUNCTION("""COMPUTED_VALUE"""),0.0)</f>
        <v>0</v>
      </c>
      <c r="CK290" s="16">
        <f>IFERROR(__xludf.DUMMYFUNCTION("""COMPUTED_VALUE"""),7.0)</f>
        <v>7</v>
      </c>
      <c r="CL290" s="16" t="str">
        <f>IFERROR(__xludf.DUMMYFUNCTION("""COMPUTED_VALUE"""),"1WL-C")</f>
        <v>1WL-C</v>
      </c>
      <c r="CM290" s="16" t="str">
        <f>IFERROR(__xludf.DUMMYFUNCTION("""COMPUTED_VALUE"""),"E")</f>
        <v>E</v>
      </c>
      <c r="CN290" s="16">
        <f>IFERROR(__xludf.DUMMYFUNCTION("""COMPUTED_VALUE"""),10.0)</f>
        <v>10</v>
      </c>
      <c r="CO290" s="16" t="str">
        <f>IFERROR(__xludf.DUMMYFUNCTION("""COMPUTED_VALUE"""),"C")</f>
        <v>C</v>
      </c>
      <c r="CP290" s="16" t="str">
        <f>IFERROR(__xludf.DUMMYFUNCTION("""COMPUTED_VALUE"""),"1p50")</f>
        <v>1p50</v>
      </c>
      <c r="CQ290" s="16">
        <f>IFERROR(__xludf.DUMMYFUNCTION("""COMPUTED_VALUE"""),24.0)</f>
        <v>24</v>
      </c>
      <c r="CR290" s="16">
        <f>IFERROR(__xludf.DUMMYFUNCTION("""COMPUTED_VALUE"""),-17.0)</f>
        <v>-17</v>
      </c>
      <c r="CS290" s="16">
        <f>IFERROR(__xludf.DUMMYFUNCTION("""COMPUTED_VALUE"""),7.0)</f>
        <v>7</v>
      </c>
      <c r="CT290" s="16">
        <f>IFERROR(__xludf.DUMMYFUNCTION("""COMPUTED_VALUE"""),24.0)</f>
        <v>24</v>
      </c>
      <c r="CU290" s="16">
        <f>IFERROR(__xludf.DUMMYFUNCTION("""COMPUTED_VALUE"""),-17.0)</f>
        <v>-17</v>
      </c>
      <c r="CV290" s="179">
        <f>IFERROR(__xludf.DUMMYFUNCTION("""COMPUTED_VALUE"""),0.6666666666666665)</f>
        <v>0.6666666667</v>
      </c>
      <c r="CW290" s="179">
        <f>IFERROR(__xludf.DUMMYFUNCTION("""COMPUTED_VALUE"""),4.0)</f>
        <v>4</v>
      </c>
      <c r="CX290" s="179">
        <f>IFERROR(__xludf.DUMMYFUNCTION("""COMPUTED_VALUE"""),0.0)</f>
        <v>0</v>
      </c>
      <c r="CY290" s="16" t="str">
        <f>IFERROR(__xludf.DUMMYFUNCTION("""COMPUTED_VALUE"""),"SP")</f>
        <v>SP</v>
      </c>
      <c r="CZ290" s="16" t="str">
        <f>IFERROR(__xludf.DUMMYFUNCTION("""COMPUTED_VALUE"""),"RP")</f>
        <v>RP</v>
      </c>
      <c r="DA290" s="16"/>
      <c r="DB290" s="16"/>
      <c r="DC290" s="16"/>
      <c r="DD290" s="16"/>
      <c r="DE290" s="16"/>
      <c r="DF290" s="16"/>
      <c r="DG290" s="16"/>
      <c r="DH290" s="16"/>
      <c r="DI290" s="16"/>
      <c r="DJ290" s="16"/>
      <c r="DK290" s="16"/>
    </row>
    <row r="291">
      <c r="A291" s="16">
        <f>IFERROR(__xludf.DUMMYFUNCTION("""COMPUTED_VALUE"""),12658.0)</f>
        <v>12658</v>
      </c>
      <c r="B291" s="16" t="str">
        <f>IFERROR(__xludf.DUMMYFUNCTION("""COMPUTED_VALUE"""),"Carson Fulmer")</f>
        <v>Carson Fulmer</v>
      </c>
      <c r="C291" s="153">
        <f>IFERROR(__xludf.DUMMYFUNCTION("""COMPUTED_VALUE"""),0.41)</f>
        <v>0.41</v>
      </c>
      <c r="D291" s="16"/>
      <c r="E291" s="16" t="str">
        <f>IFERROR(__xludf.DUMMYFUNCTION("""COMPUTED_VALUE"""),"R")</f>
        <v>R</v>
      </c>
      <c r="F291" s="16">
        <f>IFERROR(__xludf.DUMMYFUNCTION("""COMPUTED_VALUE"""),87.0)</f>
        <v>87</v>
      </c>
      <c r="G291" s="16">
        <f>IFERROR(__xludf.DUMMYFUNCTION("""COMPUTED_VALUE"""),17.0)</f>
        <v>17</v>
      </c>
      <c r="H291" s="16">
        <f>IFERROR(__xludf.DUMMYFUNCTION("""COMPUTED_VALUE"""),28.0)</f>
        <v>28</v>
      </c>
      <c r="I291" s="16">
        <f>IFERROR(__xludf.DUMMYFUNCTION("""COMPUTED_VALUE"""),-1.0)</f>
        <v>-1</v>
      </c>
      <c r="J291" s="16">
        <f>IFERROR(__xludf.DUMMYFUNCTION("""COMPUTED_VALUE"""),0.0)</f>
        <v>0</v>
      </c>
      <c r="K291" s="16">
        <f>IFERROR(__xludf.DUMMYFUNCTION("""COMPUTED_VALUE"""),-3.0)</f>
        <v>-3</v>
      </c>
      <c r="L291" s="16">
        <f>IFERROR(__xludf.DUMMYFUNCTION("""COMPUTED_VALUE"""),0.0)</f>
        <v>0</v>
      </c>
      <c r="M291" s="16">
        <f>IFERROR(__xludf.DUMMYFUNCTION("""COMPUTED_VALUE"""),10.0)</f>
        <v>10</v>
      </c>
      <c r="N291" s="16">
        <f>IFERROR(__xludf.DUMMYFUNCTION("""COMPUTED_VALUE"""),15.0)</f>
        <v>15</v>
      </c>
      <c r="O291" s="16">
        <f>IFERROR(__xludf.DUMMYFUNCTION("""COMPUTED_VALUE"""),0.0)</f>
        <v>0</v>
      </c>
      <c r="P291" s="16">
        <f>IFERROR(__xludf.DUMMYFUNCTION("""COMPUTED_VALUE"""),-3.0)</f>
        <v>-3</v>
      </c>
      <c r="Q291" s="16">
        <f>IFERROR(__xludf.DUMMYFUNCTION("""COMPUTED_VALUE"""),0.0)</f>
        <v>0</v>
      </c>
      <c r="R291" s="16">
        <f>IFERROR(__xludf.DUMMYFUNCTION("""COMPUTED_VALUE"""),-3.0)</f>
        <v>-3</v>
      </c>
      <c r="S291" s="16">
        <f>IFERROR(__xludf.DUMMYFUNCTION("""COMPUTED_VALUE"""),23.3)</f>
        <v>23.3</v>
      </c>
      <c r="T291" s="16">
        <f>IFERROR(__xludf.DUMMYFUNCTION("""COMPUTED_VALUE"""),9.3)</f>
        <v>9.3</v>
      </c>
      <c r="U291" s="16">
        <f>IFERROR(__xludf.DUMMYFUNCTION("""COMPUTED_VALUE"""),-1.0)</f>
        <v>-1</v>
      </c>
      <c r="V291" s="16">
        <f>IFERROR(__xludf.DUMMYFUNCTION("""COMPUTED_VALUE"""),1.0)</f>
        <v>1</v>
      </c>
      <c r="W291" s="16">
        <f>IFERROR(__xludf.DUMMYFUNCTION("""COMPUTED_VALUE"""),-2.0)</f>
        <v>-2</v>
      </c>
      <c r="X291" s="16">
        <f>IFERROR(__xludf.DUMMYFUNCTION("""COMPUTED_VALUE"""),2.0)</f>
        <v>2</v>
      </c>
      <c r="Y291" s="16">
        <f>IFERROR(__xludf.DUMMYFUNCTION("""COMPUTED_VALUE"""),33.3)</f>
        <v>33.3</v>
      </c>
      <c r="Z291" s="16">
        <f>IFERROR(__xludf.DUMMYFUNCTION("""COMPUTED_VALUE"""),24.3)</f>
        <v>24.3</v>
      </c>
      <c r="AA291" s="16">
        <f>IFERROR(__xludf.DUMMYFUNCTION("""COMPUTED_VALUE"""),-1.0)</f>
        <v>-1</v>
      </c>
      <c r="AB291" s="16">
        <f>IFERROR(__xludf.DUMMYFUNCTION("""COMPUTED_VALUE"""),0.0)</f>
        <v>0</v>
      </c>
      <c r="AC291" s="16">
        <f>IFERROR(__xludf.DUMMYFUNCTION("""COMPUTED_VALUE"""),-5.0)</f>
        <v>-5</v>
      </c>
      <c r="AD291" s="16">
        <f>IFERROR(__xludf.DUMMYFUNCTION("""COMPUTED_VALUE"""),0.0)</f>
        <v>0</v>
      </c>
      <c r="AE291" s="16">
        <f>IFERROR(__xludf.DUMMYFUNCTION("""COMPUTED_VALUE"""),42.8)</f>
        <v>42.8</v>
      </c>
      <c r="AF291" s="16">
        <f>IFERROR(__xludf.DUMMYFUNCTION("""COMPUTED_VALUE"""),20.0)</f>
        <v>20</v>
      </c>
      <c r="AG291" s="16">
        <f>IFERROR(__xludf.DUMMYFUNCTION("""COMPUTED_VALUE"""),-1.0)</f>
        <v>-1</v>
      </c>
      <c r="AH291" s="16">
        <f>IFERROR(__xludf.DUMMYFUNCTION("""COMPUTED_VALUE"""),1.0)</f>
        <v>1</v>
      </c>
      <c r="AI291" s="16">
        <f>IFERROR(__xludf.DUMMYFUNCTION("""COMPUTED_VALUE"""),-2.0)</f>
        <v>-2</v>
      </c>
      <c r="AJ291" s="16">
        <f>IFERROR(__xludf.DUMMYFUNCTION("""COMPUTED_VALUE"""),2.0)</f>
        <v>2</v>
      </c>
      <c r="AK291" s="16">
        <f>IFERROR(__xludf.DUMMYFUNCTION("""COMPUTED_VALUE"""),21.1)</f>
        <v>21.1</v>
      </c>
      <c r="AL291" s="16">
        <f>IFERROR(__xludf.DUMMYFUNCTION("""COMPUTED_VALUE"""),7.9)</f>
        <v>7.9</v>
      </c>
      <c r="AM291" s="16">
        <f>IFERROR(__xludf.DUMMYFUNCTION("""COMPUTED_VALUE"""),-1.0)</f>
        <v>-1</v>
      </c>
      <c r="AN291" s="16">
        <f>IFERROR(__xludf.DUMMYFUNCTION("""COMPUTED_VALUE"""),1.0)</f>
        <v>1</v>
      </c>
      <c r="AO291" s="16">
        <f>IFERROR(__xludf.DUMMYFUNCTION("""COMPUTED_VALUE"""),-1.0)</f>
        <v>-1</v>
      </c>
      <c r="AP291" s="16">
        <f>IFERROR(__xludf.DUMMYFUNCTION("""COMPUTED_VALUE"""),1.0)</f>
        <v>1</v>
      </c>
      <c r="AQ291" s="16">
        <f>IFERROR(__xludf.DUMMYFUNCTION("""COMPUTED_VALUE"""),34.0)</f>
        <v>34</v>
      </c>
      <c r="AR291" s="16">
        <f>IFERROR(__xludf.DUMMYFUNCTION("""COMPUTED_VALUE"""),14.4)</f>
        <v>14.4</v>
      </c>
      <c r="AS291" s="16">
        <f>IFERROR(__xludf.DUMMYFUNCTION("""COMPUTED_VALUE"""),-2.0)</f>
        <v>-2</v>
      </c>
      <c r="AT291" s="16">
        <f>IFERROR(__xludf.DUMMYFUNCTION("""COMPUTED_VALUE"""),1.0)</f>
        <v>1</v>
      </c>
      <c r="AU291" s="16">
        <f>IFERROR(__xludf.DUMMYFUNCTION("""COMPUTED_VALUE"""),-4.0)</f>
        <v>-4</v>
      </c>
      <c r="AV291" s="16">
        <f>IFERROR(__xludf.DUMMYFUNCTION("""COMPUTED_VALUE"""),2.0)</f>
        <v>2</v>
      </c>
      <c r="AW291" s="16">
        <f>IFERROR(__xludf.DUMMYFUNCTION("""COMPUTED_VALUE"""),2.2)</f>
        <v>2.2</v>
      </c>
      <c r="AX291" s="16">
        <f>IFERROR(__xludf.DUMMYFUNCTION("""COMPUTED_VALUE"""),1.4)</f>
        <v>1.4</v>
      </c>
      <c r="AY291" s="16">
        <f>IFERROR(__xludf.DUMMYFUNCTION("""COMPUTED_VALUE"""),0.0)</f>
        <v>0</v>
      </c>
      <c r="AZ291" s="16">
        <f>IFERROR(__xludf.DUMMYFUNCTION("""COMPUTED_VALUE"""),1.0)</f>
        <v>1</v>
      </c>
      <c r="BA291" s="16">
        <f>IFERROR(__xludf.DUMMYFUNCTION("""COMPUTED_VALUE"""),0.0)</f>
        <v>0</v>
      </c>
      <c r="BB291" s="16">
        <f>IFERROR(__xludf.DUMMYFUNCTION("""COMPUTED_VALUE"""),5.0)</f>
        <v>5</v>
      </c>
      <c r="BC291" s="16">
        <f>IFERROR(__xludf.DUMMYFUNCTION("""COMPUTED_VALUE"""),3.0)</f>
        <v>3</v>
      </c>
      <c r="BD291" s="16">
        <f>IFERROR(__xludf.DUMMYFUNCTION("""COMPUTED_VALUE"""),2.0)</f>
        <v>2</v>
      </c>
      <c r="BE291" s="16">
        <f>IFERROR(__xludf.DUMMYFUNCTION("""COMPUTED_VALUE"""),3.0)</f>
        <v>3</v>
      </c>
      <c r="BF291" s="16">
        <f>IFERROR(__xludf.DUMMYFUNCTION("""COMPUTED_VALUE"""),2.0)</f>
        <v>2</v>
      </c>
      <c r="BG291" s="16">
        <f>IFERROR(__xludf.DUMMYFUNCTION("""COMPUTED_VALUE"""),0.0)</f>
        <v>0</v>
      </c>
      <c r="BH291" s="16">
        <f>IFERROR(__xludf.DUMMYFUNCTION("""COMPUTED_VALUE"""),1.0)</f>
        <v>1</v>
      </c>
      <c r="BI291" s="16">
        <f>IFERROR(__xludf.DUMMYFUNCTION("""COMPUTED_VALUE"""),0.0)</f>
        <v>0</v>
      </c>
      <c r="BJ291" s="16">
        <f>IFERROR(__xludf.DUMMYFUNCTION("""COMPUTED_VALUE"""),2.0)</f>
        <v>2</v>
      </c>
      <c r="BK291" s="16">
        <f>IFERROR(__xludf.DUMMYFUNCTION("""COMPUTED_VALUE"""),5.0)</f>
        <v>5</v>
      </c>
      <c r="BL291" s="16">
        <f>IFERROR(__xludf.DUMMYFUNCTION("""COMPUTED_VALUE"""),5.0)</f>
        <v>5</v>
      </c>
      <c r="BM291" s="16">
        <f>IFERROR(__xludf.DUMMYFUNCTION("""COMPUTED_VALUE"""),0.0)</f>
        <v>0</v>
      </c>
      <c r="BN291" s="16">
        <f>IFERROR(__xludf.DUMMYFUNCTION("""COMPUTED_VALUE"""),0.0)</f>
        <v>0</v>
      </c>
      <c r="BO291" s="16">
        <f>IFERROR(__xludf.DUMMYFUNCTION("""COMPUTED_VALUE"""),0.0)</f>
        <v>0</v>
      </c>
      <c r="BP291" s="16">
        <f>IFERROR(__xludf.DUMMYFUNCTION("""COMPUTED_VALUE"""),0.0)</f>
        <v>0</v>
      </c>
      <c r="BQ291" s="16">
        <f>IFERROR(__xludf.DUMMYFUNCTION("""COMPUTED_VALUE"""),9.0)</f>
        <v>9</v>
      </c>
      <c r="BR291" s="16">
        <f>IFERROR(__xludf.DUMMYFUNCTION("""COMPUTED_VALUE"""),9.0)</f>
        <v>9</v>
      </c>
      <c r="BS291" s="16">
        <f>IFERROR(__xludf.DUMMYFUNCTION("""COMPUTED_VALUE"""),3.0)</f>
        <v>3</v>
      </c>
      <c r="BT291" s="16">
        <f>IFERROR(__xludf.DUMMYFUNCTION("""COMPUTED_VALUE"""),3.0)</f>
        <v>3</v>
      </c>
      <c r="BU291" s="16">
        <f>IFERROR(__xludf.DUMMYFUNCTION("""COMPUTED_VALUE"""),6.0)</f>
        <v>6</v>
      </c>
      <c r="BV291" s="16">
        <f>IFERROR(__xludf.DUMMYFUNCTION("""COMPUTED_VALUE"""),6.0)</f>
        <v>6</v>
      </c>
      <c r="BW291" s="16">
        <f>IFERROR(__xludf.DUMMYFUNCTION("""COMPUTED_VALUE"""),-4.0)</f>
        <v>-4</v>
      </c>
      <c r="BX291" s="16">
        <f>IFERROR(__xludf.DUMMYFUNCTION("""COMPUTED_VALUE"""),-4.0)</f>
        <v>-4</v>
      </c>
      <c r="BY291" s="16" t="str">
        <f>IFERROR(__xludf.DUMMYFUNCTION("""COMPUTED_VALUE"""),"S(5) R(3)")</f>
        <v>S(5) R(3)</v>
      </c>
      <c r="BZ291" s="16" t="str">
        <f>IFERROR(__xludf.DUMMYFUNCTION("""COMPUTED_VALUE"""),"S(5) R(3)")</f>
        <v>S(5) R(3)</v>
      </c>
      <c r="CA291" s="16" t="str">
        <f>IFERROR(__xludf.DUMMYFUNCTION("""COMPUTED_VALUE"""),"S(5)")</f>
        <v>S(5)</v>
      </c>
      <c r="CB291" s="16" t="str">
        <f>IFERROR(__xludf.DUMMYFUNCTION("""COMPUTED_VALUE"""),"R(3)")</f>
        <v>R(3)</v>
      </c>
      <c r="CC291" s="16"/>
      <c r="CD291" s="16">
        <f>IFERROR(__xludf.DUMMYFUNCTION("""COMPUTED_VALUE"""),5.0)</f>
        <v>5</v>
      </c>
      <c r="CE291" s="16">
        <f>IFERROR(__xludf.DUMMYFUNCTION("""COMPUTED_VALUE"""),3.0)</f>
        <v>3</v>
      </c>
      <c r="CF291" s="16"/>
      <c r="CG291" s="16" t="str">
        <f>IFERROR(__xludf.DUMMYFUNCTION("""COMPUTED_VALUE"""),"3-33")</f>
        <v>3-33</v>
      </c>
      <c r="CH291" s="16">
        <f>IFERROR(__xludf.DUMMYFUNCTION("""COMPUTED_VALUE"""),3.0)</f>
        <v>3</v>
      </c>
      <c r="CI291" s="16">
        <f>IFERROR(__xludf.DUMMYFUNCTION("""COMPUTED_VALUE"""),33.0)</f>
        <v>33</v>
      </c>
      <c r="CJ291" s="16">
        <f>IFERROR(__xludf.DUMMYFUNCTION("""COMPUTED_VALUE"""),9.0)</f>
        <v>9</v>
      </c>
      <c r="CK291" s="16">
        <f>IFERROR(__xludf.DUMMYFUNCTION("""COMPUTED_VALUE"""),12.0)</f>
        <v>12</v>
      </c>
      <c r="CL291" s="16" t="str">
        <f>IFERROR(__xludf.DUMMYFUNCTION("""COMPUTED_VALUE"""),"1WR-C")</f>
        <v>1WR-C</v>
      </c>
      <c r="CM291" s="16" t="str">
        <f>IFERROR(__xludf.DUMMYFUNCTION("""COMPUTED_VALUE"""),"E")</f>
        <v>E</v>
      </c>
      <c r="CN291" s="16">
        <f>IFERROR(__xludf.DUMMYFUNCTION("""COMPUTED_VALUE"""),10.0)</f>
        <v>10</v>
      </c>
      <c r="CO291" s="16" t="str">
        <f>IFERROR(__xludf.DUMMYFUNCTION("""COMPUTED_VALUE"""),"C")</f>
        <v>C</v>
      </c>
      <c r="CP291" s="16" t="str">
        <f>IFERROR(__xludf.DUMMYFUNCTION("""COMPUTED_VALUE"""),"3p50")</f>
        <v>3p50</v>
      </c>
      <c r="CQ291" s="16">
        <f>IFERROR(__xludf.DUMMYFUNCTION("""COMPUTED_VALUE"""),-11.0)</f>
        <v>-11</v>
      </c>
      <c r="CR291" s="16">
        <f>IFERROR(__xludf.DUMMYFUNCTION("""COMPUTED_VALUE"""),17.0)</f>
        <v>17</v>
      </c>
      <c r="CS291" s="16">
        <f>IFERROR(__xludf.DUMMYFUNCTION("""COMPUTED_VALUE"""),6.0)</f>
        <v>6</v>
      </c>
      <c r="CT291" s="16">
        <f>IFERROR(__xludf.DUMMYFUNCTION("""COMPUTED_VALUE"""),-11.0)</f>
        <v>-11</v>
      </c>
      <c r="CU291" s="16">
        <f>IFERROR(__xludf.DUMMYFUNCTION("""COMPUTED_VALUE"""),17.0)</f>
        <v>17</v>
      </c>
      <c r="CV291" s="179">
        <f>IFERROR(__xludf.DUMMYFUNCTION("""COMPUTED_VALUE"""),0.33333333333333326)</f>
        <v>0.3333333333</v>
      </c>
      <c r="CW291" s="179">
        <f>IFERROR(__xludf.DUMMYFUNCTION("""COMPUTED_VALUE"""),2.0)</f>
        <v>2</v>
      </c>
      <c r="CX291" s="179">
        <f>IFERROR(__xludf.DUMMYFUNCTION("""COMPUTED_VALUE"""),0.0)</f>
        <v>0</v>
      </c>
      <c r="CY291" s="16" t="str">
        <f>IFERROR(__xludf.DUMMYFUNCTION("""COMPUTED_VALUE"""),"SP")</f>
        <v>SP</v>
      </c>
      <c r="CZ291" s="16" t="str">
        <f>IFERROR(__xludf.DUMMYFUNCTION("""COMPUTED_VALUE"""),"RP")</f>
        <v>RP</v>
      </c>
      <c r="DA291" s="16"/>
      <c r="DB291" s="16"/>
      <c r="DC291" s="16"/>
      <c r="DD291" s="16"/>
      <c r="DE291" s="16"/>
      <c r="DF291" s="16"/>
      <c r="DG291" s="16"/>
      <c r="DH291" s="16"/>
      <c r="DI291" s="16"/>
      <c r="DJ291" s="16"/>
      <c r="DK291" s="16"/>
    </row>
    <row r="292">
      <c r="A292" s="16">
        <f>IFERROR(__xludf.DUMMYFUNCTION("""COMPUTED_VALUE"""),12649.0)</f>
        <v>12649</v>
      </c>
      <c r="B292" s="16" t="str">
        <f>IFERROR(__xludf.DUMMYFUNCTION("""COMPUTED_VALUE"""),"Cam Booser")</f>
        <v>Cam Booser</v>
      </c>
      <c r="C292" s="153">
        <f>IFERROR(__xludf.DUMMYFUNCTION("""COMPUTED_VALUE"""),0.54)</f>
        <v>0.54</v>
      </c>
      <c r="D292" s="16"/>
      <c r="E292" s="16" t="str">
        <f>IFERROR(__xludf.DUMMYFUNCTION("""COMPUTED_VALUE"""),"L")</f>
        <v>L</v>
      </c>
      <c r="F292" s="16">
        <f>IFERROR(__xludf.DUMMYFUNCTION("""COMPUTED_VALUE"""),43.0)</f>
        <v>43</v>
      </c>
      <c r="G292" s="16">
        <f>IFERROR(__xludf.DUMMYFUNCTION("""COMPUTED_VALUE"""),22.0)</f>
        <v>22</v>
      </c>
      <c r="H292" s="16">
        <f>IFERROR(__xludf.DUMMYFUNCTION("""COMPUTED_VALUE"""),30.0)</f>
        <v>30</v>
      </c>
      <c r="I292" s="16">
        <f>IFERROR(__xludf.DUMMYFUNCTION("""COMPUTED_VALUE"""),-1.0)</f>
        <v>-1</v>
      </c>
      <c r="J292" s="16">
        <f>IFERROR(__xludf.DUMMYFUNCTION("""COMPUTED_VALUE"""),0.0)</f>
        <v>0</v>
      </c>
      <c r="K292" s="16">
        <f>IFERROR(__xludf.DUMMYFUNCTION("""COMPUTED_VALUE"""),-3.0)</f>
        <v>-3</v>
      </c>
      <c r="L292" s="16">
        <f>IFERROR(__xludf.DUMMYFUNCTION("""COMPUTED_VALUE"""),0.0)</f>
        <v>0</v>
      </c>
      <c r="M292" s="16">
        <f>IFERROR(__xludf.DUMMYFUNCTION("""COMPUTED_VALUE"""),9.0)</f>
        <v>9</v>
      </c>
      <c r="N292" s="16">
        <f>IFERROR(__xludf.DUMMYFUNCTION("""COMPUTED_VALUE"""),10.0)</f>
        <v>10</v>
      </c>
      <c r="O292" s="16">
        <f>IFERROR(__xludf.DUMMYFUNCTION("""COMPUTED_VALUE"""),0.0)</f>
        <v>0</v>
      </c>
      <c r="P292" s="16">
        <f>IFERROR(__xludf.DUMMYFUNCTION("""COMPUTED_VALUE"""),-1.0)</f>
        <v>-1</v>
      </c>
      <c r="Q292" s="16">
        <f>IFERROR(__xludf.DUMMYFUNCTION("""COMPUTED_VALUE"""),0.0)</f>
        <v>0</v>
      </c>
      <c r="R292" s="16">
        <f>IFERROR(__xludf.DUMMYFUNCTION("""COMPUTED_VALUE"""),-1.0)</f>
        <v>-1</v>
      </c>
      <c r="S292" s="16">
        <f>IFERROR(__xludf.DUMMYFUNCTION("""COMPUTED_VALUE"""),22.0)</f>
        <v>22</v>
      </c>
      <c r="T292" s="16">
        <f>IFERROR(__xludf.DUMMYFUNCTION("""COMPUTED_VALUE"""),10.2)</f>
        <v>10.2</v>
      </c>
      <c r="U292" s="16">
        <f>IFERROR(__xludf.DUMMYFUNCTION("""COMPUTED_VALUE"""),-1.0)</f>
        <v>-1</v>
      </c>
      <c r="V292" s="16">
        <f>IFERROR(__xludf.DUMMYFUNCTION("""COMPUTED_VALUE"""),1.0)</f>
        <v>1</v>
      </c>
      <c r="W292" s="16">
        <f>IFERROR(__xludf.DUMMYFUNCTION("""COMPUTED_VALUE"""),-2.0)</f>
        <v>-2</v>
      </c>
      <c r="X292" s="16">
        <f>IFERROR(__xludf.DUMMYFUNCTION("""COMPUTED_VALUE"""),2.0)</f>
        <v>2</v>
      </c>
      <c r="Y292" s="16">
        <f>IFERROR(__xludf.DUMMYFUNCTION("""COMPUTED_VALUE"""),31.0)</f>
        <v>31</v>
      </c>
      <c r="Z292" s="16">
        <f>IFERROR(__xludf.DUMMYFUNCTION("""COMPUTED_VALUE"""),20.2)</f>
        <v>20.2</v>
      </c>
      <c r="AA292" s="16">
        <f>IFERROR(__xludf.DUMMYFUNCTION("""COMPUTED_VALUE"""),-1.0)</f>
        <v>-1</v>
      </c>
      <c r="AB292" s="16">
        <f>IFERROR(__xludf.DUMMYFUNCTION("""COMPUTED_VALUE"""),1.0)</f>
        <v>1</v>
      </c>
      <c r="AC292" s="16">
        <f>IFERROR(__xludf.DUMMYFUNCTION("""COMPUTED_VALUE"""),-5.0)</f>
        <v>-5</v>
      </c>
      <c r="AD292" s="16">
        <f>IFERROR(__xludf.DUMMYFUNCTION("""COMPUTED_VALUE"""),5.0)</f>
        <v>5</v>
      </c>
      <c r="AE292" s="16">
        <f>IFERROR(__xludf.DUMMYFUNCTION("""COMPUTED_VALUE"""),27.2)</f>
        <v>27.2</v>
      </c>
      <c r="AF292" s="16">
        <f>IFERROR(__xludf.DUMMYFUNCTION("""COMPUTED_VALUE"""),23.2)</f>
        <v>23.2</v>
      </c>
      <c r="AG292" s="16">
        <f>IFERROR(__xludf.DUMMYFUNCTION("""COMPUTED_VALUE"""),0.0)</f>
        <v>0</v>
      </c>
      <c r="AH292" s="16">
        <f>IFERROR(__xludf.DUMMYFUNCTION("""COMPUTED_VALUE"""),1.0)</f>
        <v>1</v>
      </c>
      <c r="AI292" s="16">
        <f>IFERROR(__xludf.DUMMYFUNCTION("""COMPUTED_VALUE"""),0.0)</f>
        <v>0</v>
      </c>
      <c r="AJ292" s="16">
        <f>IFERROR(__xludf.DUMMYFUNCTION("""COMPUTED_VALUE"""),2.0)</f>
        <v>2</v>
      </c>
      <c r="AK292" s="16">
        <f>IFERROR(__xludf.DUMMYFUNCTION("""COMPUTED_VALUE"""),21.8)</f>
        <v>21.8</v>
      </c>
      <c r="AL292" s="16">
        <f>IFERROR(__xludf.DUMMYFUNCTION("""COMPUTED_VALUE"""),7.3999999999999995)</f>
        <v>7.4</v>
      </c>
      <c r="AM292" s="16">
        <f>IFERROR(__xludf.DUMMYFUNCTION("""COMPUTED_VALUE"""),-2.0)</f>
        <v>-2</v>
      </c>
      <c r="AN292" s="16">
        <f>IFERROR(__xludf.DUMMYFUNCTION("""COMPUTED_VALUE"""),1.0)</f>
        <v>1</v>
      </c>
      <c r="AO292" s="16">
        <f>IFERROR(__xludf.DUMMYFUNCTION("""COMPUTED_VALUE"""),-2.0)</f>
        <v>-2</v>
      </c>
      <c r="AP292" s="16">
        <f>IFERROR(__xludf.DUMMYFUNCTION("""COMPUTED_VALUE"""),1.0)</f>
        <v>1</v>
      </c>
      <c r="AQ292" s="16">
        <f>IFERROR(__xludf.DUMMYFUNCTION("""COMPUTED_VALUE"""),26.4)</f>
        <v>26.4</v>
      </c>
      <c r="AR292" s="16">
        <f>IFERROR(__xludf.DUMMYFUNCTION("""COMPUTED_VALUE"""),12.0)</f>
        <v>12</v>
      </c>
      <c r="AS292" s="16">
        <f>IFERROR(__xludf.DUMMYFUNCTION("""COMPUTED_VALUE"""),-1.0)</f>
        <v>-1</v>
      </c>
      <c r="AT292" s="16">
        <f>IFERROR(__xludf.DUMMYFUNCTION("""COMPUTED_VALUE"""),1.0)</f>
        <v>1</v>
      </c>
      <c r="AU292" s="16">
        <f>IFERROR(__xludf.DUMMYFUNCTION("""COMPUTED_VALUE"""),-2.0)</f>
        <v>-2</v>
      </c>
      <c r="AV292" s="16">
        <f>IFERROR(__xludf.DUMMYFUNCTION("""COMPUTED_VALUE"""),2.0)</f>
        <v>2</v>
      </c>
      <c r="AW292" s="16">
        <f>IFERROR(__xludf.DUMMYFUNCTION("""COMPUTED_VALUE"""),0.2)</f>
        <v>0.2</v>
      </c>
      <c r="AX292" s="16">
        <f>IFERROR(__xludf.DUMMYFUNCTION("""COMPUTED_VALUE"""),2.8)</f>
        <v>2.8</v>
      </c>
      <c r="AY292" s="16">
        <f>IFERROR(__xludf.DUMMYFUNCTION("""COMPUTED_VALUE"""),2.0)</f>
        <v>2</v>
      </c>
      <c r="AZ292" s="16">
        <f>IFERROR(__xludf.DUMMYFUNCTION("""COMPUTED_VALUE"""),-1.0)</f>
        <v>-1</v>
      </c>
      <c r="BA292" s="16">
        <f>IFERROR(__xludf.DUMMYFUNCTION("""COMPUTED_VALUE"""),10.0)</f>
        <v>10</v>
      </c>
      <c r="BB292" s="16">
        <f>IFERROR(__xludf.DUMMYFUNCTION("""COMPUTED_VALUE"""),-5.0)</f>
        <v>-5</v>
      </c>
      <c r="BC292" s="16">
        <f>IFERROR(__xludf.DUMMYFUNCTION("""COMPUTED_VALUE"""),0.0)</f>
        <v>0</v>
      </c>
      <c r="BD292" s="16">
        <f>IFERROR(__xludf.DUMMYFUNCTION("""COMPUTED_VALUE"""),5.0)</f>
        <v>5</v>
      </c>
      <c r="BE292" s="16">
        <f>IFERROR(__xludf.DUMMYFUNCTION("""COMPUTED_VALUE"""),0.0)</f>
        <v>0</v>
      </c>
      <c r="BF292" s="16">
        <f>IFERROR(__xludf.DUMMYFUNCTION("""COMPUTED_VALUE"""),5.0)</f>
        <v>5</v>
      </c>
      <c r="BG292" s="16">
        <f>IFERROR(__xludf.DUMMYFUNCTION("""COMPUTED_VALUE"""),3.0)</f>
        <v>3</v>
      </c>
      <c r="BH292" s="16">
        <f>IFERROR(__xludf.DUMMYFUNCTION("""COMPUTED_VALUE"""),-2.0)</f>
        <v>-2</v>
      </c>
      <c r="BI292" s="16">
        <f>IFERROR(__xludf.DUMMYFUNCTION("""COMPUTED_VALUE"""),6.0)</f>
        <v>6</v>
      </c>
      <c r="BJ292" s="16">
        <f>IFERROR(__xludf.DUMMYFUNCTION("""COMPUTED_VALUE"""),-4.0)</f>
        <v>-4</v>
      </c>
      <c r="BK292" s="16">
        <f>IFERROR(__xludf.DUMMYFUNCTION("""COMPUTED_VALUE"""),5.0)</f>
        <v>5</v>
      </c>
      <c r="BL292" s="16">
        <f>IFERROR(__xludf.DUMMYFUNCTION("""COMPUTED_VALUE"""),5.0)</f>
        <v>5</v>
      </c>
      <c r="BM292" s="16">
        <f>IFERROR(__xludf.DUMMYFUNCTION("""COMPUTED_VALUE"""),0.0)</f>
        <v>0</v>
      </c>
      <c r="BN292" s="16">
        <f>IFERROR(__xludf.DUMMYFUNCTION("""COMPUTED_VALUE"""),0.0)</f>
        <v>0</v>
      </c>
      <c r="BO292" s="16">
        <f>IFERROR(__xludf.DUMMYFUNCTION("""COMPUTED_VALUE"""),0.0)</f>
        <v>0</v>
      </c>
      <c r="BP292" s="16">
        <f>IFERROR(__xludf.DUMMYFUNCTION("""COMPUTED_VALUE"""),0.0)</f>
        <v>0</v>
      </c>
      <c r="BQ292" s="16">
        <f>IFERROR(__xludf.DUMMYFUNCTION("""COMPUTED_VALUE"""),0.0)</f>
        <v>0</v>
      </c>
      <c r="BR292" s="16">
        <f>IFERROR(__xludf.DUMMYFUNCTION("""COMPUTED_VALUE"""),0.0)</f>
        <v>0</v>
      </c>
      <c r="BS292" s="16">
        <f>IFERROR(__xludf.DUMMYFUNCTION("""COMPUTED_VALUE"""),-3.0)</f>
        <v>-3</v>
      </c>
      <c r="BT292" s="16">
        <f>IFERROR(__xludf.DUMMYFUNCTION("""COMPUTED_VALUE"""),-3.0)</f>
        <v>-3</v>
      </c>
      <c r="BU292" s="16">
        <f>IFERROR(__xludf.DUMMYFUNCTION("""COMPUTED_VALUE"""),-6.0)</f>
        <v>-6</v>
      </c>
      <c r="BV292" s="16">
        <f>IFERROR(__xludf.DUMMYFUNCTION("""COMPUTED_VALUE"""),-6.0)</f>
        <v>-6</v>
      </c>
      <c r="BW292" s="16">
        <f>IFERROR(__xludf.DUMMYFUNCTION("""COMPUTED_VALUE"""),-3.0)</f>
        <v>-3</v>
      </c>
      <c r="BX292" s="16">
        <f>IFERROR(__xludf.DUMMYFUNCTION("""COMPUTED_VALUE"""),-3.0)</f>
        <v>-3</v>
      </c>
      <c r="BY292" s="16" t="str">
        <f>IFERROR(__xludf.DUMMYFUNCTION("""COMPUTED_VALUE"""),"R(1) C(0)")</f>
        <v>R(1) C(0)</v>
      </c>
      <c r="BZ292" s="16" t="str">
        <f>IFERROR(__xludf.DUMMYFUNCTION("""COMPUTED_VALUE"""),"R(1) C(0)")</f>
        <v>R(1) C(0)</v>
      </c>
      <c r="CA292" s="16" t="str">
        <f>IFERROR(__xludf.DUMMYFUNCTION("""COMPUTED_VALUE"""),"R(1)")</f>
        <v>R(1)</v>
      </c>
      <c r="CB292" s="16" t="str">
        <f>IFERROR(__xludf.DUMMYFUNCTION("""COMPUTED_VALUE"""),"C(0)")</f>
        <v>C(0)</v>
      </c>
      <c r="CC292" s="16"/>
      <c r="CD292" s="16"/>
      <c r="CE292" s="16">
        <f>IFERROR(__xludf.DUMMYFUNCTION("""COMPUTED_VALUE"""),1.0)</f>
        <v>1</v>
      </c>
      <c r="CF292" s="16">
        <f>IFERROR(__xludf.DUMMYFUNCTION("""COMPUTED_VALUE"""),0.0)</f>
        <v>0</v>
      </c>
      <c r="CG292" s="16" t="str">
        <f>IFERROR(__xludf.DUMMYFUNCTION("""COMPUTED_VALUE"""),"3-34")</f>
        <v>3-34</v>
      </c>
      <c r="CH292" s="16">
        <f>IFERROR(__xludf.DUMMYFUNCTION("""COMPUTED_VALUE"""),3.0)</f>
        <v>3</v>
      </c>
      <c r="CI292" s="16">
        <f>IFERROR(__xludf.DUMMYFUNCTION("""COMPUTED_VALUE"""),34.0)</f>
        <v>34</v>
      </c>
      <c r="CJ292" s="16">
        <f>IFERROR(__xludf.DUMMYFUNCTION("""COMPUTED_VALUE"""),0.0)</f>
        <v>0</v>
      </c>
      <c r="CK292" s="16">
        <f>IFERROR(__xludf.DUMMYFUNCTION("""COMPUTED_VALUE"""),0.0)</f>
        <v>0</v>
      </c>
      <c r="CL292" s="16" t="str">
        <f>IFERROR(__xludf.DUMMYFUNCTION("""COMPUTED_VALUE"""),"1WL-C")</f>
        <v>1WL-C</v>
      </c>
      <c r="CM292" s="16" t="str">
        <f>IFERROR(__xludf.DUMMYFUNCTION("""COMPUTED_VALUE"""),"E")</f>
        <v>E</v>
      </c>
      <c r="CN292" s="16">
        <f>IFERROR(__xludf.DUMMYFUNCTION("""COMPUTED_VALUE"""),10.0)</f>
        <v>10</v>
      </c>
      <c r="CO292" s="16" t="str">
        <f>IFERROR(__xludf.DUMMYFUNCTION("""COMPUTED_VALUE"""),"C")</f>
        <v>C</v>
      </c>
      <c r="CP292" s="16" t="str">
        <f>IFERROR(__xludf.DUMMYFUNCTION("""COMPUTED_VALUE"""),"2p40")</f>
        <v>2p40</v>
      </c>
      <c r="CQ292" s="16">
        <f>IFERROR(__xludf.DUMMYFUNCTION("""COMPUTED_VALUE"""),-4.0)</f>
        <v>-4</v>
      </c>
      <c r="CR292" s="16">
        <f>IFERROR(__xludf.DUMMYFUNCTION("""COMPUTED_VALUE"""),-4.0)</f>
        <v>-4</v>
      </c>
      <c r="CS292" s="16">
        <f>IFERROR(__xludf.DUMMYFUNCTION("""COMPUTED_VALUE"""),-8.0)</f>
        <v>-8</v>
      </c>
      <c r="CT292" s="16">
        <f>IFERROR(__xludf.DUMMYFUNCTION("""COMPUTED_VALUE"""),-4.0)</f>
        <v>-4</v>
      </c>
      <c r="CU292" s="16">
        <f>IFERROR(__xludf.DUMMYFUNCTION("""COMPUTED_VALUE"""),-4.0)</f>
        <v>-4</v>
      </c>
      <c r="CV292" s="179">
        <f>IFERROR(__xludf.DUMMYFUNCTION("""COMPUTED_VALUE"""),0.0)</f>
        <v>0</v>
      </c>
      <c r="CW292" s="179">
        <f>IFERROR(__xludf.DUMMYFUNCTION("""COMPUTED_VALUE"""),3.0)</f>
        <v>3</v>
      </c>
      <c r="CX292" s="179">
        <f>IFERROR(__xludf.DUMMYFUNCTION("""COMPUTED_VALUE"""),1.0)</f>
        <v>1</v>
      </c>
      <c r="CY292" s="16" t="str">
        <f>IFERROR(__xludf.DUMMYFUNCTION("""COMPUTED_VALUE"""),"RP")</f>
        <v>RP</v>
      </c>
      <c r="CZ292" s="16" t="str">
        <f>IFERROR(__xludf.DUMMYFUNCTION("""COMPUTED_VALUE"""),"CP")</f>
        <v>CP</v>
      </c>
      <c r="DA292" s="16"/>
      <c r="DB292" s="16"/>
      <c r="DC292" s="16"/>
      <c r="DD292" s="16"/>
      <c r="DE292" s="16"/>
      <c r="DF292" s="16"/>
      <c r="DG292" s="16"/>
      <c r="DH292" s="16"/>
      <c r="DI292" s="16"/>
      <c r="DJ292" s="16"/>
      <c r="DK292" s="16"/>
    </row>
    <row r="293">
      <c r="A293" s="16">
        <f>IFERROR(__xludf.DUMMYFUNCTION("""COMPUTED_VALUE"""),13128.0)</f>
        <v>13128</v>
      </c>
      <c r="B293" s="16" t="str">
        <f>IFERROR(__xludf.DUMMYFUNCTION("""COMPUTED_VALUE"""),"Luis Castillo")</f>
        <v>Luis Castillo</v>
      </c>
      <c r="C293" s="153">
        <f>IFERROR(__xludf.DUMMYFUNCTION("""COMPUTED_VALUE"""),0.92)</f>
        <v>0.92</v>
      </c>
      <c r="D293" s="16"/>
      <c r="E293" s="16" t="str">
        <f>IFERROR(__xludf.DUMMYFUNCTION("""COMPUTED_VALUE"""),"R")</f>
        <v>R</v>
      </c>
      <c r="F293" s="16">
        <f>IFERROR(__xludf.DUMMYFUNCTION("""COMPUTED_VALUE"""),175.0)</f>
        <v>175</v>
      </c>
      <c r="G293" s="16">
        <f>IFERROR(__xludf.DUMMYFUNCTION("""COMPUTED_VALUE"""),19.0)</f>
        <v>19</v>
      </c>
      <c r="H293" s="16">
        <f>IFERROR(__xludf.DUMMYFUNCTION("""COMPUTED_VALUE"""),38.0)</f>
        <v>38</v>
      </c>
      <c r="I293" s="16">
        <f>IFERROR(__xludf.DUMMYFUNCTION("""COMPUTED_VALUE"""),-1.0)</f>
        <v>-1</v>
      </c>
      <c r="J293" s="16">
        <f>IFERROR(__xludf.DUMMYFUNCTION("""COMPUTED_VALUE"""),1.0)</f>
        <v>1</v>
      </c>
      <c r="K293" s="16">
        <f>IFERROR(__xludf.DUMMYFUNCTION("""COMPUTED_VALUE"""),-3.0)</f>
        <v>-3</v>
      </c>
      <c r="L293" s="16">
        <f>IFERROR(__xludf.DUMMYFUNCTION("""COMPUTED_VALUE"""),3.0)</f>
        <v>3</v>
      </c>
      <c r="M293" s="16">
        <f>IFERROR(__xludf.DUMMYFUNCTION("""COMPUTED_VALUE"""),6.0)</f>
        <v>6</v>
      </c>
      <c r="N293" s="16">
        <f>IFERROR(__xludf.DUMMYFUNCTION("""COMPUTED_VALUE"""),4.0)</f>
        <v>4</v>
      </c>
      <c r="O293" s="16">
        <f>IFERROR(__xludf.DUMMYFUNCTION("""COMPUTED_VALUE"""),1.0)</f>
        <v>1</v>
      </c>
      <c r="P293" s="16">
        <f>IFERROR(__xludf.DUMMYFUNCTION("""COMPUTED_VALUE"""),2.0)</f>
        <v>2</v>
      </c>
      <c r="Q293" s="16">
        <f>IFERROR(__xludf.DUMMYFUNCTION("""COMPUTED_VALUE"""),1.0)</f>
        <v>1</v>
      </c>
      <c r="R293" s="16">
        <f>IFERROR(__xludf.DUMMYFUNCTION("""COMPUTED_VALUE"""),2.0)</f>
        <v>2</v>
      </c>
      <c r="S293" s="16">
        <f>IFERROR(__xludf.DUMMYFUNCTION("""COMPUTED_VALUE"""),21.9)</f>
        <v>21.9</v>
      </c>
      <c r="T293" s="16">
        <f>IFERROR(__xludf.DUMMYFUNCTION("""COMPUTED_VALUE"""),11.6)</f>
        <v>11.6</v>
      </c>
      <c r="U293" s="16">
        <f>IFERROR(__xludf.DUMMYFUNCTION("""COMPUTED_VALUE"""),-1.0)</f>
        <v>-1</v>
      </c>
      <c r="V293" s="16">
        <f>IFERROR(__xludf.DUMMYFUNCTION("""COMPUTED_VALUE"""),1.0)</f>
        <v>1</v>
      </c>
      <c r="W293" s="16">
        <f>IFERROR(__xludf.DUMMYFUNCTION("""COMPUTED_VALUE"""),-2.0)</f>
        <v>-2</v>
      </c>
      <c r="X293" s="16">
        <f>IFERROR(__xludf.DUMMYFUNCTION("""COMPUTED_VALUE"""),2.0)</f>
        <v>2</v>
      </c>
      <c r="Y293" s="16">
        <f>IFERROR(__xludf.DUMMYFUNCTION("""COMPUTED_VALUE"""),27.9)</f>
        <v>27.9</v>
      </c>
      <c r="Z293" s="16">
        <f>IFERROR(__xludf.DUMMYFUNCTION("""COMPUTED_VALUE"""),15.6)</f>
        <v>15.6</v>
      </c>
      <c r="AA293" s="16">
        <f>IFERROR(__xludf.DUMMYFUNCTION("""COMPUTED_VALUE"""),0.0)</f>
        <v>0</v>
      </c>
      <c r="AB293" s="16">
        <f>IFERROR(__xludf.DUMMYFUNCTION("""COMPUTED_VALUE"""),2.0)</f>
        <v>2</v>
      </c>
      <c r="AC293" s="16">
        <f>IFERROR(__xludf.DUMMYFUNCTION("""COMPUTED_VALUE"""),0.0)</f>
        <v>0</v>
      </c>
      <c r="AD293" s="16">
        <f>IFERROR(__xludf.DUMMYFUNCTION("""COMPUTED_VALUE"""),10.0)</f>
        <v>10</v>
      </c>
      <c r="AE293" s="16">
        <f>IFERROR(__xludf.DUMMYFUNCTION("""COMPUTED_VALUE"""),44.8)</f>
        <v>44.8</v>
      </c>
      <c r="AF293" s="16">
        <f>IFERROR(__xludf.DUMMYFUNCTION("""COMPUTED_VALUE"""),21.0)</f>
        <v>21</v>
      </c>
      <c r="AG293" s="16">
        <f>IFERROR(__xludf.DUMMYFUNCTION("""COMPUTED_VALUE"""),-2.0)</f>
        <v>-2</v>
      </c>
      <c r="AH293" s="16">
        <f>IFERROR(__xludf.DUMMYFUNCTION("""COMPUTED_VALUE"""),1.0)</f>
        <v>1</v>
      </c>
      <c r="AI293" s="16">
        <f>IFERROR(__xludf.DUMMYFUNCTION("""COMPUTED_VALUE"""),-4.0)</f>
        <v>-4</v>
      </c>
      <c r="AJ293" s="16">
        <f>IFERROR(__xludf.DUMMYFUNCTION("""COMPUTED_VALUE"""),2.0)</f>
        <v>2</v>
      </c>
      <c r="AK293" s="16">
        <f>IFERROR(__xludf.DUMMYFUNCTION("""COMPUTED_VALUE"""),16.9)</f>
        <v>16.9</v>
      </c>
      <c r="AL293" s="16">
        <f>IFERROR(__xludf.DUMMYFUNCTION("""COMPUTED_VALUE"""),10.799999999999999)</f>
        <v>10.8</v>
      </c>
      <c r="AM293" s="16">
        <f>IFERROR(__xludf.DUMMYFUNCTION("""COMPUTED_VALUE"""),-1.0)</f>
        <v>-1</v>
      </c>
      <c r="AN293" s="16">
        <f>IFERROR(__xludf.DUMMYFUNCTION("""COMPUTED_VALUE"""),1.0)</f>
        <v>1</v>
      </c>
      <c r="AO293" s="16">
        <f>IFERROR(__xludf.DUMMYFUNCTION("""COMPUTED_VALUE"""),-1.0)</f>
        <v>-1</v>
      </c>
      <c r="AP293" s="16">
        <f>IFERROR(__xludf.DUMMYFUNCTION("""COMPUTED_VALUE"""),1.0)</f>
        <v>1</v>
      </c>
      <c r="AQ293" s="16">
        <f>IFERROR(__xludf.DUMMYFUNCTION("""COMPUTED_VALUE"""),24.799999999999997)</f>
        <v>24.8</v>
      </c>
      <c r="AR293" s="16">
        <f>IFERROR(__xludf.DUMMYFUNCTION("""COMPUTED_VALUE"""),17.8)</f>
        <v>17.8</v>
      </c>
      <c r="AS293" s="16">
        <f>IFERROR(__xludf.DUMMYFUNCTION("""COMPUTED_VALUE"""),-1.0)</f>
        <v>-1</v>
      </c>
      <c r="AT293" s="16">
        <f>IFERROR(__xludf.DUMMYFUNCTION("""COMPUTED_VALUE"""),0.0)</f>
        <v>0</v>
      </c>
      <c r="AU293" s="16">
        <f>IFERROR(__xludf.DUMMYFUNCTION("""COMPUTED_VALUE"""),-2.0)</f>
        <v>-2</v>
      </c>
      <c r="AV293" s="16">
        <f>IFERROR(__xludf.DUMMYFUNCTION("""COMPUTED_VALUE"""),0.0)</f>
        <v>0</v>
      </c>
      <c r="AW293" s="16">
        <f>IFERROR(__xludf.DUMMYFUNCTION("""COMPUTED_VALUE"""),5.0)</f>
        <v>5</v>
      </c>
      <c r="AX293" s="16">
        <f>IFERROR(__xludf.DUMMYFUNCTION("""COMPUTED_VALUE"""),0.8)</f>
        <v>0.8</v>
      </c>
      <c r="AY293" s="16">
        <f>IFERROR(__xludf.DUMMYFUNCTION("""COMPUTED_VALUE"""),-3.0)</f>
        <v>-3</v>
      </c>
      <c r="AZ293" s="16">
        <f>IFERROR(__xludf.DUMMYFUNCTION("""COMPUTED_VALUE"""),1.0)</f>
        <v>1</v>
      </c>
      <c r="BA293" s="16">
        <f>IFERROR(__xludf.DUMMYFUNCTION("""COMPUTED_VALUE"""),-15.0)</f>
        <v>-15</v>
      </c>
      <c r="BB293" s="16">
        <f>IFERROR(__xludf.DUMMYFUNCTION("""COMPUTED_VALUE"""),5.0)</f>
        <v>5</v>
      </c>
      <c r="BC293" s="16">
        <f>IFERROR(__xludf.DUMMYFUNCTION("""COMPUTED_VALUE"""),8.0)</f>
        <v>8</v>
      </c>
      <c r="BD293" s="16">
        <f>IFERROR(__xludf.DUMMYFUNCTION("""COMPUTED_VALUE"""),0.0)</f>
        <v>0</v>
      </c>
      <c r="BE293" s="16">
        <f>IFERROR(__xludf.DUMMYFUNCTION("""COMPUTED_VALUE"""),8.0)</f>
        <v>8</v>
      </c>
      <c r="BF293" s="16">
        <f>IFERROR(__xludf.DUMMYFUNCTION("""COMPUTED_VALUE"""),0.0)</f>
        <v>0</v>
      </c>
      <c r="BG293" s="16">
        <f>IFERROR(__xludf.DUMMYFUNCTION("""COMPUTED_VALUE"""),-3.0)</f>
        <v>-3</v>
      </c>
      <c r="BH293" s="16">
        <f>IFERROR(__xludf.DUMMYFUNCTION("""COMPUTED_VALUE"""),2.0)</f>
        <v>2</v>
      </c>
      <c r="BI293" s="16">
        <f>IFERROR(__xludf.DUMMYFUNCTION("""COMPUTED_VALUE"""),-6.0)</f>
        <v>-6</v>
      </c>
      <c r="BJ293" s="16">
        <f>IFERROR(__xludf.DUMMYFUNCTION("""COMPUTED_VALUE"""),4.0)</f>
        <v>4</v>
      </c>
      <c r="BK293" s="16">
        <f>IFERROR(__xludf.DUMMYFUNCTION("""COMPUTED_VALUE"""),5.0)</f>
        <v>5</v>
      </c>
      <c r="BL293" s="16">
        <f>IFERROR(__xludf.DUMMYFUNCTION("""COMPUTED_VALUE"""),5.0)</f>
        <v>5</v>
      </c>
      <c r="BM293" s="16">
        <f>IFERROR(__xludf.DUMMYFUNCTION("""COMPUTED_VALUE"""),0.0)</f>
        <v>0</v>
      </c>
      <c r="BN293" s="16">
        <f>IFERROR(__xludf.DUMMYFUNCTION("""COMPUTED_VALUE"""),0.0)</f>
        <v>0</v>
      </c>
      <c r="BO293" s="16">
        <f>IFERROR(__xludf.DUMMYFUNCTION("""COMPUTED_VALUE"""),0.0)</f>
        <v>0</v>
      </c>
      <c r="BP293" s="16">
        <f>IFERROR(__xludf.DUMMYFUNCTION("""COMPUTED_VALUE"""),0.0)</f>
        <v>0</v>
      </c>
      <c r="BQ293" s="16">
        <f>IFERROR(__xludf.DUMMYFUNCTION("""COMPUTED_VALUE"""),7.0)</f>
        <v>7</v>
      </c>
      <c r="BR293" s="16">
        <f>IFERROR(__xludf.DUMMYFUNCTION("""COMPUTED_VALUE"""),9.0)</f>
        <v>9</v>
      </c>
      <c r="BS293" s="16">
        <f>IFERROR(__xludf.DUMMYFUNCTION("""COMPUTED_VALUE"""),2.0)</f>
        <v>2</v>
      </c>
      <c r="BT293" s="16">
        <f>IFERROR(__xludf.DUMMYFUNCTION("""COMPUTED_VALUE"""),3.0)</f>
        <v>3</v>
      </c>
      <c r="BU293" s="16">
        <f>IFERROR(__xludf.DUMMYFUNCTION("""COMPUTED_VALUE"""),4.0)</f>
        <v>4</v>
      </c>
      <c r="BV293" s="16">
        <f>IFERROR(__xludf.DUMMYFUNCTION("""COMPUTED_VALUE"""),6.0)</f>
        <v>6</v>
      </c>
      <c r="BW293" s="16">
        <f>IFERROR(__xludf.DUMMYFUNCTION("""COMPUTED_VALUE"""),1.0)</f>
        <v>1</v>
      </c>
      <c r="BX293" s="16">
        <f>IFERROR(__xludf.DUMMYFUNCTION("""COMPUTED_VALUE"""),1.0)</f>
        <v>1</v>
      </c>
      <c r="BY293" s="16" t="str">
        <f>IFERROR(__xludf.DUMMYFUNCTION("""COMPUTED_VALUE"""),"S(6)")</f>
        <v>S(6)</v>
      </c>
      <c r="BZ293" s="16" t="str">
        <f>IFERROR(__xludf.DUMMYFUNCTION("""COMPUTED_VALUE"""),"S(6)")</f>
        <v>S(6)</v>
      </c>
      <c r="CA293" s="16" t="str">
        <f>IFERROR(__xludf.DUMMYFUNCTION("""COMPUTED_VALUE"""),"S(6)")</f>
        <v>S(6)</v>
      </c>
      <c r="CB293" s="16"/>
      <c r="CC293" s="16"/>
      <c r="CD293" s="16">
        <f>IFERROR(__xludf.DUMMYFUNCTION("""COMPUTED_VALUE"""),6.0)</f>
        <v>6</v>
      </c>
      <c r="CE293" s="16"/>
      <c r="CF293" s="16"/>
      <c r="CG293" s="16" t="str">
        <f>IFERROR(__xludf.DUMMYFUNCTION("""COMPUTED_VALUE"""),"3-8")</f>
        <v>3-8</v>
      </c>
      <c r="CH293" s="16">
        <f>IFERROR(__xludf.DUMMYFUNCTION("""COMPUTED_VALUE"""),3.0)</f>
        <v>3</v>
      </c>
      <c r="CI293" s="16">
        <f>IFERROR(__xludf.DUMMYFUNCTION("""COMPUTED_VALUE"""),8.0)</f>
        <v>8</v>
      </c>
      <c r="CJ293" s="16">
        <f>IFERROR(__xludf.DUMMYFUNCTION("""COMPUTED_VALUE"""),0.0)</f>
        <v>0</v>
      </c>
      <c r="CK293" s="16">
        <f>IFERROR(__xludf.DUMMYFUNCTION("""COMPUTED_VALUE"""),0.0)</f>
        <v>0</v>
      </c>
      <c r="CL293" s="16" t="str">
        <f>IFERROR(__xludf.DUMMYFUNCTION("""COMPUTED_VALUE"""),"1WR-C")</f>
        <v>1WR-C</v>
      </c>
      <c r="CM293" s="16" t="str">
        <f>IFERROR(__xludf.DUMMYFUNCTION("""COMPUTED_VALUE"""),"E")</f>
        <v>E</v>
      </c>
      <c r="CN293" s="16">
        <f>IFERROR(__xludf.DUMMYFUNCTION("""COMPUTED_VALUE"""),10.0)</f>
        <v>10</v>
      </c>
      <c r="CO293" s="16" t="str">
        <f>IFERROR(__xludf.DUMMYFUNCTION("""COMPUTED_VALUE"""),"C")</f>
        <v>C</v>
      </c>
      <c r="CP293" s="16" t="str">
        <f>IFERROR(__xludf.DUMMYFUNCTION("""COMPUTED_VALUE"""),"1p70")</f>
        <v>1p70</v>
      </c>
      <c r="CQ293" s="16">
        <f>IFERROR(__xludf.DUMMYFUNCTION("""COMPUTED_VALUE"""),-28.0)</f>
        <v>-28</v>
      </c>
      <c r="CR293" s="16">
        <f>IFERROR(__xludf.DUMMYFUNCTION("""COMPUTED_VALUE"""),35.0)</f>
        <v>35</v>
      </c>
      <c r="CS293" s="16">
        <f>IFERROR(__xludf.DUMMYFUNCTION("""COMPUTED_VALUE"""),7.0)</f>
        <v>7</v>
      </c>
      <c r="CT293" s="16">
        <f>IFERROR(__xludf.DUMMYFUNCTION("""COMPUTED_VALUE"""),-28.0)</f>
        <v>-28</v>
      </c>
      <c r="CU293" s="16">
        <f>IFERROR(__xludf.DUMMYFUNCTION("""COMPUTED_VALUE"""),35.0)</f>
        <v>35</v>
      </c>
      <c r="CV293" s="179">
        <f>IFERROR(__xludf.DUMMYFUNCTION("""COMPUTED_VALUE"""),0.0)</f>
        <v>0</v>
      </c>
      <c r="CW293" s="179">
        <f>IFERROR(__xludf.DUMMYFUNCTION("""COMPUTED_VALUE"""),4.0)</f>
        <v>4</v>
      </c>
      <c r="CX293" s="179">
        <f>IFERROR(__xludf.DUMMYFUNCTION("""COMPUTED_VALUE"""),3.0)</f>
        <v>3</v>
      </c>
      <c r="CY293" s="16" t="str">
        <f>IFERROR(__xludf.DUMMYFUNCTION("""COMPUTED_VALUE"""),"SP")</f>
        <v>SP</v>
      </c>
      <c r="CZ293" s="16"/>
      <c r="DA293" s="16"/>
      <c r="DB293" s="16"/>
      <c r="DC293" s="16"/>
      <c r="DD293" s="16"/>
      <c r="DE293" s="16"/>
      <c r="DF293" s="16"/>
      <c r="DG293" s="16"/>
      <c r="DH293" s="16"/>
      <c r="DI293" s="16"/>
      <c r="DJ293" s="16"/>
      <c r="DK293" s="16"/>
    </row>
    <row r="294">
      <c r="A294" s="16">
        <f>IFERROR(__xludf.DUMMYFUNCTION("""COMPUTED_VALUE"""),12709.0)</f>
        <v>12709</v>
      </c>
      <c r="B294" s="16" t="str">
        <f>IFERROR(__xludf.DUMMYFUNCTION("""COMPUTED_VALUE"""),"Cooper Criswell")</f>
        <v>Cooper Criswell</v>
      </c>
      <c r="C294" s="153">
        <f>IFERROR(__xludf.DUMMYFUNCTION("""COMPUTED_VALUE"""),0.31)</f>
        <v>0.31</v>
      </c>
      <c r="D294" s="16"/>
      <c r="E294" s="16" t="str">
        <f>IFERROR(__xludf.DUMMYFUNCTION("""COMPUTED_VALUE"""),"R")</f>
        <v>R</v>
      </c>
      <c r="F294" s="16">
        <f>IFERROR(__xludf.DUMMYFUNCTION("""COMPUTED_VALUE"""),99.0)</f>
        <v>99</v>
      </c>
      <c r="G294" s="16">
        <f>IFERROR(__xludf.DUMMYFUNCTION("""COMPUTED_VALUE"""),17.0)</f>
        <v>17</v>
      </c>
      <c r="H294" s="16">
        <f>IFERROR(__xludf.DUMMYFUNCTION("""COMPUTED_VALUE"""),11.0)</f>
        <v>11</v>
      </c>
      <c r="I294" s="16">
        <f>IFERROR(__xludf.DUMMYFUNCTION("""COMPUTED_VALUE"""),-1.0)</f>
        <v>-1</v>
      </c>
      <c r="J294" s="16">
        <f>IFERROR(__xludf.DUMMYFUNCTION("""COMPUTED_VALUE"""),-2.0)</f>
        <v>-2</v>
      </c>
      <c r="K294" s="16">
        <f>IFERROR(__xludf.DUMMYFUNCTION("""COMPUTED_VALUE"""),-3.0)</f>
        <v>-3</v>
      </c>
      <c r="L294" s="16">
        <f>IFERROR(__xludf.DUMMYFUNCTION("""COMPUTED_VALUE"""),-6.0)</f>
        <v>-6</v>
      </c>
      <c r="M294" s="16">
        <f>IFERROR(__xludf.DUMMYFUNCTION("""COMPUTED_VALUE"""),9.0)</f>
        <v>9</v>
      </c>
      <c r="N294" s="16">
        <f>IFERROR(__xludf.DUMMYFUNCTION("""COMPUTED_VALUE"""),6.0)</f>
        <v>6</v>
      </c>
      <c r="O294" s="16">
        <f>IFERROR(__xludf.DUMMYFUNCTION("""COMPUTED_VALUE"""),0.0)</f>
        <v>0</v>
      </c>
      <c r="P294" s="16">
        <f>IFERROR(__xludf.DUMMYFUNCTION("""COMPUTED_VALUE"""),1.0)</f>
        <v>1</v>
      </c>
      <c r="Q294" s="16">
        <f>IFERROR(__xludf.DUMMYFUNCTION("""COMPUTED_VALUE"""),0.0)</f>
        <v>0</v>
      </c>
      <c r="R294" s="16">
        <f>IFERROR(__xludf.DUMMYFUNCTION("""COMPUTED_VALUE"""),1.0)</f>
        <v>1</v>
      </c>
      <c r="S294" s="16">
        <f>IFERROR(__xludf.DUMMYFUNCTION("""COMPUTED_VALUE"""),18.8)</f>
        <v>18.8</v>
      </c>
      <c r="T294" s="16">
        <f>IFERROR(__xludf.DUMMYFUNCTION("""COMPUTED_VALUE"""),22.0)</f>
        <v>22</v>
      </c>
      <c r="U294" s="16">
        <f>IFERROR(__xludf.DUMMYFUNCTION("""COMPUTED_VALUE"""),-1.0)</f>
        <v>-1</v>
      </c>
      <c r="V294" s="16">
        <f>IFERROR(__xludf.DUMMYFUNCTION("""COMPUTED_VALUE"""),-1.0)</f>
        <v>-1</v>
      </c>
      <c r="W294" s="16">
        <f>IFERROR(__xludf.DUMMYFUNCTION("""COMPUTED_VALUE"""),-2.0)</f>
        <v>-2</v>
      </c>
      <c r="X294" s="16">
        <f>IFERROR(__xludf.DUMMYFUNCTION("""COMPUTED_VALUE"""),-2.0)</f>
        <v>-2</v>
      </c>
      <c r="Y294" s="16">
        <f>IFERROR(__xludf.DUMMYFUNCTION("""COMPUTED_VALUE"""),27.8)</f>
        <v>27.8</v>
      </c>
      <c r="Z294" s="16">
        <f>IFERROR(__xludf.DUMMYFUNCTION("""COMPUTED_VALUE"""),28.0)</f>
        <v>28</v>
      </c>
      <c r="AA294" s="16">
        <f>IFERROR(__xludf.DUMMYFUNCTION("""COMPUTED_VALUE"""),0.0)</f>
        <v>0</v>
      </c>
      <c r="AB294" s="16">
        <f>IFERROR(__xludf.DUMMYFUNCTION("""COMPUTED_VALUE"""),0.0)</f>
        <v>0</v>
      </c>
      <c r="AC294" s="16">
        <f>IFERROR(__xludf.DUMMYFUNCTION("""COMPUTED_VALUE"""),0.0)</f>
        <v>0</v>
      </c>
      <c r="AD294" s="16">
        <f>IFERROR(__xludf.DUMMYFUNCTION("""COMPUTED_VALUE"""),0.0)</f>
        <v>0</v>
      </c>
      <c r="AE294" s="16">
        <f>IFERROR(__xludf.DUMMYFUNCTION("""COMPUTED_VALUE"""),26.9)</f>
        <v>26.9</v>
      </c>
      <c r="AF294" s="16">
        <f>IFERROR(__xludf.DUMMYFUNCTION("""COMPUTED_VALUE"""),40.8)</f>
        <v>40.8</v>
      </c>
      <c r="AG294" s="16">
        <f>IFERROR(__xludf.DUMMYFUNCTION("""COMPUTED_VALUE"""),0.0)</f>
        <v>0</v>
      </c>
      <c r="AH294" s="16">
        <f>IFERROR(__xludf.DUMMYFUNCTION("""COMPUTED_VALUE"""),-1.0)</f>
        <v>-1</v>
      </c>
      <c r="AI294" s="16">
        <f>IFERROR(__xludf.DUMMYFUNCTION("""COMPUTED_VALUE"""),0.0)</f>
        <v>0</v>
      </c>
      <c r="AJ294" s="16">
        <f>IFERROR(__xludf.DUMMYFUNCTION("""COMPUTED_VALUE"""),-2.0)</f>
        <v>-2</v>
      </c>
      <c r="AK294" s="16">
        <f>IFERROR(__xludf.DUMMYFUNCTION("""COMPUTED_VALUE"""),18.8)</f>
        <v>18.8</v>
      </c>
      <c r="AL294" s="16">
        <f>IFERROR(__xludf.DUMMYFUNCTION("""COMPUTED_VALUE"""),18.8)</f>
        <v>18.8</v>
      </c>
      <c r="AM294" s="16">
        <f>IFERROR(__xludf.DUMMYFUNCTION("""COMPUTED_VALUE"""),-1.0)</f>
        <v>-1</v>
      </c>
      <c r="AN294" s="16">
        <f>IFERROR(__xludf.DUMMYFUNCTION("""COMPUTED_VALUE"""),-1.0)</f>
        <v>-1</v>
      </c>
      <c r="AO294" s="16">
        <f>IFERROR(__xludf.DUMMYFUNCTION("""COMPUTED_VALUE"""),-1.0)</f>
        <v>-1</v>
      </c>
      <c r="AP294" s="16">
        <f>IFERROR(__xludf.DUMMYFUNCTION("""COMPUTED_VALUE"""),-1.0)</f>
        <v>-1</v>
      </c>
      <c r="AQ294" s="16">
        <f>IFERROR(__xludf.DUMMYFUNCTION("""COMPUTED_VALUE"""),26.9)</f>
        <v>26.9</v>
      </c>
      <c r="AR294" s="16">
        <f>IFERROR(__xludf.DUMMYFUNCTION("""COMPUTED_VALUE"""),27.999999999999996)</f>
        <v>28</v>
      </c>
      <c r="AS294" s="16">
        <f>IFERROR(__xludf.DUMMYFUNCTION("""COMPUTED_VALUE"""),-1.0)</f>
        <v>-1</v>
      </c>
      <c r="AT294" s="16">
        <f>IFERROR(__xludf.DUMMYFUNCTION("""COMPUTED_VALUE"""),-1.0)</f>
        <v>-1</v>
      </c>
      <c r="AU294" s="16">
        <f>IFERROR(__xludf.DUMMYFUNCTION("""COMPUTED_VALUE"""),-2.0)</f>
        <v>-2</v>
      </c>
      <c r="AV294" s="16">
        <f>IFERROR(__xludf.DUMMYFUNCTION("""COMPUTED_VALUE"""),-2.0)</f>
        <v>-2</v>
      </c>
      <c r="AW294" s="16">
        <f>IFERROR(__xludf.DUMMYFUNCTION("""COMPUTED_VALUE"""),0.0)</f>
        <v>0</v>
      </c>
      <c r="AX294" s="16">
        <f>IFERROR(__xludf.DUMMYFUNCTION("""COMPUTED_VALUE"""),3.2)</f>
        <v>3.2</v>
      </c>
      <c r="AY294" s="16">
        <f>IFERROR(__xludf.DUMMYFUNCTION("""COMPUTED_VALUE"""),2.0)</f>
        <v>2</v>
      </c>
      <c r="AZ294" s="16">
        <f>IFERROR(__xludf.DUMMYFUNCTION("""COMPUTED_VALUE"""),-1.0)</f>
        <v>-1</v>
      </c>
      <c r="BA294" s="16">
        <f>IFERROR(__xludf.DUMMYFUNCTION("""COMPUTED_VALUE"""),10.0)</f>
        <v>10</v>
      </c>
      <c r="BB294" s="16">
        <f>IFERROR(__xludf.DUMMYFUNCTION("""COMPUTED_VALUE"""),-5.0)</f>
        <v>-5</v>
      </c>
      <c r="BC294" s="16">
        <f>IFERROR(__xludf.DUMMYFUNCTION("""COMPUTED_VALUE"""),0.0)</f>
        <v>0</v>
      </c>
      <c r="BD294" s="16">
        <f>IFERROR(__xludf.DUMMYFUNCTION("""COMPUTED_VALUE"""),5.0)</f>
        <v>5</v>
      </c>
      <c r="BE294" s="16">
        <f>IFERROR(__xludf.DUMMYFUNCTION("""COMPUTED_VALUE"""),0.0)</f>
        <v>0</v>
      </c>
      <c r="BF294" s="16">
        <f>IFERROR(__xludf.DUMMYFUNCTION("""COMPUTED_VALUE"""),5.0)</f>
        <v>5</v>
      </c>
      <c r="BG294" s="16">
        <f>IFERROR(__xludf.DUMMYFUNCTION("""COMPUTED_VALUE"""),3.0)</f>
        <v>3</v>
      </c>
      <c r="BH294" s="16">
        <f>IFERROR(__xludf.DUMMYFUNCTION("""COMPUTED_VALUE"""),-2.0)</f>
        <v>-2</v>
      </c>
      <c r="BI294" s="16">
        <f>IFERROR(__xludf.DUMMYFUNCTION("""COMPUTED_VALUE"""),6.0)</f>
        <v>6</v>
      </c>
      <c r="BJ294" s="16">
        <f>IFERROR(__xludf.DUMMYFUNCTION("""COMPUTED_VALUE"""),-4.0)</f>
        <v>-4</v>
      </c>
      <c r="BK294" s="16">
        <f>IFERROR(__xludf.DUMMYFUNCTION("""COMPUTED_VALUE"""),5.0)</f>
        <v>5</v>
      </c>
      <c r="BL294" s="16">
        <f>IFERROR(__xludf.DUMMYFUNCTION("""COMPUTED_VALUE"""),5.0)</f>
        <v>5</v>
      </c>
      <c r="BM294" s="16">
        <f>IFERROR(__xludf.DUMMYFUNCTION("""COMPUTED_VALUE"""),0.0)</f>
        <v>0</v>
      </c>
      <c r="BN294" s="16">
        <f>IFERROR(__xludf.DUMMYFUNCTION("""COMPUTED_VALUE"""),0.0)</f>
        <v>0</v>
      </c>
      <c r="BO294" s="16">
        <f>IFERROR(__xludf.DUMMYFUNCTION("""COMPUTED_VALUE"""),0.0)</f>
        <v>0</v>
      </c>
      <c r="BP294" s="16">
        <f>IFERROR(__xludf.DUMMYFUNCTION("""COMPUTED_VALUE"""),0.0)</f>
        <v>0</v>
      </c>
      <c r="BQ294" s="16">
        <f>IFERROR(__xludf.DUMMYFUNCTION("""COMPUTED_VALUE"""),12.0)</f>
        <v>12</v>
      </c>
      <c r="BR294" s="16">
        <f>IFERROR(__xludf.DUMMYFUNCTION("""COMPUTED_VALUE"""),12.0)</f>
        <v>12</v>
      </c>
      <c r="BS294" s="16">
        <f>IFERROR(__xludf.DUMMYFUNCTION("""COMPUTED_VALUE"""),3.0)</f>
        <v>3</v>
      </c>
      <c r="BT294" s="16">
        <f>IFERROR(__xludf.DUMMYFUNCTION("""COMPUTED_VALUE"""),3.0)</f>
        <v>3</v>
      </c>
      <c r="BU294" s="16">
        <f>IFERROR(__xludf.DUMMYFUNCTION("""COMPUTED_VALUE"""),6.0)</f>
        <v>6</v>
      </c>
      <c r="BV294" s="16">
        <f>IFERROR(__xludf.DUMMYFUNCTION("""COMPUTED_VALUE"""),6.0)</f>
        <v>6</v>
      </c>
      <c r="BW294" s="16">
        <f>IFERROR(__xludf.DUMMYFUNCTION("""COMPUTED_VALUE"""),-3.0)</f>
        <v>-3</v>
      </c>
      <c r="BX294" s="16">
        <f>IFERROR(__xludf.DUMMYFUNCTION("""COMPUTED_VALUE"""),-3.0)</f>
        <v>-3</v>
      </c>
      <c r="BY294" s="16" t="str">
        <f>IFERROR(__xludf.DUMMYFUNCTION("""COMPUTED_VALUE"""),"S(4) R(3)")</f>
        <v>S(4) R(3)</v>
      </c>
      <c r="BZ294" s="16" t="str">
        <f>IFERROR(__xludf.DUMMYFUNCTION("""COMPUTED_VALUE"""),"S(4) R(3)")</f>
        <v>S(4) R(3)</v>
      </c>
      <c r="CA294" s="16" t="str">
        <f>IFERROR(__xludf.DUMMYFUNCTION("""COMPUTED_VALUE"""),"S(4)")</f>
        <v>S(4)</v>
      </c>
      <c r="CB294" s="16" t="str">
        <f>IFERROR(__xludf.DUMMYFUNCTION("""COMPUTED_VALUE"""),"R(3)")</f>
        <v>R(3)</v>
      </c>
      <c r="CC294" s="16"/>
      <c r="CD294" s="16">
        <f>IFERROR(__xludf.DUMMYFUNCTION("""COMPUTED_VALUE"""),4.0)</f>
        <v>4</v>
      </c>
      <c r="CE294" s="16">
        <f>IFERROR(__xludf.DUMMYFUNCTION("""COMPUTED_VALUE"""),3.0)</f>
        <v>3</v>
      </c>
      <c r="CF294" s="16"/>
      <c r="CG294" s="16" t="str">
        <f>IFERROR(__xludf.DUMMYFUNCTION("""COMPUTED_VALUE"""),"3-0")</f>
        <v>3-0</v>
      </c>
      <c r="CH294" s="16">
        <f>IFERROR(__xludf.DUMMYFUNCTION("""COMPUTED_VALUE"""),3.0)</f>
        <v>3</v>
      </c>
      <c r="CI294" s="16">
        <f>IFERROR(__xludf.DUMMYFUNCTION("""COMPUTED_VALUE"""),0.0)</f>
        <v>0</v>
      </c>
      <c r="CJ294" s="16">
        <f>IFERROR(__xludf.DUMMYFUNCTION("""COMPUTED_VALUE"""),0.0)</f>
        <v>0</v>
      </c>
      <c r="CK294" s="16">
        <f>IFERROR(__xludf.DUMMYFUNCTION("""COMPUTED_VALUE"""),4.0)</f>
        <v>4</v>
      </c>
      <c r="CL294" s="16" t="str">
        <f>IFERROR(__xludf.DUMMYFUNCTION("""COMPUTED_VALUE"""),"1WR-C")</f>
        <v>1WR-C</v>
      </c>
      <c r="CM294" s="16" t="str">
        <f>IFERROR(__xludf.DUMMYFUNCTION("""COMPUTED_VALUE"""),"E")</f>
        <v>E</v>
      </c>
      <c r="CN294" s="16">
        <f>IFERROR(__xludf.DUMMYFUNCTION("""COMPUTED_VALUE"""),10.0)</f>
        <v>10</v>
      </c>
      <c r="CO294" s="16" t="str">
        <f>IFERROR(__xludf.DUMMYFUNCTION("""COMPUTED_VALUE"""),"C")</f>
        <v>C</v>
      </c>
      <c r="CP294" s="16" t="str">
        <f>IFERROR(__xludf.DUMMYFUNCTION("""COMPUTED_VALUE"""),"1p60")</f>
        <v>1p60</v>
      </c>
      <c r="CQ294" s="16">
        <f>IFERROR(__xludf.DUMMYFUNCTION("""COMPUTED_VALUE"""),14.0)</f>
        <v>14</v>
      </c>
      <c r="CR294" s="16">
        <f>IFERROR(__xludf.DUMMYFUNCTION("""COMPUTED_VALUE"""),-15.0)</f>
        <v>-15</v>
      </c>
      <c r="CS294" s="16">
        <f>IFERROR(__xludf.DUMMYFUNCTION("""COMPUTED_VALUE"""),-1.0)</f>
        <v>-1</v>
      </c>
      <c r="CT294" s="16">
        <f>IFERROR(__xludf.DUMMYFUNCTION("""COMPUTED_VALUE"""),14.0)</f>
        <v>14</v>
      </c>
      <c r="CU294" s="16">
        <f>IFERROR(__xludf.DUMMYFUNCTION("""COMPUTED_VALUE"""),-15.0)</f>
        <v>-15</v>
      </c>
      <c r="CV294" s="179">
        <f>IFERROR(__xludf.DUMMYFUNCTION("""COMPUTED_VALUE"""),-0.33333333333333304)</f>
        <v>-0.3333333333</v>
      </c>
      <c r="CW294" s="179">
        <f>IFERROR(__xludf.DUMMYFUNCTION("""COMPUTED_VALUE"""),4.0)</f>
        <v>4</v>
      </c>
      <c r="CX294" s="179">
        <f>IFERROR(__xludf.DUMMYFUNCTION("""COMPUTED_VALUE"""),1.0)</f>
        <v>1</v>
      </c>
      <c r="CY294" s="16" t="str">
        <f>IFERROR(__xludf.DUMMYFUNCTION("""COMPUTED_VALUE"""),"SP")</f>
        <v>SP</v>
      </c>
      <c r="CZ294" s="16" t="str">
        <f>IFERROR(__xludf.DUMMYFUNCTION("""COMPUTED_VALUE"""),"RP")</f>
        <v>RP</v>
      </c>
      <c r="DA294" s="16"/>
      <c r="DB294" s="16"/>
      <c r="DC294" s="16"/>
      <c r="DD294" s="16"/>
      <c r="DE294" s="16"/>
      <c r="DF294" s="16"/>
      <c r="DG294" s="16"/>
      <c r="DH294" s="16"/>
      <c r="DI294" s="16"/>
      <c r="DJ294" s="16"/>
      <c r="DK294" s="16"/>
    </row>
    <row r="295">
      <c r="A295" s="16">
        <f>IFERROR(__xludf.DUMMYFUNCTION("""COMPUTED_VALUE"""),13093.0)</f>
        <v>13093</v>
      </c>
      <c r="B295" s="16" t="str">
        <f>IFERROR(__xludf.DUMMYFUNCTION("""COMPUTED_VALUE"""),"Kyle Harrison")</f>
        <v>Kyle Harrison</v>
      </c>
      <c r="C295" s="153">
        <f>IFERROR(__xludf.DUMMYFUNCTION("""COMPUTED_VALUE"""),0.22)</f>
        <v>0.22</v>
      </c>
      <c r="D295" s="16"/>
      <c r="E295" s="16" t="str">
        <f>IFERROR(__xludf.DUMMYFUNCTION("""COMPUTED_VALUE"""),"L")</f>
        <v>L</v>
      </c>
      <c r="F295" s="16">
        <f>IFERROR(__xludf.DUMMYFUNCTION("""COMPUTED_VALUE"""),124.0)</f>
        <v>124</v>
      </c>
      <c r="G295" s="16">
        <f>IFERROR(__xludf.DUMMYFUNCTION("""COMPUTED_VALUE"""),35.0)</f>
        <v>35</v>
      </c>
      <c r="H295" s="16">
        <f>IFERROR(__xludf.DUMMYFUNCTION("""COMPUTED_VALUE"""),22.0)</f>
        <v>22</v>
      </c>
      <c r="I295" s="16">
        <f>IFERROR(__xludf.DUMMYFUNCTION("""COMPUTED_VALUE"""),1.0)</f>
        <v>1</v>
      </c>
      <c r="J295" s="16">
        <f>IFERROR(__xludf.DUMMYFUNCTION("""COMPUTED_VALUE"""),-1.0)</f>
        <v>-1</v>
      </c>
      <c r="K295" s="16">
        <f>IFERROR(__xludf.DUMMYFUNCTION("""COMPUTED_VALUE"""),3.0)</f>
        <v>3</v>
      </c>
      <c r="L295" s="16">
        <f>IFERROR(__xludf.DUMMYFUNCTION("""COMPUTED_VALUE"""),-3.0)</f>
        <v>-3</v>
      </c>
      <c r="M295" s="16">
        <f>IFERROR(__xludf.DUMMYFUNCTION("""COMPUTED_VALUE"""),5.0)</f>
        <v>5</v>
      </c>
      <c r="N295" s="16">
        <f>IFERROR(__xludf.DUMMYFUNCTION("""COMPUTED_VALUE"""),10.0)</f>
        <v>10</v>
      </c>
      <c r="O295" s="16">
        <f>IFERROR(__xludf.DUMMYFUNCTION("""COMPUTED_VALUE"""),2.0)</f>
        <v>2</v>
      </c>
      <c r="P295" s="16">
        <f>IFERROR(__xludf.DUMMYFUNCTION("""COMPUTED_VALUE"""),-1.0)</f>
        <v>-1</v>
      </c>
      <c r="Q295" s="16">
        <f>IFERROR(__xludf.DUMMYFUNCTION("""COMPUTED_VALUE"""),2.0)</f>
        <v>2</v>
      </c>
      <c r="R295" s="16">
        <f>IFERROR(__xludf.DUMMYFUNCTION("""COMPUTED_VALUE"""),-1.0)</f>
        <v>-1</v>
      </c>
      <c r="S295" s="16">
        <f>IFERROR(__xludf.DUMMYFUNCTION("""COMPUTED_VALUE"""),20.1)</f>
        <v>20.1</v>
      </c>
      <c r="T295" s="16">
        <f>IFERROR(__xludf.DUMMYFUNCTION("""COMPUTED_VALUE"""),17.4)</f>
        <v>17.4</v>
      </c>
      <c r="U295" s="16">
        <f>IFERROR(__xludf.DUMMYFUNCTION("""COMPUTED_VALUE"""),-1.0)</f>
        <v>-1</v>
      </c>
      <c r="V295" s="16">
        <f>IFERROR(__xludf.DUMMYFUNCTION("""COMPUTED_VALUE"""),0.0)</f>
        <v>0</v>
      </c>
      <c r="W295" s="16">
        <f>IFERROR(__xludf.DUMMYFUNCTION("""COMPUTED_VALUE"""),-2.0)</f>
        <v>-2</v>
      </c>
      <c r="X295" s="16">
        <f>IFERROR(__xludf.DUMMYFUNCTION("""COMPUTED_VALUE"""),0.0)</f>
        <v>0</v>
      </c>
      <c r="Y295" s="16">
        <f>IFERROR(__xludf.DUMMYFUNCTION("""COMPUTED_VALUE"""),25.1)</f>
        <v>25.1</v>
      </c>
      <c r="Z295" s="16">
        <f>IFERROR(__xludf.DUMMYFUNCTION("""COMPUTED_VALUE"""),27.4)</f>
        <v>27.4</v>
      </c>
      <c r="AA295" s="16">
        <f>IFERROR(__xludf.DUMMYFUNCTION("""COMPUTED_VALUE"""),0.0)</f>
        <v>0</v>
      </c>
      <c r="AB295" s="16">
        <f>IFERROR(__xludf.DUMMYFUNCTION("""COMPUTED_VALUE"""),0.0)</f>
        <v>0</v>
      </c>
      <c r="AC295" s="16">
        <f>IFERROR(__xludf.DUMMYFUNCTION("""COMPUTED_VALUE"""),0.0)</f>
        <v>0</v>
      </c>
      <c r="AD295" s="16">
        <f>IFERROR(__xludf.DUMMYFUNCTION("""COMPUTED_VALUE"""),0.0)</f>
        <v>0</v>
      </c>
      <c r="AE295" s="16">
        <f>IFERROR(__xludf.DUMMYFUNCTION("""COMPUTED_VALUE"""),32.5)</f>
        <v>32.5</v>
      </c>
      <c r="AF295" s="16">
        <f>IFERROR(__xludf.DUMMYFUNCTION("""COMPUTED_VALUE"""),31.6)</f>
        <v>31.6</v>
      </c>
      <c r="AG295" s="16">
        <f>IFERROR(__xludf.DUMMYFUNCTION("""COMPUTED_VALUE"""),0.0)</f>
        <v>0</v>
      </c>
      <c r="AH295" s="16">
        <f>IFERROR(__xludf.DUMMYFUNCTION("""COMPUTED_VALUE"""),0.0)</f>
        <v>0</v>
      </c>
      <c r="AI295" s="16">
        <f>IFERROR(__xludf.DUMMYFUNCTION("""COMPUTED_VALUE"""),0.0)</f>
        <v>0</v>
      </c>
      <c r="AJ295" s="16">
        <f>IFERROR(__xludf.DUMMYFUNCTION("""COMPUTED_VALUE"""),0.0)</f>
        <v>0</v>
      </c>
      <c r="AK295" s="16">
        <f>IFERROR(__xludf.DUMMYFUNCTION("""COMPUTED_VALUE"""),17.700000000000003)</f>
        <v>17.7</v>
      </c>
      <c r="AL295" s="16">
        <f>IFERROR(__xludf.DUMMYFUNCTION("""COMPUTED_VALUE"""),14.799999999999999)</f>
        <v>14.8</v>
      </c>
      <c r="AM295" s="16">
        <f>IFERROR(__xludf.DUMMYFUNCTION("""COMPUTED_VALUE"""),-1.0)</f>
        <v>-1</v>
      </c>
      <c r="AN295" s="16">
        <f>IFERROR(__xludf.DUMMYFUNCTION("""COMPUTED_VALUE"""),0.0)</f>
        <v>0</v>
      </c>
      <c r="AO295" s="16">
        <f>IFERROR(__xludf.DUMMYFUNCTION("""COMPUTED_VALUE"""),-1.0)</f>
        <v>-1</v>
      </c>
      <c r="AP295" s="16">
        <f>IFERROR(__xludf.DUMMYFUNCTION("""COMPUTED_VALUE"""),0.0)</f>
        <v>0</v>
      </c>
      <c r="AQ295" s="16">
        <f>IFERROR(__xludf.DUMMYFUNCTION("""COMPUTED_VALUE"""),22.9)</f>
        <v>22.9</v>
      </c>
      <c r="AR295" s="16">
        <f>IFERROR(__xludf.DUMMYFUNCTION("""COMPUTED_VALUE"""),21.200000000000003)</f>
        <v>21.2</v>
      </c>
      <c r="AS295" s="16">
        <f>IFERROR(__xludf.DUMMYFUNCTION("""COMPUTED_VALUE"""),0.0)</f>
        <v>0</v>
      </c>
      <c r="AT295" s="16">
        <f>IFERROR(__xludf.DUMMYFUNCTION("""COMPUTED_VALUE"""),0.0)</f>
        <v>0</v>
      </c>
      <c r="AU295" s="16">
        <f>IFERROR(__xludf.DUMMYFUNCTION("""COMPUTED_VALUE"""),0.0)</f>
        <v>0</v>
      </c>
      <c r="AV295" s="16">
        <f>IFERROR(__xludf.DUMMYFUNCTION("""COMPUTED_VALUE"""),0.0)</f>
        <v>0</v>
      </c>
      <c r="AW295" s="16">
        <f>IFERROR(__xludf.DUMMYFUNCTION("""COMPUTED_VALUE"""),2.4)</f>
        <v>2.4</v>
      </c>
      <c r="AX295" s="16">
        <f>IFERROR(__xludf.DUMMYFUNCTION("""COMPUTED_VALUE"""),2.6)</f>
        <v>2.6</v>
      </c>
      <c r="AY295" s="16">
        <f>IFERROR(__xludf.DUMMYFUNCTION("""COMPUTED_VALUE"""),0.0)</f>
        <v>0</v>
      </c>
      <c r="AZ295" s="16">
        <f>IFERROR(__xludf.DUMMYFUNCTION("""COMPUTED_VALUE"""),-1.0)</f>
        <v>-1</v>
      </c>
      <c r="BA295" s="16">
        <f>IFERROR(__xludf.DUMMYFUNCTION("""COMPUTED_VALUE"""),0.0)</f>
        <v>0</v>
      </c>
      <c r="BB295" s="16">
        <f>IFERROR(__xludf.DUMMYFUNCTION("""COMPUTED_VALUE"""),-5.0)</f>
        <v>-5</v>
      </c>
      <c r="BC295" s="16">
        <f>IFERROR(__xludf.DUMMYFUNCTION("""COMPUTED_VALUE"""),4.0)</f>
        <v>4</v>
      </c>
      <c r="BD295" s="16">
        <f>IFERROR(__xludf.DUMMYFUNCTION("""COMPUTED_VALUE"""),5.0)</f>
        <v>5</v>
      </c>
      <c r="BE295" s="16">
        <f>IFERROR(__xludf.DUMMYFUNCTION("""COMPUTED_VALUE"""),4.0)</f>
        <v>4</v>
      </c>
      <c r="BF295" s="16">
        <f>IFERROR(__xludf.DUMMYFUNCTION("""COMPUTED_VALUE"""),5.0)</f>
        <v>5</v>
      </c>
      <c r="BG295" s="16">
        <f>IFERROR(__xludf.DUMMYFUNCTION("""COMPUTED_VALUE"""),-1.0)</f>
        <v>-1</v>
      </c>
      <c r="BH295" s="16">
        <f>IFERROR(__xludf.DUMMYFUNCTION("""COMPUTED_VALUE"""),-2.0)</f>
        <v>-2</v>
      </c>
      <c r="BI295" s="16">
        <f>IFERROR(__xludf.DUMMYFUNCTION("""COMPUTED_VALUE"""),-2.0)</f>
        <v>-2</v>
      </c>
      <c r="BJ295" s="16">
        <f>IFERROR(__xludf.DUMMYFUNCTION("""COMPUTED_VALUE"""),-4.0)</f>
        <v>-4</v>
      </c>
      <c r="BK295" s="16">
        <f>IFERROR(__xludf.DUMMYFUNCTION("""COMPUTED_VALUE"""),5.0)</f>
        <v>5</v>
      </c>
      <c r="BL295" s="16">
        <f>IFERROR(__xludf.DUMMYFUNCTION("""COMPUTED_VALUE"""),5.0)</f>
        <v>5</v>
      </c>
      <c r="BM295" s="16">
        <f>IFERROR(__xludf.DUMMYFUNCTION("""COMPUTED_VALUE"""),0.0)</f>
        <v>0</v>
      </c>
      <c r="BN295" s="16">
        <f>IFERROR(__xludf.DUMMYFUNCTION("""COMPUTED_VALUE"""),0.0)</f>
        <v>0</v>
      </c>
      <c r="BO295" s="16">
        <f>IFERROR(__xludf.DUMMYFUNCTION("""COMPUTED_VALUE"""),0.0)</f>
        <v>0</v>
      </c>
      <c r="BP295" s="16">
        <f>IFERROR(__xludf.DUMMYFUNCTION("""COMPUTED_VALUE"""),0.0)</f>
        <v>0</v>
      </c>
      <c r="BQ295" s="16">
        <f>IFERROR(__xludf.DUMMYFUNCTION("""COMPUTED_VALUE"""),6.0)</f>
        <v>6</v>
      </c>
      <c r="BR295" s="16">
        <f>IFERROR(__xludf.DUMMYFUNCTION("""COMPUTED_VALUE"""),8.0)</f>
        <v>8</v>
      </c>
      <c r="BS295" s="16">
        <f>IFERROR(__xludf.DUMMYFUNCTION("""COMPUTED_VALUE"""),1.0)</f>
        <v>1</v>
      </c>
      <c r="BT295" s="16">
        <f>IFERROR(__xludf.DUMMYFUNCTION("""COMPUTED_VALUE"""),2.0)</f>
        <v>2</v>
      </c>
      <c r="BU295" s="16">
        <f>IFERROR(__xludf.DUMMYFUNCTION("""COMPUTED_VALUE"""),2.0)</f>
        <v>2</v>
      </c>
      <c r="BV295" s="16">
        <f>IFERROR(__xludf.DUMMYFUNCTION("""COMPUTED_VALUE"""),4.0)</f>
        <v>4</v>
      </c>
      <c r="BW295" s="16">
        <f>IFERROR(__xludf.DUMMYFUNCTION("""COMPUTED_VALUE"""),4.0)</f>
        <v>4</v>
      </c>
      <c r="BX295" s="16">
        <f>IFERROR(__xludf.DUMMYFUNCTION("""COMPUTED_VALUE"""),4.0)</f>
        <v>4</v>
      </c>
      <c r="BY295" s="16" t="str">
        <f>IFERROR(__xludf.DUMMYFUNCTION("""COMPUTED_VALUE"""),"S(5)")</f>
        <v>S(5)</v>
      </c>
      <c r="BZ295" s="16" t="str">
        <f>IFERROR(__xludf.DUMMYFUNCTION("""COMPUTED_VALUE"""),"S(5)")</f>
        <v>S(5)</v>
      </c>
      <c r="CA295" s="16" t="str">
        <f>IFERROR(__xludf.DUMMYFUNCTION("""COMPUTED_VALUE"""),"S(5)")</f>
        <v>S(5)</v>
      </c>
      <c r="CB295" s="16"/>
      <c r="CC295" s="16"/>
      <c r="CD295" s="16">
        <f>IFERROR(__xludf.DUMMYFUNCTION("""COMPUTED_VALUE"""),5.0)</f>
        <v>5</v>
      </c>
      <c r="CE295" s="16"/>
      <c r="CF295" s="16"/>
      <c r="CG295" s="16" t="str">
        <f>IFERROR(__xludf.DUMMYFUNCTION("""COMPUTED_VALUE"""),"3-0")</f>
        <v>3-0</v>
      </c>
      <c r="CH295" s="16">
        <f>IFERROR(__xludf.DUMMYFUNCTION("""COMPUTED_VALUE"""),3.0)</f>
        <v>3</v>
      </c>
      <c r="CI295" s="16">
        <f>IFERROR(__xludf.DUMMYFUNCTION("""COMPUTED_VALUE"""),0.0)</f>
        <v>0</v>
      </c>
      <c r="CJ295" s="16">
        <f>IFERROR(__xludf.DUMMYFUNCTION("""COMPUTED_VALUE"""),3.0)</f>
        <v>3</v>
      </c>
      <c r="CK295" s="16">
        <f>IFERROR(__xludf.DUMMYFUNCTION("""COMPUTED_VALUE"""),3.0)</f>
        <v>3</v>
      </c>
      <c r="CL295" s="16" t="str">
        <f>IFERROR(__xludf.DUMMYFUNCTION("""COMPUTED_VALUE"""),"1WR-C")</f>
        <v>1WR-C</v>
      </c>
      <c r="CM295" s="16" t="str">
        <f>IFERROR(__xludf.DUMMYFUNCTION("""COMPUTED_VALUE"""),"E")</f>
        <v>E</v>
      </c>
      <c r="CN295" s="16">
        <f>IFERROR(__xludf.DUMMYFUNCTION("""COMPUTED_VALUE"""),10.0)</f>
        <v>10</v>
      </c>
      <c r="CO295" s="16" t="str">
        <f>IFERROR(__xludf.DUMMYFUNCTION("""COMPUTED_VALUE"""),"C")</f>
        <v>C</v>
      </c>
      <c r="CP295" s="16" t="str">
        <f>IFERROR(__xludf.DUMMYFUNCTION("""COMPUTED_VALUE"""),"2p65")</f>
        <v>2p65</v>
      </c>
      <c r="CQ295" s="16">
        <f>IFERROR(__xludf.DUMMYFUNCTION("""COMPUTED_VALUE"""),2.0)</f>
        <v>2</v>
      </c>
      <c r="CR295" s="16">
        <f>IFERROR(__xludf.DUMMYFUNCTION("""COMPUTED_VALUE"""),-9.0)</f>
        <v>-9</v>
      </c>
      <c r="CS295" s="16">
        <f>IFERROR(__xludf.DUMMYFUNCTION("""COMPUTED_VALUE"""),-7.0)</f>
        <v>-7</v>
      </c>
      <c r="CT295" s="16">
        <f>IFERROR(__xludf.DUMMYFUNCTION("""COMPUTED_VALUE"""),2.0)</f>
        <v>2</v>
      </c>
      <c r="CU295" s="16">
        <f>IFERROR(__xludf.DUMMYFUNCTION("""COMPUTED_VALUE"""),-9.0)</f>
        <v>-9</v>
      </c>
      <c r="CV295" s="179">
        <f>IFERROR(__xludf.DUMMYFUNCTION("""COMPUTED_VALUE"""),-0.33333333333333304)</f>
        <v>-0.3333333333</v>
      </c>
      <c r="CW295" s="179">
        <f>IFERROR(__xludf.DUMMYFUNCTION("""COMPUTED_VALUE"""),3.0)</f>
        <v>3</v>
      </c>
      <c r="CX295" s="179">
        <f>IFERROR(__xludf.DUMMYFUNCTION("""COMPUTED_VALUE"""),2.0)</f>
        <v>2</v>
      </c>
      <c r="CY295" s="16" t="str">
        <f>IFERROR(__xludf.DUMMYFUNCTION("""COMPUTED_VALUE"""),"SP")</f>
        <v>SP</v>
      </c>
      <c r="CZ295" s="16"/>
      <c r="DA295" s="16"/>
      <c r="DB295" s="16"/>
      <c r="DC295" s="16"/>
      <c r="DD295" s="16"/>
      <c r="DE295" s="16"/>
      <c r="DF295" s="16"/>
      <c r="DG295" s="16"/>
      <c r="DH295" s="16"/>
      <c r="DI295" s="16"/>
      <c r="DJ295" s="16"/>
      <c r="DK295" s="16"/>
    </row>
    <row r="296">
      <c r="A296" s="16">
        <f>IFERROR(__xludf.DUMMYFUNCTION("""COMPUTED_VALUE"""),12689.0)</f>
        <v>12689</v>
      </c>
      <c r="B296" s="16" t="str">
        <f>IFERROR(__xludf.DUMMYFUNCTION("""COMPUTED_VALUE"""),"Cionel Perez")</f>
        <v>Cionel Perez</v>
      </c>
      <c r="C296" s="153">
        <f>IFERROR(__xludf.DUMMYFUNCTION("""COMPUTED_VALUE"""),0.0)</f>
        <v>0</v>
      </c>
      <c r="D296" s="16"/>
      <c r="E296" s="16" t="str">
        <f>IFERROR(__xludf.DUMMYFUNCTION("""COMPUTED_VALUE"""),"L")</f>
        <v>L</v>
      </c>
      <c r="F296" s="16">
        <f>IFERROR(__xludf.DUMMYFUNCTION("""COMPUTED_VALUE"""),54.0)</f>
        <v>54</v>
      </c>
      <c r="G296" s="16">
        <f>IFERROR(__xludf.DUMMYFUNCTION("""COMPUTED_VALUE"""),14.0)</f>
        <v>14</v>
      </c>
      <c r="H296" s="16">
        <f>IFERROR(__xludf.DUMMYFUNCTION("""COMPUTED_VALUE"""),21.0)</f>
        <v>21</v>
      </c>
      <c r="I296" s="16">
        <f>IFERROR(__xludf.DUMMYFUNCTION("""COMPUTED_VALUE"""),-2.0)</f>
        <v>-2</v>
      </c>
      <c r="J296" s="16">
        <f>IFERROR(__xludf.DUMMYFUNCTION("""COMPUTED_VALUE"""),-1.0)</f>
        <v>-1</v>
      </c>
      <c r="K296" s="16">
        <f>IFERROR(__xludf.DUMMYFUNCTION("""COMPUTED_VALUE"""),-6.0)</f>
        <v>-6</v>
      </c>
      <c r="L296" s="16">
        <f>IFERROR(__xludf.DUMMYFUNCTION("""COMPUTED_VALUE"""),-3.0)</f>
        <v>-3</v>
      </c>
      <c r="M296" s="16">
        <f>IFERROR(__xludf.DUMMYFUNCTION("""COMPUTED_VALUE"""),18.0)</f>
        <v>18</v>
      </c>
      <c r="N296" s="16">
        <f>IFERROR(__xludf.DUMMYFUNCTION("""COMPUTED_VALUE"""),17.0)</f>
        <v>17</v>
      </c>
      <c r="O296" s="16">
        <f>IFERROR(__xludf.DUMMYFUNCTION("""COMPUTED_VALUE"""),-3.0)</f>
        <v>-3</v>
      </c>
      <c r="P296" s="16">
        <f>IFERROR(__xludf.DUMMYFUNCTION("""COMPUTED_VALUE"""),-3.0)</f>
        <v>-3</v>
      </c>
      <c r="Q296" s="16">
        <f>IFERROR(__xludf.DUMMYFUNCTION("""COMPUTED_VALUE"""),-3.0)</f>
        <v>-3</v>
      </c>
      <c r="R296" s="16">
        <f>IFERROR(__xludf.DUMMYFUNCTION("""COMPUTED_VALUE"""),-3.0)</f>
        <v>-3</v>
      </c>
      <c r="S296" s="16">
        <f>IFERROR(__xludf.DUMMYFUNCTION("""COMPUTED_VALUE"""),11.4)</f>
        <v>11.4</v>
      </c>
      <c r="T296" s="16">
        <f>IFERROR(__xludf.DUMMYFUNCTION("""COMPUTED_VALUE"""),18.1)</f>
        <v>18.1</v>
      </c>
      <c r="U296" s="16">
        <f>IFERROR(__xludf.DUMMYFUNCTION("""COMPUTED_VALUE"""),1.0)</f>
        <v>1</v>
      </c>
      <c r="V296" s="16">
        <f>IFERROR(__xludf.DUMMYFUNCTION("""COMPUTED_VALUE"""),0.0)</f>
        <v>0</v>
      </c>
      <c r="W296" s="16">
        <f>IFERROR(__xludf.DUMMYFUNCTION("""COMPUTED_VALUE"""),2.0)</f>
        <v>2</v>
      </c>
      <c r="X296" s="16">
        <f>IFERROR(__xludf.DUMMYFUNCTION("""COMPUTED_VALUE"""),0.0)</f>
        <v>0</v>
      </c>
      <c r="Y296" s="16">
        <f>IFERROR(__xludf.DUMMYFUNCTION("""COMPUTED_VALUE"""),29.4)</f>
        <v>29.4</v>
      </c>
      <c r="Z296" s="16">
        <f>IFERROR(__xludf.DUMMYFUNCTION("""COMPUTED_VALUE"""),35.2)</f>
        <v>35.2</v>
      </c>
      <c r="AA296" s="16">
        <f>IFERROR(__xludf.DUMMYFUNCTION("""COMPUTED_VALUE"""),0.0)</f>
        <v>0</v>
      </c>
      <c r="AB296" s="16">
        <f>IFERROR(__xludf.DUMMYFUNCTION("""COMPUTED_VALUE"""),-2.0)</f>
        <v>-2</v>
      </c>
      <c r="AC296" s="16">
        <f>IFERROR(__xludf.DUMMYFUNCTION("""COMPUTED_VALUE"""),0.0)</f>
        <v>0</v>
      </c>
      <c r="AD296" s="16">
        <f>IFERROR(__xludf.DUMMYFUNCTION("""COMPUTED_VALUE"""),-10.0)</f>
        <v>-10</v>
      </c>
      <c r="AE296" s="16">
        <f>IFERROR(__xludf.DUMMYFUNCTION("""COMPUTED_VALUE"""),22.2)</f>
        <v>22.2</v>
      </c>
      <c r="AF296" s="16">
        <f>IFERROR(__xludf.DUMMYFUNCTION("""COMPUTED_VALUE"""),27.1)</f>
        <v>27.1</v>
      </c>
      <c r="AG296" s="16">
        <f>IFERROR(__xludf.DUMMYFUNCTION("""COMPUTED_VALUE"""),1.0)</f>
        <v>1</v>
      </c>
      <c r="AH296" s="16">
        <f>IFERROR(__xludf.DUMMYFUNCTION("""COMPUTED_VALUE"""),0.0)</f>
        <v>0</v>
      </c>
      <c r="AI296" s="16">
        <f>IFERROR(__xludf.DUMMYFUNCTION("""COMPUTED_VALUE"""),2.0)</f>
        <v>2</v>
      </c>
      <c r="AJ296" s="16">
        <f>IFERROR(__xludf.DUMMYFUNCTION("""COMPUTED_VALUE"""),0.0)</f>
        <v>0</v>
      </c>
      <c r="AK296" s="16">
        <f>IFERROR(__xludf.DUMMYFUNCTION("""COMPUTED_VALUE"""),11.4)</f>
        <v>11.4</v>
      </c>
      <c r="AL296" s="16">
        <f>IFERROR(__xludf.DUMMYFUNCTION("""COMPUTED_VALUE"""),18.1)</f>
        <v>18.1</v>
      </c>
      <c r="AM296" s="16">
        <f>IFERROR(__xludf.DUMMYFUNCTION("""COMPUTED_VALUE"""),0.0)</f>
        <v>0</v>
      </c>
      <c r="AN296" s="16">
        <f>IFERROR(__xludf.DUMMYFUNCTION("""COMPUTED_VALUE"""),-1.0)</f>
        <v>-1</v>
      </c>
      <c r="AO296" s="16">
        <f>IFERROR(__xludf.DUMMYFUNCTION("""COMPUTED_VALUE"""),0.0)</f>
        <v>0</v>
      </c>
      <c r="AP296" s="16">
        <f>IFERROR(__xludf.DUMMYFUNCTION("""COMPUTED_VALUE"""),-1.0)</f>
        <v>-1</v>
      </c>
      <c r="AQ296" s="16">
        <f>IFERROR(__xludf.DUMMYFUNCTION("""COMPUTED_VALUE"""),22.2)</f>
        <v>22.2</v>
      </c>
      <c r="AR296" s="16">
        <f>IFERROR(__xludf.DUMMYFUNCTION("""COMPUTED_VALUE"""),27.1)</f>
        <v>27.1</v>
      </c>
      <c r="AS296" s="16">
        <f>IFERROR(__xludf.DUMMYFUNCTION("""COMPUTED_VALUE"""),0.0)</f>
        <v>0</v>
      </c>
      <c r="AT296" s="16">
        <f>IFERROR(__xludf.DUMMYFUNCTION("""COMPUTED_VALUE"""),-1.0)</f>
        <v>-1</v>
      </c>
      <c r="AU296" s="16">
        <f>IFERROR(__xludf.DUMMYFUNCTION("""COMPUTED_VALUE"""),0.0)</f>
        <v>0</v>
      </c>
      <c r="AV296" s="16">
        <f>IFERROR(__xludf.DUMMYFUNCTION("""COMPUTED_VALUE"""),-2.0)</f>
        <v>-2</v>
      </c>
      <c r="AW296" s="16">
        <f>IFERROR(__xludf.DUMMYFUNCTION("""COMPUTED_VALUE"""),0.0)</f>
        <v>0</v>
      </c>
      <c r="AX296" s="16">
        <f>IFERROR(__xludf.DUMMYFUNCTION("""COMPUTED_VALUE"""),0.0)</f>
        <v>0</v>
      </c>
      <c r="AY296" s="16">
        <f>IFERROR(__xludf.DUMMYFUNCTION("""COMPUTED_VALUE"""),2.0)</f>
        <v>2</v>
      </c>
      <c r="AZ296" s="16">
        <f>IFERROR(__xludf.DUMMYFUNCTION("""COMPUTED_VALUE"""),2.0)</f>
        <v>2</v>
      </c>
      <c r="BA296" s="16">
        <f>IFERROR(__xludf.DUMMYFUNCTION("""COMPUTED_VALUE"""),10.0)</f>
        <v>10</v>
      </c>
      <c r="BB296" s="16">
        <f>IFERROR(__xludf.DUMMYFUNCTION("""COMPUTED_VALUE"""),10.0)</f>
        <v>10</v>
      </c>
      <c r="BC296" s="16"/>
      <c r="BD296" s="16">
        <f>IFERROR(__xludf.DUMMYFUNCTION("""COMPUTED_VALUE"""),0.0)</f>
        <v>0</v>
      </c>
      <c r="BE296" s="16">
        <f>IFERROR(__xludf.DUMMYFUNCTION("""COMPUTED_VALUE"""),0.0)</f>
        <v>0</v>
      </c>
      <c r="BF296" s="16">
        <f>IFERROR(__xludf.DUMMYFUNCTION("""COMPUTED_VALUE"""),0.0)</f>
        <v>0</v>
      </c>
      <c r="BG296" s="16">
        <f>IFERROR(__xludf.DUMMYFUNCTION("""COMPUTED_VALUE"""),3.0)</f>
        <v>3</v>
      </c>
      <c r="BH296" s="16">
        <f>IFERROR(__xludf.DUMMYFUNCTION("""COMPUTED_VALUE"""),2.0)</f>
        <v>2</v>
      </c>
      <c r="BI296" s="16">
        <f>IFERROR(__xludf.DUMMYFUNCTION("""COMPUTED_VALUE"""),6.0)</f>
        <v>6</v>
      </c>
      <c r="BJ296" s="16">
        <f>IFERROR(__xludf.DUMMYFUNCTION("""COMPUTED_VALUE"""),4.0)</f>
        <v>4</v>
      </c>
      <c r="BK296" s="16">
        <f>IFERROR(__xludf.DUMMYFUNCTION("""COMPUTED_VALUE"""),0.0)</f>
        <v>0</v>
      </c>
      <c r="BL296" s="16">
        <f>IFERROR(__xludf.DUMMYFUNCTION("""COMPUTED_VALUE"""),5.0)</f>
        <v>5</v>
      </c>
      <c r="BM296" s="16">
        <f>IFERROR(__xludf.DUMMYFUNCTION("""COMPUTED_VALUE"""),1.0)</f>
        <v>1</v>
      </c>
      <c r="BN296" s="16">
        <f>IFERROR(__xludf.DUMMYFUNCTION("""COMPUTED_VALUE"""),0.0)</f>
        <v>0</v>
      </c>
      <c r="BO296" s="16">
        <f>IFERROR(__xludf.DUMMYFUNCTION("""COMPUTED_VALUE"""),1.0)</f>
        <v>1</v>
      </c>
      <c r="BP296" s="16">
        <f>IFERROR(__xludf.DUMMYFUNCTION("""COMPUTED_VALUE"""),0.0)</f>
        <v>0</v>
      </c>
      <c r="BQ296" s="16">
        <f>IFERROR(__xludf.DUMMYFUNCTION("""COMPUTED_VALUE"""),1.0)</f>
        <v>1</v>
      </c>
      <c r="BR296" s="16">
        <f>IFERROR(__xludf.DUMMYFUNCTION("""COMPUTED_VALUE"""),1.0)</f>
        <v>1</v>
      </c>
      <c r="BS296" s="16">
        <f>IFERROR(__xludf.DUMMYFUNCTION("""COMPUTED_VALUE"""),-2.0)</f>
        <v>-2</v>
      </c>
      <c r="BT296" s="16">
        <f>IFERROR(__xludf.DUMMYFUNCTION("""COMPUTED_VALUE"""),-2.0)</f>
        <v>-2</v>
      </c>
      <c r="BU296" s="16">
        <f>IFERROR(__xludf.DUMMYFUNCTION("""COMPUTED_VALUE"""),-4.0)</f>
        <v>-4</v>
      </c>
      <c r="BV296" s="16">
        <f>IFERROR(__xludf.DUMMYFUNCTION("""COMPUTED_VALUE"""),-4.0)</f>
        <v>-4</v>
      </c>
      <c r="BW296" s="16">
        <f>IFERROR(__xludf.DUMMYFUNCTION("""COMPUTED_VALUE"""),-2.0)</f>
        <v>-2</v>
      </c>
      <c r="BX296" s="16">
        <f>IFERROR(__xludf.DUMMYFUNCTION("""COMPUTED_VALUE"""),-2.0)</f>
        <v>-2</v>
      </c>
      <c r="BY296" s="16" t="str">
        <f>IFERROR(__xludf.DUMMYFUNCTION("""COMPUTED_VALUE"""),"R(1) C(1)")</f>
        <v>R(1) C(1)</v>
      </c>
      <c r="BZ296" s="16" t="str">
        <f>IFERROR(__xludf.DUMMYFUNCTION("""COMPUTED_VALUE"""),"R(1) C(1)")</f>
        <v>R(1) C(1)</v>
      </c>
      <c r="CA296" s="16" t="str">
        <f>IFERROR(__xludf.DUMMYFUNCTION("""COMPUTED_VALUE"""),"R(1)")</f>
        <v>R(1)</v>
      </c>
      <c r="CB296" s="16" t="str">
        <f>IFERROR(__xludf.DUMMYFUNCTION("""COMPUTED_VALUE"""),"C(1)")</f>
        <v>C(1)</v>
      </c>
      <c r="CC296" s="16"/>
      <c r="CD296" s="16"/>
      <c r="CE296" s="16">
        <f>IFERROR(__xludf.DUMMYFUNCTION("""COMPUTED_VALUE"""),1.0)</f>
        <v>1</v>
      </c>
      <c r="CF296" s="16">
        <f>IFERROR(__xludf.DUMMYFUNCTION("""COMPUTED_VALUE"""),1.0)</f>
        <v>1</v>
      </c>
      <c r="CG296" s="16" t="str">
        <f>IFERROR(__xludf.DUMMYFUNCTION("""COMPUTED_VALUE"""),"3-0")</f>
        <v>3-0</v>
      </c>
      <c r="CH296" s="16">
        <f>IFERROR(__xludf.DUMMYFUNCTION("""COMPUTED_VALUE"""),3.0)</f>
        <v>3</v>
      </c>
      <c r="CI296" s="16">
        <f>IFERROR(__xludf.DUMMYFUNCTION("""COMPUTED_VALUE"""),0.0)</f>
        <v>0</v>
      </c>
      <c r="CJ296" s="16">
        <f>IFERROR(__xludf.DUMMYFUNCTION("""COMPUTED_VALUE"""),0.0)</f>
        <v>0</v>
      </c>
      <c r="CK296" s="16">
        <f>IFERROR(__xludf.DUMMYFUNCTION("""COMPUTED_VALUE"""),20.0)</f>
        <v>20</v>
      </c>
      <c r="CL296" s="16" t="str">
        <f>IFERROR(__xludf.DUMMYFUNCTION("""COMPUTED_VALUE"""),"1WR-C")</f>
        <v>1WR-C</v>
      </c>
      <c r="CM296" s="16" t="str">
        <f>IFERROR(__xludf.DUMMYFUNCTION("""COMPUTED_VALUE"""),"E")</f>
        <v>E</v>
      </c>
      <c r="CN296" s="16">
        <f>IFERROR(__xludf.DUMMYFUNCTION("""COMPUTED_VALUE"""),10.0)</f>
        <v>10</v>
      </c>
      <c r="CO296" s="16" t="str">
        <f>IFERROR(__xludf.DUMMYFUNCTION("""COMPUTED_VALUE"""),"C")</f>
        <v>C</v>
      </c>
      <c r="CP296" s="16" t="str">
        <f>IFERROR(__xludf.DUMMYFUNCTION("""COMPUTED_VALUE"""),"2p50")</f>
        <v>2p50</v>
      </c>
      <c r="CQ296" s="16">
        <f>IFERROR(__xludf.DUMMYFUNCTION("""COMPUTED_VALUE"""),8.0)</f>
        <v>8</v>
      </c>
      <c r="CR296" s="16">
        <f>IFERROR(__xludf.DUMMYFUNCTION("""COMPUTED_VALUE"""),-9.0)</f>
        <v>-9</v>
      </c>
      <c r="CS296" s="16">
        <f>IFERROR(__xludf.DUMMYFUNCTION("""COMPUTED_VALUE"""),-1.0)</f>
        <v>-1</v>
      </c>
      <c r="CT296" s="16">
        <f>IFERROR(__xludf.DUMMYFUNCTION("""COMPUTED_VALUE"""),8.0)</f>
        <v>8</v>
      </c>
      <c r="CU296" s="16">
        <f>IFERROR(__xludf.DUMMYFUNCTION("""COMPUTED_VALUE"""),-9.0)</f>
        <v>-9</v>
      </c>
      <c r="CV296" s="179">
        <f>IFERROR(__xludf.DUMMYFUNCTION("""COMPUTED_VALUE"""),-0.3333333333333335)</f>
        <v>-0.3333333333</v>
      </c>
      <c r="CW296" s="179">
        <f>IFERROR(__xludf.DUMMYFUNCTION("""COMPUTED_VALUE"""),3.0)</f>
        <v>3</v>
      </c>
      <c r="CX296" s="179">
        <f>IFERROR(__xludf.DUMMYFUNCTION("""COMPUTED_VALUE"""),0.0)</f>
        <v>0</v>
      </c>
      <c r="CY296" s="16" t="str">
        <f>IFERROR(__xludf.DUMMYFUNCTION("""COMPUTED_VALUE"""),"RP")</f>
        <v>RP</v>
      </c>
      <c r="CZ296" s="16" t="str">
        <f>IFERROR(__xludf.DUMMYFUNCTION("""COMPUTED_VALUE"""),"CP")</f>
        <v>CP</v>
      </c>
      <c r="DA296" s="16"/>
      <c r="DB296" s="16"/>
      <c r="DC296" s="16"/>
      <c r="DD296" s="16"/>
      <c r="DE296" s="16"/>
      <c r="DF296" s="16"/>
      <c r="DG296" s="16"/>
      <c r="DH296" s="16"/>
      <c r="DI296" s="16"/>
      <c r="DJ296" s="16"/>
      <c r="DK296" s="16"/>
    </row>
    <row r="297">
      <c r="A297" s="16">
        <f>IFERROR(__xludf.DUMMYFUNCTION("""COMPUTED_VALUE"""),12661.0)</f>
        <v>12661</v>
      </c>
      <c r="B297" s="16" t="str">
        <f>IFERROR(__xludf.DUMMYFUNCTION("""COMPUTED_VALUE"""),"Casey Mize")</f>
        <v>Casey Mize</v>
      </c>
      <c r="C297" s="153">
        <f>IFERROR(__xludf.DUMMYFUNCTION("""COMPUTED_VALUE"""),0.04)</f>
        <v>0.04</v>
      </c>
      <c r="D297" s="16"/>
      <c r="E297" s="16" t="str">
        <f>IFERROR(__xludf.DUMMYFUNCTION("""COMPUTED_VALUE"""),"R")</f>
        <v>R</v>
      </c>
      <c r="F297" s="16">
        <f>IFERROR(__xludf.DUMMYFUNCTION("""COMPUTED_VALUE"""),102.0)</f>
        <v>102</v>
      </c>
      <c r="G297" s="16">
        <f>IFERROR(__xludf.DUMMYFUNCTION("""COMPUTED_VALUE"""),21.0)</f>
        <v>21</v>
      </c>
      <c r="H297" s="16">
        <f>IFERROR(__xludf.DUMMYFUNCTION("""COMPUTED_VALUE"""),6.0)</f>
        <v>6</v>
      </c>
      <c r="I297" s="16">
        <f>IFERROR(__xludf.DUMMYFUNCTION("""COMPUTED_VALUE"""),-1.0)</f>
        <v>-1</v>
      </c>
      <c r="J297" s="16">
        <f>IFERROR(__xludf.DUMMYFUNCTION("""COMPUTED_VALUE"""),-2.0)</f>
        <v>-2</v>
      </c>
      <c r="K297" s="16">
        <f>IFERROR(__xludf.DUMMYFUNCTION("""COMPUTED_VALUE"""),-3.0)</f>
        <v>-3</v>
      </c>
      <c r="L297" s="16">
        <f>IFERROR(__xludf.DUMMYFUNCTION("""COMPUTED_VALUE"""),-6.0)</f>
        <v>-6</v>
      </c>
      <c r="M297" s="16">
        <f>IFERROR(__xludf.DUMMYFUNCTION("""COMPUTED_VALUE"""),6.0)</f>
        <v>6</v>
      </c>
      <c r="N297" s="16">
        <f>IFERROR(__xludf.DUMMYFUNCTION("""COMPUTED_VALUE"""),5.0)</f>
        <v>5</v>
      </c>
      <c r="O297" s="16">
        <f>IFERROR(__xludf.DUMMYFUNCTION("""COMPUTED_VALUE"""),1.0)</f>
        <v>1</v>
      </c>
      <c r="P297" s="16">
        <f>IFERROR(__xludf.DUMMYFUNCTION("""COMPUTED_VALUE"""),2.0)</f>
        <v>2</v>
      </c>
      <c r="Q297" s="16">
        <f>IFERROR(__xludf.DUMMYFUNCTION("""COMPUTED_VALUE"""),1.0)</f>
        <v>1</v>
      </c>
      <c r="R297" s="16">
        <f>IFERROR(__xludf.DUMMYFUNCTION("""COMPUTED_VALUE"""),2.0)</f>
        <v>2</v>
      </c>
      <c r="S297" s="16">
        <f>IFERROR(__xludf.DUMMYFUNCTION("""COMPUTED_VALUE"""),22.8)</f>
        <v>22.8</v>
      </c>
      <c r="T297" s="16">
        <f>IFERROR(__xludf.DUMMYFUNCTION("""COMPUTED_VALUE"""),28.9)</f>
        <v>28.9</v>
      </c>
      <c r="U297" s="16">
        <f>IFERROR(__xludf.DUMMYFUNCTION("""COMPUTED_VALUE"""),-1.0)</f>
        <v>-1</v>
      </c>
      <c r="V297" s="16">
        <f>IFERROR(__xludf.DUMMYFUNCTION("""COMPUTED_VALUE"""),-2.0)</f>
        <v>-2</v>
      </c>
      <c r="W297" s="16">
        <f>IFERROR(__xludf.DUMMYFUNCTION("""COMPUTED_VALUE"""),-2.0)</f>
        <v>-2</v>
      </c>
      <c r="X297" s="16">
        <f>IFERROR(__xludf.DUMMYFUNCTION("""COMPUTED_VALUE"""),-4.0)</f>
        <v>-4</v>
      </c>
      <c r="Y297" s="16">
        <f>IFERROR(__xludf.DUMMYFUNCTION("""COMPUTED_VALUE"""),28.8)</f>
        <v>28.8</v>
      </c>
      <c r="Z297" s="16">
        <f>IFERROR(__xludf.DUMMYFUNCTION("""COMPUTED_VALUE"""),33.9)</f>
        <v>33.9</v>
      </c>
      <c r="AA297" s="16">
        <f>IFERROR(__xludf.DUMMYFUNCTION("""COMPUTED_VALUE"""),0.0)</f>
        <v>0</v>
      </c>
      <c r="AB297" s="16">
        <f>IFERROR(__xludf.DUMMYFUNCTION("""COMPUTED_VALUE"""),-1.0)</f>
        <v>-1</v>
      </c>
      <c r="AC297" s="16">
        <f>IFERROR(__xludf.DUMMYFUNCTION("""COMPUTED_VALUE"""),0.0)</f>
        <v>0</v>
      </c>
      <c r="AD297" s="16">
        <f>IFERROR(__xludf.DUMMYFUNCTION("""COMPUTED_VALUE"""),-5.0)</f>
        <v>-5</v>
      </c>
      <c r="AE297" s="16">
        <f>IFERROR(__xludf.DUMMYFUNCTION("""COMPUTED_VALUE"""),35.0)</f>
        <v>35</v>
      </c>
      <c r="AF297" s="16">
        <f>IFERROR(__xludf.DUMMYFUNCTION("""COMPUTED_VALUE"""),41.2)</f>
        <v>41.2</v>
      </c>
      <c r="AG297" s="16">
        <f>IFERROR(__xludf.DUMMYFUNCTION("""COMPUTED_VALUE"""),-1.0)</f>
        <v>-1</v>
      </c>
      <c r="AH297" s="16">
        <f>IFERROR(__xludf.DUMMYFUNCTION("""COMPUTED_VALUE"""),-1.0)</f>
        <v>-1</v>
      </c>
      <c r="AI297" s="16">
        <f>IFERROR(__xludf.DUMMYFUNCTION("""COMPUTED_VALUE"""),-2.0)</f>
        <v>-2</v>
      </c>
      <c r="AJ297" s="16">
        <f>IFERROR(__xludf.DUMMYFUNCTION("""COMPUTED_VALUE"""),-2.0)</f>
        <v>-2</v>
      </c>
      <c r="AK297" s="16">
        <f>IFERROR(__xludf.DUMMYFUNCTION("""COMPUTED_VALUE"""),21.8)</f>
        <v>21.8</v>
      </c>
      <c r="AL297" s="16">
        <f>IFERROR(__xludf.DUMMYFUNCTION("""COMPUTED_VALUE"""),27.299999999999997)</f>
        <v>27.3</v>
      </c>
      <c r="AM297" s="16">
        <f>IFERROR(__xludf.DUMMYFUNCTION("""COMPUTED_VALUE"""),-2.0)</f>
        <v>-2</v>
      </c>
      <c r="AN297" s="16">
        <f>IFERROR(__xludf.DUMMYFUNCTION("""COMPUTED_VALUE"""),-2.0)</f>
        <v>-2</v>
      </c>
      <c r="AO297" s="16">
        <f>IFERROR(__xludf.DUMMYFUNCTION("""COMPUTED_VALUE"""),-2.0)</f>
        <v>-2</v>
      </c>
      <c r="AP297" s="16">
        <f>IFERROR(__xludf.DUMMYFUNCTION("""COMPUTED_VALUE"""),-2.0)</f>
        <v>-2</v>
      </c>
      <c r="AQ297" s="16">
        <f>IFERROR(__xludf.DUMMYFUNCTION("""COMPUTED_VALUE"""),31.0)</f>
        <v>31</v>
      </c>
      <c r="AR297" s="16">
        <f>IFERROR(__xludf.DUMMYFUNCTION("""COMPUTED_VALUE"""),34.800000000000004)</f>
        <v>34.8</v>
      </c>
      <c r="AS297" s="16">
        <f>IFERROR(__xludf.DUMMYFUNCTION("""COMPUTED_VALUE"""),-1.0)</f>
        <v>-1</v>
      </c>
      <c r="AT297" s="16">
        <f>IFERROR(__xludf.DUMMYFUNCTION("""COMPUTED_VALUE"""),-2.0)</f>
        <v>-2</v>
      </c>
      <c r="AU297" s="16">
        <f>IFERROR(__xludf.DUMMYFUNCTION("""COMPUTED_VALUE"""),-2.0)</f>
        <v>-2</v>
      </c>
      <c r="AV297" s="16">
        <f>IFERROR(__xludf.DUMMYFUNCTION("""COMPUTED_VALUE"""),-4.0)</f>
        <v>-4</v>
      </c>
      <c r="AW297" s="16">
        <f>IFERROR(__xludf.DUMMYFUNCTION("""COMPUTED_VALUE"""),1.0)</f>
        <v>1</v>
      </c>
      <c r="AX297" s="16">
        <f>IFERROR(__xludf.DUMMYFUNCTION("""COMPUTED_VALUE"""),1.6)</f>
        <v>1.6</v>
      </c>
      <c r="AY297" s="16">
        <f>IFERROR(__xludf.DUMMYFUNCTION("""COMPUTED_VALUE"""),1.0)</f>
        <v>1</v>
      </c>
      <c r="AZ297" s="16">
        <f>IFERROR(__xludf.DUMMYFUNCTION("""COMPUTED_VALUE"""),1.0)</f>
        <v>1</v>
      </c>
      <c r="BA297" s="16">
        <f>IFERROR(__xludf.DUMMYFUNCTION("""COMPUTED_VALUE"""),5.0)</f>
        <v>5</v>
      </c>
      <c r="BB297" s="16">
        <f>IFERROR(__xludf.DUMMYFUNCTION("""COMPUTED_VALUE"""),5.0)</f>
        <v>5</v>
      </c>
      <c r="BC297" s="16">
        <f>IFERROR(__xludf.DUMMYFUNCTION("""COMPUTED_VALUE"""),1.0)</f>
        <v>1</v>
      </c>
      <c r="BD297" s="16">
        <f>IFERROR(__xludf.DUMMYFUNCTION("""COMPUTED_VALUE"""),2.0)</f>
        <v>2</v>
      </c>
      <c r="BE297" s="16">
        <f>IFERROR(__xludf.DUMMYFUNCTION("""COMPUTED_VALUE"""),1.0)</f>
        <v>1</v>
      </c>
      <c r="BF297" s="16">
        <f>IFERROR(__xludf.DUMMYFUNCTION("""COMPUTED_VALUE"""),2.0)</f>
        <v>2</v>
      </c>
      <c r="BG297" s="16">
        <f>IFERROR(__xludf.DUMMYFUNCTION("""COMPUTED_VALUE"""),2.0)</f>
        <v>2</v>
      </c>
      <c r="BH297" s="16">
        <f>IFERROR(__xludf.DUMMYFUNCTION("""COMPUTED_VALUE"""),1.0)</f>
        <v>1</v>
      </c>
      <c r="BI297" s="16">
        <f>IFERROR(__xludf.DUMMYFUNCTION("""COMPUTED_VALUE"""),4.0)</f>
        <v>4</v>
      </c>
      <c r="BJ297" s="16">
        <f>IFERROR(__xludf.DUMMYFUNCTION("""COMPUTED_VALUE"""),2.0)</f>
        <v>2</v>
      </c>
      <c r="BK297" s="16">
        <f>IFERROR(__xludf.DUMMYFUNCTION("""COMPUTED_VALUE"""),5.0)</f>
        <v>5</v>
      </c>
      <c r="BL297" s="16">
        <f>IFERROR(__xludf.DUMMYFUNCTION("""COMPUTED_VALUE"""),5.0)</f>
        <v>5</v>
      </c>
      <c r="BM297" s="16">
        <f>IFERROR(__xludf.DUMMYFUNCTION("""COMPUTED_VALUE"""),0.0)</f>
        <v>0</v>
      </c>
      <c r="BN297" s="16">
        <f>IFERROR(__xludf.DUMMYFUNCTION("""COMPUTED_VALUE"""),0.0)</f>
        <v>0</v>
      </c>
      <c r="BO297" s="16">
        <f>IFERROR(__xludf.DUMMYFUNCTION("""COMPUTED_VALUE"""),0.0)</f>
        <v>0</v>
      </c>
      <c r="BP297" s="16">
        <f>IFERROR(__xludf.DUMMYFUNCTION("""COMPUTED_VALUE"""),0.0)</f>
        <v>0</v>
      </c>
      <c r="BQ297" s="16">
        <f>IFERROR(__xludf.DUMMYFUNCTION("""COMPUTED_VALUE"""),9.0)</f>
        <v>9</v>
      </c>
      <c r="BR297" s="16">
        <f>IFERROR(__xludf.DUMMYFUNCTION("""COMPUTED_VALUE"""),11.0)</f>
        <v>11</v>
      </c>
      <c r="BS297" s="16">
        <f>IFERROR(__xludf.DUMMYFUNCTION("""COMPUTED_VALUE"""),3.0)</f>
        <v>3</v>
      </c>
      <c r="BT297" s="16">
        <f>IFERROR(__xludf.DUMMYFUNCTION("""COMPUTED_VALUE"""),3.0)</f>
        <v>3</v>
      </c>
      <c r="BU297" s="16">
        <f>IFERROR(__xludf.DUMMYFUNCTION("""COMPUTED_VALUE"""),6.0)</f>
        <v>6</v>
      </c>
      <c r="BV297" s="16">
        <f>IFERROR(__xludf.DUMMYFUNCTION("""COMPUTED_VALUE"""),6.0)</f>
        <v>6</v>
      </c>
      <c r="BW297" s="16">
        <f>IFERROR(__xludf.DUMMYFUNCTION("""COMPUTED_VALUE"""),3.0)</f>
        <v>3</v>
      </c>
      <c r="BX297" s="16">
        <f>IFERROR(__xludf.DUMMYFUNCTION("""COMPUTED_VALUE"""),3.0)</f>
        <v>3</v>
      </c>
      <c r="BY297" s="16" t="str">
        <f>IFERROR(__xludf.DUMMYFUNCTION("""COMPUTED_VALUE"""),"S(5) R(3)")</f>
        <v>S(5) R(3)</v>
      </c>
      <c r="BZ297" s="16" t="str">
        <f>IFERROR(__xludf.DUMMYFUNCTION("""COMPUTED_VALUE"""),"S(5) R(3)")</f>
        <v>S(5) R(3)</v>
      </c>
      <c r="CA297" s="16" t="str">
        <f>IFERROR(__xludf.DUMMYFUNCTION("""COMPUTED_VALUE"""),"S(5)")</f>
        <v>S(5)</v>
      </c>
      <c r="CB297" s="16" t="str">
        <f>IFERROR(__xludf.DUMMYFUNCTION("""COMPUTED_VALUE"""),"R(3)")</f>
        <v>R(3)</v>
      </c>
      <c r="CC297" s="16"/>
      <c r="CD297" s="16">
        <f>IFERROR(__xludf.DUMMYFUNCTION("""COMPUTED_VALUE"""),5.0)</f>
        <v>5</v>
      </c>
      <c r="CE297" s="16">
        <f>IFERROR(__xludf.DUMMYFUNCTION("""COMPUTED_VALUE"""),3.0)</f>
        <v>3</v>
      </c>
      <c r="CF297" s="16"/>
      <c r="CG297" s="16" t="str">
        <f>IFERROR(__xludf.DUMMYFUNCTION("""COMPUTED_VALUE"""),"3-0")</f>
        <v>3-0</v>
      </c>
      <c r="CH297" s="16">
        <f>IFERROR(__xludf.DUMMYFUNCTION("""COMPUTED_VALUE"""),3.0)</f>
        <v>3</v>
      </c>
      <c r="CI297" s="16">
        <f>IFERROR(__xludf.DUMMYFUNCTION("""COMPUTED_VALUE"""),0.0)</f>
        <v>0</v>
      </c>
      <c r="CJ297" s="16">
        <f>IFERROR(__xludf.DUMMYFUNCTION("""COMPUTED_VALUE"""),3.0)</f>
        <v>3</v>
      </c>
      <c r="CK297" s="16">
        <f>IFERROR(__xludf.DUMMYFUNCTION("""COMPUTED_VALUE"""),3.0)</f>
        <v>3</v>
      </c>
      <c r="CL297" s="16" t="str">
        <f>IFERROR(__xludf.DUMMYFUNCTION("""COMPUTED_VALUE"""),"1WR-C")</f>
        <v>1WR-C</v>
      </c>
      <c r="CM297" s="16" t="str">
        <f>IFERROR(__xludf.DUMMYFUNCTION("""COMPUTED_VALUE"""),"E")</f>
        <v>E</v>
      </c>
      <c r="CN297" s="16">
        <f>IFERROR(__xludf.DUMMYFUNCTION("""COMPUTED_VALUE"""),10.0)</f>
        <v>10</v>
      </c>
      <c r="CO297" s="16" t="str">
        <f>IFERROR(__xludf.DUMMYFUNCTION("""COMPUTED_VALUE"""),"C")</f>
        <v>C</v>
      </c>
      <c r="CP297" s="16" t="str">
        <f>IFERROR(__xludf.DUMMYFUNCTION("""COMPUTED_VALUE"""),"3p60")</f>
        <v>3p60</v>
      </c>
      <c r="CQ297" s="16">
        <f>IFERROR(__xludf.DUMMYFUNCTION("""COMPUTED_VALUE"""),5.0)</f>
        <v>5</v>
      </c>
      <c r="CR297" s="16">
        <f>IFERROR(__xludf.DUMMYFUNCTION("""COMPUTED_VALUE"""),-8.0)</f>
        <v>-8</v>
      </c>
      <c r="CS297" s="16">
        <f>IFERROR(__xludf.DUMMYFUNCTION("""COMPUTED_VALUE"""),-3.0)</f>
        <v>-3</v>
      </c>
      <c r="CT297" s="16">
        <f>IFERROR(__xludf.DUMMYFUNCTION("""COMPUTED_VALUE"""),5.0)</f>
        <v>5</v>
      </c>
      <c r="CU297" s="16">
        <f>IFERROR(__xludf.DUMMYFUNCTION("""COMPUTED_VALUE"""),-8.0)</f>
        <v>-8</v>
      </c>
      <c r="CV297" s="179">
        <f>IFERROR(__xludf.DUMMYFUNCTION("""COMPUTED_VALUE"""),-0.6666666666666665)</f>
        <v>-0.6666666667</v>
      </c>
      <c r="CW297" s="179">
        <f>IFERROR(__xludf.DUMMYFUNCTION("""COMPUTED_VALUE"""),2.0)</f>
        <v>2</v>
      </c>
      <c r="CX297" s="179">
        <f>IFERROR(__xludf.DUMMYFUNCTION("""COMPUTED_VALUE"""),1.0)</f>
        <v>1</v>
      </c>
      <c r="CY297" s="16" t="str">
        <f>IFERROR(__xludf.DUMMYFUNCTION("""COMPUTED_VALUE"""),"SP")</f>
        <v>SP</v>
      </c>
      <c r="CZ297" s="16" t="str">
        <f>IFERROR(__xludf.DUMMYFUNCTION("""COMPUTED_VALUE"""),"RP")</f>
        <v>RP</v>
      </c>
      <c r="DA297" s="16"/>
      <c r="DB297" s="16"/>
      <c r="DC297" s="16"/>
      <c r="DD297" s="16"/>
      <c r="DE297" s="16"/>
      <c r="DF297" s="16"/>
      <c r="DG297" s="16"/>
      <c r="DH297" s="16"/>
      <c r="DI297" s="16"/>
      <c r="DJ297" s="16"/>
      <c r="DK297" s="16"/>
    </row>
    <row r="298">
      <c r="A298" s="16">
        <f>IFERROR(__xludf.DUMMYFUNCTION("""COMPUTED_VALUE"""),12782.0)</f>
        <v>12782</v>
      </c>
      <c r="B298" s="16" t="str">
        <f>IFERROR(__xludf.DUMMYFUNCTION("""COMPUTED_VALUE"""),"Edward Cabrera")</f>
        <v>Edward Cabrera</v>
      </c>
      <c r="C298" s="153">
        <f>IFERROR(__xludf.DUMMYFUNCTION("""COMPUTED_VALUE"""),0.54)</f>
        <v>0.54</v>
      </c>
      <c r="D298" s="16"/>
      <c r="E298" s="16" t="str">
        <f>IFERROR(__xludf.DUMMYFUNCTION("""COMPUTED_VALUE"""),"R")</f>
        <v>R</v>
      </c>
      <c r="F298" s="16">
        <f>IFERROR(__xludf.DUMMYFUNCTION("""COMPUTED_VALUE"""),96.0)</f>
        <v>96</v>
      </c>
      <c r="G298" s="16">
        <f>IFERROR(__xludf.DUMMYFUNCTION("""COMPUTED_VALUE"""),22.0)</f>
        <v>22</v>
      </c>
      <c r="H298" s="16">
        <f>IFERROR(__xludf.DUMMYFUNCTION("""COMPUTED_VALUE"""),41.0)</f>
        <v>41</v>
      </c>
      <c r="I298" s="16">
        <f>IFERROR(__xludf.DUMMYFUNCTION("""COMPUTED_VALUE"""),-1.0)</f>
        <v>-1</v>
      </c>
      <c r="J298" s="16">
        <f>IFERROR(__xludf.DUMMYFUNCTION("""COMPUTED_VALUE"""),2.0)</f>
        <v>2</v>
      </c>
      <c r="K298" s="16">
        <f>IFERROR(__xludf.DUMMYFUNCTION("""COMPUTED_VALUE"""),-3.0)</f>
        <v>-3</v>
      </c>
      <c r="L298" s="16">
        <f>IFERROR(__xludf.DUMMYFUNCTION("""COMPUTED_VALUE"""),6.0)</f>
        <v>6</v>
      </c>
      <c r="M298" s="16">
        <f>IFERROR(__xludf.DUMMYFUNCTION("""COMPUTED_VALUE"""),22.0)</f>
        <v>22</v>
      </c>
      <c r="N298" s="16">
        <f>IFERROR(__xludf.DUMMYFUNCTION("""COMPUTED_VALUE"""),13.0)</f>
        <v>13</v>
      </c>
      <c r="O298" s="16">
        <f>IFERROR(__xludf.DUMMYFUNCTION("""COMPUTED_VALUE"""),-3.0)</f>
        <v>-3</v>
      </c>
      <c r="P298" s="16">
        <f>IFERROR(__xludf.DUMMYFUNCTION("""COMPUTED_VALUE"""),-2.0)</f>
        <v>-2</v>
      </c>
      <c r="Q298" s="16">
        <f>IFERROR(__xludf.DUMMYFUNCTION("""COMPUTED_VALUE"""),-3.0)</f>
        <v>-3</v>
      </c>
      <c r="R298" s="16">
        <f>IFERROR(__xludf.DUMMYFUNCTION("""COMPUTED_VALUE"""),-2.0)</f>
        <v>-2</v>
      </c>
      <c r="S298" s="16">
        <f>IFERROR(__xludf.DUMMYFUNCTION("""COMPUTED_VALUE"""),7.9)</f>
        <v>7.9</v>
      </c>
      <c r="T298" s="16">
        <f>IFERROR(__xludf.DUMMYFUNCTION("""COMPUTED_VALUE"""),6.6)</f>
        <v>6.6</v>
      </c>
      <c r="U298" s="16">
        <f>IFERROR(__xludf.DUMMYFUNCTION("""COMPUTED_VALUE"""),1.0)</f>
        <v>1</v>
      </c>
      <c r="V298" s="16">
        <f>IFERROR(__xludf.DUMMYFUNCTION("""COMPUTED_VALUE"""),2.0)</f>
        <v>2</v>
      </c>
      <c r="W298" s="16">
        <f>IFERROR(__xludf.DUMMYFUNCTION("""COMPUTED_VALUE"""),2.0)</f>
        <v>2</v>
      </c>
      <c r="X298" s="16">
        <f>IFERROR(__xludf.DUMMYFUNCTION("""COMPUTED_VALUE"""),4.0)</f>
        <v>4</v>
      </c>
      <c r="Y298" s="16">
        <f>IFERROR(__xludf.DUMMYFUNCTION("""COMPUTED_VALUE"""),29.9)</f>
        <v>29.9</v>
      </c>
      <c r="Z298" s="16">
        <f>IFERROR(__xludf.DUMMYFUNCTION("""COMPUTED_VALUE"""),19.6)</f>
        <v>19.6</v>
      </c>
      <c r="AA298" s="16">
        <f>IFERROR(__xludf.DUMMYFUNCTION("""COMPUTED_VALUE"""),-1.0)</f>
        <v>-1</v>
      </c>
      <c r="AB298" s="16">
        <f>IFERROR(__xludf.DUMMYFUNCTION("""COMPUTED_VALUE"""),1.0)</f>
        <v>1</v>
      </c>
      <c r="AC298" s="16">
        <f>IFERROR(__xludf.DUMMYFUNCTION("""COMPUTED_VALUE"""),-5.0)</f>
        <v>-5</v>
      </c>
      <c r="AD298" s="16">
        <f>IFERROR(__xludf.DUMMYFUNCTION("""COMPUTED_VALUE"""),5.0)</f>
        <v>5</v>
      </c>
      <c r="AE298" s="16">
        <f>IFERROR(__xludf.DUMMYFUNCTION("""COMPUTED_VALUE"""),18.5)</f>
        <v>18.5</v>
      </c>
      <c r="AF298" s="16">
        <f>IFERROR(__xludf.DUMMYFUNCTION("""COMPUTED_VALUE"""),15.8)</f>
        <v>15.8</v>
      </c>
      <c r="AG298" s="16">
        <f>IFERROR(__xludf.DUMMYFUNCTION("""COMPUTED_VALUE"""),1.0)</f>
        <v>1</v>
      </c>
      <c r="AH298" s="16">
        <f>IFERROR(__xludf.DUMMYFUNCTION("""COMPUTED_VALUE"""),1.0)</f>
        <v>1</v>
      </c>
      <c r="AI298" s="16">
        <f>IFERROR(__xludf.DUMMYFUNCTION("""COMPUTED_VALUE"""),2.0)</f>
        <v>2</v>
      </c>
      <c r="AJ298" s="16">
        <f>IFERROR(__xludf.DUMMYFUNCTION("""COMPUTED_VALUE"""),2.0)</f>
        <v>2</v>
      </c>
      <c r="AK298" s="16">
        <f>IFERROR(__xludf.DUMMYFUNCTION("""COMPUTED_VALUE"""),5.5)</f>
        <v>5.5</v>
      </c>
      <c r="AL298" s="16">
        <f>IFERROR(__xludf.DUMMYFUNCTION("""COMPUTED_VALUE"""),3.8)</f>
        <v>3.8</v>
      </c>
      <c r="AM298" s="16">
        <f>IFERROR(__xludf.DUMMYFUNCTION("""COMPUTED_VALUE"""),1.0)</f>
        <v>1</v>
      </c>
      <c r="AN298" s="16">
        <f>IFERROR(__xludf.DUMMYFUNCTION("""COMPUTED_VALUE"""),2.0)</f>
        <v>2</v>
      </c>
      <c r="AO298" s="16">
        <f>IFERROR(__xludf.DUMMYFUNCTION("""COMPUTED_VALUE"""),1.0)</f>
        <v>1</v>
      </c>
      <c r="AP298" s="16">
        <f>IFERROR(__xludf.DUMMYFUNCTION("""COMPUTED_VALUE"""),2.0)</f>
        <v>2</v>
      </c>
      <c r="AQ298" s="16">
        <f>IFERROR(__xludf.DUMMYFUNCTION("""COMPUTED_VALUE"""),8.9)</f>
        <v>8.9</v>
      </c>
      <c r="AR298" s="16">
        <f>IFERROR(__xludf.DUMMYFUNCTION("""COMPUTED_VALUE"""),4.600000000000001)</f>
        <v>4.6</v>
      </c>
      <c r="AS298" s="16">
        <f>IFERROR(__xludf.DUMMYFUNCTION("""COMPUTED_VALUE"""),1.0)</f>
        <v>1</v>
      </c>
      <c r="AT298" s="16">
        <f>IFERROR(__xludf.DUMMYFUNCTION("""COMPUTED_VALUE"""),2.0)</f>
        <v>2</v>
      </c>
      <c r="AU298" s="16">
        <f>IFERROR(__xludf.DUMMYFUNCTION("""COMPUTED_VALUE"""),2.0)</f>
        <v>2</v>
      </c>
      <c r="AV298" s="16">
        <f>IFERROR(__xludf.DUMMYFUNCTION("""COMPUTED_VALUE"""),4.0)</f>
        <v>4</v>
      </c>
      <c r="AW298" s="16">
        <f>IFERROR(__xludf.DUMMYFUNCTION("""COMPUTED_VALUE"""),2.4)</f>
        <v>2.4</v>
      </c>
      <c r="AX298" s="16">
        <f>IFERROR(__xludf.DUMMYFUNCTION("""COMPUTED_VALUE"""),2.8)</f>
        <v>2.8</v>
      </c>
      <c r="AY298" s="16">
        <f>IFERROR(__xludf.DUMMYFUNCTION("""COMPUTED_VALUE"""),0.0)</f>
        <v>0</v>
      </c>
      <c r="AZ298" s="16">
        <f>IFERROR(__xludf.DUMMYFUNCTION("""COMPUTED_VALUE"""),-1.0)</f>
        <v>-1</v>
      </c>
      <c r="BA298" s="16">
        <f>IFERROR(__xludf.DUMMYFUNCTION("""COMPUTED_VALUE"""),0.0)</f>
        <v>0</v>
      </c>
      <c r="BB298" s="16">
        <f>IFERROR(__xludf.DUMMYFUNCTION("""COMPUTED_VALUE"""),-5.0)</f>
        <v>-5</v>
      </c>
      <c r="BC298" s="16">
        <f>IFERROR(__xludf.DUMMYFUNCTION("""COMPUTED_VALUE"""),4.0)</f>
        <v>4</v>
      </c>
      <c r="BD298" s="16">
        <f>IFERROR(__xludf.DUMMYFUNCTION("""COMPUTED_VALUE"""),4.0)</f>
        <v>4</v>
      </c>
      <c r="BE298" s="16">
        <f>IFERROR(__xludf.DUMMYFUNCTION("""COMPUTED_VALUE"""),4.0)</f>
        <v>4</v>
      </c>
      <c r="BF298" s="16">
        <f>IFERROR(__xludf.DUMMYFUNCTION("""COMPUTED_VALUE"""),4.0)</f>
        <v>4</v>
      </c>
      <c r="BG298" s="16">
        <f>IFERROR(__xludf.DUMMYFUNCTION("""COMPUTED_VALUE"""),-1.0)</f>
        <v>-1</v>
      </c>
      <c r="BH298" s="16">
        <f>IFERROR(__xludf.DUMMYFUNCTION("""COMPUTED_VALUE"""),-1.0)</f>
        <v>-1</v>
      </c>
      <c r="BI298" s="16">
        <f>IFERROR(__xludf.DUMMYFUNCTION("""COMPUTED_VALUE"""),-2.0)</f>
        <v>-2</v>
      </c>
      <c r="BJ298" s="16">
        <f>IFERROR(__xludf.DUMMYFUNCTION("""COMPUTED_VALUE"""),-2.0)</f>
        <v>-2</v>
      </c>
      <c r="BK298" s="16">
        <f>IFERROR(__xludf.DUMMYFUNCTION("""COMPUTED_VALUE"""),5.0)</f>
        <v>5</v>
      </c>
      <c r="BL298" s="16">
        <f>IFERROR(__xludf.DUMMYFUNCTION("""COMPUTED_VALUE"""),5.0)</f>
        <v>5</v>
      </c>
      <c r="BM298" s="16">
        <f>IFERROR(__xludf.DUMMYFUNCTION("""COMPUTED_VALUE"""),0.0)</f>
        <v>0</v>
      </c>
      <c r="BN298" s="16">
        <f>IFERROR(__xludf.DUMMYFUNCTION("""COMPUTED_VALUE"""),0.0)</f>
        <v>0</v>
      </c>
      <c r="BO298" s="16">
        <f>IFERROR(__xludf.DUMMYFUNCTION("""COMPUTED_VALUE"""),0.0)</f>
        <v>0</v>
      </c>
      <c r="BP298" s="16">
        <f>IFERROR(__xludf.DUMMYFUNCTION("""COMPUTED_VALUE"""),0.0)</f>
        <v>0</v>
      </c>
      <c r="BQ298" s="16">
        <f>IFERROR(__xludf.DUMMYFUNCTION("""COMPUTED_VALUE"""),3.0)</f>
        <v>3</v>
      </c>
      <c r="BR298" s="16">
        <f>IFERROR(__xludf.DUMMYFUNCTION("""COMPUTED_VALUE"""),0.0)</f>
        <v>0</v>
      </c>
      <c r="BS298" s="16">
        <f>IFERROR(__xludf.DUMMYFUNCTION("""COMPUTED_VALUE"""),-1.0)</f>
        <v>-1</v>
      </c>
      <c r="BT298" s="16">
        <f>IFERROR(__xludf.DUMMYFUNCTION("""COMPUTED_VALUE"""),-3.0)</f>
        <v>-3</v>
      </c>
      <c r="BU298" s="16">
        <f>IFERROR(__xludf.DUMMYFUNCTION("""COMPUTED_VALUE"""),-2.0)</f>
        <v>-2</v>
      </c>
      <c r="BV298" s="16">
        <f>IFERROR(__xludf.DUMMYFUNCTION("""COMPUTED_VALUE"""),-6.0)</f>
        <v>-6</v>
      </c>
      <c r="BW298" s="16">
        <f>IFERROR(__xludf.DUMMYFUNCTION("""COMPUTED_VALUE"""),9.0)</f>
        <v>9</v>
      </c>
      <c r="BX298" s="16">
        <f>IFERROR(__xludf.DUMMYFUNCTION("""COMPUTED_VALUE"""),9.0)</f>
        <v>9</v>
      </c>
      <c r="BY298" s="16" t="str">
        <f>IFERROR(__xludf.DUMMYFUNCTION("""COMPUTED_VALUE"""),"S(5)")</f>
        <v>S(5)</v>
      </c>
      <c r="BZ298" s="16" t="str">
        <f>IFERROR(__xludf.DUMMYFUNCTION("""COMPUTED_VALUE"""),"S(5)")</f>
        <v>S(5)</v>
      </c>
      <c r="CA298" s="16" t="str">
        <f>IFERROR(__xludf.DUMMYFUNCTION("""COMPUTED_VALUE"""),"S(5)")</f>
        <v>S(5)</v>
      </c>
      <c r="CB298" s="16"/>
      <c r="CC298" s="16"/>
      <c r="CD298" s="16">
        <f>IFERROR(__xludf.DUMMYFUNCTION("""COMPUTED_VALUE"""),5.0)</f>
        <v>5</v>
      </c>
      <c r="CE298" s="16"/>
      <c r="CF298" s="16"/>
      <c r="CG298" s="16" t="str">
        <f>IFERROR(__xludf.DUMMYFUNCTION("""COMPUTED_VALUE"""),"5-51")</f>
        <v>5-51</v>
      </c>
      <c r="CH298" s="16">
        <f>IFERROR(__xludf.DUMMYFUNCTION("""COMPUTED_VALUE"""),5.0)</f>
        <v>5</v>
      </c>
      <c r="CI298" s="16">
        <f>IFERROR(__xludf.DUMMYFUNCTION("""COMPUTED_VALUE"""),51.0)</f>
        <v>51</v>
      </c>
      <c r="CJ298" s="16">
        <f>IFERROR(__xludf.DUMMYFUNCTION("""COMPUTED_VALUE"""),3.0)</f>
        <v>3</v>
      </c>
      <c r="CK298" s="16">
        <f>IFERROR(__xludf.DUMMYFUNCTION("""COMPUTED_VALUE"""),1.0)</f>
        <v>1</v>
      </c>
      <c r="CL298" s="16" t="str">
        <f>IFERROR(__xludf.DUMMYFUNCTION("""COMPUTED_VALUE"""),"1WR-C")</f>
        <v>1WR-C</v>
      </c>
      <c r="CM298" s="16" t="str">
        <f>IFERROR(__xludf.DUMMYFUNCTION("""COMPUTED_VALUE"""),"E")</f>
        <v>E</v>
      </c>
      <c r="CN298" s="16">
        <f>IFERROR(__xludf.DUMMYFUNCTION("""COMPUTED_VALUE"""),10.0)</f>
        <v>10</v>
      </c>
      <c r="CO298" s="16" t="str">
        <f>IFERROR(__xludf.DUMMYFUNCTION("""COMPUTED_VALUE"""),"C")</f>
        <v>C</v>
      </c>
      <c r="CP298" s="16" t="str">
        <f>IFERROR(__xludf.DUMMYFUNCTION("""COMPUTED_VALUE"""),"3p50")</f>
        <v>3p50</v>
      </c>
      <c r="CQ298" s="16">
        <f>IFERROR(__xludf.DUMMYFUNCTION("""COMPUTED_VALUE"""),-8.0)</f>
        <v>-8</v>
      </c>
      <c r="CR298" s="16">
        <f>IFERROR(__xludf.DUMMYFUNCTION("""COMPUTED_VALUE"""),8.0)</f>
        <v>8</v>
      </c>
      <c r="CS298" s="16">
        <f>IFERROR(__xludf.DUMMYFUNCTION("""COMPUTED_VALUE"""),0.0)</f>
        <v>0</v>
      </c>
      <c r="CT298" s="16">
        <f>IFERROR(__xludf.DUMMYFUNCTION("""COMPUTED_VALUE"""),-8.0)</f>
        <v>-8</v>
      </c>
      <c r="CU298" s="16">
        <f>IFERROR(__xludf.DUMMYFUNCTION("""COMPUTED_VALUE"""),8.0)</f>
        <v>8</v>
      </c>
      <c r="CV298" s="179">
        <f>IFERROR(__xludf.DUMMYFUNCTION("""COMPUTED_VALUE"""),-0.6666666666666665)</f>
        <v>-0.6666666667</v>
      </c>
      <c r="CW298" s="179">
        <f>IFERROR(__xludf.DUMMYFUNCTION("""COMPUTED_VALUE"""),2.0)</f>
        <v>2</v>
      </c>
      <c r="CX298" s="179">
        <f>IFERROR(__xludf.DUMMYFUNCTION("""COMPUTED_VALUE"""),0.0)</f>
        <v>0</v>
      </c>
      <c r="CY298" s="16" t="str">
        <f>IFERROR(__xludf.DUMMYFUNCTION("""COMPUTED_VALUE"""),"SP")</f>
        <v>SP</v>
      </c>
      <c r="CZ298" s="16"/>
      <c r="DA298" s="16"/>
      <c r="DB298" s="16"/>
      <c r="DC298" s="16"/>
      <c r="DD298" s="16"/>
      <c r="DE298" s="16"/>
      <c r="DF298" s="16"/>
      <c r="DG298" s="16"/>
      <c r="DH298" s="16"/>
      <c r="DI298" s="16"/>
      <c r="DJ298" s="16"/>
      <c r="DK298" s="16"/>
    </row>
    <row r="299">
      <c r="A299" s="16">
        <f>IFERROR(__xludf.DUMMYFUNCTION("""COMPUTED_VALUE"""),12544.0)</f>
        <v>12544</v>
      </c>
      <c r="B299" s="16" t="str">
        <f>IFERROR(__xludf.DUMMYFUNCTION("""COMPUTED_VALUE"""),"Andrew Nardi")</f>
        <v>Andrew Nardi</v>
      </c>
      <c r="C299" s="153">
        <f>IFERROR(__xludf.DUMMYFUNCTION("""COMPUTED_VALUE"""),0.19)</f>
        <v>0.19</v>
      </c>
      <c r="D299" s="16"/>
      <c r="E299" s="16" t="str">
        <f>IFERROR(__xludf.DUMMYFUNCTION("""COMPUTED_VALUE"""),"L")</f>
        <v>L</v>
      </c>
      <c r="F299" s="16">
        <f>IFERROR(__xludf.DUMMYFUNCTION("""COMPUTED_VALUE"""),50.0)</f>
        <v>50</v>
      </c>
      <c r="G299" s="16">
        <f>IFERROR(__xludf.DUMMYFUNCTION("""COMPUTED_VALUE"""),64.0)</f>
        <v>64</v>
      </c>
      <c r="H299" s="16">
        <f>IFERROR(__xludf.DUMMYFUNCTION("""COMPUTED_VALUE"""),37.0)</f>
        <v>37</v>
      </c>
      <c r="I299" s="16">
        <f>IFERROR(__xludf.DUMMYFUNCTION("""COMPUTED_VALUE"""),3.0)</f>
        <v>3</v>
      </c>
      <c r="J299" s="16">
        <f>IFERROR(__xludf.DUMMYFUNCTION("""COMPUTED_VALUE"""),1.0)</f>
        <v>1</v>
      </c>
      <c r="K299" s="16">
        <f>IFERROR(__xludf.DUMMYFUNCTION("""COMPUTED_VALUE"""),9.0)</f>
        <v>9</v>
      </c>
      <c r="L299" s="16">
        <f>IFERROR(__xludf.DUMMYFUNCTION("""COMPUTED_VALUE"""),3.0)</f>
        <v>3</v>
      </c>
      <c r="M299" s="16">
        <f>IFERROR(__xludf.DUMMYFUNCTION("""COMPUTED_VALUE"""),3.0)</f>
        <v>3</v>
      </c>
      <c r="N299" s="16">
        <f>IFERROR(__xludf.DUMMYFUNCTION("""COMPUTED_VALUE"""),13.0)</f>
        <v>13</v>
      </c>
      <c r="O299" s="16">
        <f>IFERROR(__xludf.DUMMYFUNCTION("""COMPUTED_VALUE"""),2.0)</f>
        <v>2</v>
      </c>
      <c r="P299" s="16">
        <f>IFERROR(__xludf.DUMMYFUNCTION("""COMPUTED_VALUE"""),-2.0)</f>
        <v>-2</v>
      </c>
      <c r="Q299" s="16">
        <f>IFERROR(__xludf.DUMMYFUNCTION("""COMPUTED_VALUE"""),2.0)</f>
        <v>2</v>
      </c>
      <c r="R299" s="16">
        <f>IFERROR(__xludf.DUMMYFUNCTION("""COMPUTED_VALUE"""),-2.0)</f>
        <v>-2</v>
      </c>
      <c r="S299" s="16">
        <f>IFERROR(__xludf.DUMMYFUNCTION("""COMPUTED_VALUE"""),7.8)</f>
        <v>7.8</v>
      </c>
      <c r="T299" s="16">
        <f>IFERROR(__xludf.DUMMYFUNCTION("""COMPUTED_VALUE"""),14.3)</f>
        <v>14.3</v>
      </c>
      <c r="U299" s="16">
        <f>IFERROR(__xludf.DUMMYFUNCTION("""COMPUTED_VALUE"""),1.0)</f>
        <v>1</v>
      </c>
      <c r="V299" s="16">
        <f>IFERROR(__xludf.DUMMYFUNCTION("""COMPUTED_VALUE"""),0.0)</f>
        <v>0</v>
      </c>
      <c r="W299" s="16">
        <f>IFERROR(__xludf.DUMMYFUNCTION("""COMPUTED_VALUE"""),2.0)</f>
        <v>2</v>
      </c>
      <c r="X299" s="16">
        <f>IFERROR(__xludf.DUMMYFUNCTION("""COMPUTED_VALUE"""),0.0)</f>
        <v>0</v>
      </c>
      <c r="Y299" s="16">
        <f>IFERROR(__xludf.DUMMYFUNCTION("""COMPUTED_VALUE"""),10.8)</f>
        <v>10.8</v>
      </c>
      <c r="Z299" s="16">
        <f>IFERROR(__xludf.DUMMYFUNCTION("""COMPUTED_VALUE"""),27.3)</f>
        <v>27.3</v>
      </c>
      <c r="AA299" s="16">
        <f>IFERROR(__xludf.DUMMYFUNCTION("""COMPUTED_VALUE"""),2.0)</f>
        <v>2</v>
      </c>
      <c r="AB299" s="16">
        <f>IFERROR(__xludf.DUMMYFUNCTION("""COMPUTED_VALUE"""),0.0)</f>
        <v>0</v>
      </c>
      <c r="AC299" s="16">
        <f>IFERROR(__xludf.DUMMYFUNCTION("""COMPUTED_VALUE"""),10.0)</f>
        <v>10</v>
      </c>
      <c r="AD299" s="16">
        <f>IFERROR(__xludf.DUMMYFUNCTION("""COMPUTED_VALUE"""),0.0)</f>
        <v>0</v>
      </c>
      <c r="AE299" s="16">
        <f>IFERROR(__xludf.DUMMYFUNCTION("""COMPUTED_VALUE"""),18.3)</f>
        <v>18.3</v>
      </c>
      <c r="AF299" s="16">
        <f>IFERROR(__xludf.DUMMYFUNCTION("""COMPUTED_VALUE"""),36.6)</f>
        <v>36.6</v>
      </c>
      <c r="AG299" s="16">
        <f>IFERROR(__xludf.DUMMYFUNCTION("""COMPUTED_VALUE"""),1.0)</f>
        <v>1</v>
      </c>
      <c r="AH299" s="16">
        <f>IFERROR(__xludf.DUMMYFUNCTION("""COMPUTED_VALUE"""),-1.0)</f>
        <v>-1</v>
      </c>
      <c r="AI299" s="16">
        <f>IFERROR(__xludf.DUMMYFUNCTION("""COMPUTED_VALUE"""),2.0)</f>
        <v>2</v>
      </c>
      <c r="AJ299" s="16">
        <f>IFERROR(__xludf.DUMMYFUNCTION("""COMPUTED_VALUE"""),-2.0)</f>
        <v>-2</v>
      </c>
      <c r="AK299" s="16">
        <f>IFERROR(__xludf.DUMMYFUNCTION("""COMPUTED_VALUE"""),5.8)</f>
        <v>5.8</v>
      </c>
      <c r="AL299" s="16">
        <f>IFERROR(__xludf.DUMMYFUNCTION("""COMPUTED_VALUE"""),11.5)</f>
        <v>11.5</v>
      </c>
      <c r="AM299" s="16">
        <f>IFERROR(__xludf.DUMMYFUNCTION("""COMPUTED_VALUE"""),1.0)</f>
        <v>1</v>
      </c>
      <c r="AN299" s="16">
        <f>IFERROR(__xludf.DUMMYFUNCTION("""COMPUTED_VALUE"""),0.0)</f>
        <v>0</v>
      </c>
      <c r="AO299" s="16">
        <f>IFERROR(__xludf.DUMMYFUNCTION("""COMPUTED_VALUE"""),1.0)</f>
        <v>1</v>
      </c>
      <c r="AP299" s="16">
        <f>IFERROR(__xludf.DUMMYFUNCTION("""COMPUTED_VALUE"""),0.0)</f>
        <v>0</v>
      </c>
      <c r="AQ299" s="16">
        <f>IFERROR(__xludf.DUMMYFUNCTION("""COMPUTED_VALUE"""),10.3)</f>
        <v>10.3</v>
      </c>
      <c r="AR299" s="16">
        <f>IFERROR(__xludf.DUMMYFUNCTION("""COMPUTED_VALUE"""),25.400000000000002)</f>
        <v>25.4</v>
      </c>
      <c r="AS299" s="16">
        <f>IFERROR(__xludf.DUMMYFUNCTION("""COMPUTED_VALUE"""),1.0)</f>
        <v>1</v>
      </c>
      <c r="AT299" s="16">
        <f>IFERROR(__xludf.DUMMYFUNCTION("""COMPUTED_VALUE"""),-1.0)</f>
        <v>-1</v>
      </c>
      <c r="AU299" s="16">
        <f>IFERROR(__xludf.DUMMYFUNCTION("""COMPUTED_VALUE"""),2.0)</f>
        <v>2</v>
      </c>
      <c r="AV299" s="16">
        <f>IFERROR(__xludf.DUMMYFUNCTION("""COMPUTED_VALUE"""),-2.0)</f>
        <v>-2</v>
      </c>
      <c r="AW299" s="16">
        <f>IFERROR(__xludf.DUMMYFUNCTION("""COMPUTED_VALUE"""),2.0)</f>
        <v>2</v>
      </c>
      <c r="AX299" s="16">
        <f>IFERROR(__xludf.DUMMYFUNCTION("""COMPUTED_VALUE"""),2.8)</f>
        <v>2.8</v>
      </c>
      <c r="AY299" s="16">
        <f>IFERROR(__xludf.DUMMYFUNCTION("""COMPUTED_VALUE"""),0.0)</f>
        <v>0</v>
      </c>
      <c r="AZ299" s="16">
        <f>IFERROR(__xludf.DUMMYFUNCTION("""COMPUTED_VALUE"""),-1.0)</f>
        <v>-1</v>
      </c>
      <c r="BA299" s="16">
        <f>IFERROR(__xludf.DUMMYFUNCTION("""COMPUTED_VALUE"""),0.0)</f>
        <v>0</v>
      </c>
      <c r="BB299" s="16">
        <f>IFERROR(__xludf.DUMMYFUNCTION("""COMPUTED_VALUE"""),-5.0)</f>
        <v>-5</v>
      </c>
      <c r="BC299" s="16"/>
      <c r="BD299" s="16">
        <f>IFERROR(__xludf.DUMMYFUNCTION("""COMPUTED_VALUE"""),5.0)</f>
        <v>5</v>
      </c>
      <c r="BE299" s="16">
        <f>IFERROR(__xludf.DUMMYFUNCTION("""COMPUTED_VALUE"""),2.0)</f>
        <v>2</v>
      </c>
      <c r="BF299" s="16">
        <f>IFERROR(__xludf.DUMMYFUNCTION("""COMPUTED_VALUE"""),5.0)</f>
        <v>5</v>
      </c>
      <c r="BG299" s="16">
        <f>IFERROR(__xludf.DUMMYFUNCTION("""COMPUTED_VALUE"""),1.0)</f>
        <v>1</v>
      </c>
      <c r="BH299" s="16">
        <f>IFERROR(__xludf.DUMMYFUNCTION("""COMPUTED_VALUE"""),-2.0)</f>
        <v>-2</v>
      </c>
      <c r="BI299" s="16">
        <f>IFERROR(__xludf.DUMMYFUNCTION("""COMPUTED_VALUE"""),2.0)</f>
        <v>2</v>
      </c>
      <c r="BJ299" s="16">
        <f>IFERROR(__xludf.DUMMYFUNCTION("""COMPUTED_VALUE"""),-4.0)</f>
        <v>-4</v>
      </c>
      <c r="BK299" s="16">
        <f>IFERROR(__xludf.DUMMYFUNCTION("""COMPUTED_VALUE"""),0.0)</f>
        <v>0</v>
      </c>
      <c r="BL299" s="16">
        <f>IFERROR(__xludf.DUMMYFUNCTION("""COMPUTED_VALUE"""),5.0)</f>
        <v>5</v>
      </c>
      <c r="BM299" s="16">
        <f>IFERROR(__xludf.DUMMYFUNCTION("""COMPUTED_VALUE"""),1.0)</f>
        <v>1</v>
      </c>
      <c r="BN299" s="16">
        <f>IFERROR(__xludf.DUMMYFUNCTION("""COMPUTED_VALUE"""),0.0)</f>
        <v>0</v>
      </c>
      <c r="BO299" s="16">
        <f>IFERROR(__xludf.DUMMYFUNCTION("""COMPUTED_VALUE"""),1.0)</f>
        <v>1</v>
      </c>
      <c r="BP299" s="16">
        <f>IFERROR(__xludf.DUMMYFUNCTION("""COMPUTED_VALUE"""),0.0)</f>
        <v>0</v>
      </c>
      <c r="BQ299" s="16">
        <f>IFERROR(__xludf.DUMMYFUNCTION("""COMPUTED_VALUE"""),0.0)</f>
        <v>0</v>
      </c>
      <c r="BR299" s="16">
        <f>IFERROR(__xludf.DUMMYFUNCTION("""COMPUTED_VALUE"""),0.0)</f>
        <v>0</v>
      </c>
      <c r="BS299" s="16">
        <f>IFERROR(__xludf.DUMMYFUNCTION("""COMPUTED_VALUE"""),-3.0)</f>
        <v>-3</v>
      </c>
      <c r="BT299" s="16">
        <f>IFERROR(__xludf.DUMMYFUNCTION("""COMPUTED_VALUE"""),-3.0)</f>
        <v>-3</v>
      </c>
      <c r="BU299" s="16">
        <f>IFERROR(__xludf.DUMMYFUNCTION("""COMPUTED_VALUE"""),-6.0)</f>
        <v>-6</v>
      </c>
      <c r="BV299" s="16">
        <f>IFERROR(__xludf.DUMMYFUNCTION("""COMPUTED_VALUE"""),-6.0)</f>
        <v>-6</v>
      </c>
      <c r="BW299" s="16">
        <f>IFERROR(__xludf.DUMMYFUNCTION("""COMPUTED_VALUE"""),2.0)</f>
        <v>2</v>
      </c>
      <c r="BX299" s="16">
        <f>IFERROR(__xludf.DUMMYFUNCTION("""COMPUTED_VALUE"""),2.0)</f>
        <v>2</v>
      </c>
      <c r="BY299" s="16" t="str">
        <f>IFERROR(__xludf.DUMMYFUNCTION("""COMPUTED_VALUE"""),"R(1)")</f>
        <v>R(1)</v>
      </c>
      <c r="BZ299" s="16" t="str">
        <f>IFERROR(__xludf.DUMMYFUNCTION("""COMPUTED_VALUE"""),"R(1)")</f>
        <v>R(1)</v>
      </c>
      <c r="CA299" s="16" t="str">
        <f>IFERROR(__xludf.DUMMYFUNCTION("""COMPUTED_VALUE"""),"R(1)")</f>
        <v>R(1)</v>
      </c>
      <c r="CB299" s="16"/>
      <c r="CC299" s="16"/>
      <c r="CD299" s="16"/>
      <c r="CE299" s="16">
        <f>IFERROR(__xludf.DUMMYFUNCTION("""COMPUTED_VALUE"""),1.0)</f>
        <v>1</v>
      </c>
      <c r="CF299" s="16"/>
      <c r="CG299" s="16" t="str">
        <f>IFERROR(__xludf.DUMMYFUNCTION("""COMPUTED_VALUE"""),"3-0")</f>
        <v>3-0</v>
      </c>
      <c r="CH299" s="16">
        <f>IFERROR(__xludf.DUMMYFUNCTION("""COMPUTED_VALUE"""),3.0)</f>
        <v>3</v>
      </c>
      <c r="CI299" s="16">
        <f>IFERROR(__xludf.DUMMYFUNCTION("""COMPUTED_VALUE"""),0.0)</f>
        <v>0</v>
      </c>
      <c r="CJ299" s="16">
        <f>IFERROR(__xludf.DUMMYFUNCTION("""COMPUTED_VALUE"""),0.0)</f>
        <v>0</v>
      </c>
      <c r="CK299" s="16">
        <f>IFERROR(__xludf.DUMMYFUNCTION("""COMPUTED_VALUE"""),4.0)</f>
        <v>4</v>
      </c>
      <c r="CL299" s="16" t="str">
        <f>IFERROR(__xludf.DUMMYFUNCTION("""COMPUTED_VALUE"""),"1WL-C")</f>
        <v>1WL-C</v>
      </c>
      <c r="CM299" s="16" t="str">
        <f>IFERROR(__xludf.DUMMYFUNCTION("""COMPUTED_VALUE"""),"E")</f>
        <v>E</v>
      </c>
      <c r="CN299" s="16">
        <f>IFERROR(__xludf.DUMMYFUNCTION("""COMPUTED_VALUE"""),10.0)</f>
        <v>10</v>
      </c>
      <c r="CO299" s="16" t="str">
        <f>IFERROR(__xludf.DUMMYFUNCTION("""COMPUTED_VALUE"""),"C")</f>
        <v>C</v>
      </c>
      <c r="CP299" s="16" t="str">
        <f>IFERROR(__xludf.DUMMYFUNCTION("""COMPUTED_VALUE"""),"3p40")</f>
        <v>3p40</v>
      </c>
      <c r="CQ299" s="16">
        <f>IFERROR(__xludf.DUMMYFUNCTION("""COMPUTED_VALUE"""),25.0)</f>
        <v>25</v>
      </c>
      <c r="CR299" s="16">
        <f>IFERROR(__xludf.DUMMYFUNCTION("""COMPUTED_VALUE"""),-18.0)</f>
        <v>-18</v>
      </c>
      <c r="CS299" s="16">
        <f>IFERROR(__xludf.DUMMYFUNCTION("""COMPUTED_VALUE"""),7.0)</f>
        <v>7</v>
      </c>
      <c r="CT299" s="16">
        <f>IFERROR(__xludf.DUMMYFUNCTION("""COMPUTED_VALUE"""),25.0)</f>
        <v>25</v>
      </c>
      <c r="CU299" s="16">
        <f>IFERROR(__xludf.DUMMYFUNCTION("""COMPUTED_VALUE"""),-18.0)</f>
        <v>-18</v>
      </c>
      <c r="CV299" s="179">
        <f>IFERROR(__xludf.DUMMYFUNCTION("""COMPUTED_VALUE"""),-0.6666666666666665)</f>
        <v>-0.6666666667</v>
      </c>
      <c r="CW299" s="179">
        <f>IFERROR(__xludf.DUMMYFUNCTION("""COMPUTED_VALUE"""),2.0)</f>
        <v>2</v>
      </c>
      <c r="CX299" s="179">
        <f>IFERROR(__xludf.DUMMYFUNCTION("""COMPUTED_VALUE"""),1.0)</f>
        <v>1</v>
      </c>
      <c r="CY299" s="16" t="str">
        <f>IFERROR(__xludf.DUMMYFUNCTION("""COMPUTED_VALUE"""),"RP")</f>
        <v>RP</v>
      </c>
      <c r="CZ299" s="16"/>
      <c r="DA299" s="16"/>
      <c r="DB299" s="16"/>
      <c r="DC299" s="16"/>
      <c r="DD299" s="16"/>
      <c r="DE299" s="16"/>
      <c r="DF299" s="16"/>
      <c r="DG299" s="16"/>
      <c r="DH299" s="16"/>
      <c r="DI299" s="16"/>
      <c r="DJ299" s="16"/>
      <c r="DK299" s="16"/>
    </row>
    <row r="300">
      <c r="A300" s="16">
        <f>IFERROR(__xludf.DUMMYFUNCTION("""COMPUTED_VALUE"""),12646.0)</f>
        <v>12646</v>
      </c>
      <c r="B300" s="16" t="str">
        <f>IFERROR(__xludf.DUMMYFUNCTION("""COMPUTED_VALUE"""),"Caleb Ferguson")</f>
        <v>Caleb Ferguson</v>
      </c>
      <c r="C300" s="153">
        <f>IFERROR(__xludf.DUMMYFUNCTION("""COMPUTED_VALUE"""),0.0)</f>
        <v>0</v>
      </c>
      <c r="D300" s="16"/>
      <c r="E300" s="16" t="str">
        <f>IFERROR(__xludf.DUMMYFUNCTION("""COMPUTED_VALUE"""),"L")</f>
        <v>L</v>
      </c>
      <c r="F300" s="16">
        <f>IFERROR(__xludf.DUMMYFUNCTION("""COMPUTED_VALUE"""),54.0)</f>
        <v>54</v>
      </c>
      <c r="G300" s="16">
        <f>IFERROR(__xludf.DUMMYFUNCTION("""COMPUTED_VALUE"""),25.0)</f>
        <v>25</v>
      </c>
      <c r="H300" s="16">
        <f>IFERROR(__xludf.DUMMYFUNCTION("""COMPUTED_VALUE"""),39.0)</f>
        <v>39</v>
      </c>
      <c r="I300" s="16">
        <f>IFERROR(__xludf.DUMMYFUNCTION("""COMPUTED_VALUE"""),0.0)</f>
        <v>0</v>
      </c>
      <c r="J300" s="16">
        <f>IFERROR(__xludf.DUMMYFUNCTION("""COMPUTED_VALUE"""),2.0)</f>
        <v>2</v>
      </c>
      <c r="K300" s="16">
        <f>IFERROR(__xludf.DUMMYFUNCTION("""COMPUTED_VALUE"""),0.0)</f>
        <v>0</v>
      </c>
      <c r="L300" s="16">
        <f>IFERROR(__xludf.DUMMYFUNCTION("""COMPUTED_VALUE"""),6.0)</f>
        <v>6</v>
      </c>
      <c r="M300" s="16">
        <f>IFERROR(__xludf.DUMMYFUNCTION("""COMPUTED_VALUE"""),25.0)</f>
        <v>25</v>
      </c>
      <c r="N300" s="16">
        <f>IFERROR(__xludf.DUMMYFUNCTION("""COMPUTED_VALUE"""),5.0)</f>
        <v>5</v>
      </c>
      <c r="O300" s="16">
        <f>IFERROR(__xludf.DUMMYFUNCTION("""COMPUTED_VALUE"""),-3.0)</f>
        <v>-3</v>
      </c>
      <c r="P300" s="16">
        <f>IFERROR(__xludf.DUMMYFUNCTION("""COMPUTED_VALUE"""),2.0)</f>
        <v>2</v>
      </c>
      <c r="Q300" s="16">
        <f>IFERROR(__xludf.DUMMYFUNCTION("""COMPUTED_VALUE"""),-3.0)</f>
        <v>-3</v>
      </c>
      <c r="R300" s="16">
        <f>IFERROR(__xludf.DUMMYFUNCTION("""COMPUTED_VALUE"""),2.0)</f>
        <v>2</v>
      </c>
      <c r="S300" s="16">
        <f>IFERROR(__xludf.DUMMYFUNCTION("""COMPUTED_VALUE"""),9.0)</f>
        <v>9</v>
      </c>
      <c r="T300" s="16">
        <f>IFERROR(__xludf.DUMMYFUNCTION("""COMPUTED_VALUE"""),24.3)</f>
        <v>24.3</v>
      </c>
      <c r="U300" s="16">
        <f>IFERROR(__xludf.DUMMYFUNCTION("""COMPUTED_VALUE"""),1.0)</f>
        <v>1</v>
      </c>
      <c r="V300" s="16">
        <f>IFERROR(__xludf.DUMMYFUNCTION("""COMPUTED_VALUE"""),-2.0)</f>
        <v>-2</v>
      </c>
      <c r="W300" s="16">
        <f>IFERROR(__xludf.DUMMYFUNCTION("""COMPUTED_VALUE"""),2.0)</f>
        <v>2</v>
      </c>
      <c r="X300" s="16">
        <f>IFERROR(__xludf.DUMMYFUNCTION("""COMPUTED_VALUE"""),-4.0)</f>
        <v>-4</v>
      </c>
      <c r="Y300" s="16">
        <f>IFERROR(__xludf.DUMMYFUNCTION("""COMPUTED_VALUE"""),34.0)</f>
        <v>34</v>
      </c>
      <c r="Z300" s="16">
        <f>IFERROR(__xludf.DUMMYFUNCTION("""COMPUTED_VALUE"""),29.3)</f>
        <v>29.3</v>
      </c>
      <c r="AA300" s="16">
        <f>IFERROR(__xludf.DUMMYFUNCTION("""COMPUTED_VALUE"""),-1.0)</f>
        <v>-1</v>
      </c>
      <c r="AB300" s="16">
        <f>IFERROR(__xludf.DUMMYFUNCTION("""COMPUTED_VALUE"""),-1.0)</f>
        <v>-1</v>
      </c>
      <c r="AC300" s="16">
        <f>IFERROR(__xludf.DUMMYFUNCTION("""COMPUTED_VALUE"""),-5.0)</f>
        <v>-5</v>
      </c>
      <c r="AD300" s="16">
        <f>IFERROR(__xludf.DUMMYFUNCTION("""COMPUTED_VALUE"""),-5.0)</f>
        <v>-5</v>
      </c>
      <c r="AE300" s="16">
        <f>IFERROR(__xludf.DUMMYFUNCTION("""COMPUTED_VALUE"""),12.6)</f>
        <v>12.6</v>
      </c>
      <c r="AF300" s="16">
        <f>IFERROR(__xludf.DUMMYFUNCTION("""COMPUTED_VALUE"""),37.4)</f>
        <v>37.4</v>
      </c>
      <c r="AG300" s="16">
        <f>IFERROR(__xludf.DUMMYFUNCTION("""COMPUTED_VALUE"""),2.0)</f>
        <v>2</v>
      </c>
      <c r="AH300" s="16">
        <f>IFERROR(__xludf.DUMMYFUNCTION("""COMPUTED_VALUE"""),-1.0)</f>
        <v>-1</v>
      </c>
      <c r="AI300" s="16">
        <f>IFERROR(__xludf.DUMMYFUNCTION("""COMPUTED_VALUE"""),4.0)</f>
        <v>4</v>
      </c>
      <c r="AJ300" s="16">
        <f>IFERROR(__xludf.DUMMYFUNCTION("""COMPUTED_VALUE"""),-2.0)</f>
        <v>-2</v>
      </c>
      <c r="AK300" s="16">
        <f>IFERROR(__xludf.DUMMYFUNCTION("""COMPUTED_VALUE"""),7.8)</f>
        <v>7.8</v>
      </c>
      <c r="AL300" s="16">
        <f>IFERROR(__xludf.DUMMYFUNCTION("""COMPUTED_VALUE"""),23.1)</f>
        <v>23.1</v>
      </c>
      <c r="AM300" s="16">
        <f>IFERROR(__xludf.DUMMYFUNCTION("""COMPUTED_VALUE"""),1.0)</f>
        <v>1</v>
      </c>
      <c r="AN300" s="16">
        <f>IFERROR(__xludf.DUMMYFUNCTION("""COMPUTED_VALUE"""),-2.0)</f>
        <v>-2</v>
      </c>
      <c r="AO300" s="16">
        <f>IFERROR(__xludf.DUMMYFUNCTION("""COMPUTED_VALUE"""),1.0)</f>
        <v>1</v>
      </c>
      <c r="AP300" s="16">
        <f>IFERROR(__xludf.DUMMYFUNCTION("""COMPUTED_VALUE"""),-2.0)</f>
        <v>-2</v>
      </c>
      <c r="AQ300" s="16">
        <f>IFERROR(__xludf.DUMMYFUNCTION("""COMPUTED_VALUE"""),7.8)</f>
        <v>7.8</v>
      </c>
      <c r="AR300" s="16">
        <f>IFERROR(__xludf.DUMMYFUNCTION("""COMPUTED_VALUE"""),32.6)</f>
        <v>32.6</v>
      </c>
      <c r="AS300" s="16">
        <f>IFERROR(__xludf.DUMMYFUNCTION("""COMPUTED_VALUE"""),1.0)</f>
        <v>1</v>
      </c>
      <c r="AT300" s="16">
        <f>IFERROR(__xludf.DUMMYFUNCTION("""COMPUTED_VALUE"""),-2.0)</f>
        <v>-2</v>
      </c>
      <c r="AU300" s="16">
        <f>IFERROR(__xludf.DUMMYFUNCTION("""COMPUTED_VALUE"""),2.0)</f>
        <v>2</v>
      </c>
      <c r="AV300" s="16">
        <f>IFERROR(__xludf.DUMMYFUNCTION("""COMPUTED_VALUE"""),-4.0)</f>
        <v>-4</v>
      </c>
      <c r="AW300" s="16">
        <f>IFERROR(__xludf.DUMMYFUNCTION("""COMPUTED_VALUE"""),1.2)</f>
        <v>1.2</v>
      </c>
      <c r="AX300" s="16">
        <f>IFERROR(__xludf.DUMMYFUNCTION("""COMPUTED_VALUE"""),1.2)</f>
        <v>1.2</v>
      </c>
      <c r="AY300" s="16">
        <f>IFERROR(__xludf.DUMMYFUNCTION("""COMPUTED_VALUE"""),1.0)</f>
        <v>1</v>
      </c>
      <c r="AZ300" s="16">
        <f>IFERROR(__xludf.DUMMYFUNCTION("""COMPUTED_VALUE"""),1.0)</f>
        <v>1</v>
      </c>
      <c r="BA300" s="16">
        <f>IFERROR(__xludf.DUMMYFUNCTION("""COMPUTED_VALUE"""),5.0)</f>
        <v>5</v>
      </c>
      <c r="BB300" s="16">
        <f>IFERROR(__xludf.DUMMYFUNCTION("""COMPUTED_VALUE"""),5.0)</f>
        <v>5</v>
      </c>
      <c r="BC300" s="16">
        <f>IFERROR(__xludf.DUMMYFUNCTION("""COMPUTED_VALUE"""),2.0)</f>
        <v>2</v>
      </c>
      <c r="BD300" s="16">
        <f>IFERROR(__xludf.DUMMYFUNCTION("""COMPUTED_VALUE"""),2.0)</f>
        <v>2</v>
      </c>
      <c r="BE300" s="16">
        <f>IFERROR(__xludf.DUMMYFUNCTION("""COMPUTED_VALUE"""),2.0)</f>
        <v>2</v>
      </c>
      <c r="BF300" s="16">
        <f>IFERROR(__xludf.DUMMYFUNCTION("""COMPUTED_VALUE"""),2.0)</f>
        <v>2</v>
      </c>
      <c r="BG300" s="16">
        <f>IFERROR(__xludf.DUMMYFUNCTION("""COMPUTED_VALUE"""),1.0)</f>
        <v>1</v>
      </c>
      <c r="BH300" s="16">
        <f>IFERROR(__xludf.DUMMYFUNCTION("""COMPUTED_VALUE"""),1.0)</f>
        <v>1</v>
      </c>
      <c r="BI300" s="16">
        <f>IFERROR(__xludf.DUMMYFUNCTION("""COMPUTED_VALUE"""),2.0)</f>
        <v>2</v>
      </c>
      <c r="BJ300" s="16">
        <f>IFERROR(__xludf.DUMMYFUNCTION("""COMPUTED_VALUE"""),2.0)</f>
        <v>2</v>
      </c>
      <c r="BK300" s="16">
        <f>IFERROR(__xludf.DUMMYFUNCTION("""COMPUTED_VALUE"""),5.0)</f>
        <v>5</v>
      </c>
      <c r="BL300" s="16">
        <f>IFERROR(__xludf.DUMMYFUNCTION("""COMPUTED_VALUE"""),5.0)</f>
        <v>5</v>
      </c>
      <c r="BM300" s="16">
        <f>IFERROR(__xludf.DUMMYFUNCTION("""COMPUTED_VALUE"""),0.0)</f>
        <v>0</v>
      </c>
      <c r="BN300" s="16">
        <f>IFERROR(__xludf.DUMMYFUNCTION("""COMPUTED_VALUE"""),0.0)</f>
        <v>0</v>
      </c>
      <c r="BO300" s="16">
        <f>IFERROR(__xludf.DUMMYFUNCTION("""COMPUTED_VALUE"""),0.0)</f>
        <v>0</v>
      </c>
      <c r="BP300" s="16">
        <f>IFERROR(__xludf.DUMMYFUNCTION("""COMPUTED_VALUE"""),0.0)</f>
        <v>0</v>
      </c>
      <c r="BQ300" s="16">
        <f>IFERROR(__xludf.DUMMYFUNCTION("""COMPUTED_VALUE"""),0.0)</f>
        <v>0</v>
      </c>
      <c r="BR300" s="16">
        <f>IFERROR(__xludf.DUMMYFUNCTION("""COMPUTED_VALUE"""),0.0)</f>
        <v>0</v>
      </c>
      <c r="BS300" s="16">
        <f>IFERROR(__xludf.DUMMYFUNCTION("""COMPUTED_VALUE"""),-3.0)</f>
        <v>-3</v>
      </c>
      <c r="BT300" s="16">
        <f>IFERROR(__xludf.DUMMYFUNCTION("""COMPUTED_VALUE"""),-3.0)</f>
        <v>-3</v>
      </c>
      <c r="BU300" s="16">
        <f>IFERROR(__xludf.DUMMYFUNCTION("""COMPUTED_VALUE"""),-6.0)</f>
        <v>-6</v>
      </c>
      <c r="BV300" s="16">
        <f>IFERROR(__xludf.DUMMYFUNCTION("""COMPUTED_VALUE"""),-6.0)</f>
        <v>-6</v>
      </c>
      <c r="BW300" s="16">
        <f>IFERROR(__xludf.DUMMYFUNCTION("""COMPUTED_VALUE"""),-4.0)</f>
        <v>-4</v>
      </c>
      <c r="BX300" s="16">
        <f>IFERROR(__xludf.DUMMYFUNCTION("""COMPUTED_VALUE"""),-4.0)</f>
        <v>-4</v>
      </c>
      <c r="BY300" s="16" t="str">
        <f>IFERROR(__xludf.DUMMYFUNCTION("""COMPUTED_VALUE"""),"R(1) C(0)")</f>
        <v>R(1) C(0)</v>
      </c>
      <c r="BZ300" s="16" t="str">
        <f>IFERROR(__xludf.DUMMYFUNCTION("""COMPUTED_VALUE"""),"R(1) C(0)")</f>
        <v>R(1) C(0)</v>
      </c>
      <c r="CA300" s="16" t="str">
        <f>IFERROR(__xludf.DUMMYFUNCTION("""COMPUTED_VALUE"""),"R(1)")</f>
        <v>R(1)</v>
      </c>
      <c r="CB300" s="16" t="str">
        <f>IFERROR(__xludf.DUMMYFUNCTION("""COMPUTED_VALUE"""),"C(0)")</f>
        <v>C(0)</v>
      </c>
      <c r="CC300" s="16"/>
      <c r="CD300" s="16"/>
      <c r="CE300" s="16">
        <f>IFERROR(__xludf.DUMMYFUNCTION("""COMPUTED_VALUE"""),1.0)</f>
        <v>1</v>
      </c>
      <c r="CF300" s="16">
        <f>IFERROR(__xludf.DUMMYFUNCTION("""COMPUTED_VALUE"""),0.0)</f>
        <v>0</v>
      </c>
      <c r="CG300" s="16" t="str">
        <f>IFERROR(__xludf.DUMMYFUNCTION("""COMPUTED_VALUE"""),"4-0")</f>
        <v>4-0</v>
      </c>
      <c r="CH300" s="16">
        <f>IFERROR(__xludf.DUMMYFUNCTION("""COMPUTED_VALUE"""),4.0)</f>
        <v>4</v>
      </c>
      <c r="CI300" s="16">
        <f>IFERROR(__xludf.DUMMYFUNCTION("""COMPUTED_VALUE"""),0.0)</f>
        <v>0</v>
      </c>
      <c r="CJ300" s="16">
        <f>IFERROR(__xludf.DUMMYFUNCTION("""COMPUTED_VALUE"""),0.0)</f>
        <v>0</v>
      </c>
      <c r="CK300" s="16">
        <f>IFERROR(__xludf.DUMMYFUNCTION("""COMPUTED_VALUE"""),11.0)</f>
        <v>11</v>
      </c>
      <c r="CL300" s="16" t="str">
        <f>IFERROR(__xludf.DUMMYFUNCTION("""COMPUTED_VALUE"""),"1WR-C")</f>
        <v>1WR-C</v>
      </c>
      <c r="CM300" s="16" t="str">
        <f>IFERROR(__xludf.DUMMYFUNCTION("""COMPUTED_VALUE"""),"E")</f>
        <v>E</v>
      </c>
      <c r="CN300" s="16">
        <f>IFERROR(__xludf.DUMMYFUNCTION("""COMPUTED_VALUE"""),10.0)</f>
        <v>10</v>
      </c>
      <c r="CO300" s="16" t="str">
        <f>IFERROR(__xludf.DUMMYFUNCTION("""COMPUTED_VALUE"""),"C")</f>
        <v>C</v>
      </c>
      <c r="CP300" s="16" t="str">
        <f>IFERROR(__xludf.DUMMYFUNCTION("""COMPUTED_VALUE"""),"1p50")</f>
        <v>1p50</v>
      </c>
      <c r="CQ300" s="16">
        <f>IFERROR(__xludf.DUMMYFUNCTION("""COMPUTED_VALUE"""),2.0)</f>
        <v>2</v>
      </c>
      <c r="CR300" s="16">
        <f>IFERROR(__xludf.DUMMYFUNCTION("""COMPUTED_VALUE"""),-8.0)</f>
        <v>-8</v>
      </c>
      <c r="CS300" s="16">
        <f>IFERROR(__xludf.DUMMYFUNCTION("""COMPUTED_VALUE"""),-6.0)</f>
        <v>-6</v>
      </c>
      <c r="CT300" s="16">
        <f>IFERROR(__xludf.DUMMYFUNCTION("""COMPUTED_VALUE"""),2.0)</f>
        <v>2</v>
      </c>
      <c r="CU300" s="16">
        <f>IFERROR(__xludf.DUMMYFUNCTION("""COMPUTED_VALUE"""),-8.0)</f>
        <v>-8</v>
      </c>
      <c r="CV300" s="179">
        <f>IFERROR(__xludf.DUMMYFUNCTION("""COMPUTED_VALUE"""),-0.666666666666667)</f>
        <v>-0.6666666667</v>
      </c>
      <c r="CW300" s="179">
        <f>IFERROR(__xludf.DUMMYFUNCTION("""COMPUTED_VALUE"""),4.0)</f>
        <v>4</v>
      </c>
      <c r="CX300" s="179">
        <f>IFERROR(__xludf.DUMMYFUNCTION("""COMPUTED_VALUE"""),0.0)</f>
        <v>0</v>
      </c>
      <c r="CY300" s="16" t="str">
        <f>IFERROR(__xludf.DUMMYFUNCTION("""COMPUTED_VALUE"""),"RP")</f>
        <v>RP</v>
      </c>
      <c r="CZ300" s="16" t="str">
        <f>IFERROR(__xludf.DUMMYFUNCTION("""COMPUTED_VALUE"""),"CP")</f>
        <v>CP</v>
      </c>
      <c r="DA300" s="16"/>
      <c r="DB300" s="16"/>
      <c r="DC300" s="16"/>
      <c r="DD300" s="16"/>
      <c r="DE300" s="16"/>
      <c r="DF300" s="16"/>
      <c r="DG300" s="16"/>
      <c r="DH300" s="16"/>
      <c r="DI300" s="16"/>
      <c r="DJ300" s="16"/>
      <c r="DK300" s="16"/>
    </row>
    <row r="301">
      <c r="A301" s="16">
        <f>IFERROR(__xludf.DUMMYFUNCTION("""COMPUTED_VALUE"""),12609.0)</f>
        <v>12609</v>
      </c>
      <c r="B301" s="16" t="str">
        <f>IFERROR(__xludf.DUMMYFUNCTION("""COMPUTED_VALUE"""),"Brennan Bernardino")</f>
        <v>Brennan Bernardino</v>
      </c>
      <c r="C301" s="153">
        <f>IFERROR(__xludf.DUMMYFUNCTION("""COMPUTED_VALUE"""),0.28)</f>
        <v>0.28</v>
      </c>
      <c r="D301" s="16"/>
      <c r="E301" s="16" t="str">
        <f>IFERROR(__xludf.DUMMYFUNCTION("""COMPUTED_VALUE"""),"L")</f>
        <v>L</v>
      </c>
      <c r="F301" s="16">
        <f>IFERROR(__xludf.DUMMYFUNCTION("""COMPUTED_VALUE"""),51.0)</f>
        <v>51</v>
      </c>
      <c r="G301" s="16">
        <f>IFERROR(__xludf.DUMMYFUNCTION("""COMPUTED_VALUE"""),36.0)</f>
        <v>36</v>
      </c>
      <c r="H301" s="16">
        <f>IFERROR(__xludf.DUMMYFUNCTION("""COMPUTED_VALUE"""),27.0)</f>
        <v>27</v>
      </c>
      <c r="I301" s="16">
        <f>IFERROR(__xludf.DUMMYFUNCTION("""COMPUTED_VALUE"""),1.0)</f>
        <v>1</v>
      </c>
      <c r="J301" s="16">
        <f>IFERROR(__xludf.DUMMYFUNCTION("""COMPUTED_VALUE"""),0.0)</f>
        <v>0</v>
      </c>
      <c r="K301" s="16">
        <f>IFERROR(__xludf.DUMMYFUNCTION("""COMPUTED_VALUE"""),3.0)</f>
        <v>3</v>
      </c>
      <c r="L301" s="16">
        <f>IFERROR(__xludf.DUMMYFUNCTION("""COMPUTED_VALUE"""),0.0)</f>
        <v>0</v>
      </c>
      <c r="M301" s="16">
        <f>IFERROR(__xludf.DUMMYFUNCTION("""COMPUTED_VALUE"""),5.0)</f>
        <v>5</v>
      </c>
      <c r="N301" s="16">
        <f>IFERROR(__xludf.DUMMYFUNCTION("""COMPUTED_VALUE"""),11.0)</f>
        <v>11</v>
      </c>
      <c r="O301" s="16">
        <f>IFERROR(__xludf.DUMMYFUNCTION("""COMPUTED_VALUE"""),2.0)</f>
        <v>2</v>
      </c>
      <c r="P301" s="16">
        <f>IFERROR(__xludf.DUMMYFUNCTION("""COMPUTED_VALUE"""),-1.0)</f>
        <v>-1</v>
      </c>
      <c r="Q301" s="16">
        <f>IFERROR(__xludf.DUMMYFUNCTION("""COMPUTED_VALUE"""),2.0)</f>
        <v>2</v>
      </c>
      <c r="R301" s="16">
        <f>IFERROR(__xludf.DUMMYFUNCTION("""COMPUTED_VALUE"""),-1.0)</f>
        <v>-1</v>
      </c>
      <c r="S301" s="16">
        <f>IFERROR(__xludf.DUMMYFUNCTION("""COMPUTED_VALUE"""),12.3)</f>
        <v>12.3</v>
      </c>
      <c r="T301" s="16">
        <f>IFERROR(__xludf.DUMMYFUNCTION("""COMPUTED_VALUE"""),22.5)</f>
        <v>22.5</v>
      </c>
      <c r="U301" s="16">
        <f>IFERROR(__xludf.DUMMYFUNCTION("""COMPUTED_VALUE"""),1.0)</f>
        <v>1</v>
      </c>
      <c r="V301" s="16">
        <f>IFERROR(__xludf.DUMMYFUNCTION("""COMPUTED_VALUE"""),-1.0)</f>
        <v>-1</v>
      </c>
      <c r="W301" s="16">
        <f>IFERROR(__xludf.DUMMYFUNCTION("""COMPUTED_VALUE"""),2.0)</f>
        <v>2</v>
      </c>
      <c r="X301" s="16">
        <f>IFERROR(__xludf.DUMMYFUNCTION("""COMPUTED_VALUE"""),-2.0)</f>
        <v>-2</v>
      </c>
      <c r="Y301" s="16">
        <f>IFERROR(__xludf.DUMMYFUNCTION("""COMPUTED_VALUE"""),17.3)</f>
        <v>17.3</v>
      </c>
      <c r="Z301" s="16">
        <f>IFERROR(__xludf.DUMMYFUNCTION("""COMPUTED_VALUE"""),33.5)</f>
        <v>33.5</v>
      </c>
      <c r="AA301" s="16">
        <f>IFERROR(__xludf.DUMMYFUNCTION("""COMPUTED_VALUE"""),1.0)</f>
        <v>1</v>
      </c>
      <c r="AB301" s="16">
        <f>IFERROR(__xludf.DUMMYFUNCTION("""COMPUTED_VALUE"""),-1.0)</f>
        <v>-1</v>
      </c>
      <c r="AC301" s="16">
        <f>IFERROR(__xludf.DUMMYFUNCTION("""COMPUTED_VALUE"""),5.0)</f>
        <v>5</v>
      </c>
      <c r="AD301" s="16">
        <f>IFERROR(__xludf.DUMMYFUNCTION("""COMPUTED_VALUE"""),-5.0)</f>
        <v>-5</v>
      </c>
      <c r="AE301" s="16">
        <f>IFERROR(__xludf.DUMMYFUNCTION("""COMPUTED_VALUE"""),30.7)</f>
        <v>30.7</v>
      </c>
      <c r="AF301" s="16">
        <f>IFERROR(__xludf.DUMMYFUNCTION("""COMPUTED_VALUE"""),28.6)</f>
        <v>28.6</v>
      </c>
      <c r="AG301" s="16">
        <f>IFERROR(__xludf.DUMMYFUNCTION("""COMPUTED_VALUE"""),0.0)</f>
        <v>0</v>
      </c>
      <c r="AH301" s="16">
        <f>IFERROR(__xludf.DUMMYFUNCTION("""COMPUTED_VALUE"""),0.0)</f>
        <v>0</v>
      </c>
      <c r="AI301" s="16">
        <f>IFERROR(__xludf.DUMMYFUNCTION("""COMPUTED_VALUE"""),0.0)</f>
        <v>0</v>
      </c>
      <c r="AJ301" s="16">
        <f>IFERROR(__xludf.DUMMYFUNCTION("""COMPUTED_VALUE"""),0.0)</f>
        <v>0</v>
      </c>
      <c r="AK301" s="16">
        <f>IFERROR(__xludf.DUMMYFUNCTION("""COMPUTED_VALUE"""),8.3)</f>
        <v>8.3</v>
      </c>
      <c r="AL301" s="16">
        <f>IFERROR(__xludf.DUMMYFUNCTION("""COMPUTED_VALUE"""),22.5)</f>
        <v>22.5</v>
      </c>
      <c r="AM301" s="16">
        <f>IFERROR(__xludf.DUMMYFUNCTION("""COMPUTED_VALUE"""),1.0)</f>
        <v>1</v>
      </c>
      <c r="AN301" s="16">
        <f>IFERROR(__xludf.DUMMYFUNCTION("""COMPUTED_VALUE"""),-2.0)</f>
        <v>-2</v>
      </c>
      <c r="AO301" s="16">
        <f>IFERROR(__xludf.DUMMYFUNCTION("""COMPUTED_VALUE"""),1.0)</f>
        <v>1</v>
      </c>
      <c r="AP301" s="16">
        <f>IFERROR(__xludf.DUMMYFUNCTION("""COMPUTED_VALUE"""),-2.0)</f>
        <v>-2</v>
      </c>
      <c r="AQ301" s="16">
        <f>IFERROR(__xludf.DUMMYFUNCTION("""COMPUTED_VALUE"""),14.7)</f>
        <v>14.7</v>
      </c>
      <c r="AR301" s="16">
        <f>IFERROR(__xludf.DUMMYFUNCTION("""COMPUTED_VALUE"""),28.6)</f>
        <v>28.6</v>
      </c>
      <c r="AS301" s="16">
        <f>IFERROR(__xludf.DUMMYFUNCTION("""COMPUTED_VALUE"""),1.0)</f>
        <v>1</v>
      </c>
      <c r="AT301" s="16">
        <f>IFERROR(__xludf.DUMMYFUNCTION("""COMPUTED_VALUE"""),-1.0)</f>
        <v>-1</v>
      </c>
      <c r="AU301" s="16">
        <f>IFERROR(__xludf.DUMMYFUNCTION("""COMPUTED_VALUE"""),2.0)</f>
        <v>2</v>
      </c>
      <c r="AV301" s="16">
        <f>IFERROR(__xludf.DUMMYFUNCTION("""COMPUTED_VALUE"""),-2.0)</f>
        <v>-2</v>
      </c>
      <c r="AW301" s="16">
        <f>IFERROR(__xludf.DUMMYFUNCTION("""COMPUTED_VALUE"""),4.0)</f>
        <v>4</v>
      </c>
      <c r="AX301" s="16">
        <f>IFERROR(__xludf.DUMMYFUNCTION("""COMPUTED_VALUE"""),0.0)</f>
        <v>0</v>
      </c>
      <c r="AY301" s="16">
        <f>IFERROR(__xludf.DUMMYFUNCTION("""COMPUTED_VALUE"""),-2.0)</f>
        <v>-2</v>
      </c>
      <c r="AZ301" s="16">
        <f>IFERROR(__xludf.DUMMYFUNCTION("""COMPUTED_VALUE"""),2.0)</f>
        <v>2</v>
      </c>
      <c r="BA301" s="16">
        <f>IFERROR(__xludf.DUMMYFUNCTION("""COMPUTED_VALUE"""),-10.0)</f>
        <v>-10</v>
      </c>
      <c r="BB301" s="16">
        <f>IFERROR(__xludf.DUMMYFUNCTION("""COMPUTED_VALUE"""),10.0)</f>
        <v>10</v>
      </c>
      <c r="BC301" s="16">
        <f>IFERROR(__xludf.DUMMYFUNCTION("""COMPUTED_VALUE"""),8.0)</f>
        <v>8</v>
      </c>
      <c r="BD301" s="16">
        <f>IFERROR(__xludf.DUMMYFUNCTION("""COMPUTED_VALUE"""),0.0)</f>
        <v>0</v>
      </c>
      <c r="BE301" s="16">
        <f>IFERROR(__xludf.DUMMYFUNCTION("""COMPUTED_VALUE"""),8.0)</f>
        <v>8</v>
      </c>
      <c r="BF301" s="16">
        <f>IFERROR(__xludf.DUMMYFUNCTION("""COMPUTED_VALUE"""),0.0)</f>
        <v>0</v>
      </c>
      <c r="BG301" s="16">
        <f>IFERROR(__xludf.DUMMYFUNCTION("""COMPUTED_VALUE"""),-3.0)</f>
        <v>-3</v>
      </c>
      <c r="BH301" s="16">
        <f>IFERROR(__xludf.DUMMYFUNCTION("""COMPUTED_VALUE"""),2.0)</f>
        <v>2</v>
      </c>
      <c r="BI301" s="16">
        <f>IFERROR(__xludf.DUMMYFUNCTION("""COMPUTED_VALUE"""),-6.0)</f>
        <v>-6</v>
      </c>
      <c r="BJ301" s="16">
        <f>IFERROR(__xludf.DUMMYFUNCTION("""COMPUTED_VALUE"""),4.0)</f>
        <v>4</v>
      </c>
      <c r="BK301" s="16">
        <f>IFERROR(__xludf.DUMMYFUNCTION("""COMPUTED_VALUE"""),5.0)</f>
        <v>5</v>
      </c>
      <c r="BL301" s="16">
        <f>IFERROR(__xludf.DUMMYFUNCTION("""COMPUTED_VALUE"""),5.0)</f>
        <v>5</v>
      </c>
      <c r="BM301" s="16">
        <f>IFERROR(__xludf.DUMMYFUNCTION("""COMPUTED_VALUE"""),0.0)</f>
        <v>0</v>
      </c>
      <c r="BN301" s="16">
        <f>IFERROR(__xludf.DUMMYFUNCTION("""COMPUTED_VALUE"""),0.0)</f>
        <v>0</v>
      </c>
      <c r="BO301" s="16">
        <f>IFERROR(__xludf.DUMMYFUNCTION("""COMPUTED_VALUE"""),0.0)</f>
        <v>0</v>
      </c>
      <c r="BP301" s="16">
        <f>IFERROR(__xludf.DUMMYFUNCTION("""COMPUTED_VALUE"""),0.0)</f>
        <v>0</v>
      </c>
      <c r="BQ301" s="16">
        <f>IFERROR(__xludf.DUMMYFUNCTION("""COMPUTED_VALUE"""),0.0)</f>
        <v>0</v>
      </c>
      <c r="BR301" s="16">
        <f>IFERROR(__xludf.DUMMYFUNCTION("""COMPUTED_VALUE"""),1.0)</f>
        <v>1</v>
      </c>
      <c r="BS301" s="16">
        <f>IFERROR(__xludf.DUMMYFUNCTION("""COMPUTED_VALUE"""),-3.0)</f>
        <v>-3</v>
      </c>
      <c r="BT301" s="16">
        <f>IFERROR(__xludf.DUMMYFUNCTION("""COMPUTED_VALUE"""),-2.0)</f>
        <v>-2</v>
      </c>
      <c r="BU301" s="16">
        <f>IFERROR(__xludf.DUMMYFUNCTION("""COMPUTED_VALUE"""),-6.0)</f>
        <v>-6</v>
      </c>
      <c r="BV301" s="16">
        <f>IFERROR(__xludf.DUMMYFUNCTION("""COMPUTED_VALUE"""),-4.0)</f>
        <v>-4</v>
      </c>
      <c r="BW301" s="16">
        <f>IFERROR(__xludf.DUMMYFUNCTION("""COMPUTED_VALUE"""),-3.0)</f>
        <v>-3</v>
      </c>
      <c r="BX301" s="16">
        <f>IFERROR(__xludf.DUMMYFUNCTION("""COMPUTED_VALUE"""),-3.0)</f>
        <v>-3</v>
      </c>
      <c r="BY301" s="16" t="str">
        <f>IFERROR(__xludf.DUMMYFUNCTION("""COMPUTED_VALUE"""),"S(1) R(1)")</f>
        <v>S(1) R(1)</v>
      </c>
      <c r="BZ301" s="16" t="str">
        <f>IFERROR(__xludf.DUMMYFUNCTION("""COMPUTED_VALUE"""),"S(1) R(1)")</f>
        <v>S(1) R(1)</v>
      </c>
      <c r="CA301" s="16" t="str">
        <f>IFERROR(__xludf.DUMMYFUNCTION("""COMPUTED_VALUE"""),"S(1)")</f>
        <v>S(1)</v>
      </c>
      <c r="CB301" s="16" t="str">
        <f>IFERROR(__xludf.DUMMYFUNCTION("""COMPUTED_VALUE"""),"R(1)")</f>
        <v>R(1)</v>
      </c>
      <c r="CC301" s="16"/>
      <c r="CD301" s="16">
        <f>IFERROR(__xludf.DUMMYFUNCTION("""COMPUTED_VALUE"""),1.0)</f>
        <v>1</v>
      </c>
      <c r="CE301" s="16">
        <f>IFERROR(__xludf.DUMMYFUNCTION("""COMPUTED_VALUE"""),1.0)</f>
        <v>1</v>
      </c>
      <c r="CF301" s="16"/>
      <c r="CG301" s="16" t="str">
        <f>IFERROR(__xludf.DUMMYFUNCTION("""COMPUTED_VALUE"""),"1-51")</f>
        <v>1-51</v>
      </c>
      <c r="CH301" s="16">
        <f>IFERROR(__xludf.DUMMYFUNCTION("""COMPUTED_VALUE"""),1.0)</f>
        <v>1</v>
      </c>
      <c r="CI301" s="16">
        <f>IFERROR(__xludf.DUMMYFUNCTION("""COMPUTED_VALUE"""),51.0)</f>
        <v>51</v>
      </c>
      <c r="CJ301" s="16">
        <f>IFERROR(__xludf.DUMMYFUNCTION("""COMPUTED_VALUE"""),0.0)</f>
        <v>0</v>
      </c>
      <c r="CK301" s="16">
        <f>IFERROR(__xludf.DUMMYFUNCTION("""COMPUTED_VALUE"""),20.0)</f>
        <v>20</v>
      </c>
      <c r="CL301" s="16" t="str">
        <f>IFERROR(__xludf.DUMMYFUNCTION("""COMPUTED_VALUE"""),"1WL-C")</f>
        <v>1WL-C</v>
      </c>
      <c r="CM301" s="16" t="str">
        <f>IFERROR(__xludf.DUMMYFUNCTION("""COMPUTED_VALUE"""),"E")</f>
        <v>E</v>
      </c>
      <c r="CN301" s="16">
        <f>IFERROR(__xludf.DUMMYFUNCTION("""COMPUTED_VALUE"""),10.0)</f>
        <v>10</v>
      </c>
      <c r="CO301" s="16" t="str">
        <f>IFERROR(__xludf.DUMMYFUNCTION("""COMPUTED_VALUE"""),"C")</f>
        <v>C</v>
      </c>
      <c r="CP301" s="16" t="str">
        <f>IFERROR(__xludf.DUMMYFUNCTION("""COMPUTED_VALUE"""),"2p40")</f>
        <v>2p40</v>
      </c>
      <c r="CQ301" s="16">
        <f>IFERROR(__xludf.DUMMYFUNCTION("""COMPUTED_VALUE"""),-7.0)</f>
        <v>-7</v>
      </c>
      <c r="CR301" s="16">
        <f>IFERROR(__xludf.DUMMYFUNCTION("""COMPUTED_VALUE"""),-2.0)</f>
        <v>-2</v>
      </c>
      <c r="CS301" s="16">
        <f>IFERROR(__xludf.DUMMYFUNCTION("""COMPUTED_VALUE"""),-9.0)</f>
        <v>-9</v>
      </c>
      <c r="CT301" s="16">
        <f>IFERROR(__xludf.DUMMYFUNCTION("""COMPUTED_VALUE"""),-7.0)</f>
        <v>-7</v>
      </c>
      <c r="CU301" s="16">
        <f>IFERROR(__xludf.DUMMYFUNCTION("""COMPUTED_VALUE"""),-2.0)</f>
        <v>-2</v>
      </c>
      <c r="CV301" s="179">
        <f>IFERROR(__xludf.DUMMYFUNCTION("""COMPUTED_VALUE"""),-1.333333333333333)</f>
        <v>-1.333333333</v>
      </c>
      <c r="CW301" s="179">
        <f>IFERROR(__xludf.DUMMYFUNCTION("""COMPUTED_VALUE"""),3.0)</f>
        <v>3</v>
      </c>
      <c r="CX301" s="179">
        <f>IFERROR(__xludf.DUMMYFUNCTION("""COMPUTED_VALUE"""),1.0)</f>
        <v>1</v>
      </c>
      <c r="CY301" s="16" t="str">
        <f>IFERROR(__xludf.DUMMYFUNCTION("""COMPUTED_VALUE"""),"SP")</f>
        <v>SP</v>
      </c>
      <c r="CZ301" s="16" t="str">
        <f>IFERROR(__xludf.DUMMYFUNCTION("""COMPUTED_VALUE"""),"RP")</f>
        <v>RP</v>
      </c>
      <c r="DA301" s="16"/>
      <c r="DB301" s="16"/>
      <c r="DC301" s="16"/>
      <c r="DD301" s="16"/>
      <c r="DE301" s="16"/>
      <c r="DF301" s="16"/>
      <c r="DG301" s="16"/>
      <c r="DH301" s="16"/>
      <c r="DI301" s="16"/>
      <c r="DJ301" s="16"/>
      <c r="DK301" s="16"/>
    </row>
    <row r="302">
      <c r="A302" s="16">
        <f>IFERROR(__xludf.DUMMYFUNCTION("""COMPUTED_VALUE"""),12667.0)</f>
        <v>12667</v>
      </c>
      <c r="B302" s="16" t="str">
        <f>IFERROR(__xludf.DUMMYFUNCTION("""COMPUTED_VALUE"""),"Chad Kuhl")</f>
        <v>Chad Kuhl</v>
      </c>
      <c r="C302" s="153">
        <f>IFERROR(__xludf.DUMMYFUNCTION("""COMPUTED_VALUE"""),0.16)</f>
        <v>0.16</v>
      </c>
      <c r="D302" s="16"/>
      <c r="E302" s="16" t="str">
        <f>IFERROR(__xludf.DUMMYFUNCTION("""COMPUTED_VALUE"""),"R")</f>
        <v>R</v>
      </c>
      <c r="F302" s="16">
        <f>IFERROR(__xludf.DUMMYFUNCTION("""COMPUTED_VALUE"""),53.0)</f>
        <v>53</v>
      </c>
      <c r="G302" s="16">
        <f>IFERROR(__xludf.DUMMYFUNCTION("""COMPUTED_VALUE"""),23.0)</f>
        <v>23</v>
      </c>
      <c r="H302" s="16">
        <f>IFERROR(__xludf.DUMMYFUNCTION("""COMPUTED_VALUE"""),29.0)</f>
        <v>29</v>
      </c>
      <c r="I302" s="16">
        <f>IFERROR(__xludf.DUMMYFUNCTION("""COMPUTED_VALUE"""),-1.0)</f>
        <v>-1</v>
      </c>
      <c r="J302" s="16">
        <f>IFERROR(__xludf.DUMMYFUNCTION("""COMPUTED_VALUE"""),0.0)</f>
        <v>0</v>
      </c>
      <c r="K302" s="16">
        <f>IFERROR(__xludf.DUMMYFUNCTION("""COMPUTED_VALUE"""),-3.0)</f>
        <v>-3</v>
      </c>
      <c r="L302" s="16">
        <f>IFERROR(__xludf.DUMMYFUNCTION("""COMPUTED_VALUE"""),0.0)</f>
        <v>0</v>
      </c>
      <c r="M302" s="16">
        <f>IFERROR(__xludf.DUMMYFUNCTION("""COMPUTED_VALUE"""),9.0)</f>
        <v>9</v>
      </c>
      <c r="N302" s="16">
        <f>IFERROR(__xludf.DUMMYFUNCTION("""COMPUTED_VALUE"""),19.0)</f>
        <v>19</v>
      </c>
      <c r="O302" s="16">
        <f>IFERROR(__xludf.DUMMYFUNCTION("""COMPUTED_VALUE"""),0.0)</f>
        <v>0</v>
      </c>
      <c r="P302" s="16">
        <f>IFERROR(__xludf.DUMMYFUNCTION("""COMPUTED_VALUE"""),-3.0)</f>
        <v>-3</v>
      </c>
      <c r="Q302" s="16">
        <f>IFERROR(__xludf.DUMMYFUNCTION("""COMPUTED_VALUE"""),0.0)</f>
        <v>0</v>
      </c>
      <c r="R302" s="16">
        <f>IFERROR(__xludf.DUMMYFUNCTION("""COMPUTED_VALUE"""),-3.0)</f>
        <v>-3</v>
      </c>
      <c r="S302" s="16">
        <f>IFERROR(__xludf.DUMMYFUNCTION("""COMPUTED_VALUE"""),27.7)</f>
        <v>27.7</v>
      </c>
      <c r="T302" s="16">
        <f>IFERROR(__xludf.DUMMYFUNCTION("""COMPUTED_VALUE"""),12.9)</f>
        <v>12.9</v>
      </c>
      <c r="U302" s="16">
        <f>IFERROR(__xludf.DUMMYFUNCTION("""COMPUTED_VALUE"""),-2.0)</f>
        <v>-2</v>
      </c>
      <c r="V302" s="16">
        <f>IFERROR(__xludf.DUMMYFUNCTION("""COMPUTED_VALUE"""),1.0)</f>
        <v>1</v>
      </c>
      <c r="W302" s="16">
        <f>IFERROR(__xludf.DUMMYFUNCTION("""COMPUTED_VALUE"""),-4.0)</f>
        <v>-4</v>
      </c>
      <c r="X302" s="16">
        <f>IFERROR(__xludf.DUMMYFUNCTION("""COMPUTED_VALUE"""),2.0)</f>
        <v>2</v>
      </c>
      <c r="Y302" s="16">
        <f>IFERROR(__xludf.DUMMYFUNCTION("""COMPUTED_VALUE"""),36.7)</f>
        <v>36.7</v>
      </c>
      <c r="Z302" s="16">
        <f>IFERROR(__xludf.DUMMYFUNCTION("""COMPUTED_VALUE"""),31.9)</f>
        <v>31.9</v>
      </c>
      <c r="AA302" s="16">
        <f>IFERROR(__xludf.DUMMYFUNCTION("""COMPUTED_VALUE"""),-2.0)</f>
        <v>-2</v>
      </c>
      <c r="AB302" s="16">
        <f>IFERROR(__xludf.DUMMYFUNCTION("""COMPUTED_VALUE"""),-1.0)</f>
        <v>-1</v>
      </c>
      <c r="AC302" s="16">
        <f>IFERROR(__xludf.DUMMYFUNCTION("""COMPUTED_VALUE"""),-10.0)</f>
        <v>-10</v>
      </c>
      <c r="AD302" s="16">
        <f>IFERROR(__xludf.DUMMYFUNCTION("""COMPUTED_VALUE"""),-5.0)</f>
        <v>-5</v>
      </c>
      <c r="AE302" s="16">
        <f>IFERROR(__xludf.DUMMYFUNCTION("""COMPUTED_VALUE"""),42.7)</f>
        <v>42.7</v>
      </c>
      <c r="AF302" s="16">
        <f>IFERROR(__xludf.DUMMYFUNCTION("""COMPUTED_VALUE"""),17.6)</f>
        <v>17.6</v>
      </c>
      <c r="AG302" s="16">
        <f>IFERROR(__xludf.DUMMYFUNCTION("""COMPUTED_VALUE"""),-1.0)</f>
        <v>-1</v>
      </c>
      <c r="AH302" s="16">
        <f>IFERROR(__xludf.DUMMYFUNCTION("""COMPUTED_VALUE"""),1.0)</f>
        <v>1</v>
      </c>
      <c r="AI302" s="16">
        <f>IFERROR(__xludf.DUMMYFUNCTION("""COMPUTED_VALUE"""),-2.0)</f>
        <v>-2</v>
      </c>
      <c r="AJ302" s="16">
        <f>IFERROR(__xludf.DUMMYFUNCTION("""COMPUTED_VALUE"""),2.0)</f>
        <v>2</v>
      </c>
      <c r="AK302" s="16">
        <f>IFERROR(__xludf.DUMMYFUNCTION("""COMPUTED_VALUE"""),26.5)</f>
        <v>26.5</v>
      </c>
      <c r="AL302" s="16">
        <f>IFERROR(__xludf.DUMMYFUNCTION("""COMPUTED_VALUE"""),12.3)</f>
        <v>12.3</v>
      </c>
      <c r="AM302" s="16">
        <f>IFERROR(__xludf.DUMMYFUNCTION("""COMPUTED_VALUE"""),-2.0)</f>
        <v>-2</v>
      </c>
      <c r="AN302" s="16">
        <f>IFERROR(__xludf.DUMMYFUNCTION("""COMPUTED_VALUE"""),0.0)</f>
        <v>0</v>
      </c>
      <c r="AO302" s="16">
        <f>IFERROR(__xludf.DUMMYFUNCTION("""COMPUTED_VALUE"""),-2.0)</f>
        <v>-2</v>
      </c>
      <c r="AP302" s="16">
        <f>IFERROR(__xludf.DUMMYFUNCTION("""COMPUTED_VALUE"""),0.0)</f>
        <v>0</v>
      </c>
      <c r="AQ302" s="16">
        <f>IFERROR(__xludf.DUMMYFUNCTION("""COMPUTED_VALUE"""),37.900000000000006)</f>
        <v>37.9</v>
      </c>
      <c r="AR302" s="16">
        <f>IFERROR(__xludf.DUMMYFUNCTION("""COMPUTED_VALUE"""),15.200000000000001)</f>
        <v>15.2</v>
      </c>
      <c r="AS302" s="16">
        <f>IFERROR(__xludf.DUMMYFUNCTION("""COMPUTED_VALUE"""),-2.0)</f>
        <v>-2</v>
      </c>
      <c r="AT302" s="16">
        <f>IFERROR(__xludf.DUMMYFUNCTION("""COMPUTED_VALUE"""),1.0)</f>
        <v>1</v>
      </c>
      <c r="AU302" s="16">
        <f>IFERROR(__xludf.DUMMYFUNCTION("""COMPUTED_VALUE"""),-4.0)</f>
        <v>-4</v>
      </c>
      <c r="AV302" s="16">
        <f>IFERROR(__xludf.DUMMYFUNCTION("""COMPUTED_VALUE"""),2.0)</f>
        <v>2</v>
      </c>
      <c r="AW302" s="16">
        <f>IFERROR(__xludf.DUMMYFUNCTION("""COMPUTED_VALUE"""),1.2)</f>
        <v>1.2</v>
      </c>
      <c r="AX302" s="16">
        <f>IFERROR(__xludf.DUMMYFUNCTION("""COMPUTED_VALUE"""),0.6)</f>
        <v>0.6</v>
      </c>
      <c r="AY302" s="16">
        <f>IFERROR(__xludf.DUMMYFUNCTION("""COMPUTED_VALUE"""),1.0)</f>
        <v>1</v>
      </c>
      <c r="AZ302" s="16">
        <f>IFERROR(__xludf.DUMMYFUNCTION("""COMPUTED_VALUE"""),2.0)</f>
        <v>2</v>
      </c>
      <c r="BA302" s="16">
        <f>IFERROR(__xludf.DUMMYFUNCTION("""COMPUTED_VALUE"""),5.0)</f>
        <v>5</v>
      </c>
      <c r="BB302" s="16">
        <f>IFERROR(__xludf.DUMMYFUNCTION("""COMPUTED_VALUE"""),10.0)</f>
        <v>10</v>
      </c>
      <c r="BC302" s="16">
        <f>IFERROR(__xludf.DUMMYFUNCTION("""COMPUTED_VALUE"""),2.0)</f>
        <v>2</v>
      </c>
      <c r="BD302" s="16">
        <f>IFERROR(__xludf.DUMMYFUNCTION("""COMPUTED_VALUE"""),0.0)</f>
        <v>0</v>
      </c>
      <c r="BE302" s="16">
        <f>IFERROR(__xludf.DUMMYFUNCTION("""COMPUTED_VALUE"""),2.0)</f>
        <v>2</v>
      </c>
      <c r="BF302" s="16">
        <f>IFERROR(__xludf.DUMMYFUNCTION("""COMPUTED_VALUE"""),0.0)</f>
        <v>0</v>
      </c>
      <c r="BG302" s="16">
        <f>IFERROR(__xludf.DUMMYFUNCTION("""COMPUTED_VALUE"""),1.0)</f>
        <v>1</v>
      </c>
      <c r="BH302" s="16">
        <f>IFERROR(__xludf.DUMMYFUNCTION("""COMPUTED_VALUE"""),2.0)</f>
        <v>2</v>
      </c>
      <c r="BI302" s="16">
        <f>IFERROR(__xludf.DUMMYFUNCTION("""COMPUTED_VALUE"""),2.0)</f>
        <v>2</v>
      </c>
      <c r="BJ302" s="16">
        <f>IFERROR(__xludf.DUMMYFUNCTION("""COMPUTED_VALUE"""),4.0)</f>
        <v>4</v>
      </c>
      <c r="BK302" s="16">
        <f>IFERROR(__xludf.DUMMYFUNCTION("""COMPUTED_VALUE"""),5.0)</f>
        <v>5</v>
      </c>
      <c r="BL302" s="16">
        <f>IFERROR(__xludf.DUMMYFUNCTION("""COMPUTED_VALUE"""),5.0)</f>
        <v>5</v>
      </c>
      <c r="BM302" s="16">
        <f>IFERROR(__xludf.DUMMYFUNCTION("""COMPUTED_VALUE"""),0.0)</f>
        <v>0</v>
      </c>
      <c r="BN302" s="16">
        <f>IFERROR(__xludf.DUMMYFUNCTION("""COMPUTED_VALUE"""),0.0)</f>
        <v>0</v>
      </c>
      <c r="BO302" s="16">
        <f>IFERROR(__xludf.DUMMYFUNCTION("""COMPUTED_VALUE"""),0.0)</f>
        <v>0</v>
      </c>
      <c r="BP302" s="16">
        <f>IFERROR(__xludf.DUMMYFUNCTION("""COMPUTED_VALUE"""),0.0)</f>
        <v>0</v>
      </c>
      <c r="BQ302" s="16">
        <f>IFERROR(__xludf.DUMMYFUNCTION("""COMPUTED_VALUE"""),6.0)</f>
        <v>6</v>
      </c>
      <c r="BR302" s="16">
        <f>IFERROR(__xludf.DUMMYFUNCTION("""COMPUTED_VALUE"""),4.0)</f>
        <v>4</v>
      </c>
      <c r="BS302" s="16">
        <f>IFERROR(__xludf.DUMMYFUNCTION("""COMPUTED_VALUE"""),1.0)</f>
        <v>1</v>
      </c>
      <c r="BT302" s="16">
        <f>IFERROR(__xludf.DUMMYFUNCTION("""COMPUTED_VALUE"""),-1.0)</f>
        <v>-1</v>
      </c>
      <c r="BU302" s="16">
        <f>IFERROR(__xludf.DUMMYFUNCTION("""COMPUTED_VALUE"""),2.0)</f>
        <v>2</v>
      </c>
      <c r="BV302" s="16">
        <f>IFERROR(__xludf.DUMMYFUNCTION("""COMPUTED_VALUE"""),-2.0)</f>
        <v>-2</v>
      </c>
      <c r="BW302" s="16">
        <f>IFERROR(__xludf.DUMMYFUNCTION("""COMPUTED_VALUE"""),-4.0)</f>
        <v>-4</v>
      </c>
      <c r="BX302" s="16">
        <f>IFERROR(__xludf.DUMMYFUNCTION("""COMPUTED_VALUE"""),-4.0)</f>
        <v>-4</v>
      </c>
      <c r="BY302" s="16" t="str">
        <f>IFERROR(__xludf.DUMMYFUNCTION("""COMPUTED_VALUE"""),"S(4) R(3) C(0)")</f>
        <v>S(4) R(3) C(0)</v>
      </c>
      <c r="BZ302" s="16" t="str">
        <f>IFERROR(__xludf.DUMMYFUNCTION("""COMPUTED_VALUE"""),"S(4) R(3) C(0)")</f>
        <v>S(4) R(3) C(0)</v>
      </c>
      <c r="CA302" s="16" t="str">
        <f>IFERROR(__xludf.DUMMYFUNCTION("""COMPUTED_VALUE"""),"S(4)")</f>
        <v>S(4)</v>
      </c>
      <c r="CB302" s="16" t="str">
        <f>IFERROR(__xludf.DUMMYFUNCTION("""COMPUTED_VALUE"""),"R(3)")</f>
        <v>R(3)</v>
      </c>
      <c r="CC302" s="16" t="str">
        <f>IFERROR(__xludf.DUMMYFUNCTION("""COMPUTED_VALUE"""),"C(0)")</f>
        <v>C(0)</v>
      </c>
      <c r="CD302" s="16">
        <f>IFERROR(__xludf.DUMMYFUNCTION("""COMPUTED_VALUE"""),4.0)</f>
        <v>4</v>
      </c>
      <c r="CE302" s="16">
        <f>IFERROR(__xludf.DUMMYFUNCTION("""COMPUTED_VALUE"""),3.0)</f>
        <v>3</v>
      </c>
      <c r="CF302" s="16">
        <f>IFERROR(__xludf.DUMMYFUNCTION("""COMPUTED_VALUE"""),0.0)</f>
        <v>0</v>
      </c>
      <c r="CG302" s="16" t="str">
        <f>IFERROR(__xludf.DUMMYFUNCTION("""COMPUTED_VALUE"""),"2-0")</f>
        <v>2-0</v>
      </c>
      <c r="CH302" s="16">
        <f>IFERROR(__xludf.DUMMYFUNCTION("""COMPUTED_VALUE"""),2.0)</f>
        <v>2</v>
      </c>
      <c r="CI302" s="16">
        <f>IFERROR(__xludf.DUMMYFUNCTION("""COMPUTED_VALUE"""),0.0)</f>
        <v>0</v>
      </c>
      <c r="CJ302" s="16">
        <f>IFERROR(__xludf.DUMMYFUNCTION("""COMPUTED_VALUE"""),0.0)</f>
        <v>0</v>
      </c>
      <c r="CK302" s="16">
        <f>IFERROR(__xludf.DUMMYFUNCTION("""COMPUTED_VALUE"""),20.0)</f>
        <v>20</v>
      </c>
      <c r="CL302" s="16" t="str">
        <f>IFERROR(__xludf.DUMMYFUNCTION("""COMPUTED_VALUE"""),"1WR-C")</f>
        <v>1WR-C</v>
      </c>
      <c r="CM302" s="16" t="str">
        <f>IFERROR(__xludf.DUMMYFUNCTION("""COMPUTED_VALUE"""),"E")</f>
        <v>E</v>
      </c>
      <c r="CN302" s="16">
        <f>IFERROR(__xludf.DUMMYFUNCTION("""COMPUTED_VALUE"""),10.0)</f>
        <v>10</v>
      </c>
      <c r="CO302" s="16" t="str">
        <f>IFERROR(__xludf.DUMMYFUNCTION("""COMPUTED_VALUE"""),"C")</f>
        <v>C</v>
      </c>
      <c r="CP302" s="16" t="str">
        <f>IFERROR(__xludf.DUMMYFUNCTION("""COMPUTED_VALUE"""),"1p30")</f>
        <v>1p30</v>
      </c>
      <c r="CQ302" s="16">
        <f>IFERROR(__xludf.DUMMYFUNCTION("""COMPUTED_VALUE"""),-16.0)</f>
        <v>-16</v>
      </c>
      <c r="CR302" s="16">
        <f>IFERROR(__xludf.DUMMYFUNCTION("""COMPUTED_VALUE"""),10.0)</f>
        <v>10</v>
      </c>
      <c r="CS302" s="16">
        <f>IFERROR(__xludf.DUMMYFUNCTION("""COMPUTED_VALUE"""),-6.0)</f>
        <v>-6</v>
      </c>
      <c r="CT302" s="16">
        <f>IFERROR(__xludf.DUMMYFUNCTION("""COMPUTED_VALUE"""),-16.0)</f>
        <v>-16</v>
      </c>
      <c r="CU302" s="16">
        <f>IFERROR(__xludf.DUMMYFUNCTION("""COMPUTED_VALUE"""),10.0)</f>
        <v>10</v>
      </c>
      <c r="CV302" s="179">
        <f>IFERROR(__xludf.DUMMYFUNCTION("""COMPUTED_VALUE"""),-1.333333333333333)</f>
        <v>-1.333333333</v>
      </c>
      <c r="CW302" s="179">
        <f>IFERROR(__xludf.DUMMYFUNCTION("""COMPUTED_VALUE"""),4.0)</f>
        <v>4</v>
      </c>
      <c r="CX302" s="179">
        <f>IFERROR(__xludf.DUMMYFUNCTION("""COMPUTED_VALUE"""),2.0)</f>
        <v>2</v>
      </c>
      <c r="CY302" s="16" t="str">
        <f>IFERROR(__xludf.DUMMYFUNCTION("""COMPUTED_VALUE"""),"SP")</f>
        <v>SP</v>
      </c>
      <c r="CZ302" s="16" t="str">
        <f>IFERROR(__xludf.DUMMYFUNCTION("""COMPUTED_VALUE"""),"RP")</f>
        <v>RP</v>
      </c>
      <c r="DA302" s="16" t="str">
        <f>IFERROR(__xludf.DUMMYFUNCTION("""COMPUTED_VALUE"""),"CP")</f>
        <v>CP</v>
      </c>
      <c r="DB302" s="16"/>
      <c r="DC302" s="16"/>
      <c r="DD302" s="16"/>
      <c r="DE302" s="16"/>
      <c r="DF302" s="16"/>
      <c r="DG302" s="16"/>
      <c r="DH302" s="16"/>
      <c r="DI302" s="16"/>
      <c r="DJ302" s="16"/>
      <c r="DK302" s="16"/>
    </row>
    <row r="303">
      <c r="A303" s="16">
        <f>IFERROR(__xludf.DUMMYFUNCTION("""COMPUTED_VALUE"""),13100.0)</f>
        <v>13100</v>
      </c>
      <c r="B303" s="16" t="str">
        <f>IFERROR(__xludf.DUMMYFUNCTION("""COMPUTED_VALUE"""),"Kyle Muller")</f>
        <v>Kyle Muller</v>
      </c>
      <c r="C303" s="153">
        <f>IFERROR(__xludf.DUMMYFUNCTION("""COMPUTED_VALUE"""),0.58)</f>
        <v>0.58</v>
      </c>
      <c r="D303" s="16"/>
      <c r="E303" s="16" t="str">
        <f>IFERROR(__xludf.DUMMYFUNCTION("""COMPUTED_VALUE"""),"L")</f>
        <v>L</v>
      </c>
      <c r="F303" s="16">
        <f>IFERROR(__xludf.DUMMYFUNCTION("""COMPUTED_VALUE"""),49.0)</f>
        <v>49</v>
      </c>
      <c r="G303" s="16">
        <f>IFERROR(__xludf.DUMMYFUNCTION("""COMPUTED_VALUE"""),16.0)</f>
        <v>16</v>
      </c>
      <c r="H303" s="16">
        <f>IFERROR(__xludf.DUMMYFUNCTION("""COMPUTED_VALUE"""),13.0)</f>
        <v>13</v>
      </c>
      <c r="I303" s="16">
        <f>IFERROR(__xludf.DUMMYFUNCTION("""COMPUTED_VALUE"""),-2.0)</f>
        <v>-2</v>
      </c>
      <c r="J303" s="16">
        <f>IFERROR(__xludf.DUMMYFUNCTION("""COMPUTED_VALUE"""),-2.0)</f>
        <v>-2</v>
      </c>
      <c r="K303" s="16">
        <f>IFERROR(__xludf.DUMMYFUNCTION("""COMPUTED_VALUE"""),-6.0)</f>
        <v>-6</v>
      </c>
      <c r="L303" s="16">
        <f>IFERROR(__xludf.DUMMYFUNCTION("""COMPUTED_VALUE"""),-6.0)</f>
        <v>-6</v>
      </c>
      <c r="M303" s="16">
        <f>IFERROR(__xludf.DUMMYFUNCTION("""COMPUTED_VALUE"""),0.0)</f>
        <v>0</v>
      </c>
      <c r="N303" s="16">
        <f>IFERROR(__xludf.DUMMYFUNCTION("""COMPUTED_VALUE"""),0.0)</f>
        <v>0</v>
      </c>
      <c r="O303" s="16">
        <f>IFERROR(__xludf.DUMMYFUNCTION("""COMPUTED_VALUE"""),3.0)</f>
        <v>3</v>
      </c>
      <c r="P303" s="16">
        <f>IFERROR(__xludf.DUMMYFUNCTION("""COMPUTED_VALUE"""),3.0)</f>
        <v>3</v>
      </c>
      <c r="Q303" s="16">
        <f>IFERROR(__xludf.DUMMYFUNCTION("""COMPUTED_VALUE"""),3.0)</f>
        <v>3</v>
      </c>
      <c r="R303" s="16">
        <f>IFERROR(__xludf.DUMMYFUNCTION("""COMPUTED_VALUE"""),3.0)</f>
        <v>3</v>
      </c>
      <c r="S303" s="16">
        <f>IFERROR(__xludf.DUMMYFUNCTION("""COMPUTED_VALUE"""),19.9)</f>
        <v>19.9</v>
      </c>
      <c r="T303" s="16">
        <f>IFERROR(__xludf.DUMMYFUNCTION("""COMPUTED_VALUE"""),18.8)</f>
        <v>18.8</v>
      </c>
      <c r="U303" s="16">
        <f>IFERROR(__xludf.DUMMYFUNCTION("""COMPUTED_VALUE"""),-1.0)</f>
        <v>-1</v>
      </c>
      <c r="V303" s="16">
        <f>IFERROR(__xludf.DUMMYFUNCTION("""COMPUTED_VALUE"""),-1.0)</f>
        <v>-1</v>
      </c>
      <c r="W303" s="16">
        <f>IFERROR(__xludf.DUMMYFUNCTION("""COMPUTED_VALUE"""),-2.0)</f>
        <v>-2</v>
      </c>
      <c r="X303" s="16">
        <f>IFERROR(__xludf.DUMMYFUNCTION("""COMPUTED_VALUE"""),-2.0)</f>
        <v>-2</v>
      </c>
      <c r="Y303" s="16">
        <f>IFERROR(__xludf.DUMMYFUNCTION("""COMPUTED_VALUE"""),19.9)</f>
        <v>19.9</v>
      </c>
      <c r="Z303" s="16">
        <f>IFERROR(__xludf.DUMMYFUNCTION("""COMPUTED_VALUE"""),18.8)</f>
        <v>18.8</v>
      </c>
      <c r="AA303" s="16">
        <f>IFERROR(__xludf.DUMMYFUNCTION("""COMPUTED_VALUE"""),1.0)</f>
        <v>1</v>
      </c>
      <c r="AB303" s="16">
        <f>IFERROR(__xludf.DUMMYFUNCTION("""COMPUTED_VALUE"""),1.0)</f>
        <v>1</v>
      </c>
      <c r="AC303" s="16">
        <f>IFERROR(__xludf.DUMMYFUNCTION("""COMPUTED_VALUE"""),5.0)</f>
        <v>5</v>
      </c>
      <c r="AD303" s="16">
        <f>IFERROR(__xludf.DUMMYFUNCTION("""COMPUTED_VALUE"""),5.0)</f>
        <v>5</v>
      </c>
      <c r="AE303" s="16">
        <f>IFERROR(__xludf.DUMMYFUNCTION("""COMPUTED_VALUE"""),47.3)</f>
        <v>47.3</v>
      </c>
      <c r="AF303" s="16">
        <f>IFERROR(__xludf.DUMMYFUNCTION("""COMPUTED_VALUE"""),23.3)</f>
        <v>23.3</v>
      </c>
      <c r="AG303" s="16">
        <f>IFERROR(__xludf.DUMMYFUNCTION("""COMPUTED_VALUE"""),-2.0)</f>
        <v>-2</v>
      </c>
      <c r="AH303" s="16">
        <f>IFERROR(__xludf.DUMMYFUNCTION("""COMPUTED_VALUE"""),1.0)</f>
        <v>1</v>
      </c>
      <c r="AI303" s="16">
        <f>IFERROR(__xludf.DUMMYFUNCTION("""COMPUTED_VALUE"""),-4.0)</f>
        <v>-4</v>
      </c>
      <c r="AJ303" s="16">
        <f>IFERROR(__xludf.DUMMYFUNCTION("""COMPUTED_VALUE"""),2.0)</f>
        <v>2</v>
      </c>
      <c r="AK303" s="16">
        <f>IFERROR(__xludf.DUMMYFUNCTION("""COMPUTED_VALUE"""),13.899999999999999)</f>
        <v>13.9</v>
      </c>
      <c r="AL303" s="16">
        <f>IFERROR(__xludf.DUMMYFUNCTION("""COMPUTED_VALUE"""),18.7)</f>
        <v>18.7</v>
      </c>
      <c r="AM303" s="16">
        <f>IFERROR(__xludf.DUMMYFUNCTION("""COMPUTED_VALUE"""),0.0)</f>
        <v>0</v>
      </c>
      <c r="AN303" s="16">
        <f>IFERROR(__xludf.DUMMYFUNCTION("""COMPUTED_VALUE"""),-1.0)</f>
        <v>-1</v>
      </c>
      <c r="AO303" s="16">
        <f>IFERROR(__xludf.DUMMYFUNCTION("""COMPUTED_VALUE"""),0.0)</f>
        <v>0</v>
      </c>
      <c r="AP303" s="16">
        <f>IFERROR(__xludf.DUMMYFUNCTION("""COMPUTED_VALUE"""),-1.0)</f>
        <v>-1</v>
      </c>
      <c r="AQ303" s="16">
        <f>IFERROR(__xludf.DUMMYFUNCTION("""COMPUTED_VALUE"""),23.299999999999997)</f>
        <v>23.3</v>
      </c>
      <c r="AR303" s="16">
        <f>IFERROR(__xludf.DUMMYFUNCTION("""COMPUTED_VALUE"""),22.900000000000002)</f>
        <v>22.9</v>
      </c>
      <c r="AS303" s="16">
        <f>IFERROR(__xludf.DUMMYFUNCTION("""COMPUTED_VALUE"""),0.0)</f>
        <v>0</v>
      </c>
      <c r="AT303" s="16">
        <f>IFERROR(__xludf.DUMMYFUNCTION("""COMPUTED_VALUE"""),0.0)</f>
        <v>0</v>
      </c>
      <c r="AU303" s="16">
        <f>IFERROR(__xludf.DUMMYFUNCTION("""COMPUTED_VALUE"""),0.0)</f>
        <v>0</v>
      </c>
      <c r="AV303" s="16">
        <f>IFERROR(__xludf.DUMMYFUNCTION("""COMPUTED_VALUE"""),0.0)</f>
        <v>0</v>
      </c>
      <c r="AW303" s="16">
        <f>IFERROR(__xludf.DUMMYFUNCTION("""COMPUTED_VALUE"""),6.0)</f>
        <v>6</v>
      </c>
      <c r="AX303" s="16">
        <f>IFERROR(__xludf.DUMMYFUNCTION("""COMPUTED_VALUE"""),0.1)</f>
        <v>0.1</v>
      </c>
      <c r="AY303" s="16">
        <f>IFERROR(__xludf.DUMMYFUNCTION("""COMPUTED_VALUE"""),-3.0)</f>
        <v>-3</v>
      </c>
      <c r="AZ303" s="16">
        <f>IFERROR(__xludf.DUMMYFUNCTION("""COMPUTED_VALUE"""),2.0)</f>
        <v>2</v>
      </c>
      <c r="BA303" s="16">
        <f>IFERROR(__xludf.DUMMYFUNCTION("""COMPUTED_VALUE"""),-15.0)</f>
        <v>-15</v>
      </c>
      <c r="BB303" s="16">
        <f>IFERROR(__xludf.DUMMYFUNCTION("""COMPUTED_VALUE"""),10.0)</f>
        <v>10</v>
      </c>
      <c r="BC303" s="16">
        <f>IFERROR(__xludf.DUMMYFUNCTION("""COMPUTED_VALUE"""),8.0)</f>
        <v>8</v>
      </c>
      <c r="BD303" s="16">
        <f>IFERROR(__xludf.DUMMYFUNCTION("""COMPUTED_VALUE"""),1.0)</f>
        <v>1</v>
      </c>
      <c r="BE303" s="16">
        <f>IFERROR(__xludf.DUMMYFUNCTION("""COMPUTED_VALUE"""),8.0)</f>
        <v>8</v>
      </c>
      <c r="BF303" s="16">
        <f>IFERROR(__xludf.DUMMYFUNCTION("""COMPUTED_VALUE"""),1.0)</f>
        <v>1</v>
      </c>
      <c r="BG303" s="16">
        <f>IFERROR(__xludf.DUMMYFUNCTION("""COMPUTED_VALUE"""),-3.0)</f>
        <v>-3</v>
      </c>
      <c r="BH303" s="16">
        <f>IFERROR(__xludf.DUMMYFUNCTION("""COMPUTED_VALUE"""),2.0)</f>
        <v>2</v>
      </c>
      <c r="BI303" s="16">
        <f>IFERROR(__xludf.DUMMYFUNCTION("""COMPUTED_VALUE"""),-6.0)</f>
        <v>-6</v>
      </c>
      <c r="BJ303" s="16">
        <f>IFERROR(__xludf.DUMMYFUNCTION("""COMPUTED_VALUE"""),4.0)</f>
        <v>4</v>
      </c>
      <c r="BK303" s="16">
        <f>IFERROR(__xludf.DUMMYFUNCTION("""COMPUTED_VALUE"""),5.0)</f>
        <v>5</v>
      </c>
      <c r="BL303" s="16">
        <f>IFERROR(__xludf.DUMMYFUNCTION("""COMPUTED_VALUE"""),5.0)</f>
        <v>5</v>
      </c>
      <c r="BM303" s="16">
        <f>IFERROR(__xludf.DUMMYFUNCTION("""COMPUTED_VALUE"""),0.0)</f>
        <v>0</v>
      </c>
      <c r="BN303" s="16">
        <f>IFERROR(__xludf.DUMMYFUNCTION("""COMPUTED_VALUE"""),0.0)</f>
        <v>0</v>
      </c>
      <c r="BO303" s="16">
        <f>IFERROR(__xludf.DUMMYFUNCTION("""COMPUTED_VALUE"""),0.0)</f>
        <v>0</v>
      </c>
      <c r="BP303" s="16">
        <f>IFERROR(__xludf.DUMMYFUNCTION("""COMPUTED_VALUE"""),0.0)</f>
        <v>0</v>
      </c>
      <c r="BQ303" s="16">
        <f>IFERROR(__xludf.DUMMYFUNCTION("""COMPUTED_VALUE"""),9.0)</f>
        <v>9</v>
      </c>
      <c r="BR303" s="16">
        <f>IFERROR(__xludf.DUMMYFUNCTION("""COMPUTED_VALUE"""),9.0)</f>
        <v>9</v>
      </c>
      <c r="BS303" s="16">
        <f>IFERROR(__xludf.DUMMYFUNCTION("""COMPUTED_VALUE"""),3.0)</f>
        <v>3</v>
      </c>
      <c r="BT303" s="16">
        <f>IFERROR(__xludf.DUMMYFUNCTION("""COMPUTED_VALUE"""),3.0)</f>
        <v>3</v>
      </c>
      <c r="BU303" s="16">
        <f>IFERROR(__xludf.DUMMYFUNCTION("""COMPUTED_VALUE"""),6.0)</f>
        <v>6</v>
      </c>
      <c r="BV303" s="16">
        <f>IFERROR(__xludf.DUMMYFUNCTION("""COMPUTED_VALUE"""),6.0)</f>
        <v>6</v>
      </c>
      <c r="BW303" s="16">
        <f>IFERROR(__xludf.DUMMYFUNCTION("""COMPUTED_VALUE"""),3.0)</f>
        <v>3</v>
      </c>
      <c r="BX303" s="16">
        <f>IFERROR(__xludf.DUMMYFUNCTION("""COMPUTED_VALUE"""),3.0)</f>
        <v>3</v>
      </c>
      <c r="BY303" s="16" t="str">
        <f>IFERROR(__xludf.DUMMYFUNCTION("""COMPUTED_VALUE"""),"R(3)")</f>
        <v>R(3)</v>
      </c>
      <c r="BZ303" s="16" t="str">
        <f>IFERROR(__xludf.DUMMYFUNCTION("""COMPUTED_VALUE"""),"R(3)")</f>
        <v>R(3)</v>
      </c>
      <c r="CA303" s="16" t="str">
        <f>IFERROR(__xludf.DUMMYFUNCTION("""COMPUTED_VALUE"""),"R(3)")</f>
        <v>R(3)</v>
      </c>
      <c r="CB303" s="16"/>
      <c r="CC303" s="16"/>
      <c r="CD303" s="16"/>
      <c r="CE303" s="16">
        <f>IFERROR(__xludf.DUMMYFUNCTION("""COMPUTED_VALUE"""),3.0)</f>
        <v>3</v>
      </c>
      <c r="CF303" s="16"/>
      <c r="CG303" s="16" t="str">
        <f>IFERROR(__xludf.DUMMYFUNCTION("""COMPUTED_VALUE"""),"3-30")</f>
        <v>3-30</v>
      </c>
      <c r="CH303" s="16">
        <f>IFERROR(__xludf.DUMMYFUNCTION("""COMPUTED_VALUE"""),3.0)</f>
        <v>3</v>
      </c>
      <c r="CI303" s="16">
        <f>IFERROR(__xludf.DUMMYFUNCTION("""COMPUTED_VALUE"""),30.0)</f>
        <v>30</v>
      </c>
      <c r="CJ303" s="16">
        <f>IFERROR(__xludf.DUMMYFUNCTION("""COMPUTED_VALUE"""),0.0)</f>
        <v>0</v>
      </c>
      <c r="CK303" s="16">
        <f>IFERROR(__xludf.DUMMYFUNCTION("""COMPUTED_VALUE"""),4.0)</f>
        <v>4</v>
      </c>
      <c r="CL303" s="16" t="str">
        <f>IFERROR(__xludf.DUMMYFUNCTION("""COMPUTED_VALUE"""),"1WR-C")</f>
        <v>1WR-C</v>
      </c>
      <c r="CM303" s="16" t="str">
        <f>IFERROR(__xludf.DUMMYFUNCTION("""COMPUTED_VALUE"""),"E")</f>
        <v>E</v>
      </c>
      <c r="CN303" s="16">
        <f>IFERROR(__xludf.DUMMYFUNCTION("""COMPUTED_VALUE"""),10.0)</f>
        <v>10</v>
      </c>
      <c r="CO303" s="16" t="str">
        <f>IFERROR(__xludf.DUMMYFUNCTION("""COMPUTED_VALUE"""),"C")</f>
        <v>C</v>
      </c>
      <c r="CP303" s="16" t="str">
        <f>IFERROR(__xludf.DUMMYFUNCTION("""COMPUTED_VALUE"""),"3p30")</f>
        <v>3p30</v>
      </c>
      <c r="CQ303" s="16">
        <f>IFERROR(__xludf.DUMMYFUNCTION("""COMPUTED_VALUE"""),-19.0)</f>
        <v>-19</v>
      </c>
      <c r="CR303" s="16">
        <f>IFERROR(__xludf.DUMMYFUNCTION("""COMPUTED_VALUE"""),21.0)</f>
        <v>21</v>
      </c>
      <c r="CS303" s="16">
        <f>IFERROR(__xludf.DUMMYFUNCTION("""COMPUTED_VALUE"""),2.0)</f>
        <v>2</v>
      </c>
      <c r="CT303" s="16">
        <f>IFERROR(__xludf.DUMMYFUNCTION("""COMPUTED_VALUE"""),-19.0)</f>
        <v>-19</v>
      </c>
      <c r="CU303" s="16">
        <f>IFERROR(__xludf.DUMMYFUNCTION("""COMPUTED_VALUE"""),21.0)</f>
        <v>21</v>
      </c>
      <c r="CV303" s="179">
        <f>IFERROR(__xludf.DUMMYFUNCTION("""COMPUTED_VALUE"""),-1.666666666666667)</f>
        <v>-1.666666667</v>
      </c>
      <c r="CW303" s="179">
        <f>IFERROR(__xludf.DUMMYFUNCTION("""COMPUTED_VALUE"""),2.0)</f>
        <v>2</v>
      </c>
      <c r="CX303" s="179">
        <f>IFERROR(__xludf.DUMMYFUNCTION("""COMPUTED_VALUE"""),2.0)</f>
        <v>2</v>
      </c>
      <c r="CY303" s="16" t="str">
        <f>IFERROR(__xludf.DUMMYFUNCTION("""COMPUTED_VALUE"""),"RP")</f>
        <v>RP</v>
      </c>
      <c r="CZ303" s="16"/>
      <c r="DA303" s="16"/>
      <c r="DB303" s="16"/>
      <c r="DC303" s="16"/>
      <c r="DD303" s="16"/>
      <c r="DE303" s="16"/>
      <c r="DF303" s="16"/>
      <c r="DG303" s="16"/>
      <c r="DH303" s="16"/>
      <c r="DI303" s="16"/>
      <c r="DJ303" s="16"/>
      <c r="DK303" s="16"/>
    </row>
    <row r="304">
      <c r="A304" s="16">
        <f>IFERROR(__xludf.DUMMYFUNCTION("""COMPUTED_VALUE"""),12866.0)</f>
        <v>12866</v>
      </c>
      <c r="B304" s="16" t="str">
        <f>IFERROR(__xludf.DUMMYFUNCTION("""COMPUTED_VALUE"""),"Hayden Birdsong")</f>
        <v>Hayden Birdsong</v>
      </c>
      <c r="C304" s="153">
        <f>IFERROR(__xludf.DUMMYFUNCTION("""COMPUTED_VALUE"""),0.21)</f>
        <v>0.21</v>
      </c>
      <c r="D304" s="16"/>
      <c r="E304" s="16" t="str">
        <f>IFERROR(__xludf.DUMMYFUNCTION("""COMPUTED_VALUE"""),"R")</f>
        <v>R</v>
      </c>
      <c r="F304" s="16">
        <f>IFERROR(__xludf.DUMMYFUNCTION("""COMPUTED_VALUE"""),72.0)</f>
        <v>72</v>
      </c>
      <c r="G304" s="16">
        <f>IFERROR(__xludf.DUMMYFUNCTION("""COMPUTED_VALUE"""),33.0)</f>
        <v>33</v>
      </c>
      <c r="H304" s="16">
        <f>IFERROR(__xludf.DUMMYFUNCTION("""COMPUTED_VALUE"""),42.0)</f>
        <v>42</v>
      </c>
      <c r="I304" s="16">
        <f>IFERROR(__xludf.DUMMYFUNCTION("""COMPUTED_VALUE"""),1.0)</f>
        <v>1</v>
      </c>
      <c r="J304" s="16">
        <f>IFERROR(__xludf.DUMMYFUNCTION("""COMPUTED_VALUE"""),2.0)</f>
        <v>2</v>
      </c>
      <c r="K304" s="16">
        <f>IFERROR(__xludf.DUMMYFUNCTION("""COMPUTED_VALUE"""),3.0)</f>
        <v>3</v>
      </c>
      <c r="L304" s="16">
        <f>IFERROR(__xludf.DUMMYFUNCTION("""COMPUTED_VALUE"""),6.0)</f>
        <v>6</v>
      </c>
      <c r="M304" s="16">
        <f>IFERROR(__xludf.DUMMYFUNCTION("""COMPUTED_VALUE"""),24.0)</f>
        <v>24</v>
      </c>
      <c r="N304" s="16">
        <f>IFERROR(__xludf.DUMMYFUNCTION("""COMPUTED_VALUE"""),18.0)</f>
        <v>18</v>
      </c>
      <c r="O304" s="16">
        <f>IFERROR(__xludf.DUMMYFUNCTION("""COMPUTED_VALUE"""),-3.0)</f>
        <v>-3</v>
      </c>
      <c r="P304" s="16">
        <f>IFERROR(__xludf.DUMMYFUNCTION("""COMPUTED_VALUE"""),-3.0)</f>
        <v>-3</v>
      </c>
      <c r="Q304" s="16">
        <f>IFERROR(__xludf.DUMMYFUNCTION("""COMPUTED_VALUE"""),-3.0)</f>
        <v>-3</v>
      </c>
      <c r="R304" s="16">
        <f>IFERROR(__xludf.DUMMYFUNCTION("""COMPUTED_VALUE"""),-3.0)</f>
        <v>-3</v>
      </c>
      <c r="S304" s="16">
        <f>IFERROR(__xludf.DUMMYFUNCTION("""COMPUTED_VALUE"""),6.8)</f>
        <v>6.8</v>
      </c>
      <c r="T304" s="16">
        <f>IFERROR(__xludf.DUMMYFUNCTION("""COMPUTED_VALUE"""),8.9)</f>
        <v>8.9</v>
      </c>
      <c r="U304" s="16">
        <f>IFERROR(__xludf.DUMMYFUNCTION("""COMPUTED_VALUE"""),1.0)</f>
        <v>1</v>
      </c>
      <c r="V304" s="16">
        <f>IFERROR(__xludf.DUMMYFUNCTION("""COMPUTED_VALUE"""),1.0)</f>
        <v>1</v>
      </c>
      <c r="W304" s="16">
        <f>IFERROR(__xludf.DUMMYFUNCTION("""COMPUTED_VALUE"""),2.0)</f>
        <v>2</v>
      </c>
      <c r="X304" s="16">
        <f>IFERROR(__xludf.DUMMYFUNCTION("""COMPUTED_VALUE"""),2.0)</f>
        <v>2</v>
      </c>
      <c r="Y304" s="16">
        <f>IFERROR(__xludf.DUMMYFUNCTION("""COMPUTED_VALUE"""),30.8)</f>
        <v>30.8</v>
      </c>
      <c r="Z304" s="16">
        <f>IFERROR(__xludf.DUMMYFUNCTION("""COMPUTED_VALUE"""),26.9)</f>
        <v>26.9</v>
      </c>
      <c r="AA304" s="16">
        <f>IFERROR(__xludf.DUMMYFUNCTION("""COMPUTED_VALUE"""),-1.0)</f>
        <v>-1</v>
      </c>
      <c r="AB304" s="16">
        <f>IFERROR(__xludf.DUMMYFUNCTION("""COMPUTED_VALUE"""),0.0)</f>
        <v>0</v>
      </c>
      <c r="AC304" s="16">
        <f>IFERROR(__xludf.DUMMYFUNCTION("""COMPUTED_VALUE"""),-5.0)</f>
        <v>-5</v>
      </c>
      <c r="AD304" s="16">
        <f>IFERROR(__xludf.DUMMYFUNCTION("""COMPUTED_VALUE"""),0.0)</f>
        <v>0</v>
      </c>
      <c r="AE304" s="16">
        <f>IFERROR(__xludf.DUMMYFUNCTION("""COMPUTED_VALUE"""),14.5)</f>
        <v>14.5</v>
      </c>
      <c r="AF304" s="16">
        <f>IFERROR(__xludf.DUMMYFUNCTION("""COMPUTED_VALUE"""),29.0)</f>
        <v>29</v>
      </c>
      <c r="AG304" s="16">
        <f>IFERROR(__xludf.DUMMYFUNCTION("""COMPUTED_VALUE"""),1.0)</f>
        <v>1</v>
      </c>
      <c r="AH304" s="16">
        <f>IFERROR(__xludf.DUMMYFUNCTION("""COMPUTED_VALUE"""),0.0)</f>
        <v>0</v>
      </c>
      <c r="AI304" s="16">
        <f>IFERROR(__xludf.DUMMYFUNCTION("""COMPUTED_VALUE"""),2.0)</f>
        <v>2</v>
      </c>
      <c r="AJ304" s="16">
        <f>IFERROR(__xludf.DUMMYFUNCTION("""COMPUTED_VALUE"""),0.0)</f>
        <v>0</v>
      </c>
      <c r="AK304" s="16">
        <f>IFERROR(__xludf.DUMMYFUNCTION("""COMPUTED_VALUE"""),6.0)</f>
        <v>6</v>
      </c>
      <c r="AL304" s="16">
        <f>IFERROR(__xludf.DUMMYFUNCTION("""COMPUTED_VALUE"""),2.9000000000000004)</f>
        <v>2.9</v>
      </c>
      <c r="AM304" s="16">
        <f>IFERROR(__xludf.DUMMYFUNCTION("""COMPUTED_VALUE"""),1.0)</f>
        <v>1</v>
      </c>
      <c r="AN304" s="16">
        <f>IFERROR(__xludf.DUMMYFUNCTION("""COMPUTED_VALUE"""),2.0)</f>
        <v>2</v>
      </c>
      <c r="AO304" s="16">
        <f>IFERROR(__xludf.DUMMYFUNCTION("""COMPUTED_VALUE"""),1.0)</f>
        <v>1</v>
      </c>
      <c r="AP304" s="16">
        <f>IFERROR(__xludf.DUMMYFUNCTION("""COMPUTED_VALUE"""),2.0)</f>
        <v>2</v>
      </c>
      <c r="AQ304" s="16">
        <f>IFERROR(__xludf.DUMMYFUNCTION("""COMPUTED_VALUE"""),11.3)</f>
        <v>11.3</v>
      </c>
      <c r="AR304" s="16">
        <f>IFERROR(__xludf.DUMMYFUNCTION("""COMPUTED_VALUE"""),5.0)</f>
        <v>5</v>
      </c>
      <c r="AS304" s="16">
        <f>IFERROR(__xludf.DUMMYFUNCTION("""COMPUTED_VALUE"""),1.0)</f>
        <v>1</v>
      </c>
      <c r="AT304" s="16">
        <f>IFERROR(__xludf.DUMMYFUNCTION("""COMPUTED_VALUE"""),2.0)</f>
        <v>2</v>
      </c>
      <c r="AU304" s="16">
        <f>IFERROR(__xludf.DUMMYFUNCTION("""COMPUTED_VALUE"""),2.0)</f>
        <v>2</v>
      </c>
      <c r="AV304" s="16">
        <f>IFERROR(__xludf.DUMMYFUNCTION("""COMPUTED_VALUE"""),4.0)</f>
        <v>4</v>
      </c>
      <c r="AW304" s="16">
        <f>IFERROR(__xludf.DUMMYFUNCTION("""COMPUTED_VALUE"""),0.8)</f>
        <v>0.8</v>
      </c>
      <c r="AX304" s="16">
        <f>IFERROR(__xludf.DUMMYFUNCTION("""COMPUTED_VALUE"""),6.0)</f>
        <v>6</v>
      </c>
      <c r="AY304" s="16">
        <f>IFERROR(__xludf.DUMMYFUNCTION("""COMPUTED_VALUE"""),2.0)</f>
        <v>2</v>
      </c>
      <c r="AZ304" s="16">
        <f>IFERROR(__xludf.DUMMYFUNCTION("""COMPUTED_VALUE"""),-3.0)</f>
        <v>-3</v>
      </c>
      <c r="BA304" s="16">
        <f>IFERROR(__xludf.DUMMYFUNCTION("""COMPUTED_VALUE"""),10.0)</f>
        <v>10</v>
      </c>
      <c r="BB304" s="16">
        <f>IFERROR(__xludf.DUMMYFUNCTION("""COMPUTED_VALUE"""),-15.0)</f>
        <v>-15</v>
      </c>
      <c r="BC304" s="16">
        <f>IFERROR(__xludf.DUMMYFUNCTION("""COMPUTED_VALUE"""),1.0)</f>
        <v>1</v>
      </c>
      <c r="BD304" s="16"/>
      <c r="BE304" s="16">
        <f>IFERROR(__xludf.DUMMYFUNCTION("""COMPUTED_VALUE"""),1.0)</f>
        <v>1</v>
      </c>
      <c r="BF304" s="16">
        <f>IFERROR(__xludf.DUMMYFUNCTION("""COMPUTED_VALUE"""),8.0)</f>
        <v>8</v>
      </c>
      <c r="BG304" s="16">
        <f>IFERROR(__xludf.DUMMYFUNCTION("""COMPUTED_VALUE"""),2.0)</f>
        <v>2</v>
      </c>
      <c r="BH304" s="16">
        <f>IFERROR(__xludf.DUMMYFUNCTION("""COMPUTED_VALUE"""),-3.0)</f>
        <v>-3</v>
      </c>
      <c r="BI304" s="16">
        <f>IFERROR(__xludf.DUMMYFUNCTION("""COMPUTED_VALUE"""),4.0)</f>
        <v>4</v>
      </c>
      <c r="BJ304" s="16">
        <f>IFERROR(__xludf.DUMMYFUNCTION("""COMPUTED_VALUE"""),-6.0)</f>
        <v>-6</v>
      </c>
      <c r="BK304" s="16">
        <f>IFERROR(__xludf.DUMMYFUNCTION("""COMPUTED_VALUE"""),5.0)</f>
        <v>5</v>
      </c>
      <c r="BL304" s="16">
        <f>IFERROR(__xludf.DUMMYFUNCTION("""COMPUTED_VALUE"""),0.0)</f>
        <v>0</v>
      </c>
      <c r="BM304" s="16">
        <f>IFERROR(__xludf.DUMMYFUNCTION("""COMPUTED_VALUE"""),0.0)</f>
        <v>0</v>
      </c>
      <c r="BN304" s="16">
        <f>IFERROR(__xludf.DUMMYFUNCTION("""COMPUTED_VALUE"""),1.0)</f>
        <v>1</v>
      </c>
      <c r="BO304" s="16">
        <f>IFERROR(__xludf.DUMMYFUNCTION("""COMPUTED_VALUE"""),0.0)</f>
        <v>0</v>
      </c>
      <c r="BP304" s="16">
        <f>IFERROR(__xludf.DUMMYFUNCTION("""COMPUTED_VALUE"""),1.0)</f>
        <v>1</v>
      </c>
      <c r="BQ304" s="16">
        <f>IFERROR(__xludf.DUMMYFUNCTION("""COMPUTED_VALUE"""),0.0)</f>
        <v>0</v>
      </c>
      <c r="BR304" s="16">
        <f>IFERROR(__xludf.DUMMYFUNCTION("""COMPUTED_VALUE"""),0.0)</f>
        <v>0</v>
      </c>
      <c r="BS304" s="16">
        <f>IFERROR(__xludf.DUMMYFUNCTION("""COMPUTED_VALUE"""),-3.0)</f>
        <v>-3</v>
      </c>
      <c r="BT304" s="16">
        <f>IFERROR(__xludf.DUMMYFUNCTION("""COMPUTED_VALUE"""),-3.0)</f>
        <v>-3</v>
      </c>
      <c r="BU304" s="16">
        <f>IFERROR(__xludf.DUMMYFUNCTION("""COMPUTED_VALUE"""),-6.0)</f>
        <v>-6</v>
      </c>
      <c r="BV304" s="16">
        <f>IFERROR(__xludf.DUMMYFUNCTION("""COMPUTED_VALUE"""),-6.0)</f>
        <v>-6</v>
      </c>
      <c r="BW304" s="16">
        <f>IFERROR(__xludf.DUMMYFUNCTION("""COMPUTED_VALUE"""),-2.0)</f>
        <v>-2</v>
      </c>
      <c r="BX304" s="16">
        <f>IFERROR(__xludf.DUMMYFUNCTION("""COMPUTED_VALUE"""),-2.0)</f>
        <v>-2</v>
      </c>
      <c r="BY304" s="16" t="str">
        <f>IFERROR(__xludf.DUMMYFUNCTION("""COMPUTED_VALUE"""),"S(5)")</f>
        <v>S(5)</v>
      </c>
      <c r="BZ304" s="16" t="str">
        <f>IFERROR(__xludf.DUMMYFUNCTION("""COMPUTED_VALUE"""),"S(5)")</f>
        <v>S(5)</v>
      </c>
      <c r="CA304" s="16" t="str">
        <f>IFERROR(__xludf.DUMMYFUNCTION("""COMPUTED_VALUE"""),"S(5)")</f>
        <v>S(5)</v>
      </c>
      <c r="CB304" s="16"/>
      <c r="CC304" s="16"/>
      <c r="CD304" s="16">
        <f>IFERROR(__xludf.DUMMYFUNCTION("""COMPUTED_VALUE"""),5.0)</f>
        <v>5</v>
      </c>
      <c r="CE304" s="16"/>
      <c r="CF304" s="16"/>
      <c r="CG304" s="16" t="str">
        <f>IFERROR(__xludf.DUMMYFUNCTION("""COMPUTED_VALUE"""),"3-20")</f>
        <v>3-20</v>
      </c>
      <c r="CH304" s="16">
        <f>IFERROR(__xludf.DUMMYFUNCTION("""COMPUTED_VALUE"""),3.0)</f>
        <v>3</v>
      </c>
      <c r="CI304" s="16">
        <f>IFERROR(__xludf.DUMMYFUNCTION("""COMPUTED_VALUE"""),20.0)</f>
        <v>20</v>
      </c>
      <c r="CJ304" s="16">
        <f>IFERROR(__xludf.DUMMYFUNCTION("""COMPUTED_VALUE"""),0.0)</f>
        <v>0</v>
      </c>
      <c r="CK304" s="16">
        <f>IFERROR(__xludf.DUMMYFUNCTION("""COMPUTED_VALUE"""),12.0)</f>
        <v>12</v>
      </c>
      <c r="CL304" s="16" t="str">
        <f>IFERROR(__xludf.DUMMYFUNCTION("""COMPUTED_VALUE"""),"1WR-C")</f>
        <v>1WR-C</v>
      </c>
      <c r="CM304" s="16" t="str">
        <f>IFERROR(__xludf.DUMMYFUNCTION("""COMPUTED_VALUE"""),"E")</f>
        <v>E</v>
      </c>
      <c r="CN304" s="16">
        <f>IFERROR(__xludf.DUMMYFUNCTION("""COMPUTED_VALUE"""),10.0)</f>
        <v>10</v>
      </c>
      <c r="CO304" s="16" t="str">
        <f>IFERROR(__xludf.DUMMYFUNCTION("""COMPUTED_VALUE"""),"C")</f>
        <v>C</v>
      </c>
      <c r="CP304" s="16" t="str">
        <f>IFERROR(__xludf.DUMMYFUNCTION("""COMPUTED_VALUE"""),"1p40")</f>
        <v>1p40</v>
      </c>
      <c r="CQ304" s="16">
        <f>IFERROR(__xludf.DUMMYFUNCTION("""COMPUTED_VALUE"""),10.0)</f>
        <v>10</v>
      </c>
      <c r="CR304" s="16">
        <f>IFERROR(__xludf.DUMMYFUNCTION("""COMPUTED_VALUE"""),-15.0)</f>
        <v>-15</v>
      </c>
      <c r="CS304" s="16">
        <f>IFERROR(__xludf.DUMMYFUNCTION("""COMPUTED_VALUE"""),-5.0)</f>
        <v>-5</v>
      </c>
      <c r="CT304" s="16">
        <f>IFERROR(__xludf.DUMMYFUNCTION("""COMPUTED_VALUE"""),10.0)</f>
        <v>10</v>
      </c>
      <c r="CU304" s="16">
        <f>IFERROR(__xludf.DUMMYFUNCTION("""COMPUTED_VALUE"""),-15.0)</f>
        <v>-15</v>
      </c>
      <c r="CV304" s="179">
        <f>IFERROR(__xludf.DUMMYFUNCTION("""COMPUTED_VALUE"""),-1.666666666666667)</f>
        <v>-1.666666667</v>
      </c>
      <c r="CW304" s="179">
        <f>IFERROR(__xludf.DUMMYFUNCTION("""COMPUTED_VALUE"""),4.0)</f>
        <v>4</v>
      </c>
      <c r="CX304" s="179">
        <f>IFERROR(__xludf.DUMMYFUNCTION("""COMPUTED_VALUE"""),1.0)</f>
        <v>1</v>
      </c>
      <c r="CY304" s="16" t="str">
        <f>IFERROR(__xludf.DUMMYFUNCTION("""COMPUTED_VALUE"""),"SP")</f>
        <v>SP</v>
      </c>
      <c r="CZ304" s="16"/>
      <c r="DA304" s="16"/>
      <c r="DB304" s="16"/>
      <c r="DC304" s="16"/>
      <c r="DD304" s="16"/>
      <c r="DE304" s="16"/>
      <c r="DF304" s="16"/>
      <c r="DG304" s="16"/>
      <c r="DH304" s="16"/>
      <c r="DI304" s="16"/>
      <c r="DJ304" s="16"/>
      <c r="DK304" s="16"/>
    </row>
    <row r="305">
      <c r="A305" s="16">
        <f>IFERROR(__xludf.DUMMYFUNCTION("""COMPUTED_VALUE"""),12816.0)</f>
        <v>12816</v>
      </c>
      <c r="B305" s="16" t="str">
        <f>IFERROR(__xludf.DUMMYFUNCTION("""COMPUTED_VALUE"""),"Fernando Cruz")</f>
        <v>Fernando Cruz</v>
      </c>
      <c r="C305" s="153">
        <f>IFERROR(__xludf.DUMMYFUNCTION("""COMPUTED_VALUE"""),0.22)</f>
        <v>0.22</v>
      </c>
      <c r="D305" s="16"/>
      <c r="E305" s="16" t="str">
        <f>IFERROR(__xludf.DUMMYFUNCTION("""COMPUTED_VALUE"""),"R")</f>
        <v>R</v>
      </c>
      <c r="F305" s="16">
        <f>IFERROR(__xludf.DUMMYFUNCTION("""COMPUTED_VALUE"""),67.0)</f>
        <v>67</v>
      </c>
      <c r="G305" s="16">
        <f>IFERROR(__xludf.DUMMYFUNCTION("""COMPUTED_VALUE"""),37.0)</f>
        <v>37</v>
      </c>
      <c r="H305" s="16">
        <f>IFERROR(__xludf.DUMMYFUNCTION("""COMPUTED_VALUE"""),57.0)</f>
        <v>57</v>
      </c>
      <c r="I305" s="16">
        <f>IFERROR(__xludf.DUMMYFUNCTION("""COMPUTED_VALUE"""),1.0)</f>
        <v>1</v>
      </c>
      <c r="J305" s="16">
        <f>IFERROR(__xludf.DUMMYFUNCTION("""COMPUTED_VALUE"""),3.0)</f>
        <v>3</v>
      </c>
      <c r="K305" s="16">
        <f>IFERROR(__xludf.DUMMYFUNCTION("""COMPUTED_VALUE"""),3.0)</f>
        <v>3</v>
      </c>
      <c r="L305" s="16">
        <f>IFERROR(__xludf.DUMMYFUNCTION("""COMPUTED_VALUE"""),9.0)</f>
        <v>9</v>
      </c>
      <c r="M305" s="16">
        <f>IFERROR(__xludf.DUMMYFUNCTION("""COMPUTED_VALUE"""),20.0)</f>
        <v>20</v>
      </c>
      <c r="N305" s="16">
        <f>IFERROR(__xludf.DUMMYFUNCTION("""COMPUTED_VALUE"""),14.0)</f>
        <v>14</v>
      </c>
      <c r="O305" s="16">
        <f>IFERROR(__xludf.DUMMYFUNCTION("""COMPUTED_VALUE"""),-3.0)</f>
        <v>-3</v>
      </c>
      <c r="P305" s="16">
        <f>IFERROR(__xludf.DUMMYFUNCTION("""COMPUTED_VALUE"""),-2.0)</f>
        <v>-2</v>
      </c>
      <c r="Q305" s="16">
        <f>IFERROR(__xludf.DUMMYFUNCTION("""COMPUTED_VALUE"""),-3.0)</f>
        <v>-3</v>
      </c>
      <c r="R305" s="16">
        <f>IFERROR(__xludf.DUMMYFUNCTION("""COMPUTED_VALUE"""),-2.0)</f>
        <v>-2</v>
      </c>
      <c r="S305" s="16">
        <f>IFERROR(__xludf.DUMMYFUNCTION("""COMPUTED_VALUE"""),15.1)</f>
        <v>15.1</v>
      </c>
      <c r="T305" s="16">
        <f>IFERROR(__xludf.DUMMYFUNCTION("""COMPUTED_VALUE"""),6.7)</f>
        <v>6.7</v>
      </c>
      <c r="U305" s="16">
        <f>IFERROR(__xludf.DUMMYFUNCTION("""COMPUTED_VALUE"""),0.0)</f>
        <v>0</v>
      </c>
      <c r="V305" s="16">
        <f>IFERROR(__xludf.DUMMYFUNCTION("""COMPUTED_VALUE"""),2.0)</f>
        <v>2</v>
      </c>
      <c r="W305" s="16">
        <f>IFERROR(__xludf.DUMMYFUNCTION("""COMPUTED_VALUE"""),0.0)</f>
        <v>0</v>
      </c>
      <c r="X305" s="16">
        <f>IFERROR(__xludf.DUMMYFUNCTION("""COMPUTED_VALUE"""),4.0)</f>
        <v>4</v>
      </c>
      <c r="Y305" s="16">
        <f>IFERROR(__xludf.DUMMYFUNCTION("""COMPUTED_VALUE"""),35.2)</f>
        <v>35.2</v>
      </c>
      <c r="Z305" s="16">
        <f>IFERROR(__xludf.DUMMYFUNCTION("""COMPUTED_VALUE"""),20.7)</f>
        <v>20.7</v>
      </c>
      <c r="AA305" s="16">
        <f>IFERROR(__xludf.DUMMYFUNCTION("""COMPUTED_VALUE"""),-1.0)</f>
        <v>-1</v>
      </c>
      <c r="AB305" s="16">
        <f>IFERROR(__xludf.DUMMYFUNCTION("""COMPUTED_VALUE"""),1.0)</f>
        <v>1</v>
      </c>
      <c r="AC305" s="16">
        <f>IFERROR(__xludf.DUMMYFUNCTION("""COMPUTED_VALUE"""),-5.0)</f>
        <v>-5</v>
      </c>
      <c r="AD305" s="16">
        <f>IFERROR(__xludf.DUMMYFUNCTION("""COMPUTED_VALUE"""),5.0)</f>
        <v>5</v>
      </c>
      <c r="AE305" s="16">
        <f>IFERROR(__xludf.DUMMYFUNCTION("""COMPUTED_VALUE"""),37.8)</f>
        <v>37.8</v>
      </c>
      <c r="AF305" s="16">
        <f>IFERROR(__xludf.DUMMYFUNCTION("""COMPUTED_VALUE"""),14.1)</f>
        <v>14.1</v>
      </c>
      <c r="AG305" s="16">
        <f>IFERROR(__xludf.DUMMYFUNCTION("""COMPUTED_VALUE"""),-1.0)</f>
        <v>-1</v>
      </c>
      <c r="AH305" s="16">
        <f>IFERROR(__xludf.DUMMYFUNCTION("""COMPUTED_VALUE"""),2.0)</f>
        <v>2</v>
      </c>
      <c r="AI305" s="16">
        <f>IFERROR(__xludf.DUMMYFUNCTION("""COMPUTED_VALUE"""),-2.0)</f>
        <v>-2</v>
      </c>
      <c r="AJ305" s="16">
        <f>IFERROR(__xludf.DUMMYFUNCTION("""COMPUTED_VALUE"""),4.0)</f>
        <v>4</v>
      </c>
      <c r="AK305" s="16">
        <f>IFERROR(__xludf.DUMMYFUNCTION("""COMPUTED_VALUE"""),10.8)</f>
        <v>10.8</v>
      </c>
      <c r="AL305" s="16">
        <f>IFERROR(__xludf.DUMMYFUNCTION("""COMPUTED_VALUE"""),5.9)</f>
        <v>5.9</v>
      </c>
      <c r="AM305" s="16">
        <f>IFERROR(__xludf.DUMMYFUNCTION("""COMPUTED_VALUE"""),0.0)</f>
        <v>0</v>
      </c>
      <c r="AN305" s="16">
        <f>IFERROR(__xludf.DUMMYFUNCTION("""COMPUTED_VALUE"""),1.0)</f>
        <v>1</v>
      </c>
      <c r="AO305" s="16">
        <f>IFERROR(__xludf.DUMMYFUNCTION("""COMPUTED_VALUE"""),0.0)</f>
        <v>0</v>
      </c>
      <c r="AP305" s="16">
        <f>IFERROR(__xludf.DUMMYFUNCTION("""COMPUTED_VALUE"""),1.0)</f>
        <v>1</v>
      </c>
      <c r="AQ305" s="16">
        <f>IFERROR(__xludf.DUMMYFUNCTION("""COMPUTED_VALUE"""),20.599999999999998)</f>
        <v>20.6</v>
      </c>
      <c r="AR305" s="16">
        <f>IFERROR(__xludf.DUMMYFUNCTION("""COMPUTED_VALUE"""),10.899999999999999)</f>
        <v>10.9</v>
      </c>
      <c r="AS305" s="16">
        <f>IFERROR(__xludf.DUMMYFUNCTION("""COMPUTED_VALUE"""),0.0)</f>
        <v>0</v>
      </c>
      <c r="AT305" s="16">
        <f>IFERROR(__xludf.DUMMYFUNCTION("""COMPUTED_VALUE"""),1.0)</f>
        <v>1</v>
      </c>
      <c r="AU305" s="16">
        <f>IFERROR(__xludf.DUMMYFUNCTION("""COMPUTED_VALUE"""),0.0)</f>
        <v>0</v>
      </c>
      <c r="AV305" s="16">
        <f>IFERROR(__xludf.DUMMYFUNCTION("""COMPUTED_VALUE"""),2.0)</f>
        <v>2</v>
      </c>
      <c r="AW305" s="16">
        <f>IFERROR(__xludf.DUMMYFUNCTION("""COMPUTED_VALUE"""),4.3)</f>
        <v>4.3</v>
      </c>
      <c r="AX305" s="16">
        <f>IFERROR(__xludf.DUMMYFUNCTION("""COMPUTED_VALUE"""),0.8)</f>
        <v>0.8</v>
      </c>
      <c r="AY305" s="16">
        <f>IFERROR(__xludf.DUMMYFUNCTION("""COMPUTED_VALUE"""),-2.0)</f>
        <v>-2</v>
      </c>
      <c r="AZ305" s="16">
        <f>IFERROR(__xludf.DUMMYFUNCTION("""COMPUTED_VALUE"""),1.0)</f>
        <v>1</v>
      </c>
      <c r="BA305" s="16">
        <f>IFERROR(__xludf.DUMMYFUNCTION("""COMPUTED_VALUE"""),-10.0)</f>
        <v>-10</v>
      </c>
      <c r="BB305" s="16">
        <f>IFERROR(__xludf.DUMMYFUNCTION("""COMPUTED_VALUE"""),5.0)</f>
        <v>5</v>
      </c>
      <c r="BC305" s="16"/>
      <c r="BD305" s="16"/>
      <c r="BE305" s="16">
        <f>IFERROR(__xludf.DUMMYFUNCTION("""COMPUTED_VALUE"""),4.0)</f>
        <v>4</v>
      </c>
      <c r="BF305" s="16">
        <f>IFERROR(__xludf.DUMMYFUNCTION("""COMPUTED_VALUE"""),0.0)</f>
        <v>0</v>
      </c>
      <c r="BG305" s="16">
        <f>IFERROR(__xludf.DUMMYFUNCTION("""COMPUTED_VALUE"""),-1.0)</f>
        <v>-1</v>
      </c>
      <c r="BH305" s="16">
        <f>IFERROR(__xludf.DUMMYFUNCTION("""COMPUTED_VALUE"""),2.0)</f>
        <v>2</v>
      </c>
      <c r="BI305" s="16">
        <f>IFERROR(__xludf.DUMMYFUNCTION("""COMPUTED_VALUE"""),-2.0)</f>
        <v>-2</v>
      </c>
      <c r="BJ305" s="16">
        <f>IFERROR(__xludf.DUMMYFUNCTION("""COMPUTED_VALUE"""),4.0)</f>
        <v>4</v>
      </c>
      <c r="BK305" s="16">
        <f>IFERROR(__xludf.DUMMYFUNCTION("""COMPUTED_VALUE"""),0.0)</f>
        <v>0</v>
      </c>
      <c r="BL305" s="16">
        <f>IFERROR(__xludf.DUMMYFUNCTION("""COMPUTED_VALUE"""),0.0)</f>
        <v>0</v>
      </c>
      <c r="BM305" s="16">
        <f>IFERROR(__xludf.DUMMYFUNCTION("""COMPUTED_VALUE"""),1.0)</f>
        <v>1</v>
      </c>
      <c r="BN305" s="16">
        <f>IFERROR(__xludf.DUMMYFUNCTION("""COMPUTED_VALUE"""),1.0)</f>
        <v>1</v>
      </c>
      <c r="BO305" s="16">
        <f>IFERROR(__xludf.DUMMYFUNCTION("""COMPUTED_VALUE"""),1.0)</f>
        <v>1</v>
      </c>
      <c r="BP305" s="16">
        <f>IFERROR(__xludf.DUMMYFUNCTION("""COMPUTED_VALUE"""),1.0)</f>
        <v>1</v>
      </c>
      <c r="BQ305" s="16">
        <f>IFERROR(__xludf.DUMMYFUNCTION("""COMPUTED_VALUE"""),0.0)</f>
        <v>0</v>
      </c>
      <c r="BR305" s="16">
        <f>IFERROR(__xludf.DUMMYFUNCTION("""COMPUTED_VALUE"""),0.0)</f>
        <v>0</v>
      </c>
      <c r="BS305" s="16">
        <f>IFERROR(__xludf.DUMMYFUNCTION("""COMPUTED_VALUE"""),-3.0)</f>
        <v>-3</v>
      </c>
      <c r="BT305" s="16">
        <f>IFERROR(__xludf.DUMMYFUNCTION("""COMPUTED_VALUE"""),-3.0)</f>
        <v>-3</v>
      </c>
      <c r="BU305" s="16">
        <f>IFERROR(__xludf.DUMMYFUNCTION("""COMPUTED_VALUE"""),-6.0)</f>
        <v>-6</v>
      </c>
      <c r="BV305" s="16">
        <f>IFERROR(__xludf.DUMMYFUNCTION("""COMPUTED_VALUE"""),-6.0)</f>
        <v>-6</v>
      </c>
      <c r="BW305" s="16">
        <f>IFERROR(__xludf.DUMMYFUNCTION("""COMPUTED_VALUE"""),7.0)</f>
        <v>7</v>
      </c>
      <c r="BX305" s="16">
        <f>IFERROR(__xludf.DUMMYFUNCTION("""COMPUTED_VALUE"""),7.0)</f>
        <v>7</v>
      </c>
      <c r="BY305" s="16" t="str">
        <f>IFERROR(__xludf.DUMMYFUNCTION("""COMPUTED_VALUE"""),"S(1) R(1)")</f>
        <v>S(1) R(1)</v>
      </c>
      <c r="BZ305" s="16" t="str">
        <f>IFERROR(__xludf.DUMMYFUNCTION("""COMPUTED_VALUE"""),"S(1) R(1)")</f>
        <v>S(1) R(1)</v>
      </c>
      <c r="CA305" s="16" t="str">
        <f>IFERROR(__xludf.DUMMYFUNCTION("""COMPUTED_VALUE"""),"S(1)")</f>
        <v>S(1)</v>
      </c>
      <c r="CB305" s="16" t="str">
        <f>IFERROR(__xludf.DUMMYFUNCTION("""COMPUTED_VALUE"""),"R(1)")</f>
        <v>R(1)</v>
      </c>
      <c r="CC305" s="16"/>
      <c r="CD305" s="16">
        <f>IFERROR(__xludf.DUMMYFUNCTION("""COMPUTED_VALUE"""),1.0)</f>
        <v>1</v>
      </c>
      <c r="CE305" s="16">
        <f>IFERROR(__xludf.DUMMYFUNCTION("""COMPUTED_VALUE"""),1.0)</f>
        <v>1</v>
      </c>
      <c r="CF305" s="16"/>
      <c r="CG305" s="16" t="str">
        <f>IFERROR(__xludf.DUMMYFUNCTION("""COMPUTED_VALUE"""),"3-0")</f>
        <v>3-0</v>
      </c>
      <c r="CH305" s="16">
        <f>IFERROR(__xludf.DUMMYFUNCTION("""COMPUTED_VALUE"""),3.0)</f>
        <v>3</v>
      </c>
      <c r="CI305" s="16">
        <f>IFERROR(__xludf.DUMMYFUNCTION("""COMPUTED_VALUE"""),0.0)</f>
        <v>0</v>
      </c>
      <c r="CJ305" s="16">
        <f>IFERROR(__xludf.DUMMYFUNCTION("""COMPUTED_VALUE"""),0.0)</f>
        <v>0</v>
      </c>
      <c r="CK305" s="16">
        <f>IFERROR(__xludf.DUMMYFUNCTION("""COMPUTED_VALUE"""),20.0)</f>
        <v>20</v>
      </c>
      <c r="CL305" s="16" t="str">
        <f>IFERROR(__xludf.DUMMYFUNCTION("""COMPUTED_VALUE"""),"1WR-C")</f>
        <v>1WR-C</v>
      </c>
      <c r="CM305" s="16" t="str">
        <f>IFERROR(__xludf.DUMMYFUNCTION("""COMPUTED_VALUE"""),"E")</f>
        <v>E</v>
      </c>
      <c r="CN305" s="16">
        <f>IFERROR(__xludf.DUMMYFUNCTION("""COMPUTED_VALUE"""),10.0)</f>
        <v>10</v>
      </c>
      <c r="CO305" s="16" t="str">
        <f>IFERROR(__xludf.DUMMYFUNCTION("""COMPUTED_VALUE"""),"C")</f>
        <v>C</v>
      </c>
      <c r="CP305" s="16" t="str">
        <f>IFERROR(__xludf.DUMMYFUNCTION("""COMPUTED_VALUE"""),"1p60")</f>
        <v>1p60</v>
      </c>
      <c r="CQ305" s="16">
        <f>IFERROR(__xludf.DUMMYFUNCTION("""COMPUTED_VALUE"""),-24.0)</f>
        <v>-24</v>
      </c>
      <c r="CR305" s="16">
        <f>IFERROR(__xludf.DUMMYFUNCTION("""COMPUTED_VALUE"""),27.0)</f>
        <v>27</v>
      </c>
      <c r="CS305" s="16">
        <f>IFERROR(__xludf.DUMMYFUNCTION("""COMPUTED_VALUE"""),3.0)</f>
        <v>3</v>
      </c>
      <c r="CT305" s="16">
        <f>IFERROR(__xludf.DUMMYFUNCTION("""COMPUTED_VALUE"""),-24.0)</f>
        <v>-24</v>
      </c>
      <c r="CU305" s="16">
        <f>IFERROR(__xludf.DUMMYFUNCTION("""COMPUTED_VALUE"""),27.0)</f>
        <v>27</v>
      </c>
      <c r="CV305" s="179">
        <f>IFERROR(__xludf.DUMMYFUNCTION("""COMPUTED_VALUE"""),-2.0)</f>
        <v>-2</v>
      </c>
      <c r="CW305" s="179">
        <f>IFERROR(__xludf.DUMMYFUNCTION("""COMPUTED_VALUE"""),4.0)</f>
        <v>4</v>
      </c>
      <c r="CX305" s="179">
        <f>IFERROR(__xludf.DUMMYFUNCTION("""COMPUTED_VALUE"""),1.0)</f>
        <v>1</v>
      </c>
      <c r="CY305" s="16" t="str">
        <f>IFERROR(__xludf.DUMMYFUNCTION("""COMPUTED_VALUE"""),"SP")</f>
        <v>SP</v>
      </c>
      <c r="CZ305" s="16" t="str">
        <f>IFERROR(__xludf.DUMMYFUNCTION("""COMPUTED_VALUE"""),"RP")</f>
        <v>RP</v>
      </c>
      <c r="DA305" s="16"/>
      <c r="DB305" s="16"/>
      <c r="DC305" s="16"/>
      <c r="DD305" s="16"/>
      <c r="DE305" s="16"/>
      <c r="DF305" s="16"/>
      <c r="DG305" s="16"/>
      <c r="DH305" s="16"/>
      <c r="DI305" s="16"/>
      <c r="DJ305" s="16"/>
      <c r="DK305" s="16"/>
    </row>
    <row r="306">
      <c r="A306" s="16">
        <f>IFERROR(__xludf.DUMMYFUNCTION("""COMPUTED_VALUE"""),13157.0)</f>
        <v>13157</v>
      </c>
      <c r="B306" s="16" t="str">
        <f>IFERROR(__xludf.DUMMYFUNCTION("""COMPUTED_VALUE"""),"Mark Leiter")</f>
        <v>Mark Leiter</v>
      </c>
      <c r="C306" s="153">
        <f>IFERROR(__xludf.DUMMYFUNCTION("""COMPUTED_VALUE"""),0.0)</f>
        <v>0</v>
      </c>
      <c r="D306" s="16"/>
      <c r="E306" s="16" t="str">
        <f>IFERROR(__xludf.DUMMYFUNCTION("""COMPUTED_VALUE"""),"R")</f>
        <v>R</v>
      </c>
      <c r="F306" s="16">
        <f>IFERROR(__xludf.DUMMYFUNCTION("""COMPUTED_VALUE"""),58.0)</f>
        <v>58</v>
      </c>
      <c r="G306" s="16">
        <f>IFERROR(__xludf.DUMMYFUNCTION("""COMPUTED_VALUE"""),45.0)</f>
        <v>45</v>
      </c>
      <c r="H306" s="16">
        <f>IFERROR(__xludf.DUMMYFUNCTION("""COMPUTED_VALUE"""),37.0)</f>
        <v>37</v>
      </c>
      <c r="I306" s="16">
        <f>IFERROR(__xludf.DUMMYFUNCTION("""COMPUTED_VALUE"""),2.0)</f>
        <v>2</v>
      </c>
      <c r="J306" s="16">
        <f>IFERROR(__xludf.DUMMYFUNCTION("""COMPUTED_VALUE"""),1.0)</f>
        <v>1</v>
      </c>
      <c r="K306" s="16">
        <f>IFERROR(__xludf.DUMMYFUNCTION("""COMPUTED_VALUE"""),6.0)</f>
        <v>6</v>
      </c>
      <c r="L306" s="16">
        <f>IFERROR(__xludf.DUMMYFUNCTION("""COMPUTED_VALUE"""),3.0)</f>
        <v>3</v>
      </c>
      <c r="M306" s="16">
        <f>IFERROR(__xludf.DUMMYFUNCTION("""COMPUTED_VALUE"""),7.0)</f>
        <v>7</v>
      </c>
      <c r="N306" s="16">
        <f>IFERROR(__xludf.DUMMYFUNCTION("""COMPUTED_VALUE"""),12.0)</f>
        <v>12</v>
      </c>
      <c r="O306" s="16">
        <f>IFERROR(__xludf.DUMMYFUNCTION("""COMPUTED_VALUE"""),1.0)</f>
        <v>1</v>
      </c>
      <c r="P306" s="16">
        <f>IFERROR(__xludf.DUMMYFUNCTION("""COMPUTED_VALUE"""),-2.0)</f>
        <v>-2</v>
      </c>
      <c r="Q306" s="16">
        <f>IFERROR(__xludf.DUMMYFUNCTION("""COMPUTED_VALUE"""),1.0)</f>
        <v>1</v>
      </c>
      <c r="R306" s="16">
        <f>IFERROR(__xludf.DUMMYFUNCTION("""COMPUTED_VALUE"""),-2.0)</f>
        <v>-2</v>
      </c>
      <c r="S306" s="16">
        <f>IFERROR(__xludf.DUMMYFUNCTION("""COMPUTED_VALUE"""),18.0)</f>
        <v>18</v>
      </c>
      <c r="T306" s="16">
        <f>IFERROR(__xludf.DUMMYFUNCTION("""COMPUTED_VALUE"""),14.1)</f>
        <v>14.1</v>
      </c>
      <c r="U306" s="16">
        <f>IFERROR(__xludf.DUMMYFUNCTION("""COMPUTED_VALUE"""),0.0)</f>
        <v>0</v>
      </c>
      <c r="V306" s="16">
        <f>IFERROR(__xludf.DUMMYFUNCTION("""COMPUTED_VALUE"""),0.0)</f>
        <v>0</v>
      </c>
      <c r="W306" s="16">
        <f>IFERROR(__xludf.DUMMYFUNCTION("""COMPUTED_VALUE"""),0.0)</f>
        <v>0</v>
      </c>
      <c r="X306" s="16">
        <f>IFERROR(__xludf.DUMMYFUNCTION("""COMPUTED_VALUE"""),0.0)</f>
        <v>0</v>
      </c>
      <c r="Y306" s="16">
        <f>IFERROR(__xludf.DUMMYFUNCTION("""COMPUTED_VALUE"""),25.0)</f>
        <v>25</v>
      </c>
      <c r="Z306" s="16">
        <f>IFERROR(__xludf.DUMMYFUNCTION("""COMPUTED_VALUE"""),26.1)</f>
        <v>26.1</v>
      </c>
      <c r="AA306" s="16">
        <f>IFERROR(__xludf.DUMMYFUNCTION("""COMPUTED_VALUE"""),0.0)</f>
        <v>0</v>
      </c>
      <c r="AB306" s="16">
        <f>IFERROR(__xludf.DUMMYFUNCTION("""COMPUTED_VALUE"""),0.0)</f>
        <v>0</v>
      </c>
      <c r="AC306" s="16">
        <f>IFERROR(__xludf.DUMMYFUNCTION("""COMPUTED_VALUE"""),0.0)</f>
        <v>0</v>
      </c>
      <c r="AD306" s="16">
        <f>IFERROR(__xludf.DUMMYFUNCTION("""COMPUTED_VALUE"""),0.0)</f>
        <v>0</v>
      </c>
      <c r="AE306" s="16">
        <f>IFERROR(__xludf.DUMMYFUNCTION("""COMPUTED_VALUE"""),24.8)</f>
        <v>24.8</v>
      </c>
      <c r="AF306" s="16">
        <f>IFERROR(__xludf.DUMMYFUNCTION("""COMPUTED_VALUE"""),28.5)</f>
        <v>28.5</v>
      </c>
      <c r="AG306" s="16">
        <f>IFERROR(__xludf.DUMMYFUNCTION("""COMPUTED_VALUE"""),0.0)</f>
        <v>0</v>
      </c>
      <c r="AH306" s="16">
        <f>IFERROR(__xludf.DUMMYFUNCTION("""COMPUTED_VALUE"""),0.0)</f>
        <v>0</v>
      </c>
      <c r="AI306" s="16">
        <f>IFERROR(__xludf.DUMMYFUNCTION("""COMPUTED_VALUE"""),0.0)</f>
        <v>0</v>
      </c>
      <c r="AJ306" s="16">
        <f>IFERROR(__xludf.DUMMYFUNCTION("""COMPUTED_VALUE"""),0.0)</f>
        <v>0</v>
      </c>
      <c r="AK306" s="16">
        <f>IFERROR(__xludf.DUMMYFUNCTION("""COMPUTED_VALUE"""),17.4)</f>
        <v>17.4</v>
      </c>
      <c r="AL306" s="16">
        <f>IFERROR(__xludf.DUMMYFUNCTION("""COMPUTED_VALUE"""),10.3)</f>
        <v>10.3</v>
      </c>
      <c r="AM306" s="16">
        <f>IFERROR(__xludf.DUMMYFUNCTION("""COMPUTED_VALUE"""),-1.0)</f>
        <v>-1</v>
      </c>
      <c r="AN306" s="16">
        <f>IFERROR(__xludf.DUMMYFUNCTION("""COMPUTED_VALUE"""),1.0)</f>
        <v>1</v>
      </c>
      <c r="AO306" s="16">
        <f>IFERROR(__xludf.DUMMYFUNCTION("""COMPUTED_VALUE"""),-1.0)</f>
        <v>-1</v>
      </c>
      <c r="AP306" s="16">
        <f>IFERROR(__xludf.DUMMYFUNCTION("""COMPUTED_VALUE"""),1.0)</f>
        <v>1</v>
      </c>
      <c r="AQ306" s="16">
        <f>IFERROR(__xludf.DUMMYFUNCTION("""COMPUTED_VALUE"""),22.400000000000002)</f>
        <v>22.4</v>
      </c>
      <c r="AR306" s="16">
        <f>IFERROR(__xludf.DUMMYFUNCTION("""COMPUTED_VALUE"""),13.3)</f>
        <v>13.3</v>
      </c>
      <c r="AS306" s="16">
        <f>IFERROR(__xludf.DUMMYFUNCTION("""COMPUTED_VALUE"""),0.0)</f>
        <v>0</v>
      </c>
      <c r="AT306" s="16">
        <f>IFERROR(__xludf.DUMMYFUNCTION("""COMPUTED_VALUE"""),1.0)</f>
        <v>1</v>
      </c>
      <c r="AU306" s="16">
        <f>IFERROR(__xludf.DUMMYFUNCTION("""COMPUTED_VALUE"""),0.0)</f>
        <v>0</v>
      </c>
      <c r="AV306" s="16">
        <f>IFERROR(__xludf.DUMMYFUNCTION("""COMPUTED_VALUE"""),2.0)</f>
        <v>2</v>
      </c>
      <c r="AW306" s="16">
        <f>IFERROR(__xludf.DUMMYFUNCTION("""COMPUTED_VALUE"""),0.6)</f>
        <v>0.6</v>
      </c>
      <c r="AX306" s="16">
        <f>IFERROR(__xludf.DUMMYFUNCTION("""COMPUTED_VALUE"""),3.8)</f>
        <v>3.8</v>
      </c>
      <c r="AY306" s="16">
        <f>IFERROR(__xludf.DUMMYFUNCTION("""COMPUTED_VALUE"""),2.0)</f>
        <v>2</v>
      </c>
      <c r="AZ306" s="16">
        <f>IFERROR(__xludf.DUMMYFUNCTION("""COMPUTED_VALUE"""),-2.0)</f>
        <v>-2</v>
      </c>
      <c r="BA306" s="16">
        <f>IFERROR(__xludf.DUMMYFUNCTION("""COMPUTED_VALUE"""),10.0)</f>
        <v>10</v>
      </c>
      <c r="BB306" s="16">
        <f>IFERROR(__xludf.DUMMYFUNCTION("""COMPUTED_VALUE"""),-10.0)</f>
        <v>-10</v>
      </c>
      <c r="BC306" s="16">
        <f>IFERROR(__xludf.DUMMYFUNCTION("""COMPUTED_VALUE"""),1.0)</f>
        <v>1</v>
      </c>
      <c r="BD306" s="16">
        <f>IFERROR(__xludf.DUMMYFUNCTION("""COMPUTED_VALUE"""),6.0)</f>
        <v>6</v>
      </c>
      <c r="BE306" s="16">
        <f>IFERROR(__xludf.DUMMYFUNCTION("""COMPUTED_VALUE"""),1.0)</f>
        <v>1</v>
      </c>
      <c r="BF306" s="16">
        <f>IFERROR(__xludf.DUMMYFUNCTION("""COMPUTED_VALUE"""),6.0)</f>
        <v>6</v>
      </c>
      <c r="BG306" s="16">
        <f>IFERROR(__xludf.DUMMYFUNCTION("""COMPUTED_VALUE"""),2.0)</f>
        <v>2</v>
      </c>
      <c r="BH306" s="16">
        <f>IFERROR(__xludf.DUMMYFUNCTION("""COMPUTED_VALUE"""),-2.0)</f>
        <v>-2</v>
      </c>
      <c r="BI306" s="16">
        <f>IFERROR(__xludf.DUMMYFUNCTION("""COMPUTED_VALUE"""),4.0)</f>
        <v>4</v>
      </c>
      <c r="BJ306" s="16">
        <f>IFERROR(__xludf.DUMMYFUNCTION("""COMPUTED_VALUE"""),-4.0)</f>
        <v>-4</v>
      </c>
      <c r="BK306" s="16">
        <f>IFERROR(__xludf.DUMMYFUNCTION("""COMPUTED_VALUE"""),5.0)</f>
        <v>5</v>
      </c>
      <c r="BL306" s="16">
        <f>IFERROR(__xludf.DUMMYFUNCTION("""COMPUTED_VALUE"""),5.0)</f>
        <v>5</v>
      </c>
      <c r="BM306" s="16">
        <f>IFERROR(__xludf.DUMMYFUNCTION("""COMPUTED_VALUE"""),0.0)</f>
        <v>0</v>
      </c>
      <c r="BN306" s="16">
        <f>IFERROR(__xludf.DUMMYFUNCTION("""COMPUTED_VALUE"""),0.0)</f>
        <v>0</v>
      </c>
      <c r="BO306" s="16">
        <f>IFERROR(__xludf.DUMMYFUNCTION("""COMPUTED_VALUE"""),0.0)</f>
        <v>0</v>
      </c>
      <c r="BP306" s="16">
        <f>IFERROR(__xludf.DUMMYFUNCTION("""COMPUTED_VALUE"""),0.0)</f>
        <v>0</v>
      </c>
      <c r="BQ306" s="16">
        <f>IFERROR(__xludf.DUMMYFUNCTION("""COMPUTED_VALUE"""),0.0)</f>
        <v>0</v>
      </c>
      <c r="BR306" s="16">
        <f>IFERROR(__xludf.DUMMYFUNCTION("""COMPUTED_VALUE"""),0.0)</f>
        <v>0</v>
      </c>
      <c r="BS306" s="16">
        <f>IFERROR(__xludf.DUMMYFUNCTION("""COMPUTED_VALUE"""),-3.0)</f>
        <v>-3</v>
      </c>
      <c r="BT306" s="16">
        <f>IFERROR(__xludf.DUMMYFUNCTION("""COMPUTED_VALUE"""),-3.0)</f>
        <v>-3</v>
      </c>
      <c r="BU306" s="16">
        <f>IFERROR(__xludf.DUMMYFUNCTION("""COMPUTED_VALUE"""),-6.0)</f>
        <v>-6</v>
      </c>
      <c r="BV306" s="16">
        <f>IFERROR(__xludf.DUMMYFUNCTION("""COMPUTED_VALUE"""),-6.0)</f>
        <v>-6</v>
      </c>
      <c r="BW306" s="16">
        <f>IFERROR(__xludf.DUMMYFUNCTION("""COMPUTED_VALUE"""),1.0)</f>
        <v>1</v>
      </c>
      <c r="BX306" s="16">
        <f>IFERROR(__xludf.DUMMYFUNCTION("""COMPUTED_VALUE"""),1.0)</f>
        <v>1</v>
      </c>
      <c r="BY306" s="16" t="str">
        <f>IFERROR(__xludf.DUMMYFUNCTION("""COMPUTED_VALUE"""),"R(1)")</f>
        <v>R(1)</v>
      </c>
      <c r="BZ306" s="16" t="str">
        <f>IFERROR(__xludf.DUMMYFUNCTION("""COMPUTED_VALUE"""),"R(1)")</f>
        <v>R(1)</v>
      </c>
      <c r="CA306" s="16" t="str">
        <f>IFERROR(__xludf.DUMMYFUNCTION("""COMPUTED_VALUE"""),"R(1)")</f>
        <v>R(1)</v>
      </c>
      <c r="CB306" s="16"/>
      <c r="CC306" s="16"/>
      <c r="CD306" s="16"/>
      <c r="CE306" s="16">
        <f>IFERROR(__xludf.DUMMYFUNCTION("""COMPUTED_VALUE"""),1.0)</f>
        <v>1</v>
      </c>
      <c r="CF306" s="16"/>
      <c r="CG306" s="16" t="str">
        <f>IFERROR(__xludf.DUMMYFUNCTION("""COMPUTED_VALUE"""),"2-26")</f>
        <v>2-26</v>
      </c>
      <c r="CH306" s="16">
        <f>IFERROR(__xludf.DUMMYFUNCTION("""COMPUTED_VALUE"""),2.0)</f>
        <v>2</v>
      </c>
      <c r="CI306" s="16">
        <f>IFERROR(__xludf.DUMMYFUNCTION("""COMPUTED_VALUE"""),26.0)</f>
        <v>26</v>
      </c>
      <c r="CJ306" s="16">
        <f>IFERROR(__xludf.DUMMYFUNCTION("""COMPUTED_VALUE"""),0.0)</f>
        <v>0</v>
      </c>
      <c r="CK306" s="16">
        <f>IFERROR(__xludf.DUMMYFUNCTION("""COMPUTED_VALUE"""),18.0)</f>
        <v>18</v>
      </c>
      <c r="CL306" s="16" t="str">
        <f>IFERROR(__xludf.DUMMYFUNCTION("""COMPUTED_VALUE"""),"1WR-C")</f>
        <v>1WR-C</v>
      </c>
      <c r="CM306" s="16" t="str">
        <f>IFERROR(__xludf.DUMMYFUNCTION("""COMPUTED_VALUE"""),"E")</f>
        <v>E</v>
      </c>
      <c r="CN306" s="16">
        <f>IFERROR(__xludf.DUMMYFUNCTION("""COMPUTED_VALUE"""),10.0)</f>
        <v>10</v>
      </c>
      <c r="CO306" s="16" t="str">
        <f>IFERROR(__xludf.DUMMYFUNCTION("""COMPUTED_VALUE"""),"C")</f>
        <v>C</v>
      </c>
      <c r="CP306" s="16" t="str">
        <f>IFERROR(__xludf.DUMMYFUNCTION("""COMPUTED_VALUE"""),"1p50")</f>
        <v>1p50</v>
      </c>
      <c r="CQ306" s="16">
        <f>IFERROR(__xludf.DUMMYFUNCTION("""COMPUTED_VALUE"""),14.0)</f>
        <v>14</v>
      </c>
      <c r="CR306" s="16">
        <f>IFERROR(__xludf.DUMMYFUNCTION("""COMPUTED_VALUE"""),-16.0)</f>
        <v>-16</v>
      </c>
      <c r="CS306" s="16">
        <f>IFERROR(__xludf.DUMMYFUNCTION("""COMPUTED_VALUE"""),-2.0)</f>
        <v>-2</v>
      </c>
      <c r="CT306" s="16">
        <f>IFERROR(__xludf.DUMMYFUNCTION("""COMPUTED_VALUE"""),14.0)</f>
        <v>14</v>
      </c>
      <c r="CU306" s="16">
        <f>IFERROR(__xludf.DUMMYFUNCTION("""COMPUTED_VALUE"""),-16.0)</f>
        <v>-16</v>
      </c>
      <c r="CV306" s="179">
        <f>IFERROR(__xludf.DUMMYFUNCTION("""COMPUTED_VALUE"""),-2.0)</f>
        <v>-2</v>
      </c>
      <c r="CW306" s="179">
        <f>IFERROR(__xludf.DUMMYFUNCTION("""COMPUTED_VALUE"""),4.0)</f>
        <v>4</v>
      </c>
      <c r="CX306" s="179">
        <f>IFERROR(__xludf.DUMMYFUNCTION("""COMPUTED_VALUE"""),0.0)</f>
        <v>0</v>
      </c>
      <c r="CY306" s="16" t="str">
        <f>IFERROR(__xludf.DUMMYFUNCTION("""COMPUTED_VALUE"""),"RP")</f>
        <v>RP</v>
      </c>
      <c r="CZ306" s="16"/>
      <c r="DA306" s="16"/>
      <c r="DB306" s="16"/>
      <c r="DC306" s="16"/>
      <c r="DD306" s="16"/>
      <c r="DE306" s="16"/>
      <c r="DF306" s="16"/>
      <c r="DG306" s="16"/>
      <c r="DH306" s="16"/>
      <c r="DI306" s="16"/>
      <c r="DJ306" s="16"/>
      <c r="DK306" s="16"/>
    </row>
    <row r="307">
      <c r="A307" s="16">
        <f>IFERROR(__xludf.DUMMYFUNCTION("""COMPUTED_VALUE"""),13462.0)</f>
        <v>13462</v>
      </c>
      <c r="B307" s="16" t="str">
        <f>IFERROR(__xludf.DUMMYFUNCTION("""COMPUTED_VALUE"""),"Tyrone Taylor")</f>
        <v>Tyrone Taylor</v>
      </c>
      <c r="C307" s="153">
        <f>IFERROR(__xludf.DUMMYFUNCTION("""COMPUTED_VALUE"""),1.68)</f>
        <v>1.68</v>
      </c>
      <c r="D307" s="16"/>
      <c r="E307" s="16" t="str">
        <f>IFERROR(__xludf.DUMMYFUNCTION("""COMPUTED_VALUE"""),"R")</f>
        <v>R</v>
      </c>
      <c r="F307" s="16">
        <f>IFERROR(__xludf.DUMMYFUNCTION("""COMPUTED_VALUE"""),19.0)</f>
        <v>19</v>
      </c>
      <c r="G307" s="16">
        <f>IFERROR(__xludf.DUMMYFUNCTION("""COMPUTED_VALUE"""),48.0)</f>
        <v>48</v>
      </c>
      <c r="H307" s="16">
        <f>IFERROR(__xludf.DUMMYFUNCTION("""COMPUTED_VALUE"""),37.0)</f>
        <v>37</v>
      </c>
      <c r="I307" s="16">
        <f>IFERROR(__xludf.DUMMYFUNCTION("""COMPUTED_VALUE"""),2.0)</f>
        <v>2</v>
      </c>
      <c r="J307" s="16">
        <f>IFERROR(__xludf.DUMMYFUNCTION("""COMPUTED_VALUE"""),1.0)</f>
        <v>1</v>
      </c>
      <c r="K307" s="16">
        <f>IFERROR(__xludf.DUMMYFUNCTION("""COMPUTED_VALUE"""),6.0)</f>
        <v>6</v>
      </c>
      <c r="L307" s="16">
        <f>IFERROR(__xludf.DUMMYFUNCTION("""COMPUTED_VALUE"""),3.0)</f>
        <v>3</v>
      </c>
      <c r="M307" s="16">
        <f>IFERROR(__xludf.DUMMYFUNCTION("""COMPUTED_VALUE"""),14.0)</f>
        <v>14</v>
      </c>
      <c r="N307" s="16">
        <f>IFERROR(__xludf.DUMMYFUNCTION("""COMPUTED_VALUE"""),7.0)</f>
        <v>7</v>
      </c>
      <c r="O307" s="16">
        <f>IFERROR(__xludf.DUMMYFUNCTION("""COMPUTED_VALUE"""),-2.0)</f>
        <v>-2</v>
      </c>
      <c r="P307" s="16">
        <f>IFERROR(__xludf.DUMMYFUNCTION("""COMPUTED_VALUE"""),1.0)</f>
        <v>1</v>
      </c>
      <c r="Q307" s="16">
        <f>IFERROR(__xludf.DUMMYFUNCTION("""COMPUTED_VALUE"""),-2.0)</f>
        <v>-2</v>
      </c>
      <c r="R307" s="16">
        <f>IFERROR(__xludf.DUMMYFUNCTION("""COMPUTED_VALUE"""),1.0)</f>
        <v>1</v>
      </c>
      <c r="S307" s="16">
        <f>IFERROR(__xludf.DUMMYFUNCTION("""COMPUTED_VALUE"""),4.6)</f>
        <v>4.6</v>
      </c>
      <c r="T307" s="16">
        <f>IFERROR(__xludf.DUMMYFUNCTION("""COMPUTED_VALUE"""),10.5)</f>
        <v>10.5</v>
      </c>
      <c r="U307" s="16">
        <f>IFERROR(__xludf.DUMMYFUNCTION("""COMPUTED_VALUE"""),2.0)</f>
        <v>2</v>
      </c>
      <c r="V307" s="16">
        <f>IFERROR(__xludf.DUMMYFUNCTION("""COMPUTED_VALUE"""),1.0)</f>
        <v>1</v>
      </c>
      <c r="W307" s="16">
        <f>IFERROR(__xludf.DUMMYFUNCTION("""COMPUTED_VALUE"""),4.0)</f>
        <v>4</v>
      </c>
      <c r="X307" s="16">
        <f>IFERROR(__xludf.DUMMYFUNCTION("""COMPUTED_VALUE"""),2.0)</f>
        <v>2</v>
      </c>
      <c r="Y307" s="16">
        <f>IFERROR(__xludf.DUMMYFUNCTION("""COMPUTED_VALUE"""),18.6)</f>
        <v>18.6</v>
      </c>
      <c r="Z307" s="16">
        <f>IFERROR(__xludf.DUMMYFUNCTION("""COMPUTED_VALUE"""),17.5)</f>
        <v>17.5</v>
      </c>
      <c r="AA307" s="16">
        <f>IFERROR(__xludf.DUMMYFUNCTION("""COMPUTED_VALUE"""),1.0)</f>
        <v>1</v>
      </c>
      <c r="AB307" s="16">
        <f>IFERROR(__xludf.DUMMYFUNCTION("""COMPUTED_VALUE"""),1.0)</f>
        <v>1</v>
      </c>
      <c r="AC307" s="16">
        <f>IFERROR(__xludf.DUMMYFUNCTION("""COMPUTED_VALUE"""),5.0)</f>
        <v>5</v>
      </c>
      <c r="AD307" s="16">
        <f>IFERROR(__xludf.DUMMYFUNCTION("""COMPUTED_VALUE"""),5.0)</f>
        <v>5</v>
      </c>
      <c r="AE307" s="16">
        <f>IFERROR(__xludf.DUMMYFUNCTION("""COMPUTED_VALUE"""),15.9)</f>
        <v>15.9</v>
      </c>
      <c r="AF307" s="16">
        <f>IFERROR(__xludf.DUMMYFUNCTION("""COMPUTED_VALUE"""),32.0)</f>
        <v>32</v>
      </c>
      <c r="AG307" s="16">
        <f>IFERROR(__xludf.DUMMYFUNCTION("""COMPUTED_VALUE"""),1.0)</f>
        <v>1</v>
      </c>
      <c r="AH307" s="16">
        <f>IFERROR(__xludf.DUMMYFUNCTION("""COMPUTED_VALUE"""),0.0)</f>
        <v>0</v>
      </c>
      <c r="AI307" s="16">
        <f>IFERROR(__xludf.DUMMYFUNCTION("""COMPUTED_VALUE"""),2.0)</f>
        <v>2</v>
      </c>
      <c r="AJ307" s="16">
        <f>IFERROR(__xludf.DUMMYFUNCTION("""COMPUTED_VALUE"""),0.0)</f>
        <v>0</v>
      </c>
      <c r="AK307" s="16">
        <f>IFERROR(__xludf.DUMMYFUNCTION("""COMPUTED_VALUE"""),1.1999999999999997)</f>
        <v>1.2</v>
      </c>
      <c r="AL307" s="16">
        <f>IFERROR(__xludf.DUMMYFUNCTION("""COMPUTED_VALUE"""),5.0)</f>
        <v>5</v>
      </c>
      <c r="AM307" s="16">
        <f>IFERROR(__xludf.DUMMYFUNCTION("""COMPUTED_VALUE"""),2.0)</f>
        <v>2</v>
      </c>
      <c r="AN307" s="16">
        <f>IFERROR(__xludf.DUMMYFUNCTION("""COMPUTED_VALUE"""),2.0)</f>
        <v>2</v>
      </c>
      <c r="AO307" s="16">
        <f>IFERROR(__xludf.DUMMYFUNCTION("""COMPUTED_VALUE"""),2.0)</f>
        <v>2</v>
      </c>
      <c r="AP307" s="16">
        <f>IFERROR(__xludf.DUMMYFUNCTION("""COMPUTED_VALUE"""),2.0)</f>
        <v>2</v>
      </c>
      <c r="AQ307" s="16">
        <f>IFERROR(__xludf.DUMMYFUNCTION("""COMPUTED_VALUE"""),2.3000000000000007)</f>
        <v>2.3</v>
      </c>
      <c r="AR307" s="16">
        <f>IFERROR(__xludf.DUMMYFUNCTION("""COMPUTED_VALUE"""),10.0)</f>
        <v>10</v>
      </c>
      <c r="AS307" s="16">
        <f>IFERROR(__xludf.DUMMYFUNCTION("""COMPUTED_VALUE"""),2.0)</f>
        <v>2</v>
      </c>
      <c r="AT307" s="16">
        <f>IFERROR(__xludf.DUMMYFUNCTION("""COMPUTED_VALUE"""),1.0)</f>
        <v>1</v>
      </c>
      <c r="AU307" s="16">
        <f>IFERROR(__xludf.DUMMYFUNCTION("""COMPUTED_VALUE"""),4.0)</f>
        <v>4</v>
      </c>
      <c r="AV307" s="16">
        <f>IFERROR(__xludf.DUMMYFUNCTION("""COMPUTED_VALUE"""),2.0)</f>
        <v>2</v>
      </c>
      <c r="AW307" s="16">
        <f>IFERROR(__xludf.DUMMYFUNCTION("""COMPUTED_VALUE"""),3.4)</f>
        <v>3.4</v>
      </c>
      <c r="AX307" s="16">
        <f>IFERROR(__xludf.DUMMYFUNCTION("""COMPUTED_VALUE"""),5.5)</f>
        <v>5.5</v>
      </c>
      <c r="AY307" s="16">
        <f>IFERROR(__xludf.DUMMYFUNCTION("""COMPUTED_VALUE"""),-2.0)</f>
        <v>-2</v>
      </c>
      <c r="AZ307" s="16">
        <f>IFERROR(__xludf.DUMMYFUNCTION("""COMPUTED_VALUE"""),-3.0)</f>
        <v>-3</v>
      </c>
      <c r="BA307" s="16">
        <f>IFERROR(__xludf.DUMMYFUNCTION("""COMPUTED_VALUE"""),-10.0)</f>
        <v>-10</v>
      </c>
      <c r="BB307" s="16">
        <f>IFERROR(__xludf.DUMMYFUNCTION("""COMPUTED_VALUE"""),-15.0)</f>
        <v>-15</v>
      </c>
      <c r="BC307" s="16"/>
      <c r="BD307" s="16"/>
      <c r="BE307" s="16">
        <f>IFERROR(__xludf.DUMMYFUNCTION("""COMPUTED_VALUE"""),6.0)</f>
        <v>6</v>
      </c>
      <c r="BF307" s="16">
        <f>IFERROR(__xludf.DUMMYFUNCTION("""COMPUTED_VALUE"""),8.0)</f>
        <v>8</v>
      </c>
      <c r="BG307" s="16">
        <f>IFERROR(__xludf.DUMMYFUNCTION("""COMPUTED_VALUE"""),-3.0)</f>
        <v>-3</v>
      </c>
      <c r="BH307" s="16">
        <f>IFERROR(__xludf.DUMMYFUNCTION("""COMPUTED_VALUE"""),-3.0)</f>
        <v>-3</v>
      </c>
      <c r="BI307" s="16">
        <f>IFERROR(__xludf.DUMMYFUNCTION("""COMPUTED_VALUE"""),-6.0)</f>
        <v>-6</v>
      </c>
      <c r="BJ307" s="16">
        <f>IFERROR(__xludf.DUMMYFUNCTION("""COMPUTED_VALUE"""),-6.0)</f>
        <v>-6</v>
      </c>
      <c r="BK307" s="16">
        <f>IFERROR(__xludf.DUMMYFUNCTION("""COMPUTED_VALUE"""),0.0)</f>
        <v>0</v>
      </c>
      <c r="BL307" s="16">
        <f>IFERROR(__xludf.DUMMYFUNCTION("""COMPUTED_VALUE"""),0.0)</f>
        <v>0</v>
      </c>
      <c r="BM307" s="16">
        <f>IFERROR(__xludf.DUMMYFUNCTION("""COMPUTED_VALUE"""),1.0)</f>
        <v>1</v>
      </c>
      <c r="BN307" s="16">
        <f>IFERROR(__xludf.DUMMYFUNCTION("""COMPUTED_VALUE"""),1.0)</f>
        <v>1</v>
      </c>
      <c r="BO307" s="16">
        <f>IFERROR(__xludf.DUMMYFUNCTION("""COMPUTED_VALUE"""),1.0)</f>
        <v>1</v>
      </c>
      <c r="BP307" s="16">
        <f>IFERROR(__xludf.DUMMYFUNCTION("""COMPUTED_VALUE"""),1.0)</f>
        <v>1</v>
      </c>
      <c r="BQ307" s="16">
        <f>IFERROR(__xludf.DUMMYFUNCTION("""COMPUTED_VALUE"""),0.0)</f>
        <v>0</v>
      </c>
      <c r="BR307" s="16">
        <f>IFERROR(__xludf.DUMMYFUNCTION("""COMPUTED_VALUE"""),0.0)</f>
        <v>0</v>
      </c>
      <c r="BS307" s="16">
        <f>IFERROR(__xludf.DUMMYFUNCTION("""COMPUTED_VALUE"""),-3.0)</f>
        <v>-3</v>
      </c>
      <c r="BT307" s="16">
        <f>IFERROR(__xludf.DUMMYFUNCTION("""COMPUTED_VALUE"""),-3.0)</f>
        <v>-3</v>
      </c>
      <c r="BU307" s="16">
        <f>IFERROR(__xludf.DUMMYFUNCTION("""COMPUTED_VALUE"""),-6.0)</f>
        <v>-6</v>
      </c>
      <c r="BV307" s="16">
        <f>IFERROR(__xludf.DUMMYFUNCTION("""COMPUTED_VALUE"""),-6.0)</f>
        <v>-6</v>
      </c>
      <c r="BW307" s="16">
        <f>IFERROR(__xludf.DUMMYFUNCTION("""COMPUTED_VALUE"""),0.0)</f>
        <v>0</v>
      </c>
      <c r="BX307" s="16">
        <f>IFERROR(__xludf.DUMMYFUNCTION("""COMPUTED_VALUE"""),0.0)</f>
        <v>0</v>
      </c>
      <c r="BY307" s="16" t="str">
        <f>IFERROR(__xludf.DUMMYFUNCTION("""COMPUTED_VALUE"""),"R(1) C(0)")</f>
        <v>R(1) C(0)</v>
      </c>
      <c r="BZ307" s="16" t="str">
        <f>IFERROR(__xludf.DUMMYFUNCTION("""COMPUTED_VALUE"""),"R(1) C(0)")</f>
        <v>R(1) C(0)</v>
      </c>
      <c r="CA307" s="16" t="str">
        <f>IFERROR(__xludf.DUMMYFUNCTION("""COMPUTED_VALUE"""),"R(1)")</f>
        <v>R(1)</v>
      </c>
      <c r="CB307" s="16" t="str">
        <f>IFERROR(__xludf.DUMMYFUNCTION("""COMPUTED_VALUE"""),"C(0)")</f>
        <v>C(0)</v>
      </c>
      <c r="CC307" s="16"/>
      <c r="CD307" s="16"/>
      <c r="CE307" s="16">
        <f>IFERROR(__xludf.DUMMYFUNCTION("""COMPUTED_VALUE"""),1.0)</f>
        <v>1</v>
      </c>
      <c r="CF307" s="16">
        <f>IFERROR(__xludf.DUMMYFUNCTION("""COMPUTED_VALUE"""),0.0)</f>
        <v>0</v>
      </c>
      <c r="CG307" s="16" t="str">
        <f>IFERROR(__xludf.DUMMYFUNCTION("""COMPUTED_VALUE"""),"3-0")</f>
        <v>3-0</v>
      </c>
      <c r="CH307" s="16">
        <f>IFERROR(__xludf.DUMMYFUNCTION("""COMPUTED_VALUE"""),3.0)</f>
        <v>3</v>
      </c>
      <c r="CI307" s="16">
        <f>IFERROR(__xludf.DUMMYFUNCTION("""COMPUTED_VALUE"""),0.0)</f>
        <v>0</v>
      </c>
      <c r="CJ307" s="16">
        <f>IFERROR(__xludf.DUMMYFUNCTION("""COMPUTED_VALUE"""),0.0)</f>
        <v>0</v>
      </c>
      <c r="CK307" s="16">
        <f>IFERROR(__xludf.DUMMYFUNCTION("""COMPUTED_VALUE"""),20.0)</f>
        <v>20</v>
      </c>
      <c r="CL307" s="16" t="str">
        <f>IFERROR(__xludf.DUMMYFUNCTION("""COMPUTED_VALUE"""),"1WR-C")</f>
        <v>1WR-C</v>
      </c>
      <c r="CM307" s="16" t="str">
        <f>IFERROR(__xludf.DUMMYFUNCTION("""COMPUTED_VALUE"""),"E")</f>
        <v>E</v>
      </c>
      <c r="CN307" s="16">
        <f>IFERROR(__xludf.DUMMYFUNCTION("""COMPUTED_VALUE"""),10.0)</f>
        <v>10</v>
      </c>
      <c r="CO307" s="16" t="str">
        <f>IFERROR(__xludf.DUMMYFUNCTION("""COMPUTED_VALUE"""),"C")</f>
        <v>C</v>
      </c>
      <c r="CP307" s="16" t="str">
        <f>IFERROR(__xludf.DUMMYFUNCTION("""COMPUTED_VALUE"""),"1p60")</f>
        <v>1p60</v>
      </c>
      <c r="CQ307" s="16">
        <f>IFERROR(__xludf.DUMMYFUNCTION("""COMPUTED_VALUE"""),0.0)</f>
        <v>0</v>
      </c>
      <c r="CR307" s="16">
        <f>IFERROR(__xludf.DUMMYFUNCTION("""COMPUTED_VALUE"""),-11.0)</f>
        <v>-11</v>
      </c>
      <c r="CS307" s="16">
        <f>IFERROR(__xludf.DUMMYFUNCTION("""COMPUTED_VALUE"""),-11.0)</f>
        <v>-11</v>
      </c>
      <c r="CT307" s="16">
        <f>IFERROR(__xludf.DUMMYFUNCTION("""COMPUTED_VALUE"""),0.0)</f>
        <v>0</v>
      </c>
      <c r="CU307" s="16">
        <f>IFERROR(__xludf.DUMMYFUNCTION("""COMPUTED_VALUE"""),-11.0)</f>
        <v>-11</v>
      </c>
      <c r="CV307" s="179">
        <f>IFERROR(__xludf.DUMMYFUNCTION("""COMPUTED_VALUE"""),-2.333333333333333)</f>
        <v>-2.333333333</v>
      </c>
      <c r="CW307" s="179">
        <f>IFERROR(__xludf.DUMMYFUNCTION("""COMPUTED_VALUE"""),4.0)</f>
        <v>4</v>
      </c>
      <c r="CX307" s="179">
        <f>IFERROR(__xludf.DUMMYFUNCTION("""COMPUTED_VALUE"""),1.0)</f>
        <v>1</v>
      </c>
      <c r="CY307" s="16" t="str">
        <f>IFERROR(__xludf.DUMMYFUNCTION("""COMPUTED_VALUE"""),"RP")</f>
        <v>RP</v>
      </c>
      <c r="CZ307" s="16" t="str">
        <f>IFERROR(__xludf.DUMMYFUNCTION("""COMPUTED_VALUE"""),"CP")</f>
        <v>CP</v>
      </c>
      <c r="DA307" s="16"/>
      <c r="DB307" s="16"/>
      <c r="DC307" s="16"/>
      <c r="DD307" s="16"/>
      <c r="DE307" s="16"/>
      <c r="DF307" s="16"/>
      <c r="DG307" s="16"/>
      <c r="DH307" s="16"/>
      <c r="DI307" s="16"/>
      <c r="DJ307" s="16"/>
      <c r="DK307" s="16"/>
    </row>
    <row r="308">
      <c r="A308" s="16">
        <f>IFERROR(__xludf.DUMMYFUNCTION("""COMPUTED_VALUE"""),12669.0)</f>
        <v>12669</v>
      </c>
      <c r="B308" s="16" t="str">
        <f>IFERROR(__xludf.DUMMYFUNCTION("""COMPUTED_VALUE"""),"Charlie Morton")</f>
        <v>Charlie Morton</v>
      </c>
      <c r="C308" s="153">
        <f>IFERROR(__xludf.DUMMYFUNCTION("""COMPUTED_VALUE"""),0.36)</f>
        <v>0.36</v>
      </c>
      <c r="D308" s="16"/>
      <c r="E308" s="16" t="str">
        <f>IFERROR(__xludf.DUMMYFUNCTION("""COMPUTED_VALUE"""),"R")</f>
        <v>R</v>
      </c>
      <c r="F308" s="16">
        <f>IFERROR(__xludf.DUMMYFUNCTION("""COMPUTED_VALUE"""),165.0)</f>
        <v>165</v>
      </c>
      <c r="G308" s="16">
        <f>IFERROR(__xludf.DUMMYFUNCTION("""COMPUTED_VALUE"""),35.0)</f>
        <v>35</v>
      </c>
      <c r="H308" s="16">
        <f>IFERROR(__xludf.DUMMYFUNCTION("""COMPUTED_VALUE"""),17.0)</f>
        <v>17</v>
      </c>
      <c r="I308" s="16">
        <f>IFERROR(__xludf.DUMMYFUNCTION("""COMPUTED_VALUE"""),1.0)</f>
        <v>1</v>
      </c>
      <c r="J308" s="16">
        <f>IFERROR(__xludf.DUMMYFUNCTION("""COMPUTED_VALUE"""),-1.0)</f>
        <v>-1</v>
      </c>
      <c r="K308" s="16">
        <f>IFERROR(__xludf.DUMMYFUNCTION("""COMPUTED_VALUE"""),3.0)</f>
        <v>3</v>
      </c>
      <c r="L308" s="16">
        <f>IFERROR(__xludf.DUMMYFUNCTION("""COMPUTED_VALUE"""),-3.0)</f>
        <v>-3</v>
      </c>
      <c r="M308" s="16">
        <f>IFERROR(__xludf.DUMMYFUNCTION("""COMPUTED_VALUE"""),20.0)</f>
        <v>20</v>
      </c>
      <c r="N308" s="16">
        <f>IFERROR(__xludf.DUMMYFUNCTION("""COMPUTED_VALUE"""),4.0)</f>
        <v>4</v>
      </c>
      <c r="O308" s="16">
        <f>IFERROR(__xludf.DUMMYFUNCTION("""COMPUTED_VALUE"""),-3.0)</f>
        <v>-3</v>
      </c>
      <c r="P308" s="16">
        <f>IFERROR(__xludf.DUMMYFUNCTION("""COMPUTED_VALUE"""),2.0)</f>
        <v>2</v>
      </c>
      <c r="Q308" s="16">
        <f>IFERROR(__xludf.DUMMYFUNCTION("""COMPUTED_VALUE"""),-3.0)</f>
        <v>-3</v>
      </c>
      <c r="R308" s="16">
        <f>IFERROR(__xludf.DUMMYFUNCTION("""COMPUTED_VALUE"""),2.0)</f>
        <v>2</v>
      </c>
      <c r="S308" s="16">
        <f>IFERROR(__xludf.DUMMYFUNCTION("""COMPUTED_VALUE"""),13.1)</f>
        <v>13.1</v>
      </c>
      <c r="T308" s="16">
        <f>IFERROR(__xludf.DUMMYFUNCTION("""COMPUTED_VALUE"""),21.0)</f>
        <v>21</v>
      </c>
      <c r="U308" s="16">
        <f>IFERROR(__xludf.DUMMYFUNCTION("""COMPUTED_VALUE"""),0.0)</f>
        <v>0</v>
      </c>
      <c r="V308" s="16">
        <f>IFERROR(__xludf.DUMMYFUNCTION("""COMPUTED_VALUE"""),-1.0)</f>
        <v>-1</v>
      </c>
      <c r="W308" s="16">
        <f>IFERROR(__xludf.DUMMYFUNCTION("""COMPUTED_VALUE"""),0.0)</f>
        <v>0</v>
      </c>
      <c r="X308" s="16">
        <f>IFERROR(__xludf.DUMMYFUNCTION("""COMPUTED_VALUE"""),-2.0)</f>
        <v>-2</v>
      </c>
      <c r="Y308" s="16">
        <f>IFERROR(__xludf.DUMMYFUNCTION("""COMPUTED_VALUE"""),33.2)</f>
        <v>33.2</v>
      </c>
      <c r="Z308" s="16">
        <f>IFERROR(__xludf.DUMMYFUNCTION("""COMPUTED_VALUE"""),25.0)</f>
        <v>25</v>
      </c>
      <c r="AA308" s="16">
        <f>IFERROR(__xludf.DUMMYFUNCTION("""COMPUTED_VALUE"""),-1.0)</f>
        <v>-1</v>
      </c>
      <c r="AB308" s="16">
        <f>IFERROR(__xludf.DUMMYFUNCTION("""COMPUTED_VALUE"""),0.0)</f>
        <v>0</v>
      </c>
      <c r="AC308" s="16">
        <f>IFERROR(__xludf.DUMMYFUNCTION("""COMPUTED_VALUE"""),-5.0)</f>
        <v>-5</v>
      </c>
      <c r="AD308" s="16">
        <f>IFERROR(__xludf.DUMMYFUNCTION("""COMPUTED_VALUE"""),0.0)</f>
        <v>0</v>
      </c>
      <c r="AE308" s="16">
        <f>IFERROR(__xludf.DUMMYFUNCTION("""COMPUTED_VALUE"""),22.8)</f>
        <v>22.8</v>
      </c>
      <c r="AF308" s="16">
        <f>IFERROR(__xludf.DUMMYFUNCTION("""COMPUTED_VALUE"""),41.0)</f>
        <v>41</v>
      </c>
      <c r="AG308" s="16">
        <f>IFERROR(__xludf.DUMMYFUNCTION("""COMPUTED_VALUE"""),1.0)</f>
        <v>1</v>
      </c>
      <c r="AH308" s="16">
        <f>IFERROR(__xludf.DUMMYFUNCTION("""COMPUTED_VALUE"""),-1.0)</f>
        <v>-1</v>
      </c>
      <c r="AI308" s="16">
        <f>IFERROR(__xludf.DUMMYFUNCTION("""COMPUTED_VALUE"""),2.0)</f>
        <v>2</v>
      </c>
      <c r="AJ308" s="16">
        <f>IFERROR(__xludf.DUMMYFUNCTION("""COMPUTED_VALUE"""),-2.0)</f>
        <v>-2</v>
      </c>
      <c r="AK308" s="16">
        <f>IFERROR(__xludf.DUMMYFUNCTION("""COMPUTED_VALUE"""),11.7)</f>
        <v>11.7</v>
      </c>
      <c r="AL308" s="16">
        <f>IFERROR(__xludf.DUMMYFUNCTION("""COMPUTED_VALUE"""),17.0)</f>
        <v>17</v>
      </c>
      <c r="AM308" s="16">
        <f>IFERROR(__xludf.DUMMYFUNCTION("""COMPUTED_VALUE"""),0.0)</f>
        <v>0</v>
      </c>
      <c r="AN308" s="16">
        <f>IFERROR(__xludf.DUMMYFUNCTION("""COMPUTED_VALUE"""),-1.0)</f>
        <v>-1</v>
      </c>
      <c r="AO308" s="16">
        <f>IFERROR(__xludf.DUMMYFUNCTION("""COMPUTED_VALUE"""),0.0)</f>
        <v>0</v>
      </c>
      <c r="AP308" s="16">
        <f>IFERROR(__xludf.DUMMYFUNCTION("""COMPUTED_VALUE"""),-1.0)</f>
        <v>-1</v>
      </c>
      <c r="AQ308" s="16">
        <f>IFERROR(__xludf.DUMMYFUNCTION("""COMPUTED_VALUE"""),17.200000000000003)</f>
        <v>17.2</v>
      </c>
      <c r="AR308" s="16">
        <f>IFERROR(__xludf.DUMMYFUNCTION("""COMPUTED_VALUE"""),25.0)</f>
        <v>25</v>
      </c>
      <c r="AS308" s="16">
        <f>IFERROR(__xludf.DUMMYFUNCTION("""COMPUTED_VALUE"""),0.0)</f>
        <v>0</v>
      </c>
      <c r="AT308" s="16">
        <f>IFERROR(__xludf.DUMMYFUNCTION("""COMPUTED_VALUE"""),-1.0)</f>
        <v>-1</v>
      </c>
      <c r="AU308" s="16">
        <f>IFERROR(__xludf.DUMMYFUNCTION("""COMPUTED_VALUE"""),0.0)</f>
        <v>0</v>
      </c>
      <c r="AV308" s="16">
        <f>IFERROR(__xludf.DUMMYFUNCTION("""COMPUTED_VALUE"""),-2.0)</f>
        <v>-2</v>
      </c>
      <c r="AW308" s="16">
        <f>IFERROR(__xludf.DUMMYFUNCTION("""COMPUTED_VALUE"""),1.4)</f>
        <v>1.4</v>
      </c>
      <c r="AX308" s="16">
        <f>IFERROR(__xludf.DUMMYFUNCTION("""COMPUTED_VALUE"""),4.0)</f>
        <v>4</v>
      </c>
      <c r="AY308" s="16">
        <f>IFERROR(__xludf.DUMMYFUNCTION("""COMPUTED_VALUE"""),1.0)</f>
        <v>1</v>
      </c>
      <c r="AZ308" s="16">
        <f>IFERROR(__xludf.DUMMYFUNCTION("""COMPUTED_VALUE"""),-2.0)</f>
        <v>-2</v>
      </c>
      <c r="BA308" s="16">
        <f>IFERROR(__xludf.DUMMYFUNCTION("""COMPUTED_VALUE"""),5.0)</f>
        <v>5</v>
      </c>
      <c r="BB308" s="16">
        <f>IFERROR(__xludf.DUMMYFUNCTION("""COMPUTED_VALUE"""),-10.0)</f>
        <v>-10</v>
      </c>
      <c r="BC308" s="16">
        <f>IFERROR(__xludf.DUMMYFUNCTION("""COMPUTED_VALUE"""),1.0)</f>
        <v>1</v>
      </c>
      <c r="BD308" s="16">
        <f>IFERROR(__xludf.DUMMYFUNCTION("""COMPUTED_VALUE"""),6.0)</f>
        <v>6</v>
      </c>
      <c r="BE308" s="16">
        <f>IFERROR(__xludf.DUMMYFUNCTION("""COMPUTED_VALUE"""),1.0)</f>
        <v>1</v>
      </c>
      <c r="BF308" s="16">
        <f>IFERROR(__xludf.DUMMYFUNCTION("""COMPUTED_VALUE"""),6.0)</f>
        <v>6</v>
      </c>
      <c r="BG308" s="16">
        <f>IFERROR(__xludf.DUMMYFUNCTION("""COMPUTED_VALUE"""),2.0)</f>
        <v>2</v>
      </c>
      <c r="BH308" s="16">
        <f>IFERROR(__xludf.DUMMYFUNCTION("""COMPUTED_VALUE"""),-2.0)</f>
        <v>-2</v>
      </c>
      <c r="BI308" s="16">
        <f>IFERROR(__xludf.DUMMYFUNCTION("""COMPUTED_VALUE"""),4.0)</f>
        <v>4</v>
      </c>
      <c r="BJ308" s="16">
        <f>IFERROR(__xludf.DUMMYFUNCTION("""COMPUTED_VALUE"""),-4.0)</f>
        <v>-4</v>
      </c>
      <c r="BK308" s="16">
        <f>IFERROR(__xludf.DUMMYFUNCTION("""COMPUTED_VALUE"""),5.0)</f>
        <v>5</v>
      </c>
      <c r="BL308" s="16">
        <f>IFERROR(__xludf.DUMMYFUNCTION("""COMPUTED_VALUE"""),5.0)</f>
        <v>5</v>
      </c>
      <c r="BM308" s="16">
        <f>IFERROR(__xludf.DUMMYFUNCTION("""COMPUTED_VALUE"""),0.0)</f>
        <v>0</v>
      </c>
      <c r="BN308" s="16">
        <f>IFERROR(__xludf.DUMMYFUNCTION("""COMPUTED_VALUE"""),0.0)</f>
        <v>0</v>
      </c>
      <c r="BO308" s="16">
        <f>IFERROR(__xludf.DUMMYFUNCTION("""COMPUTED_VALUE"""),0.0)</f>
        <v>0</v>
      </c>
      <c r="BP308" s="16">
        <f>IFERROR(__xludf.DUMMYFUNCTION("""COMPUTED_VALUE"""),0.0)</f>
        <v>0</v>
      </c>
      <c r="BQ308" s="16">
        <f>IFERROR(__xludf.DUMMYFUNCTION("""COMPUTED_VALUE"""),3.0)</f>
        <v>3</v>
      </c>
      <c r="BR308" s="16">
        <f>IFERROR(__xludf.DUMMYFUNCTION("""COMPUTED_VALUE"""),9.0)</f>
        <v>9</v>
      </c>
      <c r="BS308" s="16">
        <f>IFERROR(__xludf.DUMMYFUNCTION("""COMPUTED_VALUE"""),-1.0)</f>
        <v>-1</v>
      </c>
      <c r="BT308" s="16">
        <f>IFERROR(__xludf.DUMMYFUNCTION("""COMPUTED_VALUE"""),3.0)</f>
        <v>3</v>
      </c>
      <c r="BU308" s="16">
        <f>IFERROR(__xludf.DUMMYFUNCTION("""COMPUTED_VALUE"""),-2.0)</f>
        <v>-2</v>
      </c>
      <c r="BV308" s="16">
        <f>IFERROR(__xludf.DUMMYFUNCTION("""COMPUTED_VALUE"""),6.0)</f>
        <v>6</v>
      </c>
      <c r="BW308" s="16">
        <f>IFERROR(__xludf.DUMMYFUNCTION("""COMPUTED_VALUE"""),-2.0)</f>
        <v>-2</v>
      </c>
      <c r="BX308" s="16">
        <f>IFERROR(__xludf.DUMMYFUNCTION("""COMPUTED_VALUE"""),-2.0)</f>
        <v>-2</v>
      </c>
      <c r="BY308" s="16" t="str">
        <f>IFERROR(__xludf.DUMMYFUNCTION("""COMPUTED_VALUE"""),"S(6)")</f>
        <v>S(6)</v>
      </c>
      <c r="BZ308" s="16" t="str">
        <f>IFERROR(__xludf.DUMMYFUNCTION("""COMPUTED_VALUE"""),"S(6)")</f>
        <v>S(6)</v>
      </c>
      <c r="CA308" s="16" t="str">
        <f>IFERROR(__xludf.DUMMYFUNCTION("""COMPUTED_VALUE"""),"S(6)")</f>
        <v>S(6)</v>
      </c>
      <c r="CB308" s="16"/>
      <c r="CC308" s="16"/>
      <c r="CD308" s="16">
        <f>IFERROR(__xludf.DUMMYFUNCTION("""COMPUTED_VALUE"""),6.0)</f>
        <v>6</v>
      </c>
      <c r="CE308" s="16"/>
      <c r="CF308" s="16"/>
      <c r="CG308" s="16" t="str">
        <f>IFERROR(__xludf.DUMMYFUNCTION("""COMPUTED_VALUE"""),"2-26")</f>
        <v>2-26</v>
      </c>
      <c r="CH308" s="16">
        <f>IFERROR(__xludf.DUMMYFUNCTION("""COMPUTED_VALUE"""),2.0)</f>
        <v>2</v>
      </c>
      <c r="CI308" s="16">
        <f>IFERROR(__xludf.DUMMYFUNCTION("""COMPUTED_VALUE"""),26.0)</f>
        <v>26</v>
      </c>
      <c r="CJ308" s="16">
        <f>IFERROR(__xludf.DUMMYFUNCTION("""COMPUTED_VALUE"""),2.0)</f>
        <v>2</v>
      </c>
      <c r="CK308" s="16">
        <f>IFERROR(__xludf.DUMMYFUNCTION("""COMPUTED_VALUE"""),2.0)</f>
        <v>2</v>
      </c>
      <c r="CL308" s="16" t="str">
        <f>IFERROR(__xludf.DUMMYFUNCTION("""COMPUTED_VALUE"""),"1WR-C")</f>
        <v>1WR-C</v>
      </c>
      <c r="CM308" s="16" t="str">
        <f>IFERROR(__xludf.DUMMYFUNCTION("""COMPUTED_VALUE"""),"E")</f>
        <v>E</v>
      </c>
      <c r="CN308" s="16">
        <f>IFERROR(__xludf.DUMMYFUNCTION("""COMPUTED_VALUE"""),10.0)</f>
        <v>10</v>
      </c>
      <c r="CO308" s="16" t="str">
        <f>IFERROR(__xludf.DUMMYFUNCTION("""COMPUTED_VALUE"""),"C")</f>
        <v>C</v>
      </c>
      <c r="CP308" s="16" t="str">
        <f>IFERROR(__xludf.DUMMYFUNCTION("""COMPUTED_VALUE"""),"1p70")</f>
        <v>1p70</v>
      </c>
      <c r="CQ308" s="16">
        <f>IFERROR(__xludf.DUMMYFUNCTION("""COMPUTED_VALUE"""),4.0)</f>
        <v>4</v>
      </c>
      <c r="CR308" s="16">
        <f>IFERROR(__xludf.DUMMYFUNCTION("""COMPUTED_VALUE"""),-16.0)</f>
        <v>-16</v>
      </c>
      <c r="CS308" s="16">
        <f>IFERROR(__xludf.DUMMYFUNCTION("""COMPUTED_VALUE"""),-12.0)</f>
        <v>-12</v>
      </c>
      <c r="CT308" s="16">
        <f>IFERROR(__xludf.DUMMYFUNCTION("""COMPUTED_VALUE"""),4.0)</f>
        <v>4</v>
      </c>
      <c r="CU308" s="16">
        <f>IFERROR(__xludf.DUMMYFUNCTION("""COMPUTED_VALUE"""),-16.0)</f>
        <v>-16</v>
      </c>
      <c r="CV308" s="179">
        <f>IFERROR(__xludf.DUMMYFUNCTION("""COMPUTED_VALUE"""),-2.333333333333334)</f>
        <v>-2.333333333</v>
      </c>
      <c r="CW308" s="179">
        <f>IFERROR(__xludf.DUMMYFUNCTION("""COMPUTED_VALUE"""),4.0)</f>
        <v>4</v>
      </c>
      <c r="CX308" s="179">
        <f>IFERROR(__xludf.DUMMYFUNCTION("""COMPUTED_VALUE"""),3.0)</f>
        <v>3</v>
      </c>
      <c r="CY308" s="16" t="str">
        <f>IFERROR(__xludf.DUMMYFUNCTION("""COMPUTED_VALUE"""),"SP")</f>
        <v>SP</v>
      </c>
      <c r="CZ308" s="16"/>
      <c r="DA308" s="16"/>
      <c r="DB308" s="16"/>
      <c r="DC308" s="16"/>
      <c r="DD308" s="16"/>
      <c r="DE308" s="16"/>
      <c r="DF308" s="16"/>
      <c r="DG308" s="16"/>
      <c r="DH308" s="16"/>
      <c r="DI308" s="16"/>
      <c r="DJ308" s="16"/>
      <c r="DK308" s="16"/>
    </row>
    <row r="309">
      <c r="A309" s="16">
        <f>IFERROR(__xludf.DUMMYFUNCTION("""COMPUTED_VALUE"""),13022.0)</f>
        <v>13022</v>
      </c>
      <c r="B309" s="16" t="str">
        <f>IFERROR(__xludf.DUMMYFUNCTION("""COMPUTED_VALUE"""),"Jose Quintana")</f>
        <v>Jose Quintana</v>
      </c>
      <c r="C309" s="153">
        <f>IFERROR(__xludf.DUMMYFUNCTION("""COMPUTED_VALUE"""),0.66)</f>
        <v>0.66</v>
      </c>
      <c r="D309" s="16"/>
      <c r="E309" s="16" t="str">
        <f>IFERROR(__xludf.DUMMYFUNCTION("""COMPUTED_VALUE"""),"L")</f>
        <v>L</v>
      </c>
      <c r="F309" s="16">
        <f>IFERROR(__xludf.DUMMYFUNCTION("""COMPUTED_VALUE"""),170.0)</f>
        <v>170</v>
      </c>
      <c r="G309" s="16">
        <f>IFERROR(__xludf.DUMMYFUNCTION("""COMPUTED_VALUE"""),14.0)</f>
        <v>14</v>
      </c>
      <c r="H309" s="16">
        <f>IFERROR(__xludf.DUMMYFUNCTION("""COMPUTED_VALUE"""),18.0)</f>
        <v>18</v>
      </c>
      <c r="I309" s="16">
        <f>IFERROR(__xludf.DUMMYFUNCTION("""COMPUTED_VALUE"""),-2.0)</f>
        <v>-2</v>
      </c>
      <c r="J309" s="16">
        <f>IFERROR(__xludf.DUMMYFUNCTION("""COMPUTED_VALUE"""),-1.0)</f>
        <v>-1</v>
      </c>
      <c r="K309" s="16">
        <f>IFERROR(__xludf.DUMMYFUNCTION("""COMPUTED_VALUE"""),-6.0)</f>
        <v>-6</v>
      </c>
      <c r="L309" s="16">
        <f>IFERROR(__xludf.DUMMYFUNCTION("""COMPUTED_VALUE"""),-3.0)</f>
        <v>-3</v>
      </c>
      <c r="M309" s="16">
        <f>IFERROR(__xludf.DUMMYFUNCTION("""COMPUTED_VALUE"""),4.0)</f>
        <v>4</v>
      </c>
      <c r="N309" s="16">
        <f>IFERROR(__xludf.DUMMYFUNCTION("""COMPUTED_VALUE"""),13.0)</f>
        <v>13</v>
      </c>
      <c r="O309" s="16">
        <f>IFERROR(__xludf.DUMMYFUNCTION("""COMPUTED_VALUE"""),2.0)</f>
        <v>2</v>
      </c>
      <c r="P309" s="16">
        <f>IFERROR(__xludf.DUMMYFUNCTION("""COMPUTED_VALUE"""),-2.0)</f>
        <v>-2</v>
      </c>
      <c r="Q309" s="16">
        <f>IFERROR(__xludf.DUMMYFUNCTION("""COMPUTED_VALUE"""),2.0)</f>
        <v>2</v>
      </c>
      <c r="R309" s="16">
        <f>IFERROR(__xludf.DUMMYFUNCTION("""COMPUTED_VALUE"""),-2.0)</f>
        <v>-2</v>
      </c>
      <c r="S309" s="16">
        <f>IFERROR(__xludf.DUMMYFUNCTION("""COMPUTED_VALUE"""),20.6)</f>
        <v>20.6</v>
      </c>
      <c r="T309" s="16">
        <f>IFERROR(__xludf.DUMMYFUNCTION("""COMPUTED_VALUE"""),14.4)</f>
        <v>14.4</v>
      </c>
      <c r="U309" s="16">
        <f>IFERROR(__xludf.DUMMYFUNCTION("""COMPUTED_VALUE"""),-1.0)</f>
        <v>-1</v>
      </c>
      <c r="V309" s="16">
        <f>IFERROR(__xludf.DUMMYFUNCTION("""COMPUTED_VALUE"""),0.0)</f>
        <v>0</v>
      </c>
      <c r="W309" s="16">
        <f>IFERROR(__xludf.DUMMYFUNCTION("""COMPUTED_VALUE"""),-2.0)</f>
        <v>-2</v>
      </c>
      <c r="X309" s="16">
        <f>IFERROR(__xludf.DUMMYFUNCTION("""COMPUTED_VALUE"""),0.0)</f>
        <v>0</v>
      </c>
      <c r="Y309" s="16">
        <f>IFERROR(__xludf.DUMMYFUNCTION("""COMPUTED_VALUE"""),24.6)</f>
        <v>24.6</v>
      </c>
      <c r="Z309" s="16">
        <f>IFERROR(__xludf.DUMMYFUNCTION("""COMPUTED_VALUE"""),27.4)</f>
        <v>27.4</v>
      </c>
      <c r="AA309" s="16">
        <f>IFERROR(__xludf.DUMMYFUNCTION("""COMPUTED_VALUE"""),0.0)</f>
        <v>0</v>
      </c>
      <c r="AB309" s="16">
        <f>IFERROR(__xludf.DUMMYFUNCTION("""COMPUTED_VALUE"""),0.0)</f>
        <v>0</v>
      </c>
      <c r="AC309" s="16">
        <f>IFERROR(__xludf.DUMMYFUNCTION("""COMPUTED_VALUE"""),0.0)</f>
        <v>0</v>
      </c>
      <c r="AD309" s="16">
        <f>IFERROR(__xludf.DUMMYFUNCTION("""COMPUTED_VALUE"""),0.0)</f>
        <v>0</v>
      </c>
      <c r="AE309" s="16">
        <f>IFERROR(__xludf.DUMMYFUNCTION("""COMPUTED_VALUE"""),40.4)</f>
        <v>40.4</v>
      </c>
      <c r="AF309" s="16">
        <f>IFERROR(__xludf.DUMMYFUNCTION("""COMPUTED_VALUE"""),24.3)</f>
        <v>24.3</v>
      </c>
      <c r="AG309" s="16">
        <f>IFERROR(__xludf.DUMMYFUNCTION("""COMPUTED_VALUE"""),-1.0)</f>
        <v>-1</v>
      </c>
      <c r="AH309" s="16">
        <f>IFERROR(__xludf.DUMMYFUNCTION("""COMPUTED_VALUE"""),0.0)</f>
        <v>0</v>
      </c>
      <c r="AI309" s="16">
        <f>IFERROR(__xludf.DUMMYFUNCTION("""COMPUTED_VALUE"""),-2.0)</f>
        <v>-2</v>
      </c>
      <c r="AJ309" s="16">
        <f>IFERROR(__xludf.DUMMYFUNCTION("""COMPUTED_VALUE"""),0.0)</f>
        <v>0</v>
      </c>
      <c r="AK309" s="16">
        <f>IFERROR(__xludf.DUMMYFUNCTION("""COMPUTED_VALUE"""),17.400000000000002)</f>
        <v>17.4</v>
      </c>
      <c r="AL309" s="16">
        <f>IFERROR(__xludf.DUMMYFUNCTION("""COMPUTED_VALUE"""),12.4)</f>
        <v>12.4</v>
      </c>
      <c r="AM309" s="16">
        <f>IFERROR(__xludf.DUMMYFUNCTION("""COMPUTED_VALUE"""),-1.0)</f>
        <v>-1</v>
      </c>
      <c r="AN309" s="16">
        <f>IFERROR(__xludf.DUMMYFUNCTION("""COMPUTED_VALUE"""),0.0)</f>
        <v>0</v>
      </c>
      <c r="AO309" s="16">
        <f>IFERROR(__xludf.DUMMYFUNCTION("""COMPUTED_VALUE"""),-1.0)</f>
        <v>-1</v>
      </c>
      <c r="AP309" s="16">
        <f>IFERROR(__xludf.DUMMYFUNCTION("""COMPUTED_VALUE"""),0.0)</f>
        <v>0</v>
      </c>
      <c r="AQ309" s="16">
        <f>IFERROR(__xludf.DUMMYFUNCTION("""COMPUTED_VALUE"""),27.599999999999998)</f>
        <v>27.6</v>
      </c>
      <c r="AR309" s="16">
        <f>IFERROR(__xludf.DUMMYFUNCTION("""COMPUTED_VALUE"""),16.3)</f>
        <v>16.3</v>
      </c>
      <c r="AS309" s="16">
        <f>IFERROR(__xludf.DUMMYFUNCTION("""COMPUTED_VALUE"""),-1.0)</f>
        <v>-1</v>
      </c>
      <c r="AT309" s="16">
        <f>IFERROR(__xludf.DUMMYFUNCTION("""COMPUTED_VALUE"""),0.0)</f>
        <v>0</v>
      </c>
      <c r="AU309" s="16">
        <f>IFERROR(__xludf.DUMMYFUNCTION("""COMPUTED_VALUE"""),-2.0)</f>
        <v>-2</v>
      </c>
      <c r="AV309" s="16">
        <f>IFERROR(__xludf.DUMMYFUNCTION("""COMPUTED_VALUE"""),0.0)</f>
        <v>0</v>
      </c>
      <c r="AW309" s="16">
        <f>IFERROR(__xludf.DUMMYFUNCTION("""COMPUTED_VALUE"""),3.2)</f>
        <v>3.2</v>
      </c>
      <c r="AX309" s="16">
        <f>IFERROR(__xludf.DUMMYFUNCTION("""COMPUTED_VALUE"""),2.0)</f>
        <v>2</v>
      </c>
      <c r="AY309" s="16">
        <f>IFERROR(__xludf.DUMMYFUNCTION("""COMPUTED_VALUE"""),-1.0)</f>
        <v>-1</v>
      </c>
      <c r="AZ309" s="16">
        <f>IFERROR(__xludf.DUMMYFUNCTION("""COMPUTED_VALUE"""),0.0)</f>
        <v>0</v>
      </c>
      <c r="BA309" s="16">
        <f>IFERROR(__xludf.DUMMYFUNCTION("""COMPUTED_VALUE"""),-5.0)</f>
        <v>-5</v>
      </c>
      <c r="BB309" s="16">
        <f>IFERROR(__xludf.DUMMYFUNCTION("""COMPUTED_VALUE"""),0.0)</f>
        <v>0</v>
      </c>
      <c r="BC309" s="16">
        <f>IFERROR(__xludf.DUMMYFUNCTION("""COMPUTED_VALUE"""),6.0)</f>
        <v>6</v>
      </c>
      <c r="BD309" s="16">
        <f>IFERROR(__xludf.DUMMYFUNCTION("""COMPUTED_VALUE"""),2.0)</f>
        <v>2</v>
      </c>
      <c r="BE309" s="16">
        <f>IFERROR(__xludf.DUMMYFUNCTION("""COMPUTED_VALUE"""),6.0)</f>
        <v>6</v>
      </c>
      <c r="BF309" s="16">
        <f>IFERROR(__xludf.DUMMYFUNCTION("""COMPUTED_VALUE"""),2.0)</f>
        <v>2</v>
      </c>
      <c r="BG309" s="16">
        <f>IFERROR(__xludf.DUMMYFUNCTION("""COMPUTED_VALUE"""),-3.0)</f>
        <v>-3</v>
      </c>
      <c r="BH309" s="16">
        <f>IFERROR(__xludf.DUMMYFUNCTION("""COMPUTED_VALUE"""),1.0)</f>
        <v>1</v>
      </c>
      <c r="BI309" s="16">
        <f>IFERROR(__xludf.DUMMYFUNCTION("""COMPUTED_VALUE"""),-6.0)</f>
        <v>-6</v>
      </c>
      <c r="BJ309" s="16">
        <f>IFERROR(__xludf.DUMMYFUNCTION("""COMPUTED_VALUE"""),2.0)</f>
        <v>2</v>
      </c>
      <c r="BK309" s="16">
        <f>IFERROR(__xludf.DUMMYFUNCTION("""COMPUTED_VALUE"""),5.0)</f>
        <v>5</v>
      </c>
      <c r="BL309" s="16">
        <f>IFERROR(__xludf.DUMMYFUNCTION("""COMPUTED_VALUE"""),5.0)</f>
        <v>5</v>
      </c>
      <c r="BM309" s="16">
        <f>IFERROR(__xludf.DUMMYFUNCTION("""COMPUTED_VALUE"""),0.0)</f>
        <v>0</v>
      </c>
      <c r="BN309" s="16">
        <f>IFERROR(__xludf.DUMMYFUNCTION("""COMPUTED_VALUE"""),0.0)</f>
        <v>0</v>
      </c>
      <c r="BO309" s="16">
        <f>IFERROR(__xludf.DUMMYFUNCTION("""COMPUTED_VALUE"""),0.0)</f>
        <v>0</v>
      </c>
      <c r="BP309" s="16">
        <f>IFERROR(__xludf.DUMMYFUNCTION("""COMPUTED_VALUE"""),0.0)</f>
        <v>0</v>
      </c>
      <c r="BQ309" s="16">
        <f>IFERROR(__xludf.DUMMYFUNCTION("""COMPUTED_VALUE"""),12.0)</f>
        <v>12</v>
      </c>
      <c r="BR309" s="16">
        <f>IFERROR(__xludf.DUMMYFUNCTION("""COMPUTED_VALUE"""),11.0)</f>
        <v>11</v>
      </c>
      <c r="BS309" s="16">
        <f>IFERROR(__xludf.DUMMYFUNCTION("""COMPUTED_VALUE"""),3.0)</f>
        <v>3</v>
      </c>
      <c r="BT309" s="16">
        <f>IFERROR(__xludf.DUMMYFUNCTION("""COMPUTED_VALUE"""),3.0)</f>
        <v>3</v>
      </c>
      <c r="BU309" s="16">
        <f>IFERROR(__xludf.DUMMYFUNCTION("""COMPUTED_VALUE"""),6.0)</f>
        <v>6</v>
      </c>
      <c r="BV309" s="16">
        <f>IFERROR(__xludf.DUMMYFUNCTION("""COMPUTED_VALUE"""),6.0)</f>
        <v>6</v>
      </c>
      <c r="BW309" s="16">
        <f>IFERROR(__xludf.DUMMYFUNCTION("""COMPUTED_VALUE"""),-1.0)</f>
        <v>-1</v>
      </c>
      <c r="BX309" s="16">
        <f>IFERROR(__xludf.DUMMYFUNCTION("""COMPUTED_VALUE"""),-1.0)</f>
        <v>-1</v>
      </c>
      <c r="BY309" s="16" t="str">
        <f>IFERROR(__xludf.DUMMYFUNCTION("""COMPUTED_VALUE"""),"S(5)")</f>
        <v>S(5)</v>
      </c>
      <c r="BZ309" s="16" t="str">
        <f>IFERROR(__xludf.DUMMYFUNCTION("""COMPUTED_VALUE"""),"S(5)")</f>
        <v>S(5)</v>
      </c>
      <c r="CA309" s="16" t="str">
        <f>IFERROR(__xludf.DUMMYFUNCTION("""COMPUTED_VALUE"""),"S(5)")</f>
        <v>S(5)</v>
      </c>
      <c r="CB309" s="16"/>
      <c r="CC309" s="16"/>
      <c r="CD309" s="16">
        <f>IFERROR(__xludf.DUMMYFUNCTION("""COMPUTED_VALUE"""),5.0)</f>
        <v>5</v>
      </c>
      <c r="CE309" s="16"/>
      <c r="CF309" s="16"/>
      <c r="CG309" s="16" t="str">
        <f>IFERROR(__xludf.DUMMYFUNCTION("""COMPUTED_VALUE"""),"2-0")</f>
        <v>2-0</v>
      </c>
      <c r="CH309" s="16">
        <f>IFERROR(__xludf.DUMMYFUNCTION("""COMPUTED_VALUE"""),2.0)</f>
        <v>2</v>
      </c>
      <c r="CI309" s="16">
        <f>IFERROR(__xludf.DUMMYFUNCTION("""COMPUTED_VALUE"""),0.0)</f>
        <v>0</v>
      </c>
      <c r="CJ309" s="16">
        <f>IFERROR(__xludf.DUMMYFUNCTION("""COMPUTED_VALUE"""),0.0)</f>
        <v>0</v>
      </c>
      <c r="CK309" s="16">
        <f>IFERROR(__xludf.DUMMYFUNCTION("""COMPUTED_VALUE"""),9.0)</f>
        <v>9</v>
      </c>
      <c r="CL309" s="16" t="str">
        <f>IFERROR(__xludf.DUMMYFUNCTION("""COMPUTED_VALUE"""),"1WR-C")</f>
        <v>1WR-C</v>
      </c>
      <c r="CM309" s="16" t="str">
        <f>IFERROR(__xludf.DUMMYFUNCTION("""COMPUTED_VALUE"""),"E")</f>
        <v>E</v>
      </c>
      <c r="CN309" s="16">
        <f>IFERROR(__xludf.DUMMYFUNCTION("""COMPUTED_VALUE"""),10.0)</f>
        <v>10</v>
      </c>
      <c r="CO309" s="16" t="str">
        <f>IFERROR(__xludf.DUMMYFUNCTION("""COMPUTED_VALUE"""),"C")</f>
        <v>C</v>
      </c>
      <c r="CP309" s="16" t="str">
        <f>IFERROR(__xludf.DUMMYFUNCTION("""COMPUTED_VALUE"""),"1p70")</f>
        <v>1p70</v>
      </c>
      <c r="CQ309" s="16">
        <f>IFERROR(__xludf.DUMMYFUNCTION("""COMPUTED_VALUE"""),-16.0)</f>
        <v>-16</v>
      </c>
      <c r="CR309" s="16">
        <f>IFERROR(__xludf.DUMMYFUNCTION("""COMPUTED_VALUE"""),3.0)</f>
        <v>3</v>
      </c>
      <c r="CS309" s="16">
        <f>IFERROR(__xludf.DUMMYFUNCTION("""COMPUTED_VALUE"""),-13.0)</f>
        <v>-13</v>
      </c>
      <c r="CT309" s="16">
        <f>IFERROR(__xludf.DUMMYFUNCTION("""COMPUTED_VALUE"""),-16.0)</f>
        <v>-16</v>
      </c>
      <c r="CU309" s="16">
        <f>IFERROR(__xludf.DUMMYFUNCTION("""COMPUTED_VALUE"""),3.0)</f>
        <v>3</v>
      </c>
      <c r="CV309" s="179">
        <f>IFERROR(__xludf.DUMMYFUNCTION("""COMPUTED_VALUE"""),-2.666666666666666)</f>
        <v>-2.666666667</v>
      </c>
      <c r="CW309" s="179">
        <f>IFERROR(__xludf.DUMMYFUNCTION("""COMPUTED_VALUE"""),4.0)</f>
        <v>4</v>
      </c>
      <c r="CX309" s="179">
        <f>IFERROR(__xludf.DUMMYFUNCTION("""COMPUTED_VALUE"""),3.0)</f>
        <v>3</v>
      </c>
      <c r="CY309" s="16" t="str">
        <f>IFERROR(__xludf.DUMMYFUNCTION("""COMPUTED_VALUE"""),"SP")</f>
        <v>SP</v>
      </c>
      <c r="CZ309" s="16"/>
      <c r="DA309" s="16"/>
      <c r="DB309" s="16"/>
      <c r="DC309" s="16"/>
      <c r="DD309" s="16"/>
      <c r="DE309" s="16"/>
      <c r="DF309" s="16"/>
      <c r="DG309" s="16"/>
      <c r="DH309" s="16"/>
      <c r="DI309" s="16"/>
      <c r="DJ309" s="16"/>
      <c r="DK309" s="16"/>
    </row>
    <row r="310">
      <c r="A310" s="16">
        <f>IFERROR(__xludf.DUMMYFUNCTION("""COMPUTED_VALUE"""),12757.0)</f>
        <v>12757</v>
      </c>
      <c r="B310" s="16" t="str">
        <f>IFERROR(__xludf.DUMMYFUNCTION("""COMPUTED_VALUE"""),"Dillon Tate")</f>
        <v>Dillon Tate</v>
      </c>
      <c r="C310" s="153">
        <f>IFERROR(__xludf.DUMMYFUNCTION("""COMPUTED_VALUE"""),0.0)</f>
        <v>0</v>
      </c>
      <c r="D310" s="16"/>
      <c r="E310" s="16" t="str">
        <f>IFERROR(__xludf.DUMMYFUNCTION("""COMPUTED_VALUE"""),"R")</f>
        <v>R</v>
      </c>
      <c r="F310" s="16">
        <f>IFERROR(__xludf.DUMMYFUNCTION("""COMPUTED_VALUE"""),37.0)</f>
        <v>37</v>
      </c>
      <c r="G310" s="16">
        <f>IFERROR(__xludf.DUMMYFUNCTION("""COMPUTED_VALUE"""),0.0)</f>
        <v>0</v>
      </c>
      <c r="H310" s="16">
        <f>IFERROR(__xludf.DUMMYFUNCTION("""COMPUTED_VALUE"""),17.0)</f>
        <v>17</v>
      </c>
      <c r="I310" s="16">
        <f>IFERROR(__xludf.DUMMYFUNCTION("""COMPUTED_VALUE"""),-3.0)</f>
        <v>-3</v>
      </c>
      <c r="J310" s="16">
        <f>IFERROR(__xludf.DUMMYFUNCTION("""COMPUTED_VALUE"""),-1.0)</f>
        <v>-1</v>
      </c>
      <c r="K310" s="16">
        <f>IFERROR(__xludf.DUMMYFUNCTION("""COMPUTED_VALUE"""),-9.0)</f>
        <v>-9</v>
      </c>
      <c r="L310" s="16">
        <f>IFERROR(__xludf.DUMMYFUNCTION("""COMPUTED_VALUE"""),-3.0)</f>
        <v>-3</v>
      </c>
      <c r="M310" s="16">
        <f>IFERROR(__xludf.DUMMYFUNCTION("""COMPUTED_VALUE"""),13.0)</f>
        <v>13</v>
      </c>
      <c r="N310" s="16">
        <f>IFERROR(__xludf.DUMMYFUNCTION("""COMPUTED_VALUE"""),6.0)</f>
        <v>6</v>
      </c>
      <c r="O310" s="16">
        <f>IFERROR(__xludf.DUMMYFUNCTION("""COMPUTED_VALUE"""),-1.0)</f>
        <v>-1</v>
      </c>
      <c r="P310" s="16">
        <f>IFERROR(__xludf.DUMMYFUNCTION("""COMPUTED_VALUE"""),1.0)</f>
        <v>1</v>
      </c>
      <c r="Q310" s="16">
        <f>IFERROR(__xludf.DUMMYFUNCTION("""COMPUTED_VALUE"""),-1.0)</f>
        <v>-1</v>
      </c>
      <c r="R310" s="16">
        <f>IFERROR(__xludf.DUMMYFUNCTION("""COMPUTED_VALUE"""),1.0)</f>
        <v>1</v>
      </c>
      <c r="S310" s="16">
        <f>IFERROR(__xludf.DUMMYFUNCTION("""COMPUTED_VALUE"""),13.9)</f>
        <v>13.9</v>
      </c>
      <c r="T310" s="16">
        <f>IFERROR(__xludf.DUMMYFUNCTION("""COMPUTED_VALUE"""),31.1)</f>
        <v>31.1</v>
      </c>
      <c r="U310" s="16">
        <f>IFERROR(__xludf.DUMMYFUNCTION("""COMPUTED_VALUE"""),0.0)</f>
        <v>0</v>
      </c>
      <c r="V310" s="16">
        <f>IFERROR(__xludf.DUMMYFUNCTION("""COMPUTED_VALUE"""),-2.0)</f>
        <v>-2</v>
      </c>
      <c r="W310" s="16">
        <f>IFERROR(__xludf.DUMMYFUNCTION("""COMPUTED_VALUE"""),0.0)</f>
        <v>0</v>
      </c>
      <c r="X310" s="16">
        <f>IFERROR(__xludf.DUMMYFUNCTION("""COMPUTED_VALUE"""),-4.0)</f>
        <v>-4</v>
      </c>
      <c r="Y310" s="16">
        <f>IFERROR(__xludf.DUMMYFUNCTION("""COMPUTED_VALUE"""),26.9)</f>
        <v>26.9</v>
      </c>
      <c r="Z310" s="16">
        <f>IFERROR(__xludf.DUMMYFUNCTION("""COMPUTED_VALUE"""),37.1)</f>
        <v>37.1</v>
      </c>
      <c r="AA310" s="16">
        <f>IFERROR(__xludf.DUMMYFUNCTION("""COMPUTED_VALUE"""),0.0)</f>
        <v>0</v>
      </c>
      <c r="AB310" s="16">
        <f>IFERROR(__xludf.DUMMYFUNCTION("""COMPUTED_VALUE"""),-2.0)</f>
        <v>-2</v>
      </c>
      <c r="AC310" s="16">
        <f>IFERROR(__xludf.DUMMYFUNCTION("""COMPUTED_VALUE"""),0.0)</f>
        <v>0</v>
      </c>
      <c r="AD310" s="16">
        <f>IFERROR(__xludf.DUMMYFUNCTION("""COMPUTED_VALUE"""),-10.0)</f>
        <v>-10</v>
      </c>
      <c r="AE310" s="16">
        <f>IFERROR(__xludf.DUMMYFUNCTION("""COMPUTED_VALUE"""),18.0)</f>
        <v>18</v>
      </c>
      <c r="AF310" s="16">
        <f>IFERROR(__xludf.DUMMYFUNCTION("""COMPUTED_VALUE"""),38.3)</f>
        <v>38.3</v>
      </c>
      <c r="AG310" s="16">
        <f>IFERROR(__xludf.DUMMYFUNCTION("""COMPUTED_VALUE"""),1.0)</f>
        <v>1</v>
      </c>
      <c r="AH310" s="16">
        <f>IFERROR(__xludf.DUMMYFUNCTION("""COMPUTED_VALUE"""),-1.0)</f>
        <v>-1</v>
      </c>
      <c r="AI310" s="16">
        <f>IFERROR(__xludf.DUMMYFUNCTION("""COMPUTED_VALUE"""),2.0)</f>
        <v>2</v>
      </c>
      <c r="AJ310" s="16">
        <f>IFERROR(__xludf.DUMMYFUNCTION("""COMPUTED_VALUE"""),-2.0)</f>
        <v>-2</v>
      </c>
      <c r="AK310" s="16">
        <f>IFERROR(__xludf.DUMMYFUNCTION("""COMPUTED_VALUE"""),13.9)</f>
        <v>13.9</v>
      </c>
      <c r="AL310" s="16">
        <f>IFERROR(__xludf.DUMMYFUNCTION("""COMPUTED_VALUE"""),31.1)</f>
        <v>31.1</v>
      </c>
      <c r="AM310" s="16">
        <f>IFERROR(__xludf.DUMMYFUNCTION("""COMPUTED_VALUE"""),0.0)</f>
        <v>0</v>
      </c>
      <c r="AN310" s="16">
        <f>IFERROR(__xludf.DUMMYFUNCTION("""COMPUTED_VALUE"""),-3.0)</f>
        <v>-3</v>
      </c>
      <c r="AO310" s="16">
        <f>IFERROR(__xludf.DUMMYFUNCTION("""COMPUTED_VALUE"""),0.0)</f>
        <v>0</v>
      </c>
      <c r="AP310" s="16">
        <f>IFERROR(__xludf.DUMMYFUNCTION("""COMPUTED_VALUE"""),-3.0)</f>
        <v>-3</v>
      </c>
      <c r="AQ310" s="16">
        <f>IFERROR(__xludf.DUMMYFUNCTION("""COMPUTED_VALUE"""),18.0)</f>
        <v>18</v>
      </c>
      <c r="AR310" s="16">
        <f>IFERROR(__xludf.DUMMYFUNCTION("""COMPUTED_VALUE"""),38.3)</f>
        <v>38.3</v>
      </c>
      <c r="AS310" s="16">
        <f>IFERROR(__xludf.DUMMYFUNCTION("""COMPUTED_VALUE"""),0.0)</f>
        <v>0</v>
      </c>
      <c r="AT310" s="16">
        <f>IFERROR(__xludf.DUMMYFUNCTION("""COMPUTED_VALUE"""),-2.0)</f>
        <v>-2</v>
      </c>
      <c r="AU310" s="16">
        <f>IFERROR(__xludf.DUMMYFUNCTION("""COMPUTED_VALUE"""),0.0)</f>
        <v>0</v>
      </c>
      <c r="AV310" s="16">
        <f>IFERROR(__xludf.DUMMYFUNCTION("""COMPUTED_VALUE"""),-4.0)</f>
        <v>-4</v>
      </c>
      <c r="AW310" s="16">
        <f>IFERROR(__xludf.DUMMYFUNCTION("""COMPUTED_VALUE"""),0.0)</f>
        <v>0</v>
      </c>
      <c r="AX310" s="16">
        <f>IFERROR(__xludf.DUMMYFUNCTION("""COMPUTED_VALUE"""),0.0)</f>
        <v>0</v>
      </c>
      <c r="AY310" s="16">
        <f>IFERROR(__xludf.DUMMYFUNCTION("""COMPUTED_VALUE"""),2.0)</f>
        <v>2</v>
      </c>
      <c r="AZ310" s="16">
        <f>IFERROR(__xludf.DUMMYFUNCTION("""COMPUTED_VALUE"""),2.0)</f>
        <v>2</v>
      </c>
      <c r="BA310" s="16">
        <f>IFERROR(__xludf.DUMMYFUNCTION("""COMPUTED_VALUE"""),10.0)</f>
        <v>10</v>
      </c>
      <c r="BB310" s="16">
        <f>IFERROR(__xludf.DUMMYFUNCTION("""COMPUTED_VALUE"""),10.0)</f>
        <v>10</v>
      </c>
      <c r="BC310" s="16">
        <f>IFERROR(__xludf.DUMMYFUNCTION("""COMPUTED_VALUE"""),0.0)</f>
        <v>0</v>
      </c>
      <c r="BD310" s="16">
        <f>IFERROR(__xludf.DUMMYFUNCTION("""COMPUTED_VALUE"""),0.0)</f>
        <v>0</v>
      </c>
      <c r="BE310" s="16">
        <f>IFERROR(__xludf.DUMMYFUNCTION("""COMPUTED_VALUE"""),0.0)</f>
        <v>0</v>
      </c>
      <c r="BF310" s="16">
        <f>IFERROR(__xludf.DUMMYFUNCTION("""COMPUTED_VALUE"""),0.0)</f>
        <v>0</v>
      </c>
      <c r="BG310" s="16">
        <f>IFERROR(__xludf.DUMMYFUNCTION("""COMPUTED_VALUE"""),3.0)</f>
        <v>3</v>
      </c>
      <c r="BH310" s="16">
        <f>IFERROR(__xludf.DUMMYFUNCTION("""COMPUTED_VALUE"""),2.0)</f>
        <v>2</v>
      </c>
      <c r="BI310" s="16">
        <f>IFERROR(__xludf.DUMMYFUNCTION("""COMPUTED_VALUE"""),6.0)</f>
        <v>6</v>
      </c>
      <c r="BJ310" s="16">
        <f>IFERROR(__xludf.DUMMYFUNCTION("""COMPUTED_VALUE"""),4.0)</f>
        <v>4</v>
      </c>
      <c r="BK310" s="16">
        <f>IFERROR(__xludf.DUMMYFUNCTION("""COMPUTED_VALUE"""),5.0)</f>
        <v>5</v>
      </c>
      <c r="BL310" s="16">
        <f>IFERROR(__xludf.DUMMYFUNCTION("""COMPUTED_VALUE"""),5.0)</f>
        <v>5</v>
      </c>
      <c r="BM310" s="16">
        <f>IFERROR(__xludf.DUMMYFUNCTION("""COMPUTED_VALUE"""),0.0)</f>
        <v>0</v>
      </c>
      <c r="BN310" s="16">
        <f>IFERROR(__xludf.DUMMYFUNCTION("""COMPUTED_VALUE"""),0.0)</f>
        <v>0</v>
      </c>
      <c r="BO310" s="16">
        <f>IFERROR(__xludf.DUMMYFUNCTION("""COMPUTED_VALUE"""),0.0)</f>
        <v>0</v>
      </c>
      <c r="BP310" s="16">
        <f>IFERROR(__xludf.DUMMYFUNCTION("""COMPUTED_VALUE"""),0.0)</f>
        <v>0</v>
      </c>
      <c r="BQ310" s="16">
        <f>IFERROR(__xludf.DUMMYFUNCTION("""COMPUTED_VALUE"""),1.0)</f>
        <v>1</v>
      </c>
      <c r="BR310" s="16">
        <f>IFERROR(__xludf.DUMMYFUNCTION("""COMPUTED_VALUE"""),1.0)</f>
        <v>1</v>
      </c>
      <c r="BS310" s="16">
        <f>IFERROR(__xludf.DUMMYFUNCTION("""COMPUTED_VALUE"""),-2.0)</f>
        <v>-2</v>
      </c>
      <c r="BT310" s="16">
        <f>IFERROR(__xludf.DUMMYFUNCTION("""COMPUTED_VALUE"""),-2.0)</f>
        <v>-2</v>
      </c>
      <c r="BU310" s="16">
        <f>IFERROR(__xludf.DUMMYFUNCTION("""COMPUTED_VALUE"""),-4.0)</f>
        <v>-4</v>
      </c>
      <c r="BV310" s="16">
        <f>IFERROR(__xludf.DUMMYFUNCTION("""COMPUTED_VALUE"""),-4.0)</f>
        <v>-4</v>
      </c>
      <c r="BW310" s="16">
        <f>IFERROR(__xludf.DUMMYFUNCTION("""COMPUTED_VALUE"""),2.0)</f>
        <v>2</v>
      </c>
      <c r="BX310" s="16">
        <f>IFERROR(__xludf.DUMMYFUNCTION("""COMPUTED_VALUE"""),2.0)</f>
        <v>2</v>
      </c>
      <c r="BY310" s="16" t="str">
        <f>IFERROR(__xludf.DUMMYFUNCTION("""COMPUTED_VALUE"""),"R(1) C(0)")</f>
        <v>R(1) C(0)</v>
      </c>
      <c r="BZ310" s="16" t="str">
        <f>IFERROR(__xludf.DUMMYFUNCTION("""COMPUTED_VALUE"""),"R(1) C(0)")</f>
        <v>R(1) C(0)</v>
      </c>
      <c r="CA310" s="16" t="str">
        <f>IFERROR(__xludf.DUMMYFUNCTION("""COMPUTED_VALUE"""),"R(1)")</f>
        <v>R(1)</v>
      </c>
      <c r="CB310" s="16" t="str">
        <f>IFERROR(__xludf.DUMMYFUNCTION("""COMPUTED_VALUE"""),"C(0)")</f>
        <v>C(0)</v>
      </c>
      <c r="CC310" s="16"/>
      <c r="CD310" s="16"/>
      <c r="CE310" s="16">
        <f>IFERROR(__xludf.DUMMYFUNCTION("""COMPUTED_VALUE"""),1.0)</f>
        <v>1</v>
      </c>
      <c r="CF310" s="16">
        <f>IFERROR(__xludf.DUMMYFUNCTION("""COMPUTED_VALUE"""),0.0)</f>
        <v>0</v>
      </c>
      <c r="CG310" s="16" t="str">
        <f>IFERROR(__xludf.DUMMYFUNCTION("""COMPUTED_VALUE"""),"3-0")</f>
        <v>3-0</v>
      </c>
      <c r="CH310" s="16">
        <f>IFERROR(__xludf.DUMMYFUNCTION("""COMPUTED_VALUE"""),3.0)</f>
        <v>3</v>
      </c>
      <c r="CI310" s="16">
        <f>IFERROR(__xludf.DUMMYFUNCTION("""COMPUTED_VALUE"""),0.0)</f>
        <v>0</v>
      </c>
      <c r="CJ310" s="16">
        <f>IFERROR(__xludf.DUMMYFUNCTION("""COMPUTED_VALUE"""),0.0)</f>
        <v>0</v>
      </c>
      <c r="CK310" s="16">
        <f>IFERROR(__xludf.DUMMYFUNCTION("""COMPUTED_VALUE"""),0.0)</f>
        <v>0</v>
      </c>
      <c r="CL310" s="16" t="str">
        <f>IFERROR(__xludf.DUMMYFUNCTION("""COMPUTED_VALUE"""),"1WR-C")</f>
        <v>1WR-C</v>
      </c>
      <c r="CM310" s="16" t="str">
        <f>IFERROR(__xludf.DUMMYFUNCTION("""COMPUTED_VALUE"""),"E")</f>
        <v>E</v>
      </c>
      <c r="CN310" s="16">
        <f>IFERROR(__xludf.DUMMYFUNCTION("""COMPUTED_VALUE"""),10.0)</f>
        <v>10</v>
      </c>
      <c r="CO310" s="16" t="str">
        <f>IFERROR(__xludf.DUMMYFUNCTION("""COMPUTED_VALUE"""),"C")</f>
        <v>C</v>
      </c>
      <c r="CP310" s="16" t="str">
        <f>IFERROR(__xludf.DUMMYFUNCTION("""COMPUTED_VALUE"""),"1p30")</f>
        <v>1p30</v>
      </c>
      <c r="CQ310" s="16">
        <f>IFERROR(__xludf.DUMMYFUNCTION("""COMPUTED_VALUE"""),4.0)</f>
        <v>4</v>
      </c>
      <c r="CR310" s="16">
        <f>IFERROR(__xludf.DUMMYFUNCTION("""COMPUTED_VALUE"""),-15.0)</f>
        <v>-15</v>
      </c>
      <c r="CS310" s="16">
        <f>IFERROR(__xludf.DUMMYFUNCTION("""COMPUTED_VALUE"""),-11.0)</f>
        <v>-11</v>
      </c>
      <c r="CT310" s="16">
        <f>IFERROR(__xludf.DUMMYFUNCTION("""COMPUTED_VALUE"""),4.0)</f>
        <v>4</v>
      </c>
      <c r="CU310" s="16">
        <f>IFERROR(__xludf.DUMMYFUNCTION("""COMPUTED_VALUE"""),-15.0)</f>
        <v>-15</v>
      </c>
      <c r="CV310" s="179">
        <f>IFERROR(__xludf.DUMMYFUNCTION("""COMPUTED_VALUE"""),-2.666666666666666)</f>
        <v>-2.666666667</v>
      </c>
      <c r="CW310" s="179">
        <f>IFERROR(__xludf.DUMMYFUNCTION("""COMPUTED_VALUE"""),4.0)</f>
        <v>4</v>
      </c>
      <c r="CX310" s="179">
        <f>IFERROR(__xludf.DUMMYFUNCTION("""COMPUTED_VALUE"""),2.0)</f>
        <v>2</v>
      </c>
      <c r="CY310" s="16" t="str">
        <f>IFERROR(__xludf.DUMMYFUNCTION("""COMPUTED_VALUE"""),"RP")</f>
        <v>RP</v>
      </c>
      <c r="CZ310" s="16" t="str">
        <f>IFERROR(__xludf.DUMMYFUNCTION("""COMPUTED_VALUE"""),"CP")</f>
        <v>CP</v>
      </c>
      <c r="DA310" s="16"/>
      <c r="DB310" s="16"/>
      <c r="DC310" s="16"/>
      <c r="DD310" s="16"/>
      <c r="DE310" s="16"/>
      <c r="DF310" s="16"/>
      <c r="DG310" s="16"/>
      <c r="DH310" s="16"/>
      <c r="DI310" s="16"/>
      <c r="DJ310" s="16"/>
      <c r="DK310" s="16"/>
    </row>
    <row r="311">
      <c r="A311" s="16">
        <f>IFERROR(__xludf.DUMMYFUNCTION("""COMPUTED_VALUE"""),13054.0)</f>
        <v>13054</v>
      </c>
      <c r="B311" s="16" t="str">
        <f>IFERROR(__xludf.DUMMYFUNCTION("""COMPUTED_VALUE"""),"Justin Anderson")</f>
        <v>Justin Anderson</v>
      </c>
      <c r="C311" s="153">
        <f>IFERROR(__xludf.DUMMYFUNCTION("""COMPUTED_VALUE"""),0.27)</f>
        <v>0.27</v>
      </c>
      <c r="D311" s="16"/>
      <c r="E311" s="16" t="str">
        <f>IFERROR(__xludf.DUMMYFUNCTION("""COMPUTED_VALUE"""),"R")</f>
        <v>R</v>
      </c>
      <c r="F311" s="16">
        <f>IFERROR(__xludf.DUMMYFUNCTION("""COMPUTED_VALUE"""),53.0)</f>
        <v>53</v>
      </c>
      <c r="G311" s="16">
        <f>IFERROR(__xludf.DUMMYFUNCTION("""COMPUTED_VALUE"""),12.0)</f>
        <v>12</v>
      </c>
      <c r="H311" s="16">
        <f>IFERROR(__xludf.DUMMYFUNCTION("""COMPUTED_VALUE"""),36.0)</f>
        <v>36</v>
      </c>
      <c r="I311" s="16">
        <f>IFERROR(__xludf.DUMMYFUNCTION("""COMPUTED_VALUE"""),-2.0)</f>
        <v>-2</v>
      </c>
      <c r="J311" s="16">
        <f>IFERROR(__xludf.DUMMYFUNCTION("""COMPUTED_VALUE"""),1.0)</f>
        <v>1</v>
      </c>
      <c r="K311" s="16">
        <f>IFERROR(__xludf.DUMMYFUNCTION("""COMPUTED_VALUE"""),-6.0)</f>
        <v>-6</v>
      </c>
      <c r="L311" s="16">
        <f>IFERROR(__xludf.DUMMYFUNCTION("""COMPUTED_VALUE"""),3.0)</f>
        <v>3</v>
      </c>
      <c r="M311" s="16">
        <f>IFERROR(__xludf.DUMMYFUNCTION("""COMPUTED_VALUE"""),17.0)</f>
        <v>17</v>
      </c>
      <c r="N311" s="16">
        <f>IFERROR(__xludf.DUMMYFUNCTION("""COMPUTED_VALUE"""),22.0)</f>
        <v>22</v>
      </c>
      <c r="O311" s="16">
        <f>IFERROR(__xludf.DUMMYFUNCTION("""COMPUTED_VALUE"""),-2.0)</f>
        <v>-2</v>
      </c>
      <c r="P311" s="16">
        <f>IFERROR(__xludf.DUMMYFUNCTION("""COMPUTED_VALUE"""),-3.0)</f>
        <v>-3</v>
      </c>
      <c r="Q311" s="16">
        <f>IFERROR(__xludf.DUMMYFUNCTION("""COMPUTED_VALUE"""),-2.0)</f>
        <v>-2</v>
      </c>
      <c r="R311" s="16">
        <f>IFERROR(__xludf.DUMMYFUNCTION("""COMPUTED_VALUE"""),-3.0)</f>
        <v>-3</v>
      </c>
      <c r="S311" s="16">
        <f>IFERROR(__xludf.DUMMYFUNCTION("""COMPUTED_VALUE"""),19.3)</f>
        <v>19.3</v>
      </c>
      <c r="T311" s="16">
        <f>IFERROR(__xludf.DUMMYFUNCTION("""COMPUTED_VALUE"""),5.5)</f>
        <v>5.5</v>
      </c>
      <c r="U311" s="16">
        <f>IFERROR(__xludf.DUMMYFUNCTION("""COMPUTED_VALUE"""),-1.0)</f>
        <v>-1</v>
      </c>
      <c r="V311" s="16">
        <f>IFERROR(__xludf.DUMMYFUNCTION("""COMPUTED_VALUE"""),2.0)</f>
        <v>2</v>
      </c>
      <c r="W311" s="16">
        <f>IFERROR(__xludf.DUMMYFUNCTION("""COMPUTED_VALUE"""),-2.0)</f>
        <v>-2</v>
      </c>
      <c r="X311" s="16">
        <f>IFERROR(__xludf.DUMMYFUNCTION("""COMPUTED_VALUE"""),4.0)</f>
        <v>4</v>
      </c>
      <c r="Y311" s="16">
        <f>IFERROR(__xludf.DUMMYFUNCTION("""COMPUTED_VALUE"""),36.3)</f>
        <v>36.3</v>
      </c>
      <c r="Z311" s="16">
        <f>IFERROR(__xludf.DUMMYFUNCTION("""COMPUTED_VALUE"""),27.5)</f>
        <v>27.5</v>
      </c>
      <c r="AA311" s="16">
        <f>IFERROR(__xludf.DUMMYFUNCTION("""COMPUTED_VALUE"""),-1.0)</f>
        <v>-1</v>
      </c>
      <c r="AB311" s="16">
        <f>IFERROR(__xludf.DUMMYFUNCTION("""COMPUTED_VALUE"""),0.0)</f>
        <v>0</v>
      </c>
      <c r="AC311" s="16">
        <f>IFERROR(__xludf.DUMMYFUNCTION("""COMPUTED_VALUE"""),-5.0)</f>
        <v>-5</v>
      </c>
      <c r="AD311" s="16">
        <f>IFERROR(__xludf.DUMMYFUNCTION("""COMPUTED_VALUE"""),0.0)</f>
        <v>0</v>
      </c>
      <c r="AE311" s="16">
        <f>IFERROR(__xludf.DUMMYFUNCTION("""COMPUTED_VALUE"""),27.8)</f>
        <v>27.8</v>
      </c>
      <c r="AF311" s="16">
        <f>IFERROR(__xludf.DUMMYFUNCTION("""COMPUTED_VALUE"""),9.8)</f>
        <v>9.8</v>
      </c>
      <c r="AG311" s="16">
        <f>IFERROR(__xludf.DUMMYFUNCTION("""COMPUTED_VALUE"""),0.0)</f>
        <v>0</v>
      </c>
      <c r="AH311" s="16">
        <f>IFERROR(__xludf.DUMMYFUNCTION("""COMPUTED_VALUE"""),2.0)</f>
        <v>2</v>
      </c>
      <c r="AI311" s="16">
        <f>IFERROR(__xludf.DUMMYFUNCTION("""COMPUTED_VALUE"""),0.0)</f>
        <v>0</v>
      </c>
      <c r="AJ311" s="16">
        <f>IFERROR(__xludf.DUMMYFUNCTION("""COMPUTED_VALUE"""),4.0)</f>
        <v>4</v>
      </c>
      <c r="AK311" s="16">
        <f>IFERROR(__xludf.DUMMYFUNCTION("""COMPUTED_VALUE"""),17.3)</f>
        <v>17.3</v>
      </c>
      <c r="AL311" s="16">
        <f>IFERROR(__xludf.DUMMYFUNCTION("""COMPUTED_VALUE"""),5.5)</f>
        <v>5.5</v>
      </c>
      <c r="AM311" s="16">
        <f>IFERROR(__xludf.DUMMYFUNCTION("""COMPUTED_VALUE"""),-1.0)</f>
        <v>-1</v>
      </c>
      <c r="AN311" s="16">
        <f>IFERROR(__xludf.DUMMYFUNCTION("""COMPUTED_VALUE"""),2.0)</f>
        <v>2</v>
      </c>
      <c r="AO311" s="16">
        <f>IFERROR(__xludf.DUMMYFUNCTION("""COMPUTED_VALUE"""),-1.0)</f>
        <v>-1</v>
      </c>
      <c r="AP311" s="16">
        <f>IFERROR(__xludf.DUMMYFUNCTION("""COMPUTED_VALUE"""),2.0)</f>
        <v>2</v>
      </c>
      <c r="AQ311" s="16">
        <f>IFERROR(__xludf.DUMMYFUNCTION("""COMPUTED_VALUE"""),19.8)</f>
        <v>19.8</v>
      </c>
      <c r="AR311" s="16">
        <f>IFERROR(__xludf.DUMMYFUNCTION("""COMPUTED_VALUE"""),9.8)</f>
        <v>9.8</v>
      </c>
      <c r="AS311" s="16">
        <f>IFERROR(__xludf.DUMMYFUNCTION("""COMPUTED_VALUE"""),0.0)</f>
        <v>0</v>
      </c>
      <c r="AT311" s="16">
        <f>IFERROR(__xludf.DUMMYFUNCTION("""COMPUTED_VALUE"""),1.0)</f>
        <v>1</v>
      </c>
      <c r="AU311" s="16">
        <f>IFERROR(__xludf.DUMMYFUNCTION("""COMPUTED_VALUE"""),0.0)</f>
        <v>0</v>
      </c>
      <c r="AV311" s="16">
        <f>IFERROR(__xludf.DUMMYFUNCTION("""COMPUTED_VALUE"""),2.0)</f>
        <v>2</v>
      </c>
      <c r="AW311" s="16">
        <f>IFERROR(__xludf.DUMMYFUNCTION("""COMPUTED_VALUE"""),2.0)</f>
        <v>2</v>
      </c>
      <c r="AX311" s="16">
        <f>IFERROR(__xludf.DUMMYFUNCTION("""COMPUTED_VALUE"""),0.0)</f>
        <v>0</v>
      </c>
      <c r="AY311" s="16">
        <f>IFERROR(__xludf.DUMMYFUNCTION("""COMPUTED_VALUE"""),0.0)</f>
        <v>0</v>
      </c>
      <c r="AZ311" s="16">
        <f>IFERROR(__xludf.DUMMYFUNCTION("""COMPUTED_VALUE"""),2.0)</f>
        <v>2</v>
      </c>
      <c r="BA311" s="16">
        <f>IFERROR(__xludf.DUMMYFUNCTION("""COMPUTED_VALUE"""),0.0)</f>
        <v>0</v>
      </c>
      <c r="BB311" s="16">
        <f>IFERROR(__xludf.DUMMYFUNCTION("""COMPUTED_VALUE"""),10.0)</f>
        <v>10</v>
      </c>
      <c r="BC311" s="16">
        <f>IFERROR(__xludf.DUMMYFUNCTION("""COMPUTED_VALUE"""),3.0)</f>
        <v>3</v>
      </c>
      <c r="BD311" s="16">
        <f>IFERROR(__xludf.DUMMYFUNCTION("""COMPUTED_VALUE"""),0.0)</f>
        <v>0</v>
      </c>
      <c r="BE311" s="16">
        <f>IFERROR(__xludf.DUMMYFUNCTION("""COMPUTED_VALUE"""),3.0)</f>
        <v>3</v>
      </c>
      <c r="BF311" s="16">
        <f>IFERROR(__xludf.DUMMYFUNCTION("""COMPUTED_VALUE"""),0.0)</f>
        <v>0</v>
      </c>
      <c r="BG311" s="16">
        <f>IFERROR(__xludf.DUMMYFUNCTION("""COMPUTED_VALUE"""),0.0)</f>
        <v>0</v>
      </c>
      <c r="BH311" s="16">
        <f>IFERROR(__xludf.DUMMYFUNCTION("""COMPUTED_VALUE"""),2.0)</f>
        <v>2</v>
      </c>
      <c r="BI311" s="16">
        <f>IFERROR(__xludf.DUMMYFUNCTION("""COMPUTED_VALUE"""),0.0)</f>
        <v>0</v>
      </c>
      <c r="BJ311" s="16">
        <f>IFERROR(__xludf.DUMMYFUNCTION("""COMPUTED_VALUE"""),4.0)</f>
        <v>4</v>
      </c>
      <c r="BK311" s="16">
        <f>IFERROR(__xludf.DUMMYFUNCTION("""COMPUTED_VALUE"""),5.0)</f>
        <v>5</v>
      </c>
      <c r="BL311" s="16">
        <f>IFERROR(__xludf.DUMMYFUNCTION("""COMPUTED_VALUE"""),5.0)</f>
        <v>5</v>
      </c>
      <c r="BM311" s="16">
        <f>IFERROR(__xludf.DUMMYFUNCTION("""COMPUTED_VALUE"""),0.0)</f>
        <v>0</v>
      </c>
      <c r="BN311" s="16">
        <f>IFERROR(__xludf.DUMMYFUNCTION("""COMPUTED_VALUE"""),0.0)</f>
        <v>0</v>
      </c>
      <c r="BO311" s="16">
        <f>IFERROR(__xludf.DUMMYFUNCTION("""COMPUTED_VALUE"""),0.0)</f>
        <v>0</v>
      </c>
      <c r="BP311" s="16">
        <f>IFERROR(__xludf.DUMMYFUNCTION("""COMPUTED_VALUE"""),0.0)</f>
        <v>0</v>
      </c>
      <c r="BQ311" s="16">
        <f>IFERROR(__xludf.DUMMYFUNCTION("""COMPUTED_VALUE"""),1.0)</f>
        <v>1</v>
      </c>
      <c r="BR311" s="16">
        <f>IFERROR(__xludf.DUMMYFUNCTION("""COMPUTED_VALUE"""),0.0)</f>
        <v>0</v>
      </c>
      <c r="BS311" s="16">
        <f>IFERROR(__xludf.DUMMYFUNCTION("""COMPUTED_VALUE"""),-2.0)</f>
        <v>-2</v>
      </c>
      <c r="BT311" s="16">
        <f>IFERROR(__xludf.DUMMYFUNCTION("""COMPUTED_VALUE"""),-3.0)</f>
        <v>-3</v>
      </c>
      <c r="BU311" s="16">
        <f>IFERROR(__xludf.DUMMYFUNCTION("""COMPUTED_VALUE"""),-4.0)</f>
        <v>-4</v>
      </c>
      <c r="BV311" s="16">
        <f>IFERROR(__xludf.DUMMYFUNCTION("""COMPUTED_VALUE"""),-6.0)</f>
        <v>-6</v>
      </c>
      <c r="BW311" s="16">
        <f>IFERROR(__xludf.DUMMYFUNCTION("""COMPUTED_VALUE"""),5.0)</f>
        <v>5</v>
      </c>
      <c r="BX311" s="16">
        <f>IFERROR(__xludf.DUMMYFUNCTION("""COMPUTED_VALUE"""),5.0)</f>
        <v>5</v>
      </c>
      <c r="BY311" s="16" t="str">
        <f>IFERROR(__xludf.DUMMYFUNCTION("""COMPUTED_VALUE"""),"R(1) C(0)")</f>
        <v>R(1) C(0)</v>
      </c>
      <c r="BZ311" s="16" t="str">
        <f>IFERROR(__xludf.DUMMYFUNCTION("""COMPUTED_VALUE"""),"R(1) C(0)")</f>
        <v>R(1) C(0)</v>
      </c>
      <c r="CA311" s="16" t="str">
        <f>IFERROR(__xludf.DUMMYFUNCTION("""COMPUTED_VALUE"""),"R(1)")</f>
        <v>R(1)</v>
      </c>
      <c r="CB311" s="16" t="str">
        <f>IFERROR(__xludf.DUMMYFUNCTION("""COMPUTED_VALUE"""),"C(0)")</f>
        <v>C(0)</v>
      </c>
      <c r="CC311" s="16"/>
      <c r="CD311" s="16"/>
      <c r="CE311" s="16">
        <f>IFERROR(__xludf.DUMMYFUNCTION("""COMPUTED_VALUE"""),1.0)</f>
        <v>1</v>
      </c>
      <c r="CF311" s="16">
        <f>IFERROR(__xludf.DUMMYFUNCTION("""COMPUTED_VALUE"""),0.0)</f>
        <v>0</v>
      </c>
      <c r="CG311" s="16" t="str">
        <f>IFERROR(__xludf.DUMMYFUNCTION("""COMPUTED_VALUE"""),"4-0")</f>
        <v>4-0</v>
      </c>
      <c r="CH311" s="16">
        <f>IFERROR(__xludf.DUMMYFUNCTION("""COMPUTED_VALUE"""),4.0)</f>
        <v>4</v>
      </c>
      <c r="CI311" s="16">
        <f>IFERROR(__xludf.DUMMYFUNCTION("""COMPUTED_VALUE"""),0.0)</f>
        <v>0</v>
      </c>
      <c r="CJ311" s="16">
        <f>IFERROR(__xludf.DUMMYFUNCTION("""COMPUTED_VALUE"""),0.0)</f>
        <v>0</v>
      </c>
      <c r="CK311" s="16">
        <f>IFERROR(__xludf.DUMMYFUNCTION("""COMPUTED_VALUE"""),3.0)</f>
        <v>3</v>
      </c>
      <c r="CL311" s="16" t="str">
        <f>IFERROR(__xludf.DUMMYFUNCTION("""COMPUTED_VALUE"""),"1WL-C")</f>
        <v>1WL-C</v>
      </c>
      <c r="CM311" s="16" t="str">
        <f>IFERROR(__xludf.DUMMYFUNCTION("""COMPUTED_VALUE"""),"E")</f>
        <v>E</v>
      </c>
      <c r="CN311" s="16">
        <f>IFERROR(__xludf.DUMMYFUNCTION("""COMPUTED_VALUE"""),10.0)</f>
        <v>10</v>
      </c>
      <c r="CO311" s="16" t="str">
        <f>IFERROR(__xludf.DUMMYFUNCTION("""COMPUTED_VALUE"""),"C")</f>
        <v>C</v>
      </c>
      <c r="CP311" s="16" t="str">
        <f>IFERROR(__xludf.DUMMYFUNCTION("""COMPUTED_VALUE"""),"1p50")</f>
        <v>1p50</v>
      </c>
      <c r="CQ311" s="16">
        <f>IFERROR(__xludf.DUMMYFUNCTION("""COMPUTED_VALUE"""),-20.0)</f>
        <v>-20</v>
      </c>
      <c r="CR311" s="16">
        <f>IFERROR(__xludf.DUMMYFUNCTION("""COMPUTED_VALUE"""),20.0)</f>
        <v>20</v>
      </c>
      <c r="CS311" s="16">
        <f>IFERROR(__xludf.DUMMYFUNCTION("""COMPUTED_VALUE"""),0.0)</f>
        <v>0</v>
      </c>
      <c r="CT311" s="16">
        <f>IFERROR(__xludf.DUMMYFUNCTION("""COMPUTED_VALUE"""),-20.0)</f>
        <v>-20</v>
      </c>
      <c r="CU311" s="16">
        <f>IFERROR(__xludf.DUMMYFUNCTION("""COMPUTED_VALUE"""),20.0)</f>
        <v>20</v>
      </c>
      <c r="CV311" s="179">
        <f>IFERROR(__xludf.DUMMYFUNCTION("""COMPUTED_VALUE"""),-2.666666666666667)</f>
        <v>-2.666666667</v>
      </c>
      <c r="CW311" s="179">
        <f>IFERROR(__xludf.DUMMYFUNCTION("""COMPUTED_VALUE"""),4.0)</f>
        <v>4</v>
      </c>
      <c r="CX311" s="179">
        <f>IFERROR(__xludf.DUMMYFUNCTION("""COMPUTED_VALUE"""),0.0)</f>
        <v>0</v>
      </c>
      <c r="CY311" s="16" t="str">
        <f>IFERROR(__xludf.DUMMYFUNCTION("""COMPUTED_VALUE"""),"RP")</f>
        <v>RP</v>
      </c>
      <c r="CZ311" s="16" t="str">
        <f>IFERROR(__xludf.DUMMYFUNCTION("""COMPUTED_VALUE"""),"CP")</f>
        <v>CP</v>
      </c>
      <c r="DA311" s="16"/>
      <c r="DB311" s="16"/>
      <c r="DC311" s="16"/>
      <c r="DD311" s="16"/>
      <c r="DE311" s="16"/>
      <c r="DF311" s="16"/>
      <c r="DG311" s="16"/>
      <c r="DH311" s="16"/>
      <c r="DI311" s="16"/>
      <c r="DJ311" s="16"/>
      <c r="DK311" s="16"/>
    </row>
    <row r="312">
      <c r="A312" s="16">
        <f>IFERROR(__xludf.DUMMYFUNCTION("""COMPUTED_VALUE"""),12992.0)</f>
        <v>12992</v>
      </c>
      <c r="B312" s="16" t="str">
        <f>IFERROR(__xludf.DUMMYFUNCTION("""COMPUTED_VALUE"""),"Jonathan Cannon")</f>
        <v>Jonathan Cannon</v>
      </c>
      <c r="C312" s="153">
        <f>IFERROR(__xludf.DUMMYFUNCTION("""COMPUTED_VALUE"""),0.83)</f>
        <v>0.83</v>
      </c>
      <c r="D312" s="16"/>
      <c r="E312" s="16" t="str">
        <f>IFERROR(__xludf.DUMMYFUNCTION("""COMPUTED_VALUE"""),"R")</f>
        <v>R</v>
      </c>
      <c r="F312" s="16">
        <f>IFERROR(__xludf.DUMMYFUNCTION("""COMPUTED_VALUE"""),124.0)</f>
        <v>124</v>
      </c>
      <c r="G312" s="16">
        <f>IFERROR(__xludf.DUMMYFUNCTION("""COMPUTED_VALUE"""),11.0)</f>
        <v>11</v>
      </c>
      <c r="H312" s="16">
        <f>IFERROR(__xludf.DUMMYFUNCTION("""COMPUTED_VALUE"""),17.0)</f>
        <v>17</v>
      </c>
      <c r="I312" s="16">
        <f>IFERROR(__xludf.DUMMYFUNCTION("""COMPUTED_VALUE"""),-2.0)</f>
        <v>-2</v>
      </c>
      <c r="J312" s="16">
        <f>IFERROR(__xludf.DUMMYFUNCTION("""COMPUTED_VALUE"""),-1.0)</f>
        <v>-1</v>
      </c>
      <c r="K312" s="16">
        <f>IFERROR(__xludf.DUMMYFUNCTION("""COMPUTED_VALUE"""),-6.0)</f>
        <v>-6</v>
      </c>
      <c r="L312" s="16">
        <f>IFERROR(__xludf.DUMMYFUNCTION("""COMPUTED_VALUE"""),-3.0)</f>
        <v>-3</v>
      </c>
      <c r="M312" s="16">
        <f>IFERROR(__xludf.DUMMYFUNCTION("""COMPUTED_VALUE"""),4.0)</f>
        <v>4</v>
      </c>
      <c r="N312" s="16">
        <f>IFERROR(__xludf.DUMMYFUNCTION("""COMPUTED_VALUE"""),13.0)</f>
        <v>13</v>
      </c>
      <c r="O312" s="16">
        <f>IFERROR(__xludf.DUMMYFUNCTION("""COMPUTED_VALUE"""),2.0)</f>
        <v>2</v>
      </c>
      <c r="P312" s="16">
        <f>IFERROR(__xludf.DUMMYFUNCTION("""COMPUTED_VALUE"""),-2.0)</f>
        <v>-2</v>
      </c>
      <c r="Q312" s="16">
        <f>IFERROR(__xludf.DUMMYFUNCTION("""COMPUTED_VALUE"""),2.0)</f>
        <v>2</v>
      </c>
      <c r="R312" s="16">
        <f>IFERROR(__xludf.DUMMYFUNCTION("""COMPUTED_VALUE"""),-2.0)</f>
        <v>-2</v>
      </c>
      <c r="S312" s="16">
        <f>IFERROR(__xludf.DUMMYFUNCTION("""COMPUTED_VALUE"""),22.0)</f>
        <v>22</v>
      </c>
      <c r="T312" s="16">
        <f>IFERROR(__xludf.DUMMYFUNCTION("""COMPUTED_VALUE"""),14.1)</f>
        <v>14.1</v>
      </c>
      <c r="U312" s="16">
        <f>IFERROR(__xludf.DUMMYFUNCTION("""COMPUTED_VALUE"""),-1.0)</f>
        <v>-1</v>
      </c>
      <c r="V312" s="16">
        <f>IFERROR(__xludf.DUMMYFUNCTION("""COMPUTED_VALUE"""),0.0)</f>
        <v>0</v>
      </c>
      <c r="W312" s="16">
        <f>IFERROR(__xludf.DUMMYFUNCTION("""COMPUTED_VALUE"""),-2.0)</f>
        <v>-2</v>
      </c>
      <c r="X312" s="16">
        <f>IFERROR(__xludf.DUMMYFUNCTION("""COMPUTED_VALUE"""),0.0)</f>
        <v>0</v>
      </c>
      <c r="Y312" s="16">
        <f>IFERROR(__xludf.DUMMYFUNCTION("""COMPUTED_VALUE"""),26.0)</f>
        <v>26</v>
      </c>
      <c r="Z312" s="16">
        <f>IFERROR(__xludf.DUMMYFUNCTION("""COMPUTED_VALUE"""),27.1)</f>
        <v>27.1</v>
      </c>
      <c r="AA312" s="16">
        <f>IFERROR(__xludf.DUMMYFUNCTION("""COMPUTED_VALUE"""),0.0)</f>
        <v>0</v>
      </c>
      <c r="AB312" s="16">
        <f>IFERROR(__xludf.DUMMYFUNCTION("""COMPUTED_VALUE"""),0.0)</f>
        <v>0</v>
      </c>
      <c r="AC312" s="16">
        <f>IFERROR(__xludf.DUMMYFUNCTION("""COMPUTED_VALUE"""),0.0)</f>
        <v>0</v>
      </c>
      <c r="AD312" s="16">
        <f>IFERROR(__xludf.DUMMYFUNCTION("""COMPUTED_VALUE"""),0.0)</f>
        <v>0</v>
      </c>
      <c r="AE312" s="16">
        <f>IFERROR(__xludf.DUMMYFUNCTION("""COMPUTED_VALUE"""),40.3)</f>
        <v>40.3</v>
      </c>
      <c r="AF312" s="16">
        <f>IFERROR(__xludf.DUMMYFUNCTION("""COMPUTED_VALUE"""),24.8)</f>
        <v>24.8</v>
      </c>
      <c r="AG312" s="16">
        <f>IFERROR(__xludf.DUMMYFUNCTION("""COMPUTED_VALUE"""),-1.0)</f>
        <v>-1</v>
      </c>
      <c r="AH312" s="16">
        <f>IFERROR(__xludf.DUMMYFUNCTION("""COMPUTED_VALUE"""),0.0)</f>
        <v>0</v>
      </c>
      <c r="AI312" s="16">
        <f>IFERROR(__xludf.DUMMYFUNCTION("""COMPUTED_VALUE"""),-2.0)</f>
        <v>-2</v>
      </c>
      <c r="AJ312" s="16">
        <f>IFERROR(__xludf.DUMMYFUNCTION("""COMPUTED_VALUE"""),0.0)</f>
        <v>0</v>
      </c>
      <c r="AK312" s="16">
        <f>IFERROR(__xludf.DUMMYFUNCTION("""COMPUTED_VALUE"""),18.8)</f>
        <v>18.8</v>
      </c>
      <c r="AL312" s="16">
        <f>IFERROR(__xludf.DUMMYFUNCTION("""COMPUTED_VALUE"""),12.299999999999999)</f>
        <v>12.3</v>
      </c>
      <c r="AM312" s="16">
        <f>IFERROR(__xludf.DUMMYFUNCTION("""COMPUTED_VALUE"""),-1.0)</f>
        <v>-1</v>
      </c>
      <c r="AN312" s="16">
        <f>IFERROR(__xludf.DUMMYFUNCTION("""COMPUTED_VALUE"""),0.0)</f>
        <v>0</v>
      </c>
      <c r="AO312" s="16">
        <f>IFERROR(__xludf.DUMMYFUNCTION("""COMPUTED_VALUE"""),-1.0)</f>
        <v>-1</v>
      </c>
      <c r="AP312" s="16">
        <f>IFERROR(__xludf.DUMMYFUNCTION("""COMPUTED_VALUE"""),0.0)</f>
        <v>0</v>
      </c>
      <c r="AQ312" s="16">
        <f>IFERROR(__xludf.DUMMYFUNCTION("""COMPUTED_VALUE"""),27.499999999999996)</f>
        <v>27.5</v>
      </c>
      <c r="AR312" s="16">
        <f>IFERROR(__xludf.DUMMYFUNCTION("""COMPUTED_VALUE"""),17.6)</f>
        <v>17.6</v>
      </c>
      <c r="AS312" s="16">
        <f>IFERROR(__xludf.DUMMYFUNCTION("""COMPUTED_VALUE"""),-1.0)</f>
        <v>-1</v>
      </c>
      <c r="AT312" s="16">
        <f>IFERROR(__xludf.DUMMYFUNCTION("""COMPUTED_VALUE"""),0.0)</f>
        <v>0</v>
      </c>
      <c r="AU312" s="16">
        <f>IFERROR(__xludf.DUMMYFUNCTION("""COMPUTED_VALUE"""),-2.0)</f>
        <v>-2</v>
      </c>
      <c r="AV312" s="16">
        <f>IFERROR(__xludf.DUMMYFUNCTION("""COMPUTED_VALUE"""),0.0)</f>
        <v>0</v>
      </c>
      <c r="AW312" s="16">
        <f>IFERROR(__xludf.DUMMYFUNCTION("""COMPUTED_VALUE"""),3.2)</f>
        <v>3.2</v>
      </c>
      <c r="AX312" s="16">
        <f>IFERROR(__xludf.DUMMYFUNCTION("""COMPUTED_VALUE"""),1.8)</f>
        <v>1.8</v>
      </c>
      <c r="AY312" s="16">
        <f>IFERROR(__xludf.DUMMYFUNCTION("""COMPUTED_VALUE"""),-1.0)</f>
        <v>-1</v>
      </c>
      <c r="AZ312" s="16">
        <f>IFERROR(__xludf.DUMMYFUNCTION("""COMPUTED_VALUE"""),0.0)</f>
        <v>0</v>
      </c>
      <c r="BA312" s="16">
        <f>IFERROR(__xludf.DUMMYFUNCTION("""COMPUTED_VALUE"""),-5.0)</f>
        <v>-5</v>
      </c>
      <c r="BB312" s="16">
        <f>IFERROR(__xludf.DUMMYFUNCTION("""COMPUTED_VALUE"""),0.0)</f>
        <v>0</v>
      </c>
      <c r="BC312" s="16">
        <f>IFERROR(__xludf.DUMMYFUNCTION("""COMPUTED_VALUE"""),4.0)</f>
        <v>4</v>
      </c>
      <c r="BD312" s="16">
        <f>IFERROR(__xludf.DUMMYFUNCTION("""COMPUTED_VALUE"""),3.0)</f>
        <v>3</v>
      </c>
      <c r="BE312" s="16">
        <f>IFERROR(__xludf.DUMMYFUNCTION("""COMPUTED_VALUE"""),4.0)</f>
        <v>4</v>
      </c>
      <c r="BF312" s="16">
        <f>IFERROR(__xludf.DUMMYFUNCTION("""COMPUTED_VALUE"""),3.0)</f>
        <v>3</v>
      </c>
      <c r="BG312" s="16">
        <f>IFERROR(__xludf.DUMMYFUNCTION("""COMPUTED_VALUE"""),-1.0)</f>
        <v>-1</v>
      </c>
      <c r="BH312" s="16">
        <f>IFERROR(__xludf.DUMMYFUNCTION("""COMPUTED_VALUE"""),0.0)</f>
        <v>0</v>
      </c>
      <c r="BI312" s="16">
        <f>IFERROR(__xludf.DUMMYFUNCTION("""COMPUTED_VALUE"""),-2.0)</f>
        <v>-2</v>
      </c>
      <c r="BJ312" s="16">
        <f>IFERROR(__xludf.DUMMYFUNCTION("""COMPUTED_VALUE"""),0.0)</f>
        <v>0</v>
      </c>
      <c r="BK312" s="16">
        <f>IFERROR(__xludf.DUMMYFUNCTION("""COMPUTED_VALUE"""),5.0)</f>
        <v>5</v>
      </c>
      <c r="BL312" s="16">
        <f>IFERROR(__xludf.DUMMYFUNCTION("""COMPUTED_VALUE"""),5.0)</f>
        <v>5</v>
      </c>
      <c r="BM312" s="16">
        <f>IFERROR(__xludf.DUMMYFUNCTION("""COMPUTED_VALUE"""),0.0)</f>
        <v>0</v>
      </c>
      <c r="BN312" s="16">
        <f>IFERROR(__xludf.DUMMYFUNCTION("""COMPUTED_VALUE"""),0.0)</f>
        <v>0</v>
      </c>
      <c r="BO312" s="16">
        <f>IFERROR(__xludf.DUMMYFUNCTION("""COMPUTED_VALUE"""),0.0)</f>
        <v>0</v>
      </c>
      <c r="BP312" s="16">
        <f>IFERROR(__xludf.DUMMYFUNCTION("""COMPUTED_VALUE"""),0.0)</f>
        <v>0</v>
      </c>
      <c r="BQ312" s="16">
        <f>IFERROR(__xludf.DUMMYFUNCTION("""COMPUTED_VALUE"""),12.0)</f>
        <v>12</v>
      </c>
      <c r="BR312" s="16">
        <f>IFERROR(__xludf.DUMMYFUNCTION("""COMPUTED_VALUE"""),12.0)</f>
        <v>12</v>
      </c>
      <c r="BS312" s="16">
        <f>IFERROR(__xludf.DUMMYFUNCTION("""COMPUTED_VALUE"""),3.0)</f>
        <v>3</v>
      </c>
      <c r="BT312" s="16">
        <f>IFERROR(__xludf.DUMMYFUNCTION("""COMPUTED_VALUE"""),3.0)</f>
        <v>3</v>
      </c>
      <c r="BU312" s="16">
        <f>IFERROR(__xludf.DUMMYFUNCTION("""COMPUTED_VALUE"""),6.0)</f>
        <v>6</v>
      </c>
      <c r="BV312" s="16">
        <f>IFERROR(__xludf.DUMMYFUNCTION("""COMPUTED_VALUE"""),6.0)</f>
        <v>6</v>
      </c>
      <c r="BW312" s="16">
        <f>IFERROR(__xludf.DUMMYFUNCTION("""COMPUTED_VALUE"""),0.0)</f>
        <v>0</v>
      </c>
      <c r="BX312" s="16">
        <f>IFERROR(__xludf.DUMMYFUNCTION("""COMPUTED_VALUE"""),0.0)</f>
        <v>0</v>
      </c>
      <c r="BY312" s="16" t="str">
        <f>IFERROR(__xludf.DUMMYFUNCTION("""COMPUTED_VALUE"""),"S(6) R(4) C(0)")</f>
        <v>S(6) R(4) C(0)</v>
      </c>
      <c r="BZ312" s="16" t="str">
        <f>IFERROR(__xludf.DUMMYFUNCTION("""COMPUTED_VALUE"""),"S(6) R(4) C(0)")</f>
        <v>S(6) R(4) C(0)</v>
      </c>
      <c r="CA312" s="16" t="str">
        <f>IFERROR(__xludf.DUMMYFUNCTION("""COMPUTED_VALUE"""),"S(6)")</f>
        <v>S(6)</v>
      </c>
      <c r="CB312" s="16" t="str">
        <f>IFERROR(__xludf.DUMMYFUNCTION("""COMPUTED_VALUE"""),"R(4)")</f>
        <v>R(4)</v>
      </c>
      <c r="CC312" s="16" t="str">
        <f>IFERROR(__xludf.DUMMYFUNCTION("""COMPUTED_VALUE"""),"C(0)")</f>
        <v>C(0)</v>
      </c>
      <c r="CD312" s="16">
        <f>IFERROR(__xludf.DUMMYFUNCTION("""COMPUTED_VALUE"""),6.0)</f>
        <v>6</v>
      </c>
      <c r="CE312" s="16">
        <f>IFERROR(__xludf.DUMMYFUNCTION("""COMPUTED_VALUE"""),4.0)</f>
        <v>4</v>
      </c>
      <c r="CF312" s="16">
        <f>IFERROR(__xludf.DUMMYFUNCTION("""COMPUTED_VALUE"""),0.0)</f>
        <v>0</v>
      </c>
      <c r="CG312" s="16" t="str">
        <f>IFERROR(__xludf.DUMMYFUNCTION("""COMPUTED_VALUE"""),"2-0")</f>
        <v>2-0</v>
      </c>
      <c r="CH312" s="16">
        <f>IFERROR(__xludf.DUMMYFUNCTION("""COMPUTED_VALUE"""),2.0)</f>
        <v>2</v>
      </c>
      <c r="CI312" s="16">
        <f>IFERROR(__xludf.DUMMYFUNCTION("""COMPUTED_VALUE"""),0.0)</f>
        <v>0</v>
      </c>
      <c r="CJ312" s="16">
        <f>IFERROR(__xludf.DUMMYFUNCTION("""COMPUTED_VALUE"""),3.0)</f>
        <v>3</v>
      </c>
      <c r="CK312" s="16">
        <f>IFERROR(__xludf.DUMMYFUNCTION("""COMPUTED_VALUE"""),3.0)</f>
        <v>3</v>
      </c>
      <c r="CL312" s="16" t="str">
        <f>IFERROR(__xludf.DUMMYFUNCTION("""COMPUTED_VALUE"""),"1WR-C")</f>
        <v>1WR-C</v>
      </c>
      <c r="CM312" s="16" t="str">
        <f>IFERROR(__xludf.DUMMYFUNCTION("""COMPUTED_VALUE"""),"E")</f>
        <v>E</v>
      </c>
      <c r="CN312" s="16">
        <f>IFERROR(__xludf.DUMMYFUNCTION("""COMPUTED_VALUE"""),10.0)</f>
        <v>10</v>
      </c>
      <c r="CO312" s="16" t="str">
        <f>IFERROR(__xludf.DUMMYFUNCTION("""COMPUTED_VALUE"""),"C")</f>
        <v>C</v>
      </c>
      <c r="CP312" s="16" t="str">
        <f>IFERROR(__xludf.DUMMYFUNCTION("""COMPUTED_VALUE"""),"1p60")</f>
        <v>1p60</v>
      </c>
      <c r="CQ312" s="16">
        <f>IFERROR(__xludf.DUMMYFUNCTION("""COMPUTED_VALUE"""),-12.0)</f>
        <v>-12</v>
      </c>
      <c r="CR312" s="16">
        <f>IFERROR(__xludf.DUMMYFUNCTION("""COMPUTED_VALUE"""),1.0)</f>
        <v>1</v>
      </c>
      <c r="CS312" s="16">
        <f>IFERROR(__xludf.DUMMYFUNCTION("""COMPUTED_VALUE"""),-11.0)</f>
        <v>-11</v>
      </c>
      <c r="CT312" s="16">
        <f>IFERROR(__xludf.DUMMYFUNCTION("""COMPUTED_VALUE"""),-12.0)</f>
        <v>-12</v>
      </c>
      <c r="CU312" s="16">
        <f>IFERROR(__xludf.DUMMYFUNCTION("""COMPUTED_VALUE"""),1.0)</f>
        <v>1</v>
      </c>
      <c r="CV312" s="179">
        <f>IFERROR(__xludf.DUMMYFUNCTION("""COMPUTED_VALUE"""),-2.666666666666667)</f>
        <v>-2.666666667</v>
      </c>
      <c r="CW312" s="179">
        <f>IFERROR(__xludf.DUMMYFUNCTION("""COMPUTED_VALUE"""),4.0)</f>
        <v>4</v>
      </c>
      <c r="CX312" s="179">
        <f>IFERROR(__xludf.DUMMYFUNCTION("""COMPUTED_VALUE"""),1.0)</f>
        <v>1</v>
      </c>
      <c r="CY312" s="16" t="str">
        <f>IFERROR(__xludf.DUMMYFUNCTION("""COMPUTED_VALUE"""),"SP")</f>
        <v>SP</v>
      </c>
      <c r="CZ312" s="16" t="str">
        <f>IFERROR(__xludf.DUMMYFUNCTION("""COMPUTED_VALUE"""),"RP")</f>
        <v>RP</v>
      </c>
      <c r="DA312" s="16" t="str">
        <f>IFERROR(__xludf.DUMMYFUNCTION("""COMPUTED_VALUE"""),"CP")</f>
        <v>CP</v>
      </c>
      <c r="DB312" s="16"/>
      <c r="DC312" s="16"/>
      <c r="DD312" s="16"/>
      <c r="DE312" s="16"/>
      <c r="DF312" s="16"/>
      <c r="DG312" s="16"/>
      <c r="DH312" s="16"/>
      <c r="DI312" s="16"/>
      <c r="DJ312" s="16"/>
      <c r="DK312" s="16"/>
    </row>
    <row r="313">
      <c r="A313" s="16">
        <f>IFERROR(__xludf.DUMMYFUNCTION("""COMPUTED_VALUE"""),12554.0)</f>
        <v>12554</v>
      </c>
      <c r="B313" s="16" t="str">
        <f>IFERROR(__xludf.DUMMYFUNCTION("""COMPUTED_VALUE"""),"Anthony Molina")</f>
        <v>Anthony Molina</v>
      </c>
      <c r="C313" s="153">
        <f>IFERROR(__xludf.DUMMYFUNCTION("""COMPUTED_VALUE"""),0.0)</f>
        <v>0</v>
      </c>
      <c r="D313" s="16"/>
      <c r="E313" s="16" t="str">
        <f>IFERROR(__xludf.DUMMYFUNCTION("""COMPUTED_VALUE"""),"R")</f>
        <v>R</v>
      </c>
      <c r="F313" s="16">
        <f>IFERROR(__xludf.DUMMYFUNCTION("""COMPUTED_VALUE"""),60.0)</f>
        <v>60</v>
      </c>
      <c r="G313" s="16">
        <f>IFERROR(__xludf.DUMMYFUNCTION("""COMPUTED_VALUE"""),13.0)</f>
        <v>13</v>
      </c>
      <c r="H313" s="16">
        <f>IFERROR(__xludf.DUMMYFUNCTION("""COMPUTED_VALUE"""),8.0)</f>
        <v>8</v>
      </c>
      <c r="I313" s="16">
        <f>IFERROR(__xludf.DUMMYFUNCTION("""COMPUTED_VALUE"""),-2.0)</f>
        <v>-2</v>
      </c>
      <c r="J313" s="16">
        <f>IFERROR(__xludf.DUMMYFUNCTION("""COMPUTED_VALUE"""),-2.0)</f>
        <v>-2</v>
      </c>
      <c r="K313" s="16">
        <f>IFERROR(__xludf.DUMMYFUNCTION("""COMPUTED_VALUE"""),-6.0)</f>
        <v>-6</v>
      </c>
      <c r="L313" s="16">
        <f>IFERROR(__xludf.DUMMYFUNCTION("""COMPUTED_VALUE"""),-6.0)</f>
        <v>-6</v>
      </c>
      <c r="M313" s="16">
        <f>IFERROR(__xludf.DUMMYFUNCTION("""COMPUTED_VALUE"""),19.0)</f>
        <v>19</v>
      </c>
      <c r="N313" s="16">
        <f>IFERROR(__xludf.DUMMYFUNCTION("""COMPUTED_VALUE"""),1.0)</f>
        <v>1</v>
      </c>
      <c r="O313" s="16">
        <f>IFERROR(__xludf.DUMMYFUNCTION("""COMPUTED_VALUE"""),-3.0)</f>
        <v>-3</v>
      </c>
      <c r="P313" s="16">
        <f>IFERROR(__xludf.DUMMYFUNCTION("""COMPUTED_VALUE"""),3.0)</f>
        <v>3</v>
      </c>
      <c r="Q313" s="16">
        <f>IFERROR(__xludf.DUMMYFUNCTION("""COMPUTED_VALUE"""),-3.0)</f>
        <v>-3</v>
      </c>
      <c r="R313" s="16">
        <f>IFERROR(__xludf.DUMMYFUNCTION("""COMPUTED_VALUE"""),3.0)</f>
        <v>3</v>
      </c>
      <c r="S313" s="16">
        <f>IFERROR(__xludf.DUMMYFUNCTION("""COMPUTED_VALUE"""),22.0)</f>
        <v>22</v>
      </c>
      <c r="T313" s="16">
        <f>IFERROR(__xludf.DUMMYFUNCTION("""COMPUTED_VALUE"""),33.2)</f>
        <v>33.2</v>
      </c>
      <c r="U313" s="16">
        <f>IFERROR(__xludf.DUMMYFUNCTION("""COMPUTED_VALUE"""),-1.0)</f>
        <v>-1</v>
      </c>
      <c r="V313" s="16">
        <f>IFERROR(__xludf.DUMMYFUNCTION("""COMPUTED_VALUE"""),-3.0)</f>
        <v>-3</v>
      </c>
      <c r="W313" s="16">
        <f>IFERROR(__xludf.DUMMYFUNCTION("""COMPUTED_VALUE"""),-2.0)</f>
        <v>-2</v>
      </c>
      <c r="X313" s="16">
        <f>IFERROR(__xludf.DUMMYFUNCTION("""COMPUTED_VALUE"""),-6.0)</f>
        <v>-6</v>
      </c>
      <c r="Y313" s="16">
        <f>IFERROR(__xludf.DUMMYFUNCTION("""COMPUTED_VALUE"""),41.0)</f>
        <v>41</v>
      </c>
      <c r="Z313" s="16">
        <f>IFERROR(__xludf.DUMMYFUNCTION("""COMPUTED_VALUE"""),34.2)</f>
        <v>34.2</v>
      </c>
      <c r="AA313" s="16">
        <f>IFERROR(__xludf.DUMMYFUNCTION("""COMPUTED_VALUE"""),-2.0)</f>
        <v>-2</v>
      </c>
      <c r="AB313" s="16">
        <f>IFERROR(__xludf.DUMMYFUNCTION("""COMPUTED_VALUE"""),-1.0)</f>
        <v>-1</v>
      </c>
      <c r="AC313" s="16">
        <f>IFERROR(__xludf.DUMMYFUNCTION("""COMPUTED_VALUE"""),-10.0)</f>
        <v>-10</v>
      </c>
      <c r="AD313" s="16">
        <f>IFERROR(__xludf.DUMMYFUNCTION("""COMPUTED_VALUE"""),-5.0)</f>
        <v>-5</v>
      </c>
      <c r="AE313" s="16">
        <f>IFERROR(__xludf.DUMMYFUNCTION("""COMPUTED_VALUE"""),28.7)</f>
        <v>28.7</v>
      </c>
      <c r="AF313" s="16">
        <f>IFERROR(__xludf.DUMMYFUNCTION("""COMPUTED_VALUE"""),48.2)</f>
        <v>48.2</v>
      </c>
      <c r="AG313" s="16">
        <f>IFERROR(__xludf.DUMMYFUNCTION("""COMPUTED_VALUE"""),0.0)</f>
        <v>0</v>
      </c>
      <c r="AH313" s="16">
        <f>IFERROR(__xludf.DUMMYFUNCTION("""COMPUTED_VALUE"""),-2.0)</f>
        <v>-2</v>
      </c>
      <c r="AI313" s="16">
        <f>IFERROR(__xludf.DUMMYFUNCTION("""COMPUTED_VALUE"""),0.0)</f>
        <v>0</v>
      </c>
      <c r="AJ313" s="16">
        <f>IFERROR(__xludf.DUMMYFUNCTION("""COMPUTED_VALUE"""),-4.0)</f>
        <v>-4</v>
      </c>
      <c r="AK313" s="16">
        <f>IFERROR(__xludf.DUMMYFUNCTION("""COMPUTED_VALUE"""),21.6)</f>
        <v>21.6</v>
      </c>
      <c r="AL313" s="16">
        <f>IFERROR(__xludf.DUMMYFUNCTION("""COMPUTED_VALUE"""),32.6)</f>
        <v>32.6</v>
      </c>
      <c r="AM313" s="16">
        <f>IFERROR(__xludf.DUMMYFUNCTION("""COMPUTED_VALUE"""),-2.0)</f>
        <v>-2</v>
      </c>
      <c r="AN313" s="16">
        <f>IFERROR(__xludf.DUMMYFUNCTION("""COMPUTED_VALUE"""),-3.0)</f>
        <v>-3</v>
      </c>
      <c r="AO313" s="16">
        <f>IFERROR(__xludf.DUMMYFUNCTION("""COMPUTED_VALUE"""),-2.0)</f>
        <v>-2</v>
      </c>
      <c r="AP313" s="16">
        <f>IFERROR(__xludf.DUMMYFUNCTION("""COMPUTED_VALUE"""),-3.0)</f>
        <v>-3</v>
      </c>
      <c r="AQ313" s="16">
        <f>IFERROR(__xludf.DUMMYFUNCTION("""COMPUTED_VALUE"""),27.099999999999998)</f>
        <v>27.1</v>
      </c>
      <c r="AR313" s="16">
        <f>IFERROR(__xludf.DUMMYFUNCTION("""COMPUTED_VALUE"""),45.800000000000004)</f>
        <v>45.8</v>
      </c>
      <c r="AS313" s="16">
        <f>IFERROR(__xludf.DUMMYFUNCTION("""COMPUTED_VALUE"""),-1.0)</f>
        <v>-1</v>
      </c>
      <c r="AT313" s="16">
        <f>IFERROR(__xludf.DUMMYFUNCTION("""COMPUTED_VALUE"""),-3.0)</f>
        <v>-3</v>
      </c>
      <c r="AU313" s="16">
        <f>IFERROR(__xludf.DUMMYFUNCTION("""COMPUTED_VALUE"""),-2.0)</f>
        <v>-2</v>
      </c>
      <c r="AV313" s="16">
        <f>IFERROR(__xludf.DUMMYFUNCTION("""COMPUTED_VALUE"""),-6.0)</f>
        <v>-6</v>
      </c>
      <c r="AW313" s="16">
        <f>IFERROR(__xludf.DUMMYFUNCTION("""COMPUTED_VALUE"""),0.4)</f>
        <v>0.4</v>
      </c>
      <c r="AX313" s="16">
        <f>IFERROR(__xludf.DUMMYFUNCTION("""COMPUTED_VALUE"""),0.6)</f>
        <v>0.6</v>
      </c>
      <c r="AY313" s="16">
        <f>IFERROR(__xludf.DUMMYFUNCTION("""COMPUTED_VALUE"""),2.0)</f>
        <v>2</v>
      </c>
      <c r="AZ313" s="16">
        <f>IFERROR(__xludf.DUMMYFUNCTION("""COMPUTED_VALUE"""),2.0)</f>
        <v>2</v>
      </c>
      <c r="BA313" s="16">
        <f>IFERROR(__xludf.DUMMYFUNCTION("""COMPUTED_VALUE"""),10.0)</f>
        <v>10</v>
      </c>
      <c r="BB313" s="16">
        <f>IFERROR(__xludf.DUMMYFUNCTION("""COMPUTED_VALUE"""),10.0)</f>
        <v>10</v>
      </c>
      <c r="BC313" s="16">
        <f>IFERROR(__xludf.DUMMYFUNCTION("""COMPUTED_VALUE"""),0.0)</f>
        <v>0</v>
      </c>
      <c r="BD313" s="16">
        <f>IFERROR(__xludf.DUMMYFUNCTION("""COMPUTED_VALUE"""),1.0)</f>
        <v>1</v>
      </c>
      <c r="BE313" s="16">
        <f>IFERROR(__xludf.DUMMYFUNCTION("""COMPUTED_VALUE"""),0.0)</f>
        <v>0</v>
      </c>
      <c r="BF313" s="16">
        <f>IFERROR(__xludf.DUMMYFUNCTION("""COMPUTED_VALUE"""),1.0)</f>
        <v>1</v>
      </c>
      <c r="BG313" s="16">
        <f>IFERROR(__xludf.DUMMYFUNCTION("""COMPUTED_VALUE"""),3.0)</f>
        <v>3</v>
      </c>
      <c r="BH313" s="16">
        <f>IFERROR(__xludf.DUMMYFUNCTION("""COMPUTED_VALUE"""),2.0)</f>
        <v>2</v>
      </c>
      <c r="BI313" s="16">
        <f>IFERROR(__xludf.DUMMYFUNCTION("""COMPUTED_VALUE"""),6.0)</f>
        <v>6</v>
      </c>
      <c r="BJ313" s="16">
        <f>IFERROR(__xludf.DUMMYFUNCTION("""COMPUTED_VALUE"""),4.0)</f>
        <v>4</v>
      </c>
      <c r="BK313" s="16">
        <f>IFERROR(__xludf.DUMMYFUNCTION("""COMPUTED_VALUE"""),5.0)</f>
        <v>5</v>
      </c>
      <c r="BL313" s="16">
        <f>IFERROR(__xludf.DUMMYFUNCTION("""COMPUTED_VALUE"""),5.0)</f>
        <v>5</v>
      </c>
      <c r="BM313" s="16">
        <f>IFERROR(__xludf.DUMMYFUNCTION("""COMPUTED_VALUE"""),0.0)</f>
        <v>0</v>
      </c>
      <c r="BN313" s="16">
        <f>IFERROR(__xludf.DUMMYFUNCTION("""COMPUTED_VALUE"""),0.0)</f>
        <v>0</v>
      </c>
      <c r="BO313" s="16">
        <f>IFERROR(__xludf.DUMMYFUNCTION("""COMPUTED_VALUE"""),0.0)</f>
        <v>0</v>
      </c>
      <c r="BP313" s="16">
        <f>IFERROR(__xludf.DUMMYFUNCTION("""COMPUTED_VALUE"""),0.0)</f>
        <v>0</v>
      </c>
      <c r="BQ313" s="16">
        <f>IFERROR(__xludf.DUMMYFUNCTION("""COMPUTED_VALUE"""),8.0)</f>
        <v>8</v>
      </c>
      <c r="BR313" s="16">
        <f>IFERROR(__xludf.DUMMYFUNCTION("""COMPUTED_VALUE"""),8.0)</f>
        <v>8</v>
      </c>
      <c r="BS313" s="16">
        <f>IFERROR(__xludf.DUMMYFUNCTION("""COMPUTED_VALUE"""),2.0)</f>
        <v>2</v>
      </c>
      <c r="BT313" s="16">
        <f>IFERROR(__xludf.DUMMYFUNCTION("""COMPUTED_VALUE"""),2.0)</f>
        <v>2</v>
      </c>
      <c r="BU313" s="16">
        <f>IFERROR(__xludf.DUMMYFUNCTION("""COMPUTED_VALUE"""),4.0)</f>
        <v>4</v>
      </c>
      <c r="BV313" s="16">
        <f>IFERROR(__xludf.DUMMYFUNCTION("""COMPUTED_VALUE"""),4.0)</f>
        <v>4</v>
      </c>
      <c r="BW313" s="16">
        <f>IFERROR(__xludf.DUMMYFUNCTION("""COMPUTED_VALUE"""),2.0)</f>
        <v>2</v>
      </c>
      <c r="BX313" s="16">
        <f>IFERROR(__xludf.DUMMYFUNCTION("""COMPUTED_VALUE"""),2.0)</f>
        <v>2</v>
      </c>
      <c r="BY313" s="16" t="str">
        <f>IFERROR(__xludf.DUMMYFUNCTION("""COMPUTED_VALUE"""),"R(2)")</f>
        <v>R(2)</v>
      </c>
      <c r="BZ313" s="16" t="str">
        <f>IFERROR(__xludf.DUMMYFUNCTION("""COMPUTED_VALUE"""),"R(2)")</f>
        <v>R(2)</v>
      </c>
      <c r="CA313" s="16" t="str">
        <f>IFERROR(__xludf.DUMMYFUNCTION("""COMPUTED_VALUE"""),"R(2)")</f>
        <v>R(2)</v>
      </c>
      <c r="CB313" s="16"/>
      <c r="CC313" s="16"/>
      <c r="CD313" s="16"/>
      <c r="CE313" s="16">
        <f>IFERROR(__xludf.DUMMYFUNCTION("""COMPUTED_VALUE"""),2.0)</f>
        <v>2</v>
      </c>
      <c r="CF313" s="16"/>
      <c r="CG313" s="16" t="str">
        <f>IFERROR(__xludf.DUMMYFUNCTION("""COMPUTED_VALUE"""),"5-0")</f>
        <v>5-0</v>
      </c>
      <c r="CH313" s="16">
        <f>IFERROR(__xludf.DUMMYFUNCTION("""COMPUTED_VALUE"""),5.0)</f>
        <v>5</v>
      </c>
      <c r="CI313" s="16">
        <f>IFERROR(__xludf.DUMMYFUNCTION("""COMPUTED_VALUE"""),0.0)</f>
        <v>0</v>
      </c>
      <c r="CJ313" s="16">
        <f>IFERROR(__xludf.DUMMYFUNCTION("""COMPUTED_VALUE"""),0.0)</f>
        <v>0</v>
      </c>
      <c r="CK313" s="16">
        <f>IFERROR(__xludf.DUMMYFUNCTION("""COMPUTED_VALUE"""),18.0)</f>
        <v>18</v>
      </c>
      <c r="CL313" s="16" t="str">
        <f>IFERROR(__xludf.DUMMYFUNCTION("""COMPUTED_VALUE"""),"1WR-C")</f>
        <v>1WR-C</v>
      </c>
      <c r="CM313" s="16" t="str">
        <f>IFERROR(__xludf.DUMMYFUNCTION("""COMPUTED_VALUE"""),"E")</f>
        <v>E</v>
      </c>
      <c r="CN313" s="16">
        <f>IFERROR(__xludf.DUMMYFUNCTION("""COMPUTED_VALUE"""),10.0)</f>
        <v>10</v>
      </c>
      <c r="CO313" s="16" t="str">
        <f>IFERROR(__xludf.DUMMYFUNCTION("""COMPUTED_VALUE"""),"C")</f>
        <v>C</v>
      </c>
      <c r="CP313" s="16" t="str">
        <f>IFERROR(__xludf.DUMMYFUNCTION("""COMPUTED_VALUE"""),"1p40")</f>
        <v>1p40</v>
      </c>
      <c r="CQ313" s="16">
        <f>IFERROR(__xludf.DUMMYFUNCTION("""COMPUTED_VALUE"""),-5.0)</f>
        <v>-5</v>
      </c>
      <c r="CR313" s="16">
        <f>IFERROR(__xludf.DUMMYFUNCTION("""COMPUTED_VALUE"""),-9.0)</f>
        <v>-9</v>
      </c>
      <c r="CS313" s="16">
        <f>IFERROR(__xludf.DUMMYFUNCTION("""COMPUTED_VALUE"""),-14.0)</f>
        <v>-14</v>
      </c>
      <c r="CT313" s="16">
        <f>IFERROR(__xludf.DUMMYFUNCTION("""COMPUTED_VALUE"""),-5.0)</f>
        <v>-5</v>
      </c>
      <c r="CU313" s="16">
        <f>IFERROR(__xludf.DUMMYFUNCTION("""COMPUTED_VALUE"""),-9.0)</f>
        <v>-9</v>
      </c>
      <c r="CV313" s="179">
        <f>IFERROR(__xludf.DUMMYFUNCTION("""COMPUTED_VALUE"""),-2.666666666666667)</f>
        <v>-2.666666667</v>
      </c>
      <c r="CW313" s="179">
        <f>IFERROR(__xludf.DUMMYFUNCTION("""COMPUTED_VALUE"""),4.0)</f>
        <v>4</v>
      </c>
      <c r="CX313" s="179">
        <f>IFERROR(__xludf.DUMMYFUNCTION("""COMPUTED_VALUE"""),1.0)</f>
        <v>1</v>
      </c>
      <c r="CY313" s="16" t="str">
        <f>IFERROR(__xludf.DUMMYFUNCTION("""COMPUTED_VALUE"""),"RP")</f>
        <v>RP</v>
      </c>
      <c r="CZ313" s="16"/>
      <c r="DA313" s="16"/>
      <c r="DB313" s="16"/>
      <c r="DC313" s="16"/>
      <c r="DD313" s="16"/>
      <c r="DE313" s="16"/>
      <c r="DF313" s="16"/>
      <c r="DG313" s="16"/>
      <c r="DH313" s="16"/>
      <c r="DI313" s="16"/>
      <c r="DJ313" s="16"/>
      <c r="DK313" s="16"/>
    </row>
    <row r="314">
      <c r="A314" s="16">
        <f>IFERROR(__xludf.DUMMYFUNCTION("""COMPUTED_VALUE"""),12959.0)</f>
        <v>12959</v>
      </c>
      <c r="B314" s="16" t="str">
        <f>IFERROR(__xludf.DUMMYFUNCTION("""COMPUTED_VALUE"""),"Jhony Brito")</f>
        <v>Jhony Brito</v>
      </c>
      <c r="C314" s="153">
        <f>IFERROR(__xludf.DUMMYFUNCTION("""COMPUTED_VALUE"""),0.2)</f>
        <v>0.2</v>
      </c>
      <c r="D314" s="16"/>
      <c r="E314" s="16" t="str">
        <f>IFERROR(__xludf.DUMMYFUNCTION("""COMPUTED_VALUE"""),"R")</f>
        <v>R</v>
      </c>
      <c r="F314" s="16">
        <f>IFERROR(__xludf.DUMMYFUNCTION("""COMPUTED_VALUE"""),44.0)</f>
        <v>44</v>
      </c>
      <c r="G314" s="16">
        <f>IFERROR(__xludf.DUMMYFUNCTION("""COMPUTED_VALUE"""),24.0)</f>
        <v>24</v>
      </c>
      <c r="H314" s="16">
        <f>IFERROR(__xludf.DUMMYFUNCTION("""COMPUTED_VALUE"""),0.0)</f>
        <v>0</v>
      </c>
      <c r="I314" s="16">
        <f>IFERROR(__xludf.DUMMYFUNCTION("""COMPUTED_VALUE"""),-1.0)</f>
        <v>-1</v>
      </c>
      <c r="J314" s="16">
        <f>IFERROR(__xludf.DUMMYFUNCTION("""COMPUTED_VALUE"""),-3.0)</f>
        <v>-3</v>
      </c>
      <c r="K314" s="16">
        <f>IFERROR(__xludf.DUMMYFUNCTION("""COMPUTED_VALUE"""),-3.0)</f>
        <v>-3</v>
      </c>
      <c r="L314" s="16">
        <f>IFERROR(__xludf.DUMMYFUNCTION("""COMPUTED_VALUE"""),-9.0)</f>
        <v>-9</v>
      </c>
      <c r="M314" s="16">
        <f>IFERROR(__xludf.DUMMYFUNCTION("""COMPUTED_VALUE"""),3.0)</f>
        <v>3</v>
      </c>
      <c r="N314" s="16">
        <f>IFERROR(__xludf.DUMMYFUNCTION("""COMPUTED_VALUE"""),1.0)</f>
        <v>1</v>
      </c>
      <c r="O314" s="16">
        <f>IFERROR(__xludf.DUMMYFUNCTION("""COMPUTED_VALUE"""),2.0)</f>
        <v>2</v>
      </c>
      <c r="P314" s="16">
        <f>IFERROR(__xludf.DUMMYFUNCTION("""COMPUTED_VALUE"""),3.0)</f>
        <v>3</v>
      </c>
      <c r="Q314" s="16">
        <f>IFERROR(__xludf.DUMMYFUNCTION("""COMPUTED_VALUE"""),2.0)</f>
        <v>2</v>
      </c>
      <c r="R314" s="16">
        <f>IFERROR(__xludf.DUMMYFUNCTION("""COMPUTED_VALUE"""),3.0)</f>
        <v>3</v>
      </c>
      <c r="S314" s="16">
        <f>IFERROR(__xludf.DUMMYFUNCTION("""COMPUTED_VALUE"""),10.6)</f>
        <v>10.6</v>
      </c>
      <c r="T314" s="16">
        <f>IFERROR(__xludf.DUMMYFUNCTION("""COMPUTED_VALUE"""),39.0)</f>
        <v>39</v>
      </c>
      <c r="U314" s="16">
        <f>IFERROR(__xludf.DUMMYFUNCTION("""COMPUTED_VALUE"""),1.0)</f>
        <v>1</v>
      </c>
      <c r="V314" s="16">
        <f>IFERROR(__xludf.DUMMYFUNCTION("""COMPUTED_VALUE"""),-3.0)</f>
        <v>-3</v>
      </c>
      <c r="W314" s="16">
        <f>IFERROR(__xludf.DUMMYFUNCTION("""COMPUTED_VALUE"""),2.0)</f>
        <v>2</v>
      </c>
      <c r="X314" s="16">
        <f>IFERROR(__xludf.DUMMYFUNCTION("""COMPUTED_VALUE"""),-6.0)</f>
        <v>-6</v>
      </c>
      <c r="Y314" s="16">
        <f>IFERROR(__xludf.DUMMYFUNCTION("""COMPUTED_VALUE"""),13.6)</f>
        <v>13.6</v>
      </c>
      <c r="Z314" s="16">
        <f>IFERROR(__xludf.DUMMYFUNCTION("""COMPUTED_VALUE"""),40.0)</f>
        <v>40</v>
      </c>
      <c r="AA314" s="16">
        <f>IFERROR(__xludf.DUMMYFUNCTION("""COMPUTED_VALUE"""),2.0)</f>
        <v>2</v>
      </c>
      <c r="AB314" s="16">
        <f>IFERROR(__xludf.DUMMYFUNCTION("""COMPUTED_VALUE"""),-2.0)</f>
        <v>-2</v>
      </c>
      <c r="AC314" s="16">
        <f>IFERROR(__xludf.DUMMYFUNCTION("""COMPUTED_VALUE"""),10.0)</f>
        <v>10</v>
      </c>
      <c r="AD314" s="16">
        <f>IFERROR(__xludf.DUMMYFUNCTION("""COMPUTED_VALUE"""),-10.0)</f>
        <v>-10</v>
      </c>
      <c r="AE314" s="16">
        <f>IFERROR(__xludf.DUMMYFUNCTION("""COMPUTED_VALUE"""),23.3)</f>
        <v>23.3</v>
      </c>
      <c r="AF314" s="16">
        <f>IFERROR(__xludf.DUMMYFUNCTION("""COMPUTED_VALUE"""),39.0)</f>
        <v>39</v>
      </c>
      <c r="AG314" s="16">
        <f>IFERROR(__xludf.DUMMYFUNCTION("""COMPUTED_VALUE"""),0.0)</f>
        <v>0</v>
      </c>
      <c r="AH314" s="16">
        <f>IFERROR(__xludf.DUMMYFUNCTION("""COMPUTED_VALUE"""),-1.0)</f>
        <v>-1</v>
      </c>
      <c r="AI314" s="16">
        <f>IFERROR(__xludf.DUMMYFUNCTION("""COMPUTED_VALUE"""),0.0)</f>
        <v>0</v>
      </c>
      <c r="AJ314" s="16">
        <f>IFERROR(__xludf.DUMMYFUNCTION("""COMPUTED_VALUE"""),-2.0)</f>
        <v>-2</v>
      </c>
      <c r="AK314" s="16">
        <f>IFERROR(__xludf.DUMMYFUNCTION("""COMPUTED_VALUE"""),8.0)</f>
        <v>8</v>
      </c>
      <c r="AL314" s="16">
        <f>IFERROR(__xludf.DUMMYFUNCTION("""COMPUTED_VALUE"""),39.0)</f>
        <v>39</v>
      </c>
      <c r="AM314" s="16">
        <f>IFERROR(__xludf.DUMMYFUNCTION("""COMPUTED_VALUE"""),1.0)</f>
        <v>1</v>
      </c>
      <c r="AN314" s="16">
        <f>IFERROR(__xludf.DUMMYFUNCTION("""COMPUTED_VALUE"""),-3.0)</f>
        <v>-3</v>
      </c>
      <c r="AO314" s="16">
        <f>IFERROR(__xludf.DUMMYFUNCTION("""COMPUTED_VALUE"""),1.0)</f>
        <v>1</v>
      </c>
      <c r="AP314" s="16">
        <f>IFERROR(__xludf.DUMMYFUNCTION("""COMPUTED_VALUE"""),-3.0)</f>
        <v>-3</v>
      </c>
      <c r="AQ314" s="16">
        <f>IFERROR(__xludf.DUMMYFUNCTION("""COMPUTED_VALUE"""),12.9)</f>
        <v>12.9</v>
      </c>
      <c r="AR314" s="16">
        <f>IFERROR(__xludf.DUMMYFUNCTION("""COMPUTED_VALUE"""),39.0)</f>
        <v>39</v>
      </c>
      <c r="AS314" s="16">
        <f>IFERROR(__xludf.DUMMYFUNCTION("""COMPUTED_VALUE"""),1.0)</f>
        <v>1</v>
      </c>
      <c r="AT314" s="16">
        <f>IFERROR(__xludf.DUMMYFUNCTION("""COMPUTED_VALUE"""),-2.0)</f>
        <v>-2</v>
      </c>
      <c r="AU314" s="16">
        <f>IFERROR(__xludf.DUMMYFUNCTION("""COMPUTED_VALUE"""),2.0)</f>
        <v>2</v>
      </c>
      <c r="AV314" s="16">
        <f>IFERROR(__xludf.DUMMYFUNCTION("""COMPUTED_VALUE"""),-4.0)</f>
        <v>-4</v>
      </c>
      <c r="AW314" s="16">
        <f>IFERROR(__xludf.DUMMYFUNCTION("""COMPUTED_VALUE"""),2.6)</f>
        <v>2.6</v>
      </c>
      <c r="AX314" s="16">
        <f>IFERROR(__xludf.DUMMYFUNCTION("""COMPUTED_VALUE"""),0.0)</f>
        <v>0</v>
      </c>
      <c r="AY314" s="16">
        <f>IFERROR(__xludf.DUMMYFUNCTION("""COMPUTED_VALUE"""),-1.0)</f>
        <v>-1</v>
      </c>
      <c r="AZ314" s="16">
        <f>IFERROR(__xludf.DUMMYFUNCTION("""COMPUTED_VALUE"""),2.0)</f>
        <v>2</v>
      </c>
      <c r="BA314" s="16">
        <f>IFERROR(__xludf.DUMMYFUNCTION("""COMPUTED_VALUE"""),-5.0)</f>
        <v>-5</v>
      </c>
      <c r="BB314" s="16">
        <f>IFERROR(__xludf.DUMMYFUNCTION("""COMPUTED_VALUE"""),10.0)</f>
        <v>10</v>
      </c>
      <c r="BC314" s="16">
        <f>IFERROR(__xludf.DUMMYFUNCTION("""COMPUTED_VALUE"""),4.0)</f>
        <v>4</v>
      </c>
      <c r="BD314" s="16">
        <f>IFERROR(__xludf.DUMMYFUNCTION("""COMPUTED_VALUE"""),0.0)</f>
        <v>0</v>
      </c>
      <c r="BE314" s="16">
        <f>IFERROR(__xludf.DUMMYFUNCTION("""COMPUTED_VALUE"""),4.0)</f>
        <v>4</v>
      </c>
      <c r="BF314" s="16">
        <f>IFERROR(__xludf.DUMMYFUNCTION("""COMPUTED_VALUE"""),0.0)</f>
        <v>0</v>
      </c>
      <c r="BG314" s="16">
        <f>IFERROR(__xludf.DUMMYFUNCTION("""COMPUTED_VALUE"""),-1.0)</f>
        <v>-1</v>
      </c>
      <c r="BH314" s="16">
        <f>IFERROR(__xludf.DUMMYFUNCTION("""COMPUTED_VALUE"""),2.0)</f>
        <v>2</v>
      </c>
      <c r="BI314" s="16">
        <f>IFERROR(__xludf.DUMMYFUNCTION("""COMPUTED_VALUE"""),-2.0)</f>
        <v>-2</v>
      </c>
      <c r="BJ314" s="16">
        <f>IFERROR(__xludf.DUMMYFUNCTION("""COMPUTED_VALUE"""),4.0)</f>
        <v>4</v>
      </c>
      <c r="BK314" s="16">
        <f>IFERROR(__xludf.DUMMYFUNCTION("""COMPUTED_VALUE"""),5.0)</f>
        <v>5</v>
      </c>
      <c r="BL314" s="16">
        <f>IFERROR(__xludf.DUMMYFUNCTION("""COMPUTED_VALUE"""),5.0)</f>
        <v>5</v>
      </c>
      <c r="BM314" s="16">
        <f>IFERROR(__xludf.DUMMYFUNCTION("""COMPUTED_VALUE"""),0.0)</f>
        <v>0</v>
      </c>
      <c r="BN314" s="16">
        <f>IFERROR(__xludf.DUMMYFUNCTION("""COMPUTED_VALUE"""),0.0)</f>
        <v>0</v>
      </c>
      <c r="BO314" s="16">
        <f>IFERROR(__xludf.DUMMYFUNCTION("""COMPUTED_VALUE"""),0.0)</f>
        <v>0</v>
      </c>
      <c r="BP314" s="16">
        <f>IFERROR(__xludf.DUMMYFUNCTION("""COMPUTED_VALUE"""),0.0)</f>
        <v>0</v>
      </c>
      <c r="BQ314" s="16">
        <f>IFERROR(__xludf.DUMMYFUNCTION("""COMPUTED_VALUE"""),5.0)</f>
        <v>5</v>
      </c>
      <c r="BR314" s="16">
        <f>IFERROR(__xludf.DUMMYFUNCTION("""COMPUTED_VALUE"""),5.0)</f>
        <v>5</v>
      </c>
      <c r="BS314" s="16">
        <f>IFERROR(__xludf.DUMMYFUNCTION("""COMPUTED_VALUE"""),0.0)</f>
        <v>0</v>
      </c>
      <c r="BT314" s="16">
        <f>IFERROR(__xludf.DUMMYFUNCTION("""COMPUTED_VALUE"""),0.0)</f>
        <v>0</v>
      </c>
      <c r="BU314" s="16">
        <f>IFERROR(__xludf.DUMMYFUNCTION("""COMPUTED_VALUE"""),0.0)</f>
        <v>0</v>
      </c>
      <c r="BV314" s="16">
        <f>IFERROR(__xludf.DUMMYFUNCTION("""COMPUTED_VALUE"""),0.0)</f>
        <v>0</v>
      </c>
      <c r="BW314" s="16">
        <f>IFERROR(__xludf.DUMMYFUNCTION("""COMPUTED_VALUE"""),4.0)</f>
        <v>4</v>
      </c>
      <c r="BX314" s="16">
        <f>IFERROR(__xludf.DUMMYFUNCTION("""COMPUTED_VALUE"""),4.0)</f>
        <v>4</v>
      </c>
      <c r="BY314" s="16" t="str">
        <f>IFERROR(__xludf.DUMMYFUNCTION("""COMPUTED_VALUE"""),"R(2)")</f>
        <v>R(2)</v>
      </c>
      <c r="BZ314" s="16" t="str">
        <f>IFERROR(__xludf.DUMMYFUNCTION("""COMPUTED_VALUE"""),"R(2)")</f>
        <v>R(2)</v>
      </c>
      <c r="CA314" s="16" t="str">
        <f>IFERROR(__xludf.DUMMYFUNCTION("""COMPUTED_VALUE"""),"R(2)")</f>
        <v>R(2)</v>
      </c>
      <c r="CB314" s="16"/>
      <c r="CC314" s="16"/>
      <c r="CD314" s="16"/>
      <c r="CE314" s="16">
        <f>IFERROR(__xludf.DUMMYFUNCTION("""COMPUTED_VALUE"""),2.0)</f>
        <v>2</v>
      </c>
      <c r="CF314" s="16"/>
      <c r="CG314" s="16" t="str">
        <f>IFERROR(__xludf.DUMMYFUNCTION("""COMPUTED_VALUE"""),"4-33")</f>
        <v>4-33</v>
      </c>
      <c r="CH314" s="16">
        <f>IFERROR(__xludf.DUMMYFUNCTION("""COMPUTED_VALUE"""),4.0)</f>
        <v>4</v>
      </c>
      <c r="CI314" s="16">
        <f>IFERROR(__xludf.DUMMYFUNCTION("""COMPUTED_VALUE"""),33.0)</f>
        <v>33</v>
      </c>
      <c r="CJ314" s="16">
        <f>IFERROR(__xludf.DUMMYFUNCTION("""COMPUTED_VALUE"""),0.0)</f>
        <v>0</v>
      </c>
      <c r="CK314" s="16">
        <f>IFERROR(__xludf.DUMMYFUNCTION("""COMPUTED_VALUE"""),4.0)</f>
        <v>4</v>
      </c>
      <c r="CL314" s="16" t="str">
        <f>IFERROR(__xludf.DUMMYFUNCTION("""COMPUTED_VALUE"""),"1WR-C")</f>
        <v>1WR-C</v>
      </c>
      <c r="CM314" s="16" t="str">
        <f>IFERROR(__xludf.DUMMYFUNCTION("""COMPUTED_VALUE"""),"E")</f>
        <v>E</v>
      </c>
      <c r="CN314" s="16">
        <f>IFERROR(__xludf.DUMMYFUNCTION("""COMPUTED_VALUE"""),10.0)</f>
        <v>10</v>
      </c>
      <c r="CO314" s="16" t="str">
        <f>IFERROR(__xludf.DUMMYFUNCTION("""COMPUTED_VALUE"""),"C")</f>
        <v>C</v>
      </c>
      <c r="CP314" s="16" t="str">
        <f>IFERROR(__xludf.DUMMYFUNCTION("""COMPUTED_VALUE"""),"1p30")</f>
        <v>1p30</v>
      </c>
      <c r="CQ314" s="16">
        <f>IFERROR(__xludf.DUMMYFUNCTION("""COMPUTED_VALUE"""),7.0)</f>
        <v>7</v>
      </c>
      <c r="CR314" s="16">
        <f>IFERROR(__xludf.DUMMYFUNCTION("""COMPUTED_VALUE"""),-17.0)</f>
        <v>-17</v>
      </c>
      <c r="CS314" s="16">
        <f>IFERROR(__xludf.DUMMYFUNCTION("""COMPUTED_VALUE"""),-10.0)</f>
        <v>-10</v>
      </c>
      <c r="CT314" s="16">
        <f>IFERROR(__xludf.DUMMYFUNCTION("""COMPUTED_VALUE"""),7.0)</f>
        <v>7</v>
      </c>
      <c r="CU314" s="16">
        <f>IFERROR(__xludf.DUMMYFUNCTION("""COMPUTED_VALUE"""),-17.0)</f>
        <v>-17</v>
      </c>
      <c r="CV314" s="179">
        <f>IFERROR(__xludf.DUMMYFUNCTION("""COMPUTED_VALUE"""),-3.0)</f>
        <v>-3</v>
      </c>
      <c r="CW314" s="179">
        <f>IFERROR(__xludf.DUMMYFUNCTION("""COMPUTED_VALUE"""),4.0)</f>
        <v>4</v>
      </c>
      <c r="CX314" s="179">
        <f>IFERROR(__xludf.DUMMYFUNCTION("""COMPUTED_VALUE"""),2.0)</f>
        <v>2</v>
      </c>
      <c r="CY314" s="16" t="str">
        <f>IFERROR(__xludf.DUMMYFUNCTION("""COMPUTED_VALUE"""),"RP")</f>
        <v>RP</v>
      </c>
      <c r="CZ314" s="16"/>
      <c r="DA314" s="16"/>
      <c r="DB314" s="16"/>
      <c r="DC314" s="16"/>
      <c r="DD314" s="16"/>
      <c r="DE314" s="16"/>
      <c r="DF314" s="16"/>
      <c r="DG314" s="16"/>
      <c r="DH314" s="16"/>
      <c r="DI314" s="16"/>
      <c r="DJ314" s="16"/>
      <c r="DK314" s="16"/>
    </row>
    <row r="315">
      <c r="A315" s="16">
        <f>IFERROR(__xludf.DUMMYFUNCTION("""COMPUTED_VALUE"""),13382.0)</f>
        <v>13382</v>
      </c>
      <c r="B315" s="16" t="str">
        <f>IFERROR(__xludf.DUMMYFUNCTION("""COMPUTED_VALUE"""),"Spencer Bivens")</f>
        <v>Spencer Bivens</v>
      </c>
      <c r="C315" s="153">
        <f>IFERROR(__xludf.DUMMYFUNCTION("""COMPUTED_VALUE"""),0.89)</f>
        <v>0.89</v>
      </c>
      <c r="D315" s="16"/>
      <c r="E315" s="16" t="str">
        <f>IFERROR(__xludf.DUMMYFUNCTION("""COMPUTED_VALUE"""),"R")</f>
        <v>R</v>
      </c>
      <c r="F315" s="16">
        <f>IFERROR(__xludf.DUMMYFUNCTION("""COMPUTED_VALUE"""),49.0)</f>
        <v>49</v>
      </c>
      <c r="G315" s="16">
        <f>IFERROR(__xludf.DUMMYFUNCTION("""COMPUTED_VALUE"""),14.0)</f>
        <v>14</v>
      </c>
      <c r="H315" s="16">
        <f>IFERROR(__xludf.DUMMYFUNCTION("""COMPUTED_VALUE"""),16.0)</f>
        <v>16</v>
      </c>
      <c r="I315" s="16">
        <f>IFERROR(__xludf.DUMMYFUNCTION("""COMPUTED_VALUE"""),-2.0)</f>
        <v>-2</v>
      </c>
      <c r="J315" s="16">
        <f>IFERROR(__xludf.DUMMYFUNCTION("""COMPUTED_VALUE"""),-2.0)</f>
        <v>-2</v>
      </c>
      <c r="K315" s="16">
        <f>IFERROR(__xludf.DUMMYFUNCTION("""COMPUTED_VALUE"""),-6.0)</f>
        <v>-6</v>
      </c>
      <c r="L315" s="16">
        <f>IFERROR(__xludf.DUMMYFUNCTION("""COMPUTED_VALUE"""),-6.0)</f>
        <v>-6</v>
      </c>
      <c r="M315" s="16">
        <f>IFERROR(__xludf.DUMMYFUNCTION("""COMPUTED_VALUE"""),4.0)</f>
        <v>4</v>
      </c>
      <c r="N315" s="16">
        <f>IFERROR(__xludf.DUMMYFUNCTION("""COMPUTED_VALUE"""),1.0)</f>
        <v>1</v>
      </c>
      <c r="O315" s="16">
        <f>IFERROR(__xludf.DUMMYFUNCTION("""COMPUTED_VALUE"""),2.0)</f>
        <v>2</v>
      </c>
      <c r="P315" s="16">
        <f>IFERROR(__xludf.DUMMYFUNCTION("""COMPUTED_VALUE"""),3.0)</f>
        <v>3</v>
      </c>
      <c r="Q315" s="16">
        <f>IFERROR(__xludf.DUMMYFUNCTION("""COMPUTED_VALUE"""),2.0)</f>
        <v>2</v>
      </c>
      <c r="R315" s="16">
        <f>IFERROR(__xludf.DUMMYFUNCTION("""COMPUTED_VALUE"""),3.0)</f>
        <v>3</v>
      </c>
      <c r="S315" s="16">
        <f>IFERROR(__xludf.DUMMYFUNCTION("""COMPUTED_VALUE"""),22.2)</f>
        <v>22.2</v>
      </c>
      <c r="T315" s="16">
        <f>IFERROR(__xludf.DUMMYFUNCTION("""COMPUTED_VALUE"""),12.5)</f>
        <v>12.5</v>
      </c>
      <c r="U315" s="16">
        <f>IFERROR(__xludf.DUMMYFUNCTION("""COMPUTED_VALUE"""),-1.0)</f>
        <v>-1</v>
      </c>
      <c r="V315" s="16">
        <f>IFERROR(__xludf.DUMMYFUNCTION("""COMPUTED_VALUE"""),1.0)</f>
        <v>1</v>
      </c>
      <c r="W315" s="16">
        <f>IFERROR(__xludf.DUMMYFUNCTION("""COMPUTED_VALUE"""),-2.0)</f>
        <v>-2</v>
      </c>
      <c r="X315" s="16">
        <f>IFERROR(__xludf.DUMMYFUNCTION("""COMPUTED_VALUE"""),2.0)</f>
        <v>2</v>
      </c>
      <c r="Y315" s="16">
        <f>IFERROR(__xludf.DUMMYFUNCTION("""COMPUTED_VALUE"""),26.2)</f>
        <v>26.2</v>
      </c>
      <c r="Z315" s="16">
        <f>IFERROR(__xludf.DUMMYFUNCTION("""COMPUTED_VALUE"""),13.5)</f>
        <v>13.5</v>
      </c>
      <c r="AA315" s="16">
        <f>IFERROR(__xludf.DUMMYFUNCTION("""COMPUTED_VALUE"""),0.0)</f>
        <v>0</v>
      </c>
      <c r="AB315" s="16">
        <f>IFERROR(__xludf.DUMMYFUNCTION("""COMPUTED_VALUE"""),2.0)</f>
        <v>2</v>
      </c>
      <c r="AC315" s="16">
        <f>IFERROR(__xludf.DUMMYFUNCTION("""COMPUTED_VALUE"""),0.0)</f>
        <v>0</v>
      </c>
      <c r="AD315" s="16">
        <f>IFERROR(__xludf.DUMMYFUNCTION("""COMPUTED_VALUE"""),10.0)</f>
        <v>10</v>
      </c>
      <c r="AE315" s="16">
        <f>IFERROR(__xludf.DUMMYFUNCTION("""COMPUTED_VALUE"""),44.0)</f>
        <v>44</v>
      </c>
      <c r="AF315" s="16">
        <f>IFERROR(__xludf.DUMMYFUNCTION("""COMPUTED_VALUE"""),25.2)</f>
        <v>25.2</v>
      </c>
      <c r="AG315" s="16">
        <f>IFERROR(__xludf.DUMMYFUNCTION("""COMPUTED_VALUE"""),-2.0)</f>
        <v>-2</v>
      </c>
      <c r="AH315" s="16">
        <f>IFERROR(__xludf.DUMMYFUNCTION("""COMPUTED_VALUE"""),0.0)</f>
        <v>0</v>
      </c>
      <c r="AI315" s="16">
        <f>IFERROR(__xludf.DUMMYFUNCTION("""COMPUTED_VALUE"""),-4.0)</f>
        <v>-4</v>
      </c>
      <c r="AJ315" s="16">
        <f>IFERROR(__xludf.DUMMYFUNCTION("""COMPUTED_VALUE"""),0.0)</f>
        <v>0</v>
      </c>
      <c r="AK315" s="16">
        <f>IFERROR(__xludf.DUMMYFUNCTION("""COMPUTED_VALUE"""),14.899999999999999)</f>
        <v>14.9</v>
      </c>
      <c r="AL315" s="16">
        <f>IFERROR(__xludf.DUMMYFUNCTION("""COMPUTED_VALUE"""),10.9)</f>
        <v>10.9</v>
      </c>
      <c r="AM315" s="16">
        <f>IFERROR(__xludf.DUMMYFUNCTION("""COMPUTED_VALUE"""),0.0)</f>
        <v>0</v>
      </c>
      <c r="AN315" s="16">
        <f>IFERROR(__xludf.DUMMYFUNCTION("""COMPUTED_VALUE"""),1.0)</f>
        <v>1</v>
      </c>
      <c r="AO315" s="16">
        <f>IFERROR(__xludf.DUMMYFUNCTION("""COMPUTED_VALUE"""),0.0)</f>
        <v>0</v>
      </c>
      <c r="AP315" s="16">
        <f>IFERROR(__xludf.DUMMYFUNCTION("""COMPUTED_VALUE"""),1.0)</f>
        <v>1</v>
      </c>
      <c r="AQ315" s="16">
        <f>IFERROR(__xludf.DUMMYFUNCTION("""COMPUTED_VALUE"""),14.8)</f>
        <v>14.8</v>
      </c>
      <c r="AR315" s="16">
        <f>IFERROR(__xludf.DUMMYFUNCTION("""COMPUTED_VALUE"""),18.799999999999997)</f>
        <v>18.8</v>
      </c>
      <c r="AS315" s="16">
        <f>IFERROR(__xludf.DUMMYFUNCTION("""COMPUTED_VALUE"""),1.0)</f>
        <v>1</v>
      </c>
      <c r="AT315" s="16">
        <f>IFERROR(__xludf.DUMMYFUNCTION("""COMPUTED_VALUE"""),0.0)</f>
        <v>0</v>
      </c>
      <c r="AU315" s="16">
        <f>IFERROR(__xludf.DUMMYFUNCTION("""COMPUTED_VALUE"""),2.0)</f>
        <v>2</v>
      </c>
      <c r="AV315" s="16">
        <f>IFERROR(__xludf.DUMMYFUNCTION("""COMPUTED_VALUE"""),0.0)</f>
        <v>0</v>
      </c>
      <c r="AW315" s="16">
        <f>IFERROR(__xludf.DUMMYFUNCTION("""COMPUTED_VALUE"""),7.3)</f>
        <v>7.3</v>
      </c>
      <c r="AX315" s="16">
        <f>IFERROR(__xludf.DUMMYFUNCTION("""COMPUTED_VALUE"""),1.6)</f>
        <v>1.6</v>
      </c>
      <c r="AY315" s="16">
        <f>IFERROR(__xludf.DUMMYFUNCTION("""COMPUTED_VALUE"""),-3.0)</f>
        <v>-3</v>
      </c>
      <c r="AZ315" s="16">
        <f>IFERROR(__xludf.DUMMYFUNCTION("""COMPUTED_VALUE"""),1.0)</f>
        <v>1</v>
      </c>
      <c r="BA315" s="16">
        <f>IFERROR(__xludf.DUMMYFUNCTION("""COMPUTED_VALUE"""),-15.0)</f>
        <v>-15</v>
      </c>
      <c r="BB315" s="16">
        <f>IFERROR(__xludf.DUMMYFUNCTION("""COMPUTED_VALUE"""),5.0)</f>
        <v>5</v>
      </c>
      <c r="BC315" s="16">
        <f>IFERROR(__xludf.DUMMYFUNCTION("""COMPUTED_VALUE"""),8.0)</f>
        <v>8</v>
      </c>
      <c r="BD315" s="16">
        <f>IFERROR(__xludf.DUMMYFUNCTION("""COMPUTED_VALUE"""),4.0)</f>
        <v>4</v>
      </c>
      <c r="BE315" s="16">
        <f>IFERROR(__xludf.DUMMYFUNCTION("""COMPUTED_VALUE"""),8.0)</f>
        <v>8</v>
      </c>
      <c r="BF315" s="16">
        <f>IFERROR(__xludf.DUMMYFUNCTION("""COMPUTED_VALUE"""),4.0)</f>
        <v>4</v>
      </c>
      <c r="BG315" s="16">
        <f>IFERROR(__xludf.DUMMYFUNCTION("""COMPUTED_VALUE"""),-3.0)</f>
        <v>-3</v>
      </c>
      <c r="BH315" s="16">
        <f>IFERROR(__xludf.DUMMYFUNCTION("""COMPUTED_VALUE"""),-1.0)</f>
        <v>-1</v>
      </c>
      <c r="BI315" s="16">
        <f>IFERROR(__xludf.DUMMYFUNCTION("""COMPUTED_VALUE"""),-6.0)</f>
        <v>-6</v>
      </c>
      <c r="BJ315" s="16">
        <f>IFERROR(__xludf.DUMMYFUNCTION("""COMPUTED_VALUE"""),-2.0)</f>
        <v>-2</v>
      </c>
      <c r="BK315" s="16">
        <f>IFERROR(__xludf.DUMMYFUNCTION("""COMPUTED_VALUE"""),5.0)</f>
        <v>5</v>
      </c>
      <c r="BL315" s="16">
        <f>IFERROR(__xludf.DUMMYFUNCTION("""COMPUTED_VALUE"""),5.0)</f>
        <v>5</v>
      </c>
      <c r="BM315" s="16">
        <f>IFERROR(__xludf.DUMMYFUNCTION("""COMPUTED_VALUE"""),0.0)</f>
        <v>0</v>
      </c>
      <c r="BN315" s="16">
        <f>IFERROR(__xludf.DUMMYFUNCTION("""COMPUTED_VALUE"""),0.0)</f>
        <v>0</v>
      </c>
      <c r="BO315" s="16">
        <f>IFERROR(__xludf.DUMMYFUNCTION("""COMPUTED_VALUE"""),0.0)</f>
        <v>0</v>
      </c>
      <c r="BP315" s="16">
        <f>IFERROR(__xludf.DUMMYFUNCTION("""COMPUTED_VALUE"""),0.0)</f>
        <v>0</v>
      </c>
      <c r="BQ315" s="16">
        <f>IFERROR(__xludf.DUMMYFUNCTION("""COMPUTED_VALUE"""),12.0)</f>
        <v>12</v>
      </c>
      <c r="BR315" s="16">
        <f>IFERROR(__xludf.DUMMYFUNCTION("""COMPUTED_VALUE"""),13.0)</f>
        <v>13</v>
      </c>
      <c r="BS315" s="16">
        <f>IFERROR(__xludf.DUMMYFUNCTION("""COMPUTED_VALUE"""),3.0)</f>
        <v>3</v>
      </c>
      <c r="BT315" s="16">
        <f>IFERROR(__xludf.DUMMYFUNCTION("""COMPUTED_VALUE"""),3.0)</f>
        <v>3</v>
      </c>
      <c r="BU315" s="16">
        <f>IFERROR(__xludf.DUMMYFUNCTION("""COMPUTED_VALUE"""),6.0)</f>
        <v>6</v>
      </c>
      <c r="BV315" s="16">
        <f>IFERROR(__xludf.DUMMYFUNCTION("""COMPUTED_VALUE"""),6.0)</f>
        <v>6</v>
      </c>
      <c r="BW315" s="16">
        <f>IFERROR(__xludf.DUMMYFUNCTION("""COMPUTED_VALUE"""),1.0)</f>
        <v>1</v>
      </c>
      <c r="BX315" s="16">
        <f>IFERROR(__xludf.DUMMYFUNCTION("""COMPUTED_VALUE"""),1.0)</f>
        <v>1</v>
      </c>
      <c r="BY315" s="16" t="str">
        <f>IFERROR(__xludf.DUMMYFUNCTION("""COMPUTED_VALUE"""),"S(4) R(3) C(0)")</f>
        <v>S(4) R(3) C(0)</v>
      </c>
      <c r="BZ315" s="16" t="str">
        <f>IFERROR(__xludf.DUMMYFUNCTION("""COMPUTED_VALUE"""),"S(4) R(3) C(0)")</f>
        <v>S(4) R(3) C(0)</v>
      </c>
      <c r="CA315" s="16" t="str">
        <f>IFERROR(__xludf.DUMMYFUNCTION("""COMPUTED_VALUE"""),"S(4)")</f>
        <v>S(4)</v>
      </c>
      <c r="CB315" s="16" t="str">
        <f>IFERROR(__xludf.DUMMYFUNCTION("""COMPUTED_VALUE"""),"R(3)")</f>
        <v>R(3)</v>
      </c>
      <c r="CC315" s="16" t="str">
        <f>IFERROR(__xludf.DUMMYFUNCTION("""COMPUTED_VALUE"""),"C(0)")</f>
        <v>C(0)</v>
      </c>
      <c r="CD315" s="16">
        <f>IFERROR(__xludf.DUMMYFUNCTION("""COMPUTED_VALUE"""),4.0)</f>
        <v>4</v>
      </c>
      <c r="CE315" s="16">
        <f>IFERROR(__xludf.DUMMYFUNCTION("""COMPUTED_VALUE"""),3.0)</f>
        <v>3</v>
      </c>
      <c r="CF315" s="16">
        <f>IFERROR(__xludf.DUMMYFUNCTION("""COMPUTED_VALUE"""),0.0)</f>
        <v>0</v>
      </c>
      <c r="CG315" s="16" t="str">
        <f>IFERROR(__xludf.DUMMYFUNCTION("""COMPUTED_VALUE"""),"3-0")</f>
        <v>3-0</v>
      </c>
      <c r="CH315" s="16">
        <f>IFERROR(__xludf.DUMMYFUNCTION("""COMPUTED_VALUE"""),3.0)</f>
        <v>3</v>
      </c>
      <c r="CI315" s="16">
        <f>IFERROR(__xludf.DUMMYFUNCTION("""COMPUTED_VALUE"""),0.0)</f>
        <v>0</v>
      </c>
      <c r="CJ315" s="16">
        <f>IFERROR(__xludf.DUMMYFUNCTION("""COMPUTED_VALUE"""),0.0)</f>
        <v>0</v>
      </c>
      <c r="CK315" s="16">
        <f>IFERROR(__xludf.DUMMYFUNCTION("""COMPUTED_VALUE"""),0.0)</f>
        <v>0</v>
      </c>
      <c r="CL315" s="16" t="str">
        <f>IFERROR(__xludf.DUMMYFUNCTION("""COMPUTED_VALUE"""),"1WR-C")</f>
        <v>1WR-C</v>
      </c>
      <c r="CM315" s="16" t="str">
        <f>IFERROR(__xludf.DUMMYFUNCTION("""COMPUTED_VALUE"""),"E")</f>
        <v>E</v>
      </c>
      <c r="CN315" s="16">
        <f>IFERROR(__xludf.DUMMYFUNCTION("""COMPUTED_VALUE"""),10.0)</f>
        <v>10</v>
      </c>
      <c r="CO315" s="16" t="str">
        <f>IFERROR(__xludf.DUMMYFUNCTION("""COMPUTED_VALUE"""),"C")</f>
        <v>C</v>
      </c>
      <c r="CP315" s="16" t="str">
        <f>IFERROR(__xludf.DUMMYFUNCTION("""COMPUTED_VALUE"""),"1p30")</f>
        <v>1p30</v>
      </c>
      <c r="CQ315" s="16">
        <f>IFERROR(__xludf.DUMMYFUNCTION("""COMPUTED_VALUE"""),-23.0)</f>
        <v>-23</v>
      </c>
      <c r="CR315" s="16">
        <f>IFERROR(__xludf.DUMMYFUNCTION("""COMPUTED_VALUE"""),19.0)</f>
        <v>19</v>
      </c>
      <c r="CS315" s="16">
        <f>IFERROR(__xludf.DUMMYFUNCTION("""COMPUTED_VALUE"""),-4.0)</f>
        <v>-4</v>
      </c>
      <c r="CT315" s="16">
        <f>IFERROR(__xludf.DUMMYFUNCTION("""COMPUTED_VALUE"""),-23.0)</f>
        <v>-23</v>
      </c>
      <c r="CU315" s="16">
        <f>IFERROR(__xludf.DUMMYFUNCTION("""COMPUTED_VALUE"""),19.0)</f>
        <v>19</v>
      </c>
      <c r="CV315" s="179">
        <f>IFERROR(__xludf.DUMMYFUNCTION("""COMPUTED_VALUE"""),-3.0)</f>
        <v>-3</v>
      </c>
      <c r="CW315" s="179">
        <f>IFERROR(__xludf.DUMMYFUNCTION("""COMPUTED_VALUE"""),4.0)</f>
        <v>4</v>
      </c>
      <c r="CX315" s="179">
        <f>IFERROR(__xludf.DUMMYFUNCTION("""COMPUTED_VALUE"""),2.0)</f>
        <v>2</v>
      </c>
      <c r="CY315" s="16" t="str">
        <f>IFERROR(__xludf.DUMMYFUNCTION("""COMPUTED_VALUE"""),"SP")</f>
        <v>SP</v>
      </c>
      <c r="CZ315" s="16" t="str">
        <f>IFERROR(__xludf.DUMMYFUNCTION("""COMPUTED_VALUE"""),"RP")</f>
        <v>RP</v>
      </c>
      <c r="DA315" s="16" t="str">
        <f>IFERROR(__xludf.DUMMYFUNCTION("""COMPUTED_VALUE"""),"CP")</f>
        <v>CP</v>
      </c>
      <c r="DB315" s="16"/>
      <c r="DC315" s="16"/>
      <c r="DD315" s="16"/>
      <c r="DE315" s="16"/>
      <c r="DF315" s="16"/>
      <c r="DG315" s="16"/>
      <c r="DH315" s="16"/>
      <c r="DI315" s="16"/>
      <c r="DJ315" s="16"/>
      <c r="DK315" s="16"/>
    </row>
    <row r="316">
      <c r="A316" s="16">
        <f>IFERROR(__xludf.DUMMYFUNCTION("""COMPUTED_VALUE"""),13309.0)</f>
        <v>13309</v>
      </c>
      <c r="B316" s="16" t="str">
        <f>IFERROR(__xludf.DUMMYFUNCTION("""COMPUTED_VALUE"""),"Richard Lovelady")</f>
        <v>Richard Lovelady</v>
      </c>
      <c r="C316" s="153">
        <f>IFERROR(__xludf.DUMMYFUNCTION("""COMPUTED_VALUE"""),0.17)</f>
        <v>0.17</v>
      </c>
      <c r="D316" s="16"/>
      <c r="E316" s="16" t="str">
        <f>IFERROR(__xludf.DUMMYFUNCTION("""COMPUTED_VALUE"""),"L")</f>
        <v>L</v>
      </c>
      <c r="F316" s="16">
        <f>IFERROR(__xludf.DUMMYFUNCTION("""COMPUTED_VALUE"""),34.0)</f>
        <v>34</v>
      </c>
      <c r="G316" s="16">
        <f>IFERROR(__xludf.DUMMYFUNCTION("""COMPUTED_VALUE"""),12.0)</f>
        <v>12</v>
      </c>
      <c r="H316" s="16">
        <f>IFERROR(__xludf.DUMMYFUNCTION("""COMPUTED_VALUE"""),15.0)</f>
        <v>15</v>
      </c>
      <c r="I316" s="16">
        <f>IFERROR(__xludf.DUMMYFUNCTION("""COMPUTED_VALUE"""),-2.0)</f>
        <v>-2</v>
      </c>
      <c r="J316" s="16">
        <f>IFERROR(__xludf.DUMMYFUNCTION("""COMPUTED_VALUE"""),-2.0)</f>
        <v>-2</v>
      </c>
      <c r="K316" s="16">
        <f>IFERROR(__xludf.DUMMYFUNCTION("""COMPUTED_VALUE"""),-6.0)</f>
        <v>-6</v>
      </c>
      <c r="L316" s="16">
        <f>IFERROR(__xludf.DUMMYFUNCTION("""COMPUTED_VALUE"""),-6.0)</f>
        <v>-6</v>
      </c>
      <c r="M316" s="16">
        <f>IFERROR(__xludf.DUMMYFUNCTION("""COMPUTED_VALUE"""),9.0)</f>
        <v>9</v>
      </c>
      <c r="N316" s="16">
        <f>IFERROR(__xludf.DUMMYFUNCTION("""COMPUTED_VALUE"""),4.0)</f>
        <v>4</v>
      </c>
      <c r="O316" s="16">
        <f>IFERROR(__xludf.DUMMYFUNCTION("""COMPUTED_VALUE"""),0.0)</f>
        <v>0</v>
      </c>
      <c r="P316" s="16">
        <f>IFERROR(__xludf.DUMMYFUNCTION("""COMPUTED_VALUE"""),2.0)</f>
        <v>2</v>
      </c>
      <c r="Q316" s="16">
        <f>IFERROR(__xludf.DUMMYFUNCTION("""COMPUTED_VALUE"""),0.0)</f>
        <v>0</v>
      </c>
      <c r="R316" s="16">
        <f>IFERROR(__xludf.DUMMYFUNCTION("""COMPUTED_VALUE"""),2.0)</f>
        <v>2</v>
      </c>
      <c r="S316" s="16">
        <f>IFERROR(__xludf.DUMMYFUNCTION("""COMPUTED_VALUE"""),17.0)</f>
        <v>17</v>
      </c>
      <c r="T316" s="16">
        <f>IFERROR(__xludf.DUMMYFUNCTION("""COMPUTED_VALUE"""),25.4)</f>
        <v>25.4</v>
      </c>
      <c r="U316" s="16">
        <f>IFERROR(__xludf.DUMMYFUNCTION("""COMPUTED_VALUE"""),0.0)</f>
        <v>0</v>
      </c>
      <c r="V316" s="16">
        <f>IFERROR(__xludf.DUMMYFUNCTION("""COMPUTED_VALUE"""),-2.0)</f>
        <v>-2</v>
      </c>
      <c r="W316" s="16">
        <f>IFERROR(__xludf.DUMMYFUNCTION("""COMPUTED_VALUE"""),0.0)</f>
        <v>0</v>
      </c>
      <c r="X316" s="16">
        <f>IFERROR(__xludf.DUMMYFUNCTION("""COMPUTED_VALUE"""),-4.0)</f>
        <v>-4</v>
      </c>
      <c r="Y316" s="16">
        <f>IFERROR(__xludf.DUMMYFUNCTION("""COMPUTED_VALUE"""),26.0)</f>
        <v>26</v>
      </c>
      <c r="Z316" s="16">
        <f>IFERROR(__xludf.DUMMYFUNCTION("""COMPUTED_VALUE"""),29.4)</f>
        <v>29.4</v>
      </c>
      <c r="AA316" s="16">
        <f>IFERROR(__xludf.DUMMYFUNCTION("""COMPUTED_VALUE"""),0.0)</f>
        <v>0</v>
      </c>
      <c r="AB316" s="16">
        <f>IFERROR(__xludf.DUMMYFUNCTION("""COMPUTED_VALUE"""),-1.0)</f>
        <v>-1</v>
      </c>
      <c r="AC316" s="16">
        <f>IFERROR(__xludf.DUMMYFUNCTION("""COMPUTED_VALUE"""),0.0)</f>
        <v>0</v>
      </c>
      <c r="AD316" s="16">
        <f>IFERROR(__xludf.DUMMYFUNCTION("""COMPUTED_VALUE"""),-5.0)</f>
        <v>-5</v>
      </c>
      <c r="AE316" s="16">
        <f>IFERROR(__xludf.DUMMYFUNCTION("""COMPUTED_VALUE"""),23.3)</f>
        <v>23.3</v>
      </c>
      <c r="AF316" s="16">
        <f>IFERROR(__xludf.DUMMYFUNCTION("""COMPUTED_VALUE"""),35.4)</f>
        <v>35.4</v>
      </c>
      <c r="AG316" s="16">
        <f>IFERROR(__xludf.DUMMYFUNCTION("""COMPUTED_VALUE"""),0.0)</f>
        <v>0</v>
      </c>
      <c r="AH316" s="16">
        <f>IFERROR(__xludf.DUMMYFUNCTION("""COMPUTED_VALUE"""),-1.0)</f>
        <v>-1</v>
      </c>
      <c r="AI316" s="16">
        <f>IFERROR(__xludf.DUMMYFUNCTION("""COMPUTED_VALUE"""),0.0)</f>
        <v>0</v>
      </c>
      <c r="AJ316" s="16">
        <f>IFERROR(__xludf.DUMMYFUNCTION("""COMPUTED_VALUE"""),-2.0)</f>
        <v>-2</v>
      </c>
      <c r="AK316" s="16">
        <f>IFERROR(__xludf.DUMMYFUNCTION("""COMPUTED_VALUE"""),16.0)</f>
        <v>16</v>
      </c>
      <c r="AL316" s="16">
        <f>IFERROR(__xludf.DUMMYFUNCTION("""COMPUTED_VALUE"""),24.0)</f>
        <v>24</v>
      </c>
      <c r="AM316" s="16">
        <f>IFERROR(__xludf.DUMMYFUNCTION("""COMPUTED_VALUE"""),-1.0)</f>
        <v>-1</v>
      </c>
      <c r="AN316" s="16">
        <f>IFERROR(__xludf.DUMMYFUNCTION("""COMPUTED_VALUE"""),-2.0)</f>
        <v>-2</v>
      </c>
      <c r="AO316" s="16">
        <f>IFERROR(__xludf.DUMMYFUNCTION("""COMPUTED_VALUE"""),-1.0)</f>
        <v>-1</v>
      </c>
      <c r="AP316" s="16">
        <f>IFERROR(__xludf.DUMMYFUNCTION("""COMPUTED_VALUE"""),-2.0)</f>
        <v>-2</v>
      </c>
      <c r="AQ316" s="16">
        <f>IFERROR(__xludf.DUMMYFUNCTION("""COMPUTED_VALUE"""),19.3)</f>
        <v>19.3</v>
      </c>
      <c r="AR316" s="16">
        <f>IFERROR(__xludf.DUMMYFUNCTION("""COMPUTED_VALUE"""),29.799999999999997)</f>
        <v>29.8</v>
      </c>
      <c r="AS316" s="16">
        <f>IFERROR(__xludf.DUMMYFUNCTION("""COMPUTED_VALUE"""),0.0)</f>
        <v>0</v>
      </c>
      <c r="AT316" s="16">
        <f>IFERROR(__xludf.DUMMYFUNCTION("""COMPUTED_VALUE"""),-1.0)</f>
        <v>-1</v>
      </c>
      <c r="AU316" s="16">
        <f>IFERROR(__xludf.DUMMYFUNCTION("""COMPUTED_VALUE"""),0.0)</f>
        <v>0</v>
      </c>
      <c r="AV316" s="16">
        <f>IFERROR(__xludf.DUMMYFUNCTION("""COMPUTED_VALUE"""),-2.0)</f>
        <v>-2</v>
      </c>
      <c r="AW316" s="16">
        <f>IFERROR(__xludf.DUMMYFUNCTION("""COMPUTED_VALUE"""),1.0)</f>
        <v>1</v>
      </c>
      <c r="AX316" s="16">
        <f>IFERROR(__xludf.DUMMYFUNCTION("""COMPUTED_VALUE"""),1.4)</f>
        <v>1.4</v>
      </c>
      <c r="AY316" s="16">
        <f>IFERROR(__xludf.DUMMYFUNCTION("""COMPUTED_VALUE"""),1.0)</f>
        <v>1</v>
      </c>
      <c r="AZ316" s="16">
        <f>IFERROR(__xludf.DUMMYFUNCTION("""COMPUTED_VALUE"""),1.0)</f>
        <v>1</v>
      </c>
      <c r="BA316" s="16">
        <f>IFERROR(__xludf.DUMMYFUNCTION("""COMPUTED_VALUE"""),5.0)</f>
        <v>5</v>
      </c>
      <c r="BB316" s="16">
        <f>IFERROR(__xludf.DUMMYFUNCTION("""COMPUTED_VALUE"""),5.0)</f>
        <v>5</v>
      </c>
      <c r="BC316" s="16">
        <f>IFERROR(__xludf.DUMMYFUNCTION("""COMPUTED_VALUE"""),0.0)</f>
        <v>0</v>
      </c>
      <c r="BD316" s="16">
        <f>IFERROR(__xludf.DUMMYFUNCTION("""COMPUTED_VALUE"""),1.0)</f>
        <v>1</v>
      </c>
      <c r="BE316" s="16">
        <f>IFERROR(__xludf.DUMMYFUNCTION("""COMPUTED_VALUE"""),0.0)</f>
        <v>0</v>
      </c>
      <c r="BF316" s="16">
        <f>IFERROR(__xludf.DUMMYFUNCTION("""COMPUTED_VALUE"""),1.0)</f>
        <v>1</v>
      </c>
      <c r="BG316" s="16">
        <f>IFERROR(__xludf.DUMMYFUNCTION("""COMPUTED_VALUE"""),3.0)</f>
        <v>3</v>
      </c>
      <c r="BH316" s="16">
        <f>IFERROR(__xludf.DUMMYFUNCTION("""COMPUTED_VALUE"""),2.0)</f>
        <v>2</v>
      </c>
      <c r="BI316" s="16">
        <f>IFERROR(__xludf.DUMMYFUNCTION("""COMPUTED_VALUE"""),6.0)</f>
        <v>6</v>
      </c>
      <c r="BJ316" s="16">
        <f>IFERROR(__xludf.DUMMYFUNCTION("""COMPUTED_VALUE"""),4.0)</f>
        <v>4</v>
      </c>
      <c r="BK316" s="16">
        <f>IFERROR(__xludf.DUMMYFUNCTION("""COMPUTED_VALUE"""),5.0)</f>
        <v>5</v>
      </c>
      <c r="BL316" s="16">
        <f>IFERROR(__xludf.DUMMYFUNCTION("""COMPUTED_VALUE"""),5.0)</f>
        <v>5</v>
      </c>
      <c r="BM316" s="16">
        <f>IFERROR(__xludf.DUMMYFUNCTION("""COMPUTED_VALUE"""),0.0)</f>
        <v>0</v>
      </c>
      <c r="BN316" s="16">
        <f>IFERROR(__xludf.DUMMYFUNCTION("""COMPUTED_VALUE"""),0.0)</f>
        <v>0</v>
      </c>
      <c r="BO316" s="16">
        <f>IFERROR(__xludf.DUMMYFUNCTION("""COMPUTED_VALUE"""),0.0)</f>
        <v>0</v>
      </c>
      <c r="BP316" s="16">
        <f>IFERROR(__xludf.DUMMYFUNCTION("""COMPUTED_VALUE"""),0.0)</f>
        <v>0</v>
      </c>
      <c r="BQ316" s="16">
        <f>IFERROR(__xludf.DUMMYFUNCTION("""COMPUTED_VALUE"""),5.0)</f>
        <v>5</v>
      </c>
      <c r="BR316" s="16">
        <f>IFERROR(__xludf.DUMMYFUNCTION("""COMPUTED_VALUE"""),5.0)</f>
        <v>5</v>
      </c>
      <c r="BS316" s="16">
        <f>IFERROR(__xludf.DUMMYFUNCTION("""COMPUTED_VALUE"""),0.0)</f>
        <v>0</v>
      </c>
      <c r="BT316" s="16">
        <f>IFERROR(__xludf.DUMMYFUNCTION("""COMPUTED_VALUE"""),0.0)</f>
        <v>0</v>
      </c>
      <c r="BU316" s="16">
        <f>IFERROR(__xludf.DUMMYFUNCTION("""COMPUTED_VALUE"""),0.0)</f>
        <v>0</v>
      </c>
      <c r="BV316" s="16">
        <f>IFERROR(__xludf.DUMMYFUNCTION("""COMPUTED_VALUE"""),0.0)</f>
        <v>0</v>
      </c>
      <c r="BW316" s="16">
        <f>IFERROR(__xludf.DUMMYFUNCTION("""COMPUTED_VALUE"""),3.0)</f>
        <v>3</v>
      </c>
      <c r="BX316" s="16">
        <f>IFERROR(__xludf.DUMMYFUNCTION("""COMPUTED_VALUE"""),3.0)</f>
        <v>3</v>
      </c>
      <c r="BY316" s="16" t="str">
        <f>IFERROR(__xludf.DUMMYFUNCTION("""COMPUTED_VALUE"""),"R(1) C(1)")</f>
        <v>R(1) C(1)</v>
      </c>
      <c r="BZ316" s="16" t="str">
        <f>IFERROR(__xludf.DUMMYFUNCTION("""COMPUTED_VALUE"""),"R(1) C(1)")</f>
        <v>R(1) C(1)</v>
      </c>
      <c r="CA316" s="16" t="str">
        <f>IFERROR(__xludf.DUMMYFUNCTION("""COMPUTED_VALUE"""),"R(1)")</f>
        <v>R(1)</v>
      </c>
      <c r="CB316" s="16" t="str">
        <f>IFERROR(__xludf.DUMMYFUNCTION("""COMPUTED_VALUE"""),"C(1)")</f>
        <v>C(1)</v>
      </c>
      <c r="CC316" s="16"/>
      <c r="CD316" s="16"/>
      <c r="CE316" s="16">
        <f>IFERROR(__xludf.DUMMYFUNCTION("""COMPUTED_VALUE"""),1.0)</f>
        <v>1</v>
      </c>
      <c r="CF316" s="16">
        <f>IFERROR(__xludf.DUMMYFUNCTION("""COMPUTED_VALUE"""),1.0)</f>
        <v>1</v>
      </c>
      <c r="CG316" s="16" t="str">
        <f>IFERROR(__xludf.DUMMYFUNCTION("""COMPUTED_VALUE"""),"5-0")</f>
        <v>5-0</v>
      </c>
      <c r="CH316" s="16">
        <f>IFERROR(__xludf.DUMMYFUNCTION("""COMPUTED_VALUE"""),5.0)</f>
        <v>5</v>
      </c>
      <c r="CI316" s="16">
        <f>IFERROR(__xludf.DUMMYFUNCTION("""COMPUTED_VALUE"""),0.0)</f>
        <v>0</v>
      </c>
      <c r="CJ316" s="16">
        <f>IFERROR(__xludf.DUMMYFUNCTION("""COMPUTED_VALUE"""),0.0)</f>
        <v>0</v>
      </c>
      <c r="CK316" s="16">
        <f>IFERROR(__xludf.DUMMYFUNCTION("""COMPUTED_VALUE"""),6.0)</f>
        <v>6</v>
      </c>
      <c r="CL316" s="16" t="str">
        <f>IFERROR(__xludf.DUMMYFUNCTION("""COMPUTED_VALUE"""),"1WL-C")</f>
        <v>1WL-C</v>
      </c>
      <c r="CM316" s="16" t="str">
        <f>IFERROR(__xludf.DUMMYFUNCTION("""COMPUTED_VALUE"""),"E")</f>
        <v>E</v>
      </c>
      <c r="CN316" s="16">
        <f>IFERROR(__xludf.DUMMYFUNCTION("""COMPUTED_VALUE"""),10.0)</f>
        <v>10</v>
      </c>
      <c r="CO316" s="16" t="str">
        <f>IFERROR(__xludf.DUMMYFUNCTION("""COMPUTED_VALUE"""),"C")</f>
        <v>C</v>
      </c>
      <c r="CP316" s="16" t="str">
        <f>IFERROR(__xludf.DUMMYFUNCTION("""COMPUTED_VALUE"""),"5p30")</f>
        <v>5p30</v>
      </c>
      <c r="CQ316" s="16">
        <f>IFERROR(__xludf.DUMMYFUNCTION("""COMPUTED_VALUE"""),4.0)</f>
        <v>4</v>
      </c>
      <c r="CR316" s="16">
        <f>IFERROR(__xludf.DUMMYFUNCTION("""COMPUTED_VALUE"""),-10.0)</f>
        <v>-10</v>
      </c>
      <c r="CS316" s="16">
        <f>IFERROR(__xludf.DUMMYFUNCTION("""COMPUTED_VALUE"""),-6.0)</f>
        <v>-6</v>
      </c>
      <c r="CT316" s="16">
        <f>IFERROR(__xludf.DUMMYFUNCTION("""COMPUTED_VALUE"""),4.0)</f>
        <v>4</v>
      </c>
      <c r="CU316" s="16">
        <f>IFERROR(__xludf.DUMMYFUNCTION("""COMPUTED_VALUE"""),-10.0)</f>
        <v>-10</v>
      </c>
      <c r="CV316" s="179">
        <f>IFERROR(__xludf.DUMMYFUNCTION("""COMPUTED_VALUE"""),-3.333333333333333)</f>
        <v>-3.333333333</v>
      </c>
      <c r="CW316" s="179">
        <f>IFERROR(__xludf.DUMMYFUNCTION("""COMPUTED_VALUE"""),0.0)</f>
        <v>0</v>
      </c>
      <c r="CX316" s="179">
        <f>IFERROR(__xludf.DUMMYFUNCTION("""COMPUTED_VALUE"""),2.0)</f>
        <v>2</v>
      </c>
      <c r="CY316" s="16" t="str">
        <f>IFERROR(__xludf.DUMMYFUNCTION("""COMPUTED_VALUE"""),"RP")</f>
        <v>RP</v>
      </c>
      <c r="CZ316" s="16" t="str">
        <f>IFERROR(__xludf.DUMMYFUNCTION("""COMPUTED_VALUE"""),"CP")</f>
        <v>CP</v>
      </c>
      <c r="DA316" s="16"/>
      <c r="DB316" s="16"/>
      <c r="DC316" s="16"/>
      <c r="DD316" s="16"/>
      <c r="DE316" s="16"/>
      <c r="DF316" s="16"/>
      <c r="DG316" s="16"/>
      <c r="DH316" s="16"/>
      <c r="DI316" s="16"/>
      <c r="DJ316" s="16"/>
      <c r="DK316" s="16"/>
    </row>
    <row r="317">
      <c r="A317" s="16">
        <f>IFERROR(__xludf.DUMMYFUNCTION("""COMPUTED_VALUE"""),12537.0)</f>
        <v>12537</v>
      </c>
      <c r="B317" s="16" t="str">
        <f>IFERROR(__xludf.DUMMYFUNCTION("""COMPUTED_VALUE"""),"Andrew Abbott")</f>
        <v>Andrew Abbott</v>
      </c>
      <c r="C317" s="153">
        <f>IFERROR(__xludf.DUMMYFUNCTION("""COMPUTED_VALUE"""),1.79)</f>
        <v>1.79</v>
      </c>
      <c r="D317" s="16"/>
      <c r="E317" s="16" t="str">
        <f>IFERROR(__xludf.DUMMYFUNCTION("""COMPUTED_VALUE"""),"L")</f>
        <v>L</v>
      </c>
      <c r="F317" s="16">
        <f>IFERROR(__xludf.DUMMYFUNCTION("""COMPUTED_VALUE"""),138.0)</f>
        <v>138</v>
      </c>
      <c r="G317" s="16">
        <f>IFERROR(__xludf.DUMMYFUNCTION("""COMPUTED_VALUE"""),15.0)</f>
        <v>15</v>
      </c>
      <c r="H317" s="16">
        <f>IFERROR(__xludf.DUMMYFUNCTION("""COMPUTED_VALUE"""),18.0)</f>
        <v>18</v>
      </c>
      <c r="I317" s="16">
        <f>IFERROR(__xludf.DUMMYFUNCTION("""COMPUTED_VALUE"""),-2.0)</f>
        <v>-2</v>
      </c>
      <c r="J317" s="16">
        <f>IFERROR(__xludf.DUMMYFUNCTION("""COMPUTED_VALUE"""),-1.0)</f>
        <v>-1</v>
      </c>
      <c r="K317" s="16">
        <f>IFERROR(__xludf.DUMMYFUNCTION("""COMPUTED_VALUE"""),-6.0)</f>
        <v>-6</v>
      </c>
      <c r="L317" s="16">
        <f>IFERROR(__xludf.DUMMYFUNCTION("""COMPUTED_VALUE"""),-3.0)</f>
        <v>-3</v>
      </c>
      <c r="M317" s="16">
        <f>IFERROR(__xludf.DUMMYFUNCTION("""COMPUTED_VALUE"""),4.0)</f>
        <v>4</v>
      </c>
      <c r="N317" s="16">
        <f>IFERROR(__xludf.DUMMYFUNCTION("""COMPUTED_VALUE"""),12.0)</f>
        <v>12</v>
      </c>
      <c r="O317" s="16">
        <f>IFERROR(__xludf.DUMMYFUNCTION("""COMPUTED_VALUE"""),2.0)</f>
        <v>2</v>
      </c>
      <c r="P317" s="16">
        <f>IFERROR(__xludf.DUMMYFUNCTION("""COMPUTED_VALUE"""),-2.0)</f>
        <v>-2</v>
      </c>
      <c r="Q317" s="16">
        <f>IFERROR(__xludf.DUMMYFUNCTION("""COMPUTED_VALUE"""),2.0)</f>
        <v>2</v>
      </c>
      <c r="R317" s="16">
        <f>IFERROR(__xludf.DUMMYFUNCTION("""COMPUTED_VALUE"""),-2.0)</f>
        <v>-2</v>
      </c>
      <c r="S317" s="16">
        <f>IFERROR(__xludf.DUMMYFUNCTION("""COMPUTED_VALUE"""),19.5)</f>
        <v>19.5</v>
      </c>
      <c r="T317" s="16">
        <f>IFERROR(__xludf.DUMMYFUNCTION("""COMPUTED_VALUE"""),12.1)</f>
        <v>12.1</v>
      </c>
      <c r="U317" s="16">
        <f>IFERROR(__xludf.DUMMYFUNCTION("""COMPUTED_VALUE"""),-1.0)</f>
        <v>-1</v>
      </c>
      <c r="V317" s="16">
        <f>IFERROR(__xludf.DUMMYFUNCTION("""COMPUTED_VALUE"""),1.0)</f>
        <v>1</v>
      </c>
      <c r="W317" s="16">
        <f>IFERROR(__xludf.DUMMYFUNCTION("""COMPUTED_VALUE"""),-2.0)</f>
        <v>-2</v>
      </c>
      <c r="X317" s="16">
        <f>IFERROR(__xludf.DUMMYFUNCTION("""COMPUTED_VALUE"""),2.0)</f>
        <v>2</v>
      </c>
      <c r="Y317" s="16">
        <f>IFERROR(__xludf.DUMMYFUNCTION("""COMPUTED_VALUE"""),23.5)</f>
        <v>23.5</v>
      </c>
      <c r="Z317" s="16">
        <f>IFERROR(__xludf.DUMMYFUNCTION("""COMPUTED_VALUE"""),24.1)</f>
        <v>24.1</v>
      </c>
      <c r="AA317" s="16">
        <f>IFERROR(__xludf.DUMMYFUNCTION("""COMPUTED_VALUE"""),0.0)</f>
        <v>0</v>
      </c>
      <c r="AB317" s="16">
        <f>IFERROR(__xludf.DUMMYFUNCTION("""COMPUTED_VALUE"""),0.0)</f>
        <v>0</v>
      </c>
      <c r="AC317" s="16">
        <f>IFERROR(__xludf.DUMMYFUNCTION("""COMPUTED_VALUE"""),0.0)</f>
        <v>0</v>
      </c>
      <c r="AD317" s="16">
        <f>IFERROR(__xludf.DUMMYFUNCTION("""COMPUTED_VALUE"""),0.0)</f>
        <v>0</v>
      </c>
      <c r="AE317" s="16">
        <f>IFERROR(__xludf.DUMMYFUNCTION("""COMPUTED_VALUE"""),27.6)</f>
        <v>27.6</v>
      </c>
      <c r="AF317" s="16">
        <f>IFERROR(__xludf.DUMMYFUNCTION("""COMPUTED_VALUE"""),30.4)</f>
        <v>30.4</v>
      </c>
      <c r="AG317" s="16">
        <f>IFERROR(__xludf.DUMMYFUNCTION("""COMPUTED_VALUE"""),0.0)</f>
        <v>0</v>
      </c>
      <c r="AH317" s="16">
        <f>IFERROR(__xludf.DUMMYFUNCTION("""COMPUTED_VALUE"""),0.0)</f>
        <v>0</v>
      </c>
      <c r="AI317" s="16">
        <f>IFERROR(__xludf.DUMMYFUNCTION("""COMPUTED_VALUE"""),0.0)</f>
        <v>0</v>
      </c>
      <c r="AJ317" s="16">
        <f>IFERROR(__xludf.DUMMYFUNCTION("""COMPUTED_VALUE"""),0.0)</f>
        <v>0</v>
      </c>
      <c r="AK317" s="16">
        <f>IFERROR(__xludf.DUMMYFUNCTION("""COMPUTED_VALUE"""),18.7)</f>
        <v>18.7</v>
      </c>
      <c r="AL317" s="16">
        <f>IFERROR(__xludf.DUMMYFUNCTION("""COMPUTED_VALUE"""),7.8)</f>
        <v>7.8</v>
      </c>
      <c r="AM317" s="16">
        <f>IFERROR(__xludf.DUMMYFUNCTION("""COMPUTED_VALUE"""),-1.0)</f>
        <v>-1</v>
      </c>
      <c r="AN317" s="16">
        <f>IFERROR(__xludf.DUMMYFUNCTION("""COMPUTED_VALUE"""),1.0)</f>
        <v>1</v>
      </c>
      <c r="AO317" s="16">
        <f>IFERROR(__xludf.DUMMYFUNCTION("""COMPUTED_VALUE"""),-1.0)</f>
        <v>-1</v>
      </c>
      <c r="AP317" s="16">
        <f>IFERROR(__xludf.DUMMYFUNCTION("""COMPUTED_VALUE"""),1.0)</f>
        <v>1</v>
      </c>
      <c r="AQ317" s="16">
        <f>IFERROR(__xludf.DUMMYFUNCTION("""COMPUTED_VALUE"""),24.400000000000002)</f>
        <v>24.4</v>
      </c>
      <c r="AR317" s="16">
        <f>IFERROR(__xludf.DUMMYFUNCTION("""COMPUTED_VALUE"""),13.2)</f>
        <v>13.2</v>
      </c>
      <c r="AS317" s="16">
        <f>IFERROR(__xludf.DUMMYFUNCTION("""COMPUTED_VALUE"""),-1.0)</f>
        <v>-1</v>
      </c>
      <c r="AT317" s="16">
        <f>IFERROR(__xludf.DUMMYFUNCTION("""COMPUTED_VALUE"""),1.0)</f>
        <v>1</v>
      </c>
      <c r="AU317" s="16">
        <f>IFERROR(__xludf.DUMMYFUNCTION("""COMPUTED_VALUE"""),-2.0)</f>
        <v>-2</v>
      </c>
      <c r="AV317" s="16">
        <f>IFERROR(__xludf.DUMMYFUNCTION("""COMPUTED_VALUE"""),2.0)</f>
        <v>2</v>
      </c>
      <c r="AW317" s="16">
        <f>IFERROR(__xludf.DUMMYFUNCTION("""COMPUTED_VALUE"""),0.8)</f>
        <v>0.8</v>
      </c>
      <c r="AX317" s="16">
        <f>IFERROR(__xludf.DUMMYFUNCTION("""COMPUTED_VALUE"""),4.3)</f>
        <v>4.3</v>
      </c>
      <c r="AY317" s="16">
        <f>IFERROR(__xludf.DUMMYFUNCTION("""COMPUTED_VALUE"""),2.0)</f>
        <v>2</v>
      </c>
      <c r="AZ317" s="16">
        <f>IFERROR(__xludf.DUMMYFUNCTION("""COMPUTED_VALUE"""),-2.0)</f>
        <v>-2</v>
      </c>
      <c r="BA317" s="16">
        <f>IFERROR(__xludf.DUMMYFUNCTION("""COMPUTED_VALUE"""),10.0)</f>
        <v>10</v>
      </c>
      <c r="BB317" s="16">
        <f>IFERROR(__xludf.DUMMYFUNCTION("""COMPUTED_VALUE"""),-10.0)</f>
        <v>-10</v>
      </c>
      <c r="BC317" s="16">
        <f>IFERROR(__xludf.DUMMYFUNCTION("""COMPUTED_VALUE"""),0.0)</f>
        <v>0</v>
      </c>
      <c r="BD317" s="16"/>
      <c r="BE317" s="16">
        <f>IFERROR(__xludf.DUMMYFUNCTION("""COMPUTED_VALUE"""),0.0)</f>
        <v>0</v>
      </c>
      <c r="BF317" s="16">
        <f>IFERROR(__xludf.DUMMYFUNCTION("""COMPUTED_VALUE"""),5.0)</f>
        <v>5</v>
      </c>
      <c r="BG317" s="16">
        <f>IFERROR(__xludf.DUMMYFUNCTION("""COMPUTED_VALUE"""),3.0)</f>
        <v>3</v>
      </c>
      <c r="BH317" s="16">
        <f>IFERROR(__xludf.DUMMYFUNCTION("""COMPUTED_VALUE"""),-2.0)</f>
        <v>-2</v>
      </c>
      <c r="BI317" s="16">
        <f>IFERROR(__xludf.DUMMYFUNCTION("""COMPUTED_VALUE"""),6.0)</f>
        <v>6</v>
      </c>
      <c r="BJ317" s="16">
        <f>IFERROR(__xludf.DUMMYFUNCTION("""COMPUTED_VALUE"""),-4.0)</f>
        <v>-4</v>
      </c>
      <c r="BK317" s="16">
        <f>IFERROR(__xludf.DUMMYFUNCTION("""COMPUTED_VALUE"""),5.0)</f>
        <v>5</v>
      </c>
      <c r="BL317" s="16">
        <f>IFERROR(__xludf.DUMMYFUNCTION("""COMPUTED_VALUE"""),0.0)</f>
        <v>0</v>
      </c>
      <c r="BM317" s="16">
        <f>IFERROR(__xludf.DUMMYFUNCTION("""COMPUTED_VALUE"""),0.0)</f>
        <v>0</v>
      </c>
      <c r="BN317" s="16">
        <f>IFERROR(__xludf.DUMMYFUNCTION("""COMPUTED_VALUE"""),1.0)</f>
        <v>1</v>
      </c>
      <c r="BO317" s="16">
        <f>IFERROR(__xludf.DUMMYFUNCTION("""COMPUTED_VALUE"""),0.0)</f>
        <v>0</v>
      </c>
      <c r="BP317" s="16">
        <f>IFERROR(__xludf.DUMMYFUNCTION("""COMPUTED_VALUE"""),1.0)</f>
        <v>1</v>
      </c>
      <c r="BQ317" s="16">
        <f>IFERROR(__xludf.DUMMYFUNCTION("""COMPUTED_VALUE"""),2.0)</f>
        <v>2</v>
      </c>
      <c r="BR317" s="16">
        <f>IFERROR(__xludf.DUMMYFUNCTION("""COMPUTED_VALUE"""),2.0)</f>
        <v>2</v>
      </c>
      <c r="BS317" s="16">
        <f>IFERROR(__xludf.DUMMYFUNCTION("""COMPUTED_VALUE"""),-2.0)</f>
        <v>-2</v>
      </c>
      <c r="BT317" s="16">
        <f>IFERROR(__xludf.DUMMYFUNCTION("""COMPUTED_VALUE"""),-2.0)</f>
        <v>-2</v>
      </c>
      <c r="BU317" s="16">
        <f>IFERROR(__xludf.DUMMYFUNCTION("""COMPUTED_VALUE"""),-4.0)</f>
        <v>-4</v>
      </c>
      <c r="BV317" s="16">
        <f>IFERROR(__xludf.DUMMYFUNCTION("""COMPUTED_VALUE"""),-4.0)</f>
        <v>-4</v>
      </c>
      <c r="BW317" s="16">
        <f>IFERROR(__xludf.DUMMYFUNCTION("""COMPUTED_VALUE"""),0.0)</f>
        <v>0</v>
      </c>
      <c r="BX317" s="16">
        <f>IFERROR(__xludf.DUMMYFUNCTION("""COMPUTED_VALUE"""),0.0)</f>
        <v>0</v>
      </c>
      <c r="BY317" s="16" t="str">
        <f>IFERROR(__xludf.DUMMYFUNCTION("""COMPUTED_VALUE"""),"S(5)")</f>
        <v>S(5)</v>
      </c>
      <c r="BZ317" s="16" t="str">
        <f>IFERROR(__xludf.DUMMYFUNCTION("""COMPUTED_VALUE"""),"S(5)")</f>
        <v>S(5)</v>
      </c>
      <c r="CA317" s="16" t="str">
        <f>IFERROR(__xludf.DUMMYFUNCTION("""COMPUTED_VALUE"""),"S(5)")</f>
        <v>S(5)</v>
      </c>
      <c r="CB317" s="16"/>
      <c r="CC317" s="16"/>
      <c r="CD317" s="16">
        <f>IFERROR(__xludf.DUMMYFUNCTION("""COMPUTED_VALUE"""),5.0)</f>
        <v>5</v>
      </c>
      <c r="CE317" s="16"/>
      <c r="CF317" s="16"/>
      <c r="CG317" s="16" t="str">
        <f>IFERROR(__xludf.DUMMYFUNCTION("""COMPUTED_VALUE"""),"3-0")</f>
        <v>3-0</v>
      </c>
      <c r="CH317" s="16">
        <f>IFERROR(__xludf.DUMMYFUNCTION("""COMPUTED_VALUE"""),3.0)</f>
        <v>3</v>
      </c>
      <c r="CI317" s="16">
        <f>IFERROR(__xludf.DUMMYFUNCTION("""COMPUTED_VALUE"""),0.0)</f>
        <v>0</v>
      </c>
      <c r="CJ317" s="16">
        <f>IFERROR(__xludf.DUMMYFUNCTION("""COMPUTED_VALUE"""),0.0)</f>
        <v>0</v>
      </c>
      <c r="CK317" s="16">
        <f>IFERROR(__xludf.DUMMYFUNCTION("""COMPUTED_VALUE"""),7.0)</f>
        <v>7</v>
      </c>
      <c r="CL317" s="16" t="str">
        <f>IFERROR(__xludf.DUMMYFUNCTION("""COMPUTED_VALUE"""),"1WL-C")</f>
        <v>1WL-C</v>
      </c>
      <c r="CM317" s="16" t="str">
        <f>IFERROR(__xludf.DUMMYFUNCTION("""COMPUTED_VALUE"""),"E")</f>
        <v>E</v>
      </c>
      <c r="CN317" s="16">
        <f>IFERROR(__xludf.DUMMYFUNCTION("""COMPUTED_VALUE"""),10.0)</f>
        <v>10</v>
      </c>
      <c r="CO317" s="16" t="str">
        <f>IFERROR(__xludf.DUMMYFUNCTION("""COMPUTED_VALUE"""),"C")</f>
        <v>C</v>
      </c>
      <c r="CP317" s="16" t="str">
        <f>IFERROR(__xludf.DUMMYFUNCTION("""COMPUTED_VALUE"""),"1p70")</f>
        <v>1p70</v>
      </c>
      <c r="CQ317" s="16">
        <f>IFERROR(__xludf.DUMMYFUNCTION("""COMPUTED_VALUE"""),3.0)</f>
        <v>3</v>
      </c>
      <c r="CR317" s="16">
        <f>IFERROR(__xludf.DUMMYFUNCTION("""COMPUTED_VALUE"""),-17.0)</f>
        <v>-17</v>
      </c>
      <c r="CS317" s="16">
        <f>IFERROR(__xludf.DUMMYFUNCTION("""COMPUTED_VALUE"""),-14.0)</f>
        <v>-14</v>
      </c>
      <c r="CT317" s="16">
        <f>IFERROR(__xludf.DUMMYFUNCTION("""COMPUTED_VALUE"""),3.0)</f>
        <v>3</v>
      </c>
      <c r="CU317" s="16">
        <f>IFERROR(__xludf.DUMMYFUNCTION("""COMPUTED_VALUE"""),-17.0)</f>
        <v>-17</v>
      </c>
      <c r="CV317" s="179">
        <f>IFERROR(__xludf.DUMMYFUNCTION("""COMPUTED_VALUE"""),-3.333333333333334)</f>
        <v>-3.333333333</v>
      </c>
      <c r="CW317" s="179">
        <f>IFERROR(__xludf.DUMMYFUNCTION("""COMPUTED_VALUE"""),4.0)</f>
        <v>4</v>
      </c>
      <c r="CX317" s="179">
        <f>IFERROR(__xludf.DUMMYFUNCTION("""COMPUTED_VALUE"""),3.0)</f>
        <v>3</v>
      </c>
      <c r="CY317" s="16" t="str">
        <f>IFERROR(__xludf.DUMMYFUNCTION("""COMPUTED_VALUE"""),"SP")</f>
        <v>SP</v>
      </c>
      <c r="CZ317" s="16"/>
      <c r="DA317" s="16"/>
      <c r="DB317" s="16"/>
      <c r="DC317" s="16"/>
      <c r="DD317" s="16"/>
      <c r="DE317" s="16"/>
      <c r="DF317" s="16"/>
      <c r="DG317" s="16"/>
      <c r="DH317" s="16"/>
      <c r="DI317" s="16"/>
      <c r="DJ317" s="16"/>
      <c r="DK317" s="16"/>
    </row>
    <row r="318">
      <c r="A318" s="16">
        <f>IFERROR(__xludf.DUMMYFUNCTION("""COMPUTED_VALUE"""),12979.0)</f>
        <v>12979</v>
      </c>
      <c r="B318" s="16" t="str">
        <f>IFERROR(__xludf.DUMMYFUNCTION("""COMPUTED_VALUE"""),"Joey Wentz")</f>
        <v>Joey Wentz</v>
      </c>
      <c r="C318" s="153">
        <f>IFERROR(__xludf.DUMMYFUNCTION("""COMPUTED_VALUE"""),0.11)</f>
        <v>0.11</v>
      </c>
      <c r="D318" s="16"/>
      <c r="E318" s="16" t="str">
        <f>IFERROR(__xludf.DUMMYFUNCTION("""COMPUTED_VALUE"""),"L")</f>
        <v>L</v>
      </c>
      <c r="F318" s="16">
        <f>IFERROR(__xludf.DUMMYFUNCTION("""COMPUTED_VALUE"""),67.0)</f>
        <v>67</v>
      </c>
      <c r="G318" s="16">
        <f>IFERROR(__xludf.DUMMYFUNCTION("""COMPUTED_VALUE"""),40.0)</f>
        <v>40</v>
      </c>
      <c r="H318" s="16">
        <f>IFERROR(__xludf.DUMMYFUNCTION("""COMPUTED_VALUE"""),21.0)</f>
        <v>21</v>
      </c>
      <c r="I318" s="16">
        <f>IFERROR(__xludf.DUMMYFUNCTION("""COMPUTED_VALUE"""),2.0)</f>
        <v>2</v>
      </c>
      <c r="J318" s="16">
        <f>IFERROR(__xludf.DUMMYFUNCTION("""COMPUTED_VALUE"""),-1.0)</f>
        <v>-1</v>
      </c>
      <c r="K318" s="16">
        <f>IFERROR(__xludf.DUMMYFUNCTION("""COMPUTED_VALUE"""),6.0)</f>
        <v>6</v>
      </c>
      <c r="L318" s="16">
        <f>IFERROR(__xludf.DUMMYFUNCTION("""COMPUTED_VALUE"""),-3.0)</f>
        <v>-3</v>
      </c>
      <c r="M318" s="16">
        <f>IFERROR(__xludf.DUMMYFUNCTION("""COMPUTED_VALUE"""),13.0)</f>
        <v>13</v>
      </c>
      <c r="N318" s="16">
        <f>IFERROR(__xludf.DUMMYFUNCTION("""COMPUTED_VALUE"""),17.0)</f>
        <v>17</v>
      </c>
      <c r="O318" s="16">
        <f>IFERROR(__xludf.DUMMYFUNCTION("""COMPUTED_VALUE"""),-1.0)</f>
        <v>-1</v>
      </c>
      <c r="P318" s="16">
        <f>IFERROR(__xludf.DUMMYFUNCTION("""COMPUTED_VALUE"""),-3.0)</f>
        <v>-3</v>
      </c>
      <c r="Q318" s="16">
        <f>IFERROR(__xludf.DUMMYFUNCTION("""COMPUTED_VALUE"""),-1.0)</f>
        <v>-1</v>
      </c>
      <c r="R318" s="16">
        <f>IFERROR(__xludf.DUMMYFUNCTION("""COMPUTED_VALUE"""),-3.0)</f>
        <v>-3</v>
      </c>
      <c r="S318" s="16">
        <f>IFERROR(__xludf.DUMMYFUNCTION("""COMPUTED_VALUE"""),14.3)</f>
        <v>14.3</v>
      </c>
      <c r="T318" s="16">
        <f>IFERROR(__xludf.DUMMYFUNCTION("""COMPUTED_VALUE"""),13.7)</f>
        <v>13.7</v>
      </c>
      <c r="U318" s="16">
        <f>IFERROR(__xludf.DUMMYFUNCTION("""COMPUTED_VALUE"""),0.0)</f>
        <v>0</v>
      </c>
      <c r="V318" s="16">
        <f>IFERROR(__xludf.DUMMYFUNCTION("""COMPUTED_VALUE"""),0.0)</f>
        <v>0</v>
      </c>
      <c r="W318" s="16">
        <f>IFERROR(__xludf.DUMMYFUNCTION("""COMPUTED_VALUE"""),0.0)</f>
        <v>0</v>
      </c>
      <c r="X318" s="16">
        <f>IFERROR(__xludf.DUMMYFUNCTION("""COMPUTED_VALUE"""),0.0)</f>
        <v>0</v>
      </c>
      <c r="Y318" s="16">
        <f>IFERROR(__xludf.DUMMYFUNCTION("""COMPUTED_VALUE"""),27.3)</f>
        <v>27.3</v>
      </c>
      <c r="Z318" s="16">
        <f>IFERROR(__xludf.DUMMYFUNCTION("""COMPUTED_VALUE"""),30.7)</f>
        <v>30.7</v>
      </c>
      <c r="AA318" s="16">
        <f>IFERROR(__xludf.DUMMYFUNCTION("""COMPUTED_VALUE"""),0.0)</f>
        <v>0</v>
      </c>
      <c r="AB318" s="16">
        <f>IFERROR(__xludf.DUMMYFUNCTION("""COMPUTED_VALUE"""),-1.0)</f>
        <v>-1</v>
      </c>
      <c r="AC318" s="16">
        <f>IFERROR(__xludf.DUMMYFUNCTION("""COMPUTED_VALUE"""),0.0)</f>
        <v>0</v>
      </c>
      <c r="AD318" s="16">
        <f>IFERROR(__xludf.DUMMYFUNCTION("""COMPUTED_VALUE"""),-5.0)</f>
        <v>-5</v>
      </c>
      <c r="AE318" s="16">
        <f>IFERROR(__xludf.DUMMYFUNCTION("""COMPUTED_VALUE"""),17.6)</f>
        <v>17.6</v>
      </c>
      <c r="AF318" s="16">
        <f>IFERROR(__xludf.DUMMYFUNCTION("""COMPUTED_VALUE"""),23.7)</f>
        <v>23.7</v>
      </c>
      <c r="AG318" s="16">
        <f>IFERROR(__xludf.DUMMYFUNCTION("""COMPUTED_VALUE"""),1.0)</f>
        <v>1</v>
      </c>
      <c r="AH318" s="16">
        <f>IFERROR(__xludf.DUMMYFUNCTION("""COMPUTED_VALUE"""),1.0)</f>
        <v>1</v>
      </c>
      <c r="AI318" s="16">
        <f>IFERROR(__xludf.DUMMYFUNCTION("""COMPUTED_VALUE"""),2.0)</f>
        <v>2</v>
      </c>
      <c r="AJ318" s="16">
        <f>IFERROR(__xludf.DUMMYFUNCTION("""COMPUTED_VALUE"""),2.0)</f>
        <v>2</v>
      </c>
      <c r="AK318" s="16">
        <f>IFERROR(__xludf.DUMMYFUNCTION("""COMPUTED_VALUE"""),14.3)</f>
        <v>14.3</v>
      </c>
      <c r="AL318" s="16">
        <f>IFERROR(__xludf.DUMMYFUNCTION("""COMPUTED_VALUE"""),10.7)</f>
        <v>10.7</v>
      </c>
      <c r="AM318" s="16">
        <f>IFERROR(__xludf.DUMMYFUNCTION("""COMPUTED_VALUE"""),0.0)</f>
        <v>0</v>
      </c>
      <c r="AN318" s="16">
        <f>IFERROR(__xludf.DUMMYFUNCTION("""COMPUTED_VALUE"""),1.0)</f>
        <v>1</v>
      </c>
      <c r="AO318" s="16">
        <f>IFERROR(__xludf.DUMMYFUNCTION("""COMPUTED_VALUE"""),0.0)</f>
        <v>0</v>
      </c>
      <c r="AP318" s="16">
        <f>IFERROR(__xludf.DUMMYFUNCTION("""COMPUTED_VALUE"""),1.0)</f>
        <v>1</v>
      </c>
      <c r="AQ318" s="16">
        <f>IFERROR(__xludf.DUMMYFUNCTION("""COMPUTED_VALUE"""),17.6)</f>
        <v>17.6</v>
      </c>
      <c r="AR318" s="16">
        <f>IFERROR(__xludf.DUMMYFUNCTION("""COMPUTED_VALUE"""),11.7)</f>
        <v>11.7</v>
      </c>
      <c r="AS318" s="16">
        <f>IFERROR(__xludf.DUMMYFUNCTION("""COMPUTED_VALUE"""),0.0)</f>
        <v>0</v>
      </c>
      <c r="AT318" s="16">
        <f>IFERROR(__xludf.DUMMYFUNCTION("""COMPUTED_VALUE"""),1.0)</f>
        <v>1</v>
      </c>
      <c r="AU318" s="16">
        <f>IFERROR(__xludf.DUMMYFUNCTION("""COMPUTED_VALUE"""),0.0)</f>
        <v>0</v>
      </c>
      <c r="AV318" s="16">
        <f>IFERROR(__xludf.DUMMYFUNCTION("""COMPUTED_VALUE"""),2.0)</f>
        <v>2</v>
      </c>
      <c r="AW318" s="16">
        <f>IFERROR(__xludf.DUMMYFUNCTION("""COMPUTED_VALUE"""),0.0)</f>
        <v>0</v>
      </c>
      <c r="AX318" s="16">
        <f>IFERROR(__xludf.DUMMYFUNCTION("""COMPUTED_VALUE"""),3.0)</f>
        <v>3</v>
      </c>
      <c r="AY318" s="16">
        <f>IFERROR(__xludf.DUMMYFUNCTION("""COMPUTED_VALUE"""),2.0)</f>
        <v>2</v>
      </c>
      <c r="AZ318" s="16">
        <f>IFERROR(__xludf.DUMMYFUNCTION("""COMPUTED_VALUE"""),-1.0)</f>
        <v>-1</v>
      </c>
      <c r="BA318" s="16">
        <f>IFERROR(__xludf.DUMMYFUNCTION("""COMPUTED_VALUE"""),10.0)</f>
        <v>10</v>
      </c>
      <c r="BB318" s="16">
        <f>IFERROR(__xludf.DUMMYFUNCTION("""COMPUTED_VALUE"""),-5.0)</f>
        <v>-5</v>
      </c>
      <c r="BC318" s="16">
        <f>IFERROR(__xludf.DUMMYFUNCTION("""COMPUTED_VALUE"""),0.0)</f>
        <v>0</v>
      </c>
      <c r="BD318" s="16">
        <f>IFERROR(__xludf.DUMMYFUNCTION("""COMPUTED_VALUE"""),5.0)</f>
        <v>5</v>
      </c>
      <c r="BE318" s="16">
        <f>IFERROR(__xludf.DUMMYFUNCTION("""COMPUTED_VALUE"""),0.0)</f>
        <v>0</v>
      </c>
      <c r="BF318" s="16">
        <f>IFERROR(__xludf.DUMMYFUNCTION("""COMPUTED_VALUE"""),5.0)</f>
        <v>5</v>
      </c>
      <c r="BG318" s="16">
        <f>IFERROR(__xludf.DUMMYFUNCTION("""COMPUTED_VALUE"""),3.0)</f>
        <v>3</v>
      </c>
      <c r="BH318" s="16">
        <f>IFERROR(__xludf.DUMMYFUNCTION("""COMPUTED_VALUE"""),-2.0)</f>
        <v>-2</v>
      </c>
      <c r="BI318" s="16">
        <f>IFERROR(__xludf.DUMMYFUNCTION("""COMPUTED_VALUE"""),6.0)</f>
        <v>6</v>
      </c>
      <c r="BJ318" s="16">
        <f>IFERROR(__xludf.DUMMYFUNCTION("""COMPUTED_VALUE"""),-4.0)</f>
        <v>-4</v>
      </c>
      <c r="BK318" s="16">
        <f>IFERROR(__xludf.DUMMYFUNCTION("""COMPUTED_VALUE"""),5.0)</f>
        <v>5</v>
      </c>
      <c r="BL318" s="16">
        <f>IFERROR(__xludf.DUMMYFUNCTION("""COMPUTED_VALUE"""),5.0)</f>
        <v>5</v>
      </c>
      <c r="BM318" s="16">
        <f>IFERROR(__xludf.DUMMYFUNCTION("""COMPUTED_VALUE"""),0.0)</f>
        <v>0</v>
      </c>
      <c r="BN318" s="16">
        <f>IFERROR(__xludf.DUMMYFUNCTION("""COMPUTED_VALUE"""),0.0)</f>
        <v>0</v>
      </c>
      <c r="BO318" s="16">
        <f>IFERROR(__xludf.DUMMYFUNCTION("""COMPUTED_VALUE"""),0.0)</f>
        <v>0</v>
      </c>
      <c r="BP318" s="16">
        <f>IFERROR(__xludf.DUMMYFUNCTION("""COMPUTED_VALUE"""),0.0)</f>
        <v>0</v>
      </c>
      <c r="BQ318" s="16">
        <f>IFERROR(__xludf.DUMMYFUNCTION("""COMPUTED_VALUE"""),0.0)</f>
        <v>0</v>
      </c>
      <c r="BR318" s="16">
        <f>IFERROR(__xludf.DUMMYFUNCTION("""COMPUTED_VALUE"""),0.0)</f>
        <v>0</v>
      </c>
      <c r="BS318" s="16">
        <f>IFERROR(__xludf.DUMMYFUNCTION("""COMPUTED_VALUE"""),-3.0)</f>
        <v>-3</v>
      </c>
      <c r="BT318" s="16">
        <f>IFERROR(__xludf.DUMMYFUNCTION("""COMPUTED_VALUE"""),-3.0)</f>
        <v>-3</v>
      </c>
      <c r="BU318" s="16">
        <f>IFERROR(__xludf.DUMMYFUNCTION("""COMPUTED_VALUE"""),-6.0)</f>
        <v>-6</v>
      </c>
      <c r="BV318" s="16">
        <f>IFERROR(__xludf.DUMMYFUNCTION("""COMPUTED_VALUE"""),-6.0)</f>
        <v>-6</v>
      </c>
      <c r="BW318" s="16">
        <f>IFERROR(__xludf.DUMMYFUNCTION("""COMPUTED_VALUE"""),8.0)</f>
        <v>8</v>
      </c>
      <c r="BX318" s="16">
        <f>IFERROR(__xludf.DUMMYFUNCTION("""COMPUTED_VALUE"""),8.0)</f>
        <v>8</v>
      </c>
      <c r="BY318" s="16" t="str">
        <f>IFERROR(__xludf.DUMMYFUNCTION("""COMPUTED_VALUE"""),"R(2) C(0)")</f>
        <v>R(2) C(0)</v>
      </c>
      <c r="BZ318" s="16" t="str">
        <f>IFERROR(__xludf.DUMMYFUNCTION("""COMPUTED_VALUE"""),"R(2) C(0)")</f>
        <v>R(2) C(0)</v>
      </c>
      <c r="CA318" s="16" t="str">
        <f>IFERROR(__xludf.DUMMYFUNCTION("""COMPUTED_VALUE"""),"R(2)")</f>
        <v>R(2)</v>
      </c>
      <c r="CB318" s="16" t="str">
        <f>IFERROR(__xludf.DUMMYFUNCTION("""COMPUTED_VALUE"""),"C(0)")</f>
        <v>C(0)</v>
      </c>
      <c r="CC318" s="16"/>
      <c r="CD318" s="16"/>
      <c r="CE318" s="16">
        <f>IFERROR(__xludf.DUMMYFUNCTION("""COMPUTED_VALUE"""),2.0)</f>
        <v>2</v>
      </c>
      <c r="CF318" s="16">
        <f>IFERROR(__xludf.DUMMYFUNCTION("""COMPUTED_VALUE"""),0.0)</f>
        <v>0</v>
      </c>
      <c r="CG318" s="16" t="str">
        <f>IFERROR(__xludf.DUMMYFUNCTION("""COMPUTED_VALUE"""),"5-21")</f>
        <v>5-21</v>
      </c>
      <c r="CH318" s="16">
        <f>IFERROR(__xludf.DUMMYFUNCTION("""COMPUTED_VALUE"""),5.0)</f>
        <v>5</v>
      </c>
      <c r="CI318" s="16">
        <f>IFERROR(__xludf.DUMMYFUNCTION("""COMPUTED_VALUE"""),21.0)</f>
        <v>21</v>
      </c>
      <c r="CJ318" s="16">
        <f>IFERROR(__xludf.DUMMYFUNCTION("""COMPUTED_VALUE"""),9.0)</f>
        <v>9</v>
      </c>
      <c r="CK318" s="16">
        <f>IFERROR(__xludf.DUMMYFUNCTION("""COMPUTED_VALUE"""),9.0)</f>
        <v>9</v>
      </c>
      <c r="CL318" s="16" t="str">
        <f>IFERROR(__xludf.DUMMYFUNCTION("""COMPUTED_VALUE"""),"1WL-C")</f>
        <v>1WL-C</v>
      </c>
      <c r="CM318" s="16" t="str">
        <f>IFERROR(__xludf.DUMMYFUNCTION("""COMPUTED_VALUE"""),"E")</f>
        <v>E</v>
      </c>
      <c r="CN318" s="16">
        <f>IFERROR(__xludf.DUMMYFUNCTION("""COMPUTED_VALUE"""),10.0)</f>
        <v>10</v>
      </c>
      <c r="CO318" s="16" t="str">
        <f>IFERROR(__xludf.DUMMYFUNCTION("""COMPUTED_VALUE"""),"C")</f>
        <v>C</v>
      </c>
      <c r="CP318" s="16" t="str">
        <f>IFERROR(__xludf.DUMMYFUNCTION("""COMPUTED_VALUE"""),"1p40")</f>
        <v>1p40</v>
      </c>
      <c r="CQ318" s="16">
        <f>IFERROR(__xludf.DUMMYFUNCTION("""COMPUTED_VALUE"""),17.0)</f>
        <v>17</v>
      </c>
      <c r="CR318" s="16">
        <f>IFERROR(__xludf.DUMMYFUNCTION("""COMPUTED_VALUE"""),-21.0)</f>
        <v>-21</v>
      </c>
      <c r="CS318" s="16">
        <f>IFERROR(__xludf.DUMMYFUNCTION("""COMPUTED_VALUE"""),-4.0)</f>
        <v>-4</v>
      </c>
      <c r="CT318" s="16">
        <f>IFERROR(__xludf.DUMMYFUNCTION("""COMPUTED_VALUE"""),17.0)</f>
        <v>17</v>
      </c>
      <c r="CU318" s="16">
        <f>IFERROR(__xludf.DUMMYFUNCTION("""COMPUTED_VALUE"""),-21.0)</f>
        <v>-21</v>
      </c>
      <c r="CV318" s="179">
        <f>IFERROR(__xludf.DUMMYFUNCTION("""COMPUTED_VALUE"""),-3.333333333333334)</f>
        <v>-3.333333333</v>
      </c>
      <c r="CW318" s="179">
        <f>IFERROR(__xludf.DUMMYFUNCTION("""COMPUTED_VALUE"""),4.0)</f>
        <v>4</v>
      </c>
      <c r="CX318" s="179">
        <f>IFERROR(__xludf.DUMMYFUNCTION("""COMPUTED_VALUE"""),1.0)</f>
        <v>1</v>
      </c>
      <c r="CY318" s="16" t="str">
        <f>IFERROR(__xludf.DUMMYFUNCTION("""COMPUTED_VALUE"""),"RP")</f>
        <v>RP</v>
      </c>
      <c r="CZ318" s="16" t="str">
        <f>IFERROR(__xludf.DUMMYFUNCTION("""COMPUTED_VALUE"""),"CP")</f>
        <v>CP</v>
      </c>
      <c r="DA318" s="16"/>
      <c r="DB318" s="16"/>
      <c r="DC318" s="16"/>
      <c r="DD318" s="16"/>
      <c r="DE318" s="16"/>
      <c r="DF318" s="16"/>
      <c r="DG318" s="16"/>
      <c r="DH318" s="16"/>
      <c r="DI318" s="16"/>
      <c r="DJ318" s="16"/>
      <c r="DK318" s="16"/>
    </row>
    <row r="319">
      <c r="A319" s="16">
        <f>IFERROR(__xludf.DUMMYFUNCTION("""COMPUTED_VALUE"""),12540.0)</f>
        <v>12540</v>
      </c>
      <c r="B319" s="16" t="str">
        <f>IFERROR(__xludf.DUMMYFUNCTION("""COMPUTED_VALUE"""),"Andrew Heaney")</f>
        <v>Andrew Heaney</v>
      </c>
      <c r="C319" s="153">
        <f>IFERROR(__xludf.DUMMYFUNCTION("""COMPUTED_VALUE"""),0.23)</f>
        <v>0.23</v>
      </c>
      <c r="D319" s="16"/>
      <c r="E319" s="16" t="str">
        <f>IFERROR(__xludf.DUMMYFUNCTION("""COMPUTED_VALUE"""),"L")</f>
        <v>L</v>
      </c>
      <c r="F319" s="16">
        <f>IFERROR(__xludf.DUMMYFUNCTION("""COMPUTED_VALUE"""),160.0)</f>
        <v>160</v>
      </c>
      <c r="G319" s="16">
        <f>IFERROR(__xludf.DUMMYFUNCTION("""COMPUTED_VALUE"""),20.0)</f>
        <v>20</v>
      </c>
      <c r="H319" s="16">
        <f>IFERROR(__xludf.DUMMYFUNCTION("""COMPUTED_VALUE"""),28.0)</f>
        <v>28</v>
      </c>
      <c r="I319" s="16">
        <f>IFERROR(__xludf.DUMMYFUNCTION("""COMPUTED_VALUE"""),-1.0)</f>
        <v>-1</v>
      </c>
      <c r="J319" s="16">
        <f>IFERROR(__xludf.DUMMYFUNCTION("""COMPUTED_VALUE"""),0.0)</f>
        <v>0</v>
      </c>
      <c r="K319" s="16">
        <f>IFERROR(__xludf.DUMMYFUNCTION("""COMPUTED_VALUE"""),-3.0)</f>
        <v>-3</v>
      </c>
      <c r="L319" s="16">
        <f>IFERROR(__xludf.DUMMYFUNCTION("""COMPUTED_VALUE"""),0.0)</f>
        <v>0</v>
      </c>
      <c r="M319" s="16">
        <f>IFERROR(__xludf.DUMMYFUNCTION("""COMPUTED_VALUE"""),9.0)</f>
        <v>9</v>
      </c>
      <c r="N319" s="16">
        <f>IFERROR(__xludf.DUMMYFUNCTION("""COMPUTED_VALUE"""),3.0)</f>
        <v>3</v>
      </c>
      <c r="O319" s="16">
        <f>IFERROR(__xludf.DUMMYFUNCTION("""COMPUTED_VALUE"""),0.0)</f>
        <v>0</v>
      </c>
      <c r="P319" s="16">
        <f>IFERROR(__xludf.DUMMYFUNCTION("""COMPUTED_VALUE"""),2.0)</f>
        <v>2</v>
      </c>
      <c r="Q319" s="16">
        <f>IFERROR(__xludf.DUMMYFUNCTION("""COMPUTED_VALUE"""),0.0)</f>
        <v>0</v>
      </c>
      <c r="R319" s="16">
        <f>IFERROR(__xludf.DUMMYFUNCTION("""COMPUTED_VALUE"""),2.0)</f>
        <v>2</v>
      </c>
      <c r="S319" s="16">
        <f>IFERROR(__xludf.DUMMYFUNCTION("""COMPUTED_VALUE"""),24.6)</f>
        <v>24.6</v>
      </c>
      <c r="T319" s="16">
        <f>IFERROR(__xludf.DUMMYFUNCTION("""COMPUTED_VALUE"""),18.4)</f>
        <v>18.4</v>
      </c>
      <c r="U319" s="16">
        <f>IFERROR(__xludf.DUMMYFUNCTION("""COMPUTED_VALUE"""),-2.0)</f>
        <v>-2</v>
      </c>
      <c r="V319" s="16">
        <f>IFERROR(__xludf.DUMMYFUNCTION("""COMPUTED_VALUE"""),0.0)</f>
        <v>0</v>
      </c>
      <c r="W319" s="16">
        <f>IFERROR(__xludf.DUMMYFUNCTION("""COMPUTED_VALUE"""),-4.0)</f>
        <v>-4</v>
      </c>
      <c r="X319" s="16">
        <f>IFERROR(__xludf.DUMMYFUNCTION("""COMPUTED_VALUE"""),0.0)</f>
        <v>0</v>
      </c>
      <c r="Y319" s="16">
        <f>IFERROR(__xludf.DUMMYFUNCTION("""COMPUTED_VALUE"""),33.7)</f>
        <v>33.7</v>
      </c>
      <c r="Z319" s="16">
        <f>IFERROR(__xludf.DUMMYFUNCTION("""COMPUTED_VALUE"""),21.4)</f>
        <v>21.4</v>
      </c>
      <c r="AA319" s="16">
        <f>IFERROR(__xludf.DUMMYFUNCTION("""COMPUTED_VALUE"""),-1.0)</f>
        <v>-1</v>
      </c>
      <c r="AB319" s="16">
        <f>IFERROR(__xludf.DUMMYFUNCTION("""COMPUTED_VALUE"""),1.0)</f>
        <v>1</v>
      </c>
      <c r="AC319" s="16">
        <f>IFERROR(__xludf.DUMMYFUNCTION("""COMPUTED_VALUE"""),-5.0)</f>
        <v>-5</v>
      </c>
      <c r="AD319" s="16">
        <f>IFERROR(__xludf.DUMMYFUNCTION("""COMPUTED_VALUE"""),5.0)</f>
        <v>5</v>
      </c>
      <c r="AE319" s="16">
        <f>IFERROR(__xludf.DUMMYFUNCTION("""COMPUTED_VALUE"""),34.2)</f>
        <v>34.2</v>
      </c>
      <c r="AF319" s="16">
        <f>IFERROR(__xludf.DUMMYFUNCTION("""COMPUTED_VALUE"""),30.2)</f>
        <v>30.2</v>
      </c>
      <c r="AG319" s="16">
        <f>IFERROR(__xludf.DUMMYFUNCTION("""COMPUTED_VALUE"""),-1.0)</f>
        <v>-1</v>
      </c>
      <c r="AH319" s="16">
        <f>IFERROR(__xludf.DUMMYFUNCTION("""COMPUTED_VALUE"""),0.0)</f>
        <v>0</v>
      </c>
      <c r="AI319" s="16">
        <f>IFERROR(__xludf.DUMMYFUNCTION("""COMPUTED_VALUE"""),-2.0)</f>
        <v>-2</v>
      </c>
      <c r="AJ319" s="16">
        <f>IFERROR(__xludf.DUMMYFUNCTION("""COMPUTED_VALUE"""),0.0)</f>
        <v>0</v>
      </c>
      <c r="AK319" s="16">
        <f>IFERROR(__xludf.DUMMYFUNCTION("""COMPUTED_VALUE"""),23.200000000000003)</f>
        <v>23.2</v>
      </c>
      <c r="AL319" s="16">
        <f>IFERROR(__xludf.DUMMYFUNCTION("""COMPUTED_VALUE"""),15.999999999999998)</f>
        <v>16</v>
      </c>
      <c r="AM319" s="16">
        <f>IFERROR(__xludf.DUMMYFUNCTION("""COMPUTED_VALUE"""),-2.0)</f>
        <v>-2</v>
      </c>
      <c r="AN319" s="16">
        <f>IFERROR(__xludf.DUMMYFUNCTION("""COMPUTED_VALUE"""),0.0)</f>
        <v>0</v>
      </c>
      <c r="AO319" s="16">
        <f>IFERROR(__xludf.DUMMYFUNCTION("""COMPUTED_VALUE"""),-2.0)</f>
        <v>-2</v>
      </c>
      <c r="AP319" s="16">
        <f>IFERROR(__xludf.DUMMYFUNCTION("""COMPUTED_VALUE"""),0.0)</f>
        <v>0</v>
      </c>
      <c r="AQ319" s="16">
        <f>IFERROR(__xludf.DUMMYFUNCTION("""COMPUTED_VALUE"""),28.6)</f>
        <v>28.6</v>
      </c>
      <c r="AR319" s="16">
        <f>IFERROR(__xludf.DUMMYFUNCTION("""COMPUTED_VALUE"""),20.6)</f>
        <v>20.6</v>
      </c>
      <c r="AS319" s="16">
        <f>IFERROR(__xludf.DUMMYFUNCTION("""COMPUTED_VALUE"""),-1.0)</f>
        <v>-1</v>
      </c>
      <c r="AT319" s="16">
        <f>IFERROR(__xludf.DUMMYFUNCTION("""COMPUTED_VALUE"""),0.0)</f>
        <v>0</v>
      </c>
      <c r="AU319" s="16">
        <f>IFERROR(__xludf.DUMMYFUNCTION("""COMPUTED_VALUE"""),-2.0)</f>
        <v>-2</v>
      </c>
      <c r="AV319" s="16">
        <f>IFERROR(__xludf.DUMMYFUNCTION("""COMPUTED_VALUE"""),0.0)</f>
        <v>0</v>
      </c>
      <c r="AW319" s="16">
        <f>IFERROR(__xludf.DUMMYFUNCTION("""COMPUTED_VALUE"""),1.4)</f>
        <v>1.4</v>
      </c>
      <c r="AX319" s="16">
        <f>IFERROR(__xludf.DUMMYFUNCTION("""COMPUTED_VALUE"""),2.4)</f>
        <v>2.4</v>
      </c>
      <c r="AY319" s="16">
        <f>IFERROR(__xludf.DUMMYFUNCTION("""COMPUTED_VALUE"""),1.0)</f>
        <v>1</v>
      </c>
      <c r="AZ319" s="16">
        <f>IFERROR(__xludf.DUMMYFUNCTION("""COMPUTED_VALUE"""),0.0)</f>
        <v>0</v>
      </c>
      <c r="BA319" s="16">
        <f>IFERROR(__xludf.DUMMYFUNCTION("""COMPUTED_VALUE"""),5.0)</f>
        <v>5</v>
      </c>
      <c r="BB319" s="16">
        <f>IFERROR(__xludf.DUMMYFUNCTION("""COMPUTED_VALUE"""),0.0)</f>
        <v>0</v>
      </c>
      <c r="BC319" s="16">
        <f>IFERROR(__xludf.DUMMYFUNCTION("""COMPUTED_VALUE"""),1.0)</f>
        <v>1</v>
      </c>
      <c r="BD319" s="16">
        <f>IFERROR(__xludf.DUMMYFUNCTION("""COMPUTED_VALUE"""),4.0)</f>
        <v>4</v>
      </c>
      <c r="BE319" s="16">
        <f>IFERROR(__xludf.DUMMYFUNCTION("""COMPUTED_VALUE"""),1.0)</f>
        <v>1</v>
      </c>
      <c r="BF319" s="16">
        <f>IFERROR(__xludf.DUMMYFUNCTION("""COMPUTED_VALUE"""),4.0)</f>
        <v>4</v>
      </c>
      <c r="BG319" s="16">
        <f>IFERROR(__xludf.DUMMYFUNCTION("""COMPUTED_VALUE"""),2.0)</f>
        <v>2</v>
      </c>
      <c r="BH319" s="16">
        <f>IFERROR(__xludf.DUMMYFUNCTION("""COMPUTED_VALUE"""),-1.0)</f>
        <v>-1</v>
      </c>
      <c r="BI319" s="16">
        <f>IFERROR(__xludf.DUMMYFUNCTION("""COMPUTED_VALUE"""),4.0)</f>
        <v>4</v>
      </c>
      <c r="BJ319" s="16">
        <f>IFERROR(__xludf.DUMMYFUNCTION("""COMPUTED_VALUE"""),-2.0)</f>
        <v>-2</v>
      </c>
      <c r="BK319" s="16">
        <f>IFERROR(__xludf.DUMMYFUNCTION("""COMPUTED_VALUE"""),5.0)</f>
        <v>5</v>
      </c>
      <c r="BL319" s="16">
        <f>IFERROR(__xludf.DUMMYFUNCTION("""COMPUTED_VALUE"""),5.0)</f>
        <v>5</v>
      </c>
      <c r="BM319" s="16">
        <f>IFERROR(__xludf.DUMMYFUNCTION("""COMPUTED_VALUE"""),0.0)</f>
        <v>0</v>
      </c>
      <c r="BN319" s="16">
        <f>IFERROR(__xludf.DUMMYFUNCTION("""COMPUTED_VALUE"""),0.0)</f>
        <v>0</v>
      </c>
      <c r="BO319" s="16">
        <f>IFERROR(__xludf.DUMMYFUNCTION("""COMPUTED_VALUE"""),0.0)</f>
        <v>0</v>
      </c>
      <c r="BP319" s="16">
        <f>IFERROR(__xludf.DUMMYFUNCTION("""COMPUTED_VALUE"""),0.0)</f>
        <v>0</v>
      </c>
      <c r="BQ319" s="16">
        <f>IFERROR(__xludf.DUMMYFUNCTION("""COMPUTED_VALUE"""),0.0)</f>
        <v>0</v>
      </c>
      <c r="BR319" s="16">
        <f>IFERROR(__xludf.DUMMYFUNCTION("""COMPUTED_VALUE"""),0.0)</f>
        <v>0</v>
      </c>
      <c r="BS319" s="16">
        <f>IFERROR(__xludf.DUMMYFUNCTION("""COMPUTED_VALUE"""),-3.0)</f>
        <v>-3</v>
      </c>
      <c r="BT319" s="16">
        <f>IFERROR(__xludf.DUMMYFUNCTION("""COMPUTED_VALUE"""),-3.0)</f>
        <v>-3</v>
      </c>
      <c r="BU319" s="16">
        <f>IFERROR(__xludf.DUMMYFUNCTION("""COMPUTED_VALUE"""),-6.0)</f>
        <v>-6</v>
      </c>
      <c r="BV319" s="16">
        <f>IFERROR(__xludf.DUMMYFUNCTION("""COMPUTED_VALUE"""),-6.0)</f>
        <v>-6</v>
      </c>
      <c r="BW319" s="16">
        <f>IFERROR(__xludf.DUMMYFUNCTION("""COMPUTED_VALUE"""),-3.0)</f>
        <v>-3</v>
      </c>
      <c r="BX319" s="16">
        <f>IFERROR(__xludf.DUMMYFUNCTION("""COMPUTED_VALUE"""),-3.0)</f>
        <v>-3</v>
      </c>
      <c r="BY319" s="16" t="str">
        <f>IFERROR(__xludf.DUMMYFUNCTION("""COMPUTED_VALUE"""),"S(5)")</f>
        <v>S(5)</v>
      </c>
      <c r="BZ319" s="16" t="str">
        <f>IFERROR(__xludf.DUMMYFUNCTION("""COMPUTED_VALUE"""),"S(5)")</f>
        <v>S(5)</v>
      </c>
      <c r="CA319" s="16" t="str">
        <f>IFERROR(__xludf.DUMMYFUNCTION("""COMPUTED_VALUE"""),"S(5)")</f>
        <v>S(5)</v>
      </c>
      <c r="CB319" s="16"/>
      <c r="CC319" s="16"/>
      <c r="CD319" s="16">
        <f>IFERROR(__xludf.DUMMYFUNCTION("""COMPUTED_VALUE"""),5.0)</f>
        <v>5</v>
      </c>
      <c r="CE319" s="16"/>
      <c r="CF319" s="16"/>
      <c r="CG319" s="16" t="str">
        <f>IFERROR(__xludf.DUMMYFUNCTION("""COMPUTED_VALUE"""),"3-0")</f>
        <v>3-0</v>
      </c>
      <c r="CH319" s="16">
        <f>IFERROR(__xludf.DUMMYFUNCTION("""COMPUTED_VALUE"""),3.0)</f>
        <v>3</v>
      </c>
      <c r="CI319" s="16">
        <f>IFERROR(__xludf.DUMMYFUNCTION("""COMPUTED_VALUE"""),0.0)</f>
        <v>0</v>
      </c>
      <c r="CJ319" s="16">
        <f>IFERROR(__xludf.DUMMYFUNCTION("""COMPUTED_VALUE"""),0.0)</f>
        <v>0</v>
      </c>
      <c r="CK319" s="16">
        <f>IFERROR(__xludf.DUMMYFUNCTION("""COMPUTED_VALUE"""),2.0)</f>
        <v>2</v>
      </c>
      <c r="CL319" s="16" t="str">
        <f>IFERROR(__xludf.DUMMYFUNCTION("""COMPUTED_VALUE"""),"1WL-C")</f>
        <v>1WL-C</v>
      </c>
      <c r="CM319" s="16" t="str">
        <f>IFERROR(__xludf.DUMMYFUNCTION("""COMPUTED_VALUE"""),"E")</f>
        <v>E</v>
      </c>
      <c r="CN319" s="16">
        <f>IFERROR(__xludf.DUMMYFUNCTION("""COMPUTED_VALUE"""),10.0)</f>
        <v>10</v>
      </c>
      <c r="CO319" s="16" t="str">
        <f>IFERROR(__xludf.DUMMYFUNCTION("""COMPUTED_VALUE"""),"C")</f>
        <v>C</v>
      </c>
      <c r="CP319" s="16" t="str">
        <f>IFERROR(__xludf.DUMMYFUNCTION("""COMPUTED_VALUE"""),"1p70")</f>
        <v>1p70</v>
      </c>
      <c r="CQ319" s="16">
        <f>IFERROR(__xludf.DUMMYFUNCTION("""COMPUTED_VALUE"""),-15.0)</f>
        <v>-15</v>
      </c>
      <c r="CR319" s="16">
        <f>IFERROR(__xludf.DUMMYFUNCTION("""COMPUTED_VALUE"""),-1.0)</f>
        <v>-1</v>
      </c>
      <c r="CS319" s="16">
        <f>IFERROR(__xludf.DUMMYFUNCTION("""COMPUTED_VALUE"""),-16.0)</f>
        <v>-16</v>
      </c>
      <c r="CT319" s="16">
        <f>IFERROR(__xludf.DUMMYFUNCTION("""COMPUTED_VALUE"""),-15.0)</f>
        <v>-15</v>
      </c>
      <c r="CU319" s="16">
        <f>IFERROR(__xludf.DUMMYFUNCTION("""COMPUTED_VALUE"""),-1.0)</f>
        <v>-1</v>
      </c>
      <c r="CV319" s="179">
        <f>IFERROR(__xludf.DUMMYFUNCTION("""COMPUTED_VALUE"""),-3.333333333333334)</f>
        <v>-3.333333333</v>
      </c>
      <c r="CW319" s="179">
        <f>IFERROR(__xludf.DUMMYFUNCTION("""COMPUTED_VALUE"""),4.0)</f>
        <v>4</v>
      </c>
      <c r="CX319" s="179">
        <f>IFERROR(__xludf.DUMMYFUNCTION("""COMPUTED_VALUE"""),3.0)</f>
        <v>3</v>
      </c>
      <c r="CY319" s="16" t="str">
        <f>IFERROR(__xludf.DUMMYFUNCTION("""COMPUTED_VALUE"""),"SP")</f>
        <v>SP</v>
      </c>
      <c r="CZ319" s="16"/>
      <c r="DA319" s="16"/>
      <c r="DB319" s="16"/>
      <c r="DC319" s="16"/>
      <c r="DD319" s="16"/>
      <c r="DE319" s="16"/>
      <c r="DF319" s="16"/>
      <c r="DG319" s="16"/>
      <c r="DH319" s="16"/>
      <c r="DI319" s="16"/>
      <c r="DJ319" s="16"/>
      <c r="DK319" s="16"/>
    </row>
    <row r="320">
      <c r="A320" s="16">
        <f>IFERROR(__xludf.DUMMYFUNCTION("""COMPUTED_VALUE"""),13516.0)</f>
        <v>13516</v>
      </c>
      <c r="B320" s="16" t="str">
        <f>IFERROR(__xludf.DUMMYFUNCTION("""COMPUTED_VALUE"""),"Zach Eflin")</f>
        <v>Zach Eflin</v>
      </c>
      <c r="C320" s="153">
        <f>IFERROR(__xludf.DUMMYFUNCTION("""COMPUTED_VALUE"""),1.42)</f>
        <v>1.42</v>
      </c>
      <c r="D320" s="16"/>
      <c r="E320" s="16" t="str">
        <f>IFERROR(__xludf.DUMMYFUNCTION("""COMPUTED_VALUE"""),"R")</f>
        <v>R</v>
      </c>
      <c r="F320" s="16">
        <f>IFERROR(__xludf.DUMMYFUNCTION("""COMPUTED_VALUE"""),165.0)</f>
        <v>165</v>
      </c>
      <c r="G320" s="16">
        <f>IFERROR(__xludf.DUMMYFUNCTION("""COMPUTED_VALUE"""),24.0)</f>
        <v>24</v>
      </c>
      <c r="H320" s="16">
        <f>IFERROR(__xludf.DUMMYFUNCTION("""COMPUTED_VALUE"""),12.0)</f>
        <v>12</v>
      </c>
      <c r="I320" s="16">
        <f>IFERROR(__xludf.DUMMYFUNCTION("""COMPUTED_VALUE"""),-1.0)</f>
        <v>-1</v>
      </c>
      <c r="J320" s="16">
        <f>IFERROR(__xludf.DUMMYFUNCTION("""COMPUTED_VALUE"""),-2.0)</f>
        <v>-2</v>
      </c>
      <c r="K320" s="16">
        <f>IFERROR(__xludf.DUMMYFUNCTION("""COMPUTED_VALUE"""),-3.0)</f>
        <v>-3</v>
      </c>
      <c r="L320" s="16">
        <f>IFERROR(__xludf.DUMMYFUNCTION("""COMPUTED_VALUE"""),-6.0)</f>
        <v>-6</v>
      </c>
      <c r="M320" s="16">
        <f>IFERROR(__xludf.DUMMYFUNCTION("""COMPUTED_VALUE"""),0.0)</f>
        <v>0</v>
      </c>
      <c r="N320" s="16">
        <f>IFERROR(__xludf.DUMMYFUNCTION("""COMPUTED_VALUE"""),0.0)</f>
        <v>0</v>
      </c>
      <c r="O320" s="16">
        <f>IFERROR(__xludf.DUMMYFUNCTION("""COMPUTED_VALUE"""),3.0)</f>
        <v>3</v>
      </c>
      <c r="P320" s="16">
        <f>IFERROR(__xludf.DUMMYFUNCTION("""COMPUTED_VALUE"""),3.0)</f>
        <v>3</v>
      </c>
      <c r="Q320" s="16">
        <f>IFERROR(__xludf.DUMMYFUNCTION("""COMPUTED_VALUE"""),3.0)</f>
        <v>3</v>
      </c>
      <c r="R320" s="16">
        <f>IFERROR(__xludf.DUMMYFUNCTION("""COMPUTED_VALUE"""),3.0)</f>
        <v>3</v>
      </c>
      <c r="S320" s="16">
        <f>IFERROR(__xludf.DUMMYFUNCTION("""COMPUTED_VALUE"""),14.9)</f>
        <v>14.9</v>
      </c>
      <c r="T320" s="16">
        <f>IFERROR(__xludf.DUMMYFUNCTION("""COMPUTED_VALUE"""),26.8)</f>
        <v>26.8</v>
      </c>
      <c r="U320" s="16">
        <f>IFERROR(__xludf.DUMMYFUNCTION("""COMPUTED_VALUE"""),0.0)</f>
        <v>0</v>
      </c>
      <c r="V320" s="16">
        <f>IFERROR(__xludf.DUMMYFUNCTION("""COMPUTED_VALUE"""),-2.0)</f>
        <v>-2</v>
      </c>
      <c r="W320" s="16">
        <f>IFERROR(__xludf.DUMMYFUNCTION("""COMPUTED_VALUE"""),0.0)</f>
        <v>0</v>
      </c>
      <c r="X320" s="16">
        <f>IFERROR(__xludf.DUMMYFUNCTION("""COMPUTED_VALUE"""),-4.0)</f>
        <v>-4</v>
      </c>
      <c r="Y320" s="16">
        <f>IFERROR(__xludf.DUMMYFUNCTION("""COMPUTED_VALUE"""),14.9)</f>
        <v>14.9</v>
      </c>
      <c r="Z320" s="16">
        <f>IFERROR(__xludf.DUMMYFUNCTION("""COMPUTED_VALUE"""),26.8)</f>
        <v>26.8</v>
      </c>
      <c r="AA320" s="16">
        <f>IFERROR(__xludf.DUMMYFUNCTION("""COMPUTED_VALUE"""),2.0)</f>
        <v>2</v>
      </c>
      <c r="AB320" s="16">
        <f>IFERROR(__xludf.DUMMYFUNCTION("""COMPUTED_VALUE"""),0.0)</f>
        <v>0</v>
      </c>
      <c r="AC320" s="16">
        <f>IFERROR(__xludf.DUMMYFUNCTION("""COMPUTED_VALUE"""),10.0)</f>
        <v>10</v>
      </c>
      <c r="AD320" s="16">
        <f>IFERROR(__xludf.DUMMYFUNCTION("""COMPUTED_VALUE"""),0.0)</f>
        <v>0</v>
      </c>
      <c r="AE320" s="16">
        <f>IFERROR(__xludf.DUMMYFUNCTION("""COMPUTED_VALUE"""),25.8)</f>
        <v>25.8</v>
      </c>
      <c r="AF320" s="16">
        <f>IFERROR(__xludf.DUMMYFUNCTION("""COMPUTED_VALUE"""),40.0)</f>
        <v>40</v>
      </c>
      <c r="AG320" s="16">
        <f>IFERROR(__xludf.DUMMYFUNCTION("""COMPUTED_VALUE"""),0.0)</f>
        <v>0</v>
      </c>
      <c r="AH320" s="16">
        <f>IFERROR(__xludf.DUMMYFUNCTION("""COMPUTED_VALUE"""),-1.0)</f>
        <v>-1</v>
      </c>
      <c r="AI320" s="16">
        <f>IFERROR(__xludf.DUMMYFUNCTION("""COMPUTED_VALUE"""),0.0)</f>
        <v>0</v>
      </c>
      <c r="AJ320" s="16">
        <f>IFERROR(__xludf.DUMMYFUNCTION("""COMPUTED_VALUE"""),-2.0)</f>
        <v>-2</v>
      </c>
      <c r="AK320" s="16">
        <f>IFERROR(__xludf.DUMMYFUNCTION("""COMPUTED_VALUE"""),12.7)</f>
        <v>12.7</v>
      </c>
      <c r="AL320" s="16">
        <f>IFERROR(__xludf.DUMMYFUNCTION("""COMPUTED_VALUE"""),24.400000000000002)</f>
        <v>24.4</v>
      </c>
      <c r="AM320" s="16">
        <f>IFERROR(__xludf.DUMMYFUNCTION("""COMPUTED_VALUE"""),0.0)</f>
        <v>0</v>
      </c>
      <c r="AN320" s="16">
        <f>IFERROR(__xludf.DUMMYFUNCTION("""COMPUTED_VALUE"""),-2.0)</f>
        <v>-2</v>
      </c>
      <c r="AO320" s="16">
        <f>IFERROR(__xludf.DUMMYFUNCTION("""COMPUTED_VALUE"""),0.0)</f>
        <v>0</v>
      </c>
      <c r="AP320" s="16">
        <f>IFERROR(__xludf.DUMMYFUNCTION("""COMPUTED_VALUE"""),-2.0)</f>
        <v>-2</v>
      </c>
      <c r="AQ320" s="16">
        <f>IFERROR(__xludf.DUMMYFUNCTION("""COMPUTED_VALUE"""),17.0)</f>
        <v>17</v>
      </c>
      <c r="AR320" s="16">
        <f>IFERROR(__xludf.DUMMYFUNCTION("""COMPUTED_VALUE"""),30.4)</f>
        <v>30.4</v>
      </c>
      <c r="AS320" s="16">
        <f>IFERROR(__xludf.DUMMYFUNCTION("""COMPUTED_VALUE"""),0.0)</f>
        <v>0</v>
      </c>
      <c r="AT320" s="16">
        <f>IFERROR(__xludf.DUMMYFUNCTION("""COMPUTED_VALUE"""),-1.0)</f>
        <v>-1</v>
      </c>
      <c r="AU320" s="16">
        <f>IFERROR(__xludf.DUMMYFUNCTION("""COMPUTED_VALUE"""),0.0)</f>
        <v>0</v>
      </c>
      <c r="AV320" s="16">
        <f>IFERROR(__xludf.DUMMYFUNCTION("""COMPUTED_VALUE"""),-2.0)</f>
        <v>-2</v>
      </c>
      <c r="AW320" s="16">
        <f>IFERROR(__xludf.DUMMYFUNCTION("""COMPUTED_VALUE"""),2.2)</f>
        <v>2.2</v>
      </c>
      <c r="AX320" s="16">
        <f>IFERROR(__xludf.DUMMYFUNCTION("""COMPUTED_VALUE"""),2.4)</f>
        <v>2.4</v>
      </c>
      <c r="AY320" s="16">
        <f>IFERROR(__xludf.DUMMYFUNCTION("""COMPUTED_VALUE"""),0.0)</f>
        <v>0</v>
      </c>
      <c r="AZ320" s="16">
        <f>IFERROR(__xludf.DUMMYFUNCTION("""COMPUTED_VALUE"""),0.0)</f>
        <v>0</v>
      </c>
      <c r="BA320" s="16">
        <f>IFERROR(__xludf.DUMMYFUNCTION("""COMPUTED_VALUE"""),0.0)</f>
        <v>0</v>
      </c>
      <c r="BB320" s="16">
        <f>IFERROR(__xludf.DUMMYFUNCTION("""COMPUTED_VALUE"""),0.0)</f>
        <v>0</v>
      </c>
      <c r="BC320" s="16">
        <f>IFERROR(__xludf.DUMMYFUNCTION("""COMPUTED_VALUE"""),3.0)</f>
        <v>3</v>
      </c>
      <c r="BD320" s="16">
        <f>IFERROR(__xludf.DUMMYFUNCTION("""COMPUTED_VALUE"""),3.0)</f>
        <v>3</v>
      </c>
      <c r="BE320" s="16">
        <f>IFERROR(__xludf.DUMMYFUNCTION("""COMPUTED_VALUE"""),3.0)</f>
        <v>3</v>
      </c>
      <c r="BF320" s="16">
        <f>IFERROR(__xludf.DUMMYFUNCTION("""COMPUTED_VALUE"""),3.0)</f>
        <v>3</v>
      </c>
      <c r="BG320" s="16">
        <f>IFERROR(__xludf.DUMMYFUNCTION("""COMPUTED_VALUE"""),0.0)</f>
        <v>0</v>
      </c>
      <c r="BH320" s="16">
        <f>IFERROR(__xludf.DUMMYFUNCTION("""COMPUTED_VALUE"""),0.0)</f>
        <v>0</v>
      </c>
      <c r="BI320" s="16">
        <f>IFERROR(__xludf.DUMMYFUNCTION("""COMPUTED_VALUE"""),0.0)</f>
        <v>0</v>
      </c>
      <c r="BJ320" s="16">
        <f>IFERROR(__xludf.DUMMYFUNCTION("""COMPUTED_VALUE"""),0.0)</f>
        <v>0</v>
      </c>
      <c r="BK320" s="16">
        <f>IFERROR(__xludf.DUMMYFUNCTION("""COMPUTED_VALUE"""),5.0)</f>
        <v>5</v>
      </c>
      <c r="BL320" s="16">
        <f>IFERROR(__xludf.DUMMYFUNCTION("""COMPUTED_VALUE"""),5.0)</f>
        <v>5</v>
      </c>
      <c r="BM320" s="16">
        <f>IFERROR(__xludf.DUMMYFUNCTION("""COMPUTED_VALUE"""),0.0)</f>
        <v>0</v>
      </c>
      <c r="BN320" s="16">
        <f>IFERROR(__xludf.DUMMYFUNCTION("""COMPUTED_VALUE"""),0.0)</f>
        <v>0</v>
      </c>
      <c r="BO320" s="16">
        <f>IFERROR(__xludf.DUMMYFUNCTION("""COMPUTED_VALUE"""),0.0)</f>
        <v>0</v>
      </c>
      <c r="BP320" s="16">
        <f>IFERROR(__xludf.DUMMYFUNCTION("""COMPUTED_VALUE"""),0.0)</f>
        <v>0</v>
      </c>
      <c r="BQ320" s="16">
        <f>IFERROR(__xludf.DUMMYFUNCTION("""COMPUTED_VALUE"""),1.0)</f>
        <v>1</v>
      </c>
      <c r="BR320" s="16">
        <f>IFERROR(__xludf.DUMMYFUNCTION("""COMPUTED_VALUE"""),0.0)</f>
        <v>0</v>
      </c>
      <c r="BS320" s="16">
        <f>IFERROR(__xludf.DUMMYFUNCTION("""COMPUTED_VALUE"""),-2.0)</f>
        <v>-2</v>
      </c>
      <c r="BT320" s="16">
        <f>IFERROR(__xludf.DUMMYFUNCTION("""COMPUTED_VALUE"""),-3.0)</f>
        <v>-3</v>
      </c>
      <c r="BU320" s="16">
        <f>IFERROR(__xludf.DUMMYFUNCTION("""COMPUTED_VALUE"""),-4.0)</f>
        <v>-4</v>
      </c>
      <c r="BV320" s="16">
        <f>IFERROR(__xludf.DUMMYFUNCTION("""COMPUTED_VALUE"""),-6.0)</f>
        <v>-6</v>
      </c>
      <c r="BW320" s="16">
        <f>IFERROR(__xludf.DUMMYFUNCTION("""COMPUTED_VALUE"""),-3.0)</f>
        <v>-3</v>
      </c>
      <c r="BX320" s="16">
        <f>IFERROR(__xludf.DUMMYFUNCTION("""COMPUTED_VALUE"""),-3.0)</f>
        <v>-3</v>
      </c>
      <c r="BY320" s="16" t="str">
        <f>IFERROR(__xludf.DUMMYFUNCTION("""COMPUTED_VALUE"""),"S(6)")</f>
        <v>S(6)</v>
      </c>
      <c r="BZ320" s="16" t="str">
        <f>IFERROR(__xludf.DUMMYFUNCTION("""COMPUTED_VALUE"""),"S(6)")</f>
        <v>S(6)</v>
      </c>
      <c r="CA320" s="16" t="str">
        <f>IFERROR(__xludf.DUMMYFUNCTION("""COMPUTED_VALUE"""),"S(6)")</f>
        <v>S(6)</v>
      </c>
      <c r="CB320" s="16"/>
      <c r="CC320" s="16"/>
      <c r="CD320" s="16">
        <f>IFERROR(__xludf.DUMMYFUNCTION("""COMPUTED_VALUE"""),6.0)</f>
        <v>6</v>
      </c>
      <c r="CE320" s="16"/>
      <c r="CF320" s="16"/>
      <c r="CG320" s="16" t="str">
        <f>IFERROR(__xludf.DUMMYFUNCTION("""COMPUTED_VALUE"""),"2-0")</f>
        <v>2-0</v>
      </c>
      <c r="CH320" s="16">
        <f>IFERROR(__xludf.DUMMYFUNCTION("""COMPUTED_VALUE"""),2.0)</f>
        <v>2</v>
      </c>
      <c r="CI320" s="16">
        <f>IFERROR(__xludf.DUMMYFUNCTION("""COMPUTED_VALUE"""),0.0)</f>
        <v>0</v>
      </c>
      <c r="CJ320" s="16">
        <f>IFERROR(__xludf.DUMMYFUNCTION("""COMPUTED_VALUE"""),0.0)</f>
        <v>0</v>
      </c>
      <c r="CK320" s="16">
        <f>IFERROR(__xludf.DUMMYFUNCTION("""COMPUTED_VALUE"""),2.0)</f>
        <v>2</v>
      </c>
      <c r="CL320" s="16" t="str">
        <f>IFERROR(__xludf.DUMMYFUNCTION("""COMPUTED_VALUE"""),"1WR-C")</f>
        <v>1WR-C</v>
      </c>
      <c r="CM320" s="16" t="str">
        <f>IFERROR(__xludf.DUMMYFUNCTION("""COMPUTED_VALUE"""),"E")</f>
        <v>E</v>
      </c>
      <c r="CN320" s="16">
        <f>IFERROR(__xludf.DUMMYFUNCTION("""COMPUTED_VALUE"""),10.0)</f>
        <v>10</v>
      </c>
      <c r="CO320" s="16" t="str">
        <f>IFERROR(__xludf.DUMMYFUNCTION("""COMPUTED_VALUE"""),"C")</f>
        <v>C</v>
      </c>
      <c r="CP320" s="16" t="str">
        <f>IFERROR(__xludf.DUMMYFUNCTION("""COMPUTED_VALUE"""),"1p70")</f>
        <v>1p70</v>
      </c>
      <c r="CQ320" s="16">
        <f>IFERROR(__xludf.DUMMYFUNCTION("""COMPUTED_VALUE"""),6.0)</f>
        <v>6</v>
      </c>
      <c r="CR320" s="16">
        <f>IFERROR(__xludf.DUMMYFUNCTION("""COMPUTED_VALUE"""),-19.0)</f>
        <v>-19</v>
      </c>
      <c r="CS320" s="16">
        <f>IFERROR(__xludf.DUMMYFUNCTION("""COMPUTED_VALUE"""),-13.0)</f>
        <v>-13</v>
      </c>
      <c r="CT320" s="16">
        <f>IFERROR(__xludf.DUMMYFUNCTION("""COMPUTED_VALUE"""),6.0)</f>
        <v>6</v>
      </c>
      <c r="CU320" s="16">
        <f>IFERROR(__xludf.DUMMYFUNCTION("""COMPUTED_VALUE"""),-19.0)</f>
        <v>-19</v>
      </c>
      <c r="CV320" s="179">
        <f>IFERROR(__xludf.DUMMYFUNCTION("""COMPUTED_VALUE"""),-3.666666666666666)</f>
        <v>-3.666666667</v>
      </c>
      <c r="CW320" s="179">
        <f>IFERROR(__xludf.DUMMYFUNCTION("""COMPUTED_VALUE"""),4.0)</f>
        <v>4</v>
      </c>
      <c r="CX320" s="179">
        <f>IFERROR(__xludf.DUMMYFUNCTION("""COMPUTED_VALUE"""),3.0)</f>
        <v>3</v>
      </c>
      <c r="CY320" s="16" t="str">
        <f>IFERROR(__xludf.DUMMYFUNCTION("""COMPUTED_VALUE"""),"SP")</f>
        <v>SP</v>
      </c>
      <c r="CZ320" s="16"/>
      <c r="DA320" s="16"/>
      <c r="DB320" s="16"/>
      <c r="DC320" s="16"/>
      <c r="DD320" s="16"/>
      <c r="DE320" s="16"/>
      <c r="DF320" s="16"/>
      <c r="DG320" s="16"/>
      <c r="DH320" s="16"/>
      <c r="DI320" s="16"/>
      <c r="DJ320" s="16"/>
      <c r="DK320" s="16"/>
    </row>
    <row r="321">
      <c r="A321" s="16">
        <f>IFERROR(__xludf.DUMMYFUNCTION("""COMPUTED_VALUE"""),12781.0)</f>
        <v>12781</v>
      </c>
      <c r="B321" s="16" t="str">
        <f>IFERROR(__xludf.DUMMYFUNCTION("""COMPUTED_VALUE"""),"Eduardo Salazar")</f>
        <v>Eduardo Salazar</v>
      </c>
      <c r="C321" s="153">
        <f>IFERROR(__xludf.DUMMYFUNCTION("""COMPUTED_VALUE"""),0.74)</f>
        <v>0.74</v>
      </c>
      <c r="D321" s="16"/>
      <c r="E321" s="16" t="str">
        <f>IFERROR(__xludf.DUMMYFUNCTION("""COMPUTED_VALUE"""),"R")</f>
        <v>R</v>
      </c>
      <c r="F321" s="16">
        <f>IFERROR(__xludf.DUMMYFUNCTION("""COMPUTED_VALUE"""),29.0)</f>
        <v>29</v>
      </c>
      <c r="G321" s="16">
        <f>IFERROR(__xludf.DUMMYFUNCTION("""COMPUTED_VALUE"""),24.0)</f>
        <v>24</v>
      </c>
      <c r="H321" s="16">
        <f>IFERROR(__xludf.DUMMYFUNCTION("""COMPUTED_VALUE"""),15.0)</f>
        <v>15</v>
      </c>
      <c r="I321" s="16">
        <f>IFERROR(__xludf.DUMMYFUNCTION("""COMPUTED_VALUE"""),-1.0)</f>
        <v>-1</v>
      </c>
      <c r="J321" s="16">
        <f>IFERROR(__xludf.DUMMYFUNCTION("""COMPUTED_VALUE"""),-2.0)</f>
        <v>-2</v>
      </c>
      <c r="K321" s="16">
        <f>IFERROR(__xludf.DUMMYFUNCTION("""COMPUTED_VALUE"""),-3.0)</f>
        <v>-3</v>
      </c>
      <c r="L321" s="16">
        <f>IFERROR(__xludf.DUMMYFUNCTION("""COMPUTED_VALUE"""),-6.0)</f>
        <v>-6</v>
      </c>
      <c r="M321" s="16">
        <f>IFERROR(__xludf.DUMMYFUNCTION("""COMPUTED_VALUE"""),14.0)</f>
        <v>14</v>
      </c>
      <c r="N321" s="16">
        <f>IFERROR(__xludf.DUMMYFUNCTION("""COMPUTED_VALUE"""),15.0)</f>
        <v>15</v>
      </c>
      <c r="O321" s="16">
        <f>IFERROR(__xludf.DUMMYFUNCTION("""COMPUTED_VALUE"""),-2.0)</f>
        <v>-2</v>
      </c>
      <c r="P321" s="16">
        <f>IFERROR(__xludf.DUMMYFUNCTION("""COMPUTED_VALUE"""),-3.0)</f>
        <v>-3</v>
      </c>
      <c r="Q321" s="16">
        <f>IFERROR(__xludf.DUMMYFUNCTION("""COMPUTED_VALUE"""),-2.0)</f>
        <v>-2</v>
      </c>
      <c r="R321" s="16">
        <f>IFERROR(__xludf.DUMMYFUNCTION("""COMPUTED_VALUE"""),-3.0)</f>
        <v>-3</v>
      </c>
      <c r="S321" s="16">
        <f>IFERROR(__xludf.DUMMYFUNCTION("""COMPUTED_VALUE"""),30.5)</f>
        <v>30.5</v>
      </c>
      <c r="T321" s="16">
        <f>IFERROR(__xludf.DUMMYFUNCTION("""COMPUTED_VALUE"""),20.4)</f>
        <v>20.4</v>
      </c>
      <c r="U321" s="16">
        <f>IFERROR(__xludf.DUMMYFUNCTION("""COMPUTED_VALUE"""),-2.0)</f>
        <v>-2</v>
      </c>
      <c r="V321" s="16">
        <f>IFERROR(__xludf.DUMMYFUNCTION("""COMPUTED_VALUE"""),-1.0)</f>
        <v>-1</v>
      </c>
      <c r="W321" s="16">
        <f>IFERROR(__xludf.DUMMYFUNCTION("""COMPUTED_VALUE"""),-4.0)</f>
        <v>-4</v>
      </c>
      <c r="X321" s="16">
        <f>IFERROR(__xludf.DUMMYFUNCTION("""COMPUTED_VALUE"""),-2.0)</f>
        <v>-2</v>
      </c>
      <c r="Y321" s="16">
        <f>IFERROR(__xludf.DUMMYFUNCTION("""COMPUTED_VALUE"""),44.5)</f>
        <v>44.5</v>
      </c>
      <c r="Z321" s="16">
        <f>IFERROR(__xludf.DUMMYFUNCTION("""COMPUTED_VALUE"""),35.3)</f>
        <v>35.3</v>
      </c>
      <c r="AA321" s="16">
        <f>IFERROR(__xludf.DUMMYFUNCTION("""COMPUTED_VALUE"""),-2.0)</f>
        <v>-2</v>
      </c>
      <c r="AB321" s="16">
        <f>IFERROR(__xludf.DUMMYFUNCTION("""COMPUTED_VALUE"""),-2.0)</f>
        <v>-2</v>
      </c>
      <c r="AC321" s="16">
        <f>IFERROR(__xludf.DUMMYFUNCTION("""COMPUTED_VALUE"""),-10.0)</f>
        <v>-10</v>
      </c>
      <c r="AD321" s="16">
        <f>IFERROR(__xludf.DUMMYFUNCTION("""COMPUTED_VALUE"""),-10.0)</f>
        <v>-10</v>
      </c>
      <c r="AE321" s="16">
        <f>IFERROR(__xludf.DUMMYFUNCTION("""COMPUTED_VALUE"""),35.0)</f>
        <v>35</v>
      </c>
      <c r="AF321" s="16">
        <f>IFERROR(__xludf.DUMMYFUNCTION("""COMPUTED_VALUE"""),25.9)</f>
        <v>25.9</v>
      </c>
      <c r="AG321" s="16">
        <f>IFERROR(__xludf.DUMMYFUNCTION("""COMPUTED_VALUE"""),-1.0)</f>
        <v>-1</v>
      </c>
      <c r="AH321" s="16">
        <f>IFERROR(__xludf.DUMMYFUNCTION("""COMPUTED_VALUE"""),0.0)</f>
        <v>0</v>
      </c>
      <c r="AI321" s="16">
        <f>IFERROR(__xludf.DUMMYFUNCTION("""COMPUTED_VALUE"""),-2.0)</f>
        <v>-2</v>
      </c>
      <c r="AJ321" s="16">
        <f>IFERROR(__xludf.DUMMYFUNCTION("""COMPUTED_VALUE"""),0.0)</f>
        <v>0</v>
      </c>
      <c r="AK321" s="16">
        <f>IFERROR(__xludf.DUMMYFUNCTION("""COMPUTED_VALUE"""),30.5)</f>
        <v>30.5</v>
      </c>
      <c r="AL321" s="16">
        <f>IFERROR(__xludf.DUMMYFUNCTION("""COMPUTED_VALUE"""),20.4)</f>
        <v>20.4</v>
      </c>
      <c r="AM321" s="16">
        <f>IFERROR(__xludf.DUMMYFUNCTION("""COMPUTED_VALUE"""),-3.0)</f>
        <v>-3</v>
      </c>
      <c r="AN321" s="16">
        <f>IFERROR(__xludf.DUMMYFUNCTION("""COMPUTED_VALUE"""),-1.0)</f>
        <v>-1</v>
      </c>
      <c r="AO321" s="16">
        <f>IFERROR(__xludf.DUMMYFUNCTION("""COMPUTED_VALUE"""),-3.0)</f>
        <v>-3</v>
      </c>
      <c r="AP321" s="16">
        <f>IFERROR(__xludf.DUMMYFUNCTION("""COMPUTED_VALUE"""),-1.0)</f>
        <v>-1</v>
      </c>
      <c r="AQ321" s="16">
        <f>IFERROR(__xludf.DUMMYFUNCTION("""COMPUTED_VALUE"""),35.0)</f>
        <v>35</v>
      </c>
      <c r="AR321" s="16">
        <f>IFERROR(__xludf.DUMMYFUNCTION("""COMPUTED_VALUE"""),25.9)</f>
        <v>25.9</v>
      </c>
      <c r="AS321" s="16">
        <f>IFERROR(__xludf.DUMMYFUNCTION("""COMPUTED_VALUE"""),-2.0)</f>
        <v>-2</v>
      </c>
      <c r="AT321" s="16">
        <f>IFERROR(__xludf.DUMMYFUNCTION("""COMPUTED_VALUE"""),-1.0)</f>
        <v>-1</v>
      </c>
      <c r="AU321" s="16">
        <f>IFERROR(__xludf.DUMMYFUNCTION("""COMPUTED_VALUE"""),-4.0)</f>
        <v>-4</v>
      </c>
      <c r="AV321" s="16">
        <f>IFERROR(__xludf.DUMMYFUNCTION("""COMPUTED_VALUE"""),-2.0)</f>
        <v>-2</v>
      </c>
      <c r="AW321" s="16">
        <f>IFERROR(__xludf.DUMMYFUNCTION("""COMPUTED_VALUE"""),0.0)</f>
        <v>0</v>
      </c>
      <c r="AX321" s="16">
        <f>IFERROR(__xludf.DUMMYFUNCTION("""COMPUTED_VALUE"""),0.0)</f>
        <v>0</v>
      </c>
      <c r="AY321" s="16">
        <f>IFERROR(__xludf.DUMMYFUNCTION("""COMPUTED_VALUE"""),2.0)</f>
        <v>2</v>
      </c>
      <c r="AZ321" s="16">
        <f>IFERROR(__xludf.DUMMYFUNCTION("""COMPUTED_VALUE"""),2.0)</f>
        <v>2</v>
      </c>
      <c r="BA321" s="16">
        <f>IFERROR(__xludf.DUMMYFUNCTION("""COMPUTED_VALUE"""),10.0)</f>
        <v>10</v>
      </c>
      <c r="BB321" s="16">
        <f>IFERROR(__xludf.DUMMYFUNCTION("""COMPUTED_VALUE"""),10.0)</f>
        <v>10</v>
      </c>
      <c r="BC321" s="16">
        <f>IFERROR(__xludf.DUMMYFUNCTION("""COMPUTED_VALUE"""),0.0)</f>
        <v>0</v>
      </c>
      <c r="BD321" s="16">
        <f>IFERROR(__xludf.DUMMYFUNCTION("""COMPUTED_VALUE"""),0.0)</f>
        <v>0</v>
      </c>
      <c r="BE321" s="16">
        <f>IFERROR(__xludf.DUMMYFUNCTION("""COMPUTED_VALUE"""),0.0)</f>
        <v>0</v>
      </c>
      <c r="BF321" s="16">
        <f>IFERROR(__xludf.DUMMYFUNCTION("""COMPUTED_VALUE"""),0.0)</f>
        <v>0</v>
      </c>
      <c r="BG321" s="16">
        <f>IFERROR(__xludf.DUMMYFUNCTION("""COMPUTED_VALUE"""),3.0)</f>
        <v>3</v>
      </c>
      <c r="BH321" s="16">
        <f>IFERROR(__xludf.DUMMYFUNCTION("""COMPUTED_VALUE"""),2.0)</f>
        <v>2</v>
      </c>
      <c r="BI321" s="16">
        <f>IFERROR(__xludf.DUMMYFUNCTION("""COMPUTED_VALUE"""),6.0)</f>
        <v>6</v>
      </c>
      <c r="BJ321" s="16">
        <f>IFERROR(__xludf.DUMMYFUNCTION("""COMPUTED_VALUE"""),4.0)</f>
        <v>4</v>
      </c>
      <c r="BK321" s="16">
        <f>IFERROR(__xludf.DUMMYFUNCTION("""COMPUTED_VALUE"""),5.0)</f>
        <v>5</v>
      </c>
      <c r="BL321" s="16">
        <f>IFERROR(__xludf.DUMMYFUNCTION("""COMPUTED_VALUE"""),5.0)</f>
        <v>5</v>
      </c>
      <c r="BM321" s="16">
        <f>IFERROR(__xludf.DUMMYFUNCTION("""COMPUTED_VALUE"""),0.0)</f>
        <v>0</v>
      </c>
      <c r="BN321" s="16">
        <f>IFERROR(__xludf.DUMMYFUNCTION("""COMPUTED_VALUE"""),0.0)</f>
        <v>0</v>
      </c>
      <c r="BO321" s="16">
        <f>IFERROR(__xludf.DUMMYFUNCTION("""COMPUTED_VALUE"""),0.0)</f>
        <v>0</v>
      </c>
      <c r="BP321" s="16">
        <f>IFERROR(__xludf.DUMMYFUNCTION("""COMPUTED_VALUE"""),0.0)</f>
        <v>0</v>
      </c>
      <c r="BQ321" s="16">
        <f>IFERROR(__xludf.DUMMYFUNCTION("""COMPUTED_VALUE"""),4.0)</f>
        <v>4</v>
      </c>
      <c r="BR321" s="16">
        <f>IFERROR(__xludf.DUMMYFUNCTION("""COMPUTED_VALUE"""),9.0)</f>
        <v>9</v>
      </c>
      <c r="BS321" s="16">
        <f>IFERROR(__xludf.DUMMYFUNCTION("""COMPUTED_VALUE"""),-1.0)</f>
        <v>-1</v>
      </c>
      <c r="BT321" s="16">
        <f>IFERROR(__xludf.DUMMYFUNCTION("""COMPUTED_VALUE"""),3.0)</f>
        <v>3</v>
      </c>
      <c r="BU321" s="16">
        <f>IFERROR(__xludf.DUMMYFUNCTION("""COMPUTED_VALUE"""),-2.0)</f>
        <v>-2</v>
      </c>
      <c r="BV321" s="16">
        <f>IFERROR(__xludf.DUMMYFUNCTION("""COMPUTED_VALUE"""),6.0)</f>
        <v>6</v>
      </c>
      <c r="BW321" s="16">
        <f>IFERROR(__xludf.DUMMYFUNCTION("""COMPUTED_VALUE"""),4.0)</f>
        <v>4</v>
      </c>
      <c r="BX321" s="16">
        <f>IFERROR(__xludf.DUMMYFUNCTION("""COMPUTED_VALUE"""),4.0)</f>
        <v>4</v>
      </c>
      <c r="BY321" s="16" t="str">
        <f>IFERROR(__xludf.DUMMYFUNCTION("""COMPUTED_VALUE"""),"R(2)")</f>
        <v>R(2)</v>
      </c>
      <c r="BZ321" s="16" t="str">
        <f>IFERROR(__xludf.DUMMYFUNCTION("""COMPUTED_VALUE"""),"R(2)")</f>
        <v>R(2)</v>
      </c>
      <c r="CA321" s="16" t="str">
        <f>IFERROR(__xludf.DUMMYFUNCTION("""COMPUTED_VALUE"""),"R(2)")</f>
        <v>R(2)</v>
      </c>
      <c r="CB321" s="16"/>
      <c r="CC321" s="16"/>
      <c r="CD321" s="16"/>
      <c r="CE321" s="16">
        <f>IFERROR(__xludf.DUMMYFUNCTION("""COMPUTED_VALUE"""),2.0)</f>
        <v>2</v>
      </c>
      <c r="CF321" s="16"/>
      <c r="CG321" s="16" t="str">
        <f>IFERROR(__xludf.DUMMYFUNCTION("""COMPUTED_VALUE"""),"4-48")</f>
        <v>4-48</v>
      </c>
      <c r="CH321" s="16">
        <f>IFERROR(__xludf.DUMMYFUNCTION("""COMPUTED_VALUE"""),4.0)</f>
        <v>4</v>
      </c>
      <c r="CI321" s="16">
        <f>IFERROR(__xludf.DUMMYFUNCTION("""COMPUTED_VALUE"""),48.0)</f>
        <v>48</v>
      </c>
      <c r="CJ321" s="16">
        <f>IFERROR(__xludf.DUMMYFUNCTION("""COMPUTED_VALUE"""),0.0)</f>
        <v>0</v>
      </c>
      <c r="CK321" s="16">
        <f>IFERROR(__xludf.DUMMYFUNCTION("""COMPUTED_VALUE"""),6.0)</f>
        <v>6</v>
      </c>
      <c r="CL321" s="16" t="str">
        <f>IFERROR(__xludf.DUMMYFUNCTION("""COMPUTED_VALUE"""),"1WR-C")</f>
        <v>1WR-C</v>
      </c>
      <c r="CM321" s="16" t="str">
        <f>IFERROR(__xludf.DUMMYFUNCTION("""COMPUTED_VALUE"""),"E")</f>
        <v>E</v>
      </c>
      <c r="CN321" s="16">
        <f>IFERROR(__xludf.DUMMYFUNCTION("""COMPUTED_VALUE"""),10.0)</f>
        <v>10</v>
      </c>
      <c r="CO321" s="16" t="str">
        <f>IFERROR(__xludf.DUMMYFUNCTION("""COMPUTED_VALUE"""),"C")</f>
        <v>C</v>
      </c>
      <c r="CP321" s="16" t="str">
        <f>IFERROR(__xludf.DUMMYFUNCTION("""COMPUTED_VALUE"""),"1p20")</f>
        <v>1p20</v>
      </c>
      <c r="CQ321" s="16">
        <f>IFERROR(__xludf.DUMMYFUNCTION("""COMPUTED_VALUE"""),-14.0)</f>
        <v>-14</v>
      </c>
      <c r="CR321" s="16">
        <f>IFERROR(__xludf.DUMMYFUNCTION("""COMPUTED_VALUE"""),-4.0)</f>
        <v>-4</v>
      </c>
      <c r="CS321" s="16">
        <f>IFERROR(__xludf.DUMMYFUNCTION("""COMPUTED_VALUE"""),-18.0)</f>
        <v>-18</v>
      </c>
      <c r="CT321" s="16">
        <f>IFERROR(__xludf.DUMMYFUNCTION("""COMPUTED_VALUE"""),-14.0)</f>
        <v>-14</v>
      </c>
      <c r="CU321" s="16">
        <f>IFERROR(__xludf.DUMMYFUNCTION("""COMPUTED_VALUE"""),-4.0)</f>
        <v>-4</v>
      </c>
      <c r="CV321" s="179">
        <f>IFERROR(__xludf.DUMMYFUNCTION("""COMPUTED_VALUE"""),-3.666666666666666)</f>
        <v>-3.666666667</v>
      </c>
      <c r="CW321" s="179">
        <f>IFERROR(__xludf.DUMMYFUNCTION("""COMPUTED_VALUE"""),4.0)</f>
        <v>4</v>
      </c>
      <c r="CX321" s="179">
        <f>IFERROR(__xludf.DUMMYFUNCTION("""COMPUTED_VALUE"""),3.0)</f>
        <v>3</v>
      </c>
      <c r="CY321" s="16" t="str">
        <f>IFERROR(__xludf.DUMMYFUNCTION("""COMPUTED_VALUE"""),"RP")</f>
        <v>RP</v>
      </c>
      <c r="CZ321" s="16"/>
      <c r="DA321" s="16"/>
      <c r="DB321" s="16"/>
      <c r="DC321" s="16"/>
      <c r="DD321" s="16"/>
      <c r="DE321" s="16"/>
      <c r="DF321" s="16"/>
      <c r="DG321" s="16"/>
      <c r="DH321" s="16"/>
      <c r="DI321" s="16"/>
      <c r="DJ321" s="16"/>
      <c r="DK321" s="16"/>
    </row>
    <row r="322">
      <c r="A322" s="16">
        <f>IFERROR(__xludf.DUMMYFUNCTION("""COMPUTED_VALUE"""),12867.0)</f>
        <v>12867</v>
      </c>
      <c r="B322" s="16" t="str">
        <f>IFERROR(__xludf.DUMMYFUNCTION("""COMPUTED_VALUE"""),"Hayden Wesneski")</f>
        <v>Hayden Wesneski</v>
      </c>
      <c r="C322" s="153">
        <f>IFERROR(__xludf.DUMMYFUNCTION("""COMPUTED_VALUE"""),0.0)</f>
        <v>0</v>
      </c>
      <c r="D322" s="16"/>
      <c r="E322" s="16" t="str">
        <f>IFERROR(__xludf.DUMMYFUNCTION("""COMPUTED_VALUE"""),"R")</f>
        <v>R</v>
      </c>
      <c r="F322" s="16">
        <f>IFERROR(__xludf.DUMMYFUNCTION("""COMPUTED_VALUE"""),68.0)</f>
        <v>68</v>
      </c>
      <c r="G322" s="16">
        <f>IFERROR(__xludf.DUMMYFUNCTION("""COMPUTED_VALUE"""),19.0)</f>
        <v>19</v>
      </c>
      <c r="H322" s="16">
        <f>IFERROR(__xludf.DUMMYFUNCTION("""COMPUTED_VALUE"""),31.0)</f>
        <v>31</v>
      </c>
      <c r="I322" s="16">
        <f>IFERROR(__xludf.DUMMYFUNCTION("""COMPUTED_VALUE"""),-1.0)</f>
        <v>-1</v>
      </c>
      <c r="J322" s="16">
        <f>IFERROR(__xludf.DUMMYFUNCTION("""COMPUTED_VALUE"""),0.0)</f>
        <v>0</v>
      </c>
      <c r="K322" s="16">
        <f>IFERROR(__xludf.DUMMYFUNCTION("""COMPUTED_VALUE"""),-3.0)</f>
        <v>-3</v>
      </c>
      <c r="L322" s="16">
        <f>IFERROR(__xludf.DUMMYFUNCTION("""COMPUTED_VALUE"""),0.0)</f>
        <v>0</v>
      </c>
      <c r="M322" s="16">
        <f>IFERROR(__xludf.DUMMYFUNCTION("""COMPUTED_VALUE"""),5.0)</f>
        <v>5</v>
      </c>
      <c r="N322" s="16">
        <f>IFERROR(__xludf.DUMMYFUNCTION("""COMPUTED_VALUE"""),10.0)</f>
        <v>10</v>
      </c>
      <c r="O322" s="16">
        <f>IFERROR(__xludf.DUMMYFUNCTION("""COMPUTED_VALUE"""),2.0)</f>
        <v>2</v>
      </c>
      <c r="P322" s="16">
        <f>IFERROR(__xludf.DUMMYFUNCTION("""COMPUTED_VALUE"""),-1.0)</f>
        <v>-1</v>
      </c>
      <c r="Q322" s="16">
        <f>IFERROR(__xludf.DUMMYFUNCTION("""COMPUTED_VALUE"""),2.0)</f>
        <v>2</v>
      </c>
      <c r="R322" s="16">
        <f>IFERROR(__xludf.DUMMYFUNCTION("""COMPUTED_VALUE"""),-1.0)</f>
        <v>-1</v>
      </c>
      <c r="S322" s="16">
        <f>IFERROR(__xludf.DUMMYFUNCTION("""COMPUTED_VALUE"""),13.4)</f>
        <v>13.4</v>
      </c>
      <c r="T322" s="16">
        <f>IFERROR(__xludf.DUMMYFUNCTION("""COMPUTED_VALUE"""),10.1)</f>
        <v>10.1</v>
      </c>
      <c r="U322" s="16">
        <f>IFERROR(__xludf.DUMMYFUNCTION("""COMPUTED_VALUE"""),0.0)</f>
        <v>0</v>
      </c>
      <c r="V322" s="16">
        <f>IFERROR(__xludf.DUMMYFUNCTION("""COMPUTED_VALUE"""),1.0)</f>
        <v>1</v>
      </c>
      <c r="W322" s="16">
        <f>IFERROR(__xludf.DUMMYFUNCTION("""COMPUTED_VALUE"""),0.0)</f>
        <v>0</v>
      </c>
      <c r="X322" s="16">
        <f>IFERROR(__xludf.DUMMYFUNCTION("""COMPUTED_VALUE"""),2.0)</f>
        <v>2</v>
      </c>
      <c r="Y322" s="16">
        <f>IFERROR(__xludf.DUMMYFUNCTION("""COMPUTED_VALUE"""),18.4)</f>
        <v>18.4</v>
      </c>
      <c r="Z322" s="16">
        <f>IFERROR(__xludf.DUMMYFUNCTION("""COMPUTED_VALUE"""),20.2)</f>
        <v>20.2</v>
      </c>
      <c r="AA322" s="16">
        <f>IFERROR(__xludf.DUMMYFUNCTION("""COMPUTED_VALUE"""),1.0)</f>
        <v>1</v>
      </c>
      <c r="AB322" s="16">
        <f>IFERROR(__xludf.DUMMYFUNCTION("""COMPUTED_VALUE"""),1.0)</f>
        <v>1</v>
      </c>
      <c r="AC322" s="16">
        <f>IFERROR(__xludf.DUMMYFUNCTION("""COMPUTED_VALUE"""),5.0)</f>
        <v>5</v>
      </c>
      <c r="AD322" s="16">
        <f>IFERROR(__xludf.DUMMYFUNCTION("""COMPUTED_VALUE"""),5.0)</f>
        <v>5</v>
      </c>
      <c r="AE322" s="16">
        <f>IFERROR(__xludf.DUMMYFUNCTION("""COMPUTED_VALUE"""),25.4)</f>
        <v>25.4</v>
      </c>
      <c r="AF322" s="16">
        <f>IFERROR(__xludf.DUMMYFUNCTION("""COMPUTED_VALUE"""),24.4)</f>
        <v>24.4</v>
      </c>
      <c r="AG322" s="16">
        <f>IFERROR(__xludf.DUMMYFUNCTION("""COMPUTED_VALUE"""),0.0)</f>
        <v>0</v>
      </c>
      <c r="AH322" s="16">
        <f>IFERROR(__xludf.DUMMYFUNCTION("""COMPUTED_VALUE"""),0.0)</f>
        <v>0</v>
      </c>
      <c r="AI322" s="16">
        <f>IFERROR(__xludf.DUMMYFUNCTION("""COMPUTED_VALUE"""),0.0)</f>
        <v>0</v>
      </c>
      <c r="AJ322" s="16">
        <f>IFERROR(__xludf.DUMMYFUNCTION("""COMPUTED_VALUE"""),0.0)</f>
        <v>0</v>
      </c>
      <c r="AK322" s="16">
        <f>IFERROR(__xludf.DUMMYFUNCTION("""COMPUTED_VALUE"""),11.4)</f>
        <v>11.4</v>
      </c>
      <c r="AL322" s="16">
        <f>IFERROR(__xludf.DUMMYFUNCTION("""COMPUTED_VALUE"""),5.6)</f>
        <v>5.6</v>
      </c>
      <c r="AM322" s="16">
        <f>IFERROR(__xludf.DUMMYFUNCTION("""COMPUTED_VALUE"""),0.0)</f>
        <v>0</v>
      </c>
      <c r="AN322" s="16">
        <f>IFERROR(__xludf.DUMMYFUNCTION("""COMPUTED_VALUE"""),2.0)</f>
        <v>2</v>
      </c>
      <c r="AO322" s="16">
        <f>IFERROR(__xludf.DUMMYFUNCTION("""COMPUTED_VALUE"""),0.0)</f>
        <v>0</v>
      </c>
      <c r="AP322" s="16">
        <f>IFERROR(__xludf.DUMMYFUNCTION("""COMPUTED_VALUE"""),2.0)</f>
        <v>2</v>
      </c>
      <c r="AQ322" s="16">
        <f>IFERROR(__xludf.DUMMYFUNCTION("""COMPUTED_VALUE"""),17.4)</f>
        <v>17.4</v>
      </c>
      <c r="AR322" s="16">
        <f>IFERROR(__xludf.DUMMYFUNCTION("""COMPUTED_VALUE"""),6.399999999999999)</f>
        <v>6.4</v>
      </c>
      <c r="AS322" s="16">
        <f>IFERROR(__xludf.DUMMYFUNCTION("""COMPUTED_VALUE"""),0.0)</f>
        <v>0</v>
      </c>
      <c r="AT322" s="16">
        <f>IFERROR(__xludf.DUMMYFUNCTION("""COMPUTED_VALUE"""),2.0)</f>
        <v>2</v>
      </c>
      <c r="AU322" s="16">
        <f>IFERROR(__xludf.DUMMYFUNCTION("""COMPUTED_VALUE"""),0.0)</f>
        <v>0</v>
      </c>
      <c r="AV322" s="16">
        <f>IFERROR(__xludf.DUMMYFUNCTION("""COMPUTED_VALUE"""),4.0)</f>
        <v>4</v>
      </c>
      <c r="AW322" s="16">
        <f>IFERROR(__xludf.DUMMYFUNCTION("""COMPUTED_VALUE"""),2.0)</f>
        <v>2</v>
      </c>
      <c r="AX322" s="16">
        <f>IFERROR(__xludf.DUMMYFUNCTION("""COMPUTED_VALUE"""),4.5)</f>
        <v>4.5</v>
      </c>
      <c r="AY322" s="16">
        <f>IFERROR(__xludf.DUMMYFUNCTION("""COMPUTED_VALUE"""),0.0)</f>
        <v>0</v>
      </c>
      <c r="AZ322" s="16">
        <f>IFERROR(__xludf.DUMMYFUNCTION("""COMPUTED_VALUE"""),-2.0)</f>
        <v>-2</v>
      </c>
      <c r="BA322" s="16">
        <f>IFERROR(__xludf.DUMMYFUNCTION("""COMPUTED_VALUE"""),0.0)</f>
        <v>0</v>
      </c>
      <c r="BB322" s="16">
        <f>IFERROR(__xludf.DUMMYFUNCTION("""COMPUTED_VALUE"""),-10.0)</f>
        <v>-10</v>
      </c>
      <c r="BC322" s="16">
        <f>IFERROR(__xludf.DUMMYFUNCTION("""COMPUTED_VALUE"""),4.0)</f>
        <v>4</v>
      </c>
      <c r="BD322" s="16">
        <f>IFERROR(__xludf.DUMMYFUNCTION("""COMPUTED_VALUE"""),8.0)</f>
        <v>8</v>
      </c>
      <c r="BE322" s="16">
        <f>IFERROR(__xludf.DUMMYFUNCTION("""COMPUTED_VALUE"""),4.0)</f>
        <v>4</v>
      </c>
      <c r="BF322" s="16">
        <f>IFERROR(__xludf.DUMMYFUNCTION("""COMPUTED_VALUE"""),8.0)</f>
        <v>8</v>
      </c>
      <c r="BG322" s="16">
        <f>IFERROR(__xludf.DUMMYFUNCTION("""COMPUTED_VALUE"""),-1.0)</f>
        <v>-1</v>
      </c>
      <c r="BH322" s="16">
        <f>IFERROR(__xludf.DUMMYFUNCTION("""COMPUTED_VALUE"""),-3.0)</f>
        <v>-3</v>
      </c>
      <c r="BI322" s="16">
        <f>IFERROR(__xludf.DUMMYFUNCTION("""COMPUTED_VALUE"""),-2.0)</f>
        <v>-2</v>
      </c>
      <c r="BJ322" s="16">
        <f>IFERROR(__xludf.DUMMYFUNCTION("""COMPUTED_VALUE"""),-6.0)</f>
        <v>-6</v>
      </c>
      <c r="BK322" s="16">
        <f>IFERROR(__xludf.DUMMYFUNCTION("""COMPUTED_VALUE"""),5.0)</f>
        <v>5</v>
      </c>
      <c r="BL322" s="16">
        <f>IFERROR(__xludf.DUMMYFUNCTION("""COMPUTED_VALUE"""),5.0)</f>
        <v>5</v>
      </c>
      <c r="BM322" s="16">
        <f>IFERROR(__xludf.DUMMYFUNCTION("""COMPUTED_VALUE"""),0.0)</f>
        <v>0</v>
      </c>
      <c r="BN322" s="16">
        <f>IFERROR(__xludf.DUMMYFUNCTION("""COMPUTED_VALUE"""),0.0)</f>
        <v>0</v>
      </c>
      <c r="BO322" s="16">
        <f>IFERROR(__xludf.DUMMYFUNCTION("""COMPUTED_VALUE"""),0.0)</f>
        <v>0</v>
      </c>
      <c r="BP322" s="16">
        <f>IFERROR(__xludf.DUMMYFUNCTION("""COMPUTED_VALUE"""),0.0)</f>
        <v>0</v>
      </c>
      <c r="BQ322" s="16">
        <f>IFERROR(__xludf.DUMMYFUNCTION("""COMPUTED_VALUE"""),2.0)</f>
        <v>2</v>
      </c>
      <c r="BR322" s="16">
        <f>IFERROR(__xludf.DUMMYFUNCTION("""COMPUTED_VALUE"""),3.0)</f>
        <v>3</v>
      </c>
      <c r="BS322" s="16">
        <f>IFERROR(__xludf.DUMMYFUNCTION("""COMPUTED_VALUE"""),-2.0)</f>
        <v>-2</v>
      </c>
      <c r="BT322" s="16">
        <f>IFERROR(__xludf.DUMMYFUNCTION("""COMPUTED_VALUE"""),-1.0)</f>
        <v>-1</v>
      </c>
      <c r="BU322" s="16">
        <f>IFERROR(__xludf.DUMMYFUNCTION("""COMPUTED_VALUE"""),-4.0)</f>
        <v>-4</v>
      </c>
      <c r="BV322" s="16">
        <f>IFERROR(__xludf.DUMMYFUNCTION("""COMPUTED_VALUE"""),-2.0)</f>
        <v>-2</v>
      </c>
      <c r="BW322" s="16">
        <f>IFERROR(__xludf.DUMMYFUNCTION("""COMPUTED_VALUE"""),-2.0)</f>
        <v>-2</v>
      </c>
      <c r="BX322" s="16">
        <f>IFERROR(__xludf.DUMMYFUNCTION("""COMPUTED_VALUE"""),-2.0)</f>
        <v>-2</v>
      </c>
      <c r="BY322" s="16" t="str">
        <f>IFERROR(__xludf.DUMMYFUNCTION("""COMPUTED_VALUE"""),"S(4) R(3)")</f>
        <v>S(4) R(3)</v>
      </c>
      <c r="BZ322" s="16" t="str">
        <f>IFERROR(__xludf.DUMMYFUNCTION("""COMPUTED_VALUE"""),"S(4) R(3)")</f>
        <v>S(4) R(3)</v>
      </c>
      <c r="CA322" s="16" t="str">
        <f>IFERROR(__xludf.DUMMYFUNCTION("""COMPUTED_VALUE"""),"S(4)")</f>
        <v>S(4)</v>
      </c>
      <c r="CB322" s="16" t="str">
        <f>IFERROR(__xludf.DUMMYFUNCTION("""COMPUTED_VALUE"""),"R(3)")</f>
        <v>R(3)</v>
      </c>
      <c r="CC322" s="16"/>
      <c r="CD322" s="16">
        <f>IFERROR(__xludf.DUMMYFUNCTION("""COMPUTED_VALUE"""),4.0)</f>
        <v>4</v>
      </c>
      <c r="CE322" s="16">
        <f>IFERROR(__xludf.DUMMYFUNCTION("""COMPUTED_VALUE"""),3.0)</f>
        <v>3</v>
      </c>
      <c r="CF322" s="16"/>
      <c r="CG322" s="16" t="str">
        <f>IFERROR(__xludf.DUMMYFUNCTION("""COMPUTED_VALUE"""),"3-42")</f>
        <v>3-42</v>
      </c>
      <c r="CH322" s="16">
        <f>IFERROR(__xludf.DUMMYFUNCTION("""COMPUTED_VALUE"""),3.0)</f>
        <v>3</v>
      </c>
      <c r="CI322" s="16">
        <f>IFERROR(__xludf.DUMMYFUNCTION("""COMPUTED_VALUE"""),42.0)</f>
        <v>42</v>
      </c>
      <c r="CJ322" s="16">
        <f>IFERROR(__xludf.DUMMYFUNCTION("""COMPUTED_VALUE"""),6.0)</f>
        <v>6</v>
      </c>
      <c r="CK322" s="16">
        <f>IFERROR(__xludf.DUMMYFUNCTION("""COMPUTED_VALUE"""),2.0)</f>
        <v>2</v>
      </c>
      <c r="CL322" s="16" t="str">
        <f>IFERROR(__xludf.DUMMYFUNCTION("""COMPUTED_VALUE"""),"1WR-C")</f>
        <v>1WR-C</v>
      </c>
      <c r="CM322" s="16" t="str">
        <f>IFERROR(__xludf.DUMMYFUNCTION("""COMPUTED_VALUE"""),"E")</f>
        <v>E</v>
      </c>
      <c r="CN322" s="16">
        <f>IFERROR(__xludf.DUMMYFUNCTION("""COMPUTED_VALUE"""),10.0)</f>
        <v>10</v>
      </c>
      <c r="CO322" s="16" t="str">
        <f>IFERROR(__xludf.DUMMYFUNCTION("""COMPUTED_VALUE"""),"C")</f>
        <v>C</v>
      </c>
      <c r="CP322" s="16" t="str">
        <f>IFERROR(__xludf.DUMMYFUNCTION("""COMPUTED_VALUE"""),"5p40")</f>
        <v>5p40</v>
      </c>
      <c r="CQ322" s="16">
        <f>IFERROR(__xludf.DUMMYFUNCTION("""COMPUTED_VALUE"""),-2.0)</f>
        <v>-2</v>
      </c>
      <c r="CR322" s="16">
        <f>IFERROR(__xludf.DUMMYFUNCTION("""COMPUTED_VALUE"""),-6.0)</f>
        <v>-6</v>
      </c>
      <c r="CS322" s="16">
        <f>IFERROR(__xludf.DUMMYFUNCTION("""COMPUTED_VALUE"""),-8.0)</f>
        <v>-8</v>
      </c>
      <c r="CT322" s="16">
        <f>IFERROR(__xludf.DUMMYFUNCTION("""COMPUTED_VALUE"""),-2.0)</f>
        <v>-2</v>
      </c>
      <c r="CU322" s="16">
        <f>IFERROR(__xludf.DUMMYFUNCTION("""COMPUTED_VALUE"""),-6.0)</f>
        <v>-6</v>
      </c>
      <c r="CV322" s="179">
        <f>IFERROR(__xludf.DUMMYFUNCTION("""COMPUTED_VALUE"""),-3.666666666666667)</f>
        <v>-3.666666667</v>
      </c>
      <c r="CW322" s="179">
        <f>IFERROR(__xludf.DUMMYFUNCTION("""COMPUTED_VALUE"""),0.0)</f>
        <v>0</v>
      </c>
      <c r="CX322" s="179">
        <f>IFERROR(__xludf.DUMMYFUNCTION("""COMPUTED_VALUE"""),1.0)</f>
        <v>1</v>
      </c>
      <c r="CY322" s="16" t="str">
        <f>IFERROR(__xludf.DUMMYFUNCTION("""COMPUTED_VALUE"""),"SP")</f>
        <v>SP</v>
      </c>
      <c r="CZ322" s="16" t="str">
        <f>IFERROR(__xludf.DUMMYFUNCTION("""COMPUTED_VALUE"""),"RP")</f>
        <v>RP</v>
      </c>
      <c r="DA322" s="16"/>
      <c r="DB322" s="16"/>
      <c r="DC322" s="16"/>
      <c r="DD322" s="16"/>
      <c r="DE322" s="16"/>
      <c r="DF322" s="16"/>
      <c r="DG322" s="16"/>
      <c r="DH322" s="16"/>
      <c r="DI322" s="16"/>
      <c r="DJ322" s="16"/>
      <c r="DK322" s="16"/>
    </row>
    <row r="323">
      <c r="A323" s="16">
        <f>IFERROR(__xludf.DUMMYFUNCTION("""COMPUTED_VALUE"""),13107.0)</f>
        <v>13107</v>
      </c>
      <c r="B323" s="16" t="str">
        <f>IFERROR(__xludf.DUMMYFUNCTION("""COMPUTED_VALUE"""),"Lance Lynn")</f>
        <v>Lance Lynn</v>
      </c>
      <c r="C323" s="153">
        <f>IFERROR(__xludf.DUMMYFUNCTION("""COMPUTED_VALUE"""),0.11)</f>
        <v>0.11</v>
      </c>
      <c r="D323" s="16"/>
      <c r="E323" s="16" t="str">
        <f>IFERROR(__xludf.DUMMYFUNCTION("""COMPUTED_VALUE"""),"R")</f>
        <v>R</v>
      </c>
      <c r="F323" s="16">
        <f>IFERROR(__xludf.DUMMYFUNCTION("""COMPUTED_VALUE"""),117.0)</f>
        <v>117</v>
      </c>
      <c r="G323" s="16">
        <f>IFERROR(__xludf.DUMMYFUNCTION("""COMPUTED_VALUE"""),16.0)</f>
        <v>16</v>
      </c>
      <c r="H323" s="16">
        <f>IFERROR(__xludf.DUMMYFUNCTION("""COMPUTED_VALUE"""),28.0)</f>
        <v>28</v>
      </c>
      <c r="I323" s="16">
        <f>IFERROR(__xludf.DUMMYFUNCTION("""COMPUTED_VALUE"""),-2.0)</f>
        <v>-2</v>
      </c>
      <c r="J323" s="16">
        <f>IFERROR(__xludf.DUMMYFUNCTION("""COMPUTED_VALUE"""),0.0)</f>
        <v>0</v>
      </c>
      <c r="K323" s="16">
        <f>IFERROR(__xludf.DUMMYFUNCTION("""COMPUTED_VALUE"""),-6.0)</f>
        <v>-6</v>
      </c>
      <c r="L323" s="16">
        <f>IFERROR(__xludf.DUMMYFUNCTION("""COMPUTED_VALUE"""),0.0)</f>
        <v>0</v>
      </c>
      <c r="M323" s="16">
        <f>IFERROR(__xludf.DUMMYFUNCTION("""COMPUTED_VALUE"""),15.0)</f>
        <v>15</v>
      </c>
      <c r="N323" s="16">
        <f>IFERROR(__xludf.DUMMYFUNCTION("""COMPUTED_VALUE"""),5.0)</f>
        <v>5</v>
      </c>
      <c r="O323" s="16">
        <f>IFERROR(__xludf.DUMMYFUNCTION("""COMPUTED_VALUE"""),-2.0)</f>
        <v>-2</v>
      </c>
      <c r="P323" s="16">
        <f>IFERROR(__xludf.DUMMYFUNCTION("""COMPUTED_VALUE"""),2.0)</f>
        <v>2</v>
      </c>
      <c r="Q323" s="16">
        <f>IFERROR(__xludf.DUMMYFUNCTION("""COMPUTED_VALUE"""),-2.0)</f>
        <v>-2</v>
      </c>
      <c r="R323" s="16">
        <f>IFERROR(__xludf.DUMMYFUNCTION("""COMPUTED_VALUE"""),2.0)</f>
        <v>2</v>
      </c>
      <c r="S323" s="16">
        <f>IFERROR(__xludf.DUMMYFUNCTION("""COMPUTED_VALUE"""),17.5)</f>
        <v>17.5</v>
      </c>
      <c r="T323" s="16">
        <f>IFERROR(__xludf.DUMMYFUNCTION("""COMPUTED_VALUE"""),16.3)</f>
        <v>16.3</v>
      </c>
      <c r="U323" s="16">
        <f>IFERROR(__xludf.DUMMYFUNCTION("""COMPUTED_VALUE"""),0.0)</f>
        <v>0</v>
      </c>
      <c r="V323" s="16">
        <f>IFERROR(__xludf.DUMMYFUNCTION("""COMPUTED_VALUE"""),0.0)</f>
        <v>0</v>
      </c>
      <c r="W323" s="16">
        <f>IFERROR(__xludf.DUMMYFUNCTION("""COMPUTED_VALUE"""),0.0)</f>
        <v>0</v>
      </c>
      <c r="X323" s="16">
        <f>IFERROR(__xludf.DUMMYFUNCTION("""COMPUTED_VALUE"""),0.0)</f>
        <v>0</v>
      </c>
      <c r="Y323" s="16">
        <f>IFERROR(__xludf.DUMMYFUNCTION("""COMPUTED_VALUE"""),32.5)</f>
        <v>32.5</v>
      </c>
      <c r="Z323" s="16">
        <f>IFERROR(__xludf.DUMMYFUNCTION("""COMPUTED_VALUE"""),21.3)</f>
        <v>21.3</v>
      </c>
      <c r="AA323" s="16">
        <f>IFERROR(__xludf.DUMMYFUNCTION("""COMPUTED_VALUE"""),-1.0)</f>
        <v>-1</v>
      </c>
      <c r="AB323" s="16">
        <f>IFERROR(__xludf.DUMMYFUNCTION("""COMPUTED_VALUE"""),1.0)</f>
        <v>1</v>
      </c>
      <c r="AC323" s="16">
        <f>IFERROR(__xludf.DUMMYFUNCTION("""COMPUTED_VALUE"""),-5.0)</f>
        <v>-5</v>
      </c>
      <c r="AD323" s="16">
        <f>IFERROR(__xludf.DUMMYFUNCTION("""COMPUTED_VALUE"""),5.0)</f>
        <v>5</v>
      </c>
      <c r="AE323" s="16">
        <f>IFERROR(__xludf.DUMMYFUNCTION("""COMPUTED_VALUE"""),27.8)</f>
        <v>27.8</v>
      </c>
      <c r="AF323" s="16">
        <f>IFERROR(__xludf.DUMMYFUNCTION("""COMPUTED_VALUE"""),25.6)</f>
        <v>25.6</v>
      </c>
      <c r="AG323" s="16">
        <f>IFERROR(__xludf.DUMMYFUNCTION("""COMPUTED_VALUE"""),0.0)</f>
        <v>0</v>
      </c>
      <c r="AH323" s="16">
        <f>IFERROR(__xludf.DUMMYFUNCTION("""COMPUTED_VALUE"""),0.0)</f>
        <v>0</v>
      </c>
      <c r="AI323" s="16">
        <f>IFERROR(__xludf.DUMMYFUNCTION("""COMPUTED_VALUE"""),0.0)</f>
        <v>0</v>
      </c>
      <c r="AJ323" s="16">
        <f>IFERROR(__xludf.DUMMYFUNCTION("""COMPUTED_VALUE"""),0.0)</f>
        <v>0</v>
      </c>
      <c r="AK323" s="16">
        <f>IFERROR(__xludf.DUMMYFUNCTION("""COMPUTED_VALUE"""),15.5)</f>
        <v>15.5</v>
      </c>
      <c r="AL323" s="16">
        <f>IFERROR(__xludf.DUMMYFUNCTION("""COMPUTED_VALUE"""),14.5)</f>
        <v>14.5</v>
      </c>
      <c r="AM323" s="16">
        <f>IFERROR(__xludf.DUMMYFUNCTION("""COMPUTED_VALUE"""),0.0)</f>
        <v>0</v>
      </c>
      <c r="AN323" s="16">
        <f>IFERROR(__xludf.DUMMYFUNCTION("""COMPUTED_VALUE"""),0.0)</f>
        <v>0</v>
      </c>
      <c r="AO323" s="16">
        <f>IFERROR(__xludf.DUMMYFUNCTION("""COMPUTED_VALUE"""),0.0)</f>
        <v>0</v>
      </c>
      <c r="AP323" s="16">
        <f>IFERROR(__xludf.DUMMYFUNCTION("""COMPUTED_VALUE"""),0.0)</f>
        <v>0</v>
      </c>
      <c r="AQ323" s="16">
        <f>IFERROR(__xludf.DUMMYFUNCTION("""COMPUTED_VALUE"""),19.8)</f>
        <v>19.8</v>
      </c>
      <c r="AR323" s="16">
        <f>IFERROR(__xludf.DUMMYFUNCTION("""COMPUTED_VALUE"""),18.400000000000002)</f>
        <v>18.4</v>
      </c>
      <c r="AS323" s="16">
        <f>IFERROR(__xludf.DUMMYFUNCTION("""COMPUTED_VALUE"""),0.0)</f>
        <v>0</v>
      </c>
      <c r="AT323" s="16">
        <f>IFERROR(__xludf.DUMMYFUNCTION("""COMPUTED_VALUE"""),0.0)</f>
        <v>0</v>
      </c>
      <c r="AU323" s="16">
        <f>IFERROR(__xludf.DUMMYFUNCTION("""COMPUTED_VALUE"""),0.0)</f>
        <v>0</v>
      </c>
      <c r="AV323" s="16">
        <f>IFERROR(__xludf.DUMMYFUNCTION("""COMPUTED_VALUE"""),0.0)</f>
        <v>0</v>
      </c>
      <c r="AW323" s="16">
        <f>IFERROR(__xludf.DUMMYFUNCTION("""COMPUTED_VALUE"""),2.0)</f>
        <v>2</v>
      </c>
      <c r="AX323" s="16">
        <f>IFERROR(__xludf.DUMMYFUNCTION("""COMPUTED_VALUE"""),1.8)</f>
        <v>1.8</v>
      </c>
      <c r="AY323" s="16">
        <f>IFERROR(__xludf.DUMMYFUNCTION("""COMPUTED_VALUE"""),0.0)</f>
        <v>0</v>
      </c>
      <c r="AZ323" s="16">
        <f>IFERROR(__xludf.DUMMYFUNCTION("""COMPUTED_VALUE"""),0.0)</f>
        <v>0</v>
      </c>
      <c r="BA323" s="16">
        <f>IFERROR(__xludf.DUMMYFUNCTION("""COMPUTED_VALUE"""),0.0)</f>
        <v>0</v>
      </c>
      <c r="BB323" s="16">
        <f>IFERROR(__xludf.DUMMYFUNCTION("""COMPUTED_VALUE"""),0.0)</f>
        <v>0</v>
      </c>
      <c r="BC323" s="16">
        <f>IFERROR(__xludf.DUMMYFUNCTION("""COMPUTED_VALUE"""),3.0)</f>
        <v>3</v>
      </c>
      <c r="BD323" s="16">
        <f>IFERROR(__xludf.DUMMYFUNCTION("""COMPUTED_VALUE"""),2.0)</f>
        <v>2</v>
      </c>
      <c r="BE323" s="16">
        <f>IFERROR(__xludf.DUMMYFUNCTION("""COMPUTED_VALUE"""),3.0)</f>
        <v>3</v>
      </c>
      <c r="BF323" s="16">
        <f>IFERROR(__xludf.DUMMYFUNCTION("""COMPUTED_VALUE"""),2.0)</f>
        <v>2</v>
      </c>
      <c r="BG323" s="16">
        <f>IFERROR(__xludf.DUMMYFUNCTION("""COMPUTED_VALUE"""),0.0)</f>
        <v>0</v>
      </c>
      <c r="BH323" s="16">
        <f>IFERROR(__xludf.DUMMYFUNCTION("""COMPUTED_VALUE"""),1.0)</f>
        <v>1</v>
      </c>
      <c r="BI323" s="16">
        <f>IFERROR(__xludf.DUMMYFUNCTION("""COMPUTED_VALUE"""),0.0)</f>
        <v>0</v>
      </c>
      <c r="BJ323" s="16">
        <f>IFERROR(__xludf.DUMMYFUNCTION("""COMPUTED_VALUE"""),2.0)</f>
        <v>2</v>
      </c>
      <c r="BK323" s="16">
        <f>IFERROR(__xludf.DUMMYFUNCTION("""COMPUTED_VALUE"""),5.0)</f>
        <v>5</v>
      </c>
      <c r="BL323" s="16">
        <f>IFERROR(__xludf.DUMMYFUNCTION("""COMPUTED_VALUE"""),5.0)</f>
        <v>5</v>
      </c>
      <c r="BM323" s="16">
        <f>IFERROR(__xludf.DUMMYFUNCTION("""COMPUTED_VALUE"""),0.0)</f>
        <v>0</v>
      </c>
      <c r="BN323" s="16">
        <f>IFERROR(__xludf.DUMMYFUNCTION("""COMPUTED_VALUE"""),0.0)</f>
        <v>0</v>
      </c>
      <c r="BO323" s="16">
        <f>IFERROR(__xludf.DUMMYFUNCTION("""COMPUTED_VALUE"""),0.0)</f>
        <v>0</v>
      </c>
      <c r="BP323" s="16">
        <f>IFERROR(__xludf.DUMMYFUNCTION("""COMPUTED_VALUE"""),0.0)</f>
        <v>0</v>
      </c>
      <c r="BQ323" s="16">
        <f>IFERROR(__xludf.DUMMYFUNCTION("""COMPUTED_VALUE"""),3.0)</f>
        <v>3</v>
      </c>
      <c r="BR323" s="16">
        <f>IFERROR(__xludf.DUMMYFUNCTION("""COMPUTED_VALUE"""),4.0)</f>
        <v>4</v>
      </c>
      <c r="BS323" s="16">
        <f>IFERROR(__xludf.DUMMYFUNCTION("""COMPUTED_VALUE"""),-1.0)</f>
        <v>-1</v>
      </c>
      <c r="BT323" s="16">
        <f>IFERROR(__xludf.DUMMYFUNCTION("""COMPUTED_VALUE"""),-1.0)</f>
        <v>-1</v>
      </c>
      <c r="BU323" s="16">
        <f>IFERROR(__xludf.DUMMYFUNCTION("""COMPUTED_VALUE"""),-2.0)</f>
        <v>-2</v>
      </c>
      <c r="BV323" s="16">
        <f>IFERROR(__xludf.DUMMYFUNCTION("""COMPUTED_VALUE"""),-2.0)</f>
        <v>-2</v>
      </c>
      <c r="BW323" s="16">
        <f>IFERROR(__xludf.DUMMYFUNCTION("""COMPUTED_VALUE"""),4.0)</f>
        <v>4</v>
      </c>
      <c r="BX323" s="16">
        <f>IFERROR(__xludf.DUMMYFUNCTION("""COMPUTED_VALUE"""),4.0)</f>
        <v>4</v>
      </c>
      <c r="BY323" s="16" t="str">
        <f>IFERROR(__xludf.DUMMYFUNCTION("""COMPUTED_VALUE"""),"S(5)")</f>
        <v>S(5)</v>
      </c>
      <c r="BZ323" s="16" t="str">
        <f>IFERROR(__xludf.DUMMYFUNCTION("""COMPUTED_VALUE"""),"S(5)")</f>
        <v>S(5)</v>
      </c>
      <c r="CA323" s="16" t="str">
        <f>IFERROR(__xludf.DUMMYFUNCTION("""COMPUTED_VALUE"""),"S(5)")</f>
        <v>S(5)</v>
      </c>
      <c r="CB323" s="16"/>
      <c r="CC323" s="16"/>
      <c r="CD323" s="16">
        <f>IFERROR(__xludf.DUMMYFUNCTION("""COMPUTED_VALUE"""),5.0)</f>
        <v>5</v>
      </c>
      <c r="CE323" s="16"/>
      <c r="CF323" s="16"/>
      <c r="CG323" s="16" t="str">
        <f>IFERROR(__xludf.DUMMYFUNCTION("""COMPUTED_VALUE"""),"4-24")</f>
        <v>4-24</v>
      </c>
      <c r="CH323" s="16">
        <f>IFERROR(__xludf.DUMMYFUNCTION("""COMPUTED_VALUE"""),4.0)</f>
        <v>4</v>
      </c>
      <c r="CI323" s="16">
        <f>IFERROR(__xludf.DUMMYFUNCTION("""COMPUTED_VALUE"""),24.0)</f>
        <v>24</v>
      </c>
      <c r="CJ323" s="16">
        <f>IFERROR(__xludf.DUMMYFUNCTION("""COMPUTED_VALUE"""),0.0)</f>
        <v>0</v>
      </c>
      <c r="CK323" s="16">
        <f>IFERROR(__xludf.DUMMYFUNCTION("""COMPUTED_VALUE"""),5.0)</f>
        <v>5</v>
      </c>
      <c r="CL323" s="16" t="str">
        <f>IFERROR(__xludf.DUMMYFUNCTION("""COMPUTED_VALUE"""),"1WL-C")</f>
        <v>1WL-C</v>
      </c>
      <c r="CM323" s="16" t="str">
        <f>IFERROR(__xludf.DUMMYFUNCTION("""COMPUTED_VALUE"""),"E")</f>
        <v>E</v>
      </c>
      <c r="CN323" s="16">
        <f>IFERROR(__xludf.DUMMYFUNCTION("""COMPUTED_VALUE"""),10.0)</f>
        <v>10</v>
      </c>
      <c r="CO323" s="16" t="str">
        <f>IFERROR(__xludf.DUMMYFUNCTION("""COMPUTED_VALUE"""),"C")</f>
        <v>C</v>
      </c>
      <c r="CP323" s="16" t="str">
        <f>IFERROR(__xludf.DUMMYFUNCTION("""COMPUTED_VALUE"""),"2p60")</f>
        <v>2p60</v>
      </c>
      <c r="CQ323" s="16">
        <f>IFERROR(__xludf.DUMMYFUNCTION("""COMPUTED_VALUE"""),-15.0)</f>
        <v>-15</v>
      </c>
      <c r="CR323" s="16">
        <f>IFERROR(__xludf.DUMMYFUNCTION("""COMPUTED_VALUE"""),7.0)</f>
        <v>7</v>
      </c>
      <c r="CS323" s="16">
        <f>IFERROR(__xludf.DUMMYFUNCTION("""COMPUTED_VALUE"""),-8.0)</f>
        <v>-8</v>
      </c>
      <c r="CT323" s="16">
        <f>IFERROR(__xludf.DUMMYFUNCTION("""COMPUTED_VALUE"""),-15.0)</f>
        <v>-15</v>
      </c>
      <c r="CU323" s="16">
        <f>IFERROR(__xludf.DUMMYFUNCTION("""COMPUTED_VALUE"""),7.0)</f>
        <v>7</v>
      </c>
      <c r="CV323" s="179">
        <f>IFERROR(__xludf.DUMMYFUNCTION("""COMPUTED_VALUE"""),-3.666666666666667)</f>
        <v>-3.666666667</v>
      </c>
      <c r="CW323" s="179">
        <f>IFERROR(__xludf.DUMMYFUNCTION("""COMPUTED_VALUE"""),3.0)</f>
        <v>3</v>
      </c>
      <c r="CX323" s="179">
        <f>IFERROR(__xludf.DUMMYFUNCTION("""COMPUTED_VALUE"""),1.0)</f>
        <v>1</v>
      </c>
      <c r="CY323" s="16" t="str">
        <f>IFERROR(__xludf.DUMMYFUNCTION("""COMPUTED_VALUE"""),"SP")</f>
        <v>SP</v>
      </c>
      <c r="CZ323" s="16"/>
      <c r="DA323" s="16"/>
      <c r="DB323" s="16"/>
      <c r="DC323" s="16"/>
      <c r="DD323" s="16"/>
      <c r="DE323" s="16"/>
      <c r="DF323" s="16"/>
      <c r="DG323" s="16"/>
      <c r="DH323" s="16"/>
      <c r="DI323" s="16"/>
      <c r="DJ323" s="16"/>
      <c r="DK323" s="16"/>
    </row>
    <row r="324">
      <c r="A324" s="16">
        <f>IFERROR(__xludf.DUMMYFUNCTION("""COMPUTED_VALUE"""),12872.0)</f>
        <v>12872</v>
      </c>
      <c r="B324" s="16" t="str">
        <f>IFERROR(__xludf.DUMMYFUNCTION("""COMPUTED_VALUE"""),"Hoby Milner")</f>
        <v>Hoby Milner</v>
      </c>
      <c r="C324" s="153">
        <f>IFERROR(__xludf.DUMMYFUNCTION("""COMPUTED_VALUE"""),0.0)</f>
        <v>0</v>
      </c>
      <c r="D324" s="16"/>
      <c r="E324" s="16" t="str">
        <f>IFERROR(__xludf.DUMMYFUNCTION("""COMPUTED_VALUE"""),"L")</f>
        <v>L</v>
      </c>
      <c r="F324" s="16">
        <f>IFERROR(__xludf.DUMMYFUNCTION("""COMPUTED_VALUE"""),65.0)</f>
        <v>65</v>
      </c>
      <c r="G324" s="16">
        <f>IFERROR(__xludf.DUMMYFUNCTION("""COMPUTED_VALUE"""),26.0)</f>
        <v>26</v>
      </c>
      <c r="H324" s="16">
        <f>IFERROR(__xludf.DUMMYFUNCTION("""COMPUTED_VALUE"""),29.0)</f>
        <v>29</v>
      </c>
      <c r="I324" s="16">
        <f>IFERROR(__xludf.DUMMYFUNCTION("""COMPUTED_VALUE"""),0.0)</f>
        <v>0</v>
      </c>
      <c r="J324" s="16">
        <f>IFERROR(__xludf.DUMMYFUNCTION("""COMPUTED_VALUE"""),0.0)</f>
        <v>0</v>
      </c>
      <c r="K324" s="16">
        <f>IFERROR(__xludf.DUMMYFUNCTION("""COMPUTED_VALUE"""),0.0)</f>
        <v>0</v>
      </c>
      <c r="L324" s="16">
        <f>IFERROR(__xludf.DUMMYFUNCTION("""COMPUTED_VALUE"""),0.0)</f>
        <v>0</v>
      </c>
      <c r="M324" s="16">
        <f>IFERROR(__xludf.DUMMYFUNCTION("""COMPUTED_VALUE"""),0.0)</f>
        <v>0</v>
      </c>
      <c r="N324" s="16">
        <f>IFERROR(__xludf.DUMMYFUNCTION("""COMPUTED_VALUE"""),7.0)</f>
        <v>7</v>
      </c>
      <c r="O324" s="16">
        <f>IFERROR(__xludf.DUMMYFUNCTION("""COMPUTED_VALUE"""),3.0)</f>
        <v>3</v>
      </c>
      <c r="P324" s="16">
        <f>IFERROR(__xludf.DUMMYFUNCTION("""COMPUTED_VALUE"""),1.0)</f>
        <v>1</v>
      </c>
      <c r="Q324" s="16">
        <f>IFERROR(__xludf.DUMMYFUNCTION("""COMPUTED_VALUE"""),3.0)</f>
        <v>3</v>
      </c>
      <c r="R324" s="16">
        <f>IFERROR(__xludf.DUMMYFUNCTION("""COMPUTED_VALUE"""),1.0)</f>
        <v>1</v>
      </c>
      <c r="S324" s="16">
        <f>IFERROR(__xludf.DUMMYFUNCTION("""COMPUTED_VALUE"""),30.0)</f>
        <v>30</v>
      </c>
      <c r="T324" s="16">
        <f>IFERROR(__xludf.DUMMYFUNCTION("""COMPUTED_VALUE"""),19.0)</f>
        <v>19</v>
      </c>
      <c r="U324" s="16">
        <f>IFERROR(__xludf.DUMMYFUNCTION("""COMPUTED_VALUE"""),-2.0)</f>
        <v>-2</v>
      </c>
      <c r="V324" s="16">
        <f>IFERROR(__xludf.DUMMYFUNCTION("""COMPUTED_VALUE"""),-1.0)</f>
        <v>-1</v>
      </c>
      <c r="W324" s="16">
        <f>IFERROR(__xludf.DUMMYFUNCTION("""COMPUTED_VALUE"""),-4.0)</f>
        <v>-4</v>
      </c>
      <c r="X324" s="16">
        <f>IFERROR(__xludf.DUMMYFUNCTION("""COMPUTED_VALUE"""),-2.0)</f>
        <v>-2</v>
      </c>
      <c r="Y324" s="16">
        <f>IFERROR(__xludf.DUMMYFUNCTION("""COMPUTED_VALUE"""),30.0)</f>
        <v>30</v>
      </c>
      <c r="Z324" s="16">
        <f>IFERROR(__xludf.DUMMYFUNCTION("""COMPUTED_VALUE"""),26.0)</f>
        <v>26</v>
      </c>
      <c r="AA324" s="16">
        <f>IFERROR(__xludf.DUMMYFUNCTION("""COMPUTED_VALUE"""),-1.0)</f>
        <v>-1</v>
      </c>
      <c r="AB324" s="16">
        <f>IFERROR(__xludf.DUMMYFUNCTION("""COMPUTED_VALUE"""),0.0)</f>
        <v>0</v>
      </c>
      <c r="AC324" s="16">
        <f>IFERROR(__xludf.DUMMYFUNCTION("""COMPUTED_VALUE"""),-5.0)</f>
        <v>-5</v>
      </c>
      <c r="AD324" s="16">
        <f>IFERROR(__xludf.DUMMYFUNCTION("""COMPUTED_VALUE"""),0.0)</f>
        <v>0</v>
      </c>
      <c r="AE324" s="16">
        <f>IFERROR(__xludf.DUMMYFUNCTION("""COMPUTED_VALUE"""),47.5)</f>
        <v>47.5</v>
      </c>
      <c r="AF324" s="16">
        <f>IFERROR(__xludf.DUMMYFUNCTION("""COMPUTED_VALUE"""),25.5)</f>
        <v>25.5</v>
      </c>
      <c r="AG324" s="16">
        <f>IFERROR(__xludf.DUMMYFUNCTION("""COMPUTED_VALUE"""),-2.0)</f>
        <v>-2</v>
      </c>
      <c r="AH324" s="16">
        <f>IFERROR(__xludf.DUMMYFUNCTION("""COMPUTED_VALUE"""),0.0)</f>
        <v>0</v>
      </c>
      <c r="AI324" s="16">
        <f>IFERROR(__xludf.DUMMYFUNCTION("""COMPUTED_VALUE"""),-4.0)</f>
        <v>-4</v>
      </c>
      <c r="AJ324" s="16">
        <f>IFERROR(__xludf.DUMMYFUNCTION("""COMPUTED_VALUE"""),0.0)</f>
        <v>0</v>
      </c>
      <c r="AK324" s="16">
        <f>IFERROR(__xludf.DUMMYFUNCTION("""COMPUTED_VALUE"""),27.0)</f>
        <v>27</v>
      </c>
      <c r="AL324" s="16">
        <f>IFERROR(__xludf.DUMMYFUNCTION("""COMPUTED_VALUE"""),19.0)</f>
        <v>19</v>
      </c>
      <c r="AM324" s="16">
        <f>IFERROR(__xludf.DUMMYFUNCTION("""COMPUTED_VALUE"""),-2.0)</f>
        <v>-2</v>
      </c>
      <c r="AN324" s="16">
        <f>IFERROR(__xludf.DUMMYFUNCTION("""COMPUTED_VALUE"""),-1.0)</f>
        <v>-1</v>
      </c>
      <c r="AO324" s="16">
        <f>IFERROR(__xludf.DUMMYFUNCTION("""COMPUTED_VALUE"""),-2.0)</f>
        <v>-2</v>
      </c>
      <c r="AP324" s="16">
        <f>IFERROR(__xludf.DUMMYFUNCTION("""COMPUTED_VALUE"""),-1.0)</f>
        <v>-1</v>
      </c>
      <c r="AQ324" s="16">
        <f>IFERROR(__xludf.DUMMYFUNCTION("""COMPUTED_VALUE"""),35.5)</f>
        <v>35.5</v>
      </c>
      <c r="AR324" s="16">
        <f>IFERROR(__xludf.DUMMYFUNCTION("""COMPUTED_VALUE"""),25.5)</f>
        <v>25.5</v>
      </c>
      <c r="AS324" s="16">
        <f>IFERROR(__xludf.DUMMYFUNCTION("""COMPUTED_VALUE"""),-2.0)</f>
        <v>-2</v>
      </c>
      <c r="AT324" s="16">
        <f>IFERROR(__xludf.DUMMYFUNCTION("""COMPUTED_VALUE"""),-1.0)</f>
        <v>-1</v>
      </c>
      <c r="AU324" s="16">
        <f>IFERROR(__xludf.DUMMYFUNCTION("""COMPUTED_VALUE"""),-4.0)</f>
        <v>-4</v>
      </c>
      <c r="AV324" s="16">
        <f>IFERROR(__xludf.DUMMYFUNCTION("""COMPUTED_VALUE"""),-2.0)</f>
        <v>-2</v>
      </c>
      <c r="AW324" s="16">
        <f>IFERROR(__xludf.DUMMYFUNCTION("""COMPUTED_VALUE"""),3.0)</f>
        <v>3</v>
      </c>
      <c r="AX324" s="16">
        <f>IFERROR(__xludf.DUMMYFUNCTION("""COMPUTED_VALUE"""),0.0)</f>
        <v>0</v>
      </c>
      <c r="AY324" s="16">
        <f>IFERROR(__xludf.DUMMYFUNCTION("""COMPUTED_VALUE"""),-1.0)</f>
        <v>-1</v>
      </c>
      <c r="AZ324" s="16">
        <f>IFERROR(__xludf.DUMMYFUNCTION("""COMPUTED_VALUE"""),2.0)</f>
        <v>2</v>
      </c>
      <c r="BA324" s="16">
        <f>IFERROR(__xludf.DUMMYFUNCTION("""COMPUTED_VALUE"""),-5.0)</f>
        <v>-5</v>
      </c>
      <c r="BB324" s="16">
        <f>IFERROR(__xludf.DUMMYFUNCTION("""COMPUTED_VALUE"""),10.0)</f>
        <v>10</v>
      </c>
      <c r="BC324" s="16">
        <f>IFERROR(__xludf.DUMMYFUNCTION("""COMPUTED_VALUE"""),4.0)</f>
        <v>4</v>
      </c>
      <c r="BD324" s="16">
        <f>IFERROR(__xludf.DUMMYFUNCTION("""COMPUTED_VALUE"""),0.0)</f>
        <v>0</v>
      </c>
      <c r="BE324" s="16">
        <f>IFERROR(__xludf.DUMMYFUNCTION("""COMPUTED_VALUE"""),4.0)</f>
        <v>4</v>
      </c>
      <c r="BF324" s="16">
        <f>IFERROR(__xludf.DUMMYFUNCTION("""COMPUTED_VALUE"""),0.0)</f>
        <v>0</v>
      </c>
      <c r="BG324" s="16">
        <f>IFERROR(__xludf.DUMMYFUNCTION("""COMPUTED_VALUE"""),-1.0)</f>
        <v>-1</v>
      </c>
      <c r="BH324" s="16">
        <f>IFERROR(__xludf.DUMMYFUNCTION("""COMPUTED_VALUE"""),2.0)</f>
        <v>2</v>
      </c>
      <c r="BI324" s="16">
        <f>IFERROR(__xludf.DUMMYFUNCTION("""COMPUTED_VALUE"""),-2.0)</f>
        <v>-2</v>
      </c>
      <c r="BJ324" s="16">
        <f>IFERROR(__xludf.DUMMYFUNCTION("""COMPUTED_VALUE"""),4.0)</f>
        <v>4</v>
      </c>
      <c r="BK324" s="16">
        <f>IFERROR(__xludf.DUMMYFUNCTION("""COMPUTED_VALUE"""),5.0)</f>
        <v>5</v>
      </c>
      <c r="BL324" s="16">
        <f>IFERROR(__xludf.DUMMYFUNCTION("""COMPUTED_VALUE"""),5.0)</f>
        <v>5</v>
      </c>
      <c r="BM324" s="16">
        <f>IFERROR(__xludf.DUMMYFUNCTION("""COMPUTED_VALUE"""),0.0)</f>
        <v>0</v>
      </c>
      <c r="BN324" s="16">
        <f>IFERROR(__xludf.DUMMYFUNCTION("""COMPUTED_VALUE"""),0.0)</f>
        <v>0</v>
      </c>
      <c r="BO324" s="16">
        <f>IFERROR(__xludf.DUMMYFUNCTION("""COMPUTED_VALUE"""),0.0)</f>
        <v>0</v>
      </c>
      <c r="BP324" s="16">
        <f>IFERROR(__xludf.DUMMYFUNCTION("""COMPUTED_VALUE"""),0.0)</f>
        <v>0</v>
      </c>
      <c r="BQ324" s="16">
        <f>IFERROR(__xludf.DUMMYFUNCTION("""COMPUTED_VALUE"""),8.0)</f>
        <v>8</v>
      </c>
      <c r="BR324" s="16">
        <f>IFERROR(__xludf.DUMMYFUNCTION("""COMPUTED_VALUE"""),8.0)</f>
        <v>8</v>
      </c>
      <c r="BS324" s="16">
        <f>IFERROR(__xludf.DUMMYFUNCTION("""COMPUTED_VALUE"""),2.0)</f>
        <v>2</v>
      </c>
      <c r="BT324" s="16">
        <f>IFERROR(__xludf.DUMMYFUNCTION("""COMPUTED_VALUE"""),2.0)</f>
        <v>2</v>
      </c>
      <c r="BU324" s="16">
        <f>IFERROR(__xludf.DUMMYFUNCTION("""COMPUTED_VALUE"""),4.0)</f>
        <v>4</v>
      </c>
      <c r="BV324" s="16">
        <f>IFERROR(__xludf.DUMMYFUNCTION("""COMPUTED_VALUE"""),4.0)</f>
        <v>4</v>
      </c>
      <c r="BW324" s="16">
        <f>IFERROR(__xludf.DUMMYFUNCTION("""COMPUTED_VALUE"""),-2.0)</f>
        <v>-2</v>
      </c>
      <c r="BX324" s="16">
        <f>IFERROR(__xludf.DUMMYFUNCTION("""COMPUTED_VALUE"""),-2.0)</f>
        <v>-2</v>
      </c>
      <c r="BY324" s="16" t="str">
        <f>IFERROR(__xludf.DUMMYFUNCTION("""COMPUTED_VALUE"""),"R(1) C(0)")</f>
        <v>R(1) C(0)</v>
      </c>
      <c r="BZ324" s="16" t="str">
        <f>IFERROR(__xludf.DUMMYFUNCTION("""COMPUTED_VALUE"""),"R(1) C(0)")</f>
        <v>R(1) C(0)</v>
      </c>
      <c r="CA324" s="16" t="str">
        <f>IFERROR(__xludf.DUMMYFUNCTION("""COMPUTED_VALUE"""),"R(1)")</f>
        <v>R(1)</v>
      </c>
      <c r="CB324" s="16" t="str">
        <f>IFERROR(__xludf.DUMMYFUNCTION("""COMPUTED_VALUE"""),"C(0)")</f>
        <v>C(0)</v>
      </c>
      <c r="CC324" s="16"/>
      <c r="CD324" s="16"/>
      <c r="CE324" s="16">
        <f>IFERROR(__xludf.DUMMYFUNCTION("""COMPUTED_VALUE"""),1.0)</f>
        <v>1</v>
      </c>
      <c r="CF324" s="16">
        <f>IFERROR(__xludf.DUMMYFUNCTION("""COMPUTED_VALUE"""),0.0)</f>
        <v>0</v>
      </c>
      <c r="CG324" s="16" t="str">
        <f>IFERROR(__xludf.DUMMYFUNCTION("""COMPUTED_VALUE"""),"1-0")</f>
        <v>1-0</v>
      </c>
      <c r="CH324" s="16">
        <f>IFERROR(__xludf.DUMMYFUNCTION("""COMPUTED_VALUE"""),1.0)</f>
        <v>1</v>
      </c>
      <c r="CI324" s="16">
        <f>IFERROR(__xludf.DUMMYFUNCTION("""COMPUTED_VALUE"""),0.0)</f>
        <v>0</v>
      </c>
      <c r="CJ324" s="16">
        <f>IFERROR(__xludf.DUMMYFUNCTION("""COMPUTED_VALUE"""),0.0)</f>
        <v>0</v>
      </c>
      <c r="CK324" s="16">
        <f>IFERROR(__xludf.DUMMYFUNCTION("""COMPUTED_VALUE"""),0.0)</f>
        <v>0</v>
      </c>
      <c r="CL324" s="16" t="str">
        <f>IFERROR(__xludf.DUMMYFUNCTION("""COMPUTED_VALUE"""),"1WL-C")</f>
        <v>1WL-C</v>
      </c>
      <c r="CM324" s="16" t="str">
        <f>IFERROR(__xludf.DUMMYFUNCTION("""COMPUTED_VALUE"""),"E")</f>
        <v>E</v>
      </c>
      <c r="CN324" s="16">
        <f>IFERROR(__xludf.DUMMYFUNCTION("""COMPUTED_VALUE"""),10.0)</f>
        <v>10</v>
      </c>
      <c r="CO324" s="16" t="str">
        <f>IFERROR(__xludf.DUMMYFUNCTION("""COMPUTED_VALUE"""),"C")</f>
        <v>C</v>
      </c>
      <c r="CP324" s="16" t="str">
        <f>IFERROR(__xludf.DUMMYFUNCTION("""COMPUTED_VALUE"""),"1p50")</f>
        <v>1p50</v>
      </c>
      <c r="CQ324" s="16">
        <f>IFERROR(__xludf.DUMMYFUNCTION("""COMPUTED_VALUE"""),-19.0)</f>
        <v>-19</v>
      </c>
      <c r="CR324" s="16">
        <f>IFERROR(__xludf.DUMMYFUNCTION("""COMPUTED_VALUE"""),14.0)</f>
        <v>14</v>
      </c>
      <c r="CS324" s="16">
        <f>IFERROR(__xludf.DUMMYFUNCTION("""COMPUTED_VALUE"""),-5.0)</f>
        <v>-5</v>
      </c>
      <c r="CT324" s="16">
        <f>IFERROR(__xludf.DUMMYFUNCTION("""COMPUTED_VALUE"""),-19.0)</f>
        <v>-19</v>
      </c>
      <c r="CU324" s="16">
        <f>IFERROR(__xludf.DUMMYFUNCTION("""COMPUTED_VALUE"""),14.0)</f>
        <v>14</v>
      </c>
      <c r="CV324" s="179">
        <f>IFERROR(__xludf.DUMMYFUNCTION("""COMPUTED_VALUE"""),-4.0)</f>
        <v>-4</v>
      </c>
      <c r="CW324" s="179">
        <f>IFERROR(__xludf.DUMMYFUNCTION("""COMPUTED_VALUE"""),4.0)</f>
        <v>4</v>
      </c>
      <c r="CX324" s="179">
        <f>IFERROR(__xludf.DUMMYFUNCTION("""COMPUTED_VALUE"""),0.0)</f>
        <v>0</v>
      </c>
      <c r="CY324" s="16" t="str">
        <f>IFERROR(__xludf.DUMMYFUNCTION("""COMPUTED_VALUE"""),"RP")</f>
        <v>RP</v>
      </c>
      <c r="CZ324" s="16" t="str">
        <f>IFERROR(__xludf.DUMMYFUNCTION("""COMPUTED_VALUE"""),"CP")</f>
        <v>CP</v>
      </c>
      <c r="DA324" s="16"/>
      <c r="DB324" s="16"/>
      <c r="DC324" s="16"/>
      <c r="DD324" s="16"/>
      <c r="DE324" s="16"/>
      <c r="DF324" s="16"/>
      <c r="DG324" s="16"/>
      <c r="DH324" s="16"/>
      <c r="DI324" s="16"/>
      <c r="DJ324" s="16"/>
      <c r="DK324" s="16"/>
    </row>
    <row r="325">
      <c r="A325" s="16">
        <f>IFERROR(__xludf.DUMMYFUNCTION("""COMPUTED_VALUE"""),12560.0)</f>
        <v>12560</v>
      </c>
      <c r="B325" s="16" t="str">
        <f>IFERROR(__xludf.DUMMYFUNCTION("""COMPUTED_VALUE"""),"Austin Adams")</f>
        <v>Austin Adams</v>
      </c>
      <c r="C325" s="153">
        <f>IFERROR(__xludf.DUMMYFUNCTION("""COMPUTED_VALUE"""),0.35)</f>
        <v>0.35</v>
      </c>
      <c r="D325" s="16"/>
      <c r="E325" s="16" t="str">
        <f>IFERROR(__xludf.DUMMYFUNCTION("""COMPUTED_VALUE"""),"R")</f>
        <v>R</v>
      </c>
      <c r="F325" s="16">
        <f>IFERROR(__xludf.DUMMYFUNCTION("""COMPUTED_VALUE"""),41.0)</f>
        <v>41</v>
      </c>
      <c r="G325" s="16">
        <f>IFERROR(__xludf.DUMMYFUNCTION("""COMPUTED_VALUE"""),40.0)</f>
        <v>40</v>
      </c>
      <c r="H325" s="16">
        <f>IFERROR(__xludf.DUMMYFUNCTION("""COMPUTED_VALUE"""),33.0)</f>
        <v>33</v>
      </c>
      <c r="I325" s="16">
        <f>IFERROR(__xludf.DUMMYFUNCTION("""COMPUTED_VALUE"""),2.0)</f>
        <v>2</v>
      </c>
      <c r="J325" s="16">
        <f>IFERROR(__xludf.DUMMYFUNCTION("""COMPUTED_VALUE"""),1.0)</f>
        <v>1</v>
      </c>
      <c r="K325" s="16">
        <f>IFERROR(__xludf.DUMMYFUNCTION("""COMPUTED_VALUE"""),6.0)</f>
        <v>6</v>
      </c>
      <c r="L325" s="16">
        <f>IFERROR(__xludf.DUMMYFUNCTION("""COMPUTED_VALUE"""),3.0)</f>
        <v>3</v>
      </c>
      <c r="M325" s="16">
        <f>IFERROR(__xludf.DUMMYFUNCTION("""COMPUTED_VALUE"""),20.0)</f>
        <v>20</v>
      </c>
      <c r="N325" s="16">
        <f>IFERROR(__xludf.DUMMYFUNCTION("""COMPUTED_VALUE"""),25.0)</f>
        <v>25</v>
      </c>
      <c r="O325" s="16">
        <f>IFERROR(__xludf.DUMMYFUNCTION("""COMPUTED_VALUE"""),-3.0)</f>
        <v>-3</v>
      </c>
      <c r="P325" s="16">
        <f>IFERROR(__xludf.DUMMYFUNCTION("""COMPUTED_VALUE"""),-3.0)</f>
        <v>-3</v>
      </c>
      <c r="Q325" s="16">
        <f>IFERROR(__xludf.DUMMYFUNCTION("""COMPUTED_VALUE"""),-3.0)</f>
        <v>-3</v>
      </c>
      <c r="R325" s="16">
        <f>IFERROR(__xludf.DUMMYFUNCTION("""COMPUTED_VALUE"""),-3.0)</f>
        <v>-3</v>
      </c>
      <c r="S325" s="16">
        <f>IFERROR(__xludf.DUMMYFUNCTION("""COMPUTED_VALUE"""),13.5)</f>
        <v>13.5</v>
      </c>
      <c r="T325" s="16">
        <f>IFERROR(__xludf.DUMMYFUNCTION("""COMPUTED_VALUE"""),13.5)</f>
        <v>13.5</v>
      </c>
      <c r="U325" s="16">
        <f>IFERROR(__xludf.DUMMYFUNCTION("""COMPUTED_VALUE"""),0.0)</f>
        <v>0</v>
      </c>
      <c r="V325" s="16">
        <f>IFERROR(__xludf.DUMMYFUNCTION("""COMPUTED_VALUE"""),0.0)</f>
        <v>0</v>
      </c>
      <c r="W325" s="16">
        <f>IFERROR(__xludf.DUMMYFUNCTION("""COMPUTED_VALUE"""),0.0)</f>
        <v>0</v>
      </c>
      <c r="X325" s="16">
        <f>IFERROR(__xludf.DUMMYFUNCTION("""COMPUTED_VALUE"""),0.0)</f>
        <v>0</v>
      </c>
      <c r="Y325" s="16">
        <f>IFERROR(__xludf.DUMMYFUNCTION("""COMPUTED_VALUE"""),33.5)</f>
        <v>33.5</v>
      </c>
      <c r="Z325" s="16">
        <f>IFERROR(__xludf.DUMMYFUNCTION("""COMPUTED_VALUE"""),38.5)</f>
        <v>38.5</v>
      </c>
      <c r="AA325" s="16">
        <f>IFERROR(__xludf.DUMMYFUNCTION("""COMPUTED_VALUE"""),-1.0)</f>
        <v>-1</v>
      </c>
      <c r="AB325" s="16">
        <f>IFERROR(__xludf.DUMMYFUNCTION("""COMPUTED_VALUE"""),-2.0)</f>
        <v>-2</v>
      </c>
      <c r="AC325" s="16">
        <f>IFERROR(__xludf.DUMMYFUNCTION("""COMPUTED_VALUE"""),-5.0)</f>
        <v>-5</v>
      </c>
      <c r="AD325" s="16">
        <f>IFERROR(__xludf.DUMMYFUNCTION("""COMPUTED_VALUE"""),-10.0)</f>
        <v>-10</v>
      </c>
      <c r="AE325" s="16">
        <f>IFERROR(__xludf.DUMMYFUNCTION("""COMPUTED_VALUE"""),31.0)</f>
        <v>31</v>
      </c>
      <c r="AF325" s="16">
        <f>IFERROR(__xludf.DUMMYFUNCTION("""COMPUTED_VALUE"""),23.7)</f>
        <v>23.7</v>
      </c>
      <c r="AG325" s="16">
        <f>IFERROR(__xludf.DUMMYFUNCTION("""COMPUTED_VALUE"""),0.0)</f>
        <v>0</v>
      </c>
      <c r="AH325" s="16">
        <f>IFERROR(__xludf.DUMMYFUNCTION("""COMPUTED_VALUE"""),1.0)</f>
        <v>1</v>
      </c>
      <c r="AI325" s="16">
        <f>IFERROR(__xludf.DUMMYFUNCTION("""COMPUTED_VALUE"""),0.0)</f>
        <v>0</v>
      </c>
      <c r="AJ325" s="16">
        <f>IFERROR(__xludf.DUMMYFUNCTION("""COMPUTED_VALUE"""),2.0)</f>
        <v>2</v>
      </c>
      <c r="AK325" s="16">
        <f>IFERROR(__xludf.DUMMYFUNCTION("""COMPUTED_VALUE"""),11.5)</f>
        <v>11.5</v>
      </c>
      <c r="AL325" s="16">
        <f>IFERROR(__xludf.DUMMYFUNCTION("""COMPUTED_VALUE"""),13.1)</f>
        <v>13.1</v>
      </c>
      <c r="AM325" s="16">
        <f>IFERROR(__xludf.DUMMYFUNCTION("""COMPUTED_VALUE"""),0.0)</f>
        <v>0</v>
      </c>
      <c r="AN325" s="16">
        <f>IFERROR(__xludf.DUMMYFUNCTION("""COMPUTED_VALUE"""),0.0)</f>
        <v>0</v>
      </c>
      <c r="AO325" s="16">
        <f>IFERROR(__xludf.DUMMYFUNCTION("""COMPUTED_VALUE"""),0.0)</f>
        <v>0</v>
      </c>
      <c r="AP325" s="16">
        <f>IFERROR(__xludf.DUMMYFUNCTION("""COMPUTED_VALUE"""),0.0)</f>
        <v>0</v>
      </c>
      <c r="AQ325" s="16">
        <f>IFERROR(__xludf.DUMMYFUNCTION("""COMPUTED_VALUE"""),23.0)</f>
        <v>23</v>
      </c>
      <c r="AR325" s="16">
        <f>IFERROR(__xludf.DUMMYFUNCTION("""COMPUTED_VALUE"""),22.099999999999998)</f>
        <v>22.1</v>
      </c>
      <c r="AS325" s="16">
        <f>IFERROR(__xludf.DUMMYFUNCTION("""COMPUTED_VALUE"""),0.0)</f>
        <v>0</v>
      </c>
      <c r="AT325" s="16">
        <f>IFERROR(__xludf.DUMMYFUNCTION("""COMPUTED_VALUE"""),0.0)</f>
        <v>0</v>
      </c>
      <c r="AU325" s="16">
        <f>IFERROR(__xludf.DUMMYFUNCTION("""COMPUTED_VALUE"""),0.0)</f>
        <v>0</v>
      </c>
      <c r="AV325" s="16">
        <f>IFERROR(__xludf.DUMMYFUNCTION("""COMPUTED_VALUE"""),0.0)</f>
        <v>0</v>
      </c>
      <c r="AW325" s="16">
        <f>IFERROR(__xludf.DUMMYFUNCTION("""COMPUTED_VALUE"""),2.0)</f>
        <v>2</v>
      </c>
      <c r="AX325" s="16">
        <f>IFERROR(__xludf.DUMMYFUNCTION("""COMPUTED_VALUE"""),0.4)</f>
        <v>0.4</v>
      </c>
      <c r="AY325" s="16">
        <f>IFERROR(__xludf.DUMMYFUNCTION("""COMPUTED_VALUE"""),0.0)</f>
        <v>0</v>
      </c>
      <c r="AZ325" s="16">
        <f>IFERROR(__xludf.DUMMYFUNCTION("""COMPUTED_VALUE"""),2.0)</f>
        <v>2</v>
      </c>
      <c r="BA325" s="16">
        <f>IFERROR(__xludf.DUMMYFUNCTION("""COMPUTED_VALUE"""),0.0)</f>
        <v>0</v>
      </c>
      <c r="BB325" s="16">
        <f>IFERROR(__xludf.DUMMYFUNCTION("""COMPUTED_VALUE"""),10.0)</f>
        <v>10</v>
      </c>
      <c r="BC325" s="16"/>
      <c r="BD325" s="16">
        <f>IFERROR(__xludf.DUMMYFUNCTION("""COMPUTED_VALUE"""),1.0)</f>
        <v>1</v>
      </c>
      <c r="BE325" s="16">
        <f>IFERROR(__xludf.DUMMYFUNCTION("""COMPUTED_VALUE"""),4.0)</f>
        <v>4</v>
      </c>
      <c r="BF325" s="16">
        <f>IFERROR(__xludf.DUMMYFUNCTION("""COMPUTED_VALUE"""),1.0)</f>
        <v>1</v>
      </c>
      <c r="BG325" s="16">
        <f>IFERROR(__xludf.DUMMYFUNCTION("""COMPUTED_VALUE"""),-1.0)</f>
        <v>-1</v>
      </c>
      <c r="BH325" s="16">
        <f>IFERROR(__xludf.DUMMYFUNCTION("""COMPUTED_VALUE"""),2.0)</f>
        <v>2</v>
      </c>
      <c r="BI325" s="16">
        <f>IFERROR(__xludf.DUMMYFUNCTION("""COMPUTED_VALUE"""),-2.0)</f>
        <v>-2</v>
      </c>
      <c r="BJ325" s="16">
        <f>IFERROR(__xludf.DUMMYFUNCTION("""COMPUTED_VALUE"""),4.0)</f>
        <v>4</v>
      </c>
      <c r="BK325" s="16">
        <f>IFERROR(__xludf.DUMMYFUNCTION("""COMPUTED_VALUE"""),0.0)</f>
        <v>0</v>
      </c>
      <c r="BL325" s="16">
        <f>IFERROR(__xludf.DUMMYFUNCTION("""COMPUTED_VALUE"""),5.0)</f>
        <v>5</v>
      </c>
      <c r="BM325" s="16">
        <f>IFERROR(__xludf.DUMMYFUNCTION("""COMPUTED_VALUE"""),1.0)</f>
        <v>1</v>
      </c>
      <c r="BN325" s="16">
        <f>IFERROR(__xludf.DUMMYFUNCTION("""COMPUTED_VALUE"""),0.0)</f>
        <v>0</v>
      </c>
      <c r="BO325" s="16">
        <f>IFERROR(__xludf.DUMMYFUNCTION("""COMPUTED_VALUE"""),1.0)</f>
        <v>1</v>
      </c>
      <c r="BP325" s="16">
        <f>IFERROR(__xludf.DUMMYFUNCTION("""COMPUTED_VALUE"""),0.0)</f>
        <v>0</v>
      </c>
      <c r="BQ325" s="16">
        <f>IFERROR(__xludf.DUMMYFUNCTION("""COMPUTED_VALUE"""),0.0)</f>
        <v>0</v>
      </c>
      <c r="BR325" s="16">
        <f>IFERROR(__xludf.DUMMYFUNCTION("""COMPUTED_VALUE"""),0.0)</f>
        <v>0</v>
      </c>
      <c r="BS325" s="16">
        <f>IFERROR(__xludf.DUMMYFUNCTION("""COMPUTED_VALUE"""),-3.0)</f>
        <v>-3</v>
      </c>
      <c r="BT325" s="16">
        <f>IFERROR(__xludf.DUMMYFUNCTION("""COMPUTED_VALUE"""),-3.0)</f>
        <v>-3</v>
      </c>
      <c r="BU325" s="16">
        <f>IFERROR(__xludf.DUMMYFUNCTION("""COMPUTED_VALUE"""),-6.0)</f>
        <v>-6</v>
      </c>
      <c r="BV325" s="16">
        <f>IFERROR(__xludf.DUMMYFUNCTION("""COMPUTED_VALUE"""),-6.0)</f>
        <v>-6</v>
      </c>
      <c r="BW325" s="16">
        <f>IFERROR(__xludf.DUMMYFUNCTION("""COMPUTED_VALUE"""),2.0)</f>
        <v>2</v>
      </c>
      <c r="BX325" s="16">
        <f>IFERROR(__xludf.DUMMYFUNCTION("""COMPUTED_VALUE"""),2.0)</f>
        <v>2</v>
      </c>
      <c r="BY325" s="16" t="str">
        <f>IFERROR(__xludf.DUMMYFUNCTION("""COMPUTED_VALUE"""),"R(1)")</f>
        <v>R(1)</v>
      </c>
      <c r="BZ325" s="16" t="str">
        <f>IFERROR(__xludf.DUMMYFUNCTION("""COMPUTED_VALUE"""),"R(1)")</f>
        <v>R(1)</v>
      </c>
      <c r="CA325" s="16" t="str">
        <f>IFERROR(__xludf.DUMMYFUNCTION("""COMPUTED_VALUE"""),"R(1)")</f>
        <v>R(1)</v>
      </c>
      <c r="CB325" s="16"/>
      <c r="CC325" s="16"/>
      <c r="CD325" s="16"/>
      <c r="CE325" s="16">
        <f>IFERROR(__xludf.DUMMYFUNCTION("""COMPUTED_VALUE"""),1.0)</f>
        <v>1</v>
      </c>
      <c r="CF325" s="16"/>
      <c r="CG325" s="16" t="str">
        <f>IFERROR(__xludf.DUMMYFUNCTION("""COMPUTED_VALUE"""),"4-0")</f>
        <v>4-0</v>
      </c>
      <c r="CH325" s="16">
        <f>IFERROR(__xludf.DUMMYFUNCTION("""COMPUTED_VALUE"""),4.0)</f>
        <v>4</v>
      </c>
      <c r="CI325" s="16">
        <f>IFERROR(__xludf.DUMMYFUNCTION("""COMPUTED_VALUE"""),0.0)</f>
        <v>0</v>
      </c>
      <c r="CJ325" s="16">
        <f>IFERROR(__xludf.DUMMYFUNCTION("""COMPUTED_VALUE"""),0.0)</f>
        <v>0</v>
      </c>
      <c r="CK325" s="16">
        <f>IFERROR(__xludf.DUMMYFUNCTION("""COMPUTED_VALUE"""),20.0)</f>
        <v>20</v>
      </c>
      <c r="CL325" s="16" t="str">
        <f>IFERROR(__xludf.DUMMYFUNCTION("""COMPUTED_VALUE"""),"1WR-C")</f>
        <v>1WR-C</v>
      </c>
      <c r="CM325" s="16" t="str">
        <f>IFERROR(__xludf.DUMMYFUNCTION("""COMPUTED_VALUE"""),"E")</f>
        <v>E</v>
      </c>
      <c r="CN325" s="16">
        <f>IFERROR(__xludf.DUMMYFUNCTION("""COMPUTED_VALUE"""),10.0)</f>
        <v>10</v>
      </c>
      <c r="CO325" s="16" t="str">
        <f>IFERROR(__xludf.DUMMYFUNCTION("""COMPUTED_VALUE"""),"C")</f>
        <v>C</v>
      </c>
      <c r="CP325" s="16" t="str">
        <f>IFERROR(__xludf.DUMMYFUNCTION("""COMPUTED_VALUE"""),"4p40")</f>
        <v>4p40</v>
      </c>
      <c r="CQ325" s="16">
        <f>IFERROR(__xludf.DUMMYFUNCTION("""COMPUTED_VALUE"""),-9.0)</f>
        <v>-9</v>
      </c>
      <c r="CR325" s="16">
        <f>IFERROR(__xludf.DUMMYFUNCTION("""COMPUTED_VALUE"""),0.0)</f>
        <v>0</v>
      </c>
      <c r="CS325" s="16">
        <f>IFERROR(__xludf.DUMMYFUNCTION("""COMPUTED_VALUE"""),-9.0)</f>
        <v>-9</v>
      </c>
      <c r="CT325" s="16">
        <f>IFERROR(__xludf.DUMMYFUNCTION("""COMPUTED_VALUE"""),-9.0)</f>
        <v>-9</v>
      </c>
      <c r="CU325" s="16">
        <f>IFERROR(__xludf.DUMMYFUNCTION("""COMPUTED_VALUE"""),0.0)</f>
        <v>0</v>
      </c>
      <c r="CV325" s="179">
        <f>IFERROR(__xludf.DUMMYFUNCTION("""COMPUTED_VALUE"""),-4.0)</f>
        <v>-4</v>
      </c>
      <c r="CW325" s="179">
        <f>IFERROR(__xludf.DUMMYFUNCTION("""COMPUTED_VALUE"""),1.0)</f>
        <v>1</v>
      </c>
      <c r="CX325" s="179">
        <f>IFERROR(__xludf.DUMMYFUNCTION("""COMPUTED_VALUE"""),1.0)</f>
        <v>1</v>
      </c>
      <c r="CY325" s="16" t="str">
        <f>IFERROR(__xludf.DUMMYFUNCTION("""COMPUTED_VALUE"""),"RP")</f>
        <v>RP</v>
      </c>
      <c r="CZ325" s="16"/>
      <c r="DA325" s="16"/>
      <c r="DB325" s="16"/>
      <c r="DC325" s="16"/>
      <c r="DD325" s="16"/>
      <c r="DE325" s="16"/>
      <c r="DF325" s="16"/>
      <c r="DG325" s="16"/>
      <c r="DH325" s="16"/>
      <c r="DI325" s="16"/>
      <c r="DJ325" s="16"/>
      <c r="DK325" s="16"/>
    </row>
    <row r="326">
      <c r="A326" s="16">
        <f>IFERROR(__xludf.DUMMYFUNCTION("""COMPUTED_VALUE"""),13045.0)</f>
        <v>13045</v>
      </c>
      <c r="B326" s="16" t="str">
        <f>IFERROR(__xludf.DUMMYFUNCTION("""COMPUTED_VALUE"""),"JT Ginn")</f>
        <v>JT Ginn</v>
      </c>
      <c r="C326" s="153">
        <f>IFERROR(__xludf.DUMMYFUNCTION("""COMPUTED_VALUE"""),0.66)</f>
        <v>0.66</v>
      </c>
      <c r="D326" s="16"/>
      <c r="E326" s="16" t="str">
        <f>IFERROR(__xludf.DUMMYFUNCTION("""COMPUTED_VALUE"""),"R")</f>
        <v>R</v>
      </c>
      <c r="F326" s="16">
        <f>IFERROR(__xludf.DUMMYFUNCTION("""COMPUTED_VALUE"""),34.0)</f>
        <v>34</v>
      </c>
      <c r="G326" s="16">
        <f>IFERROR(__xludf.DUMMYFUNCTION("""COMPUTED_VALUE"""),11.0)</f>
        <v>11</v>
      </c>
      <c r="H326" s="16">
        <f>IFERROR(__xludf.DUMMYFUNCTION("""COMPUTED_VALUE"""),30.0)</f>
        <v>30</v>
      </c>
      <c r="I326" s="16">
        <f>IFERROR(__xludf.DUMMYFUNCTION("""COMPUTED_VALUE"""),-2.0)</f>
        <v>-2</v>
      </c>
      <c r="J326" s="16">
        <f>IFERROR(__xludf.DUMMYFUNCTION("""COMPUTED_VALUE"""),0.0)</f>
        <v>0</v>
      </c>
      <c r="K326" s="16">
        <f>IFERROR(__xludf.DUMMYFUNCTION("""COMPUTED_VALUE"""),-6.0)</f>
        <v>-6</v>
      </c>
      <c r="L326" s="16">
        <f>IFERROR(__xludf.DUMMYFUNCTION("""COMPUTED_VALUE"""),0.0)</f>
        <v>0</v>
      </c>
      <c r="M326" s="16">
        <f>IFERROR(__xludf.DUMMYFUNCTION("""COMPUTED_VALUE"""),2.0)</f>
        <v>2</v>
      </c>
      <c r="N326" s="16">
        <f>IFERROR(__xludf.DUMMYFUNCTION("""COMPUTED_VALUE"""),6.0)</f>
        <v>6</v>
      </c>
      <c r="O326" s="16">
        <f>IFERROR(__xludf.DUMMYFUNCTION("""COMPUTED_VALUE"""),2.0)</f>
        <v>2</v>
      </c>
      <c r="P326" s="16">
        <f>IFERROR(__xludf.DUMMYFUNCTION("""COMPUTED_VALUE"""),1.0)</f>
        <v>1</v>
      </c>
      <c r="Q326" s="16">
        <f>IFERROR(__xludf.DUMMYFUNCTION("""COMPUTED_VALUE"""),2.0)</f>
        <v>2</v>
      </c>
      <c r="R326" s="16">
        <f>IFERROR(__xludf.DUMMYFUNCTION("""COMPUTED_VALUE"""),1.0)</f>
        <v>1</v>
      </c>
      <c r="S326" s="16">
        <f>IFERROR(__xludf.DUMMYFUNCTION("""COMPUTED_VALUE"""),27.9)</f>
        <v>27.9</v>
      </c>
      <c r="T326" s="16">
        <f>IFERROR(__xludf.DUMMYFUNCTION("""COMPUTED_VALUE"""),16.6)</f>
        <v>16.6</v>
      </c>
      <c r="U326" s="16">
        <f>IFERROR(__xludf.DUMMYFUNCTION("""COMPUTED_VALUE"""),-2.0)</f>
        <v>-2</v>
      </c>
      <c r="V326" s="16">
        <f>IFERROR(__xludf.DUMMYFUNCTION("""COMPUTED_VALUE"""),0.0)</f>
        <v>0</v>
      </c>
      <c r="W326" s="16">
        <f>IFERROR(__xludf.DUMMYFUNCTION("""COMPUTED_VALUE"""),-4.0)</f>
        <v>-4</v>
      </c>
      <c r="X326" s="16">
        <f>IFERROR(__xludf.DUMMYFUNCTION("""COMPUTED_VALUE"""),0.0)</f>
        <v>0</v>
      </c>
      <c r="Y326" s="16">
        <f>IFERROR(__xludf.DUMMYFUNCTION("""COMPUTED_VALUE"""),29.9)</f>
        <v>29.9</v>
      </c>
      <c r="Z326" s="16">
        <f>IFERROR(__xludf.DUMMYFUNCTION("""COMPUTED_VALUE"""),22.6)</f>
        <v>22.6</v>
      </c>
      <c r="AA326" s="16">
        <f>IFERROR(__xludf.DUMMYFUNCTION("""COMPUTED_VALUE"""),-1.0)</f>
        <v>-1</v>
      </c>
      <c r="AB326" s="16">
        <f>IFERROR(__xludf.DUMMYFUNCTION("""COMPUTED_VALUE"""),0.0)</f>
        <v>0</v>
      </c>
      <c r="AC326" s="16">
        <f>IFERROR(__xludf.DUMMYFUNCTION("""COMPUTED_VALUE"""),-5.0)</f>
        <v>-5</v>
      </c>
      <c r="AD326" s="16">
        <f>IFERROR(__xludf.DUMMYFUNCTION("""COMPUTED_VALUE"""),0.0)</f>
        <v>0</v>
      </c>
      <c r="AE326" s="16">
        <f>IFERROR(__xludf.DUMMYFUNCTION("""COMPUTED_VALUE"""),44.7)</f>
        <v>44.7</v>
      </c>
      <c r="AF326" s="16">
        <f>IFERROR(__xludf.DUMMYFUNCTION("""COMPUTED_VALUE"""),17.2)</f>
        <v>17.2</v>
      </c>
      <c r="AG326" s="16">
        <f>IFERROR(__xludf.DUMMYFUNCTION("""COMPUTED_VALUE"""),-2.0)</f>
        <v>-2</v>
      </c>
      <c r="AH326" s="16">
        <f>IFERROR(__xludf.DUMMYFUNCTION("""COMPUTED_VALUE"""),1.0)</f>
        <v>1</v>
      </c>
      <c r="AI326" s="16">
        <f>IFERROR(__xludf.DUMMYFUNCTION("""COMPUTED_VALUE"""),-4.0)</f>
        <v>-4</v>
      </c>
      <c r="AJ326" s="16">
        <f>IFERROR(__xludf.DUMMYFUNCTION("""COMPUTED_VALUE"""),2.0)</f>
        <v>2</v>
      </c>
      <c r="AK326" s="16">
        <f>IFERROR(__xludf.DUMMYFUNCTION("""COMPUTED_VALUE"""),24.7)</f>
        <v>24.7</v>
      </c>
      <c r="AL326" s="16">
        <f>IFERROR(__xludf.DUMMYFUNCTION("""COMPUTED_VALUE"""),16.400000000000002)</f>
        <v>16.4</v>
      </c>
      <c r="AM326" s="16">
        <f>IFERROR(__xludf.DUMMYFUNCTION("""COMPUTED_VALUE"""),-2.0)</f>
        <v>-2</v>
      </c>
      <c r="AN326" s="16">
        <f>IFERROR(__xludf.DUMMYFUNCTION("""COMPUTED_VALUE"""),0.0)</f>
        <v>0</v>
      </c>
      <c r="AO326" s="16">
        <f>IFERROR(__xludf.DUMMYFUNCTION("""COMPUTED_VALUE"""),-2.0)</f>
        <v>-2</v>
      </c>
      <c r="AP326" s="16">
        <f>IFERROR(__xludf.DUMMYFUNCTION("""COMPUTED_VALUE"""),0.0)</f>
        <v>0</v>
      </c>
      <c r="AQ326" s="16">
        <f>IFERROR(__xludf.DUMMYFUNCTION("""COMPUTED_VALUE"""),31.900000000000002)</f>
        <v>31.9</v>
      </c>
      <c r="AR326" s="16">
        <f>IFERROR(__xludf.DUMMYFUNCTION("""COMPUTED_VALUE"""),16.4)</f>
        <v>16.4</v>
      </c>
      <c r="AS326" s="16">
        <f>IFERROR(__xludf.DUMMYFUNCTION("""COMPUTED_VALUE"""),-2.0)</f>
        <v>-2</v>
      </c>
      <c r="AT326" s="16">
        <f>IFERROR(__xludf.DUMMYFUNCTION("""COMPUTED_VALUE"""),0.0)</f>
        <v>0</v>
      </c>
      <c r="AU326" s="16">
        <f>IFERROR(__xludf.DUMMYFUNCTION("""COMPUTED_VALUE"""),-4.0)</f>
        <v>-4</v>
      </c>
      <c r="AV326" s="16">
        <f>IFERROR(__xludf.DUMMYFUNCTION("""COMPUTED_VALUE"""),0.0)</f>
        <v>0</v>
      </c>
      <c r="AW326" s="16">
        <f>IFERROR(__xludf.DUMMYFUNCTION("""COMPUTED_VALUE"""),3.2)</f>
        <v>3.2</v>
      </c>
      <c r="AX326" s="16">
        <f>IFERROR(__xludf.DUMMYFUNCTION("""COMPUTED_VALUE"""),0.2)</f>
        <v>0.2</v>
      </c>
      <c r="AY326" s="16">
        <f>IFERROR(__xludf.DUMMYFUNCTION("""COMPUTED_VALUE"""),-1.0)</f>
        <v>-1</v>
      </c>
      <c r="AZ326" s="16">
        <f>IFERROR(__xludf.DUMMYFUNCTION("""COMPUTED_VALUE"""),2.0)</f>
        <v>2</v>
      </c>
      <c r="BA326" s="16">
        <f>IFERROR(__xludf.DUMMYFUNCTION("""COMPUTED_VALUE"""),-5.0)</f>
        <v>-5</v>
      </c>
      <c r="BB326" s="16">
        <f>IFERROR(__xludf.DUMMYFUNCTION("""COMPUTED_VALUE"""),10.0)</f>
        <v>10</v>
      </c>
      <c r="BC326" s="16">
        <f>IFERROR(__xludf.DUMMYFUNCTION("""COMPUTED_VALUE"""),7.0)</f>
        <v>7</v>
      </c>
      <c r="BD326" s="16">
        <f>IFERROR(__xludf.DUMMYFUNCTION("""COMPUTED_VALUE"""),0.0)</f>
        <v>0</v>
      </c>
      <c r="BE326" s="16">
        <f>IFERROR(__xludf.DUMMYFUNCTION("""COMPUTED_VALUE"""),7.0)</f>
        <v>7</v>
      </c>
      <c r="BF326" s="16">
        <f>IFERROR(__xludf.DUMMYFUNCTION("""COMPUTED_VALUE"""),0.0)</f>
        <v>0</v>
      </c>
      <c r="BG326" s="16">
        <f>IFERROR(__xludf.DUMMYFUNCTION("""COMPUTED_VALUE"""),-3.0)</f>
        <v>-3</v>
      </c>
      <c r="BH326" s="16">
        <f>IFERROR(__xludf.DUMMYFUNCTION("""COMPUTED_VALUE"""),2.0)</f>
        <v>2</v>
      </c>
      <c r="BI326" s="16">
        <f>IFERROR(__xludf.DUMMYFUNCTION("""COMPUTED_VALUE"""),-6.0)</f>
        <v>-6</v>
      </c>
      <c r="BJ326" s="16">
        <f>IFERROR(__xludf.DUMMYFUNCTION("""COMPUTED_VALUE"""),4.0)</f>
        <v>4</v>
      </c>
      <c r="BK326" s="16">
        <f>IFERROR(__xludf.DUMMYFUNCTION("""COMPUTED_VALUE"""),5.0)</f>
        <v>5</v>
      </c>
      <c r="BL326" s="16">
        <f>IFERROR(__xludf.DUMMYFUNCTION("""COMPUTED_VALUE"""),5.0)</f>
        <v>5</v>
      </c>
      <c r="BM326" s="16">
        <f>IFERROR(__xludf.DUMMYFUNCTION("""COMPUTED_VALUE"""),0.0)</f>
        <v>0</v>
      </c>
      <c r="BN326" s="16">
        <f>IFERROR(__xludf.DUMMYFUNCTION("""COMPUTED_VALUE"""),0.0)</f>
        <v>0</v>
      </c>
      <c r="BO326" s="16">
        <f>IFERROR(__xludf.DUMMYFUNCTION("""COMPUTED_VALUE"""),0.0)</f>
        <v>0</v>
      </c>
      <c r="BP326" s="16">
        <f>IFERROR(__xludf.DUMMYFUNCTION("""COMPUTED_VALUE"""),0.0)</f>
        <v>0</v>
      </c>
      <c r="BQ326" s="16">
        <f>IFERROR(__xludf.DUMMYFUNCTION("""COMPUTED_VALUE"""),12.0)</f>
        <v>12</v>
      </c>
      <c r="BR326" s="16">
        <f>IFERROR(__xludf.DUMMYFUNCTION("""COMPUTED_VALUE"""),12.0)</f>
        <v>12</v>
      </c>
      <c r="BS326" s="16">
        <f>IFERROR(__xludf.DUMMYFUNCTION("""COMPUTED_VALUE"""),3.0)</f>
        <v>3</v>
      </c>
      <c r="BT326" s="16">
        <f>IFERROR(__xludf.DUMMYFUNCTION("""COMPUTED_VALUE"""),3.0)</f>
        <v>3</v>
      </c>
      <c r="BU326" s="16">
        <f>IFERROR(__xludf.DUMMYFUNCTION("""COMPUTED_VALUE"""),6.0)</f>
        <v>6</v>
      </c>
      <c r="BV326" s="16">
        <f>IFERROR(__xludf.DUMMYFUNCTION("""COMPUTED_VALUE"""),6.0)</f>
        <v>6</v>
      </c>
      <c r="BW326" s="16">
        <f>IFERROR(__xludf.DUMMYFUNCTION("""COMPUTED_VALUE"""),-2.0)</f>
        <v>-2</v>
      </c>
      <c r="BX326" s="16">
        <f>IFERROR(__xludf.DUMMYFUNCTION("""COMPUTED_VALUE"""),-2.0)</f>
        <v>-2</v>
      </c>
      <c r="BY326" s="16" t="str">
        <f>IFERROR(__xludf.DUMMYFUNCTION("""COMPUTED_VALUE"""),"S(5) R(3)")</f>
        <v>S(5) R(3)</v>
      </c>
      <c r="BZ326" s="16" t="str">
        <f>IFERROR(__xludf.DUMMYFUNCTION("""COMPUTED_VALUE"""),"S(5) R(3)")</f>
        <v>S(5) R(3)</v>
      </c>
      <c r="CA326" s="16" t="str">
        <f>IFERROR(__xludf.DUMMYFUNCTION("""COMPUTED_VALUE"""),"S(5)")</f>
        <v>S(5)</v>
      </c>
      <c r="CB326" s="16" t="str">
        <f>IFERROR(__xludf.DUMMYFUNCTION("""COMPUTED_VALUE"""),"R(3)")</f>
        <v>R(3)</v>
      </c>
      <c r="CC326" s="16"/>
      <c r="CD326" s="16">
        <f>IFERROR(__xludf.DUMMYFUNCTION("""COMPUTED_VALUE"""),5.0)</f>
        <v>5</v>
      </c>
      <c r="CE326" s="16">
        <f>IFERROR(__xludf.DUMMYFUNCTION("""COMPUTED_VALUE"""),3.0)</f>
        <v>3</v>
      </c>
      <c r="CF326" s="16"/>
      <c r="CG326" s="16" t="str">
        <f>IFERROR(__xludf.DUMMYFUNCTION("""COMPUTED_VALUE"""),"2-0")</f>
        <v>2-0</v>
      </c>
      <c r="CH326" s="16">
        <f>IFERROR(__xludf.DUMMYFUNCTION("""COMPUTED_VALUE"""),2.0)</f>
        <v>2</v>
      </c>
      <c r="CI326" s="16">
        <f>IFERROR(__xludf.DUMMYFUNCTION("""COMPUTED_VALUE"""),0.0)</f>
        <v>0</v>
      </c>
      <c r="CJ326" s="16">
        <f>IFERROR(__xludf.DUMMYFUNCTION("""COMPUTED_VALUE"""),0.0)</f>
        <v>0</v>
      </c>
      <c r="CK326" s="16">
        <f>IFERROR(__xludf.DUMMYFUNCTION("""COMPUTED_VALUE"""),0.0)</f>
        <v>0</v>
      </c>
      <c r="CL326" s="16" t="str">
        <f>IFERROR(__xludf.DUMMYFUNCTION("""COMPUTED_VALUE"""),"1WR-C")</f>
        <v>1WR-C</v>
      </c>
      <c r="CM326" s="16" t="str">
        <f>IFERROR(__xludf.DUMMYFUNCTION("""COMPUTED_VALUE"""),"E")</f>
        <v>E</v>
      </c>
      <c r="CN326" s="16">
        <f>IFERROR(__xludf.DUMMYFUNCTION("""COMPUTED_VALUE"""),10.0)</f>
        <v>10</v>
      </c>
      <c r="CO326" s="16" t="str">
        <f>IFERROR(__xludf.DUMMYFUNCTION("""COMPUTED_VALUE"""),"C")</f>
        <v>C</v>
      </c>
      <c r="CP326" s="16" t="str">
        <f>IFERROR(__xludf.DUMMYFUNCTION("""COMPUTED_VALUE"""),"1p20")</f>
        <v>1p20</v>
      </c>
      <c r="CQ326" s="16">
        <f>IFERROR(__xludf.DUMMYFUNCTION("""COMPUTED_VALUE"""),-28.0)</f>
        <v>-28</v>
      </c>
      <c r="CR326" s="16">
        <f>IFERROR(__xludf.DUMMYFUNCTION("""COMPUTED_VALUE"""),23.0)</f>
        <v>23</v>
      </c>
      <c r="CS326" s="16">
        <f>IFERROR(__xludf.DUMMYFUNCTION("""COMPUTED_VALUE"""),-5.0)</f>
        <v>-5</v>
      </c>
      <c r="CT326" s="16">
        <f>IFERROR(__xludf.DUMMYFUNCTION("""COMPUTED_VALUE"""),-28.0)</f>
        <v>-28</v>
      </c>
      <c r="CU326" s="16">
        <f>IFERROR(__xludf.DUMMYFUNCTION("""COMPUTED_VALUE"""),23.0)</f>
        <v>23</v>
      </c>
      <c r="CV326" s="179">
        <f>IFERROR(__xludf.DUMMYFUNCTION("""COMPUTED_VALUE"""),-4.0)</f>
        <v>-4</v>
      </c>
      <c r="CW326" s="179">
        <f>IFERROR(__xludf.DUMMYFUNCTION("""COMPUTED_VALUE"""),4.0)</f>
        <v>4</v>
      </c>
      <c r="CX326" s="179">
        <f>IFERROR(__xludf.DUMMYFUNCTION("""COMPUTED_VALUE"""),3.0)</f>
        <v>3</v>
      </c>
      <c r="CY326" s="16" t="str">
        <f>IFERROR(__xludf.DUMMYFUNCTION("""COMPUTED_VALUE"""),"SP")</f>
        <v>SP</v>
      </c>
      <c r="CZ326" s="16" t="str">
        <f>IFERROR(__xludf.DUMMYFUNCTION("""COMPUTED_VALUE"""),"RP")</f>
        <v>RP</v>
      </c>
      <c r="DA326" s="16"/>
      <c r="DB326" s="16"/>
      <c r="DC326" s="16"/>
      <c r="DD326" s="16"/>
      <c r="DE326" s="16"/>
      <c r="DF326" s="16"/>
      <c r="DG326" s="16"/>
      <c r="DH326" s="16"/>
      <c r="DI326" s="16"/>
      <c r="DJ326" s="16"/>
      <c r="DK326" s="16"/>
    </row>
    <row r="327">
      <c r="A327" s="16">
        <f>IFERROR(__xludf.DUMMYFUNCTION("""COMPUTED_VALUE"""),13316.0)</f>
        <v>13316</v>
      </c>
      <c r="B327" s="16" t="str">
        <f>IFERROR(__xludf.DUMMYFUNCTION("""COMPUTED_VALUE"""),"Robbie Ray")</f>
        <v>Robbie Ray</v>
      </c>
      <c r="C327" s="153">
        <f>IFERROR(__xludf.DUMMYFUNCTION("""COMPUTED_VALUE"""),0.0)</f>
        <v>0</v>
      </c>
      <c r="D327" s="16"/>
      <c r="E327" s="16" t="str">
        <f>IFERROR(__xludf.DUMMYFUNCTION("""COMPUTED_VALUE"""),"L")</f>
        <v>L</v>
      </c>
      <c r="F327" s="16">
        <f>IFERROR(__xludf.DUMMYFUNCTION("""COMPUTED_VALUE"""),31.0)</f>
        <v>31</v>
      </c>
      <c r="G327" s="16">
        <f>IFERROR(__xludf.DUMMYFUNCTION("""COMPUTED_VALUE"""),47.0)</f>
        <v>47</v>
      </c>
      <c r="H327" s="16">
        <f>IFERROR(__xludf.DUMMYFUNCTION("""COMPUTED_VALUE"""),47.0)</f>
        <v>47</v>
      </c>
      <c r="I327" s="16">
        <f>IFERROR(__xludf.DUMMYFUNCTION("""COMPUTED_VALUE"""),2.0)</f>
        <v>2</v>
      </c>
      <c r="J327" s="16">
        <f>IFERROR(__xludf.DUMMYFUNCTION("""COMPUTED_VALUE"""),2.0)</f>
        <v>2</v>
      </c>
      <c r="K327" s="16">
        <f>IFERROR(__xludf.DUMMYFUNCTION("""COMPUTED_VALUE"""),6.0)</f>
        <v>6</v>
      </c>
      <c r="L327" s="16">
        <f>IFERROR(__xludf.DUMMYFUNCTION("""COMPUTED_VALUE"""),6.0)</f>
        <v>6</v>
      </c>
      <c r="M327" s="16">
        <f>IFERROR(__xludf.DUMMYFUNCTION("""COMPUTED_VALUE"""),19.0)</f>
        <v>19</v>
      </c>
      <c r="N327" s="16">
        <f>IFERROR(__xludf.DUMMYFUNCTION("""COMPUTED_VALUE"""),18.0)</f>
        <v>18</v>
      </c>
      <c r="O327" s="16">
        <f>IFERROR(__xludf.DUMMYFUNCTION("""COMPUTED_VALUE"""),-3.0)</f>
        <v>-3</v>
      </c>
      <c r="P327" s="16">
        <f>IFERROR(__xludf.DUMMYFUNCTION("""COMPUTED_VALUE"""),-3.0)</f>
        <v>-3</v>
      </c>
      <c r="Q327" s="16">
        <f>IFERROR(__xludf.DUMMYFUNCTION("""COMPUTED_VALUE"""),-3.0)</f>
        <v>-3</v>
      </c>
      <c r="R327" s="16">
        <f>IFERROR(__xludf.DUMMYFUNCTION("""COMPUTED_VALUE"""),-3.0)</f>
        <v>-3</v>
      </c>
      <c r="S327" s="16">
        <f>IFERROR(__xludf.DUMMYFUNCTION("""COMPUTED_VALUE"""),4.2)</f>
        <v>4.2</v>
      </c>
      <c r="T327" s="16">
        <f>IFERROR(__xludf.DUMMYFUNCTION("""COMPUTED_VALUE"""),5.0)</f>
        <v>5</v>
      </c>
      <c r="U327" s="16">
        <f>IFERROR(__xludf.DUMMYFUNCTION("""COMPUTED_VALUE"""),2.0)</f>
        <v>2</v>
      </c>
      <c r="V327" s="16">
        <f>IFERROR(__xludf.DUMMYFUNCTION("""COMPUTED_VALUE"""),2.0)</f>
        <v>2</v>
      </c>
      <c r="W327" s="16">
        <f>IFERROR(__xludf.DUMMYFUNCTION("""COMPUTED_VALUE"""),4.0)</f>
        <v>4</v>
      </c>
      <c r="X327" s="16">
        <f>IFERROR(__xludf.DUMMYFUNCTION("""COMPUTED_VALUE"""),4.0)</f>
        <v>4</v>
      </c>
      <c r="Y327" s="16">
        <f>IFERROR(__xludf.DUMMYFUNCTION("""COMPUTED_VALUE"""),23.2)</f>
        <v>23.2</v>
      </c>
      <c r="Z327" s="16">
        <f>IFERROR(__xludf.DUMMYFUNCTION("""COMPUTED_VALUE"""),23.0)</f>
        <v>23</v>
      </c>
      <c r="AA327" s="16">
        <f>IFERROR(__xludf.DUMMYFUNCTION("""COMPUTED_VALUE"""),0.0)</f>
        <v>0</v>
      </c>
      <c r="AB327" s="16">
        <f>IFERROR(__xludf.DUMMYFUNCTION("""COMPUTED_VALUE"""),0.0)</f>
        <v>0</v>
      </c>
      <c r="AC327" s="16">
        <f>IFERROR(__xludf.DUMMYFUNCTION("""COMPUTED_VALUE"""),0.0)</f>
        <v>0</v>
      </c>
      <c r="AD327" s="16">
        <f>IFERROR(__xludf.DUMMYFUNCTION("""COMPUTED_VALUE"""),0.0)</f>
        <v>0</v>
      </c>
      <c r="AE327" s="16">
        <f>IFERROR(__xludf.DUMMYFUNCTION("""COMPUTED_VALUE"""),16.8)</f>
        <v>16.8</v>
      </c>
      <c r="AF327" s="16">
        <f>IFERROR(__xludf.DUMMYFUNCTION("""COMPUTED_VALUE"""),20.0)</f>
        <v>20</v>
      </c>
      <c r="AG327" s="16">
        <f>IFERROR(__xludf.DUMMYFUNCTION("""COMPUTED_VALUE"""),1.0)</f>
        <v>1</v>
      </c>
      <c r="AH327" s="16">
        <f>IFERROR(__xludf.DUMMYFUNCTION("""COMPUTED_VALUE"""),1.0)</f>
        <v>1</v>
      </c>
      <c r="AI327" s="16">
        <f>IFERROR(__xludf.DUMMYFUNCTION("""COMPUTED_VALUE"""),2.0)</f>
        <v>2</v>
      </c>
      <c r="AJ327" s="16">
        <f>IFERROR(__xludf.DUMMYFUNCTION("""COMPUTED_VALUE"""),2.0)</f>
        <v>2</v>
      </c>
      <c r="AK327" s="16">
        <f>IFERROR(__xludf.DUMMYFUNCTION("""COMPUTED_VALUE"""),0.0)</f>
        <v>0</v>
      </c>
      <c r="AL327" s="16">
        <f>IFERROR(__xludf.DUMMYFUNCTION("""COMPUTED_VALUE"""),0.0)</f>
        <v>0</v>
      </c>
      <c r="AM327" s="16">
        <f>IFERROR(__xludf.DUMMYFUNCTION("""COMPUTED_VALUE"""),3.0)</f>
        <v>3</v>
      </c>
      <c r="AN327" s="16">
        <f>IFERROR(__xludf.DUMMYFUNCTION("""COMPUTED_VALUE"""),3.0)</f>
        <v>3</v>
      </c>
      <c r="AO327" s="16">
        <f>IFERROR(__xludf.DUMMYFUNCTION("""COMPUTED_VALUE"""),3.0)</f>
        <v>3</v>
      </c>
      <c r="AP327" s="16">
        <f>IFERROR(__xludf.DUMMYFUNCTION("""COMPUTED_VALUE"""),3.0)</f>
        <v>3</v>
      </c>
      <c r="AQ327" s="16">
        <f>IFERROR(__xludf.DUMMYFUNCTION("""COMPUTED_VALUE"""),0.0)</f>
        <v>0</v>
      </c>
      <c r="AR327" s="16">
        <f>IFERROR(__xludf.DUMMYFUNCTION("""COMPUTED_VALUE"""),0.0)</f>
        <v>0</v>
      </c>
      <c r="AS327" s="16">
        <f>IFERROR(__xludf.DUMMYFUNCTION("""COMPUTED_VALUE"""),3.0)</f>
        <v>3</v>
      </c>
      <c r="AT327" s="16">
        <f>IFERROR(__xludf.DUMMYFUNCTION("""COMPUTED_VALUE"""),3.0)</f>
        <v>3</v>
      </c>
      <c r="AU327" s="16">
        <f>IFERROR(__xludf.DUMMYFUNCTION("""COMPUTED_VALUE"""),6.0)</f>
        <v>6</v>
      </c>
      <c r="AV327" s="16">
        <f>IFERROR(__xludf.DUMMYFUNCTION("""COMPUTED_VALUE"""),6.0)</f>
        <v>6</v>
      </c>
      <c r="AW327" s="16">
        <f>IFERROR(__xludf.DUMMYFUNCTION("""COMPUTED_VALUE"""),4.2)</f>
        <v>4.2</v>
      </c>
      <c r="AX327" s="16">
        <f>IFERROR(__xludf.DUMMYFUNCTION("""COMPUTED_VALUE"""),5.0)</f>
        <v>5</v>
      </c>
      <c r="AY327" s="16">
        <f>IFERROR(__xludf.DUMMYFUNCTION("""COMPUTED_VALUE"""),-2.0)</f>
        <v>-2</v>
      </c>
      <c r="AZ327" s="16">
        <f>IFERROR(__xludf.DUMMYFUNCTION("""COMPUTED_VALUE"""),-3.0)</f>
        <v>-3</v>
      </c>
      <c r="BA327" s="16">
        <f>IFERROR(__xludf.DUMMYFUNCTION("""COMPUTED_VALUE"""),-10.0)</f>
        <v>-10</v>
      </c>
      <c r="BB327" s="16">
        <f>IFERROR(__xludf.DUMMYFUNCTION("""COMPUTED_VALUE"""),-15.0)</f>
        <v>-15</v>
      </c>
      <c r="BC327" s="16"/>
      <c r="BD327" s="16"/>
      <c r="BE327" s="16">
        <f>IFERROR(__xludf.DUMMYFUNCTION("""COMPUTED_VALUE"""),7.0)</f>
        <v>7</v>
      </c>
      <c r="BF327" s="16">
        <f>IFERROR(__xludf.DUMMYFUNCTION("""COMPUTED_VALUE"""),8.0)</f>
        <v>8</v>
      </c>
      <c r="BG327" s="16">
        <f>IFERROR(__xludf.DUMMYFUNCTION("""COMPUTED_VALUE"""),-3.0)</f>
        <v>-3</v>
      </c>
      <c r="BH327" s="16">
        <f>IFERROR(__xludf.DUMMYFUNCTION("""COMPUTED_VALUE"""),-3.0)</f>
        <v>-3</v>
      </c>
      <c r="BI327" s="16">
        <f>IFERROR(__xludf.DUMMYFUNCTION("""COMPUTED_VALUE"""),-6.0)</f>
        <v>-6</v>
      </c>
      <c r="BJ327" s="16">
        <f>IFERROR(__xludf.DUMMYFUNCTION("""COMPUTED_VALUE"""),-6.0)</f>
        <v>-6</v>
      </c>
      <c r="BK327" s="16">
        <f>IFERROR(__xludf.DUMMYFUNCTION("""COMPUTED_VALUE"""),0.0)</f>
        <v>0</v>
      </c>
      <c r="BL327" s="16">
        <f>IFERROR(__xludf.DUMMYFUNCTION("""COMPUTED_VALUE"""),0.0)</f>
        <v>0</v>
      </c>
      <c r="BM327" s="16">
        <f>IFERROR(__xludf.DUMMYFUNCTION("""COMPUTED_VALUE"""),1.0)</f>
        <v>1</v>
      </c>
      <c r="BN327" s="16">
        <f>IFERROR(__xludf.DUMMYFUNCTION("""COMPUTED_VALUE"""),1.0)</f>
        <v>1</v>
      </c>
      <c r="BO327" s="16">
        <f>IFERROR(__xludf.DUMMYFUNCTION("""COMPUTED_VALUE"""),1.0)</f>
        <v>1</v>
      </c>
      <c r="BP327" s="16">
        <f>IFERROR(__xludf.DUMMYFUNCTION("""COMPUTED_VALUE"""),1.0)</f>
        <v>1</v>
      </c>
      <c r="BQ327" s="16">
        <f>IFERROR(__xludf.DUMMYFUNCTION("""COMPUTED_VALUE"""),0.0)</f>
        <v>0</v>
      </c>
      <c r="BR327" s="16">
        <f>IFERROR(__xludf.DUMMYFUNCTION("""COMPUTED_VALUE"""),0.0)</f>
        <v>0</v>
      </c>
      <c r="BS327" s="16">
        <f>IFERROR(__xludf.DUMMYFUNCTION("""COMPUTED_VALUE"""),-3.0)</f>
        <v>-3</v>
      </c>
      <c r="BT327" s="16">
        <f>IFERROR(__xludf.DUMMYFUNCTION("""COMPUTED_VALUE"""),-3.0)</f>
        <v>-3</v>
      </c>
      <c r="BU327" s="16">
        <f>IFERROR(__xludf.DUMMYFUNCTION("""COMPUTED_VALUE"""),-6.0)</f>
        <v>-6</v>
      </c>
      <c r="BV327" s="16">
        <f>IFERROR(__xludf.DUMMYFUNCTION("""COMPUTED_VALUE"""),-6.0)</f>
        <v>-6</v>
      </c>
      <c r="BW327" s="16">
        <f>IFERROR(__xludf.DUMMYFUNCTION("""COMPUTED_VALUE"""),9.0)</f>
        <v>9</v>
      </c>
      <c r="BX327" s="16">
        <f>IFERROR(__xludf.DUMMYFUNCTION("""COMPUTED_VALUE"""),9.0)</f>
        <v>9</v>
      </c>
      <c r="BY327" s="16" t="str">
        <f>IFERROR(__xludf.DUMMYFUNCTION("""COMPUTED_VALUE"""),"S(4)")</f>
        <v>S(4)</v>
      </c>
      <c r="BZ327" s="16" t="str">
        <f>IFERROR(__xludf.DUMMYFUNCTION("""COMPUTED_VALUE"""),"S(4)")</f>
        <v>S(4)</v>
      </c>
      <c r="CA327" s="16" t="str">
        <f>IFERROR(__xludf.DUMMYFUNCTION("""COMPUTED_VALUE"""),"S(4)")</f>
        <v>S(4)</v>
      </c>
      <c r="CB327" s="16"/>
      <c r="CC327" s="16"/>
      <c r="CD327" s="16">
        <f>IFERROR(__xludf.DUMMYFUNCTION("""COMPUTED_VALUE"""),4.0)</f>
        <v>4</v>
      </c>
      <c r="CE327" s="16"/>
      <c r="CF327" s="16"/>
      <c r="CG327" s="16" t="str">
        <f>IFERROR(__xludf.DUMMYFUNCTION("""COMPUTED_VALUE"""),"4-0")</f>
        <v>4-0</v>
      </c>
      <c r="CH327" s="16">
        <f>IFERROR(__xludf.DUMMYFUNCTION("""COMPUTED_VALUE"""),4.0)</f>
        <v>4</v>
      </c>
      <c r="CI327" s="16">
        <f>IFERROR(__xludf.DUMMYFUNCTION("""COMPUTED_VALUE"""),0.0)</f>
        <v>0</v>
      </c>
      <c r="CJ327" s="16">
        <f>IFERROR(__xludf.DUMMYFUNCTION("""COMPUTED_VALUE"""),0.0)</f>
        <v>0</v>
      </c>
      <c r="CK327" s="16">
        <f>IFERROR(__xludf.DUMMYFUNCTION("""COMPUTED_VALUE"""),20.0)</f>
        <v>20</v>
      </c>
      <c r="CL327" s="16" t="str">
        <f>IFERROR(__xludf.DUMMYFUNCTION("""COMPUTED_VALUE"""),"1WL-C")</f>
        <v>1WL-C</v>
      </c>
      <c r="CM327" s="16" t="str">
        <f>IFERROR(__xludf.DUMMYFUNCTION("""COMPUTED_VALUE"""),"E")</f>
        <v>E</v>
      </c>
      <c r="CN327" s="16">
        <f>IFERROR(__xludf.DUMMYFUNCTION("""COMPUTED_VALUE"""),10.0)</f>
        <v>10</v>
      </c>
      <c r="CO327" s="16" t="str">
        <f>IFERROR(__xludf.DUMMYFUNCTION("""COMPUTED_VALUE"""),"C")</f>
        <v>C</v>
      </c>
      <c r="CP327" s="16" t="str">
        <f>IFERROR(__xludf.DUMMYFUNCTION("""COMPUTED_VALUE"""),"6p20")</f>
        <v>6p20</v>
      </c>
      <c r="CQ327" s="16">
        <f>IFERROR(__xludf.DUMMYFUNCTION("""COMPUTED_VALUE"""),-3.0)</f>
        <v>-3</v>
      </c>
      <c r="CR327" s="16">
        <f>IFERROR(__xludf.DUMMYFUNCTION("""COMPUTED_VALUE"""),-8.0)</f>
        <v>-8</v>
      </c>
      <c r="CS327" s="16">
        <f>IFERROR(__xludf.DUMMYFUNCTION("""COMPUTED_VALUE"""),-11.0)</f>
        <v>-11</v>
      </c>
      <c r="CT327" s="16">
        <f>IFERROR(__xludf.DUMMYFUNCTION("""COMPUTED_VALUE"""),-3.0)</f>
        <v>-3</v>
      </c>
      <c r="CU327" s="16">
        <f>IFERROR(__xludf.DUMMYFUNCTION("""COMPUTED_VALUE"""),-8.0)</f>
        <v>-8</v>
      </c>
      <c r="CV327" s="179">
        <f>IFERROR(__xludf.DUMMYFUNCTION("""COMPUTED_VALUE"""),-4.333333333333333)</f>
        <v>-4.333333333</v>
      </c>
      <c r="CW327" s="179">
        <f>IFERROR(__xludf.DUMMYFUNCTION("""COMPUTED_VALUE"""),-1.0)</f>
        <v>-1</v>
      </c>
      <c r="CX327" s="179">
        <f>IFERROR(__xludf.DUMMYFUNCTION("""COMPUTED_VALUE"""),3.0)</f>
        <v>3</v>
      </c>
      <c r="CY327" s="16" t="str">
        <f>IFERROR(__xludf.DUMMYFUNCTION("""COMPUTED_VALUE"""),"SP")</f>
        <v>SP</v>
      </c>
      <c r="CZ327" s="16"/>
      <c r="DA327" s="16"/>
      <c r="DB327" s="16"/>
      <c r="DC327" s="16"/>
      <c r="DD327" s="16"/>
      <c r="DE327" s="16"/>
      <c r="DF327" s="16"/>
      <c r="DG327" s="16"/>
      <c r="DH327" s="16"/>
      <c r="DI327" s="16"/>
      <c r="DJ327" s="16"/>
      <c r="DK327" s="16"/>
    </row>
    <row r="328">
      <c r="A328" s="16">
        <f>IFERROR(__xludf.DUMMYFUNCTION("""COMPUTED_VALUE"""),13030.0)</f>
        <v>13030</v>
      </c>
      <c r="B328" s="16" t="str">
        <f>IFERROR(__xludf.DUMMYFUNCTION("""COMPUTED_VALUE"""),"Jose Urena")</f>
        <v>Jose Urena</v>
      </c>
      <c r="C328" s="153">
        <f>IFERROR(__xludf.DUMMYFUNCTION("""COMPUTED_VALUE"""),0.41)</f>
        <v>0.41</v>
      </c>
      <c r="D328" s="16"/>
      <c r="E328" s="16" t="str">
        <f>IFERROR(__xludf.DUMMYFUNCTION("""COMPUTED_VALUE"""),"R")</f>
        <v>R</v>
      </c>
      <c r="F328" s="16">
        <f>IFERROR(__xludf.DUMMYFUNCTION("""COMPUTED_VALUE"""),109.0)</f>
        <v>109</v>
      </c>
      <c r="G328" s="16">
        <f>IFERROR(__xludf.DUMMYFUNCTION("""COMPUTED_VALUE"""),12.0)</f>
        <v>12</v>
      </c>
      <c r="H328" s="16">
        <f>IFERROR(__xludf.DUMMYFUNCTION("""COMPUTED_VALUE"""),5.0)</f>
        <v>5</v>
      </c>
      <c r="I328" s="16">
        <f>IFERROR(__xludf.DUMMYFUNCTION("""COMPUTED_VALUE"""),-2.0)</f>
        <v>-2</v>
      </c>
      <c r="J328" s="16">
        <f>IFERROR(__xludf.DUMMYFUNCTION("""COMPUTED_VALUE"""),-3.0)</f>
        <v>-3</v>
      </c>
      <c r="K328" s="16">
        <f>IFERROR(__xludf.DUMMYFUNCTION("""COMPUTED_VALUE"""),-6.0)</f>
        <v>-6</v>
      </c>
      <c r="L328" s="16">
        <f>IFERROR(__xludf.DUMMYFUNCTION("""COMPUTED_VALUE"""),-9.0)</f>
        <v>-9</v>
      </c>
      <c r="M328" s="16">
        <f>IFERROR(__xludf.DUMMYFUNCTION("""COMPUTED_VALUE"""),11.0)</f>
        <v>11</v>
      </c>
      <c r="N328" s="16">
        <f>IFERROR(__xludf.DUMMYFUNCTION("""COMPUTED_VALUE"""),8.0)</f>
        <v>8</v>
      </c>
      <c r="O328" s="16">
        <f>IFERROR(__xludf.DUMMYFUNCTION("""COMPUTED_VALUE"""),-1.0)</f>
        <v>-1</v>
      </c>
      <c r="P328" s="16">
        <f>IFERROR(__xludf.DUMMYFUNCTION("""COMPUTED_VALUE"""),0.0)</f>
        <v>0</v>
      </c>
      <c r="Q328" s="16">
        <f>IFERROR(__xludf.DUMMYFUNCTION("""COMPUTED_VALUE"""),-1.0)</f>
        <v>-1</v>
      </c>
      <c r="R328" s="16">
        <f>IFERROR(__xludf.DUMMYFUNCTION("""COMPUTED_VALUE"""),0.0)</f>
        <v>0</v>
      </c>
      <c r="S328" s="16">
        <f>IFERROR(__xludf.DUMMYFUNCTION("""COMPUTED_VALUE"""),15.8)</f>
        <v>15.8</v>
      </c>
      <c r="T328" s="16">
        <f>IFERROR(__xludf.DUMMYFUNCTION("""COMPUTED_VALUE"""),23.0)</f>
        <v>23</v>
      </c>
      <c r="U328" s="16">
        <f>IFERROR(__xludf.DUMMYFUNCTION("""COMPUTED_VALUE"""),0.0)</f>
        <v>0</v>
      </c>
      <c r="V328" s="16">
        <f>IFERROR(__xludf.DUMMYFUNCTION("""COMPUTED_VALUE"""),-1.0)</f>
        <v>-1</v>
      </c>
      <c r="W328" s="16">
        <f>IFERROR(__xludf.DUMMYFUNCTION("""COMPUTED_VALUE"""),0.0)</f>
        <v>0</v>
      </c>
      <c r="X328" s="16">
        <f>IFERROR(__xludf.DUMMYFUNCTION("""COMPUTED_VALUE"""),-2.0)</f>
        <v>-2</v>
      </c>
      <c r="Y328" s="16">
        <f>IFERROR(__xludf.DUMMYFUNCTION("""COMPUTED_VALUE"""),26.8)</f>
        <v>26.8</v>
      </c>
      <c r="Z328" s="16">
        <f>IFERROR(__xludf.DUMMYFUNCTION("""COMPUTED_VALUE"""),31.0)</f>
        <v>31</v>
      </c>
      <c r="AA328" s="16">
        <f>IFERROR(__xludf.DUMMYFUNCTION("""COMPUTED_VALUE"""),0.0)</f>
        <v>0</v>
      </c>
      <c r="AB328" s="16">
        <f>IFERROR(__xludf.DUMMYFUNCTION("""COMPUTED_VALUE"""),-1.0)</f>
        <v>-1</v>
      </c>
      <c r="AC328" s="16">
        <f>IFERROR(__xludf.DUMMYFUNCTION("""COMPUTED_VALUE"""),0.0)</f>
        <v>0</v>
      </c>
      <c r="AD328" s="16">
        <f>IFERROR(__xludf.DUMMYFUNCTION("""COMPUTED_VALUE"""),-5.0)</f>
        <v>-5</v>
      </c>
      <c r="AE328" s="16">
        <f>IFERROR(__xludf.DUMMYFUNCTION("""COMPUTED_VALUE"""),25.7)</f>
        <v>25.7</v>
      </c>
      <c r="AF328" s="16">
        <f>IFERROR(__xludf.DUMMYFUNCTION("""COMPUTED_VALUE"""),34.2)</f>
        <v>34.2</v>
      </c>
      <c r="AG328" s="16">
        <f>IFERROR(__xludf.DUMMYFUNCTION("""COMPUTED_VALUE"""),0.0)</f>
        <v>0</v>
      </c>
      <c r="AH328" s="16">
        <f>IFERROR(__xludf.DUMMYFUNCTION("""COMPUTED_VALUE"""),-1.0)</f>
        <v>-1</v>
      </c>
      <c r="AI328" s="16">
        <f>IFERROR(__xludf.DUMMYFUNCTION("""COMPUTED_VALUE"""),0.0)</f>
        <v>0</v>
      </c>
      <c r="AJ328" s="16">
        <f>IFERROR(__xludf.DUMMYFUNCTION("""COMPUTED_VALUE"""),-2.0)</f>
        <v>-2</v>
      </c>
      <c r="AK328" s="16">
        <f>IFERROR(__xludf.DUMMYFUNCTION("""COMPUTED_VALUE"""),14.0)</f>
        <v>14</v>
      </c>
      <c r="AL328" s="16">
        <f>IFERROR(__xludf.DUMMYFUNCTION("""COMPUTED_VALUE"""),21.2)</f>
        <v>21.2</v>
      </c>
      <c r="AM328" s="16">
        <f>IFERROR(__xludf.DUMMYFUNCTION("""COMPUTED_VALUE"""),0.0)</f>
        <v>0</v>
      </c>
      <c r="AN328" s="16">
        <f>IFERROR(__xludf.DUMMYFUNCTION("""COMPUTED_VALUE"""),-1.0)</f>
        <v>-1</v>
      </c>
      <c r="AO328" s="16">
        <f>IFERROR(__xludf.DUMMYFUNCTION("""COMPUTED_VALUE"""),0.0)</f>
        <v>0</v>
      </c>
      <c r="AP328" s="16">
        <f>IFERROR(__xludf.DUMMYFUNCTION("""COMPUTED_VALUE"""),-1.0)</f>
        <v>-1</v>
      </c>
      <c r="AQ328" s="16">
        <f>IFERROR(__xludf.DUMMYFUNCTION("""COMPUTED_VALUE"""),18.5)</f>
        <v>18.5</v>
      </c>
      <c r="AR328" s="16">
        <f>IFERROR(__xludf.DUMMYFUNCTION("""COMPUTED_VALUE"""),27.000000000000004)</f>
        <v>27</v>
      </c>
      <c r="AS328" s="16">
        <f>IFERROR(__xludf.DUMMYFUNCTION("""COMPUTED_VALUE"""),0.0)</f>
        <v>0</v>
      </c>
      <c r="AT328" s="16">
        <f>IFERROR(__xludf.DUMMYFUNCTION("""COMPUTED_VALUE"""),-1.0)</f>
        <v>-1</v>
      </c>
      <c r="AU328" s="16">
        <f>IFERROR(__xludf.DUMMYFUNCTION("""COMPUTED_VALUE"""),0.0)</f>
        <v>0</v>
      </c>
      <c r="AV328" s="16">
        <f>IFERROR(__xludf.DUMMYFUNCTION("""COMPUTED_VALUE"""),-2.0)</f>
        <v>-2</v>
      </c>
      <c r="AW328" s="16">
        <f>IFERROR(__xludf.DUMMYFUNCTION("""COMPUTED_VALUE"""),1.8)</f>
        <v>1.8</v>
      </c>
      <c r="AX328" s="16">
        <f>IFERROR(__xludf.DUMMYFUNCTION("""COMPUTED_VALUE"""),1.8)</f>
        <v>1.8</v>
      </c>
      <c r="AY328" s="16">
        <f>IFERROR(__xludf.DUMMYFUNCTION("""COMPUTED_VALUE"""),0.0)</f>
        <v>0</v>
      </c>
      <c r="AZ328" s="16">
        <f>IFERROR(__xludf.DUMMYFUNCTION("""COMPUTED_VALUE"""),0.0)</f>
        <v>0</v>
      </c>
      <c r="BA328" s="16">
        <f>IFERROR(__xludf.DUMMYFUNCTION("""COMPUTED_VALUE"""),0.0)</f>
        <v>0</v>
      </c>
      <c r="BB328" s="16">
        <f>IFERROR(__xludf.DUMMYFUNCTION("""COMPUTED_VALUE"""),0.0)</f>
        <v>0</v>
      </c>
      <c r="BC328" s="16">
        <f>IFERROR(__xludf.DUMMYFUNCTION("""COMPUTED_VALUE"""),2.0)</f>
        <v>2</v>
      </c>
      <c r="BD328" s="16">
        <f>IFERROR(__xludf.DUMMYFUNCTION("""COMPUTED_VALUE"""),2.0)</f>
        <v>2</v>
      </c>
      <c r="BE328" s="16">
        <f>IFERROR(__xludf.DUMMYFUNCTION("""COMPUTED_VALUE"""),2.0)</f>
        <v>2</v>
      </c>
      <c r="BF328" s="16">
        <f>IFERROR(__xludf.DUMMYFUNCTION("""COMPUTED_VALUE"""),2.0)</f>
        <v>2</v>
      </c>
      <c r="BG328" s="16">
        <f>IFERROR(__xludf.DUMMYFUNCTION("""COMPUTED_VALUE"""),1.0)</f>
        <v>1</v>
      </c>
      <c r="BH328" s="16">
        <f>IFERROR(__xludf.DUMMYFUNCTION("""COMPUTED_VALUE"""),1.0)</f>
        <v>1</v>
      </c>
      <c r="BI328" s="16">
        <f>IFERROR(__xludf.DUMMYFUNCTION("""COMPUTED_VALUE"""),2.0)</f>
        <v>2</v>
      </c>
      <c r="BJ328" s="16">
        <f>IFERROR(__xludf.DUMMYFUNCTION("""COMPUTED_VALUE"""),2.0)</f>
        <v>2</v>
      </c>
      <c r="BK328" s="16">
        <f>IFERROR(__xludf.DUMMYFUNCTION("""COMPUTED_VALUE"""),5.0)</f>
        <v>5</v>
      </c>
      <c r="BL328" s="16">
        <f>IFERROR(__xludf.DUMMYFUNCTION("""COMPUTED_VALUE"""),5.0)</f>
        <v>5</v>
      </c>
      <c r="BM328" s="16">
        <f>IFERROR(__xludf.DUMMYFUNCTION("""COMPUTED_VALUE"""),0.0)</f>
        <v>0</v>
      </c>
      <c r="BN328" s="16">
        <f>IFERROR(__xludf.DUMMYFUNCTION("""COMPUTED_VALUE"""),0.0)</f>
        <v>0</v>
      </c>
      <c r="BO328" s="16">
        <f>IFERROR(__xludf.DUMMYFUNCTION("""COMPUTED_VALUE"""),0.0)</f>
        <v>0</v>
      </c>
      <c r="BP328" s="16">
        <f>IFERROR(__xludf.DUMMYFUNCTION("""COMPUTED_VALUE"""),0.0)</f>
        <v>0</v>
      </c>
      <c r="BQ328" s="16">
        <f>IFERROR(__xludf.DUMMYFUNCTION("""COMPUTED_VALUE"""),9.0)</f>
        <v>9</v>
      </c>
      <c r="BR328" s="16">
        <f>IFERROR(__xludf.DUMMYFUNCTION("""COMPUTED_VALUE"""),9.0)</f>
        <v>9</v>
      </c>
      <c r="BS328" s="16">
        <f>IFERROR(__xludf.DUMMYFUNCTION("""COMPUTED_VALUE"""),3.0)</f>
        <v>3</v>
      </c>
      <c r="BT328" s="16">
        <f>IFERROR(__xludf.DUMMYFUNCTION("""COMPUTED_VALUE"""),3.0)</f>
        <v>3</v>
      </c>
      <c r="BU328" s="16">
        <f>IFERROR(__xludf.DUMMYFUNCTION("""COMPUTED_VALUE"""),6.0)</f>
        <v>6</v>
      </c>
      <c r="BV328" s="16">
        <f>IFERROR(__xludf.DUMMYFUNCTION("""COMPUTED_VALUE"""),6.0)</f>
        <v>6</v>
      </c>
      <c r="BW328" s="16">
        <f>IFERROR(__xludf.DUMMYFUNCTION("""COMPUTED_VALUE"""),0.0)</f>
        <v>0</v>
      </c>
      <c r="BX328" s="16">
        <f>IFERROR(__xludf.DUMMYFUNCTION("""COMPUTED_VALUE"""),0.0)</f>
        <v>0</v>
      </c>
      <c r="BY328" s="16" t="str">
        <f>IFERROR(__xludf.DUMMYFUNCTION("""COMPUTED_VALUE"""),"S(5) R(4) C(0)")</f>
        <v>S(5) R(4) C(0)</v>
      </c>
      <c r="BZ328" s="16" t="str">
        <f>IFERROR(__xludf.DUMMYFUNCTION("""COMPUTED_VALUE"""),"S(5) R(4) C(0)")</f>
        <v>S(5) R(4) C(0)</v>
      </c>
      <c r="CA328" s="16" t="str">
        <f>IFERROR(__xludf.DUMMYFUNCTION("""COMPUTED_VALUE"""),"S(5)")</f>
        <v>S(5)</v>
      </c>
      <c r="CB328" s="16" t="str">
        <f>IFERROR(__xludf.DUMMYFUNCTION("""COMPUTED_VALUE"""),"R(4)")</f>
        <v>R(4)</v>
      </c>
      <c r="CC328" s="16" t="str">
        <f>IFERROR(__xludf.DUMMYFUNCTION("""COMPUTED_VALUE"""),"C(0)")</f>
        <v>C(0)</v>
      </c>
      <c r="CD328" s="16">
        <f>IFERROR(__xludf.DUMMYFUNCTION("""COMPUTED_VALUE"""),5.0)</f>
        <v>5</v>
      </c>
      <c r="CE328" s="16">
        <f>IFERROR(__xludf.DUMMYFUNCTION("""COMPUTED_VALUE"""),4.0)</f>
        <v>4</v>
      </c>
      <c r="CF328" s="16">
        <f>IFERROR(__xludf.DUMMYFUNCTION("""COMPUTED_VALUE"""),0.0)</f>
        <v>0</v>
      </c>
      <c r="CG328" s="16" t="str">
        <f>IFERROR(__xludf.DUMMYFUNCTION("""COMPUTED_VALUE"""),"3-13")</f>
        <v>3-13</v>
      </c>
      <c r="CH328" s="16">
        <f>IFERROR(__xludf.DUMMYFUNCTION("""COMPUTED_VALUE"""),3.0)</f>
        <v>3</v>
      </c>
      <c r="CI328" s="16">
        <f>IFERROR(__xludf.DUMMYFUNCTION("""COMPUTED_VALUE"""),13.0)</f>
        <v>13</v>
      </c>
      <c r="CJ328" s="16">
        <f>IFERROR(__xludf.DUMMYFUNCTION("""COMPUTED_VALUE"""),0.0)</f>
        <v>0</v>
      </c>
      <c r="CK328" s="16">
        <f>IFERROR(__xludf.DUMMYFUNCTION("""COMPUTED_VALUE"""),5.0)</f>
        <v>5</v>
      </c>
      <c r="CL328" s="16" t="str">
        <f>IFERROR(__xludf.DUMMYFUNCTION("""COMPUTED_VALUE"""),"1WR-C")</f>
        <v>1WR-C</v>
      </c>
      <c r="CM328" s="16" t="str">
        <f>IFERROR(__xludf.DUMMYFUNCTION("""COMPUTED_VALUE"""),"E")</f>
        <v>E</v>
      </c>
      <c r="CN328" s="16">
        <f>IFERROR(__xludf.DUMMYFUNCTION("""COMPUTED_VALUE"""),10.0)</f>
        <v>10</v>
      </c>
      <c r="CO328" s="16" t="str">
        <f>IFERROR(__xludf.DUMMYFUNCTION("""COMPUTED_VALUE"""),"C")</f>
        <v>C</v>
      </c>
      <c r="CP328" s="16" t="str">
        <f>IFERROR(__xludf.DUMMYFUNCTION("""COMPUTED_VALUE"""),"2p60")</f>
        <v>2p60</v>
      </c>
      <c r="CQ328" s="16">
        <f>IFERROR(__xludf.DUMMYFUNCTION("""COMPUTED_VALUE"""),1.0)</f>
        <v>1</v>
      </c>
      <c r="CR328" s="16">
        <f>IFERROR(__xludf.DUMMYFUNCTION("""COMPUTED_VALUE"""),-13.0)</f>
        <v>-13</v>
      </c>
      <c r="CS328" s="16">
        <f>IFERROR(__xludf.DUMMYFUNCTION("""COMPUTED_VALUE"""),-12.0)</f>
        <v>-12</v>
      </c>
      <c r="CT328" s="16">
        <f>IFERROR(__xludf.DUMMYFUNCTION("""COMPUTED_VALUE"""),1.0)</f>
        <v>1</v>
      </c>
      <c r="CU328" s="16">
        <f>IFERROR(__xludf.DUMMYFUNCTION("""COMPUTED_VALUE"""),-13.0)</f>
        <v>-13</v>
      </c>
      <c r="CV328" s="179">
        <f>IFERROR(__xludf.DUMMYFUNCTION("""COMPUTED_VALUE"""),-4.333333333333334)</f>
        <v>-4.333333333</v>
      </c>
      <c r="CW328" s="179">
        <f>IFERROR(__xludf.DUMMYFUNCTION("""COMPUTED_VALUE"""),3.0)</f>
        <v>3</v>
      </c>
      <c r="CX328" s="179">
        <f>IFERROR(__xludf.DUMMYFUNCTION("""COMPUTED_VALUE"""),1.0)</f>
        <v>1</v>
      </c>
      <c r="CY328" s="16" t="str">
        <f>IFERROR(__xludf.DUMMYFUNCTION("""COMPUTED_VALUE"""),"SP")</f>
        <v>SP</v>
      </c>
      <c r="CZ328" s="16" t="str">
        <f>IFERROR(__xludf.DUMMYFUNCTION("""COMPUTED_VALUE"""),"RP")</f>
        <v>RP</v>
      </c>
      <c r="DA328" s="16" t="str">
        <f>IFERROR(__xludf.DUMMYFUNCTION("""COMPUTED_VALUE"""),"CP")</f>
        <v>CP</v>
      </c>
      <c r="DB328" s="16"/>
      <c r="DC328" s="16"/>
      <c r="DD328" s="16"/>
      <c r="DE328" s="16"/>
      <c r="DF328" s="16"/>
      <c r="DG328" s="16"/>
      <c r="DH328" s="16"/>
      <c r="DI328" s="16"/>
      <c r="DJ328" s="16"/>
      <c r="DK328" s="16"/>
    </row>
    <row r="329">
      <c r="A329" s="16">
        <f>IFERROR(__xludf.DUMMYFUNCTION("""COMPUTED_VALUE"""),12861.0)</f>
        <v>12861</v>
      </c>
      <c r="B329" s="16" t="str">
        <f>IFERROR(__xludf.DUMMYFUNCTION("""COMPUTED_VALUE"""),"Gus Varland")</f>
        <v>Gus Varland</v>
      </c>
      <c r="C329" s="153">
        <f>IFERROR(__xludf.DUMMYFUNCTION("""COMPUTED_VALUE"""),0.44)</f>
        <v>0.44</v>
      </c>
      <c r="D329" s="16"/>
      <c r="E329" s="16" t="str">
        <f>IFERROR(__xludf.DUMMYFUNCTION("""COMPUTED_VALUE"""),"R")</f>
        <v>R</v>
      </c>
      <c r="F329" s="16">
        <f>IFERROR(__xludf.DUMMYFUNCTION("""COMPUTED_VALUE"""),26.0)</f>
        <v>26</v>
      </c>
      <c r="G329" s="16">
        <f>IFERROR(__xludf.DUMMYFUNCTION("""COMPUTED_VALUE"""),21.0)</f>
        <v>21</v>
      </c>
      <c r="H329" s="16">
        <f>IFERROR(__xludf.DUMMYFUNCTION("""COMPUTED_VALUE"""),30.0)</f>
        <v>30</v>
      </c>
      <c r="I329" s="16">
        <f>IFERROR(__xludf.DUMMYFUNCTION("""COMPUTED_VALUE"""),-1.0)</f>
        <v>-1</v>
      </c>
      <c r="J329" s="16">
        <f>IFERROR(__xludf.DUMMYFUNCTION("""COMPUTED_VALUE"""),0.0)</f>
        <v>0</v>
      </c>
      <c r="K329" s="16">
        <f>IFERROR(__xludf.DUMMYFUNCTION("""COMPUTED_VALUE"""),-3.0)</f>
        <v>-3</v>
      </c>
      <c r="L329" s="16">
        <f>IFERROR(__xludf.DUMMYFUNCTION("""COMPUTED_VALUE"""),0.0)</f>
        <v>0</v>
      </c>
      <c r="M329" s="16">
        <f>IFERROR(__xludf.DUMMYFUNCTION("""COMPUTED_VALUE"""),5.0)</f>
        <v>5</v>
      </c>
      <c r="N329" s="16">
        <f>IFERROR(__xludf.DUMMYFUNCTION("""COMPUTED_VALUE"""),5.0)</f>
        <v>5</v>
      </c>
      <c r="O329" s="16">
        <f>IFERROR(__xludf.DUMMYFUNCTION("""COMPUTED_VALUE"""),2.0)</f>
        <v>2</v>
      </c>
      <c r="P329" s="16">
        <f>IFERROR(__xludf.DUMMYFUNCTION("""COMPUTED_VALUE"""),2.0)</f>
        <v>2</v>
      </c>
      <c r="Q329" s="16">
        <f>IFERROR(__xludf.DUMMYFUNCTION("""COMPUTED_VALUE"""),2.0)</f>
        <v>2</v>
      </c>
      <c r="R329" s="16">
        <f>IFERROR(__xludf.DUMMYFUNCTION("""COMPUTED_VALUE"""),2.0)</f>
        <v>2</v>
      </c>
      <c r="S329" s="16">
        <f>IFERROR(__xludf.DUMMYFUNCTION("""COMPUTED_VALUE"""),20.4)</f>
        <v>20.4</v>
      </c>
      <c r="T329" s="16">
        <f>IFERROR(__xludf.DUMMYFUNCTION("""COMPUTED_VALUE"""),27.4)</f>
        <v>27.4</v>
      </c>
      <c r="U329" s="16">
        <f>IFERROR(__xludf.DUMMYFUNCTION("""COMPUTED_VALUE"""),-1.0)</f>
        <v>-1</v>
      </c>
      <c r="V329" s="16">
        <f>IFERROR(__xludf.DUMMYFUNCTION("""COMPUTED_VALUE"""),-2.0)</f>
        <v>-2</v>
      </c>
      <c r="W329" s="16">
        <f>IFERROR(__xludf.DUMMYFUNCTION("""COMPUTED_VALUE"""),-2.0)</f>
        <v>-2</v>
      </c>
      <c r="X329" s="16">
        <f>IFERROR(__xludf.DUMMYFUNCTION("""COMPUTED_VALUE"""),-4.0)</f>
        <v>-4</v>
      </c>
      <c r="Y329" s="16">
        <f>IFERROR(__xludf.DUMMYFUNCTION("""COMPUTED_VALUE"""),25.4)</f>
        <v>25.4</v>
      </c>
      <c r="Z329" s="16">
        <f>IFERROR(__xludf.DUMMYFUNCTION("""COMPUTED_VALUE"""),32.4)</f>
        <v>32.4</v>
      </c>
      <c r="AA329" s="16">
        <f>IFERROR(__xludf.DUMMYFUNCTION("""COMPUTED_VALUE"""),0.0)</f>
        <v>0</v>
      </c>
      <c r="AB329" s="16">
        <f>IFERROR(__xludf.DUMMYFUNCTION("""COMPUTED_VALUE"""),-1.0)</f>
        <v>-1</v>
      </c>
      <c r="AC329" s="16">
        <f>IFERROR(__xludf.DUMMYFUNCTION("""COMPUTED_VALUE"""),0.0)</f>
        <v>0</v>
      </c>
      <c r="AD329" s="16">
        <f>IFERROR(__xludf.DUMMYFUNCTION("""COMPUTED_VALUE"""),-5.0)</f>
        <v>-5</v>
      </c>
      <c r="AE329" s="16">
        <f>IFERROR(__xludf.DUMMYFUNCTION("""COMPUTED_VALUE"""),35.7)</f>
        <v>35.7</v>
      </c>
      <c r="AF329" s="16">
        <f>IFERROR(__xludf.DUMMYFUNCTION("""COMPUTED_VALUE"""),37.4)</f>
        <v>37.4</v>
      </c>
      <c r="AG329" s="16">
        <f>IFERROR(__xludf.DUMMYFUNCTION("""COMPUTED_VALUE"""),-1.0)</f>
        <v>-1</v>
      </c>
      <c r="AH329" s="16">
        <f>IFERROR(__xludf.DUMMYFUNCTION("""COMPUTED_VALUE"""),-1.0)</f>
        <v>-1</v>
      </c>
      <c r="AI329" s="16">
        <f>IFERROR(__xludf.DUMMYFUNCTION("""COMPUTED_VALUE"""),-2.0)</f>
        <v>-2</v>
      </c>
      <c r="AJ329" s="16">
        <f>IFERROR(__xludf.DUMMYFUNCTION("""COMPUTED_VALUE"""),-2.0)</f>
        <v>-2</v>
      </c>
      <c r="AK329" s="16">
        <f>IFERROR(__xludf.DUMMYFUNCTION("""COMPUTED_VALUE"""),20.4)</f>
        <v>20.4</v>
      </c>
      <c r="AL329" s="16">
        <f>IFERROR(__xludf.DUMMYFUNCTION("""COMPUTED_VALUE"""),25.4)</f>
        <v>25.4</v>
      </c>
      <c r="AM329" s="16">
        <f>IFERROR(__xludf.DUMMYFUNCTION("""COMPUTED_VALUE"""),-1.0)</f>
        <v>-1</v>
      </c>
      <c r="AN329" s="16">
        <f>IFERROR(__xludf.DUMMYFUNCTION("""COMPUTED_VALUE"""),-2.0)</f>
        <v>-2</v>
      </c>
      <c r="AO329" s="16">
        <f>IFERROR(__xludf.DUMMYFUNCTION("""COMPUTED_VALUE"""),-1.0)</f>
        <v>-1</v>
      </c>
      <c r="AP329" s="16">
        <f>IFERROR(__xludf.DUMMYFUNCTION("""COMPUTED_VALUE"""),-2.0)</f>
        <v>-2</v>
      </c>
      <c r="AQ329" s="16">
        <f>IFERROR(__xludf.DUMMYFUNCTION("""COMPUTED_VALUE"""),35.7)</f>
        <v>35.7</v>
      </c>
      <c r="AR329" s="16">
        <f>IFERROR(__xludf.DUMMYFUNCTION("""COMPUTED_VALUE"""),29.4)</f>
        <v>29.4</v>
      </c>
      <c r="AS329" s="16">
        <f>IFERROR(__xludf.DUMMYFUNCTION("""COMPUTED_VALUE"""),-2.0)</f>
        <v>-2</v>
      </c>
      <c r="AT329" s="16">
        <f>IFERROR(__xludf.DUMMYFUNCTION("""COMPUTED_VALUE"""),-1.0)</f>
        <v>-1</v>
      </c>
      <c r="AU329" s="16">
        <f>IFERROR(__xludf.DUMMYFUNCTION("""COMPUTED_VALUE"""),-4.0)</f>
        <v>-4</v>
      </c>
      <c r="AV329" s="16">
        <f>IFERROR(__xludf.DUMMYFUNCTION("""COMPUTED_VALUE"""),-2.0)</f>
        <v>-2</v>
      </c>
      <c r="AW329" s="16">
        <f>IFERROR(__xludf.DUMMYFUNCTION("""COMPUTED_VALUE"""),0.0)</f>
        <v>0</v>
      </c>
      <c r="AX329" s="16">
        <f>IFERROR(__xludf.DUMMYFUNCTION("""COMPUTED_VALUE"""),2.0)</f>
        <v>2</v>
      </c>
      <c r="AY329" s="16">
        <f>IFERROR(__xludf.DUMMYFUNCTION("""COMPUTED_VALUE"""),2.0)</f>
        <v>2</v>
      </c>
      <c r="AZ329" s="16">
        <f>IFERROR(__xludf.DUMMYFUNCTION("""COMPUTED_VALUE"""),0.0)</f>
        <v>0</v>
      </c>
      <c r="BA329" s="16">
        <f>IFERROR(__xludf.DUMMYFUNCTION("""COMPUTED_VALUE"""),10.0)</f>
        <v>10</v>
      </c>
      <c r="BB329" s="16">
        <f>IFERROR(__xludf.DUMMYFUNCTION("""COMPUTED_VALUE"""),0.0)</f>
        <v>0</v>
      </c>
      <c r="BC329" s="16">
        <f>IFERROR(__xludf.DUMMYFUNCTION("""COMPUTED_VALUE"""),0.0)</f>
        <v>0</v>
      </c>
      <c r="BD329" s="16">
        <f>IFERROR(__xludf.DUMMYFUNCTION("""COMPUTED_VALUE"""),2.0)</f>
        <v>2</v>
      </c>
      <c r="BE329" s="16">
        <f>IFERROR(__xludf.DUMMYFUNCTION("""COMPUTED_VALUE"""),0.0)</f>
        <v>0</v>
      </c>
      <c r="BF329" s="16">
        <f>IFERROR(__xludf.DUMMYFUNCTION("""COMPUTED_VALUE"""),2.0)</f>
        <v>2</v>
      </c>
      <c r="BG329" s="16">
        <f>IFERROR(__xludf.DUMMYFUNCTION("""COMPUTED_VALUE"""),3.0)</f>
        <v>3</v>
      </c>
      <c r="BH329" s="16">
        <f>IFERROR(__xludf.DUMMYFUNCTION("""COMPUTED_VALUE"""),1.0)</f>
        <v>1</v>
      </c>
      <c r="BI329" s="16">
        <f>IFERROR(__xludf.DUMMYFUNCTION("""COMPUTED_VALUE"""),6.0)</f>
        <v>6</v>
      </c>
      <c r="BJ329" s="16">
        <f>IFERROR(__xludf.DUMMYFUNCTION("""COMPUTED_VALUE"""),2.0)</f>
        <v>2</v>
      </c>
      <c r="BK329" s="16">
        <f>IFERROR(__xludf.DUMMYFUNCTION("""COMPUTED_VALUE"""),5.0)</f>
        <v>5</v>
      </c>
      <c r="BL329" s="16">
        <f>IFERROR(__xludf.DUMMYFUNCTION("""COMPUTED_VALUE"""),5.0)</f>
        <v>5</v>
      </c>
      <c r="BM329" s="16">
        <f>IFERROR(__xludf.DUMMYFUNCTION("""COMPUTED_VALUE"""),0.0)</f>
        <v>0</v>
      </c>
      <c r="BN329" s="16">
        <f>IFERROR(__xludf.DUMMYFUNCTION("""COMPUTED_VALUE"""),0.0)</f>
        <v>0</v>
      </c>
      <c r="BO329" s="16">
        <f>IFERROR(__xludf.DUMMYFUNCTION("""COMPUTED_VALUE"""),0.0)</f>
        <v>0</v>
      </c>
      <c r="BP329" s="16">
        <f>IFERROR(__xludf.DUMMYFUNCTION("""COMPUTED_VALUE"""),0.0)</f>
        <v>0</v>
      </c>
      <c r="BQ329" s="16">
        <f>IFERROR(__xludf.DUMMYFUNCTION("""COMPUTED_VALUE"""),2.0)</f>
        <v>2</v>
      </c>
      <c r="BR329" s="16">
        <f>IFERROR(__xludf.DUMMYFUNCTION("""COMPUTED_VALUE"""),0.0)</f>
        <v>0</v>
      </c>
      <c r="BS329" s="16">
        <f>IFERROR(__xludf.DUMMYFUNCTION("""COMPUTED_VALUE"""),-2.0)</f>
        <v>-2</v>
      </c>
      <c r="BT329" s="16">
        <f>IFERROR(__xludf.DUMMYFUNCTION("""COMPUTED_VALUE"""),-3.0)</f>
        <v>-3</v>
      </c>
      <c r="BU329" s="16">
        <f>IFERROR(__xludf.DUMMYFUNCTION("""COMPUTED_VALUE"""),-4.0)</f>
        <v>-4</v>
      </c>
      <c r="BV329" s="16">
        <f>IFERROR(__xludf.DUMMYFUNCTION("""COMPUTED_VALUE"""),-6.0)</f>
        <v>-6</v>
      </c>
      <c r="BW329" s="16">
        <f>IFERROR(__xludf.DUMMYFUNCTION("""COMPUTED_VALUE"""),5.0)</f>
        <v>5</v>
      </c>
      <c r="BX329" s="16">
        <f>IFERROR(__xludf.DUMMYFUNCTION("""COMPUTED_VALUE"""),5.0)</f>
        <v>5</v>
      </c>
      <c r="BY329" s="16" t="str">
        <f>IFERROR(__xludf.DUMMYFUNCTION("""COMPUTED_VALUE"""),"R(1)")</f>
        <v>R(1)</v>
      </c>
      <c r="BZ329" s="16" t="str">
        <f>IFERROR(__xludf.DUMMYFUNCTION("""COMPUTED_VALUE"""),"R(1)")</f>
        <v>R(1)</v>
      </c>
      <c r="CA329" s="16" t="str">
        <f>IFERROR(__xludf.DUMMYFUNCTION("""COMPUTED_VALUE"""),"R(1)")</f>
        <v>R(1)</v>
      </c>
      <c r="CB329" s="16"/>
      <c r="CC329" s="16"/>
      <c r="CD329" s="16"/>
      <c r="CE329" s="16">
        <f>IFERROR(__xludf.DUMMYFUNCTION("""COMPUTED_VALUE"""),1.0)</f>
        <v>1</v>
      </c>
      <c r="CF329" s="16"/>
      <c r="CG329" s="16" t="str">
        <f>IFERROR(__xludf.DUMMYFUNCTION("""COMPUTED_VALUE"""),"2-51")</f>
        <v>2-51</v>
      </c>
      <c r="CH329" s="16">
        <f>IFERROR(__xludf.DUMMYFUNCTION("""COMPUTED_VALUE"""),2.0)</f>
        <v>2</v>
      </c>
      <c r="CI329" s="16">
        <f>IFERROR(__xludf.DUMMYFUNCTION("""COMPUTED_VALUE"""),51.0)</f>
        <v>51</v>
      </c>
      <c r="CJ329" s="16">
        <f>IFERROR(__xludf.DUMMYFUNCTION("""COMPUTED_VALUE"""),0.0)</f>
        <v>0</v>
      </c>
      <c r="CK329" s="16">
        <f>IFERROR(__xludf.DUMMYFUNCTION("""COMPUTED_VALUE"""),16.0)</f>
        <v>16</v>
      </c>
      <c r="CL329" s="16" t="str">
        <f>IFERROR(__xludf.DUMMYFUNCTION("""COMPUTED_VALUE"""),"1WL-C")</f>
        <v>1WL-C</v>
      </c>
      <c r="CM329" s="16" t="str">
        <f>IFERROR(__xludf.DUMMYFUNCTION("""COMPUTED_VALUE"""),"E")</f>
        <v>E</v>
      </c>
      <c r="CN329" s="16">
        <f>IFERROR(__xludf.DUMMYFUNCTION("""COMPUTED_VALUE"""),10.0)</f>
        <v>10</v>
      </c>
      <c r="CO329" s="16" t="str">
        <f>IFERROR(__xludf.DUMMYFUNCTION("""COMPUTED_VALUE"""),"C")</f>
        <v>C</v>
      </c>
      <c r="CP329" s="16" t="str">
        <f>IFERROR(__xludf.DUMMYFUNCTION("""COMPUTED_VALUE"""),"1p30")</f>
        <v>1p30</v>
      </c>
      <c r="CQ329" s="16">
        <f>IFERROR(__xludf.DUMMYFUNCTION("""COMPUTED_VALUE"""),2.0)</f>
        <v>2</v>
      </c>
      <c r="CR329" s="16">
        <f>IFERROR(__xludf.DUMMYFUNCTION("""COMPUTED_VALUE"""),-17.0)</f>
        <v>-17</v>
      </c>
      <c r="CS329" s="16">
        <f>IFERROR(__xludf.DUMMYFUNCTION("""COMPUTED_VALUE"""),-15.0)</f>
        <v>-15</v>
      </c>
      <c r="CT329" s="16">
        <f>IFERROR(__xludf.DUMMYFUNCTION("""COMPUTED_VALUE"""),2.0)</f>
        <v>2</v>
      </c>
      <c r="CU329" s="16">
        <f>IFERROR(__xludf.DUMMYFUNCTION("""COMPUTED_VALUE"""),-17.0)</f>
        <v>-17</v>
      </c>
      <c r="CV329" s="179">
        <f>IFERROR(__xludf.DUMMYFUNCTION("""COMPUTED_VALUE"""),-4.666666666666666)</f>
        <v>-4.666666667</v>
      </c>
      <c r="CW329" s="179">
        <f>IFERROR(__xludf.DUMMYFUNCTION("""COMPUTED_VALUE"""),4.0)</f>
        <v>4</v>
      </c>
      <c r="CX329" s="179">
        <f>IFERROR(__xludf.DUMMYFUNCTION("""COMPUTED_VALUE"""),2.0)</f>
        <v>2</v>
      </c>
      <c r="CY329" s="16" t="str">
        <f>IFERROR(__xludf.DUMMYFUNCTION("""COMPUTED_VALUE"""),"RP")</f>
        <v>RP</v>
      </c>
      <c r="CZ329" s="16"/>
      <c r="DA329" s="16"/>
      <c r="DB329" s="16"/>
      <c r="DC329" s="16"/>
      <c r="DD329" s="16"/>
      <c r="DE329" s="16"/>
      <c r="DF329" s="16"/>
      <c r="DG329" s="16"/>
      <c r="DH329" s="16"/>
      <c r="DI329" s="16"/>
      <c r="DJ329" s="16"/>
      <c r="DK329" s="16"/>
    </row>
    <row r="330">
      <c r="A330" s="16">
        <f>IFERROR(__xludf.DUMMYFUNCTION("""COMPUTED_VALUE"""),12608.0)</f>
        <v>12608</v>
      </c>
      <c r="B330" s="16" t="str">
        <f>IFERROR(__xludf.DUMMYFUNCTION("""COMPUTED_VALUE"""),"Brendon Little")</f>
        <v>Brendon Little</v>
      </c>
      <c r="C330" s="153">
        <f>IFERROR(__xludf.DUMMYFUNCTION("""COMPUTED_VALUE"""),0.11)</f>
        <v>0.11</v>
      </c>
      <c r="D330" s="16"/>
      <c r="E330" s="16" t="str">
        <f>IFERROR(__xludf.DUMMYFUNCTION("""COMPUTED_VALUE"""),"L")</f>
        <v>L</v>
      </c>
      <c r="F330" s="16">
        <f>IFERROR(__xludf.DUMMYFUNCTION("""COMPUTED_VALUE"""),46.0)</f>
        <v>46</v>
      </c>
      <c r="G330" s="16">
        <f>IFERROR(__xludf.DUMMYFUNCTION("""COMPUTED_VALUE"""),20.0)</f>
        <v>20</v>
      </c>
      <c r="H330" s="16">
        <f>IFERROR(__xludf.DUMMYFUNCTION("""COMPUTED_VALUE"""),11.0)</f>
        <v>11</v>
      </c>
      <c r="I330" s="16">
        <f>IFERROR(__xludf.DUMMYFUNCTION("""COMPUTED_VALUE"""),-1.0)</f>
        <v>-1</v>
      </c>
      <c r="J330" s="16">
        <f>IFERROR(__xludf.DUMMYFUNCTION("""COMPUTED_VALUE"""),-2.0)</f>
        <v>-2</v>
      </c>
      <c r="K330" s="16">
        <f>IFERROR(__xludf.DUMMYFUNCTION("""COMPUTED_VALUE"""),-3.0)</f>
        <v>-3</v>
      </c>
      <c r="L330" s="16">
        <f>IFERROR(__xludf.DUMMYFUNCTION("""COMPUTED_VALUE"""),-6.0)</f>
        <v>-6</v>
      </c>
      <c r="M330" s="16">
        <f>IFERROR(__xludf.DUMMYFUNCTION("""COMPUTED_VALUE"""),10.0)</f>
        <v>10</v>
      </c>
      <c r="N330" s="16">
        <f>IFERROR(__xludf.DUMMYFUNCTION("""COMPUTED_VALUE"""),11.0)</f>
        <v>11</v>
      </c>
      <c r="O330" s="16">
        <f>IFERROR(__xludf.DUMMYFUNCTION("""COMPUTED_VALUE"""),0.0)</f>
        <v>0</v>
      </c>
      <c r="P330" s="16">
        <f>IFERROR(__xludf.DUMMYFUNCTION("""COMPUTED_VALUE"""),-1.0)</f>
        <v>-1</v>
      </c>
      <c r="Q330" s="16">
        <f>IFERROR(__xludf.DUMMYFUNCTION("""COMPUTED_VALUE"""),0.0)</f>
        <v>0</v>
      </c>
      <c r="R330" s="16">
        <f>IFERROR(__xludf.DUMMYFUNCTION("""COMPUTED_VALUE"""),-1.0)</f>
        <v>-1</v>
      </c>
      <c r="S330" s="16">
        <f>IFERROR(__xludf.DUMMYFUNCTION("""COMPUTED_VALUE"""),9.1)</f>
        <v>9.1</v>
      </c>
      <c r="T330" s="16">
        <f>IFERROR(__xludf.DUMMYFUNCTION("""COMPUTED_VALUE"""),18.0)</f>
        <v>18</v>
      </c>
      <c r="U330" s="16">
        <f>IFERROR(__xludf.DUMMYFUNCTION("""COMPUTED_VALUE"""),1.0)</f>
        <v>1</v>
      </c>
      <c r="V330" s="16">
        <f>IFERROR(__xludf.DUMMYFUNCTION("""COMPUTED_VALUE"""),0.0)</f>
        <v>0</v>
      </c>
      <c r="W330" s="16">
        <f>IFERROR(__xludf.DUMMYFUNCTION("""COMPUTED_VALUE"""),2.0)</f>
        <v>2</v>
      </c>
      <c r="X330" s="16">
        <f>IFERROR(__xludf.DUMMYFUNCTION("""COMPUTED_VALUE"""),0.0)</f>
        <v>0</v>
      </c>
      <c r="Y330" s="16">
        <f>IFERROR(__xludf.DUMMYFUNCTION("""COMPUTED_VALUE"""),19.1)</f>
        <v>19.1</v>
      </c>
      <c r="Z330" s="16">
        <f>IFERROR(__xludf.DUMMYFUNCTION("""COMPUTED_VALUE"""),29.0)</f>
        <v>29</v>
      </c>
      <c r="AA330" s="16">
        <f>IFERROR(__xludf.DUMMYFUNCTION("""COMPUTED_VALUE"""),1.0)</f>
        <v>1</v>
      </c>
      <c r="AB330" s="16">
        <f>IFERROR(__xludf.DUMMYFUNCTION("""COMPUTED_VALUE"""),-1.0)</f>
        <v>-1</v>
      </c>
      <c r="AC330" s="16">
        <f>IFERROR(__xludf.DUMMYFUNCTION("""COMPUTED_VALUE"""),5.0)</f>
        <v>5</v>
      </c>
      <c r="AD330" s="16">
        <f>IFERROR(__xludf.DUMMYFUNCTION("""COMPUTED_VALUE"""),-5.0)</f>
        <v>-5</v>
      </c>
      <c r="AE330" s="16">
        <f>IFERROR(__xludf.DUMMYFUNCTION("""COMPUTED_VALUE"""),9.1)</f>
        <v>9.1</v>
      </c>
      <c r="AF330" s="16">
        <f>IFERROR(__xludf.DUMMYFUNCTION("""COMPUTED_VALUE"""),42.7)</f>
        <v>42.7</v>
      </c>
      <c r="AG330" s="16">
        <f>IFERROR(__xludf.DUMMYFUNCTION("""COMPUTED_VALUE"""),2.0)</f>
        <v>2</v>
      </c>
      <c r="AH330" s="16">
        <f>IFERROR(__xludf.DUMMYFUNCTION("""COMPUTED_VALUE"""),-2.0)</f>
        <v>-2</v>
      </c>
      <c r="AI330" s="16">
        <f>IFERROR(__xludf.DUMMYFUNCTION("""COMPUTED_VALUE"""),4.0)</f>
        <v>4</v>
      </c>
      <c r="AJ330" s="16">
        <f>IFERROR(__xludf.DUMMYFUNCTION("""COMPUTED_VALUE"""),-4.0)</f>
        <v>-4</v>
      </c>
      <c r="AK330" s="16">
        <f>IFERROR(__xludf.DUMMYFUNCTION("""COMPUTED_VALUE"""),9.1)</f>
        <v>9.1</v>
      </c>
      <c r="AL330" s="16">
        <f>IFERROR(__xludf.DUMMYFUNCTION("""COMPUTED_VALUE"""),11.7)</f>
        <v>11.7</v>
      </c>
      <c r="AM330" s="16">
        <f>IFERROR(__xludf.DUMMYFUNCTION("""COMPUTED_VALUE"""),1.0)</f>
        <v>1</v>
      </c>
      <c r="AN330" s="16">
        <f>IFERROR(__xludf.DUMMYFUNCTION("""COMPUTED_VALUE"""),0.0)</f>
        <v>0</v>
      </c>
      <c r="AO330" s="16">
        <f>IFERROR(__xludf.DUMMYFUNCTION("""COMPUTED_VALUE"""),1.0)</f>
        <v>1</v>
      </c>
      <c r="AP330" s="16">
        <f>IFERROR(__xludf.DUMMYFUNCTION("""COMPUTED_VALUE"""),0.0)</f>
        <v>0</v>
      </c>
      <c r="AQ330" s="16">
        <f>IFERROR(__xludf.DUMMYFUNCTION("""COMPUTED_VALUE"""),9.1)</f>
        <v>9.1</v>
      </c>
      <c r="AR330" s="16">
        <f>IFERROR(__xludf.DUMMYFUNCTION("""COMPUTED_VALUE"""),17.500000000000004)</f>
        <v>17.5</v>
      </c>
      <c r="AS330" s="16">
        <f>IFERROR(__xludf.DUMMYFUNCTION("""COMPUTED_VALUE"""),1.0)</f>
        <v>1</v>
      </c>
      <c r="AT330" s="16">
        <f>IFERROR(__xludf.DUMMYFUNCTION("""COMPUTED_VALUE"""),0.0)</f>
        <v>0</v>
      </c>
      <c r="AU330" s="16">
        <f>IFERROR(__xludf.DUMMYFUNCTION("""COMPUTED_VALUE"""),2.0)</f>
        <v>2</v>
      </c>
      <c r="AV330" s="16">
        <f>IFERROR(__xludf.DUMMYFUNCTION("""COMPUTED_VALUE"""),0.0)</f>
        <v>0</v>
      </c>
      <c r="AW330" s="16">
        <f>IFERROR(__xludf.DUMMYFUNCTION("""COMPUTED_VALUE"""),0.0)</f>
        <v>0</v>
      </c>
      <c r="AX330" s="16">
        <f>IFERROR(__xludf.DUMMYFUNCTION("""COMPUTED_VALUE"""),6.3)</f>
        <v>6.3</v>
      </c>
      <c r="AY330" s="16">
        <f>IFERROR(__xludf.DUMMYFUNCTION("""COMPUTED_VALUE"""),2.0)</f>
        <v>2</v>
      </c>
      <c r="AZ330" s="16">
        <f>IFERROR(__xludf.DUMMYFUNCTION("""COMPUTED_VALUE"""),-3.0)</f>
        <v>-3</v>
      </c>
      <c r="BA330" s="16">
        <f>IFERROR(__xludf.DUMMYFUNCTION("""COMPUTED_VALUE"""),10.0)</f>
        <v>10</v>
      </c>
      <c r="BB330" s="16">
        <f>IFERROR(__xludf.DUMMYFUNCTION("""COMPUTED_VALUE"""),-15.0)</f>
        <v>-15</v>
      </c>
      <c r="BC330" s="16">
        <f>IFERROR(__xludf.DUMMYFUNCTION("""COMPUTED_VALUE"""),0.0)</f>
        <v>0</v>
      </c>
      <c r="BD330" s="16">
        <f>IFERROR(__xludf.DUMMYFUNCTION("""COMPUTED_VALUE"""),8.0)</f>
        <v>8</v>
      </c>
      <c r="BE330" s="16">
        <f>IFERROR(__xludf.DUMMYFUNCTION("""COMPUTED_VALUE"""),0.0)</f>
        <v>0</v>
      </c>
      <c r="BF330" s="16">
        <f>IFERROR(__xludf.DUMMYFUNCTION("""COMPUTED_VALUE"""),8.0)</f>
        <v>8</v>
      </c>
      <c r="BG330" s="16">
        <f>IFERROR(__xludf.DUMMYFUNCTION("""COMPUTED_VALUE"""),3.0)</f>
        <v>3</v>
      </c>
      <c r="BH330" s="16">
        <f>IFERROR(__xludf.DUMMYFUNCTION("""COMPUTED_VALUE"""),-3.0)</f>
        <v>-3</v>
      </c>
      <c r="BI330" s="16">
        <f>IFERROR(__xludf.DUMMYFUNCTION("""COMPUTED_VALUE"""),6.0)</f>
        <v>6</v>
      </c>
      <c r="BJ330" s="16">
        <f>IFERROR(__xludf.DUMMYFUNCTION("""COMPUTED_VALUE"""),-6.0)</f>
        <v>-6</v>
      </c>
      <c r="BK330" s="16">
        <f>IFERROR(__xludf.DUMMYFUNCTION("""COMPUTED_VALUE"""),5.0)</f>
        <v>5</v>
      </c>
      <c r="BL330" s="16">
        <f>IFERROR(__xludf.DUMMYFUNCTION("""COMPUTED_VALUE"""),5.0)</f>
        <v>5</v>
      </c>
      <c r="BM330" s="16">
        <f>IFERROR(__xludf.DUMMYFUNCTION("""COMPUTED_VALUE"""),0.0)</f>
        <v>0</v>
      </c>
      <c r="BN330" s="16">
        <f>IFERROR(__xludf.DUMMYFUNCTION("""COMPUTED_VALUE"""),0.0)</f>
        <v>0</v>
      </c>
      <c r="BO330" s="16">
        <f>IFERROR(__xludf.DUMMYFUNCTION("""COMPUTED_VALUE"""),0.0)</f>
        <v>0</v>
      </c>
      <c r="BP330" s="16">
        <f>IFERROR(__xludf.DUMMYFUNCTION("""COMPUTED_VALUE"""),0.0)</f>
        <v>0</v>
      </c>
      <c r="BQ330" s="16">
        <f>IFERROR(__xludf.DUMMYFUNCTION("""COMPUTED_VALUE"""),12.0)</f>
        <v>12</v>
      </c>
      <c r="BR330" s="16">
        <f>IFERROR(__xludf.DUMMYFUNCTION("""COMPUTED_VALUE"""),12.0)</f>
        <v>12</v>
      </c>
      <c r="BS330" s="16">
        <f>IFERROR(__xludf.DUMMYFUNCTION("""COMPUTED_VALUE"""),3.0)</f>
        <v>3</v>
      </c>
      <c r="BT330" s="16">
        <f>IFERROR(__xludf.DUMMYFUNCTION("""COMPUTED_VALUE"""),3.0)</f>
        <v>3</v>
      </c>
      <c r="BU330" s="16">
        <f>IFERROR(__xludf.DUMMYFUNCTION("""COMPUTED_VALUE"""),6.0)</f>
        <v>6</v>
      </c>
      <c r="BV330" s="16">
        <f>IFERROR(__xludf.DUMMYFUNCTION("""COMPUTED_VALUE"""),6.0)</f>
        <v>6</v>
      </c>
      <c r="BW330" s="16">
        <f>IFERROR(__xludf.DUMMYFUNCTION("""COMPUTED_VALUE"""),2.0)</f>
        <v>2</v>
      </c>
      <c r="BX330" s="16">
        <f>IFERROR(__xludf.DUMMYFUNCTION("""COMPUTED_VALUE"""),2.0)</f>
        <v>2</v>
      </c>
      <c r="BY330" s="16" t="str">
        <f>IFERROR(__xludf.DUMMYFUNCTION("""COMPUTED_VALUE"""),"R(1) C(0)")</f>
        <v>R(1) C(0)</v>
      </c>
      <c r="BZ330" s="16" t="str">
        <f>IFERROR(__xludf.DUMMYFUNCTION("""COMPUTED_VALUE"""),"R(1) C(0)")</f>
        <v>R(1) C(0)</v>
      </c>
      <c r="CA330" s="16" t="str">
        <f>IFERROR(__xludf.DUMMYFUNCTION("""COMPUTED_VALUE"""),"R(1)")</f>
        <v>R(1)</v>
      </c>
      <c r="CB330" s="16" t="str">
        <f>IFERROR(__xludf.DUMMYFUNCTION("""COMPUTED_VALUE"""),"C(0)")</f>
        <v>C(0)</v>
      </c>
      <c r="CC330" s="16"/>
      <c r="CD330" s="16"/>
      <c r="CE330" s="16">
        <f>IFERROR(__xludf.DUMMYFUNCTION("""COMPUTED_VALUE"""),1.0)</f>
        <v>1</v>
      </c>
      <c r="CF330" s="16">
        <f>IFERROR(__xludf.DUMMYFUNCTION("""COMPUTED_VALUE"""),0.0)</f>
        <v>0</v>
      </c>
      <c r="CG330" s="16" t="str">
        <f>IFERROR(__xludf.DUMMYFUNCTION("""COMPUTED_VALUE"""),"4-0")</f>
        <v>4-0</v>
      </c>
      <c r="CH330" s="16">
        <f>IFERROR(__xludf.DUMMYFUNCTION("""COMPUTED_VALUE"""),4.0)</f>
        <v>4</v>
      </c>
      <c r="CI330" s="16">
        <f>IFERROR(__xludf.DUMMYFUNCTION("""COMPUTED_VALUE"""),0.0)</f>
        <v>0</v>
      </c>
      <c r="CJ330" s="16">
        <f>IFERROR(__xludf.DUMMYFUNCTION("""COMPUTED_VALUE"""),0.0)</f>
        <v>0</v>
      </c>
      <c r="CK330" s="16">
        <f>IFERROR(__xludf.DUMMYFUNCTION("""COMPUTED_VALUE"""),20.0)</f>
        <v>20</v>
      </c>
      <c r="CL330" s="16" t="str">
        <f>IFERROR(__xludf.DUMMYFUNCTION("""COMPUTED_VALUE"""),"1WL-C")</f>
        <v>1WL-C</v>
      </c>
      <c r="CM330" s="16" t="str">
        <f>IFERROR(__xludf.DUMMYFUNCTION("""COMPUTED_VALUE"""),"E")</f>
        <v>E</v>
      </c>
      <c r="CN330" s="16">
        <f>IFERROR(__xludf.DUMMYFUNCTION("""COMPUTED_VALUE"""),10.0)</f>
        <v>10</v>
      </c>
      <c r="CO330" s="16" t="str">
        <f>IFERROR(__xludf.DUMMYFUNCTION("""COMPUTED_VALUE"""),"C")</f>
        <v>C</v>
      </c>
      <c r="CP330" s="16" t="str">
        <f>IFERROR(__xludf.DUMMYFUNCTION("""COMPUTED_VALUE"""),"1p40")</f>
        <v>1p40</v>
      </c>
      <c r="CQ330" s="16">
        <f>IFERROR(__xludf.DUMMYFUNCTION("""COMPUTED_VALUE"""),33.0)</f>
        <v>33</v>
      </c>
      <c r="CR330" s="16">
        <f>IFERROR(__xludf.DUMMYFUNCTION("""COMPUTED_VALUE"""),-31.0)</f>
        <v>-31</v>
      </c>
      <c r="CS330" s="16">
        <f>IFERROR(__xludf.DUMMYFUNCTION("""COMPUTED_VALUE"""),2.0)</f>
        <v>2</v>
      </c>
      <c r="CT330" s="16">
        <f>IFERROR(__xludf.DUMMYFUNCTION("""COMPUTED_VALUE"""),33.0)</f>
        <v>33</v>
      </c>
      <c r="CU330" s="16">
        <f>IFERROR(__xludf.DUMMYFUNCTION("""COMPUTED_VALUE"""),-31.0)</f>
        <v>-31</v>
      </c>
      <c r="CV330" s="179">
        <f>IFERROR(__xludf.DUMMYFUNCTION("""COMPUTED_VALUE"""),-4.666666666666666)</f>
        <v>-4.666666667</v>
      </c>
      <c r="CW330" s="179">
        <f>IFERROR(__xludf.DUMMYFUNCTION("""COMPUTED_VALUE"""),4.0)</f>
        <v>4</v>
      </c>
      <c r="CX330" s="179">
        <f>IFERROR(__xludf.DUMMYFUNCTION("""COMPUTED_VALUE"""),1.0)</f>
        <v>1</v>
      </c>
      <c r="CY330" s="16" t="str">
        <f>IFERROR(__xludf.DUMMYFUNCTION("""COMPUTED_VALUE"""),"RP")</f>
        <v>RP</v>
      </c>
      <c r="CZ330" s="16" t="str">
        <f>IFERROR(__xludf.DUMMYFUNCTION("""COMPUTED_VALUE"""),"CP")</f>
        <v>CP</v>
      </c>
      <c r="DA330" s="16"/>
      <c r="DB330" s="16"/>
      <c r="DC330" s="16"/>
      <c r="DD330" s="16"/>
      <c r="DE330" s="16"/>
      <c r="DF330" s="16"/>
      <c r="DG330" s="16"/>
      <c r="DH330" s="16"/>
      <c r="DI330" s="16"/>
      <c r="DJ330" s="16"/>
      <c r="DK330" s="16"/>
    </row>
    <row r="331">
      <c r="A331" s="16">
        <f>IFERROR(__xludf.DUMMYFUNCTION("""COMPUTED_VALUE"""),12969.0)</f>
        <v>12969</v>
      </c>
      <c r="B331" s="16" t="str">
        <f>IFERROR(__xludf.DUMMYFUNCTION("""COMPUTED_VALUE"""),"Joe Ross")</f>
        <v>Joe Ross</v>
      </c>
      <c r="C331" s="153">
        <f>IFERROR(__xludf.DUMMYFUNCTION("""COMPUTED_VALUE"""),0.51)</f>
        <v>0.51</v>
      </c>
      <c r="D331" s="16"/>
      <c r="E331" s="16" t="str">
        <f>IFERROR(__xludf.DUMMYFUNCTION("""COMPUTED_VALUE"""),"R")</f>
        <v>R</v>
      </c>
      <c r="F331" s="16">
        <f>IFERROR(__xludf.DUMMYFUNCTION("""COMPUTED_VALUE"""),74.0)</f>
        <v>74</v>
      </c>
      <c r="G331" s="16">
        <f>IFERROR(__xludf.DUMMYFUNCTION("""COMPUTED_VALUE"""),17.0)</f>
        <v>17</v>
      </c>
      <c r="H331" s="16">
        <f>IFERROR(__xludf.DUMMYFUNCTION("""COMPUTED_VALUE"""),23.0)</f>
        <v>23</v>
      </c>
      <c r="I331" s="16">
        <f>IFERROR(__xludf.DUMMYFUNCTION("""COMPUTED_VALUE"""),-1.0)</f>
        <v>-1</v>
      </c>
      <c r="J331" s="16">
        <f>IFERROR(__xludf.DUMMYFUNCTION("""COMPUTED_VALUE"""),-1.0)</f>
        <v>-1</v>
      </c>
      <c r="K331" s="16">
        <f>IFERROR(__xludf.DUMMYFUNCTION("""COMPUTED_VALUE"""),-3.0)</f>
        <v>-3</v>
      </c>
      <c r="L331" s="16">
        <f>IFERROR(__xludf.DUMMYFUNCTION("""COMPUTED_VALUE"""),-3.0)</f>
        <v>-3</v>
      </c>
      <c r="M331" s="16">
        <f>IFERROR(__xludf.DUMMYFUNCTION("""COMPUTED_VALUE"""),9.0)</f>
        <v>9</v>
      </c>
      <c r="N331" s="16">
        <f>IFERROR(__xludf.DUMMYFUNCTION("""COMPUTED_VALUE"""),11.0)</f>
        <v>11</v>
      </c>
      <c r="O331" s="16">
        <f>IFERROR(__xludf.DUMMYFUNCTION("""COMPUTED_VALUE"""),0.0)</f>
        <v>0</v>
      </c>
      <c r="P331" s="16">
        <f>IFERROR(__xludf.DUMMYFUNCTION("""COMPUTED_VALUE"""),-1.0)</f>
        <v>-1</v>
      </c>
      <c r="Q331" s="16">
        <f>IFERROR(__xludf.DUMMYFUNCTION("""COMPUTED_VALUE"""),0.0)</f>
        <v>0</v>
      </c>
      <c r="R331" s="16">
        <f>IFERROR(__xludf.DUMMYFUNCTION("""COMPUTED_VALUE"""),-1.0)</f>
        <v>-1</v>
      </c>
      <c r="S331" s="16">
        <f>IFERROR(__xludf.DUMMYFUNCTION("""COMPUTED_VALUE"""),20.5)</f>
        <v>20.5</v>
      </c>
      <c r="T331" s="16">
        <f>IFERROR(__xludf.DUMMYFUNCTION("""COMPUTED_VALUE"""),21.9)</f>
        <v>21.9</v>
      </c>
      <c r="U331" s="16">
        <f>IFERROR(__xludf.DUMMYFUNCTION("""COMPUTED_VALUE"""),-1.0)</f>
        <v>-1</v>
      </c>
      <c r="V331" s="16">
        <f>IFERROR(__xludf.DUMMYFUNCTION("""COMPUTED_VALUE"""),-1.0)</f>
        <v>-1</v>
      </c>
      <c r="W331" s="16">
        <f>IFERROR(__xludf.DUMMYFUNCTION("""COMPUTED_VALUE"""),-2.0)</f>
        <v>-2</v>
      </c>
      <c r="X331" s="16">
        <f>IFERROR(__xludf.DUMMYFUNCTION("""COMPUTED_VALUE"""),-2.0)</f>
        <v>-2</v>
      </c>
      <c r="Y331" s="16">
        <f>IFERROR(__xludf.DUMMYFUNCTION("""COMPUTED_VALUE"""),29.5)</f>
        <v>29.5</v>
      </c>
      <c r="Z331" s="16">
        <f>IFERROR(__xludf.DUMMYFUNCTION("""COMPUTED_VALUE"""),32.9)</f>
        <v>32.9</v>
      </c>
      <c r="AA331" s="16">
        <f>IFERROR(__xludf.DUMMYFUNCTION("""COMPUTED_VALUE"""),-1.0)</f>
        <v>-1</v>
      </c>
      <c r="AB331" s="16">
        <f>IFERROR(__xludf.DUMMYFUNCTION("""COMPUTED_VALUE"""),-1.0)</f>
        <v>-1</v>
      </c>
      <c r="AC331" s="16">
        <f>IFERROR(__xludf.DUMMYFUNCTION("""COMPUTED_VALUE"""),-5.0)</f>
        <v>-5</v>
      </c>
      <c r="AD331" s="16">
        <f>IFERROR(__xludf.DUMMYFUNCTION("""COMPUTED_VALUE"""),-5.0)</f>
        <v>-5</v>
      </c>
      <c r="AE331" s="16">
        <f>IFERROR(__xludf.DUMMYFUNCTION("""COMPUTED_VALUE"""),27.9)</f>
        <v>27.9</v>
      </c>
      <c r="AF331" s="16">
        <f>IFERROR(__xludf.DUMMYFUNCTION("""COMPUTED_VALUE"""),25.4)</f>
        <v>25.4</v>
      </c>
      <c r="AG331" s="16">
        <f>IFERROR(__xludf.DUMMYFUNCTION("""COMPUTED_VALUE"""),0.0)</f>
        <v>0</v>
      </c>
      <c r="AH331" s="16">
        <f>IFERROR(__xludf.DUMMYFUNCTION("""COMPUTED_VALUE"""),0.0)</f>
        <v>0</v>
      </c>
      <c r="AI331" s="16">
        <f>IFERROR(__xludf.DUMMYFUNCTION("""COMPUTED_VALUE"""),0.0)</f>
        <v>0</v>
      </c>
      <c r="AJ331" s="16">
        <f>IFERROR(__xludf.DUMMYFUNCTION("""COMPUTED_VALUE"""),0.0)</f>
        <v>0</v>
      </c>
      <c r="AK331" s="16">
        <f>IFERROR(__xludf.DUMMYFUNCTION("""COMPUTED_VALUE"""),18.9)</f>
        <v>18.9</v>
      </c>
      <c r="AL331" s="16">
        <f>IFERROR(__xludf.DUMMYFUNCTION("""COMPUTED_VALUE"""),21.299999999999997)</f>
        <v>21.3</v>
      </c>
      <c r="AM331" s="16">
        <f>IFERROR(__xludf.DUMMYFUNCTION("""COMPUTED_VALUE"""),-1.0)</f>
        <v>-1</v>
      </c>
      <c r="AN331" s="16">
        <f>IFERROR(__xludf.DUMMYFUNCTION("""COMPUTED_VALUE"""),-1.0)</f>
        <v>-1</v>
      </c>
      <c r="AO331" s="16">
        <f>IFERROR(__xludf.DUMMYFUNCTION("""COMPUTED_VALUE"""),-1.0)</f>
        <v>-1</v>
      </c>
      <c r="AP331" s="16">
        <f>IFERROR(__xludf.DUMMYFUNCTION("""COMPUTED_VALUE"""),-1.0)</f>
        <v>-1</v>
      </c>
      <c r="AQ331" s="16">
        <f>IFERROR(__xludf.DUMMYFUNCTION("""COMPUTED_VALUE"""),21.5)</f>
        <v>21.5</v>
      </c>
      <c r="AR331" s="16">
        <f>IFERROR(__xludf.DUMMYFUNCTION("""COMPUTED_VALUE"""),23.0)</f>
        <v>23</v>
      </c>
      <c r="AS331" s="16">
        <f>IFERROR(__xludf.DUMMYFUNCTION("""COMPUTED_VALUE"""),0.0)</f>
        <v>0</v>
      </c>
      <c r="AT331" s="16">
        <f>IFERROR(__xludf.DUMMYFUNCTION("""COMPUTED_VALUE"""),0.0)</f>
        <v>0</v>
      </c>
      <c r="AU331" s="16">
        <f>IFERROR(__xludf.DUMMYFUNCTION("""COMPUTED_VALUE"""),0.0)</f>
        <v>0</v>
      </c>
      <c r="AV331" s="16">
        <f>IFERROR(__xludf.DUMMYFUNCTION("""COMPUTED_VALUE"""),0.0)</f>
        <v>0</v>
      </c>
      <c r="AW331" s="16">
        <f>IFERROR(__xludf.DUMMYFUNCTION("""COMPUTED_VALUE"""),1.6)</f>
        <v>1.6</v>
      </c>
      <c r="AX331" s="16">
        <f>IFERROR(__xludf.DUMMYFUNCTION("""COMPUTED_VALUE"""),0.6)</f>
        <v>0.6</v>
      </c>
      <c r="AY331" s="16">
        <f>IFERROR(__xludf.DUMMYFUNCTION("""COMPUTED_VALUE"""),1.0)</f>
        <v>1</v>
      </c>
      <c r="AZ331" s="16">
        <f>IFERROR(__xludf.DUMMYFUNCTION("""COMPUTED_VALUE"""),2.0)</f>
        <v>2</v>
      </c>
      <c r="BA331" s="16">
        <f>IFERROR(__xludf.DUMMYFUNCTION("""COMPUTED_VALUE"""),5.0)</f>
        <v>5</v>
      </c>
      <c r="BB331" s="16">
        <f>IFERROR(__xludf.DUMMYFUNCTION("""COMPUTED_VALUE"""),10.0)</f>
        <v>10</v>
      </c>
      <c r="BC331" s="16">
        <f>IFERROR(__xludf.DUMMYFUNCTION("""COMPUTED_VALUE"""),1.0)</f>
        <v>1</v>
      </c>
      <c r="BD331" s="16">
        <f>IFERROR(__xludf.DUMMYFUNCTION("""COMPUTED_VALUE"""),0.0)</f>
        <v>0</v>
      </c>
      <c r="BE331" s="16">
        <f>IFERROR(__xludf.DUMMYFUNCTION("""COMPUTED_VALUE"""),1.0)</f>
        <v>1</v>
      </c>
      <c r="BF331" s="16">
        <f>IFERROR(__xludf.DUMMYFUNCTION("""COMPUTED_VALUE"""),0.0)</f>
        <v>0</v>
      </c>
      <c r="BG331" s="16">
        <f>IFERROR(__xludf.DUMMYFUNCTION("""COMPUTED_VALUE"""),2.0)</f>
        <v>2</v>
      </c>
      <c r="BH331" s="16">
        <f>IFERROR(__xludf.DUMMYFUNCTION("""COMPUTED_VALUE"""),2.0)</f>
        <v>2</v>
      </c>
      <c r="BI331" s="16">
        <f>IFERROR(__xludf.DUMMYFUNCTION("""COMPUTED_VALUE"""),4.0)</f>
        <v>4</v>
      </c>
      <c r="BJ331" s="16">
        <f>IFERROR(__xludf.DUMMYFUNCTION("""COMPUTED_VALUE"""),4.0)</f>
        <v>4</v>
      </c>
      <c r="BK331" s="16">
        <f>IFERROR(__xludf.DUMMYFUNCTION("""COMPUTED_VALUE"""),5.0)</f>
        <v>5</v>
      </c>
      <c r="BL331" s="16">
        <f>IFERROR(__xludf.DUMMYFUNCTION("""COMPUTED_VALUE"""),5.0)</f>
        <v>5</v>
      </c>
      <c r="BM331" s="16">
        <f>IFERROR(__xludf.DUMMYFUNCTION("""COMPUTED_VALUE"""),0.0)</f>
        <v>0</v>
      </c>
      <c r="BN331" s="16">
        <f>IFERROR(__xludf.DUMMYFUNCTION("""COMPUTED_VALUE"""),0.0)</f>
        <v>0</v>
      </c>
      <c r="BO331" s="16">
        <f>IFERROR(__xludf.DUMMYFUNCTION("""COMPUTED_VALUE"""),0.0)</f>
        <v>0</v>
      </c>
      <c r="BP331" s="16">
        <f>IFERROR(__xludf.DUMMYFUNCTION("""COMPUTED_VALUE"""),0.0)</f>
        <v>0</v>
      </c>
      <c r="BQ331" s="16">
        <f>IFERROR(__xludf.DUMMYFUNCTION("""COMPUTED_VALUE"""),0.0)</f>
        <v>0</v>
      </c>
      <c r="BR331" s="16">
        <f>IFERROR(__xludf.DUMMYFUNCTION("""COMPUTED_VALUE"""),0.0)</f>
        <v>0</v>
      </c>
      <c r="BS331" s="16">
        <f>IFERROR(__xludf.DUMMYFUNCTION("""COMPUTED_VALUE"""),-3.0)</f>
        <v>-3</v>
      </c>
      <c r="BT331" s="16">
        <f>IFERROR(__xludf.DUMMYFUNCTION("""COMPUTED_VALUE"""),-3.0)</f>
        <v>-3</v>
      </c>
      <c r="BU331" s="16">
        <f>IFERROR(__xludf.DUMMYFUNCTION("""COMPUTED_VALUE"""),-6.0)</f>
        <v>-6</v>
      </c>
      <c r="BV331" s="16">
        <f>IFERROR(__xludf.DUMMYFUNCTION("""COMPUTED_VALUE"""),-6.0)</f>
        <v>-6</v>
      </c>
      <c r="BW331" s="16">
        <f>IFERROR(__xludf.DUMMYFUNCTION("""COMPUTED_VALUE"""),-2.0)</f>
        <v>-2</v>
      </c>
      <c r="BX331" s="16">
        <f>IFERROR(__xludf.DUMMYFUNCTION("""COMPUTED_VALUE"""),-2.0)</f>
        <v>-2</v>
      </c>
      <c r="BY331" s="16" t="str">
        <f>IFERROR(__xludf.DUMMYFUNCTION("""COMPUTED_VALUE"""),"S(5) R(3)")</f>
        <v>S(5) R(3)</v>
      </c>
      <c r="BZ331" s="16" t="str">
        <f>IFERROR(__xludf.DUMMYFUNCTION("""COMPUTED_VALUE"""),"S(5) R(3)")</f>
        <v>S(5) R(3)</v>
      </c>
      <c r="CA331" s="16" t="str">
        <f>IFERROR(__xludf.DUMMYFUNCTION("""COMPUTED_VALUE"""),"S(5)")</f>
        <v>S(5)</v>
      </c>
      <c r="CB331" s="16" t="str">
        <f>IFERROR(__xludf.DUMMYFUNCTION("""COMPUTED_VALUE"""),"R(3)")</f>
        <v>R(3)</v>
      </c>
      <c r="CC331" s="16"/>
      <c r="CD331" s="16">
        <f>IFERROR(__xludf.DUMMYFUNCTION("""COMPUTED_VALUE"""),5.0)</f>
        <v>5</v>
      </c>
      <c r="CE331" s="16">
        <f>IFERROR(__xludf.DUMMYFUNCTION("""COMPUTED_VALUE"""),3.0)</f>
        <v>3</v>
      </c>
      <c r="CF331" s="16"/>
      <c r="CG331" s="16" t="str">
        <f>IFERROR(__xludf.DUMMYFUNCTION("""COMPUTED_VALUE"""),"3-0")</f>
        <v>3-0</v>
      </c>
      <c r="CH331" s="16">
        <f>IFERROR(__xludf.DUMMYFUNCTION("""COMPUTED_VALUE"""),3.0)</f>
        <v>3</v>
      </c>
      <c r="CI331" s="16">
        <f>IFERROR(__xludf.DUMMYFUNCTION("""COMPUTED_VALUE"""),0.0)</f>
        <v>0</v>
      </c>
      <c r="CJ331" s="16">
        <f>IFERROR(__xludf.DUMMYFUNCTION("""COMPUTED_VALUE"""),0.0)</f>
        <v>0</v>
      </c>
      <c r="CK331" s="16">
        <f>IFERROR(__xludf.DUMMYFUNCTION("""COMPUTED_VALUE"""),2.0)</f>
        <v>2</v>
      </c>
      <c r="CL331" s="16" t="str">
        <f>IFERROR(__xludf.DUMMYFUNCTION("""COMPUTED_VALUE"""),"1WR-C")</f>
        <v>1WR-C</v>
      </c>
      <c r="CM331" s="16" t="str">
        <f>IFERROR(__xludf.DUMMYFUNCTION("""COMPUTED_VALUE"""),"E")</f>
        <v>E</v>
      </c>
      <c r="CN331" s="16">
        <f>IFERROR(__xludf.DUMMYFUNCTION("""COMPUTED_VALUE"""),10.0)</f>
        <v>10</v>
      </c>
      <c r="CO331" s="16" t="str">
        <f>IFERROR(__xludf.DUMMYFUNCTION("""COMPUTED_VALUE"""),"C")</f>
        <v>C</v>
      </c>
      <c r="CP331" s="16" t="str">
        <f>IFERROR(__xludf.DUMMYFUNCTION("""COMPUTED_VALUE"""),"4p40")</f>
        <v>4p40</v>
      </c>
      <c r="CQ331" s="16">
        <f>IFERROR(__xludf.DUMMYFUNCTION("""COMPUTED_VALUE"""),-8.0)</f>
        <v>-8</v>
      </c>
      <c r="CR331" s="16">
        <f>IFERROR(__xludf.DUMMYFUNCTION("""COMPUTED_VALUE"""),-4.0)</f>
        <v>-4</v>
      </c>
      <c r="CS331" s="16">
        <f>IFERROR(__xludf.DUMMYFUNCTION("""COMPUTED_VALUE"""),-12.0)</f>
        <v>-12</v>
      </c>
      <c r="CT331" s="16">
        <f>IFERROR(__xludf.DUMMYFUNCTION("""COMPUTED_VALUE"""),-8.0)</f>
        <v>-8</v>
      </c>
      <c r="CU331" s="16">
        <f>IFERROR(__xludf.DUMMYFUNCTION("""COMPUTED_VALUE"""),-4.0)</f>
        <v>-4</v>
      </c>
      <c r="CV331" s="179">
        <f>IFERROR(__xludf.DUMMYFUNCTION("""COMPUTED_VALUE"""),-4.666666666666667)</f>
        <v>-4.666666667</v>
      </c>
      <c r="CW331" s="179">
        <f>IFERROR(__xludf.DUMMYFUNCTION("""COMPUTED_VALUE"""),1.0)</f>
        <v>1</v>
      </c>
      <c r="CX331" s="179">
        <f>IFERROR(__xludf.DUMMYFUNCTION("""COMPUTED_VALUE"""),1.0)</f>
        <v>1</v>
      </c>
      <c r="CY331" s="16" t="str">
        <f>IFERROR(__xludf.DUMMYFUNCTION("""COMPUTED_VALUE"""),"SP")</f>
        <v>SP</v>
      </c>
      <c r="CZ331" s="16" t="str">
        <f>IFERROR(__xludf.DUMMYFUNCTION("""COMPUTED_VALUE"""),"RP")</f>
        <v>RP</v>
      </c>
      <c r="DA331" s="16"/>
      <c r="DB331" s="16"/>
      <c r="DC331" s="16"/>
      <c r="DD331" s="16"/>
      <c r="DE331" s="16"/>
      <c r="DF331" s="16"/>
      <c r="DG331" s="16"/>
      <c r="DH331" s="16"/>
      <c r="DI331" s="16"/>
      <c r="DJ331" s="16"/>
      <c r="DK331" s="16"/>
    </row>
    <row r="332">
      <c r="A332" s="16">
        <f>IFERROR(__xludf.DUMMYFUNCTION("""COMPUTED_VALUE"""),13521.0)</f>
        <v>13521</v>
      </c>
      <c r="B332" s="16" t="str">
        <f>IFERROR(__xludf.DUMMYFUNCTION("""COMPUTED_VALUE"""),"Zack Kelly")</f>
        <v>Zack Kelly</v>
      </c>
      <c r="C332" s="153">
        <f>IFERROR(__xludf.DUMMYFUNCTION("""COMPUTED_VALUE"""),0.51)</f>
        <v>0.51</v>
      </c>
      <c r="D332" s="16"/>
      <c r="E332" s="16" t="str">
        <f>IFERROR(__xludf.DUMMYFUNCTION("""COMPUTED_VALUE"""),"R")</f>
        <v>R</v>
      </c>
      <c r="F332" s="16">
        <f>IFERROR(__xludf.DUMMYFUNCTION("""COMPUTED_VALUE"""),57.0)</f>
        <v>57</v>
      </c>
      <c r="G332" s="16">
        <f>IFERROR(__xludf.DUMMYFUNCTION("""COMPUTED_VALUE"""),30.0)</f>
        <v>30</v>
      </c>
      <c r="H332" s="16">
        <f>IFERROR(__xludf.DUMMYFUNCTION("""COMPUTED_VALUE"""),31.0)</f>
        <v>31</v>
      </c>
      <c r="I332" s="16">
        <f>IFERROR(__xludf.DUMMYFUNCTION("""COMPUTED_VALUE"""),0.0)</f>
        <v>0</v>
      </c>
      <c r="J332" s="16">
        <f>IFERROR(__xludf.DUMMYFUNCTION("""COMPUTED_VALUE"""),0.0)</f>
        <v>0</v>
      </c>
      <c r="K332" s="16">
        <f>IFERROR(__xludf.DUMMYFUNCTION("""COMPUTED_VALUE"""),0.0)</f>
        <v>0</v>
      </c>
      <c r="L332" s="16">
        <f>IFERROR(__xludf.DUMMYFUNCTION("""COMPUTED_VALUE"""),0.0)</f>
        <v>0</v>
      </c>
      <c r="M332" s="16">
        <f>IFERROR(__xludf.DUMMYFUNCTION("""COMPUTED_VALUE"""),15.0)</f>
        <v>15</v>
      </c>
      <c r="N332" s="16">
        <f>IFERROR(__xludf.DUMMYFUNCTION("""COMPUTED_VALUE"""),12.0)</f>
        <v>12</v>
      </c>
      <c r="O332" s="16">
        <f>IFERROR(__xludf.DUMMYFUNCTION("""COMPUTED_VALUE"""),-2.0)</f>
        <v>-2</v>
      </c>
      <c r="P332" s="16">
        <f>IFERROR(__xludf.DUMMYFUNCTION("""COMPUTED_VALUE"""),-2.0)</f>
        <v>-2</v>
      </c>
      <c r="Q332" s="16">
        <f>IFERROR(__xludf.DUMMYFUNCTION("""COMPUTED_VALUE"""),-2.0)</f>
        <v>-2</v>
      </c>
      <c r="R332" s="16">
        <f>IFERROR(__xludf.DUMMYFUNCTION("""COMPUTED_VALUE"""),-2.0)</f>
        <v>-2</v>
      </c>
      <c r="S332" s="16">
        <f>IFERROR(__xludf.DUMMYFUNCTION("""COMPUTED_VALUE"""),12.9)</f>
        <v>12.9</v>
      </c>
      <c r="T332" s="16">
        <f>IFERROR(__xludf.DUMMYFUNCTION("""COMPUTED_VALUE"""),5.8)</f>
        <v>5.8</v>
      </c>
      <c r="U332" s="16">
        <f>IFERROR(__xludf.DUMMYFUNCTION("""COMPUTED_VALUE"""),0.0)</f>
        <v>0</v>
      </c>
      <c r="V332" s="16">
        <f>IFERROR(__xludf.DUMMYFUNCTION("""COMPUTED_VALUE"""),2.0)</f>
        <v>2</v>
      </c>
      <c r="W332" s="16">
        <f>IFERROR(__xludf.DUMMYFUNCTION("""COMPUTED_VALUE"""),0.0)</f>
        <v>0</v>
      </c>
      <c r="X332" s="16">
        <f>IFERROR(__xludf.DUMMYFUNCTION("""COMPUTED_VALUE"""),4.0)</f>
        <v>4</v>
      </c>
      <c r="Y332" s="16">
        <f>IFERROR(__xludf.DUMMYFUNCTION("""COMPUTED_VALUE"""),27.9)</f>
        <v>27.9</v>
      </c>
      <c r="Z332" s="16">
        <f>IFERROR(__xludf.DUMMYFUNCTION("""COMPUTED_VALUE"""),17.8)</f>
        <v>17.8</v>
      </c>
      <c r="AA332" s="16">
        <f>IFERROR(__xludf.DUMMYFUNCTION("""COMPUTED_VALUE"""),0.0)</f>
        <v>0</v>
      </c>
      <c r="AB332" s="16">
        <f>IFERROR(__xludf.DUMMYFUNCTION("""COMPUTED_VALUE"""),1.0)</f>
        <v>1</v>
      </c>
      <c r="AC332" s="16">
        <f>IFERROR(__xludf.DUMMYFUNCTION("""COMPUTED_VALUE"""),0.0)</f>
        <v>0</v>
      </c>
      <c r="AD332" s="16">
        <f>IFERROR(__xludf.DUMMYFUNCTION("""COMPUTED_VALUE"""),5.0)</f>
        <v>5</v>
      </c>
      <c r="AE332" s="16">
        <f>IFERROR(__xludf.DUMMYFUNCTION("""COMPUTED_VALUE"""),39.3)</f>
        <v>39.3</v>
      </c>
      <c r="AF332" s="16">
        <f>IFERROR(__xludf.DUMMYFUNCTION("""COMPUTED_VALUE"""),13.3)</f>
        <v>13.3</v>
      </c>
      <c r="AG332" s="16">
        <f>IFERROR(__xludf.DUMMYFUNCTION("""COMPUTED_VALUE"""),-1.0)</f>
        <v>-1</v>
      </c>
      <c r="AH332" s="16">
        <f>IFERROR(__xludf.DUMMYFUNCTION("""COMPUTED_VALUE"""),2.0)</f>
        <v>2</v>
      </c>
      <c r="AI332" s="16">
        <f>IFERROR(__xludf.DUMMYFUNCTION("""COMPUTED_VALUE"""),-2.0)</f>
        <v>-2</v>
      </c>
      <c r="AJ332" s="16">
        <f>IFERROR(__xludf.DUMMYFUNCTION("""COMPUTED_VALUE"""),4.0)</f>
        <v>4</v>
      </c>
      <c r="AK332" s="16">
        <f>IFERROR(__xludf.DUMMYFUNCTION("""COMPUTED_VALUE"""),4.6)</f>
        <v>4.6</v>
      </c>
      <c r="AL332" s="16">
        <f>IFERROR(__xludf.DUMMYFUNCTION("""COMPUTED_VALUE"""),4.4)</f>
        <v>4.4</v>
      </c>
      <c r="AM332" s="16">
        <f>IFERROR(__xludf.DUMMYFUNCTION("""COMPUTED_VALUE"""),2.0)</f>
        <v>2</v>
      </c>
      <c r="AN332" s="16">
        <f>IFERROR(__xludf.DUMMYFUNCTION("""COMPUTED_VALUE"""),2.0)</f>
        <v>2</v>
      </c>
      <c r="AO332" s="16">
        <f>IFERROR(__xludf.DUMMYFUNCTION("""COMPUTED_VALUE"""),2.0)</f>
        <v>2</v>
      </c>
      <c r="AP332" s="16">
        <f>IFERROR(__xludf.DUMMYFUNCTION("""COMPUTED_VALUE"""),2.0)</f>
        <v>2</v>
      </c>
      <c r="AQ332" s="16">
        <f>IFERROR(__xludf.DUMMYFUNCTION("""COMPUTED_VALUE"""),6.099999999999994)</f>
        <v>6.1</v>
      </c>
      <c r="AR332" s="16">
        <f>IFERROR(__xludf.DUMMYFUNCTION("""COMPUTED_VALUE"""),7.700000000000001)</f>
        <v>7.7</v>
      </c>
      <c r="AS332" s="16">
        <f>IFERROR(__xludf.DUMMYFUNCTION("""COMPUTED_VALUE"""),2.0)</f>
        <v>2</v>
      </c>
      <c r="AT332" s="16">
        <f>IFERROR(__xludf.DUMMYFUNCTION("""COMPUTED_VALUE"""),2.0)</f>
        <v>2</v>
      </c>
      <c r="AU332" s="16">
        <f>IFERROR(__xludf.DUMMYFUNCTION("""COMPUTED_VALUE"""),4.0)</f>
        <v>4</v>
      </c>
      <c r="AV332" s="16">
        <f>IFERROR(__xludf.DUMMYFUNCTION("""COMPUTED_VALUE"""),4.0)</f>
        <v>4</v>
      </c>
      <c r="AW332" s="16">
        <f>IFERROR(__xludf.DUMMYFUNCTION("""COMPUTED_VALUE"""),8.3)</f>
        <v>8.3</v>
      </c>
      <c r="AX332" s="16">
        <f>IFERROR(__xludf.DUMMYFUNCTION("""COMPUTED_VALUE"""),1.4)</f>
        <v>1.4</v>
      </c>
      <c r="AY332" s="16">
        <f>IFERROR(__xludf.DUMMYFUNCTION("""COMPUTED_VALUE"""),-3.0)</f>
        <v>-3</v>
      </c>
      <c r="AZ332" s="16">
        <f>IFERROR(__xludf.DUMMYFUNCTION("""COMPUTED_VALUE"""),1.0)</f>
        <v>1</v>
      </c>
      <c r="BA332" s="16">
        <f>IFERROR(__xludf.DUMMYFUNCTION("""COMPUTED_VALUE"""),-15.0)</f>
        <v>-15</v>
      </c>
      <c r="BB332" s="16">
        <f>IFERROR(__xludf.DUMMYFUNCTION("""COMPUTED_VALUE"""),5.0)</f>
        <v>5</v>
      </c>
      <c r="BC332" s="16"/>
      <c r="BD332" s="16"/>
      <c r="BE332" s="16">
        <f>IFERROR(__xludf.DUMMYFUNCTION("""COMPUTED_VALUE"""),8.0)</f>
        <v>8</v>
      </c>
      <c r="BF332" s="16">
        <f>IFERROR(__xludf.DUMMYFUNCTION("""COMPUTED_VALUE"""),1.0)</f>
        <v>1</v>
      </c>
      <c r="BG332" s="16">
        <f>IFERROR(__xludf.DUMMYFUNCTION("""COMPUTED_VALUE"""),-3.0)</f>
        <v>-3</v>
      </c>
      <c r="BH332" s="16">
        <f>IFERROR(__xludf.DUMMYFUNCTION("""COMPUTED_VALUE"""),2.0)</f>
        <v>2</v>
      </c>
      <c r="BI332" s="16">
        <f>IFERROR(__xludf.DUMMYFUNCTION("""COMPUTED_VALUE"""),-6.0)</f>
        <v>-6</v>
      </c>
      <c r="BJ332" s="16">
        <f>IFERROR(__xludf.DUMMYFUNCTION("""COMPUTED_VALUE"""),4.0)</f>
        <v>4</v>
      </c>
      <c r="BK332" s="16">
        <f>IFERROR(__xludf.DUMMYFUNCTION("""COMPUTED_VALUE"""),0.0)</f>
        <v>0</v>
      </c>
      <c r="BL332" s="16">
        <f>IFERROR(__xludf.DUMMYFUNCTION("""COMPUTED_VALUE"""),0.0)</f>
        <v>0</v>
      </c>
      <c r="BM332" s="16">
        <f>IFERROR(__xludf.DUMMYFUNCTION("""COMPUTED_VALUE"""),1.0)</f>
        <v>1</v>
      </c>
      <c r="BN332" s="16">
        <f>IFERROR(__xludf.DUMMYFUNCTION("""COMPUTED_VALUE"""),1.0)</f>
        <v>1</v>
      </c>
      <c r="BO332" s="16">
        <f>IFERROR(__xludf.DUMMYFUNCTION("""COMPUTED_VALUE"""),1.0)</f>
        <v>1</v>
      </c>
      <c r="BP332" s="16">
        <f>IFERROR(__xludf.DUMMYFUNCTION("""COMPUTED_VALUE"""),1.0)</f>
        <v>1</v>
      </c>
      <c r="BQ332" s="16">
        <f>IFERROR(__xludf.DUMMYFUNCTION("""COMPUTED_VALUE"""),0.0)</f>
        <v>0</v>
      </c>
      <c r="BR332" s="16">
        <f>IFERROR(__xludf.DUMMYFUNCTION("""COMPUTED_VALUE"""),0.0)</f>
        <v>0</v>
      </c>
      <c r="BS332" s="16">
        <f>IFERROR(__xludf.DUMMYFUNCTION("""COMPUTED_VALUE"""),-3.0)</f>
        <v>-3</v>
      </c>
      <c r="BT332" s="16">
        <f>IFERROR(__xludf.DUMMYFUNCTION("""COMPUTED_VALUE"""),-3.0)</f>
        <v>-3</v>
      </c>
      <c r="BU332" s="16">
        <f>IFERROR(__xludf.DUMMYFUNCTION("""COMPUTED_VALUE"""),-6.0)</f>
        <v>-6</v>
      </c>
      <c r="BV332" s="16">
        <f>IFERROR(__xludf.DUMMYFUNCTION("""COMPUTED_VALUE"""),-6.0)</f>
        <v>-6</v>
      </c>
      <c r="BW332" s="16">
        <f>IFERROR(__xludf.DUMMYFUNCTION("""COMPUTED_VALUE"""),1.0)</f>
        <v>1</v>
      </c>
      <c r="BX332" s="16">
        <f>IFERROR(__xludf.DUMMYFUNCTION("""COMPUTED_VALUE"""),1.0)</f>
        <v>1</v>
      </c>
      <c r="BY332" s="16" t="str">
        <f>IFERROR(__xludf.DUMMYFUNCTION("""COMPUTED_VALUE"""),"S(1) R(1)")</f>
        <v>S(1) R(1)</v>
      </c>
      <c r="BZ332" s="16" t="str">
        <f>IFERROR(__xludf.DUMMYFUNCTION("""COMPUTED_VALUE"""),"S(1) R(1)")</f>
        <v>S(1) R(1)</v>
      </c>
      <c r="CA332" s="16" t="str">
        <f>IFERROR(__xludf.DUMMYFUNCTION("""COMPUTED_VALUE"""),"S(1)")</f>
        <v>S(1)</v>
      </c>
      <c r="CB332" s="16" t="str">
        <f>IFERROR(__xludf.DUMMYFUNCTION("""COMPUTED_VALUE"""),"R(1)")</f>
        <v>R(1)</v>
      </c>
      <c r="CC332" s="16"/>
      <c r="CD332" s="16">
        <f>IFERROR(__xludf.DUMMYFUNCTION("""COMPUTED_VALUE"""),1.0)</f>
        <v>1</v>
      </c>
      <c r="CE332" s="16">
        <f>IFERROR(__xludf.DUMMYFUNCTION("""COMPUTED_VALUE"""),1.0)</f>
        <v>1</v>
      </c>
      <c r="CF332" s="16"/>
      <c r="CG332" s="16" t="str">
        <f>IFERROR(__xludf.DUMMYFUNCTION("""COMPUTED_VALUE"""),"2-0")</f>
        <v>2-0</v>
      </c>
      <c r="CH332" s="16">
        <f>IFERROR(__xludf.DUMMYFUNCTION("""COMPUTED_VALUE"""),2.0)</f>
        <v>2</v>
      </c>
      <c r="CI332" s="16">
        <f>IFERROR(__xludf.DUMMYFUNCTION("""COMPUTED_VALUE"""),0.0)</f>
        <v>0</v>
      </c>
      <c r="CJ332" s="16">
        <f>IFERROR(__xludf.DUMMYFUNCTION("""COMPUTED_VALUE"""),6.0)</f>
        <v>6</v>
      </c>
      <c r="CK332" s="16">
        <f>IFERROR(__xludf.DUMMYFUNCTION("""COMPUTED_VALUE"""),7.0)</f>
        <v>7</v>
      </c>
      <c r="CL332" s="16" t="str">
        <f>IFERROR(__xludf.DUMMYFUNCTION("""COMPUTED_VALUE"""),"1WR-C")</f>
        <v>1WR-C</v>
      </c>
      <c r="CM332" s="16" t="str">
        <f>IFERROR(__xludf.DUMMYFUNCTION("""COMPUTED_VALUE"""),"E")</f>
        <v>E</v>
      </c>
      <c r="CN332" s="16">
        <f>IFERROR(__xludf.DUMMYFUNCTION("""COMPUTED_VALUE"""),10.0)</f>
        <v>10</v>
      </c>
      <c r="CO332" s="16" t="str">
        <f>IFERROR(__xludf.DUMMYFUNCTION("""COMPUTED_VALUE"""),"C")</f>
        <v>C</v>
      </c>
      <c r="CP332" s="16" t="str">
        <f>IFERROR(__xludf.DUMMYFUNCTION("""COMPUTED_VALUE"""),"1p50")</f>
        <v>1p50</v>
      </c>
      <c r="CQ332" s="16">
        <f>IFERROR(__xludf.DUMMYFUNCTION("""COMPUTED_VALUE"""),-24.0)</f>
        <v>-24</v>
      </c>
      <c r="CR332" s="16">
        <f>IFERROR(__xludf.DUMMYFUNCTION("""COMPUTED_VALUE"""),21.0)</f>
        <v>21</v>
      </c>
      <c r="CS332" s="16">
        <f>IFERROR(__xludf.DUMMYFUNCTION("""COMPUTED_VALUE"""),-3.0)</f>
        <v>-3</v>
      </c>
      <c r="CT332" s="16">
        <f>IFERROR(__xludf.DUMMYFUNCTION("""COMPUTED_VALUE"""),-24.0)</f>
        <v>-24</v>
      </c>
      <c r="CU332" s="16">
        <f>IFERROR(__xludf.DUMMYFUNCTION("""COMPUTED_VALUE"""),21.0)</f>
        <v>21</v>
      </c>
      <c r="CV332" s="179">
        <f>IFERROR(__xludf.DUMMYFUNCTION("""COMPUTED_VALUE"""),-5.0)</f>
        <v>-5</v>
      </c>
      <c r="CW332" s="179">
        <f>IFERROR(__xludf.DUMMYFUNCTION("""COMPUTED_VALUE"""),4.0)</f>
        <v>4</v>
      </c>
      <c r="CX332" s="179">
        <f>IFERROR(__xludf.DUMMYFUNCTION("""COMPUTED_VALUE"""),0.0)</f>
        <v>0</v>
      </c>
      <c r="CY332" s="16" t="str">
        <f>IFERROR(__xludf.DUMMYFUNCTION("""COMPUTED_VALUE"""),"SP")</f>
        <v>SP</v>
      </c>
      <c r="CZ332" s="16" t="str">
        <f>IFERROR(__xludf.DUMMYFUNCTION("""COMPUTED_VALUE"""),"RP")</f>
        <v>RP</v>
      </c>
      <c r="DA332" s="16"/>
      <c r="DB332" s="16"/>
      <c r="DC332" s="16"/>
      <c r="DD332" s="16"/>
      <c r="DE332" s="16"/>
      <c r="DF332" s="16"/>
      <c r="DG332" s="16"/>
      <c r="DH332" s="16"/>
      <c r="DI332" s="16"/>
      <c r="DJ332" s="16"/>
      <c r="DK332" s="16"/>
    </row>
    <row r="333">
      <c r="A333" s="16">
        <f>IFERROR(__xludf.DUMMYFUNCTION("""COMPUTED_VALUE"""),13246.0)</f>
        <v>13246</v>
      </c>
      <c r="B333" s="16" t="str">
        <f>IFERROR(__xludf.DUMMYFUNCTION("""COMPUTED_VALUE"""),"Nick Nastrini")</f>
        <v>Nick Nastrini</v>
      </c>
      <c r="C333" s="153">
        <f>IFERROR(__xludf.DUMMYFUNCTION("""COMPUTED_VALUE"""),0.0)</f>
        <v>0</v>
      </c>
      <c r="D333" s="16"/>
      <c r="E333" s="16" t="str">
        <f>IFERROR(__xludf.DUMMYFUNCTION("""COMPUTED_VALUE"""),"R")</f>
        <v>R</v>
      </c>
      <c r="F333" s="16">
        <f>IFERROR(__xludf.DUMMYFUNCTION("""COMPUTED_VALUE"""),36.0)</f>
        <v>36</v>
      </c>
      <c r="G333" s="16">
        <f>IFERROR(__xludf.DUMMYFUNCTION("""COMPUTED_VALUE"""),0.0)</f>
        <v>0</v>
      </c>
      <c r="H333" s="16">
        <f>IFERROR(__xludf.DUMMYFUNCTION("""COMPUTED_VALUE"""),18.0)</f>
        <v>18</v>
      </c>
      <c r="I333" s="16">
        <f>IFERROR(__xludf.DUMMYFUNCTION("""COMPUTED_VALUE"""),-3.0)</f>
        <v>-3</v>
      </c>
      <c r="J333" s="16">
        <f>IFERROR(__xludf.DUMMYFUNCTION("""COMPUTED_VALUE"""),-1.0)</f>
        <v>-1</v>
      </c>
      <c r="K333" s="16">
        <f>IFERROR(__xludf.DUMMYFUNCTION("""COMPUTED_VALUE"""),-9.0)</f>
        <v>-9</v>
      </c>
      <c r="L333" s="16">
        <f>IFERROR(__xludf.DUMMYFUNCTION("""COMPUTED_VALUE"""),-3.0)</f>
        <v>-3</v>
      </c>
      <c r="M333" s="16">
        <f>IFERROR(__xludf.DUMMYFUNCTION("""COMPUTED_VALUE"""),55.0)</f>
        <v>55</v>
      </c>
      <c r="N333" s="16">
        <f>IFERROR(__xludf.DUMMYFUNCTION("""COMPUTED_VALUE"""),19.0)</f>
        <v>19</v>
      </c>
      <c r="O333" s="16">
        <f>IFERROR(__xludf.DUMMYFUNCTION("""COMPUTED_VALUE"""),-3.0)</f>
        <v>-3</v>
      </c>
      <c r="P333" s="16">
        <f>IFERROR(__xludf.DUMMYFUNCTION("""COMPUTED_VALUE"""),-3.0)</f>
        <v>-3</v>
      </c>
      <c r="Q333" s="16">
        <f>IFERROR(__xludf.DUMMYFUNCTION("""COMPUTED_VALUE"""),-3.0)</f>
        <v>-3</v>
      </c>
      <c r="R333" s="16">
        <f>IFERROR(__xludf.DUMMYFUNCTION("""COMPUTED_VALUE"""),-3.0)</f>
        <v>-3</v>
      </c>
      <c r="S333" s="16">
        <f>IFERROR(__xludf.DUMMYFUNCTION("""COMPUTED_VALUE"""),6.9)</f>
        <v>6.9</v>
      </c>
      <c r="T333" s="16">
        <f>IFERROR(__xludf.DUMMYFUNCTION("""COMPUTED_VALUE"""),5.3)</f>
        <v>5.3</v>
      </c>
      <c r="U333" s="16">
        <f>IFERROR(__xludf.DUMMYFUNCTION("""COMPUTED_VALUE"""),1.0)</f>
        <v>1</v>
      </c>
      <c r="V333" s="16">
        <f>IFERROR(__xludf.DUMMYFUNCTION("""COMPUTED_VALUE"""),2.0)</f>
        <v>2</v>
      </c>
      <c r="W333" s="16">
        <f>IFERROR(__xludf.DUMMYFUNCTION("""COMPUTED_VALUE"""),2.0)</f>
        <v>2</v>
      </c>
      <c r="X333" s="16">
        <f>IFERROR(__xludf.DUMMYFUNCTION("""COMPUTED_VALUE"""),4.0)</f>
        <v>4</v>
      </c>
      <c r="Y333" s="16">
        <f>IFERROR(__xludf.DUMMYFUNCTION("""COMPUTED_VALUE"""),61.9)</f>
        <v>61.9</v>
      </c>
      <c r="Z333" s="16">
        <f>IFERROR(__xludf.DUMMYFUNCTION("""COMPUTED_VALUE"""),24.3)</f>
        <v>24.3</v>
      </c>
      <c r="AA333" s="16">
        <f>IFERROR(__xludf.DUMMYFUNCTION("""COMPUTED_VALUE"""),-3.0)</f>
        <v>-3</v>
      </c>
      <c r="AB333" s="16">
        <f>IFERROR(__xludf.DUMMYFUNCTION("""COMPUTED_VALUE"""),0.0)</f>
        <v>0</v>
      </c>
      <c r="AC333" s="16">
        <f>IFERROR(__xludf.DUMMYFUNCTION("""COMPUTED_VALUE"""),-15.0)</f>
        <v>-15</v>
      </c>
      <c r="AD333" s="16">
        <f>IFERROR(__xludf.DUMMYFUNCTION("""COMPUTED_VALUE"""),0.0)</f>
        <v>0</v>
      </c>
      <c r="AE333" s="16">
        <f>IFERROR(__xludf.DUMMYFUNCTION("""COMPUTED_VALUE"""),16.7)</f>
        <v>16.7</v>
      </c>
      <c r="AF333" s="16">
        <f>IFERROR(__xludf.DUMMYFUNCTION("""COMPUTED_VALUE"""),21.0)</f>
        <v>21</v>
      </c>
      <c r="AG333" s="16">
        <f>IFERROR(__xludf.DUMMYFUNCTION("""COMPUTED_VALUE"""),1.0)</f>
        <v>1</v>
      </c>
      <c r="AH333" s="16">
        <f>IFERROR(__xludf.DUMMYFUNCTION("""COMPUTED_VALUE"""),1.0)</f>
        <v>1</v>
      </c>
      <c r="AI333" s="16">
        <f>IFERROR(__xludf.DUMMYFUNCTION("""COMPUTED_VALUE"""),2.0)</f>
        <v>2</v>
      </c>
      <c r="AJ333" s="16">
        <f>IFERROR(__xludf.DUMMYFUNCTION("""COMPUTED_VALUE"""),2.0)</f>
        <v>2</v>
      </c>
      <c r="AK333" s="16">
        <f>IFERROR(__xludf.DUMMYFUNCTION("""COMPUTED_VALUE"""),5.9)</f>
        <v>5.9</v>
      </c>
      <c r="AL333" s="16">
        <f>IFERROR(__xludf.DUMMYFUNCTION("""COMPUTED_VALUE"""),0.0)</f>
        <v>0</v>
      </c>
      <c r="AM333" s="16">
        <f>IFERROR(__xludf.DUMMYFUNCTION("""COMPUTED_VALUE"""),1.0)</f>
        <v>1</v>
      </c>
      <c r="AN333" s="16">
        <f>IFERROR(__xludf.DUMMYFUNCTION("""COMPUTED_VALUE"""),3.0)</f>
        <v>3</v>
      </c>
      <c r="AO333" s="16">
        <f>IFERROR(__xludf.DUMMYFUNCTION("""COMPUTED_VALUE"""),1.0)</f>
        <v>1</v>
      </c>
      <c r="AP333" s="16">
        <f>IFERROR(__xludf.DUMMYFUNCTION("""COMPUTED_VALUE"""),3.0)</f>
        <v>3</v>
      </c>
      <c r="AQ333" s="16">
        <f>IFERROR(__xludf.DUMMYFUNCTION("""COMPUTED_VALUE"""),12.7)</f>
        <v>12.7</v>
      </c>
      <c r="AR333" s="16">
        <f>IFERROR(__xludf.DUMMYFUNCTION("""COMPUTED_VALUE"""),-0.1999999999999993)</f>
        <v>-0.2</v>
      </c>
      <c r="AS333" s="16">
        <f>IFERROR(__xludf.DUMMYFUNCTION("""COMPUTED_VALUE"""),1.0)</f>
        <v>1</v>
      </c>
      <c r="AT333" s="16">
        <f>IFERROR(__xludf.DUMMYFUNCTION("""COMPUTED_VALUE"""),2.0)</f>
        <v>2</v>
      </c>
      <c r="AU333" s="16">
        <f>IFERROR(__xludf.DUMMYFUNCTION("""COMPUTED_VALUE"""),2.0)</f>
        <v>2</v>
      </c>
      <c r="AV333" s="16">
        <f>IFERROR(__xludf.DUMMYFUNCTION("""COMPUTED_VALUE"""),4.0)</f>
        <v>4</v>
      </c>
      <c r="AW333" s="16">
        <f>IFERROR(__xludf.DUMMYFUNCTION("""COMPUTED_VALUE"""),1.0)</f>
        <v>1</v>
      </c>
      <c r="AX333" s="16">
        <f>IFERROR(__xludf.DUMMYFUNCTION("""COMPUTED_VALUE"""),5.3)</f>
        <v>5.3</v>
      </c>
      <c r="AY333" s="16">
        <f>IFERROR(__xludf.DUMMYFUNCTION("""COMPUTED_VALUE"""),1.0)</f>
        <v>1</v>
      </c>
      <c r="AZ333" s="16">
        <f>IFERROR(__xludf.DUMMYFUNCTION("""COMPUTED_VALUE"""),-3.0)</f>
        <v>-3</v>
      </c>
      <c r="BA333" s="16">
        <f>IFERROR(__xludf.DUMMYFUNCTION("""COMPUTED_VALUE"""),5.0)</f>
        <v>5</v>
      </c>
      <c r="BB333" s="16">
        <f>IFERROR(__xludf.DUMMYFUNCTION("""COMPUTED_VALUE"""),-15.0)</f>
        <v>-15</v>
      </c>
      <c r="BC333" s="16"/>
      <c r="BD333" s="16"/>
      <c r="BE333" s="16">
        <f>IFERROR(__xludf.DUMMYFUNCTION("""COMPUTED_VALUE"""),1.0)</f>
        <v>1</v>
      </c>
      <c r="BF333" s="16">
        <f>IFERROR(__xludf.DUMMYFUNCTION("""COMPUTED_VALUE"""),8.0)</f>
        <v>8</v>
      </c>
      <c r="BG333" s="16">
        <f>IFERROR(__xludf.DUMMYFUNCTION("""COMPUTED_VALUE"""),2.0)</f>
        <v>2</v>
      </c>
      <c r="BH333" s="16">
        <f>IFERROR(__xludf.DUMMYFUNCTION("""COMPUTED_VALUE"""),-3.0)</f>
        <v>-3</v>
      </c>
      <c r="BI333" s="16">
        <f>IFERROR(__xludf.DUMMYFUNCTION("""COMPUTED_VALUE"""),4.0)</f>
        <v>4</v>
      </c>
      <c r="BJ333" s="16">
        <f>IFERROR(__xludf.DUMMYFUNCTION("""COMPUTED_VALUE"""),-6.0)</f>
        <v>-6</v>
      </c>
      <c r="BK333" s="16">
        <f>IFERROR(__xludf.DUMMYFUNCTION("""COMPUTED_VALUE"""),0.0)</f>
        <v>0</v>
      </c>
      <c r="BL333" s="16">
        <f>IFERROR(__xludf.DUMMYFUNCTION("""COMPUTED_VALUE"""),0.0)</f>
        <v>0</v>
      </c>
      <c r="BM333" s="16">
        <f>IFERROR(__xludf.DUMMYFUNCTION("""COMPUTED_VALUE"""),1.0)</f>
        <v>1</v>
      </c>
      <c r="BN333" s="16">
        <f>IFERROR(__xludf.DUMMYFUNCTION("""COMPUTED_VALUE"""),1.0)</f>
        <v>1</v>
      </c>
      <c r="BO333" s="16">
        <f>IFERROR(__xludf.DUMMYFUNCTION("""COMPUTED_VALUE"""),1.0)</f>
        <v>1</v>
      </c>
      <c r="BP333" s="16">
        <f>IFERROR(__xludf.DUMMYFUNCTION("""COMPUTED_VALUE"""),1.0)</f>
        <v>1</v>
      </c>
      <c r="BQ333" s="16">
        <f>IFERROR(__xludf.DUMMYFUNCTION("""COMPUTED_VALUE"""),5.0)</f>
        <v>5</v>
      </c>
      <c r="BR333" s="16">
        <f>IFERROR(__xludf.DUMMYFUNCTION("""COMPUTED_VALUE"""),5.0)</f>
        <v>5</v>
      </c>
      <c r="BS333" s="16">
        <f>IFERROR(__xludf.DUMMYFUNCTION("""COMPUTED_VALUE"""),0.0)</f>
        <v>0</v>
      </c>
      <c r="BT333" s="16">
        <f>IFERROR(__xludf.DUMMYFUNCTION("""COMPUTED_VALUE"""),0.0)</f>
        <v>0</v>
      </c>
      <c r="BU333" s="16">
        <f>IFERROR(__xludf.DUMMYFUNCTION("""COMPUTED_VALUE"""),0.0)</f>
        <v>0</v>
      </c>
      <c r="BV333" s="16">
        <f>IFERROR(__xludf.DUMMYFUNCTION("""COMPUTED_VALUE"""),0.0)</f>
        <v>0</v>
      </c>
      <c r="BW333" s="16">
        <f>IFERROR(__xludf.DUMMYFUNCTION("""COMPUTED_VALUE"""),9.0)</f>
        <v>9</v>
      </c>
      <c r="BX333" s="16">
        <f>IFERROR(__xludf.DUMMYFUNCTION("""COMPUTED_VALUE"""),9.0)</f>
        <v>9</v>
      </c>
      <c r="BY333" s="16" t="str">
        <f>IFERROR(__xludf.DUMMYFUNCTION("""COMPUTED_VALUE"""),"S(4) R(3)")</f>
        <v>S(4) R(3)</v>
      </c>
      <c r="BZ333" s="16" t="str">
        <f>IFERROR(__xludf.DUMMYFUNCTION("""COMPUTED_VALUE"""),"S(4) R(3)")</f>
        <v>S(4) R(3)</v>
      </c>
      <c r="CA333" s="16" t="str">
        <f>IFERROR(__xludf.DUMMYFUNCTION("""COMPUTED_VALUE"""),"S(4)")</f>
        <v>S(4)</v>
      </c>
      <c r="CB333" s="16" t="str">
        <f>IFERROR(__xludf.DUMMYFUNCTION("""COMPUTED_VALUE"""),"R(3)")</f>
        <v>R(3)</v>
      </c>
      <c r="CC333" s="16"/>
      <c r="CD333" s="16">
        <f>IFERROR(__xludf.DUMMYFUNCTION("""COMPUTED_VALUE"""),4.0)</f>
        <v>4</v>
      </c>
      <c r="CE333" s="16">
        <f>IFERROR(__xludf.DUMMYFUNCTION("""COMPUTED_VALUE"""),3.0)</f>
        <v>3</v>
      </c>
      <c r="CF333" s="16"/>
      <c r="CG333" s="16" t="str">
        <f>IFERROR(__xludf.DUMMYFUNCTION("""COMPUTED_VALUE"""),"5-0")</f>
        <v>5-0</v>
      </c>
      <c r="CH333" s="16">
        <f>IFERROR(__xludf.DUMMYFUNCTION("""COMPUTED_VALUE"""),5.0)</f>
        <v>5</v>
      </c>
      <c r="CI333" s="16">
        <f>IFERROR(__xludf.DUMMYFUNCTION("""COMPUTED_VALUE"""),0.0)</f>
        <v>0</v>
      </c>
      <c r="CJ333" s="16">
        <f>IFERROR(__xludf.DUMMYFUNCTION("""COMPUTED_VALUE"""),0.0)</f>
        <v>0</v>
      </c>
      <c r="CK333" s="16">
        <f>IFERROR(__xludf.DUMMYFUNCTION("""COMPUTED_VALUE"""),16.0)</f>
        <v>16</v>
      </c>
      <c r="CL333" s="16" t="str">
        <f>IFERROR(__xludf.DUMMYFUNCTION("""COMPUTED_VALUE"""),"1WR-C")</f>
        <v>1WR-C</v>
      </c>
      <c r="CM333" s="16" t="str">
        <f>IFERROR(__xludf.DUMMYFUNCTION("""COMPUTED_VALUE"""),"E")</f>
        <v>E</v>
      </c>
      <c r="CN333" s="16">
        <f>IFERROR(__xludf.DUMMYFUNCTION("""COMPUTED_VALUE"""),10.0)</f>
        <v>10</v>
      </c>
      <c r="CO333" s="16" t="str">
        <f>IFERROR(__xludf.DUMMYFUNCTION("""COMPUTED_VALUE"""),"C")</f>
        <v>C</v>
      </c>
      <c r="CP333" s="16" t="str">
        <f>IFERROR(__xludf.DUMMYFUNCTION("""COMPUTED_VALUE"""),"1p20")</f>
        <v>1p20</v>
      </c>
      <c r="CQ333" s="16">
        <f>IFERROR(__xludf.DUMMYFUNCTION("""COMPUTED_VALUE"""),-10.0)</f>
        <v>-10</v>
      </c>
      <c r="CR333" s="16">
        <f>IFERROR(__xludf.DUMMYFUNCTION("""COMPUTED_VALUE"""),-13.0)</f>
        <v>-13</v>
      </c>
      <c r="CS333" s="16">
        <f>IFERROR(__xludf.DUMMYFUNCTION("""COMPUTED_VALUE"""),-23.0)</f>
        <v>-23</v>
      </c>
      <c r="CT333" s="16">
        <f>IFERROR(__xludf.DUMMYFUNCTION("""COMPUTED_VALUE"""),-10.0)</f>
        <v>-10</v>
      </c>
      <c r="CU333" s="16">
        <f>IFERROR(__xludf.DUMMYFUNCTION("""COMPUTED_VALUE"""),-13.0)</f>
        <v>-13</v>
      </c>
      <c r="CV333" s="179">
        <f>IFERROR(__xludf.DUMMYFUNCTION("""COMPUTED_VALUE"""),-5.0)</f>
        <v>-5</v>
      </c>
      <c r="CW333" s="179">
        <f>IFERROR(__xludf.DUMMYFUNCTION("""COMPUTED_VALUE"""),4.0)</f>
        <v>4</v>
      </c>
      <c r="CX333" s="179">
        <f>IFERROR(__xludf.DUMMYFUNCTION("""COMPUTED_VALUE"""),3.0)</f>
        <v>3</v>
      </c>
      <c r="CY333" s="16" t="str">
        <f>IFERROR(__xludf.DUMMYFUNCTION("""COMPUTED_VALUE"""),"SP")</f>
        <v>SP</v>
      </c>
      <c r="CZ333" s="16" t="str">
        <f>IFERROR(__xludf.DUMMYFUNCTION("""COMPUTED_VALUE"""),"RP")</f>
        <v>RP</v>
      </c>
      <c r="DA333" s="16"/>
      <c r="DB333" s="16"/>
      <c r="DC333" s="16"/>
      <c r="DD333" s="16"/>
      <c r="DE333" s="16"/>
      <c r="DF333" s="16"/>
      <c r="DG333" s="16"/>
      <c r="DH333" s="16"/>
      <c r="DI333" s="16"/>
      <c r="DJ333" s="16"/>
      <c r="DK333" s="16"/>
    </row>
    <row r="334">
      <c r="A334" s="16">
        <f>IFERROR(__xludf.DUMMYFUNCTION("""COMPUTED_VALUE"""),13049.0)</f>
        <v>13049</v>
      </c>
      <c r="B334" s="16" t="str">
        <f>IFERROR(__xludf.DUMMYFUNCTION("""COMPUTED_VALUE"""),"Julian Aguiar")</f>
        <v>Julian Aguiar</v>
      </c>
      <c r="C334" s="153">
        <f>IFERROR(__xludf.DUMMYFUNCTION("""COMPUTED_VALUE"""),0.0)</f>
        <v>0</v>
      </c>
      <c r="D334" s="16"/>
      <c r="E334" s="16" t="str">
        <f>IFERROR(__xludf.DUMMYFUNCTION("""COMPUTED_VALUE"""),"R")</f>
        <v>R</v>
      </c>
      <c r="F334" s="16">
        <f>IFERROR(__xludf.DUMMYFUNCTION("""COMPUTED_VALUE"""),32.0)</f>
        <v>32</v>
      </c>
      <c r="G334" s="16">
        <f>IFERROR(__xludf.DUMMYFUNCTION("""COMPUTED_VALUE"""),13.0)</f>
        <v>13</v>
      </c>
      <c r="H334" s="16">
        <f>IFERROR(__xludf.DUMMYFUNCTION("""COMPUTED_VALUE"""),0.0)</f>
        <v>0</v>
      </c>
      <c r="I334" s="16">
        <f>IFERROR(__xludf.DUMMYFUNCTION("""COMPUTED_VALUE"""),-2.0)</f>
        <v>-2</v>
      </c>
      <c r="J334" s="16">
        <f>IFERROR(__xludf.DUMMYFUNCTION("""COMPUTED_VALUE"""),-3.0)</f>
        <v>-3</v>
      </c>
      <c r="K334" s="16">
        <f>IFERROR(__xludf.DUMMYFUNCTION("""COMPUTED_VALUE"""),-6.0)</f>
        <v>-6</v>
      </c>
      <c r="L334" s="16">
        <f>IFERROR(__xludf.DUMMYFUNCTION("""COMPUTED_VALUE"""),-9.0)</f>
        <v>-9</v>
      </c>
      <c r="M334" s="16">
        <f>IFERROR(__xludf.DUMMYFUNCTION("""COMPUTED_VALUE"""),7.0)</f>
        <v>7</v>
      </c>
      <c r="N334" s="16">
        <f>IFERROR(__xludf.DUMMYFUNCTION("""COMPUTED_VALUE"""),11.0)</f>
        <v>11</v>
      </c>
      <c r="O334" s="16">
        <f>IFERROR(__xludf.DUMMYFUNCTION("""COMPUTED_VALUE"""),1.0)</f>
        <v>1</v>
      </c>
      <c r="P334" s="16">
        <f>IFERROR(__xludf.DUMMYFUNCTION("""COMPUTED_VALUE"""),-1.0)</f>
        <v>-1</v>
      </c>
      <c r="Q334" s="16">
        <f>IFERROR(__xludf.DUMMYFUNCTION("""COMPUTED_VALUE"""),1.0)</f>
        <v>1</v>
      </c>
      <c r="R334" s="16">
        <f>IFERROR(__xludf.DUMMYFUNCTION("""COMPUTED_VALUE"""),-1.0)</f>
        <v>-1</v>
      </c>
      <c r="S334" s="16">
        <f>IFERROR(__xludf.DUMMYFUNCTION("""COMPUTED_VALUE"""),11.8)</f>
        <v>11.8</v>
      </c>
      <c r="T334" s="16">
        <f>IFERROR(__xludf.DUMMYFUNCTION("""COMPUTED_VALUE"""),14.5)</f>
        <v>14.5</v>
      </c>
      <c r="U334" s="16">
        <f>IFERROR(__xludf.DUMMYFUNCTION("""COMPUTED_VALUE"""),1.0)</f>
        <v>1</v>
      </c>
      <c r="V334" s="16">
        <f>IFERROR(__xludf.DUMMYFUNCTION("""COMPUTED_VALUE"""),0.0)</f>
        <v>0</v>
      </c>
      <c r="W334" s="16">
        <f>IFERROR(__xludf.DUMMYFUNCTION("""COMPUTED_VALUE"""),2.0)</f>
        <v>2</v>
      </c>
      <c r="X334" s="16">
        <f>IFERROR(__xludf.DUMMYFUNCTION("""COMPUTED_VALUE"""),0.0)</f>
        <v>0</v>
      </c>
      <c r="Y334" s="16">
        <f>IFERROR(__xludf.DUMMYFUNCTION("""COMPUTED_VALUE"""),18.8)</f>
        <v>18.8</v>
      </c>
      <c r="Z334" s="16">
        <f>IFERROR(__xludf.DUMMYFUNCTION("""COMPUTED_VALUE"""),25.5)</f>
        <v>25.5</v>
      </c>
      <c r="AA334" s="16">
        <f>IFERROR(__xludf.DUMMYFUNCTION("""COMPUTED_VALUE"""),1.0)</f>
        <v>1</v>
      </c>
      <c r="AB334" s="16">
        <f>IFERROR(__xludf.DUMMYFUNCTION("""COMPUTED_VALUE"""),0.0)</f>
        <v>0</v>
      </c>
      <c r="AC334" s="16">
        <f>IFERROR(__xludf.DUMMYFUNCTION("""COMPUTED_VALUE"""),5.0)</f>
        <v>5</v>
      </c>
      <c r="AD334" s="16">
        <f>IFERROR(__xludf.DUMMYFUNCTION("""COMPUTED_VALUE"""),0.0)</f>
        <v>0</v>
      </c>
      <c r="AE334" s="16">
        <f>IFERROR(__xludf.DUMMYFUNCTION("""COMPUTED_VALUE"""),37.0)</f>
        <v>37</v>
      </c>
      <c r="AF334" s="16">
        <f>IFERROR(__xludf.DUMMYFUNCTION("""COMPUTED_VALUE"""),32.0)</f>
        <v>32</v>
      </c>
      <c r="AG334" s="16">
        <f>IFERROR(__xludf.DUMMYFUNCTION("""COMPUTED_VALUE"""),-1.0)</f>
        <v>-1</v>
      </c>
      <c r="AH334" s="16">
        <f>IFERROR(__xludf.DUMMYFUNCTION("""COMPUTED_VALUE"""),0.0)</f>
        <v>0</v>
      </c>
      <c r="AI334" s="16">
        <f>IFERROR(__xludf.DUMMYFUNCTION("""COMPUTED_VALUE"""),-2.0)</f>
        <v>-2</v>
      </c>
      <c r="AJ334" s="16">
        <f>IFERROR(__xludf.DUMMYFUNCTION("""COMPUTED_VALUE"""),0.0)</f>
        <v>0</v>
      </c>
      <c r="AK334" s="16">
        <f>IFERROR(__xludf.DUMMYFUNCTION("""COMPUTED_VALUE"""),4.000000000000001)</f>
        <v>4</v>
      </c>
      <c r="AL334" s="16">
        <f>IFERROR(__xludf.DUMMYFUNCTION("""COMPUTED_VALUE"""),11.3)</f>
        <v>11.3</v>
      </c>
      <c r="AM334" s="16">
        <f>IFERROR(__xludf.DUMMYFUNCTION("""COMPUTED_VALUE"""),2.0)</f>
        <v>2</v>
      </c>
      <c r="AN334" s="16">
        <f>IFERROR(__xludf.DUMMYFUNCTION("""COMPUTED_VALUE"""),0.0)</f>
        <v>0</v>
      </c>
      <c r="AO334" s="16">
        <f>IFERROR(__xludf.DUMMYFUNCTION("""COMPUTED_VALUE"""),2.0)</f>
        <v>2</v>
      </c>
      <c r="AP334" s="16">
        <f>IFERROR(__xludf.DUMMYFUNCTION("""COMPUTED_VALUE"""),0.0)</f>
        <v>0</v>
      </c>
      <c r="AQ334" s="16">
        <f>IFERROR(__xludf.DUMMYFUNCTION("""COMPUTED_VALUE"""),5.800000000000001)</f>
        <v>5.8</v>
      </c>
      <c r="AR334" s="16">
        <f>IFERROR(__xludf.DUMMYFUNCTION("""COMPUTED_VALUE"""),19.2)</f>
        <v>19.2</v>
      </c>
      <c r="AS334" s="16">
        <f>IFERROR(__xludf.DUMMYFUNCTION("""COMPUTED_VALUE"""),2.0)</f>
        <v>2</v>
      </c>
      <c r="AT334" s="16">
        <f>IFERROR(__xludf.DUMMYFUNCTION("""COMPUTED_VALUE"""),0.0)</f>
        <v>0</v>
      </c>
      <c r="AU334" s="16">
        <f>IFERROR(__xludf.DUMMYFUNCTION("""COMPUTED_VALUE"""),4.0)</f>
        <v>4</v>
      </c>
      <c r="AV334" s="16">
        <f>IFERROR(__xludf.DUMMYFUNCTION("""COMPUTED_VALUE"""),0.0)</f>
        <v>0</v>
      </c>
      <c r="AW334" s="16">
        <f>IFERROR(__xludf.DUMMYFUNCTION("""COMPUTED_VALUE"""),7.8)</f>
        <v>7.8</v>
      </c>
      <c r="AX334" s="16">
        <f>IFERROR(__xludf.DUMMYFUNCTION("""COMPUTED_VALUE"""),3.2)</f>
        <v>3.2</v>
      </c>
      <c r="AY334" s="16">
        <f>IFERROR(__xludf.DUMMYFUNCTION("""COMPUTED_VALUE"""),-3.0)</f>
        <v>-3</v>
      </c>
      <c r="AZ334" s="16">
        <f>IFERROR(__xludf.DUMMYFUNCTION("""COMPUTED_VALUE"""),-1.0)</f>
        <v>-1</v>
      </c>
      <c r="BA334" s="16">
        <f>IFERROR(__xludf.DUMMYFUNCTION("""COMPUTED_VALUE"""),-15.0)</f>
        <v>-15</v>
      </c>
      <c r="BB334" s="16">
        <f>IFERROR(__xludf.DUMMYFUNCTION("""COMPUTED_VALUE"""),-5.0)</f>
        <v>-5</v>
      </c>
      <c r="BC334" s="16"/>
      <c r="BD334" s="16">
        <f>IFERROR(__xludf.DUMMYFUNCTION("""COMPUTED_VALUE"""),4.0)</f>
        <v>4</v>
      </c>
      <c r="BE334" s="16">
        <f>IFERROR(__xludf.DUMMYFUNCTION("""COMPUTED_VALUE"""),8.0)</f>
        <v>8</v>
      </c>
      <c r="BF334" s="16">
        <f>IFERROR(__xludf.DUMMYFUNCTION("""COMPUTED_VALUE"""),4.0)</f>
        <v>4</v>
      </c>
      <c r="BG334" s="16">
        <f>IFERROR(__xludf.DUMMYFUNCTION("""COMPUTED_VALUE"""),-3.0)</f>
        <v>-3</v>
      </c>
      <c r="BH334" s="16">
        <f>IFERROR(__xludf.DUMMYFUNCTION("""COMPUTED_VALUE"""),-1.0)</f>
        <v>-1</v>
      </c>
      <c r="BI334" s="16">
        <f>IFERROR(__xludf.DUMMYFUNCTION("""COMPUTED_VALUE"""),-6.0)</f>
        <v>-6</v>
      </c>
      <c r="BJ334" s="16">
        <f>IFERROR(__xludf.DUMMYFUNCTION("""COMPUTED_VALUE"""),-2.0)</f>
        <v>-2</v>
      </c>
      <c r="BK334" s="16">
        <f>IFERROR(__xludf.DUMMYFUNCTION("""COMPUTED_VALUE"""),0.0)</f>
        <v>0</v>
      </c>
      <c r="BL334" s="16">
        <f>IFERROR(__xludf.DUMMYFUNCTION("""COMPUTED_VALUE"""),5.0)</f>
        <v>5</v>
      </c>
      <c r="BM334" s="16">
        <f>IFERROR(__xludf.DUMMYFUNCTION("""COMPUTED_VALUE"""),1.0)</f>
        <v>1</v>
      </c>
      <c r="BN334" s="16">
        <f>IFERROR(__xludf.DUMMYFUNCTION("""COMPUTED_VALUE"""),0.0)</f>
        <v>0</v>
      </c>
      <c r="BO334" s="16">
        <f>IFERROR(__xludf.DUMMYFUNCTION("""COMPUTED_VALUE"""),1.0)</f>
        <v>1</v>
      </c>
      <c r="BP334" s="16">
        <f>IFERROR(__xludf.DUMMYFUNCTION("""COMPUTED_VALUE"""),0.0)</f>
        <v>0</v>
      </c>
      <c r="BQ334" s="16">
        <f>IFERROR(__xludf.DUMMYFUNCTION("""COMPUTED_VALUE"""),8.0)</f>
        <v>8</v>
      </c>
      <c r="BR334" s="16">
        <f>IFERROR(__xludf.DUMMYFUNCTION("""COMPUTED_VALUE"""),8.0)</f>
        <v>8</v>
      </c>
      <c r="BS334" s="16">
        <f>IFERROR(__xludf.DUMMYFUNCTION("""COMPUTED_VALUE"""),2.0)</f>
        <v>2</v>
      </c>
      <c r="BT334" s="16">
        <f>IFERROR(__xludf.DUMMYFUNCTION("""COMPUTED_VALUE"""),2.0)</f>
        <v>2</v>
      </c>
      <c r="BU334" s="16">
        <f>IFERROR(__xludf.DUMMYFUNCTION("""COMPUTED_VALUE"""),4.0)</f>
        <v>4</v>
      </c>
      <c r="BV334" s="16">
        <f>IFERROR(__xludf.DUMMYFUNCTION("""COMPUTED_VALUE"""),4.0)</f>
        <v>4</v>
      </c>
      <c r="BW334" s="16">
        <f>IFERROR(__xludf.DUMMYFUNCTION("""COMPUTED_VALUE"""),-2.0)</f>
        <v>-2</v>
      </c>
      <c r="BX334" s="16">
        <f>IFERROR(__xludf.DUMMYFUNCTION("""COMPUTED_VALUE"""),-2.0)</f>
        <v>-2</v>
      </c>
      <c r="BY334" s="16" t="str">
        <f>IFERROR(__xludf.DUMMYFUNCTION("""COMPUTED_VALUE"""),"S(4)")</f>
        <v>S(4)</v>
      </c>
      <c r="BZ334" s="16" t="str">
        <f>IFERROR(__xludf.DUMMYFUNCTION("""COMPUTED_VALUE"""),"S(4)")</f>
        <v>S(4)</v>
      </c>
      <c r="CA334" s="16" t="str">
        <f>IFERROR(__xludf.DUMMYFUNCTION("""COMPUTED_VALUE"""),"S(4)")</f>
        <v>S(4)</v>
      </c>
      <c r="CB334" s="16"/>
      <c r="CC334" s="16"/>
      <c r="CD334" s="16">
        <f>IFERROR(__xludf.DUMMYFUNCTION("""COMPUTED_VALUE"""),4.0)</f>
        <v>4</v>
      </c>
      <c r="CE334" s="16"/>
      <c r="CF334" s="16"/>
      <c r="CG334" s="16" t="str">
        <f>IFERROR(__xludf.DUMMYFUNCTION("""COMPUTED_VALUE"""),"3-0")</f>
        <v>3-0</v>
      </c>
      <c r="CH334" s="16">
        <f>IFERROR(__xludf.DUMMYFUNCTION("""COMPUTED_VALUE"""),3.0)</f>
        <v>3</v>
      </c>
      <c r="CI334" s="16">
        <f>IFERROR(__xludf.DUMMYFUNCTION("""COMPUTED_VALUE"""),0.0)</f>
        <v>0</v>
      </c>
      <c r="CJ334" s="16">
        <f>IFERROR(__xludf.DUMMYFUNCTION("""COMPUTED_VALUE"""),0.0)</f>
        <v>0</v>
      </c>
      <c r="CK334" s="16">
        <f>IFERROR(__xludf.DUMMYFUNCTION("""COMPUTED_VALUE"""),6.0)</f>
        <v>6</v>
      </c>
      <c r="CL334" s="16" t="str">
        <f>IFERROR(__xludf.DUMMYFUNCTION("""COMPUTED_VALUE"""),"1WL-C")</f>
        <v>1WL-C</v>
      </c>
      <c r="CM334" s="16" t="str">
        <f>IFERROR(__xludf.DUMMYFUNCTION("""COMPUTED_VALUE"""),"E")</f>
        <v>E</v>
      </c>
      <c r="CN334" s="16">
        <f>IFERROR(__xludf.DUMMYFUNCTION("""COMPUTED_VALUE"""),10.0)</f>
        <v>10</v>
      </c>
      <c r="CO334" s="16" t="str">
        <f>IFERROR(__xludf.DUMMYFUNCTION("""COMPUTED_VALUE"""),"C")</f>
        <v>C</v>
      </c>
      <c r="CP334" s="16" t="str">
        <f>IFERROR(__xludf.DUMMYFUNCTION("""COMPUTED_VALUE"""),"1p20")</f>
        <v>1p20</v>
      </c>
      <c r="CQ334" s="16">
        <f>IFERROR(__xludf.DUMMYFUNCTION("""COMPUTED_VALUE"""),-10.0)</f>
        <v>-10</v>
      </c>
      <c r="CR334" s="16">
        <f>IFERROR(__xludf.DUMMYFUNCTION("""COMPUTED_VALUE"""),-13.0)</f>
        <v>-13</v>
      </c>
      <c r="CS334" s="16">
        <f>IFERROR(__xludf.DUMMYFUNCTION("""COMPUTED_VALUE"""),-23.0)</f>
        <v>-23</v>
      </c>
      <c r="CT334" s="16">
        <f>IFERROR(__xludf.DUMMYFUNCTION("""COMPUTED_VALUE"""),-10.0)</f>
        <v>-10</v>
      </c>
      <c r="CU334" s="16">
        <f>IFERROR(__xludf.DUMMYFUNCTION("""COMPUTED_VALUE"""),-13.0)</f>
        <v>-13</v>
      </c>
      <c r="CV334" s="179">
        <f>IFERROR(__xludf.DUMMYFUNCTION("""COMPUTED_VALUE"""),-5.0)</f>
        <v>-5</v>
      </c>
      <c r="CW334" s="179">
        <f>IFERROR(__xludf.DUMMYFUNCTION("""COMPUTED_VALUE"""),4.0)</f>
        <v>4</v>
      </c>
      <c r="CX334" s="179">
        <f>IFERROR(__xludf.DUMMYFUNCTION("""COMPUTED_VALUE"""),3.0)</f>
        <v>3</v>
      </c>
      <c r="CY334" s="16" t="str">
        <f>IFERROR(__xludf.DUMMYFUNCTION("""COMPUTED_VALUE"""),"SP")</f>
        <v>SP</v>
      </c>
      <c r="CZ334" s="16"/>
      <c r="DA334" s="16"/>
      <c r="DB334" s="16"/>
      <c r="DC334" s="16"/>
      <c r="DD334" s="16"/>
      <c r="DE334" s="16"/>
      <c r="DF334" s="16"/>
      <c r="DG334" s="16"/>
      <c r="DH334" s="16"/>
      <c r="DI334" s="16"/>
      <c r="DJ334" s="16"/>
      <c r="DK334" s="16"/>
    </row>
    <row r="335">
      <c r="A335" s="16">
        <f>IFERROR(__xludf.DUMMYFUNCTION("""COMPUTED_VALUE"""),13495.0)</f>
        <v>13495</v>
      </c>
      <c r="B335" s="16" t="str">
        <f>IFERROR(__xludf.DUMMYFUNCTION("""COMPUTED_VALUE"""),"Xzavion Curry")</f>
        <v>Xzavion Curry</v>
      </c>
      <c r="C335" s="153">
        <f>IFERROR(__xludf.DUMMYFUNCTION("""COMPUTED_VALUE"""),0.34)</f>
        <v>0.34</v>
      </c>
      <c r="D335" s="16"/>
      <c r="E335" s="16" t="str">
        <f>IFERROR(__xludf.DUMMYFUNCTION("""COMPUTED_VALUE"""),"R")</f>
        <v>R</v>
      </c>
      <c r="F335" s="16">
        <f>IFERROR(__xludf.DUMMYFUNCTION("""COMPUTED_VALUE"""),43.0)</f>
        <v>43</v>
      </c>
      <c r="G335" s="16">
        <f>IFERROR(__xludf.DUMMYFUNCTION("""COMPUTED_VALUE"""),10.0)</f>
        <v>10</v>
      </c>
      <c r="H335" s="16">
        <f>IFERROR(__xludf.DUMMYFUNCTION("""COMPUTED_VALUE"""),10.0)</f>
        <v>10</v>
      </c>
      <c r="I335" s="16">
        <f>IFERROR(__xludf.DUMMYFUNCTION("""COMPUTED_VALUE"""),-2.0)</f>
        <v>-2</v>
      </c>
      <c r="J335" s="16">
        <f>IFERROR(__xludf.DUMMYFUNCTION("""COMPUTED_VALUE"""),-2.0)</f>
        <v>-2</v>
      </c>
      <c r="K335" s="16">
        <f>IFERROR(__xludf.DUMMYFUNCTION("""COMPUTED_VALUE"""),-6.0)</f>
        <v>-6</v>
      </c>
      <c r="L335" s="16">
        <f>IFERROR(__xludf.DUMMYFUNCTION("""COMPUTED_VALUE"""),-6.0)</f>
        <v>-6</v>
      </c>
      <c r="M335" s="16">
        <f>IFERROR(__xludf.DUMMYFUNCTION("""COMPUTED_VALUE"""),0.0)</f>
        <v>0</v>
      </c>
      <c r="N335" s="16">
        <f>IFERROR(__xludf.DUMMYFUNCTION("""COMPUTED_VALUE"""),0.0)</f>
        <v>0</v>
      </c>
      <c r="O335" s="16">
        <f>IFERROR(__xludf.DUMMYFUNCTION("""COMPUTED_VALUE"""),3.0)</f>
        <v>3</v>
      </c>
      <c r="P335" s="16">
        <f>IFERROR(__xludf.DUMMYFUNCTION("""COMPUTED_VALUE"""),3.0)</f>
        <v>3</v>
      </c>
      <c r="Q335" s="16">
        <f>IFERROR(__xludf.DUMMYFUNCTION("""COMPUTED_VALUE"""),3.0)</f>
        <v>3</v>
      </c>
      <c r="R335" s="16">
        <f>IFERROR(__xludf.DUMMYFUNCTION("""COMPUTED_VALUE"""),3.0)</f>
        <v>3</v>
      </c>
      <c r="S335" s="16">
        <f>IFERROR(__xludf.DUMMYFUNCTION("""COMPUTED_VALUE"""),21.8)</f>
        <v>21.8</v>
      </c>
      <c r="T335" s="16">
        <f>IFERROR(__xludf.DUMMYFUNCTION("""COMPUTED_VALUE"""),12.0)</f>
        <v>12</v>
      </c>
      <c r="U335" s="16">
        <f>IFERROR(__xludf.DUMMYFUNCTION("""COMPUTED_VALUE"""),-1.0)</f>
        <v>-1</v>
      </c>
      <c r="V335" s="16">
        <f>IFERROR(__xludf.DUMMYFUNCTION("""COMPUTED_VALUE"""),1.0)</f>
        <v>1</v>
      </c>
      <c r="W335" s="16">
        <f>IFERROR(__xludf.DUMMYFUNCTION("""COMPUTED_VALUE"""),-2.0)</f>
        <v>-2</v>
      </c>
      <c r="X335" s="16">
        <f>IFERROR(__xludf.DUMMYFUNCTION("""COMPUTED_VALUE"""),2.0)</f>
        <v>2</v>
      </c>
      <c r="Y335" s="16">
        <f>IFERROR(__xludf.DUMMYFUNCTION("""COMPUTED_VALUE"""),21.8)</f>
        <v>21.8</v>
      </c>
      <c r="Z335" s="16">
        <f>IFERROR(__xludf.DUMMYFUNCTION("""COMPUTED_VALUE"""),12.0)</f>
        <v>12</v>
      </c>
      <c r="AA335" s="16">
        <f>IFERROR(__xludf.DUMMYFUNCTION("""COMPUTED_VALUE"""),1.0)</f>
        <v>1</v>
      </c>
      <c r="AB335" s="16">
        <f>IFERROR(__xludf.DUMMYFUNCTION("""COMPUTED_VALUE"""),2.0)</f>
        <v>2</v>
      </c>
      <c r="AC335" s="16">
        <f>IFERROR(__xludf.DUMMYFUNCTION("""COMPUTED_VALUE"""),5.0)</f>
        <v>5</v>
      </c>
      <c r="AD335" s="16">
        <f>IFERROR(__xludf.DUMMYFUNCTION("""COMPUTED_VALUE"""),10.0)</f>
        <v>10</v>
      </c>
      <c r="AE335" s="16">
        <f>IFERROR(__xludf.DUMMYFUNCTION("""COMPUTED_VALUE"""),61.6)</f>
        <v>61.6</v>
      </c>
      <c r="AF335" s="16">
        <f>IFERROR(__xludf.DUMMYFUNCTION("""COMPUTED_VALUE"""),26.4)</f>
        <v>26.4</v>
      </c>
      <c r="AG335" s="16">
        <f>IFERROR(__xludf.DUMMYFUNCTION("""COMPUTED_VALUE"""),-3.0)</f>
        <v>-3</v>
      </c>
      <c r="AH335" s="16">
        <f>IFERROR(__xludf.DUMMYFUNCTION("""COMPUTED_VALUE"""),0.0)</f>
        <v>0</v>
      </c>
      <c r="AI335" s="16">
        <f>IFERROR(__xludf.DUMMYFUNCTION("""COMPUTED_VALUE"""),-6.0)</f>
        <v>-6</v>
      </c>
      <c r="AJ335" s="16">
        <f>IFERROR(__xludf.DUMMYFUNCTION("""COMPUTED_VALUE"""),0.0)</f>
        <v>0</v>
      </c>
      <c r="AK335" s="16">
        <f>IFERROR(__xludf.DUMMYFUNCTION("""COMPUTED_VALUE"""),13.600000000000001)</f>
        <v>13.6</v>
      </c>
      <c r="AL335" s="16">
        <f>IFERROR(__xludf.DUMMYFUNCTION("""COMPUTED_VALUE"""),10.8)</f>
        <v>10.8</v>
      </c>
      <c r="AM335" s="16">
        <f>IFERROR(__xludf.DUMMYFUNCTION("""COMPUTED_VALUE"""),0.0)</f>
        <v>0</v>
      </c>
      <c r="AN335" s="16">
        <f>IFERROR(__xludf.DUMMYFUNCTION("""COMPUTED_VALUE"""),1.0)</f>
        <v>1</v>
      </c>
      <c r="AO335" s="16">
        <f>IFERROR(__xludf.DUMMYFUNCTION("""COMPUTED_VALUE"""),0.0)</f>
        <v>0</v>
      </c>
      <c r="AP335" s="16">
        <f>IFERROR(__xludf.DUMMYFUNCTION("""COMPUTED_VALUE"""),1.0)</f>
        <v>1</v>
      </c>
      <c r="AQ335" s="16">
        <f>IFERROR(__xludf.DUMMYFUNCTION("""COMPUTED_VALUE"""),28.800000000000004)</f>
        <v>28.8</v>
      </c>
      <c r="AR335" s="16">
        <f>IFERROR(__xludf.DUMMYFUNCTION("""COMPUTED_VALUE"""),21.599999999999998)</f>
        <v>21.6</v>
      </c>
      <c r="AS335" s="16">
        <f>IFERROR(__xludf.DUMMYFUNCTION("""COMPUTED_VALUE"""),-1.0)</f>
        <v>-1</v>
      </c>
      <c r="AT335" s="16">
        <f>IFERROR(__xludf.DUMMYFUNCTION("""COMPUTED_VALUE"""),0.0)</f>
        <v>0</v>
      </c>
      <c r="AU335" s="16">
        <f>IFERROR(__xludf.DUMMYFUNCTION("""COMPUTED_VALUE"""),-2.0)</f>
        <v>-2</v>
      </c>
      <c r="AV335" s="16">
        <f>IFERROR(__xludf.DUMMYFUNCTION("""COMPUTED_VALUE"""),0.0)</f>
        <v>0</v>
      </c>
      <c r="AW335" s="16">
        <f>IFERROR(__xludf.DUMMYFUNCTION("""COMPUTED_VALUE"""),8.2)</f>
        <v>8.2</v>
      </c>
      <c r="AX335" s="16">
        <f>IFERROR(__xludf.DUMMYFUNCTION("""COMPUTED_VALUE"""),1.2)</f>
        <v>1.2</v>
      </c>
      <c r="AY335" s="16">
        <f>IFERROR(__xludf.DUMMYFUNCTION("""COMPUTED_VALUE"""),-3.0)</f>
        <v>-3</v>
      </c>
      <c r="AZ335" s="16">
        <f>IFERROR(__xludf.DUMMYFUNCTION("""COMPUTED_VALUE"""),1.0)</f>
        <v>1</v>
      </c>
      <c r="BA335" s="16">
        <f>IFERROR(__xludf.DUMMYFUNCTION("""COMPUTED_VALUE"""),-15.0)</f>
        <v>-15</v>
      </c>
      <c r="BB335" s="16">
        <f>IFERROR(__xludf.DUMMYFUNCTION("""COMPUTED_VALUE"""),5.0)</f>
        <v>5</v>
      </c>
      <c r="BC335" s="16"/>
      <c r="BD335" s="16"/>
      <c r="BE335" s="16">
        <f>IFERROR(__xludf.DUMMYFUNCTION("""COMPUTED_VALUE"""),8.0)</f>
        <v>8</v>
      </c>
      <c r="BF335" s="16">
        <f>IFERROR(__xludf.DUMMYFUNCTION("""COMPUTED_VALUE"""),1.0)</f>
        <v>1</v>
      </c>
      <c r="BG335" s="16">
        <f>IFERROR(__xludf.DUMMYFUNCTION("""COMPUTED_VALUE"""),-3.0)</f>
        <v>-3</v>
      </c>
      <c r="BH335" s="16">
        <f>IFERROR(__xludf.DUMMYFUNCTION("""COMPUTED_VALUE"""),2.0)</f>
        <v>2</v>
      </c>
      <c r="BI335" s="16">
        <f>IFERROR(__xludf.DUMMYFUNCTION("""COMPUTED_VALUE"""),-6.0)</f>
        <v>-6</v>
      </c>
      <c r="BJ335" s="16">
        <f>IFERROR(__xludf.DUMMYFUNCTION("""COMPUTED_VALUE"""),4.0)</f>
        <v>4</v>
      </c>
      <c r="BK335" s="16">
        <f>IFERROR(__xludf.DUMMYFUNCTION("""COMPUTED_VALUE"""),0.0)</f>
        <v>0</v>
      </c>
      <c r="BL335" s="16">
        <f>IFERROR(__xludf.DUMMYFUNCTION("""COMPUTED_VALUE"""),0.0)</f>
        <v>0</v>
      </c>
      <c r="BM335" s="16">
        <f>IFERROR(__xludf.DUMMYFUNCTION("""COMPUTED_VALUE"""),1.0)</f>
        <v>1</v>
      </c>
      <c r="BN335" s="16">
        <f>IFERROR(__xludf.DUMMYFUNCTION("""COMPUTED_VALUE"""),1.0)</f>
        <v>1</v>
      </c>
      <c r="BO335" s="16">
        <f>IFERROR(__xludf.DUMMYFUNCTION("""COMPUTED_VALUE"""),1.0)</f>
        <v>1</v>
      </c>
      <c r="BP335" s="16">
        <f>IFERROR(__xludf.DUMMYFUNCTION("""COMPUTED_VALUE"""),1.0)</f>
        <v>1</v>
      </c>
      <c r="BQ335" s="16">
        <f>IFERROR(__xludf.DUMMYFUNCTION("""COMPUTED_VALUE"""),6.0)</f>
        <v>6</v>
      </c>
      <c r="BR335" s="16">
        <f>IFERROR(__xludf.DUMMYFUNCTION("""COMPUTED_VALUE"""),6.0)</f>
        <v>6</v>
      </c>
      <c r="BS335" s="16">
        <f>IFERROR(__xludf.DUMMYFUNCTION("""COMPUTED_VALUE"""),1.0)</f>
        <v>1</v>
      </c>
      <c r="BT335" s="16">
        <f>IFERROR(__xludf.DUMMYFUNCTION("""COMPUTED_VALUE"""),1.0)</f>
        <v>1</v>
      </c>
      <c r="BU335" s="16">
        <f>IFERROR(__xludf.DUMMYFUNCTION("""COMPUTED_VALUE"""),2.0)</f>
        <v>2</v>
      </c>
      <c r="BV335" s="16">
        <f>IFERROR(__xludf.DUMMYFUNCTION("""COMPUTED_VALUE"""),2.0)</f>
        <v>2</v>
      </c>
      <c r="BW335" s="16">
        <f>IFERROR(__xludf.DUMMYFUNCTION("""COMPUTED_VALUE"""),-1.0)</f>
        <v>-1</v>
      </c>
      <c r="BX335" s="16">
        <f>IFERROR(__xludf.DUMMYFUNCTION("""COMPUTED_VALUE"""),-1.0)</f>
        <v>-1</v>
      </c>
      <c r="BY335" s="16" t="str">
        <f>IFERROR(__xludf.DUMMYFUNCTION("""COMPUTED_VALUE"""),"S(4) R(3)")</f>
        <v>S(4) R(3)</v>
      </c>
      <c r="BZ335" s="16" t="str">
        <f>IFERROR(__xludf.DUMMYFUNCTION("""COMPUTED_VALUE"""),"S(4) R(3)")</f>
        <v>S(4) R(3)</v>
      </c>
      <c r="CA335" s="16" t="str">
        <f>IFERROR(__xludf.DUMMYFUNCTION("""COMPUTED_VALUE"""),"S(4)")</f>
        <v>S(4)</v>
      </c>
      <c r="CB335" s="16" t="str">
        <f>IFERROR(__xludf.DUMMYFUNCTION("""COMPUTED_VALUE"""),"R(3)")</f>
        <v>R(3)</v>
      </c>
      <c r="CC335" s="16"/>
      <c r="CD335" s="16">
        <f>IFERROR(__xludf.DUMMYFUNCTION("""COMPUTED_VALUE"""),4.0)</f>
        <v>4</v>
      </c>
      <c r="CE335" s="16">
        <f>IFERROR(__xludf.DUMMYFUNCTION("""COMPUTED_VALUE"""),3.0)</f>
        <v>3</v>
      </c>
      <c r="CF335" s="16"/>
      <c r="CG335" s="16" t="str">
        <f>IFERROR(__xludf.DUMMYFUNCTION("""COMPUTED_VALUE"""),"3-0")</f>
        <v>3-0</v>
      </c>
      <c r="CH335" s="16">
        <f>IFERROR(__xludf.DUMMYFUNCTION("""COMPUTED_VALUE"""),3.0)</f>
        <v>3</v>
      </c>
      <c r="CI335" s="16">
        <f>IFERROR(__xludf.DUMMYFUNCTION("""COMPUTED_VALUE"""),0.0)</f>
        <v>0</v>
      </c>
      <c r="CJ335" s="16">
        <f>IFERROR(__xludf.DUMMYFUNCTION("""COMPUTED_VALUE"""),0.0)</f>
        <v>0</v>
      </c>
      <c r="CK335" s="16">
        <f>IFERROR(__xludf.DUMMYFUNCTION("""COMPUTED_VALUE"""),5.0)</f>
        <v>5</v>
      </c>
      <c r="CL335" s="16" t="str">
        <f>IFERROR(__xludf.DUMMYFUNCTION("""COMPUTED_VALUE"""),"1WR-C")</f>
        <v>1WR-C</v>
      </c>
      <c r="CM335" s="16" t="str">
        <f>IFERROR(__xludf.DUMMYFUNCTION("""COMPUTED_VALUE"""),"E")</f>
        <v>E</v>
      </c>
      <c r="CN335" s="16">
        <f>IFERROR(__xludf.DUMMYFUNCTION("""COMPUTED_VALUE"""),10.0)</f>
        <v>10</v>
      </c>
      <c r="CO335" s="16" t="str">
        <f>IFERROR(__xludf.DUMMYFUNCTION("""COMPUTED_VALUE"""),"C")</f>
        <v>C</v>
      </c>
      <c r="CP335" s="16" t="str">
        <f>IFERROR(__xludf.DUMMYFUNCTION("""COMPUTED_VALUE"""),"2p30")</f>
        <v>2p30</v>
      </c>
      <c r="CQ335" s="16">
        <f>IFERROR(__xludf.DUMMYFUNCTION("""COMPUTED_VALUE"""),-26.0)</f>
        <v>-26</v>
      </c>
      <c r="CR335" s="16">
        <f>IFERROR(__xludf.DUMMYFUNCTION("""COMPUTED_VALUE"""),22.0)</f>
        <v>22</v>
      </c>
      <c r="CS335" s="16">
        <f>IFERROR(__xludf.DUMMYFUNCTION("""COMPUTED_VALUE"""),-4.0)</f>
        <v>-4</v>
      </c>
      <c r="CT335" s="16">
        <f>IFERROR(__xludf.DUMMYFUNCTION("""COMPUTED_VALUE"""),-26.0)</f>
        <v>-26</v>
      </c>
      <c r="CU335" s="16">
        <f>IFERROR(__xludf.DUMMYFUNCTION("""COMPUTED_VALUE"""),22.0)</f>
        <v>22</v>
      </c>
      <c r="CV335" s="179">
        <f>IFERROR(__xludf.DUMMYFUNCTION("""COMPUTED_VALUE"""),-5.0)</f>
        <v>-5</v>
      </c>
      <c r="CW335" s="179">
        <f>IFERROR(__xludf.DUMMYFUNCTION("""COMPUTED_VALUE"""),3.0)</f>
        <v>3</v>
      </c>
      <c r="CX335" s="179">
        <f>IFERROR(__xludf.DUMMYFUNCTION("""COMPUTED_VALUE"""),2.0)</f>
        <v>2</v>
      </c>
      <c r="CY335" s="16" t="str">
        <f>IFERROR(__xludf.DUMMYFUNCTION("""COMPUTED_VALUE"""),"SP")</f>
        <v>SP</v>
      </c>
      <c r="CZ335" s="16" t="str">
        <f>IFERROR(__xludf.DUMMYFUNCTION("""COMPUTED_VALUE"""),"RP")</f>
        <v>RP</v>
      </c>
      <c r="DA335" s="16"/>
      <c r="DB335" s="16"/>
      <c r="DC335" s="16"/>
      <c r="DD335" s="16"/>
      <c r="DE335" s="16"/>
      <c r="DF335" s="16"/>
      <c r="DG335" s="16"/>
      <c r="DH335" s="16"/>
      <c r="DI335" s="16"/>
      <c r="DJ335" s="16"/>
      <c r="DK335" s="16"/>
    </row>
    <row r="336">
      <c r="A336" s="16">
        <f>IFERROR(__xludf.DUMMYFUNCTION("""COMPUTED_VALUE"""),12839.0)</f>
        <v>12839</v>
      </c>
      <c r="B336" s="16" t="str">
        <f>IFERROR(__xludf.DUMMYFUNCTION("""COMPUTED_VALUE"""),"Gavin Williams")</f>
        <v>Gavin Williams</v>
      </c>
      <c r="C336" s="153">
        <f>IFERROR(__xludf.DUMMYFUNCTION("""COMPUTED_VALUE"""),0.0)</f>
        <v>0</v>
      </c>
      <c r="D336" s="16"/>
      <c r="E336" s="16" t="str">
        <f>IFERROR(__xludf.DUMMYFUNCTION("""COMPUTED_VALUE"""),"R")</f>
        <v>R</v>
      </c>
      <c r="F336" s="16">
        <f>IFERROR(__xludf.DUMMYFUNCTION("""COMPUTED_VALUE"""),76.0)</f>
        <v>76</v>
      </c>
      <c r="G336" s="16">
        <f>IFERROR(__xludf.DUMMYFUNCTION("""COMPUTED_VALUE"""),32.0)</f>
        <v>32</v>
      </c>
      <c r="H336" s="16">
        <f>IFERROR(__xludf.DUMMYFUNCTION("""COMPUTED_VALUE"""),23.0)</f>
        <v>23</v>
      </c>
      <c r="I336" s="16">
        <f>IFERROR(__xludf.DUMMYFUNCTION("""COMPUTED_VALUE"""),1.0)</f>
        <v>1</v>
      </c>
      <c r="J336" s="16">
        <f>IFERROR(__xludf.DUMMYFUNCTION("""COMPUTED_VALUE"""),-1.0)</f>
        <v>-1</v>
      </c>
      <c r="K336" s="16">
        <f>IFERROR(__xludf.DUMMYFUNCTION("""COMPUTED_VALUE"""),3.0)</f>
        <v>3</v>
      </c>
      <c r="L336" s="16">
        <f>IFERROR(__xludf.DUMMYFUNCTION("""COMPUTED_VALUE"""),-3.0)</f>
        <v>-3</v>
      </c>
      <c r="M336" s="16">
        <f>IFERROR(__xludf.DUMMYFUNCTION("""COMPUTED_VALUE"""),12.0)</f>
        <v>12</v>
      </c>
      <c r="N336" s="16">
        <f>IFERROR(__xludf.DUMMYFUNCTION("""COMPUTED_VALUE"""),13.0)</f>
        <v>13</v>
      </c>
      <c r="O336" s="16">
        <f>IFERROR(__xludf.DUMMYFUNCTION("""COMPUTED_VALUE"""),-1.0)</f>
        <v>-1</v>
      </c>
      <c r="P336" s="16">
        <f>IFERROR(__xludf.DUMMYFUNCTION("""COMPUTED_VALUE"""),-2.0)</f>
        <v>-2</v>
      </c>
      <c r="Q336" s="16">
        <f>IFERROR(__xludf.DUMMYFUNCTION("""COMPUTED_VALUE"""),-1.0)</f>
        <v>-1</v>
      </c>
      <c r="R336" s="16">
        <f>IFERROR(__xludf.DUMMYFUNCTION("""COMPUTED_VALUE"""),-2.0)</f>
        <v>-2</v>
      </c>
      <c r="S336" s="16">
        <f>IFERROR(__xludf.DUMMYFUNCTION("""COMPUTED_VALUE"""),12.6)</f>
        <v>12.6</v>
      </c>
      <c r="T336" s="16">
        <f>IFERROR(__xludf.DUMMYFUNCTION("""COMPUTED_VALUE"""),23.0)</f>
        <v>23</v>
      </c>
      <c r="U336" s="16">
        <f>IFERROR(__xludf.DUMMYFUNCTION("""COMPUTED_VALUE"""),0.0)</f>
        <v>0</v>
      </c>
      <c r="V336" s="16">
        <f>IFERROR(__xludf.DUMMYFUNCTION("""COMPUTED_VALUE"""),-1.0)</f>
        <v>-1</v>
      </c>
      <c r="W336" s="16">
        <f>IFERROR(__xludf.DUMMYFUNCTION("""COMPUTED_VALUE"""),0.0)</f>
        <v>0</v>
      </c>
      <c r="X336" s="16">
        <f>IFERROR(__xludf.DUMMYFUNCTION("""COMPUTED_VALUE"""),-2.0)</f>
        <v>-2</v>
      </c>
      <c r="Y336" s="16">
        <f>IFERROR(__xludf.DUMMYFUNCTION("""COMPUTED_VALUE"""),24.6)</f>
        <v>24.6</v>
      </c>
      <c r="Z336" s="16">
        <f>IFERROR(__xludf.DUMMYFUNCTION("""COMPUTED_VALUE"""),36.0)</f>
        <v>36</v>
      </c>
      <c r="AA336" s="16">
        <f>IFERROR(__xludf.DUMMYFUNCTION("""COMPUTED_VALUE"""),0.0)</f>
        <v>0</v>
      </c>
      <c r="AB336" s="16">
        <f>IFERROR(__xludf.DUMMYFUNCTION("""COMPUTED_VALUE"""),-2.0)</f>
        <v>-2</v>
      </c>
      <c r="AC336" s="16">
        <f>IFERROR(__xludf.DUMMYFUNCTION("""COMPUTED_VALUE"""),0.0)</f>
        <v>0</v>
      </c>
      <c r="AD336" s="16">
        <f>IFERROR(__xludf.DUMMYFUNCTION("""COMPUTED_VALUE"""),-10.0)</f>
        <v>-10</v>
      </c>
      <c r="AE336" s="16">
        <f>IFERROR(__xludf.DUMMYFUNCTION("""COMPUTED_VALUE"""),20.7)</f>
        <v>20.7</v>
      </c>
      <c r="AF336" s="16">
        <f>IFERROR(__xludf.DUMMYFUNCTION("""COMPUTED_VALUE"""),40.6)</f>
        <v>40.6</v>
      </c>
      <c r="AG336" s="16">
        <f>IFERROR(__xludf.DUMMYFUNCTION("""COMPUTED_VALUE"""),1.0)</f>
        <v>1</v>
      </c>
      <c r="AH336" s="16">
        <f>IFERROR(__xludf.DUMMYFUNCTION("""COMPUTED_VALUE"""),-1.0)</f>
        <v>-1</v>
      </c>
      <c r="AI336" s="16">
        <f>IFERROR(__xludf.DUMMYFUNCTION("""COMPUTED_VALUE"""),2.0)</f>
        <v>2</v>
      </c>
      <c r="AJ336" s="16">
        <f>IFERROR(__xludf.DUMMYFUNCTION("""COMPUTED_VALUE"""),-2.0)</f>
        <v>-2</v>
      </c>
      <c r="AK336" s="16">
        <f>IFERROR(__xludf.DUMMYFUNCTION("""COMPUTED_VALUE"""),12.2)</f>
        <v>12.2</v>
      </c>
      <c r="AL336" s="16">
        <f>IFERROR(__xludf.DUMMYFUNCTION("""COMPUTED_VALUE"""),21.4)</f>
        <v>21.4</v>
      </c>
      <c r="AM336" s="16">
        <f>IFERROR(__xludf.DUMMYFUNCTION("""COMPUTED_VALUE"""),0.0)</f>
        <v>0</v>
      </c>
      <c r="AN336" s="16">
        <f>IFERROR(__xludf.DUMMYFUNCTION("""COMPUTED_VALUE"""),-1.0)</f>
        <v>-1</v>
      </c>
      <c r="AO336" s="16">
        <f>IFERROR(__xludf.DUMMYFUNCTION("""COMPUTED_VALUE"""),0.0)</f>
        <v>0</v>
      </c>
      <c r="AP336" s="16">
        <f>IFERROR(__xludf.DUMMYFUNCTION("""COMPUTED_VALUE"""),-1.0)</f>
        <v>-1</v>
      </c>
      <c r="AQ336" s="16">
        <f>IFERROR(__xludf.DUMMYFUNCTION("""COMPUTED_VALUE"""),19.099999999999998)</f>
        <v>19.1</v>
      </c>
      <c r="AR336" s="16">
        <f>IFERROR(__xludf.DUMMYFUNCTION("""COMPUTED_VALUE"""),34.2)</f>
        <v>34.2</v>
      </c>
      <c r="AS336" s="16">
        <f>IFERROR(__xludf.DUMMYFUNCTION("""COMPUTED_VALUE"""),0.0)</f>
        <v>0</v>
      </c>
      <c r="AT336" s="16">
        <f>IFERROR(__xludf.DUMMYFUNCTION("""COMPUTED_VALUE"""),-2.0)</f>
        <v>-2</v>
      </c>
      <c r="AU336" s="16">
        <f>IFERROR(__xludf.DUMMYFUNCTION("""COMPUTED_VALUE"""),0.0)</f>
        <v>0</v>
      </c>
      <c r="AV336" s="16">
        <f>IFERROR(__xludf.DUMMYFUNCTION("""COMPUTED_VALUE"""),-4.0)</f>
        <v>-4</v>
      </c>
      <c r="AW336" s="16">
        <f>IFERROR(__xludf.DUMMYFUNCTION("""COMPUTED_VALUE"""),0.4)</f>
        <v>0.4</v>
      </c>
      <c r="AX336" s="16">
        <f>IFERROR(__xludf.DUMMYFUNCTION("""COMPUTED_VALUE"""),1.6)</f>
        <v>1.6</v>
      </c>
      <c r="AY336" s="16">
        <f>IFERROR(__xludf.DUMMYFUNCTION("""COMPUTED_VALUE"""),2.0)</f>
        <v>2</v>
      </c>
      <c r="AZ336" s="16">
        <f>IFERROR(__xludf.DUMMYFUNCTION("""COMPUTED_VALUE"""),1.0)</f>
        <v>1</v>
      </c>
      <c r="BA336" s="16">
        <f>IFERROR(__xludf.DUMMYFUNCTION("""COMPUTED_VALUE"""),10.0)</f>
        <v>10</v>
      </c>
      <c r="BB336" s="16">
        <f>IFERROR(__xludf.DUMMYFUNCTION("""COMPUTED_VALUE"""),5.0)</f>
        <v>5</v>
      </c>
      <c r="BC336" s="16">
        <f>IFERROR(__xludf.DUMMYFUNCTION("""COMPUTED_VALUE"""),0.0)</f>
        <v>0</v>
      </c>
      <c r="BD336" s="16">
        <f>IFERROR(__xludf.DUMMYFUNCTION("""COMPUTED_VALUE"""),2.0)</f>
        <v>2</v>
      </c>
      <c r="BE336" s="16">
        <f>IFERROR(__xludf.DUMMYFUNCTION("""COMPUTED_VALUE"""),0.0)</f>
        <v>0</v>
      </c>
      <c r="BF336" s="16">
        <f>IFERROR(__xludf.DUMMYFUNCTION("""COMPUTED_VALUE"""),2.0)</f>
        <v>2</v>
      </c>
      <c r="BG336" s="16">
        <f>IFERROR(__xludf.DUMMYFUNCTION("""COMPUTED_VALUE"""),3.0)</f>
        <v>3</v>
      </c>
      <c r="BH336" s="16">
        <f>IFERROR(__xludf.DUMMYFUNCTION("""COMPUTED_VALUE"""),1.0)</f>
        <v>1</v>
      </c>
      <c r="BI336" s="16">
        <f>IFERROR(__xludf.DUMMYFUNCTION("""COMPUTED_VALUE"""),6.0)</f>
        <v>6</v>
      </c>
      <c r="BJ336" s="16">
        <f>IFERROR(__xludf.DUMMYFUNCTION("""COMPUTED_VALUE"""),2.0)</f>
        <v>2</v>
      </c>
      <c r="BK336" s="16">
        <f>IFERROR(__xludf.DUMMYFUNCTION("""COMPUTED_VALUE"""),5.0)</f>
        <v>5</v>
      </c>
      <c r="BL336" s="16">
        <f>IFERROR(__xludf.DUMMYFUNCTION("""COMPUTED_VALUE"""),5.0)</f>
        <v>5</v>
      </c>
      <c r="BM336" s="16">
        <f>IFERROR(__xludf.DUMMYFUNCTION("""COMPUTED_VALUE"""),0.0)</f>
        <v>0</v>
      </c>
      <c r="BN336" s="16">
        <f>IFERROR(__xludf.DUMMYFUNCTION("""COMPUTED_VALUE"""),0.0)</f>
        <v>0</v>
      </c>
      <c r="BO336" s="16">
        <f>IFERROR(__xludf.DUMMYFUNCTION("""COMPUTED_VALUE"""),0.0)</f>
        <v>0</v>
      </c>
      <c r="BP336" s="16">
        <f>IFERROR(__xludf.DUMMYFUNCTION("""COMPUTED_VALUE"""),0.0)</f>
        <v>0</v>
      </c>
      <c r="BQ336" s="16">
        <f>IFERROR(__xludf.DUMMYFUNCTION("""COMPUTED_VALUE"""),2.0)</f>
        <v>2</v>
      </c>
      <c r="BR336" s="16">
        <f>IFERROR(__xludf.DUMMYFUNCTION("""COMPUTED_VALUE"""),3.0)</f>
        <v>3</v>
      </c>
      <c r="BS336" s="16">
        <f>IFERROR(__xludf.DUMMYFUNCTION("""COMPUTED_VALUE"""),-2.0)</f>
        <v>-2</v>
      </c>
      <c r="BT336" s="16">
        <f>IFERROR(__xludf.DUMMYFUNCTION("""COMPUTED_VALUE"""),-1.0)</f>
        <v>-1</v>
      </c>
      <c r="BU336" s="16">
        <f>IFERROR(__xludf.DUMMYFUNCTION("""COMPUTED_VALUE"""),-4.0)</f>
        <v>-4</v>
      </c>
      <c r="BV336" s="16">
        <f>IFERROR(__xludf.DUMMYFUNCTION("""COMPUTED_VALUE"""),-2.0)</f>
        <v>-2</v>
      </c>
      <c r="BW336" s="16">
        <f>IFERROR(__xludf.DUMMYFUNCTION("""COMPUTED_VALUE"""),-2.0)</f>
        <v>-2</v>
      </c>
      <c r="BX336" s="16">
        <f>IFERROR(__xludf.DUMMYFUNCTION("""COMPUTED_VALUE"""),-2.0)</f>
        <v>-2</v>
      </c>
      <c r="BY336" s="16" t="str">
        <f>IFERROR(__xludf.DUMMYFUNCTION("""COMPUTED_VALUE"""),"S(5)")</f>
        <v>S(5)</v>
      </c>
      <c r="BZ336" s="16" t="str">
        <f>IFERROR(__xludf.DUMMYFUNCTION("""COMPUTED_VALUE"""),"S(5)")</f>
        <v>S(5)</v>
      </c>
      <c r="CA336" s="16" t="str">
        <f>IFERROR(__xludf.DUMMYFUNCTION("""COMPUTED_VALUE"""),"S(5)")</f>
        <v>S(5)</v>
      </c>
      <c r="CB336" s="16"/>
      <c r="CC336" s="16"/>
      <c r="CD336" s="16">
        <f>IFERROR(__xludf.DUMMYFUNCTION("""COMPUTED_VALUE"""),5.0)</f>
        <v>5</v>
      </c>
      <c r="CE336" s="16"/>
      <c r="CF336" s="16"/>
      <c r="CG336" s="16" t="str">
        <f>IFERROR(__xludf.DUMMYFUNCTION("""COMPUTED_VALUE"""),"2-19")</f>
        <v>2-19</v>
      </c>
      <c r="CH336" s="16">
        <f>IFERROR(__xludf.DUMMYFUNCTION("""COMPUTED_VALUE"""),2.0)</f>
        <v>2</v>
      </c>
      <c r="CI336" s="16">
        <f>IFERROR(__xludf.DUMMYFUNCTION("""COMPUTED_VALUE"""),19.0)</f>
        <v>19</v>
      </c>
      <c r="CJ336" s="16">
        <f>IFERROR(__xludf.DUMMYFUNCTION("""COMPUTED_VALUE"""),0.0)</f>
        <v>0</v>
      </c>
      <c r="CK336" s="16">
        <f>IFERROR(__xludf.DUMMYFUNCTION("""COMPUTED_VALUE"""),5.0)</f>
        <v>5</v>
      </c>
      <c r="CL336" s="16" t="str">
        <f>IFERROR(__xludf.DUMMYFUNCTION("""COMPUTED_VALUE"""),"1WL-C")</f>
        <v>1WL-C</v>
      </c>
      <c r="CM336" s="16" t="str">
        <f>IFERROR(__xludf.DUMMYFUNCTION("""COMPUTED_VALUE"""),"E")</f>
        <v>E</v>
      </c>
      <c r="CN336" s="16">
        <f>IFERROR(__xludf.DUMMYFUNCTION("""COMPUTED_VALUE"""),10.0)</f>
        <v>10</v>
      </c>
      <c r="CO336" s="16" t="str">
        <f>IFERROR(__xludf.DUMMYFUNCTION("""COMPUTED_VALUE"""),"C")</f>
        <v>C</v>
      </c>
      <c r="CP336" s="16" t="str">
        <f>IFERROR(__xludf.DUMMYFUNCTION("""COMPUTED_VALUE"""),"4p40")</f>
        <v>4p40</v>
      </c>
      <c r="CQ336" s="16">
        <f>IFERROR(__xludf.DUMMYFUNCTION("""COMPUTED_VALUE"""),16.0)</f>
        <v>16</v>
      </c>
      <c r="CR336" s="16">
        <f>IFERROR(__xludf.DUMMYFUNCTION("""COMPUTED_VALUE"""),-19.0)</f>
        <v>-19</v>
      </c>
      <c r="CS336" s="16">
        <f>IFERROR(__xludf.DUMMYFUNCTION("""COMPUTED_VALUE"""),-3.0)</f>
        <v>-3</v>
      </c>
      <c r="CT336" s="16">
        <f>IFERROR(__xludf.DUMMYFUNCTION("""COMPUTED_VALUE"""),16.0)</f>
        <v>16</v>
      </c>
      <c r="CU336" s="16">
        <f>IFERROR(__xludf.DUMMYFUNCTION("""COMPUTED_VALUE"""),-19.0)</f>
        <v>-19</v>
      </c>
      <c r="CV336" s="179">
        <f>IFERROR(__xludf.DUMMYFUNCTION("""COMPUTED_VALUE"""),-5.333333333333333)</f>
        <v>-5.333333333</v>
      </c>
      <c r="CW336" s="179">
        <f>IFERROR(__xludf.DUMMYFUNCTION("""COMPUTED_VALUE"""),1.0)</f>
        <v>1</v>
      </c>
      <c r="CX336" s="179">
        <f>IFERROR(__xludf.DUMMYFUNCTION("""COMPUTED_VALUE"""),1.0)</f>
        <v>1</v>
      </c>
      <c r="CY336" s="16" t="str">
        <f>IFERROR(__xludf.DUMMYFUNCTION("""COMPUTED_VALUE"""),"SP")</f>
        <v>SP</v>
      </c>
      <c r="CZ336" s="16"/>
      <c r="DA336" s="16"/>
      <c r="DB336" s="16"/>
      <c r="DC336" s="16"/>
      <c r="DD336" s="16"/>
      <c r="DE336" s="16"/>
      <c r="DF336" s="16"/>
      <c r="DG336" s="16"/>
      <c r="DH336" s="16"/>
      <c r="DI336" s="16"/>
      <c r="DJ336" s="16"/>
      <c r="DK336" s="16"/>
    </row>
    <row r="337">
      <c r="A337" s="16">
        <f>IFERROR(__xludf.DUMMYFUNCTION("""COMPUTED_VALUE"""),12883.0)</f>
        <v>12883</v>
      </c>
      <c r="B337" s="16" t="str">
        <f>IFERROR(__xludf.DUMMYFUNCTION("""COMPUTED_VALUE"""),"Ian Hamilton")</f>
        <v>Ian Hamilton</v>
      </c>
      <c r="C337" s="153">
        <f>IFERROR(__xludf.DUMMYFUNCTION("""COMPUTED_VALUE"""),0.38)</f>
        <v>0.38</v>
      </c>
      <c r="D337" s="16"/>
      <c r="E337" s="16" t="str">
        <f>IFERROR(__xludf.DUMMYFUNCTION("""COMPUTED_VALUE"""),"R")</f>
        <v>R</v>
      </c>
      <c r="F337" s="16">
        <f>IFERROR(__xludf.DUMMYFUNCTION("""COMPUTED_VALUE"""),38.0)</f>
        <v>38</v>
      </c>
      <c r="G337" s="16">
        <f>IFERROR(__xludf.DUMMYFUNCTION("""COMPUTED_VALUE"""),16.0)</f>
        <v>16</v>
      </c>
      <c r="H337" s="16">
        <f>IFERROR(__xludf.DUMMYFUNCTION("""COMPUTED_VALUE"""),40.0)</f>
        <v>40</v>
      </c>
      <c r="I337" s="16">
        <f>IFERROR(__xludf.DUMMYFUNCTION("""COMPUTED_VALUE"""),-2.0)</f>
        <v>-2</v>
      </c>
      <c r="J337" s="16">
        <f>IFERROR(__xludf.DUMMYFUNCTION("""COMPUTED_VALUE"""),2.0)</f>
        <v>2</v>
      </c>
      <c r="K337" s="16">
        <f>IFERROR(__xludf.DUMMYFUNCTION("""COMPUTED_VALUE"""),-6.0)</f>
        <v>-6</v>
      </c>
      <c r="L337" s="16">
        <f>IFERROR(__xludf.DUMMYFUNCTION("""COMPUTED_VALUE"""),6.0)</f>
        <v>6</v>
      </c>
      <c r="M337" s="16">
        <f>IFERROR(__xludf.DUMMYFUNCTION("""COMPUTED_VALUE"""),16.0)</f>
        <v>16</v>
      </c>
      <c r="N337" s="16">
        <f>IFERROR(__xludf.DUMMYFUNCTION("""COMPUTED_VALUE"""),8.0)</f>
        <v>8</v>
      </c>
      <c r="O337" s="16">
        <f>IFERROR(__xludf.DUMMYFUNCTION("""COMPUTED_VALUE"""),-2.0)</f>
        <v>-2</v>
      </c>
      <c r="P337" s="16">
        <f>IFERROR(__xludf.DUMMYFUNCTION("""COMPUTED_VALUE"""),0.0)</f>
        <v>0</v>
      </c>
      <c r="Q337" s="16">
        <f>IFERROR(__xludf.DUMMYFUNCTION("""COMPUTED_VALUE"""),-2.0)</f>
        <v>-2</v>
      </c>
      <c r="R337" s="16">
        <f>IFERROR(__xludf.DUMMYFUNCTION("""COMPUTED_VALUE"""),0.0)</f>
        <v>0</v>
      </c>
      <c r="S337" s="16">
        <f>IFERROR(__xludf.DUMMYFUNCTION("""COMPUTED_VALUE"""),21.2)</f>
        <v>21.2</v>
      </c>
      <c r="T337" s="16">
        <f>IFERROR(__xludf.DUMMYFUNCTION("""COMPUTED_VALUE"""),21.1)</f>
        <v>21.1</v>
      </c>
      <c r="U337" s="16">
        <f>IFERROR(__xludf.DUMMYFUNCTION("""COMPUTED_VALUE"""),-1.0)</f>
        <v>-1</v>
      </c>
      <c r="V337" s="16">
        <f>IFERROR(__xludf.DUMMYFUNCTION("""COMPUTED_VALUE"""),-1.0)</f>
        <v>-1</v>
      </c>
      <c r="W337" s="16">
        <f>IFERROR(__xludf.DUMMYFUNCTION("""COMPUTED_VALUE"""),-2.0)</f>
        <v>-2</v>
      </c>
      <c r="X337" s="16">
        <f>IFERROR(__xludf.DUMMYFUNCTION("""COMPUTED_VALUE"""),-2.0)</f>
        <v>-2</v>
      </c>
      <c r="Y337" s="16">
        <f>IFERROR(__xludf.DUMMYFUNCTION("""COMPUTED_VALUE"""),37.2)</f>
        <v>37.2</v>
      </c>
      <c r="Z337" s="16">
        <f>IFERROR(__xludf.DUMMYFUNCTION("""COMPUTED_VALUE"""),29.2)</f>
        <v>29.2</v>
      </c>
      <c r="AA337" s="16">
        <f>IFERROR(__xludf.DUMMYFUNCTION("""COMPUTED_VALUE"""),-2.0)</f>
        <v>-2</v>
      </c>
      <c r="AB337" s="16">
        <f>IFERROR(__xludf.DUMMYFUNCTION("""COMPUTED_VALUE"""),-1.0)</f>
        <v>-1</v>
      </c>
      <c r="AC337" s="16">
        <f>IFERROR(__xludf.DUMMYFUNCTION("""COMPUTED_VALUE"""),-10.0)</f>
        <v>-10</v>
      </c>
      <c r="AD337" s="16">
        <f>IFERROR(__xludf.DUMMYFUNCTION("""COMPUTED_VALUE"""),-5.0)</f>
        <v>-5</v>
      </c>
      <c r="AE337" s="16">
        <f>IFERROR(__xludf.DUMMYFUNCTION("""COMPUTED_VALUE"""),31.1)</f>
        <v>31.1</v>
      </c>
      <c r="AF337" s="16">
        <f>IFERROR(__xludf.DUMMYFUNCTION("""COMPUTED_VALUE"""),29.9)</f>
        <v>29.9</v>
      </c>
      <c r="AG337" s="16">
        <f>IFERROR(__xludf.DUMMYFUNCTION("""COMPUTED_VALUE"""),0.0)</f>
        <v>0</v>
      </c>
      <c r="AH337" s="16">
        <f>IFERROR(__xludf.DUMMYFUNCTION("""COMPUTED_VALUE"""),0.0)</f>
        <v>0</v>
      </c>
      <c r="AI337" s="16">
        <f>IFERROR(__xludf.DUMMYFUNCTION("""COMPUTED_VALUE"""),0.0)</f>
        <v>0</v>
      </c>
      <c r="AJ337" s="16">
        <f>IFERROR(__xludf.DUMMYFUNCTION("""COMPUTED_VALUE"""),0.0)</f>
        <v>0</v>
      </c>
      <c r="AK337" s="16">
        <f>IFERROR(__xludf.DUMMYFUNCTION("""COMPUTED_VALUE"""),21.2)</f>
        <v>21.2</v>
      </c>
      <c r="AL337" s="16">
        <f>IFERROR(__xludf.DUMMYFUNCTION("""COMPUTED_VALUE"""),21.1)</f>
        <v>21.1</v>
      </c>
      <c r="AM337" s="16">
        <f>IFERROR(__xludf.DUMMYFUNCTION("""COMPUTED_VALUE"""),-1.0)</f>
        <v>-1</v>
      </c>
      <c r="AN337" s="16">
        <f>IFERROR(__xludf.DUMMYFUNCTION("""COMPUTED_VALUE"""),-1.0)</f>
        <v>-1</v>
      </c>
      <c r="AO337" s="16">
        <f>IFERROR(__xludf.DUMMYFUNCTION("""COMPUTED_VALUE"""),-1.0)</f>
        <v>-1</v>
      </c>
      <c r="AP337" s="16">
        <f>IFERROR(__xludf.DUMMYFUNCTION("""COMPUTED_VALUE"""),-1.0)</f>
        <v>-1</v>
      </c>
      <c r="AQ337" s="16">
        <f>IFERROR(__xludf.DUMMYFUNCTION("""COMPUTED_VALUE"""),31.1)</f>
        <v>31.1</v>
      </c>
      <c r="AR337" s="16">
        <f>IFERROR(__xludf.DUMMYFUNCTION("""COMPUTED_VALUE"""),29.9)</f>
        <v>29.9</v>
      </c>
      <c r="AS337" s="16">
        <f>IFERROR(__xludf.DUMMYFUNCTION("""COMPUTED_VALUE"""),-1.0)</f>
        <v>-1</v>
      </c>
      <c r="AT337" s="16">
        <f>IFERROR(__xludf.DUMMYFUNCTION("""COMPUTED_VALUE"""),-1.0)</f>
        <v>-1</v>
      </c>
      <c r="AU337" s="16">
        <f>IFERROR(__xludf.DUMMYFUNCTION("""COMPUTED_VALUE"""),-2.0)</f>
        <v>-2</v>
      </c>
      <c r="AV337" s="16">
        <f>IFERROR(__xludf.DUMMYFUNCTION("""COMPUTED_VALUE"""),-2.0)</f>
        <v>-2</v>
      </c>
      <c r="AW337" s="16">
        <f>IFERROR(__xludf.DUMMYFUNCTION("""COMPUTED_VALUE"""),0.0)</f>
        <v>0</v>
      </c>
      <c r="AX337" s="16">
        <f>IFERROR(__xludf.DUMMYFUNCTION("""COMPUTED_VALUE"""),0.0)</f>
        <v>0</v>
      </c>
      <c r="AY337" s="16">
        <f>IFERROR(__xludf.DUMMYFUNCTION("""COMPUTED_VALUE"""),2.0)</f>
        <v>2</v>
      </c>
      <c r="AZ337" s="16">
        <f>IFERROR(__xludf.DUMMYFUNCTION("""COMPUTED_VALUE"""),2.0)</f>
        <v>2</v>
      </c>
      <c r="BA337" s="16">
        <f>IFERROR(__xludf.DUMMYFUNCTION("""COMPUTED_VALUE"""),10.0)</f>
        <v>10</v>
      </c>
      <c r="BB337" s="16">
        <f>IFERROR(__xludf.DUMMYFUNCTION("""COMPUTED_VALUE"""),10.0)</f>
        <v>10</v>
      </c>
      <c r="BC337" s="16">
        <f>IFERROR(__xludf.DUMMYFUNCTION("""COMPUTED_VALUE"""),0.0)</f>
        <v>0</v>
      </c>
      <c r="BD337" s="16">
        <f>IFERROR(__xludf.DUMMYFUNCTION("""COMPUTED_VALUE"""),0.0)</f>
        <v>0</v>
      </c>
      <c r="BE337" s="16">
        <f>IFERROR(__xludf.DUMMYFUNCTION("""COMPUTED_VALUE"""),0.0)</f>
        <v>0</v>
      </c>
      <c r="BF337" s="16">
        <f>IFERROR(__xludf.DUMMYFUNCTION("""COMPUTED_VALUE"""),0.0)</f>
        <v>0</v>
      </c>
      <c r="BG337" s="16">
        <f>IFERROR(__xludf.DUMMYFUNCTION("""COMPUTED_VALUE"""),3.0)</f>
        <v>3</v>
      </c>
      <c r="BH337" s="16">
        <f>IFERROR(__xludf.DUMMYFUNCTION("""COMPUTED_VALUE"""),2.0)</f>
        <v>2</v>
      </c>
      <c r="BI337" s="16">
        <f>IFERROR(__xludf.DUMMYFUNCTION("""COMPUTED_VALUE"""),6.0)</f>
        <v>6</v>
      </c>
      <c r="BJ337" s="16">
        <f>IFERROR(__xludf.DUMMYFUNCTION("""COMPUTED_VALUE"""),4.0)</f>
        <v>4</v>
      </c>
      <c r="BK337" s="16">
        <f>IFERROR(__xludf.DUMMYFUNCTION("""COMPUTED_VALUE"""),5.0)</f>
        <v>5</v>
      </c>
      <c r="BL337" s="16">
        <f>IFERROR(__xludf.DUMMYFUNCTION("""COMPUTED_VALUE"""),5.0)</f>
        <v>5</v>
      </c>
      <c r="BM337" s="16">
        <f>IFERROR(__xludf.DUMMYFUNCTION("""COMPUTED_VALUE"""),0.0)</f>
        <v>0</v>
      </c>
      <c r="BN337" s="16">
        <f>IFERROR(__xludf.DUMMYFUNCTION("""COMPUTED_VALUE"""),0.0)</f>
        <v>0</v>
      </c>
      <c r="BO337" s="16">
        <f>IFERROR(__xludf.DUMMYFUNCTION("""COMPUTED_VALUE"""),0.0)</f>
        <v>0</v>
      </c>
      <c r="BP337" s="16">
        <f>IFERROR(__xludf.DUMMYFUNCTION("""COMPUTED_VALUE"""),0.0)</f>
        <v>0</v>
      </c>
      <c r="BQ337" s="16">
        <f>IFERROR(__xludf.DUMMYFUNCTION("""COMPUTED_VALUE"""),0.0)</f>
        <v>0</v>
      </c>
      <c r="BR337" s="16">
        <f>IFERROR(__xludf.DUMMYFUNCTION("""COMPUTED_VALUE"""),0.0)</f>
        <v>0</v>
      </c>
      <c r="BS337" s="16">
        <f>IFERROR(__xludf.DUMMYFUNCTION("""COMPUTED_VALUE"""),-3.0)</f>
        <v>-3</v>
      </c>
      <c r="BT337" s="16">
        <f>IFERROR(__xludf.DUMMYFUNCTION("""COMPUTED_VALUE"""),-3.0)</f>
        <v>-3</v>
      </c>
      <c r="BU337" s="16">
        <f>IFERROR(__xludf.DUMMYFUNCTION("""COMPUTED_VALUE"""),-6.0)</f>
        <v>-6</v>
      </c>
      <c r="BV337" s="16">
        <f>IFERROR(__xludf.DUMMYFUNCTION("""COMPUTED_VALUE"""),-6.0)</f>
        <v>-6</v>
      </c>
      <c r="BW337" s="16">
        <f>IFERROR(__xludf.DUMMYFUNCTION("""COMPUTED_VALUE"""),0.0)</f>
        <v>0</v>
      </c>
      <c r="BX337" s="16">
        <f>IFERROR(__xludf.DUMMYFUNCTION("""COMPUTED_VALUE"""),0.0)</f>
        <v>0</v>
      </c>
      <c r="BY337" s="16" t="str">
        <f>IFERROR(__xludf.DUMMYFUNCTION("""COMPUTED_VALUE"""),"R(1) C(0)")</f>
        <v>R(1) C(0)</v>
      </c>
      <c r="BZ337" s="16" t="str">
        <f>IFERROR(__xludf.DUMMYFUNCTION("""COMPUTED_VALUE"""),"R(1) C(0)")</f>
        <v>R(1) C(0)</v>
      </c>
      <c r="CA337" s="16" t="str">
        <f>IFERROR(__xludf.DUMMYFUNCTION("""COMPUTED_VALUE"""),"R(1)")</f>
        <v>R(1)</v>
      </c>
      <c r="CB337" s="16" t="str">
        <f>IFERROR(__xludf.DUMMYFUNCTION("""COMPUTED_VALUE"""),"C(0)")</f>
        <v>C(0)</v>
      </c>
      <c r="CC337" s="16"/>
      <c r="CD337" s="16"/>
      <c r="CE337" s="16">
        <f>IFERROR(__xludf.DUMMYFUNCTION("""COMPUTED_VALUE"""),1.0)</f>
        <v>1</v>
      </c>
      <c r="CF337" s="16">
        <f>IFERROR(__xludf.DUMMYFUNCTION("""COMPUTED_VALUE"""),0.0)</f>
        <v>0</v>
      </c>
      <c r="CG337" s="16" t="str">
        <f>IFERROR(__xludf.DUMMYFUNCTION("""COMPUTED_VALUE"""),"4-0")</f>
        <v>4-0</v>
      </c>
      <c r="CH337" s="16">
        <f>IFERROR(__xludf.DUMMYFUNCTION("""COMPUTED_VALUE"""),4.0)</f>
        <v>4</v>
      </c>
      <c r="CI337" s="16">
        <f>IFERROR(__xludf.DUMMYFUNCTION("""COMPUTED_VALUE"""),0.0)</f>
        <v>0</v>
      </c>
      <c r="CJ337" s="16">
        <f>IFERROR(__xludf.DUMMYFUNCTION("""COMPUTED_VALUE"""),0.0)</f>
        <v>0</v>
      </c>
      <c r="CK337" s="16">
        <f>IFERROR(__xludf.DUMMYFUNCTION("""COMPUTED_VALUE"""),0.0)</f>
        <v>0</v>
      </c>
      <c r="CL337" s="16" t="str">
        <f>IFERROR(__xludf.DUMMYFUNCTION("""COMPUTED_VALUE"""),"1WR-C")</f>
        <v>1WR-C</v>
      </c>
      <c r="CM337" s="16" t="str">
        <f>IFERROR(__xludf.DUMMYFUNCTION("""COMPUTED_VALUE"""),"E")</f>
        <v>E</v>
      </c>
      <c r="CN337" s="16">
        <f>IFERROR(__xludf.DUMMYFUNCTION("""COMPUTED_VALUE"""),10.0)</f>
        <v>10</v>
      </c>
      <c r="CO337" s="16" t="str">
        <f>IFERROR(__xludf.DUMMYFUNCTION("""COMPUTED_VALUE"""),"C")</f>
        <v>C</v>
      </c>
      <c r="CP337" s="16" t="str">
        <f>IFERROR(__xludf.DUMMYFUNCTION("""COMPUTED_VALUE"""),"5p30")</f>
        <v>5p30</v>
      </c>
      <c r="CQ337" s="16">
        <f>IFERROR(__xludf.DUMMYFUNCTION("""COMPUTED_VALUE"""),-13.0)</f>
        <v>-13</v>
      </c>
      <c r="CR337" s="16">
        <f>IFERROR(__xludf.DUMMYFUNCTION("""COMPUTED_VALUE"""),4.0)</f>
        <v>4</v>
      </c>
      <c r="CS337" s="16">
        <f>IFERROR(__xludf.DUMMYFUNCTION("""COMPUTED_VALUE"""),-9.0)</f>
        <v>-9</v>
      </c>
      <c r="CT337" s="16">
        <f>IFERROR(__xludf.DUMMYFUNCTION("""COMPUTED_VALUE"""),-13.0)</f>
        <v>-13</v>
      </c>
      <c r="CU337" s="16">
        <f>IFERROR(__xludf.DUMMYFUNCTION("""COMPUTED_VALUE"""),4.0)</f>
        <v>4</v>
      </c>
      <c r="CV337" s="179">
        <f>IFERROR(__xludf.DUMMYFUNCTION("""COMPUTED_VALUE"""),-5.333333333333333)</f>
        <v>-5.333333333</v>
      </c>
      <c r="CW337" s="179">
        <f>IFERROR(__xludf.DUMMYFUNCTION("""COMPUTED_VALUE"""),0.0)</f>
        <v>0</v>
      </c>
      <c r="CX337" s="179">
        <f>IFERROR(__xludf.DUMMYFUNCTION("""COMPUTED_VALUE"""),2.0)</f>
        <v>2</v>
      </c>
      <c r="CY337" s="16" t="str">
        <f>IFERROR(__xludf.DUMMYFUNCTION("""COMPUTED_VALUE"""),"RP")</f>
        <v>RP</v>
      </c>
      <c r="CZ337" s="16" t="str">
        <f>IFERROR(__xludf.DUMMYFUNCTION("""COMPUTED_VALUE"""),"CP")</f>
        <v>CP</v>
      </c>
      <c r="DA337" s="16"/>
      <c r="DB337" s="16"/>
      <c r="DC337" s="16"/>
      <c r="DD337" s="16"/>
      <c r="DE337" s="16"/>
      <c r="DF337" s="16"/>
      <c r="DG337" s="16"/>
      <c r="DH337" s="16"/>
      <c r="DI337" s="16"/>
      <c r="DJ337" s="16"/>
      <c r="DK337" s="16"/>
    </row>
    <row r="338">
      <c r="A338" s="16">
        <f>IFERROR(__xludf.DUMMYFUNCTION("""COMPUTED_VALUE"""),13504.0)</f>
        <v>13504</v>
      </c>
      <c r="B338" s="16" t="str">
        <f>IFERROR(__xludf.DUMMYFUNCTION("""COMPUTED_VALUE"""),"Yohan Ramirez")</f>
        <v>Yohan Ramirez</v>
      </c>
      <c r="C338" s="153">
        <f>IFERROR(__xludf.DUMMYFUNCTION("""COMPUTED_VALUE"""),0.0)</f>
        <v>0</v>
      </c>
      <c r="D338" s="16"/>
      <c r="E338" s="16" t="str">
        <f>IFERROR(__xludf.DUMMYFUNCTION("""COMPUTED_VALUE"""),"R")</f>
        <v>R</v>
      </c>
      <c r="F338" s="16">
        <f>IFERROR(__xludf.DUMMYFUNCTION("""COMPUTED_VALUE"""),45.0)</f>
        <v>45</v>
      </c>
      <c r="G338" s="16">
        <f>IFERROR(__xludf.DUMMYFUNCTION("""COMPUTED_VALUE"""),37.0)</f>
        <v>37</v>
      </c>
      <c r="H338" s="16">
        <f>IFERROR(__xludf.DUMMYFUNCTION("""COMPUTED_VALUE"""),20.0)</f>
        <v>20</v>
      </c>
      <c r="I338" s="16">
        <f>IFERROR(__xludf.DUMMYFUNCTION("""COMPUTED_VALUE"""),1.0)</f>
        <v>1</v>
      </c>
      <c r="J338" s="16">
        <f>IFERROR(__xludf.DUMMYFUNCTION("""COMPUTED_VALUE"""),-1.0)</f>
        <v>-1</v>
      </c>
      <c r="K338" s="16">
        <f>IFERROR(__xludf.DUMMYFUNCTION("""COMPUTED_VALUE"""),3.0)</f>
        <v>3</v>
      </c>
      <c r="L338" s="16">
        <f>IFERROR(__xludf.DUMMYFUNCTION("""COMPUTED_VALUE"""),-3.0)</f>
        <v>-3</v>
      </c>
      <c r="M338" s="16">
        <f>IFERROR(__xludf.DUMMYFUNCTION("""COMPUTED_VALUE"""),5.0)</f>
        <v>5</v>
      </c>
      <c r="N338" s="16">
        <f>IFERROR(__xludf.DUMMYFUNCTION("""COMPUTED_VALUE"""),10.0)</f>
        <v>10</v>
      </c>
      <c r="O338" s="16">
        <f>IFERROR(__xludf.DUMMYFUNCTION("""COMPUTED_VALUE"""),2.0)</f>
        <v>2</v>
      </c>
      <c r="P338" s="16">
        <f>IFERROR(__xludf.DUMMYFUNCTION("""COMPUTED_VALUE"""),-1.0)</f>
        <v>-1</v>
      </c>
      <c r="Q338" s="16">
        <f>IFERROR(__xludf.DUMMYFUNCTION("""COMPUTED_VALUE"""),2.0)</f>
        <v>2</v>
      </c>
      <c r="R338" s="16">
        <f>IFERROR(__xludf.DUMMYFUNCTION("""COMPUTED_VALUE"""),-1.0)</f>
        <v>-1</v>
      </c>
      <c r="S338" s="16">
        <f>IFERROR(__xludf.DUMMYFUNCTION("""COMPUTED_VALUE"""),19.6)</f>
        <v>19.6</v>
      </c>
      <c r="T338" s="16">
        <f>IFERROR(__xludf.DUMMYFUNCTION("""COMPUTED_VALUE"""),27.0)</f>
        <v>27</v>
      </c>
      <c r="U338" s="16">
        <f>IFERROR(__xludf.DUMMYFUNCTION("""COMPUTED_VALUE"""),-1.0)</f>
        <v>-1</v>
      </c>
      <c r="V338" s="16">
        <f>IFERROR(__xludf.DUMMYFUNCTION("""COMPUTED_VALUE"""),-2.0)</f>
        <v>-2</v>
      </c>
      <c r="W338" s="16">
        <f>IFERROR(__xludf.DUMMYFUNCTION("""COMPUTED_VALUE"""),-2.0)</f>
        <v>-2</v>
      </c>
      <c r="X338" s="16">
        <f>IFERROR(__xludf.DUMMYFUNCTION("""COMPUTED_VALUE"""),-4.0)</f>
        <v>-4</v>
      </c>
      <c r="Y338" s="16">
        <f>IFERROR(__xludf.DUMMYFUNCTION("""COMPUTED_VALUE"""),24.6)</f>
        <v>24.6</v>
      </c>
      <c r="Z338" s="16">
        <f>IFERROR(__xludf.DUMMYFUNCTION("""COMPUTED_VALUE"""),37.0)</f>
        <v>37</v>
      </c>
      <c r="AA338" s="16">
        <f>IFERROR(__xludf.DUMMYFUNCTION("""COMPUTED_VALUE"""),0.0)</f>
        <v>0</v>
      </c>
      <c r="AB338" s="16">
        <f>IFERROR(__xludf.DUMMYFUNCTION("""COMPUTED_VALUE"""),-2.0)</f>
        <v>-2</v>
      </c>
      <c r="AC338" s="16">
        <f>IFERROR(__xludf.DUMMYFUNCTION("""COMPUTED_VALUE"""),0.0)</f>
        <v>0</v>
      </c>
      <c r="AD338" s="16">
        <f>IFERROR(__xludf.DUMMYFUNCTION("""COMPUTED_VALUE"""),-10.0)</f>
        <v>-10</v>
      </c>
      <c r="AE338" s="16">
        <f>IFERROR(__xludf.DUMMYFUNCTION("""COMPUTED_VALUE"""),34.9)</f>
        <v>34.9</v>
      </c>
      <c r="AF338" s="16">
        <f>IFERROR(__xludf.DUMMYFUNCTION("""COMPUTED_VALUE"""),40.3)</f>
        <v>40.3</v>
      </c>
      <c r="AG338" s="16">
        <f>IFERROR(__xludf.DUMMYFUNCTION("""COMPUTED_VALUE"""),-1.0)</f>
        <v>-1</v>
      </c>
      <c r="AH338" s="16">
        <f>IFERROR(__xludf.DUMMYFUNCTION("""COMPUTED_VALUE"""),-1.0)</f>
        <v>-1</v>
      </c>
      <c r="AI338" s="16">
        <f>IFERROR(__xludf.DUMMYFUNCTION("""COMPUTED_VALUE"""),-2.0)</f>
        <v>-2</v>
      </c>
      <c r="AJ338" s="16">
        <f>IFERROR(__xludf.DUMMYFUNCTION("""COMPUTED_VALUE"""),-2.0)</f>
        <v>-2</v>
      </c>
      <c r="AK338" s="16">
        <f>IFERROR(__xludf.DUMMYFUNCTION("""COMPUTED_VALUE"""),19.6)</f>
        <v>19.6</v>
      </c>
      <c r="AL338" s="16">
        <f>IFERROR(__xludf.DUMMYFUNCTION("""COMPUTED_VALUE"""),24.6)</f>
        <v>24.6</v>
      </c>
      <c r="AM338" s="16">
        <f>IFERROR(__xludf.DUMMYFUNCTION("""COMPUTED_VALUE"""),-1.0)</f>
        <v>-1</v>
      </c>
      <c r="AN338" s="16">
        <f>IFERROR(__xludf.DUMMYFUNCTION("""COMPUTED_VALUE"""),-2.0)</f>
        <v>-2</v>
      </c>
      <c r="AO338" s="16">
        <f>IFERROR(__xludf.DUMMYFUNCTION("""COMPUTED_VALUE"""),-1.0)</f>
        <v>-1</v>
      </c>
      <c r="AP338" s="16">
        <f>IFERROR(__xludf.DUMMYFUNCTION("""COMPUTED_VALUE"""),-2.0)</f>
        <v>-2</v>
      </c>
      <c r="AQ338" s="16">
        <f>IFERROR(__xludf.DUMMYFUNCTION("""COMPUTED_VALUE"""),34.9)</f>
        <v>34.9</v>
      </c>
      <c r="AR338" s="16">
        <f>IFERROR(__xludf.DUMMYFUNCTION("""COMPUTED_VALUE"""),30.699999999999996)</f>
        <v>30.7</v>
      </c>
      <c r="AS338" s="16">
        <f>IFERROR(__xludf.DUMMYFUNCTION("""COMPUTED_VALUE"""),-2.0)</f>
        <v>-2</v>
      </c>
      <c r="AT338" s="16">
        <f>IFERROR(__xludf.DUMMYFUNCTION("""COMPUTED_VALUE"""),-1.0)</f>
        <v>-1</v>
      </c>
      <c r="AU338" s="16">
        <f>IFERROR(__xludf.DUMMYFUNCTION("""COMPUTED_VALUE"""),-4.0)</f>
        <v>-4</v>
      </c>
      <c r="AV338" s="16">
        <f>IFERROR(__xludf.DUMMYFUNCTION("""COMPUTED_VALUE"""),-2.0)</f>
        <v>-2</v>
      </c>
      <c r="AW338" s="16">
        <f>IFERROR(__xludf.DUMMYFUNCTION("""COMPUTED_VALUE"""),0.0)</f>
        <v>0</v>
      </c>
      <c r="AX338" s="16">
        <f>IFERROR(__xludf.DUMMYFUNCTION("""COMPUTED_VALUE"""),2.4)</f>
        <v>2.4</v>
      </c>
      <c r="AY338" s="16">
        <f>IFERROR(__xludf.DUMMYFUNCTION("""COMPUTED_VALUE"""),2.0)</f>
        <v>2</v>
      </c>
      <c r="AZ338" s="16">
        <f>IFERROR(__xludf.DUMMYFUNCTION("""COMPUTED_VALUE"""),0.0)</f>
        <v>0</v>
      </c>
      <c r="BA338" s="16">
        <f>IFERROR(__xludf.DUMMYFUNCTION("""COMPUTED_VALUE"""),10.0)</f>
        <v>10</v>
      </c>
      <c r="BB338" s="16">
        <f>IFERROR(__xludf.DUMMYFUNCTION("""COMPUTED_VALUE"""),0.0)</f>
        <v>0</v>
      </c>
      <c r="BC338" s="16">
        <f>IFERROR(__xludf.DUMMYFUNCTION("""COMPUTED_VALUE"""),0.0)</f>
        <v>0</v>
      </c>
      <c r="BD338" s="16">
        <f>IFERROR(__xludf.DUMMYFUNCTION("""COMPUTED_VALUE"""),3.0)</f>
        <v>3</v>
      </c>
      <c r="BE338" s="16">
        <f>IFERROR(__xludf.DUMMYFUNCTION("""COMPUTED_VALUE"""),0.0)</f>
        <v>0</v>
      </c>
      <c r="BF338" s="16">
        <f>IFERROR(__xludf.DUMMYFUNCTION("""COMPUTED_VALUE"""),3.0)</f>
        <v>3</v>
      </c>
      <c r="BG338" s="16">
        <f>IFERROR(__xludf.DUMMYFUNCTION("""COMPUTED_VALUE"""),3.0)</f>
        <v>3</v>
      </c>
      <c r="BH338" s="16">
        <f>IFERROR(__xludf.DUMMYFUNCTION("""COMPUTED_VALUE"""),0.0)</f>
        <v>0</v>
      </c>
      <c r="BI338" s="16">
        <f>IFERROR(__xludf.DUMMYFUNCTION("""COMPUTED_VALUE"""),6.0)</f>
        <v>6</v>
      </c>
      <c r="BJ338" s="16">
        <f>IFERROR(__xludf.DUMMYFUNCTION("""COMPUTED_VALUE"""),0.0)</f>
        <v>0</v>
      </c>
      <c r="BK338" s="16">
        <f>IFERROR(__xludf.DUMMYFUNCTION("""COMPUTED_VALUE"""),5.0)</f>
        <v>5</v>
      </c>
      <c r="BL338" s="16">
        <f>IFERROR(__xludf.DUMMYFUNCTION("""COMPUTED_VALUE"""),5.0)</f>
        <v>5</v>
      </c>
      <c r="BM338" s="16">
        <f>IFERROR(__xludf.DUMMYFUNCTION("""COMPUTED_VALUE"""),0.0)</f>
        <v>0</v>
      </c>
      <c r="BN338" s="16">
        <f>IFERROR(__xludf.DUMMYFUNCTION("""COMPUTED_VALUE"""),0.0)</f>
        <v>0</v>
      </c>
      <c r="BO338" s="16">
        <f>IFERROR(__xludf.DUMMYFUNCTION("""COMPUTED_VALUE"""),0.0)</f>
        <v>0</v>
      </c>
      <c r="BP338" s="16">
        <f>IFERROR(__xludf.DUMMYFUNCTION("""COMPUTED_VALUE"""),0.0)</f>
        <v>0</v>
      </c>
      <c r="BQ338" s="16">
        <f>IFERROR(__xludf.DUMMYFUNCTION("""COMPUTED_VALUE"""),6.0)</f>
        <v>6</v>
      </c>
      <c r="BR338" s="16">
        <f>IFERROR(__xludf.DUMMYFUNCTION("""COMPUTED_VALUE"""),5.0)</f>
        <v>5</v>
      </c>
      <c r="BS338" s="16">
        <f>IFERROR(__xludf.DUMMYFUNCTION("""COMPUTED_VALUE"""),1.0)</f>
        <v>1</v>
      </c>
      <c r="BT338" s="16">
        <f>IFERROR(__xludf.DUMMYFUNCTION("""COMPUTED_VALUE"""),0.0)</f>
        <v>0</v>
      </c>
      <c r="BU338" s="16">
        <f>IFERROR(__xludf.DUMMYFUNCTION("""COMPUTED_VALUE"""),2.0)</f>
        <v>2</v>
      </c>
      <c r="BV338" s="16">
        <f>IFERROR(__xludf.DUMMYFUNCTION("""COMPUTED_VALUE"""),0.0)</f>
        <v>0</v>
      </c>
      <c r="BW338" s="16">
        <f>IFERROR(__xludf.DUMMYFUNCTION("""COMPUTED_VALUE"""),-2.0)</f>
        <v>-2</v>
      </c>
      <c r="BX338" s="16">
        <f>IFERROR(__xludf.DUMMYFUNCTION("""COMPUTED_VALUE"""),-2.0)</f>
        <v>-2</v>
      </c>
      <c r="BY338" s="16" t="str">
        <f>IFERROR(__xludf.DUMMYFUNCTION("""COMPUTED_VALUE"""),"R(2) C(0)")</f>
        <v>R(2) C(0)</v>
      </c>
      <c r="BZ338" s="16" t="str">
        <f>IFERROR(__xludf.DUMMYFUNCTION("""COMPUTED_VALUE"""),"R(2) C(0)")</f>
        <v>R(2) C(0)</v>
      </c>
      <c r="CA338" s="16" t="str">
        <f>IFERROR(__xludf.DUMMYFUNCTION("""COMPUTED_VALUE"""),"R(2)")</f>
        <v>R(2)</v>
      </c>
      <c r="CB338" s="16" t="str">
        <f>IFERROR(__xludf.DUMMYFUNCTION("""COMPUTED_VALUE"""),"C(0)")</f>
        <v>C(0)</v>
      </c>
      <c r="CC338" s="16"/>
      <c r="CD338" s="16"/>
      <c r="CE338" s="16">
        <f>IFERROR(__xludf.DUMMYFUNCTION("""COMPUTED_VALUE"""),2.0)</f>
        <v>2</v>
      </c>
      <c r="CF338" s="16">
        <f>IFERROR(__xludf.DUMMYFUNCTION("""COMPUTED_VALUE"""),0.0)</f>
        <v>0</v>
      </c>
      <c r="CG338" s="16" t="str">
        <f>IFERROR(__xludf.DUMMYFUNCTION("""COMPUTED_VALUE"""),"2-51")</f>
        <v>2-51</v>
      </c>
      <c r="CH338" s="16">
        <f>IFERROR(__xludf.DUMMYFUNCTION("""COMPUTED_VALUE"""),2.0)</f>
        <v>2</v>
      </c>
      <c r="CI338" s="16">
        <f>IFERROR(__xludf.DUMMYFUNCTION("""COMPUTED_VALUE"""),51.0)</f>
        <v>51</v>
      </c>
      <c r="CJ338" s="16">
        <f>IFERROR(__xludf.DUMMYFUNCTION("""COMPUTED_VALUE"""),8.0)</f>
        <v>8</v>
      </c>
      <c r="CK338" s="16">
        <f>IFERROR(__xludf.DUMMYFUNCTION("""COMPUTED_VALUE"""),20.0)</f>
        <v>20</v>
      </c>
      <c r="CL338" s="16" t="str">
        <f>IFERROR(__xludf.DUMMYFUNCTION("""COMPUTED_VALUE"""),"1WR-C")</f>
        <v>1WR-C</v>
      </c>
      <c r="CM338" s="16" t="str">
        <f>IFERROR(__xludf.DUMMYFUNCTION("""COMPUTED_VALUE"""),"E")</f>
        <v>E</v>
      </c>
      <c r="CN338" s="16">
        <f>IFERROR(__xludf.DUMMYFUNCTION("""COMPUTED_VALUE"""),10.0)</f>
        <v>10</v>
      </c>
      <c r="CO338" s="16" t="str">
        <f>IFERROR(__xludf.DUMMYFUNCTION("""COMPUTED_VALUE"""),"C")</f>
        <v>C</v>
      </c>
      <c r="CP338" s="16" t="str">
        <f>IFERROR(__xludf.DUMMYFUNCTION("""COMPUTED_VALUE"""),"1p30")</f>
        <v>1p30</v>
      </c>
      <c r="CQ338" s="16">
        <f>IFERROR(__xludf.DUMMYFUNCTION("""COMPUTED_VALUE"""),14.0)</f>
        <v>14</v>
      </c>
      <c r="CR338" s="16">
        <f>IFERROR(__xludf.DUMMYFUNCTION("""COMPUTED_VALUE"""),-24.0)</f>
        <v>-24</v>
      </c>
      <c r="CS338" s="16">
        <f>IFERROR(__xludf.DUMMYFUNCTION("""COMPUTED_VALUE"""),-10.0)</f>
        <v>-10</v>
      </c>
      <c r="CT338" s="16">
        <f>IFERROR(__xludf.DUMMYFUNCTION("""COMPUTED_VALUE"""),14.0)</f>
        <v>14</v>
      </c>
      <c r="CU338" s="16">
        <f>IFERROR(__xludf.DUMMYFUNCTION("""COMPUTED_VALUE"""),-24.0)</f>
        <v>-24</v>
      </c>
      <c r="CV338" s="179">
        <f>IFERROR(__xludf.DUMMYFUNCTION("""COMPUTED_VALUE"""),-5.333333333333334)</f>
        <v>-5.333333333</v>
      </c>
      <c r="CW338" s="179">
        <f>IFERROR(__xludf.DUMMYFUNCTION("""COMPUTED_VALUE"""),4.0)</f>
        <v>4</v>
      </c>
      <c r="CX338" s="179">
        <f>IFERROR(__xludf.DUMMYFUNCTION("""COMPUTED_VALUE"""),2.0)</f>
        <v>2</v>
      </c>
      <c r="CY338" s="16" t="str">
        <f>IFERROR(__xludf.DUMMYFUNCTION("""COMPUTED_VALUE"""),"RP")</f>
        <v>RP</v>
      </c>
      <c r="CZ338" s="16" t="str">
        <f>IFERROR(__xludf.DUMMYFUNCTION("""COMPUTED_VALUE"""),"CP")</f>
        <v>CP</v>
      </c>
      <c r="DA338" s="16"/>
      <c r="DB338" s="16"/>
      <c r="DC338" s="16"/>
      <c r="DD338" s="16"/>
      <c r="DE338" s="16"/>
      <c r="DF338" s="16"/>
      <c r="DG338" s="16"/>
      <c r="DH338" s="16"/>
      <c r="DI338" s="16"/>
      <c r="DJ338" s="16"/>
      <c r="DK338" s="16"/>
    </row>
    <row r="339">
      <c r="A339" s="16">
        <f>IFERROR(__xludf.DUMMYFUNCTION("""COMPUTED_VALUE"""),12926.0)</f>
        <v>12926</v>
      </c>
      <c r="B339" s="16" t="str">
        <f>IFERROR(__xludf.DUMMYFUNCTION("""COMPUTED_VALUE"""),"Jameson Taillon")</f>
        <v>Jameson Taillon</v>
      </c>
      <c r="C339" s="153">
        <f>IFERROR(__xludf.DUMMYFUNCTION("""COMPUTED_VALUE"""),1.2)</f>
        <v>1.2</v>
      </c>
      <c r="D339" s="16"/>
      <c r="E339" s="16" t="str">
        <f>IFERROR(__xludf.DUMMYFUNCTION("""COMPUTED_VALUE"""),"R")</f>
        <v>R</v>
      </c>
      <c r="F339" s="16">
        <f>IFERROR(__xludf.DUMMYFUNCTION("""COMPUTED_VALUE"""),165.0)</f>
        <v>165</v>
      </c>
      <c r="G339" s="16">
        <f>IFERROR(__xludf.DUMMYFUNCTION("""COMPUTED_VALUE"""),14.0)</f>
        <v>14</v>
      </c>
      <c r="H339" s="16">
        <f>IFERROR(__xludf.DUMMYFUNCTION("""COMPUTED_VALUE"""),17.0)</f>
        <v>17</v>
      </c>
      <c r="I339" s="16">
        <f>IFERROR(__xludf.DUMMYFUNCTION("""COMPUTED_VALUE"""),-2.0)</f>
        <v>-2</v>
      </c>
      <c r="J339" s="16">
        <f>IFERROR(__xludf.DUMMYFUNCTION("""COMPUTED_VALUE"""),-1.0)</f>
        <v>-1</v>
      </c>
      <c r="K339" s="16">
        <f>IFERROR(__xludf.DUMMYFUNCTION("""COMPUTED_VALUE"""),-6.0)</f>
        <v>-6</v>
      </c>
      <c r="L339" s="16">
        <f>IFERROR(__xludf.DUMMYFUNCTION("""COMPUTED_VALUE"""),-3.0)</f>
        <v>-3</v>
      </c>
      <c r="M339" s="16">
        <f>IFERROR(__xludf.DUMMYFUNCTION("""COMPUTED_VALUE"""),4.0)</f>
        <v>4</v>
      </c>
      <c r="N339" s="16">
        <f>IFERROR(__xludf.DUMMYFUNCTION("""COMPUTED_VALUE"""),0.0)</f>
        <v>0</v>
      </c>
      <c r="O339" s="16">
        <f>IFERROR(__xludf.DUMMYFUNCTION("""COMPUTED_VALUE"""),2.0)</f>
        <v>2</v>
      </c>
      <c r="P339" s="16">
        <f>IFERROR(__xludf.DUMMYFUNCTION("""COMPUTED_VALUE"""),3.0)</f>
        <v>3</v>
      </c>
      <c r="Q339" s="16">
        <f>IFERROR(__xludf.DUMMYFUNCTION("""COMPUTED_VALUE"""),2.0)</f>
        <v>2</v>
      </c>
      <c r="R339" s="16">
        <f>IFERROR(__xludf.DUMMYFUNCTION("""COMPUTED_VALUE"""),3.0)</f>
        <v>3</v>
      </c>
      <c r="S339" s="16">
        <f>IFERROR(__xludf.DUMMYFUNCTION("""COMPUTED_VALUE"""),20.3)</f>
        <v>20.3</v>
      </c>
      <c r="T339" s="16">
        <f>IFERROR(__xludf.DUMMYFUNCTION("""COMPUTED_VALUE"""),18.9)</f>
        <v>18.9</v>
      </c>
      <c r="U339" s="16">
        <f>IFERROR(__xludf.DUMMYFUNCTION("""COMPUTED_VALUE"""),-1.0)</f>
        <v>-1</v>
      </c>
      <c r="V339" s="16">
        <f>IFERROR(__xludf.DUMMYFUNCTION("""COMPUTED_VALUE"""),-1.0)</f>
        <v>-1</v>
      </c>
      <c r="W339" s="16">
        <f>IFERROR(__xludf.DUMMYFUNCTION("""COMPUTED_VALUE"""),-2.0)</f>
        <v>-2</v>
      </c>
      <c r="X339" s="16">
        <f>IFERROR(__xludf.DUMMYFUNCTION("""COMPUTED_VALUE"""),-2.0)</f>
        <v>-2</v>
      </c>
      <c r="Y339" s="16">
        <f>IFERROR(__xludf.DUMMYFUNCTION("""COMPUTED_VALUE"""),24.3)</f>
        <v>24.3</v>
      </c>
      <c r="Z339" s="16">
        <f>IFERROR(__xludf.DUMMYFUNCTION("""COMPUTED_VALUE"""),18.9)</f>
        <v>18.9</v>
      </c>
      <c r="AA339" s="16">
        <f>IFERROR(__xludf.DUMMYFUNCTION("""COMPUTED_VALUE"""),0.0)</f>
        <v>0</v>
      </c>
      <c r="AB339" s="16">
        <f>IFERROR(__xludf.DUMMYFUNCTION("""COMPUTED_VALUE"""),1.0)</f>
        <v>1</v>
      </c>
      <c r="AC339" s="16">
        <f>IFERROR(__xludf.DUMMYFUNCTION("""COMPUTED_VALUE"""),0.0)</f>
        <v>0</v>
      </c>
      <c r="AD339" s="16">
        <f>IFERROR(__xludf.DUMMYFUNCTION("""COMPUTED_VALUE"""),5.0)</f>
        <v>5</v>
      </c>
      <c r="AE339" s="16">
        <f>IFERROR(__xludf.DUMMYFUNCTION("""COMPUTED_VALUE"""),33.3)</f>
        <v>33.3</v>
      </c>
      <c r="AF339" s="16">
        <f>IFERROR(__xludf.DUMMYFUNCTION("""COMPUTED_VALUE"""),24.8)</f>
        <v>24.8</v>
      </c>
      <c r="AG339" s="16">
        <f>IFERROR(__xludf.DUMMYFUNCTION("""COMPUTED_VALUE"""),-1.0)</f>
        <v>-1</v>
      </c>
      <c r="AH339" s="16">
        <f>IFERROR(__xludf.DUMMYFUNCTION("""COMPUTED_VALUE"""),0.0)</f>
        <v>0</v>
      </c>
      <c r="AI339" s="16">
        <f>IFERROR(__xludf.DUMMYFUNCTION("""COMPUTED_VALUE"""),-2.0)</f>
        <v>-2</v>
      </c>
      <c r="AJ339" s="16">
        <f>IFERROR(__xludf.DUMMYFUNCTION("""COMPUTED_VALUE"""),0.0)</f>
        <v>0</v>
      </c>
      <c r="AK339" s="16">
        <f>IFERROR(__xludf.DUMMYFUNCTION("""COMPUTED_VALUE"""),17.7)</f>
        <v>17.7</v>
      </c>
      <c r="AL339" s="16">
        <f>IFERROR(__xludf.DUMMYFUNCTION("""COMPUTED_VALUE"""),17.5)</f>
        <v>17.5</v>
      </c>
      <c r="AM339" s="16">
        <f>IFERROR(__xludf.DUMMYFUNCTION("""COMPUTED_VALUE"""),-1.0)</f>
        <v>-1</v>
      </c>
      <c r="AN339" s="16">
        <f>IFERROR(__xludf.DUMMYFUNCTION("""COMPUTED_VALUE"""),-1.0)</f>
        <v>-1</v>
      </c>
      <c r="AO339" s="16">
        <f>IFERROR(__xludf.DUMMYFUNCTION("""COMPUTED_VALUE"""),-1.0)</f>
        <v>-1</v>
      </c>
      <c r="AP339" s="16">
        <f>IFERROR(__xludf.DUMMYFUNCTION("""COMPUTED_VALUE"""),-1.0)</f>
        <v>-1</v>
      </c>
      <c r="AQ339" s="16">
        <f>IFERROR(__xludf.DUMMYFUNCTION("""COMPUTED_VALUE"""),22.9)</f>
        <v>22.9</v>
      </c>
      <c r="AR339" s="16">
        <f>IFERROR(__xludf.DUMMYFUNCTION("""COMPUTED_VALUE"""),19.200000000000003)</f>
        <v>19.2</v>
      </c>
      <c r="AS339" s="16">
        <f>IFERROR(__xludf.DUMMYFUNCTION("""COMPUTED_VALUE"""),0.0)</f>
        <v>0</v>
      </c>
      <c r="AT339" s="16">
        <f>IFERROR(__xludf.DUMMYFUNCTION("""COMPUTED_VALUE"""),0.0)</f>
        <v>0</v>
      </c>
      <c r="AU339" s="16">
        <f>IFERROR(__xludf.DUMMYFUNCTION("""COMPUTED_VALUE"""),0.0)</f>
        <v>0</v>
      </c>
      <c r="AV339" s="16">
        <f>IFERROR(__xludf.DUMMYFUNCTION("""COMPUTED_VALUE"""),0.0)</f>
        <v>0</v>
      </c>
      <c r="AW339" s="16">
        <f>IFERROR(__xludf.DUMMYFUNCTION("""COMPUTED_VALUE"""),2.6)</f>
        <v>2.6</v>
      </c>
      <c r="AX339" s="16">
        <f>IFERROR(__xludf.DUMMYFUNCTION("""COMPUTED_VALUE"""),1.4)</f>
        <v>1.4</v>
      </c>
      <c r="AY339" s="16">
        <f>IFERROR(__xludf.DUMMYFUNCTION("""COMPUTED_VALUE"""),-1.0)</f>
        <v>-1</v>
      </c>
      <c r="AZ339" s="16">
        <f>IFERROR(__xludf.DUMMYFUNCTION("""COMPUTED_VALUE"""),1.0)</f>
        <v>1</v>
      </c>
      <c r="BA339" s="16">
        <f>IFERROR(__xludf.DUMMYFUNCTION("""COMPUTED_VALUE"""),-5.0)</f>
        <v>-5</v>
      </c>
      <c r="BB339" s="16">
        <f>IFERROR(__xludf.DUMMYFUNCTION("""COMPUTED_VALUE"""),5.0)</f>
        <v>5</v>
      </c>
      <c r="BC339" s="16">
        <f>IFERROR(__xludf.DUMMYFUNCTION("""COMPUTED_VALUE"""),5.0)</f>
        <v>5</v>
      </c>
      <c r="BD339" s="16">
        <f>IFERROR(__xludf.DUMMYFUNCTION("""COMPUTED_VALUE"""),2.0)</f>
        <v>2</v>
      </c>
      <c r="BE339" s="16">
        <f>IFERROR(__xludf.DUMMYFUNCTION("""COMPUTED_VALUE"""),5.0)</f>
        <v>5</v>
      </c>
      <c r="BF339" s="16">
        <f>IFERROR(__xludf.DUMMYFUNCTION("""COMPUTED_VALUE"""),2.0)</f>
        <v>2</v>
      </c>
      <c r="BG339" s="16">
        <f>IFERROR(__xludf.DUMMYFUNCTION("""COMPUTED_VALUE"""),-2.0)</f>
        <v>-2</v>
      </c>
      <c r="BH339" s="16">
        <f>IFERROR(__xludf.DUMMYFUNCTION("""COMPUTED_VALUE"""),1.0)</f>
        <v>1</v>
      </c>
      <c r="BI339" s="16">
        <f>IFERROR(__xludf.DUMMYFUNCTION("""COMPUTED_VALUE"""),-4.0)</f>
        <v>-4</v>
      </c>
      <c r="BJ339" s="16">
        <f>IFERROR(__xludf.DUMMYFUNCTION("""COMPUTED_VALUE"""),2.0)</f>
        <v>2</v>
      </c>
      <c r="BK339" s="16">
        <f>IFERROR(__xludf.DUMMYFUNCTION("""COMPUTED_VALUE"""),5.0)</f>
        <v>5</v>
      </c>
      <c r="BL339" s="16">
        <f>IFERROR(__xludf.DUMMYFUNCTION("""COMPUTED_VALUE"""),5.0)</f>
        <v>5</v>
      </c>
      <c r="BM339" s="16">
        <f>IFERROR(__xludf.DUMMYFUNCTION("""COMPUTED_VALUE"""),0.0)</f>
        <v>0</v>
      </c>
      <c r="BN339" s="16">
        <f>IFERROR(__xludf.DUMMYFUNCTION("""COMPUTED_VALUE"""),0.0)</f>
        <v>0</v>
      </c>
      <c r="BO339" s="16">
        <f>IFERROR(__xludf.DUMMYFUNCTION("""COMPUTED_VALUE"""),0.0)</f>
        <v>0</v>
      </c>
      <c r="BP339" s="16">
        <f>IFERROR(__xludf.DUMMYFUNCTION("""COMPUTED_VALUE"""),0.0)</f>
        <v>0</v>
      </c>
      <c r="BQ339" s="16">
        <f>IFERROR(__xludf.DUMMYFUNCTION("""COMPUTED_VALUE"""),1.0)</f>
        <v>1</v>
      </c>
      <c r="BR339" s="16">
        <f>IFERROR(__xludf.DUMMYFUNCTION("""COMPUTED_VALUE"""),3.0)</f>
        <v>3</v>
      </c>
      <c r="BS339" s="16">
        <f>IFERROR(__xludf.DUMMYFUNCTION("""COMPUTED_VALUE"""),-2.0)</f>
        <v>-2</v>
      </c>
      <c r="BT339" s="16">
        <f>IFERROR(__xludf.DUMMYFUNCTION("""COMPUTED_VALUE"""),-1.0)</f>
        <v>-1</v>
      </c>
      <c r="BU339" s="16">
        <f>IFERROR(__xludf.DUMMYFUNCTION("""COMPUTED_VALUE"""),-4.0)</f>
        <v>-4</v>
      </c>
      <c r="BV339" s="16">
        <f>IFERROR(__xludf.DUMMYFUNCTION("""COMPUTED_VALUE"""),-2.0)</f>
        <v>-2</v>
      </c>
      <c r="BW339" s="16">
        <f>IFERROR(__xludf.DUMMYFUNCTION("""COMPUTED_VALUE"""),0.0)</f>
        <v>0</v>
      </c>
      <c r="BX339" s="16">
        <f>IFERROR(__xludf.DUMMYFUNCTION("""COMPUTED_VALUE"""),0.0)</f>
        <v>0</v>
      </c>
      <c r="BY339" s="16" t="str">
        <f>IFERROR(__xludf.DUMMYFUNCTION("""COMPUTED_VALUE"""),"S(6)")</f>
        <v>S(6)</v>
      </c>
      <c r="BZ339" s="16" t="str">
        <f>IFERROR(__xludf.DUMMYFUNCTION("""COMPUTED_VALUE"""),"S(6)")</f>
        <v>S(6)</v>
      </c>
      <c r="CA339" s="16" t="str">
        <f>IFERROR(__xludf.DUMMYFUNCTION("""COMPUTED_VALUE"""),"S(6)")</f>
        <v>S(6)</v>
      </c>
      <c r="CB339" s="16"/>
      <c r="CC339" s="16"/>
      <c r="CD339" s="16">
        <f>IFERROR(__xludf.DUMMYFUNCTION("""COMPUTED_VALUE"""),6.0)</f>
        <v>6</v>
      </c>
      <c r="CE339" s="16"/>
      <c r="CF339" s="16"/>
      <c r="CG339" s="16" t="str">
        <f>IFERROR(__xludf.DUMMYFUNCTION("""COMPUTED_VALUE"""),"3-8")</f>
        <v>3-8</v>
      </c>
      <c r="CH339" s="16">
        <f>IFERROR(__xludf.DUMMYFUNCTION("""COMPUTED_VALUE"""),3.0)</f>
        <v>3</v>
      </c>
      <c r="CI339" s="16">
        <f>IFERROR(__xludf.DUMMYFUNCTION("""COMPUTED_VALUE"""),8.0)</f>
        <v>8</v>
      </c>
      <c r="CJ339" s="16">
        <f>IFERROR(__xludf.DUMMYFUNCTION("""COMPUTED_VALUE"""),4.0)</f>
        <v>4</v>
      </c>
      <c r="CK339" s="16">
        <f>IFERROR(__xludf.DUMMYFUNCTION("""COMPUTED_VALUE"""),5.0)</f>
        <v>5</v>
      </c>
      <c r="CL339" s="16" t="str">
        <f>IFERROR(__xludf.DUMMYFUNCTION("""COMPUTED_VALUE"""),"1WR-C")</f>
        <v>1WR-C</v>
      </c>
      <c r="CM339" s="16" t="str">
        <f>IFERROR(__xludf.DUMMYFUNCTION("""COMPUTED_VALUE"""),"E")</f>
        <v>E</v>
      </c>
      <c r="CN339" s="16">
        <f>IFERROR(__xludf.DUMMYFUNCTION("""COMPUTED_VALUE"""),10.0)</f>
        <v>10</v>
      </c>
      <c r="CO339" s="16" t="str">
        <f>IFERROR(__xludf.DUMMYFUNCTION("""COMPUTED_VALUE"""),"C")</f>
        <v>C</v>
      </c>
      <c r="CP339" s="16" t="str">
        <f>IFERROR(__xludf.DUMMYFUNCTION("""COMPUTED_VALUE"""),"1p70")</f>
        <v>1p70</v>
      </c>
      <c r="CQ339" s="16">
        <f>IFERROR(__xludf.DUMMYFUNCTION("""COMPUTED_VALUE"""),-22.0)</f>
        <v>-22</v>
      </c>
      <c r="CR339" s="16">
        <f>IFERROR(__xludf.DUMMYFUNCTION("""COMPUTED_VALUE"""),7.0)</f>
        <v>7</v>
      </c>
      <c r="CS339" s="16">
        <f>IFERROR(__xludf.DUMMYFUNCTION("""COMPUTED_VALUE"""),-15.0)</f>
        <v>-15</v>
      </c>
      <c r="CT339" s="16">
        <f>IFERROR(__xludf.DUMMYFUNCTION("""COMPUTED_VALUE"""),-22.0)</f>
        <v>-22</v>
      </c>
      <c r="CU339" s="16">
        <f>IFERROR(__xludf.DUMMYFUNCTION("""COMPUTED_VALUE"""),7.0)</f>
        <v>7</v>
      </c>
      <c r="CV339" s="179">
        <f>IFERROR(__xludf.DUMMYFUNCTION("""COMPUTED_VALUE"""),-5.333333333333334)</f>
        <v>-5.333333333</v>
      </c>
      <c r="CW339" s="179">
        <f>IFERROR(__xludf.DUMMYFUNCTION("""COMPUTED_VALUE"""),4.0)</f>
        <v>4</v>
      </c>
      <c r="CX339" s="179">
        <f>IFERROR(__xludf.DUMMYFUNCTION("""COMPUTED_VALUE"""),3.0)</f>
        <v>3</v>
      </c>
      <c r="CY339" s="16" t="str">
        <f>IFERROR(__xludf.DUMMYFUNCTION("""COMPUTED_VALUE"""),"SP")</f>
        <v>SP</v>
      </c>
      <c r="CZ339" s="16"/>
      <c r="DA339" s="16"/>
      <c r="DB339" s="16"/>
      <c r="DC339" s="16"/>
      <c r="DD339" s="16"/>
      <c r="DE339" s="16"/>
      <c r="DF339" s="16"/>
      <c r="DG339" s="16"/>
      <c r="DH339" s="16"/>
      <c r="DI339" s="16"/>
      <c r="DJ339" s="16"/>
      <c r="DK339" s="16"/>
    </row>
    <row r="340">
      <c r="A340" s="16">
        <f>IFERROR(__xludf.DUMMYFUNCTION("""COMPUTED_VALUE"""),13273.0)</f>
        <v>13273</v>
      </c>
      <c r="B340" s="16" t="str">
        <f>IFERROR(__xludf.DUMMYFUNCTION("""COMPUTED_VALUE"""),"Patrick Corbin")</f>
        <v>Patrick Corbin</v>
      </c>
      <c r="C340" s="153">
        <f>IFERROR(__xludf.DUMMYFUNCTION("""COMPUTED_VALUE"""),0.0)</f>
        <v>0</v>
      </c>
      <c r="D340" s="16"/>
      <c r="E340" s="16" t="str">
        <f>IFERROR(__xludf.DUMMYFUNCTION("""COMPUTED_VALUE"""),"L")</f>
        <v>L</v>
      </c>
      <c r="F340" s="16">
        <f>IFERROR(__xludf.DUMMYFUNCTION("""COMPUTED_VALUE"""),175.0)</f>
        <v>175</v>
      </c>
      <c r="G340" s="16">
        <f>IFERROR(__xludf.DUMMYFUNCTION("""COMPUTED_VALUE"""),21.0)</f>
        <v>21</v>
      </c>
      <c r="H340" s="16">
        <f>IFERROR(__xludf.DUMMYFUNCTION("""COMPUTED_VALUE"""),14.0)</f>
        <v>14</v>
      </c>
      <c r="I340" s="16">
        <f>IFERROR(__xludf.DUMMYFUNCTION("""COMPUTED_VALUE"""),-1.0)</f>
        <v>-1</v>
      </c>
      <c r="J340" s="16">
        <f>IFERROR(__xludf.DUMMYFUNCTION("""COMPUTED_VALUE"""),-2.0)</f>
        <v>-2</v>
      </c>
      <c r="K340" s="16">
        <f>IFERROR(__xludf.DUMMYFUNCTION("""COMPUTED_VALUE"""),-3.0)</f>
        <v>-3</v>
      </c>
      <c r="L340" s="16">
        <f>IFERROR(__xludf.DUMMYFUNCTION("""COMPUTED_VALUE"""),-6.0)</f>
        <v>-6</v>
      </c>
      <c r="M340" s="16">
        <f>IFERROR(__xludf.DUMMYFUNCTION("""COMPUTED_VALUE"""),14.0)</f>
        <v>14</v>
      </c>
      <c r="N340" s="16">
        <f>IFERROR(__xludf.DUMMYFUNCTION("""COMPUTED_VALUE"""),5.0)</f>
        <v>5</v>
      </c>
      <c r="O340" s="16">
        <f>IFERROR(__xludf.DUMMYFUNCTION("""COMPUTED_VALUE"""),-2.0)</f>
        <v>-2</v>
      </c>
      <c r="P340" s="16">
        <f>IFERROR(__xludf.DUMMYFUNCTION("""COMPUTED_VALUE"""),2.0)</f>
        <v>2</v>
      </c>
      <c r="Q340" s="16">
        <f>IFERROR(__xludf.DUMMYFUNCTION("""COMPUTED_VALUE"""),-2.0)</f>
        <v>-2</v>
      </c>
      <c r="R340" s="16">
        <f>IFERROR(__xludf.DUMMYFUNCTION("""COMPUTED_VALUE"""),2.0)</f>
        <v>2</v>
      </c>
      <c r="S340" s="16">
        <f>IFERROR(__xludf.DUMMYFUNCTION("""COMPUTED_VALUE"""),11.6)</f>
        <v>11.6</v>
      </c>
      <c r="T340" s="16">
        <f>IFERROR(__xludf.DUMMYFUNCTION("""COMPUTED_VALUE"""),29.8)</f>
        <v>29.8</v>
      </c>
      <c r="U340" s="16">
        <f>IFERROR(__xludf.DUMMYFUNCTION("""COMPUTED_VALUE"""),1.0)</f>
        <v>1</v>
      </c>
      <c r="V340" s="16">
        <f>IFERROR(__xludf.DUMMYFUNCTION("""COMPUTED_VALUE"""),-2.0)</f>
        <v>-2</v>
      </c>
      <c r="W340" s="16">
        <f>IFERROR(__xludf.DUMMYFUNCTION("""COMPUTED_VALUE"""),2.0)</f>
        <v>2</v>
      </c>
      <c r="X340" s="16">
        <f>IFERROR(__xludf.DUMMYFUNCTION("""COMPUTED_VALUE"""),-4.0)</f>
        <v>-4</v>
      </c>
      <c r="Y340" s="16">
        <f>IFERROR(__xludf.DUMMYFUNCTION("""COMPUTED_VALUE"""),25.6)</f>
        <v>25.6</v>
      </c>
      <c r="Z340" s="16">
        <f>IFERROR(__xludf.DUMMYFUNCTION("""COMPUTED_VALUE"""),34.8)</f>
        <v>34.8</v>
      </c>
      <c r="AA340" s="16">
        <f>IFERROR(__xludf.DUMMYFUNCTION("""COMPUTED_VALUE"""),0.0)</f>
        <v>0</v>
      </c>
      <c r="AB340" s="16">
        <f>IFERROR(__xludf.DUMMYFUNCTION("""COMPUTED_VALUE"""),-2.0)</f>
        <v>-2</v>
      </c>
      <c r="AC340" s="16">
        <f>IFERROR(__xludf.DUMMYFUNCTION("""COMPUTED_VALUE"""),0.0)</f>
        <v>0</v>
      </c>
      <c r="AD340" s="16">
        <f>IFERROR(__xludf.DUMMYFUNCTION("""COMPUTED_VALUE"""),-10.0)</f>
        <v>-10</v>
      </c>
      <c r="AE340" s="16">
        <f>IFERROR(__xludf.DUMMYFUNCTION("""COMPUTED_VALUE"""),22.5)</f>
        <v>22.5</v>
      </c>
      <c r="AF340" s="16">
        <f>IFERROR(__xludf.DUMMYFUNCTION("""COMPUTED_VALUE"""),48.4)</f>
        <v>48.4</v>
      </c>
      <c r="AG340" s="16">
        <f>IFERROR(__xludf.DUMMYFUNCTION("""COMPUTED_VALUE"""),1.0)</f>
        <v>1</v>
      </c>
      <c r="AH340" s="16">
        <f>IFERROR(__xludf.DUMMYFUNCTION("""COMPUTED_VALUE"""),-2.0)</f>
        <v>-2</v>
      </c>
      <c r="AI340" s="16">
        <f>IFERROR(__xludf.DUMMYFUNCTION("""COMPUTED_VALUE"""),2.0)</f>
        <v>2</v>
      </c>
      <c r="AJ340" s="16">
        <f>IFERROR(__xludf.DUMMYFUNCTION("""COMPUTED_VALUE"""),-4.0)</f>
        <v>-4</v>
      </c>
      <c r="AK340" s="16">
        <f>IFERROR(__xludf.DUMMYFUNCTION("""COMPUTED_VALUE"""),11.2)</f>
        <v>11.2</v>
      </c>
      <c r="AL340" s="16">
        <f>IFERROR(__xludf.DUMMYFUNCTION("""COMPUTED_VALUE"""),27.2)</f>
        <v>27.2</v>
      </c>
      <c r="AM340" s="16">
        <f>IFERROR(__xludf.DUMMYFUNCTION("""COMPUTED_VALUE"""),0.0)</f>
        <v>0</v>
      </c>
      <c r="AN340" s="16">
        <f>IFERROR(__xludf.DUMMYFUNCTION("""COMPUTED_VALUE"""),-2.0)</f>
        <v>-2</v>
      </c>
      <c r="AO340" s="16">
        <f>IFERROR(__xludf.DUMMYFUNCTION("""COMPUTED_VALUE"""),0.0)</f>
        <v>0</v>
      </c>
      <c r="AP340" s="16">
        <f>IFERROR(__xludf.DUMMYFUNCTION("""COMPUTED_VALUE"""),-2.0)</f>
        <v>-2</v>
      </c>
      <c r="AQ340" s="16">
        <f>IFERROR(__xludf.DUMMYFUNCTION("""COMPUTED_VALUE"""),20.9)</f>
        <v>20.9</v>
      </c>
      <c r="AR340" s="16">
        <f>IFERROR(__xludf.DUMMYFUNCTION("""COMPUTED_VALUE"""),38.0)</f>
        <v>38</v>
      </c>
      <c r="AS340" s="16">
        <f>IFERROR(__xludf.DUMMYFUNCTION("""COMPUTED_VALUE"""),0.0)</f>
        <v>0</v>
      </c>
      <c r="AT340" s="16">
        <f>IFERROR(__xludf.DUMMYFUNCTION("""COMPUTED_VALUE"""),-2.0)</f>
        <v>-2</v>
      </c>
      <c r="AU340" s="16">
        <f>IFERROR(__xludf.DUMMYFUNCTION("""COMPUTED_VALUE"""),0.0)</f>
        <v>0</v>
      </c>
      <c r="AV340" s="16">
        <f>IFERROR(__xludf.DUMMYFUNCTION("""COMPUTED_VALUE"""),-4.0)</f>
        <v>-4</v>
      </c>
      <c r="AW340" s="16">
        <f>IFERROR(__xludf.DUMMYFUNCTION("""COMPUTED_VALUE"""),0.4)</f>
        <v>0.4</v>
      </c>
      <c r="AX340" s="16">
        <f>IFERROR(__xludf.DUMMYFUNCTION("""COMPUTED_VALUE"""),2.6)</f>
        <v>2.6</v>
      </c>
      <c r="AY340" s="16">
        <f>IFERROR(__xludf.DUMMYFUNCTION("""COMPUTED_VALUE"""),2.0)</f>
        <v>2</v>
      </c>
      <c r="AZ340" s="16">
        <f>IFERROR(__xludf.DUMMYFUNCTION("""COMPUTED_VALUE"""),-1.0)</f>
        <v>-1</v>
      </c>
      <c r="BA340" s="16">
        <f>IFERROR(__xludf.DUMMYFUNCTION("""COMPUTED_VALUE"""),10.0)</f>
        <v>10</v>
      </c>
      <c r="BB340" s="16">
        <f>IFERROR(__xludf.DUMMYFUNCTION("""COMPUTED_VALUE"""),-5.0)</f>
        <v>-5</v>
      </c>
      <c r="BC340" s="16">
        <f>IFERROR(__xludf.DUMMYFUNCTION("""COMPUTED_VALUE"""),0.0)</f>
        <v>0</v>
      </c>
      <c r="BD340" s="16">
        <f>IFERROR(__xludf.DUMMYFUNCTION("""COMPUTED_VALUE"""),4.0)</f>
        <v>4</v>
      </c>
      <c r="BE340" s="16">
        <f>IFERROR(__xludf.DUMMYFUNCTION("""COMPUTED_VALUE"""),0.0)</f>
        <v>0</v>
      </c>
      <c r="BF340" s="16">
        <f>IFERROR(__xludf.DUMMYFUNCTION("""COMPUTED_VALUE"""),4.0)</f>
        <v>4</v>
      </c>
      <c r="BG340" s="16">
        <f>IFERROR(__xludf.DUMMYFUNCTION("""COMPUTED_VALUE"""),3.0)</f>
        <v>3</v>
      </c>
      <c r="BH340" s="16">
        <f>IFERROR(__xludf.DUMMYFUNCTION("""COMPUTED_VALUE"""),-1.0)</f>
        <v>-1</v>
      </c>
      <c r="BI340" s="16">
        <f>IFERROR(__xludf.DUMMYFUNCTION("""COMPUTED_VALUE"""),6.0)</f>
        <v>6</v>
      </c>
      <c r="BJ340" s="16">
        <f>IFERROR(__xludf.DUMMYFUNCTION("""COMPUTED_VALUE"""),-2.0)</f>
        <v>-2</v>
      </c>
      <c r="BK340" s="16">
        <f>IFERROR(__xludf.DUMMYFUNCTION("""COMPUTED_VALUE"""),5.0)</f>
        <v>5</v>
      </c>
      <c r="BL340" s="16">
        <f>IFERROR(__xludf.DUMMYFUNCTION("""COMPUTED_VALUE"""),5.0)</f>
        <v>5</v>
      </c>
      <c r="BM340" s="16">
        <f>IFERROR(__xludf.DUMMYFUNCTION("""COMPUTED_VALUE"""),0.0)</f>
        <v>0</v>
      </c>
      <c r="BN340" s="16">
        <f>IFERROR(__xludf.DUMMYFUNCTION("""COMPUTED_VALUE"""),0.0)</f>
        <v>0</v>
      </c>
      <c r="BO340" s="16">
        <f>IFERROR(__xludf.DUMMYFUNCTION("""COMPUTED_VALUE"""),0.0)</f>
        <v>0</v>
      </c>
      <c r="BP340" s="16">
        <f>IFERROR(__xludf.DUMMYFUNCTION("""COMPUTED_VALUE"""),0.0)</f>
        <v>0</v>
      </c>
      <c r="BQ340" s="16">
        <f>IFERROR(__xludf.DUMMYFUNCTION("""COMPUTED_VALUE"""),8.0)</f>
        <v>8</v>
      </c>
      <c r="BR340" s="16">
        <f>IFERROR(__xludf.DUMMYFUNCTION("""COMPUTED_VALUE"""),8.0)</f>
        <v>8</v>
      </c>
      <c r="BS340" s="16">
        <f>IFERROR(__xludf.DUMMYFUNCTION("""COMPUTED_VALUE"""),2.0)</f>
        <v>2</v>
      </c>
      <c r="BT340" s="16">
        <f>IFERROR(__xludf.DUMMYFUNCTION("""COMPUTED_VALUE"""),2.0)</f>
        <v>2</v>
      </c>
      <c r="BU340" s="16">
        <f>IFERROR(__xludf.DUMMYFUNCTION("""COMPUTED_VALUE"""),4.0)</f>
        <v>4</v>
      </c>
      <c r="BV340" s="16">
        <f>IFERROR(__xludf.DUMMYFUNCTION("""COMPUTED_VALUE"""),4.0)</f>
        <v>4</v>
      </c>
      <c r="BW340" s="16">
        <f>IFERROR(__xludf.DUMMYFUNCTION("""COMPUTED_VALUE"""),3.0)</f>
        <v>3</v>
      </c>
      <c r="BX340" s="16">
        <f>IFERROR(__xludf.DUMMYFUNCTION("""COMPUTED_VALUE"""),3.0)</f>
        <v>3</v>
      </c>
      <c r="BY340" s="16" t="str">
        <f>IFERROR(__xludf.DUMMYFUNCTION("""COMPUTED_VALUE"""),"S(6)")</f>
        <v>S(6)</v>
      </c>
      <c r="BZ340" s="16" t="str">
        <f>IFERROR(__xludf.DUMMYFUNCTION("""COMPUTED_VALUE"""),"S(6)")</f>
        <v>S(6)</v>
      </c>
      <c r="CA340" s="16" t="str">
        <f>IFERROR(__xludf.DUMMYFUNCTION("""COMPUTED_VALUE"""),"S(6)")</f>
        <v>S(6)</v>
      </c>
      <c r="CB340" s="16"/>
      <c r="CC340" s="16"/>
      <c r="CD340" s="16">
        <f>IFERROR(__xludf.DUMMYFUNCTION("""COMPUTED_VALUE"""),6.0)</f>
        <v>6</v>
      </c>
      <c r="CE340" s="16"/>
      <c r="CF340" s="16"/>
      <c r="CG340" s="16" t="str">
        <f>IFERROR(__xludf.DUMMYFUNCTION("""COMPUTED_VALUE"""),"2-0")</f>
        <v>2-0</v>
      </c>
      <c r="CH340" s="16">
        <f>IFERROR(__xludf.DUMMYFUNCTION("""COMPUTED_VALUE"""),2.0)</f>
        <v>2</v>
      </c>
      <c r="CI340" s="16">
        <f>IFERROR(__xludf.DUMMYFUNCTION("""COMPUTED_VALUE"""),0.0)</f>
        <v>0</v>
      </c>
      <c r="CJ340" s="16">
        <f>IFERROR(__xludf.DUMMYFUNCTION("""COMPUTED_VALUE"""),0.0)</f>
        <v>0</v>
      </c>
      <c r="CK340" s="16">
        <f>IFERROR(__xludf.DUMMYFUNCTION("""COMPUTED_VALUE"""),3.0)</f>
        <v>3</v>
      </c>
      <c r="CL340" s="16" t="str">
        <f>IFERROR(__xludf.DUMMYFUNCTION("""COMPUTED_VALUE"""),"1WL-C")</f>
        <v>1WL-C</v>
      </c>
      <c r="CM340" s="16" t="str">
        <f>IFERROR(__xludf.DUMMYFUNCTION("""COMPUTED_VALUE"""),"E")</f>
        <v>E</v>
      </c>
      <c r="CN340" s="16">
        <f>IFERROR(__xludf.DUMMYFUNCTION("""COMPUTED_VALUE"""),12.0)</f>
        <v>12</v>
      </c>
      <c r="CO340" s="16" t="str">
        <f>IFERROR(__xludf.DUMMYFUNCTION("""COMPUTED_VALUE"""),"C")</f>
        <v>C</v>
      </c>
      <c r="CP340" s="16" t="str">
        <f>IFERROR(__xludf.DUMMYFUNCTION("""COMPUTED_VALUE"""),"0p72")</f>
        <v>0p72</v>
      </c>
      <c r="CQ340" s="16">
        <f>IFERROR(__xludf.DUMMYFUNCTION("""COMPUTED_VALUE"""),19.0)</f>
        <v>19</v>
      </c>
      <c r="CR340" s="16">
        <f>IFERROR(__xludf.DUMMYFUNCTION("""COMPUTED_VALUE"""),-31.0)</f>
        <v>-31</v>
      </c>
      <c r="CS340" s="16">
        <f>IFERROR(__xludf.DUMMYFUNCTION("""COMPUTED_VALUE"""),-12.0)</f>
        <v>-12</v>
      </c>
      <c r="CT340" s="16">
        <f>IFERROR(__xludf.DUMMYFUNCTION("""COMPUTED_VALUE"""),19.0)</f>
        <v>19</v>
      </c>
      <c r="CU340" s="16">
        <f>IFERROR(__xludf.DUMMYFUNCTION("""COMPUTED_VALUE"""),-31.0)</f>
        <v>-31</v>
      </c>
      <c r="CV340" s="179">
        <f>IFERROR(__xludf.DUMMYFUNCTION("""COMPUTED_VALUE"""),-5.333333333333334)</f>
        <v>-5.333333333</v>
      </c>
      <c r="CW340" s="179">
        <f>IFERROR(__xludf.DUMMYFUNCTION("""COMPUTED_VALUE"""),5.0)</f>
        <v>5</v>
      </c>
      <c r="CX340" s="179">
        <f>IFERROR(__xludf.DUMMYFUNCTION("""COMPUTED_VALUE"""),4.0)</f>
        <v>4</v>
      </c>
      <c r="CY340" s="16" t="str">
        <f>IFERROR(__xludf.DUMMYFUNCTION("""COMPUTED_VALUE"""),"SP")</f>
        <v>SP</v>
      </c>
      <c r="CZ340" s="16"/>
      <c r="DA340" s="16"/>
      <c r="DB340" s="16"/>
      <c r="DC340" s="16"/>
      <c r="DD340" s="16"/>
      <c r="DE340" s="16"/>
      <c r="DF340" s="16"/>
      <c r="DG340" s="16"/>
      <c r="DH340" s="16"/>
      <c r="DI340" s="16"/>
      <c r="DJ340" s="16"/>
      <c r="DK340" s="16"/>
    </row>
    <row r="341">
      <c r="A341" s="16">
        <f>IFERROR(__xludf.DUMMYFUNCTION("""COMPUTED_VALUE"""),12856.0)</f>
        <v>12856</v>
      </c>
      <c r="B341" s="16" t="str">
        <f>IFERROR(__xludf.DUMMYFUNCTION("""COMPUTED_VALUE"""),"Gregory Soto")</f>
        <v>Gregory Soto</v>
      </c>
      <c r="C341" s="153">
        <f>IFERROR(__xludf.DUMMYFUNCTION("""COMPUTED_VALUE"""),0.11)</f>
        <v>0.11</v>
      </c>
      <c r="D341" s="16"/>
      <c r="E341" s="16" t="str">
        <f>IFERROR(__xludf.DUMMYFUNCTION("""COMPUTED_VALUE"""),"L")</f>
        <v>L</v>
      </c>
      <c r="F341" s="16">
        <f>IFERROR(__xludf.DUMMYFUNCTION("""COMPUTED_VALUE"""),53.0)</f>
        <v>53</v>
      </c>
      <c r="G341" s="16">
        <f>IFERROR(__xludf.DUMMYFUNCTION("""COMPUTED_VALUE"""),39.0)</f>
        <v>39</v>
      </c>
      <c r="H341" s="16">
        <f>IFERROR(__xludf.DUMMYFUNCTION("""COMPUTED_VALUE"""),30.0)</f>
        <v>30</v>
      </c>
      <c r="I341" s="16">
        <f>IFERROR(__xludf.DUMMYFUNCTION("""COMPUTED_VALUE"""),2.0)</f>
        <v>2</v>
      </c>
      <c r="J341" s="16">
        <f>IFERROR(__xludf.DUMMYFUNCTION("""COMPUTED_VALUE"""),0.0)</f>
        <v>0</v>
      </c>
      <c r="K341" s="16">
        <f>IFERROR(__xludf.DUMMYFUNCTION("""COMPUTED_VALUE"""),6.0)</f>
        <v>6</v>
      </c>
      <c r="L341" s="16">
        <f>IFERROR(__xludf.DUMMYFUNCTION("""COMPUTED_VALUE"""),0.0)</f>
        <v>0</v>
      </c>
      <c r="M341" s="16">
        <f>IFERROR(__xludf.DUMMYFUNCTION("""COMPUTED_VALUE"""),14.0)</f>
        <v>14</v>
      </c>
      <c r="N341" s="16">
        <f>IFERROR(__xludf.DUMMYFUNCTION("""COMPUTED_VALUE"""),15.0)</f>
        <v>15</v>
      </c>
      <c r="O341" s="16">
        <f>IFERROR(__xludf.DUMMYFUNCTION("""COMPUTED_VALUE"""),-2.0)</f>
        <v>-2</v>
      </c>
      <c r="P341" s="16">
        <f>IFERROR(__xludf.DUMMYFUNCTION("""COMPUTED_VALUE"""),-3.0)</f>
        <v>-3</v>
      </c>
      <c r="Q341" s="16">
        <f>IFERROR(__xludf.DUMMYFUNCTION("""COMPUTED_VALUE"""),-2.0)</f>
        <v>-2</v>
      </c>
      <c r="R341" s="16">
        <f>IFERROR(__xludf.DUMMYFUNCTION("""COMPUTED_VALUE"""),-3.0)</f>
        <v>-3</v>
      </c>
      <c r="S341" s="16">
        <f>IFERROR(__xludf.DUMMYFUNCTION("""COMPUTED_VALUE"""),17.8)</f>
        <v>17.8</v>
      </c>
      <c r="T341" s="16">
        <f>IFERROR(__xludf.DUMMYFUNCTION("""COMPUTED_VALUE"""),24.6)</f>
        <v>24.6</v>
      </c>
      <c r="U341" s="16">
        <f>IFERROR(__xludf.DUMMYFUNCTION("""COMPUTED_VALUE"""),0.0)</f>
        <v>0</v>
      </c>
      <c r="V341" s="16">
        <f>IFERROR(__xludf.DUMMYFUNCTION("""COMPUTED_VALUE"""),-2.0)</f>
        <v>-2</v>
      </c>
      <c r="W341" s="16">
        <f>IFERROR(__xludf.DUMMYFUNCTION("""COMPUTED_VALUE"""),0.0)</f>
        <v>0</v>
      </c>
      <c r="X341" s="16">
        <f>IFERROR(__xludf.DUMMYFUNCTION("""COMPUTED_VALUE"""),-4.0)</f>
        <v>-4</v>
      </c>
      <c r="Y341" s="16">
        <f>IFERROR(__xludf.DUMMYFUNCTION("""COMPUTED_VALUE"""),31.8)</f>
        <v>31.8</v>
      </c>
      <c r="Z341" s="16">
        <f>IFERROR(__xludf.DUMMYFUNCTION("""COMPUTED_VALUE"""),39.6)</f>
        <v>39.6</v>
      </c>
      <c r="AA341" s="16">
        <f>IFERROR(__xludf.DUMMYFUNCTION("""COMPUTED_VALUE"""),-1.0)</f>
        <v>-1</v>
      </c>
      <c r="AB341" s="16">
        <f>IFERROR(__xludf.DUMMYFUNCTION("""COMPUTED_VALUE"""),-2.0)</f>
        <v>-2</v>
      </c>
      <c r="AC341" s="16">
        <f>IFERROR(__xludf.DUMMYFUNCTION("""COMPUTED_VALUE"""),-5.0)</f>
        <v>-5</v>
      </c>
      <c r="AD341" s="16">
        <f>IFERROR(__xludf.DUMMYFUNCTION("""COMPUTED_VALUE"""),-10.0)</f>
        <v>-10</v>
      </c>
      <c r="AE341" s="16">
        <f>IFERROR(__xludf.DUMMYFUNCTION("""COMPUTED_VALUE"""),33.5)</f>
        <v>33.5</v>
      </c>
      <c r="AF341" s="16">
        <f>IFERROR(__xludf.DUMMYFUNCTION("""COMPUTED_VALUE"""),29.8)</f>
        <v>29.8</v>
      </c>
      <c r="AG341" s="16">
        <f>IFERROR(__xludf.DUMMYFUNCTION("""COMPUTED_VALUE"""),-1.0)</f>
        <v>-1</v>
      </c>
      <c r="AH341" s="16">
        <f>IFERROR(__xludf.DUMMYFUNCTION("""COMPUTED_VALUE"""),0.0)</f>
        <v>0</v>
      </c>
      <c r="AI341" s="16">
        <f>IFERROR(__xludf.DUMMYFUNCTION("""COMPUTED_VALUE"""),-2.0)</f>
        <v>-2</v>
      </c>
      <c r="AJ341" s="16">
        <f>IFERROR(__xludf.DUMMYFUNCTION("""COMPUTED_VALUE"""),0.0)</f>
        <v>0</v>
      </c>
      <c r="AK341" s="16">
        <f>IFERROR(__xludf.DUMMYFUNCTION("""COMPUTED_VALUE"""),16.2)</f>
        <v>16.2</v>
      </c>
      <c r="AL341" s="16">
        <f>IFERROR(__xludf.DUMMYFUNCTION("""COMPUTED_VALUE"""),24.6)</f>
        <v>24.6</v>
      </c>
      <c r="AM341" s="16">
        <f>IFERROR(__xludf.DUMMYFUNCTION("""COMPUTED_VALUE"""),-1.0)</f>
        <v>-1</v>
      </c>
      <c r="AN341" s="16">
        <f>IFERROR(__xludf.DUMMYFUNCTION("""COMPUTED_VALUE"""),-2.0)</f>
        <v>-2</v>
      </c>
      <c r="AO341" s="16">
        <f>IFERROR(__xludf.DUMMYFUNCTION("""COMPUTED_VALUE"""),-1.0)</f>
        <v>-1</v>
      </c>
      <c r="AP341" s="16">
        <f>IFERROR(__xludf.DUMMYFUNCTION("""COMPUTED_VALUE"""),-2.0)</f>
        <v>-2</v>
      </c>
      <c r="AQ341" s="16">
        <f>IFERROR(__xludf.DUMMYFUNCTION("""COMPUTED_VALUE"""),27.1)</f>
        <v>27.1</v>
      </c>
      <c r="AR341" s="16">
        <f>IFERROR(__xludf.DUMMYFUNCTION("""COMPUTED_VALUE"""),29.8)</f>
        <v>29.8</v>
      </c>
      <c r="AS341" s="16">
        <f>IFERROR(__xludf.DUMMYFUNCTION("""COMPUTED_VALUE"""),-1.0)</f>
        <v>-1</v>
      </c>
      <c r="AT341" s="16">
        <f>IFERROR(__xludf.DUMMYFUNCTION("""COMPUTED_VALUE"""),-1.0)</f>
        <v>-1</v>
      </c>
      <c r="AU341" s="16">
        <f>IFERROR(__xludf.DUMMYFUNCTION("""COMPUTED_VALUE"""),-2.0)</f>
        <v>-2</v>
      </c>
      <c r="AV341" s="16">
        <f>IFERROR(__xludf.DUMMYFUNCTION("""COMPUTED_VALUE"""),-2.0)</f>
        <v>-2</v>
      </c>
      <c r="AW341" s="16">
        <f>IFERROR(__xludf.DUMMYFUNCTION("""COMPUTED_VALUE"""),1.6)</f>
        <v>1.6</v>
      </c>
      <c r="AX341" s="16">
        <f>IFERROR(__xludf.DUMMYFUNCTION("""COMPUTED_VALUE"""),0.0)</f>
        <v>0</v>
      </c>
      <c r="AY341" s="16">
        <f>IFERROR(__xludf.DUMMYFUNCTION("""COMPUTED_VALUE"""),1.0)</f>
        <v>1</v>
      </c>
      <c r="AZ341" s="16">
        <f>IFERROR(__xludf.DUMMYFUNCTION("""COMPUTED_VALUE"""),2.0)</f>
        <v>2</v>
      </c>
      <c r="BA341" s="16">
        <f>IFERROR(__xludf.DUMMYFUNCTION("""COMPUTED_VALUE"""),5.0)</f>
        <v>5</v>
      </c>
      <c r="BB341" s="16">
        <f>IFERROR(__xludf.DUMMYFUNCTION("""COMPUTED_VALUE"""),10.0)</f>
        <v>10</v>
      </c>
      <c r="BC341" s="16">
        <f>IFERROR(__xludf.DUMMYFUNCTION("""COMPUTED_VALUE"""),1.0)</f>
        <v>1</v>
      </c>
      <c r="BD341" s="16">
        <f>IFERROR(__xludf.DUMMYFUNCTION("""COMPUTED_VALUE"""),0.0)</f>
        <v>0</v>
      </c>
      <c r="BE341" s="16">
        <f>IFERROR(__xludf.DUMMYFUNCTION("""COMPUTED_VALUE"""),1.0)</f>
        <v>1</v>
      </c>
      <c r="BF341" s="16">
        <f>IFERROR(__xludf.DUMMYFUNCTION("""COMPUTED_VALUE"""),0.0)</f>
        <v>0</v>
      </c>
      <c r="BG341" s="16">
        <f>IFERROR(__xludf.DUMMYFUNCTION("""COMPUTED_VALUE"""),2.0)</f>
        <v>2</v>
      </c>
      <c r="BH341" s="16">
        <f>IFERROR(__xludf.DUMMYFUNCTION("""COMPUTED_VALUE"""),2.0)</f>
        <v>2</v>
      </c>
      <c r="BI341" s="16">
        <f>IFERROR(__xludf.DUMMYFUNCTION("""COMPUTED_VALUE"""),4.0)</f>
        <v>4</v>
      </c>
      <c r="BJ341" s="16">
        <f>IFERROR(__xludf.DUMMYFUNCTION("""COMPUTED_VALUE"""),4.0)</f>
        <v>4</v>
      </c>
      <c r="BK341" s="16">
        <f>IFERROR(__xludf.DUMMYFUNCTION("""COMPUTED_VALUE"""),5.0)</f>
        <v>5</v>
      </c>
      <c r="BL341" s="16">
        <f>IFERROR(__xludf.DUMMYFUNCTION("""COMPUTED_VALUE"""),5.0)</f>
        <v>5</v>
      </c>
      <c r="BM341" s="16">
        <f>IFERROR(__xludf.DUMMYFUNCTION("""COMPUTED_VALUE"""),0.0)</f>
        <v>0</v>
      </c>
      <c r="BN341" s="16">
        <f>IFERROR(__xludf.DUMMYFUNCTION("""COMPUTED_VALUE"""),0.0)</f>
        <v>0</v>
      </c>
      <c r="BO341" s="16">
        <f>IFERROR(__xludf.DUMMYFUNCTION("""COMPUTED_VALUE"""),0.0)</f>
        <v>0</v>
      </c>
      <c r="BP341" s="16">
        <f>IFERROR(__xludf.DUMMYFUNCTION("""COMPUTED_VALUE"""),0.0)</f>
        <v>0</v>
      </c>
      <c r="BQ341" s="16">
        <f>IFERROR(__xludf.DUMMYFUNCTION("""COMPUTED_VALUE"""),0.0)</f>
        <v>0</v>
      </c>
      <c r="BR341" s="16">
        <f>IFERROR(__xludf.DUMMYFUNCTION("""COMPUTED_VALUE"""),0.0)</f>
        <v>0</v>
      </c>
      <c r="BS341" s="16">
        <f>IFERROR(__xludf.DUMMYFUNCTION("""COMPUTED_VALUE"""),-3.0)</f>
        <v>-3</v>
      </c>
      <c r="BT341" s="16">
        <f>IFERROR(__xludf.DUMMYFUNCTION("""COMPUTED_VALUE"""),-3.0)</f>
        <v>-3</v>
      </c>
      <c r="BU341" s="16">
        <f>IFERROR(__xludf.DUMMYFUNCTION("""COMPUTED_VALUE"""),-6.0)</f>
        <v>-6</v>
      </c>
      <c r="BV341" s="16">
        <f>IFERROR(__xludf.DUMMYFUNCTION("""COMPUTED_VALUE"""),-6.0)</f>
        <v>-6</v>
      </c>
      <c r="BW341" s="16">
        <f>IFERROR(__xludf.DUMMYFUNCTION("""COMPUTED_VALUE"""),-1.0)</f>
        <v>-1</v>
      </c>
      <c r="BX341" s="16">
        <f>IFERROR(__xludf.DUMMYFUNCTION("""COMPUTED_VALUE"""),-1.0)</f>
        <v>-1</v>
      </c>
      <c r="BY341" s="16" t="str">
        <f>IFERROR(__xludf.DUMMYFUNCTION("""COMPUTED_VALUE"""),"R(1) C(1)")</f>
        <v>R(1) C(1)</v>
      </c>
      <c r="BZ341" s="16" t="str">
        <f>IFERROR(__xludf.DUMMYFUNCTION("""COMPUTED_VALUE"""),"R(1) C(1)")</f>
        <v>R(1) C(1)</v>
      </c>
      <c r="CA341" s="16" t="str">
        <f>IFERROR(__xludf.DUMMYFUNCTION("""COMPUTED_VALUE"""),"R(1)")</f>
        <v>R(1)</v>
      </c>
      <c r="CB341" s="16" t="str">
        <f>IFERROR(__xludf.DUMMYFUNCTION("""COMPUTED_VALUE"""),"C(1)")</f>
        <v>C(1)</v>
      </c>
      <c r="CC341" s="16"/>
      <c r="CD341" s="16"/>
      <c r="CE341" s="16">
        <f>IFERROR(__xludf.DUMMYFUNCTION("""COMPUTED_VALUE"""),1.0)</f>
        <v>1</v>
      </c>
      <c r="CF341" s="16">
        <f>IFERROR(__xludf.DUMMYFUNCTION("""COMPUTED_VALUE"""),1.0)</f>
        <v>1</v>
      </c>
      <c r="CG341" s="16" t="str">
        <f>IFERROR(__xludf.DUMMYFUNCTION("""COMPUTED_VALUE"""),"4-0")</f>
        <v>4-0</v>
      </c>
      <c r="CH341" s="16">
        <f>IFERROR(__xludf.DUMMYFUNCTION("""COMPUTED_VALUE"""),4.0)</f>
        <v>4</v>
      </c>
      <c r="CI341" s="16">
        <f>IFERROR(__xludf.DUMMYFUNCTION("""COMPUTED_VALUE"""),0.0)</f>
        <v>0</v>
      </c>
      <c r="CJ341" s="16">
        <f>IFERROR(__xludf.DUMMYFUNCTION("""COMPUTED_VALUE"""),7.0)</f>
        <v>7</v>
      </c>
      <c r="CK341" s="16">
        <f>IFERROR(__xludf.DUMMYFUNCTION("""COMPUTED_VALUE"""),15.0)</f>
        <v>15</v>
      </c>
      <c r="CL341" s="16" t="str">
        <f>IFERROR(__xludf.DUMMYFUNCTION("""COMPUTED_VALUE"""),"1WL-C")</f>
        <v>1WL-C</v>
      </c>
      <c r="CM341" s="16" t="str">
        <f>IFERROR(__xludf.DUMMYFUNCTION("""COMPUTED_VALUE"""),"E")</f>
        <v>E</v>
      </c>
      <c r="CN341" s="16">
        <f>IFERROR(__xludf.DUMMYFUNCTION("""COMPUTED_VALUE"""),10.0)</f>
        <v>10</v>
      </c>
      <c r="CO341" s="16" t="str">
        <f>IFERROR(__xludf.DUMMYFUNCTION("""COMPUTED_VALUE"""),"C")</f>
        <v>C</v>
      </c>
      <c r="CP341" s="16" t="str">
        <f>IFERROR(__xludf.DUMMYFUNCTION("""COMPUTED_VALUE"""),"1p50")</f>
        <v>1p50</v>
      </c>
      <c r="CQ341" s="16">
        <f>IFERROR(__xludf.DUMMYFUNCTION("""COMPUTED_VALUE"""),-3.0)</f>
        <v>-3</v>
      </c>
      <c r="CR341" s="16">
        <f>IFERROR(__xludf.DUMMYFUNCTION("""COMPUTED_VALUE"""),-13.0)</f>
        <v>-13</v>
      </c>
      <c r="CS341" s="16">
        <f>IFERROR(__xludf.DUMMYFUNCTION("""COMPUTED_VALUE"""),-16.0)</f>
        <v>-16</v>
      </c>
      <c r="CT341" s="16">
        <f>IFERROR(__xludf.DUMMYFUNCTION("""COMPUTED_VALUE"""),-3.0)</f>
        <v>-3</v>
      </c>
      <c r="CU341" s="16">
        <f>IFERROR(__xludf.DUMMYFUNCTION("""COMPUTED_VALUE"""),-13.0)</f>
        <v>-13</v>
      </c>
      <c r="CV341" s="179">
        <f>IFERROR(__xludf.DUMMYFUNCTION("""COMPUTED_VALUE"""),-5.666666666666666)</f>
        <v>-5.666666667</v>
      </c>
      <c r="CW341" s="179">
        <f>IFERROR(__xludf.DUMMYFUNCTION("""COMPUTED_VALUE"""),4.0)</f>
        <v>4</v>
      </c>
      <c r="CX341" s="179">
        <f>IFERROR(__xludf.DUMMYFUNCTION("""COMPUTED_VALUE"""),0.0)</f>
        <v>0</v>
      </c>
      <c r="CY341" s="16" t="str">
        <f>IFERROR(__xludf.DUMMYFUNCTION("""COMPUTED_VALUE"""),"RP")</f>
        <v>RP</v>
      </c>
      <c r="CZ341" s="16" t="str">
        <f>IFERROR(__xludf.DUMMYFUNCTION("""COMPUTED_VALUE"""),"CP")</f>
        <v>CP</v>
      </c>
      <c r="DA341" s="16"/>
      <c r="DB341" s="16"/>
      <c r="DC341" s="16"/>
      <c r="DD341" s="16"/>
      <c r="DE341" s="16"/>
      <c r="DF341" s="16"/>
      <c r="DG341" s="16"/>
      <c r="DH341" s="16"/>
      <c r="DI341" s="16"/>
      <c r="DJ341" s="16"/>
      <c r="DK341" s="16"/>
    </row>
    <row r="342">
      <c r="A342" s="16">
        <f>IFERROR(__xludf.DUMMYFUNCTION("""COMPUTED_VALUE"""),13125.0)</f>
        <v>13125</v>
      </c>
      <c r="B342" s="16" t="str">
        <f>IFERROR(__xludf.DUMMYFUNCTION("""COMPUTED_VALUE"""),"Lucas Sims")</f>
        <v>Lucas Sims</v>
      </c>
      <c r="C342" s="153">
        <f>IFERROR(__xludf.DUMMYFUNCTION("""COMPUTED_VALUE"""),0.29)</f>
        <v>0.29</v>
      </c>
      <c r="D342" s="16"/>
      <c r="E342" s="16" t="str">
        <f>IFERROR(__xludf.DUMMYFUNCTION("""COMPUTED_VALUE"""),"R")</f>
        <v>R</v>
      </c>
      <c r="F342" s="16">
        <f>IFERROR(__xludf.DUMMYFUNCTION("""COMPUTED_VALUE"""),49.0)</f>
        <v>49</v>
      </c>
      <c r="G342" s="16">
        <f>IFERROR(__xludf.DUMMYFUNCTION("""COMPUTED_VALUE"""),15.0)</f>
        <v>15</v>
      </c>
      <c r="H342" s="16">
        <f>IFERROR(__xludf.DUMMYFUNCTION("""COMPUTED_VALUE"""),31.0)</f>
        <v>31</v>
      </c>
      <c r="I342" s="16">
        <f>IFERROR(__xludf.DUMMYFUNCTION("""COMPUTED_VALUE"""),-2.0)</f>
        <v>-2</v>
      </c>
      <c r="J342" s="16">
        <f>IFERROR(__xludf.DUMMYFUNCTION("""COMPUTED_VALUE"""),0.0)</f>
        <v>0</v>
      </c>
      <c r="K342" s="16">
        <f>IFERROR(__xludf.DUMMYFUNCTION("""COMPUTED_VALUE"""),-6.0)</f>
        <v>-6</v>
      </c>
      <c r="L342" s="16">
        <f>IFERROR(__xludf.DUMMYFUNCTION("""COMPUTED_VALUE"""),0.0)</f>
        <v>0</v>
      </c>
      <c r="M342" s="16">
        <f>IFERROR(__xludf.DUMMYFUNCTION("""COMPUTED_VALUE"""),27.0)</f>
        <v>27</v>
      </c>
      <c r="N342" s="16">
        <f>IFERROR(__xludf.DUMMYFUNCTION("""COMPUTED_VALUE"""),20.0)</f>
        <v>20</v>
      </c>
      <c r="O342" s="16">
        <f>IFERROR(__xludf.DUMMYFUNCTION("""COMPUTED_VALUE"""),-3.0)</f>
        <v>-3</v>
      </c>
      <c r="P342" s="16">
        <f>IFERROR(__xludf.DUMMYFUNCTION("""COMPUTED_VALUE"""),-3.0)</f>
        <v>-3</v>
      </c>
      <c r="Q342" s="16">
        <f>IFERROR(__xludf.DUMMYFUNCTION("""COMPUTED_VALUE"""),-3.0)</f>
        <v>-3</v>
      </c>
      <c r="R342" s="16">
        <f>IFERROR(__xludf.DUMMYFUNCTION("""COMPUTED_VALUE"""),-3.0)</f>
        <v>-3</v>
      </c>
      <c r="S342" s="16">
        <f>IFERROR(__xludf.DUMMYFUNCTION("""COMPUTED_VALUE"""),5.8)</f>
        <v>5.8</v>
      </c>
      <c r="T342" s="16">
        <f>IFERROR(__xludf.DUMMYFUNCTION("""COMPUTED_VALUE"""),9.4)</f>
        <v>9.4</v>
      </c>
      <c r="U342" s="16">
        <f>IFERROR(__xludf.DUMMYFUNCTION("""COMPUTED_VALUE"""),2.0)</f>
        <v>2</v>
      </c>
      <c r="V342" s="16">
        <f>IFERROR(__xludf.DUMMYFUNCTION("""COMPUTED_VALUE"""),1.0)</f>
        <v>1</v>
      </c>
      <c r="W342" s="16">
        <f>IFERROR(__xludf.DUMMYFUNCTION("""COMPUTED_VALUE"""),4.0)</f>
        <v>4</v>
      </c>
      <c r="X342" s="16">
        <f>IFERROR(__xludf.DUMMYFUNCTION("""COMPUTED_VALUE"""),2.0)</f>
        <v>2</v>
      </c>
      <c r="Y342" s="16">
        <f>IFERROR(__xludf.DUMMYFUNCTION("""COMPUTED_VALUE"""),32.8)</f>
        <v>32.8</v>
      </c>
      <c r="Z342" s="16">
        <f>IFERROR(__xludf.DUMMYFUNCTION("""COMPUTED_VALUE"""),29.3)</f>
        <v>29.3</v>
      </c>
      <c r="AA342" s="16">
        <f>IFERROR(__xludf.DUMMYFUNCTION("""COMPUTED_VALUE"""),-1.0)</f>
        <v>-1</v>
      </c>
      <c r="AB342" s="16">
        <f>IFERROR(__xludf.DUMMYFUNCTION("""COMPUTED_VALUE"""),-1.0)</f>
        <v>-1</v>
      </c>
      <c r="AC342" s="16">
        <f>IFERROR(__xludf.DUMMYFUNCTION("""COMPUTED_VALUE"""),-5.0)</f>
        <v>-5</v>
      </c>
      <c r="AD342" s="16">
        <f>IFERROR(__xludf.DUMMYFUNCTION("""COMPUTED_VALUE"""),-5.0)</f>
        <v>-5</v>
      </c>
      <c r="AE342" s="16">
        <f>IFERROR(__xludf.DUMMYFUNCTION("""COMPUTED_VALUE"""),14.8)</f>
        <v>14.8</v>
      </c>
      <c r="AF342" s="16">
        <f>IFERROR(__xludf.DUMMYFUNCTION("""COMPUTED_VALUE"""),24.4)</f>
        <v>24.4</v>
      </c>
      <c r="AG342" s="16">
        <f>IFERROR(__xludf.DUMMYFUNCTION("""COMPUTED_VALUE"""),1.0)</f>
        <v>1</v>
      </c>
      <c r="AH342" s="16">
        <f>IFERROR(__xludf.DUMMYFUNCTION("""COMPUTED_VALUE"""),0.0)</f>
        <v>0</v>
      </c>
      <c r="AI342" s="16">
        <f>IFERROR(__xludf.DUMMYFUNCTION("""COMPUTED_VALUE"""),2.0)</f>
        <v>2</v>
      </c>
      <c r="AJ342" s="16">
        <f>IFERROR(__xludf.DUMMYFUNCTION("""COMPUTED_VALUE"""),0.0)</f>
        <v>0</v>
      </c>
      <c r="AK342" s="16">
        <f>IFERROR(__xludf.DUMMYFUNCTION("""COMPUTED_VALUE"""),3.1999999999999997)</f>
        <v>3.2</v>
      </c>
      <c r="AL342" s="16">
        <f>IFERROR(__xludf.DUMMYFUNCTION("""COMPUTED_VALUE"""),6.4)</f>
        <v>6.4</v>
      </c>
      <c r="AM342" s="16">
        <f>IFERROR(__xludf.DUMMYFUNCTION("""COMPUTED_VALUE"""),2.0)</f>
        <v>2</v>
      </c>
      <c r="AN342" s="16">
        <f>IFERROR(__xludf.DUMMYFUNCTION("""COMPUTED_VALUE"""),1.0)</f>
        <v>1</v>
      </c>
      <c r="AO342" s="16">
        <f>IFERROR(__xludf.DUMMYFUNCTION("""COMPUTED_VALUE"""),2.0)</f>
        <v>2</v>
      </c>
      <c r="AP342" s="16">
        <f>IFERROR(__xludf.DUMMYFUNCTION("""COMPUTED_VALUE"""),1.0)</f>
        <v>1</v>
      </c>
      <c r="AQ342" s="16">
        <f>IFERROR(__xludf.DUMMYFUNCTION("""COMPUTED_VALUE"""),4.4)</f>
        <v>4.4</v>
      </c>
      <c r="AR342" s="16">
        <f>IFERROR(__xludf.DUMMYFUNCTION("""COMPUTED_VALUE"""),12.399999999999999)</f>
        <v>12.4</v>
      </c>
      <c r="AS342" s="16">
        <f>IFERROR(__xludf.DUMMYFUNCTION("""COMPUTED_VALUE"""),2.0)</f>
        <v>2</v>
      </c>
      <c r="AT342" s="16">
        <f>IFERROR(__xludf.DUMMYFUNCTION("""COMPUTED_VALUE"""),1.0)</f>
        <v>1</v>
      </c>
      <c r="AU342" s="16">
        <f>IFERROR(__xludf.DUMMYFUNCTION("""COMPUTED_VALUE"""),4.0)</f>
        <v>4</v>
      </c>
      <c r="AV342" s="16">
        <f>IFERROR(__xludf.DUMMYFUNCTION("""COMPUTED_VALUE"""),2.0)</f>
        <v>2</v>
      </c>
      <c r="AW342" s="16">
        <f>IFERROR(__xludf.DUMMYFUNCTION("""COMPUTED_VALUE"""),2.6)</f>
        <v>2.6</v>
      </c>
      <c r="AX342" s="16">
        <f>IFERROR(__xludf.DUMMYFUNCTION("""COMPUTED_VALUE"""),3.0)</f>
        <v>3</v>
      </c>
      <c r="AY342" s="16">
        <f>IFERROR(__xludf.DUMMYFUNCTION("""COMPUTED_VALUE"""),-1.0)</f>
        <v>-1</v>
      </c>
      <c r="AZ342" s="16">
        <f>IFERROR(__xludf.DUMMYFUNCTION("""COMPUTED_VALUE"""),-1.0)</f>
        <v>-1</v>
      </c>
      <c r="BA342" s="16">
        <f>IFERROR(__xludf.DUMMYFUNCTION("""COMPUTED_VALUE"""),-5.0)</f>
        <v>-5</v>
      </c>
      <c r="BB342" s="16">
        <f>IFERROR(__xludf.DUMMYFUNCTION("""COMPUTED_VALUE"""),-5.0)</f>
        <v>-5</v>
      </c>
      <c r="BC342" s="16">
        <f>IFERROR(__xludf.DUMMYFUNCTION("""COMPUTED_VALUE"""),4.0)</f>
        <v>4</v>
      </c>
      <c r="BD342" s="16">
        <f>IFERROR(__xludf.DUMMYFUNCTION("""COMPUTED_VALUE"""),3.0)</f>
        <v>3</v>
      </c>
      <c r="BE342" s="16">
        <f>IFERROR(__xludf.DUMMYFUNCTION("""COMPUTED_VALUE"""),4.0)</f>
        <v>4</v>
      </c>
      <c r="BF342" s="16">
        <f>IFERROR(__xludf.DUMMYFUNCTION("""COMPUTED_VALUE"""),3.0)</f>
        <v>3</v>
      </c>
      <c r="BG342" s="16">
        <f>IFERROR(__xludf.DUMMYFUNCTION("""COMPUTED_VALUE"""),-1.0)</f>
        <v>-1</v>
      </c>
      <c r="BH342" s="16">
        <f>IFERROR(__xludf.DUMMYFUNCTION("""COMPUTED_VALUE"""),0.0)</f>
        <v>0</v>
      </c>
      <c r="BI342" s="16">
        <f>IFERROR(__xludf.DUMMYFUNCTION("""COMPUTED_VALUE"""),-2.0)</f>
        <v>-2</v>
      </c>
      <c r="BJ342" s="16">
        <f>IFERROR(__xludf.DUMMYFUNCTION("""COMPUTED_VALUE"""),0.0)</f>
        <v>0</v>
      </c>
      <c r="BK342" s="16">
        <f>IFERROR(__xludf.DUMMYFUNCTION("""COMPUTED_VALUE"""),5.0)</f>
        <v>5</v>
      </c>
      <c r="BL342" s="16">
        <f>IFERROR(__xludf.DUMMYFUNCTION("""COMPUTED_VALUE"""),5.0)</f>
        <v>5</v>
      </c>
      <c r="BM342" s="16">
        <f>IFERROR(__xludf.DUMMYFUNCTION("""COMPUTED_VALUE"""),0.0)</f>
        <v>0</v>
      </c>
      <c r="BN342" s="16">
        <f>IFERROR(__xludf.DUMMYFUNCTION("""COMPUTED_VALUE"""),0.0)</f>
        <v>0</v>
      </c>
      <c r="BO342" s="16">
        <f>IFERROR(__xludf.DUMMYFUNCTION("""COMPUTED_VALUE"""),0.0)</f>
        <v>0</v>
      </c>
      <c r="BP342" s="16">
        <f>IFERROR(__xludf.DUMMYFUNCTION("""COMPUTED_VALUE"""),0.0)</f>
        <v>0</v>
      </c>
      <c r="BQ342" s="16">
        <f>IFERROR(__xludf.DUMMYFUNCTION("""COMPUTED_VALUE"""),5.0)</f>
        <v>5</v>
      </c>
      <c r="BR342" s="16">
        <f>IFERROR(__xludf.DUMMYFUNCTION("""COMPUTED_VALUE"""),4.0)</f>
        <v>4</v>
      </c>
      <c r="BS342" s="16">
        <f>IFERROR(__xludf.DUMMYFUNCTION("""COMPUTED_VALUE"""),0.0)</f>
        <v>0</v>
      </c>
      <c r="BT342" s="16">
        <f>IFERROR(__xludf.DUMMYFUNCTION("""COMPUTED_VALUE"""),-1.0)</f>
        <v>-1</v>
      </c>
      <c r="BU342" s="16">
        <f>IFERROR(__xludf.DUMMYFUNCTION("""COMPUTED_VALUE"""),0.0)</f>
        <v>0</v>
      </c>
      <c r="BV342" s="16">
        <f>IFERROR(__xludf.DUMMYFUNCTION("""COMPUTED_VALUE"""),-2.0)</f>
        <v>-2</v>
      </c>
      <c r="BW342" s="16">
        <f>IFERROR(__xludf.DUMMYFUNCTION("""COMPUTED_VALUE"""),0.0)</f>
        <v>0</v>
      </c>
      <c r="BX342" s="16">
        <f>IFERROR(__xludf.DUMMYFUNCTION("""COMPUTED_VALUE"""),0.0)</f>
        <v>0</v>
      </c>
      <c r="BY342" s="16" t="str">
        <f>IFERROR(__xludf.DUMMYFUNCTION("""COMPUTED_VALUE"""),"R(1) C(0)")</f>
        <v>R(1) C(0)</v>
      </c>
      <c r="BZ342" s="16" t="str">
        <f>IFERROR(__xludf.DUMMYFUNCTION("""COMPUTED_VALUE"""),"R(1) C(0)")</f>
        <v>R(1) C(0)</v>
      </c>
      <c r="CA342" s="16" t="str">
        <f>IFERROR(__xludf.DUMMYFUNCTION("""COMPUTED_VALUE"""),"R(1)")</f>
        <v>R(1)</v>
      </c>
      <c r="CB342" s="16" t="str">
        <f>IFERROR(__xludf.DUMMYFUNCTION("""COMPUTED_VALUE"""),"C(0)")</f>
        <v>C(0)</v>
      </c>
      <c r="CC342" s="16"/>
      <c r="CD342" s="16"/>
      <c r="CE342" s="16">
        <f>IFERROR(__xludf.DUMMYFUNCTION("""COMPUTED_VALUE"""),1.0)</f>
        <v>1</v>
      </c>
      <c r="CF342" s="16">
        <f>IFERROR(__xludf.DUMMYFUNCTION("""COMPUTED_VALUE"""),0.0)</f>
        <v>0</v>
      </c>
      <c r="CG342" s="16" t="str">
        <f>IFERROR(__xludf.DUMMYFUNCTION("""COMPUTED_VALUE"""),"4-0")</f>
        <v>4-0</v>
      </c>
      <c r="CH342" s="16">
        <f>IFERROR(__xludf.DUMMYFUNCTION("""COMPUTED_VALUE"""),4.0)</f>
        <v>4</v>
      </c>
      <c r="CI342" s="16">
        <f>IFERROR(__xludf.DUMMYFUNCTION("""COMPUTED_VALUE"""),0.0)</f>
        <v>0</v>
      </c>
      <c r="CJ342" s="16">
        <f>IFERROR(__xludf.DUMMYFUNCTION("""COMPUTED_VALUE"""),0.0)</f>
        <v>0</v>
      </c>
      <c r="CK342" s="16">
        <f>IFERROR(__xludf.DUMMYFUNCTION("""COMPUTED_VALUE"""),8.0)</f>
        <v>8</v>
      </c>
      <c r="CL342" s="16" t="str">
        <f>IFERROR(__xludf.DUMMYFUNCTION("""COMPUTED_VALUE"""),"1WR-C")</f>
        <v>1WR-C</v>
      </c>
      <c r="CM342" s="16" t="str">
        <f>IFERROR(__xludf.DUMMYFUNCTION("""COMPUTED_VALUE"""),"E")</f>
        <v>E</v>
      </c>
      <c r="CN342" s="16">
        <f>IFERROR(__xludf.DUMMYFUNCTION("""COMPUTED_VALUE"""),10.0)</f>
        <v>10</v>
      </c>
      <c r="CO342" s="16" t="str">
        <f>IFERROR(__xludf.DUMMYFUNCTION("""COMPUTED_VALUE"""),"C")</f>
        <v>C</v>
      </c>
      <c r="CP342" s="16" t="str">
        <f>IFERROR(__xludf.DUMMYFUNCTION("""COMPUTED_VALUE"""),"2p40")</f>
        <v>2p40</v>
      </c>
      <c r="CQ342" s="16">
        <f>IFERROR(__xludf.DUMMYFUNCTION("""COMPUTED_VALUE"""),-9.0)</f>
        <v>-9</v>
      </c>
      <c r="CR342" s="16">
        <f>IFERROR(__xludf.DUMMYFUNCTION("""COMPUTED_VALUE"""),-10.0)</f>
        <v>-10</v>
      </c>
      <c r="CS342" s="16">
        <f>IFERROR(__xludf.DUMMYFUNCTION("""COMPUTED_VALUE"""),-19.0)</f>
        <v>-19</v>
      </c>
      <c r="CT342" s="16">
        <f>IFERROR(__xludf.DUMMYFUNCTION("""COMPUTED_VALUE"""),-9.0)</f>
        <v>-9</v>
      </c>
      <c r="CU342" s="16">
        <f>IFERROR(__xludf.DUMMYFUNCTION("""COMPUTED_VALUE"""),-10.0)</f>
        <v>-10</v>
      </c>
      <c r="CV342" s="179">
        <f>IFERROR(__xludf.DUMMYFUNCTION("""COMPUTED_VALUE"""),-5.666666666666666)</f>
        <v>-5.666666667</v>
      </c>
      <c r="CW342" s="179">
        <f>IFERROR(__xludf.DUMMYFUNCTION("""COMPUTED_VALUE"""),3.0)</f>
        <v>3</v>
      </c>
      <c r="CX342" s="179">
        <f>IFERROR(__xludf.DUMMYFUNCTION("""COMPUTED_VALUE"""),1.0)</f>
        <v>1</v>
      </c>
      <c r="CY342" s="16" t="str">
        <f>IFERROR(__xludf.DUMMYFUNCTION("""COMPUTED_VALUE"""),"RP")</f>
        <v>RP</v>
      </c>
      <c r="CZ342" s="16" t="str">
        <f>IFERROR(__xludf.DUMMYFUNCTION("""COMPUTED_VALUE"""),"CP")</f>
        <v>CP</v>
      </c>
      <c r="DA342" s="16"/>
      <c r="DB342" s="16"/>
      <c r="DC342" s="16"/>
      <c r="DD342" s="16"/>
      <c r="DE342" s="16"/>
      <c r="DF342" s="16"/>
      <c r="DG342" s="16"/>
      <c r="DH342" s="16"/>
      <c r="DI342" s="16"/>
      <c r="DJ342" s="16"/>
      <c r="DK342" s="16"/>
    </row>
    <row r="343">
      <c r="A343" s="16">
        <f>IFERROR(__xludf.DUMMYFUNCTION("""COMPUTED_VALUE"""),12518.0)</f>
        <v>12518</v>
      </c>
      <c r="B343" s="16" t="str">
        <f>IFERROR(__xludf.DUMMYFUNCTION("""COMPUTED_VALUE"""),"Alec Marsh")</f>
        <v>Alec Marsh</v>
      </c>
      <c r="C343" s="153">
        <f>IFERROR(__xludf.DUMMYFUNCTION("""COMPUTED_VALUE"""),0.31)</f>
        <v>0.31</v>
      </c>
      <c r="D343" s="16"/>
      <c r="E343" s="16" t="str">
        <f>IFERROR(__xludf.DUMMYFUNCTION("""COMPUTED_VALUE"""),"R")</f>
        <v>R</v>
      </c>
      <c r="F343" s="16">
        <f>IFERROR(__xludf.DUMMYFUNCTION("""COMPUTED_VALUE"""),129.0)</f>
        <v>129</v>
      </c>
      <c r="G343" s="16">
        <f>IFERROR(__xludf.DUMMYFUNCTION("""COMPUTED_VALUE"""),20.0)</f>
        <v>20</v>
      </c>
      <c r="H343" s="16">
        <f>IFERROR(__xludf.DUMMYFUNCTION("""COMPUTED_VALUE"""),31.0)</f>
        <v>31</v>
      </c>
      <c r="I343" s="16">
        <f>IFERROR(__xludf.DUMMYFUNCTION("""COMPUTED_VALUE"""),-1.0)</f>
        <v>-1</v>
      </c>
      <c r="J343" s="16">
        <f>IFERROR(__xludf.DUMMYFUNCTION("""COMPUTED_VALUE"""),0.0)</f>
        <v>0</v>
      </c>
      <c r="K343" s="16">
        <f>IFERROR(__xludf.DUMMYFUNCTION("""COMPUTED_VALUE"""),-3.0)</f>
        <v>-3</v>
      </c>
      <c r="L343" s="16">
        <f>IFERROR(__xludf.DUMMYFUNCTION("""COMPUTED_VALUE"""),0.0)</f>
        <v>0</v>
      </c>
      <c r="M343" s="16">
        <f>IFERROR(__xludf.DUMMYFUNCTION("""COMPUTED_VALUE"""),3.0)</f>
        <v>3</v>
      </c>
      <c r="N343" s="16">
        <f>IFERROR(__xludf.DUMMYFUNCTION("""COMPUTED_VALUE"""),11.0)</f>
        <v>11</v>
      </c>
      <c r="O343" s="16">
        <f>IFERROR(__xludf.DUMMYFUNCTION("""COMPUTED_VALUE"""),2.0)</f>
        <v>2</v>
      </c>
      <c r="P343" s="16">
        <f>IFERROR(__xludf.DUMMYFUNCTION("""COMPUTED_VALUE"""),-1.0)</f>
        <v>-1</v>
      </c>
      <c r="Q343" s="16">
        <f>IFERROR(__xludf.DUMMYFUNCTION("""COMPUTED_VALUE"""),2.0)</f>
        <v>2</v>
      </c>
      <c r="R343" s="16">
        <f>IFERROR(__xludf.DUMMYFUNCTION("""COMPUTED_VALUE"""),-1.0)</f>
        <v>-1</v>
      </c>
      <c r="S343" s="16">
        <f>IFERROR(__xludf.DUMMYFUNCTION("""COMPUTED_VALUE"""),18.4)</f>
        <v>18.4</v>
      </c>
      <c r="T343" s="16">
        <f>IFERROR(__xludf.DUMMYFUNCTION("""COMPUTED_VALUE"""),14.4)</f>
        <v>14.4</v>
      </c>
      <c r="U343" s="16">
        <f>IFERROR(__xludf.DUMMYFUNCTION("""COMPUTED_VALUE"""),-1.0)</f>
        <v>-1</v>
      </c>
      <c r="V343" s="16">
        <f>IFERROR(__xludf.DUMMYFUNCTION("""COMPUTED_VALUE"""),0.0)</f>
        <v>0</v>
      </c>
      <c r="W343" s="16">
        <f>IFERROR(__xludf.DUMMYFUNCTION("""COMPUTED_VALUE"""),-2.0)</f>
        <v>-2</v>
      </c>
      <c r="X343" s="16">
        <f>IFERROR(__xludf.DUMMYFUNCTION("""COMPUTED_VALUE"""),0.0)</f>
        <v>0</v>
      </c>
      <c r="Y343" s="16">
        <f>IFERROR(__xludf.DUMMYFUNCTION("""COMPUTED_VALUE"""),21.3)</f>
        <v>21.3</v>
      </c>
      <c r="Z343" s="16">
        <f>IFERROR(__xludf.DUMMYFUNCTION("""COMPUTED_VALUE"""),25.4)</f>
        <v>25.4</v>
      </c>
      <c r="AA343" s="16">
        <f>IFERROR(__xludf.DUMMYFUNCTION("""COMPUTED_VALUE"""),1.0)</f>
        <v>1</v>
      </c>
      <c r="AB343" s="16">
        <f>IFERROR(__xludf.DUMMYFUNCTION("""COMPUTED_VALUE"""),0.0)</f>
        <v>0</v>
      </c>
      <c r="AC343" s="16">
        <f>IFERROR(__xludf.DUMMYFUNCTION("""COMPUTED_VALUE"""),5.0)</f>
        <v>5</v>
      </c>
      <c r="AD343" s="16">
        <f>IFERROR(__xludf.DUMMYFUNCTION("""COMPUTED_VALUE"""),0.0)</f>
        <v>0</v>
      </c>
      <c r="AE343" s="16">
        <f>IFERROR(__xludf.DUMMYFUNCTION("""COMPUTED_VALUE"""),35.5)</f>
        <v>35.5</v>
      </c>
      <c r="AF343" s="16">
        <f>IFERROR(__xludf.DUMMYFUNCTION("""COMPUTED_VALUE"""),31.6)</f>
        <v>31.6</v>
      </c>
      <c r="AG343" s="16">
        <f>IFERROR(__xludf.DUMMYFUNCTION("""COMPUTED_VALUE"""),-1.0)</f>
        <v>-1</v>
      </c>
      <c r="AH343" s="16">
        <f>IFERROR(__xludf.DUMMYFUNCTION("""COMPUTED_VALUE"""),0.0)</f>
        <v>0</v>
      </c>
      <c r="AI343" s="16">
        <f>IFERROR(__xludf.DUMMYFUNCTION("""COMPUTED_VALUE"""),-2.0)</f>
        <v>-2</v>
      </c>
      <c r="AJ343" s="16">
        <f>IFERROR(__xludf.DUMMYFUNCTION("""COMPUTED_VALUE"""),0.0)</f>
        <v>0</v>
      </c>
      <c r="AK343" s="16">
        <f>IFERROR(__xludf.DUMMYFUNCTION("""COMPUTED_VALUE"""),16.4)</f>
        <v>16.4</v>
      </c>
      <c r="AL343" s="16">
        <f>IFERROR(__xludf.DUMMYFUNCTION("""COMPUTED_VALUE"""),10.600000000000001)</f>
        <v>10.6</v>
      </c>
      <c r="AM343" s="16">
        <f>IFERROR(__xludf.DUMMYFUNCTION("""COMPUTED_VALUE"""),-1.0)</f>
        <v>-1</v>
      </c>
      <c r="AN343" s="16">
        <f>IFERROR(__xludf.DUMMYFUNCTION("""COMPUTED_VALUE"""),1.0)</f>
        <v>1</v>
      </c>
      <c r="AO343" s="16">
        <f>IFERROR(__xludf.DUMMYFUNCTION("""COMPUTED_VALUE"""),-1.0)</f>
        <v>-1</v>
      </c>
      <c r="AP343" s="16">
        <f>IFERROR(__xludf.DUMMYFUNCTION("""COMPUTED_VALUE"""),1.0)</f>
        <v>1</v>
      </c>
      <c r="AQ343" s="16">
        <f>IFERROR(__xludf.DUMMYFUNCTION("""COMPUTED_VALUE"""),27.5)</f>
        <v>27.5</v>
      </c>
      <c r="AR343" s="16">
        <f>IFERROR(__xludf.DUMMYFUNCTION("""COMPUTED_VALUE"""),16.400000000000002)</f>
        <v>16.4</v>
      </c>
      <c r="AS343" s="16">
        <f>IFERROR(__xludf.DUMMYFUNCTION("""COMPUTED_VALUE"""),-1.0)</f>
        <v>-1</v>
      </c>
      <c r="AT343" s="16">
        <f>IFERROR(__xludf.DUMMYFUNCTION("""COMPUTED_VALUE"""),0.0)</f>
        <v>0</v>
      </c>
      <c r="AU343" s="16">
        <f>IFERROR(__xludf.DUMMYFUNCTION("""COMPUTED_VALUE"""),-2.0)</f>
        <v>-2</v>
      </c>
      <c r="AV343" s="16">
        <f>IFERROR(__xludf.DUMMYFUNCTION("""COMPUTED_VALUE"""),0.0)</f>
        <v>0</v>
      </c>
      <c r="AW343" s="16">
        <f>IFERROR(__xludf.DUMMYFUNCTION("""COMPUTED_VALUE"""),2.0)</f>
        <v>2</v>
      </c>
      <c r="AX343" s="16">
        <f>IFERROR(__xludf.DUMMYFUNCTION("""COMPUTED_VALUE"""),3.8)</f>
        <v>3.8</v>
      </c>
      <c r="AY343" s="16">
        <f>IFERROR(__xludf.DUMMYFUNCTION("""COMPUTED_VALUE"""),0.0)</f>
        <v>0</v>
      </c>
      <c r="AZ343" s="16">
        <f>IFERROR(__xludf.DUMMYFUNCTION("""COMPUTED_VALUE"""),-2.0)</f>
        <v>-2</v>
      </c>
      <c r="BA343" s="16">
        <f>IFERROR(__xludf.DUMMYFUNCTION("""COMPUTED_VALUE"""),0.0)</f>
        <v>0</v>
      </c>
      <c r="BB343" s="16">
        <f>IFERROR(__xludf.DUMMYFUNCTION("""COMPUTED_VALUE"""),-10.0)</f>
        <v>-10</v>
      </c>
      <c r="BC343" s="16">
        <f>IFERROR(__xludf.DUMMYFUNCTION("""COMPUTED_VALUE"""),3.0)</f>
        <v>3</v>
      </c>
      <c r="BD343" s="16">
        <f>IFERROR(__xludf.DUMMYFUNCTION("""COMPUTED_VALUE"""),6.0)</f>
        <v>6</v>
      </c>
      <c r="BE343" s="16">
        <f>IFERROR(__xludf.DUMMYFUNCTION("""COMPUTED_VALUE"""),3.0)</f>
        <v>3</v>
      </c>
      <c r="BF343" s="16">
        <f>IFERROR(__xludf.DUMMYFUNCTION("""COMPUTED_VALUE"""),6.0)</f>
        <v>6</v>
      </c>
      <c r="BG343" s="16">
        <f>IFERROR(__xludf.DUMMYFUNCTION("""COMPUTED_VALUE"""),0.0)</f>
        <v>0</v>
      </c>
      <c r="BH343" s="16">
        <f>IFERROR(__xludf.DUMMYFUNCTION("""COMPUTED_VALUE"""),-2.0)</f>
        <v>-2</v>
      </c>
      <c r="BI343" s="16">
        <f>IFERROR(__xludf.DUMMYFUNCTION("""COMPUTED_VALUE"""),0.0)</f>
        <v>0</v>
      </c>
      <c r="BJ343" s="16">
        <f>IFERROR(__xludf.DUMMYFUNCTION("""COMPUTED_VALUE"""),-4.0)</f>
        <v>-4</v>
      </c>
      <c r="BK343" s="16">
        <f>IFERROR(__xludf.DUMMYFUNCTION("""COMPUTED_VALUE"""),5.0)</f>
        <v>5</v>
      </c>
      <c r="BL343" s="16">
        <f>IFERROR(__xludf.DUMMYFUNCTION("""COMPUTED_VALUE"""),5.0)</f>
        <v>5</v>
      </c>
      <c r="BM343" s="16">
        <f>IFERROR(__xludf.DUMMYFUNCTION("""COMPUTED_VALUE"""),0.0)</f>
        <v>0</v>
      </c>
      <c r="BN343" s="16">
        <f>IFERROR(__xludf.DUMMYFUNCTION("""COMPUTED_VALUE"""),0.0)</f>
        <v>0</v>
      </c>
      <c r="BO343" s="16">
        <f>IFERROR(__xludf.DUMMYFUNCTION("""COMPUTED_VALUE"""),0.0)</f>
        <v>0</v>
      </c>
      <c r="BP343" s="16">
        <f>IFERROR(__xludf.DUMMYFUNCTION("""COMPUTED_VALUE"""),0.0)</f>
        <v>0</v>
      </c>
      <c r="BQ343" s="16">
        <f>IFERROR(__xludf.DUMMYFUNCTION("""COMPUTED_VALUE"""),5.0)</f>
        <v>5</v>
      </c>
      <c r="BR343" s="16">
        <f>IFERROR(__xludf.DUMMYFUNCTION("""COMPUTED_VALUE"""),4.0)</f>
        <v>4</v>
      </c>
      <c r="BS343" s="16">
        <f>IFERROR(__xludf.DUMMYFUNCTION("""COMPUTED_VALUE"""),0.0)</f>
        <v>0</v>
      </c>
      <c r="BT343" s="16">
        <f>IFERROR(__xludf.DUMMYFUNCTION("""COMPUTED_VALUE"""),-1.0)</f>
        <v>-1</v>
      </c>
      <c r="BU343" s="16">
        <f>IFERROR(__xludf.DUMMYFUNCTION("""COMPUTED_VALUE"""),0.0)</f>
        <v>0</v>
      </c>
      <c r="BV343" s="16">
        <f>IFERROR(__xludf.DUMMYFUNCTION("""COMPUTED_VALUE"""),-2.0)</f>
        <v>-2</v>
      </c>
      <c r="BW343" s="16">
        <f>IFERROR(__xludf.DUMMYFUNCTION("""COMPUTED_VALUE"""),0.0)</f>
        <v>0</v>
      </c>
      <c r="BX343" s="16">
        <f>IFERROR(__xludf.DUMMYFUNCTION("""COMPUTED_VALUE"""),0.0)</f>
        <v>0</v>
      </c>
      <c r="BY343" s="16" t="str">
        <f>IFERROR(__xludf.DUMMYFUNCTION("""COMPUTED_VALUE"""),"S(5)")</f>
        <v>S(5)</v>
      </c>
      <c r="BZ343" s="16" t="str">
        <f>IFERROR(__xludf.DUMMYFUNCTION("""COMPUTED_VALUE"""),"S(5)")</f>
        <v>S(5)</v>
      </c>
      <c r="CA343" s="16" t="str">
        <f>IFERROR(__xludf.DUMMYFUNCTION("""COMPUTED_VALUE"""),"S(5)")</f>
        <v>S(5)</v>
      </c>
      <c r="CB343" s="16"/>
      <c r="CC343" s="16"/>
      <c r="CD343" s="16">
        <f>IFERROR(__xludf.DUMMYFUNCTION("""COMPUTED_VALUE"""),5.0)</f>
        <v>5</v>
      </c>
      <c r="CE343" s="16"/>
      <c r="CF343" s="16"/>
      <c r="CG343" s="16" t="str">
        <f>IFERROR(__xludf.DUMMYFUNCTION("""COMPUTED_VALUE"""),"3-44")</f>
        <v>3-44</v>
      </c>
      <c r="CH343" s="16">
        <f>IFERROR(__xludf.DUMMYFUNCTION("""COMPUTED_VALUE"""),3.0)</f>
        <v>3</v>
      </c>
      <c r="CI343" s="16">
        <f>IFERROR(__xludf.DUMMYFUNCTION("""COMPUTED_VALUE"""),44.0)</f>
        <v>44</v>
      </c>
      <c r="CJ343" s="16">
        <f>IFERROR(__xludf.DUMMYFUNCTION("""COMPUTED_VALUE"""),3.0)</f>
        <v>3</v>
      </c>
      <c r="CK343" s="16">
        <f>IFERROR(__xludf.DUMMYFUNCTION("""COMPUTED_VALUE"""),4.0)</f>
        <v>4</v>
      </c>
      <c r="CL343" s="16" t="str">
        <f>IFERROR(__xludf.DUMMYFUNCTION("""COMPUTED_VALUE"""),"1WR-C")</f>
        <v>1WR-C</v>
      </c>
      <c r="CM343" s="16" t="str">
        <f>IFERROR(__xludf.DUMMYFUNCTION("""COMPUTED_VALUE"""),"E")</f>
        <v>E</v>
      </c>
      <c r="CN343" s="16">
        <f>IFERROR(__xludf.DUMMYFUNCTION("""COMPUTED_VALUE"""),10.0)</f>
        <v>10</v>
      </c>
      <c r="CO343" s="16" t="str">
        <f>IFERROR(__xludf.DUMMYFUNCTION("""COMPUTED_VALUE"""),"C")</f>
        <v>C</v>
      </c>
      <c r="CP343" s="16" t="str">
        <f>IFERROR(__xludf.DUMMYFUNCTION("""COMPUTED_VALUE"""),"1p65")</f>
        <v>1p65</v>
      </c>
      <c r="CQ343" s="16">
        <f>IFERROR(__xludf.DUMMYFUNCTION("""COMPUTED_VALUE"""),-3.0)</f>
        <v>-3</v>
      </c>
      <c r="CR343" s="16">
        <f>IFERROR(__xludf.DUMMYFUNCTION("""COMPUTED_VALUE"""),-16.0)</f>
        <v>-16</v>
      </c>
      <c r="CS343" s="16">
        <f>IFERROR(__xludf.DUMMYFUNCTION("""COMPUTED_VALUE"""),-19.0)</f>
        <v>-19</v>
      </c>
      <c r="CT343" s="16">
        <f>IFERROR(__xludf.DUMMYFUNCTION("""COMPUTED_VALUE"""),-3.0)</f>
        <v>-3</v>
      </c>
      <c r="CU343" s="16">
        <f>IFERROR(__xludf.DUMMYFUNCTION("""COMPUTED_VALUE"""),-16.0)</f>
        <v>-16</v>
      </c>
      <c r="CV343" s="179">
        <f>IFERROR(__xludf.DUMMYFUNCTION("""COMPUTED_VALUE"""),-5.666666666666666)</f>
        <v>-5.666666667</v>
      </c>
      <c r="CW343" s="179">
        <f>IFERROR(__xludf.DUMMYFUNCTION("""COMPUTED_VALUE"""),4.0)</f>
        <v>4</v>
      </c>
      <c r="CX343" s="179">
        <f>IFERROR(__xludf.DUMMYFUNCTION("""COMPUTED_VALUE"""),2.0)</f>
        <v>2</v>
      </c>
      <c r="CY343" s="16" t="str">
        <f>IFERROR(__xludf.DUMMYFUNCTION("""COMPUTED_VALUE"""),"SP")</f>
        <v>SP</v>
      </c>
      <c r="CZ343" s="16"/>
      <c r="DA343" s="16"/>
      <c r="DB343" s="16"/>
      <c r="DC343" s="16"/>
      <c r="DD343" s="16"/>
      <c r="DE343" s="16"/>
      <c r="DF343" s="16"/>
      <c r="DG343" s="16"/>
      <c r="DH343" s="16"/>
      <c r="DI343" s="16"/>
      <c r="DJ343" s="16"/>
      <c r="DK343" s="16"/>
    </row>
    <row r="344">
      <c r="A344" s="16">
        <f>IFERROR(__xludf.DUMMYFUNCTION("""COMPUTED_VALUE"""),12679.0)</f>
        <v>12679</v>
      </c>
      <c r="B344" s="16" t="str">
        <f>IFERROR(__xludf.DUMMYFUNCTION("""COMPUTED_VALUE"""),"Chris Stratton")</f>
        <v>Chris Stratton</v>
      </c>
      <c r="C344" s="153">
        <f>IFERROR(__xludf.DUMMYFUNCTION("""COMPUTED_VALUE"""),0.0)</f>
        <v>0</v>
      </c>
      <c r="D344" s="16"/>
      <c r="E344" s="16" t="str">
        <f>IFERROR(__xludf.DUMMYFUNCTION("""COMPUTED_VALUE"""),"R")</f>
        <v>R</v>
      </c>
      <c r="F344" s="16">
        <f>IFERROR(__xludf.DUMMYFUNCTION("""COMPUTED_VALUE"""),58.0)</f>
        <v>58</v>
      </c>
      <c r="G344" s="16">
        <f>IFERROR(__xludf.DUMMYFUNCTION("""COMPUTED_VALUE"""),23.0)</f>
        <v>23</v>
      </c>
      <c r="H344" s="16">
        <f>IFERROR(__xludf.DUMMYFUNCTION("""COMPUTED_VALUE"""),6.0)</f>
        <v>6</v>
      </c>
      <c r="I344" s="16">
        <f>IFERROR(__xludf.DUMMYFUNCTION("""COMPUTED_VALUE"""),-1.0)</f>
        <v>-1</v>
      </c>
      <c r="J344" s="16">
        <f>IFERROR(__xludf.DUMMYFUNCTION("""COMPUTED_VALUE"""),-2.0)</f>
        <v>-2</v>
      </c>
      <c r="K344" s="16">
        <f>IFERROR(__xludf.DUMMYFUNCTION("""COMPUTED_VALUE"""),-3.0)</f>
        <v>-3</v>
      </c>
      <c r="L344" s="16">
        <f>IFERROR(__xludf.DUMMYFUNCTION("""COMPUTED_VALUE"""),-6.0)</f>
        <v>-6</v>
      </c>
      <c r="M344" s="16">
        <f>IFERROR(__xludf.DUMMYFUNCTION("""COMPUTED_VALUE"""),33.0)</f>
        <v>33</v>
      </c>
      <c r="N344" s="16">
        <f>IFERROR(__xludf.DUMMYFUNCTION("""COMPUTED_VALUE"""),9.0)</f>
        <v>9</v>
      </c>
      <c r="O344" s="16">
        <f>IFERROR(__xludf.DUMMYFUNCTION("""COMPUTED_VALUE"""),-3.0)</f>
        <v>-3</v>
      </c>
      <c r="P344" s="16">
        <f>IFERROR(__xludf.DUMMYFUNCTION("""COMPUTED_VALUE"""),0.0)</f>
        <v>0</v>
      </c>
      <c r="Q344" s="16">
        <f>IFERROR(__xludf.DUMMYFUNCTION("""COMPUTED_VALUE"""),-3.0)</f>
        <v>-3</v>
      </c>
      <c r="R344" s="16">
        <f>IFERROR(__xludf.DUMMYFUNCTION("""COMPUTED_VALUE"""),0.0)</f>
        <v>0</v>
      </c>
      <c r="S344" s="16">
        <f>IFERROR(__xludf.DUMMYFUNCTION("""COMPUTED_VALUE"""),8.1)</f>
        <v>8.1</v>
      </c>
      <c r="T344" s="16">
        <f>IFERROR(__xludf.DUMMYFUNCTION("""COMPUTED_VALUE"""),19.9)</f>
        <v>19.9</v>
      </c>
      <c r="U344" s="16">
        <f>IFERROR(__xludf.DUMMYFUNCTION("""COMPUTED_VALUE"""),1.0)</f>
        <v>1</v>
      </c>
      <c r="V344" s="16">
        <f>IFERROR(__xludf.DUMMYFUNCTION("""COMPUTED_VALUE"""),-1.0)</f>
        <v>-1</v>
      </c>
      <c r="W344" s="16">
        <f>IFERROR(__xludf.DUMMYFUNCTION("""COMPUTED_VALUE"""),2.0)</f>
        <v>2</v>
      </c>
      <c r="X344" s="16">
        <f>IFERROR(__xludf.DUMMYFUNCTION("""COMPUTED_VALUE"""),-2.0)</f>
        <v>-2</v>
      </c>
      <c r="Y344" s="16">
        <f>IFERROR(__xludf.DUMMYFUNCTION("""COMPUTED_VALUE"""),41.2)</f>
        <v>41.2</v>
      </c>
      <c r="Z344" s="16">
        <f>IFERROR(__xludf.DUMMYFUNCTION("""COMPUTED_VALUE"""),28.9)</f>
        <v>28.9</v>
      </c>
      <c r="AA344" s="16">
        <f>IFERROR(__xludf.DUMMYFUNCTION("""COMPUTED_VALUE"""),-2.0)</f>
        <v>-2</v>
      </c>
      <c r="AB344" s="16">
        <f>IFERROR(__xludf.DUMMYFUNCTION("""COMPUTED_VALUE"""),-1.0)</f>
        <v>-1</v>
      </c>
      <c r="AC344" s="16">
        <f>IFERROR(__xludf.DUMMYFUNCTION("""COMPUTED_VALUE"""),-10.0)</f>
        <v>-10</v>
      </c>
      <c r="AD344" s="16">
        <f>IFERROR(__xludf.DUMMYFUNCTION("""COMPUTED_VALUE"""),-5.0)</f>
        <v>-5</v>
      </c>
      <c r="AE344" s="16">
        <f>IFERROR(__xludf.DUMMYFUNCTION("""COMPUTED_VALUE"""),13.9)</f>
        <v>13.9</v>
      </c>
      <c r="AF344" s="16">
        <f>IFERROR(__xludf.DUMMYFUNCTION("""COMPUTED_VALUE"""),41.5)</f>
        <v>41.5</v>
      </c>
      <c r="AG344" s="16">
        <f>IFERROR(__xludf.DUMMYFUNCTION("""COMPUTED_VALUE"""),1.0)</f>
        <v>1</v>
      </c>
      <c r="AH344" s="16">
        <f>IFERROR(__xludf.DUMMYFUNCTION("""COMPUTED_VALUE"""),-1.0)</f>
        <v>-1</v>
      </c>
      <c r="AI344" s="16">
        <f>IFERROR(__xludf.DUMMYFUNCTION("""COMPUTED_VALUE"""),2.0)</f>
        <v>2</v>
      </c>
      <c r="AJ344" s="16">
        <f>IFERROR(__xludf.DUMMYFUNCTION("""COMPUTED_VALUE"""),-2.0)</f>
        <v>-2</v>
      </c>
      <c r="AK344" s="16">
        <f>IFERROR(__xludf.DUMMYFUNCTION("""COMPUTED_VALUE"""),8.1)</f>
        <v>8.1</v>
      </c>
      <c r="AL344" s="16">
        <f>IFERROR(__xludf.DUMMYFUNCTION("""COMPUTED_VALUE"""),17.099999999999998)</f>
        <v>17.1</v>
      </c>
      <c r="AM344" s="16">
        <f>IFERROR(__xludf.DUMMYFUNCTION("""COMPUTED_VALUE"""),1.0)</f>
        <v>1</v>
      </c>
      <c r="AN344" s="16">
        <f>IFERROR(__xludf.DUMMYFUNCTION("""COMPUTED_VALUE"""),-1.0)</f>
        <v>-1</v>
      </c>
      <c r="AO344" s="16">
        <f>IFERROR(__xludf.DUMMYFUNCTION("""COMPUTED_VALUE"""),1.0)</f>
        <v>1</v>
      </c>
      <c r="AP344" s="16">
        <f>IFERROR(__xludf.DUMMYFUNCTION("""COMPUTED_VALUE"""),-1.0)</f>
        <v>-1</v>
      </c>
      <c r="AQ344" s="16">
        <f>IFERROR(__xludf.DUMMYFUNCTION("""COMPUTED_VALUE"""),13.9)</f>
        <v>13.9</v>
      </c>
      <c r="AR344" s="16">
        <f>IFERROR(__xludf.DUMMYFUNCTION("""COMPUTED_VALUE"""),30.3)</f>
        <v>30.3</v>
      </c>
      <c r="AS344" s="16">
        <f>IFERROR(__xludf.DUMMYFUNCTION("""COMPUTED_VALUE"""),1.0)</f>
        <v>1</v>
      </c>
      <c r="AT344" s="16">
        <f>IFERROR(__xludf.DUMMYFUNCTION("""COMPUTED_VALUE"""),-1.0)</f>
        <v>-1</v>
      </c>
      <c r="AU344" s="16">
        <f>IFERROR(__xludf.DUMMYFUNCTION("""COMPUTED_VALUE"""),2.0)</f>
        <v>2</v>
      </c>
      <c r="AV344" s="16">
        <f>IFERROR(__xludf.DUMMYFUNCTION("""COMPUTED_VALUE"""),-2.0)</f>
        <v>-2</v>
      </c>
      <c r="AW344" s="16">
        <f>IFERROR(__xludf.DUMMYFUNCTION("""COMPUTED_VALUE"""),0.0)</f>
        <v>0</v>
      </c>
      <c r="AX344" s="16">
        <f>IFERROR(__xludf.DUMMYFUNCTION("""COMPUTED_VALUE"""),2.8)</f>
        <v>2.8</v>
      </c>
      <c r="AY344" s="16">
        <f>IFERROR(__xludf.DUMMYFUNCTION("""COMPUTED_VALUE"""),2.0)</f>
        <v>2</v>
      </c>
      <c r="AZ344" s="16">
        <f>IFERROR(__xludf.DUMMYFUNCTION("""COMPUTED_VALUE"""),-1.0)</f>
        <v>-1</v>
      </c>
      <c r="BA344" s="16">
        <f>IFERROR(__xludf.DUMMYFUNCTION("""COMPUTED_VALUE"""),10.0)</f>
        <v>10</v>
      </c>
      <c r="BB344" s="16">
        <f>IFERROR(__xludf.DUMMYFUNCTION("""COMPUTED_VALUE"""),-5.0)</f>
        <v>-5</v>
      </c>
      <c r="BC344" s="16"/>
      <c r="BD344" s="16">
        <f>IFERROR(__xludf.DUMMYFUNCTION("""COMPUTED_VALUE"""),4.0)</f>
        <v>4</v>
      </c>
      <c r="BE344" s="16">
        <f>IFERROR(__xludf.DUMMYFUNCTION("""COMPUTED_VALUE"""),0.0)</f>
        <v>0</v>
      </c>
      <c r="BF344" s="16">
        <f>IFERROR(__xludf.DUMMYFUNCTION("""COMPUTED_VALUE"""),4.0)</f>
        <v>4</v>
      </c>
      <c r="BG344" s="16">
        <f>IFERROR(__xludf.DUMMYFUNCTION("""COMPUTED_VALUE"""),3.0)</f>
        <v>3</v>
      </c>
      <c r="BH344" s="16">
        <f>IFERROR(__xludf.DUMMYFUNCTION("""COMPUTED_VALUE"""),-1.0)</f>
        <v>-1</v>
      </c>
      <c r="BI344" s="16">
        <f>IFERROR(__xludf.DUMMYFUNCTION("""COMPUTED_VALUE"""),6.0)</f>
        <v>6</v>
      </c>
      <c r="BJ344" s="16">
        <f>IFERROR(__xludf.DUMMYFUNCTION("""COMPUTED_VALUE"""),-2.0)</f>
        <v>-2</v>
      </c>
      <c r="BK344" s="16">
        <f>IFERROR(__xludf.DUMMYFUNCTION("""COMPUTED_VALUE"""),0.0)</f>
        <v>0</v>
      </c>
      <c r="BL344" s="16">
        <f>IFERROR(__xludf.DUMMYFUNCTION("""COMPUTED_VALUE"""),5.0)</f>
        <v>5</v>
      </c>
      <c r="BM344" s="16">
        <f>IFERROR(__xludf.DUMMYFUNCTION("""COMPUTED_VALUE"""),1.0)</f>
        <v>1</v>
      </c>
      <c r="BN344" s="16">
        <f>IFERROR(__xludf.DUMMYFUNCTION("""COMPUTED_VALUE"""),0.0)</f>
        <v>0</v>
      </c>
      <c r="BO344" s="16">
        <f>IFERROR(__xludf.DUMMYFUNCTION("""COMPUTED_VALUE"""),1.0)</f>
        <v>1</v>
      </c>
      <c r="BP344" s="16">
        <f>IFERROR(__xludf.DUMMYFUNCTION("""COMPUTED_VALUE"""),0.0)</f>
        <v>0</v>
      </c>
      <c r="BQ344" s="16">
        <f>IFERROR(__xludf.DUMMYFUNCTION("""COMPUTED_VALUE"""),7.0)</f>
        <v>7</v>
      </c>
      <c r="BR344" s="16">
        <f>IFERROR(__xludf.DUMMYFUNCTION("""COMPUTED_VALUE"""),9.0)</f>
        <v>9</v>
      </c>
      <c r="BS344" s="16">
        <f>IFERROR(__xludf.DUMMYFUNCTION("""COMPUTED_VALUE"""),2.0)</f>
        <v>2</v>
      </c>
      <c r="BT344" s="16">
        <f>IFERROR(__xludf.DUMMYFUNCTION("""COMPUTED_VALUE"""),3.0)</f>
        <v>3</v>
      </c>
      <c r="BU344" s="16">
        <f>IFERROR(__xludf.DUMMYFUNCTION("""COMPUTED_VALUE"""),4.0)</f>
        <v>4</v>
      </c>
      <c r="BV344" s="16">
        <f>IFERROR(__xludf.DUMMYFUNCTION("""COMPUTED_VALUE"""),6.0)</f>
        <v>6</v>
      </c>
      <c r="BW344" s="16">
        <f>IFERROR(__xludf.DUMMYFUNCTION("""COMPUTED_VALUE"""),0.0)</f>
        <v>0</v>
      </c>
      <c r="BX344" s="16">
        <f>IFERROR(__xludf.DUMMYFUNCTION("""COMPUTED_VALUE"""),0.0)</f>
        <v>0</v>
      </c>
      <c r="BY344" s="16" t="str">
        <f>IFERROR(__xludf.DUMMYFUNCTION("""COMPUTED_VALUE"""),"R(1) C(2)")</f>
        <v>R(1) C(2)</v>
      </c>
      <c r="BZ344" s="16" t="str">
        <f>IFERROR(__xludf.DUMMYFUNCTION("""COMPUTED_VALUE"""),"R(1) C(2)")</f>
        <v>R(1) C(2)</v>
      </c>
      <c r="CA344" s="16" t="str">
        <f>IFERROR(__xludf.DUMMYFUNCTION("""COMPUTED_VALUE"""),"R(1)")</f>
        <v>R(1)</v>
      </c>
      <c r="CB344" s="16" t="str">
        <f>IFERROR(__xludf.DUMMYFUNCTION("""COMPUTED_VALUE"""),"C(2)")</f>
        <v>C(2)</v>
      </c>
      <c r="CC344" s="16"/>
      <c r="CD344" s="16"/>
      <c r="CE344" s="16">
        <f>IFERROR(__xludf.DUMMYFUNCTION("""COMPUTED_VALUE"""),1.0)</f>
        <v>1</v>
      </c>
      <c r="CF344" s="16">
        <f>IFERROR(__xludf.DUMMYFUNCTION("""COMPUTED_VALUE"""),2.0)</f>
        <v>2</v>
      </c>
      <c r="CG344" s="16" t="str">
        <f>IFERROR(__xludf.DUMMYFUNCTION("""COMPUTED_VALUE"""),"2-0")</f>
        <v>2-0</v>
      </c>
      <c r="CH344" s="16">
        <f>IFERROR(__xludf.DUMMYFUNCTION("""COMPUTED_VALUE"""),2.0)</f>
        <v>2</v>
      </c>
      <c r="CI344" s="16">
        <f>IFERROR(__xludf.DUMMYFUNCTION("""COMPUTED_VALUE"""),0.0)</f>
        <v>0</v>
      </c>
      <c r="CJ344" s="16">
        <f>IFERROR(__xludf.DUMMYFUNCTION("""COMPUTED_VALUE"""),0.0)</f>
        <v>0</v>
      </c>
      <c r="CK344" s="16">
        <f>IFERROR(__xludf.DUMMYFUNCTION("""COMPUTED_VALUE"""),3.0)</f>
        <v>3</v>
      </c>
      <c r="CL344" s="16" t="str">
        <f>IFERROR(__xludf.DUMMYFUNCTION("""COMPUTED_VALUE"""),"1WR-C")</f>
        <v>1WR-C</v>
      </c>
      <c r="CM344" s="16" t="str">
        <f>IFERROR(__xludf.DUMMYFUNCTION("""COMPUTED_VALUE"""),"E")</f>
        <v>E</v>
      </c>
      <c r="CN344" s="16">
        <f>IFERROR(__xludf.DUMMYFUNCTION("""COMPUTED_VALUE"""),10.0)</f>
        <v>10</v>
      </c>
      <c r="CO344" s="16" t="str">
        <f>IFERROR(__xludf.DUMMYFUNCTION("""COMPUTED_VALUE"""),"C")</f>
        <v>C</v>
      </c>
      <c r="CP344" s="16" t="str">
        <f>IFERROR(__xludf.DUMMYFUNCTION("""COMPUTED_VALUE"""),"2p50")</f>
        <v>2p50</v>
      </c>
      <c r="CQ344" s="16">
        <f>IFERROR(__xludf.DUMMYFUNCTION("""COMPUTED_VALUE"""),12.0)</f>
        <v>12</v>
      </c>
      <c r="CR344" s="16">
        <f>IFERROR(__xludf.DUMMYFUNCTION("""COMPUTED_VALUE"""),-19.0)</f>
        <v>-19</v>
      </c>
      <c r="CS344" s="16">
        <f>IFERROR(__xludf.DUMMYFUNCTION("""COMPUTED_VALUE"""),-7.0)</f>
        <v>-7</v>
      </c>
      <c r="CT344" s="16">
        <f>IFERROR(__xludf.DUMMYFUNCTION("""COMPUTED_VALUE"""),12.0)</f>
        <v>12</v>
      </c>
      <c r="CU344" s="16">
        <f>IFERROR(__xludf.DUMMYFUNCTION("""COMPUTED_VALUE"""),-19.0)</f>
        <v>-19</v>
      </c>
      <c r="CV344" s="179">
        <f>IFERROR(__xludf.DUMMYFUNCTION("""COMPUTED_VALUE"""),-5.666666666666666)</f>
        <v>-5.666666667</v>
      </c>
      <c r="CW344" s="179">
        <f>IFERROR(__xludf.DUMMYFUNCTION("""COMPUTED_VALUE"""),3.0)</f>
        <v>3</v>
      </c>
      <c r="CX344" s="179">
        <f>IFERROR(__xludf.DUMMYFUNCTION("""COMPUTED_VALUE"""),0.0)</f>
        <v>0</v>
      </c>
      <c r="CY344" s="16" t="str">
        <f>IFERROR(__xludf.DUMMYFUNCTION("""COMPUTED_VALUE"""),"RP")</f>
        <v>RP</v>
      </c>
      <c r="CZ344" s="16" t="str">
        <f>IFERROR(__xludf.DUMMYFUNCTION("""COMPUTED_VALUE"""),"CP")</f>
        <v>CP</v>
      </c>
      <c r="DA344" s="16"/>
      <c r="DB344" s="16"/>
      <c r="DC344" s="16"/>
      <c r="DD344" s="16"/>
      <c r="DE344" s="16"/>
      <c r="DF344" s="16"/>
      <c r="DG344" s="16"/>
      <c r="DH344" s="16"/>
      <c r="DI344" s="16"/>
      <c r="DJ344" s="16"/>
      <c r="DK344" s="16"/>
    </row>
    <row r="345">
      <c r="A345" s="16">
        <f>IFERROR(__xludf.DUMMYFUNCTION("""COMPUTED_VALUE"""),12576.0)</f>
        <v>12576</v>
      </c>
      <c r="B345" s="16" t="str">
        <f>IFERROR(__xludf.DUMMYFUNCTION("""COMPUTED_VALUE"""),"Ben Lively")</f>
        <v>Ben Lively</v>
      </c>
      <c r="C345" s="153">
        <f>IFERROR(__xludf.DUMMYFUNCTION("""COMPUTED_VALUE"""),0.75)</f>
        <v>0.75</v>
      </c>
      <c r="D345" s="16"/>
      <c r="E345" s="16" t="str">
        <f>IFERROR(__xludf.DUMMYFUNCTION("""COMPUTED_VALUE"""),"R")</f>
        <v>R</v>
      </c>
      <c r="F345" s="16">
        <f>IFERROR(__xludf.DUMMYFUNCTION("""COMPUTED_VALUE"""),151.0)</f>
        <v>151</v>
      </c>
      <c r="G345" s="16">
        <f>IFERROR(__xludf.DUMMYFUNCTION("""COMPUTED_VALUE"""),17.0)</f>
        <v>17</v>
      </c>
      <c r="H345" s="16">
        <f>IFERROR(__xludf.DUMMYFUNCTION("""COMPUTED_VALUE"""),14.0)</f>
        <v>14</v>
      </c>
      <c r="I345" s="16">
        <f>IFERROR(__xludf.DUMMYFUNCTION("""COMPUTED_VALUE"""),-1.0)</f>
        <v>-1</v>
      </c>
      <c r="J345" s="16">
        <f>IFERROR(__xludf.DUMMYFUNCTION("""COMPUTED_VALUE"""),-2.0)</f>
        <v>-2</v>
      </c>
      <c r="K345" s="16">
        <f>IFERROR(__xludf.DUMMYFUNCTION("""COMPUTED_VALUE"""),-3.0)</f>
        <v>-3</v>
      </c>
      <c r="L345" s="16">
        <f>IFERROR(__xludf.DUMMYFUNCTION("""COMPUTED_VALUE"""),-6.0)</f>
        <v>-6</v>
      </c>
      <c r="M345" s="16">
        <f>IFERROR(__xludf.DUMMYFUNCTION("""COMPUTED_VALUE"""),12.0)</f>
        <v>12</v>
      </c>
      <c r="N345" s="16">
        <f>IFERROR(__xludf.DUMMYFUNCTION("""COMPUTED_VALUE"""),5.0)</f>
        <v>5</v>
      </c>
      <c r="O345" s="16">
        <f>IFERROR(__xludf.DUMMYFUNCTION("""COMPUTED_VALUE"""),-1.0)</f>
        <v>-1</v>
      </c>
      <c r="P345" s="16">
        <f>IFERROR(__xludf.DUMMYFUNCTION("""COMPUTED_VALUE"""),2.0)</f>
        <v>2</v>
      </c>
      <c r="Q345" s="16">
        <f>IFERROR(__xludf.DUMMYFUNCTION("""COMPUTED_VALUE"""),-1.0)</f>
        <v>-1</v>
      </c>
      <c r="R345" s="16">
        <f>IFERROR(__xludf.DUMMYFUNCTION("""COMPUTED_VALUE"""),2.0)</f>
        <v>2</v>
      </c>
      <c r="S345" s="16">
        <f>IFERROR(__xludf.DUMMYFUNCTION("""COMPUTED_VALUE"""),11.9)</f>
        <v>11.9</v>
      </c>
      <c r="T345" s="16">
        <f>IFERROR(__xludf.DUMMYFUNCTION("""COMPUTED_VALUE"""),19.8)</f>
        <v>19.8</v>
      </c>
      <c r="U345" s="16">
        <f>IFERROR(__xludf.DUMMYFUNCTION("""COMPUTED_VALUE"""),1.0)</f>
        <v>1</v>
      </c>
      <c r="V345" s="16">
        <f>IFERROR(__xludf.DUMMYFUNCTION("""COMPUTED_VALUE"""),-1.0)</f>
        <v>-1</v>
      </c>
      <c r="W345" s="16">
        <f>IFERROR(__xludf.DUMMYFUNCTION("""COMPUTED_VALUE"""),2.0)</f>
        <v>2</v>
      </c>
      <c r="X345" s="16">
        <f>IFERROR(__xludf.DUMMYFUNCTION("""COMPUTED_VALUE"""),-2.0)</f>
        <v>-2</v>
      </c>
      <c r="Y345" s="16">
        <f>IFERROR(__xludf.DUMMYFUNCTION("""COMPUTED_VALUE"""),23.9)</f>
        <v>23.9</v>
      </c>
      <c r="Z345" s="16">
        <f>IFERROR(__xludf.DUMMYFUNCTION("""COMPUTED_VALUE"""),24.8)</f>
        <v>24.8</v>
      </c>
      <c r="AA345" s="16">
        <f>IFERROR(__xludf.DUMMYFUNCTION("""COMPUTED_VALUE"""),0.0)</f>
        <v>0</v>
      </c>
      <c r="AB345" s="16">
        <f>IFERROR(__xludf.DUMMYFUNCTION("""COMPUTED_VALUE"""),0.0)</f>
        <v>0</v>
      </c>
      <c r="AC345" s="16">
        <f>IFERROR(__xludf.DUMMYFUNCTION("""COMPUTED_VALUE"""),0.0)</f>
        <v>0</v>
      </c>
      <c r="AD345" s="16">
        <f>IFERROR(__xludf.DUMMYFUNCTION("""COMPUTED_VALUE"""),0.0)</f>
        <v>0</v>
      </c>
      <c r="AE345" s="16">
        <f>IFERROR(__xludf.DUMMYFUNCTION("""COMPUTED_VALUE"""),26.2)</f>
        <v>26.2</v>
      </c>
      <c r="AF345" s="16">
        <f>IFERROR(__xludf.DUMMYFUNCTION("""COMPUTED_VALUE"""),34.7)</f>
        <v>34.7</v>
      </c>
      <c r="AG345" s="16">
        <f>IFERROR(__xludf.DUMMYFUNCTION("""COMPUTED_VALUE"""),0.0)</f>
        <v>0</v>
      </c>
      <c r="AH345" s="16">
        <f>IFERROR(__xludf.DUMMYFUNCTION("""COMPUTED_VALUE"""),-1.0)</f>
        <v>-1</v>
      </c>
      <c r="AI345" s="16">
        <f>IFERROR(__xludf.DUMMYFUNCTION("""COMPUTED_VALUE"""),0.0)</f>
        <v>0</v>
      </c>
      <c r="AJ345" s="16">
        <f>IFERROR(__xludf.DUMMYFUNCTION("""COMPUTED_VALUE"""),-2.0)</f>
        <v>-2</v>
      </c>
      <c r="AK345" s="16">
        <f>IFERROR(__xludf.DUMMYFUNCTION("""COMPUTED_VALUE"""),8.5)</f>
        <v>8.5</v>
      </c>
      <c r="AL345" s="16">
        <f>IFERROR(__xludf.DUMMYFUNCTION("""COMPUTED_VALUE"""),17.6)</f>
        <v>17.6</v>
      </c>
      <c r="AM345" s="16">
        <f>IFERROR(__xludf.DUMMYFUNCTION("""COMPUTED_VALUE"""),1.0)</f>
        <v>1</v>
      </c>
      <c r="AN345" s="16">
        <f>IFERROR(__xludf.DUMMYFUNCTION("""COMPUTED_VALUE"""),-1.0)</f>
        <v>-1</v>
      </c>
      <c r="AO345" s="16">
        <f>IFERROR(__xludf.DUMMYFUNCTION("""COMPUTED_VALUE"""),1.0)</f>
        <v>1</v>
      </c>
      <c r="AP345" s="16">
        <f>IFERROR(__xludf.DUMMYFUNCTION("""COMPUTED_VALUE"""),-1.0)</f>
        <v>-1</v>
      </c>
      <c r="AQ345" s="16">
        <f>IFERROR(__xludf.DUMMYFUNCTION("""COMPUTED_VALUE"""),12.6)</f>
        <v>12.6</v>
      </c>
      <c r="AR345" s="16">
        <f>IFERROR(__xludf.DUMMYFUNCTION("""COMPUTED_VALUE"""),25.900000000000002)</f>
        <v>25.9</v>
      </c>
      <c r="AS345" s="16">
        <f>IFERROR(__xludf.DUMMYFUNCTION("""COMPUTED_VALUE"""),1.0)</f>
        <v>1</v>
      </c>
      <c r="AT345" s="16">
        <f>IFERROR(__xludf.DUMMYFUNCTION("""COMPUTED_VALUE"""),-1.0)</f>
        <v>-1</v>
      </c>
      <c r="AU345" s="16">
        <f>IFERROR(__xludf.DUMMYFUNCTION("""COMPUTED_VALUE"""),2.0)</f>
        <v>2</v>
      </c>
      <c r="AV345" s="16">
        <f>IFERROR(__xludf.DUMMYFUNCTION("""COMPUTED_VALUE"""),-2.0)</f>
        <v>-2</v>
      </c>
      <c r="AW345" s="16">
        <f>IFERROR(__xludf.DUMMYFUNCTION("""COMPUTED_VALUE"""),3.4)</f>
        <v>3.4</v>
      </c>
      <c r="AX345" s="16">
        <f>IFERROR(__xludf.DUMMYFUNCTION("""COMPUTED_VALUE"""),2.2)</f>
        <v>2.2</v>
      </c>
      <c r="AY345" s="16">
        <f>IFERROR(__xludf.DUMMYFUNCTION("""COMPUTED_VALUE"""),-2.0)</f>
        <v>-2</v>
      </c>
      <c r="AZ345" s="16">
        <f>IFERROR(__xludf.DUMMYFUNCTION("""COMPUTED_VALUE"""),0.0)</f>
        <v>0</v>
      </c>
      <c r="BA345" s="16">
        <f>IFERROR(__xludf.DUMMYFUNCTION("""COMPUTED_VALUE"""),-10.0)</f>
        <v>-10</v>
      </c>
      <c r="BB345" s="16">
        <f>IFERROR(__xludf.DUMMYFUNCTION("""COMPUTED_VALUE"""),0.0)</f>
        <v>0</v>
      </c>
      <c r="BC345" s="16">
        <f>IFERROR(__xludf.DUMMYFUNCTION("""COMPUTED_VALUE"""),5.0)</f>
        <v>5</v>
      </c>
      <c r="BD345" s="16">
        <f>IFERROR(__xludf.DUMMYFUNCTION("""COMPUTED_VALUE"""),4.0)</f>
        <v>4</v>
      </c>
      <c r="BE345" s="16">
        <f>IFERROR(__xludf.DUMMYFUNCTION("""COMPUTED_VALUE"""),5.0)</f>
        <v>5</v>
      </c>
      <c r="BF345" s="16">
        <f>IFERROR(__xludf.DUMMYFUNCTION("""COMPUTED_VALUE"""),4.0)</f>
        <v>4</v>
      </c>
      <c r="BG345" s="16">
        <f>IFERROR(__xludf.DUMMYFUNCTION("""COMPUTED_VALUE"""),-2.0)</f>
        <v>-2</v>
      </c>
      <c r="BH345" s="16">
        <f>IFERROR(__xludf.DUMMYFUNCTION("""COMPUTED_VALUE"""),-1.0)</f>
        <v>-1</v>
      </c>
      <c r="BI345" s="16">
        <f>IFERROR(__xludf.DUMMYFUNCTION("""COMPUTED_VALUE"""),-4.0)</f>
        <v>-4</v>
      </c>
      <c r="BJ345" s="16">
        <f>IFERROR(__xludf.DUMMYFUNCTION("""COMPUTED_VALUE"""),-2.0)</f>
        <v>-2</v>
      </c>
      <c r="BK345" s="16">
        <f>IFERROR(__xludf.DUMMYFUNCTION("""COMPUTED_VALUE"""),5.0)</f>
        <v>5</v>
      </c>
      <c r="BL345" s="16">
        <f>IFERROR(__xludf.DUMMYFUNCTION("""COMPUTED_VALUE"""),5.0)</f>
        <v>5</v>
      </c>
      <c r="BM345" s="16">
        <f>IFERROR(__xludf.DUMMYFUNCTION("""COMPUTED_VALUE"""),0.0)</f>
        <v>0</v>
      </c>
      <c r="BN345" s="16">
        <f>IFERROR(__xludf.DUMMYFUNCTION("""COMPUTED_VALUE"""),0.0)</f>
        <v>0</v>
      </c>
      <c r="BO345" s="16">
        <f>IFERROR(__xludf.DUMMYFUNCTION("""COMPUTED_VALUE"""),0.0)</f>
        <v>0</v>
      </c>
      <c r="BP345" s="16">
        <f>IFERROR(__xludf.DUMMYFUNCTION("""COMPUTED_VALUE"""),0.0)</f>
        <v>0</v>
      </c>
      <c r="BQ345" s="16">
        <f>IFERROR(__xludf.DUMMYFUNCTION("""COMPUTED_VALUE"""),5.0)</f>
        <v>5</v>
      </c>
      <c r="BR345" s="16">
        <f>IFERROR(__xludf.DUMMYFUNCTION("""COMPUTED_VALUE"""),5.0)</f>
        <v>5</v>
      </c>
      <c r="BS345" s="16">
        <f>IFERROR(__xludf.DUMMYFUNCTION("""COMPUTED_VALUE"""),0.0)</f>
        <v>0</v>
      </c>
      <c r="BT345" s="16">
        <f>IFERROR(__xludf.DUMMYFUNCTION("""COMPUTED_VALUE"""),0.0)</f>
        <v>0</v>
      </c>
      <c r="BU345" s="16">
        <f>IFERROR(__xludf.DUMMYFUNCTION("""COMPUTED_VALUE"""),0.0)</f>
        <v>0</v>
      </c>
      <c r="BV345" s="16">
        <f>IFERROR(__xludf.DUMMYFUNCTION("""COMPUTED_VALUE"""),0.0)</f>
        <v>0</v>
      </c>
      <c r="BW345" s="16">
        <f>IFERROR(__xludf.DUMMYFUNCTION("""COMPUTED_VALUE"""),0.0)</f>
        <v>0</v>
      </c>
      <c r="BX345" s="16">
        <f>IFERROR(__xludf.DUMMYFUNCTION("""COMPUTED_VALUE"""),0.0)</f>
        <v>0</v>
      </c>
      <c r="BY345" s="16" t="str">
        <f>IFERROR(__xludf.DUMMYFUNCTION("""COMPUTED_VALUE"""),"S(5)")</f>
        <v>S(5)</v>
      </c>
      <c r="BZ345" s="16" t="str">
        <f>IFERROR(__xludf.DUMMYFUNCTION("""COMPUTED_VALUE"""),"S(5)")</f>
        <v>S(5)</v>
      </c>
      <c r="CA345" s="16" t="str">
        <f>IFERROR(__xludf.DUMMYFUNCTION("""COMPUTED_VALUE"""),"S(5)")</f>
        <v>S(5)</v>
      </c>
      <c r="CB345" s="16"/>
      <c r="CC345" s="16"/>
      <c r="CD345" s="16">
        <f>IFERROR(__xludf.DUMMYFUNCTION("""COMPUTED_VALUE"""),5.0)</f>
        <v>5</v>
      </c>
      <c r="CE345" s="16"/>
      <c r="CF345" s="16"/>
      <c r="CG345" s="16" t="str">
        <f>IFERROR(__xludf.DUMMYFUNCTION("""COMPUTED_VALUE"""),"3-0")</f>
        <v>3-0</v>
      </c>
      <c r="CH345" s="16">
        <f>IFERROR(__xludf.DUMMYFUNCTION("""COMPUTED_VALUE"""),3.0)</f>
        <v>3</v>
      </c>
      <c r="CI345" s="16">
        <f>IFERROR(__xludf.DUMMYFUNCTION("""COMPUTED_VALUE"""),0.0)</f>
        <v>0</v>
      </c>
      <c r="CJ345" s="16">
        <f>IFERROR(__xludf.DUMMYFUNCTION("""COMPUTED_VALUE"""),2.0)</f>
        <v>2</v>
      </c>
      <c r="CK345" s="16">
        <f>IFERROR(__xludf.DUMMYFUNCTION("""COMPUTED_VALUE"""),2.0)</f>
        <v>2</v>
      </c>
      <c r="CL345" s="16" t="str">
        <f>IFERROR(__xludf.DUMMYFUNCTION("""COMPUTED_VALUE"""),"1WR-C")</f>
        <v>1WR-C</v>
      </c>
      <c r="CM345" s="16" t="str">
        <f>IFERROR(__xludf.DUMMYFUNCTION("""COMPUTED_VALUE"""),"E")</f>
        <v>E</v>
      </c>
      <c r="CN345" s="16">
        <f>IFERROR(__xludf.DUMMYFUNCTION("""COMPUTED_VALUE"""),10.0)</f>
        <v>10</v>
      </c>
      <c r="CO345" s="16" t="str">
        <f>IFERROR(__xludf.DUMMYFUNCTION("""COMPUTED_VALUE"""),"C")</f>
        <v>C</v>
      </c>
      <c r="CP345" s="16" t="str">
        <f>IFERROR(__xludf.DUMMYFUNCTION("""COMPUTED_VALUE"""),"1p70")</f>
        <v>1p70</v>
      </c>
      <c r="CQ345" s="16">
        <f>IFERROR(__xludf.DUMMYFUNCTION("""COMPUTED_VALUE"""),-13.0)</f>
        <v>-13</v>
      </c>
      <c r="CR345" s="16">
        <f>IFERROR(__xludf.DUMMYFUNCTION("""COMPUTED_VALUE"""),-13.0)</f>
        <v>-13</v>
      </c>
      <c r="CS345" s="16">
        <f>IFERROR(__xludf.DUMMYFUNCTION("""COMPUTED_VALUE"""),-26.0)</f>
        <v>-26</v>
      </c>
      <c r="CT345" s="16">
        <f>IFERROR(__xludf.DUMMYFUNCTION("""COMPUTED_VALUE"""),-13.0)</f>
        <v>-13</v>
      </c>
      <c r="CU345" s="16">
        <f>IFERROR(__xludf.DUMMYFUNCTION("""COMPUTED_VALUE"""),-13.0)</f>
        <v>-13</v>
      </c>
      <c r="CV345" s="179">
        <f>IFERROR(__xludf.DUMMYFUNCTION("""COMPUTED_VALUE"""),-6.0)</f>
        <v>-6</v>
      </c>
      <c r="CW345" s="179">
        <f>IFERROR(__xludf.DUMMYFUNCTION("""COMPUTED_VALUE"""),4.0)</f>
        <v>4</v>
      </c>
      <c r="CX345" s="179">
        <f>IFERROR(__xludf.DUMMYFUNCTION("""COMPUTED_VALUE"""),3.0)</f>
        <v>3</v>
      </c>
      <c r="CY345" s="16" t="str">
        <f>IFERROR(__xludf.DUMMYFUNCTION("""COMPUTED_VALUE"""),"SP")</f>
        <v>SP</v>
      </c>
      <c r="CZ345" s="16"/>
      <c r="DA345" s="16"/>
      <c r="DB345" s="16"/>
      <c r="DC345" s="16"/>
      <c r="DD345" s="16"/>
      <c r="DE345" s="16"/>
      <c r="DF345" s="16"/>
      <c r="DG345" s="16"/>
      <c r="DH345" s="16"/>
      <c r="DI345" s="16"/>
      <c r="DJ345" s="16"/>
      <c r="DK345" s="16"/>
    </row>
    <row r="346">
      <c r="A346" s="16">
        <f>IFERROR(__xludf.DUMMYFUNCTION("""COMPUTED_VALUE"""),13381.0)</f>
        <v>13381</v>
      </c>
      <c r="B346" s="16" t="str">
        <f>IFERROR(__xludf.DUMMYFUNCTION("""COMPUTED_VALUE"""),"Spencer Arrighetti")</f>
        <v>Spencer Arrighetti</v>
      </c>
      <c r="C346" s="153">
        <f>IFERROR(__xludf.DUMMYFUNCTION("""COMPUTED_VALUE"""),0.1)</f>
        <v>0.1</v>
      </c>
      <c r="D346" s="16"/>
      <c r="E346" s="16" t="str">
        <f>IFERROR(__xludf.DUMMYFUNCTION("""COMPUTED_VALUE"""),"R")</f>
        <v>R</v>
      </c>
      <c r="F346" s="16">
        <f>IFERROR(__xludf.DUMMYFUNCTION("""COMPUTED_VALUE"""),145.0)</f>
        <v>145</v>
      </c>
      <c r="G346" s="16">
        <f>IFERROR(__xludf.DUMMYFUNCTION("""COMPUTED_VALUE"""),39.0)</f>
        <v>39</v>
      </c>
      <c r="H346" s="16">
        <f>IFERROR(__xludf.DUMMYFUNCTION("""COMPUTED_VALUE"""),29.0)</f>
        <v>29</v>
      </c>
      <c r="I346" s="16">
        <f>IFERROR(__xludf.DUMMYFUNCTION("""COMPUTED_VALUE"""),2.0)</f>
        <v>2</v>
      </c>
      <c r="J346" s="16">
        <f>IFERROR(__xludf.DUMMYFUNCTION("""COMPUTED_VALUE"""),0.0)</f>
        <v>0</v>
      </c>
      <c r="K346" s="16">
        <f>IFERROR(__xludf.DUMMYFUNCTION("""COMPUTED_VALUE"""),6.0)</f>
        <v>6</v>
      </c>
      <c r="L346" s="16">
        <f>IFERROR(__xludf.DUMMYFUNCTION("""COMPUTED_VALUE"""),0.0)</f>
        <v>0</v>
      </c>
      <c r="M346" s="16">
        <f>IFERROR(__xludf.DUMMYFUNCTION("""COMPUTED_VALUE"""),18.0)</f>
        <v>18</v>
      </c>
      <c r="N346" s="16">
        <f>IFERROR(__xludf.DUMMYFUNCTION("""COMPUTED_VALUE"""),9.0)</f>
        <v>9</v>
      </c>
      <c r="O346" s="16">
        <f>IFERROR(__xludf.DUMMYFUNCTION("""COMPUTED_VALUE"""),-3.0)</f>
        <v>-3</v>
      </c>
      <c r="P346" s="16">
        <f>IFERROR(__xludf.DUMMYFUNCTION("""COMPUTED_VALUE"""),0.0)</f>
        <v>0</v>
      </c>
      <c r="Q346" s="16">
        <f>IFERROR(__xludf.DUMMYFUNCTION("""COMPUTED_VALUE"""),-3.0)</f>
        <v>-3</v>
      </c>
      <c r="R346" s="16">
        <f>IFERROR(__xludf.DUMMYFUNCTION("""COMPUTED_VALUE"""),0.0)</f>
        <v>0</v>
      </c>
      <c r="S346" s="16">
        <f>IFERROR(__xludf.DUMMYFUNCTION("""COMPUTED_VALUE"""),13.7)</f>
        <v>13.7</v>
      </c>
      <c r="T346" s="16">
        <f>IFERROR(__xludf.DUMMYFUNCTION("""COMPUTED_VALUE"""),18.7)</f>
        <v>18.7</v>
      </c>
      <c r="U346" s="16">
        <f>IFERROR(__xludf.DUMMYFUNCTION("""COMPUTED_VALUE"""),0.0)</f>
        <v>0</v>
      </c>
      <c r="V346" s="16">
        <f>IFERROR(__xludf.DUMMYFUNCTION("""COMPUTED_VALUE"""),-1.0)</f>
        <v>-1</v>
      </c>
      <c r="W346" s="16">
        <f>IFERROR(__xludf.DUMMYFUNCTION("""COMPUTED_VALUE"""),0.0)</f>
        <v>0</v>
      </c>
      <c r="X346" s="16">
        <f>IFERROR(__xludf.DUMMYFUNCTION("""COMPUTED_VALUE"""),-2.0)</f>
        <v>-2</v>
      </c>
      <c r="Y346" s="16">
        <f>IFERROR(__xludf.DUMMYFUNCTION("""COMPUTED_VALUE"""),31.7)</f>
        <v>31.7</v>
      </c>
      <c r="Z346" s="16">
        <f>IFERROR(__xludf.DUMMYFUNCTION("""COMPUTED_VALUE"""),27.7)</f>
        <v>27.7</v>
      </c>
      <c r="AA346" s="16">
        <f>IFERROR(__xludf.DUMMYFUNCTION("""COMPUTED_VALUE"""),-1.0)</f>
        <v>-1</v>
      </c>
      <c r="AB346" s="16">
        <f>IFERROR(__xludf.DUMMYFUNCTION("""COMPUTED_VALUE"""),0.0)</f>
        <v>0</v>
      </c>
      <c r="AC346" s="16">
        <f>IFERROR(__xludf.DUMMYFUNCTION("""COMPUTED_VALUE"""),-5.0)</f>
        <v>-5</v>
      </c>
      <c r="AD346" s="16">
        <f>IFERROR(__xludf.DUMMYFUNCTION("""COMPUTED_VALUE"""),0.0)</f>
        <v>0</v>
      </c>
      <c r="AE346" s="16">
        <f>IFERROR(__xludf.DUMMYFUNCTION("""COMPUTED_VALUE"""),25.0)</f>
        <v>25</v>
      </c>
      <c r="AF346" s="16">
        <f>IFERROR(__xludf.DUMMYFUNCTION("""COMPUTED_VALUE"""),35.0)</f>
        <v>35</v>
      </c>
      <c r="AG346" s="16">
        <f>IFERROR(__xludf.DUMMYFUNCTION("""COMPUTED_VALUE"""),0.0)</f>
        <v>0</v>
      </c>
      <c r="AH346" s="16">
        <f>IFERROR(__xludf.DUMMYFUNCTION("""COMPUTED_VALUE"""),-1.0)</f>
        <v>-1</v>
      </c>
      <c r="AI346" s="16">
        <f>IFERROR(__xludf.DUMMYFUNCTION("""COMPUTED_VALUE"""),0.0)</f>
        <v>0</v>
      </c>
      <c r="AJ346" s="16">
        <f>IFERROR(__xludf.DUMMYFUNCTION("""COMPUTED_VALUE"""),-2.0)</f>
        <v>-2</v>
      </c>
      <c r="AK346" s="16">
        <f>IFERROR(__xludf.DUMMYFUNCTION("""COMPUTED_VALUE"""),12.1)</f>
        <v>12.1</v>
      </c>
      <c r="AL346" s="16">
        <f>IFERROR(__xludf.DUMMYFUNCTION("""COMPUTED_VALUE"""),15.5)</f>
        <v>15.5</v>
      </c>
      <c r="AM346" s="16">
        <f>IFERROR(__xludf.DUMMYFUNCTION("""COMPUTED_VALUE"""),0.0)</f>
        <v>0</v>
      </c>
      <c r="AN346" s="16">
        <f>IFERROR(__xludf.DUMMYFUNCTION("""COMPUTED_VALUE"""),0.0)</f>
        <v>0</v>
      </c>
      <c r="AO346" s="16">
        <f>IFERROR(__xludf.DUMMYFUNCTION("""COMPUTED_VALUE"""),0.0)</f>
        <v>0</v>
      </c>
      <c r="AP346" s="16">
        <f>IFERROR(__xludf.DUMMYFUNCTION("""COMPUTED_VALUE"""),0.0)</f>
        <v>0</v>
      </c>
      <c r="AQ346" s="16">
        <f>IFERROR(__xludf.DUMMYFUNCTION("""COMPUTED_VALUE"""),18.6)</f>
        <v>18.6</v>
      </c>
      <c r="AR346" s="16">
        <f>IFERROR(__xludf.DUMMYFUNCTION("""COMPUTED_VALUE"""),22.2)</f>
        <v>22.2</v>
      </c>
      <c r="AS346" s="16">
        <f>IFERROR(__xludf.DUMMYFUNCTION("""COMPUTED_VALUE"""),0.0)</f>
        <v>0</v>
      </c>
      <c r="AT346" s="16">
        <f>IFERROR(__xludf.DUMMYFUNCTION("""COMPUTED_VALUE"""),0.0)</f>
        <v>0</v>
      </c>
      <c r="AU346" s="16">
        <f>IFERROR(__xludf.DUMMYFUNCTION("""COMPUTED_VALUE"""),0.0)</f>
        <v>0</v>
      </c>
      <c r="AV346" s="16">
        <f>IFERROR(__xludf.DUMMYFUNCTION("""COMPUTED_VALUE"""),0.0)</f>
        <v>0</v>
      </c>
      <c r="AW346" s="16">
        <f>IFERROR(__xludf.DUMMYFUNCTION("""COMPUTED_VALUE"""),1.6)</f>
        <v>1.6</v>
      </c>
      <c r="AX346" s="16">
        <f>IFERROR(__xludf.DUMMYFUNCTION("""COMPUTED_VALUE"""),3.2)</f>
        <v>3.2</v>
      </c>
      <c r="AY346" s="16">
        <f>IFERROR(__xludf.DUMMYFUNCTION("""COMPUTED_VALUE"""),1.0)</f>
        <v>1</v>
      </c>
      <c r="AZ346" s="16">
        <f>IFERROR(__xludf.DUMMYFUNCTION("""COMPUTED_VALUE"""),-1.0)</f>
        <v>-1</v>
      </c>
      <c r="BA346" s="16">
        <f>IFERROR(__xludf.DUMMYFUNCTION("""COMPUTED_VALUE"""),5.0)</f>
        <v>5</v>
      </c>
      <c r="BB346" s="16">
        <f>IFERROR(__xludf.DUMMYFUNCTION("""COMPUTED_VALUE"""),-5.0)</f>
        <v>-5</v>
      </c>
      <c r="BC346" s="16">
        <f>IFERROR(__xludf.DUMMYFUNCTION("""COMPUTED_VALUE"""),2.0)</f>
        <v>2</v>
      </c>
      <c r="BD346" s="16">
        <f>IFERROR(__xludf.DUMMYFUNCTION("""COMPUTED_VALUE"""),5.0)</f>
        <v>5</v>
      </c>
      <c r="BE346" s="16">
        <f>IFERROR(__xludf.DUMMYFUNCTION("""COMPUTED_VALUE"""),2.0)</f>
        <v>2</v>
      </c>
      <c r="BF346" s="16">
        <f>IFERROR(__xludf.DUMMYFUNCTION("""COMPUTED_VALUE"""),5.0)</f>
        <v>5</v>
      </c>
      <c r="BG346" s="16">
        <f>IFERROR(__xludf.DUMMYFUNCTION("""COMPUTED_VALUE"""),1.0)</f>
        <v>1</v>
      </c>
      <c r="BH346" s="16">
        <f>IFERROR(__xludf.DUMMYFUNCTION("""COMPUTED_VALUE"""),-2.0)</f>
        <v>-2</v>
      </c>
      <c r="BI346" s="16">
        <f>IFERROR(__xludf.DUMMYFUNCTION("""COMPUTED_VALUE"""),2.0)</f>
        <v>2</v>
      </c>
      <c r="BJ346" s="16">
        <f>IFERROR(__xludf.DUMMYFUNCTION("""COMPUTED_VALUE"""),-4.0)</f>
        <v>-4</v>
      </c>
      <c r="BK346" s="16">
        <f>IFERROR(__xludf.DUMMYFUNCTION("""COMPUTED_VALUE"""),5.0)</f>
        <v>5</v>
      </c>
      <c r="BL346" s="16">
        <f>IFERROR(__xludf.DUMMYFUNCTION("""COMPUTED_VALUE"""),5.0)</f>
        <v>5</v>
      </c>
      <c r="BM346" s="16">
        <f>IFERROR(__xludf.DUMMYFUNCTION("""COMPUTED_VALUE"""),0.0)</f>
        <v>0</v>
      </c>
      <c r="BN346" s="16">
        <f>IFERROR(__xludf.DUMMYFUNCTION("""COMPUTED_VALUE"""),0.0)</f>
        <v>0</v>
      </c>
      <c r="BO346" s="16">
        <f>IFERROR(__xludf.DUMMYFUNCTION("""COMPUTED_VALUE"""),0.0)</f>
        <v>0</v>
      </c>
      <c r="BP346" s="16">
        <f>IFERROR(__xludf.DUMMYFUNCTION("""COMPUTED_VALUE"""),0.0)</f>
        <v>0</v>
      </c>
      <c r="BQ346" s="16">
        <f>IFERROR(__xludf.DUMMYFUNCTION("""COMPUTED_VALUE"""),0.0)</f>
        <v>0</v>
      </c>
      <c r="BR346" s="16">
        <f>IFERROR(__xludf.DUMMYFUNCTION("""COMPUTED_VALUE"""),0.0)</f>
        <v>0</v>
      </c>
      <c r="BS346" s="16">
        <f>IFERROR(__xludf.DUMMYFUNCTION("""COMPUTED_VALUE"""),-3.0)</f>
        <v>-3</v>
      </c>
      <c r="BT346" s="16">
        <f>IFERROR(__xludf.DUMMYFUNCTION("""COMPUTED_VALUE"""),-3.0)</f>
        <v>-3</v>
      </c>
      <c r="BU346" s="16">
        <f>IFERROR(__xludf.DUMMYFUNCTION("""COMPUTED_VALUE"""),-6.0)</f>
        <v>-6</v>
      </c>
      <c r="BV346" s="16">
        <f>IFERROR(__xludf.DUMMYFUNCTION("""COMPUTED_VALUE"""),-6.0)</f>
        <v>-6</v>
      </c>
      <c r="BW346" s="16">
        <f>IFERROR(__xludf.DUMMYFUNCTION("""COMPUTED_VALUE"""),1.0)</f>
        <v>1</v>
      </c>
      <c r="BX346" s="16">
        <f>IFERROR(__xludf.DUMMYFUNCTION("""COMPUTED_VALUE"""),1.0)</f>
        <v>1</v>
      </c>
      <c r="BY346" s="16" t="str">
        <f>IFERROR(__xludf.DUMMYFUNCTION("""COMPUTED_VALUE"""),"S(5)")</f>
        <v>S(5)</v>
      </c>
      <c r="BZ346" s="16" t="str">
        <f>IFERROR(__xludf.DUMMYFUNCTION("""COMPUTED_VALUE"""),"S(5)")</f>
        <v>S(5)</v>
      </c>
      <c r="CA346" s="16" t="str">
        <f>IFERROR(__xludf.DUMMYFUNCTION("""COMPUTED_VALUE"""),"S(5)")</f>
        <v>S(5)</v>
      </c>
      <c r="CB346" s="16"/>
      <c r="CC346" s="16"/>
      <c r="CD346" s="16">
        <f>IFERROR(__xludf.DUMMYFUNCTION("""COMPUTED_VALUE"""),5.0)</f>
        <v>5</v>
      </c>
      <c r="CE346" s="16"/>
      <c r="CF346" s="16"/>
      <c r="CG346" s="16" t="str">
        <f>IFERROR(__xludf.DUMMYFUNCTION("""COMPUTED_VALUE"""),"4-0")</f>
        <v>4-0</v>
      </c>
      <c r="CH346" s="16">
        <f>IFERROR(__xludf.DUMMYFUNCTION("""COMPUTED_VALUE"""),4.0)</f>
        <v>4</v>
      </c>
      <c r="CI346" s="16">
        <f>IFERROR(__xludf.DUMMYFUNCTION("""COMPUTED_VALUE"""),0.0)</f>
        <v>0</v>
      </c>
      <c r="CJ346" s="16">
        <f>IFERROR(__xludf.DUMMYFUNCTION("""COMPUTED_VALUE"""),0.0)</f>
        <v>0</v>
      </c>
      <c r="CK346" s="16">
        <f>IFERROR(__xludf.DUMMYFUNCTION("""COMPUTED_VALUE"""),4.0)</f>
        <v>4</v>
      </c>
      <c r="CL346" s="16" t="str">
        <f>IFERROR(__xludf.DUMMYFUNCTION("""COMPUTED_VALUE"""),"1WR-C")</f>
        <v>1WR-C</v>
      </c>
      <c r="CM346" s="16" t="str">
        <f>IFERROR(__xludf.DUMMYFUNCTION("""COMPUTED_VALUE"""),"E")</f>
        <v>E</v>
      </c>
      <c r="CN346" s="16">
        <f>IFERROR(__xludf.DUMMYFUNCTION("""COMPUTED_VALUE"""),10.0)</f>
        <v>10</v>
      </c>
      <c r="CO346" s="16" t="str">
        <f>IFERROR(__xludf.DUMMYFUNCTION("""COMPUTED_VALUE"""),"C")</f>
        <v>C</v>
      </c>
      <c r="CP346" s="16" t="str">
        <f>IFERROR(__xludf.DUMMYFUNCTION("""COMPUTED_VALUE"""),"1p70")</f>
        <v>1p70</v>
      </c>
      <c r="CQ346" s="16">
        <f>IFERROR(__xludf.DUMMYFUNCTION("""COMPUTED_VALUE"""),-1.0)</f>
        <v>-1</v>
      </c>
      <c r="CR346" s="16">
        <f>IFERROR(__xludf.DUMMYFUNCTION("""COMPUTED_VALUE"""),-19.0)</f>
        <v>-19</v>
      </c>
      <c r="CS346" s="16">
        <f>IFERROR(__xludf.DUMMYFUNCTION("""COMPUTED_VALUE"""),-20.0)</f>
        <v>-20</v>
      </c>
      <c r="CT346" s="16">
        <f>IFERROR(__xludf.DUMMYFUNCTION("""COMPUTED_VALUE"""),-1.0)</f>
        <v>-1</v>
      </c>
      <c r="CU346" s="16">
        <f>IFERROR(__xludf.DUMMYFUNCTION("""COMPUTED_VALUE"""),-19.0)</f>
        <v>-19</v>
      </c>
      <c r="CV346" s="179">
        <f>IFERROR(__xludf.DUMMYFUNCTION("""COMPUTED_VALUE"""),-6.0)</f>
        <v>-6</v>
      </c>
      <c r="CW346" s="179">
        <f>IFERROR(__xludf.DUMMYFUNCTION("""COMPUTED_VALUE"""),4.0)</f>
        <v>4</v>
      </c>
      <c r="CX346" s="179">
        <f>IFERROR(__xludf.DUMMYFUNCTION("""COMPUTED_VALUE"""),3.0)</f>
        <v>3</v>
      </c>
      <c r="CY346" s="16" t="str">
        <f>IFERROR(__xludf.DUMMYFUNCTION("""COMPUTED_VALUE"""),"SP")</f>
        <v>SP</v>
      </c>
      <c r="CZ346" s="16"/>
      <c r="DA346" s="16"/>
      <c r="DB346" s="16"/>
      <c r="DC346" s="16"/>
      <c r="DD346" s="16"/>
      <c r="DE346" s="16"/>
      <c r="DF346" s="16"/>
      <c r="DG346" s="16"/>
      <c r="DH346" s="16"/>
      <c r="DI346" s="16"/>
      <c r="DJ346" s="16"/>
      <c r="DK346" s="16"/>
    </row>
    <row r="347">
      <c r="A347" s="16">
        <f>IFERROR(__xludf.DUMMYFUNCTION("""COMPUTED_VALUE"""),12602.0)</f>
        <v>12602</v>
      </c>
      <c r="B347" s="16" t="str">
        <f>IFERROR(__xludf.DUMMYFUNCTION("""COMPUTED_VALUE"""),"Braxton Garrett")</f>
        <v>Braxton Garrett</v>
      </c>
      <c r="C347" s="153">
        <f>IFERROR(__xludf.DUMMYFUNCTION("""COMPUTED_VALUE"""),0.61)</f>
        <v>0.61</v>
      </c>
      <c r="D347" s="16"/>
      <c r="E347" s="16" t="str">
        <f>IFERROR(__xludf.DUMMYFUNCTION("""COMPUTED_VALUE"""),"L")</f>
        <v>L</v>
      </c>
      <c r="F347" s="16">
        <f>IFERROR(__xludf.DUMMYFUNCTION("""COMPUTED_VALUE"""),37.0)</f>
        <v>37</v>
      </c>
      <c r="G347" s="16">
        <f>IFERROR(__xludf.DUMMYFUNCTION("""COMPUTED_VALUE"""),22.0)</f>
        <v>22</v>
      </c>
      <c r="H347" s="16">
        <f>IFERROR(__xludf.DUMMYFUNCTION("""COMPUTED_VALUE"""),22.0)</f>
        <v>22</v>
      </c>
      <c r="I347" s="16">
        <f>IFERROR(__xludf.DUMMYFUNCTION("""COMPUTED_VALUE"""),-1.0)</f>
        <v>-1</v>
      </c>
      <c r="J347" s="16">
        <f>IFERROR(__xludf.DUMMYFUNCTION("""COMPUTED_VALUE"""),-1.0)</f>
        <v>-1</v>
      </c>
      <c r="K347" s="16">
        <f>IFERROR(__xludf.DUMMYFUNCTION("""COMPUTED_VALUE"""),-3.0)</f>
        <v>-3</v>
      </c>
      <c r="L347" s="16">
        <f>IFERROR(__xludf.DUMMYFUNCTION("""COMPUTED_VALUE"""),-3.0)</f>
        <v>-3</v>
      </c>
      <c r="M347" s="16">
        <f>IFERROR(__xludf.DUMMYFUNCTION("""COMPUTED_VALUE"""),0.0)</f>
        <v>0</v>
      </c>
      <c r="N347" s="16">
        <f>IFERROR(__xludf.DUMMYFUNCTION("""COMPUTED_VALUE"""),0.0)</f>
        <v>0</v>
      </c>
      <c r="O347" s="16">
        <f>IFERROR(__xludf.DUMMYFUNCTION("""COMPUTED_VALUE"""),3.0)</f>
        <v>3</v>
      </c>
      <c r="P347" s="16">
        <f>IFERROR(__xludf.DUMMYFUNCTION("""COMPUTED_VALUE"""),3.0)</f>
        <v>3</v>
      </c>
      <c r="Q347" s="16">
        <f>IFERROR(__xludf.DUMMYFUNCTION("""COMPUTED_VALUE"""),3.0)</f>
        <v>3</v>
      </c>
      <c r="R347" s="16">
        <f>IFERROR(__xludf.DUMMYFUNCTION("""COMPUTED_VALUE"""),3.0)</f>
        <v>3</v>
      </c>
      <c r="S347" s="16">
        <f>IFERROR(__xludf.DUMMYFUNCTION("""COMPUTED_VALUE"""),24.8)</f>
        <v>24.8</v>
      </c>
      <c r="T347" s="16">
        <f>IFERROR(__xludf.DUMMYFUNCTION("""COMPUTED_VALUE"""),15.6)</f>
        <v>15.6</v>
      </c>
      <c r="U347" s="16">
        <f>IFERROR(__xludf.DUMMYFUNCTION("""COMPUTED_VALUE"""),-2.0)</f>
        <v>-2</v>
      </c>
      <c r="V347" s="16">
        <f>IFERROR(__xludf.DUMMYFUNCTION("""COMPUTED_VALUE"""),0.0)</f>
        <v>0</v>
      </c>
      <c r="W347" s="16">
        <f>IFERROR(__xludf.DUMMYFUNCTION("""COMPUTED_VALUE"""),-4.0)</f>
        <v>-4</v>
      </c>
      <c r="X347" s="16">
        <f>IFERROR(__xludf.DUMMYFUNCTION("""COMPUTED_VALUE"""),0.0)</f>
        <v>0</v>
      </c>
      <c r="Y347" s="16">
        <f>IFERROR(__xludf.DUMMYFUNCTION("""COMPUTED_VALUE"""),24.8)</f>
        <v>24.8</v>
      </c>
      <c r="Z347" s="16">
        <f>IFERROR(__xludf.DUMMYFUNCTION("""COMPUTED_VALUE"""),15.6)</f>
        <v>15.6</v>
      </c>
      <c r="AA347" s="16">
        <f>IFERROR(__xludf.DUMMYFUNCTION("""COMPUTED_VALUE"""),0.0)</f>
        <v>0</v>
      </c>
      <c r="AB347" s="16">
        <f>IFERROR(__xludf.DUMMYFUNCTION("""COMPUTED_VALUE"""),2.0)</f>
        <v>2</v>
      </c>
      <c r="AC347" s="16">
        <f>IFERROR(__xludf.DUMMYFUNCTION("""COMPUTED_VALUE"""),0.0)</f>
        <v>0</v>
      </c>
      <c r="AD347" s="16">
        <f>IFERROR(__xludf.DUMMYFUNCTION("""COMPUTED_VALUE"""),10.0)</f>
        <v>10</v>
      </c>
      <c r="AE347" s="16">
        <f>IFERROR(__xludf.DUMMYFUNCTION("""COMPUTED_VALUE"""),38.3)</f>
        <v>38.3</v>
      </c>
      <c r="AF347" s="16">
        <f>IFERROR(__xludf.DUMMYFUNCTION("""COMPUTED_VALUE"""),26.8)</f>
        <v>26.8</v>
      </c>
      <c r="AG347" s="16">
        <f>IFERROR(__xludf.DUMMYFUNCTION("""COMPUTED_VALUE"""),-1.0)</f>
        <v>-1</v>
      </c>
      <c r="AH347" s="16">
        <f>IFERROR(__xludf.DUMMYFUNCTION("""COMPUTED_VALUE"""),0.0)</f>
        <v>0</v>
      </c>
      <c r="AI347" s="16">
        <f>IFERROR(__xludf.DUMMYFUNCTION("""COMPUTED_VALUE"""),-2.0)</f>
        <v>-2</v>
      </c>
      <c r="AJ347" s="16">
        <f>IFERROR(__xludf.DUMMYFUNCTION("""COMPUTED_VALUE"""),0.0)</f>
        <v>0</v>
      </c>
      <c r="AK347" s="16">
        <f>IFERROR(__xludf.DUMMYFUNCTION("""COMPUTED_VALUE"""),23.0)</f>
        <v>23</v>
      </c>
      <c r="AL347" s="16">
        <f>IFERROR(__xludf.DUMMYFUNCTION("""COMPUTED_VALUE"""),13.6)</f>
        <v>13.6</v>
      </c>
      <c r="AM347" s="16">
        <f>IFERROR(__xludf.DUMMYFUNCTION("""COMPUTED_VALUE"""),-2.0)</f>
        <v>-2</v>
      </c>
      <c r="AN347" s="16">
        <f>IFERROR(__xludf.DUMMYFUNCTION("""COMPUTED_VALUE"""),0.0)</f>
        <v>0</v>
      </c>
      <c r="AO347" s="16">
        <f>IFERROR(__xludf.DUMMYFUNCTION("""COMPUTED_VALUE"""),-2.0)</f>
        <v>-2</v>
      </c>
      <c r="AP347" s="16">
        <f>IFERROR(__xludf.DUMMYFUNCTION("""COMPUTED_VALUE"""),0.0)</f>
        <v>0</v>
      </c>
      <c r="AQ347" s="16">
        <f>IFERROR(__xludf.DUMMYFUNCTION("""COMPUTED_VALUE"""),31.099999999999998)</f>
        <v>31.1</v>
      </c>
      <c r="AR347" s="16">
        <f>IFERROR(__xludf.DUMMYFUNCTION("""COMPUTED_VALUE"""),18.8)</f>
        <v>18.8</v>
      </c>
      <c r="AS347" s="16">
        <f>IFERROR(__xludf.DUMMYFUNCTION("""COMPUTED_VALUE"""),-1.0)</f>
        <v>-1</v>
      </c>
      <c r="AT347" s="16">
        <f>IFERROR(__xludf.DUMMYFUNCTION("""COMPUTED_VALUE"""),0.0)</f>
        <v>0</v>
      </c>
      <c r="AU347" s="16">
        <f>IFERROR(__xludf.DUMMYFUNCTION("""COMPUTED_VALUE"""),-2.0)</f>
        <v>-2</v>
      </c>
      <c r="AV347" s="16">
        <f>IFERROR(__xludf.DUMMYFUNCTION("""COMPUTED_VALUE"""),0.0)</f>
        <v>0</v>
      </c>
      <c r="AW347" s="16">
        <f>IFERROR(__xludf.DUMMYFUNCTION("""COMPUTED_VALUE"""),1.8)</f>
        <v>1.8</v>
      </c>
      <c r="AX347" s="16">
        <f>IFERROR(__xludf.DUMMYFUNCTION("""COMPUTED_VALUE"""),2.0)</f>
        <v>2</v>
      </c>
      <c r="AY347" s="16">
        <f>IFERROR(__xludf.DUMMYFUNCTION("""COMPUTED_VALUE"""),0.0)</f>
        <v>0</v>
      </c>
      <c r="AZ347" s="16">
        <f>IFERROR(__xludf.DUMMYFUNCTION("""COMPUTED_VALUE"""),0.0)</f>
        <v>0</v>
      </c>
      <c r="BA347" s="16">
        <f>IFERROR(__xludf.DUMMYFUNCTION("""COMPUTED_VALUE"""),0.0)</f>
        <v>0</v>
      </c>
      <c r="BB347" s="16">
        <f>IFERROR(__xludf.DUMMYFUNCTION("""COMPUTED_VALUE"""),0.0)</f>
        <v>0</v>
      </c>
      <c r="BC347" s="16">
        <f>IFERROR(__xludf.DUMMYFUNCTION("""COMPUTED_VALUE"""),3.0)</f>
        <v>3</v>
      </c>
      <c r="BD347" s="16">
        <f>IFERROR(__xludf.DUMMYFUNCTION("""COMPUTED_VALUE"""),4.0)</f>
        <v>4</v>
      </c>
      <c r="BE347" s="16">
        <f>IFERROR(__xludf.DUMMYFUNCTION("""COMPUTED_VALUE"""),3.0)</f>
        <v>3</v>
      </c>
      <c r="BF347" s="16">
        <f>IFERROR(__xludf.DUMMYFUNCTION("""COMPUTED_VALUE"""),4.0)</f>
        <v>4</v>
      </c>
      <c r="BG347" s="16">
        <f>IFERROR(__xludf.DUMMYFUNCTION("""COMPUTED_VALUE"""),0.0)</f>
        <v>0</v>
      </c>
      <c r="BH347" s="16">
        <f>IFERROR(__xludf.DUMMYFUNCTION("""COMPUTED_VALUE"""),-1.0)</f>
        <v>-1</v>
      </c>
      <c r="BI347" s="16">
        <f>IFERROR(__xludf.DUMMYFUNCTION("""COMPUTED_VALUE"""),0.0)</f>
        <v>0</v>
      </c>
      <c r="BJ347" s="16">
        <f>IFERROR(__xludf.DUMMYFUNCTION("""COMPUTED_VALUE"""),-2.0)</f>
        <v>-2</v>
      </c>
      <c r="BK347" s="16">
        <f>IFERROR(__xludf.DUMMYFUNCTION("""COMPUTED_VALUE"""),5.0)</f>
        <v>5</v>
      </c>
      <c r="BL347" s="16">
        <f>IFERROR(__xludf.DUMMYFUNCTION("""COMPUTED_VALUE"""),5.0)</f>
        <v>5</v>
      </c>
      <c r="BM347" s="16">
        <f>IFERROR(__xludf.DUMMYFUNCTION("""COMPUTED_VALUE"""),0.0)</f>
        <v>0</v>
      </c>
      <c r="BN347" s="16">
        <f>IFERROR(__xludf.DUMMYFUNCTION("""COMPUTED_VALUE"""),0.0)</f>
        <v>0</v>
      </c>
      <c r="BO347" s="16">
        <f>IFERROR(__xludf.DUMMYFUNCTION("""COMPUTED_VALUE"""),0.0)</f>
        <v>0</v>
      </c>
      <c r="BP347" s="16">
        <f>IFERROR(__xludf.DUMMYFUNCTION("""COMPUTED_VALUE"""),0.0)</f>
        <v>0</v>
      </c>
      <c r="BQ347" s="16">
        <f>IFERROR(__xludf.DUMMYFUNCTION("""COMPUTED_VALUE"""),1.0)</f>
        <v>1</v>
      </c>
      <c r="BR347" s="16">
        <f>IFERROR(__xludf.DUMMYFUNCTION("""COMPUTED_VALUE"""),2.0)</f>
        <v>2</v>
      </c>
      <c r="BS347" s="16">
        <f>IFERROR(__xludf.DUMMYFUNCTION("""COMPUTED_VALUE"""),-2.0)</f>
        <v>-2</v>
      </c>
      <c r="BT347" s="16">
        <f>IFERROR(__xludf.DUMMYFUNCTION("""COMPUTED_VALUE"""),-2.0)</f>
        <v>-2</v>
      </c>
      <c r="BU347" s="16">
        <f>IFERROR(__xludf.DUMMYFUNCTION("""COMPUTED_VALUE"""),-4.0)</f>
        <v>-4</v>
      </c>
      <c r="BV347" s="16">
        <f>IFERROR(__xludf.DUMMYFUNCTION("""COMPUTED_VALUE"""),-4.0)</f>
        <v>-4</v>
      </c>
      <c r="BW347" s="16">
        <f>IFERROR(__xludf.DUMMYFUNCTION("""COMPUTED_VALUE"""),0.0)</f>
        <v>0</v>
      </c>
      <c r="BX347" s="16">
        <f>IFERROR(__xludf.DUMMYFUNCTION("""COMPUTED_VALUE"""),0.0)</f>
        <v>0</v>
      </c>
      <c r="BY347" s="16" t="str">
        <f>IFERROR(__xludf.DUMMYFUNCTION("""COMPUTED_VALUE"""),"S(5)")</f>
        <v>S(5)</v>
      </c>
      <c r="BZ347" s="16" t="str">
        <f>IFERROR(__xludf.DUMMYFUNCTION("""COMPUTED_VALUE"""),"S(5)")</f>
        <v>S(5)</v>
      </c>
      <c r="CA347" s="16" t="str">
        <f>IFERROR(__xludf.DUMMYFUNCTION("""COMPUTED_VALUE"""),"S(5)")</f>
        <v>S(5)</v>
      </c>
      <c r="CB347" s="16"/>
      <c r="CC347" s="16"/>
      <c r="CD347" s="16">
        <f>IFERROR(__xludf.DUMMYFUNCTION("""COMPUTED_VALUE"""),5.0)</f>
        <v>5</v>
      </c>
      <c r="CE347" s="16"/>
      <c r="CF347" s="16"/>
      <c r="CG347" s="16" t="str">
        <f>IFERROR(__xludf.DUMMYFUNCTION("""COMPUTED_VALUE"""),"2-0")</f>
        <v>2-0</v>
      </c>
      <c r="CH347" s="16">
        <f>IFERROR(__xludf.DUMMYFUNCTION("""COMPUTED_VALUE"""),2.0)</f>
        <v>2</v>
      </c>
      <c r="CI347" s="16">
        <f>IFERROR(__xludf.DUMMYFUNCTION("""COMPUTED_VALUE"""),0.0)</f>
        <v>0</v>
      </c>
      <c r="CJ347" s="16">
        <f>IFERROR(__xludf.DUMMYFUNCTION("""COMPUTED_VALUE"""),0.0)</f>
        <v>0</v>
      </c>
      <c r="CK347" s="16">
        <f>IFERROR(__xludf.DUMMYFUNCTION("""COMPUTED_VALUE"""),5.0)</f>
        <v>5</v>
      </c>
      <c r="CL347" s="16" t="str">
        <f>IFERROR(__xludf.DUMMYFUNCTION("""COMPUTED_VALUE"""),"1WR-C")</f>
        <v>1WR-C</v>
      </c>
      <c r="CM347" s="16" t="str">
        <f>IFERROR(__xludf.DUMMYFUNCTION("""COMPUTED_VALUE"""),"E")</f>
        <v>E</v>
      </c>
      <c r="CN347" s="16">
        <f>IFERROR(__xludf.DUMMYFUNCTION("""COMPUTED_VALUE"""),10.0)</f>
        <v>10</v>
      </c>
      <c r="CO347" s="16" t="str">
        <f>IFERROR(__xludf.DUMMYFUNCTION("""COMPUTED_VALUE"""),"C")</f>
        <v>C</v>
      </c>
      <c r="CP347" s="16" t="str">
        <f>IFERROR(__xludf.DUMMYFUNCTION("""COMPUTED_VALUE"""),"6p20")</f>
        <v>6p20</v>
      </c>
      <c r="CQ347" s="16">
        <f>IFERROR(__xludf.DUMMYFUNCTION("""COMPUTED_VALUE"""),-14.0)</f>
        <v>-14</v>
      </c>
      <c r="CR347" s="16">
        <f>IFERROR(__xludf.DUMMYFUNCTION("""COMPUTED_VALUE"""),4.0)</f>
        <v>4</v>
      </c>
      <c r="CS347" s="16">
        <f>IFERROR(__xludf.DUMMYFUNCTION("""COMPUTED_VALUE"""),-10.0)</f>
        <v>-10</v>
      </c>
      <c r="CT347" s="16">
        <f>IFERROR(__xludf.DUMMYFUNCTION("""COMPUTED_VALUE"""),-14.0)</f>
        <v>-14</v>
      </c>
      <c r="CU347" s="16">
        <f>IFERROR(__xludf.DUMMYFUNCTION("""COMPUTED_VALUE"""),4.0)</f>
        <v>4</v>
      </c>
      <c r="CV347" s="179">
        <f>IFERROR(__xludf.DUMMYFUNCTION("""COMPUTED_VALUE"""),-6.0)</f>
        <v>-6</v>
      </c>
      <c r="CW347" s="179">
        <f>IFERROR(__xludf.DUMMYFUNCTION("""COMPUTED_VALUE"""),-1.0)</f>
        <v>-1</v>
      </c>
      <c r="CX347" s="179">
        <f>IFERROR(__xludf.DUMMYFUNCTION("""COMPUTED_VALUE"""),3.0)</f>
        <v>3</v>
      </c>
      <c r="CY347" s="16" t="str">
        <f>IFERROR(__xludf.DUMMYFUNCTION("""COMPUTED_VALUE"""),"SP")</f>
        <v>SP</v>
      </c>
      <c r="CZ347" s="16"/>
      <c r="DA347" s="16"/>
      <c r="DB347" s="16"/>
      <c r="DC347" s="16"/>
      <c r="DD347" s="16"/>
      <c r="DE347" s="16"/>
      <c r="DF347" s="16"/>
      <c r="DG347" s="16"/>
      <c r="DH347" s="16"/>
      <c r="DI347" s="16"/>
      <c r="DJ347" s="16"/>
      <c r="DK347" s="16"/>
    </row>
    <row r="348">
      <c r="A348" s="16">
        <f>IFERROR(__xludf.DUMMYFUNCTION("""COMPUTED_VALUE"""),13475.0)</f>
        <v>13475</v>
      </c>
      <c r="B348" s="16" t="str">
        <f>IFERROR(__xludf.DUMMYFUNCTION("""COMPUTED_VALUE"""),"Wandy Peralta")</f>
        <v>Wandy Peralta</v>
      </c>
      <c r="C348" s="153">
        <f>IFERROR(__xludf.DUMMYFUNCTION("""COMPUTED_VALUE"""),0.5)</f>
        <v>0.5</v>
      </c>
      <c r="D348" s="16"/>
      <c r="E348" s="16" t="str">
        <f>IFERROR(__xludf.DUMMYFUNCTION("""COMPUTED_VALUE"""),"L")</f>
        <v>L</v>
      </c>
      <c r="F348" s="16">
        <f>IFERROR(__xludf.DUMMYFUNCTION("""COMPUTED_VALUE"""),38.0)</f>
        <v>38</v>
      </c>
      <c r="G348" s="16">
        <f>IFERROR(__xludf.DUMMYFUNCTION("""COMPUTED_VALUE"""),5.0)</f>
        <v>5</v>
      </c>
      <c r="H348" s="16">
        <f>IFERROR(__xludf.DUMMYFUNCTION("""COMPUTED_VALUE"""),5.0)</f>
        <v>5</v>
      </c>
      <c r="I348" s="16">
        <f>IFERROR(__xludf.DUMMYFUNCTION("""COMPUTED_VALUE"""),-3.0)</f>
        <v>-3</v>
      </c>
      <c r="J348" s="16">
        <f>IFERROR(__xludf.DUMMYFUNCTION("""COMPUTED_VALUE"""),-3.0)</f>
        <v>-3</v>
      </c>
      <c r="K348" s="16">
        <f>IFERROR(__xludf.DUMMYFUNCTION("""COMPUTED_VALUE"""),-9.0)</f>
        <v>-9</v>
      </c>
      <c r="L348" s="16">
        <f>IFERROR(__xludf.DUMMYFUNCTION("""COMPUTED_VALUE"""),-9.0)</f>
        <v>-9</v>
      </c>
      <c r="M348" s="16">
        <f>IFERROR(__xludf.DUMMYFUNCTION("""COMPUTED_VALUE"""),8.0)</f>
        <v>8</v>
      </c>
      <c r="N348" s="16">
        <f>IFERROR(__xludf.DUMMYFUNCTION("""COMPUTED_VALUE"""),10.0)</f>
        <v>10</v>
      </c>
      <c r="O348" s="16">
        <f>IFERROR(__xludf.DUMMYFUNCTION("""COMPUTED_VALUE"""),0.0)</f>
        <v>0</v>
      </c>
      <c r="P348" s="16">
        <f>IFERROR(__xludf.DUMMYFUNCTION("""COMPUTED_VALUE"""),-1.0)</f>
        <v>-1</v>
      </c>
      <c r="Q348" s="16">
        <f>IFERROR(__xludf.DUMMYFUNCTION("""COMPUTED_VALUE"""),0.0)</f>
        <v>0</v>
      </c>
      <c r="R348" s="16">
        <f>IFERROR(__xludf.DUMMYFUNCTION("""COMPUTED_VALUE"""),-1.0)</f>
        <v>-1</v>
      </c>
      <c r="S348" s="16">
        <f>IFERROR(__xludf.DUMMYFUNCTION("""COMPUTED_VALUE"""),19.3)</f>
        <v>19.3</v>
      </c>
      <c r="T348" s="16">
        <f>IFERROR(__xludf.DUMMYFUNCTION("""COMPUTED_VALUE"""),8.9)</f>
        <v>8.9</v>
      </c>
      <c r="U348" s="16">
        <f>IFERROR(__xludf.DUMMYFUNCTION("""COMPUTED_VALUE"""),-1.0)</f>
        <v>-1</v>
      </c>
      <c r="V348" s="16">
        <f>IFERROR(__xludf.DUMMYFUNCTION("""COMPUTED_VALUE"""),1.0)</f>
        <v>1</v>
      </c>
      <c r="W348" s="16">
        <f>IFERROR(__xludf.DUMMYFUNCTION("""COMPUTED_VALUE"""),-2.0)</f>
        <v>-2</v>
      </c>
      <c r="X348" s="16">
        <f>IFERROR(__xludf.DUMMYFUNCTION("""COMPUTED_VALUE"""),2.0)</f>
        <v>2</v>
      </c>
      <c r="Y348" s="16">
        <f>IFERROR(__xludf.DUMMYFUNCTION("""COMPUTED_VALUE"""),27.3)</f>
        <v>27.3</v>
      </c>
      <c r="Z348" s="16">
        <f>IFERROR(__xludf.DUMMYFUNCTION("""COMPUTED_VALUE"""),18.8)</f>
        <v>18.8</v>
      </c>
      <c r="AA348" s="16">
        <f>IFERROR(__xludf.DUMMYFUNCTION("""COMPUTED_VALUE"""),0.0)</f>
        <v>0</v>
      </c>
      <c r="AB348" s="16">
        <f>IFERROR(__xludf.DUMMYFUNCTION("""COMPUTED_VALUE"""),1.0)</f>
        <v>1</v>
      </c>
      <c r="AC348" s="16">
        <f>IFERROR(__xludf.DUMMYFUNCTION("""COMPUTED_VALUE"""),0.0)</f>
        <v>0</v>
      </c>
      <c r="AD348" s="16">
        <f>IFERROR(__xludf.DUMMYFUNCTION("""COMPUTED_VALUE"""),5.0)</f>
        <v>5</v>
      </c>
      <c r="AE348" s="16">
        <f>IFERROR(__xludf.DUMMYFUNCTION("""COMPUTED_VALUE"""),27.6)</f>
        <v>27.6</v>
      </c>
      <c r="AF348" s="16">
        <f>IFERROR(__xludf.DUMMYFUNCTION("""COMPUTED_VALUE"""),17.8)</f>
        <v>17.8</v>
      </c>
      <c r="AG348" s="16">
        <f>IFERROR(__xludf.DUMMYFUNCTION("""COMPUTED_VALUE"""),0.0)</f>
        <v>0</v>
      </c>
      <c r="AH348" s="16">
        <f>IFERROR(__xludf.DUMMYFUNCTION("""COMPUTED_VALUE"""),1.0)</f>
        <v>1</v>
      </c>
      <c r="AI348" s="16">
        <f>IFERROR(__xludf.DUMMYFUNCTION("""COMPUTED_VALUE"""),0.0)</f>
        <v>0</v>
      </c>
      <c r="AJ348" s="16">
        <f>IFERROR(__xludf.DUMMYFUNCTION("""COMPUTED_VALUE"""),2.0)</f>
        <v>2</v>
      </c>
      <c r="AK348" s="16">
        <f>IFERROR(__xludf.DUMMYFUNCTION("""COMPUTED_VALUE"""),16.5)</f>
        <v>16.5</v>
      </c>
      <c r="AL348" s="16">
        <f>IFERROR(__xludf.DUMMYFUNCTION("""COMPUTED_VALUE"""),5.9)</f>
        <v>5.9</v>
      </c>
      <c r="AM348" s="16">
        <f>IFERROR(__xludf.DUMMYFUNCTION("""COMPUTED_VALUE"""),-1.0)</f>
        <v>-1</v>
      </c>
      <c r="AN348" s="16">
        <f>IFERROR(__xludf.DUMMYFUNCTION("""COMPUTED_VALUE"""),1.0)</f>
        <v>1</v>
      </c>
      <c r="AO348" s="16">
        <f>IFERROR(__xludf.DUMMYFUNCTION("""COMPUTED_VALUE"""),-1.0)</f>
        <v>-1</v>
      </c>
      <c r="AP348" s="16">
        <f>IFERROR(__xludf.DUMMYFUNCTION("""COMPUTED_VALUE"""),1.0)</f>
        <v>1</v>
      </c>
      <c r="AQ348" s="16">
        <f>IFERROR(__xludf.DUMMYFUNCTION("""COMPUTED_VALUE"""),16.400000000000002)</f>
        <v>16.4</v>
      </c>
      <c r="AR348" s="16">
        <f>IFERROR(__xludf.DUMMYFUNCTION("""COMPUTED_VALUE"""),5.800000000000001)</f>
        <v>5.8</v>
      </c>
      <c r="AS348" s="16">
        <f>IFERROR(__xludf.DUMMYFUNCTION("""COMPUTED_VALUE"""),0.0)</f>
        <v>0</v>
      </c>
      <c r="AT348" s="16">
        <f>IFERROR(__xludf.DUMMYFUNCTION("""COMPUTED_VALUE"""),2.0)</f>
        <v>2</v>
      </c>
      <c r="AU348" s="16">
        <f>IFERROR(__xludf.DUMMYFUNCTION("""COMPUTED_VALUE"""),0.0)</f>
        <v>0</v>
      </c>
      <c r="AV348" s="16">
        <f>IFERROR(__xludf.DUMMYFUNCTION("""COMPUTED_VALUE"""),4.0)</f>
        <v>4</v>
      </c>
      <c r="AW348" s="16">
        <f>IFERROR(__xludf.DUMMYFUNCTION("""COMPUTED_VALUE"""),2.8)</f>
        <v>2.8</v>
      </c>
      <c r="AX348" s="16">
        <f>IFERROR(__xludf.DUMMYFUNCTION("""COMPUTED_VALUE"""),3.0)</f>
        <v>3</v>
      </c>
      <c r="AY348" s="16">
        <f>IFERROR(__xludf.DUMMYFUNCTION("""COMPUTED_VALUE"""),-1.0)</f>
        <v>-1</v>
      </c>
      <c r="AZ348" s="16">
        <f>IFERROR(__xludf.DUMMYFUNCTION("""COMPUTED_VALUE"""),-1.0)</f>
        <v>-1</v>
      </c>
      <c r="BA348" s="16">
        <f>IFERROR(__xludf.DUMMYFUNCTION("""COMPUTED_VALUE"""),-5.0)</f>
        <v>-5</v>
      </c>
      <c r="BB348" s="16">
        <f>IFERROR(__xludf.DUMMYFUNCTION("""COMPUTED_VALUE"""),-5.0)</f>
        <v>-5</v>
      </c>
      <c r="BC348" s="16">
        <f>IFERROR(__xludf.DUMMYFUNCTION("""COMPUTED_VALUE"""),5.0)</f>
        <v>5</v>
      </c>
      <c r="BD348" s="16">
        <f>IFERROR(__xludf.DUMMYFUNCTION("""COMPUTED_VALUE"""),4.0)</f>
        <v>4</v>
      </c>
      <c r="BE348" s="16">
        <f>IFERROR(__xludf.DUMMYFUNCTION("""COMPUTED_VALUE"""),5.0)</f>
        <v>5</v>
      </c>
      <c r="BF348" s="16">
        <f>IFERROR(__xludf.DUMMYFUNCTION("""COMPUTED_VALUE"""),4.0)</f>
        <v>4</v>
      </c>
      <c r="BG348" s="16">
        <f>IFERROR(__xludf.DUMMYFUNCTION("""COMPUTED_VALUE"""),-2.0)</f>
        <v>-2</v>
      </c>
      <c r="BH348" s="16">
        <f>IFERROR(__xludf.DUMMYFUNCTION("""COMPUTED_VALUE"""),-1.0)</f>
        <v>-1</v>
      </c>
      <c r="BI348" s="16">
        <f>IFERROR(__xludf.DUMMYFUNCTION("""COMPUTED_VALUE"""),-4.0)</f>
        <v>-4</v>
      </c>
      <c r="BJ348" s="16">
        <f>IFERROR(__xludf.DUMMYFUNCTION("""COMPUTED_VALUE"""),-2.0)</f>
        <v>-2</v>
      </c>
      <c r="BK348" s="16">
        <f>IFERROR(__xludf.DUMMYFUNCTION("""COMPUTED_VALUE"""),5.0)</f>
        <v>5</v>
      </c>
      <c r="BL348" s="16">
        <f>IFERROR(__xludf.DUMMYFUNCTION("""COMPUTED_VALUE"""),5.0)</f>
        <v>5</v>
      </c>
      <c r="BM348" s="16">
        <f>IFERROR(__xludf.DUMMYFUNCTION("""COMPUTED_VALUE"""),0.0)</f>
        <v>0</v>
      </c>
      <c r="BN348" s="16">
        <f>IFERROR(__xludf.DUMMYFUNCTION("""COMPUTED_VALUE"""),0.0)</f>
        <v>0</v>
      </c>
      <c r="BO348" s="16">
        <f>IFERROR(__xludf.DUMMYFUNCTION("""COMPUTED_VALUE"""),0.0)</f>
        <v>0</v>
      </c>
      <c r="BP348" s="16">
        <f>IFERROR(__xludf.DUMMYFUNCTION("""COMPUTED_VALUE"""),0.0)</f>
        <v>0</v>
      </c>
      <c r="BQ348" s="16">
        <f>IFERROR(__xludf.DUMMYFUNCTION("""COMPUTED_VALUE"""),12.0)</f>
        <v>12</v>
      </c>
      <c r="BR348" s="16">
        <f>IFERROR(__xludf.DUMMYFUNCTION("""COMPUTED_VALUE"""),12.0)</f>
        <v>12</v>
      </c>
      <c r="BS348" s="16">
        <f>IFERROR(__xludf.DUMMYFUNCTION("""COMPUTED_VALUE"""),3.0)</f>
        <v>3</v>
      </c>
      <c r="BT348" s="16">
        <f>IFERROR(__xludf.DUMMYFUNCTION("""COMPUTED_VALUE"""),3.0)</f>
        <v>3</v>
      </c>
      <c r="BU348" s="16">
        <f>IFERROR(__xludf.DUMMYFUNCTION("""COMPUTED_VALUE"""),6.0)</f>
        <v>6</v>
      </c>
      <c r="BV348" s="16">
        <f>IFERROR(__xludf.DUMMYFUNCTION("""COMPUTED_VALUE"""),6.0)</f>
        <v>6</v>
      </c>
      <c r="BW348" s="16">
        <f>IFERROR(__xludf.DUMMYFUNCTION("""COMPUTED_VALUE"""),-3.0)</f>
        <v>-3</v>
      </c>
      <c r="BX348" s="16">
        <f>IFERROR(__xludf.DUMMYFUNCTION("""COMPUTED_VALUE"""),-3.0)</f>
        <v>-3</v>
      </c>
      <c r="BY348" s="16" t="str">
        <f>IFERROR(__xludf.DUMMYFUNCTION("""COMPUTED_VALUE"""),"R(1)")</f>
        <v>R(1)</v>
      </c>
      <c r="BZ348" s="16" t="str">
        <f>IFERROR(__xludf.DUMMYFUNCTION("""COMPUTED_VALUE"""),"R(1)")</f>
        <v>R(1)</v>
      </c>
      <c r="CA348" s="16" t="str">
        <f>IFERROR(__xludf.DUMMYFUNCTION("""COMPUTED_VALUE"""),"R(1)")</f>
        <v>R(1)</v>
      </c>
      <c r="CB348" s="16"/>
      <c r="CC348" s="16"/>
      <c r="CD348" s="16"/>
      <c r="CE348" s="16">
        <f>IFERROR(__xludf.DUMMYFUNCTION("""COMPUTED_VALUE"""),1.0)</f>
        <v>1</v>
      </c>
      <c r="CF348" s="16"/>
      <c r="CG348" s="16" t="str">
        <f>IFERROR(__xludf.DUMMYFUNCTION("""COMPUTED_VALUE"""),"3-0")</f>
        <v>3-0</v>
      </c>
      <c r="CH348" s="16">
        <f>IFERROR(__xludf.DUMMYFUNCTION("""COMPUTED_VALUE"""),3.0)</f>
        <v>3</v>
      </c>
      <c r="CI348" s="16">
        <f>IFERROR(__xludf.DUMMYFUNCTION("""COMPUTED_VALUE"""),0.0)</f>
        <v>0</v>
      </c>
      <c r="CJ348" s="16">
        <f>IFERROR(__xludf.DUMMYFUNCTION("""COMPUTED_VALUE"""),0.0)</f>
        <v>0</v>
      </c>
      <c r="CK348" s="16">
        <f>IFERROR(__xludf.DUMMYFUNCTION("""COMPUTED_VALUE"""),11.0)</f>
        <v>11</v>
      </c>
      <c r="CL348" s="16" t="str">
        <f>IFERROR(__xludf.DUMMYFUNCTION("""COMPUTED_VALUE"""),"1WL-C")</f>
        <v>1WL-C</v>
      </c>
      <c r="CM348" s="16" t="str">
        <f>IFERROR(__xludf.DUMMYFUNCTION("""COMPUTED_VALUE"""),"E")</f>
        <v>E</v>
      </c>
      <c r="CN348" s="16">
        <f>IFERROR(__xludf.DUMMYFUNCTION("""COMPUTED_VALUE"""),10.0)</f>
        <v>10</v>
      </c>
      <c r="CO348" s="16" t="str">
        <f>IFERROR(__xludf.DUMMYFUNCTION("""COMPUTED_VALUE"""),"C")</f>
        <v>C</v>
      </c>
      <c r="CP348" s="16" t="str">
        <f>IFERROR(__xludf.DUMMYFUNCTION("""COMPUTED_VALUE"""),"4p30")</f>
        <v>4p30</v>
      </c>
      <c r="CQ348" s="16">
        <f>IFERROR(__xludf.DUMMYFUNCTION("""COMPUTED_VALUE"""),-15.0)</f>
        <v>-15</v>
      </c>
      <c r="CR348" s="16">
        <f>IFERROR(__xludf.DUMMYFUNCTION("""COMPUTED_VALUE"""),3.0)</f>
        <v>3</v>
      </c>
      <c r="CS348" s="16">
        <f>IFERROR(__xludf.DUMMYFUNCTION("""COMPUTED_VALUE"""),-12.0)</f>
        <v>-12</v>
      </c>
      <c r="CT348" s="16">
        <f>IFERROR(__xludf.DUMMYFUNCTION("""COMPUTED_VALUE"""),-15.0)</f>
        <v>-15</v>
      </c>
      <c r="CU348" s="16">
        <f>IFERROR(__xludf.DUMMYFUNCTION("""COMPUTED_VALUE"""),3.0)</f>
        <v>3</v>
      </c>
      <c r="CV348" s="179">
        <f>IFERROR(__xludf.DUMMYFUNCTION("""COMPUTED_VALUE"""),-6.0)</f>
        <v>-6</v>
      </c>
      <c r="CW348" s="179">
        <f>IFERROR(__xludf.DUMMYFUNCTION("""COMPUTED_VALUE"""),1.0)</f>
        <v>1</v>
      </c>
      <c r="CX348" s="179">
        <f>IFERROR(__xludf.DUMMYFUNCTION("""COMPUTED_VALUE"""),2.0)</f>
        <v>2</v>
      </c>
      <c r="CY348" s="16" t="str">
        <f>IFERROR(__xludf.DUMMYFUNCTION("""COMPUTED_VALUE"""),"RP")</f>
        <v>RP</v>
      </c>
      <c r="CZ348" s="16"/>
      <c r="DA348" s="16"/>
      <c r="DB348" s="16"/>
      <c r="DC348" s="16"/>
      <c r="DD348" s="16"/>
      <c r="DE348" s="16"/>
      <c r="DF348" s="16"/>
      <c r="DG348" s="16"/>
      <c r="DH348" s="16"/>
      <c r="DI348" s="16"/>
      <c r="DJ348" s="16"/>
      <c r="DK348" s="16"/>
    </row>
    <row r="349">
      <c r="A349" s="16">
        <f>IFERROR(__xludf.DUMMYFUNCTION("""COMPUTED_VALUE"""),12562.0)</f>
        <v>12562</v>
      </c>
      <c r="B349" s="16" t="str">
        <f>IFERROR(__xludf.DUMMYFUNCTION("""COMPUTED_VALUE"""),"Austin Gomber")</f>
        <v>Austin Gomber</v>
      </c>
      <c r="C349" s="153">
        <f>IFERROR(__xludf.DUMMYFUNCTION("""COMPUTED_VALUE"""),0.69)</f>
        <v>0.69</v>
      </c>
      <c r="D349" s="16"/>
      <c r="E349" s="16" t="str">
        <f>IFERROR(__xludf.DUMMYFUNCTION("""COMPUTED_VALUE"""),"L")</f>
        <v>L</v>
      </c>
      <c r="F349" s="16">
        <f>IFERROR(__xludf.DUMMYFUNCTION("""COMPUTED_VALUE"""),165.0)</f>
        <v>165</v>
      </c>
      <c r="G349" s="16">
        <f>IFERROR(__xludf.DUMMYFUNCTION("""COMPUTED_VALUE"""),15.0)</f>
        <v>15</v>
      </c>
      <c r="H349" s="16">
        <f>IFERROR(__xludf.DUMMYFUNCTION("""COMPUTED_VALUE"""),11.0)</f>
        <v>11</v>
      </c>
      <c r="I349" s="16">
        <f>IFERROR(__xludf.DUMMYFUNCTION("""COMPUTED_VALUE"""),-2.0)</f>
        <v>-2</v>
      </c>
      <c r="J349" s="16">
        <f>IFERROR(__xludf.DUMMYFUNCTION("""COMPUTED_VALUE"""),-2.0)</f>
        <v>-2</v>
      </c>
      <c r="K349" s="16">
        <f>IFERROR(__xludf.DUMMYFUNCTION("""COMPUTED_VALUE"""),-6.0)</f>
        <v>-6</v>
      </c>
      <c r="L349" s="16">
        <f>IFERROR(__xludf.DUMMYFUNCTION("""COMPUTED_VALUE"""),-6.0)</f>
        <v>-6</v>
      </c>
      <c r="M349" s="16">
        <f>IFERROR(__xludf.DUMMYFUNCTION("""COMPUTED_VALUE"""),0.0)</f>
        <v>0</v>
      </c>
      <c r="N349" s="16">
        <f>IFERROR(__xludf.DUMMYFUNCTION("""COMPUTED_VALUE"""),4.0)</f>
        <v>4</v>
      </c>
      <c r="O349" s="16">
        <f>IFERROR(__xludf.DUMMYFUNCTION("""COMPUTED_VALUE"""),3.0)</f>
        <v>3</v>
      </c>
      <c r="P349" s="16">
        <f>IFERROR(__xludf.DUMMYFUNCTION("""COMPUTED_VALUE"""),2.0)</f>
        <v>2</v>
      </c>
      <c r="Q349" s="16">
        <f>IFERROR(__xludf.DUMMYFUNCTION("""COMPUTED_VALUE"""),3.0)</f>
        <v>3</v>
      </c>
      <c r="R349" s="16">
        <f>IFERROR(__xludf.DUMMYFUNCTION("""COMPUTED_VALUE"""),2.0)</f>
        <v>2</v>
      </c>
      <c r="S349" s="16">
        <f>IFERROR(__xludf.DUMMYFUNCTION("""COMPUTED_VALUE"""),13.2)</f>
        <v>13.2</v>
      </c>
      <c r="T349" s="16">
        <f>IFERROR(__xludf.DUMMYFUNCTION("""COMPUTED_VALUE"""),23.3)</f>
        <v>23.3</v>
      </c>
      <c r="U349" s="16">
        <f>IFERROR(__xludf.DUMMYFUNCTION("""COMPUTED_VALUE"""),0.0)</f>
        <v>0</v>
      </c>
      <c r="V349" s="16">
        <f>IFERROR(__xludf.DUMMYFUNCTION("""COMPUTED_VALUE"""),-1.0)</f>
        <v>-1</v>
      </c>
      <c r="W349" s="16">
        <f>IFERROR(__xludf.DUMMYFUNCTION("""COMPUTED_VALUE"""),0.0)</f>
        <v>0</v>
      </c>
      <c r="X349" s="16">
        <f>IFERROR(__xludf.DUMMYFUNCTION("""COMPUTED_VALUE"""),-2.0)</f>
        <v>-2</v>
      </c>
      <c r="Y349" s="16">
        <f>IFERROR(__xludf.DUMMYFUNCTION("""COMPUTED_VALUE"""),13.2)</f>
        <v>13.2</v>
      </c>
      <c r="Z349" s="16">
        <f>IFERROR(__xludf.DUMMYFUNCTION("""COMPUTED_VALUE"""),27.3)</f>
        <v>27.3</v>
      </c>
      <c r="AA349" s="16">
        <f>IFERROR(__xludf.DUMMYFUNCTION("""COMPUTED_VALUE"""),2.0)</f>
        <v>2</v>
      </c>
      <c r="AB349" s="16">
        <f>IFERROR(__xludf.DUMMYFUNCTION("""COMPUTED_VALUE"""),0.0)</f>
        <v>0</v>
      </c>
      <c r="AC349" s="16">
        <f>IFERROR(__xludf.DUMMYFUNCTION("""COMPUTED_VALUE"""),10.0)</f>
        <v>10</v>
      </c>
      <c r="AD349" s="16">
        <f>IFERROR(__xludf.DUMMYFUNCTION("""COMPUTED_VALUE"""),0.0)</f>
        <v>0</v>
      </c>
      <c r="AE349" s="16">
        <f>IFERROR(__xludf.DUMMYFUNCTION("""COMPUTED_VALUE"""),37.9)</f>
        <v>37.9</v>
      </c>
      <c r="AF349" s="16">
        <f>IFERROR(__xludf.DUMMYFUNCTION("""COMPUTED_VALUE"""),41.4)</f>
        <v>41.4</v>
      </c>
      <c r="AG349" s="16">
        <f>IFERROR(__xludf.DUMMYFUNCTION("""COMPUTED_VALUE"""),-1.0)</f>
        <v>-1</v>
      </c>
      <c r="AH349" s="16">
        <f>IFERROR(__xludf.DUMMYFUNCTION("""COMPUTED_VALUE"""),-1.0)</f>
        <v>-1</v>
      </c>
      <c r="AI349" s="16">
        <f>IFERROR(__xludf.DUMMYFUNCTION("""COMPUTED_VALUE"""),-2.0)</f>
        <v>-2</v>
      </c>
      <c r="AJ349" s="16">
        <f>IFERROR(__xludf.DUMMYFUNCTION("""COMPUTED_VALUE"""),-2.0)</f>
        <v>-2</v>
      </c>
      <c r="AK349" s="16">
        <f>IFERROR(__xludf.DUMMYFUNCTION("""COMPUTED_VALUE"""),7.199999999999999)</f>
        <v>7.2</v>
      </c>
      <c r="AL349" s="16">
        <f>IFERROR(__xludf.DUMMYFUNCTION("""COMPUTED_VALUE"""),20.5)</f>
        <v>20.5</v>
      </c>
      <c r="AM349" s="16">
        <f>IFERROR(__xludf.DUMMYFUNCTION("""COMPUTED_VALUE"""),1.0)</f>
        <v>1</v>
      </c>
      <c r="AN349" s="16">
        <f>IFERROR(__xludf.DUMMYFUNCTION("""COMPUTED_VALUE"""),-1.0)</f>
        <v>-1</v>
      </c>
      <c r="AO349" s="16">
        <f>IFERROR(__xludf.DUMMYFUNCTION("""COMPUTED_VALUE"""),1.0)</f>
        <v>1</v>
      </c>
      <c r="AP349" s="16">
        <f>IFERROR(__xludf.DUMMYFUNCTION("""COMPUTED_VALUE"""),-1.0)</f>
        <v>-1</v>
      </c>
      <c r="AQ349" s="16">
        <f>IFERROR(__xludf.DUMMYFUNCTION("""COMPUTED_VALUE"""),13.899999999999999)</f>
        <v>13.9</v>
      </c>
      <c r="AR349" s="16">
        <f>IFERROR(__xludf.DUMMYFUNCTION("""COMPUTED_VALUE"""),30.2)</f>
        <v>30.2</v>
      </c>
      <c r="AS349" s="16">
        <f>IFERROR(__xludf.DUMMYFUNCTION("""COMPUTED_VALUE"""),1.0)</f>
        <v>1</v>
      </c>
      <c r="AT349" s="16">
        <f>IFERROR(__xludf.DUMMYFUNCTION("""COMPUTED_VALUE"""),-1.0)</f>
        <v>-1</v>
      </c>
      <c r="AU349" s="16">
        <f>IFERROR(__xludf.DUMMYFUNCTION("""COMPUTED_VALUE"""),2.0)</f>
        <v>2</v>
      </c>
      <c r="AV349" s="16">
        <f>IFERROR(__xludf.DUMMYFUNCTION("""COMPUTED_VALUE"""),-2.0)</f>
        <v>-2</v>
      </c>
      <c r="AW349" s="16">
        <f>IFERROR(__xludf.DUMMYFUNCTION("""COMPUTED_VALUE"""),6.0)</f>
        <v>6</v>
      </c>
      <c r="AX349" s="16">
        <f>IFERROR(__xludf.DUMMYFUNCTION("""COMPUTED_VALUE"""),2.8)</f>
        <v>2.8</v>
      </c>
      <c r="AY349" s="16">
        <f>IFERROR(__xludf.DUMMYFUNCTION("""COMPUTED_VALUE"""),-3.0)</f>
        <v>-3</v>
      </c>
      <c r="AZ349" s="16">
        <f>IFERROR(__xludf.DUMMYFUNCTION("""COMPUTED_VALUE"""),-1.0)</f>
        <v>-1</v>
      </c>
      <c r="BA349" s="16">
        <f>IFERROR(__xludf.DUMMYFUNCTION("""COMPUTED_VALUE"""),-15.0)</f>
        <v>-15</v>
      </c>
      <c r="BB349" s="16">
        <f>IFERROR(__xludf.DUMMYFUNCTION("""COMPUTED_VALUE"""),-5.0)</f>
        <v>-5</v>
      </c>
      <c r="BC349" s="16">
        <f>IFERROR(__xludf.DUMMYFUNCTION("""COMPUTED_VALUE"""),8.0)</f>
        <v>8</v>
      </c>
      <c r="BD349" s="16">
        <f>IFERROR(__xludf.DUMMYFUNCTION("""COMPUTED_VALUE"""),4.0)</f>
        <v>4</v>
      </c>
      <c r="BE349" s="16">
        <f>IFERROR(__xludf.DUMMYFUNCTION("""COMPUTED_VALUE"""),8.0)</f>
        <v>8</v>
      </c>
      <c r="BF349" s="16">
        <f>IFERROR(__xludf.DUMMYFUNCTION("""COMPUTED_VALUE"""),4.0)</f>
        <v>4</v>
      </c>
      <c r="BG349" s="16">
        <f>IFERROR(__xludf.DUMMYFUNCTION("""COMPUTED_VALUE"""),-3.0)</f>
        <v>-3</v>
      </c>
      <c r="BH349" s="16">
        <f>IFERROR(__xludf.DUMMYFUNCTION("""COMPUTED_VALUE"""),-1.0)</f>
        <v>-1</v>
      </c>
      <c r="BI349" s="16">
        <f>IFERROR(__xludf.DUMMYFUNCTION("""COMPUTED_VALUE"""),-6.0)</f>
        <v>-6</v>
      </c>
      <c r="BJ349" s="16">
        <f>IFERROR(__xludf.DUMMYFUNCTION("""COMPUTED_VALUE"""),-2.0)</f>
        <v>-2</v>
      </c>
      <c r="BK349" s="16">
        <f>IFERROR(__xludf.DUMMYFUNCTION("""COMPUTED_VALUE"""),5.0)</f>
        <v>5</v>
      </c>
      <c r="BL349" s="16">
        <f>IFERROR(__xludf.DUMMYFUNCTION("""COMPUTED_VALUE"""),5.0)</f>
        <v>5</v>
      </c>
      <c r="BM349" s="16">
        <f>IFERROR(__xludf.DUMMYFUNCTION("""COMPUTED_VALUE"""),0.0)</f>
        <v>0</v>
      </c>
      <c r="BN349" s="16">
        <f>IFERROR(__xludf.DUMMYFUNCTION("""COMPUTED_VALUE"""),0.0)</f>
        <v>0</v>
      </c>
      <c r="BO349" s="16">
        <f>IFERROR(__xludf.DUMMYFUNCTION("""COMPUTED_VALUE"""),0.0)</f>
        <v>0</v>
      </c>
      <c r="BP349" s="16">
        <f>IFERROR(__xludf.DUMMYFUNCTION("""COMPUTED_VALUE"""),0.0)</f>
        <v>0</v>
      </c>
      <c r="BQ349" s="16">
        <f>IFERROR(__xludf.DUMMYFUNCTION("""COMPUTED_VALUE"""),5.0)</f>
        <v>5</v>
      </c>
      <c r="BR349" s="16">
        <f>IFERROR(__xludf.DUMMYFUNCTION("""COMPUTED_VALUE"""),7.0)</f>
        <v>7</v>
      </c>
      <c r="BS349" s="16">
        <f>IFERROR(__xludf.DUMMYFUNCTION("""COMPUTED_VALUE"""),0.0)</f>
        <v>0</v>
      </c>
      <c r="BT349" s="16">
        <f>IFERROR(__xludf.DUMMYFUNCTION("""COMPUTED_VALUE"""),2.0)</f>
        <v>2</v>
      </c>
      <c r="BU349" s="16">
        <f>IFERROR(__xludf.DUMMYFUNCTION("""COMPUTED_VALUE"""),0.0)</f>
        <v>0</v>
      </c>
      <c r="BV349" s="16">
        <f>IFERROR(__xludf.DUMMYFUNCTION("""COMPUTED_VALUE"""),4.0)</f>
        <v>4</v>
      </c>
      <c r="BW349" s="16">
        <f>IFERROR(__xludf.DUMMYFUNCTION("""COMPUTED_VALUE"""),0.0)</f>
        <v>0</v>
      </c>
      <c r="BX349" s="16">
        <f>IFERROR(__xludf.DUMMYFUNCTION("""COMPUTED_VALUE"""),0.0)</f>
        <v>0</v>
      </c>
      <c r="BY349" s="16" t="str">
        <f>IFERROR(__xludf.DUMMYFUNCTION("""COMPUTED_VALUE"""),"S(6)")</f>
        <v>S(6)</v>
      </c>
      <c r="BZ349" s="16" t="str">
        <f>IFERROR(__xludf.DUMMYFUNCTION("""COMPUTED_VALUE"""),"S(6)")</f>
        <v>S(6)</v>
      </c>
      <c r="CA349" s="16" t="str">
        <f>IFERROR(__xludf.DUMMYFUNCTION("""COMPUTED_VALUE"""),"S(6)")</f>
        <v>S(6)</v>
      </c>
      <c r="CB349" s="16"/>
      <c r="CC349" s="16"/>
      <c r="CD349" s="16">
        <f>IFERROR(__xludf.DUMMYFUNCTION("""COMPUTED_VALUE"""),6.0)</f>
        <v>6</v>
      </c>
      <c r="CE349" s="16"/>
      <c r="CF349" s="16"/>
      <c r="CG349" s="16" t="str">
        <f>IFERROR(__xludf.DUMMYFUNCTION("""COMPUTED_VALUE"""),"2-8")</f>
        <v>2-8</v>
      </c>
      <c r="CH349" s="16">
        <f>IFERROR(__xludf.DUMMYFUNCTION("""COMPUTED_VALUE"""),2.0)</f>
        <v>2</v>
      </c>
      <c r="CI349" s="16">
        <f>IFERROR(__xludf.DUMMYFUNCTION("""COMPUTED_VALUE"""),8.0)</f>
        <v>8</v>
      </c>
      <c r="CJ349" s="16">
        <f>IFERROR(__xludf.DUMMYFUNCTION("""COMPUTED_VALUE"""),0.0)</f>
        <v>0</v>
      </c>
      <c r="CK349" s="16">
        <f>IFERROR(__xludf.DUMMYFUNCTION("""COMPUTED_VALUE"""),3.0)</f>
        <v>3</v>
      </c>
      <c r="CL349" s="16" t="str">
        <f>IFERROR(__xludf.DUMMYFUNCTION("""COMPUTED_VALUE"""),"1WL-C")</f>
        <v>1WL-C</v>
      </c>
      <c r="CM349" s="16" t="str">
        <f>IFERROR(__xludf.DUMMYFUNCTION("""COMPUTED_VALUE"""),"E")</f>
        <v>E</v>
      </c>
      <c r="CN349" s="16">
        <f>IFERROR(__xludf.DUMMYFUNCTION("""COMPUTED_VALUE"""),10.0)</f>
        <v>10</v>
      </c>
      <c r="CO349" s="16" t="str">
        <f>IFERROR(__xludf.DUMMYFUNCTION("""COMPUTED_VALUE"""),"C")</f>
        <v>C</v>
      </c>
      <c r="CP349" s="16" t="str">
        <f>IFERROR(__xludf.DUMMYFUNCTION("""COMPUTED_VALUE"""),"1p70")</f>
        <v>1p70</v>
      </c>
      <c r="CQ349" s="16">
        <f>IFERROR(__xludf.DUMMYFUNCTION("""COMPUTED_VALUE"""),-13.0)</f>
        <v>-13</v>
      </c>
      <c r="CR349" s="16">
        <f>IFERROR(__xludf.DUMMYFUNCTION("""COMPUTED_VALUE"""),-14.0)</f>
        <v>-14</v>
      </c>
      <c r="CS349" s="16">
        <f>IFERROR(__xludf.DUMMYFUNCTION("""COMPUTED_VALUE"""),-27.0)</f>
        <v>-27</v>
      </c>
      <c r="CT349" s="16">
        <f>IFERROR(__xludf.DUMMYFUNCTION("""COMPUTED_VALUE"""),-13.0)</f>
        <v>-13</v>
      </c>
      <c r="CU349" s="16">
        <f>IFERROR(__xludf.DUMMYFUNCTION("""COMPUTED_VALUE"""),-14.0)</f>
        <v>-14</v>
      </c>
      <c r="CV349" s="179">
        <f>IFERROR(__xludf.DUMMYFUNCTION("""COMPUTED_VALUE"""),-6.666666666666666)</f>
        <v>-6.666666667</v>
      </c>
      <c r="CW349" s="179">
        <f>IFERROR(__xludf.DUMMYFUNCTION("""COMPUTED_VALUE"""),4.0)</f>
        <v>4</v>
      </c>
      <c r="CX349" s="179">
        <f>IFERROR(__xludf.DUMMYFUNCTION("""COMPUTED_VALUE"""),3.0)</f>
        <v>3</v>
      </c>
      <c r="CY349" s="16" t="str">
        <f>IFERROR(__xludf.DUMMYFUNCTION("""COMPUTED_VALUE"""),"SP")</f>
        <v>SP</v>
      </c>
      <c r="CZ349" s="16"/>
      <c r="DA349" s="16"/>
      <c r="DB349" s="16"/>
      <c r="DC349" s="16"/>
      <c r="DD349" s="16"/>
      <c r="DE349" s="16"/>
      <c r="DF349" s="16"/>
      <c r="DG349" s="16"/>
      <c r="DH349" s="16"/>
      <c r="DI349" s="16"/>
      <c r="DJ349" s="16"/>
      <c r="DK349" s="16"/>
    </row>
    <row r="350">
      <c r="A350" s="16">
        <f>IFERROR(__xludf.DUMMYFUNCTION("""COMPUTED_VALUE"""),13062.0)</f>
        <v>13062</v>
      </c>
      <c r="B350" s="16" t="str">
        <f>IFERROR(__xludf.DUMMYFUNCTION("""COMPUTED_VALUE"""),"Justin Wrobleski")</f>
        <v>Justin Wrobleski</v>
      </c>
      <c r="C350" s="153">
        <f>IFERROR(__xludf.DUMMYFUNCTION("""COMPUTED_VALUE"""),0.0)</f>
        <v>0</v>
      </c>
      <c r="D350" s="16"/>
      <c r="E350" s="16" t="str">
        <f>IFERROR(__xludf.DUMMYFUNCTION("""COMPUTED_VALUE"""),"L")</f>
        <v>L</v>
      </c>
      <c r="F350" s="16">
        <f>IFERROR(__xludf.DUMMYFUNCTION("""COMPUTED_VALUE"""),36.0)</f>
        <v>36</v>
      </c>
      <c r="G350" s="16">
        <f>IFERROR(__xludf.DUMMYFUNCTION("""COMPUTED_VALUE"""),7.0)</f>
        <v>7</v>
      </c>
      <c r="H350" s="16">
        <f>IFERROR(__xludf.DUMMYFUNCTION("""COMPUTED_VALUE"""),14.0)</f>
        <v>14</v>
      </c>
      <c r="I350" s="16">
        <f>IFERROR(__xludf.DUMMYFUNCTION("""COMPUTED_VALUE"""),-2.0)</f>
        <v>-2</v>
      </c>
      <c r="J350" s="16">
        <f>IFERROR(__xludf.DUMMYFUNCTION("""COMPUTED_VALUE"""),-2.0)</f>
        <v>-2</v>
      </c>
      <c r="K350" s="16">
        <f>IFERROR(__xludf.DUMMYFUNCTION("""COMPUTED_VALUE"""),-6.0)</f>
        <v>-6</v>
      </c>
      <c r="L350" s="16">
        <f>IFERROR(__xludf.DUMMYFUNCTION("""COMPUTED_VALUE"""),-6.0)</f>
        <v>-6</v>
      </c>
      <c r="M350" s="16">
        <f>IFERROR(__xludf.DUMMYFUNCTION("""COMPUTED_VALUE"""),11.0)</f>
        <v>11</v>
      </c>
      <c r="N350" s="16">
        <f>IFERROR(__xludf.DUMMYFUNCTION("""COMPUTED_VALUE"""),15.0)</f>
        <v>15</v>
      </c>
      <c r="O350" s="16">
        <f>IFERROR(__xludf.DUMMYFUNCTION("""COMPUTED_VALUE"""),-1.0)</f>
        <v>-1</v>
      </c>
      <c r="P350" s="16">
        <f>IFERROR(__xludf.DUMMYFUNCTION("""COMPUTED_VALUE"""),-3.0)</f>
        <v>-3</v>
      </c>
      <c r="Q350" s="16">
        <f>IFERROR(__xludf.DUMMYFUNCTION("""COMPUTED_VALUE"""),-1.0)</f>
        <v>-1</v>
      </c>
      <c r="R350" s="16">
        <f>IFERROR(__xludf.DUMMYFUNCTION("""COMPUTED_VALUE"""),-3.0)</f>
        <v>-3</v>
      </c>
      <c r="S350" s="16">
        <f>IFERROR(__xludf.DUMMYFUNCTION("""COMPUTED_VALUE"""),17.4)</f>
        <v>17.4</v>
      </c>
      <c r="T350" s="16">
        <f>IFERROR(__xludf.DUMMYFUNCTION("""COMPUTED_VALUE"""),12.6)</f>
        <v>12.6</v>
      </c>
      <c r="U350" s="16">
        <f>IFERROR(__xludf.DUMMYFUNCTION("""COMPUTED_VALUE"""),0.0)</f>
        <v>0</v>
      </c>
      <c r="V350" s="16">
        <f>IFERROR(__xludf.DUMMYFUNCTION("""COMPUTED_VALUE"""),1.0)</f>
        <v>1</v>
      </c>
      <c r="W350" s="16">
        <f>IFERROR(__xludf.DUMMYFUNCTION("""COMPUTED_VALUE"""),0.0)</f>
        <v>0</v>
      </c>
      <c r="X350" s="16">
        <f>IFERROR(__xludf.DUMMYFUNCTION("""COMPUTED_VALUE"""),2.0)</f>
        <v>2</v>
      </c>
      <c r="Y350" s="16">
        <f>IFERROR(__xludf.DUMMYFUNCTION("""COMPUTED_VALUE"""),28.4)</f>
        <v>28.4</v>
      </c>
      <c r="Z350" s="16">
        <f>IFERROR(__xludf.DUMMYFUNCTION("""COMPUTED_VALUE"""),27.7)</f>
        <v>27.7</v>
      </c>
      <c r="AA350" s="16">
        <f>IFERROR(__xludf.DUMMYFUNCTION("""COMPUTED_VALUE"""),0.0)</f>
        <v>0</v>
      </c>
      <c r="AB350" s="16">
        <f>IFERROR(__xludf.DUMMYFUNCTION("""COMPUTED_VALUE"""),0.0)</f>
        <v>0</v>
      </c>
      <c r="AC350" s="16">
        <f>IFERROR(__xludf.DUMMYFUNCTION("""COMPUTED_VALUE"""),0.0)</f>
        <v>0</v>
      </c>
      <c r="AD350" s="16">
        <f>IFERROR(__xludf.DUMMYFUNCTION("""COMPUTED_VALUE"""),0.0)</f>
        <v>0</v>
      </c>
      <c r="AE350" s="16">
        <f>IFERROR(__xludf.DUMMYFUNCTION("""COMPUTED_VALUE"""),36.2)</f>
        <v>36.2</v>
      </c>
      <c r="AF350" s="16">
        <f>IFERROR(__xludf.DUMMYFUNCTION("""COMPUTED_VALUE"""),40.8)</f>
        <v>40.8</v>
      </c>
      <c r="AG350" s="16">
        <f>IFERROR(__xludf.DUMMYFUNCTION("""COMPUTED_VALUE"""),-1.0)</f>
        <v>-1</v>
      </c>
      <c r="AH350" s="16">
        <f>IFERROR(__xludf.DUMMYFUNCTION("""COMPUTED_VALUE"""),-1.0)</f>
        <v>-1</v>
      </c>
      <c r="AI350" s="16">
        <f>IFERROR(__xludf.DUMMYFUNCTION("""COMPUTED_VALUE"""),-2.0)</f>
        <v>-2</v>
      </c>
      <c r="AJ350" s="16">
        <f>IFERROR(__xludf.DUMMYFUNCTION("""COMPUTED_VALUE"""),-2.0)</f>
        <v>-2</v>
      </c>
      <c r="AK350" s="16">
        <f>IFERROR(__xludf.DUMMYFUNCTION("""COMPUTED_VALUE"""),16.2)</f>
        <v>16.2</v>
      </c>
      <c r="AL350" s="16">
        <f>IFERROR(__xludf.DUMMYFUNCTION("""COMPUTED_VALUE"""),4.8)</f>
        <v>4.8</v>
      </c>
      <c r="AM350" s="16">
        <f>IFERROR(__xludf.DUMMYFUNCTION("""COMPUTED_VALUE"""),-1.0)</f>
        <v>-1</v>
      </c>
      <c r="AN350" s="16">
        <f>IFERROR(__xludf.DUMMYFUNCTION("""COMPUTED_VALUE"""),2.0)</f>
        <v>2</v>
      </c>
      <c r="AO350" s="16">
        <f>IFERROR(__xludf.DUMMYFUNCTION("""COMPUTED_VALUE"""),-1.0)</f>
        <v>-1</v>
      </c>
      <c r="AP350" s="16">
        <f>IFERROR(__xludf.DUMMYFUNCTION("""COMPUTED_VALUE"""),2.0)</f>
        <v>2</v>
      </c>
      <c r="AQ350" s="16">
        <f>IFERROR(__xludf.DUMMYFUNCTION("""COMPUTED_VALUE"""),31.400000000000002)</f>
        <v>31.4</v>
      </c>
      <c r="AR350" s="16">
        <f>IFERROR(__xludf.DUMMYFUNCTION("""COMPUTED_VALUE"""),9.599999999999998)</f>
        <v>9.6</v>
      </c>
      <c r="AS350" s="16">
        <f>IFERROR(__xludf.DUMMYFUNCTION("""COMPUTED_VALUE"""),-1.0)</f>
        <v>-1</v>
      </c>
      <c r="AT350" s="16">
        <f>IFERROR(__xludf.DUMMYFUNCTION("""COMPUTED_VALUE"""),1.0)</f>
        <v>1</v>
      </c>
      <c r="AU350" s="16">
        <f>IFERROR(__xludf.DUMMYFUNCTION("""COMPUTED_VALUE"""),-2.0)</f>
        <v>-2</v>
      </c>
      <c r="AV350" s="16">
        <f>IFERROR(__xludf.DUMMYFUNCTION("""COMPUTED_VALUE"""),2.0)</f>
        <v>2</v>
      </c>
      <c r="AW350" s="16">
        <f>IFERROR(__xludf.DUMMYFUNCTION("""COMPUTED_VALUE"""),1.2)</f>
        <v>1.2</v>
      </c>
      <c r="AX350" s="16">
        <f>IFERROR(__xludf.DUMMYFUNCTION("""COMPUTED_VALUE"""),7.8)</f>
        <v>7.8</v>
      </c>
      <c r="AY350" s="16">
        <f>IFERROR(__xludf.DUMMYFUNCTION("""COMPUTED_VALUE"""),1.0)</f>
        <v>1</v>
      </c>
      <c r="AZ350" s="16">
        <f>IFERROR(__xludf.DUMMYFUNCTION("""COMPUTED_VALUE"""),-3.0)</f>
        <v>-3</v>
      </c>
      <c r="BA350" s="16">
        <f>IFERROR(__xludf.DUMMYFUNCTION("""COMPUTED_VALUE"""),5.0)</f>
        <v>5</v>
      </c>
      <c r="BB350" s="16">
        <f>IFERROR(__xludf.DUMMYFUNCTION("""COMPUTED_VALUE"""),-15.0)</f>
        <v>-15</v>
      </c>
      <c r="BC350" s="16"/>
      <c r="BD350" s="16"/>
      <c r="BE350" s="16">
        <f>IFERROR(__xludf.DUMMYFUNCTION("""COMPUTED_VALUE"""),2.0)</f>
        <v>2</v>
      </c>
      <c r="BF350" s="16">
        <f>IFERROR(__xludf.DUMMYFUNCTION("""COMPUTED_VALUE"""),8.0)</f>
        <v>8</v>
      </c>
      <c r="BG350" s="16">
        <f>IFERROR(__xludf.DUMMYFUNCTION("""COMPUTED_VALUE"""),1.0)</f>
        <v>1</v>
      </c>
      <c r="BH350" s="16">
        <f>IFERROR(__xludf.DUMMYFUNCTION("""COMPUTED_VALUE"""),-3.0)</f>
        <v>-3</v>
      </c>
      <c r="BI350" s="16">
        <f>IFERROR(__xludf.DUMMYFUNCTION("""COMPUTED_VALUE"""),2.0)</f>
        <v>2</v>
      </c>
      <c r="BJ350" s="16">
        <f>IFERROR(__xludf.DUMMYFUNCTION("""COMPUTED_VALUE"""),-6.0)</f>
        <v>-6</v>
      </c>
      <c r="BK350" s="16">
        <f>IFERROR(__xludf.DUMMYFUNCTION("""COMPUTED_VALUE"""),0.0)</f>
        <v>0</v>
      </c>
      <c r="BL350" s="16">
        <f>IFERROR(__xludf.DUMMYFUNCTION("""COMPUTED_VALUE"""),0.0)</f>
        <v>0</v>
      </c>
      <c r="BM350" s="16">
        <f>IFERROR(__xludf.DUMMYFUNCTION("""COMPUTED_VALUE"""),1.0)</f>
        <v>1</v>
      </c>
      <c r="BN350" s="16">
        <f>IFERROR(__xludf.DUMMYFUNCTION("""COMPUTED_VALUE"""),1.0)</f>
        <v>1</v>
      </c>
      <c r="BO350" s="16">
        <f>IFERROR(__xludf.DUMMYFUNCTION("""COMPUTED_VALUE"""),1.0)</f>
        <v>1</v>
      </c>
      <c r="BP350" s="16">
        <f>IFERROR(__xludf.DUMMYFUNCTION("""COMPUTED_VALUE"""),1.0)</f>
        <v>1</v>
      </c>
      <c r="BQ350" s="16">
        <f>IFERROR(__xludf.DUMMYFUNCTION("""COMPUTED_VALUE"""),7.0)</f>
        <v>7</v>
      </c>
      <c r="BR350" s="16">
        <f>IFERROR(__xludf.DUMMYFUNCTION("""COMPUTED_VALUE"""),7.0)</f>
        <v>7</v>
      </c>
      <c r="BS350" s="16">
        <f>IFERROR(__xludf.DUMMYFUNCTION("""COMPUTED_VALUE"""),2.0)</f>
        <v>2</v>
      </c>
      <c r="BT350" s="16">
        <f>IFERROR(__xludf.DUMMYFUNCTION("""COMPUTED_VALUE"""),2.0)</f>
        <v>2</v>
      </c>
      <c r="BU350" s="16">
        <f>IFERROR(__xludf.DUMMYFUNCTION("""COMPUTED_VALUE"""),4.0)</f>
        <v>4</v>
      </c>
      <c r="BV350" s="16">
        <f>IFERROR(__xludf.DUMMYFUNCTION("""COMPUTED_VALUE"""),4.0)</f>
        <v>4</v>
      </c>
      <c r="BW350" s="16">
        <f>IFERROR(__xludf.DUMMYFUNCTION("""COMPUTED_VALUE"""),1.0)</f>
        <v>1</v>
      </c>
      <c r="BX350" s="16">
        <f>IFERROR(__xludf.DUMMYFUNCTION("""COMPUTED_VALUE"""),1.0)</f>
        <v>1</v>
      </c>
      <c r="BY350" s="16" t="str">
        <f>IFERROR(__xludf.DUMMYFUNCTION("""COMPUTED_VALUE"""),"S(5) R(3) C(0)")</f>
        <v>S(5) R(3) C(0)</v>
      </c>
      <c r="BZ350" s="16" t="str">
        <f>IFERROR(__xludf.DUMMYFUNCTION("""COMPUTED_VALUE"""),"S(5) R(3) C(0)")</f>
        <v>S(5) R(3) C(0)</v>
      </c>
      <c r="CA350" s="16" t="str">
        <f>IFERROR(__xludf.DUMMYFUNCTION("""COMPUTED_VALUE"""),"S(5)")</f>
        <v>S(5)</v>
      </c>
      <c r="CB350" s="16" t="str">
        <f>IFERROR(__xludf.DUMMYFUNCTION("""COMPUTED_VALUE"""),"R(3)")</f>
        <v>R(3)</v>
      </c>
      <c r="CC350" s="16" t="str">
        <f>IFERROR(__xludf.DUMMYFUNCTION("""COMPUTED_VALUE"""),"C(0)")</f>
        <v>C(0)</v>
      </c>
      <c r="CD350" s="16">
        <f>IFERROR(__xludf.DUMMYFUNCTION("""COMPUTED_VALUE"""),5.0)</f>
        <v>5</v>
      </c>
      <c r="CE350" s="16">
        <f>IFERROR(__xludf.DUMMYFUNCTION("""COMPUTED_VALUE"""),3.0)</f>
        <v>3</v>
      </c>
      <c r="CF350" s="16">
        <f>IFERROR(__xludf.DUMMYFUNCTION("""COMPUTED_VALUE"""),0.0)</f>
        <v>0</v>
      </c>
      <c r="CG350" s="16" t="str">
        <f>IFERROR(__xludf.DUMMYFUNCTION("""COMPUTED_VALUE"""),"3-40")</f>
        <v>3-40</v>
      </c>
      <c r="CH350" s="16">
        <f>IFERROR(__xludf.DUMMYFUNCTION("""COMPUTED_VALUE"""),3.0)</f>
        <v>3</v>
      </c>
      <c r="CI350" s="16">
        <f>IFERROR(__xludf.DUMMYFUNCTION("""COMPUTED_VALUE"""),40.0)</f>
        <v>40</v>
      </c>
      <c r="CJ350" s="16">
        <f>IFERROR(__xludf.DUMMYFUNCTION("""COMPUTED_VALUE"""),0.0)</f>
        <v>0</v>
      </c>
      <c r="CK350" s="16">
        <f>IFERROR(__xludf.DUMMYFUNCTION("""COMPUTED_VALUE"""),5.0)</f>
        <v>5</v>
      </c>
      <c r="CL350" s="16" t="str">
        <f>IFERROR(__xludf.DUMMYFUNCTION("""COMPUTED_VALUE"""),"1WL-C")</f>
        <v>1WL-C</v>
      </c>
      <c r="CM350" s="16" t="str">
        <f>IFERROR(__xludf.DUMMYFUNCTION("""COMPUTED_VALUE"""),"E")</f>
        <v>E</v>
      </c>
      <c r="CN350" s="16">
        <f>IFERROR(__xludf.DUMMYFUNCTION("""COMPUTED_VALUE"""),10.0)</f>
        <v>10</v>
      </c>
      <c r="CO350" s="16" t="str">
        <f>IFERROR(__xludf.DUMMYFUNCTION("""COMPUTED_VALUE"""),"C")</f>
        <v>C</v>
      </c>
      <c r="CP350" s="16" t="str">
        <f>IFERROR(__xludf.DUMMYFUNCTION("""COMPUTED_VALUE"""),"1p20")</f>
        <v>1p20</v>
      </c>
      <c r="CQ350" s="16">
        <f>IFERROR(__xludf.DUMMYFUNCTION("""COMPUTED_VALUE"""),0.0)</f>
        <v>0</v>
      </c>
      <c r="CR350" s="16">
        <f>IFERROR(__xludf.DUMMYFUNCTION("""COMPUTED_VALUE"""),-21.0)</f>
        <v>-21</v>
      </c>
      <c r="CS350" s="16">
        <f>IFERROR(__xludf.DUMMYFUNCTION("""COMPUTED_VALUE"""),-21.0)</f>
        <v>-21</v>
      </c>
      <c r="CT350" s="16">
        <f>IFERROR(__xludf.DUMMYFUNCTION("""COMPUTED_VALUE"""),0.0)</f>
        <v>0</v>
      </c>
      <c r="CU350" s="16">
        <f>IFERROR(__xludf.DUMMYFUNCTION("""COMPUTED_VALUE"""),-21.0)</f>
        <v>-21</v>
      </c>
      <c r="CV350" s="179">
        <f>IFERROR(__xludf.DUMMYFUNCTION("""COMPUTED_VALUE"""),-7.0)</f>
        <v>-7</v>
      </c>
      <c r="CW350" s="179">
        <f>IFERROR(__xludf.DUMMYFUNCTION("""COMPUTED_VALUE"""),4.0)</f>
        <v>4</v>
      </c>
      <c r="CX350" s="179">
        <f>IFERROR(__xludf.DUMMYFUNCTION("""COMPUTED_VALUE"""),3.0)</f>
        <v>3</v>
      </c>
      <c r="CY350" s="16" t="str">
        <f>IFERROR(__xludf.DUMMYFUNCTION("""COMPUTED_VALUE"""),"SP")</f>
        <v>SP</v>
      </c>
      <c r="CZ350" s="16" t="str">
        <f>IFERROR(__xludf.DUMMYFUNCTION("""COMPUTED_VALUE"""),"RP")</f>
        <v>RP</v>
      </c>
      <c r="DA350" s="16" t="str">
        <f>IFERROR(__xludf.DUMMYFUNCTION("""COMPUTED_VALUE"""),"CP")</f>
        <v>CP</v>
      </c>
      <c r="DB350" s="16"/>
      <c r="DC350" s="16"/>
      <c r="DD350" s="16"/>
      <c r="DE350" s="16"/>
      <c r="DF350" s="16"/>
      <c r="DG350" s="16"/>
      <c r="DH350" s="16"/>
      <c r="DI350" s="16"/>
      <c r="DJ350" s="16"/>
      <c r="DK350" s="16"/>
    </row>
    <row r="351">
      <c r="A351" s="16">
        <f>IFERROR(__xludf.DUMMYFUNCTION("""COMPUTED_VALUE"""),12792.0)</f>
        <v>12792</v>
      </c>
      <c r="B351" s="16" t="str">
        <f>IFERROR(__xludf.DUMMYFUNCTION("""COMPUTED_VALUE"""),"Emerson Hancock")</f>
        <v>Emerson Hancock</v>
      </c>
      <c r="C351" s="153">
        <f>IFERROR(__xludf.DUMMYFUNCTION("""COMPUTED_VALUE"""),0.0)</f>
        <v>0</v>
      </c>
      <c r="D351" s="16"/>
      <c r="E351" s="16" t="str">
        <f>IFERROR(__xludf.DUMMYFUNCTION("""COMPUTED_VALUE"""),"R")</f>
        <v>R</v>
      </c>
      <c r="F351" s="16">
        <f>IFERROR(__xludf.DUMMYFUNCTION("""COMPUTED_VALUE"""),61.0)</f>
        <v>61</v>
      </c>
      <c r="G351" s="16">
        <f>IFERROR(__xludf.DUMMYFUNCTION("""COMPUTED_VALUE"""),4.0)</f>
        <v>4</v>
      </c>
      <c r="H351" s="16">
        <f>IFERROR(__xludf.DUMMYFUNCTION("""COMPUTED_VALUE"""),11.0)</f>
        <v>11</v>
      </c>
      <c r="I351" s="16">
        <f>IFERROR(__xludf.DUMMYFUNCTION("""COMPUTED_VALUE"""),-3.0)</f>
        <v>-3</v>
      </c>
      <c r="J351" s="16">
        <f>IFERROR(__xludf.DUMMYFUNCTION("""COMPUTED_VALUE"""),-2.0)</f>
        <v>-2</v>
      </c>
      <c r="K351" s="16">
        <f>IFERROR(__xludf.DUMMYFUNCTION("""COMPUTED_VALUE"""),-9.0)</f>
        <v>-9</v>
      </c>
      <c r="L351" s="16">
        <f>IFERROR(__xludf.DUMMYFUNCTION("""COMPUTED_VALUE"""),-6.0)</f>
        <v>-6</v>
      </c>
      <c r="M351" s="16">
        <f>IFERROR(__xludf.DUMMYFUNCTION("""COMPUTED_VALUE"""),13.0)</f>
        <v>13</v>
      </c>
      <c r="N351" s="16">
        <f>IFERROR(__xludf.DUMMYFUNCTION("""COMPUTED_VALUE"""),2.0)</f>
        <v>2</v>
      </c>
      <c r="O351" s="16">
        <f>IFERROR(__xludf.DUMMYFUNCTION("""COMPUTED_VALUE"""),-1.0)</f>
        <v>-1</v>
      </c>
      <c r="P351" s="16">
        <f>IFERROR(__xludf.DUMMYFUNCTION("""COMPUTED_VALUE"""),3.0)</f>
        <v>3</v>
      </c>
      <c r="Q351" s="16">
        <f>IFERROR(__xludf.DUMMYFUNCTION("""COMPUTED_VALUE"""),-1.0)</f>
        <v>-1</v>
      </c>
      <c r="R351" s="16">
        <f>IFERROR(__xludf.DUMMYFUNCTION("""COMPUTED_VALUE"""),3.0)</f>
        <v>3</v>
      </c>
      <c r="S351" s="16">
        <f>IFERROR(__xludf.DUMMYFUNCTION("""COMPUTED_VALUE"""),17.9)</f>
        <v>17.9</v>
      </c>
      <c r="T351" s="16">
        <f>IFERROR(__xludf.DUMMYFUNCTION("""COMPUTED_VALUE"""),21.0)</f>
        <v>21</v>
      </c>
      <c r="U351" s="16">
        <f>IFERROR(__xludf.DUMMYFUNCTION("""COMPUTED_VALUE"""),0.0)</f>
        <v>0</v>
      </c>
      <c r="V351" s="16">
        <f>IFERROR(__xludf.DUMMYFUNCTION("""COMPUTED_VALUE"""),-1.0)</f>
        <v>-1</v>
      </c>
      <c r="W351" s="16">
        <f>IFERROR(__xludf.DUMMYFUNCTION("""COMPUTED_VALUE"""),0.0)</f>
        <v>0</v>
      </c>
      <c r="X351" s="16">
        <f>IFERROR(__xludf.DUMMYFUNCTION("""COMPUTED_VALUE"""),-2.0)</f>
        <v>-2</v>
      </c>
      <c r="Y351" s="16">
        <f>IFERROR(__xludf.DUMMYFUNCTION("""COMPUTED_VALUE"""),30.9)</f>
        <v>30.9</v>
      </c>
      <c r="Z351" s="16">
        <f>IFERROR(__xludf.DUMMYFUNCTION("""COMPUTED_VALUE"""),23.0)</f>
        <v>23</v>
      </c>
      <c r="AA351" s="16">
        <f>IFERROR(__xludf.DUMMYFUNCTION("""COMPUTED_VALUE"""),-1.0)</f>
        <v>-1</v>
      </c>
      <c r="AB351" s="16">
        <f>IFERROR(__xludf.DUMMYFUNCTION("""COMPUTED_VALUE"""),0.0)</f>
        <v>0</v>
      </c>
      <c r="AC351" s="16">
        <f>IFERROR(__xludf.DUMMYFUNCTION("""COMPUTED_VALUE"""),-5.0)</f>
        <v>-5</v>
      </c>
      <c r="AD351" s="16">
        <f>IFERROR(__xludf.DUMMYFUNCTION("""COMPUTED_VALUE"""),0.0)</f>
        <v>0</v>
      </c>
      <c r="AE351" s="16">
        <f>IFERROR(__xludf.DUMMYFUNCTION("""COMPUTED_VALUE"""),20.8)</f>
        <v>20.8</v>
      </c>
      <c r="AF351" s="16">
        <f>IFERROR(__xludf.DUMMYFUNCTION("""COMPUTED_VALUE"""),54.5)</f>
        <v>54.5</v>
      </c>
      <c r="AG351" s="16">
        <f>IFERROR(__xludf.DUMMYFUNCTION("""COMPUTED_VALUE"""),1.0)</f>
        <v>1</v>
      </c>
      <c r="AH351" s="16">
        <f>IFERROR(__xludf.DUMMYFUNCTION("""COMPUTED_VALUE"""),-2.0)</f>
        <v>-2</v>
      </c>
      <c r="AI351" s="16">
        <f>IFERROR(__xludf.DUMMYFUNCTION("""COMPUTED_VALUE"""),2.0)</f>
        <v>2</v>
      </c>
      <c r="AJ351" s="16">
        <f>IFERROR(__xludf.DUMMYFUNCTION("""COMPUTED_VALUE"""),-4.0)</f>
        <v>-4</v>
      </c>
      <c r="AK351" s="16">
        <f>IFERROR(__xludf.DUMMYFUNCTION("""COMPUTED_VALUE"""),17.9)</f>
        <v>17.9</v>
      </c>
      <c r="AL351" s="16">
        <f>IFERROR(__xludf.DUMMYFUNCTION("""COMPUTED_VALUE"""),11.5)</f>
        <v>11.5</v>
      </c>
      <c r="AM351" s="16">
        <f>IFERROR(__xludf.DUMMYFUNCTION("""COMPUTED_VALUE"""),-1.0)</f>
        <v>-1</v>
      </c>
      <c r="AN351" s="16">
        <f>IFERROR(__xludf.DUMMYFUNCTION("""COMPUTED_VALUE"""),0.0)</f>
        <v>0</v>
      </c>
      <c r="AO351" s="16">
        <f>IFERROR(__xludf.DUMMYFUNCTION("""COMPUTED_VALUE"""),-1.0)</f>
        <v>-1</v>
      </c>
      <c r="AP351" s="16">
        <f>IFERROR(__xludf.DUMMYFUNCTION("""COMPUTED_VALUE"""),0.0)</f>
        <v>0</v>
      </c>
      <c r="AQ351" s="16">
        <f>IFERROR(__xludf.DUMMYFUNCTION("""COMPUTED_VALUE"""),20.8)</f>
        <v>20.8</v>
      </c>
      <c r="AR351" s="16">
        <f>IFERROR(__xludf.DUMMYFUNCTION("""COMPUTED_VALUE"""),16.5)</f>
        <v>16.5</v>
      </c>
      <c r="AS351" s="16">
        <f>IFERROR(__xludf.DUMMYFUNCTION("""COMPUTED_VALUE"""),0.0)</f>
        <v>0</v>
      </c>
      <c r="AT351" s="16">
        <f>IFERROR(__xludf.DUMMYFUNCTION("""COMPUTED_VALUE"""),0.0)</f>
        <v>0</v>
      </c>
      <c r="AU351" s="16">
        <f>IFERROR(__xludf.DUMMYFUNCTION("""COMPUTED_VALUE"""),0.0)</f>
        <v>0</v>
      </c>
      <c r="AV351" s="16">
        <f>IFERROR(__xludf.DUMMYFUNCTION("""COMPUTED_VALUE"""),0.0)</f>
        <v>0</v>
      </c>
      <c r="AW351" s="16">
        <f>IFERROR(__xludf.DUMMYFUNCTION("""COMPUTED_VALUE"""),0.0)</f>
        <v>0</v>
      </c>
      <c r="AX351" s="16">
        <f>IFERROR(__xludf.DUMMYFUNCTION("""COMPUTED_VALUE"""),9.5)</f>
        <v>9.5</v>
      </c>
      <c r="AY351" s="16">
        <f>IFERROR(__xludf.DUMMYFUNCTION("""COMPUTED_VALUE"""),2.0)</f>
        <v>2</v>
      </c>
      <c r="AZ351" s="16">
        <f>IFERROR(__xludf.DUMMYFUNCTION("""COMPUTED_VALUE"""),-3.0)</f>
        <v>-3</v>
      </c>
      <c r="BA351" s="16">
        <f>IFERROR(__xludf.DUMMYFUNCTION("""COMPUTED_VALUE"""),10.0)</f>
        <v>10</v>
      </c>
      <c r="BB351" s="16">
        <f>IFERROR(__xludf.DUMMYFUNCTION("""COMPUTED_VALUE"""),-15.0)</f>
        <v>-15</v>
      </c>
      <c r="BC351" s="16">
        <f>IFERROR(__xludf.DUMMYFUNCTION("""COMPUTED_VALUE"""),0.0)</f>
        <v>0</v>
      </c>
      <c r="BD351" s="16">
        <f>IFERROR(__xludf.DUMMYFUNCTION("""COMPUTED_VALUE"""),8.0)</f>
        <v>8</v>
      </c>
      <c r="BE351" s="16">
        <f>IFERROR(__xludf.DUMMYFUNCTION("""COMPUTED_VALUE"""),0.0)</f>
        <v>0</v>
      </c>
      <c r="BF351" s="16">
        <f>IFERROR(__xludf.DUMMYFUNCTION("""COMPUTED_VALUE"""),8.0)</f>
        <v>8</v>
      </c>
      <c r="BG351" s="16">
        <f>IFERROR(__xludf.DUMMYFUNCTION("""COMPUTED_VALUE"""),3.0)</f>
        <v>3</v>
      </c>
      <c r="BH351" s="16">
        <f>IFERROR(__xludf.DUMMYFUNCTION("""COMPUTED_VALUE"""),-3.0)</f>
        <v>-3</v>
      </c>
      <c r="BI351" s="16">
        <f>IFERROR(__xludf.DUMMYFUNCTION("""COMPUTED_VALUE"""),6.0)</f>
        <v>6</v>
      </c>
      <c r="BJ351" s="16">
        <f>IFERROR(__xludf.DUMMYFUNCTION("""COMPUTED_VALUE"""),-6.0)</f>
        <v>-6</v>
      </c>
      <c r="BK351" s="16">
        <f>IFERROR(__xludf.DUMMYFUNCTION("""COMPUTED_VALUE"""),5.0)</f>
        <v>5</v>
      </c>
      <c r="BL351" s="16">
        <f>IFERROR(__xludf.DUMMYFUNCTION("""COMPUTED_VALUE"""),5.0)</f>
        <v>5</v>
      </c>
      <c r="BM351" s="16">
        <f>IFERROR(__xludf.DUMMYFUNCTION("""COMPUTED_VALUE"""),0.0)</f>
        <v>0</v>
      </c>
      <c r="BN351" s="16">
        <f>IFERROR(__xludf.DUMMYFUNCTION("""COMPUTED_VALUE"""),0.0)</f>
        <v>0</v>
      </c>
      <c r="BO351" s="16">
        <f>IFERROR(__xludf.DUMMYFUNCTION("""COMPUTED_VALUE"""),0.0)</f>
        <v>0</v>
      </c>
      <c r="BP351" s="16">
        <f>IFERROR(__xludf.DUMMYFUNCTION("""COMPUTED_VALUE"""),0.0)</f>
        <v>0</v>
      </c>
      <c r="BQ351" s="16">
        <f>IFERROR(__xludf.DUMMYFUNCTION("""COMPUTED_VALUE"""),10.0)</f>
        <v>10</v>
      </c>
      <c r="BR351" s="16">
        <f>IFERROR(__xludf.DUMMYFUNCTION("""COMPUTED_VALUE"""),10.0)</f>
        <v>10</v>
      </c>
      <c r="BS351" s="16">
        <f>IFERROR(__xludf.DUMMYFUNCTION("""COMPUTED_VALUE"""),3.0)</f>
        <v>3</v>
      </c>
      <c r="BT351" s="16">
        <f>IFERROR(__xludf.DUMMYFUNCTION("""COMPUTED_VALUE"""),3.0)</f>
        <v>3</v>
      </c>
      <c r="BU351" s="16">
        <f>IFERROR(__xludf.DUMMYFUNCTION("""COMPUTED_VALUE"""),6.0)</f>
        <v>6</v>
      </c>
      <c r="BV351" s="16">
        <f>IFERROR(__xludf.DUMMYFUNCTION("""COMPUTED_VALUE"""),6.0)</f>
        <v>6</v>
      </c>
      <c r="BW351" s="16">
        <f>IFERROR(__xludf.DUMMYFUNCTION("""COMPUTED_VALUE"""),0.0)</f>
        <v>0</v>
      </c>
      <c r="BX351" s="16">
        <f>IFERROR(__xludf.DUMMYFUNCTION("""COMPUTED_VALUE"""),0.0)</f>
        <v>0</v>
      </c>
      <c r="BY351" s="16" t="str">
        <f>IFERROR(__xludf.DUMMYFUNCTION("""COMPUTED_VALUE"""),"S(5)")</f>
        <v>S(5)</v>
      </c>
      <c r="BZ351" s="16" t="str">
        <f>IFERROR(__xludf.DUMMYFUNCTION("""COMPUTED_VALUE"""),"S(5)")</f>
        <v>S(5)</v>
      </c>
      <c r="CA351" s="16" t="str">
        <f>IFERROR(__xludf.DUMMYFUNCTION("""COMPUTED_VALUE"""),"S(5)")</f>
        <v>S(5)</v>
      </c>
      <c r="CB351" s="16"/>
      <c r="CC351" s="16"/>
      <c r="CD351" s="16">
        <f>IFERROR(__xludf.DUMMYFUNCTION("""COMPUTED_VALUE"""),5.0)</f>
        <v>5</v>
      </c>
      <c r="CE351" s="16"/>
      <c r="CF351" s="16"/>
      <c r="CG351" s="16" t="str">
        <f>IFERROR(__xludf.DUMMYFUNCTION("""COMPUTED_VALUE"""),"4-47")</f>
        <v>4-47</v>
      </c>
      <c r="CH351" s="16">
        <f>IFERROR(__xludf.DUMMYFUNCTION("""COMPUTED_VALUE"""),4.0)</f>
        <v>4</v>
      </c>
      <c r="CI351" s="16">
        <f>IFERROR(__xludf.DUMMYFUNCTION("""COMPUTED_VALUE"""),47.0)</f>
        <v>47</v>
      </c>
      <c r="CJ351" s="16">
        <f>IFERROR(__xludf.DUMMYFUNCTION("""COMPUTED_VALUE"""),0.0)</f>
        <v>0</v>
      </c>
      <c r="CK351" s="16">
        <f>IFERROR(__xludf.DUMMYFUNCTION("""COMPUTED_VALUE"""),0.0)</f>
        <v>0</v>
      </c>
      <c r="CL351" s="16" t="str">
        <f>IFERROR(__xludf.DUMMYFUNCTION("""COMPUTED_VALUE"""),"1WR-C")</f>
        <v>1WR-C</v>
      </c>
      <c r="CM351" s="16" t="str">
        <f>IFERROR(__xludf.DUMMYFUNCTION("""COMPUTED_VALUE"""),"E")</f>
        <v>E</v>
      </c>
      <c r="CN351" s="16">
        <f>IFERROR(__xludf.DUMMYFUNCTION("""COMPUTED_VALUE"""),10.0)</f>
        <v>10</v>
      </c>
      <c r="CO351" s="16" t="str">
        <f>IFERROR(__xludf.DUMMYFUNCTION("""COMPUTED_VALUE"""),"C")</f>
        <v>C</v>
      </c>
      <c r="CP351" s="16" t="str">
        <f>IFERROR(__xludf.DUMMYFUNCTION("""COMPUTED_VALUE"""),"1p30")</f>
        <v>1p30</v>
      </c>
      <c r="CQ351" s="16">
        <f>IFERROR(__xludf.DUMMYFUNCTION("""COMPUTED_VALUE"""),8.0)</f>
        <v>8</v>
      </c>
      <c r="CR351" s="16">
        <f>IFERROR(__xludf.DUMMYFUNCTION("""COMPUTED_VALUE"""),-24.0)</f>
        <v>-24</v>
      </c>
      <c r="CS351" s="16">
        <f>IFERROR(__xludf.DUMMYFUNCTION("""COMPUTED_VALUE"""),-16.0)</f>
        <v>-16</v>
      </c>
      <c r="CT351" s="16">
        <f>IFERROR(__xludf.DUMMYFUNCTION("""COMPUTED_VALUE"""),8.0)</f>
        <v>8</v>
      </c>
      <c r="CU351" s="16">
        <f>IFERROR(__xludf.DUMMYFUNCTION("""COMPUTED_VALUE"""),-24.0)</f>
        <v>-24</v>
      </c>
      <c r="CV351" s="179">
        <f>IFERROR(__xludf.DUMMYFUNCTION("""COMPUTED_VALUE"""),-7.333333333333334)</f>
        <v>-7.333333333</v>
      </c>
      <c r="CW351" s="179">
        <f>IFERROR(__xludf.DUMMYFUNCTION("""COMPUTED_VALUE"""),4.0)</f>
        <v>4</v>
      </c>
      <c r="CX351" s="179">
        <f>IFERROR(__xludf.DUMMYFUNCTION("""COMPUTED_VALUE"""),2.0)</f>
        <v>2</v>
      </c>
      <c r="CY351" s="16" t="str">
        <f>IFERROR(__xludf.DUMMYFUNCTION("""COMPUTED_VALUE"""),"SP")</f>
        <v>SP</v>
      </c>
      <c r="CZ351" s="16"/>
      <c r="DA351" s="16"/>
      <c r="DB351" s="16"/>
      <c r="DC351" s="16"/>
      <c r="DD351" s="16"/>
      <c r="DE351" s="16"/>
      <c r="DF351" s="16"/>
      <c r="DG351" s="16"/>
      <c r="DH351" s="16"/>
      <c r="DI351" s="16"/>
      <c r="DJ351" s="16"/>
      <c r="DK351" s="16"/>
    </row>
    <row r="352">
      <c r="A352" s="16">
        <f>IFERROR(__xludf.DUMMYFUNCTION("""COMPUTED_VALUE"""),12855.0)</f>
        <v>12855</v>
      </c>
      <c r="B352" s="16" t="str">
        <f>IFERROR(__xludf.DUMMYFUNCTION("""COMPUTED_VALUE"""),"Greg Weissert")</f>
        <v>Greg Weissert</v>
      </c>
      <c r="C352" s="153">
        <f>IFERROR(__xludf.DUMMYFUNCTION("""COMPUTED_VALUE"""),0.27)</f>
        <v>0.27</v>
      </c>
      <c r="D352" s="16"/>
      <c r="E352" s="16" t="str">
        <f>IFERROR(__xludf.DUMMYFUNCTION("""COMPUTED_VALUE"""),"R")</f>
        <v>R</v>
      </c>
      <c r="F352" s="16">
        <f>IFERROR(__xludf.DUMMYFUNCTION("""COMPUTED_VALUE"""),63.0)</f>
        <v>63</v>
      </c>
      <c r="G352" s="16">
        <f>IFERROR(__xludf.DUMMYFUNCTION("""COMPUTED_VALUE"""),23.0)</f>
        <v>23</v>
      </c>
      <c r="H352" s="16">
        <f>IFERROR(__xludf.DUMMYFUNCTION("""COMPUTED_VALUE"""),26.0)</f>
        <v>26</v>
      </c>
      <c r="I352" s="16">
        <f>IFERROR(__xludf.DUMMYFUNCTION("""COMPUTED_VALUE"""),-1.0)</f>
        <v>-1</v>
      </c>
      <c r="J352" s="16">
        <f>IFERROR(__xludf.DUMMYFUNCTION("""COMPUTED_VALUE"""),0.0)</f>
        <v>0</v>
      </c>
      <c r="K352" s="16">
        <f>IFERROR(__xludf.DUMMYFUNCTION("""COMPUTED_VALUE"""),-3.0)</f>
        <v>-3</v>
      </c>
      <c r="L352" s="16">
        <f>IFERROR(__xludf.DUMMYFUNCTION("""COMPUTED_VALUE"""),0.0)</f>
        <v>0</v>
      </c>
      <c r="M352" s="16">
        <f>IFERROR(__xludf.DUMMYFUNCTION("""COMPUTED_VALUE"""),8.0)</f>
        <v>8</v>
      </c>
      <c r="N352" s="16">
        <f>IFERROR(__xludf.DUMMYFUNCTION("""COMPUTED_VALUE"""),3.0)</f>
        <v>3</v>
      </c>
      <c r="O352" s="16">
        <f>IFERROR(__xludf.DUMMYFUNCTION("""COMPUTED_VALUE"""),0.0)</f>
        <v>0</v>
      </c>
      <c r="P352" s="16">
        <f>IFERROR(__xludf.DUMMYFUNCTION("""COMPUTED_VALUE"""),2.0)</f>
        <v>2</v>
      </c>
      <c r="Q352" s="16">
        <f>IFERROR(__xludf.DUMMYFUNCTION("""COMPUTED_VALUE"""),0.0)</f>
        <v>0</v>
      </c>
      <c r="R352" s="16">
        <f>IFERROR(__xludf.DUMMYFUNCTION("""COMPUTED_VALUE"""),2.0)</f>
        <v>2</v>
      </c>
      <c r="S352" s="16">
        <f>IFERROR(__xludf.DUMMYFUNCTION("""COMPUTED_VALUE"""),21.8)</f>
        <v>21.8</v>
      </c>
      <c r="T352" s="16">
        <f>IFERROR(__xludf.DUMMYFUNCTION("""COMPUTED_VALUE"""),21.0)</f>
        <v>21</v>
      </c>
      <c r="U352" s="16">
        <f>IFERROR(__xludf.DUMMYFUNCTION("""COMPUTED_VALUE"""),-1.0)</f>
        <v>-1</v>
      </c>
      <c r="V352" s="16">
        <f>IFERROR(__xludf.DUMMYFUNCTION("""COMPUTED_VALUE"""),-1.0)</f>
        <v>-1</v>
      </c>
      <c r="W352" s="16">
        <f>IFERROR(__xludf.DUMMYFUNCTION("""COMPUTED_VALUE"""),-2.0)</f>
        <v>-2</v>
      </c>
      <c r="X352" s="16">
        <f>IFERROR(__xludf.DUMMYFUNCTION("""COMPUTED_VALUE"""),-2.0)</f>
        <v>-2</v>
      </c>
      <c r="Y352" s="16">
        <f>IFERROR(__xludf.DUMMYFUNCTION("""COMPUTED_VALUE"""),29.8)</f>
        <v>29.8</v>
      </c>
      <c r="Z352" s="16">
        <f>IFERROR(__xludf.DUMMYFUNCTION("""COMPUTED_VALUE"""),24.0)</f>
        <v>24</v>
      </c>
      <c r="AA352" s="16">
        <f>IFERROR(__xludf.DUMMYFUNCTION("""COMPUTED_VALUE"""),-1.0)</f>
        <v>-1</v>
      </c>
      <c r="AB352" s="16">
        <f>IFERROR(__xludf.DUMMYFUNCTION("""COMPUTED_VALUE"""),0.0)</f>
        <v>0</v>
      </c>
      <c r="AC352" s="16">
        <f>IFERROR(__xludf.DUMMYFUNCTION("""COMPUTED_VALUE"""),-5.0)</f>
        <v>-5</v>
      </c>
      <c r="AD352" s="16">
        <f>IFERROR(__xludf.DUMMYFUNCTION("""COMPUTED_VALUE"""),0.0)</f>
        <v>0</v>
      </c>
      <c r="AE352" s="16">
        <f>IFERROR(__xludf.DUMMYFUNCTION("""COMPUTED_VALUE"""),35.6)</f>
        <v>35.6</v>
      </c>
      <c r="AF352" s="16">
        <f>IFERROR(__xludf.DUMMYFUNCTION("""COMPUTED_VALUE"""),24.3)</f>
        <v>24.3</v>
      </c>
      <c r="AG352" s="16">
        <f>IFERROR(__xludf.DUMMYFUNCTION("""COMPUTED_VALUE"""),-1.0)</f>
        <v>-1</v>
      </c>
      <c r="AH352" s="16">
        <f>IFERROR(__xludf.DUMMYFUNCTION("""COMPUTED_VALUE"""),0.0)</f>
        <v>0</v>
      </c>
      <c r="AI352" s="16">
        <f>IFERROR(__xludf.DUMMYFUNCTION("""COMPUTED_VALUE"""),-2.0)</f>
        <v>-2</v>
      </c>
      <c r="AJ352" s="16">
        <f>IFERROR(__xludf.DUMMYFUNCTION("""COMPUTED_VALUE"""),0.0)</f>
        <v>0</v>
      </c>
      <c r="AK352" s="16">
        <f>IFERROR(__xludf.DUMMYFUNCTION("""COMPUTED_VALUE"""),18.400000000000002)</f>
        <v>18.4</v>
      </c>
      <c r="AL352" s="16">
        <f>IFERROR(__xludf.DUMMYFUNCTION("""COMPUTED_VALUE"""),20.8)</f>
        <v>20.8</v>
      </c>
      <c r="AM352" s="16">
        <f>IFERROR(__xludf.DUMMYFUNCTION("""COMPUTED_VALUE"""),-1.0)</f>
        <v>-1</v>
      </c>
      <c r="AN352" s="16">
        <f>IFERROR(__xludf.DUMMYFUNCTION("""COMPUTED_VALUE"""),-1.0)</f>
        <v>-1</v>
      </c>
      <c r="AO352" s="16">
        <f>IFERROR(__xludf.DUMMYFUNCTION("""COMPUTED_VALUE"""),-1.0)</f>
        <v>-1</v>
      </c>
      <c r="AP352" s="16">
        <f>IFERROR(__xludf.DUMMYFUNCTION("""COMPUTED_VALUE"""),-1.0)</f>
        <v>-1</v>
      </c>
      <c r="AQ352" s="16">
        <f>IFERROR(__xludf.DUMMYFUNCTION("""COMPUTED_VALUE"""),22.0)</f>
        <v>22</v>
      </c>
      <c r="AR352" s="16">
        <f>IFERROR(__xludf.DUMMYFUNCTION("""COMPUTED_VALUE"""),23.5)</f>
        <v>23.5</v>
      </c>
      <c r="AS352" s="16">
        <f>IFERROR(__xludf.DUMMYFUNCTION("""COMPUTED_VALUE"""),0.0)</f>
        <v>0</v>
      </c>
      <c r="AT352" s="16">
        <f>IFERROR(__xludf.DUMMYFUNCTION("""COMPUTED_VALUE"""),-1.0)</f>
        <v>-1</v>
      </c>
      <c r="AU352" s="16">
        <f>IFERROR(__xludf.DUMMYFUNCTION("""COMPUTED_VALUE"""),0.0)</f>
        <v>0</v>
      </c>
      <c r="AV352" s="16">
        <f>IFERROR(__xludf.DUMMYFUNCTION("""COMPUTED_VALUE"""),-2.0)</f>
        <v>-2</v>
      </c>
      <c r="AW352" s="16">
        <f>IFERROR(__xludf.DUMMYFUNCTION("""COMPUTED_VALUE"""),3.4)</f>
        <v>3.4</v>
      </c>
      <c r="AX352" s="16">
        <f>IFERROR(__xludf.DUMMYFUNCTION("""COMPUTED_VALUE"""),0.2)</f>
        <v>0.2</v>
      </c>
      <c r="AY352" s="16">
        <f>IFERROR(__xludf.DUMMYFUNCTION("""COMPUTED_VALUE"""),-2.0)</f>
        <v>-2</v>
      </c>
      <c r="AZ352" s="16">
        <f>IFERROR(__xludf.DUMMYFUNCTION("""COMPUTED_VALUE"""),2.0)</f>
        <v>2</v>
      </c>
      <c r="BA352" s="16">
        <f>IFERROR(__xludf.DUMMYFUNCTION("""COMPUTED_VALUE"""),-10.0)</f>
        <v>-10</v>
      </c>
      <c r="BB352" s="16">
        <f>IFERROR(__xludf.DUMMYFUNCTION("""COMPUTED_VALUE"""),10.0)</f>
        <v>10</v>
      </c>
      <c r="BC352" s="16">
        <f>IFERROR(__xludf.DUMMYFUNCTION("""COMPUTED_VALUE"""),7.0)</f>
        <v>7</v>
      </c>
      <c r="BD352" s="16">
        <f>IFERROR(__xludf.DUMMYFUNCTION("""COMPUTED_VALUE"""),0.0)</f>
        <v>0</v>
      </c>
      <c r="BE352" s="16">
        <f>IFERROR(__xludf.DUMMYFUNCTION("""COMPUTED_VALUE"""),7.0)</f>
        <v>7</v>
      </c>
      <c r="BF352" s="16">
        <f>IFERROR(__xludf.DUMMYFUNCTION("""COMPUTED_VALUE"""),0.0)</f>
        <v>0</v>
      </c>
      <c r="BG352" s="16">
        <f>IFERROR(__xludf.DUMMYFUNCTION("""COMPUTED_VALUE"""),-3.0)</f>
        <v>-3</v>
      </c>
      <c r="BH352" s="16">
        <f>IFERROR(__xludf.DUMMYFUNCTION("""COMPUTED_VALUE"""),2.0)</f>
        <v>2</v>
      </c>
      <c r="BI352" s="16">
        <f>IFERROR(__xludf.DUMMYFUNCTION("""COMPUTED_VALUE"""),-6.0)</f>
        <v>-6</v>
      </c>
      <c r="BJ352" s="16">
        <f>IFERROR(__xludf.DUMMYFUNCTION("""COMPUTED_VALUE"""),4.0)</f>
        <v>4</v>
      </c>
      <c r="BK352" s="16">
        <f>IFERROR(__xludf.DUMMYFUNCTION("""COMPUTED_VALUE"""),5.0)</f>
        <v>5</v>
      </c>
      <c r="BL352" s="16">
        <f>IFERROR(__xludf.DUMMYFUNCTION("""COMPUTED_VALUE"""),5.0)</f>
        <v>5</v>
      </c>
      <c r="BM352" s="16">
        <f>IFERROR(__xludf.DUMMYFUNCTION("""COMPUTED_VALUE"""),0.0)</f>
        <v>0</v>
      </c>
      <c r="BN352" s="16">
        <f>IFERROR(__xludf.DUMMYFUNCTION("""COMPUTED_VALUE"""),0.0)</f>
        <v>0</v>
      </c>
      <c r="BO352" s="16">
        <f>IFERROR(__xludf.DUMMYFUNCTION("""COMPUTED_VALUE"""),0.0)</f>
        <v>0</v>
      </c>
      <c r="BP352" s="16">
        <f>IFERROR(__xludf.DUMMYFUNCTION("""COMPUTED_VALUE"""),0.0)</f>
        <v>0</v>
      </c>
      <c r="BQ352" s="16">
        <f>IFERROR(__xludf.DUMMYFUNCTION("""COMPUTED_VALUE"""),8.0)</f>
        <v>8</v>
      </c>
      <c r="BR352" s="16">
        <f>IFERROR(__xludf.DUMMYFUNCTION("""COMPUTED_VALUE"""),8.0)</f>
        <v>8</v>
      </c>
      <c r="BS352" s="16">
        <f>IFERROR(__xludf.DUMMYFUNCTION("""COMPUTED_VALUE"""),2.0)</f>
        <v>2</v>
      </c>
      <c r="BT352" s="16">
        <f>IFERROR(__xludf.DUMMYFUNCTION("""COMPUTED_VALUE"""),2.0)</f>
        <v>2</v>
      </c>
      <c r="BU352" s="16">
        <f>IFERROR(__xludf.DUMMYFUNCTION("""COMPUTED_VALUE"""),4.0)</f>
        <v>4</v>
      </c>
      <c r="BV352" s="16">
        <f>IFERROR(__xludf.DUMMYFUNCTION("""COMPUTED_VALUE"""),4.0)</f>
        <v>4</v>
      </c>
      <c r="BW352" s="16">
        <f>IFERROR(__xludf.DUMMYFUNCTION("""COMPUTED_VALUE"""),0.0)</f>
        <v>0</v>
      </c>
      <c r="BX352" s="16">
        <f>IFERROR(__xludf.DUMMYFUNCTION("""COMPUTED_VALUE"""),0.0)</f>
        <v>0</v>
      </c>
      <c r="BY352" s="16" t="str">
        <f>IFERROR(__xludf.DUMMYFUNCTION("""COMPUTED_VALUE"""),"R(1) C(0)")</f>
        <v>R(1) C(0)</v>
      </c>
      <c r="BZ352" s="16" t="str">
        <f>IFERROR(__xludf.DUMMYFUNCTION("""COMPUTED_VALUE"""),"R(1) C(0)")</f>
        <v>R(1) C(0)</v>
      </c>
      <c r="CA352" s="16" t="str">
        <f>IFERROR(__xludf.DUMMYFUNCTION("""COMPUTED_VALUE"""),"R(1)")</f>
        <v>R(1)</v>
      </c>
      <c r="CB352" s="16" t="str">
        <f>IFERROR(__xludf.DUMMYFUNCTION("""COMPUTED_VALUE"""),"C(0)")</f>
        <v>C(0)</v>
      </c>
      <c r="CC352" s="16"/>
      <c r="CD352" s="16"/>
      <c r="CE352" s="16">
        <f>IFERROR(__xludf.DUMMYFUNCTION("""COMPUTED_VALUE"""),1.0)</f>
        <v>1</v>
      </c>
      <c r="CF352" s="16">
        <f>IFERROR(__xludf.DUMMYFUNCTION("""COMPUTED_VALUE"""),0.0)</f>
        <v>0</v>
      </c>
      <c r="CG352" s="16" t="str">
        <f>IFERROR(__xludf.DUMMYFUNCTION("""COMPUTED_VALUE"""),"3-0")</f>
        <v>3-0</v>
      </c>
      <c r="CH352" s="16">
        <f>IFERROR(__xludf.DUMMYFUNCTION("""COMPUTED_VALUE"""),3.0)</f>
        <v>3</v>
      </c>
      <c r="CI352" s="16">
        <f>IFERROR(__xludf.DUMMYFUNCTION("""COMPUTED_VALUE"""),0.0)</f>
        <v>0</v>
      </c>
      <c r="CJ352" s="16">
        <f>IFERROR(__xludf.DUMMYFUNCTION("""COMPUTED_VALUE"""),0.0)</f>
        <v>0</v>
      </c>
      <c r="CK352" s="16">
        <f>IFERROR(__xludf.DUMMYFUNCTION("""COMPUTED_VALUE"""),6.0)</f>
        <v>6</v>
      </c>
      <c r="CL352" s="16" t="str">
        <f>IFERROR(__xludf.DUMMYFUNCTION("""COMPUTED_VALUE"""),"1WR-C")</f>
        <v>1WR-C</v>
      </c>
      <c r="CM352" s="16" t="str">
        <f>IFERROR(__xludf.DUMMYFUNCTION("""COMPUTED_VALUE"""),"E")</f>
        <v>E</v>
      </c>
      <c r="CN352" s="16">
        <f>IFERROR(__xludf.DUMMYFUNCTION("""COMPUTED_VALUE"""),10.0)</f>
        <v>10</v>
      </c>
      <c r="CO352" s="16" t="str">
        <f>IFERROR(__xludf.DUMMYFUNCTION("""COMPUTED_VALUE"""),"C")</f>
        <v>C</v>
      </c>
      <c r="CP352" s="16" t="str">
        <f>IFERROR(__xludf.DUMMYFUNCTION("""COMPUTED_VALUE"""),"1p50")</f>
        <v>1p50</v>
      </c>
      <c r="CQ352" s="16">
        <f>IFERROR(__xludf.DUMMYFUNCTION("""COMPUTED_VALUE"""),-25.0)</f>
        <v>-25</v>
      </c>
      <c r="CR352" s="16">
        <f>IFERROR(__xludf.DUMMYFUNCTION("""COMPUTED_VALUE"""),15.0)</f>
        <v>15</v>
      </c>
      <c r="CS352" s="16">
        <f>IFERROR(__xludf.DUMMYFUNCTION("""COMPUTED_VALUE"""),-10.0)</f>
        <v>-10</v>
      </c>
      <c r="CT352" s="16">
        <f>IFERROR(__xludf.DUMMYFUNCTION("""COMPUTED_VALUE"""),-25.0)</f>
        <v>-25</v>
      </c>
      <c r="CU352" s="16">
        <f>IFERROR(__xludf.DUMMYFUNCTION("""COMPUTED_VALUE"""),15.0)</f>
        <v>15</v>
      </c>
      <c r="CV352" s="179">
        <f>IFERROR(__xludf.DUMMYFUNCTION("""COMPUTED_VALUE"""),-7.666666666666666)</f>
        <v>-7.666666667</v>
      </c>
      <c r="CW352" s="179">
        <f>IFERROR(__xludf.DUMMYFUNCTION("""COMPUTED_VALUE"""),4.0)</f>
        <v>4</v>
      </c>
      <c r="CX352" s="179">
        <f>IFERROR(__xludf.DUMMYFUNCTION("""COMPUTED_VALUE"""),0.0)</f>
        <v>0</v>
      </c>
      <c r="CY352" s="16" t="str">
        <f>IFERROR(__xludf.DUMMYFUNCTION("""COMPUTED_VALUE"""),"RP")</f>
        <v>RP</v>
      </c>
      <c r="CZ352" s="16" t="str">
        <f>IFERROR(__xludf.DUMMYFUNCTION("""COMPUTED_VALUE"""),"CP")</f>
        <v>CP</v>
      </c>
      <c r="DA352" s="16"/>
      <c r="DB352" s="16"/>
      <c r="DC352" s="16"/>
      <c r="DD352" s="16"/>
      <c r="DE352" s="16"/>
      <c r="DF352" s="16"/>
      <c r="DG352" s="16"/>
      <c r="DH352" s="16"/>
      <c r="DI352" s="16"/>
      <c r="DJ352" s="16"/>
      <c r="DK352" s="16"/>
    </row>
    <row r="353">
      <c r="A353" s="16">
        <f>IFERROR(__xludf.DUMMYFUNCTION("""COMPUTED_VALUE"""),13041.0)</f>
        <v>13041</v>
      </c>
      <c r="B353" s="16" t="str">
        <f>IFERROR(__xludf.DUMMYFUNCTION("""COMPUTED_VALUE"""),"Josh Winckowski")</f>
        <v>Josh Winckowski</v>
      </c>
      <c r="C353" s="153">
        <f>IFERROR(__xludf.DUMMYFUNCTION("""COMPUTED_VALUE"""),0.23)</f>
        <v>0.23</v>
      </c>
      <c r="D353" s="16"/>
      <c r="E353" s="16" t="str">
        <f>IFERROR(__xludf.DUMMYFUNCTION("""COMPUTED_VALUE"""),"R")</f>
        <v>R</v>
      </c>
      <c r="F353" s="16">
        <f>IFERROR(__xludf.DUMMYFUNCTION("""COMPUTED_VALUE"""),76.0)</f>
        <v>76</v>
      </c>
      <c r="G353" s="16">
        <f>IFERROR(__xludf.DUMMYFUNCTION("""COMPUTED_VALUE"""),20.0)</f>
        <v>20</v>
      </c>
      <c r="H353" s="16">
        <f>IFERROR(__xludf.DUMMYFUNCTION("""COMPUTED_VALUE"""),11.0)</f>
        <v>11</v>
      </c>
      <c r="I353" s="16">
        <f>IFERROR(__xludf.DUMMYFUNCTION("""COMPUTED_VALUE"""),-1.0)</f>
        <v>-1</v>
      </c>
      <c r="J353" s="16">
        <f>IFERROR(__xludf.DUMMYFUNCTION("""COMPUTED_VALUE"""),-2.0)</f>
        <v>-2</v>
      </c>
      <c r="K353" s="16">
        <f>IFERROR(__xludf.DUMMYFUNCTION("""COMPUTED_VALUE"""),-3.0)</f>
        <v>-3</v>
      </c>
      <c r="L353" s="16">
        <f>IFERROR(__xludf.DUMMYFUNCTION("""COMPUTED_VALUE"""),-6.0)</f>
        <v>-6</v>
      </c>
      <c r="M353" s="16">
        <f>IFERROR(__xludf.DUMMYFUNCTION("""COMPUTED_VALUE"""),5.0)</f>
        <v>5</v>
      </c>
      <c r="N353" s="16">
        <f>IFERROR(__xludf.DUMMYFUNCTION("""COMPUTED_VALUE"""),8.0)</f>
        <v>8</v>
      </c>
      <c r="O353" s="16">
        <f>IFERROR(__xludf.DUMMYFUNCTION("""COMPUTED_VALUE"""),2.0)</f>
        <v>2</v>
      </c>
      <c r="P353" s="16">
        <f>IFERROR(__xludf.DUMMYFUNCTION("""COMPUTED_VALUE"""),0.0)</f>
        <v>0</v>
      </c>
      <c r="Q353" s="16">
        <f>IFERROR(__xludf.DUMMYFUNCTION("""COMPUTED_VALUE"""),2.0)</f>
        <v>2</v>
      </c>
      <c r="R353" s="16">
        <f>IFERROR(__xludf.DUMMYFUNCTION("""COMPUTED_VALUE"""),0.0)</f>
        <v>0</v>
      </c>
      <c r="S353" s="16">
        <f>IFERROR(__xludf.DUMMYFUNCTION("""COMPUTED_VALUE"""),22.6)</f>
        <v>22.6</v>
      </c>
      <c r="T353" s="16">
        <f>IFERROR(__xludf.DUMMYFUNCTION("""COMPUTED_VALUE"""),18.0)</f>
        <v>18</v>
      </c>
      <c r="U353" s="16">
        <f>IFERROR(__xludf.DUMMYFUNCTION("""COMPUTED_VALUE"""),-1.0)</f>
        <v>-1</v>
      </c>
      <c r="V353" s="16">
        <f>IFERROR(__xludf.DUMMYFUNCTION("""COMPUTED_VALUE"""),0.0)</f>
        <v>0</v>
      </c>
      <c r="W353" s="16">
        <f>IFERROR(__xludf.DUMMYFUNCTION("""COMPUTED_VALUE"""),-2.0)</f>
        <v>-2</v>
      </c>
      <c r="X353" s="16">
        <f>IFERROR(__xludf.DUMMYFUNCTION("""COMPUTED_VALUE"""),0.0)</f>
        <v>0</v>
      </c>
      <c r="Y353" s="16">
        <f>IFERROR(__xludf.DUMMYFUNCTION("""COMPUTED_VALUE"""),27.6)</f>
        <v>27.6</v>
      </c>
      <c r="Z353" s="16">
        <f>IFERROR(__xludf.DUMMYFUNCTION("""COMPUTED_VALUE"""),26.0)</f>
        <v>26</v>
      </c>
      <c r="AA353" s="16">
        <f>IFERROR(__xludf.DUMMYFUNCTION("""COMPUTED_VALUE"""),0.0)</f>
        <v>0</v>
      </c>
      <c r="AB353" s="16">
        <f>IFERROR(__xludf.DUMMYFUNCTION("""COMPUTED_VALUE"""),0.0)</f>
        <v>0</v>
      </c>
      <c r="AC353" s="16">
        <f>IFERROR(__xludf.DUMMYFUNCTION("""COMPUTED_VALUE"""),0.0)</f>
        <v>0</v>
      </c>
      <c r="AD353" s="16">
        <f>IFERROR(__xludf.DUMMYFUNCTION("""COMPUTED_VALUE"""),0.0)</f>
        <v>0</v>
      </c>
      <c r="AE353" s="16">
        <f>IFERROR(__xludf.DUMMYFUNCTION("""COMPUTED_VALUE"""),35.3)</f>
        <v>35.3</v>
      </c>
      <c r="AF353" s="16">
        <f>IFERROR(__xludf.DUMMYFUNCTION("""COMPUTED_VALUE"""),28.7)</f>
        <v>28.7</v>
      </c>
      <c r="AG353" s="16">
        <f>IFERROR(__xludf.DUMMYFUNCTION("""COMPUTED_VALUE"""),-1.0)</f>
        <v>-1</v>
      </c>
      <c r="AH353" s="16">
        <f>IFERROR(__xludf.DUMMYFUNCTION("""COMPUTED_VALUE"""),0.0)</f>
        <v>0</v>
      </c>
      <c r="AI353" s="16">
        <f>IFERROR(__xludf.DUMMYFUNCTION("""COMPUTED_VALUE"""),-2.0)</f>
        <v>-2</v>
      </c>
      <c r="AJ353" s="16">
        <f>IFERROR(__xludf.DUMMYFUNCTION("""COMPUTED_VALUE"""),0.0)</f>
        <v>0</v>
      </c>
      <c r="AK353" s="16">
        <f>IFERROR(__xludf.DUMMYFUNCTION("""COMPUTED_VALUE"""),19.6)</f>
        <v>19.6</v>
      </c>
      <c r="AL353" s="16">
        <f>IFERROR(__xludf.DUMMYFUNCTION("""COMPUTED_VALUE"""),16.8)</f>
        <v>16.8</v>
      </c>
      <c r="AM353" s="16">
        <f>IFERROR(__xludf.DUMMYFUNCTION("""COMPUTED_VALUE"""),-1.0)</f>
        <v>-1</v>
      </c>
      <c r="AN353" s="16">
        <f>IFERROR(__xludf.DUMMYFUNCTION("""COMPUTED_VALUE"""),-1.0)</f>
        <v>-1</v>
      </c>
      <c r="AO353" s="16">
        <f>IFERROR(__xludf.DUMMYFUNCTION("""COMPUTED_VALUE"""),-1.0)</f>
        <v>-1</v>
      </c>
      <c r="AP353" s="16">
        <f>IFERROR(__xludf.DUMMYFUNCTION("""COMPUTED_VALUE"""),-1.0)</f>
        <v>-1</v>
      </c>
      <c r="AQ353" s="16">
        <f>IFERROR(__xludf.DUMMYFUNCTION("""COMPUTED_VALUE"""),23.299999999999997)</f>
        <v>23.3</v>
      </c>
      <c r="AR353" s="16">
        <f>IFERROR(__xludf.DUMMYFUNCTION("""COMPUTED_VALUE"""),23.9)</f>
        <v>23.9</v>
      </c>
      <c r="AS353" s="16">
        <f>IFERROR(__xludf.DUMMYFUNCTION("""COMPUTED_VALUE"""),0.0)</f>
        <v>0</v>
      </c>
      <c r="AT353" s="16">
        <f>IFERROR(__xludf.DUMMYFUNCTION("""COMPUTED_VALUE"""),-1.0)</f>
        <v>-1</v>
      </c>
      <c r="AU353" s="16">
        <f>IFERROR(__xludf.DUMMYFUNCTION("""COMPUTED_VALUE"""),0.0)</f>
        <v>0</v>
      </c>
      <c r="AV353" s="16">
        <f>IFERROR(__xludf.DUMMYFUNCTION("""COMPUTED_VALUE"""),-2.0)</f>
        <v>-2</v>
      </c>
      <c r="AW353" s="16">
        <f>IFERROR(__xludf.DUMMYFUNCTION("""COMPUTED_VALUE"""),3.0)</f>
        <v>3</v>
      </c>
      <c r="AX353" s="16">
        <f>IFERROR(__xludf.DUMMYFUNCTION("""COMPUTED_VALUE"""),1.2)</f>
        <v>1.2</v>
      </c>
      <c r="AY353" s="16">
        <f>IFERROR(__xludf.DUMMYFUNCTION("""COMPUTED_VALUE"""),-1.0)</f>
        <v>-1</v>
      </c>
      <c r="AZ353" s="16">
        <f>IFERROR(__xludf.DUMMYFUNCTION("""COMPUTED_VALUE"""),1.0)</f>
        <v>1</v>
      </c>
      <c r="BA353" s="16">
        <f>IFERROR(__xludf.DUMMYFUNCTION("""COMPUTED_VALUE"""),-5.0)</f>
        <v>-5</v>
      </c>
      <c r="BB353" s="16">
        <f>IFERROR(__xludf.DUMMYFUNCTION("""COMPUTED_VALUE"""),5.0)</f>
        <v>5</v>
      </c>
      <c r="BC353" s="16">
        <f>IFERROR(__xludf.DUMMYFUNCTION("""COMPUTED_VALUE"""),5.0)</f>
        <v>5</v>
      </c>
      <c r="BD353" s="16">
        <f>IFERROR(__xludf.DUMMYFUNCTION("""COMPUTED_VALUE"""),2.0)</f>
        <v>2</v>
      </c>
      <c r="BE353" s="16">
        <f>IFERROR(__xludf.DUMMYFUNCTION("""COMPUTED_VALUE"""),5.0)</f>
        <v>5</v>
      </c>
      <c r="BF353" s="16">
        <f>IFERROR(__xludf.DUMMYFUNCTION("""COMPUTED_VALUE"""),2.0)</f>
        <v>2</v>
      </c>
      <c r="BG353" s="16">
        <f>IFERROR(__xludf.DUMMYFUNCTION("""COMPUTED_VALUE"""),-2.0)</f>
        <v>-2</v>
      </c>
      <c r="BH353" s="16">
        <f>IFERROR(__xludf.DUMMYFUNCTION("""COMPUTED_VALUE"""),1.0)</f>
        <v>1</v>
      </c>
      <c r="BI353" s="16">
        <f>IFERROR(__xludf.DUMMYFUNCTION("""COMPUTED_VALUE"""),-4.0)</f>
        <v>-4</v>
      </c>
      <c r="BJ353" s="16">
        <f>IFERROR(__xludf.DUMMYFUNCTION("""COMPUTED_VALUE"""),2.0)</f>
        <v>2</v>
      </c>
      <c r="BK353" s="16">
        <f>IFERROR(__xludf.DUMMYFUNCTION("""COMPUTED_VALUE"""),5.0)</f>
        <v>5</v>
      </c>
      <c r="BL353" s="16">
        <f>IFERROR(__xludf.DUMMYFUNCTION("""COMPUTED_VALUE"""),5.0)</f>
        <v>5</v>
      </c>
      <c r="BM353" s="16">
        <f>IFERROR(__xludf.DUMMYFUNCTION("""COMPUTED_VALUE"""),0.0)</f>
        <v>0</v>
      </c>
      <c r="BN353" s="16">
        <f>IFERROR(__xludf.DUMMYFUNCTION("""COMPUTED_VALUE"""),0.0)</f>
        <v>0</v>
      </c>
      <c r="BO353" s="16">
        <f>IFERROR(__xludf.DUMMYFUNCTION("""COMPUTED_VALUE"""),0.0)</f>
        <v>0</v>
      </c>
      <c r="BP353" s="16">
        <f>IFERROR(__xludf.DUMMYFUNCTION("""COMPUTED_VALUE"""),0.0)</f>
        <v>0</v>
      </c>
      <c r="BQ353" s="16">
        <f>IFERROR(__xludf.DUMMYFUNCTION("""COMPUTED_VALUE"""),3.0)</f>
        <v>3</v>
      </c>
      <c r="BR353" s="16">
        <f>IFERROR(__xludf.DUMMYFUNCTION("""COMPUTED_VALUE"""),3.0)</f>
        <v>3</v>
      </c>
      <c r="BS353" s="16">
        <f>IFERROR(__xludf.DUMMYFUNCTION("""COMPUTED_VALUE"""),-1.0)</f>
        <v>-1</v>
      </c>
      <c r="BT353" s="16">
        <f>IFERROR(__xludf.DUMMYFUNCTION("""COMPUTED_VALUE"""),-1.0)</f>
        <v>-1</v>
      </c>
      <c r="BU353" s="16">
        <f>IFERROR(__xludf.DUMMYFUNCTION("""COMPUTED_VALUE"""),-2.0)</f>
        <v>-2</v>
      </c>
      <c r="BV353" s="16">
        <f>IFERROR(__xludf.DUMMYFUNCTION("""COMPUTED_VALUE"""),-2.0)</f>
        <v>-2</v>
      </c>
      <c r="BW353" s="16">
        <f>IFERROR(__xludf.DUMMYFUNCTION("""COMPUTED_VALUE"""),-1.0)</f>
        <v>-1</v>
      </c>
      <c r="BX353" s="16">
        <f>IFERROR(__xludf.DUMMYFUNCTION("""COMPUTED_VALUE"""),-1.0)</f>
        <v>-1</v>
      </c>
      <c r="BY353" s="16" t="str">
        <f>IFERROR(__xludf.DUMMYFUNCTION("""COMPUTED_VALUE"""),"S(4) R(3) C(1)")</f>
        <v>S(4) R(3) C(1)</v>
      </c>
      <c r="BZ353" s="16" t="str">
        <f>IFERROR(__xludf.DUMMYFUNCTION("""COMPUTED_VALUE"""),"S(4) R(3) C(1)")</f>
        <v>S(4) R(3) C(1)</v>
      </c>
      <c r="CA353" s="16" t="str">
        <f>IFERROR(__xludf.DUMMYFUNCTION("""COMPUTED_VALUE"""),"S(4)")</f>
        <v>S(4)</v>
      </c>
      <c r="CB353" s="16" t="str">
        <f>IFERROR(__xludf.DUMMYFUNCTION("""COMPUTED_VALUE"""),"R(3)")</f>
        <v>R(3)</v>
      </c>
      <c r="CC353" s="16" t="str">
        <f>IFERROR(__xludf.DUMMYFUNCTION("""COMPUTED_VALUE"""),"C(1)")</f>
        <v>C(1)</v>
      </c>
      <c r="CD353" s="16">
        <f>IFERROR(__xludf.DUMMYFUNCTION("""COMPUTED_VALUE"""),4.0)</f>
        <v>4</v>
      </c>
      <c r="CE353" s="16">
        <f>IFERROR(__xludf.DUMMYFUNCTION("""COMPUTED_VALUE"""),3.0)</f>
        <v>3</v>
      </c>
      <c r="CF353" s="16">
        <f>IFERROR(__xludf.DUMMYFUNCTION("""COMPUTED_VALUE"""),1.0)</f>
        <v>1</v>
      </c>
      <c r="CG353" s="16" t="str">
        <f>IFERROR(__xludf.DUMMYFUNCTION("""COMPUTED_VALUE"""),"3-0")</f>
        <v>3-0</v>
      </c>
      <c r="CH353" s="16">
        <f>IFERROR(__xludf.DUMMYFUNCTION("""COMPUTED_VALUE"""),3.0)</f>
        <v>3</v>
      </c>
      <c r="CI353" s="16">
        <f>IFERROR(__xludf.DUMMYFUNCTION("""COMPUTED_VALUE"""),0.0)</f>
        <v>0</v>
      </c>
      <c r="CJ353" s="16">
        <f>IFERROR(__xludf.DUMMYFUNCTION("""COMPUTED_VALUE"""),0.0)</f>
        <v>0</v>
      </c>
      <c r="CK353" s="16">
        <f>IFERROR(__xludf.DUMMYFUNCTION("""COMPUTED_VALUE"""),2.0)</f>
        <v>2</v>
      </c>
      <c r="CL353" s="16" t="str">
        <f>IFERROR(__xludf.DUMMYFUNCTION("""COMPUTED_VALUE"""),"1WR-C")</f>
        <v>1WR-C</v>
      </c>
      <c r="CM353" s="16" t="str">
        <f>IFERROR(__xludf.DUMMYFUNCTION("""COMPUTED_VALUE"""),"E")</f>
        <v>E</v>
      </c>
      <c r="CN353" s="16">
        <f>IFERROR(__xludf.DUMMYFUNCTION("""COMPUTED_VALUE"""),10.0)</f>
        <v>10</v>
      </c>
      <c r="CO353" s="16" t="str">
        <f>IFERROR(__xludf.DUMMYFUNCTION("""COMPUTED_VALUE"""),"C")</f>
        <v>C</v>
      </c>
      <c r="CP353" s="16" t="str">
        <f>IFERROR(__xludf.DUMMYFUNCTION("""COMPUTED_VALUE"""),"1p40")</f>
        <v>1p40</v>
      </c>
      <c r="CQ353" s="16">
        <f>IFERROR(__xludf.DUMMYFUNCTION("""COMPUTED_VALUE"""),-17.0)</f>
        <v>-17</v>
      </c>
      <c r="CR353" s="16">
        <f>IFERROR(__xludf.DUMMYFUNCTION("""COMPUTED_VALUE"""),-4.0)</f>
        <v>-4</v>
      </c>
      <c r="CS353" s="16">
        <f>IFERROR(__xludf.DUMMYFUNCTION("""COMPUTED_VALUE"""),-21.0)</f>
        <v>-21</v>
      </c>
      <c r="CT353" s="16">
        <f>IFERROR(__xludf.DUMMYFUNCTION("""COMPUTED_VALUE"""),-17.0)</f>
        <v>-17</v>
      </c>
      <c r="CU353" s="16">
        <f>IFERROR(__xludf.DUMMYFUNCTION("""COMPUTED_VALUE"""),-4.0)</f>
        <v>-4</v>
      </c>
      <c r="CV353" s="179">
        <f>IFERROR(__xludf.DUMMYFUNCTION("""COMPUTED_VALUE"""),-7.666666666666666)</f>
        <v>-7.666666667</v>
      </c>
      <c r="CW353" s="179">
        <f>IFERROR(__xludf.DUMMYFUNCTION("""COMPUTED_VALUE"""),4.0)</f>
        <v>4</v>
      </c>
      <c r="CX353" s="179">
        <f>IFERROR(__xludf.DUMMYFUNCTION("""COMPUTED_VALUE"""),1.0)</f>
        <v>1</v>
      </c>
      <c r="CY353" s="16" t="str">
        <f>IFERROR(__xludf.DUMMYFUNCTION("""COMPUTED_VALUE"""),"SP")</f>
        <v>SP</v>
      </c>
      <c r="CZ353" s="16" t="str">
        <f>IFERROR(__xludf.DUMMYFUNCTION("""COMPUTED_VALUE"""),"RP")</f>
        <v>RP</v>
      </c>
      <c r="DA353" s="16" t="str">
        <f>IFERROR(__xludf.DUMMYFUNCTION("""COMPUTED_VALUE"""),"CP")</f>
        <v>CP</v>
      </c>
      <c r="DB353" s="16"/>
      <c r="DC353" s="16"/>
      <c r="DD353" s="16"/>
      <c r="DE353" s="16"/>
      <c r="DF353" s="16"/>
      <c r="DG353" s="16"/>
      <c r="DH353" s="16"/>
      <c r="DI353" s="16"/>
      <c r="DJ353" s="16"/>
      <c r="DK353" s="16"/>
    </row>
    <row r="354">
      <c r="A354" s="16">
        <f>IFERROR(__xludf.DUMMYFUNCTION("""COMPUTED_VALUE"""),12739.0)</f>
        <v>12739</v>
      </c>
      <c r="B354" s="16" t="str">
        <f>IFERROR(__xludf.DUMMYFUNCTION("""COMPUTED_VALUE"""),"David Festa")</f>
        <v>David Festa</v>
      </c>
      <c r="C354" s="153">
        <f>IFERROR(__xludf.DUMMYFUNCTION("""COMPUTED_VALUE"""),0.28)</f>
        <v>0.28</v>
      </c>
      <c r="D354" s="16"/>
      <c r="E354" s="16" t="str">
        <f>IFERROR(__xludf.DUMMYFUNCTION("""COMPUTED_VALUE"""),"R")</f>
        <v>R</v>
      </c>
      <c r="F354" s="16">
        <f>IFERROR(__xludf.DUMMYFUNCTION("""COMPUTED_VALUE"""),64.0)</f>
        <v>64</v>
      </c>
      <c r="G354" s="16">
        <f>IFERROR(__xludf.DUMMYFUNCTION("""COMPUTED_VALUE"""),38.0)</f>
        <v>38</v>
      </c>
      <c r="H354" s="16">
        <f>IFERROR(__xludf.DUMMYFUNCTION("""COMPUTED_VALUE"""),34.0)</f>
        <v>34</v>
      </c>
      <c r="I354" s="16">
        <f>IFERROR(__xludf.DUMMYFUNCTION("""COMPUTED_VALUE"""),1.0)</f>
        <v>1</v>
      </c>
      <c r="J354" s="16">
        <f>IFERROR(__xludf.DUMMYFUNCTION("""COMPUTED_VALUE"""),1.0)</f>
        <v>1</v>
      </c>
      <c r="K354" s="16">
        <f>IFERROR(__xludf.DUMMYFUNCTION("""COMPUTED_VALUE"""),3.0)</f>
        <v>3</v>
      </c>
      <c r="L354" s="16">
        <f>IFERROR(__xludf.DUMMYFUNCTION("""COMPUTED_VALUE"""),3.0)</f>
        <v>3</v>
      </c>
      <c r="M354" s="16">
        <f>IFERROR(__xludf.DUMMYFUNCTION("""COMPUTED_VALUE"""),12.0)</f>
        <v>12</v>
      </c>
      <c r="N354" s="16">
        <f>IFERROR(__xludf.DUMMYFUNCTION("""COMPUTED_VALUE"""),8.0)</f>
        <v>8</v>
      </c>
      <c r="O354" s="16">
        <f>IFERROR(__xludf.DUMMYFUNCTION("""COMPUTED_VALUE"""),-1.0)</f>
        <v>-1</v>
      </c>
      <c r="P354" s="16">
        <f>IFERROR(__xludf.DUMMYFUNCTION("""COMPUTED_VALUE"""),0.0)</f>
        <v>0</v>
      </c>
      <c r="Q354" s="16">
        <f>IFERROR(__xludf.DUMMYFUNCTION("""COMPUTED_VALUE"""),-1.0)</f>
        <v>-1</v>
      </c>
      <c r="R354" s="16">
        <f>IFERROR(__xludf.DUMMYFUNCTION("""COMPUTED_VALUE"""),0.0)</f>
        <v>0</v>
      </c>
      <c r="S354" s="16">
        <f>IFERROR(__xludf.DUMMYFUNCTION("""COMPUTED_VALUE"""),14.4)</f>
        <v>14.4</v>
      </c>
      <c r="T354" s="16">
        <f>IFERROR(__xludf.DUMMYFUNCTION("""COMPUTED_VALUE"""),20.4)</f>
        <v>20.4</v>
      </c>
      <c r="U354" s="16">
        <f>IFERROR(__xludf.DUMMYFUNCTION("""COMPUTED_VALUE"""),0.0)</f>
        <v>0</v>
      </c>
      <c r="V354" s="16">
        <f>IFERROR(__xludf.DUMMYFUNCTION("""COMPUTED_VALUE"""),-1.0)</f>
        <v>-1</v>
      </c>
      <c r="W354" s="16">
        <f>IFERROR(__xludf.DUMMYFUNCTION("""COMPUTED_VALUE"""),0.0)</f>
        <v>0</v>
      </c>
      <c r="X354" s="16">
        <f>IFERROR(__xludf.DUMMYFUNCTION("""COMPUTED_VALUE"""),-2.0)</f>
        <v>-2</v>
      </c>
      <c r="Y354" s="16">
        <f>IFERROR(__xludf.DUMMYFUNCTION("""COMPUTED_VALUE"""),26.4)</f>
        <v>26.4</v>
      </c>
      <c r="Z354" s="16">
        <f>IFERROR(__xludf.DUMMYFUNCTION("""COMPUTED_VALUE"""),28.4)</f>
        <v>28.4</v>
      </c>
      <c r="AA354" s="16">
        <f>IFERROR(__xludf.DUMMYFUNCTION("""COMPUTED_VALUE"""),0.0)</f>
        <v>0</v>
      </c>
      <c r="AB354" s="16">
        <f>IFERROR(__xludf.DUMMYFUNCTION("""COMPUTED_VALUE"""),0.0)</f>
        <v>0</v>
      </c>
      <c r="AC354" s="16">
        <f>IFERROR(__xludf.DUMMYFUNCTION("""COMPUTED_VALUE"""),0.0)</f>
        <v>0</v>
      </c>
      <c r="AD354" s="16">
        <f>IFERROR(__xludf.DUMMYFUNCTION("""COMPUTED_VALUE"""),0.0)</f>
        <v>0</v>
      </c>
      <c r="AE354" s="16">
        <f>IFERROR(__xludf.DUMMYFUNCTION("""COMPUTED_VALUE"""),30.5)</f>
        <v>30.5</v>
      </c>
      <c r="AF354" s="16">
        <f>IFERROR(__xludf.DUMMYFUNCTION("""COMPUTED_VALUE"""),42.8)</f>
        <v>42.8</v>
      </c>
      <c r="AG354" s="16">
        <f>IFERROR(__xludf.DUMMYFUNCTION("""COMPUTED_VALUE"""),0.0)</f>
        <v>0</v>
      </c>
      <c r="AH354" s="16">
        <f>IFERROR(__xludf.DUMMYFUNCTION("""COMPUTED_VALUE"""),-2.0)</f>
        <v>-2</v>
      </c>
      <c r="AI354" s="16">
        <f>IFERROR(__xludf.DUMMYFUNCTION("""COMPUTED_VALUE"""),0.0)</f>
        <v>0</v>
      </c>
      <c r="AJ354" s="16">
        <f>IFERROR(__xludf.DUMMYFUNCTION("""COMPUTED_VALUE"""),-4.0)</f>
        <v>-4</v>
      </c>
      <c r="AK354" s="16">
        <f>IFERROR(__xludf.DUMMYFUNCTION("""COMPUTED_VALUE"""),12.4)</f>
        <v>12.4</v>
      </c>
      <c r="AL354" s="16">
        <f>IFERROR(__xludf.DUMMYFUNCTION("""COMPUTED_VALUE"""),17.599999999999998)</f>
        <v>17.6</v>
      </c>
      <c r="AM354" s="16">
        <f>IFERROR(__xludf.DUMMYFUNCTION("""COMPUTED_VALUE"""),0.0)</f>
        <v>0</v>
      </c>
      <c r="AN354" s="16">
        <f>IFERROR(__xludf.DUMMYFUNCTION("""COMPUTED_VALUE"""),-1.0)</f>
        <v>-1</v>
      </c>
      <c r="AO354" s="16">
        <f>IFERROR(__xludf.DUMMYFUNCTION("""COMPUTED_VALUE"""),0.0)</f>
        <v>0</v>
      </c>
      <c r="AP354" s="16">
        <f>IFERROR(__xludf.DUMMYFUNCTION("""COMPUTED_VALUE"""),-1.0)</f>
        <v>-1</v>
      </c>
      <c r="AQ354" s="16">
        <f>IFERROR(__xludf.DUMMYFUNCTION("""COMPUTED_VALUE"""),22.5)</f>
        <v>22.5</v>
      </c>
      <c r="AR354" s="16">
        <f>IFERROR(__xludf.DUMMYFUNCTION("""COMPUTED_VALUE"""),31.599999999999998)</f>
        <v>31.6</v>
      </c>
      <c r="AS354" s="16">
        <f>IFERROR(__xludf.DUMMYFUNCTION("""COMPUTED_VALUE"""),0.0)</f>
        <v>0</v>
      </c>
      <c r="AT354" s="16">
        <f>IFERROR(__xludf.DUMMYFUNCTION("""COMPUTED_VALUE"""),-2.0)</f>
        <v>-2</v>
      </c>
      <c r="AU354" s="16">
        <f>IFERROR(__xludf.DUMMYFUNCTION("""COMPUTED_VALUE"""),0.0)</f>
        <v>0</v>
      </c>
      <c r="AV354" s="16">
        <f>IFERROR(__xludf.DUMMYFUNCTION("""COMPUTED_VALUE"""),-4.0)</f>
        <v>-4</v>
      </c>
      <c r="AW354" s="16">
        <f>IFERROR(__xludf.DUMMYFUNCTION("""COMPUTED_VALUE"""),2.0)</f>
        <v>2</v>
      </c>
      <c r="AX354" s="16">
        <f>IFERROR(__xludf.DUMMYFUNCTION("""COMPUTED_VALUE"""),2.8)</f>
        <v>2.8</v>
      </c>
      <c r="AY354" s="16">
        <f>IFERROR(__xludf.DUMMYFUNCTION("""COMPUTED_VALUE"""),0.0)</f>
        <v>0</v>
      </c>
      <c r="AZ354" s="16">
        <f>IFERROR(__xludf.DUMMYFUNCTION("""COMPUTED_VALUE"""),-1.0)</f>
        <v>-1</v>
      </c>
      <c r="BA354" s="16">
        <f>IFERROR(__xludf.DUMMYFUNCTION("""COMPUTED_VALUE"""),0.0)</f>
        <v>0</v>
      </c>
      <c r="BB354" s="16">
        <f>IFERROR(__xludf.DUMMYFUNCTION("""COMPUTED_VALUE"""),-5.0)</f>
        <v>-5</v>
      </c>
      <c r="BC354" s="16">
        <f>IFERROR(__xludf.DUMMYFUNCTION("""COMPUTED_VALUE"""),2.0)</f>
        <v>2</v>
      </c>
      <c r="BD354" s="16">
        <f>IFERROR(__xludf.DUMMYFUNCTION("""COMPUTED_VALUE"""),4.0)</f>
        <v>4</v>
      </c>
      <c r="BE354" s="16">
        <f>IFERROR(__xludf.DUMMYFUNCTION("""COMPUTED_VALUE"""),2.0)</f>
        <v>2</v>
      </c>
      <c r="BF354" s="16">
        <f>IFERROR(__xludf.DUMMYFUNCTION("""COMPUTED_VALUE"""),4.0)</f>
        <v>4</v>
      </c>
      <c r="BG354" s="16">
        <f>IFERROR(__xludf.DUMMYFUNCTION("""COMPUTED_VALUE"""),1.0)</f>
        <v>1</v>
      </c>
      <c r="BH354" s="16">
        <f>IFERROR(__xludf.DUMMYFUNCTION("""COMPUTED_VALUE"""),-1.0)</f>
        <v>-1</v>
      </c>
      <c r="BI354" s="16">
        <f>IFERROR(__xludf.DUMMYFUNCTION("""COMPUTED_VALUE"""),2.0)</f>
        <v>2</v>
      </c>
      <c r="BJ354" s="16">
        <f>IFERROR(__xludf.DUMMYFUNCTION("""COMPUTED_VALUE"""),-2.0)</f>
        <v>-2</v>
      </c>
      <c r="BK354" s="16">
        <f>IFERROR(__xludf.DUMMYFUNCTION("""COMPUTED_VALUE"""),5.0)</f>
        <v>5</v>
      </c>
      <c r="BL354" s="16">
        <f>IFERROR(__xludf.DUMMYFUNCTION("""COMPUTED_VALUE"""),5.0)</f>
        <v>5</v>
      </c>
      <c r="BM354" s="16">
        <f>IFERROR(__xludf.DUMMYFUNCTION("""COMPUTED_VALUE"""),0.0)</f>
        <v>0</v>
      </c>
      <c r="BN354" s="16">
        <f>IFERROR(__xludf.DUMMYFUNCTION("""COMPUTED_VALUE"""),0.0)</f>
        <v>0</v>
      </c>
      <c r="BO354" s="16">
        <f>IFERROR(__xludf.DUMMYFUNCTION("""COMPUTED_VALUE"""),0.0)</f>
        <v>0</v>
      </c>
      <c r="BP354" s="16">
        <f>IFERROR(__xludf.DUMMYFUNCTION("""COMPUTED_VALUE"""),0.0)</f>
        <v>0</v>
      </c>
      <c r="BQ354" s="16">
        <f>IFERROR(__xludf.DUMMYFUNCTION("""COMPUTED_VALUE"""),2.0)</f>
        <v>2</v>
      </c>
      <c r="BR354" s="16">
        <f>IFERROR(__xludf.DUMMYFUNCTION("""COMPUTED_VALUE"""),2.0)</f>
        <v>2</v>
      </c>
      <c r="BS354" s="16">
        <f>IFERROR(__xludf.DUMMYFUNCTION("""COMPUTED_VALUE"""),-2.0)</f>
        <v>-2</v>
      </c>
      <c r="BT354" s="16">
        <f>IFERROR(__xludf.DUMMYFUNCTION("""COMPUTED_VALUE"""),-2.0)</f>
        <v>-2</v>
      </c>
      <c r="BU354" s="16">
        <f>IFERROR(__xludf.DUMMYFUNCTION("""COMPUTED_VALUE"""),-4.0)</f>
        <v>-4</v>
      </c>
      <c r="BV354" s="16">
        <f>IFERROR(__xludf.DUMMYFUNCTION("""COMPUTED_VALUE"""),-4.0)</f>
        <v>-4</v>
      </c>
      <c r="BW354" s="16">
        <f>IFERROR(__xludf.DUMMYFUNCTION("""COMPUTED_VALUE"""),5.0)</f>
        <v>5</v>
      </c>
      <c r="BX354" s="16">
        <f>IFERROR(__xludf.DUMMYFUNCTION("""COMPUTED_VALUE"""),5.0)</f>
        <v>5</v>
      </c>
      <c r="BY354" s="16" t="str">
        <f>IFERROR(__xludf.DUMMYFUNCTION("""COMPUTED_VALUE"""),"S(5) R(3)")</f>
        <v>S(5) R(3)</v>
      </c>
      <c r="BZ354" s="16" t="str">
        <f>IFERROR(__xludf.DUMMYFUNCTION("""COMPUTED_VALUE"""),"S(5) R(3)")</f>
        <v>S(5) R(3)</v>
      </c>
      <c r="CA354" s="16" t="str">
        <f>IFERROR(__xludf.DUMMYFUNCTION("""COMPUTED_VALUE"""),"S(5)")</f>
        <v>S(5)</v>
      </c>
      <c r="CB354" s="16" t="str">
        <f>IFERROR(__xludf.DUMMYFUNCTION("""COMPUTED_VALUE"""),"R(3)")</f>
        <v>R(3)</v>
      </c>
      <c r="CC354" s="16"/>
      <c r="CD354" s="16">
        <f>IFERROR(__xludf.DUMMYFUNCTION("""COMPUTED_VALUE"""),5.0)</f>
        <v>5</v>
      </c>
      <c r="CE354" s="16">
        <f>IFERROR(__xludf.DUMMYFUNCTION("""COMPUTED_VALUE"""),3.0)</f>
        <v>3</v>
      </c>
      <c r="CF354" s="16"/>
      <c r="CG354" s="16" t="str">
        <f>IFERROR(__xludf.DUMMYFUNCTION("""COMPUTED_VALUE"""),"4-0")</f>
        <v>4-0</v>
      </c>
      <c r="CH354" s="16">
        <f>IFERROR(__xludf.DUMMYFUNCTION("""COMPUTED_VALUE"""),4.0)</f>
        <v>4</v>
      </c>
      <c r="CI354" s="16">
        <f>IFERROR(__xludf.DUMMYFUNCTION("""COMPUTED_VALUE"""),0.0)</f>
        <v>0</v>
      </c>
      <c r="CJ354" s="16">
        <f>IFERROR(__xludf.DUMMYFUNCTION("""COMPUTED_VALUE"""),5.0)</f>
        <v>5</v>
      </c>
      <c r="CK354" s="16">
        <f>IFERROR(__xludf.DUMMYFUNCTION("""COMPUTED_VALUE"""),6.0)</f>
        <v>6</v>
      </c>
      <c r="CL354" s="16" t="str">
        <f>IFERROR(__xludf.DUMMYFUNCTION("""COMPUTED_VALUE"""),"1WR-C")</f>
        <v>1WR-C</v>
      </c>
      <c r="CM354" s="16" t="str">
        <f>IFERROR(__xludf.DUMMYFUNCTION("""COMPUTED_VALUE"""),"E")</f>
        <v>E</v>
      </c>
      <c r="CN354" s="16">
        <f>IFERROR(__xludf.DUMMYFUNCTION("""COMPUTED_VALUE"""),10.0)</f>
        <v>10</v>
      </c>
      <c r="CO354" s="16" t="str">
        <f>IFERROR(__xludf.DUMMYFUNCTION("""COMPUTED_VALUE"""),"C")</f>
        <v>C</v>
      </c>
      <c r="CP354" s="16" t="str">
        <f>IFERROR(__xludf.DUMMYFUNCTION("""COMPUTED_VALUE"""),"1p40")</f>
        <v>1p40</v>
      </c>
      <c r="CQ354" s="16">
        <f>IFERROR(__xludf.DUMMYFUNCTION("""COMPUTED_VALUE"""),0.0)</f>
        <v>0</v>
      </c>
      <c r="CR354" s="16">
        <f>IFERROR(__xludf.DUMMYFUNCTION("""COMPUTED_VALUE"""),-19.0)</f>
        <v>-19</v>
      </c>
      <c r="CS354" s="16">
        <f>IFERROR(__xludf.DUMMYFUNCTION("""COMPUTED_VALUE"""),-19.0)</f>
        <v>-19</v>
      </c>
      <c r="CT354" s="16">
        <f>IFERROR(__xludf.DUMMYFUNCTION("""COMPUTED_VALUE"""),0.0)</f>
        <v>0</v>
      </c>
      <c r="CU354" s="16">
        <f>IFERROR(__xludf.DUMMYFUNCTION("""COMPUTED_VALUE"""),-19.0)</f>
        <v>-19</v>
      </c>
      <c r="CV354" s="179">
        <f>IFERROR(__xludf.DUMMYFUNCTION("""COMPUTED_VALUE"""),-7.666666666666666)</f>
        <v>-7.666666667</v>
      </c>
      <c r="CW354" s="179">
        <f>IFERROR(__xludf.DUMMYFUNCTION("""COMPUTED_VALUE"""),4.0)</f>
        <v>4</v>
      </c>
      <c r="CX354" s="179">
        <f>IFERROR(__xludf.DUMMYFUNCTION("""COMPUTED_VALUE"""),1.0)</f>
        <v>1</v>
      </c>
      <c r="CY354" s="16" t="str">
        <f>IFERROR(__xludf.DUMMYFUNCTION("""COMPUTED_VALUE"""),"SP")</f>
        <v>SP</v>
      </c>
      <c r="CZ354" s="16" t="str">
        <f>IFERROR(__xludf.DUMMYFUNCTION("""COMPUTED_VALUE"""),"RP")</f>
        <v>RP</v>
      </c>
      <c r="DA354" s="16"/>
      <c r="DB354" s="16"/>
      <c r="DC354" s="16"/>
      <c r="DD354" s="16"/>
      <c r="DE354" s="16"/>
      <c r="DF354" s="16"/>
      <c r="DG354" s="16"/>
      <c r="DH354" s="16"/>
      <c r="DI354" s="16"/>
      <c r="DJ354" s="16"/>
      <c r="DK354" s="16"/>
    </row>
    <row r="355">
      <c r="A355" s="16">
        <f>IFERROR(__xludf.DUMMYFUNCTION("""COMPUTED_VALUE"""),13378.0)</f>
        <v>13378</v>
      </c>
      <c r="B355" s="16" t="str">
        <f>IFERROR(__xludf.DUMMYFUNCTION("""COMPUTED_VALUE"""),"Sixto Sanchez")</f>
        <v>Sixto Sanchez</v>
      </c>
      <c r="C355" s="153">
        <f>IFERROR(__xludf.DUMMYFUNCTION("""COMPUTED_VALUE"""),0.0)</f>
        <v>0</v>
      </c>
      <c r="D355" s="16"/>
      <c r="E355" s="16" t="str">
        <f>IFERROR(__xludf.DUMMYFUNCTION("""COMPUTED_VALUE"""),"R")</f>
        <v>R</v>
      </c>
      <c r="F355" s="16">
        <f>IFERROR(__xludf.DUMMYFUNCTION("""COMPUTED_VALUE"""),36.0)</f>
        <v>36</v>
      </c>
      <c r="G355" s="16">
        <f>IFERROR(__xludf.DUMMYFUNCTION("""COMPUTED_VALUE"""),0.0)</f>
        <v>0</v>
      </c>
      <c r="H355" s="16">
        <f>IFERROR(__xludf.DUMMYFUNCTION("""COMPUTED_VALUE"""),0.0)</f>
        <v>0</v>
      </c>
      <c r="I355" s="16">
        <f>IFERROR(__xludf.DUMMYFUNCTION("""COMPUTED_VALUE"""),-3.0)</f>
        <v>-3</v>
      </c>
      <c r="J355" s="16">
        <f>IFERROR(__xludf.DUMMYFUNCTION("""COMPUTED_VALUE"""),-3.0)</f>
        <v>-3</v>
      </c>
      <c r="K355" s="16">
        <f>IFERROR(__xludf.DUMMYFUNCTION("""COMPUTED_VALUE"""),-9.0)</f>
        <v>-9</v>
      </c>
      <c r="L355" s="16">
        <f>IFERROR(__xludf.DUMMYFUNCTION("""COMPUTED_VALUE"""),-9.0)</f>
        <v>-9</v>
      </c>
      <c r="M355" s="16">
        <f>IFERROR(__xludf.DUMMYFUNCTION("""COMPUTED_VALUE"""),20.0)</f>
        <v>20</v>
      </c>
      <c r="N355" s="16">
        <f>IFERROR(__xludf.DUMMYFUNCTION("""COMPUTED_VALUE"""),0.0)</f>
        <v>0</v>
      </c>
      <c r="O355" s="16">
        <f>IFERROR(__xludf.DUMMYFUNCTION("""COMPUTED_VALUE"""),-3.0)</f>
        <v>-3</v>
      </c>
      <c r="P355" s="16">
        <f>IFERROR(__xludf.DUMMYFUNCTION("""COMPUTED_VALUE"""),3.0)</f>
        <v>3</v>
      </c>
      <c r="Q355" s="16">
        <f>IFERROR(__xludf.DUMMYFUNCTION("""COMPUTED_VALUE"""),-3.0)</f>
        <v>-3</v>
      </c>
      <c r="R355" s="16">
        <f>IFERROR(__xludf.DUMMYFUNCTION("""COMPUTED_VALUE"""),3.0)</f>
        <v>3</v>
      </c>
      <c r="S355" s="16">
        <f>IFERROR(__xludf.DUMMYFUNCTION("""COMPUTED_VALUE"""),18.9)</f>
        <v>18.9</v>
      </c>
      <c r="T355" s="16">
        <f>IFERROR(__xludf.DUMMYFUNCTION("""COMPUTED_VALUE"""),33.3)</f>
        <v>33.3</v>
      </c>
      <c r="U355" s="16">
        <f>IFERROR(__xludf.DUMMYFUNCTION("""COMPUTED_VALUE"""),-1.0)</f>
        <v>-1</v>
      </c>
      <c r="V355" s="16">
        <f>IFERROR(__xludf.DUMMYFUNCTION("""COMPUTED_VALUE"""),-3.0)</f>
        <v>-3</v>
      </c>
      <c r="W355" s="16">
        <f>IFERROR(__xludf.DUMMYFUNCTION("""COMPUTED_VALUE"""),-2.0)</f>
        <v>-2</v>
      </c>
      <c r="X355" s="16">
        <f>IFERROR(__xludf.DUMMYFUNCTION("""COMPUTED_VALUE"""),-6.0)</f>
        <v>-6</v>
      </c>
      <c r="Y355" s="16">
        <f>IFERROR(__xludf.DUMMYFUNCTION("""COMPUTED_VALUE"""),38.9)</f>
        <v>38.9</v>
      </c>
      <c r="Z355" s="16">
        <f>IFERROR(__xludf.DUMMYFUNCTION("""COMPUTED_VALUE"""),33.3)</f>
        <v>33.3</v>
      </c>
      <c r="AA355" s="16">
        <f>IFERROR(__xludf.DUMMYFUNCTION("""COMPUTED_VALUE"""),-2.0)</f>
        <v>-2</v>
      </c>
      <c r="AB355" s="16">
        <f>IFERROR(__xludf.DUMMYFUNCTION("""COMPUTED_VALUE"""),-1.0)</f>
        <v>-1</v>
      </c>
      <c r="AC355" s="16">
        <f>IFERROR(__xludf.DUMMYFUNCTION("""COMPUTED_VALUE"""),-10.0)</f>
        <v>-10</v>
      </c>
      <c r="AD355" s="16">
        <f>IFERROR(__xludf.DUMMYFUNCTION("""COMPUTED_VALUE"""),-5.0)</f>
        <v>-5</v>
      </c>
      <c r="AE355" s="16">
        <f>IFERROR(__xludf.DUMMYFUNCTION("""COMPUTED_VALUE"""),26.7)</f>
        <v>26.7</v>
      </c>
      <c r="AF355" s="16">
        <f>IFERROR(__xludf.DUMMYFUNCTION("""COMPUTED_VALUE"""),45.3)</f>
        <v>45.3</v>
      </c>
      <c r="AG355" s="16">
        <f>IFERROR(__xludf.DUMMYFUNCTION("""COMPUTED_VALUE"""),0.0)</f>
        <v>0</v>
      </c>
      <c r="AH355" s="16">
        <f>IFERROR(__xludf.DUMMYFUNCTION("""COMPUTED_VALUE"""),-2.0)</f>
        <v>-2</v>
      </c>
      <c r="AI355" s="16">
        <f>IFERROR(__xludf.DUMMYFUNCTION("""COMPUTED_VALUE"""),0.0)</f>
        <v>0</v>
      </c>
      <c r="AJ355" s="16">
        <f>IFERROR(__xludf.DUMMYFUNCTION("""COMPUTED_VALUE"""),-4.0)</f>
        <v>-4</v>
      </c>
      <c r="AK355" s="16">
        <f>IFERROR(__xludf.DUMMYFUNCTION("""COMPUTED_VALUE"""),17.5)</f>
        <v>17.5</v>
      </c>
      <c r="AL355" s="16">
        <f>IFERROR(__xludf.DUMMYFUNCTION("""COMPUTED_VALUE"""),33.3)</f>
        <v>33.3</v>
      </c>
      <c r="AM355" s="16">
        <f>IFERROR(__xludf.DUMMYFUNCTION("""COMPUTED_VALUE"""),-1.0)</f>
        <v>-1</v>
      </c>
      <c r="AN355" s="16">
        <f>IFERROR(__xludf.DUMMYFUNCTION("""COMPUTED_VALUE"""),-3.0)</f>
        <v>-3</v>
      </c>
      <c r="AO355" s="16">
        <f>IFERROR(__xludf.DUMMYFUNCTION("""COMPUTED_VALUE"""),-1.0)</f>
        <v>-1</v>
      </c>
      <c r="AP355" s="16">
        <f>IFERROR(__xludf.DUMMYFUNCTION("""COMPUTED_VALUE"""),-3.0)</f>
        <v>-3</v>
      </c>
      <c r="AQ355" s="16">
        <f>IFERROR(__xludf.DUMMYFUNCTION("""COMPUTED_VALUE"""),21.1)</f>
        <v>21.1</v>
      </c>
      <c r="AR355" s="16">
        <f>IFERROR(__xludf.DUMMYFUNCTION("""COMPUTED_VALUE"""),45.3)</f>
        <v>45.3</v>
      </c>
      <c r="AS355" s="16">
        <f>IFERROR(__xludf.DUMMYFUNCTION("""COMPUTED_VALUE"""),0.0)</f>
        <v>0</v>
      </c>
      <c r="AT355" s="16">
        <f>IFERROR(__xludf.DUMMYFUNCTION("""COMPUTED_VALUE"""),-3.0)</f>
        <v>-3</v>
      </c>
      <c r="AU355" s="16">
        <f>IFERROR(__xludf.DUMMYFUNCTION("""COMPUTED_VALUE"""),0.0)</f>
        <v>0</v>
      </c>
      <c r="AV355" s="16">
        <f>IFERROR(__xludf.DUMMYFUNCTION("""COMPUTED_VALUE"""),-6.0)</f>
        <v>-6</v>
      </c>
      <c r="AW355" s="16">
        <f>IFERROR(__xludf.DUMMYFUNCTION("""COMPUTED_VALUE"""),1.4)</f>
        <v>1.4</v>
      </c>
      <c r="AX355" s="16">
        <f>IFERROR(__xludf.DUMMYFUNCTION("""COMPUTED_VALUE"""),0.0)</f>
        <v>0</v>
      </c>
      <c r="AY355" s="16">
        <f>IFERROR(__xludf.DUMMYFUNCTION("""COMPUTED_VALUE"""),1.0)</f>
        <v>1</v>
      </c>
      <c r="AZ355" s="16">
        <f>IFERROR(__xludf.DUMMYFUNCTION("""COMPUTED_VALUE"""),2.0)</f>
        <v>2</v>
      </c>
      <c r="BA355" s="16">
        <f>IFERROR(__xludf.DUMMYFUNCTION("""COMPUTED_VALUE"""),5.0)</f>
        <v>5</v>
      </c>
      <c r="BB355" s="16">
        <f>IFERROR(__xludf.DUMMYFUNCTION("""COMPUTED_VALUE"""),10.0)</f>
        <v>10</v>
      </c>
      <c r="BC355" s="16">
        <f>IFERROR(__xludf.DUMMYFUNCTION("""COMPUTED_VALUE"""),1.0)</f>
        <v>1</v>
      </c>
      <c r="BD355" s="16">
        <f>IFERROR(__xludf.DUMMYFUNCTION("""COMPUTED_VALUE"""),0.0)</f>
        <v>0</v>
      </c>
      <c r="BE355" s="16">
        <f>IFERROR(__xludf.DUMMYFUNCTION("""COMPUTED_VALUE"""),1.0)</f>
        <v>1</v>
      </c>
      <c r="BF355" s="16">
        <f>IFERROR(__xludf.DUMMYFUNCTION("""COMPUTED_VALUE"""),0.0)</f>
        <v>0</v>
      </c>
      <c r="BG355" s="16">
        <f>IFERROR(__xludf.DUMMYFUNCTION("""COMPUTED_VALUE"""),2.0)</f>
        <v>2</v>
      </c>
      <c r="BH355" s="16">
        <f>IFERROR(__xludf.DUMMYFUNCTION("""COMPUTED_VALUE"""),2.0)</f>
        <v>2</v>
      </c>
      <c r="BI355" s="16">
        <f>IFERROR(__xludf.DUMMYFUNCTION("""COMPUTED_VALUE"""),4.0)</f>
        <v>4</v>
      </c>
      <c r="BJ355" s="16">
        <f>IFERROR(__xludf.DUMMYFUNCTION("""COMPUTED_VALUE"""),4.0)</f>
        <v>4</v>
      </c>
      <c r="BK355" s="16">
        <f>IFERROR(__xludf.DUMMYFUNCTION("""COMPUTED_VALUE"""),5.0)</f>
        <v>5</v>
      </c>
      <c r="BL355" s="16">
        <f>IFERROR(__xludf.DUMMYFUNCTION("""COMPUTED_VALUE"""),5.0)</f>
        <v>5</v>
      </c>
      <c r="BM355" s="16">
        <f>IFERROR(__xludf.DUMMYFUNCTION("""COMPUTED_VALUE"""),0.0)</f>
        <v>0</v>
      </c>
      <c r="BN355" s="16">
        <f>IFERROR(__xludf.DUMMYFUNCTION("""COMPUTED_VALUE"""),0.0)</f>
        <v>0</v>
      </c>
      <c r="BO355" s="16">
        <f>IFERROR(__xludf.DUMMYFUNCTION("""COMPUTED_VALUE"""),0.0)</f>
        <v>0</v>
      </c>
      <c r="BP355" s="16">
        <f>IFERROR(__xludf.DUMMYFUNCTION("""COMPUTED_VALUE"""),0.0)</f>
        <v>0</v>
      </c>
      <c r="BQ355" s="16">
        <f>IFERROR(__xludf.DUMMYFUNCTION("""COMPUTED_VALUE"""),13.0)</f>
        <v>13</v>
      </c>
      <c r="BR355" s="16">
        <f>IFERROR(__xludf.DUMMYFUNCTION("""COMPUTED_VALUE"""),12.0)</f>
        <v>12</v>
      </c>
      <c r="BS355" s="16">
        <f>IFERROR(__xludf.DUMMYFUNCTION("""COMPUTED_VALUE"""),3.0)</f>
        <v>3</v>
      </c>
      <c r="BT355" s="16">
        <f>IFERROR(__xludf.DUMMYFUNCTION("""COMPUTED_VALUE"""),3.0)</f>
        <v>3</v>
      </c>
      <c r="BU355" s="16">
        <f>IFERROR(__xludf.DUMMYFUNCTION("""COMPUTED_VALUE"""),6.0)</f>
        <v>6</v>
      </c>
      <c r="BV355" s="16">
        <f>IFERROR(__xludf.DUMMYFUNCTION("""COMPUTED_VALUE"""),6.0)</f>
        <v>6</v>
      </c>
      <c r="BW355" s="16">
        <f>IFERROR(__xludf.DUMMYFUNCTION("""COMPUTED_VALUE"""),3.0)</f>
        <v>3</v>
      </c>
      <c r="BX355" s="16">
        <f>IFERROR(__xludf.DUMMYFUNCTION("""COMPUTED_VALUE"""),3.0)</f>
        <v>3</v>
      </c>
      <c r="BY355" s="16" t="str">
        <f>IFERROR(__xludf.DUMMYFUNCTION("""COMPUTED_VALUE"""),"S(4) R(3)")</f>
        <v>S(4) R(3)</v>
      </c>
      <c r="BZ355" s="16" t="str">
        <f>IFERROR(__xludf.DUMMYFUNCTION("""COMPUTED_VALUE"""),"S(4) R(3)")</f>
        <v>S(4) R(3)</v>
      </c>
      <c r="CA355" s="16" t="str">
        <f>IFERROR(__xludf.DUMMYFUNCTION("""COMPUTED_VALUE"""),"S(4)")</f>
        <v>S(4)</v>
      </c>
      <c r="CB355" s="16" t="str">
        <f>IFERROR(__xludf.DUMMYFUNCTION("""COMPUTED_VALUE"""),"R(3)")</f>
        <v>R(3)</v>
      </c>
      <c r="CC355" s="16"/>
      <c r="CD355" s="16">
        <f>IFERROR(__xludf.DUMMYFUNCTION("""COMPUTED_VALUE"""),4.0)</f>
        <v>4</v>
      </c>
      <c r="CE355" s="16">
        <f>IFERROR(__xludf.DUMMYFUNCTION("""COMPUTED_VALUE"""),3.0)</f>
        <v>3</v>
      </c>
      <c r="CF355" s="16"/>
      <c r="CG355" s="16" t="str">
        <f>IFERROR(__xludf.DUMMYFUNCTION("""COMPUTED_VALUE"""),"3-0")</f>
        <v>3-0</v>
      </c>
      <c r="CH355" s="16">
        <f>IFERROR(__xludf.DUMMYFUNCTION("""COMPUTED_VALUE"""),3.0)</f>
        <v>3</v>
      </c>
      <c r="CI355" s="16">
        <f>IFERROR(__xludf.DUMMYFUNCTION("""COMPUTED_VALUE"""),0.0)</f>
        <v>0</v>
      </c>
      <c r="CJ355" s="16">
        <f>IFERROR(__xludf.DUMMYFUNCTION("""COMPUTED_VALUE"""),8.0)</f>
        <v>8</v>
      </c>
      <c r="CK355" s="16">
        <f>IFERROR(__xludf.DUMMYFUNCTION("""COMPUTED_VALUE"""),5.0)</f>
        <v>5</v>
      </c>
      <c r="CL355" s="16" t="str">
        <f>IFERROR(__xludf.DUMMYFUNCTION("""COMPUTED_VALUE"""),"1WR-C")</f>
        <v>1WR-C</v>
      </c>
      <c r="CM355" s="16" t="str">
        <f>IFERROR(__xludf.DUMMYFUNCTION("""COMPUTED_VALUE"""),"E")</f>
        <v>E</v>
      </c>
      <c r="CN355" s="16">
        <f>IFERROR(__xludf.DUMMYFUNCTION("""COMPUTED_VALUE"""),10.0)</f>
        <v>10</v>
      </c>
      <c r="CO355" s="16" t="str">
        <f>IFERROR(__xludf.DUMMYFUNCTION("""COMPUTED_VALUE"""),"C")</f>
        <v>C</v>
      </c>
      <c r="CP355" s="16" t="str">
        <f>IFERROR(__xludf.DUMMYFUNCTION("""COMPUTED_VALUE"""),"6p20")</f>
        <v>6p20</v>
      </c>
      <c r="CQ355" s="16">
        <f>IFERROR(__xludf.DUMMYFUNCTION("""COMPUTED_VALUE"""),-10.0)</f>
        <v>-10</v>
      </c>
      <c r="CR355" s="16">
        <f>IFERROR(__xludf.DUMMYFUNCTION("""COMPUTED_VALUE"""),-10.0)</f>
        <v>-10</v>
      </c>
      <c r="CS355" s="16">
        <f>IFERROR(__xludf.DUMMYFUNCTION("""COMPUTED_VALUE"""),-20.0)</f>
        <v>-20</v>
      </c>
      <c r="CT355" s="16">
        <f>IFERROR(__xludf.DUMMYFUNCTION("""COMPUTED_VALUE"""),-10.0)</f>
        <v>-10</v>
      </c>
      <c r="CU355" s="16">
        <f>IFERROR(__xludf.DUMMYFUNCTION("""COMPUTED_VALUE"""),-10.0)</f>
        <v>-10</v>
      </c>
      <c r="CV355" s="179">
        <f>IFERROR(__xludf.DUMMYFUNCTION("""COMPUTED_VALUE"""),-8.0)</f>
        <v>-8</v>
      </c>
      <c r="CW355" s="179">
        <f>IFERROR(__xludf.DUMMYFUNCTION("""COMPUTED_VALUE"""),-1.0)</f>
        <v>-1</v>
      </c>
      <c r="CX355" s="179">
        <f>IFERROR(__xludf.DUMMYFUNCTION("""COMPUTED_VALUE"""),3.0)</f>
        <v>3</v>
      </c>
      <c r="CY355" s="16" t="str">
        <f>IFERROR(__xludf.DUMMYFUNCTION("""COMPUTED_VALUE"""),"SP")</f>
        <v>SP</v>
      </c>
      <c r="CZ355" s="16" t="str">
        <f>IFERROR(__xludf.DUMMYFUNCTION("""COMPUTED_VALUE"""),"RP")</f>
        <v>RP</v>
      </c>
      <c r="DA355" s="16"/>
      <c r="DB355" s="16"/>
      <c r="DC355" s="16"/>
      <c r="DD355" s="16"/>
      <c r="DE355" s="16"/>
      <c r="DF355" s="16"/>
      <c r="DG355" s="16"/>
      <c r="DH355" s="16"/>
      <c r="DI355" s="16"/>
      <c r="DJ355" s="16"/>
      <c r="DK355" s="16"/>
    </row>
    <row r="356">
      <c r="A356" s="16">
        <f>IFERROR(__xludf.DUMMYFUNCTION("""COMPUTED_VALUE"""),13366.0)</f>
        <v>13366</v>
      </c>
      <c r="B356" s="16" t="str">
        <f>IFERROR(__xludf.DUMMYFUNCTION("""COMPUTED_VALUE"""),"Seranthony Dominguez")</f>
        <v>Seranthony Dominguez</v>
      </c>
      <c r="C356" s="153">
        <f>IFERROR(__xludf.DUMMYFUNCTION("""COMPUTED_VALUE"""),0.08)</f>
        <v>0.08</v>
      </c>
      <c r="D356" s="16"/>
      <c r="E356" s="16" t="str">
        <f>IFERROR(__xludf.DUMMYFUNCTION("""COMPUTED_VALUE"""),"R")</f>
        <v>R</v>
      </c>
      <c r="F356" s="16">
        <f>IFERROR(__xludf.DUMMYFUNCTION("""COMPUTED_VALUE"""),59.0)</f>
        <v>59</v>
      </c>
      <c r="G356" s="16">
        <f>IFERROR(__xludf.DUMMYFUNCTION("""COMPUTED_VALUE"""),29.0)</f>
        <v>29</v>
      </c>
      <c r="H356" s="16">
        <f>IFERROR(__xludf.DUMMYFUNCTION("""COMPUTED_VALUE"""),36.0)</f>
        <v>36</v>
      </c>
      <c r="I356" s="16">
        <f>IFERROR(__xludf.DUMMYFUNCTION("""COMPUTED_VALUE"""),0.0)</f>
        <v>0</v>
      </c>
      <c r="J356" s="16">
        <f>IFERROR(__xludf.DUMMYFUNCTION("""COMPUTED_VALUE"""),1.0)</f>
        <v>1</v>
      </c>
      <c r="K356" s="16">
        <f>IFERROR(__xludf.DUMMYFUNCTION("""COMPUTED_VALUE"""),0.0)</f>
        <v>0</v>
      </c>
      <c r="L356" s="16">
        <f>IFERROR(__xludf.DUMMYFUNCTION("""COMPUTED_VALUE"""),3.0)</f>
        <v>3</v>
      </c>
      <c r="M356" s="16">
        <f>IFERROR(__xludf.DUMMYFUNCTION("""COMPUTED_VALUE"""),8.0)</f>
        <v>8</v>
      </c>
      <c r="N356" s="16">
        <f>IFERROR(__xludf.DUMMYFUNCTION("""COMPUTED_VALUE"""),10.0)</f>
        <v>10</v>
      </c>
      <c r="O356" s="16">
        <f>IFERROR(__xludf.DUMMYFUNCTION("""COMPUTED_VALUE"""),0.0)</f>
        <v>0</v>
      </c>
      <c r="P356" s="16">
        <f>IFERROR(__xludf.DUMMYFUNCTION("""COMPUTED_VALUE"""),-1.0)</f>
        <v>-1</v>
      </c>
      <c r="Q356" s="16">
        <f>IFERROR(__xludf.DUMMYFUNCTION("""COMPUTED_VALUE"""),0.0)</f>
        <v>0</v>
      </c>
      <c r="R356" s="16">
        <f>IFERROR(__xludf.DUMMYFUNCTION("""COMPUTED_VALUE"""),-1.0)</f>
        <v>-1</v>
      </c>
      <c r="S356" s="16">
        <f>IFERROR(__xludf.DUMMYFUNCTION("""COMPUTED_VALUE"""),11.8)</f>
        <v>11.8</v>
      </c>
      <c r="T356" s="16">
        <f>IFERROR(__xludf.DUMMYFUNCTION("""COMPUTED_VALUE"""),10.3)</f>
        <v>10.3</v>
      </c>
      <c r="U356" s="16">
        <f>IFERROR(__xludf.DUMMYFUNCTION("""COMPUTED_VALUE"""),1.0)</f>
        <v>1</v>
      </c>
      <c r="V356" s="16">
        <f>IFERROR(__xludf.DUMMYFUNCTION("""COMPUTED_VALUE"""),1.0)</f>
        <v>1</v>
      </c>
      <c r="W356" s="16">
        <f>IFERROR(__xludf.DUMMYFUNCTION("""COMPUTED_VALUE"""),2.0)</f>
        <v>2</v>
      </c>
      <c r="X356" s="16">
        <f>IFERROR(__xludf.DUMMYFUNCTION("""COMPUTED_VALUE"""),2.0)</f>
        <v>2</v>
      </c>
      <c r="Y356" s="16">
        <f>IFERROR(__xludf.DUMMYFUNCTION("""COMPUTED_VALUE"""),19.8)</f>
        <v>19.8</v>
      </c>
      <c r="Z356" s="16">
        <f>IFERROR(__xludf.DUMMYFUNCTION("""COMPUTED_VALUE"""),20.3)</f>
        <v>20.3</v>
      </c>
      <c r="AA356" s="16">
        <f>IFERROR(__xludf.DUMMYFUNCTION("""COMPUTED_VALUE"""),1.0)</f>
        <v>1</v>
      </c>
      <c r="AB356" s="16">
        <f>IFERROR(__xludf.DUMMYFUNCTION("""COMPUTED_VALUE"""),1.0)</f>
        <v>1</v>
      </c>
      <c r="AC356" s="16">
        <f>IFERROR(__xludf.DUMMYFUNCTION("""COMPUTED_VALUE"""),5.0)</f>
        <v>5</v>
      </c>
      <c r="AD356" s="16">
        <f>IFERROR(__xludf.DUMMYFUNCTION("""COMPUTED_VALUE"""),5.0)</f>
        <v>5</v>
      </c>
      <c r="AE356" s="16">
        <f>IFERROR(__xludf.DUMMYFUNCTION("""COMPUTED_VALUE"""),28.5)</f>
        <v>28.5</v>
      </c>
      <c r="AF356" s="16">
        <f>IFERROR(__xludf.DUMMYFUNCTION("""COMPUTED_VALUE"""),24.3)</f>
        <v>24.3</v>
      </c>
      <c r="AG356" s="16">
        <f>IFERROR(__xludf.DUMMYFUNCTION("""COMPUTED_VALUE"""),0.0)</f>
        <v>0</v>
      </c>
      <c r="AH356" s="16">
        <f>IFERROR(__xludf.DUMMYFUNCTION("""COMPUTED_VALUE"""),0.0)</f>
        <v>0</v>
      </c>
      <c r="AI356" s="16">
        <f>IFERROR(__xludf.DUMMYFUNCTION("""COMPUTED_VALUE"""),0.0)</f>
        <v>0</v>
      </c>
      <c r="AJ356" s="16">
        <f>IFERROR(__xludf.DUMMYFUNCTION("""COMPUTED_VALUE"""),0.0)</f>
        <v>0</v>
      </c>
      <c r="AK356" s="16">
        <f>IFERROR(__xludf.DUMMYFUNCTION("""COMPUTED_VALUE"""),7.200000000000001)</f>
        <v>7.2</v>
      </c>
      <c r="AL356" s="16">
        <f>IFERROR(__xludf.DUMMYFUNCTION("""COMPUTED_VALUE"""),7.1000000000000005)</f>
        <v>7.1</v>
      </c>
      <c r="AM356" s="16">
        <f>IFERROR(__xludf.DUMMYFUNCTION("""COMPUTED_VALUE"""),1.0)</f>
        <v>1</v>
      </c>
      <c r="AN356" s="16">
        <f>IFERROR(__xludf.DUMMYFUNCTION("""COMPUTED_VALUE"""),1.0)</f>
        <v>1</v>
      </c>
      <c r="AO356" s="16">
        <f>IFERROR(__xludf.DUMMYFUNCTION("""COMPUTED_VALUE"""),1.0)</f>
        <v>1</v>
      </c>
      <c r="AP356" s="16">
        <f>IFERROR(__xludf.DUMMYFUNCTION("""COMPUTED_VALUE"""),1.0)</f>
        <v>1</v>
      </c>
      <c r="AQ356" s="16">
        <f>IFERROR(__xludf.DUMMYFUNCTION("""COMPUTED_VALUE"""),10.100000000000001)</f>
        <v>10.1</v>
      </c>
      <c r="AR356" s="16">
        <f>IFERROR(__xludf.DUMMYFUNCTION("""COMPUTED_VALUE"""),11.5)</f>
        <v>11.5</v>
      </c>
      <c r="AS356" s="16">
        <f>IFERROR(__xludf.DUMMYFUNCTION("""COMPUTED_VALUE"""),1.0)</f>
        <v>1</v>
      </c>
      <c r="AT356" s="16">
        <f>IFERROR(__xludf.DUMMYFUNCTION("""COMPUTED_VALUE"""),1.0)</f>
        <v>1</v>
      </c>
      <c r="AU356" s="16">
        <f>IFERROR(__xludf.DUMMYFUNCTION("""COMPUTED_VALUE"""),2.0)</f>
        <v>2</v>
      </c>
      <c r="AV356" s="16">
        <f>IFERROR(__xludf.DUMMYFUNCTION("""COMPUTED_VALUE"""),2.0)</f>
        <v>2</v>
      </c>
      <c r="AW356" s="16">
        <f>IFERROR(__xludf.DUMMYFUNCTION("""COMPUTED_VALUE"""),4.6)</f>
        <v>4.6</v>
      </c>
      <c r="AX356" s="16">
        <f>IFERROR(__xludf.DUMMYFUNCTION("""COMPUTED_VALUE"""),3.2)</f>
        <v>3.2</v>
      </c>
      <c r="AY356" s="16">
        <f>IFERROR(__xludf.DUMMYFUNCTION("""COMPUTED_VALUE"""),-3.0)</f>
        <v>-3</v>
      </c>
      <c r="AZ356" s="16">
        <f>IFERROR(__xludf.DUMMYFUNCTION("""COMPUTED_VALUE"""),-1.0)</f>
        <v>-1</v>
      </c>
      <c r="BA356" s="16">
        <f>IFERROR(__xludf.DUMMYFUNCTION("""COMPUTED_VALUE"""),-15.0)</f>
        <v>-15</v>
      </c>
      <c r="BB356" s="16">
        <f>IFERROR(__xludf.DUMMYFUNCTION("""COMPUTED_VALUE"""),-5.0)</f>
        <v>-5</v>
      </c>
      <c r="BC356" s="16">
        <f>IFERROR(__xludf.DUMMYFUNCTION("""COMPUTED_VALUE"""),7.0)</f>
        <v>7</v>
      </c>
      <c r="BD356" s="16">
        <f>IFERROR(__xludf.DUMMYFUNCTION("""COMPUTED_VALUE"""),6.0)</f>
        <v>6</v>
      </c>
      <c r="BE356" s="16">
        <f>IFERROR(__xludf.DUMMYFUNCTION("""COMPUTED_VALUE"""),7.0)</f>
        <v>7</v>
      </c>
      <c r="BF356" s="16">
        <f>IFERROR(__xludf.DUMMYFUNCTION("""COMPUTED_VALUE"""),6.0)</f>
        <v>6</v>
      </c>
      <c r="BG356" s="16">
        <f>IFERROR(__xludf.DUMMYFUNCTION("""COMPUTED_VALUE"""),-3.0)</f>
        <v>-3</v>
      </c>
      <c r="BH356" s="16">
        <f>IFERROR(__xludf.DUMMYFUNCTION("""COMPUTED_VALUE"""),-2.0)</f>
        <v>-2</v>
      </c>
      <c r="BI356" s="16">
        <f>IFERROR(__xludf.DUMMYFUNCTION("""COMPUTED_VALUE"""),-6.0)</f>
        <v>-6</v>
      </c>
      <c r="BJ356" s="16">
        <f>IFERROR(__xludf.DUMMYFUNCTION("""COMPUTED_VALUE"""),-4.0)</f>
        <v>-4</v>
      </c>
      <c r="BK356" s="16">
        <f>IFERROR(__xludf.DUMMYFUNCTION("""COMPUTED_VALUE"""),5.0)</f>
        <v>5</v>
      </c>
      <c r="BL356" s="16">
        <f>IFERROR(__xludf.DUMMYFUNCTION("""COMPUTED_VALUE"""),5.0)</f>
        <v>5</v>
      </c>
      <c r="BM356" s="16">
        <f>IFERROR(__xludf.DUMMYFUNCTION("""COMPUTED_VALUE"""),0.0)</f>
        <v>0</v>
      </c>
      <c r="BN356" s="16">
        <f>IFERROR(__xludf.DUMMYFUNCTION("""COMPUTED_VALUE"""),0.0)</f>
        <v>0</v>
      </c>
      <c r="BO356" s="16">
        <f>IFERROR(__xludf.DUMMYFUNCTION("""COMPUTED_VALUE"""),0.0)</f>
        <v>0</v>
      </c>
      <c r="BP356" s="16">
        <f>IFERROR(__xludf.DUMMYFUNCTION("""COMPUTED_VALUE"""),0.0)</f>
        <v>0</v>
      </c>
      <c r="BQ356" s="16">
        <f>IFERROR(__xludf.DUMMYFUNCTION("""COMPUTED_VALUE"""),0.0)</f>
        <v>0</v>
      </c>
      <c r="BR356" s="16">
        <f>IFERROR(__xludf.DUMMYFUNCTION("""COMPUTED_VALUE"""),0.0)</f>
        <v>0</v>
      </c>
      <c r="BS356" s="16">
        <f>IFERROR(__xludf.DUMMYFUNCTION("""COMPUTED_VALUE"""),-3.0)</f>
        <v>-3</v>
      </c>
      <c r="BT356" s="16">
        <f>IFERROR(__xludf.DUMMYFUNCTION("""COMPUTED_VALUE"""),-3.0)</f>
        <v>-3</v>
      </c>
      <c r="BU356" s="16">
        <f>IFERROR(__xludf.DUMMYFUNCTION("""COMPUTED_VALUE"""),-6.0)</f>
        <v>-6</v>
      </c>
      <c r="BV356" s="16">
        <f>IFERROR(__xludf.DUMMYFUNCTION("""COMPUTED_VALUE"""),-6.0)</f>
        <v>-6</v>
      </c>
      <c r="BW356" s="16">
        <f>IFERROR(__xludf.DUMMYFUNCTION("""COMPUTED_VALUE"""),9.0)</f>
        <v>9</v>
      </c>
      <c r="BX356" s="16">
        <f>IFERROR(__xludf.DUMMYFUNCTION("""COMPUTED_VALUE"""),9.0)</f>
        <v>9</v>
      </c>
      <c r="BY356" s="16" t="str">
        <f>IFERROR(__xludf.DUMMYFUNCTION("""COMPUTED_VALUE"""),"R(1) C(4)")</f>
        <v>R(1) C(4)</v>
      </c>
      <c r="BZ356" s="16" t="str">
        <f>IFERROR(__xludf.DUMMYFUNCTION("""COMPUTED_VALUE"""),"R(1) C(4)")</f>
        <v>R(1) C(4)</v>
      </c>
      <c r="CA356" s="16" t="str">
        <f>IFERROR(__xludf.DUMMYFUNCTION("""COMPUTED_VALUE"""),"R(1)")</f>
        <v>R(1)</v>
      </c>
      <c r="CB356" s="16" t="str">
        <f>IFERROR(__xludf.DUMMYFUNCTION("""COMPUTED_VALUE"""),"C(4)")</f>
        <v>C(4)</v>
      </c>
      <c r="CC356" s="16"/>
      <c r="CD356" s="16"/>
      <c r="CE356" s="16">
        <f>IFERROR(__xludf.DUMMYFUNCTION("""COMPUTED_VALUE"""),1.0)</f>
        <v>1</v>
      </c>
      <c r="CF356" s="16">
        <f>IFERROR(__xludf.DUMMYFUNCTION("""COMPUTED_VALUE"""),4.0)</f>
        <v>4</v>
      </c>
      <c r="CG356" s="16" t="str">
        <f>IFERROR(__xludf.DUMMYFUNCTION("""COMPUTED_VALUE"""),"5-0")</f>
        <v>5-0</v>
      </c>
      <c r="CH356" s="16">
        <f>IFERROR(__xludf.DUMMYFUNCTION("""COMPUTED_VALUE"""),5.0)</f>
        <v>5</v>
      </c>
      <c r="CI356" s="16">
        <f>IFERROR(__xludf.DUMMYFUNCTION("""COMPUTED_VALUE"""),0.0)</f>
        <v>0</v>
      </c>
      <c r="CJ356" s="16">
        <f>IFERROR(__xludf.DUMMYFUNCTION("""COMPUTED_VALUE"""),5.0)</f>
        <v>5</v>
      </c>
      <c r="CK356" s="16">
        <f>IFERROR(__xludf.DUMMYFUNCTION("""COMPUTED_VALUE"""),20.0)</f>
        <v>20</v>
      </c>
      <c r="CL356" s="16" t="str">
        <f>IFERROR(__xludf.DUMMYFUNCTION("""COMPUTED_VALUE"""),"1WR-C")</f>
        <v>1WR-C</v>
      </c>
      <c r="CM356" s="16" t="str">
        <f>IFERROR(__xludf.DUMMYFUNCTION("""COMPUTED_VALUE"""),"E")</f>
        <v>E</v>
      </c>
      <c r="CN356" s="16">
        <f>IFERROR(__xludf.DUMMYFUNCTION("""COMPUTED_VALUE"""),10.0)</f>
        <v>10</v>
      </c>
      <c r="CO356" s="16" t="str">
        <f>IFERROR(__xludf.DUMMYFUNCTION("""COMPUTED_VALUE"""),"C")</f>
        <v>C</v>
      </c>
      <c r="CP356" s="16" t="str">
        <f>IFERROR(__xludf.DUMMYFUNCTION("""COMPUTED_VALUE"""),"1p50")</f>
        <v>1p50</v>
      </c>
      <c r="CQ356" s="16">
        <f>IFERROR(__xludf.DUMMYFUNCTION("""COMPUTED_VALUE"""),-17.0)</f>
        <v>-17</v>
      </c>
      <c r="CR356" s="16">
        <f>IFERROR(__xludf.DUMMYFUNCTION("""COMPUTED_VALUE"""),-3.0)</f>
        <v>-3</v>
      </c>
      <c r="CS356" s="16">
        <f>IFERROR(__xludf.DUMMYFUNCTION("""COMPUTED_VALUE"""),-20.0)</f>
        <v>-20</v>
      </c>
      <c r="CT356" s="16">
        <f>IFERROR(__xludf.DUMMYFUNCTION("""COMPUTED_VALUE"""),-17.0)</f>
        <v>-17</v>
      </c>
      <c r="CU356" s="16">
        <f>IFERROR(__xludf.DUMMYFUNCTION("""COMPUTED_VALUE"""),-3.0)</f>
        <v>-3</v>
      </c>
      <c r="CV356" s="179">
        <f>IFERROR(__xludf.DUMMYFUNCTION("""COMPUTED_VALUE"""),-8.333333333333334)</f>
        <v>-8.333333333</v>
      </c>
      <c r="CW356" s="179">
        <f>IFERROR(__xludf.DUMMYFUNCTION("""COMPUTED_VALUE"""),4.0)</f>
        <v>4</v>
      </c>
      <c r="CX356" s="179">
        <f>IFERROR(__xludf.DUMMYFUNCTION("""COMPUTED_VALUE"""),0.0)</f>
        <v>0</v>
      </c>
      <c r="CY356" s="16" t="str">
        <f>IFERROR(__xludf.DUMMYFUNCTION("""COMPUTED_VALUE"""),"RP")</f>
        <v>RP</v>
      </c>
      <c r="CZ356" s="16" t="str">
        <f>IFERROR(__xludf.DUMMYFUNCTION("""COMPUTED_VALUE"""),"CP")</f>
        <v>CP</v>
      </c>
      <c r="DA356" s="16"/>
      <c r="DB356" s="16"/>
      <c r="DC356" s="16"/>
      <c r="DD356" s="16"/>
      <c r="DE356" s="16"/>
      <c r="DF356" s="16"/>
      <c r="DG356" s="16"/>
      <c r="DH356" s="16"/>
      <c r="DI356" s="16"/>
      <c r="DJ356" s="16"/>
      <c r="DK356" s="16"/>
    </row>
    <row r="357">
      <c r="A357" s="16">
        <f>IFERROR(__xludf.DUMMYFUNCTION("""COMPUTED_VALUE"""),12973.0)</f>
        <v>12973</v>
      </c>
      <c r="B357" s="16" t="str">
        <f>IFERROR(__xludf.DUMMYFUNCTION("""COMPUTED_VALUE"""),"Joey Cantillo")</f>
        <v>Joey Cantillo</v>
      </c>
      <c r="C357" s="153">
        <f>IFERROR(__xludf.DUMMYFUNCTION("""COMPUTED_VALUE"""),0.0)</f>
        <v>0</v>
      </c>
      <c r="D357" s="16"/>
      <c r="E357" s="16" t="str">
        <f>IFERROR(__xludf.DUMMYFUNCTION("""COMPUTED_VALUE"""),"L")</f>
        <v>L</v>
      </c>
      <c r="F357" s="16">
        <f>IFERROR(__xludf.DUMMYFUNCTION("""COMPUTED_VALUE"""),39.0)</f>
        <v>39</v>
      </c>
      <c r="G357" s="16">
        <f>IFERROR(__xludf.DUMMYFUNCTION("""COMPUTED_VALUE"""),22.0)</f>
        <v>22</v>
      </c>
      <c r="H357" s="16">
        <f>IFERROR(__xludf.DUMMYFUNCTION("""COMPUTED_VALUE"""),37.0)</f>
        <v>37</v>
      </c>
      <c r="I357" s="16">
        <f>IFERROR(__xludf.DUMMYFUNCTION("""COMPUTED_VALUE"""),-1.0)</f>
        <v>-1</v>
      </c>
      <c r="J357" s="16">
        <f>IFERROR(__xludf.DUMMYFUNCTION("""COMPUTED_VALUE"""),1.0)</f>
        <v>1</v>
      </c>
      <c r="K357" s="16">
        <f>IFERROR(__xludf.DUMMYFUNCTION("""COMPUTED_VALUE"""),-3.0)</f>
        <v>-3</v>
      </c>
      <c r="L357" s="16">
        <f>IFERROR(__xludf.DUMMYFUNCTION("""COMPUTED_VALUE"""),3.0)</f>
        <v>3</v>
      </c>
      <c r="M357" s="16">
        <f>IFERROR(__xludf.DUMMYFUNCTION("""COMPUTED_VALUE"""),18.0)</f>
        <v>18</v>
      </c>
      <c r="N357" s="16">
        <f>IFERROR(__xludf.DUMMYFUNCTION("""COMPUTED_VALUE"""),9.0)</f>
        <v>9</v>
      </c>
      <c r="O357" s="16">
        <f>IFERROR(__xludf.DUMMYFUNCTION("""COMPUTED_VALUE"""),-3.0)</f>
        <v>-3</v>
      </c>
      <c r="P357" s="16">
        <f>IFERROR(__xludf.DUMMYFUNCTION("""COMPUTED_VALUE"""),0.0)</f>
        <v>0</v>
      </c>
      <c r="Q357" s="16">
        <f>IFERROR(__xludf.DUMMYFUNCTION("""COMPUTED_VALUE"""),-3.0)</f>
        <v>-3</v>
      </c>
      <c r="R357" s="16">
        <f>IFERROR(__xludf.DUMMYFUNCTION("""COMPUTED_VALUE"""),0.0)</f>
        <v>0</v>
      </c>
      <c r="S357" s="16">
        <f>IFERROR(__xludf.DUMMYFUNCTION("""COMPUTED_VALUE"""),17.8)</f>
        <v>17.8</v>
      </c>
      <c r="T357" s="16">
        <f>IFERROR(__xludf.DUMMYFUNCTION("""COMPUTED_VALUE"""),13.9)</f>
        <v>13.9</v>
      </c>
      <c r="U357" s="16">
        <f>IFERROR(__xludf.DUMMYFUNCTION("""COMPUTED_VALUE"""),0.0)</f>
        <v>0</v>
      </c>
      <c r="V357" s="16">
        <f>IFERROR(__xludf.DUMMYFUNCTION("""COMPUTED_VALUE"""),0.0)</f>
        <v>0</v>
      </c>
      <c r="W357" s="16">
        <f>IFERROR(__xludf.DUMMYFUNCTION("""COMPUTED_VALUE"""),0.0)</f>
        <v>0</v>
      </c>
      <c r="X357" s="16">
        <f>IFERROR(__xludf.DUMMYFUNCTION("""COMPUTED_VALUE"""),0.0)</f>
        <v>0</v>
      </c>
      <c r="Y357" s="16">
        <f>IFERROR(__xludf.DUMMYFUNCTION("""COMPUTED_VALUE"""),35.8)</f>
        <v>35.8</v>
      </c>
      <c r="Z357" s="16">
        <f>IFERROR(__xludf.DUMMYFUNCTION("""COMPUTED_VALUE"""),22.9)</f>
        <v>22.9</v>
      </c>
      <c r="AA357" s="16">
        <f>IFERROR(__xludf.DUMMYFUNCTION("""COMPUTED_VALUE"""),-1.0)</f>
        <v>-1</v>
      </c>
      <c r="AB357" s="16">
        <f>IFERROR(__xludf.DUMMYFUNCTION("""COMPUTED_VALUE"""),0.0)</f>
        <v>0</v>
      </c>
      <c r="AC357" s="16">
        <f>IFERROR(__xludf.DUMMYFUNCTION("""COMPUTED_VALUE"""),-5.0)</f>
        <v>-5</v>
      </c>
      <c r="AD357" s="16">
        <f>IFERROR(__xludf.DUMMYFUNCTION("""COMPUTED_VALUE"""),0.0)</f>
        <v>0</v>
      </c>
      <c r="AE357" s="16">
        <f>IFERROR(__xludf.DUMMYFUNCTION("""COMPUTED_VALUE"""),50.3)</f>
        <v>50.3</v>
      </c>
      <c r="AF357" s="16">
        <f>IFERROR(__xludf.DUMMYFUNCTION("""COMPUTED_VALUE"""),29.3)</f>
        <v>29.3</v>
      </c>
      <c r="AG357" s="16">
        <f>IFERROR(__xludf.DUMMYFUNCTION("""COMPUTED_VALUE"""),-2.0)</f>
        <v>-2</v>
      </c>
      <c r="AH357" s="16">
        <f>IFERROR(__xludf.DUMMYFUNCTION("""COMPUTED_VALUE"""),0.0)</f>
        <v>0</v>
      </c>
      <c r="AI357" s="16">
        <f>IFERROR(__xludf.DUMMYFUNCTION("""COMPUTED_VALUE"""),-4.0)</f>
        <v>-4</v>
      </c>
      <c r="AJ357" s="16">
        <f>IFERROR(__xludf.DUMMYFUNCTION("""COMPUTED_VALUE"""),0.0)</f>
        <v>0</v>
      </c>
      <c r="AK357" s="16">
        <f>IFERROR(__xludf.DUMMYFUNCTION("""COMPUTED_VALUE"""),9.0)</f>
        <v>9</v>
      </c>
      <c r="AL357" s="16">
        <f>IFERROR(__xludf.DUMMYFUNCTION("""COMPUTED_VALUE"""),12.5)</f>
        <v>12.5</v>
      </c>
      <c r="AM357" s="16">
        <f>IFERROR(__xludf.DUMMYFUNCTION("""COMPUTED_VALUE"""),1.0)</f>
        <v>1</v>
      </c>
      <c r="AN357" s="16">
        <f>IFERROR(__xludf.DUMMYFUNCTION("""COMPUTED_VALUE"""),0.0)</f>
        <v>0</v>
      </c>
      <c r="AO357" s="16">
        <f>IFERROR(__xludf.DUMMYFUNCTION("""COMPUTED_VALUE"""),1.0)</f>
        <v>1</v>
      </c>
      <c r="AP357" s="16">
        <f>IFERROR(__xludf.DUMMYFUNCTION("""COMPUTED_VALUE"""),0.0)</f>
        <v>0</v>
      </c>
      <c r="AQ357" s="16">
        <f>IFERROR(__xludf.DUMMYFUNCTION("""COMPUTED_VALUE"""),15.099999999999994)</f>
        <v>15.1</v>
      </c>
      <c r="AR357" s="16">
        <f>IFERROR(__xludf.DUMMYFUNCTION("""COMPUTED_VALUE"""),23.700000000000003)</f>
        <v>23.7</v>
      </c>
      <c r="AS357" s="16">
        <f>IFERROR(__xludf.DUMMYFUNCTION("""COMPUTED_VALUE"""),1.0)</f>
        <v>1</v>
      </c>
      <c r="AT357" s="16">
        <f>IFERROR(__xludf.DUMMYFUNCTION("""COMPUTED_VALUE"""),-1.0)</f>
        <v>-1</v>
      </c>
      <c r="AU357" s="16">
        <f>IFERROR(__xludf.DUMMYFUNCTION("""COMPUTED_VALUE"""),2.0)</f>
        <v>2</v>
      </c>
      <c r="AV357" s="16">
        <f>IFERROR(__xludf.DUMMYFUNCTION("""COMPUTED_VALUE"""),-2.0)</f>
        <v>-2</v>
      </c>
      <c r="AW357" s="16">
        <f>IFERROR(__xludf.DUMMYFUNCTION("""COMPUTED_VALUE"""),8.8)</f>
        <v>8.8</v>
      </c>
      <c r="AX357" s="16">
        <f>IFERROR(__xludf.DUMMYFUNCTION("""COMPUTED_VALUE"""),1.4)</f>
        <v>1.4</v>
      </c>
      <c r="AY357" s="16">
        <f>IFERROR(__xludf.DUMMYFUNCTION("""COMPUTED_VALUE"""),-3.0)</f>
        <v>-3</v>
      </c>
      <c r="AZ357" s="16">
        <f>IFERROR(__xludf.DUMMYFUNCTION("""COMPUTED_VALUE"""),1.0)</f>
        <v>1</v>
      </c>
      <c r="BA357" s="16">
        <f>IFERROR(__xludf.DUMMYFUNCTION("""COMPUTED_VALUE"""),-15.0)</f>
        <v>-15</v>
      </c>
      <c r="BB357" s="16">
        <f>IFERROR(__xludf.DUMMYFUNCTION("""COMPUTED_VALUE"""),5.0)</f>
        <v>5</v>
      </c>
      <c r="BC357" s="16">
        <f>IFERROR(__xludf.DUMMYFUNCTION("""COMPUTED_VALUE"""),8.0)</f>
        <v>8</v>
      </c>
      <c r="BD357" s="16">
        <f>IFERROR(__xludf.DUMMYFUNCTION("""COMPUTED_VALUE"""),2.0)</f>
        <v>2</v>
      </c>
      <c r="BE357" s="16">
        <f>IFERROR(__xludf.DUMMYFUNCTION("""COMPUTED_VALUE"""),8.0)</f>
        <v>8</v>
      </c>
      <c r="BF357" s="16">
        <f>IFERROR(__xludf.DUMMYFUNCTION("""COMPUTED_VALUE"""),2.0)</f>
        <v>2</v>
      </c>
      <c r="BG357" s="16">
        <f>IFERROR(__xludf.DUMMYFUNCTION("""COMPUTED_VALUE"""),-3.0)</f>
        <v>-3</v>
      </c>
      <c r="BH357" s="16">
        <f>IFERROR(__xludf.DUMMYFUNCTION("""COMPUTED_VALUE"""),1.0)</f>
        <v>1</v>
      </c>
      <c r="BI357" s="16">
        <f>IFERROR(__xludf.DUMMYFUNCTION("""COMPUTED_VALUE"""),-6.0)</f>
        <v>-6</v>
      </c>
      <c r="BJ357" s="16">
        <f>IFERROR(__xludf.DUMMYFUNCTION("""COMPUTED_VALUE"""),2.0)</f>
        <v>2</v>
      </c>
      <c r="BK357" s="16">
        <f>IFERROR(__xludf.DUMMYFUNCTION("""COMPUTED_VALUE"""),5.0)</f>
        <v>5</v>
      </c>
      <c r="BL357" s="16">
        <f>IFERROR(__xludf.DUMMYFUNCTION("""COMPUTED_VALUE"""),5.0)</f>
        <v>5</v>
      </c>
      <c r="BM357" s="16">
        <f>IFERROR(__xludf.DUMMYFUNCTION("""COMPUTED_VALUE"""),0.0)</f>
        <v>0</v>
      </c>
      <c r="BN357" s="16">
        <f>IFERROR(__xludf.DUMMYFUNCTION("""COMPUTED_VALUE"""),0.0)</f>
        <v>0</v>
      </c>
      <c r="BO357" s="16">
        <f>IFERROR(__xludf.DUMMYFUNCTION("""COMPUTED_VALUE"""),0.0)</f>
        <v>0</v>
      </c>
      <c r="BP357" s="16">
        <f>IFERROR(__xludf.DUMMYFUNCTION("""COMPUTED_VALUE"""),0.0)</f>
        <v>0</v>
      </c>
      <c r="BQ357" s="16">
        <f>IFERROR(__xludf.DUMMYFUNCTION("""COMPUTED_VALUE"""),7.0)</f>
        <v>7</v>
      </c>
      <c r="BR357" s="16">
        <f>IFERROR(__xludf.DUMMYFUNCTION("""COMPUTED_VALUE"""),8.0)</f>
        <v>8</v>
      </c>
      <c r="BS357" s="16">
        <f>IFERROR(__xludf.DUMMYFUNCTION("""COMPUTED_VALUE"""),2.0)</f>
        <v>2</v>
      </c>
      <c r="BT357" s="16">
        <f>IFERROR(__xludf.DUMMYFUNCTION("""COMPUTED_VALUE"""),2.0)</f>
        <v>2</v>
      </c>
      <c r="BU357" s="16">
        <f>IFERROR(__xludf.DUMMYFUNCTION("""COMPUTED_VALUE"""),4.0)</f>
        <v>4</v>
      </c>
      <c r="BV357" s="16">
        <f>IFERROR(__xludf.DUMMYFUNCTION("""COMPUTED_VALUE"""),4.0)</f>
        <v>4</v>
      </c>
      <c r="BW357" s="16">
        <f>IFERROR(__xludf.DUMMYFUNCTION("""COMPUTED_VALUE"""),-2.0)</f>
        <v>-2</v>
      </c>
      <c r="BX357" s="16">
        <f>IFERROR(__xludf.DUMMYFUNCTION("""COMPUTED_VALUE"""),-2.0)</f>
        <v>-2</v>
      </c>
      <c r="BY357" s="16" t="str">
        <f>IFERROR(__xludf.DUMMYFUNCTION("""COMPUTED_VALUE"""),"S(4) R(3)")</f>
        <v>S(4) R(3)</v>
      </c>
      <c r="BZ357" s="16" t="str">
        <f>IFERROR(__xludf.DUMMYFUNCTION("""COMPUTED_VALUE"""),"S(4) R(3)")</f>
        <v>S(4) R(3)</v>
      </c>
      <c r="CA357" s="16" t="str">
        <f>IFERROR(__xludf.DUMMYFUNCTION("""COMPUTED_VALUE"""),"S(4)")</f>
        <v>S(4)</v>
      </c>
      <c r="CB357" s="16" t="str">
        <f>IFERROR(__xludf.DUMMYFUNCTION("""COMPUTED_VALUE"""),"R(3)")</f>
        <v>R(3)</v>
      </c>
      <c r="CC357" s="16"/>
      <c r="CD357" s="16">
        <f>IFERROR(__xludf.DUMMYFUNCTION("""COMPUTED_VALUE"""),4.0)</f>
        <v>4</v>
      </c>
      <c r="CE357" s="16">
        <f>IFERROR(__xludf.DUMMYFUNCTION("""COMPUTED_VALUE"""),3.0)</f>
        <v>3</v>
      </c>
      <c r="CF357" s="16"/>
      <c r="CG357" s="16" t="str">
        <f>IFERROR(__xludf.DUMMYFUNCTION("""COMPUTED_VALUE"""),"3-0")</f>
        <v>3-0</v>
      </c>
      <c r="CH357" s="16">
        <f>IFERROR(__xludf.DUMMYFUNCTION("""COMPUTED_VALUE"""),3.0)</f>
        <v>3</v>
      </c>
      <c r="CI357" s="16">
        <f>IFERROR(__xludf.DUMMYFUNCTION("""COMPUTED_VALUE"""),0.0)</f>
        <v>0</v>
      </c>
      <c r="CJ357" s="16">
        <f>IFERROR(__xludf.DUMMYFUNCTION("""COMPUTED_VALUE"""),0.0)</f>
        <v>0</v>
      </c>
      <c r="CK357" s="16">
        <f>IFERROR(__xludf.DUMMYFUNCTION("""COMPUTED_VALUE"""),20.0)</f>
        <v>20</v>
      </c>
      <c r="CL357" s="16" t="str">
        <f>IFERROR(__xludf.DUMMYFUNCTION("""COMPUTED_VALUE"""),"1WL-C")</f>
        <v>1WL-C</v>
      </c>
      <c r="CM357" s="16" t="str">
        <f>IFERROR(__xludf.DUMMYFUNCTION("""COMPUTED_VALUE"""),"E")</f>
        <v>E</v>
      </c>
      <c r="CN357" s="16">
        <f>IFERROR(__xludf.DUMMYFUNCTION("""COMPUTED_VALUE"""),10.0)</f>
        <v>10</v>
      </c>
      <c r="CO357" s="16" t="str">
        <f>IFERROR(__xludf.DUMMYFUNCTION("""COMPUTED_VALUE"""),"C")</f>
        <v>C</v>
      </c>
      <c r="CP357" s="16" t="str">
        <f>IFERROR(__xludf.DUMMYFUNCTION("""COMPUTED_VALUE"""),"1p20")</f>
        <v>1p20</v>
      </c>
      <c r="CQ357" s="16">
        <f>IFERROR(__xludf.DUMMYFUNCTION("""COMPUTED_VALUE"""),-29.0)</f>
        <v>-29</v>
      </c>
      <c r="CR357" s="16">
        <f>IFERROR(__xludf.DUMMYFUNCTION("""COMPUTED_VALUE"""),12.0)</f>
        <v>12</v>
      </c>
      <c r="CS357" s="16">
        <f>IFERROR(__xludf.DUMMYFUNCTION("""COMPUTED_VALUE"""),-17.0)</f>
        <v>-17</v>
      </c>
      <c r="CT357" s="16">
        <f>IFERROR(__xludf.DUMMYFUNCTION("""COMPUTED_VALUE"""),-29.0)</f>
        <v>-29</v>
      </c>
      <c r="CU357" s="16">
        <f>IFERROR(__xludf.DUMMYFUNCTION("""COMPUTED_VALUE"""),12.0)</f>
        <v>12</v>
      </c>
      <c r="CV357" s="179">
        <f>IFERROR(__xludf.DUMMYFUNCTION("""COMPUTED_VALUE"""),-8.333333333333334)</f>
        <v>-8.333333333</v>
      </c>
      <c r="CW357" s="179">
        <f>IFERROR(__xludf.DUMMYFUNCTION("""COMPUTED_VALUE"""),4.0)</f>
        <v>4</v>
      </c>
      <c r="CX357" s="179">
        <f>IFERROR(__xludf.DUMMYFUNCTION("""COMPUTED_VALUE"""),3.0)</f>
        <v>3</v>
      </c>
      <c r="CY357" s="16" t="str">
        <f>IFERROR(__xludf.DUMMYFUNCTION("""COMPUTED_VALUE"""),"SP")</f>
        <v>SP</v>
      </c>
      <c r="CZ357" s="16" t="str">
        <f>IFERROR(__xludf.DUMMYFUNCTION("""COMPUTED_VALUE"""),"RP")</f>
        <v>RP</v>
      </c>
      <c r="DA357" s="16"/>
      <c r="DB357" s="16"/>
      <c r="DC357" s="16"/>
      <c r="DD357" s="16"/>
      <c r="DE357" s="16"/>
      <c r="DF357" s="16"/>
      <c r="DG357" s="16"/>
      <c r="DH357" s="16"/>
      <c r="DI357" s="16"/>
      <c r="DJ357" s="16"/>
      <c r="DK357" s="16"/>
    </row>
    <row r="358">
      <c r="A358" s="16">
        <f>IFERROR(__xludf.DUMMYFUNCTION("""COMPUTED_VALUE"""),12644.0)</f>
        <v>12644</v>
      </c>
      <c r="B358" s="16" t="str">
        <f>IFERROR(__xludf.DUMMYFUNCTION("""COMPUTED_VALUE"""),"Cal Quantrill")</f>
        <v>Cal Quantrill</v>
      </c>
      <c r="C358" s="153">
        <f>IFERROR(__xludf.DUMMYFUNCTION("""COMPUTED_VALUE"""),0.49)</f>
        <v>0.49</v>
      </c>
      <c r="D358" s="16"/>
      <c r="E358" s="16" t="str">
        <f>IFERROR(__xludf.DUMMYFUNCTION("""COMPUTED_VALUE"""),"R")</f>
        <v>R</v>
      </c>
      <c r="F358" s="16">
        <f>IFERROR(__xludf.DUMMYFUNCTION("""COMPUTED_VALUE"""),148.0)</f>
        <v>148</v>
      </c>
      <c r="G358" s="16">
        <f>IFERROR(__xludf.DUMMYFUNCTION("""COMPUTED_VALUE"""),13.0)</f>
        <v>13</v>
      </c>
      <c r="H358" s="16">
        <f>IFERROR(__xludf.DUMMYFUNCTION("""COMPUTED_VALUE"""),12.0)</f>
        <v>12</v>
      </c>
      <c r="I358" s="16">
        <f>IFERROR(__xludf.DUMMYFUNCTION("""COMPUTED_VALUE"""),-2.0)</f>
        <v>-2</v>
      </c>
      <c r="J358" s="16">
        <f>IFERROR(__xludf.DUMMYFUNCTION("""COMPUTED_VALUE"""),-2.0)</f>
        <v>-2</v>
      </c>
      <c r="K358" s="16">
        <f>IFERROR(__xludf.DUMMYFUNCTION("""COMPUTED_VALUE"""),-6.0)</f>
        <v>-6</v>
      </c>
      <c r="L358" s="16">
        <f>IFERROR(__xludf.DUMMYFUNCTION("""COMPUTED_VALUE"""),-6.0)</f>
        <v>-6</v>
      </c>
      <c r="M358" s="16">
        <f>IFERROR(__xludf.DUMMYFUNCTION("""COMPUTED_VALUE"""),18.0)</f>
        <v>18</v>
      </c>
      <c r="N358" s="16">
        <f>IFERROR(__xludf.DUMMYFUNCTION("""COMPUTED_VALUE"""),10.0)</f>
        <v>10</v>
      </c>
      <c r="O358" s="16">
        <f>IFERROR(__xludf.DUMMYFUNCTION("""COMPUTED_VALUE"""),-3.0)</f>
        <v>-3</v>
      </c>
      <c r="P358" s="16">
        <f>IFERROR(__xludf.DUMMYFUNCTION("""COMPUTED_VALUE"""),-1.0)</f>
        <v>-1</v>
      </c>
      <c r="Q358" s="16">
        <f>IFERROR(__xludf.DUMMYFUNCTION("""COMPUTED_VALUE"""),-3.0)</f>
        <v>-3</v>
      </c>
      <c r="R358" s="16">
        <f>IFERROR(__xludf.DUMMYFUNCTION("""COMPUTED_VALUE"""),-1.0)</f>
        <v>-1</v>
      </c>
      <c r="S358" s="16">
        <f>IFERROR(__xludf.DUMMYFUNCTION("""COMPUTED_VALUE"""),17.8)</f>
        <v>17.8</v>
      </c>
      <c r="T358" s="16">
        <f>IFERROR(__xludf.DUMMYFUNCTION("""COMPUTED_VALUE"""),20.6)</f>
        <v>20.6</v>
      </c>
      <c r="U358" s="16">
        <f>IFERROR(__xludf.DUMMYFUNCTION("""COMPUTED_VALUE"""),0.0)</f>
        <v>0</v>
      </c>
      <c r="V358" s="16">
        <f>IFERROR(__xludf.DUMMYFUNCTION("""COMPUTED_VALUE"""),-1.0)</f>
        <v>-1</v>
      </c>
      <c r="W358" s="16">
        <f>IFERROR(__xludf.DUMMYFUNCTION("""COMPUTED_VALUE"""),0.0)</f>
        <v>0</v>
      </c>
      <c r="X358" s="16">
        <f>IFERROR(__xludf.DUMMYFUNCTION("""COMPUTED_VALUE"""),-2.0)</f>
        <v>-2</v>
      </c>
      <c r="Y358" s="16">
        <f>IFERROR(__xludf.DUMMYFUNCTION("""COMPUTED_VALUE"""),35.8)</f>
        <v>35.8</v>
      </c>
      <c r="Z358" s="16">
        <f>IFERROR(__xludf.DUMMYFUNCTION("""COMPUTED_VALUE"""),30.6)</f>
        <v>30.6</v>
      </c>
      <c r="AA358" s="16">
        <f>IFERROR(__xludf.DUMMYFUNCTION("""COMPUTED_VALUE"""),-1.0)</f>
        <v>-1</v>
      </c>
      <c r="AB358" s="16">
        <f>IFERROR(__xludf.DUMMYFUNCTION("""COMPUTED_VALUE"""),-1.0)</f>
        <v>-1</v>
      </c>
      <c r="AC358" s="16">
        <f>IFERROR(__xludf.DUMMYFUNCTION("""COMPUTED_VALUE"""),-5.0)</f>
        <v>-5</v>
      </c>
      <c r="AD358" s="16">
        <f>IFERROR(__xludf.DUMMYFUNCTION("""COMPUTED_VALUE"""),-5.0)</f>
        <v>-5</v>
      </c>
      <c r="AE358" s="16">
        <f>IFERROR(__xludf.DUMMYFUNCTION("""COMPUTED_VALUE"""),33.8)</f>
        <v>33.8</v>
      </c>
      <c r="AF358" s="16">
        <f>IFERROR(__xludf.DUMMYFUNCTION("""COMPUTED_VALUE"""),32.9)</f>
        <v>32.9</v>
      </c>
      <c r="AG358" s="16">
        <f>IFERROR(__xludf.DUMMYFUNCTION("""COMPUTED_VALUE"""),-1.0)</f>
        <v>-1</v>
      </c>
      <c r="AH358" s="16">
        <f>IFERROR(__xludf.DUMMYFUNCTION("""COMPUTED_VALUE"""),-1.0)</f>
        <v>-1</v>
      </c>
      <c r="AI358" s="16">
        <f>IFERROR(__xludf.DUMMYFUNCTION("""COMPUTED_VALUE"""),-2.0)</f>
        <v>-2</v>
      </c>
      <c r="AJ358" s="16">
        <f>IFERROR(__xludf.DUMMYFUNCTION("""COMPUTED_VALUE"""),-2.0)</f>
        <v>-2</v>
      </c>
      <c r="AK358" s="16">
        <f>IFERROR(__xludf.DUMMYFUNCTION("""COMPUTED_VALUE"""),16.2)</f>
        <v>16.2</v>
      </c>
      <c r="AL358" s="16">
        <f>IFERROR(__xludf.DUMMYFUNCTION("""COMPUTED_VALUE"""),17.400000000000002)</f>
        <v>17.4</v>
      </c>
      <c r="AM358" s="16">
        <f>IFERROR(__xludf.DUMMYFUNCTION("""COMPUTED_VALUE"""),-1.0)</f>
        <v>-1</v>
      </c>
      <c r="AN358" s="16">
        <f>IFERROR(__xludf.DUMMYFUNCTION("""COMPUTED_VALUE"""),-1.0)</f>
        <v>-1</v>
      </c>
      <c r="AO358" s="16">
        <f>IFERROR(__xludf.DUMMYFUNCTION("""COMPUTED_VALUE"""),-1.0)</f>
        <v>-1</v>
      </c>
      <c r="AP358" s="16">
        <f>IFERROR(__xludf.DUMMYFUNCTION("""COMPUTED_VALUE"""),-1.0)</f>
        <v>-1</v>
      </c>
      <c r="AQ358" s="16">
        <f>IFERROR(__xludf.DUMMYFUNCTION("""COMPUTED_VALUE"""),27.4)</f>
        <v>27.4</v>
      </c>
      <c r="AR358" s="16">
        <f>IFERROR(__xludf.DUMMYFUNCTION("""COMPUTED_VALUE"""),20.099999999999998)</f>
        <v>20.1</v>
      </c>
      <c r="AS358" s="16">
        <f>IFERROR(__xludf.DUMMYFUNCTION("""COMPUTED_VALUE"""),-1.0)</f>
        <v>-1</v>
      </c>
      <c r="AT358" s="16">
        <f>IFERROR(__xludf.DUMMYFUNCTION("""COMPUTED_VALUE"""),0.0)</f>
        <v>0</v>
      </c>
      <c r="AU358" s="16">
        <f>IFERROR(__xludf.DUMMYFUNCTION("""COMPUTED_VALUE"""),-2.0)</f>
        <v>-2</v>
      </c>
      <c r="AV358" s="16">
        <f>IFERROR(__xludf.DUMMYFUNCTION("""COMPUTED_VALUE"""),0.0)</f>
        <v>0</v>
      </c>
      <c r="AW358" s="16">
        <f>IFERROR(__xludf.DUMMYFUNCTION("""COMPUTED_VALUE"""),1.6)</f>
        <v>1.6</v>
      </c>
      <c r="AX358" s="16">
        <f>IFERROR(__xludf.DUMMYFUNCTION("""COMPUTED_VALUE"""),3.2)</f>
        <v>3.2</v>
      </c>
      <c r="AY358" s="16">
        <f>IFERROR(__xludf.DUMMYFUNCTION("""COMPUTED_VALUE"""),1.0)</f>
        <v>1</v>
      </c>
      <c r="AZ358" s="16">
        <f>IFERROR(__xludf.DUMMYFUNCTION("""COMPUTED_VALUE"""),-1.0)</f>
        <v>-1</v>
      </c>
      <c r="BA358" s="16">
        <f>IFERROR(__xludf.DUMMYFUNCTION("""COMPUTED_VALUE"""),5.0)</f>
        <v>5</v>
      </c>
      <c r="BB358" s="16">
        <f>IFERROR(__xludf.DUMMYFUNCTION("""COMPUTED_VALUE"""),-5.0)</f>
        <v>-5</v>
      </c>
      <c r="BC358" s="16">
        <f>IFERROR(__xludf.DUMMYFUNCTION("""COMPUTED_VALUE"""),2.0)</f>
        <v>2</v>
      </c>
      <c r="BD358" s="16">
        <f>IFERROR(__xludf.DUMMYFUNCTION("""COMPUTED_VALUE"""),5.0)</f>
        <v>5</v>
      </c>
      <c r="BE358" s="16">
        <f>IFERROR(__xludf.DUMMYFUNCTION("""COMPUTED_VALUE"""),2.0)</f>
        <v>2</v>
      </c>
      <c r="BF358" s="16">
        <f>IFERROR(__xludf.DUMMYFUNCTION("""COMPUTED_VALUE"""),5.0)</f>
        <v>5</v>
      </c>
      <c r="BG358" s="16">
        <f>IFERROR(__xludf.DUMMYFUNCTION("""COMPUTED_VALUE"""),1.0)</f>
        <v>1</v>
      </c>
      <c r="BH358" s="16">
        <f>IFERROR(__xludf.DUMMYFUNCTION("""COMPUTED_VALUE"""),-2.0)</f>
        <v>-2</v>
      </c>
      <c r="BI358" s="16">
        <f>IFERROR(__xludf.DUMMYFUNCTION("""COMPUTED_VALUE"""),2.0)</f>
        <v>2</v>
      </c>
      <c r="BJ358" s="16">
        <f>IFERROR(__xludf.DUMMYFUNCTION("""COMPUTED_VALUE"""),-4.0)</f>
        <v>-4</v>
      </c>
      <c r="BK358" s="16">
        <f>IFERROR(__xludf.DUMMYFUNCTION("""COMPUTED_VALUE"""),5.0)</f>
        <v>5</v>
      </c>
      <c r="BL358" s="16">
        <f>IFERROR(__xludf.DUMMYFUNCTION("""COMPUTED_VALUE"""),5.0)</f>
        <v>5</v>
      </c>
      <c r="BM358" s="16">
        <f>IFERROR(__xludf.DUMMYFUNCTION("""COMPUTED_VALUE"""),0.0)</f>
        <v>0</v>
      </c>
      <c r="BN358" s="16">
        <f>IFERROR(__xludf.DUMMYFUNCTION("""COMPUTED_VALUE"""),0.0)</f>
        <v>0</v>
      </c>
      <c r="BO358" s="16">
        <f>IFERROR(__xludf.DUMMYFUNCTION("""COMPUTED_VALUE"""),0.0)</f>
        <v>0</v>
      </c>
      <c r="BP358" s="16">
        <f>IFERROR(__xludf.DUMMYFUNCTION("""COMPUTED_VALUE"""),0.0)</f>
        <v>0</v>
      </c>
      <c r="BQ358" s="16">
        <f>IFERROR(__xludf.DUMMYFUNCTION("""COMPUTED_VALUE"""),11.0)</f>
        <v>11</v>
      </c>
      <c r="BR358" s="16">
        <f>IFERROR(__xludf.DUMMYFUNCTION("""COMPUTED_VALUE"""),11.0)</f>
        <v>11</v>
      </c>
      <c r="BS358" s="16">
        <f>IFERROR(__xludf.DUMMYFUNCTION("""COMPUTED_VALUE"""),3.0)</f>
        <v>3</v>
      </c>
      <c r="BT358" s="16">
        <f>IFERROR(__xludf.DUMMYFUNCTION("""COMPUTED_VALUE"""),3.0)</f>
        <v>3</v>
      </c>
      <c r="BU358" s="16">
        <f>IFERROR(__xludf.DUMMYFUNCTION("""COMPUTED_VALUE"""),6.0)</f>
        <v>6</v>
      </c>
      <c r="BV358" s="16">
        <f>IFERROR(__xludf.DUMMYFUNCTION("""COMPUTED_VALUE"""),6.0)</f>
        <v>6</v>
      </c>
      <c r="BW358" s="16">
        <f>IFERROR(__xludf.DUMMYFUNCTION("""COMPUTED_VALUE"""),0.0)</f>
        <v>0</v>
      </c>
      <c r="BX358" s="16">
        <f>IFERROR(__xludf.DUMMYFUNCTION("""COMPUTED_VALUE"""),0.0)</f>
        <v>0</v>
      </c>
      <c r="BY358" s="16" t="str">
        <f>IFERROR(__xludf.DUMMYFUNCTION("""COMPUTED_VALUE"""),"S(5)")</f>
        <v>S(5)</v>
      </c>
      <c r="BZ358" s="16" t="str">
        <f>IFERROR(__xludf.DUMMYFUNCTION("""COMPUTED_VALUE"""),"S(5)")</f>
        <v>S(5)</v>
      </c>
      <c r="CA358" s="16" t="str">
        <f>IFERROR(__xludf.DUMMYFUNCTION("""COMPUTED_VALUE"""),"S(5)")</f>
        <v>S(5)</v>
      </c>
      <c r="CB358" s="16"/>
      <c r="CC358" s="16"/>
      <c r="CD358" s="16">
        <f>IFERROR(__xludf.DUMMYFUNCTION("""COMPUTED_VALUE"""),5.0)</f>
        <v>5</v>
      </c>
      <c r="CE358" s="16"/>
      <c r="CF358" s="16"/>
      <c r="CG358" s="16" t="str">
        <f>IFERROR(__xludf.DUMMYFUNCTION("""COMPUTED_VALUE"""),"3-0")</f>
        <v>3-0</v>
      </c>
      <c r="CH358" s="16">
        <f>IFERROR(__xludf.DUMMYFUNCTION("""COMPUTED_VALUE"""),3.0)</f>
        <v>3</v>
      </c>
      <c r="CI358" s="16">
        <f>IFERROR(__xludf.DUMMYFUNCTION("""COMPUTED_VALUE"""),0.0)</f>
        <v>0</v>
      </c>
      <c r="CJ358" s="16">
        <f>IFERROR(__xludf.DUMMYFUNCTION("""COMPUTED_VALUE"""),2.0)</f>
        <v>2</v>
      </c>
      <c r="CK358" s="16">
        <f>IFERROR(__xludf.DUMMYFUNCTION("""COMPUTED_VALUE"""),8.0)</f>
        <v>8</v>
      </c>
      <c r="CL358" s="16" t="str">
        <f>IFERROR(__xludf.DUMMYFUNCTION("""COMPUTED_VALUE"""),"1WL-C")</f>
        <v>1WL-C</v>
      </c>
      <c r="CM358" s="16" t="str">
        <f>IFERROR(__xludf.DUMMYFUNCTION("""COMPUTED_VALUE"""),"E")</f>
        <v>E</v>
      </c>
      <c r="CN358" s="16">
        <f>IFERROR(__xludf.DUMMYFUNCTION("""COMPUTED_VALUE"""),10.0)</f>
        <v>10</v>
      </c>
      <c r="CO358" s="16" t="str">
        <f>IFERROR(__xludf.DUMMYFUNCTION("""COMPUTED_VALUE"""),"C")</f>
        <v>C</v>
      </c>
      <c r="CP358" s="16" t="str">
        <f>IFERROR(__xludf.DUMMYFUNCTION("""COMPUTED_VALUE"""),"1p70")</f>
        <v>1p70</v>
      </c>
      <c r="CQ358" s="16">
        <f>IFERROR(__xludf.DUMMYFUNCTION("""COMPUTED_VALUE"""),-6.0)</f>
        <v>-6</v>
      </c>
      <c r="CR358" s="16">
        <f>IFERROR(__xludf.DUMMYFUNCTION("""COMPUTED_VALUE"""),-20.0)</f>
        <v>-20</v>
      </c>
      <c r="CS358" s="16">
        <f>IFERROR(__xludf.DUMMYFUNCTION("""COMPUTED_VALUE"""),-26.0)</f>
        <v>-26</v>
      </c>
      <c r="CT358" s="16">
        <f>IFERROR(__xludf.DUMMYFUNCTION("""COMPUTED_VALUE"""),-6.0)</f>
        <v>-6</v>
      </c>
      <c r="CU358" s="16">
        <f>IFERROR(__xludf.DUMMYFUNCTION("""COMPUTED_VALUE"""),-20.0)</f>
        <v>-20</v>
      </c>
      <c r="CV358" s="179">
        <f>IFERROR(__xludf.DUMMYFUNCTION("""COMPUTED_VALUE"""),-8.333333333333334)</f>
        <v>-8.333333333</v>
      </c>
      <c r="CW358" s="179">
        <f>IFERROR(__xludf.DUMMYFUNCTION("""COMPUTED_VALUE"""),4.0)</f>
        <v>4</v>
      </c>
      <c r="CX358" s="179">
        <f>IFERROR(__xludf.DUMMYFUNCTION("""COMPUTED_VALUE"""),3.0)</f>
        <v>3</v>
      </c>
      <c r="CY358" s="16" t="str">
        <f>IFERROR(__xludf.DUMMYFUNCTION("""COMPUTED_VALUE"""),"SP")</f>
        <v>SP</v>
      </c>
      <c r="CZ358" s="16"/>
      <c r="DA358" s="16"/>
      <c r="DB358" s="16"/>
      <c r="DC358" s="16"/>
      <c r="DD358" s="16"/>
      <c r="DE358" s="16"/>
      <c r="DF358" s="16"/>
      <c r="DG358" s="16"/>
      <c r="DH358" s="16"/>
      <c r="DI358" s="16"/>
      <c r="DJ358" s="16"/>
      <c r="DK358" s="16"/>
    </row>
    <row r="359">
      <c r="A359" s="16">
        <f>IFERROR(__xludf.DUMMYFUNCTION("""COMPUTED_VALUE"""),13324.0)</f>
        <v>13324</v>
      </c>
      <c r="B359" s="16" t="str">
        <f>IFERROR(__xludf.DUMMYFUNCTION("""COMPUTED_VALUE"""),"Ross Stripling")</f>
        <v>Ross Stripling</v>
      </c>
      <c r="C359" s="153">
        <f>IFERROR(__xludf.DUMMYFUNCTION("""COMPUTED_VALUE"""),0.0)</f>
        <v>0</v>
      </c>
      <c r="D359" s="16"/>
      <c r="E359" s="16" t="str">
        <f>IFERROR(__xludf.DUMMYFUNCTION("""COMPUTED_VALUE"""),"R")</f>
        <v>R</v>
      </c>
      <c r="F359" s="16">
        <f>IFERROR(__xludf.DUMMYFUNCTION("""COMPUTED_VALUE"""),85.0)</f>
        <v>85</v>
      </c>
      <c r="G359" s="16">
        <f>IFERROR(__xludf.DUMMYFUNCTION("""COMPUTED_VALUE"""),2.0)</f>
        <v>2</v>
      </c>
      <c r="H359" s="16">
        <f>IFERROR(__xludf.DUMMYFUNCTION("""COMPUTED_VALUE"""),5.0)</f>
        <v>5</v>
      </c>
      <c r="I359" s="16">
        <f>IFERROR(__xludf.DUMMYFUNCTION("""COMPUTED_VALUE"""),-3.0)</f>
        <v>-3</v>
      </c>
      <c r="J359" s="16">
        <f>IFERROR(__xludf.DUMMYFUNCTION("""COMPUTED_VALUE"""),-3.0)</f>
        <v>-3</v>
      </c>
      <c r="K359" s="16">
        <f>IFERROR(__xludf.DUMMYFUNCTION("""COMPUTED_VALUE"""),-9.0)</f>
        <v>-9</v>
      </c>
      <c r="L359" s="16">
        <f>IFERROR(__xludf.DUMMYFUNCTION("""COMPUTED_VALUE"""),-9.0)</f>
        <v>-9</v>
      </c>
      <c r="M359" s="16">
        <f>IFERROR(__xludf.DUMMYFUNCTION("""COMPUTED_VALUE"""),0.0)</f>
        <v>0</v>
      </c>
      <c r="N359" s="16">
        <f>IFERROR(__xludf.DUMMYFUNCTION("""COMPUTED_VALUE"""),11.0)</f>
        <v>11</v>
      </c>
      <c r="O359" s="16">
        <f>IFERROR(__xludf.DUMMYFUNCTION("""COMPUTED_VALUE"""),3.0)</f>
        <v>3</v>
      </c>
      <c r="P359" s="16">
        <f>IFERROR(__xludf.DUMMYFUNCTION("""COMPUTED_VALUE"""),-1.0)</f>
        <v>-1</v>
      </c>
      <c r="Q359" s="16">
        <f>IFERROR(__xludf.DUMMYFUNCTION("""COMPUTED_VALUE"""),3.0)</f>
        <v>3</v>
      </c>
      <c r="R359" s="16">
        <f>IFERROR(__xludf.DUMMYFUNCTION("""COMPUTED_VALUE"""),-1.0)</f>
        <v>-1</v>
      </c>
      <c r="S359" s="16">
        <f>IFERROR(__xludf.DUMMYFUNCTION("""COMPUTED_VALUE"""),36.3)</f>
        <v>36.3</v>
      </c>
      <c r="T359" s="16">
        <f>IFERROR(__xludf.DUMMYFUNCTION("""COMPUTED_VALUE"""),21.8)</f>
        <v>21.8</v>
      </c>
      <c r="U359" s="16">
        <f>IFERROR(__xludf.DUMMYFUNCTION("""COMPUTED_VALUE"""),-3.0)</f>
        <v>-3</v>
      </c>
      <c r="V359" s="16">
        <f>IFERROR(__xludf.DUMMYFUNCTION("""COMPUTED_VALUE"""),-1.0)</f>
        <v>-1</v>
      </c>
      <c r="W359" s="16">
        <f>IFERROR(__xludf.DUMMYFUNCTION("""COMPUTED_VALUE"""),-6.0)</f>
        <v>-6</v>
      </c>
      <c r="X359" s="16">
        <f>IFERROR(__xludf.DUMMYFUNCTION("""COMPUTED_VALUE"""),-2.0)</f>
        <v>-2</v>
      </c>
      <c r="Y359" s="16">
        <f>IFERROR(__xludf.DUMMYFUNCTION("""COMPUTED_VALUE"""),36.3)</f>
        <v>36.3</v>
      </c>
      <c r="Z359" s="16">
        <f>IFERROR(__xludf.DUMMYFUNCTION("""COMPUTED_VALUE"""),32.8)</f>
        <v>32.8</v>
      </c>
      <c r="AA359" s="16">
        <f>IFERROR(__xludf.DUMMYFUNCTION("""COMPUTED_VALUE"""),-1.0)</f>
        <v>-1</v>
      </c>
      <c r="AB359" s="16">
        <f>IFERROR(__xludf.DUMMYFUNCTION("""COMPUTED_VALUE"""),-1.0)</f>
        <v>-1</v>
      </c>
      <c r="AC359" s="16">
        <f>IFERROR(__xludf.DUMMYFUNCTION("""COMPUTED_VALUE"""),-5.0)</f>
        <v>-5</v>
      </c>
      <c r="AD359" s="16">
        <f>IFERROR(__xludf.DUMMYFUNCTION("""COMPUTED_VALUE"""),-5.0)</f>
        <v>-5</v>
      </c>
      <c r="AE359" s="16">
        <f>IFERROR(__xludf.DUMMYFUNCTION("""COMPUTED_VALUE"""),49.8)</f>
        <v>49.8</v>
      </c>
      <c r="AF359" s="16">
        <f>IFERROR(__xludf.DUMMYFUNCTION("""COMPUTED_VALUE"""),36.0)</f>
        <v>36</v>
      </c>
      <c r="AG359" s="16">
        <f>IFERROR(__xludf.DUMMYFUNCTION("""COMPUTED_VALUE"""),-2.0)</f>
        <v>-2</v>
      </c>
      <c r="AH359" s="16">
        <f>IFERROR(__xludf.DUMMYFUNCTION("""COMPUTED_VALUE"""),-1.0)</f>
        <v>-1</v>
      </c>
      <c r="AI359" s="16">
        <f>IFERROR(__xludf.DUMMYFUNCTION("""COMPUTED_VALUE"""),-4.0)</f>
        <v>-4</v>
      </c>
      <c r="AJ359" s="16">
        <f>IFERROR(__xludf.DUMMYFUNCTION("""COMPUTED_VALUE"""),-2.0)</f>
        <v>-2</v>
      </c>
      <c r="AK359" s="16">
        <f>IFERROR(__xludf.DUMMYFUNCTION("""COMPUTED_VALUE"""),35.9)</f>
        <v>35.9</v>
      </c>
      <c r="AL359" s="16">
        <f>IFERROR(__xludf.DUMMYFUNCTION("""COMPUTED_VALUE"""),21.400000000000002)</f>
        <v>21.4</v>
      </c>
      <c r="AM359" s="16">
        <f>IFERROR(__xludf.DUMMYFUNCTION("""COMPUTED_VALUE"""),-3.0)</f>
        <v>-3</v>
      </c>
      <c r="AN359" s="16">
        <f>IFERROR(__xludf.DUMMYFUNCTION("""COMPUTED_VALUE"""),-1.0)</f>
        <v>-1</v>
      </c>
      <c r="AO359" s="16">
        <f>IFERROR(__xludf.DUMMYFUNCTION("""COMPUTED_VALUE"""),-3.0)</f>
        <v>-3</v>
      </c>
      <c r="AP359" s="16">
        <f>IFERROR(__xludf.DUMMYFUNCTION("""COMPUTED_VALUE"""),-1.0)</f>
        <v>-1</v>
      </c>
      <c r="AQ359" s="16">
        <f>IFERROR(__xludf.DUMMYFUNCTION("""COMPUTED_VALUE"""),48.199999999999996)</f>
        <v>48.2</v>
      </c>
      <c r="AR359" s="16">
        <f>IFERROR(__xludf.DUMMYFUNCTION("""COMPUTED_VALUE"""),34.4)</f>
        <v>34.4</v>
      </c>
      <c r="AS359" s="16">
        <f>IFERROR(__xludf.DUMMYFUNCTION("""COMPUTED_VALUE"""),-3.0)</f>
        <v>-3</v>
      </c>
      <c r="AT359" s="16">
        <f>IFERROR(__xludf.DUMMYFUNCTION("""COMPUTED_VALUE"""),-2.0)</f>
        <v>-2</v>
      </c>
      <c r="AU359" s="16">
        <f>IFERROR(__xludf.DUMMYFUNCTION("""COMPUTED_VALUE"""),-6.0)</f>
        <v>-6</v>
      </c>
      <c r="AV359" s="16">
        <f>IFERROR(__xludf.DUMMYFUNCTION("""COMPUTED_VALUE"""),-4.0)</f>
        <v>-4</v>
      </c>
      <c r="AW359" s="16">
        <f>IFERROR(__xludf.DUMMYFUNCTION("""COMPUTED_VALUE"""),0.4)</f>
        <v>0.4</v>
      </c>
      <c r="AX359" s="16">
        <f>IFERROR(__xludf.DUMMYFUNCTION("""COMPUTED_VALUE"""),0.4)</f>
        <v>0.4</v>
      </c>
      <c r="AY359" s="16">
        <f>IFERROR(__xludf.DUMMYFUNCTION("""COMPUTED_VALUE"""),2.0)</f>
        <v>2</v>
      </c>
      <c r="AZ359" s="16">
        <f>IFERROR(__xludf.DUMMYFUNCTION("""COMPUTED_VALUE"""),2.0)</f>
        <v>2</v>
      </c>
      <c r="BA359" s="16">
        <f>IFERROR(__xludf.DUMMYFUNCTION("""COMPUTED_VALUE"""),10.0)</f>
        <v>10</v>
      </c>
      <c r="BB359" s="16">
        <f>IFERROR(__xludf.DUMMYFUNCTION("""COMPUTED_VALUE"""),10.0)</f>
        <v>10</v>
      </c>
      <c r="BC359" s="16">
        <f>IFERROR(__xludf.DUMMYFUNCTION("""COMPUTED_VALUE"""),1.0)</f>
        <v>1</v>
      </c>
      <c r="BD359" s="16">
        <f>IFERROR(__xludf.DUMMYFUNCTION("""COMPUTED_VALUE"""),1.0)</f>
        <v>1</v>
      </c>
      <c r="BE359" s="16">
        <f>IFERROR(__xludf.DUMMYFUNCTION("""COMPUTED_VALUE"""),1.0)</f>
        <v>1</v>
      </c>
      <c r="BF359" s="16">
        <f>IFERROR(__xludf.DUMMYFUNCTION("""COMPUTED_VALUE"""),1.0)</f>
        <v>1</v>
      </c>
      <c r="BG359" s="16">
        <f>IFERROR(__xludf.DUMMYFUNCTION("""COMPUTED_VALUE"""),2.0)</f>
        <v>2</v>
      </c>
      <c r="BH359" s="16">
        <f>IFERROR(__xludf.DUMMYFUNCTION("""COMPUTED_VALUE"""),2.0)</f>
        <v>2</v>
      </c>
      <c r="BI359" s="16">
        <f>IFERROR(__xludf.DUMMYFUNCTION("""COMPUTED_VALUE"""),4.0)</f>
        <v>4</v>
      </c>
      <c r="BJ359" s="16">
        <f>IFERROR(__xludf.DUMMYFUNCTION("""COMPUTED_VALUE"""),4.0)</f>
        <v>4</v>
      </c>
      <c r="BK359" s="16">
        <f>IFERROR(__xludf.DUMMYFUNCTION("""COMPUTED_VALUE"""),5.0)</f>
        <v>5</v>
      </c>
      <c r="BL359" s="16">
        <f>IFERROR(__xludf.DUMMYFUNCTION("""COMPUTED_VALUE"""),5.0)</f>
        <v>5</v>
      </c>
      <c r="BM359" s="16">
        <f>IFERROR(__xludf.DUMMYFUNCTION("""COMPUTED_VALUE"""),0.0)</f>
        <v>0</v>
      </c>
      <c r="BN359" s="16">
        <f>IFERROR(__xludf.DUMMYFUNCTION("""COMPUTED_VALUE"""),0.0)</f>
        <v>0</v>
      </c>
      <c r="BO359" s="16">
        <f>IFERROR(__xludf.DUMMYFUNCTION("""COMPUTED_VALUE"""),0.0)</f>
        <v>0</v>
      </c>
      <c r="BP359" s="16">
        <f>IFERROR(__xludf.DUMMYFUNCTION("""COMPUTED_VALUE"""),0.0)</f>
        <v>0</v>
      </c>
      <c r="BQ359" s="16">
        <f>IFERROR(__xludf.DUMMYFUNCTION("""COMPUTED_VALUE"""),8.0)</f>
        <v>8</v>
      </c>
      <c r="BR359" s="16">
        <f>IFERROR(__xludf.DUMMYFUNCTION("""COMPUTED_VALUE"""),10.0)</f>
        <v>10</v>
      </c>
      <c r="BS359" s="16">
        <f>IFERROR(__xludf.DUMMYFUNCTION("""COMPUTED_VALUE"""),2.0)</f>
        <v>2</v>
      </c>
      <c r="BT359" s="16">
        <f>IFERROR(__xludf.DUMMYFUNCTION("""COMPUTED_VALUE"""),3.0)</f>
        <v>3</v>
      </c>
      <c r="BU359" s="16">
        <f>IFERROR(__xludf.DUMMYFUNCTION("""COMPUTED_VALUE"""),4.0)</f>
        <v>4</v>
      </c>
      <c r="BV359" s="16">
        <f>IFERROR(__xludf.DUMMYFUNCTION("""COMPUTED_VALUE"""),6.0)</f>
        <v>6</v>
      </c>
      <c r="BW359" s="16">
        <f>IFERROR(__xludf.DUMMYFUNCTION("""COMPUTED_VALUE"""),0.0)</f>
        <v>0</v>
      </c>
      <c r="BX359" s="16">
        <f>IFERROR(__xludf.DUMMYFUNCTION("""COMPUTED_VALUE"""),0.0)</f>
        <v>0</v>
      </c>
      <c r="BY359" s="16" t="str">
        <f>IFERROR(__xludf.DUMMYFUNCTION("""COMPUTED_VALUE"""),"S(5) R(3)")</f>
        <v>S(5) R(3)</v>
      </c>
      <c r="BZ359" s="16" t="str">
        <f>IFERROR(__xludf.DUMMYFUNCTION("""COMPUTED_VALUE"""),"S(5) R(3)")</f>
        <v>S(5) R(3)</v>
      </c>
      <c r="CA359" s="16" t="str">
        <f>IFERROR(__xludf.DUMMYFUNCTION("""COMPUTED_VALUE"""),"S(5)")</f>
        <v>S(5)</v>
      </c>
      <c r="CB359" s="16" t="str">
        <f>IFERROR(__xludf.DUMMYFUNCTION("""COMPUTED_VALUE"""),"R(3)")</f>
        <v>R(3)</v>
      </c>
      <c r="CC359" s="16"/>
      <c r="CD359" s="16">
        <f>IFERROR(__xludf.DUMMYFUNCTION("""COMPUTED_VALUE"""),5.0)</f>
        <v>5</v>
      </c>
      <c r="CE359" s="16">
        <f>IFERROR(__xludf.DUMMYFUNCTION("""COMPUTED_VALUE"""),3.0)</f>
        <v>3</v>
      </c>
      <c r="CF359" s="16"/>
      <c r="CG359" s="16" t="str">
        <f>IFERROR(__xludf.DUMMYFUNCTION("""COMPUTED_VALUE"""),"3-17")</f>
        <v>3-17</v>
      </c>
      <c r="CH359" s="16">
        <f>IFERROR(__xludf.DUMMYFUNCTION("""COMPUTED_VALUE"""),3.0)</f>
        <v>3</v>
      </c>
      <c r="CI359" s="16">
        <f>IFERROR(__xludf.DUMMYFUNCTION("""COMPUTED_VALUE"""),17.0)</f>
        <v>17</v>
      </c>
      <c r="CJ359" s="16">
        <f>IFERROR(__xludf.DUMMYFUNCTION("""COMPUTED_VALUE"""),4.0)</f>
        <v>4</v>
      </c>
      <c r="CK359" s="16">
        <f>IFERROR(__xludf.DUMMYFUNCTION("""COMPUTED_VALUE"""),4.0)</f>
        <v>4</v>
      </c>
      <c r="CL359" s="16" t="str">
        <f>IFERROR(__xludf.DUMMYFUNCTION("""COMPUTED_VALUE"""),"1WR-C")</f>
        <v>1WR-C</v>
      </c>
      <c r="CM359" s="16" t="str">
        <f>IFERROR(__xludf.DUMMYFUNCTION("""COMPUTED_VALUE"""),"E")</f>
        <v>E</v>
      </c>
      <c r="CN359" s="16">
        <f>IFERROR(__xludf.DUMMYFUNCTION("""COMPUTED_VALUE"""),10.0)</f>
        <v>10</v>
      </c>
      <c r="CO359" s="16" t="str">
        <f>IFERROR(__xludf.DUMMYFUNCTION("""COMPUTED_VALUE"""),"C")</f>
        <v>C</v>
      </c>
      <c r="CP359" s="16" t="str">
        <f>IFERROR(__xludf.DUMMYFUNCTION("""COMPUTED_VALUE"""),"4p50")</f>
        <v>4p50</v>
      </c>
      <c r="CQ359" s="16">
        <f>IFERROR(__xludf.DUMMYFUNCTION("""COMPUTED_VALUE"""),-12.0)</f>
        <v>-12</v>
      </c>
      <c r="CR359" s="16">
        <f>IFERROR(__xludf.DUMMYFUNCTION("""COMPUTED_VALUE"""),-4.0)</f>
        <v>-4</v>
      </c>
      <c r="CS359" s="16">
        <f>IFERROR(__xludf.DUMMYFUNCTION("""COMPUTED_VALUE"""),-16.0)</f>
        <v>-16</v>
      </c>
      <c r="CT359" s="16">
        <f>IFERROR(__xludf.DUMMYFUNCTION("""COMPUTED_VALUE"""),-12.0)</f>
        <v>-12</v>
      </c>
      <c r="CU359" s="16">
        <f>IFERROR(__xludf.DUMMYFUNCTION("""COMPUTED_VALUE"""),-4.0)</f>
        <v>-4</v>
      </c>
      <c r="CV359" s="179">
        <f>IFERROR(__xludf.DUMMYFUNCTION("""COMPUTED_VALUE"""),-8.333333333333334)</f>
        <v>-8.333333333</v>
      </c>
      <c r="CW359" s="179">
        <f>IFERROR(__xludf.DUMMYFUNCTION("""COMPUTED_VALUE"""),1.0)</f>
        <v>1</v>
      </c>
      <c r="CX359" s="179">
        <f>IFERROR(__xludf.DUMMYFUNCTION("""COMPUTED_VALUE"""),0.0)</f>
        <v>0</v>
      </c>
      <c r="CY359" s="16" t="str">
        <f>IFERROR(__xludf.DUMMYFUNCTION("""COMPUTED_VALUE"""),"SP")</f>
        <v>SP</v>
      </c>
      <c r="CZ359" s="16" t="str">
        <f>IFERROR(__xludf.DUMMYFUNCTION("""COMPUTED_VALUE"""),"RP")</f>
        <v>RP</v>
      </c>
      <c r="DA359" s="16"/>
      <c r="DB359" s="16"/>
      <c r="DC359" s="16"/>
      <c r="DD359" s="16"/>
      <c r="DE359" s="16"/>
      <c r="DF359" s="16"/>
      <c r="DG359" s="16"/>
      <c r="DH359" s="16"/>
      <c r="DI359" s="16"/>
      <c r="DJ359" s="16"/>
      <c r="DK359" s="16"/>
    </row>
    <row r="360">
      <c r="A360" s="16">
        <f>IFERROR(__xludf.DUMMYFUNCTION("""COMPUTED_VALUE"""),12966.0)</f>
        <v>12966</v>
      </c>
      <c r="B360" s="16" t="str">
        <f>IFERROR(__xludf.DUMMYFUNCTION("""COMPUTED_VALUE"""),"Joe Kelly")</f>
        <v>Joe Kelly</v>
      </c>
      <c r="C360" s="153">
        <f>IFERROR(__xludf.DUMMYFUNCTION("""COMPUTED_VALUE"""),0.0)</f>
        <v>0</v>
      </c>
      <c r="D360" s="16"/>
      <c r="E360" s="16" t="str">
        <f>IFERROR(__xludf.DUMMYFUNCTION("""COMPUTED_VALUE"""),"R")</f>
        <v>R</v>
      </c>
      <c r="F360" s="16">
        <f>IFERROR(__xludf.DUMMYFUNCTION("""COMPUTED_VALUE"""),32.0)</f>
        <v>32</v>
      </c>
      <c r="G360" s="16">
        <f>IFERROR(__xludf.DUMMYFUNCTION("""COMPUTED_VALUE"""),31.0)</f>
        <v>31</v>
      </c>
      <c r="H360" s="16">
        <f>IFERROR(__xludf.DUMMYFUNCTION("""COMPUTED_VALUE"""),31.0)</f>
        <v>31</v>
      </c>
      <c r="I360" s="16">
        <f>IFERROR(__xludf.DUMMYFUNCTION("""COMPUTED_VALUE"""),0.0)</f>
        <v>0</v>
      </c>
      <c r="J360" s="16">
        <f>IFERROR(__xludf.DUMMYFUNCTION("""COMPUTED_VALUE"""),0.0)</f>
        <v>0</v>
      </c>
      <c r="K360" s="16">
        <f>IFERROR(__xludf.DUMMYFUNCTION("""COMPUTED_VALUE"""),0.0)</f>
        <v>0</v>
      </c>
      <c r="L360" s="16">
        <f>IFERROR(__xludf.DUMMYFUNCTION("""COMPUTED_VALUE"""),0.0)</f>
        <v>0</v>
      </c>
      <c r="M360" s="16">
        <f>IFERROR(__xludf.DUMMYFUNCTION("""COMPUTED_VALUE"""),20.0)</f>
        <v>20</v>
      </c>
      <c r="N360" s="16">
        <f>IFERROR(__xludf.DUMMYFUNCTION("""COMPUTED_VALUE"""),11.0)</f>
        <v>11</v>
      </c>
      <c r="O360" s="16">
        <f>IFERROR(__xludf.DUMMYFUNCTION("""COMPUTED_VALUE"""),-3.0)</f>
        <v>-3</v>
      </c>
      <c r="P360" s="16">
        <f>IFERROR(__xludf.DUMMYFUNCTION("""COMPUTED_VALUE"""),-1.0)</f>
        <v>-1</v>
      </c>
      <c r="Q360" s="16">
        <f>IFERROR(__xludf.DUMMYFUNCTION("""COMPUTED_VALUE"""),-3.0)</f>
        <v>-3</v>
      </c>
      <c r="R360" s="16">
        <f>IFERROR(__xludf.DUMMYFUNCTION("""COMPUTED_VALUE"""),-1.0)</f>
        <v>-1</v>
      </c>
      <c r="S360" s="16">
        <f>IFERROR(__xludf.DUMMYFUNCTION("""COMPUTED_VALUE"""),18.5)</f>
        <v>18.5</v>
      </c>
      <c r="T360" s="16">
        <f>IFERROR(__xludf.DUMMYFUNCTION("""COMPUTED_VALUE"""),16.0)</f>
        <v>16</v>
      </c>
      <c r="U360" s="16">
        <f>IFERROR(__xludf.DUMMYFUNCTION("""COMPUTED_VALUE"""),-1.0)</f>
        <v>-1</v>
      </c>
      <c r="V360" s="16">
        <f>IFERROR(__xludf.DUMMYFUNCTION("""COMPUTED_VALUE"""),0.0)</f>
        <v>0</v>
      </c>
      <c r="W360" s="16">
        <f>IFERROR(__xludf.DUMMYFUNCTION("""COMPUTED_VALUE"""),-2.0)</f>
        <v>-2</v>
      </c>
      <c r="X360" s="16">
        <f>IFERROR(__xludf.DUMMYFUNCTION("""COMPUTED_VALUE"""),0.0)</f>
        <v>0</v>
      </c>
      <c r="Y360" s="16">
        <f>IFERROR(__xludf.DUMMYFUNCTION("""COMPUTED_VALUE"""),38.5)</f>
        <v>38.5</v>
      </c>
      <c r="Z360" s="16">
        <f>IFERROR(__xludf.DUMMYFUNCTION("""COMPUTED_VALUE"""),27.0)</f>
        <v>27</v>
      </c>
      <c r="AA360" s="16">
        <f>IFERROR(__xludf.DUMMYFUNCTION("""COMPUTED_VALUE"""),-2.0)</f>
        <v>-2</v>
      </c>
      <c r="AB360" s="16">
        <f>IFERROR(__xludf.DUMMYFUNCTION("""COMPUTED_VALUE"""),0.0)</f>
        <v>0</v>
      </c>
      <c r="AC360" s="16">
        <f>IFERROR(__xludf.DUMMYFUNCTION("""COMPUTED_VALUE"""),-10.0)</f>
        <v>-10</v>
      </c>
      <c r="AD360" s="16">
        <f>IFERROR(__xludf.DUMMYFUNCTION("""COMPUTED_VALUE"""),0.0)</f>
        <v>0</v>
      </c>
      <c r="AE360" s="16">
        <f>IFERROR(__xludf.DUMMYFUNCTION("""COMPUTED_VALUE"""),30.5)</f>
        <v>30.5</v>
      </c>
      <c r="AF360" s="16">
        <f>IFERROR(__xludf.DUMMYFUNCTION("""COMPUTED_VALUE"""),26.2)</f>
        <v>26.2</v>
      </c>
      <c r="AG360" s="16">
        <f>IFERROR(__xludf.DUMMYFUNCTION("""COMPUTED_VALUE"""),0.0)</f>
        <v>0</v>
      </c>
      <c r="AH360" s="16">
        <f>IFERROR(__xludf.DUMMYFUNCTION("""COMPUTED_VALUE"""),0.0)</f>
        <v>0</v>
      </c>
      <c r="AI360" s="16">
        <f>IFERROR(__xludf.DUMMYFUNCTION("""COMPUTED_VALUE"""),0.0)</f>
        <v>0</v>
      </c>
      <c r="AJ360" s="16">
        <f>IFERROR(__xludf.DUMMYFUNCTION("""COMPUTED_VALUE"""),0.0)</f>
        <v>0</v>
      </c>
      <c r="AK360" s="16">
        <f>IFERROR(__xludf.DUMMYFUNCTION("""COMPUTED_VALUE"""),18.5)</f>
        <v>18.5</v>
      </c>
      <c r="AL360" s="16">
        <f>IFERROR(__xludf.DUMMYFUNCTION("""COMPUTED_VALUE"""),12.6)</f>
        <v>12.6</v>
      </c>
      <c r="AM360" s="16">
        <f>IFERROR(__xludf.DUMMYFUNCTION("""COMPUTED_VALUE"""),-1.0)</f>
        <v>-1</v>
      </c>
      <c r="AN360" s="16">
        <f>IFERROR(__xludf.DUMMYFUNCTION("""COMPUTED_VALUE"""),0.0)</f>
        <v>0</v>
      </c>
      <c r="AO360" s="16">
        <f>IFERROR(__xludf.DUMMYFUNCTION("""COMPUTED_VALUE"""),-1.0)</f>
        <v>-1</v>
      </c>
      <c r="AP360" s="16">
        <f>IFERROR(__xludf.DUMMYFUNCTION("""COMPUTED_VALUE"""),0.0)</f>
        <v>0</v>
      </c>
      <c r="AQ360" s="16">
        <f>IFERROR(__xludf.DUMMYFUNCTION("""COMPUTED_VALUE"""),30.5)</f>
        <v>30.5</v>
      </c>
      <c r="AR360" s="16">
        <f>IFERROR(__xludf.DUMMYFUNCTION("""COMPUTED_VALUE"""),12.6)</f>
        <v>12.6</v>
      </c>
      <c r="AS360" s="16">
        <f>IFERROR(__xludf.DUMMYFUNCTION("""COMPUTED_VALUE"""),-1.0)</f>
        <v>-1</v>
      </c>
      <c r="AT360" s="16">
        <f>IFERROR(__xludf.DUMMYFUNCTION("""COMPUTED_VALUE"""),1.0)</f>
        <v>1</v>
      </c>
      <c r="AU360" s="16">
        <f>IFERROR(__xludf.DUMMYFUNCTION("""COMPUTED_VALUE"""),-2.0)</f>
        <v>-2</v>
      </c>
      <c r="AV360" s="16">
        <f>IFERROR(__xludf.DUMMYFUNCTION("""COMPUTED_VALUE"""),2.0)</f>
        <v>2</v>
      </c>
      <c r="AW360" s="16">
        <f>IFERROR(__xludf.DUMMYFUNCTION("""COMPUTED_VALUE"""),0.0)</f>
        <v>0</v>
      </c>
      <c r="AX360" s="16">
        <f>IFERROR(__xludf.DUMMYFUNCTION("""COMPUTED_VALUE"""),3.4)</f>
        <v>3.4</v>
      </c>
      <c r="AY360" s="16">
        <f>IFERROR(__xludf.DUMMYFUNCTION("""COMPUTED_VALUE"""),2.0)</f>
        <v>2</v>
      </c>
      <c r="AZ360" s="16">
        <f>IFERROR(__xludf.DUMMYFUNCTION("""COMPUTED_VALUE"""),-1.0)</f>
        <v>-1</v>
      </c>
      <c r="BA360" s="16">
        <f>IFERROR(__xludf.DUMMYFUNCTION("""COMPUTED_VALUE"""),10.0)</f>
        <v>10</v>
      </c>
      <c r="BB360" s="16">
        <f>IFERROR(__xludf.DUMMYFUNCTION("""COMPUTED_VALUE"""),-5.0)</f>
        <v>-5</v>
      </c>
      <c r="BC360" s="16">
        <f>IFERROR(__xludf.DUMMYFUNCTION("""COMPUTED_VALUE"""),0.0)</f>
        <v>0</v>
      </c>
      <c r="BD360" s="16">
        <f>IFERROR(__xludf.DUMMYFUNCTION("""COMPUTED_VALUE"""),5.0)</f>
        <v>5</v>
      </c>
      <c r="BE360" s="16">
        <f>IFERROR(__xludf.DUMMYFUNCTION("""COMPUTED_VALUE"""),0.0)</f>
        <v>0</v>
      </c>
      <c r="BF360" s="16">
        <f>IFERROR(__xludf.DUMMYFUNCTION("""COMPUTED_VALUE"""),5.0)</f>
        <v>5</v>
      </c>
      <c r="BG360" s="16">
        <f>IFERROR(__xludf.DUMMYFUNCTION("""COMPUTED_VALUE"""),3.0)</f>
        <v>3</v>
      </c>
      <c r="BH360" s="16">
        <f>IFERROR(__xludf.DUMMYFUNCTION("""COMPUTED_VALUE"""),-2.0)</f>
        <v>-2</v>
      </c>
      <c r="BI360" s="16">
        <f>IFERROR(__xludf.DUMMYFUNCTION("""COMPUTED_VALUE"""),6.0)</f>
        <v>6</v>
      </c>
      <c r="BJ360" s="16">
        <f>IFERROR(__xludf.DUMMYFUNCTION("""COMPUTED_VALUE"""),-4.0)</f>
        <v>-4</v>
      </c>
      <c r="BK360" s="16">
        <f>IFERROR(__xludf.DUMMYFUNCTION("""COMPUTED_VALUE"""),5.0)</f>
        <v>5</v>
      </c>
      <c r="BL360" s="16">
        <f>IFERROR(__xludf.DUMMYFUNCTION("""COMPUTED_VALUE"""),5.0)</f>
        <v>5</v>
      </c>
      <c r="BM360" s="16">
        <f>IFERROR(__xludf.DUMMYFUNCTION("""COMPUTED_VALUE"""),0.0)</f>
        <v>0</v>
      </c>
      <c r="BN360" s="16">
        <f>IFERROR(__xludf.DUMMYFUNCTION("""COMPUTED_VALUE"""),0.0)</f>
        <v>0</v>
      </c>
      <c r="BO360" s="16">
        <f>IFERROR(__xludf.DUMMYFUNCTION("""COMPUTED_VALUE"""),0.0)</f>
        <v>0</v>
      </c>
      <c r="BP360" s="16">
        <f>IFERROR(__xludf.DUMMYFUNCTION("""COMPUTED_VALUE"""),0.0)</f>
        <v>0</v>
      </c>
      <c r="BQ360" s="16">
        <f>IFERROR(__xludf.DUMMYFUNCTION("""COMPUTED_VALUE"""),0.0)</f>
        <v>0</v>
      </c>
      <c r="BR360" s="16">
        <f>IFERROR(__xludf.DUMMYFUNCTION("""COMPUTED_VALUE"""),1.0)</f>
        <v>1</v>
      </c>
      <c r="BS360" s="16">
        <f>IFERROR(__xludf.DUMMYFUNCTION("""COMPUTED_VALUE"""),-3.0)</f>
        <v>-3</v>
      </c>
      <c r="BT360" s="16">
        <f>IFERROR(__xludf.DUMMYFUNCTION("""COMPUTED_VALUE"""),-2.0)</f>
        <v>-2</v>
      </c>
      <c r="BU360" s="16">
        <f>IFERROR(__xludf.DUMMYFUNCTION("""COMPUTED_VALUE"""),-6.0)</f>
        <v>-6</v>
      </c>
      <c r="BV360" s="16">
        <f>IFERROR(__xludf.DUMMYFUNCTION("""COMPUTED_VALUE"""),-4.0)</f>
        <v>-4</v>
      </c>
      <c r="BW360" s="16">
        <f>IFERROR(__xludf.DUMMYFUNCTION("""COMPUTED_VALUE"""),-4.0)</f>
        <v>-4</v>
      </c>
      <c r="BX360" s="16">
        <f>IFERROR(__xludf.DUMMYFUNCTION("""COMPUTED_VALUE"""),-4.0)</f>
        <v>-4</v>
      </c>
      <c r="BY360" s="16" t="str">
        <f>IFERROR(__xludf.DUMMYFUNCTION("""COMPUTED_VALUE"""),"R(1)")</f>
        <v>R(1)</v>
      </c>
      <c r="BZ360" s="16" t="str">
        <f>IFERROR(__xludf.DUMMYFUNCTION("""COMPUTED_VALUE"""),"R(1)")</f>
        <v>R(1)</v>
      </c>
      <c r="CA360" s="16" t="str">
        <f>IFERROR(__xludf.DUMMYFUNCTION("""COMPUTED_VALUE"""),"R(1)")</f>
        <v>R(1)</v>
      </c>
      <c r="CB360" s="16"/>
      <c r="CC360" s="16"/>
      <c r="CD360" s="16"/>
      <c r="CE360" s="16">
        <f>IFERROR(__xludf.DUMMYFUNCTION("""COMPUTED_VALUE"""),1.0)</f>
        <v>1</v>
      </c>
      <c r="CF360" s="16"/>
      <c r="CG360" s="16" t="str">
        <f>IFERROR(__xludf.DUMMYFUNCTION("""COMPUTED_VALUE"""),"2-0")</f>
        <v>2-0</v>
      </c>
      <c r="CH360" s="16">
        <f>IFERROR(__xludf.DUMMYFUNCTION("""COMPUTED_VALUE"""),2.0)</f>
        <v>2</v>
      </c>
      <c r="CI360" s="16">
        <f>IFERROR(__xludf.DUMMYFUNCTION("""COMPUTED_VALUE"""),0.0)</f>
        <v>0</v>
      </c>
      <c r="CJ360" s="16">
        <f>IFERROR(__xludf.DUMMYFUNCTION("""COMPUTED_VALUE"""),20.0)</f>
        <v>20</v>
      </c>
      <c r="CK360" s="16">
        <f>IFERROR(__xludf.DUMMYFUNCTION("""COMPUTED_VALUE"""),20.0)</f>
        <v>20</v>
      </c>
      <c r="CL360" s="16" t="str">
        <f>IFERROR(__xludf.DUMMYFUNCTION("""COMPUTED_VALUE"""),"1WR-C")</f>
        <v>1WR-C</v>
      </c>
      <c r="CM360" s="16" t="str">
        <f>IFERROR(__xludf.DUMMYFUNCTION("""COMPUTED_VALUE"""),"E")</f>
        <v>E</v>
      </c>
      <c r="CN360" s="16">
        <f>IFERROR(__xludf.DUMMYFUNCTION("""COMPUTED_VALUE"""),10.0)</f>
        <v>10</v>
      </c>
      <c r="CO360" s="16" t="str">
        <f>IFERROR(__xludf.DUMMYFUNCTION("""COMPUTED_VALUE"""),"C")</f>
        <v>C</v>
      </c>
      <c r="CP360" s="16" t="str">
        <f>IFERROR(__xludf.DUMMYFUNCTION("""COMPUTED_VALUE"""),"5p30")</f>
        <v>5p30</v>
      </c>
      <c r="CQ360" s="16">
        <f>IFERROR(__xludf.DUMMYFUNCTION("""COMPUTED_VALUE"""),-8.0)</f>
        <v>-8</v>
      </c>
      <c r="CR360" s="16">
        <f>IFERROR(__xludf.DUMMYFUNCTION("""COMPUTED_VALUE"""),-12.0)</f>
        <v>-12</v>
      </c>
      <c r="CS360" s="16">
        <f>IFERROR(__xludf.DUMMYFUNCTION("""COMPUTED_VALUE"""),-20.0)</f>
        <v>-20</v>
      </c>
      <c r="CT360" s="16">
        <f>IFERROR(__xludf.DUMMYFUNCTION("""COMPUTED_VALUE"""),-8.0)</f>
        <v>-8</v>
      </c>
      <c r="CU360" s="16">
        <f>IFERROR(__xludf.DUMMYFUNCTION("""COMPUTED_VALUE"""),-12.0)</f>
        <v>-12</v>
      </c>
      <c r="CV360" s="179">
        <f>IFERROR(__xludf.DUMMYFUNCTION("""COMPUTED_VALUE"""),-8.666666666666666)</f>
        <v>-8.666666667</v>
      </c>
      <c r="CW360" s="179">
        <f>IFERROR(__xludf.DUMMYFUNCTION("""COMPUTED_VALUE"""),0.0)</f>
        <v>0</v>
      </c>
      <c r="CX360" s="179">
        <f>IFERROR(__xludf.DUMMYFUNCTION("""COMPUTED_VALUE"""),2.0)</f>
        <v>2</v>
      </c>
      <c r="CY360" s="16" t="str">
        <f>IFERROR(__xludf.DUMMYFUNCTION("""COMPUTED_VALUE"""),"RP")</f>
        <v>RP</v>
      </c>
      <c r="CZ360" s="16"/>
      <c r="DA360" s="16"/>
      <c r="DB360" s="16"/>
      <c r="DC360" s="16"/>
      <c r="DD360" s="16"/>
      <c r="DE360" s="16"/>
      <c r="DF360" s="16"/>
      <c r="DG360" s="16"/>
      <c r="DH360" s="16"/>
      <c r="DI360" s="16"/>
      <c r="DJ360" s="16"/>
      <c r="DK360" s="16"/>
    </row>
    <row r="361">
      <c r="A361" s="16">
        <f>IFERROR(__xludf.DUMMYFUNCTION("""COMPUTED_VALUE"""),12737.0)</f>
        <v>12737</v>
      </c>
      <c r="B361" s="16" t="str">
        <f>IFERROR(__xludf.DUMMYFUNCTION("""COMPUTED_VALUE"""),"David Bednar")</f>
        <v>David Bednar</v>
      </c>
      <c r="C361" s="153">
        <f>IFERROR(__xludf.DUMMYFUNCTION("""COMPUTED_VALUE"""),0.0)</f>
        <v>0</v>
      </c>
      <c r="D361" s="16"/>
      <c r="E361" s="16" t="str">
        <f>IFERROR(__xludf.DUMMYFUNCTION("""COMPUTED_VALUE"""),"R")</f>
        <v>R</v>
      </c>
      <c r="F361" s="16">
        <f>IFERROR(__xludf.DUMMYFUNCTION("""COMPUTED_VALUE"""),58.0)</f>
        <v>58</v>
      </c>
      <c r="G361" s="16">
        <f>IFERROR(__xludf.DUMMYFUNCTION("""COMPUTED_VALUE"""),24.0)</f>
        <v>24</v>
      </c>
      <c r="H361" s="16">
        <f>IFERROR(__xludf.DUMMYFUNCTION("""COMPUTED_VALUE"""),25.0)</f>
        <v>25</v>
      </c>
      <c r="I361" s="16">
        <f>IFERROR(__xludf.DUMMYFUNCTION("""COMPUTED_VALUE"""),-1.0)</f>
        <v>-1</v>
      </c>
      <c r="J361" s="16">
        <f>IFERROR(__xludf.DUMMYFUNCTION("""COMPUTED_VALUE"""),0.0)</f>
        <v>0</v>
      </c>
      <c r="K361" s="16">
        <f>IFERROR(__xludf.DUMMYFUNCTION("""COMPUTED_VALUE"""),-3.0)</f>
        <v>-3</v>
      </c>
      <c r="L361" s="16">
        <f>IFERROR(__xludf.DUMMYFUNCTION("""COMPUTED_VALUE"""),0.0)</f>
        <v>0</v>
      </c>
      <c r="M361" s="16">
        <f>IFERROR(__xludf.DUMMYFUNCTION("""COMPUTED_VALUE"""),14.0)</f>
        <v>14</v>
      </c>
      <c r="N361" s="16">
        <f>IFERROR(__xludf.DUMMYFUNCTION("""COMPUTED_VALUE"""),11.0)</f>
        <v>11</v>
      </c>
      <c r="O361" s="16">
        <f>IFERROR(__xludf.DUMMYFUNCTION("""COMPUTED_VALUE"""),-2.0)</f>
        <v>-2</v>
      </c>
      <c r="P361" s="16">
        <f>IFERROR(__xludf.DUMMYFUNCTION("""COMPUTED_VALUE"""),-1.0)</f>
        <v>-1</v>
      </c>
      <c r="Q361" s="16">
        <f>IFERROR(__xludf.DUMMYFUNCTION("""COMPUTED_VALUE"""),-2.0)</f>
        <v>-2</v>
      </c>
      <c r="R361" s="16">
        <f>IFERROR(__xludf.DUMMYFUNCTION("""COMPUTED_VALUE"""),-1.0)</f>
        <v>-1</v>
      </c>
      <c r="S361" s="16">
        <f>IFERROR(__xludf.DUMMYFUNCTION("""COMPUTED_VALUE"""),10.0)</f>
        <v>10</v>
      </c>
      <c r="T361" s="16">
        <f>IFERROR(__xludf.DUMMYFUNCTION("""COMPUTED_VALUE"""),13.2)</f>
        <v>13.2</v>
      </c>
      <c r="U361" s="16">
        <f>IFERROR(__xludf.DUMMYFUNCTION("""COMPUTED_VALUE"""),1.0)</f>
        <v>1</v>
      </c>
      <c r="V361" s="16">
        <f>IFERROR(__xludf.DUMMYFUNCTION("""COMPUTED_VALUE"""),0.0)</f>
        <v>0</v>
      </c>
      <c r="W361" s="16">
        <f>IFERROR(__xludf.DUMMYFUNCTION("""COMPUTED_VALUE"""),2.0)</f>
        <v>2</v>
      </c>
      <c r="X361" s="16">
        <f>IFERROR(__xludf.DUMMYFUNCTION("""COMPUTED_VALUE"""),0.0)</f>
        <v>0</v>
      </c>
      <c r="Y361" s="16">
        <f>IFERROR(__xludf.DUMMYFUNCTION("""COMPUTED_VALUE"""),24.0)</f>
        <v>24</v>
      </c>
      <c r="Z361" s="16">
        <f>IFERROR(__xludf.DUMMYFUNCTION("""COMPUTED_VALUE"""),24.2)</f>
        <v>24.2</v>
      </c>
      <c r="AA361" s="16">
        <f>IFERROR(__xludf.DUMMYFUNCTION("""COMPUTED_VALUE"""),0.0)</f>
        <v>0</v>
      </c>
      <c r="AB361" s="16">
        <f>IFERROR(__xludf.DUMMYFUNCTION("""COMPUTED_VALUE"""),0.0)</f>
        <v>0</v>
      </c>
      <c r="AC361" s="16">
        <f>IFERROR(__xludf.DUMMYFUNCTION("""COMPUTED_VALUE"""),0.0)</f>
        <v>0</v>
      </c>
      <c r="AD361" s="16">
        <f>IFERROR(__xludf.DUMMYFUNCTION("""COMPUTED_VALUE"""),0.0)</f>
        <v>0</v>
      </c>
      <c r="AE361" s="16">
        <f>IFERROR(__xludf.DUMMYFUNCTION("""COMPUTED_VALUE"""),28.5)</f>
        <v>28.5</v>
      </c>
      <c r="AF361" s="16">
        <f>IFERROR(__xludf.DUMMYFUNCTION("""COMPUTED_VALUE"""),22.1)</f>
        <v>22.1</v>
      </c>
      <c r="AG361" s="16">
        <f>IFERROR(__xludf.DUMMYFUNCTION("""COMPUTED_VALUE"""),0.0)</f>
        <v>0</v>
      </c>
      <c r="AH361" s="16">
        <f>IFERROR(__xludf.DUMMYFUNCTION("""COMPUTED_VALUE"""),1.0)</f>
        <v>1</v>
      </c>
      <c r="AI361" s="16">
        <f>IFERROR(__xludf.DUMMYFUNCTION("""COMPUTED_VALUE"""),0.0)</f>
        <v>0</v>
      </c>
      <c r="AJ361" s="16">
        <f>IFERROR(__xludf.DUMMYFUNCTION("""COMPUTED_VALUE"""),2.0)</f>
        <v>2</v>
      </c>
      <c r="AK361" s="16">
        <f>IFERROR(__xludf.DUMMYFUNCTION("""COMPUTED_VALUE"""),5.7)</f>
        <v>5.7</v>
      </c>
      <c r="AL361" s="16">
        <f>IFERROR(__xludf.DUMMYFUNCTION("""COMPUTED_VALUE"""),12.0)</f>
        <v>12</v>
      </c>
      <c r="AM361" s="16">
        <f>IFERROR(__xludf.DUMMYFUNCTION("""COMPUTED_VALUE"""),1.0)</f>
        <v>1</v>
      </c>
      <c r="AN361" s="16">
        <f>IFERROR(__xludf.DUMMYFUNCTION("""COMPUTED_VALUE"""),0.0)</f>
        <v>0</v>
      </c>
      <c r="AO361" s="16">
        <f>IFERROR(__xludf.DUMMYFUNCTION("""COMPUTED_VALUE"""),1.0)</f>
        <v>1</v>
      </c>
      <c r="AP361" s="16">
        <f>IFERROR(__xludf.DUMMYFUNCTION("""COMPUTED_VALUE"""),0.0)</f>
        <v>0</v>
      </c>
      <c r="AQ361" s="16">
        <f>IFERROR(__xludf.DUMMYFUNCTION("""COMPUTED_VALUE"""),11.3)</f>
        <v>11.3</v>
      </c>
      <c r="AR361" s="16">
        <f>IFERROR(__xludf.DUMMYFUNCTION("""COMPUTED_VALUE"""),17.3)</f>
        <v>17.3</v>
      </c>
      <c r="AS361" s="16">
        <f>IFERROR(__xludf.DUMMYFUNCTION("""COMPUTED_VALUE"""),1.0)</f>
        <v>1</v>
      </c>
      <c r="AT361" s="16">
        <f>IFERROR(__xludf.DUMMYFUNCTION("""COMPUTED_VALUE"""),0.0)</f>
        <v>0</v>
      </c>
      <c r="AU361" s="16">
        <f>IFERROR(__xludf.DUMMYFUNCTION("""COMPUTED_VALUE"""),2.0)</f>
        <v>2</v>
      </c>
      <c r="AV361" s="16">
        <f>IFERROR(__xludf.DUMMYFUNCTION("""COMPUTED_VALUE"""),0.0)</f>
        <v>0</v>
      </c>
      <c r="AW361" s="16">
        <f>IFERROR(__xludf.DUMMYFUNCTION("""COMPUTED_VALUE"""),4.3)</f>
        <v>4.3</v>
      </c>
      <c r="AX361" s="16">
        <f>IFERROR(__xludf.DUMMYFUNCTION("""COMPUTED_VALUE"""),1.2)</f>
        <v>1.2</v>
      </c>
      <c r="AY361" s="16">
        <f>IFERROR(__xludf.DUMMYFUNCTION("""COMPUTED_VALUE"""),-2.0)</f>
        <v>-2</v>
      </c>
      <c r="AZ361" s="16">
        <f>IFERROR(__xludf.DUMMYFUNCTION("""COMPUTED_VALUE"""),1.0)</f>
        <v>1</v>
      </c>
      <c r="BA361" s="16">
        <f>IFERROR(__xludf.DUMMYFUNCTION("""COMPUTED_VALUE"""),-10.0)</f>
        <v>-10</v>
      </c>
      <c r="BB361" s="16">
        <f>IFERROR(__xludf.DUMMYFUNCTION("""COMPUTED_VALUE"""),5.0)</f>
        <v>5</v>
      </c>
      <c r="BC361" s="16"/>
      <c r="BD361" s="16">
        <f>IFERROR(__xludf.DUMMYFUNCTION("""COMPUTED_VALUE"""),1.0)</f>
        <v>1</v>
      </c>
      <c r="BE361" s="16">
        <f>IFERROR(__xludf.DUMMYFUNCTION("""COMPUTED_VALUE"""),8.0)</f>
        <v>8</v>
      </c>
      <c r="BF361" s="16">
        <f>IFERROR(__xludf.DUMMYFUNCTION("""COMPUTED_VALUE"""),1.0)</f>
        <v>1</v>
      </c>
      <c r="BG361" s="16">
        <f>IFERROR(__xludf.DUMMYFUNCTION("""COMPUTED_VALUE"""),-3.0)</f>
        <v>-3</v>
      </c>
      <c r="BH361" s="16">
        <f>IFERROR(__xludf.DUMMYFUNCTION("""COMPUTED_VALUE"""),2.0)</f>
        <v>2</v>
      </c>
      <c r="BI361" s="16">
        <f>IFERROR(__xludf.DUMMYFUNCTION("""COMPUTED_VALUE"""),-6.0)</f>
        <v>-6</v>
      </c>
      <c r="BJ361" s="16">
        <f>IFERROR(__xludf.DUMMYFUNCTION("""COMPUTED_VALUE"""),4.0)</f>
        <v>4</v>
      </c>
      <c r="BK361" s="16">
        <f>IFERROR(__xludf.DUMMYFUNCTION("""COMPUTED_VALUE"""),0.0)</f>
        <v>0</v>
      </c>
      <c r="BL361" s="16">
        <f>IFERROR(__xludf.DUMMYFUNCTION("""COMPUTED_VALUE"""),5.0)</f>
        <v>5</v>
      </c>
      <c r="BM361" s="16">
        <f>IFERROR(__xludf.DUMMYFUNCTION("""COMPUTED_VALUE"""),1.0)</f>
        <v>1</v>
      </c>
      <c r="BN361" s="16">
        <f>IFERROR(__xludf.DUMMYFUNCTION("""COMPUTED_VALUE"""),0.0)</f>
        <v>0</v>
      </c>
      <c r="BO361" s="16">
        <f>IFERROR(__xludf.DUMMYFUNCTION("""COMPUTED_VALUE"""),1.0)</f>
        <v>1</v>
      </c>
      <c r="BP361" s="16">
        <f>IFERROR(__xludf.DUMMYFUNCTION("""COMPUTED_VALUE"""),0.0)</f>
        <v>0</v>
      </c>
      <c r="BQ361" s="16">
        <f>IFERROR(__xludf.DUMMYFUNCTION("""COMPUTED_VALUE"""),0.0)</f>
        <v>0</v>
      </c>
      <c r="BR361" s="16">
        <f>IFERROR(__xludf.DUMMYFUNCTION("""COMPUTED_VALUE"""),0.0)</f>
        <v>0</v>
      </c>
      <c r="BS361" s="16">
        <f>IFERROR(__xludf.DUMMYFUNCTION("""COMPUTED_VALUE"""),-3.0)</f>
        <v>-3</v>
      </c>
      <c r="BT361" s="16">
        <f>IFERROR(__xludf.DUMMYFUNCTION("""COMPUTED_VALUE"""),-3.0)</f>
        <v>-3</v>
      </c>
      <c r="BU361" s="16">
        <f>IFERROR(__xludf.DUMMYFUNCTION("""COMPUTED_VALUE"""),-6.0)</f>
        <v>-6</v>
      </c>
      <c r="BV361" s="16">
        <f>IFERROR(__xludf.DUMMYFUNCTION("""COMPUTED_VALUE"""),-6.0)</f>
        <v>-6</v>
      </c>
      <c r="BW361" s="16">
        <f>IFERROR(__xludf.DUMMYFUNCTION("""COMPUTED_VALUE"""),9.0)</f>
        <v>9</v>
      </c>
      <c r="BX361" s="16">
        <f>IFERROR(__xludf.DUMMYFUNCTION("""COMPUTED_VALUE"""),9.0)</f>
        <v>9</v>
      </c>
      <c r="BY361" s="16" t="str">
        <f>IFERROR(__xludf.DUMMYFUNCTION("""COMPUTED_VALUE"""),"R(1) C(4)")</f>
        <v>R(1) C(4)</v>
      </c>
      <c r="BZ361" s="16" t="str">
        <f>IFERROR(__xludf.DUMMYFUNCTION("""COMPUTED_VALUE"""),"R(1) C(4)")</f>
        <v>R(1) C(4)</v>
      </c>
      <c r="CA361" s="16" t="str">
        <f>IFERROR(__xludf.DUMMYFUNCTION("""COMPUTED_VALUE"""),"R(1)")</f>
        <v>R(1)</v>
      </c>
      <c r="CB361" s="16" t="str">
        <f>IFERROR(__xludf.DUMMYFUNCTION("""COMPUTED_VALUE"""),"C(4)")</f>
        <v>C(4)</v>
      </c>
      <c r="CC361" s="16"/>
      <c r="CD361" s="16"/>
      <c r="CE361" s="16">
        <f>IFERROR(__xludf.DUMMYFUNCTION("""COMPUTED_VALUE"""),1.0)</f>
        <v>1</v>
      </c>
      <c r="CF361" s="16">
        <f>IFERROR(__xludf.DUMMYFUNCTION("""COMPUTED_VALUE"""),4.0)</f>
        <v>4</v>
      </c>
      <c r="CG361" s="16" t="str">
        <f>IFERROR(__xludf.DUMMYFUNCTION("""COMPUTED_VALUE"""),"4-0")</f>
        <v>4-0</v>
      </c>
      <c r="CH361" s="16">
        <f>IFERROR(__xludf.DUMMYFUNCTION("""COMPUTED_VALUE"""),4.0)</f>
        <v>4</v>
      </c>
      <c r="CI361" s="16">
        <f>IFERROR(__xludf.DUMMYFUNCTION("""COMPUTED_VALUE"""),0.0)</f>
        <v>0</v>
      </c>
      <c r="CJ361" s="16">
        <f>IFERROR(__xludf.DUMMYFUNCTION("""COMPUTED_VALUE"""),0.0)</f>
        <v>0</v>
      </c>
      <c r="CK361" s="16">
        <f>IFERROR(__xludf.DUMMYFUNCTION("""COMPUTED_VALUE"""),7.0)</f>
        <v>7</v>
      </c>
      <c r="CL361" s="16" t="str">
        <f>IFERROR(__xludf.DUMMYFUNCTION("""COMPUTED_VALUE"""),"1WL-C")</f>
        <v>1WL-C</v>
      </c>
      <c r="CM361" s="16" t="str">
        <f>IFERROR(__xludf.DUMMYFUNCTION("""COMPUTED_VALUE"""),"E")</f>
        <v>E</v>
      </c>
      <c r="CN361" s="16">
        <f>IFERROR(__xludf.DUMMYFUNCTION("""COMPUTED_VALUE"""),10.0)</f>
        <v>10</v>
      </c>
      <c r="CO361" s="16" t="str">
        <f>IFERROR(__xludf.DUMMYFUNCTION("""COMPUTED_VALUE"""),"C")</f>
        <v>C</v>
      </c>
      <c r="CP361" s="16" t="str">
        <f>IFERROR(__xludf.DUMMYFUNCTION("""COMPUTED_VALUE"""),"1p50")</f>
        <v>1p50</v>
      </c>
      <c r="CQ361" s="16">
        <f>IFERROR(__xludf.DUMMYFUNCTION("""COMPUTED_VALUE"""),-21.0)</f>
        <v>-21</v>
      </c>
      <c r="CR361" s="16">
        <f>IFERROR(__xludf.DUMMYFUNCTION("""COMPUTED_VALUE"""),4.0)</f>
        <v>4</v>
      </c>
      <c r="CS361" s="16">
        <f>IFERROR(__xludf.DUMMYFUNCTION("""COMPUTED_VALUE"""),-17.0)</f>
        <v>-17</v>
      </c>
      <c r="CT361" s="16">
        <f>IFERROR(__xludf.DUMMYFUNCTION("""COMPUTED_VALUE"""),-21.0)</f>
        <v>-21</v>
      </c>
      <c r="CU361" s="16">
        <f>IFERROR(__xludf.DUMMYFUNCTION("""COMPUTED_VALUE"""),4.0)</f>
        <v>4</v>
      </c>
      <c r="CV361" s="179">
        <f>IFERROR(__xludf.DUMMYFUNCTION("""COMPUTED_VALUE"""),-8.666666666666666)</f>
        <v>-8.666666667</v>
      </c>
      <c r="CW361" s="179">
        <f>IFERROR(__xludf.DUMMYFUNCTION("""COMPUTED_VALUE"""),4.0)</f>
        <v>4</v>
      </c>
      <c r="CX361" s="179">
        <f>IFERROR(__xludf.DUMMYFUNCTION("""COMPUTED_VALUE"""),0.0)</f>
        <v>0</v>
      </c>
      <c r="CY361" s="16" t="str">
        <f>IFERROR(__xludf.DUMMYFUNCTION("""COMPUTED_VALUE"""),"RP")</f>
        <v>RP</v>
      </c>
      <c r="CZ361" s="16" t="str">
        <f>IFERROR(__xludf.DUMMYFUNCTION("""COMPUTED_VALUE"""),"CP")</f>
        <v>CP</v>
      </c>
      <c r="DA361" s="16"/>
      <c r="DB361" s="16"/>
      <c r="DC361" s="16"/>
      <c r="DD361" s="16"/>
      <c r="DE361" s="16"/>
      <c r="DF361" s="16"/>
      <c r="DG361" s="16"/>
      <c r="DH361" s="16"/>
      <c r="DI361" s="16"/>
      <c r="DJ361" s="16"/>
      <c r="DK361" s="16"/>
    </row>
    <row r="362">
      <c r="A362" s="16">
        <f>IFERROR(__xludf.DUMMYFUNCTION("""COMPUTED_VALUE"""),12912.0)</f>
        <v>12912</v>
      </c>
      <c r="B362" s="16" t="str">
        <f>IFERROR(__xludf.DUMMYFUNCTION("""COMPUTED_VALUE"""),"Jake Diekman")</f>
        <v>Jake Diekman</v>
      </c>
      <c r="C362" s="153">
        <f>IFERROR(__xludf.DUMMYFUNCTION("""COMPUTED_VALUE"""),0.0)</f>
        <v>0</v>
      </c>
      <c r="D362" s="16"/>
      <c r="E362" s="16" t="str">
        <f>IFERROR(__xludf.DUMMYFUNCTION("""COMPUTED_VALUE"""),"L")</f>
        <v>L</v>
      </c>
      <c r="F362" s="16">
        <f>IFERROR(__xludf.DUMMYFUNCTION("""COMPUTED_VALUE"""),32.0)</f>
        <v>32</v>
      </c>
      <c r="G362" s="16">
        <f>IFERROR(__xludf.DUMMYFUNCTION("""COMPUTED_VALUE"""),46.0)</f>
        <v>46</v>
      </c>
      <c r="H362" s="16">
        <f>IFERROR(__xludf.DUMMYFUNCTION("""COMPUTED_VALUE"""),31.0)</f>
        <v>31</v>
      </c>
      <c r="I362" s="16">
        <f>IFERROR(__xludf.DUMMYFUNCTION("""COMPUTED_VALUE"""),2.0)</f>
        <v>2</v>
      </c>
      <c r="J362" s="16">
        <f>IFERROR(__xludf.DUMMYFUNCTION("""COMPUTED_VALUE"""),0.0)</f>
        <v>0</v>
      </c>
      <c r="K362" s="16">
        <f>IFERROR(__xludf.DUMMYFUNCTION("""COMPUTED_VALUE"""),6.0)</f>
        <v>6</v>
      </c>
      <c r="L362" s="16">
        <f>IFERROR(__xludf.DUMMYFUNCTION("""COMPUTED_VALUE"""),0.0)</f>
        <v>0</v>
      </c>
      <c r="M362" s="16">
        <f>IFERROR(__xludf.DUMMYFUNCTION("""COMPUTED_VALUE"""),30.0)</f>
        <v>30</v>
      </c>
      <c r="N362" s="16">
        <f>IFERROR(__xludf.DUMMYFUNCTION("""COMPUTED_VALUE"""),28.0)</f>
        <v>28</v>
      </c>
      <c r="O362" s="16">
        <f>IFERROR(__xludf.DUMMYFUNCTION("""COMPUTED_VALUE"""),-3.0)</f>
        <v>-3</v>
      </c>
      <c r="P362" s="16">
        <f>IFERROR(__xludf.DUMMYFUNCTION("""COMPUTED_VALUE"""),-3.0)</f>
        <v>-3</v>
      </c>
      <c r="Q362" s="16">
        <f>IFERROR(__xludf.DUMMYFUNCTION("""COMPUTED_VALUE"""),-3.0)</f>
        <v>-3</v>
      </c>
      <c r="R362" s="16">
        <f>IFERROR(__xludf.DUMMYFUNCTION("""COMPUTED_VALUE"""),-3.0)</f>
        <v>-3</v>
      </c>
      <c r="S362" s="16">
        <f>IFERROR(__xludf.DUMMYFUNCTION("""COMPUTED_VALUE"""),1.0)</f>
        <v>1</v>
      </c>
      <c r="T362" s="16">
        <f>IFERROR(__xludf.DUMMYFUNCTION("""COMPUTED_VALUE"""),9.4)</f>
        <v>9.4</v>
      </c>
      <c r="U362" s="16">
        <f>IFERROR(__xludf.DUMMYFUNCTION("""COMPUTED_VALUE"""),2.0)</f>
        <v>2</v>
      </c>
      <c r="V362" s="16">
        <f>IFERROR(__xludf.DUMMYFUNCTION("""COMPUTED_VALUE"""),1.0)</f>
        <v>1</v>
      </c>
      <c r="W362" s="16">
        <f>IFERROR(__xludf.DUMMYFUNCTION("""COMPUTED_VALUE"""),4.0)</f>
        <v>4</v>
      </c>
      <c r="X362" s="16">
        <f>IFERROR(__xludf.DUMMYFUNCTION("""COMPUTED_VALUE"""),2.0)</f>
        <v>2</v>
      </c>
      <c r="Y362" s="16">
        <f>IFERROR(__xludf.DUMMYFUNCTION("""COMPUTED_VALUE"""),31.0)</f>
        <v>31</v>
      </c>
      <c r="Z362" s="16">
        <f>IFERROR(__xludf.DUMMYFUNCTION("""COMPUTED_VALUE"""),37.4)</f>
        <v>37.4</v>
      </c>
      <c r="AA362" s="16">
        <f>IFERROR(__xludf.DUMMYFUNCTION("""COMPUTED_VALUE"""),-1.0)</f>
        <v>-1</v>
      </c>
      <c r="AB362" s="16">
        <f>IFERROR(__xludf.DUMMYFUNCTION("""COMPUTED_VALUE"""),-2.0)</f>
        <v>-2</v>
      </c>
      <c r="AC362" s="16">
        <f>IFERROR(__xludf.DUMMYFUNCTION("""COMPUTED_VALUE"""),-5.0)</f>
        <v>-5</v>
      </c>
      <c r="AD362" s="16">
        <f>IFERROR(__xludf.DUMMYFUNCTION("""COMPUTED_VALUE"""),-10.0)</f>
        <v>-10</v>
      </c>
      <c r="AE362" s="16">
        <f>IFERROR(__xludf.DUMMYFUNCTION("""COMPUTED_VALUE"""),4.0)</f>
        <v>4</v>
      </c>
      <c r="AF362" s="16">
        <f>IFERROR(__xludf.DUMMYFUNCTION("""COMPUTED_VALUE"""),37.7)</f>
        <v>37.7</v>
      </c>
      <c r="AG362" s="16">
        <f>IFERROR(__xludf.DUMMYFUNCTION("""COMPUTED_VALUE"""),2.0)</f>
        <v>2</v>
      </c>
      <c r="AH362" s="16">
        <f>IFERROR(__xludf.DUMMYFUNCTION("""COMPUTED_VALUE"""),-1.0)</f>
        <v>-1</v>
      </c>
      <c r="AI362" s="16">
        <f>IFERROR(__xludf.DUMMYFUNCTION("""COMPUTED_VALUE"""),4.0)</f>
        <v>4</v>
      </c>
      <c r="AJ362" s="16">
        <f>IFERROR(__xludf.DUMMYFUNCTION("""COMPUTED_VALUE"""),-2.0)</f>
        <v>-2</v>
      </c>
      <c r="AK362" s="16">
        <f>IFERROR(__xludf.DUMMYFUNCTION("""COMPUTED_VALUE"""),0.0)</f>
        <v>0</v>
      </c>
      <c r="AL362" s="16">
        <f>IFERROR(__xludf.DUMMYFUNCTION("""COMPUTED_VALUE"""),0.09999999999999964)</f>
        <v>0.1</v>
      </c>
      <c r="AM362" s="16">
        <f>IFERROR(__xludf.DUMMYFUNCTION("""COMPUTED_VALUE"""),3.0)</f>
        <v>3</v>
      </c>
      <c r="AN362" s="16">
        <f>IFERROR(__xludf.DUMMYFUNCTION("""COMPUTED_VALUE"""),2.0)</f>
        <v>2</v>
      </c>
      <c r="AO362" s="16">
        <f>IFERROR(__xludf.DUMMYFUNCTION("""COMPUTED_VALUE"""),3.0)</f>
        <v>3</v>
      </c>
      <c r="AP362" s="16">
        <f>IFERROR(__xludf.DUMMYFUNCTION("""COMPUTED_VALUE"""),2.0)</f>
        <v>2</v>
      </c>
      <c r="AQ362" s="16">
        <f>IFERROR(__xludf.DUMMYFUNCTION("""COMPUTED_VALUE"""),0.0)</f>
        <v>0</v>
      </c>
      <c r="AR362" s="16">
        <f>IFERROR(__xludf.DUMMYFUNCTION("""COMPUTED_VALUE"""),0.5)</f>
        <v>0.5</v>
      </c>
      <c r="AS362" s="16">
        <f>IFERROR(__xludf.DUMMYFUNCTION("""COMPUTED_VALUE"""),3.0)</f>
        <v>3</v>
      </c>
      <c r="AT362" s="16">
        <f>IFERROR(__xludf.DUMMYFUNCTION("""COMPUTED_VALUE"""),2.0)</f>
        <v>2</v>
      </c>
      <c r="AU362" s="16">
        <f>IFERROR(__xludf.DUMMYFUNCTION("""COMPUTED_VALUE"""),6.0)</f>
        <v>6</v>
      </c>
      <c r="AV362" s="16">
        <f>IFERROR(__xludf.DUMMYFUNCTION("""COMPUTED_VALUE"""),4.0)</f>
        <v>4</v>
      </c>
      <c r="AW362" s="16">
        <f>IFERROR(__xludf.DUMMYFUNCTION("""COMPUTED_VALUE"""),1.0)</f>
        <v>1</v>
      </c>
      <c r="AX362" s="16">
        <f>IFERROR(__xludf.DUMMYFUNCTION("""COMPUTED_VALUE"""),9.3)</f>
        <v>9.3</v>
      </c>
      <c r="AY362" s="16">
        <f>IFERROR(__xludf.DUMMYFUNCTION("""COMPUTED_VALUE"""),1.0)</f>
        <v>1</v>
      </c>
      <c r="AZ362" s="16">
        <f>IFERROR(__xludf.DUMMYFUNCTION("""COMPUTED_VALUE"""),-3.0)</f>
        <v>-3</v>
      </c>
      <c r="BA362" s="16">
        <f>IFERROR(__xludf.DUMMYFUNCTION("""COMPUTED_VALUE"""),5.0)</f>
        <v>5</v>
      </c>
      <c r="BB362" s="16">
        <f>IFERROR(__xludf.DUMMYFUNCTION("""COMPUTED_VALUE"""),-15.0)</f>
        <v>-15</v>
      </c>
      <c r="BC362" s="16"/>
      <c r="BD362" s="16"/>
      <c r="BE362" s="16">
        <f>IFERROR(__xludf.DUMMYFUNCTION("""COMPUTED_VALUE"""),0.0)</f>
        <v>0</v>
      </c>
      <c r="BF362" s="16">
        <f>IFERROR(__xludf.DUMMYFUNCTION("""COMPUTED_VALUE"""),8.0)</f>
        <v>8</v>
      </c>
      <c r="BG362" s="16">
        <f>IFERROR(__xludf.DUMMYFUNCTION("""COMPUTED_VALUE"""),3.0)</f>
        <v>3</v>
      </c>
      <c r="BH362" s="16">
        <f>IFERROR(__xludf.DUMMYFUNCTION("""COMPUTED_VALUE"""),-3.0)</f>
        <v>-3</v>
      </c>
      <c r="BI362" s="16">
        <f>IFERROR(__xludf.DUMMYFUNCTION("""COMPUTED_VALUE"""),6.0)</f>
        <v>6</v>
      </c>
      <c r="BJ362" s="16">
        <f>IFERROR(__xludf.DUMMYFUNCTION("""COMPUTED_VALUE"""),-6.0)</f>
        <v>-6</v>
      </c>
      <c r="BK362" s="16">
        <f>IFERROR(__xludf.DUMMYFUNCTION("""COMPUTED_VALUE"""),0.0)</f>
        <v>0</v>
      </c>
      <c r="BL362" s="16">
        <f>IFERROR(__xludf.DUMMYFUNCTION("""COMPUTED_VALUE"""),0.0)</f>
        <v>0</v>
      </c>
      <c r="BM362" s="16">
        <f>IFERROR(__xludf.DUMMYFUNCTION("""COMPUTED_VALUE"""),1.0)</f>
        <v>1</v>
      </c>
      <c r="BN362" s="16">
        <f>IFERROR(__xludf.DUMMYFUNCTION("""COMPUTED_VALUE"""),1.0)</f>
        <v>1</v>
      </c>
      <c r="BO362" s="16">
        <f>IFERROR(__xludf.DUMMYFUNCTION("""COMPUTED_VALUE"""),1.0)</f>
        <v>1</v>
      </c>
      <c r="BP362" s="16">
        <f>IFERROR(__xludf.DUMMYFUNCTION("""COMPUTED_VALUE"""),1.0)</f>
        <v>1</v>
      </c>
      <c r="BQ362" s="16">
        <f>IFERROR(__xludf.DUMMYFUNCTION("""COMPUTED_VALUE"""),0.0)</f>
        <v>0</v>
      </c>
      <c r="BR362" s="16">
        <f>IFERROR(__xludf.DUMMYFUNCTION("""COMPUTED_VALUE"""),0.0)</f>
        <v>0</v>
      </c>
      <c r="BS362" s="16">
        <f>IFERROR(__xludf.DUMMYFUNCTION("""COMPUTED_VALUE"""),-3.0)</f>
        <v>-3</v>
      </c>
      <c r="BT362" s="16">
        <f>IFERROR(__xludf.DUMMYFUNCTION("""COMPUTED_VALUE"""),-3.0)</f>
        <v>-3</v>
      </c>
      <c r="BU362" s="16">
        <f>IFERROR(__xludf.DUMMYFUNCTION("""COMPUTED_VALUE"""),-6.0)</f>
        <v>-6</v>
      </c>
      <c r="BV362" s="16">
        <f>IFERROR(__xludf.DUMMYFUNCTION("""COMPUTED_VALUE"""),-6.0)</f>
        <v>-6</v>
      </c>
      <c r="BW362" s="16">
        <f>IFERROR(__xludf.DUMMYFUNCTION("""COMPUTED_VALUE"""),1.0)</f>
        <v>1</v>
      </c>
      <c r="BX362" s="16">
        <f>IFERROR(__xludf.DUMMYFUNCTION("""COMPUTED_VALUE"""),1.0)</f>
        <v>1</v>
      </c>
      <c r="BY362" s="16" t="str">
        <f>IFERROR(__xludf.DUMMYFUNCTION("""COMPUTED_VALUE"""),"R(1) C(2)")</f>
        <v>R(1) C(2)</v>
      </c>
      <c r="BZ362" s="16" t="str">
        <f>IFERROR(__xludf.DUMMYFUNCTION("""COMPUTED_VALUE"""),"R(1) C(2)")</f>
        <v>R(1) C(2)</v>
      </c>
      <c r="CA362" s="16" t="str">
        <f>IFERROR(__xludf.DUMMYFUNCTION("""COMPUTED_VALUE"""),"R(1)")</f>
        <v>R(1)</v>
      </c>
      <c r="CB362" s="16" t="str">
        <f>IFERROR(__xludf.DUMMYFUNCTION("""COMPUTED_VALUE"""),"C(2)")</f>
        <v>C(2)</v>
      </c>
      <c r="CC362" s="16"/>
      <c r="CD362" s="16"/>
      <c r="CE362" s="16">
        <f>IFERROR(__xludf.DUMMYFUNCTION("""COMPUTED_VALUE"""),1.0)</f>
        <v>1</v>
      </c>
      <c r="CF362" s="16">
        <f>IFERROR(__xludf.DUMMYFUNCTION("""COMPUTED_VALUE"""),2.0)</f>
        <v>2</v>
      </c>
      <c r="CG362" s="16" t="str">
        <f>IFERROR(__xludf.DUMMYFUNCTION("""COMPUTED_VALUE"""),"2-51")</f>
        <v>2-51</v>
      </c>
      <c r="CH362" s="16">
        <f>IFERROR(__xludf.DUMMYFUNCTION("""COMPUTED_VALUE"""),2.0)</f>
        <v>2</v>
      </c>
      <c r="CI362" s="16">
        <f>IFERROR(__xludf.DUMMYFUNCTION("""COMPUTED_VALUE"""),51.0)</f>
        <v>51</v>
      </c>
      <c r="CJ362" s="16">
        <f>IFERROR(__xludf.DUMMYFUNCTION("""COMPUTED_VALUE"""),0.0)</f>
        <v>0</v>
      </c>
      <c r="CK362" s="16">
        <f>IFERROR(__xludf.DUMMYFUNCTION("""COMPUTED_VALUE"""),13.0)</f>
        <v>13</v>
      </c>
      <c r="CL362" s="16" t="str">
        <f>IFERROR(__xludf.DUMMYFUNCTION("""COMPUTED_VALUE"""),"1WR-C")</f>
        <v>1WR-C</v>
      </c>
      <c r="CM362" s="16" t="str">
        <f>IFERROR(__xludf.DUMMYFUNCTION("""COMPUTED_VALUE"""),"E")</f>
        <v>E</v>
      </c>
      <c r="CN362" s="16">
        <f>IFERROR(__xludf.DUMMYFUNCTION("""COMPUTED_VALUE"""),10.0)</f>
        <v>10</v>
      </c>
      <c r="CO362" s="16" t="str">
        <f>IFERROR(__xludf.DUMMYFUNCTION("""COMPUTED_VALUE"""),"C")</f>
        <v>C</v>
      </c>
      <c r="CP362" s="16" t="str">
        <f>IFERROR(__xludf.DUMMYFUNCTION("""COMPUTED_VALUE"""),"1p30")</f>
        <v>1p30</v>
      </c>
      <c r="CQ362" s="16">
        <f>IFERROR(__xludf.DUMMYFUNCTION("""COMPUTED_VALUE"""),21.0)</f>
        <v>21</v>
      </c>
      <c r="CR362" s="16">
        <f>IFERROR(__xludf.DUMMYFUNCTION("""COMPUTED_VALUE"""),-33.0)</f>
        <v>-33</v>
      </c>
      <c r="CS362" s="16">
        <f>IFERROR(__xludf.DUMMYFUNCTION("""COMPUTED_VALUE"""),-12.0)</f>
        <v>-12</v>
      </c>
      <c r="CT362" s="16">
        <f>IFERROR(__xludf.DUMMYFUNCTION("""COMPUTED_VALUE"""),21.0)</f>
        <v>21</v>
      </c>
      <c r="CU362" s="16">
        <f>IFERROR(__xludf.DUMMYFUNCTION("""COMPUTED_VALUE"""),-33.0)</f>
        <v>-33</v>
      </c>
      <c r="CV362" s="179">
        <f>IFERROR(__xludf.DUMMYFUNCTION("""COMPUTED_VALUE"""),-9.0)</f>
        <v>-9</v>
      </c>
      <c r="CW362" s="179">
        <f>IFERROR(__xludf.DUMMYFUNCTION("""COMPUTED_VALUE"""),4.0)</f>
        <v>4</v>
      </c>
      <c r="CX362" s="179">
        <f>IFERROR(__xludf.DUMMYFUNCTION("""COMPUTED_VALUE"""),2.0)</f>
        <v>2</v>
      </c>
      <c r="CY362" s="16" t="str">
        <f>IFERROR(__xludf.DUMMYFUNCTION("""COMPUTED_VALUE"""),"RP")</f>
        <v>RP</v>
      </c>
      <c r="CZ362" s="16" t="str">
        <f>IFERROR(__xludf.DUMMYFUNCTION("""COMPUTED_VALUE"""),"CP")</f>
        <v>CP</v>
      </c>
      <c r="DA362" s="16"/>
      <c r="DB362" s="16"/>
      <c r="DC362" s="16"/>
      <c r="DD362" s="16"/>
      <c r="DE362" s="16"/>
      <c r="DF362" s="16"/>
      <c r="DG362" s="16"/>
      <c r="DH362" s="16"/>
      <c r="DI362" s="16"/>
      <c r="DJ362" s="16"/>
      <c r="DK362" s="16"/>
    </row>
    <row r="363">
      <c r="A363" s="16">
        <f>IFERROR(__xludf.DUMMYFUNCTION("""COMPUTED_VALUE"""),13166.0)</f>
        <v>13166</v>
      </c>
      <c r="B363" s="16" t="str">
        <f>IFERROR(__xludf.DUMMYFUNCTION("""COMPUTED_VALUE"""),"Matt Bowman")</f>
        <v>Matt Bowman</v>
      </c>
      <c r="C363" s="153">
        <f>IFERROR(__xludf.DUMMYFUNCTION("""COMPUTED_VALUE"""),0.7)</f>
        <v>0.7</v>
      </c>
      <c r="D363" s="16"/>
      <c r="E363" s="16" t="str">
        <f>IFERROR(__xludf.DUMMYFUNCTION("""COMPUTED_VALUE"""),"R")</f>
        <v>R</v>
      </c>
      <c r="F363" s="16">
        <f>IFERROR(__xludf.DUMMYFUNCTION("""COMPUTED_VALUE"""),31.0)</f>
        <v>31</v>
      </c>
      <c r="G363" s="16">
        <f>IFERROR(__xludf.DUMMYFUNCTION("""COMPUTED_VALUE"""),5.0)</f>
        <v>5</v>
      </c>
      <c r="H363" s="16">
        <f>IFERROR(__xludf.DUMMYFUNCTION("""COMPUTED_VALUE"""),22.0)</f>
        <v>22</v>
      </c>
      <c r="I363" s="16">
        <f>IFERROR(__xludf.DUMMYFUNCTION("""COMPUTED_VALUE"""),-3.0)</f>
        <v>-3</v>
      </c>
      <c r="J363" s="16">
        <f>IFERROR(__xludf.DUMMYFUNCTION("""COMPUTED_VALUE"""),-1.0)</f>
        <v>-1</v>
      </c>
      <c r="K363" s="16">
        <f>IFERROR(__xludf.DUMMYFUNCTION("""COMPUTED_VALUE"""),-9.0)</f>
        <v>-9</v>
      </c>
      <c r="L363" s="16">
        <f>IFERROR(__xludf.DUMMYFUNCTION("""COMPUTED_VALUE"""),-3.0)</f>
        <v>-3</v>
      </c>
      <c r="M363" s="16">
        <f>IFERROR(__xludf.DUMMYFUNCTION("""COMPUTED_VALUE"""),11.0)</f>
        <v>11</v>
      </c>
      <c r="N363" s="16">
        <f>IFERROR(__xludf.DUMMYFUNCTION("""COMPUTED_VALUE"""),12.0)</f>
        <v>12</v>
      </c>
      <c r="O363" s="16">
        <f>IFERROR(__xludf.DUMMYFUNCTION("""COMPUTED_VALUE"""),-1.0)</f>
        <v>-1</v>
      </c>
      <c r="P363" s="16">
        <f>IFERROR(__xludf.DUMMYFUNCTION("""COMPUTED_VALUE"""),-2.0)</f>
        <v>-2</v>
      </c>
      <c r="Q363" s="16">
        <f>IFERROR(__xludf.DUMMYFUNCTION("""COMPUTED_VALUE"""),-1.0)</f>
        <v>-1</v>
      </c>
      <c r="R363" s="16">
        <f>IFERROR(__xludf.DUMMYFUNCTION("""COMPUTED_VALUE"""),-2.0)</f>
        <v>-2</v>
      </c>
      <c r="S363" s="16">
        <f>IFERROR(__xludf.DUMMYFUNCTION("""COMPUTED_VALUE"""),13.1)</f>
        <v>13.1</v>
      </c>
      <c r="T363" s="16">
        <f>IFERROR(__xludf.DUMMYFUNCTION("""COMPUTED_VALUE"""),11.8)</f>
        <v>11.8</v>
      </c>
      <c r="U363" s="16">
        <f>IFERROR(__xludf.DUMMYFUNCTION("""COMPUTED_VALUE"""),0.0)</f>
        <v>0</v>
      </c>
      <c r="V363" s="16">
        <f>IFERROR(__xludf.DUMMYFUNCTION("""COMPUTED_VALUE"""),1.0)</f>
        <v>1</v>
      </c>
      <c r="W363" s="16">
        <f>IFERROR(__xludf.DUMMYFUNCTION("""COMPUTED_VALUE"""),0.0)</f>
        <v>0</v>
      </c>
      <c r="X363" s="16">
        <f>IFERROR(__xludf.DUMMYFUNCTION("""COMPUTED_VALUE"""),2.0)</f>
        <v>2</v>
      </c>
      <c r="Y363" s="16">
        <f>IFERROR(__xludf.DUMMYFUNCTION("""COMPUTED_VALUE"""),24.1)</f>
        <v>24.1</v>
      </c>
      <c r="Z363" s="16">
        <f>IFERROR(__xludf.DUMMYFUNCTION("""COMPUTED_VALUE"""),23.8)</f>
        <v>23.8</v>
      </c>
      <c r="AA363" s="16">
        <f>IFERROR(__xludf.DUMMYFUNCTION("""COMPUTED_VALUE"""),0.0)</f>
        <v>0</v>
      </c>
      <c r="AB363" s="16">
        <f>IFERROR(__xludf.DUMMYFUNCTION("""COMPUTED_VALUE"""),0.0)</f>
        <v>0</v>
      </c>
      <c r="AC363" s="16">
        <f>IFERROR(__xludf.DUMMYFUNCTION("""COMPUTED_VALUE"""),0.0)</f>
        <v>0</v>
      </c>
      <c r="AD363" s="16">
        <f>IFERROR(__xludf.DUMMYFUNCTION("""COMPUTED_VALUE"""),0.0)</f>
        <v>0</v>
      </c>
      <c r="AE363" s="16">
        <f>IFERROR(__xludf.DUMMYFUNCTION("""COMPUTED_VALUE"""),29.1)</f>
        <v>29.1</v>
      </c>
      <c r="AF363" s="16">
        <f>IFERROR(__xludf.DUMMYFUNCTION("""COMPUTED_VALUE"""),28.3)</f>
        <v>28.3</v>
      </c>
      <c r="AG363" s="16">
        <f>IFERROR(__xludf.DUMMYFUNCTION("""COMPUTED_VALUE"""),0.0)</f>
        <v>0</v>
      </c>
      <c r="AH363" s="16">
        <f>IFERROR(__xludf.DUMMYFUNCTION("""COMPUTED_VALUE"""),0.0)</f>
        <v>0</v>
      </c>
      <c r="AI363" s="16">
        <f>IFERROR(__xludf.DUMMYFUNCTION("""COMPUTED_VALUE"""),0.0)</f>
        <v>0</v>
      </c>
      <c r="AJ363" s="16">
        <f>IFERROR(__xludf.DUMMYFUNCTION("""COMPUTED_VALUE"""),0.0)</f>
        <v>0</v>
      </c>
      <c r="AK363" s="16">
        <f>IFERROR(__xludf.DUMMYFUNCTION("""COMPUTED_VALUE"""),9.0)</f>
        <v>9</v>
      </c>
      <c r="AL363" s="16">
        <f>IFERROR(__xludf.DUMMYFUNCTION("""COMPUTED_VALUE"""),9.4)</f>
        <v>9.4</v>
      </c>
      <c r="AM363" s="16">
        <f>IFERROR(__xludf.DUMMYFUNCTION("""COMPUTED_VALUE"""),1.0)</f>
        <v>1</v>
      </c>
      <c r="AN363" s="16">
        <f>IFERROR(__xludf.DUMMYFUNCTION("""COMPUTED_VALUE"""),1.0)</f>
        <v>1</v>
      </c>
      <c r="AO363" s="16">
        <f>IFERROR(__xludf.DUMMYFUNCTION("""COMPUTED_VALUE"""),1.0)</f>
        <v>1</v>
      </c>
      <c r="AP363" s="16">
        <f>IFERROR(__xludf.DUMMYFUNCTION("""COMPUTED_VALUE"""),1.0)</f>
        <v>1</v>
      </c>
      <c r="AQ363" s="16">
        <f>IFERROR(__xludf.DUMMYFUNCTION("""COMPUTED_VALUE"""),12.700000000000003)</f>
        <v>12.7</v>
      </c>
      <c r="AR363" s="16">
        <f>IFERROR(__xludf.DUMMYFUNCTION("""COMPUTED_VALUE"""),18.700000000000003)</f>
        <v>18.7</v>
      </c>
      <c r="AS363" s="16">
        <f>IFERROR(__xludf.DUMMYFUNCTION("""COMPUTED_VALUE"""),1.0)</f>
        <v>1</v>
      </c>
      <c r="AT363" s="16">
        <f>IFERROR(__xludf.DUMMYFUNCTION("""COMPUTED_VALUE"""),0.0)</f>
        <v>0</v>
      </c>
      <c r="AU363" s="16">
        <f>IFERROR(__xludf.DUMMYFUNCTION("""COMPUTED_VALUE"""),2.0)</f>
        <v>2</v>
      </c>
      <c r="AV363" s="16">
        <f>IFERROR(__xludf.DUMMYFUNCTION("""COMPUTED_VALUE"""),0.0)</f>
        <v>0</v>
      </c>
      <c r="AW363" s="16">
        <f>IFERROR(__xludf.DUMMYFUNCTION("""COMPUTED_VALUE"""),4.1)</f>
        <v>4.1</v>
      </c>
      <c r="AX363" s="16">
        <f>IFERROR(__xludf.DUMMYFUNCTION("""COMPUTED_VALUE"""),2.4)</f>
        <v>2.4</v>
      </c>
      <c r="AY363" s="16">
        <f>IFERROR(__xludf.DUMMYFUNCTION("""COMPUTED_VALUE"""),-2.0)</f>
        <v>-2</v>
      </c>
      <c r="AZ363" s="16">
        <f>IFERROR(__xludf.DUMMYFUNCTION("""COMPUTED_VALUE"""),0.0)</f>
        <v>0</v>
      </c>
      <c r="BA363" s="16">
        <f>IFERROR(__xludf.DUMMYFUNCTION("""COMPUTED_VALUE"""),-10.0)</f>
        <v>-10</v>
      </c>
      <c r="BB363" s="16">
        <f>IFERROR(__xludf.DUMMYFUNCTION("""COMPUTED_VALUE"""),0.0)</f>
        <v>0</v>
      </c>
      <c r="BC363" s="16">
        <f>IFERROR(__xludf.DUMMYFUNCTION("""COMPUTED_VALUE"""),6.0)</f>
        <v>6</v>
      </c>
      <c r="BD363" s="16"/>
      <c r="BE363" s="16">
        <f>IFERROR(__xludf.DUMMYFUNCTION("""COMPUTED_VALUE"""),6.0)</f>
        <v>6</v>
      </c>
      <c r="BF363" s="16">
        <f>IFERROR(__xludf.DUMMYFUNCTION("""COMPUTED_VALUE"""),4.0)</f>
        <v>4</v>
      </c>
      <c r="BG363" s="16">
        <f>IFERROR(__xludf.DUMMYFUNCTION("""COMPUTED_VALUE"""),-3.0)</f>
        <v>-3</v>
      </c>
      <c r="BH363" s="16">
        <f>IFERROR(__xludf.DUMMYFUNCTION("""COMPUTED_VALUE"""),-1.0)</f>
        <v>-1</v>
      </c>
      <c r="BI363" s="16">
        <f>IFERROR(__xludf.DUMMYFUNCTION("""COMPUTED_VALUE"""),-6.0)</f>
        <v>-6</v>
      </c>
      <c r="BJ363" s="16">
        <f>IFERROR(__xludf.DUMMYFUNCTION("""COMPUTED_VALUE"""),-2.0)</f>
        <v>-2</v>
      </c>
      <c r="BK363" s="16">
        <f>IFERROR(__xludf.DUMMYFUNCTION("""COMPUTED_VALUE"""),5.0)</f>
        <v>5</v>
      </c>
      <c r="BL363" s="16">
        <f>IFERROR(__xludf.DUMMYFUNCTION("""COMPUTED_VALUE"""),0.0)</f>
        <v>0</v>
      </c>
      <c r="BM363" s="16">
        <f>IFERROR(__xludf.DUMMYFUNCTION("""COMPUTED_VALUE"""),0.0)</f>
        <v>0</v>
      </c>
      <c r="BN363" s="16">
        <f>IFERROR(__xludf.DUMMYFUNCTION("""COMPUTED_VALUE"""),1.0)</f>
        <v>1</v>
      </c>
      <c r="BO363" s="16">
        <f>IFERROR(__xludf.DUMMYFUNCTION("""COMPUTED_VALUE"""),0.0)</f>
        <v>0</v>
      </c>
      <c r="BP363" s="16">
        <f>IFERROR(__xludf.DUMMYFUNCTION("""COMPUTED_VALUE"""),1.0)</f>
        <v>1</v>
      </c>
      <c r="BQ363" s="16">
        <f>IFERROR(__xludf.DUMMYFUNCTION("""COMPUTED_VALUE"""),5.0)</f>
        <v>5</v>
      </c>
      <c r="BR363" s="16">
        <f>IFERROR(__xludf.DUMMYFUNCTION("""COMPUTED_VALUE"""),5.0)</f>
        <v>5</v>
      </c>
      <c r="BS363" s="16">
        <f>IFERROR(__xludf.DUMMYFUNCTION("""COMPUTED_VALUE"""),0.0)</f>
        <v>0</v>
      </c>
      <c r="BT363" s="16">
        <f>IFERROR(__xludf.DUMMYFUNCTION("""COMPUTED_VALUE"""),0.0)</f>
        <v>0</v>
      </c>
      <c r="BU363" s="16">
        <f>IFERROR(__xludf.DUMMYFUNCTION("""COMPUTED_VALUE"""),0.0)</f>
        <v>0</v>
      </c>
      <c r="BV363" s="16">
        <f>IFERROR(__xludf.DUMMYFUNCTION("""COMPUTED_VALUE"""),0.0)</f>
        <v>0</v>
      </c>
      <c r="BW363" s="16">
        <f>IFERROR(__xludf.DUMMYFUNCTION("""COMPUTED_VALUE"""),2.0)</f>
        <v>2</v>
      </c>
      <c r="BX363" s="16">
        <f>IFERROR(__xludf.DUMMYFUNCTION("""COMPUTED_VALUE"""),2.0)</f>
        <v>2</v>
      </c>
      <c r="BY363" s="16" t="str">
        <f>IFERROR(__xludf.DUMMYFUNCTION("""COMPUTED_VALUE"""),"R(2)")</f>
        <v>R(2)</v>
      </c>
      <c r="BZ363" s="16" t="str">
        <f>IFERROR(__xludf.DUMMYFUNCTION("""COMPUTED_VALUE"""),"R(2)")</f>
        <v>R(2)</v>
      </c>
      <c r="CA363" s="16" t="str">
        <f>IFERROR(__xludf.DUMMYFUNCTION("""COMPUTED_VALUE"""),"R(2)")</f>
        <v>R(2)</v>
      </c>
      <c r="CB363" s="16"/>
      <c r="CC363" s="16"/>
      <c r="CD363" s="16"/>
      <c r="CE363" s="16">
        <f>IFERROR(__xludf.DUMMYFUNCTION("""COMPUTED_VALUE"""),2.0)</f>
        <v>2</v>
      </c>
      <c r="CF363" s="16"/>
      <c r="CG363" s="16" t="str">
        <f>IFERROR(__xludf.DUMMYFUNCTION("""COMPUTED_VALUE"""),"3-0")</f>
        <v>3-0</v>
      </c>
      <c r="CH363" s="16">
        <f>IFERROR(__xludf.DUMMYFUNCTION("""COMPUTED_VALUE"""),3.0)</f>
        <v>3</v>
      </c>
      <c r="CI363" s="16">
        <f>IFERROR(__xludf.DUMMYFUNCTION("""COMPUTED_VALUE"""),0.0)</f>
        <v>0</v>
      </c>
      <c r="CJ363" s="16">
        <f>IFERROR(__xludf.DUMMYFUNCTION("""COMPUTED_VALUE"""),0.0)</f>
        <v>0</v>
      </c>
      <c r="CK363" s="16">
        <f>IFERROR(__xludf.DUMMYFUNCTION("""COMPUTED_VALUE"""),0.0)</f>
        <v>0</v>
      </c>
      <c r="CL363" s="16" t="str">
        <f>IFERROR(__xludf.DUMMYFUNCTION("""COMPUTED_VALUE"""),"1WR-C")</f>
        <v>1WR-C</v>
      </c>
      <c r="CM363" s="16" t="str">
        <f>IFERROR(__xludf.DUMMYFUNCTION("""COMPUTED_VALUE"""),"E")</f>
        <v>E</v>
      </c>
      <c r="CN363" s="16">
        <f>IFERROR(__xludf.DUMMYFUNCTION("""COMPUTED_VALUE"""),10.0)</f>
        <v>10</v>
      </c>
      <c r="CO363" s="16" t="str">
        <f>IFERROR(__xludf.DUMMYFUNCTION("""COMPUTED_VALUE"""),"C")</f>
        <v>C</v>
      </c>
      <c r="CP363" s="16" t="str">
        <f>IFERROR(__xludf.DUMMYFUNCTION("""COMPUTED_VALUE"""),"1p20")</f>
        <v>1p20</v>
      </c>
      <c r="CQ363" s="16">
        <f>IFERROR(__xludf.DUMMYFUNCTION("""COMPUTED_VALUE"""),-23.0)</f>
        <v>-23</v>
      </c>
      <c r="CR363" s="16">
        <f>IFERROR(__xludf.DUMMYFUNCTION("""COMPUTED_VALUE"""),-3.0)</f>
        <v>-3</v>
      </c>
      <c r="CS363" s="16">
        <f>IFERROR(__xludf.DUMMYFUNCTION("""COMPUTED_VALUE"""),-26.0)</f>
        <v>-26</v>
      </c>
      <c r="CT363" s="16">
        <f>IFERROR(__xludf.DUMMYFUNCTION("""COMPUTED_VALUE"""),-23.0)</f>
        <v>-23</v>
      </c>
      <c r="CU363" s="16">
        <f>IFERROR(__xludf.DUMMYFUNCTION("""COMPUTED_VALUE"""),-3.0)</f>
        <v>-3</v>
      </c>
      <c r="CV363" s="179">
        <f>IFERROR(__xludf.DUMMYFUNCTION("""COMPUTED_VALUE"""),-9.333333333333332)</f>
        <v>-9.333333333</v>
      </c>
      <c r="CW363" s="179">
        <f>IFERROR(__xludf.DUMMYFUNCTION("""COMPUTED_VALUE"""),4.0)</f>
        <v>4</v>
      </c>
      <c r="CX363" s="179">
        <f>IFERROR(__xludf.DUMMYFUNCTION("""COMPUTED_VALUE"""),3.0)</f>
        <v>3</v>
      </c>
      <c r="CY363" s="16" t="str">
        <f>IFERROR(__xludf.DUMMYFUNCTION("""COMPUTED_VALUE"""),"RP")</f>
        <v>RP</v>
      </c>
      <c r="CZ363" s="16"/>
      <c r="DA363" s="16"/>
      <c r="DB363" s="16"/>
      <c r="DC363" s="16"/>
      <c r="DD363" s="16"/>
      <c r="DE363" s="16"/>
      <c r="DF363" s="16"/>
      <c r="DG363" s="16"/>
      <c r="DH363" s="16"/>
      <c r="DI363" s="16"/>
      <c r="DJ363" s="16"/>
      <c r="DK363" s="16"/>
    </row>
    <row r="364">
      <c r="A364" s="16">
        <f>IFERROR(__xludf.DUMMYFUNCTION("""COMPUTED_VALUE"""),12696.0)</f>
        <v>12696</v>
      </c>
      <c r="B364" s="16" t="str">
        <f>IFERROR(__xludf.DUMMYFUNCTION("""COMPUTED_VALUE"""),"Cole Irvin")</f>
        <v>Cole Irvin</v>
      </c>
      <c r="C364" s="153">
        <f>IFERROR(__xludf.DUMMYFUNCTION("""COMPUTED_VALUE"""),0.0)</f>
        <v>0</v>
      </c>
      <c r="D364" s="16"/>
      <c r="E364" s="16" t="str">
        <f>IFERROR(__xludf.DUMMYFUNCTION("""COMPUTED_VALUE"""),"L")</f>
        <v>L</v>
      </c>
      <c r="F364" s="16">
        <f>IFERROR(__xludf.DUMMYFUNCTION("""COMPUTED_VALUE"""),111.0)</f>
        <v>111</v>
      </c>
      <c r="G364" s="16">
        <f>IFERROR(__xludf.DUMMYFUNCTION("""COMPUTED_VALUE"""),6.0)</f>
        <v>6</v>
      </c>
      <c r="H364" s="16">
        <f>IFERROR(__xludf.DUMMYFUNCTION("""COMPUTED_VALUE"""),12.0)</f>
        <v>12</v>
      </c>
      <c r="I364" s="16">
        <f>IFERROR(__xludf.DUMMYFUNCTION("""COMPUTED_VALUE"""),-2.0)</f>
        <v>-2</v>
      </c>
      <c r="J364" s="16">
        <f>IFERROR(__xludf.DUMMYFUNCTION("""COMPUTED_VALUE"""),-2.0)</f>
        <v>-2</v>
      </c>
      <c r="K364" s="16">
        <f>IFERROR(__xludf.DUMMYFUNCTION("""COMPUTED_VALUE"""),-6.0)</f>
        <v>-6</v>
      </c>
      <c r="L364" s="16">
        <f>IFERROR(__xludf.DUMMYFUNCTION("""COMPUTED_VALUE"""),-6.0)</f>
        <v>-6</v>
      </c>
      <c r="M364" s="16">
        <f>IFERROR(__xludf.DUMMYFUNCTION("""COMPUTED_VALUE"""),0.0)</f>
        <v>0</v>
      </c>
      <c r="N364" s="16">
        <f>IFERROR(__xludf.DUMMYFUNCTION("""COMPUTED_VALUE"""),5.0)</f>
        <v>5</v>
      </c>
      <c r="O364" s="16">
        <f>IFERROR(__xludf.DUMMYFUNCTION("""COMPUTED_VALUE"""),3.0)</f>
        <v>3</v>
      </c>
      <c r="P364" s="16">
        <f>IFERROR(__xludf.DUMMYFUNCTION("""COMPUTED_VALUE"""),2.0)</f>
        <v>2</v>
      </c>
      <c r="Q364" s="16">
        <f>IFERROR(__xludf.DUMMYFUNCTION("""COMPUTED_VALUE"""),3.0)</f>
        <v>3</v>
      </c>
      <c r="R364" s="16">
        <f>IFERROR(__xludf.DUMMYFUNCTION("""COMPUTED_VALUE"""),2.0)</f>
        <v>2</v>
      </c>
      <c r="S364" s="16">
        <f>IFERROR(__xludf.DUMMYFUNCTION("""COMPUTED_VALUE"""),13.6)</f>
        <v>13.6</v>
      </c>
      <c r="T364" s="16">
        <f>IFERROR(__xludf.DUMMYFUNCTION("""COMPUTED_VALUE"""),28.6)</f>
        <v>28.6</v>
      </c>
      <c r="U364" s="16">
        <f>IFERROR(__xludf.DUMMYFUNCTION("""COMPUTED_VALUE"""),0.0)</f>
        <v>0</v>
      </c>
      <c r="V364" s="16">
        <f>IFERROR(__xludf.DUMMYFUNCTION("""COMPUTED_VALUE"""),-2.0)</f>
        <v>-2</v>
      </c>
      <c r="W364" s="16">
        <f>IFERROR(__xludf.DUMMYFUNCTION("""COMPUTED_VALUE"""),0.0)</f>
        <v>0</v>
      </c>
      <c r="X364" s="16">
        <f>IFERROR(__xludf.DUMMYFUNCTION("""COMPUTED_VALUE"""),-4.0)</f>
        <v>-4</v>
      </c>
      <c r="Y364" s="16">
        <f>IFERROR(__xludf.DUMMYFUNCTION("""COMPUTED_VALUE"""),13.6)</f>
        <v>13.6</v>
      </c>
      <c r="Z364" s="16">
        <f>IFERROR(__xludf.DUMMYFUNCTION("""COMPUTED_VALUE"""),33.7)</f>
        <v>33.7</v>
      </c>
      <c r="AA364" s="16">
        <f>IFERROR(__xludf.DUMMYFUNCTION("""COMPUTED_VALUE"""),2.0)</f>
        <v>2</v>
      </c>
      <c r="AB364" s="16">
        <f>IFERROR(__xludf.DUMMYFUNCTION("""COMPUTED_VALUE"""),-1.0)</f>
        <v>-1</v>
      </c>
      <c r="AC364" s="16">
        <f>IFERROR(__xludf.DUMMYFUNCTION("""COMPUTED_VALUE"""),10.0)</f>
        <v>10</v>
      </c>
      <c r="AD364" s="16">
        <f>IFERROR(__xludf.DUMMYFUNCTION("""COMPUTED_VALUE"""),-5.0)</f>
        <v>-5</v>
      </c>
      <c r="AE364" s="16">
        <f>IFERROR(__xludf.DUMMYFUNCTION("""COMPUTED_VALUE"""),15.2)</f>
        <v>15.2</v>
      </c>
      <c r="AF364" s="16">
        <f>IFERROR(__xludf.DUMMYFUNCTION("""COMPUTED_VALUE"""),55.5)</f>
        <v>55.5</v>
      </c>
      <c r="AG364" s="16">
        <f>IFERROR(__xludf.DUMMYFUNCTION("""COMPUTED_VALUE"""),1.0)</f>
        <v>1</v>
      </c>
      <c r="AH364" s="16">
        <f>IFERROR(__xludf.DUMMYFUNCTION("""COMPUTED_VALUE"""),-3.0)</f>
        <v>-3</v>
      </c>
      <c r="AI364" s="16">
        <f>IFERROR(__xludf.DUMMYFUNCTION("""COMPUTED_VALUE"""),2.0)</f>
        <v>2</v>
      </c>
      <c r="AJ364" s="16">
        <f>IFERROR(__xludf.DUMMYFUNCTION("""COMPUTED_VALUE"""),-6.0)</f>
        <v>-6</v>
      </c>
      <c r="AK364" s="16">
        <f>IFERROR(__xludf.DUMMYFUNCTION("""COMPUTED_VALUE"""),13.6)</f>
        <v>13.6</v>
      </c>
      <c r="AL364" s="16">
        <f>IFERROR(__xludf.DUMMYFUNCTION("""COMPUTED_VALUE"""),24.8)</f>
        <v>24.8</v>
      </c>
      <c r="AM364" s="16">
        <f>IFERROR(__xludf.DUMMYFUNCTION("""COMPUTED_VALUE"""),0.0)</f>
        <v>0</v>
      </c>
      <c r="AN364" s="16">
        <f>IFERROR(__xludf.DUMMYFUNCTION("""COMPUTED_VALUE"""),-2.0)</f>
        <v>-2</v>
      </c>
      <c r="AO364" s="16">
        <f>IFERROR(__xludf.DUMMYFUNCTION("""COMPUTED_VALUE"""),0.0)</f>
        <v>0</v>
      </c>
      <c r="AP364" s="16">
        <f>IFERROR(__xludf.DUMMYFUNCTION("""COMPUTED_VALUE"""),-2.0)</f>
        <v>-2</v>
      </c>
      <c r="AQ364" s="16">
        <f>IFERROR(__xludf.DUMMYFUNCTION("""COMPUTED_VALUE"""),15.2)</f>
        <v>15.2</v>
      </c>
      <c r="AR364" s="16">
        <f>IFERROR(__xludf.DUMMYFUNCTION("""COMPUTED_VALUE"""),40.3)</f>
        <v>40.3</v>
      </c>
      <c r="AS364" s="16">
        <f>IFERROR(__xludf.DUMMYFUNCTION("""COMPUTED_VALUE"""),1.0)</f>
        <v>1</v>
      </c>
      <c r="AT364" s="16">
        <f>IFERROR(__xludf.DUMMYFUNCTION("""COMPUTED_VALUE"""),-2.0)</f>
        <v>-2</v>
      </c>
      <c r="AU364" s="16">
        <f>IFERROR(__xludf.DUMMYFUNCTION("""COMPUTED_VALUE"""),2.0)</f>
        <v>2</v>
      </c>
      <c r="AV364" s="16">
        <f>IFERROR(__xludf.DUMMYFUNCTION("""COMPUTED_VALUE"""),-4.0)</f>
        <v>-4</v>
      </c>
      <c r="AW364" s="16">
        <f>IFERROR(__xludf.DUMMYFUNCTION("""COMPUTED_VALUE"""),0.0)</f>
        <v>0</v>
      </c>
      <c r="AX364" s="16">
        <f>IFERROR(__xludf.DUMMYFUNCTION("""COMPUTED_VALUE"""),3.8)</f>
        <v>3.8</v>
      </c>
      <c r="AY364" s="16">
        <f>IFERROR(__xludf.DUMMYFUNCTION("""COMPUTED_VALUE"""),2.0)</f>
        <v>2</v>
      </c>
      <c r="AZ364" s="16">
        <f>IFERROR(__xludf.DUMMYFUNCTION("""COMPUTED_VALUE"""),-2.0)</f>
        <v>-2</v>
      </c>
      <c r="BA364" s="16">
        <f>IFERROR(__xludf.DUMMYFUNCTION("""COMPUTED_VALUE"""),10.0)</f>
        <v>10</v>
      </c>
      <c r="BB364" s="16">
        <f>IFERROR(__xludf.DUMMYFUNCTION("""COMPUTED_VALUE"""),-10.0)</f>
        <v>-10</v>
      </c>
      <c r="BC364" s="16">
        <f>IFERROR(__xludf.DUMMYFUNCTION("""COMPUTED_VALUE"""),0.0)</f>
        <v>0</v>
      </c>
      <c r="BD364" s="16">
        <f>IFERROR(__xludf.DUMMYFUNCTION("""COMPUTED_VALUE"""),7.0)</f>
        <v>7</v>
      </c>
      <c r="BE364" s="16">
        <f>IFERROR(__xludf.DUMMYFUNCTION("""COMPUTED_VALUE"""),0.0)</f>
        <v>0</v>
      </c>
      <c r="BF364" s="16">
        <f>IFERROR(__xludf.DUMMYFUNCTION("""COMPUTED_VALUE"""),7.0)</f>
        <v>7</v>
      </c>
      <c r="BG364" s="16">
        <f>IFERROR(__xludf.DUMMYFUNCTION("""COMPUTED_VALUE"""),3.0)</f>
        <v>3</v>
      </c>
      <c r="BH364" s="16">
        <f>IFERROR(__xludf.DUMMYFUNCTION("""COMPUTED_VALUE"""),-3.0)</f>
        <v>-3</v>
      </c>
      <c r="BI364" s="16">
        <f>IFERROR(__xludf.DUMMYFUNCTION("""COMPUTED_VALUE"""),6.0)</f>
        <v>6</v>
      </c>
      <c r="BJ364" s="16">
        <f>IFERROR(__xludf.DUMMYFUNCTION("""COMPUTED_VALUE"""),-6.0)</f>
        <v>-6</v>
      </c>
      <c r="BK364" s="16">
        <f>IFERROR(__xludf.DUMMYFUNCTION("""COMPUTED_VALUE"""),5.0)</f>
        <v>5</v>
      </c>
      <c r="BL364" s="16">
        <f>IFERROR(__xludf.DUMMYFUNCTION("""COMPUTED_VALUE"""),5.0)</f>
        <v>5</v>
      </c>
      <c r="BM364" s="16">
        <f>IFERROR(__xludf.DUMMYFUNCTION("""COMPUTED_VALUE"""),0.0)</f>
        <v>0</v>
      </c>
      <c r="BN364" s="16">
        <f>IFERROR(__xludf.DUMMYFUNCTION("""COMPUTED_VALUE"""),0.0)</f>
        <v>0</v>
      </c>
      <c r="BO364" s="16">
        <f>IFERROR(__xludf.DUMMYFUNCTION("""COMPUTED_VALUE"""),0.0)</f>
        <v>0</v>
      </c>
      <c r="BP364" s="16">
        <f>IFERROR(__xludf.DUMMYFUNCTION("""COMPUTED_VALUE"""),0.0)</f>
        <v>0</v>
      </c>
      <c r="BQ364" s="16">
        <f>IFERROR(__xludf.DUMMYFUNCTION("""COMPUTED_VALUE"""),7.0)</f>
        <v>7</v>
      </c>
      <c r="BR364" s="16">
        <f>IFERROR(__xludf.DUMMYFUNCTION("""COMPUTED_VALUE"""),7.0)</f>
        <v>7</v>
      </c>
      <c r="BS364" s="16">
        <f>IFERROR(__xludf.DUMMYFUNCTION("""COMPUTED_VALUE"""),2.0)</f>
        <v>2</v>
      </c>
      <c r="BT364" s="16">
        <f>IFERROR(__xludf.DUMMYFUNCTION("""COMPUTED_VALUE"""),2.0)</f>
        <v>2</v>
      </c>
      <c r="BU364" s="16">
        <f>IFERROR(__xludf.DUMMYFUNCTION("""COMPUTED_VALUE"""),4.0)</f>
        <v>4</v>
      </c>
      <c r="BV364" s="16">
        <f>IFERROR(__xludf.DUMMYFUNCTION("""COMPUTED_VALUE"""),4.0)</f>
        <v>4</v>
      </c>
      <c r="BW364" s="16">
        <f>IFERROR(__xludf.DUMMYFUNCTION("""COMPUTED_VALUE"""),-4.0)</f>
        <v>-4</v>
      </c>
      <c r="BX364" s="16">
        <f>IFERROR(__xludf.DUMMYFUNCTION("""COMPUTED_VALUE"""),-4.0)</f>
        <v>-4</v>
      </c>
      <c r="BY364" s="16" t="str">
        <f>IFERROR(__xludf.DUMMYFUNCTION("""COMPUTED_VALUE"""),"S(5) R(3) C(0)")</f>
        <v>S(5) R(3) C(0)</v>
      </c>
      <c r="BZ364" s="16" t="str">
        <f>IFERROR(__xludf.DUMMYFUNCTION("""COMPUTED_VALUE"""),"S(5) R(3) C(0)")</f>
        <v>S(5) R(3) C(0)</v>
      </c>
      <c r="CA364" s="16" t="str">
        <f>IFERROR(__xludf.DUMMYFUNCTION("""COMPUTED_VALUE"""),"S(5)")</f>
        <v>S(5)</v>
      </c>
      <c r="CB364" s="16" t="str">
        <f>IFERROR(__xludf.DUMMYFUNCTION("""COMPUTED_VALUE"""),"R(3)")</f>
        <v>R(3)</v>
      </c>
      <c r="CC364" s="16" t="str">
        <f>IFERROR(__xludf.DUMMYFUNCTION("""COMPUTED_VALUE"""),"C(0)")</f>
        <v>C(0)</v>
      </c>
      <c r="CD364" s="16">
        <f>IFERROR(__xludf.DUMMYFUNCTION("""COMPUTED_VALUE"""),5.0)</f>
        <v>5</v>
      </c>
      <c r="CE364" s="16">
        <f>IFERROR(__xludf.DUMMYFUNCTION("""COMPUTED_VALUE"""),3.0)</f>
        <v>3</v>
      </c>
      <c r="CF364" s="16">
        <f>IFERROR(__xludf.DUMMYFUNCTION("""COMPUTED_VALUE"""),0.0)</f>
        <v>0</v>
      </c>
      <c r="CG364" s="16" t="str">
        <f>IFERROR(__xludf.DUMMYFUNCTION("""COMPUTED_VALUE"""),"3-0")</f>
        <v>3-0</v>
      </c>
      <c r="CH364" s="16">
        <f>IFERROR(__xludf.DUMMYFUNCTION("""COMPUTED_VALUE"""),3.0)</f>
        <v>3</v>
      </c>
      <c r="CI364" s="16">
        <f>IFERROR(__xludf.DUMMYFUNCTION("""COMPUTED_VALUE"""),0.0)</f>
        <v>0</v>
      </c>
      <c r="CJ364" s="16">
        <f>IFERROR(__xludf.DUMMYFUNCTION("""COMPUTED_VALUE"""),0.0)</f>
        <v>0</v>
      </c>
      <c r="CK364" s="16">
        <f>IFERROR(__xludf.DUMMYFUNCTION("""COMPUTED_VALUE"""),3.0)</f>
        <v>3</v>
      </c>
      <c r="CL364" s="16" t="str">
        <f>IFERROR(__xludf.DUMMYFUNCTION("""COMPUTED_VALUE"""),"1WL-C")</f>
        <v>1WL-C</v>
      </c>
      <c r="CM364" s="16" t="str">
        <f>IFERROR(__xludf.DUMMYFUNCTION("""COMPUTED_VALUE"""),"E")</f>
        <v>E</v>
      </c>
      <c r="CN364" s="16">
        <f>IFERROR(__xludf.DUMMYFUNCTION("""COMPUTED_VALUE"""),10.0)</f>
        <v>10</v>
      </c>
      <c r="CO364" s="16" t="str">
        <f>IFERROR(__xludf.DUMMYFUNCTION("""COMPUTED_VALUE"""),"C")</f>
        <v>C</v>
      </c>
      <c r="CP364" s="16" t="str">
        <f>IFERROR(__xludf.DUMMYFUNCTION("""COMPUTED_VALUE"""),"1p60")</f>
        <v>1p60</v>
      </c>
      <c r="CQ364" s="16">
        <f>IFERROR(__xludf.DUMMYFUNCTION("""COMPUTED_VALUE"""),31.0)</f>
        <v>31</v>
      </c>
      <c r="CR364" s="16">
        <f>IFERROR(__xludf.DUMMYFUNCTION("""COMPUTED_VALUE"""),-37.0)</f>
        <v>-37</v>
      </c>
      <c r="CS364" s="16">
        <f>IFERROR(__xludf.DUMMYFUNCTION("""COMPUTED_VALUE"""),-6.0)</f>
        <v>-6</v>
      </c>
      <c r="CT364" s="16">
        <f>IFERROR(__xludf.DUMMYFUNCTION("""COMPUTED_VALUE"""),31.0)</f>
        <v>31</v>
      </c>
      <c r="CU364" s="16">
        <f>IFERROR(__xludf.DUMMYFUNCTION("""COMPUTED_VALUE"""),-37.0)</f>
        <v>-37</v>
      </c>
      <c r="CV364" s="179">
        <f>IFERROR(__xludf.DUMMYFUNCTION("""COMPUTED_VALUE"""),-9.333333333333334)</f>
        <v>-9.333333333</v>
      </c>
      <c r="CW364" s="179">
        <f>IFERROR(__xludf.DUMMYFUNCTION("""COMPUTED_VALUE"""),4.0)</f>
        <v>4</v>
      </c>
      <c r="CX364" s="179">
        <f>IFERROR(__xludf.DUMMYFUNCTION("""COMPUTED_VALUE"""),1.0)</f>
        <v>1</v>
      </c>
      <c r="CY364" s="16" t="str">
        <f>IFERROR(__xludf.DUMMYFUNCTION("""COMPUTED_VALUE"""),"SP")</f>
        <v>SP</v>
      </c>
      <c r="CZ364" s="16" t="str">
        <f>IFERROR(__xludf.DUMMYFUNCTION("""COMPUTED_VALUE"""),"RP")</f>
        <v>RP</v>
      </c>
      <c r="DA364" s="16" t="str">
        <f>IFERROR(__xludf.DUMMYFUNCTION("""COMPUTED_VALUE"""),"CP")</f>
        <v>CP</v>
      </c>
      <c r="DB364" s="16"/>
      <c r="DC364" s="16"/>
      <c r="DD364" s="16"/>
      <c r="DE364" s="16"/>
      <c r="DF364" s="16"/>
      <c r="DG364" s="16"/>
      <c r="DH364" s="16"/>
      <c r="DI364" s="16"/>
      <c r="DJ364" s="16"/>
      <c r="DK364" s="16"/>
    </row>
    <row r="365">
      <c r="A365" s="16">
        <f>IFERROR(__xludf.DUMMYFUNCTION("""COMPUTED_VALUE"""),12929.0)</f>
        <v>12929</v>
      </c>
      <c r="B365" s="16" t="str">
        <f>IFERROR(__xludf.DUMMYFUNCTION("""COMPUTED_VALUE"""),"Jared Shuster")</f>
        <v>Jared Shuster</v>
      </c>
      <c r="C365" s="153">
        <f>IFERROR(__xludf.DUMMYFUNCTION("""COMPUTED_VALUE"""),0.59)</f>
        <v>0.59</v>
      </c>
      <c r="D365" s="16"/>
      <c r="E365" s="16" t="str">
        <f>IFERROR(__xludf.DUMMYFUNCTION("""COMPUTED_VALUE"""),"L")</f>
        <v>L</v>
      </c>
      <c r="F365" s="16">
        <f>IFERROR(__xludf.DUMMYFUNCTION("""COMPUTED_VALUE"""),73.0)</f>
        <v>73</v>
      </c>
      <c r="G365" s="16">
        <f>IFERROR(__xludf.DUMMYFUNCTION("""COMPUTED_VALUE"""),16.0)</f>
        <v>16</v>
      </c>
      <c r="H365" s="16">
        <f>IFERROR(__xludf.DUMMYFUNCTION("""COMPUTED_VALUE"""),11.0)</f>
        <v>11</v>
      </c>
      <c r="I365" s="16">
        <f>IFERROR(__xludf.DUMMYFUNCTION("""COMPUTED_VALUE"""),-2.0)</f>
        <v>-2</v>
      </c>
      <c r="J365" s="16">
        <f>IFERROR(__xludf.DUMMYFUNCTION("""COMPUTED_VALUE"""),-2.0)</f>
        <v>-2</v>
      </c>
      <c r="K365" s="16">
        <f>IFERROR(__xludf.DUMMYFUNCTION("""COMPUTED_VALUE"""),-6.0)</f>
        <v>-6</v>
      </c>
      <c r="L365" s="16">
        <f>IFERROR(__xludf.DUMMYFUNCTION("""COMPUTED_VALUE"""),-6.0)</f>
        <v>-6</v>
      </c>
      <c r="M365" s="16">
        <f>IFERROR(__xludf.DUMMYFUNCTION("""COMPUTED_VALUE"""),3.0)</f>
        <v>3</v>
      </c>
      <c r="N365" s="16">
        <f>IFERROR(__xludf.DUMMYFUNCTION("""COMPUTED_VALUE"""),20.0)</f>
        <v>20</v>
      </c>
      <c r="O365" s="16">
        <f>IFERROR(__xludf.DUMMYFUNCTION("""COMPUTED_VALUE"""),2.0)</f>
        <v>2</v>
      </c>
      <c r="P365" s="16">
        <f>IFERROR(__xludf.DUMMYFUNCTION("""COMPUTED_VALUE"""),-3.0)</f>
        <v>-3</v>
      </c>
      <c r="Q365" s="16">
        <f>IFERROR(__xludf.DUMMYFUNCTION("""COMPUTED_VALUE"""),2.0)</f>
        <v>2</v>
      </c>
      <c r="R365" s="16">
        <f>IFERROR(__xludf.DUMMYFUNCTION("""COMPUTED_VALUE"""),-3.0)</f>
        <v>-3</v>
      </c>
      <c r="S365" s="16">
        <f>IFERROR(__xludf.DUMMYFUNCTION("""COMPUTED_VALUE"""),25.8)</f>
        <v>25.8</v>
      </c>
      <c r="T365" s="16">
        <f>IFERROR(__xludf.DUMMYFUNCTION("""COMPUTED_VALUE"""),12.0)</f>
        <v>12</v>
      </c>
      <c r="U365" s="16">
        <f>IFERROR(__xludf.DUMMYFUNCTION("""COMPUTED_VALUE"""),-2.0)</f>
        <v>-2</v>
      </c>
      <c r="V365" s="16">
        <f>IFERROR(__xludf.DUMMYFUNCTION("""COMPUTED_VALUE"""),1.0)</f>
        <v>1</v>
      </c>
      <c r="W365" s="16">
        <f>IFERROR(__xludf.DUMMYFUNCTION("""COMPUTED_VALUE"""),-4.0)</f>
        <v>-4</v>
      </c>
      <c r="X365" s="16">
        <f>IFERROR(__xludf.DUMMYFUNCTION("""COMPUTED_VALUE"""),2.0)</f>
        <v>2</v>
      </c>
      <c r="Y365" s="16">
        <f>IFERROR(__xludf.DUMMYFUNCTION("""COMPUTED_VALUE"""),28.8)</f>
        <v>28.8</v>
      </c>
      <c r="Z365" s="16">
        <f>IFERROR(__xludf.DUMMYFUNCTION("""COMPUTED_VALUE"""),32.0)</f>
        <v>32</v>
      </c>
      <c r="AA365" s="16">
        <f>IFERROR(__xludf.DUMMYFUNCTION("""COMPUTED_VALUE"""),0.0)</f>
        <v>0</v>
      </c>
      <c r="AB365" s="16">
        <f>IFERROR(__xludf.DUMMYFUNCTION("""COMPUTED_VALUE"""),-1.0)</f>
        <v>-1</v>
      </c>
      <c r="AC365" s="16">
        <f>IFERROR(__xludf.DUMMYFUNCTION("""COMPUTED_VALUE"""),0.0)</f>
        <v>0</v>
      </c>
      <c r="AD365" s="16">
        <f>IFERROR(__xludf.DUMMYFUNCTION("""COMPUTED_VALUE"""),-5.0)</f>
        <v>-5</v>
      </c>
      <c r="AE365" s="16">
        <f>IFERROR(__xludf.DUMMYFUNCTION("""COMPUTED_VALUE"""),42.1)</f>
        <v>42.1</v>
      </c>
      <c r="AF365" s="16">
        <f>IFERROR(__xludf.DUMMYFUNCTION("""COMPUTED_VALUE"""),20.2)</f>
        <v>20.2</v>
      </c>
      <c r="AG365" s="16">
        <f>IFERROR(__xludf.DUMMYFUNCTION("""COMPUTED_VALUE"""),-1.0)</f>
        <v>-1</v>
      </c>
      <c r="AH365" s="16">
        <f>IFERROR(__xludf.DUMMYFUNCTION("""COMPUTED_VALUE"""),1.0)</f>
        <v>1</v>
      </c>
      <c r="AI365" s="16">
        <f>IFERROR(__xludf.DUMMYFUNCTION("""COMPUTED_VALUE"""),-2.0)</f>
        <v>-2</v>
      </c>
      <c r="AJ365" s="16">
        <f>IFERROR(__xludf.DUMMYFUNCTION("""COMPUTED_VALUE"""),2.0)</f>
        <v>2</v>
      </c>
      <c r="AK365" s="16">
        <f>IFERROR(__xludf.DUMMYFUNCTION("""COMPUTED_VALUE"""),23.0)</f>
        <v>23</v>
      </c>
      <c r="AL365" s="16">
        <f>IFERROR(__xludf.DUMMYFUNCTION("""COMPUTED_VALUE"""),10.4)</f>
        <v>10.4</v>
      </c>
      <c r="AM365" s="16">
        <f>IFERROR(__xludf.DUMMYFUNCTION("""COMPUTED_VALUE"""),-2.0)</f>
        <v>-2</v>
      </c>
      <c r="AN365" s="16">
        <f>IFERROR(__xludf.DUMMYFUNCTION("""COMPUTED_VALUE"""),1.0)</f>
        <v>1</v>
      </c>
      <c r="AO365" s="16">
        <f>IFERROR(__xludf.DUMMYFUNCTION("""COMPUTED_VALUE"""),-2.0)</f>
        <v>-2</v>
      </c>
      <c r="AP365" s="16">
        <f>IFERROR(__xludf.DUMMYFUNCTION("""COMPUTED_VALUE"""),1.0)</f>
        <v>1</v>
      </c>
      <c r="AQ365" s="16">
        <f>IFERROR(__xludf.DUMMYFUNCTION("""COMPUTED_VALUE"""),30.900000000000002)</f>
        <v>30.9</v>
      </c>
      <c r="AR365" s="16">
        <f>IFERROR(__xludf.DUMMYFUNCTION("""COMPUTED_VALUE"""),13.799999999999999)</f>
        <v>13.8</v>
      </c>
      <c r="AS365" s="16">
        <f>IFERROR(__xludf.DUMMYFUNCTION("""COMPUTED_VALUE"""),-1.0)</f>
        <v>-1</v>
      </c>
      <c r="AT365" s="16">
        <f>IFERROR(__xludf.DUMMYFUNCTION("""COMPUTED_VALUE"""),1.0)</f>
        <v>1</v>
      </c>
      <c r="AU365" s="16">
        <f>IFERROR(__xludf.DUMMYFUNCTION("""COMPUTED_VALUE"""),-2.0)</f>
        <v>-2</v>
      </c>
      <c r="AV365" s="16">
        <f>IFERROR(__xludf.DUMMYFUNCTION("""COMPUTED_VALUE"""),2.0)</f>
        <v>2</v>
      </c>
      <c r="AW365" s="16">
        <f>IFERROR(__xludf.DUMMYFUNCTION("""COMPUTED_VALUE"""),2.8)</f>
        <v>2.8</v>
      </c>
      <c r="AX365" s="16">
        <f>IFERROR(__xludf.DUMMYFUNCTION("""COMPUTED_VALUE"""),1.6)</f>
        <v>1.6</v>
      </c>
      <c r="AY365" s="16">
        <f>IFERROR(__xludf.DUMMYFUNCTION("""COMPUTED_VALUE"""),-1.0)</f>
        <v>-1</v>
      </c>
      <c r="AZ365" s="16">
        <f>IFERROR(__xludf.DUMMYFUNCTION("""COMPUTED_VALUE"""),1.0)</f>
        <v>1</v>
      </c>
      <c r="BA365" s="16">
        <f>IFERROR(__xludf.DUMMYFUNCTION("""COMPUTED_VALUE"""),-5.0)</f>
        <v>-5</v>
      </c>
      <c r="BB365" s="16">
        <f>IFERROR(__xludf.DUMMYFUNCTION("""COMPUTED_VALUE"""),5.0)</f>
        <v>5</v>
      </c>
      <c r="BC365" s="16">
        <f>IFERROR(__xludf.DUMMYFUNCTION("""COMPUTED_VALUE"""),4.0)</f>
        <v>4</v>
      </c>
      <c r="BD365" s="16">
        <f>IFERROR(__xludf.DUMMYFUNCTION("""COMPUTED_VALUE"""),1.0)</f>
        <v>1</v>
      </c>
      <c r="BE365" s="16">
        <f>IFERROR(__xludf.DUMMYFUNCTION("""COMPUTED_VALUE"""),4.0)</f>
        <v>4</v>
      </c>
      <c r="BF365" s="16">
        <f>IFERROR(__xludf.DUMMYFUNCTION("""COMPUTED_VALUE"""),1.0)</f>
        <v>1</v>
      </c>
      <c r="BG365" s="16">
        <f>IFERROR(__xludf.DUMMYFUNCTION("""COMPUTED_VALUE"""),-1.0)</f>
        <v>-1</v>
      </c>
      <c r="BH365" s="16">
        <f>IFERROR(__xludf.DUMMYFUNCTION("""COMPUTED_VALUE"""),2.0)</f>
        <v>2</v>
      </c>
      <c r="BI365" s="16">
        <f>IFERROR(__xludf.DUMMYFUNCTION("""COMPUTED_VALUE"""),-2.0)</f>
        <v>-2</v>
      </c>
      <c r="BJ365" s="16">
        <f>IFERROR(__xludf.DUMMYFUNCTION("""COMPUTED_VALUE"""),4.0)</f>
        <v>4</v>
      </c>
      <c r="BK365" s="16">
        <f>IFERROR(__xludf.DUMMYFUNCTION("""COMPUTED_VALUE"""),5.0)</f>
        <v>5</v>
      </c>
      <c r="BL365" s="16">
        <f>IFERROR(__xludf.DUMMYFUNCTION("""COMPUTED_VALUE"""),5.0)</f>
        <v>5</v>
      </c>
      <c r="BM365" s="16">
        <f>IFERROR(__xludf.DUMMYFUNCTION("""COMPUTED_VALUE"""),0.0)</f>
        <v>0</v>
      </c>
      <c r="BN365" s="16">
        <f>IFERROR(__xludf.DUMMYFUNCTION("""COMPUTED_VALUE"""),0.0)</f>
        <v>0</v>
      </c>
      <c r="BO365" s="16">
        <f>IFERROR(__xludf.DUMMYFUNCTION("""COMPUTED_VALUE"""),0.0)</f>
        <v>0</v>
      </c>
      <c r="BP365" s="16">
        <f>IFERROR(__xludf.DUMMYFUNCTION("""COMPUTED_VALUE"""),0.0)</f>
        <v>0</v>
      </c>
      <c r="BQ365" s="16">
        <f>IFERROR(__xludf.DUMMYFUNCTION("""COMPUTED_VALUE"""),4.0)</f>
        <v>4</v>
      </c>
      <c r="BR365" s="16">
        <f>IFERROR(__xludf.DUMMYFUNCTION("""COMPUTED_VALUE"""),5.0)</f>
        <v>5</v>
      </c>
      <c r="BS365" s="16">
        <f>IFERROR(__xludf.DUMMYFUNCTION("""COMPUTED_VALUE"""),-1.0)</f>
        <v>-1</v>
      </c>
      <c r="BT365" s="16">
        <f>IFERROR(__xludf.DUMMYFUNCTION("""COMPUTED_VALUE"""),0.0)</f>
        <v>0</v>
      </c>
      <c r="BU365" s="16">
        <f>IFERROR(__xludf.DUMMYFUNCTION("""COMPUTED_VALUE"""),-2.0)</f>
        <v>-2</v>
      </c>
      <c r="BV365" s="16">
        <f>IFERROR(__xludf.DUMMYFUNCTION("""COMPUTED_VALUE"""),0.0)</f>
        <v>0</v>
      </c>
      <c r="BW365" s="16">
        <f>IFERROR(__xludf.DUMMYFUNCTION("""COMPUTED_VALUE"""),0.0)</f>
        <v>0</v>
      </c>
      <c r="BX365" s="16">
        <f>IFERROR(__xludf.DUMMYFUNCTION("""COMPUTED_VALUE"""),0.0)</f>
        <v>0</v>
      </c>
      <c r="BY365" s="16" t="str">
        <f>IFERROR(__xludf.DUMMYFUNCTION("""COMPUTED_VALUE"""),"S(4) R(3)")</f>
        <v>S(4) R(3)</v>
      </c>
      <c r="BZ365" s="16" t="str">
        <f>IFERROR(__xludf.DUMMYFUNCTION("""COMPUTED_VALUE"""),"S(4) R(3)")</f>
        <v>S(4) R(3)</v>
      </c>
      <c r="CA365" s="16" t="str">
        <f>IFERROR(__xludf.DUMMYFUNCTION("""COMPUTED_VALUE"""),"S(4)")</f>
        <v>S(4)</v>
      </c>
      <c r="CB365" s="16" t="str">
        <f>IFERROR(__xludf.DUMMYFUNCTION("""COMPUTED_VALUE"""),"R(3)")</f>
        <v>R(3)</v>
      </c>
      <c r="CC365" s="16"/>
      <c r="CD365" s="16">
        <f>IFERROR(__xludf.DUMMYFUNCTION("""COMPUTED_VALUE"""),4.0)</f>
        <v>4</v>
      </c>
      <c r="CE365" s="16">
        <f>IFERROR(__xludf.DUMMYFUNCTION("""COMPUTED_VALUE"""),3.0)</f>
        <v>3</v>
      </c>
      <c r="CF365" s="16"/>
      <c r="CG365" s="16" t="str">
        <f>IFERROR(__xludf.DUMMYFUNCTION("""COMPUTED_VALUE"""),"3-19")</f>
        <v>3-19</v>
      </c>
      <c r="CH365" s="16">
        <f>IFERROR(__xludf.DUMMYFUNCTION("""COMPUTED_VALUE"""),3.0)</f>
        <v>3</v>
      </c>
      <c r="CI365" s="16">
        <f>IFERROR(__xludf.DUMMYFUNCTION("""COMPUTED_VALUE"""),19.0)</f>
        <v>19</v>
      </c>
      <c r="CJ365" s="16">
        <f>IFERROR(__xludf.DUMMYFUNCTION("""COMPUTED_VALUE"""),0.0)</f>
        <v>0</v>
      </c>
      <c r="CK365" s="16">
        <f>IFERROR(__xludf.DUMMYFUNCTION("""COMPUTED_VALUE"""),8.0)</f>
        <v>8</v>
      </c>
      <c r="CL365" s="16" t="str">
        <f>IFERROR(__xludf.DUMMYFUNCTION("""COMPUTED_VALUE"""),"1WL-C")</f>
        <v>1WL-C</v>
      </c>
      <c r="CM365" s="16" t="str">
        <f>IFERROR(__xludf.DUMMYFUNCTION("""COMPUTED_VALUE"""),"E")</f>
        <v>E</v>
      </c>
      <c r="CN365" s="16">
        <f>IFERROR(__xludf.DUMMYFUNCTION("""COMPUTED_VALUE"""),10.0)</f>
        <v>10</v>
      </c>
      <c r="CO365" s="16" t="str">
        <f>IFERROR(__xludf.DUMMYFUNCTION("""COMPUTED_VALUE"""),"C")</f>
        <v>C</v>
      </c>
      <c r="CP365" s="16" t="str">
        <f>IFERROR(__xludf.DUMMYFUNCTION("""COMPUTED_VALUE"""),"1p40")</f>
        <v>1p40</v>
      </c>
      <c r="CQ365" s="16">
        <f>IFERROR(__xludf.DUMMYFUNCTION("""COMPUTED_VALUE"""),-23.0)</f>
        <v>-23</v>
      </c>
      <c r="CR365" s="16">
        <f>IFERROR(__xludf.DUMMYFUNCTION("""COMPUTED_VALUE"""),2.0)</f>
        <v>2</v>
      </c>
      <c r="CS365" s="16">
        <f>IFERROR(__xludf.DUMMYFUNCTION("""COMPUTED_VALUE"""),-21.0)</f>
        <v>-21</v>
      </c>
      <c r="CT365" s="16">
        <f>IFERROR(__xludf.DUMMYFUNCTION("""COMPUTED_VALUE"""),-23.0)</f>
        <v>-23</v>
      </c>
      <c r="CU365" s="16">
        <f>IFERROR(__xludf.DUMMYFUNCTION("""COMPUTED_VALUE"""),2.0)</f>
        <v>2</v>
      </c>
      <c r="CV365" s="179">
        <f>IFERROR(__xludf.DUMMYFUNCTION("""COMPUTED_VALUE"""),-9.666666666666666)</f>
        <v>-9.666666667</v>
      </c>
      <c r="CW365" s="179">
        <f>IFERROR(__xludf.DUMMYFUNCTION("""COMPUTED_VALUE"""),4.0)</f>
        <v>4</v>
      </c>
      <c r="CX365" s="179">
        <f>IFERROR(__xludf.DUMMYFUNCTION("""COMPUTED_VALUE"""),1.0)</f>
        <v>1</v>
      </c>
      <c r="CY365" s="16" t="str">
        <f>IFERROR(__xludf.DUMMYFUNCTION("""COMPUTED_VALUE"""),"SP")</f>
        <v>SP</v>
      </c>
      <c r="CZ365" s="16" t="str">
        <f>IFERROR(__xludf.DUMMYFUNCTION("""COMPUTED_VALUE"""),"RP")</f>
        <v>RP</v>
      </c>
      <c r="DA365" s="16"/>
      <c r="DB365" s="16"/>
      <c r="DC365" s="16"/>
      <c r="DD365" s="16"/>
      <c r="DE365" s="16"/>
      <c r="DF365" s="16"/>
      <c r="DG365" s="16"/>
      <c r="DH365" s="16"/>
      <c r="DI365" s="16"/>
      <c r="DJ365" s="16"/>
      <c r="DK365" s="16"/>
    </row>
    <row r="366">
      <c r="A366" s="16">
        <f>IFERROR(__xludf.DUMMYFUNCTION("""COMPUTED_VALUE"""),12515.0)</f>
        <v>12515</v>
      </c>
      <c r="B366" s="16" t="str">
        <f>IFERROR(__xludf.DUMMYFUNCTION("""COMPUTED_VALUE"""),"Albert Suarez")</f>
        <v>Albert Suarez</v>
      </c>
      <c r="C366" s="153">
        <f>IFERROR(__xludf.DUMMYFUNCTION("""COMPUTED_VALUE"""),0.71)</f>
        <v>0.71</v>
      </c>
      <c r="D366" s="16"/>
      <c r="E366" s="16" t="str">
        <f>IFERROR(__xludf.DUMMYFUNCTION("""COMPUTED_VALUE"""),"R")</f>
        <v>R</v>
      </c>
      <c r="F366" s="16">
        <f>IFERROR(__xludf.DUMMYFUNCTION("""COMPUTED_VALUE"""),134.0)</f>
        <v>134</v>
      </c>
      <c r="G366" s="16">
        <f>IFERROR(__xludf.DUMMYFUNCTION("""COMPUTED_VALUE"""),16.0)</f>
        <v>16</v>
      </c>
      <c r="H366" s="16">
        <f>IFERROR(__xludf.DUMMYFUNCTION("""COMPUTED_VALUE"""),19.0)</f>
        <v>19</v>
      </c>
      <c r="I366" s="16">
        <f>IFERROR(__xludf.DUMMYFUNCTION("""COMPUTED_VALUE"""),-2.0)</f>
        <v>-2</v>
      </c>
      <c r="J366" s="16">
        <f>IFERROR(__xludf.DUMMYFUNCTION("""COMPUTED_VALUE"""),-1.0)</f>
        <v>-1</v>
      </c>
      <c r="K366" s="16">
        <f>IFERROR(__xludf.DUMMYFUNCTION("""COMPUTED_VALUE"""),-6.0)</f>
        <v>-6</v>
      </c>
      <c r="L366" s="16">
        <f>IFERROR(__xludf.DUMMYFUNCTION("""COMPUTED_VALUE"""),-3.0)</f>
        <v>-3</v>
      </c>
      <c r="M366" s="16">
        <f>IFERROR(__xludf.DUMMYFUNCTION("""COMPUTED_VALUE"""),12.0)</f>
        <v>12</v>
      </c>
      <c r="N366" s="16">
        <f>IFERROR(__xludf.DUMMYFUNCTION("""COMPUTED_VALUE"""),4.0)</f>
        <v>4</v>
      </c>
      <c r="O366" s="16">
        <f>IFERROR(__xludf.DUMMYFUNCTION("""COMPUTED_VALUE"""),-1.0)</f>
        <v>-1</v>
      </c>
      <c r="P366" s="16">
        <f>IFERROR(__xludf.DUMMYFUNCTION("""COMPUTED_VALUE"""),2.0)</f>
        <v>2</v>
      </c>
      <c r="Q366" s="16">
        <f>IFERROR(__xludf.DUMMYFUNCTION("""COMPUTED_VALUE"""),-1.0)</f>
        <v>-1</v>
      </c>
      <c r="R366" s="16">
        <f>IFERROR(__xludf.DUMMYFUNCTION("""COMPUTED_VALUE"""),2.0)</f>
        <v>2</v>
      </c>
      <c r="S366" s="16">
        <f>IFERROR(__xludf.DUMMYFUNCTION("""COMPUTED_VALUE"""),21.6)</f>
        <v>21.6</v>
      </c>
      <c r="T366" s="16">
        <f>IFERROR(__xludf.DUMMYFUNCTION("""COMPUTED_VALUE"""),17.7)</f>
        <v>17.7</v>
      </c>
      <c r="U366" s="16">
        <f>IFERROR(__xludf.DUMMYFUNCTION("""COMPUTED_VALUE"""),-1.0)</f>
        <v>-1</v>
      </c>
      <c r="V366" s="16">
        <f>IFERROR(__xludf.DUMMYFUNCTION("""COMPUTED_VALUE"""),0.0)</f>
        <v>0</v>
      </c>
      <c r="W366" s="16">
        <f>IFERROR(__xludf.DUMMYFUNCTION("""COMPUTED_VALUE"""),-2.0)</f>
        <v>-2</v>
      </c>
      <c r="X366" s="16">
        <f>IFERROR(__xludf.DUMMYFUNCTION("""COMPUTED_VALUE"""),0.0)</f>
        <v>0</v>
      </c>
      <c r="Y366" s="16">
        <f>IFERROR(__xludf.DUMMYFUNCTION("""COMPUTED_VALUE"""),33.6)</f>
        <v>33.6</v>
      </c>
      <c r="Z366" s="16">
        <f>IFERROR(__xludf.DUMMYFUNCTION("""COMPUTED_VALUE"""),21.7)</f>
        <v>21.7</v>
      </c>
      <c r="AA366" s="16">
        <f>IFERROR(__xludf.DUMMYFUNCTION("""COMPUTED_VALUE"""),-1.0)</f>
        <v>-1</v>
      </c>
      <c r="AB366" s="16">
        <f>IFERROR(__xludf.DUMMYFUNCTION("""COMPUTED_VALUE"""),1.0)</f>
        <v>1</v>
      </c>
      <c r="AC366" s="16">
        <f>IFERROR(__xludf.DUMMYFUNCTION("""COMPUTED_VALUE"""),-5.0)</f>
        <v>-5</v>
      </c>
      <c r="AD366" s="16">
        <f>IFERROR(__xludf.DUMMYFUNCTION("""COMPUTED_VALUE"""),5.0)</f>
        <v>5</v>
      </c>
      <c r="AE366" s="16">
        <f>IFERROR(__xludf.DUMMYFUNCTION("""COMPUTED_VALUE"""),37.9)</f>
        <v>37.9</v>
      </c>
      <c r="AF366" s="16">
        <f>IFERROR(__xludf.DUMMYFUNCTION("""COMPUTED_VALUE"""),30.9)</f>
        <v>30.9</v>
      </c>
      <c r="AG366" s="16">
        <f>IFERROR(__xludf.DUMMYFUNCTION("""COMPUTED_VALUE"""),-1.0)</f>
        <v>-1</v>
      </c>
      <c r="AH366" s="16">
        <f>IFERROR(__xludf.DUMMYFUNCTION("""COMPUTED_VALUE"""),0.0)</f>
        <v>0</v>
      </c>
      <c r="AI366" s="16">
        <f>IFERROR(__xludf.DUMMYFUNCTION("""COMPUTED_VALUE"""),-2.0)</f>
        <v>-2</v>
      </c>
      <c r="AJ366" s="16">
        <f>IFERROR(__xludf.DUMMYFUNCTION("""COMPUTED_VALUE"""),0.0)</f>
        <v>0</v>
      </c>
      <c r="AK366" s="16">
        <f>IFERROR(__xludf.DUMMYFUNCTION("""COMPUTED_VALUE"""),18.8)</f>
        <v>18.8</v>
      </c>
      <c r="AL366" s="16">
        <f>IFERROR(__xludf.DUMMYFUNCTION("""COMPUTED_VALUE"""),16.5)</f>
        <v>16.5</v>
      </c>
      <c r="AM366" s="16">
        <f>IFERROR(__xludf.DUMMYFUNCTION("""COMPUTED_VALUE"""),-1.0)</f>
        <v>-1</v>
      </c>
      <c r="AN366" s="16">
        <f>IFERROR(__xludf.DUMMYFUNCTION("""COMPUTED_VALUE"""),-1.0)</f>
        <v>-1</v>
      </c>
      <c r="AO366" s="16">
        <f>IFERROR(__xludf.DUMMYFUNCTION("""COMPUTED_VALUE"""),-1.0)</f>
        <v>-1</v>
      </c>
      <c r="AP366" s="16">
        <f>IFERROR(__xludf.DUMMYFUNCTION("""COMPUTED_VALUE"""),-1.0)</f>
        <v>-1</v>
      </c>
      <c r="AQ366" s="16">
        <f>IFERROR(__xludf.DUMMYFUNCTION("""COMPUTED_VALUE"""),26.7)</f>
        <v>26.7</v>
      </c>
      <c r="AR366" s="16">
        <f>IFERROR(__xludf.DUMMYFUNCTION("""COMPUTED_VALUE"""),26.099999999999998)</f>
        <v>26.1</v>
      </c>
      <c r="AS366" s="16">
        <f>IFERROR(__xludf.DUMMYFUNCTION("""COMPUTED_VALUE"""),-1.0)</f>
        <v>-1</v>
      </c>
      <c r="AT366" s="16">
        <f>IFERROR(__xludf.DUMMYFUNCTION("""COMPUTED_VALUE"""),-1.0)</f>
        <v>-1</v>
      </c>
      <c r="AU366" s="16">
        <f>IFERROR(__xludf.DUMMYFUNCTION("""COMPUTED_VALUE"""),-2.0)</f>
        <v>-2</v>
      </c>
      <c r="AV366" s="16">
        <f>IFERROR(__xludf.DUMMYFUNCTION("""COMPUTED_VALUE"""),-2.0)</f>
        <v>-2</v>
      </c>
      <c r="AW366" s="16">
        <f>IFERROR(__xludf.DUMMYFUNCTION("""COMPUTED_VALUE"""),2.8)</f>
        <v>2.8</v>
      </c>
      <c r="AX366" s="16">
        <f>IFERROR(__xludf.DUMMYFUNCTION("""COMPUTED_VALUE"""),1.2)</f>
        <v>1.2</v>
      </c>
      <c r="AY366" s="16">
        <f>IFERROR(__xludf.DUMMYFUNCTION("""COMPUTED_VALUE"""),-1.0)</f>
        <v>-1</v>
      </c>
      <c r="AZ366" s="16">
        <f>IFERROR(__xludf.DUMMYFUNCTION("""COMPUTED_VALUE"""),1.0)</f>
        <v>1</v>
      </c>
      <c r="BA366" s="16">
        <f>IFERROR(__xludf.DUMMYFUNCTION("""COMPUTED_VALUE"""),-5.0)</f>
        <v>-5</v>
      </c>
      <c r="BB366" s="16">
        <f>IFERROR(__xludf.DUMMYFUNCTION("""COMPUTED_VALUE"""),5.0)</f>
        <v>5</v>
      </c>
      <c r="BC366" s="16">
        <f>IFERROR(__xludf.DUMMYFUNCTION("""COMPUTED_VALUE"""),4.0)</f>
        <v>4</v>
      </c>
      <c r="BD366" s="16">
        <f>IFERROR(__xludf.DUMMYFUNCTION("""COMPUTED_VALUE"""),2.0)</f>
        <v>2</v>
      </c>
      <c r="BE366" s="16">
        <f>IFERROR(__xludf.DUMMYFUNCTION("""COMPUTED_VALUE"""),4.0)</f>
        <v>4</v>
      </c>
      <c r="BF366" s="16">
        <f>IFERROR(__xludf.DUMMYFUNCTION("""COMPUTED_VALUE"""),2.0)</f>
        <v>2</v>
      </c>
      <c r="BG366" s="16">
        <f>IFERROR(__xludf.DUMMYFUNCTION("""COMPUTED_VALUE"""),-1.0)</f>
        <v>-1</v>
      </c>
      <c r="BH366" s="16">
        <f>IFERROR(__xludf.DUMMYFUNCTION("""COMPUTED_VALUE"""),1.0)</f>
        <v>1</v>
      </c>
      <c r="BI366" s="16">
        <f>IFERROR(__xludf.DUMMYFUNCTION("""COMPUTED_VALUE"""),-2.0)</f>
        <v>-2</v>
      </c>
      <c r="BJ366" s="16">
        <f>IFERROR(__xludf.DUMMYFUNCTION("""COMPUTED_VALUE"""),2.0)</f>
        <v>2</v>
      </c>
      <c r="BK366" s="16">
        <f>IFERROR(__xludf.DUMMYFUNCTION("""COMPUTED_VALUE"""),5.0)</f>
        <v>5</v>
      </c>
      <c r="BL366" s="16">
        <f>IFERROR(__xludf.DUMMYFUNCTION("""COMPUTED_VALUE"""),5.0)</f>
        <v>5</v>
      </c>
      <c r="BM366" s="16">
        <f>IFERROR(__xludf.DUMMYFUNCTION("""COMPUTED_VALUE"""),0.0)</f>
        <v>0</v>
      </c>
      <c r="BN366" s="16">
        <f>IFERROR(__xludf.DUMMYFUNCTION("""COMPUTED_VALUE"""),0.0)</f>
        <v>0</v>
      </c>
      <c r="BO366" s="16">
        <f>IFERROR(__xludf.DUMMYFUNCTION("""COMPUTED_VALUE"""),0.0)</f>
        <v>0</v>
      </c>
      <c r="BP366" s="16">
        <f>IFERROR(__xludf.DUMMYFUNCTION("""COMPUTED_VALUE"""),0.0)</f>
        <v>0</v>
      </c>
      <c r="BQ366" s="16">
        <f>IFERROR(__xludf.DUMMYFUNCTION("""COMPUTED_VALUE"""),4.0)</f>
        <v>4</v>
      </c>
      <c r="BR366" s="16">
        <f>IFERROR(__xludf.DUMMYFUNCTION("""COMPUTED_VALUE"""),4.0)</f>
        <v>4</v>
      </c>
      <c r="BS366" s="16">
        <f>IFERROR(__xludf.DUMMYFUNCTION("""COMPUTED_VALUE"""),-1.0)</f>
        <v>-1</v>
      </c>
      <c r="BT366" s="16">
        <f>IFERROR(__xludf.DUMMYFUNCTION("""COMPUTED_VALUE"""),-1.0)</f>
        <v>-1</v>
      </c>
      <c r="BU366" s="16">
        <f>IFERROR(__xludf.DUMMYFUNCTION("""COMPUTED_VALUE"""),-2.0)</f>
        <v>-2</v>
      </c>
      <c r="BV366" s="16">
        <f>IFERROR(__xludf.DUMMYFUNCTION("""COMPUTED_VALUE"""),-2.0)</f>
        <v>-2</v>
      </c>
      <c r="BW366" s="16">
        <f>IFERROR(__xludf.DUMMYFUNCTION("""COMPUTED_VALUE"""),0.0)</f>
        <v>0</v>
      </c>
      <c r="BX366" s="16">
        <f>IFERROR(__xludf.DUMMYFUNCTION("""COMPUTED_VALUE"""),0.0)</f>
        <v>0</v>
      </c>
      <c r="BY366" s="16" t="str">
        <f>IFERROR(__xludf.DUMMYFUNCTION("""COMPUTED_VALUE"""),"S(5) R(3)")</f>
        <v>S(5) R(3)</v>
      </c>
      <c r="BZ366" s="16" t="str">
        <f>IFERROR(__xludf.DUMMYFUNCTION("""COMPUTED_VALUE"""),"S(5) R(3)")</f>
        <v>S(5) R(3)</v>
      </c>
      <c r="CA366" s="16" t="str">
        <f>IFERROR(__xludf.DUMMYFUNCTION("""COMPUTED_VALUE"""),"S(5)")</f>
        <v>S(5)</v>
      </c>
      <c r="CB366" s="16" t="str">
        <f>IFERROR(__xludf.DUMMYFUNCTION("""COMPUTED_VALUE"""),"R(3)")</f>
        <v>R(3)</v>
      </c>
      <c r="CC366" s="16"/>
      <c r="CD366" s="16">
        <f>IFERROR(__xludf.DUMMYFUNCTION("""COMPUTED_VALUE"""),5.0)</f>
        <v>5</v>
      </c>
      <c r="CE366" s="16">
        <f>IFERROR(__xludf.DUMMYFUNCTION("""COMPUTED_VALUE"""),3.0)</f>
        <v>3</v>
      </c>
      <c r="CF366" s="16"/>
      <c r="CG366" s="16" t="str">
        <f>IFERROR(__xludf.DUMMYFUNCTION("""COMPUTED_VALUE"""),"2-11")</f>
        <v>2-11</v>
      </c>
      <c r="CH366" s="16">
        <f>IFERROR(__xludf.DUMMYFUNCTION("""COMPUTED_VALUE"""),2.0)</f>
        <v>2</v>
      </c>
      <c r="CI366" s="16">
        <f>IFERROR(__xludf.DUMMYFUNCTION("""COMPUTED_VALUE"""),11.0)</f>
        <v>11</v>
      </c>
      <c r="CJ366" s="16">
        <f>IFERROR(__xludf.DUMMYFUNCTION("""COMPUTED_VALUE"""),3.0)</f>
        <v>3</v>
      </c>
      <c r="CK366" s="16">
        <f>IFERROR(__xludf.DUMMYFUNCTION("""COMPUTED_VALUE"""),2.0)</f>
        <v>2</v>
      </c>
      <c r="CL366" s="16" t="str">
        <f>IFERROR(__xludf.DUMMYFUNCTION("""COMPUTED_VALUE"""),"1WR-C")</f>
        <v>1WR-C</v>
      </c>
      <c r="CM366" s="16" t="str">
        <f>IFERROR(__xludf.DUMMYFUNCTION("""COMPUTED_VALUE"""),"E")</f>
        <v>E</v>
      </c>
      <c r="CN366" s="16">
        <f>IFERROR(__xludf.DUMMYFUNCTION("""COMPUTED_VALUE"""),10.0)</f>
        <v>10</v>
      </c>
      <c r="CO366" s="16" t="str">
        <f>IFERROR(__xludf.DUMMYFUNCTION("""COMPUTED_VALUE"""),"C")</f>
        <v>C</v>
      </c>
      <c r="CP366" s="16" t="str">
        <f>IFERROR(__xludf.DUMMYFUNCTION("""COMPUTED_VALUE"""),"1p70")</f>
        <v>1p70</v>
      </c>
      <c r="CQ366" s="16">
        <f>IFERROR(__xludf.DUMMYFUNCTION("""COMPUTED_VALUE"""),-28.0)</f>
        <v>-28</v>
      </c>
      <c r="CR366" s="16">
        <f>IFERROR(__xludf.DUMMYFUNCTION("""COMPUTED_VALUE"""),6.0)</f>
        <v>6</v>
      </c>
      <c r="CS366" s="16">
        <f>IFERROR(__xludf.DUMMYFUNCTION("""COMPUTED_VALUE"""),-22.0)</f>
        <v>-22</v>
      </c>
      <c r="CT366" s="16">
        <f>IFERROR(__xludf.DUMMYFUNCTION("""COMPUTED_VALUE"""),-28.0)</f>
        <v>-28</v>
      </c>
      <c r="CU366" s="16">
        <f>IFERROR(__xludf.DUMMYFUNCTION("""COMPUTED_VALUE"""),6.0)</f>
        <v>6</v>
      </c>
      <c r="CV366" s="179">
        <f>IFERROR(__xludf.DUMMYFUNCTION("""COMPUTED_VALUE"""),-9.666666666666668)</f>
        <v>-9.666666667</v>
      </c>
      <c r="CW366" s="179">
        <f>IFERROR(__xludf.DUMMYFUNCTION("""COMPUTED_VALUE"""),4.0)</f>
        <v>4</v>
      </c>
      <c r="CX366" s="179">
        <f>IFERROR(__xludf.DUMMYFUNCTION("""COMPUTED_VALUE"""),3.0)</f>
        <v>3</v>
      </c>
      <c r="CY366" s="16" t="str">
        <f>IFERROR(__xludf.DUMMYFUNCTION("""COMPUTED_VALUE"""),"SP")</f>
        <v>SP</v>
      </c>
      <c r="CZ366" s="16" t="str">
        <f>IFERROR(__xludf.DUMMYFUNCTION("""COMPUTED_VALUE"""),"RP")</f>
        <v>RP</v>
      </c>
      <c r="DA366" s="16"/>
      <c r="DB366" s="16"/>
      <c r="DC366" s="16"/>
      <c r="DD366" s="16"/>
      <c r="DE366" s="16"/>
      <c r="DF366" s="16"/>
      <c r="DG366" s="16"/>
      <c r="DH366" s="16"/>
      <c r="DI366" s="16"/>
      <c r="DJ366" s="16"/>
      <c r="DK366" s="16"/>
    </row>
    <row r="367">
      <c r="A367" s="16">
        <f>IFERROR(__xludf.DUMMYFUNCTION("""COMPUTED_VALUE"""),12701.0)</f>
        <v>12701</v>
      </c>
      <c r="B367" s="16" t="str">
        <f>IFERROR(__xludf.DUMMYFUNCTION("""COMPUTED_VALUE"""),"Colin Rea")</f>
        <v>Colin Rea</v>
      </c>
      <c r="C367" s="153">
        <f>IFERROR(__xludf.DUMMYFUNCTION("""COMPUTED_VALUE"""),0.32)</f>
        <v>0.32</v>
      </c>
      <c r="D367" s="16"/>
      <c r="E367" s="16" t="str">
        <f>IFERROR(__xludf.DUMMYFUNCTION("""COMPUTED_VALUE"""),"R")</f>
        <v>R</v>
      </c>
      <c r="F367" s="16">
        <f>IFERROR(__xludf.DUMMYFUNCTION("""COMPUTED_VALUE"""),168.0)</f>
        <v>168</v>
      </c>
      <c r="G367" s="16">
        <f>IFERROR(__xludf.DUMMYFUNCTION("""COMPUTED_VALUE"""),10.0)</f>
        <v>10</v>
      </c>
      <c r="H367" s="16">
        <f>IFERROR(__xludf.DUMMYFUNCTION("""COMPUTED_VALUE"""),19.0)</f>
        <v>19</v>
      </c>
      <c r="I367" s="16">
        <f>IFERROR(__xludf.DUMMYFUNCTION("""COMPUTED_VALUE"""),-2.0)</f>
        <v>-2</v>
      </c>
      <c r="J367" s="16">
        <f>IFERROR(__xludf.DUMMYFUNCTION("""COMPUTED_VALUE"""),-1.0)</f>
        <v>-1</v>
      </c>
      <c r="K367" s="16">
        <f>IFERROR(__xludf.DUMMYFUNCTION("""COMPUTED_VALUE"""),-6.0)</f>
        <v>-6</v>
      </c>
      <c r="L367" s="16">
        <f>IFERROR(__xludf.DUMMYFUNCTION("""COMPUTED_VALUE"""),-3.0)</f>
        <v>-3</v>
      </c>
      <c r="M367" s="16">
        <f>IFERROR(__xludf.DUMMYFUNCTION("""COMPUTED_VALUE"""),4.0)</f>
        <v>4</v>
      </c>
      <c r="N367" s="16">
        <f>IFERROR(__xludf.DUMMYFUNCTION("""COMPUTED_VALUE"""),4.0)</f>
        <v>4</v>
      </c>
      <c r="O367" s="16">
        <f>IFERROR(__xludf.DUMMYFUNCTION("""COMPUTED_VALUE"""),2.0)</f>
        <v>2</v>
      </c>
      <c r="P367" s="16">
        <f>IFERROR(__xludf.DUMMYFUNCTION("""COMPUTED_VALUE"""),2.0)</f>
        <v>2</v>
      </c>
      <c r="Q367" s="16">
        <f>IFERROR(__xludf.DUMMYFUNCTION("""COMPUTED_VALUE"""),2.0)</f>
        <v>2</v>
      </c>
      <c r="R367" s="16">
        <f>IFERROR(__xludf.DUMMYFUNCTION("""COMPUTED_VALUE"""),2.0)</f>
        <v>2</v>
      </c>
      <c r="S367" s="16">
        <f>IFERROR(__xludf.DUMMYFUNCTION("""COMPUTED_VALUE"""),20.6)</f>
        <v>20.6</v>
      </c>
      <c r="T367" s="16">
        <f>IFERROR(__xludf.DUMMYFUNCTION("""COMPUTED_VALUE"""),22.5)</f>
        <v>22.5</v>
      </c>
      <c r="U367" s="16">
        <f>IFERROR(__xludf.DUMMYFUNCTION("""COMPUTED_VALUE"""),-1.0)</f>
        <v>-1</v>
      </c>
      <c r="V367" s="16">
        <f>IFERROR(__xludf.DUMMYFUNCTION("""COMPUTED_VALUE"""),-1.0)</f>
        <v>-1</v>
      </c>
      <c r="W367" s="16">
        <f>IFERROR(__xludf.DUMMYFUNCTION("""COMPUTED_VALUE"""),-2.0)</f>
        <v>-2</v>
      </c>
      <c r="X367" s="16">
        <f>IFERROR(__xludf.DUMMYFUNCTION("""COMPUTED_VALUE"""),-2.0)</f>
        <v>-2</v>
      </c>
      <c r="Y367" s="16">
        <f>IFERROR(__xludf.DUMMYFUNCTION("""COMPUTED_VALUE"""),24.6)</f>
        <v>24.6</v>
      </c>
      <c r="Z367" s="16">
        <f>IFERROR(__xludf.DUMMYFUNCTION("""COMPUTED_VALUE"""),26.5)</f>
        <v>26.5</v>
      </c>
      <c r="AA367" s="16">
        <f>IFERROR(__xludf.DUMMYFUNCTION("""COMPUTED_VALUE"""),0.0)</f>
        <v>0</v>
      </c>
      <c r="AB367" s="16">
        <f>IFERROR(__xludf.DUMMYFUNCTION("""COMPUTED_VALUE"""),0.0)</f>
        <v>0</v>
      </c>
      <c r="AC367" s="16">
        <f>IFERROR(__xludf.DUMMYFUNCTION("""COMPUTED_VALUE"""),0.0)</f>
        <v>0</v>
      </c>
      <c r="AD367" s="16">
        <f>IFERROR(__xludf.DUMMYFUNCTION("""COMPUTED_VALUE"""),0.0)</f>
        <v>0</v>
      </c>
      <c r="AE367" s="16">
        <f>IFERROR(__xludf.DUMMYFUNCTION("""COMPUTED_VALUE"""),36.9)</f>
        <v>36.9</v>
      </c>
      <c r="AF367" s="16">
        <f>IFERROR(__xludf.DUMMYFUNCTION("""COMPUTED_VALUE"""),37.5)</f>
        <v>37.5</v>
      </c>
      <c r="AG367" s="16">
        <f>IFERROR(__xludf.DUMMYFUNCTION("""COMPUTED_VALUE"""),-1.0)</f>
        <v>-1</v>
      </c>
      <c r="AH367" s="16">
        <f>IFERROR(__xludf.DUMMYFUNCTION("""COMPUTED_VALUE"""),-1.0)</f>
        <v>-1</v>
      </c>
      <c r="AI367" s="16">
        <f>IFERROR(__xludf.DUMMYFUNCTION("""COMPUTED_VALUE"""),-2.0)</f>
        <v>-2</v>
      </c>
      <c r="AJ367" s="16">
        <f>IFERROR(__xludf.DUMMYFUNCTION("""COMPUTED_VALUE"""),-2.0)</f>
        <v>-2</v>
      </c>
      <c r="AK367" s="16">
        <f>IFERROR(__xludf.DUMMYFUNCTION("""COMPUTED_VALUE"""),17.400000000000002)</f>
        <v>17.4</v>
      </c>
      <c r="AL367" s="16">
        <f>IFERROR(__xludf.DUMMYFUNCTION("""COMPUTED_VALUE"""),19.5)</f>
        <v>19.5</v>
      </c>
      <c r="AM367" s="16">
        <f>IFERROR(__xludf.DUMMYFUNCTION("""COMPUTED_VALUE"""),-1.0)</f>
        <v>-1</v>
      </c>
      <c r="AN367" s="16">
        <f>IFERROR(__xludf.DUMMYFUNCTION("""COMPUTED_VALUE"""),-1.0)</f>
        <v>-1</v>
      </c>
      <c r="AO367" s="16">
        <f>IFERROR(__xludf.DUMMYFUNCTION("""COMPUTED_VALUE"""),-1.0)</f>
        <v>-1</v>
      </c>
      <c r="AP367" s="16">
        <f>IFERROR(__xludf.DUMMYFUNCTION("""COMPUTED_VALUE"""),-1.0)</f>
        <v>-1</v>
      </c>
      <c r="AQ367" s="16">
        <f>IFERROR(__xludf.DUMMYFUNCTION("""COMPUTED_VALUE"""),24.099999999999998)</f>
        <v>24.1</v>
      </c>
      <c r="AR367" s="16">
        <f>IFERROR(__xludf.DUMMYFUNCTION("""COMPUTED_VALUE"""),25.5)</f>
        <v>25.5</v>
      </c>
      <c r="AS367" s="16">
        <f>IFERROR(__xludf.DUMMYFUNCTION("""COMPUTED_VALUE"""),-1.0)</f>
        <v>-1</v>
      </c>
      <c r="AT367" s="16">
        <f>IFERROR(__xludf.DUMMYFUNCTION("""COMPUTED_VALUE"""),-1.0)</f>
        <v>-1</v>
      </c>
      <c r="AU367" s="16">
        <f>IFERROR(__xludf.DUMMYFUNCTION("""COMPUTED_VALUE"""),-2.0)</f>
        <v>-2</v>
      </c>
      <c r="AV367" s="16">
        <f>IFERROR(__xludf.DUMMYFUNCTION("""COMPUTED_VALUE"""),-2.0)</f>
        <v>-2</v>
      </c>
      <c r="AW367" s="16">
        <f>IFERROR(__xludf.DUMMYFUNCTION("""COMPUTED_VALUE"""),3.2)</f>
        <v>3.2</v>
      </c>
      <c r="AX367" s="16">
        <f>IFERROR(__xludf.DUMMYFUNCTION("""COMPUTED_VALUE"""),3.0)</f>
        <v>3</v>
      </c>
      <c r="AY367" s="16">
        <f>IFERROR(__xludf.DUMMYFUNCTION("""COMPUTED_VALUE"""),-1.0)</f>
        <v>-1</v>
      </c>
      <c r="AZ367" s="16">
        <f>IFERROR(__xludf.DUMMYFUNCTION("""COMPUTED_VALUE"""),-1.0)</f>
        <v>-1</v>
      </c>
      <c r="BA367" s="16">
        <f>IFERROR(__xludf.DUMMYFUNCTION("""COMPUTED_VALUE"""),-5.0)</f>
        <v>-5</v>
      </c>
      <c r="BB367" s="16">
        <f>IFERROR(__xludf.DUMMYFUNCTION("""COMPUTED_VALUE"""),-5.0)</f>
        <v>-5</v>
      </c>
      <c r="BC367" s="16">
        <f>IFERROR(__xludf.DUMMYFUNCTION("""COMPUTED_VALUE"""),5.0)</f>
        <v>5</v>
      </c>
      <c r="BD367" s="16">
        <f>IFERROR(__xludf.DUMMYFUNCTION("""COMPUTED_VALUE"""),4.0)</f>
        <v>4</v>
      </c>
      <c r="BE367" s="16">
        <f>IFERROR(__xludf.DUMMYFUNCTION("""COMPUTED_VALUE"""),5.0)</f>
        <v>5</v>
      </c>
      <c r="BF367" s="16">
        <f>IFERROR(__xludf.DUMMYFUNCTION("""COMPUTED_VALUE"""),4.0)</f>
        <v>4</v>
      </c>
      <c r="BG367" s="16">
        <f>IFERROR(__xludf.DUMMYFUNCTION("""COMPUTED_VALUE"""),-2.0)</f>
        <v>-2</v>
      </c>
      <c r="BH367" s="16">
        <f>IFERROR(__xludf.DUMMYFUNCTION("""COMPUTED_VALUE"""),-1.0)</f>
        <v>-1</v>
      </c>
      <c r="BI367" s="16">
        <f>IFERROR(__xludf.DUMMYFUNCTION("""COMPUTED_VALUE"""),-4.0)</f>
        <v>-4</v>
      </c>
      <c r="BJ367" s="16">
        <f>IFERROR(__xludf.DUMMYFUNCTION("""COMPUTED_VALUE"""),-2.0)</f>
        <v>-2</v>
      </c>
      <c r="BK367" s="16">
        <f>IFERROR(__xludf.DUMMYFUNCTION("""COMPUTED_VALUE"""),5.0)</f>
        <v>5</v>
      </c>
      <c r="BL367" s="16">
        <f>IFERROR(__xludf.DUMMYFUNCTION("""COMPUTED_VALUE"""),5.0)</f>
        <v>5</v>
      </c>
      <c r="BM367" s="16">
        <f>IFERROR(__xludf.DUMMYFUNCTION("""COMPUTED_VALUE"""),0.0)</f>
        <v>0</v>
      </c>
      <c r="BN367" s="16">
        <f>IFERROR(__xludf.DUMMYFUNCTION("""COMPUTED_VALUE"""),0.0)</f>
        <v>0</v>
      </c>
      <c r="BO367" s="16">
        <f>IFERROR(__xludf.DUMMYFUNCTION("""COMPUTED_VALUE"""),0.0)</f>
        <v>0</v>
      </c>
      <c r="BP367" s="16">
        <f>IFERROR(__xludf.DUMMYFUNCTION("""COMPUTED_VALUE"""),0.0)</f>
        <v>0</v>
      </c>
      <c r="BQ367" s="16">
        <f>IFERROR(__xludf.DUMMYFUNCTION("""COMPUTED_VALUE"""),8.0)</f>
        <v>8</v>
      </c>
      <c r="BR367" s="16">
        <f>IFERROR(__xludf.DUMMYFUNCTION("""COMPUTED_VALUE"""),4.0)</f>
        <v>4</v>
      </c>
      <c r="BS367" s="16">
        <f>IFERROR(__xludf.DUMMYFUNCTION("""COMPUTED_VALUE"""),2.0)</f>
        <v>2</v>
      </c>
      <c r="BT367" s="16">
        <f>IFERROR(__xludf.DUMMYFUNCTION("""COMPUTED_VALUE"""),-1.0)</f>
        <v>-1</v>
      </c>
      <c r="BU367" s="16">
        <f>IFERROR(__xludf.DUMMYFUNCTION("""COMPUTED_VALUE"""),4.0)</f>
        <v>4</v>
      </c>
      <c r="BV367" s="16">
        <f>IFERROR(__xludf.DUMMYFUNCTION("""COMPUTED_VALUE"""),-2.0)</f>
        <v>-2</v>
      </c>
      <c r="BW367" s="16">
        <f>IFERROR(__xludf.DUMMYFUNCTION("""COMPUTED_VALUE"""),1.0)</f>
        <v>1</v>
      </c>
      <c r="BX367" s="16">
        <f>IFERROR(__xludf.DUMMYFUNCTION("""COMPUTED_VALUE"""),1.0)</f>
        <v>1</v>
      </c>
      <c r="BY367" s="16" t="str">
        <f>IFERROR(__xludf.DUMMYFUNCTION("""COMPUTED_VALUE"""),"S(5) R(4) C(0)")</f>
        <v>S(5) R(4) C(0)</v>
      </c>
      <c r="BZ367" s="16" t="str">
        <f>IFERROR(__xludf.DUMMYFUNCTION("""COMPUTED_VALUE"""),"S(5) R(4) C(0)")</f>
        <v>S(5) R(4) C(0)</v>
      </c>
      <c r="CA367" s="16" t="str">
        <f>IFERROR(__xludf.DUMMYFUNCTION("""COMPUTED_VALUE"""),"S(5)")</f>
        <v>S(5)</v>
      </c>
      <c r="CB367" s="16" t="str">
        <f>IFERROR(__xludf.DUMMYFUNCTION("""COMPUTED_VALUE"""),"R(4)")</f>
        <v>R(4)</v>
      </c>
      <c r="CC367" s="16" t="str">
        <f>IFERROR(__xludf.DUMMYFUNCTION("""COMPUTED_VALUE"""),"C(0)")</f>
        <v>C(0)</v>
      </c>
      <c r="CD367" s="16">
        <f>IFERROR(__xludf.DUMMYFUNCTION("""COMPUTED_VALUE"""),5.0)</f>
        <v>5</v>
      </c>
      <c r="CE367" s="16">
        <f>IFERROR(__xludf.DUMMYFUNCTION("""COMPUTED_VALUE"""),4.0)</f>
        <v>4</v>
      </c>
      <c r="CF367" s="16">
        <f>IFERROR(__xludf.DUMMYFUNCTION("""COMPUTED_VALUE"""),0.0)</f>
        <v>0</v>
      </c>
      <c r="CG367" s="16" t="str">
        <f>IFERROR(__xludf.DUMMYFUNCTION("""COMPUTED_VALUE"""),"4-43")</f>
        <v>4-43</v>
      </c>
      <c r="CH367" s="16">
        <f>IFERROR(__xludf.DUMMYFUNCTION("""COMPUTED_VALUE"""),4.0)</f>
        <v>4</v>
      </c>
      <c r="CI367" s="16">
        <f>IFERROR(__xludf.DUMMYFUNCTION("""COMPUTED_VALUE"""),43.0)</f>
        <v>43</v>
      </c>
      <c r="CJ367" s="16">
        <f>IFERROR(__xludf.DUMMYFUNCTION("""COMPUTED_VALUE"""),0.0)</f>
        <v>0</v>
      </c>
      <c r="CK367" s="16">
        <f>IFERROR(__xludf.DUMMYFUNCTION("""COMPUTED_VALUE"""),2.0)</f>
        <v>2</v>
      </c>
      <c r="CL367" s="16" t="str">
        <f>IFERROR(__xludf.DUMMYFUNCTION("""COMPUTED_VALUE"""),"1WR-C")</f>
        <v>1WR-C</v>
      </c>
      <c r="CM367" s="16" t="str">
        <f>IFERROR(__xludf.DUMMYFUNCTION("""COMPUTED_VALUE"""),"E")</f>
        <v>E</v>
      </c>
      <c r="CN367" s="16">
        <f>IFERROR(__xludf.DUMMYFUNCTION("""COMPUTED_VALUE"""),10.0)</f>
        <v>10</v>
      </c>
      <c r="CO367" s="16" t="str">
        <f>IFERROR(__xludf.DUMMYFUNCTION("""COMPUTED_VALUE"""),"C")</f>
        <v>C</v>
      </c>
      <c r="CP367" s="16" t="str">
        <f>IFERROR(__xludf.DUMMYFUNCTION("""COMPUTED_VALUE"""),"1p70")</f>
        <v>1p70</v>
      </c>
      <c r="CQ367" s="16">
        <f>IFERROR(__xludf.DUMMYFUNCTION("""COMPUTED_VALUE"""),-16.0)</f>
        <v>-16</v>
      </c>
      <c r="CR367" s="16">
        <f>IFERROR(__xludf.DUMMYFUNCTION("""COMPUTED_VALUE"""),-17.0)</f>
        <v>-17</v>
      </c>
      <c r="CS367" s="16">
        <f>IFERROR(__xludf.DUMMYFUNCTION("""COMPUTED_VALUE"""),-33.0)</f>
        <v>-33</v>
      </c>
      <c r="CT367" s="16">
        <f>IFERROR(__xludf.DUMMYFUNCTION("""COMPUTED_VALUE"""),-16.0)</f>
        <v>-16</v>
      </c>
      <c r="CU367" s="16">
        <f>IFERROR(__xludf.DUMMYFUNCTION("""COMPUTED_VALUE"""),-17.0)</f>
        <v>-17</v>
      </c>
      <c r="CV367" s="179">
        <f>IFERROR(__xludf.DUMMYFUNCTION("""COMPUTED_VALUE"""),-9.666666666666668)</f>
        <v>-9.666666667</v>
      </c>
      <c r="CW367" s="179">
        <f>IFERROR(__xludf.DUMMYFUNCTION("""COMPUTED_VALUE"""),4.0)</f>
        <v>4</v>
      </c>
      <c r="CX367" s="179">
        <f>IFERROR(__xludf.DUMMYFUNCTION("""COMPUTED_VALUE"""),3.0)</f>
        <v>3</v>
      </c>
      <c r="CY367" s="16" t="str">
        <f>IFERROR(__xludf.DUMMYFUNCTION("""COMPUTED_VALUE"""),"SP")</f>
        <v>SP</v>
      </c>
      <c r="CZ367" s="16" t="str">
        <f>IFERROR(__xludf.DUMMYFUNCTION("""COMPUTED_VALUE"""),"RP")</f>
        <v>RP</v>
      </c>
      <c r="DA367" s="16" t="str">
        <f>IFERROR(__xludf.DUMMYFUNCTION("""COMPUTED_VALUE"""),"CP")</f>
        <v>CP</v>
      </c>
      <c r="DB367" s="16"/>
      <c r="DC367" s="16"/>
      <c r="DD367" s="16"/>
      <c r="DE367" s="16"/>
      <c r="DF367" s="16"/>
      <c r="DG367" s="16"/>
      <c r="DH367" s="16"/>
      <c r="DI367" s="16"/>
      <c r="DJ367" s="16"/>
      <c r="DK367" s="16"/>
    </row>
    <row r="368">
      <c r="A368" s="16">
        <f>IFERROR(__xludf.DUMMYFUNCTION("""COMPUTED_VALUE"""),13217.0)</f>
        <v>13217</v>
      </c>
      <c r="B368" s="16" t="str">
        <f>IFERROR(__xludf.DUMMYFUNCTION("""COMPUTED_VALUE"""),"Miles Mikolas")</f>
        <v>Miles Mikolas</v>
      </c>
      <c r="C368" s="153">
        <f>IFERROR(__xludf.DUMMYFUNCTION("""COMPUTED_VALUE"""),0.0)</f>
        <v>0</v>
      </c>
      <c r="D368" s="16"/>
      <c r="E368" s="16" t="str">
        <f>IFERROR(__xludf.DUMMYFUNCTION("""COMPUTED_VALUE"""),"R")</f>
        <v>R</v>
      </c>
      <c r="F368" s="16">
        <f>IFERROR(__xludf.DUMMYFUNCTION("""COMPUTED_VALUE"""),172.0)</f>
        <v>172</v>
      </c>
      <c r="G368" s="16">
        <f>IFERROR(__xludf.DUMMYFUNCTION("""COMPUTED_VALUE"""),15.0)</f>
        <v>15</v>
      </c>
      <c r="H368" s="16">
        <f>IFERROR(__xludf.DUMMYFUNCTION("""COMPUTED_VALUE"""),9.0)</f>
        <v>9</v>
      </c>
      <c r="I368" s="16">
        <f>IFERROR(__xludf.DUMMYFUNCTION("""COMPUTED_VALUE"""),-2.0)</f>
        <v>-2</v>
      </c>
      <c r="J368" s="16">
        <f>IFERROR(__xludf.DUMMYFUNCTION("""COMPUTED_VALUE"""),-2.0)</f>
        <v>-2</v>
      </c>
      <c r="K368" s="16">
        <f>IFERROR(__xludf.DUMMYFUNCTION("""COMPUTED_VALUE"""),-6.0)</f>
        <v>-6</v>
      </c>
      <c r="L368" s="16">
        <f>IFERROR(__xludf.DUMMYFUNCTION("""COMPUTED_VALUE"""),-6.0)</f>
        <v>-6</v>
      </c>
      <c r="M368" s="16">
        <f>IFERROR(__xludf.DUMMYFUNCTION("""COMPUTED_VALUE"""),0.0)</f>
        <v>0</v>
      </c>
      <c r="N368" s="16">
        <f>IFERROR(__xludf.DUMMYFUNCTION("""COMPUTED_VALUE"""),0.0)</f>
        <v>0</v>
      </c>
      <c r="O368" s="16">
        <f>IFERROR(__xludf.DUMMYFUNCTION("""COMPUTED_VALUE"""),3.0)</f>
        <v>3</v>
      </c>
      <c r="P368" s="16">
        <f>IFERROR(__xludf.DUMMYFUNCTION("""COMPUTED_VALUE"""),3.0)</f>
        <v>3</v>
      </c>
      <c r="Q368" s="16">
        <f>IFERROR(__xludf.DUMMYFUNCTION("""COMPUTED_VALUE"""),3.0)</f>
        <v>3</v>
      </c>
      <c r="R368" s="16">
        <f>IFERROR(__xludf.DUMMYFUNCTION("""COMPUTED_VALUE"""),3.0)</f>
        <v>3</v>
      </c>
      <c r="S368" s="16">
        <f>IFERROR(__xludf.DUMMYFUNCTION("""COMPUTED_VALUE"""),25.5)</f>
        <v>25.5</v>
      </c>
      <c r="T368" s="16">
        <f>IFERROR(__xludf.DUMMYFUNCTION("""COMPUTED_VALUE"""),25.8)</f>
        <v>25.8</v>
      </c>
      <c r="U368" s="16">
        <f>IFERROR(__xludf.DUMMYFUNCTION("""COMPUTED_VALUE"""),-2.0)</f>
        <v>-2</v>
      </c>
      <c r="V368" s="16">
        <f>IFERROR(__xludf.DUMMYFUNCTION("""COMPUTED_VALUE"""),-2.0)</f>
        <v>-2</v>
      </c>
      <c r="W368" s="16">
        <f>IFERROR(__xludf.DUMMYFUNCTION("""COMPUTED_VALUE"""),-4.0)</f>
        <v>-4</v>
      </c>
      <c r="X368" s="16">
        <f>IFERROR(__xludf.DUMMYFUNCTION("""COMPUTED_VALUE"""),-4.0)</f>
        <v>-4</v>
      </c>
      <c r="Y368" s="16">
        <f>IFERROR(__xludf.DUMMYFUNCTION("""COMPUTED_VALUE"""),25.5)</f>
        <v>25.5</v>
      </c>
      <c r="Z368" s="16">
        <f>IFERROR(__xludf.DUMMYFUNCTION("""COMPUTED_VALUE"""),25.8)</f>
        <v>25.8</v>
      </c>
      <c r="AA368" s="16">
        <f>IFERROR(__xludf.DUMMYFUNCTION("""COMPUTED_VALUE"""),0.0)</f>
        <v>0</v>
      </c>
      <c r="AB368" s="16">
        <f>IFERROR(__xludf.DUMMYFUNCTION("""COMPUTED_VALUE"""),0.0)</f>
        <v>0</v>
      </c>
      <c r="AC368" s="16">
        <f>IFERROR(__xludf.DUMMYFUNCTION("""COMPUTED_VALUE"""),0.0)</f>
        <v>0</v>
      </c>
      <c r="AD368" s="16">
        <f>IFERROR(__xludf.DUMMYFUNCTION("""COMPUTED_VALUE"""),0.0)</f>
        <v>0</v>
      </c>
      <c r="AE368" s="16">
        <f>IFERROR(__xludf.DUMMYFUNCTION("""COMPUTED_VALUE"""),45.3)</f>
        <v>45.3</v>
      </c>
      <c r="AF368" s="16">
        <f>IFERROR(__xludf.DUMMYFUNCTION("""COMPUTED_VALUE"""),46.5)</f>
        <v>46.5</v>
      </c>
      <c r="AG368" s="16">
        <f>IFERROR(__xludf.DUMMYFUNCTION("""COMPUTED_VALUE"""),-2.0)</f>
        <v>-2</v>
      </c>
      <c r="AH368" s="16">
        <f>IFERROR(__xludf.DUMMYFUNCTION("""COMPUTED_VALUE"""),-2.0)</f>
        <v>-2</v>
      </c>
      <c r="AI368" s="16">
        <f>IFERROR(__xludf.DUMMYFUNCTION("""COMPUTED_VALUE"""),-4.0)</f>
        <v>-4</v>
      </c>
      <c r="AJ368" s="16">
        <f>IFERROR(__xludf.DUMMYFUNCTION("""COMPUTED_VALUE"""),-4.0)</f>
        <v>-4</v>
      </c>
      <c r="AK368" s="16">
        <f>IFERROR(__xludf.DUMMYFUNCTION("""COMPUTED_VALUE"""),23.9)</f>
        <v>23.9</v>
      </c>
      <c r="AL368" s="16">
        <f>IFERROR(__xludf.DUMMYFUNCTION("""COMPUTED_VALUE"""),22.2)</f>
        <v>22.2</v>
      </c>
      <c r="AM368" s="16">
        <f>IFERROR(__xludf.DUMMYFUNCTION("""COMPUTED_VALUE"""),-2.0)</f>
        <v>-2</v>
      </c>
      <c r="AN368" s="16">
        <f>IFERROR(__xludf.DUMMYFUNCTION("""COMPUTED_VALUE"""),-2.0)</f>
        <v>-2</v>
      </c>
      <c r="AO368" s="16">
        <f>IFERROR(__xludf.DUMMYFUNCTION("""COMPUTED_VALUE"""),-2.0)</f>
        <v>-2</v>
      </c>
      <c r="AP368" s="16">
        <f>IFERROR(__xludf.DUMMYFUNCTION("""COMPUTED_VALUE"""),-2.0)</f>
        <v>-2</v>
      </c>
      <c r="AQ368" s="16">
        <f>IFERROR(__xludf.DUMMYFUNCTION("""COMPUTED_VALUE"""),38.9)</f>
        <v>38.9</v>
      </c>
      <c r="AR368" s="16">
        <f>IFERROR(__xludf.DUMMYFUNCTION("""COMPUTED_VALUE"""),32.1)</f>
        <v>32.1</v>
      </c>
      <c r="AS368" s="16">
        <f>IFERROR(__xludf.DUMMYFUNCTION("""COMPUTED_VALUE"""),-2.0)</f>
        <v>-2</v>
      </c>
      <c r="AT368" s="16">
        <f>IFERROR(__xludf.DUMMYFUNCTION("""COMPUTED_VALUE"""),-2.0)</f>
        <v>-2</v>
      </c>
      <c r="AU368" s="16">
        <f>IFERROR(__xludf.DUMMYFUNCTION("""COMPUTED_VALUE"""),-4.0)</f>
        <v>-4</v>
      </c>
      <c r="AV368" s="16">
        <f>IFERROR(__xludf.DUMMYFUNCTION("""COMPUTED_VALUE"""),-4.0)</f>
        <v>-4</v>
      </c>
      <c r="AW368" s="16">
        <f>IFERROR(__xludf.DUMMYFUNCTION("""COMPUTED_VALUE"""),1.6)</f>
        <v>1.6</v>
      </c>
      <c r="AX368" s="16">
        <f>IFERROR(__xludf.DUMMYFUNCTION("""COMPUTED_VALUE"""),3.6)</f>
        <v>3.6</v>
      </c>
      <c r="AY368" s="16">
        <f>IFERROR(__xludf.DUMMYFUNCTION("""COMPUTED_VALUE"""),1.0)</f>
        <v>1</v>
      </c>
      <c r="AZ368" s="16">
        <f>IFERROR(__xludf.DUMMYFUNCTION("""COMPUTED_VALUE"""),-2.0)</f>
        <v>-2</v>
      </c>
      <c r="BA368" s="16">
        <f>IFERROR(__xludf.DUMMYFUNCTION("""COMPUTED_VALUE"""),5.0)</f>
        <v>5</v>
      </c>
      <c r="BB368" s="16">
        <f>IFERROR(__xludf.DUMMYFUNCTION("""COMPUTED_VALUE"""),-10.0)</f>
        <v>-10</v>
      </c>
      <c r="BC368" s="16">
        <f>IFERROR(__xludf.DUMMYFUNCTION("""COMPUTED_VALUE"""),3.0)</f>
        <v>3</v>
      </c>
      <c r="BD368" s="16">
        <f>IFERROR(__xludf.DUMMYFUNCTION("""COMPUTED_VALUE"""),6.0)</f>
        <v>6</v>
      </c>
      <c r="BE368" s="16">
        <f>IFERROR(__xludf.DUMMYFUNCTION("""COMPUTED_VALUE"""),3.0)</f>
        <v>3</v>
      </c>
      <c r="BF368" s="16">
        <f>IFERROR(__xludf.DUMMYFUNCTION("""COMPUTED_VALUE"""),6.0)</f>
        <v>6</v>
      </c>
      <c r="BG368" s="16">
        <f>IFERROR(__xludf.DUMMYFUNCTION("""COMPUTED_VALUE"""),0.0)</f>
        <v>0</v>
      </c>
      <c r="BH368" s="16">
        <f>IFERROR(__xludf.DUMMYFUNCTION("""COMPUTED_VALUE"""),-2.0)</f>
        <v>-2</v>
      </c>
      <c r="BI368" s="16">
        <f>IFERROR(__xludf.DUMMYFUNCTION("""COMPUTED_VALUE"""),0.0)</f>
        <v>0</v>
      </c>
      <c r="BJ368" s="16">
        <f>IFERROR(__xludf.DUMMYFUNCTION("""COMPUTED_VALUE"""),-4.0)</f>
        <v>-4</v>
      </c>
      <c r="BK368" s="16">
        <f>IFERROR(__xludf.DUMMYFUNCTION("""COMPUTED_VALUE"""),5.0)</f>
        <v>5</v>
      </c>
      <c r="BL368" s="16">
        <f>IFERROR(__xludf.DUMMYFUNCTION("""COMPUTED_VALUE"""),5.0)</f>
        <v>5</v>
      </c>
      <c r="BM368" s="16">
        <f>IFERROR(__xludf.DUMMYFUNCTION("""COMPUTED_VALUE"""),0.0)</f>
        <v>0</v>
      </c>
      <c r="BN368" s="16">
        <f>IFERROR(__xludf.DUMMYFUNCTION("""COMPUTED_VALUE"""),0.0)</f>
        <v>0</v>
      </c>
      <c r="BO368" s="16">
        <f>IFERROR(__xludf.DUMMYFUNCTION("""COMPUTED_VALUE"""),0.0)</f>
        <v>0</v>
      </c>
      <c r="BP368" s="16">
        <f>IFERROR(__xludf.DUMMYFUNCTION("""COMPUTED_VALUE"""),0.0)</f>
        <v>0</v>
      </c>
      <c r="BQ368" s="16">
        <f>IFERROR(__xludf.DUMMYFUNCTION("""COMPUTED_VALUE"""),12.0)</f>
        <v>12</v>
      </c>
      <c r="BR368" s="16">
        <f>IFERROR(__xludf.DUMMYFUNCTION("""COMPUTED_VALUE"""),12.0)</f>
        <v>12</v>
      </c>
      <c r="BS368" s="16">
        <f>IFERROR(__xludf.DUMMYFUNCTION("""COMPUTED_VALUE"""),3.0)</f>
        <v>3</v>
      </c>
      <c r="BT368" s="16">
        <f>IFERROR(__xludf.DUMMYFUNCTION("""COMPUTED_VALUE"""),3.0)</f>
        <v>3</v>
      </c>
      <c r="BU368" s="16">
        <f>IFERROR(__xludf.DUMMYFUNCTION("""COMPUTED_VALUE"""),6.0)</f>
        <v>6</v>
      </c>
      <c r="BV368" s="16">
        <f>IFERROR(__xludf.DUMMYFUNCTION("""COMPUTED_VALUE"""),6.0)</f>
        <v>6</v>
      </c>
      <c r="BW368" s="16">
        <f>IFERROR(__xludf.DUMMYFUNCTION("""COMPUTED_VALUE"""),-2.0)</f>
        <v>-2</v>
      </c>
      <c r="BX368" s="16">
        <f>IFERROR(__xludf.DUMMYFUNCTION("""COMPUTED_VALUE"""),-2.0)</f>
        <v>-2</v>
      </c>
      <c r="BY368" s="16" t="str">
        <f>IFERROR(__xludf.DUMMYFUNCTION("""COMPUTED_VALUE"""),"S(6)")</f>
        <v>S(6)</v>
      </c>
      <c r="BZ368" s="16" t="str">
        <f>IFERROR(__xludf.DUMMYFUNCTION("""COMPUTED_VALUE"""),"S(6)")</f>
        <v>S(6)</v>
      </c>
      <c r="CA368" s="16" t="str">
        <f>IFERROR(__xludf.DUMMYFUNCTION("""COMPUTED_VALUE"""),"S(6)")</f>
        <v>S(6)</v>
      </c>
      <c r="CB368" s="16"/>
      <c r="CC368" s="16"/>
      <c r="CD368" s="16">
        <f>IFERROR(__xludf.DUMMYFUNCTION("""COMPUTED_VALUE"""),6.0)</f>
        <v>6</v>
      </c>
      <c r="CE368" s="16"/>
      <c r="CF368" s="16"/>
      <c r="CG368" s="16" t="str">
        <f>IFERROR(__xludf.DUMMYFUNCTION("""COMPUTED_VALUE"""),"5-17")</f>
        <v>5-17</v>
      </c>
      <c r="CH368" s="16">
        <f>IFERROR(__xludf.DUMMYFUNCTION("""COMPUTED_VALUE"""),5.0)</f>
        <v>5</v>
      </c>
      <c r="CI368" s="16">
        <f>IFERROR(__xludf.DUMMYFUNCTION("""COMPUTED_VALUE"""),17.0)</f>
        <v>17</v>
      </c>
      <c r="CJ368" s="16">
        <f>IFERROR(__xludf.DUMMYFUNCTION("""COMPUTED_VALUE"""),2.0)</f>
        <v>2</v>
      </c>
      <c r="CK368" s="16">
        <f>IFERROR(__xludf.DUMMYFUNCTION("""COMPUTED_VALUE"""),0.0)</f>
        <v>0</v>
      </c>
      <c r="CL368" s="16" t="str">
        <f>IFERROR(__xludf.DUMMYFUNCTION("""COMPUTED_VALUE"""),"1WR-C")</f>
        <v>1WR-C</v>
      </c>
      <c r="CM368" s="16" t="str">
        <f>IFERROR(__xludf.DUMMYFUNCTION("""COMPUTED_VALUE"""),"E")</f>
        <v>E</v>
      </c>
      <c r="CN368" s="16">
        <f>IFERROR(__xludf.DUMMYFUNCTION("""COMPUTED_VALUE"""),10.0)</f>
        <v>10</v>
      </c>
      <c r="CO368" s="16" t="str">
        <f>IFERROR(__xludf.DUMMYFUNCTION("""COMPUTED_VALUE"""),"C")</f>
        <v>C</v>
      </c>
      <c r="CP368" s="16" t="str">
        <f>IFERROR(__xludf.DUMMYFUNCTION("""COMPUTED_VALUE"""),"0p72")</f>
        <v>0p72</v>
      </c>
      <c r="CQ368" s="16">
        <f>IFERROR(__xludf.DUMMYFUNCTION("""COMPUTED_VALUE"""),-6.0)</f>
        <v>-6</v>
      </c>
      <c r="CR368" s="16">
        <f>IFERROR(__xludf.DUMMYFUNCTION("""COMPUTED_VALUE"""),-25.0)</f>
        <v>-25</v>
      </c>
      <c r="CS368" s="16">
        <f>IFERROR(__xludf.DUMMYFUNCTION("""COMPUTED_VALUE"""),-31.0)</f>
        <v>-31</v>
      </c>
      <c r="CT368" s="16">
        <f>IFERROR(__xludf.DUMMYFUNCTION("""COMPUTED_VALUE"""),-6.0)</f>
        <v>-6</v>
      </c>
      <c r="CU368" s="16">
        <f>IFERROR(__xludf.DUMMYFUNCTION("""COMPUTED_VALUE"""),-25.0)</f>
        <v>-25</v>
      </c>
      <c r="CV368" s="179">
        <f>IFERROR(__xludf.DUMMYFUNCTION("""COMPUTED_VALUE"""),-9.666666666666668)</f>
        <v>-9.666666667</v>
      </c>
      <c r="CW368" s="179">
        <f>IFERROR(__xludf.DUMMYFUNCTION("""COMPUTED_VALUE"""),5.0)</f>
        <v>5</v>
      </c>
      <c r="CX368" s="179">
        <f>IFERROR(__xludf.DUMMYFUNCTION("""COMPUTED_VALUE"""),4.0)</f>
        <v>4</v>
      </c>
      <c r="CY368" s="16" t="str">
        <f>IFERROR(__xludf.DUMMYFUNCTION("""COMPUTED_VALUE"""),"SP")</f>
        <v>SP</v>
      </c>
      <c r="CZ368" s="16"/>
      <c r="DA368" s="16"/>
      <c r="DB368" s="16"/>
      <c r="DC368" s="16"/>
      <c r="DD368" s="16"/>
      <c r="DE368" s="16"/>
      <c r="DF368" s="16"/>
      <c r="DG368" s="16"/>
      <c r="DH368" s="16"/>
      <c r="DI368" s="16"/>
      <c r="DJ368" s="16"/>
      <c r="DK368" s="16"/>
    </row>
    <row r="369">
      <c r="A369" s="16">
        <f>IFERROR(__xludf.DUMMYFUNCTION("""COMPUTED_VALUE"""),13279.0)</f>
        <v>13279</v>
      </c>
      <c r="B369" s="16" t="str">
        <f>IFERROR(__xludf.DUMMYFUNCTION("""COMPUTED_VALUE"""),"Paul Sewald")</f>
        <v>Paul Sewald</v>
      </c>
      <c r="C369" s="153">
        <f>IFERROR(__xludf.DUMMYFUNCTION("""COMPUTED_VALUE"""),0.14)</f>
        <v>0.14</v>
      </c>
      <c r="D369" s="16"/>
      <c r="E369" s="16" t="str">
        <f>IFERROR(__xludf.DUMMYFUNCTION("""COMPUTED_VALUE"""),"R")</f>
        <v>R</v>
      </c>
      <c r="F369" s="16">
        <f>IFERROR(__xludf.DUMMYFUNCTION("""COMPUTED_VALUE"""),40.0)</f>
        <v>40</v>
      </c>
      <c r="G369" s="16">
        <f>IFERROR(__xludf.DUMMYFUNCTION("""COMPUTED_VALUE"""),33.0)</f>
        <v>33</v>
      </c>
      <c r="H369" s="16">
        <f>IFERROR(__xludf.DUMMYFUNCTION("""COMPUTED_VALUE"""),29.0)</f>
        <v>29</v>
      </c>
      <c r="I369" s="16">
        <f>IFERROR(__xludf.DUMMYFUNCTION("""COMPUTED_VALUE"""),1.0)</f>
        <v>1</v>
      </c>
      <c r="J369" s="16">
        <f>IFERROR(__xludf.DUMMYFUNCTION("""COMPUTED_VALUE"""),0.0)</f>
        <v>0</v>
      </c>
      <c r="K369" s="16">
        <f>IFERROR(__xludf.DUMMYFUNCTION("""COMPUTED_VALUE"""),3.0)</f>
        <v>3</v>
      </c>
      <c r="L369" s="16">
        <f>IFERROR(__xludf.DUMMYFUNCTION("""COMPUTED_VALUE"""),0.0)</f>
        <v>0</v>
      </c>
      <c r="M369" s="16">
        <f>IFERROR(__xludf.DUMMYFUNCTION("""COMPUTED_VALUE"""),12.0)</f>
        <v>12</v>
      </c>
      <c r="N369" s="16">
        <f>IFERROR(__xludf.DUMMYFUNCTION("""COMPUTED_VALUE"""),0.0)</f>
        <v>0</v>
      </c>
      <c r="O369" s="16">
        <f>IFERROR(__xludf.DUMMYFUNCTION("""COMPUTED_VALUE"""),-1.0)</f>
        <v>-1</v>
      </c>
      <c r="P369" s="16">
        <f>IFERROR(__xludf.DUMMYFUNCTION("""COMPUTED_VALUE"""),3.0)</f>
        <v>3</v>
      </c>
      <c r="Q369" s="16">
        <f>IFERROR(__xludf.DUMMYFUNCTION("""COMPUTED_VALUE"""),-1.0)</f>
        <v>-1</v>
      </c>
      <c r="R369" s="16">
        <f>IFERROR(__xludf.DUMMYFUNCTION("""COMPUTED_VALUE"""),3.0)</f>
        <v>3</v>
      </c>
      <c r="S369" s="16">
        <f>IFERROR(__xludf.DUMMYFUNCTION("""COMPUTED_VALUE"""),23.1)</f>
        <v>23.1</v>
      </c>
      <c r="T369" s="16">
        <f>IFERROR(__xludf.DUMMYFUNCTION("""COMPUTED_VALUE"""),11.3)</f>
        <v>11.3</v>
      </c>
      <c r="U369" s="16">
        <f>IFERROR(__xludf.DUMMYFUNCTION("""COMPUTED_VALUE"""),-1.0)</f>
        <v>-1</v>
      </c>
      <c r="V369" s="16">
        <f>IFERROR(__xludf.DUMMYFUNCTION("""COMPUTED_VALUE"""),1.0)</f>
        <v>1</v>
      </c>
      <c r="W369" s="16">
        <f>IFERROR(__xludf.DUMMYFUNCTION("""COMPUTED_VALUE"""),-2.0)</f>
        <v>-2</v>
      </c>
      <c r="X369" s="16">
        <f>IFERROR(__xludf.DUMMYFUNCTION("""COMPUTED_VALUE"""),2.0)</f>
        <v>2</v>
      </c>
      <c r="Y369" s="16">
        <f>IFERROR(__xludf.DUMMYFUNCTION("""COMPUTED_VALUE"""),35.1)</f>
        <v>35.1</v>
      </c>
      <c r="Z369" s="16">
        <f>IFERROR(__xludf.DUMMYFUNCTION("""COMPUTED_VALUE"""),11.3)</f>
        <v>11.3</v>
      </c>
      <c r="AA369" s="16">
        <f>IFERROR(__xludf.DUMMYFUNCTION("""COMPUTED_VALUE"""),-1.0)</f>
        <v>-1</v>
      </c>
      <c r="AB369" s="16">
        <f>IFERROR(__xludf.DUMMYFUNCTION("""COMPUTED_VALUE"""),2.0)</f>
        <v>2</v>
      </c>
      <c r="AC369" s="16">
        <f>IFERROR(__xludf.DUMMYFUNCTION("""COMPUTED_VALUE"""),-5.0)</f>
        <v>-5</v>
      </c>
      <c r="AD369" s="16">
        <f>IFERROR(__xludf.DUMMYFUNCTION("""COMPUTED_VALUE"""),10.0)</f>
        <v>10</v>
      </c>
      <c r="AE369" s="16">
        <f>IFERROR(__xludf.DUMMYFUNCTION("""COMPUTED_VALUE"""),47.2)</f>
        <v>47.2</v>
      </c>
      <c r="AF369" s="16">
        <f>IFERROR(__xludf.DUMMYFUNCTION("""COMPUTED_VALUE"""),29.7)</f>
        <v>29.7</v>
      </c>
      <c r="AG369" s="16">
        <f>IFERROR(__xludf.DUMMYFUNCTION("""COMPUTED_VALUE"""),-2.0)</f>
        <v>-2</v>
      </c>
      <c r="AH369" s="16">
        <f>IFERROR(__xludf.DUMMYFUNCTION("""COMPUTED_VALUE"""),0.0)</f>
        <v>0</v>
      </c>
      <c r="AI369" s="16">
        <f>IFERROR(__xludf.DUMMYFUNCTION("""COMPUTED_VALUE"""),-4.0)</f>
        <v>-4</v>
      </c>
      <c r="AJ369" s="16">
        <f>IFERROR(__xludf.DUMMYFUNCTION("""COMPUTED_VALUE"""),0.0)</f>
        <v>0</v>
      </c>
      <c r="AK369" s="16">
        <f>IFERROR(__xludf.DUMMYFUNCTION("""COMPUTED_VALUE"""),21.5)</f>
        <v>21.5</v>
      </c>
      <c r="AL369" s="16">
        <f>IFERROR(__xludf.DUMMYFUNCTION("""COMPUTED_VALUE"""),7.500000000000001)</f>
        <v>7.5</v>
      </c>
      <c r="AM369" s="16">
        <f>IFERROR(__xludf.DUMMYFUNCTION("""COMPUTED_VALUE"""),-2.0)</f>
        <v>-2</v>
      </c>
      <c r="AN369" s="16">
        <f>IFERROR(__xludf.DUMMYFUNCTION("""COMPUTED_VALUE"""),1.0)</f>
        <v>1</v>
      </c>
      <c r="AO369" s="16">
        <f>IFERROR(__xludf.DUMMYFUNCTION("""COMPUTED_VALUE"""),-2.0)</f>
        <v>-2</v>
      </c>
      <c r="AP369" s="16">
        <f>IFERROR(__xludf.DUMMYFUNCTION("""COMPUTED_VALUE"""),1.0)</f>
        <v>1</v>
      </c>
      <c r="AQ369" s="16">
        <f>IFERROR(__xludf.DUMMYFUNCTION("""COMPUTED_VALUE"""),40.800000000000004)</f>
        <v>40.8</v>
      </c>
      <c r="AR369" s="16">
        <f>IFERROR(__xludf.DUMMYFUNCTION("""COMPUTED_VALUE"""),14.5)</f>
        <v>14.5</v>
      </c>
      <c r="AS369" s="16">
        <f>IFERROR(__xludf.DUMMYFUNCTION("""COMPUTED_VALUE"""),-2.0)</f>
        <v>-2</v>
      </c>
      <c r="AT369" s="16">
        <f>IFERROR(__xludf.DUMMYFUNCTION("""COMPUTED_VALUE"""),1.0)</f>
        <v>1</v>
      </c>
      <c r="AU369" s="16">
        <f>IFERROR(__xludf.DUMMYFUNCTION("""COMPUTED_VALUE"""),-4.0)</f>
        <v>-4</v>
      </c>
      <c r="AV369" s="16">
        <f>IFERROR(__xludf.DUMMYFUNCTION("""COMPUTED_VALUE"""),2.0)</f>
        <v>2</v>
      </c>
      <c r="AW369" s="16">
        <f>IFERROR(__xludf.DUMMYFUNCTION("""COMPUTED_VALUE"""),1.6)</f>
        <v>1.6</v>
      </c>
      <c r="AX369" s="16">
        <f>IFERROR(__xludf.DUMMYFUNCTION("""COMPUTED_VALUE"""),3.8)</f>
        <v>3.8</v>
      </c>
      <c r="AY369" s="16">
        <f>IFERROR(__xludf.DUMMYFUNCTION("""COMPUTED_VALUE"""),1.0)</f>
        <v>1</v>
      </c>
      <c r="AZ369" s="16">
        <f>IFERROR(__xludf.DUMMYFUNCTION("""COMPUTED_VALUE"""),-2.0)</f>
        <v>-2</v>
      </c>
      <c r="BA369" s="16">
        <f>IFERROR(__xludf.DUMMYFUNCTION("""COMPUTED_VALUE"""),5.0)</f>
        <v>5</v>
      </c>
      <c r="BB369" s="16">
        <f>IFERROR(__xludf.DUMMYFUNCTION("""COMPUTED_VALUE"""),-10.0)</f>
        <v>-10</v>
      </c>
      <c r="BC369" s="16">
        <f>IFERROR(__xludf.DUMMYFUNCTION("""COMPUTED_VALUE"""),3.0)</f>
        <v>3</v>
      </c>
      <c r="BD369" s="16"/>
      <c r="BE369" s="16">
        <f>IFERROR(__xludf.DUMMYFUNCTION("""COMPUTED_VALUE"""),3.0)</f>
        <v>3</v>
      </c>
      <c r="BF369" s="16">
        <f>IFERROR(__xludf.DUMMYFUNCTION("""COMPUTED_VALUE"""),7.0)</f>
        <v>7</v>
      </c>
      <c r="BG369" s="16">
        <f>IFERROR(__xludf.DUMMYFUNCTION("""COMPUTED_VALUE"""),0.0)</f>
        <v>0</v>
      </c>
      <c r="BH369" s="16">
        <f>IFERROR(__xludf.DUMMYFUNCTION("""COMPUTED_VALUE"""),-3.0)</f>
        <v>-3</v>
      </c>
      <c r="BI369" s="16">
        <f>IFERROR(__xludf.DUMMYFUNCTION("""COMPUTED_VALUE"""),0.0)</f>
        <v>0</v>
      </c>
      <c r="BJ369" s="16">
        <f>IFERROR(__xludf.DUMMYFUNCTION("""COMPUTED_VALUE"""),-6.0)</f>
        <v>-6</v>
      </c>
      <c r="BK369" s="16">
        <f>IFERROR(__xludf.DUMMYFUNCTION("""COMPUTED_VALUE"""),5.0)</f>
        <v>5</v>
      </c>
      <c r="BL369" s="16">
        <f>IFERROR(__xludf.DUMMYFUNCTION("""COMPUTED_VALUE"""),0.0)</f>
        <v>0</v>
      </c>
      <c r="BM369" s="16">
        <f>IFERROR(__xludf.DUMMYFUNCTION("""COMPUTED_VALUE"""),0.0)</f>
        <v>0</v>
      </c>
      <c r="BN369" s="16">
        <f>IFERROR(__xludf.DUMMYFUNCTION("""COMPUTED_VALUE"""),1.0)</f>
        <v>1</v>
      </c>
      <c r="BO369" s="16">
        <f>IFERROR(__xludf.DUMMYFUNCTION("""COMPUTED_VALUE"""),0.0)</f>
        <v>0</v>
      </c>
      <c r="BP369" s="16">
        <f>IFERROR(__xludf.DUMMYFUNCTION("""COMPUTED_VALUE"""),1.0)</f>
        <v>1</v>
      </c>
      <c r="BQ369" s="16">
        <f>IFERROR(__xludf.DUMMYFUNCTION("""COMPUTED_VALUE"""),0.0)</f>
        <v>0</v>
      </c>
      <c r="BR369" s="16">
        <f>IFERROR(__xludf.DUMMYFUNCTION("""COMPUTED_VALUE"""),1.0)</f>
        <v>1</v>
      </c>
      <c r="BS369" s="16">
        <f>IFERROR(__xludf.DUMMYFUNCTION("""COMPUTED_VALUE"""),-3.0)</f>
        <v>-3</v>
      </c>
      <c r="BT369" s="16">
        <f>IFERROR(__xludf.DUMMYFUNCTION("""COMPUTED_VALUE"""),-2.0)</f>
        <v>-2</v>
      </c>
      <c r="BU369" s="16">
        <f>IFERROR(__xludf.DUMMYFUNCTION("""COMPUTED_VALUE"""),-6.0)</f>
        <v>-6</v>
      </c>
      <c r="BV369" s="16">
        <f>IFERROR(__xludf.DUMMYFUNCTION("""COMPUTED_VALUE"""),-4.0)</f>
        <v>-4</v>
      </c>
      <c r="BW369" s="16">
        <f>IFERROR(__xludf.DUMMYFUNCTION("""COMPUTED_VALUE"""),1.0)</f>
        <v>1</v>
      </c>
      <c r="BX369" s="16">
        <f>IFERROR(__xludf.DUMMYFUNCTION("""COMPUTED_VALUE"""),1.0)</f>
        <v>1</v>
      </c>
      <c r="BY369" s="16" t="str">
        <f>IFERROR(__xludf.DUMMYFUNCTION("""COMPUTED_VALUE"""),"R(1) C(5)")</f>
        <v>R(1) C(5)</v>
      </c>
      <c r="BZ369" s="16" t="str">
        <f>IFERROR(__xludf.DUMMYFUNCTION("""COMPUTED_VALUE"""),"R(1) C(5)")</f>
        <v>R(1) C(5)</v>
      </c>
      <c r="CA369" s="16" t="str">
        <f>IFERROR(__xludf.DUMMYFUNCTION("""COMPUTED_VALUE"""),"R(1)")</f>
        <v>R(1)</v>
      </c>
      <c r="CB369" s="16" t="str">
        <f>IFERROR(__xludf.DUMMYFUNCTION("""COMPUTED_VALUE"""),"C(5)")</f>
        <v>C(5)</v>
      </c>
      <c r="CC369" s="16"/>
      <c r="CD369" s="16"/>
      <c r="CE369" s="16">
        <f>IFERROR(__xludf.DUMMYFUNCTION("""COMPUTED_VALUE"""),1.0)</f>
        <v>1</v>
      </c>
      <c r="CF369" s="16">
        <f>IFERROR(__xludf.DUMMYFUNCTION("""COMPUTED_VALUE"""),5.0)</f>
        <v>5</v>
      </c>
      <c r="CG369" s="16" t="str">
        <f>IFERROR(__xludf.DUMMYFUNCTION("""COMPUTED_VALUE"""),"3-0")</f>
        <v>3-0</v>
      </c>
      <c r="CH369" s="16">
        <f>IFERROR(__xludf.DUMMYFUNCTION("""COMPUTED_VALUE"""),3.0)</f>
        <v>3</v>
      </c>
      <c r="CI369" s="16">
        <f>IFERROR(__xludf.DUMMYFUNCTION("""COMPUTED_VALUE"""),0.0)</f>
        <v>0</v>
      </c>
      <c r="CJ369" s="16">
        <f>IFERROR(__xludf.DUMMYFUNCTION("""COMPUTED_VALUE"""),0.0)</f>
        <v>0</v>
      </c>
      <c r="CK369" s="16">
        <f>IFERROR(__xludf.DUMMYFUNCTION("""COMPUTED_VALUE"""),0.0)</f>
        <v>0</v>
      </c>
      <c r="CL369" s="16" t="str">
        <f>IFERROR(__xludf.DUMMYFUNCTION("""COMPUTED_VALUE"""),"1WR-C")</f>
        <v>1WR-C</v>
      </c>
      <c r="CM369" s="16" t="str">
        <f>IFERROR(__xludf.DUMMYFUNCTION("""COMPUTED_VALUE"""),"E")</f>
        <v>E</v>
      </c>
      <c r="CN369" s="16">
        <f>IFERROR(__xludf.DUMMYFUNCTION("""COMPUTED_VALUE"""),10.0)</f>
        <v>10</v>
      </c>
      <c r="CO369" s="16" t="str">
        <f>IFERROR(__xludf.DUMMYFUNCTION("""COMPUTED_VALUE"""),"C")</f>
        <v>C</v>
      </c>
      <c r="CP369" s="16" t="str">
        <f>IFERROR(__xludf.DUMMYFUNCTION("""COMPUTED_VALUE"""),"5p40")</f>
        <v>5p40</v>
      </c>
      <c r="CQ369" s="16">
        <f>IFERROR(__xludf.DUMMYFUNCTION("""COMPUTED_VALUE"""),-16.0)</f>
        <v>-16</v>
      </c>
      <c r="CR369" s="16">
        <f>IFERROR(__xludf.DUMMYFUNCTION("""COMPUTED_VALUE"""),-1.0)</f>
        <v>-1</v>
      </c>
      <c r="CS369" s="16">
        <f>IFERROR(__xludf.DUMMYFUNCTION("""COMPUTED_VALUE"""),-17.0)</f>
        <v>-17</v>
      </c>
      <c r="CT369" s="16">
        <f>IFERROR(__xludf.DUMMYFUNCTION("""COMPUTED_VALUE"""),-16.0)</f>
        <v>-16</v>
      </c>
      <c r="CU369" s="16">
        <f>IFERROR(__xludf.DUMMYFUNCTION("""COMPUTED_VALUE"""),-1.0)</f>
        <v>-1</v>
      </c>
      <c r="CV369" s="179">
        <f>IFERROR(__xludf.DUMMYFUNCTION("""COMPUTED_VALUE"""),-10.0)</f>
        <v>-10</v>
      </c>
      <c r="CW369" s="179">
        <f>IFERROR(__xludf.DUMMYFUNCTION("""COMPUTED_VALUE"""),0.0)</f>
        <v>0</v>
      </c>
      <c r="CX369" s="179">
        <f>IFERROR(__xludf.DUMMYFUNCTION("""COMPUTED_VALUE"""),1.0)</f>
        <v>1</v>
      </c>
      <c r="CY369" s="16" t="str">
        <f>IFERROR(__xludf.DUMMYFUNCTION("""COMPUTED_VALUE"""),"RP")</f>
        <v>RP</v>
      </c>
      <c r="CZ369" s="16" t="str">
        <f>IFERROR(__xludf.DUMMYFUNCTION("""COMPUTED_VALUE"""),"CP")</f>
        <v>CP</v>
      </c>
      <c r="DA369" s="16"/>
      <c r="DB369" s="16"/>
      <c r="DC369" s="16"/>
      <c r="DD369" s="16"/>
      <c r="DE369" s="16"/>
      <c r="DF369" s="16"/>
      <c r="DG369" s="16"/>
      <c r="DH369" s="16"/>
      <c r="DI369" s="16"/>
      <c r="DJ369" s="16"/>
      <c r="DK369" s="16"/>
    </row>
    <row r="370">
      <c r="A370" s="16">
        <f>IFERROR(__xludf.DUMMYFUNCTION("""COMPUTED_VALUE"""),13447.0)</f>
        <v>13447</v>
      </c>
      <c r="B370" s="16" t="str">
        <f>IFERROR(__xludf.DUMMYFUNCTION("""COMPUTED_VALUE"""),"Tyler Anderson")</f>
        <v>Tyler Anderson</v>
      </c>
      <c r="C370" s="153">
        <f>IFERROR(__xludf.DUMMYFUNCTION("""COMPUTED_VALUE"""),0.94)</f>
        <v>0.94</v>
      </c>
      <c r="D370" s="16"/>
      <c r="E370" s="16" t="str">
        <f>IFERROR(__xludf.DUMMYFUNCTION("""COMPUTED_VALUE"""),"L")</f>
        <v>L</v>
      </c>
      <c r="F370" s="16">
        <f>IFERROR(__xludf.DUMMYFUNCTION("""COMPUTED_VALUE"""),179.0)</f>
        <v>179</v>
      </c>
      <c r="G370" s="16">
        <f>IFERROR(__xludf.DUMMYFUNCTION("""COMPUTED_VALUE"""),13.0)</f>
        <v>13</v>
      </c>
      <c r="H370" s="16">
        <f>IFERROR(__xludf.DUMMYFUNCTION("""COMPUTED_VALUE"""),17.0)</f>
        <v>17</v>
      </c>
      <c r="I370" s="16">
        <f>IFERROR(__xludf.DUMMYFUNCTION("""COMPUTED_VALUE"""),-2.0)</f>
        <v>-2</v>
      </c>
      <c r="J370" s="16">
        <f>IFERROR(__xludf.DUMMYFUNCTION("""COMPUTED_VALUE"""),-1.0)</f>
        <v>-1</v>
      </c>
      <c r="K370" s="16">
        <f>IFERROR(__xludf.DUMMYFUNCTION("""COMPUTED_VALUE"""),-6.0)</f>
        <v>-6</v>
      </c>
      <c r="L370" s="16">
        <f>IFERROR(__xludf.DUMMYFUNCTION("""COMPUTED_VALUE"""),-3.0)</f>
        <v>-3</v>
      </c>
      <c r="M370" s="16">
        <f>IFERROR(__xludf.DUMMYFUNCTION("""COMPUTED_VALUE"""),17.0)</f>
        <v>17</v>
      </c>
      <c r="N370" s="16">
        <f>IFERROR(__xludf.DUMMYFUNCTION("""COMPUTED_VALUE"""),10.0)</f>
        <v>10</v>
      </c>
      <c r="O370" s="16">
        <f>IFERROR(__xludf.DUMMYFUNCTION("""COMPUTED_VALUE"""),-2.0)</f>
        <v>-2</v>
      </c>
      <c r="P370" s="16">
        <f>IFERROR(__xludf.DUMMYFUNCTION("""COMPUTED_VALUE"""),-1.0)</f>
        <v>-1</v>
      </c>
      <c r="Q370" s="16">
        <f>IFERROR(__xludf.DUMMYFUNCTION("""COMPUTED_VALUE"""),-2.0)</f>
        <v>-2</v>
      </c>
      <c r="R370" s="16">
        <f>IFERROR(__xludf.DUMMYFUNCTION("""COMPUTED_VALUE"""),-1.0)</f>
        <v>-1</v>
      </c>
      <c r="S370" s="16">
        <f>IFERROR(__xludf.DUMMYFUNCTION("""COMPUTED_VALUE"""),10.3)</f>
        <v>10.3</v>
      </c>
      <c r="T370" s="16">
        <f>IFERROR(__xludf.DUMMYFUNCTION("""COMPUTED_VALUE"""),14.2)</f>
        <v>14.2</v>
      </c>
      <c r="U370" s="16">
        <f>IFERROR(__xludf.DUMMYFUNCTION("""COMPUTED_VALUE"""),1.0)</f>
        <v>1</v>
      </c>
      <c r="V370" s="16">
        <f>IFERROR(__xludf.DUMMYFUNCTION("""COMPUTED_VALUE"""),0.0)</f>
        <v>0</v>
      </c>
      <c r="W370" s="16">
        <f>IFERROR(__xludf.DUMMYFUNCTION("""COMPUTED_VALUE"""),2.0)</f>
        <v>2</v>
      </c>
      <c r="X370" s="16">
        <f>IFERROR(__xludf.DUMMYFUNCTION("""COMPUTED_VALUE"""),0.0)</f>
        <v>0</v>
      </c>
      <c r="Y370" s="16">
        <f>IFERROR(__xludf.DUMMYFUNCTION("""COMPUTED_VALUE"""),27.3)</f>
        <v>27.3</v>
      </c>
      <c r="Z370" s="16">
        <f>IFERROR(__xludf.DUMMYFUNCTION("""COMPUTED_VALUE"""),24.2)</f>
        <v>24.2</v>
      </c>
      <c r="AA370" s="16">
        <f>IFERROR(__xludf.DUMMYFUNCTION("""COMPUTED_VALUE"""),0.0)</f>
        <v>0</v>
      </c>
      <c r="AB370" s="16">
        <f>IFERROR(__xludf.DUMMYFUNCTION("""COMPUTED_VALUE"""),0.0)</f>
        <v>0</v>
      </c>
      <c r="AC370" s="16">
        <f>IFERROR(__xludf.DUMMYFUNCTION("""COMPUTED_VALUE"""),0.0)</f>
        <v>0</v>
      </c>
      <c r="AD370" s="16">
        <f>IFERROR(__xludf.DUMMYFUNCTION("""COMPUTED_VALUE"""),0.0)</f>
        <v>0</v>
      </c>
      <c r="AE370" s="16">
        <f>IFERROR(__xludf.DUMMYFUNCTION("""COMPUTED_VALUE"""),26.8)</f>
        <v>26.8</v>
      </c>
      <c r="AF370" s="16">
        <f>IFERROR(__xludf.DUMMYFUNCTION("""COMPUTED_VALUE"""),24.2)</f>
        <v>24.2</v>
      </c>
      <c r="AG370" s="16">
        <f>IFERROR(__xludf.DUMMYFUNCTION("""COMPUTED_VALUE"""),0.0)</f>
        <v>0</v>
      </c>
      <c r="AH370" s="16">
        <f>IFERROR(__xludf.DUMMYFUNCTION("""COMPUTED_VALUE"""),0.0)</f>
        <v>0</v>
      </c>
      <c r="AI370" s="16">
        <f>IFERROR(__xludf.DUMMYFUNCTION("""COMPUTED_VALUE"""),0.0)</f>
        <v>0</v>
      </c>
      <c r="AJ370" s="16">
        <f>IFERROR(__xludf.DUMMYFUNCTION("""COMPUTED_VALUE"""),0.0)</f>
        <v>0</v>
      </c>
      <c r="AK370" s="16">
        <f>IFERROR(__xludf.DUMMYFUNCTION("""COMPUTED_VALUE"""),6.300000000000001)</f>
        <v>6.3</v>
      </c>
      <c r="AL370" s="16">
        <f>IFERROR(__xludf.DUMMYFUNCTION("""COMPUTED_VALUE"""),12.799999999999999)</f>
        <v>12.8</v>
      </c>
      <c r="AM370" s="16">
        <f>IFERROR(__xludf.DUMMYFUNCTION("""COMPUTED_VALUE"""),1.0)</f>
        <v>1</v>
      </c>
      <c r="AN370" s="16">
        <f>IFERROR(__xludf.DUMMYFUNCTION("""COMPUTED_VALUE"""),0.0)</f>
        <v>0</v>
      </c>
      <c r="AO370" s="16">
        <f>IFERROR(__xludf.DUMMYFUNCTION("""COMPUTED_VALUE"""),1.0)</f>
        <v>1</v>
      </c>
      <c r="AP370" s="16">
        <f>IFERROR(__xludf.DUMMYFUNCTION("""COMPUTED_VALUE"""),0.0)</f>
        <v>0</v>
      </c>
      <c r="AQ370" s="16">
        <f>IFERROR(__xludf.DUMMYFUNCTION("""COMPUTED_VALUE"""),10.8)</f>
        <v>10.8</v>
      </c>
      <c r="AR370" s="16">
        <f>IFERROR(__xludf.DUMMYFUNCTION("""COMPUTED_VALUE"""),18.6)</f>
        <v>18.6</v>
      </c>
      <c r="AS370" s="16">
        <f>IFERROR(__xludf.DUMMYFUNCTION("""COMPUTED_VALUE"""),1.0)</f>
        <v>1</v>
      </c>
      <c r="AT370" s="16">
        <f>IFERROR(__xludf.DUMMYFUNCTION("""COMPUTED_VALUE"""),0.0)</f>
        <v>0</v>
      </c>
      <c r="AU370" s="16">
        <f>IFERROR(__xludf.DUMMYFUNCTION("""COMPUTED_VALUE"""),2.0)</f>
        <v>2</v>
      </c>
      <c r="AV370" s="16">
        <f>IFERROR(__xludf.DUMMYFUNCTION("""COMPUTED_VALUE"""),0.0)</f>
        <v>0</v>
      </c>
      <c r="AW370" s="16">
        <f>IFERROR(__xludf.DUMMYFUNCTION("""COMPUTED_VALUE"""),4.0)</f>
        <v>4</v>
      </c>
      <c r="AX370" s="16">
        <f>IFERROR(__xludf.DUMMYFUNCTION("""COMPUTED_VALUE"""),1.4)</f>
        <v>1.4</v>
      </c>
      <c r="AY370" s="16">
        <f>IFERROR(__xludf.DUMMYFUNCTION("""COMPUTED_VALUE"""),-2.0)</f>
        <v>-2</v>
      </c>
      <c r="AZ370" s="16">
        <f>IFERROR(__xludf.DUMMYFUNCTION("""COMPUTED_VALUE"""),1.0)</f>
        <v>1</v>
      </c>
      <c r="BA370" s="16">
        <f>IFERROR(__xludf.DUMMYFUNCTION("""COMPUTED_VALUE"""),-10.0)</f>
        <v>-10</v>
      </c>
      <c r="BB370" s="16">
        <f>IFERROR(__xludf.DUMMYFUNCTION("""COMPUTED_VALUE"""),5.0)</f>
        <v>5</v>
      </c>
      <c r="BC370" s="16"/>
      <c r="BD370" s="16">
        <f>IFERROR(__xludf.DUMMYFUNCTION("""COMPUTED_VALUE"""),2.0)</f>
        <v>2</v>
      </c>
      <c r="BE370" s="16">
        <f>IFERROR(__xludf.DUMMYFUNCTION("""COMPUTED_VALUE"""),6.0)</f>
        <v>6</v>
      </c>
      <c r="BF370" s="16">
        <f>IFERROR(__xludf.DUMMYFUNCTION("""COMPUTED_VALUE"""),2.0)</f>
        <v>2</v>
      </c>
      <c r="BG370" s="16">
        <f>IFERROR(__xludf.DUMMYFUNCTION("""COMPUTED_VALUE"""),-3.0)</f>
        <v>-3</v>
      </c>
      <c r="BH370" s="16">
        <f>IFERROR(__xludf.DUMMYFUNCTION("""COMPUTED_VALUE"""),1.0)</f>
        <v>1</v>
      </c>
      <c r="BI370" s="16">
        <f>IFERROR(__xludf.DUMMYFUNCTION("""COMPUTED_VALUE"""),-6.0)</f>
        <v>-6</v>
      </c>
      <c r="BJ370" s="16">
        <f>IFERROR(__xludf.DUMMYFUNCTION("""COMPUTED_VALUE"""),2.0)</f>
        <v>2</v>
      </c>
      <c r="BK370" s="16">
        <f>IFERROR(__xludf.DUMMYFUNCTION("""COMPUTED_VALUE"""),0.0)</f>
        <v>0</v>
      </c>
      <c r="BL370" s="16">
        <f>IFERROR(__xludf.DUMMYFUNCTION("""COMPUTED_VALUE"""),5.0)</f>
        <v>5</v>
      </c>
      <c r="BM370" s="16">
        <f>IFERROR(__xludf.DUMMYFUNCTION("""COMPUTED_VALUE"""),1.0)</f>
        <v>1</v>
      </c>
      <c r="BN370" s="16">
        <f>IFERROR(__xludf.DUMMYFUNCTION("""COMPUTED_VALUE"""),0.0)</f>
        <v>0</v>
      </c>
      <c r="BO370" s="16">
        <f>IFERROR(__xludf.DUMMYFUNCTION("""COMPUTED_VALUE"""),1.0)</f>
        <v>1</v>
      </c>
      <c r="BP370" s="16">
        <f>IFERROR(__xludf.DUMMYFUNCTION("""COMPUTED_VALUE"""),0.0)</f>
        <v>0</v>
      </c>
      <c r="BQ370" s="16">
        <f>IFERROR(__xludf.DUMMYFUNCTION("""COMPUTED_VALUE"""),0.0)</f>
        <v>0</v>
      </c>
      <c r="BR370" s="16">
        <f>IFERROR(__xludf.DUMMYFUNCTION("""COMPUTED_VALUE"""),0.0)</f>
        <v>0</v>
      </c>
      <c r="BS370" s="16">
        <f>IFERROR(__xludf.DUMMYFUNCTION("""COMPUTED_VALUE"""),-3.0)</f>
        <v>-3</v>
      </c>
      <c r="BT370" s="16">
        <f>IFERROR(__xludf.DUMMYFUNCTION("""COMPUTED_VALUE"""),-3.0)</f>
        <v>-3</v>
      </c>
      <c r="BU370" s="16">
        <f>IFERROR(__xludf.DUMMYFUNCTION("""COMPUTED_VALUE"""),-6.0)</f>
        <v>-6</v>
      </c>
      <c r="BV370" s="16">
        <f>IFERROR(__xludf.DUMMYFUNCTION("""COMPUTED_VALUE"""),-6.0)</f>
        <v>-6</v>
      </c>
      <c r="BW370" s="16">
        <f>IFERROR(__xludf.DUMMYFUNCTION("""COMPUTED_VALUE"""),0.0)</f>
        <v>0</v>
      </c>
      <c r="BX370" s="16">
        <f>IFERROR(__xludf.DUMMYFUNCTION("""COMPUTED_VALUE"""),0.0)</f>
        <v>0</v>
      </c>
      <c r="BY370" s="16" t="str">
        <f>IFERROR(__xludf.DUMMYFUNCTION("""COMPUTED_VALUE"""),"S(6)")</f>
        <v>S(6)</v>
      </c>
      <c r="BZ370" s="16" t="str">
        <f>IFERROR(__xludf.DUMMYFUNCTION("""COMPUTED_VALUE"""),"S(6)")</f>
        <v>S(6)</v>
      </c>
      <c r="CA370" s="16" t="str">
        <f>IFERROR(__xludf.DUMMYFUNCTION("""COMPUTED_VALUE"""),"S(6)")</f>
        <v>S(6)</v>
      </c>
      <c r="CB370" s="16"/>
      <c r="CC370" s="16"/>
      <c r="CD370" s="16">
        <f>IFERROR(__xludf.DUMMYFUNCTION("""COMPUTED_VALUE"""),6.0)</f>
        <v>6</v>
      </c>
      <c r="CE370" s="16"/>
      <c r="CF370" s="16"/>
      <c r="CG370" s="16" t="str">
        <f>IFERROR(__xludf.DUMMYFUNCTION("""COMPUTED_VALUE"""),"2-8")</f>
        <v>2-8</v>
      </c>
      <c r="CH370" s="16">
        <f>IFERROR(__xludf.DUMMYFUNCTION("""COMPUTED_VALUE"""),2.0)</f>
        <v>2</v>
      </c>
      <c r="CI370" s="16">
        <f>IFERROR(__xludf.DUMMYFUNCTION("""COMPUTED_VALUE"""),8.0)</f>
        <v>8</v>
      </c>
      <c r="CJ370" s="16">
        <f>IFERROR(__xludf.DUMMYFUNCTION("""COMPUTED_VALUE"""),2.0)</f>
        <v>2</v>
      </c>
      <c r="CK370" s="16">
        <f>IFERROR(__xludf.DUMMYFUNCTION("""COMPUTED_VALUE"""),3.0)</f>
        <v>3</v>
      </c>
      <c r="CL370" s="16" t="str">
        <f>IFERROR(__xludf.DUMMYFUNCTION("""COMPUTED_VALUE"""),"1WL-C")</f>
        <v>1WL-C</v>
      </c>
      <c r="CM370" s="16" t="str">
        <f>IFERROR(__xludf.DUMMYFUNCTION("""COMPUTED_VALUE"""),"E")</f>
        <v>E</v>
      </c>
      <c r="CN370" s="16">
        <f>IFERROR(__xludf.DUMMYFUNCTION("""COMPUTED_VALUE"""),10.0)</f>
        <v>10</v>
      </c>
      <c r="CO370" s="16" t="str">
        <f>IFERROR(__xludf.DUMMYFUNCTION("""COMPUTED_VALUE"""),"C")</f>
        <v>C</v>
      </c>
      <c r="CP370" s="16" t="str">
        <f>IFERROR(__xludf.DUMMYFUNCTION("""COMPUTED_VALUE"""),"1p70")</f>
        <v>1p70</v>
      </c>
      <c r="CQ370" s="16">
        <f>IFERROR(__xludf.DUMMYFUNCTION("""COMPUTED_VALUE"""),-24.0)</f>
        <v>-24</v>
      </c>
      <c r="CR370" s="16">
        <f>IFERROR(__xludf.DUMMYFUNCTION("""COMPUTED_VALUE"""),-3.0)</f>
        <v>-3</v>
      </c>
      <c r="CS370" s="16">
        <f>IFERROR(__xludf.DUMMYFUNCTION("""COMPUTED_VALUE"""),-27.0)</f>
        <v>-27</v>
      </c>
      <c r="CT370" s="16">
        <f>IFERROR(__xludf.DUMMYFUNCTION("""COMPUTED_VALUE"""),-24.0)</f>
        <v>-24</v>
      </c>
      <c r="CU370" s="16">
        <f>IFERROR(__xludf.DUMMYFUNCTION("""COMPUTED_VALUE"""),-3.0)</f>
        <v>-3</v>
      </c>
      <c r="CV370" s="179">
        <f>IFERROR(__xludf.DUMMYFUNCTION("""COMPUTED_VALUE"""),-10.0)</f>
        <v>-10</v>
      </c>
      <c r="CW370" s="179">
        <f>IFERROR(__xludf.DUMMYFUNCTION("""COMPUTED_VALUE"""),4.0)</f>
        <v>4</v>
      </c>
      <c r="CX370" s="179">
        <f>IFERROR(__xludf.DUMMYFUNCTION("""COMPUTED_VALUE"""),3.0)</f>
        <v>3</v>
      </c>
      <c r="CY370" s="16" t="str">
        <f>IFERROR(__xludf.DUMMYFUNCTION("""COMPUTED_VALUE"""),"SP")</f>
        <v>SP</v>
      </c>
      <c r="CZ370" s="16"/>
      <c r="DA370" s="16"/>
      <c r="DB370" s="16"/>
      <c r="DC370" s="16"/>
      <c r="DD370" s="16"/>
      <c r="DE370" s="16"/>
      <c r="DF370" s="16"/>
      <c r="DG370" s="16"/>
      <c r="DH370" s="16"/>
      <c r="DI370" s="16"/>
      <c r="DJ370" s="16"/>
      <c r="DK370" s="16"/>
    </row>
    <row r="371">
      <c r="A371" s="16">
        <f>IFERROR(__xludf.DUMMYFUNCTION("""COMPUTED_VALUE"""),13245.0)</f>
        <v>13245</v>
      </c>
      <c r="B371" s="16" t="str">
        <f>IFERROR(__xludf.DUMMYFUNCTION("""COMPUTED_VALUE"""),"Nick Mears")</f>
        <v>Nick Mears</v>
      </c>
      <c r="C371" s="153">
        <f>IFERROR(__xludf.DUMMYFUNCTION("""COMPUTED_VALUE"""),0.0)</f>
        <v>0</v>
      </c>
      <c r="D371" s="16"/>
      <c r="E371" s="16" t="str">
        <f>IFERROR(__xludf.DUMMYFUNCTION("""COMPUTED_VALUE"""),"R")</f>
        <v>R</v>
      </c>
      <c r="F371" s="16">
        <f>IFERROR(__xludf.DUMMYFUNCTION("""COMPUTED_VALUE"""),58.0)</f>
        <v>58</v>
      </c>
      <c r="G371" s="16">
        <f>IFERROR(__xludf.DUMMYFUNCTION("""COMPUTED_VALUE"""),32.0)</f>
        <v>32</v>
      </c>
      <c r="H371" s="16">
        <f>IFERROR(__xludf.DUMMYFUNCTION("""COMPUTED_VALUE"""),37.0)</f>
        <v>37</v>
      </c>
      <c r="I371" s="16">
        <f>IFERROR(__xludf.DUMMYFUNCTION("""COMPUTED_VALUE"""),1.0)</f>
        <v>1</v>
      </c>
      <c r="J371" s="16">
        <f>IFERROR(__xludf.DUMMYFUNCTION("""COMPUTED_VALUE"""),1.0)</f>
        <v>1</v>
      </c>
      <c r="K371" s="16">
        <f>IFERROR(__xludf.DUMMYFUNCTION("""COMPUTED_VALUE"""),3.0)</f>
        <v>3</v>
      </c>
      <c r="L371" s="16">
        <f>IFERROR(__xludf.DUMMYFUNCTION("""COMPUTED_VALUE"""),3.0)</f>
        <v>3</v>
      </c>
      <c r="M371" s="16">
        <f>IFERROR(__xludf.DUMMYFUNCTION("""COMPUTED_VALUE"""),7.0)</f>
        <v>7</v>
      </c>
      <c r="N371" s="16">
        <f>IFERROR(__xludf.DUMMYFUNCTION("""COMPUTED_VALUE"""),14.0)</f>
        <v>14</v>
      </c>
      <c r="O371" s="16">
        <f>IFERROR(__xludf.DUMMYFUNCTION("""COMPUTED_VALUE"""),1.0)</f>
        <v>1</v>
      </c>
      <c r="P371" s="16">
        <f>IFERROR(__xludf.DUMMYFUNCTION("""COMPUTED_VALUE"""),-2.0)</f>
        <v>-2</v>
      </c>
      <c r="Q371" s="16">
        <f>IFERROR(__xludf.DUMMYFUNCTION("""COMPUTED_VALUE"""),1.0)</f>
        <v>1</v>
      </c>
      <c r="R371" s="16">
        <f>IFERROR(__xludf.DUMMYFUNCTION("""COMPUTED_VALUE"""),-2.0)</f>
        <v>-2</v>
      </c>
      <c r="S371" s="16">
        <f>IFERROR(__xludf.DUMMYFUNCTION("""COMPUTED_VALUE"""),29.8)</f>
        <v>29.8</v>
      </c>
      <c r="T371" s="16">
        <f>IFERROR(__xludf.DUMMYFUNCTION("""COMPUTED_VALUE"""),18.3)</f>
        <v>18.3</v>
      </c>
      <c r="U371" s="16">
        <f>IFERROR(__xludf.DUMMYFUNCTION("""COMPUTED_VALUE"""),-2.0)</f>
        <v>-2</v>
      </c>
      <c r="V371" s="16">
        <f>IFERROR(__xludf.DUMMYFUNCTION("""COMPUTED_VALUE"""),0.0)</f>
        <v>0</v>
      </c>
      <c r="W371" s="16">
        <f>IFERROR(__xludf.DUMMYFUNCTION("""COMPUTED_VALUE"""),-4.0)</f>
        <v>-4</v>
      </c>
      <c r="X371" s="16">
        <f>IFERROR(__xludf.DUMMYFUNCTION("""COMPUTED_VALUE"""),0.0)</f>
        <v>0</v>
      </c>
      <c r="Y371" s="16">
        <f>IFERROR(__xludf.DUMMYFUNCTION("""COMPUTED_VALUE"""),36.8)</f>
        <v>36.8</v>
      </c>
      <c r="Z371" s="16">
        <f>IFERROR(__xludf.DUMMYFUNCTION("""COMPUTED_VALUE"""),32.3)</f>
        <v>32.3</v>
      </c>
      <c r="AA371" s="16">
        <f>IFERROR(__xludf.DUMMYFUNCTION("""COMPUTED_VALUE"""),-2.0)</f>
        <v>-2</v>
      </c>
      <c r="AB371" s="16">
        <f>IFERROR(__xludf.DUMMYFUNCTION("""COMPUTED_VALUE"""),-1.0)</f>
        <v>-1</v>
      </c>
      <c r="AC371" s="16">
        <f>IFERROR(__xludf.DUMMYFUNCTION("""COMPUTED_VALUE"""),-10.0)</f>
        <v>-10</v>
      </c>
      <c r="AD371" s="16">
        <f>IFERROR(__xludf.DUMMYFUNCTION("""COMPUTED_VALUE"""),-5.0)</f>
        <v>-5</v>
      </c>
      <c r="AE371" s="16">
        <f>IFERROR(__xludf.DUMMYFUNCTION("""COMPUTED_VALUE"""),33.8)</f>
        <v>33.8</v>
      </c>
      <c r="AF371" s="16">
        <f>IFERROR(__xludf.DUMMYFUNCTION("""COMPUTED_VALUE"""),35.9)</f>
        <v>35.9</v>
      </c>
      <c r="AG371" s="16">
        <f>IFERROR(__xludf.DUMMYFUNCTION("""COMPUTED_VALUE"""),-1.0)</f>
        <v>-1</v>
      </c>
      <c r="AH371" s="16">
        <f>IFERROR(__xludf.DUMMYFUNCTION("""COMPUTED_VALUE"""),-1.0)</f>
        <v>-1</v>
      </c>
      <c r="AI371" s="16">
        <f>IFERROR(__xludf.DUMMYFUNCTION("""COMPUTED_VALUE"""),-2.0)</f>
        <v>-2</v>
      </c>
      <c r="AJ371" s="16">
        <f>IFERROR(__xludf.DUMMYFUNCTION("""COMPUTED_VALUE"""),-2.0)</f>
        <v>-2</v>
      </c>
      <c r="AK371" s="16">
        <f>IFERROR(__xludf.DUMMYFUNCTION("""COMPUTED_VALUE"""),28.400000000000002)</f>
        <v>28.4</v>
      </c>
      <c r="AL371" s="16">
        <f>IFERROR(__xludf.DUMMYFUNCTION("""COMPUTED_VALUE"""),16.7)</f>
        <v>16.7</v>
      </c>
      <c r="AM371" s="16">
        <f>IFERROR(__xludf.DUMMYFUNCTION("""COMPUTED_VALUE"""),-2.0)</f>
        <v>-2</v>
      </c>
      <c r="AN371" s="16">
        <f>IFERROR(__xludf.DUMMYFUNCTION("""COMPUTED_VALUE"""),-1.0)</f>
        <v>-1</v>
      </c>
      <c r="AO371" s="16">
        <f>IFERROR(__xludf.DUMMYFUNCTION("""COMPUTED_VALUE"""),-2.0)</f>
        <v>-2</v>
      </c>
      <c r="AP371" s="16">
        <f>IFERROR(__xludf.DUMMYFUNCTION("""COMPUTED_VALUE"""),-1.0)</f>
        <v>-1</v>
      </c>
      <c r="AQ371" s="16">
        <f>IFERROR(__xludf.DUMMYFUNCTION("""COMPUTED_VALUE"""),28.199999999999996)</f>
        <v>28.2</v>
      </c>
      <c r="AR371" s="16">
        <f>IFERROR(__xludf.DUMMYFUNCTION("""COMPUTED_VALUE"""),29.5)</f>
        <v>29.5</v>
      </c>
      <c r="AS371" s="16">
        <f>IFERROR(__xludf.DUMMYFUNCTION("""COMPUTED_VALUE"""),-1.0)</f>
        <v>-1</v>
      </c>
      <c r="AT371" s="16">
        <f>IFERROR(__xludf.DUMMYFUNCTION("""COMPUTED_VALUE"""),-1.0)</f>
        <v>-1</v>
      </c>
      <c r="AU371" s="16">
        <f>IFERROR(__xludf.DUMMYFUNCTION("""COMPUTED_VALUE"""),-2.0)</f>
        <v>-2</v>
      </c>
      <c r="AV371" s="16">
        <f>IFERROR(__xludf.DUMMYFUNCTION("""COMPUTED_VALUE"""),-2.0)</f>
        <v>-2</v>
      </c>
      <c r="AW371" s="16">
        <f>IFERROR(__xludf.DUMMYFUNCTION("""COMPUTED_VALUE"""),1.4)</f>
        <v>1.4</v>
      </c>
      <c r="AX371" s="16">
        <f>IFERROR(__xludf.DUMMYFUNCTION("""COMPUTED_VALUE"""),1.6)</f>
        <v>1.6</v>
      </c>
      <c r="AY371" s="16">
        <f>IFERROR(__xludf.DUMMYFUNCTION("""COMPUTED_VALUE"""),1.0)</f>
        <v>1</v>
      </c>
      <c r="AZ371" s="16">
        <f>IFERROR(__xludf.DUMMYFUNCTION("""COMPUTED_VALUE"""),1.0)</f>
        <v>1</v>
      </c>
      <c r="BA371" s="16">
        <f>IFERROR(__xludf.DUMMYFUNCTION("""COMPUTED_VALUE"""),5.0)</f>
        <v>5</v>
      </c>
      <c r="BB371" s="16">
        <f>IFERROR(__xludf.DUMMYFUNCTION("""COMPUTED_VALUE"""),5.0)</f>
        <v>5</v>
      </c>
      <c r="BC371" s="16">
        <f>IFERROR(__xludf.DUMMYFUNCTION("""COMPUTED_VALUE"""),1.0)</f>
        <v>1</v>
      </c>
      <c r="BD371" s="16">
        <f>IFERROR(__xludf.DUMMYFUNCTION("""COMPUTED_VALUE"""),3.0)</f>
        <v>3</v>
      </c>
      <c r="BE371" s="16">
        <f>IFERROR(__xludf.DUMMYFUNCTION("""COMPUTED_VALUE"""),1.0)</f>
        <v>1</v>
      </c>
      <c r="BF371" s="16">
        <f>IFERROR(__xludf.DUMMYFUNCTION("""COMPUTED_VALUE"""),3.0)</f>
        <v>3</v>
      </c>
      <c r="BG371" s="16">
        <f>IFERROR(__xludf.DUMMYFUNCTION("""COMPUTED_VALUE"""),2.0)</f>
        <v>2</v>
      </c>
      <c r="BH371" s="16">
        <f>IFERROR(__xludf.DUMMYFUNCTION("""COMPUTED_VALUE"""),0.0)</f>
        <v>0</v>
      </c>
      <c r="BI371" s="16">
        <f>IFERROR(__xludf.DUMMYFUNCTION("""COMPUTED_VALUE"""),4.0)</f>
        <v>4</v>
      </c>
      <c r="BJ371" s="16">
        <f>IFERROR(__xludf.DUMMYFUNCTION("""COMPUTED_VALUE"""),0.0)</f>
        <v>0</v>
      </c>
      <c r="BK371" s="16">
        <f>IFERROR(__xludf.DUMMYFUNCTION("""COMPUTED_VALUE"""),5.0)</f>
        <v>5</v>
      </c>
      <c r="BL371" s="16">
        <f>IFERROR(__xludf.DUMMYFUNCTION("""COMPUTED_VALUE"""),5.0)</f>
        <v>5</v>
      </c>
      <c r="BM371" s="16">
        <f>IFERROR(__xludf.DUMMYFUNCTION("""COMPUTED_VALUE"""),0.0)</f>
        <v>0</v>
      </c>
      <c r="BN371" s="16">
        <f>IFERROR(__xludf.DUMMYFUNCTION("""COMPUTED_VALUE"""),0.0)</f>
        <v>0</v>
      </c>
      <c r="BO371" s="16">
        <f>IFERROR(__xludf.DUMMYFUNCTION("""COMPUTED_VALUE"""),0.0)</f>
        <v>0</v>
      </c>
      <c r="BP371" s="16">
        <f>IFERROR(__xludf.DUMMYFUNCTION("""COMPUTED_VALUE"""),0.0)</f>
        <v>0</v>
      </c>
      <c r="BQ371" s="16">
        <f>IFERROR(__xludf.DUMMYFUNCTION("""COMPUTED_VALUE"""),0.0)</f>
        <v>0</v>
      </c>
      <c r="BR371" s="16">
        <f>IFERROR(__xludf.DUMMYFUNCTION("""COMPUTED_VALUE"""),0.0)</f>
        <v>0</v>
      </c>
      <c r="BS371" s="16">
        <f>IFERROR(__xludf.DUMMYFUNCTION("""COMPUTED_VALUE"""),-3.0)</f>
        <v>-3</v>
      </c>
      <c r="BT371" s="16">
        <f>IFERROR(__xludf.DUMMYFUNCTION("""COMPUTED_VALUE"""),-3.0)</f>
        <v>-3</v>
      </c>
      <c r="BU371" s="16">
        <f>IFERROR(__xludf.DUMMYFUNCTION("""COMPUTED_VALUE"""),-6.0)</f>
        <v>-6</v>
      </c>
      <c r="BV371" s="16">
        <f>IFERROR(__xludf.DUMMYFUNCTION("""COMPUTED_VALUE"""),-6.0)</f>
        <v>-6</v>
      </c>
      <c r="BW371" s="16">
        <f>IFERROR(__xludf.DUMMYFUNCTION("""COMPUTED_VALUE"""),0.0)</f>
        <v>0</v>
      </c>
      <c r="BX371" s="16">
        <f>IFERROR(__xludf.DUMMYFUNCTION("""COMPUTED_VALUE"""),0.0)</f>
        <v>0</v>
      </c>
      <c r="BY371" s="16" t="str">
        <f>IFERROR(__xludf.DUMMYFUNCTION("""COMPUTED_VALUE"""),"R(1)")</f>
        <v>R(1)</v>
      </c>
      <c r="BZ371" s="16" t="str">
        <f>IFERROR(__xludf.DUMMYFUNCTION("""COMPUTED_VALUE"""),"R(1)")</f>
        <v>R(1)</v>
      </c>
      <c r="CA371" s="16" t="str">
        <f>IFERROR(__xludf.DUMMYFUNCTION("""COMPUTED_VALUE"""),"R(1)")</f>
        <v>R(1)</v>
      </c>
      <c r="CB371" s="16"/>
      <c r="CC371" s="16"/>
      <c r="CD371" s="16"/>
      <c r="CE371" s="16">
        <f>IFERROR(__xludf.DUMMYFUNCTION("""COMPUTED_VALUE"""),1.0)</f>
        <v>1</v>
      </c>
      <c r="CF371" s="16"/>
      <c r="CG371" s="16" t="str">
        <f>IFERROR(__xludf.DUMMYFUNCTION("""COMPUTED_VALUE"""),"3-0")</f>
        <v>3-0</v>
      </c>
      <c r="CH371" s="16">
        <f>IFERROR(__xludf.DUMMYFUNCTION("""COMPUTED_VALUE"""),3.0)</f>
        <v>3</v>
      </c>
      <c r="CI371" s="16">
        <f>IFERROR(__xludf.DUMMYFUNCTION("""COMPUTED_VALUE"""),0.0)</f>
        <v>0</v>
      </c>
      <c r="CJ371" s="16">
        <f>IFERROR(__xludf.DUMMYFUNCTION("""COMPUTED_VALUE"""),0.0)</f>
        <v>0</v>
      </c>
      <c r="CK371" s="16">
        <f>IFERROR(__xludf.DUMMYFUNCTION("""COMPUTED_VALUE"""),11.0)</f>
        <v>11</v>
      </c>
      <c r="CL371" s="16" t="str">
        <f>IFERROR(__xludf.DUMMYFUNCTION("""COMPUTED_VALUE"""),"1WR-C")</f>
        <v>1WR-C</v>
      </c>
      <c r="CM371" s="16" t="str">
        <f>IFERROR(__xludf.DUMMYFUNCTION("""COMPUTED_VALUE"""),"E")</f>
        <v>E</v>
      </c>
      <c r="CN371" s="16">
        <f>IFERROR(__xludf.DUMMYFUNCTION("""COMPUTED_VALUE"""),10.0)</f>
        <v>10</v>
      </c>
      <c r="CO371" s="16" t="str">
        <f>IFERROR(__xludf.DUMMYFUNCTION("""COMPUTED_VALUE"""),"C")</f>
        <v>C</v>
      </c>
      <c r="CP371" s="16" t="str">
        <f>IFERROR(__xludf.DUMMYFUNCTION("""COMPUTED_VALUE"""),"3p50")</f>
        <v>3p50</v>
      </c>
      <c r="CQ371" s="16">
        <f>IFERROR(__xludf.DUMMYFUNCTION("""COMPUTED_VALUE"""),-13.0)</f>
        <v>-13</v>
      </c>
      <c r="CR371" s="16">
        <f>IFERROR(__xludf.DUMMYFUNCTION("""COMPUTED_VALUE"""),-10.0)</f>
        <v>-10</v>
      </c>
      <c r="CS371" s="16">
        <f>IFERROR(__xludf.DUMMYFUNCTION("""COMPUTED_VALUE"""),-23.0)</f>
        <v>-23</v>
      </c>
      <c r="CT371" s="16">
        <f>IFERROR(__xludf.DUMMYFUNCTION("""COMPUTED_VALUE"""),-13.0)</f>
        <v>-13</v>
      </c>
      <c r="CU371" s="16">
        <f>IFERROR(__xludf.DUMMYFUNCTION("""COMPUTED_VALUE"""),-10.0)</f>
        <v>-10</v>
      </c>
      <c r="CV371" s="179">
        <f>IFERROR(__xludf.DUMMYFUNCTION("""COMPUTED_VALUE"""),-10.0)</f>
        <v>-10</v>
      </c>
      <c r="CW371" s="179">
        <f>IFERROR(__xludf.DUMMYFUNCTION("""COMPUTED_VALUE"""),2.0)</f>
        <v>2</v>
      </c>
      <c r="CX371" s="179">
        <f>IFERROR(__xludf.DUMMYFUNCTION("""COMPUTED_VALUE"""),0.0)</f>
        <v>0</v>
      </c>
      <c r="CY371" s="16" t="str">
        <f>IFERROR(__xludf.DUMMYFUNCTION("""COMPUTED_VALUE"""),"RP")</f>
        <v>RP</v>
      </c>
      <c r="CZ371" s="16"/>
      <c r="DA371" s="16"/>
      <c r="DB371" s="16"/>
      <c r="DC371" s="16"/>
      <c r="DD371" s="16"/>
      <c r="DE371" s="16"/>
      <c r="DF371" s="16"/>
      <c r="DG371" s="16"/>
      <c r="DH371" s="16"/>
      <c r="DI371" s="16"/>
      <c r="DJ371" s="16"/>
      <c r="DK371" s="16"/>
    </row>
    <row r="372">
      <c r="A372" s="16">
        <f>IFERROR(__xludf.DUMMYFUNCTION("""COMPUTED_VALUE"""),13519.0)</f>
        <v>13519</v>
      </c>
      <c r="B372" s="16" t="str">
        <f>IFERROR(__xludf.DUMMYFUNCTION("""COMPUTED_VALUE"""),"Zach Pop")</f>
        <v>Zach Pop</v>
      </c>
      <c r="C372" s="153">
        <f>IFERROR(__xludf.DUMMYFUNCTION("""COMPUTED_VALUE"""),0.0)</f>
        <v>0</v>
      </c>
      <c r="D372" s="16"/>
      <c r="E372" s="16" t="str">
        <f>IFERROR(__xludf.DUMMYFUNCTION("""COMPUTED_VALUE"""),"R")</f>
        <v>R</v>
      </c>
      <c r="F372" s="16">
        <f>IFERROR(__xludf.DUMMYFUNCTION("""COMPUTED_VALUE"""),48.0)</f>
        <v>48</v>
      </c>
      <c r="G372" s="16">
        <f>IFERROR(__xludf.DUMMYFUNCTION("""COMPUTED_VALUE"""),7.0)</f>
        <v>7</v>
      </c>
      <c r="H372" s="16">
        <f>IFERROR(__xludf.DUMMYFUNCTION("""COMPUTED_VALUE"""),13.0)</f>
        <v>13</v>
      </c>
      <c r="I372" s="16">
        <f>IFERROR(__xludf.DUMMYFUNCTION("""COMPUTED_VALUE"""),-2.0)</f>
        <v>-2</v>
      </c>
      <c r="J372" s="16">
        <f>IFERROR(__xludf.DUMMYFUNCTION("""COMPUTED_VALUE"""),-2.0)</f>
        <v>-2</v>
      </c>
      <c r="K372" s="16">
        <f>IFERROR(__xludf.DUMMYFUNCTION("""COMPUTED_VALUE"""),-6.0)</f>
        <v>-6</v>
      </c>
      <c r="L372" s="16">
        <f>IFERROR(__xludf.DUMMYFUNCTION("""COMPUTED_VALUE"""),-6.0)</f>
        <v>-6</v>
      </c>
      <c r="M372" s="16">
        <f>IFERROR(__xludf.DUMMYFUNCTION("""COMPUTED_VALUE"""),13.0)</f>
        <v>13</v>
      </c>
      <c r="N372" s="16">
        <f>IFERROR(__xludf.DUMMYFUNCTION("""COMPUTED_VALUE"""),4.0)</f>
        <v>4</v>
      </c>
      <c r="O372" s="16">
        <f>IFERROR(__xludf.DUMMYFUNCTION("""COMPUTED_VALUE"""),-1.0)</f>
        <v>-1</v>
      </c>
      <c r="P372" s="16">
        <f>IFERROR(__xludf.DUMMYFUNCTION("""COMPUTED_VALUE"""),2.0)</f>
        <v>2</v>
      </c>
      <c r="Q372" s="16">
        <f>IFERROR(__xludf.DUMMYFUNCTION("""COMPUTED_VALUE"""),-1.0)</f>
        <v>-1</v>
      </c>
      <c r="R372" s="16">
        <f>IFERROR(__xludf.DUMMYFUNCTION("""COMPUTED_VALUE"""),2.0)</f>
        <v>2</v>
      </c>
      <c r="S372" s="16">
        <f>IFERROR(__xludf.DUMMYFUNCTION("""COMPUTED_VALUE"""),20.0)</f>
        <v>20</v>
      </c>
      <c r="T372" s="16">
        <f>IFERROR(__xludf.DUMMYFUNCTION("""COMPUTED_VALUE"""),12.4)</f>
        <v>12.4</v>
      </c>
      <c r="U372" s="16">
        <f>IFERROR(__xludf.DUMMYFUNCTION("""COMPUTED_VALUE"""),-1.0)</f>
        <v>-1</v>
      </c>
      <c r="V372" s="16">
        <f>IFERROR(__xludf.DUMMYFUNCTION("""COMPUTED_VALUE"""),1.0)</f>
        <v>1</v>
      </c>
      <c r="W372" s="16">
        <f>IFERROR(__xludf.DUMMYFUNCTION("""COMPUTED_VALUE"""),-2.0)</f>
        <v>-2</v>
      </c>
      <c r="X372" s="16">
        <f>IFERROR(__xludf.DUMMYFUNCTION("""COMPUTED_VALUE"""),2.0)</f>
        <v>2</v>
      </c>
      <c r="Y372" s="16">
        <f>IFERROR(__xludf.DUMMYFUNCTION("""COMPUTED_VALUE"""),33.1)</f>
        <v>33.1</v>
      </c>
      <c r="Z372" s="16">
        <f>IFERROR(__xludf.DUMMYFUNCTION("""COMPUTED_VALUE"""),16.4)</f>
        <v>16.4</v>
      </c>
      <c r="AA372" s="16">
        <f>IFERROR(__xludf.DUMMYFUNCTION("""COMPUTED_VALUE"""),-1.0)</f>
        <v>-1</v>
      </c>
      <c r="AB372" s="16">
        <f>IFERROR(__xludf.DUMMYFUNCTION("""COMPUTED_VALUE"""),1.0)</f>
        <v>1</v>
      </c>
      <c r="AC372" s="16">
        <f>IFERROR(__xludf.DUMMYFUNCTION("""COMPUTED_VALUE"""),-5.0)</f>
        <v>-5</v>
      </c>
      <c r="AD372" s="16">
        <f>IFERROR(__xludf.DUMMYFUNCTION("""COMPUTED_VALUE"""),5.0)</f>
        <v>5</v>
      </c>
      <c r="AE372" s="16">
        <f>IFERROR(__xludf.DUMMYFUNCTION("""COMPUTED_VALUE"""),53.1)</f>
        <v>53.1</v>
      </c>
      <c r="AF372" s="16">
        <f>IFERROR(__xludf.DUMMYFUNCTION("""COMPUTED_VALUE"""),16.5)</f>
        <v>16.5</v>
      </c>
      <c r="AG372" s="16">
        <f>IFERROR(__xludf.DUMMYFUNCTION("""COMPUTED_VALUE"""),-2.0)</f>
        <v>-2</v>
      </c>
      <c r="AH372" s="16">
        <f>IFERROR(__xludf.DUMMYFUNCTION("""COMPUTED_VALUE"""),1.0)</f>
        <v>1</v>
      </c>
      <c r="AI372" s="16">
        <f>IFERROR(__xludf.DUMMYFUNCTION("""COMPUTED_VALUE"""),-4.0)</f>
        <v>-4</v>
      </c>
      <c r="AJ372" s="16">
        <f>IFERROR(__xludf.DUMMYFUNCTION("""COMPUTED_VALUE"""),2.0)</f>
        <v>2</v>
      </c>
      <c r="AK372" s="16">
        <f>IFERROR(__xludf.DUMMYFUNCTION("""COMPUTED_VALUE"""),10.7)</f>
        <v>10.7</v>
      </c>
      <c r="AL372" s="16">
        <f>IFERROR(__xludf.DUMMYFUNCTION("""COMPUTED_VALUE"""),11.0)</f>
        <v>11</v>
      </c>
      <c r="AM372" s="16">
        <f>IFERROR(__xludf.DUMMYFUNCTION("""COMPUTED_VALUE"""),0.0)</f>
        <v>0</v>
      </c>
      <c r="AN372" s="16">
        <f>IFERROR(__xludf.DUMMYFUNCTION("""COMPUTED_VALUE"""),1.0)</f>
        <v>1</v>
      </c>
      <c r="AO372" s="16">
        <f>IFERROR(__xludf.DUMMYFUNCTION("""COMPUTED_VALUE"""),0.0)</f>
        <v>0</v>
      </c>
      <c r="AP372" s="16">
        <f>IFERROR(__xludf.DUMMYFUNCTION("""COMPUTED_VALUE"""),1.0)</f>
        <v>1</v>
      </c>
      <c r="AQ372" s="16">
        <f>IFERROR(__xludf.DUMMYFUNCTION("""COMPUTED_VALUE"""),15.899999999999999)</f>
        <v>15.9</v>
      </c>
      <c r="AR372" s="16">
        <f>IFERROR(__xludf.DUMMYFUNCTION("""COMPUTED_VALUE"""),10.9)</f>
        <v>10.9</v>
      </c>
      <c r="AS372" s="16">
        <f>IFERROR(__xludf.DUMMYFUNCTION("""COMPUTED_VALUE"""),0.0)</f>
        <v>0</v>
      </c>
      <c r="AT372" s="16">
        <f>IFERROR(__xludf.DUMMYFUNCTION("""COMPUTED_VALUE"""),1.0)</f>
        <v>1</v>
      </c>
      <c r="AU372" s="16">
        <f>IFERROR(__xludf.DUMMYFUNCTION("""COMPUTED_VALUE"""),0.0)</f>
        <v>0</v>
      </c>
      <c r="AV372" s="16">
        <f>IFERROR(__xludf.DUMMYFUNCTION("""COMPUTED_VALUE"""),2.0)</f>
        <v>2</v>
      </c>
      <c r="AW372" s="16">
        <f>IFERROR(__xludf.DUMMYFUNCTION("""COMPUTED_VALUE"""),9.3)</f>
        <v>9.3</v>
      </c>
      <c r="AX372" s="16">
        <f>IFERROR(__xludf.DUMMYFUNCTION("""COMPUTED_VALUE"""),1.4)</f>
        <v>1.4</v>
      </c>
      <c r="AY372" s="16">
        <f>IFERROR(__xludf.DUMMYFUNCTION("""COMPUTED_VALUE"""),-3.0)</f>
        <v>-3</v>
      </c>
      <c r="AZ372" s="16">
        <f>IFERROR(__xludf.DUMMYFUNCTION("""COMPUTED_VALUE"""),1.0)</f>
        <v>1</v>
      </c>
      <c r="BA372" s="16">
        <f>IFERROR(__xludf.DUMMYFUNCTION("""COMPUTED_VALUE"""),-15.0)</f>
        <v>-15</v>
      </c>
      <c r="BB372" s="16">
        <f>IFERROR(__xludf.DUMMYFUNCTION("""COMPUTED_VALUE"""),5.0)</f>
        <v>5</v>
      </c>
      <c r="BC372" s="16">
        <f>IFERROR(__xludf.DUMMYFUNCTION("""COMPUTED_VALUE"""),8.0)</f>
        <v>8</v>
      </c>
      <c r="BD372" s="16">
        <f>IFERROR(__xludf.DUMMYFUNCTION("""COMPUTED_VALUE"""),2.0)</f>
        <v>2</v>
      </c>
      <c r="BE372" s="16">
        <f>IFERROR(__xludf.DUMMYFUNCTION("""COMPUTED_VALUE"""),8.0)</f>
        <v>8</v>
      </c>
      <c r="BF372" s="16">
        <f>IFERROR(__xludf.DUMMYFUNCTION("""COMPUTED_VALUE"""),2.0)</f>
        <v>2</v>
      </c>
      <c r="BG372" s="16">
        <f>IFERROR(__xludf.DUMMYFUNCTION("""COMPUTED_VALUE"""),-3.0)</f>
        <v>-3</v>
      </c>
      <c r="BH372" s="16">
        <f>IFERROR(__xludf.DUMMYFUNCTION("""COMPUTED_VALUE"""),1.0)</f>
        <v>1</v>
      </c>
      <c r="BI372" s="16">
        <f>IFERROR(__xludf.DUMMYFUNCTION("""COMPUTED_VALUE"""),-6.0)</f>
        <v>-6</v>
      </c>
      <c r="BJ372" s="16">
        <f>IFERROR(__xludf.DUMMYFUNCTION("""COMPUTED_VALUE"""),2.0)</f>
        <v>2</v>
      </c>
      <c r="BK372" s="16">
        <f>IFERROR(__xludf.DUMMYFUNCTION("""COMPUTED_VALUE"""),5.0)</f>
        <v>5</v>
      </c>
      <c r="BL372" s="16">
        <f>IFERROR(__xludf.DUMMYFUNCTION("""COMPUTED_VALUE"""),5.0)</f>
        <v>5</v>
      </c>
      <c r="BM372" s="16">
        <f>IFERROR(__xludf.DUMMYFUNCTION("""COMPUTED_VALUE"""),0.0)</f>
        <v>0</v>
      </c>
      <c r="BN372" s="16">
        <f>IFERROR(__xludf.DUMMYFUNCTION("""COMPUTED_VALUE"""),0.0)</f>
        <v>0</v>
      </c>
      <c r="BO372" s="16">
        <f>IFERROR(__xludf.DUMMYFUNCTION("""COMPUTED_VALUE"""),0.0)</f>
        <v>0</v>
      </c>
      <c r="BP372" s="16">
        <f>IFERROR(__xludf.DUMMYFUNCTION("""COMPUTED_VALUE"""),0.0)</f>
        <v>0</v>
      </c>
      <c r="BQ372" s="16">
        <f>IFERROR(__xludf.DUMMYFUNCTION("""COMPUTED_VALUE"""),12.0)</f>
        <v>12</v>
      </c>
      <c r="BR372" s="16">
        <f>IFERROR(__xludf.DUMMYFUNCTION("""COMPUTED_VALUE"""),12.0)</f>
        <v>12</v>
      </c>
      <c r="BS372" s="16">
        <f>IFERROR(__xludf.DUMMYFUNCTION("""COMPUTED_VALUE"""),3.0)</f>
        <v>3</v>
      </c>
      <c r="BT372" s="16">
        <f>IFERROR(__xludf.DUMMYFUNCTION("""COMPUTED_VALUE"""),3.0)</f>
        <v>3</v>
      </c>
      <c r="BU372" s="16">
        <f>IFERROR(__xludf.DUMMYFUNCTION("""COMPUTED_VALUE"""),6.0)</f>
        <v>6</v>
      </c>
      <c r="BV372" s="16">
        <f>IFERROR(__xludf.DUMMYFUNCTION("""COMPUTED_VALUE"""),6.0)</f>
        <v>6</v>
      </c>
      <c r="BW372" s="16">
        <f>IFERROR(__xludf.DUMMYFUNCTION("""COMPUTED_VALUE"""),0.0)</f>
        <v>0</v>
      </c>
      <c r="BX372" s="16">
        <f>IFERROR(__xludf.DUMMYFUNCTION("""COMPUTED_VALUE"""),0.0)</f>
        <v>0</v>
      </c>
      <c r="BY372" s="16" t="str">
        <f>IFERROR(__xludf.DUMMYFUNCTION("""COMPUTED_VALUE"""),"R(1) C(0)")</f>
        <v>R(1) C(0)</v>
      </c>
      <c r="BZ372" s="16" t="str">
        <f>IFERROR(__xludf.DUMMYFUNCTION("""COMPUTED_VALUE"""),"R(1) C(0)")</f>
        <v>R(1) C(0)</v>
      </c>
      <c r="CA372" s="16" t="str">
        <f>IFERROR(__xludf.DUMMYFUNCTION("""COMPUTED_VALUE"""),"R(1)")</f>
        <v>R(1)</v>
      </c>
      <c r="CB372" s="16" t="str">
        <f>IFERROR(__xludf.DUMMYFUNCTION("""COMPUTED_VALUE"""),"C(0)")</f>
        <v>C(0)</v>
      </c>
      <c r="CC372" s="16"/>
      <c r="CD372" s="16"/>
      <c r="CE372" s="16">
        <f>IFERROR(__xludf.DUMMYFUNCTION("""COMPUTED_VALUE"""),1.0)</f>
        <v>1</v>
      </c>
      <c r="CF372" s="16">
        <f>IFERROR(__xludf.DUMMYFUNCTION("""COMPUTED_VALUE"""),0.0)</f>
        <v>0</v>
      </c>
      <c r="CG372" s="16" t="str">
        <f>IFERROR(__xludf.DUMMYFUNCTION("""COMPUTED_VALUE"""),"4-30")</f>
        <v>4-30</v>
      </c>
      <c r="CH372" s="16">
        <f>IFERROR(__xludf.DUMMYFUNCTION("""COMPUTED_VALUE"""),4.0)</f>
        <v>4</v>
      </c>
      <c r="CI372" s="16">
        <f>IFERROR(__xludf.DUMMYFUNCTION("""COMPUTED_VALUE"""),30.0)</f>
        <v>30</v>
      </c>
      <c r="CJ372" s="16">
        <f>IFERROR(__xludf.DUMMYFUNCTION("""COMPUTED_VALUE"""),7.0)</f>
        <v>7</v>
      </c>
      <c r="CK372" s="16">
        <f>IFERROR(__xludf.DUMMYFUNCTION("""COMPUTED_VALUE"""),4.0)</f>
        <v>4</v>
      </c>
      <c r="CL372" s="16" t="str">
        <f>IFERROR(__xludf.DUMMYFUNCTION("""COMPUTED_VALUE"""),"1WR-C")</f>
        <v>1WR-C</v>
      </c>
      <c r="CM372" s="16" t="str">
        <f>IFERROR(__xludf.DUMMYFUNCTION("""COMPUTED_VALUE"""),"E")</f>
        <v>E</v>
      </c>
      <c r="CN372" s="16">
        <f>IFERROR(__xludf.DUMMYFUNCTION("""COMPUTED_VALUE"""),10.0)</f>
        <v>10</v>
      </c>
      <c r="CO372" s="16" t="str">
        <f>IFERROR(__xludf.DUMMYFUNCTION("""COMPUTED_VALUE"""),"C")</f>
        <v>C</v>
      </c>
      <c r="CP372" s="16" t="str">
        <f>IFERROR(__xludf.DUMMYFUNCTION("""COMPUTED_VALUE"""),"1p40")</f>
        <v>1p40</v>
      </c>
      <c r="CQ372" s="16">
        <f>IFERROR(__xludf.DUMMYFUNCTION("""COMPUTED_VALUE"""),-33.0)</f>
        <v>-33</v>
      </c>
      <c r="CR372" s="16">
        <f>IFERROR(__xludf.DUMMYFUNCTION("""COMPUTED_VALUE"""),21.0)</f>
        <v>21</v>
      </c>
      <c r="CS372" s="16">
        <f>IFERROR(__xludf.DUMMYFUNCTION("""COMPUTED_VALUE"""),-12.0)</f>
        <v>-12</v>
      </c>
      <c r="CT372" s="16">
        <f>IFERROR(__xludf.DUMMYFUNCTION("""COMPUTED_VALUE"""),-33.0)</f>
        <v>-33</v>
      </c>
      <c r="CU372" s="16">
        <f>IFERROR(__xludf.DUMMYFUNCTION("""COMPUTED_VALUE"""),21.0)</f>
        <v>21</v>
      </c>
      <c r="CV372" s="179">
        <f>IFERROR(__xludf.DUMMYFUNCTION("""COMPUTED_VALUE"""),-10.0)</f>
        <v>-10</v>
      </c>
      <c r="CW372" s="179">
        <f>IFERROR(__xludf.DUMMYFUNCTION("""COMPUTED_VALUE"""),4.0)</f>
        <v>4</v>
      </c>
      <c r="CX372" s="179">
        <f>IFERROR(__xludf.DUMMYFUNCTION("""COMPUTED_VALUE"""),1.0)</f>
        <v>1</v>
      </c>
      <c r="CY372" s="16" t="str">
        <f>IFERROR(__xludf.DUMMYFUNCTION("""COMPUTED_VALUE"""),"RP")</f>
        <v>RP</v>
      </c>
      <c r="CZ372" s="16" t="str">
        <f>IFERROR(__xludf.DUMMYFUNCTION("""COMPUTED_VALUE"""),"CP")</f>
        <v>CP</v>
      </c>
      <c r="DA372" s="16"/>
      <c r="DB372" s="16"/>
      <c r="DC372" s="16"/>
      <c r="DD372" s="16"/>
      <c r="DE372" s="16"/>
      <c r="DF372" s="16"/>
      <c r="DG372" s="16"/>
      <c r="DH372" s="16"/>
      <c r="DI372" s="16"/>
      <c r="DJ372" s="16"/>
      <c r="DK372" s="16"/>
    </row>
    <row r="373">
      <c r="A373" s="16">
        <f>IFERROR(__xludf.DUMMYFUNCTION("""COMPUTED_VALUE"""),13180.0)</f>
        <v>13180</v>
      </c>
      <c r="B373" s="16" t="str">
        <f>IFERROR(__xludf.DUMMYFUNCTION("""COMPUTED_VALUE"""),"Max Fried")</f>
        <v>Max Fried</v>
      </c>
      <c r="C373" s="153">
        <f>IFERROR(__xludf.DUMMYFUNCTION("""COMPUTED_VALUE"""),1.81)</f>
        <v>1.81</v>
      </c>
      <c r="D373" s="16"/>
      <c r="E373" s="16" t="str">
        <f>IFERROR(__xludf.DUMMYFUNCTION("""COMPUTED_VALUE"""),"L")</f>
        <v>L</v>
      </c>
      <c r="F373" s="16">
        <f>IFERROR(__xludf.DUMMYFUNCTION("""COMPUTED_VALUE"""),174.0)</f>
        <v>174</v>
      </c>
      <c r="G373" s="16">
        <f>IFERROR(__xludf.DUMMYFUNCTION("""COMPUTED_VALUE"""),23.0)</f>
        <v>23</v>
      </c>
      <c r="H373" s="16">
        <f>IFERROR(__xludf.DUMMYFUNCTION("""COMPUTED_VALUE"""),27.0)</f>
        <v>27</v>
      </c>
      <c r="I373" s="16">
        <f>IFERROR(__xludf.DUMMYFUNCTION("""COMPUTED_VALUE"""),-1.0)</f>
        <v>-1</v>
      </c>
      <c r="J373" s="16">
        <f>IFERROR(__xludf.DUMMYFUNCTION("""COMPUTED_VALUE"""),0.0)</f>
        <v>0</v>
      </c>
      <c r="K373" s="16">
        <f>IFERROR(__xludf.DUMMYFUNCTION("""COMPUTED_VALUE"""),-3.0)</f>
        <v>-3</v>
      </c>
      <c r="L373" s="16">
        <f>IFERROR(__xludf.DUMMYFUNCTION("""COMPUTED_VALUE"""),0.0)</f>
        <v>0</v>
      </c>
      <c r="M373" s="16">
        <f>IFERROR(__xludf.DUMMYFUNCTION("""COMPUTED_VALUE"""),11.0)</f>
        <v>11</v>
      </c>
      <c r="N373" s="16">
        <f>IFERROR(__xludf.DUMMYFUNCTION("""COMPUTED_VALUE"""),8.0)</f>
        <v>8</v>
      </c>
      <c r="O373" s="16">
        <f>IFERROR(__xludf.DUMMYFUNCTION("""COMPUTED_VALUE"""),-1.0)</f>
        <v>-1</v>
      </c>
      <c r="P373" s="16">
        <f>IFERROR(__xludf.DUMMYFUNCTION("""COMPUTED_VALUE"""),0.0)</f>
        <v>0</v>
      </c>
      <c r="Q373" s="16">
        <f>IFERROR(__xludf.DUMMYFUNCTION("""COMPUTED_VALUE"""),-1.0)</f>
        <v>-1</v>
      </c>
      <c r="R373" s="16">
        <f>IFERROR(__xludf.DUMMYFUNCTION("""COMPUTED_VALUE"""),0.0)</f>
        <v>0</v>
      </c>
      <c r="S373" s="16">
        <f>IFERROR(__xludf.DUMMYFUNCTION("""COMPUTED_VALUE"""),32.6)</f>
        <v>32.6</v>
      </c>
      <c r="T373" s="16">
        <f>IFERROR(__xludf.DUMMYFUNCTION("""COMPUTED_VALUE"""),9.8)</f>
        <v>9.8</v>
      </c>
      <c r="U373" s="16">
        <f>IFERROR(__xludf.DUMMYFUNCTION("""COMPUTED_VALUE"""),-3.0)</f>
        <v>-3</v>
      </c>
      <c r="V373" s="16">
        <f>IFERROR(__xludf.DUMMYFUNCTION("""COMPUTED_VALUE"""),1.0)</f>
        <v>1</v>
      </c>
      <c r="W373" s="16">
        <f>IFERROR(__xludf.DUMMYFUNCTION("""COMPUTED_VALUE"""),-6.0)</f>
        <v>-6</v>
      </c>
      <c r="X373" s="16">
        <f>IFERROR(__xludf.DUMMYFUNCTION("""COMPUTED_VALUE"""),2.0)</f>
        <v>2</v>
      </c>
      <c r="Y373" s="16">
        <f>IFERROR(__xludf.DUMMYFUNCTION("""COMPUTED_VALUE"""),43.7)</f>
        <v>43.7</v>
      </c>
      <c r="Z373" s="16">
        <f>IFERROR(__xludf.DUMMYFUNCTION("""COMPUTED_VALUE"""),17.8)</f>
        <v>17.8</v>
      </c>
      <c r="AA373" s="16">
        <f>IFERROR(__xludf.DUMMYFUNCTION("""COMPUTED_VALUE"""),-2.0)</f>
        <v>-2</v>
      </c>
      <c r="AB373" s="16">
        <f>IFERROR(__xludf.DUMMYFUNCTION("""COMPUTED_VALUE"""),1.0)</f>
        <v>1</v>
      </c>
      <c r="AC373" s="16">
        <f>IFERROR(__xludf.DUMMYFUNCTION("""COMPUTED_VALUE"""),-10.0)</f>
        <v>-10</v>
      </c>
      <c r="AD373" s="16">
        <f>IFERROR(__xludf.DUMMYFUNCTION("""COMPUTED_VALUE"""),5.0)</f>
        <v>5</v>
      </c>
      <c r="AE373" s="16">
        <f>IFERROR(__xludf.DUMMYFUNCTION("""COMPUTED_VALUE"""),45.0)</f>
        <v>45</v>
      </c>
      <c r="AF373" s="16">
        <f>IFERROR(__xludf.DUMMYFUNCTION("""COMPUTED_VALUE"""),9.8)</f>
        <v>9.8</v>
      </c>
      <c r="AG373" s="16">
        <f>IFERROR(__xludf.DUMMYFUNCTION("""COMPUTED_VALUE"""),-2.0)</f>
        <v>-2</v>
      </c>
      <c r="AH373" s="16">
        <f>IFERROR(__xludf.DUMMYFUNCTION("""COMPUTED_VALUE"""),2.0)</f>
        <v>2</v>
      </c>
      <c r="AI373" s="16">
        <f>IFERROR(__xludf.DUMMYFUNCTION("""COMPUTED_VALUE"""),-4.0)</f>
        <v>-4</v>
      </c>
      <c r="AJ373" s="16">
        <f>IFERROR(__xludf.DUMMYFUNCTION("""COMPUTED_VALUE"""),4.0)</f>
        <v>4</v>
      </c>
      <c r="AK373" s="16">
        <f>IFERROR(__xludf.DUMMYFUNCTION("""COMPUTED_VALUE"""),29.6)</f>
        <v>29.6</v>
      </c>
      <c r="AL373" s="16">
        <f>IFERROR(__xludf.DUMMYFUNCTION("""COMPUTED_VALUE"""),9.8)</f>
        <v>9.8</v>
      </c>
      <c r="AM373" s="16">
        <f>IFERROR(__xludf.DUMMYFUNCTION("""COMPUTED_VALUE"""),-2.0)</f>
        <v>-2</v>
      </c>
      <c r="AN373" s="16">
        <f>IFERROR(__xludf.DUMMYFUNCTION("""COMPUTED_VALUE"""),1.0)</f>
        <v>1</v>
      </c>
      <c r="AO373" s="16">
        <f>IFERROR(__xludf.DUMMYFUNCTION("""COMPUTED_VALUE"""),-2.0)</f>
        <v>-2</v>
      </c>
      <c r="AP373" s="16">
        <f>IFERROR(__xludf.DUMMYFUNCTION("""COMPUTED_VALUE"""),1.0)</f>
        <v>1</v>
      </c>
      <c r="AQ373" s="16">
        <f>IFERROR(__xludf.DUMMYFUNCTION("""COMPUTED_VALUE"""),33.0)</f>
        <v>33</v>
      </c>
      <c r="AR373" s="16">
        <f>IFERROR(__xludf.DUMMYFUNCTION("""COMPUTED_VALUE"""),9.8)</f>
        <v>9.8</v>
      </c>
      <c r="AS373" s="16">
        <f>IFERROR(__xludf.DUMMYFUNCTION("""COMPUTED_VALUE"""),-2.0)</f>
        <v>-2</v>
      </c>
      <c r="AT373" s="16">
        <f>IFERROR(__xludf.DUMMYFUNCTION("""COMPUTED_VALUE"""),1.0)</f>
        <v>1</v>
      </c>
      <c r="AU373" s="16">
        <f>IFERROR(__xludf.DUMMYFUNCTION("""COMPUTED_VALUE"""),-4.0)</f>
        <v>-4</v>
      </c>
      <c r="AV373" s="16">
        <f>IFERROR(__xludf.DUMMYFUNCTION("""COMPUTED_VALUE"""),2.0)</f>
        <v>2</v>
      </c>
      <c r="AW373" s="16">
        <f>IFERROR(__xludf.DUMMYFUNCTION("""COMPUTED_VALUE"""),3.0)</f>
        <v>3</v>
      </c>
      <c r="AX373" s="16">
        <f>IFERROR(__xludf.DUMMYFUNCTION("""COMPUTED_VALUE"""),0.0)</f>
        <v>0</v>
      </c>
      <c r="AY373" s="16">
        <f>IFERROR(__xludf.DUMMYFUNCTION("""COMPUTED_VALUE"""),-1.0)</f>
        <v>-1</v>
      </c>
      <c r="AZ373" s="16">
        <f>IFERROR(__xludf.DUMMYFUNCTION("""COMPUTED_VALUE"""),2.0)</f>
        <v>2</v>
      </c>
      <c r="BA373" s="16">
        <f>IFERROR(__xludf.DUMMYFUNCTION("""COMPUTED_VALUE"""),-5.0)</f>
        <v>-5</v>
      </c>
      <c r="BB373" s="16">
        <f>IFERROR(__xludf.DUMMYFUNCTION("""COMPUTED_VALUE"""),10.0)</f>
        <v>10</v>
      </c>
      <c r="BC373" s="16">
        <f>IFERROR(__xludf.DUMMYFUNCTION("""COMPUTED_VALUE"""),5.0)</f>
        <v>5</v>
      </c>
      <c r="BD373" s="16">
        <f>IFERROR(__xludf.DUMMYFUNCTION("""COMPUTED_VALUE"""),0.0)</f>
        <v>0</v>
      </c>
      <c r="BE373" s="16">
        <f>IFERROR(__xludf.DUMMYFUNCTION("""COMPUTED_VALUE"""),5.0)</f>
        <v>5</v>
      </c>
      <c r="BF373" s="16">
        <f>IFERROR(__xludf.DUMMYFUNCTION("""COMPUTED_VALUE"""),0.0)</f>
        <v>0</v>
      </c>
      <c r="BG373" s="16">
        <f>IFERROR(__xludf.DUMMYFUNCTION("""COMPUTED_VALUE"""),-2.0)</f>
        <v>-2</v>
      </c>
      <c r="BH373" s="16">
        <f>IFERROR(__xludf.DUMMYFUNCTION("""COMPUTED_VALUE"""),2.0)</f>
        <v>2</v>
      </c>
      <c r="BI373" s="16">
        <f>IFERROR(__xludf.DUMMYFUNCTION("""COMPUTED_VALUE"""),-4.0)</f>
        <v>-4</v>
      </c>
      <c r="BJ373" s="16">
        <f>IFERROR(__xludf.DUMMYFUNCTION("""COMPUTED_VALUE"""),4.0)</f>
        <v>4</v>
      </c>
      <c r="BK373" s="16">
        <f>IFERROR(__xludf.DUMMYFUNCTION("""COMPUTED_VALUE"""),5.0)</f>
        <v>5</v>
      </c>
      <c r="BL373" s="16">
        <f>IFERROR(__xludf.DUMMYFUNCTION("""COMPUTED_VALUE"""),5.0)</f>
        <v>5</v>
      </c>
      <c r="BM373" s="16">
        <f>IFERROR(__xludf.DUMMYFUNCTION("""COMPUTED_VALUE"""),0.0)</f>
        <v>0</v>
      </c>
      <c r="BN373" s="16">
        <f>IFERROR(__xludf.DUMMYFUNCTION("""COMPUTED_VALUE"""),0.0)</f>
        <v>0</v>
      </c>
      <c r="BO373" s="16">
        <f>IFERROR(__xludf.DUMMYFUNCTION("""COMPUTED_VALUE"""),0.0)</f>
        <v>0</v>
      </c>
      <c r="BP373" s="16">
        <f>IFERROR(__xludf.DUMMYFUNCTION("""COMPUTED_VALUE"""),0.0)</f>
        <v>0</v>
      </c>
      <c r="BQ373" s="16">
        <f>IFERROR(__xludf.DUMMYFUNCTION("""COMPUTED_VALUE"""),1.0)</f>
        <v>1</v>
      </c>
      <c r="BR373" s="16">
        <f>IFERROR(__xludf.DUMMYFUNCTION("""COMPUTED_VALUE"""),10.0)</f>
        <v>10</v>
      </c>
      <c r="BS373" s="16">
        <f>IFERROR(__xludf.DUMMYFUNCTION("""COMPUTED_VALUE"""),-2.0)</f>
        <v>-2</v>
      </c>
      <c r="BT373" s="16">
        <f>IFERROR(__xludf.DUMMYFUNCTION("""COMPUTED_VALUE"""),3.0)</f>
        <v>3</v>
      </c>
      <c r="BU373" s="16">
        <f>IFERROR(__xludf.DUMMYFUNCTION("""COMPUTED_VALUE"""),-4.0)</f>
        <v>-4</v>
      </c>
      <c r="BV373" s="16">
        <f>IFERROR(__xludf.DUMMYFUNCTION("""COMPUTED_VALUE"""),6.0)</f>
        <v>6</v>
      </c>
      <c r="BW373" s="16">
        <f>IFERROR(__xludf.DUMMYFUNCTION("""COMPUTED_VALUE"""),0.0)</f>
        <v>0</v>
      </c>
      <c r="BX373" s="16">
        <f>IFERROR(__xludf.DUMMYFUNCTION("""COMPUTED_VALUE"""),0.0)</f>
        <v>0</v>
      </c>
      <c r="BY373" s="16" t="str">
        <f>IFERROR(__xludf.DUMMYFUNCTION("""COMPUTED_VALUE"""),"S(6)")</f>
        <v>S(6)</v>
      </c>
      <c r="BZ373" s="16" t="str">
        <f>IFERROR(__xludf.DUMMYFUNCTION("""COMPUTED_VALUE"""),"S(6)")</f>
        <v>S(6)</v>
      </c>
      <c r="CA373" s="16" t="str">
        <f>IFERROR(__xludf.DUMMYFUNCTION("""COMPUTED_VALUE"""),"S(6)")</f>
        <v>S(6)</v>
      </c>
      <c r="CB373" s="16"/>
      <c r="CC373" s="16"/>
      <c r="CD373" s="16">
        <f>IFERROR(__xludf.DUMMYFUNCTION("""COMPUTED_VALUE"""),6.0)</f>
        <v>6</v>
      </c>
      <c r="CE373" s="16"/>
      <c r="CF373" s="16"/>
      <c r="CG373" s="16" t="str">
        <f>IFERROR(__xludf.DUMMYFUNCTION("""COMPUTED_VALUE"""),"2-0")</f>
        <v>2-0</v>
      </c>
      <c r="CH373" s="16">
        <f>IFERROR(__xludf.DUMMYFUNCTION("""COMPUTED_VALUE"""),2.0)</f>
        <v>2</v>
      </c>
      <c r="CI373" s="16">
        <f>IFERROR(__xludf.DUMMYFUNCTION("""COMPUTED_VALUE"""),0.0)</f>
        <v>0</v>
      </c>
      <c r="CJ373" s="16">
        <f>IFERROR(__xludf.DUMMYFUNCTION("""COMPUTED_VALUE"""),0.0)</f>
        <v>0</v>
      </c>
      <c r="CK373" s="16">
        <f>IFERROR(__xludf.DUMMYFUNCTION("""COMPUTED_VALUE"""),7.0)</f>
        <v>7</v>
      </c>
      <c r="CL373" s="16" t="str">
        <f>IFERROR(__xludf.DUMMYFUNCTION("""COMPUTED_VALUE"""),"1WL-C")</f>
        <v>1WL-C</v>
      </c>
      <c r="CM373" s="16" t="str">
        <f>IFERROR(__xludf.DUMMYFUNCTION("""COMPUTED_VALUE"""),"E")</f>
        <v>E</v>
      </c>
      <c r="CN373" s="16">
        <f>IFERROR(__xludf.DUMMYFUNCTION("""COMPUTED_VALUE"""),12.0)</f>
        <v>12</v>
      </c>
      <c r="CO373" s="16" t="str">
        <f>IFERROR(__xludf.DUMMYFUNCTION("""COMPUTED_VALUE"""),"C")</f>
        <v>C</v>
      </c>
      <c r="CP373" s="16" t="str">
        <f>IFERROR(__xludf.DUMMYFUNCTION("""COMPUTED_VALUE"""),"1p70")</f>
        <v>1p70</v>
      </c>
      <c r="CQ373" s="16">
        <f>IFERROR(__xludf.DUMMYFUNCTION("""COMPUTED_VALUE"""),-43.0)</f>
        <v>-43</v>
      </c>
      <c r="CR373" s="16">
        <f>IFERROR(__xludf.DUMMYFUNCTION("""COMPUTED_VALUE"""),34.0)</f>
        <v>34</v>
      </c>
      <c r="CS373" s="16">
        <f>IFERROR(__xludf.DUMMYFUNCTION("""COMPUTED_VALUE"""),-9.0)</f>
        <v>-9</v>
      </c>
      <c r="CT373" s="16">
        <f>IFERROR(__xludf.DUMMYFUNCTION("""COMPUTED_VALUE"""),-43.0)</f>
        <v>-43</v>
      </c>
      <c r="CU373" s="16">
        <f>IFERROR(__xludf.DUMMYFUNCTION("""COMPUTED_VALUE"""),34.0)</f>
        <v>34</v>
      </c>
      <c r="CV373" s="179">
        <f>IFERROR(__xludf.DUMMYFUNCTION("""COMPUTED_VALUE"""),-10.333333333333332)</f>
        <v>-10.33333333</v>
      </c>
      <c r="CW373" s="179">
        <f>IFERROR(__xludf.DUMMYFUNCTION("""COMPUTED_VALUE"""),4.0)</f>
        <v>4</v>
      </c>
      <c r="CX373" s="179">
        <f>IFERROR(__xludf.DUMMYFUNCTION("""COMPUTED_VALUE"""),3.0)</f>
        <v>3</v>
      </c>
      <c r="CY373" s="16" t="str">
        <f>IFERROR(__xludf.DUMMYFUNCTION("""COMPUTED_VALUE"""),"SP")</f>
        <v>SP</v>
      </c>
      <c r="CZ373" s="16"/>
      <c r="DA373" s="16"/>
      <c r="DB373" s="16"/>
      <c r="DC373" s="16"/>
      <c r="DD373" s="16"/>
      <c r="DE373" s="16"/>
      <c r="DF373" s="16"/>
      <c r="DG373" s="16"/>
      <c r="DH373" s="16"/>
      <c r="DI373" s="16"/>
      <c r="DJ373" s="16"/>
      <c r="DK373" s="16"/>
    </row>
    <row r="374">
      <c r="A374" s="16">
        <f>IFERROR(__xludf.DUMMYFUNCTION("""COMPUTED_VALUE"""),13313.0)</f>
        <v>13313</v>
      </c>
      <c r="B374" s="16" t="str">
        <f>IFERROR(__xludf.DUMMYFUNCTION("""COMPUTED_VALUE"""),"Roansy Contreras")</f>
        <v>Roansy Contreras</v>
      </c>
      <c r="C374" s="153">
        <f>IFERROR(__xludf.DUMMYFUNCTION("""COMPUTED_VALUE"""),0.32)</f>
        <v>0.32</v>
      </c>
      <c r="D374" s="16"/>
      <c r="E374" s="16" t="str">
        <f>IFERROR(__xludf.DUMMYFUNCTION("""COMPUTED_VALUE"""),"R")</f>
        <v>R</v>
      </c>
      <c r="F374" s="16">
        <f>IFERROR(__xludf.DUMMYFUNCTION("""COMPUTED_VALUE"""),68.0)</f>
        <v>68</v>
      </c>
      <c r="G374" s="16">
        <f>IFERROR(__xludf.DUMMYFUNCTION("""COMPUTED_VALUE"""),11.0)</f>
        <v>11</v>
      </c>
      <c r="H374" s="16">
        <f>IFERROR(__xludf.DUMMYFUNCTION("""COMPUTED_VALUE"""),23.0)</f>
        <v>23</v>
      </c>
      <c r="I374" s="16">
        <f>IFERROR(__xludf.DUMMYFUNCTION("""COMPUTED_VALUE"""),-2.0)</f>
        <v>-2</v>
      </c>
      <c r="J374" s="16">
        <f>IFERROR(__xludf.DUMMYFUNCTION("""COMPUTED_VALUE"""),-1.0)</f>
        <v>-1</v>
      </c>
      <c r="K374" s="16">
        <f>IFERROR(__xludf.DUMMYFUNCTION("""COMPUTED_VALUE"""),-6.0)</f>
        <v>-6</v>
      </c>
      <c r="L374" s="16">
        <f>IFERROR(__xludf.DUMMYFUNCTION("""COMPUTED_VALUE"""),-3.0)</f>
        <v>-3</v>
      </c>
      <c r="M374" s="16">
        <f>IFERROR(__xludf.DUMMYFUNCTION("""COMPUTED_VALUE"""),10.0)</f>
        <v>10</v>
      </c>
      <c r="N374" s="16">
        <f>IFERROR(__xludf.DUMMYFUNCTION("""COMPUTED_VALUE"""),10.0)</f>
        <v>10</v>
      </c>
      <c r="O374" s="16">
        <f>IFERROR(__xludf.DUMMYFUNCTION("""COMPUTED_VALUE"""),0.0)</f>
        <v>0</v>
      </c>
      <c r="P374" s="16">
        <f>IFERROR(__xludf.DUMMYFUNCTION("""COMPUTED_VALUE"""),-1.0)</f>
        <v>-1</v>
      </c>
      <c r="Q374" s="16">
        <f>IFERROR(__xludf.DUMMYFUNCTION("""COMPUTED_VALUE"""),0.0)</f>
        <v>0</v>
      </c>
      <c r="R374" s="16">
        <f>IFERROR(__xludf.DUMMYFUNCTION("""COMPUTED_VALUE"""),-1.0)</f>
        <v>-1</v>
      </c>
      <c r="S374" s="16">
        <f>IFERROR(__xludf.DUMMYFUNCTION("""COMPUTED_VALUE"""),11.9)</f>
        <v>11.9</v>
      </c>
      <c r="T374" s="16">
        <f>IFERROR(__xludf.DUMMYFUNCTION("""COMPUTED_VALUE"""),15.6)</f>
        <v>15.6</v>
      </c>
      <c r="U374" s="16">
        <f>IFERROR(__xludf.DUMMYFUNCTION("""COMPUTED_VALUE"""),1.0)</f>
        <v>1</v>
      </c>
      <c r="V374" s="16">
        <f>IFERROR(__xludf.DUMMYFUNCTION("""COMPUTED_VALUE"""),0.0)</f>
        <v>0</v>
      </c>
      <c r="W374" s="16">
        <f>IFERROR(__xludf.DUMMYFUNCTION("""COMPUTED_VALUE"""),2.0)</f>
        <v>2</v>
      </c>
      <c r="X374" s="16">
        <f>IFERROR(__xludf.DUMMYFUNCTION("""COMPUTED_VALUE"""),0.0)</f>
        <v>0</v>
      </c>
      <c r="Y374" s="16">
        <f>IFERROR(__xludf.DUMMYFUNCTION("""COMPUTED_VALUE"""),21.9)</f>
        <v>21.9</v>
      </c>
      <c r="Z374" s="16">
        <f>IFERROR(__xludf.DUMMYFUNCTION("""COMPUTED_VALUE"""),25.6)</f>
        <v>25.6</v>
      </c>
      <c r="AA374" s="16">
        <f>IFERROR(__xludf.DUMMYFUNCTION("""COMPUTED_VALUE"""),1.0)</f>
        <v>1</v>
      </c>
      <c r="AB374" s="16">
        <f>IFERROR(__xludf.DUMMYFUNCTION("""COMPUTED_VALUE"""),0.0)</f>
        <v>0</v>
      </c>
      <c r="AC374" s="16">
        <f>IFERROR(__xludf.DUMMYFUNCTION("""COMPUTED_VALUE"""),5.0)</f>
        <v>5</v>
      </c>
      <c r="AD374" s="16">
        <f>IFERROR(__xludf.DUMMYFUNCTION("""COMPUTED_VALUE"""),0.0)</f>
        <v>0</v>
      </c>
      <c r="AE374" s="16">
        <f>IFERROR(__xludf.DUMMYFUNCTION("""COMPUTED_VALUE"""),22.3)</f>
        <v>22.3</v>
      </c>
      <c r="AF374" s="16">
        <f>IFERROR(__xludf.DUMMYFUNCTION("""COMPUTED_VALUE"""),33.8)</f>
        <v>33.8</v>
      </c>
      <c r="AG374" s="16">
        <f>IFERROR(__xludf.DUMMYFUNCTION("""COMPUTED_VALUE"""),1.0)</f>
        <v>1</v>
      </c>
      <c r="AH374" s="16">
        <f>IFERROR(__xludf.DUMMYFUNCTION("""COMPUTED_VALUE"""),-1.0)</f>
        <v>-1</v>
      </c>
      <c r="AI374" s="16">
        <f>IFERROR(__xludf.DUMMYFUNCTION("""COMPUTED_VALUE"""),2.0)</f>
        <v>2</v>
      </c>
      <c r="AJ374" s="16">
        <f>IFERROR(__xludf.DUMMYFUNCTION("""COMPUTED_VALUE"""),-2.0)</f>
        <v>-2</v>
      </c>
      <c r="AK374" s="16">
        <f>IFERROR(__xludf.DUMMYFUNCTION("""COMPUTED_VALUE"""),8.7)</f>
        <v>8.7</v>
      </c>
      <c r="AL374" s="16">
        <f>IFERROR(__xludf.DUMMYFUNCTION("""COMPUTED_VALUE"""),12.8)</f>
        <v>12.8</v>
      </c>
      <c r="AM374" s="16">
        <f>IFERROR(__xludf.DUMMYFUNCTION("""COMPUTED_VALUE"""),1.0)</f>
        <v>1</v>
      </c>
      <c r="AN374" s="16">
        <f>IFERROR(__xludf.DUMMYFUNCTION("""COMPUTED_VALUE"""),0.0)</f>
        <v>0</v>
      </c>
      <c r="AO374" s="16">
        <f>IFERROR(__xludf.DUMMYFUNCTION("""COMPUTED_VALUE"""),1.0)</f>
        <v>1</v>
      </c>
      <c r="AP374" s="16">
        <f>IFERROR(__xludf.DUMMYFUNCTION("""COMPUTED_VALUE"""),0.0)</f>
        <v>0</v>
      </c>
      <c r="AQ374" s="16">
        <f>IFERROR(__xludf.DUMMYFUNCTION("""COMPUTED_VALUE"""),9.5)</f>
        <v>9.5</v>
      </c>
      <c r="AR374" s="16">
        <f>IFERROR(__xludf.DUMMYFUNCTION("""COMPUTED_VALUE"""),22.599999999999998)</f>
        <v>22.6</v>
      </c>
      <c r="AS374" s="16">
        <f>IFERROR(__xludf.DUMMYFUNCTION("""COMPUTED_VALUE"""),1.0)</f>
        <v>1</v>
      </c>
      <c r="AT374" s="16">
        <f>IFERROR(__xludf.DUMMYFUNCTION("""COMPUTED_VALUE"""),0.0)</f>
        <v>0</v>
      </c>
      <c r="AU374" s="16">
        <f>IFERROR(__xludf.DUMMYFUNCTION("""COMPUTED_VALUE"""),2.0)</f>
        <v>2</v>
      </c>
      <c r="AV374" s="16">
        <f>IFERROR(__xludf.DUMMYFUNCTION("""COMPUTED_VALUE"""),0.0)</f>
        <v>0</v>
      </c>
      <c r="AW374" s="16">
        <f>IFERROR(__xludf.DUMMYFUNCTION("""COMPUTED_VALUE"""),3.2)</f>
        <v>3.2</v>
      </c>
      <c r="AX374" s="16">
        <f>IFERROR(__xludf.DUMMYFUNCTION("""COMPUTED_VALUE"""),2.8)</f>
        <v>2.8</v>
      </c>
      <c r="AY374" s="16">
        <f>IFERROR(__xludf.DUMMYFUNCTION("""COMPUTED_VALUE"""),-1.0)</f>
        <v>-1</v>
      </c>
      <c r="AZ374" s="16">
        <f>IFERROR(__xludf.DUMMYFUNCTION("""COMPUTED_VALUE"""),-1.0)</f>
        <v>-1</v>
      </c>
      <c r="BA374" s="16">
        <f>IFERROR(__xludf.DUMMYFUNCTION("""COMPUTED_VALUE"""),-5.0)</f>
        <v>-5</v>
      </c>
      <c r="BB374" s="16">
        <f>IFERROR(__xludf.DUMMYFUNCTION("""COMPUTED_VALUE"""),-5.0)</f>
        <v>-5</v>
      </c>
      <c r="BC374" s="16">
        <f>IFERROR(__xludf.DUMMYFUNCTION("""COMPUTED_VALUE"""),5.0)</f>
        <v>5</v>
      </c>
      <c r="BD374" s="16">
        <f>IFERROR(__xludf.DUMMYFUNCTION("""COMPUTED_VALUE"""),4.0)</f>
        <v>4</v>
      </c>
      <c r="BE374" s="16">
        <f>IFERROR(__xludf.DUMMYFUNCTION("""COMPUTED_VALUE"""),5.0)</f>
        <v>5</v>
      </c>
      <c r="BF374" s="16">
        <f>IFERROR(__xludf.DUMMYFUNCTION("""COMPUTED_VALUE"""),4.0)</f>
        <v>4</v>
      </c>
      <c r="BG374" s="16">
        <f>IFERROR(__xludf.DUMMYFUNCTION("""COMPUTED_VALUE"""),-2.0)</f>
        <v>-2</v>
      </c>
      <c r="BH374" s="16">
        <f>IFERROR(__xludf.DUMMYFUNCTION("""COMPUTED_VALUE"""),-1.0)</f>
        <v>-1</v>
      </c>
      <c r="BI374" s="16">
        <f>IFERROR(__xludf.DUMMYFUNCTION("""COMPUTED_VALUE"""),-4.0)</f>
        <v>-4</v>
      </c>
      <c r="BJ374" s="16">
        <f>IFERROR(__xludf.DUMMYFUNCTION("""COMPUTED_VALUE"""),-2.0)</f>
        <v>-2</v>
      </c>
      <c r="BK374" s="16">
        <f>IFERROR(__xludf.DUMMYFUNCTION("""COMPUTED_VALUE"""),5.0)</f>
        <v>5</v>
      </c>
      <c r="BL374" s="16">
        <f>IFERROR(__xludf.DUMMYFUNCTION("""COMPUTED_VALUE"""),5.0)</f>
        <v>5</v>
      </c>
      <c r="BM374" s="16">
        <f>IFERROR(__xludf.DUMMYFUNCTION("""COMPUTED_VALUE"""),0.0)</f>
        <v>0</v>
      </c>
      <c r="BN374" s="16">
        <f>IFERROR(__xludf.DUMMYFUNCTION("""COMPUTED_VALUE"""),0.0)</f>
        <v>0</v>
      </c>
      <c r="BO374" s="16">
        <f>IFERROR(__xludf.DUMMYFUNCTION("""COMPUTED_VALUE"""),0.0)</f>
        <v>0</v>
      </c>
      <c r="BP374" s="16">
        <f>IFERROR(__xludf.DUMMYFUNCTION("""COMPUTED_VALUE"""),0.0)</f>
        <v>0</v>
      </c>
      <c r="BQ374" s="16">
        <f>IFERROR(__xludf.DUMMYFUNCTION("""COMPUTED_VALUE"""),0.0)</f>
        <v>0</v>
      </c>
      <c r="BR374" s="16">
        <f>IFERROR(__xludf.DUMMYFUNCTION("""COMPUTED_VALUE"""),0.0)</f>
        <v>0</v>
      </c>
      <c r="BS374" s="16">
        <f>IFERROR(__xludf.DUMMYFUNCTION("""COMPUTED_VALUE"""),-3.0)</f>
        <v>-3</v>
      </c>
      <c r="BT374" s="16">
        <f>IFERROR(__xludf.DUMMYFUNCTION("""COMPUTED_VALUE"""),-3.0)</f>
        <v>-3</v>
      </c>
      <c r="BU374" s="16">
        <f>IFERROR(__xludf.DUMMYFUNCTION("""COMPUTED_VALUE"""),-6.0)</f>
        <v>-6</v>
      </c>
      <c r="BV374" s="16">
        <f>IFERROR(__xludf.DUMMYFUNCTION("""COMPUTED_VALUE"""),-6.0)</f>
        <v>-6</v>
      </c>
      <c r="BW374" s="16">
        <f>IFERROR(__xludf.DUMMYFUNCTION("""COMPUTED_VALUE"""),4.0)</f>
        <v>4</v>
      </c>
      <c r="BX374" s="16">
        <f>IFERROR(__xludf.DUMMYFUNCTION("""COMPUTED_VALUE"""),4.0)</f>
        <v>4</v>
      </c>
      <c r="BY374" s="16" t="str">
        <f>IFERROR(__xludf.DUMMYFUNCTION("""COMPUTED_VALUE"""),"S(4) R(3) C(1)")</f>
        <v>S(4) R(3) C(1)</v>
      </c>
      <c r="BZ374" s="16" t="str">
        <f>IFERROR(__xludf.DUMMYFUNCTION("""COMPUTED_VALUE"""),"S(4) R(3) C(1)")</f>
        <v>S(4) R(3) C(1)</v>
      </c>
      <c r="CA374" s="16" t="str">
        <f>IFERROR(__xludf.DUMMYFUNCTION("""COMPUTED_VALUE"""),"S(4)")</f>
        <v>S(4)</v>
      </c>
      <c r="CB374" s="16" t="str">
        <f>IFERROR(__xludf.DUMMYFUNCTION("""COMPUTED_VALUE"""),"R(3)")</f>
        <v>R(3)</v>
      </c>
      <c r="CC374" s="16" t="str">
        <f>IFERROR(__xludf.DUMMYFUNCTION("""COMPUTED_VALUE"""),"C(1)")</f>
        <v>C(1)</v>
      </c>
      <c r="CD374" s="16">
        <f>IFERROR(__xludf.DUMMYFUNCTION("""COMPUTED_VALUE"""),4.0)</f>
        <v>4</v>
      </c>
      <c r="CE374" s="16">
        <f>IFERROR(__xludf.DUMMYFUNCTION("""COMPUTED_VALUE"""),3.0)</f>
        <v>3</v>
      </c>
      <c r="CF374" s="16">
        <f>IFERROR(__xludf.DUMMYFUNCTION("""COMPUTED_VALUE"""),1.0)</f>
        <v>1</v>
      </c>
      <c r="CG374" s="16" t="str">
        <f>IFERROR(__xludf.DUMMYFUNCTION("""COMPUTED_VALUE"""),"4-21")</f>
        <v>4-21</v>
      </c>
      <c r="CH374" s="16">
        <f>IFERROR(__xludf.DUMMYFUNCTION("""COMPUTED_VALUE"""),4.0)</f>
        <v>4</v>
      </c>
      <c r="CI374" s="16">
        <f>IFERROR(__xludf.DUMMYFUNCTION("""COMPUTED_VALUE"""),21.0)</f>
        <v>21</v>
      </c>
      <c r="CJ374" s="16">
        <f>IFERROR(__xludf.DUMMYFUNCTION("""COMPUTED_VALUE"""),0.0)</f>
        <v>0</v>
      </c>
      <c r="CK374" s="16">
        <f>IFERROR(__xludf.DUMMYFUNCTION("""COMPUTED_VALUE"""),9.0)</f>
        <v>9</v>
      </c>
      <c r="CL374" s="16" t="str">
        <f>IFERROR(__xludf.DUMMYFUNCTION("""COMPUTED_VALUE"""),"1WR-C")</f>
        <v>1WR-C</v>
      </c>
      <c r="CM374" s="16" t="str">
        <f>IFERROR(__xludf.DUMMYFUNCTION("""COMPUTED_VALUE"""),"E")</f>
        <v>E</v>
      </c>
      <c r="CN374" s="16">
        <f>IFERROR(__xludf.DUMMYFUNCTION("""COMPUTED_VALUE"""),10.0)</f>
        <v>10</v>
      </c>
      <c r="CO374" s="16" t="str">
        <f>IFERROR(__xludf.DUMMYFUNCTION("""COMPUTED_VALUE"""),"C")</f>
        <v>C</v>
      </c>
      <c r="CP374" s="16" t="str">
        <f>IFERROR(__xludf.DUMMYFUNCTION("""COMPUTED_VALUE"""),"1p40")</f>
        <v>1p40</v>
      </c>
      <c r="CQ374" s="16">
        <f>IFERROR(__xludf.DUMMYFUNCTION("""COMPUTED_VALUE"""),-9.0)</f>
        <v>-9</v>
      </c>
      <c r="CR374" s="16">
        <f>IFERROR(__xludf.DUMMYFUNCTION("""COMPUTED_VALUE"""),-19.0)</f>
        <v>-19</v>
      </c>
      <c r="CS374" s="16">
        <f>IFERROR(__xludf.DUMMYFUNCTION("""COMPUTED_VALUE"""),-28.0)</f>
        <v>-28</v>
      </c>
      <c r="CT374" s="16">
        <f>IFERROR(__xludf.DUMMYFUNCTION("""COMPUTED_VALUE"""),-9.0)</f>
        <v>-9</v>
      </c>
      <c r="CU374" s="16">
        <f>IFERROR(__xludf.DUMMYFUNCTION("""COMPUTED_VALUE"""),-19.0)</f>
        <v>-19</v>
      </c>
      <c r="CV374" s="179">
        <f>IFERROR(__xludf.DUMMYFUNCTION("""COMPUTED_VALUE"""),-10.666666666666666)</f>
        <v>-10.66666667</v>
      </c>
      <c r="CW374" s="179">
        <f>IFERROR(__xludf.DUMMYFUNCTION("""COMPUTED_VALUE"""),4.0)</f>
        <v>4</v>
      </c>
      <c r="CX374" s="179">
        <f>IFERROR(__xludf.DUMMYFUNCTION("""COMPUTED_VALUE"""),1.0)</f>
        <v>1</v>
      </c>
      <c r="CY374" s="16" t="str">
        <f>IFERROR(__xludf.DUMMYFUNCTION("""COMPUTED_VALUE"""),"SP")</f>
        <v>SP</v>
      </c>
      <c r="CZ374" s="16" t="str">
        <f>IFERROR(__xludf.DUMMYFUNCTION("""COMPUTED_VALUE"""),"RP")</f>
        <v>RP</v>
      </c>
      <c r="DA374" s="16" t="str">
        <f>IFERROR(__xludf.DUMMYFUNCTION("""COMPUTED_VALUE"""),"CP")</f>
        <v>CP</v>
      </c>
      <c r="DB374" s="16"/>
      <c r="DC374" s="16"/>
      <c r="DD374" s="16"/>
      <c r="DE374" s="16"/>
      <c r="DF374" s="16"/>
      <c r="DG374" s="16"/>
      <c r="DH374" s="16"/>
      <c r="DI374" s="16"/>
      <c r="DJ374" s="16"/>
      <c r="DK374" s="16"/>
    </row>
    <row r="375">
      <c r="A375" s="16">
        <f>IFERROR(__xludf.DUMMYFUNCTION("""COMPUTED_VALUE"""),12857.0)</f>
        <v>12857</v>
      </c>
      <c r="B375" s="16" t="str">
        <f>IFERROR(__xludf.DUMMYFUNCTION("""COMPUTED_VALUE"""),"Griffin Canning")</f>
        <v>Griffin Canning</v>
      </c>
      <c r="C375" s="153">
        <f>IFERROR(__xludf.DUMMYFUNCTION("""COMPUTED_VALUE"""),0.08)</f>
        <v>0.08</v>
      </c>
      <c r="D375" s="16"/>
      <c r="E375" s="16" t="str">
        <f>IFERROR(__xludf.DUMMYFUNCTION("""COMPUTED_VALUE"""),"R")</f>
        <v>R</v>
      </c>
      <c r="F375" s="16">
        <f>IFERROR(__xludf.DUMMYFUNCTION("""COMPUTED_VALUE"""),172.0)</f>
        <v>172</v>
      </c>
      <c r="G375" s="16">
        <f>IFERROR(__xludf.DUMMYFUNCTION("""COMPUTED_VALUE"""),10.0)</f>
        <v>10</v>
      </c>
      <c r="H375" s="16">
        <f>IFERROR(__xludf.DUMMYFUNCTION("""COMPUTED_VALUE"""),15.0)</f>
        <v>15</v>
      </c>
      <c r="I375" s="16">
        <f>IFERROR(__xludf.DUMMYFUNCTION("""COMPUTED_VALUE"""),-2.0)</f>
        <v>-2</v>
      </c>
      <c r="J375" s="16">
        <f>IFERROR(__xludf.DUMMYFUNCTION("""COMPUTED_VALUE"""),-2.0)</f>
        <v>-2</v>
      </c>
      <c r="K375" s="16">
        <f>IFERROR(__xludf.DUMMYFUNCTION("""COMPUTED_VALUE"""),-6.0)</f>
        <v>-6</v>
      </c>
      <c r="L375" s="16">
        <f>IFERROR(__xludf.DUMMYFUNCTION("""COMPUTED_VALUE"""),-6.0)</f>
        <v>-6</v>
      </c>
      <c r="M375" s="16">
        <f>IFERROR(__xludf.DUMMYFUNCTION("""COMPUTED_VALUE"""),13.0)</f>
        <v>13</v>
      </c>
      <c r="N375" s="16">
        <f>IFERROR(__xludf.DUMMYFUNCTION("""COMPUTED_VALUE"""),8.0)</f>
        <v>8</v>
      </c>
      <c r="O375" s="16">
        <f>IFERROR(__xludf.DUMMYFUNCTION("""COMPUTED_VALUE"""),-1.0)</f>
        <v>-1</v>
      </c>
      <c r="P375" s="16">
        <f>IFERROR(__xludf.DUMMYFUNCTION("""COMPUTED_VALUE"""),0.0)</f>
        <v>0</v>
      </c>
      <c r="Q375" s="16">
        <f>IFERROR(__xludf.DUMMYFUNCTION("""COMPUTED_VALUE"""),-1.0)</f>
        <v>-1</v>
      </c>
      <c r="R375" s="16">
        <f>IFERROR(__xludf.DUMMYFUNCTION("""COMPUTED_VALUE"""),0.0)</f>
        <v>0</v>
      </c>
      <c r="S375" s="16">
        <f>IFERROR(__xludf.DUMMYFUNCTION("""COMPUTED_VALUE"""),19.7)</f>
        <v>19.7</v>
      </c>
      <c r="T375" s="16">
        <f>IFERROR(__xludf.DUMMYFUNCTION("""COMPUTED_VALUE"""),17.9)</f>
        <v>17.9</v>
      </c>
      <c r="U375" s="16">
        <f>IFERROR(__xludf.DUMMYFUNCTION("""COMPUTED_VALUE"""),-1.0)</f>
        <v>-1</v>
      </c>
      <c r="V375" s="16">
        <f>IFERROR(__xludf.DUMMYFUNCTION("""COMPUTED_VALUE"""),0.0)</f>
        <v>0</v>
      </c>
      <c r="W375" s="16">
        <f>IFERROR(__xludf.DUMMYFUNCTION("""COMPUTED_VALUE"""),-2.0)</f>
        <v>-2</v>
      </c>
      <c r="X375" s="16">
        <f>IFERROR(__xludf.DUMMYFUNCTION("""COMPUTED_VALUE"""),0.0)</f>
        <v>0</v>
      </c>
      <c r="Y375" s="16">
        <f>IFERROR(__xludf.DUMMYFUNCTION("""COMPUTED_VALUE"""),32.7)</f>
        <v>32.7</v>
      </c>
      <c r="Z375" s="16">
        <f>IFERROR(__xludf.DUMMYFUNCTION("""COMPUTED_VALUE"""),25.9)</f>
        <v>25.9</v>
      </c>
      <c r="AA375" s="16">
        <f>IFERROR(__xludf.DUMMYFUNCTION("""COMPUTED_VALUE"""),-1.0)</f>
        <v>-1</v>
      </c>
      <c r="AB375" s="16">
        <f>IFERROR(__xludf.DUMMYFUNCTION("""COMPUTED_VALUE"""),0.0)</f>
        <v>0</v>
      </c>
      <c r="AC375" s="16">
        <f>IFERROR(__xludf.DUMMYFUNCTION("""COMPUTED_VALUE"""),-5.0)</f>
        <v>-5</v>
      </c>
      <c r="AD375" s="16">
        <f>IFERROR(__xludf.DUMMYFUNCTION("""COMPUTED_VALUE"""),0.0)</f>
        <v>0</v>
      </c>
      <c r="AE375" s="16">
        <f>IFERROR(__xludf.DUMMYFUNCTION("""COMPUTED_VALUE"""),35.2)</f>
        <v>35.2</v>
      </c>
      <c r="AF375" s="16">
        <f>IFERROR(__xludf.DUMMYFUNCTION("""COMPUTED_VALUE"""),29.6)</f>
        <v>29.6</v>
      </c>
      <c r="AG375" s="16">
        <f>IFERROR(__xludf.DUMMYFUNCTION("""COMPUTED_VALUE"""),-1.0)</f>
        <v>-1</v>
      </c>
      <c r="AH375" s="16">
        <f>IFERROR(__xludf.DUMMYFUNCTION("""COMPUTED_VALUE"""),0.0)</f>
        <v>0</v>
      </c>
      <c r="AI375" s="16">
        <f>IFERROR(__xludf.DUMMYFUNCTION("""COMPUTED_VALUE"""),-2.0)</f>
        <v>-2</v>
      </c>
      <c r="AJ375" s="16">
        <f>IFERROR(__xludf.DUMMYFUNCTION("""COMPUTED_VALUE"""),0.0)</f>
        <v>0</v>
      </c>
      <c r="AK375" s="16">
        <f>IFERROR(__xludf.DUMMYFUNCTION("""COMPUTED_VALUE"""),16.9)</f>
        <v>16.9</v>
      </c>
      <c r="AL375" s="16">
        <f>IFERROR(__xludf.DUMMYFUNCTION("""COMPUTED_VALUE"""),14.7)</f>
        <v>14.7</v>
      </c>
      <c r="AM375" s="16">
        <f>IFERROR(__xludf.DUMMYFUNCTION("""COMPUTED_VALUE"""),-1.0)</f>
        <v>-1</v>
      </c>
      <c r="AN375" s="16">
        <f>IFERROR(__xludf.DUMMYFUNCTION("""COMPUTED_VALUE"""),0.0)</f>
        <v>0</v>
      </c>
      <c r="AO375" s="16">
        <f>IFERROR(__xludf.DUMMYFUNCTION("""COMPUTED_VALUE"""),-1.0)</f>
        <v>-1</v>
      </c>
      <c r="AP375" s="16">
        <f>IFERROR(__xludf.DUMMYFUNCTION("""COMPUTED_VALUE"""),0.0)</f>
        <v>0</v>
      </c>
      <c r="AQ375" s="16">
        <f>IFERROR(__xludf.DUMMYFUNCTION("""COMPUTED_VALUE"""),24.000000000000004)</f>
        <v>24</v>
      </c>
      <c r="AR375" s="16">
        <f>IFERROR(__xludf.DUMMYFUNCTION("""COMPUTED_VALUE"""),16.8)</f>
        <v>16.8</v>
      </c>
      <c r="AS375" s="16">
        <f>IFERROR(__xludf.DUMMYFUNCTION("""COMPUTED_VALUE"""),-1.0)</f>
        <v>-1</v>
      </c>
      <c r="AT375" s="16">
        <f>IFERROR(__xludf.DUMMYFUNCTION("""COMPUTED_VALUE"""),0.0)</f>
        <v>0</v>
      </c>
      <c r="AU375" s="16">
        <f>IFERROR(__xludf.DUMMYFUNCTION("""COMPUTED_VALUE"""),-2.0)</f>
        <v>-2</v>
      </c>
      <c r="AV375" s="16">
        <f>IFERROR(__xludf.DUMMYFUNCTION("""COMPUTED_VALUE"""),0.0)</f>
        <v>0</v>
      </c>
      <c r="AW375" s="16">
        <f>IFERROR(__xludf.DUMMYFUNCTION("""COMPUTED_VALUE"""),2.8)</f>
        <v>2.8</v>
      </c>
      <c r="AX375" s="16">
        <f>IFERROR(__xludf.DUMMYFUNCTION("""COMPUTED_VALUE"""),3.2)</f>
        <v>3.2</v>
      </c>
      <c r="AY375" s="16">
        <f>IFERROR(__xludf.DUMMYFUNCTION("""COMPUTED_VALUE"""),-1.0)</f>
        <v>-1</v>
      </c>
      <c r="AZ375" s="16">
        <f>IFERROR(__xludf.DUMMYFUNCTION("""COMPUTED_VALUE"""),-1.0)</f>
        <v>-1</v>
      </c>
      <c r="BA375" s="16">
        <f>IFERROR(__xludf.DUMMYFUNCTION("""COMPUTED_VALUE"""),-5.0)</f>
        <v>-5</v>
      </c>
      <c r="BB375" s="16">
        <f>IFERROR(__xludf.DUMMYFUNCTION("""COMPUTED_VALUE"""),-5.0)</f>
        <v>-5</v>
      </c>
      <c r="BC375" s="16">
        <f>IFERROR(__xludf.DUMMYFUNCTION("""COMPUTED_VALUE"""),5.0)</f>
        <v>5</v>
      </c>
      <c r="BD375" s="16">
        <f>IFERROR(__xludf.DUMMYFUNCTION("""COMPUTED_VALUE"""),6.0)</f>
        <v>6</v>
      </c>
      <c r="BE375" s="16">
        <f>IFERROR(__xludf.DUMMYFUNCTION("""COMPUTED_VALUE"""),5.0)</f>
        <v>5</v>
      </c>
      <c r="BF375" s="16">
        <f>IFERROR(__xludf.DUMMYFUNCTION("""COMPUTED_VALUE"""),6.0)</f>
        <v>6</v>
      </c>
      <c r="BG375" s="16">
        <f>IFERROR(__xludf.DUMMYFUNCTION("""COMPUTED_VALUE"""),-2.0)</f>
        <v>-2</v>
      </c>
      <c r="BH375" s="16">
        <f>IFERROR(__xludf.DUMMYFUNCTION("""COMPUTED_VALUE"""),-2.0)</f>
        <v>-2</v>
      </c>
      <c r="BI375" s="16">
        <f>IFERROR(__xludf.DUMMYFUNCTION("""COMPUTED_VALUE"""),-4.0)</f>
        <v>-4</v>
      </c>
      <c r="BJ375" s="16">
        <f>IFERROR(__xludf.DUMMYFUNCTION("""COMPUTED_VALUE"""),-4.0)</f>
        <v>-4</v>
      </c>
      <c r="BK375" s="16">
        <f>IFERROR(__xludf.DUMMYFUNCTION("""COMPUTED_VALUE"""),5.0)</f>
        <v>5</v>
      </c>
      <c r="BL375" s="16">
        <f>IFERROR(__xludf.DUMMYFUNCTION("""COMPUTED_VALUE"""),5.0)</f>
        <v>5</v>
      </c>
      <c r="BM375" s="16">
        <f>IFERROR(__xludf.DUMMYFUNCTION("""COMPUTED_VALUE"""),0.0)</f>
        <v>0</v>
      </c>
      <c r="BN375" s="16">
        <f>IFERROR(__xludf.DUMMYFUNCTION("""COMPUTED_VALUE"""),0.0)</f>
        <v>0</v>
      </c>
      <c r="BO375" s="16">
        <f>IFERROR(__xludf.DUMMYFUNCTION("""COMPUTED_VALUE"""),0.0)</f>
        <v>0</v>
      </c>
      <c r="BP375" s="16">
        <f>IFERROR(__xludf.DUMMYFUNCTION("""COMPUTED_VALUE"""),0.0)</f>
        <v>0</v>
      </c>
      <c r="BQ375" s="16">
        <f>IFERROR(__xludf.DUMMYFUNCTION("""COMPUTED_VALUE"""),9.0)</f>
        <v>9</v>
      </c>
      <c r="BR375" s="16">
        <f>IFERROR(__xludf.DUMMYFUNCTION("""COMPUTED_VALUE"""),9.0)</f>
        <v>9</v>
      </c>
      <c r="BS375" s="16">
        <f>IFERROR(__xludf.DUMMYFUNCTION("""COMPUTED_VALUE"""),3.0)</f>
        <v>3</v>
      </c>
      <c r="BT375" s="16">
        <f>IFERROR(__xludf.DUMMYFUNCTION("""COMPUTED_VALUE"""),3.0)</f>
        <v>3</v>
      </c>
      <c r="BU375" s="16">
        <f>IFERROR(__xludf.DUMMYFUNCTION("""COMPUTED_VALUE"""),6.0)</f>
        <v>6</v>
      </c>
      <c r="BV375" s="16">
        <f>IFERROR(__xludf.DUMMYFUNCTION("""COMPUTED_VALUE"""),6.0)</f>
        <v>6</v>
      </c>
      <c r="BW375" s="16">
        <f>IFERROR(__xludf.DUMMYFUNCTION("""COMPUTED_VALUE"""),-4.0)</f>
        <v>-4</v>
      </c>
      <c r="BX375" s="16">
        <f>IFERROR(__xludf.DUMMYFUNCTION("""COMPUTED_VALUE"""),-4.0)</f>
        <v>-4</v>
      </c>
      <c r="BY375" s="16" t="str">
        <f>IFERROR(__xludf.DUMMYFUNCTION("""COMPUTED_VALUE"""),"S(5)")</f>
        <v>S(5)</v>
      </c>
      <c r="BZ375" s="16" t="str">
        <f>IFERROR(__xludf.DUMMYFUNCTION("""COMPUTED_VALUE"""),"S(5)")</f>
        <v>S(5)</v>
      </c>
      <c r="CA375" s="16" t="str">
        <f>IFERROR(__xludf.DUMMYFUNCTION("""COMPUTED_VALUE"""),"S(5)")</f>
        <v>S(5)</v>
      </c>
      <c r="CB375" s="16"/>
      <c r="CC375" s="16"/>
      <c r="CD375" s="16">
        <f>IFERROR(__xludf.DUMMYFUNCTION("""COMPUTED_VALUE"""),5.0)</f>
        <v>5</v>
      </c>
      <c r="CE375" s="16"/>
      <c r="CF375" s="16"/>
      <c r="CG375" s="16" t="str">
        <f>IFERROR(__xludf.DUMMYFUNCTION("""COMPUTED_VALUE"""),"1-0")</f>
        <v>1-0</v>
      </c>
      <c r="CH375" s="16">
        <f>IFERROR(__xludf.DUMMYFUNCTION("""COMPUTED_VALUE"""),1.0)</f>
        <v>1</v>
      </c>
      <c r="CI375" s="16">
        <f>IFERROR(__xludf.DUMMYFUNCTION("""COMPUTED_VALUE"""),0.0)</f>
        <v>0</v>
      </c>
      <c r="CJ375" s="16">
        <f>IFERROR(__xludf.DUMMYFUNCTION("""COMPUTED_VALUE"""),9.0)</f>
        <v>9</v>
      </c>
      <c r="CK375" s="16">
        <f>IFERROR(__xludf.DUMMYFUNCTION("""COMPUTED_VALUE"""),7.0)</f>
        <v>7</v>
      </c>
      <c r="CL375" s="16" t="str">
        <f>IFERROR(__xludf.DUMMYFUNCTION("""COMPUTED_VALUE"""),"1WR-C")</f>
        <v>1WR-C</v>
      </c>
      <c r="CM375" s="16" t="str">
        <f>IFERROR(__xludf.DUMMYFUNCTION("""COMPUTED_VALUE"""),"E")</f>
        <v>E</v>
      </c>
      <c r="CN375" s="16">
        <f>IFERROR(__xludf.DUMMYFUNCTION("""COMPUTED_VALUE"""),10.0)</f>
        <v>10</v>
      </c>
      <c r="CO375" s="16" t="str">
        <f>IFERROR(__xludf.DUMMYFUNCTION("""COMPUTED_VALUE"""),"C")</f>
        <v>C</v>
      </c>
      <c r="CP375" s="16" t="str">
        <f>IFERROR(__xludf.DUMMYFUNCTION("""COMPUTED_VALUE"""),"1p70")</f>
        <v>1p70</v>
      </c>
      <c r="CQ375" s="16">
        <f>IFERROR(__xludf.DUMMYFUNCTION("""COMPUTED_VALUE"""),-22.0)</f>
        <v>-22</v>
      </c>
      <c r="CR375" s="16">
        <f>IFERROR(__xludf.DUMMYFUNCTION("""COMPUTED_VALUE"""),-9.0)</f>
        <v>-9</v>
      </c>
      <c r="CS375" s="16">
        <f>IFERROR(__xludf.DUMMYFUNCTION("""COMPUTED_VALUE"""),-31.0)</f>
        <v>-31</v>
      </c>
      <c r="CT375" s="16">
        <f>IFERROR(__xludf.DUMMYFUNCTION("""COMPUTED_VALUE"""),-22.0)</f>
        <v>-22</v>
      </c>
      <c r="CU375" s="16">
        <f>IFERROR(__xludf.DUMMYFUNCTION("""COMPUTED_VALUE"""),-9.0)</f>
        <v>-9</v>
      </c>
      <c r="CV375" s="179">
        <f>IFERROR(__xludf.DUMMYFUNCTION("""COMPUTED_VALUE"""),-10.666666666666668)</f>
        <v>-10.66666667</v>
      </c>
      <c r="CW375" s="179">
        <f>IFERROR(__xludf.DUMMYFUNCTION("""COMPUTED_VALUE"""),4.0)</f>
        <v>4</v>
      </c>
      <c r="CX375" s="179">
        <f>IFERROR(__xludf.DUMMYFUNCTION("""COMPUTED_VALUE"""),3.0)</f>
        <v>3</v>
      </c>
      <c r="CY375" s="16" t="str">
        <f>IFERROR(__xludf.DUMMYFUNCTION("""COMPUTED_VALUE"""),"SP")</f>
        <v>SP</v>
      </c>
      <c r="CZ375" s="16"/>
      <c r="DA375" s="16"/>
      <c r="DB375" s="16"/>
      <c r="DC375" s="16"/>
      <c r="DD375" s="16"/>
      <c r="DE375" s="16"/>
      <c r="DF375" s="16"/>
      <c r="DG375" s="16"/>
      <c r="DH375" s="16"/>
      <c r="DI375" s="16"/>
      <c r="DJ375" s="16"/>
      <c r="DK375" s="16"/>
    </row>
    <row r="376">
      <c r="A376" s="16">
        <f>IFERROR(__xludf.DUMMYFUNCTION("""COMPUTED_VALUE"""),13105.0)</f>
        <v>13105</v>
      </c>
      <c r="B376" s="16" t="str">
        <f>IFERROR(__xludf.DUMMYFUNCTION("""COMPUTED_VALUE"""),"Kyle Tyler")</f>
        <v>Kyle Tyler</v>
      </c>
      <c r="C376" s="153">
        <f>IFERROR(__xludf.DUMMYFUNCTION("""COMPUTED_VALUE"""),0.41)</f>
        <v>0.41</v>
      </c>
      <c r="D376" s="16"/>
      <c r="E376" s="16" t="str">
        <f>IFERROR(__xludf.DUMMYFUNCTION("""COMPUTED_VALUE"""),"R")</f>
        <v>R</v>
      </c>
      <c r="F376" s="16">
        <f>IFERROR(__xludf.DUMMYFUNCTION("""COMPUTED_VALUE"""),32.0)</f>
        <v>32</v>
      </c>
      <c r="G376" s="16">
        <f>IFERROR(__xludf.DUMMYFUNCTION("""COMPUTED_VALUE"""),13.0)</f>
        <v>13</v>
      </c>
      <c r="H376" s="16">
        <f>IFERROR(__xludf.DUMMYFUNCTION("""COMPUTED_VALUE"""),13.0)</f>
        <v>13</v>
      </c>
      <c r="I376" s="16">
        <f>IFERROR(__xludf.DUMMYFUNCTION("""COMPUTED_VALUE"""),-2.0)</f>
        <v>-2</v>
      </c>
      <c r="J376" s="16">
        <f>IFERROR(__xludf.DUMMYFUNCTION("""COMPUTED_VALUE"""),-2.0)</f>
        <v>-2</v>
      </c>
      <c r="K376" s="16">
        <f>IFERROR(__xludf.DUMMYFUNCTION("""COMPUTED_VALUE"""),-6.0)</f>
        <v>-6</v>
      </c>
      <c r="L376" s="16">
        <f>IFERROR(__xludf.DUMMYFUNCTION("""COMPUTED_VALUE"""),-6.0)</f>
        <v>-6</v>
      </c>
      <c r="M376" s="16">
        <f>IFERROR(__xludf.DUMMYFUNCTION("""COMPUTED_VALUE"""),15.0)</f>
        <v>15</v>
      </c>
      <c r="N376" s="16">
        <f>IFERROR(__xludf.DUMMYFUNCTION("""COMPUTED_VALUE"""),22.0)</f>
        <v>22</v>
      </c>
      <c r="O376" s="16">
        <f>IFERROR(__xludf.DUMMYFUNCTION("""COMPUTED_VALUE"""),-2.0)</f>
        <v>-2</v>
      </c>
      <c r="P376" s="16">
        <f>IFERROR(__xludf.DUMMYFUNCTION("""COMPUTED_VALUE"""),-3.0)</f>
        <v>-3</v>
      </c>
      <c r="Q376" s="16">
        <f>IFERROR(__xludf.DUMMYFUNCTION("""COMPUTED_VALUE"""),-2.0)</f>
        <v>-2</v>
      </c>
      <c r="R376" s="16">
        <f>IFERROR(__xludf.DUMMYFUNCTION("""COMPUTED_VALUE"""),-3.0)</f>
        <v>-3</v>
      </c>
      <c r="S376" s="16">
        <f>IFERROR(__xludf.DUMMYFUNCTION("""COMPUTED_VALUE"""),28.6)</f>
        <v>28.6</v>
      </c>
      <c r="T376" s="16">
        <f>IFERROR(__xludf.DUMMYFUNCTION("""COMPUTED_VALUE"""),15.0)</f>
        <v>15</v>
      </c>
      <c r="U376" s="16">
        <f>IFERROR(__xludf.DUMMYFUNCTION("""COMPUTED_VALUE"""),-2.0)</f>
        <v>-2</v>
      </c>
      <c r="V376" s="16">
        <f>IFERROR(__xludf.DUMMYFUNCTION("""COMPUTED_VALUE"""),0.0)</f>
        <v>0</v>
      </c>
      <c r="W376" s="16">
        <f>IFERROR(__xludf.DUMMYFUNCTION("""COMPUTED_VALUE"""),-4.0)</f>
        <v>-4</v>
      </c>
      <c r="X376" s="16">
        <f>IFERROR(__xludf.DUMMYFUNCTION("""COMPUTED_VALUE"""),0.0)</f>
        <v>0</v>
      </c>
      <c r="Y376" s="16">
        <f>IFERROR(__xludf.DUMMYFUNCTION("""COMPUTED_VALUE"""),43.6)</f>
        <v>43.6</v>
      </c>
      <c r="Z376" s="16">
        <f>IFERROR(__xludf.DUMMYFUNCTION("""COMPUTED_VALUE"""),37.0)</f>
        <v>37</v>
      </c>
      <c r="AA376" s="16">
        <f>IFERROR(__xludf.DUMMYFUNCTION("""COMPUTED_VALUE"""),-2.0)</f>
        <v>-2</v>
      </c>
      <c r="AB376" s="16">
        <f>IFERROR(__xludf.DUMMYFUNCTION("""COMPUTED_VALUE"""),-2.0)</f>
        <v>-2</v>
      </c>
      <c r="AC376" s="16">
        <f>IFERROR(__xludf.DUMMYFUNCTION("""COMPUTED_VALUE"""),-10.0)</f>
        <v>-10</v>
      </c>
      <c r="AD376" s="16">
        <f>IFERROR(__xludf.DUMMYFUNCTION("""COMPUTED_VALUE"""),-10.0)</f>
        <v>-10</v>
      </c>
      <c r="AE376" s="16">
        <f>IFERROR(__xludf.DUMMYFUNCTION("""COMPUTED_VALUE"""),38.0)</f>
        <v>38</v>
      </c>
      <c r="AF376" s="16">
        <f>IFERROR(__xludf.DUMMYFUNCTION("""COMPUTED_VALUE"""),15.6)</f>
        <v>15.6</v>
      </c>
      <c r="AG376" s="16">
        <f>IFERROR(__xludf.DUMMYFUNCTION("""COMPUTED_VALUE"""),-1.0)</f>
        <v>-1</v>
      </c>
      <c r="AH376" s="16">
        <f>IFERROR(__xludf.DUMMYFUNCTION("""COMPUTED_VALUE"""),1.0)</f>
        <v>1</v>
      </c>
      <c r="AI376" s="16">
        <f>IFERROR(__xludf.DUMMYFUNCTION("""COMPUTED_VALUE"""),-2.0)</f>
        <v>-2</v>
      </c>
      <c r="AJ376" s="16">
        <f>IFERROR(__xludf.DUMMYFUNCTION("""COMPUTED_VALUE"""),2.0)</f>
        <v>2</v>
      </c>
      <c r="AK376" s="16">
        <f>IFERROR(__xludf.DUMMYFUNCTION("""COMPUTED_VALUE"""),25.8)</f>
        <v>25.8</v>
      </c>
      <c r="AL376" s="16">
        <f>IFERROR(__xludf.DUMMYFUNCTION("""COMPUTED_VALUE"""),14.8)</f>
        <v>14.8</v>
      </c>
      <c r="AM376" s="16">
        <f>IFERROR(__xludf.DUMMYFUNCTION("""COMPUTED_VALUE"""),-2.0)</f>
        <v>-2</v>
      </c>
      <c r="AN376" s="16">
        <f>IFERROR(__xludf.DUMMYFUNCTION("""COMPUTED_VALUE"""),0.0)</f>
        <v>0</v>
      </c>
      <c r="AO376" s="16">
        <f>IFERROR(__xludf.DUMMYFUNCTION("""COMPUTED_VALUE"""),-2.0)</f>
        <v>-2</v>
      </c>
      <c r="AP376" s="16">
        <f>IFERROR(__xludf.DUMMYFUNCTION("""COMPUTED_VALUE"""),0.0)</f>
        <v>0</v>
      </c>
      <c r="AQ376" s="16">
        <f>IFERROR(__xludf.DUMMYFUNCTION("""COMPUTED_VALUE"""),26.8)</f>
        <v>26.8</v>
      </c>
      <c r="AR376" s="16">
        <f>IFERROR(__xludf.DUMMYFUNCTION("""COMPUTED_VALUE"""),14.799999999999999)</f>
        <v>14.8</v>
      </c>
      <c r="AS376" s="16">
        <f>IFERROR(__xludf.DUMMYFUNCTION("""COMPUTED_VALUE"""),-1.0)</f>
        <v>-1</v>
      </c>
      <c r="AT376" s="16">
        <f>IFERROR(__xludf.DUMMYFUNCTION("""COMPUTED_VALUE"""),1.0)</f>
        <v>1</v>
      </c>
      <c r="AU376" s="16">
        <f>IFERROR(__xludf.DUMMYFUNCTION("""COMPUTED_VALUE"""),-2.0)</f>
        <v>-2</v>
      </c>
      <c r="AV376" s="16">
        <f>IFERROR(__xludf.DUMMYFUNCTION("""COMPUTED_VALUE"""),2.0)</f>
        <v>2</v>
      </c>
      <c r="AW376" s="16">
        <f>IFERROR(__xludf.DUMMYFUNCTION("""COMPUTED_VALUE"""),2.8)</f>
        <v>2.8</v>
      </c>
      <c r="AX376" s="16">
        <f>IFERROR(__xludf.DUMMYFUNCTION("""COMPUTED_VALUE"""),0.2)</f>
        <v>0.2</v>
      </c>
      <c r="AY376" s="16">
        <f>IFERROR(__xludf.DUMMYFUNCTION("""COMPUTED_VALUE"""),-1.0)</f>
        <v>-1</v>
      </c>
      <c r="AZ376" s="16">
        <f>IFERROR(__xludf.DUMMYFUNCTION("""COMPUTED_VALUE"""),2.0)</f>
        <v>2</v>
      </c>
      <c r="BA376" s="16">
        <f>IFERROR(__xludf.DUMMYFUNCTION("""COMPUTED_VALUE"""),-5.0)</f>
        <v>-5</v>
      </c>
      <c r="BB376" s="16">
        <f>IFERROR(__xludf.DUMMYFUNCTION("""COMPUTED_VALUE"""),10.0)</f>
        <v>10</v>
      </c>
      <c r="BC376" s="16">
        <f>IFERROR(__xludf.DUMMYFUNCTION("""COMPUTED_VALUE"""),4.0)</f>
        <v>4</v>
      </c>
      <c r="BD376" s="16">
        <f>IFERROR(__xludf.DUMMYFUNCTION("""COMPUTED_VALUE"""),0.0)</f>
        <v>0</v>
      </c>
      <c r="BE376" s="16">
        <f>IFERROR(__xludf.DUMMYFUNCTION("""COMPUTED_VALUE"""),4.0)</f>
        <v>4</v>
      </c>
      <c r="BF376" s="16">
        <f>IFERROR(__xludf.DUMMYFUNCTION("""COMPUTED_VALUE"""),0.0)</f>
        <v>0</v>
      </c>
      <c r="BG376" s="16">
        <f>IFERROR(__xludf.DUMMYFUNCTION("""COMPUTED_VALUE"""),-1.0)</f>
        <v>-1</v>
      </c>
      <c r="BH376" s="16">
        <f>IFERROR(__xludf.DUMMYFUNCTION("""COMPUTED_VALUE"""),2.0)</f>
        <v>2</v>
      </c>
      <c r="BI376" s="16">
        <f>IFERROR(__xludf.DUMMYFUNCTION("""COMPUTED_VALUE"""),-2.0)</f>
        <v>-2</v>
      </c>
      <c r="BJ376" s="16">
        <f>IFERROR(__xludf.DUMMYFUNCTION("""COMPUTED_VALUE"""),4.0)</f>
        <v>4</v>
      </c>
      <c r="BK376" s="16">
        <f>IFERROR(__xludf.DUMMYFUNCTION("""COMPUTED_VALUE"""),5.0)</f>
        <v>5</v>
      </c>
      <c r="BL376" s="16">
        <f>IFERROR(__xludf.DUMMYFUNCTION("""COMPUTED_VALUE"""),5.0)</f>
        <v>5</v>
      </c>
      <c r="BM376" s="16">
        <f>IFERROR(__xludf.DUMMYFUNCTION("""COMPUTED_VALUE"""),0.0)</f>
        <v>0</v>
      </c>
      <c r="BN376" s="16">
        <f>IFERROR(__xludf.DUMMYFUNCTION("""COMPUTED_VALUE"""),0.0)</f>
        <v>0</v>
      </c>
      <c r="BO376" s="16">
        <f>IFERROR(__xludf.DUMMYFUNCTION("""COMPUTED_VALUE"""),0.0)</f>
        <v>0</v>
      </c>
      <c r="BP376" s="16">
        <f>IFERROR(__xludf.DUMMYFUNCTION("""COMPUTED_VALUE"""),0.0)</f>
        <v>0</v>
      </c>
      <c r="BQ376" s="16">
        <f>IFERROR(__xludf.DUMMYFUNCTION("""COMPUTED_VALUE"""),10.0)</f>
        <v>10</v>
      </c>
      <c r="BR376" s="16">
        <f>IFERROR(__xludf.DUMMYFUNCTION("""COMPUTED_VALUE"""),12.0)</f>
        <v>12</v>
      </c>
      <c r="BS376" s="16">
        <f>IFERROR(__xludf.DUMMYFUNCTION("""COMPUTED_VALUE"""),3.0)</f>
        <v>3</v>
      </c>
      <c r="BT376" s="16">
        <f>IFERROR(__xludf.DUMMYFUNCTION("""COMPUTED_VALUE"""),3.0)</f>
        <v>3</v>
      </c>
      <c r="BU376" s="16">
        <f>IFERROR(__xludf.DUMMYFUNCTION("""COMPUTED_VALUE"""),6.0)</f>
        <v>6</v>
      </c>
      <c r="BV376" s="16">
        <f>IFERROR(__xludf.DUMMYFUNCTION("""COMPUTED_VALUE"""),6.0)</f>
        <v>6</v>
      </c>
      <c r="BW376" s="16">
        <f>IFERROR(__xludf.DUMMYFUNCTION("""COMPUTED_VALUE"""),1.0)</f>
        <v>1</v>
      </c>
      <c r="BX376" s="16">
        <f>IFERROR(__xludf.DUMMYFUNCTION("""COMPUTED_VALUE"""),1.0)</f>
        <v>1</v>
      </c>
      <c r="BY376" s="16" t="str">
        <f>IFERROR(__xludf.DUMMYFUNCTION("""COMPUTED_VALUE"""),"S(4) R(3)")</f>
        <v>S(4) R(3)</v>
      </c>
      <c r="BZ376" s="16" t="str">
        <f>IFERROR(__xludf.DUMMYFUNCTION("""COMPUTED_VALUE"""),"S(4) R(3)")</f>
        <v>S(4) R(3)</v>
      </c>
      <c r="CA376" s="16" t="str">
        <f>IFERROR(__xludf.DUMMYFUNCTION("""COMPUTED_VALUE"""),"S(4)")</f>
        <v>S(4)</v>
      </c>
      <c r="CB376" s="16" t="str">
        <f>IFERROR(__xludf.DUMMYFUNCTION("""COMPUTED_VALUE"""),"R(3)")</f>
        <v>R(3)</v>
      </c>
      <c r="CC376" s="16"/>
      <c r="CD376" s="16">
        <f>IFERROR(__xludf.DUMMYFUNCTION("""COMPUTED_VALUE"""),4.0)</f>
        <v>4</v>
      </c>
      <c r="CE376" s="16">
        <f>IFERROR(__xludf.DUMMYFUNCTION("""COMPUTED_VALUE"""),3.0)</f>
        <v>3</v>
      </c>
      <c r="CF376" s="16"/>
      <c r="CG376" s="16" t="str">
        <f>IFERROR(__xludf.DUMMYFUNCTION("""COMPUTED_VALUE"""),"2-0")</f>
        <v>2-0</v>
      </c>
      <c r="CH376" s="16">
        <f>IFERROR(__xludf.DUMMYFUNCTION("""COMPUTED_VALUE"""),2.0)</f>
        <v>2</v>
      </c>
      <c r="CI376" s="16">
        <f>IFERROR(__xludf.DUMMYFUNCTION("""COMPUTED_VALUE"""),0.0)</f>
        <v>0</v>
      </c>
      <c r="CJ376" s="16">
        <f>IFERROR(__xludf.DUMMYFUNCTION("""COMPUTED_VALUE"""),0.0)</f>
        <v>0</v>
      </c>
      <c r="CK376" s="16">
        <f>IFERROR(__xludf.DUMMYFUNCTION("""COMPUTED_VALUE"""),6.0)</f>
        <v>6</v>
      </c>
      <c r="CL376" s="16" t="str">
        <f>IFERROR(__xludf.DUMMYFUNCTION("""COMPUTED_VALUE"""),"1WR-C")</f>
        <v>1WR-C</v>
      </c>
      <c r="CM376" s="16" t="str">
        <f>IFERROR(__xludf.DUMMYFUNCTION("""COMPUTED_VALUE"""),"E")</f>
        <v>E</v>
      </c>
      <c r="CN376" s="16">
        <f>IFERROR(__xludf.DUMMYFUNCTION("""COMPUTED_VALUE"""),10.0)</f>
        <v>10</v>
      </c>
      <c r="CO376" s="16" t="str">
        <f>IFERROR(__xludf.DUMMYFUNCTION("""COMPUTED_VALUE"""),"C")</f>
        <v>C</v>
      </c>
      <c r="CP376" s="16" t="str">
        <f>IFERROR(__xludf.DUMMYFUNCTION("""COMPUTED_VALUE"""),"1p20")</f>
        <v>1p20</v>
      </c>
      <c r="CQ376" s="16">
        <f>IFERROR(__xludf.DUMMYFUNCTION("""COMPUTED_VALUE"""),-29.0)</f>
        <v>-29</v>
      </c>
      <c r="CR376" s="16">
        <f>IFERROR(__xludf.DUMMYFUNCTION("""COMPUTED_VALUE"""),5.0)</f>
        <v>5</v>
      </c>
      <c r="CS376" s="16">
        <f>IFERROR(__xludf.DUMMYFUNCTION("""COMPUTED_VALUE"""),-24.0)</f>
        <v>-24</v>
      </c>
      <c r="CT376" s="16">
        <f>IFERROR(__xludf.DUMMYFUNCTION("""COMPUTED_VALUE"""),-29.0)</f>
        <v>-29</v>
      </c>
      <c r="CU376" s="16">
        <f>IFERROR(__xludf.DUMMYFUNCTION("""COMPUTED_VALUE"""),5.0)</f>
        <v>5</v>
      </c>
      <c r="CV376" s="179">
        <f>IFERROR(__xludf.DUMMYFUNCTION("""COMPUTED_VALUE"""),-10.666666666666668)</f>
        <v>-10.66666667</v>
      </c>
      <c r="CW376" s="179">
        <f>IFERROR(__xludf.DUMMYFUNCTION("""COMPUTED_VALUE"""),4.0)</f>
        <v>4</v>
      </c>
      <c r="CX376" s="179">
        <f>IFERROR(__xludf.DUMMYFUNCTION("""COMPUTED_VALUE"""),3.0)</f>
        <v>3</v>
      </c>
      <c r="CY376" s="16" t="str">
        <f>IFERROR(__xludf.DUMMYFUNCTION("""COMPUTED_VALUE"""),"SP")</f>
        <v>SP</v>
      </c>
      <c r="CZ376" s="16" t="str">
        <f>IFERROR(__xludf.DUMMYFUNCTION("""COMPUTED_VALUE"""),"RP")</f>
        <v>RP</v>
      </c>
      <c r="DA376" s="16"/>
      <c r="DB376" s="16"/>
      <c r="DC376" s="16"/>
      <c r="DD376" s="16"/>
      <c r="DE376" s="16"/>
      <c r="DF376" s="16"/>
      <c r="DG376" s="16"/>
      <c r="DH376" s="16"/>
      <c r="DI376" s="16"/>
      <c r="DJ376" s="16"/>
      <c r="DK376" s="16"/>
    </row>
    <row r="377">
      <c r="A377" s="16">
        <f>IFERROR(__xludf.DUMMYFUNCTION("""COMPUTED_VALUE"""),12821.0)</f>
        <v>12821</v>
      </c>
      <c r="B377" s="16" t="str">
        <f>IFERROR(__xludf.DUMMYFUNCTION("""COMPUTED_VALUE"""),"Frankie Montas")</f>
        <v>Frankie Montas</v>
      </c>
      <c r="C377" s="153">
        <f>IFERROR(__xludf.DUMMYFUNCTION("""COMPUTED_VALUE"""),0.18)</f>
        <v>0.18</v>
      </c>
      <c r="D377" s="16"/>
      <c r="E377" s="16" t="str">
        <f>IFERROR(__xludf.DUMMYFUNCTION("""COMPUTED_VALUE"""),"R")</f>
        <v>R</v>
      </c>
      <c r="F377" s="16">
        <f>IFERROR(__xludf.DUMMYFUNCTION("""COMPUTED_VALUE"""),151.0)</f>
        <v>151</v>
      </c>
      <c r="G377" s="16">
        <f>IFERROR(__xludf.DUMMYFUNCTION("""COMPUTED_VALUE"""),19.0)</f>
        <v>19</v>
      </c>
      <c r="H377" s="16">
        <f>IFERROR(__xludf.DUMMYFUNCTION("""COMPUTED_VALUE"""),31.0)</f>
        <v>31</v>
      </c>
      <c r="I377" s="16">
        <f>IFERROR(__xludf.DUMMYFUNCTION("""COMPUTED_VALUE"""),-1.0)</f>
        <v>-1</v>
      </c>
      <c r="J377" s="16">
        <f>IFERROR(__xludf.DUMMYFUNCTION("""COMPUTED_VALUE"""),0.0)</f>
        <v>0</v>
      </c>
      <c r="K377" s="16">
        <f>IFERROR(__xludf.DUMMYFUNCTION("""COMPUTED_VALUE"""),-3.0)</f>
        <v>-3</v>
      </c>
      <c r="L377" s="16">
        <f>IFERROR(__xludf.DUMMYFUNCTION("""COMPUTED_VALUE"""),0.0)</f>
        <v>0</v>
      </c>
      <c r="M377" s="16">
        <f>IFERROR(__xludf.DUMMYFUNCTION("""COMPUTED_VALUE"""),16.0)</f>
        <v>16</v>
      </c>
      <c r="N377" s="16">
        <f>IFERROR(__xludf.DUMMYFUNCTION("""COMPUTED_VALUE"""),10.0)</f>
        <v>10</v>
      </c>
      <c r="O377" s="16">
        <f>IFERROR(__xludf.DUMMYFUNCTION("""COMPUTED_VALUE"""),-2.0)</f>
        <v>-2</v>
      </c>
      <c r="P377" s="16">
        <f>IFERROR(__xludf.DUMMYFUNCTION("""COMPUTED_VALUE"""),-1.0)</f>
        <v>-1</v>
      </c>
      <c r="Q377" s="16">
        <f>IFERROR(__xludf.DUMMYFUNCTION("""COMPUTED_VALUE"""),-2.0)</f>
        <v>-2</v>
      </c>
      <c r="R377" s="16">
        <f>IFERROR(__xludf.DUMMYFUNCTION("""COMPUTED_VALUE"""),-1.0)</f>
        <v>-1</v>
      </c>
      <c r="S377" s="16">
        <f>IFERROR(__xludf.DUMMYFUNCTION("""COMPUTED_VALUE"""),19.4)</f>
        <v>19.4</v>
      </c>
      <c r="T377" s="16">
        <f>IFERROR(__xludf.DUMMYFUNCTION("""COMPUTED_VALUE"""),10.5)</f>
        <v>10.5</v>
      </c>
      <c r="U377" s="16">
        <f>IFERROR(__xludf.DUMMYFUNCTION("""COMPUTED_VALUE"""),-1.0)</f>
        <v>-1</v>
      </c>
      <c r="V377" s="16">
        <f>IFERROR(__xludf.DUMMYFUNCTION("""COMPUTED_VALUE"""),1.0)</f>
        <v>1</v>
      </c>
      <c r="W377" s="16">
        <f>IFERROR(__xludf.DUMMYFUNCTION("""COMPUTED_VALUE"""),-2.0)</f>
        <v>-2</v>
      </c>
      <c r="X377" s="16">
        <f>IFERROR(__xludf.DUMMYFUNCTION("""COMPUTED_VALUE"""),2.0)</f>
        <v>2</v>
      </c>
      <c r="Y377" s="16">
        <f>IFERROR(__xludf.DUMMYFUNCTION("""COMPUTED_VALUE"""),35.4)</f>
        <v>35.4</v>
      </c>
      <c r="Z377" s="16">
        <f>IFERROR(__xludf.DUMMYFUNCTION("""COMPUTED_VALUE"""),20.5)</f>
        <v>20.5</v>
      </c>
      <c r="AA377" s="16">
        <f>IFERROR(__xludf.DUMMYFUNCTION("""COMPUTED_VALUE"""),-1.0)</f>
        <v>-1</v>
      </c>
      <c r="AB377" s="16">
        <f>IFERROR(__xludf.DUMMYFUNCTION("""COMPUTED_VALUE"""),1.0)</f>
        <v>1</v>
      </c>
      <c r="AC377" s="16">
        <f>IFERROR(__xludf.DUMMYFUNCTION("""COMPUTED_VALUE"""),-5.0)</f>
        <v>-5</v>
      </c>
      <c r="AD377" s="16">
        <f>IFERROR(__xludf.DUMMYFUNCTION("""COMPUTED_VALUE"""),5.0)</f>
        <v>5</v>
      </c>
      <c r="AE377" s="16">
        <f>IFERROR(__xludf.DUMMYFUNCTION("""COMPUTED_VALUE"""),37.0)</f>
        <v>37</v>
      </c>
      <c r="AF377" s="16">
        <f>IFERROR(__xludf.DUMMYFUNCTION("""COMPUTED_VALUE"""),20.4)</f>
        <v>20.4</v>
      </c>
      <c r="AG377" s="16">
        <f>IFERROR(__xludf.DUMMYFUNCTION("""COMPUTED_VALUE"""),-1.0)</f>
        <v>-1</v>
      </c>
      <c r="AH377" s="16">
        <f>IFERROR(__xludf.DUMMYFUNCTION("""COMPUTED_VALUE"""),1.0)</f>
        <v>1</v>
      </c>
      <c r="AI377" s="16">
        <f>IFERROR(__xludf.DUMMYFUNCTION("""COMPUTED_VALUE"""),-2.0)</f>
        <v>-2</v>
      </c>
      <c r="AJ377" s="16">
        <f>IFERROR(__xludf.DUMMYFUNCTION("""COMPUTED_VALUE"""),2.0)</f>
        <v>2</v>
      </c>
      <c r="AK377" s="16">
        <f>IFERROR(__xludf.DUMMYFUNCTION("""COMPUTED_VALUE"""),15.299999999999999)</f>
        <v>15.3</v>
      </c>
      <c r="AL377" s="16">
        <f>IFERROR(__xludf.DUMMYFUNCTION("""COMPUTED_VALUE"""),8.7)</f>
        <v>8.7</v>
      </c>
      <c r="AM377" s="16">
        <f>IFERROR(__xludf.DUMMYFUNCTION("""COMPUTED_VALUE"""),0.0)</f>
        <v>0</v>
      </c>
      <c r="AN377" s="16">
        <f>IFERROR(__xludf.DUMMYFUNCTION("""COMPUTED_VALUE"""),1.0)</f>
        <v>1</v>
      </c>
      <c r="AO377" s="16">
        <f>IFERROR(__xludf.DUMMYFUNCTION("""COMPUTED_VALUE"""),0.0)</f>
        <v>0</v>
      </c>
      <c r="AP377" s="16">
        <f>IFERROR(__xludf.DUMMYFUNCTION("""COMPUTED_VALUE"""),1.0)</f>
        <v>1</v>
      </c>
      <c r="AQ377" s="16">
        <f>IFERROR(__xludf.DUMMYFUNCTION("""COMPUTED_VALUE"""),20.6)</f>
        <v>20.6</v>
      </c>
      <c r="AR377" s="16">
        <f>IFERROR(__xludf.DUMMYFUNCTION("""COMPUTED_VALUE"""),13.2)</f>
        <v>13.2</v>
      </c>
      <c r="AS377" s="16">
        <f>IFERROR(__xludf.DUMMYFUNCTION("""COMPUTED_VALUE"""),0.0)</f>
        <v>0</v>
      </c>
      <c r="AT377" s="16">
        <f>IFERROR(__xludf.DUMMYFUNCTION("""COMPUTED_VALUE"""),1.0)</f>
        <v>1</v>
      </c>
      <c r="AU377" s="16">
        <f>IFERROR(__xludf.DUMMYFUNCTION("""COMPUTED_VALUE"""),0.0)</f>
        <v>0</v>
      </c>
      <c r="AV377" s="16">
        <f>IFERROR(__xludf.DUMMYFUNCTION("""COMPUTED_VALUE"""),2.0)</f>
        <v>2</v>
      </c>
      <c r="AW377" s="16">
        <f>IFERROR(__xludf.DUMMYFUNCTION("""COMPUTED_VALUE"""),4.1)</f>
        <v>4.1</v>
      </c>
      <c r="AX377" s="16">
        <f>IFERROR(__xludf.DUMMYFUNCTION("""COMPUTED_VALUE"""),1.8)</f>
        <v>1.8</v>
      </c>
      <c r="AY377" s="16">
        <f>IFERROR(__xludf.DUMMYFUNCTION("""COMPUTED_VALUE"""),-2.0)</f>
        <v>-2</v>
      </c>
      <c r="AZ377" s="16">
        <f>IFERROR(__xludf.DUMMYFUNCTION("""COMPUTED_VALUE"""),0.0)</f>
        <v>0</v>
      </c>
      <c r="BA377" s="16">
        <f>IFERROR(__xludf.DUMMYFUNCTION("""COMPUTED_VALUE"""),-10.0)</f>
        <v>-10</v>
      </c>
      <c r="BB377" s="16">
        <f>IFERROR(__xludf.DUMMYFUNCTION("""COMPUTED_VALUE"""),0.0)</f>
        <v>0</v>
      </c>
      <c r="BC377" s="16">
        <f>IFERROR(__xludf.DUMMYFUNCTION("""COMPUTED_VALUE"""),4.0)</f>
        <v>4</v>
      </c>
      <c r="BD377" s="16">
        <f>IFERROR(__xludf.DUMMYFUNCTION("""COMPUTED_VALUE"""),1.0)</f>
        <v>1</v>
      </c>
      <c r="BE377" s="16">
        <f>IFERROR(__xludf.DUMMYFUNCTION("""COMPUTED_VALUE"""),4.0)</f>
        <v>4</v>
      </c>
      <c r="BF377" s="16">
        <f>IFERROR(__xludf.DUMMYFUNCTION("""COMPUTED_VALUE"""),1.0)</f>
        <v>1</v>
      </c>
      <c r="BG377" s="16">
        <f>IFERROR(__xludf.DUMMYFUNCTION("""COMPUTED_VALUE"""),-1.0)</f>
        <v>-1</v>
      </c>
      <c r="BH377" s="16">
        <f>IFERROR(__xludf.DUMMYFUNCTION("""COMPUTED_VALUE"""),2.0)</f>
        <v>2</v>
      </c>
      <c r="BI377" s="16">
        <f>IFERROR(__xludf.DUMMYFUNCTION("""COMPUTED_VALUE"""),-2.0)</f>
        <v>-2</v>
      </c>
      <c r="BJ377" s="16">
        <f>IFERROR(__xludf.DUMMYFUNCTION("""COMPUTED_VALUE"""),4.0)</f>
        <v>4</v>
      </c>
      <c r="BK377" s="16">
        <f>IFERROR(__xludf.DUMMYFUNCTION("""COMPUTED_VALUE"""),5.0)</f>
        <v>5</v>
      </c>
      <c r="BL377" s="16">
        <f>IFERROR(__xludf.DUMMYFUNCTION("""COMPUTED_VALUE"""),5.0)</f>
        <v>5</v>
      </c>
      <c r="BM377" s="16">
        <f>IFERROR(__xludf.DUMMYFUNCTION("""COMPUTED_VALUE"""),0.0)</f>
        <v>0</v>
      </c>
      <c r="BN377" s="16">
        <f>IFERROR(__xludf.DUMMYFUNCTION("""COMPUTED_VALUE"""),0.0)</f>
        <v>0</v>
      </c>
      <c r="BO377" s="16">
        <f>IFERROR(__xludf.DUMMYFUNCTION("""COMPUTED_VALUE"""),0.0)</f>
        <v>0</v>
      </c>
      <c r="BP377" s="16">
        <f>IFERROR(__xludf.DUMMYFUNCTION("""COMPUTED_VALUE"""),0.0)</f>
        <v>0</v>
      </c>
      <c r="BQ377" s="16">
        <f>IFERROR(__xludf.DUMMYFUNCTION("""COMPUTED_VALUE"""),0.0)</f>
        <v>0</v>
      </c>
      <c r="BR377" s="16">
        <f>IFERROR(__xludf.DUMMYFUNCTION("""COMPUTED_VALUE"""),1.0)</f>
        <v>1</v>
      </c>
      <c r="BS377" s="16">
        <f>IFERROR(__xludf.DUMMYFUNCTION("""COMPUTED_VALUE"""),-3.0)</f>
        <v>-3</v>
      </c>
      <c r="BT377" s="16">
        <f>IFERROR(__xludf.DUMMYFUNCTION("""COMPUTED_VALUE"""),-2.0)</f>
        <v>-2</v>
      </c>
      <c r="BU377" s="16">
        <f>IFERROR(__xludf.DUMMYFUNCTION("""COMPUTED_VALUE"""),-6.0)</f>
        <v>-6</v>
      </c>
      <c r="BV377" s="16">
        <f>IFERROR(__xludf.DUMMYFUNCTION("""COMPUTED_VALUE"""),-4.0)</f>
        <v>-4</v>
      </c>
      <c r="BW377" s="16">
        <f>IFERROR(__xludf.DUMMYFUNCTION("""COMPUTED_VALUE"""),4.0)</f>
        <v>4</v>
      </c>
      <c r="BX377" s="16">
        <f>IFERROR(__xludf.DUMMYFUNCTION("""COMPUTED_VALUE"""),4.0)</f>
        <v>4</v>
      </c>
      <c r="BY377" s="16" t="str">
        <f>IFERROR(__xludf.DUMMYFUNCTION("""COMPUTED_VALUE"""),"S(5)")</f>
        <v>S(5)</v>
      </c>
      <c r="BZ377" s="16" t="str">
        <f>IFERROR(__xludf.DUMMYFUNCTION("""COMPUTED_VALUE"""),"S(5)")</f>
        <v>S(5)</v>
      </c>
      <c r="CA377" s="16" t="str">
        <f>IFERROR(__xludf.DUMMYFUNCTION("""COMPUTED_VALUE"""),"S(5)")</f>
        <v>S(5)</v>
      </c>
      <c r="CB377" s="16"/>
      <c r="CC377" s="16"/>
      <c r="CD377" s="16">
        <f>IFERROR(__xludf.DUMMYFUNCTION("""COMPUTED_VALUE"""),5.0)</f>
        <v>5</v>
      </c>
      <c r="CE377" s="16"/>
      <c r="CF377" s="16"/>
      <c r="CG377" s="16" t="str">
        <f>IFERROR(__xludf.DUMMYFUNCTION("""COMPUTED_VALUE"""),"3-0")</f>
        <v>3-0</v>
      </c>
      <c r="CH377" s="16">
        <f>IFERROR(__xludf.DUMMYFUNCTION("""COMPUTED_VALUE"""),3.0)</f>
        <v>3</v>
      </c>
      <c r="CI377" s="16">
        <f>IFERROR(__xludf.DUMMYFUNCTION("""COMPUTED_VALUE"""),0.0)</f>
        <v>0</v>
      </c>
      <c r="CJ377" s="16">
        <f>IFERROR(__xludf.DUMMYFUNCTION("""COMPUTED_VALUE"""),0.0)</f>
        <v>0</v>
      </c>
      <c r="CK377" s="16">
        <f>IFERROR(__xludf.DUMMYFUNCTION("""COMPUTED_VALUE"""),3.0)</f>
        <v>3</v>
      </c>
      <c r="CL377" s="16" t="str">
        <f>IFERROR(__xludf.DUMMYFUNCTION("""COMPUTED_VALUE"""),"1WR-C")</f>
        <v>1WR-C</v>
      </c>
      <c r="CM377" s="16" t="str">
        <f>IFERROR(__xludf.DUMMYFUNCTION("""COMPUTED_VALUE"""),"E")</f>
        <v>E</v>
      </c>
      <c r="CN377" s="16">
        <f>IFERROR(__xludf.DUMMYFUNCTION("""COMPUTED_VALUE"""),10.0)</f>
        <v>10</v>
      </c>
      <c r="CO377" s="16" t="str">
        <f>IFERROR(__xludf.DUMMYFUNCTION("""COMPUTED_VALUE"""),"C")</f>
        <v>C</v>
      </c>
      <c r="CP377" s="16" t="str">
        <f>IFERROR(__xludf.DUMMYFUNCTION("""COMPUTED_VALUE"""),"1p70")</f>
        <v>1p70</v>
      </c>
      <c r="CQ377" s="16">
        <f>IFERROR(__xludf.DUMMYFUNCTION("""COMPUTED_VALUE"""),-32.0)</f>
        <v>-32</v>
      </c>
      <c r="CR377" s="16">
        <f>IFERROR(__xludf.DUMMYFUNCTION("""COMPUTED_VALUE"""),11.0)</f>
        <v>11</v>
      </c>
      <c r="CS377" s="16">
        <f>IFERROR(__xludf.DUMMYFUNCTION("""COMPUTED_VALUE"""),-21.0)</f>
        <v>-21</v>
      </c>
      <c r="CT377" s="16">
        <f>IFERROR(__xludf.DUMMYFUNCTION("""COMPUTED_VALUE"""),-32.0)</f>
        <v>-32</v>
      </c>
      <c r="CU377" s="16">
        <f>IFERROR(__xludf.DUMMYFUNCTION("""COMPUTED_VALUE"""),11.0)</f>
        <v>11</v>
      </c>
      <c r="CV377" s="179">
        <f>IFERROR(__xludf.DUMMYFUNCTION("""COMPUTED_VALUE"""),-10.666666666666668)</f>
        <v>-10.66666667</v>
      </c>
      <c r="CW377" s="179">
        <f>IFERROR(__xludf.DUMMYFUNCTION("""COMPUTED_VALUE"""),4.0)</f>
        <v>4</v>
      </c>
      <c r="CX377" s="179">
        <f>IFERROR(__xludf.DUMMYFUNCTION("""COMPUTED_VALUE"""),3.0)</f>
        <v>3</v>
      </c>
      <c r="CY377" s="16" t="str">
        <f>IFERROR(__xludf.DUMMYFUNCTION("""COMPUTED_VALUE"""),"SP")</f>
        <v>SP</v>
      </c>
      <c r="CZ377" s="16"/>
      <c r="DA377" s="16"/>
      <c r="DB377" s="16"/>
      <c r="DC377" s="16"/>
      <c r="DD377" s="16"/>
      <c r="DE377" s="16"/>
      <c r="DF377" s="16"/>
      <c r="DG377" s="16"/>
      <c r="DH377" s="16"/>
      <c r="DI377" s="16"/>
      <c r="DJ377" s="16"/>
      <c r="DK377" s="16"/>
    </row>
    <row r="378">
      <c r="A378" s="16">
        <f>IFERROR(__xludf.DUMMYFUNCTION("""COMPUTED_VALUE"""),13369.0)</f>
        <v>13369</v>
      </c>
      <c r="B378" s="16" t="str">
        <f>IFERROR(__xludf.DUMMYFUNCTION("""COMPUTED_VALUE"""),"Seth Martinez")</f>
        <v>Seth Martinez</v>
      </c>
      <c r="C378" s="153">
        <f>IFERROR(__xludf.DUMMYFUNCTION("""COMPUTED_VALUE"""),0.33)</f>
        <v>0.33</v>
      </c>
      <c r="D378" s="16"/>
      <c r="E378" s="16" t="str">
        <f>IFERROR(__xludf.DUMMYFUNCTION("""COMPUTED_VALUE"""),"R")</f>
        <v>R</v>
      </c>
      <c r="F378" s="16">
        <f>IFERROR(__xludf.DUMMYFUNCTION("""COMPUTED_VALUE"""),53.0)</f>
        <v>53</v>
      </c>
      <c r="G378" s="16">
        <f>IFERROR(__xludf.DUMMYFUNCTION("""COMPUTED_VALUE"""),0.0)</f>
        <v>0</v>
      </c>
      <c r="H378" s="16">
        <f>IFERROR(__xludf.DUMMYFUNCTION("""COMPUTED_VALUE"""),21.0)</f>
        <v>21</v>
      </c>
      <c r="I378" s="16">
        <f>IFERROR(__xludf.DUMMYFUNCTION("""COMPUTED_VALUE"""),-3.0)</f>
        <v>-3</v>
      </c>
      <c r="J378" s="16">
        <f>IFERROR(__xludf.DUMMYFUNCTION("""COMPUTED_VALUE"""),-1.0)</f>
        <v>-1</v>
      </c>
      <c r="K378" s="16">
        <f>IFERROR(__xludf.DUMMYFUNCTION("""COMPUTED_VALUE"""),-9.0)</f>
        <v>-9</v>
      </c>
      <c r="L378" s="16">
        <f>IFERROR(__xludf.DUMMYFUNCTION("""COMPUTED_VALUE"""),-3.0)</f>
        <v>-3</v>
      </c>
      <c r="M378" s="16">
        <f>IFERROR(__xludf.DUMMYFUNCTION("""COMPUTED_VALUE"""),7.0)</f>
        <v>7</v>
      </c>
      <c r="N378" s="16">
        <f>IFERROR(__xludf.DUMMYFUNCTION("""COMPUTED_VALUE"""),9.0)</f>
        <v>9</v>
      </c>
      <c r="O378" s="16">
        <f>IFERROR(__xludf.DUMMYFUNCTION("""COMPUTED_VALUE"""),1.0)</f>
        <v>1</v>
      </c>
      <c r="P378" s="16">
        <f>IFERROR(__xludf.DUMMYFUNCTION("""COMPUTED_VALUE"""),0.0)</f>
        <v>0</v>
      </c>
      <c r="Q378" s="16">
        <f>IFERROR(__xludf.DUMMYFUNCTION("""COMPUTED_VALUE"""),1.0)</f>
        <v>1</v>
      </c>
      <c r="R378" s="16">
        <f>IFERROR(__xludf.DUMMYFUNCTION("""COMPUTED_VALUE"""),0.0)</f>
        <v>0</v>
      </c>
      <c r="S378" s="16">
        <f>IFERROR(__xludf.DUMMYFUNCTION("""COMPUTED_VALUE"""),27.0)</f>
        <v>27</v>
      </c>
      <c r="T378" s="16">
        <f>IFERROR(__xludf.DUMMYFUNCTION("""COMPUTED_VALUE"""),11.3)</f>
        <v>11.3</v>
      </c>
      <c r="U378" s="16">
        <f>IFERROR(__xludf.DUMMYFUNCTION("""COMPUTED_VALUE"""),-2.0)</f>
        <v>-2</v>
      </c>
      <c r="V378" s="16">
        <f>IFERROR(__xludf.DUMMYFUNCTION("""COMPUTED_VALUE"""),1.0)</f>
        <v>1</v>
      </c>
      <c r="W378" s="16">
        <f>IFERROR(__xludf.DUMMYFUNCTION("""COMPUTED_VALUE"""),-4.0)</f>
        <v>-4</v>
      </c>
      <c r="X378" s="16">
        <f>IFERROR(__xludf.DUMMYFUNCTION("""COMPUTED_VALUE"""),2.0)</f>
        <v>2</v>
      </c>
      <c r="Y378" s="16">
        <f>IFERROR(__xludf.DUMMYFUNCTION("""COMPUTED_VALUE"""),34.0)</f>
        <v>34</v>
      </c>
      <c r="Z378" s="16">
        <f>IFERROR(__xludf.DUMMYFUNCTION("""COMPUTED_VALUE"""),20.3)</f>
        <v>20.3</v>
      </c>
      <c r="AA378" s="16">
        <f>IFERROR(__xludf.DUMMYFUNCTION("""COMPUTED_VALUE"""),-1.0)</f>
        <v>-1</v>
      </c>
      <c r="AB378" s="16">
        <f>IFERROR(__xludf.DUMMYFUNCTION("""COMPUTED_VALUE"""),1.0)</f>
        <v>1</v>
      </c>
      <c r="AC378" s="16">
        <f>IFERROR(__xludf.DUMMYFUNCTION("""COMPUTED_VALUE"""),-5.0)</f>
        <v>-5</v>
      </c>
      <c r="AD378" s="16">
        <f>IFERROR(__xludf.DUMMYFUNCTION("""COMPUTED_VALUE"""),5.0)</f>
        <v>5</v>
      </c>
      <c r="AE378" s="16">
        <f>IFERROR(__xludf.DUMMYFUNCTION("""COMPUTED_VALUE"""),48.0)</f>
        <v>48</v>
      </c>
      <c r="AF378" s="16">
        <f>IFERROR(__xludf.DUMMYFUNCTION("""COMPUTED_VALUE"""),23.6)</f>
        <v>23.6</v>
      </c>
      <c r="AG378" s="16">
        <f>IFERROR(__xludf.DUMMYFUNCTION("""COMPUTED_VALUE"""),-2.0)</f>
        <v>-2</v>
      </c>
      <c r="AH378" s="16">
        <f>IFERROR(__xludf.DUMMYFUNCTION("""COMPUTED_VALUE"""),1.0)</f>
        <v>1</v>
      </c>
      <c r="AI378" s="16">
        <f>IFERROR(__xludf.DUMMYFUNCTION("""COMPUTED_VALUE"""),-4.0)</f>
        <v>-4</v>
      </c>
      <c r="AJ378" s="16">
        <f>IFERROR(__xludf.DUMMYFUNCTION("""COMPUTED_VALUE"""),2.0)</f>
        <v>2</v>
      </c>
      <c r="AK378" s="16">
        <f>IFERROR(__xludf.DUMMYFUNCTION("""COMPUTED_VALUE"""),23.2)</f>
        <v>23.2</v>
      </c>
      <c r="AL378" s="16">
        <f>IFERROR(__xludf.DUMMYFUNCTION("""COMPUTED_VALUE"""),10.100000000000001)</f>
        <v>10.1</v>
      </c>
      <c r="AM378" s="16">
        <f>IFERROR(__xludf.DUMMYFUNCTION("""COMPUTED_VALUE"""),-2.0)</f>
        <v>-2</v>
      </c>
      <c r="AN378" s="16">
        <f>IFERROR(__xludf.DUMMYFUNCTION("""COMPUTED_VALUE"""),1.0)</f>
        <v>1</v>
      </c>
      <c r="AO378" s="16">
        <f>IFERROR(__xludf.DUMMYFUNCTION("""COMPUTED_VALUE"""),-2.0)</f>
        <v>-2</v>
      </c>
      <c r="AP378" s="16">
        <f>IFERROR(__xludf.DUMMYFUNCTION("""COMPUTED_VALUE"""),1.0)</f>
        <v>1</v>
      </c>
      <c r="AQ378" s="16">
        <f>IFERROR(__xludf.DUMMYFUNCTION("""COMPUTED_VALUE"""),32.8)</f>
        <v>32.8</v>
      </c>
      <c r="AR378" s="16">
        <f>IFERROR(__xludf.DUMMYFUNCTION("""COMPUTED_VALUE"""),18.8)</f>
        <v>18.8</v>
      </c>
      <c r="AS378" s="16">
        <f>IFERROR(__xludf.DUMMYFUNCTION("""COMPUTED_VALUE"""),-2.0)</f>
        <v>-2</v>
      </c>
      <c r="AT378" s="16">
        <f>IFERROR(__xludf.DUMMYFUNCTION("""COMPUTED_VALUE"""),0.0)</f>
        <v>0</v>
      </c>
      <c r="AU378" s="16">
        <f>IFERROR(__xludf.DUMMYFUNCTION("""COMPUTED_VALUE"""),-4.0)</f>
        <v>-4</v>
      </c>
      <c r="AV378" s="16">
        <f>IFERROR(__xludf.DUMMYFUNCTION("""COMPUTED_VALUE"""),0.0)</f>
        <v>0</v>
      </c>
      <c r="AW378" s="16">
        <f>IFERROR(__xludf.DUMMYFUNCTION("""COMPUTED_VALUE"""),3.8)</f>
        <v>3.8</v>
      </c>
      <c r="AX378" s="16">
        <f>IFERROR(__xludf.DUMMYFUNCTION("""COMPUTED_VALUE"""),1.2)</f>
        <v>1.2</v>
      </c>
      <c r="AY378" s="16">
        <f>IFERROR(__xludf.DUMMYFUNCTION("""COMPUTED_VALUE"""),-2.0)</f>
        <v>-2</v>
      </c>
      <c r="AZ378" s="16">
        <f>IFERROR(__xludf.DUMMYFUNCTION("""COMPUTED_VALUE"""),1.0)</f>
        <v>1</v>
      </c>
      <c r="BA378" s="16">
        <f>IFERROR(__xludf.DUMMYFUNCTION("""COMPUTED_VALUE"""),-10.0)</f>
        <v>-10</v>
      </c>
      <c r="BB378" s="16">
        <f>IFERROR(__xludf.DUMMYFUNCTION("""COMPUTED_VALUE"""),5.0)</f>
        <v>5</v>
      </c>
      <c r="BC378" s="16">
        <f>IFERROR(__xludf.DUMMYFUNCTION("""COMPUTED_VALUE"""),6.0)</f>
        <v>6</v>
      </c>
      <c r="BD378" s="16">
        <f>IFERROR(__xludf.DUMMYFUNCTION("""COMPUTED_VALUE"""),1.0)</f>
        <v>1</v>
      </c>
      <c r="BE378" s="16">
        <f>IFERROR(__xludf.DUMMYFUNCTION("""COMPUTED_VALUE"""),6.0)</f>
        <v>6</v>
      </c>
      <c r="BF378" s="16">
        <f>IFERROR(__xludf.DUMMYFUNCTION("""COMPUTED_VALUE"""),1.0)</f>
        <v>1</v>
      </c>
      <c r="BG378" s="16">
        <f>IFERROR(__xludf.DUMMYFUNCTION("""COMPUTED_VALUE"""),-3.0)</f>
        <v>-3</v>
      </c>
      <c r="BH378" s="16">
        <f>IFERROR(__xludf.DUMMYFUNCTION("""COMPUTED_VALUE"""),2.0)</f>
        <v>2</v>
      </c>
      <c r="BI378" s="16">
        <f>IFERROR(__xludf.DUMMYFUNCTION("""COMPUTED_VALUE"""),-6.0)</f>
        <v>-6</v>
      </c>
      <c r="BJ378" s="16">
        <f>IFERROR(__xludf.DUMMYFUNCTION("""COMPUTED_VALUE"""),4.0)</f>
        <v>4</v>
      </c>
      <c r="BK378" s="16">
        <f>IFERROR(__xludf.DUMMYFUNCTION("""COMPUTED_VALUE"""),5.0)</f>
        <v>5</v>
      </c>
      <c r="BL378" s="16">
        <f>IFERROR(__xludf.DUMMYFUNCTION("""COMPUTED_VALUE"""),5.0)</f>
        <v>5</v>
      </c>
      <c r="BM378" s="16">
        <f>IFERROR(__xludf.DUMMYFUNCTION("""COMPUTED_VALUE"""),0.0)</f>
        <v>0</v>
      </c>
      <c r="BN378" s="16">
        <f>IFERROR(__xludf.DUMMYFUNCTION("""COMPUTED_VALUE"""),0.0)</f>
        <v>0</v>
      </c>
      <c r="BO378" s="16">
        <f>IFERROR(__xludf.DUMMYFUNCTION("""COMPUTED_VALUE"""),0.0)</f>
        <v>0</v>
      </c>
      <c r="BP378" s="16">
        <f>IFERROR(__xludf.DUMMYFUNCTION("""COMPUTED_VALUE"""),0.0)</f>
        <v>0</v>
      </c>
      <c r="BQ378" s="16">
        <f>IFERROR(__xludf.DUMMYFUNCTION("""COMPUTED_VALUE"""),12.0)</f>
        <v>12</v>
      </c>
      <c r="BR378" s="16">
        <f>IFERROR(__xludf.DUMMYFUNCTION("""COMPUTED_VALUE"""),12.0)</f>
        <v>12</v>
      </c>
      <c r="BS378" s="16">
        <f>IFERROR(__xludf.DUMMYFUNCTION("""COMPUTED_VALUE"""),3.0)</f>
        <v>3</v>
      </c>
      <c r="BT378" s="16">
        <f>IFERROR(__xludf.DUMMYFUNCTION("""COMPUTED_VALUE"""),3.0)</f>
        <v>3</v>
      </c>
      <c r="BU378" s="16">
        <f>IFERROR(__xludf.DUMMYFUNCTION("""COMPUTED_VALUE"""),6.0)</f>
        <v>6</v>
      </c>
      <c r="BV378" s="16">
        <f>IFERROR(__xludf.DUMMYFUNCTION("""COMPUTED_VALUE"""),6.0)</f>
        <v>6</v>
      </c>
      <c r="BW378" s="16">
        <f>IFERROR(__xludf.DUMMYFUNCTION("""COMPUTED_VALUE"""),-1.0)</f>
        <v>-1</v>
      </c>
      <c r="BX378" s="16">
        <f>IFERROR(__xludf.DUMMYFUNCTION("""COMPUTED_VALUE"""),-1.0)</f>
        <v>-1</v>
      </c>
      <c r="BY378" s="16" t="str">
        <f>IFERROR(__xludf.DUMMYFUNCTION("""COMPUTED_VALUE"""),"R(2) C(0)")</f>
        <v>R(2) C(0)</v>
      </c>
      <c r="BZ378" s="16" t="str">
        <f>IFERROR(__xludf.DUMMYFUNCTION("""COMPUTED_VALUE"""),"R(2) C(0)")</f>
        <v>R(2) C(0)</v>
      </c>
      <c r="CA378" s="16" t="str">
        <f>IFERROR(__xludf.DUMMYFUNCTION("""COMPUTED_VALUE"""),"R(2)")</f>
        <v>R(2)</v>
      </c>
      <c r="CB378" s="16" t="str">
        <f>IFERROR(__xludf.DUMMYFUNCTION("""COMPUTED_VALUE"""),"C(0)")</f>
        <v>C(0)</v>
      </c>
      <c r="CC378" s="16"/>
      <c r="CD378" s="16"/>
      <c r="CE378" s="16">
        <f>IFERROR(__xludf.DUMMYFUNCTION("""COMPUTED_VALUE"""),2.0)</f>
        <v>2</v>
      </c>
      <c r="CF378" s="16">
        <f>IFERROR(__xludf.DUMMYFUNCTION("""COMPUTED_VALUE"""),0.0)</f>
        <v>0</v>
      </c>
      <c r="CG378" s="16" t="str">
        <f>IFERROR(__xludf.DUMMYFUNCTION("""COMPUTED_VALUE"""),"2-0")</f>
        <v>2-0</v>
      </c>
      <c r="CH378" s="16">
        <f>IFERROR(__xludf.DUMMYFUNCTION("""COMPUTED_VALUE"""),2.0)</f>
        <v>2</v>
      </c>
      <c r="CI378" s="16">
        <f>IFERROR(__xludf.DUMMYFUNCTION("""COMPUTED_VALUE"""),0.0)</f>
        <v>0</v>
      </c>
      <c r="CJ378" s="16">
        <f>IFERROR(__xludf.DUMMYFUNCTION("""COMPUTED_VALUE"""),13.0)</f>
        <v>13</v>
      </c>
      <c r="CK378" s="16">
        <f>IFERROR(__xludf.DUMMYFUNCTION("""COMPUTED_VALUE"""),0.0)</f>
        <v>0</v>
      </c>
      <c r="CL378" s="16" t="str">
        <f>IFERROR(__xludf.DUMMYFUNCTION("""COMPUTED_VALUE"""),"1WR-C")</f>
        <v>1WR-C</v>
      </c>
      <c r="CM378" s="16" t="str">
        <f>IFERROR(__xludf.DUMMYFUNCTION("""COMPUTED_VALUE"""),"E")</f>
        <v>E</v>
      </c>
      <c r="CN378" s="16">
        <f>IFERROR(__xludf.DUMMYFUNCTION("""COMPUTED_VALUE"""),10.0)</f>
        <v>10</v>
      </c>
      <c r="CO378" s="16" t="str">
        <f>IFERROR(__xludf.DUMMYFUNCTION("""COMPUTED_VALUE"""),"C")</f>
        <v>C</v>
      </c>
      <c r="CP378" s="16" t="str">
        <f>IFERROR(__xludf.DUMMYFUNCTION("""COMPUTED_VALUE"""),"1p30")</f>
        <v>1p30</v>
      </c>
      <c r="CQ378" s="16">
        <f>IFERROR(__xludf.DUMMYFUNCTION("""COMPUTED_VALUE"""),-37.0)</f>
        <v>-37</v>
      </c>
      <c r="CR378" s="16">
        <f>IFERROR(__xludf.DUMMYFUNCTION("""COMPUTED_VALUE"""),22.0)</f>
        <v>22</v>
      </c>
      <c r="CS378" s="16">
        <f>IFERROR(__xludf.DUMMYFUNCTION("""COMPUTED_VALUE"""),-15.0)</f>
        <v>-15</v>
      </c>
      <c r="CT378" s="16">
        <f>IFERROR(__xludf.DUMMYFUNCTION("""COMPUTED_VALUE"""),-37.0)</f>
        <v>-37</v>
      </c>
      <c r="CU378" s="16">
        <f>IFERROR(__xludf.DUMMYFUNCTION("""COMPUTED_VALUE"""),22.0)</f>
        <v>22</v>
      </c>
      <c r="CV378" s="179">
        <f>IFERROR(__xludf.DUMMYFUNCTION("""COMPUTED_VALUE"""),-11.333333333333332)</f>
        <v>-11.33333333</v>
      </c>
      <c r="CW378" s="179">
        <f>IFERROR(__xludf.DUMMYFUNCTION("""COMPUTED_VALUE"""),4.0)</f>
        <v>4</v>
      </c>
      <c r="CX378" s="179">
        <f>IFERROR(__xludf.DUMMYFUNCTION("""COMPUTED_VALUE"""),2.0)</f>
        <v>2</v>
      </c>
      <c r="CY378" s="16" t="str">
        <f>IFERROR(__xludf.DUMMYFUNCTION("""COMPUTED_VALUE"""),"RP")</f>
        <v>RP</v>
      </c>
      <c r="CZ378" s="16" t="str">
        <f>IFERROR(__xludf.DUMMYFUNCTION("""COMPUTED_VALUE"""),"CP")</f>
        <v>CP</v>
      </c>
      <c r="DA378" s="16"/>
      <c r="DB378" s="16"/>
      <c r="DC378" s="16"/>
      <c r="DD378" s="16"/>
      <c r="DE378" s="16"/>
      <c r="DF378" s="16"/>
      <c r="DG378" s="16"/>
      <c r="DH378" s="16"/>
      <c r="DI378" s="16"/>
      <c r="DJ378" s="16"/>
      <c r="DK378" s="16"/>
    </row>
    <row r="379">
      <c r="A379" s="16">
        <f>IFERROR(__xludf.DUMMYFUNCTION("""COMPUTED_VALUE"""),12503.0)</f>
        <v>12503</v>
      </c>
      <c r="B379" s="16" t="str">
        <f>IFERROR(__xludf.DUMMYFUNCTION("""COMPUTED_VALUE"""),"Adam Oller")</f>
        <v>Adam Oller</v>
      </c>
      <c r="C379" s="153">
        <f>IFERROR(__xludf.DUMMYFUNCTION("""COMPUTED_VALUE"""),0.43)</f>
        <v>0.43</v>
      </c>
      <c r="D379" s="16"/>
      <c r="E379" s="16" t="str">
        <f>IFERROR(__xludf.DUMMYFUNCTION("""COMPUTED_VALUE"""),"R")</f>
        <v>R</v>
      </c>
      <c r="F379" s="16">
        <f>IFERROR(__xludf.DUMMYFUNCTION("""COMPUTED_VALUE"""),42.0)</f>
        <v>42</v>
      </c>
      <c r="G379" s="16">
        <f>IFERROR(__xludf.DUMMYFUNCTION("""COMPUTED_VALUE"""),23.0)</f>
        <v>23</v>
      </c>
      <c r="H379" s="16">
        <f>IFERROR(__xludf.DUMMYFUNCTION("""COMPUTED_VALUE"""),11.0)</f>
        <v>11</v>
      </c>
      <c r="I379" s="16">
        <f>IFERROR(__xludf.DUMMYFUNCTION("""COMPUTED_VALUE"""),-1.0)</f>
        <v>-1</v>
      </c>
      <c r="J379" s="16">
        <f>IFERROR(__xludf.DUMMYFUNCTION("""COMPUTED_VALUE"""),-2.0)</f>
        <v>-2</v>
      </c>
      <c r="K379" s="16">
        <f>IFERROR(__xludf.DUMMYFUNCTION("""COMPUTED_VALUE"""),-3.0)</f>
        <v>-3</v>
      </c>
      <c r="L379" s="16">
        <f>IFERROR(__xludf.DUMMYFUNCTION("""COMPUTED_VALUE"""),-6.0)</f>
        <v>-6</v>
      </c>
      <c r="M379" s="16">
        <f>IFERROR(__xludf.DUMMYFUNCTION("""COMPUTED_VALUE"""),26.0)</f>
        <v>26</v>
      </c>
      <c r="N379" s="16">
        <f>IFERROR(__xludf.DUMMYFUNCTION("""COMPUTED_VALUE"""),8.0)</f>
        <v>8</v>
      </c>
      <c r="O379" s="16">
        <f>IFERROR(__xludf.DUMMYFUNCTION("""COMPUTED_VALUE"""),-3.0)</f>
        <v>-3</v>
      </c>
      <c r="P379" s="16">
        <f>IFERROR(__xludf.DUMMYFUNCTION("""COMPUTED_VALUE"""),0.0)</f>
        <v>0</v>
      </c>
      <c r="Q379" s="16">
        <f>IFERROR(__xludf.DUMMYFUNCTION("""COMPUTED_VALUE"""),-3.0)</f>
        <v>-3</v>
      </c>
      <c r="R379" s="16">
        <f>IFERROR(__xludf.DUMMYFUNCTION("""COMPUTED_VALUE"""),0.0)</f>
        <v>0</v>
      </c>
      <c r="S379" s="16">
        <f>IFERROR(__xludf.DUMMYFUNCTION("""COMPUTED_VALUE"""),13.5)</f>
        <v>13.5</v>
      </c>
      <c r="T379" s="16">
        <f>IFERROR(__xludf.DUMMYFUNCTION("""COMPUTED_VALUE"""),14.4)</f>
        <v>14.4</v>
      </c>
      <c r="U379" s="16">
        <f>IFERROR(__xludf.DUMMYFUNCTION("""COMPUTED_VALUE"""),0.0)</f>
        <v>0</v>
      </c>
      <c r="V379" s="16">
        <f>IFERROR(__xludf.DUMMYFUNCTION("""COMPUTED_VALUE"""),0.0)</f>
        <v>0</v>
      </c>
      <c r="W379" s="16">
        <f>IFERROR(__xludf.DUMMYFUNCTION("""COMPUTED_VALUE"""),0.0)</f>
        <v>0</v>
      </c>
      <c r="X379" s="16">
        <f>IFERROR(__xludf.DUMMYFUNCTION("""COMPUTED_VALUE"""),0.0)</f>
        <v>0</v>
      </c>
      <c r="Y379" s="16">
        <f>IFERROR(__xludf.DUMMYFUNCTION("""COMPUTED_VALUE"""),39.5)</f>
        <v>39.5</v>
      </c>
      <c r="Z379" s="16">
        <f>IFERROR(__xludf.DUMMYFUNCTION("""COMPUTED_VALUE"""),22.4)</f>
        <v>22.4</v>
      </c>
      <c r="AA379" s="16">
        <f>IFERROR(__xludf.DUMMYFUNCTION("""COMPUTED_VALUE"""),-2.0)</f>
        <v>-2</v>
      </c>
      <c r="AB379" s="16">
        <f>IFERROR(__xludf.DUMMYFUNCTION("""COMPUTED_VALUE"""),0.0)</f>
        <v>0</v>
      </c>
      <c r="AC379" s="16">
        <f>IFERROR(__xludf.DUMMYFUNCTION("""COMPUTED_VALUE"""),-10.0)</f>
        <v>-10</v>
      </c>
      <c r="AD379" s="16">
        <f>IFERROR(__xludf.DUMMYFUNCTION("""COMPUTED_VALUE"""),0.0)</f>
        <v>0</v>
      </c>
      <c r="AE379" s="16">
        <f>IFERROR(__xludf.DUMMYFUNCTION("""COMPUTED_VALUE"""),27.9)</f>
        <v>27.9</v>
      </c>
      <c r="AF379" s="16">
        <f>IFERROR(__xludf.DUMMYFUNCTION("""COMPUTED_VALUE"""),24.6)</f>
        <v>24.6</v>
      </c>
      <c r="AG379" s="16">
        <f>IFERROR(__xludf.DUMMYFUNCTION("""COMPUTED_VALUE"""),0.0)</f>
        <v>0</v>
      </c>
      <c r="AH379" s="16">
        <f>IFERROR(__xludf.DUMMYFUNCTION("""COMPUTED_VALUE"""),0.0)</f>
        <v>0</v>
      </c>
      <c r="AI379" s="16">
        <f>IFERROR(__xludf.DUMMYFUNCTION("""COMPUTED_VALUE"""),0.0)</f>
        <v>0</v>
      </c>
      <c r="AJ379" s="16">
        <f>IFERROR(__xludf.DUMMYFUNCTION("""COMPUTED_VALUE"""),0.0)</f>
        <v>0</v>
      </c>
      <c r="AK379" s="16">
        <f>IFERROR(__xludf.DUMMYFUNCTION("""COMPUTED_VALUE"""),10.3)</f>
        <v>10.3</v>
      </c>
      <c r="AL379" s="16">
        <f>IFERROR(__xludf.DUMMYFUNCTION("""COMPUTED_VALUE"""),12.4)</f>
        <v>12.4</v>
      </c>
      <c r="AM379" s="16">
        <f>IFERROR(__xludf.DUMMYFUNCTION("""COMPUTED_VALUE"""),1.0)</f>
        <v>1</v>
      </c>
      <c r="AN379" s="16">
        <f>IFERROR(__xludf.DUMMYFUNCTION("""COMPUTED_VALUE"""),0.0)</f>
        <v>0</v>
      </c>
      <c r="AO379" s="16">
        <f>IFERROR(__xludf.DUMMYFUNCTION("""COMPUTED_VALUE"""),1.0)</f>
        <v>1</v>
      </c>
      <c r="AP379" s="16">
        <f>IFERROR(__xludf.DUMMYFUNCTION("""COMPUTED_VALUE"""),0.0)</f>
        <v>0</v>
      </c>
      <c r="AQ379" s="16">
        <f>IFERROR(__xludf.DUMMYFUNCTION("""COMPUTED_VALUE"""),15.099999999999998)</f>
        <v>15.1</v>
      </c>
      <c r="AR379" s="16">
        <f>IFERROR(__xludf.DUMMYFUNCTION("""COMPUTED_VALUE"""),16.6)</f>
        <v>16.6</v>
      </c>
      <c r="AS379" s="16">
        <f>IFERROR(__xludf.DUMMYFUNCTION("""COMPUTED_VALUE"""),1.0)</f>
        <v>1</v>
      </c>
      <c r="AT379" s="16">
        <f>IFERROR(__xludf.DUMMYFUNCTION("""COMPUTED_VALUE"""),0.0)</f>
        <v>0</v>
      </c>
      <c r="AU379" s="16">
        <f>IFERROR(__xludf.DUMMYFUNCTION("""COMPUTED_VALUE"""),2.0)</f>
        <v>2</v>
      </c>
      <c r="AV379" s="16">
        <f>IFERROR(__xludf.DUMMYFUNCTION("""COMPUTED_VALUE"""),0.0)</f>
        <v>0</v>
      </c>
      <c r="AW379" s="16">
        <f>IFERROR(__xludf.DUMMYFUNCTION("""COMPUTED_VALUE"""),3.2)</f>
        <v>3.2</v>
      </c>
      <c r="AX379" s="16">
        <f>IFERROR(__xludf.DUMMYFUNCTION("""COMPUTED_VALUE"""),2.0)</f>
        <v>2</v>
      </c>
      <c r="AY379" s="16">
        <f>IFERROR(__xludf.DUMMYFUNCTION("""COMPUTED_VALUE"""),-1.0)</f>
        <v>-1</v>
      </c>
      <c r="AZ379" s="16">
        <f>IFERROR(__xludf.DUMMYFUNCTION("""COMPUTED_VALUE"""),0.0)</f>
        <v>0</v>
      </c>
      <c r="BA379" s="16">
        <f>IFERROR(__xludf.DUMMYFUNCTION("""COMPUTED_VALUE"""),-5.0)</f>
        <v>-5</v>
      </c>
      <c r="BB379" s="16">
        <f>IFERROR(__xludf.DUMMYFUNCTION("""COMPUTED_VALUE"""),0.0)</f>
        <v>0</v>
      </c>
      <c r="BC379" s="16">
        <f>IFERROR(__xludf.DUMMYFUNCTION("""COMPUTED_VALUE"""),5.0)</f>
        <v>5</v>
      </c>
      <c r="BD379" s="16">
        <f>IFERROR(__xludf.DUMMYFUNCTION("""COMPUTED_VALUE"""),4.0)</f>
        <v>4</v>
      </c>
      <c r="BE379" s="16">
        <f>IFERROR(__xludf.DUMMYFUNCTION("""COMPUTED_VALUE"""),5.0)</f>
        <v>5</v>
      </c>
      <c r="BF379" s="16">
        <f>IFERROR(__xludf.DUMMYFUNCTION("""COMPUTED_VALUE"""),4.0)</f>
        <v>4</v>
      </c>
      <c r="BG379" s="16">
        <f>IFERROR(__xludf.DUMMYFUNCTION("""COMPUTED_VALUE"""),-2.0)</f>
        <v>-2</v>
      </c>
      <c r="BH379" s="16">
        <f>IFERROR(__xludf.DUMMYFUNCTION("""COMPUTED_VALUE"""),-1.0)</f>
        <v>-1</v>
      </c>
      <c r="BI379" s="16">
        <f>IFERROR(__xludf.DUMMYFUNCTION("""COMPUTED_VALUE"""),-4.0)</f>
        <v>-4</v>
      </c>
      <c r="BJ379" s="16">
        <f>IFERROR(__xludf.DUMMYFUNCTION("""COMPUTED_VALUE"""),-2.0)</f>
        <v>-2</v>
      </c>
      <c r="BK379" s="16">
        <f>IFERROR(__xludf.DUMMYFUNCTION("""COMPUTED_VALUE"""),5.0)</f>
        <v>5</v>
      </c>
      <c r="BL379" s="16">
        <f>IFERROR(__xludf.DUMMYFUNCTION("""COMPUTED_VALUE"""),5.0)</f>
        <v>5</v>
      </c>
      <c r="BM379" s="16">
        <f>IFERROR(__xludf.DUMMYFUNCTION("""COMPUTED_VALUE"""),0.0)</f>
        <v>0</v>
      </c>
      <c r="BN379" s="16">
        <f>IFERROR(__xludf.DUMMYFUNCTION("""COMPUTED_VALUE"""),0.0)</f>
        <v>0</v>
      </c>
      <c r="BO379" s="16">
        <f>IFERROR(__xludf.DUMMYFUNCTION("""COMPUTED_VALUE"""),0.0)</f>
        <v>0</v>
      </c>
      <c r="BP379" s="16">
        <f>IFERROR(__xludf.DUMMYFUNCTION("""COMPUTED_VALUE"""),0.0)</f>
        <v>0</v>
      </c>
      <c r="BQ379" s="16">
        <f>IFERROR(__xludf.DUMMYFUNCTION("""COMPUTED_VALUE"""),4.0)</f>
        <v>4</v>
      </c>
      <c r="BR379" s="16">
        <f>IFERROR(__xludf.DUMMYFUNCTION("""COMPUTED_VALUE"""),8.0)</f>
        <v>8</v>
      </c>
      <c r="BS379" s="16">
        <f>IFERROR(__xludf.DUMMYFUNCTION("""COMPUTED_VALUE"""),-1.0)</f>
        <v>-1</v>
      </c>
      <c r="BT379" s="16">
        <f>IFERROR(__xludf.DUMMYFUNCTION("""COMPUTED_VALUE"""),2.0)</f>
        <v>2</v>
      </c>
      <c r="BU379" s="16">
        <f>IFERROR(__xludf.DUMMYFUNCTION("""COMPUTED_VALUE"""),-2.0)</f>
        <v>-2</v>
      </c>
      <c r="BV379" s="16">
        <f>IFERROR(__xludf.DUMMYFUNCTION("""COMPUTED_VALUE"""),4.0)</f>
        <v>4</v>
      </c>
      <c r="BW379" s="16">
        <f>IFERROR(__xludf.DUMMYFUNCTION("""COMPUTED_VALUE"""),-3.0)</f>
        <v>-3</v>
      </c>
      <c r="BX379" s="16">
        <f>IFERROR(__xludf.DUMMYFUNCTION("""COMPUTED_VALUE"""),-3.0)</f>
        <v>-3</v>
      </c>
      <c r="BY379" s="16" t="str">
        <f>IFERROR(__xludf.DUMMYFUNCTION("""COMPUTED_VALUE"""),"S(5)")</f>
        <v>S(5)</v>
      </c>
      <c r="BZ379" s="16" t="str">
        <f>IFERROR(__xludf.DUMMYFUNCTION("""COMPUTED_VALUE"""),"S(5)")</f>
        <v>S(5)</v>
      </c>
      <c r="CA379" s="16" t="str">
        <f>IFERROR(__xludf.DUMMYFUNCTION("""COMPUTED_VALUE"""),"S(5)")</f>
        <v>S(5)</v>
      </c>
      <c r="CB379" s="16"/>
      <c r="CC379" s="16"/>
      <c r="CD379" s="16">
        <f>IFERROR(__xludf.DUMMYFUNCTION("""COMPUTED_VALUE"""),5.0)</f>
        <v>5</v>
      </c>
      <c r="CE379" s="16"/>
      <c r="CF379" s="16"/>
      <c r="CG379" s="16" t="str">
        <f>IFERROR(__xludf.DUMMYFUNCTION("""COMPUTED_VALUE"""),"3-0")</f>
        <v>3-0</v>
      </c>
      <c r="CH379" s="16">
        <f>IFERROR(__xludf.DUMMYFUNCTION("""COMPUTED_VALUE"""),3.0)</f>
        <v>3</v>
      </c>
      <c r="CI379" s="16">
        <f>IFERROR(__xludf.DUMMYFUNCTION("""COMPUTED_VALUE"""),0.0)</f>
        <v>0</v>
      </c>
      <c r="CJ379" s="16">
        <f>IFERROR(__xludf.DUMMYFUNCTION("""COMPUTED_VALUE"""),0.0)</f>
        <v>0</v>
      </c>
      <c r="CK379" s="16">
        <f>IFERROR(__xludf.DUMMYFUNCTION("""COMPUTED_VALUE"""),4.0)</f>
        <v>4</v>
      </c>
      <c r="CL379" s="16" t="str">
        <f>IFERROR(__xludf.DUMMYFUNCTION("""COMPUTED_VALUE"""),"1WR-C")</f>
        <v>1WR-C</v>
      </c>
      <c r="CM379" s="16" t="str">
        <f>IFERROR(__xludf.DUMMYFUNCTION("""COMPUTED_VALUE"""),"E")</f>
        <v>E</v>
      </c>
      <c r="CN379" s="16">
        <f>IFERROR(__xludf.DUMMYFUNCTION("""COMPUTED_VALUE"""),10.0)</f>
        <v>10</v>
      </c>
      <c r="CO379" s="16" t="str">
        <f>IFERROR(__xludf.DUMMYFUNCTION("""COMPUTED_VALUE"""),"C")</f>
        <v>C</v>
      </c>
      <c r="CP379" s="16" t="str">
        <f>IFERROR(__xludf.DUMMYFUNCTION("""COMPUTED_VALUE"""),"1p30")</f>
        <v>1p30</v>
      </c>
      <c r="CQ379" s="16">
        <f>IFERROR(__xludf.DUMMYFUNCTION("""COMPUTED_VALUE"""),-24.0)</f>
        <v>-24</v>
      </c>
      <c r="CR379" s="16">
        <f>IFERROR(__xludf.DUMMYFUNCTION("""COMPUTED_VALUE"""),-4.0)</f>
        <v>-4</v>
      </c>
      <c r="CS379" s="16">
        <f>IFERROR(__xludf.DUMMYFUNCTION("""COMPUTED_VALUE"""),-28.0)</f>
        <v>-28</v>
      </c>
      <c r="CT379" s="16">
        <f>IFERROR(__xludf.DUMMYFUNCTION("""COMPUTED_VALUE"""),-24.0)</f>
        <v>-24</v>
      </c>
      <c r="CU379" s="16">
        <f>IFERROR(__xludf.DUMMYFUNCTION("""COMPUTED_VALUE"""),-4.0)</f>
        <v>-4</v>
      </c>
      <c r="CV379" s="179">
        <f>IFERROR(__xludf.DUMMYFUNCTION("""COMPUTED_VALUE"""),-11.333333333333332)</f>
        <v>-11.33333333</v>
      </c>
      <c r="CW379" s="179">
        <f>IFERROR(__xludf.DUMMYFUNCTION("""COMPUTED_VALUE"""),4.0)</f>
        <v>4</v>
      </c>
      <c r="CX379" s="179">
        <f>IFERROR(__xludf.DUMMYFUNCTION("""COMPUTED_VALUE"""),2.0)</f>
        <v>2</v>
      </c>
      <c r="CY379" s="16" t="str">
        <f>IFERROR(__xludf.DUMMYFUNCTION("""COMPUTED_VALUE"""),"SP")</f>
        <v>SP</v>
      </c>
      <c r="CZ379" s="16"/>
      <c r="DA379" s="16"/>
      <c r="DB379" s="16"/>
      <c r="DC379" s="16"/>
      <c r="DD379" s="16"/>
      <c r="DE379" s="16"/>
      <c r="DF379" s="16"/>
      <c r="DG379" s="16"/>
      <c r="DH379" s="16"/>
      <c r="DI379" s="16"/>
      <c r="DJ379" s="16"/>
      <c r="DK379" s="16"/>
    </row>
    <row r="380">
      <c r="A380" s="16">
        <f>IFERROR(__xludf.DUMMYFUNCTION("""COMPUTED_VALUE"""),13199.0)</f>
        <v>13199</v>
      </c>
      <c r="B380" s="16" t="str">
        <f>IFERROR(__xludf.DUMMYFUNCTION("""COMPUTED_VALUE"""),"Michael Soroka")</f>
        <v>Michael Soroka</v>
      </c>
      <c r="C380" s="153">
        <f>IFERROR(__xludf.DUMMYFUNCTION("""COMPUTED_VALUE"""),0.34)</f>
        <v>0.34</v>
      </c>
      <c r="D380" s="16"/>
      <c r="E380" s="16" t="str">
        <f>IFERROR(__xludf.DUMMYFUNCTION("""COMPUTED_VALUE"""),"R")</f>
        <v>R</v>
      </c>
      <c r="F380" s="16">
        <f>IFERROR(__xludf.DUMMYFUNCTION("""COMPUTED_VALUE"""),80.0)</f>
        <v>80</v>
      </c>
      <c r="G380" s="16">
        <f>IFERROR(__xludf.DUMMYFUNCTION("""COMPUTED_VALUE"""),29.0)</f>
        <v>29</v>
      </c>
      <c r="H380" s="16">
        <f>IFERROR(__xludf.DUMMYFUNCTION("""COMPUTED_VALUE"""),29.0)</f>
        <v>29</v>
      </c>
      <c r="I380" s="16">
        <f>IFERROR(__xludf.DUMMYFUNCTION("""COMPUTED_VALUE"""),0.0)</f>
        <v>0</v>
      </c>
      <c r="J380" s="16">
        <f>IFERROR(__xludf.DUMMYFUNCTION("""COMPUTED_VALUE"""),0.0)</f>
        <v>0</v>
      </c>
      <c r="K380" s="16">
        <f>IFERROR(__xludf.DUMMYFUNCTION("""COMPUTED_VALUE"""),0.0)</f>
        <v>0</v>
      </c>
      <c r="L380" s="16">
        <f>IFERROR(__xludf.DUMMYFUNCTION("""COMPUTED_VALUE"""),0.0)</f>
        <v>0</v>
      </c>
      <c r="M380" s="16">
        <f>IFERROR(__xludf.DUMMYFUNCTION("""COMPUTED_VALUE"""),24.0)</f>
        <v>24</v>
      </c>
      <c r="N380" s="16">
        <f>IFERROR(__xludf.DUMMYFUNCTION("""COMPUTED_VALUE"""),14.0)</f>
        <v>14</v>
      </c>
      <c r="O380" s="16">
        <f>IFERROR(__xludf.DUMMYFUNCTION("""COMPUTED_VALUE"""),-3.0)</f>
        <v>-3</v>
      </c>
      <c r="P380" s="16">
        <f>IFERROR(__xludf.DUMMYFUNCTION("""COMPUTED_VALUE"""),-2.0)</f>
        <v>-2</v>
      </c>
      <c r="Q380" s="16">
        <f>IFERROR(__xludf.DUMMYFUNCTION("""COMPUTED_VALUE"""),-3.0)</f>
        <v>-3</v>
      </c>
      <c r="R380" s="16">
        <f>IFERROR(__xludf.DUMMYFUNCTION("""COMPUTED_VALUE"""),-2.0)</f>
        <v>-2</v>
      </c>
      <c r="S380" s="16">
        <f>IFERROR(__xludf.DUMMYFUNCTION("""COMPUTED_VALUE"""),5.8)</f>
        <v>5.8</v>
      </c>
      <c r="T380" s="16">
        <f>IFERROR(__xludf.DUMMYFUNCTION("""COMPUTED_VALUE"""),9.7)</f>
        <v>9.7</v>
      </c>
      <c r="U380" s="16">
        <f>IFERROR(__xludf.DUMMYFUNCTION("""COMPUTED_VALUE"""),2.0)</f>
        <v>2</v>
      </c>
      <c r="V380" s="16">
        <f>IFERROR(__xludf.DUMMYFUNCTION("""COMPUTED_VALUE"""),1.0)</f>
        <v>1</v>
      </c>
      <c r="W380" s="16">
        <f>IFERROR(__xludf.DUMMYFUNCTION("""COMPUTED_VALUE"""),4.0)</f>
        <v>4</v>
      </c>
      <c r="X380" s="16">
        <f>IFERROR(__xludf.DUMMYFUNCTION("""COMPUTED_VALUE"""),2.0)</f>
        <v>2</v>
      </c>
      <c r="Y380" s="16">
        <f>IFERROR(__xludf.DUMMYFUNCTION("""COMPUTED_VALUE"""),29.8)</f>
        <v>29.8</v>
      </c>
      <c r="Z380" s="16">
        <f>IFERROR(__xludf.DUMMYFUNCTION("""COMPUTED_VALUE"""),23.7)</f>
        <v>23.7</v>
      </c>
      <c r="AA380" s="16">
        <f>IFERROR(__xludf.DUMMYFUNCTION("""COMPUTED_VALUE"""),-1.0)</f>
        <v>-1</v>
      </c>
      <c r="AB380" s="16">
        <f>IFERROR(__xludf.DUMMYFUNCTION("""COMPUTED_VALUE"""),0.0)</f>
        <v>0</v>
      </c>
      <c r="AC380" s="16">
        <f>IFERROR(__xludf.DUMMYFUNCTION("""COMPUTED_VALUE"""),-5.0)</f>
        <v>-5</v>
      </c>
      <c r="AD380" s="16">
        <f>IFERROR(__xludf.DUMMYFUNCTION("""COMPUTED_VALUE"""),0.0)</f>
        <v>0</v>
      </c>
      <c r="AE380" s="16">
        <f>IFERROR(__xludf.DUMMYFUNCTION("""COMPUTED_VALUE"""),19.0)</f>
        <v>19</v>
      </c>
      <c r="AF380" s="16">
        <f>IFERROR(__xludf.DUMMYFUNCTION("""COMPUTED_VALUE"""),25.3)</f>
        <v>25.3</v>
      </c>
      <c r="AG380" s="16">
        <f>IFERROR(__xludf.DUMMYFUNCTION("""COMPUTED_VALUE"""),1.0)</f>
        <v>1</v>
      </c>
      <c r="AH380" s="16">
        <f>IFERROR(__xludf.DUMMYFUNCTION("""COMPUTED_VALUE"""),0.0)</f>
        <v>0</v>
      </c>
      <c r="AI380" s="16">
        <f>IFERROR(__xludf.DUMMYFUNCTION("""COMPUTED_VALUE"""),2.0)</f>
        <v>2</v>
      </c>
      <c r="AJ380" s="16">
        <f>IFERROR(__xludf.DUMMYFUNCTION("""COMPUTED_VALUE"""),0.0)</f>
        <v>0</v>
      </c>
      <c r="AK380" s="16">
        <f>IFERROR(__xludf.DUMMYFUNCTION("""COMPUTED_VALUE"""),3.5999999999999996)</f>
        <v>3.6</v>
      </c>
      <c r="AL380" s="16">
        <f>IFERROR(__xludf.DUMMYFUNCTION("""COMPUTED_VALUE"""),6.1)</f>
        <v>6.1</v>
      </c>
      <c r="AM380" s="16">
        <f>IFERROR(__xludf.DUMMYFUNCTION("""COMPUTED_VALUE"""),2.0)</f>
        <v>2</v>
      </c>
      <c r="AN380" s="16">
        <f>IFERROR(__xludf.DUMMYFUNCTION("""COMPUTED_VALUE"""),1.0)</f>
        <v>1</v>
      </c>
      <c r="AO380" s="16">
        <f>IFERROR(__xludf.DUMMYFUNCTION("""COMPUTED_VALUE"""),2.0)</f>
        <v>2</v>
      </c>
      <c r="AP380" s="16">
        <f>IFERROR(__xludf.DUMMYFUNCTION("""COMPUTED_VALUE"""),1.0)</f>
        <v>1</v>
      </c>
      <c r="AQ380" s="16">
        <f>IFERROR(__xludf.DUMMYFUNCTION("""COMPUTED_VALUE"""),10.2)</f>
        <v>10.2</v>
      </c>
      <c r="AR380" s="16">
        <f>IFERROR(__xludf.DUMMYFUNCTION("""COMPUTED_VALUE"""),10.9)</f>
        <v>10.9</v>
      </c>
      <c r="AS380" s="16">
        <f>IFERROR(__xludf.DUMMYFUNCTION("""COMPUTED_VALUE"""),1.0)</f>
        <v>1</v>
      </c>
      <c r="AT380" s="16">
        <f>IFERROR(__xludf.DUMMYFUNCTION("""COMPUTED_VALUE"""),1.0)</f>
        <v>1</v>
      </c>
      <c r="AU380" s="16">
        <f>IFERROR(__xludf.DUMMYFUNCTION("""COMPUTED_VALUE"""),2.0)</f>
        <v>2</v>
      </c>
      <c r="AV380" s="16">
        <f>IFERROR(__xludf.DUMMYFUNCTION("""COMPUTED_VALUE"""),2.0)</f>
        <v>2</v>
      </c>
      <c r="AW380" s="16">
        <f>IFERROR(__xludf.DUMMYFUNCTION("""COMPUTED_VALUE"""),2.2)</f>
        <v>2.2</v>
      </c>
      <c r="AX380" s="16">
        <f>IFERROR(__xludf.DUMMYFUNCTION("""COMPUTED_VALUE"""),3.6)</f>
        <v>3.6</v>
      </c>
      <c r="AY380" s="16">
        <f>IFERROR(__xludf.DUMMYFUNCTION("""COMPUTED_VALUE"""),0.0)</f>
        <v>0</v>
      </c>
      <c r="AZ380" s="16">
        <f>IFERROR(__xludf.DUMMYFUNCTION("""COMPUTED_VALUE"""),-2.0)</f>
        <v>-2</v>
      </c>
      <c r="BA380" s="16">
        <f>IFERROR(__xludf.DUMMYFUNCTION("""COMPUTED_VALUE"""),0.0)</f>
        <v>0</v>
      </c>
      <c r="BB380" s="16">
        <f>IFERROR(__xludf.DUMMYFUNCTION("""COMPUTED_VALUE"""),-10.0)</f>
        <v>-10</v>
      </c>
      <c r="BC380" s="16">
        <f>IFERROR(__xludf.DUMMYFUNCTION("""COMPUTED_VALUE"""),4.0)</f>
        <v>4</v>
      </c>
      <c r="BD380" s="16">
        <f>IFERROR(__xludf.DUMMYFUNCTION("""COMPUTED_VALUE"""),5.0)</f>
        <v>5</v>
      </c>
      <c r="BE380" s="16">
        <f>IFERROR(__xludf.DUMMYFUNCTION("""COMPUTED_VALUE"""),4.0)</f>
        <v>4</v>
      </c>
      <c r="BF380" s="16">
        <f>IFERROR(__xludf.DUMMYFUNCTION("""COMPUTED_VALUE"""),5.0)</f>
        <v>5</v>
      </c>
      <c r="BG380" s="16">
        <f>IFERROR(__xludf.DUMMYFUNCTION("""COMPUTED_VALUE"""),-1.0)</f>
        <v>-1</v>
      </c>
      <c r="BH380" s="16">
        <f>IFERROR(__xludf.DUMMYFUNCTION("""COMPUTED_VALUE"""),-2.0)</f>
        <v>-2</v>
      </c>
      <c r="BI380" s="16">
        <f>IFERROR(__xludf.DUMMYFUNCTION("""COMPUTED_VALUE"""),-2.0)</f>
        <v>-2</v>
      </c>
      <c r="BJ380" s="16">
        <f>IFERROR(__xludf.DUMMYFUNCTION("""COMPUTED_VALUE"""),-4.0)</f>
        <v>-4</v>
      </c>
      <c r="BK380" s="16">
        <f>IFERROR(__xludf.DUMMYFUNCTION("""COMPUTED_VALUE"""),5.0)</f>
        <v>5</v>
      </c>
      <c r="BL380" s="16">
        <f>IFERROR(__xludf.DUMMYFUNCTION("""COMPUTED_VALUE"""),5.0)</f>
        <v>5</v>
      </c>
      <c r="BM380" s="16">
        <f>IFERROR(__xludf.DUMMYFUNCTION("""COMPUTED_VALUE"""),0.0)</f>
        <v>0</v>
      </c>
      <c r="BN380" s="16">
        <f>IFERROR(__xludf.DUMMYFUNCTION("""COMPUTED_VALUE"""),0.0)</f>
        <v>0</v>
      </c>
      <c r="BO380" s="16">
        <f>IFERROR(__xludf.DUMMYFUNCTION("""COMPUTED_VALUE"""),0.0)</f>
        <v>0</v>
      </c>
      <c r="BP380" s="16">
        <f>IFERROR(__xludf.DUMMYFUNCTION("""COMPUTED_VALUE"""),0.0)</f>
        <v>0</v>
      </c>
      <c r="BQ380" s="16">
        <f>IFERROR(__xludf.DUMMYFUNCTION("""COMPUTED_VALUE"""),0.0)</f>
        <v>0</v>
      </c>
      <c r="BR380" s="16">
        <f>IFERROR(__xludf.DUMMYFUNCTION("""COMPUTED_VALUE"""),0.0)</f>
        <v>0</v>
      </c>
      <c r="BS380" s="16">
        <f>IFERROR(__xludf.DUMMYFUNCTION("""COMPUTED_VALUE"""),-3.0)</f>
        <v>-3</v>
      </c>
      <c r="BT380" s="16">
        <f>IFERROR(__xludf.DUMMYFUNCTION("""COMPUTED_VALUE"""),-3.0)</f>
        <v>-3</v>
      </c>
      <c r="BU380" s="16">
        <f>IFERROR(__xludf.DUMMYFUNCTION("""COMPUTED_VALUE"""),-6.0)</f>
        <v>-6</v>
      </c>
      <c r="BV380" s="16">
        <f>IFERROR(__xludf.DUMMYFUNCTION("""COMPUTED_VALUE"""),-6.0)</f>
        <v>-6</v>
      </c>
      <c r="BW380" s="16">
        <f>IFERROR(__xludf.DUMMYFUNCTION("""COMPUTED_VALUE"""),5.0)</f>
        <v>5</v>
      </c>
      <c r="BX380" s="16">
        <f>IFERROR(__xludf.DUMMYFUNCTION("""COMPUTED_VALUE"""),5.0)</f>
        <v>5</v>
      </c>
      <c r="BY380" s="16" t="str">
        <f>IFERROR(__xludf.DUMMYFUNCTION("""COMPUTED_VALUE"""),"S(5) R(3)")</f>
        <v>S(5) R(3)</v>
      </c>
      <c r="BZ380" s="16" t="str">
        <f>IFERROR(__xludf.DUMMYFUNCTION("""COMPUTED_VALUE"""),"S(5) R(3)")</f>
        <v>S(5) R(3)</v>
      </c>
      <c r="CA380" s="16" t="str">
        <f>IFERROR(__xludf.DUMMYFUNCTION("""COMPUTED_VALUE"""),"S(5)")</f>
        <v>S(5)</v>
      </c>
      <c r="CB380" s="16" t="str">
        <f>IFERROR(__xludf.DUMMYFUNCTION("""COMPUTED_VALUE"""),"R(3)")</f>
        <v>R(3)</v>
      </c>
      <c r="CC380" s="16"/>
      <c r="CD380" s="16">
        <f>IFERROR(__xludf.DUMMYFUNCTION("""COMPUTED_VALUE"""),5.0)</f>
        <v>5</v>
      </c>
      <c r="CE380" s="16">
        <f>IFERROR(__xludf.DUMMYFUNCTION("""COMPUTED_VALUE"""),3.0)</f>
        <v>3</v>
      </c>
      <c r="CF380" s="16"/>
      <c r="CG380" s="16" t="str">
        <f>IFERROR(__xludf.DUMMYFUNCTION("""COMPUTED_VALUE"""),"3-36")</f>
        <v>3-36</v>
      </c>
      <c r="CH380" s="16">
        <f>IFERROR(__xludf.DUMMYFUNCTION("""COMPUTED_VALUE"""),3.0)</f>
        <v>3</v>
      </c>
      <c r="CI380" s="16">
        <f>IFERROR(__xludf.DUMMYFUNCTION("""COMPUTED_VALUE"""),36.0)</f>
        <v>36</v>
      </c>
      <c r="CJ380" s="16">
        <f>IFERROR(__xludf.DUMMYFUNCTION("""COMPUTED_VALUE"""),7.0)</f>
        <v>7</v>
      </c>
      <c r="CK380" s="16">
        <f>IFERROR(__xludf.DUMMYFUNCTION("""COMPUTED_VALUE"""),5.0)</f>
        <v>5</v>
      </c>
      <c r="CL380" s="16" t="str">
        <f>IFERROR(__xludf.DUMMYFUNCTION("""COMPUTED_VALUE"""),"1WR-C")</f>
        <v>1WR-C</v>
      </c>
      <c r="CM380" s="16" t="str">
        <f>IFERROR(__xludf.DUMMYFUNCTION("""COMPUTED_VALUE"""),"E")</f>
        <v>E</v>
      </c>
      <c r="CN380" s="16">
        <f>IFERROR(__xludf.DUMMYFUNCTION("""COMPUTED_VALUE"""),10.0)</f>
        <v>10</v>
      </c>
      <c r="CO380" s="16" t="str">
        <f>IFERROR(__xludf.DUMMYFUNCTION("""COMPUTED_VALUE"""),"C")</f>
        <v>C</v>
      </c>
      <c r="CP380" s="16" t="str">
        <f>IFERROR(__xludf.DUMMYFUNCTION("""COMPUTED_VALUE"""),"4p40")</f>
        <v>4p40</v>
      </c>
      <c r="CQ380" s="16">
        <f>IFERROR(__xludf.DUMMYFUNCTION("""COMPUTED_VALUE"""),-6.0)</f>
        <v>-6</v>
      </c>
      <c r="CR380" s="16">
        <f>IFERROR(__xludf.DUMMYFUNCTION("""COMPUTED_VALUE"""),-17.0)</f>
        <v>-17</v>
      </c>
      <c r="CS380" s="16">
        <f>IFERROR(__xludf.DUMMYFUNCTION("""COMPUTED_VALUE"""),-23.0)</f>
        <v>-23</v>
      </c>
      <c r="CT380" s="16">
        <f>IFERROR(__xludf.DUMMYFUNCTION("""COMPUTED_VALUE"""),-6.0)</f>
        <v>-6</v>
      </c>
      <c r="CU380" s="16">
        <f>IFERROR(__xludf.DUMMYFUNCTION("""COMPUTED_VALUE"""),-17.0)</f>
        <v>-17</v>
      </c>
      <c r="CV380" s="179">
        <f>IFERROR(__xludf.DUMMYFUNCTION("""COMPUTED_VALUE"""),-11.333333333333334)</f>
        <v>-11.33333333</v>
      </c>
      <c r="CW380" s="179">
        <f>IFERROR(__xludf.DUMMYFUNCTION("""COMPUTED_VALUE"""),1.0)</f>
        <v>1</v>
      </c>
      <c r="CX380" s="179">
        <f>IFERROR(__xludf.DUMMYFUNCTION("""COMPUTED_VALUE"""),1.0)</f>
        <v>1</v>
      </c>
      <c r="CY380" s="16" t="str">
        <f>IFERROR(__xludf.DUMMYFUNCTION("""COMPUTED_VALUE"""),"SP")</f>
        <v>SP</v>
      </c>
      <c r="CZ380" s="16" t="str">
        <f>IFERROR(__xludf.DUMMYFUNCTION("""COMPUTED_VALUE"""),"RP")</f>
        <v>RP</v>
      </c>
      <c r="DA380" s="16"/>
      <c r="DB380" s="16"/>
      <c r="DC380" s="16"/>
      <c r="DD380" s="16"/>
      <c r="DE380" s="16"/>
      <c r="DF380" s="16"/>
      <c r="DG380" s="16"/>
      <c r="DH380" s="16"/>
      <c r="DI380" s="16"/>
      <c r="DJ380" s="16"/>
      <c r="DK380" s="16"/>
    </row>
    <row r="381">
      <c r="A381" s="16">
        <f>IFERROR(__xludf.DUMMYFUNCTION("""COMPUTED_VALUE"""),12672.0)</f>
        <v>12672</v>
      </c>
      <c r="B381" s="16" t="str">
        <f>IFERROR(__xludf.DUMMYFUNCTION("""COMPUTED_VALUE"""),"Chris Bassitt")</f>
        <v>Chris Bassitt</v>
      </c>
      <c r="C381" s="153">
        <f>IFERROR(__xludf.DUMMYFUNCTION("""COMPUTED_VALUE"""),0.0)</f>
        <v>0</v>
      </c>
      <c r="D381" s="16"/>
      <c r="E381" s="16" t="str">
        <f>IFERROR(__xludf.DUMMYFUNCTION("""COMPUTED_VALUE"""),"R")</f>
        <v>R</v>
      </c>
      <c r="F381" s="16">
        <f>IFERROR(__xludf.DUMMYFUNCTION("""COMPUTED_VALUE"""),171.0)</f>
        <v>171</v>
      </c>
      <c r="G381" s="16">
        <f>IFERROR(__xludf.DUMMYFUNCTION("""COMPUTED_VALUE"""),17.0)</f>
        <v>17</v>
      </c>
      <c r="H381" s="16">
        <f>IFERROR(__xludf.DUMMYFUNCTION("""COMPUTED_VALUE"""),29.0)</f>
        <v>29</v>
      </c>
      <c r="I381" s="16">
        <f>IFERROR(__xludf.DUMMYFUNCTION("""COMPUTED_VALUE"""),-1.0)</f>
        <v>-1</v>
      </c>
      <c r="J381" s="16">
        <f>IFERROR(__xludf.DUMMYFUNCTION("""COMPUTED_VALUE"""),0.0)</f>
        <v>0</v>
      </c>
      <c r="K381" s="16">
        <f>IFERROR(__xludf.DUMMYFUNCTION("""COMPUTED_VALUE"""),-3.0)</f>
        <v>-3</v>
      </c>
      <c r="L381" s="16">
        <f>IFERROR(__xludf.DUMMYFUNCTION("""COMPUTED_VALUE"""),0.0)</f>
        <v>0</v>
      </c>
      <c r="M381" s="16">
        <f>IFERROR(__xludf.DUMMYFUNCTION("""COMPUTED_VALUE"""),14.0)</f>
        <v>14</v>
      </c>
      <c r="N381" s="16">
        <f>IFERROR(__xludf.DUMMYFUNCTION("""COMPUTED_VALUE"""),9.0)</f>
        <v>9</v>
      </c>
      <c r="O381" s="16">
        <f>IFERROR(__xludf.DUMMYFUNCTION("""COMPUTED_VALUE"""),-2.0)</f>
        <v>-2</v>
      </c>
      <c r="P381" s="16">
        <f>IFERROR(__xludf.DUMMYFUNCTION("""COMPUTED_VALUE"""),0.0)</f>
        <v>0</v>
      </c>
      <c r="Q381" s="16">
        <f>IFERROR(__xludf.DUMMYFUNCTION("""COMPUTED_VALUE"""),-2.0)</f>
        <v>-2</v>
      </c>
      <c r="R381" s="16">
        <f>IFERROR(__xludf.DUMMYFUNCTION("""COMPUTED_VALUE"""),0.0)</f>
        <v>0</v>
      </c>
      <c r="S381" s="16">
        <f>IFERROR(__xludf.DUMMYFUNCTION("""COMPUTED_VALUE"""),25.4)</f>
        <v>25.4</v>
      </c>
      <c r="T381" s="16">
        <f>IFERROR(__xludf.DUMMYFUNCTION("""COMPUTED_VALUE"""),15.9)</f>
        <v>15.9</v>
      </c>
      <c r="U381" s="16">
        <f>IFERROR(__xludf.DUMMYFUNCTION("""COMPUTED_VALUE"""),-2.0)</f>
        <v>-2</v>
      </c>
      <c r="V381" s="16">
        <f>IFERROR(__xludf.DUMMYFUNCTION("""COMPUTED_VALUE"""),0.0)</f>
        <v>0</v>
      </c>
      <c r="W381" s="16">
        <f>IFERROR(__xludf.DUMMYFUNCTION("""COMPUTED_VALUE"""),-4.0)</f>
        <v>-4</v>
      </c>
      <c r="X381" s="16">
        <f>IFERROR(__xludf.DUMMYFUNCTION("""COMPUTED_VALUE"""),0.0)</f>
        <v>0</v>
      </c>
      <c r="Y381" s="16">
        <f>IFERROR(__xludf.DUMMYFUNCTION("""COMPUTED_VALUE"""),39.4)</f>
        <v>39.4</v>
      </c>
      <c r="Z381" s="16">
        <f>IFERROR(__xludf.DUMMYFUNCTION("""COMPUTED_VALUE"""),24.9)</f>
        <v>24.9</v>
      </c>
      <c r="AA381" s="16">
        <f>IFERROR(__xludf.DUMMYFUNCTION("""COMPUTED_VALUE"""),-2.0)</f>
        <v>-2</v>
      </c>
      <c r="AB381" s="16">
        <f>IFERROR(__xludf.DUMMYFUNCTION("""COMPUTED_VALUE"""),0.0)</f>
        <v>0</v>
      </c>
      <c r="AC381" s="16">
        <f>IFERROR(__xludf.DUMMYFUNCTION("""COMPUTED_VALUE"""),-10.0)</f>
        <v>-10</v>
      </c>
      <c r="AD381" s="16">
        <f>IFERROR(__xludf.DUMMYFUNCTION("""COMPUTED_VALUE"""),0.0)</f>
        <v>0</v>
      </c>
      <c r="AE381" s="16">
        <f>IFERROR(__xludf.DUMMYFUNCTION("""COMPUTED_VALUE"""),38.3)</f>
        <v>38.3</v>
      </c>
      <c r="AF381" s="16">
        <f>IFERROR(__xludf.DUMMYFUNCTION("""COMPUTED_VALUE"""),19.3)</f>
        <v>19.3</v>
      </c>
      <c r="AG381" s="16">
        <f>IFERROR(__xludf.DUMMYFUNCTION("""COMPUTED_VALUE"""),-1.0)</f>
        <v>-1</v>
      </c>
      <c r="AH381" s="16">
        <f>IFERROR(__xludf.DUMMYFUNCTION("""COMPUTED_VALUE"""),1.0)</f>
        <v>1</v>
      </c>
      <c r="AI381" s="16">
        <f>IFERROR(__xludf.DUMMYFUNCTION("""COMPUTED_VALUE"""),-2.0)</f>
        <v>-2</v>
      </c>
      <c r="AJ381" s="16">
        <f>IFERROR(__xludf.DUMMYFUNCTION("""COMPUTED_VALUE"""),2.0)</f>
        <v>2</v>
      </c>
      <c r="AK381" s="16">
        <f>IFERROR(__xludf.DUMMYFUNCTION("""COMPUTED_VALUE"""),22.599999999999998)</f>
        <v>22.6</v>
      </c>
      <c r="AL381" s="16">
        <f>IFERROR(__xludf.DUMMYFUNCTION("""COMPUTED_VALUE"""),15.9)</f>
        <v>15.9</v>
      </c>
      <c r="AM381" s="16">
        <f>IFERROR(__xludf.DUMMYFUNCTION("""COMPUTED_VALUE"""),-2.0)</f>
        <v>-2</v>
      </c>
      <c r="AN381" s="16">
        <f>IFERROR(__xludf.DUMMYFUNCTION("""COMPUTED_VALUE"""),0.0)</f>
        <v>0</v>
      </c>
      <c r="AO381" s="16">
        <f>IFERROR(__xludf.DUMMYFUNCTION("""COMPUTED_VALUE"""),-2.0)</f>
        <v>-2</v>
      </c>
      <c r="AP381" s="16">
        <f>IFERROR(__xludf.DUMMYFUNCTION("""COMPUTED_VALUE"""),0.0)</f>
        <v>0</v>
      </c>
      <c r="AQ381" s="16">
        <f>IFERROR(__xludf.DUMMYFUNCTION("""COMPUTED_VALUE"""),27.099999999999998)</f>
        <v>27.1</v>
      </c>
      <c r="AR381" s="16">
        <f>IFERROR(__xludf.DUMMYFUNCTION("""COMPUTED_VALUE"""),19.3)</f>
        <v>19.3</v>
      </c>
      <c r="AS381" s="16">
        <f>IFERROR(__xludf.DUMMYFUNCTION("""COMPUTED_VALUE"""),-1.0)</f>
        <v>-1</v>
      </c>
      <c r="AT381" s="16">
        <f>IFERROR(__xludf.DUMMYFUNCTION("""COMPUTED_VALUE"""),0.0)</f>
        <v>0</v>
      </c>
      <c r="AU381" s="16">
        <f>IFERROR(__xludf.DUMMYFUNCTION("""COMPUTED_VALUE"""),-2.0)</f>
        <v>-2</v>
      </c>
      <c r="AV381" s="16">
        <f>IFERROR(__xludf.DUMMYFUNCTION("""COMPUTED_VALUE"""),0.0)</f>
        <v>0</v>
      </c>
      <c r="AW381" s="16">
        <f>IFERROR(__xludf.DUMMYFUNCTION("""COMPUTED_VALUE"""),2.8)</f>
        <v>2.8</v>
      </c>
      <c r="AX381" s="16">
        <f>IFERROR(__xludf.DUMMYFUNCTION("""COMPUTED_VALUE"""),0.0)</f>
        <v>0</v>
      </c>
      <c r="AY381" s="16">
        <f>IFERROR(__xludf.DUMMYFUNCTION("""COMPUTED_VALUE"""),-1.0)</f>
        <v>-1</v>
      </c>
      <c r="AZ381" s="16">
        <f>IFERROR(__xludf.DUMMYFUNCTION("""COMPUTED_VALUE"""),2.0)</f>
        <v>2</v>
      </c>
      <c r="BA381" s="16">
        <f>IFERROR(__xludf.DUMMYFUNCTION("""COMPUTED_VALUE"""),-5.0)</f>
        <v>-5</v>
      </c>
      <c r="BB381" s="16">
        <f>IFERROR(__xludf.DUMMYFUNCTION("""COMPUTED_VALUE"""),10.0)</f>
        <v>10</v>
      </c>
      <c r="BC381" s="16">
        <f>IFERROR(__xludf.DUMMYFUNCTION("""COMPUTED_VALUE"""),5.0)</f>
        <v>5</v>
      </c>
      <c r="BD381" s="16">
        <f>IFERROR(__xludf.DUMMYFUNCTION("""COMPUTED_VALUE"""),0.0)</f>
        <v>0</v>
      </c>
      <c r="BE381" s="16">
        <f>IFERROR(__xludf.DUMMYFUNCTION("""COMPUTED_VALUE"""),5.0)</f>
        <v>5</v>
      </c>
      <c r="BF381" s="16">
        <f>IFERROR(__xludf.DUMMYFUNCTION("""COMPUTED_VALUE"""),0.0)</f>
        <v>0</v>
      </c>
      <c r="BG381" s="16">
        <f>IFERROR(__xludf.DUMMYFUNCTION("""COMPUTED_VALUE"""),-2.0)</f>
        <v>-2</v>
      </c>
      <c r="BH381" s="16">
        <f>IFERROR(__xludf.DUMMYFUNCTION("""COMPUTED_VALUE"""),2.0)</f>
        <v>2</v>
      </c>
      <c r="BI381" s="16">
        <f>IFERROR(__xludf.DUMMYFUNCTION("""COMPUTED_VALUE"""),-4.0)</f>
        <v>-4</v>
      </c>
      <c r="BJ381" s="16">
        <f>IFERROR(__xludf.DUMMYFUNCTION("""COMPUTED_VALUE"""),4.0)</f>
        <v>4</v>
      </c>
      <c r="BK381" s="16">
        <f>IFERROR(__xludf.DUMMYFUNCTION("""COMPUTED_VALUE"""),5.0)</f>
        <v>5</v>
      </c>
      <c r="BL381" s="16">
        <f>IFERROR(__xludf.DUMMYFUNCTION("""COMPUTED_VALUE"""),5.0)</f>
        <v>5</v>
      </c>
      <c r="BM381" s="16">
        <f>IFERROR(__xludf.DUMMYFUNCTION("""COMPUTED_VALUE"""),0.0)</f>
        <v>0</v>
      </c>
      <c r="BN381" s="16">
        <f>IFERROR(__xludf.DUMMYFUNCTION("""COMPUTED_VALUE"""),0.0)</f>
        <v>0</v>
      </c>
      <c r="BO381" s="16">
        <f>IFERROR(__xludf.DUMMYFUNCTION("""COMPUTED_VALUE"""),0.0)</f>
        <v>0</v>
      </c>
      <c r="BP381" s="16">
        <f>IFERROR(__xludf.DUMMYFUNCTION("""COMPUTED_VALUE"""),0.0)</f>
        <v>0</v>
      </c>
      <c r="BQ381" s="16">
        <f>IFERROR(__xludf.DUMMYFUNCTION("""COMPUTED_VALUE"""),4.0)</f>
        <v>4</v>
      </c>
      <c r="BR381" s="16">
        <f>IFERROR(__xludf.DUMMYFUNCTION("""COMPUTED_VALUE"""),5.0)</f>
        <v>5</v>
      </c>
      <c r="BS381" s="16">
        <f>IFERROR(__xludf.DUMMYFUNCTION("""COMPUTED_VALUE"""),-1.0)</f>
        <v>-1</v>
      </c>
      <c r="BT381" s="16">
        <f>IFERROR(__xludf.DUMMYFUNCTION("""COMPUTED_VALUE"""),0.0)</f>
        <v>0</v>
      </c>
      <c r="BU381" s="16">
        <f>IFERROR(__xludf.DUMMYFUNCTION("""COMPUTED_VALUE"""),-2.0)</f>
        <v>-2</v>
      </c>
      <c r="BV381" s="16">
        <f>IFERROR(__xludf.DUMMYFUNCTION("""COMPUTED_VALUE"""),0.0)</f>
        <v>0</v>
      </c>
      <c r="BW381" s="16">
        <f>IFERROR(__xludf.DUMMYFUNCTION("""COMPUTED_VALUE"""),0.0)</f>
        <v>0</v>
      </c>
      <c r="BX381" s="16">
        <f>IFERROR(__xludf.DUMMYFUNCTION("""COMPUTED_VALUE"""),0.0)</f>
        <v>0</v>
      </c>
      <c r="BY381" s="16" t="str">
        <f>IFERROR(__xludf.DUMMYFUNCTION("""COMPUTED_VALUE"""),"S(5)")</f>
        <v>S(5)</v>
      </c>
      <c r="BZ381" s="16" t="str">
        <f>IFERROR(__xludf.DUMMYFUNCTION("""COMPUTED_VALUE"""),"S(5)")</f>
        <v>S(5)</v>
      </c>
      <c r="CA381" s="16" t="str">
        <f>IFERROR(__xludf.DUMMYFUNCTION("""COMPUTED_VALUE"""),"S(5)")</f>
        <v>S(5)</v>
      </c>
      <c r="CB381" s="16"/>
      <c r="CC381" s="16"/>
      <c r="CD381" s="16">
        <f>IFERROR(__xludf.DUMMYFUNCTION("""COMPUTED_VALUE"""),5.0)</f>
        <v>5</v>
      </c>
      <c r="CE381" s="16"/>
      <c r="CF381" s="16"/>
      <c r="CG381" s="16" t="str">
        <f>IFERROR(__xludf.DUMMYFUNCTION("""COMPUTED_VALUE"""),"3-8")</f>
        <v>3-8</v>
      </c>
      <c r="CH381" s="16">
        <f>IFERROR(__xludf.DUMMYFUNCTION("""COMPUTED_VALUE"""),3.0)</f>
        <v>3</v>
      </c>
      <c r="CI381" s="16">
        <f>IFERROR(__xludf.DUMMYFUNCTION("""COMPUTED_VALUE"""),8.0)</f>
        <v>8</v>
      </c>
      <c r="CJ381" s="16">
        <f>IFERROR(__xludf.DUMMYFUNCTION("""COMPUTED_VALUE"""),4.0)</f>
        <v>4</v>
      </c>
      <c r="CK381" s="16">
        <f>IFERROR(__xludf.DUMMYFUNCTION("""COMPUTED_VALUE"""),2.0)</f>
        <v>2</v>
      </c>
      <c r="CL381" s="16" t="str">
        <f>IFERROR(__xludf.DUMMYFUNCTION("""COMPUTED_VALUE"""),"1WR-C")</f>
        <v>1WR-C</v>
      </c>
      <c r="CM381" s="16" t="str">
        <f>IFERROR(__xludf.DUMMYFUNCTION("""COMPUTED_VALUE"""),"E")</f>
        <v>E</v>
      </c>
      <c r="CN381" s="16">
        <f>IFERROR(__xludf.DUMMYFUNCTION("""COMPUTED_VALUE"""),10.0)</f>
        <v>10</v>
      </c>
      <c r="CO381" s="16" t="str">
        <f>IFERROR(__xludf.DUMMYFUNCTION("""COMPUTED_VALUE"""),"C")</f>
        <v>C</v>
      </c>
      <c r="CP381" s="16" t="str">
        <f>IFERROR(__xludf.DUMMYFUNCTION("""COMPUTED_VALUE"""),"1p70")</f>
        <v>1p70</v>
      </c>
      <c r="CQ381" s="16">
        <f>IFERROR(__xludf.DUMMYFUNCTION("""COMPUTED_VALUE"""),-36.0)</f>
        <v>-36</v>
      </c>
      <c r="CR381" s="16">
        <f>IFERROR(__xludf.DUMMYFUNCTION("""COMPUTED_VALUE"""),16.0)</f>
        <v>16</v>
      </c>
      <c r="CS381" s="16">
        <f>IFERROR(__xludf.DUMMYFUNCTION("""COMPUTED_VALUE"""),-20.0)</f>
        <v>-20</v>
      </c>
      <c r="CT381" s="16">
        <f>IFERROR(__xludf.DUMMYFUNCTION("""COMPUTED_VALUE"""),-36.0)</f>
        <v>-36</v>
      </c>
      <c r="CU381" s="16">
        <f>IFERROR(__xludf.DUMMYFUNCTION("""COMPUTED_VALUE"""),16.0)</f>
        <v>16</v>
      </c>
      <c r="CV381" s="179">
        <f>IFERROR(__xludf.DUMMYFUNCTION("""COMPUTED_VALUE"""),-11.666666666666668)</f>
        <v>-11.66666667</v>
      </c>
      <c r="CW381" s="179">
        <f>IFERROR(__xludf.DUMMYFUNCTION("""COMPUTED_VALUE"""),4.0)</f>
        <v>4</v>
      </c>
      <c r="CX381" s="179">
        <f>IFERROR(__xludf.DUMMYFUNCTION("""COMPUTED_VALUE"""),3.0)</f>
        <v>3</v>
      </c>
      <c r="CY381" s="16" t="str">
        <f>IFERROR(__xludf.DUMMYFUNCTION("""COMPUTED_VALUE"""),"SP")</f>
        <v>SP</v>
      </c>
      <c r="CZ381" s="16"/>
      <c r="DA381" s="16"/>
      <c r="DB381" s="16"/>
      <c r="DC381" s="16"/>
      <c r="DD381" s="16"/>
      <c r="DE381" s="16"/>
      <c r="DF381" s="16"/>
      <c r="DG381" s="16"/>
      <c r="DH381" s="16"/>
      <c r="DI381" s="16"/>
      <c r="DJ381" s="16"/>
      <c r="DK381" s="16"/>
    </row>
    <row r="382">
      <c r="A382" s="16">
        <f>IFERROR(__xludf.DUMMYFUNCTION("""COMPUTED_VALUE"""),13401.0)</f>
        <v>13401</v>
      </c>
      <c r="B382" s="16" t="str">
        <f>IFERROR(__xludf.DUMMYFUNCTION("""COMPUTED_VALUE"""),"Tanner Rainey")</f>
        <v>Tanner Rainey</v>
      </c>
      <c r="C382" s="153">
        <f>IFERROR(__xludf.DUMMYFUNCTION("""COMPUTED_VALUE"""),0.05)</f>
        <v>0.05</v>
      </c>
      <c r="D382" s="16"/>
      <c r="E382" s="16" t="str">
        <f>IFERROR(__xludf.DUMMYFUNCTION("""COMPUTED_VALUE"""),"R")</f>
        <v>R</v>
      </c>
      <c r="F382" s="16">
        <f>IFERROR(__xludf.DUMMYFUNCTION("""COMPUTED_VALUE"""),51.0)</f>
        <v>51</v>
      </c>
      <c r="G382" s="16">
        <f>IFERROR(__xludf.DUMMYFUNCTION("""COMPUTED_VALUE"""),14.0)</f>
        <v>14</v>
      </c>
      <c r="H382" s="16">
        <f>IFERROR(__xludf.DUMMYFUNCTION("""COMPUTED_VALUE"""),19.0)</f>
        <v>19</v>
      </c>
      <c r="I382" s="16">
        <f>IFERROR(__xludf.DUMMYFUNCTION("""COMPUTED_VALUE"""),-2.0)</f>
        <v>-2</v>
      </c>
      <c r="J382" s="16">
        <f>IFERROR(__xludf.DUMMYFUNCTION("""COMPUTED_VALUE"""),-1.0)</f>
        <v>-1</v>
      </c>
      <c r="K382" s="16">
        <f>IFERROR(__xludf.DUMMYFUNCTION("""COMPUTED_VALUE"""),-6.0)</f>
        <v>-6</v>
      </c>
      <c r="L382" s="16">
        <f>IFERROR(__xludf.DUMMYFUNCTION("""COMPUTED_VALUE"""),-3.0)</f>
        <v>-3</v>
      </c>
      <c r="M382" s="16">
        <f>IFERROR(__xludf.DUMMYFUNCTION("""COMPUTED_VALUE"""),31.0)</f>
        <v>31</v>
      </c>
      <c r="N382" s="16">
        <f>IFERROR(__xludf.DUMMYFUNCTION("""COMPUTED_VALUE"""),9.0)</f>
        <v>9</v>
      </c>
      <c r="O382" s="16">
        <f>IFERROR(__xludf.DUMMYFUNCTION("""COMPUTED_VALUE"""),-3.0)</f>
        <v>-3</v>
      </c>
      <c r="P382" s="16">
        <f>IFERROR(__xludf.DUMMYFUNCTION("""COMPUTED_VALUE"""),0.0)</f>
        <v>0</v>
      </c>
      <c r="Q382" s="16">
        <f>IFERROR(__xludf.DUMMYFUNCTION("""COMPUTED_VALUE"""),-3.0)</f>
        <v>-3</v>
      </c>
      <c r="R382" s="16">
        <f>IFERROR(__xludf.DUMMYFUNCTION("""COMPUTED_VALUE"""),0.0)</f>
        <v>0</v>
      </c>
      <c r="S382" s="16">
        <f>IFERROR(__xludf.DUMMYFUNCTION("""COMPUTED_VALUE"""),8.8)</f>
        <v>8.8</v>
      </c>
      <c r="T382" s="16">
        <f>IFERROR(__xludf.DUMMYFUNCTION("""COMPUTED_VALUE"""),15.3)</f>
        <v>15.3</v>
      </c>
      <c r="U382" s="16">
        <f>IFERROR(__xludf.DUMMYFUNCTION("""COMPUTED_VALUE"""),1.0)</f>
        <v>1</v>
      </c>
      <c r="V382" s="16">
        <f>IFERROR(__xludf.DUMMYFUNCTION("""COMPUTED_VALUE"""),0.0)</f>
        <v>0</v>
      </c>
      <c r="W382" s="16">
        <f>IFERROR(__xludf.DUMMYFUNCTION("""COMPUTED_VALUE"""),2.0)</f>
        <v>2</v>
      </c>
      <c r="X382" s="16">
        <f>IFERROR(__xludf.DUMMYFUNCTION("""COMPUTED_VALUE"""),0.0)</f>
        <v>0</v>
      </c>
      <c r="Y382" s="16">
        <f>IFERROR(__xludf.DUMMYFUNCTION("""COMPUTED_VALUE"""),39.8)</f>
        <v>39.8</v>
      </c>
      <c r="Z382" s="16">
        <f>IFERROR(__xludf.DUMMYFUNCTION("""COMPUTED_VALUE"""),24.3)</f>
        <v>24.3</v>
      </c>
      <c r="AA382" s="16">
        <f>IFERROR(__xludf.DUMMYFUNCTION("""COMPUTED_VALUE"""),-2.0)</f>
        <v>-2</v>
      </c>
      <c r="AB382" s="16">
        <f>IFERROR(__xludf.DUMMYFUNCTION("""COMPUTED_VALUE"""),0.0)</f>
        <v>0</v>
      </c>
      <c r="AC382" s="16">
        <f>IFERROR(__xludf.DUMMYFUNCTION("""COMPUTED_VALUE"""),-10.0)</f>
        <v>-10</v>
      </c>
      <c r="AD382" s="16">
        <f>IFERROR(__xludf.DUMMYFUNCTION("""COMPUTED_VALUE"""),0.0)</f>
        <v>0</v>
      </c>
      <c r="AE382" s="16">
        <f>IFERROR(__xludf.DUMMYFUNCTION("""COMPUTED_VALUE"""),21.3)</f>
        <v>21.3</v>
      </c>
      <c r="AF382" s="16">
        <f>IFERROR(__xludf.DUMMYFUNCTION("""COMPUTED_VALUE"""),28.5)</f>
        <v>28.5</v>
      </c>
      <c r="AG382" s="16">
        <f>IFERROR(__xludf.DUMMYFUNCTION("""COMPUTED_VALUE"""),1.0)</f>
        <v>1</v>
      </c>
      <c r="AH382" s="16">
        <f>IFERROR(__xludf.DUMMYFUNCTION("""COMPUTED_VALUE"""),0.0)</f>
        <v>0</v>
      </c>
      <c r="AI382" s="16">
        <f>IFERROR(__xludf.DUMMYFUNCTION("""COMPUTED_VALUE"""),2.0)</f>
        <v>2</v>
      </c>
      <c r="AJ382" s="16">
        <f>IFERROR(__xludf.DUMMYFUNCTION("""COMPUTED_VALUE"""),0.0)</f>
        <v>0</v>
      </c>
      <c r="AK382" s="16">
        <f>IFERROR(__xludf.DUMMYFUNCTION("""COMPUTED_VALUE"""),7.800000000000001)</f>
        <v>7.8</v>
      </c>
      <c r="AL382" s="16">
        <f>IFERROR(__xludf.DUMMYFUNCTION("""COMPUTED_VALUE"""),11.700000000000001)</f>
        <v>11.7</v>
      </c>
      <c r="AM382" s="16">
        <f>IFERROR(__xludf.DUMMYFUNCTION("""COMPUTED_VALUE"""),1.0)</f>
        <v>1</v>
      </c>
      <c r="AN382" s="16">
        <f>IFERROR(__xludf.DUMMYFUNCTION("""COMPUTED_VALUE"""),0.0)</f>
        <v>0</v>
      </c>
      <c r="AO382" s="16">
        <f>IFERROR(__xludf.DUMMYFUNCTION("""COMPUTED_VALUE"""),1.0)</f>
        <v>1</v>
      </c>
      <c r="AP382" s="16">
        <f>IFERROR(__xludf.DUMMYFUNCTION("""COMPUTED_VALUE"""),0.0)</f>
        <v>0</v>
      </c>
      <c r="AQ382" s="16">
        <f>IFERROR(__xludf.DUMMYFUNCTION("""COMPUTED_VALUE"""),17.3)</f>
        <v>17.3</v>
      </c>
      <c r="AR382" s="16">
        <f>IFERROR(__xludf.DUMMYFUNCTION("""COMPUTED_VALUE"""),14.1)</f>
        <v>14.1</v>
      </c>
      <c r="AS382" s="16">
        <f>IFERROR(__xludf.DUMMYFUNCTION("""COMPUTED_VALUE"""),0.0)</f>
        <v>0</v>
      </c>
      <c r="AT382" s="16">
        <f>IFERROR(__xludf.DUMMYFUNCTION("""COMPUTED_VALUE"""),1.0)</f>
        <v>1</v>
      </c>
      <c r="AU382" s="16">
        <f>IFERROR(__xludf.DUMMYFUNCTION("""COMPUTED_VALUE"""),0.0)</f>
        <v>0</v>
      </c>
      <c r="AV382" s="16">
        <f>IFERROR(__xludf.DUMMYFUNCTION("""COMPUTED_VALUE"""),2.0)</f>
        <v>2</v>
      </c>
      <c r="AW382" s="16">
        <f>IFERROR(__xludf.DUMMYFUNCTION("""COMPUTED_VALUE"""),1.0)</f>
        <v>1</v>
      </c>
      <c r="AX382" s="16">
        <f>IFERROR(__xludf.DUMMYFUNCTION("""COMPUTED_VALUE"""),3.6)</f>
        <v>3.6</v>
      </c>
      <c r="AY382" s="16">
        <f>IFERROR(__xludf.DUMMYFUNCTION("""COMPUTED_VALUE"""),1.0)</f>
        <v>1</v>
      </c>
      <c r="AZ382" s="16">
        <f>IFERROR(__xludf.DUMMYFUNCTION("""COMPUTED_VALUE"""),-2.0)</f>
        <v>-2</v>
      </c>
      <c r="BA382" s="16">
        <f>IFERROR(__xludf.DUMMYFUNCTION("""COMPUTED_VALUE"""),5.0)</f>
        <v>5</v>
      </c>
      <c r="BB382" s="16">
        <f>IFERROR(__xludf.DUMMYFUNCTION("""COMPUTED_VALUE"""),-10.0)</f>
        <v>-10</v>
      </c>
      <c r="BC382" s="16"/>
      <c r="BD382" s="16">
        <f>IFERROR(__xludf.DUMMYFUNCTION("""COMPUTED_VALUE"""),6.0)</f>
        <v>6</v>
      </c>
      <c r="BE382" s="16">
        <f>IFERROR(__xludf.DUMMYFUNCTION("""COMPUTED_VALUE"""),0.0)</f>
        <v>0</v>
      </c>
      <c r="BF382" s="16">
        <f>IFERROR(__xludf.DUMMYFUNCTION("""COMPUTED_VALUE"""),6.0)</f>
        <v>6</v>
      </c>
      <c r="BG382" s="16">
        <f>IFERROR(__xludf.DUMMYFUNCTION("""COMPUTED_VALUE"""),3.0)</f>
        <v>3</v>
      </c>
      <c r="BH382" s="16">
        <f>IFERROR(__xludf.DUMMYFUNCTION("""COMPUTED_VALUE"""),-2.0)</f>
        <v>-2</v>
      </c>
      <c r="BI382" s="16">
        <f>IFERROR(__xludf.DUMMYFUNCTION("""COMPUTED_VALUE"""),6.0)</f>
        <v>6</v>
      </c>
      <c r="BJ382" s="16">
        <f>IFERROR(__xludf.DUMMYFUNCTION("""COMPUTED_VALUE"""),-4.0)</f>
        <v>-4</v>
      </c>
      <c r="BK382" s="16">
        <f>IFERROR(__xludf.DUMMYFUNCTION("""COMPUTED_VALUE"""),0.0)</f>
        <v>0</v>
      </c>
      <c r="BL382" s="16">
        <f>IFERROR(__xludf.DUMMYFUNCTION("""COMPUTED_VALUE"""),5.0)</f>
        <v>5</v>
      </c>
      <c r="BM382" s="16">
        <f>IFERROR(__xludf.DUMMYFUNCTION("""COMPUTED_VALUE"""),1.0)</f>
        <v>1</v>
      </c>
      <c r="BN382" s="16">
        <f>IFERROR(__xludf.DUMMYFUNCTION("""COMPUTED_VALUE"""),0.0)</f>
        <v>0</v>
      </c>
      <c r="BO382" s="16">
        <f>IFERROR(__xludf.DUMMYFUNCTION("""COMPUTED_VALUE"""),1.0)</f>
        <v>1</v>
      </c>
      <c r="BP382" s="16">
        <f>IFERROR(__xludf.DUMMYFUNCTION("""COMPUTED_VALUE"""),0.0)</f>
        <v>0</v>
      </c>
      <c r="BQ382" s="16">
        <f>IFERROR(__xludf.DUMMYFUNCTION("""COMPUTED_VALUE"""),0.0)</f>
        <v>0</v>
      </c>
      <c r="BR382" s="16">
        <f>IFERROR(__xludf.DUMMYFUNCTION("""COMPUTED_VALUE"""),0.0)</f>
        <v>0</v>
      </c>
      <c r="BS382" s="16">
        <f>IFERROR(__xludf.DUMMYFUNCTION("""COMPUTED_VALUE"""),-3.0)</f>
        <v>-3</v>
      </c>
      <c r="BT382" s="16">
        <f>IFERROR(__xludf.DUMMYFUNCTION("""COMPUTED_VALUE"""),-3.0)</f>
        <v>-3</v>
      </c>
      <c r="BU382" s="16">
        <f>IFERROR(__xludf.DUMMYFUNCTION("""COMPUTED_VALUE"""),-6.0)</f>
        <v>-6</v>
      </c>
      <c r="BV382" s="16">
        <f>IFERROR(__xludf.DUMMYFUNCTION("""COMPUTED_VALUE"""),-6.0)</f>
        <v>-6</v>
      </c>
      <c r="BW382" s="16">
        <f>IFERROR(__xludf.DUMMYFUNCTION("""COMPUTED_VALUE"""),0.0)</f>
        <v>0</v>
      </c>
      <c r="BX382" s="16">
        <f>IFERROR(__xludf.DUMMYFUNCTION("""COMPUTED_VALUE"""),0.0)</f>
        <v>0</v>
      </c>
      <c r="BY382" s="16" t="str">
        <f>IFERROR(__xludf.DUMMYFUNCTION("""COMPUTED_VALUE"""),"R(1)")</f>
        <v>R(1)</v>
      </c>
      <c r="BZ382" s="16" t="str">
        <f>IFERROR(__xludf.DUMMYFUNCTION("""COMPUTED_VALUE"""),"R(1)")</f>
        <v>R(1)</v>
      </c>
      <c r="CA382" s="16" t="str">
        <f>IFERROR(__xludf.DUMMYFUNCTION("""COMPUTED_VALUE"""),"R(1)")</f>
        <v>R(1)</v>
      </c>
      <c r="CB382" s="16"/>
      <c r="CC382" s="16"/>
      <c r="CD382" s="16"/>
      <c r="CE382" s="16">
        <f>IFERROR(__xludf.DUMMYFUNCTION("""COMPUTED_VALUE"""),1.0)</f>
        <v>1</v>
      </c>
      <c r="CF382" s="16"/>
      <c r="CG382" s="16" t="str">
        <f>IFERROR(__xludf.DUMMYFUNCTION("""COMPUTED_VALUE"""),"4-0")</f>
        <v>4-0</v>
      </c>
      <c r="CH382" s="16">
        <f>IFERROR(__xludf.DUMMYFUNCTION("""COMPUTED_VALUE"""),4.0)</f>
        <v>4</v>
      </c>
      <c r="CI382" s="16">
        <f>IFERROR(__xludf.DUMMYFUNCTION("""COMPUTED_VALUE"""),0.0)</f>
        <v>0</v>
      </c>
      <c r="CJ382" s="16">
        <f>IFERROR(__xludf.DUMMYFUNCTION("""COMPUTED_VALUE"""),0.0)</f>
        <v>0</v>
      </c>
      <c r="CK382" s="16">
        <f>IFERROR(__xludf.DUMMYFUNCTION("""COMPUTED_VALUE"""),20.0)</f>
        <v>20</v>
      </c>
      <c r="CL382" s="16" t="str">
        <f>IFERROR(__xludf.DUMMYFUNCTION("""COMPUTED_VALUE"""),"1WR-C")</f>
        <v>1WR-C</v>
      </c>
      <c r="CM382" s="16" t="str">
        <f>IFERROR(__xludf.DUMMYFUNCTION("""COMPUTED_VALUE"""),"E")</f>
        <v>E</v>
      </c>
      <c r="CN382" s="16">
        <f>IFERROR(__xludf.DUMMYFUNCTION("""COMPUTED_VALUE"""),10.0)</f>
        <v>10</v>
      </c>
      <c r="CO382" s="16" t="str">
        <f>IFERROR(__xludf.DUMMYFUNCTION("""COMPUTED_VALUE"""),"C")</f>
        <v>C</v>
      </c>
      <c r="CP382" s="16" t="str">
        <f>IFERROR(__xludf.DUMMYFUNCTION("""COMPUTED_VALUE"""),"1p40")</f>
        <v>1p40</v>
      </c>
      <c r="CQ382" s="16">
        <f>IFERROR(__xludf.DUMMYFUNCTION("""COMPUTED_VALUE"""),-8.0)</f>
        <v>-8</v>
      </c>
      <c r="CR382" s="16">
        <f>IFERROR(__xludf.DUMMYFUNCTION("""COMPUTED_VALUE"""),-21.0)</f>
        <v>-21</v>
      </c>
      <c r="CS382" s="16">
        <f>IFERROR(__xludf.DUMMYFUNCTION("""COMPUTED_VALUE"""),-29.0)</f>
        <v>-29</v>
      </c>
      <c r="CT382" s="16">
        <f>IFERROR(__xludf.DUMMYFUNCTION("""COMPUTED_VALUE"""),-8.0)</f>
        <v>-8</v>
      </c>
      <c r="CU382" s="16">
        <f>IFERROR(__xludf.DUMMYFUNCTION("""COMPUTED_VALUE"""),-21.0)</f>
        <v>-21</v>
      </c>
      <c r="CV382" s="179">
        <f>IFERROR(__xludf.DUMMYFUNCTION("""COMPUTED_VALUE"""),-11.666666666666668)</f>
        <v>-11.66666667</v>
      </c>
      <c r="CW382" s="179">
        <f>IFERROR(__xludf.DUMMYFUNCTION("""COMPUTED_VALUE"""),4.0)</f>
        <v>4</v>
      </c>
      <c r="CX382" s="179">
        <f>IFERROR(__xludf.DUMMYFUNCTION("""COMPUTED_VALUE"""),1.0)</f>
        <v>1</v>
      </c>
      <c r="CY382" s="16" t="str">
        <f>IFERROR(__xludf.DUMMYFUNCTION("""COMPUTED_VALUE"""),"RP")</f>
        <v>RP</v>
      </c>
      <c r="CZ382" s="16"/>
      <c r="DA382" s="16"/>
      <c r="DB382" s="16"/>
      <c r="DC382" s="16"/>
      <c r="DD382" s="16"/>
      <c r="DE382" s="16"/>
      <c r="DF382" s="16"/>
      <c r="DG382" s="16"/>
      <c r="DH382" s="16"/>
      <c r="DI382" s="16"/>
      <c r="DJ382" s="16"/>
      <c r="DK382" s="16"/>
    </row>
    <row r="383">
      <c r="A383" s="16">
        <f>IFERROR(__xludf.DUMMYFUNCTION("""COMPUTED_VALUE"""),12551.0)</f>
        <v>12551</v>
      </c>
      <c r="B383" s="16" t="str">
        <f>IFERROR(__xludf.DUMMYFUNCTION("""COMPUTED_VALUE"""),"Angel Zerpa")</f>
        <v>Angel Zerpa</v>
      </c>
      <c r="C383" s="153">
        <f>IFERROR(__xludf.DUMMYFUNCTION("""COMPUTED_VALUE"""),0.32)</f>
        <v>0.32</v>
      </c>
      <c r="D383" s="16"/>
      <c r="E383" s="16" t="str">
        <f>IFERROR(__xludf.DUMMYFUNCTION("""COMPUTED_VALUE"""),"L")</f>
        <v>L</v>
      </c>
      <c r="F383" s="16">
        <f>IFERROR(__xludf.DUMMYFUNCTION("""COMPUTED_VALUE"""),54.0)</f>
        <v>54</v>
      </c>
      <c r="G383" s="16">
        <f>IFERROR(__xludf.DUMMYFUNCTION("""COMPUTED_VALUE"""),26.0)</f>
        <v>26</v>
      </c>
      <c r="H383" s="16">
        <f>IFERROR(__xludf.DUMMYFUNCTION("""COMPUTED_VALUE"""),16.0)</f>
        <v>16</v>
      </c>
      <c r="I383" s="16">
        <f>IFERROR(__xludf.DUMMYFUNCTION("""COMPUTED_VALUE"""),0.0)</f>
        <v>0</v>
      </c>
      <c r="J383" s="16">
        <f>IFERROR(__xludf.DUMMYFUNCTION("""COMPUTED_VALUE"""),-2.0)</f>
        <v>-2</v>
      </c>
      <c r="K383" s="16">
        <f>IFERROR(__xludf.DUMMYFUNCTION("""COMPUTED_VALUE"""),0.0)</f>
        <v>0</v>
      </c>
      <c r="L383" s="16">
        <f>IFERROR(__xludf.DUMMYFUNCTION("""COMPUTED_VALUE"""),-6.0)</f>
        <v>-6</v>
      </c>
      <c r="M383" s="16">
        <f>IFERROR(__xludf.DUMMYFUNCTION("""COMPUTED_VALUE"""),3.0)</f>
        <v>3</v>
      </c>
      <c r="N383" s="16">
        <f>IFERROR(__xludf.DUMMYFUNCTION("""COMPUTED_VALUE"""),10.0)</f>
        <v>10</v>
      </c>
      <c r="O383" s="16">
        <f>IFERROR(__xludf.DUMMYFUNCTION("""COMPUTED_VALUE"""),2.0)</f>
        <v>2</v>
      </c>
      <c r="P383" s="16">
        <f>IFERROR(__xludf.DUMMYFUNCTION("""COMPUTED_VALUE"""),-1.0)</f>
        <v>-1</v>
      </c>
      <c r="Q383" s="16">
        <f>IFERROR(__xludf.DUMMYFUNCTION("""COMPUTED_VALUE"""),2.0)</f>
        <v>2</v>
      </c>
      <c r="R383" s="16">
        <f>IFERROR(__xludf.DUMMYFUNCTION("""COMPUTED_VALUE"""),-1.0)</f>
        <v>-1</v>
      </c>
      <c r="S383" s="16">
        <f>IFERROR(__xludf.DUMMYFUNCTION("""COMPUTED_VALUE"""),25.7)</f>
        <v>25.7</v>
      </c>
      <c r="T383" s="16">
        <f>IFERROR(__xludf.DUMMYFUNCTION("""COMPUTED_VALUE"""),18.2)</f>
        <v>18.2</v>
      </c>
      <c r="U383" s="16">
        <f>IFERROR(__xludf.DUMMYFUNCTION("""COMPUTED_VALUE"""),-2.0)</f>
        <v>-2</v>
      </c>
      <c r="V383" s="16">
        <f>IFERROR(__xludf.DUMMYFUNCTION("""COMPUTED_VALUE"""),0.0)</f>
        <v>0</v>
      </c>
      <c r="W383" s="16">
        <f>IFERROR(__xludf.DUMMYFUNCTION("""COMPUTED_VALUE"""),-4.0)</f>
        <v>-4</v>
      </c>
      <c r="X383" s="16">
        <f>IFERROR(__xludf.DUMMYFUNCTION("""COMPUTED_VALUE"""),0.0)</f>
        <v>0</v>
      </c>
      <c r="Y383" s="16">
        <f>IFERROR(__xludf.DUMMYFUNCTION("""COMPUTED_VALUE"""),28.7)</f>
        <v>28.7</v>
      </c>
      <c r="Z383" s="16">
        <f>IFERROR(__xludf.DUMMYFUNCTION("""COMPUTED_VALUE"""),28.2)</f>
        <v>28.2</v>
      </c>
      <c r="AA383" s="16">
        <f>IFERROR(__xludf.DUMMYFUNCTION("""COMPUTED_VALUE"""),0.0)</f>
        <v>0</v>
      </c>
      <c r="AB383" s="16">
        <f>IFERROR(__xludf.DUMMYFUNCTION("""COMPUTED_VALUE"""),0.0)</f>
        <v>0</v>
      </c>
      <c r="AC383" s="16">
        <f>IFERROR(__xludf.DUMMYFUNCTION("""COMPUTED_VALUE"""),0.0)</f>
        <v>0</v>
      </c>
      <c r="AD383" s="16">
        <f>IFERROR(__xludf.DUMMYFUNCTION("""COMPUTED_VALUE"""),0.0)</f>
        <v>0</v>
      </c>
      <c r="AE383" s="16">
        <f>IFERROR(__xludf.DUMMYFUNCTION("""COMPUTED_VALUE"""),33.2)</f>
        <v>33.2</v>
      </c>
      <c r="AF383" s="16">
        <f>IFERROR(__xludf.DUMMYFUNCTION("""COMPUTED_VALUE"""),31.3)</f>
        <v>31.3</v>
      </c>
      <c r="AG383" s="16">
        <f>IFERROR(__xludf.DUMMYFUNCTION("""COMPUTED_VALUE"""),-1.0)</f>
        <v>-1</v>
      </c>
      <c r="AH383" s="16">
        <f>IFERROR(__xludf.DUMMYFUNCTION("""COMPUTED_VALUE"""),0.0)</f>
        <v>0</v>
      </c>
      <c r="AI383" s="16">
        <f>IFERROR(__xludf.DUMMYFUNCTION("""COMPUTED_VALUE"""),-2.0)</f>
        <v>-2</v>
      </c>
      <c r="AJ383" s="16">
        <f>IFERROR(__xludf.DUMMYFUNCTION("""COMPUTED_VALUE"""),0.0)</f>
        <v>0</v>
      </c>
      <c r="AK383" s="16">
        <f>IFERROR(__xludf.DUMMYFUNCTION("""COMPUTED_VALUE"""),25.7)</f>
        <v>25.7</v>
      </c>
      <c r="AL383" s="16">
        <f>IFERROR(__xludf.DUMMYFUNCTION("""COMPUTED_VALUE"""),14.6)</f>
        <v>14.6</v>
      </c>
      <c r="AM383" s="16">
        <f>IFERROR(__xludf.DUMMYFUNCTION("""COMPUTED_VALUE"""),-2.0)</f>
        <v>-2</v>
      </c>
      <c r="AN383" s="16">
        <f>IFERROR(__xludf.DUMMYFUNCTION("""COMPUTED_VALUE"""),0.0)</f>
        <v>0</v>
      </c>
      <c r="AO383" s="16">
        <f>IFERROR(__xludf.DUMMYFUNCTION("""COMPUTED_VALUE"""),-2.0)</f>
        <v>-2</v>
      </c>
      <c r="AP383" s="16">
        <f>IFERROR(__xludf.DUMMYFUNCTION("""COMPUTED_VALUE"""),0.0)</f>
        <v>0</v>
      </c>
      <c r="AQ383" s="16">
        <f>IFERROR(__xludf.DUMMYFUNCTION("""COMPUTED_VALUE"""),33.2)</f>
        <v>33.2</v>
      </c>
      <c r="AR383" s="16">
        <f>IFERROR(__xludf.DUMMYFUNCTION("""COMPUTED_VALUE"""),16.9)</f>
        <v>16.9</v>
      </c>
      <c r="AS383" s="16">
        <f>IFERROR(__xludf.DUMMYFUNCTION("""COMPUTED_VALUE"""),-2.0)</f>
        <v>-2</v>
      </c>
      <c r="AT383" s="16">
        <f>IFERROR(__xludf.DUMMYFUNCTION("""COMPUTED_VALUE"""),0.0)</f>
        <v>0</v>
      </c>
      <c r="AU383" s="16">
        <f>IFERROR(__xludf.DUMMYFUNCTION("""COMPUTED_VALUE"""),-4.0)</f>
        <v>-4</v>
      </c>
      <c r="AV383" s="16">
        <f>IFERROR(__xludf.DUMMYFUNCTION("""COMPUTED_VALUE"""),0.0)</f>
        <v>0</v>
      </c>
      <c r="AW383" s="16">
        <f>IFERROR(__xludf.DUMMYFUNCTION("""COMPUTED_VALUE"""),0.0)</f>
        <v>0</v>
      </c>
      <c r="AX383" s="16">
        <f>IFERROR(__xludf.DUMMYFUNCTION("""COMPUTED_VALUE"""),3.6)</f>
        <v>3.6</v>
      </c>
      <c r="AY383" s="16">
        <f>IFERROR(__xludf.DUMMYFUNCTION("""COMPUTED_VALUE"""),2.0)</f>
        <v>2</v>
      </c>
      <c r="AZ383" s="16">
        <f>IFERROR(__xludf.DUMMYFUNCTION("""COMPUTED_VALUE"""),-2.0)</f>
        <v>-2</v>
      </c>
      <c r="BA383" s="16">
        <f>IFERROR(__xludf.DUMMYFUNCTION("""COMPUTED_VALUE"""),10.0)</f>
        <v>10</v>
      </c>
      <c r="BB383" s="16">
        <f>IFERROR(__xludf.DUMMYFUNCTION("""COMPUTED_VALUE"""),-10.0)</f>
        <v>-10</v>
      </c>
      <c r="BC383" s="16">
        <f>IFERROR(__xludf.DUMMYFUNCTION("""COMPUTED_VALUE"""),0.0)</f>
        <v>0</v>
      </c>
      <c r="BD383" s="16">
        <f>IFERROR(__xludf.DUMMYFUNCTION("""COMPUTED_VALUE"""),6.0)</f>
        <v>6</v>
      </c>
      <c r="BE383" s="16">
        <f>IFERROR(__xludf.DUMMYFUNCTION("""COMPUTED_VALUE"""),0.0)</f>
        <v>0</v>
      </c>
      <c r="BF383" s="16">
        <f>IFERROR(__xludf.DUMMYFUNCTION("""COMPUTED_VALUE"""),6.0)</f>
        <v>6</v>
      </c>
      <c r="BG383" s="16">
        <f>IFERROR(__xludf.DUMMYFUNCTION("""COMPUTED_VALUE"""),3.0)</f>
        <v>3</v>
      </c>
      <c r="BH383" s="16">
        <f>IFERROR(__xludf.DUMMYFUNCTION("""COMPUTED_VALUE"""),-2.0)</f>
        <v>-2</v>
      </c>
      <c r="BI383" s="16">
        <f>IFERROR(__xludf.DUMMYFUNCTION("""COMPUTED_VALUE"""),6.0)</f>
        <v>6</v>
      </c>
      <c r="BJ383" s="16">
        <f>IFERROR(__xludf.DUMMYFUNCTION("""COMPUTED_VALUE"""),-4.0)</f>
        <v>-4</v>
      </c>
      <c r="BK383" s="16">
        <f>IFERROR(__xludf.DUMMYFUNCTION("""COMPUTED_VALUE"""),5.0)</f>
        <v>5</v>
      </c>
      <c r="BL383" s="16">
        <f>IFERROR(__xludf.DUMMYFUNCTION("""COMPUTED_VALUE"""),5.0)</f>
        <v>5</v>
      </c>
      <c r="BM383" s="16">
        <f>IFERROR(__xludf.DUMMYFUNCTION("""COMPUTED_VALUE"""),0.0)</f>
        <v>0</v>
      </c>
      <c r="BN383" s="16">
        <f>IFERROR(__xludf.DUMMYFUNCTION("""COMPUTED_VALUE"""),0.0)</f>
        <v>0</v>
      </c>
      <c r="BO383" s="16">
        <f>IFERROR(__xludf.DUMMYFUNCTION("""COMPUTED_VALUE"""),0.0)</f>
        <v>0</v>
      </c>
      <c r="BP383" s="16">
        <f>IFERROR(__xludf.DUMMYFUNCTION("""COMPUTED_VALUE"""),0.0)</f>
        <v>0</v>
      </c>
      <c r="BQ383" s="16">
        <f>IFERROR(__xludf.DUMMYFUNCTION("""COMPUTED_VALUE"""),1.0)</f>
        <v>1</v>
      </c>
      <c r="BR383" s="16">
        <f>IFERROR(__xludf.DUMMYFUNCTION("""COMPUTED_VALUE"""),1.0)</f>
        <v>1</v>
      </c>
      <c r="BS383" s="16">
        <f>IFERROR(__xludf.DUMMYFUNCTION("""COMPUTED_VALUE"""),-2.0)</f>
        <v>-2</v>
      </c>
      <c r="BT383" s="16">
        <f>IFERROR(__xludf.DUMMYFUNCTION("""COMPUTED_VALUE"""),-2.0)</f>
        <v>-2</v>
      </c>
      <c r="BU383" s="16">
        <f>IFERROR(__xludf.DUMMYFUNCTION("""COMPUTED_VALUE"""),-4.0)</f>
        <v>-4</v>
      </c>
      <c r="BV383" s="16">
        <f>IFERROR(__xludf.DUMMYFUNCTION("""COMPUTED_VALUE"""),-4.0)</f>
        <v>-4</v>
      </c>
      <c r="BW383" s="16">
        <f>IFERROR(__xludf.DUMMYFUNCTION("""COMPUTED_VALUE"""),-1.0)</f>
        <v>-1</v>
      </c>
      <c r="BX383" s="16">
        <f>IFERROR(__xludf.DUMMYFUNCTION("""COMPUTED_VALUE"""),-1.0)</f>
        <v>-1</v>
      </c>
      <c r="BY383" s="16" t="str">
        <f>IFERROR(__xludf.DUMMYFUNCTION("""COMPUTED_VALUE"""),"R(1)")</f>
        <v>R(1)</v>
      </c>
      <c r="BZ383" s="16" t="str">
        <f>IFERROR(__xludf.DUMMYFUNCTION("""COMPUTED_VALUE"""),"R(1)")</f>
        <v>R(1)</v>
      </c>
      <c r="CA383" s="16" t="str">
        <f>IFERROR(__xludf.DUMMYFUNCTION("""COMPUTED_VALUE"""),"R(1)")</f>
        <v>R(1)</v>
      </c>
      <c r="CB383" s="16"/>
      <c r="CC383" s="16"/>
      <c r="CD383" s="16"/>
      <c r="CE383" s="16">
        <f>IFERROR(__xludf.DUMMYFUNCTION("""COMPUTED_VALUE"""),1.0)</f>
        <v>1</v>
      </c>
      <c r="CF383" s="16"/>
      <c r="CG383" s="16" t="str">
        <f>IFERROR(__xludf.DUMMYFUNCTION("""COMPUTED_VALUE"""),"2-51")</f>
        <v>2-51</v>
      </c>
      <c r="CH383" s="16">
        <f>IFERROR(__xludf.DUMMYFUNCTION("""COMPUTED_VALUE"""),2.0)</f>
        <v>2</v>
      </c>
      <c r="CI383" s="16">
        <f>IFERROR(__xludf.DUMMYFUNCTION("""COMPUTED_VALUE"""),51.0)</f>
        <v>51</v>
      </c>
      <c r="CJ383" s="16">
        <f>IFERROR(__xludf.DUMMYFUNCTION("""COMPUTED_VALUE"""),0.0)</f>
        <v>0</v>
      </c>
      <c r="CK383" s="16">
        <f>IFERROR(__xludf.DUMMYFUNCTION("""COMPUTED_VALUE"""),11.0)</f>
        <v>11</v>
      </c>
      <c r="CL383" s="16" t="str">
        <f>IFERROR(__xludf.DUMMYFUNCTION("""COMPUTED_VALUE"""),"1WL-C")</f>
        <v>1WL-C</v>
      </c>
      <c r="CM383" s="16" t="str">
        <f>IFERROR(__xludf.DUMMYFUNCTION("""COMPUTED_VALUE"""),"E")</f>
        <v>E</v>
      </c>
      <c r="CN383" s="16">
        <f>IFERROR(__xludf.DUMMYFUNCTION("""COMPUTED_VALUE"""),10.0)</f>
        <v>10</v>
      </c>
      <c r="CO383" s="16" t="str">
        <f>IFERROR(__xludf.DUMMYFUNCTION("""COMPUTED_VALUE"""),"C")</f>
        <v>C</v>
      </c>
      <c r="CP383" s="16" t="str">
        <f>IFERROR(__xludf.DUMMYFUNCTION("""COMPUTED_VALUE"""),"1p50")</f>
        <v>1p50</v>
      </c>
      <c r="CQ383" s="16">
        <f>IFERROR(__xludf.DUMMYFUNCTION("""COMPUTED_VALUE"""),2.0)</f>
        <v>2</v>
      </c>
      <c r="CR383" s="16">
        <f>IFERROR(__xludf.DUMMYFUNCTION("""COMPUTED_VALUE"""),-25.0)</f>
        <v>-25</v>
      </c>
      <c r="CS383" s="16">
        <f>IFERROR(__xludf.DUMMYFUNCTION("""COMPUTED_VALUE"""),-23.0)</f>
        <v>-23</v>
      </c>
      <c r="CT383" s="16">
        <f>IFERROR(__xludf.DUMMYFUNCTION("""COMPUTED_VALUE"""),2.0)</f>
        <v>2</v>
      </c>
      <c r="CU383" s="16">
        <f>IFERROR(__xludf.DUMMYFUNCTION("""COMPUTED_VALUE"""),-25.0)</f>
        <v>-25</v>
      </c>
      <c r="CV383" s="179">
        <f>IFERROR(__xludf.DUMMYFUNCTION("""COMPUTED_VALUE"""),-12.0)</f>
        <v>-12</v>
      </c>
      <c r="CW383" s="179">
        <f>IFERROR(__xludf.DUMMYFUNCTION("""COMPUTED_VALUE"""),4.0)</f>
        <v>4</v>
      </c>
      <c r="CX383" s="179">
        <f>IFERROR(__xludf.DUMMYFUNCTION("""COMPUTED_VALUE"""),0.0)</f>
        <v>0</v>
      </c>
      <c r="CY383" s="16" t="str">
        <f>IFERROR(__xludf.DUMMYFUNCTION("""COMPUTED_VALUE"""),"RP")</f>
        <v>RP</v>
      </c>
      <c r="CZ383" s="16"/>
      <c r="DA383" s="16"/>
      <c r="DB383" s="16"/>
      <c r="DC383" s="16"/>
      <c r="DD383" s="16"/>
      <c r="DE383" s="16"/>
      <c r="DF383" s="16"/>
      <c r="DG383" s="16"/>
      <c r="DH383" s="16"/>
      <c r="DI383" s="16"/>
      <c r="DJ383" s="16"/>
      <c r="DK383" s="16"/>
    </row>
    <row r="384">
      <c r="A384" s="16">
        <f>IFERROR(__xludf.DUMMYFUNCTION("""COMPUTED_VALUE"""),12493.0)</f>
        <v>12493</v>
      </c>
      <c r="B384" s="16" t="str">
        <f>IFERROR(__xludf.DUMMYFUNCTION("""COMPUTED_VALUE"""),"Aaron Civale")</f>
        <v>Aaron Civale</v>
      </c>
      <c r="C384" s="153">
        <f>IFERROR(__xludf.DUMMYFUNCTION("""COMPUTED_VALUE"""),0.34)</f>
        <v>0.34</v>
      </c>
      <c r="D384" s="16"/>
      <c r="E384" s="16" t="str">
        <f>IFERROR(__xludf.DUMMYFUNCTION("""COMPUTED_VALUE"""),"R")</f>
        <v>R</v>
      </c>
      <c r="F384" s="16">
        <f>IFERROR(__xludf.DUMMYFUNCTION("""COMPUTED_VALUE"""),161.0)</f>
        <v>161</v>
      </c>
      <c r="G384" s="16">
        <f>IFERROR(__xludf.DUMMYFUNCTION("""COMPUTED_VALUE"""),28.0)</f>
        <v>28</v>
      </c>
      <c r="H384" s="16">
        <f>IFERROR(__xludf.DUMMYFUNCTION("""COMPUTED_VALUE"""),14.0)</f>
        <v>14</v>
      </c>
      <c r="I384" s="16">
        <f>IFERROR(__xludf.DUMMYFUNCTION("""COMPUTED_VALUE"""),0.0)</f>
        <v>0</v>
      </c>
      <c r="J384" s="16">
        <f>IFERROR(__xludf.DUMMYFUNCTION("""COMPUTED_VALUE"""),-2.0)</f>
        <v>-2</v>
      </c>
      <c r="K384" s="16">
        <f>IFERROR(__xludf.DUMMYFUNCTION("""COMPUTED_VALUE"""),0.0)</f>
        <v>0</v>
      </c>
      <c r="L384" s="16">
        <f>IFERROR(__xludf.DUMMYFUNCTION("""COMPUTED_VALUE"""),-6.0)</f>
        <v>-6</v>
      </c>
      <c r="M384" s="16">
        <f>IFERROR(__xludf.DUMMYFUNCTION("""COMPUTED_VALUE"""),7.0)</f>
        <v>7</v>
      </c>
      <c r="N384" s="16">
        <f>IFERROR(__xludf.DUMMYFUNCTION("""COMPUTED_VALUE"""),8.0)</f>
        <v>8</v>
      </c>
      <c r="O384" s="16">
        <f>IFERROR(__xludf.DUMMYFUNCTION("""COMPUTED_VALUE"""),1.0)</f>
        <v>1</v>
      </c>
      <c r="P384" s="16">
        <f>IFERROR(__xludf.DUMMYFUNCTION("""COMPUTED_VALUE"""),0.0)</f>
        <v>0</v>
      </c>
      <c r="Q384" s="16">
        <f>IFERROR(__xludf.DUMMYFUNCTION("""COMPUTED_VALUE"""),1.0)</f>
        <v>1</v>
      </c>
      <c r="R384" s="16">
        <f>IFERROR(__xludf.DUMMYFUNCTION("""COMPUTED_VALUE"""),0.0)</f>
        <v>0</v>
      </c>
      <c r="S384" s="16">
        <f>IFERROR(__xludf.DUMMYFUNCTION("""COMPUTED_VALUE"""),18.8)</f>
        <v>18.8</v>
      </c>
      <c r="T384" s="16">
        <f>IFERROR(__xludf.DUMMYFUNCTION("""COMPUTED_VALUE"""),18.8)</f>
        <v>18.8</v>
      </c>
      <c r="U384" s="16">
        <f>IFERROR(__xludf.DUMMYFUNCTION("""COMPUTED_VALUE"""),-1.0)</f>
        <v>-1</v>
      </c>
      <c r="V384" s="16">
        <f>IFERROR(__xludf.DUMMYFUNCTION("""COMPUTED_VALUE"""),-1.0)</f>
        <v>-1</v>
      </c>
      <c r="W384" s="16">
        <f>IFERROR(__xludf.DUMMYFUNCTION("""COMPUTED_VALUE"""),-2.0)</f>
        <v>-2</v>
      </c>
      <c r="X384" s="16">
        <f>IFERROR(__xludf.DUMMYFUNCTION("""COMPUTED_VALUE"""),-2.0)</f>
        <v>-2</v>
      </c>
      <c r="Y384" s="16">
        <f>IFERROR(__xludf.DUMMYFUNCTION("""COMPUTED_VALUE"""),25.8)</f>
        <v>25.8</v>
      </c>
      <c r="Z384" s="16">
        <f>IFERROR(__xludf.DUMMYFUNCTION("""COMPUTED_VALUE"""),26.8)</f>
        <v>26.8</v>
      </c>
      <c r="AA384" s="16">
        <f>IFERROR(__xludf.DUMMYFUNCTION("""COMPUTED_VALUE"""),0.0)</f>
        <v>0</v>
      </c>
      <c r="AB384" s="16">
        <f>IFERROR(__xludf.DUMMYFUNCTION("""COMPUTED_VALUE"""),0.0)</f>
        <v>0</v>
      </c>
      <c r="AC384" s="16">
        <f>IFERROR(__xludf.DUMMYFUNCTION("""COMPUTED_VALUE"""),0.0)</f>
        <v>0</v>
      </c>
      <c r="AD384" s="16">
        <f>IFERROR(__xludf.DUMMYFUNCTION("""COMPUTED_VALUE"""),0.0)</f>
        <v>0</v>
      </c>
      <c r="AE384" s="16">
        <f>IFERROR(__xludf.DUMMYFUNCTION("""COMPUTED_VALUE"""),34.7)</f>
        <v>34.7</v>
      </c>
      <c r="AF384" s="16">
        <f>IFERROR(__xludf.DUMMYFUNCTION("""COMPUTED_VALUE"""),32.3)</f>
        <v>32.3</v>
      </c>
      <c r="AG384" s="16">
        <f>IFERROR(__xludf.DUMMYFUNCTION("""COMPUTED_VALUE"""),-1.0)</f>
        <v>-1</v>
      </c>
      <c r="AH384" s="16">
        <f>IFERROR(__xludf.DUMMYFUNCTION("""COMPUTED_VALUE"""),0.0)</f>
        <v>0</v>
      </c>
      <c r="AI384" s="16">
        <f>IFERROR(__xludf.DUMMYFUNCTION("""COMPUTED_VALUE"""),-2.0)</f>
        <v>-2</v>
      </c>
      <c r="AJ384" s="16">
        <f>IFERROR(__xludf.DUMMYFUNCTION("""COMPUTED_VALUE"""),0.0)</f>
        <v>0</v>
      </c>
      <c r="AK384" s="16">
        <f>IFERROR(__xludf.DUMMYFUNCTION("""COMPUTED_VALUE"""),15.4)</f>
        <v>15.4</v>
      </c>
      <c r="AL384" s="16">
        <f>IFERROR(__xludf.DUMMYFUNCTION("""COMPUTED_VALUE"""),15.8)</f>
        <v>15.8</v>
      </c>
      <c r="AM384" s="16">
        <f>IFERROR(__xludf.DUMMYFUNCTION("""COMPUTED_VALUE"""),0.0)</f>
        <v>0</v>
      </c>
      <c r="AN384" s="16">
        <f>IFERROR(__xludf.DUMMYFUNCTION("""COMPUTED_VALUE"""),0.0)</f>
        <v>0</v>
      </c>
      <c r="AO384" s="16">
        <f>IFERROR(__xludf.DUMMYFUNCTION("""COMPUTED_VALUE"""),0.0)</f>
        <v>0</v>
      </c>
      <c r="AP384" s="16">
        <f>IFERROR(__xludf.DUMMYFUNCTION("""COMPUTED_VALUE"""),0.0)</f>
        <v>0</v>
      </c>
      <c r="AQ384" s="16">
        <f>IFERROR(__xludf.DUMMYFUNCTION("""COMPUTED_VALUE"""),21.1)</f>
        <v>21.1</v>
      </c>
      <c r="AR384" s="16">
        <f>IFERROR(__xludf.DUMMYFUNCTION("""COMPUTED_VALUE"""),20.299999999999997)</f>
        <v>20.3</v>
      </c>
      <c r="AS384" s="16">
        <f>IFERROR(__xludf.DUMMYFUNCTION("""COMPUTED_VALUE"""),0.0)</f>
        <v>0</v>
      </c>
      <c r="AT384" s="16">
        <f>IFERROR(__xludf.DUMMYFUNCTION("""COMPUTED_VALUE"""),0.0)</f>
        <v>0</v>
      </c>
      <c r="AU384" s="16">
        <f>IFERROR(__xludf.DUMMYFUNCTION("""COMPUTED_VALUE"""),0.0)</f>
        <v>0</v>
      </c>
      <c r="AV384" s="16">
        <f>IFERROR(__xludf.DUMMYFUNCTION("""COMPUTED_VALUE"""),0.0)</f>
        <v>0</v>
      </c>
      <c r="AW384" s="16">
        <f>IFERROR(__xludf.DUMMYFUNCTION("""COMPUTED_VALUE"""),3.4)</f>
        <v>3.4</v>
      </c>
      <c r="AX384" s="16">
        <f>IFERROR(__xludf.DUMMYFUNCTION("""COMPUTED_VALUE"""),3.0)</f>
        <v>3</v>
      </c>
      <c r="AY384" s="16">
        <f>IFERROR(__xludf.DUMMYFUNCTION("""COMPUTED_VALUE"""),-2.0)</f>
        <v>-2</v>
      </c>
      <c r="AZ384" s="16">
        <f>IFERROR(__xludf.DUMMYFUNCTION("""COMPUTED_VALUE"""),-1.0)</f>
        <v>-1</v>
      </c>
      <c r="BA384" s="16">
        <f>IFERROR(__xludf.DUMMYFUNCTION("""COMPUTED_VALUE"""),-10.0)</f>
        <v>-10</v>
      </c>
      <c r="BB384" s="16">
        <f>IFERROR(__xludf.DUMMYFUNCTION("""COMPUTED_VALUE"""),-5.0)</f>
        <v>-5</v>
      </c>
      <c r="BC384" s="16">
        <f>IFERROR(__xludf.DUMMYFUNCTION("""COMPUTED_VALUE"""),6.0)</f>
        <v>6</v>
      </c>
      <c r="BD384" s="16">
        <f>IFERROR(__xludf.DUMMYFUNCTION("""COMPUTED_VALUE"""),5.0)</f>
        <v>5</v>
      </c>
      <c r="BE384" s="16">
        <f>IFERROR(__xludf.DUMMYFUNCTION("""COMPUTED_VALUE"""),6.0)</f>
        <v>6</v>
      </c>
      <c r="BF384" s="16">
        <f>IFERROR(__xludf.DUMMYFUNCTION("""COMPUTED_VALUE"""),5.0)</f>
        <v>5</v>
      </c>
      <c r="BG384" s="16">
        <f>IFERROR(__xludf.DUMMYFUNCTION("""COMPUTED_VALUE"""),-3.0)</f>
        <v>-3</v>
      </c>
      <c r="BH384" s="16">
        <f>IFERROR(__xludf.DUMMYFUNCTION("""COMPUTED_VALUE"""),-2.0)</f>
        <v>-2</v>
      </c>
      <c r="BI384" s="16">
        <f>IFERROR(__xludf.DUMMYFUNCTION("""COMPUTED_VALUE"""),-6.0)</f>
        <v>-6</v>
      </c>
      <c r="BJ384" s="16">
        <f>IFERROR(__xludf.DUMMYFUNCTION("""COMPUTED_VALUE"""),-4.0)</f>
        <v>-4</v>
      </c>
      <c r="BK384" s="16">
        <f>IFERROR(__xludf.DUMMYFUNCTION("""COMPUTED_VALUE"""),5.0)</f>
        <v>5</v>
      </c>
      <c r="BL384" s="16">
        <f>IFERROR(__xludf.DUMMYFUNCTION("""COMPUTED_VALUE"""),5.0)</f>
        <v>5</v>
      </c>
      <c r="BM384" s="16">
        <f>IFERROR(__xludf.DUMMYFUNCTION("""COMPUTED_VALUE"""),0.0)</f>
        <v>0</v>
      </c>
      <c r="BN384" s="16">
        <f>IFERROR(__xludf.DUMMYFUNCTION("""COMPUTED_VALUE"""),0.0)</f>
        <v>0</v>
      </c>
      <c r="BO384" s="16">
        <f>IFERROR(__xludf.DUMMYFUNCTION("""COMPUTED_VALUE"""),0.0)</f>
        <v>0</v>
      </c>
      <c r="BP384" s="16">
        <f>IFERROR(__xludf.DUMMYFUNCTION("""COMPUTED_VALUE"""),0.0)</f>
        <v>0</v>
      </c>
      <c r="BQ384" s="16">
        <f>IFERROR(__xludf.DUMMYFUNCTION("""COMPUTED_VALUE"""),5.0)</f>
        <v>5</v>
      </c>
      <c r="BR384" s="16">
        <f>IFERROR(__xludf.DUMMYFUNCTION("""COMPUTED_VALUE"""),4.0)</f>
        <v>4</v>
      </c>
      <c r="BS384" s="16">
        <f>IFERROR(__xludf.DUMMYFUNCTION("""COMPUTED_VALUE"""),0.0)</f>
        <v>0</v>
      </c>
      <c r="BT384" s="16">
        <f>IFERROR(__xludf.DUMMYFUNCTION("""COMPUTED_VALUE"""),-1.0)</f>
        <v>-1</v>
      </c>
      <c r="BU384" s="16">
        <f>IFERROR(__xludf.DUMMYFUNCTION("""COMPUTED_VALUE"""),0.0)</f>
        <v>0</v>
      </c>
      <c r="BV384" s="16">
        <f>IFERROR(__xludf.DUMMYFUNCTION("""COMPUTED_VALUE"""),-2.0)</f>
        <v>-2</v>
      </c>
      <c r="BW384" s="16">
        <f>IFERROR(__xludf.DUMMYFUNCTION("""COMPUTED_VALUE"""),-3.0)</f>
        <v>-3</v>
      </c>
      <c r="BX384" s="16">
        <f>IFERROR(__xludf.DUMMYFUNCTION("""COMPUTED_VALUE"""),-3.0)</f>
        <v>-3</v>
      </c>
      <c r="BY384" s="16" t="str">
        <f>IFERROR(__xludf.DUMMYFUNCTION("""COMPUTED_VALUE"""),"S(5)")</f>
        <v>S(5)</v>
      </c>
      <c r="BZ384" s="16" t="str">
        <f>IFERROR(__xludf.DUMMYFUNCTION("""COMPUTED_VALUE"""),"S(5)")</f>
        <v>S(5)</v>
      </c>
      <c r="CA384" s="16" t="str">
        <f>IFERROR(__xludf.DUMMYFUNCTION("""COMPUTED_VALUE"""),"S(5)")</f>
        <v>S(5)</v>
      </c>
      <c r="CB384" s="16"/>
      <c r="CC384" s="16"/>
      <c r="CD384" s="16">
        <f>IFERROR(__xludf.DUMMYFUNCTION("""COMPUTED_VALUE"""),5.0)</f>
        <v>5</v>
      </c>
      <c r="CE384" s="16"/>
      <c r="CF384" s="16"/>
      <c r="CG384" s="16" t="str">
        <f>IFERROR(__xludf.DUMMYFUNCTION("""COMPUTED_VALUE"""),"2-0")</f>
        <v>2-0</v>
      </c>
      <c r="CH384" s="16">
        <f>IFERROR(__xludf.DUMMYFUNCTION("""COMPUTED_VALUE"""),2.0)</f>
        <v>2</v>
      </c>
      <c r="CI384" s="16">
        <f>IFERROR(__xludf.DUMMYFUNCTION("""COMPUTED_VALUE"""),0.0)</f>
        <v>0</v>
      </c>
      <c r="CJ384" s="16">
        <f>IFERROR(__xludf.DUMMYFUNCTION("""COMPUTED_VALUE"""),0.0)</f>
        <v>0</v>
      </c>
      <c r="CK384" s="16">
        <f>IFERROR(__xludf.DUMMYFUNCTION("""COMPUTED_VALUE"""),0.0)</f>
        <v>0</v>
      </c>
      <c r="CL384" s="16" t="str">
        <f>IFERROR(__xludf.DUMMYFUNCTION("""COMPUTED_VALUE"""),"1WR-C")</f>
        <v>1WR-C</v>
      </c>
      <c r="CM384" s="16" t="str">
        <f>IFERROR(__xludf.DUMMYFUNCTION("""COMPUTED_VALUE"""),"E")</f>
        <v>E</v>
      </c>
      <c r="CN384" s="16">
        <f>IFERROR(__xludf.DUMMYFUNCTION("""COMPUTED_VALUE"""),10.0)</f>
        <v>10</v>
      </c>
      <c r="CO384" s="16" t="str">
        <f>IFERROR(__xludf.DUMMYFUNCTION("""COMPUTED_VALUE"""),"C")</f>
        <v>C</v>
      </c>
      <c r="CP384" s="16" t="str">
        <f>IFERROR(__xludf.DUMMYFUNCTION("""COMPUTED_VALUE"""),"1p70")</f>
        <v>1p70</v>
      </c>
      <c r="CQ384" s="16">
        <f>IFERROR(__xludf.DUMMYFUNCTION("""COMPUTED_VALUE"""),-19.0)</f>
        <v>-19</v>
      </c>
      <c r="CR384" s="16">
        <f>IFERROR(__xludf.DUMMYFUNCTION("""COMPUTED_VALUE"""),-19.0)</f>
        <v>-19</v>
      </c>
      <c r="CS384" s="16">
        <f>IFERROR(__xludf.DUMMYFUNCTION("""COMPUTED_VALUE"""),-38.0)</f>
        <v>-38</v>
      </c>
      <c r="CT384" s="16">
        <f>IFERROR(__xludf.DUMMYFUNCTION("""COMPUTED_VALUE"""),-19.0)</f>
        <v>-19</v>
      </c>
      <c r="CU384" s="16">
        <f>IFERROR(__xludf.DUMMYFUNCTION("""COMPUTED_VALUE"""),-19.0)</f>
        <v>-19</v>
      </c>
      <c r="CV384" s="179">
        <f>IFERROR(__xludf.DUMMYFUNCTION("""COMPUTED_VALUE"""),-12.0)</f>
        <v>-12</v>
      </c>
      <c r="CW384" s="179">
        <f>IFERROR(__xludf.DUMMYFUNCTION("""COMPUTED_VALUE"""),4.0)</f>
        <v>4</v>
      </c>
      <c r="CX384" s="179">
        <f>IFERROR(__xludf.DUMMYFUNCTION("""COMPUTED_VALUE"""),3.0)</f>
        <v>3</v>
      </c>
      <c r="CY384" s="16" t="str">
        <f>IFERROR(__xludf.DUMMYFUNCTION("""COMPUTED_VALUE"""),"SP")</f>
        <v>SP</v>
      </c>
      <c r="CZ384" s="16"/>
      <c r="DA384" s="16"/>
      <c r="DB384" s="16"/>
      <c r="DC384" s="16"/>
      <c r="DD384" s="16"/>
      <c r="DE384" s="16"/>
      <c r="DF384" s="16"/>
      <c r="DG384" s="16"/>
      <c r="DH384" s="16"/>
      <c r="DI384" s="16"/>
      <c r="DJ384" s="16"/>
      <c r="DK384" s="16"/>
    </row>
    <row r="385">
      <c r="A385" s="16">
        <f>IFERROR(__xludf.DUMMYFUNCTION("""COMPUTED_VALUE"""),12921.0)</f>
        <v>12921</v>
      </c>
      <c r="B385" s="16" t="str">
        <f>IFERROR(__xludf.DUMMYFUNCTION("""COMPUTED_VALUE"""),"James McArthur")</f>
        <v>James McArthur</v>
      </c>
      <c r="C385" s="153">
        <f>IFERROR(__xludf.DUMMYFUNCTION("""COMPUTED_VALUE"""),0.0)</f>
        <v>0</v>
      </c>
      <c r="D385" s="16"/>
      <c r="E385" s="16" t="str">
        <f>IFERROR(__xludf.DUMMYFUNCTION("""COMPUTED_VALUE"""),"R")</f>
        <v>R</v>
      </c>
      <c r="F385" s="16">
        <f>IFERROR(__xludf.DUMMYFUNCTION("""COMPUTED_VALUE"""),57.0)</f>
        <v>57</v>
      </c>
      <c r="G385" s="16">
        <f>IFERROR(__xludf.DUMMYFUNCTION("""COMPUTED_VALUE"""),23.0)</f>
        <v>23</v>
      </c>
      <c r="H385" s="16">
        <f>IFERROR(__xludf.DUMMYFUNCTION("""COMPUTED_VALUE"""),16.0)</f>
        <v>16</v>
      </c>
      <c r="I385" s="16">
        <f>IFERROR(__xludf.DUMMYFUNCTION("""COMPUTED_VALUE"""),-1.0)</f>
        <v>-1</v>
      </c>
      <c r="J385" s="16">
        <f>IFERROR(__xludf.DUMMYFUNCTION("""COMPUTED_VALUE"""),-2.0)</f>
        <v>-2</v>
      </c>
      <c r="K385" s="16">
        <f>IFERROR(__xludf.DUMMYFUNCTION("""COMPUTED_VALUE"""),-3.0)</f>
        <v>-3</v>
      </c>
      <c r="L385" s="16">
        <f>IFERROR(__xludf.DUMMYFUNCTION("""COMPUTED_VALUE"""),-6.0)</f>
        <v>-6</v>
      </c>
      <c r="M385" s="16">
        <f>IFERROR(__xludf.DUMMYFUNCTION("""COMPUTED_VALUE"""),0.0)</f>
        <v>0</v>
      </c>
      <c r="N385" s="16">
        <f>IFERROR(__xludf.DUMMYFUNCTION("""COMPUTED_VALUE"""),4.0)</f>
        <v>4</v>
      </c>
      <c r="O385" s="16">
        <f>IFERROR(__xludf.DUMMYFUNCTION("""COMPUTED_VALUE"""),3.0)</f>
        <v>3</v>
      </c>
      <c r="P385" s="16">
        <f>IFERROR(__xludf.DUMMYFUNCTION("""COMPUTED_VALUE"""),2.0)</f>
        <v>2</v>
      </c>
      <c r="Q385" s="16">
        <f>IFERROR(__xludf.DUMMYFUNCTION("""COMPUTED_VALUE"""),3.0)</f>
        <v>3</v>
      </c>
      <c r="R385" s="16">
        <f>IFERROR(__xludf.DUMMYFUNCTION("""COMPUTED_VALUE"""),2.0)</f>
        <v>2</v>
      </c>
      <c r="S385" s="16">
        <f>IFERROR(__xludf.DUMMYFUNCTION("""COMPUTED_VALUE"""),27.5)</f>
        <v>27.5</v>
      </c>
      <c r="T385" s="16">
        <f>IFERROR(__xludf.DUMMYFUNCTION("""COMPUTED_VALUE"""),28.4)</f>
        <v>28.4</v>
      </c>
      <c r="U385" s="16">
        <f>IFERROR(__xludf.DUMMYFUNCTION("""COMPUTED_VALUE"""),-2.0)</f>
        <v>-2</v>
      </c>
      <c r="V385" s="16">
        <f>IFERROR(__xludf.DUMMYFUNCTION("""COMPUTED_VALUE"""),-2.0)</f>
        <v>-2</v>
      </c>
      <c r="W385" s="16">
        <f>IFERROR(__xludf.DUMMYFUNCTION("""COMPUTED_VALUE"""),-4.0)</f>
        <v>-4</v>
      </c>
      <c r="X385" s="16">
        <f>IFERROR(__xludf.DUMMYFUNCTION("""COMPUTED_VALUE"""),-4.0)</f>
        <v>-4</v>
      </c>
      <c r="Y385" s="16">
        <f>IFERROR(__xludf.DUMMYFUNCTION("""COMPUTED_VALUE"""),27.5)</f>
        <v>27.5</v>
      </c>
      <c r="Z385" s="16">
        <f>IFERROR(__xludf.DUMMYFUNCTION("""COMPUTED_VALUE"""),32.4)</f>
        <v>32.4</v>
      </c>
      <c r="AA385" s="16">
        <f>IFERROR(__xludf.DUMMYFUNCTION("""COMPUTED_VALUE"""),0.0)</f>
        <v>0</v>
      </c>
      <c r="AB385" s="16">
        <f>IFERROR(__xludf.DUMMYFUNCTION("""COMPUTED_VALUE"""),-1.0)</f>
        <v>-1</v>
      </c>
      <c r="AC385" s="16">
        <f>IFERROR(__xludf.DUMMYFUNCTION("""COMPUTED_VALUE"""),0.0)</f>
        <v>0</v>
      </c>
      <c r="AD385" s="16">
        <f>IFERROR(__xludf.DUMMYFUNCTION("""COMPUTED_VALUE"""),-5.0)</f>
        <v>-5</v>
      </c>
      <c r="AE385" s="16">
        <f>IFERROR(__xludf.DUMMYFUNCTION("""COMPUTED_VALUE"""),39.3)</f>
        <v>39.3</v>
      </c>
      <c r="AF385" s="16">
        <f>IFERROR(__xludf.DUMMYFUNCTION("""COMPUTED_VALUE"""),44.3)</f>
        <v>44.3</v>
      </c>
      <c r="AG385" s="16">
        <f>IFERROR(__xludf.DUMMYFUNCTION("""COMPUTED_VALUE"""),-1.0)</f>
        <v>-1</v>
      </c>
      <c r="AH385" s="16">
        <f>IFERROR(__xludf.DUMMYFUNCTION("""COMPUTED_VALUE"""),-2.0)</f>
        <v>-2</v>
      </c>
      <c r="AI385" s="16">
        <f>IFERROR(__xludf.DUMMYFUNCTION("""COMPUTED_VALUE"""),-2.0)</f>
        <v>-2</v>
      </c>
      <c r="AJ385" s="16">
        <f>IFERROR(__xludf.DUMMYFUNCTION("""COMPUTED_VALUE"""),-4.0)</f>
        <v>-4</v>
      </c>
      <c r="AK385" s="16">
        <f>IFERROR(__xludf.DUMMYFUNCTION("""COMPUTED_VALUE"""),24.7)</f>
        <v>24.7</v>
      </c>
      <c r="AL385" s="16">
        <f>IFERROR(__xludf.DUMMYFUNCTION("""COMPUTED_VALUE"""),26.0)</f>
        <v>26</v>
      </c>
      <c r="AM385" s="16">
        <f>IFERROR(__xludf.DUMMYFUNCTION("""COMPUTED_VALUE"""),-2.0)</f>
        <v>-2</v>
      </c>
      <c r="AN385" s="16">
        <f>IFERROR(__xludf.DUMMYFUNCTION("""COMPUTED_VALUE"""),-2.0)</f>
        <v>-2</v>
      </c>
      <c r="AO385" s="16">
        <f>IFERROR(__xludf.DUMMYFUNCTION("""COMPUTED_VALUE"""),-2.0)</f>
        <v>-2</v>
      </c>
      <c r="AP385" s="16">
        <f>IFERROR(__xludf.DUMMYFUNCTION("""COMPUTED_VALUE"""),-2.0)</f>
        <v>-2</v>
      </c>
      <c r="AQ385" s="16">
        <f>IFERROR(__xludf.DUMMYFUNCTION("""COMPUTED_VALUE"""),28.099999999999998)</f>
        <v>28.1</v>
      </c>
      <c r="AR385" s="16">
        <f>IFERROR(__xludf.DUMMYFUNCTION("""COMPUTED_VALUE"""),34.699999999999996)</f>
        <v>34.7</v>
      </c>
      <c r="AS385" s="16">
        <f>IFERROR(__xludf.DUMMYFUNCTION("""COMPUTED_VALUE"""),-1.0)</f>
        <v>-1</v>
      </c>
      <c r="AT385" s="16">
        <f>IFERROR(__xludf.DUMMYFUNCTION("""COMPUTED_VALUE"""),-2.0)</f>
        <v>-2</v>
      </c>
      <c r="AU385" s="16">
        <f>IFERROR(__xludf.DUMMYFUNCTION("""COMPUTED_VALUE"""),-2.0)</f>
        <v>-2</v>
      </c>
      <c r="AV385" s="16">
        <f>IFERROR(__xludf.DUMMYFUNCTION("""COMPUTED_VALUE"""),-4.0)</f>
        <v>-4</v>
      </c>
      <c r="AW385" s="16">
        <f>IFERROR(__xludf.DUMMYFUNCTION("""COMPUTED_VALUE"""),2.8)</f>
        <v>2.8</v>
      </c>
      <c r="AX385" s="16">
        <f>IFERROR(__xludf.DUMMYFUNCTION("""COMPUTED_VALUE"""),2.4)</f>
        <v>2.4</v>
      </c>
      <c r="AY385" s="16">
        <f>IFERROR(__xludf.DUMMYFUNCTION("""COMPUTED_VALUE"""),-1.0)</f>
        <v>-1</v>
      </c>
      <c r="AZ385" s="16">
        <f>IFERROR(__xludf.DUMMYFUNCTION("""COMPUTED_VALUE"""),0.0)</f>
        <v>0</v>
      </c>
      <c r="BA385" s="16">
        <f>IFERROR(__xludf.DUMMYFUNCTION("""COMPUTED_VALUE"""),-5.0)</f>
        <v>-5</v>
      </c>
      <c r="BB385" s="16">
        <f>IFERROR(__xludf.DUMMYFUNCTION("""COMPUTED_VALUE"""),0.0)</f>
        <v>0</v>
      </c>
      <c r="BC385" s="16">
        <f>IFERROR(__xludf.DUMMYFUNCTION("""COMPUTED_VALUE"""),5.0)</f>
        <v>5</v>
      </c>
      <c r="BD385" s="16">
        <f>IFERROR(__xludf.DUMMYFUNCTION("""COMPUTED_VALUE"""),3.0)</f>
        <v>3</v>
      </c>
      <c r="BE385" s="16">
        <f>IFERROR(__xludf.DUMMYFUNCTION("""COMPUTED_VALUE"""),5.0)</f>
        <v>5</v>
      </c>
      <c r="BF385" s="16">
        <f>IFERROR(__xludf.DUMMYFUNCTION("""COMPUTED_VALUE"""),3.0)</f>
        <v>3</v>
      </c>
      <c r="BG385" s="16">
        <f>IFERROR(__xludf.DUMMYFUNCTION("""COMPUTED_VALUE"""),-2.0)</f>
        <v>-2</v>
      </c>
      <c r="BH385" s="16">
        <f>IFERROR(__xludf.DUMMYFUNCTION("""COMPUTED_VALUE"""),0.0)</f>
        <v>0</v>
      </c>
      <c r="BI385" s="16">
        <f>IFERROR(__xludf.DUMMYFUNCTION("""COMPUTED_VALUE"""),-4.0)</f>
        <v>-4</v>
      </c>
      <c r="BJ385" s="16">
        <f>IFERROR(__xludf.DUMMYFUNCTION("""COMPUTED_VALUE"""),0.0)</f>
        <v>0</v>
      </c>
      <c r="BK385" s="16">
        <f>IFERROR(__xludf.DUMMYFUNCTION("""COMPUTED_VALUE"""),5.0)</f>
        <v>5</v>
      </c>
      <c r="BL385" s="16">
        <f>IFERROR(__xludf.DUMMYFUNCTION("""COMPUTED_VALUE"""),5.0)</f>
        <v>5</v>
      </c>
      <c r="BM385" s="16">
        <f>IFERROR(__xludf.DUMMYFUNCTION("""COMPUTED_VALUE"""),0.0)</f>
        <v>0</v>
      </c>
      <c r="BN385" s="16">
        <f>IFERROR(__xludf.DUMMYFUNCTION("""COMPUTED_VALUE"""),0.0)</f>
        <v>0</v>
      </c>
      <c r="BO385" s="16">
        <f>IFERROR(__xludf.DUMMYFUNCTION("""COMPUTED_VALUE"""),0.0)</f>
        <v>0</v>
      </c>
      <c r="BP385" s="16">
        <f>IFERROR(__xludf.DUMMYFUNCTION("""COMPUTED_VALUE"""),0.0)</f>
        <v>0</v>
      </c>
      <c r="BQ385" s="16">
        <f>IFERROR(__xludf.DUMMYFUNCTION("""COMPUTED_VALUE"""),7.0)</f>
        <v>7</v>
      </c>
      <c r="BR385" s="16">
        <f>IFERROR(__xludf.DUMMYFUNCTION("""COMPUTED_VALUE"""),9.0)</f>
        <v>9</v>
      </c>
      <c r="BS385" s="16">
        <f>IFERROR(__xludf.DUMMYFUNCTION("""COMPUTED_VALUE"""),2.0)</f>
        <v>2</v>
      </c>
      <c r="BT385" s="16">
        <f>IFERROR(__xludf.DUMMYFUNCTION("""COMPUTED_VALUE"""),3.0)</f>
        <v>3</v>
      </c>
      <c r="BU385" s="16">
        <f>IFERROR(__xludf.DUMMYFUNCTION("""COMPUTED_VALUE"""),4.0)</f>
        <v>4</v>
      </c>
      <c r="BV385" s="16">
        <f>IFERROR(__xludf.DUMMYFUNCTION("""COMPUTED_VALUE"""),6.0)</f>
        <v>6</v>
      </c>
      <c r="BW385" s="16">
        <f>IFERROR(__xludf.DUMMYFUNCTION("""COMPUTED_VALUE"""),0.0)</f>
        <v>0</v>
      </c>
      <c r="BX385" s="16">
        <f>IFERROR(__xludf.DUMMYFUNCTION("""COMPUTED_VALUE"""),0.0)</f>
        <v>0</v>
      </c>
      <c r="BY385" s="16" t="str">
        <f>IFERROR(__xludf.DUMMYFUNCTION("""COMPUTED_VALUE"""),"R(1) C(4)")</f>
        <v>R(1) C(4)</v>
      </c>
      <c r="BZ385" s="16" t="str">
        <f>IFERROR(__xludf.DUMMYFUNCTION("""COMPUTED_VALUE"""),"R(1) C(4)")</f>
        <v>R(1) C(4)</v>
      </c>
      <c r="CA385" s="16" t="str">
        <f>IFERROR(__xludf.DUMMYFUNCTION("""COMPUTED_VALUE"""),"R(1)")</f>
        <v>R(1)</v>
      </c>
      <c r="CB385" s="16" t="str">
        <f>IFERROR(__xludf.DUMMYFUNCTION("""COMPUTED_VALUE"""),"C(4)")</f>
        <v>C(4)</v>
      </c>
      <c r="CC385" s="16"/>
      <c r="CD385" s="16"/>
      <c r="CE385" s="16">
        <f>IFERROR(__xludf.DUMMYFUNCTION("""COMPUTED_VALUE"""),1.0)</f>
        <v>1</v>
      </c>
      <c r="CF385" s="16">
        <f>IFERROR(__xludf.DUMMYFUNCTION("""COMPUTED_VALUE"""),4.0)</f>
        <v>4</v>
      </c>
      <c r="CG385" s="16" t="str">
        <f>IFERROR(__xludf.DUMMYFUNCTION("""COMPUTED_VALUE"""),"2-26")</f>
        <v>2-26</v>
      </c>
      <c r="CH385" s="16">
        <f>IFERROR(__xludf.DUMMYFUNCTION("""COMPUTED_VALUE"""),2.0)</f>
        <v>2</v>
      </c>
      <c r="CI385" s="16">
        <f>IFERROR(__xludf.DUMMYFUNCTION("""COMPUTED_VALUE"""),26.0)</f>
        <v>26</v>
      </c>
      <c r="CJ385" s="16">
        <f>IFERROR(__xludf.DUMMYFUNCTION("""COMPUTED_VALUE"""),0.0)</f>
        <v>0</v>
      </c>
      <c r="CK385" s="16">
        <f>IFERROR(__xludf.DUMMYFUNCTION("""COMPUTED_VALUE"""),3.0)</f>
        <v>3</v>
      </c>
      <c r="CL385" s="16" t="str">
        <f>IFERROR(__xludf.DUMMYFUNCTION("""COMPUTED_VALUE"""),"1WR-C")</f>
        <v>1WR-C</v>
      </c>
      <c r="CM385" s="16" t="str">
        <f>IFERROR(__xludf.DUMMYFUNCTION("""COMPUTED_VALUE"""),"E")</f>
        <v>E</v>
      </c>
      <c r="CN385" s="16">
        <f>IFERROR(__xludf.DUMMYFUNCTION("""COMPUTED_VALUE"""),10.0)</f>
        <v>10</v>
      </c>
      <c r="CO385" s="16" t="str">
        <f>IFERROR(__xludf.DUMMYFUNCTION("""COMPUTED_VALUE"""),"C")</f>
        <v>C</v>
      </c>
      <c r="CP385" s="16" t="str">
        <f>IFERROR(__xludf.DUMMYFUNCTION("""COMPUTED_VALUE"""),"1p50")</f>
        <v>1p50</v>
      </c>
      <c r="CQ385" s="16">
        <f>IFERROR(__xludf.DUMMYFUNCTION("""COMPUTED_VALUE"""),-15.0)</f>
        <v>-15</v>
      </c>
      <c r="CR385" s="16">
        <f>IFERROR(__xludf.DUMMYFUNCTION("""COMPUTED_VALUE"""),-17.0)</f>
        <v>-17</v>
      </c>
      <c r="CS385" s="16">
        <f>IFERROR(__xludf.DUMMYFUNCTION("""COMPUTED_VALUE"""),-32.0)</f>
        <v>-32</v>
      </c>
      <c r="CT385" s="16">
        <f>IFERROR(__xludf.DUMMYFUNCTION("""COMPUTED_VALUE"""),-15.0)</f>
        <v>-15</v>
      </c>
      <c r="CU385" s="16">
        <f>IFERROR(__xludf.DUMMYFUNCTION("""COMPUTED_VALUE"""),-17.0)</f>
        <v>-17</v>
      </c>
      <c r="CV385" s="179">
        <f>IFERROR(__xludf.DUMMYFUNCTION("""COMPUTED_VALUE"""),-12.333333333333332)</f>
        <v>-12.33333333</v>
      </c>
      <c r="CW385" s="179">
        <f>IFERROR(__xludf.DUMMYFUNCTION("""COMPUTED_VALUE"""),4.0)</f>
        <v>4</v>
      </c>
      <c r="CX385" s="179">
        <f>IFERROR(__xludf.DUMMYFUNCTION("""COMPUTED_VALUE"""),0.0)</f>
        <v>0</v>
      </c>
      <c r="CY385" s="16" t="str">
        <f>IFERROR(__xludf.DUMMYFUNCTION("""COMPUTED_VALUE"""),"RP")</f>
        <v>RP</v>
      </c>
      <c r="CZ385" s="16" t="str">
        <f>IFERROR(__xludf.DUMMYFUNCTION("""COMPUTED_VALUE"""),"CP")</f>
        <v>CP</v>
      </c>
      <c r="DA385" s="16"/>
      <c r="DB385" s="16"/>
      <c r="DC385" s="16"/>
      <c r="DD385" s="16"/>
      <c r="DE385" s="16"/>
      <c r="DF385" s="16"/>
      <c r="DG385" s="16"/>
      <c r="DH385" s="16"/>
      <c r="DI385" s="16"/>
      <c r="DJ385" s="16"/>
      <c r="DK385" s="16"/>
    </row>
    <row r="386">
      <c r="A386" s="16">
        <f>IFERROR(__xludf.DUMMYFUNCTION("""COMPUTED_VALUE"""),12899.0)</f>
        <v>12899</v>
      </c>
      <c r="B386" s="16" t="str">
        <f>IFERROR(__xludf.DUMMYFUNCTION("""COMPUTED_VALUE"""),"Jacob Barnes")</f>
        <v>Jacob Barnes</v>
      </c>
      <c r="C386" s="153">
        <f>IFERROR(__xludf.DUMMYFUNCTION("""COMPUTED_VALUE"""),0.04)</f>
        <v>0.04</v>
      </c>
      <c r="D386" s="16"/>
      <c r="E386" s="16" t="str">
        <f>IFERROR(__xludf.DUMMYFUNCTION("""COMPUTED_VALUE"""),"R")</f>
        <v>R</v>
      </c>
      <c r="F386" s="16">
        <f>IFERROR(__xludf.DUMMYFUNCTION("""COMPUTED_VALUE"""),66.0)</f>
        <v>66</v>
      </c>
      <c r="G386" s="16">
        <f>IFERROR(__xludf.DUMMYFUNCTION("""COMPUTED_VALUE"""),9.0)</f>
        <v>9</v>
      </c>
      <c r="H386" s="16">
        <f>IFERROR(__xludf.DUMMYFUNCTION("""COMPUTED_VALUE"""),23.0)</f>
        <v>23</v>
      </c>
      <c r="I386" s="16">
        <f>IFERROR(__xludf.DUMMYFUNCTION("""COMPUTED_VALUE"""),-2.0)</f>
        <v>-2</v>
      </c>
      <c r="J386" s="16">
        <f>IFERROR(__xludf.DUMMYFUNCTION("""COMPUTED_VALUE"""),-1.0)</f>
        <v>-1</v>
      </c>
      <c r="K386" s="16">
        <f>IFERROR(__xludf.DUMMYFUNCTION("""COMPUTED_VALUE"""),-6.0)</f>
        <v>-6</v>
      </c>
      <c r="L386" s="16">
        <f>IFERROR(__xludf.DUMMYFUNCTION("""COMPUTED_VALUE"""),-3.0)</f>
        <v>-3</v>
      </c>
      <c r="M386" s="16">
        <f>IFERROR(__xludf.DUMMYFUNCTION("""COMPUTED_VALUE"""),16.0)</f>
        <v>16</v>
      </c>
      <c r="N386" s="16">
        <f>IFERROR(__xludf.DUMMYFUNCTION("""COMPUTED_VALUE"""),2.0)</f>
        <v>2</v>
      </c>
      <c r="O386" s="16">
        <f>IFERROR(__xludf.DUMMYFUNCTION("""COMPUTED_VALUE"""),-2.0)</f>
        <v>-2</v>
      </c>
      <c r="P386" s="16">
        <f>IFERROR(__xludf.DUMMYFUNCTION("""COMPUTED_VALUE"""),3.0)</f>
        <v>3</v>
      </c>
      <c r="Q386" s="16">
        <f>IFERROR(__xludf.DUMMYFUNCTION("""COMPUTED_VALUE"""),-2.0)</f>
        <v>-2</v>
      </c>
      <c r="R386" s="16">
        <f>IFERROR(__xludf.DUMMYFUNCTION("""COMPUTED_VALUE"""),3.0)</f>
        <v>3</v>
      </c>
      <c r="S386" s="16">
        <f>IFERROR(__xludf.DUMMYFUNCTION("""COMPUTED_VALUE"""),15.2)</f>
        <v>15.2</v>
      </c>
      <c r="T386" s="16">
        <f>IFERROR(__xludf.DUMMYFUNCTION("""COMPUTED_VALUE"""),22.0)</f>
        <v>22</v>
      </c>
      <c r="U386" s="16">
        <f>IFERROR(__xludf.DUMMYFUNCTION("""COMPUTED_VALUE"""),0.0)</f>
        <v>0</v>
      </c>
      <c r="V386" s="16">
        <f>IFERROR(__xludf.DUMMYFUNCTION("""COMPUTED_VALUE"""),-1.0)</f>
        <v>-1</v>
      </c>
      <c r="W386" s="16">
        <f>IFERROR(__xludf.DUMMYFUNCTION("""COMPUTED_VALUE"""),0.0)</f>
        <v>0</v>
      </c>
      <c r="X386" s="16">
        <f>IFERROR(__xludf.DUMMYFUNCTION("""COMPUTED_VALUE"""),-2.0)</f>
        <v>-2</v>
      </c>
      <c r="Y386" s="16">
        <f>IFERROR(__xludf.DUMMYFUNCTION("""COMPUTED_VALUE"""),31.2)</f>
        <v>31.2</v>
      </c>
      <c r="Z386" s="16">
        <f>IFERROR(__xludf.DUMMYFUNCTION("""COMPUTED_VALUE"""),24.0)</f>
        <v>24</v>
      </c>
      <c r="AA386" s="16">
        <f>IFERROR(__xludf.DUMMYFUNCTION("""COMPUTED_VALUE"""),-1.0)</f>
        <v>-1</v>
      </c>
      <c r="AB386" s="16">
        <f>IFERROR(__xludf.DUMMYFUNCTION("""COMPUTED_VALUE"""),0.0)</f>
        <v>0</v>
      </c>
      <c r="AC386" s="16">
        <f>IFERROR(__xludf.DUMMYFUNCTION("""COMPUTED_VALUE"""),-5.0)</f>
        <v>-5</v>
      </c>
      <c r="AD386" s="16">
        <f>IFERROR(__xludf.DUMMYFUNCTION("""COMPUTED_VALUE"""),0.0)</f>
        <v>0</v>
      </c>
      <c r="AE386" s="16">
        <f>IFERROR(__xludf.DUMMYFUNCTION("""COMPUTED_VALUE"""),39.7)</f>
        <v>39.7</v>
      </c>
      <c r="AF386" s="16">
        <f>IFERROR(__xludf.DUMMYFUNCTION("""COMPUTED_VALUE"""),33.0)</f>
        <v>33</v>
      </c>
      <c r="AG386" s="16">
        <f>IFERROR(__xludf.DUMMYFUNCTION("""COMPUTED_VALUE"""),-1.0)</f>
        <v>-1</v>
      </c>
      <c r="AH386" s="16">
        <f>IFERROR(__xludf.DUMMYFUNCTION("""COMPUTED_VALUE"""),-1.0)</f>
        <v>-1</v>
      </c>
      <c r="AI386" s="16">
        <f>IFERROR(__xludf.DUMMYFUNCTION("""COMPUTED_VALUE"""),-2.0)</f>
        <v>-2</v>
      </c>
      <c r="AJ386" s="16">
        <f>IFERROR(__xludf.DUMMYFUNCTION("""COMPUTED_VALUE"""),-2.0)</f>
        <v>-2</v>
      </c>
      <c r="AK386" s="16">
        <f>IFERROR(__xludf.DUMMYFUNCTION("""COMPUTED_VALUE"""),9.7)</f>
        <v>9.7</v>
      </c>
      <c r="AL386" s="16">
        <f>IFERROR(__xludf.DUMMYFUNCTION("""COMPUTED_VALUE"""),20.6)</f>
        <v>20.6</v>
      </c>
      <c r="AM386" s="16">
        <f>IFERROR(__xludf.DUMMYFUNCTION("""COMPUTED_VALUE"""),1.0)</f>
        <v>1</v>
      </c>
      <c r="AN386" s="16">
        <f>IFERROR(__xludf.DUMMYFUNCTION("""COMPUTED_VALUE"""),-1.0)</f>
        <v>-1</v>
      </c>
      <c r="AO386" s="16">
        <f>IFERROR(__xludf.DUMMYFUNCTION("""COMPUTED_VALUE"""),1.0)</f>
        <v>1</v>
      </c>
      <c r="AP386" s="16">
        <f>IFERROR(__xludf.DUMMYFUNCTION("""COMPUTED_VALUE"""),-1.0)</f>
        <v>-1</v>
      </c>
      <c r="AQ386" s="16">
        <f>IFERROR(__xludf.DUMMYFUNCTION("""COMPUTED_VALUE"""),17.700000000000003)</f>
        <v>17.7</v>
      </c>
      <c r="AR386" s="16">
        <f>IFERROR(__xludf.DUMMYFUNCTION("""COMPUTED_VALUE"""),27.4)</f>
        <v>27.4</v>
      </c>
      <c r="AS386" s="16">
        <f>IFERROR(__xludf.DUMMYFUNCTION("""COMPUTED_VALUE"""),0.0)</f>
        <v>0</v>
      </c>
      <c r="AT386" s="16">
        <f>IFERROR(__xludf.DUMMYFUNCTION("""COMPUTED_VALUE"""),-1.0)</f>
        <v>-1</v>
      </c>
      <c r="AU386" s="16">
        <f>IFERROR(__xludf.DUMMYFUNCTION("""COMPUTED_VALUE"""),0.0)</f>
        <v>0</v>
      </c>
      <c r="AV386" s="16">
        <f>IFERROR(__xludf.DUMMYFUNCTION("""COMPUTED_VALUE"""),-2.0)</f>
        <v>-2</v>
      </c>
      <c r="AW386" s="16">
        <f>IFERROR(__xludf.DUMMYFUNCTION("""COMPUTED_VALUE"""),5.5)</f>
        <v>5.5</v>
      </c>
      <c r="AX386" s="16">
        <f>IFERROR(__xludf.DUMMYFUNCTION("""COMPUTED_VALUE"""),1.4)</f>
        <v>1.4</v>
      </c>
      <c r="AY386" s="16">
        <f>IFERROR(__xludf.DUMMYFUNCTION("""COMPUTED_VALUE"""),-3.0)</f>
        <v>-3</v>
      </c>
      <c r="AZ386" s="16">
        <f>IFERROR(__xludf.DUMMYFUNCTION("""COMPUTED_VALUE"""),1.0)</f>
        <v>1</v>
      </c>
      <c r="BA386" s="16">
        <f>IFERROR(__xludf.DUMMYFUNCTION("""COMPUTED_VALUE"""),-15.0)</f>
        <v>-15</v>
      </c>
      <c r="BB386" s="16">
        <f>IFERROR(__xludf.DUMMYFUNCTION("""COMPUTED_VALUE"""),5.0)</f>
        <v>5</v>
      </c>
      <c r="BC386" s="16">
        <f>IFERROR(__xludf.DUMMYFUNCTION("""COMPUTED_VALUE"""),8.0)</f>
        <v>8</v>
      </c>
      <c r="BD386" s="16">
        <f>IFERROR(__xludf.DUMMYFUNCTION("""COMPUTED_VALUE"""),2.0)</f>
        <v>2</v>
      </c>
      <c r="BE386" s="16">
        <f>IFERROR(__xludf.DUMMYFUNCTION("""COMPUTED_VALUE"""),8.0)</f>
        <v>8</v>
      </c>
      <c r="BF386" s="16">
        <f>IFERROR(__xludf.DUMMYFUNCTION("""COMPUTED_VALUE"""),2.0)</f>
        <v>2</v>
      </c>
      <c r="BG386" s="16">
        <f>IFERROR(__xludf.DUMMYFUNCTION("""COMPUTED_VALUE"""),-3.0)</f>
        <v>-3</v>
      </c>
      <c r="BH386" s="16">
        <f>IFERROR(__xludf.DUMMYFUNCTION("""COMPUTED_VALUE"""),1.0)</f>
        <v>1</v>
      </c>
      <c r="BI386" s="16">
        <f>IFERROR(__xludf.DUMMYFUNCTION("""COMPUTED_VALUE"""),-6.0)</f>
        <v>-6</v>
      </c>
      <c r="BJ386" s="16">
        <f>IFERROR(__xludf.DUMMYFUNCTION("""COMPUTED_VALUE"""),2.0)</f>
        <v>2</v>
      </c>
      <c r="BK386" s="16">
        <f>IFERROR(__xludf.DUMMYFUNCTION("""COMPUTED_VALUE"""),5.0)</f>
        <v>5</v>
      </c>
      <c r="BL386" s="16">
        <f>IFERROR(__xludf.DUMMYFUNCTION("""COMPUTED_VALUE"""),5.0)</f>
        <v>5</v>
      </c>
      <c r="BM386" s="16">
        <f>IFERROR(__xludf.DUMMYFUNCTION("""COMPUTED_VALUE"""),0.0)</f>
        <v>0</v>
      </c>
      <c r="BN386" s="16">
        <f>IFERROR(__xludf.DUMMYFUNCTION("""COMPUTED_VALUE"""),0.0)</f>
        <v>0</v>
      </c>
      <c r="BO386" s="16">
        <f>IFERROR(__xludf.DUMMYFUNCTION("""COMPUTED_VALUE"""),0.0)</f>
        <v>0</v>
      </c>
      <c r="BP386" s="16">
        <f>IFERROR(__xludf.DUMMYFUNCTION("""COMPUTED_VALUE"""),0.0)</f>
        <v>0</v>
      </c>
      <c r="BQ386" s="16">
        <f>IFERROR(__xludf.DUMMYFUNCTION("""COMPUTED_VALUE"""),13.0)</f>
        <v>13</v>
      </c>
      <c r="BR386" s="16">
        <f>IFERROR(__xludf.DUMMYFUNCTION("""COMPUTED_VALUE"""),12.0)</f>
        <v>12</v>
      </c>
      <c r="BS386" s="16">
        <f>IFERROR(__xludf.DUMMYFUNCTION("""COMPUTED_VALUE"""),3.0)</f>
        <v>3</v>
      </c>
      <c r="BT386" s="16">
        <f>IFERROR(__xludf.DUMMYFUNCTION("""COMPUTED_VALUE"""),3.0)</f>
        <v>3</v>
      </c>
      <c r="BU386" s="16">
        <f>IFERROR(__xludf.DUMMYFUNCTION("""COMPUTED_VALUE"""),6.0)</f>
        <v>6</v>
      </c>
      <c r="BV386" s="16">
        <f>IFERROR(__xludf.DUMMYFUNCTION("""COMPUTED_VALUE"""),6.0)</f>
        <v>6</v>
      </c>
      <c r="BW386" s="16">
        <f>IFERROR(__xludf.DUMMYFUNCTION("""COMPUTED_VALUE"""),0.0)</f>
        <v>0</v>
      </c>
      <c r="BX386" s="16">
        <f>IFERROR(__xludf.DUMMYFUNCTION("""COMPUTED_VALUE"""),0.0)</f>
        <v>0</v>
      </c>
      <c r="BY386" s="16" t="str">
        <f>IFERROR(__xludf.DUMMYFUNCTION("""COMPUTED_VALUE"""),"R(1)")</f>
        <v>R(1)</v>
      </c>
      <c r="BZ386" s="16" t="str">
        <f>IFERROR(__xludf.DUMMYFUNCTION("""COMPUTED_VALUE"""),"R(1)")</f>
        <v>R(1)</v>
      </c>
      <c r="CA386" s="16" t="str">
        <f>IFERROR(__xludf.DUMMYFUNCTION("""COMPUTED_VALUE"""),"R(1)")</f>
        <v>R(1)</v>
      </c>
      <c r="CB386" s="16"/>
      <c r="CC386" s="16"/>
      <c r="CD386" s="16"/>
      <c r="CE386" s="16">
        <f>IFERROR(__xludf.DUMMYFUNCTION("""COMPUTED_VALUE"""),1.0)</f>
        <v>1</v>
      </c>
      <c r="CF386" s="16"/>
      <c r="CG386" s="16" t="str">
        <f>IFERROR(__xludf.DUMMYFUNCTION("""COMPUTED_VALUE"""),"3-22")</f>
        <v>3-22</v>
      </c>
      <c r="CH386" s="16">
        <f>IFERROR(__xludf.DUMMYFUNCTION("""COMPUTED_VALUE"""),3.0)</f>
        <v>3</v>
      </c>
      <c r="CI386" s="16">
        <f>IFERROR(__xludf.DUMMYFUNCTION("""COMPUTED_VALUE"""),22.0)</f>
        <v>22</v>
      </c>
      <c r="CJ386" s="16">
        <f>IFERROR(__xludf.DUMMYFUNCTION("""COMPUTED_VALUE"""),0.0)</f>
        <v>0</v>
      </c>
      <c r="CK386" s="16">
        <f>IFERROR(__xludf.DUMMYFUNCTION("""COMPUTED_VALUE"""),10.0)</f>
        <v>10</v>
      </c>
      <c r="CL386" s="16" t="str">
        <f>IFERROR(__xludf.DUMMYFUNCTION("""COMPUTED_VALUE"""),"1WR-C")</f>
        <v>1WR-C</v>
      </c>
      <c r="CM386" s="16" t="str">
        <f>IFERROR(__xludf.DUMMYFUNCTION("""COMPUTED_VALUE"""),"E")</f>
        <v>E</v>
      </c>
      <c r="CN386" s="16">
        <f>IFERROR(__xludf.DUMMYFUNCTION("""COMPUTED_VALUE"""),10.0)</f>
        <v>10</v>
      </c>
      <c r="CO386" s="16" t="str">
        <f>IFERROR(__xludf.DUMMYFUNCTION("""COMPUTED_VALUE"""),"C")</f>
        <v>C</v>
      </c>
      <c r="CP386" s="16" t="str">
        <f>IFERROR(__xludf.DUMMYFUNCTION("""COMPUTED_VALUE"""),"1p60")</f>
        <v>1p60</v>
      </c>
      <c r="CQ386" s="16">
        <f>IFERROR(__xludf.DUMMYFUNCTION("""COMPUTED_VALUE"""),-29.0)</f>
        <v>-29</v>
      </c>
      <c r="CR386" s="16">
        <f>IFERROR(__xludf.DUMMYFUNCTION("""COMPUTED_VALUE"""),6.0)</f>
        <v>6</v>
      </c>
      <c r="CS386" s="16">
        <f>IFERROR(__xludf.DUMMYFUNCTION("""COMPUTED_VALUE"""),-23.0)</f>
        <v>-23</v>
      </c>
      <c r="CT386" s="16">
        <f>IFERROR(__xludf.DUMMYFUNCTION("""COMPUTED_VALUE"""),-29.0)</f>
        <v>-29</v>
      </c>
      <c r="CU386" s="16">
        <f>IFERROR(__xludf.DUMMYFUNCTION("""COMPUTED_VALUE"""),6.0)</f>
        <v>6</v>
      </c>
      <c r="CV386" s="179">
        <f>IFERROR(__xludf.DUMMYFUNCTION("""COMPUTED_VALUE"""),-12.333333333333332)</f>
        <v>-12.33333333</v>
      </c>
      <c r="CW386" s="179">
        <f>IFERROR(__xludf.DUMMYFUNCTION("""COMPUTED_VALUE"""),4.0)</f>
        <v>4</v>
      </c>
      <c r="CX386" s="179">
        <f>IFERROR(__xludf.DUMMYFUNCTION("""COMPUTED_VALUE"""),1.0)</f>
        <v>1</v>
      </c>
      <c r="CY386" s="16" t="str">
        <f>IFERROR(__xludf.DUMMYFUNCTION("""COMPUTED_VALUE"""),"RP")</f>
        <v>RP</v>
      </c>
      <c r="CZ386" s="16"/>
      <c r="DA386" s="16"/>
      <c r="DB386" s="16"/>
      <c r="DC386" s="16"/>
      <c r="DD386" s="16"/>
      <c r="DE386" s="16"/>
      <c r="DF386" s="16"/>
      <c r="DG386" s="16"/>
      <c r="DH386" s="16"/>
      <c r="DI386" s="16"/>
      <c r="DJ386" s="16"/>
      <c r="DK386" s="16"/>
    </row>
    <row r="387">
      <c r="A387" s="16">
        <f>IFERROR(__xludf.DUMMYFUNCTION("""COMPUTED_VALUE"""),13184.0)</f>
        <v>13184</v>
      </c>
      <c r="B387" s="16" t="str">
        <f>IFERROR(__xludf.DUMMYFUNCTION("""COMPUTED_VALUE"""),"Max Scherzer")</f>
        <v>Max Scherzer</v>
      </c>
      <c r="C387" s="153">
        <f>IFERROR(__xludf.DUMMYFUNCTION("""COMPUTED_VALUE"""),0.4)</f>
        <v>0.4</v>
      </c>
      <c r="D387" s="16"/>
      <c r="E387" s="16" t="str">
        <f>IFERROR(__xludf.DUMMYFUNCTION("""COMPUTED_VALUE"""),"R")</f>
        <v>R</v>
      </c>
      <c r="F387" s="16">
        <f>IFERROR(__xludf.DUMMYFUNCTION("""COMPUTED_VALUE"""),43.0)</f>
        <v>43</v>
      </c>
      <c r="G387" s="16">
        <f>IFERROR(__xludf.DUMMYFUNCTION("""COMPUTED_VALUE"""),12.0)</f>
        <v>12</v>
      </c>
      <c r="H387" s="16">
        <f>IFERROR(__xludf.DUMMYFUNCTION("""COMPUTED_VALUE"""),33.0)</f>
        <v>33</v>
      </c>
      <c r="I387" s="16">
        <f>IFERROR(__xludf.DUMMYFUNCTION("""COMPUTED_VALUE"""),-2.0)</f>
        <v>-2</v>
      </c>
      <c r="J387" s="16">
        <f>IFERROR(__xludf.DUMMYFUNCTION("""COMPUTED_VALUE"""),1.0)</f>
        <v>1</v>
      </c>
      <c r="K387" s="16">
        <f>IFERROR(__xludf.DUMMYFUNCTION("""COMPUTED_VALUE"""),-6.0)</f>
        <v>-6</v>
      </c>
      <c r="L387" s="16">
        <f>IFERROR(__xludf.DUMMYFUNCTION("""COMPUTED_VALUE"""),3.0)</f>
        <v>3</v>
      </c>
      <c r="M387" s="16">
        <f>IFERROR(__xludf.DUMMYFUNCTION("""COMPUTED_VALUE"""),14.0)</f>
        <v>14</v>
      </c>
      <c r="N387" s="16">
        <f>IFERROR(__xludf.DUMMYFUNCTION("""COMPUTED_VALUE"""),0.0)</f>
        <v>0</v>
      </c>
      <c r="O387" s="16">
        <f>IFERROR(__xludf.DUMMYFUNCTION("""COMPUTED_VALUE"""),-2.0)</f>
        <v>-2</v>
      </c>
      <c r="P387" s="16">
        <f>IFERROR(__xludf.DUMMYFUNCTION("""COMPUTED_VALUE"""),3.0)</f>
        <v>3</v>
      </c>
      <c r="Q387" s="16">
        <f>IFERROR(__xludf.DUMMYFUNCTION("""COMPUTED_VALUE"""),-2.0)</f>
        <v>-2</v>
      </c>
      <c r="R387" s="16">
        <f>IFERROR(__xludf.DUMMYFUNCTION("""COMPUTED_VALUE"""),3.0)</f>
        <v>3</v>
      </c>
      <c r="S387" s="16">
        <f>IFERROR(__xludf.DUMMYFUNCTION("""COMPUTED_VALUE"""),20.1)</f>
        <v>20.1</v>
      </c>
      <c r="T387" s="16">
        <f>IFERROR(__xludf.DUMMYFUNCTION("""COMPUTED_VALUE"""),14.6)</f>
        <v>14.6</v>
      </c>
      <c r="U387" s="16">
        <f>IFERROR(__xludf.DUMMYFUNCTION("""COMPUTED_VALUE"""),-1.0)</f>
        <v>-1</v>
      </c>
      <c r="V387" s="16">
        <f>IFERROR(__xludf.DUMMYFUNCTION("""COMPUTED_VALUE"""),0.0)</f>
        <v>0</v>
      </c>
      <c r="W387" s="16">
        <f>IFERROR(__xludf.DUMMYFUNCTION("""COMPUTED_VALUE"""),-2.0)</f>
        <v>-2</v>
      </c>
      <c r="X387" s="16">
        <f>IFERROR(__xludf.DUMMYFUNCTION("""COMPUTED_VALUE"""),0.0)</f>
        <v>0</v>
      </c>
      <c r="Y387" s="16">
        <f>IFERROR(__xludf.DUMMYFUNCTION("""COMPUTED_VALUE"""),34.2)</f>
        <v>34.2</v>
      </c>
      <c r="Z387" s="16">
        <f>IFERROR(__xludf.DUMMYFUNCTION("""COMPUTED_VALUE"""),14.6)</f>
        <v>14.6</v>
      </c>
      <c r="AA387" s="16">
        <f>IFERROR(__xludf.DUMMYFUNCTION("""COMPUTED_VALUE"""),-1.0)</f>
        <v>-1</v>
      </c>
      <c r="AB387" s="16">
        <f>IFERROR(__xludf.DUMMYFUNCTION("""COMPUTED_VALUE"""),2.0)</f>
        <v>2</v>
      </c>
      <c r="AC387" s="16">
        <f>IFERROR(__xludf.DUMMYFUNCTION("""COMPUTED_VALUE"""),-5.0)</f>
        <v>-5</v>
      </c>
      <c r="AD387" s="16">
        <f>IFERROR(__xludf.DUMMYFUNCTION("""COMPUTED_VALUE"""),10.0)</f>
        <v>10</v>
      </c>
      <c r="AE387" s="16">
        <f>IFERROR(__xludf.DUMMYFUNCTION("""COMPUTED_VALUE"""),36.9)</f>
        <v>36.9</v>
      </c>
      <c r="AF387" s="16">
        <f>IFERROR(__xludf.DUMMYFUNCTION("""COMPUTED_VALUE"""),31.8)</f>
        <v>31.8</v>
      </c>
      <c r="AG387" s="16">
        <f>IFERROR(__xludf.DUMMYFUNCTION("""COMPUTED_VALUE"""),-1.0)</f>
        <v>-1</v>
      </c>
      <c r="AH387" s="16">
        <f>IFERROR(__xludf.DUMMYFUNCTION("""COMPUTED_VALUE"""),0.0)</f>
        <v>0</v>
      </c>
      <c r="AI387" s="16">
        <f>IFERROR(__xludf.DUMMYFUNCTION("""COMPUTED_VALUE"""),-2.0)</f>
        <v>-2</v>
      </c>
      <c r="AJ387" s="16">
        <f>IFERROR(__xludf.DUMMYFUNCTION("""COMPUTED_VALUE"""),0.0)</f>
        <v>0</v>
      </c>
      <c r="AK387" s="16">
        <f>IFERROR(__xludf.DUMMYFUNCTION("""COMPUTED_VALUE"""),19.1)</f>
        <v>19.1</v>
      </c>
      <c r="AL387" s="16">
        <f>IFERROR(__xludf.DUMMYFUNCTION("""COMPUTED_VALUE"""),10.399999999999999)</f>
        <v>10.4</v>
      </c>
      <c r="AM387" s="16">
        <f>IFERROR(__xludf.DUMMYFUNCTION("""COMPUTED_VALUE"""),-1.0)</f>
        <v>-1</v>
      </c>
      <c r="AN387" s="16">
        <f>IFERROR(__xludf.DUMMYFUNCTION("""COMPUTED_VALUE"""),1.0)</f>
        <v>1</v>
      </c>
      <c r="AO387" s="16">
        <f>IFERROR(__xludf.DUMMYFUNCTION("""COMPUTED_VALUE"""),-1.0)</f>
        <v>-1</v>
      </c>
      <c r="AP387" s="16">
        <f>IFERROR(__xludf.DUMMYFUNCTION("""COMPUTED_VALUE"""),1.0)</f>
        <v>1</v>
      </c>
      <c r="AQ387" s="16">
        <f>IFERROR(__xludf.DUMMYFUNCTION("""COMPUTED_VALUE"""),32.9)</f>
        <v>32.9</v>
      </c>
      <c r="AR387" s="16">
        <f>IFERROR(__xludf.DUMMYFUNCTION("""COMPUTED_VALUE"""),15.0)</f>
        <v>15</v>
      </c>
      <c r="AS387" s="16">
        <f>IFERROR(__xludf.DUMMYFUNCTION("""COMPUTED_VALUE"""),-2.0)</f>
        <v>-2</v>
      </c>
      <c r="AT387" s="16">
        <f>IFERROR(__xludf.DUMMYFUNCTION("""COMPUTED_VALUE"""),1.0)</f>
        <v>1</v>
      </c>
      <c r="AU387" s="16">
        <f>IFERROR(__xludf.DUMMYFUNCTION("""COMPUTED_VALUE"""),-4.0)</f>
        <v>-4</v>
      </c>
      <c r="AV387" s="16">
        <f>IFERROR(__xludf.DUMMYFUNCTION("""COMPUTED_VALUE"""),2.0)</f>
        <v>2</v>
      </c>
      <c r="AW387" s="16">
        <f>IFERROR(__xludf.DUMMYFUNCTION("""COMPUTED_VALUE"""),1.0)</f>
        <v>1</v>
      </c>
      <c r="AX387" s="16">
        <f>IFERROR(__xludf.DUMMYFUNCTION("""COMPUTED_VALUE"""),4.2)</f>
        <v>4.2</v>
      </c>
      <c r="AY387" s="16">
        <f>IFERROR(__xludf.DUMMYFUNCTION("""COMPUTED_VALUE"""),1.0)</f>
        <v>1</v>
      </c>
      <c r="AZ387" s="16">
        <f>IFERROR(__xludf.DUMMYFUNCTION("""COMPUTED_VALUE"""),-2.0)</f>
        <v>-2</v>
      </c>
      <c r="BA387" s="16">
        <f>IFERROR(__xludf.DUMMYFUNCTION("""COMPUTED_VALUE"""),5.0)</f>
        <v>5</v>
      </c>
      <c r="BB387" s="16">
        <f>IFERROR(__xludf.DUMMYFUNCTION("""COMPUTED_VALUE"""),-10.0)</f>
        <v>-10</v>
      </c>
      <c r="BC387" s="16">
        <f>IFERROR(__xludf.DUMMYFUNCTION("""COMPUTED_VALUE"""),1.0)</f>
        <v>1</v>
      </c>
      <c r="BD387" s="16">
        <f>IFERROR(__xludf.DUMMYFUNCTION("""COMPUTED_VALUE"""),7.0)</f>
        <v>7</v>
      </c>
      <c r="BE387" s="16">
        <f>IFERROR(__xludf.DUMMYFUNCTION("""COMPUTED_VALUE"""),1.0)</f>
        <v>1</v>
      </c>
      <c r="BF387" s="16">
        <f>IFERROR(__xludf.DUMMYFUNCTION("""COMPUTED_VALUE"""),7.0)</f>
        <v>7</v>
      </c>
      <c r="BG387" s="16">
        <f>IFERROR(__xludf.DUMMYFUNCTION("""COMPUTED_VALUE"""),2.0)</f>
        <v>2</v>
      </c>
      <c r="BH387" s="16">
        <f>IFERROR(__xludf.DUMMYFUNCTION("""COMPUTED_VALUE"""),-3.0)</f>
        <v>-3</v>
      </c>
      <c r="BI387" s="16">
        <f>IFERROR(__xludf.DUMMYFUNCTION("""COMPUTED_VALUE"""),4.0)</f>
        <v>4</v>
      </c>
      <c r="BJ387" s="16">
        <f>IFERROR(__xludf.DUMMYFUNCTION("""COMPUTED_VALUE"""),-6.0)</f>
        <v>-6</v>
      </c>
      <c r="BK387" s="16">
        <f>IFERROR(__xludf.DUMMYFUNCTION("""COMPUTED_VALUE"""),5.0)</f>
        <v>5</v>
      </c>
      <c r="BL387" s="16">
        <f>IFERROR(__xludf.DUMMYFUNCTION("""COMPUTED_VALUE"""),5.0)</f>
        <v>5</v>
      </c>
      <c r="BM387" s="16">
        <f>IFERROR(__xludf.DUMMYFUNCTION("""COMPUTED_VALUE"""),0.0)</f>
        <v>0</v>
      </c>
      <c r="BN387" s="16">
        <f>IFERROR(__xludf.DUMMYFUNCTION("""COMPUTED_VALUE"""),0.0)</f>
        <v>0</v>
      </c>
      <c r="BO387" s="16">
        <f>IFERROR(__xludf.DUMMYFUNCTION("""COMPUTED_VALUE"""),0.0)</f>
        <v>0</v>
      </c>
      <c r="BP387" s="16">
        <f>IFERROR(__xludf.DUMMYFUNCTION("""COMPUTED_VALUE"""),0.0)</f>
        <v>0</v>
      </c>
      <c r="BQ387" s="16">
        <f>IFERROR(__xludf.DUMMYFUNCTION("""COMPUTED_VALUE"""),0.0)</f>
        <v>0</v>
      </c>
      <c r="BR387" s="16">
        <f>IFERROR(__xludf.DUMMYFUNCTION("""COMPUTED_VALUE"""),0.0)</f>
        <v>0</v>
      </c>
      <c r="BS387" s="16">
        <f>IFERROR(__xludf.DUMMYFUNCTION("""COMPUTED_VALUE"""),-3.0)</f>
        <v>-3</v>
      </c>
      <c r="BT387" s="16">
        <f>IFERROR(__xludf.DUMMYFUNCTION("""COMPUTED_VALUE"""),-3.0)</f>
        <v>-3</v>
      </c>
      <c r="BU387" s="16">
        <f>IFERROR(__xludf.DUMMYFUNCTION("""COMPUTED_VALUE"""),-6.0)</f>
        <v>-6</v>
      </c>
      <c r="BV387" s="16">
        <f>IFERROR(__xludf.DUMMYFUNCTION("""COMPUTED_VALUE"""),-6.0)</f>
        <v>-6</v>
      </c>
      <c r="BW387" s="16">
        <f>IFERROR(__xludf.DUMMYFUNCTION("""COMPUTED_VALUE"""),-2.0)</f>
        <v>-2</v>
      </c>
      <c r="BX387" s="16">
        <f>IFERROR(__xludf.DUMMYFUNCTION("""COMPUTED_VALUE"""),-2.0)</f>
        <v>-2</v>
      </c>
      <c r="BY387" s="16" t="str">
        <f>IFERROR(__xludf.DUMMYFUNCTION("""COMPUTED_VALUE"""),"S(4)")</f>
        <v>S(4)</v>
      </c>
      <c r="BZ387" s="16" t="str">
        <f>IFERROR(__xludf.DUMMYFUNCTION("""COMPUTED_VALUE"""),"S(4)")</f>
        <v>S(4)</v>
      </c>
      <c r="CA387" s="16" t="str">
        <f>IFERROR(__xludf.DUMMYFUNCTION("""COMPUTED_VALUE"""),"S(4)")</f>
        <v>S(4)</v>
      </c>
      <c r="CB387" s="16"/>
      <c r="CC387" s="16"/>
      <c r="CD387" s="16">
        <f>IFERROR(__xludf.DUMMYFUNCTION("""COMPUTED_VALUE"""),4.0)</f>
        <v>4</v>
      </c>
      <c r="CE387" s="16"/>
      <c r="CF387" s="16"/>
      <c r="CG387" s="16" t="str">
        <f>IFERROR(__xludf.DUMMYFUNCTION("""COMPUTED_VALUE"""),"3-33")</f>
        <v>3-33</v>
      </c>
      <c r="CH387" s="16">
        <f>IFERROR(__xludf.DUMMYFUNCTION("""COMPUTED_VALUE"""),3.0)</f>
        <v>3</v>
      </c>
      <c r="CI387" s="16">
        <f>IFERROR(__xludf.DUMMYFUNCTION("""COMPUTED_VALUE"""),33.0)</f>
        <v>33</v>
      </c>
      <c r="CJ387" s="16">
        <f>IFERROR(__xludf.DUMMYFUNCTION("""COMPUTED_VALUE"""),0.0)</f>
        <v>0</v>
      </c>
      <c r="CK387" s="16">
        <f>IFERROR(__xludf.DUMMYFUNCTION("""COMPUTED_VALUE"""),10.0)</f>
        <v>10</v>
      </c>
      <c r="CL387" s="16" t="str">
        <f>IFERROR(__xludf.DUMMYFUNCTION("""COMPUTED_VALUE"""),"1WR-C")</f>
        <v>1WR-C</v>
      </c>
      <c r="CM387" s="16" t="str">
        <f>IFERROR(__xludf.DUMMYFUNCTION("""COMPUTED_VALUE"""),"E")</f>
        <v>E</v>
      </c>
      <c r="CN387" s="16">
        <f>IFERROR(__xludf.DUMMYFUNCTION("""COMPUTED_VALUE"""),10.0)</f>
        <v>10</v>
      </c>
      <c r="CO387" s="16" t="str">
        <f>IFERROR(__xludf.DUMMYFUNCTION("""COMPUTED_VALUE"""),"C")</f>
        <v>C</v>
      </c>
      <c r="CP387" s="16" t="str">
        <f>IFERROR(__xludf.DUMMYFUNCTION("""COMPUTED_VALUE"""),"6p30")</f>
        <v>6p30</v>
      </c>
      <c r="CQ387" s="16">
        <f>IFERROR(__xludf.DUMMYFUNCTION("""COMPUTED_VALUE"""),-19.0)</f>
        <v>-19</v>
      </c>
      <c r="CR387" s="16">
        <f>IFERROR(__xludf.DUMMYFUNCTION("""COMPUTED_VALUE"""),-3.0)</f>
        <v>-3</v>
      </c>
      <c r="CS387" s="16">
        <f>IFERROR(__xludf.DUMMYFUNCTION("""COMPUTED_VALUE"""),-22.0)</f>
        <v>-22</v>
      </c>
      <c r="CT387" s="16">
        <f>IFERROR(__xludf.DUMMYFUNCTION("""COMPUTED_VALUE"""),-19.0)</f>
        <v>-19</v>
      </c>
      <c r="CU387" s="16">
        <f>IFERROR(__xludf.DUMMYFUNCTION("""COMPUTED_VALUE"""),-3.0)</f>
        <v>-3</v>
      </c>
      <c r="CV387" s="179">
        <f>IFERROR(__xludf.DUMMYFUNCTION("""COMPUTED_VALUE"""),-12.666666666666666)</f>
        <v>-12.66666667</v>
      </c>
      <c r="CW387" s="179">
        <f>IFERROR(__xludf.DUMMYFUNCTION("""COMPUTED_VALUE"""),-1.0)</f>
        <v>-1</v>
      </c>
      <c r="CX387" s="179">
        <f>IFERROR(__xludf.DUMMYFUNCTION("""COMPUTED_VALUE"""),2.0)</f>
        <v>2</v>
      </c>
      <c r="CY387" s="16" t="str">
        <f>IFERROR(__xludf.DUMMYFUNCTION("""COMPUTED_VALUE"""),"SP")</f>
        <v>SP</v>
      </c>
      <c r="CZ387" s="16"/>
      <c r="DA387" s="16"/>
      <c r="DB387" s="16"/>
      <c r="DC387" s="16"/>
      <c r="DD387" s="16"/>
      <c r="DE387" s="16"/>
      <c r="DF387" s="16"/>
      <c r="DG387" s="16"/>
      <c r="DH387" s="16"/>
      <c r="DI387" s="16"/>
      <c r="DJ387" s="16"/>
      <c r="DK387" s="16"/>
    </row>
    <row r="388">
      <c r="A388" s="16">
        <f>IFERROR(__xludf.DUMMYFUNCTION("""COMPUTED_VALUE"""),13155.0)</f>
        <v>13155</v>
      </c>
      <c r="B388" s="16" t="str">
        <f>IFERROR(__xludf.DUMMYFUNCTION("""COMPUTED_VALUE"""),"Marcus Stroman")</f>
        <v>Marcus Stroman</v>
      </c>
      <c r="C388" s="153">
        <f>IFERROR(__xludf.DUMMYFUNCTION("""COMPUTED_VALUE"""),0.2)</f>
        <v>0.2</v>
      </c>
      <c r="D388" s="16"/>
      <c r="E388" s="16" t="str">
        <f>IFERROR(__xludf.DUMMYFUNCTION("""COMPUTED_VALUE"""),"R")</f>
        <v>R</v>
      </c>
      <c r="F388" s="16">
        <f>IFERROR(__xludf.DUMMYFUNCTION("""COMPUTED_VALUE"""),155.0)</f>
        <v>155</v>
      </c>
      <c r="G388" s="16">
        <f>IFERROR(__xludf.DUMMYFUNCTION("""COMPUTED_VALUE"""),7.0)</f>
        <v>7</v>
      </c>
      <c r="H388" s="16">
        <f>IFERROR(__xludf.DUMMYFUNCTION("""COMPUTED_VALUE"""),17.0)</f>
        <v>17</v>
      </c>
      <c r="I388" s="16">
        <f>IFERROR(__xludf.DUMMYFUNCTION("""COMPUTED_VALUE"""),-2.0)</f>
        <v>-2</v>
      </c>
      <c r="J388" s="16">
        <f>IFERROR(__xludf.DUMMYFUNCTION("""COMPUTED_VALUE"""),-1.0)</f>
        <v>-1</v>
      </c>
      <c r="K388" s="16">
        <f>IFERROR(__xludf.DUMMYFUNCTION("""COMPUTED_VALUE"""),-6.0)</f>
        <v>-6</v>
      </c>
      <c r="L388" s="16">
        <f>IFERROR(__xludf.DUMMYFUNCTION("""COMPUTED_VALUE"""),-3.0)</f>
        <v>-3</v>
      </c>
      <c r="M388" s="16">
        <f>IFERROR(__xludf.DUMMYFUNCTION("""COMPUTED_VALUE"""),11.0)</f>
        <v>11</v>
      </c>
      <c r="N388" s="16">
        <f>IFERROR(__xludf.DUMMYFUNCTION("""COMPUTED_VALUE"""),11.0)</f>
        <v>11</v>
      </c>
      <c r="O388" s="16">
        <f>IFERROR(__xludf.DUMMYFUNCTION("""COMPUTED_VALUE"""),-1.0)</f>
        <v>-1</v>
      </c>
      <c r="P388" s="16">
        <f>IFERROR(__xludf.DUMMYFUNCTION("""COMPUTED_VALUE"""),-1.0)</f>
        <v>-1</v>
      </c>
      <c r="Q388" s="16">
        <f>IFERROR(__xludf.DUMMYFUNCTION("""COMPUTED_VALUE"""),-1.0)</f>
        <v>-1</v>
      </c>
      <c r="R388" s="16">
        <f>IFERROR(__xludf.DUMMYFUNCTION("""COMPUTED_VALUE"""),-1.0)</f>
        <v>-1</v>
      </c>
      <c r="S388" s="16">
        <f>IFERROR(__xludf.DUMMYFUNCTION("""COMPUTED_VALUE"""),26.4)</f>
        <v>26.4</v>
      </c>
      <c r="T388" s="16">
        <f>IFERROR(__xludf.DUMMYFUNCTION("""COMPUTED_VALUE"""),20.1)</f>
        <v>20.1</v>
      </c>
      <c r="U388" s="16">
        <f>IFERROR(__xludf.DUMMYFUNCTION("""COMPUTED_VALUE"""),-2.0)</f>
        <v>-2</v>
      </c>
      <c r="V388" s="16">
        <f>IFERROR(__xludf.DUMMYFUNCTION("""COMPUTED_VALUE"""),-1.0)</f>
        <v>-1</v>
      </c>
      <c r="W388" s="16">
        <f>IFERROR(__xludf.DUMMYFUNCTION("""COMPUTED_VALUE"""),-4.0)</f>
        <v>-4</v>
      </c>
      <c r="X388" s="16">
        <f>IFERROR(__xludf.DUMMYFUNCTION("""COMPUTED_VALUE"""),-2.0)</f>
        <v>-2</v>
      </c>
      <c r="Y388" s="16">
        <f>IFERROR(__xludf.DUMMYFUNCTION("""COMPUTED_VALUE"""),37.4)</f>
        <v>37.4</v>
      </c>
      <c r="Z388" s="16">
        <f>IFERROR(__xludf.DUMMYFUNCTION("""COMPUTED_VALUE"""),31.0)</f>
        <v>31</v>
      </c>
      <c r="AA388" s="16">
        <f>IFERROR(__xludf.DUMMYFUNCTION("""COMPUTED_VALUE"""),-2.0)</f>
        <v>-2</v>
      </c>
      <c r="AB388" s="16">
        <f>IFERROR(__xludf.DUMMYFUNCTION("""COMPUTED_VALUE"""),-1.0)</f>
        <v>-1</v>
      </c>
      <c r="AC388" s="16">
        <f>IFERROR(__xludf.DUMMYFUNCTION("""COMPUTED_VALUE"""),-10.0)</f>
        <v>-10</v>
      </c>
      <c r="AD388" s="16">
        <f>IFERROR(__xludf.DUMMYFUNCTION("""COMPUTED_VALUE"""),-5.0)</f>
        <v>-5</v>
      </c>
      <c r="AE388" s="16">
        <f>IFERROR(__xludf.DUMMYFUNCTION("""COMPUTED_VALUE"""),41.4)</f>
        <v>41.4</v>
      </c>
      <c r="AF388" s="16">
        <f>IFERROR(__xludf.DUMMYFUNCTION("""COMPUTED_VALUE"""),29.0)</f>
        <v>29</v>
      </c>
      <c r="AG388" s="16">
        <f>IFERROR(__xludf.DUMMYFUNCTION("""COMPUTED_VALUE"""),-1.0)</f>
        <v>-1</v>
      </c>
      <c r="AH388" s="16">
        <f>IFERROR(__xludf.DUMMYFUNCTION("""COMPUTED_VALUE"""),0.0)</f>
        <v>0</v>
      </c>
      <c r="AI388" s="16">
        <f>IFERROR(__xludf.DUMMYFUNCTION("""COMPUTED_VALUE"""),-2.0)</f>
        <v>-2</v>
      </c>
      <c r="AJ388" s="16">
        <f>IFERROR(__xludf.DUMMYFUNCTION("""COMPUTED_VALUE"""),0.0)</f>
        <v>0</v>
      </c>
      <c r="AK388" s="16">
        <f>IFERROR(__xludf.DUMMYFUNCTION("""COMPUTED_VALUE"""),24.4)</f>
        <v>24.4</v>
      </c>
      <c r="AL388" s="16">
        <f>IFERROR(__xludf.DUMMYFUNCTION("""COMPUTED_VALUE"""),18.5)</f>
        <v>18.5</v>
      </c>
      <c r="AM388" s="16">
        <f>IFERROR(__xludf.DUMMYFUNCTION("""COMPUTED_VALUE"""),-2.0)</f>
        <v>-2</v>
      </c>
      <c r="AN388" s="16">
        <f>IFERROR(__xludf.DUMMYFUNCTION("""COMPUTED_VALUE"""),-1.0)</f>
        <v>-1</v>
      </c>
      <c r="AO388" s="16">
        <f>IFERROR(__xludf.DUMMYFUNCTION("""COMPUTED_VALUE"""),-2.0)</f>
        <v>-2</v>
      </c>
      <c r="AP388" s="16">
        <f>IFERROR(__xludf.DUMMYFUNCTION("""COMPUTED_VALUE"""),-1.0)</f>
        <v>-1</v>
      </c>
      <c r="AQ388" s="16">
        <f>IFERROR(__xludf.DUMMYFUNCTION("""COMPUTED_VALUE"""),33.4)</f>
        <v>33.4</v>
      </c>
      <c r="AR388" s="16">
        <f>IFERROR(__xludf.DUMMYFUNCTION("""COMPUTED_VALUE"""),22.6)</f>
        <v>22.6</v>
      </c>
      <c r="AS388" s="16">
        <f>IFERROR(__xludf.DUMMYFUNCTION("""COMPUTED_VALUE"""),-2.0)</f>
        <v>-2</v>
      </c>
      <c r="AT388" s="16">
        <f>IFERROR(__xludf.DUMMYFUNCTION("""COMPUTED_VALUE"""),0.0)</f>
        <v>0</v>
      </c>
      <c r="AU388" s="16">
        <f>IFERROR(__xludf.DUMMYFUNCTION("""COMPUTED_VALUE"""),-4.0)</f>
        <v>-4</v>
      </c>
      <c r="AV388" s="16">
        <f>IFERROR(__xludf.DUMMYFUNCTION("""COMPUTED_VALUE"""),0.0)</f>
        <v>0</v>
      </c>
      <c r="AW388" s="16">
        <f>IFERROR(__xludf.DUMMYFUNCTION("""COMPUTED_VALUE"""),2.0)</f>
        <v>2</v>
      </c>
      <c r="AX388" s="16">
        <f>IFERROR(__xludf.DUMMYFUNCTION("""COMPUTED_VALUE"""),1.6)</f>
        <v>1.6</v>
      </c>
      <c r="AY388" s="16">
        <f>IFERROR(__xludf.DUMMYFUNCTION("""COMPUTED_VALUE"""),0.0)</f>
        <v>0</v>
      </c>
      <c r="AZ388" s="16">
        <f>IFERROR(__xludf.DUMMYFUNCTION("""COMPUTED_VALUE"""),1.0)</f>
        <v>1</v>
      </c>
      <c r="BA388" s="16">
        <f>IFERROR(__xludf.DUMMYFUNCTION("""COMPUTED_VALUE"""),0.0)</f>
        <v>0</v>
      </c>
      <c r="BB388" s="16">
        <f>IFERROR(__xludf.DUMMYFUNCTION("""COMPUTED_VALUE"""),5.0)</f>
        <v>5</v>
      </c>
      <c r="BC388" s="16">
        <f>IFERROR(__xludf.DUMMYFUNCTION("""COMPUTED_VALUE"""),2.0)</f>
        <v>2</v>
      </c>
      <c r="BD388" s="16">
        <f>IFERROR(__xludf.DUMMYFUNCTION("""COMPUTED_VALUE"""),2.0)</f>
        <v>2</v>
      </c>
      <c r="BE388" s="16">
        <f>IFERROR(__xludf.DUMMYFUNCTION("""COMPUTED_VALUE"""),2.0)</f>
        <v>2</v>
      </c>
      <c r="BF388" s="16">
        <f>IFERROR(__xludf.DUMMYFUNCTION("""COMPUTED_VALUE"""),2.0)</f>
        <v>2</v>
      </c>
      <c r="BG388" s="16">
        <f>IFERROR(__xludf.DUMMYFUNCTION("""COMPUTED_VALUE"""),1.0)</f>
        <v>1</v>
      </c>
      <c r="BH388" s="16">
        <f>IFERROR(__xludf.DUMMYFUNCTION("""COMPUTED_VALUE"""),1.0)</f>
        <v>1</v>
      </c>
      <c r="BI388" s="16">
        <f>IFERROR(__xludf.DUMMYFUNCTION("""COMPUTED_VALUE"""),2.0)</f>
        <v>2</v>
      </c>
      <c r="BJ388" s="16">
        <f>IFERROR(__xludf.DUMMYFUNCTION("""COMPUTED_VALUE"""),2.0)</f>
        <v>2</v>
      </c>
      <c r="BK388" s="16">
        <f>IFERROR(__xludf.DUMMYFUNCTION("""COMPUTED_VALUE"""),5.0)</f>
        <v>5</v>
      </c>
      <c r="BL388" s="16">
        <f>IFERROR(__xludf.DUMMYFUNCTION("""COMPUTED_VALUE"""),5.0)</f>
        <v>5</v>
      </c>
      <c r="BM388" s="16">
        <f>IFERROR(__xludf.DUMMYFUNCTION("""COMPUTED_VALUE"""),0.0)</f>
        <v>0</v>
      </c>
      <c r="BN388" s="16">
        <f>IFERROR(__xludf.DUMMYFUNCTION("""COMPUTED_VALUE"""),0.0)</f>
        <v>0</v>
      </c>
      <c r="BO388" s="16">
        <f>IFERROR(__xludf.DUMMYFUNCTION("""COMPUTED_VALUE"""),0.0)</f>
        <v>0</v>
      </c>
      <c r="BP388" s="16">
        <f>IFERROR(__xludf.DUMMYFUNCTION("""COMPUTED_VALUE"""),0.0)</f>
        <v>0</v>
      </c>
      <c r="BQ388" s="16">
        <f>IFERROR(__xludf.DUMMYFUNCTION("""COMPUTED_VALUE"""),4.0)</f>
        <v>4</v>
      </c>
      <c r="BR388" s="16">
        <f>IFERROR(__xludf.DUMMYFUNCTION("""COMPUTED_VALUE"""),8.0)</f>
        <v>8</v>
      </c>
      <c r="BS388" s="16">
        <f>IFERROR(__xludf.DUMMYFUNCTION("""COMPUTED_VALUE"""),-1.0)</f>
        <v>-1</v>
      </c>
      <c r="BT388" s="16">
        <f>IFERROR(__xludf.DUMMYFUNCTION("""COMPUTED_VALUE"""),2.0)</f>
        <v>2</v>
      </c>
      <c r="BU388" s="16">
        <f>IFERROR(__xludf.DUMMYFUNCTION("""COMPUTED_VALUE"""),-2.0)</f>
        <v>-2</v>
      </c>
      <c r="BV388" s="16">
        <f>IFERROR(__xludf.DUMMYFUNCTION("""COMPUTED_VALUE"""),4.0)</f>
        <v>4</v>
      </c>
      <c r="BW388" s="16">
        <f>IFERROR(__xludf.DUMMYFUNCTION("""COMPUTED_VALUE"""),6.0)</f>
        <v>6</v>
      </c>
      <c r="BX388" s="16">
        <f>IFERROR(__xludf.DUMMYFUNCTION("""COMPUTED_VALUE"""),6.0)</f>
        <v>6</v>
      </c>
      <c r="BY388" s="16" t="str">
        <f>IFERROR(__xludf.DUMMYFUNCTION("""COMPUTED_VALUE"""),"S(5) R(3) C(0)")</f>
        <v>S(5) R(3) C(0)</v>
      </c>
      <c r="BZ388" s="16" t="str">
        <f>IFERROR(__xludf.DUMMYFUNCTION("""COMPUTED_VALUE"""),"S(5) R(3) C(0)")</f>
        <v>S(5) R(3) C(0)</v>
      </c>
      <c r="CA388" s="16" t="str">
        <f>IFERROR(__xludf.DUMMYFUNCTION("""COMPUTED_VALUE"""),"S(5)")</f>
        <v>S(5)</v>
      </c>
      <c r="CB388" s="16" t="str">
        <f>IFERROR(__xludf.DUMMYFUNCTION("""COMPUTED_VALUE"""),"R(3)")</f>
        <v>R(3)</v>
      </c>
      <c r="CC388" s="16" t="str">
        <f>IFERROR(__xludf.DUMMYFUNCTION("""COMPUTED_VALUE"""),"C(0)")</f>
        <v>C(0)</v>
      </c>
      <c r="CD388" s="16">
        <f>IFERROR(__xludf.DUMMYFUNCTION("""COMPUTED_VALUE"""),5.0)</f>
        <v>5</v>
      </c>
      <c r="CE388" s="16">
        <f>IFERROR(__xludf.DUMMYFUNCTION("""COMPUTED_VALUE"""),3.0)</f>
        <v>3</v>
      </c>
      <c r="CF388" s="16">
        <f>IFERROR(__xludf.DUMMYFUNCTION("""COMPUTED_VALUE"""),0.0)</f>
        <v>0</v>
      </c>
      <c r="CG388" s="16" t="str">
        <f>IFERROR(__xludf.DUMMYFUNCTION("""COMPUTED_VALUE"""),"4-10")</f>
        <v>4-10</v>
      </c>
      <c r="CH388" s="16">
        <f>IFERROR(__xludf.DUMMYFUNCTION("""COMPUTED_VALUE"""),4.0)</f>
        <v>4</v>
      </c>
      <c r="CI388" s="16">
        <f>IFERROR(__xludf.DUMMYFUNCTION("""COMPUTED_VALUE"""),10.0)</f>
        <v>10</v>
      </c>
      <c r="CJ388" s="16">
        <f>IFERROR(__xludf.DUMMYFUNCTION("""COMPUTED_VALUE"""),0.0)</f>
        <v>0</v>
      </c>
      <c r="CK388" s="16">
        <f>IFERROR(__xludf.DUMMYFUNCTION("""COMPUTED_VALUE"""),2.0)</f>
        <v>2</v>
      </c>
      <c r="CL388" s="16" t="str">
        <f>IFERROR(__xludf.DUMMYFUNCTION("""COMPUTED_VALUE"""),"1WR-C")</f>
        <v>1WR-C</v>
      </c>
      <c r="CM388" s="16" t="str">
        <f>IFERROR(__xludf.DUMMYFUNCTION("""COMPUTED_VALUE"""),"E")</f>
        <v>E</v>
      </c>
      <c r="CN388" s="16">
        <f>IFERROR(__xludf.DUMMYFUNCTION("""COMPUTED_VALUE"""),10.0)</f>
        <v>10</v>
      </c>
      <c r="CO388" s="16" t="str">
        <f>IFERROR(__xludf.DUMMYFUNCTION("""COMPUTED_VALUE"""),"C")</f>
        <v>C</v>
      </c>
      <c r="CP388" s="16" t="str">
        <f>IFERROR(__xludf.DUMMYFUNCTION("""COMPUTED_VALUE"""),"1p70")</f>
        <v>1p70</v>
      </c>
      <c r="CQ388" s="16">
        <f>IFERROR(__xludf.DUMMYFUNCTION("""COMPUTED_VALUE"""),-29.0)</f>
        <v>-29</v>
      </c>
      <c r="CR388" s="16">
        <f>IFERROR(__xludf.DUMMYFUNCTION("""COMPUTED_VALUE"""),-1.0)</f>
        <v>-1</v>
      </c>
      <c r="CS388" s="16">
        <f>IFERROR(__xludf.DUMMYFUNCTION("""COMPUTED_VALUE"""),-30.0)</f>
        <v>-30</v>
      </c>
      <c r="CT388" s="16">
        <f>IFERROR(__xludf.DUMMYFUNCTION("""COMPUTED_VALUE"""),-29.0)</f>
        <v>-29</v>
      </c>
      <c r="CU388" s="16">
        <f>IFERROR(__xludf.DUMMYFUNCTION("""COMPUTED_VALUE"""),-1.0)</f>
        <v>-1</v>
      </c>
      <c r="CV388" s="179">
        <f>IFERROR(__xludf.DUMMYFUNCTION("""COMPUTED_VALUE"""),-12.666666666666668)</f>
        <v>-12.66666667</v>
      </c>
      <c r="CW388" s="179">
        <f>IFERROR(__xludf.DUMMYFUNCTION("""COMPUTED_VALUE"""),4.0)</f>
        <v>4</v>
      </c>
      <c r="CX388" s="179">
        <f>IFERROR(__xludf.DUMMYFUNCTION("""COMPUTED_VALUE"""),3.0)</f>
        <v>3</v>
      </c>
      <c r="CY388" s="16" t="str">
        <f>IFERROR(__xludf.DUMMYFUNCTION("""COMPUTED_VALUE"""),"SP")</f>
        <v>SP</v>
      </c>
      <c r="CZ388" s="16" t="str">
        <f>IFERROR(__xludf.DUMMYFUNCTION("""COMPUTED_VALUE"""),"RP")</f>
        <v>RP</v>
      </c>
      <c r="DA388" s="16" t="str">
        <f>IFERROR(__xludf.DUMMYFUNCTION("""COMPUTED_VALUE"""),"CP")</f>
        <v>CP</v>
      </c>
      <c r="DB388" s="16"/>
      <c r="DC388" s="16"/>
      <c r="DD388" s="16"/>
      <c r="DE388" s="16"/>
      <c r="DF388" s="16"/>
      <c r="DG388" s="16"/>
      <c r="DH388" s="16"/>
      <c r="DI388" s="16"/>
      <c r="DJ388" s="16"/>
      <c r="DK388" s="16"/>
    </row>
    <row r="389">
      <c r="A389" s="16">
        <f>IFERROR(__xludf.DUMMYFUNCTION("""COMPUTED_VALUE"""),12944.0)</f>
        <v>12944</v>
      </c>
      <c r="B389" s="16" t="str">
        <f>IFERROR(__xludf.DUMMYFUNCTION("""COMPUTED_VALUE"""),"Jeff Criswell")</f>
        <v>Jeff Criswell</v>
      </c>
      <c r="C389" s="153">
        <f>IFERROR(__xludf.DUMMYFUNCTION("""COMPUTED_VALUE"""),2.25)</f>
        <v>2.25</v>
      </c>
      <c r="D389" s="16"/>
      <c r="E389" s="16" t="str">
        <f>IFERROR(__xludf.DUMMYFUNCTION("""COMPUTED_VALUE"""),"R")</f>
        <v>R</v>
      </c>
      <c r="F389" s="16">
        <f>IFERROR(__xludf.DUMMYFUNCTION("""COMPUTED_VALUE"""),20.0)</f>
        <v>20</v>
      </c>
      <c r="G389" s="16">
        <f>IFERROR(__xludf.DUMMYFUNCTION("""COMPUTED_VALUE"""),38.0)</f>
        <v>38</v>
      </c>
      <c r="H389" s="16">
        <f>IFERROR(__xludf.DUMMYFUNCTION("""COMPUTED_VALUE"""),34.0)</f>
        <v>34</v>
      </c>
      <c r="I389" s="16">
        <f>IFERROR(__xludf.DUMMYFUNCTION("""COMPUTED_VALUE"""),1.0)</f>
        <v>1</v>
      </c>
      <c r="J389" s="16">
        <f>IFERROR(__xludf.DUMMYFUNCTION("""COMPUTED_VALUE"""),1.0)</f>
        <v>1</v>
      </c>
      <c r="K389" s="16">
        <f>IFERROR(__xludf.DUMMYFUNCTION("""COMPUTED_VALUE"""),3.0)</f>
        <v>3</v>
      </c>
      <c r="L389" s="16">
        <f>IFERROR(__xludf.DUMMYFUNCTION("""COMPUTED_VALUE"""),3.0)</f>
        <v>3</v>
      </c>
      <c r="M389" s="16">
        <f>IFERROR(__xludf.DUMMYFUNCTION("""COMPUTED_VALUE"""),9.0)</f>
        <v>9</v>
      </c>
      <c r="N389" s="16">
        <f>IFERROR(__xludf.DUMMYFUNCTION("""COMPUTED_VALUE"""),18.0)</f>
        <v>18</v>
      </c>
      <c r="O389" s="16">
        <f>IFERROR(__xludf.DUMMYFUNCTION("""COMPUTED_VALUE"""),0.0)</f>
        <v>0</v>
      </c>
      <c r="P389" s="16">
        <f>IFERROR(__xludf.DUMMYFUNCTION("""COMPUTED_VALUE"""),-3.0)</f>
        <v>-3</v>
      </c>
      <c r="Q389" s="16">
        <f>IFERROR(__xludf.DUMMYFUNCTION("""COMPUTED_VALUE"""),0.0)</f>
        <v>0</v>
      </c>
      <c r="R389" s="16">
        <f>IFERROR(__xludf.DUMMYFUNCTION("""COMPUTED_VALUE"""),-3.0)</f>
        <v>-3</v>
      </c>
      <c r="S389" s="16">
        <f>IFERROR(__xludf.DUMMYFUNCTION("""COMPUTED_VALUE"""),22.3)</f>
        <v>22.3</v>
      </c>
      <c r="T389" s="16">
        <f>IFERROR(__xludf.DUMMYFUNCTION("""COMPUTED_VALUE"""),10.7)</f>
        <v>10.7</v>
      </c>
      <c r="U389" s="16">
        <f>IFERROR(__xludf.DUMMYFUNCTION("""COMPUTED_VALUE"""),-1.0)</f>
        <v>-1</v>
      </c>
      <c r="V389" s="16">
        <f>IFERROR(__xludf.DUMMYFUNCTION("""COMPUTED_VALUE"""),1.0)</f>
        <v>1</v>
      </c>
      <c r="W389" s="16">
        <f>IFERROR(__xludf.DUMMYFUNCTION("""COMPUTED_VALUE"""),-2.0)</f>
        <v>-2</v>
      </c>
      <c r="X389" s="16">
        <f>IFERROR(__xludf.DUMMYFUNCTION("""COMPUTED_VALUE"""),2.0)</f>
        <v>2</v>
      </c>
      <c r="Y389" s="16">
        <f>IFERROR(__xludf.DUMMYFUNCTION("""COMPUTED_VALUE"""),31.3)</f>
        <v>31.3</v>
      </c>
      <c r="Z389" s="16">
        <f>IFERROR(__xludf.DUMMYFUNCTION("""COMPUTED_VALUE"""),28.7)</f>
        <v>28.7</v>
      </c>
      <c r="AA389" s="16">
        <f>IFERROR(__xludf.DUMMYFUNCTION("""COMPUTED_VALUE"""),-1.0)</f>
        <v>-1</v>
      </c>
      <c r="AB389" s="16">
        <f>IFERROR(__xludf.DUMMYFUNCTION("""COMPUTED_VALUE"""),-1.0)</f>
        <v>-1</v>
      </c>
      <c r="AC389" s="16">
        <f>IFERROR(__xludf.DUMMYFUNCTION("""COMPUTED_VALUE"""),-5.0)</f>
        <v>-5</v>
      </c>
      <c r="AD389" s="16">
        <f>IFERROR(__xludf.DUMMYFUNCTION("""COMPUTED_VALUE"""),-5.0)</f>
        <v>-5</v>
      </c>
      <c r="AE389" s="16">
        <f>IFERROR(__xludf.DUMMYFUNCTION("""COMPUTED_VALUE"""),34.8)</f>
        <v>34.8</v>
      </c>
      <c r="AF389" s="16">
        <f>IFERROR(__xludf.DUMMYFUNCTION("""COMPUTED_VALUE"""),29.5)</f>
        <v>29.5</v>
      </c>
      <c r="AG389" s="16">
        <f>IFERROR(__xludf.DUMMYFUNCTION("""COMPUTED_VALUE"""),-1.0)</f>
        <v>-1</v>
      </c>
      <c r="AH389" s="16">
        <f>IFERROR(__xludf.DUMMYFUNCTION("""COMPUTED_VALUE"""),0.0)</f>
        <v>0</v>
      </c>
      <c r="AI389" s="16">
        <f>IFERROR(__xludf.DUMMYFUNCTION("""COMPUTED_VALUE"""),-2.0)</f>
        <v>-2</v>
      </c>
      <c r="AJ389" s="16">
        <f>IFERROR(__xludf.DUMMYFUNCTION("""COMPUTED_VALUE"""),0.0)</f>
        <v>0</v>
      </c>
      <c r="AK389" s="16">
        <f>IFERROR(__xludf.DUMMYFUNCTION("""COMPUTED_VALUE"""),20.7)</f>
        <v>20.7</v>
      </c>
      <c r="AL389" s="16">
        <f>IFERROR(__xludf.DUMMYFUNCTION("""COMPUTED_VALUE"""),5.699999999999999)</f>
        <v>5.7</v>
      </c>
      <c r="AM389" s="16">
        <f>IFERROR(__xludf.DUMMYFUNCTION("""COMPUTED_VALUE"""),-1.0)</f>
        <v>-1</v>
      </c>
      <c r="AN389" s="16">
        <f>IFERROR(__xludf.DUMMYFUNCTION("""COMPUTED_VALUE"""),2.0)</f>
        <v>2</v>
      </c>
      <c r="AO389" s="16">
        <f>IFERROR(__xludf.DUMMYFUNCTION("""COMPUTED_VALUE"""),-1.0)</f>
        <v>-1</v>
      </c>
      <c r="AP389" s="16">
        <f>IFERROR(__xludf.DUMMYFUNCTION("""COMPUTED_VALUE"""),2.0)</f>
        <v>2</v>
      </c>
      <c r="AQ389" s="16">
        <f>IFERROR(__xludf.DUMMYFUNCTION("""COMPUTED_VALUE"""),28.4)</f>
        <v>28.4</v>
      </c>
      <c r="AR389" s="16">
        <f>IFERROR(__xludf.DUMMYFUNCTION("""COMPUTED_VALUE"""),9.5)</f>
        <v>9.5</v>
      </c>
      <c r="AS389" s="16">
        <f>IFERROR(__xludf.DUMMYFUNCTION("""COMPUTED_VALUE"""),-1.0)</f>
        <v>-1</v>
      </c>
      <c r="AT389" s="16">
        <f>IFERROR(__xludf.DUMMYFUNCTION("""COMPUTED_VALUE"""),1.0)</f>
        <v>1</v>
      </c>
      <c r="AU389" s="16">
        <f>IFERROR(__xludf.DUMMYFUNCTION("""COMPUTED_VALUE"""),-2.0)</f>
        <v>-2</v>
      </c>
      <c r="AV389" s="16">
        <f>IFERROR(__xludf.DUMMYFUNCTION("""COMPUTED_VALUE"""),2.0)</f>
        <v>2</v>
      </c>
      <c r="AW389" s="16">
        <f>IFERROR(__xludf.DUMMYFUNCTION("""COMPUTED_VALUE"""),1.6)</f>
        <v>1.6</v>
      </c>
      <c r="AX389" s="16">
        <f>IFERROR(__xludf.DUMMYFUNCTION("""COMPUTED_VALUE"""),5.0)</f>
        <v>5</v>
      </c>
      <c r="AY389" s="16">
        <f>IFERROR(__xludf.DUMMYFUNCTION("""COMPUTED_VALUE"""),1.0)</f>
        <v>1</v>
      </c>
      <c r="AZ389" s="16">
        <f>IFERROR(__xludf.DUMMYFUNCTION("""COMPUTED_VALUE"""),-3.0)</f>
        <v>-3</v>
      </c>
      <c r="BA389" s="16">
        <f>IFERROR(__xludf.DUMMYFUNCTION("""COMPUTED_VALUE"""),5.0)</f>
        <v>5</v>
      </c>
      <c r="BB389" s="16">
        <f>IFERROR(__xludf.DUMMYFUNCTION("""COMPUTED_VALUE"""),-15.0)</f>
        <v>-15</v>
      </c>
      <c r="BC389" s="16">
        <f>IFERROR(__xludf.DUMMYFUNCTION("""COMPUTED_VALUE"""),2.0)</f>
        <v>2</v>
      </c>
      <c r="BD389" s="16">
        <f>IFERROR(__xludf.DUMMYFUNCTION("""COMPUTED_VALUE"""),8.0)</f>
        <v>8</v>
      </c>
      <c r="BE389" s="16">
        <f>IFERROR(__xludf.DUMMYFUNCTION("""COMPUTED_VALUE"""),2.0)</f>
        <v>2</v>
      </c>
      <c r="BF389" s="16">
        <f>IFERROR(__xludf.DUMMYFUNCTION("""COMPUTED_VALUE"""),8.0)</f>
        <v>8</v>
      </c>
      <c r="BG389" s="16">
        <f>IFERROR(__xludf.DUMMYFUNCTION("""COMPUTED_VALUE"""),1.0)</f>
        <v>1</v>
      </c>
      <c r="BH389" s="16">
        <f>IFERROR(__xludf.DUMMYFUNCTION("""COMPUTED_VALUE"""),-3.0)</f>
        <v>-3</v>
      </c>
      <c r="BI389" s="16">
        <f>IFERROR(__xludf.DUMMYFUNCTION("""COMPUTED_VALUE"""),2.0)</f>
        <v>2</v>
      </c>
      <c r="BJ389" s="16">
        <f>IFERROR(__xludf.DUMMYFUNCTION("""COMPUTED_VALUE"""),-6.0)</f>
        <v>-6</v>
      </c>
      <c r="BK389" s="16">
        <f>IFERROR(__xludf.DUMMYFUNCTION("""COMPUTED_VALUE"""),5.0)</f>
        <v>5</v>
      </c>
      <c r="BL389" s="16">
        <f>IFERROR(__xludf.DUMMYFUNCTION("""COMPUTED_VALUE"""),5.0)</f>
        <v>5</v>
      </c>
      <c r="BM389" s="16">
        <f>IFERROR(__xludf.DUMMYFUNCTION("""COMPUTED_VALUE"""),0.0)</f>
        <v>0</v>
      </c>
      <c r="BN389" s="16">
        <f>IFERROR(__xludf.DUMMYFUNCTION("""COMPUTED_VALUE"""),0.0)</f>
        <v>0</v>
      </c>
      <c r="BO389" s="16">
        <f>IFERROR(__xludf.DUMMYFUNCTION("""COMPUTED_VALUE"""),0.0)</f>
        <v>0</v>
      </c>
      <c r="BP389" s="16">
        <f>IFERROR(__xludf.DUMMYFUNCTION("""COMPUTED_VALUE"""),0.0)</f>
        <v>0</v>
      </c>
      <c r="BQ389" s="16">
        <f>IFERROR(__xludf.DUMMYFUNCTION("""COMPUTED_VALUE"""),0.0)</f>
        <v>0</v>
      </c>
      <c r="BR389" s="16">
        <f>IFERROR(__xludf.DUMMYFUNCTION("""COMPUTED_VALUE"""),0.0)</f>
        <v>0</v>
      </c>
      <c r="BS389" s="16">
        <f>IFERROR(__xludf.DUMMYFUNCTION("""COMPUTED_VALUE"""),-3.0)</f>
        <v>-3</v>
      </c>
      <c r="BT389" s="16">
        <f>IFERROR(__xludf.DUMMYFUNCTION("""COMPUTED_VALUE"""),-3.0)</f>
        <v>-3</v>
      </c>
      <c r="BU389" s="16">
        <f>IFERROR(__xludf.DUMMYFUNCTION("""COMPUTED_VALUE"""),-6.0)</f>
        <v>-6</v>
      </c>
      <c r="BV389" s="16">
        <f>IFERROR(__xludf.DUMMYFUNCTION("""COMPUTED_VALUE"""),-6.0)</f>
        <v>-6</v>
      </c>
      <c r="BW389" s="16">
        <f>IFERROR(__xludf.DUMMYFUNCTION("""COMPUTED_VALUE"""),9.0)</f>
        <v>9</v>
      </c>
      <c r="BX389" s="16">
        <f>IFERROR(__xludf.DUMMYFUNCTION("""COMPUTED_VALUE"""),9.0)</f>
        <v>9</v>
      </c>
      <c r="BY389" s="16" t="str">
        <f>IFERROR(__xludf.DUMMYFUNCTION("""COMPUTED_VALUE"""),"R(2)")</f>
        <v>R(2)</v>
      </c>
      <c r="BZ389" s="16" t="str">
        <f>IFERROR(__xludf.DUMMYFUNCTION("""COMPUTED_VALUE"""),"R(2)")</f>
        <v>R(2)</v>
      </c>
      <c r="CA389" s="16" t="str">
        <f>IFERROR(__xludf.DUMMYFUNCTION("""COMPUTED_VALUE"""),"R(2)")</f>
        <v>R(2)</v>
      </c>
      <c r="CB389" s="16"/>
      <c r="CC389" s="16"/>
      <c r="CD389" s="16"/>
      <c r="CE389" s="16">
        <f>IFERROR(__xludf.DUMMYFUNCTION("""COMPUTED_VALUE"""),2.0)</f>
        <v>2</v>
      </c>
      <c r="CF389" s="16"/>
      <c r="CG389" s="16" t="str">
        <f>IFERROR(__xludf.DUMMYFUNCTION("""COMPUTED_VALUE"""),"4-0")</f>
        <v>4-0</v>
      </c>
      <c r="CH389" s="16">
        <f>IFERROR(__xludf.DUMMYFUNCTION("""COMPUTED_VALUE"""),4.0)</f>
        <v>4</v>
      </c>
      <c r="CI389" s="16">
        <f>IFERROR(__xludf.DUMMYFUNCTION("""COMPUTED_VALUE"""),0.0)</f>
        <v>0</v>
      </c>
      <c r="CJ389" s="16">
        <f>IFERROR(__xludf.DUMMYFUNCTION("""COMPUTED_VALUE"""),0.0)</f>
        <v>0</v>
      </c>
      <c r="CK389" s="16">
        <f>IFERROR(__xludf.DUMMYFUNCTION("""COMPUTED_VALUE"""),0.0)</f>
        <v>0</v>
      </c>
      <c r="CL389" s="16" t="str">
        <f>IFERROR(__xludf.DUMMYFUNCTION("""COMPUTED_VALUE"""),"1WR-C")</f>
        <v>1WR-C</v>
      </c>
      <c r="CM389" s="16" t="str">
        <f>IFERROR(__xludf.DUMMYFUNCTION("""COMPUTED_VALUE"""),"E")</f>
        <v>E</v>
      </c>
      <c r="CN389" s="16">
        <f>IFERROR(__xludf.DUMMYFUNCTION("""COMPUTED_VALUE"""),10.0)</f>
        <v>10</v>
      </c>
      <c r="CO389" s="16" t="str">
        <f>IFERROR(__xludf.DUMMYFUNCTION("""COMPUTED_VALUE"""),"C")</f>
        <v>C</v>
      </c>
      <c r="CP389" s="16" t="str">
        <f>IFERROR(__xludf.DUMMYFUNCTION("""COMPUTED_VALUE"""),"1p20")</f>
        <v>1p20</v>
      </c>
      <c r="CQ389" s="16">
        <f>IFERROR(__xludf.DUMMYFUNCTION("""COMPUTED_VALUE"""),-8.0)</f>
        <v>-8</v>
      </c>
      <c r="CR389" s="16">
        <f>IFERROR(__xludf.DUMMYFUNCTION("""COMPUTED_VALUE"""),-26.0)</f>
        <v>-26</v>
      </c>
      <c r="CS389" s="16">
        <f>IFERROR(__xludf.DUMMYFUNCTION("""COMPUTED_VALUE"""),-34.0)</f>
        <v>-34</v>
      </c>
      <c r="CT389" s="16">
        <f>IFERROR(__xludf.DUMMYFUNCTION("""COMPUTED_VALUE"""),-8.0)</f>
        <v>-8</v>
      </c>
      <c r="CU389" s="16">
        <f>IFERROR(__xludf.DUMMYFUNCTION("""COMPUTED_VALUE"""),-26.0)</f>
        <v>-26</v>
      </c>
      <c r="CV389" s="179">
        <f>IFERROR(__xludf.DUMMYFUNCTION("""COMPUTED_VALUE"""),-13.0)</f>
        <v>-13</v>
      </c>
      <c r="CW389" s="179">
        <f>IFERROR(__xludf.DUMMYFUNCTION("""COMPUTED_VALUE"""),4.0)</f>
        <v>4</v>
      </c>
      <c r="CX389" s="179">
        <f>IFERROR(__xludf.DUMMYFUNCTION("""COMPUTED_VALUE"""),3.0)</f>
        <v>3</v>
      </c>
      <c r="CY389" s="16" t="str">
        <f>IFERROR(__xludf.DUMMYFUNCTION("""COMPUTED_VALUE"""),"RP")</f>
        <v>RP</v>
      </c>
      <c r="CZ389" s="16"/>
      <c r="DA389" s="16"/>
      <c r="DB389" s="16"/>
      <c r="DC389" s="16"/>
      <c r="DD389" s="16"/>
      <c r="DE389" s="16"/>
      <c r="DF389" s="16"/>
      <c r="DG389" s="16"/>
      <c r="DH389" s="16"/>
      <c r="DI389" s="16"/>
      <c r="DJ389" s="16"/>
      <c r="DK389" s="16"/>
    </row>
    <row r="390">
      <c r="A390" s="16">
        <f>IFERROR(__xludf.DUMMYFUNCTION("""COMPUTED_VALUE"""),13464.0)</f>
        <v>13464</v>
      </c>
      <c r="B390" s="16" t="str">
        <f>IFERROR(__xludf.DUMMYFUNCTION("""COMPUTED_VALUE"""),"Valente Bellozo")</f>
        <v>Valente Bellozo</v>
      </c>
      <c r="C390" s="153">
        <f>IFERROR(__xludf.DUMMYFUNCTION("""COMPUTED_VALUE"""),1.64)</f>
        <v>1.64</v>
      </c>
      <c r="D390" s="16"/>
      <c r="E390" s="16" t="str">
        <f>IFERROR(__xludf.DUMMYFUNCTION("""COMPUTED_VALUE"""),"R")</f>
        <v>R</v>
      </c>
      <c r="F390" s="16">
        <f>IFERROR(__xludf.DUMMYFUNCTION("""COMPUTED_VALUE"""),69.0)</f>
        <v>69</v>
      </c>
      <c r="G390" s="16">
        <f>IFERROR(__xludf.DUMMYFUNCTION("""COMPUTED_VALUE"""),13.0)</f>
        <v>13</v>
      </c>
      <c r="H390" s="16">
        <f>IFERROR(__xludf.DUMMYFUNCTION("""COMPUTED_VALUE"""),3.0)</f>
        <v>3</v>
      </c>
      <c r="I390" s="16">
        <f>IFERROR(__xludf.DUMMYFUNCTION("""COMPUTED_VALUE"""),-2.0)</f>
        <v>-2</v>
      </c>
      <c r="J390" s="16">
        <f>IFERROR(__xludf.DUMMYFUNCTION("""COMPUTED_VALUE"""),-3.0)</f>
        <v>-3</v>
      </c>
      <c r="K390" s="16">
        <f>IFERROR(__xludf.DUMMYFUNCTION("""COMPUTED_VALUE"""),-6.0)</f>
        <v>-6</v>
      </c>
      <c r="L390" s="16">
        <f>IFERROR(__xludf.DUMMYFUNCTION("""COMPUTED_VALUE"""),-9.0)</f>
        <v>-9</v>
      </c>
      <c r="M390" s="16">
        <f>IFERROR(__xludf.DUMMYFUNCTION("""COMPUTED_VALUE"""),6.0)</f>
        <v>6</v>
      </c>
      <c r="N390" s="16">
        <f>IFERROR(__xludf.DUMMYFUNCTION("""COMPUTED_VALUE"""),6.0)</f>
        <v>6</v>
      </c>
      <c r="O390" s="16">
        <f>IFERROR(__xludf.DUMMYFUNCTION("""COMPUTED_VALUE"""),1.0)</f>
        <v>1</v>
      </c>
      <c r="P390" s="16">
        <f>IFERROR(__xludf.DUMMYFUNCTION("""COMPUTED_VALUE"""),1.0)</f>
        <v>1</v>
      </c>
      <c r="Q390" s="16">
        <f>IFERROR(__xludf.DUMMYFUNCTION("""COMPUTED_VALUE"""),1.0)</f>
        <v>1</v>
      </c>
      <c r="R390" s="16">
        <f>IFERROR(__xludf.DUMMYFUNCTION("""COMPUTED_VALUE"""),1.0)</f>
        <v>1</v>
      </c>
      <c r="S390" s="16">
        <f>IFERROR(__xludf.DUMMYFUNCTION("""COMPUTED_VALUE"""),8.4)</f>
        <v>8.4</v>
      </c>
      <c r="T390" s="16">
        <f>IFERROR(__xludf.DUMMYFUNCTION("""COMPUTED_VALUE"""),16.3)</f>
        <v>16.3</v>
      </c>
      <c r="U390" s="16">
        <f>IFERROR(__xludf.DUMMYFUNCTION("""COMPUTED_VALUE"""),1.0)</f>
        <v>1</v>
      </c>
      <c r="V390" s="16">
        <f>IFERROR(__xludf.DUMMYFUNCTION("""COMPUTED_VALUE"""),0.0)</f>
        <v>0</v>
      </c>
      <c r="W390" s="16">
        <f>IFERROR(__xludf.DUMMYFUNCTION("""COMPUTED_VALUE"""),2.0)</f>
        <v>2</v>
      </c>
      <c r="X390" s="16">
        <f>IFERROR(__xludf.DUMMYFUNCTION("""COMPUTED_VALUE"""),0.0)</f>
        <v>0</v>
      </c>
      <c r="Y390" s="16">
        <f>IFERROR(__xludf.DUMMYFUNCTION("""COMPUTED_VALUE"""),14.4)</f>
        <v>14.4</v>
      </c>
      <c r="Z390" s="16">
        <f>IFERROR(__xludf.DUMMYFUNCTION("""COMPUTED_VALUE"""),22.3)</f>
        <v>22.3</v>
      </c>
      <c r="AA390" s="16">
        <f>IFERROR(__xludf.DUMMYFUNCTION("""COMPUTED_VALUE"""),2.0)</f>
        <v>2</v>
      </c>
      <c r="AB390" s="16">
        <f>IFERROR(__xludf.DUMMYFUNCTION("""COMPUTED_VALUE"""),1.0)</f>
        <v>1</v>
      </c>
      <c r="AC390" s="16">
        <f>IFERROR(__xludf.DUMMYFUNCTION("""COMPUTED_VALUE"""),10.0)</f>
        <v>10</v>
      </c>
      <c r="AD390" s="16">
        <f>IFERROR(__xludf.DUMMYFUNCTION("""COMPUTED_VALUE"""),5.0)</f>
        <v>5</v>
      </c>
      <c r="AE390" s="16">
        <f>IFERROR(__xludf.DUMMYFUNCTION("""COMPUTED_VALUE"""),16.5)</f>
        <v>16.5</v>
      </c>
      <c r="AF390" s="16">
        <f>IFERROR(__xludf.DUMMYFUNCTION("""COMPUTED_VALUE"""),41.5)</f>
        <v>41.5</v>
      </c>
      <c r="AG390" s="16">
        <f>IFERROR(__xludf.DUMMYFUNCTION("""COMPUTED_VALUE"""),1.0)</f>
        <v>1</v>
      </c>
      <c r="AH390" s="16">
        <f>IFERROR(__xludf.DUMMYFUNCTION("""COMPUTED_VALUE"""),-1.0)</f>
        <v>-1</v>
      </c>
      <c r="AI390" s="16">
        <f>IFERROR(__xludf.DUMMYFUNCTION("""COMPUTED_VALUE"""),2.0)</f>
        <v>2</v>
      </c>
      <c r="AJ390" s="16">
        <f>IFERROR(__xludf.DUMMYFUNCTION("""COMPUTED_VALUE"""),-2.0)</f>
        <v>-2</v>
      </c>
      <c r="AK390" s="16">
        <f>IFERROR(__xludf.DUMMYFUNCTION("""COMPUTED_VALUE"""),6.6000000000000005)</f>
        <v>6.6</v>
      </c>
      <c r="AL390" s="16">
        <f>IFERROR(__xludf.DUMMYFUNCTION("""COMPUTED_VALUE"""),10.8)</f>
        <v>10.8</v>
      </c>
      <c r="AM390" s="16">
        <f>IFERROR(__xludf.DUMMYFUNCTION("""COMPUTED_VALUE"""),1.0)</f>
        <v>1</v>
      </c>
      <c r="AN390" s="16">
        <f>IFERROR(__xludf.DUMMYFUNCTION("""COMPUTED_VALUE"""),1.0)</f>
        <v>1</v>
      </c>
      <c r="AO390" s="16">
        <f>IFERROR(__xludf.DUMMYFUNCTION("""COMPUTED_VALUE"""),1.0)</f>
        <v>1</v>
      </c>
      <c r="AP390" s="16">
        <f>IFERROR(__xludf.DUMMYFUNCTION("""COMPUTED_VALUE"""),1.0)</f>
        <v>1</v>
      </c>
      <c r="AQ390" s="16">
        <f>IFERROR(__xludf.DUMMYFUNCTION("""COMPUTED_VALUE"""),9.3)</f>
        <v>9.3</v>
      </c>
      <c r="AR390" s="16">
        <f>IFERROR(__xludf.DUMMYFUNCTION("""COMPUTED_VALUE"""),19.5)</f>
        <v>19.5</v>
      </c>
      <c r="AS390" s="16">
        <f>IFERROR(__xludf.DUMMYFUNCTION("""COMPUTED_VALUE"""),1.0)</f>
        <v>1</v>
      </c>
      <c r="AT390" s="16">
        <f>IFERROR(__xludf.DUMMYFUNCTION("""COMPUTED_VALUE"""),0.0)</f>
        <v>0</v>
      </c>
      <c r="AU390" s="16">
        <f>IFERROR(__xludf.DUMMYFUNCTION("""COMPUTED_VALUE"""),2.0)</f>
        <v>2</v>
      </c>
      <c r="AV390" s="16">
        <f>IFERROR(__xludf.DUMMYFUNCTION("""COMPUTED_VALUE"""),0.0)</f>
        <v>0</v>
      </c>
      <c r="AW390" s="16">
        <f>IFERROR(__xludf.DUMMYFUNCTION("""COMPUTED_VALUE"""),1.8)</f>
        <v>1.8</v>
      </c>
      <c r="AX390" s="16">
        <f>IFERROR(__xludf.DUMMYFUNCTION("""COMPUTED_VALUE"""),5.5)</f>
        <v>5.5</v>
      </c>
      <c r="AY390" s="16">
        <f>IFERROR(__xludf.DUMMYFUNCTION("""COMPUTED_VALUE"""),0.0)</f>
        <v>0</v>
      </c>
      <c r="AZ390" s="16">
        <f>IFERROR(__xludf.DUMMYFUNCTION("""COMPUTED_VALUE"""),-3.0)</f>
        <v>-3</v>
      </c>
      <c r="BA390" s="16">
        <f>IFERROR(__xludf.DUMMYFUNCTION("""COMPUTED_VALUE"""),0.0)</f>
        <v>0</v>
      </c>
      <c r="BB390" s="16">
        <f>IFERROR(__xludf.DUMMYFUNCTION("""COMPUTED_VALUE"""),-15.0)</f>
        <v>-15</v>
      </c>
      <c r="BC390" s="16">
        <f>IFERROR(__xludf.DUMMYFUNCTION("""COMPUTED_VALUE"""),3.0)</f>
        <v>3</v>
      </c>
      <c r="BD390" s="16"/>
      <c r="BE390" s="16">
        <f>IFERROR(__xludf.DUMMYFUNCTION("""COMPUTED_VALUE"""),3.0)</f>
        <v>3</v>
      </c>
      <c r="BF390" s="16">
        <f>IFERROR(__xludf.DUMMYFUNCTION("""COMPUTED_VALUE"""),8.0)</f>
        <v>8</v>
      </c>
      <c r="BG390" s="16">
        <f>IFERROR(__xludf.DUMMYFUNCTION("""COMPUTED_VALUE"""),0.0)</f>
        <v>0</v>
      </c>
      <c r="BH390" s="16">
        <f>IFERROR(__xludf.DUMMYFUNCTION("""COMPUTED_VALUE"""),-3.0)</f>
        <v>-3</v>
      </c>
      <c r="BI390" s="16">
        <f>IFERROR(__xludf.DUMMYFUNCTION("""COMPUTED_VALUE"""),0.0)</f>
        <v>0</v>
      </c>
      <c r="BJ390" s="16">
        <f>IFERROR(__xludf.DUMMYFUNCTION("""COMPUTED_VALUE"""),-6.0)</f>
        <v>-6</v>
      </c>
      <c r="BK390" s="16">
        <f>IFERROR(__xludf.DUMMYFUNCTION("""COMPUTED_VALUE"""),5.0)</f>
        <v>5</v>
      </c>
      <c r="BL390" s="16">
        <f>IFERROR(__xludf.DUMMYFUNCTION("""COMPUTED_VALUE"""),0.0)</f>
        <v>0</v>
      </c>
      <c r="BM390" s="16">
        <f>IFERROR(__xludf.DUMMYFUNCTION("""COMPUTED_VALUE"""),0.0)</f>
        <v>0</v>
      </c>
      <c r="BN390" s="16">
        <f>IFERROR(__xludf.DUMMYFUNCTION("""COMPUTED_VALUE"""),1.0)</f>
        <v>1</v>
      </c>
      <c r="BO390" s="16">
        <f>IFERROR(__xludf.DUMMYFUNCTION("""COMPUTED_VALUE"""),0.0)</f>
        <v>0</v>
      </c>
      <c r="BP390" s="16">
        <f>IFERROR(__xludf.DUMMYFUNCTION("""COMPUTED_VALUE"""),1.0)</f>
        <v>1</v>
      </c>
      <c r="BQ390" s="16">
        <f>IFERROR(__xludf.DUMMYFUNCTION("""COMPUTED_VALUE"""),0.0)</f>
        <v>0</v>
      </c>
      <c r="BR390" s="16">
        <f>IFERROR(__xludf.DUMMYFUNCTION("""COMPUTED_VALUE"""),0.0)</f>
        <v>0</v>
      </c>
      <c r="BS390" s="16">
        <f>IFERROR(__xludf.DUMMYFUNCTION("""COMPUTED_VALUE"""),-3.0)</f>
        <v>-3</v>
      </c>
      <c r="BT390" s="16">
        <f>IFERROR(__xludf.DUMMYFUNCTION("""COMPUTED_VALUE"""),-3.0)</f>
        <v>-3</v>
      </c>
      <c r="BU390" s="16">
        <f>IFERROR(__xludf.DUMMYFUNCTION("""COMPUTED_VALUE"""),-6.0)</f>
        <v>-6</v>
      </c>
      <c r="BV390" s="16">
        <f>IFERROR(__xludf.DUMMYFUNCTION("""COMPUTED_VALUE"""),-6.0)</f>
        <v>-6</v>
      </c>
      <c r="BW390" s="16">
        <f>IFERROR(__xludf.DUMMYFUNCTION("""COMPUTED_VALUE"""),-4.0)</f>
        <v>-4</v>
      </c>
      <c r="BX390" s="16">
        <f>IFERROR(__xludf.DUMMYFUNCTION("""COMPUTED_VALUE"""),-4.0)</f>
        <v>-4</v>
      </c>
      <c r="BY390" s="16" t="str">
        <f>IFERROR(__xludf.DUMMYFUNCTION("""COMPUTED_VALUE"""),"S(5)")</f>
        <v>S(5)</v>
      </c>
      <c r="BZ390" s="16" t="str">
        <f>IFERROR(__xludf.DUMMYFUNCTION("""COMPUTED_VALUE"""),"S(5)")</f>
        <v>S(5)</v>
      </c>
      <c r="CA390" s="16" t="str">
        <f>IFERROR(__xludf.DUMMYFUNCTION("""COMPUTED_VALUE"""),"S(5)")</f>
        <v>S(5)</v>
      </c>
      <c r="CB390" s="16"/>
      <c r="CC390" s="16"/>
      <c r="CD390" s="16">
        <f>IFERROR(__xludf.DUMMYFUNCTION("""COMPUTED_VALUE"""),5.0)</f>
        <v>5</v>
      </c>
      <c r="CE390" s="16"/>
      <c r="CF390" s="16"/>
      <c r="CG390" s="16" t="str">
        <f>IFERROR(__xludf.DUMMYFUNCTION("""COMPUTED_VALUE"""),"2-0")</f>
        <v>2-0</v>
      </c>
      <c r="CH390" s="16">
        <f>IFERROR(__xludf.DUMMYFUNCTION("""COMPUTED_VALUE"""),2.0)</f>
        <v>2</v>
      </c>
      <c r="CI390" s="16">
        <f>IFERROR(__xludf.DUMMYFUNCTION("""COMPUTED_VALUE"""),0.0)</f>
        <v>0</v>
      </c>
      <c r="CJ390" s="16">
        <f>IFERROR(__xludf.DUMMYFUNCTION("""COMPUTED_VALUE"""),0.0)</f>
        <v>0</v>
      </c>
      <c r="CK390" s="16">
        <f>IFERROR(__xludf.DUMMYFUNCTION("""COMPUTED_VALUE"""),0.0)</f>
        <v>0</v>
      </c>
      <c r="CL390" s="16" t="str">
        <f>IFERROR(__xludf.DUMMYFUNCTION("""COMPUTED_VALUE"""),"1WR-C")</f>
        <v>1WR-C</v>
      </c>
      <c r="CM390" s="16" t="str">
        <f>IFERROR(__xludf.DUMMYFUNCTION("""COMPUTED_VALUE"""),"E")</f>
        <v>E</v>
      </c>
      <c r="CN390" s="16">
        <f>IFERROR(__xludf.DUMMYFUNCTION("""COMPUTED_VALUE"""),10.0)</f>
        <v>10</v>
      </c>
      <c r="CO390" s="16" t="str">
        <f>IFERROR(__xludf.DUMMYFUNCTION("""COMPUTED_VALUE"""),"C")</f>
        <v>C</v>
      </c>
      <c r="CP390" s="16" t="str">
        <f>IFERROR(__xludf.DUMMYFUNCTION("""COMPUTED_VALUE"""),"1p40")</f>
        <v>1p40</v>
      </c>
      <c r="CQ390" s="16">
        <f>IFERROR(__xludf.DUMMYFUNCTION("""COMPUTED_VALUE"""),6.0)</f>
        <v>6</v>
      </c>
      <c r="CR390" s="16">
        <f>IFERROR(__xludf.DUMMYFUNCTION("""COMPUTED_VALUE"""),-30.0)</f>
        <v>-30</v>
      </c>
      <c r="CS390" s="16">
        <f>IFERROR(__xludf.DUMMYFUNCTION("""COMPUTED_VALUE"""),-24.0)</f>
        <v>-24</v>
      </c>
      <c r="CT390" s="16">
        <f>IFERROR(__xludf.DUMMYFUNCTION("""COMPUTED_VALUE"""),6.0)</f>
        <v>6</v>
      </c>
      <c r="CU390" s="16">
        <f>IFERROR(__xludf.DUMMYFUNCTION("""COMPUTED_VALUE"""),-30.0)</f>
        <v>-30</v>
      </c>
      <c r="CV390" s="179">
        <f>IFERROR(__xludf.DUMMYFUNCTION("""COMPUTED_VALUE"""),-13.0)</f>
        <v>-13</v>
      </c>
      <c r="CW390" s="179">
        <f>IFERROR(__xludf.DUMMYFUNCTION("""COMPUTED_VALUE"""),4.0)</f>
        <v>4</v>
      </c>
      <c r="CX390" s="179">
        <f>IFERROR(__xludf.DUMMYFUNCTION("""COMPUTED_VALUE"""),1.0)</f>
        <v>1</v>
      </c>
      <c r="CY390" s="16" t="str">
        <f>IFERROR(__xludf.DUMMYFUNCTION("""COMPUTED_VALUE"""),"SP")</f>
        <v>SP</v>
      </c>
      <c r="CZ390" s="16"/>
      <c r="DA390" s="16"/>
      <c r="DB390" s="16"/>
      <c r="DC390" s="16"/>
      <c r="DD390" s="16"/>
      <c r="DE390" s="16"/>
      <c r="DF390" s="16"/>
      <c r="DG390" s="16"/>
      <c r="DH390" s="16"/>
      <c r="DI390" s="16"/>
      <c r="DJ390" s="16"/>
      <c r="DK390" s="16"/>
    </row>
    <row r="391">
      <c r="A391" s="16">
        <f>IFERROR(__xludf.DUMMYFUNCTION("""COMPUTED_VALUE"""),13070.0)</f>
        <v>13070</v>
      </c>
      <c r="B391" s="16" t="str">
        <f>IFERROR(__xludf.DUMMYFUNCTION("""COMPUTED_VALUE"""),"Keider Montero")</f>
        <v>Keider Montero</v>
      </c>
      <c r="C391" s="153">
        <f>IFERROR(__xludf.DUMMYFUNCTION("""COMPUTED_VALUE"""),0.05)</f>
        <v>0.05</v>
      </c>
      <c r="D391" s="16"/>
      <c r="E391" s="16" t="str">
        <f>IFERROR(__xludf.DUMMYFUNCTION("""COMPUTED_VALUE"""),"R")</f>
        <v>R</v>
      </c>
      <c r="F391" s="16">
        <f>IFERROR(__xludf.DUMMYFUNCTION("""COMPUTED_VALUE"""),98.0)</f>
        <v>98</v>
      </c>
      <c r="G391" s="16">
        <f>IFERROR(__xludf.DUMMYFUNCTION("""COMPUTED_VALUE"""),19.0)</f>
        <v>19</v>
      </c>
      <c r="H391" s="16">
        <f>IFERROR(__xludf.DUMMYFUNCTION("""COMPUTED_VALUE"""),11.0)</f>
        <v>11</v>
      </c>
      <c r="I391" s="16">
        <f>IFERROR(__xludf.DUMMYFUNCTION("""COMPUTED_VALUE"""),-1.0)</f>
        <v>-1</v>
      </c>
      <c r="J391" s="16">
        <f>IFERROR(__xludf.DUMMYFUNCTION("""COMPUTED_VALUE"""),-2.0)</f>
        <v>-2</v>
      </c>
      <c r="K391" s="16">
        <f>IFERROR(__xludf.DUMMYFUNCTION("""COMPUTED_VALUE"""),-3.0)</f>
        <v>-3</v>
      </c>
      <c r="L391" s="16">
        <f>IFERROR(__xludf.DUMMYFUNCTION("""COMPUTED_VALUE"""),-6.0)</f>
        <v>-6</v>
      </c>
      <c r="M391" s="16">
        <f>IFERROR(__xludf.DUMMYFUNCTION("""COMPUTED_VALUE"""),7.0)</f>
        <v>7</v>
      </c>
      <c r="N391" s="16">
        <f>IFERROR(__xludf.DUMMYFUNCTION("""COMPUTED_VALUE"""),9.0)</f>
        <v>9</v>
      </c>
      <c r="O391" s="16">
        <f>IFERROR(__xludf.DUMMYFUNCTION("""COMPUTED_VALUE"""),1.0)</f>
        <v>1</v>
      </c>
      <c r="P391" s="16">
        <f>IFERROR(__xludf.DUMMYFUNCTION("""COMPUTED_VALUE"""),0.0)</f>
        <v>0</v>
      </c>
      <c r="Q391" s="16">
        <f>IFERROR(__xludf.DUMMYFUNCTION("""COMPUTED_VALUE"""),1.0)</f>
        <v>1</v>
      </c>
      <c r="R391" s="16">
        <f>IFERROR(__xludf.DUMMYFUNCTION("""COMPUTED_VALUE"""),0.0)</f>
        <v>0</v>
      </c>
      <c r="S391" s="16">
        <f>IFERROR(__xludf.DUMMYFUNCTION("""COMPUTED_VALUE"""),15.1)</f>
        <v>15.1</v>
      </c>
      <c r="T391" s="16">
        <f>IFERROR(__xludf.DUMMYFUNCTION("""COMPUTED_VALUE"""),20.6)</f>
        <v>20.6</v>
      </c>
      <c r="U391" s="16">
        <f>IFERROR(__xludf.DUMMYFUNCTION("""COMPUTED_VALUE"""),0.0)</f>
        <v>0</v>
      </c>
      <c r="V391" s="16">
        <f>IFERROR(__xludf.DUMMYFUNCTION("""COMPUTED_VALUE"""),-1.0)</f>
        <v>-1</v>
      </c>
      <c r="W391" s="16">
        <f>IFERROR(__xludf.DUMMYFUNCTION("""COMPUTED_VALUE"""),0.0)</f>
        <v>0</v>
      </c>
      <c r="X391" s="16">
        <f>IFERROR(__xludf.DUMMYFUNCTION("""COMPUTED_VALUE"""),-2.0)</f>
        <v>-2</v>
      </c>
      <c r="Y391" s="16">
        <f>IFERROR(__xludf.DUMMYFUNCTION("""COMPUTED_VALUE"""),22.1)</f>
        <v>22.1</v>
      </c>
      <c r="Z391" s="16">
        <f>IFERROR(__xludf.DUMMYFUNCTION("""COMPUTED_VALUE"""),29.6)</f>
        <v>29.6</v>
      </c>
      <c r="AA391" s="16">
        <f>IFERROR(__xludf.DUMMYFUNCTION("""COMPUTED_VALUE"""),1.0)</f>
        <v>1</v>
      </c>
      <c r="AB391" s="16">
        <f>IFERROR(__xludf.DUMMYFUNCTION("""COMPUTED_VALUE"""),-1.0)</f>
        <v>-1</v>
      </c>
      <c r="AC391" s="16">
        <f>IFERROR(__xludf.DUMMYFUNCTION("""COMPUTED_VALUE"""),5.0)</f>
        <v>5</v>
      </c>
      <c r="AD391" s="16">
        <f>IFERROR(__xludf.DUMMYFUNCTION("""COMPUTED_VALUE"""),-5.0)</f>
        <v>-5</v>
      </c>
      <c r="AE391" s="16">
        <f>IFERROR(__xludf.DUMMYFUNCTION("""COMPUTED_VALUE"""),28.4)</f>
        <v>28.4</v>
      </c>
      <c r="AF391" s="16">
        <f>IFERROR(__xludf.DUMMYFUNCTION("""COMPUTED_VALUE"""),39.2)</f>
        <v>39.2</v>
      </c>
      <c r="AG391" s="16">
        <f>IFERROR(__xludf.DUMMYFUNCTION("""COMPUTED_VALUE"""),0.0)</f>
        <v>0</v>
      </c>
      <c r="AH391" s="16">
        <f>IFERROR(__xludf.DUMMYFUNCTION("""COMPUTED_VALUE"""),-1.0)</f>
        <v>-1</v>
      </c>
      <c r="AI391" s="16">
        <f>IFERROR(__xludf.DUMMYFUNCTION("""COMPUTED_VALUE"""),0.0)</f>
        <v>0</v>
      </c>
      <c r="AJ391" s="16">
        <f>IFERROR(__xludf.DUMMYFUNCTION("""COMPUTED_VALUE"""),-2.0)</f>
        <v>-2</v>
      </c>
      <c r="AK391" s="16">
        <f>IFERROR(__xludf.DUMMYFUNCTION("""COMPUTED_VALUE"""),11.899999999999999)</f>
        <v>11.9</v>
      </c>
      <c r="AL391" s="16">
        <f>IFERROR(__xludf.DUMMYFUNCTION("""COMPUTED_VALUE"""),16.1)</f>
        <v>16.1</v>
      </c>
      <c r="AM391" s="16">
        <f>IFERROR(__xludf.DUMMYFUNCTION("""COMPUTED_VALUE"""),0.0)</f>
        <v>0</v>
      </c>
      <c r="AN391" s="16">
        <f>IFERROR(__xludf.DUMMYFUNCTION("""COMPUTED_VALUE"""),0.0)</f>
        <v>0</v>
      </c>
      <c r="AO391" s="16">
        <f>IFERROR(__xludf.DUMMYFUNCTION("""COMPUTED_VALUE"""),0.0)</f>
        <v>0</v>
      </c>
      <c r="AP391" s="16">
        <f>IFERROR(__xludf.DUMMYFUNCTION("""COMPUTED_VALUE"""),0.0)</f>
        <v>0</v>
      </c>
      <c r="AQ391" s="16">
        <f>IFERROR(__xludf.DUMMYFUNCTION("""COMPUTED_VALUE"""),15.599999999999998)</f>
        <v>15.6</v>
      </c>
      <c r="AR391" s="16">
        <f>IFERROR(__xludf.DUMMYFUNCTION("""COMPUTED_VALUE"""),21.200000000000003)</f>
        <v>21.2</v>
      </c>
      <c r="AS391" s="16">
        <f>IFERROR(__xludf.DUMMYFUNCTION("""COMPUTED_VALUE"""),0.0)</f>
        <v>0</v>
      </c>
      <c r="AT391" s="16">
        <f>IFERROR(__xludf.DUMMYFUNCTION("""COMPUTED_VALUE"""),0.0)</f>
        <v>0</v>
      </c>
      <c r="AU391" s="16">
        <f>IFERROR(__xludf.DUMMYFUNCTION("""COMPUTED_VALUE"""),0.0)</f>
        <v>0</v>
      </c>
      <c r="AV391" s="16">
        <f>IFERROR(__xludf.DUMMYFUNCTION("""COMPUTED_VALUE"""),0.0)</f>
        <v>0</v>
      </c>
      <c r="AW391" s="16">
        <f>IFERROR(__xludf.DUMMYFUNCTION("""COMPUTED_VALUE"""),3.2)</f>
        <v>3.2</v>
      </c>
      <c r="AX391" s="16">
        <f>IFERROR(__xludf.DUMMYFUNCTION("""COMPUTED_VALUE"""),4.5)</f>
        <v>4.5</v>
      </c>
      <c r="AY391" s="16">
        <f>IFERROR(__xludf.DUMMYFUNCTION("""COMPUTED_VALUE"""),-1.0)</f>
        <v>-1</v>
      </c>
      <c r="AZ391" s="16">
        <f>IFERROR(__xludf.DUMMYFUNCTION("""COMPUTED_VALUE"""),-2.0)</f>
        <v>-2</v>
      </c>
      <c r="BA391" s="16">
        <f>IFERROR(__xludf.DUMMYFUNCTION("""COMPUTED_VALUE"""),-5.0)</f>
        <v>-5</v>
      </c>
      <c r="BB391" s="16">
        <f>IFERROR(__xludf.DUMMYFUNCTION("""COMPUTED_VALUE"""),-10.0)</f>
        <v>-10</v>
      </c>
      <c r="BC391" s="16">
        <f>IFERROR(__xludf.DUMMYFUNCTION("""COMPUTED_VALUE"""),6.0)</f>
        <v>6</v>
      </c>
      <c r="BD391" s="16">
        <f>IFERROR(__xludf.DUMMYFUNCTION("""COMPUTED_VALUE"""),7.0)</f>
        <v>7</v>
      </c>
      <c r="BE391" s="16">
        <f>IFERROR(__xludf.DUMMYFUNCTION("""COMPUTED_VALUE"""),6.0)</f>
        <v>6</v>
      </c>
      <c r="BF391" s="16">
        <f>IFERROR(__xludf.DUMMYFUNCTION("""COMPUTED_VALUE"""),7.0)</f>
        <v>7</v>
      </c>
      <c r="BG391" s="16">
        <f>IFERROR(__xludf.DUMMYFUNCTION("""COMPUTED_VALUE"""),-3.0)</f>
        <v>-3</v>
      </c>
      <c r="BH391" s="16">
        <f>IFERROR(__xludf.DUMMYFUNCTION("""COMPUTED_VALUE"""),-3.0)</f>
        <v>-3</v>
      </c>
      <c r="BI391" s="16">
        <f>IFERROR(__xludf.DUMMYFUNCTION("""COMPUTED_VALUE"""),-6.0)</f>
        <v>-6</v>
      </c>
      <c r="BJ391" s="16">
        <f>IFERROR(__xludf.DUMMYFUNCTION("""COMPUTED_VALUE"""),-6.0)</f>
        <v>-6</v>
      </c>
      <c r="BK391" s="16">
        <f>IFERROR(__xludf.DUMMYFUNCTION("""COMPUTED_VALUE"""),5.0)</f>
        <v>5</v>
      </c>
      <c r="BL391" s="16">
        <f>IFERROR(__xludf.DUMMYFUNCTION("""COMPUTED_VALUE"""),5.0)</f>
        <v>5</v>
      </c>
      <c r="BM391" s="16">
        <f>IFERROR(__xludf.DUMMYFUNCTION("""COMPUTED_VALUE"""),0.0)</f>
        <v>0</v>
      </c>
      <c r="BN391" s="16">
        <f>IFERROR(__xludf.DUMMYFUNCTION("""COMPUTED_VALUE"""),0.0)</f>
        <v>0</v>
      </c>
      <c r="BO391" s="16">
        <f>IFERROR(__xludf.DUMMYFUNCTION("""COMPUTED_VALUE"""),0.0)</f>
        <v>0</v>
      </c>
      <c r="BP391" s="16">
        <f>IFERROR(__xludf.DUMMYFUNCTION("""COMPUTED_VALUE"""),0.0)</f>
        <v>0</v>
      </c>
      <c r="BQ391" s="16">
        <f>IFERROR(__xludf.DUMMYFUNCTION("""COMPUTED_VALUE"""),9.0)</f>
        <v>9</v>
      </c>
      <c r="BR391" s="16">
        <f>IFERROR(__xludf.DUMMYFUNCTION("""COMPUTED_VALUE"""),10.0)</f>
        <v>10</v>
      </c>
      <c r="BS391" s="16">
        <f>IFERROR(__xludf.DUMMYFUNCTION("""COMPUTED_VALUE"""),3.0)</f>
        <v>3</v>
      </c>
      <c r="BT391" s="16">
        <f>IFERROR(__xludf.DUMMYFUNCTION("""COMPUTED_VALUE"""),3.0)</f>
        <v>3</v>
      </c>
      <c r="BU391" s="16">
        <f>IFERROR(__xludf.DUMMYFUNCTION("""COMPUTED_VALUE"""),6.0)</f>
        <v>6</v>
      </c>
      <c r="BV391" s="16">
        <f>IFERROR(__xludf.DUMMYFUNCTION("""COMPUTED_VALUE"""),6.0)</f>
        <v>6</v>
      </c>
      <c r="BW391" s="16">
        <f>IFERROR(__xludf.DUMMYFUNCTION("""COMPUTED_VALUE"""),0.0)</f>
        <v>0</v>
      </c>
      <c r="BX391" s="16">
        <f>IFERROR(__xludf.DUMMYFUNCTION("""COMPUTED_VALUE"""),0.0)</f>
        <v>0</v>
      </c>
      <c r="BY391" s="16" t="str">
        <f>IFERROR(__xludf.DUMMYFUNCTION("""COMPUTED_VALUE"""),"S(5) R(4)")</f>
        <v>S(5) R(4)</v>
      </c>
      <c r="BZ391" s="16" t="str">
        <f>IFERROR(__xludf.DUMMYFUNCTION("""COMPUTED_VALUE"""),"S(5) R(4)")</f>
        <v>S(5) R(4)</v>
      </c>
      <c r="CA391" s="16" t="str">
        <f>IFERROR(__xludf.DUMMYFUNCTION("""COMPUTED_VALUE"""),"S(5)")</f>
        <v>S(5)</v>
      </c>
      <c r="CB391" s="16" t="str">
        <f>IFERROR(__xludf.DUMMYFUNCTION("""COMPUTED_VALUE"""),"R(4)")</f>
        <v>R(4)</v>
      </c>
      <c r="CC391" s="16"/>
      <c r="CD391" s="16">
        <f>IFERROR(__xludf.DUMMYFUNCTION("""COMPUTED_VALUE"""),5.0)</f>
        <v>5</v>
      </c>
      <c r="CE391" s="16">
        <f>IFERROR(__xludf.DUMMYFUNCTION("""COMPUTED_VALUE"""),4.0)</f>
        <v>4</v>
      </c>
      <c r="CF391" s="16"/>
      <c r="CG391" s="16" t="str">
        <f>IFERROR(__xludf.DUMMYFUNCTION("""COMPUTED_VALUE"""),"2-0")</f>
        <v>2-0</v>
      </c>
      <c r="CH391" s="16">
        <f>IFERROR(__xludf.DUMMYFUNCTION("""COMPUTED_VALUE"""),2.0)</f>
        <v>2</v>
      </c>
      <c r="CI391" s="16">
        <f>IFERROR(__xludf.DUMMYFUNCTION("""COMPUTED_VALUE"""),0.0)</f>
        <v>0</v>
      </c>
      <c r="CJ391" s="16">
        <f>IFERROR(__xludf.DUMMYFUNCTION("""COMPUTED_VALUE"""),0.0)</f>
        <v>0</v>
      </c>
      <c r="CK391" s="16">
        <f>IFERROR(__xludf.DUMMYFUNCTION("""COMPUTED_VALUE"""),4.0)</f>
        <v>4</v>
      </c>
      <c r="CL391" s="16" t="str">
        <f>IFERROR(__xludf.DUMMYFUNCTION("""COMPUTED_VALUE"""),"1WR-C")</f>
        <v>1WR-C</v>
      </c>
      <c r="CM391" s="16" t="str">
        <f>IFERROR(__xludf.DUMMYFUNCTION("""COMPUTED_VALUE"""),"E")</f>
        <v>E</v>
      </c>
      <c r="CN391" s="16">
        <f>IFERROR(__xludf.DUMMYFUNCTION("""COMPUTED_VALUE"""),10.0)</f>
        <v>10</v>
      </c>
      <c r="CO391" s="16" t="str">
        <f>IFERROR(__xludf.DUMMYFUNCTION("""COMPUTED_VALUE"""),"C")</f>
        <v>C</v>
      </c>
      <c r="CP391" s="16" t="str">
        <f>IFERROR(__xludf.DUMMYFUNCTION("""COMPUTED_VALUE"""),"1p50")</f>
        <v>1p50</v>
      </c>
      <c r="CQ391" s="16">
        <f>IFERROR(__xludf.DUMMYFUNCTION("""COMPUTED_VALUE"""),-2.0)</f>
        <v>-2</v>
      </c>
      <c r="CR391" s="16">
        <f>IFERROR(__xludf.DUMMYFUNCTION("""COMPUTED_VALUE"""),-25.0)</f>
        <v>-25</v>
      </c>
      <c r="CS391" s="16">
        <f>IFERROR(__xludf.DUMMYFUNCTION("""COMPUTED_VALUE"""),-27.0)</f>
        <v>-27</v>
      </c>
      <c r="CT391" s="16">
        <f>IFERROR(__xludf.DUMMYFUNCTION("""COMPUTED_VALUE"""),-2.0)</f>
        <v>-2</v>
      </c>
      <c r="CU391" s="16">
        <f>IFERROR(__xludf.DUMMYFUNCTION("""COMPUTED_VALUE"""),-25.0)</f>
        <v>-25</v>
      </c>
      <c r="CV391" s="179">
        <f>IFERROR(__xludf.DUMMYFUNCTION("""COMPUTED_VALUE"""),-13.333333333333332)</f>
        <v>-13.33333333</v>
      </c>
      <c r="CW391" s="179">
        <f>IFERROR(__xludf.DUMMYFUNCTION("""COMPUTED_VALUE"""),4.0)</f>
        <v>4</v>
      </c>
      <c r="CX391" s="179">
        <f>IFERROR(__xludf.DUMMYFUNCTION("""COMPUTED_VALUE"""),0.0)</f>
        <v>0</v>
      </c>
      <c r="CY391" s="16" t="str">
        <f>IFERROR(__xludf.DUMMYFUNCTION("""COMPUTED_VALUE"""),"SP")</f>
        <v>SP</v>
      </c>
      <c r="CZ391" s="16" t="str">
        <f>IFERROR(__xludf.DUMMYFUNCTION("""COMPUTED_VALUE"""),"RP")</f>
        <v>RP</v>
      </c>
      <c r="DA391" s="16"/>
      <c r="DB391" s="16"/>
      <c r="DC391" s="16"/>
      <c r="DD391" s="16"/>
      <c r="DE391" s="16"/>
      <c r="DF391" s="16"/>
      <c r="DG391" s="16"/>
      <c r="DH391" s="16"/>
      <c r="DI391" s="16"/>
      <c r="DJ391" s="16"/>
      <c r="DK391" s="16"/>
    </row>
    <row r="392">
      <c r="A392" s="16">
        <f>IFERROR(__xludf.DUMMYFUNCTION("""COMPUTED_VALUE"""),13182.0)</f>
        <v>13182</v>
      </c>
      <c r="B392" s="16" t="str">
        <f>IFERROR(__xludf.DUMMYFUNCTION("""COMPUTED_VALUE"""),"Max Meyer")</f>
        <v>Max Meyer</v>
      </c>
      <c r="C392" s="153">
        <f>IFERROR(__xludf.DUMMYFUNCTION("""COMPUTED_VALUE"""),0.0)</f>
        <v>0</v>
      </c>
      <c r="D392" s="16"/>
      <c r="E392" s="16" t="str">
        <f>IFERROR(__xludf.DUMMYFUNCTION("""COMPUTED_VALUE"""),"R")</f>
        <v>R</v>
      </c>
      <c r="F392" s="16">
        <f>IFERROR(__xludf.DUMMYFUNCTION("""COMPUTED_VALUE"""),57.0)</f>
        <v>57</v>
      </c>
      <c r="G392" s="16">
        <f>IFERROR(__xludf.DUMMYFUNCTION("""COMPUTED_VALUE"""),17.0)</f>
        <v>17</v>
      </c>
      <c r="H392" s="16">
        <f>IFERROR(__xludf.DUMMYFUNCTION("""COMPUTED_VALUE"""),14.0)</f>
        <v>14</v>
      </c>
      <c r="I392" s="16">
        <f>IFERROR(__xludf.DUMMYFUNCTION("""COMPUTED_VALUE"""),-1.0)</f>
        <v>-1</v>
      </c>
      <c r="J392" s="16">
        <f>IFERROR(__xludf.DUMMYFUNCTION("""COMPUTED_VALUE"""),-2.0)</f>
        <v>-2</v>
      </c>
      <c r="K392" s="16">
        <f>IFERROR(__xludf.DUMMYFUNCTION("""COMPUTED_VALUE"""),-3.0)</f>
        <v>-3</v>
      </c>
      <c r="L392" s="16">
        <f>IFERROR(__xludf.DUMMYFUNCTION("""COMPUTED_VALUE"""),-6.0)</f>
        <v>-6</v>
      </c>
      <c r="M392" s="16">
        <f>IFERROR(__xludf.DUMMYFUNCTION("""COMPUTED_VALUE"""),11.0)</f>
        <v>11</v>
      </c>
      <c r="N392" s="16">
        <f>IFERROR(__xludf.DUMMYFUNCTION("""COMPUTED_VALUE"""),5.0)</f>
        <v>5</v>
      </c>
      <c r="O392" s="16">
        <f>IFERROR(__xludf.DUMMYFUNCTION("""COMPUTED_VALUE"""),-1.0)</f>
        <v>-1</v>
      </c>
      <c r="P392" s="16">
        <f>IFERROR(__xludf.DUMMYFUNCTION("""COMPUTED_VALUE"""),2.0)</f>
        <v>2</v>
      </c>
      <c r="Q392" s="16">
        <f>IFERROR(__xludf.DUMMYFUNCTION("""COMPUTED_VALUE"""),-1.0)</f>
        <v>-1</v>
      </c>
      <c r="R392" s="16">
        <f>IFERROR(__xludf.DUMMYFUNCTION("""COMPUTED_VALUE"""),2.0)</f>
        <v>2</v>
      </c>
      <c r="S392" s="16">
        <f>IFERROR(__xludf.DUMMYFUNCTION("""COMPUTED_VALUE"""),17.4)</f>
        <v>17.4</v>
      </c>
      <c r="T392" s="16">
        <f>IFERROR(__xludf.DUMMYFUNCTION("""COMPUTED_VALUE"""),20.0)</f>
        <v>20</v>
      </c>
      <c r="U392" s="16">
        <f>IFERROR(__xludf.DUMMYFUNCTION("""COMPUTED_VALUE"""),0.0)</f>
        <v>0</v>
      </c>
      <c r="V392" s="16">
        <f>IFERROR(__xludf.DUMMYFUNCTION("""COMPUTED_VALUE"""),-1.0)</f>
        <v>-1</v>
      </c>
      <c r="W392" s="16">
        <f>IFERROR(__xludf.DUMMYFUNCTION("""COMPUTED_VALUE"""),0.0)</f>
        <v>0</v>
      </c>
      <c r="X392" s="16">
        <f>IFERROR(__xludf.DUMMYFUNCTION("""COMPUTED_VALUE"""),-2.0)</f>
        <v>-2</v>
      </c>
      <c r="Y392" s="16">
        <f>IFERROR(__xludf.DUMMYFUNCTION("""COMPUTED_VALUE"""),28.4)</f>
        <v>28.4</v>
      </c>
      <c r="Z392" s="16">
        <f>IFERROR(__xludf.DUMMYFUNCTION("""COMPUTED_VALUE"""),25.0)</f>
        <v>25</v>
      </c>
      <c r="AA392" s="16">
        <f>IFERROR(__xludf.DUMMYFUNCTION("""COMPUTED_VALUE"""),0.0)</f>
        <v>0</v>
      </c>
      <c r="AB392" s="16">
        <f>IFERROR(__xludf.DUMMYFUNCTION("""COMPUTED_VALUE"""),0.0)</f>
        <v>0</v>
      </c>
      <c r="AC392" s="16">
        <f>IFERROR(__xludf.DUMMYFUNCTION("""COMPUTED_VALUE"""),0.0)</f>
        <v>0</v>
      </c>
      <c r="AD392" s="16">
        <f>IFERROR(__xludf.DUMMYFUNCTION("""COMPUTED_VALUE"""),0.0)</f>
        <v>0</v>
      </c>
      <c r="AE392" s="16">
        <f>IFERROR(__xludf.DUMMYFUNCTION("""COMPUTED_VALUE"""),40.2)</f>
        <v>40.2</v>
      </c>
      <c r="AF392" s="16">
        <f>IFERROR(__xludf.DUMMYFUNCTION("""COMPUTED_VALUE"""),43.0)</f>
        <v>43</v>
      </c>
      <c r="AG392" s="16">
        <f>IFERROR(__xludf.DUMMYFUNCTION("""COMPUTED_VALUE"""),-1.0)</f>
        <v>-1</v>
      </c>
      <c r="AH392" s="16">
        <f>IFERROR(__xludf.DUMMYFUNCTION("""COMPUTED_VALUE"""),-2.0)</f>
        <v>-2</v>
      </c>
      <c r="AI392" s="16">
        <f>IFERROR(__xludf.DUMMYFUNCTION("""COMPUTED_VALUE"""),-2.0)</f>
        <v>-2</v>
      </c>
      <c r="AJ392" s="16">
        <f>IFERROR(__xludf.DUMMYFUNCTION("""COMPUTED_VALUE"""),-4.0)</f>
        <v>-4</v>
      </c>
      <c r="AK392" s="16">
        <f>IFERROR(__xludf.DUMMYFUNCTION("""COMPUTED_VALUE"""),14.2)</f>
        <v>14.2</v>
      </c>
      <c r="AL392" s="16">
        <f>IFERROR(__xludf.DUMMYFUNCTION("""COMPUTED_VALUE"""),16.0)</f>
        <v>16</v>
      </c>
      <c r="AM392" s="16">
        <f>IFERROR(__xludf.DUMMYFUNCTION("""COMPUTED_VALUE"""),0.0)</f>
        <v>0</v>
      </c>
      <c r="AN392" s="16">
        <f>IFERROR(__xludf.DUMMYFUNCTION("""COMPUTED_VALUE"""),0.0)</f>
        <v>0</v>
      </c>
      <c r="AO392" s="16">
        <f>IFERROR(__xludf.DUMMYFUNCTION("""COMPUTED_VALUE"""),0.0)</f>
        <v>0</v>
      </c>
      <c r="AP392" s="16">
        <f>IFERROR(__xludf.DUMMYFUNCTION("""COMPUTED_VALUE"""),0.0)</f>
        <v>0</v>
      </c>
      <c r="AQ392" s="16">
        <f>IFERROR(__xludf.DUMMYFUNCTION("""COMPUTED_VALUE"""),27.400000000000002)</f>
        <v>27.4</v>
      </c>
      <c r="AR392" s="16">
        <f>IFERROR(__xludf.DUMMYFUNCTION("""COMPUTED_VALUE"""),27.0)</f>
        <v>27</v>
      </c>
      <c r="AS392" s="16">
        <f>IFERROR(__xludf.DUMMYFUNCTION("""COMPUTED_VALUE"""),-1.0)</f>
        <v>-1</v>
      </c>
      <c r="AT392" s="16">
        <f>IFERROR(__xludf.DUMMYFUNCTION("""COMPUTED_VALUE"""),-1.0)</f>
        <v>-1</v>
      </c>
      <c r="AU392" s="16">
        <f>IFERROR(__xludf.DUMMYFUNCTION("""COMPUTED_VALUE"""),-2.0)</f>
        <v>-2</v>
      </c>
      <c r="AV392" s="16">
        <f>IFERROR(__xludf.DUMMYFUNCTION("""COMPUTED_VALUE"""),-2.0)</f>
        <v>-2</v>
      </c>
      <c r="AW392" s="16">
        <f>IFERROR(__xludf.DUMMYFUNCTION("""COMPUTED_VALUE"""),3.2)</f>
        <v>3.2</v>
      </c>
      <c r="AX392" s="16">
        <f>IFERROR(__xludf.DUMMYFUNCTION("""COMPUTED_VALUE"""),4.0)</f>
        <v>4</v>
      </c>
      <c r="AY392" s="16">
        <f>IFERROR(__xludf.DUMMYFUNCTION("""COMPUTED_VALUE"""),-1.0)</f>
        <v>-1</v>
      </c>
      <c r="AZ392" s="16">
        <f>IFERROR(__xludf.DUMMYFUNCTION("""COMPUTED_VALUE"""),-2.0)</f>
        <v>-2</v>
      </c>
      <c r="BA392" s="16">
        <f>IFERROR(__xludf.DUMMYFUNCTION("""COMPUTED_VALUE"""),-5.0)</f>
        <v>-5</v>
      </c>
      <c r="BB392" s="16">
        <f>IFERROR(__xludf.DUMMYFUNCTION("""COMPUTED_VALUE"""),-10.0)</f>
        <v>-10</v>
      </c>
      <c r="BC392" s="16">
        <f>IFERROR(__xludf.DUMMYFUNCTION("""COMPUTED_VALUE"""),5.0)</f>
        <v>5</v>
      </c>
      <c r="BD392" s="16">
        <f>IFERROR(__xludf.DUMMYFUNCTION("""COMPUTED_VALUE"""),7.0)</f>
        <v>7</v>
      </c>
      <c r="BE392" s="16">
        <f>IFERROR(__xludf.DUMMYFUNCTION("""COMPUTED_VALUE"""),5.0)</f>
        <v>5</v>
      </c>
      <c r="BF392" s="16">
        <f>IFERROR(__xludf.DUMMYFUNCTION("""COMPUTED_VALUE"""),7.0)</f>
        <v>7</v>
      </c>
      <c r="BG392" s="16">
        <f>IFERROR(__xludf.DUMMYFUNCTION("""COMPUTED_VALUE"""),-2.0)</f>
        <v>-2</v>
      </c>
      <c r="BH392" s="16">
        <f>IFERROR(__xludf.DUMMYFUNCTION("""COMPUTED_VALUE"""),-3.0)</f>
        <v>-3</v>
      </c>
      <c r="BI392" s="16">
        <f>IFERROR(__xludf.DUMMYFUNCTION("""COMPUTED_VALUE"""),-4.0)</f>
        <v>-4</v>
      </c>
      <c r="BJ392" s="16">
        <f>IFERROR(__xludf.DUMMYFUNCTION("""COMPUTED_VALUE"""),-6.0)</f>
        <v>-6</v>
      </c>
      <c r="BK392" s="16">
        <f>IFERROR(__xludf.DUMMYFUNCTION("""COMPUTED_VALUE"""),5.0)</f>
        <v>5</v>
      </c>
      <c r="BL392" s="16">
        <f>IFERROR(__xludf.DUMMYFUNCTION("""COMPUTED_VALUE"""),5.0)</f>
        <v>5</v>
      </c>
      <c r="BM392" s="16">
        <f>IFERROR(__xludf.DUMMYFUNCTION("""COMPUTED_VALUE"""),0.0)</f>
        <v>0</v>
      </c>
      <c r="BN392" s="16">
        <f>IFERROR(__xludf.DUMMYFUNCTION("""COMPUTED_VALUE"""),0.0)</f>
        <v>0</v>
      </c>
      <c r="BO392" s="16">
        <f>IFERROR(__xludf.DUMMYFUNCTION("""COMPUTED_VALUE"""),0.0)</f>
        <v>0</v>
      </c>
      <c r="BP392" s="16">
        <f>IFERROR(__xludf.DUMMYFUNCTION("""COMPUTED_VALUE"""),0.0)</f>
        <v>0</v>
      </c>
      <c r="BQ392" s="16">
        <f>IFERROR(__xludf.DUMMYFUNCTION("""COMPUTED_VALUE"""),12.0)</f>
        <v>12</v>
      </c>
      <c r="BR392" s="16">
        <f>IFERROR(__xludf.DUMMYFUNCTION("""COMPUTED_VALUE"""),11.0)</f>
        <v>11</v>
      </c>
      <c r="BS392" s="16">
        <f>IFERROR(__xludf.DUMMYFUNCTION("""COMPUTED_VALUE"""),3.0)</f>
        <v>3</v>
      </c>
      <c r="BT392" s="16">
        <f>IFERROR(__xludf.DUMMYFUNCTION("""COMPUTED_VALUE"""),3.0)</f>
        <v>3</v>
      </c>
      <c r="BU392" s="16">
        <f>IFERROR(__xludf.DUMMYFUNCTION("""COMPUTED_VALUE"""),6.0)</f>
        <v>6</v>
      </c>
      <c r="BV392" s="16">
        <f>IFERROR(__xludf.DUMMYFUNCTION("""COMPUTED_VALUE"""),6.0)</f>
        <v>6</v>
      </c>
      <c r="BW392" s="16">
        <f>IFERROR(__xludf.DUMMYFUNCTION("""COMPUTED_VALUE"""),-1.0)</f>
        <v>-1</v>
      </c>
      <c r="BX392" s="16">
        <f>IFERROR(__xludf.DUMMYFUNCTION("""COMPUTED_VALUE"""),-1.0)</f>
        <v>-1</v>
      </c>
      <c r="BY392" s="16" t="str">
        <f>IFERROR(__xludf.DUMMYFUNCTION("""COMPUTED_VALUE"""),"S(5)")</f>
        <v>S(5)</v>
      </c>
      <c r="BZ392" s="16" t="str">
        <f>IFERROR(__xludf.DUMMYFUNCTION("""COMPUTED_VALUE"""),"S(5)")</f>
        <v>S(5)</v>
      </c>
      <c r="CA392" s="16" t="str">
        <f>IFERROR(__xludf.DUMMYFUNCTION("""COMPUTED_VALUE"""),"S(5)")</f>
        <v>S(5)</v>
      </c>
      <c r="CB392" s="16"/>
      <c r="CC392" s="16"/>
      <c r="CD392" s="16">
        <f>IFERROR(__xludf.DUMMYFUNCTION("""COMPUTED_VALUE"""),5.0)</f>
        <v>5</v>
      </c>
      <c r="CE392" s="16"/>
      <c r="CF392" s="16"/>
      <c r="CG392" s="16" t="str">
        <f>IFERROR(__xludf.DUMMYFUNCTION("""COMPUTED_VALUE"""),"3-26")</f>
        <v>3-26</v>
      </c>
      <c r="CH392" s="16">
        <f>IFERROR(__xludf.DUMMYFUNCTION("""COMPUTED_VALUE"""),3.0)</f>
        <v>3</v>
      </c>
      <c r="CI392" s="16">
        <f>IFERROR(__xludf.DUMMYFUNCTION("""COMPUTED_VALUE"""),26.0)</f>
        <v>26</v>
      </c>
      <c r="CJ392" s="16">
        <f>IFERROR(__xludf.DUMMYFUNCTION("""COMPUTED_VALUE"""),0.0)</f>
        <v>0</v>
      </c>
      <c r="CK392" s="16">
        <f>IFERROR(__xludf.DUMMYFUNCTION("""COMPUTED_VALUE"""),0.0)</f>
        <v>0</v>
      </c>
      <c r="CL392" s="16" t="str">
        <f>IFERROR(__xludf.DUMMYFUNCTION("""COMPUTED_VALUE"""),"1WL-C")</f>
        <v>1WL-C</v>
      </c>
      <c r="CM392" s="16" t="str">
        <f>IFERROR(__xludf.DUMMYFUNCTION("""COMPUTED_VALUE"""),"E")</f>
        <v>E</v>
      </c>
      <c r="CN392" s="16">
        <f>IFERROR(__xludf.DUMMYFUNCTION("""COMPUTED_VALUE"""),10.0)</f>
        <v>10</v>
      </c>
      <c r="CO392" s="16" t="str">
        <f>IFERROR(__xludf.DUMMYFUNCTION("""COMPUTED_VALUE"""),"C")</f>
        <v>C</v>
      </c>
      <c r="CP392" s="16" t="str">
        <f>IFERROR(__xludf.DUMMYFUNCTION("""COMPUTED_VALUE"""),"2p30")</f>
        <v>2p30</v>
      </c>
      <c r="CQ392" s="16">
        <f>IFERROR(__xludf.DUMMYFUNCTION("""COMPUTED_VALUE"""),-11.0)</f>
        <v>-11</v>
      </c>
      <c r="CR392" s="16">
        <f>IFERROR(__xludf.DUMMYFUNCTION("""COMPUTED_VALUE"""),-22.0)</f>
        <v>-22</v>
      </c>
      <c r="CS392" s="16">
        <f>IFERROR(__xludf.DUMMYFUNCTION("""COMPUTED_VALUE"""),-33.0)</f>
        <v>-33</v>
      </c>
      <c r="CT392" s="16">
        <f>IFERROR(__xludf.DUMMYFUNCTION("""COMPUTED_VALUE"""),-11.0)</f>
        <v>-11</v>
      </c>
      <c r="CU392" s="16">
        <f>IFERROR(__xludf.DUMMYFUNCTION("""COMPUTED_VALUE"""),-22.0)</f>
        <v>-22</v>
      </c>
      <c r="CV392" s="179">
        <f>IFERROR(__xludf.DUMMYFUNCTION("""COMPUTED_VALUE"""),-13.333333333333332)</f>
        <v>-13.33333333</v>
      </c>
      <c r="CW392" s="179">
        <f>IFERROR(__xludf.DUMMYFUNCTION("""COMPUTED_VALUE"""),3.0)</f>
        <v>3</v>
      </c>
      <c r="CX392" s="179">
        <f>IFERROR(__xludf.DUMMYFUNCTION("""COMPUTED_VALUE"""),2.0)</f>
        <v>2</v>
      </c>
      <c r="CY392" s="16" t="str">
        <f>IFERROR(__xludf.DUMMYFUNCTION("""COMPUTED_VALUE"""),"SP")</f>
        <v>SP</v>
      </c>
      <c r="CZ392" s="16"/>
      <c r="DA392" s="16"/>
      <c r="DB392" s="16"/>
      <c r="DC392" s="16"/>
      <c r="DD392" s="16"/>
      <c r="DE392" s="16"/>
      <c r="DF392" s="16"/>
      <c r="DG392" s="16"/>
      <c r="DH392" s="16"/>
      <c r="DI392" s="16"/>
      <c r="DJ392" s="16"/>
      <c r="DK392" s="16"/>
    </row>
    <row r="393">
      <c r="A393" s="16">
        <f>IFERROR(__xludf.DUMMYFUNCTION("""COMPUTED_VALUE"""),12733.0)</f>
        <v>12733</v>
      </c>
      <c r="B393" s="16" t="str">
        <f>IFERROR(__xludf.DUMMYFUNCTION("""COMPUTED_VALUE"""),"Dany Jimenez")</f>
        <v>Dany Jimenez</v>
      </c>
      <c r="C393" s="153">
        <f>IFERROR(__xludf.DUMMYFUNCTION("""COMPUTED_VALUE"""),0.0)</f>
        <v>0</v>
      </c>
      <c r="D393" s="16"/>
      <c r="E393" s="16" t="str">
        <f>IFERROR(__xludf.DUMMYFUNCTION("""COMPUTED_VALUE"""),"R")</f>
        <v>R</v>
      </c>
      <c r="F393" s="16">
        <f>IFERROR(__xludf.DUMMYFUNCTION("""COMPUTED_VALUE"""),26.0)</f>
        <v>26</v>
      </c>
      <c r="G393" s="16">
        <f>IFERROR(__xludf.DUMMYFUNCTION("""COMPUTED_VALUE"""),24.0)</f>
        <v>24</v>
      </c>
      <c r="H393" s="16">
        <f>IFERROR(__xludf.DUMMYFUNCTION("""COMPUTED_VALUE"""),22.0)</f>
        <v>22</v>
      </c>
      <c r="I393" s="16">
        <f>IFERROR(__xludf.DUMMYFUNCTION("""COMPUTED_VALUE"""),-1.0)</f>
        <v>-1</v>
      </c>
      <c r="J393" s="16">
        <f>IFERROR(__xludf.DUMMYFUNCTION("""COMPUTED_VALUE"""),-1.0)</f>
        <v>-1</v>
      </c>
      <c r="K393" s="16">
        <f>IFERROR(__xludf.DUMMYFUNCTION("""COMPUTED_VALUE"""),-3.0)</f>
        <v>-3</v>
      </c>
      <c r="L393" s="16">
        <f>IFERROR(__xludf.DUMMYFUNCTION("""COMPUTED_VALUE"""),-3.0)</f>
        <v>-3</v>
      </c>
      <c r="M393" s="16">
        <f>IFERROR(__xludf.DUMMYFUNCTION("""COMPUTED_VALUE"""),22.0)</f>
        <v>22</v>
      </c>
      <c r="N393" s="16">
        <f>IFERROR(__xludf.DUMMYFUNCTION("""COMPUTED_VALUE"""),33.0)</f>
        <v>33</v>
      </c>
      <c r="O393" s="16">
        <f>IFERROR(__xludf.DUMMYFUNCTION("""COMPUTED_VALUE"""),-3.0)</f>
        <v>-3</v>
      </c>
      <c r="P393" s="16">
        <f>IFERROR(__xludf.DUMMYFUNCTION("""COMPUTED_VALUE"""),-3.0)</f>
        <v>-3</v>
      </c>
      <c r="Q393" s="16">
        <f>IFERROR(__xludf.DUMMYFUNCTION("""COMPUTED_VALUE"""),-3.0)</f>
        <v>-3</v>
      </c>
      <c r="R393" s="16">
        <f>IFERROR(__xludf.DUMMYFUNCTION("""COMPUTED_VALUE"""),-3.0)</f>
        <v>-3</v>
      </c>
      <c r="S393" s="16">
        <f>IFERROR(__xludf.DUMMYFUNCTION("""COMPUTED_VALUE"""),8.4)</f>
        <v>8.4</v>
      </c>
      <c r="T393" s="16">
        <f>IFERROR(__xludf.DUMMYFUNCTION("""COMPUTED_VALUE"""),5.7)</f>
        <v>5.7</v>
      </c>
      <c r="U393" s="16">
        <f>IFERROR(__xludf.DUMMYFUNCTION("""COMPUTED_VALUE"""),1.0)</f>
        <v>1</v>
      </c>
      <c r="V393" s="16">
        <f>IFERROR(__xludf.DUMMYFUNCTION("""COMPUTED_VALUE"""),2.0)</f>
        <v>2</v>
      </c>
      <c r="W393" s="16">
        <f>IFERROR(__xludf.DUMMYFUNCTION("""COMPUTED_VALUE"""),2.0)</f>
        <v>2</v>
      </c>
      <c r="X393" s="16">
        <f>IFERROR(__xludf.DUMMYFUNCTION("""COMPUTED_VALUE"""),4.0)</f>
        <v>4</v>
      </c>
      <c r="Y393" s="16">
        <f>IFERROR(__xludf.DUMMYFUNCTION("""COMPUTED_VALUE"""),30.4)</f>
        <v>30.4</v>
      </c>
      <c r="Z393" s="16">
        <f>IFERROR(__xludf.DUMMYFUNCTION("""COMPUTED_VALUE"""),38.7)</f>
        <v>38.7</v>
      </c>
      <c r="AA393" s="16">
        <f>IFERROR(__xludf.DUMMYFUNCTION("""COMPUTED_VALUE"""),-1.0)</f>
        <v>-1</v>
      </c>
      <c r="AB393" s="16">
        <f>IFERROR(__xludf.DUMMYFUNCTION("""COMPUTED_VALUE"""),-2.0)</f>
        <v>-2</v>
      </c>
      <c r="AC393" s="16">
        <f>IFERROR(__xludf.DUMMYFUNCTION("""COMPUTED_VALUE"""),-5.0)</f>
        <v>-5</v>
      </c>
      <c r="AD393" s="16">
        <f>IFERROR(__xludf.DUMMYFUNCTION("""COMPUTED_VALUE"""),-10.0)</f>
        <v>-10</v>
      </c>
      <c r="AE393" s="16">
        <f>IFERROR(__xludf.DUMMYFUNCTION("""COMPUTED_VALUE"""),28.8)</f>
        <v>28.8</v>
      </c>
      <c r="AF393" s="16">
        <f>IFERROR(__xludf.DUMMYFUNCTION("""COMPUTED_VALUE"""),22.8)</f>
        <v>22.8</v>
      </c>
      <c r="AG393" s="16">
        <f>IFERROR(__xludf.DUMMYFUNCTION("""COMPUTED_VALUE"""),0.0)</f>
        <v>0</v>
      </c>
      <c r="AH393" s="16">
        <f>IFERROR(__xludf.DUMMYFUNCTION("""COMPUTED_VALUE"""),1.0)</f>
        <v>1</v>
      </c>
      <c r="AI393" s="16">
        <f>IFERROR(__xludf.DUMMYFUNCTION("""COMPUTED_VALUE"""),0.0)</f>
        <v>0</v>
      </c>
      <c r="AJ393" s="16">
        <f>IFERROR(__xludf.DUMMYFUNCTION("""COMPUTED_VALUE"""),2.0)</f>
        <v>2</v>
      </c>
      <c r="AK393" s="16">
        <f>IFERROR(__xludf.DUMMYFUNCTION("""COMPUTED_VALUE"""),2.4000000000000004)</f>
        <v>2.4</v>
      </c>
      <c r="AL393" s="16">
        <f>IFERROR(__xludf.DUMMYFUNCTION("""COMPUTED_VALUE"""),0.0)</f>
        <v>0</v>
      </c>
      <c r="AM393" s="16">
        <f>IFERROR(__xludf.DUMMYFUNCTION("""COMPUTED_VALUE"""),2.0)</f>
        <v>2</v>
      </c>
      <c r="AN393" s="16">
        <f>IFERROR(__xludf.DUMMYFUNCTION("""COMPUTED_VALUE"""),3.0)</f>
        <v>3</v>
      </c>
      <c r="AO393" s="16">
        <f>IFERROR(__xludf.DUMMYFUNCTION("""COMPUTED_VALUE"""),2.0)</f>
        <v>2</v>
      </c>
      <c r="AP393" s="16">
        <f>IFERROR(__xludf.DUMMYFUNCTION("""COMPUTED_VALUE"""),3.0)</f>
        <v>3</v>
      </c>
      <c r="AQ393" s="16">
        <f>IFERROR(__xludf.DUMMYFUNCTION("""COMPUTED_VALUE"""),4.800000000000001)</f>
        <v>4.8</v>
      </c>
      <c r="AR393" s="16">
        <f>IFERROR(__xludf.DUMMYFUNCTION("""COMPUTED_VALUE"""),0.0)</f>
        <v>0</v>
      </c>
      <c r="AS393" s="16">
        <f>IFERROR(__xludf.DUMMYFUNCTION("""COMPUTED_VALUE"""),2.0)</f>
        <v>2</v>
      </c>
      <c r="AT393" s="16">
        <f>IFERROR(__xludf.DUMMYFUNCTION("""COMPUTED_VALUE"""),3.0)</f>
        <v>3</v>
      </c>
      <c r="AU393" s="16">
        <f>IFERROR(__xludf.DUMMYFUNCTION("""COMPUTED_VALUE"""),4.0)</f>
        <v>4</v>
      </c>
      <c r="AV393" s="16">
        <f>IFERROR(__xludf.DUMMYFUNCTION("""COMPUTED_VALUE"""),6.0)</f>
        <v>6</v>
      </c>
      <c r="AW393" s="16">
        <f>IFERROR(__xludf.DUMMYFUNCTION("""COMPUTED_VALUE"""),6.0)</f>
        <v>6</v>
      </c>
      <c r="AX393" s="16">
        <f>IFERROR(__xludf.DUMMYFUNCTION("""COMPUTED_VALUE"""),5.7)</f>
        <v>5.7</v>
      </c>
      <c r="AY393" s="16">
        <f>IFERROR(__xludf.DUMMYFUNCTION("""COMPUTED_VALUE"""),-3.0)</f>
        <v>-3</v>
      </c>
      <c r="AZ393" s="16">
        <f>IFERROR(__xludf.DUMMYFUNCTION("""COMPUTED_VALUE"""),-3.0)</f>
        <v>-3</v>
      </c>
      <c r="BA393" s="16">
        <f>IFERROR(__xludf.DUMMYFUNCTION("""COMPUTED_VALUE"""),-15.0)</f>
        <v>-15</v>
      </c>
      <c r="BB393" s="16">
        <f>IFERROR(__xludf.DUMMYFUNCTION("""COMPUTED_VALUE"""),-15.0)</f>
        <v>-15</v>
      </c>
      <c r="BC393" s="16"/>
      <c r="BD393" s="16"/>
      <c r="BE393" s="16">
        <f>IFERROR(__xludf.DUMMYFUNCTION("""COMPUTED_VALUE"""),8.0)</f>
        <v>8</v>
      </c>
      <c r="BF393" s="16">
        <f>IFERROR(__xludf.DUMMYFUNCTION("""COMPUTED_VALUE"""),8.0)</f>
        <v>8</v>
      </c>
      <c r="BG393" s="16">
        <f>IFERROR(__xludf.DUMMYFUNCTION("""COMPUTED_VALUE"""),-3.0)</f>
        <v>-3</v>
      </c>
      <c r="BH393" s="16">
        <f>IFERROR(__xludf.DUMMYFUNCTION("""COMPUTED_VALUE"""),-3.0)</f>
        <v>-3</v>
      </c>
      <c r="BI393" s="16">
        <f>IFERROR(__xludf.DUMMYFUNCTION("""COMPUTED_VALUE"""),-6.0)</f>
        <v>-6</v>
      </c>
      <c r="BJ393" s="16">
        <f>IFERROR(__xludf.DUMMYFUNCTION("""COMPUTED_VALUE"""),-6.0)</f>
        <v>-6</v>
      </c>
      <c r="BK393" s="16">
        <f>IFERROR(__xludf.DUMMYFUNCTION("""COMPUTED_VALUE"""),0.0)</f>
        <v>0</v>
      </c>
      <c r="BL393" s="16">
        <f>IFERROR(__xludf.DUMMYFUNCTION("""COMPUTED_VALUE"""),0.0)</f>
        <v>0</v>
      </c>
      <c r="BM393" s="16">
        <f>IFERROR(__xludf.DUMMYFUNCTION("""COMPUTED_VALUE"""),1.0)</f>
        <v>1</v>
      </c>
      <c r="BN393" s="16">
        <f>IFERROR(__xludf.DUMMYFUNCTION("""COMPUTED_VALUE"""),1.0)</f>
        <v>1</v>
      </c>
      <c r="BO393" s="16">
        <f>IFERROR(__xludf.DUMMYFUNCTION("""COMPUTED_VALUE"""),1.0)</f>
        <v>1</v>
      </c>
      <c r="BP393" s="16">
        <f>IFERROR(__xludf.DUMMYFUNCTION("""COMPUTED_VALUE"""),1.0)</f>
        <v>1</v>
      </c>
      <c r="BQ393" s="16">
        <f>IFERROR(__xludf.DUMMYFUNCTION("""COMPUTED_VALUE"""),9.0)</f>
        <v>9</v>
      </c>
      <c r="BR393" s="16">
        <f>IFERROR(__xludf.DUMMYFUNCTION("""COMPUTED_VALUE"""),9.0)</f>
        <v>9</v>
      </c>
      <c r="BS393" s="16">
        <f>IFERROR(__xludf.DUMMYFUNCTION("""COMPUTED_VALUE"""),3.0)</f>
        <v>3</v>
      </c>
      <c r="BT393" s="16">
        <f>IFERROR(__xludf.DUMMYFUNCTION("""COMPUTED_VALUE"""),3.0)</f>
        <v>3</v>
      </c>
      <c r="BU393" s="16">
        <f>IFERROR(__xludf.DUMMYFUNCTION("""COMPUTED_VALUE"""),6.0)</f>
        <v>6</v>
      </c>
      <c r="BV393" s="16">
        <f>IFERROR(__xludf.DUMMYFUNCTION("""COMPUTED_VALUE"""),6.0)</f>
        <v>6</v>
      </c>
      <c r="BW393" s="16">
        <f>IFERROR(__xludf.DUMMYFUNCTION("""COMPUTED_VALUE"""),-1.0)</f>
        <v>-1</v>
      </c>
      <c r="BX393" s="16">
        <f>IFERROR(__xludf.DUMMYFUNCTION("""COMPUTED_VALUE"""),-1.0)</f>
        <v>-1</v>
      </c>
      <c r="BY393" s="16" t="str">
        <f>IFERROR(__xludf.DUMMYFUNCTION("""COMPUTED_VALUE"""),"R(1) C(0)")</f>
        <v>R(1) C(0)</v>
      </c>
      <c r="BZ393" s="16" t="str">
        <f>IFERROR(__xludf.DUMMYFUNCTION("""COMPUTED_VALUE"""),"R(1) C(0)")</f>
        <v>R(1) C(0)</v>
      </c>
      <c r="CA393" s="16" t="str">
        <f>IFERROR(__xludf.DUMMYFUNCTION("""COMPUTED_VALUE"""),"R(1)")</f>
        <v>R(1)</v>
      </c>
      <c r="CB393" s="16" t="str">
        <f>IFERROR(__xludf.DUMMYFUNCTION("""COMPUTED_VALUE"""),"C(0)")</f>
        <v>C(0)</v>
      </c>
      <c r="CC393" s="16"/>
      <c r="CD393" s="16"/>
      <c r="CE393" s="16">
        <f>IFERROR(__xludf.DUMMYFUNCTION("""COMPUTED_VALUE"""),1.0)</f>
        <v>1</v>
      </c>
      <c r="CF393" s="16">
        <f>IFERROR(__xludf.DUMMYFUNCTION("""COMPUTED_VALUE"""),0.0)</f>
        <v>0</v>
      </c>
      <c r="CG393" s="16" t="str">
        <f>IFERROR(__xludf.DUMMYFUNCTION("""COMPUTED_VALUE"""),"3-51")</f>
        <v>3-51</v>
      </c>
      <c r="CH393" s="16">
        <f>IFERROR(__xludf.DUMMYFUNCTION("""COMPUTED_VALUE"""),3.0)</f>
        <v>3</v>
      </c>
      <c r="CI393" s="16">
        <f>IFERROR(__xludf.DUMMYFUNCTION("""COMPUTED_VALUE"""),51.0)</f>
        <v>51</v>
      </c>
      <c r="CJ393" s="16">
        <f>IFERROR(__xludf.DUMMYFUNCTION("""COMPUTED_VALUE"""),0.0)</f>
        <v>0</v>
      </c>
      <c r="CK393" s="16">
        <f>IFERROR(__xludf.DUMMYFUNCTION("""COMPUTED_VALUE"""),0.0)</f>
        <v>0</v>
      </c>
      <c r="CL393" s="16" t="str">
        <f>IFERROR(__xludf.DUMMYFUNCTION("""COMPUTED_VALUE"""),"1WR-C")</f>
        <v>1WR-C</v>
      </c>
      <c r="CM393" s="16" t="str">
        <f>IFERROR(__xludf.DUMMYFUNCTION("""COMPUTED_VALUE"""),"E")</f>
        <v>E</v>
      </c>
      <c r="CN393" s="16">
        <f>IFERROR(__xludf.DUMMYFUNCTION("""COMPUTED_VALUE"""),10.0)</f>
        <v>10</v>
      </c>
      <c r="CO393" s="16" t="str">
        <f>IFERROR(__xludf.DUMMYFUNCTION("""COMPUTED_VALUE"""),"C")</f>
        <v>C</v>
      </c>
      <c r="CP393" s="16" t="str">
        <f>IFERROR(__xludf.DUMMYFUNCTION("""COMPUTED_VALUE"""),"5p20")</f>
        <v>5p20</v>
      </c>
      <c r="CQ393" s="16">
        <f>IFERROR(__xludf.DUMMYFUNCTION("""COMPUTED_VALUE"""),-17.0)</f>
        <v>-17</v>
      </c>
      <c r="CR393" s="16">
        <f>IFERROR(__xludf.DUMMYFUNCTION("""COMPUTED_VALUE"""),-15.0)</f>
        <v>-15</v>
      </c>
      <c r="CS393" s="16">
        <f>IFERROR(__xludf.DUMMYFUNCTION("""COMPUTED_VALUE"""),-32.0)</f>
        <v>-32</v>
      </c>
      <c r="CT393" s="16">
        <f>IFERROR(__xludf.DUMMYFUNCTION("""COMPUTED_VALUE"""),-17.0)</f>
        <v>-17</v>
      </c>
      <c r="CU393" s="16">
        <f>IFERROR(__xludf.DUMMYFUNCTION("""COMPUTED_VALUE"""),-15.0)</f>
        <v>-15</v>
      </c>
      <c r="CV393" s="179">
        <f>IFERROR(__xludf.DUMMYFUNCTION("""COMPUTED_VALUE"""),-13.333333333333332)</f>
        <v>-13.33333333</v>
      </c>
      <c r="CW393" s="179">
        <f>IFERROR(__xludf.DUMMYFUNCTION("""COMPUTED_VALUE"""),0.0)</f>
        <v>0</v>
      </c>
      <c r="CX393" s="179">
        <f>IFERROR(__xludf.DUMMYFUNCTION("""COMPUTED_VALUE"""),3.0)</f>
        <v>3</v>
      </c>
      <c r="CY393" s="16" t="str">
        <f>IFERROR(__xludf.DUMMYFUNCTION("""COMPUTED_VALUE"""),"RP")</f>
        <v>RP</v>
      </c>
      <c r="CZ393" s="16" t="str">
        <f>IFERROR(__xludf.DUMMYFUNCTION("""COMPUTED_VALUE"""),"CP")</f>
        <v>CP</v>
      </c>
      <c r="DA393" s="16"/>
      <c r="DB393" s="16"/>
      <c r="DC393" s="16"/>
      <c r="DD393" s="16"/>
      <c r="DE393" s="16"/>
      <c r="DF393" s="16"/>
      <c r="DG393" s="16"/>
      <c r="DH393" s="16"/>
      <c r="DI393" s="16"/>
      <c r="DJ393" s="16"/>
      <c r="DK393" s="16"/>
    </row>
    <row r="394">
      <c r="A394" s="16">
        <f>IFERROR(__xludf.DUMMYFUNCTION("""COMPUTED_VALUE"""),12769.0)</f>
        <v>12769</v>
      </c>
      <c r="B394" s="16" t="str">
        <f>IFERROR(__xludf.DUMMYFUNCTION("""COMPUTED_VALUE"""),"Drew Thorpe")</f>
        <v>Drew Thorpe</v>
      </c>
      <c r="C394" s="153">
        <f>IFERROR(__xludf.DUMMYFUNCTION("""COMPUTED_VALUE"""),0.0)</f>
        <v>0</v>
      </c>
      <c r="D394" s="16"/>
      <c r="E394" s="16" t="str">
        <f>IFERROR(__xludf.DUMMYFUNCTION("""COMPUTED_VALUE"""),"R")</f>
        <v>R</v>
      </c>
      <c r="F394" s="16">
        <f>IFERROR(__xludf.DUMMYFUNCTION("""COMPUTED_VALUE"""),44.0)</f>
        <v>44</v>
      </c>
      <c r="G394" s="16">
        <f>IFERROR(__xludf.DUMMYFUNCTION("""COMPUTED_VALUE"""),6.0)</f>
        <v>6</v>
      </c>
      <c r="H394" s="16">
        <f>IFERROR(__xludf.DUMMYFUNCTION("""COMPUTED_VALUE"""),3.0)</f>
        <v>3</v>
      </c>
      <c r="I394" s="16">
        <f>IFERROR(__xludf.DUMMYFUNCTION("""COMPUTED_VALUE"""),-2.0)</f>
        <v>-2</v>
      </c>
      <c r="J394" s="16">
        <f>IFERROR(__xludf.DUMMYFUNCTION("""COMPUTED_VALUE"""),-3.0)</f>
        <v>-3</v>
      </c>
      <c r="K394" s="16">
        <f>IFERROR(__xludf.DUMMYFUNCTION("""COMPUTED_VALUE"""),-6.0)</f>
        <v>-6</v>
      </c>
      <c r="L394" s="16">
        <f>IFERROR(__xludf.DUMMYFUNCTION("""COMPUTED_VALUE"""),-9.0)</f>
        <v>-9</v>
      </c>
      <c r="M394" s="16">
        <f>IFERROR(__xludf.DUMMYFUNCTION("""COMPUTED_VALUE"""),21.0)</f>
        <v>21</v>
      </c>
      <c r="N394" s="16">
        <f>IFERROR(__xludf.DUMMYFUNCTION("""COMPUTED_VALUE"""),12.0)</f>
        <v>12</v>
      </c>
      <c r="O394" s="16">
        <f>IFERROR(__xludf.DUMMYFUNCTION("""COMPUTED_VALUE"""),-3.0)</f>
        <v>-3</v>
      </c>
      <c r="P394" s="16">
        <f>IFERROR(__xludf.DUMMYFUNCTION("""COMPUTED_VALUE"""),-2.0)</f>
        <v>-2</v>
      </c>
      <c r="Q394" s="16">
        <f>IFERROR(__xludf.DUMMYFUNCTION("""COMPUTED_VALUE"""),-3.0)</f>
        <v>-3</v>
      </c>
      <c r="R394" s="16">
        <f>IFERROR(__xludf.DUMMYFUNCTION("""COMPUTED_VALUE"""),-2.0)</f>
        <v>-2</v>
      </c>
      <c r="S394" s="16">
        <f>IFERROR(__xludf.DUMMYFUNCTION("""COMPUTED_VALUE"""),9.0)</f>
        <v>9</v>
      </c>
      <c r="T394" s="16">
        <f>IFERROR(__xludf.DUMMYFUNCTION("""COMPUTED_VALUE"""),6.9)</f>
        <v>6.9</v>
      </c>
      <c r="U394" s="16">
        <f>IFERROR(__xludf.DUMMYFUNCTION("""COMPUTED_VALUE"""),1.0)</f>
        <v>1</v>
      </c>
      <c r="V394" s="16">
        <f>IFERROR(__xludf.DUMMYFUNCTION("""COMPUTED_VALUE"""),2.0)</f>
        <v>2</v>
      </c>
      <c r="W394" s="16">
        <f>IFERROR(__xludf.DUMMYFUNCTION("""COMPUTED_VALUE"""),2.0)</f>
        <v>2</v>
      </c>
      <c r="X394" s="16">
        <f>IFERROR(__xludf.DUMMYFUNCTION("""COMPUTED_VALUE"""),4.0)</f>
        <v>4</v>
      </c>
      <c r="Y394" s="16">
        <f>IFERROR(__xludf.DUMMYFUNCTION("""COMPUTED_VALUE"""),30.0)</f>
        <v>30</v>
      </c>
      <c r="Z394" s="16">
        <f>IFERROR(__xludf.DUMMYFUNCTION("""COMPUTED_VALUE"""),19.0)</f>
        <v>19</v>
      </c>
      <c r="AA394" s="16">
        <f>IFERROR(__xludf.DUMMYFUNCTION("""COMPUTED_VALUE"""),-1.0)</f>
        <v>-1</v>
      </c>
      <c r="AB394" s="16">
        <f>IFERROR(__xludf.DUMMYFUNCTION("""COMPUTED_VALUE"""),1.0)</f>
        <v>1</v>
      </c>
      <c r="AC394" s="16">
        <f>IFERROR(__xludf.DUMMYFUNCTION("""COMPUTED_VALUE"""),-5.0)</f>
        <v>-5</v>
      </c>
      <c r="AD394" s="16">
        <f>IFERROR(__xludf.DUMMYFUNCTION("""COMPUTED_VALUE"""),5.0)</f>
        <v>5</v>
      </c>
      <c r="AE394" s="16">
        <f>IFERROR(__xludf.DUMMYFUNCTION("""COMPUTED_VALUE"""),20.0)</f>
        <v>20</v>
      </c>
      <c r="AF394" s="16">
        <f>IFERROR(__xludf.DUMMYFUNCTION("""COMPUTED_VALUE"""),26.3)</f>
        <v>26.3</v>
      </c>
      <c r="AG394" s="16">
        <f>IFERROR(__xludf.DUMMYFUNCTION("""COMPUTED_VALUE"""),1.0)</f>
        <v>1</v>
      </c>
      <c r="AH394" s="16">
        <f>IFERROR(__xludf.DUMMYFUNCTION("""COMPUTED_VALUE"""),0.0)</f>
        <v>0</v>
      </c>
      <c r="AI394" s="16">
        <f>IFERROR(__xludf.DUMMYFUNCTION("""COMPUTED_VALUE"""),2.0)</f>
        <v>2</v>
      </c>
      <c r="AJ394" s="16">
        <f>IFERROR(__xludf.DUMMYFUNCTION("""COMPUTED_VALUE"""),0.0)</f>
        <v>0</v>
      </c>
      <c r="AK394" s="16">
        <f>IFERROR(__xludf.DUMMYFUNCTION("""COMPUTED_VALUE"""),8.0)</f>
        <v>8</v>
      </c>
      <c r="AL394" s="16">
        <f>IFERROR(__xludf.DUMMYFUNCTION("""COMPUTED_VALUE"""),0.6000000000000005)</f>
        <v>0.6</v>
      </c>
      <c r="AM394" s="16">
        <f>IFERROR(__xludf.DUMMYFUNCTION("""COMPUTED_VALUE"""),1.0)</f>
        <v>1</v>
      </c>
      <c r="AN394" s="16">
        <f>IFERROR(__xludf.DUMMYFUNCTION("""COMPUTED_VALUE"""),2.0)</f>
        <v>2</v>
      </c>
      <c r="AO394" s="16">
        <f>IFERROR(__xludf.DUMMYFUNCTION("""COMPUTED_VALUE"""),1.0)</f>
        <v>1</v>
      </c>
      <c r="AP394" s="16">
        <f>IFERROR(__xludf.DUMMYFUNCTION("""COMPUTED_VALUE"""),2.0)</f>
        <v>2</v>
      </c>
      <c r="AQ394" s="16">
        <f>IFERROR(__xludf.DUMMYFUNCTION("""COMPUTED_VALUE"""),16.0)</f>
        <v>16</v>
      </c>
      <c r="AR394" s="16">
        <f>IFERROR(__xludf.DUMMYFUNCTION("""COMPUTED_VALUE"""),1.1000000000000014)</f>
        <v>1.1</v>
      </c>
      <c r="AS394" s="16">
        <f>IFERROR(__xludf.DUMMYFUNCTION("""COMPUTED_VALUE"""),0.0)</f>
        <v>0</v>
      </c>
      <c r="AT394" s="16">
        <f>IFERROR(__xludf.DUMMYFUNCTION("""COMPUTED_VALUE"""),2.0)</f>
        <v>2</v>
      </c>
      <c r="AU394" s="16">
        <f>IFERROR(__xludf.DUMMYFUNCTION("""COMPUTED_VALUE"""),0.0)</f>
        <v>0</v>
      </c>
      <c r="AV394" s="16">
        <f>IFERROR(__xludf.DUMMYFUNCTION("""COMPUTED_VALUE"""),4.0)</f>
        <v>4</v>
      </c>
      <c r="AW394" s="16">
        <f>IFERROR(__xludf.DUMMYFUNCTION("""COMPUTED_VALUE"""),1.0)</f>
        <v>1</v>
      </c>
      <c r="AX394" s="16">
        <f>IFERROR(__xludf.DUMMYFUNCTION("""COMPUTED_VALUE"""),6.3)</f>
        <v>6.3</v>
      </c>
      <c r="AY394" s="16">
        <f>IFERROR(__xludf.DUMMYFUNCTION("""COMPUTED_VALUE"""),1.0)</f>
        <v>1</v>
      </c>
      <c r="AZ394" s="16">
        <f>IFERROR(__xludf.DUMMYFUNCTION("""COMPUTED_VALUE"""),-3.0)</f>
        <v>-3</v>
      </c>
      <c r="BA394" s="16">
        <f>IFERROR(__xludf.DUMMYFUNCTION("""COMPUTED_VALUE"""),5.0)</f>
        <v>5</v>
      </c>
      <c r="BB394" s="16">
        <f>IFERROR(__xludf.DUMMYFUNCTION("""COMPUTED_VALUE"""),-15.0)</f>
        <v>-15</v>
      </c>
      <c r="BC394" s="16"/>
      <c r="BD394" s="16"/>
      <c r="BE394" s="16">
        <f>IFERROR(__xludf.DUMMYFUNCTION("""COMPUTED_VALUE"""),1.0)</f>
        <v>1</v>
      </c>
      <c r="BF394" s="16">
        <f>IFERROR(__xludf.DUMMYFUNCTION("""COMPUTED_VALUE"""),8.0)</f>
        <v>8</v>
      </c>
      <c r="BG394" s="16">
        <f>IFERROR(__xludf.DUMMYFUNCTION("""COMPUTED_VALUE"""),2.0)</f>
        <v>2</v>
      </c>
      <c r="BH394" s="16">
        <f>IFERROR(__xludf.DUMMYFUNCTION("""COMPUTED_VALUE"""),-3.0)</f>
        <v>-3</v>
      </c>
      <c r="BI394" s="16">
        <f>IFERROR(__xludf.DUMMYFUNCTION("""COMPUTED_VALUE"""),4.0)</f>
        <v>4</v>
      </c>
      <c r="BJ394" s="16">
        <f>IFERROR(__xludf.DUMMYFUNCTION("""COMPUTED_VALUE"""),-6.0)</f>
        <v>-6</v>
      </c>
      <c r="BK394" s="16">
        <f>IFERROR(__xludf.DUMMYFUNCTION("""COMPUTED_VALUE"""),0.0)</f>
        <v>0</v>
      </c>
      <c r="BL394" s="16">
        <f>IFERROR(__xludf.DUMMYFUNCTION("""COMPUTED_VALUE"""),0.0)</f>
        <v>0</v>
      </c>
      <c r="BM394" s="16">
        <f>IFERROR(__xludf.DUMMYFUNCTION("""COMPUTED_VALUE"""),1.0)</f>
        <v>1</v>
      </c>
      <c r="BN394" s="16">
        <f>IFERROR(__xludf.DUMMYFUNCTION("""COMPUTED_VALUE"""),1.0)</f>
        <v>1</v>
      </c>
      <c r="BO394" s="16">
        <f>IFERROR(__xludf.DUMMYFUNCTION("""COMPUTED_VALUE"""),1.0)</f>
        <v>1</v>
      </c>
      <c r="BP394" s="16">
        <f>IFERROR(__xludf.DUMMYFUNCTION("""COMPUTED_VALUE"""),1.0)</f>
        <v>1</v>
      </c>
      <c r="BQ394" s="16">
        <f>IFERROR(__xludf.DUMMYFUNCTION("""COMPUTED_VALUE"""),2.0)</f>
        <v>2</v>
      </c>
      <c r="BR394" s="16">
        <f>IFERROR(__xludf.DUMMYFUNCTION("""COMPUTED_VALUE"""),2.0)</f>
        <v>2</v>
      </c>
      <c r="BS394" s="16">
        <f>IFERROR(__xludf.DUMMYFUNCTION("""COMPUTED_VALUE"""),-2.0)</f>
        <v>-2</v>
      </c>
      <c r="BT394" s="16">
        <f>IFERROR(__xludf.DUMMYFUNCTION("""COMPUTED_VALUE"""),-2.0)</f>
        <v>-2</v>
      </c>
      <c r="BU394" s="16">
        <f>IFERROR(__xludf.DUMMYFUNCTION("""COMPUTED_VALUE"""),-4.0)</f>
        <v>-4</v>
      </c>
      <c r="BV394" s="16">
        <f>IFERROR(__xludf.DUMMYFUNCTION("""COMPUTED_VALUE"""),-4.0)</f>
        <v>-4</v>
      </c>
      <c r="BW394" s="16">
        <f>IFERROR(__xludf.DUMMYFUNCTION("""COMPUTED_VALUE"""),9.0)</f>
        <v>9</v>
      </c>
      <c r="BX394" s="16">
        <f>IFERROR(__xludf.DUMMYFUNCTION("""COMPUTED_VALUE"""),9.0)</f>
        <v>9</v>
      </c>
      <c r="BY394" s="16" t="str">
        <f>IFERROR(__xludf.DUMMYFUNCTION("""COMPUTED_VALUE"""),"S(5)")</f>
        <v>S(5)</v>
      </c>
      <c r="BZ394" s="16" t="str">
        <f>IFERROR(__xludf.DUMMYFUNCTION("""COMPUTED_VALUE"""),"S(5)")</f>
        <v>S(5)</v>
      </c>
      <c r="CA394" s="16" t="str">
        <f>IFERROR(__xludf.DUMMYFUNCTION("""COMPUTED_VALUE"""),"S(5)")</f>
        <v>S(5)</v>
      </c>
      <c r="CB394" s="16"/>
      <c r="CC394" s="16"/>
      <c r="CD394" s="16">
        <f>IFERROR(__xludf.DUMMYFUNCTION("""COMPUTED_VALUE"""),5.0)</f>
        <v>5</v>
      </c>
      <c r="CE394" s="16"/>
      <c r="CF394" s="16"/>
      <c r="CG394" s="16" t="str">
        <f>IFERROR(__xludf.DUMMYFUNCTION("""COMPUTED_VALUE"""),"4-33")</f>
        <v>4-33</v>
      </c>
      <c r="CH394" s="16">
        <f>IFERROR(__xludf.DUMMYFUNCTION("""COMPUTED_VALUE"""),4.0)</f>
        <v>4</v>
      </c>
      <c r="CI394" s="16">
        <f>IFERROR(__xludf.DUMMYFUNCTION("""COMPUTED_VALUE"""),33.0)</f>
        <v>33</v>
      </c>
      <c r="CJ394" s="16">
        <f>IFERROR(__xludf.DUMMYFUNCTION("""COMPUTED_VALUE"""),7.0)</f>
        <v>7</v>
      </c>
      <c r="CK394" s="16">
        <f>IFERROR(__xludf.DUMMYFUNCTION("""COMPUTED_VALUE"""),0.0)</f>
        <v>0</v>
      </c>
      <c r="CL394" s="16" t="str">
        <f>IFERROR(__xludf.DUMMYFUNCTION("""COMPUTED_VALUE"""),"1WL-C")</f>
        <v>1WL-C</v>
      </c>
      <c r="CM394" s="16" t="str">
        <f>IFERROR(__xludf.DUMMYFUNCTION("""COMPUTED_VALUE"""),"E")</f>
        <v>E</v>
      </c>
      <c r="CN394" s="16">
        <f>IFERROR(__xludf.DUMMYFUNCTION("""COMPUTED_VALUE"""),10.0)</f>
        <v>10</v>
      </c>
      <c r="CO394" s="16" t="str">
        <f>IFERROR(__xludf.DUMMYFUNCTION("""COMPUTED_VALUE"""),"C")</f>
        <v>C</v>
      </c>
      <c r="CP394" s="16" t="str">
        <f>IFERROR(__xludf.DUMMYFUNCTION("""COMPUTED_VALUE"""),"6p30")</f>
        <v>6p30</v>
      </c>
      <c r="CQ394" s="16">
        <f>IFERROR(__xludf.DUMMYFUNCTION("""COMPUTED_VALUE"""),-3.0)</f>
        <v>-3</v>
      </c>
      <c r="CR394" s="16">
        <f>IFERROR(__xludf.DUMMYFUNCTION("""COMPUTED_VALUE"""),-20.0)</f>
        <v>-20</v>
      </c>
      <c r="CS394" s="16">
        <f>IFERROR(__xludf.DUMMYFUNCTION("""COMPUTED_VALUE"""),-23.0)</f>
        <v>-23</v>
      </c>
      <c r="CT394" s="16">
        <f>IFERROR(__xludf.DUMMYFUNCTION("""COMPUTED_VALUE"""),-3.0)</f>
        <v>-3</v>
      </c>
      <c r="CU394" s="16">
        <f>IFERROR(__xludf.DUMMYFUNCTION("""COMPUTED_VALUE"""),-20.0)</f>
        <v>-20</v>
      </c>
      <c r="CV394" s="179">
        <f>IFERROR(__xludf.DUMMYFUNCTION("""COMPUTED_VALUE"""),-13.333333333333334)</f>
        <v>-13.33333333</v>
      </c>
      <c r="CW394" s="179">
        <f>IFERROR(__xludf.DUMMYFUNCTION("""COMPUTED_VALUE"""),-1.0)</f>
        <v>-1</v>
      </c>
      <c r="CX394" s="179">
        <f>IFERROR(__xludf.DUMMYFUNCTION("""COMPUTED_VALUE"""),2.0)</f>
        <v>2</v>
      </c>
      <c r="CY394" s="16" t="str">
        <f>IFERROR(__xludf.DUMMYFUNCTION("""COMPUTED_VALUE"""),"SP")</f>
        <v>SP</v>
      </c>
      <c r="CZ394" s="16"/>
      <c r="DA394" s="16"/>
      <c r="DB394" s="16"/>
      <c r="DC394" s="16"/>
      <c r="DD394" s="16"/>
      <c r="DE394" s="16"/>
      <c r="DF394" s="16"/>
      <c r="DG394" s="16"/>
      <c r="DH394" s="16"/>
      <c r="DI394" s="16"/>
      <c r="DJ394" s="16"/>
      <c r="DK394" s="16"/>
    </row>
    <row r="395">
      <c r="A395" s="16">
        <f>IFERROR(__xludf.DUMMYFUNCTION("""COMPUTED_VALUE"""),12693.0)</f>
        <v>12693</v>
      </c>
      <c r="B395" s="16" t="str">
        <f>IFERROR(__xludf.DUMMYFUNCTION("""COMPUTED_VALUE"""),"Clayton Kershaw")</f>
        <v>Clayton Kershaw</v>
      </c>
      <c r="C395" s="153">
        <f>IFERROR(__xludf.DUMMYFUNCTION("""COMPUTED_VALUE"""),0.0)</f>
        <v>0</v>
      </c>
      <c r="D395" s="16"/>
      <c r="E395" s="16" t="str">
        <f>IFERROR(__xludf.DUMMYFUNCTION("""COMPUTED_VALUE"""),"L")</f>
        <v>L</v>
      </c>
      <c r="F395" s="16">
        <f>IFERROR(__xludf.DUMMYFUNCTION("""COMPUTED_VALUE"""),30.0)</f>
        <v>30</v>
      </c>
      <c r="G395" s="16">
        <f>IFERROR(__xludf.DUMMYFUNCTION("""COMPUTED_VALUE"""),34.0)</f>
        <v>34</v>
      </c>
      <c r="H395" s="16">
        <f>IFERROR(__xludf.DUMMYFUNCTION("""COMPUTED_VALUE"""),9.0)</f>
        <v>9</v>
      </c>
      <c r="I395" s="16">
        <f>IFERROR(__xludf.DUMMYFUNCTION("""COMPUTED_VALUE"""),1.0)</f>
        <v>1</v>
      </c>
      <c r="J395" s="16">
        <f>IFERROR(__xludf.DUMMYFUNCTION("""COMPUTED_VALUE"""),-2.0)</f>
        <v>-2</v>
      </c>
      <c r="K395" s="16">
        <f>IFERROR(__xludf.DUMMYFUNCTION("""COMPUTED_VALUE"""),3.0)</f>
        <v>3</v>
      </c>
      <c r="L395" s="16">
        <f>IFERROR(__xludf.DUMMYFUNCTION("""COMPUTED_VALUE"""),-6.0)</f>
        <v>-6</v>
      </c>
      <c r="M395" s="16">
        <f>IFERROR(__xludf.DUMMYFUNCTION("""COMPUTED_VALUE"""),0.0)</f>
        <v>0</v>
      </c>
      <c r="N395" s="16">
        <f>IFERROR(__xludf.DUMMYFUNCTION("""COMPUTED_VALUE"""),9.0)</f>
        <v>9</v>
      </c>
      <c r="O395" s="16">
        <f>IFERROR(__xludf.DUMMYFUNCTION("""COMPUTED_VALUE"""),3.0)</f>
        <v>3</v>
      </c>
      <c r="P395" s="16">
        <f>IFERROR(__xludf.DUMMYFUNCTION("""COMPUTED_VALUE"""),0.0)</f>
        <v>0</v>
      </c>
      <c r="Q395" s="16">
        <f>IFERROR(__xludf.DUMMYFUNCTION("""COMPUTED_VALUE"""),3.0)</f>
        <v>3</v>
      </c>
      <c r="R395" s="16">
        <f>IFERROR(__xludf.DUMMYFUNCTION("""COMPUTED_VALUE"""),0.0)</f>
        <v>0</v>
      </c>
      <c r="S395" s="16">
        <f>IFERROR(__xludf.DUMMYFUNCTION("""COMPUTED_VALUE"""),21.3)</f>
        <v>21.3</v>
      </c>
      <c r="T395" s="16">
        <f>IFERROR(__xludf.DUMMYFUNCTION("""COMPUTED_VALUE"""),31.2)</f>
        <v>31.2</v>
      </c>
      <c r="U395" s="16">
        <f>IFERROR(__xludf.DUMMYFUNCTION("""COMPUTED_VALUE"""),-1.0)</f>
        <v>-1</v>
      </c>
      <c r="V395" s="16">
        <f>IFERROR(__xludf.DUMMYFUNCTION("""COMPUTED_VALUE"""),-2.0)</f>
        <v>-2</v>
      </c>
      <c r="W395" s="16">
        <f>IFERROR(__xludf.DUMMYFUNCTION("""COMPUTED_VALUE"""),-2.0)</f>
        <v>-2</v>
      </c>
      <c r="X395" s="16">
        <f>IFERROR(__xludf.DUMMYFUNCTION("""COMPUTED_VALUE"""),-4.0)</f>
        <v>-4</v>
      </c>
      <c r="Y395" s="16">
        <f>IFERROR(__xludf.DUMMYFUNCTION("""COMPUTED_VALUE"""),21.3)</f>
        <v>21.3</v>
      </c>
      <c r="Z395" s="16">
        <f>IFERROR(__xludf.DUMMYFUNCTION("""COMPUTED_VALUE"""),40.2)</f>
        <v>40.2</v>
      </c>
      <c r="AA395" s="16">
        <f>IFERROR(__xludf.DUMMYFUNCTION("""COMPUTED_VALUE"""),1.0)</f>
        <v>1</v>
      </c>
      <c r="AB395" s="16">
        <f>IFERROR(__xludf.DUMMYFUNCTION("""COMPUTED_VALUE"""),-2.0)</f>
        <v>-2</v>
      </c>
      <c r="AC395" s="16">
        <f>IFERROR(__xludf.DUMMYFUNCTION("""COMPUTED_VALUE"""),5.0)</f>
        <v>5</v>
      </c>
      <c r="AD395" s="16">
        <f>IFERROR(__xludf.DUMMYFUNCTION("""COMPUTED_VALUE"""),-10.0)</f>
        <v>-10</v>
      </c>
      <c r="AE395" s="16">
        <f>IFERROR(__xludf.DUMMYFUNCTION("""COMPUTED_VALUE"""),31.7)</f>
        <v>31.7</v>
      </c>
      <c r="AF395" s="16">
        <f>IFERROR(__xludf.DUMMYFUNCTION("""COMPUTED_VALUE"""),43.2)</f>
        <v>43.2</v>
      </c>
      <c r="AG395" s="16">
        <f>IFERROR(__xludf.DUMMYFUNCTION("""COMPUTED_VALUE"""),0.0)</f>
        <v>0</v>
      </c>
      <c r="AH395" s="16">
        <f>IFERROR(__xludf.DUMMYFUNCTION("""COMPUTED_VALUE"""),-2.0)</f>
        <v>-2</v>
      </c>
      <c r="AI395" s="16">
        <f>IFERROR(__xludf.DUMMYFUNCTION("""COMPUTED_VALUE"""),0.0)</f>
        <v>0</v>
      </c>
      <c r="AJ395" s="16">
        <f>IFERROR(__xludf.DUMMYFUNCTION("""COMPUTED_VALUE"""),-4.0)</f>
        <v>-4</v>
      </c>
      <c r="AK395" s="16">
        <f>IFERROR(__xludf.DUMMYFUNCTION("""COMPUTED_VALUE"""),18.7)</f>
        <v>18.7</v>
      </c>
      <c r="AL395" s="16">
        <f>IFERROR(__xludf.DUMMYFUNCTION("""COMPUTED_VALUE"""),31.2)</f>
        <v>31.2</v>
      </c>
      <c r="AM395" s="16">
        <f>IFERROR(__xludf.DUMMYFUNCTION("""COMPUTED_VALUE"""),-1.0)</f>
        <v>-1</v>
      </c>
      <c r="AN395" s="16">
        <f>IFERROR(__xludf.DUMMYFUNCTION("""COMPUTED_VALUE"""),-3.0)</f>
        <v>-3</v>
      </c>
      <c r="AO395" s="16">
        <f>IFERROR(__xludf.DUMMYFUNCTION("""COMPUTED_VALUE"""),-1.0)</f>
        <v>-1</v>
      </c>
      <c r="AP395" s="16">
        <f>IFERROR(__xludf.DUMMYFUNCTION("""COMPUTED_VALUE"""),-3.0)</f>
        <v>-3</v>
      </c>
      <c r="AQ395" s="16">
        <f>IFERROR(__xludf.DUMMYFUNCTION("""COMPUTED_VALUE"""),21.299999999999997)</f>
        <v>21.3</v>
      </c>
      <c r="AR395" s="16">
        <f>IFERROR(__xludf.DUMMYFUNCTION("""COMPUTED_VALUE"""),43.2)</f>
        <v>43.2</v>
      </c>
      <c r="AS395" s="16">
        <f>IFERROR(__xludf.DUMMYFUNCTION("""COMPUTED_VALUE"""),0.0)</f>
        <v>0</v>
      </c>
      <c r="AT395" s="16">
        <f>IFERROR(__xludf.DUMMYFUNCTION("""COMPUTED_VALUE"""),-3.0)</f>
        <v>-3</v>
      </c>
      <c r="AU395" s="16">
        <f>IFERROR(__xludf.DUMMYFUNCTION("""COMPUTED_VALUE"""),0.0)</f>
        <v>0</v>
      </c>
      <c r="AV395" s="16">
        <f>IFERROR(__xludf.DUMMYFUNCTION("""COMPUTED_VALUE"""),-6.0)</f>
        <v>-6</v>
      </c>
      <c r="AW395" s="16">
        <f>IFERROR(__xludf.DUMMYFUNCTION("""COMPUTED_VALUE"""),2.6)</f>
        <v>2.6</v>
      </c>
      <c r="AX395" s="16">
        <f>IFERROR(__xludf.DUMMYFUNCTION("""COMPUTED_VALUE"""),0.0)</f>
        <v>0</v>
      </c>
      <c r="AY395" s="16">
        <f>IFERROR(__xludf.DUMMYFUNCTION("""COMPUTED_VALUE"""),-1.0)</f>
        <v>-1</v>
      </c>
      <c r="AZ395" s="16">
        <f>IFERROR(__xludf.DUMMYFUNCTION("""COMPUTED_VALUE"""),2.0)</f>
        <v>2</v>
      </c>
      <c r="BA395" s="16">
        <f>IFERROR(__xludf.DUMMYFUNCTION("""COMPUTED_VALUE"""),-5.0)</f>
        <v>-5</v>
      </c>
      <c r="BB395" s="16">
        <f>IFERROR(__xludf.DUMMYFUNCTION("""COMPUTED_VALUE"""),10.0)</f>
        <v>10</v>
      </c>
      <c r="BC395" s="16">
        <f>IFERROR(__xludf.DUMMYFUNCTION("""COMPUTED_VALUE"""),3.0)</f>
        <v>3</v>
      </c>
      <c r="BD395" s="16">
        <f>IFERROR(__xludf.DUMMYFUNCTION("""COMPUTED_VALUE"""),0.0)</f>
        <v>0</v>
      </c>
      <c r="BE395" s="16">
        <f>IFERROR(__xludf.DUMMYFUNCTION("""COMPUTED_VALUE"""),3.0)</f>
        <v>3</v>
      </c>
      <c r="BF395" s="16">
        <f>IFERROR(__xludf.DUMMYFUNCTION("""COMPUTED_VALUE"""),0.0)</f>
        <v>0</v>
      </c>
      <c r="BG395" s="16">
        <f>IFERROR(__xludf.DUMMYFUNCTION("""COMPUTED_VALUE"""),0.0)</f>
        <v>0</v>
      </c>
      <c r="BH395" s="16">
        <f>IFERROR(__xludf.DUMMYFUNCTION("""COMPUTED_VALUE"""),2.0)</f>
        <v>2</v>
      </c>
      <c r="BI395" s="16">
        <f>IFERROR(__xludf.DUMMYFUNCTION("""COMPUTED_VALUE"""),0.0)</f>
        <v>0</v>
      </c>
      <c r="BJ395" s="16">
        <f>IFERROR(__xludf.DUMMYFUNCTION("""COMPUTED_VALUE"""),4.0)</f>
        <v>4</v>
      </c>
      <c r="BK395" s="16">
        <f>IFERROR(__xludf.DUMMYFUNCTION("""COMPUTED_VALUE"""),5.0)</f>
        <v>5</v>
      </c>
      <c r="BL395" s="16">
        <f>IFERROR(__xludf.DUMMYFUNCTION("""COMPUTED_VALUE"""),5.0)</f>
        <v>5</v>
      </c>
      <c r="BM395" s="16">
        <f>IFERROR(__xludf.DUMMYFUNCTION("""COMPUTED_VALUE"""),0.0)</f>
        <v>0</v>
      </c>
      <c r="BN395" s="16">
        <f>IFERROR(__xludf.DUMMYFUNCTION("""COMPUTED_VALUE"""),0.0)</f>
        <v>0</v>
      </c>
      <c r="BO395" s="16">
        <f>IFERROR(__xludf.DUMMYFUNCTION("""COMPUTED_VALUE"""),0.0)</f>
        <v>0</v>
      </c>
      <c r="BP395" s="16">
        <f>IFERROR(__xludf.DUMMYFUNCTION("""COMPUTED_VALUE"""),0.0)</f>
        <v>0</v>
      </c>
      <c r="BQ395" s="16">
        <f>IFERROR(__xludf.DUMMYFUNCTION("""COMPUTED_VALUE"""),2.0)</f>
        <v>2</v>
      </c>
      <c r="BR395" s="16">
        <f>IFERROR(__xludf.DUMMYFUNCTION("""COMPUTED_VALUE"""),2.0)</f>
        <v>2</v>
      </c>
      <c r="BS395" s="16">
        <f>IFERROR(__xludf.DUMMYFUNCTION("""COMPUTED_VALUE"""),-2.0)</f>
        <v>-2</v>
      </c>
      <c r="BT395" s="16">
        <f>IFERROR(__xludf.DUMMYFUNCTION("""COMPUTED_VALUE"""),-2.0)</f>
        <v>-2</v>
      </c>
      <c r="BU395" s="16">
        <f>IFERROR(__xludf.DUMMYFUNCTION("""COMPUTED_VALUE"""),-4.0)</f>
        <v>-4</v>
      </c>
      <c r="BV395" s="16">
        <f>IFERROR(__xludf.DUMMYFUNCTION("""COMPUTED_VALUE"""),-4.0)</f>
        <v>-4</v>
      </c>
      <c r="BW395" s="16">
        <f>IFERROR(__xludf.DUMMYFUNCTION("""COMPUTED_VALUE"""),-2.0)</f>
        <v>-2</v>
      </c>
      <c r="BX395" s="16">
        <f>IFERROR(__xludf.DUMMYFUNCTION("""COMPUTED_VALUE"""),-2.0)</f>
        <v>-2</v>
      </c>
      <c r="BY395" s="16" t="str">
        <f>IFERROR(__xludf.DUMMYFUNCTION("""COMPUTED_VALUE"""),"S(4)")</f>
        <v>S(4)</v>
      </c>
      <c r="BZ395" s="16" t="str">
        <f>IFERROR(__xludf.DUMMYFUNCTION("""COMPUTED_VALUE"""),"S(4)")</f>
        <v>S(4)</v>
      </c>
      <c r="CA395" s="16" t="str">
        <f>IFERROR(__xludf.DUMMYFUNCTION("""COMPUTED_VALUE"""),"S(4)")</f>
        <v>S(4)</v>
      </c>
      <c r="CB395" s="16"/>
      <c r="CC395" s="16"/>
      <c r="CD395" s="16">
        <f>IFERROR(__xludf.DUMMYFUNCTION("""COMPUTED_VALUE"""),4.0)</f>
        <v>4</v>
      </c>
      <c r="CE395" s="16"/>
      <c r="CF395" s="16"/>
      <c r="CG395" s="16" t="str">
        <f>IFERROR(__xludf.DUMMYFUNCTION("""COMPUTED_VALUE"""),"2-48")</f>
        <v>2-48</v>
      </c>
      <c r="CH395" s="16">
        <f>IFERROR(__xludf.DUMMYFUNCTION("""COMPUTED_VALUE"""),2.0)</f>
        <v>2</v>
      </c>
      <c r="CI395" s="16">
        <f>IFERROR(__xludf.DUMMYFUNCTION("""COMPUTED_VALUE"""),48.0)</f>
        <v>48</v>
      </c>
      <c r="CJ395" s="16">
        <f>IFERROR(__xludf.DUMMYFUNCTION("""COMPUTED_VALUE"""),12.0)</f>
        <v>12</v>
      </c>
      <c r="CK395" s="16">
        <f>IFERROR(__xludf.DUMMYFUNCTION("""COMPUTED_VALUE"""),14.0)</f>
        <v>14</v>
      </c>
      <c r="CL395" s="16" t="str">
        <f>IFERROR(__xludf.DUMMYFUNCTION("""COMPUTED_VALUE"""),"1WL-C")</f>
        <v>1WL-C</v>
      </c>
      <c r="CM395" s="16" t="str">
        <f>IFERROR(__xludf.DUMMYFUNCTION("""COMPUTED_VALUE"""),"E")</f>
        <v>E</v>
      </c>
      <c r="CN395" s="16">
        <f>IFERROR(__xludf.DUMMYFUNCTION("""COMPUTED_VALUE"""),12.0)</f>
        <v>12</v>
      </c>
      <c r="CO395" s="16" t="str">
        <f>IFERROR(__xludf.DUMMYFUNCTION("""COMPUTED_VALUE"""),"C")</f>
        <v>C</v>
      </c>
      <c r="CP395" s="16" t="str">
        <f>IFERROR(__xludf.DUMMYFUNCTION("""COMPUTED_VALUE"""),"6p20")</f>
        <v>6p20</v>
      </c>
      <c r="CQ395" s="16">
        <f>IFERROR(__xludf.DUMMYFUNCTION("""COMPUTED_VALUE"""),-1.0)</f>
        <v>-1</v>
      </c>
      <c r="CR395" s="16">
        <f>IFERROR(__xludf.DUMMYFUNCTION("""COMPUTED_VALUE"""),-23.0)</f>
        <v>-23</v>
      </c>
      <c r="CS395" s="16">
        <f>IFERROR(__xludf.DUMMYFUNCTION("""COMPUTED_VALUE"""),-24.0)</f>
        <v>-24</v>
      </c>
      <c r="CT395" s="16">
        <f>IFERROR(__xludf.DUMMYFUNCTION("""COMPUTED_VALUE"""),-1.0)</f>
        <v>-1</v>
      </c>
      <c r="CU395" s="16">
        <f>IFERROR(__xludf.DUMMYFUNCTION("""COMPUTED_VALUE"""),-23.0)</f>
        <v>-23</v>
      </c>
      <c r="CV395" s="179">
        <f>IFERROR(__xludf.DUMMYFUNCTION("""COMPUTED_VALUE"""),-13.666666666666666)</f>
        <v>-13.66666667</v>
      </c>
      <c r="CW395" s="179">
        <f>IFERROR(__xludf.DUMMYFUNCTION("""COMPUTED_VALUE"""),-1.0)</f>
        <v>-1</v>
      </c>
      <c r="CX395" s="179">
        <f>IFERROR(__xludf.DUMMYFUNCTION("""COMPUTED_VALUE"""),3.0)</f>
        <v>3</v>
      </c>
      <c r="CY395" s="16" t="str">
        <f>IFERROR(__xludf.DUMMYFUNCTION("""COMPUTED_VALUE"""),"SP")</f>
        <v>SP</v>
      </c>
      <c r="CZ395" s="16"/>
      <c r="DA395" s="16"/>
      <c r="DB395" s="16"/>
      <c r="DC395" s="16"/>
      <c r="DD395" s="16"/>
      <c r="DE395" s="16"/>
      <c r="DF395" s="16"/>
      <c r="DG395" s="16"/>
      <c r="DH395" s="16"/>
      <c r="DI395" s="16"/>
      <c r="DJ395" s="16"/>
      <c r="DK395" s="16"/>
    </row>
    <row r="396">
      <c r="A396" s="16">
        <f>IFERROR(__xludf.DUMMYFUNCTION("""COMPUTED_VALUE"""),12901.0)</f>
        <v>12901</v>
      </c>
      <c r="B396" s="16" t="str">
        <f>IFERROR(__xludf.DUMMYFUNCTION("""COMPUTED_VALUE"""),"Jacob Latz")</f>
        <v>Jacob Latz</v>
      </c>
      <c r="C396" s="153">
        <f>IFERROR(__xludf.DUMMYFUNCTION("""COMPUTED_VALUE"""),0.2)</f>
        <v>0.2</v>
      </c>
      <c r="D396" s="16"/>
      <c r="E396" s="16" t="str">
        <f>IFERROR(__xludf.DUMMYFUNCTION("""COMPUTED_VALUE"""),"L")</f>
        <v>L</v>
      </c>
      <c r="F396" s="16">
        <f>IFERROR(__xludf.DUMMYFUNCTION("""COMPUTED_VALUE"""),44.0)</f>
        <v>44</v>
      </c>
      <c r="G396" s="16">
        <f>IFERROR(__xludf.DUMMYFUNCTION("""COMPUTED_VALUE"""),24.0)</f>
        <v>24</v>
      </c>
      <c r="H396" s="16">
        <f>IFERROR(__xludf.DUMMYFUNCTION("""COMPUTED_VALUE"""),18.0)</f>
        <v>18</v>
      </c>
      <c r="I396" s="16">
        <f>IFERROR(__xludf.DUMMYFUNCTION("""COMPUTED_VALUE"""),-1.0)</f>
        <v>-1</v>
      </c>
      <c r="J396" s="16">
        <f>IFERROR(__xludf.DUMMYFUNCTION("""COMPUTED_VALUE"""),-1.0)</f>
        <v>-1</v>
      </c>
      <c r="K396" s="16">
        <f>IFERROR(__xludf.DUMMYFUNCTION("""COMPUTED_VALUE"""),-3.0)</f>
        <v>-3</v>
      </c>
      <c r="L396" s="16">
        <f>IFERROR(__xludf.DUMMYFUNCTION("""COMPUTED_VALUE"""),-3.0)</f>
        <v>-3</v>
      </c>
      <c r="M396" s="16">
        <f>IFERROR(__xludf.DUMMYFUNCTION("""COMPUTED_VALUE"""),22.0)</f>
        <v>22</v>
      </c>
      <c r="N396" s="16">
        <f>IFERROR(__xludf.DUMMYFUNCTION("""COMPUTED_VALUE"""),18.0)</f>
        <v>18</v>
      </c>
      <c r="O396" s="16">
        <f>IFERROR(__xludf.DUMMYFUNCTION("""COMPUTED_VALUE"""),-3.0)</f>
        <v>-3</v>
      </c>
      <c r="P396" s="16">
        <f>IFERROR(__xludf.DUMMYFUNCTION("""COMPUTED_VALUE"""),-3.0)</f>
        <v>-3</v>
      </c>
      <c r="Q396" s="16">
        <f>IFERROR(__xludf.DUMMYFUNCTION("""COMPUTED_VALUE"""),-3.0)</f>
        <v>-3</v>
      </c>
      <c r="R396" s="16">
        <f>IFERROR(__xludf.DUMMYFUNCTION("""COMPUTED_VALUE"""),-3.0)</f>
        <v>-3</v>
      </c>
      <c r="S396" s="16">
        <f>IFERROR(__xludf.DUMMYFUNCTION("""COMPUTED_VALUE"""),16.5)</f>
        <v>16.5</v>
      </c>
      <c r="T396" s="16">
        <f>IFERROR(__xludf.DUMMYFUNCTION("""COMPUTED_VALUE"""),11.8)</f>
        <v>11.8</v>
      </c>
      <c r="U396" s="16">
        <f>IFERROR(__xludf.DUMMYFUNCTION("""COMPUTED_VALUE"""),0.0)</f>
        <v>0</v>
      </c>
      <c r="V396" s="16">
        <f>IFERROR(__xludf.DUMMYFUNCTION("""COMPUTED_VALUE"""),1.0)</f>
        <v>1</v>
      </c>
      <c r="W396" s="16">
        <f>IFERROR(__xludf.DUMMYFUNCTION("""COMPUTED_VALUE"""),0.0)</f>
        <v>0</v>
      </c>
      <c r="X396" s="16">
        <f>IFERROR(__xludf.DUMMYFUNCTION("""COMPUTED_VALUE"""),2.0)</f>
        <v>2</v>
      </c>
      <c r="Y396" s="16">
        <f>IFERROR(__xludf.DUMMYFUNCTION("""COMPUTED_VALUE"""),38.6)</f>
        <v>38.6</v>
      </c>
      <c r="Z396" s="16">
        <f>IFERROR(__xludf.DUMMYFUNCTION("""COMPUTED_VALUE"""),29.8)</f>
        <v>29.8</v>
      </c>
      <c r="AA396" s="16">
        <f>IFERROR(__xludf.DUMMYFUNCTION("""COMPUTED_VALUE"""),-2.0)</f>
        <v>-2</v>
      </c>
      <c r="AB396" s="16">
        <f>IFERROR(__xludf.DUMMYFUNCTION("""COMPUTED_VALUE"""),-1.0)</f>
        <v>-1</v>
      </c>
      <c r="AC396" s="16">
        <f>IFERROR(__xludf.DUMMYFUNCTION("""COMPUTED_VALUE"""),-10.0)</f>
        <v>-10</v>
      </c>
      <c r="AD396" s="16">
        <f>IFERROR(__xludf.DUMMYFUNCTION("""COMPUTED_VALUE"""),-5.0)</f>
        <v>-5</v>
      </c>
      <c r="AE396" s="16">
        <f>IFERROR(__xludf.DUMMYFUNCTION("""COMPUTED_VALUE"""),20.3)</f>
        <v>20.3</v>
      </c>
      <c r="AF396" s="16">
        <f>IFERROR(__xludf.DUMMYFUNCTION("""COMPUTED_VALUE"""),22.6)</f>
        <v>22.6</v>
      </c>
      <c r="AG396" s="16">
        <f>IFERROR(__xludf.DUMMYFUNCTION("""COMPUTED_VALUE"""),1.0)</f>
        <v>1</v>
      </c>
      <c r="AH396" s="16">
        <f>IFERROR(__xludf.DUMMYFUNCTION("""COMPUTED_VALUE"""),1.0)</f>
        <v>1</v>
      </c>
      <c r="AI396" s="16">
        <f>IFERROR(__xludf.DUMMYFUNCTION("""COMPUTED_VALUE"""),2.0)</f>
        <v>2</v>
      </c>
      <c r="AJ396" s="16">
        <f>IFERROR(__xludf.DUMMYFUNCTION("""COMPUTED_VALUE"""),2.0)</f>
        <v>2</v>
      </c>
      <c r="AK396" s="16">
        <f>IFERROR(__xludf.DUMMYFUNCTION("""COMPUTED_VALUE"""),16.5)</f>
        <v>16.5</v>
      </c>
      <c r="AL396" s="16">
        <f>IFERROR(__xludf.DUMMYFUNCTION("""COMPUTED_VALUE"""),8.200000000000001)</f>
        <v>8.2</v>
      </c>
      <c r="AM396" s="16">
        <f>IFERROR(__xludf.DUMMYFUNCTION("""COMPUTED_VALUE"""),-1.0)</f>
        <v>-1</v>
      </c>
      <c r="AN396" s="16">
        <f>IFERROR(__xludf.DUMMYFUNCTION("""COMPUTED_VALUE"""),1.0)</f>
        <v>1</v>
      </c>
      <c r="AO396" s="16">
        <f>IFERROR(__xludf.DUMMYFUNCTION("""COMPUTED_VALUE"""),-1.0)</f>
        <v>-1</v>
      </c>
      <c r="AP396" s="16">
        <f>IFERROR(__xludf.DUMMYFUNCTION("""COMPUTED_VALUE"""),1.0)</f>
        <v>1</v>
      </c>
      <c r="AQ396" s="16">
        <f>IFERROR(__xludf.DUMMYFUNCTION("""COMPUTED_VALUE"""),20.3)</f>
        <v>20.3</v>
      </c>
      <c r="AR396" s="16">
        <f>IFERROR(__xludf.DUMMYFUNCTION("""COMPUTED_VALUE"""),8.200000000000001)</f>
        <v>8.2</v>
      </c>
      <c r="AS396" s="16">
        <f>IFERROR(__xludf.DUMMYFUNCTION("""COMPUTED_VALUE"""),0.0)</f>
        <v>0</v>
      </c>
      <c r="AT396" s="16">
        <f>IFERROR(__xludf.DUMMYFUNCTION("""COMPUTED_VALUE"""),2.0)</f>
        <v>2</v>
      </c>
      <c r="AU396" s="16">
        <f>IFERROR(__xludf.DUMMYFUNCTION("""COMPUTED_VALUE"""),0.0)</f>
        <v>0</v>
      </c>
      <c r="AV396" s="16">
        <f>IFERROR(__xludf.DUMMYFUNCTION("""COMPUTED_VALUE"""),4.0)</f>
        <v>4</v>
      </c>
      <c r="AW396" s="16">
        <f>IFERROR(__xludf.DUMMYFUNCTION("""COMPUTED_VALUE"""),0.0)</f>
        <v>0</v>
      </c>
      <c r="AX396" s="16">
        <f>IFERROR(__xludf.DUMMYFUNCTION("""COMPUTED_VALUE"""),3.6)</f>
        <v>3.6</v>
      </c>
      <c r="AY396" s="16">
        <f>IFERROR(__xludf.DUMMYFUNCTION("""COMPUTED_VALUE"""),2.0)</f>
        <v>2</v>
      </c>
      <c r="AZ396" s="16">
        <f>IFERROR(__xludf.DUMMYFUNCTION("""COMPUTED_VALUE"""),-2.0)</f>
        <v>-2</v>
      </c>
      <c r="BA396" s="16">
        <f>IFERROR(__xludf.DUMMYFUNCTION("""COMPUTED_VALUE"""),10.0)</f>
        <v>10</v>
      </c>
      <c r="BB396" s="16">
        <f>IFERROR(__xludf.DUMMYFUNCTION("""COMPUTED_VALUE"""),-10.0)</f>
        <v>-10</v>
      </c>
      <c r="BC396" s="16">
        <f>IFERROR(__xludf.DUMMYFUNCTION("""COMPUTED_VALUE"""),0.0)</f>
        <v>0</v>
      </c>
      <c r="BD396" s="16">
        <f>IFERROR(__xludf.DUMMYFUNCTION("""COMPUTED_VALUE"""),6.0)</f>
        <v>6</v>
      </c>
      <c r="BE396" s="16">
        <f>IFERROR(__xludf.DUMMYFUNCTION("""COMPUTED_VALUE"""),0.0)</f>
        <v>0</v>
      </c>
      <c r="BF396" s="16">
        <f>IFERROR(__xludf.DUMMYFUNCTION("""COMPUTED_VALUE"""),6.0)</f>
        <v>6</v>
      </c>
      <c r="BG396" s="16">
        <f>IFERROR(__xludf.DUMMYFUNCTION("""COMPUTED_VALUE"""),3.0)</f>
        <v>3</v>
      </c>
      <c r="BH396" s="16">
        <f>IFERROR(__xludf.DUMMYFUNCTION("""COMPUTED_VALUE"""),-2.0)</f>
        <v>-2</v>
      </c>
      <c r="BI396" s="16">
        <f>IFERROR(__xludf.DUMMYFUNCTION("""COMPUTED_VALUE"""),6.0)</f>
        <v>6</v>
      </c>
      <c r="BJ396" s="16">
        <f>IFERROR(__xludf.DUMMYFUNCTION("""COMPUTED_VALUE"""),-4.0)</f>
        <v>-4</v>
      </c>
      <c r="BK396" s="16">
        <f>IFERROR(__xludf.DUMMYFUNCTION("""COMPUTED_VALUE"""),5.0)</f>
        <v>5</v>
      </c>
      <c r="BL396" s="16">
        <f>IFERROR(__xludf.DUMMYFUNCTION("""COMPUTED_VALUE"""),5.0)</f>
        <v>5</v>
      </c>
      <c r="BM396" s="16">
        <f>IFERROR(__xludf.DUMMYFUNCTION("""COMPUTED_VALUE"""),0.0)</f>
        <v>0</v>
      </c>
      <c r="BN396" s="16">
        <f>IFERROR(__xludf.DUMMYFUNCTION("""COMPUTED_VALUE"""),0.0)</f>
        <v>0</v>
      </c>
      <c r="BO396" s="16">
        <f>IFERROR(__xludf.DUMMYFUNCTION("""COMPUTED_VALUE"""),0.0)</f>
        <v>0</v>
      </c>
      <c r="BP396" s="16">
        <f>IFERROR(__xludf.DUMMYFUNCTION("""COMPUTED_VALUE"""),0.0)</f>
        <v>0</v>
      </c>
      <c r="BQ396" s="16">
        <f>IFERROR(__xludf.DUMMYFUNCTION("""COMPUTED_VALUE"""),2.0)</f>
        <v>2</v>
      </c>
      <c r="BR396" s="16">
        <f>IFERROR(__xludf.DUMMYFUNCTION("""COMPUTED_VALUE"""),0.0)</f>
        <v>0</v>
      </c>
      <c r="BS396" s="16">
        <f>IFERROR(__xludf.DUMMYFUNCTION("""COMPUTED_VALUE"""),-2.0)</f>
        <v>-2</v>
      </c>
      <c r="BT396" s="16">
        <f>IFERROR(__xludf.DUMMYFUNCTION("""COMPUTED_VALUE"""),-3.0)</f>
        <v>-3</v>
      </c>
      <c r="BU396" s="16">
        <f>IFERROR(__xludf.DUMMYFUNCTION("""COMPUTED_VALUE"""),-4.0)</f>
        <v>-4</v>
      </c>
      <c r="BV396" s="16">
        <f>IFERROR(__xludf.DUMMYFUNCTION("""COMPUTED_VALUE"""),-6.0)</f>
        <v>-6</v>
      </c>
      <c r="BW396" s="16">
        <f>IFERROR(__xludf.DUMMYFUNCTION("""COMPUTED_VALUE"""),-3.0)</f>
        <v>-3</v>
      </c>
      <c r="BX396" s="16">
        <f>IFERROR(__xludf.DUMMYFUNCTION("""COMPUTED_VALUE"""),-3.0)</f>
        <v>-3</v>
      </c>
      <c r="BY396" s="16" t="str">
        <f>IFERROR(__xludf.DUMMYFUNCTION("""COMPUTED_VALUE"""),"R(1)")</f>
        <v>R(1)</v>
      </c>
      <c r="BZ396" s="16" t="str">
        <f>IFERROR(__xludf.DUMMYFUNCTION("""COMPUTED_VALUE"""),"R(1)")</f>
        <v>R(1)</v>
      </c>
      <c r="CA396" s="16" t="str">
        <f>IFERROR(__xludf.DUMMYFUNCTION("""COMPUTED_VALUE"""),"R(1)")</f>
        <v>R(1)</v>
      </c>
      <c r="CB396" s="16"/>
      <c r="CC396" s="16"/>
      <c r="CD396" s="16"/>
      <c r="CE396" s="16">
        <f>IFERROR(__xludf.DUMMYFUNCTION("""COMPUTED_VALUE"""),1.0)</f>
        <v>1</v>
      </c>
      <c r="CF396" s="16"/>
      <c r="CG396" s="16" t="str">
        <f>IFERROR(__xludf.DUMMYFUNCTION("""COMPUTED_VALUE"""),"4-0")</f>
        <v>4-0</v>
      </c>
      <c r="CH396" s="16">
        <f>IFERROR(__xludf.DUMMYFUNCTION("""COMPUTED_VALUE"""),4.0)</f>
        <v>4</v>
      </c>
      <c r="CI396" s="16">
        <f>IFERROR(__xludf.DUMMYFUNCTION("""COMPUTED_VALUE"""),0.0)</f>
        <v>0</v>
      </c>
      <c r="CJ396" s="16">
        <f>IFERROR(__xludf.DUMMYFUNCTION("""COMPUTED_VALUE"""),0.0)</f>
        <v>0</v>
      </c>
      <c r="CK396" s="16">
        <f>IFERROR(__xludf.DUMMYFUNCTION("""COMPUTED_VALUE"""),20.0)</f>
        <v>20</v>
      </c>
      <c r="CL396" s="16" t="str">
        <f>IFERROR(__xludf.DUMMYFUNCTION("""COMPUTED_VALUE"""),"1WR-C")</f>
        <v>1WR-C</v>
      </c>
      <c r="CM396" s="16" t="str">
        <f>IFERROR(__xludf.DUMMYFUNCTION("""COMPUTED_VALUE"""),"E")</f>
        <v>E</v>
      </c>
      <c r="CN396" s="16">
        <f>IFERROR(__xludf.DUMMYFUNCTION("""COMPUTED_VALUE"""),10.0)</f>
        <v>10</v>
      </c>
      <c r="CO396" s="16" t="str">
        <f>IFERROR(__xludf.DUMMYFUNCTION("""COMPUTED_VALUE"""),"C")</f>
        <v>C</v>
      </c>
      <c r="CP396" s="16" t="str">
        <f>IFERROR(__xludf.DUMMYFUNCTION("""COMPUTED_VALUE"""),"4p40")</f>
        <v>4p40</v>
      </c>
      <c r="CQ396" s="16">
        <f>IFERROR(__xludf.DUMMYFUNCTION("""COMPUTED_VALUE"""),-3.0)</f>
        <v>-3</v>
      </c>
      <c r="CR396" s="16">
        <f>IFERROR(__xludf.DUMMYFUNCTION("""COMPUTED_VALUE"""),-22.0)</f>
        <v>-22</v>
      </c>
      <c r="CS396" s="16">
        <f>IFERROR(__xludf.DUMMYFUNCTION("""COMPUTED_VALUE"""),-25.0)</f>
        <v>-25</v>
      </c>
      <c r="CT396" s="16">
        <f>IFERROR(__xludf.DUMMYFUNCTION("""COMPUTED_VALUE"""),-3.0)</f>
        <v>-3</v>
      </c>
      <c r="CU396" s="16">
        <f>IFERROR(__xludf.DUMMYFUNCTION("""COMPUTED_VALUE"""),-22.0)</f>
        <v>-22</v>
      </c>
      <c r="CV396" s="179">
        <f>IFERROR(__xludf.DUMMYFUNCTION("""COMPUTED_VALUE"""),-13.666666666666666)</f>
        <v>-13.66666667</v>
      </c>
      <c r="CW396" s="179">
        <f>IFERROR(__xludf.DUMMYFUNCTION("""COMPUTED_VALUE"""),1.0)</f>
        <v>1</v>
      </c>
      <c r="CX396" s="179">
        <f>IFERROR(__xludf.DUMMYFUNCTION("""COMPUTED_VALUE"""),1.0)</f>
        <v>1</v>
      </c>
      <c r="CY396" s="16" t="str">
        <f>IFERROR(__xludf.DUMMYFUNCTION("""COMPUTED_VALUE"""),"RP")</f>
        <v>RP</v>
      </c>
      <c r="CZ396" s="16"/>
      <c r="DA396" s="16"/>
      <c r="DB396" s="16"/>
      <c r="DC396" s="16"/>
      <c r="DD396" s="16"/>
      <c r="DE396" s="16"/>
      <c r="DF396" s="16"/>
      <c r="DG396" s="16"/>
      <c r="DH396" s="16"/>
      <c r="DI396" s="16"/>
      <c r="DJ396" s="16"/>
      <c r="DK396" s="16"/>
    </row>
    <row r="397">
      <c r="A397" s="16">
        <f>IFERROR(__xludf.DUMMYFUNCTION("""COMPUTED_VALUE"""),13027.0)</f>
        <v>13027</v>
      </c>
      <c r="B397" s="16" t="str">
        <f>IFERROR(__xludf.DUMMYFUNCTION("""COMPUTED_VALUE"""),"Jose Suarez")</f>
        <v>Jose Suarez</v>
      </c>
      <c r="C397" s="153">
        <f>IFERROR(__xludf.DUMMYFUNCTION("""COMPUTED_VALUE"""),0.0)</f>
        <v>0</v>
      </c>
      <c r="D397" s="16"/>
      <c r="E397" s="16" t="str">
        <f>IFERROR(__xludf.DUMMYFUNCTION("""COMPUTED_VALUE"""),"L")</f>
        <v>L</v>
      </c>
      <c r="F397" s="16">
        <f>IFERROR(__xludf.DUMMYFUNCTION("""COMPUTED_VALUE"""),52.0)</f>
        <v>52</v>
      </c>
      <c r="G397" s="16">
        <f>IFERROR(__xludf.DUMMYFUNCTION("""COMPUTED_VALUE"""),28.0)</f>
        <v>28</v>
      </c>
      <c r="H397" s="16">
        <f>IFERROR(__xludf.DUMMYFUNCTION("""COMPUTED_VALUE"""),24.0)</f>
        <v>24</v>
      </c>
      <c r="I397" s="16">
        <f>IFERROR(__xludf.DUMMYFUNCTION("""COMPUTED_VALUE"""),0.0)</f>
        <v>0</v>
      </c>
      <c r="J397" s="16">
        <f>IFERROR(__xludf.DUMMYFUNCTION("""COMPUTED_VALUE"""),0.0)</f>
        <v>0</v>
      </c>
      <c r="K397" s="16">
        <f>IFERROR(__xludf.DUMMYFUNCTION("""COMPUTED_VALUE"""),0.0)</f>
        <v>0</v>
      </c>
      <c r="L397" s="16">
        <f>IFERROR(__xludf.DUMMYFUNCTION("""COMPUTED_VALUE"""),0.0)</f>
        <v>0</v>
      </c>
      <c r="M397" s="16">
        <f>IFERROR(__xludf.DUMMYFUNCTION("""COMPUTED_VALUE"""),18.0)</f>
        <v>18</v>
      </c>
      <c r="N397" s="16">
        <f>IFERROR(__xludf.DUMMYFUNCTION("""COMPUTED_VALUE"""),15.0)</f>
        <v>15</v>
      </c>
      <c r="O397" s="16">
        <f>IFERROR(__xludf.DUMMYFUNCTION("""COMPUTED_VALUE"""),-3.0)</f>
        <v>-3</v>
      </c>
      <c r="P397" s="16">
        <f>IFERROR(__xludf.DUMMYFUNCTION("""COMPUTED_VALUE"""),-3.0)</f>
        <v>-3</v>
      </c>
      <c r="Q397" s="16">
        <f>IFERROR(__xludf.DUMMYFUNCTION("""COMPUTED_VALUE"""),-3.0)</f>
        <v>-3</v>
      </c>
      <c r="R397" s="16">
        <f>IFERROR(__xludf.DUMMYFUNCTION("""COMPUTED_VALUE"""),-3.0)</f>
        <v>-3</v>
      </c>
      <c r="S397" s="16">
        <f>IFERROR(__xludf.DUMMYFUNCTION("""COMPUTED_VALUE"""),19.0)</f>
        <v>19</v>
      </c>
      <c r="T397" s="16">
        <f>IFERROR(__xludf.DUMMYFUNCTION("""COMPUTED_VALUE"""),20.9)</f>
        <v>20.9</v>
      </c>
      <c r="U397" s="16">
        <f>IFERROR(__xludf.DUMMYFUNCTION("""COMPUTED_VALUE"""),-1.0)</f>
        <v>-1</v>
      </c>
      <c r="V397" s="16">
        <f>IFERROR(__xludf.DUMMYFUNCTION("""COMPUTED_VALUE"""),-1.0)</f>
        <v>-1</v>
      </c>
      <c r="W397" s="16">
        <f>IFERROR(__xludf.DUMMYFUNCTION("""COMPUTED_VALUE"""),-2.0)</f>
        <v>-2</v>
      </c>
      <c r="X397" s="16">
        <f>IFERROR(__xludf.DUMMYFUNCTION("""COMPUTED_VALUE"""),-2.0)</f>
        <v>-2</v>
      </c>
      <c r="Y397" s="16">
        <f>IFERROR(__xludf.DUMMYFUNCTION("""COMPUTED_VALUE"""),37.0)</f>
        <v>37</v>
      </c>
      <c r="Z397" s="16">
        <f>IFERROR(__xludf.DUMMYFUNCTION("""COMPUTED_VALUE"""),35.9)</f>
        <v>35.9</v>
      </c>
      <c r="AA397" s="16">
        <f>IFERROR(__xludf.DUMMYFUNCTION("""COMPUTED_VALUE"""),-2.0)</f>
        <v>-2</v>
      </c>
      <c r="AB397" s="16">
        <f>IFERROR(__xludf.DUMMYFUNCTION("""COMPUTED_VALUE"""),-2.0)</f>
        <v>-2</v>
      </c>
      <c r="AC397" s="16">
        <f>IFERROR(__xludf.DUMMYFUNCTION("""COMPUTED_VALUE"""),-10.0)</f>
        <v>-10</v>
      </c>
      <c r="AD397" s="16">
        <f>IFERROR(__xludf.DUMMYFUNCTION("""COMPUTED_VALUE"""),-10.0)</f>
        <v>-10</v>
      </c>
      <c r="AE397" s="16">
        <f>IFERROR(__xludf.DUMMYFUNCTION("""COMPUTED_VALUE"""),36.7)</f>
        <v>36.7</v>
      </c>
      <c r="AF397" s="16">
        <f>IFERROR(__xludf.DUMMYFUNCTION("""COMPUTED_VALUE"""),47.3)</f>
        <v>47.3</v>
      </c>
      <c r="AG397" s="16">
        <f>IFERROR(__xludf.DUMMYFUNCTION("""COMPUTED_VALUE"""),-1.0)</f>
        <v>-1</v>
      </c>
      <c r="AH397" s="16">
        <f>IFERROR(__xludf.DUMMYFUNCTION("""COMPUTED_VALUE"""),-2.0)</f>
        <v>-2</v>
      </c>
      <c r="AI397" s="16">
        <f>IFERROR(__xludf.DUMMYFUNCTION("""COMPUTED_VALUE"""),-2.0)</f>
        <v>-2</v>
      </c>
      <c r="AJ397" s="16">
        <f>IFERROR(__xludf.DUMMYFUNCTION("""COMPUTED_VALUE"""),-4.0)</f>
        <v>-4</v>
      </c>
      <c r="AK397" s="16">
        <f>IFERROR(__xludf.DUMMYFUNCTION("""COMPUTED_VALUE"""),17.6)</f>
        <v>17.6</v>
      </c>
      <c r="AL397" s="16">
        <f>IFERROR(__xludf.DUMMYFUNCTION("""COMPUTED_VALUE"""),18.7)</f>
        <v>18.7</v>
      </c>
      <c r="AM397" s="16">
        <f>IFERROR(__xludf.DUMMYFUNCTION("""COMPUTED_VALUE"""),-1.0)</f>
        <v>-1</v>
      </c>
      <c r="AN397" s="16">
        <f>IFERROR(__xludf.DUMMYFUNCTION("""COMPUTED_VALUE"""),-1.0)</f>
        <v>-1</v>
      </c>
      <c r="AO397" s="16">
        <f>IFERROR(__xludf.DUMMYFUNCTION("""COMPUTED_VALUE"""),-1.0)</f>
        <v>-1</v>
      </c>
      <c r="AP397" s="16">
        <f>IFERROR(__xludf.DUMMYFUNCTION("""COMPUTED_VALUE"""),-1.0)</f>
        <v>-1</v>
      </c>
      <c r="AQ397" s="16">
        <f>IFERROR(__xludf.DUMMYFUNCTION("""COMPUTED_VALUE"""),31.1)</f>
        <v>31.1</v>
      </c>
      <c r="AR397" s="16">
        <f>IFERROR(__xludf.DUMMYFUNCTION("""COMPUTED_VALUE"""),38.5)</f>
        <v>38.5</v>
      </c>
      <c r="AS397" s="16">
        <f>IFERROR(__xludf.DUMMYFUNCTION("""COMPUTED_VALUE"""),-1.0)</f>
        <v>-1</v>
      </c>
      <c r="AT397" s="16">
        <f>IFERROR(__xludf.DUMMYFUNCTION("""COMPUTED_VALUE"""),-2.0)</f>
        <v>-2</v>
      </c>
      <c r="AU397" s="16">
        <f>IFERROR(__xludf.DUMMYFUNCTION("""COMPUTED_VALUE"""),-2.0)</f>
        <v>-2</v>
      </c>
      <c r="AV397" s="16">
        <f>IFERROR(__xludf.DUMMYFUNCTION("""COMPUTED_VALUE"""),-4.0)</f>
        <v>-4</v>
      </c>
      <c r="AW397" s="16">
        <f>IFERROR(__xludf.DUMMYFUNCTION("""COMPUTED_VALUE"""),1.4)</f>
        <v>1.4</v>
      </c>
      <c r="AX397" s="16">
        <f>IFERROR(__xludf.DUMMYFUNCTION("""COMPUTED_VALUE"""),2.2)</f>
        <v>2.2</v>
      </c>
      <c r="AY397" s="16">
        <f>IFERROR(__xludf.DUMMYFUNCTION("""COMPUTED_VALUE"""),1.0)</f>
        <v>1</v>
      </c>
      <c r="AZ397" s="16">
        <f>IFERROR(__xludf.DUMMYFUNCTION("""COMPUTED_VALUE"""),0.0)</f>
        <v>0</v>
      </c>
      <c r="BA397" s="16">
        <f>IFERROR(__xludf.DUMMYFUNCTION("""COMPUTED_VALUE"""),5.0)</f>
        <v>5</v>
      </c>
      <c r="BB397" s="16">
        <f>IFERROR(__xludf.DUMMYFUNCTION("""COMPUTED_VALUE"""),0.0)</f>
        <v>0</v>
      </c>
      <c r="BC397" s="16">
        <f>IFERROR(__xludf.DUMMYFUNCTION("""COMPUTED_VALUE"""),2.0)</f>
        <v>2</v>
      </c>
      <c r="BD397" s="16">
        <f>IFERROR(__xludf.DUMMYFUNCTION("""COMPUTED_VALUE"""),3.0)</f>
        <v>3</v>
      </c>
      <c r="BE397" s="16">
        <f>IFERROR(__xludf.DUMMYFUNCTION("""COMPUTED_VALUE"""),2.0)</f>
        <v>2</v>
      </c>
      <c r="BF397" s="16">
        <f>IFERROR(__xludf.DUMMYFUNCTION("""COMPUTED_VALUE"""),3.0)</f>
        <v>3</v>
      </c>
      <c r="BG397" s="16">
        <f>IFERROR(__xludf.DUMMYFUNCTION("""COMPUTED_VALUE"""),1.0)</f>
        <v>1</v>
      </c>
      <c r="BH397" s="16">
        <f>IFERROR(__xludf.DUMMYFUNCTION("""COMPUTED_VALUE"""),0.0)</f>
        <v>0</v>
      </c>
      <c r="BI397" s="16">
        <f>IFERROR(__xludf.DUMMYFUNCTION("""COMPUTED_VALUE"""),2.0)</f>
        <v>2</v>
      </c>
      <c r="BJ397" s="16">
        <f>IFERROR(__xludf.DUMMYFUNCTION("""COMPUTED_VALUE"""),0.0)</f>
        <v>0</v>
      </c>
      <c r="BK397" s="16">
        <f>IFERROR(__xludf.DUMMYFUNCTION("""COMPUTED_VALUE"""),5.0)</f>
        <v>5</v>
      </c>
      <c r="BL397" s="16">
        <f>IFERROR(__xludf.DUMMYFUNCTION("""COMPUTED_VALUE"""),5.0)</f>
        <v>5</v>
      </c>
      <c r="BM397" s="16">
        <f>IFERROR(__xludf.DUMMYFUNCTION("""COMPUTED_VALUE"""),0.0)</f>
        <v>0</v>
      </c>
      <c r="BN397" s="16">
        <f>IFERROR(__xludf.DUMMYFUNCTION("""COMPUTED_VALUE"""),0.0)</f>
        <v>0</v>
      </c>
      <c r="BO397" s="16">
        <f>IFERROR(__xludf.DUMMYFUNCTION("""COMPUTED_VALUE"""),0.0)</f>
        <v>0</v>
      </c>
      <c r="BP397" s="16">
        <f>IFERROR(__xludf.DUMMYFUNCTION("""COMPUTED_VALUE"""),0.0)</f>
        <v>0</v>
      </c>
      <c r="BQ397" s="16">
        <f>IFERROR(__xludf.DUMMYFUNCTION("""COMPUTED_VALUE"""),4.0)</f>
        <v>4</v>
      </c>
      <c r="BR397" s="16">
        <f>IFERROR(__xludf.DUMMYFUNCTION("""COMPUTED_VALUE"""),6.0)</f>
        <v>6</v>
      </c>
      <c r="BS397" s="16">
        <f>IFERROR(__xludf.DUMMYFUNCTION("""COMPUTED_VALUE"""),-1.0)</f>
        <v>-1</v>
      </c>
      <c r="BT397" s="16">
        <f>IFERROR(__xludf.DUMMYFUNCTION("""COMPUTED_VALUE"""),1.0)</f>
        <v>1</v>
      </c>
      <c r="BU397" s="16">
        <f>IFERROR(__xludf.DUMMYFUNCTION("""COMPUTED_VALUE"""),-2.0)</f>
        <v>-2</v>
      </c>
      <c r="BV397" s="16">
        <f>IFERROR(__xludf.DUMMYFUNCTION("""COMPUTED_VALUE"""),2.0)</f>
        <v>2</v>
      </c>
      <c r="BW397" s="16">
        <f>IFERROR(__xludf.DUMMYFUNCTION("""COMPUTED_VALUE"""),-6.0)</f>
        <v>-6</v>
      </c>
      <c r="BX397" s="16">
        <f>IFERROR(__xludf.DUMMYFUNCTION("""COMPUTED_VALUE"""),-6.0)</f>
        <v>-6</v>
      </c>
      <c r="BY397" s="16" t="str">
        <f>IFERROR(__xludf.DUMMYFUNCTION("""COMPUTED_VALUE"""),"S(4) R(3) C(0)")</f>
        <v>S(4) R(3) C(0)</v>
      </c>
      <c r="BZ397" s="16" t="str">
        <f>IFERROR(__xludf.DUMMYFUNCTION("""COMPUTED_VALUE"""),"S(4) R(3) C(0)")</f>
        <v>S(4) R(3) C(0)</v>
      </c>
      <c r="CA397" s="16" t="str">
        <f>IFERROR(__xludf.DUMMYFUNCTION("""COMPUTED_VALUE"""),"S(4)")</f>
        <v>S(4)</v>
      </c>
      <c r="CB397" s="16" t="str">
        <f>IFERROR(__xludf.DUMMYFUNCTION("""COMPUTED_VALUE"""),"R(3)")</f>
        <v>R(3)</v>
      </c>
      <c r="CC397" s="16" t="str">
        <f>IFERROR(__xludf.DUMMYFUNCTION("""COMPUTED_VALUE"""),"C(0)")</f>
        <v>C(0)</v>
      </c>
      <c r="CD397" s="16">
        <f>IFERROR(__xludf.DUMMYFUNCTION("""COMPUTED_VALUE"""),4.0)</f>
        <v>4</v>
      </c>
      <c r="CE397" s="16">
        <f>IFERROR(__xludf.DUMMYFUNCTION("""COMPUTED_VALUE"""),3.0)</f>
        <v>3</v>
      </c>
      <c r="CF397" s="16">
        <f>IFERROR(__xludf.DUMMYFUNCTION("""COMPUTED_VALUE"""),0.0)</f>
        <v>0</v>
      </c>
      <c r="CG397" s="16" t="str">
        <f>IFERROR(__xludf.DUMMYFUNCTION("""COMPUTED_VALUE"""),"2-0")</f>
        <v>2-0</v>
      </c>
      <c r="CH397" s="16">
        <f>IFERROR(__xludf.DUMMYFUNCTION("""COMPUTED_VALUE"""),2.0)</f>
        <v>2</v>
      </c>
      <c r="CI397" s="16">
        <f>IFERROR(__xludf.DUMMYFUNCTION("""COMPUTED_VALUE"""),0.0)</f>
        <v>0</v>
      </c>
      <c r="CJ397" s="16">
        <f>IFERROR(__xludf.DUMMYFUNCTION("""COMPUTED_VALUE"""),0.0)</f>
        <v>0</v>
      </c>
      <c r="CK397" s="16">
        <f>IFERROR(__xludf.DUMMYFUNCTION("""COMPUTED_VALUE"""),3.0)</f>
        <v>3</v>
      </c>
      <c r="CL397" s="16" t="str">
        <f>IFERROR(__xludf.DUMMYFUNCTION("""COMPUTED_VALUE"""),"1WL-C")</f>
        <v>1WL-C</v>
      </c>
      <c r="CM397" s="16" t="str">
        <f>IFERROR(__xludf.DUMMYFUNCTION("""COMPUTED_VALUE"""),"E")</f>
        <v>E</v>
      </c>
      <c r="CN397" s="16">
        <f>IFERROR(__xludf.DUMMYFUNCTION("""COMPUTED_VALUE"""),10.0)</f>
        <v>10</v>
      </c>
      <c r="CO397" s="16" t="str">
        <f>IFERROR(__xludf.DUMMYFUNCTION("""COMPUTED_VALUE"""),"C")</f>
        <v>C</v>
      </c>
      <c r="CP397" s="16" t="str">
        <f>IFERROR(__xludf.DUMMYFUNCTION("""COMPUTED_VALUE"""),"1p30")</f>
        <v>1p30</v>
      </c>
      <c r="CQ397" s="16">
        <f>IFERROR(__xludf.DUMMYFUNCTION("""COMPUTED_VALUE"""),-15.0)</f>
        <v>-15</v>
      </c>
      <c r="CR397" s="16">
        <f>IFERROR(__xludf.DUMMYFUNCTION("""COMPUTED_VALUE"""),-22.0)</f>
        <v>-22</v>
      </c>
      <c r="CS397" s="16">
        <f>IFERROR(__xludf.DUMMYFUNCTION("""COMPUTED_VALUE"""),-37.0)</f>
        <v>-37</v>
      </c>
      <c r="CT397" s="16">
        <f>IFERROR(__xludf.DUMMYFUNCTION("""COMPUTED_VALUE"""),-15.0)</f>
        <v>-15</v>
      </c>
      <c r="CU397" s="16">
        <f>IFERROR(__xludf.DUMMYFUNCTION("""COMPUTED_VALUE"""),-22.0)</f>
        <v>-22</v>
      </c>
      <c r="CV397" s="179">
        <f>IFERROR(__xludf.DUMMYFUNCTION("""COMPUTED_VALUE"""),-13.666666666666668)</f>
        <v>-13.66666667</v>
      </c>
      <c r="CW397" s="179">
        <f>IFERROR(__xludf.DUMMYFUNCTION("""COMPUTED_VALUE"""),4.0)</f>
        <v>4</v>
      </c>
      <c r="CX397" s="179">
        <f>IFERROR(__xludf.DUMMYFUNCTION("""COMPUTED_VALUE"""),2.0)</f>
        <v>2</v>
      </c>
      <c r="CY397" s="16" t="str">
        <f>IFERROR(__xludf.DUMMYFUNCTION("""COMPUTED_VALUE"""),"SP")</f>
        <v>SP</v>
      </c>
      <c r="CZ397" s="16" t="str">
        <f>IFERROR(__xludf.DUMMYFUNCTION("""COMPUTED_VALUE"""),"RP")</f>
        <v>RP</v>
      </c>
      <c r="DA397" s="16" t="str">
        <f>IFERROR(__xludf.DUMMYFUNCTION("""COMPUTED_VALUE"""),"CP")</f>
        <v>CP</v>
      </c>
      <c r="DB397" s="16"/>
      <c r="DC397" s="16"/>
      <c r="DD397" s="16"/>
      <c r="DE397" s="16"/>
      <c r="DF397" s="16"/>
      <c r="DG397" s="16"/>
      <c r="DH397" s="16"/>
      <c r="DI397" s="16"/>
      <c r="DJ397" s="16"/>
      <c r="DK397" s="16"/>
    </row>
    <row r="398">
      <c r="A398" s="16">
        <f>IFERROR(__xludf.DUMMYFUNCTION("""COMPUTED_VALUE"""),12642.0)</f>
        <v>12642</v>
      </c>
      <c r="B398" s="16" t="str">
        <f>IFERROR(__xludf.DUMMYFUNCTION("""COMPUTED_VALUE"""),"Cade Povich")</f>
        <v>Cade Povich</v>
      </c>
      <c r="C398" s="153">
        <f>IFERROR(__xludf.DUMMYFUNCTION("""COMPUTED_VALUE"""),0.0)</f>
        <v>0</v>
      </c>
      <c r="D398" s="16"/>
      <c r="E398" s="16" t="str">
        <f>IFERROR(__xludf.DUMMYFUNCTION("""COMPUTED_VALUE"""),"L")</f>
        <v>L</v>
      </c>
      <c r="F398" s="16">
        <f>IFERROR(__xludf.DUMMYFUNCTION("""COMPUTED_VALUE"""),80.0)</f>
        <v>80</v>
      </c>
      <c r="G398" s="16">
        <f>IFERROR(__xludf.DUMMYFUNCTION("""COMPUTED_VALUE"""),10.0)</f>
        <v>10</v>
      </c>
      <c r="H398" s="16">
        <f>IFERROR(__xludf.DUMMYFUNCTION("""COMPUTED_VALUE"""),21.0)</f>
        <v>21</v>
      </c>
      <c r="I398" s="16">
        <f>IFERROR(__xludf.DUMMYFUNCTION("""COMPUTED_VALUE"""),-2.0)</f>
        <v>-2</v>
      </c>
      <c r="J398" s="16">
        <f>IFERROR(__xludf.DUMMYFUNCTION("""COMPUTED_VALUE"""),-1.0)</f>
        <v>-1</v>
      </c>
      <c r="K398" s="16">
        <f>IFERROR(__xludf.DUMMYFUNCTION("""COMPUTED_VALUE"""),-6.0)</f>
        <v>-6</v>
      </c>
      <c r="L398" s="16">
        <f>IFERROR(__xludf.DUMMYFUNCTION("""COMPUTED_VALUE"""),-3.0)</f>
        <v>-3</v>
      </c>
      <c r="M398" s="16">
        <f>IFERROR(__xludf.DUMMYFUNCTION("""COMPUTED_VALUE"""),10.0)</f>
        <v>10</v>
      </c>
      <c r="N398" s="16">
        <f>IFERROR(__xludf.DUMMYFUNCTION("""COMPUTED_VALUE"""),12.0)</f>
        <v>12</v>
      </c>
      <c r="O398" s="16">
        <f>IFERROR(__xludf.DUMMYFUNCTION("""COMPUTED_VALUE"""),0.0)</f>
        <v>0</v>
      </c>
      <c r="P398" s="16">
        <f>IFERROR(__xludf.DUMMYFUNCTION("""COMPUTED_VALUE"""),-2.0)</f>
        <v>-2</v>
      </c>
      <c r="Q398" s="16">
        <f>IFERROR(__xludf.DUMMYFUNCTION("""COMPUTED_VALUE"""),0.0)</f>
        <v>0</v>
      </c>
      <c r="R398" s="16">
        <f>IFERROR(__xludf.DUMMYFUNCTION("""COMPUTED_VALUE"""),-2.0)</f>
        <v>-2</v>
      </c>
      <c r="S398" s="16">
        <f>IFERROR(__xludf.DUMMYFUNCTION("""COMPUTED_VALUE"""),15.8)</f>
        <v>15.8</v>
      </c>
      <c r="T398" s="16">
        <f>IFERROR(__xludf.DUMMYFUNCTION("""COMPUTED_VALUE"""),19.4)</f>
        <v>19.4</v>
      </c>
      <c r="U398" s="16">
        <f>IFERROR(__xludf.DUMMYFUNCTION("""COMPUTED_VALUE"""),0.0)</f>
        <v>0</v>
      </c>
      <c r="V398" s="16">
        <f>IFERROR(__xludf.DUMMYFUNCTION("""COMPUTED_VALUE"""),-1.0)</f>
        <v>-1</v>
      </c>
      <c r="W398" s="16">
        <f>IFERROR(__xludf.DUMMYFUNCTION("""COMPUTED_VALUE"""),0.0)</f>
        <v>0</v>
      </c>
      <c r="X398" s="16">
        <f>IFERROR(__xludf.DUMMYFUNCTION("""COMPUTED_VALUE"""),-2.0)</f>
        <v>-2</v>
      </c>
      <c r="Y398" s="16">
        <f>IFERROR(__xludf.DUMMYFUNCTION("""COMPUTED_VALUE"""),25.8)</f>
        <v>25.8</v>
      </c>
      <c r="Z398" s="16">
        <f>IFERROR(__xludf.DUMMYFUNCTION("""COMPUTED_VALUE"""),31.4)</f>
        <v>31.4</v>
      </c>
      <c r="AA398" s="16">
        <f>IFERROR(__xludf.DUMMYFUNCTION("""COMPUTED_VALUE"""),0.0)</f>
        <v>0</v>
      </c>
      <c r="AB398" s="16">
        <f>IFERROR(__xludf.DUMMYFUNCTION("""COMPUTED_VALUE"""),-1.0)</f>
        <v>-1</v>
      </c>
      <c r="AC398" s="16">
        <f>IFERROR(__xludf.DUMMYFUNCTION("""COMPUTED_VALUE"""),0.0)</f>
        <v>0</v>
      </c>
      <c r="AD398" s="16">
        <f>IFERROR(__xludf.DUMMYFUNCTION("""COMPUTED_VALUE"""),-5.0)</f>
        <v>-5</v>
      </c>
      <c r="AE398" s="16">
        <f>IFERROR(__xludf.DUMMYFUNCTION("""COMPUTED_VALUE"""),34.1)</f>
        <v>34.1</v>
      </c>
      <c r="AF398" s="16">
        <f>IFERROR(__xludf.DUMMYFUNCTION("""COMPUTED_VALUE"""),39.0)</f>
        <v>39</v>
      </c>
      <c r="AG398" s="16">
        <f>IFERROR(__xludf.DUMMYFUNCTION("""COMPUTED_VALUE"""),-1.0)</f>
        <v>-1</v>
      </c>
      <c r="AH398" s="16">
        <f>IFERROR(__xludf.DUMMYFUNCTION("""COMPUTED_VALUE"""),-1.0)</f>
        <v>-1</v>
      </c>
      <c r="AI398" s="16">
        <f>IFERROR(__xludf.DUMMYFUNCTION("""COMPUTED_VALUE"""),-2.0)</f>
        <v>-2</v>
      </c>
      <c r="AJ398" s="16">
        <f>IFERROR(__xludf.DUMMYFUNCTION("""COMPUTED_VALUE"""),-2.0)</f>
        <v>-2</v>
      </c>
      <c r="AK398" s="16">
        <f>IFERROR(__xludf.DUMMYFUNCTION("""COMPUTED_VALUE"""),14.4)</f>
        <v>14.4</v>
      </c>
      <c r="AL398" s="16">
        <f>IFERROR(__xludf.DUMMYFUNCTION("""COMPUTED_VALUE"""),15.999999999999998)</f>
        <v>16</v>
      </c>
      <c r="AM398" s="16">
        <f>IFERROR(__xludf.DUMMYFUNCTION("""COMPUTED_VALUE"""),0.0)</f>
        <v>0</v>
      </c>
      <c r="AN398" s="16">
        <f>IFERROR(__xludf.DUMMYFUNCTION("""COMPUTED_VALUE"""),0.0)</f>
        <v>0</v>
      </c>
      <c r="AO398" s="16">
        <f>IFERROR(__xludf.DUMMYFUNCTION("""COMPUTED_VALUE"""),0.0)</f>
        <v>0</v>
      </c>
      <c r="AP398" s="16">
        <f>IFERROR(__xludf.DUMMYFUNCTION("""COMPUTED_VALUE"""),0.0)</f>
        <v>0</v>
      </c>
      <c r="AQ398" s="16">
        <f>IFERROR(__xludf.DUMMYFUNCTION("""COMPUTED_VALUE"""),28.5)</f>
        <v>28.5</v>
      </c>
      <c r="AR398" s="16">
        <f>IFERROR(__xludf.DUMMYFUNCTION("""COMPUTED_VALUE"""),25.4)</f>
        <v>25.4</v>
      </c>
      <c r="AS398" s="16">
        <f>IFERROR(__xludf.DUMMYFUNCTION("""COMPUTED_VALUE"""),-1.0)</f>
        <v>-1</v>
      </c>
      <c r="AT398" s="16">
        <f>IFERROR(__xludf.DUMMYFUNCTION("""COMPUTED_VALUE"""),-1.0)</f>
        <v>-1</v>
      </c>
      <c r="AU398" s="16">
        <f>IFERROR(__xludf.DUMMYFUNCTION("""COMPUTED_VALUE"""),-2.0)</f>
        <v>-2</v>
      </c>
      <c r="AV398" s="16">
        <f>IFERROR(__xludf.DUMMYFUNCTION("""COMPUTED_VALUE"""),-2.0)</f>
        <v>-2</v>
      </c>
      <c r="AW398" s="16">
        <f>IFERROR(__xludf.DUMMYFUNCTION("""COMPUTED_VALUE"""),1.4)</f>
        <v>1.4</v>
      </c>
      <c r="AX398" s="16">
        <f>IFERROR(__xludf.DUMMYFUNCTION("""COMPUTED_VALUE"""),3.4)</f>
        <v>3.4</v>
      </c>
      <c r="AY398" s="16">
        <f>IFERROR(__xludf.DUMMYFUNCTION("""COMPUTED_VALUE"""),1.0)</f>
        <v>1</v>
      </c>
      <c r="AZ398" s="16">
        <f>IFERROR(__xludf.DUMMYFUNCTION("""COMPUTED_VALUE"""),-1.0)</f>
        <v>-1</v>
      </c>
      <c r="BA398" s="16">
        <f>IFERROR(__xludf.DUMMYFUNCTION("""COMPUTED_VALUE"""),5.0)</f>
        <v>5</v>
      </c>
      <c r="BB398" s="16">
        <f>IFERROR(__xludf.DUMMYFUNCTION("""COMPUTED_VALUE"""),-5.0)</f>
        <v>-5</v>
      </c>
      <c r="BC398" s="16">
        <f>IFERROR(__xludf.DUMMYFUNCTION("""COMPUTED_VALUE"""),1.0)</f>
        <v>1</v>
      </c>
      <c r="BD398" s="16">
        <f>IFERROR(__xludf.DUMMYFUNCTION("""COMPUTED_VALUE"""),6.0)</f>
        <v>6</v>
      </c>
      <c r="BE398" s="16">
        <f>IFERROR(__xludf.DUMMYFUNCTION("""COMPUTED_VALUE"""),1.0)</f>
        <v>1</v>
      </c>
      <c r="BF398" s="16">
        <f>IFERROR(__xludf.DUMMYFUNCTION("""COMPUTED_VALUE"""),6.0)</f>
        <v>6</v>
      </c>
      <c r="BG398" s="16">
        <f>IFERROR(__xludf.DUMMYFUNCTION("""COMPUTED_VALUE"""),2.0)</f>
        <v>2</v>
      </c>
      <c r="BH398" s="16">
        <f>IFERROR(__xludf.DUMMYFUNCTION("""COMPUTED_VALUE"""),-2.0)</f>
        <v>-2</v>
      </c>
      <c r="BI398" s="16">
        <f>IFERROR(__xludf.DUMMYFUNCTION("""COMPUTED_VALUE"""),4.0)</f>
        <v>4</v>
      </c>
      <c r="BJ398" s="16">
        <f>IFERROR(__xludf.DUMMYFUNCTION("""COMPUTED_VALUE"""),-4.0)</f>
        <v>-4</v>
      </c>
      <c r="BK398" s="16">
        <f>IFERROR(__xludf.DUMMYFUNCTION("""COMPUTED_VALUE"""),5.0)</f>
        <v>5</v>
      </c>
      <c r="BL398" s="16">
        <f>IFERROR(__xludf.DUMMYFUNCTION("""COMPUTED_VALUE"""),5.0)</f>
        <v>5</v>
      </c>
      <c r="BM398" s="16">
        <f>IFERROR(__xludf.DUMMYFUNCTION("""COMPUTED_VALUE"""),0.0)</f>
        <v>0</v>
      </c>
      <c r="BN398" s="16">
        <f>IFERROR(__xludf.DUMMYFUNCTION("""COMPUTED_VALUE"""),0.0)</f>
        <v>0</v>
      </c>
      <c r="BO398" s="16">
        <f>IFERROR(__xludf.DUMMYFUNCTION("""COMPUTED_VALUE"""),0.0)</f>
        <v>0</v>
      </c>
      <c r="BP398" s="16">
        <f>IFERROR(__xludf.DUMMYFUNCTION("""COMPUTED_VALUE"""),0.0)</f>
        <v>0</v>
      </c>
      <c r="BQ398" s="16">
        <f>IFERROR(__xludf.DUMMYFUNCTION("""COMPUTED_VALUE"""),3.0)</f>
        <v>3</v>
      </c>
      <c r="BR398" s="16">
        <f>IFERROR(__xludf.DUMMYFUNCTION("""COMPUTED_VALUE"""),4.0)</f>
        <v>4</v>
      </c>
      <c r="BS398" s="16">
        <f>IFERROR(__xludf.DUMMYFUNCTION("""COMPUTED_VALUE"""),-1.0)</f>
        <v>-1</v>
      </c>
      <c r="BT398" s="16">
        <f>IFERROR(__xludf.DUMMYFUNCTION("""COMPUTED_VALUE"""),-1.0)</f>
        <v>-1</v>
      </c>
      <c r="BU398" s="16">
        <f>IFERROR(__xludf.DUMMYFUNCTION("""COMPUTED_VALUE"""),-2.0)</f>
        <v>-2</v>
      </c>
      <c r="BV398" s="16">
        <f>IFERROR(__xludf.DUMMYFUNCTION("""COMPUTED_VALUE"""),-2.0)</f>
        <v>-2</v>
      </c>
      <c r="BW398" s="16">
        <f>IFERROR(__xludf.DUMMYFUNCTION("""COMPUTED_VALUE"""),0.0)</f>
        <v>0</v>
      </c>
      <c r="BX398" s="16">
        <f>IFERROR(__xludf.DUMMYFUNCTION("""COMPUTED_VALUE"""),0.0)</f>
        <v>0</v>
      </c>
      <c r="BY398" s="16" t="str">
        <f>IFERROR(__xludf.DUMMYFUNCTION("""COMPUTED_VALUE"""),"S(5)")</f>
        <v>S(5)</v>
      </c>
      <c r="BZ398" s="16" t="str">
        <f>IFERROR(__xludf.DUMMYFUNCTION("""COMPUTED_VALUE"""),"S(5)")</f>
        <v>S(5)</v>
      </c>
      <c r="CA398" s="16" t="str">
        <f>IFERROR(__xludf.DUMMYFUNCTION("""COMPUTED_VALUE"""),"S(5)")</f>
        <v>S(5)</v>
      </c>
      <c r="CB398" s="16"/>
      <c r="CC398" s="16"/>
      <c r="CD398" s="16">
        <f>IFERROR(__xludf.DUMMYFUNCTION("""COMPUTED_VALUE"""),5.0)</f>
        <v>5</v>
      </c>
      <c r="CE398" s="16"/>
      <c r="CF398" s="16"/>
      <c r="CG398" s="16" t="str">
        <f>IFERROR(__xludf.DUMMYFUNCTION("""COMPUTED_VALUE"""),"2-0")</f>
        <v>2-0</v>
      </c>
      <c r="CH398" s="16">
        <f>IFERROR(__xludf.DUMMYFUNCTION("""COMPUTED_VALUE"""),2.0)</f>
        <v>2</v>
      </c>
      <c r="CI398" s="16">
        <f>IFERROR(__xludf.DUMMYFUNCTION("""COMPUTED_VALUE"""),0.0)</f>
        <v>0</v>
      </c>
      <c r="CJ398" s="16">
        <f>IFERROR(__xludf.DUMMYFUNCTION("""COMPUTED_VALUE"""),0.0)</f>
        <v>0</v>
      </c>
      <c r="CK398" s="16">
        <f>IFERROR(__xludf.DUMMYFUNCTION("""COMPUTED_VALUE"""),2.0)</f>
        <v>2</v>
      </c>
      <c r="CL398" s="16" t="str">
        <f>IFERROR(__xludf.DUMMYFUNCTION("""COMPUTED_VALUE"""),"1WL-C")</f>
        <v>1WL-C</v>
      </c>
      <c r="CM398" s="16" t="str">
        <f>IFERROR(__xludf.DUMMYFUNCTION("""COMPUTED_VALUE"""),"E")</f>
        <v>E</v>
      </c>
      <c r="CN398" s="16">
        <f>IFERROR(__xludf.DUMMYFUNCTION("""COMPUTED_VALUE"""),10.0)</f>
        <v>10</v>
      </c>
      <c r="CO398" s="16" t="str">
        <f>IFERROR(__xludf.DUMMYFUNCTION("""COMPUTED_VALUE"""),"C")</f>
        <v>C</v>
      </c>
      <c r="CP398" s="16" t="str">
        <f>IFERROR(__xludf.DUMMYFUNCTION("""COMPUTED_VALUE"""),"1p40")</f>
        <v>1p40</v>
      </c>
      <c r="CQ398" s="16">
        <f>IFERROR(__xludf.DUMMYFUNCTION("""COMPUTED_VALUE"""),-3.0)</f>
        <v>-3</v>
      </c>
      <c r="CR398" s="16">
        <f>IFERROR(__xludf.DUMMYFUNCTION("""COMPUTED_VALUE"""),-27.0)</f>
        <v>-27</v>
      </c>
      <c r="CS398" s="16">
        <f>IFERROR(__xludf.DUMMYFUNCTION("""COMPUTED_VALUE"""),-30.0)</f>
        <v>-30</v>
      </c>
      <c r="CT398" s="16">
        <f>IFERROR(__xludf.DUMMYFUNCTION("""COMPUTED_VALUE"""),-3.0)</f>
        <v>-3</v>
      </c>
      <c r="CU398" s="16">
        <f>IFERROR(__xludf.DUMMYFUNCTION("""COMPUTED_VALUE"""),-27.0)</f>
        <v>-27</v>
      </c>
      <c r="CV398" s="179">
        <f>IFERROR(__xludf.DUMMYFUNCTION("""COMPUTED_VALUE"""),-14.0)</f>
        <v>-14</v>
      </c>
      <c r="CW398" s="179">
        <f>IFERROR(__xludf.DUMMYFUNCTION("""COMPUTED_VALUE"""),4.0)</f>
        <v>4</v>
      </c>
      <c r="CX398" s="179">
        <f>IFERROR(__xludf.DUMMYFUNCTION("""COMPUTED_VALUE"""),1.0)</f>
        <v>1</v>
      </c>
      <c r="CY398" s="16" t="str">
        <f>IFERROR(__xludf.DUMMYFUNCTION("""COMPUTED_VALUE"""),"SP")</f>
        <v>SP</v>
      </c>
      <c r="CZ398" s="16"/>
      <c r="DA398" s="16"/>
      <c r="DB398" s="16"/>
      <c r="DC398" s="16"/>
      <c r="DD398" s="16"/>
      <c r="DE398" s="16"/>
      <c r="DF398" s="16"/>
      <c r="DG398" s="16"/>
      <c r="DH398" s="16"/>
      <c r="DI398" s="16"/>
      <c r="DJ398" s="16"/>
      <c r="DK398" s="16"/>
    </row>
    <row r="399">
      <c r="A399" s="16">
        <f>IFERROR(__xludf.DUMMYFUNCTION("""COMPUTED_VALUE"""),12793.0)</f>
        <v>12793</v>
      </c>
      <c r="B399" s="16" t="str">
        <f>IFERROR(__xludf.DUMMYFUNCTION("""COMPUTED_VALUE"""),"Emilio Pagan")</f>
        <v>Emilio Pagan</v>
      </c>
      <c r="C399" s="153">
        <f>IFERROR(__xludf.DUMMYFUNCTION("""COMPUTED_VALUE"""),0.31)</f>
        <v>0.31</v>
      </c>
      <c r="D399" s="16"/>
      <c r="E399" s="16" t="str">
        <f>IFERROR(__xludf.DUMMYFUNCTION("""COMPUTED_VALUE"""),"R")</f>
        <v>R</v>
      </c>
      <c r="F399" s="16">
        <f>IFERROR(__xludf.DUMMYFUNCTION("""COMPUTED_VALUE"""),38.0)</f>
        <v>38</v>
      </c>
      <c r="G399" s="16">
        <f>IFERROR(__xludf.DUMMYFUNCTION("""COMPUTED_VALUE"""),35.0)</f>
        <v>35</v>
      </c>
      <c r="H399" s="16">
        <f>IFERROR(__xludf.DUMMYFUNCTION("""COMPUTED_VALUE"""),37.0)</f>
        <v>37</v>
      </c>
      <c r="I399" s="16">
        <f>IFERROR(__xludf.DUMMYFUNCTION("""COMPUTED_VALUE"""),1.0)</f>
        <v>1</v>
      </c>
      <c r="J399" s="16">
        <f>IFERROR(__xludf.DUMMYFUNCTION("""COMPUTED_VALUE"""),1.0)</f>
        <v>1</v>
      </c>
      <c r="K399" s="16">
        <f>IFERROR(__xludf.DUMMYFUNCTION("""COMPUTED_VALUE"""),3.0)</f>
        <v>3</v>
      </c>
      <c r="L399" s="16">
        <f>IFERROR(__xludf.DUMMYFUNCTION("""COMPUTED_VALUE"""),3.0)</f>
        <v>3</v>
      </c>
      <c r="M399" s="16">
        <f>IFERROR(__xludf.DUMMYFUNCTION("""COMPUTED_VALUE"""),18.0)</f>
        <v>18</v>
      </c>
      <c r="N399" s="16">
        <f>IFERROR(__xludf.DUMMYFUNCTION("""COMPUTED_VALUE"""),0.0)</f>
        <v>0</v>
      </c>
      <c r="O399" s="16">
        <f>IFERROR(__xludf.DUMMYFUNCTION("""COMPUTED_VALUE"""),-3.0)</f>
        <v>-3</v>
      </c>
      <c r="P399" s="16">
        <f>IFERROR(__xludf.DUMMYFUNCTION("""COMPUTED_VALUE"""),3.0)</f>
        <v>3</v>
      </c>
      <c r="Q399" s="16">
        <f>IFERROR(__xludf.DUMMYFUNCTION("""COMPUTED_VALUE"""),-3.0)</f>
        <v>-3</v>
      </c>
      <c r="R399" s="16">
        <f>IFERROR(__xludf.DUMMYFUNCTION("""COMPUTED_VALUE"""),3.0)</f>
        <v>3</v>
      </c>
      <c r="S399" s="16">
        <f>IFERROR(__xludf.DUMMYFUNCTION("""COMPUTED_VALUE"""),13.6)</f>
        <v>13.6</v>
      </c>
      <c r="T399" s="16">
        <f>IFERROR(__xludf.DUMMYFUNCTION("""COMPUTED_VALUE"""),28.3)</f>
        <v>28.3</v>
      </c>
      <c r="U399" s="16">
        <f>IFERROR(__xludf.DUMMYFUNCTION("""COMPUTED_VALUE"""),0.0)</f>
        <v>0</v>
      </c>
      <c r="V399" s="16">
        <f>IFERROR(__xludf.DUMMYFUNCTION("""COMPUTED_VALUE"""),-2.0)</f>
        <v>-2</v>
      </c>
      <c r="W399" s="16">
        <f>IFERROR(__xludf.DUMMYFUNCTION("""COMPUTED_VALUE"""),0.0)</f>
        <v>0</v>
      </c>
      <c r="X399" s="16">
        <f>IFERROR(__xludf.DUMMYFUNCTION("""COMPUTED_VALUE"""),-4.0)</f>
        <v>-4</v>
      </c>
      <c r="Y399" s="16">
        <f>IFERROR(__xludf.DUMMYFUNCTION("""COMPUTED_VALUE"""),31.5)</f>
        <v>31.5</v>
      </c>
      <c r="Z399" s="16">
        <f>IFERROR(__xludf.DUMMYFUNCTION("""COMPUTED_VALUE"""),28.3)</f>
        <v>28.3</v>
      </c>
      <c r="AA399" s="16">
        <f>IFERROR(__xludf.DUMMYFUNCTION("""COMPUTED_VALUE"""),-1.0)</f>
        <v>-1</v>
      </c>
      <c r="AB399" s="16">
        <f>IFERROR(__xludf.DUMMYFUNCTION("""COMPUTED_VALUE"""),0.0)</f>
        <v>0</v>
      </c>
      <c r="AC399" s="16">
        <f>IFERROR(__xludf.DUMMYFUNCTION("""COMPUTED_VALUE"""),-5.0)</f>
        <v>-5</v>
      </c>
      <c r="AD399" s="16">
        <f>IFERROR(__xludf.DUMMYFUNCTION("""COMPUTED_VALUE"""),0.0)</f>
        <v>0</v>
      </c>
      <c r="AE399" s="16">
        <f>IFERROR(__xludf.DUMMYFUNCTION("""COMPUTED_VALUE"""),51.0)</f>
        <v>51</v>
      </c>
      <c r="AF399" s="16">
        <f>IFERROR(__xludf.DUMMYFUNCTION("""COMPUTED_VALUE"""),33.3)</f>
        <v>33.3</v>
      </c>
      <c r="AG399" s="16">
        <f>IFERROR(__xludf.DUMMYFUNCTION("""COMPUTED_VALUE"""),-2.0)</f>
        <v>-2</v>
      </c>
      <c r="AH399" s="16">
        <f>IFERROR(__xludf.DUMMYFUNCTION("""COMPUTED_VALUE"""),-1.0)</f>
        <v>-1</v>
      </c>
      <c r="AI399" s="16">
        <f>IFERROR(__xludf.DUMMYFUNCTION("""COMPUTED_VALUE"""),-4.0)</f>
        <v>-4</v>
      </c>
      <c r="AJ399" s="16">
        <f>IFERROR(__xludf.DUMMYFUNCTION("""COMPUTED_VALUE"""),-2.0)</f>
        <v>-2</v>
      </c>
      <c r="AK399" s="16">
        <f>IFERROR(__xludf.DUMMYFUNCTION("""COMPUTED_VALUE"""),1.5999999999999996)</f>
        <v>1.6</v>
      </c>
      <c r="AL399" s="16">
        <f>IFERROR(__xludf.DUMMYFUNCTION("""COMPUTED_VALUE"""),28.3)</f>
        <v>28.3</v>
      </c>
      <c r="AM399" s="16">
        <f>IFERROR(__xludf.DUMMYFUNCTION("""COMPUTED_VALUE"""),2.0)</f>
        <v>2</v>
      </c>
      <c r="AN399" s="16">
        <f>IFERROR(__xludf.DUMMYFUNCTION("""COMPUTED_VALUE"""),-2.0)</f>
        <v>-2</v>
      </c>
      <c r="AO399" s="16">
        <f>IFERROR(__xludf.DUMMYFUNCTION("""COMPUTED_VALUE"""),2.0)</f>
        <v>2</v>
      </c>
      <c r="AP399" s="16">
        <f>IFERROR(__xludf.DUMMYFUNCTION("""COMPUTED_VALUE"""),-2.0)</f>
        <v>-2</v>
      </c>
      <c r="AQ399" s="16">
        <f>IFERROR(__xludf.DUMMYFUNCTION("""COMPUTED_VALUE"""),3.0)</f>
        <v>3</v>
      </c>
      <c r="AR399" s="16">
        <f>IFERROR(__xludf.DUMMYFUNCTION("""COMPUTED_VALUE"""),33.3)</f>
        <v>33.3</v>
      </c>
      <c r="AS399" s="16">
        <f>IFERROR(__xludf.DUMMYFUNCTION("""COMPUTED_VALUE"""),2.0)</f>
        <v>2</v>
      </c>
      <c r="AT399" s="16">
        <f>IFERROR(__xludf.DUMMYFUNCTION("""COMPUTED_VALUE"""),-2.0)</f>
        <v>-2</v>
      </c>
      <c r="AU399" s="16">
        <f>IFERROR(__xludf.DUMMYFUNCTION("""COMPUTED_VALUE"""),4.0)</f>
        <v>4</v>
      </c>
      <c r="AV399" s="16">
        <f>IFERROR(__xludf.DUMMYFUNCTION("""COMPUTED_VALUE"""),-4.0)</f>
        <v>-4</v>
      </c>
      <c r="AW399" s="16">
        <f>IFERROR(__xludf.DUMMYFUNCTION("""COMPUTED_VALUE"""),12.0)</f>
        <v>12</v>
      </c>
      <c r="AX399" s="16">
        <f>IFERROR(__xludf.DUMMYFUNCTION("""COMPUTED_VALUE"""),0.0)</f>
        <v>0</v>
      </c>
      <c r="AY399" s="16">
        <f>IFERROR(__xludf.DUMMYFUNCTION("""COMPUTED_VALUE"""),-3.0)</f>
        <v>-3</v>
      </c>
      <c r="AZ399" s="16">
        <f>IFERROR(__xludf.DUMMYFUNCTION("""COMPUTED_VALUE"""),2.0)</f>
        <v>2</v>
      </c>
      <c r="BA399" s="16">
        <f>IFERROR(__xludf.DUMMYFUNCTION("""COMPUTED_VALUE"""),-15.0)</f>
        <v>-15</v>
      </c>
      <c r="BB399" s="16">
        <f>IFERROR(__xludf.DUMMYFUNCTION("""COMPUTED_VALUE"""),10.0)</f>
        <v>10</v>
      </c>
      <c r="BC399" s="16"/>
      <c r="BD399" s="16">
        <f>IFERROR(__xludf.DUMMYFUNCTION("""COMPUTED_VALUE"""),0.0)</f>
        <v>0</v>
      </c>
      <c r="BE399" s="16">
        <f>IFERROR(__xludf.DUMMYFUNCTION("""COMPUTED_VALUE"""),8.0)</f>
        <v>8</v>
      </c>
      <c r="BF399" s="16">
        <f>IFERROR(__xludf.DUMMYFUNCTION("""COMPUTED_VALUE"""),0.0)</f>
        <v>0</v>
      </c>
      <c r="BG399" s="16">
        <f>IFERROR(__xludf.DUMMYFUNCTION("""COMPUTED_VALUE"""),-3.0)</f>
        <v>-3</v>
      </c>
      <c r="BH399" s="16">
        <f>IFERROR(__xludf.DUMMYFUNCTION("""COMPUTED_VALUE"""),2.0)</f>
        <v>2</v>
      </c>
      <c r="BI399" s="16">
        <f>IFERROR(__xludf.DUMMYFUNCTION("""COMPUTED_VALUE"""),-6.0)</f>
        <v>-6</v>
      </c>
      <c r="BJ399" s="16">
        <f>IFERROR(__xludf.DUMMYFUNCTION("""COMPUTED_VALUE"""),4.0)</f>
        <v>4</v>
      </c>
      <c r="BK399" s="16">
        <f>IFERROR(__xludf.DUMMYFUNCTION("""COMPUTED_VALUE"""),0.0)</f>
        <v>0</v>
      </c>
      <c r="BL399" s="16">
        <f>IFERROR(__xludf.DUMMYFUNCTION("""COMPUTED_VALUE"""),5.0)</f>
        <v>5</v>
      </c>
      <c r="BM399" s="16">
        <f>IFERROR(__xludf.DUMMYFUNCTION("""COMPUTED_VALUE"""),1.0)</f>
        <v>1</v>
      </c>
      <c r="BN399" s="16">
        <f>IFERROR(__xludf.DUMMYFUNCTION("""COMPUTED_VALUE"""),0.0)</f>
        <v>0</v>
      </c>
      <c r="BO399" s="16">
        <f>IFERROR(__xludf.DUMMYFUNCTION("""COMPUTED_VALUE"""),1.0)</f>
        <v>1</v>
      </c>
      <c r="BP399" s="16">
        <f>IFERROR(__xludf.DUMMYFUNCTION("""COMPUTED_VALUE"""),0.0)</f>
        <v>0</v>
      </c>
      <c r="BQ399" s="16">
        <f>IFERROR(__xludf.DUMMYFUNCTION("""COMPUTED_VALUE"""),2.0)</f>
        <v>2</v>
      </c>
      <c r="BR399" s="16">
        <f>IFERROR(__xludf.DUMMYFUNCTION("""COMPUTED_VALUE"""),4.0)</f>
        <v>4</v>
      </c>
      <c r="BS399" s="16">
        <f>IFERROR(__xludf.DUMMYFUNCTION("""COMPUTED_VALUE"""),-2.0)</f>
        <v>-2</v>
      </c>
      <c r="BT399" s="16">
        <f>IFERROR(__xludf.DUMMYFUNCTION("""COMPUTED_VALUE"""),-1.0)</f>
        <v>-1</v>
      </c>
      <c r="BU399" s="16">
        <f>IFERROR(__xludf.DUMMYFUNCTION("""COMPUTED_VALUE"""),-4.0)</f>
        <v>-4</v>
      </c>
      <c r="BV399" s="16">
        <f>IFERROR(__xludf.DUMMYFUNCTION("""COMPUTED_VALUE"""),-2.0)</f>
        <v>-2</v>
      </c>
      <c r="BW399" s="16">
        <f>IFERROR(__xludf.DUMMYFUNCTION("""COMPUTED_VALUE"""),2.0)</f>
        <v>2</v>
      </c>
      <c r="BX399" s="16">
        <f>IFERROR(__xludf.DUMMYFUNCTION("""COMPUTED_VALUE"""),2.0)</f>
        <v>2</v>
      </c>
      <c r="BY399" s="16" t="str">
        <f>IFERROR(__xludf.DUMMYFUNCTION("""COMPUTED_VALUE"""),"R(1) C(0)")</f>
        <v>R(1) C(0)</v>
      </c>
      <c r="BZ399" s="16" t="str">
        <f>IFERROR(__xludf.DUMMYFUNCTION("""COMPUTED_VALUE"""),"R(1) C(0)")</f>
        <v>R(1) C(0)</v>
      </c>
      <c r="CA399" s="16" t="str">
        <f>IFERROR(__xludf.DUMMYFUNCTION("""COMPUTED_VALUE"""),"R(1)")</f>
        <v>R(1)</v>
      </c>
      <c r="CB399" s="16" t="str">
        <f>IFERROR(__xludf.DUMMYFUNCTION("""COMPUTED_VALUE"""),"C(0)")</f>
        <v>C(0)</v>
      </c>
      <c r="CC399" s="16"/>
      <c r="CD399" s="16"/>
      <c r="CE399" s="16">
        <f>IFERROR(__xludf.DUMMYFUNCTION("""COMPUTED_VALUE"""),1.0)</f>
        <v>1</v>
      </c>
      <c r="CF399" s="16">
        <f>IFERROR(__xludf.DUMMYFUNCTION("""COMPUTED_VALUE"""),0.0)</f>
        <v>0</v>
      </c>
      <c r="CG399" s="16" t="str">
        <f>IFERROR(__xludf.DUMMYFUNCTION("""COMPUTED_VALUE"""),"3-0")</f>
        <v>3-0</v>
      </c>
      <c r="CH399" s="16">
        <f>IFERROR(__xludf.DUMMYFUNCTION("""COMPUTED_VALUE"""),3.0)</f>
        <v>3</v>
      </c>
      <c r="CI399" s="16">
        <f>IFERROR(__xludf.DUMMYFUNCTION("""COMPUTED_VALUE"""),0.0)</f>
        <v>0</v>
      </c>
      <c r="CJ399" s="16">
        <f>IFERROR(__xludf.DUMMYFUNCTION("""COMPUTED_VALUE"""),9.0)</f>
        <v>9</v>
      </c>
      <c r="CK399" s="16">
        <f>IFERROR(__xludf.DUMMYFUNCTION("""COMPUTED_VALUE"""),0.0)</f>
        <v>0</v>
      </c>
      <c r="CL399" s="16" t="str">
        <f>IFERROR(__xludf.DUMMYFUNCTION("""COMPUTED_VALUE"""),"1WL-C")</f>
        <v>1WL-C</v>
      </c>
      <c r="CM399" s="16" t="str">
        <f>IFERROR(__xludf.DUMMYFUNCTION("""COMPUTED_VALUE"""),"E")</f>
        <v>E</v>
      </c>
      <c r="CN399" s="16">
        <f>IFERROR(__xludf.DUMMYFUNCTION("""COMPUTED_VALUE"""),10.0)</f>
        <v>10</v>
      </c>
      <c r="CO399" s="16" t="str">
        <f>IFERROR(__xludf.DUMMYFUNCTION("""COMPUTED_VALUE"""),"C")</f>
        <v>C</v>
      </c>
      <c r="CP399" s="16" t="str">
        <f>IFERROR(__xludf.DUMMYFUNCTION("""COMPUTED_VALUE"""),"5p30")</f>
        <v>5p30</v>
      </c>
      <c r="CQ399" s="16">
        <f>IFERROR(__xludf.DUMMYFUNCTION("""COMPUTED_VALUE"""),-27.0)</f>
        <v>-27</v>
      </c>
      <c r="CR399" s="16">
        <f>IFERROR(__xludf.DUMMYFUNCTION("""COMPUTED_VALUE"""),6.0)</f>
        <v>6</v>
      </c>
      <c r="CS399" s="16">
        <f>IFERROR(__xludf.DUMMYFUNCTION("""COMPUTED_VALUE"""),-21.0)</f>
        <v>-21</v>
      </c>
      <c r="CT399" s="16">
        <f>IFERROR(__xludf.DUMMYFUNCTION("""COMPUTED_VALUE"""),-27.0)</f>
        <v>-27</v>
      </c>
      <c r="CU399" s="16">
        <f>IFERROR(__xludf.DUMMYFUNCTION("""COMPUTED_VALUE"""),6.0)</f>
        <v>6</v>
      </c>
      <c r="CV399" s="179">
        <f>IFERROR(__xludf.DUMMYFUNCTION("""COMPUTED_VALUE"""),-14.0)</f>
        <v>-14</v>
      </c>
      <c r="CW399" s="179">
        <f>IFERROR(__xludf.DUMMYFUNCTION("""COMPUTED_VALUE"""),0.0)</f>
        <v>0</v>
      </c>
      <c r="CX399" s="179">
        <f>IFERROR(__xludf.DUMMYFUNCTION("""COMPUTED_VALUE"""),2.0)</f>
        <v>2</v>
      </c>
      <c r="CY399" s="16" t="str">
        <f>IFERROR(__xludf.DUMMYFUNCTION("""COMPUTED_VALUE"""),"RP")</f>
        <v>RP</v>
      </c>
      <c r="CZ399" s="16" t="str">
        <f>IFERROR(__xludf.DUMMYFUNCTION("""COMPUTED_VALUE"""),"CP")</f>
        <v>CP</v>
      </c>
      <c r="DA399" s="16"/>
      <c r="DB399" s="16"/>
      <c r="DC399" s="16"/>
      <c r="DD399" s="16"/>
      <c r="DE399" s="16"/>
      <c r="DF399" s="16"/>
      <c r="DG399" s="16"/>
      <c r="DH399" s="16"/>
      <c r="DI399" s="16"/>
      <c r="DJ399" s="16"/>
      <c r="DK399" s="16"/>
    </row>
    <row r="400">
      <c r="A400" s="16">
        <f>IFERROR(__xludf.DUMMYFUNCTION("""COMPUTED_VALUE"""),12999.0)</f>
        <v>12999</v>
      </c>
      <c r="B400" s="16" t="str">
        <f>IFERROR(__xludf.DUMMYFUNCTION("""COMPUTED_VALUE"""),"Jordan Montgomery")</f>
        <v>Jordan Montgomery</v>
      </c>
      <c r="C400" s="153">
        <f>IFERROR(__xludf.DUMMYFUNCTION("""COMPUTED_VALUE"""),0.0)</f>
        <v>0</v>
      </c>
      <c r="D400" s="16"/>
      <c r="E400" s="16" t="str">
        <f>IFERROR(__xludf.DUMMYFUNCTION("""COMPUTED_VALUE"""),"L")</f>
        <v>L</v>
      </c>
      <c r="F400" s="16">
        <f>IFERROR(__xludf.DUMMYFUNCTION("""COMPUTED_VALUE"""),117.0)</f>
        <v>117</v>
      </c>
      <c r="G400" s="16">
        <f>IFERROR(__xludf.DUMMYFUNCTION("""COMPUTED_VALUE"""),18.0)</f>
        <v>18</v>
      </c>
      <c r="H400" s="16">
        <f>IFERROR(__xludf.DUMMYFUNCTION("""COMPUTED_VALUE"""),8.0)</f>
        <v>8</v>
      </c>
      <c r="I400" s="16">
        <f>IFERROR(__xludf.DUMMYFUNCTION("""COMPUTED_VALUE"""),-1.0)</f>
        <v>-1</v>
      </c>
      <c r="J400" s="16">
        <f>IFERROR(__xludf.DUMMYFUNCTION("""COMPUTED_VALUE"""),-2.0)</f>
        <v>-2</v>
      </c>
      <c r="K400" s="16">
        <f>IFERROR(__xludf.DUMMYFUNCTION("""COMPUTED_VALUE"""),-3.0)</f>
        <v>-3</v>
      </c>
      <c r="L400" s="16">
        <f>IFERROR(__xludf.DUMMYFUNCTION("""COMPUTED_VALUE"""),-6.0)</f>
        <v>-6</v>
      </c>
      <c r="M400" s="16">
        <f>IFERROR(__xludf.DUMMYFUNCTION("""COMPUTED_VALUE"""),17.0)</f>
        <v>17</v>
      </c>
      <c r="N400" s="16">
        <f>IFERROR(__xludf.DUMMYFUNCTION("""COMPUTED_VALUE"""),7.0)</f>
        <v>7</v>
      </c>
      <c r="O400" s="16">
        <f>IFERROR(__xludf.DUMMYFUNCTION("""COMPUTED_VALUE"""),-2.0)</f>
        <v>-2</v>
      </c>
      <c r="P400" s="16">
        <f>IFERROR(__xludf.DUMMYFUNCTION("""COMPUTED_VALUE"""),1.0)</f>
        <v>1</v>
      </c>
      <c r="Q400" s="16">
        <f>IFERROR(__xludf.DUMMYFUNCTION("""COMPUTED_VALUE"""),-2.0)</f>
        <v>-2</v>
      </c>
      <c r="R400" s="16">
        <f>IFERROR(__xludf.DUMMYFUNCTION("""COMPUTED_VALUE"""),1.0)</f>
        <v>1</v>
      </c>
      <c r="S400" s="16">
        <f>IFERROR(__xludf.DUMMYFUNCTION("""COMPUTED_VALUE"""),19.0)</f>
        <v>19</v>
      </c>
      <c r="T400" s="16">
        <f>IFERROR(__xludf.DUMMYFUNCTION("""COMPUTED_VALUE"""),31.8)</f>
        <v>31.8</v>
      </c>
      <c r="U400" s="16">
        <f>IFERROR(__xludf.DUMMYFUNCTION("""COMPUTED_VALUE"""),-1.0)</f>
        <v>-1</v>
      </c>
      <c r="V400" s="16">
        <f>IFERROR(__xludf.DUMMYFUNCTION("""COMPUTED_VALUE"""),-2.0)</f>
        <v>-2</v>
      </c>
      <c r="W400" s="16">
        <f>IFERROR(__xludf.DUMMYFUNCTION("""COMPUTED_VALUE"""),-2.0)</f>
        <v>-2</v>
      </c>
      <c r="X400" s="16">
        <f>IFERROR(__xludf.DUMMYFUNCTION("""COMPUTED_VALUE"""),-4.0)</f>
        <v>-4</v>
      </c>
      <c r="Y400" s="16">
        <f>IFERROR(__xludf.DUMMYFUNCTION("""COMPUTED_VALUE"""),36.0)</f>
        <v>36</v>
      </c>
      <c r="Z400" s="16">
        <f>IFERROR(__xludf.DUMMYFUNCTION("""COMPUTED_VALUE"""),38.8)</f>
        <v>38.8</v>
      </c>
      <c r="AA400" s="16">
        <f>IFERROR(__xludf.DUMMYFUNCTION("""COMPUTED_VALUE"""),-1.0)</f>
        <v>-1</v>
      </c>
      <c r="AB400" s="16">
        <f>IFERROR(__xludf.DUMMYFUNCTION("""COMPUTED_VALUE"""),-2.0)</f>
        <v>-2</v>
      </c>
      <c r="AC400" s="16">
        <f>IFERROR(__xludf.DUMMYFUNCTION("""COMPUTED_VALUE"""),-5.0)</f>
        <v>-5</v>
      </c>
      <c r="AD400" s="16">
        <f>IFERROR(__xludf.DUMMYFUNCTION("""COMPUTED_VALUE"""),-10.0)</f>
        <v>-10</v>
      </c>
      <c r="AE400" s="16">
        <f>IFERROR(__xludf.DUMMYFUNCTION("""COMPUTED_VALUE"""),32.3)</f>
        <v>32.3</v>
      </c>
      <c r="AF400" s="16">
        <f>IFERROR(__xludf.DUMMYFUNCTION("""COMPUTED_VALUE"""),50.6)</f>
        <v>50.6</v>
      </c>
      <c r="AG400" s="16">
        <f>IFERROR(__xludf.DUMMYFUNCTION("""COMPUTED_VALUE"""),0.0)</f>
        <v>0</v>
      </c>
      <c r="AH400" s="16">
        <f>IFERROR(__xludf.DUMMYFUNCTION("""COMPUTED_VALUE"""),-2.0)</f>
        <v>-2</v>
      </c>
      <c r="AI400" s="16">
        <f>IFERROR(__xludf.DUMMYFUNCTION("""COMPUTED_VALUE"""),0.0)</f>
        <v>0</v>
      </c>
      <c r="AJ400" s="16">
        <f>IFERROR(__xludf.DUMMYFUNCTION("""COMPUTED_VALUE"""),-4.0)</f>
        <v>-4</v>
      </c>
      <c r="AK400" s="16">
        <f>IFERROR(__xludf.DUMMYFUNCTION("""COMPUTED_VALUE"""),19.0)</f>
        <v>19</v>
      </c>
      <c r="AL400" s="16">
        <f>IFERROR(__xludf.DUMMYFUNCTION("""COMPUTED_VALUE"""),30.0)</f>
        <v>30</v>
      </c>
      <c r="AM400" s="16">
        <f>IFERROR(__xludf.DUMMYFUNCTION("""COMPUTED_VALUE"""),-1.0)</f>
        <v>-1</v>
      </c>
      <c r="AN400" s="16">
        <f>IFERROR(__xludf.DUMMYFUNCTION("""COMPUTED_VALUE"""),-3.0)</f>
        <v>-3</v>
      </c>
      <c r="AO400" s="16">
        <f>IFERROR(__xludf.DUMMYFUNCTION("""COMPUTED_VALUE"""),-1.0)</f>
        <v>-1</v>
      </c>
      <c r="AP400" s="16">
        <f>IFERROR(__xludf.DUMMYFUNCTION("""COMPUTED_VALUE"""),-3.0)</f>
        <v>-3</v>
      </c>
      <c r="AQ400" s="16">
        <f>IFERROR(__xludf.DUMMYFUNCTION("""COMPUTED_VALUE"""),32.3)</f>
        <v>32.3</v>
      </c>
      <c r="AR400" s="16">
        <f>IFERROR(__xludf.DUMMYFUNCTION("""COMPUTED_VALUE"""),43.4)</f>
        <v>43.4</v>
      </c>
      <c r="AS400" s="16">
        <f>IFERROR(__xludf.DUMMYFUNCTION("""COMPUTED_VALUE"""),-2.0)</f>
        <v>-2</v>
      </c>
      <c r="AT400" s="16">
        <f>IFERROR(__xludf.DUMMYFUNCTION("""COMPUTED_VALUE"""),-3.0)</f>
        <v>-3</v>
      </c>
      <c r="AU400" s="16">
        <f>IFERROR(__xludf.DUMMYFUNCTION("""COMPUTED_VALUE"""),-4.0)</f>
        <v>-4</v>
      </c>
      <c r="AV400" s="16">
        <f>IFERROR(__xludf.DUMMYFUNCTION("""COMPUTED_VALUE"""),-6.0)</f>
        <v>-6</v>
      </c>
      <c r="AW400" s="16">
        <f>IFERROR(__xludf.DUMMYFUNCTION("""COMPUTED_VALUE"""),0.0)</f>
        <v>0</v>
      </c>
      <c r="AX400" s="16">
        <f>IFERROR(__xludf.DUMMYFUNCTION("""COMPUTED_VALUE"""),1.8)</f>
        <v>1.8</v>
      </c>
      <c r="AY400" s="16">
        <f>IFERROR(__xludf.DUMMYFUNCTION("""COMPUTED_VALUE"""),2.0)</f>
        <v>2</v>
      </c>
      <c r="AZ400" s="16">
        <f>IFERROR(__xludf.DUMMYFUNCTION("""COMPUTED_VALUE"""),0.0)</f>
        <v>0</v>
      </c>
      <c r="BA400" s="16">
        <f>IFERROR(__xludf.DUMMYFUNCTION("""COMPUTED_VALUE"""),10.0)</f>
        <v>10</v>
      </c>
      <c r="BB400" s="16">
        <f>IFERROR(__xludf.DUMMYFUNCTION("""COMPUTED_VALUE"""),0.0)</f>
        <v>0</v>
      </c>
      <c r="BC400" s="16">
        <f>IFERROR(__xludf.DUMMYFUNCTION("""COMPUTED_VALUE"""),0.0)</f>
        <v>0</v>
      </c>
      <c r="BD400" s="16">
        <f>IFERROR(__xludf.DUMMYFUNCTION("""COMPUTED_VALUE"""),3.0)</f>
        <v>3</v>
      </c>
      <c r="BE400" s="16">
        <f>IFERROR(__xludf.DUMMYFUNCTION("""COMPUTED_VALUE"""),0.0)</f>
        <v>0</v>
      </c>
      <c r="BF400" s="16">
        <f>IFERROR(__xludf.DUMMYFUNCTION("""COMPUTED_VALUE"""),3.0)</f>
        <v>3</v>
      </c>
      <c r="BG400" s="16">
        <f>IFERROR(__xludf.DUMMYFUNCTION("""COMPUTED_VALUE"""),3.0)</f>
        <v>3</v>
      </c>
      <c r="BH400" s="16">
        <f>IFERROR(__xludf.DUMMYFUNCTION("""COMPUTED_VALUE"""),0.0)</f>
        <v>0</v>
      </c>
      <c r="BI400" s="16">
        <f>IFERROR(__xludf.DUMMYFUNCTION("""COMPUTED_VALUE"""),6.0)</f>
        <v>6</v>
      </c>
      <c r="BJ400" s="16">
        <f>IFERROR(__xludf.DUMMYFUNCTION("""COMPUTED_VALUE"""),0.0)</f>
        <v>0</v>
      </c>
      <c r="BK400" s="16">
        <f>IFERROR(__xludf.DUMMYFUNCTION("""COMPUTED_VALUE"""),5.0)</f>
        <v>5</v>
      </c>
      <c r="BL400" s="16">
        <f>IFERROR(__xludf.DUMMYFUNCTION("""COMPUTED_VALUE"""),5.0)</f>
        <v>5</v>
      </c>
      <c r="BM400" s="16">
        <f>IFERROR(__xludf.DUMMYFUNCTION("""COMPUTED_VALUE"""),0.0)</f>
        <v>0</v>
      </c>
      <c r="BN400" s="16">
        <f>IFERROR(__xludf.DUMMYFUNCTION("""COMPUTED_VALUE"""),0.0)</f>
        <v>0</v>
      </c>
      <c r="BO400" s="16">
        <f>IFERROR(__xludf.DUMMYFUNCTION("""COMPUTED_VALUE"""),0.0)</f>
        <v>0</v>
      </c>
      <c r="BP400" s="16">
        <f>IFERROR(__xludf.DUMMYFUNCTION("""COMPUTED_VALUE"""),0.0)</f>
        <v>0</v>
      </c>
      <c r="BQ400" s="16">
        <f>IFERROR(__xludf.DUMMYFUNCTION("""COMPUTED_VALUE"""),6.0)</f>
        <v>6</v>
      </c>
      <c r="BR400" s="16">
        <f>IFERROR(__xludf.DUMMYFUNCTION("""COMPUTED_VALUE"""),7.0)</f>
        <v>7</v>
      </c>
      <c r="BS400" s="16">
        <f>IFERROR(__xludf.DUMMYFUNCTION("""COMPUTED_VALUE"""),1.0)</f>
        <v>1</v>
      </c>
      <c r="BT400" s="16">
        <f>IFERROR(__xludf.DUMMYFUNCTION("""COMPUTED_VALUE"""),2.0)</f>
        <v>2</v>
      </c>
      <c r="BU400" s="16">
        <f>IFERROR(__xludf.DUMMYFUNCTION("""COMPUTED_VALUE"""),2.0)</f>
        <v>2</v>
      </c>
      <c r="BV400" s="16">
        <f>IFERROR(__xludf.DUMMYFUNCTION("""COMPUTED_VALUE"""),4.0)</f>
        <v>4</v>
      </c>
      <c r="BW400" s="16">
        <f>IFERROR(__xludf.DUMMYFUNCTION("""COMPUTED_VALUE"""),2.0)</f>
        <v>2</v>
      </c>
      <c r="BX400" s="16">
        <f>IFERROR(__xludf.DUMMYFUNCTION("""COMPUTED_VALUE"""),2.0)</f>
        <v>2</v>
      </c>
      <c r="BY400" s="16" t="str">
        <f>IFERROR(__xludf.DUMMYFUNCTION("""COMPUTED_VALUE"""),"S(5) R(3) C(0)")</f>
        <v>S(5) R(3) C(0)</v>
      </c>
      <c r="BZ400" s="16" t="str">
        <f>IFERROR(__xludf.DUMMYFUNCTION("""COMPUTED_VALUE"""),"S(5) R(3) C(0)")</f>
        <v>S(5) R(3) C(0)</v>
      </c>
      <c r="CA400" s="16" t="str">
        <f>IFERROR(__xludf.DUMMYFUNCTION("""COMPUTED_VALUE"""),"S(5)")</f>
        <v>S(5)</v>
      </c>
      <c r="CB400" s="16" t="str">
        <f>IFERROR(__xludf.DUMMYFUNCTION("""COMPUTED_VALUE"""),"R(3)")</f>
        <v>R(3)</v>
      </c>
      <c r="CC400" s="16" t="str">
        <f>IFERROR(__xludf.DUMMYFUNCTION("""COMPUTED_VALUE"""),"C(0)")</f>
        <v>C(0)</v>
      </c>
      <c r="CD400" s="16">
        <f>IFERROR(__xludf.DUMMYFUNCTION("""COMPUTED_VALUE"""),5.0)</f>
        <v>5</v>
      </c>
      <c r="CE400" s="16">
        <f>IFERROR(__xludf.DUMMYFUNCTION("""COMPUTED_VALUE"""),3.0)</f>
        <v>3</v>
      </c>
      <c r="CF400" s="16">
        <f>IFERROR(__xludf.DUMMYFUNCTION("""COMPUTED_VALUE"""),0.0)</f>
        <v>0</v>
      </c>
      <c r="CG400" s="16" t="str">
        <f>IFERROR(__xludf.DUMMYFUNCTION("""COMPUTED_VALUE"""),"3-12")</f>
        <v>3-12</v>
      </c>
      <c r="CH400" s="16">
        <f>IFERROR(__xludf.DUMMYFUNCTION("""COMPUTED_VALUE"""),3.0)</f>
        <v>3</v>
      </c>
      <c r="CI400" s="16">
        <f>IFERROR(__xludf.DUMMYFUNCTION("""COMPUTED_VALUE"""),12.0)</f>
        <v>12</v>
      </c>
      <c r="CJ400" s="16">
        <f>IFERROR(__xludf.DUMMYFUNCTION("""COMPUTED_VALUE"""),0.0)</f>
        <v>0</v>
      </c>
      <c r="CK400" s="16">
        <f>IFERROR(__xludf.DUMMYFUNCTION("""COMPUTED_VALUE"""),12.0)</f>
        <v>12</v>
      </c>
      <c r="CL400" s="16" t="str">
        <f>IFERROR(__xludf.DUMMYFUNCTION("""COMPUTED_VALUE"""),"1WL-C")</f>
        <v>1WL-C</v>
      </c>
      <c r="CM400" s="16" t="str">
        <f>IFERROR(__xludf.DUMMYFUNCTION("""COMPUTED_VALUE"""),"E")</f>
        <v>E</v>
      </c>
      <c r="CN400" s="16">
        <f>IFERROR(__xludf.DUMMYFUNCTION("""COMPUTED_VALUE"""),10.0)</f>
        <v>10</v>
      </c>
      <c r="CO400" s="16" t="str">
        <f>IFERROR(__xludf.DUMMYFUNCTION("""COMPUTED_VALUE"""),"C")</f>
        <v>C</v>
      </c>
      <c r="CP400" s="16" t="str">
        <f>IFERROR(__xludf.DUMMYFUNCTION("""COMPUTED_VALUE"""),"2p60")</f>
        <v>2p60</v>
      </c>
      <c r="CQ400" s="16">
        <f>IFERROR(__xludf.DUMMYFUNCTION("""COMPUTED_VALUE"""),1.0)</f>
        <v>1</v>
      </c>
      <c r="CR400" s="16">
        <f>IFERROR(__xludf.DUMMYFUNCTION("""COMPUTED_VALUE"""),-28.0)</f>
        <v>-28</v>
      </c>
      <c r="CS400" s="16">
        <f>IFERROR(__xludf.DUMMYFUNCTION("""COMPUTED_VALUE"""),-27.0)</f>
        <v>-27</v>
      </c>
      <c r="CT400" s="16">
        <f>IFERROR(__xludf.DUMMYFUNCTION("""COMPUTED_VALUE"""),1.0)</f>
        <v>1</v>
      </c>
      <c r="CU400" s="16">
        <f>IFERROR(__xludf.DUMMYFUNCTION("""COMPUTED_VALUE"""),-28.0)</f>
        <v>-28</v>
      </c>
      <c r="CV400" s="179">
        <f>IFERROR(__xludf.DUMMYFUNCTION("""COMPUTED_VALUE"""),-14.333333333333332)</f>
        <v>-14.33333333</v>
      </c>
      <c r="CW400" s="179">
        <f>IFERROR(__xludf.DUMMYFUNCTION("""COMPUTED_VALUE"""),3.0)</f>
        <v>3</v>
      </c>
      <c r="CX400" s="179">
        <f>IFERROR(__xludf.DUMMYFUNCTION("""COMPUTED_VALUE"""),1.0)</f>
        <v>1</v>
      </c>
      <c r="CY400" s="16" t="str">
        <f>IFERROR(__xludf.DUMMYFUNCTION("""COMPUTED_VALUE"""),"SP")</f>
        <v>SP</v>
      </c>
      <c r="CZ400" s="16" t="str">
        <f>IFERROR(__xludf.DUMMYFUNCTION("""COMPUTED_VALUE"""),"RP")</f>
        <v>RP</v>
      </c>
      <c r="DA400" s="16" t="str">
        <f>IFERROR(__xludf.DUMMYFUNCTION("""COMPUTED_VALUE"""),"CP")</f>
        <v>CP</v>
      </c>
      <c r="DB400" s="16"/>
      <c r="DC400" s="16"/>
      <c r="DD400" s="16"/>
      <c r="DE400" s="16"/>
      <c r="DF400" s="16"/>
      <c r="DG400" s="16"/>
      <c r="DH400" s="16"/>
      <c r="DI400" s="16"/>
      <c r="DJ400" s="16"/>
      <c r="DK400" s="16"/>
    </row>
    <row r="401">
      <c r="A401" s="16">
        <f>IFERROR(__xludf.DUMMYFUNCTION("""COMPUTED_VALUE"""),12981.0)</f>
        <v>12981</v>
      </c>
      <c r="B401" s="16" t="str">
        <f>IFERROR(__xludf.DUMMYFUNCTION("""COMPUTED_VALUE"""),"John Brebbia")</f>
        <v>John Brebbia</v>
      </c>
      <c r="C401" s="153">
        <f>IFERROR(__xludf.DUMMYFUNCTION("""COMPUTED_VALUE"""),0.0)</f>
        <v>0</v>
      </c>
      <c r="D401" s="16"/>
      <c r="E401" s="16" t="str">
        <f>IFERROR(__xludf.DUMMYFUNCTION("""COMPUTED_VALUE"""),"R")</f>
        <v>R</v>
      </c>
      <c r="F401" s="16">
        <f>IFERROR(__xludf.DUMMYFUNCTION("""COMPUTED_VALUE"""),55.0)</f>
        <v>55</v>
      </c>
      <c r="G401" s="16">
        <f>IFERROR(__xludf.DUMMYFUNCTION("""COMPUTED_VALUE"""),37.0)</f>
        <v>37</v>
      </c>
      <c r="H401" s="16">
        <f>IFERROR(__xludf.DUMMYFUNCTION("""COMPUTED_VALUE"""),35.0)</f>
        <v>35</v>
      </c>
      <c r="I401" s="16">
        <f>IFERROR(__xludf.DUMMYFUNCTION("""COMPUTED_VALUE"""),1.0)</f>
        <v>1</v>
      </c>
      <c r="J401" s="16">
        <f>IFERROR(__xludf.DUMMYFUNCTION("""COMPUTED_VALUE"""),1.0)</f>
        <v>1</v>
      </c>
      <c r="K401" s="16">
        <f>IFERROR(__xludf.DUMMYFUNCTION("""COMPUTED_VALUE"""),3.0)</f>
        <v>3</v>
      </c>
      <c r="L401" s="16">
        <f>IFERROR(__xludf.DUMMYFUNCTION("""COMPUTED_VALUE"""),3.0)</f>
        <v>3</v>
      </c>
      <c r="M401" s="16">
        <f>IFERROR(__xludf.DUMMYFUNCTION("""COMPUTED_VALUE"""),14.0)</f>
        <v>14</v>
      </c>
      <c r="N401" s="16">
        <f>IFERROR(__xludf.DUMMYFUNCTION("""COMPUTED_VALUE"""),4.0)</f>
        <v>4</v>
      </c>
      <c r="O401" s="16">
        <f>IFERROR(__xludf.DUMMYFUNCTION("""COMPUTED_VALUE"""),-2.0)</f>
        <v>-2</v>
      </c>
      <c r="P401" s="16">
        <f>IFERROR(__xludf.DUMMYFUNCTION("""COMPUTED_VALUE"""),2.0)</f>
        <v>2</v>
      </c>
      <c r="Q401" s="16">
        <f>IFERROR(__xludf.DUMMYFUNCTION("""COMPUTED_VALUE"""),-2.0)</f>
        <v>-2</v>
      </c>
      <c r="R401" s="16">
        <f>IFERROR(__xludf.DUMMYFUNCTION("""COMPUTED_VALUE"""),2.0)</f>
        <v>2</v>
      </c>
      <c r="S401" s="16">
        <f>IFERROR(__xludf.DUMMYFUNCTION("""COMPUTED_VALUE"""),11.3)</f>
        <v>11.3</v>
      </c>
      <c r="T401" s="16">
        <f>IFERROR(__xludf.DUMMYFUNCTION("""COMPUTED_VALUE"""),21.0)</f>
        <v>21</v>
      </c>
      <c r="U401" s="16">
        <f>IFERROR(__xludf.DUMMYFUNCTION("""COMPUTED_VALUE"""),1.0)</f>
        <v>1</v>
      </c>
      <c r="V401" s="16">
        <f>IFERROR(__xludf.DUMMYFUNCTION("""COMPUTED_VALUE"""),-1.0)</f>
        <v>-1</v>
      </c>
      <c r="W401" s="16">
        <f>IFERROR(__xludf.DUMMYFUNCTION("""COMPUTED_VALUE"""),2.0)</f>
        <v>2</v>
      </c>
      <c r="X401" s="16">
        <f>IFERROR(__xludf.DUMMYFUNCTION("""COMPUTED_VALUE"""),-2.0)</f>
        <v>-2</v>
      </c>
      <c r="Y401" s="16">
        <f>IFERROR(__xludf.DUMMYFUNCTION("""COMPUTED_VALUE"""),25.3)</f>
        <v>25.3</v>
      </c>
      <c r="Z401" s="16">
        <f>IFERROR(__xludf.DUMMYFUNCTION("""COMPUTED_VALUE"""),25.0)</f>
        <v>25</v>
      </c>
      <c r="AA401" s="16">
        <f>IFERROR(__xludf.DUMMYFUNCTION("""COMPUTED_VALUE"""),0.0)</f>
        <v>0</v>
      </c>
      <c r="AB401" s="16">
        <f>IFERROR(__xludf.DUMMYFUNCTION("""COMPUTED_VALUE"""),0.0)</f>
        <v>0</v>
      </c>
      <c r="AC401" s="16">
        <f>IFERROR(__xludf.DUMMYFUNCTION("""COMPUTED_VALUE"""),0.0)</f>
        <v>0</v>
      </c>
      <c r="AD401" s="16">
        <f>IFERROR(__xludf.DUMMYFUNCTION("""COMPUTED_VALUE"""),0.0)</f>
        <v>0</v>
      </c>
      <c r="AE401" s="16">
        <f>IFERROR(__xludf.DUMMYFUNCTION("""COMPUTED_VALUE"""),34.4)</f>
        <v>34.4</v>
      </c>
      <c r="AF401" s="16">
        <f>IFERROR(__xludf.DUMMYFUNCTION("""COMPUTED_VALUE"""),32.9)</f>
        <v>32.9</v>
      </c>
      <c r="AG401" s="16">
        <f>IFERROR(__xludf.DUMMYFUNCTION("""COMPUTED_VALUE"""),-1.0)</f>
        <v>-1</v>
      </c>
      <c r="AH401" s="16">
        <f>IFERROR(__xludf.DUMMYFUNCTION("""COMPUTED_VALUE"""),-1.0)</f>
        <v>-1</v>
      </c>
      <c r="AI401" s="16">
        <f>IFERROR(__xludf.DUMMYFUNCTION("""COMPUTED_VALUE"""),-2.0)</f>
        <v>-2</v>
      </c>
      <c r="AJ401" s="16">
        <f>IFERROR(__xludf.DUMMYFUNCTION("""COMPUTED_VALUE"""),-2.0)</f>
        <v>-2</v>
      </c>
      <c r="AK401" s="16">
        <f>IFERROR(__xludf.DUMMYFUNCTION("""COMPUTED_VALUE"""),5.300000000000001)</f>
        <v>5.3</v>
      </c>
      <c r="AL401" s="16">
        <f>IFERROR(__xludf.DUMMYFUNCTION("""COMPUTED_VALUE"""),18.8)</f>
        <v>18.8</v>
      </c>
      <c r="AM401" s="16">
        <f>IFERROR(__xludf.DUMMYFUNCTION("""COMPUTED_VALUE"""),1.0)</f>
        <v>1</v>
      </c>
      <c r="AN401" s="16">
        <f>IFERROR(__xludf.DUMMYFUNCTION("""COMPUTED_VALUE"""),-1.0)</f>
        <v>-1</v>
      </c>
      <c r="AO401" s="16">
        <f>IFERROR(__xludf.DUMMYFUNCTION("""COMPUTED_VALUE"""),1.0)</f>
        <v>1</v>
      </c>
      <c r="AP401" s="16">
        <f>IFERROR(__xludf.DUMMYFUNCTION("""COMPUTED_VALUE"""),-1.0)</f>
        <v>-1</v>
      </c>
      <c r="AQ401" s="16">
        <f>IFERROR(__xludf.DUMMYFUNCTION("""COMPUTED_VALUE"""),10.399999999999999)</f>
        <v>10.4</v>
      </c>
      <c r="AR401" s="16">
        <f>IFERROR(__xludf.DUMMYFUNCTION("""COMPUTED_VALUE"""),24.099999999999998)</f>
        <v>24.1</v>
      </c>
      <c r="AS401" s="16">
        <f>IFERROR(__xludf.DUMMYFUNCTION("""COMPUTED_VALUE"""),1.0)</f>
        <v>1</v>
      </c>
      <c r="AT401" s="16">
        <f>IFERROR(__xludf.DUMMYFUNCTION("""COMPUTED_VALUE"""),-1.0)</f>
        <v>-1</v>
      </c>
      <c r="AU401" s="16">
        <f>IFERROR(__xludf.DUMMYFUNCTION("""COMPUTED_VALUE"""),2.0)</f>
        <v>2</v>
      </c>
      <c r="AV401" s="16">
        <f>IFERROR(__xludf.DUMMYFUNCTION("""COMPUTED_VALUE"""),-2.0)</f>
        <v>-2</v>
      </c>
      <c r="AW401" s="16">
        <f>IFERROR(__xludf.DUMMYFUNCTION("""COMPUTED_VALUE"""),6.0)</f>
        <v>6</v>
      </c>
      <c r="AX401" s="16">
        <f>IFERROR(__xludf.DUMMYFUNCTION("""COMPUTED_VALUE"""),2.2)</f>
        <v>2.2</v>
      </c>
      <c r="AY401" s="16">
        <f>IFERROR(__xludf.DUMMYFUNCTION("""COMPUTED_VALUE"""),-3.0)</f>
        <v>-3</v>
      </c>
      <c r="AZ401" s="16">
        <f>IFERROR(__xludf.DUMMYFUNCTION("""COMPUTED_VALUE"""),0.0)</f>
        <v>0</v>
      </c>
      <c r="BA401" s="16">
        <f>IFERROR(__xludf.DUMMYFUNCTION("""COMPUTED_VALUE"""),-15.0)</f>
        <v>-15</v>
      </c>
      <c r="BB401" s="16">
        <f>IFERROR(__xludf.DUMMYFUNCTION("""COMPUTED_VALUE"""),0.0)</f>
        <v>0</v>
      </c>
      <c r="BC401" s="16"/>
      <c r="BD401" s="16">
        <f>IFERROR(__xludf.DUMMYFUNCTION("""COMPUTED_VALUE"""),3.0)</f>
        <v>3</v>
      </c>
      <c r="BE401" s="16">
        <f>IFERROR(__xludf.DUMMYFUNCTION("""COMPUTED_VALUE"""),8.0)</f>
        <v>8</v>
      </c>
      <c r="BF401" s="16">
        <f>IFERROR(__xludf.DUMMYFUNCTION("""COMPUTED_VALUE"""),3.0)</f>
        <v>3</v>
      </c>
      <c r="BG401" s="16">
        <f>IFERROR(__xludf.DUMMYFUNCTION("""COMPUTED_VALUE"""),-3.0)</f>
        <v>-3</v>
      </c>
      <c r="BH401" s="16">
        <f>IFERROR(__xludf.DUMMYFUNCTION("""COMPUTED_VALUE"""),0.0)</f>
        <v>0</v>
      </c>
      <c r="BI401" s="16">
        <f>IFERROR(__xludf.DUMMYFUNCTION("""COMPUTED_VALUE"""),-6.0)</f>
        <v>-6</v>
      </c>
      <c r="BJ401" s="16">
        <f>IFERROR(__xludf.DUMMYFUNCTION("""COMPUTED_VALUE"""),0.0)</f>
        <v>0</v>
      </c>
      <c r="BK401" s="16">
        <f>IFERROR(__xludf.DUMMYFUNCTION("""COMPUTED_VALUE"""),0.0)</f>
        <v>0</v>
      </c>
      <c r="BL401" s="16">
        <f>IFERROR(__xludf.DUMMYFUNCTION("""COMPUTED_VALUE"""),5.0)</f>
        <v>5</v>
      </c>
      <c r="BM401" s="16">
        <f>IFERROR(__xludf.DUMMYFUNCTION("""COMPUTED_VALUE"""),1.0)</f>
        <v>1</v>
      </c>
      <c r="BN401" s="16">
        <f>IFERROR(__xludf.DUMMYFUNCTION("""COMPUTED_VALUE"""),0.0)</f>
        <v>0</v>
      </c>
      <c r="BO401" s="16">
        <f>IFERROR(__xludf.DUMMYFUNCTION("""COMPUTED_VALUE"""),1.0)</f>
        <v>1</v>
      </c>
      <c r="BP401" s="16">
        <f>IFERROR(__xludf.DUMMYFUNCTION("""COMPUTED_VALUE"""),0.0)</f>
        <v>0</v>
      </c>
      <c r="BQ401" s="16">
        <f>IFERROR(__xludf.DUMMYFUNCTION("""COMPUTED_VALUE"""),0.0)</f>
        <v>0</v>
      </c>
      <c r="BR401" s="16">
        <f>IFERROR(__xludf.DUMMYFUNCTION("""COMPUTED_VALUE"""),0.0)</f>
        <v>0</v>
      </c>
      <c r="BS401" s="16">
        <f>IFERROR(__xludf.DUMMYFUNCTION("""COMPUTED_VALUE"""),-3.0)</f>
        <v>-3</v>
      </c>
      <c r="BT401" s="16">
        <f>IFERROR(__xludf.DUMMYFUNCTION("""COMPUTED_VALUE"""),-3.0)</f>
        <v>-3</v>
      </c>
      <c r="BU401" s="16">
        <f>IFERROR(__xludf.DUMMYFUNCTION("""COMPUTED_VALUE"""),-6.0)</f>
        <v>-6</v>
      </c>
      <c r="BV401" s="16">
        <f>IFERROR(__xludf.DUMMYFUNCTION("""COMPUTED_VALUE"""),-6.0)</f>
        <v>-6</v>
      </c>
      <c r="BW401" s="16">
        <f>IFERROR(__xludf.DUMMYFUNCTION("""COMPUTED_VALUE"""),0.0)</f>
        <v>0</v>
      </c>
      <c r="BX401" s="16">
        <f>IFERROR(__xludf.DUMMYFUNCTION("""COMPUTED_VALUE"""),0.0)</f>
        <v>0</v>
      </c>
      <c r="BY401" s="16" t="str">
        <f>IFERROR(__xludf.DUMMYFUNCTION("""COMPUTED_VALUE"""),"R(1) C(1)")</f>
        <v>R(1) C(1)</v>
      </c>
      <c r="BZ401" s="16" t="str">
        <f>IFERROR(__xludf.DUMMYFUNCTION("""COMPUTED_VALUE"""),"R(1) C(1)")</f>
        <v>R(1) C(1)</v>
      </c>
      <c r="CA401" s="16" t="str">
        <f>IFERROR(__xludf.DUMMYFUNCTION("""COMPUTED_VALUE"""),"R(1)")</f>
        <v>R(1)</v>
      </c>
      <c r="CB401" s="16" t="str">
        <f>IFERROR(__xludf.DUMMYFUNCTION("""COMPUTED_VALUE"""),"C(1)")</f>
        <v>C(1)</v>
      </c>
      <c r="CC401" s="16"/>
      <c r="CD401" s="16"/>
      <c r="CE401" s="16">
        <f>IFERROR(__xludf.DUMMYFUNCTION("""COMPUTED_VALUE"""),1.0)</f>
        <v>1</v>
      </c>
      <c r="CF401" s="16">
        <f>IFERROR(__xludf.DUMMYFUNCTION("""COMPUTED_VALUE"""),1.0)</f>
        <v>1</v>
      </c>
      <c r="CG401" s="16" t="str">
        <f>IFERROR(__xludf.DUMMYFUNCTION("""COMPUTED_VALUE"""),"4-0")</f>
        <v>4-0</v>
      </c>
      <c r="CH401" s="16">
        <f>IFERROR(__xludf.DUMMYFUNCTION("""COMPUTED_VALUE"""),4.0)</f>
        <v>4</v>
      </c>
      <c r="CI401" s="16">
        <f>IFERROR(__xludf.DUMMYFUNCTION("""COMPUTED_VALUE"""),0.0)</f>
        <v>0</v>
      </c>
      <c r="CJ401" s="16">
        <f>IFERROR(__xludf.DUMMYFUNCTION("""COMPUTED_VALUE"""),0.0)</f>
        <v>0</v>
      </c>
      <c r="CK401" s="16">
        <f>IFERROR(__xludf.DUMMYFUNCTION("""COMPUTED_VALUE"""),3.0)</f>
        <v>3</v>
      </c>
      <c r="CL401" s="16" t="str">
        <f>IFERROR(__xludf.DUMMYFUNCTION("""COMPUTED_VALUE"""),"1WL-C")</f>
        <v>1WL-C</v>
      </c>
      <c r="CM401" s="16" t="str">
        <f>IFERROR(__xludf.DUMMYFUNCTION("""COMPUTED_VALUE"""),"E")</f>
        <v>E</v>
      </c>
      <c r="CN401" s="16">
        <f>IFERROR(__xludf.DUMMYFUNCTION("""COMPUTED_VALUE"""),10.0)</f>
        <v>10</v>
      </c>
      <c r="CO401" s="16" t="str">
        <f>IFERROR(__xludf.DUMMYFUNCTION("""COMPUTED_VALUE"""),"C")</f>
        <v>C</v>
      </c>
      <c r="CP401" s="16" t="str">
        <f>IFERROR(__xludf.DUMMYFUNCTION("""COMPUTED_VALUE"""),"2p50")</f>
        <v>2p50</v>
      </c>
      <c r="CQ401" s="16">
        <f>IFERROR(__xludf.DUMMYFUNCTION("""COMPUTED_VALUE"""),-22.0)</f>
        <v>-22</v>
      </c>
      <c r="CR401" s="16">
        <f>IFERROR(__xludf.DUMMYFUNCTION("""COMPUTED_VALUE"""),-8.0)</f>
        <v>-8</v>
      </c>
      <c r="CS401" s="16">
        <f>IFERROR(__xludf.DUMMYFUNCTION("""COMPUTED_VALUE"""),-30.0)</f>
        <v>-30</v>
      </c>
      <c r="CT401" s="16">
        <f>IFERROR(__xludf.DUMMYFUNCTION("""COMPUTED_VALUE"""),-22.0)</f>
        <v>-22</v>
      </c>
      <c r="CU401" s="16">
        <f>IFERROR(__xludf.DUMMYFUNCTION("""COMPUTED_VALUE"""),-8.0)</f>
        <v>-8</v>
      </c>
      <c r="CV401" s="179">
        <f>IFERROR(__xludf.DUMMYFUNCTION("""COMPUTED_VALUE"""),-14.333333333333332)</f>
        <v>-14.33333333</v>
      </c>
      <c r="CW401" s="179">
        <f>IFERROR(__xludf.DUMMYFUNCTION("""COMPUTED_VALUE"""),3.0)</f>
        <v>3</v>
      </c>
      <c r="CX401" s="179">
        <f>IFERROR(__xludf.DUMMYFUNCTION("""COMPUTED_VALUE"""),0.0)</f>
        <v>0</v>
      </c>
      <c r="CY401" s="16" t="str">
        <f>IFERROR(__xludf.DUMMYFUNCTION("""COMPUTED_VALUE"""),"RP")</f>
        <v>RP</v>
      </c>
      <c r="CZ401" s="16" t="str">
        <f>IFERROR(__xludf.DUMMYFUNCTION("""COMPUTED_VALUE"""),"CP")</f>
        <v>CP</v>
      </c>
      <c r="DA401" s="16"/>
      <c r="DB401" s="16"/>
      <c r="DC401" s="16"/>
      <c r="DD401" s="16"/>
      <c r="DE401" s="16"/>
      <c r="DF401" s="16"/>
      <c r="DG401" s="16"/>
      <c r="DH401" s="16"/>
      <c r="DI401" s="16"/>
      <c r="DJ401" s="16"/>
      <c r="DK401" s="16"/>
    </row>
    <row r="402">
      <c r="A402" s="16">
        <f>IFERROR(__xludf.DUMMYFUNCTION("""COMPUTED_VALUE"""),13300.0)</f>
        <v>13300</v>
      </c>
      <c r="B402" s="16" t="str">
        <f>IFERROR(__xludf.DUMMYFUNCTION("""COMPUTED_VALUE"""),"Randy Vasquez")</f>
        <v>Randy Vasquez</v>
      </c>
      <c r="C402" s="153">
        <f>IFERROR(__xludf.DUMMYFUNCTION("""COMPUTED_VALUE"""),0.23)</f>
        <v>0.23</v>
      </c>
      <c r="D402" s="16"/>
      <c r="E402" s="16" t="str">
        <f>IFERROR(__xludf.DUMMYFUNCTION("""COMPUTED_VALUE"""),"R")</f>
        <v>R</v>
      </c>
      <c r="F402" s="16">
        <f>IFERROR(__xludf.DUMMYFUNCTION("""COMPUTED_VALUE"""),98.0)</f>
        <v>98</v>
      </c>
      <c r="G402" s="16">
        <f>IFERROR(__xludf.DUMMYFUNCTION("""COMPUTED_VALUE"""),0.0)</f>
        <v>0</v>
      </c>
      <c r="H402" s="16">
        <f>IFERROR(__xludf.DUMMYFUNCTION("""COMPUTED_VALUE"""),18.0)</f>
        <v>18</v>
      </c>
      <c r="I402" s="16">
        <f>IFERROR(__xludf.DUMMYFUNCTION("""COMPUTED_VALUE"""),-3.0)</f>
        <v>-3</v>
      </c>
      <c r="J402" s="16">
        <f>IFERROR(__xludf.DUMMYFUNCTION("""COMPUTED_VALUE"""),-1.0)</f>
        <v>-1</v>
      </c>
      <c r="K402" s="16">
        <f>IFERROR(__xludf.DUMMYFUNCTION("""COMPUTED_VALUE"""),-9.0)</f>
        <v>-9</v>
      </c>
      <c r="L402" s="16">
        <f>IFERROR(__xludf.DUMMYFUNCTION("""COMPUTED_VALUE"""),-3.0)</f>
        <v>-3</v>
      </c>
      <c r="M402" s="16">
        <f>IFERROR(__xludf.DUMMYFUNCTION("""COMPUTED_VALUE"""),6.0)</f>
        <v>6</v>
      </c>
      <c r="N402" s="16">
        <f>IFERROR(__xludf.DUMMYFUNCTION("""COMPUTED_VALUE"""),6.0)</f>
        <v>6</v>
      </c>
      <c r="O402" s="16">
        <f>IFERROR(__xludf.DUMMYFUNCTION("""COMPUTED_VALUE"""),1.0)</f>
        <v>1</v>
      </c>
      <c r="P402" s="16">
        <f>IFERROR(__xludf.DUMMYFUNCTION("""COMPUTED_VALUE"""),1.0)</f>
        <v>1</v>
      </c>
      <c r="Q402" s="16">
        <f>IFERROR(__xludf.DUMMYFUNCTION("""COMPUTED_VALUE"""),1.0)</f>
        <v>1</v>
      </c>
      <c r="R402" s="16">
        <f>IFERROR(__xludf.DUMMYFUNCTION("""COMPUTED_VALUE"""),1.0)</f>
        <v>1</v>
      </c>
      <c r="S402" s="16">
        <f>IFERROR(__xludf.DUMMYFUNCTION("""COMPUTED_VALUE"""),41.1)</f>
        <v>41.1</v>
      </c>
      <c r="T402" s="16">
        <f>IFERROR(__xludf.DUMMYFUNCTION("""COMPUTED_VALUE"""),19.3)</f>
        <v>19.3</v>
      </c>
      <c r="U402" s="16">
        <f>IFERROR(__xludf.DUMMYFUNCTION("""COMPUTED_VALUE"""),-3.0)</f>
        <v>-3</v>
      </c>
      <c r="V402" s="16">
        <f>IFERROR(__xludf.DUMMYFUNCTION("""COMPUTED_VALUE"""),-1.0)</f>
        <v>-1</v>
      </c>
      <c r="W402" s="16">
        <f>IFERROR(__xludf.DUMMYFUNCTION("""COMPUTED_VALUE"""),-6.0)</f>
        <v>-6</v>
      </c>
      <c r="X402" s="16">
        <f>IFERROR(__xludf.DUMMYFUNCTION("""COMPUTED_VALUE"""),-2.0)</f>
        <v>-2</v>
      </c>
      <c r="Y402" s="16">
        <f>IFERROR(__xludf.DUMMYFUNCTION("""COMPUTED_VALUE"""),47.1)</f>
        <v>47.1</v>
      </c>
      <c r="Z402" s="16">
        <f>IFERROR(__xludf.DUMMYFUNCTION("""COMPUTED_VALUE"""),25.3)</f>
        <v>25.3</v>
      </c>
      <c r="AA402" s="16">
        <f>IFERROR(__xludf.DUMMYFUNCTION("""COMPUTED_VALUE"""),-2.0)</f>
        <v>-2</v>
      </c>
      <c r="AB402" s="16">
        <f>IFERROR(__xludf.DUMMYFUNCTION("""COMPUTED_VALUE"""),0.0)</f>
        <v>0</v>
      </c>
      <c r="AC402" s="16">
        <f>IFERROR(__xludf.DUMMYFUNCTION("""COMPUTED_VALUE"""),-10.0)</f>
        <v>-10</v>
      </c>
      <c r="AD402" s="16">
        <f>IFERROR(__xludf.DUMMYFUNCTION("""COMPUTED_VALUE"""),0.0)</f>
        <v>0</v>
      </c>
      <c r="AE402" s="16">
        <f>IFERROR(__xludf.DUMMYFUNCTION("""COMPUTED_VALUE"""),54.5)</f>
        <v>54.5</v>
      </c>
      <c r="AF402" s="16">
        <f>IFERROR(__xludf.DUMMYFUNCTION("""COMPUTED_VALUE"""),33.5)</f>
        <v>33.5</v>
      </c>
      <c r="AG402" s="16">
        <f>IFERROR(__xludf.DUMMYFUNCTION("""COMPUTED_VALUE"""),-2.0)</f>
        <v>-2</v>
      </c>
      <c r="AH402" s="16">
        <f>IFERROR(__xludf.DUMMYFUNCTION("""COMPUTED_VALUE"""),-1.0)</f>
        <v>-1</v>
      </c>
      <c r="AI402" s="16">
        <f>IFERROR(__xludf.DUMMYFUNCTION("""COMPUTED_VALUE"""),-4.0)</f>
        <v>-4</v>
      </c>
      <c r="AJ402" s="16">
        <f>IFERROR(__xludf.DUMMYFUNCTION("""COMPUTED_VALUE"""),-2.0)</f>
        <v>-2</v>
      </c>
      <c r="AK402" s="16">
        <f>IFERROR(__xludf.DUMMYFUNCTION("""COMPUTED_VALUE"""),39.5)</f>
        <v>39.5</v>
      </c>
      <c r="AL402" s="16">
        <f>IFERROR(__xludf.DUMMYFUNCTION("""COMPUTED_VALUE"""),17.3)</f>
        <v>17.3</v>
      </c>
      <c r="AM402" s="16">
        <f>IFERROR(__xludf.DUMMYFUNCTION("""COMPUTED_VALUE"""),-3.0)</f>
        <v>-3</v>
      </c>
      <c r="AN402" s="16">
        <f>IFERROR(__xludf.DUMMYFUNCTION("""COMPUTED_VALUE"""),-1.0)</f>
        <v>-1</v>
      </c>
      <c r="AO402" s="16">
        <f>IFERROR(__xludf.DUMMYFUNCTION("""COMPUTED_VALUE"""),-3.0)</f>
        <v>-3</v>
      </c>
      <c r="AP402" s="16">
        <f>IFERROR(__xludf.DUMMYFUNCTION("""COMPUTED_VALUE"""),-1.0)</f>
        <v>-1</v>
      </c>
      <c r="AQ402" s="16">
        <f>IFERROR(__xludf.DUMMYFUNCTION("""COMPUTED_VALUE"""),48.1)</f>
        <v>48.1</v>
      </c>
      <c r="AR402" s="16">
        <f>IFERROR(__xludf.DUMMYFUNCTION("""COMPUTED_VALUE"""),25.5)</f>
        <v>25.5</v>
      </c>
      <c r="AS402" s="16">
        <f>IFERROR(__xludf.DUMMYFUNCTION("""COMPUTED_VALUE"""),-3.0)</f>
        <v>-3</v>
      </c>
      <c r="AT402" s="16">
        <f>IFERROR(__xludf.DUMMYFUNCTION("""COMPUTED_VALUE"""),-1.0)</f>
        <v>-1</v>
      </c>
      <c r="AU402" s="16">
        <f>IFERROR(__xludf.DUMMYFUNCTION("""COMPUTED_VALUE"""),-6.0)</f>
        <v>-6</v>
      </c>
      <c r="AV402" s="16">
        <f>IFERROR(__xludf.DUMMYFUNCTION("""COMPUTED_VALUE"""),-2.0)</f>
        <v>-2</v>
      </c>
      <c r="AW402" s="16">
        <f>IFERROR(__xludf.DUMMYFUNCTION("""COMPUTED_VALUE"""),1.6)</f>
        <v>1.6</v>
      </c>
      <c r="AX402" s="16">
        <f>IFERROR(__xludf.DUMMYFUNCTION("""COMPUTED_VALUE"""),2.0)</f>
        <v>2</v>
      </c>
      <c r="AY402" s="16">
        <f>IFERROR(__xludf.DUMMYFUNCTION("""COMPUTED_VALUE"""),1.0)</f>
        <v>1</v>
      </c>
      <c r="AZ402" s="16">
        <f>IFERROR(__xludf.DUMMYFUNCTION("""COMPUTED_VALUE"""),0.0)</f>
        <v>0</v>
      </c>
      <c r="BA402" s="16">
        <f>IFERROR(__xludf.DUMMYFUNCTION("""COMPUTED_VALUE"""),5.0)</f>
        <v>5</v>
      </c>
      <c r="BB402" s="16">
        <f>IFERROR(__xludf.DUMMYFUNCTION("""COMPUTED_VALUE"""),0.0)</f>
        <v>0</v>
      </c>
      <c r="BC402" s="16">
        <f>IFERROR(__xludf.DUMMYFUNCTION("""COMPUTED_VALUE"""),3.0)</f>
        <v>3</v>
      </c>
      <c r="BD402" s="16">
        <f>IFERROR(__xludf.DUMMYFUNCTION("""COMPUTED_VALUE"""),3.0)</f>
        <v>3</v>
      </c>
      <c r="BE402" s="16">
        <f>IFERROR(__xludf.DUMMYFUNCTION("""COMPUTED_VALUE"""),3.0)</f>
        <v>3</v>
      </c>
      <c r="BF402" s="16">
        <f>IFERROR(__xludf.DUMMYFUNCTION("""COMPUTED_VALUE"""),3.0)</f>
        <v>3</v>
      </c>
      <c r="BG402" s="16">
        <f>IFERROR(__xludf.DUMMYFUNCTION("""COMPUTED_VALUE"""),0.0)</f>
        <v>0</v>
      </c>
      <c r="BH402" s="16">
        <f>IFERROR(__xludf.DUMMYFUNCTION("""COMPUTED_VALUE"""),0.0)</f>
        <v>0</v>
      </c>
      <c r="BI402" s="16">
        <f>IFERROR(__xludf.DUMMYFUNCTION("""COMPUTED_VALUE"""),0.0)</f>
        <v>0</v>
      </c>
      <c r="BJ402" s="16">
        <f>IFERROR(__xludf.DUMMYFUNCTION("""COMPUTED_VALUE"""),0.0)</f>
        <v>0</v>
      </c>
      <c r="BK402" s="16">
        <f>IFERROR(__xludf.DUMMYFUNCTION("""COMPUTED_VALUE"""),5.0)</f>
        <v>5</v>
      </c>
      <c r="BL402" s="16">
        <f>IFERROR(__xludf.DUMMYFUNCTION("""COMPUTED_VALUE"""),5.0)</f>
        <v>5</v>
      </c>
      <c r="BM402" s="16">
        <f>IFERROR(__xludf.DUMMYFUNCTION("""COMPUTED_VALUE"""),0.0)</f>
        <v>0</v>
      </c>
      <c r="BN402" s="16">
        <f>IFERROR(__xludf.DUMMYFUNCTION("""COMPUTED_VALUE"""),0.0)</f>
        <v>0</v>
      </c>
      <c r="BO402" s="16">
        <f>IFERROR(__xludf.DUMMYFUNCTION("""COMPUTED_VALUE"""),0.0)</f>
        <v>0</v>
      </c>
      <c r="BP402" s="16">
        <f>IFERROR(__xludf.DUMMYFUNCTION("""COMPUTED_VALUE"""),0.0)</f>
        <v>0</v>
      </c>
      <c r="BQ402" s="16">
        <f>IFERROR(__xludf.DUMMYFUNCTION("""COMPUTED_VALUE"""),12.0)</f>
        <v>12</v>
      </c>
      <c r="BR402" s="16">
        <f>IFERROR(__xludf.DUMMYFUNCTION("""COMPUTED_VALUE"""),12.0)</f>
        <v>12</v>
      </c>
      <c r="BS402" s="16">
        <f>IFERROR(__xludf.DUMMYFUNCTION("""COMPUTED_VALUE"""),3.0)</f>
        <v>3</v>
      </c>
      <c r="BT402" s="16">
        <f>IFERROR(__xludf.DUMMYFUNCTION("""COMPUTED_VALUE"""),3.0)</f>
        <v>3</v>
      </c>
      <c r="BU402" s="16">
        <f>IFERROR(__xludf.DUMMYFUNCTION("""COMPUTED_VALUE"""),6.0)</f>
        <v>6</v>
      </c>
      <c r="BV402" s="16">
        <f>IFERROR(__xludf.DUMMYFUNCTION("""COMPUTED_VALUE"""),6.0)</f>
        <v>6</v>
      </c>
      <c r="BW402" s="16">
        <f>IFERROR(__xludf.DUMMYFUNCTION("""COMPUTED_VALUE"""),3.0)</f>
        <v>3</v>
      </c>
      <c r="BX402" s="16">
        <f>IFERROR(__xludf.DUMMYFUNCTION("""COMPUTED_VALUE"""),3.0)</f>
        <v>3</v>
      </c>
      <c r="BY402" s="16" t="str">
        <f>IFERROR(__xludf.DUMMYFUNCTION("""COMPUTED_VALUE"""),"S(5)")</f>
        <v>S(5)</v>
      </c>
      <c r="BZ402" s="16" t="str">
        <f>IFERROR(__xludf.DUMMYFUNCTION("""COMPUTED_VALUE"""),"S(5)")</f>
        <v>S(5)</v>
      </c>
      <c r="CA402" s="16" t="str">
        <f>IFERROR(__xludf.DUMMYFUNCTION("""COMPUTED_VALUE"""),"S(5)")</f>
        <v>S(5)</v>
      </c>
      <c r="CB402" s="16"/>
      <c r="CC402" s="16"/>
      <c r="CD402" s="16">
        <f>IFERROR(__xludf.DUMMYFUNCTION("""COMPUTED_VALUE"""),5.0)</f>
        <v>5</v>
      </c>
      <c r="CE402" s="16"/>
      <c r="CF402" s="16"/>
      <c r="CG402" s="16" t="str">
        <f>IFERROR(__xludf.DUMMYFUNCTION("""COMPUTED_VALUE"""),"3-0")</f>
        <v>3-0</v>
      </c>
      <c r="CH402" s="16">
        <f>IFERROR(__xludf.DUMMYFUNCTION("""COMPUTED_VALUE"""),3.0)</f>
        <v>3</v>
      </c>
      <c r="CI402" s="16">
        <f>IFERROR(__xludf.DUMMYFUNCTION("""COMPUTED_VALUE"""),0.0)</f>
        <v>0</v>
      </c>
      <c r="CJ402" s="16">
        <f>IFERROR(__xludf.DUMMYFUNCTION("""COMPUTED_VALUE"""),6.0)</f>
        <v>6</v>
      </c>
      <c r="CK402" s="16">
        <f>IFERROR(__xludf.DUMMYFUNCTION("""COMPUTED_VALUE"""),10.0)</f>
        <v>10</v>
      </c>
      <c r="CL402" s="16" t="str">
        <f>IFERROR(__xludf.DUMMYFUNCTION("""COMPUTED_VALUE"""),"1WR-C")</f>
        <v>1WR-C</v>
      </c>
      <c r="CM402" s="16" t="str">
        <f>IFERROR(__xludf.DUMMYFUNCTION("""COMPUTED_VALUE"""),"E")</f>
        <v>E</v>
      </c>
      <c r="CN402" s="16">
        <f>IFERROR(__xludf.DUMMYFUNCTION("""COMPUTED_VALUE"""),10.0)</f>
        <v>10</v>
      </c>
      <c r="CO402" s="16" t="str">
        <f>IFERROR(__xludf.DUMMYFUNCTION("""COMPUTED_VALUE"""),"C")</f>
        <v>C</v>
      </c>
      <c r="CP402" s="16" t="str">
        <f>IFERROR(__xludf.DUMMYFUNCTION("""COMPUTED_VALUE"""),"1p50")</f>
        <v>1p50</v>
      </c>
      <c r="CQ402" s="16">
        <f>IFERROR(__xludf.DUMMYFUNCTION("""COMPUTED_VALUE"""),-26.0)</f>
        <v>-26</v>
      </c>
      <c r="CR402" s="16">
        <f>IFERROR(__xludf.DUMMYFUNCTION("""COMPUTED_VALUE"""),-3.0)</f>
        <v>-3</v>
      </c>
      <c r="CS402" s="16">
        <f>IFERROR(__xludf.DUMMYFUNCTION("""COMPUTED_VALUE"""),-29.0)</f>
        <v>-29</v>
      </c>
      <c r="CT402" s="16">
        <f>IFERROR(__xludf.DUMMYFUNCTION("""COMPUTED_VALUE"""),-26.0)</f>
        <v>-26</v>
      </c>
      <c r="CU402" s="16">
        <f>IFERROR(__xludf.DUMMYFUNCTION("""COMPUTED_VALUE"""),-3.0)</f>
        <v>-3</v>
      </c>
      <c r="CV402" s="179">
        <f>IFERROR(__xludf.DUMMYFUNCTION("""COMPUTED_VALUE"""),-14.333333333333332)</f>
        <v>-14.33333333</v>
      </c>
      <c r="CW402" s="179">
        <f>IFERROR(__xludf.DUMMYFUNCTION("""COMPUTED_VALUE"""),4.0)</f>
        <v>4</v>
      </c>
      <c r="CX402" s="179">
        <f>IFERROR(__xludf.DUMMYFUNCTION("""COMPUTED_VALUE"""),0.0)</f>
        <v>0</v>
      </c>
      <c r="CY402" s="16" t="str">
        <f>IFERROR(__xludf.DUMMYFUNCTION("""COMPUTED_VALUE"""),"SP")</f>
        <v>SP</v>
      </c>
      <c r="CZ402" s="16"/>
      <c r="DA402" s="16"/>
      <c r="DB402" s="16"/>
      <c r="DC402" s="16"/>
      <c r="DD402" s="16"/>
      <c r="DE402" s="16"/>
      <c r="DF402" s="16"/>
      <c r="DG402" s="16"/>
      <c r="DH402" s="16"/>
      <c r="DI402" s="16"/>
      <c r="DJ402" s="16"/>
      <c r="DK402" s="16"/>
    </row>
    <row r="403">
      <c r="A403" s="16">
        <f>IFERROR(__xludf.DUMMYFUNCTION("""COMPUTED_VALUE"""),12938.0)</f>
        <v>12938</v>
      </c>
      <c r="B403" s="16" t="str">
        <f>IFERROR(__xludf.DUMMYFUNCTION("""COMPUTED_VALUE"""),"Javier Assad")</f>
        <v>Javier Assad</v>
      </c>
      <c r="C403" s="153">
        <f>IFERROR(__xludf.DUMMYFUNCTION("""COMPUTED_VALUE"""),0.49)</f>
        <v>0.49</v>
      </c>
      <c r="D403" s="16"/>
      <c r="E403" s="16" t="str">
        <f>IFERROR(__xludf.DUMMYFUNCTION("""COMPUTED_VALUE"""),"R")</f>
        <v>R</v>
      </c>
      <c r="F403" s="16">
        <f>IFERROR(__xludf.DUMMYFUNCTION("""COMPUTED_VALUE"""),147.0)</f>
        <v>147</v>
      </c>
      <c r="G403" s="16">
        <f>IFERROR(__xludf.DUMMYFUNCTION("""COMPUTED_VALUE"""),23.0)</f>
        <v>23</v>
      </c>
      <c r="H403" s="16">
        <f>IFERROR(__xludf.DUMMYFUNCTION("""COMPUTED_VALUE"""),10.0)</f>
        <v>10</v>
      </c>
      <c r="I403" s="16">
        <f>IFERROR(__xludf.DUMMYFUNCTION("""COMPUTED_VALUE"""),-1.0)</f>
        <v>-1</v>
      </c>
      <c r="J403" s="16">
        <f>IFERROR(__xludf.DUMMYFUNCTION("""COMPUTED_VALUE"""),-2.0)</f>
        <v>-2</v>
      </c>
      <c r="K403" s="16">
        <f>IFERROR(__xludf.DUMMYFUNCTION("""COMPUTED_VALUE"""),-3.0)</f>
        <v>-3</v>
      </c>
      <c r="L403" s="16">
        <f>IFERROR(__xludf.DUMMYFUNCTION("""COMPUTED_VALUE"""),-6.0)</f>
        <v>-6</v>
      </c>
      <c r="M403" s="16">
        <f>IFERROR(__xludf.DUMMYFUNCTION("""COMPUTED_VALUE"""),13.0)</f>
        <v>13</v>
      </c>
      <c r="N403" s="16">
        <f>IFERROR(__xludf.DUMMYFUNCTION("""COMPUTED_VALUE"""),13.0)</f>
        <v>13</v>
      </c>
      <c r="O403" s="16">
        <f>IFERROR(__xludf.DUMMYFUNCTION("""COMPUTED_VALUE"""),-1.0)</f>
        <v>-1</v>
      </c>
      <c r="P403" s="16">
        <f>IFERROR(__xludf.DUMMYFUNCTION("""COMPUTED_VALUE"""),-2.0)</f>
        <v>-2</v>
      </c>
      <c r="Q403" s="16">
        <f>IFERROR(__xludf.DUMMYFUNCTION("""COMPUTED_VALUE"""),-1.0)</f>
        <v>-1</v>
      </c>
      <c r="R403" s="16">
        <f>IFERROR(__xludf.DUMMYFUNCTION("""COMPUTED_VALUE"""),-2.0)</f>
        <v>-2</v>
      </c>
      <c r="S403" s="16">
        <f>IFERROR(__xludf.DUMMYFUNCTION("""COMPUTED_VALUE"""),17.1)</f>
        <v>17.1</v>
      </c>
      <c r="T403" s="16">
        <f>IFERROR(__xludf.DUMMYFUNCTION("""COMPUTED_VALUE"""),21.4)</f>
        <v>21.4</v>
      </c>
      <c r="U403" s="16">
        <f>IFERROR(__xludf.DUMMYFUNCTION("""COMPUTED_VALUE"""),0.0)</f>
        <v>0</v>
      </c>
      <c r="V403" s="16">
        <f>IFERROR(__xludf.DUMMYFUNCTION("""COMPUTED_VALUE"""),-1.0)</f>
        <v>-1</v>
      </c>
      <c r="W403" s="16">
        <f>IFERROR(__xludf.DUMMYFUNCTION("""COMPUTED_VALUE"""),0.0)</f>
        <v>0</v>
      </c>
      <c r="X403" s="16">
        <f>IFERROR(__xludf.DUMMYFUNCTION("""COMPUTED_VALUE"""),-2.0)</f>
        <v>-2</v>
      </c>
      <c r="Y403" s="16">
        <f>IFERROR(__xludf.DUMMYFUNCTION("""COMPUTED_VALUE"""),30.1)</f>
        <v>30.1</v>
      </c>
      <c r="Z403" s="16">
        <f>IFERROR(__xludf.DUMMYFUNCTION("""COMPUTED_VALUE"""),34.3)</f>
        <v>34.3</v>
      </c>
      <c r="AA403" s="16">
        <f>IFERROR(__xludf.DUMMYFUNCTION("""COMPUTED_VALUE"""),-1.0)</f>
        <v>-1</v>
      </c>
      <c r="AB403" s="16">
        <f>IFERROR(__xludf.DUMMYFUNCTION("""COMPUTED_VALUE"""),-1.0)</f>
        <v>-1</v>
      </c>
      <c r="AC403" s="16">
        <f>IFERROR(__xludf.DUMMYFUNCTION("""COMPUTED_VALUE"""),-5.0)</f>
        <v>-5</v>
      </c>
      <c r="AD403" s="16">
        <f>IFERROR(__xludf.DUMMYFUNCTION("""COMPUTED_VALUE"""),-5.0)</f>
        <v>-5</v>
      </c>
      <c r="AE403" s="16">
        <f>IFERROR(__xludf.DUMMYFUNCTION("""COMPUTED_VALUE"""),24.3)</f>
        <v>24.3</v>
      </c>
      <c r="AF403" s="16">
        <f>IFERROR(__xludf.DUMMYFUNCTION("""COMPUTED_VALUE"""),40.6)</f>
        <v>40.6</v>
      </c>
      <c r="AG403" s="16">
        <f>IFERROR(__xludf.DUMMYFUNCTION("""COMPUTED_VALUE"""),0.0)</f>
        <v>0</v>
      </c>
      <c r="AH403" s="16">
        <f>IFERROR(__xludf.DUMMYFUNCTION("""COMPUTED_VALUE"""),-1.0)</f>
        <v>-1</v>
      </c>
      <c r="AI403" s="16">
        <f>IFERROR(__xludf.DUMMYFUNCTION("""COMPUTED_VALUE"""),0.0)</f>
        <v>0</v>
      </c>
      <c r="AJ403" s="16">
        <f>IFERROR(__xludf.DUMMYFUNCTION("""COMPUTED_VALUE"""),-2.0)</f>
        <v>-2</v>
      </c>
      <c r="AK403" s="16">
        <f>IFERROR(__xludf.DUMMYFUNCTION("""COMPUTED_VALUE"""),15.900000000000002)</f>
        <v>15.9</v>
      </c>
      <c r="AL403" s="16">
        <f>IFERROR(__xludf.DUMMYFUNCTION("""COMPUTED_VALUE"""),18.0)</f>
        <v>18</v>
      </c>
      <c r="AM403" s="16">
        <f>IFERROR(__xludf.DUMMYFUNCTION("""COMPUTED_VALUE"""),-1.0)</f>
        <v>-1</v>
      </c>
      <c r="AN403" s="16">
        <f>IFERROR(__xludf.DUMMYFUNCTION("""COMPUTED_VALUE"""),-1.0)</f>
        <v>-1</v>
      </c>
      <c r="AO403" s="16">
        <f>IFERROR(__xludf.DUMMYFUNCTION("""COMPUTED_VALUE"""),-1.0)</f>
        <v>-1</v>
      </c>
      <c r="AP403" s="16">
        <f>IFERROR(__xludf.DUMMYFUNCTION("""COMPUTED_VALUE"""),-1.0)</f>
        <v>-1</v>
      </c>
      <c r="AQ403" s="16">
        <f>IFERROR(__xludf.DUMMYFUNCTION("""COMPUTED_VALUE"""),19.5)</f>
        <v>19.5</v>
      </c>
      <c r="AR403" s="16">
        <f>IFERROR(__xludf.DUMMYFUNCTION("""COMPUTED_VALUE"""),27.0)</f>
        <v>27</v>
      </c>
      <c r="AS403" s="16">
        <f>IFERROR(__xludf.DUMMYFUNCTION("""COMPUTED_VALUE"""),0.0)</f>
        <v>0</v>
      </c>
      <c r="AT403" s="16">
        <f>IFERROR(__xludf.DUMMYFUNCTION("""COMPUTED_VALUE"""),-1.0)</f>
        <v>-1</v>
      </c>
      <c r="AU403" s="16">
        <f>IFERROR(__xludf.DUMMYFUNCTION("""COMPUTED_VALUE"""),0.0)</f>
        <v>0</v>
      </c>
      <c r="AV403" s="16">
        <f>IFERROR(__xludf.DUMMYFUNCTION("""COMPUTED_VALUE"""),-2.0)</f>
        <v>-2</v>
      </c>
      <c r="AW403" s="16">
        <f>IFERROR(__xludf.DUMMYFUNCTION("""COMPUTED_VALUE"""),1.2)</f>
        <v>1.2</v>
      </c>
      <c r="AX403" s="16">
        <f>IFERROR(__xludf.DUMMYFUNCTION("""COMPUTED_VALUE"""),3.4)</f>
        <v>3.4</v>
      </c>
      <c r="AY403" s="16">
        <f>IFERROR(__xludf.DUMMYFUNCTION("""COMPUTED_VALUE"""),1.0)</f>
        <v>1</v>
      </c>
      <c r="AZ403" s="16">
        <f>IFERROR(__xludf.DUMMYFUNCTION("""COMPUTED_VALUE"""),-1.0)</f>
        <v>-1</v>
      </c>
      <c r="BA403" s="16">
        <f>IFERROR(__xludf.DUMMYFUNCTION("""COMPUTED_VALUE"""),5.0)</f>
        <v>5</v>
      </c>
      <c r="BB403" s="16">
        <f>IFERROR(__xludf.DUMMYFUNCTION("""COMPUTED_VALUE"""),-5.0)</f>
        <v>-5</v>
      </c>
      <c r="BC403" s="16">
        <f>IFERROR(__xludf.DUMMYFUNCTION("""COMPUTED_VALUE"""),1.0)</f>
        <v>1</v>
      </c>
      <c r="BD403" s="16">
        <f>IFERROR(__xludf.DUMMYFUNCTION("""COMPUTED_VALUE"""),6.0)</f>
        <v>6</v>
      </c>
      <c r="BE403" s="16">
        <f>IFERROR(__xludf.DUMMYFUNCTION("""COMPUTED_VALUE"""),1.0)</f>
        <v>1</v>
      </c>
      <c r="BF403" s="16">
        <f>IFERROR(__xludf.DUMMYFUNCTION("""COMPUTED_VALUE"""),6.0)</f>
        <v>6</v>
      </c>
      <c r="BG403" s="16">
        <f>IFERROR(__xludf.DUMMYFUNCTION("""COMPUTED_VALUE"""),2.0)</f>
        <v>2</v>
      </c>
      <c r="BH403" s="16">
        <f>IFERROR(__xludf.DUMMYFUNCTION("""COMPUTED_VALUE"""),-2.0)</f>
        <v>-2</v>
      </c>
      <c r="BI403" s="16">
        <f>IFERROR(__xludf.DUMMYFUNCTION("""COMPUTED_VALUE"""),4.0)</f>
        <v>4</v>
      </c>
      <c r="BJ403" s="16">
        <f>IFERROR(__xludf.DUMMYFUNCTION("""COMPUTED_VALUE"""),-4.0)</f>
        <v>-4</v>
      </c>
      <c r="BK403" s="16">
        <f>IFERROR(__xludf.DUMMYFUNCTION("""COMPUTED_VALUE"""),5.0)</f>
        <v>5</v>
      </c>
      <c r="BL403" s="16">
        <f>IFERROR(__xludf.DUMMYFUNCTION("""COMPUTED_VALUE"""),5.0)</f>
        <v>5</v>
      </c>
      <c r="BM403" s="16">
        <f>IFERROR(__xludf.DUMMYFUNCTION("""COMPUTED_VALUE"""),0.0)</f>
        <v>0</v>
      </c>
      <c r="BN403" s="16">
        <f>IFERROR(__xludf.DUMMYFUNCTION("""COMPUTED_VALUE"""),0.0)</f>
        <v>0</v>
      </c>
      <c r="BO403" s="16">
        <f>IFERROR(__xludf.DUMMYFUNCTION("""COMPUTED_VALUE"""),0.0)</f>
        <v>0</v>
      </c>
      <c r="BP403" s="16">
        <f>IFERROR(__xludf.DUMMYFUNCTION("""COMPUTED_VALUE"""),0.0)</f>
        <v>0</v>
      </c>
      <c r="BQ403" s="16">
        <f>IFERROR(__xludf.DUMMYFUNCTION("""COMPUTED_VALUE"""),4.0)</f>
        <v>4</v>
      </c>
      <c r="BR403" s="16">
        <f>IFERROR(__xludf.DUMMYFUNCTION("""COMPUTED_VALUE"""),4.0)</f>
        <v>4</v>
      </c>
      <c r="BS403" s="16">
        <f>IFERROR(__xludf.DUMMYFUNCTION("""COMPUTED_VALUE"""),-1.0)</f>
        <v>-1</v>
      </c>
      <c r="BT403" s="16">
        <f>IFERROR(__xludf.DUMMYFUNCTION("""COMPUTED_VALUE"""),-1.0)</f>
        <v>-1</v>
      </c>
      <c r="BU403" s="16">
        <f>IFERROR(__xludf.DUMMYFUNCTION("""COMPUTED_VALUE"""),-2.0)</f>
        <v>-2</v>
      </c>
      <c r="BV403" s="16">
        <f>IFERROR(__xludf.DUMMYFUNCTION("""COMPUTED_VALUE"""),-2.0)</f>
        <v>-2</v>
      </c>
      <c r="BW403" s="16">
        <f>IFERROR(__xludf.DUMMYFUNCTION("""COMPUTED_VALUE"""),-1.0)</f>
        <v>-1</v>
      </c>
      <c r="BX403" s="16">
        <f>IFERROR(__xludf.DUMMYFUNCTION("""COMPUTED_VALUE"""),-1.0)</f>
        <v>-1</v>
      </c>
      <c r="BY403" s="16" t="str">
        <f>IFERROR(__xludf.DUMMYFUNCTION("""COMPUTED_VALUE"""),"S(5)")</f>
        <v>S(5)</v>
      </c>
      <c r="BZ403" s="16" t="str">
        <f>IFERROR(__xludf.DUMMYFUNCTION("""COMPUTED_VALUE"""),"S(5)")</f>
        <v>S(5)</v>
      </c>
      <c r="CA403" s="16" t="str">
        <f>IFERROR(__xludf.DUMMYFUNCTION("""COMPUTED_VALUE"""),"S(5)")</f>
        <v>S(5)</v>
      </c>
      <c r="CB403" s="16"/>
      <c r="CC403" s="16"/>
      <c r="CD403" s="16">
        <f>IFERROR(__xludf.DUMMYFUNCTION("""COMPUTED_VALUE"""),5.0)</f>
        <v>5</v>
      </c>
      <c r="CE403" s="16"/>
      <c r="CF403" s="16"/>
      <c r="CG403" s="16" t="str">
        <f>IFERROR(__xludf.DUMMYFUNCTION("""COMPUTED_VALUE"""),"3-10")</f>
        <v>3-10</v>
      </c>
      <c r="CH403" s="16">
        <f>IFERROR(__xludf.DUMMYFUNCTION("""COMPUTED_VALUE"""),3.0)</f>
        <v>3</v>
      </c>
      <c r="CI403" s="16">
        <f>IFERROR(__xludf.DUMMYFUNCTION("""COMPUTED_VALUE"""),10.0)</f>
        <v>10</v>
      </c>
      <c r="CJ403" s="16">
        <f>IFERROR(__xludf.DUMMYFUNCTION("""COMPUTED_VALUE"""),0.0)</f>
        <v>0</v>
      </c>
      <c r="CK403" s="16">
        <f>IFERROR(__xludf.DUMMYFUNCTION("""COMPUTED_VALUE"""),7.0)</f>
        <v>7</v>
      </c>
      <c r="CL403" s="16" t="str">
        <f>IFERROR(__xludf.DUMMYFUNCTION("""COMPUTED_VALUE"""),"1WR-C")</f>
        <v>1WR-C</v>
      </c>
      <c r="CM403" s="16" t="str">
        <f>IFERROR(__xludf.DUMMYFUNCTION("""COMPUTED_VALUE"""),"E")</f>
        <v>E</v>
      </c>
      <c r="CN403" s="16">
        <f>IFERROR(__xludf.DUMMYFUNCTION("""COMPUTED_VALUE"""),10.0)</f>
        <v>10</v>
      </c>
      <c r="CO403" s="16" t="str">
        <f>IFERROR(__xludf.DUMMYFUNCTION("""COMPUTED_VALUE"""),"C")</f>
        <v>C</v>
      </c>
      <c r="CP403" s="16" t="str">
        <f>IFERROR(__xludf.DUMMYFUNCTION("""COMPUTED_VALUE"""),"1p70")</f>
        <v>1p70</v>
      </c>
      <c r="CQ403" s="16">
        <f>IFERROR(__xludf.DUMMYFUNCTION("""COMPUTED_VALUE"""),-3.0)</f>
        <v>-3</v>
      </c>
      <c r="CR403" s="16">
        <f>IFERROR(__xludf.DUMMYFUNCTION("""COMPUTED_VALUE"""),-31.0)</f>
        <v>-31</v>
      </c>
      <c r="CS403" s="16">
        <f>IFERROR(__xludf.DUMMYFUNCTION("""COMPUTED_VALUE"""),-34.0)</f>
        <v>-34</v>
      </c>
      <c r="CT403" s="16">
        <f>IFERROR(__xludf.DUMMYFUNCTION("""COMPUTED_VALUE"""),-3.0)</f>
        <v>-3</v>
      </c>
      <c r="CU403" s="16">
        <f>IFERROR(__xludf.DUMMYFUNCTION("""COMPUTED_VALUE"""),-31.0)</f>
        <v>-31</v>
      </c>
      <c r="CV403" s="179">
        <f>IFERROR(__xludf.DUMMYFUNCTION("""COMPUTED_VALUE"""),-14.666666666666668)</f>
        <v>-14.66666667</v>
      </c>
      <c r="CW403" s="179">
        <f>IFERROR(__xludf.DUMMYFUNCTION("""COMPUTED_VALUE"""),4.0)</f>
        <v>4</v>
      </c>
      <c r="CX403" s="179">
        <f>IFERROR(__xludf.DUMMYFUNCTION("""COMPUTED_VALUE"""),3.0)</f>
        <v>3</v>
      </c>
      <c r="CY403" s="16" t="str">
        <f>IFERROR(__xludf.DUMMYFUNCTION("""COMPUTED_VALUE"""),"SP")</f>
        <v>SP</v>
      </c>
      <c r="CZ403" s="16"/>
      <c r="DA403" s="16"/>
      <c r="DB403" s="16"/>
      <c r="DC403" s="16"/>
      <c r="DD403" s="16"/>
      <c r="DE403" s="16"/>
      <c r="DF403" s="16"/>
      <c r="DG403" s="16"/>
      <c r="DH403" s="16"/>
      <c r="DI403" s="16"/>
      <c r="DJ403" s="16"/>
      <c r="DK403" s="16"/>
    </row>
    <row r="404">
      <c r="A404" s="16">
        <f>IFERROR(__xludf.DUMMYFUNCTION("""COMPUTED_VALUE"""),12986.0)</f>
        <v>12986</v>
      </c>
      <c r="B404" s="16" t="str">
        <f>IFERROR(__xludf.DUMMYFUNCTION("""COMPUTED_VALUE"""),"Jon Gray")</f>
        <v>Jon Gray</v>
      </c>
      <c r="C404" s="153">
        <f>IFERROR(__xludf.DUMMYFUNCTION("""COMPUTED_VALUE"""),0.22)</f>
        <v>0.22</v>
      </c>
      <c r="D404" s="16"/>
      <c r="E404" s="16" t="str">
        <f>IFERROR(__xludf.DUMMYFUNCTION("""COMPUTED_VALUE"""),"R")</f>
        <v>R</v>
      </c>
      <c r="F404" s="16">
        <f>IFERROR(__xludf.DUMMYFUNCTION("""COMPUTED_VALUE"""),103.0)</f>
        <v>103</v>
      </c>
      <c r="G404" s="16">
        <f>IFERROR(__xludf.DUMMYFUNCTION("""COMPUTED_VALUE"""),13.0)</f>
        <v>13</v>
      </c>
      <c r="H404" s="16">
        <f>IFERROR(__xludf.DUMMYFUNCTION("""COMPUTED_VALUE"""),21.0)</f>
        <v>21</v>
      </c>
      <c r="I404" s="16">
        <f>IFERROR(__xludf.DUMMYFUNCTION("""COMPUTED_VALUE"""),-2.0)</f>
        <v>-2</v>
      </c>
      <c r="J404" s="16">
        <f>IFERROR(__xludf.DUMMYFUNCTION("""COMPUTED_VALUE"""),-1.0)</f>
        <v>-1</v>
      </c>
      <c r="K404" s="16">
        <f>IFERROR(__xludf.DUMMYFUNCTION("""COMPUTED_VALUE"""),-6.0)</f>
        <v>-6</v>
      </c>
      <c r="L404" s="16">
        <f>IFERROR(__xludf.DUMMYFUNCTION("""COMPUTED_VALUE"""),-3.0)</f>
        <v>-3</v>
      </c>
      <c r="M404" s="16">
        <f>IFERROR(__xludf.DUMMYFUNCTION("""COMPUTED_VALUE"""),12.0)</f>
        <v>12</v>
      </c>
      <c r="N404" s="16">
        <f>IFERROR(__xludf.DUMMYFUNCTION("""COMPUTED_VALUE"""),0.0)</f>
        <v>0</v>
      </c>
      <c r="O404" s="16">
        <f>IFERROR(__xludf.DUMMYFUNCTION("""COMPUTED_VALUE"""),-1.0)</f>
        <v>-1</v>
      </c>
      <c r="P404" s="16">
        <f>IFERROR(__xludf.DUMMYFUNCTION("""COMPUTED_VALUE"""),3.0)</f>
        <v>3</v>
      </c>
      <c r="Q404" s="16">
        <f>IFERROR(__xludf.DUMMYFUNCTION("""COMPUTED_VALUE"""),-1.0)</f>
        <v>-1</v>
      </c>
      <c r="R404" s="16">
        <f>IFERROR(__xludf.DUMMYFUNCTION("""COMPUTED_VALUE"""),3.0)</f>
        <v>3</v>
      </c>
      <c r="S404" s="16">
        <f>IFERROR(__xludf.DUMMYFUNCTION("""COMPUTED_VALUE"""),24.6)</f>
        <v>24.6</v>
      </c>
      <c r="T404" s="16">
        <f>IFERROR(__xludf.DUMMYFUNCTION("""COMPUTED_VALUE"""),21.5)</f>
        <v>21.5</v>
      </c>
      <c r="U404" s="16">
        <f>IFERROR(__xludf.DUMMYFUNCTION("""COMPUTED_VALUE"""),-2.0)</f>
        <v>-2</v>
      </c>
      <c r="V404" s="16">
        <f>IFERROR(__xludf.DUMMYFUNCTION("""COMPUTED_VALUE"""),-1.0)</f>
        <v>-1</v>
      </c>
      <c r="W404" s="16">
        <f>IFERROR(__xludf.DUMMYFUNCTION("""COMPUTED_VALUE"""),-4.0)</f>
        <v>-4</v>
      </c>
      <c r="X404" s="16">
        <f>IFERROR(__xludf.DUMMYFUNCTION("""COMPUTED_VALUE"""),-2.0)</f>
        <v>-2</v>
      </c>
      <c r="Y404" s="16">
        <f>IFERROR(__xludf.DUMMYFUNCTION("""COMPUTED_VALUE"""),36.6)</f>
        <v>36.6</v>
      </c>
      <c r="Z404" s="16">
        <f>IFERROR(__xludf.DUMMYFUNCTION("""COMPUTED_VALUE"""),21.5)</f>
        <v>21.5</v>
      </c>
      <c r="AA404" s="16">
        <f>IFERROR(__xludf.DUMMYFUNCTION("""COMPUTED_VALUE"""),-1.0)</f>
        <v>-1</v>
      </c>
      <c r="AB404" s="16">
        <f>IFERROR(__xludf.DUMMYFUNCTION("""COMPUTED_VALUE"""),1.0)</f>
        <v>1</v>
      </c>
      <c r="AC404" s="16">
        <f>IFERROR(__xludf.DUMMYFUNCTION("""COMPUTED_VALUE"""),-5.0)</f>
        <v>-5</v>
      </c>
      <c r="AD404" s="16">
        <f>IFERROR(__xludf.DUMMYFUNCTION("""COMPUTED_VALUE"""),5.0)</f>
        <v>5</v>
      </c>
      <c r="AE404" s="16">
        <f>IFERROR(__xludf.DUMMYFUNCTION("""COMPUTED_VALUE"""),41.2)</f>
        <v>41.2</v>
      </c>
      <c r="AF404" s="16">
        <f>IFERROR(__xludf.DUMMYFUNCTION("""COMPUTED_VALUE"""),27.8)</f>
        <v>27.8</v>
      </c>
      <c r="AG404" s="16">
        <f>IFERROR(__xludf.DUMMYFUNCTION("""COMPUTED_VALUE"""),-1.0)</f>
        <v>-1</v>
      </c>
      <c r="AH404" s="16">
        <f>IFERROR(__xludf.DUMMYFUNCTION("""COMPUTED_VALUE"""),0.0)</f>
        <v>0</v>
      </c>
      <c r="AI404" s="16">
        <f>IFERROR(__xludf.DUMMYFUNCTION("""COMPUTED_VALUE"""),-2.0)</f>
        <v>-2</v>
      </c>
      <c r="AJ404" s="16">
        <f>IFERROR(__xludf.DUMMYFUNCTION("""COMPUTED_VALUE"""),0.0)</f>
        <v>0</v>
      </c>
      <c r="AK404" s="16">
        <f>IFERROR(__xludf.DUMMYFUNCTION("""COMPUTED_VALUE"""),22.400000000000002)</f>
        <v>22.4</v>
      </c>
      <c r="AL404" s="16">
        <f>IFERROR(__xludf.DUMMYFUNCTION("""COMPUTED_VALUE"""),20.7)</f>
        <v>20.7</v>
      </c>
      <c r="AM404" s="16">
        <f>IFERROR(__xludf.DUMMYFUNCTION("""COMPUTED_VALUE"""),-2.0)</f>
        <v>-2</v>
      </c>
      <c r="AN404" s="16">
        <f>IFERROR(__xludf.DUMMYFUNCTION("""COMPUTED_VALUE"""),-1.0)</f>
        <v>-1</v>
      </c>
      <c r="AO404" s="16">
        <f>IFERROR(__xludf.DUMMYFUNCTION("""COMPUTED_VALUE"""),-2.0)</f>
        <v>-2</v>
      </c>
      <c r="AP404" s="16">
        <f>IFERROR(__xludf.DUMMYFUNCTION("""COMPUTED_VALUE"""),-1.0)</f>
        <v>-1</v>
      </c>
      <c r="AQ404" s="16">
        <f>IFERROR(__xludf.DUMMYFUNCTION("""COMPUTED_VALUE"""),32.400000000000006)</f>
        <v>32.4</v>
      </c>
      <c r="AR404" s="16">
        <f>IFERROR(__xludf.DUMMYFUNCTION("""COMPUTED_VALUE"""),24.6)</f>
        <v>24.6</v>
      </c>
      <c r="AS404" s="16">
        <f>IFERROR(__xludf.DUMMYFUNCTION("""COMPUTED_VALUE"""),-2.0)</f>
        <v>-2</v>
      </c>
      <c r="AT404" s="16">
        <f>IFERROR(__xludf.DUMMYFUNCTION("""COMPUTED_VALUE"""),-1.0)</f>
        <v>-1</v>
      </c>
      <c r="AU404" s="16">
        <f>IFERROR(__xludf.DUMMYFUNCTION("""COMPUTED_VALUE"""),-4.0)</f>
        <v>-4</v>
      </c>
      <c r="AV404" s="16">
        <f>IFERROR(__xludf.DUMMYFUNCTION("""COMPUTED_VALUE"""),-2.0)</f>
        <v>-2</v>
      </c>
      <c r="AW404" s="16">
        <f>IFERROR(__xludf.DUMMYFUNCTION("""COMPUTED_VALUE"""),2.2)</f>
        <v>2.2</v>
      </c>
      <c r="AX404" s="16">
        <f>IFERROR(__xludf.DUMMYFUNCTION("""COMPUTED_VALUE"""),0.8)</f>
        <v>0.8</v>
      </c>
      <c r="AY404" s="16">
        <f>IFERROR(__xludf.DUMMYFUNCTION("""COMPUTED_VALUE"""),0.0)</f>
        <v>0</v>
      </c>
      <c r="AZ404" s="16">
        <f>IFERROR(__xludf.DUMMYFUNCTION("""COMPUTED_VALUE"""),1.0)</f>
        <v>1</v>
      </c>
      <c r="BA404" s="16">
        <f>IFERROR(__xludf.DUMMYFUNCTION("""COMPUTED_VALUE"""),0.0)</f>
        <v>0</v>
      </c>
      <c r="BB404" s="16">
        <f>IFERROR(__xludf.DUMMYFUNCTION("""COMPUTED_VALUE"""),5.0)</f>
        <v>5</v>
      </c>
      <c r="BC404" s="16">
        <f>IFERROR(__xludf.DUMMYFUNCTION("""COMPUTED_VALUE"""),2.0)</f>
        <v>2</v>
      </c>
      <c r="BD404" s="16">
        <f>IFERROR(__xludf.DUMMYFUNCTION("""COMPUTED_VALUE"""),0.0)</f>
        <v>0</v>
      </c>
      <c r="BE404" s="16">
        <f>IFERROR(__xludf.DUMMYFUNCTION("""COMPUTED_VALUE"""),2.0)</f>
        <v>2</v>
      </c>
      <c r="BF404" s="16">
        <f>IFERROR(__xludf.DUMMYFUNCTION("""COMPUTED_VALUE"""),0.0)</f>
        <v>0</v>
      </c>
      <c r="BG404" s="16">
        <f>IFERROR(__xludf.DUMMYFUNCTION("""COMPUTED_VALUE"""),1.0)</f>
        <v>1</v>
      </c>
      <c r="BH404" s="16">
        <f>IFERROR(__xludf.DUMMYFUNCTION("""COMPUTED_VALUE"""),2.0)</f>
        <v>2</v>
      </c>
      <c r="BI404" s="16">
        <f>IFERROR(__xludf.DUMMYFUNCTION("""COMPUTED_VALUE"""),2.0)</f>
        <v>2</v>
      </c>
      <c r="BJ404" s="16">
        <f>IFERROR(__xludf.DUMMYFUNCTION("""COMPUTED_VALUE"""),4.0)</f>
        <v>4</v>
      </c>
      <c r="BK404" s="16">
        <f>IFERROR(__xludf.DUMMYFUNCTION("""COMPUTED_VALUE"""),5.0)</f>
        <v>5</v>
      </c>
      <c r="BL404" s="16">
        <f>IFERROR(__xludf.DUMMYFUNCTION("""COMPUTED_VALUE"""),5.0)</f>
        <v>5</v>
      </c>
      <c r="BM404" s="16">
        <f>IFERROR(__xludf.DUMMYFUNCTION("""COMPUTED_VALUE"""),0.0)</f>
        <v>0</v>
      </c>
      <c r="BN404" s="16">
        <f>IFERROR(__xludf.DUMMYFUNCTION("""COMPUTED_VALUE"""),0.0)</f>
        <v>0</v>
      </c>
      <c r="BO404" s="16">
        <f>IFERROR(__xludf.DUMMYFUNCTION("""COMPUTED_VALUE"""),0.0)</f>
        <v>0</v>
      </c>
      <c r="BP404" s="16">
        <f>IFERROR(__xludf.DUMMYFUNCTION("""COMPUTED_VALUE"""),0.0)</f>
        <v>0</v>
      </c>
      <c r="BQ404" s="16">
        <f>IFERROR(__xludf.DUMMYFUNCTION("""COMPUTED_VALUE"""),0.0)</f>
        <v>0</v>
      </c>
      <c r="BR404" s="16">
        <f>IFERROR(__xludf.DUMMYFUNCTION("""COMPUTED_VALUE"""),0.0)</f>
        <v>0</v>
      </c>
      <c r="BS404" s="16">
        <f>IFERROR(__xludf.DUMMYFUNCTION("""COMPUTED_VALUE"""),-3.0)</f>
        <v>-3</v>
      </c>
      <c r="BT404" s="16">
        <f>IFERROR(__xludf.DUMMYFUNCTION("""COMPUTED_VALUE"""),-3.0)</f>
        <v>-3</v>
      </c>
      <c r="BU404" s="16">
        <f>IFERROR(__xludf.DUMMYFUNCTION("""COMPUTED_VALUE"""),-6.0)</f>
        <v>-6</v>
      </c>
      <c r="BV404" s="16">
        <f>IFERROR(__xludf.DUMMYFUNCTION("""COMPUTED_VALUE"""),-6.0)</f>
        <v>-6</v>
      </c>
      <c r="BW404" s="16">
        <f>IFERROR(__xludf.DUMMYFUNCTION("""COMPUTED_VALUE"""),-1.0)</f>
        <v>-1</v>
      </c>
      <c r="BX404" s="16">
        <f>IFERROR(__xludf.DUMMYFUNCTION("""COMPUTED_VALUE"""),-1.0)</f>
        <v>-1</v>
      </c>
      <c r="BY404" s="16" t="str">
        <f>IFERROR(__xludf.DUMMYFUNCTION("""COMPUTED_VALUE"""),"S(5) R(3)")</f>
        <v>S(5) R(3)</v>
      </c>
      <c r="BZ404" s="16" t="str">
        <f>IFERROR(__xludf.DUMMYFUNCTION("""COMPUTED_VALUE"""),"S(5) R(3)")</f>
        <v>S(5) R(3)</v>
      </c>
      <c r="CA404" s="16" t="str">
        <f>IFERROR(__xludf.DUMMYFUNCTION("""COMPUTED_VALUE"""),"S(5)")</f>
        <v>S(5)</v>
      </c>
      <c r="CB404" s="16" t="str">
        <f>IFERROR(__xludf.DUMMYFUNCTION("""COMPUTED_VALUE"""),"R(3)")</f>
        <v>R(3)</v>
      </c>
      <c r="CC404" s="16"/>
      <c r="CD404" s="16">
        <f>IFERROR(__xludf.DUMMYFUNCTION("""COMPUTED_VALUE"""),5.0)</f>
        <v>5</v>
      </c>
      <c r="CE404" s="16">
        <f>IFERROR(__xludf.DUMMYFUNCTION("""COMPUTED_VALUE"""),3.0)</f>
        <v>3</v>
      </c>
      <c r="CF404" s="16"/>
      <c r="CG404" s="16" t="str">
        <f>IFERROR(__xludf.DUMMYFUNCTION("""COMPUTED_VALUE"""),"2-0")</f>
        <v>2-0</v>
      </c>
      <c r="CH404" s="16">
        <f>IFERROR(__xludf.DUMMYFUNCTION("""COMPUTED_VALUE"""),2.0)</f>
        <v>2</v>
      </c>
      <c r="CI404" s="16">
        <f>IFERROR(__xludf.DUMMYFUNCTION("""COMPUTED_VALUE"""),0.0)</f>
        <v>0</v>
      </c>
      <c r="CJ404" s="16">
        <f>IFERROR(__xludf.DUMMYFUNCTION("""COMPUTED_VALUE"""),0.0)</f>
        <v>0</v>
      </c>
      <c r="CK404" s="16">
        <f>IFERROR(__xludf.DUMMYFUNCTION("""COMPUTED_VALUE"""),1.0)</f>
        <v>1</v>
      </c>
      <c r="CL404" s="16" t="str">
        <f>IFERROR(__xludf.DUMMYFUNCTION("""COMPUTED_VALUE"""),"1WR-C")</f>
        <v>1WR-C</v>
      </c>
      <c r="CM404" s="16" t="str">
        <f>IFERROR(__xludf.DUMMYFUNCTION("""COMPUTED_VALUE"""),"E")</f>
        <v>E</v>
      </c>
      <c r="CN404" s="16">
        <f>IFERROR(__xludf.DUMMYFUNCTION("""COMPUTED_VALUE"""),10.0)</f>
        <v>10</v>
      </c>
      <c r="CO404" s="16" t="str">
        <f>IFERROR(__xludf.DUMMYFUNCTION("""COMPUTED_VALUE"""),"C")</f>
        <v>C</v>
      </c>
      <c r="CP404" s="16" t="str">
        <f>IFERROR(__xludf.DUMMYFUNCTION("""COMPUTED_VALUE"""),"3p60")</f>
        <v>3p60</v>
      </c>
      <c r="CQ404" s="16">
        <f>IFERROR(__xludf.DUMMYFUNCTION("""COMPUTED_VALUE"""),-28.0)</f>
        <v>-28</v>
      </c>
      <c r="CR404" s="16">
        <f>IFERROR(__xludf.DUMMYFUNCTION("""COMPUTED_VALUE"""),3.0)</f>
        <v>3</v>
      </c>
      <c r="CS404" s="16">
        <f>IFERROR(__xludf.DUMMYFUNCTION("""COMPUTED_VALUE"""),-25.0)</f>
        <v>-25</v>
      </c>
      <c r="CT404" s="16">
        <f>IFERROR(__xludf.DUMMYFUNCTION("""COMPUTED_VALUE"""),-28.0)</f>
        <v>-28</v>
      </c>
      <c r="CU404" s="16">
        <f>IFERROR(__xludf.DUMMYFUNCTION("""COMPUTED_VALUE"""),3.0)</f>
        <v>3</v>
      </c>
      <c r="CV404" s="179">
        <f>IFERROR(__xludf.DUMMYFUNCTION("""COMPUTED_VALUE"""),-14.666666666666668)</f>
        <v>-14.66666667</v>
      </c>
      <c r="CW404" s="179">
        <f>IFERROR(__xludf.DUMMYFUNCTION("""COMPUTED_VALUE"""),2.0)</f>
        <v>2</v>
      </c>
      <c r="CX404" s="179">
        <f>IFERROR(__xludf.DUMMYFUNCTION("""COMPUTED_VALUE"""),1.0)</f>
        <v>1</v>
      </c>
      <c r="CY404" s="16" t="str">
        <f>IFERROR(__xludf.DUMMYFUNCTION("""COMPUTED_VALUE"""),"SP")</f>
        <v>SP</v>
      </c>
      <c r="CZ404" s="16" t="str">
        <f>IFERROR(__xludf.DUMMYFUNCTION("""COMPUTED_VALUE"""),"RP")</f>
        <v>RP</v>
      </c>
      <c r="DA404" s="16"/>
      <c r="DB404" s="16"/>
      <c r="DC404" s="16"/>
      <c r="DD404" s="16"/>
      <c r="DE404" s="16"/>
      <c r="DF404" s="16"/>
      <c r="DG404" s="16"/>
      <c r="DH404" s="16"/>
      <c r="DI404" s="16"/>
      <c r="DJ404" s="16"/>
      <c r="DK404" s="16"/>
    </row>
    <row r="405">
      <c r="A405" s="16">
        <f>IFERROR(__xludf.DUMMYFUNCTION("""COMPUTED_VALUE"""),13227.0)</f>
        <v>13227</v>
      </c>
      <c r="B405" s="16" t="str">
        <f>IFERROR(__xludf.DUMMYFUNCTION("""COMPUTED_VALUE"""),"Nate Pearson")</f>
        <v>Nate Pearson</v>
      </c>
      <c r="C405" s="153">
        <f>IFERROR(__xludf.DUMMYFUNCTION("""COMPUTED_VALUE"""),0.0)</f>
        <v>0</v>
      </c>
      <c r="D405" s="16"/>
      <c r="E405" s="16" t="str">
        <f>IFERROR(__xludf.DUMMYFUNCTION("""COMPUTED_VALUE"""),"R")</f>
        <v>R</v>
      </c>
      <c r="F405" s="16">
        <f>IFERROR(__xludf.DUMMYFUNCTION("""COMPUTED_VALUE"""),66.0)</f>
        <v>66</v>
      </c>
      <c r="G405" s="16">
        <f>IFERROR(__xludf.DUMMYFUNCTION("""COMPUTED_VALUE"""),26.0)</f>
        <v>26</v>
      </c>
      <c r="H405" s="16">
        <f>IFERROR(__xludf.DUMMYFUNCTION("""COMPUTED_VALUE"""),35.0)</f>
        <v>35</v>
      </c>
      <c r="I405" s="16">
        <f>IFERROR(__xludf.DUMMYFUNCTION("""COMPUTED_VALUE"""),0.0)</f>
        <v>0</v>
      </c>
      <c r="J405" s="16">
        <f>IFERROR(__xludf.DUMMYFUNCTION("""COMPUTED_VALUE"""),1.0)</f>
        <v>1</v>
      </c>
      <c r="K405" s="16">
        <f>IFERROR(__xludf.DUMMYFUNCTION("""COMPUTED_VALUE"""),0.0)</f>
        <v>0</v>
      </c>
      <c r="L405" s="16">
        <f>IFERROR(__xludf.DUMMYFUNCTION("""COMPUTED_VALUE"""),3.0)</f>
        <v>3</v>
      </c>
      <c r="M405" s="16">
        <f>IFERROR(__xludf.DUMMYFUNCTION("""COMPUTED_VALUE"""),10.0)</f>
        <v>10</v>
      </c>
      <c r="N405" s="16">
        <f>IFERROR(__xludf.DUMMYFUNCTION("""COMPUTED_VALUE"""),6.0)</f>
        <v>6</v>
      </c>
      <c r="O405" s="16">
        <f>IFERROR(__xludf.DUMMYFUNCTION("""COMPUTED_VALUE"""),0.0)</f>
        <v>0</v>
      </c>
      <c r="P405" s="16">
        <f>IFERROR(__xludf.DUMMYFUNCTION("""COMPUTED_VALUE"""),1.0)</f>
        <v>1</v>
      </c>
      <c r="Q405" s="16">
        <f>IFERROR(__xludf.DUMMYFUNCTION("""COMPUTED_VALUE"""),0.0)</f>
        <v>0</v>
      </c>
      <c r="R405" s="16">
        <f>IFERROR(__xludf.DUMMYFUNCTION("""COMPUTED_VALUE"""),1.0)</f>
        <v>1</v>
      </c>
      <c r="S405" s="16">
        <f>IFERROR(__xludf.DUMMYFUNCTION("""COMPUTED_VALUE"""),20.9)</f>
        <v>20.9</v>
      </c>
      <c r="T405" s="16">
        <f>IFERROR(__xludf.DUMMYFUNCTION("""COMPUTED_VALUE"""),17.5)</f>
        <v>17.5</v>
      </c>
      <c r="U405" s="16">
        <f>IFERROR(__xludf.DUMMYFUNCTION("""COMPUTED_VALUE"""),-1.0)</f>
        <v>-1</v>
      </c>
      <c r="V405" s="16">
        <f>IFERROR(__xludf.DUMMYFUNCTION("""COMPUTED_VALUE"""),0.0)</f>
        <v>0</v>
      </c>
      <c r="W405" s="16">
        <f>IFERROR(__xludf.DUMMYFUNCTION("""COMPUTED_VALUE"""),-2.0)</f>
        <v>-2</v>
      </c>
      <c r="X405" s="16">
        <f>IFERROR(__xludf.DUMMYFUNCTION("""COMPUTED_VALUE"""),0.0)</f>
        <v>0</v>
      </c>
      <c r="Y405" s="16">
        <f>IFERROR(__xludf.DUMMYFUNCTION("""COMPUTED_VALUE"""),30.9)</f>
        <v>30.9</v>
      </c>
      <c r="Z405" s="16">
        <f>IFERROR(__xludf.DUMMYFUNCTION("""COMPUTED_VALUE"""),23.5)</f>
        <v>23.5</v>
      </c>
      <c r="AA405" s="16">
        <f>IFERROR(__xludf.DUMMYFUNCTION("""COMPUTED_VALUE"""),-1.0)</f>
        <v>-1</v>
      </c>
      <c r="AB405" s="16">
        <f>IFERROR(__xludf.DUMMYFUNCTION("""COMPUTED_VALUE"""),0.0)</f>
        <v>0</v>
      </c>
      <c r="AC405" s="16">
        <f>IFERROR(__xludf.DUMMYFUNCTION("""COMPUTED_VALUE"""),-5.0)</f>
        <v>-5</v>
      </c>
      <c r="AD405" s="16">
        <f>IFERROR(__xludf.DUMMYFUNCTION("""COMPUTED_VALUE"""),0.0)</f>
        <v>0</v>
      </c>
      <c r="AE405" s="16">
        <f>IFERROR(__xludf.DUMMYFUNCTION("""COMPUTED_VALUE"""),34.0)</f>
        <v>34</v>
      </c>
      <c r="AF405" s="16">
        <f>IFERROR(__xludf.DUMMYFUNCTION("""COMPUTED_VALUE"""),38.4)</f>
        <v>38.4</v>
      </c>
      <c r="AG405" s="16">
        <f>IFERROR(__xludf.DUMMYFUNCTION("""COMPUTED_VALUE"""),-1.0)</f>
        <v>-1</v>
      </c>
      <c r="AH405" s="16">
        <f>IFERROR(__xludf.DUMMYFUNCTION("""COMPUTED_VALUE"""),-1.0)</f>
        <v>-1</v>
      </c>
      <c r="AI405" s="16">
        <f>IFERROR(__xludf.DUMMYFUNCTION("""COMPUTED_VALUE"""),-2.0)</f>
        <v>-2</v>
      </c>
      <c r="AJ405" s="16">
        <f>IFERROR(__xludf.DUMMYFUNCTION("""COMPUTED_VALUE"""),-2.0)</f>
        <v>-2</v>
      </c>
      <c r="AK405" s="16">
        <f>IFERROR(__xludf.DUMMYFUNCTION("""COMPUTED_VALUE"""),18.299999999999997)</f>
        <v>18.3</v>
      </c>
      <c r="AL405" s="16">
        <f>IFERROR(__xludf.DUMMYFUNCTION("""COMPUTED_VALUE"""),12.9)</f>
        <v>12.9</v>
      </c>
      <c r="AM405" s="16">
        <f>IFERROR(__xludf.DUMMYFUNCTION("""COMPUTED_VALUE"""),-1.0)</f>
        <v>-1</v>
      </c>
      <c r="AN405" s="16">
        <f>IFERROR(__xludf.DUMMYFUNCTION("""COMPUTED_VALUE"""),0.0)</f>
        <v>0</v>
      </c>
      <c r="AO405" s="16">
        <f>IFERROR(__xludf.DUMMYFUNCTION("""COMPUTED_VALUE"""),-1.0)</f>
        <v>-1</v>
      </c>
      <c r="AP405" s="16">
        <f>IFERROR(__xludf.DUMMYFUNCTION("""COMPUTED_VALUE"""),0.0)</f>
        <v>0</v>
      </c>
      <c r="AQ405" s="16">
        <f>IFERROR(__xludf.DUMMYFUNCTION("""COMPUTED_VALUE"""),23.6)</f>
        <v>23.6</v>
      </c>
      <c r="AR405" s="16">
        <f>IFERROR(__xludf.DUMMYFUNCTION("""COMPUTED_VALUE"""),20.0)</f>
        <v>20</v>
      </c>
      <c r="AS405" s="16">
        <f>IFERROR(__xludf.DUMMYFUNCTION("""COMPUTED_VALUE"""),-1.0)</f>
        <v>-1</v>
      </c>
      <c r="AT405" s="16">
        <f>IFERROR(__xludf.DUMMYFUNCTION("""COMPUTED_VALUE"""),0.0)</f>
        <v>0</v>
      </c>
      <c r="AU405" s="16">
        <f>IFERROR(__xludf.DUMMYFUNCTION("""COMPUTED_VALUE"""),-2.0)</f>
        <v>-2</v>
      </c>
      <c r="AV405" s="16">
        <f>IFERROR(__xludf.DUMMYFUNCTION("""COMPUTED_VALUE"""),0.0)</f>
        <v>0</v>
      </c>
      <c r="AW405" s="16">
        <f>IFERROR(__xludf.DUMMYFUNCTION("""COMPUTED_VALUE"""),2.6)</f>
        <v>2.6</v>
      </c>
      <c r="AX405" s="16">
        <f>IFERROR(__xludf.DUMMYFUNCTION("""COMPUTED_VALUE"""),4.6)</f>
        <v>4.6</v>
      </c>
      <c r="AY405" s="16">
        <f>IFERROR(__xludf.DUMMYFUNCTION("""COMPUTED_VALUE"""),-1.0)</f>
        <v>-1</v>
      </c>
      <c r="AZ405" s="16">
        <f>IFERROR(__xludf.DUMMYFUNCTION("""COMPUTED_VALUE"""),-2.0)</f>
        <v>-2</v>
      </c>
      <c r="BA405" s="16">
        <f>IFERROR(__xludf.DUMMYFUNCTION("""COMPUTED_VALUE"""),-5.0)</f>
        <v>-5</v>
      </c>
      <c r="BB405" s="16">
        <f>IFERROR(__xludf.DUMMYFUNCTION("""COMPUTED_VALUE"""),-10.0)</f>
        <v>-10</v>
      </c>
      <c r="BC405" s="16">
        <f>IFERROR(__xludf.DUMMYFUNCTION("""COMPUTED_VALUE"""),4.0)</f>
        <v>4</v>
      </c>
      <c r="BD405" s="16">
        <f>IFERROR(__xludf.DUMMYFUNCTION("""COMPUTED_VALUE"""),8.0)</f>
        <v>8</v>
      </c>
      <c r="BE405" s="16">
        <f>IFERROR(__xludf.DUMMYFUNCTION("""COMPUTED_VALUE"""),4.0)</f>
        <v>4</v>
      </c>
      <c r="BF405" s="16">
        <f>IFERROR(__xludf.DUMMYFUNCTION("""COMPUTED_VALUE"""),8.0)</f>
        <v>8</v>
      </c>
      <c r="BG405" s="16">
        <f>IFERROR(__xludf.DUMMYFUNCTION("""COMPUTED_VALUE"""),-1.0)</f>
        <v>-1</v>
      </c>
      <c r="BH405" s="16">
        <f>IFERROR(__xludf.DUMMYFUNCTION("""COMPUTED_VALUE"""),-3.0)</f>
        <v>-3</v>
      </c>
      <c r="BI405" s="16">
        <f>IFERROR(__xludf.DUMMYFUNCTION("""COMPUTED_VALUE"""),-2.0)</f>
        <v>-2</v>
      </c>
      <c r="BJ405" s="16">
        <f>IFERROR(__xludf.DUMMYFUNCTION("""COMPUTED_VALUE"""),-6.0)</f>
        <v>-6</v>
      </c>
      <c r="BK405" s="16">
        <f>IFERROR(__xludf.DUMMYFUNCTION("""COMPUTED_VALUE"""),5.0)</f>
        <v>5</v>
      </c>
      <c r="BL405" s="16">
        <f>IFERROR(__xludf.DUMMYFUNCTION("""COMPUTED_VALUE"""),5.0)</f>
        <v>5</v>
      </c>
      <c r="BM405" s="16">
        <f>IFERROR(__xludf.DUMMYFUNCTION("""COMPUTED_VALUE"""),0.0)</f>
        <v>0</v>
      </c>
      <c r="BN405" s="16">
        <f>IFERROR(__xludf.DUMMYFUNCTION("""COMPUTED_VALUE"""),0.0)</f>
        <v>0</v>
      </c>
      <c r="BO405" s="16">
        <f>IFERROR(__xludf.DUMMYFUNCTION("""COMPUTED_VALUE"""),0.0)</f>
        <v>0</v>
      </c>
      <c r="BP405" s="16">
        <f>IFERROR(__xludf.DUMMYFUNCTION("""COMPUTED_VALUE"""),0.0)</f>
        <v>0</v>
      </c>
      <c r="BQ405" s="16">
        <f>IFERROR(__xludf.DUMMYFUNCTION("""COMPUTED_VALUE"""),3.0)</f>
        <v>3</v>
      </c>
      <c r="BR405" s="16">
        <f>IFERROR(__xludf.DUMMYFUNCTION("""COMPUTED_VALUE"""),2.0)</f>
        <v>2</v>
      </c>
      <c r="BS405" s="16">
        <f>IFERROR(__xludf.DUMMYFUNCTION("""COMPUTED_VALUE"""),-1.0)</f>
        <v>-1</v>
      </c>
      <c r="BT405" s="16">
        <f>IFERROR(__xludf.DUMMYFUNCTION("""COMPUTED_VALUE"""),-2.0)</f>
        <v>-2</v>
      </c>
      <c r="BU405" s="16">
        <f>IFERROR(__xludf.DUMMYFUNCTION("""COMPUTED_VALUE"""),-2.0)</f>
        <v>-2</v>
      </c>
      <c r="BV405" s="16">
        <f>IFERROR(__xludf.DUMMYFUNCTION("""COMPUTED_VALUE"""),-4.0)</f>
        <v>-4</v>
      </c>
      <c r="BW405" s="16">
        <f>IFERROR(__xludf.DUMMYFUNCTION("""COMPUTED_VALUE"""),2.0)</f>
        <v>2</v>
      </c>
      <c r="BX405" s="16">
        <f>IFERROR(__xludf.DUMMYFUNCTION("""COMPUTED_VALUE"""),2.0)</f>
        <v>2</v>
      </c>
      <c r="BY405" s="16" t="str">
        <f>IFERROR(__xludf.DUMMYFUNCTION("""COMPUTED_VALUE"""),"R(1) C(1)")</f>
        <v>R(1) C(1)</v>
      </c>
      <c r="BZ405" s="16" t="str">
        <f>IFERROR(__xludf.DUMMYFUNCTION("""COMPUTED_VALUE"""),"R(1) C(1)")</f>
        <v>R(1) C(1)</v>
      </c>
      <c r="CA405" s="16" t="str">
        <f>IFERROR(__xludf.DUMMYFUNCTION("""COMPUTED_VALUE"""),"R(1)")</f>
        <v>R(1)</v>
      </c>
      <c r="CB405" s="16" t="str">
        <f>IFERROR(__xludf.DUMMYFUNCTION("""COMPUTED_VALUE"""),"C(1)")</f>
        <v>C(1)</v>
      </c>
      <c r="CC405" s="16"/>
      <c r="CD405" s="16"/>
      <c r="CE405" s="16">
        <f>IFERROR(__xludf.DUMMYFUNCTION("""COMPUTED_VALUE"""),1.0)</f>
        <v>1</v>
      </c>
      <c r="CF405" s="16">
        <f>IFERROR(__xludf.DUMMYFUNCTION("""COMPUTED_VALUE"""),1.0)</f>
        <v>1</v>
      </c>
      <c r="CG405" s="16" t="str">
        <f>IFERROR(__xludf.DUMMYFUNCTION("""COMPUTED_VALUE"""),"5-0")</f>
        <v>5-0</v>
      </c>
      <c r="CH405" s="16">
        <f>IFERROR(__xludf.DUMMYFUNCTION("""COMPUTED_VALUE"""),5.0)</f>
        <v>5</v>
      </c>
      <c r="CI405" s="16">
        <f>IFERROR(__xludf.DUMMYFUNCTION("""COMPUTED_VALUE"""),0.0)</f>
        <v>0</v>
      </c>
      <c r="CJ405" s="16">
        <f>IFERROR(__xludf.DUMMYFUNCTION("""COMPUTED_VALUE"""),0.0)</f>
        <v>0</v>
      </c>
      <c r="CK405" s="16">
        <f>IFERROR(__xludf.DUMMYFUNCTION("""COMPUTED_VALUE"""),6.0)</f>
        <v>6</v>
      </c>
      <c r="CL405" s="16" t="str">
        <f>IFERROR(__xludf.DUMMYFUNCTION("""COMPUTED_VALUE"""),"1WR-C")</f>
        <v>1WR-C</v>
      </c>
      <c r="CM405" s="16" t="str">
        <f>IFERROR(__xludf.DUMMYFUNCTION("""COMPUTED_VALUE"""),"E")</f>
        <v>E</v>
      </c>
      <c r="CN405" s="16">
        <f>IFERROR(__xludf.DUMMYFUNCTION("""COMPUTED_VALUE"""),10.0)</f>
        <v>10</v>
      </c>
      <c r="CO405" s="16" t="str">
        <f>IFERROR(__xludf.DUMMYFUNCTION("""COMPUTED_VALUE"""),"C")</f>
        <v>C</v>
      </c>
      <c r="CP405" s="16" t="str">
        <f>IFERROR(__xludf.DUMMYFUNCTION("""COMPUTED_VALUE"""),"1p60")</f>
        <v>1p60</v>
      </c>
      <c r="CQ405" s="16">
        <f>IFERROR(__xludf.DUMMYFUNCTION("""COMPUTED_VALUE"""),-21.0)</f>
        <v>-21</v>
      </c>
      <c r="CR405" s="16">
        <f>IFERROR(__xludf.DUMMYFUNCTION("""COMPUTED_VALUE"""),-18.0)</f>
        <v>-18</v>
      </c>
      <c r="CS405" s="16">
        <f>IFERROR(__xludf.DUMMYFUNCTION("""COMPUTED_VALUE"""),-39.0)</f>
        <v>-39</v>
      </c>
      <c r="CT405" s="16">
        <f>IFERROR(__xludf.DUMMYFUNCTION("""COMPUTED_VALUE"""),-21.0)</f>
        <v>-21</v>
      </c>
      <c r="CU405" s="16">
        <f>IFERROR(__xludf.DUMMYFUNCTION("""COMPUTED_VALUE"""),-18.0)</f>
        <v>-18</v>
      </c>
      <c r="CV405" s="179">
        <f>IFERROR(__xludf.DUMMYFUNCTION("""COMPUTED_VALUE"""),-15.0)</f>
        <v>-15</v>
      </c>
      <c r="CW405" s="179">
        <f>IFERROR(__xludf.DUMMYFUNCTION("""COMPUTED_VALUE"""),4.0)</f>
        <v>4</v>
      </c>
      <c r="CX405" s="179">
        <f>IFERROR(__xludf.DUMMYFUNCTION("""COMPUTED_VALUE"""),1.0)</f>
        <v>1</v>
      </c>
      <c r="CY405" s="16" t="str">
        <f>IFERROR(__xludf.DUMMYFUNCTION("""COMPUTED_VALUE"""),"RP")</f>
        <v>RP</v>
      </c>
      <c r="CZ405" s="16" t="str">
        <f>IFERROR(__xludf.DUMMYFUNCTION("""COMPUTED_VALUE"""),"CP")</f>
        <v>CP</v>
      </c>
      <c r="DA405" s="16"/>
      <c r="DB405" s="16"/>
      <c r="DC405" s="16"/>
      <c r="DD405" s="16"/>
      <c r="DE405" s="16"/>
      <c r="DF405" s="16"/>
      <c r="DG405" s="16"/>
      <c r="DH405" s="16"/>
      <c r="DI405" s="16"/>
      <c r="DJ405" s="16"/>
      <c r="DK405" s="16"/>
    </row>
    <row r="406">
      <c r="A406" s="16">
        <f>IFERROR(__xludf.DUMMYFUNCTION("""COMPUTED_VALUE"""),12868.0)</f>
        <v>12868</v>
      </c>
      <c r="B406" s="16" t="str">
        <f>IFERROR(__xludf.DUMMYFUNCTION("""COMPUTED_VALUE"""),"Hector Neris")</f>
        <v>Hector Neris</v>
      </c>
      <c r="C406" s="153">
        <f>IFERROR(__xludf.DUMMYFUNCTION("""COMPUTED_VALUE"""),0.0)</f>
        <v>0</v>
      </c>
      <c r="D406" s="16"/>
      <c r="E406" s="16" t="str">
        <f>IFERROR(__xludf.DUMMYFUNCTION("""COMPUTED_VALUE"""),"R")</f>
        <v>R</v>
      </c>
      <c r="F406" s="16">
        <f>IFERROR(__xludf.DUMMYFUNCTION("""COMPUTED_VALUE"""),59.0)</f>
        <v>59</v>
      </c>
      <c r="G406" s="16">
        <f>IFERROR(__xludf.DUMMYFUNCTION("""COMPUTED_VALUE"""),31.0)</f>
        <v>31</v>
      </c>
      <c r="H406" s="16">
        <f>IFERROR(__xludf.DUMMYFUNCTION("""COMPUTED_VALUE"""),29.0)</f>
        <v>29</v>
      </c>
      <c r="I406" s="16">
        <f>IFERROR(__xludf.DUMMYFUNCTION("""COMPUTED_VALUE"""),0.0)</f>
        <v>0</v>
      </c>
      <c r="J406" s="16">
        <f>IFERROR(__xludf.DUMMYFUNCTION("""COMPUTED_VALUE"""),0.0)</f>
        <v>0</v>
      </c>
      <c r="K406" s="16">
        <f>IFERROR(__xludf.DUMMYFUNCTION("""COMPUTED_VALUE"""),0.0)</f>
        <v>0</v>
      </c>
      <c r="L406" s="16">
        <f>IFERROR(__xludf.DUMMYFUNCTION("""COMPUTED_VALUE"""),0.0)</f>
        <v>0</v>
      </c>
      <c r="M406" s="16">
        <f>IFERROR(__xludf.DUMMYFUNCTION("""COMPUTED_VALUE"""),22.0)</f>
        <v>22</v>
      </c>
      <c r="N406" s="16">
        <f>IFERROR(__xludf.DUMMYFUNCTION("""COMPUTED_VALUE"""),5.0)</f>
        <v>5</v>
      </c>
      <c r="O406" s="16">
        <f>IFERROR(__xludf.DUMMYFUNCTION("""COMPUTED_VALUE"""),-3.0)</f>
        <v>-3</v>
      </c>
      <c r="P406" s="16">
        <f>IFERROR(__xludf.DUMMYFUNCTION("""COMPUTED_VALUE"""),2.0)</f>
        <v>2</v>
      </c>
      <c r="Q406" s="16">
        <f>IFERROR(__xludf.DUMMYFUNCTION("""COMPUTED_VALUE"""),-3.0)</f>
        <v>-3</v>
      </c>
      <c r="R406" s="16">
        <f>IFERROR(__xludf.DUMMYFUNCTION("""COMPUTED_VALUE"""),2.0)</f>
        <v>2</v>
      </c>
      <c r="S406" s="16">
        <f>IFERROR(__xludf.DUMMYFUNCTION("""COMPUTED_VALUE"""),9.7)</f>
        <v>9.7</v>
      </c>
      <c r="T406" s="16">
        <f>IFERROR(__xludf.DUMMYFUNCTION("""COMPUTED_VALUE"""),21.8)</f>
        <v>21.8</v>
      </c>
      <c r="U406" s="16">
        <f>IFERROR(__xludf.DUMMYFUNCTION("""COMPUTED_VALUE"""),1.0)</f>
        <v>1</v>
      </c>
      <c r="V406" s="16">
        <f>IFERROR(__xludf.DUMMYFUNCTION("""COMPUTED_VALUE"""),-1.0)</f>
        <v>-1</v>
      </c>
      <c r="W406" s="16">
        <f>IFERROR(__xludf.DUMMYFUNCTION("""COMPUTED_VALUE"""),2.0)</f>
        <v>2</v>
      </c>
      <c r="X406" s="16">
        <f>IFERROR(__xludf.DUMMYFUNCTION("""COMPUTED_VALUE"""),-2.0)</f>
        <v>-2</v>
      </c>
      <c r="Y406" s="16">
        <f>IFERROR(__xludf.DUMMYFUNCTION("""COMPUTED_VALUE"""),31.7)</f>
        <v>31.7</v>
      </c>
      <c r="Z406" s="16">
        <f>IFERROR(__xludf.DUMMYFUNCTION("""COMPUTED_VALUE"""),26.8)</f>
        <v>26.8</v>
      </c>
      <c r="AA406" s="16">
        <f>IFERROR(__xludf.DUMMYFUNCTION("""COMPUTED_VALUE"""),-1.0)</f>
        <v>-1</v>
      </c>
      <c r="AB406" s="16">
        <f>IFERROR(__xludf.DUMMYFUNCTION("""COMPUTED_VALUE"""),0.0)</f>
        <v>0</v>
      </c>
      <c r="AC406" s="16">
        <f>IFERROR(__xludf.DUMMYFUNCTION("""COMPUTED_VALUE"""),-5.0)</f>
        <v>-5</v>
      </c>
      <c r="AD406" s="16">
        <f>IFERROR(__xludf.DUMMYFUNCTION("""COMPUTED_VALUE"""),0.0)</f>
        <v>0</v>
      </c>
      <c r="AE406" s="16">
        <f>IFERROR(__xludf.DUMMYFUNCTION("""COMPUTED_VALUE"""),12.1)</f>
        <v>12.1</v>
      </c>
      <c r="AF406" s="16">
        <f>IFERROR(__xludf.DUMMYFUNCTION("""COMPUTED_VALUE"""),49.8)</f>
        <v>49.8</v>
      </c>
      <c r="AG406" s="16">
        <f>IFERROR(__xludf.DUMMYFUNCTION("""COMPUTED_VALUE"""),2.0)</f>
        <v>2</v>
      </c>
      <c r="AH406" s="16">
        <f>IFERROR(__xludf.DUMMYFUNCTION("""COMPUTED_VALUE"""),-2.0)</f>
        <v>-2</v>
      </c>
      <c r="AI406" s="16">
        <f>IFERROR(__xludf.DUMMYFUNCTION("""COMPUTED_VALUE"""),4.0)</f>
        <v>4</v>
      </c>
      <c r="AJ406" s="16">
        <f>IFERROR(__xludf.DUMMYFUNCTION("""COMPUTED_VALUE"""),-4.0)</f>
        <v>-4</v>
      </c>
      <c r="AK406" s="16">
        <f>IFERROR(__xludf.DUMMYFUNCTION("""COMPUTED_VALUE"""),9.7)</f>
        <v>9.7</v>
      </c>
      <c r="AL406" s="16">
        <f>IFERROR(__xludf.DUMMYFUNCTION("""COMPUTED_VALUE"""),16.8)</f>
        <v>16.8</v>
      </c>
      <c r="AM406" s="16">
        <f>IFERROR(__xludf.DUMMYFUNCTION("""COMPUTED_VALUE"""),1.0)</f>
        <v>1</v>
      </c>
      <c r="AN406" s="16">
        <f>IFERROR(__xludf.DUMMYFUNCTION("""COMPUTED_VALUE"""),-1.0)</f>
        <v>-1</v>
      </c>
      <c r="AO406" s="16">
        <f>IFERROR(__xludf.DUMMYFUNCTION("""COMPUTED_VALUE"""),1.0)</f>
        <v>1</v>
      </c>
      <c r="AP406" s="16">
        <f>IFERROR(__xludf.DUMMYFUNCTION("""COMPUTED_VALUE"""),-1.0)</f>
        <v>-1</v>
      </c>
      <c r="AQ406" s="16">
        <f>IFERROR(__xludf.DUMMYFUNCTION("""COMPUTED_VALUE"""),12.1)</f>
        <v>12.1</v>
      </c>
      <c r="AR406" s="16">
        <f>IFERROR(__xludf.DUMMYFUNCTION("""COMPUTED_VALUE"""),29.799999999999997)</f>
        <v>29.8</v>
      </c>
      <c r="AS406" s="16">
        <f>IFERROR(__xludf.DUMMYFUNCTION("""COMPUTED_VALUE"""),1.0)</f>
        <v>1</v>
      </c>
      <c r="AT406" s="16">
        <f>IFERROR(__xludf.DUMMYFUNCTION("""COMPUTED_VALUE"""),-1.0)</f>
        <v>-1</v>
      </c>
      <c r="AU406" s="16">
        <f>IFERROR(__xludf.DUMMYFUNCTION("""COMPUTED_VALUE"""),2.0)</f>
        <v>2</v>
      </c>
      <c r="AV406" s="16">
        <f>IFERROR(__xludf.DUMMYFUNCTION("""COMPUTED_VALUE"""),-2.0)</f>
        <v>-2</v>
      </c>
      <c r="AW406" s="16">
        <f>IFERROR(__xludf.DUMMYFUNCTION("""COMPUTED_VALUE"""),0.0)</f>
        <v>0</v>
      </c>
      <c r="AX406" s="16">
        <f>IFERROR(__xludf.DUMMYFUNCTION("""COMPUTED_VALUE"""),5.0)</f>
        <v>5</v>
      </c>
      <c r="AY406" s="16">
        <f>IFERROR(__xludf.DUMMYFUNCTION("""COMPUTED_VALUE"""),2.0)</f>
        <v>2</v>
      </c>
      <c r="AZ406" s="16">
        <f>IFERROR(__xludf.DUMMYFUNCTION("""COMPUTED_VALUE"""),-3.0)</f>
        <v>-3</v>
      </c>
      <c r="BA406" s="16">
        <f>IFERROR(__xludf.DUMMYFUNCTION("""COMPUTED_VALUE"""),10.0)</f>
        <v>10</v>
      </c>
      <c r="BB406" s="16">
        <f>IFERROR(__xludf.DUMMYFUNCTION("""COMPUTED_VALUE"""),-15.0)</f>
        <v>-15</v>
      </c>
      <c r="BC406" s="16">
        <f>IFERROR(__xludf.DUMMYFUNCTION("""COMPUTED_VALUE"""),0.0)</f>
        <v>0</v>
      </c>
      <c r="BD406" s="16">
        <f>IFERROR(__xludf.DUMMYFUNCTION("""COMPUTED_VALUE"""),8.0)</f>
        <v>8</v>
      </c>
      <c r="BE406" s="16">
        <f>IFERROR(__xludf.DUMMYFUNCTION("""COMPUTED_VALUE"""),0.0)</f>
        <v>0</v>
      </c>
      <c r="BF406" s="16">
        <f>IFERROR(__xludf.DUMMYFUNCTION("""COMPUTED_VALUE"""),8.0)</f>
        <v>8</v>
      </c>
      <c r="BG406" s="16">
        <f>IFERROR(__xludf.DUMMYFUNCTION("""COMPUTED_VALUE"""),3.0)</f>
        <v>3</v>
      </c>
      <c r="BH406" s="16">
        <f>IFERROR(__xludf.DUMMYFUNCTION("""COMPUTED_VALUE"""),-3.0)</f>
        <v>-3</v>
      </c>
      <c r="BI406" s="16">
        <f>IFERROR(__xludf.DUMMYFUNCTION("""COMPUTED_VALUE"""),6.0)</f>
        <v>6</v>
      </c>
      <c r="BJ406" s="16">
        <f>IFERROR(__xludf.DUMMYFUNCTION("""COMPUTED_VALUE"""),-6.0)</f>
        <v>-6</v>
      </c>
      <c r="BK406" s="16">
        <f>IFERROR(__xludf.DUMMYFUNCTION("""COMPUTED_VALUE"""),5.0)</f>
        <v>5</v>
      </c>
      <c r="BL406" s="16">
        <f>IFERROR(__xludf.DUMMYFUNCTION("""COMPUTED_VALUE"""),5.0)</f>
        <v>5</v>
      </c>
      <c r="BM406" s="16">
        <f>IFERROR(__xludf.DUMMYFUNCTION("""COMPUTED_VALUE"""),0.0)</f>
        <v>0</v>
      </c>
      <c r="BN406" s="16">
        <f>IFERROR(__xludf.DUMMYFUNCTION("""COMPUTED_VALUE"""),0.0)</f>
        <v>0</v>
      </c>
      <c r="BO406" s="16">
        <f>IFERROR(__xludf.DUMMYFUNCTION("""COMPUTED_VALUE"""),0.0)</f>
        <v>0</v>
      </c>
      <c r="BP406" s="16">
        <f>IFERROR(__xludf.DUMMYFUNCTION("""COMPUTED_VALUE"""),0.0)</f>
        <v>0</v>
      </c>
      <c r="BQ406" s="16">
        <f>IFERROR(__xludf.DUMMYFUNCTION("""COMPUTED_VALUE"""),0.0)</f>
        <v>0</v>
      </c>
      <c r="BR406" s="16">
        <f>IFERROR(__xludf.DUMMYFUNCTION("""COMPUTED_VALUE"""),0.0)</f>
        <v>0</v>
      </c>
      <c r="BS406" s="16">
        <f>IFERROR(__xludf.DUMMYFUNCTION("""COMPUTED_VALUE"""),-3.0)</f>
        <v>-3</v>
      </c>
      <c r="BT406" s="16">
        <f>IFERROR(__xludf.DUMMYFUNCTION("""COMPUTED_VALUE"""),-3.0)</f>
        <v>-3</v>
      </c>
      <c r="BU406" s="16">
        <f>IFERROR(__xludf.DUMMYFUNCTION("""COMPUTED_VALUE"""),-6.0)</f>
        <v>-6</v>
      </c>
      <c r="BV406" s="16">
        <f>IFERROR(__xludf.DUMMYFUNCTION("""COMPUTED_VALUE"""),-6.0)</f>
        <v>-6</v>
      </c>
      <c r="BW406" s="16">
        <f>IFERROR(__xludf.DUMMYFUNCTION("""COMPUTED_VALUE"""),-1.0)</f>
        <v>-1</v>
      </c>
      <c r="BX406" s="16">
        <f>IFERROR(__xludf.DUMMYFUNCTION("""COMPUTED_VALUE"""),-1.0)</f>
        <v>-1</v>
      </c>
      <c r="BY406" s="16" t="str">
        <f>IFERROR(__xludf.DUMMYFUNCTION("""COMPUTED_VALUE"""),"R(1) C(4)")</f>
        <v>R(1) C(4)</v>
      </c>
      <c r="BZ406" s="16" t="str">
        <f>IFERROR(__xludf.DUMMYFUNCTION("""COMPUTED_VALUE"""),"R(1) C(4)")</f>
        <v>R(1) C(4)</v>
      </c>
      <c r="CA406" s="16" t="str">
        <f>IFERROR(__xludf.DUMMYFUNCTION("""COMPUTED_VALUE"""),"R(1)")</f>
        <v>R(1)</v>
      </c>
      <c r="CB406" s="16" t="str">
        <f>IFERROR(__xludf.DUMMYFUNCTION("""COMPUTED_VALUE"""),"C(4)")</f>
        <v>C(4)</v>
      </c>
      <c r="CC406" s="16"/>
      <c r="CD406" s="16"/>
      <c r="CE406" s="16">
        <f>IFERROR(__xludf.DUMMYFUNCTION("""COMPUTED_VALUE"""),1.0)</f>
        <v>1</v>
      </c>
      <c r="CF406" s="16">
        <f>IFERROR(__xludf.DUMMYFUNCTION("""COMPUTED_VALUE"""),4.0)</f>
        <v>4</v>
      </c>
      <c r="CG406" s="16" t="str">
        <f>IFERROR(__xludf.DUMMYFUNCTION("""COMPUTED_VALUE"""),"4-48")</f>
        <v>4-48</v>
      </c>
      <c r="CH406" s="16">
        <f>IFERROR(__xludf.DUMMYFUNCTION("""COMPUTED_VALUE"""),4.0)</f>
        <v>4</v>
      </c>
      <c r="CI406" s="16">
        <f>IFERROR(__xludf.DUMMYFUNCTION("""COMPUTED_VALUE"""),48.0)</f>
        <v>48</v>
      </c>
      <c r="CJ406" s="16">
        <f>IFERROR(__xludf.DUMMYFUNCTION("""COMPUTED_VALUE"""),20.0)</f>
        <v>20</v>
      </c>
      <c r="CK406" s="16">
        <f>IFERROR(__xludf.DUMMYFUNCTION("""COMPUTED_VALUE"""),7.0)</f>
        <v>7</v>
      </c>
      <c r="CL406" s="16" t="str">
        <f>IFERROR(__xludf.DUMMYFUNCTION("""COMPUTED_VALUE"""),"1WR-C")</f>
        <v>1WR-C</v>
      </c>
      <c r="CM406" s="16" t="str">
        <f>IFERROR(__xludf.DUMMYFUNCTION("""COMPUTED_VALUE"""),"E")</f>
        <v>E</v>
      </c>
      <c r="CN406" s="16">
        <f>IFERROR(__xludf.DUMMYFUNCTION("""COMPUTED_VALUE"""),10.0)</f>
        <v>10</v>
      </c>
      <c r="CO406" s="16" t="str">
        <f>IFERROR(__xludf.DUMMYFUNCTION("""COMPUTED_VALUE"""),"C")</f>
        <v>C</v>
      </c>
      <c r="CP406" s="16" t="str">
        <f>IFERROR(__xludf.DUMMYFUNCTION("""COMPUTED_VALUE"""),"1p50")</f>
        <v>1p50</v>
      </c>
      <c r="CQ406" s="16">
        <f>IFERROR(__xludf.DUMMYFUNCTION("""COMPUTED_VALUE"""),11.0)</f>
        <v>11</v>
      </c>
      <c r="CR406" s="16">
        <f>IFERROR(__xludf.DUMMYFUNCTION("""COMPUTED_VALUE"""),-34.0)</f>
        <v>-34</v>
      </c>
      <c r="CS406" s="16">
        <f>IFERROR(__xludf.DUMMYFUNCTION("""COMPUTED_VALUE"""),-23.0)</f>
        <v>-23</v>
      </c>
      <c r="CT406" s="16">
        <f>IFERROR(__xludf.DUMMYFUNCTION("""COMPUTED_VALUE"""),11.0)</f>
        <v>11</v>
      </c>
      <c r="CU406" s="16">
        <f>IFERROR(__xludf.DUMMYFUNCTION("""COMPUTED_VALUE"""),-34.0)</f>
        <v>-34</v>
      </c>
      <c r="CV406" s="179">
        <f>IFERROR(__xludf.DUMMYFUNCTION("""COMPUTED_VALUE"""),-15.0)</f>
        <v>-15</v>
      </c>
      <c r="CW406" s="179">
        <f>IFERROR(__xludf.DUMMYFUNCTION("""COMPUTED_VALUE"""),4.0)</f>
        <v>4</v>
      </c>
      <c r="CX406" s="179">
        <f>IFERROR(__xludf.DUMMYFUNCTION("""COMPUTED_VALUE"""),0.0)</f>
        <v>0</v>
      </c>
      <c r="CY406" s="16" t="str">
        <f>IFERROR(__xludf.DUMMYFUNCTION("""COMPUTED_VALUE"""),"RP")</f>
        <v>RP</v>
      </c>
      <c r="CZ406" s="16" t="str">
        <f>IFERROR(__xludf.DUMMYFUNCTION("""COMPUTED_VALUE"""),"CP")</f>
        <v>CP</v>
      </c>
      <c r="DA406" s="16"/>
      <c r="DB406" s="16"/>
      <c r="DC406" s="16"/>
      <c r="DD406" s="16"/>
      <c r="DE406" s="16"/>
      <c r="DF406" s="16"/>
      <c r="DG406" s="16"/>
      <c r="DH406" s="16"/>
      <c r="DI406" s="16"/>
      <c r="DJ406" s="16"/>
      <c r="DK406" s="16"/>
    </row>
    <row r="407">
      <c r="A407" s="16">
        <f>IFERROR(__xludf.DUMMYFUNCTION("""COMPUTED_VALUE"""),12850.0)</f>
        <v>12850</v>
      </c>
      <c r="B407" s="16" t="str">
        <f>IFERROR(__xludf.DUMMYFUNCTION("""COMPUTED_VALUE"""),"Graham Ashcraft")</f>
        <v>Graham Ashcraft</v>
      </c>
      <c r="C407" s="153">
        <f>IFERROR(__xludf.DUMMYFUNCTION("""COMPUTED_VALUE"""),0.17)</f>
        <v>0.17</v>
      </c>
      <c r="D407" s="16"/>
      <c r="E407" s="16" t="str">
        <f>IFERROR(__xludf.DUMMYFUNCTION("""COMPUTED_VALUE"""),"R")</f>
        <v>R</v>
      </c>
      <c r="F407" s="16">
        <f>IFERROR(__xludf.DUMMYFUNCTION("""COMPUTED_VALUE"""),77.0)</f>
        <v>77</v>
      </c>
      <c r="G407" s="16">
        <f>IFERROR(__xludf.DUMMYFUNCTION("""COMPUTED_VALUE"""),8.0)</f>
        <v>8</v>
      </c>
      <c r="H407" s="16">
        <f>IFERROR(__xludf.DUMMYFUNCTION("""COMPUTED_VALUE"""),14.0)</f>
        <v>14</v>
      </c>
      <c r="I407" s="16">
        <f>IFERROR(__xludf.DUMMYFUNCTION("""COMPUTED_VALUE"""),-2.0)</f>
        <v>-2</v>
      </c>
      <c r="J407" s="16">
        <f>IFERROR(__xludf.DUMMYFUNCTION("""COMPUTED_VALUE"""),-2.0)</f>
        <v>-2</v>
      </c>
      <c r="K407" s="16">
        <f>IFERROR(__xludf.DUMMYFUNCTION("""COMPUTED_VALUE"""),-6.0)</f>
        <v>-6</v>
      </c>
      <c r="L407" s="16">
        <f>IFERROR(__xludf.DUMMYFUNCTION("""COMPUTED_VALUE"""),-6.0)</f>
        <v>-6</v>
      </c>
      <c r="M407" s="16">
        <f>IFERROR(__xludf.DUMMYFUNCTION("""COMPUTED_VALUE"""),9.0)</f>
        <v>9</v>
      </c>
      <c r="N407" s="16">
        <f>IFERROR(__xludf.DUMMYFUNCTION("""COMPUTED_VALUE"""),7.0)</f>
        <v>7</v>
      </c>
      <c r="O407" s="16">
        <f>IFERROR(__xludf.DUMMYFUNCTION("""COMPUTED_VALUE"""),0.0)</f>
        <v>0</v>
      </c>
      <c r="P407" s="16">
        <f>IFERROR(__xludf.DUMMYFUNCTION("""COMPUTED_VALUE"""),1.0)</f>
        <v>1</v>
      </c>
      <c r="Q407" s="16">
        <f>IFERROR(__xludf.DUMMYFUNCTION("""COMPUTED_VALUE"""),0.0)</f>
        <v>0</v>
      </c>
      <c r="R407" s="16">
        <f>IFERROR(__xludf.DUMMYFUNCTION("""COMPUTED_VALUE"""),1.0)</f>
        <v>1</v>
      </c>
      <c r="S407" s="16">
        <f>IFERROR(__xludf.DUMMYFUNCTION("""COMPUTED_VALUE"""),23.9)</f>
        <v>23.9</v>
      </c>
      <c r="T407" s="16">
        <f>IFERROR(__xludf.DUMMYFUNCTION("""COMPUTED_VALUE"""),23.1)</f>
        <v>23.1</v>
      </c>
      <c r="U407" s="16">
        <f>IFERROR(__xludf.DUMMYFUNCTION("""COMPUTED_VALUE"""),-2.0)</f>
        <v>-2</v>
      </c>
      <c r="V407" s="16">
        <f>IFERROR(__xludf.DUMMYFUNCTION("""COMPUTED_VALUE"""),-1.0)</f>
        <v>-1</v>
      </c>
      <c r="W407" s="16">
        <f>IFERROR(__xludf.DUMMYFUNCTION("""COMPUTED_VALUE"""),-4.0)</f>
        <v>-4</v>
      </c>
      <c r="X407" s="16">
        <f>IFERROR(__xludf.DUMMYFUNCTION("""COMPUTED_VALUE"""),-2.0)</f>
        <v>-2</v>
      </c>
      <c r="Y407" s="16">
        <f>IFERROR(__xludf.DUMMYFUNCTION("""COMPUTED_VALUE"""),32.8)</f>
        <v>32.8</v>
      </c>
      <c r="Z407" s="16">
        <f>IFERROR(__xludf.DUMMYFUNCTION("""COMPUTED_VALUE"""),30.1)</f>
        <v>30.1</v>
      </c>
      <c r="AA407" s="16">
        <f>IFERROR(__xludf.DUMMYFUNCTION("""COMPUTED_VALUE"""),-1.0)</f>
        <v>-1</v>
      </c>
      <c r="AB407" s="16">
        <f>IFERROR(__xludf.DUMMYFUNCTION("""COMPUTED_VALUE"""),-1.0)</f>
        <v>-1</v>
      </c>
      <c r="AC407" s="16">
        <f>IFERROR(__xludf.DUMMYFUNCTION("""COMPUTED_VALUE"""),-5.0)</f>
        <v>-5</v>
      </c>
      <c r="AD407" s="16">
        <f>IFERROR(__xludf.DUMMYFUNCTION("""COMPUTED_VALUE"""),-5.0)</f>
        <v>-5</v>
      </c>
      <c r="AE407" s="16">
        <f>IFERROR(__xludf.DUMMYFUNCTION("""COMPUTED_VALUE"""),36.3)</f>
        <v>36.3</v>
      </c>
      <c r="AF407" s="16">
        <f>IFERROR(__xludf.DUMMYFUNCTION("""COMPUTED_VALUE"""),36.5)</f>
        <v>36.5</v>
      </c>
      <c r="AG407" s="16">
        <f>IFERROR(__xludf.DUMMYFUNCTION("""COMPUTED_VALUE"""),-1.0)</f>
        <v>-1</v>
      </c>
      <c r="AH407" s="16">
        <f>IFERROR(__xludf.DUMMYFUNCTION("""COMPUTED_VALUE"""),-1.0)</f>
        <v>-1</v>
      </c>
      <c r="AI407" s="16">
        <f>IFERROR(__xludf.DUMMYFUNCTION("""COMPUTED_VALUE"""),-2.0)</f>
        <v>-2</v>
      </c>
      <c r="AJ407" s="16">
        <f>IFERROR(__xludf.DUMMYFUNCTION("""COMPUTED_VALUE"""),-2.0)</f>
        <v>-2</v>
      </c>
      <c r="AK407" s="16">
        <f>IFERROR(__xludf.DUMMYFUNCTION("""COMPUTED_VALUE"""),19.9)</f>
        <v>19.9</v>
      </c>
      <c r="AL407" s="16">
        <f>IFERROR(__xludf.DUMMYFUNCTION("""COMPUTED_VALUE"""),21.5)</f>
        <v>21.5</v>
      </c>
      <c r="AM407" s="16">
        <f>IFERROR(__xludf.DUMMYFUNCTION("""COMPUTED_VALUE"""),-1.0)</f>
        <v>-1</v>
      </c>
      <c r="AN407" s="16">
        <f>IFERROR(__xludf.DUMMYFUNCTION("""COMPUTED_VALUE"""),-1.0)</f>
        <v>-1</v>
      </c>
      <c r="AO407" s="16">
        <f>IFERROR(__xludf.DUMMYFUNCTION("""COMPUTED_VALUE"""),-1.0)</f>
        <v>-1</v>
      </c>
      <c r="AP407" s="16">
        <f>IFERROR(__xludf.DUMMYFUNCTION("""COMPUTED_VALUE"""),-1.0)</f>
        <v>-1</v>
      </c>
      <c r="AQ407" s="16">
        <f>IFERROR(__xludf.DUMMYFUNCTION("""COMPUTED_VALUE"""),20.299999999999997)</f>
        <v>20.3</v>
      </c>
      <c r="AR407" s="16">
        <f>IFERROR(__xludf.DUMMYFUNCTION("""COMPUTED_VALUE"""),30.1)</f>
        <v>30.1</v>
      </c>
      <c r="AS407" s="16">
        <f>IFERROR(__xludf.DUMMYFUNCTION("""COMPUTED_VALUE"""),0.0)</f>
        <v>0</v>
      </c>
      <c r="AT407" s="16">
        <f>IFERROR(__xludf.DUMMYFUNCTION("""COMPUTED_VALUE"""),-1.0)</f>
        <v>-1</v>
      </c>
      <c r="AU407" s="16">
        <f>IFERROR(__xludf.DUMMYFUNCTION("""COMPUTED_VALUE"""),0.0)</f>
        <v>0</v>
      </c>
      <c r="AV407" s="16">
        <f>IFERROR(__xludf.DUMMYFUNCTION("""COMPUTED_VALUE"""),-2.0)</f>
        <v>-2</v>
      </c>
      <c r="AW407" s="16">
        <f>IFERROR(__xludf.DUMMYFUNCTION("""COMPUTED_VALUE"""),4.0)</f>
        <v>4</v>
      </c>
      <c r="AX407" s="16">
        <f>IFERROR(__xludf.DUMMYFUNCTION("""COMPUTED_VALUE"""),1.6)</f>
        <v>1.6</v>
      </c>
      <c r="AY407" s="16">
        <f>IFERROR(__xludf.DUMMYFUNCTION("""COMPUTED_VALUE"""),-2.0)</f>
        <v>-2</v>
      </c>
      <c r="AZ407" s="16">
        <f>IFERROR(__xludf.DUMMYFUNCTION("""COMPUTED_VALUE"""),1.0)</f>
        <v>1</v>
      </c>
      <c r="BA407" s="16">
        <f>IFERROR(__xludf.DUMMYFUNCTION("""COMPUTED_VALUE"""),-10.0)</f>
        <v>-10</v>
      </c>
      <c r="BB407" s="16">
        <f>IFERROR(__xludf.DUMMYFUNCTION("""COMPUTED_VALUE"""),5.0)</f>
        <v>5</v>
      </c>
      <c r="BC407" s="16">
        <f>IFERROR(__xludf.DUMMYFUNCTION("""COMPUTED_VALUE"""),3.0)</f>
        <v>3</v>
      </c>
      <c r="BD407" s="16">
        <f>IFERROR(__xludf.DUMMYFUNCTION("""COMPUTED_VALUE"""),0.0)</f>
        <v>0</v>
      </c>
      <c r="BE407" s="16">
        <f>IFERROR(__xludf.DUMMYFUNCTION("""COMPUTED_VALUE"""),3.0)</f>
        <v>3</v>
      </c>
      <c r="BF407" s="16">
        <f>IFERROR(__xludf.DUMMYFUNCTION("""COMPUTED_VALUE"""),0.0)</f>
        <v>0</v>
      </c>
      <c r="BG407" s="16">
        <f>IFERROR(__xludf.DUMMYFUNCTION("""COMPUTED_VALUE"""),0.0)</f>
        <v>0</v>
      </c>
      <c r="BH407" s="16">
        <f>IFERROR(__xludf.DUMMYFUNCTION("""COMPUTED_VALUE"""),2.0)</f>
        <v>2</v>
      </c>
      <c r="BI407" s="16">
        <f>IFERROR(__xludf.DUMMYFUNCTION("""COMPUTED_VALUE"""),0.0)</f>
        <v>0</v>
      </c>
      <c r="BJ407" s="16">
        <f>IFERROR(__xludf.DUMMYFUNCTION("""COMPUTED_VALUE"""),4.0)</f>
        <v>4</v>
      </c>
      <c r="BK407" s="16">
        <f>IFERROR(__xludf.DUMMYFUNCTION("""COMPUTED_VALUE"""),5.0)</f>
        <v>5</v>
      </c>
      <c r="BL407" s="16">
        <f>IFERROR(__xludf.DUMMYFUNCTION("""COMPUTED_VALUE"""),5.0)</f>
        <v>5</v>
      </c>
      <c r="BM407" s="16">
        <f>IFERROR(__xludf.DUMMYFUNCTION("""COMPUTED_VALUE"""),0.0)</f>
        <v>0</v>
      </c>
      <c r="BN407" s="16">
        <f>IFERROR(__xludf.DUMMYFUNCTION("""COMPUTED_VALUE"""),0.0)</f>
        <v>0</v>
      </c>
      <c r="BO407" s="16">
        <f>IFERROR(__xludf.DUMMYFUNCTION("""COMPUTED_VALUE"""),0.0)</f>
        <v>0</v>
      </c>
      <c r="BP407" s="16">
        <f>IFERROR(__xludf.DUMMYFUNCTION("""COMPUTED_VALUE"""),0.0)</f>
        <v>0</v>
      </c>
      <c r="BQ407" s="16">
        <f>IFERROR(__xludf.DUMMYFUNCTION("""COMPUTED_VALUE"""),8.0)</f>
        <v>8</v>
      </c>
      <c r="BR407" s="16">
        <f>IFERROR(__xludf.DUMMYFUNCTION("""COMPUTED_VALUE"""),8.0)</f>
        <v>8</v>
      </c>
      <c r="BS407" s="16">
        <f>IFERROR(__xludf.DUMMYFUNCTION("""COMPUTED_VALUE"""),2.0)</f>
        <v>2</v>
      </c>
      <c r="BT407" s="16">
        <f>IFERROR(__xludf.DUMMYFUNCTION("""COMPUTED_VALUE"""),2.0)</f>
        <v>2</v>
      </c>
      <c r="BU407" s="16">
        <f>IFERROR(__xludf.DUMMYFUNCTION("""COMPUTED_VALUE"""),4.0)</f>
        <v>4</v>
      </c>
      <c r="BV407" s="16">
        <f>IFERROR(__xludf.DUMMYFUNCTION("""COMPUTED_VALUE"""),4.0)</f>
        <v>4</v>
      </c>
      <c r="BW407" s="16">
        <f>IFERROR(__xludf.DUMMYFUNCTION("""COMPUTED_VALUE"""),-1.0)</f>
        <v>-1</v>
      </c>
      <c r="BX407" s="16">
        <f>IFERROR(__xludf.DUMMYFUNCTION("""COMPUTED_VALUE"""),-1.0)</f>
        <v>-1</v>
      </c>
      <c r="BY407" s="16" t="str">
        <f>IFERROR(__xludf.DUMMYFUNCTION("""COMPUTED_VALUE"""),"S(5)")</f>
        <v>S(5)</v>
      </c>
      <c r="BZ407" s="16" t="str">
        <f>IFERROR(__xludf.DUMMYFUNCTION("""COMPUTED_VALUE"""),"S(5)")</f>
        <v>S(5)</v>
      </c>
      <c r="CA407" s="16" t="str">
        <f>IFERROR(__xludf.DUMMYFUNCTION("""COMPUTED_VALUE"""),"S(5)")</f>
        <v>S(5)</v>
      </c>
      <c r="CB407" s="16"/>
      <c r="CC407" s="16"/>
      <c r="CD407" s="16">
        <f>IFERROR(__xludf.DUMMYFUNCTION("""COMPUTED_VALUE"""),5.0)</f>
        <v>5</v>
      </c>
      <c r="CE407" s="16"/>
      <c r="CF407" s="16"/>
      <c r="CG407" s="16" t="str">
        <f>IFERROR(__xludf.DUMMYFUNCTION("""COMPUTED_VALUE"""),"2-51")</f>
        <v>2-51</v>
      </c>
      <c r="CH407" s="16">
        <f>IFERROR(__xludf.DUMMYFUNCTION("""COMPUTED_VALUE"""),2.0)</f>
        <v>2</v>
      </c>
      <c r="CI407" s="16">
        <f>IFERROR(__xludf.DUMMYFUNCTION("""COMPUTED_VALUE"""),51.0)</f>
        <v>51</v>
      </c>
      <c r="CJ407" s="16">
        <f>IFERROR(__xludf.DUMMYFUNCTION("""COMPUTED_VALUE"""),0.0)</f>
        <v>0</v>
      </c>
      <c r="CK407" s="16">
        <f>IFERROR(__xludf.DUMMYFUNCTION("""COMPUTED_VALUE"""),10.0)</f>
        <v>10</v>
      </c>
      <c r="CL407" s="16" t="str">
        <f>IFERROR(__xludf.DUMMYFUNCTION("""COMPUTED_VALUE"""),"1WL-C")</f>
        <v>1WL-C</v>
      </c>
      <c r="CM407" s="16" t="str">
        <f>IFERROR(__xludf.DUMMYFUNCTION("""COMPUTED_VALUE"""),"E")</f>
        <v>E</v>
      </c>
      <c r="CN407" s="16">
        <f>IFERROR(__xludf.DUMMYFUNCTION("""COMPUTED_VALUE"""),10.0)</f>
        <v>10</v>
      </c>
      <c r="CO407" s="16" t="str">
        <f>IFERROR(__xludf.DUMMYFUNCTION("""COMPUTED_VALUE"""),"C")</f>
        <v>C</v>
      </c>
      <c r="CP407" s="16" t="str">
        <f>IFERROR(__xludf.DUMMYFUNCTION("""COMPUTED_VALUE"""),"4p40")</f>
        <v>4p40</v>
      </c>
      <c r="CQ407" s="16">
        <f>IFERROR(__xludf.DUMMYFUNCTION("""COMPUTED_VALUE"""),-24.0)</f>
        <v>-24</v>
      </c>
      <c r="CR407" s="16">
        <f>IFERROR(__xludf.DUMMYFUNCTION("""COMPUTED_VALUE"""),-4.0)</f>
        <v>-4</v>
      </c>
      <c r="CS407" s="16">
        <f>IFERROR(__xludf.DUMMYFUNCTION("""COMPUTED_VALUE"""),-28.0)</f>
        <v>-28</v>
      </c>
      <c r="CT407" s="16">
        <f>IFERROR(__xludf.DUMMYFUNCTION("""COMPUTED_VALUE"""),-24.0)</f>
        <v>-24</v>
      </c>
      <c r="CU407" s="16">
        <f>IFERROR(__xludf.DUMMYFUNCTION("""COMPUTED_VALUE"""),-4.0)</f>
        <v>-4</v>
      </c>
      <c r="CV407" s="179">
        <f>IFERROR(__xludf.DUMMYFUNCTION("""COMPUTED_VALUE"""),-15.333333333333332)</f>
        <v>-15.33333333</v>
      </c>
      <c r="CW407" s="179">
        <f>IFERROR(__xludf.DUMMYFUNCTION("""COMPUTED_VALUE"""),1.0)</f>
        <v>1</v>
      </c>
      <c r="CX407" s="179">
        <f>IFERROR(__xludf.DUMMYFUNCTION("""COMPUTED_VALUE"""),1.0)</f>
        <v>1</v>
      </c>
      <c r="CY407" s="16" t="str">
        <f>IFERROR(__xludf.DUMMYFUNCTION("""COMPUTED_VALUE"""),"SP")</f>
        <v>SP</v>
      </c>
      <c r="CZ407" s="16"/>
      <c r="DA407" s="16"/>
      <c r="DB407" s="16"/>
      <c r="DC407" s="16"/>
      <c r="DD407" s="16"/>
      <c r="DE407" s="16"/>
      <c r="DF407" s="16"/>
      <c r="DG407" s="16"/>
      <c r="DH407" s="16"/>
      <c r="DI407" s="16"/>
      <c r="DJ407" s="16"/>
      <c r="DK407" s="16"/>
    </row>
    <row r="408">
      <c r="A408" s="16">
        <f>IFERROR(__xludf.DUMMYFUNCTION("""COMPUTED_VALUE"""),12715.0)</f>
        <v>12715</v>
      </c>
      <c r="B408" s="16" t="str">
        <f>IFERROR(__xludf.DUMMYFUNCTION("""COMPUTED_VALUE"""),"Cristian Javier")</f>
        <v>Cristian Javier</v>
      </c>
      <c r="C408" s="153">
        <f>IFERROR(__xludf.DUMMYFUNCTION("""COMPUTED_VALUE"""),0.52)</f>
        <v>0.52</v>
      </c>
      <c r="D408" s="16"/>
      <c r="E408" s="16" t="str">
        <f>IFERROR(__xludf.DUMMYFUNCTION("""COMPUTED_VALUE"""),"R")</f>
        <v>R</v>
      </c>
      <c r="F408" s="16">
        <f>IFERROR(__xludf.DUMMYFUNCTION("""COMPUTED_VALUE"""),35.0)</f>
        <v>35</v>
      </c>
      <c r="G408" s="16">
        <f>IFERROR(__xludf.DUMMYFUNCTION("""COMPUTED_VALUE"""),5.0)</f>
        <v>5</v>
      </c>
      <c r="H408" s="16">
        <f>IFERROR(__xludf.DUMMYFUNCTION("""COMPUTED_VALUE"""),23.0)</f>
        <v>23</v>
      </c>
      <c r="I408" s="16">
        <f>IFERROR(__xludf.DUMMYFUNCTION("""COMPUTED_VALUE"""),-3.0)</f>
        <v>-3</v>
      </c>
      <c r="J408" s="16">
        <f>IFERROR(__xludf.DUMMYFUNCTION("""COMPUTED_VALUE"""),-1.0)</f>
        <v>-1</v>
      </c>
      <c r="K408" s="16">
        <f>IFERROR(__xludf.DUMMYFUNCTION("""COMPUTED_VALUE"""),-9.0)</f>
        <v>-9</v>
      </c>
      <c r="L408" s="16">
        <f>IFERROR(__xludf.DUMMYFUNCTION("""COMPUTED_VALUE"""),-3.0)</f>
        <v>-3</v>
      </c>
      <c r="M408" s="16">
        <f>IFERROR(__xludf.DUMMYFUNCTION("""COMPUTED_VALUE"""),23.0)</f>
        <v>23</v>
      </c>
      <c r="N408" s="16">
        <f>IFERROR(__xludf.DUMMYFUNCTION("""COMPUTED_VALUE"""),15.0)</f>
        <v>15</v>
      </c>
      <c r="O408" s="16">
        <f>IFERROR(__xludf.DUMMYFUNCTION("""COMPUTED_VALUE"""),-3.0)</f>
        <v>-3</v>
      </c>
      <c r="P408" s="16">
        <f>IFERROR(__xludf.DUMMYFUNCTION("""COMPUTED_VALUE"""),-3.0)</f>
        <v>-3</v>
      </c>
      <c r="Q408" s="16">
        <f>IFERROR(__xludf.DUMMYFUNCTION("""COMPUTED_VALUE"""),-3.0)</f>
        <v>-3</v>
      </c>
      <c r="R408" s="16">
        <f>IFERROR(__xludf.DUMMYFUNCTION("""COMPUTED_VALUE"""),-3.0)</f>
        <v>-3</v>
      </c>
      <c r="S408" s="16">
        <f>IFERROR(__xludf.DUMMYFUNCTION("""COMPUTED_VALUE"""),17.8)</f>
        <v>17.8</v>
      </c>
      <c r="T408" s="16">
        <f>IFERROR(__xludf.DUMMYFUNCTION("""COMPUTED_VALUE"""),6.8)</f>
        <v>6.8</v>
      </c>
      <c r="U408" s="16">
        <f>IFERROR(__xludf.DUMMYFUNCTION("""COMPUTED_VALUE"""),0.0)</f>
        <v>0</v>
      </c>
      <c r="V408" s="16">
        <f>IFERROR(__xludf.DUMMYFUNCTION("""COMPUTED_VALUE"""),2.0)</f>
        <v>2</v>
      </c>
      <c r="W408" s="16">
        <f>IFERROR(__xludf.DUMMYFUNCTION("""COMPUTED_VALUE"""),0.0)</f>
        <v>0</v>
      </c>
      <c r="X408" s="16">
        <f>IFERROR(__xludf.DUMMYFUNCTION("""COMPUTED_VALUE"""),4.0)</f>
        <v>4</v>
      </c>
      <c r="Y408" s="16">
        <f>IFERROR(__xludf.DUMMYFUNCTION("""COMPUTED_VALUE"""),40.8)</f>
        <v>40.8</v>
      </c>
      <c r="Z408" s="16">
        <f>IFERROR(__xludf.DUMMYFUNCTION("""COMPUTED_VALUE"""),21.9)</f>
        <v>21.9</v>
      </c>
      <c r="AA408" s="16">
        <f>IFERROR(__xludf.DUMMYFUNCTION("""COMPUTED_VALUE"""),-2.0)</f>
        <v>-2</v>
      </c>
      <c r="AB408" s="16">
        <f>IFERROR(__xludf.DUMMYFUNCTION("""COMPUTED_VALUE"""),1.0)</f>
        <v>1</v>
      </c>
      <c r="AC408" s="16">
        <f>IFERROR(__xludf.DUMMYFUNCTION("""COMPUTED_VALUE"""),-10.0)</f>
        <v>-10</v>
      </c>
      <c r="AD408" s="16">
        <f>IFERROR(__xludf.DUMMYFUNCTION("""COMPUTED_VALUE"""),5.0)</f>
        <v>5</v>
      </c>
      <c r="AE408" s="16">
        <f>IFERROR(__xludf.DUMMYFUNCTION("""COMPUTED_VALUE"""),40.4)</f>
        <v>40.4</v>
      </c>
      <c r="AF408" s="16">
        <f>IFERROR(__xludf.DUMMYFUNCTION("""COMPUTED_VALUE"""),16.2)</f>
        <v>16.2</v>
      </c>
      <c r="AG408" s="16">
        <f>IFERROR(__xludf.DUMMYFUNCTION("""COMPUTED_VALUE"""),-1.0)</f>
        <v>-1</v>
      </c>
      <c r="AH408" s="16">
        <f>IFERROR(__xludf.DUMMYFUNCTION("""COMPUTED_VALUE"""),1.0)</f>
        <v>1</v>
      </c>
      <c r="AI408" s="16">
        <f>IFERROR(__xludf.DUMMYFUNCTION("""COMPUTED_VALUE"""),-2.0)</f>
        <v>-2</v>
      </c>
      <c r="AJ408" s="16">
        <f>IFERROR(__xludf.DUMMYFUNCTION("""COMPUTED_VALUE"""),2.0)</f>
        <v>2</v>
      </c>
      <c r="AK408" s="16">
        <f>IFERROR(__xludf.DUMMYFUNCTION("""COMPUTED_VALUE"""),14.600000000000001)</f>
        <v>14.6</v>
      </c>
      <c r="AL408" s="16">
        <f>IFERROR(__xludf.DUMMYFUNCTION("""COMPUTED_VALUE"""),6.8)</f>
        <v>6.8</v>
      </c>
      <c r="AM408" s="16">
        <f>IFERROR(__xludf.DUMMYFUNCTION("""COMPUTED_VALUE"""),0.0)</f>
        <v>0</v>
      </c>
      <c r="AN408" s="16">
        <f>IFERROR(__xludf.DUMMYFUNCTION("""COMPUTED_VALUE"""),1.0)</f>
        <v>1</v>
      </c>
      <c r="AO408" s="16">
        <f>IFERROR(__xludf.DUMMYFUNCTION("""COMPUTED_VALUE"""),0.0)</f>
        <v>0</v>
      </c>
      <c r="AP408" s="16">
        <f>IFERROR(__xludf.DUMMYFUNCTION("""COMPUTED_VALUE"""),1.0)</f>
        <v>1</v>
      </c>
      <c r="AQ408" s="16">
        <f>IFERROR(__xludf.DUMMYFUNCTION("""COMPUTED_VALUE"""),27.599999999999998)</f>
        <v>27.6</v>
      </c>
      <c r="AR408" s="16">
        <f>IFERROR(__xludf.DUMMYFUNCTION("""COMPUTED_VALUE"""),16.2)</f>
        <v>16.2</v>
      </c>
      <c r="AS408" s="16">
        <f>IFERROR(__xludf.DUMMYFUNCTION("""COMPUTED_VALUE"""),-1.0)</f>
        <v>-1</v>
      </c>
      <c r="AT408" s="16">
        <f>IFERROR(__xludf.DUMMYFUNCTION("""COMPUTED_VALUE"""),1.0)</f>
        <v>1</v>
      </c>
      <c r="AU408" s="16">
        <f>IFERROR(__xludf.DUMMYFUNCTION("""COMPUTED_VALUE"""),-2.0)</f>
        <v>-2</v>
      </c>
      <c r="AV408" s="16">
        <f>IFERROR(__xludf.DUMMYFUNCTION("""COMPUTED_VALUE"""),2.0)</f>
        <v>2</v>
      </c>
      <c r="AW408" s="16">
        <f>IFERROR(__xludf.DUMMYFUNCTION("""COMPUTED_VALUE"""),3.2)</f>
        <v>3.2</v>
      </c>
      <c r="AX408" s="16">
        <f>IFERROR(__xludf.DUMMYFUNCTION("""COMPUTED_VALUE"""),0.0)</f>
        <v>0</v>
      </c>
      <c r="AY408" s="16">
        <f>IFERROR(__xludf.DUMMYFUNCTION("""COMPUTED_VALUE"""),-1.0)</f>
        <v>-1</v>
      </c>
      <c r="AZ408" s="16">
        <f>IFERROR(__xludf.DUMMYFUNCTION("""COMPUTED_VALUE"""),2.0)</f>
        <v>2</v>
      </c>
      <c r="BA408" s="16">
        <f>IFERROR(__xludf.DUMMYFUNCTION("""COMPUTED_VALUE"""),-5.0)</f>
        <v>-5</v>
      </c>
      <c r="BB408" s="16">
        <f>IFERROR(__xludf.DUMMYFUNCTION("""COMPUTED_VALUE"""),10.0)</f>
        <v>10</v>
      </c>
      <c r="BC408" s="16">
        <f>IFERROR(__xludf.DUMMYFUNCTION("""COMPUTED_VALUE"""),5.0)</f>
        <v>5</v>
      </c>
      <c r="BD408" s="16">
        <f>IFERROR(__xludf.DUMMYFUNCTION("""COMPUTED_VALUE"""),0.0)</f>
        <v>0</v>
      </c>
      <c r="BE408" s="16">
        <f>IFERROR(__xludf.DUMMYFUNCTION("""COMPUTED_VALUE"""),5.0)</f>
        <v>5</v>
      </c>
      <c r="BF408" s="16">
        <f>IFERROR(__xludf.DUMMYFUNCTION("""COMPUTED_VALUE"""),0.0)</f>
        <v>0</v>
      </c>
      <c r="BG408" s="16">
        <f>IFERROR(__xludf.DUMMYFUNCTION("""COMPUTED_VALUE"""),-2.0)</f>
        <v>-2</v>
      </c>
      <c r="BH408" s="16">
        <f>IFERROR(__xludf.DUMMYFUNCTION("""COMPUTED_VALUE"""),2.0)</f>
        <v>2</v>
      </c>
      <c r="BI408" s="16">
        <f>IFERROR(__xludf.DUMMYFUNCTION("""COMPUTED_VALUE"""),-4.0)</f>
        <v>-4</v>
      </c>
      <c r="BJ408" s="16">
        <f>IFERROR(__xludf.DUMMYFUNCTION("""COMPUTED_VALUE"""),4.0)</f>
        <v>4</v>
      </c>
      <c r="BK408" s="16">
        <f>IFERROR(__xludf.DUMMYFUNCTION("""COMPUTED_VALUE"""),5.0)</f>
        <v>5</v>
      </c>
      <c r="BL408" s="16">
        <f>IFERROR(__xludf.DUMMYFUNCTION("""COMPUTED_VALUE"""),5.0)</f>
        <v>5</v>
      </c>
      <c r="BM408" s="16">
        <f>IFERROR(__xludf.DUMMYFUNCTION("""COMPUTED_VALUE"""),0.0)</f>
        <v>0</v>
      </c>
      <c r="BN408" s="16">
        <f>IFERROR(__xludf.DUMMYFUNCTION("""COMPUTED_VALUE"""),0.0)</f>
        <v>0</v>
      </c>
      <c r="BO408" s="16">
        <f>IFERROR(__xludf.DUMMYFUNCTION("""COMPUTED_VALUE"""),0.0)</f>
        <v>0</v>
      </c>
      <c r="BP408" s="16">
        <f>IFERROR(__xludf.DUMMYFUNCTION("""COMPUTED_VALUE"""),0.0)</f>
        <v>0</v>
      </c>
      <c r="BQ408" s="16">
        <f>IFERROR(__xludf.DUMMYFUNCTION("""COMPUTED_VALUE"""),4.0)</f>
        <v>4</v>
      </c>
      <c r="BR408" s="16">
        <f>IFERROR(__xludf.DUMMYFUNCTION("""COMPUTED_VALUE"""),5.0)</f>
        <v>5</v>
      </c>
      <c r="BS408" s="16">
        <f>IFERROR(__xludf.DUMMYFUNCTION("""COMPUTED_VALUE"""),-1.0)</f>
        <v>-1</v>
      </c>
      <c r="BT408" s="16">
        <f>IFERROR(__xludf.DUMMYFUNCTION("""COMPUTED_VALUE"""),0.0)</f>
        <v>0</v>
      </c>
      <c r="BU408" s="16">
        <f>IFERROR(__xludf.DUMMYFUNCTION("""COMPUTED_VALUE"""),-2.0)</f>
        <v>-2</v>
      </c>
      <c r="BV408" s="16">
        <f>IFERROR(__xludf.DUMMYFUNCTION("""COMPUTED_VALUE"""),0.0)</f>
        <v>0</v>
      </c>
      <c r="BW408" s="16">
        <f>IFERROR(__xludf.DUMMYFUNCTION("""COMPUTED_VALUE"""),2.0)</f>
        <v>2</v>
      </c>
      <c r="BX408" s="16">
        <f>IFERROR(__xludf.DUMMYFUNCTION("""COMPUTED_VALUE"""),2.0)</f>
        <v>2</v>
      </c>
      <c r="BY408" s="16" t="str">
        <f>IFERROR(__xludf.DUMMYFUNCTION("""COMPUTED_VALUE"""),"S(5)")</f>
        <v>S(5)</v>
      </c>
      <c r="BZ408" s="16" t="str">
        <f>IFERROR(__xludf.DUMMYFUNCTION("""COMPUTED_VALUE"""),"S(5)")</f>
        <v>S(5)</v>
      </c>
      <c r="CA408" s="16" t="str">
        <f>IFERROR(__xludf.DUMMYFUNCTION("""COMPUTED_VALUE"""),"S(5)")</f>
        <v>S(5)</v>
      </c>
      <c r="CB408" s="16"/>
      <c r="CC408" s="16"/>
      <c r="CD408" s="16">
        <f>IFERROR(__xludf.DUMMYFUNCTION("""COMPUTED_VALUE"""),5.0)</f>
        <v>5</v>
      </c>
      <c r="CE408" s="16"/>
      <c r="CF408" s="16"/>
      <c r="CG408" s="16" t="str">
        <f>IFERROR(__xludf.DUMMYFUNCTION("""COMPUTED_VALUE"""),"4-0")</f>
        <v>4-0</v>
      </c>
      <c r="CH408" s="16">
        <f>IFERROR(__xludf.DUMMYFUNCTION("""COMPUTED_VALUE"""),4.0)</f>
        <v>4</v>
      </c>
      <c r="CI408" s="16">
        <f>IFERROR(__xludf.DUMMYFUNCTION("""COMPUTED_VALUE"""),0.0)</f>
        <v>0</v>
      </c>
      <c r="CJ408" s="16">
        <f>IFERROR(__xludf.DUMMYFUNCTION("""COMPUTED_VALUE"""),0.0)</f>
        <v>0</v>
      </c>
      <c r="CK408" s="16">
        <f>IFERROR(__xludf.DUMMYFUNCTION("""COMPUTED_VALUE"""),6.0)</f>
        <v>6</v>
      </c>
      <c r="CL408" s="16" t="str">
        <f>IFERROR(__xludf.DUMMYFUNCTION("""COMPUTED_VALUE"""),"1WR-C")</f>
        <v>1WR-C</v>
      </c>
      <c r="CM408" s="16" t="str">
        <f>IFERROR(__xludf.DUMMYFUNCTION("""COMPUTED_VALUE"""),"E")</f>
        <v>E</v>
      </c>
      <c r="CN408" s="16">
        <f>IFERROR(__xludf.DUMMYFUNCTION("""COMPUTED_VALUE"""),10.0)</f>
        <v>10</v>
      </c>
      <c r="CO408" s="16" t="str">
        <f>IFERROR(__xludf.DUMMYFUNCTION("""COMPUTED_VALUE"""),"C")</f>
        <v>C</v>
      </c>
      <c r="CP408" s="16" t="str">
        <f>IFERROR(__xludf.DUMMYFUNCTION("""COMPUTED_VALUE"""),"6p20")</f>
        <v>6p20</v>
      </c>
      <c r="CQ408" s="16">
        <f>IFERROR(__xludf.DUMMYFUNCTION("""COMPUTED_VALUE"""),-37.0)</f>
        <v>-37</v>
      </c>
      <c r="CR408" s="16">
        <f>IFERROR(__xludf.DUMMYFUNCTION("""COMPUTED_VALUE"""),22.0)</f>
        <v>22</v>
      </c>
      <c r="CS408" s="16">
        <f>IFERROR(__xludf.DUMMYFUNCTION("""COMPUTED_VALUE"""),-15.0)</f>
        <v>-15</v>
      </c>
      <c r="CT408" s="16">
        <f>IFERROR(__xludf.DUMMYFUNCTION("""COMPUTED_VALUE"""),-37.0)</f>
        <v>-37</v>
      </c>
      <c r="CU408" s="16">
        <f>IFERROR(__xludf.DUMMYFUNCTION("""COMPUTED_VALUE"""),22.0)</f>
        <v>22</v>
      </c>
      <c r="CV408" s="179">
        <f>IFERROR(__xludf.DUMMYFUNCTION("""COMPUTED_VALUE"""),-15.333333333333332)</f>
        <v>-15.33333333</v>
      </c>
      <c r="CW408" s="179">
        <f>IFERROR(__xludf.DUMMYFUNCTION("""COMPUTED_VALUE"""),-1.0)</f>
        <v>-1</v>
      </c>
      <c r="CX408" s="179">
        <f>IFERROR(__xludf.DUMMYFUNCTION("""COMPUTED_VALUE"""),3.0)</f>
        <v>3</v>
      </c>
      <c r="CY408" s="16" t="str">
        <f>IFERROR(__xludf.DUMMYFUNCTION("""COMPUTED_VALUE"""),"SP")</f>
        <v>SP</v>
      </c>
      <c r="CZ408" s="16"/>
      <c r="DA408" s="16"/>
      <c r="DB408" s="16"/>
      <c r="DC408" s="16"/>
      <c r="DD408" s="16"/>
      <c r="DE408" s="16"/>
      <c r="DF408" s="16"/>
      <c r="DG408" s="16"/>
      <c r="DH408" s="16"/>
      <c r="DI408" s="16"/>
      <c r="DJ408" s="16"/>
      <c r="DK408" s="16"/>
    </row>
    <row r="409">
      <c r="A409" s="16">
        <f>IFERROR(__xludf.DUMMYFUNCTION("""COMPUTED_VALUE"""),12647.0)</f>
        <v>12647</v>
      </c>
      <c r="B409" s="16" t="str">
        <f>IFERROR(__xludf.DUMMYFUNCTION("""COMPUTED_VALUE"""),"Caleb Thielbar")</f>
        <v>Caleb Thielbar</v>
      </c>
      <c r="C409" s="153">
        <f>IFERROR(__xludf.DUMMYFUNCTION("""COMPUTED_VALUE"""),0.0)</f>
        <v>0</v>
      </c>
      <c r="D409" s="16"/>
      <c r="E409" s="16" t="str">
        <f>IFERROR(__xludf.DUMMYFUNCTION("""COMPUTED_VALUE"""),"L")</f>
        <v>L</v>
      </c>
      <c r="F409" s="16">
        <f>IFERROR(__xludf.DUMMYFUNCTION("""COMPUTED_VALUE"""),47.0)</f>
        <v>47</v>
      </c>
      <c r="G409" s="16">
        <f>IFERROR(__xludf.DUMMYFUNCTION("""COMPUTED_VALUE"""),34.0)</f>
        <v>34</v>
      </c>
      <c r="H409" s="16">
        <f>IFERROR(__xludf.DUMMYFUNCTION("""COMPUTED_VALUE"""),25.0)</f>
        <v>25</v>
      </c>
      <c r="I409" s="16">
        <f>IFERROR(__xludf.DUMMYFUNCTION("""COMPUTED_VALUE"""),1.0)</f>
        <v>1</v>
      </c>
      <c r="J409" s="16">
        <f>IFERROR(__xludf.DUMMYFUNCTION("""COMPUTED_VALUE"""),0.0)</f>
        <v>0</v>
      </c>
      <c r="K409" s="16">
        <f>IFERROR(__xludf.DUMMYFUNCTION("""COMPUTED_VALUE"""),3.0)</f>
        <v>3</v>
      </c>
      <c r="L409" s="16">
        <f>IFERROR(__xludf.DUMMYFUNCTION("""COMPUTED_VALUE"""),0.0)</f>
        <v>0</v>
      </c>
      <c r="M409" s="16">
        <f>IFERROR(__xludf.DUMMYFUNCTION("""COMPUTED_VALUE"""),14.0)</f>
        <v>14</v>
      </c>
      <c r="N409" s="16">
        <f>IFERROR(__xludf.DUMMYFUNCTION("""COMPUTED_VALUE"""),14.0)</f>
        <v>14</v>
      </c>
      <c r="O409" s="16">
        <f>IFERROR(__xludf.DUMMYFUNCTION("""COMPUTED_VALUE"""),-2.0)</f>
        <v>-2</v>
      </c>
      <c r="P409" s="16">
        <f>IFERROR(__xludf.DUMMYFUNCTION("""COMPUTED_VALUE"""),-2.0)</f>
        <v>-2</v>
      </c>
      <c r="Q409" s="16">
        <f>IFERROR(__xludf.DUMMYFUNCTION("""COMPUTED_VALUE"""),-2.0)</f>
        <v>-2</v>
      </c>
      <c r="R409" s="16">
        <f>IFERROR(__xludf.DUMMYFUNCTION("""COMPUTED_VALUE"""),-2.0)</f>
        <v>-2</v>
      </c>
      <c r="S409" s="16">
        <f>IFERROR(__xludf.DUMMYFUNCTION("""COMPUTED_VALUE"""),15.6)</f>
        <v>15.6</v>
      </c>
      <c r="T409" s="16">
        <f>IFERROR(__xludf.DUMMYFUNCTION("""COMPUTED_VALUE"""),19.8)</f>
        <v>19.8</v>
      </c>
      <c r="U409" s="16">
        <f>IFERROR(__xludf.DUMMYFUNCTION("""COMPUTED_VALUE"""),0.0)</f>
        <v>0</v>
      </c>
      <c r="V409" s="16">
        <f>IFERROR(__xludf.DUMMYFUNCTION("""COMPUTED_VALUE"""),-1.0)</f>
        <v>-1</v>
      </c>
      <c r="W409" s="16">
        <f>IFERROR(__xludf.DUMMYFUNCTION("""COMPUTED_VALUE"""),0.0)</f>
        <v>0</v>
      </c>
      <c r="X409" s="16">
        <f>IFERROR(__xludf.DUMMYFUNCTION("""COMPUTED_VALUE"""),-2.0)</f>
        <v>-2</v>
      </c>
      <c r="Y409" s="16">
        <f>IFERROR(__xludf.DUMMYFUNCTION("""COMPUTED_VALUE"""),29.6)</f>
        <v>29.6</v>
      </c>
      <c r="Z409" s="16">
        <f>IFERROR(__xludf.DUMMYFUNCTION("""COMPUTED_VALUE"""),33.8)</f>
        <v>33.8</v>
      </c>
      <c r="AA409" s="16">
        <f>IFERROR(__xludf.DUMMYFUNCTION("""COMPUTED_VALUE"""),-1.0)</f>
        <v>-1</v>
      </c>
      <c r="AB409" s="16">
        <f>IFERROR(__xludf.DUMMYFUNCTION("""COMPUTED_VALUE"""),-1.0)</f>
        <v>-1</v>
      </c>
      <c r="AC409" s="16">
        <f>IFERROR(__xludf.DUMMYFUNCTION("""COMPUTED_VALUE"""),-5.0)</f>
        <v>-5</v>
      </c>
      <c r="AD409" s="16">
        <f>IFERROR(__xludf.DUMMYFUNCTION("""COMPUTED_VALUE"""),-5.0)</f>
        <v>-5</v>
      </c>
      <c r="AE409" s="16">
        <f>IFERROR(__xludf.DUMMYFUNCTION("""COMPUTED_VALUE"""),22.4)</f>
        <v>22.4</v>
      </c>
      <c r="AF409" s="16">
        <f>IFERROR(__xludf.DUMMYFUNCTION("""COMPUTED_VALUE"""),33.5)</f>
        <v>33.5</v>
      </c>
      <c r="AG409" s="16">
        <f>IFERROR(__xludf.DUMMYFUNCTION("""COMPUTED_VALUE"""),1.0)</f>
        <v>1</v>
      </c>
      <c r="AH409" s="16">
        <f>IFERROR(__xludf.DUMMYFUNCTION("""COMPUTED_VALUE"""),-1.0)</f>
        <v>-1</v>
      </c>
      <c r="AI409" s="16">
        <f>IFERROR(__xludf.DUMMYFUNCTION("""COMPUTED_VALUE"""),2.0)</f>
        <v>2</v>
      </c>
      <c r="AJ409" s="16">
        <f>IFERROR(__xludf.DUMMYFUNCTION("""COMPUTED_VALUE"""),-2.0)</f>
        <v>-2</v>
      </c>
      <c r="AK409" s="16">
        <f>IFERROR(__xludf.DUMMYFUNCTION("""COMPUTED_VALUE"""),15.6)</f>
        <v>15.6</v>
      </c>
      <c r="AL409" s="16">
        <f>IFERROR(__xludf.DUMMYFUNCTION("""COMPUTED_VALUE"""),16.2)</f>
        <v>16.2</v>
      </c>
      <c r="AM409" s="16">
        <f>IFERROR(__xludf.DUMMYFUNCTION("""COMPUTED_VALUE"""),0.0)</f>
        <v>0</v>
      </c>
      <c r="AN409" s="16">
        <f>IFERROR(__xludf.DUMMYFUNCTION("""COMPUTED_VALUE"""),0.0)</f>
        <v>0</v>
      </c>
      <c r="AO409" s="16">
        <f>IFERROR(__xludf.DUMMYFUNCTION("""COMPUTED_VALUE"""),0.0)</f>
        <v>0</v>
      </c>
      <c r="AP409" s="16">
        <f>IFERROR(__xludf.DUMMYFUNCTION("""COMPUTED_VALUE"""),0.0)</f>
        <v>0</v>
      </c>
      <c r="AQ409" s="16">
        <f>IFERROR(__xludf.DUMMYFUNCTION("""COMPUTED_VALUE"""),22.4)</f>
        <v>22.4</v>
      </c>
      <c r="AR409" s="16">
        <f>IFERROR(__xludf.DUMMYFUNCTION("""COMPUTED_VALUE"""),19.1)</f>
        <v>19.1</v>
      </c>
      <c r="AS409" s="16">
        <f>IFERROR(__xludf.DUMMYFUNCTION("""COMPUTED_VALUE"""),0.0)</f>
        <v>0</v>
      </c>
      <c r="AT409" s="16">
        <f>IFERROR(__xludf.DUMMYFUNCTION("""COMPUTED_VALUE"""),0.0)</f>
        <v>0</v>
      </c>
      <c r="AU409" s="16">
        <f>IFERROR(__xludf.DUMMYFUNCTION("""COMPUTED_VALUE"""),0.0)</f>
        <v>0</v>
      </c>
      <c r="AV409" s="16">
        <f>IFERROR(__xludf.DUMMYFUNCTION("""COMPUTED_VALUE"""),0.0)</f>
        <v>0</v>
      </c>
      <c r="AW409" s="16">
        <f>IFERROR(__xludf.DUMMYFUNCTION("""COMPUTED_VALUE"""),0.0)</f>
        <v>0</v>
      </c>
      <c r="AX409" s="16">
        <f>IFERROR(__xludf.DUMMYFUNCTION("""COMPUTED_VALUE"""),3.6)</f>
        <v>3.6</v>
      </c>
      <c r="AY409" s="16">
        <f>IFERROR(__xludf.DUMMYFUNCTION("""COMPUTED_VALUE"""),2.0)</f>
        <v>2</v>
      </c>
      <c r="AZ409" s="16">
        <f>IFERROR(__xludf.DUMMYFUNCTION("""COMPUTED_VALUE"""),-2.0)</f>
        <v>-2</v>
      </c>
      <c r="BA409" s="16">
        <f>IFERROR(__xludf.DUMMYFUNCTION("""COMPUTED_VALUE"""),10.0)</f>
        <v>10</v>
      </c>
      <c r="BB409" s="16">
        <f>IFERROR(__xludf.DUMMYFUNCTION("""COMPUTED_VALUE"""),-10.0)</f>
        <v>-10</v>
      </c>
      <c r="BC409" s="16">
        <f>IFERROR(__xludf.DUMMYFUNCTION("""COMPUTED_VALUE"""),0.0)</f>
        <v>0</v>
      </c>
      <c r="BD409" s="16">
        <f>IFERROR(__xludf.DUMMYFUNCTION("""COMPUTED_VALUE"""),7.0)</f>
        <v>7</v>
      </c>
      <c r="BE409" s="16">
        <f>IFERROR(__xludf.DUMMYFUNCTION("""COMPUTED_VALUE"""),0.0)</f>
        <v>0</v>
      </c>
      <c r="BF409" s="16">
        <f>IFERROR(__xludf.DUMMYFUNCTION("""COMPUTED_VALUE"""),7.0)</f>
        <v>7</v>
      </c>
      <c r="BG409" s="16">
        <f>IFERROR(__xludf.DUMMYFUNCTION("""COMPUTED_VALUE"""),3.0)</f>
        <v>3</v>
      </c>
      <c r="BH409" s="16">
        <f>IFERROR(__xludf.DUMMYFUNCTION("""COMPUTED_VALUE"""),-3.0)</f>
        <v>-3</v>
      </c>
      <c r="BI409" s="16">
        <f>IFERROR(__xludf.DUMMYFUNCTION("""COMPUTED_VALUE"""),6.0)</f>
        <v>6</v>
      </c>
      <c r="BJ409" s="16">
        <f>IFERROR(__xludf.DUMMYFUNCTION("""COMPUTED_VALUE"""),-6.0)</f>
        <v>-6</v>
      </c>
      <c r="BK409" s="16">
        <f>IFERROR(__xludf.DUMMYFUNCTION("""COMPUTED_VALUE"""),5.0)</f>
        <v>5</v>
      </c>
      <c r="BL409" s="16">
        <f>IFERROR(__xludf.DUMMYFUNCTION("""COMPUTED_VALUE"""),5.0)</f>
        <v>5</v>
      </c>
      <c r="BM409" s="16">
        <f>IFERROR(__xludf.DUMMYFUNCTION("""COMPUTED_VALUE"""),0.0)</f>
        <v>0</v>
      </c>
      <c r="BN409" s="16">
        <f>IFERROR(__xludf.DUMMYFUNCTION("""COMPUTED_VALUE"""),0.0)</f>
        <v>0</v>
      </c>
      <c r="BO409" s="16">
        <f>IFERROR(__xludf.DUMMYFUNCTION("""COMPUTED_VALUE"""),0.0)</f>
        <v>0</v>
      </c>
      <c r="BP409" s="16">
        <f>IFERROR(__xludf.DUMMYFUNCTION("""COMPUTED_VALUE"""),0.0)</f>
        <v>0</v>
      </c>
      <c r="BQ409" s="16">
        <f>IFERROR(__xludf.DUMMYFUNCTION("""COMPUTED_VALUE"""),0.0)</f>
        <v>0</v>
      </c>
      <c r="BR409" s="16">
        <f>IFERROR(__xludf.DUMMYFUNCTION("""COMPUTED_VALUE"""),0.0)</f>
        <v>0</v>
      </c>
      <c r="BS409" s="16">
        <f>IFERROR(__xludf.DUMMYFUNCTION("""COMPUTED_VALUE"""),-3.0)</f>
        <v>-3</v>
      </c>
      <c r="BT409" s="16">
        <f>IFERROR(__xludf.DUMMYFUNCTION("""COMPUTED_VALUE"""),-3.0)</f>
        <v>-3</v>
      </c>
      <c r="BU409" s="16">
        <f>IFERROR(__xludf.DUMMYFUNCTION("""COMPUTED_VALUE"""),-6.0)</f>
        <v>-6</v>
      </c>
      <c r="BV409" s="16">
        <f>IFERROR(__xludf.DUMMYFUNCTION("""COMPUTED_VALUE"""),-6.0)</f>
        <v>-6</v>
      </c>
      <c r="BW409" s="16">
        <f>IFERROR(__xludf.DUMMYFUNCTION("""COMPUTED_VALUE"""),4.0)</f>
        <v>4</v>
      </c>
      <c r="BX409" s="16">
        <f>IFERROR(__xludf.DUMMYFUNCTION("""COMPUTED_VALUE"""),4.0)</f>
        <v>4</v>
      </c>
      <c r="BY409" s="16" t="str">
        <f>IFERROR(__xludf.DUMMYFUNCTION("""COMPUTED_VALUE"""),"R(1) C(2)")</f>
        <v>R(1) C(2)</v>
      </c>
      <c r="BZ409" s="16" t="str">
        <f>IFERROR(__xludf.DUMMYFUNCTION("""COMPUTED_VALUE"""),"R(1) C(2)")</f>
        <v>R(1) C(2)</v>
      </c>
      <c r="CA409" s="16" t="str">
        <f>IFERROR(__xludf.DUMMYFUNCTION("""COMPUTED_VALUE"""),"R(1)")</f>
        <v>R(1)</v>
      </c>
      <c r="CB409" s="16" t="str">
        <f>IFERROR(__xludf.DUMMYFUNCTION("""COMPUTED_VALUE"""),"C(2)")</f>
        <v>C(2)</v>
      </c>
      <c r="CC409" s="16"/>
      <c r="CD409" s="16"/>
      <c r="CE409" s="16">
        <f>IFERROR(__xludf.DUMMYFUNCTION("""COMPUTED_VALUE"""),1.0)</f>
        <v>1</v>
      </c>
      <c r="CF409" s="16">
        <f>IFERROR(__xludf.DUMMYFUNCTION("""COMPUTED_VALUE"""),2.0)</f>
        <v>2</v>
      </c>
      <c r="CG409" s="16" t="str">
        <f>IFERROR(__xludf.DUMMYFUNCTION("""COMPUTED_VALUE"""),"3-30")</f>
        <v>3-30</v>
      </c>
      <c r="CH409" s="16">
        <f>IFERROR(__xludf.DUMMYFUNCTION("""COMPUTED_VALUE"""),3.0)</f>
        <v>3</v>
      </c>
      <c r="CI409" s="16">
        <f>IFERROR(__xludf.DUMMYFUNCTION("""COMPUTED_VALUE"""),30.0)</f>
        <v>30</v>
      </c>
      <c r="CJ409" s="16">
        <f>IFERROR(__xludf.DUMMYFUNCTION("""COMPUTED_VALUE"""),0.0)</f>
        <v>0</v>
      </c>
      <c r="CK409" s="16">
        <f>IFERROR(__xludf.DUMMYFUNCTION("""COMPUTED_VALUE"""),8.0)</f>
        <v>8</v>
      </c>
      <c r="CL409" s="16" t="str">
        <f>IFERROR(__xludf.DUMMYFUNCTION("""COMPUTED_VALUE"""),"1WR-C")</f>
        <v>1WR-C</v>
      </c>
      <c r="CM409" s="16" t="str">
        <f>IFERROR(__xludf.DUMMYFUNCTION("""COMPUTED_VALUE"""),"E")</f>
        <v>E</v>
      </c>
      <c r="CN409" s="16">
        <f>IFERROR(__xludf.DUMMYFUNCTION("""COMPUTED_VALUE"""),10.0)</f>
        <v>10</v>
      </c>
      <c r="CO409" s="16" t="str">
        <f>IFERROR(__xludf.DUMMYFUNCTION("""COMPUTED_VALUE"""),"C")</f>
        <v>C</v>
      </c>
      <c r="CP409" s="16" t="str">
        <f>IFERROR(__xludf.DUMMYFUNCTION("""COMPUTED_VALUE"""),"2p40")</f>
        <v>2p40</v>
      </c>
      <c r="CQ409" s="16">
        <f>IFERROR(__xludf.DUMMYFUNCTION("""COMPUTED_VALUE"""),8.0)</f>
        <v>8</v>
      </c>
      <c r="CR409" s="16">
        <f>IFERROR(__xludf.DUMMYFUNCTION("""COMPUTED_VALUE"""),-33.0)</f>
        <v>-33</v>
      </c>
      <c r="CS409" s="16">
        <f>IFERROR(__xludf.DUMMYFUNCTION("""COMPUTED_VALUE"""),-25.0)</f>
        <v>-25</v>
      </c>
      <c r="CT409" s="16">
        <f>IFERROR(__xludf.DUMMYFUNCTION("""COMPUTED_VALUE"""),8.0)</f>
        <v>8</v>
      </c>
      <c r="CU409" s="16">
        <f>IFERROR(__xludf.DUMMYFUNCTION("""COMPUTED_VALUE"""),-33.0)</f>
        <v>-33</v>
      </c>
      <c r="CV409" s="179">
        <f>IFERROR(__xludf.DUMMYFUNCTION("""COMPUTED_VALUE"""),-15.333333333333332)</f>
        <v>-15.33333333</v>
      </c>
      <c r="CW409" s="179">
        <f>IFERROR(__xludf.DUMMYFUNCTION("""COMPUTED_VALUE"""),3.0)</f>
        <v>3</v>
      </c>
      <c r="CX409" s="179">
        <f>IFERROR(__xludf.DUMMYFUNCTION("""COMPUTED_VALUE"""),1.0)</f>
        <v>1</v>
      </c>
      <c r="CY409" s="16" t="str">
        <f>IFERROR(__xludf.DUMMYFUNCTION("""COMPUTED_VALUE"""),"RP")</f>
        <v>RP</v>
      </c>
      <c r="CZ409" s="16" t="str">
        <f>IFERROR(__xludf.DUMMYFUNCTION("""COMPUTED_VALUE"""),"CP")</f>
        <v>CP</v>
      </c>
      <c r="DA409" s="16"/>
      <c r="DB409" s="16"/>
      <c r="DC409" s="16"/>
      <c r="DD409" s="16"/>
      <c r="DE409" s="16"/>
      <c r="DF409" s="16"/>
      <c r="DG409" s="16"/>
      <c r="DH409" s="16"/>
      <c r="DI409" s="16"/>
      <c r="DJ409" s="16"/>
      <c r="DK409" s="16"/>
    </row>
    <row r="410">
      <c r="A410" s="16">
        <f>IFERROR(__xludf.DUMMYFUNCTION("""COMPUTED_VALUE"""),12704.0)</f>
        <v>12704</v>
      </c>
      <c r="B410" s="16" t="str">
        <f>IFERROR(__xludf.DUMMYFUNCTION("""COMPUTED_VALUE"""),"Colten Brewer")</f>
        <v>Colten Brewer</v>
      </c>
      <c r="C410" s="153">
        <f>IFERROR(__xludf.DUMMYFUNCTION("""COMPUTED_VALUE"""),0.0)</f>
        <v>0</v>
      </c>
      <c r="D410" s="16"/>
      <c r="E410" s="16" t="str">
        <f>IFERROR(__xludf.DUMMYFUNCTION("""COMPUTED_VALUE"""),"R")</f>
        <v>R</v>
      </c>
      <c r="F410" s="16">
        <f>IFERROR(__xludf.DUMMYFUNCTION("""COMPUTED_VALUE"""),21.0)</f>
        <v>21</v>
      </c>
      <c r="G410" s="16">
        <f>IFERROR(__xludf.DUMMYFUNCTION("""COMPUTED_VALUE"""),49.0)</f>
        <v>49</v>
      </c>
      <c r="H410" s="16">
        <f>IFERROR(__xludf.DUMMYFUNCTION("""COMPUTED_VALUE"""),7.0)</f>
        <v>7</v>
      </c>
      <c r="I410" s="16">
        <f>IFERROR(__xludf.DUMMYFUNCTION("""COMPUTED_VALUE"""),2.0)</f>
        <v>2</v>
      </c>
      <c r="J410" s="16">
        <f>IFERROR(__xludf.DUMMYFUNCTION("""COMPUTED_VALUE"""),-2.0)</f>
        <v>-2</v>
      </c>
      <c r="K410" s="16">
        <f>IFERROR(__xludf.DUMMYFUNCTION("""COMPUTED_VALUE"""),6.0)</f>
        <v>6</v>
      </c>
      <c r="L410" s="16">
        <f>IFERROR(__xludf.DUMMYFUNCTION("""COMPUTED_VALUE"""),-6.0)</f>
        <v>-6</v>
      </c>
      <c r="M410" s="16">
        <f>IFERROR(__xludf.DUMMYFUNCTION("""COMPUTED_VALUE"""),10.0)</f>
        <v>10</v>
      </c>
      <c r="N410" s="16">
        <f>IFERROR(__xludf.DUMMYFUNCTION("""COMPUTED_VALUE"""),15.0)</f>
        <v>15</v>
      </c>
      <c r="O410" s="16">
        <f>IFERROR(__xludf.DUMMYFUNCTION("""COMPUTED_VALUE"""),0.0)</f>
        <v>0</v>
      </c>
      <c r="P410" s="16">
        <f>IFERROR(__xludf.DUMMYFUNCTION("""COMPUTED_VALUE"""),-3.0)</f>
        <v>-3</v>
      </c>
      <c r="Q410" s="16">
        <f>IFERROR(__xludf.DUMMYFUNCTION("""COMPUTED_VALUE"""),0.0)</f>
        <v>0</v>
      </c>
      <c r="R410" s="16">
        <f>IFERROR(__xludf.DUMMYFUNCTION("""COMPUTED_VALUE"""),-3.0)</f>
        <v>-3</v>
      </c>
      <c r="S410" s="16">
        <f>IFERROR(__xludf.DUMMYFUNCTION("""COMPUTED_VALUE"""),13.4)</f>
        <v>13.4</v>
      </c>
      <c r="T410" s="16">
        <f>IFERROR(__xludf.DUMMYFUNCTION("""COMPUTED_VALUE"""),40.4)</f>
        <v>40.4</v>
      </c>
      <c r="U410" s="16">
        <f>IFERROR(__xludf.DUMMYFUNCTION("""COMPUTED_VALUE"""),0.0)</f>
        <v>0</v>
      </c>
      <c r="V410" s="16">
        <f>IFERROR(__xludf.DUMMYFUNCTION("""COMPUTED_VALUE"""),-3.0)</f>
        <v>-3</v>
      </c>
      <c r="W410" s="16">
        <f>IFERROR(__xludf.DUMMYFUNCTION("""COMPUTED_VALUE"""),0.0)</f>
        <v>0</v>
      </c>
      <c r="X410" s="16">
        <f>IFERROR(__xludf.DUMMYFUNCTION("""COMPUTED_VALUE"""),-6.0)</f>
        <v>-6</v>
      </c>
      <c r="Y410" s="16">
        <f>IFERROR(__xludf.DUMMYFUNCTION("""COMPUTED_VALUE"""),23.4)</f>
        <v>23.4</v>
      </c>
      <c r="Z410" s="16">
        <f>IFERROR(__xludf.DUMMYFUNCTION("""COMPUTED_VALUE"""),55.4)</f>
        <v>55.4</v>
      </c>
      <c r="AA410" s="16">
        <f>IFERROR(__xludf.DUMMYFUNCTION("""COMPUTED_VALUE"""),0.0)</f>
        <v>0</v>
      </c>
      <c r="AB410" s="16">
        <f>IFERROR(__xludf.DUMMYFUNCTION("""COMPUTED_VALUE"""),-3.0)</f>
        <v>-3</v>
      </c>
      <c r="AC410" s="16">
        <f>IFERROR(__xludf.DUMMYFUNCTION("""COMPUTED_VALUE"""),0.0)</f>
        <v>0</v>
      </c>
      <c r="AD410" s="16">
        <f>IFERROR(__xludf.DUMMYFUNCTION("""COMPUTED_VALUE"""),-15.0)</f>
        <v>-15</v>
      </c>
      <c r="AE410" s="16">
        <f>IFERROR(__xludf.DUMMYFUNCTION("""COMPUTED_VALUE"""),18.6)</f>
        <v>18.6</v>
      </c>
      <c r="AF410" s="16">
        <f>IFERROR(__xludf.DUMMYFUNCTION("""COMPUTED_VALUE"""),62.0)</f>
        <v>62</v>
      </c>
      <c r="AG410" s="16">
        <f>IFERROR(__xludf.DUMMYFUNCTION("""COMPUTED_VALUE"""),1.0)</f>
        <v>1</v>
      </c>
      <c r="AH410" s="16">
        <f>IFERROR(__xludf.DUMMYFUNCTION("""COMPUTED_VALUE"""),-3.0)</f>
        <v>-3</v>
      </c>
      <c r="AI410" s="16">
        <f>IFERROR(__xludf.DUMMYFUNCTION("""COMPUTED_VALUE"""),2.0)</f>
        <v>2</v>
      </c>
      <c r="AJ410" s="16">
        <f>IFERROR(__xludf.DUMMYFUNCTION("""COMPUTED_VALUE"""),-6.0)</f>
        <v>-6</v>
      </c>
      <c r="AK410" s="16">
        <f>IFERROR(__xludf.DUMMYFUNCTION("""COMPUTED_VALUE"""),13.4)</f>
        <v>13.4</v>
      </c>
      <c r="AL410" s="16">
        <f>IFERROR(__xludf.DUMMYFUNCTION("""COMPUTED_VALUE"""),40.4)</f>
        <v>40.4</v>
      </c>
      <c r="AM410" s="16">
        <f>IFERROR(__xludf.DUMMYFUNCTION("""COMPUTED_VALUE"""),0.0)</f>
        <v>0</v>
      </c>
      <c r="AN410" s="16">
        <f>IFERROR(__xludf.DUMMYFUNCTION("""COMPUTED_VALUE"""),-3.0)</f>
        <v>-3</v>
      </c>
      <c r="AO410" s="16">
        <f>IFERROR(__xludf.DUMMYFUNCTION("""COMPUTED_VALUE"""),0.0)</f>
        <v>0</v>
      </c>
      <c r="AP410" s="16">
        <f>IFERROR(__xludf.DUMMYFUNCTION("""COMPUTED_VALUE"""),-3.0)</f>
        <v>-3</v>
      </c>
      <c r="AQ410" s="16">
        <f>IFERROR(__xludf.DUMMYFUNCTION("""COMPUTED_VALUE"""),18.6)</f>
        <v>18.6</v>
      </c>
      <c r="AR410" s="16">
        <f>IFERROR(__xludf.DUMMYFUNCTION("""COMPUTED_VALUE"""),62.0)</f>
        <v>62</v>
      </c>
      <c r="AS410" s="16">
        <f>IFERROR(__xludf.DUMMYFUNCTION("""COMPUTED_VALUE"""),0.0)</f>
        <v>0</v>
      </c>
      <c r="AT410" s="16">
        <f>IFERROR(__xludf.DUMMYFUNCTION("""COMPUTED_VALUE"""),-3.0)</f>
        <v>-3</v>
      </c>
      <c r="AU410" s="16">
        <f>IFERROR(__xludf.DUMMYFUNCTION("""COMPUTED_VALUE"""),0.0)</f>
        <v>0</v>
      </c>
      <c r="AV410" s="16">
        <f>IFERROR(__xludf.DUMMYFUNCTION("""COMPUTED_VALUE"""),-6.0)</f>
        <v>-6</v>
      </c>
      <c r="AW410" s="16">
        <f>IFERROR(__xludf.DUMMYFUNCTION("""COMPUTED_VALUE"""),0.0)</f>
        <v>0</v>
      </c>
      <c r="AX410" s="16">
        <f>IFERROR(__xludf.DUMMYFUNCTION("""COMPUTED_VALUE"""),0.0)</f>
        <v>0</v>
      </c>
      <c r="AY410" s="16">
        <f>IFERROR(__xludf.DUMMYFUNCTION("""COMPUTED_VALUE"""),2.0)</f>
        <v>2</v>
      </c>
      <c r="AZ410" s="16">
        <f>IFERROR(__xludf.DUMMYFUNCTION("""COMPUTED_VALUE"""),2.0)</f>
        <v>2</v>
      </c>
      <c r="BA410" s="16">
        <f>IFERROR(__xludf.DUMMYFUNCTION("""COMPUTED_VALUE"""),10.0)</f>
        <v>10</v>
      </c>
      <c r="BB410" s="16">
        <f>IFERROR(__xludf.DUMMYFUNCTION("""COMPUTED_VALUE"""),10.0)</f>
        <v>10</v>
      </c>
      <c r="BC410" s="16">
        <f>IFERROR(__xludf.DUMMYFUNCTION("""COMPUTED_VALUE"""),0.0)</f>
        <v>0</v>
      </c>
      <c r="BD410" s="16">
        <f>IFERROR(__xludf.DUMMYFUNCTION("""COMPUTED_VALUE"""),0.0)</f>
        <v>0</v>
      </c>
      <c r="BE410" s="16">
        <f>IFERROR(__xludf.DUMMYFUNCTION("""COMPUTED_VALUE"""),0.0)</f>
        <v>0</v>
      </c>
      <c r="BF410" s="16">
        <f>IFERROR(__xludf.DUMMYFUNCTION("""COMPUTED_VALUE"""),0.0)</f>
        <v>0</v>
      </c>
      <c r="BG410" s="16">
        <f>IFERROR(__xludf.DUMMYFUNCTION("""COMPUTED_VALUE"""),3.0)</f>
        <v>3</v>
      </c>
      <c r="BH410" s="16">
        <f>IFERROR(__xludf.DUMMYFUNCTION("""COMPUTED_VALUE"""),2.0)</f>
        <v>2</v>
      </c>
      <c r="BI410" s="16">
        <f>IFERROR(__xludf.DUMMYFUNCTION("""COMPUTED_VALUE"""),6.0)</f>
        <v>6</v>
      </c>
      <c r="BJ410" s="16">
        <f>IFERROR(__xludf.DUMMYFUNCTION("""COMPUTED_VALUE"""),4.0)</f>
        <v>4</v>
      </c>
      <c r="BK410" s="16">
        <f>IFERROR(__xludf.DUMMYFUNCTION("""COMPUTED_VALUE"""),5.0)</f>
        <v>5</v>
      </c>
      <c r="BL410" s="16">
        <f>IFERROR(__xludf.DUMMYFUNCTION("""COMPUTED_VALUE"""),5.0)</f>
        <v>5</v>
      </c>
      <c r="BM410" s="16">
        <f>IFERROR(__xludf.DUMMYFUNCTION("""COMPUTED_VALUE"""),0.0)</f>
        <v>0</v>
      </c>
      <c r="BN410" s="16">
        <f>IFERROR(__xludf.DUMMYFUNCTION("""COMPUTED_VALUE"""),0.0)</f>
        <v>0</v>
      </c>
      <c r="BO410" s="16">
        <f>IFERROR(__xludf.DUMMYFUNCTION("""COMPUTED_VALUE"""),0.0)</f>
        <v>0</v>
      </c>
      <c r="BP410" s="16">
        <f>IFERROR(__xludf.DUMMYFUNCTION("""COMPUTED_VALUE"""),0.0)</f>
        <v>0</v>
      </c>
      <c r="BQ410" s="16">
        <f>IFERROR(__xludf.DUMMYFUNCTION("""COMPUTED_VALUE"""),0.0)</f>
        <v>0</v>
      </c>
      <c r="BR410" s="16">
        <f>IFERROR(__xludf.DUMMYFUNCTION("""COMPUTED_VALUE"""),0.0)</f>
        <v>0</v>
      </c>
      <c r="BS410" s="16">
        <f>IFERROR(__xludf.DUMMYFUNCTION("""COMPUTED_VALUE"""),-3.0)</f>
        <v>-3</v>
      </c>
      <c r="BT410" s="16">
        <f>IFERROR(__xludf.DUMMYFUNCTION("""COMPUTED_VALUE"""),-3.0)</f>
        <v>-3</v>
      </c>
      <c r="BU410" s="16">
        <f>IFERROR(__xludf.DUMMYFUNCTION("""COMPUTED_VALUE"""),-6.0)</f>
        <v>-6</v>
      </c>
      <c r="BV410" s="16">
        <f>IFERROR(__xludf.DUMMYFUNCTION("""COMPUTED_VALUE"""),-6.0)</f>
        <v>-6</v>
      </c>
      <c r="BW410" s="16">
        <f>IFERROR(__xludf.DUMMYFUNCTION("""COMPUTED_VALUE"""),9.0)</f>
        <v>9</v>
      </c>
      <c r="BX410" s="16">
        <f>IFERROR(__xludf.DUMMYFUNCTION("""COMPUTED_VALUE"""),9.0)</f>
        <v>9</v>
      </c>
      <c r="BY410" s="16" t="str">
        <f>IFERROR(__xludf.DUMMYFUNCTION("""COMPUTED_VALUE"""),"R(2) C(0)")</f>
        <v>R(2) C(0)</v>
      </c>
      <c r="BZ410" s="16" t="str">
        <f>IFERROR(__xludf.DUMMYFUNCTION("""COMPUTED_VALUE"""),"R(2) C(0)")</f>
        <v>R(2) C(0)</v>
      </c>
      <c r="CA410" s="16" t="str">
        <f>IFERROR(__xludf.DUMMYFUNCTION("""COMPUTED_VALUE"""),"R(2)")</f>
        <v>R(2)</v>
      </c>
      <c r="CB410" s="16" t="str">
        <f>IFERROR(__xludf.DUMMYFUNCTION("""COMPUTED_VALUE"""),"C(0)")</f>
        <v>C(0)</v>
      </c>
      <c r="CC410" s="16"/>
      <c r="CD410" s="16"/>
      <c r="CE410" s="16">
        <f>IFERROR(__xludf.DUMMYFUNCTION("""COMPUTED_VALUE"""),2.0)</f>
        <v>2</v>
      </c>
      <c r="CF410" s="16">
        <f>IFERROR(__xludf.DUMMYFUNCTION("""COMPUTED_VALUE"""),0.0)</f>
        <v>0</v>
      </c>
      <c r="CG410" s="16" t="str">
        <f>IFERROR(__xludf.DUMMYFUNCTION("""COMPUTED_VALUE"""),"4-51")</f>
        <v>4-51</v>
      </c>
      <c r="CH410" s="16">
        <f>IFERROR(__xludf.DUMMYFUNCTION("""COMPUTED_VALUE"""),4.0)</f>
        <v>4</v>
      </c>
      <c r="CI410" s="16">
        <f>IFERROR(__xludf.DUMMYFUNCTION("""COMPUTED_VALUE"""),51.0)</f>
        <v>51</v>
      </c>
      <c r="CJ410" s="16">
        <f>IFERROR(__xludf.DUMMYFUNCTION("""COMPUTED_VALUE"""),0.0)</f>
        <v>0</v>
      </c>
      <c r="CK410" s="16">
        <f>IFERROR(__xludf.DUMMYFUNCTION("""COMPUTED_VALUE"""),9.0)</f>
        <v>9</v>
      </c>
      <c r="CL410" s="16" t="str">
        <f>IFERROR(__xludf.DUMMYFUNCTION("""COMPUTED_VALUE"""),"1WR-C")</f>
        <v>1WR-C</v>
      </c>
      <c r="CM410" s="16" t="str">
        <f>IFERROR(__xludf.DUMMYFUNCTION("""COMPUTED_VALUE"""),"E")</f>
        <v>E</v>
      </c>
      <c r="CN410" s="16">
        <f>IFERROR(__xludf.DUMMYFUNCTION("""COMPUTED_VALUE"""),10.0)</f>
        <v>10</v>
      </c>
      <c r="CO410" s="16" t="str">
        <f>IFERROR(__xludf.DUMMYFUNCTION("""COMPUTED_VALUE"""),"C")</f>
        <v>C</v>
      </c>
      <c r="CP410" s="16" t="str">
        <f>IFERROR(__xludf.DUMMYFUNCTION("""COMPUTED_VALUE"""),"5p20")</f>
        <v>5p20</v>
      </c>
      <c r="CQ410" s="16">
        <f>IFERROR(__xludf.DUMMYFUNCTION("""COMPUTED_VALUE"""),18.0)</f>
        <v>18</v>
      </c>
      <c r="CR410" s="16">
        <f>IFERROR(__xludf.DUMMYFUNCTION("""COMPUTED_VALUE"""),-37.0)</f>
        <v>-37</v>
      </c>
      <c r="CS410" s="16">
        <f>IFERROR(__xludf.DUMMYFUNCTION("""COMPUTED_VALUE"""),-19.0)</f>
        <v>-19</v>
      </c>
      <c r="CT410" s="16">
        <f>IFERROR(__xludf.DUMMYFUNCTION("""COMPUTED_VALUE"""),18.0)</f>
        <v>18</v>
      </c>
      <c r="CU410" s="16">
        <f>IFERROR(__xludf.DUMMYFUNCTION("""COMPUTED_VALUE"""),-37.0)</f>
        <v>-37</v>
      </c>
      <c r="CV410" s="179">
        <f>IFERROR(__xludf.DUMMYFUNCTION("""COMPUTED_VALUE"""),-15.666666666666668)</f>
        <v>-15.66666667</v>
      </c>
      <c r="CW410" s="179">
        <f>IFERROR(__xludf.DUMMYFUNCTION("""COMPUTED_VALUE"""),0.0)</f>
        <v>0</v>
      </c>
      <c r="CX410" s="179">
        <f>IFERROR(__xludf.DUMMYFUNCTION("""COMPUTED_VALUE"""),3.0)</f>
        <v>3</v>
      </c>
      <c r="CY410" s="16" t="str">
        <f>IFERROR(__xludf.DUMMYFUNCTION("""COMPUTED_VALUE"""),"RP")</f>
        <v>RP</v>
      </c>
      <c r="CZ410" s="16" t="str">
        <f>IFERROR(__xludf.DUMMYFUNCTION("""COMPUTED_VALUE"""),"CP")</f>
        <v>CP</v>
      </c>
      <c r="DA410" s="16"/>
      <c r="DB410" s="16"/>
      <c r="DC410" s="16"/>
      <c r="DD410" s="16"/>
      <c r="DE410" s="16"/>
      <c r="DF410" s="16"/>
      <c r="DG410" s="16"/>
      <c r="DH410" s="16"/>
      <c r="DI410" s="16"/>
      <c r="DJ410" s="16"/>
      <c r="DK410" s="16"/>
    </row>
    <row r="411">
      <c r="A411" s="16">
        <f>IFERROR(__xludf.DUMMYFUNCTION("""COMPUTED_VALUE"""),12842.0)</f>
        <v>12842</v>
      </c>
      <c r="B411" s="16" t="str">
        <f>IFERROR(__xludf.DUMMYFUNCTION("""COMPUTED_VALUE"""),"George Soriano")</f>
        <v>George Soriano</v>
      </c>
      <c r="C411" s="153">
        <f>IFERROR(__xludf.DUMMYFUNCTION("""COMPUTED_VALUE"""),0.0)</f>
        <v>0</v>
      </c>
      <c r="D411" s="16"/>
      <c r="E411" s="16" t="str">
        <f>IFERROR(__xludf.DUMMYFUNCTION("""COMPUTED_VALUE"""),"R")</f>
        <v>R</v>
      </c>
      <c r="F411" s="16">
        <f>IFERROR(__xludf.DUMMYFUNCTION("""COMPUTED_VALUE"""),29.0)</f>
        <v>29</v>
      </c>
      <c r="G411" s="16">
        <f>IFERROR(__xludf.DUMMYFUNCTION("""COMPUTED_VALUE"""),21.0)</f>
        <v>21</v>
      </c>
      <c r="H411" s="16">
        <f>IFERROR(__xludf.DUMMYFUNCTION("""COMPUTED_VALUE"""),28.0)</f>
        <v>28</v>
      </c>
      <c r="I411" s="16">
        <f>IFERROR(__xludf.DUMMYFUNCTION("""COMPUTED_VALUE"""),-1.0)</f>
        <v>-1</v>
      </c>
      <c r="J411" s="16">
        <f>IFERROR(__xludf.DUMMYFUNCTION("""COMPUTED_VALUE"""),0.0)</f>
        <v>0</v>
      </c>
      <c r="K411" s="16">
        <f>IFERROR(__xludf.DUMMYFUNCTION("""COMPUTED_VALUE"""),-3.0)</f>
        <v>-3</v>
      </c>
      <c r="L411" s="16">
        <f>IFERROR(__xludf.DUMMYFUNCTION("""COMPUTED_VALUE"""),0.0)</f>
        <v>0</v>
      </c>
      <c r="M411" s="16">
        <f>IFERROR(__xludf.DUMMYFUNCTION("""COMPUTED_VALUE"""),15.0)</f>
        <v>15</v>
      </c>
      <c r="N411" s="16">
        <f>IFERROR(__xludf.DUMMYFUNCTION("""COMPUTED_VALUE"""),13.0)</f>
        <v>13</v>
      </c>
      <c r="O411" s="16">
        <f>IFERROR(__xludf.DUMMYFUNCTION("""COMPUTED_VALUE"""),-2.0)</f>
        <v>-2</v>
      </c>
      <c r="P411" s="16">
        <f>IFERROR(__xludf.DUMMYFUNCTION("""COMPUTED_VALUE"""),-2.0)</f>
        <v>-2</v>
      </c>
      <c r="Q411" s="16">
        <f>IFERROR(__xludf.DUMMYFUNCTION("""COMPUTED_VALUE"""),-2.0)</f>
        <v>-2</v>
      </c>
      <c r="R411" s="16">
        <f>IFERROR(__xludf.DUMMYFUNCTION("""COMPUTED_VALUE"""),-2.0)</f>
        <v>-2</v>
      </c>
      <c r="S411" s="16">
        <f>IFERROR(__xludf.DUMMYFUNCTION("""COMPUTED_VALUE"""),15.5)</f>
        <v>15.5</v>
      </c>
      <c r="T411" s="16">
        <f>IFERROR(__xludf.DUMMYFUNCTION("""COMPUTED_VALUE"""),12.6)</f>
        <v>12.6</v>
      </c>
      <c r="U411" s="16">
        <f>IFERROR(__xludf.DUMMYFUNCTION("""COMPUTED_VALUE"""),0.0)</f>
        <v>0</v>
      </c>
      <c r="V411" s="16">
        <f>IFERROR(__xludf.DUMMYFUNCTION("""COMPUTED_VALUE"""),1.0)</f>
        <v>1</v>
      </c>
      <c r="W411" s="16">
        <f>IFERROR(__xludf.DUMMYFUNCTION("""COMPUTED_VALUE"""),0.0)</f>
        <v>0</v>
      </c>
      <c r="X411" s="16">
        <f>IFERROR(__xludf.DUMMYFUNCTION("""COMPUTED_VALUE"""),2.0)</f>
        <v>2</v>
      </c>
      <c r="Y411" s="16">
        <f>IFERROR(__xludf.DUMMYFUNCTION("""COMPUTED_VALUE"""),30.5)</f>
        <v>30.5</v>
      </c>
      <c r="Z411" s="16">
        <f>IFERROR(__xludf.DUMMYFUNCTION("""COMPUTED_VALUE"""),25.6)</f>
        <v>25.6</v>
      </c>
      <c r="AA411" s="16">
        <f>IFERROR(__xludf.DUMMYFUNCTION("""COMPUTED_VALUE"""),-1.0)</f>
        <v>-1</v>
      </c>
      <c r="AB411" s="16">
        <f>IFERROR(__xludf.DUMMYFUNCTION("""COMPUTED_VALUE"""),0.0)</f>
        <v>0</v>
      </c>
      <c r="AC411" s="16">
        <f>IFERROR(__xludf.DUMMYFUNCTION("""COMPUTED_VALUE"""),-5.0)</f>
        <v>-5</v>
      </c>
      <c r="AD411" s="16">
        <f>IFERROR(__xludf.DUMMYFUNCTION("""COMPUTED_VALUE"""),0.0)</f>
        <v>0</v>
      </c>
      <c r="AE411" s="16">
        <f>IFERROR(__xludf.DUMMYFUNCTION("""COMPUTED_VALUE"""),57.0)</f>
        <v>57</v>
      </c>
      <c r="AF411" s="16">
        <f>IFERROR(__xludf.DUMMYFUNCTION("""COMPUTED_VALUE"""),27.9)</f>
        <v>27.9</v>
      </c>
      <c r="AG411" s="16">
        <f>IFERROR(__xludf.DUMMYFUNCTION("""COMPUTED_VALUE"""),-2.0)</f>
        <v>-2</v>
      </c>
      <c r="AH411" s="16">
        <f>IFERROR(__xludf.DUMMYFUNCTION("""COMPUTED_VALUE"""),0.0)</f>
        <v>0</v>
      </c>
      <c r="AI411" s="16">
        <f>IFERROR(__xludf.DUMMYFUNCTION("""COMPUTED_VALUE"""),-4.0)</f>
        <v>-4</v>
      </c>
      <c r="AJ411" s="16">
        <f>IFERROR(__xludf.DUMMYFUNCTION("""COMPUTED_VALUE"""),0.0)</f>
        <v>0</v>
      </c>
      <c r="AK411" s="16">
        <f>IFERROR(__xludf.DUMMYFUNCTION("""COMPUTED_VALUE"""),2.5)</f>
        <v>2.5</v>
      </c>
      <c r="AL411" s="16">
        <f>IFERROR(__xludf.DUMMYFUNCTION("""COMPUTED_VALUE"""),11.2)</f>
        <v>11.2</v>
      </c>
      <c r="AM411" s="16">
        <f>IFERROR(__xludf.DUMMYFUNCTION("""COMPUTED_VALUE"""),2.0)</f>
        <v>2</v>
      </c>
      <c r="AN411" s="16">
        <f>IFERROR(__xludf.DUMMYFUNCTION("""COMPUTED_VALUE"""),0.0)</f>
        <v>0</v>
      </c>
      <c r="AO411" s="16">
        <f>IFERROR(__xludf.DUMMYFUNCTION("""COMPUTED_VALUE"""),2.0)</f>
        <v>2</v>
      </c>
      <c r="AP411" s="16">
        <f>IFERROR(__xludf.DUMMYFUNCTION("""COMPUTED_VALUE"""),0.0)</f>
        <v>0</v>
      </c>
      <c r="AQ411" s="16">
        <f>IFERROR(__xludf.DUMMYFUNCTION("""COMPUTED_VALUE"""),5.0)</f>
        <v>5</v>
      </c>
      <c r="AR411" s="16">
        <f>IFERROR(__xludf.DUMMYFUNCTION("""COMPUTED_VALUE"""),22.299999999999997)</f>
        <v>22.3</v>
      </c>
      <c r="AS411" s="16">
        <f>IFERROR(__xludf.DUMMYFUNCTION("""COMPUTED_VALUE"""),2.0)</f>
        <v>2</v>
      </c>
      <c r="AT411" s="16">
        <f>IFERROR(__xludf.DUMMYFUNCTION("""COMPUTED_VALUE"""),0.0)</f>
        <v>0</v>
      </c>
      <c r="AU411" s="16">
        <f>IFERROR(__xludf.DUMMYFUNCTION("""COMPUTED_VALUE"""),4.0)</f>
        <v>4</v>
      </c>
      <c r="AV411" s="16">
        <f>IFERROR(__xludf.DUMMYFUNCTION("""COMPUTED_VALUE"""),0.0)</f>
        <v>0</v>
      </c>
      <c r="AW411" s="16">
        <f>IFERROR(__xludf.DUMMYFUNCTION("""COMPUTED_VALUE"""),13.0)</f>
        <v>13</v>
      </c>
      <c r="AX411" s="16">
        <f>IFERROR(__xludf.DUMMYFUNCTION("""COMPUTED_VALUE"""),1.4)</f>
        <v>1.4</v>
      </c>
      <c r="AY411" s="16">
        <f>IFERROR(__xludf.DUMMYFUNCTION("""COMPUTED_VALUE"""),-3.0)</f>
        <v>-3</v>
      </c>
      <c r="AZ411" s="16">
        <f>IFERROR(__xludf.DUMMYFUNCTION("""COMPUTED_VALUE"""),1.0)</f>
        <v>1</v>
      </c>
      <c r="BA411" s="16">
        <f>IFERROR(__xludf.DUMMYFUNCTION("""COMPUTED_VALUE"""),-15.0)</f>
        <v>-15</v>
      </c>
      <c r="BB411" s="16">
        <f>IFERROR(__xludf.DUMMYFUNCTION("""COMPUTED_VALUE"""),5.0)</f>
        <v>5</v>
      </c>
      <c r="BC411" s="16"/>
      <c r="BD411" s="16"/>
      <c r="BE411" s="16">
        <f>IFERROR(__xludf.DUMMYFUNCTION("""COMPUTED_VALUE"""),8.0)</f>
        <v>8</v>
      </c>
      <c r="BF411" s="16">
        <f>IFERROR(__xludf.DUMMYFUNCTION("""COMPUTED_VALUE"""),3.0)</f>
        <v>3</v>
      </c>
      <c r="BG411" s="16">
        <f>IFERROR(__xludf.DUMMYFUNCTION("""COMPUTED_VALUE"""),-3.0)</f>
        <v>-3</v>
      </c>
      <c r="BH411" s="16">
        <f>IFERROR(__xludf.DUMMYFUNCTION("""COMPUTED_VALUE"""),0.0)</f>
        <v>0</v>
      </c>
      <c r="BI411" s="16">
        <f>IFERROR(__xludf.DUMMYFUNCTION("""COMPUTED_VALUE"""),-6.0)</f>
        <v>-6</v>
      </c>
      <c r="BJ411" s="16">
        <f>IFERROR(__xludf.DUMMYFUNCTION("""COMPUTED_VALUE"""),0.0)</f>
        <v>0</v>
      </c>
      <c r="BK411" s="16">
        <f>IFERROR(__xludf.DUMMYFUNCTION("""COMPUTED_VALUE"""),0.0)</f>
        <v>0</v>
      </c>
      <c r="BL411" s="16">
        <f>IFERROR(__xludf.DUMMYFUNCTION("""COMPUTED_VALUE"""),0.0)</f>
        <v>0</v>
      </c>
      <c r="BM411" s="16">
        <f>IFERROR(__xludf.DUMMYFUNCTION("""COMPUTED_VALUE"""),1.0)</f>
        <v>1</v>
      </c>
      <c r="BN411" s="16">
        <f>IFERROR(__xludf.DUMMYFUNCTION("""COMPUTED_VALUE"""),1.0)</f>
        <v>1</v>
      </c>
      <c r="BO411" s="16">
        <f>IFERROR(__xludf.DUMMYFUNCTION("""COMPUTED_VALUE"""),1.0)</f>
        <v>1</v>
      </c>
      <c r="BP411" s="16">
        <f>IFERROR(__xludf.DUMMYFUNCTION("""COMPUTED_VALUE"""),1.0)</f>
        <v>1</v>
      </c>
      <c r="BQ411" s="16">
        <f>IFERROR(__xludf.DUMMYFUNCTION("""COMPUTED_VALUE"""),0.0)</f>
        <v>0</v>
      </c>
      <c r="BR411" s="16">
        <f>IFERROR(__xludf.DUMMYFUNCTION("""COMPUTED_VALUE"""),0.0)</f>
        <v>0</v>
      </c>
      <c r="BS411" s="16">
        <f>IFERROR(__xludf.DUMMYFUNCTION("""COMPUTED_VALUE"""),-3.0)</f>
        <v>-3</v>
      </c>
      <c r="BT411" s="16">
        <f>IFERROR(__xludf.DUMMYFUNCTION("""COMPUTED_VALUE"""),-3.0)</f>
        <v>-3</v>
      </c>
      <c r="BU411" s="16">
        <f>IFERROR(__xludf.DUMMYFUNCTION("""COMPUTED_VALUE"""),-6.0)</f>
        <v>-6</v>
      </c>
      <c r="BV411" s="16">
        <f>IFERROR(__xludf.DUMMYFUNCTION("""COMPUTED_VALUE"""),-6.0)</f>
        <v>-6</v>
      </c>
      <c r="BW411" s="16">
        <f>IFERROR(__xludf.DUMMYFUNCTION("""COMPUTED_VALUE"""),-2.0)</f>
        <v>-2</v>
      </c>
      <c r="BX411" s="16">
        <f>IFERROR(__xludf.DUMMYFUNCTION("""COMPUTED_VALUE"""),-2.0)</f>
        <v>-2</v>
      </c>
      <c r="BY411" s="16" t="str">
        <f>IFERROR(__xludf.DUMMYFUNCTION("""COMPUTED_VALUE"""),"R(2) C(0)")</f>
        <v>R(2) C(0)</v>
      </c>
      <c r="BZ411" s="16" t="str">
        <f>IFERROR(__xludf.DUMMYFUNCTION("""COMPUTED_VALUE"""),"R(2) C(0)")</f>
        <v>R(2) C(0)</v>
      </c>
      <c r="CA411" s="16" t="str">
        <f>IFERROR(__xludf.DUMMYFUNCTION("""COMPUTED_VALUE"""),"R(2)")</f>
        <v>R(2)</v>
      </c>
      <c r="CB411" s="16" t="str">
        <f>IFERROR(__xludf.DUMMYFUNCTION("""COMPUTED_VALUE"""),"C(0)")</f>
        <v>C(0)</v>
      </c>
      <c r="CC411" s="16"/>
      <c r="CD411" s="16"/>
      <c r="CE411" s="16">
        <f>IFERROR(__xludf.DUMMYFUNCTION("""COMPUTED_VALUE"""),2.0)</f>
        <v>2</v>
      </c>
      <c r="CF411" s="16">
        <f>IFERROR(__xludf.DUMMYFUNCTION("""COMPUTED_VALUE"""),0.0)</f>
        <v>0</v>
      </c>
      <c r="CG411" s="16" t="str">
        <f>IFERROR(__xludf.DUMMYFUNCTION("""COMPUTED_VALUE"""),"2-0")</f>
        <v>2-0</v>
      </c>
      <c r="CH411" s="16">
        <f>IFERROR(__xludf.DUMMYFUNCTION("""COMPUTED_VALUE"""),2.0)</f>
        <v>2</v>
      </c>
      <c r="CI411" s="16">
        <f>IFERROR(__xludf.DUMMYFUNCTION("""COMPUTED_VALUE"""),0.0)</f>
        <v>0</v>
      </c>
      <c r="CJ411" s="16">
        <f>IFERROR(__xludf.DUMMYFUNCTION("""COMPUTED_VALUE"""),0.0)</f>
        <v>0</v>
      </c>
      <c r="CK411" s="16">
        <f>IFERROR(__xludf.DUMMYFUNCTION("""COMPUTED_VALUE"""),20.0)</f>
        <v>20</v>
      </c>
      <c r="CL411" s="16" t="str">
        <f>IFERROR(__xludf.DUMMYFUNCTION("""COMPUTED_VALUE"""),"1WR-C")</f>
        <v>1WR-C</v>
      </c>
      <c r="CM411" s="16" t="str">
        <f>IFERROR(__xludf.DUMMYFUNCTION("""COMPUTED_VALUE"""),"E")</f>
        <v>E</v>
      </c>
      <c r="CN411" s="16">
        <f>IFERROR(__xludf.DUMMYFUNCTION("""COMPUTED_VALUE"""),10.0)</f>
        <v>10</v>
      </c>
      <c r="CO411" s="16" t="str">
        <f>IFERROR(__xludf.DUMMYFUNCTION("""COMPUTED_VALUE"""),"C")</f>
        <v>C</v>
      </c>
      <c r="CP411" s="16" t="str">
        <f>IFERROR(__xludf.DUMMYFUNCTION("""COMPUTED_VALUE"""),"1p20")</f>
        <v>1p20</v>
      </c>
      <c r="CQ411" s="16">
        <f>IFERROR(__xludf.DUMMYFUNCTION("""COMPUTED_VALUE"""),-34.0)</f>
        <v>-34</v>
      </c>
      <c r="CR411" s="16">
        <f>IFERROR(__xludf.DUMMYFUNCTION("""COMPUTED_VALUE"""),0.0)</f>
        <v>0</v>
      </c>
      <c r="CS411" s="16">
        <f>IFERROR(__xludf.DUMMYFUNCTION("""COMPUTED_VALUE"""),-34.0)</f>
        <v>-34</v>
      </c>
      <c r="CT411" s="16">
        <f>IFERROR(__xludf.DUMMYFUNCTION("""COMPUTED_VALUE"""),-34.0)</f>
        <v>-34</v>
      </c>
      <c r="CU411" s="16">
        <f>IFERROR(__xludf.DUMMYFUNCTION("""COMPUTED_VALUE"""),0.0)</f>
        <v>0</v>
      </c>
      <c r="CV411" s="179">
        <f>IFERROR(__xludf.DUMMYFUNCTION("""COMPUTED_VALUE"""),-15.666666666666668)</f>
        <v>-15.66666667</v>
      </c>
      <c r="CW411" s="179">
        <f>IFERROR(__xludf.DUMMYFUNCTION("""COMPUTED_VALUE"""),4.0)</f>
        <v>4</v>
      </c>
      <c r="CX411" s="179">
        <f>IFERROR(__xludf.DUMMYFUNCTION("""COMPUTED_VALUE"""),3.0)</f>
        <v>3</v>
      </c>
      <c r="CY411" s="16" t="str">
        <f>IFERROR(__xludf.DUMMYFUNCTION("""COMPUTED_VALUE"""),"RP")</f>
        <v>RP</v>
      </c>
      <c r="CZ411" s="16" t="str">
        <f>IFERROR(__xludf.DUMMYFUNCTION("""COMPUTED_VALUE"""),"CP")</f>
        <v>CP</v>
      </c>
      <c r="DA411" s="16"/>
      <c r="DB411" s="16"/>
      <c r="DC411" s="16"/>
      <c r="DD411" s="16"/>
      <c r="DE411" s="16"/>
      <c r="DF411" s="16"/>
      <c r="DG411" s="16"/>
      <c r="DH411" s="16"/>
      <c r="DI411" s="16"/>
      <c r="DJ411" s="16"/>
      <c r="DK411" s="16"/>
    </row>
    <row r="412">
      <c r="A412" s="16">
        <f>IFERROR(__xludf.DUMMYFUNCTION("""COMPUTED_VALUE"""),13211.0)</f>
        <v>13211</v>
      </c>
      <c r="B412" s="16" t="str">
        <f>IFERROR(__xludf.DUMMYFUNCTION("""COMPUTED_VALUE"""),"Mike Baumann")</f>
        <v>Mike Baumann</v>
      </c>
      <c r="C412" s="153">
        <f>IFERROR(__xludf.DUMMYFUNCTION("""COMPUTED_VALUE"""),0.0)</f>
        <v>0</v>
      </c>
      <c r="D412" s="16"/>
      <c r="E412" s="16" t="str">
        <f>IFERROR(__xludf.DUMMYFUNCTION("""COMPUTED_VALUE"""),"R")</f>
        <v>R</v>
      </c>
      <c r="F412" s="16">
        <f>IFERROR(__xludf.DUMMYFUNCTION("""COMPUTED_VALUE"""),58.0)</f>
        <v>58</v>
      </c>
      <c r="G412" s="16">
        <f>IFERROR(__xludf.DUMMYFUNCTION("""COMPUTED_VALUE"""),32.0)</f>
        <v>32</v>
      </c>
      <c r="H412" s="16">
        <f>IFERROR(__xludf.DUMMYFUNCTION("""COMPUTED_VALUE"""),18.0)</f>
        <v>18</v>
      </c>
      <c r="I412" s="16">
        <f>IFERROR(__xludf.DUMMYFUNCTION("""COMPUTED_VALUE"""),1.0)</f>
        <v>1</v>
      </c>
      <c r="J412" s="16">
        <f>IFERROR(__xludf.DUMMYFUNCTION("""COMPUTED_VALUE"""),-1.0)</f>
        <v>-1</v>
      </c>
      <c r="K412" s="16">
        <f>IFERROR(__xludf.DUMMYFUNCTION("""COMPUTED_VALUE"""),3.0)</f>
        <v>3</v>
      </c>
      <c r="L412" s="16">
        <f>IFERROR(__xludf.DUMMYFUNCTION("""COMPUTED_VALUE"""),-3.0)</f>
        <v>-3</v>
      </c>
      <c r="M412" s="16">
        <f>IFERROR(__xludf.DUMMYFUNCTION("""COMPUTED_VALUE"""),15.0)</f>
        <v>15</v>
      </c>
      <c r="N412" s="16">
        <f>IFERROR(__xludf.DUMMYFUNCTION("""COMPUTED_VALUE"""),14.0)</f>
        <v>14</v>
      </c>
      <c r="O412" s="16">
        <f>IFERROR(__xludf.DUMMYFUNCTION("""COMPUTED_VALUE"""),-2.0)</f>
        <v>-2</v>
      </c>
      <c r="P412" s="16">
        <f>IFERROR(__xludf.DUMMYFUNCTION("""COMPUTED_VALUE"""),-2.0)</f>
        <v>-2</v>
      </c>
      <c r="Q412" s="16">
        <f>IFERROR(__xludf.DUMMYFUNCTION("""COMPUTED_VALUE"""),-2.0)</f>
        <v>-2</v>
      </c>
      <c r="R412" s="16">
        <f>IFERROR(__xludf.DUMMYFUNCTION("""COMPUTED_VALUE"""),-2.0)</f>
        <v>-2</v>
      </c>
      <c r="S412" s="16">
        <f>IFERROR(__xludf.DUMMYFUNCTION("""COMPUTED_VALUE"""),21.0)</f>
        <v>21</v>
      </c>
      <c r="T412" s="16">
        <f>IFERROR(__xludf.DUMMYFUNCTION("""COMPUTED_VALUE"""),13.7)</f>
        <v>13.7</v>
      </c>
      <c r="U412" s="16">
        <f>IFERROR(__xludf.DUMMYFUNCTION("""COMPUTED_VALUE"""),-1.0)</f>
        <v>-1</v>
      </c>
      <c r="V412" s="16">
        <f>IFERROR(__xludf.DUMMYFUNCTION("""COMPUTED_VALUE"""),0.0)</f>
        <v>0</v>
      </c>
      <c r="W412" s="16">
        <f>IFERROR(__xludf.DUMMYFUNCTION("""COMPUTED_VALUE"""),-2.0)</f>
        <v>-2</v>
      </c>
      <c r="X412" s="16">
        <f>IFERROR(__xludf.DUMMYFUNCTION("""COMPUTED_VALUE"""),0.0)</f>
        <v>0</v>
      </c>
      <c r="Y412" s="16">
        <f>IFERROR(__xludf.DUMMYFUNCTION("""COMPUTED_VALUE"""),36.0)</f>
        <v>36</v>
      </c>
      <c r="Z412" s="16">
        <f>IFERROR(__xludf.DUMMYFUNCTION("""COMPUTED_VALUE"""),27.7)</f>
        <v>27.7</v>
      </c>
      <c r="AA412" s="16">
        <f>IFERROR(__xludf.DUMMYFUNCTION("""COMPUTED_VALUE"""),-1.0)</f>
        <v>-1</v>
      </c>
      <c r="AB412" s="16">
        <f>IFERROR(__xludf.DUMMYFUNCTION("""COMPUTED_VALUE"""),0.0)</f>
        <v>0</v>
      </c>
      <c r="AC412" s="16">
        <f>IFERROR(__xludf.DUMMYFUNCTION("""COMPUTED_VALUE"""),-5.0)</f>
        <v>-5</v>
      </c>
      <c r="AD412" s="16">
        <f>IFERROR(__xludf.DUMMYFUNCTION("""COMPUTED_VALUE"""),0.0)</f>
        <v>0</v>
      </c>
      <c r="AE412" s="16">
        <f>IFERROR(__xludf.DUMMYFUNCTION("""COMPUTED_VALUE"""),40.9)</f>
        <v>40.9</v>
      </c>
      <c r="AF412" s="16">
        <f>IFERROR(__xludf.DUMMYFUNCTION("""COMPUTED_VALUE"""),29.3)</f>
        <v>29.3</v>
      </c>
      <c r="AG412" s="16">
        <f>IFERROR(__xludf.DUMMYFUNCTION("""COMPUTED_VALUE"""),-1.0)</f>
        <v>-1</v>
      </c>
      <c r="AH412" s="16">
        <f>IFERROR(__xludf.DUMMYFUNCTION("""COMPUTED_VALUE"""),0.0)</f>
        <v>0</v>
      </c>
      <c r="AI412" s="16">
        <f>IFERROR(__xludf.DUMMYFUNCTION("""COMPUTED_VALUE"""),-2.0)</f>
        <v>-2</v>
      </c>
      <c r="AJ412" s="16">
        <f>IFERROR(__xludf.DUMMYFUNCTION("""COMPUTED_VALUE"""),0.0)</f>
        <v>0</v>
      </c>
      <c r="AK412" s="16">
        <f>IFERROR(__xludf.DUMMYFUNCTION("""COMPUTED_VALUE"""),18.8)</f>
        <v>18.8</v>
      </c>
      <c r="AL412" s="16">
        <f>IFERROR(__xludf.DUMMYFUNCTION("""COMPUTED_VALUE"""),10.899999999999999)</f>
        <v>10.9</v>
      </c>
      <c r="AM412" s="16">
        <f>IFERROR(__xludf.DUMMYFUNCTION("""COMPUTED_VALUE"""),-1.0)</f>
        <v>-1</v>
      </c>
      <c r="AN412" s="16">
        <f>IFERROR(__xludf.DUMMYFUNCTION("""COMPUTED_VALUE"""),1.0)</f>
        <v>1</v>
      </c>
      <c r="AO412" s="16">
        <f>IFERROR(__xludf.DUMMYFUNCTION("""COMPUTED_VALUE"""),-1.0)</f>
        <v>-1</v>
      </c>
      <c r="AP412" s="16">
        <f>IFERROR(__xludf.DUMMYFUNCTION("""COMPUTED_VALUE"""),1.0)</f>
        <v>1</v>
      </c>
      <c r="AQ412" s="16">
        <f>IFERROR(__xludf.DUMMYFUNCTION("""COMPUTED_VALUE"""),32.099999999999994)</f>
        <v>32.1</v>
      </c>
      <c r="AR412" s="16">
        <f>IFERROR(__xludf.DUMMYFUNCTION("""COMPUTED_VALUE"""),18.1)</f>
        <v>18.1</v>
      </c>
      <c r="AS412" s="16">
        <f>IFERROR(__xludf.DUMMYFUNCTION("""COMPUTED_VALUE"""),-2.0)</f>
        <v>-2</v>
      </c>
      <c r="AT412" s="16">
        <f>IFERROR(__xludf.DUMMYFUNCTION("""COMPUTED_VALUE"""),0.0)</f>
        <v>0</v>
      </c>
      <c r="AU412" s="16">
        <f>IFERROR(__xludf.DUMMYFUNCTION("""COMPUTED_VALUE"""),-4.0)</f>
        <v>-4</v>
      </c>
      <c r="AV412" s="16">
        <f>IFERROR(__xludf.DUMMYFUNCTION("""COMPUTED_VALUE"""),0.0)</f>
        <v>0</v>
      </c>
      <c r="AW412" s="16">
        <f>IFERROR(__xludf.DUMMYFUNCTION("""COMPUTED_VALUE"""),2.2)</f>
        <v>2.2</v>
      </c>
      <c r="AX412" s="16">
        <f>IFERROR(__xludf.DUMMYFUNCTION("""COMPUTED_VALUE"""),2.8)</f>
        <v>2.8</v>
      </c>
      <c r="AY412" s="16">
        <f>IFERROR(__xludf.DUMMYFUNCTION("""COMPUTED_VALUE"""),0.0)</f>
        <v>0</v>
      </c>
      <c r="AZ412" s="16">
        <f>IFERROR(__xludf.DUMMYFUNCTION("""COMPUTED_VALUE"""),-1.0)</f>
        <v>-1</v>
      </c>
      <c r="BA412" s="16">
        <f>IFERROR(__xludf.DUMMYFUNCTION("""COMPUTED_VALUE"""),0.0)</f>
        <v>0</v>
      </c>
      <c r="BB412" s="16">
        <f>IFERROR(__xludf.DUMMYFUNCTION("""COMPUTED_VALUE"""),-5.0)</f>
        <v>-5</v>
      </c>
      <c r="BC412" s="16">
        <f>IFERROR(__xludf.DUMMYFUNCTION("""COMPUTED_VALUE"""),4.0)</f>
        <v>4</v>
      </c>
      <c r="BD412" s="16">
        <f>IFERROR(__xludf.DUMMYFUNCTION("""COMPUTED_VALUE"""),4.0)</f>
        <v>4</v>
      </c>
      <c r="BE412" s="16">
        <f>IFERROR(__xludf.DUMMYFUNCTION("""COMPUTED_VALUE"""),4.0)</f>
        <v>4</v>
      </c>
      <c r="BF412" s="16">
        <f>IFERROR(__xludf.DUMMYFUNCTION("""COMPUTED_VALUE"""),4.0)</f>
        <v>4</v>
      </c>
      <c r="BG412" s="16">
        <f>IFERROR(__xludf.DUMMYFUNCTION("""COMPUTED_VALUE"""),-1.0)</f>
        <v>-1</v>
      </c>
      <c r="BH412" s="16">
        <f>IFERROR(__xludf.DUMMYFUNCTION("""COMPUTED_VALUE"""),-1.0)</f>
        <v>-1</v>
      </c>
      <c r="BI412" s="16">
        <f>IFERROR(__xludf.DUMMYFUNCTION("""COMPUTED_VALUE"""),-2.0)</f>
        <v>-2</v>
      </c>
      <c r="BJ412" s="16">
        <f>IFERROR(__xludf.DUMMYFUNCTION("""COMPUTED_VALUE"""),-2.0)</f>
        <v>-2</v>
      </c>
      <c r="BK412" s="16">
        <f>IFERROR(__xludf.DUMMYFUNCTION("""COMPUTED_VALUE"""),5.0)</f>
        <v>5</v>
      </c>
      <c r="BL412" s="16">
        <f>IFERROR(__xludf.DUMMYFUNCTION("""COMPUTED_VALUE"""),5.0)</f>
        <v>5</v>
      </c>
      <c r="BM412" s="16">
        <f>IFERROR(__xludf.DUMMYFUNCTION("""COMPUTED_VALUE"""),0.0)</f>
        <v>0</v>
      </c>
      <c r="BN412" s="16">
        <f>IFERROR(__xludf.DUMMYFUNCTION("""COMPUTED_VALUE"""),0.0)</f>
        <v>0</v>
      </c>
      <c r="BO412" s="16">
        <f>IFERROR(__xludf.DUMMYFUNCTION("""COMPUTED_VALUE"""),0.0)</f>
        <v>0</v>
      </c>
      <c r="BP412" s="16">
        <f>IFERROR(__xludf.DUMMYFUNCTION("""COMPUTED_VALUE"""),0.0)</f>
        <v>0</v>
      </c>
      <c r="BQ412" s="16">
        <f>IFERROR(__xludf.DUMMYFUNCTION("""COMPUTED_VALUE"""),0.0)</f>
        <v>0</v>
      </c>
      <c r="BR412" s="16">
        <f>IFERROR(__xludf.DUMMYFUNCTION("""COMPUTED_VALUE"""),0.0)</f>
        <v>0</v>
      </c>
      <c r="BS412" s="16">
        <f>IFERROR(__xludf.DUMMYFUNCTION("""COMPUTED_VALUE"""),-3.0)</f>
        <v>-3</v>
      </c>
      <c r="BT412" s="16">
        <f>IFERROR(__xludf.DUMMYFUNCTION("""COMPUTED_VALUE"""),-3.0)</f>
        <v>-3</v>
      </c>
      <c r="BU412" s="16">
        <f>IFERROR(__xludf.DUMMYFUNCTION("""COMPUTED_VALUE"""),-6.0)</f>
        <v>-6</v>
      </c>
      <c r="BV412" s="16">
        <f>IFERROR(__xludf.DUMMYFUNCTION("""COMPUTED_VALUE"""),-6.0)</f>
        <v>-6</v>
      </c>
      <c r="BW412" s="16">
        <f>IFERROR(__xludf.DUMMYFUNCTION("""COMPUTED_VALUE"""),1.0)</f>
        <v>1</v>
      </c>
      <c r="BX412" s="16">
        <f>IFERROR(__xludf.DUMMYFUNCTION("""COMPUTED_VALUE"""),1.0)</f>
        <v>1</v>
      </c>
      <c r="BY412" s="16" t="str">
        <f>IFERROR(__xludf.DUMMYFUNCTION("""COMPUTED_VALUE"""),"R(1)")</f>
        <v>R(1)</v>
      </c>
      <c r="BZ412" s="16" t="str">
        <f>IFERROR(__xludf.DUMMYFUNCTION("""COMPUTED_VALUE"""),"R(1)")</f>
        <v>R(1)</v>
      </c>
      <c r="CA412" s="16" t="str">
        <f>IFERROR(__xludf.DUMMYFUNCTION("""COMPUTED_VALUE"""),"R(1)")</f>
        <v>R(1)</v>
      </c>
      <c r="CB412" s="16"/>
      <c r="CC412" s="16"/>
      <c r="CD412" s="16"/>
      <c r="CE412" s="16">
        <f>IFERROR(__xludf.DUMMYFUNCTION("""COMPUTED_VALUE"""),1.0)</f>
        <v>1</v>
      </c>
      <c r="CF412" s="16"/>
      <c r="CG412" s="16" t="str">
        <f>IFERROR(__xludf.DUMMYFUNCTION("""COMPUTED_VALUE"""),"4-50")</f>
        <v>4-50</v>
      </c>
      <c r="CH412" s="16">
        <f>IFERROR(__xludf.DUMMYFUNCTION("""COMPUTED_VALUE"""),4.0)</f>
        <v>4</v>
      </c>
      <c r="CI412" s="16">
        <f>IFERROR(__xludf.DUMMYFUNCTION("""COMPUTED_VALUE"""),50.0)</f>
        <v>50</v>
      </c>
      <c r="CJ412" s="16">
        <f>IFERROR(__xludf.DUMMYFUNCTION("""COMPUTED_VALUE"""),0.0)</f>
        <v>0</v>
      </c>
      <c r="CK412" s="16">
        <f>IFERROR(__xludf.DUMMYFUNCTION("""COMPUTED_VALUE"""),20.0)</f>
        <v>20</v>
      </c>
      <c r="CL412" s="16" t="str">
        <f>IFERROR(__xludf.DUMMYFUNCTION("""COMPUTED_VALUE"""),"1WR-C")</f>
        <v>1WR-C</v>
      </c>
      <c r="CM412" s="16" t="str">
        <f>IFERROR(__xludf.DUMMYFUNCTION("""COMPUTED_VALUE"""),"E")</f>
        <v>E</v>
      </c>
      <c r="CN412" s="16">
        <f>IFERROR(__xludf.DUMMYFUNCTION("""COMPUTED_VALUE"""),10.0)</f>
        <v>10</v>
      </c>
      <c r="CO412" s="16" t="str">
        <f>IFERROR(__xludf.DUMMYFUNCTION("""COMPUTED_VALUE"""),"C")</f>
        <v>C</v>
      </c>
      <c r="CP412" s="16" t="str">
        <f>IFERROR(__xludf.DUMMYFUNCTION("""COMPUTED_VALUE"""),"1p50")</f>
        <v>1p50</v>
      </c>
      <c r="CQ412" s="16">
        <f>IFERROR(__xludf.DUMMYFUNCTION("""COMPUTED_VALUE"""),-21.0)</f>
        <v>-21</v>
      </c>
      <c r="CR412" s="16">
        <f>IFERROR(__xludf.DUMMYFUNCTION("""COMPUTED_VALUE"""),-17.0)</f>
        <v>-17</v>
      </c>
      <c r="CS412" s="16">
        <f>IFERROR(__xludf.DUMMYFUNCTION("""COMPUTED_VALUE"""),-38.0)</f>
        <v>-38</v>
      </c>
      <c r="CT412" s="16">
        <f>IFERROR(__xludf.DUMMYFUNCTION("""COMPUTED_VALUE"""),-21.0)</f>
        <v>-21</v>
      </c>
      <c r="CU412" s="16">
        <f>IFERROR(__xludf.DUMMYFUNCTION("""COMPUTED_VALUE"""),-17.0)</f>
        <v>-17</v>
      </c>
      <c r="CV412" s="179">
        <f>IFERROR(__xludf.DUMMYFUNCTION("""COMPUTED_VALUE"""),-15.666666666666668)</f>
        <v>-15.66666667</v>
      </c>
      <c r="CW412" s="179">
        <f>IFERROR(__xludf.DUMMYFUNCTION("""COMPUTED_VALUE"""),4.0)</f>
        <v>4</v>
      </c>
      <c r="CX412" s="179">
        <f>IFERROR(__xludf.DUMMYFUNCTION("""COMPUTED_VALUE"""),0.0)</f>
        <v>0</v>
      </c>
      <c r="CY412" s="16" t="str">
        <f>IFERROR(__xludf.DUMMYFUNCTION("""COMPUTED_VALUE"""),"RP")</f>
        <v>RP</v>
      </c>
      <c r="CZ412" s="16"/>
      <c r="DA412" s="16"/>
      <c r="DB412" s="16"/>
      <c r="DC412" s="16"/>
      <c r="DD412" s="16"/>
      <c r="DE412" s="16"/>
      <c r="DF412" s="16"/>
      <c r="DG412" s="16"/>
      <c r="DH412" s="16"/>
      <c r="DI412" s="16"/>
      <c r="DJ412" s="16"/>
      <c r="DK412" s="16"/>
    </row>
    <row r="413">
      <c r="A413" s="16">
        <f>IFERROR(__xludf.DUMMYFUNCTION("""COMPUTED_VALUE"""),13024.0)</f>
        <v>13024</v>
      </c>
      <c r="B413" s="16" t="str">
        <f>IFERROR(__xludf.DUMMYFUNCTION("""COMPUTED_VALUE"""),"Jose Ruiz")</f>
        <v>Jose Ruiz</v>
      </c>
      <c r="C413" s="153">
        <f>IFERROR(__xludf.DUMMYFUNCTION("""COMPUTED_VALUE"""),0.28)</f>
        <v>0.28</v>
      </c>
      <c r="D413" s="16"/>
      <c r="E413" s="16" t="str">
        <f>IFERROR(__xludf.DUMMYFUNCTION("""COMPUTED_VALUE"""),"R")</f>
        <v>R</v>
      </c>
      <c r="F413" s="16">
        <f>IFERROR(__xludf.DUMMYFUNCTION("""COMPUTED_VALUE"""),51.0)</f>
        <v>51</v>
      </c>
      <c r="G413" s="16">
        <f>IFERROR(__xludf.DUMMYFUNCTION("""COMPUTED_VALUE"""),30.0)</f>
        <v>30</v>
      </c>
      <c r="H413" s="16">
        <f>IFERROR(__xludf.DUMMYFUNCTION("""COMPUTED_VALUE"""),24.0)</f>
        <v>24</v>
      </c>
      <c r="I413" s="16">
        <f>IFERROR(__xludf.DUMMYFUNCTION("""COMPUTED_VALUE"""),0.0)</f>
        <v>0</v>
      </c>
      <c r="J413" s="16">
        <f>IFERROR(__xludf.DUMMYFUNCTION("""COMPUTED_VALUE"""),0.0)</f>
        <v>0</v>
      </c>
      <c r="K413" s="16">
        <f>IFERROR(__xludf.DUMMYFUNCTION("""COMPUTED_VALUE"""),0.0)</f>
        <v>0</v>
      </c>
      <c r="L413" s="16">
        <f>IFERROR(__xludf.DUMMYFUNCTION("""COMPUTED_VALUE"""),0.0)</f>
        <v>0</v>
      </c>
      <c r="M413" s="16">
        <f>IFERROR(__xludf.DUMMYFUNCTION("""COMPUTED_VALUE"""),3.0)</f>
        <v>3</v>
      </c>
      <c r="N413" s="16">
        <f>IFERROR(__xludf.DUMMYFUNCTION("""COMPUTED_VALUE"""),11.0)</f>
        <v>11</v>
      </c>
      <c r="O413" s="16">
        <f>IFERROR(__xludf.DUMMYFUNCTION("""COMPUTED_VALUE"""),2.0)</f>
        <v>2</v>
      </c>
      <c r="P413" s="16">
        <f>IFERROR(__xludf.DUMMYFUNCTION("""COMPUTED_VALUE"""),-1.0)</f>
        <v>-1</v>
      </c>
      <c r="Q413" s="16">
        <f>IFERROR(__xludf.DUMMYFUNCTION("""COMPUTED_VALUE"""),2.0)</f>
        <v>2</v>
      </c>
      <c r="R413" s="16">
        <f>IFERROR(__xludf.DUMMYFUNCTION("""COMPUTED_VALUE"""),-1.0)</f>
        <v>-1</v>
      </c>
      <c r="S413" s="16">
        <f>IFERROR(__xludf.DUMMYFUNCTION("""COMPUTED_VALUE"""),29.0)</f>
        <v>29</v>
      </c>
      <c r="T413" s="16">
        <f>IFERROR(__xludf.DUMMYFUNCTION("""COMPUTED_VALUE"""),13.3)</f>
        <v>13.3</v>
      </c>
      <c r="U413" s="16">
        <f>IFERROR(__xludf.DUMMYFUNCTION("""COMPUTED_VALUE"""),-2.0)</f>
        <v>-2</v>
      </c>
      <c r="V413" s="16">
        <f>IFERROR(__xludf.DUMMYFUNCTION("""COMPUTED_VALUE"""),0.0)</f>
        <v>0</v>
      </c>
      <c r="W413" s="16">
        <f>IFERROR(__xludf.DUMMYFUNCTION("""COMPUTED_VALUE"""),-4.0)</f>
        <v>-4</v>
      </c>
      <c r="X413" s="16">
        <f>IFERROR(__xludf.DUMMYFUNCTION("""COMPUTED_VALUE"""),0.0)</f>
        <v>0</v>
      </c>
      <c r="Y413" s="16">
        <f>IFERROR(__xludf.DUMMYFUNCTION("""COMPUTED_VALUE"""),32.0)</f>
        <v>32</v>
      </c>
      <c r="Z413" s="16">
        <f>IFERROR(__xludf.DUMMYFUNCTION("""COMPUTED_VALUE"""),24.4)</f>
        <v>24.4</v>
      </c>
      <c r="AA413" s="16">
        <f>IFERROR(__xludf.DUMMYFUNCTION("""COMPUTED_VALUE"""),-1.0)</f>
        <v>-1</v>
      </c>
      <c r="AB413" s="16">
        <f>IFERROR(__xludf.DUMMYFUNCTION("""COMPUTED_VALUE"""),0.0)</f>
        <v>0</v>
      </c>
      <c r="AC413" s="16">
        <f>IFERROR(__xludf.DUMMYFUNCTION("""COMPUTED_VALUE"""),-5.0)</f>
        <v>-5</v>
      </c>
      <c r="AD413" s="16">
        <f>IFERROR(__xludf.DUMMYFUNCTION("""COMPUTED_VALUE"""),0.0)</f>
        <v>0</v>
      </c>
      <c r="AE413" s="16">
        <f>IFERROR(__xludf.DUMMYFUNCTION("""COMPUTED_VALUE"""),52.2)</f>
        <v>52.2</v>
      </c>
      <c r="AF413" s="16">
        <f>IFERROR(__xludf.DUMMYFUNCTION("""COMPUTED_VALUE"""),18.1)</f>
        <v>18.1</v>
      </c>
      <c r="AG413" s="16">
        <f>IFERROR(__xludf.DUMMYFUNCTION("""COMPUTED_VALUE"""),-2.0)</f>
        <v>-2</v>
      </c>
      <c r="AH413" s="16">
        <f>IFERROR(__xludf.DUMMYFUNCTION("""COMPUTED_VALUE"""),1.0)</f>
        <v>1</v>
      </c>
      <c r="AI413" s="16">
        <f>IFERROR(__xludf.DUMMYFUNCTION("""COMPUTED_VALUE"""),-4.0)</f>
        <v>-4</v>
      </c>
      <c r="AJ413" s="16">
        <f>IFERROR(__xludf.DUMMYFUNCTION("""COMPUTED_VALUE"""),2.0)</f>
        <v>2</v>
      </c>
      <c r="AK413" s="16">
        <f>IFERROR(__xludf.DUMMYFUNCTION("""COMPUTED_VALUE"""),24.0)</f>
        <v>24</v>
      </c>
      <c r="AL413" s="16">
        <f>IFERROR(__xludf.DUMMYFUNCTION("""COMPUTED_VALUE"""),11.9)</f>
        <v>11.9</v>
      </c>
      <c r="AM413" s="16">
        <f>IFERROR(__xludf.DUMMYFUNCTION("""COMPUTED_VALUE"""),-2.0)</f>
        <v>-2</v>
      </c>
      <c r="AN413" s="16">
        <f>IFERROR(__xludf.DUMMYFUNCTION("""COMPUTED_VALUE"""),0.0)</f>
        <v>0</v>
      </c>
      <c r="AO413" s="16">
        <f>IFERROR(__xludf.DUMMYFUNCTION("""COMPUTED_VALUE"""),-2.0)</f>
        <v>-2</v>
      </c>
      <c r="AP413" s="16">
        <f>IFERROR(__xludf.DUMMYFUNCTION("""COMPUTED_VALUE"""),0.0)</f>
        <v>0</v>
      </c>
      <c r="AQ413" s="16">
        <f>IFERROR(__xludf.DUMMYFUNCTION("""COMPUTED_VALUE"""),32.2)</f>
        <v>32.2</v>
      </c>
      <c r="AR413" s="16">
        <f>IFERROR(__xludf.DUMMYFUNCTION("""COMPUTED_VALUE"""),12.500000000000002)</f>
        <v>12.5</v>
      </c>
      <c r="AS413" s="16">
        <f>IFERROR(__xludf.DUMMYFUNCTION("""COMPUTED_VALUE"""),-2.0)</f>
        <v>-2</v>
      </c>
      <c r="AT413" s="16">
        <f>IFERROR(__xludf.DUMMYFUNCTION("""COMPUTED_VALUE"""),1.0)</f>
        <v>1</v>
      </c>
      <c r="AU413" s="16">
        <f>IFERROR(__xludf.DUMMYFUNCTION("""COMPUTED_VALUE"""),-4.0)</f>
        <v>-4</v>
      </c>
      <c r="AV413" s="16">
        <f>IFERROR(__xludf.DUMMYFUNCTION("""COMPUTED_VALUE"""),2.0)</f>
        <v>2</v>
      </c>
      <c r="AW413" s="16">
        <f>IFERROR(__xludf.DUMMYFUNCTION("""COMPUTED_VALUE"""),5.0)</f>
        <v>5</v>
      </c>
      <c r="AX413" s="16">
        <f>IFERROR(__xludf.DUMMYFUNCTION("""COMPUTED_VALUE"""),1.4)</f>
        <v>1.4</v>
      </c>
      <c r="AY413" s="16">
        <f>IFERROR(__xludf.DUMMYFUNCTION("""COMPUTED_VALUE"""),-3.0)</f>
        <v>-3</v>
      </c>
      <c r="AZ413" s="16">
        <f>IFERROR(__xludf.DUMMYFUNCTION("""COMPUTED_VALUE"""),1.0)</f>
        <v>1</v>
      </c>
      <c r="BA413" s="16">
        <f>IFERROR(__xludf.DUMMYFUNCTION("""COMPUTED_VALUE"""),-15.0)</f>
        <v>-15</v>
      </c>
      <c r="BB413" s="16">
        <f>IFERROR(__xludf.DUMMYFUNCTION("""COMPUTED_VALUE"""),5.0)</f>
        <v>5</v>
      </c>
      <c r="BC413" s="16">
        <f>IFERROR(__xludf.DUMMYFUNCTION("""COMPUTED_VALUE"""),7.0)</f>
        <v>7</v>
      </c>
      <c r="BD413" s="16">
        <f>IFERROR(__xludf.DUMMYFUNCTION("""COMPUTED_VALUE"""),1.0)</f>
        <v>1</v>
      </c>
      <c r="BE413" s="16">
        <f>IFERROR(__xludf.DUMMYFUNCTION("""COMPUTED_VALUE"""),7.0)</f>
        <v>7</v>
      </c>
      <c r="BF413" s="16">
        <f>IFERROR(__xludf.DUMMYFUNCTION("""COMPUTED_VALUE"""),1.0)</f>
        <v>1</v>
      </c>
      <c r="BG413" s="16">
        <f>IFERROR(__xludf.DUMMYFUNCTION("""COMPUTED_VALUE"""),-3.0)</f>
        <v>-3</v>
      </c>
      <c r="BH413" s="16">
        <f>IFERROR(__xludf.DUMMYFUNCTION("""COMPUTED_VALUE"""),2.0)</f>
        <v>2</v>
      </c>
      <c r="BI413" s="16">
        <f>IFERROR(__xludf.DUMMYFUNCTION("""COMPUTED_VALUE"""),-6.0)</f>
        <v>-6</v>
      </c>
      <c r="BJ413" s="16">
        <f>IFERROR(__xludf.DUMMYFUNCTION("""COMPUTED_VALUE"""),4.0)</f>
        <v>4</v>
      </c>
      <c r="BK413" s="16">
        <f>IFERROR(__xludf.DUMMYFUNCTION("""COMPUTED_VALUE"""),5.0)</f>
        <v>5</v>
      </c>
      <c r="BL413" s="16">
        <f>IFERROR(__xludf.DUMMYFUNCTION("""COMPUTED_VALUE"""),5.0)</f>
        <v>5</v>
      </c>
      <c r="BM413" s="16">
        <f>IFERROR(__xludf.DUMMYFUNCTION("""COMPUTED_VALUE"""),0.0)</f>
        <v>0</v>
      </c>
      <c r="BN413" s="16">
        <f>IFERROR(__xludf.DUMMYFUNCTION("""COMPUTED_VALUE"""),0.0)</f>
        <v>0</v>
      </c>
      <c r="BO413" s="16">
        <f>IFERROR(__xludf.DUMMYFUNCTION("""COMPUTED_VALUE"""),0.0)</f>
        <v>0</v>
      </c>
      <c r="BP413" s="16">
        <f>IFERROR(__xludf.DUMMYFUNCTION("""COMPUTED_VALUE"""),0.0)</f>
        <v>0</v>
      </c>
      <c r="BQ413" s="16">
        <f>IFERROR(__xludf.DUMMYFUNCTION("""COMPUTED_VALUE"""),3.0)</f>
        <v>3</v>
      </c>
      <c r="BR413" s="16">
        <f>IFERROR(__xludf.DUMMYFUNCTION("""COMPUTED_VALUE"""),9.0)</f>
        <v>9</v>
      </c>
      <c r="BS413" s="16">
        <f>IFERROR(__xludf.DUMMYFUNCTION("""COMPUTED_VALUE"""),-1.0)</f>
        <v>-1</v>
      </c>
      <c r="BT413" s="16">
        <f>IFERROR(__xludf.DUMMYFUNCTION("""COMPUTED_VALUE"""),3.0)</f>
        <v>3</v>
      </c>
      <c r="BU413" s="16">
        <f>IFERROR(__xludf.DUMMYFUNCTION("""COMPUTED_VALUE"""),-2.0)</f>
        <v>-2</v>
      </c>
      <c r="BV413" s="16">
        <f>IFERROR(__xludf.DUMMYFUNCTION("""COMPUTED_VALUE"""),6.0)</f>
        <v>6</v>
      </c>
      <c r="BW413" s="16">
        <f>IFERROR(__xludf.DUMMYFUNCTION("""COMPUTED_VALUE"""),-2.0)</f>
        <v>-2</v>
      </c>
      <c r="BX413" s="16">
        <f>IFERROR(__xludf.DUMMYFUNCTION("""COMPUTED_VALUE"""),-2.0)</f>
        <v>-2</v>
      </c>
      <c r="BY413" s="16" t="str">
        <f>IFERROR(__xludf.DUMMYFUNCTION("""COMPUTED_VALUE"""),"R(1) C(0)")</f>
        <v>R(1) C(0)</v>
      </c>
      <c r="BZ413" s="16" t="str">
        <f>IFERROR(__xludf.DUMMYFUNCTION("""COMPUTED_VALUE"""),"R(1) C(0)")</f>
        <v>R(1) C(0)</v>
      </c>
      <c r="CA413" s="16" t="str">
        <f>IFERROR(__xludf.DUMMYFUNCTION("""COMPUTED_VALUE"""),"R(1)")</f>
        <v>R(1)</v>
      </c>
      <c r="CB413" s="16" t="str">
        <f>IFERROR(__xludf.DUMMYFUNCTION("""COMPUTED_VALUE"""),"C(0)")</f>
        <v>C(0)</v>
      </c>
      <c r="CC413" s="16"/>
      <c r="CD413" s="16"/>
      <c r="CE413" s="16">
        <f>IFERROR(__xludf.DUMMYFUNCTION("""COMPUTED_VALUE"""),1.0)</f>
        <v>1</v>
      </c>
      <c r="CF413" s="16">
        <f>IFERROR(__xludf.DUMMYFUNCTION("""COMPUTED_VALUE"""),0.0)</f>
        <v>0</v>
      </c>
      <c r="CG413" s="16" t="str">
        <f>IFERROR(__xludf.DUMMYFUNCTION("""COMPUTED_VALUE"""),"4-0")</f>
        <v>4-0</v>
      </c>
      <c r="CH413" s="16">
        <f>IFERROR(__xludf.DUMMYFUNCTION("""COMPUTED_VALUE"""),4.0)</f>
        <v>4</v>
      </c>
      <c r="CI413" s="16">
        <f>IFERROR(__xludf.DUMMYFUNCTION("""COMPUTED_VALUE"""),0.0)</f>
        <v>0</v>
      </c>
      <c r="CJ413" s="16">
        <f>IFERROR(__xludf.DUMMYFUNCTION("""COMPUTED_VALUE"""),0.0)</f>
        <v>0</v>
      </c>
      <c r="CK413" s="16">
        <f>IFERROR(__xludf.DUMMYFUNCTION("""COMPUTED_VALUE"""),0.0)</f>
        <v>0</v>
      </c>
      <c r="CL413" s="16" t="str">
        <f>IFERROR(__xludf.DUMMYFUNCTION("""COMPUTED_VALUE"""),"1WR-C")</f>
        <v>1WR-C</v>
      </c>
      <c r="CM413" s="16" t="str">
        <f>IFERROR(__xludf.DUMMYFUNCTION("""COMPUTED_VALUE"""),"E")</f>
        <v>E</v>
      </c>
      <c r="CN413" s="16">
        <f>IFERROR(__xludf.DUMMYFUNCTION("""COMPUTED_VALUE"""),10.0)</f>
        <v>10</v>
      </c>
      <c r="CO413" s="16" t="str">
        <f>IFERROR(__xludf.DUMMYFUNCTION("""COMPUTED_VALUE"""),"C")</f>
        <v>C</v>
      </c>
      <c r="CP413" s="16" t="str">
        <f>IFERROR(__xludf.DUMMYFUNCTION("""COMPUTED_VALUE"""),"1p40")</f>
        <v>1p40</v>
      </c>
      <c r="CQ413" s="16">
        <f>IFERROR(__xludf.DUMMYFUNCTION("""COMPUTED_VALUE"""),-40.0)</f>
        <v>-40</v>
      </c>
      <c r="CR413" s="16">
        <f>IFERROR(__xludf.DUMMYFUNCTION("""COMPUTED_VALUE"""),18.0)</f>
        <v>18</v>
      </c>
      <c r="CS413" s="16">
        <f>IFERROR(__xludf.DUMMYFUNCTION("""COMPUTED_VALUE"""),-22.0)</f>
        <v>-22</v>
      </c>
      <c r="CT413" s="16">
        <f>IFERROR(__xludf.DUMMYFUNCTION("""COMPUTED_VALUE"""),-40.0)</f>
        <v>-40</v>
      </c>
      <c r="CU413" s="16">
        <f>IFERROR(__xludf.DUMMYFUNCTION("""COMPUTED_VALUE"""),18.0)</f>
        <v>18</v>
      </c>
      <c r="CV413" s="179">
        <f>IFERROR(__xludf.DUMMYFUNCTION("""COMPUTED_VALUE"""),-15.666666666666668)</f>
        <v>-15.66666667</v>
      </c>
      <c r="CW413" s="179">
        <f>IFERROR(__xludf.DUMMYFUNCTION("""COMPUTED_VALUE"""),4.0)</f>
        <v>4</v>
      </c>
      <c r="CX413" s="179">
        <f>IFERROR(__xludf.DUMMYFUNCTION("""COMPUTED_VALUE"""),1.0)</f>
        <v>1</v>
      </c>
      <c r="CY413" s="16" t="str">
        <f>IFERROR(__xludf.DUMMYFUNCTION("""COMPUTED_VALUE"""),"RP")</f>
        <v>RP</v>
      </c>
      <c r="CZ413" s="16" t="str">
        <f>IFERROR(__xludf.DUMMYFUNCTION("""COMPUTED_VALUE"""),"CP")</f>
        <v>CP</v>
      </c>
      <c r="DA413" s="16"/>
      <c r="DB413" s="16"/>
      <c r="DC413" s="16"/>
      <c r="DD413" s="16"/>
      <c r="DE413" s="16"/>
      <c r="DF413" s="16"/>
      <c r="DG413" s="16"/>
      <c r="DH413" s="16"/>
      <c r="DI413" s="16"/>
      <c r="DJ413" s="16"/>
      <c r="DK413" s="16"/>
    </row>
    <row r="414">
      <c r="A414" s="16">
        <f>IFERROR(__xludf.DUMMYFUNCTION("""COMPUTED_VALUE"""),12840.0)</f>
        <v>12840</v>
      </c>
      <c r="B414" s="16" t="str">
        <f>IFERROR(__xludf.DUMMYFUNCTION("""COMPUTED_VALUE"""),"Genesis Cabrera")</f>
        <v>Genesis Cabrera</v>
      </c>
      <c r="C414" s="153">
        <f>IFERROR(__xludf.DUMMYFUNCTION("""COMPUTED_VALUE"""),0.0)</f>
        <v>0</v>
      </c>
      <c r="D414" s="16"/>
      <c r="E414" s="16" t="str">
        <f>IFERROR(__xludf.DUMMYFUNCTION("""COMPUTED_VALUE"""),"L")</f>
        <v>L</v>
      </c>
      <c r="F414" s="16">
        <f>IFERROR(__xludf.DUMMYFUNCTION("""COMPUTED_VALUE"""),63.0)</f>
        <v>63</v>
      </c>
      <c r="G414" s="16">
        <f>IFERROR(__xludf.DUMMYFUNCTION("""COMPUTED_VALUE"""),13.0)</f>
        <v>13</v>
      </c>
      <c r="H414" s="16">
        <f>IFERROR(__xludf.DUMMYFUNCTION("""COMPUTED_VALUE"""),14.0)</f>
        <v>14</v>
      </c>
      <c r="I414" s="16">
        <f>IFERROR(__xludf.DUMMYFUNCTION("""COMPUTED_VALUE"""),-2.0)</f>
        <v>-2</v>
      </c>
      <c r="J414" s="16">
        <f>IFERROR(__xludf.DUMMYFUNCTION("""COMPUTED_VALUE"""),-2.0)</f>
        <v>-2</v>
      </c>
      <c r="K414" s="16">
        <f>IFERROR(__xludf.DUMMYFUNCTION("""COMPUTED_VALUE"""),-6.0)</f>
        <v>-6</v>
      </c>
      <c r="L414" s="16">
        <f>IFERROR(__xludf.DUMMYFUNCTION("""COMPUTED_VALUE"""),-6.0)</f>
        <v>-6</v>
      </c>
      <c r="M414" s="16">
        <f>IFERROR(__xludf.DUMMYFUNCTION("""COMPUTED_VALUE"""),10.0)</f>
        <v>10</v>
      </c>
      <c r="N414" s="16">
        <f>IFERROR(__xludf.DUMMYFUNCTION("""COMPUTED_VALUE"""),13.0)</f>
        <v>13</v>
      </c>
      <c r="O414" s="16">
        <f>IFERROR(__xludf.DUMMYFUNCTION("""COMPUTED_VALUE"""),0.0)</f>
        <v>0</v>
      </c>
      <c r="P414" s="16">
        <f>IFERROR(__xludf.DUMMYFUNCTION("""COMPUTED_VALUE"""),-2.0)</f>
        <v>-2</v>
      </c>
      <c r="Q414" s="16">
        <f>IFERROR(__xludf.DUMMYFUNCTION("""COMPUTED_VALUE"""),0.0)</f>
        <v>0</v>
      </c>
      <c r="R414" s="16">
        <f>IFERROR(__xludf.DUMMYFUNCTION("""COMPUTED_VALUE"""),-2.0)</f>
        <v>-2</v>
      </c>
      <c r="S414" s="16">
        <f>IFERROR(__xludf.DUMMYFUNCTION("""COMPUTED_VALUE"""),14.4)</f>
        <v>14.4</v>
      </c>
      <c r="T414" s="16">
        <f>IFERROR(__xludf.DUMMYFUNCTION("""COMPUTED_VALUE"""),22.3)</f>
        <v>22.3</v>
      </c>
      <c r="U414" s="16">
        <f>IFERROR(__xludf.DUMMYFUNCTION("""COMPUTED_VALUE"""),0.0)</f>
        <v>0</v>
      </c>
      <c r="V414" s="16">
        <f>IFERROR(__xludf.DUMMYFUNCTION("""COMPUTED_VALUE"""),-1.0)</f>
        <v>-1</v>
      </c>
      <c r="W414" s="16">
        <f>IFERROR(__xludf.DUMMYFUNCTION("""COMPUTED_VALUE"""),0.0)</f>
        <v>0</v>
      </c>
      <c r="X414" s="16">
        <f>IFERROR(__xludf.DUMMYFUNCTION("""COMPUTED_VALUE"""),-2.0)</f>
        <v>-2</v>
      </c>
      <c r="Y414" s="16">
        <f>IFERROR(__xludf.DUMMYFUNCTION("""COMPUTED_VALUE"""),24.5)</f>
        <v>24.5</v>
      </c>
      <c r="Z414" s="16">
        <f>IFERROR(__xludf.DUMMYFUNCTION("""COMPUTED_VALUE"""),35.3)</f>
        <v>35.3</v>
      </c>
      <c r="AA414" s="16">
        <f>IFERROR(__xludf.DUMMYFUNCTION("""COMPUTED_VALUE"""),0.0)</f>
        <v>0</v>
      </c>
      <c r="AB414" s="16">
        <f>IFERROR(__xludf.DUMMYFUNCTION("""COMPUTED_VALUE"""),-2.0)</f>
        <v>-2</v>
      </c>
      <c r="AC414" s="16">
        <f>IFERROR(__xludf.DUMMYFUNCTION("""COMPUTED_VALUE"""),0.0)</f>
        <v>0</v>
      </c>
      <c r="AD414" s="16">
        <f>IFERROR(__xludf.DUMMYFUNCTION("""COMPUTED_VALUE"""),-10.0)</f>
        <v>-10</v>
      </c>
      <c r="AE414" s="16">
        <f>IFERROR(__xludf.DUMMYFUNCTION("""COMPUTED_VALUE"""),34.7)</f>
        <v>34.7</v>
      </c>
      <c r="AF414" s="16">
        <f>IFERROR(__xludf.DUMMYFUNCTION("""COMPUTED_VALUE"""),33.0)</f>
        <v>33</v>
      </c>
      <c r="AG414" s="16">
        <f>IFERROR(__xludf.DUMMYFUNCTION("""COMPUTED_VALUE"""),-1.0)</f>
        <v>-1</v>
      </c>
      <c r="AH414" s="16">
        <f>IFERROR(__xludf.DUMMYFUNCTION("""COMPUTED_VALUE"""),-1.0)</f>
        <v>-1</v>
      </c>
      <c r="AI414" s="16">
        <f>IFERROR(__xludf.DUMMYFUNCTION("""COMPUTED_VALUE"""),-2.0)</f>
        <v>-2</v>
      </c>
      <c r="AJ414" s="16">
        <f>IFERROR(__xludf.DUMMYFUNCTION("""COMPUTED_VALUE"""),-2.0)</f>
        <v>-2</v>
      </c>
      <c r="AK414" s="16">
        <f>IFERROR(__xludf.DUMMYFUNCTION("""COMPUTED_VALUE"""),9.100000000000001)</f>
        <v>9.1</v>
      </c>
      <c r="AL414" s="16">
        <f>IFERROR(__xludf.DUMMYFUNCTION("""COMPUTED_VALUE"""),20.3)</f>
        <v>20.3</v>
      </c>
      <c r="AM414" s="16">
        <f>IFERROR(__xludf.DUMMYFUNCTION("""COMPUTED_VALUE"""),1.0)</f>
        <v>1</v>
      </c>
      <c r="AN414" s="16">
        <f>IFERROR(__xludf.DUMMYFUNCTION("""COMPUTED_VALUE"""),-1.0)</f>
        <v>-1</v>
      </c>
      <c r="AO414" s="16">
        <f>IFERROR(__xludf.DUMMYFUNCTION("""COMPUTED_VALUE"""),1.0)</f>
        <v>1</v>
      </c>
      <c r="AP414" s="16">
        <f>IFERROR(__xludf.DUMMYFUNCTION("""COMPUTED_VALUE"""),-1.0)</f>
        <v>-1</v>
      </c>
      <c r="AQ414" s="16">
        <f>IFERROR(__xludf.DUMMYFUNCTION("""COMPUTED_VALUE"""),13.500000000000004)</f>
        <v>13.5</v>
      </c>
      <c r="AR414" s="16">
        <f>IFERROR(__xludf.DUMMYFUNCTION("""COMPUTED_VALUE"""),25.0)</f>
        <v>25</v>
      </c>
      <c r="AS414" s="16">
        <f>IFERROR(__xludf.DUMMYFUNCTION("""COMPUTED_VALUE"""),1.0)</f>
        <v>1</v>
      </c>
      <c r="AT414" s="16">
        <f>IFERROR(__xludf.DUMMYFUNCTION("""COMPUTED_VALUE"""),-1.0)</f>
        <v>-1</v>
      </c>
      <c r="AU414" s="16">
        <f>IFERROR(__xludf.DUMMYFUNCTION("""COMPUTED_VALUE"""),2.0)</f>
        <v>2</v>
      </c>
      <c r="AV414" s="16">
        <f>IFERROR(__xludf.DUMMYFUNCTION("""COMPUTED_VALUE"""),-2.0)</f>
        <v>-2</v>
      </c>
      <c r="AW414" s="16">
        <f>IFERROR(__xludf.DUMMYFUNCTION("""COMPUTED_VALUE"""),5.3)</f>
        <v>5.3</v>
      </c>
      <c r="AX414" s="16">
        <f>IFERROR(__xludf.DUMMYFUNCTION("""COMPUTED_VALUE"""),2.0)</f>
        <v>2</v>
      </c>
      <c r="AY414" s="16">
        <f>IFERROR(__xludf.DUMMYFUNCTION("""COMPUTED_VALUE"""),-3.0)</f>
        <v>-3</v>
      </c>
      <c r="AZ414" s="16">
        <f>IFERROR(__xludf.DUMMYFUNCTION("""COMPUTED_VALUE"""),0.0)</f>
        <v>0</v>
      </c>
      <c r="BA414" s="16">
        <f>IFERROR(__xludf.DUMMYFUNCTION("""COMPUTED_VALUE"""),-15.0)</f>
        <v>-15</v>
      </c>
      <c r="BB414" s="16">
        <f>IFERROR(__xludf.DUMMYFUNCTION("""COMPUTED_VALUE"""),0.0)</f>
        <v>0</v>
      </c>
      <c r="BC414" s="16">
        <f>IFERROR(__xludf.DUMMYFUNCTION("""COMPUTED_VALUE"""),8.0)</f>
        <v>8</v>
      </c>
      <c r="BD414" s="16">
        <f>IFERROR(__xludf.DUMMYFUNCTION("""COMPUTED_VALUE"""),3.0)</f>
        <v>3</v>
      </c>
      <c r="BE414" s="16">
        <f>IFERROR(__xludf.DUMMYFUNCTION("""COMPUTED_VALUE"""),8.0)</f>
        <v>8</v>
      </c>
      <c r="BF414" s="16">
        <f>IFERROR(__xludf.DUMMYFUNCTION("""COMPUTED_VALUE"""),3.0)</f>
        <v>3</v>
      </c>
      <c r="BG414" s="16">
        <f>IFERROR(__xludf.DUMMYFUNCTION("""COMPUTED_VALUE"""),-3.0)</f>
        <v>-3</v>
      </c>
      <c r="BH414" s="16">
        <f>IFERROR(__xludf.DUMMYFUNCTION("""COMPUTED_VALUE"""),0.0)</f>
        <v>0</v>
      </c>
      <c r="BI414" s="16">
        <f>IFERROR(__xludf.DUMMYFUNCTION("""COMPUTED_VALUE"""),-6.0)</f>
        <v>-6</v>
      </c>
      <c r="BJ414" s="16">
        <f>IFERROR(__xludf.DUMMYFUNCTION("""COMPUTED_VALUE"""),0.0)</f>
        <v>0</v>
      </c>
      <c r="BK414" s="16">
        <f>IFERROR(__xludf.DUMMYFUNCTION("""COMPUTED_VALUE"""),5.0)</f>
        <v>5</v>
      </c>
      <c r="BL414" s="16">
        <f>IFERROR(__xludf.DUMMYFUNCTION("""COMPUTED_VALUE"""),5.0)</f>
        <v>5</v>
      </c>
      <c r="BM414" s="16">
        <f>IFERROR(__xludf.DUMMYFUNCTION("""COMPUTED_VALUE"""),0.0)</f>
        <v>0</v>
      </c>
      <c r="BN414" s="16">
        <f>IFERROR(__xludf.DUMMYFUNCTION("""COMPUTED_VALUE"""),0.0)</f>
        <v>0</v>
      </c>
      <c r="BO414" s="16">
        <f>IFERROR(__xludf.DUMMYFUNCTION("""COMPUTED_VALUE"""),0.0)</f>
        <v>0</v>
      </c>
      <c r="BP414" s="16">
        <f>IFERROR(__xludf.DUMMYFUNCTION("""COMPUTED_VALUE"""),0.0)</f>
        <v>0</v>
      </c>
      <c r="BQ414" s="16">
        <f>IFERROR(__xludf.DUMMYFUNCTION("""COMPUTED_VALUE"""),14.0)</f>
        <v>14</v>
      </c>
      <c r="BR414" s="16">
        <f>IFERROR(__xludf.DUMMYFUNCTION("""COMPUTED_VALUE"""),12.0)</f>
        <v>12</v>
      </c>
      <c r="BS414" s="16">
        <f>IFERROR(__xludf.DUMMYFUNCTION("""COMPUTED_VALUE"""),3.0)</f>
        <v>3</v>
      </c>
      <c r="BT414" s="16">
        <f>IFERROR(__xludf.DUMMYFUNCTION("""COMPUTED_VALUE"""),3.0)</f>
        <v>3</v>
      </c>
      <c r="BU414" s="16">
        <f>IFERROR(__xludf.DUMMYFUNCTION("""COMPUTED_VALUE"""),6.0)</f>
        <v>6</v>
      </c>
      <c r="BV414" s="16">
        <f>IFERROR(__xludf.DUMMYFUNCTION("""COMPUTED_VALUE"""),6.0)</f>
        <v>6</v>
      </c>
      <c r="BW414" s="16">
        <f>IFERROR(__xludf.DUMMYFUNCTION("""COMPUTED_VALUE"""),9.0)</f>
        <v>9</v>
      </c>
      <c r="BX414" s="16">
        <f>IFERROR(__xludf.DUMMYFUNCTION("""COMPUTED_VALUE"""),9.0)</f>
        <v>9</v>
      </c>
      <c r="BY414" s="16" t="str">
        <f>IFERROR(__xludf.DUMMYFUNCTION("""COMPUTED_VALUE"""),"R(1) C(1)")</f>
        <v>R(1) C(1)</v>
      </c>
      <c r="BZ414" s="16" t="str">
        <f>IFERROR(__xludf.DUMMYFUNCTION("""COMPUTED_VALUE"""),"R(1) C(1)")</f>
        <v>R(1) C(1)</v>
      </c>
      <c r="CA414" s="16" t="str">
        <f>IFERROR(__xludf.DUMMYFUNCTION("""COMPUTED_VALUE"""),"R(1)")</f>
        <v>R(1)</v>
      </c>
      <c r="CB414" s="16" t="str">
        <f>IFERROR(__xludf.DUMMYFUNCTION("""COMPUTED_VALUE"""),"C(1)")</f>
        <v>C(1)</v>
      </c>
      <c r="CC414" s="16"/>
      <c r="CD414" s="16"/>
      <c r="CE414" s="16">
        <f>IFERROR(__xludf.DUMMYFUNCTION("""COMPUTED_VALUE"""),1.0)</f>
        <v>1</v>
      </c>
      <c r="CF414" s="16">
        <f>IFERROR(__xludf.DUMMYFUNCTION("""COMPUTED_VALUE"""),1.0)</f>
        <v>1</v>
      </c>
      <c r="CG414" s="16" t="str">
        <f>IFERROR(__xludf.DUMMYFUNCTION("""COMPUTED_VALUE"""),"4-0")</f>
        <v>4-0</v>
      </c>
      <c r="CH414" s="16">
        <f>IFERROR(__xludf.DUMMYFUNCTION("""COMPUTED_VALUE"""),4.0)</f>
        <v>4</v>
      </c>
      <c r="CI414" s="16">
        <f>IFERROR(__xludf.DUMMYFUNCTION("""COMPUTED_VALUE"""),0.0)</f>
        <v>0</v>
      </c>
      <c r="CJ414" s="16">
        <f>IFERROR(__xludf.DUMMYFUNCTION("""COMPUTED_VALUE"""),9.0)</f>
        <v>9</v>
      </c>
      <c r="CK414" s="16">
        <f>IFERROR(__xludf.DUMMYFUNCTION("""COMPUTED_VALUE"""),6.0)</f>
        <v>6</v>
      </c>
      <c r="CL414" s="16" t="str">
        <f>IFERROR(__xludf.DUMMYFUNCTION("""COMPUTED_VALUE"""),"1WL-C")</f>
        <v>1WL-C</v>
      </c>
      <c r="CM414" s="16" t="str">
        <f>IFERROR(__xludf.DUMMYFUNCTION("""COMPUTED_VALUE"""),"E")</f>
        <v>E</v>
      </c>
      <c r="CN414" s="16">
        <f>IFERROR(__xludf.DUMMYFUNCTION("""COMPUTED_VALUE"""),10.0)</f>
        <v>10</v>
      </c>
      <c r="CO414" s="16" t="str">
        <f>IFERROR(__xludf.DUMMYFUNCTION("""COMPUTED_VALUE"""),"C")</f>
        <v>C</v>
      </c>
      <c r="CP414" s="16" t="str">
        <f>IFERROR(__xludf.DUMMYFUNCTION("""COMPUTED_VALUE"""),"1p50")</f>
        <v>1p50</v>
      </c>
      <c r="CQ414" s="16">
        <f>IFERROR(__xludf.DUMMYFUNCTION("""COMPUTED_VALUE"""),-20.0)</f>
        <v>-20</v>
      </c>
      <c r="CR414" s="16">
        <f>IFERROR(__xludf.DUMMYFUNCTION("""COMPUTED_VALUE"""),-19.0)</f>
        <v>-19</v>
      </c>
      <c r="CS414" s="16">
        <f>IFERROR(__xludf.DUMMYFUNCTION("""COMPUTED_VALUE"""),-39.0)</f>
        <v>-39</v>
      </c>
      <c r="CT414" s="16">
        <f>IFERROR(__xludf.DUMMYFUNCTION("""COMPUTED_VALUE"""),-20.0)</f>
        <v>-20</v>
      </c>
      <c r="CU414" s="16">
        <f>IFERROR(__xludf.DUMMYFUNCTION("""COMPUTED_VALUE"""),-19.0)</f>
        <v>-19</v>
      </c>
      <c r="CV414" s="179">
        <f>IFERROR(__xludf.DUMMYFUNCTION("""COMPUTED_VALUE"""),-15.666666666666668)</f>
        <v>-15.66666667</v>
      </c>
      <c r="CW414" s="179">
        <f>IFERROR(__xludf.DUMMYFUNCTION("""COMPUTED_VALUE"""),4.0)</f>
        <v>4</v>
      </c>
      <c r="CX414" s="179">
        <f>IFERROR(__xludf.DUMMYFUNCTION("""COMPUTED_VALUE"""),0.0)</f>
        <v>0</v>
      </c>
      <c r="CY414" s="16" t="str">
        <f>IFERROR(__xludf.DUMMYFUNCTION("""COMPUTED_VALUE"""),"RP")</f>
        <v>RP</v>
      </c>
      <c r="CZ414" s="16" t="str">
        <f>IFERROR(__xludf.DUMMYFUNCTION("""COMPUTED_VALUE"""),"CP")</f>
        <v>CP</v>
      </c>
      <c r="DA414" s="16"/>
      <c r="DB414" s="16"/>
      <c r="DC414" s="16"/>
      <c r="DD414" s="16"/>
      <c r="DE414" s="16"/>
      <c r="DF414" s="16"/>
      <c r="DG414" s="16"/>
      <c r="DH414" s="16"/>
      <c r="DI414" s="16"/>
      <c r="DJ414" s="16"/>
      <c r="DK414" s="16"/>
    </row>
    <row r="415">
      <c r="A415" s="16">
        <f>IFERROR(__xludf.DUMMYFUNCTION("""COMPUTED_VALUE"""),13287.0)</f>
        <v>13287</v>
      </c>
      <c r="B415" s="16" t="str">
        <f>IFERROR(__xludf.DUMMYFUNCTION("""COMPUTED_VALUE"""),"Peter Lambert")</f>
        <v>Peter Lambert</v>
      </c>
      <c r="C415" s="153">
        <f>IFERROR(__xludf.DUMMYFUNCTION("""COMPUTED_VALUE"""),0.0)</f>
        <v>0</v>
      </c>
      <c r="D415" s="16"/>
      <c r="E415" s="16" t="str">
        <f>IFERROR(__xludf.DUMMYFUNCTION("""COMPUTED_VALUE"""),"R")</f>
        <v>R</v>
      </c>
      <c r="F415" s="16">
        <f>IFERROR(__xludf.DUMMYFUNCTION("""COMPUTED_VALUE"""),61.0)</f>
        <v>61</v>
      </c>
      <c r="G415" s="16">
        <f>IFERROR(__xludf.DUMMYFUNCTION("""COMPUTED_VALUE"""),19.0)</f>
        <v>19</v>
      </c>
      <c r="H415" s="16">
        <f>IFERROR(__xludf.DUMMYFUNCTION("""COMPUTED_VALUE"""),13.0)</f>
        <v>13</v>
      </c>
      <c r="I415" s="16">
        <f>IFERROR(__xludf.DUMMYFUNCTION("""COMPUTED_VALUE"""),-1.0)</f>
        <v>-1</v>
      </c>
      <c r="J415" s="16">
        <f>IFERROR(__xludf.DUMMYFUNCTION("""COMPUTED_VALUE"""),-2.0)</f>
        <v>-2</v>
      </c>
      <c r="K415" s="16">
        <f>IFERROR(__xludf.DUMMYFUNCTION("""COMPUTED_VALUE"""),-3.0)</f>
        <v>-3</v>
      </c>
      <c r="L415" s="16">
        <f>IFERROR(__xludf.DUMMYFUNCTION("""COMPUTED_VALUE"""),-6.0)</f>
        <v>-6</v>
      </c>
      <c r="M415" s="16">
        <f>IFERROR(__xludf.DUMMYFUNCTION("""COMPUTED_VALUE"""),12.0)</f>
        <v>12</v>
      </c>
      <c r="N415" s="16">
        <f>IFERROR(__xludf.DUMMYFUNCTION("""COMPUTED_VALUE"""),13.0)</f>
        <v>13</v>
      </c>
      <c r="O415" s="16">
        <f>IFERROR(__xludf.DUMMYFUNCTION("""COMPUTED_VALUE"""),-1.0)</f>
        <v>-1</v>
      </c>
      <c r="P415" s="16">
        <f>IFERROR(__xludf.DUMMYFUNCTION("""COMPUTED_VALUE"""),-2.0)</f>
        <v>-2</v>
      </c>
      <c r="Q415" s="16">
        <f>IFERROR(__xludf.DUMMYFUNCTION("""COMPUTED_VALUE"""),-1.0)</f>
        <v>-1</v>
      </c>
      <c r="R415" s="16">
        <f>IFERROR(__xludf.DUMMYFUNCTION("""COMPUTED_VALUE"""),-2.0)</f>
        <v>-2</v>
      </c>
      <c r="S415" s="16">
        <f>IFERROR(__xludf.DUMMYFUNCTION("""COMPUTED_VALUE"""),25.9)</f>
        <v>25.9</v>
      </c>
      <c r="T415" s="16">
        <f>IFERROR(__xludf.DUMMYFUNCTION("""COMPUTED_VALUE"""),26.2)</f>
        <v>26.2</v>
      </c>
      <c r="U415" s="16">
        <f>IFERROR(__xludf.DUMMYFUNCTION("""COMPUTED_VALUE"""),-2.0)</f>
        <v>-2</v>
      </c>
      <c r="V415" s="16">
        <f>IFERROR(__xludf.DUMMYFUNCTION("""COMPUTED_VALUE"""),-2.0)</f>
        <v>-2</v>
      </c>
      <c r="W415" s="16">
        <f>IFERROR(__xludf.DUMMYFUNCTION("""COMPUTED_VALUE"""),-4.0)</f>
        <v>-4</v>
      </c>
      <c r="X415" s="16">
        <f>IFERROR(__xludf.DUMMYFUNCTION("""COMPUTED_VALUE"""),-4.0)</f>
        <v>-4</v>
      </c>
      <c r="Y415" s="16">
        <f>IFERROR(__xludf.DUMMYFUNCTION("""COMPUTED_VALUE"""),37.9)</f>
        <v>37.9</v>
      </c>
      <c r="Z415" s="16">
        <f>IFERROR(__xludf.DUMMYFUNCTION("""COMPUTED_VALUE"""),39.2)</f>
        <v>39.2</v>
      </c>
      <c r="AA415" s="16">
        <f>IFERROR(__xludf.DUMMYFUNCTION("""COMPUTED_VALUE"""),-2.0)</f>
        <v>-2</v>
      </c>
      <c r="AB415" s="16">
        <f>IFERROR(__xludf.DUMMYFUNCTION("""COMPUTED_VALUE"""),-2.0)</f>
        <v>-2</v>
      </c>
      <c r="AC415" s="16">
        <f>IFERROR(__xludf.DUMMYFUNCTION("""COMPUTED_VALUE"""),-10.0)</f>
        <v>-10</v>
      </c>
      <c r="AD415" s="16">
        <f>IFERROR(__xludf.DUMMYFUNCTION("""COMPUTED_VALUE"""),-10.0)</f>
        <v>-10</v>
      </c>
      <c r="AE415" s="16">
        <f>IFERROR(__xludf.DUMMYFUNCTION("""COMPUTED_VALUE"""),42.3)</f>
        <v>42.3</v>
      </c>
      <c r="AF415" s="16">
        <f>IFERROR(__xludf.DUMMYFUNCTION("""COMPUTED_VALUE"""),38.6)</f>
        <v>38.6</v>
      </c>
      <c r="AG415" s="16">
        <f>IFERROR(__xludf.DUMMYFUNCTION("""COMPUTED_VALUE"""),-1.0)</f>
        <v>-1</v>
      </c>
      <c r="AH415" s="16">
        <f>IFERROR(__xludf.DUMMYFUNCTION("""COMPUTED_VALUE"""),-1.0)</f>
        <v>-1</v>
      </c>
      <c r="AI415" s="16">
        <f>IFERROR(__xludf.DUMMYFUNCTION("""COMPUTED_VALUE"""),-2.0)</f>
        <v>-2</v>
      </c>
      <c r="AJ415" s="16">
        <f>IFERROR(__xludf.DUMMYFUNCTION("""COMPUTED_VALUE"""),-2.0)</f>
        <v>-2</v>
      </c>
      <c r="AK415" s="16">
        <f>IFERROR(__xludf.DUMMYFUNCTION("""COMPUTED_VALUE"""),24.7)</f>
        <v>24.7</v>
      </c>
      <c r="AL415" s="16">
        <f>IFERROR(__xludf.DUMMYFUNCTION("""COMPUTED_VALUE"""),25.0)</f>
        <v>25</v>
      </c>
      <c r="AM415" s="16">
        <f>IFERROR(__xludf.DUMMYFUNCTION("""COMPUTED_VALUE"""),-2.0)</f>
        <v>-2</v>
      </c>
      <c r="AN415" s="16">
        <f>IFERROR(__xludf.DUMMYFUNCTION("""COMPUTED_VALUE"""),-2.0)</f>
        <v>-2</v>
      </c>
      <c r="AO415" s="16">
        <f>IFERROR(__xludf.DUMMYFUNCTION("""COMPUTED_VALUE"""),-2.0)</f>
        <v>-2</v>
      </c>
      <c r="AP415" s="16">
        <f>IFERROR(__xludf.DUMMYFUNCTION("""COMPUTED_VALUE"""),-2.0)</f>
        <v>-2</v>
      </c>
      <c r="AQ415" s="16">
        <f>IFERROR(__xludf.DUMMYFUNCTION("""COMPUTED_VALUE"""),37.5)</f>
        <v>37.5</v>
      </c>
      <c r="AR415" s="16">
        <f>IFERROR(__xludf.DUMMYFUNCTION("""COMPUTED_VALUE"""),33.800000000000004)</f>
        <v>33.8</v>
      </c>
      <c r="AS415" s="16">
        <f>IFERROR(__xludf.DUMMYFUNCTION("""COMPUTED_VALUE"""),-2.0)</f>
        <v>-2</v>
      </c>
      <c r="AT415" s="16">
        <f>IFERROR(__xludf.DUMMYFUNCTION("""COMPUTED_VALUE"""),-2.0)</f>
        <v>-2</v>
      </c>
      <c r="AU415" s="16">
        <f>IFERROR(__xludf.DUMMYFUNCTION("""COMPUTED_VALUE"""),-4.0)</f>
        <v>-4</v>
      </c>
      <c r="AV415" s="16">
        <f>IFERROR(__xludf.DUMMYFUNCTION("""COMPUTED_VALUE"""),-4.0)</f>
        <v>-4</v>
      </c>
      <c r="AW415" s="16">
        <f>IFERROR(__xludf.DUMMYFUNCTION("""COMPUTED_VALUE"""),1.2)</f>
        <v>1.2</v>
      </c>
      <c r="AX415" s="16">
        <f>IFERROR(__xludf.DUMMYFUNCTION("""COMPUTED_VALUE"""),1.2)</f>
        <v>1.2</v>
      </c>
      <c r="AY415" s="16">
        <f>IFERROR(__xludf.DUMMYFUNCTION("""COMPUTED_VALUE"""),1.0)</f>
        <v>1</v>
      </c>
      <c r="AZ415" s="16">
        <f>IFERROR(__xludf.DUMMYFUNCTION("""COMPUTED_VALUE"""),1.0)</f>
        <v>1</v>
      </c>
      <c r="BA415" s="16">
        <f>IFERROR(__xludf.DUMMYFUNCTION("""COMPUTED_VALUE"""),5.0)</f>
        <v>5</v>
      </c>
      <c r="BB415" s="16">
        <f>IFERROR(__xludf.DUMMYFUNCTION("""COMPUTED_VALUE"""),5.0)</f>
        <v>5</v>
      </c>
      <c r="BC415" s="16">
        <f>IFERROR(__xludf.DUMMYFUNCTION("""COMPUTED_VALUE"""),2.0)</f>
        <v>2</v>
      </c>
      <c r="BD415" s="16">
        <f>IFERROR(__xludf.DUMMYFUNCTION("""COMPUTED_VALUE"""),2.0)</f>
        <v>2</v>
      </c>
      <c r="BE415" s="16">
        <f>IFERROR(__xludf.DUMMYFUNCTION("""COMPUTED_VALUE"""),2.0)</f>
        <v>2</v>
      </c>
      <c r="BF415" s="16">
        <f>IFERROR(__xludf.DUMMYFUNCTION("""COMPUTED_VALUE"""),2.0)</f>
        <v>2</v>
      </c>
      <c r="BG415" s="16">
        <f>IFERROR(__xludf.DUMMYFUNCTION("""COMPUTED_VALUE"""),1.0)</f>
        <v>1</v>
      </c>
      <c r="BH415" s="16">
        <f>IFERROR(__xludf.DUMMYFUNCTION("""COMPUTED_VALUE"""),1.0)</f>
        <v>1</v>
      </c>
      <c r="BI415" s="16">
        <f>IFERROR(__xludf.DUMMYFUNCTION("""COMPUTED_VALUE"""),2.0)</f>
        <v>2</v>
      </c>
      <c r="BJ415" s="16">
        <f>IFERROR(__xludf.DUMMYFUNCTION("""COMPUTED_VALUE"""),2.0)</f>
        <v>2</v>
      </c>
      <c r="BK415" s="16">
        <f>IFERROR(__xludf.DUMMYFUNCTION("""COMPUTED_VALUE"""),5.0)</f>
        <v>5</v>
      </c>
      <c r="BL415" s="16">
        <f>IFERROR(__xludf.DUMMYFUNCTION("""COMPUTED_VALUE"""),5.0)</f>
        <v>5</v>
      </c>
      <c r="BM415" s="16">
        <f>IFERROR(__xludf.DUMMYFUNCTION("""COMPUTED_VALUE"""),0.0)</f>
        <v>0</v>
      </c>
      <c r="BN415" s="16">
        <f>IFERROR(__xludf.DUMMYFUNCTION("""COMPUTED_VALUE"""),0.0)</f>
        <v>0</v>
      </c>
      <c r="BO415" s="16">
        <f>IFERROR(__xludf.DUMMYFUNCTION("""COMPUTED_VALUE"""),0.0)</f>
        <v>0</v>
      </c>
      <c r="BP415" s="16">
        <f>IFERROR(__xludf.DUMMYFUNCTION("""COMPUTED_VALUE"""),0.0)</f>
        <v>0</v>
      </c>
      <c r="BQ415" s="16">
        <f>IFERROR(__xludf.DUMMYFUNCTION("""COMPUTED_VALUE"""),4.0)</f>
        <v>4</v>
      </c>
      <c r="BR415" s="16">
        <f>IFERROR(__xludf.DUMMYFUNCTION("""COMPUTED_VALUE"""),6.0)</f>
        <v>6</v>
      </c>
      <c r="BS415" s="16">
        <f>IFERROR(__xludf.DUMMYFUNCTION("""COMPUTED_VALUE"""),-1.0)</f>
        <v>-1</v>
      </c>
      <c r="BT415" s="16">
        <f>IFERROR(__xludf.DUMMYFUNCTION("""COMPUTED_VALUE"""),1.0)</f>
        <v>1</v>
      </c>
      <c r="BU415" s="16">
        <f>IFERROR(__xludf.DUMMYFUNCTION("""COMPUTED_VALUE"""),-2.0)</f>
        <v>-2</v>
      </c>
      <c r="BV415" s="16">
        <f>IFERROR(__xludf.DUMMYFUNCTION("""COMPUTED_VALUE"""),2.0)</f>
        <v>2</v>
      </c>
      <c r="BW415" s="16">
        <f>IFERROR(__xludf.DUMMYFUNCTION("""COMPUTED_VALUE"""),1.0)</f>
        <v>1</v>
      </c>
      <c r="BX415" s="16">
        <f>IFERROR(__xludf.DUMMYFUNCTION("""COMPUTED_VALUE"""),1.0)</f>
        <v>1</v>
      </c>
      <c r="BY415" s="16" t="str">
        <f>IFERROR(__xludf.DUMMYFUNCTION("""COMPUTED_VALUE"""),"S(4) R(3)")</f>
        <v>S(4) R(3)</v>
      </c>
      <c r="BZ415" s="16" t="str">
        <f>IFERROR(__xludf.DUMMYFUNCTION("""COMPUTED_VALUE"""),"S(4) R(3)")</f>
        <v>S(4) R(3)</v>
      </c>
      <c r="CA415" s="16" t="str">
        <f>IFERROR(__xludf.DUMMYFUNCTION("""COMPUTED_VALUE"""),"S(4)")</f>
        <v>S(4)</v>
      </c>
      <c r="CB415" s="16" t="str">
        <f>IFERROR(__xludf.DUMMYFUNCTION("""COMPUTED_VALUE"""),"R(3)")</f>
        <v>R(3)</v>
      </c>
      <c r="CC415" s="16"/>
      <c r="CD415" s="16">
        <f>IFERROR(__xludf.DUMMYFUNCTION("""COMPUTED_VALUE"""),4.0)</f>
        <v>4</v>
      </c>
      <c r="CE415" s="16">
        <f>IFERROR(__xludf.DUMMYFUNCTION("""COMPUTED_VALUE"""),3.0)</f>
        <v>3</v>
      </c>
      <c r="CF415" s="16"/>
      <c r="CG415" s="16" t="str">
        <f>IFERROR(__xludf.DUMMYFUNCTION("""COMPUTED_VALUE"""),"3-47")</f>
        <v>3-47</v>
      </c>
      <c r="CH415" s="16">
        <f>IFERROR(__xludf.DUMMYFUNCTION("""COMPUTED_VALUE"""),3.0)</f>
        <v>3</v>
      </c>
      <c r="CI415" s="16">
        <f>IFERROR(__xludf.DUMMYFUNCTION("""COMPUTED_VALUE"""),47.0)</f>
        <v>47</v>
      </c>
      <c r="CJ415" s="16">
        <f>IFERROR(__xludf.DUMMYFUNCTION("""COMPUTED_VALUE"""),0.0)</f>
        <v>0</v>
      </c>
      <c r="CK415" s="16">
        <f>IFERROR(__xludf.DUMMYFUNCTION("""COMPUTED_VALUE"""),17.0)</f>
        <v>17</v>
      </c>
      <c r="CL415" s="16" t="str">
        <f>IFERROR(__xludf.DUMMYFUNCTION("""COMPUTED_VALUE"""),"1WR-C")</f>
        <v>1WR-C</v>
      </c>
      <c r="CM415" s="16" t="str">
        <f>IFERROR(__xludf.DUMMYFUNCTION("""COMPUTED_VALUE"""),"E")</f>
        <v>E</v>
      </c>
      <c r="CN415" s="16">
        <f>IFERROR(__xludf.DUMMYFUNCTION("""COMPUTED_VALUE"""),10.0)</f>
        <v>10</v>
      </c>
      <c r="CO415" s="16" t="str">
        <f>IFERROR(__xludf.DUMMYFUNCTION("""COMPUTED_VALUE"""),"C")</f>
        <v>C</v>
      </c>
      <c r="CP415" s="16" t="str">
        <f>IFERROR(__xludf.DUMMYFUNCTION("""COMPUTED_VALUE"""),"1p40")</f>
        <v>1p40</v>
      </c>
      <c r="CQ415" s="16">
        <f>IFERROR(__xludf.DUMMYFUNCTION("""COMPUTED_VALUE"""),-21.0)</f>
        <v>-21</v>
      </c>
      <c r="CR415" s="16">
        <f>IFERROR(__xludf.DUMMYFUNCTION("""COMPUTED_VALUE"""),-21.0)</f>
        <v>-21</v>
      </c>
      <c r="CS415" s="16">
        <f>IFERROR(__xludf.DUMMYFUNCTION("""COMPUTED_VALUE"""),-42.0)</f>
        <v>-42</v>
      </c>
      <c r="CT415" s="16">
        <f>IFERROR(__xludf.DUMMYFUNCTION("""COMPUTED_VALUE"""),-21.0)</f>
        <v>-21</v>
      </c>
      <c r="CU415" s="16">
        <f>IFERROR(__xludf.DUMMYFUNCTION("""COMPUTED_VALUE"""),-21.0)</f>
        <v>-21</v>
      </c>
      <c r="CV415" s="179">
        <f>IFERROR(__xludf.DUMMYFUNCTION("""COMPUTED_VALUE"""),-16.0)</f>
        <v>-16</v>
      </c>
      <c r="CW415" s="179">
        <f>IFERROR(__xludf.DUMMYFUNCTION("""COMPUTED_VALUE"""),4.0)</f>
        <v>4</v>
      </c>
      <c r="CX415" s="179">
        <f>IFERROR(__xludf.DUMMYFUNCTION("""COMPUTED_VALUE"""),1.0)</f>
        <v>1</v>
      </c>
      <c r="CY415" s="16" t="str">
        <f>IFERROR(__xludf.DUMMYFUNCTION("""COMPUTED_VALUE"""),"SP")</f>
        <v>SP</v>
      </c>
      <c r="CZ415" s="16" t="str">
        <f>IFERROR(__xludf.DUMMYFUNCTION("""COMPUTED_VALUE"""),"RP")</f>
        <v>RP</v>
      </c>
      <c r="DA415" s="16"/>
      <c r="DB415" s="16"/>
      <c r="DC415" s="16"/>
      <c r="DD415" s="16"/>
      <c r="DE415" s="16"/>
      <c r="DF415" s="16"/>
      <c r="DG415" s="16"/>
      <c r="DH415" s="16"/>
      <c r="DI415" s="16"/>
      <c r="DJ415" s="16"/>
      <c r="DK415" s="16"/>
    </row>
    <row r="416">
      <c r="A416" s="16">
        <f>IFERROR(__xludf.DUMMYFUNCTION("""COMPUTED_VALUE"""),13291.0)</f>
        <v>13291</v>
      </c>
      <c r="B416" s="16" t="str">
        <f>IFERROR(__xludf.DUMMYFUNCTION("""COMPUTED_VALUE"""),"Quinn Priester")</f>
        <v>Quinn Priester</v>
      </c>
      <c r="C416" s="153">
        <f>IFERROR(__xludf.DUMMYFUNCTION("""COMPUTED_VALUE"""),0.0)</f>
        <v>0</v>
      </c>
      <c r="D416" s="16"/>
      <c r="E416" s="16" t="str">
        <f>IFERROR(__xludf.DUMMYFUNCTION("""COMPUTED_VALUE"""),"R")</f>
        <v>R</v>
      </c>
      <c r="F416" s="16">
        <f>IFERROR(__xludf.DUMMYFUNCTION("""COMPUTED_VALUE"""),50.0)</f>
        <v>50</v>
      </c>
      <c r="G416" s="16">
        <f>IFERROR(__xludf.DUMMYFUNCTION("""COMPUTED_VALUE"""),0.0)</f>
        <v>0</v>
      </c>
      <c r="H416" s="16">
        <f>IFERROR(__xludf.DUMMYFUNCTION("""COMPUTED_VALUE"""),21.0)</f>
        <v>21</v>
      </c>
      <c r="I416" s="16">
        <f>IFERROR(__xludf.DUMMYFUNCTION("""COMPUTED_VALUE"""),-3.0)</f>
        <v>-3</v>
      </c>
      <c r="J416" s="16">
        <f>IFERROR(__xludf.DUMMYFUNCTION("""COMPUTED_VALUE"""),-1.0)</f>
        <v>-1</v>
      </c>
      <c r="K416" s="16">
        <f>IFERROR(__xludf.DUMMYFUNCTION("""COMPUTED_VALUE"""),-9.0)</f>
        <v>-9</v>
      </c>
      <c r="L416" s="16">
        <f>IFERROR(__xludf.DUMMYFUNCTION("""COMPUTED_VALUE"""),-3.0)</f>
        <v>-3</v>
      </c>
      <c r="M416" s="16">
        <f>IFERROR(__xludf.DUMMYFUNCTION("""COMPUTED_VALUE"""),14.0)</f>
        <v>14</v>
      </c>
      <c r="N416" s="16">
        <f>IFERROR(__xludf.DUMMYFUNCTION("""COMPUTED_VALUE"""),0.0)</f>
        <v>0</v>
      </c>
      <c r="O416" s="16">
        <f>IFERROR(__xludf.DUMMYFUNCTION("""COMPUTED_VALUE"""),-2.0)</f>
        <v>-2</v>
      </c>
      <c r="P416" s="16">
        <f>IFERROR(__xludf.DUMMYFUNCTION("""COMPUTED_VALUE"""),3.0)</f>
        <v>3</v>
      </c>
      <c r="Q416" s="16">
        <f>IFERROR(__xludf.DUMMYFUNCTION("""COMPUTED_VALUE"""),-2.0)</f>
        <v>-2</v>
      </c>
      <c r="R416" s="16">
        <f>IFERROR(__xludf.DUMMYFUNCTION("""COMPUTED_VALUE"""),3.0)</f>
        <v>3</v>
      </c>
      <c r="S416" s="16">
        <f>IFERROR(__xludf.DUMMYFUNCTION("""COMPUTED_VALUE"""),27.5)</f>
        <v>27.5</v>
      </c>
      <c r="T416" s="16">
        <f>IFERROR(__xludf.DUMMYFUNCTION("""COMPUTED_VALUE"""),13.0)</f>
        <v>13</v>
      </c>
      <c r="U416" s="16">
        <f>IFERROR(__xludf.DUMMYFUNCTION("""COMPUTED_VALUE"""),-2.0)</f>
        <v>-2</v>
      </c>
      <c r="V416" s="16">
        <f>IFERROR(__xludf.DUMMYFUNCTION("""COMPUTED_VALUE"""),1.0)</f>
        <v>1</v>
      </c>
      <c r="W416" s="16">
        <f>IFERROR(__xludf.DUMMYFUNCTION("""COMPUTED_VALUE"""),-4.0)</f>
        <v>-4</v>
      </c>
      <c r="X416" s="16">
        <f>IFERROR(__xludf.DUMMYFUNCTION("""COMPUTED_VALUE"""),2.0)</f>
        <v>2</v>
      </c>
      <c r="Y416" s="16">
        <f>IFERROR(__xludf.DUMMYFUNCTION("""COMPUTED_VALUE"""),41.5)</f>
        <v>41.5</v>
      </c>
      <c r="Z416" s="16">
        <f>IFERROR(__xludf.DUMMYFUNCTION("""COMPUTED_VALUE"""),13.0)</f>
        <v>13</v>
      </c>
      <c r="AA416" s="16">
        <f>IFERROR(__xludf.DUMMYFUNCTION("""COMPUTED_VALUE"""),-2.0)</f>
        <v>-2</v>
      </c>
      <c r="AB416" s="16">
        <f>IFERROR(__xludf.DUMMYFUNCTION("""COMPUTED_VALUE"""),2.0)</f>
        <v>2</v>
      </c>
      <c r="AC416" s="16">
        <f>IFERROR(__xludf.DUMMYFUNCTION("""COMPUTED_VALUE"""),-10.0)</f>
        <v>-10</v>
      </c>
      <c r="AD416" s="16">
        <f>IFERROR(__xludf.DUMMYFUNCTION("""COMPUTED_VALUE"""),10.0)</f>
        <v>10</v>
      </c>
      <c r="AE416" s="16">
        <f>IFERROR(__xludf.DUMMYFUNCTION("""COMPUTED_VALUE"""),39.5)</f>
        <v>39.5</v>
      </c>
      <c r="AF416" s="16">
        <f>IFERROR(__xludf.DUMMYFUNCTION("""COMPUTED_VALUE"""),20.3)</f>
        <v>20.3</v>
      </c>
      <c r="AG416" s="16">
        <f>IFERROR(__xludf.DUMMYFUNCTION("""COMPUTED_VALUE"""),-1.0)</f>
        <v>-1</v>
      </c>
      <c r="AH416" s="16">
        <f>IFERROR(__xludf.DUMMYFUNCTION("""COMPUTED_VALUE"""),1.0)</f>
        <v>1</v>
      </c>
      <c r="AI416" s="16">
        <f>IFERROR(__xludf.DUMMYFUNCTION("""COMPUTED_VALUE"""),-2.0)</f>
        <v>-2</v>
      </c>
      <c r="AJ416" s="16">
        <f>IFERROR(__xludf.DUMMYFUNCTION("""COMPUTED_VALUE"""),2.0)</f>
        <v>2</v>
      </c>
      <c r="AK416" s="16">
        <f>IFERROR(__xludf.DUMMYFUNCTION("""COMPUTED_VALUE"""),24.5)</f>
        <v>24.5</v>
      </c>
      <c r="AL416" s="16">
        <f>IFERROR(__xludf.DUMMYFUNCTION("""COMPUTED_VALUE"""),11.6)</f>
        <v>11.6</v>
      </c>
      <c r="AM416" s="16">
        <f>IFERROR(__xludf.DUMMYFUNCTION("""COMPUTED_VALUE"""),-2.0)</f>
        <v>-2</v>
      </c>
      <c r="AN416" s="16">
        <f>IFERROR(__xludf.DUMMYFUNCTION("""COMPUTED_VALUE"""),0.0)</f>
        <v>0</v>
      </c>
      <c r="AO416" s="16">
        <f>IFERROR(__xludf.DUMMYFUNCTION("""COMPUTED_VALUE"""),-2.0)</f>
        <v>-2</v>
      </c>
      <c r="AP416" s="16">
        <f>IFERROR(__xludf.DUMMYFUNCTION("""COMPUTED_VALUE"""),0.0)</f>
        <v>0</v>
      </c>
      <c r="AQ416" s="16">
        <f>IFERROR(__xludf.DUMMYFUNCTION("""COMPUTED_VALUE"""),27.5)</f>
        <v>27.5</v>
      </c>
      <c r="AR416" s="16">
        <f>IFERROR(__xludf.DUMMYFUNCTION("""COMPUTED_VALUE"""),14.700000000000001)</f>
        <v>14.7</v>
      </c>
      <c r="AS416" s="16">
        <f>IFERROR(__xludf.DUMMYFUNCTION("""COMPUTED_VALUE"""),-1.0)</f>
        <v>-1</v>
      </c>
      <c r="AT416" s="16">
        <f>IFERROR(__xludf.DUMMYFUNCTION("""COMPUTED_VALUE"""),1.0)</f>
        <v>1</v>
      </c>
      <c r="AU416" s="16">
        <f>IFERROR(__xludf.DUMMYFUNCTION("""COMPUTED_VALUE"""),-2.0)</f>
        <v>-2</v>
      </c>
      <c r="AV416" s="16">
        <f>IFERROR(__xludf.DUMMYFUNCTION("""COMPUTED_VALUE"""),2.0)</f>
        <v>2</v>
      </c>
      <c r="AW416" s="16">
        <f>IFERROR(__xludf.DUMMYFUNCTION("""COMPUTED_VALUE"""),3.0)</f>
        <v>3</v>
      </c>
      <c r="AX416" s="16">
        <f>IFERROR(__xludf.DUMMYFUNCTION("""COMPUTED_VALUE"""),1.4)</f>
        <v>1.4</v>
      </c>
      <c r="AY416" s="16">
        <f>IFERROR(__xludf.DUMMYFUNCTION("""COMPUTED_VALUE"""),-1.0)</f>
        <v>-1</v>
      </c>
      <c r="AZ416" s="16">
        <f>IFERROR(__xludf.DUMMYFUNCTION("""COMPUTED_VALUE"""),1.0)</f>
        <v>1</v>
      </c>
      <c r="BA416" s="16">
        <f>IFERROR(__xludf.DUMMYFUNCTION("""COMPUTED_VALUE"""),-5.0)</f>
        <v>-5</v>
      </c>
      <c r="BB416" s="16">
        <f>IFERROR(__xludf.DUMMYFUNCTION("""COMPUTED_VALUE"""),5.0)</f>
        <v>5</v>
      </c>
      <c r="BC416" s="16">
        <f>IFERROR(__xludf.DUMMYFUNCTION("""COMPUTED_VALUE"""),4.0)</f>
        <v>4</v>
      </c>
      <c r="BD416" s="16">
        <f>IFERROR(__xludf.DUMMYFUNCTION("""COMPUTED_VALUE"""),3.0)</f>
        <v>3</v>
      </c>
      <c r="BE416" s="16">
        <f>IFERROR(__xludf.DUMMYFUNCTION("""COMPUTED_VALUE"""),4.0)</f>
        <v>4</v>
      </c>
      <c r="BF416" s="16">
        <f>IFERROR(__xludf.DUMMYFUNCTION("""COMPUTED_VALUE"""),3.0)</f>
        <v>3</v>
      </c>
      <c r="BG416" s="16">
        <f>IFERROR(__xludf.DUMMYFUNCTION("""COMPUTED_VALUE"""),-1.0)</f>
        <v>-1</v>
      </c>
      <c r="BH416" s="16">
        <f>IFERROR(__xludf.DUMMYFUNCTION("""COMPUTED_VALUE"""),0.0)</f>
        <v>0</v>
      </c>
      <c r="BI416" s="16">
        <f>IFERROR(__xludf.DUMMYFUNCTION("""COMPUTED_VALUE"""),-2.0)</f>
        <v>-2</v>
      </c>
      <c r="BJ416" s="16">
        <f>IFERROR(__xludf.DUMMYFUNCTION("""COMPUTED_VALUE"""),0.0)</f>
        <v>0</v>
      </c>
      <c r="BK416" s="16">
        <f>IFERROR(__xludf.DUMMYFUNCTION("""COMPUTED_VALUE"""),5.0)</f>
        <v>5</v>
      </c>
      <c r="BL416" s="16">
        <f>IFERROR(__xludf.DUMMYFUNCTION("""COMPUTED_VALUE"""),5.0)</f>
        <v>5</v>
      </c>
      <c r="BM416" s="16">
        <f>IFERROR(__xludf.DUMMYFUNCTION("""COMPUTED_VALUE"""),0.0)</f>
        <v>0</v>
      </c>
      <c r="BN416" s="16">
        <f>IFERROR(__xludf.DUMMYFUNCTION("""COMPUTED_VALUE"""),0.0)</f>
        <v>0</v>
      </c>
      <c r="BO416" s="16">
        <f>IFERROR(__xludf.DUMMYFUNCTION("""COMPUTED_VALUE"""),0.0)</f>
        <v>0</v>
      </c>
      <c r="BP416" s="16">
        <f>IFERROR(__xludf.DUMMYFUNCTION("""COMPUTED_VALUE"""),0.0)</f>
        <v>0</v>
      </c>
      <c r="BQ416" s="16">
        <f>IFERROR(__xludf.DUMMYFUNCTION("""COMPUTED_VALUE"""),3.0)</f>
        <v>3</v>
      </c>
      <c r="BR416" s="16">
        <f>IFERROR(__xludf.DUMMYFUNCTION("""COMPUTED_VALUE"""),3.0)</f>
        <v>3</v>
      </c>
      <c r="BS416" s="16">
        <f>IFERROR(__xludf.DUMMYFUNCTION("""COMPUTED_VALUE"""),-1.0)</f>
        <v>-1</v>
      </c>
      <c r="BT416" s="16">
        <f>IFERROR(__xludf.DUMMYFUNCTION("""COMPUTED_VALUE"""),-1.0)</f>
        <v>-1</v>
      </c>
      <c r="BU416" s="16">
        <f>IFERROR(__xludf.DUMMYFUNCTION("""COMPUTED_VALUE"""),-2.0)</f>
        <v>-2</v>
      </c>
      <c r="BV416" s="16">
        <f>IFERROR(__xludf.DUMMYFUNCTION("""COMPUTED_VALUE"""),-2.0)</f>
        <v>-2</v>
      </c>
      <c r="BW416" s="16">
        <f>IFERROR(__xludf.DUMMYFUNCTION("""COMPUTED_VALUE"""),-1.0)</f>
        <v>-1</v>
      </c>
      <c r="BX416" s="16">
        <f>IFERROR(__xludf.DUMMYFUNCTION("""COMPUTED_VALUE"""),-1.0)</f>
        <v>-1</v>
      </c>
      <c r="BY416" s="16" t="str">
        <f>IFERROR(__xludf.DUMMYFUNCTION("""COMPUTED_VALUE"""),"S(5) R(4)")</f>
        <v>S(5) R(4)</v>
      </c>
      <c r="BZ416" s="16" t="str">
        <f>IFERROR(__xludf.DUMMYFUNCTION("""COMPUTED_VALUE"""),"S(5) R(4)")</f>
        <v>S(5) R(4)</v>
      </c>
      <c r="CA416" s="16" t="str">
        <f>IFERROR(__xludf.DUMMYFUNCTION("""COMPUTED_VALUE"""),"S(5)")</f>
        <v>S(5)</v>
      </c>
      <c r="CB416" s="16" t="str">
        <f>IFERROR(__xludf.DUMMYFUNCTION("""COMPUTED_VALUE"""),"R(4)")</f>
        <v>R(4)</v>
      </c>
      <c r="CC416" s="16"/>
      <c r="CD416" s="16">
        <f>IFERROR(__xludf.DUMMYFUNCTION("""COMPUTED_VALUE"""),5.0)</f>
        <v>5</v>
      </c>
      <c r="CE416" s="16">
        <f>IFERROR(__xludf.DUMMYFUNCTION("""COMPUTED_VALUE"""),4.0)</f>
        <v>4</v>
      </c>
      <c r="CF416" s="16"/>
      <c r="CG416" s="16" t="str">
        <f>IFERROR(__xludf.DUMMYFUNCTION("""COMPUTED_VALUE"""),"4-51")</f>
        <v>4-51</v>
      </c>
      <c r="CH416" s="16">
        <f>IFERROR(__xludf.DUMMYFUNCTION("""COMPUTED_VALUE"""),4.0)</f>
        <v>4</v>
      </c>
      <c r="CI416" s="16">
        <f>IFERROR(__xludf.DUMMYFUNCTION("""COMPUTED_VALUE"""),51.0)</f>
        <v>51</v>
      </c>
      <c r="CJ416" s="16">
        <f>IFERROR(__xludf.DUMMYFUNCTION("""COMPUTED_VALUE"""),0.0)</f>
        <v>0</v>
      </c>
      <c r="CK416" s="16">
        <f>IFERROR(__xludf.DUMMYFUNCTION("""COMPUTED_VALUE"""),3.0)</f>
        <v>3</v>
      </c>
      <c r="CL416" s="16" t="str">
        <f>IFERROR(__xludf.DUMMYFUNCTION("""COMPUTED_VALUE"""),"1WR-C")</f>
        <v>1WR-C</v>
      </c>
      <c r="CM416" s="16" t="str">
        <f>IFERROR(__xludf.DUMMYFUNCTION("""COMPUTED_VALUE"""),"E")</f>
        <v>E</v>
      </c>
      <c r="CN416" s="16">
        <f>IFERROR(__xludf.DUMMYFUNCTION("""COMPUTED_VALUE"""),10.0)</f>
        <v>10</v>
      </c>
      <c r="CO416" s="16" t="str">
        <f>IFERROR(__xludf.DUMMYFUNCTION("""COMPUTED_VALUE"""),"C")</f>
        <v>C</v>
      </c>
      <c r="CP416" s="16" t="str">
        <f>IFERROR(__xludf.DUMMYFUNCTION("""COMPUTED_VALUE"""),"3p30")</f>
        <v>3p30</v>
      </c>
      <c r="CQ416" s="16">
        <f>IFERROR(__xludf.DUMMYFUNCTION("""COMPUTED_VALUE"""),-40.0)</f>
        <v>-40</v>
      </c>
      <c r="CR416" s="16">
        <f>IFERROR(__xludf.DUMMYFUNCTION("""COMPUTED_VALUE"""),19.0)</f>
        <v>19</v>
      </c>
      <c r="CS416" s="16">
        <f>IFERROR(__xludf.DUMMYFUNCTION("""COMPUTED_VALUE"""),-21.0)</f>
        <v>-21</v>
      </c>
      <c r="CT416" s="16">
        <f>IFERROR(__xludf.DUMMYFUNCTION("""COMPUTED_VALUE"""),-40.0)</f>
        <v>-40</v>
      </c>
      <c r="CU416" s="16">
        <f>IFERROR(__xludf.DUMMYFUNCTION("""COMPUTED_VALUE"""),19.0)</f>
        <v>19</v>
      </c>
      <c r="CV416" s="179">
        <f>IFERROR(__xludf.DUMMYFUNCTION("""COMPUTED_VALUE"""),-16.333333333333332)</f>
        <v>-16.33333333</v>
      </c>
      <c r="CW416" s="179">
        <f>IFERROR(__xludf.DUMMYFUNCTION("""COMPUTED_VALUE"""),2.0)</f>
        <v>2</v>
      </c>
      <c r="CX416" s="179">
        <f>IFERROR(__xludf.DUMMYFUNCTION("""COMPUTED_VALUE"""),2.0)</f>
        <v>2</v>
      </c>
      <c r="CY416" s="16" t="str">
        <f>IFERROR(__xludf.DUMMYFUNCTION("""COMPUTED_VALUE"""),"SP")</f>
        <v>SP</v>
      </c>
      <c r="CZ416" s="16" t="str">
        <f>IFERROR(__xludf.DUMMYFUNCTION("""COMPUTED_VALUE"""),"RP")</f>
        <v>RP</v>
      </c>
      <c r="DA416" s="16"/>
      <c r="DB416" s="16"/>
      <c r="DC416" s="16"/>
      <c r="DD416" s="16"/>
      <c r="DE416" s="16"/>
      <c r="DF416" s="16"/>
      <c r="DG416" s="16"/>
      <c r="DH416" s="16"/>
      <c r="DI416" s="16"/>
      <c r="DJ416" s="16"/>
      <c r="DK416" s="16"/>
    </row>
    <row r="417">
      <c r="A417" s="16">
        <f>IFERROR(__xludf.DUMMYFUNCTION("""COMPUTED_VALUE"""),13453.0)</f>
        <v>13453</v>
      </c>
      <c r="B417" s="16" t="str">
        <f>IFERROR(__xludf.DUMMYFUNCTION("""COMPUTED_VALUE"""),"Tyler Kinley")</f>
        <v>Tyler Kinley</v>
      </c>
      <c r="C417" s="153">
        <f>IFERROR(__xludf.DUMMYFUNCTION("""COMPUTED_VALUE"""),0.0)</f>
        <v>0</v>
      </c>
      <c r="D417" s="16"/>
      <c r="E417" s="16" t="str">
        <f>IFERROR(__xludf.DUMMYFUNCTION("""COMPUTED_VALUE"""),"R")</f>
        <v>R</v>
      </c>
      <c r="F417" s="16">
        <f>IFERROR(__xludf.DUMMYFUNCTION("""COMPUTED_VALUE"""),64.0)</f>
        <v>64</v>
      </c>
      <c r="G417" s="16">
        <f>IFERROR(__xludf.DUMMYFUNCTION("""COMPUTED_VALUE"""),30.0)</f>
        <v>30</v>
      </c>
      <c r="H417" s="16">
        <f>IFERROR(__xludf.DUMMYFUNCTION("""COMPUTED_VALUE"""),33.0)</f>
        <v>33</v>
      </c>
      <c r="I417" s="16">
        <f>IFERROR(__xludf.DUMMYFUNCTION("""COMPUTED_VALUE"""),0.0)</f>
        <v>0</v>
      </c>
      <c r="J417" s="16">
        <f>IFERROR(__xludf.DUMMYFUNCTION("""COMPUTED_VALUE"""),1.0)</f>
        <v>1</v>
      </c>
      <c r="K417" s="16">
        <f>IFERROR(__xludf.DUMMYFUNCTION("""COMPUTED_VALUE"""),0.0)</f>
        <v>0</v>
      </c>
      <c r="L417" s="16">
        <f>IFERROR(__xludf.DUMMYFUNCTION("""COMPUTED_VALUE"""),3.0)</f>
        <v>3</v>
      </c>
      <c r="M417" s="16">
        <f>IFERROR(__xludf.DUMMYFUNCTION("""COMPUTED_VALUE"""),18.0)</f>
        <v>18</v>
      </c>
      <c r="N417" s="16">
        <f>IFERROR(__xludf.DUMMYFUNCTION("""COMPUTED_VALUE"""),13.0)</f>
        <v>13</v>
      </c>
      <c r="O417" s="16">
        <f>IFERROR(__xludf.DUMMYFUNCTION("""COMPUTED_VALUE"""),-3.0)</f>
        <v>-3</v>
      </c>
      <c r="P417" s="16">
        <f>IFERROR(__xludf.DUMMYFUNCTION("""COMPUTED_VALUE"""),-2.0)</f>
        <v>-2</v>
      </c>
      <c r="Q417" s="16">
        <f>IFERROR(__xludf.DUMMYFUNCTION("""COMPUTED_VALUE"""),-3.0)</f>
        <v>-3</v>
      </c>
      <c r="R417" s="16">
        <f>IFERROR(__xludf.DUMMYFUNCTION("""COMPUTED_VALUE"""),-2.0)</f>
        <v>-2</v>
      </c>
      <c r="S417" s="16">
        <f>IFERROR(__xludf.DUMMYFUNCTION("""COMPUTED_VALUE"""),16.0)</f>
        <v>16</v>
      </c>
      <c r="T417" s="16">
        <f>IFERROR(__xludf.DUMMYFUNCTION("""COMPUTED_VALUE"""),11.5)</f>
        <v>11.5</v>
      </c>
      <c r="U417" s="16">
        <f>IFERROR(__xludf.DUMMYFUNCTION("""COMPUTED_VALUE"""),0.0)</f>
        <v>0</v>
      </c>
      <c r="V417" s="16">
        <f>IFERROR(__xludf.DUMMYFUNCTION("""COMPUTED_VALUE"""),1.0)</f>
        <v>1</v>
      </c>
      <c r="W417" s="16">
        <f>IFERROR(__xludf.DUMMYFUNCTION("""COMPUTED_VALUE"""),0.0)</f>
        <v>0</v>
      </c>
      <c r="X417" s="16">
        <f>IFERROR(__xludf.DUMMYFUNCTION("""COMPUTED_VALUE"""),2.0)</f>
        <v>2</v>
      </c>
      <c r="Y417" s="16">
        <f>IFERROR(__xludf.DUMMYFUNCTION("""COMPUTED_VALUE"""),34.0)</f>
        <v>34</v>
      </c>
      <c r="Z417" s="16">
        <f>IFERROR(__xludf.DUMMYFUNCTION("""COMPUTED_VALUE"""),24.5)</f>
        <v>24.5</v>
      </c>
      <c r="AA417" s="16">
        <f>IFERROR(__xludf.DUMMYFUNCTION("""COMPUTED_VALUE"""),-1.0)</f>
        <v>-1</v>
      </c>
      <c r="AB417" s="16">
        <f>IFERROR(__xludf.DUMMYFUNCTION("""COMPUTED_VALUE"""),0.0)</f>
        <v>0</v>
      </c>
      <c r="AC417" s="16">
        <f>IFERROR(__xludf.DUMMYFUNCTION("""COMPUTED_VALUE"""),-5.0)</f>
        <v>-5</v>
      </c>
      <c r="AD417" s="16">
        <f>IFERROR(__xludf.DUMMYFUNCTION("""COMPUTED_VALUE"""),0.0)</f>
        <v>0</v>
      </c>
      <c r="AE417" s="16">
        <f>IFERROR(__xludf.DUMMYFUNCTION("""COMPUTED_VALUE"""),37.7)</f>
        <v>37.7</v>
      </c>
      <c r="AF417" s="16">
        <f>IFERROR(__xludf.DUMMYFUNCTION("""COMPUTED_VALUE"""),26.4)</f>
        <v>26.4</v>
      </c>
      <c r="AG417" s="16">
        <f>IFERROR(__xludf.DUMMYFUNCTION("""COMPUTED_VALUE"""),-1.0)</f>
        <v>-1</v>
      </c>
      <c r="AH417" s="16">
        <f>IFERROR(__xludf.DUMMYFUNCTION("""COMPUTED_VALUE"""),0.0)</f>
        <v>0</v>
      </c>
      <c r="AI417" s="16">
        <f>IFERROR(__xludf.DUMMYFUNCTION("""COMPUTED_VALUE"""),-2.0)</f>
        <v>-2</v>
      </c>
      <c r="AJ417" s="16">
        <f>IFERROR(__xludf.DUMMYFUNCTION("""COMPUTED_VALUE"""),0.0)</f>
        <v>0</v>
      </c>
      <c r="AK417" s="16">
        <f>IFERROR(__xludf.DUMMYFUNCTION("""COMPUTED_VALUE"""),12.8)</f>
        <v>12.8</v>
      </c>
      <c r="AL417" s="16">
        <f>IFERROR(__xludf.DUMMYFUNCTION("""COMPUTED_VALUE"""),8.7)</f>
        <v>8.7</v>
      </c>
      <c r="AM417" s="16">
        <f>IFERROR(__xludf.DUMMYFUNCTION("""COMPUTED_VALUE"""),0.0)</f>
        <v>0</v>
      </c>
      <c r="AN417" s="16">
        <f>IFERROR(__xludf.DUMMYFUNCTION("""COMPUTED_VALUE"""),1.0)</f>
        <v>1</v>
      </c>
      <c r="AO417" s="16">
        <f>IFERROR(__xludf.DUMMYFUNCTION("""COMPUTED_VALUE"""),0.0)</f>
        <v>0</v>
      </c>
      <c r="AP417" s="16">
        <f>IFERROR(__xludf.DUMMYFUNCTION("""COMPUTED_VALUE"""),1.0)</f>
        <v>1</v>
      </c>
      <c r="AQ417" s="16">
        <f>IFERROR(__xludf.DUMMYFUNCTION("""COMPUTED_VALUE"""),24.900000000000002)</f>
        <v>24.9</v>
      </c>
      <c r="AR417" s="16">
        <f>IFERROR(__xludf.DUMMYFUNCTION("""COMPUTED_VALUE"""),15.2)</f>
        <v>15.2</v>
      </c>
      <c r="AS417" s="16">
        <f>IFERROR(__xludf.DUMMYFUNCTION("""COMPUTED_VALUE"""),-1.0)</f>
        <v>-1</v>
      </c>
      <c r="AT417" s="16">
        <f>IFERROR(__xludf.DUMMYFUNCTION("""COMPUTED_VALUE"""),1.0)</f>
        <v>1</v>
      </c>
      <c r="AU417" s="16">
        <f>IFERROR(__xludf.DUMMYFUNCTION("""COMPUTED_VALUE"""),-2.0)</f>
        <v>-2</v>
      </c>
      <c r="AV417" s="16">
        <f>IFERROR(__xludf.DUMMYFUNCTION("""COMPUTED_VALUE"""),2.0)</f>
        <v>2</v>
      </c>
      <c r="AW417" s="16">
        <f>IFERROR(__xludf.DUMMYFUNCTION("""COMPUTED_VALUE"""),3.2)</f>
        <v>3.2</v>
      </c>
      <c r="AX417" s="16">
        <f>IFERROR(__xludf.DUMMYFUNCTION("""COMPUTED_VALUE"""),2.8)</f>
        <v>2.8</v>
      </c>
      <c r="AY417" s="16">
        <f>IFERROR(__xludf.DUMMYFUNCTION("""COMPUTED_VALUE"""),-1.0)</f>
        <v>-1</v>
      </c>
      <c r="AZ417" s="16">
        <f>IFERROR(__xludf.DUMMYFUNCTION("""COMPUTED_VALUE"""),-1.0)</f>
        <v>-1</v>
      </c>
      <c r="BA417" s="16">
        <f>IFERROR(__xludf.DUMMYFUNCTION("""COMPUTED_VALUE"""),-5.0)</f>
        <v>-5</v>
      </c>
      <c r="BB417" s="16">
        <f>IFERROR(__xludf.DUMMYFUNCTION("""COMPUTED_VALUE"""),-5.0)</f>
        <v>-5</v>
      </c>
      <c r="BC417" s="16">
        <f>IFERROR(__xludf.DUMMYFUNCTION("""COMPUTED_VALUE"""),5.0)</f>
        <v>5</v>
      </c>
      <c r="BD417" s="16">
        <f>IFERROR(__xludf.DUMMYFUNCTION("""COMPUTED_VALUE"""),4.0)</f>
        <v>4</v>
      </c>
      <c r="BE417" s="16">
        <f>IFERROR(__xludf.DUMMYFUNCTION("""COMPUTED_VALUE"""),5.0)</f>
        <v>5</v>
      </c>
      <c r="BF417" s="16">
        <f>IFERROR(__xludf.DUMMYFUNCTION("""COMPUTED_VALUE"""),4.0)</f>
        <v>4</v>
      </c>
      <c r="BG417" s="16">
        <f>IFERROR(__xludf.DUMMYFUNCTION("""COMPUTED_VALUE"""),-2.0)</f>
        <v>-2</v>
      </c>
      <c r="BH417" s="16">
        <f>IFERROR(__xludf.DUMMYFUNCTION("""COMPUTED_VALUE"""),-1.0)</f>
        <v>-1</v>
      </c>
      <c r="BI417" s="16">
        <f>IFERROR(__xludf.DUMMYFUNCTION("""COMPUTED_VALUE"""),-4.0)</f>
        <v>-4</v>
      </c>
      <c r="BJ417" s="16">
        <f>IFERROR(__xludf.DUMMYFUNCTION("""COMPUTED_VALUE"""),-2.0)</f>
        <v>-2</v>
      </c>
      <c r="BK417" s="16">
        <f>IFERROR(__xludf.DUMMYFUNCTION("""COMPUTED_VALUE"""),5.0)</f>
        <v>5</v>
      </c>
      <c r="BL417" s="16">
        <f>IFERROR(__xludf.DUMMYFUNCTION("""COMPUTED_VALUE"""),5.0)</f>
        <v>5</v>
      </c>
      <c r="BM417" s="16">
        <f>IFERROR(__xludf.DUMMYFUNCTION("""COMPUTED_VALUE"""),0.0)</f>
        <v>0</v>
      </c>
      <c r="BN417" s="16">
        <f>IFERROR(__xludf.DUMMYFUNCTION("""COMPUTED_VALUE"""),0.0)</f>
        <v>0</v>
      </c>
      <c r="BO417" s="16">
        <f>IFERROR(__xludf.DUMMYFUNCTION("""COMPUTED_VALUE"""),0.0)</f>
        <v>0</v>
      </c>
      <c r="BP417" s="16">
        <f>IFERROR(__xludf.DUMMYFUNCTION("""COMPUTED_VALUE"""),0.0)</f>
        <v>0</v>
      </c>
      <c r="BQ417" s="16">
        <f>IFERROR(__xludf.DUMMYFUNCTION("""COMPUTED_VALUE"""),0.0)</f>
        <v>0</v>
      </c>
      <c r="BR417" s="16">
        <f>IFERROR(__xludf.DUMMYFUNCTION("""COMPUTED_VALUE"""),0.0)</f>
        <v>0</v>
      </c>
      <c r="BS417" s="16">
        <f>IFERROR(__xludf.DUMMYFUNCTION("""COMPUTED_VALUE"""),-3.0)</f>
        <v>-3</v>
      </c>
      <c r="BT417" s="16">
        <f>IFERROR(__xludf.DUMMYFUNCTION("""COMPUTED_VALUE"""),-3.0)</f>
        <v>-3</v>
      </c>
      <c r="BU417" s="16">
        <f>IFERROR(__xludf.DUMMYFUNCTION("""COMPUTED_VALUE"""),-6.0)</f>
        <v>-6</v>
      </c>
      <c r="BV417" s="16">
        <f>IFERROR(__xludf.DUMMYFUNCTION("""COMPUTED_VALUE"""),-6.0)</f>
        <v>-6</v>
      </c>
      <c r="BW417" s="16">
        <f>IFERROR(__xludf.DUMMYFUNCTION("""COMPUTED_VALUE"""),6.0)</f>
        <v>6</v>
      </c>
      <c r="BX417" s="16">
        <f>IFERROR(__xludf.DUMMYFUNCTION("""COMPUTED_VALUE"""),6.0)</f>
        <v>6</v>
      </c>
      <c r="BY417" s="16" t="str">
        <f>IFERROR(__xludf.DUMMYFUNCTION("""COMPUTED_VALUE"""),"R(1) C(4)")</f>
        <v>R(1) C(4)</v>
      </c>
      <c r="BZ417" s="16" t="str">
        <f>IFERROR(__xludf.DUMMYFUNCTION("""COMPUTED_VALUE"""),"R(1) C(4)")</f>
        <v>R(1) C(4)</v>
      </c>
      <c r="CA417" s="16" t="str">
        <f>IFERROR(__xludf.DUMMYFUNCTION("""COMPUTED_VALUE"""),"R(1)")</f>
        <v>R(1)</v>
      </c>
      <c r="CB417" s="16" t="str">
        <f>IFERROR(__xludf.DUMMYFUNCTION("""COMPUTED_VALUE"""),"C(4)")</f>
        <v>C(4)</v>
      </c>
      <c r="CC417" s="16"/>
      <c r="CD417" s="16"/>
      <c r="CE417" s="16">
        <f>IFERROR(__xludf.DUMMYFUNCTION("""COMPUTED_VALUE"""),1.0)</f>
        <v>1</v>
      </c>
      <c r="CF417" s="16">
        <f>IFERROR(__xludf.DUMMYFUNCTION("""COMPUTED_VALUE"""),4.0)</f>
        <v>4</v>
      </c>
      <c r="CG417" s="16" t="str">
        <f>IFERROR(__xludf.DUMMYFUNCTION("""COMPUTED_VALUE"""),"4-22")</f>
        <v>4-22</v>
      </c>
      <c r="CH417" s="16">
        <f>IFERROR(__xludf.DUMMYFUNCTION("""COMPUTED_VALUE"""),4.0)</f>
        <v>4</v>
      </c>
      <c r="CI417" s="16">
        <f>IFERROR(__xludf.DUMMYFUNCTION("""COMPUTED_VALUE"""),22.0)</f>
        <v>22</v>
      </c>
      <c r="CJ417" s="16">
        <f>IFERROR(__xludf.DUMMYFUNCTION("""COMPUTED_VALUE"""),0.0)</f>
        <v>0</v>
      </c>
      <c r="CK417" s="16">
        <f>IFERROR(__xludf.DUMMYFUNCTION("""COMPUTED_VALUE"""),20.0)</f>
        <v>20</v>
      </c>
      <c r="CL417" s="16" t="str">
        <f>IFERROR(__xludf.DUMMYFUNCTION("""COMPUTED_VALUE"""),"1WR-C")</f>
        <v>1WR-C</v>
      </c>
      <c r="CM417" s="16" t="str">
        <f>IFERROR(__xludf.DUMMYFUNCTION("""COMPUTED_VALUE"""),"E")</f>
        <v>E</v>
      </c>
      <c r="CN417" s="16">
        <f>IFERROR(__xludf.DUMMYFUNCTION("""COMPUTED_VALUE"""),10.0)</f>
        <v>10</v>
      </c>
      <c r="CO417" s="16" t="str">
        <f>IFERROR(__xludf.DUMMYFUNCTION("""COMPUTED_VALUE"""),"C")</f>
        <v>C</v>
      </c>
      <c r="CP417" s="16" t="str">
        <f>IFERROR(__xludf.DUMMYFUNCTION("""COMPUTED_VALUE"""),"1p50")</f>
        <v>1p50</v>
      </c>
      <c r="CQ417" s="16">
        <f>IFERROR(__xludf.DUMMYFUNCTION("""COMPUTED_VALUE"""),-27.0)</f>
        <v>-27</v>
      </c>
      <c r="CR417" s="16">
        <f>IFERROR(__xludf.DUMMYFUNCTION("""COMPUTED_VALUE"""),-7.0)</f>
        <v>-7</v>
      </c>
      <c r="CS417" s="16">
        <f>IFERROR(__xludf.DUMMYFUNCTION("""COMPUTED_VALUE"""),-34.0)</f>
        <v>-34</v>
      </c>
      <c r="CT417" s="16">
        <f>IFERROR(__xludf.DUMMYFUNCTION("""COMPUTED_VALUE"""),-27.0)</f>
        <v>-27</v>
      </c>
      <c r="CU417" s="16">
        <f>IFERROR(__xludf.DUMMYFUNCTION("""COMPUTED_VALUE"""),-7.0)</f>
        <v>-7</v>
      </c>
      <c r="CV417" s="179">
        <f>IFERROR(__xludf.DUMMYFUNCTION("""COMPUTED_VALUE"""),-16.333333333333332)</f>
        <v>-16.33333333</v>
      </c>
      <c r="CW417" s="179">
        <f>IFERROR(__xludf.DUMMYFUNCTION("""COMPUTED_VALUE"""),4.0)</f>
        <v>4</v>
      </c>
      <c r="CX417" s="179">
        <f>IFERROR(__xludf.DUMMYFUNCTION("""COMPUTED_VALUE"""),0.0)</f>
        <v>0</v>
      </c>
      <c r="CY417" s="16" t="str">
        <f>IFERROR(__xludf.DUMMYFUNCTION("""COMPUTED_VALUE"""),"RP")</f>
        <v>RP</v>
      </c>
      <c r="CZ417" s="16" t="str">
        <f>IFERROR(__xludf.DUMMYFUNCTION("""COMPUTED_VALUE"""),"CP")</f>
        <v>CP</v>
      </c>
      <c r="DA417" s="16"/>
      <c r="DB417" s="16"/>
      <c r="DC417" s="16"/>
      <c r="DD417" s="16"/>
      <c r="DE417" s="16"/>
      <c r="DF417" s="16"/>
      <c r="DG417" s="16"/>
      <c r="DH417" s="16"/>
      <c r="DI417" s="16"/>
      <c r="DJ417" s="16"/>
      <c r="DK417" s="16"/>
    </row>
    <row r="418">
      <c r="A418" s="16">
        <f>IFERROR(__xludf.DUMMYFUNCTION("""COMPUTED_VALUE"""),12674.0)</f>
        <v>12674</v>
      </c>
      <c r="B418" s="16" t="str">
        <f>IFERROR(__xludf.DUMMYFUNCTION("""COMPUTED_VALUE"""),"Chris Flexen")</f>
        <v>Chris Flexen</v>
      </c>
      <c r="C418" s="153">
        <f>IFERROR(__xludf.DUMMYFUNCTION("""COMPUTED_VALUE"""),0.45)</f>
        <v>0.45</v>
      </c>
      <c r="D418" s="16"/>
      <c r="E418" s="16" t="str">
        <f>IFERROR(__xludf.DUMMYFUNCTION("""COMPUTED_VALUE"""),"R")</f>
        <v>R</v>
      </c>
      <c r="F418" s="16">
        <f>IFERROR(__xludf.DUMMYFUNCTION("""COMPUTED_VALUE"""),160.0)</f>
        <v>160</v>
      </c>
      <c r="G418" s="16">
        <f>IFERROR(__xludf.DUMMYFUNCTION("""COMPUTED_VALUE"""),18.0)</f>
        <v>18</v>
      </c>
      <c r="H418" s="16">
        <f>IFERROR(__xludf.DUMMYFUNCTION("""COMPUTED_VALUE"""),10.0)</f>
        <v>10</v>
      </c>
      <c r="I418" s="16">
        <f>IFERROR(__xludf.DUMMYFUNCTION("""COMPUTED_VALUE"""),-1.0)</f>
        <v>-1</v>
      </c>
      <c r="J418" s="16">
        <f>IFERROR(__xludf.DUMMYFUNCTION("""COMPUTED_VALUE"""),-2.0)</f>
        <v>-2</v>
      </c>
      <c r="K418" s="16">
        <f>IFERROR(__xludf.DUMMYFUNCTION("""COMPUTED_VALUE"""),-3.0)</f>
        <v>-3</v>
      </c>
      <c r="L418" s="16">
        <f>IFERROR(__xludf.DUMMYFUNCTION("""COMPUTED_VALUE"""),-6.0)</f>
        <v>-6</v>
      </c>
      <c r="M418" s="16">
        <f>IFERROR(__xludf.DUMMYFUNCTION("""COMPUTED_VALUE"""),9.0)</f>
        <v>9</v>
      </c>
      <c r="N418" s="16">
        <f>IFERROR(__xludf.DUMMYFUNCTION("""COMPUTED_VALUE"""),12.0)</f>
        <v>12</v>
      </c>
      <c r="O418" s="16">
        <f>IFERROR(__xludf.DUMMYFUNCTION("""COMPUTED_VALUE"""),0.0)</f>
        <v>0</v>
      </c>
      <c r="P418" s="16">
        <f>IFERROR(__xludf.DUMMYFUNCTION("""COMPUTED_VALUE"""),-2.0)</f>
        <v>-2</v>
      </c>
      <c r="Q418" s="16">
        <f>IFERROR(__xludf.DUMMYFUNCTION("""COMPUTED_VALUE"""),0.0)</f>
        <v>0</v>
      </c>
      <c r="R418" s="16">
        <f>IFERROR(__xludf.DUMMYFUNCTION("""COMPUTED_VALUE"""),-2.0)</f>
        <v>-2</v>
      </c>
      <c r="S418" s="16">
        <f>IFERROR(__xludf.DUMMYFUNCTION("""COMPUTED_VALUE"""),18.1)</f>
        <v>18.1</v>
      </c>
      <c r="T418" s="16">
        <f>IFERROR(__xludf.DUMMYFUNCTION("""COMPUTED_VALUE"""),25.0)</f>
        <v>25</v>
      </c>
      <c r="U418" s="16">
        <f>IFERROR(__xludf.DUMMYFUNCTION("""COMPUTED_VALUE"""),-1.0)</f>
        <v>-1</v>
      </c>
      <c r="V418" s="16">
        <f>IFERROR(__xludf.DUMMYFUNCTION("""COMPUTED_VALUE"""),-2.0)</f>
        <v>-2</v>
      </c>
      <c r="W418" s="16">
        <f>IFERROR(__xludf.DUMMYFUNCTION("""COMPUTED_VALUE"""),-2.0)</f>
        <v>-2</v>
      </c>
      <c r="X418" s="16">
        <f>IFERROR(__xludf.DUMMYFUNCTION("""COMPUTED_VALUE"""),-4.0)</f>
        <v>-4</v>
      </c>
      <c r="Y418" s="16">
        <f>IFERROR(__xludf.DUMMYFUNCTION("""COMPUTED_VALUE"""),27.1)</f>
        <v>27.1</v>
      </c>
      <c r="Z418" s="16">
        <f>IFERROR(__xludf.DUMMYFUNCTION("""COMPUTED_VALUE"""),37.0)</f>
        <v>37</v>
      </c>
      <c r="AA418" s="16">
        <f>IFERROR(__xludf.DUMMYFUNCTION("""COMPUTED_VALUE"""),0.0)</f>
        <v>0</v>
      </c>
      <c r="AB418" s="16">
        <f>IFERROR(__xludf.DUMMYFUNCTION("""COMPUTED_VALUE"""),-2.0)</f>
        <v>-2</v>
      </c>
      <c r="AC418" s="16">
        <f>IFERROR(__xludf.DUMMYFUNCTION("""COMPUTED_VALUE"""),0.0)</f>
        <v>0</v>
      </c>
      <c r="AD418" s="16">
        <f>IFERROR(__xludf.DUMMYFUNCTION("""COMPUTED_VALUE"""),-10.0)</f>
        <v>-10</v>
      </c>
      <c r="AE418" s="16">
        <f>IFERROR(__xludf.DUMMYFUNCTION("""COMPUTED_VALUE"""),38.6)</f>
        <v>38.6</v>
      </c>
      <c r="AF418" s="16">
        <f>IFERROR(__xludf.DUMMYFUNCTION("""COMPUTED_VALUE"""),39.4)</f>
        <v>39.4</v>
      </c>
      <c r="AG418" s="16">
        <f>IFERROR(__xludf.DUMMYFUNCTION("""COMPUTED_VALUE"""),-1.0)</f>
        <v>-1</v>
      </c>
      <c r="AH418" s="16">
        <f>IFERROR(__xludf.DUMMYFUNCTION("""COMPUTED_VALUE"""),-1.0)</f>
        <v>-1</v>
      </c>
      <c r="AI418" s="16">
        <f>IFERROR(__xludf.DUMMYFUNCTION("""COMPUTED_VALUE"""),-2.0)</f>
        <v>-2</v>
      </c>
      <c r="AJ418" s="16">
        <f>IFERROR(__xludf.DUMMYFUNCTION("""COMPUTED_VALUE"""),-2.0)</f>
        <v>-2</v>
      </c>
      <c r="AK418" s="16">
        <f>IFERROR(__xludf.DUMMYFUNCTION("""COMPUTED_VALUE"""),14.700000000000001)</f>
        <v>14.7</v>
      </c>
      <c r="AL418" s="16">
        <f>IFERROR(__xludf.DUMMYFUNCTION("""COMPUTED_VALUE"""),23.6)</f>
        <v>23.6</v>
      </c>
      <c r="AM418" s="16">
        <f>IFERROR(__xludf.DUMMYFUNCTION("""COMPUTED_VALUE"""),0.0)</f>
        <v>0</v>
      </c>
      <c r="AN418" s="16">
        <f>IFERROR(__xludf.DUMMYFUNCTION("""COMPUTED_VALUE"""),-2.0)</f>
        <v>-2</v>
      </c>
      <c r="AO418" s="16">
        <f>IFERROR(__xludf.DUMMYFUNCTION("""COMPUTED_VALUE"""),0.0)</f>
        <v>0</v>
      </c>
      <c r="AP418" s="16">
        <f>IFERROR(__xludf.DUMMYFUNCTION("""COMPUTED_VALUE"""),-2.0)</f>
        <v>-2</v>
      </c>
      <c r="AQ418" s="16">
        <f>IFERROR(__xludf.DUMMYFUNCTION("""COMPUTED_VALUE"""),25.0)</f>
        <v>25</v>
      </c>
      <c r="AR418" s="16">
        <f>IFERROR(__xludf.DUMMYFUNCTION("""COMPUTED_VALUE"""),33.8)</f>
        <v>33.8</v>
      </c>
      <c r="AS418" s="16">
        <f>IFERROR(__xludf.DUMMYFUNCTION("""COMPUTED_VALUE"""),-1.0)</f>
        <v>-1</v>
      </c>
      <c r="AT418" s="16">
        <f>IFERROR(__xludf.DUMMYFUNCTION("""COMPUTED_VALUE"""),-2.0)</f>
        <v>-2</v>
      </c>
      <c r="AU418" s="16">
        <f>IFERROR(__xludf.DUMMYFUNCTION("""COMPUTED_VALUE"""),-2.0)</f>
        <v>-2</v>
      </c>
      <c r="AV418" s="16">
        <f>IFERROR(__xludf.DUMMYFUNCTION("""COMPUTED_VALUE"""),-4.0)</f>
        <v>-4</v>
      </c>
      <c r="AW418" s="16">
        <f>IFERROR(__xludf.DUMMYFUNCTION("""COMPUTED_VALUE"""),3.4)</f>
        <v>3.4</v>
      </c>
      <c r="AX418" s="16">
        <f>IFERROR(__xludf.DUMMYFUNCTION("""COMPUTED_VALUE"""),1.4)</f>
        <v>1.4</v>
      </c>
      <c r="AY418" s="16">
        <f>IFERROR(__xludf.DUMMYFUNCTION("""COMPUTED_VALUE"""),-2.0)</f>
        <v>-2</v>
      </c>
      <c r="AZ418" s="16">
        <f>IFERROR(__xludf.DUMMYFUNCTION("""COMPUTED_VALUE"""),1.0)</f>
        <v>1</v>
      </c>
      <c r="BA418" s="16">
        <f>IFERROR(__xludf.DUMMYFUNCTION("""COMPUTED_VALUE"""),-10.0)</f>
        <v>-10</v>
      </c>
      <c r="BB418" s="16">
        <f>IFERROR(__xludf.DUMMYFUNCTION("""COMPUTED_VALUE"""),5.0)</f>
        <v>5</v>
      </c>
      <c r="BC418" s="16">
        <f>IFERROR(__xludf.DUMMYFUNCTION("""COMPUTED_VALUE"""),6.0)</f>
        <v>6</v>
      </c>
      <c r="BD418" s="16">
        <f>IFERROR(__xludf.DUMMYFUNCTION("""COMPUTED_VALUE"""),1.0)</f>
        <v>1</v>
      </c>
      <c r="BE418" s="16">
        <f>IFERROR(__xludf.DUMMYFUNCTION("""COMPUTED_VALUE"""),6.0)</f>
        <v>6</v>
      </c>
      <c r="BF418" s="16">
        <f>IFERROR(__xludf.DUMMYFUNCTION("""COMPUTED_VALUE"""),1.0)</f>
        <v>1</v>
      </c>
      <c r="BG418" s="16">
        <f>IFERROR(__xludf.DUMMYFUNCTION("""COMPUTED_VALUE"""),-3.0)</f>
        <v>-3</v>
      </c>
      <c r="BH418" s="16">
        <f>IFERROR(__xludf.DUMMYFUNCTION("""COMPUTED_VALUE"""),2.0)</f>
        <v>2</v>
      </c>
      <c r="BI418" s="16">
        <f>IFERROR(__xludf.DUMMYFUNCTION("""COMPUTED_VALUE"""),-6.0)</f>
        <v>-6</v>
      </c>
      <c r="BJ418" s="16">
        <f>IFERROR(__xludf.DUMMYFUNCTION("""COMPUTED_VALUE"""),4.0)</f>
        <v>4</v>
      </c>
      <c r="BK418" s="16">
        <f>IFERROR(__xludf.DUMMYFUNCTION("""COMPUTED_VALUE"""),5.0)</f>
        <v>5</v>
      </c>
      <c r="BL418" s="16">
        <f>IFERROR(__xludf.DUMMYFUNCTION("""COMPUTED_VALUE"""),5.0)</f>
        <v>5</v>
      </c>
      <c r="BM418" s="16">
        <f>IFERROR(__xludf.DUMMYFUNCTION("""COMPUTED_VALUE"""),0.0)</f>
        <v>0</v>
      </c>
      <c r="BN418" s="16">
        <f>IFERROR(__xludf.DUMMYFUNCTION("""COMPUTED_VALUE"""),0.0)</f>
        <v>0</v>
      </c>
      <c r="BO418" s="16">
        <f>IFERROR(__xludf.DUMMYFUNCTION("""COMPUTED_VALUE"""),0.0)</f>
        <v>0</v>
      </c>
      <c r="BP418" s="16">
        <f>IFERROR(__xludf.DUMMYFUNCTION("""COMPUTED_VALUE"""),0.0)</f>
        <v>0</v>
      </c>
      <c r="BQ418" s="16">
        <f>IFERROR(__xludf.DUMMYFUNCTION("""COMPUTED_VALUE"""),5.0)</f>
        <v>5</v>
      </c>
      <c r="BR418" s="16">
        <f>IFERROR(__xludf.DUMMYFUNCTION("""COMPUTED_VALUE"""),5.0)</f>
        <v>5</v>
      </c>
      <c r="BS418" s="16">
        <f>IFERROR(__xludf.DUMMYFUNCTION("""COMPUTED_VALUE"""),0.0)</f>
        <v>0</v>
      </c>
      <c r="BT418" s="16">
        <f>IFERROR(__xludf.DUMMYFUNCTION("""COMPUTED_VALUE"""),0.0)</f>
        <v>0</v>
      </c>
      <c r="BU418" s="16">
        <f>IFERROR(__xludf.DUMMYFUNCTION("""COMPUTED_VALUE"""),0.0)</f>
        <v>0</v>
      </c>
      <c r="BV418" s="16">
        <f>IFERROR(__xludf.DUMMYFUNCTION("""COMPUTED_VALUE"""),0.0)</f>
        <v>0</v>
      </c>
      <c r="BW418" s="16">
        <f>IFERROR(__xludf.DUMMYFUNCTION("""COMPUTED_VALUE"""),-4.0)</f>
        <v>-4</v>
      </c>
      <c r="BX418" s="16">
        <f>IFERROR(__xludf.DUMMYFUNCTION("""COMPUTED_VALUE"""),-4.0)</f>
        <v>-4</v>
      </c>
      <c r="BY418" s="16" t="str">
        <f>IFERROR(__xludf.DUMMYFUNCTION("""COMPUTED_VALUE"""),"S(5) R(4)")</f>
        <v>S(5) R(4)</v>
      </c>
      <c r="BZ418" s="16" t="str">
        <f>IFERROR(__xludf.DUMMYFUNCTION("""COMPUTED_VALUE"""),"S(5) R(4)")</f>
        <v>S(5) R(4)</v>
      </c>
      <c r="CA418" s="16" t="str">
        <f>IFERROR(__xludf.DUMMYFUNCTION("""COMPUTED_VALUE"""),"S(5)")</f>
        <v>S(5)</v>
      </c>
      <c r="CB418" s="16" t="str">
        <f>IFERROR(__xludf.DUMMYFUNCTION("""COMPUTED_VALUE"""),"R(4)")</f>
        <v>R(4)</v>
      </c>
      <c r="CC418" s="16"/>
      <c r="CD418" s="16">
        <f>IFERROR(__xludf.DUMMYFUNCTION("""COMPUTED_VALUE"""),5.0)</f>
        <v>5</v>
      </c>
      <c r="CE418" s="16">
        <f>IFERROR(__xludf.DUMMYFUNCTION("""COMPUTED_VALUE"""),4.0)</f>
        <v>4</v>
      </c>
      <c r="CF418" s="16"/>
      <c r="CG418" s="16" t="str">
        <f>IFERROR(__xludf.DUMMYFUNCTION("""COMPUTED_VALUE"""),"2-0")</f>
        <v>2-0</v>
      </c>
      <c r="CH418" s="16">
        <f>IFERROR(__xludf.DUMMYFUNCTION("""COMPUTED_VALUE"""),2.0)</f>
        <v>2</v>
      </c>
      <c r="CI418" s="16">
        <f>IFERROR(__xludf.DUMMYFUNCTION("""COMPUTED_VALUE"""),0.0)</f>
        <v>0</v>
      </c>
      <c r="CJ418" s="16">
        <f>IFERROR(__xludf.DUMMYFUNCTION("""COMPUTED_VALUE"""),5.0)</f>
        <v>5</v>
      </c>
      <c r="CK418" s="16">
        <f>IFERROR(__xludf.DUMMYFUNCTION("""COMPUTED_VALUE"""),5.0)</f>
        <v>5</v>
      </c>
      <c r="CL418" s="16" t="str">
        <f>IFERROR(__xludf.DUMMYFUNCTION("""COMPUTED_VALUE"""),"1WR-C")</f>
        <v>1WR-C</v>
      </c>
      <c r="CM418" s="16" t="str">
        <f>IFERROR(__xludf.DUMMYFUNCTION("""COMPUTED_VALUE"""),"E")</f>
        <v>E</v>
      </c>
      <c r="CN418" s="16">
        <f>IFERROR(__xludf.DUMMYFUNCTION("""COMPUTED_VALUE"""),10.0)</f>
        <v>10</v>
      </c>
      <c r="CO418" s="16" t="str">
        <f>IFERROR(__xludf.DUMMYFUNCTION("""COMPUTED_VALUE"""),"C")</f>
        <v>C</v>
      </c>
      <c r="CP418" s="16" t="str">
        <f>IFERROR(__xludf.DUMMYFUNCTION("""COMPUTED_VALUE"""),"1p70")</f>
        <v>1p70</v>
      </c>
      <c r="CQ418" s="16">
        <f>IFERROR(__xludf.DUMMYFUNCTION("""COMPUTED_VALUE"""),-25.0)</f>
        <v>-25</v>
      </c>
      <c r="CR418" s="16">
        <f>IFERROR(__xludf.DUMMYFUNCTION("""COMPUTED_VALUE"""),-21.0)</f>
        <v>-21</v>
      </c>
      <c r="CS418" s="16">
        <f>IFERROR(__xludf.DUMMYFUNCTION("""COMPUTED_VALUE"""),-46.0)</f>
        <v>-46</v>
      </c>
      <c r="CT418" s="16">
        <f>IFERROR(__xludf.DUMMYFUNCTION("""COMPUTED_VALUE"""),-25.0)</f>
        <v>-25</v>
      </c>
      <c r="CU418" s="16">
        <f>IFERROR(__xludf.DUMMYFUNCTION("""COMPUTED_VALUE"""),-21.0)</f>
        <v>-21</v>
      </c>
      <c r="CV418" s="179">
        <f>IFERROR(__xludf.DUMMYFUNCTION("""COMPUTED_VALUE"""),-16.666666666666668)</f>
        <v>-16.66666667</v>
      </c>
      <c r="CW418" s="179">
        <f>IFERROR(__xludf.DUMMYFUNCTION("""COMPUTED_VALUE"""),4.0)</f>
        <v>4</v>
      </c>
      <c r="CX418" s="179">
        <f>IFERROR(__xludf.DUMMYFUNCTION("""COMPUTED_VALUE"""),3.0)</f>
        <v>3</v>
      </c>
      <c r="CY418" s="16" t="str">
        <f>IFERROR(__xludf.DUMMYFUNCTION("""COMPUTED_VALUE"""),"SP")</f>
        <v>SP</v>
      </c>
      <c r="CZ418" s="16" t="str">
        <f>IFERROR(__xludf.DUMMYFUNCTION("""COMPUTED_VALUE"""),"RP")</f>
        <v>RP</v>
      </c>
      <c r="DA418" s="16"/>
      <c r="DB418" s="16"/>
      <c r="DC418" s="16"/>
      <c r="DD418" s="16"/>
      <c r="DE418" s="16"/>
      <c r="DF418" s="16"/>
      <c r="DG418" s="16"/>
      <c r="DH418" s="16"/>
      <c r="DI418" s="16"/>
      <c r="DJ418" s="16"/>
      <c r="DK418" s="16"/>
    </row>
    <row r="419">
      <c r="A419" s="16">
        <f>IFERROR(__xludf.DUMMYFUNCTION("""COMPUTED_VALUE"""),13163.0)</f>
        <v>13163</v>
      </c>
      <c r="B419" s="16" t="str">
        <f>IFERROR(__xludf.DUMMYFUNCTION("""COMPUTED_VALUE"""),"Mason Englert")</f>
        <v>Mason Englert</v>
      </c>
      <c r="C419" s="153">
        <f>IFERROR(__xludf.DUMMYFUNCTION("""COMPUTED_VALUE"""),0.0)</f>
        <v>0</v>
      </c>
      <c r="D419" s="16"/>
      <c r="E419" s="16" t="str">
        <f>IFERROR(__xludf.DUMMYFUNCTION("""COMPUTED_VALUE"""),"R")</f>
        <v>R</v>
      </c>
      <c r="F419" s="16">
        <f>IFERROR(__xludf.DUMMYFUNCTION("""COMPUTED_VALUE"""),22.0)</f>
        <v>22</v>
      </c>
      <c r="G419" s="16">
        <f>IFERROR(__xludf.DUMMYFUNCTION("""COMPUTED_VALUE"""),0.0)</f>
        <v>0</v>
      </c>
      <c r="H419" s="16">
        <f>IFERROR(__xludf.DUMMYFUNCTION("""COMPUTED_VALUE"""),30.0)</f>
        <v>30</v>
      </c>
      <c r="I419" s="16">
        <f>IFERROR(__xludf.DUMMYFUNCTION("""COMPUTED_VALUE"""),-3.0)</f>
        <v>-3</v>
      </c>
      <c r="J419" s="16">
        <f>IFERROR(__xludf.DUMMYFUNCTION("""COMPUTED_VALUE"""),0.0)</f>
        <v>0</v>
      </c>
      <c r="K419" s="16">
        <f>IFERROR(__xludf.DUMMYFUNCTION("""COMPUTED_VALUE"""),-9.0)</f>
        <v>-9</v>
      </c>
      <c r="L419" s="16">
        <f>IFERROR(__xludf.DUMMYFUNCTION("""COMPUTED_VALUE"""),0.0)</f>
        <v>0</v>
      </c>
      <c r="M419" s="16">
        <f>IFERROR(__xludf.DUMMYFUNCTION("""COMPUTED_VALUE"""),0.0)</f>
        <v>0</v>
      </c>
      <c r="N419" s="16">
        <f>IFERROR(__xludf.DUMMYFUNCTION("""COMPUTED_VALUE"""),3.0)</f>
        <v>3</v>
      </c>
      <c r="O419" s="16">
        <f>IFERROR(__xludf.DUMMYFUNCTION("""COMPUTED_VALUE"""),3.0)</f>
        <v>3</v>
      </c>
      <c r="P419" s="16">
        <f>IFERROR(__xludf.DUMMYFUNCTION("""COMPUTED_VALUE"""),2.0)</f>
        <v>2</v>
      </c>
      <c r="Q419" s="16">
        <f>IFERROR(__xludf.DUMMYFUNCTION("""COMPUTED_VALUE"""),3.0)</f>
        <v>3</v>
      </c>
      <c r="R419" s="16">
        <f>IFERROR(__xludf.DUMMYFUNCTION("""COMPUTED_VALUE"""),2.0)</f>
        <v>2</v>
      </c>
      <c r="S419" s="16">
        <f>IFERROR(__xludf.DUMMYFUNCTION("""COMPUTED_VALUE"""),33.8)</f>
        <v>33.8</v>
      </c>
      <c r="T419" s="16">
        <f>IFERROR(__xludf.DUMMYFUNCTION("""COMPUTED_VALUE"""),14.9)</f>
        <v>14.9</v>
      </c>
      <c r="U419" s="16">
        <f>IFERROR(__xludf.DUMMYFUNCTION("""COMPUTED_VALUE"""),-3.0)</f>
        <v>-3</v>
      </c>
      <c r="V419" s="16">
        <f>IFERROR(__xludf.DUMMYFUNCTION("""COMPUTED_VALUE"""),0.0)</f>
        <v>0</v>
      </c>
      <c r="W419" s="16">
        <f>IFERROR(__xludf.DUMMYFUNCTION("""COMPUTED_VALUE"""),-6.0)</f>
        <v>-6</v>
      </c>
      <c r="X419" s="16">
        <f>IFERROR(__xludf.DUMMYFUNCTION("""COMPUTED_VALUE"""),0.0)</f>
        <v>0</v>
      </c>
      <c r="Y419" s="16">
        <f>IFERROR(__xludf.DUMMYFUNCTION("""COMPUTED_VALUE"""),33.8)</f>
        <v>33.8</v>
      </c>
      <c r="Z419" s="16">
        <f>IFERROR(__xludf.DUMMYFUNCTION("""COMPUTED_VALUE"""),17.9)</f>
        <v>17.9</v>
      </c>
      <c r="AA419" s="16">
        <f>IFERROR(__xludf.DUMMYFUNCTION("""COMPUTED_VALUE"""),-1.0)</f>
        <v>-1</v>
      </c>
      <c r="AB419" s="16">
        <f>IFERROR(__xludf.DUMMYFUNCTION("""COMPUTED_VALUE"""),1.0)</f>
        <v>1</v>
      </c>
      <c r="AC419" s="16">
        <f>IFERROR(__xludf.DUMMYFUNCTION("""COMPUTED_VALUE"""),-5.0)</f>
        <v>-5</v>
      </c>
      <c r="AD419" s="16">
        <f>IFERROR(__xludf.DUMMYFUNCTION("""COMPUTED_VALUE"""),5.0)</f>
        <v>5</v>
      </c>
      <c r="AE419" s="16">
        <f>IFERROR(__xludf.DUMMYFUNCTION("""COMPUTED_VALUE"""),77.1)</f>
        <v>77.1</v>
      </c>
      <c r="AF419" s="16">
        <f>IFERROR(__xludf.DUMMYFUNCTION("""COMPUTED_VALUE"""),38.3)</f>
        <v>38.3</v>
      </c>
      <c r="AG419" s="16">
        <f>IFERROR(__xludf.DUMMYFUNCTION("""COMPUTED_VALUE"""),-3.0)</f>
        <v>-3</v>
      </c>
      <c r="AH419" s="16">
        <f>IFERROR(__xludf.DUMMYFUNCTION("""COMPUTED_VALUE"""),-1.0)</f>
        <v>-1</v>
      </c>
      <c r="AI419" s="16">
        <f>IFERROR(__xludf.DUMMYFUNCTION("""COMPUTED_VALUE"""),-6.0)</f>
        <v>-6</v>
      </c>
      <c r="AJ419" s="16">
        <f>IFERROR(__xludf.DUMMYFUNCTION("""COMPUTED_VALUE"""),-2.0)</f>
        <v>-2</v>
      </c>
      <c r="AK419" s="16">
        <f>IFERROR(__xludf.DUMMYFUNCTION("""COMPUTED_VALUE"""),31.999999999999996)</f>
        <v>32</v>
      </c>
      <c r="AL419" s="16">
        <f>IFERROR(__xludf.DUMMYFUNCTION("""COMPUTED_VALUE"""),10.600000000000001)</f>
        <v>10.6</v>
      </c>
      <c r="AM419" s="16">
        <f>IFERROR(__xludf.DUMMYFUNCTION("""COMPUTED_VALUE"""),-3.0)</f>
        <v>-3</v>
      </c>
      <c r="AN419" s="16">
        <f>IFERROR(__xludf.DUMMYFUNCTION("""COMPUTED_VALUE"""),1.0)</f>
        <v>1</v>
      </c>
      <c r="AO419" s="16">
        <f>IFERROR(__xludf.DUMMYFUNCTION("""COMPUTED_VALUE"""),-3.0)</f>
        <v>-3</v>
      </c>
      <c r="AP419" s="16">
        <f>IFERROR(__xludf.DUMMYFUNCTION("""COMPUTED_VALUE"""),1.0)</f>
        <v>1</v>
      </c>
      <c r="AQ419" s="16">
        <f>IFERROR(__xludf.DUMMYFUNCTION("""COMPUTED_VALUE"""),69.89999999999999)</f>
        <v>69.9</v>
      </c>
      <c r="AR419" s="16">
        <f>IFERROR(__xludf.DUMMYFUNCTION("""COMPUTED_VALUE"""),21.099999999999998)</f>
        <v>21.1</v>
      </c>
      <c r="AS419" s="16">
        <f>IFERROR(__xludf.DUMMYFUNCTION("""COMPUTED_VALUE"""),-3.0)</f>
        <v>-3</v>
      </c>
      <c r="AT419" s="16">
        <f>IFERROR(__xludf.DUMMYFUNCTION("""COMPUTED_VALUE"""),0.0)</f>
        <v>0</v>
      </c>
      <c r="AU419" s="16">
        <f>IFERROR(__xludf.DUMMYFUNCTION("""COMPUTED_VALUE"""),-6.0)</f>
        <v>-6</v>
      </c>
      <c r="AV419" s="16">
        <f>IFERROR(__xludf.DUMMYFUNCTION("""COMPUTED_VALUE"""),0.0)</f>
        <v>0</v>
      </c>
      <c r="AW419" s="16">
        <f>IFERROR(__xludf.DUMMYFUNCTION("""COMPUTED_VALUE"""),1.8)</f>
        <v>1.8</v>
      </c>
      <c r="AX419" s="16">
        <f>IFERROR(__xludf.DUMMYFUNCTION("""COMPUTED_VALUE"""),4.3)</f>
        <v>4.3</v>
      </c>
      <c r="AY419" s="16">
        <f>IFERROR(__xludf.DUMMYFUNCTION("""COMPUTED_VALUE"""),0.0)</f>
        <v>0</v>
      </c>
      <c r="AZ419" s="16">
        <f>IFERROR(__xludf.DUMMYFUNCTION("""COMPUTED_VALUE"""),-2.0)</f>
        <v>-2</v>
      </c>
      <c r="BA419" s="16">
        <f>IFERROR(__xludf.DUMMYFUNCTION("""COMPUTED_VALUE"""),0.0)</f>
        <v>0</v>
      </c>
      <c r="BB419" s="16">
        <f>IFERROR(__xludf.DUMMYFUNCTION("""COMPUTED_VALUE"""),-10.0)</f>
        <v>-10</v>
      </c>
      <c r="BC419" s="16"/>
      <c r="BD419" s="16"/>
      <c r="BE419" s="16">
        <f>IFERROR(__xludf.DUMMYFUNCTION("""COMPUTED_VALUE"""),3.0)</f>
        <v>3</v>
      </c>
      <c r="BF419" s="16">
        <f>IFERROR(__xludf.DUMMYFUNCTION("""COMPUTED_VALUE"""),8.0)</f>
        <v>8</v>
      </c>
      <c r="BG419" s="16">
        <f>IFERROR(__xludf.DUMMYFUNCTION("""COMPUTED_VALUE"""),0.0)</f>
        <v>0</v>
      </c>
      <c r="BH419" s="16">
        <f>IFERROR(__xludf.DUMMYFUNCTION("""COMPUTED_VALUE"""),-3.0)</f>
        <v>-3</v>
      </c>
      <c r="BI419" s="16">
        <f>IFERROR(__xludf.DUMMYFUNCTION("""COMPUTED_VALUE"""),0.0)</f>
        <v>0</v>
      </c>
      <c r="BJ419" s="16">
        <f>IFERROR(__xludf.DUMMYFUNCTION("""COMPUTED_VALUE"""),-6.0)</f>
        <v>-6</v>
      </c>
      <c r="BK419" s="16">
        <f>IFERROR(__xludf.DUMMYFUNCTION("""COMPUTED_VALUE"""),0.0)</f>
        <v>0</v>
      </c>
      <c r="BL419" s="16">
        <f>IFERROR(__xludf.DUMMYFUNCTION("""COMPUTED_VALUE"""),0.0)</f>
        <v>0</v>
      </c>
      <c r="BM419" s="16">
        <f>IFERROR(__xludf.DUMMYFUNCTION("""COMPUTED_VALUE"""),1.0)</f>
        <v>1</v>
      </c>
      <c r="BN419" s="16">
        <f>IFERROR(__xludf.DUMMYFUNCTION("""COMPUTED_VALUE"""),1.0)</f>
        <v>1</v>
      </c>
      <c r="BO419" s="16">
        <f>IFERROR(__xludf.DUMMYFUNCTION("""COMPUTED_VALUE"""),1.0)</f>
        <v>1</v>
      </c>
      <c r="BP419" s="16">
        <f>IFERROR(__xludf.DUMMYFUNCTION("""COMPUTED_VALUE"""),1.0)</f>
        <v>1</v>
      </c>
      <c r="BQ419" s="16">
        <f>IFERROR(__xludf.DUMMYFUNCTION("""COMPUTED_VALUE"""),5.0)</f>
        <v>5</v>
      </c>
      <c r="BR419" s="16">
        <f>IFERROR(__xludf.DUMMYFUNCTION("""COMPUTED_VALUE"""),5.0)</f>
        <v>5</v>
      </c>
      <c r="BS419" s="16">
        <f>IFERROR(__xludf.DUMMYFUNCTION("""COMPUTED_VALUE"""),0.0)</f>
        <v>0</v>
      </c>
      <c r="BT419" s="16">
        <f>IFERROR(__xludf.DUMMYFUNCTION("""COMPUTED_VALUE"""),0.0)</f>
        <v>0</v>
      </c>
      <c r="BU419" s="16">
        <f>IFERROR(__xludf.DUMMYFUNCTION("""COMPUTED_VALUE"""),0.0)</f>
        <v>0</v>
      </c>
      <c r="BV419" s="16">
        <f>IFERROR(__xludf.DUMMYFUNCTION("""COMPUTED_VALUE"""),0.0)</f>
        <v>0</v>
      </c>
      <c r="BW419" s="16">
        <f>IFERROR(__xludf.DUMMYFUNCTION("""COMPUTED_VALUE"""),-1.0)</f>
        <v>-1</v>
      </c>
      <c r="BX419" s="16">
        <f>IFERROR(__xludf.DUMMYFUNCTION("""COMPUTED_VALUE"""),-1.0)</f>
        <v>-1</v>
      </c>
      <c r="BY419" s="16" t="str">
        <f>IFERROR(__xludf.DUMMYFUNCTION("""COMPUTED_VALUE"""),"R(2)")</f>
        <v>R(2)</v>
      </c>
      <c r="BZ419" s="16" t="str">
        <f>IFERROR(__xludf.DUMMYFUNCTION("""COMPUTED_VALUE"""),"R(2)")</f>
        <v>R(2)</v>
      </c>
      <c r="CA419" s="16" t="str">
        <f>IFERROR(__xludf.DUMMYFUNCTION("""COMPUTED_VALUE"""),"R(2)")</f>
        <v>R(2)</v>
      </c>
      <c r="CB419" s="16"/>
      <c r="CC419" s="16"/>
      <c r="CD419" s="16"/>
      <c r="CE419" s="16">
        <f>IFERROR(__xludf.DUMMYFUNCTION("""COMPUTED_VALUE"""),2.0)</f>
        <v>2</v>
      </c>
      <c r="CF419" s="16"/>
      <c r="CG419" s="16" t="str">
        <f>IFERROR(__xludf.DUMMYFUNCTION("""COMPUTED_VALUE"""),"3-0")</f>
        <v>3-0</v>
      </c>
      <c r="CH419" s="16">
        <f>IFERROR(__xludf.DUMMYFUNCTION("""COMPUTED_VALUE"""),3.0)</f>
        <v>3</v>
      </c>
      <c r="CI419" s="16">
        <f>IFERROR(__xludf.DUMMYFUNCTION("""COMPUTED_VALUE"""),0.0)</f>
        <v>0</v>
      </c>
      <c r="CJ419" s="16">
        <f>IFERROR(__xludf.DUMMYFUNCTION("""COMPUTED_VALUE"""),0.0)</f>
        <v>0</v>
      </c>
      <c r="CK419" s="16">
        <f>IFERROR(__xludf.DUMMYFUNCTION("""COMPUTED_VALUE"""),20.0)</f>
        <v>20</v>
      </c>
      <c r="CL419" s="16" t="str">
        <f>IFERROR(__xludf.DUMMYFUNCTION("""COMPUTED_VALUE"""),"1WS-C")</f>
        <v>1WS-C</v>
      </c>
      <c r="CM419" s="16" t="str">
        <f>IFERROR(__xludf.DUMMYFUNCTION("""COMPUTED_VALUE"""),"E")</f>
        <v>E</v>
      </c>
      <c r="CN419" s="16">
        <f>IFERROR(__xludf.DUMMYFUNCTION("""COMPUTED_VALUE"""),10.0)</f>
        <v>10</v>
      </c>
      <c r="CO419" s="16" t="str">
        <f>IFERROR(__xludf.DUMMYFUNCTION("""COMPUTED_VALUE"""),"C")</f>
        <v>C</v>
      </c>
      <c r="CP419" s="16" t="str">
        <f>IFERROR(__xludf.DUMMYFUNCTION("""COMPUTED_VALUE"""),"1p20")</f>
        <v>1p20</v>
      </c>
      <c r="CQ419" s="16">
        <f>IFERROR(__xludf.DUMMYFUNCTION("""COMPUTED_VALUE"""),-31.0)</f>
        <v>-31</v>
      </c>
      <c r="CR419" s="16">
        <f>IFERROR(__xludf.DUMMYFUNCTION("""COMPUTED_VALUE"""),-9.0)</f>
        <v>-9</v>
      </c>
      <c r="CS419" s="16">
        <f>IFERROR(__xludf.DUMMYFUNCTION("""COMPUTED_VALUE"""),-40.0)</f>
        <v>-40</v>
      </c>
      <c r="CT419" s="16">
        <f>IFERROR(__xludf.DUMMYFUNCTION("""COMPUTED_VALUE"""),-31.0)</f>
        <v>-31</v>
      </c>
      <c r="CU419" s="16">
        <f>IFERROR(__xludf.DUMMYFUNCTION("""COMPUTED_VALUE"""),-9.0)</f>
        <v>-9</v>
      </c>
      <c r="CV419" s="179">
        <f>IFERROR(__xludf.DUMMYFUNCTION("""COMPUTED_VALUE"""),-16.666666666666668)</f>
        <v>-16.66666667</v>
      </c>
      <c r="CW419" s="179">
        <f>IFERROR(__xludf.DUMMYFUNCTION("""COMPUTED_VALUE"""),4.0)</f>
        <v>4</v>
      </c>
      <c r="CX419" s="179">
        <f>IFERROR(__xludf.DUMMYFUNCTION("""COMPUTED_VALUE"""),3.0)</f>
        <v>3</v>
      </c>
      <c r="CY419" s="16" t="str">
        <f>IFERROR(__xludf.DUMMYFUNCTION("""COMPUTED_VALUE"""),"RP")</f>
        <v>RP</v>
      </c>
      <c r="CZ419" s="16"/>
      <c r="DA419" s="16"/>
      <c r="DB419" s="16"/>
      <c r="DC419" s="16"/>
      <c r="DD419" s="16"/>
      <c r="DE419" s="16"/>
      <c r="DF419" s="16"/>
      <c r="DG419" s="16"/>
      <c r="DH419" s="16"/>
      <c r="DI419" s="16"/>
      <c r="DJ419" s="16"/>
      <c r="DK419" s="16"/>
    </row>
    <row r="420">
      <c r="A420" s="16">
        <f>IFERROR(__xludf.DUMMYFUNCTION("""COMPUTED_VALUE"""),13293.0)</f>
        <v>13293</v>
      </c>
      <c r="B420" s="16" t="str">
        <f>IFERROR(__xludf.DUMMYFUNCTION("""COMPUTED_VALUE"""),"Rafael Montero")</f>
        <v>Rafael Montero</v>
      </c>
      <c r="C420" s="153">
        <f>IFERROR(__xludf.DUMMYFUNCTION("""COMPUTED_VALUE"""),0.0)</f>
        <v>0</v>
      </c>
      <c r="D420" s="16"/>
      <c r="E420" s="16" t="str">
        <f>IFERROR(__xludf.DUMMYFUNCTION("""COMPUTED_VALUE"""),"R")</f>
        <v>R</v>
      </c>
      <c r="F420" s="16">
        <f>IFERROR(__xludf.DUMMYFUNCTION("""COMPUTED_VALUE"""),38.0)</f>
        <v>38</v>
      </c>
      <c r="G420" s="16">
        <f>IFERROR(__xludf.DUMMYFUNCTION("""COMPUTED_VALUE"""),0.0)</f>
        <v>0</v>
      </c>
      <c r="H420" s="16">
        <f>IFERROR(__xludf.DUMMYFUNCTION("""COMPUTED_VALUE"""),13.0)</f>
        <v>13</v>
      </c>
      <c r="I420" s="16">
        <f>IFERROR(__xludf.DUMMYFUNCTION("""COMPUTED_VALUE"""),-3.0)</f>
        <v>-3</v>
      </c>
      <c r="J420" s="16">
        <f>IFERROR(__xludf.DUMMYFUNCTION("""COMPUTED_VALUE"""),-2.0)</f>
        <v>-2</v>
      </c>
      <c r="K420" s="16">
        <f>IFERROR(__xludf.DUMMYFUNCTION("""COMPUTED_VALUE"""),-9.0)</f>
        <v>-9</v>
      </c>
      <c r="L420" s="16">
        <f>IFERROR(__xludf.DUMMYFUNCTION("""COMPUTED_VALUE"""),-6.0)</f>
        <v>-6</v>
      </c>
      <c r="M420" s="16">
        <f>IFERROR(__xludf.DUMMYFUNCTION("""COMPUTED_VALUE"""),19.0)</f>
        <v>19</v>
      </c>
      <c r="N420" s="16">
        <f>IFERROR(__xludf.DUMMYFUNCTION("""COMPUTED_VALUE"""),14.0)</f>
        <v>14</v>
      </c>
      <c r="O420" s="16">
        <f>IFERROR(__xludf.DUMMYFUNCTION("""COMPUTED_VALUE"""),-3.0)</f>
        <v>-3</v>
      </c>
      <c r="P420" s="16">
        <f>IFERROR(__xludf.DUMMYFUNCTION("""COMPUTED_VALUE"""),-2.0)</f>
        <v>-2</v>
      </c>
      <c r="Q420" s="16">
        <f>IFERROR(__xludf.DUMMYFUNCTION("""COMPUTED_VALUE"""),-3.0)</f>
        <v>-3</v>
      </c>
      <c r="R420" s="16">
        <f>IFERROR(__xludf.DUMMYFUNCTION("""COMPUTED_VALUE"""),-2.0)</f>
        <v>-2</v>
      </c>
      <c r="S420" s="16">
        <f>IFERROR(__xludf.DUMMYFUNCTION("""COMPUTED_VALUE"""),18.5)</f>
        <v>18.5</v>
      </c>
      <c r="T420" s="16">
        <f>IFERROR(__xludf.DUMMYFUNCTION("""COMPUTED_VALUE"""),11.0)</f>
        <v>11</v>
      </c>
      <c r="U420" s="16">
        <f>IFERROR(__xludf.DUMMYFUNCTION("""COMPUTED_VALUE"""),-1.0)</f>
        <v>-1</v>
      </c>
      <c r="V420" s="16">
        <f>IFERROR(__xludf.DUMMYFUNCTION("""COMPUTED_VALUE"""),1.0)</f>
        <v>1</v>
      </c>
      <c r="W420" s="16">
        <f>IFERROR(__xludf.DUMMYFUNCTION("""COMPUTED_VALUE"""),-2.0)</f>
        <v>-2</v>
      </c>
      <c r="X420" s="16">
        <f>IFERROR(__xludf.DUMMYFUNCTION("""COMPUTED_VALUE"""),2.0)</f>
        <v>2</v>
      </c>
      <c r="Y420" s="16">
        <f>IFERROR(__xludf.DUMMYFUNCTION("""COMPUTED_VALUE"""),37.5)</f>
        <v>37.5</v>
      </c>
      <c r="Z420" s="16">
        <f>IFERROR(__xludf.DUMMYFUNCTION("""COMPUTED_VALUE"""),25.0)</f>
        <v>25</v>
      </c>
      <c r="AA420" s="16">
        <f>IFERROR(__xludf.DUMMYFUNCTION("""COMPUTED_VALUE"""),-2.0)</f>
        <v>-2</v>
      </c>
      <c r="AB420" s="16">
        <f>IFERROR(__xludf.DUMMYFUNCTION("""COMPUTED_VALUE"""),0.0)</f>
        <v>0</v>
      </c>
      <c r="AC420" s="16">
        <f>IFERROR(__xludf.DUMMYFUNCTION("""COMPUTED_VALUE"""),-10.0)</f>
        <v>-10</v>
      </c>
      <c r="AD420" s="16">
        <f>IFERROR(__xludf.DUMMYFUNCTION("""COMPUTED_VALUE"""),0.0)</f>
        <v>0</v>
      </c>
      <c r="AE420" s="16">
        <f>IFERROR(__xludf.DUMMYFUNCTION("""COMPUTED_VALUE"""),49.3)</f>
        <v>49.3</v>
      </c>
      <c r="AF420" s="16">
        <f>IFERROR(__xludf.DUMMYFUNCTION("""COMPUTED_VALUE"""),16.5)</f>
        <v>16.5</v>
      </c>
      <c r="AG420" s="16">
        <f>IFERROR(__xludf.DUMMYFUNCTION("""COMPUTED_VALUE"""),-2.0)</f>
        <v>-2</v>
      </c>
      <c r="AH420" s="16">
        <f>IFERROR(__xludf.DUMMYFUNCTION("""COMPUTED_VALUE"""),1.0)</f>
        <v>1</v>
      </c>
      <c r="AI420" s="16">
        <f>IFERROR(__xludf.DUMMYFUNCTION("""COMPUTED_VALUE"""),-4.0)</f>
        <v>-4</v>
      </c>
      <c r="AJ420" s="16">
        <f>IFERROR(__xludf.DUMMYFUNCTION("""COMPUTED_VALUE"""),2.0)</f>
        <v>2</v>
      </c>
      <c r="AK420" s="16">
        <f>IFERROR(__xludf.DUMMYFUNCTION("""COMPUTED_VALUE"""),9.7)</f>
        <v>9.7</v>
      </c>
      <c r="AL420" s="16">
        <f>IFERROR(__xludf.DUMMYFUNCTION("""COMPUTED_VALUE"""),9.6)</f>
        <v>9.6</v>
      </c>
      <c r="AM420" s="16">
        <f>IFERROR(__xludf.DUMMYFUNCTION("""COMPUTED_VALUE"""),1.0)</f>
        <v>1</v>
      </c>
      <c r="AN420" s="16">
        <f>IFERROR(__xludf.DUMMYFUNCTION("""COMPUTED_VALUE"""),1.0)</f>
        <v>1</v>
      </c>
      <c r="AO420" s="16">
        <f>IFERROR(__xludf.DUMMYFUNCTION("""COMPUTED_VALUE"""),1.0)</f>
        <v>1</v>
      </c>
      <c r="AP420" s="16">
        <f>IFERROR(__xludf.DUMMYFUNCTION("""COMPUTED_VALUE"""),1.0)</f>
        <v>1</v>
      </c>
      <c r="AQ420" s="16">
        <f>IFERROR(__xludf.DUMMYFUNCTION("""COMPUTED_VALUE"""),14.099999999999994)</f>
        <v>14.1</v>
      </c>
      <c r="AR420" s="16">
        <f>IFERROR(__xludf.DUMMYFUNCTION("""COMPUTED_VALUE"""),10.9)</f>
        <v>10.9</v>
      </c>
      <c r="AS420" s="16">
        <f>IFERROR(__xludf.DUMMYFUNCTION("""COMPUTED_VALUE"""),1.0)</f>
        <v>1</v>
      </c>
      <c r="AT420" s="16">
        <f>IFERROR(__xludf.DUMMYFUNCTION("""COMPUTED_VALUE"""),1.0)</f>
        <v>1</v>
      </c>
      <c r="AU420" s="16">
        <f>IFERROR(__xludf.DUMMYFUNCTION("""COMPUTED_VALUE"""),2.0)</f>
        <v>2</v>
      </c>
      <c r="AV420" s="16">
        <f>IFERROR(__xludf.DUMMYFUNCTION("""COMPUTED_VALUE"""),2.0)</f>
        <v>2</v>
      </c>
      <c r="AW420" s="16">
        <f>IFERROR(__xludf.DUMMYFUNCTION("""COMPUTED_VALUE"""),8.8)</f>
        <v>8.8</v>
      </c>
      <c r="AX420" s="16">
        <f>IFERROR(__xludf.DUMMYFUNCTION("""COMPUTED_VALUE"""),1.4)</f>
        <v>1.4</v>
      </c>
      <c r="AY420" s="16">
        <f>IFERROR(__xludf.DUMMYFUNCTION("""COMPUTED_VALUE"""),-3.0)</f>
        <v>-3</v>
      </c>
      <c r="AZ420" s="16">
        <f>IFERROR(__xludf.DUMMYFUNCTION("""COMPUTED_VALUE"""),1.0)</f>
        <v>1</v>
      </c>
      <c r="BA420" s="16">
        <f>IFERROR(__xludf.DUMMYFUNCTION("""COMPUTED_VALUE"""),-15.0)</f>
        <v>-15</v>
      </c>
      <c r="BB420" s="16">
        <f>IFERROR(__xludf.DUMMYFUNCTION("""COMPUTED_VALUE"""),5.0)</f>
        <v>5</v>
      </c>
      <c r="BC420" s="16">
        <f>IFERROR(__xludf.DUMMYFUNCTION("""COMPUTED_VALUE"""),8.0)</f>
        <v>8</v>
      </c>
      <c r="BD420" s="16">
        <f>IFERROR(__xludf.DUMMYFUNCTION("""COMPUTED_VALUE"""),2.0)</f>
        <v>2</v>
      </c>
      <c r="BE420" s="16">
        <f>IFERROR(__xludf.DUMMYFUNCTION("""COMPUTED_VALUE"""),8.0)</f>
        <v>8</v>
      </c>
      <c r="BF420" s="16">
        <f>IFERROR(__xludf.DUMMYFUNCTION("""COMPUTED_VALUE"""),2.0)</f>
        <v>2</v>
      </c>
      <c r="BG420" s="16">
        <f>IFERROR(__xludf.DUMMYFUNCTION("""COMPUTED_VALUE"""),-3.0)</f>
        <v>-3</v>
      </c>
      <c r="BH420" s="16">
        <f>IFERROR(__xludf.DUMMYFUNCTION("""COMPUTED_VALUE"""),1.0)</f>
        <v>1</v>
      </c>
      <c r="BI420" s="16">
        <f>IFERROR(__xludf.DUMMYFUNCTION("""COMPUTED_VALUE"""),-6.0)</f>
        <v>-6</v>
      </c>
      <c r="BJ420" s="16">
        <f>IFERROR(__xludf.DUMMYFUNCTION("""COMPUTED_VALUE"""),2.0)</f>
        <v>2</v>
      </c>
      <c r="BK420" s="16">
        <f>IFERROR(__xludf.DUMMYFUNCTION("""COMPUTED_VALUE"""),5.0)</f>
        <v>5</v>
      </c>
      <c r="BL420" s="16">
        <f>IFERROR(__xludf.DUMMYFUNCTION("""COMPUTED_VALUE"""),5.0)</f>
        <v>5</v>
      </c>
      <c r="BM420" s="16">
        <f>IFERROR(__xludf.DUMMYFUNCTION("""COMPUTED_VALUE"""),0.0)</f>
        <v>0</v>
      </c>
      <c r="BN420" s="16">
        <f>IFERROR(__xludf.DUMMYFUNCTION("""COMPUTED_VALUE"""),0.0)</f>
        <v>0</v>
      </c>
      <c r="BO420" s="16">
        <f>IFERROR(__xludf.DUMMYFUNCTION("""COMPUTED_VALUE"""),0.0)</f>
        <v>0</v>
      </c>
      <c r="BP420" s="16">
        <f>IFERROR(__xludf.DUMMYFUNCTION("""COMPUTED_VALUE"""),0.0)</f>
        <v>0</v>
      </c>
      <c r="BQ420" s="16">
        <f>IFERROR(__xludf.DUMMYFUNCTION("""COMPUTED_VALUE"""),12.0)</f>
        <v>12</v>
      </c>
      <c r="BR420" s="16">
        <f>IFERROR(__xludf.DUMMYFUNCTION("""COMPUTED_VALUE"""),12.0)</f>
        <v>12</v>
      </c>
      <c r="BS420" s="16">
        <f>IFERROR(__xludf.DUMMYFUNCTION("""COMPUTED_VALUE"""),3.0)</f>
        <v>3</v>
      </c>
      <c r="BT420" s="16">
        <f>IFERROR(__xludf.DUMMYFUNCTION("""COMPUTED_VALUE"""),3.0)</f>
        <v>3</v>
      </c>
      <c r="BU420" s="16">
        <f>IFERROR(__xludf.DUMMYFUNCTION("""COMPUTED_VALUE"""),6.0)</f>
        <v>6</v>
      </c>
      <c r="BV420" s="16">
        <f>IFERROR(__xludf.DUMMYFUNCTION("""COMPUTED_VALUE"""),6.0)</f>
        <v>6</v>
      </c>
      <c r="BW420" s="16">
        <f>IFERROR(__xludf.DUMMYFUNCTION("""COMPUTED_VALUE"""),9.0)</f>
        <v>9</v>
      </c>
      <c r="BX420" s="16">
        <f>IFERROR(__xludf.DUMMYFUNCTION("""COMPUTED_VALUE"""),9.0)</f>
        <v>9</v>
      </c>
      <c r="BY420" s="16" t="str">
        <f>IFERROR(__xludf.DUMMYFUNCTION("""COMPUTED_VALUE"""),"R(1)")</f>
        <v>R(1)</v>
      </c>
      <c r="BZ420" s="16" t="str">
        <f>IFERROR(__xludf.DUMMYFUNCTION("""COMPUTED_VALUE"""),"R(1)")</f>
        <v>R(1)</v>
      </c>
      <c r="CA420" s="16" t="str">
        <f>IFERROR(__xludf.DUMMYFUNCTION("""COMPUTED_VALUE"""),"R(1)")</f>
        <v>R(1)</v>
      </c>
      <c r="CB420" s="16"/>
      <c r="CC420" s="16"/>
      <c r="CD420" s="16"/>
      <c r="CE420" s="16">
        <f>IFERROR(__xludf.DUMMYFUNCTION("""COMPUTED_VALUE"""),1.0)</f>
        <v>1</v>
      </c>
      <c r="CF420" s="16"/>
      <c r="CG420" s="16" t="str">
        <f>IFERROR(__xludf.DUMMYFUNCTION("""COMPUTED_VALUE"""),"3-38")</f>
        <v>3-38</v>
      </c>
      <c r="CH420" s="16">
        <f>IFERROR(__xludf.DUMMYFUNCTION("""COMPUTED_VALUE"""),3.0)</f>
        <v>3</v>
      </c>
      <c r="CI420" s="16">
        <f>IFERROR(__xludf.DUMMYFUNCTION("""COMPUTED_VALUE"""),38.0)</f>
        <v>38</v>
      </c>
      <c r="CJ420" s="16">
        <f>IFERROR(__xludf.DUMMYFUNCTION("""COMPUTED_VALUE"""),0.0)</f>
        <v>0</v>
      </c>
      <c r="CK420" s="16">
        <f>IFERROR(__xludf.DUMMYFUNCTION("""COMPUTED_VALUE"""),0.0)</f>
        <v>0</v>
      </c>
      <c r="CL420" s="16" t="str">
        <f>IFERROR(__xludf.DUMMYFUNCTION("""COMPUTED_VALUE"""),"1WR-C")</f>
        <v>1WR-C</v>
      </c>
      <c r="CM420" s="16" t="str">
        <f>IFERROR(__xludf.DUMMYFUNCTION("""COMPUTED_VALUE"""),"E")</f>
        <v>E</v>
      </c>
      <c r="CN420" s="16">
        <f>IFERROR(__xludf.DUMMYFUNCTION("""COMPUTED_VALUE"""),10.0)</f>
        <v>10</v>
      </c>
      <c r="CO420" s="16" t="str">
        <f>IFERROR(__xludf.DUMMYFUNCTION("""COMPUTED_VALUE"""),"C")</f>
        <v>C</v>
      </c>
      <c r="CP420" s="16" t="str">
        <f>IFERROR(__xludf.DUMMYFUNCTION("""COMPUTED_VALUE"""),"1p30")</f>
        <v>1p30</v>
      </c>
      <c r="CQ420" s="16">
        <f>IFERROR(__xludf.DUMMYFUNCTION("""COMPUTED_VALUE"""),-40.0)</f>
        <v>-40</v>
      </c>
      <c r="CR420" s="16">
        <f>IFERROR(__xludf.DUMMYFUNCTION("""COMPUTED_VALUE"""),12.0)</f>
        <v>12</v>
      </c>
      <c r="CS420" s="16">
        <f>IFERROR(__xludf.DUMMYFUNCTION("""COMPUTED_VALUE"""),-28.0)</f>
        <v>-28</v>
      </c>
      <c r="CT420" s="16">
        <f>IFERROR(__xludf.DUMMYFUNCTION("""COMPUTED_VALUE"""),-40.0)</f>
        <v>-40</v>
      </c>
      <c r="CU420" s="16">
        <f>IFERROR(__xludf.DUMMYFUNCTION("""COMPUTED_VALUE"""),12.0)</f>
        <v>12</v>
      </c>
      <c r="CV420" s="179">
        <f>IFERROR(__xludf.DUMMYFUNCTION("""COMPUTED_VALUE"""),-16.666666666666668)</f>
        <v>-16.66666667</v>
      </c>
      <c r="CW420" s="179">
        <f>IFERROR(__xludf.DUMMYFUNCTION("""COMPUTED_VALUE"""),4.0)</f>
        <v>4</v>
      </c>
      <c r="CX420" s="179">
        <f>IFERROR(__xludf.DUMMYFUNCTION("""COMPUTED_VALUE"""),2.0)</f>
        <v>2</v>
      </c>
      <c r="CY420" s="16" t="str">
        <f>IFERROR(__xludf.DUMMYFUNCTION("""COMPUTED_VALUE"""),"RP")</f>
        <v>RP</v>
      </c>
      <c r="CZ420" s="16"/>
      <c r="DA420" s="16"/>
      <c r="DB420" s="16"/>
      <c r="DC420" s="16"/>
      <c r="DD420" s="16"/>
      <c r="DE420" s="16"/>
      <c r="DF420" s="16"/>
      <c r="DG420" s="16"/>
      <c r="DH420" s="16"/>
      <c r="DI420" s="16"/>
      <c r="DJ420" s="16"/>
      <c r="DK420" s="16"/>
    </row>
    <row r="421">
      <c r="A421" s="16">
        <f>IFERROR(__xludf.DUMMYFUNCTION("""COMPUTED_VALUE"""),13171.0)</f>
        <v>13171</v>
      </c>
      <c r="B421" s="16" t="str">
        <f>IFERROR(__xludf.DUMMYFUNCTION("""COMPUTED_VALUE"""),"Matt Moore")</f>
        <v>Matt Moore</v>
      </c>
      <c r="C421" s="153">
        <f>IFERROR(__xludf.DUMMYFUNCTION("""COMPUTED_VALUE"""),0.0)</f>
        <v>0</v>
      </c>
      <c r="D421" s="16"/>
      <c r="E421" s="16" t="str">
        <f>IFERROR(__xludf.DUMMYFUNCTION("""COMPUTED_VALUE"""),"L")</f>
        <v>L</v>
      </c>
      <c r="F421" s="16">
        <f>IFERROR(__xludf.DUMMYFUNCTION("""COMPUTED_VALUE"""),48.0)</f>
        <v>48</v>
      </c>
      <c r="G421" s="16">
        <f>IFERROR(__xludf.DUMMYFUNCTION("""COMPUTED_VALUE"""),13.0)</f>
        <v>13</v>
      </c>
      <c r="H421" s="16">
        <f>IFERROR(__xludf.DUMMYFUNCTION("""COMPUTED_VALUE"""),21.0)</f>
        <v>21</v>
      </c>
      <c r="I421" s="16">
        <f>IFERROR(__xludf.DUMMYFUNCTION("""COMPUTED_VALUE"""),-2.0)</f>
        <v>-2</v>
      </c>
      <c r="J421" s="16">
        <f>IFERROR(__xludf.DUMMYFUNCTION("""COMPUTED_VALUE"""),-1.0)</f>
        <v>-1</v>
      </c>
      <c r="K421" s="16">
        <f>IFERROR(__xludf.DUMMYFUNCTION("""COMPUTED_VALUE"""),-6.0)</f>
        <v>-6</v>
      </c>
      <c r="L421" s="16">
        <f>IFERROR(__xludf.DUMMYFUNCTION("""COMPUTED_VALUE"""),-3.0)</f>
        <v>-3</v>
      </c>
      <c r="M421" s="16">
        <f>IFERROR(__xludf.DUMMYFUNCTION("""COMPUTED_VALUE"""),12.0)</f>
        <v>12</v>
      </c>
      <c r="N421" s="16">
        <f>IFERROR(__xludf.DUMMYFUNCTION("""COMPUTED_VALUE"""),20.0)</f>
        <v>20</v>
      </c>
      <c r="O421" s="16">
        <f>IFERROR(__xludf.DUMMYFUNCTION("""COMPUTED_VALUE"""),-1.0)</f>
        <v>-1</v>
      </c>
      <c r="P421" s="16">
        <f>IFERROR(__xludf.DUMMYFUNCTION("""COMPUTED_VALUE"""),-3.0)</f>
        <v>-3</v>
      </c>
      <c r="Q421" s="16">
        <f>IFERROR(__xludf.DUMMYFUNCTION("""COMPUTED_VALUE"""),-1.0)</f>
        <v>-1</v>
      </c>
      <c r="R421" s="16">
        <f>IFERROR(__xludf.DUMMYFUNCTION("""COMPUTED_VALUE"""),-3.0)</f>
        <v>-3</v>
      </c>
      <c r="S421" s="16">
        <f>IFERROR(__xludf.DUMMYFUNCTION("""COMPUTED_VALUE"""),5.3)</f>
        <v>5.3</v>
      </c>
      <c r="T421" s="16">
        <f>IFERROR(__xludf.DUMMYFUNCTION("""COMPUTED_VALUE"""),9.1)</f>
        <v>9.1</v>
      </c>
      <c r="U421" s="16">
        <f>IFERROR(__xludf.DUMMYFUNCTION("""COMPUTED_VALUE"""),2.0)</f>
        <v>2</v>
      </c>
      <c r="V421" s="16">
        <f>IFERROR(__xludf.DUMMYFUNCTION("""COMPUTED_VALUE"""),1.0)</f>
        <v>1</v>
      </c>
      <c r="W421" s="16">
        <f>IFERROR(__xludf.DUMMYFUNCTION("""COMPUTED_VALUE"""),4.0)</f>
        <v>4</v>
      </c>
      <c r="X421" s="16">
        <f>IFERROR(__xludf.DUMMYFUNCTION("""COMPUTED_VALUE"""),2.0)</f>
        <v>2</v>
      </c>
      <c r="Y421" s="16">
        <f>IFERROR(__xludf.DUMMYFUNCTION("""COMPUTED_VALUE"""),17.4)</f>
        <v>17.4</v>
      </c>
      <c r="Z421" s="16">
        <f>IFERROR(__xludf.DUMMYFUNCTION("""COMPUTED_VALUE"""),29.0)</f>
        <v>29</v>
      </c>
      <c r="AA421" s="16">
        <f>IFERROR(__xludf.DUMMYFUNCTION("""COMPUTED_VALUE"""),1.0)</f>
        <v>1</v>
      </c>
      <c r="AB421" s="16">
        <f>IFERROR(__xludf.DUMMYFUNCTION("""COMPUTED_VALUE"""),-1.0)</f>
        <v>-1</v>
      </c>
      <c r="AC421" s="16">
        <f>IFERROR(__xludf.DUMMYFUNCTION("""COMPUTED_VALUE"""),5.0)</f>
        <v>5</v>
      </c>
      <c r="AD421" s="16">
        <f>IFERROR(__xludf.DUMMYFUNCTION("""COMPUTED_VALUE"""),-5.0)</f>
        <v>-5</v>
      </c>
      <c r="AE421" s="16">
        <f>IFERROR(__xludf.DUMMYFUNCTION("""COMPUTED_VALUE"""),18.1)</f>
        <v>18.1</v>
      </c>
      <c r="AF421" s="16">
        <f>IFERROR(__xludf.DUMMYFUNCTION("""COMPUTED_VALUE"""),25.9)</f>
        <v>25.9</v>
      </c>
      <c r="AG421" s="16">
        <f>IFERROR(__xludf.DUMMYFUNCTION("""COMPUTED_VALUE"""),1.0)</f>
        <v>1</v>
      </c>
      <c r="AH421" s="16">
        <f>IFERROR(__xludf.DUMMYFUNCTION("""COMPUTED_VALUE"""),0.0)</f>
        <v>0</v>
      </c>
      <c r="AI421" s="16">
        <f>IFERROR(__xludf.DUMMYFUNCTION("""COMPUTED_VALUE"""),2.0)</f>
        <v>2</v>
      </c>
      <c r="AJ421" s="16">
        <f>IFERROR(__xludf.DUMMYFUNCTION("""COMPUTED_VALUE"""),0.0)</f>
        <v>0</v>
      </c>
      <c r="AK421" s="16">
        <f>IFERROR(__xludf.DUMMYFUNCTION("""COMPUTED_VALUE"""),1.0)</f>
        <v>1</v>
      </c>
      <c r="AL421" s="16">
        <f>IFERROR(__xludf.DUMMYFUNCTION("""COMPUTED_VALUE"""),4.6)</f>
        <v>4.6</v>
      </c>
      <c r="AM421" s="16">
        <f>IFERROR(__xludf.DUMMYFUNCTION("""COMPUTED_VALUE"""),2.0)</f>
        <v>2</v>
      </c>
      <c r="AN421" s="16">
        <f>IFERROR(__xludf.DUMMYFUNCTION("""COMPUTED_VALUE"""),2.0)</f>
        <v>2</v>
      </c>
      <c r="AO421" s="16">
        <f>IFERROR(__xludf.DUMMYFUNCTION("""COMPUTED_VALUE"""),2.0)</f>
        <v>2</v>
      </c>
      <c r="AP421" s="16">
        <f>IFERROR(__xludf.DUMMYFUNCTION("""COMPUTED_VALUE"""),2.0)</f>
        <v>2</v>
      </c>
      <c r="AQ421" s="16">
        <f>IFERROR(__xludf.DUMMYFUNCTION("""COMPUTED_VALUE"""),0.9000000000000021)</f>
        <v>0.9</v>
      </c>
      <c r="AR421" s="16">
        <f>IFERROR(__xludf.DUMMYFUNCTION("""COMPUTED_VALUE"""),7.899999999999999)</f>
        <v>7.9</v>
      </c>
      <c r="AS421" s="16">
        <f>IFERROR(__xludf.DUMMYFUNCTION("""COMPUTED_VALUE"""),2.0)</f>
        <v>2</v>
      </c>
      <c r="AT421" s="16">
        <f>IFERROR(__xludf.DUMMYFUNCTION("""COMPUTED_VALUE"""),2.0)</f>
        <v>2</v>
      </c>
      <c r="AU421" s="16">
        <f>IFERROR(__xludf.DUMMYFUNCTION("""COMPUTED_VALUE"""),4.0)</f>
        <v>4</v>
      </c>
      <c r="AV421" s="16">
        <f>IFERROR(__xludf.DUMMYFUNCTION("""COMPUTED_VALUE"""),4.0)</f>
        <v>4</v>
      </c>
      <c r="AW421" s="16">
        <f>IFERROR(__xludf.DUMMYFUNCTION("""COMPUTED_VALUE"""),4.3)</f>
        <v>4.3</v>
      </c>
      <c r="AX421" s="16">
        <f>IFERROR(__xludf.DUMMYFUNCTION("""COMPUTED_VALUE"""),4.5)</f>
        <v>4.5</v>
      </c>
      <c r="AY421" s="16">
        <f>IFERROR(__xludf.DUMMYFUNCTION("""COMPUTED_VALUE"""),-2.0)</f>
        <v>-2</v>
      </c>
      <c r="AZ421" s="16">
        <f>IFERROR(__xludf.DUMMYFUNCTION("""COMPUTED_VALUE"""),-2.0)</f>
        <v>-2</v>
      </c>
      <c r="BA421" s="16">
        <f>IFERROR(__xludf.DUMMYFUNCTION("""COMPUTED_VALUE"""),-10.0)</f>
        <v>-10</v>
      </c>
      <c r="BB421" s="16">
        <f>IFERROR(__xludf.DUMMYFUNCTION("""COMPUTED_VALUE"""),-10.0)</f>
        <v>-10</v>
      </c>
      <c r="BC421" s="16">
        <f>IFERROR(__xludf.DUMMYFUNCTION("""COMPUTED_VALUE"""),8.0)</f>
        <v>8</v>
      </c>
      <c r="BD421" s="16"/>
      <c r="BE421" s="16">
        <f>IFERROR(__xludf.DUMMYFUNCTION("""COMPUTED_VALUE"""),8.0)</f>
        <v>8</v>
      </c>
      <c r="BF421" s="16">
        <f>IFERROR(__xludf.DUMMYFUNCTION("""COMPUTED_VALUE"""),8.0)</f>
        <v>8</v>
      </c>
      <c r="BG421" s="16">
        <f>IFERROR(__xludf.DUMMYFUNCTION("""COMPUTED_VALUE"""),-3.0)</f>
        <v>-3</v>
      </c>
      <c r="BH421" s="16">
        <f>IFERROR(__xludf.DUMMYFUNCTION("""COMPUTED_VALUE"""),-3.0)</f>
        <v>-3</v>
      </c>
      <c r="BI421" s="16">
        <f>IFERROR(__xludf.DUMMYFUNCTION("""COMPUTED_VALUE"""),-6.0)</f>
        <v>-6</v>
      </c>
      <c r="BJ421" s="16">
        <f>IFERROR(__xludf.DUMMYFUNCTION("""COMPUTED_VALUE"""),-6.0)</f>
        <v>-6</v>
      </c>
      <c r="BK421" s="16">
        <f>IFERROR(__xludf.DUMMYFUNCTION("""COMPUTED_VALUE"""),5.0)</f>
        <v>5</v>
      </c>
      <c r="BL421" s="16">
        <f>IFERROR(__xludf.DUMMYFUNCTION("""COMPUTED_VALUE"""),0.0)</f>
        <v>0</v>
      </c>
      <c r="BM421" s="16">
        <f>IFERROR(__xludf.DUMMYFUNCTION("""COMPUTED_VALUE"""),0.0)</f>
        <v>0</v>
      </c>
      <c r="BN421" s="16">
        <f>IFERROR(__xludf.DUMMYFUNCTION("""COMPUTED_VALUE"""),1.0)</f>
        <v>1</v>
      </c>
      <c r="BO421" s="16">
        <f>IFERROR(__xludf.DUMMYFUNCTION("""COMPUTED_VALUE"""),0.0)</f>
        <v>0</v>
      </c>
      <c r="BP421" s="16">
        <f>IFERROR(__xludf.DUMMYFUNCTION("""COMPUTED_VALUE"""),1.0)</f>
        <v>1</v>
      </c>
      <c r="BQ421" s="16">
        <f>IFERROR(__xludf.DUMMYFUNCTION("""COMPUTED_VALUE"""),0.0)</f>
        <v>0</v>
      </c>
      <c r="BR421" s="16">
        <f>IFERROR(__xludf.DUMMYFUNCTION("""COMPUTED_VALUE"""),0.0)</f>
        <v>0</v>
      </c>
      <c r="BS421" s="16">
        <f>IFERROR(__xludf.DUMMYFUNCTION("""COMPUTED_VALUE"""),-3.0)</f>
        <v>-3</v>
      </c>
      <c r="BT421" s="16">
        <f>IFERROR(__xludf.DUMMYFUNCTION("""COMPUTED_VALUE"""),-3.0)</f>
        <v>-3</v>
      </c>
      <c r="BU421" s="16">
        <f>IFERROR(__xludf.DUMMYFUNCTION("""COMPUTED_VALUE"""),-6.0)</f>
        <v>-6</v>
      </c>
      <c r="BV421" s="16">
        <f>IFERROR(__xludf.DUMMYFUNCTION("""COMPUTED_VALUE"""),-6.0)</f>
        <v>-6</v>
      </c>
      <c r="BW421" s="16">
        <f>IFERROR(__xludf.DUMMYFUNCTION("""COMPUTED_VALUE"""),6.0)</f>
        <v>6</v>
      </c>
      <c r="BX421" s="16">
        <f>IFERROR(__xludf.DUMMYFUNCTION("""COMPUTED_VALUE"""),6.0)</f>
        <v>6</v>
      </c>
      <c r="BY421" s="16" t="str">
        <f>IFERROR(__xludf.DUMMYFUNCTION("""COMPUTED_VALUE"""),"R(1) C(0)")</f>
        <v>R(1) C(0)</v>
      </c>
      <c r="BZ421" s="16" t="str">
        <f>IFERROR(__xludf.DUMMYFUNCTION("""COMPUTED_VALUE"""),"R(1) C(0)")</f>
        <v>R(1) C(0)</v>
      </c>
      <c r="CA421" s="16" t="str">
        <f>IFERROR(__xludf.DUMMYFUNCTION("""COMPUTED_VALUE"""),"R(1)")</f>
        <v>R(1)</v>
      </c>
      <c r="CB421" s="16" t="str">
        <f>IFERROR(__xludf.DUMMYFUNCTION("""COMPUTED_VALUE"""),"C(0)")</f>
        <v>C(0)</v>
      </c>
      <c r="CC421" s="16"/>
      <c r="CD421" s="16"/>
      <c r="CE421" s="16">
        <f>IFERROR(__xludf.DUMMYFUNCTION("""COMPUTED_VALUE"""),1.0)</f>
        <v>1</v>
      </c>
      <c r="CF421" s="16">
        <f>IFERROR(__xludf.DUMMYFUNCTION("""COMPUTED_VALUE"""),0.0)</f>
        <v>0</v>
      </c>
      <c r="CG421" s="16" t="str">
        <f>IFERROR(__xludf.DUMMYFUNCTION("""COMPUTED_VALUE"""),"3-0")</f>
        <v>3-0</v>
      </c>
      <c r="CH421" s="16">
        <f>IFERROR(__xludf.DUMMYFUNCTION("""COMPUTED_VALUE"""),3.0)</f>
        <v>3</v>
      </c>
      <c r="CI421" s="16">
        <f>IFERROR(__xludf.DUMMYFUNCTION("""COMPUTED_VALUE"""),0.0)</f>
        <v>0</v>
      </c>
      <c r="CJ421" s="16">
        <f>IFERROR(__xludf.DUMMYFUNCTION("""COMPUTED_VALUE"""),0.0)</f>
        <v>0</v>
      </c>
      <c r="CK421" s="16">
        <f>IFERROR(__xludf.DUMMYFUNCTION("""COMPUTED_VALUE"""),4.0)</f>
        <v>4</v>
      </c>
      <c r="CL421" s="16" t="str">
        <f>IFERROR(__xludf.DUMMYFUNCTION("""COMPUTED_VALUE"""),"1WL-C")</f>
        <v>1WL-C</v>
      </c>
      <c r="CM421" s="16" t="str">
        <f>IFERROR(__xludf.DUMMYFUNCTION("""COMPUTED_VALUE"""),"E")</f>
        <v>E</v>
      </c>
      <c r="CN421" s="16">
        <f>IFERROR(__xludf.DUMMYFUNCTION("""COMPUTED_VALUE"""),10.0)</f>
        <v>10</v>
      </c>
      <c r="CO421" s="16" t="str">
        <f>IFERROR(__xludf.DUMMYFUNCTION("""COMPUTED_VALUE"""),"C")</f>
        <v>C</v>
      </c>
      <c r="CP421" s="16" t="str">
        <f>IFERROR(__xludf.DUMMYFUNCTION("""COMPUTED_VALUE"""),"3p40")</f>
        <v>3p40</v>
      </c>
      <c r="CQ421" s="16">
        <f>IFERROR(__xludf.DUMMYFUNCTION("""COMPUTED_VALUE"""),-12.0)</f>
        <v>-12</v>
      </c>
      <c r="CR421" s="16">
        <f>IFERROR(__xludf.DUMMYFUNCTION("""COMPUTED_VALUE"""),-24.0)</f>
        <v>-24</v>
      </c>
      <c r="CS421" s="16">
        <f>IFERROR(__xludf.DUMMYFUNCTION("""COMPUTED_VALUE"""),-36.0)</f>
        <v>-36</v>
      </c>
      <c r="CT421" s="16">
        <f>IFERROR(__xludf.DUMMYFUNCTION("""COMPUTED_VALUE"""),-12.0)</f>
        <v>-12</v>
      </c>
      <c r="CU421" s="16">
        <f>IFERROR(__xludf.DUMMYFUNCTION("""COMPUTED_VALUE"""),-24.0)</f>
        <v>-24</v>
      </c>
      <c r="CV421" s="179">
        <f>IFERROR(__xludf.DUMMYFUNCTION("""COMPUTED_VALUE"""),-17.0)</f>
        <v>-17</v>
      </c>
      <c r="CW421" s="179">
        <f>IFERROR(__xludf.DUMMYFUNCTION("""COMPUTED_VALUE"""),2.0)</f>
        <v>2</v>
      </c>
      <c r="CX421" s="179">
        <f>IFERROR(__xludf.DUMMYFUNCTION("""COMPUTED_VALUE"""),1.0)</f>
        <v>1</v>
      </c>
      <c r="CY421" s="16" t="str">
        <f>IFERROR(__xludf.DUMMYFUNCTION("""COMPUTED_VALUE"""),"RP")</f>
        <v>RP</v>
      </c>
      <c r="CZ421" s="16" t="str">
        <f>IFERROR(__xludf.DUMMYFUNCTION("""COMPUTED_VALUE"""),"CP")</f>
        <v>CP</v>
      </c>
      <c r="DA421" s="16"/>
      <c r="DB421" s="16"/>
      <c r="DC421" s="16"/>
      <c r="DD421" s="16"/>
      <c r="DE421" s="16"/>
      <c r="DF421" s="16"/>
      <c r="DG421" s="16"/>
      <c r="DH421" s="16"/>
      <c r="DI421" s="16"/>
      <c r="DJ421" s="16"/>
      <c r="DK421" s="16"/>
    </row>
    <row r="422">
      <c r="A422" s="16">
        <f>IFERROR(__xludf.DUMMYFUNCTION("""COMPUTED_VALUE"""),12504.0)</f>
        <v>12504</v>
      </c>
      <c r="B422" s="16" t="str">
        <f>IFERROR(__xludf.DUMMYFUNCTION("""COMPUTED_VALUE"""),"Adam Ottavino")</f>
        <v>Adam Ottavino</v>
      </c>
      <c r="C422" s="153">
        <f>IFERROR(__xludf.DUMMYFUNCTION("""COMPUTED_VALUE"""),0.0)</f>
        <v>0</v>
      </c>
      <c r="D422" s="16"/>
      <c r="E422" s="16" t="str">
        <f>IFERROR(__xludf.DUMMYFUNCTION("""COMPUTED_VALUE"""),"R")</f>
        <v>R</v>
      </c>
      <c r="F422" s="16">
        <f>IFERROR(__xludf.DUMMYFUNCTION("""COMPUTED_VALUE"""),56.0)</f>
        <v>56</v>
      </c>
      <c r="G422" s="16">
        <f>IFERROR(__xludf.DUMMYFUNCTION("""COMPUTED_VALUE"""),27.0)</f>
        <v>27</v>
      </c>
      <c r="H422" s="16">
        <f>IFERROR(__xludf.DUMMYFUNCTION("""COMPUTED_VALUE"""),44.0)</f>
        <v>44</v>
      </c>
      <c r="I422" s="16">
        <f>IFERROR(__xludf.DUMMYFUNCTION("""COMPUTED_VALUE"""),0.0)</f>
        <v>0</v>
      </c>
      <c r="J422" s="16">
        <f>IFERROR(__xludf.DUMMYFUNCTION("""COMPUTED_VALUE"""),2.0)</f>
        <v>2</v>
      </c>
      <c r="K422" s="16">
        <f>IFERROR(__xludf.DUMMYFUNCTION("""COMPUTED_VALUE"""),0.0)</f>
        <v>0</v>
      </c>
      <c r="L422" s="16">
        <f>IFERROR(__xludf.DUMMYFUNCTION("""COMPUTED_VALUE"""),6.0)</f>
        <v>6</v>
      </c>
      <c r="M422" s="16">
        <f>IFERROR(__xludf.DUMMYFUNCTION("""COMPUTED_VALUE"""),15.0)</f>
        <v>15</v>
      </c>
      <c r="N422" s="16">
        <f>IFERROR(__xludf.DUMMYFUNCTION("""COMPUTED_VALUE"""),10.0)</f>
        <v>10</v>
      </c>
      <c r="O422" s="16">
        <f>IFERROR(__xludf.DUMMYFUNCTION("""COMPUTED_VALUE"""),-2.0)</f>
        <v>-2</v>
      </c>
      <c r="P422" s="16">
        <f>IFERROR(__xludf.DUMMYFUNCTION("""COMPUTED_VALUE"""),-1.0)</f>
        <v>-1</v>
      </c>
      <c r="Q422" s="16">
        <f>IFERROR(__xludf.DUMMYFUNCTION("""COMPUTED_VALUE"""),-2.0)</f>
        <v>-2</v>
      </c>
      <c r="R422" s="16">
        <f>IFERROR(__xludf.DUMMYFUNCTION("""COMPUTED_VALUE"""),-1.0)</f>
        <v>-1</v>
      </c>
      <c r="S422" s="16">
        <f>IFERROR(__xludf.DUMMYFUNCTION("""COMPUTED_VALUE"""),23.0)</f>
        <v>23</v>
      </c>
      <c r="T422" s="16">
        <f>IFERROR(__xludf.DUMMYFUNCTION("""COMPUTED_VALUE"""),10.1)</f>
        <v>10.1</v>
      </c>
      <c r="U422" s="16">
        <f>IFERROR(__xludf.DUMMYFUNCTION("""COMPUTED_VALUE"""),-1.0)</f>
        <v>-1</v>
      </c>
      <c r="V422" s="16">
        <f>IFERROR(__xludf.DUMMYFUNCTION("""COMPUTED_VALUE"""),1.0)</f>
        <v>1</v>
      </c>
      <c r="W422" s="16">
        <f>IFERROR(__xludf.DUMMYFUNCTION("""COMPUTED_VALUE"""),-2.0)</f>
        <v>-2</v>
      </c>
      <c r="X422" s="16">
        <f>IFERROR(__xludf.DUMMYFUNCTION("""COMPUTED_VALUE"""),2.0)</f>
        <v>2</v>
      </c>
      <c r="Y422" s="16">
        <f>IFERROR(__xludf.DUMMYFUNCTION("""COMPUTED_VALUE"""),38.0)</f>
        <v>38</v>
      </c>
      <c r="Z422" s="16">
        <f>IFERROR(__xludf.DUMMYFUNCTION("""COMPUTED_VALUE"""),20.1)</f>
        <v>20.1</v>
      </c>
      <c r="AA422" s="16">
        <f>IFERROR(__xludf.DUMMYFUNCTION("""COMPUTED_VALUE"""),-2.0)</f>
        <v>-2</v>
      </c>
      <c r="AB422" s="16">
        <f>IFERROR(__xludf.DUMMYFUNCTION("""COMPUTED_VALUE"""),1.0)</f>
        <v>1</v>
      </c>
      <c r="AC422" s="16">
        <f>IFERROR(__xludf.DUMMYFUNCTION("""COMPUTED_VALUE"""),-10.0)</f>
        <v>-10</v>
      </c>
      <c r="AD422" s="16">
        <f>IFERROR(__xludf.DUMMYFUNCTION("""COMPUTED_VALUE"""),5.0)</f>
        <v>5</v>
      </c>
      <c r="AE422" s="16">
        <f>IFERROR(__xludf.DUMMYFUNCTION("""COMPUTED_VALUE"""),48.7)</f>
        <v>48.7</v>
      </c>
      <c r="AF422" s="16">
        <f>IFERROR(__xludf.DUMMYFUNCTION("""COMPUTED_VALUE"""),10.1)</f>
        <v>10.1</v>
      </c>
      <c r="AG422" s="16">
        <f>IFERROR(__xludf.DUMMYFUNCTION("""COMPUTED_VALUE"""),-2.0)</f>
        <v>-2</v>
      </c>
      <c r="AH422" s="16">
        <f>IFERROR(__xludf.DUMMYFUNCTION("""COMPUTED_VALUE"""),2.0)</f>
        <v>2</v>
      </c>
      <c r="AI422" s="16">
        <f>IFERROR(__xludf.DUMMYFUNCTION("""COMPUTED_VALUE"""),-4.0)</f>
        <v>-4</v>
      </c>
      <c r="AJ422" s="16">
        <f>IFERROR(__xludf.DUMMYFUNCTION("""COMPUTED_VALUE"""),4.0)</f>
        <v>4</v>
      </c>
      <c r="AK422" s="16">
        <f>IFERROR(__xludf.DUMMYFUNCTION("""COMPUTED_VALUE"""),19.0)</f>
        <v>19</v>
      </c>
      <c r="AL422" s="16">
        <f>IFERROR(__xludf.DUMMYFUNCTION("""COMPUTED_VALUE"""),10.1)</f>
        <v>10.1</v>
      </c>
      <c r="AM422" s="16">
        <f>IFERROR(__xludf.DUMMYFUNCTION("""COMPUTED_VALUE"""),-1.0)</f>
        <v>-1</v>
      </c>
      <c r="AN422" s="16">
        <f>IFERROR(__xludf.DUMMYFUNCTION("""COMPUTED_VALUE"""),1.0)</f>
        <v>1</v>
      </c>
      <c r="AO422" s="16">
        <f>IFERROR(__xludf.DUMMYFUNCTION("""COMPUTED_VALUE"""),-1.0)</f>
        <v>-1</v>
      </c>
      <c r="AP422" s="16">
        <f>IFERROR(__xludf.DUMMYFUNCTION("""COMPUTED_VALUE"""),1.0)</f>
        <v>1</v>
      </c>
      <c r="AQ422" s="16">
        <f>IFERROR(__xludf.DUMMYFUNCTION("""COMPUTED_VALUE"""),32.7)</f>
        <v>32.7</v>
      </c>
      <c r="AR422" s="16">
        <f>IFERROR(__xludf.DUMMYFUNCTION("""COMPUTED_VALUE"""),10.1)</f>
        <v>10.1</v>
      </c>
      <c r="AS422" s="16">
        <f>IFERROR(__xludf.DUMMYFUNCTION("""COMPUTED_VALUE"""),-2.0)</f>
        <v>-2</v>
      </c>
      <c r="AT422" s="16">
        <f>IFERROR(__xludf.DUMMYFUNCTION("""COMPUTED_VALUE"""),1.0)</f>
        <v>1</v>
      </c>
      <c r="AU422" s="16">
        <f>IFERROR(__xludf.DUMMYFUNCTION("""COMPUTED_VALUE"""),-4.0)</f>
        <v>-4</v>
      </c>
      <c r="AV422" s="16">
        <f>IFERROR(__xludf.DUMMYFUNCTION("""COMPUTED_VALUE"""),2.0)</f>
        <v>2</v>
      </c>
      <c r="AW422" s="16">
        <f>IFERROR(__xludf.DUMMYFUNCTION("""COMPUTED_VALUE"""),4.0)</f>
        <v>4</v>
      </c>
      <c r="AX422" s="16">
        <f>IFERROR(__xludf.DUMMYFUNCTION("""COMPUTED_VALUE"""),0.0)</f>
        <v>0</v>
      </c>
      <c r="AY422" s="16">
        <f>IFERROR(__xludf.DUMMYFUNCTION("""COMPUTED_VALUE"""),-2.0)</f>
        <v>-2</v>
      </c>
      <c r="AZ422" s="16">
        <f>IFERROR(__xludf.DUMMYFUNCTION("""COMPUTED_VALUE"""),2.0)</f>
        <v>2</v>
      </c>
      <c r="BA422" s="16">
        <f>IFERROR(__xludf.DUMMYFUNCTION("""COMPUTED_VALUE"""),-10.0)</f>
        <v>-10</v>
      </c>
      <c r="BB422" s="16">
        <f>IFERROR(__xludf.DUMMYFUNCTION("""COMPUTED_VALUE"""),10.0)</f>
        <v>10</v>
      </c>
      <c r="BC422" s="16">
        <f>IFERROR(__xludf.DUMMYFUNCTION("""COMPUTED_VALUE"""),6.0)</f>
        <v>6</v>
      </c>
      <c r="BD422" s="16">
        <f>IFERROR(__xludf.DUMMYFUNCTION("""COMPUTED_VALUE"""),0.0)</f>
        <v>0</v>
      </c>
      <c r="BE422" s="16">
        <f>IFERROR(__xludf.DUMMYFUNCTION("""COMPUTED_VALUE"""),6.0)</f>
        <v>6</v>
      </c>
      <c r="BF422" s="16">
        <f>IFERROR(__xludf.DUMMYFUNCTION("""COMPUTED_VALUE"""),0.0)</f>
        <v>0</v>
      </c>
      <c r="BG422" s="16">
        <f>IFERROR(__xludf.DUMMYFUNCTION("""COMPUTED_VALUE"""),-3.0)</f>
        <v>-3</v>
      </c>
      <c r="BH422" s="16">
        <f>IFERROR(__xludf.DUMMYFUNCTION("""COMPUTED_VALUE"""),2.0)</f>
        <v>2</v>
      </c>
      <c r="BI422" s="16">
        <f>IFERROR(__xludf.DUMMYFUNCTION("""COMPUTED_VALUE"""),-6.0)</f>
        <v>-6</v>
      </c>
      <c r="BJ422" s="16">
        <f>IFERROR(__xludf.DUMMYFUNCTION("""COMPUTED_VALUE"""),4.0)</f>
        <v>4</v>
      </c>
      <c r="BK422" s="16">
        <f>IFERROR(__xludf.DUMMYFUNCTION("""COMPUTED_VALUE"""),5.0)</f>
        <v>5</v>
      </c>
      <c r="BL422" s="16">
        <f>IFERROR(__xludf.DUMMYFUNCTION("""COMPUTED_VALUE"""),5.0)</f>
        <v>5</v>
      </c>
      <c r="BM422" s="16">
        <f>IFERROR(__xludf.DUMMYFUNCTION("""COMPUTED_VALUE"""),0.0)</f>
        <v>0</v>
      </c>
      <c r="BN422" s="16">
        <f>IFERROR(__xludf.DUMMYFUNCTION("""COMPUTED_VALUE"""),0.0)</f>
        <v>0</v>
      </c>
      <c r="BO422" s="16">
        <f>IFERROR(__xludf.DUMMYFUNCTION("""COMPUTED_VALUE"""),0.0)</f>
        <v>0</v>
      </c>
      <c r="BP422" s="16">
        <f>IFERROR(__xludf.DUMMYFUNCTION("""COMPUTED_VALUE"""),0.0)</f>
        <v>0</v>
      </c>
      <c r="BQ422" s="16">
        <f>IFERROR(__xludf.DUMMYFUNCTION("""COMPUTED_VALUE"""),0.0)</f>
        <v>0</v>
      </c>
      <c r="BR422" s="16">
        <f>IFERROR(__xludf.DUMMYFUNCTION("""COMPUTED_VALUE"""),0.0)</f>
        <v>0</v>
      </c>
      <c r="BS422" s="16">
        <f>IFERROR(__xludf.DUMMYFUNCTION("""COMPUTED_VALUE"""),-3.0)</f>
        <v>-3</v>
      </c>
      <c r="BT422" s="16">
        <f>IFERROR(__xludf.DUMMYFUNCTION("""COMPUTED_VALUE"""),-3.0)</f>
        <v>-3</v>
      </c>
      <c r="BU422" s="16">
        <f>IFERROR(__xludf.DUMMYFUNCTION("""COMPUTED_VALUE"""),-6.0)</f>
        <v>-6</v>
      </c>
      <c r="BV422" s="16">
        <f>IFERROR(__xludf.DUMMYFUNCTION("""COMPUTED_VALUE"""),-6.0)</f>
        <v>-6</v>
      </c>
      <c r="BW422" s="16">
        <f>IFERROR(__xludf.DUMMYFUNCTION("""COMPUTED_VALUE"""),9.0)</f>
        <v>9</v>
      </c>
      <c r="BX422" s="16">
        <f>IFERROR(__xludf.DUMMYFUNCTION("""COMPUTED_VALUE"""),9.0)</f>
        <v>9</v>
      </c>
      <c r="BY422" s="16" t="str">
        <f>IFERROR(__xludf.DUMMYFUNCTION("""COMPUTED_VALUE"""),"R(1) C(0)")</f>
        <v>R(1) C(0)</v>
      </c>
      <c r="BZ422" s="16" t="str">
        <f>IFERROR(__xludf.DUMMYFUNCTION("""COMPUTED_VALUE"""),"R(1) C(0)")</f>
        <v>R(1) C(0)</v>
      </c>
      <c r="CA422" s="16" t="str">
        <f>IFERROR(__xludf.DUMMYFUNCTION("""COMPUTED_VALUE"""),"R(1)")</f>
        <v>R(1)</v>
      </c>
      <c r="CB422" s="16" t="str">
        <f>IFERROR(__xludf.DUMMYFUNCTION("""COMPUTED_VALUE"""),"C(0)")</f>
        <v>C(0)</v>
      </c>
      <c r="CC422" s="16"/>
      <c r="CD422" s="16"/>
      <c r="CE422" s="16">
        <f>IFERROR(__xludf.DUMMYFUNCTION("""COMPUTED_VALUE"""),1.0)</f>
        <v>1</v>
      </c>
      <c r="CF422" s="16">
        <f>IFERROR(__xludf.DUMMYFUNCTION("""COMPUTED_VALUE"""),0.0)</f>
        <v>0</v>
      </c>
      <c r="CG422" s="16" t="str">
        <f>IFERROR(__xludf.DUMMYFUNCTION("""COMPUTED_VALUE"""),"5-0")</f>
        <v>5-0</v>
      </c>
      <c r="CH422" s="16">
        <f>IFERROR(__xludf.DUMMYFUNCTION("""COMPUTED_VALUE"""),5.0)</f>
        <v>5</v>
      </c>
      <c r="CI422" s="16">
        <f>IFERROR(__xludf.DUMMYFUNCTION("""COMPUTED_VALUE"""),0.0)</f>
        <v>0</v>
      </c>
      <c r="CJ422" s="16">
        <f>IFERROR(__xludf.DUMMYFUNCTION("""COMPUTED_VALUE"""),0.0)</f>
        <v>0</v>
      </c>
      <c r="CK422" s="16">
        <f>IFERROR(__xludf.DUMMYFUNCTION("""COMPUTED_VALUE"""),19.0)</f>
        <v>19</v>
      </c>
      <c r="CL422" s="16" t="str">
        <f>IFERROR(__xludf.DUMMYFUNCTION("""COMPUTED_VALUE"""),"1WS-C")</f>
        <v>1WS-C</v>
      </c>
      <c r="CM422" s="16" t="str">
        <f>IFERROR(__xludf.DUMMYFUNCTION("""COMPUTED_VALUE"""),"E")</f>
        <v>E</v>
      </c>
      <c r="CN422" s="16">
        <f>IFERROR(__xludf.DUMMYFUNCTION("""COMPUTED_VALUE"""),10.0)</f>
        <v>10</v>
      </c>
      <c r="CO422" s="16" t="str">
        <f>IFERROR(__xludf.DUMMYFUNCTION("""COMPUTED_VALUE"""),"C")</f>
        <v>C</v>
      </c>
      <c r="CP422" s="16" t="str">
        <f>IFERROR(__xludf.DUMMYFUNCTION("""COMPUTED_VALUE"""),"1p50")</f>
        <v>1p50</v>
      </c>
      <c r="CQ422" s="16">
        <f>IFERROR(__xludf.DUMMYFUNCTION("""COMPUTED_VALUE"""),-45.0)</f>
        <v>-45</v>
      </c>
      <c r="CR422" s="16">
        <f>IFERROR(__xludf.DUMMYFUNCTION("""COMPUTED_VALUE"""),27.0)</f>
        <v>27</v>
      </c>
      <c r="CS422" s="16">
        <f>IFERROR(__xludf.DUMMYFUNCTION("""COMPUTED_VALUE"""),-18.0)</f>
        <v>-18</v>
      </c>
      <c r="CT422" s="16">
        <f>IFERROR(__xludf.DUMMYFUNCTION("""COMPUTED_VALUE"""),-45.0)</f>
        <v>-45</v>
      </c>
      <c r="CU422" s="16">
        <f>IFERROR(__xludf.DUMMYFUNCTION("""COMPUTED_VALUE"""),27.0)</f>
        <v>27</v>
      </c>
      <c r="CV422" s="179">
        <f>IFERROR(__xludf.DUMMYFUNCTION("""COMPUTED_VALUE"""),-17.0)</f>
        <v>-17</v>
      </c>
      <c r="CW422" s="179">
        <f>IFERROR(__xludf.DUMMYFUNCTION("""COMPUTED_VALUE"""),4.0)</f>
        <v>4</v>
      </c>
      <c r="CX422" s="179">
        <f>IFERROR(__xludf.DUMMYFUNCTION("""COMPUTED_VALUE"""),0.0)</f>
        <v>0</v>
      </c>
      <c r="CY422" s="16" t="str">
        <f>IFERROR(__xludf.DUMMYFUNCTION("""COMPUTED_VALUE"""),"RP")</f>
        <v>RP</v>
      </c>
      <c r="CZ422" s="16" t="str">
        <f>IFERROR(__xludf.DUMMYFUNCTION("""COMPUTED_VALUE"""),"CP")</f>
        <v>CP</v>
      </c>
      <c r="DA422" s="16"/>
      <c r="DB422" s="16"/>
      <c r="DC422" s="16"/>
      <c r="DD422" s="16"/>
      <c r="DE422" s="16"/>
      <c r="DF422" s="16"/>
      <c r="DG422" s="16"/>
      <c r="DH422" s="16"/>
      <c r="DI422" s="16"/>
      <c r="DJ422" s="16"/>
      <c r="DK422" s="16"/>
    </row>
    <row r="423">
      <c r="A423" s="16">
        <f>IFERROR(__xludf.DUMMYFUNCTION("""COMPUTED_VALUE"""),13236.0)</f>
        <v>13236</v>
      </c>
      <c r="B423" s="16" t="str">
        <f>IFERROR(__xludf.DUMMYFUNCTION("""COMPUTED_VALUE"""),"Nick Anderson")</f>
        <v>Nick Anderson</v>
      </c>
      <c r="C423" s="153">
        <f>IFERROR(__xludf.DUMMYFUNCTION("""COMPUTED_VALUE"""),0.24)</f>
        <v>0.24</v>
      </c>
      <c r="D423" s="16"/>
      <c r="E423" s="16" t="str">
        <f>IFERROR(__xludf.DUMMYFUNCTION("""COMPUTED_VALUE"""),"R")</f>
        <v>R</v>
      </c>
      <c r="F423" s="16">
        <f>IFERROR(__xludf.DUMMYFUNCTION("""COMPUTED_VALUE"""),36.0)</f>
        <v>36</v>
      </c>
      <c r="G423" s="16">
        <f>IFERROR(__xludf.DUMMYFUNCTION("""COMPUTED_VALUE"""),20.0)</f>
        <v>20</v>
      </c>
      <c r="H423" s="16">
        <f>IFERROR(__xludf.DUMMYFUNCTION("""COMPUTED_VALUE"""),15.0)</f>
        <v>15</v>
      </c>
      <c r="I423" s="16">
        <f>IFERROR(__xludf.DUMMYFUNCTION("""COMPUTED_VALUE"""),-1.0)</f>
        <v>-1</v>
      </c>
      <c r="J423" s="16">
        <f>IFERROR(__xludf.DUMMYFUNCTION("""COMPUTED_VALUE"""),-2.0)</f>
        <v>-2</v>
      </c>
      <c r="K423" s="16">
        <f>IFERROR(__xludf.DUMMYFUNCTION("""COMPUTED_VALUE"""),-3.0)</f>
        <v>-3</v>
      </c>
      <c r="L423" s="16">
        <f>IFERROR(__xludf.DUMMYFUNCTION("""COMPUTED_VALUE"""),-6.0)</f>
        <v>-6</v>
      </c>
      <c r="M423" s="16">
        <f>IFERROR(__xludf.DUMMYFUNCTION("""COMPUTED_VALUE"""),14.0)</f>
        <v>14</v>
      </c>
      <c r="N423" s="16">
        <f>IFERROR(__xludf.DUMMYFUNCTION("""COMPUTED_VALUE"""),10.0)</f>
        <v>10</v>
      </c>
      <c r="O423" s="16">
        <f>IFERROR(__xludf.DUMMYFUNCTION("""COMPUTED_VALUE"""),-2.0)</f>
        <v>-2</v>
      </c>
      <c r="P423" s="16">
        <f>IFERROR(__xludf.DUMMYFUNCTION("""COMPUTED_VALUE"""),-1.0)</f>
        <v>-1</v>
      </c>
      <c r="Q423" s="16">
        <f>IFERROR(__xludf.DUMMYFUNCTION("""COMPUTED_VALUE"""),-2.0)</f>
        <v>-2</v>
      </c>
      <c r="R423" s="16">
        <f>IFERROR(__xludf.DUMMYFUNCTION("""COMPUTED_VALUE"""),-1.0)</f>
        <v>-1</v>
      </c>
      <c r="S423" s="16">
        <f>IFERROR(__xludf.DUMMYFUNCTION("""COMPUTED_VALUE"""),8.9)</f>
        <v>8.9</v>
      </c>
      <c r="T423" s="16">
        <f>IFERROR(__xludf.DUMMYFUNCTION("""COMPUTED_VALUE"""),28.3)</f>
        <v>28.3</v>
      </c>
      <c r="U423" s="16">
        <f>IFERROR(__xludf.DUMMYFUNCTION("""COMPUTED_VALUE"""),1.0)</f>
        <v>1</v>
      </c>
      <c r="V423" s="16">
        <f>IFERROR(__xludf.DUMMYFUNCTION("""COMPUTED_VALUE"""),-2.0)</f>
        <v>-2</v>
      </c>
      <c r="W423" s="16">
        <f>IFERROR(__xludf.DUMMYFUNCTION("""COMPUTED_VALUE"""),2.0)</f>
        <v>2</v>
      </c>
      <c r="X423" s="16">
        <f>IFERROR(__xludf.DUMMYFUNCTION("""COMPUTED_VALUE"""),-4.0)</f>
        <v>-4</v>
      </c>
      <c r="Y423" s="16">
        <f>IFERROR(__xludf.DUMMYFUNCTION("""COMPUTED_VALUE"""),22.9)</f>
        <v>22.9</v>
      </c>
      <c r="Z423" s="16">
        <f>IFERROR(__xludf.DUMMYFUNCTION("""COMPUTED_VALUE"""),38.3)</f>
        <v>38.3</v>
      </c>
      <c r="AA423" s="16">
        <f>IFERROR(__xludf.DUMMYFUNCTION("""COMPUTED_VALUE"""),0.0)</f>
        <v>0</v>
      </c>
      <c r="AB423" s="16">
        <f>IFERROR(__xludf.DUMMYFUNCTION("""COMPUTED_VALUE"""),-2.0)</f>
        <v>-2</v>
      </c>
      <c r="AC423" s="16">
        <f>IFERROR(__xludf.DUMMYFUNCTION("""COMPUTED_VALUE"""),0.0)</f>
        <v>0</v>
      </c>
      <c r="AD423" s="16">
        <f>IFERROR(__xludf.DUMMYFUNCTION("""COMPUTED_VALUE"""),-10.0)</f>
        <v>-10</v>
      </c>
      <c r="AE423" s="16">
        <f>IFERROR(__xludf.DUMMYFUNCTION("""COMPUTED_VALUE"""),15.9)</f>
        <v>15.9</v>
      </c>
      <c r="AF423" s="16">
        <f>IFERROR(__xludf.DUMMYFUNCTION("""COMPUTED_VALUE"""),67.6)</f>
        <v>67.6</v>
      </c>
      <c r="AG423" s="16">
        <f>IFERROR(__xludf.DUMMYFUNCTION("""COMPUTED_VALUE"""),1.0)</f>
        <v>1</v>
      </c>
      <c r="AH423" s="16">
        <f>IFERROR(__xludf.DUMMYFUNCTION("""COMPUTED_VALUE"""),-3.0)</f>
        <v>-3</v>
      </c>
      <c r="AI423" s="16">
        <f>IFERROR(__xludf.DUMMYFUNCTION("""COMPUTED_VALUE"""),2.0)</f>
        <v>2</v>
      </c>
      <c r="AJ423" s="16">
        <f>IFERROR(__xludf.DUMMYFUNCTION("""COMPUTED_VALUE"""),-6.0)</f>
        <v>-6</v>
      </c>
      <c r="AK423" s="16">
        <f>IFERROR(__xludf.DUMMYFUNCTION("""COMPUTED_VALUE"""),8.9)</f>
        <v>8.9</v>
      </c>
      <c r="AL423" s="16">
        <f>IFERROR(__xludf.DUMMYFUNCTION("""COMPUTED_VALUE"""),20.3)</f>
        <v>20.3</v>
      </c>
      <c r="AM423" s="16">
        <f>IFERROR(__xludf.DUMMYFUNCTION("""COMPUTED_VALUE"""),1.0)</f>
        <v>1</v>
      </c>
      <c r="AN423" s="16">
        <f>IFERROR(__xludf.DUMMYFUNCTION("""COMPUTED_VALUE"""),-1.0)</f>
        <v>-1</v>
      </c>
      <c r="AO423" s="16">
        <f>IFERROR(__xludf.DUMMYFUNCTION("""COMPUTED_VALUE"""),1.0)</f>
        <v>1</v>
      </c>
      <c r="AP423" s="16">
        <f>IFERROR(__xludf.DUMMYFUNCTION("""COMPUTED_VALUE"""),-1.0)</f>
        <v>-1</v>
      </c>
      <c r="AQ423" s="16">
        <f>IFERROR(__xludf.DUMMYFUNCTION("""COMPUTED_VALUE"""),15.9)</f>
        <v>15.9</v>
      </c>
      <c r="AR423" s="16">
        <f>IFERROR(__xludf.DUMMYFUNCTION("""COMPUTED_VALUE"""),35.599999999999994)</f>
        <v>35.6</v>
      </c>
      <c r="AS423" s="16">
        <f>IFERROR(__xludf.DUMMYFUNCTION("""COMPUTED_VALUE"""),0.0)</f>
        <v>0</v>
      </c>
      <c r="AT423" s="16">
        <f>IFERROR(__xludf.DUMMYFUNCTION("""COMPUTED_VALUE"""),-2.0)</f>
        <v>-2</v>
      </c>
      <c r="AU423" s="16">
        <f>IFERROR(__xludf.DUMMYFUNCTION("""COMPUTED_VALUE"""),0.0)</f>
        <v>0</v>
      </c>
      <c r="AV423" s="16">
        <f>IFERROR(__xludf.DUMMYFUNCTION("""COMPUTED_VALUE"""),-4.0)</f>
        <v>-4</v>
      </c>
      <c r="AW423" s="16">
        <f>IFERROR(__xludf.DUMMYFUNCTION("""COMPUTED_VALUE"""),0.0)</f>
        <v>0</v>
      </c>
      <c r="AX423" s="16">
        <f>IFERROR(__xludf.DUMMYFUNCTION("""COMPUTED_VALUE"""),8.0)</f>
        <v>8</v>
      </c>
      <c r="AY423" s="16">
        <f>IFERROR(__xludf.DUMMYFUNCTION("""COMPUTED_VALUE"""),2.0)</f>
        <v>2</v>
      </c>
      <c r="AZ423" s="16">
        <f>IFERROR(__xludf.DUMMYFUNCTION("""COMPUTED_VALUE"""),-3.0)</f>
        <v>-3</v>
      </c>
      <c r="BA423" s="16">
        <f>IFERROR(__xludf.DUMMYFUNCTION("""COMPUTED_VALUE"""),10.0)</f>
        <v>10</v>
      </c>
      <c r="BB423" s="16">
        <f>IFERROR(__xludf.DUMMYFUNCTION("""COMPUTED_VALUE"""),-15.0)</f>
        <v>-15</v>
      </c>
      <c r="BC423" s="16">
        <f>IFERROR(__xludf.DUMMYFUNCTION("""COMPUTED_VALUE"""),0.0)</f>
        <v>0</v>
      </c>
      <c r="BD423" s="16"/>
      <c r="BE423" s="16">
        <f>IFERROR(__xludf.DUMMYFUNCTION("""COMPUTED_VALUE"""),0.0)</f>
        <v>0</v>
      </c>
      <c r="BF423" s="16">
        <f>IFERROR(__xludf.DUMMYFUNCTION("""COMPUTED_VALUE"""),8.0)</f>
        <v>8</v>
      </c>
      <c r="BG423" s="16">
        <f>IFERROR(__xludf.DUMMYFUNCTION("""COMPUTED_VALUE"""),3.0)</f>
        <v>3</v>
      </c>
      <c r="BH423" s="16">
        <f>IFERROR(__xludf.DUMMYFUNCTION("""COMPUTED_VALUE"""),-3.0)</f>
        <v>-3</v>
      </c>
      <c r="BI423" s="16">
        <f>IFERROR(__xludf.DUMMYFUNCTION("""COMPUTED_VALUE"""),6.0)</f>
        <v>6</v>
      </c>
      <c r="BJ423" s="16">
        <f>IFERROR(__xludf.DUMMYFUNCTION("""COMPUTED_VALUE"""),-6.0)</f>
        <v>-6</v>
      </c>
      <c r="BK423" s="16">
        <f>IFERROR(__xludf.DUMMYFUNCTION("""COMPUTED_VALUE"""),5.0)</f>
        <v>5</v>
      </c>
      <c r="BL423" s="16">
        <f>IFERROR(__xludf.DUMMYFUNCTION("""COMPUTED_VALUE"""),0.0)</f>
        <v>0</v>
      </c>
      <c r="BM423" s="16">
        <f>IFERROR(__xludf.DUMMYFUNCTION("""COMPUTED_VALUE"""),0.0)</f>
        <v>0</v>
      </c>
      <c r="BN423" s="16">
        <f>IFERROR(__xludf.DUMMYFUNCTION("""COMPUTED_VALUE"""),1.0)</f>
        <v>1</v>
      </c>
      <c r="BO423" s="16">
        <f>IFERROR(__xludf.DUMMYFUNCTION("""COMPUTED_VALUE"""),0.0)</f>
        <v>0</v>
      </c>
      <c r="BP423" s="16">
        <f>IFERROR(__xludf.DUMMYFUNCTION("""COMPUTED_VALUE"""),1.0)</f>
        <v>1</v>
      </c>
      <c r="BQ423" s="16">
        <f>IFERROR(__xludf.DUMMYFUNCTION("""COMPUTED_VALUE"""),9.0)</f>
        <v>9</v>
      </c>
      <c r="BR423" s="16">
        <f>IFERROR(__xludf.DUMMYFUNCTION("""COMPUTED_VALUE"""),9.0)</f>
        <v>9</v>
      </c>
      <c r="BS423" s="16">
        <f>IFERROR(__xludf.DUMMYFUNCTION("""COMPUTED_VALUE"""),3.0)</f>
        <v>3</v>
      </c>
      <c r="BT423" s="16">
        <f>IFERROR(__xludf.DUMMYFUNCTION("""COMPUTED_VALUE"""),3.0)</f>
        <v>3</v>
      </c>
      <c r="BU423" s="16">
        <f>IFERROR(__xludf.DUMMYFUNCTION("""COMPUTED_VALUE"""),6.0)</f>
        <v>6</v>
      </c>
      <c r="BV423" s="16">
        <f>IFERROR(__xludf.DUMMYFUNCTION("""COMPUTED_VALUE"""),6.0)</f>
        <v>6</v>
      </c>
      <c r="BW423" s="16">
        <f>IFERROR(__xludf.DUMMYFUNCTION("""COMPUTED_VALUE"""),0.0)</f>
        <v>0</v>
      </c>
      <c r="BX423" s="16">
        <f>IFERROR(__xludf.DUMMYFUNCTION("""COMPUTED_VALUE"""),0.0)</f>
        <v>0</v>
      </c>
      <c r="BY423" s="16" t="str">
        <f>IFERROR(__xludf.DUMMYFUNCTION("""COMPUTED_VALUE"""),"R(1) C(0)")</f>
        <v>R(1) C(0)</v>
      </c>
      <c r="BZ423" s="16" t="str">
        <f>IFERROR(__xludf.DUMMYFUNCTION("""COMPUTED_VALUE"""),"R(1) C(0)")</f>
        <v>R(1) C(0)</v>
      </c>
      <c r="CA423" s="16" t="str">
        <f>IFERROR(__xludf.DUMMYFUNCTION("""COMPUTED_VALUE"""),"R(1)")</f>
        <v>R(1)</v>
      </c>
      <c r="CB423" s="16" t="str">
        <f>IFERROR(__xludf.DUMMYFUNCTION("""COMPUTED_VALUE"""),"C(0)")</f>
        <v>C(0)</v>
      </c>
      <c r="CC423" s="16"/>
      <c r="CD423" s="16"/>
      <c r="CE423" s="16">
        <f>IFERROR(__xludf.DUMMYFUNCTION("""COMPUTED_VALUE"""),1.0)</f>
        <v>1</v>
      </c>
      <c r="CF423" s="16">
        <f>IFERROR(__xludf.DUMMYFUNCTION("""COMPUTED_VALUE"""),0.0)</f>
        <v>0</v>
      </c>
      <c r="CG423" s="16" t="str">
        <f>IFERROR(__xludf.DUMMYFUNCTION("""COMPUTED_VALUE"""),"2-0")</f>
        <v>2-0</v>
      </c>
      <c r="CH423" s="16">
        <f>IFERROR(__xludf.DUMMYFUNCTION("""COMPUTED_VALUE"""),2.0)</f>
        <v>2</v>
      </c>
      <c r="CI423" s="16">
        <f>IFERROR(__xludf.DUMMYFUNCTION("""COMPUTED_VALUE"""),0.0)</f>
        <v>0</v>
      </c>
      <c r="CJ423" s="16">
        <f>IFERROR(__xludf.DUMMYFUNCTION("""COMPUTED_VALUE"""),0.0)</f>
        <v>0</v>
      </c>
      <c r="CK423" s="16">
        <f>IFERROR(__xludf.DUMMYFUNCTION("""COMPUTED_VALUE"""),5.0)</f>
        <v>5</v>
      </c>
      <c r="CL423" s="16" t="str">
        <f>IFERROR(__xludf.DUMMYFUNCTION("""COMPUTED_VALUE"""),"1WR-C")</f>
        <v>1WR-C</v>
      </c>
      <c r="CM423" s="16" t="str">
        <f>IFERROR(__xludf.DUMMYFUNCTION("""COMPUTED_VALUE"""),"E")</f>
        <v>E</v>
      </c>
      <c r="CN423" s="16">
        <f>IFERROR(__xludf.DUMMYFUNCTION("""COMPUTED_VALUE"""),10.0)</f>
        <v>10</v>
      </c>
      <c r="CO423" s="16" t="str">
        <f>IFERROR(__xludf.DUMMYFUNCTION("""COMPUTED_VALUE"""),"C")</f>
        <v>C</v>
      </c>
      <c r="CP423" s="16" t="str">
        <f>IFERROR(__xludf.DUMMYFUNCTION("""COMPUTED_VALUE"""),"1p30")</f>
        <v>1p30</v>
      </c>
      <c r="CQ423" s="16">
        <f>IFERROR(__xludf.DUMMYFUNCTION("""COMPUTED_VALUE"""),22.0)</f>
        <v>22</v>
      </c>
      <c r="CR423" s="16">
        <f>IFERROR(__xludf.DUMMYFUNCTION("""COMPUTED_VALUE"""),-46.0)</f>
        <v>-46</v>
      </c>
      <c r="CS423" s="16">
        <f>IFERROR(__xludf.DUMMYFUNCTION("""COMPUTED_VALUE"""),-24.0)</f>
        <v>-24</v>
      </c>
      <c r="CT423" s="16">
        <f>IFERROR(__xludf.DUMMYFUNCTION("""COMPUTED_VALUE"""),22.0)</f>
        <v>22</v>
      </c>
      <c r="CU423" s="16">
        <f>IFERROR(__xludf.DUMMYFUNCTION("""COMPUTED_VALUE"""),-46.0)</f>
        <v>-46</v>
      </c>
      <c r="CV423" s="179">
        <f>IFERROR(__xludf.DUMMYFUNCTION("""COMPUTED_VALUE"""),-17.333333333333332)</f>
        <v>-17.33333333</v>
      </c>
      <c r="CW423" s="179">
        <f>IFERROR(__xludf.DUMMYFUNCTION("""COMPUTED_VALUE"""),4.0)</f>
        <v>4</v>
      </c>
      <c r="CX423" s="179">
        <f>IFERROR(__xludf.DUMMYFUNCTION("""COMPUTED_VALUE"""),2.0)</f>
        <v>2</v>
      </c>
      <c r="CY423" s="16" t="str">
        <f>IFERROR(__xludf.DUMMYFUNCTION("""COMPUTED_VALUE"""),"RP")</f>
        <v>RP</v>
      </c>
      <c r="CZ423" s="16" t="str">
        <f>IFERROR(__xludf.DUMMYFUNCTION("""COMPUTED_VALUE"""),"CP")</f>
        <v>CP</v>
      </c>
      <c r="DA423" s="16"/>
      <c r="DB423" s="16"/>
      <c r="DC423" s="16"/>
      <c r="DD423" s="16"/>
      <c r="DE423" s="16"/>
      <c r="DF423" s="16"/>
      <c r="DG423" s="16"/>
      <c r="DH423" s="16"/>
      <c r="DI423" s="16"/>
      <c r="DJ423" s="16"/>
      <c r="DK423" s="16"/>
    </row>
    <row r="424">
      <c r="A424" s="16">
        <f>IFERROR(__xludf.DUMMYFUNCTION("""COMPUTED_VALUE"""),12810.0)</f>
        <v>12810</v>
      </c>
      <c r="B424" s="16" t="str">
        <f>IFERROR(__xludf.DUMMYFUNCTION("""COMPUTED_VALUE"""),"Ethan Roberts")</f>
        <v>Ethan Roberts</v>
      </c>
      <c r="C424" s="153">
        <f>IFERROR(__xludf.DUMMYFUNCTION("""COMPUTED_VALUE"""),0.32)</f>
        <v>0.32</v>
      </c>
      <c r="D424" s="16"/>
      <c r="E424" s="16" t="str">
        <f>IFERROR(__xludf.DUMMYFUNCTION("""COMPUTED_VALUE"""),"R")</f>
        <v>R</v>
      </c>
      <c r="F424" s="16">
        <f>IFERROR(__xludf.DUMMYFUNCTION("""COMPUTED_VALUE"""),27.0)</f>
        <v>27</v>
      </c>
      <c r="G424" s="16">
        <f>IFERROR(__xludf.DUMMYFUNCTION("""COMPUTED_VALUE"""),33.0)</f>
        <v>33</v>
      </c>
      <c r="H424" s="16">
        <f>IFERROR(__xludf.DUMMYFUNCTION("""COMPUTED_VALUE"""),13.0)</f>
        <v>13</v>
      </c>
      <c r="I424" s="16">
        <f>IFERROR(__xludf.DUMMYFUNCTION("""COMPUTED_VALUE"""),1.0)</f>
        <v>1</v>
      </c>
      <c r="J424" s="16">
        <f>IFERROR(__xludf.DUMMYFUNCTION("""COMPUTED_VALUE"""),-2.0)</f>
        <v>-2</v>
      </c>
      <c r="K424" s="16">
        <f>IFERROR(__xludf.DUMMYFUNCTION("""COMPUTED_VALUE"""),3.0)</f>
        <v>3</v>
      </c>
      <c r="L424" s="16">
        <f>IFERROR(__xludf.DUMMYFUNCTION("""COMPUTED_VALUE"""),-6.0)</f>
        <v>-6</v>
      </c>
      <c r="M424" s="16">
        <f>IFERROR(__xludf.DUMMYFUNCTION("""COMPUTED_VALUE"""),10.0)</f>
        <v>10</v>
      </c>
      <c r="N424" s="16">
        <f>IFERROR(__xludf.DUMMYFUNCTION("""COMPUTED_VALUE"""),10.0)</f>
        <v>10</v>
      </c>
      <c r="O424" s="16">
        <f>IFERROR(__xludf.DUMMYFUNCTION("""COMPUTED_VALUE"""),0.0)</f>
        <v>0</v>
      </c>
      <c r="P424" s="16">
        <f>IFERROR(__xludf.DUMMYFUNCTION("""COMPUTED_VALUE"""),-1.0)</f>
        <v>-1</v>
      </c>
      <c r="Q424" s="16">
        <f>IFERROR(__xludf.DUMMYFUNCTION("""COMPUTED_VALUE"""),0.0)</f>
        <v>0</v>
      </c>
      <c r="R424" s="16">
        <f>IFERROR(__xludf.DUMMYFUNCTION("""COMPUTED_VALUE"""),-1.0)</f>
        <v>-1</v>
      </c>
      <c r="S424" s="16">
        <f>IFERROR(__xludf.DUMMYFUNCTION("""COMPUTED_VALUE"""),24.8)</f>
        <v>24.8</v>
      </c>
      <c r="T424" s="16">
        <f>IFERROR(__xludf.DUMMYFUNCTION("""COMPUTED_VALUE"""),29.9)</f>
        <v>29.9</v>
      </c>
      <c r="U424" s="16">
        <f>IFERROR(__xludf.DUMMYFUNCTION("""COMPUTED_VALUE"""),-2.0)</f>
        <v>-2</v>
      </c>
      <c r="V424" s="16">
        <f>IFERROR(__xludf.DUMMYFUNCTION("""COMPUTED_VALUE"""),-2.0)</f>
        <v>-2</v>
      </c>
      <c r="W424" s="16">
        <f>IFERROR(__xludf.DUMMYFUNCTION("""COMPUTED_VALUE"""),-4.0)</f>
        <v>-4</v>
      </c>
      <c r="X424" s="16">
        <f>IFERROR(__xludf.DUMMYFUNCTION("""COMPUTED_VALUE"""),-4.0)</f>
        <v>-4</v>
      </c>
      <c r="Y424" s="16">
        <f>IFERROR(__xludf.DUMMYFUNCTION("""COMPUTED_VALUE"""),34.8)</f>
        <v>34.8</v>
      </c>
      <c r="Z424" s="16">
        <f>IFERROR(__xludf.DUMMYFUNCTION("""COMPUTED_VALUE"""),39.8)</f>
        <v>39.8</v>
      </c>
      <c r="AA424" s="16">
        <f>IFERROR(__xludf.DUMMYFUNCTION("""COMPUTED_VALUE"""),-1.0)</f>
        <v>-1</v>
      </c>
      <c r="AB424" s="16">
        <f>IFERROR(__xludf.DUMMYFUNCTION("""COMPUTED_VALUE"""),-2.0)</f>
        <v>-2</v>
      </c>
      <c r="AC424" s="16">
        <f>IFERROR(__xludf.DUMMYFUNCTION("""COMPUTED_VALUE"""),-5.0)</f>
        <v>-5</v>
      </c>
      <c r="AD424" s="16">
        <f>IFERROR(__xludf.DUMMYFUNCTION("""COMPUTED_VALUE"""),-10.0)</f>
        <v>-10</v>
      </c>
      <c r="AE424" s="16">
        <f>IFERROR(__xludf.DUMMYFUNCTION("""COMPUTED_VALUE"""),32.5)</f>
        <v>32.5</v>
      </c>
      <c r="AF424" s="16">
        <f>IFERROR(__xludf.DUMMYFUNCTION("""COMPUTED_VALUE"""),43.2)</f>
        <v>43.2</v>
      </c>
      <c r="AG424" s="16">
        <f>IFERROR(__xludf.DUMMYFUNCTION("""COMPUTED_VALUE"""),0.0)</f>
        <v>0</v>
      </c>
      <c r="AH424" s="16">
        <f>IFERROR(__xludf.DUMMYFUNCTION("""COMPUTED_VALUE"""),-2.0)</f>
        <v>-2</v>
      </c>
      <c r="AI424" s="16">
        <f>IFERROR(__xludf.DUMMYFUNCTION("""COMPUTED_VALUE"""),0.0)</f>
        <v>0</v>
      </c>
      <c r="AJ424" s="16">
        <f>IFERROR(__xludf.DUMMYFUNCTION("""COMPUTED_VALUE"""),-4.0)</f>
        <v>-4</v>
      </c>
      <c r="AK424" s="16">
        <f>IFERROR(__xludf.DUMMYFUNCTION("""COMPUTED_VALUE"""),24.400000000000002)</f>
        <v>24.4</v>
      </c>
      <c r="AL424" s="16">
        <f>IFERROR(__xludf.DUMMYFUNCTION("""COMPUTED_VALUE"""),27.5)</f>
        <v>27.5</v>
      </c>
      <c r="AM424" s="16">
        <f>IFERROR(__xludf.DUMMYFUNCTION("""COMPUTED_VALUE"""),-2.0)</f>
        <v>-2</v>
      </c>
      <c r="AN424" s="16">
        <f>IFERROR(__xludf.DUMMYFUNCTION("""COMPUTED_VALUE"""),-2.0)</f>
        <v>-2</v>
      </c>
      <c r="AO424" s="16">
        <f>IFERROR(__xludf.DUMMYFUNCTION("""COMPUTED_VALUE"""),-2.0)</f>
        <v>-2</v>
      </c>
      <c r="AP424" s="16">
        <f>IFERROR(__xludf.DUMMYFUNCTION("""COMPUTED_VALUE"""),-2.0)</f>
        <v>-2</v>
      </c>
      <c r="AQ424" s="16">
        <f>IFERROR(__xludf.DUMMYFUNCTION("""COMPUTED_VALUE"""),30.9)</f>
        <v>30.9</v>
      </c>
      <c r="AR424" s="16">
        <f>IFERROR(__xludf.DUMMYFUNCTION("""COMPUTED_VALUE"""),33.6)</f>
        <v>33.6</v>
      </c>
      <c r="AS424" s="16">
        <f>IFERROR(__xludf.DUMMYFUNCTION("""COMPUTED_VALUE"""),-1.0)</f>
        <v>-1</v>
      </c>
      <c r="AT424" s="16">
        <f>IFERROR(__xludf.DUMMYFUNCTION("""COMPUTED_VALUE"""),-2.0)</f>
        <v>-2</v>
      </c>
      <c r="AU424" s="16">
        <f>IFERROR(__xludf.DUMMYFUNCTION("""COMPUTED_VALUE"""),-2.0)</f>
        <v>-2</v>
      </c>
      <c r="AV424" s="16">
        <f>IFERROR(__xludf.DUMMYFUNCTION("""COMPUTED_VALUE"""),-4.0)</f>
        <v>-4</v>
      </c>
      <c r="AW424" s="16">
        <f>IFERROR(__xludf.DUMMYFUNCTION("""COMPUTED_VALUE"""),0.4)</f>
        <v>0.4</v>
      </c>
      <c r="AX424" s="16">
        <f>IFERROR(__xludf.DUMMYFUNCTION("""COMPUTED_VALUE"""),2.4)</f>
        <v>2.4</v>
      </c>
      <c r="AY424" s="16">
        <f>IFERROR(__xludf.DUMMYFUNCTION("""COMPUTED_VALUE"""),2.0)</f>
        <v>2</v>
      </c>
      <c r="AZ424" s="16">
        <f>IFERROR(__xludf.DUMMYFUNCTION("""COMPUTED_VALUE"""),0.0)</f>
        <v>0</v>
      </c>
      <c r="BA424" s="16">
        <f>IFERROR(__xludf.DUMMYFUNCTION("""COMPUTED_VALUE"""),10.0)</f>
        <v>10</v>
      </c>
      <c r="BB424" s="16">
        <f>IFERROR(__xludf.DUMMYFUNCTION("""COMPUTED_VALUE"""),0.0)</f>
        <v>0</v>
      </c>
      <c r="BC424" s="16">
        <f>IFERROR(__xludf.DUMMYFUNCTION("""COMPUTED_VALUE"""),0.0)</f>
        <v>0</v>
      </c>
      <c r="BD424" s="16">
        <f>IFERROR(__xludf.DUMMYFUNCTION("""COMPUTED_VALUE"""),4.0)</f>
        <v>4</v>
      </c>
      <c r="BE424" s="16">
        <f>IFERROR(__xludf.DUMMYFUNCTION("""COMPUTED_VALUE"""),0.0)</f>
        <v>0</v>
      </c>
      <c r="BF424" s="16">
        <f>IFERROR(__xludf.DUMMYFUNCTION("""COMPUTED_VALUE"""),4.0)</f>
        <v>4</v>
      </c>
      <c r="BG424" s="16">
        <f>IFERROR(__xludf.DUMMYFUNCTION("""COMPUTED_VALUE"""),3.0)</f>
        <v>3</v>
      </c>
      <c r="BH424" s="16">
        <f>IFERROR(__xludf.DUMMYFUNCTION("""COMPUTED_VALUE"""),-1.0)</f>
        <v>-1</v>
      </c>
      <c r="BI424" s="16">
        <f>IFERROR(__xludf.DUMMYFUNCTION("""COMPUTED_VALUE"""),6.0)</f>
        <v>6</v>
      </c>
      <c r="BJ424" s="16">
        <f>IFERROR(__xludf.DUMMYFUNCTION("""COMPUTED_VALUE"""),-2.0)</f>
        <v>-2</v>
      </c>
      <c r="BK424" s="16">
        <f>IFERROR(__xludf.DUMMYFUNCTION("""COMPUTED_VALUE"""),5.0)</f>
        <v>5</v>
      </c>
      <c r="BL424" s="16">
        <f>IFERROR(__xludf.DUMMYFUNCTION("""COMPUTED_VALUE"""),5.0)</f>
        <v>5</v>
      </c>
      <c r="BM424" s="16">
        <f>IFERROR(__xludf.DUMMYFUNCTION("""COMPUTED_VALUE"""),0.0)</f>
        <v>0</v>
      </c>
      <c r="BN424" s="16">
        <f>IFERROR(__xludf.DUMMYFUNCTION("""COMPUTED_VALUE"""),0.0)</f>
        <v>0</v>
      </c>
      <c r="BO424" s="16">
        <f>IFERROR(__xludf.DUMMYFUNCTION("""COMPUTED_VALUE"""),0.0)</f>
        <v>0</v>
      </c>
      <c r="BP424" s="16">
        <f>IFERROR(__xludf.DUMMYFUNCTION("""COMPUTED_VALUE"""),0.0)</f>
        <v>0</v>
      </c>
      <c r="BQ424" s="16">
        <f>IFERROR(__xludf.DUMMYFUNCTION("""COMPUTED_VALUE"""),0.0)</f>
        <v>0</v>
      </c>
      <c r="BR424" s="16">
        <f>IFERROR(__xludf.DUMMYFUNCTION("""COMPUTED_VALUE"""),2.0)</f>
        <v>2</v>
      </c>
      <c r="BS424" s="16">
        <f>IFERROR(__xludf.DUMMYFUNCTION("""COMPUTED_VALUE"""),-3.0)</f>
        <v>-3</v>
      </c>
      <c r="BT424" s="16">
        <f>IFERROR(__xludf.DUMMYFUNCTION("""COMPUTED_VALUE"""),-2.0)</f>
        <v>-2</v>
      </c>
      <c r="BU424" s="16">
        <f>IFERROR(__xludf.DUMMYFUNCTION("""COMPUTED_VALUE"""),-6.0)</f>
        <v>-6</v>
      </c>
      <c r="BV424" s="16">
        <f>IFERROR(__xludf.DUMMYFUNCTION("""COMPUTED_VALUE"""),-4.0)</f>
        <v>-4</v>
      </c>
      <c r="BW424" s="16">
        <f>IFERROR(__xludf.DUMMYFUNCTION("""COMPUTED_VALUE"""),-6.0)</f>
        <v>-6</v>
      </c>
      <c r="BX424" s="16">
        <f>IFERROR(__xludf.DUMMYFUNCTION("""COMPUTED_VALUE"""),-6.0)</f>
        <v>-6</v>
      </c>
      <c r="BY424" s="16" t="str">
        <f>IFERROR(__xludf.DUMMYFUNCTION("""COMPUTED_VALUE"""),"R(2)")</f>
        <v>R(2)</v>
      </c>
      <c r="BZ424" s="16" t="str">
        <f>IFERROR(__xludf.DUMMYFUNCTION("""COMPUTED_VALUE"""),"R(2)")</f>
        <v>R(2)</v>
      </c>
      <c r="CA424" s="16" t="str">
        <f>IFERROR(__xludf.DUMMYFUNCTION("""COMPUTED_VALUE"""),"R(2)")</f>
        <v>R(2)</v>
      </c>
      <c r="CB424" s="16"/>
      <c r="CC424" s="16"/>
      <c r="CD424" s="16"/>
      <c r="CE424" s="16">
        <f>IFERROR(__xludf.DUMMYFUNCTION("""COMPUTED_VALUE"""),2.0)</f>
        <v>2</v>
      </c>
      <c r="CF424" s="16"/>
      <c r="CG424" s="16" t="str">
        <f>IFERROR(__xludf.DUMMYFUNCTION("""COMPUTED_VALUE"""),"3-0")</f>
        <v>3-0</v>
      </c>
      <c r="CH424" s="16">
        <f>IFERROR(__xludf.DUMMYFUNCTION("""COMPUTED_VALUE"""),3.0)</f>
        <v>3</v>
      </c>
      <c r="CI424" s="16">
        <f>IFERROR(__xludf.DUMMYFUNCTION("""COMPUTED_VALUE"""),0.0)</f>
        <v>0</v>
      </c>
      <c r="CJ424" s="16">
        <f>IFERROR(__xludf.DUMMYFUNCTION("""COMPUTED_VALUE"""),0.0)</f>
        <v>0</v>
      </c>
      <c r="CK424" s="16">
        <f>IFERROR(__xludf.DUMMYFUNCTION("""COMPUTED_VALUE"""),7.0)</f>
        <v>7</v>
      </c>
      <c r="CL424" s="16" t="str">
        <f>IFERROR(__xludf.DUMMYFUNCTION("""COMPUTED_VALUE"""),"1WR-C")</f>
        <v>1WR-C</v>
      </c>
      <c r="CM424" s="16" t="str">
        <f>IFERROR(__xludf.DUMMYFUNCTION("""COMPUTED_VALUE"""),"E")</f>
        <v>E</v>
      </c>
      <c r="CN424" s="16">
        <f>IFERROR(__xludf.DUMMYFUNCTION("""COMPUTED_VALUE"""),10.0)</f>
        <v>10</v>
      </c>
      <c r="CO424" s="16" t="str">
        <f>IFERROR(__xludf.DUMMYFUNCTION("""COMPUTED_VALUE"""),"C")</f>
        <v>C</v>
      </c>
      <c r="CP424" s="16" t="str">
        <f>IFERROR(__xludf.DUMMYFUNCTION("""COMPUTED_VALUE"""),"1p20")</f>
        <v>1p20</v>
      </c>
      <c r="CQ424" s="16">
        <f>IFERROR(__xludf.DUMMYFUNCTION("""COMPUTED_VALUE"""),0.0)</f>
        <v>0</v>
      </c>
      <c r="CR424" s="16">
        <f>IFERROR(__xludf.DUMMYFUNCTION("""COMPUTED_VALUE"""),-37.0)</f>
        <v>-37</v>
      </c>
      <c r="CS424" s="16">
        <f>IFERROR(__xludf.DUMMYFUNCTION("""COMPUTED_VALUE"""),-37.0)</f>
        <v>-37</v>
      </c>
      <c r="CT424" s="16">
        <f>IFERROR(__xludf.DUMMYFUNCTION("""COMPUTED_VALUE"""),0.0)</f>
        <v>0</v>
      </c>
      <c r="CU424" s="16">
        <f>IFERROR(__xludf.DUMMYFUNCTION("""COMPUTED_VALUE"""),-37.0)</f>
        <v>-37</v>
      </c>
      <c r="CV424" s="179">
        <f>IFERROR(__xludf.DUMMYFUNCTION("""COMPUTED_VALUE"""),-17.666666666666668)</f>
        <v>-17.66666667</v>
      </c>
      <c r="CW424" s="179">
        <f>IFERROR(__xludf.DUMMYFUNCTION("""COMPUTED_VALUE"""),4.0)</f>
        <v>4</v>
      </c>
      <c r="CX424" s="179">
        <f>IFERROR(__xludf.DUMMYFUNCTION("""COMPUTED_VALUE"""),3.0)</f>
        <v>3</v>
      </c>
      <c r="CY424" s="16" t="str">
        <f>IFERROR(__xludf.DUMMYFUNCTION("""COMPUTED_VALUE"""),"RP")</f>
        <v>RP</v>
      </c>
      <c r="CZ424" s="16"/>
      <c r="DA424" s="16"/>
      <c r="DB424" s="16"/>
      <c r="DC424" s="16"/>
      <c r="DD424" s="16"/>
      <c r="DE424" s="16"/>
      <c r="DF424" s="16"/>
      <c r="DG424" s="16"/>
      <c r="DH424" s="16"/>
      <c r="DI424" s="16"/>
      <c r="DJ424" s="16"/>
      <c r="DK424" s="16"/>
    </row>
    <row r="425">
      <c r="A425" s="16">
        <f>IFERROR(__xludf.DUMMYFUNCTION("""COMPUTED_VALUE"""),12761.0)</f>
        <v>12761</v>
      </c>
      <c r="B425" s="16" t="str">
        <f>IFERROR(__xludf.DUMMYFUNCTION("""COMPUTED_VALUE"""),"DL Hall")</f>
        <v>DL Hall</v>
      </c>
      <c r="C425" s="153">
        <f>IFERROR(__xludf.DUMMYFUNCTION("""COMPUTED_VALUE"""),0.0)</f>
        <v>0</v>
      </c>
      <c r="D425" s="16"/>
      <c r="E425" s="16" t="str">
        <f>IFERROR(__xludf.DUMMYFUNCTION("""COMPUTED_VALUE"""),"L")</f>
        <v>L</v>
      </c>
      <c r="F425" s="16">
        <f>IFERROR(__xludf.DUMMYFUNCTION("""COMPUTED_VALUE"""),43.0)</f>
        <v>43</v>
      </c>
      <c r="G425" s="16">
        <f>IFERROR(__xludf.DUMMYFUNCTION("""COMPUTED_VALUE"""),26.0)</f>
        <v>26</v>
      </c>
      <c r="H425" s="16">
        <f>IFERROR(__xludf.DUMMYFUNCTION("""COMPUTED_VALUE"""),25.0)</f>
        <v>25</v>
      </c>
      <c r="I425" s="16">
        <f>IFERROR(__xludf.DUMMYFUNCTION("""COMPUTED_VALUE"""),0.0)</f>
        <v>0</v>
      </c>
      <c r="J425" s="16">
        <f>IFERROR(__xludf.DUMMYFUNCTION("""COMPUTED_VALUE"""),0.0)</f>
        <v>0</v>
      </c>
      <c r="K425" s="16">
        <f>IFERROR(__xludf.DUMMYFUNCTION("""COMPUTED_VALUE"""),0.0)</f>
        <v>0</v>
      </c>
      <c r="L425" s="16">
        <f>IFERROR(__xludf.DUMMYFUNCTION("""COMPUTED_VALUE"""),0.0)</f>
        <v>0</v>
      </c>
      <c r="M425" s="16">
        <f>IFERROR(__xludf.DUMMYFUNCTION("""COMPUTED_VALUE"""),8.0)</f>
        <v>8</v>
      </c>
      <c r="N425" s="16">
        <f>IFERROR(__xludf.DUMMYFUNCTION("""COMPUTED_VALUE"""),17.0)</f>
        <v>17</v>
      </c>
      <c r="O425" s="16">
        <f>IFERROR(__xludf.DUMMYFUNCTION("""COMPUTED_VALUE"""),0.0)</f>
        <v>0</v>
      </c>
      <c r="P425" s="16">
        <f>IFERROR(__xludf.DUMMYFUNCTION("""COMPUTED_VALUE"""),-3.0)</f>
        <v>-3</v>
      </c>
      <c r="Q425" s="16">
        <f>IFERROR(__xludf.DUMMYFUNCTION("""COMPUTED_VALUE"""),0.0)</f>
        <v>0</v>
      </c>
      <c r="R425" s="16">
        <f>IFERROR(__xludf.DUMMYFUNCTION("""COMPUTED_VALUE"""),-3.0)</f>
        <v>-3</v>
      </c>
      <c r="S425" s="16">
        <f>IFERROR(__xludf.DUMMYFUNCTION("""COMPUTED_VALUE"""),20.0)</f>
        <v>20</v>
      </c>
      <c r="T425" s="16">
        <f>IFERROR(__xludf.DUMMYFUNCTION("""COMPUTED_VALUE"""),25.5)</f>
        <v>25.5</v>
      </c>
      <c r="U425" s="16">
        <f>IFERROR(__xludf.DUMMYFUNCTION("""COMPUTED_VALUE"""),-1.0)</f>
        <v>-1</v>
      </c>
      <c r="V425" s="16">
        <f>IFERROR(__xludf.DUMMYFUNCTION("""COMPUTED_VALUE"""),-2.0)</f>
        <v>-2</v>
      </c>
      <c r="W425" s="16">
        <f>IFERROR(__xludf.DUMMYFUNCTION("""COMPUTED_VALUE"""),-2.0)</f>
        <v>-2</v>
      </c>
      <c r="X425" s="16">
        <f>IFERROR(__xludf.DUMMYFUNCTION("""COMPUTED_VALUE"""),-4.0)</f>
        <v>-4</v>
      </c>
      <c r="Y425" s="16">
        <f>IFERROR(__xludf.DUMMYFUNCTION("""COMPUTED_VALUE"""),28.0)</f>
        <v>28</v>
      </c>
      <c r="Z425" s="16">
        <f>IFERROR(__xludf.DUMMYFUNCTION("""COMPUTED_VALUE"""),42.5)</f>
        <v>42.5</v>
      </c>
      <c r="AA425" s="16">
        <f>IFERROR(__xludf.DUMMYFUNCTION("""COMPUTED_VALUE"""),0.0)</f>
        <v>0</v>
      </c>
      <c r="AB425" s="16">
        <f>IFERROR(__xludf.DUMMYFUNCTION("""COMPUTED_VALUE"""),-2.0)</f>
        <v>-2</v>
      </c>
      <c r="AC425" s="16">
        <f>IFERROR(__xludf.DUMMYFUNCTION("""COMPUTED_VALUE"""),0.0)</f>
        <v>0</v>
      </c>
      <c r="AD425" s="16">
        <f>IFERROR(__xludf.DUMMYFUNCTION("""COMPUTED_VALUE"""),-10.0)</f>
        <v>-10</v>
      </c>
      <c r="AE425" s="16">
        <f>IFERROR(__xludf.DUMMYFUNCTION("""COMPUTED_VALUE"""),26.5)</f>
        <v>26.5</v>
      </c>
      <c r="AF425" s="16">
        <f>IFERROR(__xludf.DUMMYFUNCTION("""COMPUTED_VALUE"""),34.5)</f>
        <v>34.5</v>
      </c>
      <c r="AG425" s="16">
        <f>IFERROR(__xludf.DUMMYFUNCTION("""COMPUTED_VALUE"""),0.0)</f>
        <v>0</v>
      </c>
      <c r="AH425" s="16">
        <f>IFERROR(__xludf.DUMMYFUNCTION("""COMPUTED_VALUE"""),-1.0)</f>
        <v>-1</v>
      </c>
      <c r="AI425" s="16">
        <f>IFERROR(__xludf.DUMMYFUNCTION("""COMPUTED_VALUE"""),0.0)</f>
        <v>0</v>
      </c>
      <c r="AJ425" s="16">
        <f>IFERROR(__xludf.DUMMYFUNCTION("""COMPUTED_VALUE"""),-2.0)</f>
        <v>-2</v>
      </c>
      <c r="AK425" s="16">
        <f>IFERROR(__xludf.DUMMYFUNCTION("""COMPUTED_VALUE"""),20.0)</f>
        <v>20</v>
      </c>
      <c r="AL425" s="16">
        <f>IFERROR(__xludf.DUMMYFUNCTION("""COMPUTED_VALUE"""),22.5)</f>
        <v>22.5</v>
      </c>
      <c r="AM425" s="16">
        <f>IFERROR(__xludf.DUMMYFUNCTION("""COMPUTED_VALUE"""),-1.0)</f>
        <v>-1</v>
      </c>
      <c r="AN425" s="16">
        <f>IFERROR(__xludf.DUMMYFUNCTION("""COMPUTED_VALUE"""),-2.0)</f>
        <v>-2</v>
      </c>
      <c r="AO425" s="16">
        <f>IFERROR(__xludf.DUMMYFUNCTION("""COMPUTED_VALUE"""),-1.0)</f>
        <v>-1</v>
      </c>
      <c r="AP425" s="16">
        <f>IFERROR(__xludf.DUMMYFUNCTION("""COMPUTED_VALUE"""),-2.0)</f>
        <v>-2</v>
      </c>
      <c r="AQ425" s="16">
        <f>IFERROR(__xludf.DUMMYFUNCTION("""COMPUTED_VALUE"""),26.5)</f>
        <v>26.5</v>
      </c>
      <c r="AR425" s="16">
        <f>IFERROR(__xludf.DUMMYFUNCTION("""COMPUTED_VALUE"""),22.5)</f>
        <v>22.5</v>
      </c>
      <c r="AS425" s="16">
        <f>IFERROR(__xludf.DUMMYFUNCTION("""COMPUTED_VALUE"""),-1.0)</f>
        <v>-1</v>
      </c>
      <c r="AT425" s="16">
        <f>IFERROR(__xludf.DUMMYFUNCTION("""COMPUTED_VALUE"""),0.0)</f>
        <v>0</v>
      </c>
      <c r="AU425" s="16">
        <f>IFERROR(__xludf.DUMMYFUNCTION("""COMPUTED_VALUE"""),-2.0)</f>
        <v>-2</v>
      </c>
      <c r="AV425" s="16">
        <f>IFERROR(__xludf.DUMMYFUNCTION("""COMPUTED_VALUE"""),0.0)</f>
        <v>0</v>
      </c>
      <c r="AW425" s="16">
        <f>IFERROR(__xludf.DUMMYFUNCTION("""COMPUTED_VALUE"""),0.0)</f>
        <v>0</v>
      </c>
      <c r="AX425" s="16">
        <f>IFERROR(__xludf.DUMMYFUNCTION("""COMPUTED_VALUE"""),3.0)</f>
        <v>3</v>
      </c>
      <c r="AY425" s="16">
        <f>IFERROR(__xludf.DUMMYFUNCTION("""COMPUTED_VALUE"""),2.0)</f>
        <v>2</v>
      </c>
      <c r="AZ425" s="16">
        <f>IFERROR(__xludf.DUMMYFUNCTION("""COMPUTED_VALUE"""),-1.0)</f>
        <v>-1</v>
      </c>
      <c r="BA425" s="16">
        <f>IFERROR(__xludf.DUMMYFUNCTION("""COMPUTED_VALUE"""),10.0)</f>
        <v>10</v>
      </c>
      <c r="BB425" s="16">
        <f>IFERROR(__xludf.DUMMYFUNCTION("""COMPUTED_VALUE"""),-5.0)</f>
        <v>-5</v>
      </c>
      <c r="BC425" s="16">
        <f>IFERROR(__xludf.DUMMYFUNCTION("""COMPUTED_VALUE"""),0.0)</f>
        <v>0</v>
      </c>
      <c r="BD425" s="16">
        <f>IFERROR(__xludf.DUMMYFUNCTION("""COMPUTED_VALUE"""),4.0)</f>
        <v>4</v>
      </c>
      <c r="BE425" s="16">
        <f>IFERROR(__xludf.DUMMYFUNCTION("""COMPUTED_VALUE"""),0.0)</f>
        <v>0</v>
      </c>
      <c r="BF425" s="16">
        <f>IFERROR(__xludf.DUMMYFUNCTION("""COMPUTED_VALUE"""),4.0)</f>
        <v>4</v>
      </c>
      <c r="BG425" s="16">
        <f>IFERROR(__xludf.DUMMYFUNCTION("""COMPUTED_VALUE"""),3.0)</f>
        <v>3</v>
      </c>
      <c r="BH425" s="16">
        <f>IFERROR(__xludf.DUMMYFUNCTION("""COMPUTED_VALUE"""),-1.0)</f>
        <v>-1</v>
      </c>
      <c r="BI425" s="16">
        <f>IFERROR(__xludf.DUMMYFUNCTION("""COMPUTED_VALUE"""),6.0)</f>
        <v>6</v>
      </c>
      <c r="BJ425" s="16">
        <f>IFERROR(__xludf.DUMMYFUNCTION("""COMPUTED_VALUE"""),-2.0)</f>
        <v>-2</v>
      </c>
      <c r="BK425" s="16">
        <f>IFERROR(__xludf.DUMMYFUNCTION("""COMPUTED_VALUE"""),5.0)</f>
        <v>5</v>
      </c>
      <c r="BL425" s="16">
        <f>IFERROR(__xludf.DUMMYFUNCTION("""COMPUTED_VALUE"""),5.0)</f>
        <v>5</v>
      </c>
      <c r="BM425" s="16">
        <f>IFERROR(__xludf.DUMMYFUNCTION("""COMPUTED_VALUE"""),0.0)</f>
        <v>0</v>
      </c>
      <c r="BN425" s="16">
        <f>IFERROR(__xludf.DUMMYFUNCTION("""COMPUTED_VALUE"""),0.0)</f>
        <v>0</v>
      </c>
      <c r="BO425" s="16">
        <f>IFERROR(__xludf.DUMMYFUNCTION("""COMPUTED_VALUE"""),0.0)</f>
        <v>0</v>
      </c>
      <c r="BP425" s="16">
        <f>IFERROR(__xludf.DUMMYFUNCTION("""COMPUTED_VALUE"""),0.0)</f>
        <v>0</v>
      </c>
      <c r="BQ425" s="16">
        <f>IFERROR(__xludf.DUMMYFUNCTION("""COMPUTED_VALUE"""),5.0)</f>
        <v>5</v>
      </c>
      <c r="BR425" s="16">
        <f>IFERROR(__xludf.DUMMYFUNCTION("""COMPUTED_VALUE"""),0.0)</f>
        <v>0</v>
      </c>
      <c r="BS425" s="16">
        <f>IFERROR(__xludf.DUMMYFUNCTION("""COMPUTED_VALUE"""),0.0)</f>
        <v>0</v>
      </c>
      <c r="BT425" s="16">
        <f>IFERROR(__xludf.DUMMYFUNCTION("""COMPUTED_VALUE"""),-3.0)</f>
        <v>-3</v>
      </c>
      <c r="BU425" s="16">
        <f>IFERROR(__xludf.DUMMYFUNCTION("""COMPUTED_VALUE"""),0.0)</f>
        <v>0</v>
      </c>
      <c r="BV425" s="16">
        <f>IFERROR(__xludf.DUMMYFUNCTION("""COMPUTED_VALUE"""),-6.0)</f>
        <v>-6</v>
      </c>
      <c r="BW425" s="16">
        <f>IFERROR(__xludf.DUMMYFUNCTION("""COMPUTED_VALUE"""),-2.0)</f>
        <v>-2</v>
      </c>
      <c r="BX425" s="16">
        <f>IFERROR(__xludf.DUMMYFUNCTION("""COMPUTED_VALUE"""),-2.0)</f>
        <v>-2</v>
      </c>
      <c r="BY425" s="16" t="str">
        <f>IFERROR(__xludf.DUMMYFUNCTION("""COMPUTED_VALUE"""),"S(4) R(3)")</f>
        <v>S(4) R(3)</v>
      </c>
      <c r="BZ425" s="16" t="str">
        <f>IFERROR(__xludf.DUMMYFUNCTION("""COMPUTED_VALUE"""),"S(4) R(3)")</f>
        <v>S(4) R(3)</v>
      </c>
      <c r="CA425" s="16" t="str">
        <f>IFERROR(__xludf.DUMMYFUNCTION("""COMPUTED_VALUE"""),"S(4)")</f>
        <v>S(4)</v>
      </c>
      <c r="CB425" s="16" t="str">
        <f>IFERROR(__xludf.DUMMYFUNCTION("""COMPUTED_VALUE"""),"R(3)")</f>
        <v>R(3)</v>
      </c>
      <c r="CC425" s="16"/>
      <c r="CD425" s="16">
        <f>IFERROR(__xludf.DUMMYFUNCTION("""COMPUTED_VALUE"""),4.0)</f>
        <v>4</v>
      </c>
      <c r="CE425" s="16">
        <f>IFERROR(__xludf.DUMMYFUNCTION("""COMPUTED_VALUE"""),3.0)</f>
        <v>3</v>
      </c>
      <c r="CF425" s="16"/>
      <c r="CG425" s="16" t="str">
        <f>IFERROR(__xludf.DUMMYFUNCTION("""COMPUTED_VALUE"""),"2-0")</f>
        <v>2-0</v>
      </c>
      <c r="CH425" s="16">
        <f>IFERROR(__xludf.DUMMYFUNCTION("""COMPUTED_VALUE"""),2.0)</f>
        <v>2</v>
      </c>
      <c r="CI425" s="16">
        <f>IFERROR(__xludf.DUMMYFUNCTION("""COMPUTED_VALUE"""),0.0)</f>
        <v>0</v>
      </c>
      <c r="CJ425" s="16">
        <f>IFERROR(__xludf.DUMMYFUNCTION("""COMPUTED_VALUE"""),0.0)</f>
        <v>0</v>
      </c>
      <c r="CK425" s="16">
        <f>IFERROR(__xludf.DUMMYFUNCTION("""COMPUTED_VALUE"""),4.0)</f>
        <v>4</v>
      </c>
      <c r="CL425" s="16" t="str">
        <f>IFERROR(__xludf.DUMMYFUNCTION("""COMPUTED_VALUE"""),"1WL-C")</f>
        <v>1WL-C</v>
      </c>
      <c r="CM425" s="16" t="str">
        <f>IFERROR(__xludf.DUMMYFUNCTION("""COMPUTED_VALUE"""),"E")</f>
        <v>E</v>
      </c>
      <c r="CN425" s="16">
        <f>IFERROR(__xludf.DUMMYFUNCTION("""COMPUTED_VALUE"""),10.0)</f>
        <v>10</v>
      </c>
      <c r="CO425" s="16" t="str">
        <f>IFERROR(__xludf.DUMMYFUNCTION("""COMPUTED_VALUE"""),"C")</f>
        <v>C</v>
      </c>
      <c r="CP425" s="16" t="str">
        <f>IFERROR(__xludf.DUMMYFUNCTION("""COMPUTED_VALUE"""),"6p30")</f>
        <v>6p30</v>
      </c>
      <c r="CQ425" s="16">
        <f>IFERROR(__xludf.DUMMYFUNCTION("""COMPUTED_VALUE"""),11.0)</f>
        <v>11</v>
      </c>
      <c r="CR425" s="16">
        <f>IFERROR(__xludf.DUMMYFUNCTION("""COMPUTED_VALUE"""),-34.0)</f>
        <v>-34</v>
      </c>
      <c r="CS425" s="16">
        <f>IFERROR(__xludf.DUMMYFUNCTION("""COMPUTED_VALUE"""),-23.0)</f>
        <v>-23</v>
      </c>
      <c r="CT425" s="16">
        <f>IFERROR(__xludf.DUMMYFUNCTION("""COMPUTED_VALUE"""),11.0)</f>
        <v>11</v>
      </c>
      <c r="CU425" s="16">
        <f>IFERROR(__xludf.DUMMYFUNCTION("""COMPUTED_VALUE"""),-34.0)</f>
        <v>-34</v>
      </c>
      <c r="CV425" s="179">
        <f>IFERROR(__xludf.DUMMYFUNCTION("""COMPUTED_VALUE"""),-18.0)</f>
        <v>-18</v>
      </c>
      <c r="CW425" s="179">
        <f>IFERROR(__xludf.DUMMYFUNCTION("""COMPUTED_VALUE"""),-1.0)</f>
        <v>-1</v>
      </c>
      <c r="CX425" s="179">
        <f>IFERROR(__xludf.DUMMYFUNCTION("""COMPUTED_VALUE"""),2.0)</f>
        <v>2</v>
      </c>
      <c r="CY425" s="16" t="str">
        <f>IFERROR(__xludf.DUMMYFUNCTION("""COMPUTED_VALUE"""),"SP")</f>
        <v>SP</v>
      </c>
      <c r="CZ425" s="16" t="str">
        <f>IFERROR(__xludf.DUMMYFUNCTION("""COMPUTED_VALUE"""),"RP")</f>
        <v>RP</v>
      </c>
      <c r="DA425" s="16"/>
      <c r="DB425" s="16"/>
      <c r="DC425" s="16"/>
      <c r="DD425" s="16"/>
      <c r="DE425" s="16"/>
      <c r="DF425" s="16"/>
      <c r="DG425" s="16"/>
      <c r="DH425" s="16"/>
      <c r="DI425" s="16"/>
      <c r="DJ425" s="16"/>
      <c r="DK425" s="16"/>
    </row>
    <row r="426">
      <c r="A426" s="16">
        <f>IFERROR(__xludf.DUMMYFUNCTION("""COMPUTED_VALUE"""),13133.0)</f>
        <v>13133</v>
      </c>
      <c r="B426" s="16" t="str">
        <f>IFERROR(__xludf.DUMMYFUNCTION("""COMPUTED_VALUE"""),"Luis Medina")</f>
        <v>Luis Medina</v>
      </c>
      <c r="C426" s="153">
        <f>IFERROR(__xludf.DUMMYFUNCTION("""COMPUTED_VALUE"""),0.34)</f>
        <v>0.34</v>
      </c>
      <c r="D426" s="16"/>
      <c r="E426" s="16" t="str">
        <f>IFERROR(__xludf.DUMMYFUNCTION("""COMPUTED_VALUE"""),"R")</f>
        <v>R</v>
      </c>
      <c r="F426" s="16">
        <f>IFERROR(__xludf.DUMMYFUNCTION("""COMPUTED_VALUE"""),40.0)</f>
        <v>40</v>
      </c>
      <c r="G426" s="16">
        <f>IFERROR(__xludf.DUMMYFUNCTION("""COMPUTED_VALUE"""),11.0)</f>
        <v>11</v>
      </c>
      <c r="H426" s="16">
        <f>IFERROR(__xludf.DUMMYFUNCTION("""COMPUTED_VALUE"""),19.0)</f>
        <v>19</v>
      </c>
      <c r="I426" s="16">
        <f>IFERROR(__xludf.DUMMYFUNCTION("""COMPUTED_VALUE"""),-2.0)</f>
        <v>-2</v>
      </c>
      <c r="J426" s="16">
        <f>IFERROR(__xludf.DUMMYFUNCTION("""COMPUTED_VALUE"""),-1.0)</f>
        <v>-1</v>
      </c>
      <c r="K426" s="16">
        <f>IFERROR(__xludf.DUMMYFUNCTION("""COMPUTED_VALUE"""),-6.0)</f>
        <v>-6</v>
      </c>
      <c r="L426" s="16">
        <f>IFERROR(__xludf.DUMMYFUNCTION("""COMPUTED_VALUE"""),-3.0)</f>
        <v>-3</v>
      </c>
      <c r="M426" s="16">
        <f>IFERROR(__xludf.DUMMYFUNCTION("""COMPUTED_VALUE"""),14.0)</f>
        <v>14</v>
      </c>
      <c r="N426" s="16">
        <f>IFERROR(__xludf.DUMMYFUNCTION("""COMPUTED_VALUE"""),16.0)</f>
        <v>16</v>
      </c>
      <c r="O426" s="16">
        <f>IFERROR(__xludf.DUMMYFUNCTION("""COMPUTED_VALUE"""),-2.0)</f>
        <v>-2</v>
      </c>
      <c r="P426" s="16">
        <f>IFERROR(__xludf.DUMMYFUNCTION("""COMPUTED_VALUE"""),-3.0)</f>
        <v>-3</v>
      </c>
      <c r="Q426" s="16">
        <f>IFERROR(__xludf.DUMMYFUNCTION("""COMPUTED_VALUE"""),-2.0)</f>
        <v>-2</v>
      </c>
      <c r="R426" s="16">
        <f>IFERROR(__xludf.DUMMYFUNCTION("""COMPUTED_VALUE"""),-3.0)</f>
        <v>-3</v>
      </c>
      <c r="S426" s="16">
        <f>IFERROR(__xludf.DUMMYFUNCTION("""COMPUTED_VALUE"""),14.4)</f>
        <v>14.4</v>
      </c>
      <c r="T426" s="16">
        <f>IFERROR(__xludf.DUMMYFUNCTION("""COMPUTED_VALUE"""),26.3)</f>
        <v>26.3</v>
      </c>
      <c r="U426" s="16">
        <f>IFERROR(__xludf.DUMMYFUNCTION("""COMPUTED_VALUE"""),0.0)</f>
        <v>0</v>
      </c>
      <c r="V426" s="16">
        <f>IFERROR(__xludf.DUMMYFUNCTION("""COMPUTED_VALUE"""),-2.0)</f>
        <v>-2</v>
      </c>
      <c r="W426" s="16">
        <f>IFERROR(__xludf.DUMMYFUNCTION("""COMPUTED_VALUE"""),0.0)</f>
        <v>0</v>
      </c>
      <c r="X426" s="16">
        <f>IFERROR(__xludf.DUMMYFUNCTION("""COMPUTED_VALUE"""),-4.0)</f>
        <v>-4</v>
      </c>
      <c r="Y426" s="16">
        <f>IFERROR(__xludf.DUMMYFUNCTION("""COMPUTED_VALUE"""),28.5)</f>
        <v>28.5</v>
      </c>
      <c r="Z426" s="16">
        <f>IFERROR(__xludf.DUMMYFUNCTION("""COMPUTED_VALUE"""),42.3)</f>
        <v>42.3</v>
      </c>
      <c r="AA426" s="16">
        <f>IFERROR(__xludf.DUMMYFUNCTION("""COMPUTED_VALUE"""),0.0)</f>
        <v>0</v>
      </c>
      <c r="AB426" s="16">
        <f>IFERROR(__xludf.DUMMYFUNCTION("""COMPUTED_VALUE"""),-2.0)</f>
        <v>-2</v>
      </c>
      <c r="AC426" s="16">
        <f>IFERROR(__xludf.DUMMYFUNCTION("""COMPUTED_VALUE"""),0.0)</f>
        <v>0</v>
      </c>
      <c r="AD426" s="16">
        <f>IFERROR(__xludf.DUMMYFUNCTION("""COMPUTED_VALUE"""),-10.0)</f>
        <v>-10</v>
      </c>
      <c r="AE426" s="16">
        <f>IFERROR(__xludf.DUMMYFUNCTION("""COMPUTED_VALUE"""),19.3)</f>
        <v>19.3</v>
      </c>
      <c r="AF426" s="16">
        <f>IFERROR(__xludf.DUMMYFUNCTION("""COMPUTED_VALUE"""),43.5)</f>
        <v>43.5</v>
      </c>
      <c r="AG426" s="16">
        <f>IFERROR(__xludf.DUMMYFUNCTION("""COMPUTED_VALUE"""),1.0)</f>
        <v>1</v>
      </c>
      <c r="AH426" s="16">
        <f>IFERROR(__xludf.DUMMYFUNCTION("""COMPUTED_VALUE"""),-2.0)</f>
        <v>-2</v>
      </c>
      <c r="AI426" s="16">
        <f>IFERROR(__xludf.DUMMYFUNCTION("""COMPUTED_VALUE"""),2.0)</f>
        <v>2</v>
      </c>
      <c r="AJ426" s="16">
        <f>IFERROR(__xludf.DUMMYFUNCTION("""COMPUTED_VALUE"""),-4.0)</f>
        <v>-4</v>
      </c>
      <c r="AK426" s="16">
        <f>IFERROR(__xludf.DUMMYFUNCTION("""COMPUTED_VALUE"""),13.6)</f>
        <v>13.6</v>
      </c>
      <c r="AL426" s="16">
        <f>IFERROR(__xludf.DUMMYFUNCTION("""COMPUTED_VALUE"""),25.1)</f>
        <v>25.1</v>
      </c>
      <c r="AM426" s="16">
        <f>IFERROR(__xludf.DUMMYFUNCTION("""COMPUTED_VALUE"""),0.0)</f>
        <v>0</v>
      </c>
      <c r="AN426" s="16">
        <f>IFERROR(__xludf.DUMMYFUNCTION("""COMPUTED_VALUE"""),-2.0)</f>
        <v>-2</v>
      </c>
      <c r="AO426" s="16">
        <f>IFERROR(__xludf.DUMMYFUNCTION("""COMPUTED_VALUE"""),0.0)</f>
        <v>0</v>
      </c>
      <c r="AP426" s="16">
        <f>IFERROR(__xludf.DUMMYFUNCTION("""COMPUTED_VALUE"""),-2.0)</f>
        <v>-2</v>
      </c>
      <c r="AQ426" s="16">
        <f>IFERROR(__xludf.DUMMYFUNCTION("""COMPUTED_VALUE"""),16.1)</f>
        <v>16.1</v>
      </c>
      <c r="AR426" s="16">
        <f>IFERROR(__xludf.DUMMYFUNCTION("""COMPUTED_VALUE"""),38.7)</f>
        <v>38.7</v>
      </c>
      <c r="AS426" s="16">
        <f>IFERROR(__xludf.DUMMYFUNCTION("""COMPUTED_VALUE"""),0.0)</f>
        <v>0</v>
      </c>
      <c r="AT426" s="16">
        <f>IFERROR(__xludf.DUMMYFUNCTION("""COMPUTED_VALUE"""),-2.0)</f>
        <v>-2</v>
      </c>
      <c r="AU426" s="16">
        <f>IFERROR(__xludf.DUMMYFUNCTION("""COMPUTED_VALUE"""),0.0)</f>
        <v>0</v>
      </c>
      <c r="AV426" s="16">
        <f>IFERROR(__xludf.DUMMYFUNCTION("""COMPUTED_VALUE"""),-4.0)</f>
        <v>-4</v>
      </c>
      <c r="AW426" s="16">
        <f>IFERROR(__xludf.DUMMYFUNCTION("""COMPUTED_VALUE"""),0.8)</f>
        <v>0.8</v>
      </c>
      <c r="AX426" s="16">
        <f>IFERROR(__xludf.DUMMYFUNCTION("""COMPUTED_VALUE"""),1.2)</f>
        <v>1.2</v>
      </c>
      <c r="AY426" s="16">
        <f>IFERROR(__xludf.DUMMYFUNCTION("""COMPUTED_VALUE"""),2.0)</f>
        <v>2</v>
      </c>
      <c r="AZ426" s="16">
        <f>IFERROR(__xludf.DUMMYFUNCTION("""COMPUTED_VALUE"""),1.0)</f>
        <v>1</v>
      </c>
      <c r="BA426" s="16">
        <f>IFERROR(__xludf.DUMMYFUNCTION("""COMPUTED_VALUE"""),10.0)</f>
        <v>10</v>
      </c>
      <c r="BB426" s="16">
        <f>IFERROR(__xludf.DUMMYFUNCTION("""COMPUTED_VALUE"""),5.0)</f>
        <v>5</v>
      </c>
      <c r="BC426" s="16">
        <f>IFERROR(__xludf.DUMMYFUNCTION("""COMPUTED_VALUE"""),1.0)</f>
        <v>1</v>
      </c>
      <c r="BD426" s="16">
        <f>IFERROR(__xludf.DUMMYFUNCTION("""COMPUTED_VALUE"""),3.0)</f>
        <v>3</v>
      </c>
      <c r="BE426" s="16">
        <f>IFERROR(__xludf.DUMMYFUNCTION("""COMPUTED_VALUE"""),1.0)</f>
        <v>1</v>
      </c>
      <c r="BF426" s="16">
        <f>IFERROR(__xludf.DUMMYFUNCTION("""COMPUTED_VALUE"""),3.0)</f>
        <v>3</v>
      </c>
      <c r="BG426" s="16">
        <f>IFERROR(__xludf.DUMMYFUNCTION("""COMPUTED_VALUE"""),2.0)</f>
        <v>2</v>
      </c>
      <c r="BH426" s="16">
        <f>IFERROR(__xludf.DUMMYFUNCTION("""COMPUTED_VALUE"""),0.0)</f>
        <v>0</v>
      </c>
      <c r="BI426" s="16">
        <f>IFERROR(__xludf.DUMMYFUNCTION("""COMPUTED_VALUE"""),4.0)</f>
        <v>4</v>
      </c>
      <c r="BJ426" s="16">
        <f>IFERROR(__xludf.DUMMYFUNCTION("""COMPUTED_VALUE"""),0.0)</f>
        <v>0</v>
      </c>
      <c r="BK426" s="16">
        <f>IFERROR(__xludf.DUMMYFUNCTION("""COMPUTED_VALUE"""),5.0)</f>
        <v>5</v>
      </c>
      <c r="BL426" s="16">
        <f>IFERROR(__xludf.DUMMYFUNCTION("""COMPUTED_VALUE"""),5.0)</f>
        <v>5</v>
      </c>
      <c r="BM426" s="16">
        <f>IFERROR(__xludf.DUMMYFUNCTION("""COMPUTED_VALUE"""),0.0)</f>
        <v>0</v>
      </c>
      <c r="BN426" s="16">
        <f>IFERROR(__xludf.DUMMYFUNCTION("""COMPUTED_VALUE"""),0.0)</f>
        <v>0</v>
      </c>
      <c r="BO426" s="16">
        <f>IFERROR(__xludf.DUMMYFUNCTION("""COMPUTED_VALUE"""),0.0)</f>
        <v>0</v>
      </c>
      <c r="BP426" s="16">
        <f>IFERROR(__xludf.DUMMYFUNCTION("""COMPUTED_VALUE"""),0.0)</f>
        <v>0</v>
      </c>
      <c r="BQ426" s="16">
        <f>IFERROR(__xludf.DUMMYFUNCTION("""COMPUTED_VALUE"""),0.0)</f>
        <v>0</v>
      </c>
      <c r="BR426" s="16">
        <f>IFERROR(__xludf.DUMMYFUNCTION("""COMPUTED_VALUE"""),0.0)</f>
        <v>0</v>
      </c>
      <c r="BS426" s="16">
        <f>IFERROR(__xludf.DUMMYFUNCTION("""COMPUTED_VALUE"""),-3.0)</f>
        <v>-3</v>
      </c>
      <c r="BT426" s="16">
        <f>IFERROR(__xludf.DUMMYFUNCTION("""COMPUTED_VALUE"""),-3.0)</f>
        <v>-3</v>
      </c>
      <c r="BU426" s="16">
        <f>IFERROR(__xludf.DUMMYFUNCTION("""COMPUTED_VALUE"""),-6.0)</f>
        <v>-6</v>
      </c>
      <c r="BV426" s="16">
        <f>IFERROR(__xludf.DUMMYFUNCTION("""COMPUTED_VALUE"""),-6.0)</f>
        <v>-6</v>
      </c>
      <c r="BW426" s="16">
        <f>IFERROR(__xludf.DUMMYFUNCTION("""COMPUTED_VALUE"""),-3.0)</f>
        <v>-3</v>
      </c>
      <c r="BX426" s="16">
        <f>IFERROR(__xludf.DUMMYFUNCTION("""COMPUTED_VALUE"""),-3.0)</f>
        <v>-3</v>
      </c>
      <c r="BY426" s="16" t="str">
        <f>IFERROR(__xludf.DUMMYFUNCTION("""COMPUTED_VALUE"""),"S(5)")</f>
        <v>S(5)</v>
      </c>
      <c r="BZ426" s="16" t="str">
        <f>IFERROR(__xludf.DUMMYFUNCTION("""COMPUTED_VALUE"""),"S(5)")</f>
        <v>S(5)</v>
      </c>
      <c r="CA426" s="16" t="str">
        <f>IFERROR(__xludf.DUMMYFUNCTION("""COMPUTED_VALUE"""),"S(5)")</f>
        <v>S(5)</v>
      </c>
      <c r="CB426" s="16"/>
      <c r="CC426" s="16"/>
      <c r="CD426" s="16">
        <f>IFERROR(__xludf.DUMMYFUNCTION("""COMPUTED_VALUE"""),5.0)</f>
        <v>5</v>
      </c>
      <c r="CE426" s="16"/>
      <c r="CF426" s="16"/>
      <c r="CG426" s="16" t="str">
        <f>IFERROR(__xludf.DUMMYFUNCTION("""COMPUTED_VALUE"""),"3-36")</f>
        <v>3-36</v>
      </c>
      <c r="CH426" s="16">
        <f>IFERROR(__xludf.DUMMYFUNCTION("""COMPUTED_VALUE"""),3.0)</f>
        <v>3</v>
      </c>
      <c r="CI426" s="16">
        <f>IFERROR(__xludf.DUMMYFUNCTION("""COMPUTED_VALUE"""),36.0)</f>
        <v>36</v>
      </c>
      <c r="CJ426" s="16">
        <f>IFERROR(__xludf.DUMMYFUNCTION("""COMPUTED_VALUE"""),0.0)</f>
        <v>0</v>
      </c>
      <c r="CK426" s="16">
        <f>IFERROR(__xludf.DUMMYFUNCTION("""COMPUTED_VALUE"""),20.0)</f>
        <v>20</v>
      </c>
      <c r="CL426" s="16" t="str">
        <f>IFERROR(__xludf.DUMMYFUNCTION("""COMPUTED_VALUE"""),"1WR-C")</f>
        <v>1WR-C</v>
      </c>
      <c r="CM426" s="16" t="str">
        <f>IFERROR(__xludf.DUMMYFUNCTION("""COMPUTED_VALUE"""),"E")</f>
        <v>E</v>
      </c>
      <c r="CN426" s="16">
        <f>IFERROR(__xludf.DUMMYFUNCTION("""COMPUTED_VALUE"""),10.0)</f>
        <v>10</v>
      </c>
      <c r="CO426" s="16" t="str">
        <f>IFERROR(__xludf.DUMMYFUNCTION("""COMPUTED_VALUE"""),"C")</f>
        <v>C</v>
      </c>
      <c r="CP426" s="16" t="str">
        <f>IFERROR(__xludf.DUMMYFUNCTION("""COMPUTED_VALUE"""),"6p20")</f>
        <v>6p20</v>
      </c>
      <c r="CQ426" s="16">
        <f>IFERROR(__xludf.DUMMYFUNCTION("""COMPUTED_VALUE"""),2.0)</f>
        <v>2</v>
      </c>
      <c r="CR426" s="16">
        <f>IFERROR(__xludf.DUMMYFUNCTION("""COMPUTED_VALUE"""),-31.0)</f>
        <v>-31</v>
      </c>
      <c r="CS426" s="16">
        <f>IFERROR(__xludf.DUMMYFUNCTION("""COMPUTED_VALUE"""),-29.0)</f>
        <v>-29</v>
      </c>
      <c r="CT426" s="16">
        <f>IFERROR(__xludf.DUMMYFUNCTION("""COMPUTED_VALUE"""),2.0)</f>
        <v>2</v>
      </c>
      <c r="CU426" s="16">
        <f>IFERROR(__xludf.DUMMYFUNCTION("""COMPUTED_VALUE"""),-31.0)</f>
        <v>-31</v>
      </c>
      <c r="CV426" s="179">
        <f>IFERROR(__xludf.DUMMYFUNCTION("""COMPUTED_VALUE"""),-18.0)</f>
        <v>-18</v>
      </c>
      <c r="CW426" s="179">
        <f>IFERROR(__xludf.DUMMYFUNCTION("""COMPUTED_VALUE"""),-1.0)</f>
        <v>-1</v>
      </c>
      <c r="CX426" s="179">
        <f>IFERROR(__xludf.DUMMYFUNCTION("""COMPUTED_VALUE"""),3.0)</f>
        <v>3</v>
      </c>
      <c r="CY426" s="16" t="str">
        <f>IFERROR(__xludf.DUMMYFUNCTION("""COMPUTED_VALUE"""),"SP")</f>
        <v>SP</v>
      </c>
      <c r="CZ426" s="16"/>
      <c r="DA426" s="16"/>
      <c r="DB426" s="16"/>
      <c r="DC426" s="16"/>
      <c r="DD426" s="16"/>
      <c r="DE426" s="16"/>
      <c r="DF426" s="16"/>
      <c r="DG426" s="16"/>
      <c r="DH426" s="16"/>
      <c r="DI426" s="16"/>
      <c r="DJ426" s="16"/>
      <c r="DK426" s="16"/>
    </row>
    <row r="427">
      <c r="A427" s="16">
        <f>IFERROR(__xludf.DUMMYFUNCTION("""COMPUTED_VALUE"""),13391.0)</f>
        <v>13391</v>
      </c>
      <c r="B427" s="16" t="str">
        <f>IFERROR(__xludf.DUMMYFUNCTION("""COMPUTED_VALUE"""),"Steven Matz")</f>
        <v>Steven Matz</v>
      </c>
      <c r="C427" s="153">
        <f>IFERROR(__xludf.DUMMYFUNCTION("""COMPUTED_VALUE"""),0.0)</f>
        <v>0</v>
      </c>
      <c r="D427" s="16"/>
      <c r="E427" s="16" t="str">
        <f>IFERROR(__xludf.DUMMYFUNCTION("""COMPUTED_VALUE"""),"L")</f>
        <v>L</v>
      </c>
      <c r="F427" s="16">
        <f>IFERROR(__xludf.DUMMYFUNCTION("""COMPUTED_VALUE"""),44.0)</f>
        <v>44</v>
      </c>
      <c r="G427" s="16">
        <f>IFERROR(__xludf.DUMMYFUNCTION("""COMPUTED_VALUE"""),2.0)</f>
        <v>2</v>
      </c>
      <c r="H427" s="16">
        <f>IFERROR(__xludf.DUMMYFUNCTION("""COMPUTED_VALUE"""),17.0)</f>
        <v>17</v>
      </c>
      <c r="I427" s="16">
        <f>IFERROR(__xludf.DUMMYFUNCTION("""COMPUTED_VALUE"""),-3.0)</f>
        <v>-3</v>
      </c>
      <c r="J427" s="16">
        <f>IFERROR(__xludf.DUMMYFUNCTION("""COMPUTED_VALUE"""),-1.0)</f>
        <v>-1</v>
      </c>
      <c r="K427" s="16">
        <f>IFERROR(__xludf.DUMMYFUNCTION("""COMPUTED_VALUE"""),-9.0)</f>
        <v>-9</v>
      </c>
      <c r="L427" s="16">
        <f>IFERROR(__xludf.DUMMYFUNCTION("""COMPUTED_VALUE"""),-3.0)</f>
        <v>-3</v>
      </c>
      <c r="M427" s="16">
        <f>IFERROR(__xludf.DUMMYFUNCTION("""COMPUTED_VALUE"""),2.0)</f>
        <v>2</v>
      </c>
      <c r="N427" s="16">
        <f>IFERROR(__xludf.DUMMYFUNCTION("""COMPUTED_VALUE"""),10.0)</f>
        <v>10</v>
      </c>
      <c r="O427" s="16">
        <f>IFERROR(__xludf.DUMMYFUNCTION("""COMPUTED_VALUE"""),2.0)</f>
        <v>2</v>
      </c>
      <c r="P427" s="16">
        <f>IFERROR(__xludf.DUMMYFUNCTION("""COMPUTED_VALUE"""),-1.0)</f>
        <v>-1</v>
      </c>
      <c r="Q427" s="16">
        <f>IFERROR(__xludf.DUMMYFUNCTION("""COMPUTED_VALUE"""),2.0)</f>
        <v>2</v>
      </c>
      <c r="R427" s="16">
        <f>IFERROR(__xludf.DUMMYFUNCTION("""COMPUTED_VALUE"""),-1.0)</f>
        <v>-1</v>
      </c>
      <c r="S427" s="16">
        <f>IFERROR(__xludf.DUMMYFUNCTION("""COMPUTED_VALUE"""),16.8)</f>
        <v>16.8</v>
      </c>
      <c r="T427" s="16">
        <f>IFERROR(__xludf.DUMMYFUNCTION("""COMPUTED_VALUE"""),26.0)</f>
        <v>26</v>
      </c>
      <c r="U427" s="16">
        <f>IFERROR(__xludf.DUMMYFUNCTION("""COMPUTED_VALUE"""),0.0)</f>
        <v>0</v>
      </c>
      <c r="V427" s="16">
        <f>IFERROR(__xludf.DUMMYFUNCTION("""COMPUTED_VALUE"""),-2.0)</f>
        <v>-2</v>
      </c>
      <c r="W427" s="16">
        <f>IFERROR(__xludf.DUMMYFUNCTION("""COMPUTED_VALUE"""),0.0)</f>
        <v>0</v>
      </c>
      <c r="X427" s="16">
        <f>IFERROR(__xludf.DUMMYFUNCTION("""COMPUTED_VALUE"""),-4.0)</f>
        <v>-4</v>
      </c>
      <c r="Y427" s="16">
        <f>IFERROR(__xludf.DUMMYFUNCTION("""COMPUTED_VALUE"""),18.8)</f>
        <v>18.8</v>
      </c>
      <c r="Z427" s="16">
        <f>IFERROR(__xludf.DUMMYFUNCTION("""COMPUTED_VALUE"""),36.0)</f>
        <v>36</v>
      </c>
      <c r="AA427" s="16">
        <f>IFERROR(__xludf.DUMMYFUNCTION("""COMPUTED_VALUE"""),1.0)</f>
        <v>1</v>
      </c>
      <c r="AB427" s="16">
        <f>IFERROR(__xludf.DUMMYFUNCTION("""COMPUTED_VALUE"""),-2.0)</f>
        <v>-2</v>
      </c>
      <c r="AC427" s="16">
        <f>IFERROR(__xludf.DUMMYFUNCTION("""COMPUTED_VALUE"""),5.0)</f>
        <v>5</v>
      </c>
      <c r="AD427" s="16">
        <f>IFERROR(__xludf.DUMMYFUNCTION("""COMPUTED_VALUE"""),-10.0)</f>
        <v>-10</v>
      </c>
      <c r="AE427" s="16">
        <f>IFERROR(__xludf.DUMMYFUNCTION("""COMPUTED_VALUE"""),31.5)</f>
        <v>31.5</v>
      </c>
      <c r="AF427" s="16">
        <f>IFERROR(__xludf.DUMMYFUNCTION("""COMPUTED_VALUE"""),42.3)</f>
        <v>42.3</v>
      </c>
      <c r="AG427" s="16">
        <f>IFERROR(__xludf.DUMMYFUNCTION("""COMPUTED_VALUE"""),0.0)</f>
        <v>0</v>
      </c>
      <c r="AH427" s="16">
        <f>IFERROR(__xludf.DUMMYFUNCTION("""COMPUTED_VALUE"""),-2.0)</f>
        <v>-2</v>
      </c>
      <c r="AI427" s="16">
        <f>IFERROR(__xludf.DUMMYFUNCTION("""COMPUTED_VALUE"""),0.0)</f>
        <v>0</v>
      </c>
      <c r="AJ427" s="16">
        <f>IFERROR(__xludf.DUMMYFUNCTION("""COMPUTED_VALUE"""),-4.0)</f>
        <v>-4</v>
      </c>
      <c r="AK427" s="16">
        <f>IFERROR(__xludf.DUMMYFUNCTION("""COMPUTED_VALUE"""),16.8)</f>
        <v>16.8</v>
      </c>
      <c r="AL427" s="16">
        <f>IFERROR(__xludf.DUMMYFUNCTION("""COMPUTED_VALUE"""),21.9)</f>
        <v>21.9</v>
      </c>
      <c r="AM427" s="16">
        <f>IFERROR(__xludf.DUMMYFUNCTION("""COMPUTED_VALUE"""),-1.0)</f>
        <v>-1</v>
      </c>
      <c r="AN427" s="16">
        <f>IFERROR(__xludf.DUMMYFUNCTION("""COMPUTED_VALUE"""),-2.0)</f>
        <v>-2</v>
      </c>
      <c r="AO427" s="16">
        <f>IFERROR(__xludf.DUMMYFUNCTION("""COMPUTED_VALUE"""),-1.0)</f>
        <v>-1</v>
      </c>
      <c r="AP427" s="16">
        <f>IFERROR(__xludf.DUMMYFUNCTION("""COMPUTED_VALUE"""),-2.0)</f>
        <v>-2</v>
      </c>
      <c r="AQ427" s="16">
        <f>IFERROR(__xludf.DUMMYFUNCTION("""COMPUTED_VALUE"""),31.5)</f>
        <v>31.5</v>
      </c>
      <c r="AR427" s="16">
        <f>IFERROR(__xludf.DUMMYFUNCTION("""COMPUTED_VALUE"""),25.9)</f>
        <v>25.9</v>
      </c>
      <c r="AS427" s="16">
        <f>IFERROR(__xludf.DUMMYFUNCTION("""COMPUTED_VALUE"""),-2.0)</f>
        <v>-2</v>
      </c>
      <c r="AT427" s="16">
        <f>IFERROR(__xludf.DUMMYFUNCTION("""COMPUTED_VALUE"""),-1.0)</f>
        <v>-1</v>
      </c>
      <c r="AU427" s="16">
        <f>IFERROR(__xludf.DUMMYFUNCTION("""COMPUTED_VALUE"""),-4.0)</f>
        <v>-4</v>
      </c>
      <c r="AV427" s="16">
        <f>IFERROR(__xludf.DUMMYFUNCTION("""COMPUTED_VALUE"""),-2.0)</f>
        <v>-2</v>
      </c>
      <c r="AW427" s="16">
        <f>IFERROR(__xludf.DUMMYFUNCTION("""COMPUTED_VALUE"""),0.0)</f>
        <v>0</v>
      </c>
      <c r="AX427" s="16">
        <f>IFERROR(__xludf.DUMMYFUNCTION("""COMPUTED_VALUE"""),4.1)</f>
        <v>4.1</v>
      </c>
      <c r="AY427" s="16">
        <f>IFERROR(__xludf.DUMMYFUNCTION("""COMPUTED_VALUE"""),2.0)</f>
        <v>2</v>
      </c>
      <c r="AZ427" s="16">
        <f>IFERROR(__xludf.DUMMYFUNCTION("""COMPUTED_VALUE"""),-2.0)</f>
        <v>-2</v>
      </c>
      <c r="BA427" s="16">
        <f>IFERROR(__xludf.DUMMYFUNCTION("""COMPUTED_VALUE"""),10.0)</f>
        <v>10</v>
      </c>
      <c r="BB427" s="16">
        <f>IFERROR(__xludf.DUMMYFUNCTION("""COMPUTED_VALUE"""),-10.0)</f>
        <v>-10</v>
      </c>
      <c r="BC427" s="16">
        <f>IFERROR(__xludf.DUMMYFUNCTION("""COMPUTED_VALUE"""),0.0)</f>
        <v>0</v>
      </c>
      <c r="BD427" s="16">
        <f>IFERROR(__xludf.DUMMYFUNCTION("""COMPUTED_VALUE"""),8.0)</f>
        <v>8</v>
      </c>
      <c r="BE427" s="16">
        <f>IFERROR(__xludf.DUMMYFUNCTION("""COMPUTED_VALUE"""),0.0)</f>
        <v>0</v>
      </c>
      <c r="BF427" s="16">
        <f>IFERROR(__xludf.DUMMYFUNCTION("""COMPUTED_VALUE"""),8.0)</f>
        <v>8</v>
      </c>
      <c r="BG427" s="16">
        <f>IFERROR(__xludf.DUMMYFUNCTION("""COMPUTED_VALUE"""),3.0)</f>
        <v>3</v>
      </c>
      <c r="BH427" s="16">
        <f>IFERROR(__xludf.DUMMYFUNCTION("""COMPUTED_VALUE"""),-3.0)</f>
        <v>-3</v>
      </c>
      <c r="BI427" s="16">
        <f>IFERROR(__xludf.DUMMYFUNCTION("""COMPUTED_VALUE"""),6.0)</f>
        <v>6</v>
      </c>
      <c r="BJ427" s="16">
        <f>IFERROR(__xludf.DUMMYFUNCTION("""COMPUTED_VALUE"""),-6.0)</f>
        <v>-6</v>
      </c>
      <c r="BK427" s="16">
        <f>IFERROR(__xludf.DUMMYFUNCTION("""COMPUTED_VALUE"""),5.0)</f>
        <v>5</v>
      </c>
      <c r="BL427" s="16">
        <f>IFERROR(__xludf.DUMMYFUNCTION("""COMPUTED_VALUE"""),5.0)</f>
        <v>5</v>
      </c>
      <c r="BM427" s="16">
        <f>IFERROR(__xludf.DUMMYFUNCTION("""COMPUTED_VALUE"""),0.0)</f>
        <v>0</v>
      </c>
      <c r="BN427" s="16">
        <f>IFERROR(__xludf.DUMMYFUNCTION("""COMPUTED_VALUE"""),0.0)</f>
        <v>0</v>
      </c>
      <c r="BO427" s="16">
        <f>IFERROR(__xludf.DUMMYFUNCTION("""COMPUTED_VALUE"""),0.0)</f>
        <v>0</v>
      </c>
      <c r="BP427" s="16">
        <f>IFERROR(__xludf.DUMMYFUNCTION("""COMPUTED_VALUE"""),0.0)</f>
        <v>0</v>
      </c>
      <c r="BQ427" s="16">
        <f>IFERROR(__xludf.DUMMYFUNCTION("""COMPUTED_VALUE"""),12.0)</f>
        <v>12</v>
      </c>
      <c r="BR427" s="16">
        <f>IFERROR(__xludf.DUMMYFUNCTION("""COMPUTED_VALUE"""),11.0)</f>
        <v>11</v>
      </c>
      <c r="BS427" s="16">
        <f>IFERROR(__xludf.DUMMYFUNCTION("""COMPUTED_VALUE"""),3.0)</f>
        <v>3</v>
      </c>
      <c r="BT427" s="16">
        <f>IFERROR(__xludf.DUMMYFUNCTION("""COMPUTED_VALUE"""),3.0)</f>
        <v>3</v>
      </c>
      <c r="BU427" s="16">
        <f>IFERROR(__xludf.DUMMYFUNCTION("""COMPUTED_VALUE"""),6.0)</f>
        <v>6</v>
      </c>
      <c r="BV427" s="16">
        <f>IFERROR(__xludf.DUMMYFUNCTION("""COMPUTED_VALUE"""),6.0)</f>
        <v>6</v>
      </c>
      <c r="BW427" s="16">
        <f>IFERROR(__xludf.DUMMYFUNCTION("""COMPUTED_VALUE"""),-2.0)</f>
        <v>-2</v>
      </c>
      <c r="BX427" s="16">
        <f>IFERROR(__xludf.DUMMYFUNCTION("""COMPUTED_VALUE"""),-2.0)</f>
        <v>-2</v>
      </c>
      <c r="BY427" s="16" t="str">
        <f>IFERROR(__xludf.DUMMYFUNCTION("""COMPUTED_VALUE"""),"S(5) R(3)")</f>
        <v>S(5) R(3)</v>
      </c>
      <c r="BZ427" s="16" t="str">
        <f>IFERROR(__xludf.DUMMYFUNCTION("""COMPUTED_VALUE"""),"S(5) R(3)")</f>
        <v>S(5) R(3)</v>
      </c>
      <c r="CA427" s="16" t="str">
        <f>IFERROR(__xludf.DUMMYFUNCTION("""COMPUTED_VALUE"""),"S(5)")</f>
        <v>S(5)</v>
      </c>
      <c r="CB427" s="16" t="str">
        <f>IFERROR(__xludf.DUMMYFUNCTION("""COMPUTED_VALUE"""),"R(3)")</f>
        <v>R(3)</v>
      </c>
      <c r="CC427" s="16"/>
      <c r="CD427" s="16">
        <f>IFERROR(__xludf.DUMMYFUNCTION("""COMPUTED_VALUE"""),5.0)</f>
        <v>5</v>
      </c>
      <c r="CE427" s="16">
        <f>IFERROR(__xludf.DUMMYFUNCTION("""COMPUTED_VALUE"""),3.0)</f>
        <v>3</v>
      </c>
      <c r="CF427" s="16"/>
      <c r="CG427" s="16" t="str">
        <f>IFERROR(__xludf.DUMMYFUNCTION("""COMPUTED_VALUE"""),"2-33")</f>
        <v>2-33</v>
      </c>
      <c r="CH427" s="16">
        <f>IFERROR(__xludf.DUMMYFUNCTION("""COMPUTED_VALUE"""),2.0)</f>
        <v>2</v>
      </c>
      <c r="CI427" s="16">
        <f>IFERROR(__xludf.DUMMYFUNCTION("""COMPUTED_VALUE"""),33.0)</f>
        <v>33</v>
      </c>
      <c r="CJ427" s="16">
        <f>IFERROR(__xludf.DUMMYFUNCTION("""COMPUTED_VALUE"""),0.0)</f>
        <v>0</v>
      </c>
      <c r="CK427" s="16">
        <f>IFERROR(__xludf.DUMMYFUNCTION("""COMPUTED_VALUE"""),4.0)</f>
        <v>4</v>
      </c>
      <c r="CL427" s="16" t="str">
        <f>IFERROR(__xludf.DUMMYFUNCTION("""COMPUTED_VALUE"""),"1WR-C")</f>
        <v>1WR-C</v>
      </c>
      <c r="CM427" s="16" t="str">
        <f>IFERROR(__xludf.DUMMYFUNCTION("""COMPUTED_VALUE"""),"E")</f>
        <v>E</v>
      </c>
      <c r="CN427" s="16">
        <f>IFERROR(__xludf.DUMMYFUNCTION("""COMPUTED_VALUE"""),10.0)</f>
        <v>10</v>
      </c>
      <c r="CO427" s="16" t="str">
        <f>IFERROR(__xludf.DUMMYFUNCTION("""COMPUTED_VALUE"""),"C")</f>
        <v>C</v>
      </c>
      <c r="CP427" s="16" t="str">
        <f>IFERROR(__xludf.DUMMYFUNCTION("""COMPUTED_VALUE"""),"6p30")</f>
        <v>6p30</v>
      </c>
      <c r="CQ427" s="16">
        <f>IFERROR(__xludf.DUMMYFUNCTION("""COMPUTED_VALUE"""),15.0)</f>
        <v>15</v>
      </c>
      <c r="CR427" s="16">
        <f>IFERROR(__xludf.DUMMYFUNCTION("""COMPUTED_VALUE"""),-36.0)</f>
        <v>-36</v>
      </c>
      <c r="CS427" s="16">
        <f>IFERROR(__xludf.DUMMYFUNCTION("""COMPUTED_VALUE"""),-21.0)</f>
        <v>-21</v>
      </c>
      <c r="CT427" s="16">
        <f>IFERROR(__xludf.DUMMYFUNCTION("""COMPUTED_VALUE"""),15.0)</f>
        <v>15</v>
      </c>
      <c r="CU427" s="16">
        <f>IFERROR(__xludf.DUMMYFUNCTION("""COMPUTED_VALUE"""),-36.0)</f>
        <v>-36</v>
      </c>
      <c r="CV427" s="179">
        <f>IFERROR(__xludf.DUMMYFUNCTION("""COMPUTED_VALUE"""),-18.0)</f>
        <v>-18</v>
      </c>
      <c r="CW427" s="179">
        <f>IFERROR(__xludf.DUMMYFUNCTION("""COMPUTED_VALUE"""),-1.0)</f>
        <v>-1</v>
      </c>
      <c r="CX427" s="179">
        <f>IFERROR(__xludf.DUMMYFUNCTION("""COMPUTED_VALUE"""),2.0)</f>
        <v>2</v>
      </c>
      <c r="CY427" s="16" t="str">
        <f>IFERROR(__xludf.DUMMYFUNCTION("""COMPUTED_VALUE"""),"SP")</f>
        <v>SP</v>
      </c>
      <c r="CZ427" s="16" t="str">
        <f>IFERROR(__xludf.DUMMYFUNCTION("""COMPUTED_VALUE"""),"RP")</f>
        <v>RP</v>
      </c>
      <c r="DA427" s="16"/>
      <c r="DB427" s="16"/>
      <c r="DC427" s="16"/>
      <c r="DD427" s="16"/>
      <c r="DE427" s="16"/>
      <c r="DF427" s="16"/>
      <c r="DG427" s="16"/>
      <c r="DH427" s="16"/>
      <c r="DI427" s="16"/>
      <c r="DJ427" s="16"/>
      <c r="DK427" s="16"/>
    </row>
    <row r="428">
      <c r="A428" s="16">
        <f>IFERROR(__xludf.DUMMYFUNCTION("""COMPUTED_VALUE"""),13393.0)</f>
        <v>13393</v>
      </c>
      <c r="B428" s="16" t="str">
        <f>IFERROR(__xludf.DUMMYFUNCTION("""COMPUTED_VALUE"""),"Steven Wilson")</f>
        <v>Steven Wilson</v>
      </c>
      <c r="C428" s="153">
        <f>IFERROR(__xludf.DUMMYFUNCTION("""COMPUTED_VALUE"""),0.0)</f>
        <v>0</v>
      </c>
      <c r="D428" s="16"/>
      <c r="E428" s="16" t="str">
        <f>IFERROR(__xludf.DUMMYFUNCTION("""COMPUTED_VALUE"""),"R")</f>
        <v>R</v>
      </c>
      <c r="F428" s="16">
        <f>IFERROR(__xludf.DUMMYFUNCTION("""COMPUTED_VALUE"""),35.0)</f>
        <v>35</v>
      </c>
      <c r="G428" s="16">
        <f>IFERROR(__xludf.DUMMYFUNCTION("""COMPUTED_VALUE"""),22.0)</f>
        <v>22</v>
      </c>
      <c r="H428" s="16">
        <f>IFERROR(__xludf.DUMMYFUNCTION("""COMPUTED_VALUE"""),27.0)</f>
        <v>27</v>
      </c>
      <c r="I428" s="16">
        <f>IFERROR(__xludf.DUMMYFUNCTION("""COMPUTED_VALUE"""),-1.0)</f>
        <v>-1</v>
      </c>
      <c r="J428" s="16">
        <f>IFERROR(__xludf.DUMMYFUNCTION("""COMPUTED_VALUE"""),0.0)</f>
        <v>0</v>
      </c>
      <c r="K428" s="16">
        <f>IFERROR(__xludf.DUMMYFUNCTION("""COMPUTED_VALUE"""),-3.0)</f>
        <v>-3</v>
      </c>
      <c r="L428" s="16">
        <f>IFERROR(__xludf.DUMMYFUNCTION("""COMPUTED_VALUE"""),0.0)</f>
        <v>0</v>
      </c>
      <c r="M428" s="16">
        <f>IFERROR(__xludf.DUMMYFUNCTION("""COMPUTED_VALUE"""),30.0)</f>
        <v>30</v>
      </c>
      <c r="N428" s="16">
        <f>IFERROR(__xludf.DUMMYFUNCTION("""COMPUTED_VALUE"""),13.0)</f>
        <v>13</v>
      </c>
      <c r="O428" s="16">
        <f>IFERROR(__xludf.DUMMYFUNCTION("""COMPUTED_VALUE"""),-3.0)</f>
        <v>-3</v>
      </c>
      <c r="P428" s="16">
        <f>IFERROR(__xludf.DUMMYFUNCTION("""COMPUTED_VALUE"""),-2.0)</f>
        <v>-2</v>
      </c>
      <c r="Q428" s="16">
        <f>IFERROR(__xludf.DUMMYFUNCTION("""COMPUTED_VALUE"""),-3.0)</f>
        <v>-3</v>
      </c>
      <c r="R428" s="16">
        <f>IFERROR(__xludf.DUMMYFUNCTION("""COMPUTED_VALUE"""),-2.0)</f>
        <v>-2</v>
      </c>
      <c r="S428" s="16">
        <f>IFERROR(__xludf.DUMMYFUNCTION("""COMPUTED_VALUE"""),5.5)</f>
        <v>5.5</v>
      </c>
      <c r="T428" s="16">
        <f>IFERROR(__xludf.DUMMYFUNCTION("""COMPUTED_VALUE"""),10.6)</f>
        <v>10.6</v>
      </c>
      <c r="U428" s="16">
        <f>IFERROR(__xludf.DUMMYFUNCTION("""COMPUTED_VALUE"""),2.0)</f>
        <v>2</v>
      </c>
      <c r="V428" s="16">
        <f>IFERROR(__xludf.DUMMYFUNCTION("""COMPUTED_VALUE"""),1.0)</f>
        <v>1</v>
      </c>
      <c r="W428" s="16">
        <f>IFERROR(__xludf.DUMMYFUNCTION("""COMPUTED_VALUE"""),4.0)</f>
        <v>4</v>
      </c>
      <c r="X428" s="16">
        <f>IFERROR(__xludf.DUMMYFUNCTION("""COMPUTED_VALUE"""),2.0)</f>
        <v>2</v>
      </c>
      <c r="Y428" s="16">
        <f>IFERROR(__xludf.DUMMYFUNCTION("""COMPUTED_VALUE"""),35.5)</f>
        <v>35.5</v>
      </c>
      <c r="Z428" s="16">
        <f>IFERROR(__xludf.DUMMYFUNCTION("""COMPUTED_VALUE"""),23.6)</f>
        <v>23.6</v>
      </c>
      <c r="AA428" s="16">
        <f>IFERROR(__xludf.DUMMYFUNCTION("""COMPUTED_VALUE"""),-1.0)</f>
        <v>-1</v>
      </c>
      <c r="AB428" s="16">
        <f>IFERROR(__xludf.DUMMYFUNCTION("""COMPUTED_VALUE"""),0.0)</f>
        <v>0</v>
      </c>
      <c r="AC428" s="16">
        <f>IFERROR(__xludf.DUMMYFUNCTION("""COMPUTED_VALUE"""),-5.0)</f>
        <v>-5</v>
      </c>
      <c r="AD428" s="16">
        <f>IFERROR(__xludf.DUMMYFUNCTION("""COMPUTED_VALUE"""),0.0)</f>
        <v>0</v>
      </c>
      <c r="AE428" s="16">
        <f>IFERROR(__xludf.DUMMYFUNCTION("""COMPUTED_VALUE"""),22.0)</f>
        <v>22</v>
      </c>
      <c r="AF428" s="16">
        <f>IFERROR(__xludf.DUMMYFUNCTION("""COMPUTED_VALUE"""),29.3)</f>
        <v>29.3</v>
      </c>
      <c r="AG428" s="16">
        <f>IFERROR(__xludf.DUMMYFUNCTION("""COMPUTED_VALUE"""),1.0)</f>
        <v>1</v>
      </c>
      <c r="AH428" s="16">
        <f>IFERROR(__xludf.DUMMYFUNCTION("""COMPUTED_VALUE"""),0.0)</f>
        <v>0</v>
      </c>
      <c r="AI428" s="16">
        <f>IFERROR(__xludf.DUMMYFUNCTION("""COMPUTED_VALUE"""),2.0)</f>
        <v>2</v>
      </c>
      <c r="AJ428" s="16">
        <f>IFERROR(__xludf.DUMMYFUNCTION("""COMPUTED_VALUE"""),0.0)</f>
        <v>0</v>
      </c>
      <c r="AK428" s="16">
        <f>IFERROR(__xludf.DUMMYFUNCTION("""COMPUTED_VALUE"""),0.0)</f>
        <v>0</v>
      </c>
      <c r="AL428" s="16">
        <f>IFERROR(__xludf.DUMMYFUNCTION("""COMPUTED_VALUE"""),6.5)</f>
        <v>6.5</v>
      </c>
      <c r="AM428" s="16">
        <f>IFERROR(__xludf.DUMMYFUNCTION("""COMPUTED_VALUE"""),3.0)</f>
        <v>3</v>
      </c>
      <c r="AN428" s="16">
        <f>IFERROR(__xludf.DUMMYFUNCTION("""COMPUTED_VALUE"""),1.0)</f>
        <v>1</v>
      </c>
      <c r="AO428" s="16">
        <f>IFERROR(__xludf.DUMMYFUNCTION("""COMPUTED_VALUE"""),3.0)</f>
        <v>3</v>
      </c>
      <c r="AP428" s="16">
        <f>IFERROR(__xludf.DUMMYFUNCTION("""COMPUTED_VALUE"""),1.0)</f>
        <v>1</v>
      </c>
      <c r="AQ428" s="16">
        <f>IFERROR(__xludf.DUMMYFUNCTION("""COMPUTED_VALUE"""),0.0)</f>
        <v>0</v>
      </c>
      <c r="AR428" s="16">
        <f>IFERROR(__xludf.DUMMYFUNCTION("""COMPUTED_VALUE"""),12.900000000000002)</f>
        <v>12.9</v>
      </c>
      <c r="AS428" s="16">
        <f>IFERROR(__xludf.DUMMYFUNCTION("""COMPUTED_VALUE"""),3.0)</f>
        <v>3</v>
      </c>
      <c r="AT428" s="16">
        <f>IFERROR(__xludf.DUMMYFUNCTION("""COMPUTED_VALUE"""),1.0)</f>
        <v>1</v>
      </c>
      <c r="AU428" s="16">
        <f>IFERROR(__xludf.DUMMYFUNCTION("""COMPUTED_VALUE"""),6.0)</f>
        <v>6</v>
      </c>
      <c r="AV428" s="16">
        <f>IFERROR(__xludf.DUMMYFUNCTION("""COMPUTED_VALUE"""),2.0)</f>
        <v>2</v>
      </c>
      <c r="AW428" s="16">
        <f>IFERROR(__xludf.DUMMYFUNCTION("""COMPUTED_VALUE"""),5.5)</f>
        <v>5.5</v>
      </c>
      <c r="AX428" s="16">
        <f>IFERROR(__xludf.DUMMYFUNCTION("""COMPUTED_VALUE"""),4.1)</f>
        <v>4.1</v>
      </c>
      <c r="AY428" s="16">
        <f>IFERROR(__xludf.DUMMYFUNCTION("""COMPUTED_VALUE"""),-3.0)</f>
        <v>-3</v>
      </c>
      <c r="AZ428" s="16">
        <f>IFERROR(__xludf.DUMMYFUNCTION("""COMPUTED_VALUE"""),-2.0)</f>
        <v>-2</v>
      </c>
      <c r="BA428" s="16">
        <f>IFERROR(__xludf.DUMMYFUNCTION("""COMPUTED_VALUE"""),-15.0)</f>
        <v>-15</v>
      </c>
      <c r="BB428" s="16">
        <f>IFERROR(__xludf.DUMMYFUNCTION("""COMPUTED_VALUE"""),-10.0)</f>
        <v>-10</v>
      </c>
      <c r="BC428" s="16"/>
      <c r="BD428" s="16"/>
      <c r="BE428" s="16">
        <f>IFERROR(__xludf.DUMMYFUNCTION("""COMPUTED_VALUE"""),8.0)</f>
        <v>8</v>
      </c>
      <c r="BF428" s="16">
        <f>IFERROR(__xludf.DUMMYFUNCTION("""COMPUTED_VALUE"""),7.0)</f>
        <v>7</v>
      </c>
      <c r="BG428" s="16">
        <f>IFERROR(__xludf.DUMMYFUNCTION("""COMPUTED_VALUE"""),-3.0)</f>
        <v>-3</v>
      </c>
      <c r="BH428" s="16">
        <f>IFERROR(__xludf.DUMMYFUNCTION("""COMPUTED_VALUE"""),-3.0)</f>
        <v>-3</v>
      </c>
      <c r="BI428" s="16">
        <f>IFERROR(__xludf.DUMMYFUNCTION("""COMPUTED_VALUE"""),-6.0)</f>
        <v>-6</v>
      </c>
      <c r="BJ428" s="16">
        <f>IFERROR(__xludf.DUMMYFUNCTION("""COMPUTED_VALUE"""),-6.0)</f>
        <v>-6</v>
      </c>
      <c r="BK428" s="16">
        <f>IFERROR(__xludf.DUMMYFUNCTION("""COMPUTED_VALUE"""),0.0)</f>
        <v>0</v>
      </c>
      <c r="BL428" s="16">
        <f>IFERROR(__xludf.DUMMYFUNCTION("""COMPUTED_VALUE"""),0.0)</f>
        <v>0</v>
      </c>
      <c r="BM428" s="16">
        <f>IFERROR(__xludf.DUMMYFUNCTION("""COMPUTED_VALUE"""),1.0)</f>
        <v>1</v>
      </c>
      <c r="BN428" s="16">
        <f>IFERROR(__xludf.DUMMYFUNCTION("""COMPUTED_VALUE"""),1.0)</f>
        <v>1</v>
      </c>
      <c r="BO428" s="16">
        <f>IFERROR(__xludf.DUMMYFUNCTION("""COMPUTED_VALUE"""),1.0)</f>
        <v>1</v>
      </c>
      <c r="BP428" s="16">
        <f>IFERROR(__xludf.DUMMYFUNCTION("""COMPUTED_VALUE"""),1.0)</f>
        <v>1</v>
      </c>
      <c r="BQ428" s="16">
        <f>IFERROR(__xludf.DUMMYFUNCTION("""COMPUTED_VALUE"""),0.0)</f>
        <v>0</v>
      </c>
      <c r="BR428" s="16">
        <f>IFERROR(__xludf.DUMMYFUNCTION("""COMPUTED_VALUE"""),0.0)</f>
        <v>0</v>
      </c>
      <c r="BS428" s="16">
        <f>IFERROR(__xludf.DUMMYFUNCTION("""COMPUTED_VALUE"""),-3.0)</f>
        <v>-3</v>
      </c>
      <c r="BT428" s="16">
        <f>IFERROR(__xludf.DUMMYFUNCTION("""COMPUTED_VALUE"""),-3.0)</f>
        <v>-3</v>
      </c>
      <c r="BU428" s="16">
        <f>IFERROR(__xludf.DUMMYFUNCTION("""COMPUTED_VALUE"""),-6.0)</f>
        <v>-6</v>
      </c>
      <c r="BV428" s="16">
        <f>IFERROR(__xludf.DUMMYFUNCTION("""COMPUTED_VALUE"""),-6.0)</f>
        <v>-6</v>
      </c>
      <c r="BW428" s="16">
        <f>IFERROR(__xludf.DUMMYFUNCTION("""COMPUTED_VALUE"""),0.0)</f>
        <v>0</v>
      </c>
      <c r="BX428" s="16">
        <f>IFERROR(__xludf.DUMMYFUNCTION("""COMPUTED_VALUE"""),0.0)</f>
        <v>0</v>
      </c>
      <c r="BY428" s="16" t="str">
        <f>IFERROR(__xludf.DUMMYFUNCTION("""COMPUTED_VALUE"""),"R(1)")</f>
        <v>R(1)</v>
      </c>
      <c r="BZ428" s="16" t="str">
        <f>IFERROR(__xludf.DUMMYFUNCTION("""COMPUTED_VALUE"""),"R(1)")</f>
        <v>R(1)</v>
      </c>
      <c r="CA428" s="16" t="str">
        <f>IFERROR(__xludf.DUMMYFUNCTION("""COMPUTED_VALUE"""),"R(1)")</f>
        <v>R(1)</v>
      </c>
      <c r="CB428" s="16"/>
      <c r="CC428" s="16"/>
      <c r="CD428" s="16"/>
      <c r="CE428" s="16">
        <f>IFERROR(__xludf.DUMMYFUNCTION("""COMPUTED_VALUE"""),1.0)</f>
        <v>1</v>
      </c>
      <c r="CF428" s="16"/>
      <c r="CG428" s="16" t="str">
        <f>IFERROR(__xludf.DUMMYFUNCTION("""COMPUTED_VALUE"""),"3-0")</f>
        <v>3-0</v>
      </c>
      <c r="CH428" s="16">
        <f>IFERROR(__xludf.DUMMYFUNCTION("""COMPUTED_VALUE"""),3.0)</f>
        <v>3</v>
      </c>
      <c r="CI428" s="16">
        <f>IFERROR(__xludf.DUMMYFUNCTION("""COMPUTED_VALUE"""),0.0)</f>
        <v>0</v>
      </c>
      <c r="CJ428" s="16">
        <f>IFERROR(__xludf.DUMMYFUNCTION("""COMPUTED_VALUE"""),9.0)</f>
        <v>9</v>
      </c>
      <c r="CK428" s="16">
        <f>IFERROR(__xludf.DUMMYFUNCTION("""COMPUTED_VALUE"""),5.0)</f>
        <v>5</v>
      </c>
      <c r="CL428" s="16" t="str">
        <f>IFERROR(__xludf.DUMMYFUNCTION("""COMPUTED_VALUE"""),"1WR-C")</f>
        <v>1WR-C</v>
      </c>
      <c r="CM428" s="16" t="str">
        <f>IFERROR(__xludf.DUMMYFUNCTION("""COMPUTED_VALUE"""),"E")</f>
        <v>E</v>
      </c>
      <c r="CN428" s="16">
        <f>IFERROR(__xludf.DUMMYFUNCTION("""COMPUTED_VALUE"""),10.0)</f>
        <v>10</v>
      </c>
      <c r="CO428" s="16" t="str">
        <f>IFERROR(__xludf.DUMMYFUNCTION("""COMPUTED_VALUE"""),"C")</f>
        <v>C</v>
      </c>
      <c r="CP428" s="16" t="str">
        <f>IFERROR(__xludf.DUMMYFUNCTION("""COMPUTED_VALUE"""),"5p30")</f>
        <v>5p30</v>
      </c>
      <c r="CQ428" s="16">
        <f>IFERROR(__xludf.DUMMYFUNCTION("""COMPUTED_VALUE"""),-22.0)</f>
        <v>-22</v>
      </c>
      <c r="CR428" s="16">
        <f>IFERROR(__xludf.DUMMYFUNCTION("""COMPUTED_VALUE"""),-18.0)</f>
        <v>-18</v>
      </c>
      <c r="CS428" s="16">
        <f>IFERROR(__xludf.DUMMYFUNCTION("""COMPUTED_VALUE"""),-40.0)</f>
        <v>-40</v>
      </c>
      <c r="CT428" s="16">
        <f>IFERROR(__xludf.DUMMYFUNCTION("""COMPUTED_VALUE"""),-22.0)</f>
        <v>-22</v>
      </c>
      <c r="CU428" s="16">
        <f>IFERROR(__xludf.DUMMYFUNCTION("""COMPUTED_VALUE"""),-18.0)</f>
        <v>-18</v>
      </c>
      <c r="CV428" s="179">
        <f>IFERROR(__xludf.DUMMYFUNCTION("""COMPUTED_VALUE"""),-18.666666666666668)</f>
        <v>-18.66666667</v>
      </c>
      <c r="CW428" s="179">
        <f>IFERROR(__xludf.DUMMYFUNCTION("""COMPUTED_VALUE"""),0.0)</f>
        <v>0</v>
      </c>
      <c r="CX428" s="179">
        <f>IFERROR(__xludf.DUMMYFUNCTION("""COMPUTED_VALUE"""),2.0)</f>
        <v>2</v>
      </c>
      <c r="CY428" s="16" t="str">
        <f>IFERROR(__xludf.DUMMYFUNCTION("""COMPUTED_VALUE"""),"RP")</f>
        <v>RP</v>
      </c>
      <c r="CZ428" s="16"/>
      <c r="DA428" s="16"/>
      <c r="DB428" s="16"/>
      <c r="DC428" s="16"/>
      <c r="DD428" s="16"/>
      <c r="DE428" s="16"/>
      <c r="DF428" s="16"/>
      <c r="DG428" s="16"/>
      <c r="DH428" s="16"/>
      <c r="DI428" s="16"/>
      <c r="DJ428" s="16"/>
      <c r="DK428" s="16"/>
    </row>
    <row r="429">
      <c r="A429" s="16">
        <f>IFERROR(__xludf.DUMMYFUNCTION("""COMPUTED_VALUE"""),12700.0)</f>
        <v>12700</v>
      </c>
      <c r="B429" s="16" t="str">
        <f>IFERROR(__xludf.DUMMYFUNCTION("""COMPUTED_VALUE"""),"Colin Poche")</f>
        <v>Colin Poche</v>
      </c>
      <c r="C429" s="153">
        <f>IFERROR(__xludf.DUMMYFUNCTION("""COMPUTED_VALUE"""),0.64)</f>
        <v>0.64</v>
      </c>
      <c r="D429" s="16"/>
      <c r="E429" s="16" t="str">
        <f>IFERROR(__xludf.DUMMYFUNCTION("""COMPUTED_VALUE"""),"L")</f>
        <v>L</v>
      </c>
      <c r="F429" s="16">
        <f>IFERROR(__xludf.DUMMYFUNCTION("""COMPUTED_VALUE"""),37.0)</f>
        <v>37</v>
      </c>
      <c r="G429" s="16">
        <f>IFERROR(__xludf.DUMMYFUNCTION("""COMPUTED_VALUE"""),22.0)</f>
        <v>22</v>
      </c>
      <c r="H429" s="16">
        <f>IFERROR(__xludf.DUMMYFUNCTION("""COMPUTED_VALUE"""),20.0)</f>
        <v>20</v>
      </c>
      <c r="I429" s="16">
        <f>IFERROR(__xludf.DUMMYFUNCTION("""COMPUTED_VALUE"""),-1.0)</f>
        <v>-1</v>
      </c>
      <c r="J429" s="16">
        <f>IFERROR(__xludf.DUMMYFUNCTION("""COMPUTED_VALUE"""),-1.0)</f>
        <v>-1</v>
      </c>
      <c r="K429" s="16">
        <f>IFERROR(__xludf.DUMMYFUNCTION("""COMPUTED_VALUE"""),-3.0)</f>
        <v>-3</v>
      </c>
      <c r="L429" s="16">
        <f>IFERROR(__xludf.DUMMYFUNCTION("""COMPUTED_VALUE"""),-3.0)</f>
        <v>-3</v>
      </c>
      <c r="M429" s="16">
        <f>IFERROR(__xludf.DUMMYFUNCTION("""COMPUTED_VALUE"""),18.0)</f>
        <v>18</v>
      </c>
      <c r="N429" s="16">
        <f>IFERROR(__xludf.DUMMYFUNCTION("""COMPUTED_VALUE"""),0.0)</f>
        <v>0</v>
      </c>
      <c r="O429" s="16">
        <f>IFERROR(__xludf.DUMMYFUNCTION("""COMPUTED_VALUE"""),-3.0)</f>
        <v>-3</v>
      </c>
      <c r="P429" s="16">
        <f>IFERROR(__xludf.DUMMYFUNCTION("""COMPUTED_VALUE"""),3.0)</f>
        <v>3</v>
      </c>
      <c r="Q429" s="16">
        <f>IFERROR(__xludf.DUMMYFUNCTION("""COMPUTED_VALUE"""),-3.0)</f>
        <v>-3</v>
      </c>
      <c r="R429" s="16">
        <f>IFERROR(__xludf.DUMMYFUNCTION("""COMPUTED_VALUE"""),3.0)</f>
        <v>3</v>
      </c>
      <c r="S429" s="16">
        <f>IFERROR(__xludf.DUMMYFUNCTION("""COMPUTED_VALUE"""),17.3)</f>
        <v>17.3</v>
      </c>
      <c r="T429" s="16">
        <f>IFERROR(__xludf.DUMMYFUNCTION("""COMPUTED_VALUE"""),7.6)</f>
        <v>7.6</v>
      </c>
      <c r="U429" s="16">
        <f>IFERROR(__xludf.DUMMYFUNCTION("""COMPUTED_VALUE"""),0.0)</f>
        <v>0</v>
      </c>
      <c r="V429" s="16">
        <f>IFERROR(__xludf.DUMMYFUNCTION("""COMPUTED_VALUE"""),2.0)</f>
        <v>2</v>
      </c>
      <c r="W429" s="16">
        <f>IFERROR(__xludf.DUMMYFUNCTION("""COMPUTED_VALUE"""),0.0)</f>
        <v>0</v>
      </c>
      <c r="X429" s="16">
        <f>IFERROR(__xludf.DUMMYFUNCTION("""COMPUTED_VALUE"""),4.0)</f>
        <v>4</v>
      </c>
      <c r="Y429" s="16">
        <f>IFERROR(__xludf.DUMMYFUNCTION("""COMPUTED_VALUE"""),35.3)</f>
        <v>35.3</v>
      </c>
      <c r="Z429" s="16">
        <f>IFERROR(__xludf.DUMMYFUNCTION("""COMPUTED_VALUE"""),7.6)</f>
        <v>7.6</v>
      </c>
      <c r="AA429" s="16">
        <f>IFERROR(__xludf.DUMMYFUNCTION("""COMPUTED_VALUE"""),-1.0)</f>
        <v>-1</v>
      </c>
      <c r="AB429" s="16">
        <f>IFERROR(__xludf.DUMMYFUNCTION("""COMPUTED_VALUE"""),2.0)</f>
        <v>2</v>
      </c>
      <c r="AC429" s="16">
        <f>IFERROR(__xludf.DUMMYFUNCTION("""COMPUTED_VALUE"""),-5.0)</f>
        <v>-5</v>
      </c>
      <c r="AD429" s="16">
        <f>IFERROR(__xludf.DUMMYFUNCTION("""COMPUTED_VALUE"""),10.0)</f>
        <v>10</v>
      </c>
      <c r="AE429" s="16">
        <f>IFERROR(__xludf.DUMMYFUNCTION("""COMPUTED_VALUE"""),33.8)</f>
        <v>33.8</v>
      </c>
      <c r="AF429" s="16">
        <f>IFERROR(__xludf.DUMMYFUNCTION("""COMPUTED_VALUE"""),18.4)</f>
        <v>18.4</v>
      </c>
      <c r="AG429" s="16">
        <f>IFERROR(__xludf.DUMMYFUNCTION("""COMPUTED_VALUE"""),-1.0)</f>
        <v>-1</v>
      </c>
      <c r="AH429" s="16">
        <f>IFERROR(__xludf.DUMMYFUNCTION("""COMPUTED_VALUE"""),1.0)</f>
        <v>1</v>
      </c>
      <c r="AI429" s="16">
        <f>IFERROR(__xludf.DUMMYFUNCTION("""COMPUTED_VALUE"""),-2.0)</f>
        <v>-2</v>
      </c>
      <c r="AJ429" s="16">
        <f>IFERROR(__xludf.DUMMYFUNCTION("""COMPUTED_VALUE"""),2.0)</f>
        <v>2</v>
      </c>
      <c r="AK429" s="16">
        <f>IFERROR(__xludf.DUMMYFUNCTION("""COMPUTED_VALUE"""),11.8)</f>
        <v>11.8</v>
      </c>
      <c r="AL429" s="16">
        <f>IFERROR(__xludf.DUMMYFUNCTION("""COMPUTED_VALUE"""),3.9999999999999996)</f>
        <v>4</v>
      </c>
      <c r="AM429" s="16">
        <f>IFERROR(__xludf.DUMMYFUNCTION("""COMPUTED_VALUE"""),0.0)</f>
        <v>0</v>
      </c>
      <c r="AN429" s="16">
        <f>IFERROR(__xludf.DUMMYFUNCTION("""COMPUTED_VALUE"""),2.0)</f>
        <v>2</v>
      </c>
      <c r="AO429" s="16">
        <f>IFERROR(__xludf.DUMMYFUNCTION("""COMPUTED_VALUE"""),0.0)</f>
        <v>0</v>
      </c>
      <c r="AP429" s="16">
        <f>IFERROR(__xludf.DUMMYFUNCTION("""COMPUTED_VALUE"""),2.0)</f>
        <v>2</v>
      </c>
      <c r="AQ429" s="16">
        <f>IFERROR(__xludf.DUMMYFUNCTION("""COMPUTED_VALUE"""),11.799999999999997)</f>
        <v>11.8</v>
      </c>
      <c r="AR429" s="16">
        <f>IFERROR(__xludf.DUMMYFUNCTION("""COMPUTED_VALUE"""),3.9999999999999982)</f>
        <v>4</v>
      </c>
      <c r="AS429" s="16">
        <f>IFERROR(__xludf.DUMMYFUNCTION("""COMPUTED_VALUE"""),1.0)</f>
        <v>1</v>
      </c>
      <c r="AT429" s="16">
        <f>IFERROR(__xludf.DUMMYFUNCTION("""COMPUTED_VALUE"""),2.0)</f>
        <v>2</v>
      </c>
      <c r="AU429" s="16">
        <f>IFERROR(__xludf.DUMMYFUNCTION("""COMPUTED_VALUE"""),2.0)</f>
        <v>2</v>
      </c>
      <c r="AV429" s="16">
        <f>IFERROR(__xludf.DUMMYFUNCTION("""COMPUTED_VALUE"""),4.0)</f>
        <v>4</v>
      </c>
      <c r="AW429" s="16">
        <f>IFERROR(__xludf.DUMMYFUNCTION("""COMPUTED_VALUE"""),5.5)</f>
        <v>5.5</v>
      </c>
      <c r="AX429" s="16">
        <f>IFERROR(__xludf.DUMMYFUNCTION("""COMPUTED_VALUE"""),3.6)</f>
        <v>3.6</v>
      </c>
      <c r="AY429" s="16">
        <f>IFERROR(__xludf.DUMMYFUNCTION("""COMPUTED_VALUE"""),-3.0)</f>
        <v>-3</v>
      </c>
      <c r="AZ429" s="16">
        <f>IFERROR(__xludf.DUMMYFUNCTION("""COMPUTED_VALUE"""),-2.0)</f>
        <v>-2</v>
      </c>
      <c r="BA429" s="16">
        <f>IFERROR(__xludf.DUMMYFUNCTION("""COMPUTED_VALUE"""),-15.0)</f>
        <v>-15</v>
      </c>
      <c r="BB429" s="16">
        <f>IFERROR(__xludf.DUMMYFUNCTION("""COMPUTED_VALUE"""),-10.0)</f>
        <v>-10</v>
      </c>
      <c r="BC429" s="16">
        <f>IFERROR(__xludf.DUMMYFUNCTION("""COMPUTED_VALUE"""),8.0)</f>
        <v>8</v>
      </c>
      <c r="BD429" s="16">
        <f>IFERROR(__xludf.DUMMYFUNCTION("""COMPUTED_VALUE"""),5.0)</f>
        <v>5</v>
      </c>
      <c r="BE429" s="16">
        <f>IFERROR(__xludf.DUMMYFUNCTION("""COMPUTED_VALUE"""),8.0)</f>
        <v>8</v>
      </c>
      <c r="BF429" s="16">
        <f>IFERROR(__xludf.DUMMYFUNCTION("""COMPUTED_VALUE"""),5.0)</f>
        <v>5</v>
      </c>
      <c r="BG429" s="16">
        <f>IFERROR(__xludf.DUMMYFUNCTION("""COMPUTED_VALUE"""),-3.0)</f>
        <v>-3</v>
      </c>
      <c r="BH429" s="16">
        <f>IFERROR(__xludf.DUMMYFUNCTION("""COMPUTED_VALUE"""),-2.0)</f>
        <v>-2</v>
      </c>
      <c r="BI429" s="16">
        <f>IFERROR(__xludf.DUMMYFUNCTION("""COMPUTED_VALUE"""),-6.0)</f>
        <v>-6</v>
      </c>
      <c r="BJ429" s="16">
        <f>IFERROR(__xludf.DUMMYFUNCTION("""COMPUTED_VALUE"""),-4.0)</f>
        <v>-4</v>
      </c>
      <c r="BK429" s="16">
        <f>IFERROR(__xludf.DUMMYFUNCTION("""COMPUTED_VALUE"""),5.0)</f>
        <v>5</v>
      </c>
      <c r="BL429" s="16">
        <f>IFERROR(__xludf.DUMMYFUNCTION("""COMPUTED_VALUE"""),5.0)</f>
        <v>5</v>
      </c>
      <c r="BM429" s="16">
        <f>IFERROR(__xludf.DUMMYFUNCTION("""COMPUTED_VALUE"""),0.0)</f>
        <v>0</v>
      </c>
      <c r="BN429" s="16">
        <f>IFERROR(__xludf.DUMMYFUNCTION("""COMPUTED_VALUE"""),0.0)</f>
        <v>0</v>
      </c>
      <c r="BO429" s="16">
        <f>IFERROR(__xludf.DUMMYFUNCTION("""COMPUTED_VALUE"""),0.0)</f>
        <v>0</v>
      </c>
      <c r="BP429" s="16">
        <f>IFERROR(__xludf.DUMMYFUNCTION("""COMPUTED_VALUE"""),0.0)</f>
        <v>0</v>
      </c>
      <c r="BQ429" s="16">
        <f>IFERROR(__xludf.DUMMYFUNCTION("""COMPUTED_VALUE"""),3.0)</f>
        <v>3</v>
      </c>
      <c r="BR429" s="16">
        <f>IFERROR(__xludf.DUMMYFUNCTION("""COMPUTED_VALUE"""),4.0)</f>
        <v>4</v>
      </c>
      <c r="BS429" s="16">
        <f>IFERROR(__xludf.DUMMYFUNCTION("""COMPUTED_VALUE"""),-1.0)</f>
        <v>-1</v>
      </c>
      <c r="BT429" s="16">
        <f>IFERROR(__xludf.DUMMYFUNCTION("""COMPUTED_VALUE"""),-1.0)</f>
        <v>-1</v>
      </c>
      <c r="BU429" s="16">
        <f>IFERROR(__xludf.DUMMYFUNCTION("""COMPUTED_VALUE"""),-2.0)</f>
        <v>-2</v>
      </c>
      <c r="BV429" s="16">
        <f>IFERROR(__xludf.DUMMYFUNCTION("""COMPUTED_VALUE"""),-2.0)</f>
        <v>-2</v>
      </c>
      <c r="BW429" s="16">
        <f>IFERROR(__xludf.DUMMYFUNCTION("""COMPUTED_VALUE"""),0.0)</f>
        <v>0</v>
      </c>
      <c r="BX429" s="16">
        <f>IFERROR(__xludf.DUMMYFUNCTION("""COMPUTED_VALUE"""),0.0)</f>
        <v>0</v>
      </c>
      <c r="BY429" s="16" t="str">
        <f>IFERROR(__xludf.DUMMYFUNCTION("""COMPUTED_VALUE"""),"R(1) C(1)")</f>
        <v>R(1) C(1)</v>
      </c>
      <c r="BZ429" s="16" t="str">
        <f>IFERROR(__xludf.DUMMYFUNCTION("""COMPUTED_VALUE"""),"R(1) C(1)")</f>
        <v>R(1) C(1)</v>
      </c>
      <c r="CA429" s="16" t="str">
        <f>IFERROR(__xludf.DUMMYFUNCTION("""COMPUTED_VALUE"""),"R(1)")</f>
        <v>R(1)</v>
      </c>
      <c r="CB429" s="16" t="str">
        <f>IFERROR(__xludf.DUMMYFUNCTION("""COMPUTED_VALUE"""),"C(1)")</f>
        <v>C(1)</v>
      </c>
      <c r="CC429" s="16"/>
      <c r="CD429" s="16"/>
      <c r="CE429" s="16">
        <f>IFERROR(__xludf.DUMMYFUNCTION("""COMPUTED_VALUE"""),1.0)</f>
        <v>1</v>
      </c>
      <c r="CF429" s="16">
        <f>IFERROR(__xludf.DUMMYFUNCTION("""COMPUTED_VALUE"""),1.0)</f>
        <v>1</v>
      </c>
      <c r="CG429" s="16" t="str">
        <f>IFERROR(__xludf.DUMMYFUNCTION("""COMPUTED_VALUE"""),"3-0")</f>
        <v>3-0</v>
      </c>
      <c r="CH429" s="16">
        <f>IFERROR(__xludf.DUMMYFUNCTION("""COMPUTED_VALUE"""),3.0)</f>
        <v>3</v>
      </c>
      <c r="CI429" s="16">
        <f>IFERROR(__xludf.DUMMYFUNCTION("""COMPUTED_VALUE"""),0.0)</f>
        <v>0</v>
      </c>
      <c r="CJ429" s="16">
        <f>IFERROR(__xludf.DUMMYFUNCTION("""COMPUTED_VALUE"""),0.0)</f>
        <v>0</v>
      </c>
      <c r="CK429" s="16">
        <f>IFERROR(__xludf.DUMMYFUNCTION("""COMPUTED_VALUE"""),5.0)</f>
        <v>5</v>
      </c>
      <c r="CL429" s="16" t="str">
        <f>IFERROR(__xludf.DUMMYFUNCTION("""COMPUTED_VALUE"""),"1WL-C")</f>
        <v>1WL-C</v>
      </c>
      <c r="CM429" s="16" t="str">
        <f>IFERROR(__xludf.DUMMYFUNCTION("""COMPUTED_VALUE"""),"E")</f>
        <v>E</v>
      </c>
      <c r="CN429" s="16">
        <f>IFERROR(__xludf.DUMMYFUNCTION("""COMPUTED_VALUE"""),10.0)</f>
        <v>10</v>
      </c>
      <c r="CO429" s="16" t="str">
        <f>IFERROR(__xludf.DUMMYFUNCTION("""COMPUTED_VALUE"""),"C")</f>
        <v>C</v>
      </c>
      <c r="CP429" s="16" t="str">
        <f>IFERROR(__xludf.DUMMYFUNCTION("""COMPUTED_VALUE"""),"5p30")</f>
        <v>5p30</v>
      </c>
      <c r="CQ429" s="16">
        <f>IFERROR(__xludf.DUMMYFUNCTION("""COMPUTED_VALUE"""),-34.0)</f>
        <v>-34</v>
      </c>
      <c r="CR429" s="16">
        <f>IFERROR(__xludf.DUMMYFUNCTION("""COMPUTED_VALUE"""),6.0)</f>
        <v>6</v>
      </c>
      <c r="CS429" s="16">
        <f>IFERROR(__xludf.DUMMYFUNCTION("""COMPUTED_VALUE"""),-28.0)</f>
        <v>-28</v>
      </c>
      <c r="CT429" s="16">
        <f>IFERROR(__xludf.DUMMYFUNCTION("""COMPUTED_VALUE"""),-34.0)</f>
        <v>-34</v>
      </c>
      <c r="CU429" s="16">
        <f>IFERROR(__xludf.DUMMYFUNCTION("""COMPUTED_VALUE"""),6.0)</f>
        <v>6</v>
      </c>
      <c r="CV429" s="179">
        <f>IFERROR(__xludf.DUMMYFUNCTION("""COMPUTED_VALUE"""),-18.666666666666668)</f>
        <v>-18.66666667</v>
      </c>
      <c r="CW429" s="179">
        <f>IFERROR(__xludf.DUMMYFUNCTION("""COMPUTED_VALUE"""),0.0)</f>
        <v>0</v>
      </c>
      <c r="CX429" s="179">
        <f>IFERROR(__xludf.DUMMYFUNCTION("""COMPUTED_VALUE"""),2.0)</f>
        <v>2</v>
      </c>
      <c r="CY429" s="16" t="str">
        <f>IFERROR(__xludf.DUMMYFUNCTION("""COMPUTED_VALUE"""),"RP")</f>
        <v>RP</v>
      </c>
      <c r="CZ429" s="16" t="str">
        <f>IFERROR(__xludf.DUMMYFUNCTION("""COMPUTED_VALUE"""),"CP")</f>
        <v>CP</v>
      </c>
      <c r="DA429" s="16"/>
      <c r="DB429" s="16"/>
      <c r="DC429" s="16"/>
      <c r="DD429" s="16"/>
      <c r="DE429" s="16"/>
      <c r="DF429" s="16"/>
      <c r="DG429" s="16"/>
      <c r="DH429" s="16"/>
      <c r="DI429" s="16"/>
      <c r="DJ429" s="16"/>
      <c r="DK429" s="16"/>
    </row>
    <row r="430">
      <c r="A430" s="16">
        <f>IFERROR(__xludf.DUMMYFUNCTION("""COMPUTED_VALUE"""),12523.0)</f>
        <v>12523</v>
      </c>
      <c r="B430" s="16" t="str">
        <f>IFERROR(__xludf.DUMMYFUNCTION("""COMPUTED_VALUE"""),"Alex Faedo")</f>
        <v>Alex Faedo</v>
      </c>
      <c r="C430" s="153">
        <f>IFERROR(__xludf.DUMMYFUNCTION("""COMPUTED_VALUE"""),0.3)</f>
        <v>0.3</v>
      </c>
      <c r="D430" s="16"/>
      <c r="E430" s="16" t="str">
        <f>IFERROR(__xludf.DUMMYFUNCTION("""COMPUTED_VALUE"""),"R")</f>
        <v>R</v>
      </c>
      <c r="F430" s="16">
        <f>IFERROR(__xludf.DUMMYFUNCTION("""COMPUTED_VALUE"""),57.0)</f>
        <v>57</v>
      </c>
      <c r="G430" s="16">
        <f>IFERROR(__xludf.DUMMYFUNCTION("""COMPUTED_VALUE"""),24.0)</f>
        <v>24</v>
      </c>
      <c r="H430" s="16">
        <f>IFERROR(__xludf.DUMMYFUNCTION("""COMPUTED_VALUE"""),26.0)</f>
        <v>26</v>
      </c>
      <c r="I430" s="16">
        <f>IFERROR(__xludf.DUMMYFUNCTION("""COMPUTED_VALUE"""),-1.0)</f>
        <v>-1</v>
      </c>
      <c r="J430" s="16">
        <f>IFERROR(__xludf.DUMMYFUNCTION("""COMPUTED_VALUE"""),0.0)</f>
        <v>0</v>
      </c>
      <c r="K430" s="16">
        <f>IFERROR(__xludf.DUMMYFUNCTION("""COMPUTED_VALUE"""),-3.0)</f>
        <v>-3</v>
      </c>
      <c r="L430" s="16">
        <f>IFERROR(__xludf.DUMMYFUNCTION("""COMPUTED_VALUE"""),0.0)</f>
        <v>0</v>
      </c>
      <c r="M430" s="16">
        <f>IFERROR(__xludf.DUMMYFUNCTION("""COMPUTED_VALUE"""),13.0)</f>
        <v>13</v>
      </c>
      <c r="N430" s="16">
        <f>IFERROR(__xludf.DUMMYFUNCTION("""COMPUTED_VALUE"""),21.0)</f>
        <v>21</v>
      </c>
      <c r="O430" s="16">
        <f>IFERROR(__xludf.DUMMYFUNCTION("""COMPUTED_VALUE"""),-1.0)</f>
        <v>-1</v>
      </c>
      <c r="P430" s="16">
        <f>IFERROR(__xludf.DUMMYFUNCTION("""COMPUTED_VALUE"""),-3.0)</f>
        <v>-3</v>
      </c>
      <c r="Q430" s="16">
        <f>IFERROR(__xludf.DUMMYFUNCTION("""COMPUTED_VALUE"""),-1.0)</f>
        <v>-1</v>
      </c>
      <c r="R430" s="16">
        <f>IFERROR(__xludf.DUMMYFUNCTION("""COMPUTED_VALUE"""),-3.0)</f>
        <v>-3</v>
      </c>
      <c r="S430" s="16">
        <f>IFERROR(__xludf.DUMMYFUNCTION("""COMPUTED_VALUE"""),4.8)</f>
        <v>4.8</v>
      </c>
      <c r="T430" s="16">
        <f>IFERROR(__xludf.DUMMYFUNCTION("""COMPUTED_VALUE"""),17.6)</f>
        <v>17.6</v>
      </c>
      <c r="U430" s="16">
        <f>IFERROR(__xludf.DUMMYFUNCTION("""COMPUTED_VALUE"""),2.0)</f>
        <v>2</v>
      </c>
      <c r="V430" s="16">
        <f>IFERROR(__xludf.DUMMYFUNCTION("""COMPUTED_VALUE"""),0.0)</f>
        <v>0</v>
      </c>
      <c r="W430" s="16">
        <f>IFERROR(__xludf.DUMMYFUNCTION("""COMPUTED_VALUE"""),4.0)</f>
        <v>4</v>
      </c>
      <c r="X430" s="16">
        <f>IFERROR(__xludf.DUMMYFUNCTION("""COMPUTED_VALUE"""),0.0)</f>
        <v>0</v>
      </c>
      <c r="Y430" s="16">
        <f>IFERROR(__xludf.DUMMYFUNCTION("""COMPUTED_VALUE"""),17.9)</f>
        <v>17.9</v>
      </c>
      <c r="Z430" s="16">
        <f>IFERROR(__xludf.DUMMYFUNCTION("""COMPUTED_VALUE"""),38.6)</f>
        <v>38.6</v>
      </c>
      <c r="AA430" s="16">
        <f>IFERROR(__xludf.DUMMYFUNCTION("""COMPUTED_VALUE"""),1.0)</f>
        <v>1</v>
      </c>
      <c r="AB430" s="16">
        <f>IFERROR(__xludf.DUMMYFUNCTION("""COMPUTED_VALUE"""),-2.0)</f>
        <v>-2</v>
      </c>
      <c r="AC430" s="16">
        <f>IFERROR(__xludf.DUMMYFUNCTION("""COMPUTED_VALUE"""),5.0)</f>
        <v>5</v>
      </c>
      <c r="AD430" s="16">
        <f>IFERROR(__xludf.DUMMYFUNCTION("""COMPUTED_VALUE"""),-10.0)</f>
        <v>-10</v>
      </c>
      <c r="AE430" s="16">
        <f>IFERROR(__xludf.DUMMYFUNCTION("""COMPUTED_VALUE"""),11.2)</f>
        <v>11.2</v>
      </c>
      <c r="AF430" s="16">
        <f>IFERROR(__xludf.DUMMYFUNCTION("""COMPUTED_VALUE"""),35.6)</f>
        <v>35.6</v>
      </c>
      <c r="AG430" s="16">
        <f>IFERROR(__xludf.DUMMYFUNCTION("""COMPUTED_VALUE"""),2.0)</f>
        <v>2</v>
      </c>
      <c r="AH430" s="16">
        <f>IFERROR(__xludf.DUMMYFUNCTION("""COMPUTED_VALUE"""),-1.0)</f>
        <v>-1</v>
      </c>
      <c r="AI430" s="16">
        <f>IFERROR(__xludf.DUMMYFUNCTION("""COMPUTED_VALUE"""),4.0)</f>
        <v>4</v>
      </c>
      <c r="AJ430" s="16">
        <f>IFERROR(__xludf.DUMMYFUNCTION("""COMPUTED_VALUE"""),-2.0)</f>
        <v>-2</v>
      </c>
      <c r="AK430" s="16">
        <f>IFERROR(__xludf.DUMMYFUNCTION("""COMPUTED_VALUE"""),3.5999999999999996)</f>
        <v>3.6</v>
      </c>
      <c r="AL430" s="16">
        <f>IFERROR(__xludf.DUMMYFUNCTION("""COMPUTED_VALUE"""),13.100000000000001)</f>
        <v>13.1</v>
      </c>
      <c r="AM430" s="16">
        <f>IFERROR(__xludf.DUMMYFUNCTION("""COMPUTED_VALUE"""),2.0)</f>
        <v>2</v>
      </c>
      <c r="AN430" s="16">
        <f>IFERROR(__xludf.DUMMYFUNCTION("""COMPUTED_VALUE"""),0.0)</f>
        <v>0</v>
      </c>
      <c r="AO430" s="16">
        <f>IFERROR(__xludf.DUMMYFUNCTION("""COMPUTED_VALUE"""),2.0)</f>
        <v>2</v>
      </c>
      <c r="AP430" s="16">
        <f>IFERROR(__xludf.DUMMYFUNCTION("""COMPUTED_VALUE"""),0.0)</f>
        <v>0</v>
      </c>
      <c r="AQ430" s="16">
        <f>IFERROR(__xludf.DUMMYFUNCTION("""COMPUTED_VALUE"""),6.3999999999999995)</f>
        <v>6.4</v>
      </c>
      <c r="AR430" s="16">
        <f>IFERROR(__xludf.DUMMYFUNCTION("""COMPUTED_VALUE"""),17.6)</f>
        <v>17.6</v>
      </c>
      <c r="AS430" s="16">
        <f>IFERROR(__xludf.DUMMYFUNCTION("""COMPUTED_VALUE"""),2.0)</f>
        <v>2</v>
      </c>
      <c r="AT430" s="16">
        <f>IFERROR(__xludf.DUMMYFUNCTION("""COMPUTED_VALUE"""),0.0)</f>
        <v>0</v>
      </c>
      <c r="AU430" s="16">
        <f>IFERROR(__xludf.DUMMYFUNCTION("""COMPUTED_VALUE"""),4.0)</f>
        <v>4</v>
      </c>
      <c r="AV430" s="16">
        <f>IFERROR(__xludf.DUMMYFUNCTION("""COMPUTED_VALUE"""),0.0)</f>
        <v>0</v>
      </c>
      <c r="AW430" s="16">
        <f>IFERROR(__xludf.DUMMYFUNCTION("""COMPUTED_VALUE"""),1.2)</f>
        <v>1.2</v>
      </c>
      <c r="AX430" s="16">
        <f>IFERROR(__xludf.DUMMYFUNCTION("""COMPUTED_VALUE"""),4.5)</f>
        <v>4.5</v>
      </c>
      <c r="AY430" s="16">
        <f>IFERROR(__xludf.DUMMYFUNCTION("""COMPUTED_VALUE"""),1.0)</f>
        <v>1</v>
      </c>
      <c r="AZ430" s="16">
        <f>IFERROR(__xludf.DUMMYFUNCTION("""COMPUTED_VALUE"""),-2.0)</f>
        <v>-2</v>
      </c>
      <c r="BA430" s="16">
        <f>IFERROR(__xludf.DUMMYFUNCTION("""COMPUTED_VALUE"""),5.0)</f>
        <v>5</v>
      </c>
      <c r="BB430" s="16">
        <f>IFERROR(__xludf.DUMMYFUNCTION("""COMPUTED_VALUE"""),-10.0)</f>
        <v>-10</v>
      </c>
      <c r="BC430" s="16"/>
      <c r="BD430" s="16">
        <f>IFERROR(__xludf.DUMMYFUNCTION("""COMPUTED_VALUE"""),7.0)</f>
        <v>7</v>
      </c>
      <c r="BE430" s="16">
        <f>IFERROR(__xludf.DUMMYFUNCTION("""COMPUTED_VALUE"""),2.0)</f>
        <v>2</v>
      </c>
      <c r="BF430" s="16">
        <f>IFERROR(__xludf.DUMMYFUNCTION("""COMPUTED_VALUE"""),7.0)</f>
        <v>7</v>
      </c>
      <c r="BG430" s="16">
        <f>IFERROR(__xludf.DUMMYFUNCTION("""COMPUTED_VALUE"""),1.0)</f>
        <v>1</v>
      </c>
      <c r="BH430" s="16">
        <f>IFERROR(__xludf.DUMMYFUNCTION("""COMPUTED_VALUE"""),-3.0)</f>
        <v>-3</v>
      </c>
      <c r="BI430" s="16">
        <f>IFERROR(__xludf.DUMMYFUNCTION("""COMPUTED_VALUE"""),2.0)</f>
        <v>2</v>
      </c>
      <c r="BJ430" s="16">
        <f>IFERROR(__xludf.DUMMYFUNCTION("""COMPUTED_VALUE"""),-6.0)</f>
        <v>-6</v>
      </c>
      <c r="BK430" s="16">
        <f>IFERROR(__xludf.DUMMYFUNCTION("""COMPUTED_VALUE"""),0.0)</f>
        <v>0</v>
      </c>
      <c r="BL430" s="16">
        <f>IFERROR(__xludf.DUMMYFUNCTION("""COMPUTED_VALUE"""),5.0)</f>
        <v>5</v>
      </c>
      <c r="BM430" s="16">
        <f>IFERROR(__xludf.DUMMYFUNCTION("""COMPUTED_VALUE"""),1.0)</f>
        <v>1</v>
      </c>
      <c r="BN430" s="16">
        <f>IFERROR(__xludf.DUMMYFUNCTION("""COMPUTED_VALUE"""),0.0)</f>
        <v>0</v>
      </c>
      <c r="BO430" s="16">
        <f>IFERROR(__xludf.DUMMYFUNCTION("""COMPUTED_VALUE"""),1.0)</f>
        <v>1</v>
      </c>
      <c r="BP430" s="16">
        <f>IFERROR(__xludf.DUMMYFUNCTION("""COMPUTED_VALUE"""),0.0)</f>
        <v>0</v>
      </c>
      <c r="BQ430" s="16">
        <f>IFERROR(__xludf.DUMMYFUNCTION("""COMPUTED_VALUE"""),0.0)</f>
        <v>0</v>
      </c>
      <c r="BR430" s="16">
        <f>IFERROR(__xludf.DUMMYFUNCTION("""COMPUTED_VALUE"""),0.0)</f>
        <v>0</v>
      </c>
      <c r="BS430" s="16">
        <f>IFERROR(__xludf.DUMMYFUNCTION("""COMPUTED_VALUE"""),-3.0)</f>
        <v>-3</v>
      </c>
      <c r="BT430" s="16">
        <f>IFERROR(__xludf.DUMMYFUNCTION("""COMPUTED_VALUE"""),-3.0)</f>
        <v>-3</v>
      </c>
      <c r="BU430" s="16">
        <f>IFERROR(__xludf.DUMMYFUNCTION("""COMPUTED_VALUE"""),-6.0)</f>
        <v>-6</v>
      </c>
      <c r="BV430" s="16">
        <f>IFERROR(__xludf.DUMMYFUNCTION("""COMPUTED_VALUE"""),-6.0)</f>
        <v>-6</v>
      </c>
      <c r="BW430" s="16">
        <f>IFERROR(__xludf.DUMMYFUNCTION("""COMPUTED_VALUE"""),-3.0)</f>
        <v>-3</v>
      </c>
      <c r="BX430" s="16">
        <f>IFERROR(__xludf.DUMMYFUNCTION("""COMPUTED_VALUE"""),-3.0)</f>
        <v>-3</v>
      </c>
      <c r="BY430" s="16" t="str">
        <f>IFERROR(__xludf.DUMMYFUNCTION("""COMPUTED_VALUE"""),"S(1) R(1)")</f>
        <v>S(1) R(1)</v>
      </c>
      <c r="BZ430" s="16" t="str">
        <f>IFERROR(__xludf.DUMMYFUNCTION("""COMPUTED_VALUE"""),"S(1) R(1)")</f>
        <v>S(1) R(1)</v>
      </c>
      <c r="CA430" s="16" t="str">
        <f>IFERROR(__xludf.DUMMYFUNCTION("""COMPUTED_VALUE"""),"S(1)")</f>
        <v>S(1)</v>
      </c>
      <c r="CB430" s="16" t="str">
        <f>IFERROR(__xludf.DUMMYFUNCTION("""COMPUTED_VALUE"""),"R(1)")</f>
        <v>R(1)</v>
      </c>
      <c r="CC430" s="16"/>
      <c r="CD430" s="16">
        <f>IFERROR(__xludf.DUMMYFUNCTION("""COMPUTED_VALUE"""),1.0)</f>
        <v>1</v>
      </c>
      <c r="CE430" s="16">
        <f>IFERROR(__xludf.DUMMYFUNCTION("""COMPUTED_VALUE"""),1.0)</f>
        <v>1</v>
      </c>
      <c r="CF430" s="16"/>
      <c r="CG430" s="16" t="str">
        <f>IFERROR(__xludf.DUMMYFUNCTION("""COMPUTED_VALUE"""),"2-26")</f>
        <v>2-26</v>
      </c>
      <c r="CH430" s="16">
        <f>IFERROR(__xludf.DUMMYFUNCTION("""COMPUTED_VALUE"""),2.0)</f>
        <v>2</v>
      </c>
      <c r="CI430" s="16">
        <f>IFERROR(__xludf.DUMMYFUNCTION("""COMPUTED_VALUE"""),26.0)</f>
        <v>26</v>
      </c>
      <c r="CJ430" s="16">
        <f>IFERROR(__xludf.DUMMYFUNCTION("""COMPUTED_VALUE"""),0.0)</f>
        <v>0</v>
      </c>
      <c r="CK430" s="16">
        <f>IFERROR(__xludf.DUMMYFUNCTION("""COMPUTED_VALUE"""),15.0)</f>
        <v>15</v>
      </c>
      <c r="CL430" s="16" t="str">
        <f>IFERROR(__xludf.DUMMYFUNCTION("""COMPUTED_VALUE"""),"1WR-C")</f>
        <v>1WR-C</v>
      </c>
      <c r="CM430" s="16" t="str">
        <f>IFERROR(__xludf.DUMMYFUNCTION("""COMPUTED_VALUE"""),"E")</f>
        <v>E</v>
      </c>
      <c r="CN430" s="16">
        <f>IFERROR(__xludf.DUMMYFUNCTION("""COMPUTED_VALUE"""),10.0)</f>
        <v>10</v>
      </c>
      <c r="CO430" s="16" t="str">
        <f>IFERROR(__xludf.DUMMYFUNCTION("""COMPUTED_VALUE"""),"C")</f>
        <v>C</v>
      </c>
      <c r="CP430" s="16" t="str">
        <f>IFERROR(__xludf.DUMMYFUNCTION("""COMPUTED_VALUE"""),"5p50")</f>
        <v>5p50</v>
      </c>
      <c r="CQ430" s="16">
        <f>IFERROR(__xludf.DUMMYFUNCTION("""COMPUTED_VALUE"""),17.0)</f>
        <v>17</v>
      </c>
      <c r="CR430" s="16">
        <f>IFERROR(__xludf.DUMMYFUNCTION("""COMPUTED_VALUE"""),-37.0)</f>
        <v>-37</v>
      </c>
      <c r="CS430" s="16">
        <f>IFERROR(__xludf.DUMMYFUNCTION("""COMPUTED_VALUE"""),-20.0)</f>
        <v>-20</v>
      </c>
      <c r="CT430" s="16">
        <f>IFERROR(__xludf.DUMMYFUNCTION("""COMPUTED_VALUE"""),17.0)</f>
        <v>17</v>
      </c>
      <c r="CU430" s="16">
        <f>IFERROR(__xludf.DUMMYFUNCTION("""COMPUTED_VALUE"""),-37.0)</f>
        <v>-37</v>
      </c>
      <c r="CV430" s="179">
        <f>IFERROR(__xludf.DUMMYFUNCTION("""COMPUTED_VALUE"""),-19.0)</f>
        <v>-19</v>
      </c>
      <c r="CW430" s="179">
        <f>IFERROR(__xludf.DUMMYFUNCTION("""COMPUTED_VALUE"""),0.0)</f>
        <v>0</v>
      </c>
      <c r="CX430" s="179">
        <f>IFERROR(__xludf.DUMMYFUNCTION("""COMPUTED_VALUE"""),0.0)</f>
        <v>0</v>
      </c>
      <c r="CY430" s="16" t="str">
        <f>IFERROR(__xludf.DUMMYFUNCTION("""COMPUTED_VALUE"""),"SP")</f>
        <v>SP</v>
      </c>
      <c r="CZ430" s="16" t="str">
        <f>IFERROR(__xludf.DUMMYFUNCTION("""COMPUTED_VALUE"""),"RP")</f>
        <v>RP</v>
      </c>
      <c r="DA430" s="16"/>
      <c r="DB430" s="16"/>
      <c r="DC430" s="16"/>
      <c r="DD430" s="16"/>
      <c r="DE430" s="16"/>
      <c r="DF430" s="16"/>
      <c r="DG430" s="16"/>
      <c r="DH430" s="16"/>
      <c r="DI430" s="16"/>
      <c r="DJ430" s="16"/>
      <c r="DK430" s="16"/>
    </row>
    <row r="431">
      <c r="A431" s="16">
        <f>IFERROR(__xludf.DUMMYFUNCTION("""COMPUTED_VALUE"""),13032.0)</f>
        <v>13032</v>
      </c>
      <c r="B431" s="16" t="str">
        <f>IFERROR(__xludf.DUMMYFUNCTION("""COMPUTED_VALUE"""),"Josh Fleming")</f>
        <v>Josh Fleming</v>
      </c>
      <c r="C431" s="153">
        <f>IFERROR(__xludf.DUMMYFUNCTION("""COMPUTED_VALUE"""),0.0)</f>
        <v>0</v>
      </c>
      <c r="D431" s="16"/>
      <c r="E431" s="16" t="str">
        <f>IFERROR(__xludf.DUMMYFUNCTION("""COMPUTED_VALUE"""),"L")</f>
        <v>L</v>
      </c>
      <c r="F431" s="16">
        <f>IFERROR(__xludf.DUMMYFUNCTION("""COMPUTED_VALUE"""),31.0)</f>
        <v>31</v>
      </c>
      <c r="G431" s="16">
        <f>IFERROR(__xludf.DUMMYFUNCTION("""COMPUTED_VALUE"""),15.0)</f>
        <v>15</v>
      </c>
      <c r="H431" s="16">
        <f>IFERROR(__xludf.DUMMYFUNCTION("""COMPUTED_VALUE"""),0.0)</f>
        <v>0</v>
      </c>
      <c r="I431" s="16">
        <f>IFERROR(__xludf.DUMMYFUNCTION("""COMPUTED_VALUE"""),-2.0)</f>
        <v>-2</v>
      </c>
      <c r="J431" s="16">
        <f>IFERROR(__xludf.DUMMYFUNCTION("""COMPUTED_VALUE"""),-3.0)</f>
        <v>-3</v>
      </c>
      <c r="K431" s="16">
        <f>IFERROR(__xludf.DUMMYFUNCTION("""COMPUTED_VALUE"""),-6.0)</f>
        <v>-6</v>
      </c>
      <c r="L431" s="16">
        <f>IFERROR(__xludf.DUMMYFUNCTION("""COMPUTED_VALUE"""),-9.0)</f>
        <v>-9</v>
      </c>
      <c r="M431" s="16">
        <f>IFERROR(__xludf.DUMMYFUNCTION("""COMPUTED_VALUE"""),19.0)</f>
        <v>19</v>
      </c>
      <c r="N431" s="16">
        <f>IFERROR(__xludf.DUMMYFUNCTION("""COMPUTED_VALUE"""),10.0)</f>
        <v>10</v>
      </c>
      <c r="O431" s="16">
        <f>IFERROR(__xludf.DUMMYFUNCTION("""COMPUTED_VALUE"""),-3.0)</f>
        <v>-3</v>
      </c>
      <c r="P431" s="16">
        <f>IFERROR(__xludf.DUMMYFUNCTION("""COMPUTED_VALUE"""),-1.0)</f>
        <v>-1</v>
      </c>
      <c r="Q431" s="16">
        <f>IFERROR(__xludf.DUMMYFUNCTION("""COMPUTED_VALUE"""),-3.0)</f>
        <v>-3</v>
      </c>
      <c r="R431" s="16">
        <f>IFERROR(__xludf.DUMMYFUNCTION("""COMPUTED_VALUE"""),-1.0)</f>
        <v>-1</v>
      </c>
      <c r="S431" s="16">
        <f>IFERROR(__xludf.DUMMYFUNCTION("""COMPUTED_VALUE"""),25.5)</f>
        <v>25.5</v>
      </c>
      <c r="T431" s="16">
        <f>IFERROR(__xludf.DUMMYFUNCTION("""COMPUTED_VALUE"""),14.8)</f>
        <v>14.8</v>
      </c>
      <c r="U431" s="16">
        <f>IFERROR(__xludf.DUMMYFUNCTION("""COMPUTED_VALUE"""),-2.0)</f>
        <v>-2</v>
      </c>
      <c r="V431" s="16">
        <f>IFERROR(__xludf.DUMMYFUNCTION("""COMPUTED_VALUE"""),0.0)</f>
        <v>0</v>
      </c>
      <c r="W431" s="16">
        <f>IFERROR(__xludf.DUMMYFUNCTION("""COMPUTED_VALUE"""),-4.0)</f>
        <v>-4</v>
      </c>
      <c r="X431" s="16">
        <f>IFERROR(__xludf.DUMMYFUNCTION("""COMPUTED_VALUE"""),0.0)</f>
        <v>0</v>
      </c>
      <c r="Y431" s="16">
        <f>IFERROR(__xludf.DUMMYFUNCTION("""COMPUTED_VALUE"""),44.5)</f>
        <v>44.5</v>
      </c>
      <c r="Z431" s="16">
        <f>IFERROR(__xludf.DUMMYFUNCTION("""COMPUTED_VALUE"""),24.8)</f>
        <v>24.8</v>
      </c>
      <c r="AA431" s="16">
        <f>IFERROR(__xludf.DUMMYFUNCTION("""COMPUTED_VALUE"""),-2.0)</f>
        <v>-2</v>
      </c>
      <c r="AB431" s="16">
        <f>IFERROR(__xludf.DUMMYFUNCTION("""COMPUTED_VALUE"""),0.0)</f>
        <v>0</v>
      </c>
      <c r="AC431" s="16">
        <f>IFERROR(__xludf.DUMMYFUNCTION("""COMPUTED_VALUE"""),-10.0)</f>
        <v>-10</v>
      </c>
      <c r="AD431" s="16">
        <f>IFERROR(__xludf.DUMMYFUNCTION("""COMPUTED_VALUE"""),0.0)</f>
        <v>0</v>
      </c>
      <c r="AE431" s="16">
        <f>IFERROR(__xludf.DUMMYFUNCTION("""COMPUTED_VALUE"""),46.8)</f>
        <v>46.8</v>
      </c>
      <c r="AF431" s="16">
        <f>IFERROR(__xludf.DUMMYFUNCTION("""COMPUTED_VALUE"""),17.0)</f>
        <v>17</v>
      </c>
      <c r="AG431" s="16">
        <f>IFERROR(__xludf.DUMMYFUNCTION("""COMPUTED_VALUE"""),-2.0)</f>
        <v>-2</v>
      </c>
      <c r="AH431" s="16">
        <f>IFERROR(__xludf.DUMMYFUNCTION("""COMPUTED_VALUE"""),1.0)</f>
        <v>1</v>
      </c>
      <c r="AI431" s="16">
        <f>IFERROR(__xludf.DUMMYFUNCTION("""COMPUTED_VALUE"""),-4.0)</f>
        <v>-4</v>
      </c>
      <c r="AJ431" s="16">
        <f>IFERROR(__xludf.DUMMYFUNCTION("""COMPUTED_VALUE"""),2.0)</f>
        <v>2</v>
      </c>
      <c r="AK431" s="16">
        <f>IFERROR(__xludf.DUMMYFUNCTION("""COMPUTED_VALUE"""),21.5)</f>
        <v>21.5</v>
      </c>
      <c r="AL431" s="16">
        <f>IFERROR(__xludf.DUMMYFUNCTION("""COMPUTED_VALUE"""),14.8)</f>
        <v>14.8</v>
      </c>
      <c r="AM431" s="16">
        <f>IFERROR(__xludf.DUMMYFUNCTION("""COMPUTED_VALUE"""),-2.0)</f>
        <v>-2</v>
      </c>
      <c r="AN431" s="16">
        <f>IFERROR(__xludf.DUMMYFUNCTION("""COMPUTED_VALUE"""),0.0)</f>
        <v>0</v>
      </c>
      <c r="AO431" s="16">
        <f>IFERROR(__xludf.DUMMYFUNCTION("""COMPUTED_VALUE"""),-2.0)</f>
        <v>-2</v>
      </c>
      <c r="AP431" s="16">
        <f>IFERROR(__xludf.DUMMYFUNCTION("""COMPUTED_VALUE"""),0.0)</f>
        <v>0</v>
      </c>
      <c r="AQ431" s="16">
        <f>IFERROR(__xludf.DUMMYFUNCTION("""COMPUTED_VALUE"""),30.799999999999997)</f>
        <v>30.8</v>
      </c>
      <c r="AR431" s="16">
        <f>IFERROR(__xludf.DUMMYFUNCTION("""COMPUTED_VALUE"""),17.0)</f>
        <v>17</v>
      </c>
      <c r="AS431" s="16">
        <f>IFERROR(__xludf.DUMMYFUNCTION("""COMPUTED_VALUE"""),-1.0)</f>
        <v>-1</v>
      </c>
      <c r="AT431" s="16">
        <f>IFERROR(__xludf.DUMMYFUNCTION("""COMPUTED_VALUE"""),0.0)</f>
        <v>0</v>
      </c>
      <c r="AU431" s="16">
        <f>IFERROR(__xludf.DUMMYFUNCTION("""COMPUTED_VALUE"""),-2.0)</f>
        <v>-2</v>
      </c>
      <c r="AV431" s="16">
        <f>IFERROR(__xludf.DUMMYFUNCTION("""COMPUTED_VALUE"""),0.0)</f>
        <v>0</v>
      </c>
      <c r="AW431" s="16">
        <f>IFERROR(__xludf.DUMMYFUNCTION("""COMPUTED_VALUE"""),4.0)</f>
        <v>4</v>
      </c>
      <c r="AX431" s="16">
        <f>IFERROR(__xludf.DUMMYFUNCTION("""COMPUTED_VALUE"""),0.0)</f>
        <v>0</v>
      </c>
      <c r="AY431" s="16">
        <f>IFERROR(__xludf.DUMMYFUNCTION("""COMPUTED_VALUE"""),-2.0)</f>
        <v>-2</v>
      </c>
      <c r="AZ431" s="16">
        <f>IFERROR(__xludf.DUMMYFUNCTION("""COMPUTED_VALUE"""),2.0)</f>
        <v>2</v>
      </c>
      <c r="BA431" s="16">
        <f>IFERROR(__xludf.DUMMYFUNCTION("""COMPUTED_VALUE"""),-10.0)</f>
        <v>-10</v>
      </c>
      <c r="BB431" s="16">
        <f>IFERROR(__xludf.DUMMYFUNCTION("""COMPUTED_VALUE"""),10.0)</f>
        <v>10</v>
      </c>
      <c r="BC431" s="16">
        <f>IFERROR(__xludf.DUMMYFUNCTION("""COMPUTED_VALUE"""),6.0)</f>
        <v>6</v>
      </c>
      <c r="BD431" s="16">
        <f>IFERROR(__xludf.DUMMYFUNCTION("""COMPUTED_VALUE"""),0.0)</f>
        <v>0</v>
      </c>
      <c r="BE431" s="16">
        <f>IFERROR(__xludf.DUMMYFUNCTION("""COMPUTED_VALUE"""),6.0)</f>
        <v>6</v>
      </c>
      <c r="BF431" s="16">
        <f>IFERROR(__xludf.DUMMYFUNCTION("""COMPUTED_VALUE"""),0.0)</f>
        <v>0</v>
      </c>
      <c r="BG431" s="16">
        <f>IFERROR(__xludf.DUMMYFUNCTION("""COMPUTED_VALUE"""),-3.0)</f>
        <v>-3</v>
      </c>
      <c r="BH431" s="16">
        <f>IFERROR(__xludf.DUMMYFUNCTION("""COMPUTED_VALUE"""),2.0)</f>
        <v>2</v>
      </c>
      <c r="BI431" s="16">
        <f>IFERROR(__xludf.DUMMYFUNCTION("""COMPUTED_VALUE"""),-6.0)</f>
        <v>-6</v>
      </c>
      <c r="BJ431" s="16">
        <f>IFERROR(__xludf.DUMMYFUNCTION("""COMPUTED_VALUE"""),4.0)</f>
        <v>4</v>
      </c>
      <c r="BK431" s="16">
        <f>IFERROR(__xludf.DUMMYFUNCTION("""COMPUTED_VALUE"""),5.0)</f>
        <v>5</v>
      </c>
      <c r="BL431" s="16">
        <f>IFERROR(__xludf.DUMMYFUNCTION("""COMPUTED_VALUE"""),5.0)</f>
        <v>5</v>
      </c>
      <c r="BM431" s="16">
        <f>IFERROR(__xludf.DUMMYFUNCTION("""COMPUTED_VALUE"""),0.0)</f>
        <v>0</v>
      </c>
      <c r="BN431" s="16">
        <f>IFERROR(__xludf.DUMMYFUNCTION("""COMPUTED_VALUE"""),0.0)</f>
        <v>0</v>
      </c>
      <c r="BO431" s="16">
        <f>IFERROR(__xludf.DUMMYFUNCTION("""COMPUTED_VALUE"""),0.0)</f>
        <v>0</v>
      </c>
      <c r="BP431" s="16">
        <f>IFERROR(__xludf.DUMMYFUNCTION("""COMPUTED_VALUE"""),0.0)</f>
        <v>0</v>
      </c>
      <c r="BQ431" s="16">
        <f>IFERROR(__xludf.DUMMYFUNCTION("""COMPUTED_VALUE"""),6.0)</f>
        <v>6</v>
      </c>
      <c r="BR431" s="16">
        <f>IFERROR(__xludf.DUMMYFUNCTION("""COMPUTED_VALUE"""),12.0)</f>
        <v>12</v>
      </c>
      <c r="BS431" s="16">
        <f>IFERROR(__xludf.DUMMYFUNCTION("""COMPUTED_VALUE"""),1.0)</f>
        <v>1</v>
      </c>
      <c r="BT431" s="16">
        <f>IFERROR(__xludf.DUMMYFUNCTION("""COMPUTED_VALUE"""),3.0)</f>
        <v>3</v>
      </c>
      <c r="BU431" s="16">
        <f>IFERROR(__xludf.DUMMYFUNCTION("""COMPUTED_VALUE"""),2.0)</f>
        <v>2</v>
      </c>
      <c r="BV431" s="16">
        <f>IFERROR(__xludf.DUMMYFUNCTION("""COMPUTED_VALUE"""),6.0)</f>
        <v>6</v>
      </c>
      <c r="BW431" s="16">
        <f>IFERROR(__xludf.DUMMYFUNCTION("""COMPUTED_VALUE"""),-3.0)</f>
        <v>-3</v>
      </c>
      <c r="BX431" s="16">
        <f>IFERROR(__xludf.DUMMYFUNCTION("""COMPUTED_VALUE"""),-3.0)</f>
        <v>-3</v>
      </c>
      <c r="BY431" s="16" t="str">
        <f>IFERROR(__xludf.DUMMYFUNCTION("""COMPUTED_VALUE"""),"S(4) R(3) C(0)")</f>
        <v>S(4) R(3) C(0)</v>
      </c>
      <c r="BZ431" s="16" t="str">
        <f>IFERROR(__xludf.DUMMYFUNCTION("""COMPUTED_VALUE"""),"S(4) R(3) C(0)")</f>
        <v>S(4) R(3) C(0)</v>
      </c>
      <c r="CA431" s="16" t="str">
        <f>IFERROR(__xludf.DUMMYFUNCTION("""COMPUTED_VALUE"""),"S(4)")</f>
        <v>S(4)</v>
      </c>
      <c r="CB431" s="16" t="str">
        <f>IFERROR(__xludf.DUMMYFUNCTION("""COMPUTED_VALUE"""),"R(3)")</f>
        <v>R(3)</v>
      </c>
      <c r="CC431" s="16" t="str">
        <f>IFERROR(__xludf.DUMMYFUNCTION("""COMPUTED_VALUE"""),"C(0)")</f>
        <v>C(0)</v>
      </c>
      <c r="CD431" s="16">
        <f>IFERROR(__xludf.DUMMYFUNCTION("""COMPUTED_VALUE"""),4.0)</f>
        <v>4</v>
      </c>
      <c r="CE431" s="16">
        <f>IFERROR(__xludf.DUMMYFUNCTION("""COMPUTED_VALUE"""),3.0)</f>
        <v>3</v>
      </c>
      <c r="CF431" s="16">
        <f>IFERROR(__xludf.DUMMYFUNCTION("""COMPUTED_VALUE"""),0.0)</f>
        <v>0</v>
      </c>
      <c r="CG431" s="16" t="str">
        <f>IFERROR(__xludf.DUMMYFUNCTION("""COMPUTED_VALUE"""),"2-0")</f>
        <v>2-0</v>
      </c>
      <c r="CH431" s="16">
        <f>IFERROR(__xludf.DUMMYFUNCTION("""COMPUTED_VALUE"""),2.0)</f>
        <v>2</v>
      </c>
      <c r="CI431" s="16">
        <f>IFERROR(__xludf.DUMMYFUNCTION("""COMPUTED_VALUE"""),0.0)</f>
        <v>0</v>
      </c>
      <c r="CJ431" s="16">
        <f>IFERROR(__xludf.DUMMYFUNCTION("""COMPUTED_VALUE"""),0.0)</f>
        <v>0</v>
      </c>
      <c r="CK431" s="16">
        <f>IFERROR(__xludf.DUMMYFUNCTION("""COMPUTED_VALUE"""),6.0)</f>
        <v>6</v>
      </c>
      <c r="CL431" s="16" t="str">
        <f>IFERROR(__xludf.DUMMYFUNCTION("""COMPUTED_VALUE"""),"1WL-C")</f>
        <v>1WL-C</v>
      </c>
      <c r="CM431" s="16" t="str">
        <f>IFERROR(__xludf.DUMMYFUNCTION("""COMPUTED_VALUE"""),"E")</f>
        <v>E</v>
      </c>
      <c r="CN431" s="16">
        <f>IFERROR(__xludf.DUMMYFUNCTION("""COMPUTED_VALUE"""),10.0)</f>
        <v>10</v>
      </c>
      <c r="CO431" s="16" t="str">
        <f>IFERROR(__xludf.DUMMYFUNCTION("""COMPUTED_VALUE"""),"C")</f>
        <v>C</v>
      </c>
      <c r="CP431" s="16" t="str">
        <f>IFERROR(__xludf.DUMMYFUNCTION("""COMPUTED_VALUE"""),"1p20")</f>
        <v>1p20</v>
      </c>
      <c r="CQ431" s="16">
        <f>IFERROR(__xludf.DUMMYFUNCTION("""COMPUTED_VALUE"""),-45.0)</f>
        <v>-45</v>
      </c>
      <c r="CR431" s="16">
        <f>IFERROR(__xludf.DUMMYFUNCTION("""COMPUTED_VALUE"""),12.0)</f>
        <v>12</v>
      </c>
      <c r="CS431" s="16">
        <f>IFERROR(__xludf.DUMMYFUNCTION("""COMPUTED_VALUE"""),-33.0)</f>
        <v>-33</v>
      </c>
      <c r="CT431" s="16">
        <f>IFERROR(__xludf.DUMMYFUNCTION("""COMPUTED_VALUE"""),-45.0)</f>
        <v>-45</v>
      </c>
      <c r="CU431" s="16">
        <f>IFERROR(__xludf.DUMMYFUNCTION("""COMPUTED_VALUE"""),12.0)</f>
        <v>12</v>
      </c>
      <c r="CV431" s="179">
        <f>IFERROR(__xludf.DUMMYFUNCTION("""COMPUTED_VALUE"""),-19.0)</f>
        <v>-19</v>
      </c>
      <c r="CW431" s="179">
        <f>IFERROR(__xludf.DUMMYFUNCTION("""COMPUTED_VALUE"""),4.0)</f>
        <v>4</v>
      </c>
      <c r="CX431" s="179">
        <f>IFERROR(__xludf.DUMMYFUNCTION("""COMPUTED_VALUE"""),3.0)</f>
        <v>3</v>
      </c>
      <c r="CY431" s="16" t="str">
        <f>IFERROR(__xludf.DUMMYFUNCTION("""COMPUTED_VALUE"""),"SP")</f>
        <v>SP</v>
      </c>
      <c r="CZ431" s="16" t="str">
        <f>IFERROR(__xludf.DUMMYFUNCTION("""COMPUTED_VALUE"""),"RP")</f>
        <v>RP</v>
      </c>
      <c r="DA431" s="16" t="str">
        <f>IFERROR(__xludf.DUMMYFUNCTION("""COMPUTED_VALUE"""),"CP")</f>
        <v>CP</v>
      </c>
      <c r="DB431" s="16"/>
      <c r="DC431" s="16"/>
      <c r="DD431" s="16"/>
      <c r="DE431" s="16"/>
      <c r="DF431" s="16"/>
      <c r="DG431" s="16"/>
      <c r="DH431" s="16"/>
      <c r="DI431" s="16"/>
      <c r="DJ431" s="16"/>
      <c r="DK431" s="16"/>
    </row>
    <row r="432">
      <c r="A432" s="16">
        <f>IFERROR(__xludf.DUMMYFUNCTION("""COMPUTED_VALUE"""),12722.0)</f>
        <v>12722</v>
      </c>
      <c r="B432" s="16" t="str">
        <f>IFERROR(__xludf.DUMMYFUNCTION("""COMPUTED_VALUE"""),"Dane Dunning")</f>
        <v>Dane Dunning</v>
      </c>
      <c r="C432" s="153">
        <f>IFERROR(__xludf.DUMMYFUNCTION("""COMPUTED_VALUE"""),0.0)</f>
        <v>0</v>
      </c>
      <c r="D432" s="16"/>
      <c r="E432" s="16" t="str">
        <f>IFERROR(__xludf.DUMMYFUNCTION("""COMPUTED_VALUE"""),"R")</f>
        <v>R</v>
      </c>
      <c r="F432" s="16">
        <f>IFERROR(__xludf.DUMMYFUNCTION("""COMPUTED_VALUE"""),95.0)</f>
        <v>95</v>
      </c>
      <c r="G432" s="16">
        <f>IFERROR(__xludf.DUMMYFUNCTION("""COMPUTED_VALUE"""),23.0)</f>
        <v>23</v>
      </c>
      <c r="H432" s="16">
        <f>IFERROR(__xludf.DUMMYFUNCTION("""COMPUTED_VALUE"""),21.0)</f>
        <v>21</v>
      </c>
      <c r="I432" s="16">
        <f>IFERROR(__xludf.DUMMYFUNCTION("""COMPUTED_VALUE"""),-1.0)</f>
        <v>-1</v>
      </c>
      <c r="J432" s="16">
        <f>IFERROR(__xludf.DUMMYFUNCTION("""COMPUTED_VALUE"""),-1.0)</f>
        <v>-1</v>
      </c>
      <c r="K432" s="16">
        <f>IFERROR(__xludf.DUMMYFUNCTION("""COMPUTED_VALUE"""),-3.0)</f>
        <v>-3</v>
      </c>
      <c r="L432" s="16">
        <f>IFERROR(__xludf.DUMMYFUNCTION("""COMPUTED_VALUE"""),-3.0)</f>
        <v>-3</v>
      </c>
      <c r="M432" s="16">
        <f>IFERROR(__xludf.DUMMYFUNCTION("""COMPUTED_VALUE"""),14.0)</f>
        <v>14</v>
      </c>
      <c r="N432" s="16">
        <f>IFERROR(__xludf.DUMMYFUNCTION("""COMPUTED_VALUE"""),9.0)</f>
        <v>9</v>
      </c>
      <c r="O432" s="16">
        <f>IFERROR(__xludf.DUMMYFUNCTION("""COMPUTED_VALUE"""),-2.0)</f>
        <v>-2</v>
      </c>
      <c r="P432" s="16">
        <f>IFERROR(__xludf.DUMMYFUNCTION("""COMPUTED_VALUE"""),0.0)</f>
        <v>0</v>
      </c>
      <c r="Q432" s="16">
        <f>IFERROR(__xludf.DUMMYFUNCTION("""COMPUTED_VALUE"""),-2.0)</f>
        <v>-2</v>
      </c>
      <c r="R432" s="16">
        <f>IFERROR(__xludf.DUMMYFUNCTION("""COMPUTED_VALUE"""),0.0)</f>
        <v>0</v>
      </c>
      <c r="S432" s="16">
        <f>IFERROR(__xludf.DUMMYFUNCTION("""COMPUTED_VALUE"""),18.0)</f>
        <v>18</v>
      </c>
      <c r="T432" s="16">
        <f>IFERROR(__xludf.DUMMYFUNCTION("""COMPUTED_VALUE"""),20.1)</f>
        <v>20.1</v>
      </c>
      <c r="U432" s="16">
        <f>IFERROR(__xludf.DUMMYFUNCTION("""COMPUTED_VALUE"""),0.0)</f>
        <v>0</v>
      </c>
      <c r="V432" s="16">
        <f>IFERROR(__xludf.DUMMYFUNCTION("""COMPUTED_VALUE"""),-1.0)</f>
        <v>-1</v>
      </c>
      <c r="W432" s="16">
        <f>IFERROR(__xludf.DUMMYFUNCTION("""COMPUTED_VALUE"""),0.0)</f>
        <v>0</v>
      </c>
      <c r="X432" s="16">
        <f>IFERROR(__xludf.DUMMYFUNCTION("""COMPUTED_VALUE"""),-2.0)</f>
        <v>-2</v>
      </c>
      <c r="Y432" s="16">
        <f>IFERROR(__xludf.DUMMYFUNCTION("""COMPUTED_VALUE"""),32.0)</f>
        <v>32</v>
      </c>
      <c r="Z432" s="16">
        <f>IFERROR(__xludf.DUMMYFUNCTION("""COMPUTED_VALUE"""),29.1)</f>
        <v>29.1</v>
      </c>
      <c r="AA432" s="16">
        <f>IFERROR(__xludf.DUMMYFUNCTION("""COMPUTED_VALUE"""),-1.0)</f>
        <v>-1</v>
      </c>
      <c r="AB432" s="16">
        <f>IFERROR(__xludf.DUMMYFUNCTION("""COMPUTED_VALUE"""),-1.0)</f>
        <v>-1</v>
      </c>
      <c r="AC432" s="16">
        <f>IFERROR(__xludf.DUMMYFUNCTION("""COMPUTED_VALUE"""),-5.0)</f>
        <v>-5</v>
      </c>
      <c r="AD432" s="16">
        <f>IFERROR(__xludf.DUMMYFUNCTION("""COMPUTED_VALUE"""),-5.0)</f>
        <v>-5</v>
      </c>
      <c r="AE432" s="16">
        <f>IFERROR(__xludf.DUMMYFUNCTION("""COMPUTED_VALUE"""),39.8)</f>
        <v>39.8</v>
      </c>
      <c r="AF432" s="16">
        <f>IFERROR(__xludf.DUMMYFUNCTION("""COMPUTED_VALUE"""),31.3)</f>
        <v>31.3</v>
      </c>
      <c r="AG432" s="16">
        <f>IFERROR(__xludf.DUMMYFUNCTION("""COMPUTED_VALUE"""),-1.0)</f>
        <v>-1</v>
      </c>
      <c r="AH432" s="16">
        <f>IFERROR(__xludf.DUMMYFUNCTION("""COMPUTED_VALUE"""),0.0)</f>
        <v>0</v>
      </c>
      <c r="AI432" s="16">
        <f>IFERROR(__xludf.DUMMYFUNCTION("""COMPUTED_VALUE"""),-2.0)</f>
        <v>-2</v>
      </c>
      <c r="AJ432" s="16">
        <f>IFERROR(__xludf.DUMMYFUNCTION("""COMPUTED_VALUE"""),0.0)</f>
        <v>0</v>
      </c>
      <c r="AK432" s="16">
        <f>IFERROR(__xludf.DUMMYFUNCTION("""COMPUTED_VALUE"""),13.7)</f>
        <v>13.7</v>
      </c>
      <c r="AL432" s="16">
        <f>IFERROR(__xludf.DUMMYFUNCTION("""COMPUTED_VALUE"""),17.5)</f>
        <v>17.5</v>
      </c>
      <c r="AM432" s="16">
        <f>IFERROR(__xludf.DUMMYFUNCTION("""COMPUTED_VALUE"""),0.0)</f>
        <v>0</v>
      </c>
      <c r="AN432" s="16">
        <f>IFERROR(__xludf.DUMMYFUNCTION("""COMPUTED_VALUE"""),-1.0)</f>
        <v>-1</v>
      </c>
      <c r="AO432" s="16">
        <f>IFERROR(__xludf.DUMMYFUNCTION("""COMPUTED_VALUE"""),0.0)</f>
        <v>0</v>
      </c>
      <c r="AP432" s="16">
        <f>IFERROR(__xludf.DUMMYFUNCTION("""COMPUTED_VALUE"""),-1.0)</f>
        <v>-1</v>
      </c>
      <c r="AQ432" s="16">
        <f>IFERROR(__xludf.DUMMYFUNCTION("""COMPUTED_VALUE"""),22.599999999999998)</f>
        <v>22.6</v>
      </c>
      <c r="AR432" s="16">
        <f>IFERROR(__xludf.DUMMYFUNCTION("""COMPUTED_VALUE"""),20.9)</f>
        <v>20.9</v>
      </c>
      <c r="AS432" s="16">
        <f>IFERROR(__xludf.DUMMYFUNCTION("""COMPUTED_VALUE"""),0.0)</f>
        <v>0</v>
      </c>
      <c r="AT432" s="16">
        <f>IFERROR(__xludf.DUMMYFUNCTION("""COMPUTED_VALUE"""),0.0)</f>
        <v>0</v>
      </c>
      <c r="AU432" s="16">
        <f>IFERROR(__xludf.DUMMYFUNCTION("""COMPUTED_VALUE"""),0.0)</f>
        <v>0</v>
      </c>
      <c r="AV432" s="16">
        <f>IFERROR(__xludf.DUMMYFUNCTION("""COMPUTED_VALUE"""),0.0)</f>
        <v>0</v>
      </c>
      <c r="AW432" s="16">
        <f>IFERROR(__xludf.DUMMYFUNCTION("""COMPUTED_VALUE"""),4.3)</f>
        <v>4.3</v>
      </c>
      <c r="AX432" s="16">
        <f>IFERROR(__xludf.DUMMYFUNCTION("""COMPUTED_VALUE"""),2.6)</f>
        <v>2.6</v>
      </c>
      <c r="AY432" s="16">
        <f>IFERROR(__xludf.DUMMYFUNCTION("""COMPUTED_VALUE"""),-2.0)</f>
        <v>-2</v>
      </c>
      <c r="AZ432" s="16">
        <f>IFERROR(__xludf.DUMMYFUNCTION("""COMPUTED_VALUE"""),-1.0)</f>
        <v>-1</v>
      </c>
      <c r="BA432" s="16">
        <f>IFERROR(__xludf.DUMMYFUNCTION("""COMPUTED_VALUE"""),-10.0)</f>
        <v>-10</v>
      </c>
      <c r="BB432" s="16">
        <f>IFERROR(__xludf.DUMMYFUNCTION("""COMPUTED_VALUE"""),-5.0)</f>
        <v>-5</v>
      </c>
      <c r="BC432" s="16">
        <f>IFERROR(__xludf.DUMMYFUNCTION("""COMPUTED_VALUE"""),5.0)</f>
        <v>5</v>
      </c>
      <c r="BD432" s="16">
        <f>IFERROR(__xludf.DUMMYFUNCTION("""COMPUTED_VALUE"""),4.0)</f>
        <v>4</v>
      </c>
      <c r="BE432" s="16">
        <f>IFERROR(__xludf.DUMMYFUNCTION("""COMPUTED_VALUE"""),5.0)</f>
        <v>5</v>
      </c>
      <c r="BF432" s="16">
        <f>IFERROR(__xludf.DUMMYFUNCTION("""COMPUTED_VALUE"""),4.0)</f>
        <v>4</v>
      </c>
      <c r="BG432" s="16">
        <f>IFERROR(__xludf.DUMMYFUNCTION("""COMPUTED_VALUE"""),-2.0)</f>
        <v>-2</v>
      </c>
      <c r="BH432" s="16">
        <f>IFERROR(__xludf.DUMMYFUNCTION("""COMPUTED_VALUE"""),-1.0)</f>
        <v>-1</v>
      </c>
      <c r="BI432" s="16">
        <f>IFERROR(__xludf.DUMMYFUNCTION("""COMPUTED_VALUE"""),-4.0)</f>
        <v>-4</v>
      </c>
      <c r="BJ432" s="16">
        <f>IFERROR(__xludf.DUMMYFUNCTION("""COMPUTED_VALUE"""),-2.0)</f>
        <v>-2</v>
      </c>
      <c r="BK432" s="16">
        <f>IFERROR(__xludf.DUMMYFUNCTION("""COMPUTED_VALUE"""),5.0)</f>
        <v>5</v>
      </c>
      <c r="BL432" s="16">
        <f>IFERROR(__xludf.DUMMYFUNCTION("""COMPUTED_VALUE"""),5.0)</f>
        <v>5</v>
      </c>
      <c r="BM432" s="16">
        <f>IFERROR(__xludf.DUMMYFUNCTION("""COMPUTED_VALUE"""),0.0)</f>
        <v>0</v>
      </c>
      <c r="BN432" s="16">
        <f>IFERROR(__xludf.DUMMYFUNCTION("""COMPUTED_VALUE"""),0.0)</f>
        <v>0</v>
      </c>
      <c r="BO432" s="16">
        <f>IFERROR(__xludf.DUMMYFUNCTION("""COMPUTED_VALUE"""),0.0)</f>
        <v>0</v>
      </c>
      <c r="BP432" s="16">
        <f>IFERROR(__xludf.DUMMYFUNCTION("""COMPUTED_VALUE"""),0.0)</f>
        <v>0</v>
      </c>
      <c r="BQ432" s="16">
        <f>IFERROR(__xludf.DUMMYFUNCTION("""COMPUTED_VALUE"""),6.0)</f>
        <v>6</v>
      </c>
      <c r="BR432" s="16">
        <f>IFERROR(__xludf.DUMMYFUNCTION("""COMPUTED_VALUE"""),5.0)</f>
        <v>5</v>
      </c>
      <c r="BS432" s="16">
        <f>IFERROR(__xludf.DUMMYFUNCTION("""COMPUTED_VALUE"""),1.0)</f>
        <v>1</v>
      </c>
      <c r="BT432" s="16">
        <f>IFERROR(__xludf.DUMMYFUNCTION("""COMPUTED_VALUE"""),0.0)</f>
        <v>0</v>
      </c>
      <c r="BU432" s="16">
        <f>IFERROR(__xludf.DUMMYFUNCTION("""COMPUTED_VALUE"""),2.0)</f>
        <v>2</v>
      </c>
      <c r="BV432" s="16">
        <f>IFERROR(__xludf.DUMMYFUNCTION("""COMPUTED_VALUE"""),0.0)</f>
        <v>0</v>
      </c>
      <c r="BW432" s="16">
        <f>IFERROR(__xludf.DUMMYFUNCTION("""COMPUTED_VALUE"""),0.0)</f>
        <v>0</v>
      </c>
      <c r="BX432" s="16">
        <f>IFERROR(__xludf.DUMMYFUNCTION("""COMPUTED_VALUE"""),0.0)</f>
        <v>0</v>
      </c>
      <c r="BY432" s="16" t="str">
        <f>IFERROR(__xludf.DUMMYFUNCTION("""COMPUTED_VALUE"""),"S(5) R(3)")</f>
        <v>S(5) R(3)</v>
      </c>
      <c r="BZ432" s="16" t="str">
        <f>IFERROR(__xludf.DUMMYFUNCTION("""COMPUTED_VALUE"""),"S(5) R(3)")</f>
        <v>S(5) R(3)</v>
      </c>
      <c r="CA432" s="16" t="str">
        <f>IFERROR(__xludf.DUMMYFUNCTION("""COMPUTED_VALUE"""),"S(5)")</f>
        <v>S(5)</v>
      </c>
      <c r="CB432" s="16" t="str">
        <f>IFERROR(__xludf.DUMMYFUNCTION("""COMPUTED_VALUE"""),"R(3)")</f>
        <v>R(3)</v>
      </c>
      <c r="CC432" s="16"/>
      <c r="CD432" s="16">
        <f>IFERROR(__xludf.DUMMYFUNCTION("""COMPUTED_VALUE"""),5.0)</f>
        <v>5</v>
      </c>
      <c r="CE432" s="16">
        <f>IFERROR(__xludf.DUMMYFUNCTION("""COMPUTED_VALUE"""),3.0)</f>
        <v>3</v>
      </c>
      <c r="CF432" s="16"/>
      <c r="CG432" s="16" t="str">
        <f>IFERROR(__xludf.DUMMYFUNCTION("""COMPUTED_VALUE"""),"2-15")</f>
        <v>2-15</v>
      </c>
      <c r="CH432" s="16">
        <f>IFERROR(__xludf.DUMMYFUNCTION("""COMPUTED_VALUE"""),2.0)</f>
        <v>2</v>
      </c>
      <c r="CI432" s="16">
        <f>IFERROR(__xludf.DUMMYFUNCTION("""COMPUTED_VALUE"""),15.0)</f>
        <v>15</v>
      </c>
      <c r="CJ432" s="16">
        <f>IFERROR(__xludf.DUMMYFUNCTION("""COMPUTED_VALUE"""),0.0)</f>
        <v>0</v>
      </c>
      <c r="CK432" s="16">
        <f>IFERROR(__xludf.DUMMYFUNCTION("""COMPUTED_VALUE"""),4.0)</f>
        <v>4</v>
      </c>
      <c r="CL432" s="16" t="str">
        <f>IFERROR(__xludf.DUMMYFUNCTION("""COMPUTED_VALUE"""),"1WR-C")</f>
        <v>1WR-C</v>
      </c>
      <c r="CM432" s="16" t="str">
        <f>IFERROR(__xludf.DUMMYFUNCTION("""COMPUTED_VALUE"""),"E")</f>
        <v>E</v>
      </c>
      <c r="CN432" s="16">
        <f>IFERROR(__xludf.DUMMYFUNCTION("""COMPUTED_VALUE"""),10.0)</f>
        <v>10</v>
      </c>
      <c r="CO432" s="16" t="str">
        <f>IFERROR(__xludf.DUMMYFUNCTION("""COMPUTED_VALUE"""),"C")</f>
        <v>C</v>
      </c>
      <c r="CP432" s="16" t="str">
        <f>IFERROR(__xludf.DUMMYFUNCTION("""COMPUTED_VALUE"""),"2p50")</f>
        <v>2p50</v>
      </c>
      <c r="CQ432" s="16">
        <f>IFERROR(__xludf.DUMMYFUNCTION("""COMPUTED_VALUE"""),-24.0)</f>
        <v>-24</v>
      </c>
      <c r="CR432" s="16">
        <f>IFERROR(__xludf.DUMMYFUNCTION("""COMPUTED_VALUE"""),-18.0)</f>
        <v>-18</v>
      </c>
      <c r="CS432" s="16">
        <f>IFERROR(__xludf.DUMMYFUNCTION("""COMPUTED_VALUE"""),-42.0)</f>
        <v>-42</v>
      </c>
      <c r="CT432" s="16">
        <f>IFERROR(__xludf.DUMMYFUNCTION("""COMPUTED_VALUE"""),-24.0)</f>
        <v>-24</v>
      </c>
      <c r="CU432" s="16">
        <f>IFERROR(__xludf.DUMMYFUNCTION("""COMPUTED_VALUE"""),-18.0)</f>
        <v>-18</v>
      </c>
      <c r="CV432" s="179">
        <f>IFERROR(__xludf.DUMMYFUNCTION("""COMPUTED_VALUE"""),-19.0)</f>
        <v>-19</v>
      </c>
      <c r="CW432" s="179">
        <f>IFERROR(__xludf.DUMMYFUNCTION("""COMPUTED_VALUE"""),3.0)</f>
        <v>3</v>
      </c>
      <c r="CX432" s="179">
        <f>IFERROR(__xludf.DUMMYFUNCTION("""COMPUTED_VALUE"""),0.0)</f>
        <v>0</v>
      </c>
      <c r="CY432" s="16" t="str">
        <f>IFERROR(__xludf.DUMMYFUNCTION("""COMPUTED_VALUE"""),"SP")</f>
        <v>SP</v>
      </c>
      <c r="CZ432" s="16" t="str">
        <f>IFERROR(__xludf.DUMMYFUNCTION("""COMPUTED_VALUE"""),"RP")</f>
        <v>RP</v>
      </c>
      <c r="DA432" s="16"/>
      <c r="DB432" s="16"/>
      <c r="DC432" s="16"/>
      <c r="DD432" s="16"/>
      <c r="DE432" s="16"/>
      <c r="DF432" s="16"/>
      <c r="DG432" s="16"/>
      <c r="DH432" s="16"/>
      <c r="DI432" s="16"/>
      <c r="DJ432" s="16"/>
      <c r="DK432" s="16"/>
    </row>
    <row r="433">
      <c r="A433" s="16">
        <f>IFERROR(__xludf.DUMMYFUNCTION("""COMPUTED_VALUE"""),13276.0)</f>
        <v>13276</v>
      </c>
      <c r="B433" s="16" t="str">
        <f>IFERROR(__xludf.DUMMYFUNCTION("""COMPUTED_VALUE"""),"Paul Blackburn")</f>
        <v>Paul Blackburn</v>
      </c>
      <c r="C433" s="153">
        <f>IFERROR(__xludf.DUMMYFUNCTION("""COMPUTED_VALUE"""),0.29)</f>
        <v>0.29</v>
      </c>
      <c r="D433" s="16"/>
      <c r="E433" s="16" t="str">
        <f>IFERROR(__xludf.DUMMYFUNCTION("""COMPUTED_VALUE"""),"R")</f>
        <v>R</v>
      </c>
      <c r="F433" s="16">
        <f>IFERROR(__xludf.DUMMYFUNCTION("""COMPUTED_VALUE"""),75.0)</f>
        <v>75</v>
      </c>
      <c r="G433" s="16">
        <f>IFERROR(__xludf.DUMMYFUNCTION("""COMPUTED_VALUE"""),21.0)</f>
        <v>21</v>
      </c>
      <c r="H433" s="16">
        <f>IFERROR(__xludf.DUMMYFUNCTION("""COMPUTED_VALUE"""),11.0)</f>
        <v>11</v>
      </c>
      <c r="I433" s="16">
        <f>IFERROR(__xludf.DUMMYFUNCTION("""COMPUTED_VALUE"""),-1.0)</f>
        <v>-1</v>
      </c>
      <c r="J433" s="16">
        <f>IFERROR(__xludf.DUMMYFUNCTION("""COMPUTED_VALUE"""),-2.0)</f>
        <v>-2</v>
      </c>
      <c r="K433" s="16">
        <f>IFERROR(__xludf.DUMMYFUNCTION("""COMPUTED_VALUE"""),-3.0)</f>
        <v>-3</v>
      </c>
      <c r="L433" s="16">
        <f>IFERROR(__xludf.DUMMYFUNCTION("""COMPUTED_VALUE"""),-6.0)</f>
        <v>-6</v>
      </c>
      <c r="M433" s="16">
        <f>IFERROR(__xludf.DUMMYFUNCTION("""COMPUTED_VALUE"""),2.0)</f>
        <v>2</v>
      </c>
      <c r="N433" s="16">
        <f>IFERROR(__xludf.DUMMYFUNCTION("""COMPUTED_VALUE"""),9.0)</f>
        <v>9</v>
      </c>
      <c r="O433" s="16">
        <f>IFERROR(__xludf.DUMMYFUNCTION("""COMPUTED_VALUE"""),2.0)</f>
        <v>2</v>
      </c>
      <c r="P433" s="16">
        <f>IFERROR(__xludf.DUMMYFUNCTION("""COMPUTED_VALUE"""),0.0)</f>
        <v>0</v>
      </c>
      <c r="Q433" s="16">
        <f>IFERROR(__xludf.DUMMYFUNCTION("""COMPUTED_VALUE"""),2.0)</f>
        <v>2</v>
      </c>
      <c r="R433" s="16">
        <f>IFERROR(__xludf.DUMMYFUNCTION("""COMPUTED_VALUE"""),0.0)</f>
        <v>0</v>
      </c>
      <c r="S433" s="16">
        <f>IFERROR(__xludf.DUMMYFUNCTION("""COMPUTED_VALUE"""),15.5)</f>
        <v>15.5</v>
      </c>
      <c r="T433" s="16">
        <f>IFERROR(__xludf.DUMMYFUNCTION("""COMPUTED_VALUE"""),24.5)</f>
        <v>24.5</v>
      </c>
      <c r="U433" s="16">
        <f>IFERROR(__xludf.DUMMYFUNCTION("""COMPUTED_VALUE"""),0.0)</f>
        <v>0</v>
      </c>
      <c r="V433" s="16">
        <f>IFERROR(__xludf.DUMMYFUNCTION("""COMPUTED_VALUE"""),-2.0)</f>
        <v>-2</v>
      </c>
      <c r="W433" s="16">
        <f>IFERROR(__xludf.DUMMYFUNCTION("""COMPUTED_VALUE"""),0.0)</f>
        <v>0</v>
      </c>
      <c r="X433" s="16">
        <f>IFERROR(__xludf.DUMMYFUNCTION("""COMPUTED_VALUE"""),-4.0)</f>
        <v>-4</v>
      </c>
      <c r="Y433" s="16">
        <f>IFERROR(__xludf.DUMMYFUNCTION("""COMPUTED_VALUE"""),17.5)</f>
        <v>17.5</v>
      </c>
      <c r="Z433" s="16">
        <f>IFERROR(__xludf.DUMMYFUNCTION("""COMPUTED_VALUE"""),33.5)</f>
        <v>33.5</v>
      </c>
      <c r="AA433" s="16">
        <f>IFERROR(__xludf.DUMMYFUNCTION("""COMPUTED_VALUE"""),1.0)</f>
        <v>1</v>
      </c>
      <c r="AB433" s="16">
        <f>IFERROR(__xludf.DUMMYFUNCTION("""COMPUTED_VALUE"""),-1.0)</f>
        <v>-1</v>
      </c>
      <c r="AC433" s="16">
        <f>IFERROR(__xludf.DUMMYFUNCTION("""COMPUTED_VALUE"""),5.0)</f>
        <v>5</v>
      </c>
      <c r="AD433" s="16">
        <f>IFERROR(__xludf.DUMMYFUNCTION("""COMPUTED_VALUE"""),-5.0)</f>
        <v>-5</v>
      </c>
      <c r="AE433" s="16">
        <f>IFERROR(__xludf.DUMMYFUNCTION("""COMPUTED_VALUE"""),24.7)</f>
        <v>24.7</v>
      </c>
      <c r="AF433" s="16">
        <f>IFERROR(__xludf.DUMMYFUNCTION("""COMPUTED_VALUE"""),47.8)</f>
        <v>47.8</v>
      </c>
      <c r="AG433" s="16">
        <f>IFERROR(__xludf.DUMMYFUNCTION("""COMPUTED_VALUE"""),0.0)</f>
        <v>0</v>
      </c>
      <c r="AH433" s="16">
        <f>IFERROR(__xludf.DUMMYFUNCTION("""COMPUTED_VALUE"""),-2.0)</f>
        <v>-2</v>
      </c>
      <c r="AI433" s="16">
        <f>IFERROR(__xludf.DUMMYFUNCTION("""COMPUTED_VALUE"""),0.0)</f>
        <v>0</v>
      </c>
      <c r="AJ433" s="16">
        <f>IFERROR(__xludf.DUMMYFUNCTION("""COMPUTED_VALUE"""),-4.0)</f>
        <v>-4</v>
      </c>
      <c r="AK433" s="16">
        <f>IFERROR(__xludf.DUMMYFUNCTION("""COMPUTED_VALUE"""),14.1)</f>
        <v>14.1</v>
      </c>
      <c r="AL433" s="16">
        <f>IFERROR(__xludf.DUMMYFUNCTION("""COMPUTED_VALUE"""),19.3)</f>
        <v>19.3</v>
      </c>
      <c r="AM433" s="16">
        <f>IFERROR(__xludf.DUMMYFUNCTION("""COMPUTED_VALUE"""),0.0)</f>
        <v>0</v>
      </c>
      <c r="AN433" s="16">
        <f>IFERROR(__xludf.DUMMYFUNCTION("""COMPUTED_VALUE"""),-1.0)</f>
        <v>-1</v>
      </c>
      <c r="AO433" s="16">
        <f>IFERROR(__xludf.DUMMYFUNCTION("""COMPUTED_VALUE"""),0.0)</f>
        <v>0</v>
      </c>
      <c r="AP433" s="16">
        <f>IFERROR(__xludf.DUMMYFUNCTION("""COMPUTED_VALUE"""),-1.0)</f>
        <v>-1</v>
      </c>
      <c r="AQ433" s="16">
        <f>IFERROR(__xludf.DUMMYFUNCTION("""COMPUTED_VALUE"""),19.1)</f>
        <v>19.1</v>
      </c>
      <c r="AR433" s="16">
        <f>IFERROR(__xludf.DUMMYFUNCTION("""COMPUTED_VALUE"""),26.999999999999996)</f>
        <v>27</v>
      </c>
      <c r="AS433" s="16">
        <f>IFERROR(__xludf.DUMMYFUNCTION("""COMPUTED_VALUE"""),0.0)</f>
        <v>0</v>
      </c>
      <c r="AT433" s="16">
        <f>IFERROR(__xludf.DUMMYFUNCTION("""COMPUTED_VALUE"""),-1.0)</f>
        <v>-1</v>
      </c>
      <c r="AU433" s="16">
        <f>IFERROR(__xludf.DUMMYFUNCTION("""COMPUTED_VALUE"""),0.0)</f>
        <v>0</v>
      </c>
      <c r="AV433" s="16">
        <f>IFERROR(__xludf.DUMMYFUNCTION("""COMPUTED_VALUE"""),-2.0)</f>
        <v>-2</v>
      </c>
      <c r="AW433" s="16">
        <f>IFERROR(__xludf.DUMMYFUNCTION("""COMPUTED_VALUE"""),1.4)</f>
        <v>1.4</v>
      </c>
      <c r="AX433" s="16">
        <f>IFERROR(__xludf.DUMMYFUNCTION("""COMPUTED_VALUE"""),5.2)</f>
        <v>5.2</v>
      </c>
      <c r="AY433" s="16">
        <f>IFERROR(__xludf.DUMMYFUNCTION("""COMPUTED_VALUE"""),1.0)</f>
        <v>1</v>
      </c>
      <c r="AZ433" s="16">
        <f>IFERROR(__xludf.DUMMYFUNCTION("""COMPUTED_VALUE"""),-3.0)</f>
        <v>-3</v>
      </c>
      <c r="BA433" s="16">
        <f>IFERROR(__xludf.DUMMYFUNCTION("""COMPUTED_VALUE"""),5.0)</f>
        <v>5</v>
      </c>
      <c r="BB433" s="16">
        <f>IFERROR(__xludf.DUMMYFUNCTION("""COMPUTED_VALUE"""),-15.0)</f>
        <v>-15</v>
      </c>
      <c r="BC433" s="16">
        <f>IFERROR(__xludf.DUMMYFUNCTION("""COMPUTED_VALUE"""),2.0)</f>
        <v>2</v>
      </c>
      <c r="BD433" s="16">
        <f>IFERROR(__xludf.DUMMYFUNCTION("""COMPUTED_VALUE"""),8.0)</f>
        <v>8</v>
      </c>
      <c r="BE433" s="16">
        <f>IFERROR(__xludf.DUMMYFUNCTION("""COMPUTED_VALUE"""),2.0)</f>
        <v>2</v>
      </c>
      <c r="BF433" s="16">
        <f>IFERROR(__xludf.DUMMYFUNCTION("""COMPUTED_VALUE"""),8.0)</f>
        <v>8</v>
      </c>
      <c r="BG433" s="16">
        <f>IFERROR(__xludf.DUMMYFUNCTION("""COMPUTED_VALUE"""),1.0)</f>
        <v>1</v>
      </c>
      <c r="BH433" s="16">
        <f>IFERROR(__xludf.DUMMYFUNCTION("""COMPUTED_VALUE"""),-3.0)</f>
        <v>-3</v>
      </c>
      <c r="BI433" s="16">
        <f>IFERROR(__xludf.DUMMYFUNCTION("""COMPUTED_VALUE"""),2.0)</f>
        <v>2</v>
      </c>
      <c r="BJ433" s="16">
        <f>IFERROR(__xludf.DUMMYFUNCTION("""COMPUTED_VALUE"""),-6.0)</f>
        <v>-6</v>
      </c>
      <c r="BK433" s="16">
        <f>IFERROR(__xludf.DUMMYFUNCTION("""COMPUTED_VALUE"""),5.0)</f>
        <v>5</v>
      </c>
      <c r="BL433" s="16">
        <f>IFERROR(__xludf.DUMMYFUNCTION("""COMPUTED_VALUE"""),5.0)</f>
        <v>5</v>
      </c>
      <c r="BM433" s="16">
        <f>IFERROR(__xludf.DUMMYFUNCTION("""COMPUTED_VALUE"""),0.0)</f>
        <v>0</v>
      </c>
      <c r="BN433" s="16">
        <f>IFERROR(__xludf.DUMMYFUNCTION("""COMPUTED_VALUE"""),0.0)</f>
        <v>0</v>
      </c>
      <c r="BO433" s="16">
        <f>IFERROR(__xludf.DUMMYFUNCTION("""COMPUTED_VALUE"""),0.0)</f>
        <v>0</v>
      </c>
      <c r="BP433" s="16">
        <f>IFERROR(__xludf.DUMMYFUNCTION("""COMPUTED_VALUE"""),0.0)</f>
        <v>0</v>
      </c>
      <c r="BQ433" s="16">
        <f>IFERROR(__xludf.DUMMYFUNCTION("""COMPUTED_VALUE"""),9.0)</f>
        <v>9</v>
      </c>
      <c r="BR433" s="16">
        <f>IFERROR(__xludf.DUMMYFUNCTION("""COMPUTED_VALUE"""),8.0)</f>
        <v>8</v>
      </c>
      <c r="BS433" s="16">
        <f>IFERROR(__xludf.DUMMYFUNCTION("""COMPUTED_VALUE"""),3.0)</f>
        <v>3</v>
      </c>
      <c r="BT433" s="16">
        <f>IFERROR(__xludf.DUMMYFUNCTION("""COMPUTED_VALUE"""),2.0)</f>
        <v>2</v>
      </c>
      <c r="BU433" s="16">
        <f>IFERROR(__xludf.DUMMYFUNCTION("""COMPUTED_VALUE"""),6.0)</f>
        <v>6</v>
      </c>
      <c r="BV433" s="16">
        <f>IFERROR(__xludf.DUMMYFUNCTION("""COMPUTED_VALUE"""),4.0)</f>
        <v>4</v>
      </c>
      <c r="BW433" s="16">
        <f>IFERROR(__xludf.DUMMYFUNCTION("""COMPUTED_VALUE"""),-1.0)</f>
        <v>-1</v>
      </c>
      <c r="BX433" s="16">
        <f>IFERROR(__xludf.DUMMYFUNCTION("""COMPUTED_VALUE"""),-1.0)</f>
        <v>-1</v>
      </c>
      <c r="BY433" s="16" t="str">
        <f>IFERROR(__xludf.DUMMYFUNCTION("""COMPUTED_VALUE"""),"S(6)")</f>
        <v>S(6)</v>
      </c>
      <c r="BZ433" s="16" t="str">
        <f>IFERROR(__xludf.DUMMYFUNCTION("""COMPUTED_VALUE"""),"S(6)")</f>
        <v>S(6)</v>
      </c>
      <c r="CA433" s="16" t="str">
        <f>IFERROR(__xludf.DUMMYFUNCTION("""COMPUTED_VALUE"""),"S(6)")</f>
        <v>S(6)</v>
      </c>
      <c r="CB433" s="16"/>
      <c r="CC433" s="16"/>
      <c r="CD433" s="16">
        <f>IFERROR(__xludf.DUMMYFUNCTION("""COMPUTED_VALUE"""),6.0)</f>
        <v>6</v>
      </c>
      <c r="CE433" s="16"/>
      <c r="CF433" s="16"/>
      <c r="CG433" s="16" t="str">
        <f>IFERROR(__xludf.DUMMYFUNCTION("""COMPUTED_VALUE"""),"2-19")</f>
        <v>2-19</v>
      </c>
      <c r="CH433" s="16">
        <f>IFERROR(__xludf.DUMMYFUNCTION("""COMPUTED_VALUE"""),2.0)</f>
        <v>2</v>
      </c>
      <c r="CI433" s="16">
        <f>IFERROR(__xludf.DUMMYFUNCTION("""COMPUTED_VALUE"""),19.0)</f>
        <v>19</v>
      </c>
      <c r="CJ433" s="16">
        <f>IFERROR(__xludf.DUMMYFUNCTION("""COMPUTED_VALUE"""),0.0)</f>
        <v>0</v>
      </c>
      <c r="CK433" s="16">
        <f>IFERROR(__xludf.DUMMYFUNCTION("""COMPUTED_VALUE"""),0.0)</f>
        <v>0</v>
      </c>
      <c r="CL433" s="16" t="str">
        <f>IFERROR(__xludf.DUMMYFUNCTION("""COMPUTED_VALUE"""),"1WR-C")</f>
        <v>1WR-C</v>
      </c>
      <c r="CM433" s="16" t="str">
        <f>IFERROR(__xludf.DUMMYFUNCTION("""COMPUTED_VALUE"""),"E")</f>
        <v>E</v>
      </c>
      <c r="CN433" s="16">
        <f>IFERROR(__xludf.DUMMYFUNCTION("""COMPUTED_VALUE"""),10.0)</f>
        <v>10</v>
      </c>
      <c r="CO433" s="16" t="str">
        <f>IFERROR(__xludf.DUMMYFUNCTION("""COMPUTED_VALUE"""),"C")</f>
        <v>C</v>
      </c>
      <c r="CP433" s="16" t="str">
        <f>IFERROR(__xludf.DUMMYFUNCTION("""COMPUTED_VALUE"""),"5p40")</f>
        <v>5p40</v>
      </c>
      <c r="CQ433" s="16">
        <f>IFERROR(__xludf.DUMMYFUNCTION("""COMPUTED_VALUE"""),17.0)</f>
        <v>17</v>
      </c>
      <c r="CR433" s="16">
        <f>IFERROR(__xludf.DUMMYFUNCTION("""COMPUTED_VALUE"""),-39.0)</f>
        <v>-39</v>
      </c>
      <c r="CS433" s="16">
        <f>IFERROR(__xludf.DUMMYFUNCTION("""COMPUTED_VALUE"""),-22.0)</f>
        <v>-22</v>
      </c>
      <c r="CT433" s="16">
        <f>IFERROR(__xludf.DUMMYFUNCTION("""COMPUTED_VALUE"""),17.0)</f>
        <v>17</v>
      </c>
      <c r="CU433" s="16">
        <f>IFERROR(__xludf.DUMMYFUNCTION("""COMPUTED_VALUE"""),-39.0)</f>
        <v>-39</v>
      </c>
      <c r="CV433" s="179">
        <f>IFERROR(__xludf.DUMMYFUNCTION("""COMPUTED_VALUE"""),-19.333333333333332)</f>
        <v>-19.33333333</v>
      </c>
      <c r="CW433" s="179">
        <f>IFERROR(__xludf.DUMMYFUNCTION("""COMPUTED_VALUE"""),0.0)</f>
        <v>0</v>
      </c>
      <c r="CX433" s="179">
        <f>IFERROR(__xludf.DUMMYFUNCTION("""COMPUTED_VALUE"""),1.0)</f>
        <v>1</v>
      </c>
      <c r="CY433" s="16" t="str">
        <f>IFERROR(__xludf.DUMMYFUNCTION("""COMPUTED_VALUE"""),"SP")</f>
        <v>SP</v>
      </c>
      <c r="CZ433" s="16"/>
      <c r="DA433" s="16"/>
      <c r="DB433" s="16"/>
      <c r="DC433" s="16"/>
      <c r="DD433" s="16"/>
      <c r="DE433" s="16"/>
      <c r="DF433" s="16"/>
      <c r="DG433" s="16"/>
      <c r="DH433" s="16"/>
      <c r="DI433" s="16"/>
      <c r="DJ433" s="16"/>
      <c r="DK433" s="16"/>
    </row>
    <row r="434">
      <c r="A434" s="16">
        <f>IFERROR(__xludf.DUMMYFUNCTION("""COMPUTED_VALUE"""),12671.0)</f>
        <v>12671</v>
      </c>
      <c r="B434" s="16" t="str">
        <f>IFERROR(__xludf.DUMMYFUNCTION("""COMPUTED_VALUE"""),"Chase Anderson")</f>
        <v>Chase Anderson</v>
      </c>
      <c r="C434" s="153">
        <f>IFERROR(__xludf.DUMMYFUNCTION("""COMPUTED_VALUE"""),0.0)</f>
        <v>0</v>
      </c>
      <c r="D434" s="16"/>
      <c r="E434" s="16" t="str">
        <f>IFERROR(__xludf.DUMMYFUNCTION("""COMPUTED_VALUE"""),"R")</f>
        <v>R</v>
      </c>
      <c r="F434" s="16">
        <f>IFERROR(__xludf.DUMMYFUNCTION("""COMPUTED_VALUE"""),58.0)</f>
        <v>58</v>
      </c>
      <c r="G434" s="16">
        <f>IFERROR(__xludf.DUMMYFUNCTION("""COMPUTED_VALUE"""),10.0)</f>
        <v>10</v>
      </c>
      <c r="H434" s="16">
        <f>IFERROR(__xludf.DUMMYFUNCTION("""COMPUTED_VALUE"""),14.0)</f>
        <v>14</v>
      </c>
      <c r="I434" s="16">
        <f>IFERROR(__xludf.DUMMYFUNCTION("""COMPUTED_VALUE"""),-2.0)</f>
        <v>-2</v>
      </c>
      <c r="J434" s="16">
        <f>IFERROR(__xludf.DUMMYFUNCTION("""COMPUTED_VALUE"""),-2.0)</f>
        <v>-2</v>
      </c>
      <c r="K434" s="16">
        <f>IFERROR(__xludf.DUMMYFUNCTION("""COMPUTED_VALUE"""),-6.0)</f>
        <v>-6</v>
      </c>
      <c r="L434" s="16">
        <f>IFERROR(__xludf.DUMMYFUNCTION("""COMPUTED_VALUE"""),-6.0)</f>
        <v>-6</v>
      </c>
      <c r="M434" s="16">
        <f>IFERROR(__xludf.DUMMYFUNCTION("""COMPUTED_VALUE"""),12.0)</f>
        <v>12</v>
      </c>
      <c r="N434" s="16">
        <f>IFERROR(__xludf.DUMMYFUNCTION("""COMPUTED_VALUE"""),6.0)</f>
        <v>6</v>
      </c>
      <c r="O434" s="16">
        <f>IFERROR(__xludf.DUMMYFUNCTION("""COMPUTED_VALUE"""),-1.0)</f>
        <v>-1</v>
      </c>
      <c r="P434" s="16">
        <f>IFERROR(__xludf.DUMMYFUNCTION("""COMPUTED_VALUE"""),1.0)</f>
        <v>1</v>
      </c>
      <c r="Q434" s="16">
        <f>IFERROR(__xludf.DUMMYFUNCTION("""COMPUTED_VALUE"""),-1.0)</f>
        <v>-1</v>
      </c>
      <c r="R434" s="16">
        <f>IFERROR(__xludf.DUMMYFUNCTION("""COMPUTED_VALUE"""),1.0)</f>
        <v>1</v>
      </c>
      <c r="S434" s="16">
        <f>IFERROR(__xludf.DUMMYFUNCTION("""COMPUTED_VALUE"""),13.6)</f>
        <v>13.6</v>
      </c>
      <c r="T434" s="16">
        <f>IFERROR(__xludf.DUMMYFUNCTION("""COMPUTED_VALUE"""),14.2)</f>
        <v>14.2</v>
      </c>
      <c r="U434" s="16">
        <f>IFERROR(__xludf.DUMMYFUNCTION("""COMPUTED_VALUE"""),0.0)</f>
        <v>0</v>
      </c>
      <c r="V434" s="16">
        <f>IFERROR(__xludf.DUMMYFUNCTION("""COMPUTED_VALUE"""),0.0)</f>
        <v>0</v>
      </c>
      <c r="W434" s="16">
        <f>IFERROR(__xludf.DUMMYFUNCTION("""COMPUTED_VALUE"""),0.0)</f>
        <v>0</v>
      </c>
      <c r="X434" s="16">
        <f>IFERROR(__xludf.DUMMYFUNCTION("""COMPUTED_VALUE"""),0.0)</f>
        <v>0</v>
      </c>
      <c r="Y434" s="16">
        <f>IFERROR(__xludf.DUMMYFUNCTION("""COMPUTED_VALUE"""),25.6)</f>
        <v>25.6</v>
      </c>
      <c r="Z434" s="16">
        <f>IFERROR(__xludf.DUMMYFUNCTION("""COMPUTED_VALUE"""),20.2)</f>
        <v>20.2</v>
      </c>
      <c r="AA434" s="16">
        <f>IFERROR(__xludf.DUMMYFUNCTION("""COMPUTED_VALUE"""),0.0)</f>
        <v>0</v>
      </c>
      <c r="AB434" s="16">
        <f>IFERROR(__xludf.DUMMYFUNCTION("""COMPUTED_VALUE"""),1.0)</f>
        <v>1</v>
      </c>
      <c r="AC434" s="16">
        <f>IFERROR(__xludf.DUMMYFUNCTION("""COMPUTED_VALUE"""),0.0)</f>
        <v>0</v>
      </c>
      <c r="AD434" s="16">
        <f>IFERROR(__xludf.DUMMYFUNCTION("""COMPUTED_VALUE"""),5.0)</f>
        <v>5</v>
      </c>
      <c r="AE434" s="16">
        <f>IFERROR(__xludf.DUMMYFUNCTION("""COMPUTED_VALUE"""),25.1)</f>
        <v>25.1</v>
      </c>
      <c r="AF434" s="16">
        <f>IFERROR(__xludf.DUMMYFUNCTION("""COMPUTED_VALUE"""),37.1)</f>
        <v>37.1</v>
      </c>
      <c r="AG434" s="16">
        <f>IFERROR(__xludf.DUMMYFUNCTION("""COMPUTED_VALUE"""),0.0)</f>
        <v>0</v>
      </c>
      <c r="AH434" s="16">
        <f>IFERROR(__xludf.DUMMYFUNCTION("""COMPUTED_VALUE"""),-1.0)</f>
        <v>-1</v>
      </c>
      <c r="AI434" s="16">
        <f>IFERROR(__xludf.DUMMYFUNCTION("""COMPUTED_VALUE"""),0.0)</f>
        <v>0</v>
      </c>
      <c r="AJ434" s="16">
        <f>IFERROR(__xludf.DUMMYFUNCTION("""COMPUTED_VALUE"""),-2.0)</f>
        <v>-2</v>
      </c>
      <c r="AK434" s="16">
        <f>IFERROR(__xludf.DUMMYFUNCTION("""COMPUTED_VALUE"""),10.6)</f>
        <v>10.6</v>
      </c>
      <c r="AL434" s="16">
        <f>IFERROR(__xludf.DUMMYFUNCTION("""COMPUTED_VALUE"""),9.0)</f>
        <v>9</v>
      </c>
      <c r="AM434" s="16">
        <f>IFERROR(__xludf.DUMMYFUNCTION("""COMPUTED_VALUE"""),0.0)</f>
        <v>0</v>
      </c>
      <c r="AN434" s="16">
        <f>IFERROR(__xludf.DUMMYFUNCTION("""COMPUTED_VALUE"""),1.0)</f>
        <v>1</v>
      </c>
      <c r="AO434" s="16">
        <f>IFERROR(__xludf.DUMMYFUNCTION("""COMPUTED_VALUE"""),0.0)</f>
        <v>0</v>
      </c>
      <c r="AP434" s="16">
        <f>IFERROR(__xludf.DUMMYFUNCTION("""COMPUTED_VALUE"""),1.0)</f>
        <v>1</v>
      </c>
      <c r="AQ434" s="16">
        <f>IFERROR(__xludf.DUMMYFUNCTION("""COMPUTED_VALUE"""),13.100000000000001)</f>
        <v>13.1</v>
      </c>
      <c r="AR434" s="16">
        <f>IFERROR(__xludf.DUMMYFUNCTION("""COMPUTED_VALUE"""),16.3)</f>
        <v>16.3</v>
      </c>
      <c r="AS434" s="16">
        <f>IFERROR(__xludf.DUMMYFUNCTION("""COMPUTED_VALUE"""),1.0)</f>
        <v>1</v>
      </c>
      <c r="AT434" s="16">
        <f>IFERROR(__xludf.DUMMYFUNCTION("""COMPUTED_VALUE"""),0.0)</f>
        <v>0</v>
      </c>
      <c r="AU434" s="16">
        <f>IFERROR(__xludf.DUMMYFUNCTION("""COMPUTED_VALUE"""),2.0)</f>
        <v>2</v>
      </c>
      <c r="AV434" s="16">
        <f>IFERROR(__xludf.DUMMYFUNCTION("""COMPUTED_VALUE"""),0.0)</f>
        <v>0</v>
      </c>
      <c r="AW434" s="16">
        <f>IFERROR(__xludf.DUMMYFUNCTION("""COMPUTED_VALUE"""),3.0)</f>
        <v>3</v>
      </c>
      <c r="AX434" s="16">
        <f>IFERROR(__xludf.DUMMYFUNCTION("""COMPUTED_VALUE"""),5.2)</f>
        <v>5.2</v>
      </c>
      <c r="AY434" s="16">
        <f>IFERROR(__xludf.DUMMYFUNCTION("""COMPUTED_VALUE"""),-1.0)</f>
        <v>-1</v>
      </c>
      <c r="AZ434" s="16">
        <f>IFERROR(__xludf.DUMMYFUNCTION("""COMPUTED_VALUE"""),-3.0)</f>
        <v>-3</v>
      </c>
      <c r="BA434" s="16">
        <f>IFERROR(__xludf.DUMMYFUNCTION("""COMPUTED_VALUE"""),-5.0)</f>
        <v>-5</v>
      </c>
      <c r="BB434" s="16">
        <f>IFERROR(__xludf.DUMMYFUNCTION("""COMPUTED_VALUE"""),-15.0)</f>
        <v>-15</v>
      </c>
      <c r="BC434" s="16">
        <f>IFERROR(__xludf.DUMMYFUNCTION("""COMPUTED_VALUE"""),6.0)</f>
        <v>6</v>
      </c>
      <c r="BD434" s="16"/>
      <c r="BE434" s="16">
        <f>IFERROR(__xludf.DUMMYFUNCTION("""COMPUTED_VALUE"""),6.0)</f>
        <v>6</v>
      </c>
      <c r="BF434" s="16">
        <f>IFERROR(__xludf.DUMMYFUNCTION("""COMPUTED_VALUE"""),8.0)</f>
        <v>8</v>
      </c>
      <c r="BG434" s="16">
        <f>IFERROR(__xludf.DUMMYFUNCTION("""COMPUTED_VALUE"""),-3.0)</f>
        <v>-3</v>
      </c>
      <c r="BH434" s="16">
        <f>IFERROR(__xludf.DUMMYFUNCTION("""COMPUTED_VALUE"""),-3.0)</f>
        <v>-3</v>
      </c>
      <c r="BI434" s="16">
        <f>IFERROR(__xludf.DUMMYFUNCTION("""COMPUTED_VALUE"""),-6.0)</f>
        <v>-6</v>
      </c>
      <c r="BJ434" s="16">
        <f>IFERROR(__xludf.DUMMYFUNCTION("""COMPUTED_VALUE"""),-6.0)</f>
        <v>-6</v>
      </c>
      <c r="BK434" s="16">
        <f>IFERROR(__xludf.DUMMYFUNCTION("""COMPUTED_VALUE"""),5.0)</f>
        <v>5</v>
      </c>
      <c r="BL434" s="16">
        <f>IFERROR(__xludf.DUMMYFUNCTION("""COMPUTED_VALUE"""),0.0)</f>
        <v>0</v>
      </c>
      <c r="BM434" s="16">
        <f>IFERROR(__xludf.DUMMYFUNCTION("""COMPUTED_VALUE"""),0.0)</f>
        <v>0</v>
      </c>
      <c r="BN434" s="16">
        <f>IFERROR(__xludf.DUMMYFUNCTION("""COMPUTED_VALUE"""),1.0)</f>
        <v>1</v>
      </c>
      <c r="BO434" s="16">
        <f>IFERROR(__xludf.DUMMYFUNCTION("""COMPUTED_VALUE"""),0.0)</f>
        <v>0</v>
      </c>
      <c r="BP434" s="16">
        <f>IFERROR(__xludf.DUMMYFUNCTION("""COMPUTED_VALUE"""),1.0)</f>
        <v>1</v>
      </c>
      <c r="BQ434" s="16">
        <f>IFERROR(__xludf.DUMMYFUNCTION("""COMPUTED_VALUE"""),0.0)</f>
        <v>0</v>
      </c>
      <c r="BR434" s="16">
        <f>IFERROR(__xludf.DUMMYFUNCTION("""COMPUTED_VALUE"""),0.0)</f>
        <v>0</v>
      </c>
      <c r="BS434" s="16">
        <f>IFERROR(__xludf.DUMMYFUNCTION("""COMPUTED_VALUE"""),-3.0)</f>
        <v>-3</v>
      </c>
      <c r="BT434" s="16">
        <f>IFERROR(__xludf.DUMMYFUNCTION("""COMPUTED_VALUE"""),-3.0)</f>
        <v>-3</v>
      </c>
      <c r="BU434" s="16">
        <f>IFERROR(__xludf.DUMMYFUNCTION("""COMPUTED_VALUE"""),-6.0)</f>
        <v>-6</v>
      </c>
      <c r="BV434" s="16">
        <f>IFERROR(__xludf.DUMMYFUNCTION("""COMPUTED_VALUE"""),-6.0)</f>
        <v>-6</v>
      </c>
      <c r="BW434" s="16">
        <f>IFERROR(__xludf.DUMMYFUNCTION("""COMPUTED_VALUE"""),1.0)</f>
        <v>1</v>
      </c>
      <c r="BX434" s="16">
        <f>IFERROR(__xludf.DUMMYFUNCTION("""COMPUTED_VALUE"""),1.0)</f>
        <v>1</v>
      </c>
      <c r="BY434" s="16" t="str">
        <f>IFERROR(__xludf.DUMMYFUNCTION("""COMPUTED_VALUE"""),"R(3) C(3)")</f>
        <v>R(3) C(3)</v>
      </c>
      <c r="BZ434" s="16" t="str">
        <f>IFERROR(__xludf.DUMMYFUNCTION("""COMPUTED_VALUE"""),"R(3) C(3)")</f>
        <v>R(3) C(3)</v>
      </c>
      <c r="CA434" s="16" t="str">
        <f>IFERROR(__xludf.DUMMYFUNCTION("""COMPUTED_VALUE"""),"R(3)")</f>
        <v>R(3)</v>
      </c>
      <c r="CB434" s="16" t="str">
        <f>IFERROR(__xludf.DUMMYFUNCTION("""COMPUTED_VALUE"""),"C(3)")</f>
        <v>C(3)</v>
      </c>
      <c r="CC434" s="16"/>
      <c r="CD434" s="16"/>
      <c r="CE434" s="16">
        <f>IFERROR(__xludf.DUMMYFUNCTION("""COMPUTED_VALUE"""),3.0)</f>
        <v>3</v>
      </c>
      <c r="CF434" s="16">
        <f>IFERROR(__xludf.DUMMYFUNCTION("""COMPUTED_VALUE"""),3.0)</f>
        <v>3</v>
      </c>
      <c r="CG434" s="16" t="str">
        <f>IFERROR(__xludf.DUMMYFUNCTION("""COMPUTED_VALUE"""),"3-0")</f>
        <v>3-0</v>
      </c>
      <c r="CH434" s="16">
        <f>IFERROR(__xludf.DUMMYFUNCTION("""COMPUTED_VALUE"""),3.0)</f>
        <v>3</v>
      </c>
      <c r="CI434" s="16">
        <f>IFERROR(__xludf.DUMMYFUNCTION("""COMPUTED_VALUE"""),0.0)</f>
        <v>0</v>
      </c>
      <c r="CJ434" s="16">
        <f>IFERROR(__xludf.DUMMYFUNCTION("""COMPUTED_VALUE"""),0.0)</f>
        <v>0</v>
      </c>
      <c r="CK434" s="16">
        <f>IFERROR(__xludf.DUMMYFUNCTION("""COMPUTED_VALUE"""),11.0)</f>
        <v>11</v>
      </c>
      <c r="CL434" s="16" t="str">
        <f>IFERROR(__xludf.DUMMYFUNCTION("""COMPUTED_VALUE"""),"1WR-C")</f>
        <v>1WR-C</v>
      </c>
      <c r="CM434" s="16" t="str">
        <f>IFERROR(__xludf.DUMMYFUNCTION("""COMPUTED_VALUE"""),"E")</f>
        <v>E</v>
      </c>
      <c r="CN434" s="16">
        <f>IFERROR(__xludf.DUMMYFUNCTION("""COMPUTED_VALUE"""),12.0)</f>
        <v>12</v>
      </c>
      <c r="CO434" s="16" t="str">
        <f>IFERROR(__xludf.DUMMYFUNCTION("""COMPUTED_VALUE"""),"C")</f>
        <v>C</v>
      </c>
      <c r="CP434" s="16" t="str">
        <f>IFERROR(__xludf.DUMMYFUNCTION("""COMPUTED_VALUE"""),"1p30")</f>
        <v>1p30</v>
      </c>
      <c r="CQ434" s="16">
        <f>IFERROR(__xludf.DUMMYFUNCTION("""COMPUTED_VALUE"""),-22.0)</f>
        <v>-22</v>
      </c>
      <c r="CR434" s="16">
        <f>IFERROR(__xludf.DUMMYFUNCTION("""COMPUTED_VALUE"""),-27.0)</f>
        <v>-27</v>
      </c>
      <c r="CS434" s="16">
        <f>IFERROR(__xludf.DUMMYFUNCTION("""COMPUTED_VALUE"""),-49.0)</f>
        <v>-49</v>
      </c>
      <c r="CT434" s="16">
        <f>IFERROR(__xludf.DUMMYFUNCTION("""COMPUTED_VALUE"""),-22.0)</f>
        <v>-22</v>
      </c>
      <c r="CU434" s="16">
        <f>IFERROR(__xludf.DUMMYFUNCTION("""COMPUTED_VALUE"""),-27.0)</f>
        <v>-27</v>
      </c>
      <c r="CV434" s="179">
        <f>IFERROR(__xludf.DUMMYFUNCTION("""COMPUTED_VALUE"""),-19.333333333333332)</f>
        <v>-19.33333333</v>
      </c>
      <c r="CW434" s="179">
        <f>IFERROR(__xludf.DUMMYFUNCTION("""COMPUTED_VALUE"""),4.0)</f>
        <v>4</v>
      </c>
      <c r="CX434" s="179">
        <f>IFERROR(__xludf.DUMMYFUNCTION("""COMPUTED_VALUE"""),2.0)</f>
        <v>2</v>
      </c>
      <c r="CY434" s="16" t="str">
        <f>IFERROR(__xludf.DUMMYFUNCTION("""COMPUTED_VALUE"""),"RP")</f>
        <v>RP</v>
      </c>
      <c r="CZ434" s="16" t="str">
        <f>IFERROR(__xludf.DUMMYFUNCTION("""COMPUTED_VALUE"""),"CP")</f>
        <v>CP</v>
      </c>
      <c r="DA434" s="16"/>
      <c r="DB434" s="16"/>
      <c r="DC434" s="16"/>
      <c r="DD434" s="16"/>
      <c r="DE434" s="16"/>
      <c r="DF434" s="16"/>
      <c r="DG434" s="16"/>
      <c r="DH434" s="16"/>
      <c r="DI434" s="16"/>
      <c r="DJ434" s="16"/>
      <c r="DK434" s="16"/>
    </row>
    <row r="435">
      <c r="A435" s="16">
        <f>IFERROR(__xludf.DUMMYFUNCTION("""COMPUTED_VALUE"""),12768.0)</f>
        <v>12768</v>
      </c>
      <c r="B435" s="16" t="str">
        <f>IFERROR(__xludf.DUMMYFUNCTION("""COMPUTED_VALUE"""),"Drew Smyly")</f>
        <v>Drew Smyly</v>
      </c>
      <c r="C435" s="153">
        <f>IFERROR(__xludf.DUMMYFUNCTION("""COMPUTED_VALUE"""),0.0)</f>
        <v>0</v>
      </c>
      <c r="D435" s="16"/>
      <c r="E435" s="16" t="str">
        <f>IFERROR(__xludf.DUMMYFUNCTION("""COMPUTED_VALUE"""),"L")</f>
        <v>L</v>
      </c>
      <c r="F435" s="16">
        <f>IFERROR(__xludf.DUMMYFUNCTION("""COMPUTED_VALUE"""),59.0)</f>
        <v>59</v>
      </c>
      <c r="G435" s="16">
        <f>IFERROR(__xludf.DUMMYFUNCTION("""COMPUTED_VALUE"""),16.0)</f>
        <v>16</v>
      </c>
      <c r="H435" s="16">
        <f>IFERROR(__xludf.DUMMYFUNCTION("""COMPUTED_VALUE"""),25.0)</f>
        <v>25</v>
      </c>
      <c r="I435" s="16">
        <f>IFERROR(__xludf.DUMMYFUNCTION("""COMPUTED_VALUE"""),-2.0)</f>
        <v>-2</v>
      </c>
      <c r="J435" s="16">
        <f>IFERROR(__xludf.DUMMYFUNCTION("""COMPUTED_VALUE"""),0.0)</f>
        <v>0</v>
      </c>
      <c r="K435" s="16">
        <f>IFERROR(__xludf.DUMMYFUNCTION("""COMPUTED_VALUE"""),-6.0)</f>
        <v>-6</v>
      </c>
      <c r="L435" s="16">
        <f>IFERROR(__xludf.DUMMYFUNCTION("""COMPUTED_VALUE"""),0.0)</f>
        <v>0</v>
      </c>
      <c r="M435" s="16">
        <f>IFERROR(__xludf.DUMMYFUNCTION("""COMPUTED_VALUE"""),10.0)</f>
        <v>10</v>
      </c>
      <c r="N435" s="16">
        <f>IFERROR(__xludf.DUMMYFUNCTION("""COMPUTED_VALUE"""),11.0)</f>
        <v>11</v>
      </c>
      <c r="O435" s="16">
        <f>IFERROR(__xludf.DUMMYFUNCTION("""COMPUTED_VALUE"""),0.0)</f>
        <v>0</v>
      </c>
      <c r="P435" s="16">
        <f>IFERROR(__xludf.DUMMYFUNCTION("""COMPUTED_VALUE"""),-1.0)</f>
        <v>-1</v>
      </c>
      <c r="Q435" s="16">
        <f>IFERROR(__xludf.DUMMYFUNCTION("""COMPUTED_VALUE"""),0.0)</f>
        <v>0</v>
      </c>
      <c r="R435" s="16">
        <f>IFERROR(__xludf.DUMMYFUNCTION("""COMPUTED_VALUE"""),-1.0)</f>
        <v>-1</v>
      </c>
      <c r="S435" s="16">
        <f>IFERROR(__xludf.DUMMYFUNCTION("""COMPUTED_VALUE"""),20.5)</f>
        <v>20.5</v>
      </c>
      <c r="T435" s="16">
        <f>IFERROR(__xludf.DUMMYFUNCTION("""COMPUTED_VALUE"""),16.6)</f>
        <v>16.6</v>
      </c>
      <c r="U435" s="16">
        <f>IFERROR(__xludf.DUMMYFUNCTION("""COMPUTED_VALUE"""),-1.0)</f>
        <v>-1</v>
      </c>
      <c r="V435" s="16">
        <f>IFERROR(__xludf.DUMMYFUNCTION("""COMPUTED_VALUE"""),0.0)</f>
        <v>0</v>
      </c>
      <c r="W435" s="16">
        <f>IFERROR(__xludf.DUMMYFUNCTION("""COMPUTED_VALUE"""),-2.0)</f>
        <v>-2</v>
      </c>
      <c r="X435" s="16">
        <f>IFERROR(__xludf.DUMMYFUNCTION("""COMPUTED_VALUE"""),0.0)</f>
        <v>0</v>
      </c>
      <c r="Y435" s="16">
        <f>IFERROR(__xludf.DUMMYFUNCTION("""COMPUTED_VALUE"""),30.5)</f>
        <v>30.5</v>
      </c>
      <c r="Z435" s="16">
        <f>IFERROR(__xludf.DUMMYFUNCTION("""COMPUTED_VALUE"""),27.6)</f>
        <v>27.6</v>
      </c>
      <c r="AA435" s="16">
        <f>IFERROR(__xludf.DUMMYFUNCTION("""COMPUTED_VALUE"""),-1.0)</f>
        <v>-1</v>
      </c>
      <c r="AB435" s="16">
        <f>IFERROR(__xludf.DUMMYFUNCTION("""COMPUTED_VALUE"""),0.0)</f>
        <v>0</v>
      </c>
      <c r="AC435" s="16">
        <f>IFERROR(__xludf.DUMMYFUNCTION("""COMPUTED_VALUE"""),-5.0)</f>
        <v>-5</v>
      </c>
      <c r="AD435" s="16">
        <f>IFERROR(__xludf.DUMMYFUNCTION("""COMPUTED_VALUE"""),0.0)</f>
        <v>0</v>
      </c>
      <c r="AE435" s="16">
        <f>IFERROR(__xludf.DUMMYFUNCTION("""COMPUTED_VALUE"""),26.5)</f>
        <v>26.5</v>
      </c>
      <c r="AF435" s="16">
        <f>IFERROR(__xludf.DUMMYFUNCTION("""COMPUTED_VALUE"""),33.9)</f>
        <v>33.9</v>
      </c>
      <c r="AG435" s="16">
        <f>IFERROR(__xludf.DUMMYFUNCTION("""COMPUTED_VALUE"""),0.0)</f>
        <v>0</v>
      </c>
      <c r="AH435" s="16">
        <f>IFERROR(__xludf.DUMMYFUNCTION("""COMPUTED_VALUE"""),-1.0)</f>
        <v>-1</v>
      </c>
      <c r="AI435" s="16">
        <f>IFERROR(__xludf.DUMMYFUNCTION("""COMPUTED_VALUE"""),0.0)</f>
        <v>0</v>
      </c>
      <c r="AJ435" s="16">
        <f>IFERROR(__xludf.DUMMYFUNCTION("""COMPUTED_VALUE"""),-2.0)</f>
        <v>-2</v>
      </c>
      <c r="AK435" s="16">
        <f>IFERROR(__xludf.DUMMYFUNCTION("""COMPUTED_VALUE"""),18.5)</f>
        <v>18.5</v>
      </c>
      <c r="AL435" s="16">
        <f>IFERROR(__xludf.DUMMYFUNCTION("""COMPUTED_VALUE"""),12.3)</f>
        <v>12.3</v>
      </c>
      <c r="AM435" s="16">
        <f>IFERROR(__xludf.DUMMYFUNCTION("""COMPUTED_VALUE"""),-1.0)</f>
        <v>-1</v>
      </c>
      <c r="AN435" s="16">
        <f>IFERROR(__xludf.DUMMYFUNCTION("""COMPUTED_VALUE"""),0.0)</f>
        <v>0</v>
      </c>
      <c r="AO435" s="16">
        <f>IFERROR(__xludf.DUMMYFUNCTION("""COMPUTED_VALUE"""),-1.0)</f>
        <v>-1</v>
      </c>
      <c r="AP435" s="16">
        <f>IFERROR(__xludf.DUMMYFUNCTION("""COMPUTED_VALUE"""),0.0)</f>
        <v>0</v>
      </c>
      <c r="AQ435" s="16">
        <f>IFERROR(__xludf.DUMMYFUNCTION("""COMPUTED_VALUE"""),18.5)</f>
        <v>18.5</v>
      </c>
      <c r="AR435" s="16">
        <f>IFERROR(__xludf.DUMMYFUNCTION("""COMPUTED_VALUE"""),16.7)</f>
        <v>16.7</v>
      </c>
      <c r="AS435" s="16">
        <f>IFERROR(__xludf.DUMMYFUNCTION("""COMPUTED_VALUE"""),0.0)</f>
        <v>0</v>
      </c>
      <c r="AT435" s="16">
        <f>IFERROR(__xludf.DUMMYFUNCTION("""COMPUTED_VALUE"""),0.0)</f>
        <v>0</v>
      </c>
      <c r="AU435" s="16">
        <f>IFERROR(__xludf.DUMMYFUNCTION("""COMPUTED_VALUE"""),0.0)</f>
        <v>0</v>
      </c>
      <c r="AV435" s="16">
        <f>IFERROR(__xludf.DUMMYFUNCTION("""COMPUTED_VALUE"""),0.0)</f>
        <v>0</v>
      </c>
      <c r="AW435" s="16">
        <f>IFERROR(__xludf.DUMMYFUNCTION("""COMPUTED_VALUE"""),2.0)</f>
        <v>2</v>
      </c>
      <c r="AX435" s="16">
        <f>IFERROR(__xludf.DUMMYFUNCTION("""COMPUTED_VALUE"""),4.3)</f>
        <v>4.3</v>
      </c>
      <c r="AY435" s="16">
        <f>IFERROR(__xludf.DUMMYFUNCTION("""COMPUTED_VALUE"""),0.0)</f>
        <v>0</v>
      </c>
      <c r="AZ435" s="16">
        <f>IFERROR(__xludf.DUMMYFUNCTION("""COMPUTED_VALUE"""),-2.0)</f>
        <v>-2</v>
      </c>
      <c r="BA435" s="16">
        <f>IFERROR(__xludf.DUMMYFUNCTION("""COMPUTED_VALUE"""),0.0)</f>
        <v>0</v>
      </c>
      <c r="BB435" s="16">
        <f>IFERROR(__xludf.DUMMYFUNCTION("""COMPUTED_VALUE"""),-10.0)</f>
        <v>-10</v>
      </c>
      <c r="BC435" s="16">
        <f>IFERROR(__xludf.DUMMYFUNCTION("""COMPUTED_VALUE"""),3.0)</f>
        <v>3</v>
      </c>
      <c r="BD435" s="16">
        <f>IFERROR(__xludf.DUMMYFUNCTION("""COMPUTED_VALUE"""),8.0)</f>
        <v>8</v>
      </c>
      <c r="BE435" s="16">
        <f>IFERROR(__xludf.DUMMYFUNCTION("""COMPUTED_VALUE"""),3.0)</f>
        <v>3</v>
      </c>
      <c r="BF435" s="16">
        <f>IFERROR(__xludf.DUMMYFUNCTION("""COMPUTED_VALUE"""),8.0)</f>
        <v>8</v>
      </c>
      <c r="BG435" s="16">
        <f>IFERROR(__xludf.DUMMYFUNCTION("""COMPUTED_VALUE"""),0.0)</f>
        <v>0</v>
      </c>
      <c r="BH435" s="16">
        <f>IFERROR(__xludf.DUMMYFUNCTION("""COMPUTED_VALUE"""),-3.0)</f>
        <v>-3</v>
      </c>
      <c r="BI435" s="16">
        <f>IFERROR(__xludf.DUMMYFUNCTION("""COMPUTED_VALUE"""),0.0)</f>
        <v>0</v>
      </c>
      <c r="BJ435" s="16">
        <f>IFERROR(__xludf.DUMMYFUNCTION("""COMPUTED_VALUE"""),-6.0)</f>
        <v>-6</v>
      </c>
      <c r="BK435" s="16">
        <f>IFERROR(__xludf.DUMMYFUNCTION("""COMPUTED_VALUE"""),5.0)</f>
        <v>5</v>
      </c>
      <c r="BL435" s="16">
        <f>IFERROR(__xludf.DUMMYFUNCTION("""COMPUTED_VALUE"""),5.0)</f>
        <v>5</v>
      </c>
      <c r="BM435" s="16">
        <f>IFERROR(__xludf.DUMMYFUNCTION("""COMPUTED_VALUE"""),0.0)</f>
        <v>0</v>
      </c>
      <c r="BN435" s="16">
        <f>IFERROR(__xludf.DUMMYFUNCTION("""COMPUTED_VALUE"""),0.0)</f>
        <v>0</v>
      </c>
      <c r="BO435" s="16">
        <f>IFERROR(__xludf.DUMMYFUNCTION("""COMPUTED_VALUE"""),0.0)</f>
        <v>0</v>
      </c>
      <c r="BP435" s="16">
        <f>IFERROR(__xludf.DUMMYFUNCTION("""COMPUTED_VALUE"""),0.0)</f>
        <v>0</v>
      </c>
      <c r="BQ435" s="16">
        <f>IFERROR(__xludf.DUMMYFUNCTION("""COMPUTED_VALUE"""),1.0)</f>
        <v>1</v>
      </c>
      <c r="BR435" s="16">
        <f>IFERROR(__xludf.DUMMYFUNCTION("""COMPUTED_VALUE"""),0.0)</f>
        <v>0</v>
      </c>
      <c r="BS435" s="16">
        <f>IFERROR(__xludf.DUMMYFUNCTION("""COMPUTED_VALUE"""),-2.0)</f>
        <v>-2</v>
      </c>
      <c r="BT435" s="16">
        <f>IFERROR(__xludf.DUMMYFUNCTION("""COMPUTED_VALUE"""),-3.0)</f>
        <v>-3</v>
      </c>
      <c r="BU435" s="16">
        <f>IFERROR(__xludf.DUMMYFUNCTION("""COMPUTED_VALUE"""),-4.0)</f>
        <v>-4</v>
      </c>
      <c r="BV435" s="16">
        <f>IFERROR(__xludf.DUMMYFUNCTION("""COMPUTED_VALUE"""),-6.0)</f>
        <v>-6</v>
      </c>
      <c r="BW435" s="16">
        <f>IFERROR(__xludf.DUMMYFUNCTION("""COMPUTED_VALUE"""),0.0)</f>
        <v>0</v>
      </c>
      <c r="BX435" s="16">
        <f>IFERROR(__xludf.DUMMYFUNCTION("""COMPUTED_VALUE"""),0.0)</f>
        <v>0</v>
      </c>
      <c r="BY435" s="16" t="str">
        <f>IFERROR(__xludf.DUMMYFUNCTION("""COMPUTED_VALUE"""),"R(2)")</f>
        <v>R(2)</v>
      </c>
      <c r="BZ435" s="16" t="str">
        <f>IFERROR(__xludf.DUMMYFUNCTION("""COMPUTED_VALUE"""),"R(2)")</f>
        <v>R(2)</v>
      </c>
      <c r="CA435" s="16" t="str">
        <f>IFERROR(__xludf.DUMMYFUNCTION("""COMPUTED_VALUE"""),"R(2)")</f>
        <v>R(2)</v>
      </c>
      <c r="CB435" s="16"/>
      <c r="CC435" s="16"/>
      <c r="CD435" s="16"/>
      <c r="CE435" s="16">
        <f>IFERROR(__xludf.DUMMYFUNCTION("""COMPUTED_VALUE"""),2.0)</f>
        <v>2</v>
      </c>
      <c r="CF435" s="16"/>
      <c r="CG435" s="16" t="str">
        <f>IFERROR(__xludf.DUMMYFUNCTION("""COMPUTED_VALUE"""),"4-24")</f>
        <v>4-24</v>
      </c>
      <c r="CH435" s="16">
        <f>IFERROR(__xludf.DUMMYFUNCTION("""COMPUTED_VALUE"""),4.0)</f>
        <v>4</v>
      </c>
      <c r="CI435" s="16">
        <f>IFERROR(__xludf.DUMMYFUNCTION("""COMPUTED_VALUE"""),24.0)</f>
        <v>24</v>
      </c>
      <c r="CJ435" s="16">
        <f>IFERROR(__xludf.DUMMYFUNCTION("""COMPUTED_VALUE"""),0.0)</f>
        <v>0</v>
      </c>
      <c r="CK435" s="16">
        <f>IFERROR(__xludf.DUMMYFUNCTION("""COMPUTED_VALUE"""),18.0)</f>
        <v>18</v>
      </c>
      <c r="CL435" s="16" t="str">
        <f>IFERROR(__xludf.DUMMYFUNCTION("""COMPUTED_VALUE"""),"1WL-C")</f>
        <v>1WL-C</v>
      </c>
      <c r="CM435" s="16" t="str">
        <f>IFERROR(__xludf.DUMMYFUNCTION("""COMPUTED_VALUE"""),"E")</f>
        <v>E</v>
      </c>
      <c r="CN435" s="16">
        <f>IFERROR(__xludf.DUMMYFUNCTION("""COMPUTED_VALUE"""),10.0)</f>
        <v>10</v>
      </c>
      <c r="CO435" s="16" t="str">
        <f>IFERROR(__xludf.DUMMYFUNCTION("""COMPUTED_VALUE"""),"C")</f>
        <v>C</v>
      </c>
      <c r="CP435" s="16" t="str">
        <f>IFERROR(__xludf.DUMMYFUNCTION("""COMPUTED_VALUE"""),"3p40")</f>
        <v>3p40</v>
      </c>
      <c r="CQ435" s="16">
        <f>IFERROR(__xludf.DUMMYFUNCTION("""COMPUTED_VALUE"""),-18.0)</f>
        <v>-18</v>
      </c>
      <c r="CR435" s="16">
        <f>IFERROR(__xludf.DUMMYFUNCTION("""COMPUTED_VALUE"""),-25.0)</f>
        <v>-25</v>
      </c>
      <c r="CS435" s="16">
        <f>IFERROR(__xludf.DUMMYFUNCTION("""COMPUTED_VALUE"""),-43.0)</f>
        <v>-43</v>
      </c>
      <c r="CT435" s="16">
        <f>IFERROR(__xludf.DUMMYFUNCTION("""COMPUTED_VALUE"""),-18.0)</f>
        <v>-18</v>
      </c>
      <c r="CU435" s="16">
        <f>IFERROR(__xludf.DUMMYFUNCTION("""COMPUTED_VALUE"""),-25.0)</f>
        <v>-25</v>
      </c>
      <c r="CV435" s="179">
        <f>IFERROR(__xludf.DUMMYFUNCTION("""COMPUTED_VALUE"""),-19.666666666666668)</f>
        <v>-19.66666667</v>
      </c>
      <c r="CW435" s="179">
        <f>IFERROR(__xludf.DUMMYFUNCTION("""COMPUTED_VALUE"""),2.0)</f>
        <v>2</v>
      </c>
      <c r="CX435" s="179">
        <f>IFERROR(__xludf.DUMMYFUNCTION("""COMPUTED_VALUE"""),1.0)</f>
        <v>1</v>
      </c>
      <c r="CY435" s="16" t="str">
        <f>IFERROR(__xludf.DUMMYFUNCTION("""COMPUTED_VALUE"""),"RP")</f>
        <v>RP</v>
      </c>
      <c r="CZ435" s="16"/>
      <c r="DA435" s="16"/>
      <c r="DB435" s="16"/>
      <c r="DC435" s="16"/>
      <c r="DD435" s="16"/>
      <c r="DE435" s="16"/>
      <c r="DF435" s="16"/>
      <c r="DG435" s="16"/>
      <c r="DH435" s="16"/>
      <c r="DI435" s="16"/>
      <c r="DJ435" s="16"/>
      <c r="DK435" s="16"/>
    </row>
    <row r="436">
      <c r="A436" s="16">
        <f>IFERROR(__xludf.DUMMYFUNCTION("""COMPUTED_VALUE"""),12907.0)</f>
        <v>12907</v>
      </c>
      <c r="B436" s="16" t="str">
        <f>IFERROR(__xludf.DUMMYFUNCTION("""COMPUTED_VALUE"""),"Jake Bird")</f>
        <v>Jake Bird</v>
      </c>
      <c r="C436" s="153">
        <f>IFERROR(__xludf.DUMMYFUNCTION("""COMPUTED_VALUE"""),0.32)</f>
        <v>0.32</v>
      </c>
      <c r="D436" s="16"/>
      <c r="E436" s="16" t="str">
        <f>IFERROR(__xludf.DUMMYFUNCTION("""COMPUTED_VALUE"""),"R")</f>
        <v>R</v>
      </c>
      <c r="F436" s="16">
        <f>IFERROR(__xludf.DUMMYFUNCTION("""COMPUTED_VALUE"""),40.0)</f>
        <v>40</v>
      </c>
      <c r="G436" s="16">
        <f>IFERROR(__xludf.DUMMYFUNCTION("""COMPUTED_VALUE"""),15.0)</f>
        <v>15</v>
      </c>
      <c r="H436" s="16">
        <f>IFERROR(__xludf.DUMMYFUNCTION("""COMPUTED_VALUE"""),11.0)</f>
        <v>11</v>
      </c>
      <c r="I436" s="16">
        <f>IFERROR(__xludf.DUMMYFUNCTION("""COMPUTED_VALUE"""),-2.0)</f>
        <v>-2</v>
      </c>
      <c r="J436" s="16">
        <f>IFERROR(__xludf.DUMMYFUNCTION("""COMPUTED_VALUE"""),-2.0)</f>
        <v>-2</v>
      </c>
      <c r="K436" s="16">
        <f>IFERROR(__xludf.DUMMYFUNCTION("""COMPUTED_VALUE"""),-6.0)</f>
        <v>-6</v>
      </c>
      <c r="L436" s="16">
        <f>IFERROR(__xludf.DUMMYFUNCTION("""COMPUTED_VALUE"""),-6.0)</f>
        <v>-6</v>
      </c>
      <c r="M436" s="16">
        <f>IFERROR(__xludf.DUMMYFUNCTION("""COMPUTED_VALUE"""),12.0)</f>
        <v>12</v>
      </c>
      <c r="N436" s="16">
        <f>IFERROR(__xludf.DUMMYFUNCTION("""COMPUTED_VALUE"""),26.0)</f>
        <v>26</v>
      </c>
      <c r="O436" s="16">
        <f>IFERROR(__xludf.DUMMYFUNCTION("""COMPUTED_VALUE"""),-1.0)</f>
        <v>-1</v>
      </c>
      <c r="P436" s="16">
        <f>IFERROR(__xludf.DUMMYFUNCTION("""COMPUTED_VALUE"""),-3.0)</f>
        <v>-3</v>
      </c>
      <c r="Q436" s="16">
        <f>IFERROR(__xludf.DUMMYFUNCTION("""COMPUTED_VALUE"""),-1.0)</f>
        <v>-1</v>
      </c>
      <c r="R436" s="16">
        <f>IFERROR(__xludf.DUMMYFUNCTION("""COMPUTED_VALUE"""),-3.0)</f>
        <v>-3</v>
      </c>
      <c r="S436" s="16">
        <f>IFERROR(__xludf.DUMMYFUNCTION("""COMPUTED_VALUE"""),23.6)</f>
        <v>23.6</v>
      </c>
      <c r="T436" s="16">
        <f>IFERROR(__xludf.DUMMYFUNCTION("""COMPUTED_VALUE"""),15.7)</f>
        <v>15.7</v>
      </c>
      <c r="U436" s="16">
        <f>IFERROR(__xludf.DUMMYFUNCTION("""COMPUTED_VALUE"""),-1.0)</f>
        <v>-1</v>
      </c>
      <c r="V436" s="16">
        <f>IFERROR(__xludf.DUMMYFUNCTION("""COMPUTED_VALUE"""),0.0)</f>
        <v>0</v>
      </c>
      <c r="W436" s="16">
        <f>IFERROR(__xludf.DUMMYFUNCTION("""COMPUTED_VALUE"""),-2.0)</f>
        <v>-2</v>
      </c>
      <c r="X436" s="16">
        <f>IFERROR(__xludf.DUMMYFUNCTION("""COMPUTED_VALUE"""),0.0)</f>
        <v>0</v>
      </c>
      <c r="Y436" s="16">
        <f>IFERROR(__xludf.DUMMYFUNCTION("""COMPUTED_VALUE"""),35.6)</f>
        <v>35.6</v>
      </c>
      <c r="Z436" s="16">
        <f>IFERROR(__xludf.DUMMYFUNCTION("""COMPUTED_VALUE"""),41.7)</f>
        <v>41.7</v>
      </c>
      <c r="AA436" s="16">
        <f>IFERROR(__xludf.DUMMYFUNCTION("""COMPUTED_VALUE"""),-1.0)</f>
        <v>-1</v>
      </c>
      <c r="AB436" s="16">
        <f>IFERROR(__xludf.DUMMYFUNCTION("""COMPUTED_VALUE"""),-2.0)</f>
        <v>-2</v>
      </c>
      <c r="AC436" s="16">
        <f>IFERROR(__xludf.DUMMYFUNCTION("""COMPUTED_VALUE"""),-5.0)</f>
        <v>-5</v>
      </c>
      <c r="AD436" s="16">
        <f>IFERROR(__xludf.DUMMYFUNCTION("""COMPUTED_VALUE"""),-10.0)</f>
        <v>-10</v>
      </c>
      <c r="AE436" s="16">
        <f>IFERROR(__xludf.DUMMYFUNCTION("""COMPUTED_VALUE"""),48.5)</f>
        <v>48.5</v>
      </c>
      <c r="AF436" s="16">
        <f>IFERROR(__xludf.DUMMYFUNCTION("""COMPUTED_VALUE"""),22.0)</f>
        <v>22</v>
      </c>
      <c r="AG436" s="16">
        <f>IFERROR(__xludf.DUMMYFUNCTION("""COMPUTED_VALUE"""),-2.0)</f>
        <v>-2</v>
      </c>
      <c r="AH436" s="16">
        <f>IFERROR(__xludf.DUMMYFUNCTION("""COMPUTED_VALUE"""),1.0)</f>
        <v>1</v>
      </c>
      <c r="AI436" s="16">
        <f>IFERROR(__xludf.DUMMYFUNCTION("""COMPUTED_VALUE"""),-4.0)</f>
        <v>-4</v>
      </c>
      <c r="AJ436" s="16">
        <f>IFERROR(__xludf.DUMMYFUNCTION("""COMPUTED_VALUE"""),2.0)</f>
        <v>2</v>
      </c>
      <c r="AK436" s="16">
        <f>IFERROR(__xludf.DUMMYFUNCTION("""COMPUTED_VALUE"""),19.3)</f>
        <v>19.3</v>
      </c>
      <c r="AL436" s="16">
        <f>IFERROR(__xludf.DUMMYFUNCTION("""COMPUTED_VALUE"""),15.7)</f>
        <v>15.7</v>
      </c>
      <c r="AM436" s="16">
        <f>IFERROR(__xludf.DUMMYFUNCTION("""COMPUTED_VALUE"""),-1.0)</f>
        <v>-1</v>
      </c>
      <c r="AN436" s="16">
        <f>IFERROR(__xludf.DUMMYFUNCTION("""COMPUTED_VALUE"""),0.0)</f>
        <v>0</v>
      </c>
      <c r="AO436" s="16">
        <f>IFERROR(__xludf.DUMMYFUNCTION("""COMPUTED_VALUE"""),-1.0)</f>
        <v>-1</v>
      </c>
      <c r="AP436" s="16">
        <f>IFERROR(__xludf.DUMMYFUNCTION("""COMPUTED_VALUE"""),0.0)</f>
        <v>0</v>
      </c>
      <c r="AQ436" s="16">
        <f>IFERROR(__xludf.DUMMYFUNCTION("""COMPUTED_VALUE"""),31.3)</f>
        <v>31.3</v>
      </c>
      <c r="AR436" s="16">
        <f>IFERROR(__xludf.DUMMYFUNCTION("""COMPUTED_VALUE"""),22.0)</f>
        <v>22</v>
      </c>
      <c r="AS436" s="16">
        <f>IFERROR(__xludf.DUMMYFUNCTION("""COMPUTED_VALUE"""),-1.0)</f>
        <v>-1</v>
      </c>
      <c r="AT436" s="16">
        <f>IFERROR(__xludf.DUMMYFUNCTION("""COMPUTED_VALUE"""),0.0)</f>
        <v>0</v>
      </c>
      <c r="AU436" s="16">
        <f>IFERROR(__xludf.DUMMYFUNCTION("""COMPUTED_VALUE"""),-2.0)</f>
        <v>-2</v>
      </c>
      <c r="AV436" s="16">
        <f>IFERROR(__xludf.DUMMYFUNCTION("""COMPUTED_VALUE"""),0.0)</f>
        <v>0</v>
      </c>
      <c r="AW436" s="16">
        <f>IFERROR(__xludf.DUMMYFUNCTION("""COMPUTED_VALUE"""),4.3)</f>
        <v>4.3</v>
      </c>
      <c r="AX436" s="16">
        <f>IFERROR(__xludf.DUMMYFUNCTION("""COMPUTED_VALUE"""),0.0)</f>
        <v>0</v>
      </c>
      <c r="AY436" s="16">
        <f>IFERROR(__xludf.DUMMYFUNCTION("""COMPUTED_VALUE"""),-2.0)</f>
        <v>-2</v>
      </c>
      <c r="AZ436" s="16">
        <f>IFERROR(__xludf.DUMMYFUNCTION("""COMPUTED_VALUE"""),2.0)</f>
        <v>2</v>
      </c>
      <c r="BA436" s="16">
        <f>IFERROR(__xludf.DUMMYFUNCTION("""COMPUTED_VALUE"""),-10.0)</f>
        <v>-10</v>
      </c>
      <c r="BB436" s="16">
        <f>IFERROR(__xludf.DUMMYFUNCTION("""COMPUTED_VALUE"""),10.0)</f>
        <v>10</v>
      </c>
      <c r="BC436" s="16">
        <f>IFERROR(__xludf.DUMMYFUNCTION("""COMPUTED_VALUE"""),8.0)</f>
        <v>8</v>
      </c>
      <c r="BD436" s="16">
        <f>IFERROR(__xludf.DUMMYFUNCTION("""COMPUTED_VALUE"""),0.0)</f>
        <v>0</v>
      </c>
      <c r="BE436" s="16">
        <f>IFERROR(__xludf.DUMMYFUNCTION("""COMPUTED_VALUE"""),8.0)</f>
        <v>8</v>
      </c>
      <c r="BF436" s="16">
        <f>IFERROR(__xludf.DUMMYFUNCTION("""COMPUTED_VALUE"""),0.0)</f>
        <v>0</v>
      </c>
      <c r="BG436" s="16">
        <f>IFERROR(__xludf.DUMMYFUNCTION("""COMPUTED_VALUE"""),-3.0)</f>
        <v>-3</v>
      </c>
      <c r="BH436" s="16">
        <f>IFERROR(__xludf.DUMMYFUNCTION("""COMPUTED_VALUE"""),2.0)</f>
        <v>2</v>
      </c>
      <c r="BI436" s="16">
        <f>IFERROR(__xludf.DUMMYFUNCTION("""COMPUTED_VALUE"""),-6.0)</f>
        <v>-6</v>
      </c>
      <c r="BJ436" s="16">
        <f>IFERROR(__xludf.DUMMYFUNCTION("""COMPUTED_VALUE"""),4.0)</f>
        <v>4</v>
      </c>
      <c r="BK436" s="16">
        <f>IFERROR(__xludf.DUMMYFUNCTION("""COMPUTED_VALUE"""),5.0)</f>
        <v>5</v>
      </c>
      <c r="BL436" s="16">
        <f>IFERROR(__xludf.DUMMYFUNCTION("""COMPUTED_VALUE"""),5.0)</f>
        <v>5</v>
      </c>
      <c r="BM436" s="16">
        <f>IFERROR(__xludf.DUMMYFUNCTION("""COMPUTED_VALUE"""),0.0)</f>
        <v>0</v>
      </c>
      <c r="BN436" s="16">
        <f>IFERROR(__xludf.DUMMYFUNCTION("""COMPUTED_VALUE"""),0.0)</f>
        <v>0</v>
      </c>
      <c r="BO436" s="16">
        <f>IFERROR(__xludf.DUMMYFUNCTION("""COMPUTED_VALUE"""),0.0)</f>
        <v>0</v>
      </c>
      <c r="BP436" s="16">
        <f>IFERROR(__xludf.DUMMYFUNCTION("""COMPUTED_VALUE"""),0.0)</f>
        <v>0</v>
      </c>
      <c r="BQ436" s="16">
        <f>IFERROR(__xludf.DUMMYFUNCTION("""COMPUTED_VALUE"""),7.0)</f>
        <v>7</v>
      </c>
      <c r="BR436" s="16">
        <f>IFERROR(__xludf.DUMMYFUNCTION("""COMPUTED_VALUE"""),7.0)</f>
        <v>7</v>
      </c>
      <c r="BS436" s="16">
        <f>IFERROR(__xludf.DUMMYFUNCTION("""COMPUTED_VALUE"""),2.0)</f>
        <v>2</v>
      </c>
      <c r="BT436" s="16">
        <f>IFERROR(__xludf.DUMMYFUNCTION("""COMPUTED_VALUE"""),2.0)</f>
        <v>2</v>
      </c>
      <c r="BU436" s="16">
        <f>IFERROR(__xludf.DUMMYFUNCTION("""COMPUTED_VALUE"""),4.0)</f>
        <v>4</v>
      </c>
      <c r="BV436" s="16">
        <f>IFERROR(__xludf.DUMMYFUNCTION("""COMPUTED_VALUE"""),4.0)</f>
        <v>4</v>
      </c>
      <c r="BW436" s="16">
        <f>IFERROR(__xludf.DUMMYFUNCTION("""COMPUTED_VALUE"""),1.0)</f>
        <v>1</v>
      </c>
      <c r="BX436" s="16">
        <f>IFERROR(__xludf.DUMMYFUNCTION("""COMPUTED_VALUE"""),1.0)</f>
        <v>1</v>
      </c>
      <c r="BY436" s="16" t="str">
        <f>IFERROR(__xludf.DUMMYFUNCTION("""COMPUTED_VALUE"""),"R(2) C(0)")</f>
        <v>R(2) C(0)</v>
      </c>
      <c r="BZ436" s="16" t="str">
        <f>IFERROR(__xludf.DUMMYFUNCTION("""COMPUTED_VALUE"""),"R(2) C(0)")</f>
        <v>R(2) C(0)</v>
      </c>
      <c r="CA436" s="16" t="str">
        <f>IFERROR(__xludf.DUMMYFUNCTION("""COMPUTED_VALUE"""),"R(2)")</f>
        <v>R(2)</v>
      </c>
      <c r="CB436" s="16" t="str">
        <f>IFERROR(__xludf.DUMMYFUNCTION("""COMPUTED_VALUE"""),"C(0)")</f>
        <v>C(0)</v>
      </c>
      <c r="CC436" s="16"/>
      <c r="CD436" s="16"/>
      <c r="CE436" s="16">
        <f>IFERROR(__xludf.DUMMYFUNCTION("""COMPUTED_VALUE"""),2.0)</f>
        <v>2</v>
      </c>
      <c r="CF436" s="16">
        <f>IFERROR(__xludf.DUMMYFUNCTION("""COMPUTED_VALUE"""),0.0)</f>
        <v>0</v>
      </c>
      <c r="CG436" s="16" t="str">
        <f>IFERROR(__xludf.DUMMYFUNCTION("""COMPUTED_VALUE"""),"2-0")</f>
        <v>2-0</v>
      </c>
      <c r="CH436" s="16">
        <f>IFERROR(__xludf.DUMMYFUNCTION("""COMPUTED_VALUE"""),2.0)</f>
        <v>2</v>
      </c>
      <c r="CI436" s="16">
        <f>IFERROR(__xludf.DUMMYFUNCTION("""COMPUTED_VALUE"""),0.0)</f>
        <v>0</v>
      </c>
      <c r="CJ436" s="16">
        <f>IFERROR(__xludf.DUMMYFUNCTION("""COMPUTED_VALUE"""),0.0)</f>
        <v>0</v>
      </c>
      <c r="CK436" s="16">
        <f>IFERROR(__xludf.DUMMYFUNCTION("""COMPUTED_VALUE"""),4.0)</f>
        <v>4</v>
      </c>
      <c r="CL436" s="16" t="str">
        <f>IFERROR(__xludf.DUMMYFUNCTION("""COMPUTED_VALUE"""),"1WR-C")</f>
        <v>1WR-C</v>
      </c>
      <c r="CM436" s="16" t="str">
        <f>IFERROR(__xludf.DUMMYFUNCTION("""COMPUTED_VALUE"""),"E")</f>
        <v>E</v>
      </c>
      <c r="CN436" s="16">
        <f>IFERROR(__xludf.DUMMYFUNCTION("""COMPUTED_VALUE"""),10.0)</f>
        <v>10</v>
      </c>
      <c r="CO436" s="16" t="str">
        <f>IFERROR(__xludf.DUMMYFUNCTION("""COMPUTED_VALUE"""),"C")</f>
        <v>C</v>
      </c>
      <c r="CP436" s="16" t="str">
        <f>IFERROR(__xludf.DUMMYFUNCTION("""COMPUTED_VALUE"""),"5p30")</f>
        <v>5p30</v>
      </c>
      <c r="CQ436" s="16">
        <f>IFERROR(__xludf.DUMMYFUNCTION("""COMPUTED_VALUE"""),-33.0)</f>
        <v>-33</v>
      </c>
      <c r="CR436" s="16">
        <f>IFERROR(__xludf.DUMMYFUNCTION("""COMPUTED_VALUE"""),1.0)</f>
        <v>1</v>
      </c>
      <c r="CS436" s="16">
        <f>IFERROR(__xludf.DUMMYFUNCTION("""COMPUTED_VALUE"""),-32.0)</f>
        <v>-32</v>
      </c>
      <c r="CT436" s="16">
        <f>IFERROR(__xludf.DUMMYFUNCTION("""COMPUTED_VALUE"""),-33.0)</f>
        <v>-33</v>
      </c>
      <c r="CU436" s="16">
        <f>IFERROR(__xludf.DUMMYFUNCTION("""COMPUTED_VALUE"""),1.0)</f>
        <v>1</v>
      </c>
      <c r="CV436" s="179">
        <f>IFERROR(__xludf.DUMMYFUNCTION("""COMPUTED_VALUE"""),-19.666666666666668)</f>
        <v>-19.66666667</v>
      </c>
      <c r="CW436" s="179">
        <f>IFERROR(__xludf.DUMMYFUNCTION("""COMPUTED_VALUE"""),0.0)</f>
        <v>0</v>
      </c>
      <c r="CX436" s="179">
        <f>IFERROR(__xludf.DUMMYFUNCTION("""COMPUTED_VALUE"""),2.0)</f>
        <v>2</v>
      </c>
      <c r="CY436" s="16" t="str">
        <f>IFERROR(__xludf.DUMMYFUNCTION("""COMPUTED_VALUE"""),"RP")</f>
        <v>RP</v>
      </c>
      <c r="CZ436" s="16" t="str">
        <f>IFERROR(__xludf.DUMMYFUNCTION("""COMPUTED_VALUE"""),"CP")</f>
        <v>CP</v>
      </c>
      <c r="DA436" s="16"/>
      <c r="DB436" s="16"/>
      <c r="DC436" s="16"/>
      <c r="DD436" s="16"/>
      <c r="DE436" s="16"/>
      <c r="DF436" s="16"/>
      <c r="DG436" s="16"/>
      <c r="DH436" s="16"/>
      <c r="DI436" s="16"/>
      <c r="DJ436" s="16"/>
      <c r="DK436" s="16"/>
    </row>
    <row r="437">
      <c r="A437" s="16">
        <f>IFERROR(__xludf.DUMMYFUNCTION("""COMPUTED_VALUE"""),12509.0)</f>
        <v>12509</v>
      </c>
      <c r="B437" s="16" t="str">
        <f>IFERROR(__xludf.DUMMYFUNCTION("""COMPUTED_VALUE"""),"Adrian Houser")</f>
        <v>Adrian Houser</v>
      </c>
      <c r="C437" s="153">
        <f>IFERROR(__xludf.DUMMYFUNCTION("""COMPUTED_VALUE"""),0.0)</f>
        <v>0</v>
      </c>
      <c r="D437" s="16"/>
      <c r="E437" s="16" t="str">
        <f>IFERROR(__xludf.DUMMYFUNCTION("""COMPUTED_VALUE"""),"R")</f>
        <v>R</v>
      </c>
      <c r="F437" s="16">
        <f>IFERROR(__xludf.DUMMYFUNCTION("""COMPUTED_VALUE"""),69.0)</f>
        <v>69</v>
      </c>
      <c r="G437" s="16">
        <f>IFERROR(__xludf.DUMMYFUNCTION("""COMPUTED_VALUE"""),2.0)</f>
        <v>2</v>
      </c>
      <c r="H437" s="16">
        <f>IFERROR(__xludf.DUMMYFUNCTION("""COMPUTED_VALUE"""),12.0)</f>
        <v>12</v>
      </c>
      <c r="I437" s="16">
        <f>IFERROR(__xludf.DUMMYFUNCTION("""COMPUTED_VALUE"""),-3.0)</f>
        <v>-3</v>
      </c>
      <c r="J437" s="16">
        <f>IFERROR(__xludf.DUMMYFUNCTION("""COMPUTED_VALUE"""),-2.0)</f>
        <v>-2</v>
      </c>
      <c r="K437" s="16">
        <f>IFERROR(__xludf.DUMMYFUNCTION("""COMPUTED_VALUE"""),-9.0)</f>
        <v>-9</v>
      </c>
      <c r="L437" s="16">
        <f>IFERROR(__xludf.DUMMYFUNCTION("""COMPUTED_VALUE"""),-6.0)</f>
        <v>-6</v>
      </c>
      <c r="M437" s="16">
        <f>IFERROR(__xludf.DUMMYFUNCTION("""COMPUTED_VALUE"""),16.0)</f>
        <v>16</v>
      </c>
      <c r="N437" s="16">
        <f>IFERROR(__xludf.DUMMYFUNCTION("""COMPUTED_VALUE"""),12.0)</f>
        <v>12</v>
      </c>
      <c r="O437" s="16">
        <f>IFERROR(__xludf.DUMMYFUNCTION("""COMPUTED_VALUE"""),-2.0)</f>
        <v>-2</v>
      </c>
      <c r="P437" s="16">
        <f>IFERROR(__xludf.DUMMYFUNCTION("""COMPUTED_VALUE"""),-2.0)</f>
        <v>-2</v>
      </c>
      <c r="Q437" s="16">
        <f>IFERROR(__xludf.DUMMYFUNCTION("""COMPUTED_VALUE"""),-2.0)</f>
        <v>-2</v>
      </c>
      <c r="R437" s="16">
        <f>IFERROR(__xludf.DUMMYFUNCTION("""COMPUTED_VALUE"""),-2.0)</f>
        <v>-2</v>
      </c>
      <c r="S437" s="16">
        <f>IFERROR(__xludf.DUMMYFUNCTION("""COMPUTED_VALUE"""),22.0)</f>
        <v>22</v>
      </c>
      <c r="T437" s="16">
        <f>IFERROR(__xludf.DUMMYFUNCTION("""COMPUTED_VALUE"""),23.5)</f>
        <v>23.5</v>
      </c>
      <c r="U437" s="16">
        <f>IFERROR(__xludf.DUMMYFUNCTION("""COMPUTED_VALUE"""),-1.0)</f>
        <v>-1</v>
      </c>
      <c r="V437" s="16">
        <f>IFERROR(__xludf.DUMMYFUNCTION("""COMPUTED_VALUE"""),-1.0)</f>
        <v>-1</v>
      </c>
      <c r="W437" s="16">
        <f>IFERROR(__xludf.DUMMYFUNCTION("""COMPUTED_VALUE"""),-2.0)</f>
        <v>-2</v>
      </c>
      <c r="X437" s="16">
        <f>IFERROR(__xludf.DUMMYFUNCTION("""COMPUTED_VALUE"""),-2.0)</f>
        <v>-2</v>
      </c>
      <c r="Y437" s="16">
        <f>IFERROR(__xludf.DUMMYFUNCTION("""COMPUTED_VALUE"""),38.0)</f>
        <v>38</v>
      </c>
      <c r="Z437" s="16">
        <f>IFERROR(__xludf.DUMMYFUNCTION("""COMPUTED_VALUE"""),35.5)</f>
        <v>35.5</v>
      </c>
      <c r="AA437" s="16">
        <f>IFERROR(__xludf.DUMMYFUNCTION("""COMPUTED_VALUE"""),-2.0)</f>
        <v>-2</v>
      </c>
      <c r="AB437" s="16">
        <f>IFERROR(__xludf.DUMMYFUNCTION("""COMPUTED_VALUE"""),-2.0)</f>
        <v>-2</v>
      </c>
      <c r="AC437" s="16">
        <f>IFERROR(__xludf.DUMMYFUNCTION("""COMPUTED_VALUE"""),-10.0)</f>
        <v>-10</v>
      </c>
      <c r="AD437" s="16">
        <f>IFERROR(__xludf.DUMMYFUNCTION("""COMPUTED_VALUE"""),-10.0)</f>
        <v>-10</v>
      </c>
      <c r="AE437" s="16">
        <f>IFERROR(__xludf.DUMMYFUNCTION("""COMPUTED_VALUE"""),40.8)</f>
        <v>40.8</v>
      </c>
      <c r="AF437" s="16">
        <f>IFERROR(__xludf.DUMMYFUNCTION("""COMPUTED_VALUE"""),36.5)</f>
        <v>36.5</v>
      </c>
      <c r="AG437" s="16">
        <f>IFERROR(__xludf.DUMMYFUNCTION("""COMPUTED_VALUE"""),-1.0)</f>
        <v>-1</v>
      </c>
      <c r="AH437" s="16">
        <f>IFERROR(__xludf.DUMMYFUNCTION("""COMPUTED_VALUE"""),-1.0)</f>
        <v>-1</v>
      </c>
      <c r="AI437" s="16">
        <f>IFERROR(__xludf.DUMMYFUNCTION("""COMPUTED_VALUE"""),-2.0)</f>
        <v>-2</v>
      </c>
      <c r="AJ437" s="16">
        <f>IFERROR(__xludf.DUMMYFUNCTION("""COMPUTED_VALUE"""),-2.0)</f>
        <v>-2</v>
      </c>
      <c r="AK437" s="16">
        <f>IFERROR(__xludf.DUMMYFUNCTION("""COMPUTED_VALUE"""),19.8)</f>
        <v>19.8</v>
      </c>
      <c r="AL437" s="16">
        <f>IFERROR(__xludf.DUMMYFUNCTION("""COMPUTED_VALUE"""),22.9)</f>
        <v>22.9</v>
      </c>
      <c r="AM437" s="16">
        <f>IFERROR(__xludf.DUMMYFUNCTION("""COMPUTED_VALUE"""),-1.0)</f>
        <v>-1</v>
      </c>
      <c r="AN437" s="16">
        <f>IFERROR(__xludf.DUMMYFUNCTION("""COMPUTED_VALUE"""),-2.0)</f>
        <v>-2</v>
      </c>
      <c r="AO437" s="16">
        <f>IFERROR(__xludf.DUMMYFUNCTION("""COMPUTED_VALUE"""),-1.0)</f>
        <v>-1</v>
      </c>
      <c r="AP437" s="16">
        <f>IFERROR(__xludf.DUMMYFUNCTION("""COMPUTED_VALUE"""),-2.0)</f>
        <v>-2</v>
      </c>
      <c r="AQ437" s="16">
        <f>IFERROR(__xludf.DUMMYFUNCTION("""COMPUTED_VALUE"""),31.999999999999996)</f>
        <v>32</v>
      </c>
      <c r="AR437" s="16">
        <f>IFERROR(__xludf.DUMMYFUNCTION("""COMPUTED_VALUE"""),34.1)</f>
        <v>34.1</v>
      </c>
      <c r="AS437" s="16">
        <f>IFERROR(__xludf.DUMMYFUNCTION("""COMPUTED_VALUE"""),-2.0)</f>
        <v>-2</v>
      </c>
      <c r="AT437" s="16">
        <f>IFERROR(__xludf.DUMMYFUNCTION("""COMPUTED_VALUE"""),-2.0)</f>
        <v>-2</v>
      </c>
      <c r="AU437" s="16">
        <f>IFERROR(__xludf.DUMMYFUNCTION("""COMPUTED_VALUE"""),-4.0)</f>
        <v>-4</v>
      </c>
      <c r="AV437" s="16">
        <f>IFERROR(__xludf.DUMMYFUNCTION("""COMPUTED_VALUE"""),-4.0)</f>
        <v>-4</v>
      </c>
      <c r="AW437" s="16">
        <f>IFERROR(__xludf.DUMMYFUNCTION("""COMPUTED_VALUE"""),2.2)</f>
        <v>2.2</v>
      </c>
      <c r="AX437" s="16">
        <f>IFERROR(__xludf.DUMMYFUNCTION("""COMPUTED_VALUE"""),0.6)</f>
        <v>0.6</v>
      </c>
      <c r="AY437" s="16">
        <f>IFERROR(__xludf.DUMMYFUNCTION("""COMPUTED_VALUE"""),0.0)</f>
        <v>0</v>
      </c>
      <c r="AZ437" s="16">
        <f>IFERROR(__xludf.DUMMYFUNCTION("""COMPUTED_VALUE"""),2.0)</f>
        <v>2</v>
      </c>
      <c r="BA437" s="16">
        <f>IFERROR(__xludf.DUMMYFUNCTION("""COMPUTED_VALUE"""),0.0)</f>
        <v>0</v>
      </c>
      <c r="BB437" s="16">
        <f>IFERROR(__xludf.DUMMYFUNCTION("""COMPUTED_VALUE"""),10.0)</f>
        <v>10</v>
      </c>
      <c r="BC437" s="16">
        <f>IFERROR(__xludf.DUMMYFUNCTION("""COMPUTED_VALUE"""),3.0)</f>
        <v>3</v>
      </c>
      <c r="BD437" s="16">
        <f>IFERROR(__xludf.DUMMYFUNCTION("""COMPUTED_VALUE"""),1.0)</f>
        <v>1</v>
      </c>
      <c r="BE437" s="16">
        <f>IFERROR(__xludf.DUMMYFUNCTION("""COMPUTED_VALUE"""),3.0)</f>
        <v>3</v>
      </c>
      <c r="BF437" s="16">
        <f>IFERROR(__xludf.DUMMYFUNCTION("""COMPUTED_VALUE"""),1.0)</f>
        <v>1</v>
      </c>
      <c r="BG437" s="16">
        <f>IFERROR(__xludf.DUMMYFUNCTION("""COMPUTED_VALUE"""),0.0)</f>
        <v>0</v>
      </c>
      <c r="BH437" s="16">
        <f>IFERROR(__xludf.DUMMYFUNCTION("""COMPUTED_VALUE"""),2.0)</f>
        <v>2</v>
      </c>
      <c r="BI437" s="16">
        <f>IFERROR(__xludf.DUMMYFUNCTION("""COMPUTED_VALUE"""),0.0)</f>
        <v>0</v>
      </c>
      <c r="BJ437" s="16">
        <f>IFERROR(__xludf.DUMMYFUNCTION("""COMPUTED_VALUE"""),4.0)</f>
        <v>4</v>
      </c>
      <c r="BK437" s="16">
        <f>IFERROR(__xludf.DUMMYFUNCTION("""COMPUTED_VALUE"""),5.0)</f>
        <v>5</v>
      </c>
      <c r="BL437" s="16">
        <f>IFERROR(__xludf.DUMMYFUNCTION("""COMPUTED_VALUE"""),5.0)</f>
        <v>5</v>
      </c>
      <c r="BM437" s="16">
        <f>IFERROR(__xludf.DUMMYFUNCTION("""COMPUTED_VALUE"""),0.0)</f>
        <v>0</v>
      </c>
      <c r="BN437" s="16">
        <f>IFERROR(__xludf.DUMMYFUNCTION("""COMPUTED_VALUE"""),0.0)</f>
        <v>0</v>
      </c>
      <c r="BO437" s="16">
        <f>IFERROR(__xludf.DUMMYFUNCTION("""COMPUTED_VALUE"""),0.0)</f>
        <v>0</v>
      </c>
      <c r="BP437" s="16">
        <f>IFERROR(__xludf.DUMMYFUNCTION("""COMPUTED_VALUE"""),0.0)</f>
        <v>0</v>
      </c>
      <c r="BQ437" s="16">
        <f>IFERROR(__xludf.DUMMYFUNCTION("""COMPUTED_VALUE"""),5.0)</f>
        <v>5</v>
      </c>
      <c r="BR437" s="16">
        <f>IFERROR(__xludf.DUMMYFUNCTION("""COMPUTED_VALUE"""),5.0)</f>
        <v>5</v>
      </c>
      <c r="BS437" s="16">
        <f>IFERROR(__xludf.DUMMYFUNCTION("""COMPUTED_VALUE"""),0.0)</f>
        <v>0</v>
      </c>
      <c r="BT437" s="16">
        <f>IFERROR(__xludf.DUMMYFUNCTION("""COMPUTED_VALUE"""),0.0)</f>
        <v>0</v>
      </c>
      <c r="BU437" s="16">
        <f>IFERROR(__xludf.DUMMYFUNCTION("""COMPUTED_VALUE"""),0.0)</f>
        <v>0</v>
      </c>
      <c r="BV437" s="16">
        <f>IFERROR(__xludf.DUMMYFUNCTION("""COMPUTED_VALUE"""),0.0)</f>
        <v>0</v>
      </c>
      <c r="BW437" s="16">
        <f>IFERROR(__xludf.DUMMYFUNCTION("""COMPUTED_VALUE"""),3.0)</f>
        <v>3</v>
      </c>
      <c r="BX437" s="16">
        <f>IFERROR(__xludf.DUMMYFUNCTION("""COMPUTED_VALUE"""),3.0)</f>
        <v>3</v>
      </c>
      <c r="BY437" s="16" t="str">
        <f>IFERROR(__xludf.DUMMYFUNCTION("""COMPUTED_VALUE"""),"S(5) R(3) C(0)")</f>
        <v>S(5) R(3) C(0)</v>
      </c>
      <c r="BZ437" s="16" t="str">
        <f>IFERROR(__xludf.DUMMYFUNCTION("""COMPUTED_VALUE"""),"S(5) R(3) C(0)")</f>
        <v>S(5) R(3) C(0)</v>
      </c>
      <c r="CA437" s="16" t="str">
        <f>IFERROR(__xludf.DUMMYFUNCTION("""COMPUTED_VALUE"""),"S(5)")</f>
        <v>S(5)</v>
      </c>
      <c r="CB437" s="16" t="str">
        <f>IFERROR(__xludf.DUMMYFUNCTION("""COMPUTED_VALUE"""),"R(3)")</f>
        <v>R(3)</v>
      </c>
      <c r="CC437" s="16" t="str">
        <f>IFERROR(__xludf.DUMMYFUNCTION("""COMPUTED_VALUE"""),"C(0)")</f>
        <v>C(0)</v>
      </c>
      <c r="CD437" s="16">
        <f>IFERROR(__xludf.DUMMYFUNCTION("""COMPUTED_VALUE"""),5.0)</f>
        <v>5</v>
      </c>
      <c r="CE437" s="16">
        <f>IFERROR(__xludf.DUMMYFUNCTION("""COMPUTED_VALUE"""),3.0)</f>
        <v>3</v>
      </c>
      <c r="CF437" s="16">
        <f>IFERROR(__xludf.DUMMYFUNCTION("""COMPUTED_VALUE"""),0.0)</f>
        <v>0</v>
      </c>
      <c r="CG437" s="16" t="str">
        <f>IFERROR(__xludf.DUMMYFUNCTION("""COMPUTED_VALUE"""),"2-0")</f>
        <v>2-0</v>
      </c>
      <c r="CH437" s="16">
        <f>IFERROR(__xludf.DUMMYFUNCTION("""COMPUTED_VALUE"""),2.0)</f>
        <v>2</v>
      </c>
      <c r="CI437" s="16">
        <f>IFERROR(__xludf.DUMMYFUNCTION("""COMPUTED_VALUE"""),0.0)</f>
        <v>0</v>
      </c>
      <c r="CJ437" s="16">
        <f>IFERROR(__xludf.DUMMYFUNCTION("""COMPUTED_VALUE"""),0.0)</f>
        <v>0</v>
      </c>
      <c r="CK437" s="16">
        <f>IFERROR(__xludf.DUMMYFUNCTION("""COMPUTED_VALUE"""),5.0)</f>
        <v>5</v>
      </c>
      <c r="CL437" s="16" t="str">
        <f>IFERROR(__xludf.DUMMYFUNCTION("""COMPUTED_VALUE"""),"1WR-C")</f>
        <v>1WR-C</v>
      </c>
      <c r="CM437" s="16" t="str">
        <f>IFERROR(__xludf.DUMMYFUNCTION("""COMPUTED_VALUE"""),"E")</f>
        <v>E</v>
      </c>
      <c r="CN437" s="16">
        <f>IFERROR(__xludf.DUMMYFUNCTION("""COMPUTED_VALUE"""),10.0)</f>
        <v>10</v>
      </c>
      <c r="CO437" s="16" t="str">
        <f>IFERROR(__xludf.DUMMYFUNCTION("""COMPUTED_VALUE"""),"C")</f>
        <v>C</v>
      </c>
      <c r="CP437" s="16" t="str">
        <f>IFERROR(__xludf.DUMMYFUNCTION("""COMPUTED_VALUE"""),"1p40")</f>
        <v>1p40</v>
      </c>
      <c r="CQ437" s="16">
        <f>IFERROR(__xludf.DUMMYFUNCTION("""COMPUTED_VALUE"""),-30.0)</f>
        <v>-30</v>
      </c>
      <c r="CR437" s="16">
        <f>IFERROR(__xludf.DUMMYFUNCTION("""COMPUTED_VALUE"""),-14.0)</f>
        <v>-14</v>
      </c>
      <c r="CS437" s="16">
        <f>IFERROR(__xludf.DUMMYFUNCTION("""COMPUTED_VALUE"""),-44.0)</f>
        <v>-44</v>
      </c>
      <c r="CT437" s="16">
        <f>IFERROR(__xludf.DUMMYFUNCTION("""COMPUTED_VALUE"""),-30.0)</f>
        <v>-30</v>
      </c>
      <c r="CU437" s="16">
        <f>IFERROR(__xludf.DUMMYFUNCTION("""COMPUTED_VALUE"""),-14.0)</f>
        <v>-14</v>
      </c>
      <c r="CV437" s="179">
        <f>IFERROR(__xludf.DUMMYFUNCTION("""COMPUTED_VALUE"""),-19.666666666666668)</f>
        <v>-19.66666667</v>
      </c>
      <c r="CW437" s="179">
        <f>IFERROR(__xludf.DUMMYFUNCTION("""COMPUTED_VALUE"""),4.0)</f>
        <v>4</v>
      </c>
      <c r="CX437" s="179">
        <f>IFERROR(__xludf.DUMMYFUNCTION("""COMPUTED_VALUE"""),1.0)</f>
        <v>1</v>
      </c>
      <c r="CY437" s="16" t="str">
        <f>IFERROR(__xludf.DUMMYFUNCTION("""COMPUTED_VALUE"""),"SP")</f>
        <v>SP</v>
      </c>
      <c r="CZ437" s="16" t="str">
        <f>IFERROR(__xludf.DUMMYFUNCTION("""COMPUTED_VALUE"""),"RP")</f>
        <v>RP</v>
      </c>
      <c r="DA437" s="16" t="str">
        <f>IFERROR(__xludf.DUMMYFUNCTION("""COMPUTED_VALUE"""),"CP")</f>
        <v>CP</v>
      </c>
      <c r="DB437" s="16"/>
      <c r="DC437" s="16"/>
      <c r="DD437" s="16"/>
      <c r="DE437" s="16"/>
      <c r="DF437" s="16"/>
      <c r="DG437" s="16"/>
      <c r="DH437" s="16"/>
      <c r="DI437" s="16"/>
      <c r="DJ437" s="16"/>
      <c r="DK437" s="16"/>
    </row>
    <row r="438">
      <c r="A438" s="16">
        <f>IFERROR(__xludf.DUMMYFUNCTION("""COMPUTED_VALUE"""),12974.0)</f>
        <v>12974</v>
      </c>
      <c r="B438" s="16" t="str">
        <f>IFERROR(__xludf.DUMMYFUNCTION("""COMPUTED_VALUE"""),"Joey Estes")</f>
        <v>Joey Estes</v>
      </c>
      <c r="C438" s="153">
        <f>IFERROR(__xludf.DUMMYFUNCTION("""COMPUTED_VALUE"""),0.25)</f>
        <v>0.25</v>
      </c>
      <c r="D438" s="16"/>
      <c r="E438" s="16" t="str">
        <f>IFERROR(__xludf.DUMMYFUNCTION("""COMPUTED_VALUE"""),"R")</f>
        <v>R</v>
      </c>
      <c r="F438" s="16">
        <f>IFERROR(__xludf.DUMMYFUNCTION("""COMPUTED_VALUE"""),128.0)</f>
        <v>128</v>
      </c>
      <c r="G438" s="16">
        <f>IFERROR(__xludf.DUMMYFUNCTION("""COMPUTED_VALUE"""),12.0)</f>
        <v>12</v>
      </c>
      <c r="H438" s="16">
        <f>IFERROR(__xludf.DUMMYFUNCTION("""COMPUTED_VALUE"""),14.0)</f>
        <v>14</v>
      </c>
      <c r="I438" s="16">
        <f>IFERROR(__xludf.DUMMYFUNCTION("""COMPUTED_VALUE"""),-2.0)</f>
        <v>-2</v>
      </c>
      <c r="J438" s="16">
        <f>IFERROR(__xludf.DUMMYFUNCTION("""COMPUTED_VALUE"""),-2.0)</f>
        <v>-2</v>
      </c>
      <c r="K438" s="16">
        <f>IFERROR(__xludf.DUMMYFUNCTION("""COMPUTED_VALUE"""),-6.0)</f>
        <v>-6</v>
      </c>
      <c r="L438" s="16">
        <f>IFERROR(__xludf.DUMMYFUNCTION("""COMPUTED_VALUE"""),-6.0)</f>
        <v>-6</v>
      </c>
      <c r="M438" s="16">
        <f>IFERROR(__xludf.DUMMYFUNCTION("""COMPUTED_VALUE"""),5.0)</f>
        <v>5</v>
      </c>
      <c r="N438" s="16">
        <f>IFERROR(__xludf.DUMMYFUNCTION("""COMPUTED_VALUE"""),0.0)</f>
        <v>0</v>
      </c>
      <c r="O438" s="16">
        <f>IFERROR(__xludf.DUMMYFUNCTION("""COMPUTED_VALUE"""),2.0)</f>
        <v>2</v>
      </c>
      <c r="P438" s="16">
        <f>IFERROR(__xludf.DUMMYFUNCTION("""COMPUTED_VALUE"""),3.0)</f>
        <v>3</v>
      </c>
      <c r="Q438" s="16">
        <f>IFERROR(__xludf.DUMMYFUNCTION("""COMPUTED_VALUE"""),2.0)</f>
        <v>2</v>
      </c>
      <c r="R438" s="16">
        <f>IFERROR(__xludf.DUMMYFUNCTION("""COMPUTED_VALUE"""),3.0)</f>
        <v>3</v>
      </c>
      <c r="S438" s="16">
        <f>IFERROR(__xludf.DUMMYFUNCTION("""COMPUTED_VALUE"""),13.1)</f>
        <v>13.1</v>
      </c>
      <c r="T438" s="16">
        <f>IFERROR(__xludf.DUMMYFUNCTION("""COMPUTED_VALUE"""),22.8)</f>
        <v>22.8</v>
      </c>
      <c r="U438" s="16">
        <f>IFERROR(__xludf.DUMMYFUNCTION("""COMPUTED_VALUE"""),0.0)</f>
        <v>0</v>
      </c>
      <c r="V438" s="16">
        <f>IFERROR(__xludf.DUMMYFUNCTION("""COMPUTED_VALUE"""),-1.0)</f>
        <v>-1</v>
      </c>
      <c r="W438" s="16">
        <f>IFERROR(__xludf.DUMMYFUNCTION("""COMPUTED_VALUE"""),0.0)</f>
        <v>0</v>
      </c>
      <c r="X438" s="16">
        <f>IFERROR(__xludf.DUMMYFUNCTION("""COMPUTED_VALUE"""),-2.0)</f>
        <v>-2</v>
      </c>
      <c r="Y438" s="16">
        <f>IFERROR(__xludf.DUMMYFUNCTION("""COMPUTED_VALUE"""),18.1)</f>
        <v>18.1</v>
      </c>
      <c r="Z438" s="16">
        <f>IFERROR(__xludf.DUMMYFUNCTION("""COMPUTED_VALUE"""),22.8)</f>
        <v>22.8</v>
      </c>
      <c r="AA438" s="16">
        <f>IFERROR(__xludf.DUMMYFUNCTION("""COMPUTED_VALUE"""),1.0)</f>
        <v>1</v>
      </c>
      <c r="AB438" s="16">
        <f>IFERROR(__xludf.DUMMYFUNCTION("""COMPUTED_VALUE"""),0.0)</f>
        <v>0</v>
      </c>
      <c r="AC438" s="16">
        <f>IFERROR(__xludf.DUMMYFUNCTION("""COMPUTED_VALUE"""),5.0)</f>
        <v>5</v>
      </c>
      <c r="AD438" s="16">
        <f>IFERROR(__xludf.DUMMYFUNCTION("""COMPUTED_VALUE"""),0.0)</f>
        <v>0</v>
      </c>
      <c r="AE438" s="16">
        <f>IFERROR(__xludf.DUMMYFUNCTION("""COMPUTED_VALUE"""),33.9)</f>
        <v>33.9</v>
      </c>
      <c r="AF438" s="16">
        <f>IFERROR(__xludf.DUMMYFUNCTION("""COMPUTED_VALUE"""),44.9)</f>
        <v>44.9</v>
      </c>
      <c r="AG438" s="16">
        <f>IFERROR(__xludf.DUMMYFUNCTION("""COMPUTED_VALUE"""),-1.0)</f>
        <v>-1</v>
      </c>
      <c r="AH438" s="16">
        <f>IFERROR(__xludf.DUMMYFUNCTION("""COMPUTED_VALUE"""),-2.0)</f>
        <v>-2</v>
      </c>
      <c r="AI438" s="16">
        <f>IFERROR(__xludf.DUMMYFUNCTION("""COMPUTED_VALUE"""),-2.0)</f>
        <v>-2</v>
      </c>
      <c r="AJ438" s="16">
        <f>IFERROR(__xludf.DUMMYFUNCTION("""COMPUTED_VALUE"""),-4.0)</f>
        <v>-4</v>
      </c>
      <c r="AK438" s="16">
        <f>IFERROR(__xludf.DUMMYFUNCTION("""COMPUTED_VALUE"""),9.3)</f>
        <v>9.3</v>
      </c>
      <c r="AL438" s="16">
        <f>IFERROR(__xludf.DUMMYFUNCTION("""COMPUTED_VALUE"""),19.0)</f>
        <v>19</v>
      </c>
      <c r="AM438" s="16">
        <f>IFERROR(__xludf.DUMMYFUNCTION("""COMPUTED_VALUE"""),1.0)</f>
        <v>1</v>
      </c>
      <c r="AN438" s="16">
        <f>IFERROR(__xludf.DUMMYFUNCTION("""COMPUTED_VALUE"""),-1.0)</f>
        <v>-1</v>
      </c>
      <c r="AO438" s="16">
        <f>IFERROR(__xludf.DUMMYFUNCTION("""COMPUTED_VALUE"""),1.0)</f>
        <v>1</v>
      </c>
      <c r="AP438" s="16">
        <f>IFERROR(__xludf.DUMMYFUNCTION("""COMPUTED_VALUE"""),-1.0)</f>
        <v>-1</v>
      </c>
      <c r="AQ438" s="16">
        <f>IFERROR(__xludf.DUMMYFUNCTION("""COMPUTED_VALUE"""),18.7)</f>
        <v>18.7</v>
      </c>
      <c r="AR438" s="16">
        <f>IFERROR(__xludf.DUMMYFUNCTION("""COMPUTED_VALUE"""),29.7)</f>
        <v>29.7</v>
      </c>
      <c r="AS438" s="16">
        <f>IFERROR(__xludf.DUMMYFUNCTION("""COMPUTED_VALUE"""),0.0)</f>
        <v>0</v>
      </c>
      <c r="AT438" s="16">
        <f>IFERROR(__xludf.DUMMYFUNCTION("""COMPUTED_VALUE"""),-1.0)</f>
        <v>-1</v>
      </c>
      <c r="AU438" s="16">
        <f>IFERROR(__xludf.DUMMYFUNCTION("""COMPUTED_VALUE"""),0.0)</f>
        <v>0</v>
      </c>
      <c r="AV438" s="16">
        <f>IFERROR(__xludf.DUMMYFUNCTION("""COMPUTED_VALUE"""),-2.0)</f>
        <v>-2</v>
      </c>
      <c r="AW438" s="16">
        <f>IFERROR(__xludf.DUMMYFUNCTION("""COMPUTED_VALUE"""),3.8)</f>
        <v>3.8</v>
      </c>
      <c r="AX438" s="16">
        <f>IFERROR(__xludf.DUMMYFUNCTION("""COMPUTED_VALUE"""),3.8)</f>
        <v>3.8</v>
      </c>
      <c r="AY438" s="16">
        <f>IFERROR(__xludf.DUMMYFUNCTION("""COMPUTED_VALUE"""),-2.0)</f>
        <v>-2</v>
      </c>
      <c r="AZ438" s="16">
        <f>IFERROR(__xludf.DUMMYFUNCTION("""COMPUTED_VALUE"""),-2.0)</f>
        <v>-2</v>
      </c>
      <c r="BA438" s="16">
        <f>IFERROR(__xludf.DUMMYFUNCTION("""COMPUTED_VALUE"""),-10.0)</f>
        <v>-10</v>
      </c>
      <c r="BB438" s="16">
        <f>IFERROR(__xludf.DUMMYFUNCTION("""COMPUTED_VALUE"""),-10.0)</f>
        <v>-10</v>
      </c>
      <c r="BC438" s="16">
        <f>IFERROR(__xludf.DUMMYFUNCTION("""COMPUTED_VALUE"""),8.0)</f>
        <v>8</v>
      </c>
      <c r="BD438" s="16">
        <f>IFERROR(__xludf.DUMMYFUNCTION("""COMPUTED_VALUE"""),8.0)</f>
        <v>8</v>
      </c>
      <c r="BE438" s="16">
        <f>IFERROR(__xludf.DUMMYFUNCTION("""COMPUTED_VALUE"""),8.0)</f>
        <v>8</v>
      </c>
      <c r="BF438" s="16">
        <f>IFERROR(__xludf.DUMMYFUNCTION("""COMPUTED_VALUE"""),8.0)</f>
        <v>8</v>
      </c>
      <c r="BG438" s="16">
        <f>IFERROR(__xludf.DUMMYFUNCTION("""COMPUTED_VALUE"""),-3.0)</f>
        <v>-3</v>
      </c>
      <c r="BH438" s="16">
        <f>IFERROR(__xludf.DUMMYFUNCTION("""COMPUTED_VALUE"""),-3.0)</f>
        <v>-3</v>
      </c>
      <c r="BI438" s="16">
        <f>IFERROR(__xludf.DUMMYFUNCTION("""COMPUTED_VALUE"""),-6.0)</f>
        <v>-6</v>
      </c>
      <c r="BJ438" s="16">
        <f>IFERROR(__xludf.DUMMYFUNCTION("""COMPUTED_VALUE"""),-6.0)</f>
        <v>-6</v>
      </c>
      <c r="BK438" s="16">
        <f>IFERROR(__xludf.DUMMYFUNCTION("""COMPUTED_VALUE"""),5.0)</f>
        <v>5</v>
      </c>
      <c r="BL438" s="16">
        <f>IFERROR(__xludf.DUMMYFUNCTION("""COMPUTED_VALUE"""),5.0)</f>
        <v>5</v>
      </c>
      <c r="BM438" s="16">
        <f>IFERROR(__xludf.DUMMYFUNCTION("""COMPUTED_VALUE"""),0.0)</f>
        <v>0</v>
      </c>
      <c r="BN438" s="16">
        <f>IFERROR(__xludf.DUMMYFUNCTION("""COMPUTED_VALUE"""),0.0)</f>
        <v>0</v>
      </c>
      <c r="BO438" s="16">
        <f>IFERROR(__xludf.DUMMYFUNCTION("""COMPUTED_VALUE"""),0.0)</f>
        <v>0</v>
      </c>
      <c r="BP438" s="16">
        <f>IFERROR(__xludf.DUMMYFUNCTION("""COMPUTED_VALUE"""),0.0)</f>
        <v>0</v>
      </c>
      <c r="BQ438" s="16">
        <f>IFERROR(__xludf.DUMMYFUNCTION("""COMPUTED_VALUE"""),3.0)</f>
        <v>3</v>
      </c>
      <c r="BR438" s="16">
        <f>IFERROR(__xludf.DUMMYFUNCTION("""COMPUTED_VALUE"""),4.0)</f>
        <v>4</v>
      </c>
      <c r="BS438" s="16">
        <f>IFERROR(__xludf.DUMMYFUNCTION("""COMPUTED_VALUE"""),-1.0)</f>
        <v>-1</v>
      </c>
      <c r="BT438" s="16">
        <f>IFERROR(__xludf.DUMMYFUNCTION("""COMPUTED_VALUE"""),-1.0)</f>
        <v>-1</v>
      </c>
      <c r="BU438" s="16">
        <f>IFERROR(__xludf.DUMMYFUNCTION("""COMPUTED_VALUE"""),-2.0)</f>
        <v>-2</v>
      </c>
      <c r="BV438" s="16">
        <f>IFERROR(__xludf.DUMMYFUNCTION("""COMPUTED_VALUE"""),-2.0)</f>
        <v>-2</v>
      </c>
      <c r="BW438" s="16">
        <f>IFERROR(__xludf.DUMMYFUNCTION("""COMPUTED_VALUE"""),-2.0)</f>
        <v>-2</v>
      </c>
      <c r="BX438" s="16">
        <f>IFERROR(__xludf.DUMMYFUNCTION("""COMPUTED_VALUE"""),-2.0)</f>
        <v>-2</v>
      </c>
      <c r="BY438" s="16" t="str">
        <f>IFERROR(__xludf.DUMMYFUNCTION("""COMPUTED_VALUE"""),"S(5)")</f>
        <v>S(5)</v>
      </c>
      <c r="BZ438" s="16" t="str">
        <f>IFERROR(__xludf.DUMMYFUNCTION("""COMPUTED_VALUE"""),"S(5)")</f>
        <v>S(5)</v>
      </c>
      <c r="CA438" s="16" t="str">
        <f>IFERROR(__xludf.DUMMYFUNCTION("""COMPUTED_VALUE"""),"S(5)")</f>
        <v>S(5)</v>
      </c>
      <c r="CB438" s="16"/>
      <c r="CC438" s="16"/>
      <c r="CD438" s="16">
        <f>IFERROR(__xludf.DUMMYFUNCTION("""COMPUTED_VALUE"""),5.0)</f>
        <v>5</v>
      </c>
      <c r="CE438" s="16"/>
      <c r="CF438" s="16"/>
      <c r="CG438" s="16" t="str">
        <f>IFERROR(__xludf.DUMMYFUNCTION("""COMPUTED_VALUE"""),"4-0")</f>
        <v>4-0</v>
      </c>
      <c r="CH438" s="16">
        <f>IFERROR(__xludf.DUMMYFUNCTION("""COMPUTED_VALUE"""),4.0)</f>
        <v>4</v>
      </c>
      <c r="CI438" s="16">
        <f>IFERROR(__xludf.DUMMYFUNCTION("""COMPUTED_VALUE"""),0.0)</f>
        <v>0</v>
      </c>
      <c r="CJ438" s="16">
        <f>IFERROR(__xludf.DUMMYFUNCTION("""COMPUTED_VALUE"""),0.0)</f>
        <v>0</v>
      </c>
      <c r="CK438" s="16">
        <f>IFERROR(__xludf.DUMMYFUNCTION("""COMPUTED_VALUE"""),4.0)</f>
        <v>4</v>
      </c>
      <c r="CL438" s="16" t="str">
        <f>IFERROR(__xludf.DUMMYFUNCTION("""COMPUTED_VALUE"""),"1WR-C")</f>
        <v>1WR-C</v>
      </c>
      <c r="CM438" s="16" t="str">
        <f>IFERROR(__xludf.DUMMYFUNCTION("""COMPUTED_VALUE"""),"E")</f>
        <v>E</v>
      </c>
      <c r="CN438" s="16">
        <f>IFERROR(__xludf.DUMMYFUNCTION("""COMPUTED_VALUE"""),10.0)</f>
        <v>10</v>
      </c>
      <c r="CO438" s="16" t="str">
        <f>IFERROR(__xludf.DUMMYFUNCTION("""COMPUTED_VALUE"""),"C")</f>
        <v>C</v>
      </c>
      <c r="CP438" s="16" t="str">
        <f>IFERROR(__xludf.DUMMYFUNCTION("""COMPUTED_VALUE"""),"1p65")</f>
        <v>1p65</v>
      </c>
      <c r="CQ438" s="16">
        <f>IFERROR(__xludf.DUMMYFUNCTION("""COMPUTED_VALUE"""),-18.0)</f>
        <v>-18</v>
      </c>
      <c r="CR438" s="16">
        <f>IFERROR(__xludf.DUMMYFUNCTION("""COMPUTED_VALUE"""),-30.0)</f>
        <v>-30</v>
      </c>
      <c r="CS438" s="16">
        <f>IFERROR(__xludf.DUMMYFUNCTION("""COMPUTED_VALUE"""),-48.0)</f>
        <v>-48</v>
      </c>
      <c r="CT438" s="16">
        <f>IFERROR(__xludf.DUMMYFUNCTION("""COMPUTED_VALUE"""),-18.0)</f>
        <v>-18</v>
      </c>
      <c r="CU438" s="16">
        <f>IFERROR(__xludf.DUMMYFUNCTION("""COMPUTED_VALUE"""),-30.0)</f>
        <v>-30</v>
      </c>
      <c r="CV438" s="179">
        <f>IFERROR(__xludf.DUMMYFUNCTION("""COMPUTED_VALUE"""),-20.0)</f>
        <v>-20</v>
      </c>
      <c r="CW438" s="179">
        <f>IFERROR(__xludf.DUMMYFUNCTION("""COMPUTED_VALUE"""),4.0)</f>
        <v>4</v>
      </c>
      <c r="CX438" s="179">
        <f>IFERROR(__xludf.DUMMYFUNCTION("""COMPUTED_VALUE"""),2.0)</f>
        <v>2</v>
      </c>
      <c r="CY438" s="16" t="str">
        <f>IFERROR(__xludf.DUMMYFUNCTION("""COMPUTED_VALUE"""),"SP")</f>
        <v>SP</v>
      </c>
      <c r="CZ438" s="16"/>
      <c r="DA438" s="16"/>
      <c r="DB438" s="16"/>
      <c r="DC438" s="16"/>
      <c r="DD438" s="16"/>
      <c r="DE438" s="16"/>
      <c r="DF438" s="16"/>
      <c r="DG438" s="16"/>
      <c r="DH438" s="16"/>
      <c r="DI438" s="16"/>
      <c r="DJ438" s="16"/>
      <c r="DK438" s="16"/>
    </row>
    <row r="439">
      <c r="A439" s="16">
        <f>IFERROR(__xludf.DUMMYFUNCTION("""COMPUTED_VALUE"""),13065.0)</f>
        <v>13065</v>
      </c>
      <c r="B439" s="16" t="str">
        <f>IFERROR(__xludf.DUMMYFUNCTION("""COMPUTED_VALUE"""),"Keaton Winn")</f>
        <v>Keaton Winn</v>
      </c>
      <c r="C439" s="153">
        <f>IFERROR(__xludf.DUMMYFUNCTION("""COMPUTED_VALUE"""),0.0)</f>
        <v>0</v>
      </c>
      <c r="D439" s="16"/>
      <c r="E439" s="16" t="str">
        <f>IFERROR(__xludf.DUMMYFUNCTION("""COMPUTED_VALUE"""),"R")</f>
        <v>R</v>
      </c>
      <c r="F439" s="16">
        <f>IFERROR(__xludf.DUMMYFUNCTION("""COMPUTED_VALUE"""),55.0)</f>
        <v>55</v>
      </c>
      <c r="G439" s="16">
        <f>IFERROR(__xludf.DUMMYFUNCTION("""COMPUTED_VALUE"""),28.0)</f>
        <v>28</v>
      </c>
      <c r="H439" s="16">
        <f>IFERROR(__xludf.DUMMYFUNCTION("""COMPUTED_VALUE"""),14.0)</f>
        <v>14</v>
      </c>
      <c r="I439" s="16">
        <f>IFERROR(__xludf.DUMMYFUNCTION("""COMPUTED_VALUE"""),0.0)</f>
        <v>0</v>
      </c>
      <c r="J439" s="16">
        <f>IFERROR(__xludf.DUMMYFUNCTION("""COMPUTED_VALUE"""),-2.0)</f>
        <v>-2</v>
      </c>
      <c r="K439" s="16">
        <f>IFERROR(__xludf.DUMMYFUNCTION("""COMPUTED_VALUE"""),0.0)</f>
        <v>0</v>
      </c>
      <c r="L439" s="16">
        <f>IFERROR(__xludf.DUMMYFUNCTION("""COMPUTED_VALUE"""),-6.0)</f>
        <v>-6</v>
      </c>
      <c r="M439" s="16">
        <f>IFERROR(__xludf.DUMMYFUNCTION("""COMPUTED_VALUE"""),12.0)</f>
        <v>12</v>
      </c>
      <c r="N439" s="16">
        <f>IFERROR(__xludf.DUMMYFUNCTION("""COMPUTED_VALUE"""),8.0)</f>
        <v>8</v>
      </c>
      <c r="O439" s="16">
        <f>IFERROR(__xludf.DUMMYFUNCTION("""COMPUTED_VALUE"""),-1.0)</f>
        <v>-1</v>
      </c>
      <c r="P439" s="16">
        <f>IFERROR(__xludf.DUMMYFUNCTION("""COMPUTED_VALUE"""),0.0)</f>
        <v>0</v>
      </c>
      <c r="Q439" s="16">
        <f>IFERROR(__xludf.DUMMYFUNCTION("""COMPUTED_VALUE"""),-1.0)</f>
        <v>-1</v>
      </c>
      <c r="R439" s="16">
        <f>IFERROR(__xludf.DUMMYFUNCTION("""COMPUTED_VALUE"""),0.0)</f>
        <v>0</v>
      </c>
      <c r="S439" s="16">
        <f>IFERROR(__xludf.DUMMYFUNCTION("""COMPUTED_VALUE"""),12.4)</f>
        <v>12.4</v>
      </c>
      <c r="T439" s="16">
        <f>IFERROR(__xludf.DUMMYFUNCTION("""COMPUTED_VALUE"""),24.9)</f>
        <v>24.9</v>
      </c>
      <c r="U439" s="16">
        <f>IFERROR(__xludf.DUMMYFUNCTION("""COMPUTED_VALUE"""),1.0)</f>
        <v>1</v>
      </c>
      <c r="V439" s="16">
        <f>IFERROR(__xludf.DUMMYFUNCTION("""COMPUTED_VALUE"""),-2.0)</f>
        <v>-2</v>
      </c>
      <c r="W439" s="16">
        <f>IFERROR(__xludf.DUMMYFUNCTION("""COMPUTED_VALUE"""),2.0)</f>
        <v>2</v>
      </c>
      <c r="X439" s="16">
        <f>IFERROR(__xludf.DUMMYFUNCTION("""COMPUTED_VALUE"""),-4.0)</f>
        <v>-4</v>
      </c>
      <c r="Y439" s="16">
        <f>IFERROR(__xludf.DUMMYFUNCTION("""COMPUTED_VALUE"""),24.5)</f>
        <v>24.5</v>
      </c>
      <c r="Z439" s="16">
        <f>IFERROR(__xludf.DUMMYFUNCTION("""COMPUTED_VALUE"""),32.8)</f>
        <v>32.8</v>
      </c>
      <c r="AA439" s="16">
        <f>IFERROR(__xludf.DUMMYFUNCTION("""COMPUTED_VALUE"""),0.0)</f>
        <v>0</v>
      </c>
      <c r="AB439" s="16">
        <f>IFERROR(__xludf.DUMMYFUNCTION("""COMPUTED_VALUE"""),-1.0)</f>
        <v>-1</v>
      </c>
      <c r="AC439" s="16">
        <f>IFERROR(__xludf.DUMMYFUNCTION("""COMPUTED_VALUE"""),0.0)</f>
        <v>0</v>
      </c>
      <c r="AD439" s="16">
        <f>IFERROR(__xludf.DUMMYFUNCTION("""COMPUTED_VALUE"""),-5.0)</f>
        <v>-5</v>
      </c>
      <c r="AE439" s="16">
        <f>IFERROR(__xludf.DUMMYFUNCTION("""COMPUTED_VALUE"""),32.9)</f>
        <v>32.9</v>
      </c>
      <c r="AF439" s="16">
        <f>IFERROR(__xludf.DUMMYFUNCTION("""COMPUTED_VALUE"""),49.6)</f>
        <v>49.6</v>
      </c>
      <c r="AG439" s="16">
        <f>IFERROR(__xludf.DUMMYFUNCTION("""COMPUTED_VALUE"""),-1.0)</f>
        <v>-1</v>
      </c>
      <c r="AH439" s="16">
        <f>IFERROR(__xludf.DUMMYFUNCTION("""COMPUTED_VALUE"""),-2.0)</f>
        <v>-2</v>
      </c>
      <c r="AI439" s="16">
        <f>IFERROR(__xludf.DUMMYFUNCTION("""COMPUTED_VALUE"""),-2.0)</f>
        <v>-2</v>
      </c>
      <c r="AJ439" s="16">
        <f>IFERROR(__xludf.DUMMYFUNCTION("""COMPUTED_VALUE"""),-4.0)</f>
        <v>-4</v>
      </c>
      <c r="AK439" s="16">
        <f>IFERROR(__xludf.DUMMYFUNCTION("""COMPUTED_VALUE"""),9.600000000000001)</f>
        <v>9.6</v>
      </c>
      <c r="AL439" s="16">
        <f>IFERROR(__xludf.DUMMYFUNCTION("""COMPUTED_VALUE"""),21.5)</f>
        <v>21.5</v>
      </c>
      <c r="AM439" s="16">
        <f>IFERROR(__xludf.DUMMYFUNCTION("""COMPUTED_VALUE"""),1.0)</f>
        <v>1</v>
      </c>
      <c r="AN439" s="16">
        <f>IFERROR(__xludf.DUMMYFUNCTION("""COMPUTED_VALUE"""),-1.0)</f>
        <v>-1</v>
      </c>
      <c r="AO439" s="16">
        <f>IFERROR(__xludf.DUMMYFUNCTION("""COMPUTED_VALUE"""),1.0)</f>
        <v>1</v>
      </c>
      <c r="AP439" s="16">
        <f>IFERROR(__xludf.DUMMYFUNCTION("""COMPUTED_VALUE"""),-1.0)</f>
        <v>-1</v>
      </c>
      <c r="AQ439" s="16">
        <f>IFERROR(__xludf.DUMMYFUNCTION("""COMPUTED_VALUE"""),21.7)</f>
        <v>21.7</v>
      </c>
      <c r="AR439" s="16">
        <f>IFERROR(__xludf.DUMMYFUNCTION("""COMPUTED_VALUE"""),36.0)</f>
        <v>36</v>
      </c>
      <c r="AS439" s="16">
        <f>IFERROR(__xludf.DUMMYFUNCTION("""COMPUTED_VALUE"""),0.0)</f>
        <v>0</v>
      </c>
      <c r="AT439" s="16">
        <f>IFERROR(__xludf.DUMMYFUNCTION("""COMPUTED_VALUE"""),-2.0)</f>
        <v>-2</v>
      </c>
      <c r="AU439" s="16">
        <f>IFERROR(__xludf.DUMMYFUNCTION("""COMPUTED_VALUE"""),0.0)</f>
        <v>0</v>
      </c>
      <c r="AV439" s="16">
        <f>IFERROR(__xludf.DUMMYFUNCTION("""COMPUTED_VALUE"""),-4.0)</f>
        <v>-4</v>
      </c>
      <c r="AW439" s="16">
        <f>IFERROR(__xludf.DUMMYFUNCTION("""COMPUTED_VALUE"""),2.8)</f>
        <v>2.8</v>
      </c>
      <c r="AX439" s="16">
        <f>IFERROR(__xludf.DUMMYFUNCTION("""COMPUTED_VALUE"""),3.4)</f>
        <v>3.4</v>
      </c>
      <c r="AY439" s="16">
        <f>IFERROR(__xludf.DUMMYFUNCTION("""COMPUTED_VALUE"""),-1.0)</f>
        <v>-1</v>
      </c>
      <c r="AZ439" s="16">
        <f>IFERROR(__xludf.DUMMYFUNCTION("""COMPUTED_VALUE"""),-1.0)</f>
        <v>-1</v>
      </c>
      <c r="BA439" s="16">
        <f>IFERROR(__xludf.DUMMYFUNCTION("""COMPUTED_VALUE"""),-5.0)</f>
        <v>-5</v>
      </c>
      <c r="BB439" s="16">
        <f>IFERROR(__xludf.DUMMYFUNCTION("""COMPUTED_VALUE"""),-5.0)</f>
        <v>-5</v>
      </c>
      <c r="BC439" s="16">
        <f>IFERROR(__xludf.DUMMYFUNCTION("""COMPUTED_VALUE"""),5.0)</f>
        <v>5</v>
      </c>
      <c r="BD439" s="16">
        <f>IFERROR(__xludf.DUMMYFUNCTION("""COMPUTED_VALUE"""),7.0)</f>
        <v>7</v>
      </c>
      <c r="BE439" s="16">
        <f>IFERROR(__xludf.DUMMYFUNCTION("""COMPUTED_VALUE"""),5.0)</f>
        <v>5</v>
      </c>
      <c r="BF439" s="16">
        <f>IFERROR(__xludf.DUMMYFUNCTION("""COMPUTED_VALUE"""),7.0)</f>
        <v>7</v>
      </c>
      <c r="BG439" s="16">
        <f>IFERROR(__xludf.DUMMYFUNCTION("""COMPUTED_VALUE"""),-2.0)</f>
        <v>-2</v>
      </c>
      <c r="BH439" s="16">
        <f>IFERROR(__xludf.DUMMYFUNCTION("""COMPUTED_VALUE"""),-3.0)</f>
        <v>-3</v>
      </c>
      <c r="BI439" s="16">
        <f>IFERROR(__xludf.DUMMYFUNCTION("""COMPUTED_VALUE"""),-4.0)</f>
        <v>-4</v>
      </c>
      <c r="BJ439" s="16">
        <f>IFERROR(__xludf.DUMMYFUNCTION("""COMPUTED_VALUE"""),-6.0)</f>
        <v>-6</v>
      </c>
      <c r="BK439" s="16">
        <f>IFERROR(__xludf.DUMMYFUNCTION("""COMPUTED_VALUE"""),5.0)</f>
        <v>5</v>
      </c>
      <c r="BL439" s="16">
        <f>IFERROR(__xludf.DUMMYFUNCTION("""COMPUTED_VALUE"""),5.0)</f>
        <v>5</v>
      </c>
      <c r="BM439" s="16">
        <f>IFERROR(__xludf.DUMMYFUNCTION("""COMPUTED_VALUE"""),0.0)</f>
        <v>0</v>
      </c>
      <c r="BN439" s="16">
        <f>IFERROR(__xludf.DUMMYFUNCTION("""COMPUTED_VALUE"""),0.0)</f>
        <v>0</v>
      </c>
      <c r="BO439" s="16">
        <f>IFERROR(__xludf.DUMMYFUNCTION("""COMPUTED_VALUE"""),0.0)</f>
        <v>0</v>
      </c>
      <c r="BP439" s="16">
        <f>IFERROR(__xludf.DUMMYFUNCTION("""COMPUTED_VALUE"""),0.0)</f>
        <v>0</v>
      </c>
      <c r="BQ439" s="16">
        <f>IFERROR(__xludf.DUMMYFUNCTION("""COMPUTED_VALUE"""),7.0)</f>
        <v>7</v>
      </c>
      <c r="BR439" s="16">
        <f>IFERROR(__xludf.DUMMYFUNCTION("""COMPUTED_VALUE"""),7.0)</f>
        <v>7</v>
      </c>
      <c r="BS439" s="16">
        <f>IFERROR(__xludf.DUMMYFUNCTION("""COMPUTED_VALUE"""),2.0)</f>
        <v>2</v>
      </c>
      <c r="BT439" s="16">
        <f>IFERROR(__xludf.DUMMYFUNCTION("""COMPUTED_VALUE"""),2.0)</f>
        <v>2</v>
      </c>
      <c r="BU439" s="16">
        <f>IFERROR(__xludf.DUMMYFUNCTION("""COMPUTED_VALUE"""),4.0)</f>
        <v>4</v>
      </c>
      <c r="BV439" s="16">
        <f>IFERROR(__xludf.DUMMYFUNCTION("""COMPUTED_VALUE"""),4.0)</f>
        <v>4</v>
      </c>
      <c r="BW439" s="16">
        <f>IFERROR(__xludf.DUMMYFUNCTION("""COMPUTED_VALUE"""),3.0)</f>
        <v>3</v>
      </c>
      <c r="BX439" s="16">
        <f>IFERROR(__xludf.DUMMYFUNCTION("""COMPUTED_VALUE"""),3.0)</f>
        <v>3</v>
      </c>
      <c r="BY439" s="16" t="str">
        <f>IFERROR(__xludf.DUMMYFUNCTION("""COMPUTED_VALUE"""),"S(5)")</f>
        <v>S(5)</v>
      </c>
      <c r="BZ439" s="16" t="str">
        <f>IFERROR(__xludf.DUMMYFUNCTION("""COMPUTED_VALUE"""),"S(5)")</f>
        <v>S(5)</v>
      </c>
      <c r="CA439" s="16" t="str">
        <f>IFERROR(__xludf.DUMMYFUNCTION("""COMPUTED_VALUE"""),"S(5)")</f>
        <v>S(5)</v>
      </c>
      <c r="CB439" s="16"/>
      <c r="CC439" s="16"/>
      <c r="CD439" s="16">
        <f>IFERROR(__xludf.DUMMYFUNCTION("""COMPUTED_VALUE"""),5.0)</f>
        <v>5</v>
      </c>
      <c r="CE439" s="16"/>
      <c r="CF439" s="16"/>
      <c r="CG439" s="16" t="str">
        <f>IFERROR(__xludf.DUMMYFUNCTION("""COMPUTED_VALUE"""),"2-0")</f>
        <v>2-0</v>
      </c>
      <c r="CH439" s="16">
        <f>IFERROR(__xludf.DUMMYFUNCTION("""COMPUTED_VALUE"""),2.0)</f>
        <v>2</v>
      </c>
      <c r="CI439" s="16">
        <f>IFERROR(__xludf.DUMMYFUNCTION("""COMPUTED_VALUE"""),0.0)</f>
        <v>0</v>
      </c>
      <c r="CJ439" s="16">
        <f>IFERROR(__xludf.DUMMYFUNCTION("""COMPUTED_VALUE"""),0.0)</f>
        <v>0</v>
      </c>
      <c r="CK439" s="16">
        <f>IFERROR(__xludf.DUMMYFUNCTION("""COMPUTED_VALUE"""),3.0)</f>
        <v>3</v>
      </c>
      <c r="CL439" s="16" t="str">
        <f>IFERROR(__xludf.DUMMYFUNCTION("""COMPUTED_VALUE"""),"1WR-C")</f>
        <v>1WR-C</v>
      </c>
      <c r="CM439" s="16" t="str">
        <f>IFERROR(__xludf.DUMMYFUNCTION("""COMPUTED_VALUE"""),"E")</f>
        <v>E</v>
      </c>
      <c r="CN439" s="16">
        <f>IFERROR(__xludf.DUMMYFUNCTION("""COMPUTED_VALUE"""),10.0)</f>
        <v>10</v>
      </c>
      <c r="CO439" s="16" t="str">
        <f>IFERROR(__xludf.DUMMYFUNCTION("""COMPUTED_VALUE"""),"C")</f>
        <v>C</v>
      </c>
      <c r="CP439" s="16" t="str">
        <f>IFERROR(__xludf.DUMMYFUNCTION("""COMPUTED_VALUE"""),"5p30")</f>
        <v>5p30</v>
      </c>
      <c r="CQ439" s="16">
        <f>IFERROR(__xludf.DUMMYFUNCTION("""COMPUTED_VALUE"""),-5.0)</f>
        <v>-5</v>
      </c>
      <c r="CR439" s="16">
        <f>IFERROR(__xludf.DUMMYFUNCTION("""COMPUTED_VALUE"""),-31.0)</f>
        <v>-31</v>
      </c>
      <c r="CS439" s="16">
        <f>IFERROR(__xludf.DUMMYFUNCTION("""COMPUTED_VALUE"""),-36.0)</f>
        <v>-36</v>
      </c>
      <c r="CT439" s="16">
        <f>IFERROR(__xludf.DUMMYFUNCTION("""COMPUTED_VALUE"""),-5.0)</f>
        <v>-5</v>
      </c>
      <c r="CU439" s="16">
        <f>IFERROR(__xludf.DUMMYFUNCTION("""COMPUTED_VALUE"""),-31.0)</f>
        <v>-31</v>
      </c>
      <c r="CV439" s="179">
        <f>IFERROR(__xludf.DUMMYFUNCTION("""COMPUTED_VALUE"""),-20.333333333333332)</f>
        <v>-20.33333333</v>
      </c>
      <c r="CW439" s="179">
        <f>IFERROR(__xludf.DUMMYFUNCTION("""COMPUTED_VALUE"""),0.0)</f>
        <v>0</v>
      </c>
      <c r="CX439" s="179">
        <f>IFERROR(__xludf.DUMMYFUNCTION("""COMPUTED_VALUE"""),2.0)</f>
        <v>2</v>
      </c>
      <c r="CY439" s="16" t="str">
        <f>IFERROR(__xludf.DUMMYFUNCTION("""COMPUTED_VALUE"""),"SP")</f>
        <v>SP</v>
      </c>
      <c r="CZ439" s="16"/>
      <c r="DA439" s="16"/>
      <c r="DB439" s="16"/>
      <c r="DC439" s="16"/>
      <c r="DD439" s="16"/>
      <c r="DE439" s="16"/>
      <c r="DF439" s="16"/>
      <c r="DG439" s="16"/>
      <c r="DH439" s="16"/>
      <c r="DI439" s="16"/>
      <c r="DJ439" s="16"/>
      <c r="DK439" s="16"/>
    </row>
    <row r="440">
      <c r="A440" s="16">
        <f>IFERROR(__xludf.DUMMYFUNCTION("""COMPUTED_VALUE"""),12683.0)</f>
        <v>12683</v>
      </c>
      <c r="B440" s="16" t="str">
        <f>IFERROR(__xludf.DUMMYFUNCTION("""COMPUTED_VALUE"""),"Christian Scott")</f>
        <v>Christian Scott</v>
      </c>
      <c r="C440" s="153">
        <f>IFERROR(__xludf.DUMMYFUNCTION("""COMPUTED_VALUE"""),0.29)</f>
        <v>0.29</v>
      </c>
      <c r="D440" s="16"/>
      <c r="E440" s="16" t="str">
        <f>IFERROR(__xludf.DUMMYFUNCTION("""COMPUTED_VALUE"""),"R")</f>
        <v>R</v>
      </c>
      <c r="F440" s="16">
        <f>IFERROR(__xludf.DUMMYFUNCTION("""COMPUTED_VALUE"""),47.0)</f>
        <v>47</v>
      </c>
      <c r="G440" s="16">
        <f>IFERROR(__xludf.DUMMYFUNCTION("""COMPUTED_VALUE"""),14.0)</f>
        <v>14</v>
      </c>
      <c r="H440" s="16">
        <f>IFERROR(__xludf.DUMMYFUNCTION("""COMPUTED_VALUE"""),23.0)</f>
        <v>23</v>
      </c>
      <c r="I440" s="16">
        <f>IFERROR(__xludf.DUMMYFUNCTION("""COMPUTED_VALUE"""),-2.0)</f>
        <v>-2</v>
      </c>
      <c r="J440" s="16">
        <f>IFERROR(__xludf.DUMMYFUNCTION("""COMPUTED_VALUE"""),-1.0)</f>
        <v>-1</v>
      </c>
      <c r="K440" s="16">
        <f>IFERROR(__xludf.DUMMYFUNCTION("""COMPUTED_VALUE"""),-6.0)</f>
        <v>-6</v>
      </c>
      <c r="L440" s="16">
        <f>IFERROR(__xludf.DUMMYFUNCTION("""COMPUTED_VALUE"""),-3.0)</f>
        <v>-3</v>
      </c>
      <c r="M440" s="16">
        <f>IFERROR(__xludf.DUMMYFUNCTION("""COMPUTED_VALUE"""),2.0)</f>
        <v>2</v>
      </c>
      <c r="N440" s="16">
        <f>IFERROR(__xludf.DUMMYFUNCTION("""COMPUTED_VALUE"""),8.0)</f>
        <v>8</v>
      </c>
      <c r="O440" s="16">
        <f>IFERROR(__xludf.DUMMYFUNCTION("""COMPUTED_VALUE"""),2.0)</f>
        <v>2</v>
      </c>
      <c r="P440" s="16">
        <f>IFERROR(__xludf.DUMMYFUNCTION("""COMPUTED_VALUE"""),0.0)</f>
        <v>0</v>
      </c>
      <c r="Q440" s="16">
        <f>IFERROR(__xludf.DUMMYFUNCTION("""COMPUTED_VALUE"""),2.0)</f>
        <v>2</v>
      </c>
      <c r="R440" s="16">
        <f>IFERROR(__xludf.DUMMYFUNCTION("""COMPUTED_VALUE"""),0.0)</f>
        <v>0</v>
      </c>
      <c r="S440" s="16">
        <f>IFERROR(__xludf.DUMMYFUNCTION("""COMPUTED_VALUE"""),29.0)</f>
        <v>29</v>
      </c>
      <c r="T440" s="16">
        <f>IFERROR(__xludf.DUMMYFUNCTION("""COMPUTED_VALUE"""),9.4)</f>
        <v>9.4</v>
      </c>
      <c r="U440" s="16">
        <f>IFERROR(__xludf.DUMMYFUNCTION("""COMPUTED_VALUE"""),-2.0)</f>
        <v>-2</v>
      </c>
      <c r="V440" s="16">
        <f>IFERROR(__xludf.DUMMYFUNCTION("""COMPUTED_VALUE"""),1.0)</f>
        <v>1</v>
      </c>
      <c r="W440" s="16">
        <f>IFERROR(__xludf.DUMMYFUNCTION("""COMPUTED_VALUE"""),-4.0)</f>
        <v>-4</v>
      </c>
      <c r="X440" s="16">
        <f>IFERROR(__xludf.DUMMYFUNCTION("""COMPUTED_VALUE"""),2.0)</f>
        <v>2</v>
      </c>
      <c r="Y440" s="16">
        <f>IFERROR(__xludf.DUMMYFUNCTION("""COMPUTED_VALUE"""),31.0)</f>
        <v>31</v>
      </c>
      <c r="Z440" s="16">
        <f>IFERROR(__xludf.DUMMYFUNCTION("""COMPUTED_VALUE"""),17.4)</f>
        <v>17.4</v>
      </c>
      <c r="AA440" s="16">
        <f>IFERROR(__xludf.DUMMYFUNCTION("""COMPUTED_VALUE"""),-1.0)</f>
        <v>-1</v>
      </c>
      <c r="AB440" s="16">
        <f>IFERROR(__xludf.DUMMYFUNCTION("""COMPUTED_VALUE"""),1.0)</f>
        <v>1</v>
      </c>
      <c r="AC440" s="16">
        <f>IFERROR(__xludf.DUMMYFUNCTION("""COMPUTED_VALUE"""),-5.0)</f>
        <v>-5</v>
      </c>
      <c r="AD440" s="16">
        <f>IFERROR(__xludf.DUMMYFUNCTION("""COMPUTED_VALUE"""),5.0)</f>
        <v>5</v>
      </c>
      <c r="AE440" s="16">
        <f>IFERROR(__xludf.DUMMYFUNCTION("""COMPUTED_VALUE"""),51.5)</f>
        <v>51.5</v>
      </c>
      <c r="AF440" s="16">
        <f>IFERROR(__xludf.DUMMYFUNCTION("""COMPUTED_VALUE"""),18.8)</f>
        <v>18.8</v>
      </c>
      <c r="AG440" s="16">
        <f>IFERROR(__xludf.DUMMYFUNCTION("""COMPUTED_VALUE"""),-2.0)</f>
        <v>-2</v>
      </c>
      <c r="AH440" s="16">
        <f>IFERROR(__xludf.DUMMYFUNCTION("""COMPUTED_VALUE"""),1.0)</f>
        <v>1</v>
      </c>
      <c r="AI440" s="16">
        <f>IFERROR(__xludf.DUMMYFUNCTION("""COMPUTED_VALUE"""),-4.0)</f>
        <v>-4</v>
      </c>
      <c r="AJ440" s="16">
        <f>IFERROR(__xludf.DUMMYFUNCTION("""COMPUTED_VALUE"""),2.0)</f>
        <v>2</v>
      </c>
      <c r="AK440" s="16">
        <f>IFERROR(__xludf.DUMMYFUNCTION("""COMPUTED_VALUE"""),24.5)</f>
        <v>24.5</v>
      </c>
      <c r="AL440" s="16">
        <f>IFERROR(__xludf.DUMMYFUNCTION("""COMPUTED_VALUE"""),7.6000000000000005)</f>
        <v>7.6</v>
      </c>
      <c r="AM440" s="16">
        <f>IFERROR(__xludf.DUMMYFUNCTION("""COMPUTED_VALUE"""),-2.0)</f>
        <v>-2</v>
      </c>
      <c r="AN440" s="16">
        <f>IFERROR(__xludf.DUMMYFUNCTION("""COMPUTED_VALUE"""),1.0)</f>
        <v>1</v>
      </c>
      <c r="AO440" s="16">
        <f>IFERROR(__xludf.DUMMYFUNCTION("""COMPUTED_VALUE"""),-2.0)</f>
        <v>-2</v>
      </c>
      <c r="AP440" s="16">
        <f>IFERROR(__xludf.DUMMYFUNCTION("""COMPUTED_VALUE"""),1.0)</f>
        <v>1</v>
      </c>
      <c r="AQ440" s="16">
        <f>IFERROR(__xludf.DUMMYFUNCTION("""COMPUTED_VALUE"""),33.5)</f>
        <v>33.5</v>
      </c>
      <c r="AR440" s="16">
        <f>IFERROR(__xludf.DUMMYFUNCTION("""COMPUTED_VALUE"""),11.600000000000001)</f>
        <v>11.6</v>
      </c>
      <c r="AS440" s="16">
        <f>IFERROR(__xludf.DUMMYFUNCTION("""COMPUTED_VALUE"""),-2.0)</f>
        <v>-2</v>
      </c>
      <c r="AT440" s="16">
        <f>IFERROR(__xludf.DUMMYFUNCTION("""COMPUTED_VALUE"""),1.0)</f>
        <v>1</v>
      </c>
      <c r="AU440" s="16">
        <f>IFERROR(__xludf.DUMMYFUNCTION("""COMPUTED_VALUE"""),-4.0)</f>
        <v>-4</v>
      </c>
      <c r="AV440" s="16">
        <f>IFERROR(__xludf.DUMMYFUNCTION("""COMPUTED_VALUE"""),2.0)</f>
        <v>2</v>
      </c>
      <c r="AW440" s="16">
        <f>IFERROR(__xludf.DUMMYFUNCTION("""COMPUTED_VALUE"""),4.5)</f>
        <v>4.5</v>
      </c>
      <c r="AX440" s="16">
        <f>IFERROR(__xludf.DUMMYFUNCTION("""COMPUTED_VALUE"""),1.8)</f>
        <v>1.8</v>
      </c>
      <c r="AY440" s="16">
        <f>IFERROR(__xludf.DUMMYFUNCTION("""COMPUTED_VALUE"""),-2.0)</f>
        <v>-2</v>
      </c>
      <c r="AZ440" s="16">
        <f>IFERROR(__xludf.DUMMYFUNCTION("""COMPUTED_VALUE"""),0.0)</f>
        <v>0</v>
      </c>
      <c r="BA440" s="16">
        <f>IFERROR(__xludf.DUMMYFUNCTION("""COMPUTED_VALUE"""),-10.0)</f>
        <v>-10</v>
      </c>
      <c r="BB440" s="16">
        <f>IFERROR(__xludf.DUMMYFUNCTION("""COMPUTED_VALUE"""),0.0)</f>
        <v>0</v>
      </c>
      <c r="BC440" s="16">
        <f>IFERROR(__xludf.DUMMYFUNCTION("""COMPUTED_VALUE"""),8.0)</f>
        <v>8</v>
      </c>
      <c r="BD440" s="16">
        <f>IFERROR(__xludf.DUMMYFUNCTION("""COMPUTED_VALUE"""),3.0)</f>
        <v>3</v>
      </c>
      <c r="BE440" s="16">
        <f>IFERROR(__xludf.DUMMYFUNCTION("""COMPUTED_VALUE"""),8.0)</f>
        <v>8</v>
      </c>
      <c r="BF440" s="16">
        <f>IFERROR(__xludf.DUMMYFUNCTION("""COMPUTED_VALUE"""),3.0)</f>
        <v>3</v>
      </c>
      <c r="BG440" s="16">
        <f>IFERROR(__xludf.DUMMYFUNCTION("""COMPUTED_VALUE"""),-3.0)</f>
        <v>-3</v>
      </c>
      <c r="BH440" s="16">
        <f>IFERROR(__xludf.DUMMYFUNCTION("""COMPUTED_VALUE"""),0.0)</f>
        <v>0</v>
      </c>
      <c r="BI440" s="16">
        <f>IFERROR(__xludf.DUMMYFUNCTION("""COMPUTED_VALUE"""),-6.0)</f>
        <v>-6</v>
      </c>
      <c r="BJ440" s="16">
        <f>IFERROR(__xludf.DUMMYFUNCTION("""COMPUTED_VALUE"""),0.0)</f>
        <v>0</v>
      </c>
      <c r="BK440" s="16">
        <f>IFERROR(__xludf.DUMMYFUNCTION("""COMPUTED_VALUE"""),5.0)</f>
        <v>5</v>
      </c>
      <c r="BL440" s="16">
        <f>IFERROR(__xludf.DUMMYFUNCTION("""COMPUTED_VALUE"""),5.0)</f>
        <v>5</v>
      </c>
      <c r="BM440" s="16">
        <f>IFERROR(__xludf.DUMMYFUNCTION("""COMPUTED_VALUE"""),0.0)</f>
        <v>0</v>
      </c>
      <c r="BN440" s="16">
        <f>IFERROR(__xludf.DUMMYFUNCTION("""COMPUTED_VALUE"""),0.0)</f>
        <v>0</v>
      </c>
      <c r="BO440" s="16">
        <f>IFERROR(__xludf.DUMMYFUNCTION("""COMPUTED_VALUE"""),0.0)</f>
        <v>0</v>
      </c>
      <c r="BP440" s="16">
        <f>IFERROR(__xludf.DUMMYFUNCTION("""COMPUTED_VALUE"""),0.0)</f>
        <v>0</v>
      </c>
      <c r="BQ440" s="16">
        <f>IFERROR(__xludf.DUMMYFUNCTION("""COMPUTED_VALUE"""),5.0)</f>
        <v>5</v>
      </c>
      <c r="BR440" s="16">
        <f>IFERROR(__xludf.DUMMYFUNCTION("""COMPUTED_VALUE"""),7.0)</f>
        <v>7</v>
      </c>
      <c r="BS440" s="16">
        <f>IFERROR(__xludf.DUMMYFUNCTION("""COMPUTED_VALUE"""),0.0)</f>
        <v>0</v>
      </c>
      <c r="BT440" s="16">
        <f>IFERROR(__xludf.DUMMYFUNCTION("""COMPUTED_VALUE"""),2.0)</f>
        <v>2</v>
      </c>
      <c r="BU440" s="16">
        <f>IFERROR(__xludf.DUMMYFUNCTION("""COMPUTED_VALUE"""),0.0)</f>
        <v>0</v>
      </c>
      <c r="BV440" s="16">
        <f>IFERROR(__xludf.DUMMYFUNCTION("""COMPUTED_VALUE"""),4.0)</f>
        <v>4</v>
      </c>
      <c r="BW440" s="16">
        <f>IFERROR(__xludf.DUMMYFUNCTION("""COMPUTED_VALUE"""),-3.0)</f>
        <v>-3</v>
      </c>
      <c r="BX440" s="16">
        <f>IFERROR(__xludf.DUMMYFUNCTION("""COMPUTED_VALUE"""),-3.0)</f>
        <v>-3</v>
      </c>
      <c r="BY440" s="16" t="str">
        <f>IFERROR(__xludf.DUMMYFUNCTION("""COMPUTED_VALUE"""),"S(5)")</f>
        <v>S(5)</v>
      </c>
      <c r="BZ440" s="16" t="str">
        <f>IFERROR(__xludf.DUMMYFUNCTION("""COMPUTED_VALUE"""),"S(5)")</f>
        <v>S(5)</v>
      </c>
      <c r="CA440" s="16" t="str">
        <f>IFERROR(__xludf.DUMMYFUNCTION("""COMPUTED_VALUE"""),"S(5)")</f>
        <v>S(5)</v>
      </c>
      <c r="CB440" s="16"/>
      <c r="CC440" s="16"/>
      <c r="CD440" s="16">
        <f>IFERROR(__xludf.DUMMYFUNCTION("""COMPUTED_VALUE"""),5.0)</f>
        <v>5</v>
      </c>
      <c r="CE440" s="16"/>
      <c r="CF440" s="16"/>
      <c r="CG440" s="16" t="str">
        <f>IFERROR(__xludf.DUMMYFUNCTION("""COMPUTED_VALUE"""),"3-0")</f>
        <v>3-0</v>
      </c>
      <c r="CH440" s="16">
        <f>IFERROR(__xludf.DUMMYFUNCTION("""COMPUTED_VALUE"""),3.0)</f>
        <v>3</v>
      </c>
      <c r="CI440" s="16">
        <f>IFERROR(__xludf.DUMMYFUNCTION("""COMPUTED_VALUE"""),0.0)</f>
        <v>0</v>
      </c>
      <c r="CJ440" s="16">
        <f>IFERROR(__xludf.DUMMYFUNCTION("""COMPUTED_VALUE"""),0.0)</f>
        <v>0</v>
      </c>
      <c r="CK440" s="16">
        <f>IFERROR(__xludf.DUMMYFUNCTION("""COMPUTED_VALUE"""),0.0)</f>
        <v>0</v>
      </c>
      <c r="CL440" s="16" t="str">
        <f>IFERROR(__xludf.DUMMYFUNCTION("""COMPUTED_VALUE"""),"1WR-C")</f>
        <v>1WR-C</v>
      </c>
      <c r="CM440" s="16" t="str">
        <f>IFERROR(__xludf.DUMMYFUNCTION("""COMPUTED_VALUE"""),"E")</f>
        <v>E</v>
      </c>
      <c r="CN440" s="16">
        <f>IFERROR(__xludf.DUMMYFUNCTION("""COMPUTED_VALUE"""),10.0)</f>
        <v>10</v>
      </c>
      <c r="CO440" s="16" t="str">
        <f>IFERROR(__xludf.DUMMYFUNCTION("""COMPUTED_VALUE"""),"C")</f>
        <v>C</v>
      </c>
      <c r="CP440" s="16" t="str">
        <f>IFERROR(__xludf.DUMMYFUNCTION("""COMPUTED_VALUE"""),"6p30")</f>
        <v>6p30</v>
      </c>
      <c r="CQ440" s="16">
        <f>IFERROR(__xludf.DUMMYFUNCTION("""COMPUTED_VALUE"""),-39.0)</f>
        <v>-39</v>
      </c>
      <c r="CR440" s="16">
        <f>IFERROR(__xludf.DUMMYFUNCTION("""COMPUTED_VALUE"""),13.0)</f>
        <v>13</v>
      </c>
      <c r="CS440" s="16">
        <f>IFERROR(__xludf.DUMMYFUNCTION("""COMPUTED_VALUE"""),-26.0)</f>
        <v>-26</v>
      </c>
      <c r="CT440" s="16">
        <f>IFERROR(__xludf.DUMMYFUNCTION("""COMPUTED_VALUE"""),-39.0)</f>
        <v>-39</v>
      </c>
      <c r="CU440" s="16">
        <f>IFERROR(__xludf.DUMMYFUNCTION("""COMPUTED_VALUE"""),13.0)</f>
        <v>13</v>
      </c>
      <c r="CV440" s="179">
        <f>IFERROR(__xludf.DUMMYFUNCTION("""COMPUTED_VALUE"""),-20.666666666666668)</f>
        <v>-20.66666667</v>
      </c>
      <c r="CW440" s="179">
        <f>IFERROR(__xludf.DUMMYFUNCTION("""COMPUTED_VALUE"""),-1.0)</f>
        <v>-1</v>
      </c>
      <c r="CX440" s="179">
        <f>IFERROR(__xludf.DUMMYFUNCTION("""COMPUTED_VALUE"""),2.0)</f>
        <v>2</v>
      </c>
      <c r="CY440" s="16" t="str">
        <f>IFERROR(__xludf.DUMMYFUNCTION("""COMPUTED_VALUE"""),"SP")</f>
        <v>SP</v>
      </c>
      <c r="CZ440" s="16"/>
      <c r="DA440" s="16"/>
      <c r="DB440" s="16"/>
      <c r="DC440" s="16"/>
      <c r="DD440" s="16"/>
      <c r="DE440" s="16"/>
      <c r="DF440" s="16"/>
      <c r="DG440" s="16"/>
      <c r="DH440" s="16"/>
      <c r="DI440" s="16"/>
      <c r="DJ440" s="16"/>
      <c r="DK440" s="16"/>
    </row>
    <row r="441">
      <c r="A441" s="16">
        <f>IFERROR(__xludf.DUMMYFUNCTION("""COMPUTED_VALUE"""),13072.0)</f>
        <v>13072</v>
      </c>
      <c r="B441" s="16" t="str">
        <f>IFERROR(__xludf.DUMMYFUNCTION("""COMPUTED_VALUE"""),"Kenta Maeda")</f>
        <v>Kenta Maeda</v>
      </c>
      <c r="C441" s="153">
        <f>IFERROR(__xludf.DUMMYFUNCTION("""COMPUTED_VALUE"""),0.0)</f>
        <v>0</v>
      </c>
      <c r="D441" s="16"/>
      <c r="E441" s="16" t="str">
        <f>IFERROR(__xludf.DUMMYFUNCTION("""COMPUTED_VALUE"""),"R")</f>
        <v>R</v>
      </c>
      <c r="F441" s="16">
        <f>IFERROR(__xludf.DUMMYFUNCTION("""COMPUTED_VALUE"""),112.0)</f>
        <v>112</v>
      </c>
      <c r="G441" s="16">
        <f>IFERROR(__xludf.DUMMYFUNCTION("""COMPUTED_VALUE"""),25.0)</f>
        <v>25</v>
      </c>
      <c r="H441" s="16">
        <f>IFERROR(__xludf.DUMMYFUNCTION("""COMPUTED_VALUE"""),14.0)</f>
        <v>14</v>
      </c>
      <c r="I441" s="16">
        <f>IFERROR(__xludf.DUMMYFUNCTION("""COMPUTED_VALUE"""),0.0)</f>
        <v>0</v>
      </c>
      <c r="J441" s="16">
        <f>IFERROR(__xludf.DUMMYFUNCTION("""COMPUTED_VALUE"""),-2.0)</f>
        <v>-2</v>
      </c>
      <c r="K441" s="16">
        <f>IFERROR(__xludf.DUMMYFUNCTION("""COMPUTED_VALUE"""),0.0)</f>
        <v>0</v>
      </c>
      <c r="L441" s="16">
        <f>IFERROR(__xludf.DUMMYFUNCTION("""COMPUTED_VALUE"""),-6.0)</f>
        <v>-6</v>
      </c>
      <c r="M441" s="16">
        <f>IFERROR(__xludf.DUMMYFUNCTION("""COMPUTED_VALUE"""),7.0)</f>
        <v>7</v>
      </c>
      <c r="N441" s="16">
        <f>IFERROR(__xludf.DUMMYFUNCTION("""COMPUTED_VALUE"""),5.0)</f>
        <v>5</v>
      </c>
      <c r="O441" s="16">
        <f>IFERROR(__xludf.DUMMYFUNCTION("""COMPUTED_VALUE"""),1.0)</f>
        <v>1</v>
      </c>
      <c r="P441" s="16">
        <f>IFERROR(__xludf.DUMMYFUNCTION("""COMPUTED_VALUE"""),2.0)</f>
        <v>2</v>
      </c>
      <c r="Q441" s="16">
        <f>IFERROR(__xludf.DUMMYFUNCTION("""COMPUTED_VALUE"""),1.0)</f>
        <v>1</v>
      </c>
      <c r="R441" s="16">
        <f>IFERROR(__xludf.DUMMYFUNCTION("""COMPUTED_VALUE"""),2.0)</f>
        <v>2</v>
      </c>
      <c r="S441" s="16">
        <f>IFERROR(__xludf.DUMMYFUNCTION("""COMPUTED_VALUE"""),20.4)</f>
        <v>20.4</v>
      </c>
      <c r="T441" s="16">
        <f>IFERROR(__xludf.DUMMYFUNCTION("""COMPUTED_VALUE"""),22.4)</f>
        <v>22.4</v>
      </c>
      <c r="U441" s="16">
        <f>IFERROR(__xludf.DUMMYFUNCTION("""COMPUTED_VALUE"""),-1.0)</f>
        <v>-1</v>
      </c>
      <c r="V441" s="16">
        <f>IFERROR(__xludf.DUMMYFUNCTION("""COMPUTED_VALUE"""),-1.0)</f>
        <v>-1</v>
      </c>
      <c r="W441" s="16">
        <f>IFERROR(__xludf.DUMMYFUNCTION("""COMPUTED_VALUE"""),-2.0)</f>
        <v>-2</v>
      </c>
      <c r="X441" s="16">
        <f>IFERROR(__xludf.DUMMYFUNCTION("""COMPUTED_VALUE"""),-2.0)</f>
        <v>-2</v>
      </c>
      <c r="Y441" s="16">
        <f>IFERROR(__xludf.DUMMYFUNCTION("""COMPUTED_VALUE"""),27.4)</f>
        <v>27.4</v>
      </c>
      <c r="Z441" s="16">
        <f>IFERROR(__xludf.DUMMYFUNCTION("""COMPUTED_VALUE"""),27.4)</f>
        <v>27.4</v>
      </c>
      <c r="AA441" s="16">
        <f>IFERROR(__xludf.DUMMYFUNCTION("""COMPUTED_VALUE"""),0.0)</f>
        <v>0</v>
      </c>
      <c r="AB441" s="16">
        <f>IFERROR(__xludf.DUMMYFUNCTION("""COMPUTED_VALUE"""),0.0)</f>
        <v>0</v>
      </c>
      <c r="AC441" s="16">
        <f>IFERROR(__xludf.DUMMYFUNCTION("""COMPUTED_VALUE"""),0.0)</f>
        <v>0</v>
      </c>
      <c r="AD441" s="16">
        <f>IFERROR(__xludf.DUMMYFUNCTION("""COMPUTED_VALUE"""),0.0)</f>
        <v>0</v>
      </c>
      <c r="AE441" s="16">
        <f>IFERROR(__xludf.DUMMYFUNCTION("""COMPUTED_VALUE"""),37.7)</f>
        <v>37.7</v>
      </c>
      <c r="AF441" s="16">
        <f>IFERROR(__xludf.DUMMYFUNCTION("""COMPUTED_VALUE"""),41.7)</f>
        <v>41.7</v>
      </c>
      <c r="AG441" s="16">
        <f>IFERROR(__xludf.DUMMYFUNCTION("""COMPUTED_VALUE"""),-1.0)</f>
        <v>-1</v>
      </c>
      <c r="AH441" s="16">
        <f>IFERROR(__xludf.DUMMYFUNCTION("""COMPUTED_VALUE"""),-2.0)</f>
        <v>-2</v>
      </c>
      <c r="AI441" s="16">
        <f>IFERROR(__xludf.DUMMYFUNCTION("""COMPUTED_VALUE"""),-2.0)</f>
        <v>-2</v>
      </c>
      <c r="AJ441" s="16">
        <f>IFERROR(__xludf.DUMMYFUNCTION("""COMPUTED_VALUE"""),-4.0)</f>
        <v>-4</v>
      </c>
      <c r="AK441" s="16">
        <f>IFERROR(__xludf.DUMMYFUNCTION("""COMPUTED_VALUE"""),17.599999999999998)</f>
        <v>17.6</v>
      </c>
      <c r="AL441" s="16">
        <f>IFERROR(__xludf.DUMMYFUNCTION("""COMPUTED_VALUE"""),17.9)</f>
        <v>17.9</v>
      </c>
      <c r="AM441" s="16">
        <f>IFERROR(__xludf.DUMMYFUNCTION("""COMPUTED_VALUE"""),-1.0)</f>
        <v>-1</v>
      </c>
      <c r="AN441" s="16">
        <f>IFERROR(__xludf.DUMMYFUNCTION("""COMPUTED_VALUE"""),-1.0)</f>
        <v>-1</v>
      </c>
      <c r="AO441" s="16">
        <f>IFERROR(__xludf.DUMMYFUNCTION("""COMPUTED_VALUE"""),-1.0)</f>
        <v>-1</v>
      </c>
      <c r="AP441" s="16">
        <f>IFERROR(__xludf.DUMMYFUNCTION("""COMPUTED_VALUE"""),-1.0)</f>
        <v>-1</v>
      </c>
      <c r="AQ441" s="16">
        <f>IFERROR(__xludf.DUMMYFUNCTION("""COMPUTED_VALUE"""),26.500000000000004)</f>
        <v>26.5</v>
      </c>
      <c r="AR441" s="16">
        <f>IFERROR(__xludf.DUMMYFUNCTION("""COMPUTED_VALUE"""),23.700000000000003)</f>
        <v>23.7</v>
      </c>
      <c r="AS441" s="16">
        <f>IFERROR(__xludf.DUMMYFUNCTION("""COMPUTED_VALUE"""),-1.0)</f>
        <v>-1</v>
      </c>
      <c r="AT441" s="16">
        <f>IFERROR(__xludf.DUMMYFUNCTION("""COMPUTED_VALUE"""),-1.0)</f>
        <v>-1</v>
      </c>
      <c r="AU441" s="16">
        <f>IFERROR(__xludf.DUMMYFUNCTION("""COMPUTED_VALUE"""),-2.0)</f>
        <v>-2</v>
      </c>
      <c r="AV441" s="16">
        <f>IFERROR(__xludf.DUMMYFUNCTION("""COMPUTED_VALUE"""),-2.0)</f>
        <v>-2</v>
      </c>
      <c r="AW441" s="16">
        <f>IFERROR(__xludf.DUMMYFUNCTION("""COMPUTED_VALUE"""),2.8)</f>
        <v>2.8</v>
      </c>
      <c r="AX441" s="16">
        <f>IFERROR(__xludf.DUMMYFUNCTION("""COMPUTED_VALUE"""),4.5)</f>
        <v>4.5</v>
      </c>
      <c r="AY441" s="16">
        <f>IFERROR(__xludf.DUMMYFUNCTION("""COMPUTED_VALUE"""),-1.0)</f>
        <v>-1</v>
      </c>
      <c r="AZ441" s="16">
        <f>IFERROR(__xludf.DUMMYFUNCTION("""COMPUTED_VALUE"""),-2.0)</f>
        <v>-2</v>
      </c>
      <c r="BA441" s="16">
        <f>IFERROR(__xludf.DUMMYFUNCTION("""COMPUTED_VALUE"""),-5.0)</f>
        <v>-5</v>
      </c>
      <c r="BB441" s="16">
        <f>IFERROR(__xludf.DUMMYFUNCTION("""COMPUTED_VALUE"""),-10.0)</f>
        <v>-10</v>
      </c>
      <c r="BC441" s="16">
        <f>IFERROR(__xludf.DUMMYFUNCTION("""COMPUTED_VALUE"""),5.0)</f>
        <v>5</v>
      </c>
      <c r="BD441" s="16">
        <f>IFERROR(__xludf.DUMMYFUNCTION("""COMPUTED_VALUE"""),8.0)</f>
        <v>8</v>
      </c>
      <c r="BE441" s="16">
        <f>IFERROR(__xludf.DUMMYFUNCTION("""COMPUTED_VALUE"""),5.0)</f>
        <v>5</v>
      </c>
      <c r="BF441" s="16">
        <f>IFERROR(__xludf.DUMMYFUNCTION("""COMPUTED_VALUE"""),8.0)</f>
        <v>8</v>
      </c>
      <c r="BG441" s="16">
        <f>IFERROR(__xludf.DUMMYFUNCTION("""COMPUTED_VALUE"""),-2.0)</f>
        <v>-2</v>
      </c>
      <c r="BH441" s="16">
        <f>IFERROR(__xludf.DUMMYFUNCTION("""COMPUTED_VALUE"""),-3.0)</f>
        <v>-3</v>
      </c>
      <c r="BI441" s="16">
        <f>IFERROR(__xludf.DUMMYFUNCTION("""COMPUTED_VALUE"""),-4.0)</f>
        <v>-4</v>
      </c>
      <c r="BJ441" s="16">
        <f>IFERROR(__xludf.DUMMYFUNCTION("""COMPUTED_VALUE"""),-6.0)</f>
        <v>-6</v>
      </c>
      <c r="BK441" s="16">
        <f>IFERROR(__xludf.DUMMYFUNCTION("""COMPUTED_VALUE"""),5.0)</f>
        <v>5</v>
      </c>
      <c r="BL441" s="16">
        <f>IFERROR(__xludf.DUMMYFUNCTION("""COMPUTED_VALUE"""),5.0)</f>
        <v>5</v>
      </c>
      <c r="BM441" s="16">
        <f>IFERROR(__xludf.DUMMYFUNCTION("""COMPUTED_VALUE"""),0.0)</f>
        <v>0</v>
      </c>
      <c r="BN441" s="16">
        <f>IFERROR(__xludf.DUMMYFUNCTION("""COMPUTED_VALUE"""),0.0)</f>
        <v>0</v>
      </c>
      <c r="BO441" s="16">
        <f>IFERROR(__xludf.DUMMYFUNCTION("""COMPUTED_VALUE"""),0.0)</f>
        <v>0</v>
      </c>
      <c r="BP441" s="16">
        <f>IFERROR(__xludf.DUMMYFUNCTION("""COMPUTED_VALUE"""),0.0)</f>
        <v>0</v>
      </c>
      <c r="BQ441" s="16">
        <f>IFERROR(__xludf.DUMMYFUNCTION("""COMPUTED_VALUE"""),4.0)</f>
        <v>4</v>
      </c>
      <c r="BR441" s="16">
        <f>IFERROR(__xludf.DUMMYFUNCTION("""COMPUTED_VALUE"""),5.0)</f>
        <v>5</v>
      </c>
      <c r="BS441" s="16">
        <f>IFERROR(__xludf.DUMMYFUNCTION("""COMPUTED_VALUE"""),-1.0)</f>
        <v>-1</v>
      </c>
      <c r="BT441" s="16">
        <f>IFERROR(__xludf.DUMMYFUNCTION("""COMPUTED_VALUE"""),0.0)</f>
        <v>0</v>
      </c>
      <c r="BU441" s="16">
        <f>IFERROR(__xludf.DUMMYFUNCTION("""COMPUTED_VALUE"""),-2.0)</f>
        <v>-2</v>
      </c>
      <c r="BV441" s="16">
        <f>IFERROR(__xludf.DUMMYFUNCTION("""COMPUTED_VALUE"""),0.0)</f>
        <v>0</v>
      </c>
      <c r="BW441" s="16">
        <f>IFERROR(__xludf.DUMMYFUNCTION("""COMPUTED_VALUE"""),2.0)</f>
        <v>2</v>
      </c>
      <c r="BX441" s="16">
        <f>IFERROR(__xludf.DUMMYFUNCTION("""COMPUTED_VALUE"""),2.0)</f>
        <v>2</v>
      </c>
      <c r="BY441" s="16" t="str">
        <f>IFERROR(__xludf.DUMMYFUNCTION("""COMPUTED_VALUE"""),"S(5) R(4)")</f>
        <v>S(5) R(4)</v>
      </c>
      <c r="BZ441" s="16" t="str">
        <f>IFERROR(__xludf.DUMMYFUNCTION("""COMPUTED_VALUE"""),"S(5) R(4)")</f>
        <v>S(5) R(4)</v>
      </c>
      <c r="CA441" s="16" t="str">
        <f>IFERROR(__xludf.DUMMYFUNCTION("""COMPUTED_VALUE"""),"S(5)")</f>
        <v>S(5)</v>
      </c>
      <c r="CB441" s="16" t="str">
        <f>IFERROR(__xludf.DUMMYFUNCTION("""COMPUTED_VALUE"""),"R(4)")</f>
        <v>R(4)</v>
      </c>
      <c r="CC441" s="16"/>
      <c r="CD441" s="16">
        <f>IFERROR(__xludf.DUMMYFUNCTION("""COMPUTED_VALUE"""),5.0)</f>
        <v>5</v>
      </c>
      <c r="CE441" s="16">
        <f>IFERROR(__xludf.DUMMYFUNCTION("""COMPUTED_VALUE"""),4.0)</f>
        <v>4</v>
      </c>
      <c r="CF441" s="16"/>
      <c r="CG441" s="16" t="str">
        <f>IFERROR(__xludf.DUMMYFUNCTION("""COMPUTED_VALUE"""),"3-26")</f>
        <v>3-26</v>
      </c>
      <c r="CH441" s="16">
        <f>IFERROR(__xludf.DUMMYFUNCTION("""COMPUTED_VALUE"""),3.0)</f>
        <v>3</v>
      </c>
      <c r="CI441" s="16">
        <f>IFERROR(__xludf.DUMMYFUNCTION("""COMPUTED_VALUE"""),26.0)</f>
        <v>26</v>
      </c>
      <c r="CJ441" s="16">
        <f>IFERROR(__xludf.DUMMYFUNCTION("""COMPUTED_VALUE"""),0.0)</f>
        <v>0</v>
      </c>
      <c r="CK441" s="16">
        <f>IFERROR(__xludf.DUMMYFUNCTION("""COMPUTED_VALUE"""),5.0)</f>
        <v>5</v>
      </c>
      <c r="CL441" s="16" t="str">
        <f>IFERROR(__xludf.DUMMYFUNCTION("""COMPUTED_VALUE"""),"1WR-C")</f>
        <v>1WR-C</v>
      </c>
      <c r="CM441" s="16" t="str">
        <f>IFERROR(__xludf.DUMMYFUNCTION("""COMPUTED_VALUE"""),"E")</f>
        <v>E</v>
      </c>
      <c r="CN441" s="16">
        <f>IFERROR(__xludf.DUMMYFUNCTION("""COMPUTED_VALUE"""),12.0)</f>
        <v>12</v>
      </c>
      <c r="CO441" s="16" t="str">
        <f>IFERROR(__xludf.DUMMYFUNCTION("""COMPUTED_VALUE"""),"C")</f>
        <v>C</v>
      </c>
      <c r="CP441" s="16" t="str">
        <f>IFERROR(__xludf.DUMMYFUNCTION("""COMPUTED_VALUE"""),"2p60")</f>
        <v>2p60</v>
      </c>
      <c r="CQ441" s="16">
        <f>IFERROR(__xludf.DUMMYFUNCTION("""COMPUTED_VALUE"""),-17.0)</f>
        <v>-17</v>
      </c>
      <c r="CR441" s="16">
        <f>IFERROR(__xludf.DUMMYFUNCTION("""COMPUTED_VALUE"""),-29.0)</f>
        <v>-29</v>
      </c>
      <c r="CS441" s="16">
        <f>IFERROR(__xludf.DUMMYFUNCTION("""COMPUTED_VALUE"""),-46.0)</f>
        <v>-46</v>
      </c>
      <c r="CT441" s="16">
        <f>IFERROR(__xludf.DUMMYFUNCTION("""COMPUTED_VALUE"""),-17.0)</f>
        <v>-17</v>
      </c>
      <c r="CU441" s="16">
        <f>IFERROR(__xludf.DUMMYFUNCTION("""COMPUTED_VALUE"""),-29.0)</f>
        <v>-29</v>
      </c>
      <c r="CV441" s="179">
        <f>IFERROR(__xludf.DUMMYFUNCTION("""COMPUTED_VALUE"""),-21.0)</f>
        <v>-21</v>
      </c>
      <c r="CW441" s="179">
        <f>IFERROR(__xludf.DUMMYFUNCTION("""COMPUTED_VALUE"""),3.0)</f>
        <v>3</v>
      </c>
      <c r="CX441" s="179">
        <f>IFERROR(__xludf.DUMMYFUNCTION("""COMPUTED_VALUE"""),1.0)</f>
        <v>1</v>
      </c>
      <c r="CY441" s="16" t="str">
        <f>IFERROR(__xludf.DUMMYFUNCTION("""COMPUTED_VALUE"""),"SP")</f>
        <v>SP</v>
      </c>
      <c r="CZ441" s="16" t="str">
        <f>IFERROR(__xludf.DUMMYFUNCTION("""COMPUTED_VALUE"""),"RP")</f>
        <v>RP</v>
      </c>
      <c r="DA441" s="16"/>
      <c r="DB441" s="16"/>
      <c r="DC441" s="16"/>
      <c r="DD441" s="16"/>
      <c r="DE441" s="16"/>
      <c r="DF441" s="16"/>
      <c r="DG441" s="16"/>
      <c r="DH441" s="16"/>
      <c r="DI441" s="16"/>
      <c r="DJ441" s="16"/>
      <c r="DK441" s="16"/>
    </row>
    <row r="442">
      <c r="A442" s="16">
        <f>IFERROR(__xludf.DUMMYFUNCTION("""COMPUTED_VALUE"""),12806.0)</f>
        <v>12806</v>
      </c>
      <c r="B442" s="16" t="str">
        <f>IFERROR(__xludf.DUMMYFUNCTION("""COMPUTED_VALUE"""),"Erik Swanson")</f>
        <v>Erik Swanson</v>
      </c>
      <c r="C442" s="153">
        <f>IFERROR(__xludf.DUMMYFUNCTION("""COMPUTED_VALUE"""),0.0)</f>
        <v>0</v>
      </c>
      <c r="D442" s="16"/>
      <c r="E442" s="16" t="str">
        <f>IFERROR(__xludf.DUMMYFUNCTION("""COMPUTED_VALUE"""),"R")</f>
        <v>R</v>
      </c>
      <c r="F442" s="16">
        <f>IFERROR(__xludf.DUMMYFUNCTION("""COMPUTED_VALUE"""),39.0)</f>
        <v>39</v>
      </c>
      <c r="G442" s="16">
        <f>IFERROR(__xludf.DUMMYFUNCTION("""COMPUTED_VALUE"""),27.0)</f>
        <v>27</v>
      </c>
      <c r="H442" s="16">
        <f>IFERROR(__xludf.DUMMYFUNCTION("""COMPUTED_VALUE"""),20.0)</f>
        <v>20</v>
      </c>
      <c r="I442" s="16">
        <f>IFERROR(__xludf.DUMMYFUNCTION("""COMPUTED_VALUE"""),0.0)</f>
        <v>0</v>
      </c>
      <c r="J442" s="16">
        <f>IFERROR(__xludf.DUMMYFUNCTION("""COMPUTED_VALUE"""),-1.0)</f>
        <v>-1</v>
      </c>
      <c r="K442" s="16">
        <f>IFERROR(__xludf.DUMMYFUNCTION("""COMPUTED_VALUE"""),0.0)</f>
        <v>0</v>
      </c>
      <c r="L442" s="16">
        <f>IFERROR(__xludf.DUMMYFUNCTION("""COMPUTED_VALUE"""),-3.0)</f>
        <v>-3</v>
      </c>
      <c r="M442" s="16">
        <f>IFERROR(__xludf.DUMMYFUNCTION("""COMPUTED_VALUE"""),11.0)</f>
        <v>11</v>
      </c>
      <c r="N442" s="16">
        <f>IFERROR(__xludf.DUMMYFUNCTION("""COMPUTED_VALUE"""),8.0)</f>
        <v>8</v>
      </c>
      <c r="O442" s="16">
        <f>IFERROR(__xludf.DUMMYFUNCTION("""COMPUTED_VALUE"""),-1.0)</f>
        <v>-1</v>
      </c>
      <c r="P442" s="16">
        <f>IFERROR(__xludf.DUMMYFUNCTION("""COMPUTED_VALUE"""),0.0)</f>
        <v>0</v>
      </c>
      <c r="Q442" s="16">
        <f>IFERROR(__xludf.DUMMYFUNCTION("""COMPUTED_VALUE"""),-1.0)</f>
        <v>-1</v>
      </c>
      <c r="R442" s="16">
        <f>IFERROR(__xludf.DUMMYFUNCTION("""COMPUTED_VALUE"""),0.0)</f>
        <v>0</v>
      </c>
      <c r="S442" s="16">
        <f>IFERROR(__xludf.DUMMYFUNCTION("""COMPUTED_VALUE"""),13.8)</f>
        <v>13.8</v>
      </c>
      <c r="T442" s="16">
        <f>IFERROR(__xludf.DUMMYFUNCTION("""COMPUTED_VALUE"""),14.4)</f>
        <v>14.4</v>
      </c>
      <c r="U442" s="16">
        <f>IFERROR(__xludf.DUMMYFUNCTION("""COMPUTED_VALUE"""),0.0)</f>
        <v>0</v>
      </c>
      <c r="V442" s="16">
        <f>IFERROR(__xludf.DUMMYFUNCTION("""COMPUTED_VALUE"""),0.0)</f>
        <v>0</v>
      </c>
      <c r="W442" s="16">
        <f>IFERROR(__xludf.DUMMYFUNCTION("""COMPUTED_VALUE"""),0.0)</f>
        <v>0</v>
      </c>
      <c r="X442" s="16">
        <f>IFERROR(__xludf.DUMMYFUNCTION("""COMPUTED_VALUE"""),0.0)</f>
        <v>0</v>
      </c>
      <c r="Y442" s="16">
        <f>IFERROR(__xludf.DUMMYFUNCTION("""COMPUTED_VALUE"""),24.8)</f>
        <v>24.8</v>
      </c>
      <c r="Z442" s="16">
        <f>IFERROR(__xludf.DUMMYFUNCTION("""COMPUTED_VALUE"""),22.4)</f>
        <v>22.4</v>
      </c>
      <c r="AA442" s="16">
        <f>IFERROR(__xludf.DUMMYFUNCTION("""COMPUTED_VALUE"""),0.0)</f>
        <v>0</v>
      </c>
      <c r="AB442" s="16">
        <f>IFERROR(__xludf.DUMMYFUNCTION("""COMPUTED_VALUE"""),0.0)</f>
        <v>0</v>
      </c>
      <c r="AC442" s="16">
        <f>IFERROR(__xludf.DUMMYFUNCTION("""COMPUTED_VALUE"""),0.0)</f>
        <v>0</v>
      </c>
      <c r="AD442" s="16">
        <f>IFERROR(__xludf.DUMMYFUNCTION("""COMPUTED_VALUE"""),0.0)</f>
        <v>0</v>
      </c>
      <c r="AE442" s="16">
        <f>IFERROR(__xludf.DUMMYFUNCTION("""COMPUTED_VALUE"""),50.8)</f>
        <v>50.8</v>
      </c>
      <c r="AF442" s="16">
        <f>IFERROR(__xludf.DUMMYFUNCTION("""COMPUTED_VALUE"""),38.2)</f>
        <v>38.2</v>
      </c>
      <c r="AG442" s="16">
        <f>IFERROR(__xludf.DUMMYFUNCTION("""COMPUTED_VALUE"""),-2.0)</f>
        <v>-2</v>
      </c>
      <c r="AH442" s="16">
        <f>IFERROR(__xludf.DUMMYFUNCTION("""COMPUTED_VALUE"""),-1.0)</f>
        <v>-1</v>
      </c>
      <c r="AI442" s="16">
        <f>IFERROR(__xludf.DUMMYFUNCTION("""COMPUTED_VALUE"""),-4.0)</f>
        <v>-4</v>
      </c>
      <c r="AJ442" s="16">
        <f>IFERROR(__xludf.DUMMYFUNCTION("""COMPUTED_VALUE"""),-2.0)</f>
        <v>-2</v>
      </c>
      <c r="AK442" s="16">
        <f>IFERROR(__xludf.DUMMYFUNCTION("""COMPUTED_VALUE"""),2.0)</f>
        <v>2</v>
      </c>
      <c r="AL442" s="16">
        <f>IFERROR(__xludf.DUMMYFUNCTION("""COMPUTED_VALUE"""),9.600000000000001)</f>
        <v>9.6</v>
      </c>
      <c r="AM442" s="16">
        <f>IFERROR(__xludf.DUMMYFUNCTION("""COMPUTED_VALUE"""),2.0)</f>
        <v>2</v>
      </c>
      <c r="AN442" s="16">
        <f>IFERROR(__xludf.DUMMYFUNCTION("""COMPUTED_VALUE"""),1.0)</f>
        <v>1</v>
      </c>
      <c r="AO442" s="16">
        <f>IFERROR(__xludf.DUMMYFUNCTION("""COMPUTED_VALUE"""),2.0)</f>
        <v>2</v>
      </c>
      <c r="AP442" s="16">
        <f>IFERROR(__xludf.DUMMYFUNCTION("""COMPUTED_VALUE"""),1.0)</f>
        <v>1</v>
      </c>
      <c r="AQ442" s="16">
        <f>IFERROR(__xludf.DUMMYFUNCTION("""COMPUTED_VALUE"""),3.5999999999999943)</f>
        <v>3.6</v>
      </c>
      <c r="AR442" s="16">
        <f>IFERROR(__xludf.DUMMYFUNCTION("""COMPUTED_VALUE"""),19.000000000000004)</f>
        <v>19</v>
      </c>
      <c r="AS442" s="16">
        <f>IFERROR(__xludf.DUMMYFUNCTION("""COMPUTED_VALUE"""),2.0)</f>
        <v>2</v>
      </c>
      <c r="AT442" s="16">
        <f>IFERROR(__xludf.DUMMYFUNCTION("""COMPUTED_VALUE"""),0.0)</f>
        <v>0</v>
      </c>
      <c r="AU442" s="16">
        <f>IFERROR(__xludf.DUMMYFUNCTION("""COMPUTED_VALUE"""),4.0)</f>
        <v>4</v>
      </c>
      <c r="AV442" s="16">
        <f>IFERROR(__xludf.DUMMYFUNCTION("""COMPUTED_VALUE"""),0.0)</f>
        <v>0</v>
      </c>
      <c r="AW442" s="16">
        <f>IFERROR(__xludf.DUMMYFUNCTION("""COMPUTED_VALUE"""),11.8)</f>
        <v>11.8</v>
      </c>
      <c r="AX442" s="16">
        <f>IFERROR(__xludf.DUMMYFUNCTION("""COMPUTED_VALUE"""),4.8)</f>
        <v>4.8</v>
      </c>
      <c r="AY442" s="16">
        <f>IFERROR(__xludf.DUMMYFUNCTION("""COMPUTED_VALUE"""),-3.0)</f>
        <v>-3</v>
      </c>
      <c r="AZ442" s="16">
        <f>IFERROR(__xludf.DUMMYFUNCTION("""COMPUTED_VALUE"""),-2.0)</f>
        <v>-2</v>
      </c>
      <c r="BA442" s="16">
        <f>IFERROR(__xludf.DUMMYFUNCTION("""COMPUTED_VALUE"""),-15.0)</f>
        <v>-15</v>
      </c>
      <c r="BB442" s="16">
        <f>IFERROR(__xludf.DUMMYFUNCTION("""COMPUTED_VALUE"""),-10.0)</f>
        <v>-10</v>
      </c>
      <c r="BC442" s="16"/>
      <c r="BD442" s="16"/>
      <c r="BE442" s="16">
        <f>IFERROR(__xludf.DUMMYFUNCTION("""COMPUTED_VALUE"""),8.0)</f>
        <v>8</v>
      </c>
      <c r="BF442" s="16">
        <f>IFERROR(__xludf.DUMMYFUNCTION("""COMPUTED_VALUE"""),8.0)</f>
        <v>8</v>
      </c>
      <c r="BG442" s="16">
        <f>IFERROR(__xludf.DUMMYFUNCTION("""COMPUTED_VALUE"""),-3.0)</f>
        <v>-3</v>
      </c>
      <c r="BH442" s="16">
        <f>IFERROR(__xludf.DUMMYFUNCTION("""COMPUTED_VALUE"""),-3.0)</f>
        <v>-3</v>
      </c>
      <c r="BI442" s="16">
        <f>IFERROR(__xludf.DUMMYFUNCTION("""COMPUTED_VALUE"""),-6.0)</f>
        <v>-6</v>
      </c>
      <c r="BJ442" s="16">
        <f>IFERROR(__xludf.DUMMYFUNCTION("""COMPUTED_VALUE"""),-6.0)</f>
        <v>-6</v>
      </c>
      <c r="BK442" s="16">
        <f>IFERROR(__xludf.DUMMYFUNCTION("""COMPUTED_VALUE"""),0.0)</f>
        <v>0</v>
      </c>
      <c r="BL442" s="16">
        <f>IFERROR(__xludf.DUMMYFUNCTION("""COMPUTED_VALUE"""),0.0)</f>
        <v>0</v>
      </c>
      <c r="BM442" s="16">
        <f>IFERROR(__xludf.DUMMYFUNCTION("""COMPUTED_VALUE"""),1.0)</f>
        <v>1</v>
      </c>
      <c r="BN442" s="16">
        <f>IFERROR(__xludf.DUMMYFUNCTION("""COMPUTED_VALUE"""),1.0)</f>
        <v>1</v>
      </c>
      <c r="BO442" s="16">
        <f>IFERROR(__xludf.DUMMYFUNCTION("""COMPUTED_VALUE"""),1.0)</f>
        <v>1</v>
      </c>
      <c r="BP442" s="16">
        <f>IFERROR(__xludf.DUMMYFUNCTION("""COMPUTED_VALUE"""),1.0)</f>
        <v>1</v>
      </c>
      <c r="BQ442" s="16">
        <f>IFERROR(__xludf.DUMMYFUNCTION("""COMPUTED_VALUE"""),0.0)</f>
        <v>0</v>
      </c>
      <c r="BR442" s="16">
        <f>IFERROR(__xludf.DUMMYFUNCTION("""COMPUTED_VALUE"""),0.0)</f>
        <v>0</v>
      </c>
      <c r="BS442" s="16">
        <f>IFERROR(__xludf.DUMMYFUNCTION("""COMPUTED_VALUE"""),-3.0)</f>
        <v>-3</v>
      </c>
      <c r="BT442" s="16">
        <f>IFERROR(__xludf.DUMMYFUNCTION("""COMPUTED_VALUE"""),-3.0)</f>
        <v>-3</v>
      </c>
      <c r="BU442" s="16">
        <f>IFERROR(__xludf.DUMMYFUNCTION("""COMPUTED_VALUE"""),-6.0)</f>
        <v>-6</v>
      </c>
      <c r="BV442" s="16">
        <f>IFERROR(__xludf.DUMMYFUNCTION("""COMPUTED_VALUE"""),-6.0)</f>
        <v>-6</v>
      </c>
      <c r="BW442" s="16">
        <f>IFERROR(__xludf.DUMMYFUNCTION("""COMPUTED_VALUE"""),-1.0)</f>
        <v>-1</v>
      </c>
      <c r="BX442" s="16">
        <f>IFERROR(__xludf.DUMMYFUNCTION("""COMPUTED_VALUE"""),-1.0)</f>
        <v>-1</v>
      </c>
      <c r="BY442" s="16" t="str">
        <f>IFERROR(__xludf.DUMMYFUNCTION("""COMPUTED_VALUE"""),"R(1)")</f>
        <v>R(1)</v>
      </c>
      <c r="BZ442" s="16" t="str">
        <f>IFERROR(__xludf.DUMMYFUNCTION("""COMPUTED_VALUE"""),"R(1)")</f>
        <v>R(1)</v>
      </c>
      <c r="CA442" s="16" t="str">
        <f>IFERROR(__xludf.DUMMYFUNCTION("""COMPUTED_VALUE"""),"R(1)")</f>
        <v>R(1)</v>
      </c>
      <c r="CB442" s="16"/>
      <c r="CC442" s="16"/>
      <c r="CD442" s="16"/>
      <c r="CE442" s="16">
        <f>IFERROR(__xludf.DUMMYFUNCTION("""COMPUTED_VALUE"""),1.0)</f>
        <v>1</v>
      </c>
      <c r="CF442" s="16"/>
      <c r="CG442" s="16" t="str">
        <f>IFERROR(__xludf.DUMMYFUNCTION("""COMPUTED_VALUE"""),"2-36")</f>
        <v>2-36</v>
      </c>
      <c r="CH442" s="16">
        <f>IFERROR(__xludf.DUMMYFUNCTION("""COMPUTED_VALUE"""),2.0)</f>
        <v>2</v>
      </c>
      <c r="CI442" s="16">
        <f>IFERROR(__xludf.DUMMYFUNCTION("""COMPUTED_VALUE"""),36.0)</f>
        <v>36</v>
      </c>
      <c r="CJ442" s="16">
        <f>IFERROR(__xludf.DUMMYFUNCTION("""COMPUTED_VALUE"""),9.0)</f>
        <v>9</v>
      </c>
      <c r="CK442" s="16">
        <f>IFERROR(__xludf.DUMMYFUNCTION("""COMPUTED_VALUE"""),0.0)</f>
        <v>0</v>
      </c>
      <c r="CL442" s="16" t="str">
        <f>IFERROR(__xludf.DUMMYFUNCTION("""COMPUTED_VALUE"""),"1WR-C")</f>
        <v>1WR-C</v>
      </c>
      <c r="CM442" s="16" t="str">
        <f>IFERROR(__xludf.DUMMYFUNCTION("""COMPUTED_VALUE"""),"E")</f>
        <v>E</v>
      </c>
      <c r="CN442" s="16">
        <f>IFERROR(__xludf.DUMMYFUNCTION("""COMPUTED_VALUE"""),10.0)</f>
        <v>10</v>
      </c>
      <c r="CO442" s="16" t="str">
        <f>IFERROR(__xludf.DUMMYFUNCTION("""COMPUTED_VALUE"""),"C")</f>
        <v>C</v>
      </c>
      <c r="CP442" s="16" t="str">
        <f>IFERROR(__xludf.DUMMYFUNCTION("""COMPUTED_VALUE"""),"2p40")</f>
        <v>2p40</v>
      </c>
      <c r="CQ442" s="16">
        <f>IFERROR(__xludf.DUMMYFUNCTION("""COMPUTED_VALUE"""),-25.0)</f>
        <v>-25</v>
      </c>
      <c r="CR442" s="16">
        <f>IFERROR(__xludf.DUMMYFUNCTION("""COMPUTED_VALUE"""),-25.0)</f>
        <v>-25</v>
      </c>
      <c r="CS442" s="16">
        <f>IFERROR(__xludf.DUMMYFUNCTION("""COMPUTED_VALUE"""),-50.0)</f>
        <v>-50</v>
      </c>
      <c r="CT442" s="16">
        <f>IFERROR(__xludf.DUMMYFUNCTION("""COMPUTED_VALUE"""),-25.0)</f>
        <v>-25</v>
      </c>
      <c r="CU442" s="16">
        <f>IFERROR(__xludf.DUMMYFUNCTION("""COMPUTED_VALUE"""),-25.0)</f>
        <v>-25</v>
      </c>
      <c r="CV442" s="179">
        <f>IFERROR(__xludf.DUMMYFUNCTION("""COMPUTED_VALUE"""),-21.0)</f>
        <v>-21</v>
      </c>
      <c r="CW442" s="179">
        <f>IFERROR(__xludf.DUMMYFUNCTION("""COMPUTED_VALUE"""),3.0)</f>
        <v>3</v>
      </c>
      <c r="CX442" s="179">
        <f>IFERROR(__xludf.DUMMYFUNCTION("""COMPUTED_VALUE"""),1.0)</f>
        <v>1</v>
      </c>
      <c r="CY442" s="16" t="str">
        <f>IFERROR(__xludf.DUMMYFUNCTION("""COMPUTED_VALUE"""),"RP")</f>
        <v>RP</v>
      </c>
      <c r="CZ442" s="16"/>
      <c r="DA442" s="16"/>
      <c r="DB442" s="16"/>
      <c r="DC442" s="16"/>
      <c r="DD442" s="16"/>
      <c r="DE442" s="16"/>
      <c r="DF442" s="16"/>
      <c r="DG442" s="16"/>
      <c r="DH442" s="16"/>
      <c r="DI442" s="16"/>
      <c r="DJ442" s="16"/>
      <c r="DK442" s="16"/>
    </row>
    <row r="443">
      <c r="A443" s="16">
        <f>IFERROR(__xludf.DUMMYFUNCTION("""COMPUTED_VALUE"""),13152.0)</f>
        <v>13152</v>
      </c>
      <c r="B443" s="16" t="str">
        <f>IFERROR(__xludf.DUMMYFUNCTION("""COMPUTED_VALUE"""),"Marco Gonzales")</f>
        <v>Marco Gonzales</v>
      </c>
      <c r="C443" s="153">
        <f>IFERROR(__xludf.DUMMYFUNCTION("""COMPUTED_VALUE"""),0.67)</f>
        <v>0.67</v>
      </c>
      <c r="D443" s="16"/>
      <c r="E443" s="16" t="str">
        <f>IFERROR(__xludf.DUMMYFUNCTION("""COMPUTED_VALUE"""),"L")</f>
        <v>L</v>
      </c>
      <c r="F443" s="16">
        <f>IFERROR(__xludf.DUMMYFUNCTION("""COMPUTED_VALUE"""),34.0)</f>
        <v>34</v>
      </c>
      <c r="G443" s="16">
        <f>IFERROR(__xludf.DUMMYFUNCTION("""COMPUTED_VALUE"""),14.0)</f>
        <v>14</v>
      </c>
      <c r="H443" s="16">
        <f>IFERROR(__xludf.DUMMYFUNCTION("""COMPUTED_VALUE"""),7.0)</f>
        <v>7</v>
      </c>
      <c r="I443" s="16">
        <f>IFERROR(__xludf.DUMMYFUNCTION("""COMPUTED_VALUE"""),-2.0)</f>
        <v>-2</v>
      </c>
      <c r="J443" s="16">
        <f>IFERROR(__xludf.DUMMYFUNCTION("""COMPUTED_VALUE"""),-2.0)</f>
        <v>-2</v>
      </c>
      <c r="K443" s="16">
        <f>IFERROR(__xludf.DUMMYFUNCTION("""COMPUTED_VALUE"""),-6.0)</f>
        <v>-6</v>
      </c>
      <c r="L443" s="16">
        <f>IFERROR(__xludf.DUMMYFUNCTION("""COMPUTED_VALUE"""),-6.0)</f>
        <v>-6</v>
      </c>
      <c r="M443" s="16">
        <f>IFERROR(__xludf.DUMMYFUNCTION("""COMPUTED_VALUE"""),9.0)</f>
        <v>9</v>
      </c>
      <c r="N443" s="16">
        <f>IFERROR(__xludf.DUMMYFUNCTION("""COMPUTED_VALUE"""),6.0)</f>
        <v>6</v>
      </c>
      <c r="O443" s="16">
        <f>IFERROR(__xludf.DUMMYFUNCTION("""COMPUTED_VALUE"""),0.0)</f>
        <v>0</v>
      </c>
      <c r="P443" s="16">
        <f>IFERROR(__xludf.DUMMYFUNCTION("""COMPUTED_VALUE"""),1.0)</f>
        <v>1</v>
      </c>
      <c r="Q443" s="16">
        <f>IFERROR(__xludf.DUMMYFUNCTION("""COMPUTED_VALUE"""),0.0)</f>
        <v>0</v>
      </c>
      <c r="R443" s="16">
        <f>IFERROR(__xludf.DUMMYFUNCTION("""COMPUTED_VALUE"""),1.0)</f>
        <v>1</v>
      </c>
      <c r="S443" s="16">
        <f>IFERROR(__xludf.DUMMYFUNCTION("""COMPUTED_VALUE"""),25.0)</f>
        <v>25</v>
      </c>
      <c r="T443" s="16">
        <f>IFERROR(__xludf.DUMMYFUNCTION("""COMPUTED_VALUE"""),28.5)</f>
        <v>28.5</v>
      </c>
      <c r="U443" s="16">
        <f>IFERROR(__xludf.DUMMYFUNCTION("""COMPUTED_VALUE"""),-2.0)</f>
        <v>-2</v>
      </c>
      <c r="V443" s="16">
        <f>IFERROR(__xludf.DUMMYFUNCTION("""COMPUTED_VALUE"""),-2.0)</f>
        <v>-2</v>
      </c>
      <c r="W443" s="16">
        <f>IFERROR(__xludf.DUMMYFUNCTION("""COMPUTED_VALUE"""),-4.0)</f>
        <v>-4</v>
      </c>
      <c r="X443" s="16">
        <f>IFERROR(__xludf.DUMMYFUNCTION("""COMPUTED_VALUE"""),-4.0)</f>
        <v>-4</v>
      </c>
      <c r="Y443" s="16">
        <f>IFERROR(__xludf.DUMMYFUNCTION("""COMPUTED_VALUE"""),34.0)</f>
        <v>34</v>
      </c>
      <c r="Z443" s="16">
        <f>IFERROR(__xludf.DUMMYFUNCTION("""COMPUTED_VALUE"""),34.5)</f>
        <v>34.5</v>
      </c>
      <c r="AA443" s="16">
        <f>IFERROR(__xludf.DUMMYFUNCTION("""COMPUTED_VALUE"""),-1.0)</f>
        <v>-1</v>
      </c>
      <c r="AB443" s="16">
        <f>IFERROR(__xludf.DUMMYFUNCTION("""COMPUTED_VALUE"""),-1.0)</f>
        <v>-1</v>
      </c>
      <c r="AC443" s="16">
        <f>IFERROR(__xludf.DUMMYFUNCTION("""COMPUTED_VALUE"""),-5.0)</f>
        <v>-5</v>
      </c>
      <c r="AD443" s="16">
        <f>IFERROR(__xludf.DUMMYFUNCTION("""COMPUTED_VALUE"""),-5.0)</f>
        <v>-5</v>
      </c>
      <c r="AE443" s="16">
        <f>IFERROR(__xludf.DUMMYFUNCTION("""COMPUTED_VALUE"""),58.5)</f>
        <v>58.5</v>
      </c>
      <c r="AF443" s="16">
        <f>IFERROR(__xludf.DUMMYFUNCTION("""COMPUTED_VALUE"""),40.3)</f>
        <v>40.3</v>
      </c>
      <c r="AG443" s="16">
        <f>IFERROR(__xludf.DUMMYFUNCTION("""COMPUTED_VALUE"""),-3.0)</f>
        <v>-3</v>
      </c>
      <c r="AH443" s="16">
        <f>IFERROR(__xludf.DUMMYFUNCTION("""COMPUTED_VALUE"""),-1.0)</f>
        <v>-1</v>
      </c>
      <c r="AI443" s="16">
        <f>IFERROR(__xludf.DUMMYFUNCTION("""COMPUTED_VALUE"""),-6.0)</f>
        <v>-6</v>
      </c>
      <c r="AJ443" s="16">
        <f>IFERROR(__xludf.DUMMYFUNCTION("""COMPUTED_VALUE"""),-2.0)</f>
        <v>-2</v>
      </c>
      <c r="AK443" s="16">
        <f>IFERROR(__xludf.DUMMYFUNCTION("""COMPUTED_VALUE"""),13.8)</f>
        <v>13.8</v>
      </c>
      <c r="AL443" s="16">
        <f>IFERROR(__xludf.DUMMYFUNCTION("""COMPUTED_VALUE"""),28.1)</f>
        <v>28.1</v>
      </c>
      <c r="AM443" s="16">
        <f>IFERROR(__xludf.DUMMYFUNCTION("""COMPUTED_VALUE"""),0.0)</f>
        <v>0</v>
      </c>
      <c r="AN443" s="16">
        <f>IFERROR(__xludf.DUMMYFUNCTION("""COMPUTED_VALUE"""),-2.0)</f>
        <v>-2</v>
      </c>
      <c r="AO443" s="16">
        <f>IFERROR(__xludf.DUMMYFUNCTION("""COMPUTED_VALUE"""),0.0)</f>
        <v>0</v>
      </c>
      <c r="AP443" s="16">
        <f>IFERROR(__xludf.DUMMYFUNCTION("""COMPUTED_VALUE"""),-2.0)</f>
        <v>-2</v>
      </c>
      <c r="AQ443" s="16">
        <f>IFERROR(__xludf.DUMMYFUNCTION("""COMPUTED_VALUE"""),13.700000000000003)</f>
        <v>13.7</v>
      </c>
      <c r="AR443" s="16">
        <f>IFERROR(__xludf.DUMMYFUNCTION("""COMPUTED_VALUE"""),38.699999999999996)</f>
        <v>38.7</v>
      </c>
      <c r="AS443" s="16">
        <f>IFERROR(__xludf.DUMMYFUNCTION("""COMPUTED_VALUE"""),1.0)</f>
        <v>1</v>
      </c>
      <c r="AT443" s="16">
        <f>IFERROR(__xludf.DUMMYFUNCTION("""COMPUTED_VALUE"""),-2.0)</f>
        <v>-2</v>
      </c>
      <c r="AU443" s="16">
        <f>IFERROR(__xludf.DUMMYFUNCTION("""COMPUTED_VALUE"""),2.0)</f>
        <v>2</v>
      </c>
      <c r="AV443" s="16">
        <f>IFERROR(__xludf.DUMMYFUNCTION("""COMPUTED_VALUE"""),-4.0)</f>
        <v>-4</v>
      </c>
      <c r="AW443" s="16">
        <f>IFERROR(__xludf.DUMMYFUNCTION("""COMPUTED_VALUE"""),11.2)</f>
        <v>11.2</v>
      </c>
      <c r="AX443" s="16">
        <f>IFERROR(__xludf.DUMMYFUNCTION("""COMPUTED_VALUE"""),0.4)</f>
        <v>0.4</v>
      </c>
      <c r="AY443" s="16">
        <f>IFERROR(__xludf.DUMMYFUNCTION("""COMPUTED_VALUE"""),-3.0)</f>
        <v>-3</v>
      </c>
      <c r="AZ443" s="16">
        <f>IFERROR(__xludf.DUMMYFUNCTION("""COMPUTED_VALUE"""),2.0)</f>
        <v>2</v>
      </c>
      <c r="BA443" s="16">
        <f>IFERROR(__xludf.DUMMYFUNCTION("""COMPUTED_VALUE"""),-15.0)</f>
        <v>-15</v>
      </c>
      <c r="BB443" s="16">
        <f>IFERROR(__xludf.DUMMYFUNCTION("""COMPUTED_VALUE"""),10.0)</f>
        <v>10</v>
      </c>
      <c r="BC443" s="16">
        <f>IFERROR(__xludf.DUMMYFUNCTION("""COMPUTED_VALUE"""),8.0)</f>
        <v>8</v>
      </c>
      <c r="BD443" s="16">
        <f>IFERROR(__xludf.DUMMYFUNCTION("""COMPUTED_VALUE"""),0.0)</f>
        <v>0</v>
      </c>
      <c r="BE443" s="16">
        <f>IFERROR(__xludf.DUMMYFUNCTION("""COMPUTED_VALUE"""),8.0)</f>
        <v>8</v>
      </c>
      <c r="BF443" s="16">
        <f>IFERROR(__xludf.DUMMYFUNCTION("""COMPUTED_VALUE"""),0.0)</f>
        <v>0</v>
      </c>
      <c r="BG443" s="16">
        <f>IFERROR(__xludf.DUMMYFUNCTION("""COMPUTED_VALUE"""),-3.0)</f>
        <v>-3</v>
      </c>
      <c r="BH443" s="16">
        <f>IFERROR(__xludf.DUMMYFUNCTION("""COMPUTED_VALUE"""),2.0)</f>
        <v>2</v>
      </c>
      <c r="BI443" s="16">
        <f>IFERROR(__xludf.DUMMYFUNCTION("""COMPUTED_VALUE"""),-6.0)</f>
        <v>-6</v>
      </c>
      <c r="BJ443" s="16">
        <f>IFERROR(__xludf.DUMMYFUNCTION("""COMPUTED_VALUE"""),4.0)</f>
        <v>4</v>
      </c>
      <c r="BK443" s="16">
        <f>IFERROR(__xludf.DUMMYFUNCTION("""COMPUTED_VALUE"""),5.0)</f>
        <v>5</v>
      </c>
      <c r="BL443" s="16">
        <f>IFERROR(__xludf.DUMMYFUNCTION("""COMPUTED_VALUE"""),5.0)</f>
        <v>5</v>
      </c>
      <c r="BM443" s="16">
        <f>IFERROR(__xludf.DUMMYFUNCTION("""COMPUTED_VALUE"""),0.0)</f>
        <v>0</v>
      </c>
      <c r="BN443" s="16">
        <f>IFERROR(__xludf.DUMMYFUNCTION("""COMPUTED_VALUE"""),0.0)</f>
        <v>0</v>
      </c>
      <c r="BO443" s="16">
        <f>IFERROR(__xludf.DUMMYFUNCTION("""COMPUTED_VALUE"""),0.0)</f>
        <v>0</v>
      </c>
      <c r="BP443" s="16">
        <f>IFERROR(__xludf.DUMMYFUNCTION("""COMPUTED_VALUE"""),0.0)</f>
        <v>0</v>
      </c>
      <c r="BQ443" s="16">
        <f>IFERROR(__xludf.DUMMYFUNCTION("""COMPUTED_VALUE"""),10.0)</f>
        <v>10</v>
      </c>
      <c r="BR443" s="16">
        <f>IFERROR(__xludf.DUMMYFUNCTION("""COMPUTED_VALUE"""),12.0)</f>
        <v>12</v>
      </c>
      <c r="BS443" s="16">
        <f>IFERROR(__xludf.DUMMYFUNCTION("""COMPUTED_VALUE"""),3.0)</f>
        <v>3</v>
      </c>
      <c r="BT443" s="16">
        <f>IFERROR(__xludf.DUMMYFUNCTION("""COMPUTED_VALUE"""),3.0)</f>
        <v>3</v>
      </c>
      <c r="BU443" s="16">
        <f>IFERROR(__xludf.DUMMYFUNCTION("""COMPUTED_VALUE"""),6.0)</f>
        <v>6</v>
      </c>
      <c r="BV443" s="16">
        <f>IFERROR(__xludf.DUMMYFUNCTION("""COMPUTED_VALUE"""),6.0)</f>
        <v>6</v>
      </c>
      <c r="BW443" s="16">
        <f>IFERROR(__xludf.DUMMYFUNCTION("""COMPUTED_VALUE"""),-2.0)</f>
        <v>-2</v>
      </c>
      <c r="BX443" s="16">
        <f>IFERROR(__xludf.DUMMYFUNCTION("""COMPUTED_VALUE"""),-2.0)</f>
        <v>-2</v>
      </c>
      <c r="BY443" s="16" t="str">
        <f>IFERROR(__xludf.DUMMYFUNCTION("""COMPUTED_VALUE"""),"S(5)")</f>
        <v>S(5)</v>
      </c>
      <c r="BZ443" s="16" t="str">
        <f>IFERROR(__xludf.DUMMYFUNCTION("""COMPUTED_VALUE"""),"S(5)")</f>
        <v>S(5)</v>
      </c>
      <c r="CA443" s="16" t="str">
        <f>IFERROR(__xludf.DUMMYFUNCTION("""COMPUTED_VALUE"""),"S(5)")</f>
        <v>S(5)</v>
      </c>
      <c r="CB443" s="16"/>
      <c r="CC443" s="16"/>
      <c r="CD443" s="16">
        <f>IFERROR(__xludf.DUMMYFUNCTION("""COMPUTED_VALUE"""),5.0)</f>
        <v>5</v>
      </c>
      <c r="CE443" s="16"/>
      <c r="CF443" s="16"/>
      <c r="CG443" s="16" t="str">
        <f>IFERROR(__xludf.DUMMYFUNCTION("""COMPUTED_VALUE"""),"2-0")</f>
        <v>2-0</v>
      </c>
      <c r="CH443" s="16">
        <f>IFERROR(__xludf.DUMMYFUNCTION("""COMPUTED_VALUE"""),2.0)</f>
        <v>2</v>
      </c>
      <c r="CI443" s="16">
        <f>IFERROR(__xludf.DUMMYFUNCTION("""COMPUTED_VALUE"""),0.0)</f>
        <v>0</v>
      </c>
      <c r="CJ443" s="16">
        <f>IFERROR(__xludf.DUMMYFUNCTION("""COMPUTED_VALUE"""),0.0)</f>
        <v>0</v>
      </c>
      <c r="CK443" s="16">
        <f>IFERROR(__xludf.DUMMYFUNCTION("""COMPUTED_VALUE"""),0.0)</f>
        <v>0</v>
      </c>
      <c r="CL443" s="16" t="str">
        <f>IFERROR(__xludf.DUMMYFUNCTION("""COMPUTED_VALUE"""),"1WL-C")</f>
        <v>1WL-C</v>
      </c>
      <c r="CM443" s="16" t="str">
        <f>IFERROR(__xludf.DUMMYFUNCTION("""COMPUTED_VALUE"""),"E")</f>
        <v>E</v>
      </c>
      <c r="CN443" s="16">
        <f>IFERROR(__xludf.DUMMYFUNCTION("""COMPUTED_VALUE"""),10.0)</f>
        <v>10</v>
      </c>
      <c r="CO443" s="16" t="str">
        <f>IFERROR(__xludf.DUMMYFUNCTION("""COMPUTED_VALUE"""),"C")</f>
        <v>C</v>
      </c>
      <c r="CP443" s="16" t="str">
        <f>IFERROR(__xludf.DUMMYFUNCTION("""COMPUTED_VALUE"""),"6p20")</f>
        <v>6p20</v>
      </c>
      <c r="CQ443" s="16">
        <f>IFERROR(__xludf.DUMMYFUNCTION("""COMPUTED_VALUE"""),-34.0)</f>
        <v>-34</v>
      </c>
      <c r="CR443" s="16">
        <f>IFERROR(__xludf.DUMMYFUNCTION("""COMPUTED_VALUE"""),-2.0)</f>
        <v>-2</v>
      </c>
      <c r="CS443" s="16">
        <f>IFERROR(__xludf.DUMMYFUNCTION("""COMPUTED_VALUE"""),-36.0)</f>
        <v>-36</v>
      </c>
      <c r="CT443" s="16">
        <f>IFERROR(__xludf.DUMMYFUNCTION("""COMPUTED_VALUE"""),-34.0)</f>
        <v>-34</v>
      </c>
      <c r="CU443" s="16">
        <f>IFERROR(__xludf.DUMMYFUNCTION("""COMPUTED_VALUE"""),-2.0)</f>
        <v>-2</v>
      </c>
      <c r="CV443" s="179">
        <f>IFERROR(__xludf.DUMMYFUNCTION("""COMPUTED_VALUE"""),-21.333333333333332)</f>
        <v>-21.33333333</v>
      </c>
      <c r="CW443" s="179">
        <f>IFERROR(__xludf.DUMMYFUNCTION("""COMPUTED_VALUE"""),-1.0)</f>
        <v>-1</v>
      </c>
      <c r="CX443" s="179">
        <f>IFERROR(__xludf.DUMMYFUNCTION("""COMPUTED_VALUE"""),3.0)</f>
        <v>3</v>
      </c>
      <c r="CY443" s="16" t="str">
        <f>IFERROR(__xludf.DUMMYFUNCTION("""COMPUTED_VALUE"""),"SP")</f>
        <v>SP</v>
      </c>
      <c r="CZ443" s="16"/>
      <c r="DA443" s="16"/>
      <c r="DB443" s="16"/>
      <c r="DC443" s="16"/>
      <c r="DD443" s="16"/>
      <c r="DE443" s="16"/>
      <c r="DF443" s="16"/>
      <c r="DG443" s="16"/>
      <c r="DH443" s="16"/>
      <c r="DI443" s="16"/>
      <c r="DJ443" s="16"/>
      <c r="DK443" s="16"/>
    </row>
    <row r="444">
      <c r="A444" s="16">
        <f>IFERROR(__xludf.DUMMYFUNCTION("""COMPUTED_VALUE"""),13141.0)</f>
        <v>13141</v>
      </c>
      <c r="B444" s="16" t="str">
        <f>IFERROR(__xludf.DUMMYFUNCTION("""COMPUTED_VALUE"""),"Luke Jackson")</f>
        <v>Luke Jackson</v>
      </c>
      <c r="C444" s="153">
        <f>IFERROR(__xludf.DUMMYFUNCTION("""COMPUTED_VALUE"""),0.0)</f>
        <v>0</v>
      </c>
      <c r="D444" s="16"/>
      <c r="E444" s="16" t="str">
        <f>IFERROR(__xludf.DUMMYFUNCTION("""COMPUTED_VALUE"""),"R")</f>
        <v>R</v>
      </c>
      <c r="F444" s="16">
        <f>IFERROR(__xludf.DUMMYFUNCTION("""COMPUTED_VALUE"""),53.0)</f>
        <v>53</v>
      </c>
      <c r="G444" s="16">
        <f>IFERROR(__xludf.DUMMYFUNCTION("""COMPUTED_VALUE"""),25.0)</f>
        <v>25</v>
      </c>
      <c r="H444" s="16">
        <f>IFERROR(__xludf.DUMMYFUNCTION("""COMPUTED_VALUE"""),34.0)</f>
        <v>34</v>
      </c>
      <c r="I444" s="16">
        <f>IFERROR(__xludf.DUMMYFUNCTION("""COMPUTED_VALUE"""),0.0)</f>
        <v>0</v>
      </c>
      <c r="J444" s="16">
        <f>IFERROR(__xludf.DUMMYFUNCTION("""COMPUTED_VALUE"""),1.0)</f>
        <v>1</v>
      </c>
      <c r="K444" s="16">
        <f>IFERROR(__xludf.DUMMYFUNCTION("""COMPUTED_VALUE"""),0.0)</f>
        <v>0</v>
      </c>
      <c r="L444" s="16">
        <f>IFERROR(__xludf.DUMMYFUNCTION("""COMPUTED_VALUE"""),3.0)</f>
        <v>3</v>
      </c>
      <c r="M444" s="16">
        <f>IFERROR(__xludf.DUMMYFUNCTION("""COMPUTED_VALUE"""),21.0)</f>
        <v>21</v>
      </c>
      <c r="N444" s="16">
        <f>IFERROR(__xludf.DUMMYFUNCTION("""COMPUTED_VALUE"""),12.0)</f>
        <v>12</v>
      </c>
      <c r="O444" s="16">
        <f>IFERROR(__xludf.DUMMYFUNCTION("""COMPUTED_VALUE"""),-3.0)</f>
        <v>-3</v>
      </c>
      <c r="P444" s="16">
        <f>IFERROR(__xludf.DUMMYFUNCTION("""COMPUTED_VALUE"""),-2.0)</f>
        <v>-2</v>
      </c>
      <c r="Q444" s="16">
        <f>IFERROR(__xludf.DUMMYFUNCTION("""COMPUTED_VALUE"""),-3.0)</f>
        <v>-3</v>
      </c>
      <c r="R444" s="16">
        <f>IFERROR(__xludf.DUMMYFUNCTION("""COMPUTED_VALUE"""),-2.0)</f>
        <v>-2</v>
      </c>
      <c r="S444" s="16">
        <f>IFERROR(__xludf.DUMMYFUNCTION("""COMPUTED_VALUE"""),18.8)</f>
        <v>18.8</v>
      </c>
      <c r="T444" s="16">
        <f>IFERROR(__xludf.DUMMYFUNCTION("""COMPUTED_VALUE"""),18.6)</f>
        <v>18.6</v>
      </c>
      <c r="U444" s="16">
        <f>IFERROR(__xludf.DUMMYFUNCTION("""COMPUTED_VALUE"""),-1.0)</f>
        <v>-1</v>
      </c>
      <c r="V444" s="16">
        <f>IFERROR(__xludf.DUMMYFUNCTION("""COMPUTED_VALUE"""),-1.0)</f>
        <v>-1</v>
      </c>
      <c r="W444" s="16">
        <f>IFERROR(__xludf.DUMMYFUNCTION("""COMPUTED_VALUE"""),-2.0)</f>
        <v>-2</v>
      </c>
      <c r="X444" s="16">
        <f>IFERROR(__xludf.DUMMYFUNCTION("""COMPUTED_VALUE"""),-2.0)</f>
        <v>-2</v>
      </c>
      <c r="Y444" s="16">
        <f>IFERROR(__xludf.DUMMYFUNCTION("""COMPUTED_VALUE"""),39.8)</f>
        <v>39.8</v>
      </c>
      <c r="Z444" s="16">
        <f>IFERROR(__xludf.DUMMYFUNCTION("""COMPUTED_VALUE"""),30.6)</f>
        <v>30.6</v>
      </c>
      <c r="AA444" s="16">
        <f>IFERROR(__xludf.DUMMYFUNCTION("""COMPUTED_VALUE"""),-2.0)</f>
        <v>-2</v>
      </c>
      <c r="AB444" s="16">
        <f>IFERROR(__xludf.DUMMYFUNCTION("""COMPUTED_VALUE"""),-1.0)</f>
        <v>-1</v>
      </c>
      <c r="AC444" s="16">
        <f>IFERROR(__xludf.DUMMYFUNCTION("""COMPUTED_VALUE"""),-10.0)</f>
        <v>-10</v>
      </c>
      <c r="AD444" s="16">
        <f>IFERROR(__xludf.DUMMYFUNCTION("""COMPUTED_VALUE"""),-5.0)</f>
        <v>-5</v>
      </c>
      <c r="AE444" s="16">
        <f>IFERROR(__xludf.DUMMYFUNCTION("""COMPUTED_VALUE"""),31.6)</f>
        <v>31.6</v>
      </c>
      <c r="AF444" s="16">
        <f>IFERROR(__xludf.DUMMYFUNCTION("""COMPUTED_VALUE"""),27.6)</f>
        <v>27.6</v>
      </c>
      <c r="AG444" s="16">
        <f>IFERROR(__xludf.DUMMYFUNCTION("""COMPUTED_VALUE"""),0.0)</f>
        <v>0</v>
      </c>
      <c r="AH444" s="16">
        <f>IFERROR(__xludf.DUMMYFUNCTION("""COMPUTED_VALUE"""),0.0)</f>
        <v>0</v>
      </c>
      <c r="AI444" s="16">
        <f>IFERROR(__xludf.DUMMYFUNCTION("""COMPUTED_VALUE"""),0.0)</f>
        <v>0</v>
      </c>
      <c r="AJ444" s="16">
        <f>IFERROR(__xludf.DUMMYFUNCTION("""COMPUTED_VALUE"""),0.0)</f>
        <v>0</v>
      </c>
      <c r="AK444" s="16">
        <f>IFERROR(__xludf.DUMMYFUNCTION("""COMPUTED_VALUE"""),15.4)</f>
        <v>15.4</v>
      </c>
      <c r="AL444" s="16">
        <f>IFERROR(__xludf.DUMMYFUNCTION("""COMPUTED_VALUE"""),17.6)</f>
        <v>17.6</v>
      </c>
      <c r="AM444" s="16">
        <f>IFERROR(__xludf.DUMMYFUNCTION("""COMPUTED_VALUE"""),0.0)</f>
        <v>0</v>
      </c>
      <c r="AN444" s="16">
        <f>IFERROR(__xludf.DUMMYFUNCTION("""COMPUTED_VALUE"""),-1.0)</f>
        <v>-1</v>
      </c>
      <c r="AO444" s="16">
        <f>IFERROR(__xludf.DUMMYFUNCTION("""COMPUTED_VALUE"""),0.0)</f>
        <v>0</v>
      </c>
      <c r="AP444" s="16">
        <f>IFERROR(__xludf.DUMMYFUNCTION("""COMPUTED_VALUE"""),-1.0)</f>
        <v>-1</v>
      </c>
      <c r="AQ444" s="16">
        <f>IFERROR(__xludf.DUMMYFUNCTION("""COMPUTED_VALUE"""),18.0)</f>
        <v>18</v>
      </c>
      <c r="AR444" s="16">
        <f>IFERROR(__xludf.DUMMYFUNCTION("""COMPUTED_VALUE"""),23.6)</f>
        <v>23.6</v>
      </c>
      <c r="AS444" s="16">
        <f>IFERROR(__xludf.DUMMYFUNCTION("""COMPUTED_VALUE"""),0.0)</f>
        <v>0</v>
      </c>
      <c r="AT444" s="16">
        <f>IFERROR(__xludf.DUMMYFUNCTION("""COMPUTED_VALUE"""),-1.0)</f>
        <v>-1</v>
      </c>
      <c r="AU444" s="16">
        <f>IFERROR(__xludf.DUMMYFUNCTION("""COMPUTED_VALUE"""),0.0)</f>
        <v>0</v>
      </c>
      <c r="AV444" s="16">
        <f>IFERROR(__xludf.DUMMYFUNCTION("""COMPUTED_VALUE"""),-2.0)</f>
        <v>-2</v>
      </c>
      <c r="AW444" s="16">
        <f>IFERROR(__xludf.DUMMYFUNCTION("""COMPUTED_VALUE"""),3.4)</f>
        <v>3.4</v>
      </c>
      <c r="AX444" s="16">
        <f>IFERROR(__xludf.DUMMYFUNCTION("""COMPUTED_VALUE"""),1.0)</f>
        <v>1</v>
      </c>
      <c r="AY444" s="16">
        <f>IFERROR(__xludf.DUMMYFUNCTION("""COMPUTED_VALUE"""),-2.0)</f>
        <v>-2</v>
      </c>
      <c r="AZ444" s="16">
        <f>IFERROR(__xludf.DUMMYFUNCTION("""COMPUTED_VALUE"""),1.0)</f>
        <v>1</v>
      </c>
      <c r="BA444" s="16">
        <f>IFERROR(__xludf.DUMMYFUNCTION("""COMPUTED_VALUE"""),-10.0)</f>
        <v>-10</v>
      </c>
      <c r="BB444" s="16">
        <f>IFERROR(__xludf.DUMMYFUNCTION("""COMPUTED_VALUE"""),5.0)</f>
        <v>5</v>
      </c>
      <c r="BC444" s="16">
        <f>IFERROR(__xludf.DUMMYFUNCTION("""COMPUTED_VALUE"""),6.0)</f>
        <v>6</v>
      </c>
      <c r="BD444" s="16">
        <f>IFERROR(__xludf.DUMMYFUNCTION("""COMPUTED_VALUE"""),2.0)</f>
        <v>2</v>
      </c>
      <c r="BE444" s="16">
        <f>IFERROR(__xludf.DUMMYFUNCTION("""COMPUTED_VALUE"""),6.0)</f>
        <v>6</v>
      </c>
      <c r="BF444" s="16">
        <f>IFERROR(__xludf.DUMMYFUNCTION("""COMPUTED_VALUE"""),2.0)</f>
        <v>2</v>
      </c>
      <c r="BG444" s="16">
        <f>IFERROR(__xludf.DUMMYFUNCTION("""COMPUTED_VALUE"""),-3.0)</f>
        <v>-3</v>
      </c>
      <c r="BH444" s="16">
        <f>IFERROR(__xludf.DUMMYFUNCTION("""COMPUTED_VALUE"""),1.0)</f>
        <v>1</v>
      </c>
      <c r="BI444" s="16">
        <f>IFERROR(__xludf.DUMMYFUNCTION("""COMPUTED_VALUE"""),-6.0)</f>
        <v>-6</v>
      </c>
      <c r="BJ444" s="16">
        <f>IFERROR(__xludf.DUMMYFUNCTION("""COMPUTED_VALUE"""),2.0)</f>
        <v>2</v>
      </c>
      <c r="BK444" s="16">
        <f>IFERROR(__xludf.DUMMYFUNCTION("""COMPUTED_VALUE"""),5.0)</f>
        <v>5</v>
      </c>
      <c r="BL444" s="16">
        <f>IFERROR(__xludf.DUMMYFUNCTION("""COMPUTED_VALUE"""),5.0)</f>
        <v>5</v>
      </c>
      <c r="BM444" s="16">
        <f>IFERROR(__xludf.DUMMYFUNCTION("""COMPUTED_VALUE"""),0.0)</f>
        <v>0</v>
      </c>
      <c r="BN444" s="16">
        <f>IFERROR(__xludf.DUMMYFUNCTION("""COMPUTED_VALUE"""),0.0)</f>
        <v>0</v>
      </c>
      <c r="BO444" s="16">
        <f>IFERROR(__xludf.DUMMYFUNCTION("""COMPUTED_VALUE"""),0.0)</f>
        <v>0</v>
      </c>
      <c r="BP444" s="16">
        <f>IFERROR(__xludf.DUMMYFUNCTION("""COMPUTED_VALUE"""),0.0)</f>
        <v>0</v>
      </c>
      <c r="BQ444" s="16">
        <f>IFERROR(__xludf.DUMMYFUNCTION("""COMPUTED_VALUE"""),1.0)</f>
        <v>1</v>
      </c>
      <c r="BR444" s="16">
        <f>IFERROR(__xludf.DUMMYFUNCTION("""COMPUTED_VALUE"""),4.0)</f>
        <v>4</v>
      </c>
      <c r="BS444" s="16">
        <f>IFERROR(__xludf.DUMMYFUNCTION("""COMPUTED_VALUE"""),-2.0)</f>
        <v>-2</v>
      </c>
      <c r="BT444" s="16">
        <f>IFERROR(__xludf.DUMMYFUNCTION("""COMPUTED_VALUE"""),-1.0)</f>
        <v>-1</v>
      </c>
      <c r="BU444" s="16">
        <f>IFERROR(__xludf.DUMMYFUNCTION("""COMPUTED_VALUE"""),-4.0)</f>
        <v>-4</v>
      </c>
      <c r="BV444" s="16">
        <f>IFERROR(__xludf.DUMMYFUNCTION("""COMPUTED_VALUE"""),-2.0)</f>
        <v>-2</v>
      </c>
      <c r="BW444" s="16">
        <f>IFERROR(__xludf.DUMMYFUNCTION("""COMPUTED_VALUE"""),0.0)</f>
        <v>0</v>
      </c>
      <c r="BX444" s="16">
        <f>IFERROR(__xludf.DUMMYFUNCTION("""COMPUTED_VALUE"""),0.0)</f>
        <v>0</v>
      </c>
      <c r="BY444" s="16" t="str">
        <f>IFERROR(__xludf.DUMMYFUNCTION("""COMPUTED_VALUE"""),"R(1)")</f>
        <v>R(1)</v>
      </c>
      <c r="BZ444" s="16" t="str">
        <f>IFERROR(__xludf.DUMMYFUNCTION("""COMPUTED_VALUE"""),"R(1)")</f>
        <v>R(1)</v>
      </c>
      <c r="CA444" s="16" t="str">
        <f>IFERROR(__xludf.DUMMYFUNCTION("""COMPUTED_VALUE"""),"R(1)")</f>
        <v>R(1)</v>
      </c>
      <c r="CB444" s="16"/>
      <c r="CC444" s="16"/>
      <c r="CD444" s="16"/>
      <c r="CE444" s="16">
        <f>IFERROR(__xludf.DUMMYFUNCTION("""COMPUTED_VALUE"""),1.0)</f>
        <v>1</v>
      </c>
      <c r="CF444" s="16"/>
      <c r="CG444" s="16" t="str">
        <f>IFERROR(__xludf.DUMMYFUNCTION("""COMPUTED_VALUE"""),"3-27")</f>
        <v>3-27</v>
      </c>
      <c r="CH444" s="16">
        <f>IFERROR(__xludf.DUMMYFUNCTION("""COMPUTED_VALUE"""),3.0)</f>
        <v>3</v>
      </c>
      <c r="CI444" s="16">
        <f>IFERROR(__xludf.DUMMYFUNCTION("""COMPUTED_VALUE"""),27.0)</f>
        <v>27</v>
      </c>
      <c r="CJ444" s="16">
        <f>IFERROR(__xludf.DUMMYFUNCTION("""COMPUTED_VALUE"""),0.0)</f>
        <v>0</v>
      </c>
      <c r="CK444" s="16">
        <f>IFERROR(__xludf.DUMMYFUNCTION("""COMPUTED_VALUE"""),20.0)</f>
        <v>20</v>
      </c>
      <c r="CL444" s="16" t="str">
        <f>IFERROR(__xludf.DUMMYFUNCTION("""COMPUTED_VALUE"""),"1WR-C")</f>
        <v>1WR-C</v>
      </c>
      <c r="CM444" s="16" t="str">
        <f>IFERROR(__xludf.DUMMYFUNCTION("""COMPUTED_VALUE"""),"E")</f>
        <v>E</v>
      </c>
      <c r="CN444" s="16">
        <f>IFERROR(__xludf.DUMMYFUNCTION("""COMPUTED_VALUE"""),10.0)</f>
        <v>10</v>
      </c>
      <c r="CO444" s="16" t="str">
        <f>IFERROR(__xludf.DUMMYFUNCTION("""COMPUTED_VALUE"""),"C")</f>
        <v>C</v>
      </c>
      <c r="CP444" s="16" t="str">
        <f>IFERROR(__xludf.DUMMYFUNCTION("""COMPUTED_VALUE"""),"2p50")</f>
        <v>2p50</v>
      </c>
      <c r="CQ444" s="16">
        <f>IFERROR(__xludf.DUMMYFUNCTION("""COMPUTED_VALUE"""),-35.0)</f>
        <v>-35</v>
      </c>
      <c r="CR444" s="16">
        <f>IFERROR(__xludf.DUMMYFUNCTION("""COMPUTED_VALUE"""),-4.0)</f>
        <v>-4</v>
      </c>
      <c r="CS444" s="16">
        <f>IFERROR(__xludf.DUMMYFUNCTION("""COMPUTED_VALUE"""),-39.0)</f>
        <v>-39</v>
      </c>
      <c r="CT444" s="16">
        <f>IFERROR(__xludf.DUMMYFUNCTION("""COMPUTED_VALUE"""),-35.0)</f>
        <v>-35</v>
      </c>
      <c r="CU444" s="16">
        <f>IFERROR(__xludf.DUMMYFUNCTION("""COMPUTED_VALUE"""),-4.0)</f>
        <v>-4</v>
      </c>
      <c r="CV444" s="179">
        <f>IFERROR(__xludf.DUMMYFUNCTION("""COMPUTED_VALUE"""),-21.666666666666668)</f>
        <v>-21.66666667</v>
      </c>
      <c r="CW444" s="179">
        <f>IFERROR(__xludf.DUMMYFUNCTION("""COMPUTED_VALUE"""),3.0)</f>
        <v>3</v>
      </c>
      <c r="CX444" s="179">
        <f>IFERROR(__xludf.DUMMYFUNCTION("""COMPUTED_VALUE"""),0.0)</f>
        <v>0</v>
      </c>
      <c r="CY444" s="16" t="str">
        <f>IFERROR(__xludf.DUMMYFUNCTION("""COMPUTED_VALUE"""),"RP")</f>
        <v>RP</v>
      </c>
      <c r="CZ444" s="16"/>
      <c r="DA444" s="16"/>
      <c r="DB444" s="16"/>
      <c r="DC444" s="16"/>
      <c r="DD444" s="16"/>
      <c r="DE444" s="16"/>
      <c r="DF444" s="16"/>
      <c r="DG444" s="16"/>
      <c r="DH444" s="16"/>
      <c r="DI444" s="16"/>
      <c r="DJ444" s="16"/>
      <c r="DK444" s="16"/>
    </row>
    <row r="445">
      <c r="A445" s="16">
        <f>IFERROR(__xludf.DUMMYFUNCTION("""COMPUTED_VALUE"""),12592.0)</f>
        <v>12592</v>
      </c>
      <c r="B445" s="16" t="str">
        <f>IFERROR(__xludf.DUMMYFUNCTION("""COMPUTED_VALUE"""),"Bradley Blalock")</f>
        <v>Bradley Blalock</v>
      </c>
      <c r="C445" s="153">
        <f>IFERROR(__xludf.DUMMYFUNCTION("""COMPUTED_VALUE"""),0.0)</f>
        <v>0</v>
      </c>
      <c r="D445" s="16"/>
      <c r="E445" s="16" t="str">
        <f>IFERROR(__xludf.DUMMYFUNCTION("""COMPUTED_VALUE"""),"R")</f>
        <v>R</v>
      </c>
      <c r="F445" s="16">
        <f>IFERROR(__xludf.DUMMYFUNCTION("""COMPUTED_VALUE"""),31.0)</f>
        <v>31</v>
      </c>
      <c r="G445" s="16">
        <f>IFERROR(__xludf.DUMMYFUNCTION("""COMPUTED_VALUE"""),6.0)</f>
        <v>6</v>
      </c>
      <c r="H445" s="16">
        <f>IFERROR(__xludf.DUMMYFUNCTION("""COMPUTED_VALUE"""),4.0)</f>
        <v>4</v>
      </c>
      <c r="I445" s="16">
        <f>IFERROR(__xludf.DUMMYFUNCTION("""COMPUTED_VALUE"""),-2.0)</f>
        <v>-2</v>
      </c>
      <c r="J445" s="16">
        <f>IFERROR(__xludf.DUMMYFUNCTION("""COMPUTED_VALUE"""),-3.0)</f>
        <v>-3</v>
      </c>
      <c r="K445" s="16">
        <f>IFERROR(__xludf.DUMMYFUNCTION("""COMPUTED_VALUE"""),-6.0)</f>
        <v>-6</v>
      </c>
      <c r="L445" s="16">
        <f>IFERROR(__xludf.DUMMYFUNCTION("""COMPUTED_VALUE"""),-9.0)</f>
        <v>-9</v>
      </c>
      <c r="M445" s="16">
        <f>IFERROR(__xludf.DUMMYFUNCTION("""COMPUTED_VALUE"""),20.0)</f>
        <v>20</v>
      </c>
      <c r="N445" s="16">
        <f>IFERROR(__xludf.DUMMYFUNCTION("""COMPUTED_VALUE"""),21.0)</f>
        <v>21</v>
      </c>
      <c r="O445" s="16">
        <f>IFERROR(__xludf.DUMMYFUNCTION("""COMPUTED_VALUE"""),-3.0)</f>
        <v>-3</v>
      </c>
      <c r="P445" s="16">
        <f>IFERROR(__xludf.DUMMYFUNCTION("""COMPUTED_VALUE"""),-3.0)</f>
        <v>-3</v>
      </c>
      <c r="Q445" s="16">
        <f>IFERROR(__xludf.DUMMYFUNCTION("""COMPUTED_VALUE"""),-3.0)</f>
        <v>-3</v>
      </c>
      <c r="R445" s="16">
        <f>IFERROR(__xludf.DUMMYFUNCTION("""COMPUTED_VALUE"""),-3.0)</f>
        <v>-3</v>
      </c>
      <c r="S445" s="16">
        <f>IFERROR(__xludf.DUMMYFUNCTION("""COMPUTED_VALUE"""),20.9)</f>
        <v>20.9</v>
      </c>
      <c r="T445" s="16">
        <f>IFERROR(__xludf.DUMMYFUNCTION("""COMPUTED_VALUE"""),15.9)</f>
        <v>15.9</v>
      </c>
      <c r="U445" s="16">
        <f>IFERROR(__xludf.DUMMYFUNCTION("""COMPUTED_VALUE"""),-1.0)</f>
        <v>-1</v>
      </c>
      <c r="V445" s="16">
        <f>IFERROR(__xludf.DUMMYFUNCTION("""COMPUTED_VALUE"""),0.0)</f>
        <v>0</v>
      </c>
      <c r="W445" s="16">
        <f>IFERROR(__xludf.DUMMYFUNCTION("""COMPUTED_VALUE"""),-2.0)</f>
        <v>-2</v>
      </c>
      <c r="X445" s="16">
        <f>IFERROR(__xludf.DUMMYFUNCTION("""COMPUTED_VALUE"""),0.0)</f>
        <v>0</v>
      </c>
      <c r="Y445" s="16">
        <f>IFERROR(__xludf.DUMMYFUNCTION("""COMPUTED_VALUE"""),40.9)</f>
        <v>40.9</v>
      </c>
      <c r="Z445" s="16">
        <f>IFERROR(__xludf.DUMMYFUNCTION("""COMPUTED_VALUE"""),37.0)</f>
        <v>37</v>
      </c>
      <c r="AA445" s="16">
        <f>IFERROR(__xludf.DUMMYFUNCTION("""COMPUTED_VALUE"""),-2.0)</f>
        <v>-2</v>
      </c>
      <c r="AB445" s="16">
        <f>IFERROR(__xludf.DUMMYFUNCTION("""COMPUTED_VALUE"""),-2.0)</f>
        <v>-2</v>
      </c>
      <c r="AC445" s="16">
        <f>IFERROR(__xludf.DUMMYFUNCTION("""COMPUTED_VALUE"""),-10.0)</f>
        <v>-10</v>
      </c>
      <c r="AD445" s="16">
        <f>IFERROR(__xludf.DUMMYFUNCTION("""COMPUTED_VALUE"""),-10.0)</f>
        <v>-10</v>
      </c>
      <c r="AE445" s="16">
        <f>IFERROR(__xludf.DUMMYFUNCTION("""COMPUTED_VALUE"""),43.7)</f>
        <v>43.7</v>
      </c>
      <c r="AF445" s="16">
        <f>IFERROR(__xludf.DUMMYFUNCTION("""COMPUTED_VALUE"""),23.6)</f>
        <v>23.6</v>
      </c>
      <c r="AG445" s="16">
        <f>IFERROR(__xludf.DUMMYFUNCTION("""COMPUTED_VALUE"""),-2.0)</f>
        <v>-2</v>
      </c>
      <c r="AH445" s="16">
        <f>IFERROR(__xludf.DUMMYFUNCTION("""COMPUTED_VALUE"""),1.0)</f>
        <v>1</v>
      </c>
      <c r="AI445" s="16">
        <f>IFERROR(__xludf.DUMMYFUNCTION("""COMPUTED_VALUE"""),-4.0)</f>
        <v>-4</v>
      </c>
      <c r="AJ445" s="16">
        <f>IFERROR(__xludf.DUMMYFUNCTION("""COMPUTED_VALUE"""),2.0)</f>
        <v>2</v>
      </c>
      <c r="AK445" s="16">
        <f>IFERROR(__xludf.DUMMYFUNCTION("""COMPUTED_VALUE"""),18.7)</f>
        <v>18.7</v>
      </c>
      <c r="AL445" s="16">
        <f>IFERROR(__xludf.DUMMYFUNCTION("""COMPUTED_VALUE"""),15.5)</f>
        <v>15.5</v>
      </c>
      <c r="AM445" s="16">
        <f>IFERROR(__xludf.DUMMYFUNCTION("""COMPUTED_VALUE"""),-1.0)</f>
        <v>-1</v>
      </c>
      <c r="AN445" s="16">
        <f>IFERROR(__xludf.DUMMYFUNCTION("""COMPUTED_VALUE"""),0.0)</f>
        <v>0</v>
      </c>
      <c r="AO445" s="16">
        <f>IFERROR(__xludf.DUMMYFUNCTION("""COMPUTED_VALUE"""),-1.0)</f>
        <v>-1</v>
      </c>
      <c r="AP445" s="16">
        <f>IFERROR(__xludf.DUMMYFUNCTION("""COMPUTED_VALUE"""),0.0)</f>
        <v>0</v>
      </c>
      <c r="AQ445" s="16">
        <f>IFERROR(__xludf.DUMMYFUNCTION("""COMPUTED_VALUE"""),34.900000000000006)</f>
        <v>34.9</v>
      </c>
      <c r="AR445" s="16">
        <f>IFERROR(__xludf.DUMMYFUNCTION("""COMPUTED_VALUE"""),22.0)</f>
        <v>22</v>
      </c>
      <c r="AS445" s="16">
        <f>IFERROR(__xludf.DUMMYFUNCTION("""COMPUTED_VALUE"""),-2.0)</f>
        <v>-2</v>
      </c>
      <c r="AT445" s="16">
        <f>IFERROR(__xludf.DUMMYFUNCTION("""COMPUTED_VALUE"""),0.0)</f>
        <v>0</v>
      </c>
      <c r="AU445" s="16">
        <f>IFERROR(__xludf.DUMMYFUNCTION("""COMPUTED_VALUE"""),-4.0)</f>
        <v>-4</v>
      </c>
      <c r="AV445" s="16">
        <f>IFERROR(__xludf.DUMMYFUNCTION("""COMPUTED_VALUE"""),0.0)</f>
        <v>0</v>
      </c>
      <c r="AW445" s="16">
        <f>IFERROR(__xludf.DUMMYFUNCTION("""COMPUTED_VALUE"""),2.2)</f>
        <v>2.2</v>
      </c>
      <c r="AX445" s="16">
        <f>IFERROR(__xludf.DUMMYFUNCTION("""COMPUTED_VALUE"""),0.4)</f>
        <v>0.4</v>
      </c>
      <c r="AY445" s="16">
        <f>IFERROR(__xludf.DUMMYFUNCTION("""COMPUTED_VALUE"""),0.0)</f>
        <v>0</v>
      </c>
      <c r="AZ445" s="16">
        <f>IFERROR(__xludf.DUMMYFUNCTION("""COMPUTED_VALUE"""),2.0)</f>
        <v>2</v>
      </c>
      <c r="BA445" s="16">
        <f>IFERROR(__xludf.DUMMYFUNCTION("""COMPUTED_VALUE"""),0.0)</f>
        <v>0</v>
      </c>
      <c r="BB445" s="16">
        <f>IFERROR(__xludf.DUMMYFUNCTION("""COMPUTED_VALUE"""),10.0)</f>
        <v>10</v>
      </c>
      <c r="BC445" s="16">
        <f>IFERROR(__xludf.DUMMYFUNCTION("""COMPUTED_VALUE"""),4.0)</f>
        <v>4</v>
      </c>
      <c r="BD445" s="16">
        <f>IFERROR(__xludf.DUMMYFUNCTION("""COMPUTED_VALUE"""),0.0)</f>
        <v>0</v>
      </c>
      <c r="BE445" s="16">
        <f>IFERROR(__xludf.DUMMYFUNCTION("""COMPUTED_VALUE"""),4.0)</f>
        <v>4</v>
      </c>
      <c r="BF445" s="16">
        <f>IFERROR(__xludf.DUMMYFUNCTION("""COMPUTED_VALUE"""),0.0)</f>
        <v>0</v>
      </c>
      <c r="BG445" s="16">
        <f>IFERROR(__xludf.DUMMYFUNCTION("""COMPUTED_VALUE"""),-1.0)</f>
        <v>-1</v>
      </c>
      <c r="BH445" s="16">
        <f>IFERROR(__xludf.DUMMYFUNCTION("""COMPUTED_VALUE"""),2.0)</f>
        <v>2</v>
      </c>
      <c r="BI445" s="16">
        <f>IFERROR(__xludf.DUMMYFUNCTION("""COMPUTED_VALUE"""),-2.0)</f>
        <v>-2</v>
      </c>
      <c r="BJ445" s="16">
        <f>IFERROR(__xludf.DUMMYFUNCTION("""COMPUTED_VALUE"""),4.0)</f>
        <v>4</v>
      </c>
      <c r="BK445" s="16">
        <f>IFERROR(__xludf.DUMMYFUNCTION("""COMPUTED_VALUE"""),5.0)</f>
        <v>5</v>
      </c>
      <c r="BL445" s="16">
        <f>IFERROR(__xludf.DUMMYFUNCTION("""COMPUTED_VALUE"""),5.0)</f>
        <v>5</v>
      </c>
      <c r="BM445" s="16">
        <f>IFERROR(__xludf.DUMMYFUNCTION("""COMPUTED_VALUE"""),0.0)</f>
        <v>0</v>
      </c>
      <c r="BN445" s="16">
        <f>IFERROR(__xludf.DUMMYFUNCTION("""COMPUTED_VALUE"""),0.0)</f>
        <v>0</v>
      </c>
      <c r="BO445" s="16">
        <f>IFERROR(__xludf.DUMMYFUNCTION("""COMPUTED_VALUE"""),0.0)</f>
        <v>0</v>
      </c>
      <c r="BP445" s="16">
        <f>IFERROR(__xludf.DUMMYFUNCTION("""COMPUTED_VALUE"""),0.0)</f>
        <v>0</v>
      </c>
      <c r="BQ445" s="16">
        <f>IFERROR(__xludf.DUMMYFUNCTION("""COMPUTED_VALUE"""),0.0)</f>
        <v>0</v>
      </c>
      <c r="BR445" s="16">
        <f>IFERROR(__xludf.DUMMYFUNCTION("""COMPUTED_VALUE"""),1.0)</f>
        <v>1</v>
      </c>
      <c r="BS445" s="16">
        <f>IFERROR(__xludf.DUMMYFUNCTION("""COMPUTED_VALUE"""),-3.0)</f>
        <v>-3</v>
      </c>
      <c r="BT445" s="16">
        <f>IFERROR(__xludf.DUMMYFUNCTION("""COMPUTED_VALUE"""),-2.0)</f>
        <v>-2</v>
      </c>
      <c r="BU445" s="16">
        <f>IFERROR(__xludf.DUMMYFUNCTION("""COMPUTED_VALUE"""),-6.0)</f>
        <v>-6</v>
      </c>
      <c r="BV445" s="16">
        <f>IFERROR(__xludf.DUMMYFUNCTION("""COMPUTED_VALUE"""),-4.0)</f>
        <v>-4</v>
      </c>
      <c r="BW445" s="16">
        <f>IFERROR(__xludf.DUMMYFUNCTION("""COMPUTED_VALUE"""),6.0)</f>
        <v>6</v>
      </c>
      <c r="BX445" s="16">
        <f>IFERROR(__xludf.DUMMYFUNCTION("""COMPUTED_VALUE"""),6.0)</f>
        <v>6</v>
      </c>
      <c r="BY445" s="16" t="str">
        <f>IFERROR(__xludf.DUMMYFUNCTION("""COMPUTED_VALUE"""),"S(5) R(3)")</f>
        <v>S(5) R(3)</v>
      </c>
      <c r="BZ445" s="16" t="str">
        <f>IFERROR(__xludf.DUMMYFUNCTION("""COMPUTED_VALUE"""),"S(5) R(3)")</f>
        <v>S(5) R(3)</v>
      </c>
      <c r="CA445" s="16" t="str">
        <f>IFERROR(__xludf.DUMMYFUNCTION("""COMPUTED_VALUE"""),"S(5)")</f>
        <v>S(5)</v>
      </c>
      <c r="CB445" s="16" t="str">
        <f>IFERROR(__xludf.DUMMYFUNCTION("""COMPUTED_VALUE"""),"R(3)")</f>
        <v>R(3)</v>
      </c>
      <c r="CC445" s="16"/>
      <c r="CD445" s="16">
        <f>IFERROR(__xludf.DUMMYFUNCTION("""COMPUTED_VALUE"""),5.0)</f>
        <v>5</v>
      </c>
      <c r="CE445" s="16">
        <f>IFERROR(__xludf.DUMMYFUNCTION("""COMPUTED_VALUE"""),3.0)</f>
        <v>3</v>
      </c>
      <c r="CF445" s="16"/>
      <c r="CG445" s="16" t="str">
        <f>IFERROR(__xludf.DUMMYFUNCTION("""COMPUTED_VALUE"""),"4-0")</f>
        <v>4-0</v>
      </c>
      <c r="CH445" s="16">
        <f>IFERROR(__xludf.DUMMYFUNCTION("""COMPUTED_VALUE"""),4.0)</f>
        <v>4</v>
      </c>
      <c r="CI445" s="16">
        <f>IFERROR(__xludf.DUMMYFUNCTION("""COMPUTED_VALUE"""),0.0)</f>
        <v>0</v>
      </c>
      <c r="CJ445" s="16">
        <f>IFERROR(__xludf.DUMMYFUNCTION("""COMPUTED_VALUE"""),0.0)</f>
        <v>0</v>
      </c>
      <c r="CK445" s="16">
        <f>IFERROR(__xludf.DUMMYFUNCTION("""COMPUTED_VALUE"""),0.0)</f>
        <v>0</v>
      </c>
      <c r="CL445" s="16" t="str">
        <f>IFERROR(__xludf.DUMMYFUNCTION("""COMPUTED_VALUE"""),"1WR-C")</f>
        <v>1WR-C</v>
      </c>
      <c r="CM445" s="16" t="str">
        <f>IFERROR(__xludf.DUMMYFUNCTION("""COMPUTED_VALUE"""),"E")</f>
        <v>E</v>
      </c>
      <c r="CN445" s="16">
        <f>IFERROR(__xludf.DUMMYFUNCTION("""COMPUTED_VALUE"""),10.0)</f>
        <v>10</v>
      </c>
      <c r="CO445" s="16" t="str">
        <f>IFERROR(__xludf.DUMMYFUNCTION("""COMPUTED_VALUE"""),"C")</f>
        <v>C</v>
      </c>
      <c r="CP445" s="16" t="str">
        <f>IFERROR(__xludf.DUMMYFUNCTION("""COMPUTED_VALUE"""),"1p20")</f>
        <v>1p20</v>
      </c>
      <c r="CQ445" s="16">
        <f>IFERROR(__xludf.DUMMYFUNCTION("""COMPUTED_VALUE"""),-38.0)</f>
        <v>-38</v>
      </c>
      <c r="CR445" s="16">
        <f>IFERROR(__xludf.DUMMYFUNCTION("""COMPUTED_VALUE"""),-10.0)</f>
        <v>-10</v>
      </c>
      <c r="CS445" s="16">
        <f>IFERROR(__xludf.DUMMYFUNCTION("""COMPUTED_VALUE"""),-48.0)</f>
        <v>-48</v>
      </c>
      <c r="CT445" s="16">
        <f>IFERROR(__xludf.DUMMYFUNCTION("""COMPUTED_VALUE"""),-38.0)</f>
        <v>-38</v>
      </c>
      <c r="CU445" s="16">
        <f>IFERROR(__xludf.DUMMYFUNCTION("""COMPUTED_VALUE"""),-10.0)</f>
        <v>-10</v>
      </c>
      <c r="CV445" s="179">
        <f>IFERROR(__xludf.DUMMYFUNCTION("""COMPUTED_VALUE"""),-21.666666666666668)</f>
        <v>-21.66666667</v>
      </c>
      <c r="CW445" s="179">
        <f>IFERROR(__xludf.DUMMYFUNCTION("""COMPUTED_VALUE"""),4.0)</f>
        <v>4</v>
      </c>
      <c r="CX445" s="179">
        <f>IFERROR(__xludf.DUMMYFUNCTION("""COMPUTED_VALUE"""),3.0)</f>
        <v>3</v>
      </c>
      <c r="CY445" s="16" t="str">
        <f>IFERROR(__xludf.DUMMYFUNCTION("""COMPUTED_VALUE"""),"SP")</f>
        <v>SP</v>
      </c>
      <c r="CZ445" s="16" t="str">
        <f>IFERROR(__xludf.DUMMYFUNCTION("""COMPUTED_VALUE"""),"RP")</f>
        <v>RP</v>
      </c>
      <c r="DA445" s="16"/>
      <c r="DB445" s="16"/>
      <c r="DC445" s="16"/>
      <c r="DD445" s="16"/>
      <c r="DE445" s="16"/>
      <c r="DF445" s="16"/>
      <c r="DG445" s="16"/>
      <c r="DH445" s="16"/>
      <c r="DI445" s="16"/>
      <c r="DJ445" s="16"/>
      <c r="DK445" s="16"/>
    </row>
    <row r="446">
      <c r="A446" s="16">
        <f>IFERROR(__xludf.DUMMYFUNCTION("""COMPUTED_VALUE"""),13060.0)</f>
        <v>13060</v>
      </c>
      <c r="B446" s="16" t="str">
        <f>IFERROR(__xludf.DUMMYFUNCTION("""COMPUTED_VALUE"""),"Justin Verlander")</f>
        <v>Justin Verlander</v>
      </c>
      <c r="C446" s="153">
        <f>IFERROR(__xludf.DUMMYFUNCTION("""COMPUTED_VALUE"""),0.0)</f>
        <v>0</v>
      </c>
      <c r="D446" s="16"/>
      <c r="E446" s="16" t="str">
        <f>IFERROR(__xludf.DUMMYFUNCTION("""COMPUTED_VALUE"""),"R")</f>
        <v>R</v>
      </c>
      <c r="F446" s="16">
        <f>IFERROR(__xludf.DUMMYFUNCTION("""COMPUTED_VALUE"""),90.0)</f>
        <v>90</v>
      </c>
      <c r="G446" s="16">
        <f>IFERROR(__xludf.DUMMYFUNCTION("""COMPUTED_VALUE"""),22.0)</f>
        <v>22</v>
      </c>
      <c r="H446" s="16">
        <f>IFERROR(__xludf.DUMMYFUNCTION("""COMPUTED_VALUE"""),10.0)</f>
        <v>10</v>
      </c>
      <c r="I446" s="16">
        <f>IFERROR(__xludf.DUMMYFUNCTION("""COMPUTED_VALUE"""),-1.0)</f>
        <v>-1</v>
      </c>
      <c r="J446" s="16">
        <f>IFERROR(__xludf.DUMMYFUNCTION("""COMPUTED_VALUE"""),-2.0)</f>
        <v>-2</v>
      </c>
      <c r="K446" s="16">
        <f>IFERROR(__xludf.DUMMYFUNCTION("""COMPUTED_VALUE"""),-3.0)</f>
        <v>-3</v>
      </c>
      <c r="L446" s="16">
        <f>IFERROR(__xludf.DUMMYFUNCTION("""COMPUTED_VALUE"""),-6.0)</f>
        <v>-6</v>
      </c>
      <c r="M446" s="16">
        <f>IFERROR(__xludf.DUMMYFUNCTION("""COMPUTED_VALUE"""),7.0)</f>
        <v>7</v>
      </c>
      <c r="N446" s="16">
        <f>IFERROR(__xludf.DUMMYFUNCTION("""COMPUTED_VALUE"""),6.0)</f>
        <v>6</v>
      </c>
      <c r="O446" s="16">
        <f>IFERROR(__xludf.DUMMYFUNCTION("""COMPUTED_VALUE"""),1.0)</f>
        <v>1</v>
      </c>
      <c r="P446" s="16">
        <f>IFERROR(__xludf.DUMMYFUNCTION("""COMPUTED_VALUE"""),1.0)</f>
        <v>1</v>
      </c>
      <c r="Q446" s="16">
        <f>IFERROR(__xludf.DUMMYFUNCTION("""COMPUTED_VALUE"""),1.0)</f>
        <v>1</v>
      </c>
      <c r="R446" s="16">
        <f>IFERROR(__xludf.DUMMYFUNCTION("""COMPUTED_VALUE"""),1.0)</f>
        <v>1</v>
      </c>
      <c r="S446" s="16">
        <f>IFERROR(__xludf.DUMMYFUNCTION("""COMPUTED_VALUE"""),15.3)</f>
        <v>15.3</v>
      </c>
      <c r="T446" s="16">
        <f>IFERROR(__xludf.DUMMYFUNCTION("""COMPUTED_VALUE"""),30.2)</f>
        <v>30.2</v>
      </c>
      <c r="U446" s="16">
        <f>IFERROR(__xludf.DUMMYFUNCTION("""COMPUTED_VALUE"""),0.0)</f>
        <v>0</v>
      </c>
      <c r="V446" s="16">
        <f>IFERROR(__xludf.DUMMYFUNCTION("""COMPUTED_VALUE"""),-2.0)</f>
        <v>-2</v>
      </c>
      <c r="W446" s="16">
        <f>IFERROR(__xludf.DUMMYFUNCTION("""COMPUTED_VALUE"""),0.0)</f>
        <v>0</v>
      </c>
      <c r="X446" s="16">
        <f>IFERROR(__xludf.DUMMYFUNCTION("""COMPUTED_VALUE"""),-4.0)</f>
        <v>-4</v>
      </c>
      <c r="Y446" s="16">
        <f>IFERROR(__xludf.DUMMYFUNCTION("""COMPUTED_VALUE"""),22.3)</f>
        <v>22.3</v>
      </c>
      <c r="Z446" s="16">
        <f>IFERROR(__xludf.DUMMYFUNCTION("""COMPUTED_VALUE"""),36.2)</f>
        <v>36.2</v>
      </c>
      <c r="AA446" s="16">
        <f>IFERROR(__xludf.DUMMYFUNCTION("""COMPUTED_VALUE"""),1.0)</f>
        <v>1</v>
      </c>
      <c r="AB446" s="16">
        <f>IFERROR(__xludf.DUMMYFUNCTION("""COMPUTED_VALUE"""),-2.0)</f>
        <v>-2</v>
      </c>
      <c r="AC446" s="16">
        <f>IFERROR(__xludf.DUMMYFUNCTION("""COMPUTED_VALUE"""),5.0)</f>
        <v>5</v>
      </c>
      <c r="AD446" s="16">
        <f>IFERROR(__xludf.DUMMYFUNCTION("""COMPUTED_VALUE"""),-10.0)</f>
        <v>-10</v>
      </c>
      <c r="AE446" s="16">
        <f>IFERROR(__xludf.DUMMYFUNCTION("""COMPUTED_VALUE"""),32.3)</f>
        <v>32.3</v>
      </c>
      <c r="AF446" s="16">
        <f>IFERROR(__xludf.DUMMYFUNCTION("""COMPUTED_VALUE"""),41.3)</f>
        <v>41.3</v>
      </c>
      <c r="AG446" s="16">
        <f>IFERROR(__xludf.DUMMYFUNCTION("""COMPUTED_VALUE"""),0.0)</f>
        <v>0</v>
      </c>
      <c r="AH446" s="16">
        <f>IFERROR(__xludf.DUMMYFUNCTION("""COMPUTED_VALUE"""),-1.0)</f>
        <v>-1</v>
      </c>
      <c r="AI446" s="16">
        <f>IFERROR(__xludf.DUMMYFUNCTION("""COMPUTED_VALUE"""),0.0)</f>
        <v>0</v>
      </c>
      <c r="AJ446" s="16">
        <f>IFERROR(__xludf.DUMMYFUNCTION("""COMPUTED_VALUE"""),-2.0)</f>
        <v>-2</v>
      </c>
      <c r="AK446" s="16">
        <f>IFERROR(__xludf.DUMMYFUNCTION("""COMPUTED_VALUE"""),10.8)</f>
        <v>10.8</v>
      </c>
      <c r="AL446" s="16">
        <f>IFERROR(__xludf.DUMMYFUNCTION("""COMPUTED_VALUE"""),28.8)</f>
        <v>28.8</v>
      </c>
      <c r="AM446" s="16">
        <f>IFERROR(__xludf.DUMMYFUNCTION("""COMPUTED_VALUE"""),0.0)</f>
        <v>0</v>
      </c>
      <c r="AN446" s="16">
        <f>IFERROR(__xludf.DUMMYFUNCTION("""COMPUTED_VALUE"""),-2.0)</f>
        <v>-2</v>
      </c>
      <c r="AO446" s="16">
        <f>IFERROR(__xludf.DUMMYFUNCTION("""COMPUTED_VALUE"""),0.0)</f>
        <v>0</v>
      </c>
      <c r="AP446" s="16">
        <f>IFERROR(__xludf.DUMMYFUNCTION("""COMPUTED_VALUE"""),-2.0)</f>
        <v>-2</v>
      </c>
      <c r="AQ446" s="16">
        <f>IFERROR(__xludf.DUMMYFUNCTION("""COMPUTED_VALUE"""),14.299999999999997)</f>
        <v>14.3</v>
      </c>
      <c r="AR446" s="16">
        <f>IFERROR(__xludf.DUMMYFUNCTION("""COMPUTED_VALUE"""),35.699999999999996)</f>
        <v>35.7</v>
      </c>
      <c r="AS446" s="16">
        <f>IFERROR(__xludf.DUMMYFUNCTION("""COMPUTED_VALUE"""),1.0)</f>
        <v>1</v>
      </c>
      <c r="AT446" s="16">
        <f>IFERROR(__xludf.DUMMYFUNCTION("""COMPUTED_VALUE"""),-2.0)</f>
        <v>-2</v>
      </c>
      <c r="AU446" s="16">
        <f>IFERROR(__xludf.DUMMYFUNCTION("""COMPUTED_VALUE"""),2.0)</f>
        <v>2</v>
      </c>
      <c r="AV446" s="16">
        <f>IFERROR(__xludf.DUMMYFUNCTION("""COMPUTED_VALUE"""),-4.0)</f>
        <v>-4</v>
      </c>
      <c r="AW446" s="16">
        <f>IFERROR(__xludf.DUMMYFUNCTION("""COMPUTED_VALUE"""),4.5)</f>
        <v>4.5</v>
      </c>
      <c r="AX446" s="16">
        <f>IFERROR(__xludf.DUMMYFUNCTION("""COMPUTED_VALUE"""),1.4)</f>
        <v>1.4</v>
      </c>
      <c r="AY446" s="16">
        <f>IFERROR(__xludf.DUMMYFUNCTION("""COMPUTED_VALUE"""),-2.0)</f>
        <v>-2</v>
      </c>
      <c r="AZ446" s="16">
        <f>IFERROR(__xludf.DUMMYFUNCTION("""COMPUTED_VALUE"""),1.0)</f>
        <v>1</v>
      </c>
      <c r="BA446" s="16">
        <f>IFERROR(__xludf.DUMMYFUNCTION("""COMPUTED_VALUE"""),-10.0)</f>
        <v>-10</v>
      </c>
      <c r="BB446" s="16">
        <f>IFERROR(__xludf.DUMMYFUNCTION("""COMPUTED_VALUE"""),5.0)</f>
        <v>5</v>
      </c>
      <c r="BC446" s="16">
        <f>IFERROR(__xludf.DUMMYFUNCTION("""COMPUTED_VALUE"""),7.0)</f>
        <v>7</v>
      </c>
      <c r="BD446" s="16">
        <f>IFERROR(__xludf.DUMMYFUNCTION("""COMPUTED_VALUE"""),2.0)</f>
        <v>2</v>
      </c>
      <c r="BE446" s="16">
        <f>IFERROR(__xludf.DUMMYFUNCTION("""COMPUTED_VALUE"""),7.0)</f>
        <v>7</v>
      </c>
      <c r="BF446" s="16">
        <f>IFERROR(__xludf.DUMMYFUNCTION("""COMPUTED_VALUE"""),2.0)</f>
        <v>2</v>
      </c>
      <c r="BG446" s="16">
        <f>IFERROR(__xludf.DUMMYFUNCTION("""COMPUTED_VALUE"""),-3.0)</f>
        <v>-3</v>
      </c>
      <c r="BH446" s="16">
        <f>IFERROR(__xludf.DUMMYFUNCTION("""COMPUTED_VALUE"""),1.0)</f>
        <v>1</v>
      </c>
      <c r="BI446" s="16">
        <f>IFERROR(__xludf.DUMMYFUNCTION("""COMPUTED_VALUE"""),-6.0)</f>
        <v>-6</v>
      </c>
      <c r="BJ446" s="16">
        <f>IFERROR(__xludf.DUMMYFUNCTION("""COMPUTED_VALUE"""),2.0)</f>
        <v>2</v>
      </c>
      <c r="BK446" s="16">
        <f>IFERROR(__xludf.DUMMYFUNCTION("""COMPUTED_VALUE"""),5.0)</f>
        <v>5</v>
      </c>
      <c r="BL446" s="16">
        <f>IFERROR(__xludf.DUMMYFUNCTION("""COMPUTED_VALUE"""),5.0)</f>
        <v>5</v>
      </c>
      <c r="BM446" s="16">
        <f>IFERROR(__xludf.DUMMYFUNCTION("""COMPUTED_VALUE"""),0.0)</f>
        <v>0</v>
      </c>
      <c r="BN446" s="16">
        <f>IFERROR(__xludf.DUMMYFUNCTION("""COMPUTED_VALUE"""),0.0)</f>
        <v>0</v>
      </c>
      <c r="BO446" s="16">
        <f>IFERROR(__xludf.DUMMYFUNCTION("""COMPUTED_VALUE"""),0.0)</f>
        <v>0</v>
      </c>
      <c r="BP446" s="16">
        <f>IFERROR(__xludf.DUMMYFUNCTION("""COMPUTED_VALUE"""),0.0)</f>
        <v>0</v>
      </c>
      <c r="BQ446" s="16">
        <f>IFERROR(__xludf.DUMMYFUNCTION("""COMPUTED_VALUE"""),0.0)</f>
        <v>0</v>
      </c>
      <c r="BR446" s="16">
        <f>IFERROR(__xludf.DUMMYFUNCTION("""COMPUTED_VALUE"""),0.0)</f>
        <v>0</v>
      </c>
      <c r="BS446" s="16">
        <f>IFERROR(__xludf.DUMMYFUNCTION("""COMPUTED_VALUE"""),-3.0)</f>
        <v>-3</v>
      </c>
      <c r="BT446" s="16">
        <f>IFERROR(__xludf.DUMMYFUNCTION("""COMPUTED_VALUE"""),-3.0)</f>
        <v>-3</v>
      </c>
      <c r="BU446" s="16">
        <f>IFERROR(__xludf.DUMMYFUNCTION("""COMPUTED_VALUE"""),-6.0)</f>
        <v>-6</v>
      </c>
      <c r="BV446" s="16">
        <f>IFERROR(__xludf.DUMMYFUNCTION("""COMPUTED_VALUE"""),-6.0)</f>
        <v>-6</v>
      </c>
      <c r="BW446" s="16">
        <f>IFERROR(__xludf.DUMMYFUNCTION("""COMPUTED_VALUE"""),0.0)</f>
        <v>0</v>
      </c>
      <c r="BX446" s="16">
        <f>IFERROR(__xludf.DUMMYFUNCTION("""COMPUTED_VALUE"""),0.0)</f>
        <v>0</v>
      </c>
      <c r="BY446" s="16" t="str">
        <f>IFERROR(__xludf.DUMMYFUNCTION("""COMPUTED_VALUE"""),"S(5)")</f>
        <v>S(5)</v>
      </c>
      <c r="BZ446" s="16" t="str">
        <f>IFERROR(__xludf.DUMMYFUNCTION("""COMPUTED_VALUE"""),"S(5)")</f>
        <v>S(5)</v>
      </c>
      <c r="CA446" s="16" t="str">
        <f>IFERROR(__xludf.DUMMYFUNCTION("""COMPUTED_VALUE"""),"S(5)")</f>
        <v>S(5)</v>
      </c>
      <c r="CB446" s="16"/>
      <c r="CC446" s="16"/>
      <c r="CD446" s="16">
        <f>IFERROR(__xludf.DUMMYFUNCTION("""COMPUTED_VALUE"""),5.0)</f>
        <v>5</v>
      </c>
      <c r="CE446" s="16"/>
      <c r="CF446" s="16"/>
      <c r="CG446" s="16" t="str">
        <f>IFERROR(__xludf.DUMMYFUNCTION("""COMPUTED_VALUE"""),"3-0")</f>
        <v>3-0</v>
      </c>
      <c r="CH446" s="16">
        <f>IFERROR(__xludf.DUMMYFUNCTION("""COMPUTED_VALUE"""),3.0)</f>
        <v>3</v>
      </c>
      <c r="CI446" s="16">
        <f>IFERROR(__xludf.DUMMYFUNCTION("""COMPUTED_VALUE"""),0.0)</f>
        <v>0</v>
      </c>
      <c r="CJ446" s="16">
        <f>IFERROR(__xludf.DUMMYFUNCTION("""COMPUTED_VALUE"""),4.0)</f>
        <v>4</v>
      </c>
      <c r="CK446" s="16">
        <f>IFERROR(__xludf.DUMMYFUNCTION("""COMPUTED_VALUE"""),4.0)</f>
        <v>4</v>
      </c>
      <c r="CL446" s="16" t="str">
        <f>IFERROR(__xludf.DUMMYFUNCTION("""COMPUTED_VALUE"""),"1WR-C")</f>
        <v>1WR-C</v>
      </c>
      <c r="CM446" s="16" t="str">
        <f>IFERROR(__xludf.DUMMYFUNCTION("""COMPUTED_VALUE"""),"E")</f>
        <v>E</v>
      </c>
      <c r="CN446" s="16">
        <f>IFERROR(__xludf.DUMMYFUNCTION("""COMPUTED_VALUE"""),10.0)</f>
        <v>10</v>
      </c>
      <c r="CO446" s="16" t="str">
        <f>IFERROR(__xludf.DUMMYFUNCTION("""COMPUTED_VALUE"""),"C")</f>
        <v>C</v>
      </c>
      <c r="CP446" s="16" t="str">
        <f>IFERROR(__xludf.DUMMYFUNCTION("""COMPUTED_VALUE"""),"4p50")</f>
        <v>4p50</v>
      </c>
      <c r="CQ446" s="16">
        <f>IFERROR(__xludf.DUMMYFUNCTION("""COMPUTED_VALUE"""),-17.0)</f>
        <v>-17</v>
      </c>
      <c r="CR446" s="16">
        <f>IFERROR(__xludf.DUMMYFUNCTION("""COMPUTED_VALUE"""),-26.0)</f>
        <v>-26</v>
      </c>
      <c r="CS446" s="16">
        <f>IFERROR(__xludf.DUMMYFUNCTION("""COMPUTED_VALUE"""),-43.0)</f>
        <v>-43</v>
      </c>
      <c r="CT446" s="16">
        <f>IFERROR(__xludf.DUMMYFUNCTION("""COMPUTED_VALUE"""),-17.0)</f>
        <v>-17</v>
      </c>
      <c r="CU446" s="16">
        <f>IFERROR(__xludf.DUMMYFUNCTION("""COMPUTED_VALUE"""),-26.0)</f>
        <v>-26</v>
      </c>
      <c r="CV446" s="179">
        <f>IFERROR(__xludf.DUMMYFUNCTION("""COMPUTED_VALUE"""),-22.0)</f>
        <v>-22</v>
      </c>
      <c r="CW446" s="179">
        <f>IFERROR(__xludf.DUMMYFUNCTION("""COMPUTED_VALUE"""),1.0)</f>
        <v>1</v>
      </c>
      <c r="CX446" s="179">
        <f>IFERROR(__xludf.DUMMYFUNCTION("""COMPUTED_VALUE"""),0.0)</f>
        <v>0</v>
      </c>
      <c r="CY446" s="16" t="str">
        <f>IFERROR(__xludf.DUMMYFUNCTION("""COMPUTED_VALUE"""),"SP")</f>
        <v>SP</v>
      </c>
      <c r="CZ446" s="16"/>
      <c r="DA446" s="16"/>
      <c r="DB446" s="16"/>
      <c r="DC446" s="16"/>
      <c r="DD446" s="16"/>
      <c r="DE446" s="16"/>
      <c r="DF446" s="16"/>
      <c r="DG446" s="16"/>
      <c r="DH446" s="16"/>
      <c r="DI446" s="16"/>
      <c r="DJ446" s="16"/>
      <c r="DK446" s="16"/>
    </row>
    <row r="447">
      <c r="A447" s="16">
        <f>IFERROR(__xludf.DUMMYFUNCTION("""COMPUTED_VALUE"""),12800.0)</f>
        <v>12800</v>
      </c>
      <c r="B447" s="16" t="str">
        <f>IFERROR(__xludf.DUMMYFUNCTION("""COMPUTED_VALUE"""),"Enyel De Los Santos")</f>
        <v>Enyel De Los Santos</v>
      </c>
      <c r="C447" s="153">
        <f>IFERROR(__xludf.DUMMYFUNCTION("""COMPUTED_VALUE"""),0.05)</f>
        <v>0.05</v>
      </c>
      <c r="D447" s="16"/>
      <c r="E447" s="16" t="str">
        <f>IFERROR(__xludf.DUMMYFUNCTION("""COMPUTED_VALUE"""),"R")</f>
        <v>R</v>
      </c>
      <c r="F447" s="16">
        <f>IFERROR(__xludf.DUMMYFUNCTION("""COMPUTED_VALUE"""),64.0)</f>
        <v>64</v>
      </c>
      <c r="G447" s="16">
        <f>IFERROR(__xludf.DUMMYFUNCTION("""COMPUTED_VALUE"""),18.0)</f>
        <v>18</v>
      </c>
      <c r="H447" s="16">
        <f>IFERROR(__xludf.DUMMYFUNCTION("""COMPUTED_VALUE"""),31.0)</f>
        <v>31</v>
      </c>
      <c r="I447" s="16">
        <f>IFERROR(__xludf.DUMMYFUNCTION("""COMPUTED_VALUE"""),-1.0)</f>
        <v>-1</v>
      </c>
      <c r="J447" s="16">
        <f>IFERROR(__xludf.DUMMYFUNCTION("""COMPUTED_VALUE"""),0.0)</f>
        <v>0</v>
      </c>
      <c r="K447" s="16">
        <f>IFERROR(__xludf.DUMMYFUNCTION("""COMPUTED_VALUE"""),-3.0)</f>
        <v>-3</v>
      </c>
      <c r="L447" s="16">
        <f>IFERROR(__xludf.DUMMYFUNCTION("""COMPUTED_VALUE"""),0.0)</f>
        <v>0</v>
      </c>
      <c r="M447" s="16">
        <f>IFERROR(__xludf.DUMMYFUNCTION("""COMPUTED_VALUE"""),14.0)</f>
        <v>14</v>
      </c>
      <c r="N447" s="16">
        <f>IFERROR(__xludf.DUMMYFUNCTION("""COMPUTED_VALUE"""),9.0)</f>
        <v>9</v>
      </c>
      <c r="O447" s="16">
        <f>IFERROR(__xludf.DUMMYFUNCTION("""COMPUTED_VALUE"""),-2.0)</f>
        <v>-2</v>
      </c>
      <c r="P447" s="16">
        <f>IFERROR(__xludf.DUMMYFUNCTION("""COMPUTED_VALUE"""),0.0)</f>
        <v>0</v>
      </c>
      <c r="Q447" s="16">
        <f>IFERROR(__xludf.DUMMYFUNCTION("""COMPUTED_VALUE"""),-2.0)</f>
        <v>-2</v>
      </c>
      <c r="R447" s="16">
        <f>IFERROR(__xludf.DUMMYFUNCTION("""COMPUTED_VALUE"""),0.0)</f>
        <v>0</v>
      </c>
      <c r="S447" s="16">
        <f>IFERROR(__xludf.DUMMYFUNCTION("""COMPUTED_VALUE"""),17.6)</f>
        <v>17.6</v>
      </c>
      <c r="T447" s="16">
        <f>IFERROR(__xludf.DUMMYFUNCTION("""COMPUTED_VALUE"""),16.6)</f>
        <v>16.6</v>
      </c>
      <c r="U447" s="16">
        <f>IFERROR(__xludf.DUMMYFUNCTION("""COMPUTED_VALUE"""),0.0)</f>
        <v>0</v>
      </c>
      <c r="V447" s="16">
        <f>IFERROR(__xludf.DUMMYFUNCTION("""COMPUTED_VALUE"""),0.0)</f>
        <v>0</v>
      </c>
      <c r="W447" s="16">
        <f>IFERROR(__xludf.DUMMYFUNCTION("""COMPUTED_VALUE"""),0.0)</f>
        <v>0</v>
      </c>
      <c r="X447" s="16">
        <f>IFERROR(__xludf.DUMMYFUNCTION("""COMPUTED_VALUE"""),0.0)</f>
        <v>0</v>
      </c>
      <c r="Y447" s="16">
        <f>IFERROR(__xludf.DUMMYFUNCTION("""COMPUTED_VALUE"""),31.6)</f>
        <v>31.6</v>
      </c>
      <c r="Z447" s="16">
        <f>IFERROR(__xludf.DUMMYFUNCTION("""COMPUTED_VALUE"""),25.6)</f>
        <v>25.6</v>
      </c>
      <c r="AA447" s="16">
        <f>IFERROR(__xludf.DUMMYFUNCTION("""COMPUTED_VALUE"""),-1.0)</f>
        <v>-1</v>
      </c>
      <c r="AB447" s="16">
        <f>IFERROR(__xludf.DUMMYFUNCTION("""COMPUTED_VALUE"""),0.0)</f>
        <v>0</v>
      </c>
      <c r="AC447" s="16">
        <f>IFERROR(__xludf.DUMMYFUNCTION("""COMPUTED_VALUE"""),-5.0)</f>
        <v>-5</v>
      </c>
      <c r="AD447" s="16">
        <f>IFERROR(__xludf.DUMMYFUNCTION("""COMPUTED_VALUE"""),0.0)</f>
        <v>0</v>
      </c>
      <c r="AE447" s="16">
        <f>IFERROR(__xludf.DUMMYFUNCTION("""COMPUTED_VALUE"""),49.3)</f>
        <v>49.3</v>
      </c>
      <c r="AF447" s="16">
        <f>IFERROR(__xludf.DUMMYFUNCTION("""COMPUTED_VALUE"""),43.3)</f>
        <v>43.3</v>
      </c>
      <c r="AG447" s="16">
        <f>IFERROR(__xludf.DUMMYFUNCTION("""COMPUTED_VALUE"""),-2.0)</f>
        <v>-2</v>
      </c>
      <c r="AH447" s="16">
        <f>IFERROR(__xludf.DUMMYFUNCTION("""COMPUTED_VALUE"""),-2.0)</f>
        <v>-2</v>
      </c>
      <c r="AI447" s="16">
        <f>IFERROR(__xludf.DUMMYFUNCTION("""COMPUTED_VALUE"""),-4.0)</f>
        <v>-4</v>
      </c>
      <c r="AJ447" s="16">
        <f>IFERROR(__xludf.DUMMYFUNCTION("""COMPUTED_VALUE"""),-4.0)</f>
        <v>-4</v>
      </c>
      <c r="AK447" s="16">
        <f>IFERROR(__xludf.DUMMYFUNCTION("""COMPUTED_VALUE"""),10.000000000000002)</f>
        <v>10</v>
      </c>
      <c r="AL447" s="16">
        <f>IFERROR(__xludf.DUMMYFUNCTION("""COMPUTED_VALUE"""),11.100000000000001)</f>
        <v>11.1</v>
      </c>
      <c r="AM447" s="16">
        <f>IFERROR(__xludf.DUMMYFUNCTION("""COMPUTED_VALUE"""),1.0)</f>
        <v>1</v>
      </c>
      <c r="AN447" s="16">
        <f>IFERROR(__xludf.DUMMYFUNCTION("""COMPUTED_VALUE"""),1.0)</f>
        <v>1</v>
      </c>
      <c r="AO447" s="16">
        <f>IFERROR(__xludf.DUMMYFUNCTION("""COMPUTED_VALUE"""),1.0)</f>
        <v>1</v>
      </c>
      <c r="AP447" s="16">
        <f>IFERROR(__xludf.DUMMYFUNCTION("""COMPUTED_VALUE"""),1.0)</f>
        <v>1</v>
      </c>
      <c r="AQ447" s="16">
        <f>IFERROR(__xludf.DUMMYFUNCTION("""COMPUTED_VALUE"""),18.9)</f>
        <v>18.9</v>
      </c>
      <c r="AR447" s="16">
        <f>IFERROR(__xludf.DUMMYFUNCTION("""COMPUTED_VALUE"""),21.299999999999997)</f>
        <v>21.3</v>
      </c>
      <c r="AS447" s="16">
        <f>IFERROR(__xludf.DUMMYFUNCTION("""COMPUTED_VALUE"""),0.0)</f>
        <v>0</v>
      </c>
      <c r="AT447" s="16">
        <f>IFERROR(__xludf.DUMMYFUNCTION("""COMPUTED_VALUE"""),0.0)</f>
        <v>0</v>
      </c>
      <c r="AU447" s="16">
        <f>IFERROR(__xludf.DUMMYFUNCTION("""COMPUTED_VALUE"""),0.0)</f>
        <v>0</v>
      </c>
      <c r="AV447" s="16">
        <f>IFERROR(__xludf.DUMMYFUNCTION("""COMPUTED_VALUE"""),0.0)</f>
        <v>0</v>
      </c>
      <c r="AW447" s="16">
        <f>IFERROR(__xludf.DUMMYFUNCTION("""COMPUTED_VALUE"""),7.6)</f>
        <v>7.6</v>
      </c>
      <c r="AX447" s="16">
        <f>IFERROR(__xludf.DUMMYFUNCTION("""COMPUTED_VALUE"""),5.5)</f>
        <v>5.5</v>
      </c>
      <c r="AY447" s="16">
        <f>IFERROR(__xludf.DUMMYFUNCTION("""COMPUTED_VALUE"""),-3.0)</f>
        <v>-3</v>
      </c>
      <c r="AZ447" s="16">
        <f>IFERROR(__xludf.DUMMYFUNCTION("""COMPUTED_VALUE"""),-3.0)</f>
        <v>-3</v>
      </c>
      <c r="BA447" s="16">
        <f>IFERROR(__xludf.DUMMYFUNCTION("""COMPUTED_VALUE"""),-15.0)</f>
        <v>-15</v>
      </c>
      <c r="BB447" s="16">
        <f>IFERROR(__xludf.DUMMYFUNCTION("""COMPUTED_VALUE"""),-15.0)</f>
        <v>-15</v>
      </c>
      <c r="BC447" s="16">
        <f>IFERROR(__xludf.DUMMYFUNCTION("""COMPUTED_VALUE"""),8.0)</f>
        <v>8</v>
      </c>
      <c r="BD447" s="16">
        <f>IFERROR(__xludf.DUMMYFUNCTION("""COMPUTED_VALUE"""),8.0)</f>
        <v>8</v>
      </c>
      <c r="BE447" s="16">
        <f>IFERROR(__xludf.DUMMYFUNCTION("""COMPUTED_VALUE"""),8.0)</f>
        <v>8</v>
      </c>
      <c r="BF447" s="16">
        <f>IFERROR(__xludf.DUMMYFUNCTION("""COMPUTED_VALUE"""),8.0)</f>
        <v>8</v>
      </c>
      <c r="BG447" s="16">
        <f>IFERROR(__xludf.DUMMYFUNCTION("""COMPUTED_VALUE"""),-3.0)</f>
        <v>-3</v>
      </c>
      <c r="BH447" s="16">
        <f>IFERROR(__xludf.DUMMYFUNCTION("""COMPUTED_VALUE"""),-3.0)</f>
        <v>-3</v>
      </c>
      <c r="BI447" s="16">
        <f>IFERROR(__xludf.DUMMYFUNCTION("""COMPUTED_VALUE"""),-6.0)</f>
        <v>-6</v>
      </c>
      <c r="BJ447" s="16">
        <f>IFERROR(__xludf.DUMMYFUNCTION("""COMPUTED_VALUE"""),-6.0)</f>
        <v>-6</v>
      </c>
      <c r="BK447" s="16">
        <f>IFERROR(__xludf.DUMMYFUNCTION("""COMPUTED_VALUE"""),5.0)</f>
        <v>5</v>
      </c>
      <c r="BL447" s="16">
        <f>IFERROR(__xludf.DUMMYFUNCTION("""COMPUTED_VALUE"""),5.0)</f>
        <v>5</v>
      </c>
      <c r="BM447" s="16">
        <f>IFERROR(__xludf.DUMMYFUNCTION("""COMPUTED_VALUE"""),0.0)</f>
        <v>0</v>
      </c>
      <c r="BN447" s="16">
        <f>IFERROR(__xludf.DUMMYFUNCTION("""COMPUTED_VALUE"""),0.0)</f>
        <v>0</v>
      </c>
      <c r="BO447" s="16">
        <f>IFERROR(__xludf.DUMMYFUNCTION("""COMPUTED_VALUE"""),0.0)</f>
        <v>0</v>
      </c>
      <c r="BP447" s="16">
        <f>IFERROR(__xludf.DUMMYFUNCTION("""COMPUTED_VALUE"""),0.0)</f>
        <v>0</v>
      </c>
      <c r="BQ447" s="16">
        <f>IFERROR(__xludf.DUMMYFUNCTION("""COMPUTED_VALUE"""),7.0)</f>
        <v>7</v>
      </c>
      <c r="BR447" s="16">
        <f>IFERROR(__xludf.DUMMYFUNCTION("""COMPUTED_VALUE"""),7.0)</f>
        <v>7</v>
      </c>
      <c r="BS447" s="16">
        <f>IFERROR(__xludf.DUMMYFUNCTION("""COMPUTED_VALUE"""),2.0)</f>
        <v>2</v>
      </c>
      <c r="BT447" s="16">
        <f>IFERROR(__xludf.DUMMYFUNCTION("""COMPUTED_VALUE"""),2.0)</f>
        <v>2</v>
      </c>
      <c r="BU447" s="16">
        <f>IFERROR(__xludf.DUMMYFUNCTION("""COMPUTED_VALUE"""),4.0)</f>
        <v>4</v>
      </c>
      <c r="BV447" s="16">
        <f>IFERROR(__xludf.DUMMYFUNCTION("""COMPUTED_VALUE"""),4.0)</f>
        <v>4</v>
      </c>
      <c r="BW447" s="16">
        <f>IFERROR(__xludf.DUMMYFUNCTION("""COMPUTED_VALUE"""),-3.0)</f>
        <v>-3</v>
      </c>
      <c r="BX447" s="16">
        <f>IFERROR(__xludf.DUMMYFUNCTION("""COMPUTED_VALUE"""),-3.0)</f>
        <v>-3</v>
      </c>
      <c r="BY447" s="16" t="str">
        <f>IFERROR(__xludf.DUMMYFUNCTION("""COMPUTED_VALUE"""),"R(1) C(1)")</f>
        <v>R(1) C(1)</v>
      </c>
      <c r="BZ447" s="16" t="str">
        <f>IFERROR(__xludf.DUMMYFUNCTION("""COMPUTED_VALUE"""),"R(1) C(1)")</f>
        <v>R(1) C(1)</v>
      </c>
      <c r="CA447" s="16" t="str">
        <f>IFERROR(__xludf.DUMMYFUNCTION("""COMPUTED_VALUE"""),"R(1)")</f>
        <v>R(1)</v>
      </c>
      <c r="CB447" s="16" t="str">
        <f>IFERROR(__xludf.DUMMYFUNCTION("""COMPUTED_VALUE"""),"C(1)")</f>
        <v>C(1)</v>
      </c>
      <c r="CC447" s="16"/>
      <c r="CD447" s="16"/>
      <c r="CE447" s="16">
        <f>IFERROR(__xludf.DUMMYFUNCTION("""COMPUTED_VALUE"""),1.0)</f>
        <v>1</v>
      </c>
      <c r="CF447" s="16">
        <f>IFERROR(__xludf.DUMMYFUNCTION("""COMPUTED_VALUE"""),1.0)</f>
        <v>1</v>
      </c>
      <c r="CG447" s="16" t="str">
        <f>IFERROR(__xludf.DUMMYFUNCTION("""COMPUTED_VALUE"""),"2-22")</f>
        <v>2-22</v>
      </c>
      <c r="CH447" s="16">
        <f>IFERROR(__xludf.DUMMYFUNCTION("""COMPUTED_VALUE"""),2.0)</f>
        <v>2</v>
      </c>
      <c r="CI447" s="16">
        <f>IFERROR(__xludf.DUMMYFUNCTION("""COMPUTED_VALUE"""),22.0)</f>
        <v>22</v>
      </c>
      <c r="CJ447" s="16">
        <f>IFERROR(__xludf.DUMMYFUNCTION("""COMPUTED_VALUE"""),0.0)</f>
        <v>0</v>
      </c>
      <c r="CK447" s="16">
        <f>IFERROR(__xludf.DUMMYFUNCTION("""COMPUTED_VALUE"""),6.0)</f>
        <v>6</v>
      </c>
      <c r="CL447" s="16" t="str">
        <f>IFERROR(__xludf.DUMMYFUNCTION("""COMPUTED_VALUE"""),"1WR-C")</f>
        <v>1WR-C</v>
      </c>
      <c r="CM447" s="16" t="str">
        <f>IFERROR(__xludf.DUMMYFUNCTION("""COMPUTED_VALUE"""),"E")</f>
        <v>E</v>
      </c>
      <c r="CN447" s="16">
        <f>IFERROR(__xludf.DUMMYFUNCTION("""COMPUTED_VALUE"""),10.0)</f>
        <v>10</v>
      </c>
      <c r="CO447" s="16" t="str">
        <f>IFERROR(__xludf.DUMMYFUNCTION("""COMPUTED_VALUE"""),"C")</f>
        <v>C</v>
      </c>
      <c r="CP447" s="16" t="str">
        <f>IFERROR(__xludf.DUMMYFUNCTION("""COMPUTED_VALUE"""),"1p50")</f>
        <v>1p50</v>
      </c>
      <c r="CQ447" s="16">
        <f>IFERROR(__xludf.DUMMYFUNCTION("""COMPUTED_VALUE"""),-30.0)</f>
        <v>-30</v>
      </c>
      <c r="CR447" s="16">
        <f>IFERROR(__xludf.DUMMYFUNCTION("""COMPUTED_VALUE"""),-20.0)</f>
        <v>-20</v>
      </c>
      <c r="CS447" s="16">
        <f>IFERROR(__xludf.DUMMYFUNCTION("""COMPUTED_VALUE"""),-50.0)</f>
        <v>-50</v>
      </c>
      <c r="CT447" s="16">
        <f>IFERROR(__xludf.DUMMYFUNCTION("""COMPUTED_VALUE"""),-30.0)</f>
        <v>-30</v>
      </c>
      <c r="CU447" s="16">
        <f>IFERROR(__xludf.DUMMYFUNCTION("""COMPUTED_VALUE"""),-20.0)</f>
        <v>-20</v>
      </c>
      <c r="CV447" s="179">
        <f>IFERROR(__xludf.DUMMYFUNCTION("""COMPUTED_VALUE"""),-22.666666666666668)</f>
        <v>-22.66666667</v>
      </c>
      <c r="CW447" s="179">
        <f>IFERROR(__xludf.DUMMYFUNCTION("""COMPUTED_VALUE"""),4.0)</f>
        <v>4</v>
      </c>
      <c r="CX447" s="179">
        <f>IFERROR(__xludf.DUMMYFUNCTION("""COMPUTED_VALUE"""),0.0)</f>
        <v>0</v>
      </c>
      <c r="CY447" s="16" t="str">
        <f>IFERROR(__xludf.DUMMYFUNCTION("""COMPUTED_VALUE"""),"RP")</f>
        <v>RP</v>
      </c>
      <c r="CZ447" s="16" t="str">
        <f>IFERROR(__xludf.DUMMYFUNCTION("""COMPUTED_VALUE"""),"CP")</f>
        <v>CP</v>
      </c>
      <c r="DA447" s="16"/>
      <c r="DB447" s="16"/>
      <c r="DC447" s="16"/>
      <c r="DD447" s="16"/>
      <c r="DE447" s="16"/>
      <c r="DF447" s="16"/>
      <c r="DG447" s="16"/>
      <c r="DH447" s="16"/>
      <c r="DI447" s="16"/>
      <c r="DJ447" s="16"/>
      <c r="DK447" s="16"/>
    </row>
    <row r="448">
      <c r="A448" s="16">
        <f>IFERROR(__xludf.DUMMYFUNCTION("""COMPUTED_VALUE"""),13442.0)</f>
        <v>13442</v>
      </c>
      <c r="B448" s="16" t="str">
        <f>IFERROR(__xludf.DUMMYFUNCTION("""COMPUTED_VALUE"""),"Triston McKenzie")</f>
        <v>Triston McKenzie</v>
      </c>
      <c r="C448" s="153">
        <f>IFERROR(__xludf.DUMMYFUNCTION("""COMPUTED_VALUE"""),0.0)</f>
        <v>0</v>
      </c>
      <c r="D448" s="16"/>
      <c r="E448" s="16" t="str">
        <f>IFERROR(__xludf.DUMMYFUNCTION("""COMPUTED_VALUE"""),"R")</f>
        <v>R</v>
      </c>
      <c r="F448" s="16">
        <f>IFERROR(__xludf.DUMMYFUNCTION("""COMPUTED_VALUE"""),76.0)</f>
        <v>76</v>
      </c>
      <c r="G448" s="16">
        <f>IFERROR(__xludf.DUMMYFUNCTION("""COMPUTED_VALUE"""),20.0)</f>
        <v>20</v>
      </c>
      <c r="H448" s="16">
        <f>IFERROR(__xludf.DUMMYFUNCTION("""COMPUTED_VALUE"""),22.0)</f>
        <v>22</v>
      </c>
      <c r="I448" s="16">
        <f>IFERROR(__xludf.DUMMYFUNCTION("""COMPUTED_VALUE"""),-1.0)</f>
        <v>-1</v>
      </c>
      <c r="J448" s="16">
        <f>IFERROR(__xludf.DUMMYFUNCTION("""COMPUTED_VALUE"""),-1.0)</f>
        <v>-1</v>
      </c>
      <c r="K448" s="16">
        <f>IFERROR(__xludf.DUMMYFUNCTION("""COMPUTED_VALUE"""),-3.0)</f>
        <v>-3</v>
      </c>
      <c r="L448" s="16">
        <f>IFERROR(__xludf.DUMMYFUNCTION("""COMPUTED_VALUE"""),-3.0)</f>
        <v>-3</v>
      </c>
      <c r="M448" s="16">
        <f>IFERROR(__xludf.DUMMYFUNCTION("""COMPUTED_VALUE"""),15.0)</f>
        <v>15</v>
      </c>
      <c r="N448" s="16">
        <f>IFERROR(__xludf.DUMMYFUNCTION("""COMPUTED_VALUE"""),29.0)</f>
        <v>29</v>
      </c>
      <c r="O448" s="16">
        <f>IFERROR(__xludf.DUMMYFUNCTION("""COMPUTED_VALUE"""),-2.0)</f>
        <v>-2</v>
      </c>
      <c r="P448" s="16">
        <f>IFERROR(__xludf.DUMMYFUNCTION("""COMPUTED_VALUE"""),-3.0)</f>
        <v>-3</v>
      </c>
      <c r="Q448" s="16">
        <f>IFERROR(__xludf.DUMMYFUNCTION("""COMPUTED_VALUE"""),-2.0)</f>
        <v>-2</v>
      </c>
      <c r="R448" s="16">
        <f>IFERROR(__xludf.DUMMYFUNCTION("""COMPUTED_VALUE"""),-3.0)</f>
        <v>-3</v>
      </c>
      <c r="S448" s="16">
        <f>IFERROR(__xludf.DUMMYFUNCTION("""COMPUTED_VALUE"""),9.3)</f>
        <v>9.3</v>
      </c>
      <c r="T448" s="16">
        <f>IFERROR(__xludf.DUMMYFUNCTION("""COMPUTED_VALUE"""),11.9)</f>
        <v>11.9</v>
      </c>
      <c r="U448" s="16">
        <f>IFERROR(__xludf.DUMMYFUNCTION("""COMPUTED_VALUE"""),1.0)</f>
        <v>1</v>
      </c>
      <c r="V448" s="16">
        <f>IFERROR(__xludf.DUMMYFUNCTION("""COMPUTED_VALUE"""),1.0)</f>
        <v>1</v>
      </c>
      <c r="W448" s="16">
        <f>IFERROR(__xludf.DUMMYFUNCTION("""COMPUTED_VALUE"""),2.0)</f>
        <v>2</v>
      </c>
      <c r="X448" s="16">
        <f>IFERROR(__xludf.DUMMYFUNCTION("""COMPUTED_VALUE"""),2.0)</f>
        <v>2</v>
      </c>
      <c r="Y448" s="16">
        <f>IFERROR(__xludf.DUMMYFUNCTION("""COMPUTED_VALUE"""),24.3)</f>
        <v>24.3</v>
      </c>
      <c r="Z448" s="16">
        <f>IFERROR(__xludf.DUMMYFUNCTION("""COMPUTED_VALUE"""),41.0)</f>
        <v>41</v>
      </c>
      <c r="AA448" s="16">
        <f>IFERROR(__xludf.DUMMYFUNCTION("""COMPUTED_VALUE"""),0.0)</f>
        <v>0</v>
      </c>
      <c r="AB448" s="16">
        <f>IFERROR(__xludf.DUMMYFUNCTION("""COMPUTED_VALUE"""),-2.0)</f>
        <v>-2</v>
      </c>
      <c r="AC448" s="16">
        <f>IFERROR(__xludf.DUMMYFUNCTION("""COMPUTED_VALUE"""),0.0)</f>
        <v>0</v>
      </c>
      <c r="AD448" s="16">
        <f>IFERROR(__xludf.DUMMYFUNCTION("""COMPUTED_VALUE"""),-10.0)</f>
        <v>-10</v>
      </c>
      <c r="AE448" s="16">
        <f>IFERROR(__xludf.DUMMYFUNCTION("""COMPUTED_VALUE"""),25.8)</f>
        <v>25.8</v>
      </c>
      <c r="AF448" s="16">
        <f>IFERROR(__xludf.DUMMYFUNCTION("""COMPUTED_VALUE"""),33.7)</f>
        <v>33.7</v>
      </c>
      <c r="AG448" s="16">
        <f>IFERROR(__xludf.DUMMYFUNCTION("""COMPUTED_VALUE"""),0.0)</f>
        <v>0</v>
      </c>
      <c r="AH448" s="16">
        <f>IFERROR(__xludf.DUMMYFUNCTION("""COMPUTED_VALUE"""),-1.0)</f>
        <v>-1</v>
      </c>
      <c r="AI448" s="16">
        <f>IFERROR(__xludf.DUMMYFUNCTION("""COMPUTED_VALUE"""),0.0)</f>
        <v>0</v>
      </c>
      <c r="AJ448" s="16">
        <f>IFERROR(__xludf.DUMMYFUNCTION("""COMPUTED_VALUE"""),-2.0)</f>
        <v>-2</v>
      </c>
      <c r="AK448" s="16">
        <f>IFERROR(__xludf.DUMMYFUNCTION("""COMPUTED_VALUE"""),4.800000000000001)</f>
        <v>4.8</v>
      </c>
      <c r="AL448" s="16">
        <f>IFERROR(__xludf.DUMMYFUNCTION("""COMPUTED_VALUE"""),5.300000000000001)</f>
        <v>5.3</v>
      </c>
      <c r="AM448" s="16">
        <f>IFERROR(__xludf.DUMMYFUNCTION("""COMPUTED_VALUE"""),2.0)</f>
        <v>2</v>
      </c>
      <c r="AN448" s="16">
        <f>IFERROR(__xludf.DUMMYFUNCTION("""COMPUTED_VALUE"""),2.0)</f>
        <v>2</v>
      </c>
      <c r="AO448" s="16">
        <f>IFERROR(__xludf.DUMMYFUNCTION("""COMPUTED_VALUE"""),2.0)</f>
        <v>2</v>
      </c>
      <c r="AP448" s="16">
        <f>IFERROR(__xludf.DUMMYFUNCTION("""COMPUTED_VALUE"""),2.0)</f>
        <v>2</v>
      </c>
      <c r="AQ448" s="16">
        <f>IFERROR(__xludf.DUMMYFUNCTION("""COMPUTED_VALUE"""),7.800000000000001)</f>
        <v>7.8</v>
      </c>
      <c r="AR448" s="16">
        <f>IFERROR(__xludf.DUMMYFUNCTION("""COMPUTED_VALUE"""),7.300000000000004)</f>
        <v>7.3</v>
      </c>
      <c r="AS448" s="16">
        <f>IFERROR(__xludf.DUMMYFUNCTION("""COMPUTED_VALUE"""),1.0)</f>
        <v>1</v>
      </c>
      <c r="AT448" s="16">
        <f>IFERROR(__xludf.DUMMYFUNCTION("""COMPUTED_VALUE"""),2.0)</f>
        <v>2</v>
      </c>
      <c r="AU448" s="16">
        <f>IFERROR(__xludf.DUMMYFUNCTION("""COMPUTED_VALUE"""),2.0)</f>
        <v>2</v>
      </c>
      <c r="AV448" s="16">
        <f>IFERROR(__xludf.DUMMYFUNCTION("""COMPUTED_VALUE"""),4.0)</f>
        <v>4</v>
      </c>
      <c r="AW448" s="16">
        <f>IFERROR(__xludf.DUMMYFUNCTION("""COMPUTED_VALUE"""),4.5)</f>
        <v>4.5</v>
      </c>
      <c r="AX448" s="16">
        <f>IFERROR(__xludf.DUMMYFUNCTION("""COMPUTED_VALUE"""),6.6)</f>
        <v>6.6</v>
      </c>
      <c r="AY448" s="16">
        <f>IFERROR(__xludf.DUMMYFUNCTION("""COMPUTED_VALUE"""),-2.0)</f>
        <v>-2</v>
      </c>
      <c r="AZ448" s="16">
        <f>IFERROR(__xludf.DUMMYFUNCTION("""COMPUTED_VALUE"""),-3.0)</f>
        <v>-3</v>
      </c>
      <c r="BA448" s="16">
        <f>IFERROR(__xludf.DUMMYFUNCTION("""COMPUTED_VALUE"""),-10.0)</f>
        <v>-10</v>
      </c>
      <c r="BB448" s="16">
        <f>IFERROR(__xludf.DUMMYFUNCTION("""COMPUTED_VALUE"""),-15.0)</f>
        <v>-15</v>
      </c>
      <c r="BC448" s="16">
        <f>IFERROR(__xludf.DUMMYFUNCTION("""COMPUTED_VALUE"""),8.0)</f>
        <v>8</v>
      </c>
      <c r="BD448" s="16">
        <f>IFERROR(__xludf.DUMMYFUNCTION("""COMPUTED_VALUE"""),8.0)</f>
        <v>8</v>
      </c>
      <c r="BE448" s="16">
        <f>IFERROR(__xludf.DUMMYFUNCTION("""COMPUTED_VALUE"""),8.0)</f>
        <v>8</v>
      </c>
      <c r="BF448" s="16">
        <f>IFERROR(__xludf.DUMMYFUNCTION("""COMPUTED_VALUE"""),8.0)</f>
        <v>8</v>
      </c>
      <c r="BG448" s="16">
        <f>IFERROR(__xludf.DUMMYFUNCTION("""COMPUTED_VALUE"""),-3.0)</f>
        <v>-3</v>
      </c>
      <c r="BH448" s="16">
        <f>IFERROR(__xludf.DUMMYFUNCTION("""COMPUTED_VALUE"""),-3.0)</f>
        <v>-3</v>
      </c>
      <c r="BI448" s="16">
        <f>IFERROR(__xludf.DUMMYFUNCTION("""COMPUTED_VALUE"""),-6.0)</f>
        <v>-6</v>
      </c>
      <c r="BJ448" s="16">
        <f>IFERROR(__xludf.DUMMYFUNCTION("""COMPUTED_VALUE"""),-6.0)</f>
        <v>-6</v>
      </c>
      <c r="BK448" s="16">
        <f>IFERROR(__xludf.DUMMYFUNCTION("""COMPUTED_VALUE"""),5.0)</f>
        <v>5</v>
      </c>
      <c r="BL448" s="16">
        <f>IFERROR(__xludf.DUMMYFUNCTION("""COMPUTED_VALUE"""),5.0)</f>
        <v>5</v>
      </c>
      <c r="BM448" s="16">
        <f>IFERROR(__xludf.DUMMYFUNCTION("""COMPUTED_VALUE"""),0.0)</f>
        <v>0</v>
      </c>
      <c r="BN448" s="16">
        <f>IFERROR(__xludf.DUMMYFUNCTION("""COMPUTED_VALUE"""),0.0)</f>
        <v>0</v>
      </c>
      <c r="BO448" s="16">
        <f>IFERROR(__xludf.DUMMYFUNCTION("""COMPUTED_VALUE"""),0.0)</f>
        <v>0</v>
      </c>
      <c r="BP448" s="16">
        <f>IFERROR(__xludf.DUMMYFUNCTION("""COMPUTED_VALUE"""),0.0)</f>
        <v>0</v>
      </c>
      <c r="BQ448" s="16">
        <f>IFERROR(__xludf.DUMMYFUNCTION("""COMPUTED_VALUE"""),10.0)</f>
        <v>10</v>
      </c>
      <c r="BR448" s="16">
        <f>IFERROR(__xludf.DUMMYFUNCTION("""COMPUTED_VALUE"""),0.0)</f>
        <v>0</v>
      </c>
      <c r="BS448" s="16">
        <f>IFERROR(__xludf.DUMMYFUNCTION("""COMPUTED_VALUE"""),3.0)</f>
        <v>3</v>
      </c>
      <c r="BT448" s="16">
        <f>IFERROR(__xludf.DUMMYFUNCTION("""COMPUTED_VALUE"""),-3.0)</f>
        <v>-3</v>
      </c>
      <c r="BU448" s="16">
        <f>IFERROR(__xludf.DUMMYFUNCTION("""COMPUTED_VALUE"""),6.0)</f>
        <v>6</v>
      </c>
      <c r="BV448" s="16">
        <f>IFERROR(__xludf.DUMMYFUNCTION("""COMPUTED_VALUE"""),-6.0)</f>
        <v>-6</v>
      </c>
      <c r="BW448" s="16">
        <f>IFERROR(__xludf.DUMMYFUNCTION("""COMPUTED_VALUE"""),3.0)</f>
        <v>3</v>
      </c>
      <c r="BX448" s="16">
        <f>IFERROR(__xludf.DUMMYFUNCTION("""COMPUTED_VALUE"""),3.0)</f>
        <v>3</v>
      </c>
      <c r="BY448" s="16" t="str">
        <f>IFERROR(__xludf.DUMMYFUNCTION("""COMPUTED_VALUE"""),"S(5)")</f>
        <v>S(5)</v>
      </c>
      <c r="BZ448" s="16" t="str">
        <f>IFERROR(__xludf.DUMMYFUNCTION("""COMPUTED_VALUE"""),"S(5)")</f>
        <v>S(5)</v>
      </c>
      <c r="CA448" s="16" t="str">
        <f>IFERROR(__xludf.DUMMYFUNCTION("""COMPUTED_VALUE"""),"S(5)")</f>
        <v>S(5)</v>
      </c>
      <c r="CB448" s="16"/>
      <c r="CC448" s="16"/>
      <c r="CD448" s="16">
        <f>IFERROR(__xludf.DUMMYFUNCTION("""COMPUTED_VALUE"""),5.0)</f>
        <v>5</v>
      </c>
      <c r="CE448" s="16"/>
      <c r="CF448" s="16"/>
      <c r="CG448" s="16" t="str">
        <f>IFERROR(__xludf.DUMMYFUNCTION("""COMPUTED_VALUE"""),"4-19")</f>
        <v>4-19</v>
      </c>
      <c r="CH448" s="16">
        <f>IFERROR(__xludf.DUMMYFUNCTION("""COMPUTED_VALUE"""),4.0)</f>
        <v>4</v>
      </c>
      <c r="CI448" s="16">
        <f>IFERROR(__xludf.DUMMYFUNCTION("""COMPUTED_VALUE"""),19.0)</f>
        <v>19</v>
      </c>
      <c r="CJ448" s="16">
        <f>IFERROR(__xludf.DUMMYFUNCTION("""COMPUTED_VALUE"""),0.0)</f>
        <v>0</v>
      </c>
      <c r="CK448" s="16">
        <f>IFERROR(__xludf.DUMMYFUNCTION("""COMPUTED_VALUE"""),14.0)</f>
        <v>14</v>
      </c>
      <c r="CL448" s="16" t="str">
        <f>IFERROR(__xludf.DUMMYFUNCTION("""COMPUTED_VALUE"""),"1WR-C")</f>
        <v>1WR-C</v>
      </c>
      <c r="CM448" s="16" t="str">
        <f>IFERROR(__xludf.DUMMYFUNCTION("""COMPUTED_VALUE"""),"E")</f>
        <v>E</v>
      </c>
      <c r="CN448" s="16">
        <f>IFERROR(__xludf.DUMMYFUNCTION("""COMPUTED_VALUE"""),10.0)</f>
        <v>10</v>
      </c>
      <c r="CO448" s="16" t="str">
        <f>IFERROR(__xludf.DUMMYFUNCTION("""COMPUTED_VALUE"""),"C")</f>
        <v>C</v>
      </c>
      <c r="CP448" s="16" t="str">
        <f>IFERROR(__xludf.DUMMYFUNCTION("""COMPUTED_VALUE"""),"1p40")</f>
        <v>1p40</v>
      </c>
      <c r="CQ448" s="16">
        <f>IFERROR(__xludf.DUMMYFUNCTION("""COMPUTED_VALUE"""),-9.0)</f>
        <v>-9</v>
      </c>
      <c r="CR448" s="16">
        <f>IFERROR(__xludf.DUMMYFUNCTION("""COMPUTED_VALUE"""),-37.0)</f>
        <v>-37</v>
      </c>
      <c r="CS448" s="16">
        <f>IFERROR(__xludf.DUMMYFUNCTION("""COMPUTED_VALUE"""),-46.0)</f>
        <v>-46</v>
      </c>
      <c r="CT448" s="16">
        <f>IFERROR(__xludf.DUMMYFUNCTION("""COMPUTED_VALUE"""),-9.0)</f>
        <v>-9</v>
      </c>
      <c r="CU448" s="16">
        <f>IFERROR(__xludf.DUMMYFUNCTION("""COMPUTED_VALUE"""),-37.0)</f>
        <v>-37</v>
      </c>
      <c r="CV448" s="179">
        <f>IFERROR(__xludf.DUMMYFUNCTION("""COMPUTED_VALUE"""),-22.666666666666668)</f>
        <v>-22.66666667</v>
      </c>
      <c r="CW448" s="179">
        <f>IFERROR(__xludf.DUMMYFUNCTION("""COMPUTED_VALUE"""),4.0)</f>
        <v>4</v>
      </c>
      <c r="CX448" s="179">
        <f>IFERROR(__xludf.DUMMYFUNCTION("""COMPUTED_VALUE"""),1.0)</f>
        <v>1</v>
      </c>
      <c r="CY448" s="16" t="str">
        <f>IFERROR(__xludf.DUMMYFUNCTION("""COMPUTED_VALUE"""),"SP")</f>
        <v>SP</v>
      </c>
      <c r="CZ448" s="16"/>
      <c r="DA448" s="16"/>
      <c r="DB448" s="16"/>
      <c r="DC448" s="16"/>
      <c r="DD448" s="16"/>
      <c r="DE448" s="16"/>
      <c r="DF448" s="16"/>
      <c r="DG448" s="16"/>
      <c r="DH448" s="16"/>
      <c r="DI448" s="16"/>
      <c r="DJ448" s="16"/>
      <c r="DK448" s="16"/>
    </row>
    <row r="449">
      <c r="A449" s="16">
        <f>IFERROR(__xludf.DUMMYFUNCTION("""COMPUTED_VALUE"""),13091.0)</f>
        <v>13091</v>
      </c>
      <c r="B449" s="16" t="str">
        <f>IFERROR(__xludf.DUMMYFUNCTION("""COMPUTED_VALUE"""),"Kyle Freeland")</f>
        <v>Kyle Freeland</v>
      </c>
      <c r="C449" s="153">
        <f>IFERROR(__xludf.DUMMYFUNCTION("""COMPUTED_VALUE"""),0.0)</f>
        <v>0</v>
      </c>
      <c r="D449" s="16"/>
      <c r="E449" s="16" t="str">
        <f>IFERROR(__xludf.DUMMYFUNCTION("""COMPUTED_VALUE"""),"L")</f>
        <v>L</v>
      </c>
      <c r="F449" s="16">
        <f>IFERROR(__xludf.DUMMYFUNCTION("""COMPUTED_VALUE"""),113.0)</f>
        <v>113</v>
      </c>
      <c r="G449" s="16">
        <f>IFERROR(__xludf.DUMMYFUNCTION("""COMPUTED_VALUE"""),12.0)</f>
        <v>12</v>
      </c>
      <c r="H449" s="16">
        <f>IFERROR(__xludf.DUMMYFUNCTION("""COMPUTED_VALUE"""),14.0)</f>
        <v>14</v>
      </c>
      <c r="I449" s="16">
        <f>IFERROR(__xludf.DUMMYFUNCTION("""COMPUTED_VALUE"""),-2.0)</f>
        <v>-2</v>
      </c>
      <c r="J449" s="16">
        <f>IFERROR(__xludf.DUMMYFUNCTION("""COMPUTED_VALUE"""),-2.0)</f>
        <v>-2</v>
      </c>
      <c r="K449" s="16">
        <f>IFERROR(__xludf.DUMMYFUNCTION("""COMPUTED_VALUE"""),-6.0)</f>
        <v>-6</v>
      </c>
      <c r="L449" s="16">
        <f>IFERROR(__xludf.DUMMYFUNCTION("""COMPUTED_VALUE"""),-6.0)</f>
        <v>-6</v>
      </c>
      <c r="M449" s="16">
        <f>IFERROR(__xludf.DUMMYFUNCTION("""COMPUTED_VALUE"""),2.0)</f>
        <v>2</v>
      </c>
      <c r="N449" s="16">
        <f>IFERROR(__xludf.DUMMYFUNCTION("""COMPUTED_VALUE"""),3.0)</f>
        <v>3</v>
      </c>
      <c r="O449" s="16">
        <f>IFERROR(__xludf.DUMMYFUNCTION("""COMPUTED_VALUE"""),2.0)</f>
        <v>2</v>
      </c>
      <c r="P449" s="16">
        <f>IFERROR(__xludf.DUMMYFUNCTION("""COMPUTED_VALUE"""),2.0)</f>
        <v>2</v>
      </c>
      <c r="Q449" s="16">
        <f>IFERROR(__xludf.DUMMYFUNCTION("""COMPUTED_VALUE"""),2.0)</f>
        <v>2</v>
      </c>
      <c r="R449" s="16">
        <f>IFERROR(__xludf.DUMMYFUNCTION("""COMPUTED_VALUE"""),2.0)</f>
        <v>2</v>
      </c>
      <c r="S449" s="16">
        <f>IFERROR(__xludf.DUMMYFUNCTION("""COMPUTED_VALUE"""),25.1)</f>
        <v>25.1</v>
      </c>
      <c r="T449" s="16">
        <f>IFERROR(__xludf.DUMMYFUNCTION("""COMPUTED_VALUE"""),24.4)</f>
        <v>24.4</v>
      </c>
      <c r="U449" s="16">
        <f>IFERROR(__xludf.DUMMYFUNCTION("""COMPUTED_VALUE"""),-2.0)</f>
        <v>-2</v>
      </c>
      <c r="V449" s="16">
        <f>IFERROR(__xludf.DUMMYFUNCTION("""COMPUTED_VALUE"""),-2.0)</f>
        <v>-2</v>
      </c>
      <c r="W449" s="16">
        <f>IFERROR(__xludf.DUMMYFUNCTION("""COMPUTED_VALUE"""),-4.0)</f>
        <v>-4</v>
      </c>
      <c r="X449" s="16">
        <f>IFERROR(__xludf.DUMMYFUNCTION("""COMPUTED_VALUE"""),-4.0)</f>
        <v>-4</v>
      </c>
      <c r="Y449" s="16">
        <f>IFERROR(__xludf.DUMMYFUNCTION("""COMPUTED_VALUE"""),27.1)</f>
        <v>27.1</v>
      </c>
      <c r="Z449" s="16">
        <f>IFERROR(__xludf.DUMMYFUNCTION("""COMPUTED_VALUE"""),27.4)</f>
        <v>27.4</v>
      </c>
      <c r="AA449" s="16">
        <f>IFERROR(__xludf.DUMMYFUNCTION("""COMPUTED_VALUE"""),0.0)</f>
        <v>0</v>
      </c>
      <c r="AB449" s="16">
        <f>IFERROR(__xludf.DUMMYFUNCTION("""COMPUTED_VALUE"""),0.0)</f>
        <v>0</v>
      </c>
      <c r="AC449" s="16">
        <f>IFERROR(__xludf.DUMMYFUNCTION("""COMPUTED_VALUE"""),0.0)</f>
        <v>0</v>
      </c>
      <c r="AD449" s="16">
        <f>IFERROR(__xludf.DUMMYFUNCTION("""COMPUTED_VALUE"""),0.0)</f>
        <v>0</v>
      </c>
      <c r="AE449" s="16">
        <f>IFERROR(__xludf.DUMMYFUNCTION("""COMPUTED_VALUE"""),45.5)</f>
        <v>45.5</v>
      </c>
      <c r="AF449" s="16">
        <f>IFERROR(__xludf.DUMMYFUNCTION("""COMPUTED_VALUE"""),44.3)</f>
        <v>44.3</v>
      </c>
      <c r="AG449" s="16">
        <f>IFERROR(__xludf.DUMMYFUNCTION("""COMPUTED_VALUE"""),-2.0)</f>
        <v>-2</v>
      </c>
      <c r="AH449" s="16">
        <f>IFERROR(__xludf.DUMMYFUNCTION("""COMPUTED_VALUE"""),-2.0)</f>
        <v>-2</v>
      </c>
      <c r="AI449" s="16">
        <f>IFERROR(__xludf.DUMMYFUNCTION("""COMPUTED_VALUE"""),-4.0)</f>
        <v>-4</v>
      </c>
      <c r="AJ449" s="16">
        <f>IFERROR(__xludf.DUMMYFUNCTION("""COMPUTED_VALUE"""),-4.0)</f>
        <v>-4</v>
      </c>
      <c r="AK449" s="16">
        <f>IFERROR(__xludf.DUMMYFUNCTION("""COMPUTED_VALUE"""),21.5)</f>
        <v>21.5</v>
      </c>
      <c r="AL449" s="16">
        <f>IFERROR(__xludf.DUMMYFUNCTION("""COMPUTED_VALUE"""),20.799999999999997)</f>
        <v>20.8</v>
      </c>
      <c r="AM449" s="16">
        <f>IFERROR(__xludf.DUMMYFUNCTION("""COMPUTED_VALUE"""),-2.0)</f>
        <v>-2</v>
      </c>
      <c r="AN449" s="16">
        <f>IFERROR(__xludf.DUMMYFUNCTION("""COMPUTED_VALUE"""),-1.0)</f>
        <v>-1</v>
      </c>
      <c r="AO449" s="16">
        <f>IFERROR(__xludf.DUMMYFUNCTION("""COMPUTED_VALUE"""),-2.0)</f>
        <v>-2</v>
      </c>
      <c r="AP449" s="16">
        <f>IFERROR(__xludf.DUMMYFUNCTION("""COMPUTED_VALUE"""),-1.0)</f>
        <v>-1</v>
      </c>
      <c r="AQ449" s="16">
        <f>IFERROR(__xludf.DUMMYFUNCTION("""COMPUTED_VALUE"""),31.1)</f>
        <v>31.1</v>
      </c>
      <c r="AR449" s="16">
        <f>IFERROR(__xludf.DUMMYFUNCTION("""COMPUTED_VALUE"""),29.9)</f>
        <v>29.9</v>
      </c>
      <c r="AS449" s="16">
        <f>IFERROR(__xludf.DUMMYFUNCTION("""COMPUTED_VALUE"""),-1.0)</f>
        <v>-1</v>
      </c>
      <c r="AT449" s="16">
        <f>IFERROR(__xludf.DUMMYFUNCTION("""COMPUTED_VALUE"""),-1.0)</f>
        <v>-1</v>
      </c>
      <c r="AU449" s="16">
        <f>IFERROR(__xludf.DUMMYFUNCTION("""COMPUTED_VALUE"""),-2.0)</f>
        <v>-2</v>
      </c>
      <c r="AV449" s="16">
        <f>IFERROR(__xludf.DUMMYFUNCTION("""COMPUTED_VALUE"""),-2.0)</f>
        <v>-2</v>
      </c>
      <c r="AW449" s="16">
        <f>IFERROR(__xludf.DUMMYFUNCTION("""COMPUTED_VALUE"""),3.6)</f>
        <v>3.6</v>
      </c>
      <c r="AX449" s="16">
        <f>IFERROR(__xludf.DUMMYFUNCTION("""COMPUTED_VALUE"""),3.6)</f>
        <v>3.6</v>
      </c>
      <c r="AY449" s="16">
        <f>IFERROR(__xludf.DUMMYFUNCTION("""COMPUTED_VALUE"""),-2.0)</f>
        <v>-2</v>
      </c>
      <c r="AZ449" s="16">
        <f>IFERROR(__xludf.DUMMYFUNCTION("""COMPUTED_VALUE"""),-2.0)</f>
        <v>-2</v>
      </c>
      <c r="BA449" s="16">
        <f>IFERROR(__xludf.DUMMYFUNCTION("""COMPUTED_VALUE"""),-10.0)</f>
        <v>-10</v>
      </c>
      <c r="BB449" s="16">
        <f>IFERROR(__xludf.DUMMYFUNCTION("""COMPUTED_VALUE"""),-10.0)</f>
        <v>-10</v>
      </c>
      <c r="BC449" s="16">
        <f>IFERROR(__xludf.DUMMYFUNCTION("""COMPUTED_VALUE"""),6.0)</f>
        <v>6</v>
      </c>
      <c r="BD449" s="16">
        <f>IFERROR(__xludf.DUMMYFUNCTION("""COMPUTED_VALUE"""),5.0)</f>
        <v>5</v>
      </c>
      <c r="BE449" s="16">
        <f>IFERROR(__xludf.DUMMYFUNCTION("""COMPUTED_VALUE"""),6.0)</f>
        <v>6</v>
      </c>
      <c r="BF449" s="16">
        <f>IFERROR(__xludf.DUMMYFUNCTION("""COMPUTED_VALUE"""),5.0)</f>
        <v>5</v>
      </c>
      <c r="BG449" s="16">
        <f>IFERROR(__xludf.DUMMYFUNCTION("""COMPUTED_VALUE"""),-3.0)</f>
        <v>-3</v>
      </c>
      <c r="BH449" s="16">
        <f>IFERROR(__xludf.DUMMYFUNCTION("""COMPUTED_VALUE"""),-2.0)</f>
        <v>-2</v>
      </c>
      <c r="BI449" s="16">
        <f>IFERROR(__xludf.DUMMYFUNCTION("""COMPUTED_VALUE"""),-6.0)</f>
        <v>-6</v>
      </c>
      <c r="BJ449" s="16">
        <f>IFERROR(__xludf.DUMMYFUNCTION("""COMPUTED_VALUE"""),-4.0)</f>
        <v>-4</v>
      </c>
      <c r="BK449" s="16">
        <f>IFERROR(__xludf.DUMMYFUNCTION("""COMPUTED_VALUE"""),5.0)</f>
        <v>5</v>
      </c>
      <c r="BL449" s="16">
        <f>IFERROR(__xludf.DUMMYFUNCTION("""COMPUTED_VALUE"""),5.0)</f>
        <v>5</v>
      </c>
      <c r="BM449" s="16">
        <f>IFERROR(__xludf.DUMMYFUNCTION("""COMPUTED_VALUE"""),0.0)</f>
        <v>0</v>
      </c>
      <c r="BN449" s="16">
        <f>IFERROR(__xludf.DUMMYFUNCTION("""COMPUTED_VALUE"""),0.0)</f>
        <v>0</v>
      </c>
      <c r="BO449" s="16">
        <f>IFERROR(__xludf.DUMMYFUNCTION("""COMPUTED_VALUE"""),0.0)</f>
        <v>0</v>
      </c>
      <c r="BP449" s="16">
        <f>IFERROR(__xludf.DUMMYFUNCTION("""COMPUTED_VALUE"""),0.0)</f>
        <v>0</v>
      </c>
      <c r="BQ449" s="16">
        <f>IFERROR(__xludf.DUMMYFUNCTION("""COMPUTED_VALUE"""),9.0)</f>
        <v>9</v>
      </c>
      <c r="BR449" s="16">
        <f>IFERROR(__xludf.DUMMYFUNCTION("""COMPUTED_VALUE"""),8.0)</f>
        <v>8</v>
      </c>
      <c r="BS449" s="16">
        <f>IFERROR(__xludf.DUMMYFUNCTION("""COMPUTED_VALUE"""),3.0)</f>
        <v>3</v>
      </c>
      <c r="BT449" s="16">
        <f>IFERROR(__xludf.DUMMYFUNCTION("""COMPUTED_VALUE"""),2.0)</f>
        <v>2</v>
      </c>
      <c r="BU449" s="16">
        <f>IFERROR(__xludf.DUMMYFUNCTION("""COMPUTED_VALUE"""),6.0)</f>
        <v>6</v>
      </c>
      <c r="BV449" s="16">
        <f>IFERROR(__xludf.DUMMYFUNCTION("""COMPUTED_VALUE"""),4.0)</f>
        <v>4</v>
      </c>
      <c r="BW449" s="16">
        <f>IFERROR(__xludf.DUMMYFUNCTION("""COMPUTED_VALUE"""),-1.0)</f>
        <v>-1</v>
      </c>
      <c r="BX449" s="16">
        <f>IFERROR(__xludf.DUMMYFUNCTION("""COMPUTED_VALUE"""),-1.0)</f>
        <v>-1</v>
      </c>
      <c r="BY449" s="16" t="str">
        <f>IFERROR(__xludf.DUMMYFUNCTION("""COMPUTED_VALUE"""),"S(5)")</f>
        <v>S(5)</v>
      </c>
      <c r="BZ449" s="16" t="str">
        <f>IFERROR(__xludf.DUMMYFUNCTION("""COMPUTED_VALUE"""),"S(5)")</f>
        <v>S(5)</v>
      </c>
      <c r="CA449" s="16" t="str">
        <f>IFERROR(__xludf.DUMMYFUNCTION("""COMPUTED_VALUE"""),"S(5)")</f>
        <v>S(5)</v>
      </c>
      <c r="CB449" s="16"/>
      <c r="CC449" s="16"/>
      <c r="CD449" s="16">
        <f>IFERROR(__xludf.DUMMYFUNCTION("""COMPUTED_VALUE"""),5.0)</f>
        <v>5</v>
      </c>
      <c r="CE449" s="16"/>
      <c r="CF449" s="16"/>
      <c r="CG449" s="16" t="str">
        <f>IFERROR(__xludf.DUMMYFUNCTION("""COMPUTED_VALUE"""),"3-13")</f>
        <v>3-13</v>
      </c>
      <c r="CH449" s="16">
        <f>IFERROR(__xludf.DUMMYFUNCTION("""COMPUTED_VALUE"""),3.0)</f>
        <v>3</v>
      </c>
      <c r="CI449" s="16">
        <f>IFERROR(__xludf.DUMMYFUNCTION("""COMPUTED_VALUE"""),13.0)</f>
        <v>13</v>
      </c>
      <c r="CJ449" s="16">
        <f>IFERROR(__xludf.DUMMYFUNCTION("""COMPUTED_VALUE"""),0.0)</f>
        <v>0</v>
      </c>
      <c r="CK449" s="16">
        <f>IFERROR(__xludf.DUMMYFUNCTION("""COMPUTED_VALUE"""),1.0)</f>
        <v>1</v>
      </c>
      <c r="CL449" s="16" t="str">
        <f>IFERROR(__xludf.DUMMYFUNCTION("""COMPUTED_VALUE"""),"1WL-C")</f>
        <v>1WL-C</v>
      </c>
      <c r="CM449" s="16" t="str">
        <f>IFERROR(__xludf.DUMMYFUNCTION("""COMPUTED_VALUE"""),"E")</f>
        <v>E</v>
      </c>
      <c r="CN449" s="16">
        <f>IFERROR(__xludf.DUMMYFUNCTION("""COMPUTED_VALUE"""),13.0)</f>
        <v>13</v>
      </c>
      <c r="CO449" s="16" t="str">
        <f>IFERROR(__xludf.DUMMYFUNCTION("""COMPUTED_VALUE"""),"C")</f>
        <v>C</v>
      </c>
      <c r="CP449" s="16" t="str">
        <f>IFERROR(__xludf.DUMMYFUNCTION("""COMPUTED_VALUE"""),"3p60")</f>
        <v>3p60</v>
      </c>
      <c r="CQ449" s="16">
        <f>IFERROR(__xludf.DUMMYFUNCTION("""COMPUTED_VALUE"""),-26.0)</f>
        <v>-26</v>
      </c>
      <c r="CR449" s="16">
        <f>IFERROR(__xludf.DUMMYFUNCTION("""COMPUTED_VALUE"""),-25.0)</f>
        <v>-25</v>
      </c>
      <c r="CS449" s="16">
        <f>IFERROR(__xludf.DUMMYFUNCTION("""COMPUTED_VALUE"""),-51.0)</f>
        <v>-51</v>
      </c>
      <c r="CT449" s="16">
        <f>IFERROR(__xludf.DUMMYFUNCTION("""COMPUTED_VALUE"""),-26.0)</f>
        <v>-26</v>
      </c>
      <c r="CU449" s="16">
        <f>IFERROR(__xludf.DUMMYFUNCTION("""COMPUTED_VALUE"""),-25.0)</f>
        <v>-25</v>
      </c>
      <c r="CV449" s="179">
        <f>IFERROR(__xludf.DUMMYFUNCTION("""COMPUTED_VALUE"""),-22.666666666666668)</f>
        <v>-22.66666667</v>
      </c>
      <c r="CW449" s="179">
        <f>IFERROR(__xludf.DUMMYFUNCTION("""COMPUTED_VALUE"""),2.0)</f>
        <v>2</v>
      </c>
      <c r="CX449" s="179">
        <f>IFERROR(__xludf.DUMMYFUNCTION("""COMPUTED_VALUE"""),1.0)</f>
        <v>1</v>
      </c>
      <c r="CY449" s="16" t="str">
        <f>IFERROR(__xludf.DUMMYFUNCTION("""COMPUTED_VALUE"""),"SP")</f>
        <v>SP</v>
      </c>
      <c r="CZ449" s="16"/>
      <c r="DA449" s="16"/>
      <c r="DB449" s="16"/>
      <c r="DC449" s="16"/>
      <c r="DD449" s="16"/>
      <c r="DE449" s="16"/>
      <c r="DF449" s="16"/>
      <c r="DG449" s="16"/>
      <c r="DH449" s="16"/>
      <c r="DI449" s="16"/>
      <c r="DJ449" s="16"/>
      <c r="DK449" s="16"/>
    </row>
    <row r="450">
      <c r="A450" s="16">
        <f>IFERROR(__xludf.DUMMYFUNCTION("""COMPUTED_VALUE"""),12940.0)</f>
        <v>12940</v>
      </c>
      <c r="B450" s="16" t="str">
        <f>IFERROR(__xludf.DUMMYFUNCTION("""COMPUTED_VALUE"""),"Jay Jackson")</f>
        <v>Jay Jackson</v>
      </c>
      <c r="C450" s="153">
        <f>IFERROR(__xludf.DUMMYFUNCTION("""COMPUTED_VALUE"""),0.0)</f>
        <v>0</v>
      </c>
      <c r="D450" s="16"/>
      <c r="E450" s="16" t="str">
        <f>IFERROR(__xludf.DUMMYFUNCTION("""COMPUTED_VALUE"""),"R")</f>
        <v>R</v>
      </c>
      <c r="F450" s="16">
        <f>IFERROR(__xludf.DUMMYFUNCTION("""COMPUTED_VALUE"""),26.0)</f>
        <v>26</v>
      </c>
      <c r="G450" s="16">
        <f>IFERROR(__xludf.DUMMYFUNCTION("""COMPUTED_VALUE"""),29.0)</f>
        <v>29</v>
      </c>
      <c r="H450" s="16">
        <f>IFERROR(__xludf.DUMMYFUNCTION("""COMPUTED_VALUE"""),28.0)</f>
        <v>28</v>
      </c>
      <c r="I450" s="16">
        <f>IFERROR(__xludf.DUMMYFUNCTION("""COMPUTED_VALUE"""),0.0)</f>
        <v>0</v>
      </c>
      <c r="J450" s="16">
        <f>IFERROR(__xludf.DUMMYFUNCTION("""COMPUTED_VALUE"""),0.0)</f>
        <v>0</v>
      </c>
      <c r="K450" s="16">
        <f>IFERROR(__xludf.DUMMYFUNCTION("""COMPUTED_VALUE"""),0.0)</f>
        <v>0</v>
      </c>
      <c r="L450" s="16">
        <f>IFERROR(__xludf.DUMMYFUNCTION("""COMPUTED_VALUE"""),0.0)</f>
        <v>0</v>
      </c>
      <c r="M450" s="16">
        <f>IFERROR(__xludf.DUMMYFUNCTION("""COMPUTED_VALUE"""),8.0)</f>
        <v>8</v>
      </c>
      <c r="N450" s="16">
        <f>IFERROR(__xludf.DUMMYFUNCTION("""COMPUTED_VALUE"""),9.0)</f>
        <v>9</v>
      </c>
      <c r="O450" s="16">
        <f>IFERROR(__xludf.DUMMYFUNCTION("""COMPUTED_VALUE"""),0.0)</f>
        <v>0</v>
      </c>
      <c r="P450" s="16">
        <f>IFERROR(__xludf.DUMMYFUNCTION("""COMPUTED_VALUE"""),0.0)</f>
        <v>0</v>
      </c>
      <c r="Q450" s="16">
        <f>IFERROR(__xludf.DUMMYFUNCTION("""COMPUTED_VALUE"""),0.0)</f>
        <v>0</v>
      </c>
      <c r="R450" s="16">
        <f>IFERROR(__xludf.DUMMYFUNCTION("""COMPUTED_VALUE"""),0.0)</f>
        <v>0</v>
      </c>
      <c r="S450" s="16">
        <f>IFERROR(__xludf.DUMMYFUNCTION("""COMPUTED_VALUE"""),24.7)</f>
        <v>24.7</v>
      </c>
      <c r="T450" s="16">
        <f>IFERROR(__xludf.DUMMYFUNCTION("""COMPUTED_VALUE"""),13.5)</f>
        <v>13.5</v>
      </c>
      <c r="U450" s="16">
        <f>IFERROR(__xludf.DUMMYFUNCTION("""COMPUTED_VALUE"""),-2.0)</f>
        <v>-2</v>
      </c>
      <c r="V450" s="16">
        <f>IFERROR(__xludf.DUMMYFUNCTION("""COMPUTED_VALUE"""),0.0)</f>
        <v>0</v>
      </c>
      <c r="W450" s="16">
        <f>IFERROR(__xludf.DUMMYFUNCTION("""COMPUTED_VALUE"""),-4.0)</f>
        <v>-4</v>
      </c>
      <c r="X450" s="16">
        <f>IFERROR(__xludf.DUMMYFUNCTION("""COMPUTED_VALUE"""),0.0)</f>
        <v>0</v>
      </c>
      <c r="Y450" s="16">
        <f>IFERROR(__xludf.DUMMYFUNCTION("""COMPUTED_VALUE"""),32.7)</f>
        <v>32.7</v>
      </c>
      <c r="Z450" s="16">
        <f>IFERROR(__xludf.DUMMYFUNCTION("""COMPUTED_VALUE"""),22.5)</f>
        <v>22.5</v>
      </c>
      <c r="AA450" s="16">
        <f>IFERROR(__xludf.DUMMYFUNCTION("""COMPUTED_VALUE"""),-1.0)</f>
        <v>-1</v>
      </c>
      <c r="AB450" s="16">
        <f>IFERROR(__xludf.DUMMYFUNCTION("""COMPUTED_VALUE"""),0.0)</f>
        <v>0</v>
      </c>
      <c r="AC450" s="16">
        <f>IFERROR(__xludf.DUMMYFUNCTION("""COMPUTED_VALUE"""),-5.0)</f>
        <v>-5</v>
      </c>
      <c r="AD450" s="16">
        <f>IFERROR(__xludf.DUMMYFUNCTION("""COMPUTED_VALUE"""),0.0)</f>
        <v>0</v>
      </c>
      <c r="AE450" s="16">
        <f>IFERROR(__xludf.DUMMYFUNCTION("""COMPUTED_VALUE"""),74.8)</f>
        <v>74.8</v>
      </c>
      <c r="AF450" s="16">
        <f>IFERROR(__xludf.DUMMYFUNCTION("""COMPUTED_VALUE"""),29.8)</f>
        <v>29.8</v>
      </c>
      <c r="AG450" s="16">
        <f>IFERROR(__xludf.DUMMYFUNCTION("""COMPUTED_VALUE"""),-3.0)</f>
        <v>-3</v>
      </c>
      <c r="AH450" s="16">
        <f>IFERROR(__xludf.DUMMYFUNCTION("""COMPUTED_VALUE"""),0.0)</f>
        <v>0</v>
      </c>
      <c r="AI450" s="16">
        <f>IFERROR(__xludf.DUMMYFUNCTION("""COMPUTED_VALUE"""),-6.0)</f>
        <v>-6</v>
      </c>
      <c r="AJ450" s="16">
        <f>IFERROR(__xludf.DUMMYFUNCTION("""COMPUTED_VALUE"""),0.0)</f>
        <v>0</v>
      </c>
      <c r="AK450" s="16">
        <f>IFERROR(__xludf.DUMMYFUNCTION("""COMPUTED_VALUE"""),10.6)</f>
        <v>10.6</v>
      </c>
      <c r="AL450" s="16">
        <f>IFERROR(__xludf.DUMMYFUNCTION("""COMPUTED_VALUE"""),11.1)</f>
        <v>11.1</v>
      </c>
      <c r="AM450" s="16">
        <f>IFERROR(__xludf.DUMMYFUNCTION("""COMPUTED_VALUE"""),0.0)</f>
        <v>0</v>
      </c>
      <c r="AN450" s="16">
        <f>IFERROR(__xludf.DUMMYFUNCTION("""COMPUTED_VALUE"""),1.0)</f>
        <v>1</v>
      </c>
      <c r="AO450" s="16">
        <f>IFERROR(__xludf.DUMMYFUNCTION("""COMPUTED_VALUE"""),0.0)</f>
        <v>0</v>
      </c>
      <c r="AP450" s="16">
        <f>IFERROR(__xludf.DUMMYFUNCTION("""COMPUTED_VALUE"""),1.0)</f>
        <v>1</v>
      </c>
      <c r="AQ450" s="16">
        <f>IFERROR(__xludf.DUMMYFUNCTION("""COMPUTED_VALUE"""),18.4)</f>
        <v>18.4</v>
      </c>
      <c r="AR450" s="16">
        <f>IFERROR(__xludf.DUMMYFUNCTION("""COMPUTED_VALUE"""),20.200000000000003)</f>
        <v>20.2</v>
      </c>
      <c r="AS450" s="16">
        <f>IFERROR(__xludf.DUMMYFUNCTION("""COMPUTED_VALUE"""),0.0)</f>
        <v>0</v>
      </c>
      <c r="AT450" s="16">
        <f>IFERROR(__xludf.DUMMYFUNCTION("""COMPUTED_VALUE"""),0.0)</f>
        <v>0</v>
      </c>
      <c r="AU450" s="16">
        <f>IFERROR(__xludf.DUMMYFUNCTION("""COMPUTED_VALUE"""),0.0)</f>
        <v>0</v>
      </c>
      <c r="AV450" s="16">
        <f>IFERROR(__xludf.DUMMYFUNCTION("""COMPUTED_VALUE"""),0.0)</f>
        <v>0</v>
      </c>
      <c r="AW450" s="16">
        <f>IFERROR(__xludf.DUMMYFUNCTION("""COMPUTED_VALUE"""),14.1)</f>
        <v>14.1</v>
      </c>
      <c r="AX450" s="16">
        <f>IFERROR(__xludf.DUMMYFUNCTION("""COMPUTED_VALUE"""),2.4)</f>
        <v>2.4</v>
      </c>
      <c r="AY450" s="16">
        <f>IFERROR(__xludf.DUMMYFUNCTION("""COMPUTED_VALUE"""),-3.0)</f>
        <v>-3</v>
      </c>
      <c r="AZ450" s="16">
        <f>IFERROR(__xludf.DUMMYFUNCTION("""COMPUTED_VALUE"""),0.0)</f>
        <v>0</v>
      </c>
      <c r="BA450" s="16">
        <f>IFERROR(__xludf.DUMMYFUNCTION("""COMPUTED_VALUE"""),-15.0)</f>
        <v>-15</v>
      </c>
      <c r="BB450" s="16">
        <f>IFERROR(__xludf.DUMMYFUNCTION("""COMPUTED_VALUE"""),0.0)</f>
        <v>0</v>
      </c>
      <c r="BC450" s="16">
        <f>IFERROR(__xludf.DUMMYFUNCTION("""COMPUTED_VALUE"""),8.0)</f>
        <v>8</v>
      </c>
      <c r="BD450" s="16">
        <f>IFERROR(__xludf.DUMMYFUNCTION("""COMPUTED_VALUE"""),3.0)</f>
        <v>3</v>
      </c>
      <c r="BE450" s="16">
        <f>IFERROR(__xludf.DUMMYFUNCTION("""COMPUTED_VALUE"""),8.0)</f>
        <v>8</v>
      </c>
      <c r="BF450" s="16">
        <f>IFERROR(__xludf.DUMMYFUNCTION("""COMPUTED_VALUE"""),3.0)</f>
        <v>3</v>
      </c>
      <c r="BG450" s="16">
        <f>IFERROR(__xludf.DUMMYFUNCTION("""COMPUTED_VALUE"""),-3.0)</f>
        <v>-3</v>
      </c>
      <c r="BH450" s="16">
        <f>IFERROR(__xludf.DUMMYFUNCTION("""COMPUTED_VALUE"""),0.0)</f>
        <v>0</v>
      </c>
      <c r="BI450" s="16">
        <f>IFERROR(__xludf.DUMMYFUNCTION("""COMPUTED_VALUE"""),-6.0)</f>
        <v>-6</v>
      </c>
      <c r="BJ450" s="16">
        <f>IFERROR(__xludf.DUMMYFUNCTION("""COMPUTED_VALUE"""),0.0)</f>
        <v>0</v>
      </c>
      <c r="BK450" s="16">
        <f>IFERROR(__xludf.DUMMYFUNCTION("""COMPUTED_VALUE"""),5.0)</f>
        <v>5</v>
      </c>
      <c r="BL450" s="16">
        <f>IFERROR(__xludf.DUMMYFUNCTION("""COMPUTED_VALUE"""),5.0)</f>
        <v>5</v>
      </c>
      <c r="BM450" s="16">
        <f>IFERROR(__xludf.DUMMYFUNCTION("""COMPUTED_VALUE"""),0.0)</f>
        <v>0</v>
      </c>
      <c r="BN450" s="16">
        <f>IFERROR(__xludf.DUMMYFUNCTION("""COMPUTED_VALUE"""),0.0)</f>
        <v>0</v>
      </c>
      <c r="BO450" s="16">
        <f>IFERROR(__xludf.DUMMYFUNCTION("""COMPUTED_VALUE"""),0.0)</f>
        <v>0</v>
      </c>
      <c r="BP450" s="16">
        <f>IFERROR(__xludf.DUMMYFUNCTION("""COMPUTED_VALUE"""),0.0)</f>
        <v>0</v>
      </c>
      <c r="BQ450" s="16">
        <f>IFERROR(__xludf.DUMMYFUNCTION("""COMPUTED_VALUE"""),0.0)</f>
        <v>0</v>
      </c>
      <c r="BR450" s="16">
        <f>IFERROR(__xludf.DUMMYFUNCTION("""COMPUTED_VALUE"""),0.0)</f>
        <v>0</v>
      </c>
      <c r="BS450" s="16">
        <f>IFERROR(__xludf.DUMMYFUNCTION("""COMPUTED_VALUE"""),-3.0)</f>
        <v>-3</v>
      </c>
      <c r="BT450" s="16">
        <f>IFERROR(__xludf.DUMMYFUNCTION("""COMPUTED_VALUE"""),-3.0)</f>
        <v>-3</v>
      </c>
      <c r="BU450" s="16">
        <f>IFERROR(__xludf.DUMMYFUNCTION("""COMPUTED_VALUE"""),-6.0)</f>
        <v>-6</v>
      </c>
      <c r="BV450" s="16">
        <f>IFERROR(__xludf.DUMMYFUNCTION("""COMPUTED_VALUE"""),-6.0)</f>
        <v>-6</v>
      </c>
      <c r="BW450" s="16">
        <f>IFERROR(__xludf.DUMMYFUNCTION("""COMPUTED_VALUE"""),2.0)</f>
        <v>2</v>
      </c>
      <c r="BX450" s="16">
        <f>IFERROR(__xludf.DUMMYFUNCTION("""COMPUTED_VALUE"""),2.0)</f>
        <v>2</v>
      </c>
      <c r="BY450" s="16" t="str">
        <f>IFERROR(__xludf.DUMMYFUNCTION("""COMPUTED_VALUE"""),"R(2)")</f>
        <v>R(2)</v>
      </c>
      <c r="BZ450" s="16" t="str">
        <f>IFERROR(__xludf.DUMMYFUNCTION("""COMPUTED_VALUE"""),"R(2)")</f>
        <v>R(2)</v>
      </c>
      <c r="CA450" s="16" t="str">
        <f>IFERROR(__xludf.DUMMYFUNCTION("""COMPUTED_VALUE"""),"R(2)")</f>
        <v>R(2)</v>
      </c>
      <c r="CB450" s="16"/>
      <c r="CC450" s="16"/>
      <c r="CD450" s="16"/>
      <c r="CE450" s="16">
        <f>IFERROR(__xludf.DUMMYFUNCTION("""COMPUTED_VALUE"""),2.0)</f>
        <v>2</v>
      </c>
      <c r="CF450" s="16"/>
      <c r="CG450" s="16" t="str">
        <f>IFERROR(__xludf.DUMMYFUNCTION("""COMPUTED_VALUE"""),"3-0")</f>
        <v>3-0</v>
      </c>
      <c r="CH450" s="16">
        <f>IFERROR(__xludf.DUMMYFUNCTION("""COMPUTED_VALUE"""),3.0)</f>
        <v>3</v>
      </c>
      <c r="CI450" s="16">
        <f>IFERROR(__xludf.DUMMYFUNCTION("""COMPUTED_VALUE"""),0.0)</f>
        <v>0</v>
      </c>
      <c r="CJ450" s="16">
        <f>IFERROR(__xludf.DUMMYFUNCTION("""COMPUTED_VALUE"""),0.0)</f>
        <v>0</v>
      </c>
      <c r="CK450" s="16">
        <f>IFERROR(__xludf.DUMMYFUNCTION("""COMPUTED_VALUE"""),0.0)</f>
        <v>0</v>
      </c>
      <c r="CL450" s="16" t="str">
        <f>IFERROR(__xludf.DUMMYFUNCTION("""COMPUTED_VALUE"""),"1WR-C")</f>
        <v>1WR-C</v>
      </c>
      <c r="CM450" s="16" t="str">
        <f>IFERROR(__xludf.DUMMYFUNCTION("""COMPUTED_VALUE"""),"E")</f>
        <v>E</v>
      </c>
      <c r="CN450" s="16">
        <f>IFERROR(__xludf.DUMMYFUNCTION("""COMPUTED_VALUE"""),10.0)</f>
        <v>10</v>
      </c>
      <c r="CO450" s="16" t="str">
        <f>IFERROR(__xludf.DUMMYFUNCTION("""COMPUTED_VALUE"""),"C")</f>
        <v>C</v>
      </c>
      <c r="CP450" s="16" t="str">
        <f>IFERROR(__xludf.DUMMYFUNCTION("""COMPUTED_VALUE"""),"1p20")</f>
        <v>1p20</v>
      </c>
      <c r="CQ450" s="16">
        <f>IFERROR(__xludf.DUMMYFUNCTION("""COMPUTED_VALUE"""),-42.0)</f>
        <v>-42</v>
      </c>
      <c r="CR450" s="16">
        <f>IFERROR(__xludf.DUMMYFUNCTION("""COMPUTED_VALUE"""),-5.0)</f>
        <v>-5</v>
      </c>
      <c r="CS450" s="16">
        <f>IFERROR(__xludf.DUMMYFUNCTION("""COMPUTED_VALUE"""),-47.0)</f>
        <v>-47</v>
      </c>
      <c r="CT450" s="16">
        <f>IFERROR(__xludf.DUMMYFUNCTION("""COMPUTED_VALUE"""),-42.0)</f>
        <v>-42</v>
      </c>
      <c r="CU450" s="16">
        <f>IFERROR(__xludf.DUMMYFUNCTION("""COMPUTED_VALUE"""),-5.0)</f>
        <v>-5</v>
      </c>
      <c r="CV450" s="179">
        <f>IFERROR(__xludf.DUMMYFUNCTION("""COMPUTED_VALUE"""),-22.666666666666668)</f>
        <v>-22.66666667</v>
      </c>
      <c r="CW450" s="179">
        <f>IFERROR(__xludf.DUMMYFUNCTION("""COMPUTED_VALUE"""),4.0)</f>
        <v>4</v>
      </c>
      <c r="CX450" s="179">
        <f>IFERROR(__xludf.DUMMYFUNCTION("""COMPUTED_VALUE"""),3.0)</f>
        <v>3</v>
      </c>
      <c r="CY450" s="16" t="str">
        <f>IFERROR(__xludf.DUMMYFUNCTION("""COMPUTED_VALUE"""),"RP")</f>
        <v>RP</v>
      </c>
      <c r="CZ450" s="16"/>
      <c r="DA450" s="16"/>
      <c r="DB450" s="16"/>
      <c r="DC450" s="16"/>
      <c r="DD450" s="16"/>
      <c r="DE450" s="16"/>
      <c r="DF450" s="16"/>
      <c r="DG450" s="16"/>
      <c r="DH450" s="16"/>
      <c r="DI450" s="16"/>
      <c r="DJ450" s="16"/>
      <c r="DK450" s="16"/>
    </row>
    <row r="451">
      <c r="A451" s="16">
        <f>IFERROR(__xludf.DUMMYFUNCTION("""COMPUTED_VALUE"""),13389.0)</f>
        <v>13389</v>
      </c>
      <c r="B451" s="16" t="str">
        <f>IFERROR(__xludf.DUMMYFUNCTION("""COMPUTED_VALUE"""),"Stephen Kolek")</f>
        <v>Stephen Kolek</v>
      </c>
      <c r="C451" s="153">
        <f>IFERROR(__xludf.DUMMYFUNCTION("""COMPUTED_VALUE"""),0.0)</f>
        <v>0</v>
      </c>
      <c r="D451" s="16"/>
      <c r="E451" s="16" t="str">
        <f>IFERROR(__xludf.DUMMYFUNCTION("""COMPUTED_VALUE"""),"R")</f>
        <v>R</v>
      </c>
      <c r="F451" s="16">
        <f>IFERROR(__xludf.DUMMYFUNCTION("""COMPUTED_VALUE"""),47.0)</f>
        <v>47</v>
      </c>
      <c r="G451" s="16">
        <f>IFERROR(__xludf.DUMMYFUNCTION("""COMPUTED_VALUE"""),11.0)</f>
        <v>11</v>
      </c>
      <c r="H451" s="16">
        <f>IFERROR(__xludf.DUMMYFUNCTION("""COMPUTED_VALUE"""),18.0)</f>
        <v>18</v>
      </c>
      <c r="I451" s="16">
        <f>IFERROR(__xludf.DUMMYFUNCTION("""COMPUTED_VALUE"""),-2.0)</f>
        <v>-2</v>
      </c>
      <c r="J451" s="16">
        <f>IFERROR(__xludf.DUMMYFUNCTION("""COMPUTED_VALUE"""),-1.0)</f>
        <v>-1</v>
      </c>
      <c r="K451" s="16">
        <f>IFERROR(__xludf.DUMMYFUNCTION("""COMPUTED_VALUE"""),-6.0)</f>
        <v>-6</v>
      </c>
      <c r="L451" s="16">
        <f>IFERROR(__xludf.DUMMYFUNCTION("""COMPUTED_VALUE"""),-3.0)</f>
        <v>-3</v>
      </c>
      <c r="M451" s="16">
        <f>IFERROR(__xludf.DUMMYFUNCTION("""COMPUTED_VALUE"""),2.0)</f>
        <v>2</v>
      </c>
      <c r="N451" s="16">
        <f>IFERROR(__xludf.DUMMYFUNCTION("""COMPUTED_VALUE"""),5.0)</f>
        <v>5</v>
      </c>
      <c r="O451" s="16">
        <f>IFERROR(__xludf.DUMMYFUNCTION("""COMPUTED_VALUE"""),2.0)</f>
        <v>2</v>
      </c>
      <c r="P451" s="16">
        <f>IFERROR(__xludf.DUMMYFUNCTION("""COMPUTED_VALUE"""),2.0)</f>
        <v>2</v>
      </c>
      <c r="Q451" s="16">
        <f>IFERROR(__xludf.DUMMYFUNCTION("""COMPUTED_VALUE"""),2.0)</f>
        <v>2</v>
      </c>
      <c r="R451" s="16">
        <f>IFERROR(__xludf.DUMMYFUNCTION("""COMPUTED_VALUE"""),2.0)</f>
        <v>2</v>
      </c>
      <c r="S451" s="16">
        <f>IFERROR(__xludf.DUMMYFUNCTION("""COMPUTED_VALUE"""),25.0)</f>
        <v>25</v>
      </c>
      <c r="T451" s="16">
        <f>IFERROR(__xludf.DUMMYFUNCTION("""COMPUTED_VALUE"""),34.2)</f>
        <v>34.2</v>
      </c>
      <c r="U451" s="16">
        <f>IFERROR(__xludf.DUMMYFUNCTION("""COMPUTED_VALUE"""),-2.0)</f>
        <v>-2</v>
      </c>
      <c r="V451" s="16">
        <f>IFERROR(__xludf.DUMMYFUNCTION("""COMPUTED_VALUE"""),-3.0)</f>
        <v>-3</v>
      </c>
      <c r="W451" s="16">
        <f>IFERROR(__xludf.DUMMYFUNCTION("""COMPUTED_VALUE"""),-4.0)</f>
        <v>-4</v>
      </c>
      <c r="X451" s="16">
        <f>IFERROR(__xludf.DUMMYFUNCTION("""COMPUTED_VALUE"""),-6.0)</f>
        <v>-6</v>
      </c>
      <c r="Y451" s="16">
        <f>IFERROR(__xludf.DUMMYFUNCTION("""COMPUTED_VALUE"""),27.0)</f>
        <v>27</v>
      </c>
      <c r="Z451" s="16">
        <f>IFERROR(__xludf.DUMMYFUNCTION("""COMPUTED_VALUE"""),39.2)</f>
        <v>39.2</v>
      </c>
      <c r="AA451" s="16">
        <f>IFERROR(__xludf.DUMMYFUNCTION("""COMPUTED_VALUE"""),0.0)</f>
        <v>0</v>
      </c>
      <c r="AB451" s="16">
        <f>IFERROR(__xludf.DUMMYFUNCTION("""COMPUTED_VALUE"""),-2.0)</f>
        <v>-2</v>
      </c>
      <c r="AC451" s="16">
        <f>IFERROR(__xludf.DUMMYFUNCTION("""COMPUTED_VALUE"""),0.0)</f>
        <v>0</v>
      </c>
      <c r="AD451" s="16">
        <f>IFERROR(__xludf.DUMMYFUNCTION("""COMPUTED_VALUE"""),-10.0)</f>
        <v>-10</v>
      </c>
      <c r="AE451" s="16">
        <f>IFERROR(__xludf.DUMMYFUNCTION("""COMPUTED_VALUE"""),25.2)</f>
        <v>25.2</v>
      </c>
      <c r="AF451" s="16">
        <f>IFERROR(__xludf.DUMMYFUNCTION("""COMPUTED_VALUE"""),49.1)</f>
        <v>49.1</v>
      </c>
      <c r="AG451" s="16">
        <f>IFERROR(__xludf.DUMMYFUNCTION("""COMPUTED_VALUE"""),0.0)</f>
        <v>0</v>
      </c>
      <c r="AH451" s="16">
        <f>IFERROR(__xludf.DUMMYFUNCTION("""COMPUTED_VALUE"""),-2.0)</f>
        <v>-2</v>
      </c>
      <c r="AI451" s="16">
        <f>IFERROR(__xludf.DUMMYFUNCTION("""COMPUTED_VALUE"""),0.0)</f>
        <v>0</v>
      </c>
      <c r="AJ451" s="16">
        <f>IFERROR(__xludf.DUMMYFUNCTION("""COMPUTED_VALUE"""),-4.0)</f>
        <v>-4</v>
      </c>
      <c r="AK451" s="16">
        <f>IFERROR(__xludf.DUMMYFUNCTION("""COMPUTED_VALUE"""),25.0)</f>
        <v>25</v>
      </c>
      <c r="AL451" s="16">
        <f>IFERROR(__xludf.DUMMYFUNCTION("""COMPUTED_VALUE"""),32.0)</f>
        <v>32</v>
      </c>
      <c r="AM451" s="16">
        <f>IFERROR(__xludf.DUMMYFUNCTION("""COMPUTED_VALUE"""),-2.0)</f>
        <v>-2</v>
      </c>
      <c r="AN451" s="16">
        <f>IFERROR(__xludf.DUMMYFUNCTION("""COMPUTED_VALUE"""),-3.0)</f>
        <v>-3</v>
      </c>
      <c r="AO451" s="16">
        <f>IFERROR(__xludf.DUMMYFUNCTION("""COMPUTED_VALUE"""),-2.0)</f>
        <v>-2</v>
      </c>
      <c r="AP451" s="16">
        <f>IFERROR(__xludf.DUMMYFUNCTION("""COMPUTED_VALUE"""),-3.0)</f>
        <v>-3</v>
      </c>
      <c r="AQ451" s="16">
        <f>IFERROR(__xludf.DUMMYFUNCTION("""COMPUTED_VALUE"""),25.2)</f>
        <v>25.2</v>
      </c>
      <c r="AR451" s="16">
        <f>IFERROR(__xludf.DUMMYFUNCTION("""COMPUTED_VALUE"""),40.3)</f>
        <v>40.3</v>
      </c>
      <c r="AS451" s="16">
        <f>IFERROR(__xludf.DUMMYFUNCTION("""COMPUTED_VALUE"""),-1.0)</f>
        <v>-1</v>
      </c>
      <c r="AT451" s="16">
        <f>IFERROR(__xludf.DUMMYFUNCTION("""COMPUTED_VALUE"""),-2.0)</f>
        <v>-2</v>
      </c>
      <c r="AU451" s="16">
        <f>IFERROR(__xludf.DUMMYFUNCTION("""COMPUTED_VALUE"""),-2.0)</f>
        <v>-2</v>
      </c>
      <c r="AV451" s="16">
        <f>IFERROR(__xludf.DUMMYFUNCTION("""COMPUTED_VALUE"""),-4.0)</f>
        <v>-4</v>
      </c>
      <c r="AW451" s="16">
        <f>IFERROR(__xludf.DUMMYFUNCTION("""COMPUTED_VALUE"""),0.0)</f>
        <v>0</v>
      </c>
      <c r="AX451" s="16">
        <f>IFERROR(__xludf.DUMMYFUNCTION("""COMPUTED_VALUE"""),2.2)</f>
        <v>2.2</v>
      </c>
      <c r="AY451" s="16">
        <f>IFERROR(__xludf.DUMMYFUNCTION("""COMPUTED_VALUE"""),2.0)</f>
        <v>2</v>
      </c>
      <c r="AZ451" s="16">
        <f>IFERROR(__xludf.DUMMYFUNCTION("""COMPUTED_VALUE"""),0.0)</f>
        <v>0</v>
      </c>
      <c r="BA451" s="16">
        <f>IFERROR(__xludf.DUMMYFUNCTION("""COMPUTED_VALUE"""),10.0)</f>
        <v>10</v>
      </c>
      <c r="BB451" s="16">
        <f>IFERROR(__xludf.DUMMYFUNCTION("""COMPUTED_VALUE"""),0.0)</f>
        <v>0</v>
      </c>
      <c r="BC451" s="16">
        <f>IFERROR(__xludf.DUMMYFUNCTION("""COMPUTED_VALUE"""),0.0)</f>
        <v>0</v>
      </c>
      <c r="BD451" s="16">
        <f>IFERROR(__xludf.DUMMYFUNCTION("""COMPUTED_VALUE"""),4.0)</f>
        <v>4</v>
      </c>
      <c r="BE451" s="16">
        <f>IFERROR(__xludf.DUMMYFUNCTION("""COMPUTED_VALUE"""),0.0)</f>
        <v>0</v>
      </c>
      <c r="BF451" s="16">
        <f>IFERROR(__xludf.DUMMYFUNCTION("""COMPUTED_VALUE"""),4.0)</f>
        <v>4</v>
      </c>
      <c r="BG451" s="16">
        <f>IFERROR(__xludf.DUMMYFUNCTION("""COMPUTED_VALUE"""),3.0)</f>
        <v>3</v>
      </c>
      <c r="BH451" s="16">
        <f>IFERROR(__xludf.DUMMYFUNCTION("""COMPUTED_VALUE"""),-1.0)</f>
        <v>-1</v>
      </c>
      <c r="BI451" s="16">
        <f>IFERROR(__xludf.DUMMYFUNCTION("""COMPUTED_VALUE"""),6.0)</f>
        <v>6</v>
      </c>
      <c r="BJ451" s="16">
        <f>IFERROR(__xludf.DUMMYFUNCTION("""COMPUTED_VALUE"""),-2.0)</f>
        <v>-2</v>
      </c>
      <c r="BK451" s="16">
        <f>IFERROR(__xludf.DUMMYFUNCTION("""COMPUTED_VALUE"""),5.0)</f>
        <v>5</v>
      </c>
      <c r="BL451" s="16">
        <f>IFERROR(__xludf.DUMMYFUNCTION("""COMPUTED_VALUE"""),5.0)</f>
        <v>5</v>
      </c>
      <c r="BM451" s="16">
        <f>IFERROR(__xludf.DUMMYFUNCTION("""COMPUTED_VALUE"""),0.0)</f>
        <v>0</v>
      </c>
      <c r="BN451" s="16">
        <f>IFERROR(__xludf.DUMMYFUNCTION("""COMPUTED_VALUE"""),0.0)</f>
        <v>0</v>
      </c>
      <c r="BO451" s="16">
        <f>IFERROR(__xludf.DUMMYFUNCTION("""COMPUTED_VALUE"""),0.0)</f>
        <v>0</v>
      </c>
      <c r="BP451" s="16">
        <f>IFERROR(__xludf.DUMMYFUNCTION("""COMPUTED_VALUE"""),0.0)</f>
        <v>0</v>
      </c>
      <c r="BQ451" s="16">
        <f>IFERROR(__xludf.DUMMYFUNCTION("""COMPUTED_VALUE"""),0.0)</f>
        <v>0</v>
      </c>
      <c r="BR451" s="16">
        <f>IFERROR(__xludf.DUMMYFUNCTION("""COMPUTED_VALUE"""),0.0)</f>
        <v>0</v>
      </c>
      <c r="BS451" s="16">
        <f>IFERROR(__xludf.DUMMYFUNCTION("""COMPUTED_VALUE"""),-3.0)</f>
        <v>-3</v>
      </c>
      <c r="BT451" s="16">
        <f>IFERROR(__xludf.DUMMYFUNCTION("""COMPUTED_VALUE"""),-3.0)</f>
        <v>-3</v>
      </c>
      <c r="BU451" s="16">
        <f>IFERROR(__xludf.DUMMYFUNCTION("""COMPUTED_VALUE"""),-6.0)</f>
        <v>-6</v>
      </c>
      <c r="BV451" s="16">
        <f>IFERROR(__xludf.DUMMYFUNCTION("""COMPUTED_VALUE"""),-6.0)</f>
        <v>-6</v>
      </c>
      <c r="BW451" s="16">
        <f>IFERROR(__xludf.DUMMYFUNCTION("""COMPUTED_VALUE"""),-2.0)</f>
        <v>-2</v>
      </c>
      <c r="BX451" s="16">
        <f>IFERROR(__xludf.DUMMYFUNCTION("""COMPUTED_VALUE"""),-2.0)</f>
        <v>-2</v>
      </c>
      <c r="BY451" s="16" t="str">
        <f>IFERROR(__xludf.DUMMYFUNCTION("""COMPUTED_VALUE"""),"R(2)")</f>
        <v>R(2)</v>
      </c>
      <c r="BZ451" s="16" t="str">
        <f>IFERROR(__xludf.DUMMYFUNCTION("""COMPUTED_VALUE"""),"R(2)")</f>
        <v>R(2)</v>
      </c>
      <c r="CA451" s="16" t="str">
        <f>IFERROR(__xludf.DUMMYFUNCTION("""COMPUTED_VALUE"""),"R(2)")</f>
        <v>R(2)</v>
      </c>
      <c r="CB451" s="16"/>
      <c r="CC451" s="16"/>
      <c r="CD451" s="16"/>
      <c r="CE451" s="16">
        <f>IFERROR(__xludf.DUMMYFUNCTION("""COMPUTED_VALUE"""),2.0)</f>
        <v>2</v>
      </c>
      <c r="CF451" s="16"/>
      <c r="CG451" s="16" t="str">
        <f>IFERROR(__xludf.DUMMYFUNCTION("""COMPUTED_VALUE"""),"3-0")</f>
        <v>3-0</v>
      </c>
      <c r="CH451" s="16">
        <f>IFERROR(__xludf.DUMMYFUNCTION("""COMPUTED_VALUE"""),3.0)</f>
        <v>3</v>
      </c>
      <c r="CI451" s="16">
        <f>IFERROR(__xludf.DUMMYFUNCTION("""COMPUTED_VALUE"""),0.0)</f>
        <v>0</v>
      </c>
      <c r="CJ451" s="16">
        <f>IFERROR(__xludf.DUMMYFUNCTION("""COMPUTED_VALUE"""),0.0)</f>
        <v>0</v>
      </c>
      <c r="CK451" s="16">
        <f>IFERROR(__xludf.DUMMYFUNCTION("""COMPUTED_VALUE"""),8.0)</f>
        <v>8</v>
      </c>
      <c r="CL451" s="16" t="str">
        <f>IFERROR(__xludf.DUMMYFUNCTION("""COMPUTED_VALUE"""),"1WR-C")</f>
        <v>1WR-C</v>
      </c>
      <c r="CM451" s="16" t="str">
        <f>IFERROR(__xludf.DUMMYFUNCTION("""COMPUTED_VALUE"""),"E")</f>
        <v>E</v>
      </c>
      <c r="CN451" s="16">
        <f>IFERROR(__xludf.DUMMYFUNCTION("""COMPUTED_VALUE"""),10.0)</f>
        <v>10</v>
      </c>
      <c r="CO451" s="16" t="str">
        <f>IFERROR(__xludf.DUMMYFUNCTION("""COMPUTED_VALUE"""),"C")</f>
        <v>C</v>
      </c>
      <c r="CP451" s="16" t="str">
        <f>IFERROR(__xludf.DUMMYFUNCTION("""COMPUTED_VALUE"""),"5p30")</f>
        <v>5p30</v>
      </c>
      <c r="CQ451" s="16">
        <f>IFERROR(__xludf.DUMMYFUNCTION("""COMPUTED_VALUE"""),-2.0)</f>
        <v>-2</v>
      </c>
      <c r="CR451" s="16">
        <f>IFERROR(__xludf.DUMMYFUNCTION("""COMPUTED_VALUE"""),-36.0)</f>
        <v>-36</v>
      </c>
      <c r="CS451" s="16">
        <f>IFERROR(__xludf.DUMMYFUNCTION("""COMPUTED_VALUE"""),-38.0)</f>
        <v>-38</v>
      </c>
      <c r="CT451" s="16">
        <f>IFERROR(__xludf.DUMMYFUNCTION("""COMPUTED_VALUE"""),-2.0)</f>
        <v>-2</v>
      </c>
      <c r="CU451" s="16">
        <f>IFERROR(__xludf.DUMMYFUNCTION("""COMPUTED_VALUE"""),-36.0)</f>
        <v>-36</v>
      </c>
      <c r="CV451" s="179">
        <f>IFERROR(__xludf.DUMMYFUNCTION("""COMPUTED_VALUE"""),-22.666666666666668)</f>
        <v>-22.66666667</v>
      </c>
      <c r="CW451" s="179">
        <f>IFERROR(__xludf.DUMMYFUNCTION("""COMPUTED_VALUE"""),0.0)</f>
        <v>0</v>
      </c>
      <c r="CX451" s="179">
        <f>IFERROR(__xludf.DUMMYFUNCTION("""COMPUTED_VALUE"""),2.0)</f>
        <v>2</v>
      </c>
      <c r="CY451" s="16" t="str">
        <f>IFERROR(__xludf.DUMMYFUNCTION("""COMPUTED_VALUE"""),"RP")</f>
        <v>RP</v>
      </c>
      <c r="CZ451" s="16"/>
      <c r="DA451" s="16"/>
      <c r="DB451" s="16"/>
      <c r="DC451" s="16"/>
      <c r="DD451" s="16"/>
      <c r="DE451" s="16"/>
      <c r="DF451" s="16"/>
      <c r="DG451" s="16"/>
      <c r="DH451" s="16"/>
      <c r="DI451" s="16"/>
      <c r="DJ451" s="16"/>
      <c r="DK451" s="16"/>
    </row>
    <row r="452">
      <c r="A452" s="16">
        <f>IFERROR(__xludf.DUMMYFUNCTION("""COMPUTED_VALUE"""),12651.0)</f>
        <v>12651</v>
      </c>
      <c r="B452" s="16" t="str">
        <f>IFERROR(__xludf.DUMMYFUNCTION("""COMPUTED_VALUE"""),"Carlos Carrasco")</f>
        <v>Carlos Carrasco</v>
      </c>
      <c r="C452" s="153">
        <f>IFERROR(__xludf.DUMMYFUNCTION("""COMPUTED_VALUE"""),0.0)</f>
        <v>0</v>
      </c>
      <c r="D452" s="16"/>
      <c r="E452" s="16" t="str">
        <f>IFERROR(__xludf.DUMMYFUNCTION("""COMPUTED_VALUE"""),"R")</f>
        <v>R</v>
      </c>
      <c r="F452" s="16">
        <f>IFERROR(__xludf.DUMMYFUNCTION("""COMPUTED_VALUE"""),104.0)</f>
        <v>104</v>
      </c>
      <c r="G452" s="16">
        <f>IFERROR(__xludf.DUMMYFUNCTION("""COMPUTED_VALUE"""),22.0)</f>
        <v>22</v>
      </c>
      <c r="H452" s="16">
        <f>IFERROR(__xludf.DUMMYFUNCTION("""COMPUTED_VALUE"""),16.0)</f>
        <v>16</v>
      </c>
      <c r="I452" s="16">
        <f>IFERROR(__xludf.DUMMYFUNCTION("""COMPUTED_VALUE"""),-1.0)</f>
        <v>-1</v>
      </c>
      <c r="J452" s="16">
        <f>IFERROR(__xludf.DUMMYFUNCTION("""COMPUTED_VALUE"""),-2.0)</f>
        <v>-2</v>
      </c>
      <c r="K452" s="16">
        <f>IFERROR(__xludf.DUMMYFUNCTION("""COMPUTED_VALUE"""),-3.0)</f>
        <v>-3</v>
      </c>
      <c r="L452" s="16">
        <f>IFERROR(__xludf.DUMMYFUNCTION("""COMPUTED_VALUE"""),-6.0)</f>
        <v>-6</v>
      </c>
      <c r="M452" s="16">
        <f>IFERROR(__xludf.DUMMYFUNCTION("""COMPUTED_VALUE"""),12.0)</f>
        <v>12</v>
      </c>
      <c r="N452" s="16">
        <f>IFERROR(__xludf.DUMMYFUNCTION("""COMPUTED_VALUE"""),3.0)</f>
        <v>3</v>
      </c>
      <c r="O452" s="16">
        <f>IFERROR(__xludf.DUMMYFUNCTION("""COMPUTED_VALUE"""),-1.0)</f>
        <v>-1</v>
      </c>
      <c r="P452" s="16">
        <f>IFERROR(__xludf.DUMMYFUNCTION("""COMPUTED_VALUE"""),2.0)</f>
        <v>2</v>
      </c>
      <c r="Q452" s="16">
        <f>IFERROR(__xludf.DUMMYFUNCTION("""COMPUTED_VALUE"""),-1.0)</f>
        <v>-1</v>
      </c>
      <c r="R452" s="16">
        <f>IFERROR(__xludf.DUMMYFUNCTION("""COMPUTED_VALUE"""),2.0)</f>
        <v>2</v>
      </c>
      <c r="S452" s="16">
        <f>IFERROR(__xludf.DUMMYFUNCTION("""COMPUTED_VALUE"""),19.8)</f>
        <v>19.8</v>
      </c>
      <c r="T452" s="16">
        <f>IFERROR(__xludf.DUMMYFUNCTION("""COMPUTED_VALUE"""),25.8)</f>
        <v>25.8</v>
      </c>
      <c r="U452" s="16">
        <f>IFERROR(__xludf.DUMMYFUNCTION("""COMPUTED_VALUE"""),-1.0)</f>
        <v>-1</v>
      </c>
      <c r="V452" s="16">
        <f>IFERROR(__xludf.DUMMYFUNCTION("""COMPUTED_VALUE"""),-2.0)</f>
        <v>-2</v>
      </c>
      <c r="W452" s="16">
        <f>IFERROR(__xludf.DUMMYFUNCTION("""COMPUTED_VALUE"""),-2.0)</f>
        <v>-2</v>
      </c>
      <c r="X452" s="16">
        <f>IFERROR(__xludf.DUMMYFUNCTION("""COMPUTED_VALUE"""),-4.0)</f>
        <v>-4</v>
      </c>
      <c r="Y452" s="16">
        <f>IFERROR(__xludf.DUMMYFUNCTION("""COMPUTED_VALUE"""),31.8)</f>
        <v>31.8</v>
      </c>
      <c r="Z452" s="16">
        <f>IFERROR(__xludf.DUMMYFUNCTION("""COMPUTED_VALUE"""),28.8)</f>
        <v>28.8</v>
      </c>
      <c r="AA452" s="16">
        <f>IFERROR(__xludf.DUMMYFUNCTION("""COMPUTED_VALUE"""),-1.0)</f>
        <v>-1</v>
      </c>
      <c r="AB452" s="16">
        <f>IFERROR(__xludf.DUMMYFUNCTION("""COMPUTED_VALUE"""),-1.0)</f>
        <v>-1</v>
      </c>
      <c r="AC452" s="16">
        <f>IFERROR(__xludf.DUMMYFUNCTION("""COMPUTED_VALUE"""),-5.0)</f>
        <v>-5</v>
      </c>
      <c r="AD452" s="16">
        <f>IFERROR(__xludf.DUMMYFUNCTION("""COMPUTED_VALUE"""),-5.0)</f>
        <v>-5</v>
      </c>
      <c r="AE452" s="16">
        <f>IFERROR(__xludf.DUMMYFUNCTION("""COMPUTED_VALUE"""),39.8)</f>
        <v>39.8</v>
      </c>
      <c r="AF452" s="16">
        <f>IFERROR(__xludf.DUMMYFUNCTION("""COMPUTED_VALUE"""),51.8)</f>
        <v>51.8</v>
      </c>
      <c r="AG452" s="16">
        <f>IFERROR(__xludf.DUMMYFUNCTION("""COMPUTED_VALUE"""),-1.0)</f>
        <v>-1</v>
      </c>
      <c r="AH452" s="16">
        <f>IFERROR(__xludf.DUMMYFUNCTION("""COMPUTED_VALUE"""),-2.0)</f>
        <v>-2</v>
      </c>
      <c r="AI452" s="16">
        <f>IFERROR(__xludf.DUMMYFUNCTION("""COMPUTED_VALUE"""),-2.0)</f>
        <v>-2</v>
      </c>
      <c r="AJ452" s="16">
        <f>IFERROR(__xludf.DUMMYFUNCTION("""COMPUTED_VALUE"""),-4.0)</f>
        <v>-4</v>
      </c>
      <c r="AK452" s="16">
        <f>IFERROR(__xludf.DUMMYFUNCTION("""COMPUTED_VALUE"""),16.8)</f>
        <v>16.8</v>
      </c>
      <c r="AL452" s="16">
        <f>IFERROR(__xludf.DUMMYFUNCTION("""COMPUTED_VALUE"""),21.5)</f>
        <v>21.5</v>
      </c>
      <c r="AM452" s="16">
        <f>IFERROR(__xludf.DUMMYFUNCTION("""COMPUTED_VALUE"""),-1.0)</f>
        <v>-1</v>
      </c>
      <c r="AN452" s="16">
        <f>IFERROR(__xludf.DUMMYFUNCTION("""COMPUTED_VALUE"""),-1.0)</f>
        <v>-1</v>
      </c>
      <c r="AO452" s="16">
        <f>IFERROR(__xludf.DUMMYFUNCTION("""COMPUTED_VALUE"""),-1.0)</f>
        <v>-1</v>
      </c>
      <c r="AP452" s="16">
        <f>IFERROR(__xludf.DUMMYFUNCTION("""COMPUTED_VALUE"""),-1.0)</f>
        <v>-1</v>
      </c>
      <c r="AQ452" s="16">
        <f>IFERROR(__xludf.DUMMYFUNCTION("""COMPUTED_VALUE"""),27.799999999999997)</f>
        <v>27.8</v>
      </c>
      <c r="AR452" s="16">
        <f>IFERROR(__xludf.DUMMYFUNCTION("""COMPUTED_VALUE"""),34.599999999999994)</f>
        <v>34.6</v>
      </c>
      <c r="AS452" s="16">
        <f>IFERROR(__xludf.DUMMYFUNCTION("""COMPUTED_VALUE"""),-1.0)</f>
        <v>-1</v>
      </c>
      <c r="AT452" s="16">
        <f>IFERROR(__xludf.DUMMYFUNCTION("""COMPUTED_VALUE"""),-2.0)</f>
        <v>-2</v>
      </c>
      <c r="AU452" s="16">
        <f>IFERROR(__xludf.DUMMYFUNCTION("""COMPUTED_VALUE"""),-2.0)</f>
        <v>-2</v>
      </c>
      <c r="AV452" s="16">
        <f>IFERROR(__xludf.DUMMYFUNCTION("""COMPUTED_VALUE"""),-4.0)</f>
        <v>-4</v>
      </c>
      <c r="AW452" s="16">
        <f>IFERROR(__xludf.DUMMYFUNCTION("""COMPUTED_VALUE"""),3.0)</f>
        <v>3</v>
      </c>
      <c r="AX452" s="16">
        <f>IFERROR(__xludf.DUMMYFUNCTION("""COMPUTED_VALUE"""),4.3)</f>
        <v>4.3</v>
      </c>
      <c r="AY452" s="16">
        <f>IFERROR(__xludf.DUMMYFUNCTION("""COMPUTED_VALUE"""),-1.0)</f>
        <v>-1</v>
      </c>
      <c r="AZ452" s="16">
        <f>IFERROR(__xludf.DUMMYFUNCTION("""COMPUTED_VALUE"""),-2.0)</f>
        <v>-2</v>
      </c>
      <c r="BA452" s="16">
        <f>IFERROR(__xludf.DUMMYFUNCTION("""COMPUTED_VALUE"""),-5.0)</f>
        <v>-5</v>
      </c>
      <c r="BB452" s="16">
        <f>IFERROR(__xludf.DUMMYFUNCTION("""COMPUTED_VALUE"""),-10.0)</f>
        <v>-10</v>
      </c>
      <c r="BC452" s="16">
        <f>IFERROR(__xludf.DUMMYFUNCTION("""COMPUTED_VALUE"""),4.0)</f>
        <v>4</v>
      </c>
      <c r="BD452" s="16">
        <f>IFERROR(__xludf.DUMMYFUNCTION("""COMPUTED_VALUE"""),8.0)</f>
        <v>8</v>
      </c>
      <c r="BE452" s="16">
        <f>IFERROR(__xludf.DUMMYFUNCTION("""COMPUTED_VALUE"""),4.0)</f>
        <v>4</v>
      </c>
      <c r="BF452" s="16">
        <f>IFERROR(__xludf.DUMMYFUNCTION("""COMPUTED_VALUE"""),8.0)</f>
        <v>8</v>
      </c>
      <c r="BG452" s="16">
        <f>IFERROR(__xludf.DUMMYFUNCTION("""COMPUTED_VALUE"""),-1.0)</f>
        <v>-1</v>
      </c>
      <c r="BH452" s="16">
        <f>IFERROR(__xludf.DUMMYFUNCTION("""COMPUTED_VALUE"""),-3.0)</f>
        <v>-3</v>
      </c>
      <c r="BI452" s="16">
        <f>IFERROR(__xludf.DUMMYFUNCTION("""COMPUTED_VALUE"""),-2.0)</f>
        <v>-2</v>
      </c>
      <c r="BJ452" s="16">
        <f>IFERROR(__xludf.DUMMYFUNCTION("""COMPUTED_VALUE"""),-6.0)</f>
        <v>-6</v>
      </c>
      <c r="BK452" s="16">
        <f>IFERROR(__xludf.DUMMYFUNCTION("""COMPUTED_VALUE"""),5.0)</f>
        <v>5</v>
      </c>
      <c r="BL452" s="16">
        <f>IFERROR(__xludf.DUMMYFUNCTION("""COMPUTED_VALUE"""),5.0)</f>
        <v>5</v>
      </c>
      <c r="BM452" s="16">
        <f>IFERROR(__xludf.DUMMYFUNCTION("""COMPUTED_VALUE"""),0.0)</f>
        <v>0</v>
      </c>
      <c r="BN452" s="16">
        <f>IFERROR(__xludf.DUMMYFUNCTION("""COMPUTED_VALUE"""),0.0)</f>
        <v>0</v>
      </c>
      <c r="BO452" s="16">
        <f>IFERROR(__xludf.DUMMYFUNCTION("""COMPUTED_VALUE"""),0.0)</f>
        <v>0</v>
      </c>
      <c r="BP452" s="16">
        <f>IFERROR(__xludf.DUMMYFUNCTION("""COMPUTED_VALUE"""),0.0)</f>
        <v>0</v>
      </c>
      <c r="BQ452" s="16">
        <f>IFERROR(__xludf.DUMMYFUNCTION("""COMPUTED_VALUE"""),11.0)</f>
        <v>11</v>
      </c>
      <c r="BR452" s="16">
        <f>IFERROR(__xludf.DUMMYFUNCTION("""COMPUTED_VALUE"""),12.0)</f>
        <v>12</v>
      </c>
      <c r="BS452" s="16">
        <f>IFERROR(__xludf.DUMMYFUNCTION("""COMPUTED_VALUE"""),3.0)</f>
        <v>3</v>
      </c>
      <c r="BT452" s="16">
        <f>IFERROR(__xludf.DUMMYFUNCTION("""COMPUTED_VALUE"""),3.0)</f>
        <v>3</v>
      </c>
      <c r="BU452" s="16">
        <f>IFERROR(__xludf.DUMMYFUNCTION("""COMPUTED_VALUE"""),6.0)</f>
        <v>6</v>
      </c>
      <c r="BV452" s="16">
        <f>IFERROR(__xludf.DUMMYFUNCTION("""COMPUTED_VALUE"""),6.0)</f>
        <v>6</v>
      </c>
      <c r="BW452" s="16">
        <f>IFERROR(__xludf.DUMMYFUNCTION("""COMPUTED_VALUE"""),-1.0)</f>
        <v>-1</v>
      </c>
      <c r="BX452" s="16">
        <f>IFERROR(__xludf.DUMMYFUNCTION("""COMPUTED_VALUE"""),-1.0)</f>
        <v>-1</v>
      </c>
      <c r="BY452" s="16" t="str">
        <f>IFERROR(__xludf.DUMMYFUNCTION("""COMPUTED_VALUE"""),"S(5)")</f>
        <v>S(5)</v>
      </c>
      <c r="BZ452" s="16" t="str">
        <f>IFERROR(__xludf.DUMMYFUNCTION("""COMPUTED_VALUE"""),"S(5)")</f>
        <v>S(5)</v>
      </c>
      <c r="CA452" s="16" t="str">
        <f>IFERROR(__xludf.DUMMYFUNCTION("""COMPUTED_VALUE"""),"S(5)")</f>
        <v>S(5)</v>
      </c>
      <c r="CB452" s="16"/>
      <c r="CC452" s="16"/>
      <c r="CD452" s="16">
        <f>IFERROR(__xludf.DUMMYFUNCTION("""COMPUTED_VALUE"""),5.0)</f>
        <v>5</v>
      </c>
      <c r="CE452" s="16"/>
      <c r="CF452" s="16"/>
      <c r="CG452" s="16" t="str">
        <f>IFERROR(__xludf.DUMMYFUNCTION("""COMPUTED_VALUE"""),"2-14")</f>
        <v>2-14</v>
      </c>
      <c r="CH452" s="16">
        <f>IFERROR(__xludf.DUMMYFUNCTION("""COMPUTED_VALUE"""),2.0)</f>
        <v>2</v>
      </c>
      <c r="CI452" s="16">
        <f>IFERROR(__xludf.DUMMYFUNCTION("""COMPUTED_VALUE"""),14.0)</f>
        <v>14</v>
      </c>
      <c r="CJ452" s="16">
        <f>IFERROR(__xludf.DUMMYFUNCTION("""COMPUTED_VALUE"""),0.0)</f>
        <v>0</v>
      </c>
      <c r="CK452" s="16">
        <f>IFERROR(__xludf.DUMMYFUNCTION("""COMPUTED_VALUE"""),10.0)</f>
        <v>10</v>
      </c>
      <c r="CL452" s="16" t="str">
        <f>IFERROR(__xludf.DUMMYFUNCTION("""COMPUTED_VALUE"""),"1WR-C")</f>
        <v>1WR-C</v>
      </c>
      <c r="CM452" s="16" t="str">
        <f>IFERROR(__xludf.DUMMYFUNCTION("""COMPUTED_VALUE"""),"E")</f>
        <v>E</v>
      </c>
      <c r="CN452" s="16">
        <f>IFERROR(__xludf.DUMMYFUNCTION("""COMPUTED_VALUE"""),10.0)</f>
        <v>10</v>
      </c>
      <c r="CO452" s="16" t="str">
        <f>IFERROR(__xludf.DUMMYFUNCTION("""COMPUTED_VALUE"""),"C")</f>
        <v>C</v>
      </c>
      <c r="CP452" s="16" t="str">
        <f>IFERROR(__xludf.DUMMYFUNCTION("""COMPUTED_VALUE"""),"2p60")</f>
        <v>2p60</v>
      </c>
      <c r="CQ452" s="16">
        <f>IFERROR(__xludf.DUMMYFUNCTION("""COMPUTED_VALUE"""),-17.0)</f>
        <v>-17</v>
      </c>
      <c r="CR452" s="16">
        <f>IFERROR(__xludf.DUMMYFUNCTION("""COMPUTED_VALUE"""),-32.0)</f>
        <v>-32</v>
      </c>
      <c r="CS452" s="16">
        <f>IFERROR(__xludf.DUMMYFUNCTION("""COMPUTED_VALUE"""),-49.0)</f>
        <v>-49</v>
      </c>
      <c r="CT452" s="16">
        <f>IFERROR(__xludf.DUMMYFUNCTION("""COMPUTED_VALUE"""),-17.0)</f>
        <v>-17</v>
      </c>
      <c r="CU452" s="16">
        <f>IFERROR(__xludf.DUMMYFUNCTION("""COMPUTED_VALUE"""),-32.0)</f>
        <v>-32</v>
      </c>
      <c r="CV452" s="179">
        <f>IFERROR(__xludf.DUMMYFUNCTION("""COMPUTED_VALUE"""),-23.0)</f>
        <v>-23</v>
      </c>
      <c r="CW452" s="179">
        <f>IFERROR(__xludf.DUMMYFUNCTION("""COMPUTED_VALUE"""),3.0)</f>
        <v>3</v>
      </c>
      <c r="CX452" s="179">
        <f>IFERROR(__xludf.DUMMYFUNCTION("""COMPUTED_VALUE"""),1.0)</f>
        <v>1</v>
      </c>
      <c r="CY452" s="16" t="str">
        <f>IFERROR(__xludf.DUMMYFUNCTION("""COMPUTED_VALUE"""),"SP")</f>
        <v>SP</v>
      </c>
      <c r="CZ452" s="16"/>
      <c r="DA452" s="16"/>
      <c r="DB452" s="16"/>
      <c r="DC452" s="16"/>
      <c r="DD452" s="16"/>
      <c r="DE452" s="16"/>
      <c r="DF452" s="16"/>
      <c r="DG452" s="16"/>
      <c r="DH452" s="16"/>
      <c r="DI452" s="16"/>
      <c r="DJ452" s="16"/>
      <c r="DK452" s="16"/>
    </row>
    <row r="453">
      <c r="A453" s="16">
        <f>IFERROR(__xludf.DUMMYFUNCTION("""COMPUTED_VALUE"""),12676.0)</f>
        <v>12676</v>
      </c>
      <c r="B453" s="16" t="str">
        <f>IFERROR(__xludf.DUMMYFUNCTION("""COMPUTED_VALUE"""),"Chris Paddack")</f>
        <v>Chris Paddack</v>
      </c>
      <c r="C453" s="153">
        <f>IFERROR(__xludf.DUMMYFUNCTION("""COMPUTED_VALUE"""),0.2)</f>
        <v>0.2</v>
      </c>
      <c r="D453" s="16"/>
      <c r="E453" s="16" t="str">
        <f>IFERROR(__xludf.DUMMYFUNCTION("""COMPUTED_VALUE"""),"R")</f>
        <v>R</v>
      </c>
      <c r="F453" s="16">
        <f>IFERROR(__xludf.DUMMYFUNCTION("""COMPUTED_VALUE"""),88.0)</f>
        <v>88</v>
      </c>
      <c r="G453" s="16">
        <f>IFERROR(__xludf.DUMMYFUNCTION("""COMPUTED_VALUE"""),13.0)</f>
        <v>13</v>
      </c>
      <c r="H453" s="16">
        <f>IFERROR(__xludf.DUMMYFUNCTION("""COMPUTED_VALUE"""),27.0)</f>
        <v>27</v>
      </c>
      <c r="I453" s="16">
        <f>IFERROR(__xludf.DUMMYFUNCTION("""COMPUTED_VALUE"""),-2.0)</f>
        <v>-2</v>
      </c>
      <c r="J453" s="16">
        <f>IFERROR(__xludf.DUMMYFUNCTION("""COMPUTED_VALUE"""),0.0)</f>
        <v>0</v>
      </c>
      <c r="K453" s="16">
        <f>IFERROR(__xludf.DUMMYFUNCTION("""COMPUTED_VALUE"""),-6.0)</f>
        <v>-6</v>
      </c>
      <c r="L453" s="16">
        <f>IFERROR(__xludf.DUMMYFUNCTION("""COMPUTED_VALUE"""),0.0)</f>
        <v>0</v>
      </c>
      <c r="M453" s="16">
        <f>IFERROR(__xludf.DUMMYFUNCTION("""COMPUTED_VALUE"""),4.0)</f>
        <v>4</v>
      </c>
      <c r="N453" s="16">
        <f>IFERROR(__xludf.DUMMYFUNCTION("""COMPUTED_VALUE"""),3.0)</f>
        <v>3</v>
      </c>
      <c r="O453" s="16">
        <f>IFERROR(__xludf.DUMMYFUNCTION("""COMPUTED_VALUE"""),2.0)</f>
        <v>2</v>
      </c>
      <c r="P453" s="16">
        <f>IFERROR(__xludf.DUMMYFUNCTION("""COMPUTED_VALUE"""),2.0)</f>
        <v>2</v>
      </c>
      <c r="Q453" s="16">
        <f>IFERROR(__xludf.DUMMYFUNCTION("""COMPUTED_VALUE"""),2.0)</f>
        <v>2</v>
      </c>
      <c r="R453" s="16">
        <f>IFERROR(__xludf.DUMMYFUNCTION("""COMPUTED_VALUE"""),2.0)</f>
        <v>2</v>
      </c>
      <c r="S453" s="16">
        <f>IFERROR(__xludf.DUMMYFUNCTION("""COMPUTED_VALUE"""),28.4)</f>
        <v>28.4</v>
      </c>
      <c r="T453" s="16">
        <f>IFERROR(__xludf.DUMMYFUNCTION("""COMPUTED_VALUE"""),20.6)</f>
        <v>20.6</v>
      </c>
      <c r="U453" s="16">
        <f>IFERROR(__xludf.DUMMYFUNCTION("""COMPUTED_VALUE"""),-2.0)</f>
        <v>-2</v>
      </c>
      <c r="V453" s="16">
        <f>IFERROR(__xludf.DUMMYFUNCTION("""COMPUTED_VALUE"""),-1.0)</f>
        <v>-1</v>
      </c>
      <c r="W453" s="16">
        <f>IFERROR(__xludf.DUMMYFUNCTION("""COMPUTED_VALUE"""),-4.0)</f>
        <v>-4</v>
      </c>
      <c r="X453" s="16">
        <f>IFERROR(__xludf.DUMMYFUNCTION("""COMPUTED_VALUE"""),-2.0)</f>
        <v>-2</v>
      </c>
      <c r="Y453" s="16">
        <f>IFERROR(__xludf.DUMMYFUNCTION("""COMPUTED_VALUE"""),32.4)</f>
        <v>32.4</v>
      </c>
      <c r="Z453" s="16">
        <f>IFERROR(__xludf.DUMMYFUNCTION("""COMPUTED_VALUE"""),23.6)</f>
        <v>23.6</v>
      </c>
      <c r="AA453" s="16">
        <f>IFERROR(__xludf.DUMMYFUNCTION("""COMPUTED_VALUE"""),-1.0)</f>
        <v>-1</v>
      </c>
      <c r="AB453" s="16">
        <f>IFERROR(__xludf.DUMMYFUNCTION("""COMPUTED_VALUE"""),0.0)</f>
        <v>0</v>
      </c>
      <c r="AC453" s="16">
        <f>IFERROR(__xludf.DUMMYFUNCTION("""COMPUTED_VALUE"""),-5.0)</f>
        <v>-5</v>
      </c>
      <c r="AD453" s="16">
        <f>IFERROR(__xludf.DUMMYFUNCTION("""COMPUTED_VALUE"""),0.0)</f>
        <v>0</v>
      </c>
      <c r="AE453" s="16">
        <f>IFERROR(__xludf.DUMMYFUNCTION("""COMPUTED_VALUE"""),39.9)</f>
        <v>39.9</v>
      </c>
      <c r="AF453" s="16">
        <f>IFERROR(__xludf.DUMMYFUNCTION("""COMPUTED_VALUE"""),37.5)</f>
        <v>37.5</v>
      </c>
      <c r="AG453" s="16">
        <f>IFERROR(__xludf.DUMMYFUNCTION("""COMPUTED_VALUE"""),-1.0)</f>
        <v>-1</v>
      </c>
      <c r="AH453" s="16">
        <f>IFERROR(__xludf.DUMMYFUNCTION("""COMPUTED_VALUE"""),-1.0)</f>
        <v>-1</v>
      </c>
      <c r="AI453" s="16">
        <f>IFERROR(__xludf.DUMMYFUNCTION("""COMPUTED_VALUE"""),-2.0)</f>
        <v>-2</v>
      </c>
      <c r="AJ453" s="16">
        <f>IFERROR(__xludf.DUMMYFUNCTION("""COMPUTED_VALUE"""),-2.0)</f>
        <v>-2</v>
      </c>
      <c r="AK453" s="16">
        <f>IFERROR(__xludf.DUMMYFUNCTION("""COMPUTED_VALUE"""),25.4)</f>
        <v>25.4</v>
      </c>
      <c r="AL453" s="16">
        <f>IFERROR(__xludf.DUMMYFUNCTION("""COMPUTED_VALUE"""),17.400000000000002)</f>
        <v>17.4</v>
      </c>
      <c r="AM453" s="16">
        <f>IFERROR(__xludf.DUMMYFUNCTION("""COMPUTED_VALUE"""),-2.0)</f>
        <v>-2</v>
      </c>
      <c r="AN453" s="16">
        <f>IFERROR(__xludf.DUMMYFUNCTION("""COMPUTED_VALUE"""),-1.0)</f>
        <v>-1</v>
      </c>
      <c r="AO453" s="16">
        <f>IFERROR(__xludf.DUMMYFUNCTION("""COMPUTED_VALUE"""),-2.0)</f>
        <v>-2</v>
      </c>
      <c r="AP453" s="16">
        <f>IFERROR(__xludf.DUMMYFUNCTION("""COMPUTED_VALUE"""),-1.0)</f>
        <v>-1</v>
      </c>
      <c r="AQ453" s="16">
        <f>IFERROR(__xludf.DUMMYFUNCTION("""COMPUTED_VALUE"""),27.9)</f>
        <v>27.9</v>
      </c>
      <c r="AR453" s="16">
        <f>IFERROR(__xludf.DUMMYFUNCTION("""COMPUTED_VALUE"""),24.7)</f>
        <v>24.7</v>
      </c>
      <c r="AS453" s="16">
        <f>IFERROR(__xludf.DUMMYFUNCTION("""COMPUTED_VALUE"""),-1.0)</f>
        <v>-1</v>
      </c>
      <c r="AT453" s="16">
        <f>IFERROR(__xludf.DUMMYFUNCTION("""COMPUTED_VALUE"""),-1.0)</f>
        <v>-1</v>
      </c>
      <c r="AU453" s="16">
        <f>IFERROR(__xludf.DUMMYFUNCTION("""COMPUTED_VALUE"""),-2.0)</f>
        <v>-2</v>
      </c>
      <c r="AV453" s="16">
        <f>IFERROR(__xludf.DUMMYFUNCTION("""COMPUTED_VALUE"""),-2.0)</f>
        <v>-2</v>
      </c>
      <c r="AW453" s="16">
        <f>IFERROR(__xludf.DUMMYFUNCTION("""COMPUTED_VALUE"""),3.0)</f>
        <v>3</v>
      </c>
      <c r="AX453" s="16">
        <f>IFERROR(__xludf.DUMMYFUNCTION("""COMPUTED_VALUE"""),3.2)</f>
        <v>3.2</v>
      </c>
      <c r="AY453" s="16">
        <f>IFERROR(__xludf.DUMMYFUNCTION("""COMPUTED_VALUE"""),-1.0)</f>
        <v>-1</v>
      </c>
      <c r="AZ453" s="16">
        <f>IFERROR(__xludf.DUMMYFUNCTION("""COMPUTED_VALUE"""),-1.0)</f>
        <v>-1</v>
      </c>
      <c r="BA453" s="16">
        <f>IFERROR(__xludf.DUMMYFUNCTION("""COMPUTED_VALUE"""),-5.0)</f>
        <v>-5</v>
      </c>
      <c r="BB453" s="16">
        <f>IFERROR(__xludf.DUMMYFUNCTION("""COMPUTED_VALUE"""),-5.0)</f>
        <v>-5</v>
      </c>
      <c r="BC453" s="16">
        <f>IFERROR(__xludf.DUMMYFUNCTION("""COMPUTED_VALUE"""),4.0)</f>
        <v>4</v>
      </c>
      <c r="BD453" s="16">
        <f>IFERROR(__xludf.DUMMYFUNCTION("""COMPUTED_VALUE"""),5.0)</f>
        <v>5</v>
      </c>
      <c r="BE453" s="16">
        <f>IFERROR(__xludf.DUMMYFUNCTION("""COMPUTED_VALUE"""),4.0)</f>
        <v>4</v>
      </c>
      <c r="BF453" s="16">
        <f>IFERROR(__xludf.DUMMYFUNCTION("""COMPUTED_VALUE"""),5.0)</f>
        <v>5</v>
      </c>
      <c r="BG453" s="16">
        <f>IFERROR(__xludf.DUMMYFUNCTION("""COMPUTED_VALUE"""),-1.0)</f>
        <v>-1</v>
      </c>
      <c r="BH453" s="16">
        <f>IFERROR(__xludf.DUMMYFUNCTION("""COMPUTED_VALUE"""),-2.0)</f>
        <v>-2</v>
      </c>
      <c r="BI453" s="16">
        <f>IFERROR(__xludf.DUMMYFUNCTION("""COMPUTED_VALUE"""),-2.0)</f>
        <v>-2</v>
      </c>
      <c r="BJ453" s="16">
        <f>IFERROR(__xludf.DUMMYFUNCTION("""COMPUTED_VALUE"""),-4.0)</f>
        <v>-4</v>
      </c>
      <c r="BK453" s="16">
        <f>IFERROR(__xludf.DUMMYFUNCTION("""COMPUTED_VALUE"""),5.0)</f>
        <v>5</v>
      </c>
      <c r="BL453" s="16">
        <f>IFERROR(__xludf.DUMMYFUNCTION("""COMPUTED_VALUE"""),5.0)</f>
        <v>5</v>
      </c>
      <c r="BM453" s="16">
        <f>IFERROR(__xludf.DUMMYFUNCTION("""COMPUTED_VALUE"""),0.0)</f>
        <v>0</v>
      </c>
      <c r="BN453" s="16">
        <f>IFERROR(__xludf.DUMMYFUNCTION("""COMPUTED_VALUE"""),0.0)</f>
        <v>0</v>
      </c>
      <c r="BO453" s="16">
        <f>IFERROR(__xludf.DUMMYFUNCTION("""COMPUTED_VALUE"""),0.0)</f>
        <v>0</v>
      </c>
      <c r="BP453" s="16">
        <f>IFERROR(__xludf.DUMMYFUNCTION("""COMPUTED_VALUE"""),0.0)</f>
        <v>0</v>
      </c>
      <c r="BQ453" s="16">
        <f>IFERROR(__xludf.DUMMYFUNCTION("""COMPUTED_VALUE"""),4.0)</f>
        <v>4</v>
      </c>
      <c r="BR453" s="16">
        <f>IFERROR(__xludf.DUMMYFUNCTION("""COMPUTED_VALUE"""),4.0)</f>
        <v>4</v>
      </c>
      <c r="BS453" s="16">
        <f>IFERROR(__xludf.DUMMYFUNCTION("""COMPUTED_VALUE"""),-1.0)</f>
        <v>-1</v>
      </c>
      <c r="BT453" s="16">
        <f>IFERROR(__xludf.DUMMYFUNCTION("""COMPUTED_VALUE"""),-1.0)</f>
        <v>-1</v>
      </c>
      <c r="BU453" s="16">
        <f>IFERROR(__xludf.DUMMYFUNCTION("""COMPUTED_VALUE"""),-2.0)</f>
        <v>-2</v>
      </c>
      <c r="BV453" s="16">
        <f>IFERROR(__xludf.DUMMYFUNCTION("""COMPUTED_VALUE"""),-2.0)</f>
        <v>-2</v>
      </c>
      <c r="BW453" s="16">
        <f>IFERROR(__xludf.DUMMYFUNCTION("""COMPUTED_VALUE"""),-3.0)</f>
        <v>-3</v>
      </c>
      <c r="BX453" s="16">
        <f>IFERROR(__xludf.DUMMYFUNCTION("""COMPUTED_VALUE"""),-3.0)</f>
        <v>-3</v>
      </c>
      <c r="BY453" s="16" t="str">
        <f>IFERROR(__xludf.DUMMYFUNCTION("""COMPUTED_VALUE"""),"S(5)")</f>
        <v>S(5)</v>
      </c>
      <c r="BZ453" s="16" t="str">
        <f>IFERROR(__xludf.DUMMYFUNCTION("""COMPUTED_VALUE"""),"S(5)")</f>
        <v>S(5)</v>
      </c>
      <c r="CA453" s="16" t="str">
        <f>IFERROR(__xludf.DUMMYFUNCTION("""COMPUTED_VALUE"""),"S(5)")</f>
        <v>S(5)</v>
      </c>
      <c r="CB453" s="16"/>
      <c r="CC453" s="16"/>
      <c r="CD453" s="16">
        <f>IFERROR(__xludf.DUMMYFUNCTION("""COMPUTED_VALUE"""),5.0)</f>
        <v>5</v>
      </c>
      <c r="CE453" s="16"/>
      <c r="CF453" s="16"/>
      <c r="CG453" s="16" t="str">
        <f>IFERROR(__xludf.DUMMYFUNCTION("""COMPUTED_VALUE"""),"4-0")</f>
        <v>4-0</v>
      </c>
      <c r="CH453" s="16">
        <f>IFERROR(__xludf.DUMMYFUNCTION("""COMPUTED_VALUE"""),4.0)</f>
        <v>4</v>
      </c>
      <c r="CI453" s="16">
        <f>IFERROR(__xludf.DUMMYFUNCTION("""COMPUTED_VALUE"""),0.0)</f>
        <v>0</v>
      </c>
      <c r="CJ453" s="16">
        <f>IFERROR(__xludf.DUMMYFUNCTION("""COMPUTED_VALUE"""),0.0)</f>
        <v>0</v>
      </c>
      <c r="CK453" s="16">
        <f>IFERROR(__xludf.DUMMYFUNCTION("""COMPUTED_VALUE"""),7.0)</f>
        <v>7</v>
      </c>
      <c r="CL453" s="16" t="str">
        <f>IFERROR(__xludf.DUMMYFUNCTION("""COMPUTED_VALUE"""),"1WR-C")</f>
        <v>1WR-C</v>
      </c>
      <c r="CM453" s="16" t="str">
        <f>IFERROR(__xludf.DUMMYFUNCTION("""COMPUTED_VALUE"""),"E")</f>
        <v>E</v>
      </c>
      <c r="CN453" s="16">
        <f>IFERROR(__xludf.DUMMYFUNCTION("""COMPUTED_VALUE"""),10.0)</f>
        <v>10</v>
      </c>
      <c r="CO453" s="16" t="str">
        <f>IFERROR(__xludf.DUMMYFUNCTION("""COMPUTED_VALUE"""),"C")</f>
        <v>C</v>
      </c>
      <c r="CP453" s="16" t="str">
        <f>IFERROR(__xludf.DUMMYFUNCTION("""COMPUTED_VALUE"""),"4p50")</f>
        <v>4p50</v>
      </c>
      <c r="CQ453" s="16">
        <f>IFERROR(__xludf.DUMMYFUNCTION("""COMPUTED_VALUE"""),-28.0)</f>
        <v>-28</v>
      </c>
      <c r="CR453" s="16">
        <f>IFERROR(__xludf.DUMMYFUNCTION("""COMPUTED_VALUE"""),-16.0)</f>
        <v>-16</v>
      </c>
      <c r="CS453" s="16">
        <f>IFERROR(__xludf.DUMMYFUNCTION("""COMPUTED_VALUE"""),-44.0)</f>
        <v>-44</v>
      </c>
      <c r="CT453" s="16">
        <f>IFERROR(__xludf.DUMMYFUNCTION("""COMPUTED_VALUE"""),-28.0)</f>
        <v>-28</v>
      </c>
      <c r="CU453" s="16">
        <f>IFERROR(__xludf.DUMMYFUNCTION("""COMPUTED_VALUE"""),-16.0)</f>
        <v>-16</v>
      </c>
      <c r="CV453" s="179">
        <f>IFERROR(__xludf.DUMMYFUNCTION("""COMPUTED_VALUE"""),-23.0)</f>
        <v>-23</v>
      </c>
      <c r="CW453" s="179">
        <f>IFERROR(__xludf.DUMMYFUNCTION("""COMPUTED_VALUE"""),1.0)</f>
        <v>1</v>
      </c>
      <c r="CX453" s="179">
        <f>IFERROR(__xludf.DUMMYFUNCTION("""COMPUTED_VALUE"""),0.0)</f>
        <v>0</v>
      </c>
      <c r="CY453" s="16" t="str">
        <f>IFERROR(__xludf.DUMMYFUNCTION("""COMPUTED_VALUE"""),"SP")</f>
        <v>SP</v>
      </c>
      <c r="CZ453" s="16"/>
      <c r="DA453" s="16"/>
      <c r="DB453" s="16"/>
      <c r="DC453" s="16"/>
      <c r="DD453" s="16"/>
      <c r="DE453" s="16"/>
      <c r="DF453" s="16"/>
      <c r="DG453" s="16"/>
      <c r="DH453" s="16"/>
      <c r="DI453" s="16"/>
      <c r="DJ453" s="16"/>
      <c r="DK453" s="16"/>
    </row>
    <row r="454">
      <c r="A454" s="16">
        <f>IFERROR(__xludf.DUMMYFUNCTION("""COMPUTED_VALUE"""),13305.0)</f>
        <v>13305</v>
      </c>
      <c r="B454" s="16" t="str">
        <f>IFERROR(__xludf.DUMMYFUNCTION("""COMPUTED_VALUE"""),"Reid Detmers")</f>
        <v>Reid Detmers</v>
      </c>
      <c r="C454" s="153">
        <f>IFERROR(__xludf.DUMMYFUNCTION("""COMPUTED_VALUE"""),0.0)</f>
        <v>0</v>
      </c>
      <c r="D454" s="16"/>
      <c r="E454" s="16" t="str">
        <f>IFERROR(__xludf.DUMMYFUNCTION("""COMPUTED_VALUE"""),"L")</f>
        <v>L</v>
      </c>
      <c r="F454" s="16">
        <f>IFERROR(__xludf.DUMMYFUNCTION("""COMPUTED_VALUE"""),87.0)</f>
        <v>87</v>
      </c>
      <c r="G454" s="16">
        <f>IFERROR(__xludf.DUMMYFUNCTION("""COMPUTED_VALUE"""),33.0)</f>
        <v>33</v>
      </c>
      <c r="H454" s="16">
        <f>IFERROR(__xludf.DUMMYFUNCTION("""COMPUTED_VALUE"""),31.0)</f>
        <v>31</v>
      </c>
      <c r="I454" s="16">
        <f>IFERROR(__xludf.DUMMYFUNCTION("""COMPUTED_VALUE"""),1.0)</f>
        <v>1</v>
      </c>
      <c r="J454" s="16">
        <f>IFERROR(__xludf.DUMMYFUNCTION("""COMPUTED_VALUE"""),0.0)</f>
        <v>0</v>
      </c>
      <c r="K454" s="16">
        <f>IFERROR(__xludf.DUMMYFUNCTION("""COMPUTED_VALUE"""),3.0)</f>
        <v>3</v>
      </c>
      <c r="L454" s="16">
        <f>IFERROR(__xludf.DUMMYFUNCTION("""COMPUTED_VALUE"""),0.0)</f>
        <v>0</v>
      </c>
      <c r="M454" s="16">
        <f>IFERROR(__xludf.DUMMYFUNCTION("""COMPUTED_VALUE"""),19.0)</f>
        <v>19</v>
      </c>
      <c r="N454" s="16">
        <f>IFERROR(__xludf.DUMMYFUNCTION("""COMPUTED_VALUE"""),10.0)</f>
        <v>10</v>
      </c>
      <c r="O454" s="16">
        <f>IFERROR(__xludf.DUMMYFUNCTION("""COMPUTED_VALUE"""),-3.0)</f>
        <v>-3</v>
      </c>
      <c r="P454" s="16">
        <f>IFERROR(__xludf.DUMMYFUNCTION("""COMPUTED_VALUE"""),-1.0)</f>
        <v>-1</v>
      </c>
      <c r="Q454" s="16">
        <f>IFERROR(__xludf.DUMMYFUNCTION("""COMPUTED_VALUE"""),-3.0)</f>
        <v>-3</v>
      </c>
      <c r="R454" s="16">
        <f>IFERROR(__xludf.DUMMYFUNCTION("""COMPUTED_VALUE"""),-1.0)</f>
        <v>-1</v>
      </c>
      <c r="S454" s="16">
        <f>IFERROR(__xludf.DUMMYFUNCTION("""COMPUTED_VALUE"""),12.5)</f>
        <v>12.5</v>
      </c>
      <c r="T454" s="16">
        <f>IFERROR(__xludf.DUMMYFUNCTION("""COMPUTED_VALUE"""),23.4)</f>
        <v>23.4</v>
      </c>
      <c r="U454" s="16">
        <f>IFERROR(__xludf.DUMMYFUNCTION("""COMPUTED_VALUE"""),0.0)</f>
        <v>0</v>
      </c>
      <c r="V454" s="16">
        <f>IFERROR(__xludf.DUMMYFUNCTION("""COMPUTED_VALUE"""),-1.0)</f>
        <v>-1</v>
      </c>
      <c r="W454" s="16">
        <f>IFERROR(__xludf.DUMMYFUNCTION("""COMPUTED_VALUE"""),0.0)</f>
        <v>0</v>
      </c>
      <c r="X454" s="16">
        <f>IFERROR(__xludf.DUMMYFUNCTION("""COMPUTED_VALUE"""),-2.0)</f>
        <v>-2</v>
      </c>
      <c r="Y454" s="16">
        <f>IFERROR(__xludf.DUMMYFUNCTION("""COMPUTED_VALUE"""),31.5)</f>
        <v>31.5</v>
      </c>
      <c r="Z454" s="16">
        <f>IFERROR(__xludf.DUMMYFUNCTION("""COMPUTED_VALUE"""),33.3)</f>
        <v>33.3</v>
      </c>
      <c r="AA454" s="16">
        <f>IFERROR(__xludf.DUMMYFUNCTION("""COMPUTED_VALUE"""),-1.0)</f>
        <v>-1</v>
      </c>
      <c r="AB454" s="16">
        <f>IFERROR(__xludf.DUMMYFUNCTION("""COMPUTED_VALUE"""),-1.0)</f>
        <v>-1</v>
      </c>
      <c r="AC454" s="16">
        <f>IFERROR(__xludf.DUMMYFUNCTION("""COMPUTED_VALUE"""),-5.0)</f>
        <v>-5</v>
      </c>
      <c r="AD454" s="16">
        <f>IFERROR(__xludf.DUMMYFUNCTION("""COMPUTED_VALUE"""),-5.0)</f>
        <v>-5</v>
      </c>
      <c r="AE454" s="16">
        <f>IFERROR(__xludf.DUMMYFUNCTION("""COMPUTED_VALUE"""),34.2)</f>
        <v>34.2</v>
      </c>
      <c r="AF454" s="16">
        <f>IFERROR(__xludf.DUMMYFUNCTION("""COMPUTED_VALUE"""),42.1)</f>
        <v>42.1</v>
      </c>
      <c r="AG454" s="16">
        <f>IFERROR(__xludf.DUMMYFUNCTION("""COMPUTED_VALUE"""),-1.0)</f>
        <v>-1</v>
      </c>
      <c r="AH454" s="16">
        <f>IFERROR(__xludf.DUMMYFUNCTION("""COMPUTED_VALUE"""),-2.0)</f>
        <v>-2</v>
      </c>
      <c r="AI454" s="16">
        <f>IFERROR(__xludf.DUMMYFUNCTION("""COMPUTED_VALUE"""),-2.0)</f>
        <v>-2</v>
      </c>
      <c r="AJ454" s="16">
        <f>IFERROR(__xludf.DUMMYFUNCTION("""COMPUTED_VALUE"""),-4.0)</f>
        <v>-4</v>
      </c>
      <c r="AK454" s="16">
        <f>IFERROR(__xludf.DUMMYFUNCTION("""COMPUTED_VALUE"""),8.4)</f>
        <v>8.4</v>
      </c>
      <c r="AL454" s="16">
        <f>IFERROR(__xludf.DUMMYFUNCTION("""COMPUTED_VALUE"""),20.2)</f>
        <v>20.2</v>
      </c>
      <c r="AM454" s="16">
        <f>IFERROR(__xludf.DUMMYFUNCTION("""COMPUTED_VALUE"""),1.0)</f>
        <v>1</v>
      </c>
      <c r="AN454" s="16">
        <f>IFERROR(__xludf.DUMMYFUNCTION("""COMPUTED_VALUE"""),-1.0)</f>
        <v>-1</v>
      </c>
      <c r="AO454" s="16">
        <f>IFERROR(__xludf.DUMMYFUNCTION("""COMPUTED_VALUE"""),1.0)</f>
        <v>1</v>
      </c>
      <c r="AP454" s="16">
        <f>IFERROR(__xludf.DUMMYFUNCTION("""COMPUTED_VALUE"""),-1.0)</f>
        <v>-1</v>
      </c>
      <c r="AQ454" s="16">
        <f>IFERROR(__xludf.DUMMYFUNCTION("""COMPUTED_VALUE"""),17.800000000000004)</f>
        <v>17.8</v>
      </c>
      <c r="AR454" s="16">
        <f>IFERROR(__xludf.DUMMYFUNCTION("""COMPUTED_VALUE"""),29.3)</f>
        <v>29.3</v>
      </c>
      <c r="AS454" s="16">
        <f>IFERROR(__xludf.DUMMYFUNCTION("""COMPUTED_VALUE"""),0.0)</f>
        <v>0</v>
      </c>
      <c r="AT454" s="16">
        <f>IFERROR(__xludf.DUMMYFUNCTION("""COMPUTED_VALUE"""),-1.0)</f>
        <v>-1</v>
      </c>
      <c r="AU454" s="16">
        <f>IFERROR(__xludf.DUMMYFUNCTION("""COMPUTED_VALUE"""),0.0)</f>
        <v>0</v>
      </c>
      <c r="AV454" s="16">
        <f>IFERROR(__xludf.DUMMYFUNCTION("""COMPUTED_VALUE"""),-2.0)</f>
        <v>-2</v>
      </c>
      <c r="AW454" s="16">
        <f>IFERROR(__xludf.DUMMYFUNCTION("""COMPUTED_VALUE"""),4.1)</f>
        <v>4.1</v>
      </c>
      <c r="AX454" s="16">
        <f>IFERROR(__xludf.DUMMYFUNCTION("""COMPUTED_VALUE"""),3.2)</f>
        <v>3.2</v>
      </c>
      <c r="AY454" s="16">
        <f>IFERROR(__xludf.DUMMYFUNCTION("""COMPUTED_VALUE"""),-2.0)</f>
        <v>-2</v>
      </c>
      <c r="AZ454" s="16">
        <f>IFERROR(__xludf.DUMMYFUNCTION("""COMPUTED_VALUE"""),-1.0)</f>
        <v>-1</v>
      </c>
      <c r="BA454" s="16">
        <f>IFERROR(__xludf.DUMMYFUNCTION("""COMPUTED_VALUE"""),-10.0)</f>
        <v>-10</v>
      </c>
      <c r="BB454" s="16">
        <f>IFERROR(__xludf.DUMMYFUNCTION("""COMPUTED_VALUE"""),-5.0)</f>
        <v>-5</v>
      </c>
      <c r="BC454" s="16">
        <f>IFERROR(__xludf.DUMMYFUNCTION("""COMPUTED_VALUE"""),7.0)</f>
        <v>7</v>
      </c>
      <c r="BD454" s="16">
        <f>IFERROR(__xludf.DUMMYFUNCTION("""COMPUTED_VALUE"""),6.0)</f>
        <v>6</v>
      </c>
      <c r="BE454" s="16">
        <f>IFERROR(__xludf.DUMMYFUNCTION("""COMPUTED_VALUE"""),7.0)</f>
        <v>7</v>
      </c>
      <c r="BF454" s="16">
        <f>IFERROR(__xludf.DUMMYFUNCTION("""COMPUTED_VALUE"""),6.0)</f>
        <v>6</v>
      </c>
      <c r="BG454" s="16">
        <f>IFERROR(__xludf.DUMMYFUNCTION("""COMPUTED_VALUE"""),-3.0)</f>
        <v>-3</v>
      </c>
      <c r="BH454" s="16">
        <f>IFERROR(__xludf.DUMMYFUNCTION("""COMPUTED_VALUE"""),-2.0)</f>
        <v>-2</v>
      </c>
      <c r="BI454" s="16">
        <f>IFERROR(__xludf.DUMMYFUNCTION("""COMPUTED_VALUE"""),-6.0)</f>
        <v>-6</v>
      </c>
      <c r="BJ454" s="16">
        <f>IFERROR(__xludf.DUMMYFUNCTION("""COMPUTED_VALUE"""),-4.0)</f>
        <v>-4</v>
      </c>
      <c r="BK454" s="16">
        <f>IFERROR(__xludf.DUMMYFUNCTION("""COMPUTED_VALUE"""),5.0)</f>
        <v>5</v>
      </c>
      <c r="BL454" s="16">
        <f>IFERROR(__xludf.DUMMYFUNCTION("""COMPUTED_VALUE"""),5.0)</f>
        <v>5</v>
      </c>
      <c r="BM454" s="16">
        <f>IFERROR(__xludf.DUMMYFUNCTION("""COMPUTED_VALUE"""),0.0)</f>
        <v>0</v>
      </c>
      <c r="BN454" s="16">
        <f>IFERROR(__xludf.DUMMYFUNCTION("""COMPUTED_VALUE"""),0.0)</f>
        <v>0</v>
      </c>
      <c r="BO454" s="16">
        <f>IFERROR(__xludf.DUMMYFUNCTION("""COMPUTED_VALUE"""),0.0)</f>
        <v>0</v>
      </c>
      <c r="BP454" s="16">
        <f>IFERROR(__xludf.DUMMYFUNCTION("""COMPUTED_VALUE"""),0.0)</f>
        <v>0</v>
      </c>
      <c r="BQ454" s="16">
        <f>IFERROR(__xludf.DUMMYFUNCTION("""COMPUTED_VALUE"""),1.0)</f>
        <v>1</v>
      </c>
      <c r="BR454" s="16">
        <f>IFERROR(__xludf.DUMMYFUNCTION("""COMPUTED_VALUE"""),1.0)</f>
        <v>1</v>
      </c>
      <c r="BS454" s="16">
        <f>IFERROR(__xludf.DUMMYFUNCTION("""COMPUTED_VALUE"""),-2.0)</f>
        <v>-2</v>
      </c>
      <c r="BT454" s="16">
        <f>IFERROR(__xludf.DUMMYFUNCTION("""COMPUTED_VALUE"""),-2.0)</f>
        <v>-2</v>
      </c>
      <c r="BU454" s="16">
        <f>IFERROR(__xludf.DUMMYFUNCTION("""COMPUTED_VALUE"""),-4.0)</f>
        <v>-4</v>
      </c>
      <c r="BV454" s="16">
        <f>IFERROR(__xludf.DUMMYFUNCTION("""COMPUTED_VALUE"""),-4.0)</f>
        <v>-4</v>
      </c>
      <c r="BW454" s="16">
        <f>IFERROR(__xludf.DUMMYFUNCTION("""COMPUTED_VALUE"""),4.0)</f>
        <v>4</v>
      </c>
      <c r="BX454" s="16">
        <f>IFERROR(__xludf.DUMMYFUNCTION("""COMPUTED_VALUE"""),4.0)</f>
        <v>4</v>
      </c>
      <c r="BY454" s="16" t="str">
        <f>IFERROR(__xludf.DUMMYFUNCTION("""COMPUTED_VALUE"""),"S(5)")</f>
        <v>S(5)</v>
      </c>
      <c r="BZ454" s="16" t="str">
        <f>IFERROR(__xludf.DUMMYFUNCTION("""COMPUTED_VALUE"""),"S(5)")</f>
        <v>S(5)</v>
      </c>
      <c r="CA454" s="16" t="str">
        <f>IFERROR(__xludf.DUMMYFUNCTION("""COMPUTED_VALUE"""),"S(5)")</f>
        <v>S(5)</v>
      </c>
      <c r="CB454" s="16"/>
      <c r="CC454" s="16"/>
      <c r="CD454" s="16">
        <f>IFERROR(__xludf.DUMMYFUNCTION("""COMPUTED_VALUE"""),5.0)</f>
        <v>5</v>
      </c>
      <c r="CE454" s="16"/>
      <c r="CF454" s="16"/>
      <c r="CG454" s="16" t="str">
        <f>IFERROR(__xludf.DUMMYFUNCTION("""COMPUTED_VALUE"""),"4-0")</f>
        <v>4-0</v>
      </c>
      <c r="CH454" s="16">
        <f>IFERROR(__xludf.DUMMYFUNCTION("""COMPUTED_VALUE"""),4.0)</f>
        <v>4</v>
      </c>
      <c r="CI454" s="16">
        <f>IFERROR(__xludf.DUMMYFUNCTION("""COMPUTED_VALUE"""),0.0)</f>
        <v>0</v>
      </c>
      <c r="CJ454" s="16">
        <f>IFERROR(__xludf.DUMMYFUNCTION("""COMPUTED_VALUE"""),0.0)</f>
        <v>0</v>
      </c>
      <c r="CK454" s="16">
        <f>IFERROR(__xludf.DUMMYFUNCTION("""COMPUTED_VALUE"""),9.0)</f>
        <v>9</v>
      </c>
      <c r="CL454" s="16" t="str">
        <f>IFERROR(__xludf.DUMMYFUNCTION("""COMPUTED_VALUE"""),"1WL-C")</f>
        <v>1WL-C</v>
      </c>
      <c r="CM454" s="16" t="str">
        <f>IFERROR(__xludf.DUMMYFUNCTION("""COMPUTED_VALUE"""),"E")</f>
        <v>E</v>
      </c>
      <c r="CN454" s="16">
        <f>IFERROR(__xludf.DUMMYFUNCTION("""COMPUTED_VALUE"""),10.0)</f>
        <v>10</v>
      </c>
      <c r="CO454" s="16" t="str">
        <f>IFERROR(__xludf.DUMMYFUNCTION("""COMPUTED_VALUE"""),"C")</f>
        <v>C</v>
      </c>
      <c r="CP454" s="16" t="str">
        <f>IFERROR(__xludf.DUMMYFUNCTION("""COMPUTED_VALUE"""),"1p50")</f>
        <v>1p50</v>
      </c>
      <c r="CQ454" s="16">
        <f>IFERROR(__xludf.DUMMYFUNCTION("""COMPUTED_VALUE"""),-26.0)</f>
        <v>-26</v>
      </c>
      <c r="CR454" s="16">
        <f>IFERROR(__xludf.DUMMYFUNCTION("""COMPUTED_VALUE"""),-28.0)</f>
        <v>-28</v>
      </c>
      <c r="CS454" s="16">
        <f>IFERROR(__xludf.DUMMYFUNCTION("""COMPUTED_VALUE"""),-54.0)</f>
        <v>-54</v>
      </c>
      <c r="CT454" s="16">
        <f>IFERROR(__xludf.DUMMYFUNCTION("""COMPUTED_VALUE"""),-26.0)</f>
        <v>-26</v>
      </c>
      <c r="CU454" s="16">
        <f>IFERROR(__xludf.DUMMYFUNCTION("""COMPUTED_VALUE"""),-28.0)</f>
        <v>-28</v>
      </c>
      <c r="CV454" s="179">
        <f>IFERROR(__xludf.DUMMYFUNCTION("""COMPUTED_VALUE"""),-23.333333333333332)</f>
        <v>-23.33333333</v>
      </c>
      <c r="CW454" s="179">
        <f>IFERROR(__xludf.DUMMYFUNCTION("""COMPUTED_VALUE"""),4.0)</f>
        <v>4</v>
      </c>
      <c r="CX454" s="179">
        <f>IFERROR(__xludf.DUMMYFUNCTION("""COMPUTED_VALUE"""),0.0)</f>
        <v>0</v>
      </c>
      <c r="CY454" s="16" t="str">
        <f>IFERROR(__xludf.DUMMYFUNCTION("""COMPUTED_VALUE"""),"SP")</f>
        <v>SP</v>
      </c>
      <c r="CZ454" s="16"/>
      <c r="DA454" s="16"/>
      <c r="DB454" s="16"/>
      <c r="DC454" s="16"/>
      <c r="DD454" s="16"/>
      <c r="DE454" s="16"/>
      <c r="DF454" s="16"/>
      <c r="DG454" s="16"/>
      <c r="DH454" s="16"/>
      <c r="DI454" s="16"/>
      <c r="DJ454" s="16"/>
      <c r="DK454" s="16"/>
    </row>
    <row r="455">
      <c r="A455" s="16">
        <f>IFERROR(__xludf.DUMMYFUNCTION("""COMPUTED_VALUE"""),12851.0)</f>
        <v>12851</v>
      </c>
      <c r="B455" s="16" t="str">
        <f>IFERROR(__xludf.DUMMYFUNCTION("""COMPUTED_VALUE"""),"Grant Anderson")</f>
        <v>Grant Anderson</v>
      </c>
      <c r="C455" s="153">
        <f>IFERROR(__xludf.DUMMYFUNCTION("""COMPUTED_VALUE"""),0.0)</f>
        <v>0</v>
      </c>
      <c r="D455" s="16"/>
      <c r="E455" s="16" t="str">
        <f>IFERROR(__xludf.DUMMYFUNCTION("""COMPUTED_VALUE"""),"R")</f>
        <v>R</v>
      </c>
      <c r="F455" s="16">
        <f>IFERROR(__xludf.DUMMYFUNCTION("""COMPUTED_VALUE"""),27.0)</f>
        <v>27</v>
      </c>
      <c r="G455" s="16">
        <f>IFERROR(__xludf.DUMMYFUNCTION("""COMPUTED_VALUE"""),26.0)</f>
        <v>26</v>
      </c>
      <c r="H455" s="16">
        <f>IFERROR(__xludf.DUMMYFUNCTION("""COMPUTED_VALUE"""),29.0)</f>
        <v>29</v>
      </c>
      <c r="I455" s="16">
        <f>IFERROR(__xludf.DUMMYFUNCTION("""COMPUTED_VALUE"""),0.0)</f>
        <v>0</v>
      </c>
      <c r="J455" s="16">
        <f>IFERROR(__xludf.DUMMYFUNCTION("""COMPUTED_VALUE"""),0.0)</f>
        <v>0</v>
      </c>
      <c r="K455" s="16">
        <f>IFERROR(__xludf.DUMMYFUNCTION("""COMPUTED_VALUE"""),0.0)</f>
        <v>0</v>
      </c>
      <c r="L455" s="16">
        <f>IFERROR(__xludf.DUMMYFUNCTION("""COMPUTED_VALUE"""),0.0)</f>
        <v>0</v>
      </c>
      <c r="M455" s="16">
        <f>IFERROR(__xludf.DUMMYFUNCTION("""COMPUTED_VALUE"""),3.0)</f>
        <v>3</v>
      </c>
      <c r="N455" s="16">
        <f>IFERROR(__xludf.DUMMYFUNCTION("""COMPUTED_VALUE"""),6.0)</f>
        <v>6</v>
      </c>
      <c r="O455" s="16">
        <f>IFERROR(__xludf.DUMMYFUNCTION("""COMPUTED_VALUE"""),2.0)</f>
        <v>2</v>
      </c>
      <c r="P455" s="16">
        <f>IFERROR(__xludf.DUMMYFUNCTION("""COMPUTED_VALUE"""),1.0)</f>
        <v>1</v>
      </c>
      <c r="Q455" s="16">
        <f>IFERROR(__xludf.DUMMYFUNCTION("""COMPUTED_VALUE"""),2.0)</f>
        <v>2</v>
      </c>
      <c r="R455" s="16">
        <f>IFERROR(__xludf.DUMMYFUNCTION("""COMPUTED_VALUE"""),1.0)</f>
        <v>1</v>
      </c>
      <c r="S455" s="16">
        <f>IFERROR(__xludf.DUMMYFUNCTION("""COMPUTED_VALUE"""),29.1)</f>
        <v>29.1</v>
      </c>
      <c r="T455" s="16">
        <f>IFERROR(__xludf.DUMMYFUNCTION("""COMPUTED_VALUE"""),27.2)</f>
        <v>27.2</v>
      </c>
      <c r="U455" s="16">
        <f>IFERROR(__xludf.DUMMYFUNCTION("""COMPUTED_VALUE"""),-2.0)</f>
        <v>-2</v>
      </c>
      <c r="V455" s="16">
        <f>IFERROR(__xludf.DUMMYFUNCTION("""COMPUTED_VALUE"""),-2.0)</f>
        <v>-2</v>
      </c>
      <c r="W455" s="16">
        <f>IFERROR(__xludf.DUMMYFUNCTION("""COMPUTED_VALUE"""),-4.0)</f>
        <v>-4</v>
      </c>
      <c r="X455" s="16">
        <f>IFERROR(__xludf.DUMMYFUNCTION("""COMPUTED_VALUE"""),-4.0)</f>
        <v>-4</v>
      </c>
      <c r="Y455" s="16">
        <f>IFERROR(__xludf.DUMMYFUNCTION("""COMPUTED_VALUE"""),32.1)</f>
        <v>32.1</v>
      </c>
      <c r="Z455" s="16">
        <f>IFERROR(__xludf.DUMMYFUNCTION("""COMPUTED_VALUE"""),33.2)</f>
        <v>33.2</v>
      </c>
      <c r="AA455" s="16">
        <f>IFERROR(__xludf.DUMMYFUNCTION("""COMPUTED_VALUE"""),-1.0)</f>
        <v>-1</v>
      </c>
      <c r="AB455" s="16">
        <f>IFERROR(__xludf.DUMMYFUNCTION("""COMPUTED_VALUE"""),-1.0)</f>
        <v>-1</v>
      </c>
      <c r="AC455" s="16">
        <f>IFERROR(__xludf.DUMMYFUNCTION("""COMPUTED_VALUE"""),-5.0)</f>
        <v>-5</v>
      </c>
      <c r="AD455" s="16">
        <f>IFERROR(__xludf.DUMMYFUNCTION("""COMPUTED_VALUE"""),-5.0)</f>
        <v>-5</v>
      </c>
      <c r="AE455" s="16">
        <f>IFERROR(__xludf.DUMMYFUNCTION("""COMPUTED_VALUE"""),105.3)</f>
        <v>105.3</v>
      </c>
      <c r="AF455" s="16">
        <f>IFERROR(__xludf.DUMMYFUNCTION("""COMPUTED_VALUE"""),37.9)</f>
        <v>37.9</v>
      </c>
      <c r="AG455" s="16">
        <f>IFERROR(__xludf.DUMMYFUNCTION("""COMPUTED_VALUE"""),-3.0)</f>
        <v>-3</v>
      </c>
      <c r="AH455" s="16">
        <f>IFERROR(__xludf.DUMMYFUNCTION("""COMPUTED_VALUE"""),-1.0)</f>
        <v>-1</v>
      </c>
      <c r="AI455" s="16">
        <f>IFERROR(__xludf.DUMMYFUNCTION("""COMPUTED_VALUE"""),-6.0)</f>
        <v>-6</v>
      </c>
      <c r="AJ455" s="16">
        <f>IFERROR(__xludf.DUMMYFUNCTION("""COMPUTED_VALUE"""),-2.0)</f>
        <v>-2</v>
      </c>
      <c r="AK455" s="16">
        <f>IFERROR(__xludf.DUMMYFUNCTION("""COMPUTED_VALUE"""),3.700000000000003)</f>
        <v>3.7</v>
      </c>
      <c r="AL455" s="16">
        <f>IFERROR(__xludf.DUMMYFUNCTION("""COMPUTED_VALUE"""),23.599999999999998)</f>
        <v>23.6</v>
      </c>
      <c r="AM455" s="16">
        <f>IFERROR(__xludf.DUMMYFUNCTION("""COMPUTED_VALUE"""),2.0)</f>
        <v>2</v>
      </c>
      <c r="AN455" s="16">
        <f>IFERROR(__xludf.DUMMYFUNCTION("""COMPUTED_VALUE"""),-2.0)</f>
        <v>-2</v>
      </c>
      <c r="AO455" s="16">
        <f>IFERROR(__xludf.DUMMYFUNCTION("""COMPUTED_VALUE"""),2.0)</f>
        <v>2</v>
      </c>
      <c r="AP455" s="16">
        <f>IFERROR(__xludf.DUMMYFUNCTION("""COMPUTED_VALUE"""),-2.0)</f>
        <v>-2</v>
      </c>
      <c r="AQ455" s="16">
        <f>IFERROR(__xludf.DUMMYFUNCTION("""COMPUTED_VALUE"""),3.700000000000003)</f>
        <v>3.7</v>
      </c>
      <c r="AR455" s="16">
        <f>IFERROR(__xludf.DUMMYFUNCTION("""COMPUTED_VALUE"""),23.5)</f>
        <v>23.5</v>
      </c>
      <c r="AS455" s="16">
        <f>IFERROR(__xludf.DUMMYFUNCTION("""COMPUTED_VALUE"""),2.0)</f>
        <v>2</v>
      </c>
      <c r="AT455" s="16">
        <f>IFERROR(__xludf.DUMMYFUNCTION("""COMPUTED_VALUE"""),-1.0)</f>
        <v>-1</v>
      </c>
      <c r="AU455" s="16">
        <f>IFERROR(__xludf.DUMMYFUNCTION("""COMPUTED_VALUE"""),4.0)</f>
        <v>4</v>
      </c>
      <c r="AV455" s="16">
        <f>IFERROR(__xludf.DUMMYFUNCTION("""COMPUTED_VALUE"""),-2.0)</f>
        <v>-2</v>
      </c>
      <c r="AW455" s="16">
        <f>IFERROR(__xludf.DUMMYFUNCTION("""COMPUTED_VALUE"""),25.4)</f>
        <v>25.4</v>
      </c>
      <c r="AX455" s="16">
        <f>IFERROR(__xludf.DUMMYFUNCTION("""COMPUTED_VALUE"""),3.6)</f>
        <v>3.6</v>
      </c>
      <c r="AY455" s="16">
        <f>IFERROR(__xludf.DUMMYFUNCTION("""COMPUTED_VALUE"""),-3.0)</f>
        <v>-3</v>
      </c>
      <c r="AZ455" s="16">
        <f>IFERROR(__xludf.DUMMYFUNCTION("""COMPUTED_VALUE"""),-2.0)</f>
        <v>-2</v>
      </c>
      <c r="BA455" s="16">
        <f>IFERROR(__xludf.DUMMYFUNCTION("""COMPUTED_VALUE"""),-15.0)</f>
        <v>-15</v>
      </c>
      <c r="BB455" s="16">
        <f>IFERROR(__xludf.DUMMYFUNCTION("""COMPUTED_VALUE"""),-10.0)</f>
        <v>-10</v>
      </c>
      <c r="BC455" s="16">
        <f>IFERROR(__xludf.DUMMYFUNCTION("""COMPUTED_VALUE"""),8.0)</f>
        <v>8</v>
      </c>
      <c r="BD455" s="16">
        <f>IFERROR(__xludf.DUMMYFUNCTION("""COMPUTED_VALUE"""),6.0)</f>
        <v>6</v>
      </c>
      <c r="BE455" s="16">
        <f>IFERROR(__xludf.DUMMYFUNCTION("""COMPUTED_VALUE"""),8.0)</f>
        <v>8</v>
      </c>
      <c r="BF455" s="16">
        <f>IFERROR(__xludf.DUMMYFUNCTION("""COMPUTED_VALUE"""),6.0)</f>
        <v>6</v>
      </c>
      <c r="BG455" s="16">
        <f>IFERROR(__xludf.DUMMYFUNCTION("""COMPUTED_VALUE"""),-3.0)</f>
        <v>-3</v>
      </c>
      <c r="BH455" s="16">
        <f>IFERROR(__xludf.DUMMYFUNCTION("""COMPUTED_VALUE"""),-2.0)</f>
        <v>-2</v>
      </c>
      <c r="BI455" s="16">
        <f>IFERROR(__xludf.DUMMYFUNCTION("""COMPUTED_VALUE"""),-6.0)</f>
        <v>-6</v>
      </c>
      <c r="BJ455" s="16">
        <f>IFERROR(__xludf.DUMMYFUNCTION("""COMPUTED_VALUE"""),-4.0)</f>
        <v>-4</v>
      </c>
      <c r="BK455" s="16">
        <f>IFERROR(__xludf.DUMMYFUNCTION("""COMPUTED_VALUE"""),5.0)</f>
        <v>5</v>
      </c>
      <c r="BL455" s="16">
        <f>IFERROR(__xludf.DUMMYFUNCTION("""COMPUTED_VALUE"""),5.0)</f>
        <v>5</v>
      </c>
      <c r="BM455" s="16">
        <f>IFERROR(__xludf.DUMMYFUNCTION("""COMPUTED_VALUE"""),0.0)</f>
        <v>0</v>
      </c>
      <c r="BN455" s="16">
        <f>IFERROR(__xludf.DUMMYFUNCTION("""COMPUTED_VALUE"""),0.0)</f>
        <v>0</v>
      </c>
      <c r="BO455" s="16">
        <f>IFERROR(__xludf.DUMMYFUNCTION("""COMPUTED_VALUE"""),0.0)</f>
        <v>0</v>
      </c>
      <c r="BP455" s="16">
        <f>IFERROR(__xludf.DUMMYFUNCTION("""COMPUTED_VALUE"""),0.0)</f>
        <v>0</v>
      </c>
      <c r="BQ455" s="16">
        <f>IFERROR(__xludf.DUMMYFUNCTION("""COMPUTED_VALUE"""),5.0)</f>
        <v>5</v>
      </c>
      <c r="BR455" s="16">
        <f>IFERROR(__xludf.DUMMYFUNCTION("""COMPUTED_VALUE"""),3.0)</f>
        <v>3</v>
      </c>
      <c r="BS455" s="16">
        <f>IFERROR(__xludf.DUMMYFUNCTION("""COMPUTED_VALUE"""),0.0)</f>
        <v>0</v>
      </c>
      <c r="BT455" s="16">
        <f>IFERROR(__xludf.DUMMYFUNCTION("""COMPUTED_VALUE"""),-1.0)</f>
        <v>-1</v>
      </c>
      <c r="BU455" s="16">
        <f>IFERROR(__xludf.DUMMYFUNCTION("""COMPUTED_VALUE"""),0.0)</f>
        <v>0</v>
      </c>
      <c r="BV455" s="16">
        <f>IFERROR(__xludf.DUMMYFUNCTION("""COMPUTED_VALUE"""),-2.0)</f>
        <v>-2</v>
      </c>
      <c r="BW455" s="16">
        <f>IFERROR(__xludf.DUMMYFUNCTION("""COMPUTED_VALUE"""),4.0)</f>
        <v>4</v>
      </c>
      <c r="BX455" s="16">
        <f>IFERROR(__xludf.DUMMYFUNCTION("""COMPUTED_VALUE"""),4.0)</f>
        <v>4</v>
      </c>
      <c r="BY455" s="16" t="str">
        <f>IFERROR(__xludf.DUMMYFUNCTION("""COMPUTED_VALUE"""),"R(2) C(0)")</f>
        <v>R(2) C(0)</v>
      </c>
      <c r="BZ455" s="16" t="str">
        <f>IFERROR(__xludf.DUMMYFUNCTION("""COMPUTED_VALUE"""),"R(2) C(0)")</f>
        <v>R(2) C(0)</v>
      </c>
      <c r="CA455" s="16" t="str">
        <f>IFERROR(__xludf.DUMMYFUNCTION("""COMPUTED_VALUE"""),"R(2)")</f>
        <v>R(2)</v>
      </c>
      <c r="CB455" s="16" t="str">
        <f>IFERROR(__xludf.DUMMYFUNCTION("""COMPUTED_VALUE"""),"C(0)")</f>
        <v>C(0)</v>
      </c>
      <c r="CC455" s="16"/>
      <c r="CD455" s="16"/>
      <c r="CE455" s="16">
        <f>IFERROR(__xludf.DUMMYFUNCTION("""COMPUTED_VALUE"""),2.0)</f>
        <v>2</v>
      </c>
      <c r="CF455" s="16">
        <f>IFERROR(__xludf.DUMMYFUNCTION("""COMPUTED_VALUE"""),0.0)</f>
        <v>0</v>
      </c>
      <c r="CG455" s="16" t="str">
        <f>IFERROR(__xludf.DUMMYFUNCTION("""COMPUTED_VALUE"""),"4-0")</f>
        <v>4-0</v>
      </c>
      <c r="CH455" s="16">
        <f>IFERROR(__xludf.DUMMYFUNCTION("""COMPUTED_VALUE"""),4.0)</f>
        <v>4</v>
      </c>
      <c r="CI455" s="16">
        <f>IFERROR(__xludf.DUMMYFUNCTION("""COMPUTED_VALUE"""),0.0)</f>
        <v>0</v>
      </c>
      <c r="CJ455" s="16">
        <f>IFERROR(__xludf.DUMMYFUNCTION("""COMPUTED_VALUE"""),0.0)</f>
        <v>0</v>
      </c>
      <c r="CK455" s="16">
        <f>IFERROR(__xludf.DUMMYFUNCTION("""COMPUTED_VALUE"""),0.0)</f>
        <v>0</v>
      </c>
      <c r="CL455" s="16" t="str">
        <f>IFERROR(__xludf.DUMMYFUNCTION("""COMPUTED_VALUE"""),"1WR-C")</f>
        <v>1WR-C</v>
      </c>
      <c r="CM455" s="16" t="str">
        <f>IFERROR(__xludf.DUMMYFUNCTION("""COMPUTED_VALUE"""),"E")</f>
        <v>E</v>
      </c>
      <c r="CN455" s="16">
        <f>IFERROR(__xludf.DUMMYFUNCTION("""COMPUTED_VALUE"""),10.0)</f>
        <v>10</v>
      </c>
      <c r="CO455" s="16" t="str">
        <f>IFERROR(__xludf.DUMMYFUNCTION("""COMPUTED_VALUE"""),"C")</f>
        <v>C</v>
      </c>
      <c r="CP455" s="16" t="str">
        <f>IFERROR(__xludf.DUMMYFUNCTION("""COMPUTED_VALUE"""),"2p20")</f>
        <v>2p20</v>
      </c>
      <c r="CQ455" s="16">
        <f>IFERROR(__xludf.DUMMYFUNCTION("""COMPUTED_VALUE"""),-28.0)</f>
        <v>-28</v>
      </c>
      <c r="CR455" s="16">
        <f>IFERROR(__xludf.DUMMYFUNCTION("""COMPUTED_VALUE"""),-30.0)</f>
        <v>-30</v>
      </c>
      <c r="CS455" s="16">
        <f>IFERROR(__xludf.DUMMYFUNCTION("""COMPUTED_VALUE"""),-58.0)</f>
        <v>-58</v>
      </c>
      <c r="CT455" s="16">
        <f>IFERROR(__xludf.DUMMYFUNCTION("""COMPUTED_VALUE"""),-28.0)</f>
        <v>-28</v>
      </c>
      <c r="CU455" s="16">
        <f>IFERROR(__xludf.DUMMYFUNCTION("""COMPUTED_VALUE"""),-30.0)</f>
        <v>-30</v>
      </c>
      <c r="CV455" s="179">
        <f>IFERROR(__xludf.DUMMYFUNCTION("""COMPUTED_VALUE"""),-23.333333333333332)</f>
        <v>-23.33333333</v>
      </c>
      <c r="CW455" s="179">
        <f>IFERROR(__xludf.DUMMYFUNCTION("""COMPUTED_VALUE"""),3.0)</f>
        <v>3</v>
      </c>
      <c r="CX455" s="179">
        <f>IFERROR(__xludf.DUMMYFUNCTION("""COMPUTED_VALUE"""),3.0)</f>
        <v>3</v>
      </c>
      <c r="CY455" s="16" t="str">
        <f>IFERROR(__xludf.DUMMYFUNCTION("""COMPUTED_VALUE"""),"RP")</f>
        <v>RP</v>
      </c>
      <c r="CZ455" s="16" t="str">
        <f>IFERROR(__xludf.DUMMYFUNCTION("""COMPUTED_VALUE"""),"CP")</f>
        <v>CP</v>
      </c>
      <c r="DA455" s="16"/>
      <c r="DB455" s="16"/>
      <c r="DC455" s="16"/>
      <c r="DD455" s="16"/>
      <c r="DE455" s="16"/>
      <c r="DF455" s="16"/>
      <c r="DG455" s="16"/>
      <c r="DH455" s="16"/>
      <c r="DI455" s="16"/>
      <c r="DJ455" s="16"/>
      <c r="DK455" s="16"/>
    </row>
    <row r="456">
      <c r="A456" s="16">
        <f>IFERROR(__xludf.DUMMYFUNCTION("""COMPUTED_VALUE"""),13371.0)</f>
        <v>13371</v>
      </c>
      <c r="B456" s="16" t="str">
        <f>IFERROR(__xludf.DUMMYFUNCTION("""COMPUTED_VALUE"""),"Shawn Armstrong")</f>
        <v>Shawn Armstrong</v>
      </c>
      <c r="C456" s="153">
        <f>IFERROR(__xludf.DUMMYFUNCTION("""COMPUTED_VALUE"""),0.0)</f>
        <v>0</v>
      </c>
      <c r="D456" s="16"/>
      <c r="E456" s="16" t="str">
        <f>IFERROR(__xludf.DUMMYFUNCTION("""COMPUTED_VALUE"""),"R")</f>
        <v>R</v>
      </c>
      <c r="F456" s="16">
        <f>IFERROR(__xludf.DUMMYFUNCTION("""COMPUTED_VALUE"""),67.0)</f>
        <v>67</v>
      </c>
      <c r="G456" s="16">
        <f>IFERROR(__xludf.DUMMYFUNCTION("""COMPUTED_VALUE"""),18.0)</f>
        <v>18</v>
      </c>
      <c r="H456" s="16">
        <f>IFERROR(__xludf.DUMMYFUNCTION("""COMPUTED_VALUE"""),26.0)</f>
        <v>26</v>
      </c>
      <c r="I456" s="16">
        <f>IFERROR(__xludf.DUMMYFUNCTION("""COMPUTED_VALUE"""),-1.0)</f>
        <v>-1</v>
      </c>
      <c r="J456" s="16">
        <f>IFERROR(__xludf.DUMMYFUNCTION("""COMPUTED_VALUE"""),0.0)</f>
        <v>0</v>
      </c>
      <c r="K456" s="16">
        <f>IFERROR(__xludf.DUMMYFUNCTION("""COMPUTED_VALUE"""),-3.0)</f>
        <v>-3</v>
      </c>
      <c r="L456" s="16">
        <f>IFERROR(__xludf.DUMMYFUNCTION("""COMPUTED_VALUE"""),0.0)</f>
        <v>0</v>
      </c>
      <c r="M456" s="16">
        <f>IFERROR(__xludf.DUMMYFUNCTION("""COMPUTED_VALUE"""),7.0)</f>
        <v>7</v>
      </c>
      <c r="N456" s="16">
        <f>IFERROR(__xludf.DUMMYFUNCTION("""COMPUTED_VALUE"""),12.0)</f>
        <v>12</v>
      </c>
      <c r="O456" s="16">
        <f>IFERROR(__xludf.DUMMYFUNCTION("""COMPUTED_VALUE"""),1.0)</f>
        <v>1</v>
      </c>
      <c r="P456" s="16">
        <f>IFERROR(__xludf.DUMMYFUNCTION("""COMPUTED_VALUE"""),-2.0)</f>
        <v>-2</v>
      </c>
      <c r="Q456" s="16">
        <f>IFERROR(__xludf.DUMMYFUNCTION("""COMPUTED_VALUE"""),1.0)</f>
        <v>1</v>
      </c>
      <c r="R456" s="16">
        <f>IFERROR(__xludf.DUMMYFUNCTION("""COMPUTED_VALUE"""),-2.0)</f>
        <v>-2</v>
      </c>
      <c r="S456" s="16">
        <f>IFERROR(__xludf.DUMMYFUNCTION("""COMPUTED_VALUE"""),39.7)</f>
        <v>39.7</v>
      </c>
      <c r="T456" s="16">
        <f>IFERROR(__xludf.DUMMYFUNCTION("""COMPUTED_VALUE"""),17.9)</f>
        <v>17.9</v>
      </c>
      <c r="U456" s="16">
        <f>IFERROR(__xludf.DUMMYFUNCTION("""COMPUTED_VALUE"""),-3.0)</f>
        <v>-3</v>
      </c>
      <c r="V456" s="16">
        <f>IFERROR(__xludf.DUMMYFUNCTION("""COMPUTED_VALUE"""),0.0)</f>
        <v>0</v>
      </c>
      <c r="W456" s="16">
        <f>IFERROR(__xludf.DUMMYFUNCTION("""COMPUTED_VALUE"""),-6.0)</f>
        <v>-6</v>
      </c>
      <c r="X456" s="16">
        <f>IFERROR(__xludf.DUMMYFUNCTION("""COMPUTED_VALUE"""),0.0)</f>
        <v>0</v>
      </c>
      <c r="Y456" s="16">
        <f>IFERROR(__xludf.DUMMYFUNCTION("""COMPUTED_VALUE"""),46.7)</f>
        <v>46.7</v>
      </c>
      <c r="Z456" s="16">
        <f>IFERROR(__xludf.DUMMYFUNCTION("""COMPUTED_VALUE"""),29.9)</f>
        <v>29.9</v>
      </c>
      <c r="AA456" s="16">
        <f>IFERROR(__xludf.DUMMYFUNCTION("""COMPUTED_VALUE"""),-2.0)</f>
        <v>-2</v>
      </c>
      <c r="AB456" s="16">
        <f>IFERROR(__xludf.DUMMYFUNCTION("""COMPUTED_VALUE"""),-1.0)</f>
        <v>-1</v>
      </c>
      <c r="AC456" s="16">
        <f>IFERROR(__xludf.DUMMYFUNCTION("""COMPUTED_VALUE"""),-10.0)</f>
        <v>-10</v>
      </c>
      <c r="AD456" s="16">
        <f>IFERROR(__xludf.DUMMYFUNCTION("""COMPUTED_VALUE"""),-5.0)</f>
        <v>-5</v>
      </c>
      <c r="AE456" s="16">
        <f>IFERROR(__xludf.DUMMYFUNCTION("""COMPUTED_VALUE"""),66.7)</f>
        <v>66.7</v>
      </c>
      <c r="AF456" s="16">
        <f>IFERROR(__xludf.DUMMYFUNCTION("""COMPUTED_VALUE"""),22.2)</f>
        <v>22.2</v>
      </c>
      <c r="AG456" s="16">
        <f>IFERROR(__xludf.DUMMYFUNCTION("""COMPUTED_VALUE"""),-3.0)</f>
        <v>-3</v>
      </c>
      <c r="AH456" s="16">
        <f>IFERROR(__xludf.DUMMYFUNCTION("""COMPUTED_VALUE"""),1.0)</f>
        <v>1</v>
      </c>
      <c r="AI456" s="16">
        <f>IFERROR(__xludf.DUMMYFUNCTION("""COMPUTED_VALUE"""),-6.0)</f>
        <v>-6</v>
      </c>
      <c r="AJ456" s="16">
        <f>IFERROR(__xludf.DUMMYFUNCTION("""COMPUTED_VALUE"""),2.0)</f>
        <v>2</v>
      </c>
      <c r="AK456" s="16">
        <f>IFERROR(__xludf.DUMMYFUNCTION("""COMPUTED_VALUE"""),37.1)</f>
        <v>37.1</v>
      </c>
      <c r="AL456" s="16">
        <f>IFERROR(__xludf.DUMMYFUNCTION("""COMPUTED_VALUE"""),17.9)</f>
        <v>17.9</v>
      </c>
      <c r="AM456" s="16">
        <f>IFERROR(__xludf.DUMMYFUNCTION("""COMPUTED_VALUE"""),-3.0)</f>
        <v>-3</v>
      </c>
      <c r="AN456" s="16">
        <f>IFERROR(__xludf.DUMMYFUNCTION("""COMPUTED_VALUE"""),-1.0)</f>
        <v>-1</v>
      </c>
      <c r="AO456" s="16">
        <f>IFERROR(__xludf.DUMMYFUNCTION("""COMPUTED_VALUE"""),-3.0)</f>
        <v>-3</v>
      </c>
      <c r="AP456" s="16">
        <f>IFERROR(__xludf.DUMMYFUNCTION("""COMPUTED_VALUE"""),-1.0)</f>
        <v>-1</v>
      </c>
      <c r="AQ456" s="16">
        <f>IFERROR(__xludf.DUMMYFUNCTION("""COMPUTED_VALUE"""),56.300000000000004)</f>
        <v>56.3</v>
      </c>
      <c r="AR456" s="16">
        <f>IFERROR(__xludf.DUMMYFUNCTION("""COMPUTED_VALUE"""),22.2)</f>
        <v>22.2</v>
      </c>
      <c r="AS456" s="16">
        <f>IFERROR(__xludf.DUMMYFUNCTION("""COMPUTED_VALUE"""),-3.0)</f>
        <v>-3</v>
      </c>
      <c r="AT456" s="16">
        <f>IFERROR(__xludf.DUMMYFUNCTION("""COMPUTED_VALUE"""),0.0)</f>
        <v>0</v>
      </c>
      <c r="AU456" s="16">
        <f>IFERROR(__xludf.DUMMYFUNCTION("""COMPUTED_VALUE"""),-6.0)</f>
        <v>-6</v>
      </c>
      <c r="AV456" s="16">
        <f>IFERROR(__xludf.DUMMYFUNCTION("""COMPUTED_VALUE"""),0.0)</f>
        <v>0</v>
      </c>
      <c r="AW456" s="16">
        <f>IFERROR(__xludf.DUMMYFUNCTION("""COMPUTED_VALUE"""),2.6)</f>
        <v>2.6</v>
      </c>
      <c r="AX456" s="16">
        <f>IFERROR(__xludf.DUMMYFUNCTION("""COMPUTED_VALUE"""),0.0)</f>
        <v>0</v>
      </c>
      <c r="AY456" s="16">
        <f>IFERROR(__xludf.DUMMYFUNCTION("""COMPUTED_VALUE"""),-1.0)</f>
        <v>-1</v>
      </c>
      <c r="AZ456" s="16">
        <f>IFERROR(__xludf.DUMMYFUNCTION("""COMPUTED_VALUE"""),2.0)</f>
        <v>2</v>
      </c>
      <c r="BA456" s="16">
        <f>IFERROR(__xludf.DUMMYFUNCTION("""COMPUTED_VALUE"""),-5.0)</f>
        <v>-5</v>
      </c>
      <c r="BB456" s="16">
        <f>IFERROR(__xludf.DUMMYFUNCTION("""COMPUTED_VALUE"""),10.0)</f>
        <v>10</v>
      </c>
      <c r="BC456" s="16">
        <f>IFERROR(__xludf.DUMMYFUNCTION("""COMPUTED_VALUE"""),4.0)</f>
        <v>4</v>
      </c>
      <c r="BD456" s="16">
        <f>IFERROR(__xludf.DUMMYFUNCTION("""COMPUTED_VALUE"""),0.0)</f>
        <v>0</v>
      </c>
      <c r="BE456" s="16">
        <f>IFERROR(__xludf.DUMMYFUNCTION("""COMPUTED_VALUE"""),4.0)</f>
        <v>4</v>
      </c>
      <c r="BF456" s="16">
        <f>IFERROR(__xludf.DUMMYFUNCTION("""COMPUTED_VALUE"""),0.0)</f>
        <v>0</v>
      </c>
      <c r="BG456" s="16">
        <f>IFERROR(__xludf.DUMMYFUNCTION("""COMPUTED_VALUE"""),-1.0)</f>
        <v>-1</v>
      </c>
      <c r="BH456" s="16">
        <f>IFERROR(__xludf.DUMMYFUNCTION("""COMPUTED_VALUE"""),2.0)</f>
        <v>2</v>
      </c>
      <c r="BI456" s="16">
        <f>IFERROR(__xludf.DUMMYFUNCTION("""COMPUTED_VALUE"""),-2.0)</f>
        <v>-2</v>
      </c>
      <c r="BJ456" s="16">
        <f>IFERROR(__xludf.DUMMYFUNCTION("""COMPUTED_VALUE"""),4.0)</f>
        <v>4</v>
      </c>
      <c r="BK456" s="16">
        <f>IFERROR(__xludf.DUMMYFUNCTION("""COMPUTED_VALUE"""),5.0)</f>
        <v>5</v>
      </c>
      <c r="BL456" s="16">
        <f>IFERROR(__xludf.DUMMYFUNCTION("""COMPUTED_VALUE"""),5.0)</f>
        <v>5</v>
      </c>
      <c r="BM456" s="16">
        <f>IFERROR(__xludf.DUMMYFUNCTION("""COMPUTED_VALUE"""),0.0)</f>
        <v>0</v>
      </c>
      <c r="BN456" s="16">
        <f>IFERROR(__xludf.DUMMYFUNCTION("""COMPUTED_VALUE"""),0.0)</f>
        <v>0</v>
      </c>
      <c r="BO456" s="16">
        <f>IFERROR(__xludf.DUMMYFUNCTION("""COMPUTED_VALUE"""),0.0)</f>
        <v>0</v>
      </c>
      <c r="BP456" s="16">
        <f>IFERROR(__xludf.DUMMYFUNCTION("""COMPUTED_VALUE"""),0.0)</f>
        <v>0</v>
      </c>
      <c r="BQ456" s="16">
        <f>IFERROR(__xludf.DUMMYFUNCTION("""COMPUTED_VALUE"""),0.0)</f>
        <v>0</v>
      </c>
      <c r="BR456" s="16">
        <f>IFERROR(__xludf.DUMMYFUNCTION("""COMPUTED_VALUE"""),4.0)</f>
        <v>4</v>
      </c>
      <c r="BS456" s="16">
        <f>IFERROR(__xludf.DUMMYFUNCTION("""COMPUTED_VALUE"""),-3.0)</f>
        <v>-3</v>
      </c>
      <c r="BT456" s="16">
        <f>IFERROR(__xludf.DUMMYFUNCTION("""COMPUTED_VALUE"""),-1.0)</f>
        <v>-1</v>
      </c>
      <c r="BU456" s="16">
        <f>IFERROR(__xludf.DUMMYFUNCTION("""COMPUTED_VALUE"""),-6.0)</f>
        <v>-6</v>
      </c>
      <c r="BV456" s="16">
        <f>IFERROR(__xludf.DUMMYFUNCTION("""COMPUTED_VALUE"""),-2.0)</f>
        <v>-2</v>
      </c>
      <c r="BW456" s="16">
        <f>IFERROR(__xludf.DUMMYFUNCTION("""COMPUTED_VALUE"""),4.0)</f>
        <v>4</v>
      </c>
      <c r="BX456" s="16">
        <f>IFERROR(__xludf.DUMMYFUNCTION("""COMPUTED_VALUE"""),4.0)</f>
        <v>4</v>
      </c>
      <c r="BY456" s="16" t="str">
        <f>IFERROR(__xludf.DUMMYFUNCTION("""COMPUTED_VALUE"""),"S(1) R(1) C(0)")</f>
        <v>S(1) R(1) C(0)</v>
      </c>
      <c r="BZ456" s="16" t="str">
        <f>IFERROR(__xludf.DUMMYFUNCTION("""COMPUTED_VALUE"""),"S(1) R(1) C(0)")</f>
        <v>S(1) R(1) C(0)</v>
      </c>
      <c r="CA456" s="16" t="str">
        <f>IFERROR(__xludf.DUMMYFUNCTION("""COMPUTED_VALUE"""),"S(1)")</f>
        <v>S(1)</v>
      </c>
      <c r="CB456" s="16" t="str">
        <f>IFERROR(__xludf.DUMMYFUNCTION("""COMPUTED_VALUE"""),"R(1)")</f>
        <v>R(1)</v>
      </c>
      <c r="CC456" s="16" t="str">
        <f>IFERROR(__xludf.DUMMYFUNCTION("""COMPUTED_VALUE"""),"C(0)")</f>
        <v>C(0)</v>
      </c>
      <c r="CD456" s="16">
        <f>IFERROR(__xludf.DUMMYFUNCTION("""COMPUTED_VALUE"""),1.0)</f>
        <v>1</v>
      </c>
      <c r="CE456" s="16">
        <f>IFERROR(__xludf.DUMMYFUNCTION("""COMPUTED_VALUE"""),1.0)</f>
        <v>1</v>
      </c>
      <c r="CF456" s="16">
        <f>IFERROR(__xludf.DUMMYFUNCTION("""COMPUTED_VALUE"""),0.0)</f>
        <v>0</v>
      </c>
      <c r="CG456" s="16" t="str">
        <f>IFERROR(__xludf.DUMMYFUNCTION("""COMPUTED_VALUE"""),"4-0")</f>
        <v>4-0</v>
      </c>
      <c r="CH456" s="16">
        <f>IFERROR(__xludf.DUMMYFUNCTION("""COMPUTED_VALUE"""),4.0)</f>
        <v>4</v>
      </c>
      <c r="CI456" s="16">
        <f>IFERROR(__xludf.DUMMYFUNCTION("""COMPUTED_VALUE"""),0.0)</f>
        <v>0</v>
      </c>
      <c r="CJ456" s="16">
        <f>IFERROR(__xludf.DUMMYFUNCTION("""COMPUTED_VALUE"""),4.0)</f>
        <v>4</v>
      </c>
      <c r="CK456" s="16">
        <f>IFERROR(__xludf.DUMMYFUNCTION("""COMPUTED_VALUE"""),2.0)</f>
        <v>2</v>
      </c>
      <c r="CL456" s="16" t="str">
        <f>IFERROR(__xludf.DUMMYFUNCTION("""COMPUTED_VALUE"""),"1WR-C")</f>
        <v>1WR-C</v>
      </c>
      <c r="CM456" s="16" t="str">
        <f>IFERROR(__xludf.DUMMYFUNCTION("""COMPUTED_VALUE"""),"E")</f>
        <v>E</v>
      </c>
      <c r="CN456" s="16">
        <f>IFERROR(__xludf.DUMMYFUNCTION("""COMPUTED_VALUE"""),10.0)</f>
        <v>10</v>
      </c>
      <c r="CO456" s="16" t="str">
        <f>IFERROR(__xludf.DUMMYFUNCTION("""COMPUTED_VALUE"""),"C")</f>
        <v>C</v>
      </c>
      <c r="CP456" s="16" t="str">
        <f>IFERROR(__xludf.DUMMYFUNCTION("""COMPUTED_VALUE"""),"1p60")</f>
        <v>1p60</v>
      </c>
      <c r="CQ456" s="16">
        <f>IFERROR(__xludf.DUMMYFUNCTION("""COMPUTED_VALUE"""),-46.0)</f>
        <v>-46</v>
      </c>
      <c r="CR456" s="16">
        <f>IFERROR(__xludf.DUMMYFUNCTION("""COMPUTED_VALUE"""),6.0)</f>
        <v>6</v>
      </c>
      <c r="CS456" s="16">
        <f>IFERROR(__xludf.DUMMYFUNCTION("""COMPUTED_VALUE"""),-40.0)</f>
        <v>-40</v>
      </c>
      <c r="CT456" s="16">
        <f>IFERROR(__xludf.DUMMYFUNCTION("""COMPUTED_VALUE"""),-46.0)</f>
        <v>-46</v>
      </c>
      <c r="CU456" s="16">
        <f>IFERROR(__xludf.DUMMYFUNCTION("""COMPUTED_VALUE"""),6.0)</f>
        <v>6</v>
      </c>
      <c r="CV456" s="179">
        <f>IFERROR(__xludf.DUMMYFUNCTION("""COMPUTED_VALUE"""),-23.666666666666668)</f>
        <v>-23.66666667</v>
      </c>
      <c r="CW456" s="179">
        <f>IFERROR(__xludf.DUMMYFUNCTION("""COMPUTED_VALUE"""),4.0)</f>
        <v>4</v>
      </c>
      <c r="CX456" s="179">
        <f>IFERROR(__xludf.DUMMYFUNCTION("""COMPUTED_VALUE"""),1.0)</f>
        <v>1</v>
      </c>
      <c r="CY456" s="16" t="str">
        <f>IFERROR(__xludf.DUMMYFUNCTION("""COMPUTED_VALUE"""),"SP")</f>
        <v>SP</v>
      </c>
      <c r="CZ456" s="16" t="str">
        <f>IFERROR(__xludf.DUMMYFUNCTION("""COMPUTED_VALUE"""),"RP")</f>
        <v>RP</v>
      </c>
      <c r="DA456" s="16" t="str">
        <f>IFERROR(__xludf.DUMMYFUNCTION("""COMPUTED_VALUE"""),"CP")</f>
        <v>CP</v>
      </c>
      <c r="DB456" s="16"/>
      <c r="DC456" s="16"/>
      <c r="DD456" s="16"/>
      <c r="DE456" s="16"/>
      <c r="DF456" s="16"/>
      <c r="DG456" s="16"/>
      <c r="DH456" s="16"/>
      <c r="DI456" s="16"/>
      <c r="DJ456" s="16"/>
      <c r="DK456" s="16"/>
    </row>
    <row r="457">
      <c r="A457" s="16">
        <f>IFERROR(__xludf.DUMMYFUNCTION("""COMPUTED_VALUE"""),13358.0)</f>
        <v>13358</v>
      </c>
      <c r="B457" s="16" t="str">
        <f>IFERROR(__xludf.DUMMYFUNCTION("""COMPUTED_VALUE"""),"Scott McGough")</f>
        <v>Scott McGough</v>
      </c>
      <c r="C457" s="153">
        <f>IFERROR(__xludf.DUMMYFUNCTION("""COMPUTED_VALUE"""),0.0)</f>
        <v>0</v>
      </c>
      <c r="D457" s="16"/>
      <c r="E457" s="16" t="str">
        <f>IFERROR(__xludf.DUMMYFUNCTION("""COMPUTED_VALUE"""),"R")</f>
        <v>R</v>
      </c>
      <c r="F457" s="16">
        <f>IFERROR(__xludf.DUMMYFUNCTION("""COMPUTED_VALUE"""),33.0)</f>
        <v>33</v>
      </c>
      <c r="G457" s="16">
        <f>IFERROR(__xludf.DUMMYFUNCTION("""COMPUTED_VALUE"""),10.0)</f>
        <v>10</v>
      </c>
      <c r="H457" s="16">
        <f>IFERROR(__xludf.DUMMYFUNCTION("""COMPUTED_VALUE"""),13.0)</f>
        <v>13</v>
      </c>
      <c r="I457" s="16">
        <f>IFERROR(__xludf.DUMMYFUNCTION("""COMPUTED_VALUE"""),-2.0)</f>
        <v>-2</v>
      </c>
      <c r="J457" s="16">
        <f>IFERROR(__xludf.DUMMYFUNCTION("""COMPUTED_VALUE"""),-2.0)</f>
        <v>-2</v>
      </c>
      <c r="K457" s="16">
        <f>IFERROR(__xludf.DUMMYFUNCTION("""COMPUTED_VALUE"""),-6.0)</f>
        <v>-6</v>
      </c>
      <c r="L457" s="16">
        <f>IFERROR(__xludf.DUMMYFUNCTION("""COMPUTED_VALUE"""),-6.0)</f>
        <v>-6</v>
      </c>
      <c r="M457" s="16">
        <f>IFERROR(__xludf.DUMMYFUNCTION("""COMPUTED_VALUE"""),40.0)</f>
        <v>40</v>
      </c>
      <c r="N457" s="16">
        <f>IFERROR(__xludf.DUMMYFUNCTION("""COMPUTED_VALUE"""),12.0)</f>
        <v>12</v>
      </c>
      <c r="O457" s="16">
        <f>IFERROR(__xludf.DUMMYFUNCTION("""COMPUTED_VALUE"""),-3.0)</f>
        <v>-3</v>
      </c>
      <c r="P457" s="16">
        <f>IFERROR(__xludf.DUMMYFUNCTION("""COMPUTED_VALUE"""),-2.0)</f>
        <v>-2</v>
      </c>
      <c r="Q457" s="16">
        <f>IFERROR(__xludf.DUMMYFUNCTION("""COMPUTED_VALUE"""),-3.0)</f>
        <v>-3</v>
      </c>
      <c r="R457" s="16">
        <f>IFERROR(__xludf.DUMMYFUNCTION("""COMPUTED_VALUE"""),-2.0)</f>
        <v>-2</v>
      </c>
      <c r="S457" s="16">
        <f>IFERROR(__xludf.DUMMYFUNCTION("""COMPUTED_VALUE"""),11.6)</f>
        <v>11.6</v>
      </c>
      <c r="T457" s="16">
        <f>IFERROR(__xludf.DUMMYFUNCTION("""COMPUTED_VALUE"""),24.7)</f>
        <v>24.7</v>
      </c>
      <c r="U457" s="16">
        <f>IFERROR(__xludf.DUMMYFUNCTION("""COMPUTED_VALUE"""),1.0)</f>
        <v>1</v>
      </c>
      <c r="V457" s="16">
        <f>IFERROR(__xludf.DUMMYFUNCTION("""COMPUTED_VALUE"""),-2.0)</f>
        <v>-2</v>
      </c>
      <c r="W457" s="16">
        <f>IFERROR(__xludf.DUMMYFUNCTION("""COMPUTED_VALUE"""),2.0)</f>
        <v>2</v>
      </c>
      <c r="X457" s="16">
        <f>IFERROR(__xludf.DUMMYFUNCTION("""COMPUTED_VALUE"""),-4.0)</f>
        <v>-4</v>
      </c>
      <c r="Y457" s="16">
        <f>IFERROR(__xludf.DUMMYFUNCTION("""COMPUTED_VALUE"""),51.6)</f>
        <v>51.6</v>
      </c>
      <c r="Z457" s="16">
        <f>IFERROR(__xludf.DUMMYFUNCTION("""COMPUTED_VALUE"""),36.7)</f>
        <v>36.7</v>
      </c>
      <c r="AA457" s="16">
        <f>IFERROR(__xludf.DUMMYFUNCTION("""COMPUTED_VALUE"""),-3.0)</f>
        <v>-3</v>
      </c>
      <c r="AB457" s="16">
        <f>IFERROR(__xludf.DUMMYFUNCTION("""COMPUTED_VALUE"""),-2.0)</f>
        <v>-2</v>
      </c>
      <c r="AC457" s="16">
        <f>IFERROR(__xludf.DUMMYFUNCTION("""COMPUTED_VALUE"""),-15.0)</f>
        <v>-15</v>
      </c>
      <c r="AD457" s="16">
        <f>IFERROR(__xludf.DUMMYFUNCTION("""COMPUTED_VALUE"""),-10.0)</f>
        <v>-10</v>
      </c>
      <c r="AE457" s="16">
        <f>IFERROR(__xludf.DUMMYFUNCTION("""COMPUTED_VALUE"""),19.1)</f>
        <v>19.1</v>
      </c>
      <c r="AF457" s="16">
        <f>IFERROR(__xludf.DUMMYFUNCTION("""COMPUTED_VALUE"""),71.0)</f>
        <v>71</v>
      </c>
      <c r="AG457" s="16">
        <f>IFERROR(__xludf.DUMMYFUNCTION("""COMPUTED_VALUE"""),1.0)</f>
        <v>1</v>
      </c>
      <c r="AH457" s="16">
        <f>IFERROR(__xludf.DUMMYFUNCTION("""COMPUTED_VALUE"""),-3.0)</f>
        <v>-3</v>
      </c>
      <c r="AI457" s="16">
        <f>IFERROR(__xludf.DUMMYFUNCTION("""COMPUTED_VALUE"""),2.0)</f>
        <v>2</v>
      </c>
      <c r="AJ457" s="16">
        <f>IFERROR(__xludf.DUMMYFUNCTION("""COMPUTED_VALUE"""),-6.0)</f>
        <v>-6</v>
      </c>
      <c r="AK457" s="16">
        <f>IFERROR(__xludf.DUMMYFUNCTION("""COMPUTED_VALUE"""),11.6)</f>
        <v>11.6</v>
      </c>
      <c r="AL457" s="16">
        <f>IFERROR(__xludf.DUMMYFUNCTION("""COMPUTED_VALUE"""),16.2)</f>
        <v>16.2</v>
      </c>
      <c r="AM457" s="16">
        <f>IFERROR(__xludf.DUMMYFUNCTION("""COMPUTED_VALUE"""),0.0)</f>
        <v>0</v>
      </c>
      <c r="AN457" s="16">
        <f>IFERROR(__xludf.DUMMYFUNCTION("""COMPUTED_VALUE"""),0.0)</f>
        <v>0</v>
      </c>
      <c r="AO457" s="16">
        <f>IFERROR(__xludf.DUMMYFUNCTION("""COMPUTED_VALUE"""),0.0)</f>
        <v>0</v>
      </c>
      <c r="AP457" s="16">
        <f>IFERROR(__xludf.DUMMYFUNCTION("""COMPUTED_VALUE"""),0.0)</f>
        <v>0</v>
      </c>
      <c r="AQ457" s="16">
        <f>IFERROR(__xludf.DUMMYFUNCTION("""COMPUTED_VALUE"""),19.1)</f>
        <v>19.1</v>
      </c>
      <c r="AR457" s="16">
        <f>IFERROR(__xludf.DUMMYFUNCTION("""COMPUTED_VALUE"""),37.0)</f>
        <v>37</v>
      </c>
      <c r="AS457" s="16">
        <f>IFERROR(__xludf.DUMMYFUNCTION("""COMPUTED_VALUE"""),0.0)</f>
        <v>0</v>
      </c>
      <c r="AT457" s="16">
        <f>IFERROR(__xludf.DUMMYFUNCTION("""COMPUTED_VALUE"""),-2.0)</f>
        <v>-2</v>
      </c>
      <c r="AU457" s="16">
        <f>IFERROR(__xludf.DUMMYFUNCTION("""COMPUTED_VALUE"""),0.0)</f>
        <v>0</v>
      </c>
      <c r="AV457" s="16">
        <f>IFERROR(__xludf.DUMMYFUNCTION("""COMPUTED_VALUE"""),-4.0)</f>
        <v>-4</v>
      </c>
      <c r="AW457" s="16">
        <f>IFERROR(__xludf.DUMMYFUNCTION("""COMPUTED_VALUE"""),0.0)</f>
        <v>0</v>
      </c>
      <c r="AX457" s="16">
        <f>IFERROR(__xludf.DUMMYFUNCTION("""COMPUTED_VALUE"""),8.5)</f>
        <v>8.5</v>
      </c>
      <c r="AY457" s="16">
        <f>IFERROR(__xludf.DUMMYFUNCTION("""COMPUTED_VALUE"""),2.0)</f>
        <v>2</v>
      </c>
      <c r="AZ457" s="16">
        <f>IFERROR(__xludf.DUMMYFUNCTION("""COMPUTED_VALUE"""),-3.0)</f>
        <v>-3</v>
      </c>
      <c r="BA457" s="16">
        <f>IFERROR(__xludf.DUMMYFUNCTION("""COMPUTED_VALUE"""),10.0)</f>
        <v>10</v>
      </c>
      <c r="BB457" s="16">
        <f>IFERROR(__xludf.DUMMYFUNCTION("""COMPUTED_VALUE"""),-15.0)</f>
        <v>-15</v>
      </c>
      <c r="BC457" s="16">
        <f>IFERROR(__xludf.DUMMYFUNCTION("""COMPUTED_VALUE"""),0.0)</f>
        <v>0</v>
      </c>
      <c r="BD457" s="16"/>
      <c r="BE457" s="16">
        <f>IFERROR(__xludf.DUMMYFUNCTION("""COMPUTED_VALUE"""),0.0)</f>
        <v>0</v>
      </c>
      <c r="BF457" s="16">
        <f>IFERROR(__xludf.DUMMYFUNCTION("""COMPUTED_VALUE"""),8.0)</f>
        <v>8</v>
      </c>
      <c r="BG457" s="16">
        <f>IFERROR(__xludf.DUMMYFUNCTION("""COMPUTED_VALUE"""),3.0)</f>
        <v>3</v>
      </c>
      <c r="BH457" s="16">
        <f>IFERROR(__xludf.DUMMYFUNCTION("""COMPUTED_VALUE"""),-3.0)</f>
        <v>-3</v>
      </c>
      <c r="BI457" s="16">
        <f>IFERROR(__xludf.DUMMYFUNCTION("""COMPUTED_VALUE"""),6.0)</f>
        <v>6</v>
      </c>
      <c r="BJ457" s="16">
        <f>IFERROR(__xludf.DUMMYFUNCTION("""COMPUTED_VALUE"""),-6.0)</f>
        <v>-6</v>
      </c>
      <c r="BK457" s="16">
        <f>IFERROR(__xludf.DUMMYFUNCTION("""COMPUTED_VALUE"""),5.0)</f>
        <v>5</v>
      </c>
      <c r="BL457" s="16">
        <f>IFERROR(__xludf.DUMMYFUNCTION("""COMPUTED_VALUE"""),0.0)</f>
        <v>0</v>
      </c>
      <c r="BM457" s="16">
        <f>IFERROR(__xludf.DUMMYFUNCTION("""COMPUTED_VALUE"""),0.0)</f>
        <v>0</v>
      </c>
      <c r="BN457" s="16">
        <f>IFERROR(__xludf.DUMMYFUNCTION("""COMPUTED_VALUE"""),1.0)</f>
        <v>1</v>
      </c>
      <c r="BO457" s="16">
        <f>IFERROR(__xludf.DUMMYFUNCTION("""COMPUTED_VALUE"""),0.0)</f>
        <v>0</v>
      </c>
      <c r="BP457" s="16">
        <f>IFERROR(__xludf.DUMMYFUNCTION("""COMPUTED_VALUE"""),1.0)</f>
        <v>1</v>
      </c>
      <c r="BQ457" s="16">
        <f>IFERROR(__xludf.DUMMYFUNCTION("""COMPUTED_VALUE"""),10.0)</f>
        <v>10</v>
      </c>
      <c r="BR457" s="16">
        <f>IFERROR(__xludf.DUMMYFUNCTION("""COMPUTED_VALUE"""),9.0)</f>
        <v>9</v>
      </c>
      <c r="BS457" s="16">
        <f>IFERROR(__xludf.DUMMYFUNCTION("""COMPUTED_VALUE"""),3.0)</f>
        <v>3</v>
      </c>
      <c r="BT457" s="16">
        <f>IFERROR(__xludf.DUMMYFUNCTION("""COMPUTED_VALUE"""),3.0)</f>
        <v>3</v>
      </c>
      <c r="BU457" s="16">
        <f>IFERROR(__xludf.DUMMYFUNCTION("""COMPUTED_VALUE"""),6.0)</f>
        <v>6</v>
      </c>
      <c r="BV457" s="16">
        <f>IFERROR(__xludf.DUMMYFUNCTION("""COMPUTED_VALUE"""),6.0)</f>
        <v>6</v>
      </c>
      <c r="BW457" s="16">
        <f>IFERROR(__xludf.DUMMYFUNCTION("""COMPUTED_VALUE"""),4.0)</f>
        <v>4</v>
      </c>
      <c r="BX457" s="16">
        <f>IFERROR(__xludf.DUMMYFUNCTION("""COMPUTED_VALUE"""),4.0)</f>
        <v>4</v>
      </c>
      <c r="BY457" s="16" t="str">
        <f>IFERROR(__xludf.DUMMYFUNCTION("""COMPUTED_VALUE"""),"S(1) R(1)")</f>
        <v>S(1) R(1)</v>
      </c>
      <c r="BZ457" s="16" t="str">
        <f>IFERROR(__xludf.DUMMYFUNCTION("""COMPUTED_VALUE"""),"S(1) R(1)")</f>
        <v>S(1) R(1)</v>
      </c>
      <c r="CA457" s="16" t="str">
        <f>IFERROR(__xludf.DUMMYFUNCTION("""COMPUTED_VALUE"""),"S(1)")</f>
        <v>S(1)</v>
      </c>
      <c r="CB457" s="16" t="str">
        <f>IFERROR(__xludf.DUMMYFUNCTION("""COMPUTED_VALUE"""),"R(1)")</f>
        <v>R(1)</v>
      </c>
      <c r="CC457" s="16"/>
      <c r="CD457" s="16">
        <f>IFERROR(__xludf.DUMMYFUNCTION("""COMPUTED_VALUE"""),1.0)</f>
        <v>1</v>
      </c>
      <c r="CE457" s="16">
        <f>IFERROR(__xludf.DUMMYFUNCTION("""COMPUTED_VALUE"""),1.0)</f>
        <v>1</v>
      </c>
      <c r="CF457" s="16"/>
      <c r="CG457" s="16" t="str">
        <f>IFERROR(__xludf.DUMMYFUNCTION("""COMPUTED_VALUE"""),"3-0")</f>
        <v>3-0</v>
      </c>
      <c r="CH457" s="16">
        <f>IFERROR(__xludf.DUMMYFUNCTION("""COMPUTED_VALUE"""),3.0)</f>
        <v>3</v>
      </c>
      <c r="CI457" s="16">
        <f>IFERROR(__xludf.DUMMYFUNCTION("""COMPUTED_VALUE"""),0.0)</f>
        <v>0</v>
      </c>
      <c r="CJ457" s="16">
        <f>IFERROR(__xludf.DUMMYFUNCTION("""COMPUTED_VALUE"""),9.0)</f>
        <v>9</v>
      </c>
      <c r="CK457" s="16">
        <f>IFERROR(__xludf.DUMMYFUNCTION("""COMPUTED_VALUE"""),6.0)</f>
        <v>6</v>
      </c>
      <c r="CL457" s="16" t="str">
        <f>IFERROR(__xludf.DUMMYFUNCTION("""COMPUTED_VALUE"""),"1WR-C")</f>
        <v>1WR-C</v>
      </c>
      <c r="CM457" s="16" t="str">
        <f>IFERROR(__xludf.DUMMYFUNCTION("""COMPUTED_VALUE"""),"E")</f>
        <v>E</v>
      </c>
      <c r="CN457" s="16">
        <f>IFERROR(__xludf.DUMMYFUNCTION("""COMPUTED_VALUE"""),10.0)</f>
        <v>10</v>
      </c>
      <c r="CO457" s="16" t="str">
        <f>IFERROR(__xludf.DUMMYFUNCTION("""COMPUTED_VALUE"""),"C")</f>
        <v>C</v>
      </c>
      <c r="CP457" s="16" t="str">
        <f>IFERROR(__xludf.DUMMYFUNCTION("""COMPUTED_VALUE"""),"1p30")</f>
        <v>1p30</v>
      </c>
      <c r="CQ457" s="16">
        <f>IFERROR(__xludf.DUMMYFUNCTION("""COMPUTED_VALUE"""),2.0)</f>
        <v>2</v>
      </c>
      <c r="CR457" s="16">
        <f>IFERROR(__xludf.DUMMYFUNCTION("""COMPUTED_VALUE"""),-46.0)</f>
        <v>-46</v>
      </c>
      <c r="CS457" s="16">
        <f>IFERROR(__xludf.DUMMYFUNCTION("""COMPUTED_VALUE"""),-44.0)</f>
        <v>-44</v>
      </c>
      <c r="CT457" s="16">
        <f>IFERROR(__xludf.DUMMYFUNCTION("""COMPUTED_VALUE"""),2.0)</f>
        <v>2</v>
      </c>
      <c r="CU457" s="16">
        <f>IFERROR(__xludf.DUMMYFUNCTION("""COMPUTED_VALUE"""),-46.0)</f>
        <v>-46</v>
      </c>
      <c r="CV457" s="179">
        <f>IFERROR(__xludf.DUMMYFUNCTION("""COMPUTED_VALUE"""),-24.0)</f>
        <v>-24</v>
      </c>
      <c r="CW457" s="179">
        <f>IFERROR(__xludf.DUMMYFUNCTION("""COMPUTED_VALUE"""),4.0)</f>
        <v>4</v>
      </c>
      <c r="CX457" s="179">
        <f>IFERROR(__xludf.DUMMYFUNCTION("""COMPUTED_VALUE"""),2.0)</f>
        <v>2</v>
      </c>
      <c r="CY457" s="16" t="str">
        <f>IFERROR(__xludf.DUMMYFUNCTION("""COMPUTED_VALUE"""),"SP")</f>
        <v>SP</v>
      </c>
      <c r="CZ457" s="16" t="str">
        <f>IFERROR(__xludf.DUMMYFUNCTION("""COMPUTED_VALUE"""),"RP")</f>
        <v>RP</v>
      </c>
      <c r="DA457" s="16"/>
      <c r="DB457" s="16"/>
      <c r="DC457" s="16"/>
      <c r="DD457" s="16"/>
      <c r="DE457" s="16"/>
      <c r="DF457" s="16"/>
      <c r="DG457" s="16"/>
      <c r="DH457" s="16"/>
      <c r="DI457" s="16"/>
      <c r="DJ457" s="16"/>
      <c r="DK457" s="16"/>
    </row>
    <row r="458">
      <c r="A458" s="16">
        <f>IFERROR(__xludf.DUMMYFUNCTION("""COMPUTED_VALUE"""),12637.0)</f>
        <v>12637</v>
      </c>
      <c r="B458" s="16" t="str">
        <f>IFERROR(__xludf.DUMMYFUNCTION("""COMPUTED_VALUE"""),"Bryse Wilson")</f>
        <v>Bryse Wilson</v>
      </c>
      <c r="C458" s="153">
        <f>IFERROR(__xludf.DUMMYFUNCTION("""COMPUTED_VALUE"""),0.37)</f>
        <v>0.37</v>
      </c>
      <c r="D458" s="16"/>
      <c r="E458" s="16" t="str">
        <f>IFERROR(__xludf.DUMMYFUNCTION("""COMPUTED_VALUE"""),"R")</f>
        <v>R</v>
      </c>
      <c r="F458" s="16">
        <f>IFERROR(__xludf.DUMMYFUNCTION("""COMPUTED_VALUE"""),105.0)</f>
        <v>105</v>
      </c>
      <c r="G458" s="16">
        <f>IFERROR(__xludf.DUMMYFUNCTION("""COMPUTED_VALUE"""),15.0)</f>
        <v>15</v>
      </c>
      <c r="H458" s="16">
        <f>IFERROR(__xludf.DUMMYFUNCTION("""COMPUTED_VALUE"""),16.0)</f>
        <v>16</v>
      </c>
      <c r="I458" s="16">
        <f>IFERROR(__xludf.DUMMYFUNCTION("""COMPUTED_VALUE"""),-2.0)</f>
        <v>-2</v>
      </c>
      <c r="J458" s="16">
        <f>IFERROR(__xludf.DUMMYFUNCTION("""COMPUTED_VALUE"""),-2.0)</f>
        <v>-2</v>
      </c>
      <c r="K458" s="16">
        <f>IFERROR(__xludf.DUMMYFUNCTION("""COMPUTED_VALUE"""),-6.0)</f>
        <v>-6</v>
      </c>
      <c r="L458" s="16">
        <f>IFERROR(__xludf.DUMMYFUNCTION("""COMPUTED_VALUE"""),-6.0)</f>
        <v>-6</v>
      </c>
      <c r="M458" s="16">
        <f>IFERROR(__xludf.DUMMYFUNCTION("""COMPUTED_VALUE"""),13.0)</f>
        <v>13</v>
      </c>
      <c r="N458" s="16">
        <f>IFERROR(__xludf.DUMMYFUNCTION("""COMPUTED_VALUE"""),1.0)</f>
        <v>1</v>
      </c>
      <c r="O458" s="16">
        <f>IFERROR(__xludf.DUMMYFUNCTION("""COMPUTED_VALUE"""),-1.0)</f>
        <v>-1</v>
      </c>
      <c r="P458" s="16">
        <f>IFERROR(__xludf.DUMMYFUNCTION("""COMPUTED_VALUE"""),3.0)</f>
        <v>3</v>
      </c>
      <c r="Q458" s="16">
        <f>IFERROR(__xludf.DUMMYFUNCTION("""COMPUTED_VALUE"""),-1.0)</f>
        <v>-1</v>
      </c>
      <c r="R458" s="16">
        <f>IFERROR(__xludf.DUMMYFUNCTION("""COMPUTED_VALUE"""),3.0)</f>
        <v>3</v>
      </c>
      <c r="S458" s="16">
        <f>IFERROR(__xludf.DUMMYFUNCTION("""COMPUTED_VALUE"""),20.3)</f>
        <v>20.3</v>
      </c>
      <c r="T458" s="16">
        <f>IFERROR(__xludf.DUMMYFUNCTION("""COMPUTED_VALUE"""),19.1)</f>
        <v>19.1</v>
      </c>
      <c r="U458" s="16">
        <f>IFERROR(__xludf.DUMMYFUNCTION("""COMPUTED_VALUE"""),-1.0)</f>
        <v>-1</v>
      </c>
      <c r="V458" s="16">
        <f>IFERROR(__xludf.DUMMYFUNCTION("""COMPUTED_VALUE"""),-1.0)</f>
        <v>-1</v>
      </c>
      <c r="W458" s="16">
        <f>IFERROR(__xludf.DUMMYFUNCTION("""COMPUTED_VALUE"""),-2.0)</f>
        <v>-2</v>
      </c>
      <c r="X458" s="16">
        <f>IFERROR(__xludf.DUMMYFUNCTION("""COMPUTED_VALUE"""),-2.0)</f>
        <v>-2</v>
      </c>
      <c r="Y458" s="16">
        <f>IFERROR(__xludf.DUMMYFUNCTION("""COMPUTED_VALUE"""),33.3)</f>
        <v>33.3</v>
      </c>
      <c r="Z458" s="16">
        <f>IFERROR(__xludf.DUMMYFUNCTION("""COMPUTED_VALUE"""),20.1)</f>
        <v>20.1</v>
      </c>
      <c r="AA458" s="16">
        <f>IFERROR(__xludf.DUMMYFUNCTION("""COMPUTED_VALUE"""),-1.0)</f>
        <v>-1</v>
      </c>
      <c r="AB458" s="16">
        <f>IFERROR(__xludf.DUMMYFUNCTION("""COMPUTED_VALUE"""),1.0)</f>
        <v>1</v>
      </c>
      <c r="AC458" s="16">
        <f>IFERROR(__xludf.DUMMYFUNCTION("""COMPUTED_VALUE"""),-5.0)</f>
        <v>-5</v>
      </c>
      <c r="AD458" s="16">
        <f>IFERROR(__xludf.DUMMYFUNCTION("""COMPUTED_VALUE"""),5.0)</f>
        <v>5</v>
      </c>
      <c r="AE458" s="16">
        <f>IFERROR(__xludf.DUMMYFUNCTION("""COMPUTED_VALUE"""),34.5)</f>
        <v>34.5</v>
      </c>
      <c r="AF458" s="16">
        <f>IFERROR(__xludf.DUMMYFUNCTION("""COMPUTED_VALUE"""),29.9)</f>
        <v>29.9</v>
      </c>
      <c r="AG458" s="16">
        <f>IFERROR(__xludf.DUMMYFUNCTION("""COMPUTED_VALUE"""),-1.0)</f>
        <v>-1</v>
      </c>
      <c r="AH458" s="16">
        <f>IFERROR(__xludf.DUMMYFUNCTION("""COMPUTED_VALUE"""),0.0)</f>
        <v>0</v>
      </c>
      <c r="AI458" s="16">
        <f>IFERROR(__xludf.DUMMYFUNCTION("""COMPUTED_VALUE"""),-2.0)</f>
        <v>-2</v>
      </c>
      <c r="AJ458" s="16">
        <f>IFERROR(__xludf.DUMMYFUNCTION("""COMPUTED_VALUE"""),0.0)</f>
        <v>0</v>
      </c>
      <c r="AK458" s="16">
        <f>IFERROR(__xludf.DUMMYFUNCTION("""COMPUTED_VALUE"""),16.900000000000002)</f>
        <v>16.9</v>
      </c>
      <c r="AL458" s="16">
        <f>IFERROR(__xludf.DUMMYFUNCTION("""COMPUTED_VALUE"""),15.500000000000002)</f>
        <v>15.5</v>
      </c>
      <c r="AM458" s="16">
        <f>IFERROR(__xludf.DUMMYFUNCTION("""COMPUTED_VALUE"""),-1.0)</f>
        <v>-1</v>
      </c>
      <c r="AN458" s="16">
        <f>IFERROR(__xludf.DUMMYFUNCTION("""COMPUTED_VALUE"""),0.0)</f>
        <v>0</v>
      </c>
      <c r="AO458" s="16">
        <f>IFERROR(__xludf.DUMMYFUNCTION("""COMPUTED_VALUE"""),-1.0)</f>
        <v>-1</v>
      </c>
      <c r="AP458" s="16">
        <f>IFERROR(__xludf.DUMMYFUNCTION("""COMPUTED_VALUE"""),0.0)</f>
        <v>0</v>
      </c>
      <c r="AQ458" s="16">
        <f>IFERROR(__xludf.DUMMYFUNCTION("""COMPUTED_VALUE"""),20.9)</f>
        <v>20.9</v>
      </c>
      <c r="AR458" s="16">
        <f>IFERROR(__xludf.DUMMYFUNCTION("""COMPUTED_VALUE"""),15.499999999999998)</f>
        <v>15.5</v>
      </c>
      <c r="AS458" s="16">
        <f>IFERROR(__xludf.DUMMYFUNCTION("""COMPUTED_VALUE"""),0.0)</f>
        <v>0</v>
      </c>
      <c r="AT458" s="16">
        <f>IFERROR(__xludf.DUMMYFUNCTION("""COMPUTED_VALUE"""),1.0)</f>
        <v>1</v>
      </c>
      <c r="AU458" s="16">
        <f>IFERROR(__xludf.DUMMYFUNCTION("""COMPUTED_VALUE"""),0.0)</f>
        <v>0</v>
      </c>
      <c r="AV458" s="16">
        <f>IFERROR(__xludf.DUMMYFUNCTION("""COMPUTED_VALUE"""),2.0)</f>
        <v>2</v>
      </c>
      <c r="AW458" s="16">
        <f>IFERROR(__xludf.DUMMYFUNCTION("""COMPUTED_VALUE"""),3.4)</f>
        <v>3.4</v>
      </c>
      <c r="AX458" s="16">
        <f>IFERROR(__xludf.DUMMYFUNCTION("""COMPUTED_VALUE"""),3.6)</f>
        <v>3.6</v>
      </c>
      <c r="AY458" s="16">
        <f>IFERROR(__xludf.DUMMYFUNCTION("""COMPUTED_VALUE"""),-2.0)</f>
        <v>-2</v>
      </c>
      <c r="AZ458" s="16">
        <f>IFERROR(__xludf.DUMMYFUNCTION("""COMPUTED_VALUE"""),-2.0)</f>
        <v>-2</v>
      </c>
      <c r="BA458" s="16">
        <f>IFERROR(__xludf.DUMMYFUNCTION("""COMPUTED_VALUE"""),-10.0)</f>
        <v>-10</v>
      </c>
      <c r="BB458" s="16">
        <f>IFERROR(__xludf.DUMMYFUNCTION("""COMPUTED_VALUE"""),-10.0)</f>
        <v>-10</v>
      </c>
      <c r="BC458" s="16">
        <f>IFERROR(__xludf.DUMMYFUNCTION("""COMPUTED_VALUE"""),5.0)</f>
        <v>5</v>
      </c>
      <c r="BD458" s="16">
        <f>IFERROR(__xludf.DUMMYFUNCTION("""COMPUTED_VALUE"""),6.0)</f>
        <v>6</v>
      </c>
      <c r="BE458" s="16">
        <f>IFERROR(__xludf.DUMMYFUNCTION("""COMPUTED_VALUE"""),5.0)</f>
        <v>5</v>
      </c>
      <c r="BF458" s="16">
        <f>IFERROR(__xludf.DUMMYFUNCTION("""COMPUTED_VALUE"""),6.0)</f>
        <v>6</v>
      </c>
      <c r="BG458" s="16">
        <f>IFERROR(__xludf.DUMMYFUNCTION("""COMPUTED_VALUE"""),-2.0)</f>
        <v>-2</v>
      </c>
      <c r="BH458" s="16">
        <f>IFERROR(__xludf.DUMMYFUNCTION("""COMPUTED_VALUE"""),-2.0)</f>
        <v>-2</v>
      </c>
      <c r="BI458" s="16">
        <f>IFERROR(__xludf.DUMMYFUNCTION("""COMPUTED_VALUE"""),-4.0)</f>
        <v>-4</v>
      </c>
      <c r="BJ458" s="16">
        <f>IFERROR(__xludf.DUMMYFUNCTION("""COMPUTED_VALUE"""),-4.0)</f>
        <v>-4</v>
      </c>
      <c r="BK458" s="16">
        <f>IFERROR(__xludf.DUMMYFUNCTION("""COMPUTED_VALUE"""),5.0)</f>
        <v>5</v>
      </c>
      <c r="BL458" s="16">
        <f>IFERROR(__xludf.DUMMYFUNCTION("""COMPUTED_VALUE"""),5.0)</f>
        <v>5</v>
      </c>
      <c r="BM458" s="16">
        <f>IFERROR(__xludf.DUMMYFUNCTION("""COMPUTED_VALUE"""),0.0)</f>
        <v>0</v>
      </c>
      <c r="BN458" s="16">
        <f>IFERROR(__xludf.DUMMYFUNCTION("""COMPUTED_VALUE"""),0.0)</f>
        <v>0</v>
      </c>
      <c r="BO458" s="16">
        <f>IFERROR(__xludf.DUMMYFUNCTION("""COMPUTED_VALUE"""),0.0)</f>
        <v>0</v>
      </c>
      <c r="BP458" s="16">
        <f>IFERROR(__xludf.DUMMYFUNCTION("""COMPUTED_VALUE"""),0.0)</f>
        <v>0</v>
      </c>
      <c r="BQ458" s="16">
        <f>IFERROR(__xludf.DUMMYFUNCTION("""COMPUTED_VALUE"""),4.0)</f>
        <v>4</v>
      </c>
      <c r="BR458" s="16">
        <f>IFERROR(__xludf.DUMMYFUNCTION("""COMPUTED_VALUE"""),0.0)</f>
        <v>0</v>
      </c>
      <c r="BS458" s="16">
        <f>IFERROR(__xludf.DUMMYFUNCTION("""COMPUTED_VALUE"""),-1.0)</f>
        <v>-1</v>
      </c>
      <c r="BT458" s="16">
        <f>IFERROR(__xludf.DUMMYFUNCTION("""COMPUTED_VALUE"""),-3.0)</f>
        <v>-3</v>
      </c>
      <c r="BU458" s="16">
        <f>IFERROR(__xludf.DUMMYFUNCTION("""COMPUTED_VALUE"""),-2.0)</f>
        <v>-2</v>
      </c>
      <c r="BV458" s="16">
        <f>IFERROR(__xludf.DUMMYFUNCTION("""COMPUTED_VALUE"""),-6.0)</f>
        <v>-6</v>
      </c>
      <c r="BW458" s="16">
        <f>IFERROR(__xludf.DUMMYFUNCTION("""COMPUTED_VALUE"""),0.0)</f>
        <v>0</v>
      </c>
      <c r="BX458" s="16">
        <f>IFERROR(__xludf.DUMMYFUNCTION("""COMPUTED_VALUE"""),0.0)</f>
        <v>0</v>
      </c>
      <c r="BY458" s="16" t="str">
        <f>IFERROR(__xludf.DUMMYFUNCTION("""COMPUTED_VALUE"""),"S(4) R(4)")</f>
        <v>S(4) R(4)</v>
      </c>
      <c r="BZ458" s="16" t="str">
        <f>IFERROR(__xludf.DUMMYFUNCTION("""COMPUTED_VALUE"""),"S(4) R(4)")</f>
        <v>S(4) R(4)</v>
      </c>
      <c r="CA458" s="16" t="str">
        <f>IFERROR(__xludf.DUMMYFUNCTION("""COMPUTED_VALUE"""),"S(4)")</f>
        <v>S(4)</v>
      </c>
      <c r="CB458" s="16" t="str">
        <f>IFERROR(__xludf.DUMMYFUNCTION("""COMPUTED_VALUE"""),"R(4)")</f>
        <v>R(4)</v>
      </c>
      <c r="CC458" s="16"/>
      <c r="CD458" s="16">
        <f>IFERROR(__xludf.DUMMYFUNCTION("""COMPUTED_VALUE"""),4.0)</f>
        <v>4</v>
      </c>
      <c r="CE458" s="16">
        <f>IFERROR(__xludf.DUMMYFUNCTION("""COMPUTED_VALUE"""),4.0)</f>
        <v>4</v>
      </c>
      <c r="CF458" s="16"/>
      <c r="CG458" s="16" t="str">
        <f>IFERROR(__xludf.DUMMYFUNCTION("""COMPUTED_VALUE"""),"3-0")</f>
        <v>3-0</v>
      </c>
      <c r="CH458" s="16">
        <f>IFERROR(__xludf.DUMMYFUNCTION("""COMPUTED_VALUE"""),3.0)</f>
        <v>3</v>
      </c>
      <c r="CI458" s="16">
        <f>IFERROR(__xludf.DUMMYFUNCTION("""COMPUTED_VALUE"""),0.0)</f>
        <v>0</v>
      </c>
      <c r="CJ458" s="16">
        <f>IFERROR(__xludf.DUMMYFUNCTION("""COMPUTED_VALUE"""),3.0)</f>
        <v>3</v>
      </c>
      <c r="CK458" s="16">
        <f>IFERROR(__xludf.DUMMYFUNCTION("""COMPUTED_VALUE"""),6.0)</f>
        <v>6</v>
      </c>
      <c r="CL458" s="16" t="str">
        <f>IFERROR(__xludf.DUMMYFUNCTION("""COMPUTED_VALUE"""),"1WR-C")</f>
        <v>1WR-C</v>
      </c>
      <c r="CM458" s="16" t="str">
        <f>IFERROR(__xludf.DUMMYFUNCTION("""COMPUTED_VALUE"""),"E")</f>
        <v>E</v>
      </c>
      <c r="CN458" s="16">
        <f>IFERROR(__xludf.DUMMYFUNCTION("""COMPUTED_VALUE"""),10.0)</f>
        <v>10</v>
      </c>
      <c r="CO458" s="16" t="str">
        <f>IFERROR(__xludf.DUMMYFUNCTION("""COMPUTED_VALUE"""),"C")</f>
        <v>C</v>
      </c>
      <c r="CP458" s="16" t="str">
        <f>IFERROR(__xludf.DUMMYFUNCTION("""COMPUTED_VALUE"""),"2p60")</f>
        <v>2p60</v>
      </c>
      <c r="CQ458" s="16">
        <f>IFERROR(__xludf.DUMMYFUNCTION("""COMPUTED_VALUE"""),-33.0)</f>
        <v>-33</v>
      </c>
      <c r="CR458" s="16">
        <f>IFERROR(__xludf.DUMMYFUNCTION("""COMPUTED_VALUE"""),-18.0)</f>
        <v>-18</v>
      </c>
      <c r="CS458" s="16">
        <f>IFERROR(__xludf.DUMMYFUNCTION("""COMPUTED_VALUE"""),-51.0)</f>
        <v>-51</v>
      </c>
      <c r="CT458" s="16">
        <f>IFERROR(__xludf.DUMMYFUNCTION("""COMPUTED_VALUE"""),-33.0)</f>
        <v>-33</v>
      </c>
      <c r="CU458" s="16">
        <f>IFERROR(__xludf.DUMMYFUNCTION("""COMPUTED_VALUE"""),-18.0)</f>
        <v>-18</v>
      </c>
      <c r="CV458" s="179">
        <f>IFERROR(__xludf.DUMMYFUNCTION("""COMPUTED_VALUE"""),-24.0)</f>
        <v>-24</v>
      </c>
      <c r="CW458" s="179">
        <f>IFERROR(__xludf.DUMMYFUNCTION("""COMPUTED_VALUE"""),3.0)</f>
        <v>3</v>
      </c>
      <c r="CX458" s="179">
        <f>IFERROR(__xludf.DUMMYFUNCTION("""COMPUTED_VALUE"""),1.0)</f>
        <v>1</v>
      </c>
      <c r="CY458" s="16" t="str">
        <f>IFERROR(__xludf.DUMMYFUNCTION("""COMPUTED_VALUE"""),"SP")</f>
        <v>SP</v>
      </c>
      <c r="CZ458" s="16" t="str">
        <f>IFERROR(__xludf.DUMMYFUNCTION("""COMPUTED_VALUE"""),"RP")</f>
        <v>RP</v>
      </c>
      <c r="DA458" s="16"/>
      <c r="DB458" s="16"/>
      <c r="DC458" s="16"/>
      <c r="DD458" s="16"/>
      <c r="DE458" s="16"/>
      <c r="DF458" s="16"/>
      <c r="DG458" s="16"/>
      <c r="DH458" s="16"/>
      <c r="DI458" s="16"/>
      <c r="DJ458" s="16"/>
      <c r="DK458" s="16"/>
    </row>
    <row r="459">
      <c r="A459" s="16">
        <f>IFERROR(__xludf.DUMMYFUNCTION("""COMPUTED_VALUE"""),13254.0)</f>
        <v>13254</v>
      </c>
      <c r="B459" s="16" t="str">
        <f>IFERROR(__xludf.DUMMYFUNCTION("""COMPUTED_VALUE"""),"Noah Davis")</f>
        <v>Noah Davis</v>
      </c>
      <c r="C459" s="153">
        <f>IFERROR(__xludf.DUMMYFUNCTION("""COMPUTED_VALUE"""),0.0)</f>
        <v>0</v>
      </c>
      <c r="D459" s="16"/>
      <c r="E459" s="16" t="str">
        <f>IFERROR(__xludf.DUMMYFUNCTION("""COMPUTED_VALUE"""),"R")</f>
        <v>R</v>
      </c>
      <c r="F459" s="16">
        <f>IFERROR(__xludf.DUMMYFUNCTION("""COMPUTED_VALUE"""),20.0)</f>
        <v>20</v>
      </c>
      <c r="G459" s="16">
        <f>IFERROR(__xludf.DUMMYFUNCTION("""COMPUTED_VALUE"""),13.0)</f>
        <v>13</v>
      </c>
      <c r="H459" s="16">
        <f>IFERROR(__xludf.DUMMYFUNCTION("""COMPUTED_VALUE"""),7.0)</f>
        <v>7</v>
      </c>
      <c r="I459" s="16">
        <f>IFERROR(__xludf.DUMMYFUNCTION("""COMPUTED_VALUE"""),-2.0)</f>
        <v>-2</v>
      </c>
      <c r="J459" s="16">
        <f>IFERROR(__xludf.DUMMYFUNCTION("""COMPUTED_VALUE"""),-2.0)</f>
        <v>-2</v>
      </c>
      <c r="K459" s="16">
        <f>IFERROR(__xludf.DUMMYFUNCTION("""COMPUTED_VALUE"""),-6.0)</f>
        <v>-6</v>
      </c>
      <c r="L459" s="16">
        <f>IFERROR(__xludf.DUMMYFUNCTION("""COMPUTED_VALUE"""),-6.0)</f>
        <v>-6</v>
      </c>
      <c r="M459" s="16">
        <f>IFERROR(__xludf.DUMMYFUNCTION("""COMPUTED_VALUE"""),11.0)</f>
        <v>11</v>
      </c>
      <c r="N459" s="16">
        <f>IFERROR(__xludf.DUMMYFUNCTION("""COMPUTED_VALUE"""),4.0)</f>
        <v>4</v>
      </c>
      <c r="O459" s="16">
        <f>IFERROR(__xludf.DUMMYFUNCTION("""COMPUTED_VALUE"""),-1.0)</f>
        <v>-1</v>
      </c>
      <c r="P459" s="16">
        <f>IFERROR(__xludf.DUMMYFUNCTION("""COMPUTED_VALUE"""),2.0)</f>
        <v>2</v>
      </c>
      <c r="Q459" s="16">
        <f>IFERROR(__xludf.DUMMYFUNCTION("""COMPUTED_VALUE"""),-1.0)</f>
        <v>-1</v>
      </c>
      <c r="R459" s="16">
        <f>IFERROR(__xludf.DUMMYFUNCTION("""COMPUTED_VALUE"""),2.0)</f>
        <v>2</v>
      </c>
      <c r="S459" s="16">
        <f>IFERROR(__xludf.DUMMYFUNCTION("""COMPUTED_VALUE"""),20.5)</f>
        <v>20.5</v>
      </c>
      <c r="T459" s="16">
        <f>IFERROR(__xludf.DUMMYFUNCTION("""COMPUTED_VALUE"""),50.2)</f>
        <v>50.2</v>
      </c>
      <c r="U459" s="16">
        <f>IFERROR(__xludf.DUMMYFUNCTION("""COMPUTED_VALUE"""),-1.0)</f>
        <v>-1</v>
      </c>
      <c r="V459" s="16">
        <f>IFERROR(__xludf.DUMMYFUNCTION("""COMPUTED_VALUE"""),-3.0)</f>
        <v>-3</v>
      </c>
      <c r="W459" s="16">
        <f>IFERROR(__xludf.DUMMYFUNCTION("""COMPUTED_VALUE"""),-2.0)</f>
        <v>-2</v>
      </c>
      <c r="X459" s="16">
        <f>IFERROR(__xludf.DUMMYFUNCTION("""COMPUTED_VALUE"""),-6.0)</f>
        <v>-6</v>
      </c>
      <c r="Y459" s="16">
        <f>IFERROR(__xludf.DUMMYFUNCTION("""COMPUTED_VALUE"""),31.5)</f>
        <v>31.5</v>
      </c>
      <c r="Z459" s="16">
        <f>IFERROR(__xludf.DUMMYFUNCTION("""COMPUTED_VALUE"""),54.2)</f>
        <v>54.2</v>
      </c>
      <c r="AA459" s="16">
        <f>IFERROR(__xludf.DUMMYFUNCTION("""COMPUTED_VALUE"""),-1.0)</f>
        <v>-1</v>
      </c>
      <c r="AB459" s="16">
        <f>IFERROR(__xludf.DUMMYFUNCTION("""COMPUTED_VALUE"""),-3.0)</f>
        <v>-3</v>
      </c>
      <c r="AC459" s="16">
        <f>IFERROR(__xludf.DUMMYFUNCTION("""COMPUTED_VALUE"""),-5.0)</f>
        <v>-5</v>
      </c>
      <c r="AD459" s="16">
        <f>IFERROR(__xludf.DUMMYFUNCTION("""COMPUTED_VALUE"""),-15.0)</f>
        <v>-15</v>
      </c>
      <c r="AE459" s="16">
        <f>IFERROR(__xludf.DUMMYFUNCTION("""COMPUTED_VALUE"""),35.6)</f>
        <v>35.6</v>
      </c>
      <c r="AF459" s="16">
        <f>IFERROR(__xludf.DUMMYFUNCTION("""COMPUTED_VALUE"""),64.9)</f>
        <v>64.9</v>
      </c>
      <c r="AG459" s="16">
        <f>IFERROR(__xludf.DUMMYFUNCTION("""COMPUTED_VALUE"""),-1.0)</f>
        <v>-1</v>
      </c>
      <c r="AH459" s="16">
        <f>IFERROR(__xludf.DUMMYFUNCTION("""COMPUTED_VALUE"""),-3.0)</f>
        <v>-3</v>
      </c>
      <c r="AI459" s="16">
        <f>IFERROR(__xludf.DUMMYFUNCTION("""COMPUTED_VALUE"""),-2.0)</f>
        <v>-2</v>
      </c>
      <c r="AJ459" s="16">
        <f>IFERROR(__xludf.DUMMYFUNCTION("""COMPUTED_VALUE"""),-6.0)</f>
        <v>-6</v>
      </c>
      <c r="AK459" s="16">
        <f>IFERROR(__xludf.DUMMYFUNCTION("""COMPUTED_VALUE"""),19.1)</f>
        <v>19.1</v>
      </c>
      <c r="AL459" s="16">
        <f>IFERROR(__xludf.DUMMYFUNCTION("""COMPUTED_VALUE"""),47.800000000000004)</f>
        <v>47.8</v>
      </c>
      <c r="AM459" s="16">
        <f>IFERROR(__xludf.DUMMYFUNCTION("""COMPUTED_VALUE"""),-1.0)</f>
        <v>-1</v>
      </c>
      <c r="AN459" s="16">
        <f>IFERROR(__xludf.DUMMYFUNCTION("""COMPUTED_VALUE"""),-3.0)</f>
        <v>-3</v>
      </c>
      <c r="AO459" s="16">
        <f>IFERROR(__xludf.DUMMYFUNCTION("""COMPUTED_VALUE"""),-1.0)</f>
        <v>-1</v>
      </c>
      <c r="AP459" s="16">
        <f>IFERROR(__xludf.DUMMYFUNCTION("""COMPUTED_VALUE"""),-3.0)</f>
        <v>-3</v>
      </c>
      <c r="AQ459" s="16">
        <f>IFERROR(__xludf.DUMMYFUNCTION("""COMPUTED_VALUE"""),30.0)</f>
        <v>30</v>
      </c>
      <c r="AR459" s="16">
        <f>IFERROR(__xludf.DUMMYFUNCTION("""COMPUTED_VALUE"""),55.300000000000004)</f>
        <v>55.3</v>
      </c>
      <c r="AS459" s="16">
        <f>IFERROR(__xludf.DUMMYFUNCTION("""COMPUTED_VALUE"""),-1.0)</f>
        <v>-1</v>
      </c>
      <c r="AT459" s="16">
        <f>IFERROR(__xludf.DUMMYFUNCTION("""COMPUTED_VALUE"""),-3.0)</f>
        <v>-3</v>
      </c>
      <c r="AU459" s="16">
        <f>IFERROR(__xludf.DUMMYFUNCTION("""COMPUTED_VALUE"""),-2.0)</f>
        <v>-2</v>
      </c>
      <c r="AV459" s="16">
        <f>IFERROR(__xludf.DUMMYFUNCTION("""COMPUTED_VALUE"""),-6.0)</f>
        <v>-6</v>
      </c>
      <c r="AW459" s="16">
        <f>IFERROR(__xludf.DUMMYFUNCTION("""COMPUTED_VALUE"""),1.4)</f>
        <v>1.4</v>
      </c>
      <c r="AX459" s="16">
        <f>IFERROR(__xludf.DUMMYFUNCTION("""COMPUTED_VALUE"""),2.4)</f>
        <v>2.4</v>
      </c>
      <c r="AY459" s="16">
        <f>IFERROR(__xludf.DUMMYFUNCTION("""COMPUTED_VALUE"""),1.0)</f>
        <v>1</v>
      </c>
      <c r="AZ459" s="16">
        <f>IFERROR(__xludf.DUMMYFUNCTION("""COMPUTED_VALUE"""),0.0)</f>
        <v>0</v>
      </c>
      <c r="BA459" s="16">
        <f>IFERROR(__xludf.DUMMYFUNCTION("""COMPUTED_VALUE"""),5.0)</f>
        <v>5</v>
      </c>
      <c r="BB459" s="16">
        <f>IFERROR(__xludf.DUMMYFUNCTION("""COMPUTED_VALUE"""),0.0)</f>
        <v>0</v>
      </c>
      <c r="BC459" s="16">
        <f>IFERROR(__xludf.DUMMYFUNCTION("""COMPUTED_VALUE"""),1.0)</f>
        <v>1</v>
      </c>
      <c r="BD459" s="16">
        <f>IFERROR(__xludf.DUMMYFUNCTION("""COMPUTED_VALUE"""),4.0)</f>
        <v>4</v>
      </c>
      <c r="BE459" s="16">
        <f>IFERROR(__xludf.DUMMYFUNCTION("""COMPUTED_VALUE"""),1.0)</f>
        <v>1</v>
      </c>
      <c r="BF459" s="16">
        <f>IFERROR(__xludf.DUMMYFUNCTION("""COMPUTED_VALUE"""),4.0)</f>
        <v>4</v>
      </c>
      <c r="BG459" s="16">
        <f>IFERROR(__xludf.DUMMYFUNCTION("""COMPUTED_VALUE"""),2.0)</f>
        <v>2</v>
      </c>
      <c r="BH459" s="16">
        <f>IFERROR(__xludf.DUMMYFUNCTION("""COMPUTED_VALUE"""),-1.0)</f>
        <v>-1</v>
      </c>
      <c r="BI459" s="16">
        <f>IFERROR(__xludf.DUMMYFUNCTION("""COMPUTED_VALUE"""),4.0)</f>
        <v>4</v>
      </c>
      <c r="BJ459" s="16">
        <f>IFERROR(__xludf.DUMMYFUNCTION("""COMPUTED_VALUE"""),-2.0)</f>
        <v>-2</v>
      </c>
      <c r="BK459" s="16">
        <f>IFERROR(__xludf.DUMMYFUNCTION("""COMPUTED_VALUE"""),5.0)</f>
        <v>5</v>
      </c>
      <c r="BL459" s="16">
        <f>IFERROR(__xludf.DUMMYFUNCTION("""COMPUTED_VALUE"""),5.0)</f>
        <v>5</v>
      </c>
      <c r="BM459" s="16">
        <f>IFERROR(__xludf.DUMMYFUNCTION("""COMPUTED_VALUE"""),0.0)</f>
        <v>0</v>
      </c>
      <c r="BN459" s="16">
        <f>IFERROR(__xludf.DUMMYFUNCTION("""COMPUTED_VALUE"""),0.0)</f>
        <v>0</v>
      </c>
      <c r="BO459" s="16">
        <f>IFERROR(__xludf.DUMMYFUNCTION("""COMPUTED_VALUE"""),0.0)</f>
        <v>0</v>
      </c>
      <c r="BP459" s="16">
        <f>IFERROR(__xludf.DUMMYFUNCTION("""COMPUTED_VALUE"""),0.0)</f>
        <v>0</v>
      </c>
      <c r="BQ459" s="16">
        <f>IFERROR(__xludf.DUMMYFUNCTION("""COMPUTED_VALUE"""),5.0)</f>
        <v>5</v>
      </c>
      <c r="BR459" s="16">
        <f>IFERROR(__xludf.DUMMYFUNCTION("""COMPUTED_VALUE"""),5.0)</f>
        <v>5</v>
      </c>
      <c r="BS459" s="16">
        <f>IFERROR(__xludf.DUMMYFUNCTION("""COMPUTED_VALUE"""),0.0)</f>
        <v>0</v>
      </c>
      <c r="BT459" s="16">
        <f>IFERROR(__xludf.DUMMYFUNCTION("""COMPUTED_VALUE"""),0.0)</f>
        <v>0</v>
      </c>
      <c r="BU459" s="16">
        <f>IFERROR(__xludf.DUMMYFUNCTION("""COMPUTED_VALUE"""),0.0)</f>
        <v>0</v>
      </c>
      <c r="BV459" s="16">
        <f>IFERROR(__xludf.DUMMYFUNCTION("""COMPUTED_VALUE"""),0.0)</f>
        <v>0</v>
      </c>
      <c r="BW459" s="16">
        <f>IFERROR(__xludf.DUMMYFUNCTION("""COMPUTED_VALUE"""),-1.0)</f>
        <v>-1</v>
      </c>
      <c r="BX459" s="16">
        <f>IFERROR(__xludf.DUMMYFUNCTION("""COMPUTED_VALUE"""),-1.0)</f>
        <v>-1</v>
      </c>
      <c r="BY459" s="16" t="str">
        <f>IFERROR(__xludf.DUMMYFUNCTION("""COMPUTED_VALUE"""),"R(3)")</f>
        <v>R(3)</v>
      </c>
      <c r="BZ459" s="16" t="str">
        <f>IFERROR(__xludf.DUMMYFUNCTION("""COMPUTED_VALUE"""),"R(3)")</f>
        <v>R(3)</v>
      </c>
      <c r="CA459" s="16" t="str">
        <f>IFERROR(__xludf.DUMMYFUNCTION("""COMPUTED_VALUE"""),"R(3)")</f>
        <v>R(3)</v>
      </c>
      <c r="CB459" s="16"/>
      <c r="CC459" s="16"/>
      <c r="CD459" s="16"/>
      <c r="CE459" s="16">
        <f>IFERROR(__xludf.DUMMYFUNCTION("""COMPUTED_VALUE"""),3.0)</f>
        <v>3</v>
      </c>
      <c r="CF459" s="16"/>
      <c r="CG459" s="16" t="str">
        <f>IFERROR(__xludf.DUMMYFUNCTION("""COMPUTED_VALUE"""),"3-0")</f>
        <v>3-0</v>
      </c>
      <c r="CH459" s="16">
        <f>IFERROR(__xludf.DUMMYFUNCTION("""COMPUTED_VALUE"""),3.0)</f>
        <v>3</v>
      </c>
      <c r="CI459" s="16">
        <f>IFERROR(__xludf.DUMMYFUNCTION("""COMPUTED_VALUE"""),0.0)</f>
        <v>0</v>
      </c>
      <c r="CJ459" s="16">
        <f>IFERROR(__xludf.DUMMYFUNCTION("""COMPUTED_VALUE"""),0.0)</f>
        <v>0</v>
      </c>
      <c r="CK459" s="16">
        <f>IFERROR(__xludf.DUMMYFUNCTION("""COMPUTED_VALUE"""),0.0)</f>
        <v>0</v>
      </c>
      <c r="CL459" s="16" t="str">
        <f>IFERROR(__xludf.DUMMYFUNCTION("""COMPUTED_VALUE"""),"1WR-C")</f>
        <v>1WR-C</v>
      </c>
      <c r="CM459" s="16" t="str">
        <f>IFERROR(__xludf.DUMMYFUNCTION("""COMPUTED_VALUE"""),"E")</f>
        <v>E</v>
      </c>
      <c r="CN459" s="16">
        <f>IFERROR(__xludf.DUMMYFUNCTION("""COMPUTED_VALUE"""),10.0)</f>
        <v>10</v>
      </c>
      <c r="CO459" s="16" t="str">
        <f>IFERROR(__xludf.DUMMYFUNCTION("""COMPUTED_VALUE"""),"C")</f>
        <v>C</v>
      </c>
      <c r="CP459" s="16" t="str">
        <f>IFERROR(__xludf.DUMMYFUNCTION("""COMPUTED_VALUE"""),"1p20")</f>
        <v>1p20</v>
      </c>
      <c r="CQ459" s="16">
        <f>IFERROR(__xludf.DUMMYFUNCTION("""COMPUTED_VALUE"""),-10.0)</f>
        <v>-10</v>
      </c>
      <c r="CR459" s="16">
        <f>IFERROR(__xludf.DUMMYFUNCTION("""COMPUTED_VALUE"""),-42.0)</f>
        <v>-42</v>
      </c>
      <c r="CS459" s="16">
        <f>IFERROR(__xludf.DUMMYFUNCTION("""COMPUTED_VALUE"""),-52.0)</f>
        <v>-52</v>
      </c>
      <c r="CT459" s="16">
        <f>IFERROR(__xludf.DUMMYFUNCTION("""COMPUTED_VALUE"""),-10.0)</f>
        <v>-10</v>
      </c>
      <c r="CU459" s="16">
        <f>IFERROR(__xludf.DUMMYFUNCTION("""COMPUTED_VALUE"""),-42.0)</f>
        <v>-42</v>
      </c>
      <c r="CV459" s="179">
        <f>IFERROR(__xludf.DUMMYFUNCTION("""COMPUTED_VALUE"""),-24.333333333333332)</f>
        <v>-24.33333333</v>
      </c>
      <c r="CW459" s="179">
        <f>IFERROR(__xludf.DUMMYFUNCTION("""COMPUTED_VALUE"""),4.0)</f>
        <v>4</v>
      </c>
      <c r="CX459" s="179">
        <f>IFERROR(__xludf.DUMMYFUNCTION("""COMPUTED_VALUE"""),3.0)</f>
        <v>3</v>
      </c>
      <c r="CY459" s="16" t="str">
        <f>IFERROR(__xludf.DUMMYFUNCTION("""COMPUTED_VALUE"""),"RP")</f>
        <v>RP</v>
      </c>
      <c r="CZ459" s="16"/>
      <c r="DA459" s="16"/>
      <c r="DB459" s="16"/>
      <c r="DC459" s="16"/>
      <c r="DD459" s="16"/>
      <c r="DE459" s="16"/>
      <c r="DF459" s="16"/>
      <c r="DG459" s="16"/>
      <c r="DH459" s="16"/>
      <c r="DI459" s="16"/>
      <c r="DJ459" s="16"/>
      <c r="DK459" s="16"/>
    </row>
    <row r="460">
      <c r="A460" s="16">
        <f>IFERROR(__xludf.DUMMYFUNCTION("""COMPUTED_VALUE"""),12619.0)</f>
        <v>12619</v>
      </c>
      <c r="B460" s="16" t="str">
        <f>IFERROR(__xludf.DUMMYFUNCTION("""COMPUTED_VALUE"""),"Brock Burke")</f>
        <v>Brock Burke</v>
      </c>
      <c r="C460" s="153">
        <f>IFERROR(__xludf.DUMMYFUNCTION("""COMPUTED_VALUE"""),0.0)</f>
        <v>0</v>
      </c>
      <c r="D460" s="16"/>
      <c r="E460" s="16" t="str">
        <f>IFERROR(__xludf.DUMMYFUNCTION("""COMPUTED_VALUE"""),"L")</f>
        <v>L</v>
      </c>
      <c r="F460" s="16">
        <f>IFERROR(__xludf.DUMMYFUNCTION("""COMPUTED_VALUE"""),34.0)</f>
        <v>34</v>
      </c>
      <c r="G460" s="16">
        <f>IFERROR(__xludf.DUMMYFUNCTION("""COMPUTED_VALUE"""),13.0)</f>
        <v>13</v>
      </c>
      <c r="H460" s="16">
        <f>IFERROR(__xludf.DUMMYFUNCTION("""COMPUTED_VALUE"""),43.0)</f>
        <v>43</v>
      </c>
      <c r="I460" s="16">
        <f>IFERROR(__xludf.DUMMYFUNCTION("""COMPUTED_VALUE"""),-2.0)</f>
        <v>-2</v>
      </c>
      <c r="J460" s="16">
        <f>IFERROR(__xludf.DUMMYFUNCTION("""COMPUTED_VALUE"""),2.0)</f>
        <v>2</v>
      </c>
      <c r="K460" s="16">
        <f>IFERROR(__xludf.DUMMYFUNCTION("""COMPUTED_VALUE"""),-6.0)</f>
        <v>-6</v>
      </c>
      <c r="L460" s="16">
        <f>IFERROR(__xludf.DUMMYFUNCTION("""COMPUTED_VALUE"""),6.0)</f>
        <v>6</v>
      </c>
      <c r="M460" s="16">
        <f>IFERROR(__xludf.DUMMYFUNCTION("""COMPUTED_VALUE"""),17.0)</f>
        <v>17</v>
      </c>
      <c r="N460" s="16">
        <f>IFERROR(__xludf.DUMMYFUNCTION("""COMPUTED_VALUE"""),8.0)</f>
        <v>8</v>
      </c>
      <c r="O460" s="16">
        <f>IFERROR(__xludf.DUMMYFUNCTION("""COMPUTED_VALUE"""),-2.0)</f>
        <v>-2</v>
      </c>
      <c r="P460" s="16">
        <f>IFERROR(__xludf.DUMMYFUNCTION("""COMPUTED_VALUE"""),0.0)</f>
        <v>0</v>
      </c>
      <c r="Q460" s="16">
        <f>IFERROR(__xludf.DUMMYFUNCTION("""COMPUTED_VALUE"""),-2.0)</f>
        <v>-2</v>
      </c>
      <c r="R460" s="16">
        <f>IFERROR(__xludf.DUMMYFUNCTION("""COMPUTED_VALUE"""),0.0)</f>
        <v>0</v>
      </c>
      <c r="S460" s="16">
        <f>IFERROR(__xludf.DUMMYFUNCTION("""COMPUTED_VALUE"""),30.3)</f>
        <v>30.3</v>
      </c>
      <c r="T460" s="16">
        <f>IFERROR(__xludf.DUMMYFUNCTION("""COMPUTED_VALUE"""),16.0)</f>
        <v>16</v>
      </c>
      <c r="U460" s="16">
        <f>IFERROR(__xludf.DUMMYFUNCTION("""COMPUTED_VALUE"""),-2.0)</f>
        <v>-2</v>
      </c>
      <c r="V460" s="16">
        <f>IFERROR(__xludf.DUMMYFUNCTION("""COMPUTED_VALUE"""),0.0)</f>
        <v>0</v>
      </c>
      <c r="W460" s="16">
        <f>IFERROR(__xludf.DUMMYFUNCTION("""COMPUTED_VALUE"""),-4.0)</f>
        <v>-4</v>
      </c>
      <c r="X460" s="16">
        <f>IFERROR(__xludf.DUMMYFUNCTION("""COMPUTED_VALUE"""),0.0)</f>
        <v>0</v>
      </c>
      <c r="Y460" s="16">
        <f>IFERROR(__xludf.DUMMYFUNCTION("""COMPUTED_VALUE"""),47.3)</f>
        <v>47.3</v>
      </c>
      <c r="Z460" s="16">
        <f>IFERROR(__xludf.DUMMYFUNCTION("""COMPUTED_VALUE"""),24.0)</f>
        <v>24</v>
      </c>
      <c r="AA460" s="16">
        <f>IFERROR(__xludf.DUMMYFUNCTION("""COMPUTED_VALUE"""),-3.0)</f>
        <v>-3</v>
      </c>
      <c r="AB460" s="16">
        <f>IFERROR(__xludf.DUMMYFUNCTION("""COMPUTED_VALUE"""),0.0)</f>
        <v>0</v>
      </c>
      <c r="AC460" s="16">
        <f>IFERROR(__xludf.DUMMYFUNCTION("""COMPUTED_VALUE"""),-15.0)</f>
        <v>-15</v>
      </c>
      <c r="AD460" s="16">
        <f>IFERROR(__xludf.DUMMYFUNCTION("""COMPUTED_VALUE"""),0.0)</f>
        <v>0</v>
      </c>
      <c r="AE460" s="16">
        <f>IFERROR(__xludf.DUMMYFUNCTION("""COMPUTED_VALUE"""),53.2)</f>
        <v>53.2</v>
      </c>
      <c r="AF460" s="16">
        <f>IFERROR(__xludf.DUMMYFUNCTION("""COMPUTED_VALUE"""),34.6)</f>
        <v>34.6</v>
      </c>
      <c r="AG460" s="16">
        <f>IFERROR(__xludf.DUMMYFUNCTION("""COMPUTED_VALUE"""),-2.0)</f>
        <v>-2</v>
      </c>
      <c r="AH460" s="16">
        <f>IFERROR(__xludf.DUMMYFUNCTION("""COMPUTED_VALUE"""),-1.0)</f>
        <v>-1</v>
      </c>
      <c r="AI460" s="16">
        <f>IFERROR(__xludf.DUMMYFUNCTION("""COMPUTED_VALUE"""),-4.0)</f>
        <v>-4</v>
      </c>
      <c r="AJ460" s="16">
        <f>IFERROR(__xludf.DUMMYFUNCTION("""COMPUTED_VALUE"""),-2.0)</f>
        <v>-2</v>
      </c>
      <c r="AK460" s="16">
        <f>IFERROR(__xludf.DUMMYFUNCTION("""COMPUTED_VALUE"""),27.3)</f>
        <v>27.3</v>
      </c>
      <c r="AL460" s="16">
        <f>IFERROR(__xludf.DUMMYFUNCTION("""COMPUTED_VALUE"""),15.2)</f>
        <v>15.2</v>
      </c>
      <c r="AM460" s="16">
        <f>IFERROR(__xludf.DUMMYFUNCTION("""COMPUTED_VALUE"""),-2.0)</f>
        <v>-2</v>
      </c>
      <c r="AN460" s="16">
        <f>IFERROR(__xludf.DUMMYFUNCTION("""COMPUTED_VALUE"""),0.0)</f>
        <v>0</v>
      </c>
      <c r="AO460" s="16">
        <f>IFERROR(__xludf.DUMMYFUNCTION("""COMPUTED_VALUE"""),-2.0)</f>
        <v>-2</v>
      </c>
      <c r="AP460" s="16">
        <f>IFERROR(__xludf.DUMMYFUNCTION("""COMPUTED_VALUE"""),0.0)</f>
        <v>0</v>
      </c>
      <c r="AQ460" s="16">
        <f>IFERROR(__xludf.DUMMYFUNCTION("""COMPUTED_VALUE"""),41.2)</f>
        <v>41.2</v>
      </c>
      <c r="AR460" s="16">
        <f>IFERROR(__xludf.DUMMYFUNCTION("""COMPUTED_VALUE"""),31.400000000000002)</f>
        <v>31.4</v>
      </c>
      <c r="AS460" s="16">
        <f>IFERROR(__xludf.DUMMYFUNCTION("""COMPUTED_VALUE"""),-2.0)</f>
        <v>-2</v>
      </c>
      <c r="AT460" s="16">
        <f>IFERROR(__xludf.DUMMYFUNCTION("""COMPUTED_VALUE"""),-2.0)</f>
        <v>-2</v>
      </c>
      <c r="AU460" s="16">
        <f>IFERROR(__xludf.DUMMYFUNCTION("""COMPUTED_VALUE"""),-4.0)</f>
        <v>-4</v>
      </c>
      <c r="AV460" s="16">
        <f>IFERROR(__xludf.DUMMYFUNCTION("""COMPUTED_VALUE"""),-4.0)</f>
        <v>-4</v>
      </c>
      <c r="AW460" s="16">
        <f>IFERROR(__xludf.DUMMYFUNCTION("""COMPUTED_VALUE"""),3.0)</f>
        <v>3</v>
      </c>
      <c r="AX460" s="16">
        <f>IFERROR(__xludf.DUMMYFUNCTION("""COMPUTED_VALUE"""),0.8)</f>
        <v>0.8</v>
      </c>
      <c r="AY460" s="16">
        <f>IFERROR(__xludf.DUMMYFUNCTION("""COMPUTED_VALUE"""),-1.0)</f>
        <v>-1</v>
      </c>
      <c r="AZ460" s="16">
        <f>IFERROR(__xludf.DUMMYFUNCTION("""COMPUTED_VALUE"""),1.0)</f>
        <v>1</v>
      </c>
      <c r="BA460" s="16">
        <f>IFERROR(__xludf.DUMMYFUNCTION("""COMPUTED_VALUE"""),-5.0)</f>
        <v>-5</v>
      </c>
      <c r="BB460" s="16">
        <f>IFERROR(__xludf.DUMMYFUNCTION("""COMPUTED_VALUE"""),5.0)</f>
        <v>5</v>
      </c>
      <c r="BC460" s="16">
        <f>IFERROR(__xludf.DUMMYFUNCTION("""COMPUTED_VALUE"""),4.0)</f>
        <v>4</v>
      </c>
      <c r="BD460" s="16">
        <f>IFERROR(__xludf.DUMMYFUNCTION("""COMPUTED_VALUE"""),0.0)</f>
        <v>0</v>
      </c>
      <c r="BE460" s="16">
        <f>IFERROR(__xludf.DUMMYFUNCTION("""COMPUTED_VALUE"""),4.0)</f>
        <v>4</v>
      </c>
      <c r="BF460" s="16">
        <f>IFERROR(__xludf.DUMMYFUNCTION("""COMPUTED_VALUE"""),0.0)</f>
        <v>0</v>
      </c>
      <c r="BG460" s="16">
        <f>IFERROR(__xludf.DUMMYFUNCTION("""COMPUTED_VALUE"""),-1.0)</f>
        <v>-1</v>
      </c>
      <c r="BH460" s="16">
        <f>IFERROR(__xludf.DUMMYFUNCTION("""COMPUTED_VALUE"""),2.0)</f>
        <v>2</v>
      </c>
      <c r="BI460" s="16">
        <f>IFERROR(__xludf.DUMMYFUNCTION("""COMPUTED_VALUE"""),-2.0)</f>
        <v>-2</v>
      </c>
      <c r="BJ460" s="16">
        <f>IFERROR(__xludf.DUMMYFUNCTION("""COMPUTED_VALUE"""),4.0)</f>
        <v>4</v>
      </c>
      <c r="BK460" s="16">
        <f>IFERROR(__xludf.DUMMYFUNCTION("""COMPUTED_VALUE"""),5.0)</f>
        <v>5</v>
      </c>
      <c r="BL460" s="16">
        <f>IFERROR(__xludf.DUMMYFUNCTION("""COMPUTED_VALUE"""),5.0)</f>
        <v>5</v>
      </c>
      <c r="BM460" s="16">
        <f>IFERROR(__xludf.DUMMYFUNCTION("""COMPUTED_VALUE"""),0.0)</f>
        <v>0</v>
      </c>
      <c r="BN460" s="16">
        <f>IFERROR(__xludf.DUMMYFUNCTION("""COMPUTED_VALUE"""),0.0)</f>
        <v>0</v>
      </c>
      <c r="BO460" s="16">
        <f>IFERROR(__xludf.DUMMYFUNCTION("""COMPUTED_VALUE"""),0.0)</f>
        <v>0</v>
      </c>
      <c r="BP460" s="16">
        <f>IFERROR(__xludf.DUMMYFUNCTION("""COMPUTED_VALUE"""),0.0)</f>
        <v>0</v>
      </c>
      <c r="BQ460" s="16">
        <f>IFERROR(__xludf.DUMMYFUNCTION("""COMPUTED_VALUE"""),5.0)</f>
        <v>5</v>
      </c>
      <c r="BR460" s="16">
        <f>IFERROR(__xludf.DUMMYFUNCTION("""COMPUTED_VALUE"""),5.0)</f>
        <v>5</v>
      </c>
      <c r="BS460" s="16">
        <f>IFERROR(__xludf.DUMMYFUNCTION("""COMPUTED_VALUE"""),0.0)</f>
        <v>0</v>
      </c>
      <c r="BT460" s="16">
        <f>IFERROR(__xludf.DUMMYFUNCTION("""COMPUTED_VALUE"""),0.0)</f>
        <v>0</v>
      </c>
      <c r="BU460" s="16">
        <f>IFERROR(__xludf.DUMMYFUNCTION("""COMPUTED_VALUE"""),0.0)</f>
        <v>0</v>
      </c>
      <c r="BV460" s="16">
        <f>IFERROR(__xludf.DUMMYFUNCTION("""COMPUTED_VALUE"""),0.0)</f>
        <v>0</v>
      </c>
      <c r="BW460" s="16">
        <f>IFERROR(__xludf.DUMMYFUNCTION("""COMPUTED_VALUE"""),-1.0)</f>
        <v>-1</v>
      </c>
      <c r="BX460" s="16">
        <f>IFERROR(__xludf.DUMMYFUNCTION("""COMPUTED_VALUE"""),-1.0)</f>
        <v>-1</v>
      </c>
      <c r="BY460" s="16" t="str">
        <f>IFERROR(__xludf.DUMMYFUNCTION("""COMPUTED_VALUE"""),"R(1)")</f>
        <v>R(1)</v>
      </c>
      <c r="BZ460" s="16" t="str">
        <f>IFERROR(__xludf.DUMMYFUNCTION("""COMPUTED_VALUE"""),"R(1)")</f>
        <v>R(1)</v>
      </c>
      <c r="CA460" s="16" t="str">
        <f>IFERROR(__xludf.DUMMYFUNCTION("""COMPUTED_VALUE"""),"R(1)")</f>
        <v>R(1)</v>
      </c>
      <c r="CB460" s="16"/>
      <c r="CC460" s="16"/>
      <c r="CD460" s="16"/>
      <c r="CE460" s="16">
        <f>IFERROR(__xludf.DUMMYFUNCTION("""COMPUTED_VALUE"""),1.0)</f>
        <v>1</v>
      </c>
      <c r="CF460" s="16"/>
      <c r="CG460" s="16" t="str">
        <f>IFERROR(__xludf.DUMMYFUNCTION("""COMPUTED_VALUE"""),"3-0")</f>
        <v>3-0</v>
      </c>
      <c r="CH460" s="16">
        <f>IFERROR(__xludf.DUMMYFUNCTION("""COMPUTED_VALUE"""),3.0)</f>
        <v>3</v>
      </c>
      <c r="CI460" s="16">
        <f>IFERROR(__xludf.DUMMYFUNCTION("""COMPUTED_VALUE"""),0.0)</f>
        <v>0</v>
      </c>
      <c r="CJ460" s="16">
        <f>IFERROR(__xludf.DUMMYFUNCTION("""COMPUTED_VALUE"""),0.0)</f>
        <v>0</v>
      </c>
      <c r="CK460" s="16">
        <f>IFERROR(__xludf.DUMMYFUNCTION("""COMPUTED_VALUE"""),0.0)</f>
        <v>0</v>
      </c>
      <c r="CL460" s="16" t="str">
        <f>IFERROR(__xludf.DUMMYFUNCTION("""COMPUTED_VALUE"""),"1WL-C")</f>
        <v>1WL-C</v>
      </c>
      <c r="CM460" s="16" t="str">
        <f>IFERROR(__xludf.DUMMYFUNCTION("""COMPUTED_VALUE"""),"E")</f>
        <v>E</v>
      </c>
      <c r="CN460" s="16">
        <f>IFERROR(__xludf.DUMMYFUNCTION("""COMPUTED_VALUE"""),10.0)</f>
        <v>10</v>
      </c>
      <c r="CO460" s="16" t="str">
        <f>IFERROR(__xludf.DUMMYFUNCTION("""COMPUTED_VALUE"""),"C")</f>
        <v>C</v>
      </c>
      <c r="CP460" s="16" t="str">
        <f>IFERROR(__xludf.DUMMYFUNCTION("""COMPUTED_VALUE"""),"5p30")</f>
        <v>5p30</v>
      </c>
      <c r="CQ460" s="16">
        <f>IFERROR(__xludf.DUMMYFUNCTION("""COMPUTED_VALUE"""),-44.0)</f>
        <v>-44</v>
      </c>
      <c r="CR460" s="16">
        <f>IFERROR(__xludf.DUMMYFUNCTION("""COMPUTED_VALUE"""),9.0)</f>
        <v>9</v>
      </c>
      <c r="CS460" s="16">
        <f>IFERROR(__xludf.DUMMYFUNCTION("""COMPUTED_VALUE"""),-35.0)</f>
        <v>-35</v>
      </c>
      <c r="CT460" s="16">
        <f>IFERROR(__xludf.DUMMYFUNCTION("""COMPUTED_VALUE"""),-44.0)</f>
        <v>-44</v>
      </c>
      <c r="CU460" s="16">
        <f>IFERROR(__xludf.DUMMYFUNCTION("""COMPUTED_VALUE"""),9.0)</f>
        <v>9</v>
      </c>
      <c r="CV460" s="179">
        <f>IFERROR(__xludf.DUMMYFUNCTION("""COMPUTED_VALUE"""),-24.333333333333332)</f>
        <v>-24.33333333</v>
      </c>
      <c r="CW460" s="179">
        <f>IFERROR(__xludf.DUMMYFUNCTION("""COMPUTED_VALUE"""),0.0)</f>
        <v>0</v>
      </c>
      <c r="CX460" s="179">
        <f>IFERROR(__xludf.DUMMYFUNCTION("""COMPUTED_VALUE"""),2.0)</f>
        <v>2</v>
      </c>
      <c r="CY460" s="16" t="str">
        <f>IFERROR(__xludf.DUMMYFUNCTION("""COMPUTED_VALUE"""),"RP")</f>
        <v>RP</v>
      </c>
      <c r="CZ460" s="16"/>
      <c r="DA460" s="16"/>
      <c r="DB460" s="16"/>
      <c r="DC460" s="16"/>
      <c r="DD460" s="16"/>
      <c r="DE460" s="16"/>
      <c r="DF460" s="16"/>
      <c r="DG460" s="16"/>
      <c r="DH460" s="16"/>
      <c r="DI460" s="16"/>
      <c r="DJ460" s="16"/>
      <c r="DK460" s="16"/>
    </row>
    <row r="461">
      <c r="A461" s="16">
        <f>IFERROR(__xludf.DUMMYFUNCTION("""COMPUTED_VALUE"""),13392.0)</f>
        <v>13392</v>
      </c>
      <c r="B461" s="16" t="str">
        <f>IFERROR(__xludf.DUMMYFUNCTION("""COMPUTED_VALUE"""),"Steven Okert")</f>
        <v>Steven Okert</v>
      </c>
      <c r="C461" s="153">
        <f>IFERROR(__xludf.DUMMYFUNCTION("""COMPUTED_VALUE"""),0.0)</f>
        <v>0</v>
      </c>
      <c r="D461" s="16"/>
      <c r="E461" s="16" t="str">
        <f>IFERROR(__xludf.DUMMYFUNCTION("""COMPUTED_VALUE"""),"L")</f>
        <v>L</v>
      </c>
      <c r="F461" s="16">
        <f>IFERROR(__xludf.DUMMYFUNCTION("""COMPUTED_VALUE"""),35.0)</f>
        <v>35</v>
      </c>
      <c r="G461" s="16">
        <f>IFERROR(__xludf.DUMMYFUNCTION("""COMPUTED_VALUE"""),23.0)</f>
        <v>23</v>
      </c>
      <c r="H461" s="16">
        <f>IFERROR(__xludf.DUMMYFUNCTION("""COMPUTED_VALUE"""),21.0)</f>
        <v>21</v>
      </c>
      <c r="I461" s="16">
        <f>IFERROR(__xludf.DUMMYFUNCTION("""COMPUTED_VALUE"""),-1.0)</f>
        <v>-1</v>
      </c>
      <c r="J461" s="16">
        <f>IFERROR(__xludf.DUMMYFUNCTION("""COMPUTED_VALUE"""),-1.0)</f>
        <v>-1</v>
      </c>
      <c r="K461" s="16">
        <f>IFERROR(__xludf.DUMMYFUNCTION("""COMPUTED_VALUE"""),-3.0)</f>
        <v>-3</v>
      </c>
      <c r="L461" s="16">
        <f>IFERROR(__xludf.DUMMYFUNCTION("""COMPUTED_VALUE"""),-3.0)</f>
        <v>-3</v>
      </c>
      <c r="M461" s="16">
        <f>IFERROR(__xludf.DUMMYFUNCTION("""COMPUTED_VALUE"""),6.0)</f>
        <v>6</v>
      </c>
      <c r="N461" s="16">
        <f>IFERROR(__xludf.DUMMYFUNCTION("""COMPUTED_VALUE"""),12.0)</f>
        <v>12</v>
      </c>
      <c r="O461" s="16">
        <f>IFERROR(__xludf.DUMMYFUNCTION("""COMPUTED_VALUE"""),1.0)</f>
        <v>1</v>
      </c>
      <c r="P461" s="16">
        <f>IFERROR(__xludf.DUMMYFUNCTION("""COMPUTED_VALUE"""),-2.0)</f>
        <v>-2</v>
      </c>
      <c r="Q461" s="16">
        <f>IFERROR(__xludf.DUMMYFUNCTION("""COMPUTED_VALUE"""),1.0)</f>
        <v>1</v>
      </c>
      <c r="R461" s="16">
        <f>IFERROR(__xludf.DUMMYFUNCTION("""COMPUTED_VALUE"""),-2.0)</f>
        <v>-2</v>
      </c>
      <c r="S461" s="16">
        <f>IFERROR(__xludf.DUMMYFUNCTION("""COMPUTED_VALUE"""),13.0)</f>
        <v>13</v>
      </c>
      <c r="T461" s="16">
        <f>IFERROR(__xludf.DUMMYFUNCTION("""COMPUTED_VALUE"""),23.2)</f>
        <v>23.2</v>
      </c>
      <c r="U461" s="16">
        <f>IFERROR(__xludf.DUMMYFUNCTION("""COMPUTED_VALUE"""),0.0)</f>
        <v>0</v>
      </c>
      <c r="V461" s="16">
        <f>IFERROR(__xludf.DUMMYFUNCTION("""COMPUTED_VALUE"""),-1.0)</f>
        <v>-1</v>
      </c>
      <c r="W461" s="16">
        <f>IFERROR(__xludf.DUMMYFUNCTION("""COMPUTED_VALUE"""),0.0)</f>
        <v>0</v>
      </c>
      <c r="X461" s="16">
        <f>IFERROR(__xludf.DUMMYFUNCTION("""COMPUTED_VALUE"""),-2.0)</f>
        <v>-2</v>
      </c>
      <c r="Y461" s="16">
        <f>IFERROR(__xludf.DUMMYFUNCTION("""COMPUTED_VALUE"""),19.0)</f>
        <v>19</v>
      </c>
      <c r="Z461" s="16">
        <f>IFERROR(__xludf.DUMMYFUNCTION("""COMPUTED_VALUE"""),35.2)</f>
        <v>35.2</v>
      </c>
      <c r="AA461" s="16">
        <f>IFERROR(__xludf.DUMMYFUNCTION("""COMPUTED_VALUE"""),1.0)</f>
        <v>1</v>
      </c>
      <c r="AB461" s="16">
        <f>IFERROR(__xludf.DUMMYFUNCTION("""COMPUTED_VALUE"""),-2.0)</f>
        <v>-2</v>
      </c>
      <c r="AC461" s="16">
        <f>IFERROR(__xludf.DUMMYFUNCTION("""COMPUTED_VALUE"""),5.0)</f>
        <v>5</v>
      </c>
      <c r="AD461" s="16">
        <f>IFERROR(__xludf.DUMMYFUNCTION("""COMPUTED_VALUE"""),-10.0)</f>
        <v>-10</v>
      </c>
      <c r="AE461" s="16">
        <f>IFERROR(__xludf.DUMMYFUNCTION("""COMPUTED_VALUE"""),22.8)</f>
        <v>22.8</v>
      </c>
      <c r="AF461" s="16">
        <f>IFERROR(__xludf.DUMMYFUNCTION("""COMPUTED_VALUE"""),47.3)</f>
        <v>47.3</v>
      </c>
      <c r="AG461" s="16">
        <f>IFERROR(__xludf.DUMMYFUNCTION("""COMPUTED_VALUE"""),1.0)</f>
        <v>1</v>
      </c>
      <c r="AH461" s="16">
        <f>IFERROR(__xludf.DUMMYFUNCTION("""COMPUTED_VALUE"""),-2.0)</f>
        <v>-2</v>
      </c>
      <c r="AI461" s="16">
        <f>IFERROR(__xludf.DUMMYFUNCTION("""COMPUTED_VALUE"""),2.0)</f>
        <v>2</v>
      </c>
      <c r="AJ461" s="16">
        <f>IFERROR(__xludf.DUMMYFUNCTION("""COMPUTED_VALUE"""),-4.0)</f>
        <v>-4</v>
      </c>
      <c r="AK461" s="16">
        <f>IFERROR(__xludf.DUMMYFUNCTION("""COMPUTED_VALUE"""),12.0)</f>
        <v>12</v>
      </c>
      <c r="AL461" s="16">
        <f>IFERROR(__xludf.DUMMYFUNCTION("""COMPUTED_VALUE"""),17.9)</f>
        <v>17.9</v>
      </c>
      <c r="AM461" s="16">
        <f>IFERROR(__xludf.DUMMYFUNCTION("""COMPUTED_VALUE"""),0.0)</f>
        <v>0</v>
      </c>
      <c r="AN461" s="16">
        <f>IFERROR(__xludf.DUMMYFUNCTION("""COMPUTED_VALUE"""),-1.0)</f>
        <v>-1</v>
      </c>
      <c r="AO461" s="16">
        <f>IFERROR(__xludf.DUMMYFUNCTION("""COMPUTED_VALUE"""),0.0)</f>
        <v>0</v>
      </c>
      <c r="AP461" s="16">
        <f>IFERROR(__xludf.DUMMYFUNCTION("""COMPUTED_VALUE"""),-1.0)</f>
        <v>-1</v>
      </c>
      <c r="AQ461" s="16">
        <f>IFERROR(__xludf.DUMMYFUNCTION("""COMPUTED_VALUE"""),18.8)</f>
        <v>18.8</v>
      </c>
      <c r="AR461" s="16">
        <f>IFERROR(__xludf.DUMMYFUNCTION("""COMPUTED_VALUE"""),26.099999999999998)</f>
        <v>26.1</v>
      </c>
      <c r="AS461" s="16">
        <f>IFERROR(__xludf.DUMMYFUNCTION("""COMPUTED_VALUE"""),0.0)</f>
        <v>0</v>
      </c>
      <c r="AT461" s="16">
        <f>IFERROR(__xludf.DUMMYFUNCTION("""COMPUTED_VALUE"""),-1.0)</f>
        <v>-1</v>
      </c>
      <c r="AU461" s="16">
        <f>IFERROR(__xludf.DUMMYFUNCTION("""COMPUTED_VALUE"""),0.0)</f>
        <v>0</v>
      </c>
      <c r="AV461" s="16">
        <f>IFERROR(__xludf.DUMMYFUNCTION("""COMPUTED_VALUE"""),-2.0)</f>
        <v>-2</v>
      </c>
      <c r="AW461" s="16">
        <f>IFERROR(__xludf.DUMMYFUNCTION("""COMPUTED_VALUE"""),1.0)</f>
        <v>1</v>
      </c>
      <c r="AX461" s="16">
        <f>IFERROR(__xludf.DUMMYFUNCTION("""COMPUTED_VALUE"""),5.3)</f>
        <v>5.3</v>
      </c>
      <c r="AY461" s="16">
        <f>IFERROR(__xludf.DUMMYFUNCTION("""COMPUTED_VALUE"""),1.0)</f>
        <v>1</v>
      </c>
      <c r="AZ461" s="16">
        <f>IFERROR(__xludf.DUMMYFUNCTION("""COMPUTED_VALUE"""),-3.0)</f>
        <v>-3</v>
      </c>
      <c r="BA461" s="16">
        <f>IFERROR(__xludf.DUMMYFUNCTION("""COMPUTED_VALUE"""),5.0)</f>
        <v>5</v>
      </c>
      <c r="BB461" s="16">
        <f>IFERROR(__xludf.DUMMYFUNCTION("""COMPUTED_VALUE"""),-15.0)</f>
        <v>-15</v>
      </c>
      <c r="BC461" s="16">
        <f>IFERROR(__xludf.DUMMYFUNCTION("""COMPUTED_VALUE"""),0.0)</f>
        <v>0</v>
      </c>
      <c r="BD461" s="16">
        <f>IFERROR(__xludf.DUMMYFUNCTION("""COMPUTED_VALUE"""),8.0)</f>
        <v>8</v>
      </c>
      <c r="BE461" s="16">
        <f>IFERROR(__xludf.DUMMYFUNCTION("""COMPUTED_VALUE"""),0.0)</f>
        <v>0</v>
      </c>
      <c r="BF461" s="16">
        <f>IFERROR(__xludf.DUMMYFUNCTION("""COMPUTED_VALUE"""),8.0)</f>
        <v>8</v>
      </c>
      <c r="BG461" s="16">
        <f>IFERROR(__xludf.DUMMYFUNCTION("""COMPUTED_VALUE"""),3.0)</f>
        <v>3</v>
      </c>
      <c r="BH461" s="16">
        <f>IFERROR(__xludf.DUMMYFUNCTION("""COMPUTED_VALUE"""),-3.0)</f>
        <v>-3</v>
      </c>
      <c r="BI461" s="16">
        <f>IFERROR(__xludf.DUMMYFUNCTION("""COMPUTED_VALUE"""),6.0)</f>
        <v>6</v>
      </c>
      <c r="BJ461" s="16">
        <f>IFERROR(__xludf.DUMMYFUNCTION("""COMPUTED_VALUE"""),-6.0)</f>
        <v>-6</v>
      </c>
      <c r="BK461" s="16">
        <f>IFERROR(__xludf.DUMMYFUNCTION("""COMPUTED_VALUE"""),5.0)</f>
        <v>5</v>
      </c>
      <c r="BL461" s="16">
        <f>IFERROR(__xludf.DUMMYFUNCTION("""COMPUTED_VALUE"""),5.0)</f>
        <v>5</v>
      </c>
      <c r="BM461" s="16">
        <f>IFERROR(__xludf.DUMMYFUNCTION("""COMPUTED_VALUE"""),0.0)</f>
        <v>0</v>
      </c>
      <c r="BN461" s="16">
        <f>IFERROR(__xludf.DUMMYFUNCTION("""COMPUTED_VALUE"""),0.0)</f>
        <v>0</v>
      </c>
      <c r="BO461" s="16">
        <f>IFERROR(__xludf.DUMMYFUNCTION("""COMPUTED_VALUE"""),0.0)</f>
        <v>0</v>
      </c>
      <c r="BP461" s="16">
        <f>IFERROR(__xludf.DUMMYFUNCTION("""COMPUTED_VALUE"""),0.0)</f>
        <v>0</v>
      </c>
      <c r="BQ461" s="16">
        <f>IFERROR(__xludf.DUMMYFUNCTION("""COMPUTED_VALUE"""),0.0)</f>
        <v>0</v>
      </c>
      <c r="BR461" s="16">
        <f>IFERROR(__xludf.DUMMYFUNCTION("""COMPUTED_VALUE"""),0.0)</f>
        <v>0</v>
      </c>
      <c r="BS461" s="16">
        <f>IFERROR(__xludf.DUMMYFUNCTION("""COMPUTED_VALUE"""),-3.0)</f>
        <v>-3</v>
      </c>
      <c r="BT461" s="16">
        <f>IFERROR(__xludf.DUMMYFUNCTION("""COMPUTED_VALUE"""),-3.0)</f>
        <v>-3</v>
      </c>
      <c r="BU461" s="16">
        <f>IFERROR(__xludf.DUMMYFUNCTION("""COMPUTED_VALUE"""),-6.0)</f>
        <v>-6</v>
      </c>
      <c r="BV461" s="16">
        <f>IFERROR(__xludf.DUMMYFUNCTION("""COMPUTED_VALUE"""),-6.0)</f>
        <v>-6</v>
      </c>
      <c r="BW461" s="16">
        <f>IFERROR(__xludf.DUMMYFUNCTION("""COMPUTED_VALUE"""),4.0)</f>
        <v>4</v>
      </c>
      <c r="BX461" s="16">
        <f>IFERROR(__xludf.DUMMYFUNCTION("""COMPUTED_VALUE"""),4.0)</f>
        <v>4</v>
      </c>
      <c r="BY461" s="16" t="str">
        <f>IFERROR(__xludf.DUMMYFUNCTION("""COMPUTED_VALUE"""),"R(1) C(0)")</f>
        <v>R(1) C(0)</v>
      </c>
      <c r="BZ461" s="16" t="str">
        <f>IFERROR(__xludf.DUMMYFUNCTION("""COMPUTED_VALUE"""),"R(1) C(0)")</f>
        <v>R(1) C(0)</v>
      </c>
      <c r="CA461" s="16" t="str">
        <f>IFERROR(__xludf.DUMMYFUNCTION("""COMPUTED_VALUE"""),"R(1)")</f>
        <v>R(1)</v>
      </c>
      <c r="CB461" s="16" t="str">
        <f>IFERROR(__xludf.DUMMYFUNCTION("""COMPUTED_VALUE"""),"C(0)")</f>
        <v>C(0)</v>
      </c>
      <c r="CC461" s="16"/>
      <c r="CD461" s="16"/>
      <c r="CE461" s="16">
        <f>IFERROR(__xludf.DUMMYFUNCTION("""COMPUTED_VALUE"""),1.0)</f>
        <v>1</v>
      </c>
      <c r="CF461" s="16">
        <f>IFERROR(__xludf.DUMMYFUNCTION("""COMPUTED_VALUE"""),0.0)</f>
        <v>0</v>
      </c>
      <c r="CG461" s="16" t="str">
        <f>IFERROR(__xludf.DUMMYFUNCTION("""COMPUTED_VALUE"""),"3-0")</f>
        <v>3-0</v>
      </c>
      <c r="CH461" s="16">
        <f>IFERROR(__xludf.DUMMYFUNCTION("""COMPUTED_VALUE"""),3.0)</f>
        <v>3</v>
      </c>
      <c r="CI461" s="16">
        <f>IFERROR(__xludf.DUMMYFUNCTION("""COMPUTED_VALUE"""),0.0)</f>
        <v>0</v>
      </c>
      <c r="CJ461" s="16">
        <f>IFERROR(__xludf.DUMMYFUNCTION("""COMPUTED_VALUE"""),0.0)</f>
        <v>0</v>
      </c>
      <c r="CK461" s="16">
        <f>IFERROR(__xludf.DUMMYFUNCTION("""COMPUTED_VALUE"""),11.0)</f>
        <v>11</v>
      </c>
      <c r="CL461" s="16" t="str">
        <f>IFERROR(__xludf.DUMMYFUNCTION("""COMPUTED_VALUE"""),"1WL-C")</f>
        <v>1WL-C</v>
      </c>
      <c r="CM461" s="16" t="str">
        <f>IFERROR(__xludf.DUMMYFUNCTION("""COMPUTED_VALUE"""),"E")</f>
        <v>E</v>
      </c>
      <c r="CN461" s="16">
        <f>IFERROR(__xludf.DUMMYFUNCTION("""COMPUTED_VALUE"""),10.0)</f>
        <v>10</v>
      </c>
      <c r="CO461" s="16" t="str">
        <f>IFERROR(__xludf.DUMMYFUNCTION("""COMPUTED_VALUE"""),"C")</f>
        <v>C</v>
      </c>
      <c r="CP461" s="16" t="str">
        <f>IFERROR(__xludf.DUMMYFUNCTION("""COMPUTED_VALUE"""),"1p30")</f>
        <v>1p30</v>
      </c>
      <c r="CQ461" s="16">
        <f>IFERROR(__xludf.DUMMYFUNCTION("""COMPUTED_VALUE"""),10.0)</f>
        <v>10</v>
      </c>
      <c r="CR461" s="16">
        <f>IFERROR(__xludf.DUMMYFUNCTION("""COMPUTED_VALUE"""),-51.0)</f>
        <v>-51</v>
      </c>
      <c r="CS461" s="16">
        <f>IFERROR(__xludf.DUMMYFUNCTION("""COMPUTED_VALUE"""),-41.0)</f>
        <v>-41</v>
      </c>
      <c r="CT461" s="16">
        <f>IFERROR(__xludf.DUMMYFUNCTION("""COMPUTED_VALUE"""),10.0)</f>
        <v>10</v>
      </c>
      <c r="CU461" s="16">
        <f>IFERROR(__xludf.DUMMYFUNCTION("""COMPUTED_VALUE"""),-51.0)</f>
        <v>-51</v>
      </c>
      <c r="CV461" s="179">
        <f>IFERROR(__xludf.DUMMYFUNCTION("""COMPUTED_VALUE"""),-24.666666666666668)</f>
        <v>-24.66666667</v>
      </c>
      <c r="CW461" s="179">
        <f>IFERROR(__xludf.DUMMYFUNCTION("""COMPUTED_VALUE"""),4.0)</f>
        <v>4</v>
      </c>
      <c r="CX461" s="179">
        <f>IFERROR(__xludf.DUMMYFUNCTION("""COMPUTED_VALUE"""),2.0)</f>
        <v>2</v>
      </c>
      <c r="CY461" s="16" t="str">
        <f>IFERROR(__xludf.DUMMYFUNCTION("""COMPUTED_VALUE"""),"RP")</f>
        <v>RP</v>
      </c>
      <c r="CZ461" s="16" t="str">
        <f>IFERROR(__xludf.DUMMYFUNCTION("""COMPUTED_VALUE"""),"CP")</f>
        <v>CP</v>
      </c>
      <c r="DA461" s="16"/>
      <c r="DB461" s="16"/>
      <c r="DC461" s="16"/>
      <c r="DD461" s="16"/>
      <c r="DE461" s="16"/>
      <c r="DF461" s="16"/>
      <c r="DG461" s="16"/>
      <c r="DH461" s="16"/>
      <c r="DI461" s="16"/>
      <c r="DJ461" s="16"/>
      <c r="DK461" s="16"/>
    </row>
    <row r="462">
      <c r="A462" s="16">
        <f>IFERROR(__xludf.DUMMYFUNCTION("""COMPUTED_VALUE"""),13197.0)</f>
        <v>13197</v>
      </c>
      <c r="B462" s="16" t="str">
        <f>IFERROR(__xludf.DUMMYFUNCTION("""COMPUTED_VALUE"""),"Michael Petersen")</f>
        <v>Michael Petersen</v>
      </c>
      <c r="C462" s="153">
        <f>IFERROR(__xludf.DUMMYFUNCTION("""COMPUTED_VALUE"""),0.0)</f>
        <v>0</v>
      </c>
      <c r="D462" s="16"/>
      <c r="E462" s="16" t="str">
        <f>IFERROR(__xludf.DUMMYFUNCTION("""COMPUTED_VALUE"""),"R")</f>
        <v>R</v>
      </c>
      <c r="F462" s="16">
        <f>IFERROR(__xludf.DUMMYFUNCTION("""COMPUTED_VALUE"""),20.0)</f>
        <v>20</v>
      </c>
      <c r="G462" s="16">
        <f>IFERROR(__xludf.DUMMYFUNCTION("""COMPUTED_VALUE"""),7.0)</f>
        <v>7</v>
      </c>
      <c r="H462" s="16">
        <f>IFERROR(__xludf.DUMMYFUNCTION("""COMPUTED_VALUE"""),12.0)</f>
        <v>12</v>
      </c>
      <c r="I462" s="16">
        <f>IFERROR(__xludf.DUMMYFUNCTION("""COMPUTED_VALUE"""),-2.0)</f>
        <v>-2</v>
      </c>
      <c r="J462" s="16">
        <f>IFERROR(__xludf.DUMMYFUNCTION("""COMPUTED_VALUE"""),-2.0)</f>
        <v>-2</v>
      </c>
      <c r="K462" s="16">
        <f>IFERROR(__xludf.DUMMYFUNCTION("""COMPUTED_VALUE"""),-6.0)</f>
        <v>-6</v>
      </c>
      <c r="L462" s="16">
        <f>IFERROR(__xludf.DUMMYFUNCTION("""COMPUTED_VALUE"""),-6.0)</f>
        <v>-6</v>
      </c>
      <c r="M462" s="16">
        <f>IFERROR(__xludf.DUMMYFUNCTION("""COMPUTED_VALUE"""),28.0)</f>
        <v>28</v>
      </c>
      <c r="N462" s="16">
        <f>IFERROR(__xludf.DUMMYFUNCTION("""COMPUTED_VALUE"""),9.0)</f>
        <v>9</v>
      </c>
      <c r="O462" s="16">
        <f>IFERROR(__xludf.DUMMYFUNCTION("""COMPUTED_VALUE"""),-3.0)</f>
        <v>-3</v>
      </c>
      <c r="P462" s="16">
        <f>IFERROR(__xludf.DUMMYFUNCTION("""COMPUTED_VALUE"""),0.0)</f>
        <v>0</v>
      </c>
      <c r="Q462" s="16">
        <f>IFERROR(__xludf.DUMMYFUNCTION("""COMPUTED_VALUE"""),-3.0)</f>
        <v>-3</v>
      </c>
      <c r="R462" s="16">
        <f>IFERROR(__xludf.DUMMYFUNCTION("""COMPUTED_VALUE"""),0.0)</f>
        <v>0</v>
      </c>
      <c r="S462" s="16">
        <f>IFERROR(__xludf.DUMMYFUNCTION("""COMPUTED_VALUE"""),13.1)</f>
        <v>13.1</v>
      </c>
      <c r="T462" s="16">
        <f>IFERROR(__xludf.DUMMYFUNCTION("""COMPUTED_VALUE"""),22.8)</f>
        <v>22.8</v>
      </c>
      <c r="U462" s="16">
        <f>IFERROR(__xludf.DUMMYFUNCTION("""COMPUTED_VALUE"""),0.0)</f>
        <v>0</v>
      </c>
      <c r="V462" s="16">
        <f>IFERROR(__xludf.DUMMYFUNCTION("""COMPUTED_VALUE"""),-1.0)</f>
        <v>-1</v>
      </c>
      <c r="W462" s="16">
        <f>IFERROR(__xludf.DUMMYFUNCTION("""COMPUTED_VALUE"""),0.0)</f>
        <v>0</v>
      </c>
      <c r="X462" s="16">
        <f>IFERROR(__xludf.DUMMYFUNCTION("""COMPUTED_VALUE"""),-2.0)</f>
        <v>-2</v>
      </c>
      <c r="Y462" s="16">
        <f>IFERROR(__xludf.DUMMYFUNCTION("""COMPUTED_VALUE"""),41.1)</f>
        <v>41.1</v>
      </c>
      <c r="Z462" s="16">
        <f>IFERROR(__xludf.DUMMYFUNCTION("""COMPUTED_VALUE"""),31.8)</f>
        <v>31.8</v>
      </c>
      <c r="AA462" s="16">
        <f>IFERROR(__xludf.DUMMYFUNCTION("""COMPUTED_VALUE"""),-2.0)</f>
        <v>-2</v>
      </c>
      <c r="AB462" s="16">
        <f>IFERROR(__xludf.DUMMYFUNCTION("""COMPUTED_VALUE"""),-1.0)</f>
        <v>-1</v>
      </c>
      <c r="AC462" s="16">
        <f>IFERROR(__xludf.DUMMYFUNCTION("""COMPUTED_VALUE"""),-10.0)</f>
        <v>-10</v>
      </c>
      <c r="AD462" s="16">
        <f>IFERROR(__xludf.DUMMYFUNCTION("""COMPUTED_VALUE"""),-5.0)</f>
        <v>-5</v>
      </c>
      <c r="AE462" s="16">
        <f>IFERROR(__xludf.DUMMYFUNCTION("""COMPUTED_VALUE"""),26.3)</f>
        <v>26.3</v>
      </c>
      <c r="AF462" s="16">
        <f>IFERROR(__xludf.DUMMYFUNCTION("""COMPUTED_VALUE"""),44.2)</f>
        <v>44.2</v>
      </c>
      <c r="AG462" s="16">
        <f>IFERROR(__xludf.DUMMYFUNCTION("""COMPUTED_VALUE"""),0.0)</f>
        <v>0</v>
      </c>
      <c r="AH462" s="16">
        <f>IFERROR(__xludf.DUMMYFUNCTION("""COMPUTED_VALUE"""),-2.0)</f>
        <v>-2</v>
      </c>
      <c r="AI462" s="16">
        <f>IFERROR(__xludf.DUMMYFUNCTION("""COMPUTED_VALUE"""),0.0)</f>
        <v>0</v>
      </c>
      <c r="AJ462" s="16">
        <f>IFERROR(__xludf.DUMMYFUNCTION("""COMPUTED_VALUE"""),-4.0)</f>
        <v>-4</v>
      </c>
      <c r="AK462" s="16">
        <f>IFERROR(__xludf.DUMMYFUNCTION("""COMPUTED_VALUE"""),11.299999999999999)</f>
        <v>11.3</v>
      </c>
      <c r="AL462" s="16">
        <f>IFERROR(__xludf.DUMMYFUNCTION("""COMPUTED_VALUE"""),19.6)</f>
        <v>19.6</v>
      </c>
      <c r="AM462" s="16">
        <f>IFERROR(__xludf.DUMMYFUNCTION("""COMPUTED_VALUE"""),0.0)</f>
        <v>0</v>
      </c>
      <c r="AN462" s="16">
        <f>IFERROR(__xludf.DUMMYFUNCTION("""COMPUTED_VALUE"""),-1.0)</f>
        <v>-1</v>
      </c>
      <c r="AO462" s="16">
        <f>IFERROR(__xludf.DUMMYFUNCTION("""COMPUTED_VALUE"""),0.0)</f>
        <v>0</v>
      </c>
      <c r="AP462" s="16">
        <f>IFERROR(__xludf.DUMMYFUNCTION("""COMPUTED_VALUE"""),-1.0)</f>
        <v>-1</v>
      </c>
      <c r="AQ462" s="16">
        <f>IFERROR(__xludf.DUMMYFUNCTION("""COMPUTED_VALUE"""),19.1)</f>
        <v>19.1</v>
      </c>
      <c r="AR462" s="16">
        <f>IFERROR(__xludf.DUMMYFUNCTION("""COMPUTED_VALUE"""),31.400000000000002)</f>
        <v>31.4</v>
      </c>
      <c r="AS462" s="16">
        <f>IFERROR(__xludf.DUMMYFUNCTION("""COMPUTED_VALUE"""),0.0)</f>
        <v>0</v>
      </c>
      <c r="AT462" s="16">
        <f>IFERROR(__xludf.DUMMYFUNCTION("""COMPUTED_VALUE"""),-2.0)</f>
        <v>-2</v>
      </c>
      <c r="AU462" s="16">
        <f>IFERROR(__xludf.DUMMYFUNCTION("""COMPUTED_VALUE"""),0.0)</f>
        <v>0</v>
      </c>
      <c r="AV462" s="16">
        <f>IFERROR(__xludf.DUMMYFUNCTION("""COMPUTED_VALUE"""),-4.0)</f>
        <v>-4</v>
      </c>
      <c r="AW462" s="16">
        <f>IFERROR(__xludf.DUMMYFUNCTION("""COMPUTED_VALUE"""),1.8)</f>
        <v>1.8</v>
      </c>
      <c r="AX462" s="16">
        <f>IFERROR(__xludf.DUMMYFUNCTION("""COMPUTED_VALUE"""),3.2)</f>
        <v>3.2</v>
      </c>
      <c r="AY462" s="16">
        <f>IFERROR(__xludf.DUMMYFUNCTION("""COMPUTED_VALUE"""),0.0)</f>
        <v>0</v>
      </c>
      <c r="AZ462" s="16">
        <f>IFERROR(__xludf.DUMMYFUNCTION("""COMPUTED_VALUE"""),-1.0)</f>
        <v>-1</v>
      </c>
      <c r="BA462" s="16">
        <f>IFERROR(__xludf.DUMMYFUNCTION("""COMPUTED_VALUE"""),0.0)</f>
        <v>0</v>
      </c>
      <c r="BB462" s="16">
        <f>IFERROR(__xludf.DUMMYFUNCTION("""COMPUTED_VALUE"""),-5.0)</f>
        <v>-5</v>
      </c>
      <c r="BC462" s="16"/>
      <c r="BD462" s="16">
        <f>IFERROR(__xludf.DUMMYFUNCTION("""COMPUTED_VALUE"""),5.0)</f>
        <v>5</v>
      </c>
      <c r="BE462" s="16">
        <f>IFERROR(__xludf.DUMMYFUNCTION("""COMPUTED_VALUE"""),2.0)</f>
        <v>2</v>
      </c>
      <c r="BF462" s="16">
        <f>IFERROR(__xludf.DUMMYFUNCTION("""COMPUTED_VALUE"""),5.0)</f>
        <v>5</v>
      </c>
      <c r="BG462" s="16">
        <f>IFERROR(__xludf.DUMMYFUNCTION("""COMPUTED_VALUE"""),1.0)</f>
        <v>1</v>
      </c>
      <c r="BH462" s="16">
        <f>IFERROR(__xludf.DUMMYFUNCTION("""COMPUTED_VALUE"""),-2.0)</f>
        <v>-2</v>
      </c>
      <c r="BI462" s="16">
        <f>IFERROR(__xludf.DUMMYFUNCTION("""COMPUTED_VALUE"""),2.0)</f>
        <v>2</v>
      </c>
      <c r="BJ462" s="16">
        <f>IFERROR(__xludf.DUMMYFUNCTION("""COMPUTED_VALUE"""),-4.0)</f>
        <v>-4</v>
      </c>
      <c r="BK462" s="16">
        <f>IFERROR(__xludf.DUMMYFUNCTION("""COMPUTED_VALUE"""),0.0)</f>
        <v>0</v>
      </c>
      <c r="BL462" s="16">
        <f>IFERROR(__xludf.DUMMYFUNCTION("""COMPUTED_VALUE"""),5.0)</f>
        <v>5</v>
      </c>
      <c r="BM462" s="16">
        <f>IFERROR(__xludf.DUMMYFUNCTION("""COMPUTED_VALUE"""),1.0)</f>
        <v>1</v>
      </c>
      <c r="BN462" s="16">
        <f>IFERROR(__xludf.DUMMYFUNCTION("""COMPUTED_VALUE"""),0.0)</f>
        <v>0</v>
      </c>
      <c r="BO462" s="16">
        <f>IFERROR(__xludf.DUMMYFUNCTION("""COMPUTED_VALUE"""),1.0)</f>
        <v>1</v>
      </c>
      <c r="BP462" s="16">
        <f>IFERROR(__xludf.DUMMYFUNCTION("""COMPUTED_VALUE"""),0.0)</f>
        <v>0</v>
      </c>
      <c r="BQ462" s="16">
        <f>IFERROR(__xludf.DUMMYFUNCTION("""COMPUTED_VALUE"""),0.0)</f>
        <v>0</v>
      </c>
      <c r="BR462" s="16">
        <f>IFERROR(__xludf.DUMMYFUNCTION("""COMPUTED_VALUE"""),0.0)</f>
        <v>0</v>
      </c>
      <c r="BS462" s="16">
        <f>IFERROR(__xludf.DUMMYFUNCTION("""COMPUTED_VALUE"""),-3.0)</f>
        <v>-3</v>
      </c>
      <c r="BT462" s="16">
        <f>IFERROR(__xludf.DUMMYFUNCTION("""COMPUTED_VALUE"""),-3.0)</f>
        <v>-3</v>
      </c>
      <c r="BU462" s="16">
        <f>IFERROR(__xludf.DUMMYFUNCTION("""COMPUTED_VALUE"""),-6.0)</f>
        <v>-6</v>
      </c>
      <c r="BV462" s="16">
        <f>IFERROR(__xludf.DUMMYFUNCTION("""COMPUTED_VALUE"""),-6.0)</f>
        <v>-6</v>
      </c>
      <c r="BW462" s="16">
        <f>IFERROR(__xludf.DUMMYFUNCTION("""COMPUTED_VALUE"""),2.0)</f>
        <v>2</v>
      </c>
      <c r="BX462" s="16">
        <f>IFERROR(__xludf.DUMMYFUNCTION("""COMPUTED_VALUE"""),2.0)</f>
        <v>2</v>
      </c>
      <c r="BY462" s="16" t="str">
        <f>IFERROR(__xludf.DUMMYFUNCTION("""COMPUTED_VALUE"""),"R(2)")</f>
        <v>R(2)</v>
      </c>
      <c r="BZ462" s="16" t="str">
        <f>IFERROR(__xludf.DUMMYFUNCTION("""COMPUTED_VALUE"""),"R(2)")</f>
        <v>R(2)</v>
      </c>
      <c r="CA462" s="16" t="str">
        <f>IFERROR(__xludf.DUMMYFUNCTION("""COMPUTED_VALUE"""),"R(2)")</f>
        <v>R(2)</v>
      </c>
      <c r="CB462" s="16"/>
      <c r="CC462" s="16"/>
      <c r="CD462" s="16"/>
      <c r="CE462" s="16">
        <f>IFERROR(__xludf.DUMMYFUNCTION("""COMPUTED_VALUE"""),2.0)</f>
        <v>2</v>
      </c>
      <c r="CF462" s="16"/>
      <c r="CG462" s="16" t="str">
        <f>IFERROR(__xludf.DUMMYFUNCTION("""COMPUTED_VALUE"""),"3-0")</f>
        <v>3-0</v>
      </c>
      <c r="CH462" s="16">
        <f>IFERROR(__xludf.DUMMYFUNCTION("""COMPUTED_VALUE"""),3.0)</f>
        <v>3</v>
      </c>
      <c r="CI462" s="16">
        <f>IFERROR(__xludf.DUMMYFUNCTION("""COMPUTED_VALUE"""),0.0)</f>
        <v>0</v>
      </c>
      <c r="CJ462" s="16">
        <f>IFERROR(__xludf.DUMMYFUNCTION("""COMPUTED_VALUE"""),16.0)</f>
        <v>16</v>
      </c>
      <c r="CK462" s="16">
        <f>IFERROR(__xludf.DUMMYFUNCTION("""COMPUTED_VALUE"""),0.0)</f>
        <v>0</v>
      </c>
      <c r="CL462" s="16" t="str">
        <f>IFERROR(__xludf.DUMMYFUNCTION("""COMPUTED_VALUE"""),"1WR-C")</f>
        <v>1WR-C</v>
      </c>
      <c r="CM462" s="16" t="str">
        <f>IFERROR(__xludf.DUMMYFUNCTION("""COMPUTED_VALUE"""),"E")</f>
        <v>E</v>
      </c>
      <c r="CN462" s="16">
        <f>IFERROR(__xludf.DUMMYFUNCTION("""COMPUTED_VALUE"""),10.0)</f>
        <v>10</v>
      </c>
      <c r="CO462" s="16" t="str">
        <f>IFERROR(__xludf.DUMMYFUNCTION("""COMPUTED_VALUE"""),"C")</f>
        <v>C</v>
      </c>
      <c r="CP462" s="16" t="str">
        <f>IFERROR(__xludf.DUMMYFUNCTION("""COMPUTED_VALUE"""),"1p20")</f>
        <v>1p20</v>
      </c>
      <c r="CQ462" s="16">
        <f>IFERROR(__xludf.DUMMYFUNCTION("""COMPUTED_VALUE"""),-22.0)</f>
        <v>-22</v>
      </c>
      <c r="CR462" s="16">
        <f>IFERROR(__xludf.DUMMYFUNCTION("""COMPUTED_VALUE"""),-37.0)</f>
        <v>-37</v>
      </c>
      <c r="CS462" s="16">
        <f>IFERROR(__xludf.DUMMYFUNCTION("""COMPUTED_VALUE"""),-59.0)</f>
        <v>-59</v>
      </c>
      <c r="CT462" s="16">
        <f>IFERROR(__xludf.DUMMYFUNCTION("""COMPUTED_VALUE"""),-22.0)</f>
        <v>-22</v>
      </c>
      <c r="CU462" s="16">
        <f>IFERROR(__xludf.DUMMYFUNCTION("""COMPUTED_VALUE"""),-37.0)</f>
        <v>-37</v>
      </c>
      <c r="CV462" s="179">
        <f>IFERROR(__xludf.DUMMYFUNCTION("""COMPUTED_VALUE"""),-25.0)</f>
        <v>-25</v>
      </c>
      <c r="CW462" s="179">
        <f>IFERROR(__xludf.DUMMYFUNCTION("""COMPUTED_VALUE"""),4.0)</f>
        <v>4</v>
      </c>
      <c r="CX462" s="179">
        <f>IFERROR(__xludf.DUMMYFUNCTION("""COMPUTED_VALUE"""),3.0)</f>
        <v>3</v>
      </c>
      <c r="CY462" s="16" t="str">
        <f>IFERROR(__xludf.DUMMYFUNCTION("""COMPUTED_VALUE"""),"RP")</f>
        <v>RP</v>
      </c>
      <c r="CZ462" s="16"/>
      <c r="DA462" s="16"/>
      <c r="DB462" s="16"/>
      <c r="DC462" s="16"/>
      <c r="DD462" s="16"/>
      <c r="DE462" s="16"/>
      <c r="DF462" s="16"/>
      <c r="DG462" s="16"/>
      <c r="DH462" s="16"/>
      <c r="DI462" s="16"/>
      <c r="DJ462" s="16"/>
      <c r="DK462" s="16"/>
    </row>
    <row r="463">
      <c r="A463" s="16">
        <f>IFERROR(__xludf.DUMMYFUNCTION("""COMPUTED_VALUE"""),12528.0)</f>
        <v>12528</v>
      </c>
      <c r="B463" s="16" t="str">
        <f>IFERROR(__xludf.DUMMYFUNCTION("""COMPUTED_VALUE"""),"Alex Wood")</f>
        <v>Alex Wood</v>
      </c>
      <c r="C463" s="153">
        <f>IFERROR(__xludf.DUMMYFUNCTION("""COMPUTED_VALUE"""),0.0)</f>
        <v>0</v>
      </c>
      <c r="D463" s="16"/>
      <c r="E463" s="16" t="str">
        <f>IFERROR(__xludf.DUMMYFUNCTION("""COMPUTED_VALUE"""),"L")</f>
        <v>L</v>
      </c>
      <c r="F463" s="16">
        <f>IFERROR(__xludf.DUMMYFUNCTION("""COMPUTED_VALUE"""),39.0)</f>
        <v>39</v>
      </c>
      <c r="G463" s="16">
        <f>IFERROR(__xludf.DUMMYFUNCTION("""COMPUTED_VALUE"""),13.0)</f>
        <v>13</v>
      </c>
      <c r="H463" s="16">
        <f>IFERROR(__xludf.DUMMYFUNCTION("""COMPUTED_VALUE"""),16.0)</f>
        <v>16</v>
      </c>
      <c r="I463" s="16">
        <f>IFERROR(__xludf.DUMMYFUNCTION("""COMPUTED_VALUE"""),-2.0)</f>
        <v>-2</v>
      </c>
      <c r="J463" s="16">
        <f>IFERROR(__xludf.DUMMYFUNCTION("""COMPUTED_VALUE"""),-2.0)</f>
        <v>-2</v>
      </c>
      <c r="K463" s="16">
        <f>IFERROR(__xludf.DUMMYFUNCTION("""COMPUTED_VALUE"""),-6.0)</f>
        <v>-6</v>
      </c>
      <c r="L463" s="16">
        <f>IFERROR(__xludf.DUMMYFUNCTION("""COMPUTED_VALUE"""),-6.0)</f>
        <v>-6</v>
      </c>
      <c r="M463" s="16">
        <f>IFERROR(__xludf.DUMMYFUNCTION("""COMPUTED_VALUE"""),5.0)</f>
        <v>5</v>
      </c>
      <c r="N463" s="16">
        <f>IFERROR(__xludf.DUMMYFUNCTION("""COMPUTED_VALUE"""),17.0)</f>
        <v>17</v>
      </c>
      <c r="O463" s="16">
        <f>IFERROR(__xludf.DUMMYFUNCTION("""COMPUTED_VALUE"""),2.0)</f>
        <v>2</v>
      </c>
      <c r="P463" s="16">
        <f>IFERROR(__xludf.DUMMYFUNCTION("""COMPUTED_VALUE"""),-3.0)</f>
        <v>-3</v>
      </c>
      <c r="Q463" s="16">
        <f>IFERROR(__xludf.DUMMYFUNCTION("""COMPUTED_VALUE"""),2.0)</f>
        <v>2</v>
      </c>
      <c r="R463" s="16">
        <f>IFERROR(__xludf.DUMMYFUNCTION("""COMPUTED_VALUE"""),-3.0)</f>
        <v>-3</v>
      </c>
      <c r="S463" s="16">
        <f>IFERROR(__xludf.DUMMYFUNCTION("""COMPUTED_VALUE"""),35.6)</f>
        <v>35.6</v>
      </c>
      <c r="T463" s="16">
        <f>IFERROR(__xludf.DUMMYFUNCTION("""COMPUTED_VALUE"""),17.7)</f>
        <v>17.7</v>
      </c>
      <c r="U463" s="16">
        <f>IFERROR(__xludf.DUMMYFUNCTION("""COMPUTED_VALUE"""),-3.0)</f>
        <v>-3</v>
      </c>
      <c r="V463" s="16">
        <f>IFERROR(__xludf.DUMMYFUNCTION("""COMPUTED_VALUE"""),0.0)</f>
        <v>0</v>
      </c>
      <c r="W463" s="16">
        <f>IFERROR(__xludf.DUMMYFUNCTION("""COMPUTED_VALUE"""),-6.0)</f>
        <v>-6</v>
      </c>
      <c r="X463" s="16">
        <f>IFERROR(__xludf.DUMMYFUNCTION("""COMPUTED_VALUE"""),0.0)</f>
        <v>0</v>
      </c>
      <c r="Y463" s="16">
        <f>IFERROR(__xludf.DUMMYFUNCTION("""COMPUTED_VALUE"""),40.6)</f>
        <v>40.6</v>
      </c>
      <c r="Z463" s="16">
        <f>IFERROR(__xludf.DUMMYFUNCTION("""COMPUTED_VALUE"""),34.7)</f>
        <v>34.7</v>
      </c>
      <c r="AA463" s="16">
        <f>IFERROR(__xludf.DUMMYFUNCTION("""COMPUTED_VALUE"""),-2.0)</f>
        <v>-2</v>
      </c>
      <c r="AB463" s="16">
        <f>IFERROR(__xludf.DUMMYFUNCTION("""COMPUTED_VALUE"""),-2.0)</f>
        <v>-2</v>
      </c>
      <c r="AC463" s="16">
        <f>IFERROR(__xludf.DUMMYFUNCTION("""COMPUTED_VALUE"""),-10.0)</f>
        <v>-10</v>
      </c>
      <c r="AD463" s="16">
        <f>IFERROR(__xludf.DUMMYFUNCTION("""COMPUTED_VALUE"""),-10.0)</f>
        <v>-10</v>
      </c>
      <c r="AE463" s="16">
        <f>IFERROR(__xludf.DUMMYFUNCTION("""COMPUTED_VALUE"""),48.3)</f>
        <v>48.3</v>
      </c>
      <c r="AF463" s="16">
        <f>IFERROR(__xludf.DUMMYFUNCTION("""COMPUTED_VALUE"""),33.0)</f>
        <v>33</v>
      </c>
      <c r="AG463" s="16">
        <f>IFERROR(__xludf.DUMMYFUNCTION("""COMPUTED_VALUE"""),-2.0)</f>
        <v>-2</v>
      </c>
      <c r="AH463" s="16">
        <f>IFERROR(__xludf.DUMMYFUNCTION("""COMPUTED_VALUE"""),-1.0)</f>
        <v>-1</v>
      </c>
      <c r="AI463" s="16">
        <f>IFERROR(__xludf.DUMMYFUNCTION("""COMPUTED_VALUE"""),-4.0)</f>
        <v>-4</v>
      </c>
      <c r="AJ463" s="16">
        <f>IFERROR(__xludf.DUMMYFUNCTION("""COMPUTED_VALUE"""),-2.0)</f>
        <v>-2</v>
      </c>
      <c r="AK463" s="16">
        <f>IFERROR(__xludf.DUMMYFUNCTION("""COMPUTED_VALUE"""),35.0)</f>
        <v>35</v>
      </c>
      <c r="AL463" s="16">
        <f>IFERROR(__xludf.DUMMYFUNCTION("""COMPUTED_VALUE"""),15.299999999999999)</f>
        <v>15.3</v>
      </c>
      <c r="AM463" s="16">
        <f>IFERROR(__xludf.DUMMYFUNCTION("""COMPUTED_VALUE"""),-3.0)</f>
        <v>-3</v>
      </c>
      <c r="AN463" s="16">
        <f>IFERROR(__xludf.DUMMYFUNCTION("""COMPUTED_VALUE"""),0.0)</f>
        <v>0</v>
      </c>
      <c r="AO463" s="16">
        <f>IFERROR(__xludf.DUMMYFUNCTION("""COMPUTED_VALUE"""),-3.0)</f>
        <v>-3</v>
      </c>
      <c r="AP463" s="16">
        <f>IFERROR(__xludf.DUMMYFUNCTION("""COMPUTED_VALUE"""),0.0)</f>
        <v>0</v>
      </c>
      <c r="AQ463" s="16">
        <f>IFERROR(__xludf.DUMMYFUNCTION("""COMPUTED_VALUE"""),45.9)</f>
        <v>45.9</v>
      </c>
      <c r="AR463" s="16">
        <f>IFERROR(__xludf.DUMMYFUNCTION("""COMPUTED_VALUE"""),23.4)</f>
        <v>23.4</v>
      </c>
      <c r="AS463" s="16">
        <f>IFERROR(__xludf.DUMMYFUNCTION("""COMPUTED_VALUE"""),-3.0)</f>
        <v>-3</v>
      </c>
      <c r="AT463" s="16">
        <f>IFERROR(__xludf.DUMMYFUNCTION("""COMPUTED_VALUE"""),0.0)</f>
        <v>0</v>
      </c>
      <c r="AU463" s="16">
        <f>IFERROR(__xludf.DUMMYFUNCTION("""COMPUTED_VALUE"""),-6.0)</f>
        <v>-6</v>
      </c>
      <c r="AV463" s="16">
        <f>IFERROR(__xludf.DUMMYFUNCTION("""COMPUTED_VALUE"""),0.0)</f>
        <v>0</v>
      </c>
      <c r="AW463" s="16">
        <f>IFERROR(__xludf.DUMMYFUNCTION("""COMPUTED_VALUE"""),0.6)</f>
        <v>0.6</v>
      </c>
      <c r="AX463" s="16">
        <f>IFERROR(__xludf.DUMMYFUNCTION("""COMPUTED_VALUE"""),2.4)</f>
        <v>2.4</v>
      </c>
      <c r="AY463" s="16">
        <f>IFERROR(__xludf.DUMMYFUNCTION("""COMPUTED_VALUE"""),2.0)</f>
        <v>2</v>
      </c>
      <c r="AZ463" s="16">
        <f>IFERROR(__xludf.DUMMYFUNCTION("""COMPUTED_VALUE"""),0.0)</f>
        <v>0</v>
      </c>
      <c r="BA463" s="16">
        <f>IFERROR(__xludf.DUMMYFUNCTION("""COMPUTED_VALUE"""),10.0)</f>
        <v>10</v>
      </c>
      <c r="BB463" s="16">
        <f>IFERROR(__xludf.DUMMYFUNCTION("""COMPUTED_VALUE"""),0.0)</f>
        <v>0</v>
      </c>
      <c r="BC463" s="16">
        <f>IFERROR(__xludf.DUMMYFUNCTION("""COMPUTED_VALUE"""),1.0)</f>
        <v>1</v>
      </c>
      <c r="BD463" s="16">
        <f>IFERROR(__xludf.DUMMYFUNCTION("""COMPUTED_VALUE"""),5.0)</f>
        <v>5</v>
      </c>
      <c r="BE463" s="16">
        <f>IFERROR(__xludf.DUMMYFUNCTION("""COMPUTED_VALUE"""),1.0)</f>
        <v>1</v>
      </c>
      <c r="BF463" s="16">
        <f>IFERROR(__xludf.DUMMYFUNCTION("""COMPUTED_VALUE"""),5.0)</f>
        <v>5</v>
      </c>
      <c r="BG463" s="16">
        <f>IFERROR(__xludf.DUMMYFUNCTION("""COMPUTED_VALUE"""),2.0)</f>
        <v>2</v>
      </c>
      <c r="BH463" s="16">
        <f>IFERROR(__xludf.DUMMYFUNCTION("""COMPUTED_VALUE"""),-2.0)</f>
        <v>-2</v>
      </c>
      <c r="BI463" s="16">
        <f>IFERROR(__xludf.DUMMYFUNCTION("""COMPUTED_VALUE"""),4.0)</f>
        <v>4</v>
      </c>
      <c r="BJ463" s="16">
        <f>IFERROR(__xludf.DUMMYFUNCTION("""COMPUTED_VALUE"""),-4.0)</f>
        <v>-4</v>
      </c>
      <c r="BK463" s="16">
        <f>IFERROR(__xludf.DUMMYFUNCTION("""COMPUTED_VALUE"""),5.0)</f>
        <v>5</v>
      </c>
      <c r="BL463" s="16">
        <f>IFERROR(__xludf.DUMMYFUNCTION("""COMPUTED_VALUE"""),5.0)</f>
        <v>5</v>
      </c>
      <c r="BM463" s="16">
        <f>IFERROR(__xludf.DUMMYFUNCTION("""COMPUTED_VALUE"""),0.0)</f>
        <v>0</v>
      </c>
      <c r="BN463" s="16">
        <f>IFERROR(__xludf.DUMMYFUNCTION("""COMPUTED_VALUE"""),0.0)</f>
        <v>0</v>
      </c>
      <c r="BO463" s="16">
        <f>IFERROR(__xludf.DUMMYFUNCTION("""COMPUTED_VALUE"""),0.0)</f>
        <v>0</v>
      </c>
      <c r="BP463" s="16">
        <f>IFERROR(__xludf.DUMMYFUNCTION("""COMPUTED_VALUE"""),0.0)</f>
        <v>0</v>
      </c>
      <c r="BQ463" s="16">
        <f>IFERROR(__xludf.DUMMYFUNCTION("""COMPUTED_VALUE"""),3.0)</f>
        <v>3</v>
      </c>
      <c r="BR463" s="16">
        <f>IFERROR(__xludf.DUMMYFUNCTION("""COMPUTED_VALUE"""),2.0)</f>
        <v>2</v>
      </c>
      <c r="BS463" s="16">
        <f>IFERROR(__xludf.DUMMYFUNCTION("""COMPUTED_VALUE"""),-1.0)</f>
        <v>-1</v>
      </c>
      <c r="BT463" s="16">
        <f>IFERROR(__xludf.DUMMYFUNCTION("""COMPUTED_VALUE"""),-2.0)</f>
        <v>-2</v>
      </c>
      <c r="BU463" s="16">
        <f>IFERROR(__xludf.DUMMYFUNCTION("""COMPUTED_VALUE"""),-2.0)</f>
        <v>-2</v>
      </c>
      <c r="BV463" s="16">
        <f>IFERROR(__xludf.DUMMYFUNCTION("""COMPUTED_VALUE"""),-4.0)</f>
        <v>-4</v>
      </c>
      <c r="BW463" s="16">
        <f>IFERROR(__xludf.DUMMYFUNCTION("""COMPUTED_VALUE"""),0.0)</f>
        <v>0</v>
      </c>
      <c r="BX463" s="16">
        <f>IFERROR(__xludf.DUMMYFUNCTION("""COMPUTED_VALUE"""),0.0)</f>
        <v>0</v>
      </c>
      <c r="BY463" s="16" t="str">
        <f>IFERROR(__xludf.DUMMYFUNCTION("""COMPUTED_VALUE"""),"S(4)")</f>
        <v>S(4)</v>
      </c>
      <c r="BZ463" s="16" t="str">
        <f>IFERROR(__xludf.DUMMYFUNCTION("""COMPUTED_VALUE"""),"S(4)")</f>
        <v>S(4)</v>
      </c>
      <c r="CA463" s="16" t="str">
        <f>IFERROR(__xludf.DUMMYFUNCTION("""COMPUTED_VALUE"""),"S(4)")</f>
        <v>S(4)</v>
      </c>
      <c r="CB463" s="16"/>
      <c r="CC463" s="16"/>
      <c r="CD463" s="16">
        <f>IFERROR(__xludf.DUMMYFUNCTION("""COMPUTED_VALUE"""),4.0)</f>
        <v>4</v>
      </c>
      <c r="CE463" s="16"/>
      <c r="CF463" s="16"/>
      <c r="CG463" s="16" t="str">
        <f>IFERROR(__xludf.DUMMYFUNCTION("""COMPUTED_VALUE"""),"2-0")</f>
        <v>2-0</v>
      </c>
      <c r="CH463" s="16">
        <f>IFERROR(__xludf.DUMMYFUNCTION("""COMPUTED_VALUE"""),2.0)</f>
        <v>2</v>
      </c>
      <c r="CI463" s="16">
        <f>IFERROR(__xludf.DUMMYFUNCTION("""COMPUTED_VALUE"""),0.0)</f>
        <v>0</v>
      </c>
      <c r="CJ463" s="16">
        <f>IFERROR(__xludf.DUMMYFUNCTION("""COMPUTED_VALUE"""),8.0)</f>
        <v>8</v>
      </c>
      <c r="CK463" s="16">
        <f>IFERROR(__xludf.DUMMYFUNCTION("""COMPUTED_VALUE"""),0.0)</f>
        <v>0</v>
      </c>
      <c r="CL463" s="16" t="str">
        <f>IFERROR(__xludf.DUMMYFUNCTION("""COMPUTED_VALUE"""),"1WR-C")</f>
        <v>1WR-C</v>
      </c>
      <c r="CM463" s="16" t="str">
        <f>IFERROR(__xludf.DUMMYFUNCTION("""COMPUTED_VALUE"""),"E")</f>
        <v>E</v>
      </c>
      <c r="CN463" s="16">
        <f>IFERROR(__xludf.DUMMYFUNCTION("""COMPUTED_VALUE"""),10.0)</f>
        <v>10</v>
      </c>
      <c r="CO463" s="16" t="str">
        <f>IFERROR(__xludf.DUMMYFUNCTION("""COMPUTED_VALUE"""),"C")</f>
        <v>C</v>
      </c>
      <c r="CP463" s="16" t="str">
        <f>IFERROR(__xludf.DUMMYFUNCTION("""COMPUTED_VALUE"""),"6p30")</f>
        <v>6p30</v>
      </c>
      <c r="CQ463" s="16">
        <f>IFERROR(__xludf.DUMMYFUNCTION("""COMPUTED_VALUE"""),-21.0)</f>
        <v>-21</v>
      </c>
      <c r="CR463" s="16">
        <f>IFERROR(__xludf.DUMMYFUNCTION("""COMPUTED_VALUE"""),-29.0)</f>
        <v>-29</v>
      </c>
      <c r="CS463" s="16">
        <f>IFERROR(__xludf.DUMMYFUNCTION("""COMPUTED_VALUE"""),-50.0)</f>
        <v>-50</v>
      </c>
      <c r="CT463" s="16">
        <f>IFERROR(__xludf.DUMMYFUNCTION("""COMPUTED_VALUE"""),-21.0)</f>
        <v>-21</v>
      </c>
      <c r="CU463" s="16">
        <f>IFERROR(__xludf.DUMMYFUNCTION("""COMPUTED_VALUE"""),-29.0)</f>
        <v>-29</v>
      </c>
      <c r="CV463" s="179">
        <f>IFERROR(__xludf.DUMMYFUNCTION("""COMPUTED_VALUE"""),-25.333333333333332)</f>
        <v>-25.33333333</v>
      </c>
      <c r="CW463" s="179">
        <f>IFERROR(__xludf.DUMMYFUNCTION("""COMPUTED_VALUE"""),-1.0)</f>
        <v>-1</v>
      </c>
      <c r="CX463" s="179">
        <f>IFERROR(__xludf.DUMMYFUNCTION("""COMPUTED_VALUE"""),2.0)</f>
        <v>2</v>
      </c>
      <c r="CY463" s="16" t="str">
        <f>IFERROR(__xludf.DUMMYFUNCTION("""COMPUTED_VALUE"""),"SP")</f>
        <v>SP</v>
      </c>
      <c r="CZ463" s="16"/>
      <c r="DA463" s="16"/>
      <c r="DB463" s="16"/>
      <c r="DC463" s="16"/>
      <c r="DD463" s="16"/>
      <c r="DE463" s="16"/>
      <c r="DF463" s="16"/>
      <c r="DG463" s="16"/>
      <c r="DH463" s="16"/>
      <c r="DI463" s="16"/>
      <c r="DJ463" s="16"/>
      <c r="DK463" s="16"/>
    </row>
    <row r="464">
      <c r="A464" s="16">
        <f>IFERROR(__xludf.DUMMYFUNCTION("""COMPUTED_VALUE"""),13083.0)</f>
        <v>13083</v>
      </c>
      <c r="B464" s="16" t="str">
        <f>IFERROR(__xludf.DUMMYFUNCTION("""COMPUTED_VALUE"""),"Kody Funderburk")</f>
        <v>Kody Funderburk</v>
      </c>
      <c r="C464" s="153">
        <f>IFERROR(__xludf.DUMMYFUNCTION("""COMPUTED_VALUE"""),0.0)</f>
        <v>0</v>
      </c>
      <c r="D464" s="16"/>
      <c r="E464" s="16" t="str">
        <f>IFERROR(__xludf.DUMMYFUNCTION("""COMPUTED_VALUE"""),"L")</f>
        <v>L</v>
      </c>
      <c r="F464" s="16">
        <f>IFERROR(__xludf.DUMMYFUNCTION("""COMPUTED_VALUE"""),35.0)</f>
        <v>35</v>
      </c>
      <c r="G464" s="16">
        <f>IFERROR(__xludf.DUMMYFUNCTION("""COMPUTED_VALUE"""),28.0)</f>
        <v>28</v>
      </c>
      <c r="H464" s="16">
        <f>IFERROR(__xludf.DUMMYFUNCTION("""COMPUTED_VALUE"""),15.0)</f>
        <v>15</v>
      </c>
      <c r="I464" s="16">
        <f>IFERROR(__xludf.DUMMYFUNCTION("""COMPUTED_VALUE"""),0.0)</f>
        <v>0</v>
      </c>
      <c r="J464" s="16">
        <f>IFERROR(__xludf.DUMMYFUNCTION("""COMPUTED_VALUE"""),-2.0)</f>
        <v>-2</v>
      </c>
      <c r="K464" s="16">
        <f>IFERROR(__xludf.DUMMYFUNCTION("""COMPUTED_VALUE"""),0.0)</f>
        <v>0</v>
      </c>
      <c r="L464" s="16">
        <f>IFERROR(__xludf.DUMMYFUNCTION("""COMPUTED_VALUE"""),-6.0)</f>
        <v>-6</v>
      </c>
      <c r="M464" s="16">
        <f>IFERROR(__xludf.DUMMYFUNCTION("""COMPUTED_VALUE"""),18.0)</f>
        <v>18</v>
      </c>
      <c r="N464" s="16">
        <f>IFERROR(__xludf.DUMMYFUNCTION("""COMPUTED_VALUE"""),10.0)</f>
        <v>10</v>
      </c>
      <c r="O464" s="16">
        <f>IFERROR(__xludf.DUMMYFUNCTION("""COMPUTED_VALUE"""),-3.0)</f>
        <v>-3</v>
      </c>
      <c r="P464" s="16">
        <f>IFERROR(__xludf.DUMMYFUNCTION("""COMPUTED_VALUE"""),-1.0)</f>
        <v>-1</v>
      </c>
      <c r="Q464" s="16">
        <f>IFERROR(__xludf.DUMMYFUNCTION("""COMPUTED_VALUE"""),-3.0)</f>
        <v>-3</v>
      </c>
      <c r="R464" s="16">
        <f>IFERROR(__xludf.DUMMYFUNCTION("""COMPUTED_VALUE"""),-1.0)</f>
        <v>-1</v>
      </c>
      <c r="S464" s="16">
        <f>IFERROR(__xludf.DUMMYFUNCTION("""COMPUTED_VALUE"""),23.1)</f>
        <v>23.1</v>
      </c>
      <c r="T464" s="16">
        <f>IFERROR(__xludf.DUMMYFUNCTION("""COMPUTED_VALUE"""),26.0)</f>
        <v>26</v>
      </c>
      <c r="U464" s="16">
        <f>IFERROR(__xludf.DUMMYFUNCTION("""COMPUTED_VALUE"""),-1.0)</f>
        <v>-1</v>
      </c>
      <c r="V464" s="16">
        <f>IFERROR(__xludf.DUMMYFUNCTION("""COMPUTED_VALUE"""),-2.0)</f>
        <v>-2</v>
      </c>
      <c r="W464" s="16">
        <f>IFERROR(__xludf.DUMMYFUNCTION("""COMPUTED_VALUE"""),-2.0)</f>
        <v>-2</v>
      </c>
      <c r="X464" s="16">
        <f>IFERROR(__xludf.DUMMYFUNCTION("""COMPUTED_VALUE"""),-4.0)</f>
        <v>-4</v>
      </c>
      <c r="Y464" s="16">
        <f>IFERROR(__xludf.DUMMYFUNCTION("""COMPUTED_VALUE"""),41.1)</f>
        <v>41.1</v>
      </c>
      <c r="Z464" s="16">
        <f>IFERROR(__xludf.DUMMYFUNCTION("""COMPUTED_VALUE"""),36.0)</f>
        <v>36</v>
      </c>
      <c r="AA464" s="16">
        <f>IFERROR(__xludf.DUMMYFUNCTION("""COMPUTED_VALUE"""),-2.0)</f>
        <v>-2</v>
      </c>
      <c r="AB464" s="16">
        <f>IFERROR(__xludf.DUMMYFUNCTION("""COMPUTED_VALUE"""),-2.0)</f>
        <v>-2</v>
      </c>
      <c r="AC464" s="16">
        <f>IFERROR(__xludf.DUMMYFUNCTION("""COMPUTED_VALUE"""),-10.0)</f>
        <v>-10</v>
      </c>
      <c r="AD464" s="16">
        <f>IFERROR(__xludf.DUMMYFUNCTION("""COMPUTED_VALUE"""),-10.0)</f>
        <v>-10</v>
      </c>
      <c r="AE464" s="16">
        <f>IFERROR(__xludf.DUMMYFUNCTION("""COMPUTED_VALUE"""),40.1)</f>
        <v>40.1</v>
      </c>
      <c r="AF464" s="16">
        <f>IFERROR(__xludf.DUMMYFUNCTION("""COMPUTED_VALUE"""),45.8)</f>
        <v>45.8</v>
      </c>
      <c r="AG464" s="16">
        <f>IFERROR(__xludf.DUMMYFUNCTION("""COMPUTED_VALUE"""),-1.0)</f>
        <v>-1</v>
      </c>
      <c r="AH464" s="16">
        <f>IFERROR(__xludf.DUMMYFUNCTION("""COMPUTED_VALUE"""),-2.0)</f>
        <v>-2</v>
      </c>
      <c r="AI464" s="16">
        <f>IFERROR(__xludf.DUMMYFUNCTION("""COMPUTED_VALUE"""),-2.0)</f>
        <v>-2</v>
      </c>
      <c r="AJ464" s="16">
        <f>IFERROR(__xludf.DUMMYFUNCTION("""COMPUTED_VALUE"""),-4.0)</f>
        <v>-4</v>
      </c>
      <c r="AK464" s="16">
        <f>IFERROR(__xludf.DUMMYFUNCTION("""COMPUTED_VALUE"""),23.1)</f>
        <v>23.1</v>
      </c>
      <c r="AL464" s="16">
        <f>IFERROR(__xludf.DUMMYFUNCTION("""COMPUTED_VALUE"""),22.4)</f>
        <v>22.4</v>
      </c>
      <c r="AM464" s="16">
        <f>IFERROR(__xludf.DUMMYFUNCTION("""COMPUTED_VALUE"""),-2.0)</f>
        <v>-2</v>
      </c>
      <c r="AN464" s="16">
        <f>IFERROR(__xludf.DUMMYFUNCTION("""COMPUTED_VALUE"""),-2.0)</f>
        <v>-2</v>
      </c>
      <c r="AO464" s="16">
        <f>IFERROR(__xludf.DUMMYFUNCTION("""COMPUTED_VALUE"""),-2.0)</f>
        <v>-2</v>
      </c>
      <c r="AP464" s="16">
        <f>IFERROR(__xludf.DUMMYFUNCTION("""COMPUTED_VALUE"""),-2.0)</f>
        <v>-2</v>
      </c>
      <c r="AQ464" s="16">
        <f>IFERROR(__xludf.DUMMYFUNCTION("""COMPUTED_VALUE"""),40.1)</f>
        <v>40.1</v>
      </c>
      <c r="AR464" s="16">
        <f>IFERROR(__xludf.DUMMYFUNCTION("""COMPUTED_VALUE"""),31.4)</f>
        <v>31.4</v>
      </c>
      <c r="AS464" s="16">
        <f>IFERROR(__xludf.DUMMYFUNCTION("""COMPUTED_VALUE"""),-2.0)</f>
        <v>-2</v>
      </c>
      <c r="AT464" s="16">
        <f>IFERROR(__xludf.DUMMYFUNCTION("""COMPUTED_VALUE"""),-2.0)</f>
        <v>-2</v>
      </c>
      <c r="AU464" s="16">
        <f>IFERROR(__xludf.DUMMYFUNCTION("""COMPUTED_VALUE"""),-4.0)</f>
        <v>-4</v>
      </c>
      <c r="AV464" s="16">
        <f>IFERROR(__xludf.DUMMYFUNCTION("""COMPUTED_VALUE"""),-4.0)</f>
        <v>-4</v>
      </c>
      <c r="AW464" s="16">
        <f>IFERROR(__xludf.DUMMYFUNCTION("""COMPUTED_VALUE"""),0.0)</f>
        <v>0</v>
      </c>
      <c r="AX464" s="16">
        <f>IFERROR(__xludf.DUMMYFUNCTION("""COMPUTED_VALUE"""),3.6)</f>
        <v>3.6</v>
      </c>
      <c r="AY464" s="16">
        <f>IFERROR(__xludf.DUMMYFUNCTION("""COMPUTED_VALUE"""),2.0)</f>
        <v>2</v>
      </c>
      <c r="AZ464" s="16">
        <f>IFERROR(__xludf.DUMMYFUNCTION("""COMPUTED_VALUE"""),-2.0)</f>
        <v>-2</v>
      </c>
      <c r="BA464" s="16">
        <f>IFERROR(__xludf.DUMMYFUNCTION("""COMPUTED_VALUE"""),10.0)</f>
        <v>10</v>
      </c>
      <c r="BB464" s="16">
        <f>IFERROR(__xludf.DUMMYFUNCTION("""COMPUTED_VALUE"""),-10.0)</f>
        <v>-10</v>
      </c>
      <c r="BC464" s="16">
        <f>IFERROR(__xludf.DUMMYFUNCTION("""COMPUTED_VALUE"""),0.0)</f>
        <v>0</v>
      </c>
      <c r="BD464" s="16">
        <f>IFERROR(__xludf.DUMMYFUNCTION("""COMPUTED_VALUE"""),6.0)</f>
        <v>6</v>
      </c>
      <c r="BE464" s="16">
        <f>IFERROR(__xludf.DUMMYFUNCTION("""COMPUTED_VALUE"""),0.0)</f>
        <v>0</v>
      </c>
      <c r="BF464" s="16">
        <f>IFERROR(__xludf.DUMMYFUNCTION("""COMPUTED_VALUE"""),6.0)</f>
        <v>6</v>
      </c>
      <c r="BG464" s="16">
        <f>IFERROR(__xludf.DUMMYFUNCTION("""COMPUTED_VALUE"""),3.0)</f>
        <v>3</v>
      </c>
      <c r="BH464" s="16">
        <f>IFERROR(__xludf.DUMMYFUNCTION("""COMPUTED_VALUE"""),-2.0)</f>
        <v>-2</v>
      </c>
      <c r="BI464" s="16">
        <f>IFERROR(__xludf.DUMMYFUNCTION("""COMPUTED_VALUE"""),6.0)</f>
        <v>6</v>
      </c>
      <c r="BJ464" s="16">
        <f>IFERROR(__xludf.DUMMYFUNCTION("""COMPUTED_VALUE"""),-4.0)</f>
        <v>-4</v>
      </c>
      <c r="BK464" s="16">
        <f>IFERROR(__xludf.DUMMYFUNCTION("""COMPUTED_VALUE"""),5.0)</f>
        <v>5</v>
      </c>
      <c r="BL464" s="16">
        <f>IFERROR(__xludf.DUMMYFUNCTION("""COMPUTED_VALUE"""),5.0)</f>
        <v>5</v>
      </c>
      <c r="BM464" s="16">
        <f>IFERROR(__xludf.DUMMYFUNCTION("""COMPUTED_VALUE"""),0.0)</f>
        <v>0</v>
      </c>
      <c r="BN464" s="16">
        <f>IFERROR(__xludf.DUMMYFUNCTION("""COMPUTED_VALUE"""),0.0)</f>
        <v>0</v>
      </c>
      <c r="BO464" s="16">
        <f>IFERROR(__xludf.DUMMYFUNCTION("""COMPUTED_VALUE"""),0.0)</f>
        <v>0</v>
      </c>
      <c r="BP464" s="16">
        <f>IFERROR(__xludf.DUMMYFUNCTION("""COMPUTED_VALUE"""),0.0)</f>
        <v>0</v>
      </c>
      <c r="BQ464" s="16">
        <f>IFERROR(__xludf.DUMMYFUNCTION("""COMPUTED_VALUE"""),3.0)</f>
        <v>3</v>
      </c>
      <c r="BR464" s="16">
        <f>IFERROR(__xludf.DUMMYFUNCTION("""COMPUTED_VALUE"""),11.0)</f>
        <v>11</v>
      </c>
      <c r="BS464" s="16">
        <f>IFERROR(__xludf.DUMMYFUNCTION("""COMPUTED_VALUE"""),-1.0)</f>
        <v>-1</v>
      </c>
      <c r="BT464" s="16">
        <f>IFERROR(__xludf.DUMMYFUNCTION("""COMPUTED_VALUE"""),3.0)</f>
        <v>3</v>
      </c>
      <c r="BU464" s="16">
        <f>IFERROR(__xludf.DUMMYFUNCTION("""COMPUTED_VALUE"""),-2.0)</f>
        <v>-2</v>
      </c>
      <c r="BV464" s="16">
        <f>IFERROR(__xludf.DUMMYFUNCTION("""COMPUTED_VALUE"""),6.0)</f>
        <v>6</v>
      </c>
      <c r="BW464" s="16">
        <f>IFERROR(__xludf.DUMMYFUNCTION("""COMPUTED_VALUE"""),2.0)</f>
        <v>2</v>
      </c>
      <c r="BX464" s="16">
        <f>IFERROR(__xludf.DUMMYFUNCTION("""COMPUTED_VALUE"""),2.0)</f>
        <v>2</v>
      </c>
      <c r="BY464" s="16" t="str">
        <f>IFERROR(__xludf.DUMMYFUNCTION("""COMPUTED_VALUE"""),"R(2) C(0)")</f>
        <v>R(2) C(0)</v>
      </c>
      <c r="BZ464" s="16" t="str">
        <f>IFERROR(__xludf.DUMMYFUNCTION("""COMPUTED_VALUE"""),"R(2) C(0)")</f>
        <v>R(2) C(0)</v>
      </c>
      <c r="CA464" s="16" t="str">
        <f>IFERROR(__xludf.DUMMYFUNCTION("""COMPUTED_VALUE"""),"R(2)")</f>
        <v>R(2)</v>
      </c>
      <c r="CB464" s="16" t="str">
        <f>IFERROR(__xludf.DUMMYFUNCTION("""COMPUTED_VALUE"""),"C(0)")</f>
        <v>C(0)</v>
      </c>
      <c r="CC464" s="16"/>
      <c r="CD464" s="16"/>
      <c r="CE464" s="16">
        <f>IFERROR(__xludf.DUMMYFUNCTION("""COMPUTED_VALUE"""),2.0)</f>
        <v>2</v>
      </c>
      <c r="CF464" s="16">
        <f>IFERROR(__xludf.DUMMYFUNCTION("""COMPUTED_VALUE"""),0.0)</f>
        <v>0</v>
      </c>
      <c r="CG464" s="16" t="str">
        <f>IFERROR(__xludf.DUMMYFUNCTION("""COMPUTED_VALUE"""),"3-42")</f>
        <v>3-42</v>
      </c>
      <c r="CH464" s="16">
        <f>IFERROR(__xludf.DUMMYFUNCTION("""COMPUTED_VALUE"""),3.0)</f>
        <v>3</v>
      </c>
      <c r="CI464" s="16">
        <f>IFERROR(__xludf.DUMMYFUNCTION("""COMPUTED_VALUE"""),42.0)</f>
        <v>42</v>
      </c>
      <c r="CJ464" s="16">
        <f>IFERROR(__xludf.DUMMYFUNCTION("""COMPUTED_VALUE"""),9.0)</f>
        <v>9</v>
      </c>
      <c r="CK464" s="16">
        <f>IFERROR(__xludf.DUMMYFUNCTION("""COMPUTED_VALUE"""),20.0)</f>
        <v>20</v>
      </c>
      <c r="CL464" s="16" t="str">
        <f>IFERROR(__xludf.DUMMYFUNCTION("""COMPUTED_VALUE"""),"1WL-C")</f>
        <v>1WL-C</v>
      </c>
      <c r="CM464" s="16" t="str">
        <f>IFERROR(__xludf.DUMMYFUNCTION("""COMPUTED_VALUE"""),"E")</f>
        <v>E</v>
      </c>
      <c r="CN464" s="16">
        <f>IFERROR(__xludf.DUMMYFUNCTION("""COMPUTED_VALUE"""),10.0)</f>
        <v>10</v>
      </c>
      <c r="CO464" s="16" t="str">
        <f>IFERROR(__xludf.DUMMYFUNCTION("""COMPUTED_VALUE"""),"C")</f>
        <v>C</v>
      </c>
      <c r="CP464" s="16" t="str">
        <f>IFERROR(__xludf.DUMMYFUNCTION("""COMPUTED_VALUE"""),"5p20")</f>
        <v>5p20</v>
      </c>
      <c r="CQ464" s="16">
        <f>IFERROR(__xludf.DUMMYFUNCTION("""COMPUTED_VALUE"""),-9.0)</f>
        <v>-9</v>
      </c>
      <c r="CR464" s="16">
        <f>IFERROR(__xludf.DUMMYFUNCTION("""COMPUTED_VALUE"""),-39.0)</f>
        <v>-39</v>
      </c>
      <c r="CS464" s="16">
        <f>IFERROR(__xludf.DUMMYFUNCTION("""COMPUTED_VALUE"""),-48.0)</f>
        <v>-48</v>
      </c>
      <c r="CT464" s="16">
        <f>IFERROR(__xludf.DUMMYFUNCTION("""COMPUTED_VALUE"""),-9.0)</f>
        <v>-9</v>
      </c>
      <c r="CU464" s="16">
        <f>IFERROR(__xludf.DUMMYFUNCTION("""COMPUTED_VALUE"""),-39.0)</f>
        <v>-39</v>
      </c>
      <c r="CV464" s="179">
        <f>IFERROR(__xludf.DUMMYFUNCTION("""COMPUTED_VALUE"""),-26.0)</f>
        <v>-26</v>
      </c>
      <c r="CW464" s="179">
        <f>IFERROR(__xludf.DUMMYFUNCTION("""COMPUTED_VALUE"""),0.0)</f>
        <v>0</v>
      </c>
      <c r="CX464" s="179">
        <f>IFERROR(__xludf.DUMMYFUNCTION("""COMPUTED_VALUE"""),3.0)</f>
        <v>3</v>
      </c>
      <c r="CY464" s="16" t="str">
        <f>IFERROR(__xludf.DUMMYFUNCTION("""COMPUTED_VALUE"""),"RP")</f>
        <v>RP</v>
      </c>
      <c r="CZ464" s="16" t="str">
        <f>IFERROR(__xludf.DUMMYFUNCTION("""COMPUTED_VALUE"""),"CP")</f>
        <v>CP</v>
      </c>
      <c r="DA464" s="16"/>
      <c r="DB464" s="16"/>
      <c r="DC464" s="16"/>
      <c r="DD464" s="16"/>
      <c r="DE464" s="16"/>
      <c r="DF464" s="16"/>
      <c r="DG464" s="16"/>
      <c r="DH464" s="16"/>
      <c r="DI464" s="16"/>
      <c r="DJ464" s="16"/>
      <c r="DK464" s="16"/>
    </row>
    <row r="465">
      <c r="A465" s="16">
        <f>IFERROR(__xludf.DUMMYFUNCTION("""COMPUTED_VALUE"""),13411.0)</f>
        <v>13411</v>
      </c>
      <c r="B465" s="16" t="str">
        <f>IFERROR(__xludf.DUMMYFUNCTION("""COMPUTED_VALUE"""),"Thyago Vieira")</f>
        <v>Thyago Vieira</v>
      </c>
      <c r="C465" s="153">
        <f>IFERROR(__xludf.DUMMYFUNCTION("""COMPUTED_VALUE"""),0.0)</f>
        <v>0</v>
      </c>
      <c r="D465" s="16"/>
      <c r="E465" s="16" t="str">
        <f>IFERROR(__xludf.DUMMYFUNCTION("""COMPUTED_VALUE"""),"R")</f>
        <v>R</v>
      </c>
      <c r="F465" s="16">
        <f>IFERROR(__xludf.DUMMYFUNCTION("""COMPUTED_VALUE"""),38.0)</f>
        <v>38</v>
      </c>
      <c r="G465" s="16">
        <f>IFERROR(__xludf.DUMMYFUNCTION("""COMPUTED_VALUE"""),25.0)</f>
        <v>25</v>
      </c>
      <c r="H465" s="16">
        <f>IFERROR(__xludf.DUMMYFUNCTION("""COMPUTED_VALUE"""),23.0)</f>
        <v>23</v>
      </c>
      <c r="I465" s="16">
        <f>IFERROR(__xludf.DUMMYFUNCTION("""COMPUTED_VALUE"""),0.0)</f>
        <v>0</v>
      </c>
      <c r="J465" s="16">
        <f>IFERROR(__xludf.DUMMYFUNCTION("""COMPUTED_VALUE"""),-1.0)</f>
        <v>-1</v>
      </c>
      <c r="K465" s="16">
        <f>IFERROR(__xludf.DUMMYFUNCTION("""COMPUTED_VALUE"""),0.0)</f>
        <v>0</v>
      </c>
      <c r="L465" s="16">
        <f>IFERROR(__xludf.DUMMYFUNCTION("""COMPUTED_VALUE"""),-3.0)</f>
        <v>-3</v>
      </c>
      <c r="M465" s="16">
        <f>IFERROR(__xludf.DUMMYFUNCTION("""COMPUTED_VALUE"""),23.0)</f>
        <v>23</v>
      </c>
      <c r="N465" s="16">
        <f>IFERROR(__xludf.DUMMYFUNCTION("""COMPUTED_VALUE"""),23.0)</f>
        <v>23</v>
      </c>
      <c r="O465" s="16">
        <f>IFERROR(__xludf.DUMMYFUNCTION("""COMPUTED_VALUE"""),-3.0)</f>
        <v>-3</v>
      </c>
      <c r="P465" s="16">
        <f>IFERROR(__xludf.DUMMYFUNCTION("""COMPUTED_VALUE"""),-3.0)</f>
        <v>-3</v>
      </c>
      <c r="Q465" s="16">
        <f>IFERROR(__xludf.DUMMYFUNCTION("""COMPUTED_VALUE"""),-3.0)</f>
        <v>-3</v>
      </c>
      <c r="R465" s="16">
        <f>IFERROR(__xludf.DUMMYFUNCTION("""COMPUTED_VALUE"""),-3.0)</f>
        <v>-3</v>
      </c>
      <c r="S465" s="16">
        <f>IFERROR(__xludf.DUMMYFUNCTION("""COMPUTED_VALUE"""),7.8)</f>
        <v>7.8</v>
      </c>
      <c r="T465" s="16">
        <f>IFERROR(__xludf.DUMMYFUNCTION("""COMPUTED_VALUE"""),19.3)</f>
        <v>19.3</v>
      </c>
      <c r="U465" s="16">
        <f>IFERROR(__xludf.DUMMYFUNCTION("""COMPUTED_VALUE"""),1.0)</f>
        <v>1</v>
      </c>
      <c r="V465" s="16">
        <f>IFERROR(__xludf.DUMMYFUNCTION("""COMPUTED_VALUE"""),-1.0)</f>
        <v>-1</v>
      </c>
      <c r="W465" s="16">
        <f>IFERROR(__xludf.DUMMYFUNCTION("""COMPUTED_VALUE"""),2.0)</f>
        <v>2</v>
      </c>
      <c r="X465" s="16">
        <f>IFERROR(__xludf.DUMMYFUNCTION("""COMPUTED_VALUE"""),-2.0)</f>
        <v>-2</v>
      </c>
      <c r="Y465" s="16">
        <f>IFERROR(__xludf.DUMMYFUNCTION("""COMPUTED_VALUE"""),30.9)</f>
        <v>30.9</v>
      </c>
      <c r="Z465" s="16">
        <f>IFERROR(__xludf.DUMMYFUNCTION("""COMPUTED_VALUE"""),42.3)</f>
        <v>42.3</v>
      </c>
      <c r="AA465" s="16">
        <f>IFERROR(__xludf.DUMMYFUNCTION("""COMPUTED_VALUE"""),-1.0)</f>
        <v>-1</v>
      </c>
      <c r="AB465" s="16">
        <f>IFERROR(__xludf.DUMMYFUNCTION("""COMPUTED_VALUE"""),-2.0)</f>
        <v>-2</v>
      </c>
      <c r="AC465" s="16">
        <f>IFERROR(__xludf.DUMMYFUNCTION("""COMPUTED_VALUE"""),-5.0)</f>
        <v>-5</v>
      </c>
      <c r="AD465" s="16">
        <f>IFERROR(__xludf.DUMMYFUNCTION("""COMPUTED_VALUE"""),-10.0)</f>
        <v>-10</v>
      </c>
      <c r="AE465" s="16">
        <f>IFERROR(__xludf.DUMMYFUNCTION("""COMPUTED_VALUE"""),20.2)</f>
        <v>20.2</v>
      </c>
      <c r="AF465" s="16">
        <f>IFERROR(__xludf.DUMMYFUNCTION("""COMPUTED_VALUE"""),38.7)</f>
        <v>38.7</v>
      </c>
      <c r="AG465" s="16">
        <f>IFERROR(__xludf.DUMMYFUNCTION("""COMPUTED_VALUE"""),1.0)</f>
        <v>1</v>
      </c>
      <c r="AH465" s="16">
        <f>IFERROR(__xludf.DUMMYFUNCTION("""COMPUTED_VALUE"""),-1.0)</f>
        <v>-1</v>
      </c>
      <c r="AI465" s="16">
        <f>IFERROR(__xludf.DUMMYFUNCTION("""COMPUTED_VALUE"""),2.0)</f>
        <v>2</v>
      </c>
      <c r="AJ465" s="16">
        <f>IFERROR(__xludf.DUMMYFUNCTION("""COMPUTED_VALUE"""),-2.0)</f>
        <v>-2</v>
      </c>
      <c r="AK465" s="16">
        <f>IFERROR(__xludf.DUMMYFUNCTION("""COMPUTED_VALUE"""),5.0)</f>
        <v>5</v>
      </c>
      <c r="AL465" s="16">
        <f>IFERROR(__xludf.DUMMYFUNCTION("""COMPUTED_VALUE"""),14.8)</f>
        <v>14.8</v>
      </c>
      <c r="AM465" s="16">
        <f>IFERROR(__xludf.DUMMYFUNCTION("""COMPUTED_VALUE"""),1.0)</f>
        <v>1</v>
      </c>
      <c r="AN465" s="16">
        <f>IFERROR(__xludf.DUMMYFUNCTION("""COMPUTED_VALUE"""),0.0)</f>
        <v>0</v>
      </c>
      <c r="AO465" s="16">
        <f>IFERROR(__xludf.DUMMYFUNCTION("""COMPUTED_VALUE"""),1.0)</f>
        <v>1</v>
      </c>
      <c r="AP465" s="16">
        <f>IFERROR(__xludf.DUMMYFUNCTION("""COMPUTED_VALUE"""),0.0)</f>
        <v>0</v>
      </c>
      <c r="AQ465" s="16">
        <f>IFERROR(__xludf.DUMMYFUNCTION("""COMPUTED_VALUE"""),9.0)</f>
        <v>9</v>
      </c>
      <c r="AR465" s="16">
        <f>IFERROR(__xludf.DUMMYFUNCTION("""COMPUTED_VALUE"""),20.700000000000003)</f>
        <v>20.7</v>
      </c>
      <c r="AS465" s="16">
        <f>IFERROR(__xludf.DUMMYFUNCTION("""COMPUTED_VALUE"""),1.0)</f>
        <v>1</v>
      </c>
      <c r="AT465" s="16">
        <f>IFERROR(__xludf.DUMMYFUNCTION("""COMPUTED_VALUE"""),0.0)</f>
        <v>0</v>
      </c>
      <c r="AU465" s="16">
        <f>IFERROR(__xludf.DUMMYFUNCTION("""COMPUTED_VALUE"""),2.0)</f>
        <v>2</v>
      </c>
      <c r="AV465" s="16">
        <f>IFERROR(__xludf.DUMMYFUNCTION("""COMPUTED_VALUE"""),0.0)</f>
        <v>0</v>
      </c>
      <c r="AW465" s="16">
        <f>IFERROR(__xludf.DUMMYFUNCTION("""COMPUTED_VALUE"""),2.8)</f>
        <v>2.8</v>
      </c>
      <c r="AX465" s="16">
        <f>IFERROR(__xludf.DUMMYFUNCTION("""COMPUTED_VALUE"""),4.5)</f>
        <v>4.5</v>
      </c>
      <c r="AY465" s="16">
        <f>IFERROR(__xludf.DUMMYFUNCTION("""COMPUTED_VALUE"""),-1.0)</f>
        <v>-1</v>
      </c>
      <c r="AZ465" s="16">
        <f>IFERROR(__xludf.DUMMYFUNCTION("""COMPUTED_VALUE"""),-2.0)</f>
        <v>-2</v>
      </c>
      <c r="BA465" s="16">
        <f>IFERROR(__xludf.DUMMYFUNCTION("""COMPUTED_VALUE"""),-5.0)</f>
        <v>-5</v>
      </c>
      <c r="BB465" s="16">
        <f>IFERROR(__xludf.DUMMYFUNCTION("""COMPUTED_VALUE"""),-10.0)</f>
        <v>-10</v>
      </c>
      <c r="BC465" s="16">
        <f>IFERROR(__xludf.DUMMYFUNCTION("""COMPUTED_VALUE"""),5.0)</f>
        <v>5</v>
      </c>
      <c r="BD465" s="16">
        <f>IFERROR(__xludf.DUMMYFUNCTION("""COMPUTED_VALUE"""),7.0)</f>
        <v>7</v>
      </c>
      <c r="BE465" s="16">
        <f>IFERROR(__xludf.DUMMYFUNCTION("""COMPUTED_VALUE"""),5.0)</f>
        <v>5</v>
      </c>
      <c r="BF465" s="16">
        <f>IFERROR(__xludf.DUMMYFUNCTION("""COMPUTED_VALUE"""),7.0)</f>
        <v>7</v>
      </c>
      <c r="BG465" s="16">
        <f>IFERROR(__xludf.DUMMYFUNCTION("""COMPUTED_VALUE"""),-2.0)</f>
        <v>-2</v>
      </c>
      <c r="BH465" s="16">
        <f>IFERROR(__xludf.DUMMYFUNCTION("""COMPUTED_VALUE"""),-3.0)</f>
        <v>-3</v>
      </c>
      <c r="BI465" s="16">
        <f>IFERROR(__xludf.DUMMYFUNCTION("""COMPUTED_VALUE"""),-4.0)</f>
        <v>-4</v>
      </c>
      <c r="BJ465" s="16">
        <f>IFERROR(__xludf.DUMMYFUNCTION("""COMPUTED_VALUE"""),-6.0)</f>
        <v>-6</v>
      </c>
      <c r="BK465" s="16">
        <f>IFERROR(__xludf.DUMMYFUNCTION("""COMPUTED_VALUE"""),5.0)</f>
        <v>5</v>
      </c>
      <c r="BL465" s="16">
        <f>IFERROR(__xludf.DUMMYFUNCTION("""COMPUTED_VALUE"""),5.0)</f>
        <v>5</v>
      </c>
      <c r="BM465" s="16">
        <f>IFERROR(__xludf.DUMMYFUNCTION("""COMPUTED_VALUE"""),0.0)</f>
        <v>0</v>
      </c>
      <c r="BN465" s="16">
        <f>IFERROR(__xludf.DUMMYFUNCTION("""COMPUTED_VALUE"""),0.0)</f>
        <v>0</v>
      </c>
      <c r="BO465" s="16">
        <f>IFERROR(__xludf.DUMMYFUNCTION("""COMPUTED_VALUE"""),0.0)</f>
        <v>0</v>
      </c>
      <c r="BP465" s="16">
        <f>IFERROR(__xludf.DUMMYFUNCTION("""COMPUTED_VALUE"""),0.0)</f>
        <v>0</v>
      </c>
      <c r="BQ465" s="16">
        <f>IFERROR(__xludf.DUMMYFUNCTION("""COMPUTED_VALUE"""),0.0)</f>
        <v>0</v>
      </c>
      <c r="BR465" s="16">
        <f>IFERROR(__xludf.DUMMYFUNCTION("""COMPUTED_VALUE"""),0.0)</f>
        <v>0</v>
      </c>
      <c r="BS465" s="16">
        <f>IFERROR(__xludf.DUMMYFUNCTION("""COMPUTED_VALUE"""),-3.0)</f>
        <v>-3</v>
      </c>
      <c r="BT465" s="16">
        <f>IFERROR(__xludf.DUMMYFUNCTION("""COMPUTED_VALUE"""),-3.0)</f>
        <v>-3</v>
      </c>
      <c r="BU465" s="16">
        <f>IFERROR(__xludf.DUMMYFUNCTION("""COMPUTED_VALUE"""),-6.0)</f>
        <v>-6</v>
      </c>
      <c r="BV465" s="16">
        <f>IFERROR(__xludf.DUMMYFUNCTION("""COMPUTED_VALUE"""),-6.0)</f>
        <v>-6</v>
      </c>
      <c r="BW465" s="16">
        <f>IFERROR(__xludf.DUMMYFUNCTION("""COMPUTED_VALUE"""),-2.0)</f>
        <v>-2</v>
      </c>
      <c r="BX465" s="16">
        <f>IFERROR(__xludf.DUMMYFUNCTION("""COMPUTED_VALUE"""),-2.0)</f>
        <v>-2</v>
      </c>
      <c r="BY465" s="16" t="str">
        <f>IFERROR(__xludf.DUMMYFUNCTION("""COMPUTED_VALUE"""),"R(2) C(0)")</f>
        <v>R(2) C(0)</v>
      </c>
      <c r="BZ465" s="16" t="str">
        <f>IFERROR(__xludf.DUMMYFUNCTION("""COMPUTED_VALUE"""),"R(2) C(0)")</f>
        <v>R(2) C(0)</v>
      </c>
      <c r="CA465" s="16" t="str">
        <f>IFERROR(__xludf.DUMMYFUNCTION("""COMPUTED_VALUE"""),"R(2)")</f>
        <v>R(2)</v>
      </c>
      <c r="CB465" s="16" t="str">
        <f>IFERROR(__xludf.DUMMYFUNCTION("""COMPUTED_VALUE"""),"C(0)")</f>
        <v>C(0)</v>
      </c>
      <c r="CC465" s="16"/>
      <c r="CD465" s="16"/>
      <c r="CE465" s="16">
        <f>IFERROR(__xludf.DUMMYFUNCTION("""COMPUTED_VALUE"""),2.0)</f>
        <v>2</v>
      </c>
      <c r="CF465" s="16">
        <f>IFERROR(__xludf.DUMMYFUNCTION("""COMPUTED_VALUE"""),0.0)</f>
        <v>0</v>
      </c>
      <c r="CG465" s="16" t="str">
        <f>IFERROR(__xludf.DUMMYFUNCTION("""COMPUTED_VALUE"""),"3-38")</f>
        <v>3-38</v>
      </c>
      <c r="CH465" s="16">
        <f>IFERROR(__xludf.DUMMYFUNCTION("""COMPUTED_VALUE"""),3.0)</f>
        <v>3</v>
      </c>
      <c r="CI465" s="16">
        <f>IFERROR(__xludf.DUMMYFUNCTION("""COMPUTED_VALUE"""),38.0)</f>
        <v>38</v>
      </c>
      <c r="CJ465" s="16">
        <f>IFERROR(__xludf.DUMMYFUNCTION("""COMPUTED_VALUE"""),9.0)</f>
        <v>9</v>
      </c>
      <c r="CK465" s="16">
        <f>IFERROR(__xludf.DUMMYFUNCTION("""COMPUTED_VALUE"""),16.0)</f>
        <v>16</v>
      </c>
      <c r="CL465" s="16" t="str">
        <f>IFERROR(__xludf.DUMMYFUNCTION("""COMPUTED_VALUE"""),"1WR-C")</f>
        <v>1WR-C</v>
      </c>
      <c r="CM465" s="16" t="str">
        <f>IFERROR(__xludf.DUMMYFUNCTION("""COMPUTED_VALUE"""),"E")</f>
        <v>E</v>
      </c>
      <c r="CN465" s="16">
        <f>IFERROR(__xludf.DUMMYFUNCTION("""COMPUTED_VALUE"""),10.0)</f>
        <v>10</v>
      </c>
      <c r="CO465" s="16" t="str">
        <f>IFERROR(__xludf.DUMMYFUNCTION("""COMPUTED_VALUE"""),"C")</f>
        <v>C</v>
      </c>
      <c r="CP465" s="16" t="str">
        <f>IFERROR(__xludf.DUMMYFUNCTION("""COMPUTED_VALUE"""),"1p20")</f>
        <v>1p20</v>
      </c>
      <c r="CQ465" s="16">
        <f>IFERROR(__xludf.DUMMYFUNCTION("""COMPUTED_VALUE"""),-16.0)</f>
        <v>-16</v>
      </c>
      <c r="CR465" s="16">
        <f>IFERROR(__xludf.DUMMYFUNCTION("""COMPUTED_VALUE"""),-42.0)</f>
        <v>-42</v>
      </c>
      <c r="CS465" s="16">
        <f>IFERROR(__xludf.DUMMYFUNCTION("""COMPUTED_VALUE"""),-58.0)</f>
        <v>-58</v>
      </c>
      <c r="CT465" s="16">
        <f>IFERROR(__xludf.DUMMYFUNCTION("""COMPUTED_VALUE"""),-16.0)</f>
        <v>-16</v>
      </c>
      <c r="CU465" s="16">
        <f>IFERROR(__xludf.DUMMYFUNCTION("""COMPUTED_VALUE"""),-42.0)</f>
        <v>-42</v>
      </c>
      <c r="CV465" s="179">
        <f>IFERROR(__xludf.DUMMYFUNCTION("""COMPUTED_VALUE"""),-26.333333333333336)</f>
        <v>-26.33333333</v>
      </c>
      <c r="CW465" s="179">
        <f>IFERROR(__xludf.DUMMYFUNCTION("""COMPUTED_VALUE"""),4.0)</f>
        <v>4</v>
      </c>
      <c r="CX465" s="179">
        <f>IFERROR(__xludf.DUMMYFUNCTION("""COMPUTED_VALUE"""),3.0)</f>
        <v>3</v>
      </c>
      <c r="CY465" s="16" t="str">
        <f>IFERROR(__xludf.DUMMYFUNCTION("""COMPUTED_VALUE"""),"RP")</f>
        <v>RP</v>
      </c>
      <c r="CZ465" s="16" t="str">
        <f>IFERROR(__xludf.DUMMYFUNCTION("""COMPUTED_VALUE"""),"CP")</f>
        <v>CP</v>
      </c>
      <c r="DA465" s="16"/>
      <c r="DB465" s="16"/>
      <c r="DC465" s="16"/>
      <c r="DD465" s="16"/>
      <c r="DE465" s="16"/>
      <c r="DF465" s="16"/>
      <c r="DG465" s="16"/>
      <c r="DH465" s="16"/>
      <c r="DI465" s="16"/>
      <c r="DJ465" s="16"/>
      <c r="DK465" s="16"/>
    </row>
    <row r="466">
      <c r="A466" s="16">
        <f>IFERROR(__xludf.DUMMYFUNCTION("""COMPUTED_VALUE"""),13456.0)</f>
        <v>13456</v>
      </c>
      <c r="B466" s="16" t="str">
        <f>IFERROR(__xludf.DUMMYFUNCTION("""COMPUTED_VALUE"""),"Tyler Phillips")</f>
        <v>Tyler Phillips</v>
      </c>
      <c r="C466" s="153">
        <f>IFERROR(__xludf.DUMMYFUNCTION("""COMPUTED_VALUE"""),0.0)</f>
        <v>0</v>
      </c>
      <c r="D466" s="16"/>
      <c r="E466" s="16" t="str">
        <f>IFERROR(__xludf.DUMMYFUNCTION("""COMPUTED_VALUE"""),"R")</f>
        <v>R</v>
      </c>
      <c r="F466" s="16">
        <f>IFERROR(__xludf.DUMMYFUNCTION("""COMPUTED_VALUE"""),37.0)</f>
        <v>37</v>
      </c>
      <c r="G466" s="16">
        <f>IFERROR(__xludf.DUMMYFUNCTION("""COMPUTED_VALUE"""),14.0)</f>
        <v>14</v>
      </c>
      <c r="H466" s="16">
        <f>IFERROR(__xludf.DUMMYFUNCTION("""COMPUTED_VALUE"""),11.0)</f>
        <v>11</v>
      </c>
      <c r="I466" s="16">
        <f>IFERROR(__xludf.DUMMYFUNCTION("""COMPUTED_VALUE"""),-2.0)</f>
        <v>-2</v>
      </c>
      <c r="J466" s="16">
        <f>IFERROR(__xludf.DUMMYFUNCTION("""COMPUTED_VALUE"""),-2.0)</f>
        <v>-2</v>
      </c>
      <c r="K466" s="16">
        <f>IFERROR(__xludf.DUMMYFUNCTION("""COMPUTED_VALUE"""),-6.0)</f>
        <v>-6</v>
      </c>
      <c r="L466" s="16">
        <f>IFERROR(__xludf.DUMMYFUNCTION("""COMPUTED_VALUE"""),-6.0)</f>
        <v>-6</v>
      </c>
      <c r="M466" s="16">
        <f>IFERROR(__xludf.DUMMYFUNCTION("""COMPUTED_VALUE"""),0.0)</f>
        <v>0</v>
      </c>
      <c r="N466" s="16">
        <f>IFERROR(__xludf.DUMMYFUNCTION("""COMPUTED_VALUE"""),2.0)</f>
        <v>2</v>
      </c>
      <c r="O466" s="16">
        <f>IFERROR(__xludf.DUMMYFUNCTION("""COMPUTED_VALUE"""),3.0)</f>
        <v>3</v>
      </c>
      <c r="P466" s="16">
        <f>IFERROR(__xludf.DUMMYFUNCTION("""COMPUTED_VALUE"""),3.0)</f>
        <v>3</v>
      </c>
      <c r="Q466" s="16">
        <f>IFERROR(__xludf.DUMMYFUNCTION("""COMPUTED_VALUE"""),3.0)</f>
        <v>3</v>
      </c>
      <c r="R466" s="16">
        <f>IFERROR(__xludf.DUMMYFUNCTION("""COMPUTED_VALUE"""),3.0)</f>
        <v>3</v>
      </c>
      <c r="S466" s="16">
        <f>IFERROR(__xludf.DUMMYFUNCTION("""COMPUTED_VALUE"""),22.9)</f>
        <v>22.9</v>
      </c>
      <c r="T466" s="16">
        <f>IFERROR(__xludf.DUMMYFUNCTION("""COMPUTED_VALUE"""),33.5)</f>
        <v>33.5</v>
      </c>
      <c r="U466" s="16">
        <f>IFERROR(__xludf.DUMMYFUNCTION("""COMPUTED_VALUE"""),-1.0)</f>
        <v>-1</v>
      </c>
      <c r="V466" s="16">
        <f>IFERROR(__xludf.DUMMYFUNCTION("""COMPUTED_VALUE"""),-3.0)</f>
        <v>-3</v>
      </c>
      <c r="W466" s="16">
        <f>IFERROR(__xludf.DUMMYFUNCTION("""COMPUTED_VALUE"""),-2.0)</f>
        <v>-2</v>
      </c>
      <c r="X466" s="16">
        <f>IFERROR(__xludf.DUMMYFUNCTION("""COMPUTED_VALUE"""),-6.0)</f>
        <v>-6</v>
      </c>
      <c r="Y466" s="16">
        <f>IFERROR(__xludf.DUMMYFUNCTION("""COMPUTED_VALUE"""),22.9)</f>
        <v>22.9</v>
      </c>
      <c r="Z466" s="16">
        <f>IFERROR(__xludf.DUMMYFUNCTION("""COMPUTED_VALUE"""),35.5)</f>
        <v>35.5</v>
      </c>
      <c r="AA466" s="16">
        <f>IFERROR(__xludf.DUMMYFUNCTION("""COMPUTED_VALUE"""),0.0)</f>
        <v>0</v>
      </c>
      <c r="AB466" s="16">
        <f>IFERROR(__xludf.DUMMYFUNCTION("""COMPUTED_VALUE"""),-2.0)</f>
        <v>-2</v>
      </c>
      <c r="AC466" s="16">
        <f>IFERROR(__xludf.DUMMYFUNCTION("""COMPUTED_VALUE"""),0.0)</f>
        <v>0</v>
      </c>
      <c r="AD466" s="16">
        <f>IFERROR(__xludf.DUMMYFUNCTION("""COMPUTED_VALUE"""),-10.0)</f>
        <v>-10</v>
      </c>
      <c r="AE466" s="16">
        <f>IFERROR(__xludf.DUMMYFUNCTION("""COMPUTED_VALUE"""),33.1)</f>
        <v>33.1</v>
      </c>
      <c r="AF466" s="16">
        <f>IFERROR(__xludf.DUMMYFUNCTION("""COMPUTED_VALUE"""),65.0)</f>
        <v>65</v>
      </c>
      <c r="AG466" s="16">
        <f>IFERROR(__xludf.DUMMYFUNCTION("""COMPUTED_VALUE"""),-1.0)</f>
        <v>-1</v>
      </c>
      <c r="AH466" s="16">
        <f>IFERROR(__xludf.DUMMYFUNCTION("""COMPUTED_VALUE"""),-3.0)</f>
        <v>-3</v>
      </c>
      <c r="AI466" s="16">
        <f>IFERROR(__xludf.DUMMYFUNCTION("""COMPUTED_VALUE"""),-2.0)</f>
        <v>-2</v>
      </c>
      <c r="AJ466" s="16">
        <f>IFERROR(__xludf.DUMMYFUNCTION("""COMPUTED_VALUE"""),-6.0)</f>
        <v>-6</v>
      </c>
      <c r="AK466" s="16">
        <f>IFERROR(__xludf.DUMMYFUNCTION("""COMPUTED_VALUE"""),19.9)</f>
        <v>19.9</v>
      </c>
      <c r="AL466" s="16">
        <f>IFERROR(__xludf.DUMMYFUNCTION("""COMPUTED_VALUE"""),25.7)</f>
        <v>25.7</v>
      </c>
      <c r="AM466" s="16">
        <f>IFERROR(__xludf.DUMMYFUNCTION("""COMPUTED_VALUE"""),-1.0)</f>
        <v>-1</v>
      </c>
      <c r="AN466" s="16">
        <f>IFERROR(__xludf.DUMMYFUNCTION("""COMPUTED_VALUE"""),-2.0)</f>
        <v>-2</v>
      </c>
      <c r="AO466" s="16">
        <f>IFERROR(__xludf.DUMMYFUNCTION("""COMPUTED_VALUE"""),-1.0)</f>
        <v>-1</v>
      </c>
      <c r="AP466" s="16">
        <f>IFERROR(__xludf.DUMMYFUNCTION("""COMPUTED_VALUE"""),-2.0)</f>
        <v>-2</v>
      </c>
      <c r="AQ466" s="16">
        <f>IFERROR(__xludf.DUMMYFUNCTION("""COMPUTED_VALUE"""),21.1)</f>
        <v>21.1</v>
      </c>
      <c r="AR466" s="16">
        <f>IFERROR(__xludf.DUMMYFUNCTION("""COMPUTED_VALUE"""),33.8)</f>
        <v>33.8</v>
      </c>
      <c r="AS466" s="16">
        <f>IFERROR(__xludf.DUMMYFUNCTION("""COMPUTED_VALUE"""),0.0)</f>
        <v>0</v>
      </c>
      <c r="AT466" s="16">
        <f>IFERROR(__xludf.DUMMYFUNCTION("""COMPUTED_VALUE"""),-2.0)</f>
        <v>-2</v>
      </c>
      <c r="AU466" s="16">
        <f>IFERROR(__xludf.DUMMYFUNCTION("""COMPUTED_VALUE"""),0.0)</f>
        <v>0</v>
      </c>
      <c r="AV466" s="16">
        <f>IFERROR(__xludf.DUMMYFUNCTION("""COMPUTED_VALUE"""),-4.0)</f>
        <v>-4</v>
      </c>
      <c r="AW466" s="16">
        <f>IFERROR(__xludf.DUMMYFUNCTION("""COMPUTED_VALUE"""),3.0)</f>
        <v>3</v>
      </c>
      <c r="AX466" s="16">
        <f>IFERROR(__xludf.DUMMYFUNCTION("""COMPUTED_VALUE"""),7.8)</f>
        <v>7.8</v>
      </c>
      <c r="AY466" s="16">
        <f>IFERROR(__xludf.DUMMYFUNCTION("""COMPUTED_VALUE"""),-1.0)</f>
        <v>-1</v>
      </c>
      <c r="AZ466" s="16">
        <f>IFERROR(__xludf.DUMMYFUNCTION("""COMPUTED_VALUE"""),-3.0)</f>
        <v>-3</v>
      </c>
      <c r="BA466" s="16">
        <f>IFERROR(__xludf.DUMMYFUNCTION("""COMPUTED_VALUE"""),-5.0)</f>
        <v>-5</v>
      </c>
      <c r="BB466" s="16">
        <f>IFERROR(__xludf.DUMMYFUNCTION("""COMPUTED_VALUE"""),-15.0)</f>
        <v>-15</v>
      </c>
      <c r="BC466" s="16">
        <f>IFERROR(__xludf.DUMMYFUNCTION("""COMPUTED_VALUE"""),4.0)</f>
        <v>4</v>
      </c>
      <c r="BD466" s="16">
        <f>IFERROR(__xludf.DUMMYFUNCTION("""COMPUTED_VALUE"""),8.0)</f>
        <v>8</v>
      </c>
      <c r="BE466" s="16">
        <f>IFERROR(__xludf.DUMMYFUNCTION("""COMPUTED_VALUE"""),4.0)</f>
        <v>4</v>
      </c>
      <c r="BF466" s="16">
        <f>IFERROR(__xludf.DUMMYFUNCTION("""COMPUTED_VALUE"""),8.0)</f>
        <v>8</v>
      </c>
      <c r="BG466" s="16">
        <f>IFERROR(__xludf.DUMMYFUNCTION("""COMPUTED_VALUE"""),-1.0)</f>
        <v>-1</v>
      </c>
      <c r="BH466" s="16">
        <f>IFERROR(__xludf.DUMMYFUNCTION("""COMPUTED_VALUE"""),-3.0)</f>
        <v>-3</v>
      </c>
      <c r="BI466" s="16">
        <f>IFERROR(__xludf.DUMMYFUNCTION("""COMPUTED_VALUE"""),-2.0)</f>
        <v>-2</v>
      </c>
      <c r="BJ466" s="16">
        <f>IFERROR(__xludf.DUMMYFUNCTION("""COMPUTED_VALUE"""),-6.0)</f>
        <v>-6</v>
      </c>
      <c r="BK466" s="16">
        <f>IFERROR(__xludf.DUMMYFUNCTION("""COMPUTED_VALUE"""),5.0)</f>
        <v>5</v>
      </c>
      <c r="BL466" s="16">
        <f>IFERROR(__xludf.DUMMYFUNCTION("""COMPUTED_VALUE"""),5.0)</f>
        <v>5</v>
      </c>
      <c r="BM466" s="16">
        <f>IFERROR(__xludf.DUMMYFUNCTION("""COMPUTED_VALUE"""),0.0)</f>
        <v>0</v>
      </c>
      <c r="BN466" s="16">
        <f>IFERROR(__xludf.DUMMYFUNCTION("""COMPUTED_VALUE"""),0.0)</f>
        <v>0</v>
      </c>
      <c r="BO466" s="16">
        <f>IFERROR(__xludf.DUMMYFUNCTION("""COMPUTED_VALUE"""),0.0)</f>
        <v>0</v>
      </c>
      <c r="BP466" s="16">
        <f>IFERROR(__xludf.DUMMYFUNCTION("""COMPUTED_VALUE"""),0.0)</f>
        <v>0</v>
      </c>
      <c r="BQ466" s="16">
        <f>IFERROR(__xludf.DUMMYFUNCTION("""COMPUTED_VALUE"""),12.0)</f>
        <v>12</v>
      </c>
      <c r="BR466" s="16">
        <f>IFERROR(__xludf.DUMMYFUNCTION("""COMPUTED_VALUE"""),13.0)</f>
        <v>13</v>
      </c>
      <c r="BS466" s="16">
        <f>IFERROR(__xludf.DUMMYFUNCTION("""COMPUTED_VALUE"""),3.0)</f>
        <v>3</v>
      </c>
      <c r="BT466" s="16">
        <f>IFERROR(__xludf.DUMMYFUNCTION("""COMPUTED_VALUE"""),3.0)</f>
        <v>3</v>
      </c>
      <c r="BU466" s="16">
        <f>IFERROR(__xludf.DUMMYFUNCTION("""COMPUTED_VALUE"""),6.0)</f>
        <v>6</v>
      </c>
      <c r="BV466" s="16">
        <f>IFERROR(__xludf.DUMMYFUNCTION("""COMPUTED_VALUE"""),6.0)</f>
        <v>6</v>
      </c>
      <c r="BW466" s="16">
        <f>IFERROR(__xludf.DUMMYFUNCTION("""COMPUTED_VALUE"""),4.0)</f>
        <v>4</v>
      </c>
      <c r="BX466" s="16">
        <f>IFERROR(__xludf.DUMMYFUNCTION("""COMPUTED_VALUE"""),4.0)</f>
        <v>4</v>
      </c>
      <c r="BY466" s="16" t="str">
        <f>IFERROR(__xludf.DUMMYFUNCTION("""COMPUTED_VALUE"""),"S(4) R(3)")</f>
        <v>S(4) R(3)</v>
      </c>
      <c r="BZ466" s="16" t="str">
        <f>IFERROR(__xludf.DUMMYFUNCTION("""COMPUTED_VALUE"""),"S(4) R(3)")</f>
        <v>S(4) R(3)</v>
      </c>
      <c r="CA466" s="16" t="str">
        <f>IFERROR(__xludf.DUMMYFUNCTION("""COMPUTED_VALUE"""),"S(4)")</f>
        <v>S(4)</v>
      </c>
      <c r="CB466" s="16" t="str">
        <f>IFERROR(__xludf.DUMMYFUNCTION("""COMPUTED_VALUE"""),"R(3)")</f>
        <v>R(3)</v>
      </c>
      <c r="CC466" s="16"/>
      <c r="CD466" s="16">
        <f>IFERROR(__xludf.DUMMYFUNCTION("""COMPUTED_VALUE"""),4.0)</f>
        <v>4</v>
      </c>
      <c r="CE466" s="16">
        <f>IFERROR(__xludf.DUMMYFUNCTION("""COMPUTED_VALUE"""),3.0)</f>
        <v>3</v>
      </c>
      <c r="CF466" s="16"/>
      <c r="CG466" s="16" t="str">
        <f>IFERROR(__xludf.DUMMYFUNCTION("""COMPUTED_VALUE"""),"2-0")</f>
        <v>2-0</v>
      </c>
      <c r="CH466" s="16">
        <f>IFERROR(__xludf.DUMMYFUNCTION("""COMPUTED_VALUE"""),2.0)</f>
        <v>2</v>
      </c>
      <c r="CI466" s="16">
        <f>IFERROR(__xludf.DUMMYFUNCTION("""COMPUTED_VALUE"""),0.0)</f>
        <v>0</v>
      </c>
      <c r="CJ466" s="16">
        <f>IFERROR(__xludf.DUMMYFUNCTION("""COMPUTED_VALUE"""),0.0)</f>
        <v>0</v>
      </c>
      <c r="CK466" s="16">
        <f>IFERROR(__xludf.DUMMYFUNCTION("""COMPUTED_VALUE"""),0.0)</f>
        <v>0</v>
      </c>
      <c r="CL466" s="16" t="str">
        <f>IFERROR(__xludf.DUMMYFUNCTION("""COMPUTED_VALUE"""),"1WR-C")</f>
        <v>1WR-C</v>
      </c>
      <c r="CM466" s="16" t="str">
        <f>IFERROR(__xludf.DUMMYFUNCTION("""COMPUTED_VALUE"""),"E")</f>
        <v>E</v>
      </c>
      <c r="CN466" s="16">
        <f>IFERROR(__xludf.DUMMYFUNCTION("""COMPUTED_VALUE"""),10.0)</f>
        <v>10</v>
      </c>
      <c r="CO466" s="16" t="str">
        <f>IFERROR(__xludf.DUMMYFUNCTION("""COMPUTED_VALUE"""),"C")</f>
        <v>C</v>
      </c>
      <c r="CP466" s="16" t="str">
        <f>IFERROR(__xludf.DUMMYFUNCTION("""COMPUTED_VALUE"""),"1p20")</f>
        <v>1p20</v>
      </c>
      <c r="CQ466" s="16">
        <f>IFERROR(__xludf.DUMMYFUNCTION("""COMPUTED_VALUE"""),-9.0)</f>
        <v>-9</v>
      </c>
      <c r="CR466" s="16">
        <f>IFERROR(__xludf.DUMMYFUNCTION("""COMPUTED_VALUE"""),-46.0)</f>
        <v>-46</v>
      </c>
      <c r="CS466" s="16">
        <f>IFERROR(__xludf.DUMMYFUNCTION("""COMPUTED_VALUE"""),-55.0)</f>
        <v>-55</v>
      </c>
      <c r="CT466" s="16">
        <f>IFERROR(__xludf.DUMMYFUNCTION("""COMPUTED_VALUE"""),-9.0)</f>
        <v>-9</v>
      </c>
      <c r="CU466" s="16">
        <f>IFERROR(__xludf.DUMMYFUNCTION("""COMPUTED_VALUE"""),-46.0)</f>
        <v>-46</v>
      </c>
      <c r="CV466" s="179">
        <f>IFERROR(__xludf.DUMMYFUNCTION("""COMPUTED_VALUE"""),-26.666666666666664)</f>
        <v>-26.66666667</v>
      </c>
      <c r="CW466" s="179">
        <f>IFERROR(__xludf.DUMMYFUNCTION("""COMPUTED_VALUE"""),4.0)</f>
        <v>4</v>
      </c>
      <c r="CX466" s="179">
        <f>IFERROR(__xludf.DUMMYFUNCTION("""COMPUTED_VALUE"""),3.0)</f>
        <v>3</v>
      </c>
      <c r="CY466" s="16" t="str">
        <f>IFERROR(__xludf.DUMMYFUNCTION("""COMPUTED_VALUE"""),"SP")</f>
        <v>SP</v>
      </c>
      <c r="CZ466" s="16" t="str">
        <f>IFERROR(__xludf.DUMMYFUNCTION("""COMPUTED_VALUE"""),"RP")</f>
        <v>RP</v>
      </c>
      <c r="DA466" s="16"/>
      <c r="DB466" s="16"/>
      <c r="DC466" s="16"/>
      <c r="DD466" s="16"/>
      <c r="DE466" s="16"/>
      <c r="DF466" s="16"/>
      <c r="DG466" s="16"/>
      <c r="DH466" s="16"/>
      <c r="DI466" s="16"/>
      <c r="DJ466" s="16"/>
      <c r="DK466" s="16"/>
    </row>
    <row r="467">
      <c r="A467" s="16">
        <f>IFERROR(__xludf.DUMMYFUNCTION("""COMPUTED_VALUE"""),13474.0)</f>
        <v>13474</v>
      </c>
      <c r="B467" s="16" t="str">
        <f>IFERROR(__xludf.DUMMYFUNCTION("""COMPUTED_VALUE"""),"Walker Buehler")</f>
        <v>Walker Buehler</v>
      </c>
      <c r="C467" s="153">
        <f>IFERROR(__xludf.DUMMYFUNCTION("""COMPUTED_VALUE"""),0.0)</f>
        <v>0</v>
      </c>
      <c r="D467" s="16"/>
      <c r="E467" s="16" t="str">
        <f>IFERROR(__xludf.DUMMYFUNCTION("""COMPUTED_VALUE"""),"R")</f>
        <v>R</v>
      </c>
      <c r="F467" s="16">
        <f>IFERROR(__xludf.DUMMYFUNCTION("""COMPUTED_VALUE"""),75.0)</f>
        <v>75</v>
      </c>
      <c r="G467" s="16">
        <f>IFERROR(__xludf.DUMMYFUNCTION("""COMPUTED_VALUE"""),22.0)</f>
        <v>22</v>
      </c>
      <c r="H467" s="16">
        <f>IFERROR(__xludf.DUMMYFUNCTION("""COMPUTED_VALUE"""),10.0)</f>
        <v>10</v>
      </c>
      <c r="I467" s="16">
        <f>IFERROR(__xludf.DUMMYFUNCTION("""COMPUTED_VALUE"""),-1.0)</f>
        <v>-1</v>
      </c>
      <c r="J467" s="16">
        <f>IFERROR(__xludf.DUMMYFUNCTION("""COMPUTED_VALUE"""),-2.0)</f>
        <v>-2</v>
      </c>
      <c r="K467" s="16">
        <f>IFERROR(__xludf.DUMMYFUNCTION("""COMPUTED_VALUE"""),-3.0)</f>
        <v>-3</v>
      </c>
      <c r="L467" s="16">
        <f>IFERROR(__xludf.DUMMYFUNCTION("""COMPUTED_VALUE"""),-6.0)</f>
        <v>-6</v>
      </c>
      <c r="M467" s="16">
        <f>IFERROR(__xludf.DUMMYFUNCTION("""COMPUTED_VALUE"""),9.0)</f>
        <v>9</v>
      </c>
      <c r="N467" s="16">
        <f>IFERROR(__xludf.DUMMYFUNCTION("""COMPUTED_VALUE"""),10.0)</f>
        <v>10</v>
      </c>
      <c r="O467" s="16">
        <f>IFERROR(__xludf.DUMMYFUNCTION("""COMPUTED_VALUE"""),0.0)</f>
        <v>0</v>
      </c>
      <c r="P467" s="16">
        <f>IFERROR(__xludf.DUMMYFUNCTION("""COMPUTED_VALUE"""),-1.0)</f>
        <v>-1</v>
      </c>
      <c r="Q467" s="16">
        <f>IFERROR(__xludf.DUMMYFUNCTION("""COMPUTED_VALUE"""),0.0)</f>
        <v>0</v>
      </c>
      <c r="R467" s="16">
        <f>IFERROR(__xludf.DUMMYFUNCTION("""COMPUTED_VALUE"""),-1.0)</f>
        <v>-1</v>
      </c>
      <c r="S467" s="16">
        <f>IFERROR(__xludf.DUMMYFUNCTION("""COMPUTED_VALUE"""),24.1)</f>
        <v>24.1</v>
      </c>
      <c r="T467" s="16">
        <f>IFERROR(__xludf.DUMMYFUNCTION("""COMPUTED_VALUE"""),21.0)</f>
        <v>21</v>
      </c>
      <c r="U467" s="16">
        <f>IFERROR(__xludf.DUMMYFUNCTION("""COMPUTED_VALUE"""),-2.0)</f>
        <v>-2</v>
      </c>
      <c r="V467" s="16">
        <f>IFERROR(__xludf.DUMMYFUNCTION("""COMPUTED_VALUE"""),-1.0)</f>
        <v>-1</v>
      </c>
      <c r="W467" s="16">
        <f>IFERROR(__xludf.DUMMYFUNCTION("""COMPUTED_VALUE"""),-4.0)</f>
        <v>-4</v>
      </c>
      <c r="X467" s="16">
        <f>IFERROR(__xludf.DUMMYFUNCTION("""COMPUTED_VALUE"""),-2.0)</f>
        <v>-2</v>
      </c>
      <c r="Y467" s="16">
        <f>IFERROR(__xludf.DUMMYFUNCTION("""COMPUTED_VALUE"""),33.0)</f>
        <v>33</v>
      </c>
      <c r="Z467" s="16">
        <f>IFERROR(__xludf.DUMMYFUNCTION("""COMPUTED_VALUE"""),31.0)</f>
        <v>31</v>
      </c>
      <c r="AA467" s="16">
        <f>IFERROR(__xludf.DUMMYFUNCTION("""COMPUTED_VALUE"""),-1.0)</f>
        <v>-1</v>
      </c>
      <c r="AB467" s="16">
        <f>IFERROR(__xludf.DUMMYFUNCTION("""COMPUTED_VALUE"""),-1.0)</f>
        <v>-1</v>
      </c>
      <c r="AC467" s="16">
        <f>IFERROR(__xludf.DUMMYFUNCTION("""COMPUTED_VALUE"""),-5.0)</f>
        <v>-5</v>
      </c>
      <c r="AD467" s="16">
        <f>IFERROR(__xludf.DUMMYFUNCTION("""COMPUTED_VALUE"""),-5.0)</f>
        <v>-5</v>
      </c>
      <c r="AE467" s="16">
        <f>IFERROR(__xludf.DUMMYFUNCTION("""COMPUTED_VALUE"""),45.0)</f>
        <v>45</v>
      </c>
      <c r="AF467" s="16">
        <f>IFERROR(__xludf.DUMMYFUNCTION("""COMPUTED_VALUE"""),36.2)</f>
        <v>36.2</v>
      </c>
      <c r="AG467" s="16">
        <f>IFERROR(__xludf.DUMMYFUNCTION("""COMPUTED_VALUE"""),-2.0)</f>
        <v>-2</v>
      </c>
      <c r="AH467" s="16">
        <f>IFERROR(__xludf.DUMMYFUNCTION("""COMPUTED_VALUE"""),-1.0)</f>
        <v>-1</v>
      </c>
      <c r="AI467" s="16">
        <f>IFERROR(__xludf.DUMMYFUNCTION("""COMPUTED_VALUE"""),-4.0)</f>
        <v>-4</v>
      </c>
      <c r="AJ467" s="16">
        <f>IFERROR(__xludf.DUMMYFUNCTION("""COMPUTED_VALUE"""),-2.0)</f>
        <v>-2</v>
      </c>
      <c r="AK467" s="16">
        <f>IFERROR(__xludf.DUMMYFUNCTION("""COMPUTED_VALUE"""),20.700000000000003)</f>
        <v>20.7</v>
      </c>
      <c r="AL467" s="16">
        <f>IFERROR(__xludf.DUMMYFUNCTION("""COMPUTED_VALUE"""),17.0)</f>
        <v>17</v>
      </c>
      <c r="AM467" s="16">
        <f>IFERROR(__xludf.DUMMYFUNCTION("""COMPUTED_VALUE"""),-1.0)</f>
        <v>-1</v>
      </c>
      <c r="AN467" s="16">
        <f>IFERROR(__xludf.DUMMYFUNCTION("""COMPUTED_VALUE"""),-1.0)</f>
        <v>-1</v>
      </c>
      <c r="AO467" s="16">
        <f>IFERROR(__xludf.DUMMYFUNCTION("""COMPUTED_VALUE"""),-1.0)</f>
        <v>-1</v>
      </c>
      <c r="AP467" s="16">
        <f>IFERROR(__xludf.DUMMYFUNCTION("""COMPUTED_VALUE"""),-1.0)</f>
        <v>-1</v>
      </c>
      <c r="AQ467" s="16">
        <f>IFERROR(__xludf.DUMMYFUNCTION("""COMPUTED_VALUE"""),31.4)</f>
        <v>31.4</v>
      </c>
      <c r="AR467" s="16">
        <f>IFERROR(__xludf.DUMMYFUNCTION("""COMPUTED_VALUE"""),20.200000000000003)</f>
        <v>20.2</v>
      </c>
      <c r="AS467" s="16">
        <f>IFERROR(__xludf.DUMMYFUNCTION("""COMPUTED_VALUE"""),-1.0)</f>
        <v>-1</v>
      </c>
      <c r="AT467" s="16">
        <f>IFERROR(__xludf.DUMMYFUNCTION("""COMPUTED_VALUE"""),0.0)</f>
        <v>0</v>
      </c>
      <c r="AU467" s="16">
        <f>IFERROR(__xludf.DUMMYFUNCTION("""COMPUTED_VALUE"""),-2.0)</f>
        <v>-2</v>
      </c>
      <c r="AV467" s="16">
        <f>IFERROR(__xludf.DUMMYFUNCTION("""COMPUTED_VALUE"""),0.0)</f>
        <v>0</v>
      </c>
      <c r="AW467" s="16">
        <f>IFERROR(__xludf.DUMMYFUNCTION("""COMPUTED_VALUE"""),3.4)</f>
        <v>3.4</v>
      </c>
      <c r="AX467" s="16">
        <f>IFERROR(__xludf.DUMMYFUNCTION("""COMPUTED_VALUE"""),4.0)</f>
        <v>4</v>
      </c>
      <c r="AY467" s="16">
        <f>IFERROR(__xludf.DUMMYFUNCTION("""COMPUTED_VALUE"""),-2.0)</f>
        <v>-2</v>
      </c>
      <c r="AZ467" s="16">
        <f>IFERROR(__xludf.DUMMYFUNCTION("""COMPUTED_VALUE"""),-2.0)</f>
        <v>-2</v>
      </c>
      <c r="BA467" s="16">
        <f>IFERROR(__xludf.DUMMYFUNCTION("""COMPUTED_VALUE"""),-10.0)</f>
        <v>-10</v>
      </c>
      <c r="BB467" s="16">
        <f>IFERROR(__xludf.DUMMYFUNCTION("""COMPUTED_VALUE"""),-10.0)</f>
        <v>-10</v>
      </c>
      <c r="BC467" s="16">
        <f>IFERROR(__xludf.DUMMYFUNCTION("""COMPUTED_VALUE"""),6.0)</f>
        <v>6</v>
      </c>
      <c r="BD467" s="16">
        <f>IFERROR(__xludf.DUMMYFUNCTION("""COMPUTED_VALUE"""),6.0)</f>
        <v>6</v>
      </c>
      <c r="BE467" s="16">
        <f>IFERROR(__xludf.DUMMYFUNCTION("""COMPUTED_VALUE"""),6.0)</f>
        <v>6</v>
      </c>
      <c r="BF467" s="16">
        <f>IFERROR(__xludf.DUMMYFUNCTION("""COMPUTED_VALUE"""),6.0)</f>
        <v>6</v>
      </c>
      <c r="BG467" s="16">
        <f>IFERROR(__xludf.DUMMYFUNCTION("""COMPUTED_VALUE"""),-3.0)</f>
        <v>-3</v>
      </c>
      <c r="BH467" s="16">
        <f>IFERROR(__xludf.DUMMYFUNCTION("""COMPUTED_VALUE"""),-2.0)</f>
        <v>-2</v>
      </c>
      <c r="BI467" s="16">
        <f>IFERROR(__xludf.DUMMYFUNCTION("""COMPUTED_VALUE"""),-6.0)</f>
        <v>-6</v>
      </c>
      <c r="BJ467" s="16">
        <f>IFERROR(__xludf.DUMMYFUNCTION("""COMPUTED_VALUE"""),-4.0)</f>
        <v>-4</v>
      </c>
      <c r="BK467" s="16">
        <f>IFERROR(__xludf.DUMMYFUNCTION("""COMPUTED_VALUE"""),5.0)</f>
        <v>5</v>
      </c>
      <c r="BL467" s="16">
        <f>IFERROR(__xludf.DUMMYFUNCTION("""COMPUTED_VALUE"""),5.0)</f>
        <v>5</v>
      </c>
      <c r="BM467" s="16">
        <f>IFERROR(__xludf.DUMMYFUNCTION("""COMPUTED_VALUE"""),0.0)</f>
        <v>0</v>
      </c>
      <c r="BN467" s="16">
        <f>IFERROR(__xludf.DUMMYFUNCTION("""COMPUTED_VALUE"""),0.0)</f>
        <v>0</v>
      </c>
      <c r="BO467" s="16">
        <f>IFERROR(__xludf.DUMMYFUNCTION("""COMPUTED_VALUE"""),0.0)</f>
        <v>0</v>
      </c>
      <c r="BP467" s="16">
        <f>IFERROR(__xludf.DUMMYFUNCTION("""COMPUTED_VALUE"""),0.0)</f>
        <v>0</v>
      </c>
      <c r="BQ467" s="16">
        <f>IFERROR(__xludf.DUMMYFUNCTION("""COMPUTED_VALUE"""),10.0)</f>
        <v>10</v>
      </c>
      <c r="BR467" s="16">
        <f>IFERROR(__xludf.DUMMYFUNCTION("""COMPUTED_VALUE"""),12.0)</f>
        <v>12</v>
      </c>
      <c r="BS467" s="16">
        <f>IFERROR(__xludf.DUMMYFUNCTION("""COMPUTED_VALUE"""),3.0)</f>
        <v>3</v>
      </c>
      <c r="BT467" s="16">
        <f>IFERROR(__xludf.DUMMYFUNCTION("""COMPUTED_VALUE"""),3.0)</f>
        <v>3</v>
      </c>
      <c r="BU467" s="16">
        <f>IFERROR(__xludf.DUMMYFUNCTION("""COMPUTED_VALUE"""),6.0)</f>
        <v>6</v>
      </c>
      <c r="BV467" s="16">
        <f>IFERROR(__xludf.DUMMYFUNCTION("""COMPUTED_VALUE"""),6.0)</f>
        <v>6</v>
      </c>
      <c r="BW467" s="16">
        <f>IFERROR(__xludf.DUMMYFUNCTION("""COMPUTED_VALUE"""),7.0)</f>
        <v>7</v>
      </c>
      <c r="BX467" s="16">
        <f>IFERROR(__xludf.DUMMYFUNCTION("""COMPUTED_VALUE"""),7.0)</f>
        <v>7</v>
      </c>
      <c r="BY467" s="16" t="str">
        <f>IFERROR(__xludf.DUMMYFUNCTION("""COMPUTED_VALUE"""),"S(5)")</f>
        <v>S(5)</v>
      </c>
      <c r="BZ467" s="16" t="str">
        <f>IFERROR(__xludf.DUMMYFUNCTION("""COMPUTED_VALUE"""),"S(5)")</f>
        <v>S(5)</v>
      </c>
      <c r="CA467" s="16" t="str">
        <f>IFERROR(__xludf.DUMMYFUNCTION("""COMPUTED_VALUE"""),"S(5)")</f>
        <v>S(5)</v>
      </c>
      <c r="CB467" s="16"/>
      <c r="CC467" s="16"/>
      <c r="CD467" s="16">
        <f>IFERROR(__xludf.DUMMYFUNCTION("""COMPUTED_VALUE"""),5.0)</f>
        <v>5</v>
      </c>
      <c r="CE467" s="16"/>
      <c r="CF467" s="16"/>
      <c r="CG467" s="16" t="str">
        <f>IFERROR(__xludf.DUMMYFUNCTION("""COMPUTED_VALUE"""),"3-19")</f>
        <v>3-19</v>
      </c>
      <c r="CH467" s="16">
        <f>IFERROR(__xludf.DUMMYFUNCTION("""COMPUTED_VALUE"""),3.0)</f>
        <v>3</v>
      </c>
      <c r="CI467" s="16">
        <f>IFERROR(__xludf.DUMMYFUNCTION("""COMPUTED_VALUE"""),19.0)</f>
        <v>19</v>
      </c>
      <c r="CJ467" s="16">
        <f>IFERROR(__xludf.DUMMYFUNCTION("""COMPUTED_VALUE"""),0.0)</f>
        <v>0</v>
      </c>
      <c r="CK467" s="16">
        <f>IFERROR(__xludf.DUMMYFUNCTION("""COMPUTED_VALUE"""),8.0)</f>
        <v>8</v>
      </c>
      <c r="CL467" s="16" t="str">
        <f>IFERROR(__xludf.DUMMYFUNCTION("""COMPUTED_VALUE"""),"1WR-C")</f>
        <v>1WR-C</v>
      </c>
      <c r="CM467" s="16" t="str">
        <f>IFERROR(__xludf.DUMMYFUNCTION("""COMPUTED_VALUE"""),"E")</f>
        <v>E</v>
      </c>
      <c r="CN467" s="16">
        <f>IFERROR(__xludf.DUMMYFUNCTION("""COMPUTED_VALUE"""),10.0)</f>
        <v>10</v>
      </c>
      <c r="CO467" s="16" t="str">
        <f>IFERROR(__xludf.DUMMYFUNCTION("""COMPUTED_VALUE"""),"C")</f>
        <v>C</v>
      </c>
      <c r="CP467" s="16" t="str">
        <f>IFERROR(__xludf.DUMMYFUNCTION("""COMPUTED_VALUE"""),"5p40")</f>
        <v>5p40</v>
      </c>
      <c r="CQ467" s="16">
        <f>IFERROR(__xludf.DUMMYFUNCTION("""COMPUTED_VALUE"""),-29.0)</f>
        <v>-29</v>
      </c>
      <c r="CR467" s="16">
        <f>IFERROR(__xludf.DUMMYFUNCTION("""COMPUTED_VALUE"""),-25.0)</f>
        <v>-25</v>
      </c>
      <c r="CS467" s="16">
        <f>IFERROR(__xludf.DUMMYFUNCTION("""COMPUTED_VALUE"""),-54.0)</f>
        <v>-54</v>
      </c>
      <c r="CT467" s="16">
        <f>IFERROR(__xludf.DUMMYFUNCTION("""COMPUTED_VALUE"""),-29.0)</f>
        <v>-29</v>
      </c>
      <c r="CU467" s="16">
        <f>IFERROR(__xludf.DUMMYFUNCTION("""COMPUTED_VALUE"""),-25.0)</f>
        <v>-25</v>
      </c>
      <c r="CV467" s="179">
        <f>IFERROR(__xludf.DUMMYFUNCTION("""COMPUTED_VALUE"""),-26.666666666666668)</f>
        <v>-26.66666667</v>
      </c>
      <c r="CW467" s="179">
        <f>IFERROR(__xludf.DUMMYFUNCTION("""COMPUTED_VALUE"""),0.0)</f>
        <v>0</v>
      </c>
      <c r="CX467" s="179">
        <f>IFERROR(__xludf.DUMMYFUNCTION("""COMPUTED_VALUE"""),1.0)</f>
        <v>1</v>
      </c>
      <c r="CY467" s="16" t="str">
        <f>IFERROR(__xludf.DUMMYFUNCTION("""COMPUTED_VALUE"""),"SP")</f>
        <v>SP</v>
      </c>
      <c r="CZ467" s="16"/>
      <c r="DA467" s="16"/>
      <c r="DB467" s="16"/>
      <c r="DC467" s="16"/>
      <c r="DD467" s="16"/>
      <c r="DE467" s="16"/>
      <c r="DF467" s="16"/>
      <c r="DG467" s="16"/>
      <c r="DH467" s="16"/>
      <c r="DI467" s="16"/>
      <c r="DJ467" s="16"/>
      <c r="DK467" s="16"/>
    </row>
    <row r="468">
      <c r="A468" s="16">
        <f>IFERROR(__xludf.DUMMYFUNCTION("""COMPUTED_VALUE"""),13446.0)</f>
        <v>13446</v>
      </c>
      <c r="B468" s="16" t="str">
        <f>IFERROR(__xludf.DUMMYFUNCTION("""COMPUTED_VALUE"""),"Tyler Alexander")</f>
        <v>Tyler Alexander</v>
      </c>
      <c r="C468" s="153">
        <f>IFERROR(__xludf.DUMMYFUNCTION("""COMPUTED_VALUE"""),0.12)</f>
        <v>0.12</v>
      </c>
      <c r="D468" s="16"/>
      <c r="E468" s="16" t="str">
        <f>IFERROR(__xludf.DUMMYFUNCTION("""COMPUTED_VALUE"""),"L")</f>
        <v>L</v>
      </c>
      <c r="F468" s="16">
        <f>IFERROR(__xludf.DUMMYFUNCTION("""COMPUTED_VALUE"""),108.0)</f>
        <v>108</v>
      </c>
      <c r="G468" s="16">
        <f>IFERROR(__xludf.DUMMYFUNCTION("""COMPUTED_VALUE"""),14.0)</f>
        <v>14</v>
      </c>
      <c r="H468" s="16">
        <f>IFERROR(__xludf.DUMMYFUNCTION("""COMPUTED_VALUE"""),20.0)</f>
        <v>20</v>
      </c>
      <c r="I468" s="16">
        <f>IFERROR(__xludf.DUMMYFUNCTION("""COMPUTED_VALUE"""),-2.0)</f>
        <v>-2</v>
      </c>
      <c r="J468" s="16">
        <f>IFERROR(__xludf.DUMMYFUNCTION("""COMPUTED_VALUE"""),-1.0)</f>
        <v>-1</v>
      </c>
      <c r="K468" s="16">
        <f>IFERROR(__xludf.DUMMYFUNCTION("""COMPUTED_VALUE"""),-6.0)</f>
        <v>-6</v>
      </c>
      <c r="L468" s="16">
        <f>IFERROR(__xludf.DUMMYFUNCTION("""COMPUTED_VALUE"""),-3.0)</f>
        <v>-3</v>
      </c>
      <c r="M468" s="16">
        <f>IFERROR(__xludf.DUMMYFUNCTION("""COMPUTED_VALUE"""),0.0)</f>
        <v>0</v>
      </c>
      <c r="N468" s="16">
        <f>IFERROR(__xludf.DUMMYFUNCTION("""COMPUTED_VALUE"""),4.0)</f>
        <v>4</v>
      </c>
      <c r="O468" s="16">
        <f>IFERROR(__xludf.DUMMYFUNCTION("""COMPUTED_VALUE"""),3.0)</f>
        <v>3</v>
      </c>
      <c r="P468" s="16">
        <f>IFERROR(__xludf.DUMMYFUNCTION("""COMPUTED_VALUE"""),2.0)</f>
        <v>2</v>
      </c>
      <c r="Q468" s="16">
        <f>IFERROR(__xludf.DUMMYFUNCTION("""COMPUTED_VALUE"""),3.0)</f>
        <v>3</v>
      </c>
      <c r="R468" s="16">
        <f>IFERROR(__xludf.DUMMYFUNCTION("""COMPUTED_VALUE"""),2.0)</f>
        <v>2</v>
      </c>
      <c r="S468" s="16">
        <f>IFERROR(__xludf.DUMMYFUNCTION("""COMPUTED_VALUE"""),23.3)</f>
        <v>23.3</v>
      </c>
      <c r="T468" s="16">
        <f>IFERROR(__xludf.DUMMYFUNCTION("""COMPUTED_VALUE"""),18.8)</f>
        <v>18.8</v>
      </c>
      <c r="U468" s="16">
        <f>IFERROR(__xludf.DUMMYFUNCTION("""COMPUTED_VALUE"""),-1.0)</f>
        <v>-1</v>
      </c>
      <c r="V468" s="16">
        <f>IFERROR(__xludf.DUMMYFUNCTION("""COMPUTED_VALUE"""),-1.0)</f>
        <v>-1</v>
      </c>
      <c r="W468" s="16">
        <f>IFERROR(__xludf.DUMMYFUNCTION("""COMPUTED_VALUE"""),-2.0)</f>
        <v>-2</v>
      </c>
      <c r="X468" s="16">
        <f>IFERROR(__xludf.DUMMYFUNCTION("""COMPUTED_VALUE"""),-2.0)</f>
        <v>-2</v>
      </c>
      <c r="Y468" s="16">
        <f>IFERROR(__xludf.DUMMYFUNCTION("""COMPUTED_VALUE"""),23.3)</f>
        <v>23.3</v>
      </c>
      <c r="Z468" s="16">
        <f>IFERROR(__xludf.DUMMYFUNCTION("""COMPUTED_VALUE"""),22.8)</f>
        <v>22.8</v>
      </c>
      <c r="AA468" s="16">
        <f>IFERROR(__xludf.DUMMYFUNCTION("""COMPUTED_VALUE"""),0.0)</f>
        <v>0</v>
      </c>
      <c r="AB468" s="16">
        <f>IFERROR(__xludf.DUMMYFUNCTION("""COMPUTED_VALUE"""),0.0)</f>
        <v>0</v>
      </c>
      <c r="AC468" s="16">
        <f>IFERROR(__xludf.DUMMYFUNCTION("""COMPUTED_VALUE"""),0.0)</f>
        <v>0</v>
      </c>
      <c r="AD468" s="16">
        <f>IFERROR(__xludf.DUMMYFUNCTION("""COMPUTED_VALUE"""),0.0)</f>
        <v>0</v>
      </c>
      <c r="AE468" s="16">
        <f>IFERROR(__xludf.DUMMYFUNCTION("""COMPUTED_VALUE"""),43.3)</f>
        <v>43.3</v>
      </c>
      <c r="AF468" s="16">
        <f>IFERROR(__xludf.DUMMYFUNCTION("""COMPUTED_VALUE"""),37.4)</f>
        <v>37.4</v>
      </c>
      <c r="AG468" s="16">
        <f>IFERROR(__xludf.DUMMYFUNCTION("""COMPUTED_VALUE"""),-2.0)</f>
        <v>-2</v>
      </c>
      <c r="AH468" s="16">
        <f>IFERROR(__xludf.DUMMYFUNCTION("""COMPUTED_VALUE"""),-1.0)</f>
        <v>-1</v>
      </c>
      <c r="AI468" s="16">
        <f>IFERROR(__xludf.DUMMYFUNCTION("""COMPUTED_VALUE"""),-4.0)</f>
        <v>-4</v>
      </c>
      <c r="AJ468" s="16">
        <f>IFERROR(__xludf.DUMMYFUNCTION("""COMPUTED_VALUE"""),-2.0)</f>
        <v>-2</v>
      </c>
      <c r="AK468" s="16">
        <f>IFERROR(__xludf.DUMMYFUNCTION("""COMPUTED_VALUE"""),18.3)</f>
        <v>18.3</v>
      </c>
      <c r="AL468" s="16">
        <f>IFERROR(__xludf.DUMMYFUNCTION("""COMPUTED_VALUE"""),14.5)</f>
        <v>14.5</v>
      </c>
      <c r="AM468" s="16">
        <f>IFERROR(__xludf.DUMMYFUNCTION("""COMPUTED_VALUE"""),-1.0)</f>
        <v>-1</v>
      </c>
      <c r="AN468" s="16">
        <f>IFERROR(__xludf.DUMMYFUNCTION("""COMPUTED_VALUE"""),0.0)</f>
        <v>0</v>
      </c>
      <c r="AO468" s="16">
        <f>IFERROR(__xludf.DUMMYFUNCTION("""COMPUTED_VALUE"""),-1.0)</f>
        <v>-1</v>
      </c>
      <c r="AP468" s="16">
        <f>IFERROR(__xludf.DUMMYFUNCTION("""COMPUTED_VALUE"""),0.0)</f>
        <v>0</v>
      </c>
      <c r="AQ468" s="16">
        <f>IFERROR(__xludf.DUMMYFUNCTION("""COMPUTED_VALUE"""),23.299999999999997)</f>
        <v>23.3</v>
      </c>
      <c r="AR468" s="16">
        <f>IFERROR(__xludf.DUMMYFUNCTION("""COMPUTED_VALUE"""),20.2)</f>
        <v>20.2</v>
      </c>
      <c r="AS468" s="16">
        <f>IFERROR(__xludf.DUMMYFUNCTION("""COMPUTED_VALUE"""),0.0)</f>
        <v>0</v>
      </c>
      <c r="AT468" s="16">
        <f>IFERROR(__xludf.DUMMYFUNCTION("""COMPUTED_VALUE"""),0.0)</f>
        <v>0</v>
      </c>
      <c r="AU468" s="16">
        <f>IFERROR(__xludf.DUMMYFUNCTION("""COMPUTED_VALUE"""),0.0)</f>
        <v>0</v>
      </c>
      <c r="AV468" s="16">
        <f>IFERROR(__xludf.DUMMYFUNCTION("""COMPUTED_VALUE"""),0.0)</f>
        <v>0</v>
      </c>
      <c r="AW468" s="16">
        <f>IFERROR(__xludf.DUMMYFUNCTION("""COMPUTED_VALUE"""),5.0)</f>
        <v>5</v>
      </c>
      <c r="AX468" s="16">
        <f>IFERROR(__xludf.DUMMYFUNCTION("""COMPUTED_VALUE"""),4.3)</f>
        <v>4.3</v>
      </c>
      <c r="AY468" s="16">
        <f>IFERROR(__xludf.DUMMYFUNCTION("""COMPUTED_VALUE"""),-3.0)</f>
        <v>-3</v>
      </c>
      <c r="AZ468" s="16">
        <f>IFERROR(__xludf.DUMMYFUNCTION("""COMPUTED_VALUE"""),-2.0)</f>
        <v>-2</v>
      </c>
      <c r="BA468" s="16">
        <f>IFERROR(__xludf.DUMMYFUNCTION("""COMPUTED_VALUE"""),-15.0)</f>
        <v>-15</v>
      </c>
      <c r="BB468" s="16">
        <f>IFERROR(__xludf.DUMMYFUNCTION("""COMPUTED_VALUE"""),-10.0)</f>
        <v>-10</v>
      </c>
      <c r="BC468" s="16">
        <f>IFERROR(__xludf.DUMMYFUNCTION("""COMPUTED_VALUE"""),8.0)</f>
        <v>8</v>
      </c>
      <c r="BD468" s="16">
        <f>IFERROR(__xludf.DUMMYFUNCTION("""COMPUTED_VALUE"""),8.0)</f>
        <v>8</v>
      </c>
      <c r="BE468" s="16">
        <f>IFERROR(__xludf.DUMMYFUNCTION("""COMPUTED_VALUE"""),8.0)</f>
        <v>8</v>
      </c>
      <c r="BF468" s="16">
        <f>IFERROR(__xludf.DUMMYFUNCTION("""COMPUTED_VALUE"""),8.0)</f>
        <v>8</v>
      </c>
      <c r="BG468" s="16">
        <f>IFERROR(__xludf.DUMMYFUNCTION("""COMPUTED_VALUE"""),-3.0)</f>
        <v>-3</v>
      </c>
      <c r="BH468" s="16">
        <f>IFERROR(__xludf.DUMMYFUNCTION("""COMPUTED_VALUE"""),-3.0)</f>
        <v>-3</v>
      </c>
      <c r="BI468" s="16">
        <f>IFERROR(__xludf.DUMMYFUNCTION("""COMPUTED_VALUE"""),-6.0)</f>
        <v>-6</v>
      </c>
      <c r="BJ468" s="16">
        <f>IFERROR(__xludf.DUMMYFUNCTION("""COMPUTED_VALUE"""),-6.0)</f>
        <v>-6</v>
      </c>
      <c r="BK468" s="16">
        <f>IFERROR(__xludf.DUMMYFUNCTION("""COMPUTED_VALUE"""),5.0)</f>
        <v>5</v>
      </c>
      <c r="BL468" s="16">
        <f>IFERROR(__xludf.DUMMYFUNCTION("""COMPUTED_VALUE"""),5.0)</f>
        <v>5</v>
      </c>
      <c r="BM468" s="16">
        <f>IFERROR(__xludf.DUMMYFUNCTION("""COMPUTED_VALUE"""),0.0)</f>
        <v>0</v>
      </c>
      <c r="BN468" s="16">
        <f>IFERROR(__xludf.DUMMYFUNCTION("""COMPUTED_VALUE"""),0.0)</f>
        <v>0</v>
      </c>
      <c r="BO468" s="16">
        <f>IFERROR(__xludf.DUMMYFUNCTION("""COMPUTED_VALUE"""),0.0)</f>
        <v>0</v>
      </c>
      <c r="BP468" s="16">
        <f>IFERROR(__xludf.DUMMYFUNCTION("""COMPUTED_VALUE"""),0.0)</f>
        <v>0</v>
      </c>
      <c r="BQ468" s="16">
        <f>IFERROR(__xludf.DUMMYFUNCTION("""COMPUTED_VALUE"""),2.0)</f>
        <v>2</v>
      </c>
      <c r="BR468" s="16">
        <f>IFERROR(__xludf.DUMMYFUNCTION("""COMPUTED_VALUE"""),2.0)</f>
        <v>2</v>
      </c>
      <c r="BS468" s="16">
        <f>IFERROR(__xludf.DUMMYFUNCTION("""COMPUTED_VALUE"""),-2.0)</f>
        <v>-2</v>
      </c>
      <c r="BT468" s="16">
        <f>IFERROR(__xludf.DUMMYFUNCTION("""COMPUTED_VALUE"""),-2.0)</f>
        <v>-2</v>
      </c>
      <c r="BU468" s="16">
        <f>IFERROR(__xludf.DUMMYFUNCTION("""COMPUTED_VALUE"""),-4.0)</f>
        <v>-4</v>
      </c>
      <c r="BV468" s="16">
        <f>IFERROR(__xludf.DUMMYFUNCTION("""COMPUTED_VALUE"""),-4.0)</f>
        <v>-4</v>
      </c>
      <c r="BW468" s="16">
        <f>IFERROR(__xludf.DUMMYFUNCTION("""COMPUTED_VALUE"""),0.0)</f>
        <v>0</v>
      </c>
      <c r="BX468" s="16">
        <f>IFERROR(__xludf.DUMMYFUNCTION("""COMPUTED_VALUE"""),0.0)</f>
        <v>0</v>
      </c>
      <c r="BY468" s="16" t="str">
        <f>IFERROR(__xludf.DUMMYFUNCTION("""COMPUTED_VALUE"""),"S(4) R(4)")</f>
        <v>S(4) R(4)</v>
      </c>
      <c r="BZ468" s="16" t="str">
        <f>IFERROR(__xludf.DUMMYFUNCTION("""COMPUTED_VALUE"""),"S(4) R(4)")</f>
        <v>S(4) R(4)</v>
      </c>
      <c r="CA468" s="16" t="str">
        <f>IFERROR(__xludf.DUMMYFUNCTION("""COMPUTED_VALUE"""),"S(4)")</f>
        <v>S(4)</v>
      </c>
      <c r="CB468" s="16" t="str">
        <f>IFERROR(__xludf.DUMMYFUNCTION("""COMPUTED_VALUE"""),"R(4)")</f>
        <v>R(4)</v>
      </c>
      <c r="CC468" s="16"/>
      <c r="CD468" s="16">
        <f>IFERROR(__xludf.DUMMYFUNCTION("""COMPUTED_VALUE"""),4.0)</f>
        <v>4</v>
      </c>
      <c r="CE468" s="16">
        <f>IFERROR(__xludf.DUMMYFUNCTION("""COMPUTED_VALUE"""),4.0)</f>
        <v>4</v>
      </c>
      <c r="CF468" s="16"/>
      <c r="CG468" s="16" t="str">
        <f>IFERROR(__xludf.DUMMYFUNCTION("""COMPUTED_VALUE"""),"4-13")</f>
        <v>4-13</v>
      </c>
      <c r="CH468" s="16">
        <f>IFERROR(__xludf.DUMMYFUNCTION("""COMPUTED_VALUE"""),4.0)</f>
        <v>4</v>
      </c>
      <c r="CI468" s="16">
        <f>IFERROR(__xludf.DUMMYFUNCTION("""COMPUTED_VALUE"""),13.0)</f>
        <v>13</v>
      </c>
      <c r="CJ468" s="16">
        <f>IFERROR(__xludf.DUMMYFUNCTION("""COMPUTED_VALUE"""),0.0)</f>
        <v>0</v>
      </c>
      <c r="CK468" s="16">
        <f>IFERROR(__xludf.DUMMYFUNCTION("""COMPUTED_VALUE"""),0.0)</f>
        <v>0</v>
      </c>
      <c r="CL468" s="16" t="str">
        <f>IFERROR(__xludf.DUMMYFUNCTION("""COMPUTED_VALUE"""),"1WR-C")</f>
        <v>1WR-C</v>
      </c>
      <c r="CM468" s="16" t="str">
        <f>IFERROR(__xludf.DUMMYFUNCTION("""COMPUTED_VALUE"""),"E")</f>
        <v>E</v>
      </c>
      <c r="CN468" s="16">
        <f>IFERROR(__xludf.DUMMYFUNCTION("""COMPUTED_VALUE"""),10.0)</f>
        <v>10</v>
      </c>
      <c r="CO468" s="16" t="str">
        <f>IFERROR(__xludf.DUMMYFUNCTION("""COMPUTED_VALUE"""),"C")</f>
        <v>C</v>
      </c>
      <c r="CP468" s="16" t="str">
        <f>IFERROR(__xludf.DUMMYFUNCTION("""COMPUTED_VALUE"""),"1p60")</f>
        <v>1p60</v>
      </c>
      <c r="CQ468" s="16">
        <f>IFERROR(__xludf.DUMMYFUNCTION("""COMPUTED_VALUE"""),-35.0)</f>
        <v>-35</v>
      </c>
      <c r="CR468" s="16">
        <f>IFERROR(__xludf.DUMMYFUNCTION("""COMPUTED_VALUE"""),-25.0)</f>
        <v>-25</v>
      </c>
      <c r="CS468" s="16">
        <f>IFERROR(__xludf.DUMMYFUNCTION("""COMPUTED_VALUE"""),-60.0)</f>
        <v>-60</v>
      </c>
      <c r="CT468" s="16">
        <f>IFERROR(__xludf.DUMMYFUNCTION("""COMPUTED_VALUE"""),-35.0)</f>
        <v>-35</v>
      </c>
      <c r="CU468" s="16">
        <f>IFERROR(__xludf.DUMMYFUNCTION("""COMPUTED_VALUE"""),-25.0)</f>
        <v>-25</v>
      </c>
      <c r="CV468" s="179">
        <f>IFERROR(__xludf.DUMMYFUNCTION("""COMPUTED_VALUE"""),-26.666666666666668)</f>
        <v>-26.66666667</v>
      </c>
      <c r="CW468" s="179">
        <f>IFERROR(__xludf.DUMMYFUNCTION("""COMPUTED_VALUE"""),4.0)</f>
        <v>4</v>
      </c>
      <c r="CX468" s="179">
        <f>IFERROR(__xludf.DUMMYFUNCTION("""COMPUTED_VALUE"""),1.0)</f>
        <v>1</v>
      </c>
      <c r="CY468" s="16" t="str">
        <f>IFERROR(__xludf.DUMMYFUNCTION("""COMPUTED_VALUE"""),"SP")</f>
        <v>SP</v>
      </c>
      <c r="CZ468" s="16" t="str">
        <f>IFERROR(__xludf.DUMMYFUNCTION("""COMPUTED_VALUE"""),"RP")</f>
        <v>RP</v>
      </c>
      <c r="DA468" s="16"/>
      <c r="DB468" s="16"/>
      <c r="DC468" s="16"/>
      <c r="DD468" s="16"/>
      <c r="DE468" s="16"/>
      <c r="DF468" s="16"/>
      <c r="DG468" s="16"/>
      <c r="DH468" s="16"/>
      <c r="DI468" s="16"/>
      <c r="DJ468" s="16"/>
      <c r="DK468" s="16"/>
    </row>
    <row r="469">
      <c r="A469" s="16">
        <f>IFERROR(__xludf.DUMMYFUNCTION("""COMPUTED_VALUE"""),12660.0)</f>
        <v>12660</v>
      </c>
      <c r="B469" s="16" t="str">
        <f>IFERROR(__xludf.DUMMYFUNCTION("""COMPUTED_VALUE"""),"Carson Spiers")</f>
        <v>Carson Spiers</v>
      </c>
      <c r="C469" s="153">
        <f>IFERROR(__xludf.DUMMYFUNCTION("""COMPUTED_VALUE"""),0.0)</f>
        <v>0</v>
      </c>
      <c r="D469" s="16"/>
      <c r="E469" s="16" t="str">
        <f>IFERROR(__xludf.DUMMYFUNCTION("""COMPUTED_VALUE"""),"R")</f>
        <v>R</v>
      </c>
      <c r="F469" s="16">
        <f>IFERROR(__xludf.DUMMYFUNCTION("""COMPUTED_VALUE"""),91.0)</f>
        <v>91</v>
      </c>
      <c r="G469" s="16">
        <f>IFERROR(__xludf.DUMMYFUNCTION("""COMPUTED_VALUE"""),14.0)</f>
        <v>14</v>
      </c>
      <c r="H469" s="16">
        <f>IFERROR(__xludf.DUMMYFUNCTION("""COMPUTED_VALUE"""),21.0)</f>
        <v>21</v>
      </c>
      <c r="I469" s="16">
        <f>IFERROR(__xludf.DUMMYFUNCTION("""COMPUTED_VALUE"""),-2.0)</f>
        <v>-2</v>
      </c>
      <c r="J469" s="16">
        <f>IFERROR(__xludf.DUMMYFUNCTION("""COMPUTED_VALUE"""),-1.0)</f>
        <v>-1</v>
      </c>
      <c r="K469" s="16">
        <f>IFERROR(__xludf.DUMMYFUNCTION("""COMPUTED_VALUE"""),-6.0)</f>
        <v>-6</v>
      </c>
      <c r="L469" s="16">
        <f>IFERROR(__xludf.DUMMYFUNCTION("""COMPUTED_VALUE"""),-3.0)</f>
        <v>-3</v>
      </c>
      <c r="M469" s="16">
        <f>IFERROR(__xludf.DUMMYFUNCTION("""COMPUTED_VALUE"""),6.0)</f>
        <v>6</v>
      </c>
      <c r="N469" s="16">
        <f>IFERROR(__xludf.DUMMYFUNCTION("""COMPUTED_VALUE"""),5.0)</f>
        <v>5</v>
      </c>
      <c r="O469" s="16">
        <f>IFERROR(__xludf.DUMMYFUNCTION("""COMPUTED_VALUE"""),1.0)</f>
        <v>1</v>
      </c>
      <c r="P469" s="16">
        <f>IFERROR(__xludf.DUMMYFUNCTION("""COMPUTED_VALUE"""),2.0)</f>
        <v>2</v>
      </c>
      <c r="Q469" s="16">
        <f>IFERROR(__xludf.DUMMYFUNCTION("""COMPUTED_VALUE"""),1.0)</f>
        <v>1</v>
      </c>
      <c r="R469" s="16">
        <f>IFERROR(__xludf.DUMMYFUNCTION("""COMPUTED_VALUE"""),2.0)</f>
        <v>2</v>
      </c>
      <c r="S469" s="16">
        <f>IFERROR(__xludf.DUMMYFUNCTION("""COMPUTED_VALUE"""),27.5)</f>
        <v>27.5</v>
      </c>
      <c r="T469" s="16">
        <f>IFERROR(__xludf.DUMMYFUNCTION("""COMPUTED_VALUE"""),22.4)</f>
        <v>22.4</v>
      </c>
      <c r="U469" s="16">
        <f>IFERROR(__xludf.DUMMYFUNCTION("""COMPUTED_VALUE"""),-2.0)</f>
        <v>-2</v>
      </c>
      <c r="V469" s="16">
        <f>IFERROR(__xludf.DUMMYFUNCTION("""COMPUTED_VALUE"""),-1.0)</f>
        <v>-1</v>
      </c>
      <c r="W469" s="16">
        <f>IFERROR(__xludf.DUMMYFUNCTION("""COMPUTED_VALUE"""),-4.0)</f>
        <v>-4</v>
      </c>
      <c r="X469" s="16">
        <f>IFERROR(__xludf.DUMMYFUNCTION("""COMPUTED_VALUE"""),-2.0)</f>
        <v>-2</v>
      </c>
      <c r="Y469" s="16">
        <f>IFERROR(__xludf.DUMMYFUNCTION("""COMPUTED_VALUE"""),33.5)</f>
        <v>33.5</v>
      </c>
      <c r="Z469" s="16">
        <f>IFERROR(__xludf.DUMMYFUNCTION("""COMPUTED_VALUE"""),27.4)</f>
        <v>27.4</v>
      </c>
      <c r="AA469" s="16">
        <f>IFERROR(__xludf.DUMMYFUNCTION("""COMPUTED_VALUE"""),-1.0)</f>
        <v>-1</v>
      </c>
      <c r="AB469" s="16">
        <f>IFERROR(__xludf.DUMMYFUNCTION("""COMPUTED_VALUE"""),0.0)</f>
        <v>0</v>
      </c>
      <c r="AC469" s="16">
        <f>IFERROR(__xludf.DUMMYFUNCTION("""COMPUTED_VALUE"""),-5.0)</f>
        <v>-5</v>
      </c>
      <c r="AD469" s="16">
        <f>IFERROR(__xludf.DUMMYFUNCTION("""COMPUTED_VALUE"""),0.0)</f>
        <v>0</v>
      </c>
      <c r="AE469" s="16">
        <f>IFERROR(__xludf.DUMMYFUNCTION("""COMPUTED_VALUE"""),57.0)</f>
        <v>57</v>
      </c>
      <c r="AF469" s="16">
        <f>IFERROR(__xludf.DUMMYFUNCTION("""COMPUTED_VALUE"""),39.7)</f>
        <v>39.7</v>
      </c>
      <c r="AG469" s="16">
        <f>IFERROR(__xludf.DUMMYFUNCTION("""COMPUTED_VALUE"""),-2.0)</f>
        <v>-2</v>
      </c>
      <c r="AH469" s="16">
        <f>IFERROR(__xludf.DUMMYFUNCTION("""COMPUTED_VALUE"""),-1.0)</f>
        <v>-1</v>
      </c>
      <c r="AI469" s="16">
        <f>IFERROR(__xludf.DUMMYFUNCTION("""COMPUTED_VALUE"""),-4.0)</f>
        <v>-4</v>
      </c>
      <c r="AJ469" s="16">
        <f>IFERROR(__xludf.DUMMYFUNCTION("""COMPUTED_VALUE"""),-2.0)</f>
        <v>-2</v>
      </c>
      <c r="AK469" s="16">
        <f>IFERROR(__xludf.DUMMYFUNCTION("""COMPUTED_VALUE"""),23.2)</f>
        <v>23.2</v>
      </c>
      <c r="AL469" s="16">
        <f>IFERROR(__xludf.DUMMYFUNCTION("""COMPUTED_VALUE"""),18.4)</f>
        <v>18.4</v>
      </c>
      <c r="AM469" s="16">
        <f>IFERROR(__xludf.DUMMYFUNCTION("""COMPUTED_VALUE"""),-2.0)</f>
        <v>-2</v>
      </c>
      <c r="AN469" s="16">
        <f>IFERROR(__xludf.DUMMYFUNCTION("""COMPUTED_VALUE"""),-1.0)</f>
        <v>-1</v>
      </c>
      <c r="AO469" s="16">
        <f>IFERROR(__xludf.DUMMYFUNCTION("""COMPUTED_VALUE"""),-2.0)</f>
        <v>-2</v>
      </c>
      <c r="AP469" s="16">
        <f>IFERROR(__xludf.DUMMYFUNCTION("""COMPUTED_VALUE"""),-1.0)</f>
        <v>-1</v>
      </c>
      <c r="AQ469" s="16">
        <f>IFERROR(__xludf.DUMMYFUNCTION("""COMPUTED_VALUE"""),39.8)</f>
        <v>39.8</v>
      </c>
      <c r="AR469" s="16">
        <f>IFERROR(__xludf.DUMMYFUNCTION("""COMPUTED_VALUE"""),23.700000000000003)</f>
        <v>23.7</v>
      </c>
      <c r="AS469" s="16">
        <f>IFERROR(__xludf.DUMMYFUNCTION("""COMPUTED_VALUE"""),-2.0)</f>
        <v>-2</v>
      </c>
      <c r="AT469" s="16">
        <f>IFERROR(__xludf.DUMMYFUNCTION("""COMPUTED_VALUE"""),-1.0)</f>
        <v>-1</v>
      </c>
      <c r="AU469" s="16">
        <f>IFERROR(__xludf.DUMMYFUNCTION("""COMPUTED_VALUE"""),-4.0)</f>
        <v>-4</v>
      </c>
      <c r="AV469" s="16">
        <f>IFERROR(__xludf.DUMMYFUNCTION("""COMPUTED_VALUE"""),-2.0)</f>
        <v>-2</v>
      </c>
      <c r="AW469" s="16">
        <f>IFERROR(__xludf.DUMMYFUNCTION("""COMPUTED_VALUE"""),4.3)</f>
        <v>4.3</v>
      </c>
      <c r="AX469" s="16">
        <f>IFERROR(__xludf.DUMMYFUNCTION("""COMPUTED_VALUE"""),4.0)</f>
        <v>4</v>
      </c>
      <c r="AY469" s="16">
        <f>IFERROR(__xludf.DUMMYFUNCTION("""COMPUTED_VALUE"""),-2.0)</f>
        <v>-2</v>
      </c>
      <c r="AZ469" s="16">
        <f>IFERROR(__xludf.DUMMYFUNCTION("""COMPUTED_VALUE"""),-2.0)</f>
        <v>-2</v>
      </c>
      <c r="BA469" s="16">
        <f>IFERROR(__xludf.DUMMYFUNCTION("""COMPUTED_VALUE"""),-10.0)</f>
        <v>-10</v>
      </c>
      <c r="BB469" s="16">
        <f>IFERROR(__xludf.DUMMYFUNCTION("""COMPUTED_VALUE"""),-10.0)</f>
        <v>-10</v>
      </c>
      <c r="BC469" s="16">
        <f>IFERROR(__xludf.DUMMYFUNCTION("""COMPUTED_VALUE"""),4.0)</f>
        <v>4</v>
      </c>
      <c r="BD469" s="16">
        <f>IFERROR(__xludf.DUMMYFUNCTION("""COMPUTED_VALUE"""),5.0)</f>
        <v>5</v>
      </c>
      <c r="BE469" s="16">
        <f>IFERROR(__xludf.DUMMYFUNCTION("""COMPUTED_VALUE"""),4.0)</f>
        <v>4</v>
      </c>
      <c r="BF469" s="16">
        <f>IFERROR(__xludf.DUMMYFUNCTION("""COMPUTED_VALUE"""),5.0)</f>
        <v>5</v>
      </c>
      <c r="BG469" s="16">
        <f>IFERROR(__xludf.DUMMYFUNCTION("""COMPUTED_VALUE"""),-1.0)</f>
        <v>-1</v>
      </c>
      <c r="BH469" s="16">
        <f>IFERROR(__xludf.DUMMYFUNCTION("""COMPUTED_VALUE"""),-2.0)</f>
        <v>-2</v>
      </c>
      <c r="BI469" s="16">
        <f>IFERROR(__xludf.DUMMYFUNCTION("""COMPUTED_VALUE"""),-2.0)</f>
        <v>-2</v>
      </c>
      <c r="BJ469" s="16">
        <f>IFERROR(__xludf.DUMMYFUNCTION("""COMPUTED_VALUE"""),-4.0)</f>
        <v>-4</v>
      </c>
      <c r="BK469" s="16">
        <f>IFERROR(__xludf.DUMMYFUNCTION("""COMPUTED_VALUE"""),5.0)</f>
        <v>5</v>
      </c>
      <c r="BL469" s="16">
        <f>IFERROR(__xludf.DUMMYFUNCTION("""COMPUTED_VALUE"""),5.0)</f>
        <v>5</v>
      </c>
      <c r="BM469" s="16">
        <f>IFERROR(__xludf.DUMMYFUNCTION("""COMPUTED_VALUE"""),0.0)</f>
        <v>0</v>
      </c>
      <c r="BN469" s="16">
        <f>IFERROR(__xludf.DUMMYFUNCTION("""COMPUTED_VALUE"""),0.0)</f>
        <v>0</v>
      </c>
      <c r="BO469" s="16">
        <f>IFERROR(__xludf.DUMMYFUNCTION("""COMPUTED_VALUE"""),0.0)</f>
        <v>0</v>
      </c>
      <c r="BP469" s="16">
        <f>IFERROR(__xludf.DUMMYFUNCTION("""COMPUTED_VALUE"""),0.0)</f>
        <v>0</v>
      </c>
      <c r="BQ469" s="16">
        <f>IFERROR(__xludf.DUMMYFUNCTION("""COMPUTED_VALUE"""),6.0)</f>
        <v>6</v>
      </c>
      <c r="BR469" s="16">
        <f>IFERROR(__xludf.DUMMYFUNCTION("""COMPUTED_VALUE"""),4.0)</f>
        <v>4</v>
      </c>
      <c r="BS469" s="16">
        <f>IFERROR(__xludf.DUMMYFUNCTION("""COMPUTED_VALUE"""),1.0)</f>
        <v>1</v>
      </c>
      <c r="BT469" s="16">
        <f>IFERROR(__xludf.DUMMYFUNCTION("""COMPUTED_VALUE"""),-1.0)</f>
        <v>-1</v>
      </c>
      <c r="BU469" s="16">
        <f>IFERROR(__xludf.DUMMYFUNCTION("""COMPUTED_VALUE"""),2.0)</f>
        <v>2</v>
      </c>
      <c r="BV469" s="16">
        <f>IFERROR(__xludf.DUMMYFUNCTION("""COMPUTED_VALUE"""),-2.0)</f>
        <v>-2</v>
      </c>
      <c r="BW469" s="16">
        <f>IFERROR(__xludf.DUMMYFUNCTION("""COMPUTED_VALUE"""),-3.0)</f>
        <v>-3</v>
      </c>
      <c r="BX469" s="16">
        <f>IFERROR(__xludf.DUMMYFUNCTION("""COMPUTED_VALUE"""),-3.0)</f>
        <v>-3</v>
      </c>
      <c r="BY469" s="16" t="str">
        <f>IFERROR(__xludf.DUMMYFUNCTION("""COMPUTED_VALUE"""),"S(5) R(4)")</f>
        <v>S(5) R(4)</v>
      </c>
      <c r="BZ469" s="16" t="str">
        <f>IFERROR(__xludf.DUMMYFUNCTION("""COMPUTED_VALUE"""),"S(5) R(4)")</f>
        <v>S(5) R(4)</v>
      </c>
      <c r="CA469" s="16" t="str">
        <f>IFERROR(__xludf.DUMMYFUNCTION("""COMPUTED_VALUE"""),"S(5)")</f>
        <v>S(5)</v>
      </c>
      <c r="CB469" s="16" t="str">
        <f>IFERROR(__xludf.DUMMYFUNCTION("""COMPUTED_VALUE"""),"R(4)")</f>
        <v>R(4)</v>
      </c>
      <c r="CC469" s="16"/>
      <c r="CD469" s="16">
        <f>IFERROR(__xludf.DUMMYFUNCTION("""COMPUTED_VALUE"""),5.0)</f>
        <v>5</v>
      </c>
      <c r="CE469" s="16">
        <f>IFERROR(__xludf.DUMMYFUNCTION("""COMPUTED_VALUE"""),4.0)</f>
        <v>4</v>
      </c>
      <c r="CF469" s="16"/>
      <c r="CG469" s="16" t="str">
        <f>IFERROR(__xludf.DUMMYFUNCTION("""COMPUTED_VALUE"""),"2-0")</f>
        <v>2-0</v>
      </c>
      <c r="CH469" s="16">
        <f>IFERROR(__xludf.DUMMYFUNCTION("""COMPUTED_VALUE"""),2.0)</f>
        <v>2</v>
      </c>
      <c r="CI469" s="16">
        <f>IFERROR(__xludf.DUMMYFUNCTION("""COMPUTED_VALUE"""),0.0)</f>
        <v>0</v>
      </c>
      <c r="CJ469" s="16">
        <f>IFERROR(__xludf.DUMMYFUNCTION("""COMPUTED_VALUE"""),0.0)</f>
        <v>0</v>
      </c>
      <c r="CK469" s="16">
        <f>IFERROR(__xludf.DUMMYFUNCTION("""COMPUTED_VALUE"""),0.0)</f>
        <v>0</v>
      </c>
      <c r="CL469" s="16" t="str">
        <f>IFERROR(__xludf.DUMMYFUNCTION("""COMPUTED_VALUE"""),"1WR-C")</f>
        <v>1WR-C</v>
      </c>
      <c r="CM469" s="16" t="str">
        <f>IFERROR(__xludf.DUMMYFUNCTION("""COMPUTED_VALUE"""),"E")</f>
        <v>E</v>
      </c>
      <c r="CN469" s="16">
        <f>IFERROR(__xludf.DUMMYFUNCTION("""COMPUTED_VALUE"""),10.0)</f>
        <v>10</v>
      </c>
      <c r="CO469" s="16" t="str">
        <f>IFERROR(__xludf.DUMMYFUNCTION("""COMPUTED_VALUE"""),"C")</f>
        <v>C</v>
      </c>
      <c r="CP469" s="16" t="str">
        <f>IFERROR(__xludf.DUMMYFUNCTION("""COMPUTED_VALUE"""),"2p50")</f>
        <v>2p50</v>
      </c>
      <c r="CQ469" s="16">
        <f>IFERROR(__xludf.DUMMYFUNCTION("""COMPUTED_VALUE"""),-34.0)</f>
        <v>-34</v>
      </c>
      <c r="CR469" s="16">
        <f>IFERROR(__xludf.DUMMYFUNCTION("""COMPUTED_VALUE"""),-24.0)</f>
        <v>-24</v>
      </c>
      <c r="CS469" s="16">
        <f>IFERROR(__xludf.DUMMYFUNCTION("""COMPUTED_VALUE"""),-58.0)</f>
        <v>-58</v>
      </c>
      <c r="CT469" s="16">
        <f>IFERROR(__xludf.DUMMYFUNCTION("""COMPUTED_VALUE"""),-34.0)</f>
        <v>-34</v>
      </c>
      <c r="CU469" s="16">
        <f>IFERROR(__xludf.DUMMYFUNCTION("""COMPUTED_VALUE"""),-24.0)</f>
        <v>-24</v>
      </c>
      <c r="CV469" s="179">
        <f>IFERROR(__xludf.DUMMYFUNCTION("""COMPUTED_VALUE"""),-27.666666666666668)</f>
        <v>-27.66666667</v>
      </c>
      <c r="CW469" s="179">
        <f>IFERROR(__xludf.DUMMYFUNCTION("""COMPUTED_VALUE"""),3.0)</f>
        <v>3</v>
      </c>
      <c r="CX469" s="179">
        <f>IFERROR(__xludf.DUMMYFUNCTION("""COMPUTED_VALUE"""),0.0)</f>
        <v>0</v>
      </c>
      <c r="CY469" s="16" t="str">
        <f>IFERROR(__xludf.DUMMYFUNCTION("""COMPUTED_VALUE"""),"SP")</f>
        <v>SP</v>
      </c>
      <c r="CZ469" s="16" t="str">
        <f>IFERROR(__xludf.DUMMYFUNCTION("""COMPUTED_VALUE"""),"RP")</f>
        <v>RP</v>
      </c>
      <c r="DA469" s="16"/>
      <c r="DB469" s="16"/>
      <c r="DC469" s="16"/>
      <c r="DD469" s="16"/>
      <c r="DE469" s="16"/>
      <c r="DF469" s="16"/>
      <c r="DG469" s="16"/>
      <c r="DH469" s="16"/>
      <c r="DI469" s="16"/>
      <c r="DJ469" s="16"/>
      <c r="DK469" s="16"/>
    </row>
    <row r="470">
      <c r="A470" s="16">
        <f>IFERROR(__xludf.DUMMYFUNCTION("""COMPUTED_VALUE"""),13001.0)</f>
        <v>13001</v>
      </c>
      <c r="B470" s="16" t="str">
        <f>IFERROR(__xludf.DUMMYFUNCTION("""COMPUTED_VALUE"""),"Jordan Weems")</f>
        <v>Jordan Weems</v>
      </c>
      <c r="C470" s="153">
        <f>IFERROR(__xludf.DUMMYFUNCTION("""COMPUTED_VALUE"""),0.0)</f>
        <v>0</v>
      </c>
      <c r="D470" s="16"/>
      <c r="E470" s="16" t="str">
        <f>IFERROR(__xludf.DUMMYFUNCTION("""COMPUTED_VALUE"""),"R")</f>
        <v>R</v>
      </c>
      <c r="F470" s="16">
        <f>IFERROR(__xludf.DUMMYFUNCTION("""COMPUTED_VALUE"""),42.0)</f>
        <v>42</v>
      </c>
      <c r="G470" s="16">
        <f>IFERROR(__xludf.DUMMYFUNCTION("""COMPUTED_VALUE"""),6.0)</f>
        <v>6</v>
      </c>
      <c r="H470" s="16">
        <f>IFERROR(__xludf.DUMMYFUNCTION("""COMPUTED_VALUE"""),19.0)</f>
        <v>19</v>
      </c>
      <c r="I470" s="16">
        <f>IFERROR(__xludf.DUMMYFUNCTION("""COMPUTED_VALUE"""),-2.0)</f>
        <v>-2</v>
      </c>
      <c r="J470" s="16">
        <f>IFERROR(__xludf.DUMMYFUNCTION("""COMPUTED_VALUE"""),-1.0)</f>
        <v>-1</v>
      </c>
      <c r="K470" s="16">
        <f>IFERROR(__xludf.DUMMYFUNCTION("""COMPUTED_VALUE"""),-6.0)</f>
        <v>-6</v>
      </c>
      <c r="L470" s="16">
        <f>IFERROR(__xludf.DUMMYFUNCTION("""COMPUTED_VALUE"""),-3.0)</f>
        <v>-3</v>
      </c>
      <c r="M470" s="16">
        <f>IFERROR(__xludf.DUMMYFUNCTION("""COMPUTED_VALUE"""),15.0)</f>
        <v>15</v>
      </c>
      <c r="N470" s="16">
        <f>IFERROR(__xludf.DUMMYFUNCTION("""COMPUTED_VALUE"""),20.0)</f>
        <v>20</v>
      </c>
      <c r="O470" s="16">
        <f>IFERROR(__xludf.DUMMYFUNCTION("""COMPUTED_VALUE"""),-2.0)</f>
        <v>-2</v>
      </c>
      <c r="P470" s="16">
        <f>IFERROR(__xludf.DUMMYFUNCTION("""COMPUTED_VALUE"""),-3.0)</f>
        <v>-3</v>
      </c>
      <c r="Q470" s="16">
        <f>IFERROR(__xludf.DUMMYFUNCTION("""COMPUTED_VALUE"""),-2.0)</f>
        <v>-2</v>
      </c>
      <c r="R470" s="16">
        <f>IFERROR(__xludf.DUMMYFUNCTION("""COMPUTED_VALUE"""),-3.0)</f>
        <v>-3</v>
      </c>
      <c r="S470" s="16">
        <f>IFERROR(__xludf.DUMMYFUNCTION("""COMPUTED_VALUE"""),36.2)</f>
        <v>36.2</v>
      </c>
      <c r="T470" s="16">
        <f>IFERROR(__xludf.DUMMYFUNCTION("""COMPUTED_VALUE"""),11.8)</f>
        <v>11.8</v>
      </c>
      <c r="U470" s="16">
        <f>IFERROR(__xludf.DUMMYFUNCTION("""COMPUTED_VALUE"""),-3.0)</f>
        <v>-3</v>
      </c>
      <c r="V470" s="16">
        <f>IFERROR(__xludf.DUMMYFUNCTION("""COMPUTED_VALUE"""),1.0)</f>
        <v>1</v>
      </c>
      <c r="W470" s="16">
        <f>IFERROR(__xludf.DUMMYFUNCTION("""COMPUTED_VALUE"""),-6.0)</f>
        <v>-6</v>
      </c>
      <c r="X470" s="16">
        <f>IFERROR(__xludf.DUMMYFUNCTION("""COMPUTED_VALUE"""),2.0)</f>
        <v>2</v>
      </c>
      <c r="Y470" s="16">
        <f>IFERROR(__xludf.DUMMYFUNCTION("""COMPUTED_VALUE"""),51.2)</f>
        <v>51.2</v>
      </c>
      <c r="Z470" s="16">
        <f>IFERROR(__xludf.DUMMYFUNCTION("""COMPUTED_VALUE"""),31.8)</f>
        <v>31.8</v>
      </c>
      <c r="AA470" s="16">
        <f>IFERROR(__xludf.DUMMYFUNCTION("""COMPUTED_VALUE"""),-3.0)</f>
        <v>-3</v>
      </c>
      <c r="AB470" s="16">
        <f>IFERROR(__xludf.DUMMYFUNCTION("""COMPUTED_VALUE"""),-1.0)</f>
        <v>-1</v>
      </c>
      <c r="AC470" s="16">
        <f>IFERROR(__xludf.DUMMYFUNCTION("""COMPUTED_VALUE"""),-15.0)</f>
        <v>-15</v>
      </c>
      <c r="AD470" s="16">
        <f>IFERROR(__xludf.DUMMYFUNCTION("""COMPUTED_VALUE"""),-5.0)</f>
        <v>-5</v>
      </c>
      <c r="AE470" s="16">
        <f>IFERROR(__xludf.DUMMYFUNCTION("""COMPUTED_VALUE"""),54.8)</f>
        <v>54.8</v>
      </c>
      <c r="AF470" s="16">
        <f>IFERROR(__xludf.DUMMYFUNCTION("""COMPUTED_VALUE"""),26.1)</f>
        <v>26.1</v>
      </c>
      <c r="AG470" s="16">
        <f>IFERROR(__xludf.DUMMYFUNCTION("""COMPUTED_VALUE"""),-2.0)</f>
        <v>-2</v>
      </c>
      <c r="AH470" s="16">
        <f>IFERROR(__xludf.DUMMYFUNCTION("""COMPUTED_VALUE"""),0.0)</f>
        <v>0</v>
      </c>
      <c r="AI470" s="16">
        <f>IFERROR(__xludf.DUMMYFUNCTION("""COMPUTED_VALUE"""),-4.0)</f>
        <v>-4</v>
      </c>
      <c r="AJ470" s="16">
        <f>IFERROR(__xludf.DUMMYFUNCTION("""COMPUTED_VALUE"""),0.0)</f>
        <v>0</v>
      </c>
      <c r="AK470" s="16">
        <f>IFERROR(__xludf.DUMMYFUNCTION("""COMPUTED_VALUE"""),34.6)</f>
        <v>34.6</v>
      </c>
      <c r="AL470" s="16">
        <f>IFERROR(__xludf.DUMMYFUNCTION("""COMPUTED_VALUE"""),8.4)</f>
        <v>8.4</v>
      </c>
      <c r="AM470" s="16">
        <f>IFERROR(__xludf.DUMMYFUNCTION("""COMPUTED_VALUE"""),-3.0)</f>
        <v>-3</v>
      </c>
      <c r="AN470" s="16">
        <f>IFERROR(__xludf.DUMMYFUNCTION("""COMPUTED_VALUE"""),1.0)</f>
        <v>1</v>
      </c>
      <c r="AO470" s="16">
        <f>IFERROR(__xludf.DUMMYFUNCTION("""COMPUTED_VALUE"""),-3.0)</f>
        <v>-3</v>
      </c>
      <c r="AP470" s="16">
        <f>IFERROR(__xludf.DUMMYFUNCTION("""COMPUTED_VALUE"""),1.0)</f>
        <v>1</v>
      </c>
      <c r="AQ470" s="16">
        <f>IFERROR(__xludf.DUMMYFUNCTION("""COMPUTED_VALUE"""),48.4)</f>
        <v>48.4</v>
      </c>
      <c r="AR470" s="16">
        <f>IFERROR(__xludf.DUMMYFUNCTION("""COMPUTED_VALUE"""),12.500000000000002)</f>
        <v>12.5</v>
      </c>
      <c r="AS470" s="16">
        <f>IFERROR(__xludf.DUMMYFUNCTION("""COMPUTED_VALUE"""),-3.0)</f>
        <v>-3</v>
      </c>
      <c r="AT470" s="16">
        <f>IFERROR(__xludf.DUMMYFUNCTION("""COMPUTED_VALUE"""),1.0)</f>
        <v>1</v>
      </c>
      <c r="AU470" s="16">
        <f>IFERROR(__xludf.DUMMYFUNCTION("""COMPUTED_VALUE"""),-6.0)</f>
        <v>-6</v>
      </c>
      <c r="AV470" s="16">
        <f>IFERROR(__xludf.DUMMYFUNCTION("""COMPUTED_VALUE"""),2.0)</f>
        <v>2</v>
      </c>
      <c r="AW470" s="16">
        <f>IFERROR(__xludf.DUMMYFUNCTION("""COMPUTED_VALUE"""),1.6)</f>
        <v>1.6</v>
      </c>
      <c r="AX470" s="16">
        <f>IFERROR(__xludf.DUMMYFUNCTION("""COMPUTED_VALUE"""),3.4)</f>
        <v>3.4</v>
      </c>
      <c r="AY470" s="16">
        <f>IFERROR(__xludf.DUMMYFUNCTION("""COMPUTED_VALUE"""),1.0)</f>
        <v>1</v>
      </c>
      <c r="AZ470" s="16">
        <f>IFERROR(__xludf.DUMMYFUNCTION("""COMPUTED_VALUE"""),-1.0)</f>
        <v>-1</v>
      </c>
      <c r="BA470" s="16">
        <f>IFERROR(__xludf.DUMMYFUNCTION("""COMPUTED_VALUE"""),5.0)</f>
        <v>5</v>
      </c>
      <c r="BB470" s="16">
        <f>IFERROR(__xludf.DUMMYFUNCTION("""COMPUTED_VALUE"""),-5.0)</f>
        <v>-5</v>
      </c>
      <c r="BC470" s="16">
        <f>IFERROR(__xludf.DUMMYFUNCTION("""COMPUTED_VALUE"""),1.0)</f>
        <v>1</v>
      </c>
      <c r="BD470" s="16">
        <f>IFERROR(__xludf.DUMMYFUNCTION("""COMPUTED_VALUE"""),5.0)</f>
        <v>5</v>
      </c>
      <c r="BE470" s="16">
        <f>IFERROR(__xludf.DUMMYFUNCTION("""COMPUTED_VALUE"""),1.0)</f>
        <v>1</v>
      </c>
      <c r="BF470" s="16">
        <f>IFERROR(__xludf.DUMMYFUNCTION("""COMPUTED_VALUE"""),5.0)</f>
        <v>5</v>
      </c>
      <c r="BG470" s="16">
        <f>IFERROR(__xludf.DUMMYFUNCTION("""COMPUTED_VALUE"""),2.0)</f>
        <v>2</v>
      </c>
      <c r="BH470" s="16">
        <f>IFERROR(__xludf.DUMMYFUNCTION("""COMPUTED_VALUE"""),-2.0)</f>
        <v>-2</v>
      </c>
      <c r="BI470" s="16">
        <f>IFERROR(__xludf.DUMMYFUNCTION("""COMPUTED_VALUE"""),4.0)</f>
        <v>4</v>
      </c>
      <c r="BJ470" s="16">
        <f>IFERROR(__xludf.DUMMYFUNCTION("""COMPUTED_VALUE"""),-4.0)</f>
        <v>-4</v>
      </c>
      <c r="BK470" s="16">
        <f>IFERROR(__xludf.DUMMYFUNCTION("""COMPUTED_VALUE"""),5.0)</f>
        <v>5</v>
      </c>
      <c r="BL470" s="16">
        <f>IFERROR(__xludf.DUMMYFUNCTION("""COMPUTED_VALUE"""),5.0)</f>
        <v>5</v>
      </c>
      <c r="BM470" s="16">
        <f>IFERROR(__xludf.DUMMYFUNCTION("""COMPUTED_VALUE"""),0.0)</f>
        <v>0</v>
      </c>
      <c r="BN470" s="16">
        <f>IFERROR(__xludf.DUMMYFUNCTION("""COMPUTED_VALUE"""),0.0)</f>
        <v>0</v>
      </c>
      <c r="BO470" s="16">
        <f>IFERROR(__xludf.DUMMYFUNCTION("""COMPUTED_VALUE"""),0.0)</f>
        <v>0</v>
      </c>
      <c r="BP470" s="16">
        <f>IFERROR(__xludf.DUMMYFUNCTION("""COMPUTED_VALUE"""),0.0)</f>
        <v>0</v>
      </c>
      <c r="BQ470" s="16">
        <f>IFERROR(__xludf.DUMMYFUNCTION("""COMPUTED_VALUE"""),4.0)</f>
        <v>4</v>
      </c>
      <c r="BR470" s="16">
        <f>IFERROR(__xludf.DUMMYFUNCTION("""COMPUTED_VALUE"""),4.0)</f>
        <v>4</v>
      </c>
      <c r="BS470" s="16">
        <f>IFERROR(__xludf.DUMMYFUNCTION("""COMPUTED_VALUE"""),-1.0)</f>
        <v>-1</v>
      </c>
      <c r="BT470" s="16">
        <f>IFERROR(__xludf.DUMMYFUNCTION("""COMPUTED_VALUE"""),-1.0)</f>
        <v>-1</v>
      </c>
      <c r="BU470" s="16">
        <f>IFERROR(__xludf.DUMMYFUNCTION("""COMPUTED_VALUE"""),-2.0)</f>
        <v>-2</v>
      </c>
      <c r="BV470" s="16">
        <f>IFERROR(__xludf.DUMMYFUNCTION("""COMPUTED_VALUE"""),-2.0)</f>
        <v>-2</v>
      </c>
      <c r="BW470" s="16">
        <f>IFERROR(__xludf.DUMMYFUNCTION("""COMPUTED_VALUE"""),3.0)</f>
        <v>3</v>
      </c>
      <c r="BX470" s="16">
        <f>IFERROR(__xludf.DUMMYFUNCTION("""COMPUTED_VALUE"""),3.0)</f>
        <v>3</v>
      </c>
      <c r="BY470" s="16" t="str">
        <f>IFERROR(__xludf.DUMMYFUNCTION("""COMPUTED_VALUE"""),"R(1)")</f>
        <v>R(1)</v>
      </c>
      <c r="BZ470" s="16" t="str">
        <f>IFERROR(__xludf.DUMMYFUNCTION("""COMPUTED_VALUE"""),"R(1)")</f>
        <v>R(1)</v>
      </c>
      <c r="CA470" s="16" t="str">
        <f>IFERROR(__xludf.DUMMYFUNCTION("""COMPUTED_VALUE"""),"R(1)")</f>
        <v>R(1)</v>
      </c>
      <c r="CB470" s="16"/>
      <c r="CC470" s="16"/>
      <c r="CD470" s="16"/>
      <c r="CE470" s="16">
        <f>IFERROR(__xludf.DUMMYFUNCTION("""COMPUTED_VALUE"""),1.0)</f>
        <v>1</v>
      </c>
      <c r="CF470" s="16"/>
      <c r="CG470" s="16" t="str">
        <f>IFERROR(__xludf.DUMMYFUNCTION("""COMPUTED_VALUE"""),"2-34")</f>
        <v>2-34</v>
      </c>
      <c r="CH470" s="16">
        <f>IFERROR(__xludf.DUMMYFUNCTION("""COMPUTED_VALUE"""),2.0)</f>
        <v>2</v>
      </c>
      <c r="CI470" s="16">
        <f>IFERROR(__xludf.DUMMYFUNCTION("""COMPUTED_VALUE"""),34.0)</f>
        <v>34</v>
      </c>
      <c r="CJ470" s="16">
        <f>IFERROR(__xludf.DUMMYFUNCTION("""COMPUTED_VALUE"""),0.0)</f>
        <v>0</v>
      </c>
      <c r="CK470" s="16">
        <f>IFERROR(__xludf.DUMMYFUNCTION("""COMPUTED_VALUE"""),4.0)</f>
        <v>4</v>
      </c>
      <c r="CL470" s="16" t="str">
        <f>IFERROR(__xludf.DUMMYFUNCTION("""COMPUTED_VALUE"""),"1WL-C")</f>
        <v>1WL-C</v>
      </c>
      <c r="CM470" s="16" t="str">
        <f>IFERROR(__xludf.DUMMYFUNCTION("""COMPUTED_VALUE"""),"E")</f>
        <v>E</v>
      </c>
      <c r="CN470" s="16">
        <f>IFERROR(__xludf.DUMMYFUNCTION("""COMPUTED_VALUE"""),10.0)</f>
        <v>10</v>
      </c>
      <c r="CO470" s="16" t="str">
        <f>IFERROR(__xludf.DUMMYFUNCTION("""COMPUTED_VALUE"""),"C")</f>
        <v>C</v>
      </c>
      <c r="CP470" s="16" t="str">
        <f>IFERROR(__xludf.DUMMYFUNCTION("""COMPUTED_VALUE"""),"5p40")</f>
        <v>5p40</v>
      </c>
      <c r="CQ470" s="16">
        <f>IFERROR(__xludf.DUMMYFUNCTION("""COMPUTED_VALUE"""),-35.0)</f>
        <v>-35</v>
      </c>
      <c r="CR470" s="16">
        <f>IFERROR(__xludf.DUMMYFUNCTION("""COMPUTED_VALUE"""),-17.0)</f>
        <v>-17</v>
      </c>
      <c r="CS470" s="16">
        <f>IFERROR(__xludf.DUMMYFUNCTION("""COMPUTED_VALUE"""),-52.0)</f>
        <v>-52</v>
      </c>
      <c r="CT470" s="16">
        <f>IFERROR(__xludf.DUMMYFUNCTION("""COMPUTED_VALUE"""),-35.0)</f>
        <v>-35</v>
      </c>
      <c r="CU470" s="16">
        <f>IFERROR(__xludf.DUMMYFUNCTION("""COMPUTED_VALUE"""),-17.0)</f>
        <v>-17</v>
      </c>
      <c r="CV470" s="179">
        <f>IFERROR(__xludf.DUMMYFUNCTION("""COMPUTED_VALUE"""),-28.0)</f>
        <v>-28</v>
      </c>
      <c r="CW470" s="179">
        <f>IFERROR(__xludf.DUMMYFUNCTION("""COMPUTED_VALUE"""),0.0)</f>
        <v>0</v>
      </c>
      <c r="CX470" s="179">
        <f>IFERROR(__xludf.DUMMYFUNCTION("""COMPUTED_VALUE"""),1.0)</f>
        <v>1</v>
      </c>
      <c r="CY470" s="16" t="str">
        <f>IFERROR(__xludf.DUMMYFUNCTION("""COMPUTED_VALUE"""),"RP")</f>
        <v>RP</v>
      </c>
      <c r="CZ470" s="16"/>
      <c r="DA470" s="16"/>
      <c r="DB470" s="16"/>
      <c r="DC470" s="16"/>
      <c r="DD470" s="16"/>
      <c r="DE470" s="16"/>
      <c r="DF470" s="16"/>
      <c r="DG470" s="16"/>
      <c r="DH470" s="16"/>
      <c r="DI470" s="16"/>
      <c r="DJ470" s="16"/>
      <c r="DK470" s="16"/>
    </row>
    <row r="471">
      <c r="A471" s="16">
        <f>IFERROR(__xludf.DUMMYFUNCTION("""COMPUTED_VALUE"""),13117.0)</f>
        <v>13117</v>
      </c>
      <c r="B471" s="16" t="str">
        <f>IFERROR(__xludf.DUMMYFUNCTION("""COMPUTED_VALUE"""),"Logan Allen")</f>
        <v>Logan Allen</v>
      </c>
      <c r="C471" s="153">
        <f>IFERROR(__xludf.DUMMYFUNCTION("""COMPUTED_VALUE"""),0.0)</f>
        <v>0</v>
      </c>
      <c r="D471" s="16"/>
      <c r="E471" s="16" t="str">
        <f>IFERROR(__xludf.DUMMYFUNCTION("""COMPUTED_VALUE"""),"L")</f>
        <v>L</v>
      </c>
      <c r="F471" s="16">
        <f>IFERROR(__xludf.DUMMYFUNCTION("""COMPUTED_VALUE"""),97.0)</f>
        <v>97</v>
      </c>
      <c r="G471" s="16">
        <f>IFERROR(__xludf.DUMMYFUNCTION("""COMPUTED_VALUE"""),21.0)</f>
        <v>21</v>
      </c>
      <c r="H471" s="16">
        <f>IFERROR(__xludf.DUMMYFUNCTION("""COMPUTED_VALUE"""),14.0)</f>
        <v>14</v>
      </c>
      <c r="I471" s="16">
        <f>IFERROR(__xludf.DUMMYFUNCTION("""COMPUTED_VALUE"""),-1.0)</f>
        <v>-1</v>
      </c>
      <c r="J471" s="16">
        <f>IFERROR(__xludf.DUMMYFUNCTION("""COMPUTED_VALUE"""),-2.0)</f>
        <v>-2</v>
      </c>
      <c r="K471" s="16">
        <f>IFERROR(__xludf.DUMMYFUNCTION("""COMPUTED_VALUE"""),-3.0)</f>
        <v>-3</v>
      </c>
      <c r="L471" s="16">
        <f>IFERROR(__xludf.DUMMYFUNCTION("""COMPUTED_VALUE"""),-6.0)</f>
        <v>-6</v>
      </c>
      <c r="M471" s="16">
        <f>IFERROR(__xludf.DUMMYFUNCTION("""COMPUTED_VALUE"""),7.0)</f>
        <v>7</v>
      </c>
      <c r="N471" s="16">
        <f>IFERROR(__xludf.DUMMYFUNCTION("""COMPUTED_VALUE"""),13.0)</f>
        <v>13</v>
      </c>
      <c r="O471" s="16">
        <f>IFERROR(__xludf.DUMMYFUNCTION("""COMPUTED_VALUE"""),1.0)</f>
        <v>1</v>
      </c>
      <c r="P471" s="16">
        <f>IFERROR(__xludf.DUMMYFUNCTION("""COMPUTED_VALUE"""),-2.0)</f>
        <v>-2</v>
      </c>
      <c r="Q471" s="16">
        <f>IFERROR(__xludf.DUMMYFUNCTION("""COMPUTED_VALUE"""),1.0)</f>
        <v>1</v>
      </c>
      <c r="R471" s="16">
        <f>IFERROR(__xludf.DUMMYFUNCTION("""COMPUTED_VALUE"""),-2.0)</f>
        <v>-2</v>
      </c>
      <c r="S471" s="16">
        <f>IFERROR(__xludf.DUMMYFUNCTION("""COMPUTED_VALUE"""),15.6)</f>
        <v>15.6</v>
      </c>
      <c r="T471" s="16">
        <f>IFERROR(__xludf.DUMMYFUNCTION("""COMPUTED_VALUE"""),26.1)</f>
        <v>26.1</v>
      </c>
      <c r="U471" s="16">
        <f>IFERROR(__xludf.DUMMYFUNCTION("""COMPUTED_VALUE"""),0.0)</f>
        <v>0</v>
      </c>
      <c r="V471" s="16">
        <f>IFERROR(__xludf.DUMMYFUNCTION("""COMPUTED_VALUE"""),-2.0)</f>
        <v>-2</v>
      </c>
      <c r="W471" s="16">
        <f>IFERROR(__xludf.DUMMYFUNCTION("""COMPUTED_VALUE"""),0.0)</f>
        <v>0</v>
      </c>
      <c r="X471" s="16">
        <f>IFERROR(__xludf.DUMMYFUNCTION("""COMPUTED_VALUE"""),-4.0)</f>
        <v>-4</v>
      </c>
      <c r="Y471" s="16">
        <f>IFERROR(__xludf.DUMMYFUNCTION("""COMPUTED_VALUE"""),22.5)</f>
        <v>22.5</v>
      </c>
      <c r="Z471" s="16">
        <f>IFERROR(__xludf.DUMMYFUNCTION("""COMPUTED_VALUE"""),39.1)</f>
        <v>39.1</v>
      </c>
      <c r="AA471" s="16">
        <f>IFERROR(__xludf.DUMMYFUNCTION("""COMPUTED_VALUE"""),0.0)</f>
        <v>0</v>
      </c>
      <c r="AB471" s="16">
        <f>IFERROR(__xludf.DUMMYFUNCTION("""COMPUTED_VALUE"""),-2.0)</f>
        <v>-2</v>
      </c>
      <c r="AC471" s="16">
        <f>IFERROR(__xludf.DUMMYFUNCTION("""COMPUTED_VALUE"""),0.0)</f>
        <v>0</v>
      </c>
      <c r="AD471" s="16">
        <f>IFERROR(__xludf.DUMMYFUNCTION("""COMPUTED_VALUE"""),-10.0)</f>
        <v>-10</v>
      </c>
      <c r="AE471" s="16">
        <f>IFERROR(__xludf.DUMMYFUNCTION("""COMPUTED_VALUE"""),32.8)</f>
        <v>32.8</v>
      </c>
      <c r="AF471" s="16">
        <f>IFERROR(__xludf.DUMMYFUNCTION("""COMPUTED_VALUE"""),53.8)</f>
        <v>53.8</v>
      </c>
      <c r="AG471" s="16">
        <f>IFERROR(__xludf.DUMMYFUNCTION("""COMPUTED_VALUE"""),0.0)</f>
        <v>0</v>
      </c>
      <c r="AH471" s="16">
        <f>IFERROR(__xludf.DUMMYFUNCTION("""COMPUTED_VALUE"""),-2.0)</f>
        <v>-2</v>
      </c>
      <c r="AI471" s="16">
        <f>IFERROR(__xludf.DUMMYFUNCTION("""COMPUTED_VALUE"""),0.0)</f>
        <v>0</v>
      </c>
      <c r="AJ471" s="16">
        <f>IFERROR(__xludf.DUMMYFUNCTION("""COMPUTED_VALUE"""),-4.0)</f>
        <v>-4</v>
      </c>
      <c r="AK471" s="16">
        <f>IFERROR(__xludf.DUMMYFUNCTION("""COMPUTED_VALUE"""),9.8)</f>
        <v>9.8</v>
      </c>
      <c r="AL471" s="16">
        <f>IFERROR(__xludf.DUMMYFUNCTION("""COMPUTED_VALUE"""),21.1)</f>
        <v>21.1</v>
      </c>
      <c r="AM471" s="16">
        <f>IFERROR(__xludf.DUMMYFUNCTION("""COMPUTED_VALUE"""),1.0)</f>
        <v>1</v>
      </c>
      <c r="AN471" s="16">
        <f>IFERROR(__xludf.DUMMYFUNCTION("""COMPUTED_VALUE"""),-1.0)</f>
        <v>-1</v>
      </c>
      <c r="AO471" s="16">
        <f>IFERROR(__xludf.DUMMYFUNCTION("""COMPUTED_VALUE"""),1.0)</f>
        <v>1</v>
      </c>
      <c r="AP471" s="16">
        <f>IFERROR(__xludf.DUMMYFUNCTION("""COMPUTED_VALUE"""),-1.0)</f>
        <v>-1</v>
      </c>
      <c r="AQ471" s="16">
        <f>IFERROR(__xludf.DUMMYFUNCTION("""COMPUTED_VALUE"""),9.599999999999998)</f>
        <v>9.6</v>
      </c>
      <c r="AR471" s="16">
        <f>IFERROR(__xludf.DUMMYFUNCTION("""COMPUTED_VALUE"""),33.8)</f>
        <v>33.8</v>
      </c>
      <c r="AS471" s="16">
        <f>IFERROR(__xludf.DUMMYFUNCTION("""COMPUTED_VALUE"""),1.0)</f>
        <v>1</v>
      </c>
      <c r="AT471" s="16">
        <f>IFERROR(__xludf.DUMMYFUNCTION("""COMPUTED_VALUE"""),-2.0)</f>
        <v>-2</v>
      </c>
      <c r="AU471" s="16">
        <f>IFERROR(__xludf.DUMMYFUNCTION("""COMPUTED_VALUE"""),2.0)</f>
        <v>2</v>
      </c>
      <c r="AV471" s="16">
        <f>IFERROR(__xludf.DUMMYFUNCTION("""COMPUTED_VALUE"""),-4.0)</f>
        <v>-4</v>
      </c>
      <c r="AW471" s="16">
        <f>IFERROR(__xludf.DUMMYFUNCTION("""COMPUTED_VALUE"""),5.8)</f>
        <v>5.8</v>
      </c>
      <c r="AX471" s="16">
        <f>IFERROR(__xludf.DUMMYFUNCTION("""COMPUTED_VALUE"""),5.0)</f>
        <v>5</v>
      </c>
      <c r="AY471" s="16">
        <f>IFERROR(__xludf.DUMMYFUNCTION("""COMPUTED_VALUE"""),-3.0)</f>
        <v>-3</v>
      </c>
      <c r="AZ471" s="16">
        <f>IFERROR(__xludf.DUMMYFUNCTION("""COMPUTED_VALUE"""),-3.0)</f>
        <v>-3</v>
      </c>
      <c r="BA471" s="16">
        <f>IFERROR(__xludf.DUMMYFUNCTION("""COMPUTED_VALUE"""),-15.0)</f>
        <v>-15</v>
      </c>
      <c r="BB471" s="16">
        <f>IFERROR(__xludf.DUMMYFUNCTION("""COMPUTED_VALUE"""),-15.0)</f>
        <v>-15</v>
      </c>
      <c r="BC471" s="16">
        <f>IFERROR(__xludf.DUMMYFUNCTION("""COMPUTED_VALUE"""),8.0)</f>
        <v>8</v>
      </c>
      <c r="BD471" s="16">
        <f>IFERROR(__xludf.DUMMYFUNCTION("""COMPUTED_VALUE"""),8.0)</f>
        <v>8</v>
      </c>
      <c r="BE471" s="16">
        <f>IFERROR(__xludf.DUMMYFUNCTION("""COMPUTED_VALUE"""),8.0)</f>
        <v>8</v>
      </c>
      <c r="BF471" s="16">
        <f>IFERROR(__xludf.DUMMYFUNCTION("""COMPUTED_VALUE"""),8.0)</f>
        <v>8</v>
      </c>
      <c r="BG471" s="16">
        <f>IFERROR(__xludf.DUMMYFUNCTION("""COMPUTED_VALUE"""),-3.0)</f>
        <v>-3</v>
      </c>
      <c r="BH471" s="16">
        <f>IFERROR(__xludf.DUMMYFUNCTION("""COMPUTED_VALUE"""),-3.0)</f>
        <v>-3</v>
      </c>
      <c r="BI471" s="16">
        <f>IFERROR(__xludf.DUMMYFUNCTION("""COMPUTED_VALUE"""),-6.0)</f>
        <v>-6</v>
      </c>
      <c r="BJ471" s="16">
        <f>IFERROR(__xludf.DUMMYFUNCTION("""COMPUTED_VALUE"""),-6.0)</f>
        <v>-6</v>
      </c>
      <c r="BK471" s="16">
        <f>IFERROR(__xludf.DUMMYFUNCTION("""COMPUTED_VALUE"""),5.0)</f>
        <v>5</v>
      </c>
      <c r="BL471" s="16">
        <f>IFERROR(__xludf.DUMMYFUNCTION("""COMPUTED_VALUE"""),5.0)</f>
        <v>5</v>
      </c>
      <c r="BM471" s="16">
        <f>IFERROR(__xludf.DUMMYFUNCTION("""COMPUTED_VALUE"""),0.0)</f>
        <v>0</v>
      </c>
      <c r="BN471" s="16">
        <f>IFERROR(__xludf.DUMMYFUNCTION("""COMPUTED_VALUE"""),0.0)</f>
        <v>0</v>
      </c>
      <c r="BO471" s="16">
        <f>IFERROR(__xludf.DUMMYFUNCTION("""COMPUTED_VALUE"""),0.0)</f>
        <v>0</v>
      </c>
      <c r="BP471" s="16">
        <f>IFERROR(__xludf.DUMMYFUNCTION("""COMPUTED_VALUE"""),0.0)</f>
        <v>0</v>
      </c>
      <c r="BQ471" s="16">
        <f>IFERROR(__xludf.DUMMYFUNCTION("""COMPUTED_VALUE"""),12.0)</f>
        <v>12</v>
      </c>
      <c r="BR471" s="16">
        <f>IFERROR(__xludf.DUMMYFUNCTION("""COMPUTED_VALUE"""),11.0)</f>
        <v>11</v>
      </c>
      <c r="BS471" s="16">
        <f>IFERROR(__xludf.DUMMYFUNCTION("""COMPUTED_VALUE"""),3.0)</f>
        <v>3</v>
      </c>
      <c r="BT471" s="16">
        <f>IFERROR(__xludf.DUMMYFUNCTION("""COMPUTED_VALUE"""),3.0)</f>
        <v>3</v>
      </c>
      <c r="BU471" s="16">
        <f>IFERROR(__xludf.DUMMYFUNCTION("""COMPUTED_VALUE"""),6.0)</f>
        <v>6</v>
      </c>
      <c r="BV471" s="16">
        <f>IFERROR(__xludf.DUMMYFUNCTION("""COMPUTED_VALUE"""),6.0)</f>
        <v>6</v>
      </c>
      <c r="BW471" s="16">
        <f>IFERROR(__xludf.DUMMYFUNCTION("""COMPUTED_VALUE"""),-3.0)</f>
        <v>-3</v>
      </c>
      <c r="BX471" s="16">
        <f>IFERROR(__xludf.DUMMYFUNCTION("""COMPUTED_VALUE"""),-3.0)</f>
        <v>-3</v>
      </c>
      <c r="BY471" s="16" t="str">
        <f>IFERROR(__xludf.DUMMYFUNCTION("""COMPUTED_VALUE"""),"S(5)")</f>
        <v>S(5)</v>
      </c>
      <c r="BZ471" s="16" t="str">
        <f>IFERROR(__xludf.DUMMYFUNCTION("""COMPUTED_VALUE"""),"S(5)")</f>
        <v>S(5)</v>
      </c>
      <c r="CA471" s="16" t="str">
        <f>IFERROR(__xludf.DUMMYFUNCTION("""COMPUTED_VALUE"""),"S(5)")</f>
        <v>S(5)</v>
      </c>
      <c r="CB471" s="16"/>
      <c r="CC471" s="16"/>
      <c r="CD471" s="16">
        <f>IFERROR(__xludf.DUMMYFUNCTION("""COMPUTED_VALUE"""),5.0)</f>
        <v>5</v>
      </c>
      <c r="CE471" s="16"/>
      <c r="CF471" s="16"/>
      <c r="CG471" s="16" t="str">
        <f>IFERROR(__xludf.DUMMYFUNCTION("""COMPUTED_VALUE"""),"2-0")</f>
        <v>2-0</v>
      </c>
      <c r="CH471" s="16">
        <f>IFERROR(__xludf.DUMMYFUNCTION("""COMPUTED_VALUE"""),2.0)</f>
        <v>2</v>
      </c>
      <c r="CI471" s="16">
        <f>IFERROR(__xludf.DUMMYFUNCTION("""COMPUTED_VALUE"""),0.0)</f>
        <v>0</v>
      </c>
      <c r="CJ471" s="16">
        <f>IFERROR(__xludf.DUMMYFUNCTION("""COMPUTED_VALUE"""),0.0)</f>
        <v>0</v>
      </c>
      <c r="CK471" s="16">
        <f>IFERROR(__xludf.DUMMYFUNCTION("""COMPUTED_VALUE"""),8.0)</f>
        <v>8</v>
      </c>
      <c r="CL471" s="16" t="str">
        <f>IFERROR(__xludf.DUMMYFUNCTION("""COMPUTED_VALUE"""),"1WR-C")</f>
        <v>1WR-C</v>
      </c>
      <c r="CM471" s="16" t="str">
        <f>IFERROR(__xludf.DUMMYFUNCTION("""COMPUTED_VALUE"""),"E")</f>
        <v>E</v>
      </c>
      <c r="CN471" s="16">
        <f>IFERROR(__xludf.DUMMYFUNCTION("""COMPUTED_VALUE"""),10.0)</f>
        <v>10</v>
      </c>
      <c r="CO471" s="16" t="str">
        <f>IFERROR(__xludf.DUMMYFUNCTION("""COMPUTED_VALUE"""),"C")</f>
        <v>C</v>
      </c>
      <c r="CP471" s="16" t="str">
        <f>IFERROR(__xludf.DUMMYFUNCTION("""COMPUTED_VALUE"""),"1p20")</f>
        <v>1p20</v>
      </c>
      <c r="CQ471" s="16">
        <f>IFERROR(__xludf.DUMMYFUNCTION("""COMPUTED_VALUE"""),-14.0)</f>
        <v>-14</v>
      </c>
      <c r="CR471" s="16">
        <f>IFERROR(__xludf.DUMMYFUNCTION("""COMPUTED_VALUE"""),-46.0)</f>
        <v>-46</v>
      </c>
      <c r="CS471" s="16">
        <f>IFERROR(__xludf.DUMMYFUNCTION("""COMPUTED_VALUE"""),-60.0)</f>
        <v>-60</v>
      </c>
      <c r="CT471" s="16">
        <f>IFERROR(__xludf.DUMMYFUNCTION("""COMPUTED_VALUE"""),-14.0)</f>
        <v>-14</v>
      </c>
      <c r="CU471" s="16">
        <f>IFERROR(__xludf.DUMMYFUNCTION("""COMPUTED_VALUE"""),-46.0)</f>
        <v>-46</v>
      </c>
      <c r="CV471" s="179">
        <f>IFERROR(__xludf.DUMMYFUNCTION("""COMPUTED_VALUE"""),-28.333333333333336)</f>
        <v>-28.33333333</v>
      </c>
      <c r="CW471" s="179">
        <f>IFERROR(__xludf.DUMMYFUNCTION("""COMPUTED_VALUE"""),4.0)</f>
        <v>4</v>
      </c>
      <c r="CX471" s="179">
        <f>IFERROR(__xludf.DUMMYFUNCTION("""COMPUTED_VALUE"""),3.0)</f>
        <v>3</v>
      </c>
      <c r="CY471" s="16" t="str">
        <f>IFERROR(__xludf.DUMMYFUNCTION("""COMPUTED_VALUE"""),"SP")</f>
        <v>SP</v>
      </c>
      <c r="CZ471" s="16"/>
      <c r="DA471" s="16"/>
      <c r="DB471" s="16"/>
      <c r="DC471" s="16"/>
      <c r="DD471" s="16"/>
      <c r="DE471" s="16"/>
      <c r="DF471" s="16"/>
      <c r="DG471" s="16"/>
      <c r="DH471" s="16"/>
      <c r="DI471" s="16"/>
      <c r="DJ471" s="16"/>
      <c r="DK471" s="16"/>
    </row>
    <row r="472">
      <c r="A472" s="16">
        <f>IFERROR(__xludf.DUMMYFUNCTION("""COMPUTED_VALUE"""),12745.0)</f>
        <v>12745</v>
      </c>
      <c r="B472" s="16" t="str">
        <f>IFERROR(__xludf.DUMMYFUNCTION("""COMPUTED_VALUE"""),"Davis Daniel")</f>
        <v>Davis Daniel</v>
      </c>
      <c r="C472" s="153">
        <f>IFERROR(__xludf.DUMMYFUNCTION("""COMPUTED_VALUE"""),0.0)</f>
        <v>0</v>
      </c>
      <c r="D472" s="16"/>
      <c r="E472" s="16" t="str">
        <f>IFERROR(__xludf.DUMMYFUNCTION("""COMPUTED_VALUE"""),"R")</f>
        <v>R</v>
      </c>
      <c r="F472" s="16">
        <f>IFERROR(__xludf.DUMMYFUNCTION("""COMPUTED_VALUE"""),30.0)</f>
        <v>30</v>
      </c>
      <c r="G472" s="16">
        <f>IFERROR(__xludf.DUMMYFUNCTION("""COMPUTED_VALUE"""),21.0)</f>
        <v>21</v>
      </c>
      <c r="H472" s="16">
        <f>IFERROR(__xludf.DUMMYFUNCTION("""COMPUTED_VALUE"""),20.0)</f>
        <v>20</v>
      </c>
      <c r="I472" s="16">
        <f>IFERROR(__xludf.DUMMYFUNCTION("""COMPUTED_VALUE"""),-1.0)</f>
        <v>-1</v>
      </c>
      <c r="J472" s="16">
        <f>IFERROR(__xludf.DUMMYFUNCTION("""COMPUTED_VALUE"""),-1.0)</f>
        <v>-1</v>
      </c>
      <c r="K472" s="16">
        <f>IFERROR(__xludf.DUMMYFUNCTION("""COMPUTED_VALUE"""),-3.0)</f>
        <v>-3</v>
      </c>
      <c r="L472" s="16">
        <f>IFERROR(__xludf.DUMMYFUNCTION("""COMPUTED_VALUE"""),-3.0)</f>
        <v>-3</v>
      </c>
      <c r="M472" s="16">
        <f>IFERROR(__xludf.DUMMYFUNCTION("""COMPUTED_VALUE"""),0.0)</f>
        <v>0</v>
      </c>
      <c r="N472" s="16">
        <f>IFERROR(__xludf.DUMMYFUNCTION("""COMPUTED_VALUE"""),3.0)</f>
        <v>3</v>
      </c>
      <c r="O472" s="16">
        <f>IFERROR(__xludf.DUMMYFUNCTION("""COMPUTED_VALUE"""),3.0)</f>
        <v>3</v>
      </c>
      <c r="P472" s="16">
        <f>IFERROR(__xludf.DUMMYFUNCTION("""COMPUTED_VALUE"""),2.0)</f>
        <v>2</v>
      </c>
      <c r="Q472" s="16">
        <f>IFERROR(__xludf.DUMMYFUNCTION("""COMPUTED_VALUE"""),3.0)</f>
        <v>3</v>
      </c>
      <c r="R472" s="16">
        <f>IFERROR(__xludf.DUMMYFUNCTION("""COMPUTED_VALUE"""),2.0)</f>
        <v>2</v>
      </c>
      <c r="S472" s="16">
        <f>IFERROR(__xludf.DUMMYFUNCTION("""COMPUTED_VALUE"""),27.3)</f>
        <v>27.3</v>
      </c>
      <c r="T472" s="16">
        <f>IFERROR(__xludf.DUMMYFUNCTION("""COMPUTED_VALUE"""),33.6)</f>
        <v>33.6</v>
      </c>
      <c r="U472" s="16">
        <f>IFERROR(__xludf.DUMMYFUNCTION("""COMPUTED_VALUE"""),-2.0)</f>
        <v>-2</v>
      </c>
      <c r="V472" s="16">
        <f>IFERROR(__xludf.DUMMYFUNCTION("""COMPUTED_VALUE"""),-3.0)</f>
        <v>-3</v>
      </c>
      <c r="W472" s="16">
        <f>IFERROR(__xludf.DUMMYFUNCTION("""COMPUTED_VALUE"""),-4.0)</f>
        <v>-4</v>
      </c>
      <c r="X472" s="16">
        <f>IFERROR(__xludf.DUMMYFUNCTION("""COMPUTED_VALUE"""),-6.0)</f>
        <v>-6</v>
      </c>
      <c r="Y472" s="16">
        <f>IFERROR(__xludf.DUMMYFUNCTION("""COMPUTED_VALUE"""),27.3)</f>
        <v>27.3</v>
      </c>
      <c r="Z472" s="16">
        <f>IFERROR(__xludf.DUMMYFUNCTION("""COMPUTED_VALUE"""),36.6)</f>
        <v>36.6</v>
      </c>
      <c r="AA472" s="16">
        <f>IFERROR(__xludf.DUMMYFUNCTION("""COMPUTED_VALUE"""),0.0)</f>
        <v>0</v>
      </c>
      <c r="AB472" s="16">
        <f>IFERROR(__xludf.DUMMYFUNCTION("""COMPUTED_VALUE"""),-2.0)</f>
        <v>-2</v>
      </c>
      <c r="AC472" s="16">
        <f>IFERROR(__xludf.DUMMYFUNCTION("""COMPUTED_VALUE"""),0.0)</f>
        <v>0</v>
      </c>
      <c r="AD472" s="16">
        <f>IFERROR(__xludf.DUMMYFUNCTION("""COMPUTED_VALUE"""),-10.0)</f>
        <v>-10</v>
      </c>
      <c r="AE472" s="16">
        <f>IFERROR(__xludf.DUMMYFUNCTION("""COMPUTED_VALUE"""),44.8)</f>
        <v>44.8</v>
      </c>
      <c r="AF472" s="16">
        <f>IFERROR(__xludf.DUMMYFUNCTION("""COMPUTED_VALUE"""),58.0)</f>
        <v>58</v>
      </c>
      <c r="AG472" s="16">
        <f>IFERROR(__xludf.DUMMYFUNCTION("""COMPUTED_VALUE"""),-2.0)</f>
        <v>-2</v>
      </c>
      <c r="AH472" s="16">
        <f>IFERROR(__xludf.DUMMYFUNCTION("""COMPUTED_VALUE"""),-3.0)</f>
        <v>-3</v>
      </c>
      <c r="AI472" s="16">
        <f>IFERROR(__xludf.DUMMYFUNCTION("""COMPUTED_VALUE"""),-4.0)</f>
        <v>-4</v>
      </c>
      <c r="AJ472" s="16">
        <f>IFERROR(__xludf.DUMMYFUNCTION("""COMPUTED_VALUE"""),-6.0)</f>
        <v>-6</v>
      </c>
      <c r="AK472" s="16">
        <f>IFERROR(__xludf.DUMMYFUNCTION("""COMPUTED_VALUE"""),25.900000000000002)</f>
        <v>25.9</v>
      </c>
      <c r="AL472" s="16">
        <f>IFERROR(__xludf.DUMMYFUNCTION("""COMPUTED_VALUE"""),29.8)</f>
        <v>29.8</v>
      </c>
      <c r="AM472" s="16">
        <f>IFERROR(__xludf.DUMMYFUNCTION("""COMPUTED_VALUE"""),-2.0)</f>
        <v>-2</v>
      </c>
      <c r="AN472" s="16">
        <f>IFERROR(__xludf.DUMMYFUNCTION("""COMPUTED_VALUE"""),-3.0)</f>
        <v>-3</v>
      </c>
      <c r="AO472" s="16">
        <f>IFERROR(__xludf.DUMMYFUNCTION("""COMPUTED_VALUE"""),-2.0)</f>
        <v>-2</v>
      </c>
      <c r="AP472" s="16">
        <f>IFERROR(__xludf.DUMMYFUNCTION("""COMPUTED_VALUE"""),-3.0)</f>
        <v>-3</v>
      </c>
      <c r="AQ472" s="16">
        <f>IFERROR(__xludf.DUMMYFUNCTION("""COMPUTED_VALUE"""),39.199999999999996)</f>
        <v>39.2</v>
      </c>
      <c r="AR472" s="16">
        <f>IFERROR(__xludf.DUMMYFUNCTION("""COMPUTED_VALUE"""),42.8)</f>
        <v>42.8</v>
      </c>
      <c r="AS472" s="16">
        <f>IFERROR(__xludf.DUMMYFUNCTION("""COMPUTED_VALUE"""),-2.0)</f>
        <v>-2</v>
      </c>
      <c r="AT472" s="16">
        <f>IFERROR(__xludf.DUMMYFUNCTION("""COMPUTED_VALUE"""),-3.0)</f>
        <v>-3</v>
      </c>
      <c r="AU472" s="16">
        <f>IFERROR(__xludf.DUMMYFUNCTION("""COMPUTED_VALUE"""),-4.0)</f>
        <v>-4</v>
      </c>
      <c r="AV472" s="16">
        <f>IFERROR(__xludf.DUMMYFUNCTION("""COMPUTED_VALUE"""),-6.0)</f>
        <v>-6</v>
      </c>
      <c r="AW472" s="16">
        <f>IFERROR(__xludf.DUMMYFUNCTION("""COMPUTED_VALUE"""),1.4)</f>
        <v>1.4</v>
      </c>
      <c r="AX472" s="16">
        <f>IFERROR(__xludf.DUMMYFUNCTION("""COMPUTED_VALUE"""),3.8)</f>
        <v>3.8</v>
      </c>
      <c r="AY472" s="16">
        <f>IFERROR(__xludf.DUMMYFUNCTION("""COMPUTED_VALUE"""),1.0)</f>
        <v>1</v>
      </c>
      <c r="AZ472" s="16">
        <f>IFERROR(__xludf.DUMMYFUNCTION("""COMPUTED_VALUE"""),-2.0)</f>
        <v>-2</v>
      </c>
      <c r="BA472" s="16">
        <f>IFERROR(__xludf.DUMMYFUNCTION("""COMPUTED_VALUE"""),5.0)</f>
        <v>5</v>
      </c>
      <c r="BB472" s="16">
        <f>IFERROR(__xludf.DUMMYFUNCTION("""COMPUTED_VALUE"""),-10.0)</f>
        <v>-10</v>
      </c>
      <c r="BC472" s="16">
        <f>IFERROR(__xludf.DUMMYFUNCTION("""COMPUTED_VALUE"""),2.0)</f>
        <v>2</v>
      </c>
      <c r="BD472" s="16">
        <f>IFERROR(__xludf.DUMMYFUNCTION("""COMPUTED_VALUE"""),7.0)</f>
        <v>7</v>
      </c>
      <c r="BE472" s="16">
        <f>IFERROR(__xludf.DUMMYFUNCTION("""COMPUTED_VALUE"""),2.0)</f>
        <v>2</v>
      </c>
      <c r="BF472" s="16">
        <f>IFERROR(__xludf.DUMMYFUNCTION("""COMPUTED_VALUE"""),7.0)</f>
        <v>7</v>
      </c>
      <c r="BG472" s="16">
        <f>IFERROR(__xludf.DUMMYFUNCTION("""COMPUTED_VALUE"""),1.0)</f>
        <v>1</v>
      </c>
      <c r="BH472" s="16">
        <f>IFERROR(__xludf.DUMMYFUNCTION("""COMPUTED_VALUE"""),-3.0)</f>
        <v>-3</v>
      </c>
      <c r="BI472" s="16">
        <f>IFERROR(__xludf.DUMMYFUNCTION("""COMPUTED_VALUE"""),2.0)</f>
        <v>2</v>
      </c>
      <c r="BJ472" s="16">
        <f>IFERROR(__xludf.DUMMYFUNCTION("""COMPUTED_VALUE"""),-6.0)</f>
        <v>-6</v>
      </c>
      <c r="BK472" s="16">
        <f>IFERROR(__xludf.DUMMYFUNCTION("""COMPUTED_VALUE"""),5.0)</f>
        <v>5</v>
      </c>
      <c r="BL472" s="16">
        <f>IFERROR(__xludf.DUMMYFUNCTION("""COMPUTED_VALUE"""),5.0)</f>
        <v>5</v>
      </c>
      <c r="BM472" s="16">
        <f>IFERROR(__xludf.DUMMYFUNCTION("""COMPUTED_VALUE"""),0.0)</f>
        <v>0</v>
      </c>
      <c r="BN472" s="16">
        <f>IFERROR(__xludf.DUMMYFUNCTION("""COMPUTED_VALUE"""),0.0)</f>
        <v>0</v>
      </c>
      <c r="BO472" s="16">
        <f>IFERROR(__xludf.DUMMYFUNCTION("""COMPUTED_VALUE"""),0.0)</f>
        <v>0</v>
      </c>
      <c r="BP472" s="16">
        <f>IFERROR(__xludf.DUMMYFUNCTION("""COMPUTED_VALUE"""),0.0)</f>
        <v>0</v>
      </c>
      <c r="BQ472" s="16">
        <f>IFERROR(__xludf.DUMMYFUNCTION("""COMPUTED_VALUE"""),5.0)</f>
        <v>5</v>
      </c>
      <c r="BR472" s="16">
        <f>IFERROR(__xludf.DUMMYFUNCTION("""COMPUTED_VALUE"""),4.0)</f>
        <v>4</v>
      </c>
      <c r="BS472" s="16">
        <f>IFERROR(__xludf.DUMMYFUNCTION("""COMPUTED_VALUE"""),0.0)</f>
        <v>0</v>
      </c>
      <c r="BT472" s="16">
        <f>IFERROR(__xludf.DUMMYFUNCTION("""COMPUTED_VALUE"""),-1.0)</f>
        <v>-1</v>
      </c>
      <c r="BU472" s="16">
        <f>IFERROR(__xludf.DUMMYFUNCTION("""COMPUTED_VALUE"""),0.0)</f>
        <v>0</v>
      </c>
      <c r="BV472" s="16">
        <f>IFERROR(__xludf.DUMMYFUNCTION("""COMPUTED_VALUE"""),-2.0)</f>
        <v>-2</v>
      </c>
      <c r="BW472" s="16">
        <f>IFERROR(__xludf.DUMMYFUNCTION("""COMPUTED_VALUE"""),-1.0)</f>
        <v>-1</v>
      </c>
      <c r="BX472" s="16">
        <f>IFERROR(__xludf.DUMMYFUNCTION("""COMPUTED_VALUE"""),-1.0)</f>
        <v>-1</v>
      </c>
      <c r="BY472" s="16" t="str">
        <f>IFERROR(__xludf.DUMMYFUNCTION("""COMPUTED_VALUE"""),"S(5)")</f>
        <v>S(5)</v>
      </c>
      <c r="BZ472" s="16" t="str">
        <f>IFERROR(__xludf.DUMMYFUNCTION("""COMPUTED_VALUE"""),"S(5)")</f>
        <v>S(5)</v>
      </c>
      <c r="CA472" s="16" t="str">
        <f>IFERROR(__xludf.DUMMYFUNCTION("""COMPUTED_VALUE"""),"S(5)")</f>
        <v>S(5)</v>
      </c>
      <c r="CB472" s="16"/>
      <c r="CC472" s="16"/>
      <c r="CD472" s="16">
        <f>IFERROR(__xludf.DUMMYFUNCTION("""COMPUTED_VALUE"""),5.0)</f>
        <v>5</v>
      </c>
      <c r="CE472" s="16"/>
      <c r="CF472" s="16"/>
      <c r="CG472" s="16" t="str">
        <f>IFERROR(__xludf.DUMMYFUNCTION("""COMPUTED_VALUE"""),"3-47")</f>
        <v>3-47</v>
      </c>
      <c r="CH472" s="16">
        <f>IFERROR(__xludf.DUMMYFUNCTION("""COMPUTED_VALUE"""),3.0)</f>
        <v>3</v>
      </c>
      <c r="CI472" s="16">
        <f>IFERROR(__xludf.DUMMYFUNCTION("""COMPUTED_VALUE"""),47.0)</f>
        <v>47</v>
      </c>
      <c r="CJ472" s="16">
        <f>IFERROR(__xludf.DUMMYFUNCTION("""COMPUTED_VALUE"""),11.0)</f>
        <v>11</v>
      </c>
      <c r="CK472" s="16">
        <f>IFERROR(__xludf.DUMMYFUNCTION("""COMPUTED_VALUE"""),0.0)</f>
        <v>0</v>
      </c>
      <c r="CL472" s="16" t="str">
        <f>IFERROR(__xludf.DUMMYFUNCTION("""COMPUTED_VALUE"""),"1WR-C")</f>
        <v>1WR-C</v>
      </c>
      <c r="CM472" s="16" t="str">
        <f>IFERROR(__xludf.DUMMYFUNCTION("""COMPUTED_VALUE"""),"E")</f>
        <v>E</v>
      </c>
      <c r="CN472" s="16">
        <f>IFERROR(__xludf.DUMMYFUNCTION("""COMPUTED_VALUE"""),10.0)</f>
        <v>10</v>
      </c>
      <c r="CO472" s="16" t="str">
        <f>IFERROR(__xludf.DUMMYFUNCTION("""COMPUTED_VALUE"""),"C")</f>
        <v>C</v>
      </c>
      <c r="CP472" s="16" t="str">
        <f>IFERROR(__xludf.DUMMYFUNCTION("""COMPUTED_VALUE"""),"1p20")</f>
        <v>1p20</v>
      </c>
      <c r="CQ472" s="16">
        <f>IFERROR(__xludf.DUMMYFUNCTION("""COMPUTED_VALUE"""),-7.0)</f>
        <v>-7</v>
      </c>
      <c r="CR472" s="16">
        <f>IFERROR(__xludf.DUMMYFUNCTION("""COMPUTED_VALUE"""),-50.0)</f>
        <v>-50</v>
      </c>
      <c r="CS472" s="16">
        <f>IFERROR(__xludf.DUMMYFUNCTION("""COMPUTED_VALUE"""),-57.0)</f>
        <v>-57</v>
      </c>
      <c r="CT472" s="16">
        <f>IFERROR(__xludf.DUMMYFUNCTION("""COMPUTED_VALUE"""),-7.0)</f>
        <v>-7</v>
      </c>
      <c r="CU472" s="16">
        <f>IFERROR(__xludf.DUMMYFUNCTION("""COMPUTED_VALUE"""),-50.0)</f>
        <v>-50</v>
      </c>
      <c r="CV472" s="179">
        <f>IFERROR(__xludf.DUMMYFUNCTION("""COMPUTED_VALUE"""),-28.666666666666664)</f>
        <v>-28.66666667</v>
      </c>
      <c r="CW472" s="179">
        <f>IFERROR(__xludf.DUMMYFUNCTION("""COMPUTED_VALUE"""),4.0)</f>
        <v>4</v>
      </c>
      <c r="CX472" s="179">
        <f>IFERROR(__xludf.DUMMYFUNCTION("""COMPUTED_VALUE"""),3.0)</f>
        <v>3</v>
      </c>
      <c r="CY472" s="16" t="str">
        <f>IFERROR(__xludf.DUMMYFUNCTION("""COMPUTED_VALUE"""),"SP")</f>
        <v>SP</v>
      </c>
      <c r="CZ472" s="16"/>
      <c r="DA472" s="16"/>
      <c r="DB472" s="16"/>
      <c r="DC472" s="16"/>
      <c r="DD472" s="16"/>
      <c r="DE472" s="16"/>
      <c r="DF472" s="16"/>
      <c r="DG472" s="16"/>
      <c r="DH472" s="16"/>
      <c r="DI472" s="16"/>
      <c r="DJ472" s="16"/>
      <c r="DK472" s="16"/>
    </row>
    <row r="473">
      <c r="A473" s="16">
        <f>IFERROR(__xludf.DUMMYFUNCTION("""COMPUTED_VALUE"""),12590.0)</f>
        <v>12590</v>
      </c>
      <c r="B473" s="16" t="str">
        <f>IFERROR(__xludf.DUMMYFUNCTION("""COMPUTED_VALUE"""),"Brad Keller")</f>
        <v>Brad Keller</v>
      </c>
      <c r="C473" s="153">
        <f>IFERROR(__xludf.DUMMYFUNCTION("""COMPUTED_VALUE"""),0.0)</f>
        <v>0</v>
      </c>
      <c r="D473" s="16"/>
      <c r="E473" s="16" t="str">
        <f>IFERROR(__xludf.DUMMYFUNCTION("""COMPUTED_VALUE"""),"R")</f>
        <v>R</v>
      </c>
      <c r="F473" s="16">
        <f>IFERROR(__xludf.DUMMYFUNCTION("""COMPUTED_VALUE"""),41.0)</f>
        <v>41</v>
      </c>
      <c r="G473" s="16">
        <f>IFERROR(__xludf.DUMMYFUNCTION("""COMPUTED_VALUE"""),6.0)</f>
        <v>6</v>
      </c>
      <c r="H473" s="16">
        <f>IFERROR(__xludf.DUMMYFUNCTION("""COMPUTED_VALUE"""),16.0)</f>
        <v>16</v>
      </c>
      <c r="I473" s="16">
        <f>IFERROR(__xludf.DUMMYFUNCTION("""COMPUTED_VALUE"""),-2.0)</f>
        <v>-2</v>
      </c>
      <c r="J473" s="16">
        <f>IFERROR(__xludf.DUMMYFUNCTION("""COMPUTED_VALUE"""),-2.0)</f>
        <v>-2</v>
      </c>
      <c r="K473" s="16">
        <f>IFERROR(__xludf.DUMMYFUNCTION("""COMPUTED_VALUE"""),-6.0)</f>
        <v>-6</v>
      </c>
      <c r="L473" s="16">
        <f>IFERROR(__xludf.DUMMYFUNCTION("""COMPUTED_VALUE"""),-6.0)</f>
        <v>-6</v>
      </c>
      <c r="M473" s="16">
        <f>IFERROR(__xludf.DUMMYFUNCTION("""COMPUTED_VALUE"""),9.0)</f>
        <v>9</v>
      </c>
      <c r="N473" s="16">
        <f>IFERROR(__xludf.DUMMYFUNCTION("""COMPUTED_VALUE"""),8.0)</f>
        <v>8</v>
      </c>
      <c r="O473" s="16">
        <f>IFERROR(__xludf.DUMMYFUNCTION("""COMPUTED_VALUE"""),0.0)</f>
        <v>0</v>
      </c>
      <c r="P473" s="16">
        <f>IFERROR(__xludf.DUMMYFUNCTION("""COMPUTED_VALUE"""),0.0)</f>
        <v>0</v>
      </c>
      <c r="Q473" s="16">
        <f>IFERROR(__xludf.DUMMYFUNCTION("""COMPUTED_VALUE"""),0.0)</f>
        <v>0</v>
      </c>
      <c r="R473" s="16">
        <f>IFERROR(__xludf.DUMMYFUNCTION("""COMPUTED_VALUE"""),0.0)</f>
        <v>0</v>
      </c>
      <c r="S473" s="16">
        <f>IFERROR(__xludf.DUMMYFUNCTION("""COMPUTED_VALUE"""),14.8)</f>
        <v>14.8</v>
      </c>
      <c r="T473" s="16">
        <f>IFERROR(__xludf.DUMMYFUNCTION("""COMPUTED_VALUE"""),22.0)</f>
        <v>22</v>
      </c>
      <c r="U473" s="16">
        <f>IFERROR(__xludf.DUMMYFUNCTION("""COMPUTED_VALUE"""),0.0)</f>
        <v>0</v>
      </c>
      <c r="V473" s="16">
        <f>IFERROR(__xludf.DUMMYFUNCTION("""COMPUTED_VALUE"""),-1.0)</f>
        <v>-1</v>
      </c>
      <c r="W473" s="16">
        <f>IFERROR(__xludf.DUMMYFUNCTION("""COMPUTED_VALUE"""),0.0)</f>
        <v>0</v>
      </c>
      <c r="X473" s="16">
        <f>IFERROR(__xludf.DUMMYFUNCTION("""COMPUTED_VALUE"""),-2.0)</f>
        <v>-2</v>
      </c>
      <c r="Y473" s="16">
        <f>IFERROR(__xludf.DUMMYFUNCTION("""COMPUTED_VALUE"""),23.8)</f>
        <v>23.8</v>
      </c>
      <c r="Z473" s="16">
        <f>IFERROR(__xludf.DUMMYFUNCTION("""COMPUTED_VALUE"""),30.0)</f>
        <v>30</v>
      </c>
      <c r="AA473" s="16">
        <f>IFERROR(__xludf.DUMMYFUNCTION("""COMPUTED_VALUE"""),0.0)</f>
        <v>0</v>
      </c>
      <c r="AB473" s="16">
        <f>IFERROR(__xludf.DUMMYFUNCTION("""COMPUTED_VALUE"""),-1.0)</f>
        <v>-1</v>
      </c>
      <c r="AC473" s="16">
        <f>IFERROR(__xludf.DUMMYFUNCTION("""COMPUTED_VALUE"""),0.0)</f>
        <v>0</v>
      </c>
      <c r="AD473" s="16">
        <f>IFERROR(__xludf.DUMMYFUNCTION("""COMPUTED_VALUE"""),-5.0)</f>
        <v>-5</v>
      </c>
      <c r="AE473" s="16">
        <f>IFERROR(__xludf.DUMMYFUNCTION("""COMPUTED_VALUE"""),24.6)</f>
        <v>24.6</v>
      </c>
      <c r="AF473" s="16">
        <f>IFERROR(__xludf.DUMMYFUNCTION("""COMPUTED_VALUE"""),49.8)</f>
        <v>49.8</v>
      </c>
      <c r="AG473" s="16">
        <f>IFERROR(__xludf.DUMMYFUNCTION("""COMPUTED_VALUE"""),0.0)</f>
        <v>0</v>
      </c>
      <c r="AH473" s="16">
        <f>IFERROR(__xludf.DUMMYFUNCTION("""COMPUTED_VALUE"""),-2.0)</f>
        <v>-2</v>
      </c>
      <c r="AI473" s="16">
        <f>IFERROR(__xludf.DUMMYFUNCTION("""COMPUTED_VALUE"""),0.0)</f>
        <v>0</v>
      </c>
      <c r="AJ473" s="16">
        <f>IFERROR(__xludf.DUMMYFUNCTION("""COMPUTED_VALUE"""),-4.0)</f>
        <v>-4</v>
      </c>
      <c r="AK473" s="16">
        <f>IFERROR(__xludf.DUMMYFUNCTION("""COMPUTED_VALUE"""),11.8)</f>
        <v>11.8</v>
      </c>
      <c r="AL473" s="16">
        <f>IFERROR(__xludf.DUMMYFUNCTION("""COMPUTED_VALUE"""),17.0)</f>
        <v>17</v>
      </c>
      <c r="AM473" s="16">
        <f>IFERROR(__xludf.DUMMYFUNCTION("""COMPUTED_VALUE"""),0.0)</f>
        <v>0</v>
      </c>
      <c r="AN473" s="16">
        <f>IFERROR(__xludf.DUMMYFUNCTION("""COMPUTED_VALUE"""),-1.0)</f>
        <v>-1</v>
      </c>
      <c r="AO473" s="16">
        <f>IFERROR(__xludf.DUMMYFUNCTION("""COMPUTED_VALUE"""),0.0)</f>
        <v>0</v>
      </c>
      <c r="AP473" s="16">
        <f>IFERROR(__xludf.DUMMYFUNCTION("""COMPUTED_VALUE"""),-1.0)</f>
        <v>-1</v>
      </c>
      <c r="AQ473" s="16">
        <f>IFERROR(__xludf.DUMMYFUNCTION("""COMPUTED_VALUE"""),12.600000000000001)</f>
        <v>12.6</v>
      </c>
      <c r="AR473" s="16">
        <f>IFERROR(__xludf.DUMMYFUNCTION("""COMPUTED_VALUE"""),29.799999999999997)</f>
        <v>29.8</v>
      </c>
      <c r="AS473" s="16">
        <f>IFERROR(__xludf.DUMMYFUNCTION("""COMPUTED_VALUE"""),1.0)</f>
        <v>1</v>
      </c>
      <c r="AT473" s="16">
        <f>IFERROR(__xludf.DUMMYFUNCTION("""COMPUTED_VALUE"""),-1.0)</f>
        <v>-1</v>
      </c>
      <c r="AU473" s="16">
        <f>IFERROR(__xludf.DUMMYFUNCTION("""COMPUTED_VALUE"""),2.0)</f>
        <v>2</v>
      </c>
      <c r="AV473" s="16">
        <f>IFERROR(__xludf.DUMMYFUNCTION("""COMPUTED_VALUE"""),-2.0)</f>
        <v>-2</v>
      </c>
      <c r="AW473" s="16">
        <f>IFERROR(__xludf.DUMMYFUNCTION("""COMPUTED_VALUE"""),3.0)</f>
        <v>3</v>
      </c>
      <c r="AX473" s="16">
        <f>IFERROR(__xludf.DUMMYFUNCTION("""COMPUTED_VALUE"""),5.0)</f>
        <v>5</v>
      </c>
      <c r="AY473" s="16">
        <f>IFERROR(__xludf.DUMMYFUNCTION("""COMPUTED_VALUE"""),-1.0)</f>
        <v>-1</v>
      </c>
      <c r="AZ473" s="16">
        <f>IFERROR(__xludf.DUMMYFUNCTION("""COMPUTED_VALUE"""),-3.0)</f>
        <v>-3</v>
      </c>
      <c r="BA473" s="16">
        <f>IFERROR(__xludf.DUMMYFUNCTION("""COMPUTED_VALUE"""),-5.0)</f>
        <v>-5</v>
      </c>
      <c r="BB473" s="16">
        <f>IFERROR(__xludf.DUMMYFUNCTION("""COMPUTED_VALUE"""),-15.0)</f>
        <v>-15</v>
      </c>
      <c r="BC473" s="16">
        <f>IFERROR(__xludf.DUMMYFUNCTION("""COMPUTED_VALUE"""),4.0)</f>
        <v>4</v>
      </c>
      <c r="BD473" s="16">
        <f>IFERROR(__xludf.DUMMYFUNCTION("""COMPUTED_VALUE"""),8.0)</f>
        <v>8</v>
      </c>
      <c r="BE473" s="16">
        <f>IFERROR(__xludf.DUMMYFUNCTION("""COMPUTED_VALUE"""),4.0)</f>
        <v>4</v>
      </c>
      <c r="BF473" s="16">
        <f>IFERROR(__xludf.DUMMYFUNCTION("""COMPUTED_VALUE"""),8.0)</f>
        <v>8</v>
      </c>
      <c r="BG473" s="16">
        <f>IFERROR(__xludf.DUMMYFUNCTION("""COMPUTED_VALUE"""),-1.0)</f>
        <v>-1</v>
      </c>
      <c r="BH473" s="16">
        <f>IFERROR(__xludf.DUMMYFUNCTION("""COMPUTED_VALUE"""),-3.0)</f>
        <v>-3</v>
      </c>
      <c r="BI473" s="16">
        <f>IFERROR(__xludf.DUMMYFUNCTION("""COMPUTED_VALUE"""),-2.0)</f>
        <v>-2</v>
      </c>
      <c r="BJ473" s="16">
        <f>IFERROR(__xludf.DUMMYFUNCTION("""COMPUTED_VALUE"""),-6.0)</f>
        <v>-6</v>
      </c>
      <c r="BK473" s="16">
        <f>IFERROR(__xludf.DUMMYFUNCTION("""COMPUTED_VALUE"""),5.0)</f>
        <v>5</v>
      </c>
      <c r="BL473" s="16">
        <f>IFERROR(__xludf.DUMMYFUNCTION("""COMPUTED_VALUE"""),5.0)</f>
        <v>5</v>
      </c>
      <c r="BM473" s="16">
        <f>IFERROR(__xludf.DUMMYFUNCTION("""COMPUTED_VALUE"""),0.0)</f>
        <v>0</v>
      </c>
      <c r="BN473" s="16">
        <f>IFERROR(__xludf.DUMMYFUNCTION("""COMPUTED_VALUE"""),0.0)</f>
        <v>0</v>
      </c>
      <c r="BO473" s="16">
        <f>IFERROR(__xludf.DUMMYFUNCTION("""COMPUTED_VALUE"""),0.0)</f>
        <v>0</v>
      </c>
      <c r="BP473" s="16">
        <f>IFERROR(__xludf.DUMMYFUNCTION("""COMPUTED_VALUE"""),0.0)</f>
        <v>0</v>
      </c>
      <c r="BQ473" s="16">
        <f>IFERROR(__xludf.DUMMYFUNCTION("""COMPUTED_VALUE"""),1.0)</f>
        <v>1</v>
      </c>
      <c r="BR473" s="16">
        <f>IFERROR(__xludf.DUMMYFUNCTION("""COMPUTED_VALUE"""),2.0)</f>
        <v>2</v>
      </c>
      <c r="BS473" s="16">
        <f>IFERROR(__xludf.DUMMYFUNCTION("""COMPUTED_VALUE"""),-2.0)</f>
        <v>-2</v>
      </c>
      <c r="BT473" s="16">
        <f>IFERROR(__xludf.DUMMYFUNCTION("""COMPUTED_VALUE"""),-2.0)</f>
        <v>-2</v>
      </c>
      <c r="BU473" s="16">
        <f>IFERROR(__xludf.DUMMYFUNCTION("""COMPUTED_VALUE"""),-4.0)</f>
        <v>-4</v>
      </c>
      <c r="BV473" s="16">
        <f>IFERROR(__xludf.DUMMYFUNCTION("""COMPUTED_VALUE"""),-4.0)</f>
        <v>-4</v>
      </c>
      <c r="BW473" s="16">
        <f>IFERROR(__xludf.DUMMYFUNCTION("""COMPUTED_VALUE"""),-3.0)</f>
        <v>-3</v>
      </c>
      <c r="BX473" s="16">
        <f>IFERROR(__xludf.DUMMYFUNCTION("""COMPUTED_VALUE"""),-3.0)</f>
        <v>-3</v>
      </c>
      <c r="BY473" s="16" t="str">
        <f>IFERROR(__xludf.DUMMYFUNCTION("""COMPUTED_VALUE"""),"S(4) R(3) C(0)")</f>
        <v>S(4) R(3) C(0)</v>
      </c>
      <c r="BZ473" s="16" t="str">
        <f>IFERROR(__xludf.DUMMYFUNCTION("""COMPUTED_VALUE"""),"S(4) R(3) C(0)")</f>
        <v>S(4) R(3) C(0)</v>
      </c>
      <c r="CA473" s="16" t="str">
        <f>IFERROR(__xludf.DUMMYFUNCTION("""COMPUTED_VALUE"""),"S(4)")</f>
        <v>S(4)</v>
      </c>
      <c r="CB473" s="16" t="str">
        <f>IFERROR(__xludf.DUMMYFUNCTION("""COMPUTED_VALUE"""),"R(3)")</f>
        <v>R(3)</v>
      </c>
      <c r="CC473" s="16" t="str">
        <f>IFERROR(__xludf.DUMMYFUNCTION("""COMPUTED_VALUE"""),"C(0)")</f>
        <v>C(0)</v>
      </c>
      <c r="CD473" s="16">
        <f>IFERROR(__xludf.DUMMYFUNCTION("""COMPUTED_VALUE"""),4.0)</f>
        <v>4</v>
      </c>
      <c r="CE473" s="16">
        <f>IFERROR(__xludf.DUMMYFUNCTION("""COMPUTED_VALUE"""),3.0)</f>
        <v>3</v>
      </c>
      <c r="CF473" s="16">
        <f>IFERROR(__xludf.DUMMYFUNCTION("""COMPUTED_VALUE"""),0.0)</f>
        <v>0</v>
      </c>
      <c r="CG473" s="16" t="str">
        <f>IFERROR(__xludf.DUMMYFUNCTION("""COMPUTED_VALUE"""),"3-0")</f>
        <v>3-0</v>
      </c>
      <c r="CH473" s="16">
        <f>IFERROR(__xludf.DUMMYFUNCTION("""COMPUTED_VALUE"""),3.0)</f>
        <v>3</v>
      </c>
      <c r="CI473" s="16">
        <f>IFERROR(__xludf.DUMMYFUNCTION("""COMPUTED_VALUE"""),0.0)</f>
        <v>0</v>
      </c>
      <c r="CJ473" s="16">
        <f>IFERROR(__xludf.DUMMYFUNCTION("""COMPUTED_VALUE"""),0.0)</f>
        <v>0</v>
      </c>
      <c r="CK473" s="16">
        <f>IFERROR(__xludf.DUMMYFUNCTION("""COMPUTED_VALUE"""),15.0)</f>
        <v>15</v>
      </c>
      <c r="CL473" s="16" t="str">
        <f>IFERROR(__xludf.DUMMYFUNCTION("""COMPUTED_VALUE"""),"1WR-C")</f>
        <v>1WR-C</v>
      </c>
      <c r="CM473" s="16" t="str">
        <f>IFERROR(__xludf.DUMMYFUNCTION("""COMPUTED_VALUE"""),"E")</f>
        <v>E</v>
      </c>
      <c r="CN473" s="16">
        <f>IFERROR(__xludf.DUMMYFUNCTION("""COMPUTED_VALUE"""),10.0)</f>
        <v>10</v>
      </c>
      <c r="CO473" s="16" t="str">
        <f>IFERROR(__xludf.DUMMYFUNCTION("""COMPUTED_VALUE"""),"C")</f>
        <v>C</v>
      </c>
      <c r="CP473" s="16" t="str">
        <f>IFERROR(__xludf.DUMMYFUNCTION("""COMPUTED_VALUE"""),"1p30")</f>
        <v>1p30</v>
      </c>
      <c r="CQ473" s="16">
        <f>IFERROR(__xludf.DUMMYFUNCTION("""COMPUTED_VALUE"""),-15.0)</f>
        <v>-15</v>
      </c>
      <c r="CR473" s="16">
        <f>IFERROR(__xludf.DUMMYFUNCTION("""COMPUTED_VALUE"""),-45.0)</f>
        <v>-45</v>
      </c>
      <c r="CS473" s="16">
        <f>IFERROR(__xludf.DUMMYFUNCTION("""COMPUTED_VALUE"""),-60.0)</f>
        <v>-60</v>
      </c>
      <c r="CT473" s="16">
        <f>IFERROR(__xludf.DUMMYFUNCTION("""COMPUTED_VALUE"""),-15.0)</f>
        <v>-15</v>
      </c>
      <c r="CU473" s="16">
        <f>IFERROR(__xludf.DUMMYFUNCTION("""COMPUTED_VALUE"""),-45.0)</f>
        <v>-45</v>
      </c>
      <c r="CV473" s="179">
        <f>IFERROR(__xludf.DUMMYFUNCTION("""COMPUTED_VALUE"""),-29.0)</f>
        <v>-29</v>
      </c>
      <c r="CW473" s="179">
        <f>IFERROR(__xludf.DUMMYFUNCTION("""COMPUTED_VALUE"""),4.0)</f>
        <v>4</v>
      </c>
      <c r="CX473" s="179">
        <f>IFERROR(__xludf.DUMMYFUNCTION("""COMPUTED_VALUE"""),2.0)</f>
        <v>2</v>
      </c>
      <c r="CY473" s="16" t="str">
        <f>IFERROR(__xludf.DUMMYFUNCTION("""COMPUTED_VALUE"""),"SP")</f>
        <v>SP</v>
      </c>
      <c r="CZ473" s="16" t="str">
        <f>IFERROR(__xludf.DUMMYFUNCTION("""COMPUTED_VALUE"""),"RP")</f>
        <v>RP</v>
      </c>
      <c r="DA473" s="16" t="str">
        <f>IFERROR(__xludf.DUMMYFUNCTION("""COMPUTED_VALUE"""),"CP")</f>
        <v>CP</v>
      </c>
      <c r="DB473" s="16"/>
      <c r="DC473" s="16"/>
      <c r="DD473" s="16"/>
      <c r="DE473" s="16"/>
      <c r="DF473" s="16"/>
      <c r="DG473" s="16"/>
      <c r="DH473" s="16"/>
      <c r="DI473" s="16"/>
      <c r="DJ473" s="16"/>
      <c r="DK473" s="16"/>
    </row>
    <row r="474">
      <c r="A474" s="16">
        <f>IFERROR(__xludf.DUMMYFUNCTION("""COMPUTED_VALUE"""),12594.0)</f>
        <v>12594</v>
      </c>
      <c r="B474" s="16" t="str">
        <f>IFERROR(__xludf.DUMMYFUNCTION("""COMPUTED_VALUE"""),"Brandon Bielak")</f>
        <v>Brandon Bielak</v>
      </c>
      <c r="C474" s="153">
        <f>IFERROR(__xludf.DUMMYFUNCTION("""COMPUTED_VALUE"""),0.14)</f>
        <v>0.14</v>
      </c>
      <c r="D474" s="16"/>
      <c r="E474" s="16" t="str">
        <f>IFERROR(__xludf.DUMMYFUNCTION("""COMPUTED_VALUE"""),"R")</f>
        <v>R</v>
      </c>
      <c r="F474" s="16">
        <f>IFERROR(__xludf.DUMMYFUNCTION("""COMPUTED_VALUE"""),30.0)</f>
        <v>30</v>
      </c>
      <c r="G474" s="16">
        <f>IFERROR(__xludf.DUMMYFUNCTION("""COMPUTED_VALUE"""),0.0)</f>
        <v>0</v>
      </c>
      <c r="H474" s="16">
        <f>IFERROR(__xludf.DUMMYFUNCTION("""COMPUTED_VALUE"""),0.0)</f>
        <v>0</v>
      </c>
      <c r="I474" s="16">
        <f>IFERROR(__xludf.DUMMYFUNCTION("""COMPUTED_VALUE"""),-3.0)</f>
        <v>-3</v>
      </c>
      <c r="J474" s="16">
        <f>IFERROR(__xludf.DUMMYFUNCTION("""COMPUTED_VALUE"""),-3.0)</f>
        <v>-3</v>
      </c>
      <c r="K474" s="16">
        <f>IFERROR(__xludf.DUMMYFUNCTION("""COMPUTED_VALUE"""),-9.0)</f>
        <v>-9</v>
      </c>
      <c r="L474" s="16">
        <f>IFERROR(__xludf.DUMMYFUNCTION("""COMPUTED_VALUE"""),-9.0)</f>
        <v>-9</v>
      </c>
      <c r="M474" s="16">
        <f>IFERROR(__xludf.DUMMYFUNCTION("""COMPUTED_VALUE"""),8.0)</f>
        <v>8</v>
      </c>
      <c r="N474" s="16">
        <f>IFERROR(__xludf.DUMMYFUNCTION("""COMPUTED_VALUE"""),14.0)</f>
        <v>14</v>
      </c>
      <c r="O474" s="16">
        <f>IFERROR(__xludf.DUMMYFUNCTION("""COMPUTED_VALUE"""),0.0)</f>
        <v>0</v>
      </c>
      <c r="P474" s="16">
        <f>IFERROR(__xludf.DUMMYFUNCTION("""COMPUTED_VALUE"""),-2.0)</f>
        <v>-2</v>
      </c>
      <c r="Q474" s="16">
        <f>IFERROR(__xludf.DUMMYFUNCTION("""COMPUTED_VALUE"""),0.0)</f>
        <v>0</v>
      </c>
      <c r="R474" s="16">
        <f>IFERROR(__xludf.DUMMYFUNCTION("""COMPUTED_VALUE"""),-2.0)</f>
        <v>-2</v>
      </c>
      <c r="S474" s="16">
        <f>IFERROR(__xludf.DUMMYFUNCTION("""COMPUTED_VALUE"""),26.5)</f>
        <v>26.5</v>
      </c>
      <c r="T474" s="16">
        <f>IFERROR(__xludf.DUMMYFUNCTION("""COMPUTED_VALUE"""),28.1)</f>
        <v>28.1</v>
      </c>
      <c r="U474" s="16">
        <f>IFERROR(__xludf.DUMMYFUNCTION("""COMPUTED_VALUE"""),-2.0)</f>
        <v>-2</v>
      </c>
      <c r="V474" s="16">
        <f>IFERROR(__xludf.DUMMYFUNCTION("""COMPUTED_VALUE"""),-2.0)</f>
        <v>-2</v>
      </c>
      <c r="W474" s="16">
        <f>IFERROR(__xludf.DUMMYFUNCTION("""COMPUTED_VALUE"""),-4.0)</f>
        <v>-4</v>
      </c>
      <c r="X474" s="16">
        <f>IFERROR(__xludf.DUMMYFUNCTION("""COMPUTED_VALUE"""),-4.0)</f>
        <v>-4</v>
      </c>
      <c r="Y474" s="16">
        <f>IFERROR(__xludf.DUMMYFUNCTION("""COMPUTED_VALUE"""),34.5)</f>
        <v>34.5</v>
      </c>
      <c r="Z474" s="16">
        <f>IFERROR(__xludf.DUMMYFUNCTION("""COMPUTED_VALUE"""),42.1)</f>
        <v>42.1</v>
      </c>
      <c r="AA474" s="16">
        <f>IFERROR(__xludf.DUMMYFUNCTION("""COMPUTED_VALUE"""),-1.0)</f>
        <v>-1</v>
      </c>
      <c r="AB474" s="16">
        <f>IFERROR(__xludf.DUMMYFUNCTION("""COMPUTED_VALUE"""),-2.0)</f>
        <v>-2</v>
      </c>
      <c r="AC474" s="16">
        <f>IFERROR(__xludf.DUMMYFUNCTION("""COMPUTED_VALUE"""),-5.0)</f>
        <v>-5</v>
      </c>
      <c r="AD474" s="16">
        <f>IFERROR(__xludf.DUMMYFUNCTION("""COMPUTED_VALUE"""),-10.0)</f>
        <v>-10</v>
      </c>
      <c r="AE474" s="16">
        <f>IFERROR(__xludf.DUMMYFUNCTION("""COMPUTED_VALUE"""),33.6)</f>
        <v>33.6</v>
      </c>
      <c r="AF474" s="16">
        <f>IFERROR(__xludf.DUMMYFUNCTION("""COMPUTED_VALUE"""),61.3)</f>
        <v>61.3</v>
      </c>
      <c r="AG474" s="16">
        <f>IFERROR(__xludf.DUMMYFUNCTION("""COMPUTED_VALUE"""),-1.0)</f>
        <v>-1</v>
      </c>
      <c r="AH474" s="16">
        <f>IFERROR(__xludf.DUMMYFUNCTION("""COMPUTED_VALUE"""),-3.0)</f>
        <v>-3</v>
      </c>
      <c r="AI474" s="16">
        <f>IFERROR(__xludf.DUMMYFUNCTION("""COMPUTED_VALUE"""),-2.0)</f>
        <v>-2</v>
      </c>
      <c r="AJ474" s="16">
        <f>IFERROR(__xludf.DUMMYFUNCTION("""COMPUTED_VALUE"""),-6.0)</f>
        <v>-6</v>
      </c>
      <c r="AK474" s="16">
        <f>IFERROR(__xludf.DUMMYFUNCTION("""COMPUTED_VALUE"""),26.3)</f>
        <v>26.3</v>
      </c>
      <c r="AL474" s="16">
        <f>IFERROR(__xludf.DUMMYFUNCTION("""COMPUTED_VALUE"""),22.6)</f>
        <v>22.6</v>
      </c>
      <c r="AM474" s="16">
        <f>IFERROR(__xludf.DUMMYFUNCTION("""COMPUTED_VALUE"""),-2.0)</f>
        <v>-2</v>
      </c>
      <c r="AN474" s="16">
        <f>IFERROR(__xludf.DUMMYFUNCTION("""COMPUTED_VALUE"""),-2.0)</f>
        <v>-2</v>
      </c>
      <c r="AO474" s="16">
        <f>IFERROR(__xludf.DUMMYFUNCTION("""COMPUTED_VALUE"""),-2.0)</f>
        <v>-2</v>
      </c>
      <c r="AP474" s="16">
        <f>IFERROR(__xludf.DUMMYFUNCTION("""COMPUTED_VALUE"""),-2.0)</f>
        <v>-2</v>
      </c>
      <c r="AQ474" s="16">
        <f>IFERROR(__xludf.DUMMYFUNCTION("""COMPUTED_VALUE"""),32.800000000000004)</f>
        <v>32.8</v>
      </c>
      <c r="AR474" s="16">
        <f>IFERROR(__xludf.DUMMYFUNCTION("""COMPUTED_VALUE"""),39.3)</f>
        <v>39.3</v>
      </c>
      <c r="AS474" s="16">
        <f>IFERROR(__xludf.DUMMYFUNCTION("""COMPUTED_VALUE"""),-2.0)</f>
        <v>-2</v>
      </c>
      <c r="AT474" s="16">
        <f>IFERROR(__xludf.DUMMYFUNCTION("""COMPUTED_VALUE"""),-2.0)</f>
        <v>-2</v>
      </c>
      <c r="AU474" s="16">
        <f>IFERROR(__xludf.DUMMYFUNCTION("""COMPUTED_VALUE"""),-4.0)</f>
        <v>-4</v>
      </c>
      <c r="AV474" s="16">
        <f>IFERROR(__xludf.DUMMYFUNCTION("""COMPUTED_VALUE"""),-4.0)</f>
        <v>-4</v>
      </c>
      <c r="AW474" s="16">
        <f>IFERROR(__xludf.DUMMYFUNCTION("""COMPUTED_VALUE"""),0.2)</f>
        <v>0.2</v>
      </c>
      <c r="AX474" s="16">
        <f>IFERROR(__xludf.DUMMYFUNCTION("""COMPUTED_VALUE"""),5.5)</f>
        <v>5.5</v>
      </c>
      <c r="AY474" s="16">
        <f>IFERROR(__xludf.DUMMYFUNCTION("""COMPUTED_VALUE"""),2.0)</f>
        <v>2</v>
      </c>
      <c r="AZ474" s="16">
        <f>IFERROR(__xludf.DUMMYFUNCTION("""COMPUTED_VALUE"""),-3.0)</f>
        <v>-3</v>
      </c>
      <c r="BA474" s="16">
        <f>IFERROR(__xludf.DUMMYFUNCTION("""COMPUTED_VALUE"""),10.0)</f>
        <v>10</v>
      </c>
      <c r="BB474" s="16">
        <f>IFERROR(__xludf.DUMMYFUNCTION("""COMPUTED_VALUE"""),-15.0)</f>
        <v>-15</v>
      </c>
      <c r="BC474" s="16">
        <f>IFERROR(__xludf.DUMMYFUNCTION("""COMPUTED_VALUE"""),0.0)</f>
        <v>0</v>
      </c>
      <c r="BD474" s="16">
        <f>IFERROR(__xludf.DUMMYFUNCTION("""COMPUTED_VALUE"""),8.0)</f>
        <v>8</v>
      </c>
      <c r="BE474" s="16">
        <f>IFERROR(__xludf.DUMMYFUNCTION("""COMPUTED_VALUE"""),0.0)</f>
        <v>0</v>
      </c>
      <c r="BF474" s="16">
        <f>IFERROR(__xludf.DUMMYFUNCTION("""COMPUTED_VALUE"""),8.0)</f>
        <v>8</v>
      </c>
      <c r="BG474" s="16">
        <f>IFERROR(__xludf.DUMMYFUNCTION("""COMPUTED_VALUE"""),3.0)</f>
        <v>3</v>
      </c>
      <c r="BH474" s="16">
        <f>IFERROR(__xludf.DUMMYFUNCTION("""COMPUTED_VALUE"""),-3.0)</f>
        <v>-3</v>
      </c>
      <c r="BI474" s="16">
        <f>IFERROR(__xludf.DUMMYFUNCTION("""COMPUTED_VALUE"""),6.0)</f>
        <v>6</v>
      </c>
      <c r="BJ474" s="16">
        <f>IFERROR(__xludf.DUMMYFUNCTION("""COMPUTED_VALUE"""),-6.0)</f>
        <v>-6</v>
      </c>
      <c r="BK474" s="16">
        <f>IFERROR(__xludf.DUMMYFUNCTION("""COMPUTED_VALUE"""),5.0)</f>
        <v>5</v>
      </c>
      <c r="BL474" s="16">
        <f>IFERROR(__xludf.DUMMYFUNCTION("""COMPUTED_VALUE"""),5.0)</f>
        <v>5</v>
      </c>
      <c r="BM474" s="16">
        <f>IFERROR(__xludf.DUMMYFUNCTION("""COMPUTED_VALUE"""),0.0)</f>
        <v>0</v>
      </c>
      <c r="BN474" s="16">
        <f>IFERROR(__xludf.DUMMYFUNCTION("""COMPUTED_VALUE"""),0.0)</f>
        <v>0</v>
      </c>
      <c r="BO474" s="16">
        <f>IFERROR(__xludf.DUMMYFUNCTION("""COMPUTED_VALUE"""),0.0)</f>
        <v>0</v>
      </c>
      <c r="BP474" s="16">
        <f>IFERROR(__xludf.DUMMYFUNCTION("""COMPUTED_VALUE"""),0.0)</f>
        <v>0</v>
      </c>
      <c r="BQ474" s="16">
        <f>IFERROR(__xludf.DUMMYFUNCTION("""COMPUTED_VALUE"""),9.0)</f>
        <v>9</v>
      </c>
      <c r="BR474" s="16">
        <f>IFERROR(__xludf.DUMMYFUNCTION("""COMPUTED_VALUE"""),10.0)</f>
        <v>10</v>
      </c>
      <c r="BS474" s="16">
        <f>IFERROR(__xludf.DUMMYFUNCTION("""COMPUTED_VALUE"""),3.0)</f>
        <v>3</v>
      </c>
      <c r="BT474" s="16">
        <f>IFERROR(__xludf.DUMMYFUNCTION("""COMPUTED_VALUE"""),3.0)</f>
        <v>3</v>
      </c>
      <c r="BU474" s="16">
        <f>IFERROR(__xludf.DUMMYFUNCTION("""COMPUTED_VALUE"""),6.0)</f>
        <v>6</v>
      </c>
      <c r="BV474" s="16">
        <f>IFERROR(__xludf.DUMMYFUNCTION("""COMPUTED_VALUE"""),6.0)</f>
        <v>6</v>
      </c>
      <c r="BW474" s="16">
        <f>IFERROR(__xludf.DUMMYFUNCTION("""COMPUTED_VALUE"""),-1.0)</f>
        <v>-1</v>
      </c>
      <c r="BX474" s="16">
        <f>IFERROR(__xludf.DUMMYFUNCTION("""COMPUTED_VALUE"""),-1.0)</f>
        <v>-1</v>
      </c>
      <c r="BY474" s="16" t="str">
        <f>IFERROR(__xludf.DUMMYFUNCTION("""COMPUTED_VALUE"""),"R(3)")</f>
        <v>R(3)</v>
      </c>
      <c r="BZ474" s="16" t="str">
        <f>IFERROR(__xludf.DUMMYFUNCTION("""COMPUTED_VALUE"""),"R(3)")</f>
        <v>R(3)</v>
      </c>
      <c r="CA474" s="16" t="str">
        <f>IFERROR(__xludf.DUMMYFUNCTION("""COMPUTED_VALUE"""),"R(3)")</f>
        <v>R(3)</v>
      </c>
      <c r="CB474" s="16"/>
      <c r="CC474" s="16"/>
      <c r="CD474" s="16"/>
      <c r="CE474" s="16">
        <f>IFERROR(__xludf.DUMMYFUNCTION("""COMPUTED_VALUE"""),3.0)</f>
        <v>3</v>
      </c>
      <c r="CF474" s="16"/>
      <c r="CG474" s="16" t="str">
        <f>IFERROR(__xludf.DUMMYFUNCTION("""COMPUTED_VALUE"""),"3-0")</f>
        <v>3-0</v>
      </c>
      <c r="CH474" s="16">
        <f>IFERROR(__xludf.DUMMYFUNCTION("""COMPUTED_VALUE"""),3.0)</f>
        <v>3</v>
      </c>
      <c r="CI474" s="16">
        <f>IFERROR(__xludf.DUMMYFUNCTION("""COMPUTED_VALUE"""),0.0)</f>
        <v>0</v>
      </c>
      <c r="CJ474" s="16">
        <f>IFERROR(__xludf.DUMMYFUNCTION("""COMPUTED_VALUE"""),0.0)</f>
        <v>0</v>
      </c>
      <c r="CK474" s="16">
        <f>IFERROR(__xludf.DUMMYFUNCTION("""COMPUTED_VALUE"""),6.0)</f>
        <v>6</v>
      </c>
      <c r="CL474" s="16" t="str">
        <f>IFERROR(__xludf.DUMMYFUNCTION("""COMPUTED_VALUE"""),"1WL-C")</f>
        <v>1WL-C</v>
      </c>
      <c r="CM474" s="16" t="str">
        <f>IFERROR(__xludf.DUMMYFUNCTION("""COMPUTED_VALUE"""),"E")</f>
        <v>E</v>
      </c>
      <c r="CN474" s="16">
        <f>IFERROR(__xludf.DUMMYFUNCTION("""COMPUTED_VALUE"""),10.0)</f>
        <v>10</v>
      </c>
      <c r="CO474" s="16" t="str">
        <f>IFERROR(__xludf.DUMMYFUNCTION("""COMPUTED_VALUE"""),"C")</f>
        <v>C</v>
      </c>
      <c r="CP474" s="16" t="str">
        <f>IFERROR(__xludf.DUMMYFUNCTION("""COMPUTED_VALUE"""),"1p20")</f>
        <v>1p20</v>
      </c>
      <c r="CQ474" s="16">
        <f>IFERROR(__xludf.DUMMYFUNCTION("""COMPUTED_VALUE"""),-4.0)</f>
        <v>-4</v>
      </c>
      <c r="CR474" s="16">
        <f>IFERROR(__xludf.DUMMYFUNCTION("""COMPUTED_VALUE"""),-52.0)</f>
        <v>-52</v>
      </c>
      <c r="CS474" s="16">
        <f>IFERROR(__xludf.DUMMYFUNCTION("""COMPUTED_VALUE"""),-56.0)</f>
        <v>-56</v>
      </c>
      <c r="CT474" s="16">
        <f>IFERROR(__xludf.DUMMYFUNCTION("""COMPUTED_VALUE"""),-4.0)</f>
        <v>-4</v>
      </c>
      <c r="CU474" s="16">
        <f>IFERROR(__xludf.DUMMYFUNCTION("""COMPUTED_VALUE"""),-52.0)</f>
        <v>-52</v>
      </c>
      <c r="CV474" s="179">
        <f>IFERROR(__xludf.DUMMYFUNCTION("""COMPUTED_VALUE"""),-29.0)</f>
        <v>-29</v>
      </c>
      <c r="CW474" s="179">
        <f>IFERROR(__xludf.DUMMYFUNCTION("""COMPUTED_VALUE"""),4.0)</f>
        <v>4</v>
      </c>
      <c r="CX474" s="179">
        <f>IFERROR(__xludf.DUMMYFUNCTION("""COMPUTED_VALUE"""),3.0)</f>
        <v>3</v>
      </c>
      <c r="CY474" s="16" t="str">
        <f>IFERROR(__xludf.DUMMYFUNCTION("""COMPUTED_VALUE"""),"RP")</f>
        <v>RP</v>
      </c>
      <c r="CZ474" s="16"/>
      <c r="DA474" s="16"/>
      <c r="DB474" s="16"/>
      <c r="DC474" s="16"/>
      <c r="DD474" s="16"/>
      <c r="DE474" s="16"/>
      <c r="DF474" s="16"/>
      <c r="DG474" s="16"/>
      <c r="DH474" s="16"/>
      <c r="DI474" s="16"/>
      <c r="DJ474" s="16"/>
      <c r="DK474" s="16"/>
    </row>
    <row r="475">
      <c r="A475" s="16">
        <f>IFERROR(__xludf.DUMMYFUNCTION("""COMPUTED_VALUE"""),12502.0)</f>
        <v>12502</v>
      </c>
      <c r="B475" s="16" t="str">
        <f>IFERROR(__xludf.DUMMYFUNCTION("""COMPUTED_VALUE"""),"Adam Mazur")</f>
        <v>Adam Mazur</v>
      </c>
      <c r="C475" s="153">
        <f>IFERROR(__xludf.DUMMYFUNCTION("""COMPUTED_VALUE"""),0.0)</f>
        <v>0</v>
      </c>
      <c r="D475" s="16"/>
      <c r="E475" s="16" t="str">
        <f>IFERROR(__xludf.DUMMYFUNCTION("""COMPUTED_VALUE"""),"R")</f>
        <v>R</v>
      </c>
      <c r="F475" s="16">
        <f>IFERROR(__xludf.DUMMYFUNCTION("""COMPUTED_VALUE"""),34.0)</f>
        <v>34</v>
      </c>
      <c r="G475" s="16">
        <f>IFERROR(__xludf.DUMMYFUNCTION("""COMPUTED_VALUE"""),2.0)</f>
        <v>2</v>
      </c>
      <c r="H475" s="16">
        <f>IFERROR(__xludf.DUMMYFUNCTION("""COMPUTED_VALUE"""),11.0)</f>
        <v>11</v>
      </c>
      <c r="I475" s="16">
        <f>IFERROR(__xludf.DUMMYFUNCTION("""COMPUTED_VALUE"""),-3.0)</f>
        <v>-3</v>
      </c>
      <c r="J475" s="16">
        <f>IFERROR(__xludf.DUMMYFUNCTION("""COMPUTED_VALUE"""),-2.0)</f>
        <v>-2</v>
      </c>
      <c r="K475" s="16">
        <f>IFERROR(__xludf.DUMMYFUNCTION("""COMPUTED_VALUE"""),-9.0)</f>
        <v>-9</v>
      </c>
      <c r="L475" s="16">
        <f>IFERROR(__xludf.DUMMYFUNCTION("""COMPUTED_VALUE"""),-6.0)</f>
        <v>-6</v>
      </c>
      <c r="M475" s="16">
        <f>IFERROR(__xludf.DUMMYFUNCTION("""COMPUTED_VALUE"""),31.0)</f>
        <v>31</v>
      </c>
      <c r="N475" s="16">
        <f>IFERROR(__xludf.DUMMYFUNCTION("""COMPUTED_VALUE"""),6.0)</f>
        <v>6</v>
      </c>
      <c r="O475" s="16">
        <f>IFERROR(__xludf.DUMMYFUNCTION("""COMPUTED_VALUE"""),-3.0)</f>
        <v>-3</v>
      </c>
      <c r="P475" s="16">
        <f>IFERROR(__xludf.DUMMYFUNCTION("""COMPUTED_VALUE"""),1.0)</f>
        <v>1</v>
      </c>
      <c r="Q475" s="16">
        <f>IFERROR(__xludf.DUMMYFUNCTION("""COMPUTED_VALUE"""),-3.0)</f>
        <v>-3</v>
      </c>
      <c r="R475" s="16">
        <f>IFERROR(__xludf.DUMMYFUNCTION("""COMPUTED_VALUE"""),1.0)</f>
        <v>1</v>
      </c>
      <c r="S475" s="16">
        <f>IFERROR(__xludf.DUMMYFUNCTION("""COMPUTED_VALUE"""),25.4)</f>
        <v>25.4</v>
      </c>
      <c r="T475" s="16">
        <f>IFERROR(__xludf.DUMMYFUNCTION("""COMPUTED_VALUE"""),20.6)</f>
        <v>20.6</v>
      </c>
      <c r="U475" s="16">
        <f>IFERROR(__xludf.DUMMYFUNCTION("""COMPUTED_VALUE"""),-2.0)</f>
        <v>-2</v>
      </c>
      <c r="V475" s="16">
        <f>IFERROR(__xludf.DUMMYFUNCTION("""COMPUTED_VALUE"""),-1.0)</f>
        <v>-1</v>
      </c>
      <c r="W475" s="16">
        <f>IFERROR(__xludf.DUMMYFUNCTION("""COMPUTED_VALUE"""),-4.0)</f>
        <v>-4</v>
      </c>
      <c r="X475" s="16">
        <f>IFERROR(__xludf.DUMMYFUNCTION("""COMPUTED_VALUE"""),-2.0)</f>
        <v>-2</v>
      </c>
      <c r="Y475" s="16">
        <f>IFERROR(__xludf.DUMMYFUNCTION("""COMPUTED_VALUE"""),56.4)</f>
        <v>56.4</v>
      </c>
      <c r="Z475" s="16">
        <f>IFERROR(__xludf.DUMMYFUNCTION("""COMPUTED_VALUE"""),26.6)</f>
        <v>26.6</v>
      </c>
      <c r="AA475" s="16">
        <f>IFERROR(__xludf.DUMMYFUNCTION("""COMPUTED_VALUE"""),-3.0)</f>
        <v>-3</v>
      </c>
      <c r="AB475" s="16">
        <f>IFERROR(__xludf.DUMMYFUNCTION("""COMPUTED_VALUE"""),0.0)</f>
        <v>0</v>
      </c>
      <c r="AC475" s="16">
        <f>IFERROR(__xludf.DUMMYFUNCTION("""COMPUTED_VALUE"""),-15.0)</f>
        <v>-15</v>
      </c>
      <c r="AD475" s="16">
        <f>IFERROR(__xludf.DUMMYFUNCTION("""COMPUTED_VALUE"""),0.0)</f>
        <v>0</v>
      </c>
      <c r="AE475" s="16">
        <f>IFERROR(__xludf.DUMMYFUNCTION("""COMPUTED_VALUE"""),45.9)</f>
        <v>45.9</v>
      </c>
      <c r="AF475" s="16">
        <f>IFERROR(__xludf.DUMMYFUNCTION("""COMPUTED_VALUE"""),44.5)</f>
        <v>44.5</v>
      </c>
      <c r="AG475" s="16">
        <f>IFERROR(__xludf.DUMMYFUNCTION("""COMPUTED_VALUE"""),-2.0)</f>
        <v>-2</v>
      </c>
      <c r="AH475" s="16">
        <f>IFERROR(__xludf.DUMMYFUNCTION("""COMPUTED_VALUE"""),-2.0)</f>
        <v>-2</v>
      </c>
      <c r="AI475" s="16">
        <f>IFERROR(__xludf.DUMMYFUNCTION("""COMPUTED_VALUE"""),-4.0)</f>
        <v>-4</v>
      </c>
      <c r="AJ475" s="16">
        <f>IFERROR(__xludf.DUMMYFUNCTION("""COMPUTED_VALUE"""),-4.0)</f>
        <v>-4</v>
      </c>
      <c r="AK475" s="16">
        <f>IFERROR(__xludf.DUMMYFUNCTION("""COMPUTED_VALUE"""),23.4)</f>
        <v>23.4</v>
      </c>
      <c r="AL475" s="16">
        <f>IFERROR(__xludf.DUMMYFUNCTION("""COMPUTED_VALUE"""),16.6)</f>
        <v>16.6</v>
      </c>
      <c r="AM475" s="16">
        <f>IFERROR(__xludf.DUMMYFUNCTION("""COMPUTED_VALUE"""),-2.0)</f>
        <v>-2</v>
      </c>
      <c r="AN475" s="16">
        <f>IFERROR(__xludf.DUMMYFUNCTION("""COMPUTED_VALUE"""),-1.0)</f>
        <v>-1</v>
      </c>
      <c r="AO475" s="16">
        <f>IFERROR(__xludf.DUMMYFUNCTION("""COMPUTED_VALUE"""),-2.0)</f>
        <v>-2</v>
      </c>
      <c r="AP475" s="16">
        <f>IFERROR(__xludf.DUMMYFUNCTION("""COMPUTED_VALUE"""),-1.0)</f>
        <v>-1</v>
      </c>
      <c r="AQ475" s="16">
        <f>IFERROR(__xludf.DUMMYFUNCTION("""COMPUTED_VALUE"""),37.9)</f>
        <v>37.9</v>
      </c>
      <c r="AR475" s="16">
        <f>IFERROR(__xludf.DUMMYFUNCTION("""COMPUTED_VALUE"""),28.5)</f>
        <v>28.5</v>
      </c>
      <c r="AS475" s="16">
        <f>IFERROR(__xludf.DUMMYFUNCTION("""COMPUTED_VALUE"""),-2.0)</f>
        <v>-2</v>
      </c>
      <c r="AT475" s="16">
        <f>IFERROR(__xludf.DUMMYFUNCTION("""COMPUTED_VALUE"""),-1.0)</f>
        <v>-1</v>
      </c>
      <c r="AU475" s="16">
        <f>IFERROR(__xludf.DUMMYFUNCTION("""COMPUTED_VALUE"""),-4.0)</f>
        <v>-4</v>
      </c>
      <c r="AV475" s="16">
        <f>IFERROR(__xludf.DUMMYFUNCTION("""COMPUTED_VALUE"""),-2.0)</f>
        <v>-2</v>
      </c>
      <c r="AW475" s="16">
        <f>IFERROR(__xludf.DUMMYFUNCTION("""COMPUTED_VALUE"""),2.0)</f>
        <v>2</v>
      </c>
      <c r="AX475" s="16">
        <f>IFERROR(__xludf.DUMMYFUNCTION("""COMPUTED_VALUE"""),4.0)</f>
        <v>4</v>
      </c>
      <c r="AY475" s="16">
        <f>IFERROR(__xludf.DUMMYFUNCTION("""COMPUTED_VALUE"""),0.0)</f>
        <v>0</v>
      </c>
      <c r="AZ475" s="16">
        <f>IFERROR(__xludf.DUMMYFUNCTION("""COMPUTED_VALUE"""),-2.0)</f>
        <v>-2</v>
      </c>
      <c r="BA475" s="16">
        <f>IFERROR(__xludf.DUMMYFUNCTION("""COMPUTED_VALUE"""),0.0)</f>
        <v>0</v>
      </c>
      <c r="BB475" s="16">
        <f>IFERROR(__xludf.DUMMYFUNCTION("""COMPUTED_VALUE"""),-10.0)</f>
        <v>-10</v>
      </c>
      <c r="BC475" s="16">
        <f>IFERROR(__xludf.DUMMYFUNCTION("""COMPUTED_VALUE"""),3.0)</f>
        <v>3</v>
      </c>
      <c r="BD475" s="16">
        <f>IFERROR(__xludf.DUMMYFUNCTION("""COMPUTED_VALUE"""),6.0)</f>
        <v>6</v>
      </c>
      <c r="BE475" s="16">
        <f>IFERROR(__xludf.DUMMYFUNCTION("""COMPUTED_VALUE"""),3.0)</f>
        <v>3</v>
      </c>
      <c r="BF475" s="16">
        <f>IFERROR(__xludf.DUMMYFUNCTION("""COMPUTED_VALUE"""),6.0)</f>
        <v>6</v>
      </c>
      <c r="BG475" s="16">
        <f>IFERROR(__xludf.DUMMYFUNCTION("""COMPUTED_VALUE"""),0.0)</f>
        <v>0</v>
      </c>
      <c r="BH475" s="16">
        <f>IFERROR(__xludf.DUMMYFUNCTION("""COMPUTED_VALUE"""),-2.0)</f>
        <v>-2</v>
      </c>
      <c r="BI475" s="16">
        <f>IFERROR(__xludf.DUMMYFUNCTION("""COMPUTED_VALUE"""),0.0)</f>
        <v>0</v>
      </c>
      <c r="BJ475" s="16">
        <f>IFERROR(__xludf.DUMMYFUNCTION("""COMPUTED_VALUE"""),-4.0)</f>
        <v>-4</v>
      </c>
      <c r="BK475" s="16">
        <f>IFERROR(__xludf.DUMMYFUNCTION("""COMPUTED_VALUE"""),5.0)</f>
        <v>5</v>
      </c>
      <c r="BL475" s="16">
        <f>IFERROR(__xludf.DUMMYFUNCTION("""COMPUTED_VALUE"""),5.0)</f>
        <v>5</v>
      </c>
      <c r="BM475" s="16">
        <f>IFERROR(__xludf.DUMMYFUNCTION("""COMPUTED_VALUE"""),0.0)</f>
        <v>0</v>
      </c>
      <c r="BN475" s="16">
        <f>IFERROR(__xludf.DUMMYFUNCTION("""COMPUTED_VALUE"""),0.0)</f>
        <v>0</v>
      </c>
      <c r="BO475" s="16">
        <f>IFERROR(__xludf.DUMMYFUNCTION("""COMPUTED_VALUE"""),0.0)</f>
        <v>0</v>
      </c>
      <c r="BP475" s="16">
        <f>IFERROR(__xludf.DUMMYFUNCTION("""COMPUTED_VALUE"""),0.0)</f>
        <v>0</v>
      </c>
      <c r="BQ475" s="16">
        <f>IFERROR(__xludf.DUMMYFUNCTION("""COMPUTED_VALUE"""),4.0)</f>
        <v>4</v>
      </c>
      <c r="BR475" s="16">
        <f>IFERROR(__xludf.DUMMYFUNCTION("""COMPUTED_VALUE"""),8.0)</f>
        <v>8</v>
      </c>
      <c r="BS475" s="16">
        <f>IFERROR(__xludf.DUMMYFUNCTION("""COMPUTED_VALUE"""),-1.0)</f>
        <v>-1</v>
      </c>
      <c r="BT475" s="16">
        <f>IFERROR(__xludf.DUMMYFUNCTION("""COMPUTED_VALUE"""),2.0)</f>
        <v>2</v>
      </c>
      <c r="BU475" s="16">
        <f>IFERROR(__xludf.DUMMYFUNCTION("""COMPUTED_VALUE"""),-2.0)</f>
        <v>-2</v>
      </c>
      <c r="BV475" s="16">
        <f>IFERROR(__xludf.DUMMYFUNCTION("""COMPUTED_VALUE"""),4.0)</f>
        <v>4</v>
      </c>
      <c r="BW475" s="16">
        <f>IFERROR(__xludf.DUMMYFUNCTION("""COMPUTED_VALUE"""),-3.0)</f>
        <v>-3</v>
      </c>
      <c r="BX475" s="16">
        <f>IFERROR(__xludf.DUMMYFUNCTION("""COMPUTED_VALUE"""),-3.0)</f>
        <v>-3</v>
      </c>
      <c r="BY475" s="16" t="str">
        <f>IFERROR(__xludf.DUMMYFUNCTION("""COMPUTED_VALUE"""),"S(4)")</f>
        <v>S(4)</v>
      </c>
      <c r="BZ475" s="16" t="str">
        <f>IFERROR(__xludf.DUMMYFUNCTION("""COMPUTED_VALUE"""),"S(4)")</f>
        <v>S(4)</v>
      </c>
      <c r="CA475" s="16" t="str">
        <f>IFERROR(__xludf.DUMMYFUNCTION("""COMPUTED_VALUE"""),"S(4)")</f>
        <v>S(4)</v>
      </c>
      <c r="CB475" s="16"/>
      <c r="CC475" s="16"/>
      <c r="CD475" s="16">
        <f>IFERROR(__xludf.DUMMYFUNCTION("""COMPUTED_VALUE"""),4.0)</f>
        <v>4</v>
      </c>
      <c r="CE475" s="16"/>
      <c r="CF475" s="16"/>
      <c r="CG475" s="16" t="str">
        <f>IFERROR(__xludf.DUMMYFUNCTION("""COMPUTED_VALUE"""),"3-0")</f>
        <v>3-0</v>
      </c>
      <c r="CH475" s="16">
        <f>IFERROR(__xludf.DUMMYFUNCTION("""COMPUTED_VALUE"""),3.0)</f>
        <v>3</v>
      </c>
      <c r="CI475" s="16">
        <f>IFERROR(__xludf.DUMMYFUNCTION("""COMPUTED_VALUE"""),0.0)</f>
        <v>0</v>
      </c>
      <c r="CJ475" s="16">
        <f>IFERROR(__xludf.DUMMYFUNCTION("""COMPUTED_VALUE"""),0.0)</f>
        <v>0</v>
      </c>
      <c r="CK475" s="16">
        <f>IFERROR(__xludf.DUMMYFUNCTION("""COMPUTED_VALUE"""),0.0)</f>
        <v>0</v>
      </c>
      <c r="CL475" s="16" t="str">
        <f>IFERROR(__xludf.DUMMYFUNCTION("""COMPUTED_VALUE"""),"1WR-C")</f>
        <v>1WR-C</v>
      </c>
      <c r="CM475" s="16" t="str">
        <f>IFERROR(__xludf.DUMMYFUNCTION("""COMPUTED_VALUE"""),"E")</f>
        <v>E</v>
      </c>
      <c r="CN475" s="16">
        <f>IFERROR(__xludf.DUMMYFUNCTION("""COMPUTED_VALUE"""),10.0)</f>
        <v>10</v>
      </c>
      <c r="CO475" s="16" t="str">
        <f>IFERROR(__xludf.DUMMYFUNCTION("""COMPUTED_VALUE"""),"C")</f>
        <v>C</v>
      </c>
      <c r="CP475" s="16" t="str">
        <f>IFERROR(__xludf.DUMMYFUNCTION("""COMPUTED_VALUE"""),"1p20")</f>
        <v>1p20</v>
      </c>
      <c r="CQ475" s="16">
        <f>IFERROR(__xludf.DUMMYFUNCTION("""COMPUTED_VALUE"""),-43.0)</f>
        <v>-43</v>
      </c>
      <c r="CR475" s="16">
        <f>IFERROR(__xludf.DUMMYFUNCTION("""COMPUTED_VALUE"""),-24.0)</f>
        <v>-24</v>
      </c>
      <c r="CS475" s="16">
        <f>IFERROR(__xludf.DUMMYFUNCTION("""COMPUTED_VALUE"""),-67.0)</f>
        <v>-67</v>
      </c>
      <c r="CT475" s="16">
        <f>IFERROR(__xludf.DUMMYFUNCTION("""COMPUTED_VALUE"""),-43.0)</f>
        <v>-43</v>
      </c>
      <c r="CU475" s="16">
        <f>IFERROR(__xludf.DUMMYFUNCTION("""COMPUTED_VALUE"""),-24.0)</f>
        <v>-24</v>
      </c>
      <c r="CV475" s="179">
        <f>IFERROR(__xludf.DUMMYFUNCTION("""COMPUTED_VALUE"""),-29.666666666666664)</f>
        <v>-29.66666667</v>
      </c>
      <c r="CW475" s="179">
        <f>IFERROR(__xludf.DUMMYFUNCTION("""COMPUTED_VALUE"""),4.0)</f>
        <v>4</v>
      </c>
      <c r="CX475" s="179">
        <f>IFERROR(__xludf.DUMMYFUNCTION("""COMPUTED_VALUE"""),3.0)</f>
        <v>3</v>
      </c>
      <c r="CY475" s="16" t="str">
        <f>IFERROR(__xludf.DUMMYFUNCTION("""COMPUTED_VALUE"""),"SP")</f>
        <v>SP</v>
      </c>
      <c r="CZ475" s="16"/>
      <c r="DA475" s="16"/>
      <c r="DB475" s="16"/>
      <c r="DC475" s="16"/>
      <c r="DD475" s="16"/>
      <c r="DE475" s="16"/>
      <c r="DF475" s="16"/>
      <c r="DG475" s="16"/>
      <c r="DH475" s="16"/>
      <c r="DI475" s="16"/>
      <c r="DJ475" s="16"/>
      <c r="DK475" s="16"/>
    </row>
    <row r="476">
      <c r="A476" s="16">
        <f>IFERROR(__xludf.DUMMYFUNCTION("""COMPUTED_VALUE"""),12780.0)</f>
        <v>12780</v>
      </c>
      <c r="B476" s="16" t="str">
        <f>IFERROR(__xludf.DUMMYFUNCTION("""COMPUTED_VALUE"""),"Eduardo Rodriguez")</f>
        <v>Eduardo Rodriguez</v>
      </c>
      <c r="C476" s="153">
        <f>IFERROR(__xludf.DUMMYFUNCTION("""COMPUTED_VALUE"""),0.18)</f>
        <v>0.18</v>
      </c>
      <c r="D476" s="16"/>
      <c r="E476" s="16" t="str">
        <f>IFERROR(__xludf.DUMMYFUNCTION("""COMPUTED_VALUE"""),"L")</f>
        <v>L</v>
      </c>
      <c r="F476" s="16">
        <f>IFERROR(__xludf.DUMMYFUNCTION("""COMPUTED_VALUE"""),50.0)</f>
        <v>50</v>
      </c>
      <c r="G476" s="16">
        <f>IFERROR(__xludf.DUMMYFUNCTION("""COMPUTED_VALUE"""),15.0)</f>
        <v>15</v>
      </c>
      <c r="H476" s="16">
        <f>IFERROR(__xludf.DUMMYFUNCTION("""COMPUTED_VALUE"""),23.0)</f>
        <v>23</v>
      </c>
      <c r="I476" s="16">
        <f>IFERROR(__xludf.DUMMYFUNCTION("""COMPUTED_VALUE"""),-2.0)</f>
        <v>-2</v>
      </c>
      <c r="J476" s="16">
        <f>IFERROR(__xludf.DUMMYFUNCTION("""COMPUTED_VALUE"""),-1.0)</f>
        <v>-1</v>
      </c>
      <c r="K476" s="16">
        <f>IFERROR(__xludf.DUMMYFUNCTION("""COMPUTED_VALUE"""),-6.0)</f>
        <v>-6</v>
      </c>
      <c r="L476" s="16">
        <f>IFERROR(__xludf.DUMMYFUNCTION("""COMPUTED_VALUE"""),-3.0)</f>
        <v>-3</v>
      </c>
      <c r="M476" s="16">
        <f>IFERROR(__xludf.DUMMYFUNCTION("""COMPUTED_VALUE"""),23.0)</f>
        <v>23</v>
      </c>
      <c r="N476" s="16">
        <f>IFERROR(__xludf.DUMMYFUNCTION("""COMPUTED_VALUE"""),6.0)</f>
        <v>6</v>
      </c>
      <c r="O476" s="16">
        <f>IFERROR(__xludf.DUMMYFUNCTION("""COMPUTED_VALUE"""),-3.0)</f>
        <v>-3</v>
      </c>
      <c r="P476" s="16">
        <f>IFERROR(__xludf.DUMMYFUNCTION("""COMPUTED_VALUE"""),1.0)</f>
        <v>1</v>
      </c>
      <c r="Q476" s="16">
        <f>IFERROR(__xludf.DUMMYFUNCTION("""COMPUTED_VALUE"""),-3.0)</f>
        <v>-3</v>
      </c>
      <c r="R476" s="16">
        <f>IFERROR(__xludf.DUMMYFUNCTION("""COMPUTED_VALUE"""),1.0)</f>
        <v>1</v>
      </c>
      <c r="S476" s="16">
        <f>IFERROR(__xludf.DUMMYFUNCTION("""COMPUTED_VALUE"""),8.2)</f>
        <v>8.2</v>
      </c>
      <c r="T476" s="16">
        <f>IFERROR(__xludf.DUMMYFUNCTION("""COMPUTED_VALUE"""),25.4)</f>
        <v>25.4</v>
      </c>
      <c r="U476" s="16">
        <f>IFERROR(__xludf.DUMMYFUNCTION("""COMPUTED_VALUE"""),1.0)</f>
        <v>1</v>
      </c>
      <c r="V476" s="16">
        <f>IFERROR(__xludf.DUMMYFUNCTION("""COMPUTED_VALUE"""),-2.0)</f>
        <v>-2</v>
      </c>
      <c r="W476" s="16">
        <f>IFERROR(__xludf.DUMMYFUNCTION("""COMPUTED_VALUE"""),2.0)</f>
        <v>2</v>
      </c>
      <c r="X476" s="16">
        <f>IFERROR(__xludf.DUMMYFUNCTION("""COMPUTED_VALUE"""),-4.0)</f>
        <v>-4</v>
      </c>
      <c r="Y476" s="16">
        <f>IFERROR(__xludf.DUMMYFUNCTION("""COMPUTED_VALUE"""),31.2)</f>
        <v>31.2</v>
      </c>
      <c r="Z476" s="16">
        <f>IFERROR(__xludf.DUMMYFUNCTION("""COMPUTED_VALUE"""),31.4)</f>
        <v>31.4</v>
      </c>
      <c r="AA476" s="16">
        <f>IFERROR(__xludf.DUMMYFUNCTION("""COMPUTED_VALUE"""),-1.0)</f>
        <v>-1</v>
      </c>
      <c r="AB476" s="16">
        <f>IFERROR(__xludf.DUMMYFUNCTION("""COMPUTED_VALUE"""),-1.0)</f>
        <v>-1</v>
      </c>
      <c r="AC476" s="16">
        <f>IFERROR(__xludf.DUMMYFUNCTION("""COMPUTED_VALUE"""),-5.0)</f>
        <v>-5</v>
      </c>
      <c r="AD476" s="16">
        <f>IFERROR(__xludf.DUMMYFUNCTION("""COMPUTED_VALUE"""),-5.0)</f>
        <v>-5</v>
      </c>
      <c r="AE476" s="16">
        <f>IFERROR(__xludf.DUMMYFUNCTION("""COMPUTED_VALUE"""),25.6)</f>
        <v>25.6</v>
      </c>
      <c r="AF476" s="16">
        <f>IFERROR(__xludf.DUMMYFUNCTION("""COMPUTED_VALUE"""),45.3)</f>
        <v>45.3</v>
      </c>
      <c r="AG476" s="16">
        <f>IFERROR(__xludf.DUMMYFUNCTION("""COMPUTED_VALUE"""),0.0)</f>
        <v>0</v>
      </c>
      <c r="AH476" s="16">
        <f>IFERROR(__xludf.DUMMYFUNCTION("""COMPUTED_VALUE"""),-2.0)</f>
        <v>-2</v>
      </c>
      <c r="AI476" s="16">
        <f>IFERROR(__xludf.DUMMYFUNCTION("""COMPUTED_VALUE"""),0.0)</f>
        <v>0</v>
      </c>
      <c r="AJ476" s="16">
        <f>IFERROR(__xludf.DUMMYFUNCTION("""COMPUTED_VALUE"""),-4.0)</f>
        <v>-4</v>
      </c>
      <c r="AK476" s="16">
        <f>IFERROR(__xludf.DUMMYFUNCTION("""COMPUTED_VALUE"""),2.6999999999999993)</f>
        <v>2.7</v>
      </c>
      <c r="AL476" s="16">
        <f>IFERROR(__xludf.DUMMYFUNCTION("""COMPUTED_VALUE"""),23.0)</f>
        <v>23</v>
      </c>
      <c r="AM476" s="16">
        <f>IFERROR(__xludf.DUMMYFUNCTION("""COMPUTED_VALUE"""),2.0)</f>
        <v>2</v>
      </c>
      <c r="AN476" s="16">
        <f>IFERROR(__xludf.DUMMYFUNCTION("""COMPUTED_VALUE"""),-2.0)</f>
        <v>-2</v>
      </c>
      <c r="AO476" s="16">
        <f>IFERROR(__xludf.DUMMYFUNCTION("""COMPUTED_VALUE"""),2.0)</f>
        <v>2</v>
      </c>
      <c r="AP476" s="16">
        <f>IFERROR(__xludf.DUMMYFUNCTION("""COMPUTED_VALUE"""),-2.0)</f>
        <v>-2</v>
      </c>
      <c r="AQ476" s="16">
        <f>IFERROR(__xludf.DUMMYFUNCTION("""COMPUTED_VALUE"""),3.6000000000000014)</f>
        <v>3.6</v>
      </c>
      <c r="AR476" s="16">
        <f>IFERROR(__xludf.DUMMYFUNCTION("""COMPUTED_VALUE"""),35.699999999999996)</f>
        <v>35.7</v>
      </c>
      <c r="AS476" s="16">
        <f>IFERROR(__xludf.DUMMYFUNCTION("""COMPUTED_VALUE"""),2.0)</f>
        <v>2</v>
      </c>
      <c r="AT476" s="16">
        <f>IFERROR(__xludf.DUMMYFUNCTION("""COMPUTED_VALUE"""),-2.0)</f>
        <v>-2</v>
      </c>
      <c r="AU476" s="16">
        <f>IFERROR(__xludf.DUMMYFUNCTION("""COMPUTED_VALUE"""),4.0)</f>
        <v>4</v>
      </c>
      <c r="AV476" s="16">
        <f>IFERROR(__xludf.DUMMYFUNCTION("""COMPUTED_VALUE"""),-4.0)</f>
        <v>-4</v>
      </c>
      <c r="AW476" s="16">
        <f>IFERROR(__xludf.DUMMYFUNCTION("""COMPUTED_VALUE"""),5.5)</f>
        <v>5.5</v>
      </c>
      <c r="AX476" s="16">
        <f>IFERROR(__xludf.DUMMYFUNCTION("""COMPUTED_VALUE"""),2.4)</f>
        <v>2.4</v>
      </c>
      <c r="AY476" s="16">
        <f>IFERROR(__xludf.DUMMYFUNCTION("""COMPUTED_VALUE"""),-3.0)</f>
        <v>-3</v>
      </c>
      <c r="AZ476" s="16">
        <f>IFERROR(__xludf.DUMMYFUNCTION("""COMPUTED_VALUE"""),0.0)</f>
        <v>0</v>
      </c>
      <c r="BA476" s="16">
        <f>IFERROR(__xludf.DUMMYFUNCTION("""COMPUTED_VALUE"""),-15.0)</f>
        <v>-15</v>
      </c>
      <c r="BB476" s="16">
        <f>IFERROR(__xludf.DUMMYFUNCTION("""COMPUTED_VALUE"""),0.0)</f>
        <v>0</v>
      </c>
      <c r="BC476" s="16">
        <f>IFERROR(__xludf.DUMMYFUNCTION("""COMPUTED_VALUE"""),8.0)</f>
        <v>8</v>
      </c>
      <c r="BD476" s="16">
        <f>IFERROR(__xludf.DUMMYFUNCTION("""COMPUTED_VALUE"""),4.0)</f>
        <v>4</v>
      </c>
      <c r="BE476" s="16">
        <f>IFERROR(__xludf.DUMMYFUNCTION("""COMPUTED_VALUE"""),8.0)</f>
        <v>8</v>
      </c>
      <c r="BF476" s="16">
        <f>IFERROR(__xludf.DUMMYFUNCTION("""COMPUTED_VALUE"""),4.0)</f>
        <v>4</v>
      </c>
      <c r="BG476" s="16">
        <f>IFERROR(__xludf.DUMMYFUNCTION("""COMPUTED_VALUE"""),-3.0)</f>
        <v>-3</v>
      </c>
      <c r="BH476" s="16">
        <f>IFERROR(__xludf.DUMMYFUNCTION("""COMPUTED_VALUE"""),-1.0)</f>
        <v>-1</v>
      </c>
      <c r="BI476" s="16">
        <f>IFERROR(__xludf.DUMMYFUNCTION("""COMPUTED_VALUE"""),-6.0)</f>
        <v>-6</v>
      </c>
      <c r="BJ476" s="16">
        <f>IFERROR(__xludf.DUMMYFUNCTION("""COMPUTED_VALUE"""),-2.0)</f>
        <v>-2</v>
      </c>
      <c r="BK476" s="16">
        <f>IFERROR(__xludf.DUMMYFUNCTION("""COMPUTED_VALUE"""),5.0)</f>
        <v>5</v>
      </c>
      <c r="BL476" s="16">
        <f>IFERROR(__xludf.DUMMYFUNCTION("""COMPUTED_VALUE"""),5.0)</f>
        <v>5</v>
      </c>
      <c r="BM476" s="16">
        <f>IFERROR(__xludf.DUMMYFUNCTION("""COMPUTED_VALUE"""),0.0)</f>
        <v>0</v>
      </c>
      <c r="BN476" s="16">
        <f>IFERROR(__xludf.DUMMYFUNCTION("""COMPUTED_VALUE"""),0.0)</f>
        <v>0</v>
      </c>
      <c r="BO476" s="16">
        <f>IFERROR(__xludf.DUMMYFUNCTION("""COMPUTED_VALUE"""),0.0)</f>
        <v>0</v>
      </c>
      <c r="BP476" s="16">
        <f>IFERROR(__xludf.DUMMYFUNCTION("""COMPUTED_VALUE"""),0.0)</f>
        <v>0</v>
      </c>
      <c r="BQ476" s="16">
        <f>IFERROR(__xludf.DUMMYFUNCTION("""COMPUTED_VALUE"""),0.0)</f>
        <v>0</v>
      </c>
      <c r="BR476" s="16">
        <f>IFERROR(__xludf.DUMMYFUNCTION("""COMPUTED_VALUE"""),1.0)</f>
        <v>1</v>
      </c>
      <c r="BS476" s="16">
        <f>IFERROR(__xludf.DUMMYFUNCTION("""COMPUTED_VALUE"""),-3.0)</f>
        <v>-3</v>
      </c>
      <c r="BT476" s="16">
        <f>IFERROR(__xludf.DUMMYFUNCTION("""COMPUTED_VALUE"""),-2.0)</f>
        <v>-2</v>
      </c>
      <c r="BU476" s="16">
        <f>IFERROR(__xludf.DUMMYFUNCTION("""COMPUTED_VALUE"""),-6.0)</f>
        <v>-6</v>
      </c>
      <c r="BV476" s="16">
        <f>IFERROR(__xludf.DUMMYFUNCTION("""COMPUTED_VALUE"""),-4.0)</f>
        <v>-4</v>
      </c>
      <c r="BW476" s="16">
        <f>IFERROR(__xludf.DUMMYFUNCTION("""COMPUTED_VALUE"""),-3.0)</f>
        <v>-3</v>
      </c>
      <c r="BX476" s="16">
        <f>IFERROR(__xludf.DUMMYFUNCTION("""COMPUTED_VALUE"""),-3.0)</f>
        <v>-3</v>
      </c>
      <c r="BY476" s="16" t="str">
        <f>IFERROR(__xludf.DUMMYFUNCTION("""COMPUTED_VALUE"""),"S(5)")</f>
        <v>S(5)</v>
      </c>
      <c r="BZ476" s="16" t="str">
        <f>IFERROR(__xludf.DUMMYFUNCTION("""COMPUTED_VALUE"""),"S(5)")</f>
        <v>S(5)</v>
      </c>
      <c r="CA476" s="16" t="str">
        <f>IFERROR(__xludf.DUMMYFUNCTION("""COMPUTED_VALUE"""),"S(5)")</f>
        <v>S(5)</v>
      </c>
      <c r="CB476" s="16"/>
      <c r="CC476" s="16"/>
      <c r="CD476" s="16">
        <f>IFERROR(__xludf.DUMMYFUNCTION("""COMPUTED_VALUE"""),5.0)</f>
        <v>5</v>
      </c>
      <c r="CE476" s="16"/>
      <c r="CF476" s="16"/>
      <c r="CG476" s="16" t="str">
        <f>IFERROR(__xludf.DUMMYFUNCTION("""COMPUTED_VALUE"""),"3-28")</f>
        <v>3-28</v>
      </c>
      <c r="CH476" s="16">
        <f>IFERROR(__xludf.DUMMYFUNCTION("""COMPUTED_VALUE"""),3.0)</f>
        <v>3</v>
      </c>
      <c r="CI476" s="16">
        <f>IFERROR(__xludf.DUMMYFUNCTION("""COMPUTED_VALUE"""),28.0)</f>
        <v>28</v>
      </c>
      <c r="CJ476" s="16">
        <f>IFERROR(__xludf.DUMMYFUNCTION("""COMPUTED_VALUE"""),0.0)</f>
        <v>0</v>
      </c>
      <c r="CK476" s="16">
        <f>IFERROR(__xludf.DUMMYFUNCTION("""COMPUTED_VALUE"""),0.0)</f>
        <v>0</v>
      </c>
      <c r="CL476" s="16" t="str">
        <f>IFERROR(__xludf.DUMMYFUNCTION("""COMPUTED_VALUE"""),"1WL-C")</f>
        <v>1WL-C</v>
      </c>
      <c r="CM476" s="16" t="str">
        <f>IFERROR(__xludf.DUMMYFUNCTION("""COMPUTED_VALUE"""),"E")</f>
        <v>E</v>
      </c>
      <c r="CN476" s="16">
        <f>IFERROR(__xludf.DUMMYFUNCTION("""COMPUTED_VALUE"""),10.0)</f>
        <v>10</v>
      </c>
      <c r="CO476" s="16" t="str">
        <f>IFERROR(__xludf.DUMMYFUNCTION("""COMPUTED_VALUE"""),"C")</f>
        <v>C</v>
      </c>
      <c r="CP476" s="16" t="str">
        <f>IFERROR(__xludf.DUMMYFUNCTION("""COMPUTED_VALUE"""),"6p30")</f>
        <v>6p30</v>
      </c>
      <c r="CQ476" s="16">
        <f>IFERROR(__xludf.DUMMYFUNCTION("""COMPUTED_VALUE"""),-33.0)</f>
        <v>-33</v>
      </c>
      <c r="CR476" s="16">
        <f>IFERROR(__xludf.DUMMYFUNCTION("""COMPUTED_VALUE"""),-27.0)</f>
        <v>-27</v>
      </c>
      <c r="CS476" s="16">
        <f>IFERROR(__xludf.DUMMYFUNCTION("""COMPUTED_VALUE"""),-60.0)</f>
        <v>-60</v>
      </c>
      <c r="CT476" s="16">
        <f>IFERROR(__xludf.DUMMYFUNCTION("""COMPUTED_VALUE"""),-33.0)</f>
        <v>-33</v>
      </c>
      <c r="CU476" s="16">
        <f>IFERROR(__xludf.DUMMYFUNCTION("""COMPUTED_VALUE"""),-27.0)</f>
        <v>-27</v>
      </c>
      <c r="CV476" s="179">
        <f>IFERROR(__xludf.DUMMYFUNCTION("""COMPUTED_VALUE"""),-30.0)</f>
        <v>-30</v>
      </c>
      <c r="CW476" s="179">
        <f>IFERROR(__xludf.DUMMYFUNCTION("""COMPUTED_VALUE"""),-1.0)</f>
        <v>-1</v>
      </c>
      <c r="CX476" s="179">
        <f>IFERROR(__xludf.DUMMYFUNCTION("""COMPUTED_VALUE"""),2.0)</f>
        <v>2</v>
      </c>
      <c r="CY476" s="16" t="str">
        <f>IFERROR(__xludf.DUMMYFUNCTION("""COMPUTED_VALUE"""),"SP")</f>
        <v>SP</v>
      </c>
      <c r="CZ476" s="16"/>
      <c r="DA476" s="16"/>
      <c r="DB476" s="16"/>
      <c r="DC476" s="16"/>
      <c r="DD476" s="16"/>
      <c r="DE476" s="16"/>
      <c r="DF476" s="16"/>
      <c r="DG476" s="16"/>
      <c r="DH476" s="16"/>
      <c r="DI476" s="16"/>
      <c r="DJ476" s="16"/>
      <c r="DK476" s="16"/>
    </row>
    <row r="477">
      <c r="A477" s="16">
        <f>IFERROR(__xludf.DUMMYFUNCTION("""COMPUTED_VALUE"""),12998.0)</f>
        <v>12998</v>
      </c>
      <c r="B477" s="16" t="str">
        <f>IFERROR(__xludf.DUMMYFUNCTION("""COMPUTED_VALUE"""),"Jordan Leasure")</f>
        <v>Jordan Leasure</v>
      </c>
      <c r="C477" s="153">
        <f>IFERROR(__xludf.DUMMYFUNCTION("""COMPUTED_VALUE"""),0.0)</f>
        <v>0</v>
      </c>
      <c r="D477" s="16"/>
      <c r="E477" s="16" t="str">
        <f>IFERROR(__xludf.DUMMYFUNCTION("""COMPUTED_VALUE"""),"R")</f>
        <v>R</v>
      </c>
      <c r="F477" s="16">
        <f>IFERROR(__xludf.DUMMYFUNCTION("""COMPUTED_VALUE"""),31.0)</f>
        <v>31</v>
      </c>
      <c r="G477" s="16">
        <f>IFERROR(__xludf.DUMMYFUNCTION("""COMPUTED_VALUE"""),14.0)</f>
        <v>14</v>
      </c>
      <c r="H477" s="16">
        <f>IFERROR(__xludf.DUMMYFUNCTION("""COMPUTED_VALUE"""),18.0)</f>
        <v>18</v>
      </c>
      <c r="I477" s="16">
        <f>IFERROR(__xludf.DUMMYFUNCTION("""COMPUTED_VALUE"""),-2.0)</f>
        <v>-2</v>
      </c>
      <c r="J477" s="16">
        <f>IFERROR(__xludf.DUMMYFUNCTION("""COMPUTED_VALUE"""),-1.0)</f>
        <v>-1</v>
      </c>
      <c r="K477" s="16">
        <f>IFERROR(__xludf.DUMMYFUNCTION("""COMPUTED_VALUE"""),-6.0)</f>
        <v>-6</v>
      </c>
      <c r="L477" s="16">
        <f>IFERROR(__xludf.DUMMYFUNCTION("""COMPUTED_VALUE"""),-3.0)</f>
        <v>-3</v>
      </c>
      <c r="M477" s="16">
        <f>IFERROR(__xludf.DUMMYFUNCTION("""COMPUTED_VALUE"""),21.0)</f>
        <v>21</v>
      </c>
      <c r="N477" s="16">
        <f>IFERROR(__xludf.DUMMYFUNCTION("""COMPUTED_VALUE"""),18.0)</f>
        <v>18</v>
      </c>
      <c r="O477" s="16">
        <f>IFERROR(__xludf.DUMMYFUNCTION("""COMPUTED_VALUE"""),-3.0)</f>
        <v>-3</v>
      </c>
      <c r="P477" s="16">
        <f>IFERROR(__xludf.DUMMYFUNCTION("""COMPUTED_VALUE"""),-3.0)</f>
        <v>-3</v>
      </c>
      <c r="Q477" s="16">
        <f>IFERROR(__xludf.DUMMYFUNCTION("""COMPUTED_VALUE"""),-3.0)</f>
        <v>-3</v>
      </c>
      <c r="R477" s="16">
        <f>IFERROR(__xludf.DUMMYFUNCTION("""COMPUTED_VALUE"""),-3.0)</f>
        <v>-3</v>
      </c>
      <c r="S477" s="16">
        <f>IFERROR(__xludf.DUMMYFUNCTION("""COMPUTED_VALUE"""),15.1)</f>
        <v>15.1</v>
      </c>
      <c r="T477" s="16">
        <f>IFERROR(__xludf.DUMMYFUNCTION("""COMPUTED_VALUE"""),17.4)</f>
        <v>17.4</v>
      </c>
      <c r="U477" s="16">
        <f>IFERROR(__xludf.DUMMYFUNCTION("""COMPUTED_VALUE"""),0.0)</f>
        <v>0</v>
      </c>
      <c r="V477" s="16">
        <f>IFERROR(__xludf.DUMMYFUNCTION("""COMPUTED_VALUE"""),0.0)</f>
        <v>0</v>
      </c>
      <c r="W477" s="16">
        <f>IFERROR(__xludf.DUMMYFUNCTION("""COMPUTED_VALUE"""),0.0)</f>
        <v>0</v>
      </c>
      <c r="X477" s="16">
        <f>IFERROR(__xludf.DUMMYFUNCTION("""COMPUTED_VALUE"""),0.0)</f>
        <v>0</v>
      </c>
      <c r="Y477" s="16">
        <f>IFERROR(__xludf.DUMMYFUNCTION("""COMPUTED_VALUE"""),36.0)</f>
        <v>36</v>
      </c>
      <c r="Z477" s="16">
        <f>IFERROR(__xludf.DUMMYFUNCTION("""COMPUTED_VALUE"""),35.4)</f>
        <v>35.4</v>
      </c>
      <c r="AA477" s="16">
        <f>IFERROR(__xludf.DUMMYFUNCTION("""COMPUTED_VALUE"""),-1.0)</f>
        <v>-1</v>
      </c>
      <c r="AB477" s="16">
        <f>IFERROR(__xludf.DUMMYFUNCTION("""COMPUTED_VALUE"""),-2.0)</f>
        <v>-2</v>
      </c>
      <c r="AC477" s="16">
        <f>IFERROR(__xludf.DUMMYFUNCTION("""COMPUTED_VALUE"""),-5.0)</f>
        <v>-5</v>
      </c>
      <c r="AD477" s="16">
        <f>IFERROR(__xludf.DUMMYFUNCTION("""COMPUTED_VALUE"""),-10.0)</f>
        <v>-10</v>
      </c>
      <c r="AE477" s="16">
        <f>IFERROR(__xludf.DUMMYFUNCTION("""COMPUTED_VALUE"""),42.0)</f>
        <v>42</v>
      </c>
      <c r="AF477" s="16">
        <f>IFERROR(__xludf.DUMMYFUNCTION("""COMPUTED_VALUE"""),31.1)</f>
        <v>31.1</v>
      </c>
      <c r="AG477" s="16">
        <f>IFERROR(__xludf.DUMMYFUNCTION("""COMPUTED_VALUE"""),-1.0)</f>
        <v>-1</v>
      </c>
      <c r="AH477" s="16">
        <f>IFERROR(__xludf.DUMMYFUNCTION("""COMPUTED_VALUE"""),0.0)</f>
        <v>0</v>
      </c>
      <c r="AI477" s="16">
        <f>IFERROR(__xludf.DUMMYFUNCTION("""COMPUTED_VALUE"""),-2.0)</f>
        <v>-2</v>
      </c>
      <c r="AJ477" s="16">
        <f>IFERROR(__xludf.DUMMYFUNCTION("""COMPUTED_VALUE"""),0.0)</f>
        <v>0</v>
      </c>
      <c r="AK477" s="16">
        <f>IFERROR(__xludf.DUMMYFUNCTION("""COMPUTED_VALUE"""),9.1)</f>
        <v>9.1</v>
      </c>
      <c r="AL477" s="16">
        <f>IFERROR(__xludf.DUMMYFUNCTION("""COMPUTED_VALUE"""),15.799999999999999)</f>
        <v>15.8</v>
      </c>
      <c r="AM477" s="16">
        <f>IFERROR(__xludf.DUMMYFUNCTION("""COMPUTED_VALUE"""),1.0)</f>
        <v>1</v>
      </c>
      <c r="AN477" s="16">
        <f>IFERROR(__xludf.DUMMYFUNCTION("""COMPUTED_VALUE"""),0.0)</f>
        <v>0</v>
      </c>
      <c r="AO477" s="16">
        <f>IFERROR(__xludf.DUMMYFUNCTION("""COMPUTED_VALUE"""),1.0)</f>
        <v>1</v>
      </c>
      <c r="AP477" s="16">
        <f>IFERROR(__xludf.DUMMYFUNCTION("""COMPUTED_VALUE"""),0.0)</f>
        <v>0</v>
      </c>
      <c r="AQ477" s="16">
        <f>IFERROR(__xludf.DUMMYFUNCTION("""COMPUTED_VALUE"""),18.0)</f>
        <v>18</v>
      </c>
      <c r="AR477" s="16">
        <f>IFERROR(__xludf.DUMMYFUNCTION("""COMPUTED_VALUE"""),24.700000000000003)</f>
        <v>24.7</v>
      </c>
      <c r="AS477" s="16">
        <f>IFERROR(__xludf.DUMMYFUNCTION("""COMPUTED_VALUE"""),0.0)</f>
        <v>0</v>
      </c>
      <c r="AT477" s="16">
        <f>IFERROR(__xludf.DUMMYFUNCTION("""COMPUTED_VALUE"""),-1.0)</f>
        <v>-1</v>
      </c>
      <c r="AU477" s="16">
        <f>IFERROR(__xludf.DUMMYFUNCTION("""COMPUTED_VALUE"""),0.0)</f>
        <v>0</v>
      </c>
      <c r="AV477" s="16">
        <f>IFERROR(__xludf.DUMMYFUNCTION("""COMPUTED_VALUE"""),-2.0)</f>
        <v>-2</v>
      </c>
      <c r="AW477" s="16">
        <f>IFERROR(__xludf.DUMMYFUNCTION("""COMPUTED_VALUE"""),6.0)</f>
        <v>6</v>
      </c>
      <c r="AX477" s="16">
        <f>IFERROR(__xludf.DUMMYFUNCTION("""COMPUTED_VALUE"""),1.6)</f>
        <v>1.6</v>
      </c>
      <c r="AY477" s="16">
        <f>IFERROR(__xludf.DUMMYFUNCTION("""COMPUTED_VALUE"""),-3.0)</f>
        <v>-3</v>
      </c>
      <c r="AZ477" s="16">
        <f>IFERROR(__xludf.DUMMYFUNCTION("""COMPUTED_VALUE"""),1.0)</f>
        <v>1</v>
      </c>
      <c r="BA477" s="16">
        <f>IFERROR(__xludf.DUMMYFUNCTION("""COMPUTED_VALUE"""),-15.0)</f>
        <v>-15</v>
      </c>
      <c r="BB477" s="16">
        <f>IFERROR(__xludf.DUMMYFUNCTION("""COMPUTED_VALUE"""),5.0)</f>
        <v>5</v>
      </c>
      <c r="BC477" s="16"/>
      <c r="BD477" s="16">
        <f>IFERROR(__xludf.DUMMYFUNCTION("""COMPUTED_VALUE"""),2.0)</f>
        <v>2</v>
      </c>
      <c r="BE477" s="16">
        <f>IFERROR(__xludf.DUMMYFUNCTION("""COMPUTED_VALUE"""),8.0)</f>
        <v>8</v>
      </c>
      <c r="BF477" s="16">
        <f>IFERROR(__xludf.DUMMYFUNCTION("""COMPUTED_VALUE"""),2.0)</f>
        <v>2</v>
      </c>
      <c r="BG477" s="16">
        <f>IFERROR(__xludf.DUMMYFUNCTION("""COMPUTED_VALUE"""),-3.0)</f>
        <v>-3</v>
      </c>
      <c r="BH477" s="16">
        <f>IFERROR(__xludf.DUMMYFUNCTION("""COMPUTED_VALUE"""),1.0)</f>
        <v>1</v>
      </c>
      <c r="BI477" s="16">
        <f>IFERROR(__xludf.DUMMYFUNCTION("""COMPUTED_VALUE"""),-6.0)</f>
        <v>-6</v>
      </c>
      <c r="BJ477" s="16">
        <f>IFERROR(__xludf.DUMMYFUNCTION("""COMPUTED_VALUE"""),2.0)</f>
        <v>2</v>
      </c>
      <c r="BK477" s="16">
        <f>IFERROR(__xludf.DUMMYFUNCTION("""COMPUTED_VALUE"""),0.0)</f>
        <v>0</v>
      </c>
      <c r="BL477" s="16">
        <f>IFERROR(__xludf.DUMMYFUNCTION("""COMPUTED_VALUE"""),5.0)</f>
        <v>5</v>
      </c>
      <c r="BM477" s="16">
        <f>IFERROR(__xludf.DUMMYFUNCTION("""COMPUTED_VALUE"""),1.0)</f>
        <v>1</v>
      </c>
      <c r="BN477" s="16">
        <f>IFERROR(__xludf.DUMMYFUNCTION("""COMPUTED_VALUE"""),0.0)</f>
        <v>0</v>
      </c>
      <c r="BO477" s="16">
        <f>IFERROR(__xludf.DUMMYFUNCTION("""COMPUTED_VALUE"""),1.0)</f>
        <v>1</v>
      </c>
      <c r="BP477" s="16">
        <f>IFERROR(__xludf.DUMMYFUNCTION("""COMPUTED_VALUE"""),0.0)</f>
        <v>0</v>
      </c>
      <c r="BQ477" s="16">
        <f>IFERROR(__xludf.DUMMYFUNCTION("""COMPUTED_VALUE"""),0.0)</f>
        <v>0</v>
      </c>
      <c r="BR477" s="16">
        <f>IFERROR(__xludf.DUMMYFUNCTION("""COMPUTED_VALUE"""),0.0)</f>
        <v>0</v>
      </c>
      <c r="BS477" s="16">
        <f>IFERROR(__xludf.DUMMYFUNCTION("""COMPUTED_VALUE"""),-3.0)</f>
        <v>-3</v>
      </c>
      <c r="BT477" s="16">
        <f>IFERROR(__xludf.DUMMYFUNCTION("""COMPUTED_VALUE"""),-3.0)</f>
        <v>-3</v>
      </c>
      <c r="BU477" s="16">
        <f>IFERROR(__xludf.DUMMYFUNCTION("""COMPUTED_VALUE"""),-6.0)</f>
        <v>-6</v>
      </c>
      <c r="BV477" s="16">
        <f>IFERROR(__xludf.DUMMYFUNCTION("""COMPUTED_VALUE"""),-6.0)</f>
        <v>-6</v>
      </c>
      <c r="BW477" s="16">
        <f>IFERROR(__xludf.DUMMYFUNCTION("""COMPUTED_VALUE"""),-6.0)</f>
        <v>-6</v>
      </c>
      <c r="BX477" s="16">
        <f>IFERROR(__xludf.DUMMYFUNCTION("""COMPUTED_VALUE"""),-6.0)</f>
        <v>-6</v>
      </c>
      <c r="BY477" s="16" t="str">
        <f>IFERROR(__xludf.DUMMYFUNCTION("""COMPUTED_VALUE"""),"R(1) C(1)")</f>
        <v>R(1) C(1)</v>
      </c>
      <c r="BZ477" s="16" t="str">
        <f>IFERROR(__xludf.DUMMYFUNCTION("""COMPUTED_VALUE"""),"R(1) C(1)")</f>
        <v>R(1) C(1)</v>
      </c>
      <c r="CA477" s="16" t="str">
        <f>IFERROR(__xludf.DUMMYFUNCTION("""COMPUTED_VALUE"""),"R(1)")</f>
        <v>R(1)</v>
      </c>
      <c r="CB477" s="16" t="str">
        <f>IFERROR(__xludf.DUMMYFUNCTION("""COMPUTED_VALUE"""),"C(1)")</f>
        <v>C(1)</v>
      </c>
      <c r="CC477" s="16"/>
      <c r="CD477" s="16"/>
      <c r="CE477" s="16">
        <f>IFERROR(__xludf.DUMMYFUNCTION("""COMPUTED_VALUE"""),1.0)</f>
        <v>1</v>
      </c>
      <c r="CF477" s="16">
        <f>IFERROR(__xludf.DUMMYFUNCTION("""COMPUTED_VALUE"""),1.0)</f>
        <v>1</v>
      </c>
      <c r="CG477" s="16" t="str">
        <f>IFERROR(__xludf.DUMMYFUNCTION("""COMPUTED_VALUE"""),"2-0")</f>
        <v>2-0</v>
      </c>
      <c r="CH477" s="16">
        <f>IFERROR(__xludf.DUMMYFUNCTION("""COMPUTED_VALUE"""),2.0)</f>
        <v>2</v>
      </c>
      <c r="CI477" s="16">
        <f>IFERROR(__xludf.DUMMYFUNCTION("""COMPUTED_VALUE"""),0.0)</f>
        <v>0</v>
      </c>
      <c r="CJ477" s="16">
        <f>IFERROR(__xludf.DUMMYFUNCTION("""COMPUTED_VALUE"""),0.0)</f>
        <v>0</v>
      </c>
      <c r="CK477" s="16">
        <f>IFERROR(__xludf.DUMMYFUNCTION("""COMPUTED_VALUE"""),20.0)</f>
        <v>20</v>
      </c>
      <c r="CL477" s="16" t="str">
        <f>IFERROR(__xludf.DUMMYFUNCTION("""COMPUTED_VALUE"""),"1WR-C")</f>
        <v>1WR-C</v>
      </c>
      <c r="CM477" s="16" t="str">
        <f>IFERROR(__xludf.DUMMYFUNCTION("""COMPUTED_VALUE"""),"E")</f>
        <v>E</v>
      </c>
      <c r="CN477" s="16">
        <f>IFERROR(__xludf.DUMMYFUNCTION("""COMPUTED_VALUE"""),10.0)</f>
        <v>10</v>
      </c>
      <c r="CO477" s="16" t="str">
        <f>IFERROR(__xludf.DUMMYFUNCTION("""COMPUTED_VALUE"""),"C")</f>
        <v>C</v>
      </c>
      <c r="CP477" s="16" t="str">
        <f>IFERROR(__xludf.DUMMYFUNCTION("""COMPUTED_VALUE"""),"5p30")</f>
        <v>5p30</v>
      </c>
      <c r="CQ477" s="16">
        <f>IFERROR(__xludf.DUMMYFUNCTION("""COMPUTED_VALUE"""),-41.0)</f>
        <v>-41</v>
      </c>
      <c r="CR477" s="16">
        <f>IFERROR(__xludf.DUMMYFUNCTION("""COMPUTED_VALUE"""),-17.0)</f>
        <v>-17</v>
      </c>
      <c r="CS477" s="16">
        <f>IFERROR(__xludf.DUMMYFUNCTION("""COMPUTED_VALUE"""),-58.0)</f>
        <v>-58</v>
      </c>
      <c r="CT477" s="16">
        <f>IFERROR(__xludf.DUMMYFUNCTION("""COMPUTED_VALUE"""),-41.0)</f>
        <v>-41</v>
      </c>
      <c r="CU477" s="16">
        <f>IFERROR(__xludf.DUMMYFUNCTION("""COMPUTED_VALUE"""),-17.0)</f>
        <v>-17</v>
      </c>
      <c r="CV477" s="179">
        <f>IFERROR(__xludf.DUMMYFUNCTION("""COMPUTED_VALUE"""),-31.0)</f>
        <v>-31</v>
      </c>
      <c r="CW477" s="179">
        <f>IFERROR(__xludf.DUMMYFUNCTION("""COMPUTED_VALUE"""),0.0)</f>
        <v>0</v>
      </c>
      <c r="CX477" s="179">
        <f>IFERROR(__xludf.DUMMYFUNCTION("""COMPUTED_VALUE"""),2.0)</f>
        <v>2</v>
      </c>
      <c r="CY477" s="16" t="str">
        <f>IFERROR(__xludf.DUMMYFUNCTION("""COMPUTED_VALUE"""),"RP")</f>
        <v>RP</v>
      </c>
      <c r="CZ477" s="16" t="str">
        <f>IFERROR(__xludf.DUMMYFUNCTION("""COMPUTED_VALUE"""),"CP")</f>
        <v>CP</v>
      </c>
      <c r="DA477" s="16"/>
      <c r="DB477" s="16"/>
      <c r="DC477" s="16"/>
      <c r="DD477" s="16"/>
      <c r="DE477" s="16"/>
      <c r="DF477" s="16"/>
      <c r="DG477" s="16"/>
      <c r="DH477" s="16"/>
      <c r="DI477" s="16"/>
      <c r="DJ477" s="16"/>
      <c r="DK477" s="16"/>
    </row>
    <row r="478">
      <c r="A478" s="16">
        <f>IFERROR(__xludf.DUMMYFUNCTION("""COMPUTED_VALUE"""),13415.0)</f>
        <v>13415</v>
      </c>
      <c r="B478" s="16" t="str">
        <f>IFERROR(__xludf.DUMMYFUNCTION("""COMPUTED_VALUE"""),"Tim Mayza")</f>
        <v>Tim Mayza</v>
      </c>
      <c r="C478" s="153">
        <f>IFERROR(__xludf.DUMMYFUNCTION("""COMPUTED_VALUE"""),0.0)</f>
        <v>0</v>
      </c>
      <c r="D478" s="16"/>
      <c r="E478" s="16" t="str">
        <f>IFERROR(__xludf.DUMMYFUNCTION("""COMPUTED_VALUE"""),"L")</f>
        <v>L</v>
      </c>
      <c r="F478" s="16">
        <f>IFERROR(__xludf.DUMMYFUNCTION("""COMPUTED_VALUE"""),43.0)</f>
        <v>43</v>
      </c>
      <c r="G478" s="16">
        <f>IFERROR(__xludf.DUMMYFUNCTION("""COMPUTED_VALUE"""),0.0)</f>
        <v>0</v>
      </c>
      <c r="H478" s="16">
        <f>IFERROR(__xludf.DUMMYFUNCTION("""COMPUTED_VALUE"""),15.0)</f>
        <v>15</v>
      </c>
      <c r="I478" s="16">
        <f>IFERROR(__xludf.DUMMYFUNCTION("""COMPUTED_VALUE"""),-3.0)</f>
        <v>-3</v>
      </c>
      <c r="J478" s="16">
        <f>IFERROR(__xludf.DUMMYFUNCTION("""COMPUTED_VALUE"""),-2.0)</f>
        <v>-2</v>
      </c>
      <c r="K478" s="16">
        <f>IFERROR(__xludf.DUMMYFUNCTION("""COMPUTED_VALUE"""),-9.0)</f>
        <v>-9</v>
      </c>
      <c r="L478" s="16">
        <f>IFERROR(__xludf.DUMMYFUNCTION("""COMPUTED_VALUE"""),-6.0)</f>
        <v>-6</v>
      </c>
      <c r="M478" s="16">
        <f>IFERROR(__xludf.DUMMYFUNCTION("""COMPUTED_VALUE"""),8.0)</f>
        <v>8</v>
      </c>
      <c r="N478" s="16">
        <f>IFERROR(__xludf.DUMMYFUNCTION("""COMPUTED_VALUE"""),5.0)</f>
        <v>5</v>
      </c>
      <c r="O478" s="16">
        <f>IFERROR(__xludf.DUMMYFUNCTION("""COMPUTED_VALUE"""),0.0)</f>
        <v>0</v>
      </c>
      <c r="P478" s="16">
        <f>IFERROR(__xludf.DUMMYFUNCTION("""COMPUTED_VALUE"""),2.0)</f>
        <v>2</v>
      </c>
      <c r="Q478" s="16">
        <f>IFERROR(__xludf.DUMMYFUNCTION("""COMPUTED_VALUE"""),0.0)</f>
        <v>0</v>
      </c>
      <c r="R478" s="16">
        <f>IFERROR(__xludf.DUMMYFUNCTION("""COMPUTED_VALUE"""),2.0)</f>
        <v>2</v>
      </c>
      <c r="S478" s="16">
        <f>IFERROR(__xludf.DUMMYFUNCTION("""COMPUTED_VALUE"""),22.5)</f>
        <v>22.5</v>
      </c>
      <c r="T478" s="16">
        <f>IFERROR(__xludf.DUMMYFUNCTION("""COMPUTED_VALUE"""),37.6)</f>
        <v>37.6</v>
      </c>
      <c r="U478" s="16">
        <f>IFERROR(__xludf.DUMMYFUNCTION("""COMPUTED_VALUE"""),-1.0)</f>
        <v>-1</v>
      </c>
      <c r="V478" s="16">
        <f>IFERROR(__xludf.DUMMYFUNCTION("""COMPUTED_VALUE"""),-3.0)</f>
        <v>-3</v>
      </c>
      <c r="W478" s="16">
        <f>IFERROR(__xludf.DUMMYFUNCTION("""COMPUTED_VALUE"""),-2.0)</f>
        <v>-2</v>
      </c>
      <c r="X478" s="16">
        <f>IFERROR(__xludf.DUMMYFUNCTION("""COMPUTED_VALUE"""),-6.0)</f>
        <v>-6</v>
      </c>
      <c r="Y478" s="16">
        <f>IFERROR(__xludf.DUMMYFUNCTION("""COMPUTED_VALUE"""),30.5)</f>
        <v>30.5</v>
      </c>
      <c r="Z478" s="16">
        <f>IFERROR(__xludf.DUMMYFUNCTION("""COMPUTED_VALUE"""),42.6)</f>
        <v>42.6</v>
      </c>
      <c r="AA478" s="16">
        <f>IFERROR(__xludf.DUMMYFUNCTION("""COMPUTED_VALUE"""),-1.0)</f>
        <v>-1</v>
      </c>
      <c r="AB478" s="16">
        <f>IFERROR(__xludf.DUMMYFUNCTION("""COMPUTED_VALUE"""),-2.0)</f>
        <v>-2</v>
      </c>
      <c r="AC478" s="16">
        <f>IFERROR(__xludf.DUMMYFUNCTION("""COMPUTED_VALUE"""),-5.0)</f>
        <v>-5</v>
      </c>
      <c r="AD478" s="16">
        <f>IFERROR(__xludf.DUMMYFUNCTION("""COMPUTED_VALUE"""),-10.0)</f>
        <v>-10</v>
      </c>
      <c r="AE478" s="16">
        <f>IFERROR(__xludf.DUMMYFUNCTION("""COMPUTED_VALUE"""),25.5)</f>
        <v>25.5</v>
      </c>
      <c r="AF478" s="16">
        <f>IFERROR(__xludf.DUMMYFUNCTION("""COMPUTED_VALUE"""),71.3)</f>
        <v>71.3</v>
      </c>
      <c r="AG478" s="16">
        <f>IFERROR(__xludf.DUMMYFUNCTION("""COMPUTED_VALUE"""),0.0)</f>
        <v>0</v>
      </c>
      <c r="AH478" s="16">
        <f>IFERROR(__xludf.DUMMYFUNCTION("""COMPUTED_VALUE"""),-3.0)</f>
        <v>-3</v>
      </c>
      <c r="AI478" s="16">
        <f>IFERROR(__xludf.DUMMYFUNCTION("""COMPUTED_VALUE"""),0.0)</f>
        <v>0</v>
      </c>
      <c r="AJ478" s="16">
        <f>IFERROR(__xludf.DUMMYFUNCTION("""COMPUTED_VALUE"""),-6.0)</f>
        <v>-6</v>
      </c>
      <c r="AK478" s="16">
        <f>IFERROR(__xludf.DUMMYFUNCTION("""COMPUTED_VALUE"""),22.5)</f>
        <v>22.5</v>
      </c>
      <c r="AL478" s="16">
        <f>IFERROR(__xludf.DUMMYFUNCTION("""COMPUTED_VALUE"""),34.2)</f>
        <v>34.2</v>
      </c>
      <c r="AM478" s="16">
        <f>IFERROR(__xludf.DUMMYFUNCTION("""COMPUTED_VALUE"""),-2.0)</f>
        <v>-2</v>
      </c>
      <c r="AN478" s="16">
        <f>IFERROR(__xludf.DUMMYFUNCTION("""COMPUTED_VALUE"""),-3.0)</f>
        <v>-3</v>
      </c>
      <c r="AO478" s="16">
        <f>IFERROR(__xludf.DUMMYFUNCTION("""COMPUTED_VALUE"""),-2.0)</f>
        <v>-2</v>
      </c>
      <c r="AP478" s="16">
        <f>IFERROR(__xludf.DUMMYFUNCTION("""COMPUTED_VALUE"""),-3.0)</f>
        <v>-3</v>
      </c>
      <c r="AQ478" s="16">
        <f>IFERROR(__xludf.DUMMYFUNCTION("""COMPUTED_VALUE"""),25.5)</f>
        <v>25.5</v>
      </c>
      <c r="AR478" s="16">
        <f>IFERROR(__xludf.DUMMYFUNCTION("""COMPUTED_VALUE"""),57.699999999999996)</f>
        <v>57.7</v>
      </c>
      <c r="AS478" s="16">
        <f>IFERROR(__xludf.DUMMYFUNCTION("""COMPUTED_VALUE"""),-1.0)</f>
        <v>-1</v>
      </c>
      <c r="AT478" s="16">
        <f>IFERROR(__xludf.DUMMYFUNCTION("""COMPUTED_VALUE"""),-3.0)</f>
        <v>-3</v>
      </c>
      <c r="AU478" s="16">
        <f>IFERROR(__xludf.DUMMYFUNCTION("""COMPUTED_VALUE"""),-2.0)</f>
        <v>-2</v>
      </c>
      <c r="AV478" s="16">
        <f>IFERROR(__xludf.DUMMYFUNCTION("""COMPUTED_VALUE"""),-6.0)</f>
        <v>-6</v>
      </c>
      <c r="AW478" s="16">
        <f>IFERROR(__xludf.DUMMYFUNCTION("""COMPUTED_VALUE"""),0.0)</f>
        <v>0</v>
      </c>
      <c r="AX478" s="16">
        <f>IFERROR(__xludf.DUMMYFUNCTION("""COMPUTED_VALUE"""),3.4)</f>
        <v>3.4</v>
      </c>
      <c r="AY478" s="16">
        <f>IFERROR(__xludf.DUMMYFUNCTION("""COMPUTED_VALUE"""),2.0)</f>
        <v>2</v>
      </c>
      <c r="AZ478" s="16">
        <f>IFERROR(__xludf.DUMMYFUNCTION("""COMPUTED_VALUE"""),-1.0)</f>
        <v>-1</v>
      </c>
      <c r="BA478" s="16">
        <f>IFERROR(__xludf.DUMMYFUNCTION("""COMPUTED_VALUE"""),10.0)</f>
        <v>10</v>
      </c>
      <c r="BB478" s="16">
        <f>IFERROR(__xludf.DUMMYFUNCTION("""COMPUTED_VALUE"""),-5.0)</f>
        <v>-5</v>
      </c>
      <c r="BC478" s="16">
        <f>IFERROR(__xludf.DUMMYFUNCTION("""COMPUTED_VALUE"""),0.0)</f>
        <v>0</v>
      </c>
      <c r="BD478" s="16">
        <f>IFERROR(__xludf.DUMMYFUNCTION("""COMPUTED_VALUE"""),5.0)</f>
        <v>5</v>
      </c>
      <c r="BE478" s="16">
        <f>IFERROR(__xludf.DUMMYFUNCTION("""COMPUTED_VALUE"""),0.0)</f>
        <v>0</v>
      </c>
      <c r="BF478" s="16">
        <f>IFERROR(__xludf.DUMMYFUNCTION("""COMPUTED_VALUE"""),5.0)</f>
        <v>5</v>
      </c>
      <c r="BG478" s="16">
        <f>IFERROR(__xludf.DUMMYFUNCTION("""COMPUTED_VALUE"""),3.0)</f>
        <v>3</v>
      </c>
      <c r="BH478" s="16">
        <f>IFERROR(__xludf.DUMMYFUNCTION("""COMPUTED_VALUE"""),-2.0)</f>
        <v>-2</v>
      </c>
      <c r="BI478" s="16">
        <f>IFERROR(__xludf.DUMMYFUNCTION("""COMPUTED_VALUE"""),6.0)</f>
        <v>6</v>
      </c>
      <c r="BJ478" s="16">
        <f>IFERROR(__xludf.DUMMYFUNCTION("""COMPUTED_VALUE"""),-4.0)</f>
        <v>-4</v>
      </c>
      <c r="BK478" s="16">
        <f>IFERROR(__xludf.DUMMYFUNCTION("""COMPUTED_VALUE"""),5.0)</f>
        <v>5</v>
      </c>
      <c r="BL478" s="16">
        <f>IFERROR(__xludf.DUMMYFUNCTION("""COMPUTED_VALUE"""),5.0)</f>
        <v>5</v>
      </c>
      <c r="BM478" s="16">
        <f>IFERROR(__xludf.DUMMYFUNCTION("""COMPUTED_VALUE"""),0.0)</f>
        <v>0</v>
      </c>
      <c r="BN478" s="16">
        <f>IFERROR(__xludf.DUMMYFUNCTION("""COMPUTED_VALUE"""),0.0)</f>
        <v>0</v>
      </c>
      <c r="BO478" s="16">
        <f>IFERROR(__xludf.DUMMYFUNCTION("""COMPUTED_VALUE"""),0.0)</f>
        <v>0</v>
      </c>
      <c r="BP478" s="16">
        <f>IFERROR(__xludf.DUMMYFUNCTION("""COMPUTED_VALUE"""),0.0)</f>
        <v>0</v>
      </c>
      <c r="BQ478" s="16">
        <f>IFERROR(__xludf.DUMMYFUNCTION("""COMPUTED_VALUE"""),1.0)</f>
        <v>1</v>
      </c>
      <c r="BR478" s="16">
        <f>IFERROR(__xludf.DUMMYFUNCTION("""COMPUTED_VALUE"""),0.0)</f>
        <v>0</v>
      </c>
      <c r="BS478" s="16">
        <f>IFERROR(__xludf.DUMMYFUNCTION("""COMPUTED_VALUE"""),-2.0)</f>
        <v>-2</v>
      </c>
      <c r="BT478" s="16">
        <f>IFERROR(__xludf.DUMMYFUNCTION("""COMPUTED_VALUE"""),-3.0)</f>
        <v>-3</v>
      </c>
      <c r="BU478" s="16">
        <f>IFERROR(__xludf.DUMMYFUNCTION("""COMPUTED_VALUE"""),-4.0)</f>
        <v>-4</v>
      </c>
      <c r="BV478" s="16">
        <f>IFERROR(__xludf.DUMMYFUNCTION("""COMPUTED_VALUE"""),-6.0)</f>
        <v>-6</v>
      </c>
      <c r="BW478" s="16">
        <f>IFERROR(__xludf.DUMMYFUNCTION("""COMPUTED_VALUE"""),9.0)</f>
        <v>9</v>
      </c>
      <c r="BX478" s="16">
        <f>IFERROR(__xludf.DUMMYFUNCTION("""COMPUTED_VALUE"""),9.0)</f>
        <v>9</v>
      </c>
      <c r="BY478" s="16" t="str">
        <f>IFERROR(__xludf.DUMMYFUNCTION("""COMPUTED_VALUE"""),"R(1)")</f>
        <v>R(1)</v>
      </c>
      <c r="BZ478" s="16" t="str">
        <f>IFERROR(__xludf.DUMMYFUNCTION("""COMPUTED_VALUE"""),"R(1)")</f>
        <v>R(1)</v>
      </c>
      <c r="CA478" s="16" t="str">
        <f>IFERROR(__xludf.DUMMYFUNCTION("""COMPUTED_VALUE"""),"R(1)")</f>
        <v>R(1)</v>
      </c>
      <c r="CB478" s="16"/>
      <c r="CC478" s="16"/>
      <c r="CD478" s="16"/>
      <c r="CE478" s="16">
        <f>IFERROR(__xludf.DUMMYFUNCTION("""COMPUTED_VALUE"""),1.0)</f>
        <v>1</v>
      </c>
      <c r="CF478" s="16"/>
      <c r="CG478" s="16" t="str">
        <f>IFERROR(__xludf.DUMMYFUNCTION("""COMPUTED_VALUE"""),"3-0")</f>
        <v>3-0</v>
      </c>
      <c r="CH478" s="16">
        <f>IFERROR(__xludf.DUMMYFUNCTION("""COMPUTED_VALUE"""),3.0)</f>
        <v>3</v>
      </c>
      <c r="CI478" s="16">
        <f>IFERROR(__xludf.DUMMYFUNCTION("""COMPUTED_VALUE"""),0.0)</f>
        <v>0</v>
      </c>
      <c r="CJ478" s="16">
        <f>IFERROR(__xludf.DUMMYFUNCTION("""COMPUTED_VALUE"""),0.0)</f>
        <v>0</v>
      </c>
      <c r="CK478" s="16">
        <f>IFERROR(__xludf.DUMMYFUNCTION("""COMPUTED_VALUE"""),4.0)</f>
        <v>4</v>
      </c>
      <c r="CL478" s="16" t="str">
        <f>IFERROR(__xludf.DUMMYFUNCTION("""COMPUTED_VALUE"""),"1WL-C")</f>
        <v>1WL-C</v>
      </c>
      <c r="CM478" s="16" t="str">
        <f>IFERROR(__xludf.DUMMYFUNCTION("""COMPUTED_VALUE"""),"E")</f>
        <v>E</v>
      </c>
      <c r="CN478" s="16">
        <f>IFERROR(__xludf.DUMMYFUNCTION("""COMPUTED_VALUE"""),10.0)</f>
        <v>10</v>
      </c>
      <c r="CO478" s="16" t="str">
        <f>IFERROR(__xludf.DUMMYFUNCTION("""COMPUTED_VALUE"""),"C")</f>
        <v>C</v>
      </c>
      <c r="CP478" s="16" t="str">
        <f>IFERROR(__xludf.DUMMYFUNCTION("""COMPUTED_VALUE"""),"1p40")</f>
        <v>1p40</v>
      </c>
      <c r="CQ478" s="16">
        <f>IFERROR(__xludf.DUMMYFUNCTION("""COMPUTED_VALUE"""),-8.0)</f>
        <v>-8</v>
      </c>
      <c r="CR478" s="16">
        <f>IFERROR(__xludf.DUMMYFUNCTION("""COMPUTED_VALUE"""),-50.0)</f>
        <v>-50</v>
      </c>
      <c r="CS478" s="16">
        <f>IFERROR(__xludf.DUMMYFUNCTION("""COMPUTED_VALUE"""),-58.0)</f>
        <v>-58</v>
      </c>
      <c r="CT478" s="16">
        <f>IFERROR(__xludf.DUMMYFUNCTION("""COMPUTED_VALUE"""),-8.0)</f>
        <v>-8</v>
      </c>
      <c r="CU478" s="16">
        <f>IFERROR(__xludf.DUMMYFUNCTION("""COMPUTED_VALUE"""),-50.0)</f>
        <v>-50</v>
      </c>
      <c r="CV478" s="179">
        <f>IFERROR(__xludf.DUMMYFUNCTION("""COMPUTED_VALUE"""),-31.0)</f>
        <v>-31</v>
      </c>
      <c r="CW478" s="179">
        <f>IFERROR(__xludf.DUMMYFUNCTION("""COMPUTED_VALUE"""),4.0)</f>
        <v>4</v>
      </c>
      <c r="CX478" s="179">
        <f>IFERROR(__xludf.DUMMYFUNCTION("""COMPUTED_VALUE"""),1.0)</f>
        <v>1</v>
      </c>
      <c r="CY478" s="16" t="str">
        <f>IFERROR(__xludf.DUMMYFUNCTION("""COMPUTED_VALUE"""),"RP")</f>
        <v>RP</v>
      </c>
      <c r="CZ478" s="16"/>
      <c r="DA478" s="16"/>
      <c r="DB478" s="16"/>
      <c r="DC478" s="16"/>
      <c r="DD478" s="16"/>
      <c r="DE478" s="16"/>
      <c r="DF478" s="16"/>
      <c r="DG478" s="16"/>
      <c r="DH478" s="16"/>
      <c r="DI478" s="16"/>
      <c r="DJ478" s="16"/>
      <c r="DK478" s="16"/>
    </row>
    <row r="479">
      <c r="A479" s="16">
        <f>IFERROR(__xludf.DUMMYFUNCTION("""COMPUTED_VALUE"""),12764.0)</f>
        <v>12764</v>
      </c>
      <c r="B479" s="16" t="str">
        <f>IFERROR(__xludf.DUMMYFUNCTION("""COMPUTED_VALUE"""),"Dominic Smith")</f>
        <v>Dominic Smith</v>
      </c>
      <c r="C479" s="153">
        <f>IFERROR(__xludf.DUMMYFUNCTION("""COMPUTED_VALUE"""),0.0)</f>
        <v>0</v>
      </c>
      <c r="D479" s="16"/>
      <c r="E479" s="16" t="str">
        <f>IFERROR(__xludf.DUMMYFUNCTION("""COMPUTED_VALUE"""),"R")</f>
        <v>R</v>
      </c>
      <c r="F479" s="16">
        <f>IFERROR(__xludf.DUMMYFUNCTION("""COMPUTED_VALUE"""),18.0)</f>
        <v>18</v>
      </c>
      <c r="G479" s="16">
        <f>IFERROR(__xludf.DUMMYFUNCTION("""COMPUTED_VALUE"""),20.0)</f>
        <v>20</v>
      </c>
      <c r="H479" s="16">
        <f>IFERROR(__xludf.DUMMYFUNCTION("""COMPUTED_VALUE"""),40.0)</f>
        <v>40</v>
      </c>
      <c r="I479" s="16">
        <f>IFERROR(__xludf.DUMMYFUNCTION("""COMPUTED_VALUE"""),-1.0)</f>
        <v>-1</v>
      </c>
      <c r="J479" s="16">
        <f>IFERROR(__xludf.DUMMYFUNCTION("""COMPUTED_VALUE"""),2.0)</f>
        <v>2</v>
      </c>
      <c r="K479" s="16">
        <f>IFERROR(__xludf.DUMMYFUNCTION("""COMPUTED_VALUE"""),-3.0)</f>
        <v>-3</v>
      </c>
      <c r="L479" s="16">
        <f>IFERROR(__xludf.DUMMYFUNCTION("""COMPUTED_VALUE"""),6.0)</f>
        <v>6</v>
      </c>
      <c r="M479" s="16">
        <f>IFERROR(__xludf.DUMMYFUNCTION("""COMPUTED_VALUE"""),19.0)</f>
        <v>19</v>
      </c>
      <c r="N479" s="16">
        <f>IFERROR(__xludf.DUMMYFUNCTION("""COMPUTED_VALUE"""),15.0)</f>
        <v>15</v>
      </c>
      <c r="O479" s="16">
        <f>IFERROR(__xludf.DUMMYFUNCTION("""COMPUTED_VALUE"""),-3.0)</f>
        <v>-3</v>
      </c>
      <c r="P479" s="16">
        <f>IFERROR(__xludf.DUMMYFUNCTION("""COMPUTED_VALUE"""),-3.0)</f>
        <v>-3</v>
      </c>
      <c r="Q479" s="16">
        <f>IFERROR(__xludf.DUMMYFUNCTION("""COMPUTED_VALUE"""),-3.0)</f>
        <v>-3</v>
      </c>
      <c r="R479" s="16">
        <f>IFERROR(__xludf.DUMMYFUNCTION("""COMPUTED_VALUE"""),-3.0)</f>
        <v>-3</v>
      </c>
      <c r="S479" s="16">
        <f>IFERROR(__xludf.DUMMYFUNCTION("""COMPUTED_VALUE"""),25.2)</f>
        <v>25.2</v>
      </c>
      <c r="T479" s="16">
        <f>IFERROR(__xludf.DUMMYFUNCTION("""COMPUTED_VALUE"""),17.0)</f>
        <v>17</v>
      </c>
      <c r="U479" s="16">
        <f>IFERROR(__xludf.DUMMYFUNCTION("""COMPUTED_VALUE"""),-2.0)</f>
        <v>-2</v>
      </c>
      <c r="V479" s="16">
        <f>IFERROR(__xludf.DUMMYFUNCTION("""COMPUTED_VALUE"""),0.0)</f>
        <v>0</v>
      </c>
      <c r="W479" s="16">
        <f>IFERROR(__xludf.DUMMYFUNCTION("""COMPUTED_VALUE"""),-4.0)</f>
        <v>-4</v>
      </c>
      <c r="X479" s="16">
        <f>IFERROR(__xludf.DUMMYFUNCTION("""COMPUTED_VALUE"""),0.0)</f>
        <v>0</v>
      </c>
      <c r="Y479" s="16">
        <f>IFERROR(__xludf.DUMMYFUNCTION("""COMPUTED_VALUE"""),44.2)</f>
        <v>44.2</v>
      </c>
      <c r="Z479" s="16">
        <f>IFERROR(__xludf.DUMMYFUNCTION("""COMPUTED_VALUE"""),32.0)</f>
        <v>32</v>
      </c>
      <c r="AA479" s="16">
        <f>IFERROR(__xludf.DUMMYFUNCTION("""COMPUTED_VALUE"""),-2.0)</f>
        <v>-2</v>
      </c>
      <c r="AB479" s="16">
        <f>IFERROR(__xludf.DUMMYFUNCTION("""COMPUTED_VALUE"""),-1.0)</f>
        <v>-1</v>
      </c>
      <c r="AC479" s="16">
        <f>IFERROR(__xludf.DUMMYFUNCTION("""COMPUTED_VALUE"""),-10.0)</f>
        <v>-10</v>
      </c>
      <c r="AD479" s="16">
        <f>IFERROR(__xludf.DUMMYFUNCTION("""COMPUTED_VALUE"""),-5.0)</f>
        <v>-5</v>
      </c>
      <c r="AE479" s="16">
        <f>IFERROR(__xludf.DUMMYFUNCTION("""COMPUTED_VALUE"""),57.2)</f>
        <v>57.2</v>
      </c>
      <c r="AF479" s="16">
        <f>IFERROR(__xludf.DUMMYFUNCTION("""COMPUTED_VALUE"""),30.3)</f>
        <v>30.3</v>
      </c>
      <c r="AG479" s="16">
        <f>IFERROR(__xludf.DUMMYFUNCTION("""COMPUTED_VALUE"""),-2.0)</f>
        <v>-2</v>
      </c>
      <c r="AH479" s="16">
        <f>IFERROR(__xludf.DUMMYFUNCTION("""COMPUTED_VALUE"""),0.0)</f>
        <v>0</v>
      </c>
      <c r="AI479" s="16">
        <f>IFERROR(__xludf.DUMMYFUNCTION("""COMPUTED_VALUE"""),-4.0)</f>
        <v>-4</v>
      </c>
      <c r="AJ479" s="16">
        <f>IFERROR(__xludf.DUMMYFUNCTION("""COMPUTED_VALUE"""),0.0)</f>
        <v>0</v>
      </c>
      <c r="AK479" s="16">
        <f>IFERROR(__xludf.DUMMYFUNCTION("""COMPUTED_VALUE"""),17.7)</f>
        <v>17.7</v>
      </c>
      <c r="AL479" s="16">
        <f>IFERROR(__xludf.DUMMYFUNCTION("""COMPUTED_VALUE"""),17.0)</f>
        <v>17</v>
      </c>
      <c r="AM479" s="16">
        <f>IFERROR(__xludf.DUMMYFUNCTION("""COMPUTED_VALUE"""),-1.0)</f>
        <v>-1</v>
      </c>
      <c r="AN479" s="16">
        <f>IFERROR(__xludf.DUMMYFUNCTION("""COMPUTED_VALUE"""),-1.0)</f>
        <v>-1</v>
      </c>
      <c r="AO479" s="16">
        <f>IFERROR(__xludf.DUMMYFUNCTION("""COMPUTED_VALUE"""),-1.0)</f>
        <v>-1</v>
      </c>
      <c r="AP479" s="16">
        <f>IFERROR(__xludf.DUMMYFUNCTION("""COMPUTED_VALUE"""),-1.0)</f>
        <v>-1</v>
      </c>
      <c r="AQ479" s="16">
        <f>IFERROR(__xludf.DUMMYFUNCTION("""COMPUTED_VALUE"""),27.200000000000003)</f>
        <v>27.2</v>
      </c>
      <c r="AR479" s="16">
        <f>IFERROR(__xludf.DUMMYFUNCTION("""COMPUTED_VALUE"""),30.3)</f>
        <v>30.3</v>
      </c>
      <c r="AS479" s="16">
        <f>IFERROR(__xludf.DUMMYFUNCTION("""COMPUTED_VALUE"""),-1.0)</f>
        <v>-1</v>
      </c>
      <c r="AT479" s="16">
        <f>IFERROR(__xludf.DUMMYFUNCTION("""COMPUTED_VALUE"""),-1.0)</f>
        <v>-1</v>
      </c>
      <c r="AU479" s="16">
        <f>IFERROR(__xludf.DUMMYFUNCTION("""COMPUTED_VALUE"""),-2.0)</f>
        <v>-2</v>
      </c>
      <c r="AV479" s="16">
        <f>IFERROR(__xludf.DUMMYFUNCTION("""COMPUTED_VALUE"""),-2.0)</f>
        <v>-2</v>
      </c>
      <c r="AW479" s="16">
        <f>IFERROR(__xludf.DUMMYFUNCTION("""COMPUTED_VALUE"""),7.5)</f>
        <v>7.5</v>
      </c>
      <c r="AX479" s="16">
        <f>IFERROR(__xludf.DUMMYFUNCTION("""COMPUTED_VALUE"""),0.0)</f>
        <v>0</v>
      </c>
      <c r="AY479" s="16">
        <f>IFERROR(__xludf.DUMMYFUNCTION("""COMPUTED_VALUE"""),-3.0)</f>
        <v>-3</v>
      </c>
      <c r="AZ479" s="16">
        <f>IFERROR(__xludf.DUMMYFUNCTION("""COMPUTED_VALUE"""),2.0)</f>
        <v>2</v>
      </c>
      <c r="BA479" s="16">
        <f>IFERROR(__xludf.DUMMYFUNCTION("""COMPUTED_VALUE"""),-15.0)</f>
        <v>-15</v>
      </c>
      <c r="BB479" s="16">
        <f>IFERROR(__xludf.DUMMYFUNCTION("""COMPUTED_VALUE"""),10.0)</f>
        <v>10</v>
      </c>
      <c r="BC479" s="16">
        <f>IFERROR(__xludf.DUMMYFUNCTION("""COMPUTED_VALUE"""),8.0)</f>
        <v>8</v>
      </c>
      <c r="BD479" s="16">
        <f>IFERROR(__xludf.DUMMYFUNCTION("""COMPUTED_VALUE"""),0.0)</f>
        <v>0</v>
      </c>
      <c r="BE479" s="16">
        <f>IFERROR(__xludf.DUMMYFUNCTION("""COMPUTED_VALUE"""),8.0)</f>
        <v>8</v>
      </c>
      <c r="BF479" s="16">
        <f>IFERROR(__xludf.DUMMYFUNCTION("""COMPUTED_VALUE"""),0.0)</f>
        <v>0</v>
      </c>
      <c r="BG479" s="16">
        <f>IFERROR(__xludf.DUMMYFUNCTION("""COMPUTED_VALUE"""),-3.0)</f>
        <v>-3</v>
      </c>
      <c r="BH479" s="16">
        <f>IFERROR(__xludf.DUMMYFUNCTION("""COMPUTED_VALUE"""),2.0)</f>
        <v>2</v>
      </c>
      <c r="BI479" s="16">
        <f>IFERROR(__xludf.DUMMYFUNCTION("""COMPUTED_VALUE"""),-6.0)</f>
        <v>-6</v>
      </c>
      <c r="BJ479" s="16">
        <f>IFERROR(__xludf.DUMMYFUNCTION("""COMPUTED_VALUE"""),4.0)</f>
        <v>4</v>
      </c>
      <c r="BK479" s="16">
        <f>IFERROR(__xludf.DUMMYFUNCTION("""COMPUTED_VALUE"""),5.0)</f>
        <v>5</v>
      </c>
      <c r="BL479" s="16">
        <f>IFERROR(__xludf.DUMMYFUNCTION("""COMPUTED_VALUE"""),5.0)</f>
        <v>5</v>
      </c>
      <c r="BM479" s="16">
        <f>IFERROR(__xludf.DUMMYFUNCTION("""COMPUTED_VALUE"""),0.0)</f>
        <v>0</v>
      </c>
      <c r="BN479" s="16">
        <f>IFERROR(__xludf.DUMMYFUNCTION("""COMPUTED_VALUE"""),0.0)</f>
        <v>0</v>
      </c>
      <c r="BO479" s="16">
        <f>IFERROR(__xludf.DUMMYFUNCTION("""COMPUTED_VALUE"""),0.0)</f>
        <v>0</v>
      </c>
      <c r="BP479" s="16">
        <f>IFERROR(__xludf.DUMMYFUNCTION("""COMPUTED_VALUE"""),0.0)</f>
        <v>0</v>
      </c>
      <c r="BQ479" s="16">
        <f>IFERROR(__xludf.DUMMYFUNCTION("""COMPUTED_VALUE"""),0.0)</f>
        <v>0</v>
      </c>
      <c r="BR479" s="16">
        <f>IFERROR(__xludf.DUMMYFUNCTION("""COMPUTED_VALUE"""),0.0)</f>
        <v>0</v>
      </c>
      <c r="BS479" s="16">
        <f>IFERROR(__xludf.DUMMYFUNCTION("""COMPUTED_VALUE"""),-3.0)</f>
        <v>-3</v>
      </c>
      <c r="BT479" s="16">
        <f>IFERROR(__xludf.DUMMYFUNCTION("""COMPUTED_VALUE"""),-3.0)</f>
        <v>-3</v>
      </c>
      <c r="BU479" s="16">
        <f>IFERROR(__xludf.DUMMYFUNCTION("""COMPUTED_VALUE"""),-6.0)</f>
        <v>-6</v>
      </c>
      <c r="BV479" s="16">
        <f>IFERROR(__xludf.DUMMYFUNCTION("""COMPUTED_VALUE"""),-6.0)</f>
        <v>-6</v>
      </c>
      <c r="BW479" s="16">
        <f>IFERROR(__xludf.DUMMYFUNCTION("""COMPUTED_VALUE"""),-1.0)</f>
        <v>-1</v>
      </c>
      <c r="BX479" s="16">
        <f>IFERROR(__xludf.DUMMYFUNCTION("""COMPUTED_VALUE"""),-1.0)</f>
        <v>-1</v>
      </c>
      <c r="BY479" s="16" t="str">
        <f>IFERROR(__xludf.DUMMYFUNCTION("""COMPUTED_VALUE"""),"R(1) C(1)")</f>
        <v>R(1) C(1)</v>
      </c>
      <c r="BZ479" s="16" t="str">
        <f>IFERROR(__xludf.DUMMYFUNCTION("""COMPUTED_VALUE"""),"R(1) C(1)")</f>
        <v>R(1) C(1)</v>
      </c>
      <c r="CA479" s="16" t="str">
        <f>IFERROR(__xludf.DUMMYFUNCTION("""COMPUTED_VALUE"""),"R(1)")</f>
        <v>R(1)</v>
      </c>
      <c r="CB479" s="16" t="str">
        <f>IFERROR(__xludf.DUMMYFUNCTION("""COMPUTED_VALUE"""),"C(1)")</f>
        <v>C(1)</v>
      </c>
      <c r="CC479" s="16"/>
      <c r="CD479" s="16"/>
      <c r="CE479" s="16">
        <f>IFERROR(__xludf.DUMMYFUNCTION("""COMPUTED_VALUE"""),1.0)</f>
        <v>1</v>
      </c>
      <c r="CF479" s="16">
        <f>IFERROR(__xludf.DUMMYFUNCTION("""COMPUTED_VALUE"""),1.0)</f>
        <v>1</v>
      </c>
      <c r="CG479" s="16" t="str">
        <f>IFERROR(__xludf.DUMMYFUNCTION("""COMPUTED_VALUE"""),"3-0")</f>
        <v>3-0</v>
      </c>
      <c r="CH479" s="16">
        <f>IFERROR(__xludf.DUMMYFUNCTION("""COMPUTED_VALUE"""),3.0)</f>
        <v>3</v>
      </c>
      <c r="CI479" s="16">
        <f>IFERROR(__xludf.DUMMYFUNCTION("""COMPUTED_VALUE"""),0.0)</f>
        <v>0</v>
      </c>
      <c r="CJ479" s="16">
        <f>IFERROR(__xludf.DUMMYFUNCTION("""COMPUTED_VALUE"""),0.0)</f>
        <v>0</v>
      </c>
      <c r="CK479" s="16">
        <f>IFERROR(__xludf.DUMMYFUNCTION("""COMPUTED_VALUE"""),20.0)</f>
        <v>20</v>
      </c>
      <c r="CL479" s="16" t="str">
        <f>IFERROR(__xludf.DUMMYFUNCTION("""COMPUTED_VALUE"""),"1WR-C")</f>
        <v>1WR-C</v>
      </c>
      <c r="CM479" s="16" t="str">
        <f>IFERROR(__xludf.DUMMYFUNCTION("""COMPUTED_VALUE"""),"E")</f>
        <v>E</v>
      </c>
      <c r="CN479" s="16">
        <f>IFERROR(__xludf.DUMMYFUNCTION("""COMPUTED_VALUE"""),10.0)</f>
        <v>10</v>
      </c>
      <c r="CO479" s="16" t="str">
        <f>IFERROR(__xludf.DUMMYFUNCTION("""COMPUTED_VALUE"""),"C")</f>
        <v>C</v>
      </c>
      <c r="CP479" s="16" t="str">
        <f>IFERROR(__xludf.DUMMYFUNCTION("""COMPUTED_VALUE"""),"1p50")</f>
        <v>1p50</v>
      </c>
      <c r="CQ479" s="16">
        <f>IFERROR(__xludf.DUMMYFUNCTION("""COMPUTED_VALUE"""),-54.0)</f>
        <v>-54</v>
      </c>
      <c r="CR479" s="16">
        <f>IFERROR(__xludf.DUMMYFUNCTION("""COMPUTED_VALUE"""),3.0)</f>
        <v>3</v>
      </c>
      <c r="CS479" s="16">
        <f>IFERROR(__xludf.DUMMYFUNCTION("""COMPUTED_VALUE"""),-51.0)</f>
        <v>-51</v>
      </c>
      <c r="CT479" s="16">
        <f>IFERROR(__xludf.DUMMYFUNCTION("""COMPUTED_VALUE"""),-54.0)</f>
        <v>-54</v>
      </c>
      <c r="CU479" s="16">
        <f>IFERROR(__xludf.DUMMYFUNCTION("""COMPUTED_VALUE"""),3.0)</f>
        <v>3</v>
      </c>
      <c r="CV479" s="179">
        <f>IFERROR(__xludf.DUMMYFUNCTION("""COMPUTED_VALUE"""),-31.0)</f>
        <v>-31</v>
      </c>
      <c r="CW479" s="179">
        <f>IFERROR(__xludf.DUMMYFUNCTION("""COMPUTED_VALUE"""),4.0)</f>
        <v>4</v>
      </c>
      <c r="CX479" s="179">
        <f>IFERROR(__xludf.DUMMYFUNCTION("""COMPUTED_VALUE"""),0.0)</f>
        <v>0</v>
      </c>
      <c r="CY479" s="16" t="str">
        <f>IFERROR(__xludf.DUMMYFUNCTION("""COMPUTED_VALUE"""),"RP")</f>
        <v>RP</v>
      </c>
      <c r="CZ479" s="16" t="str">
        <f>IFERROR(__xludf.DUMMYFUNCTION("""COMPUTED_VALUE"""),"CP")</f>
        <v>CP</v>
      </c>
      <c r="DA479" s="16"/>
      <c r="DB479" s="16"/>
      <c r="DC479" s="16"/>
      <c r="DD479" s="16"/>
      <c r="DE479" s="16"/>
      <c r="DF479" s="16"/>
      <c r="DG479" s="16"/>
      <c r="DH479" s="16"/>
      <c r="DI479" s="16"/>
      <c r="DJ479" s="16"/>
      <c r="DK479" s="16"/>
    </row>
    <row r="480">
      <c r="A480" s="16">
        <f>IFERROR(__xludf.DUMMYFUNCTION("""COMPUTED_VALUE"""),12919.0)</f>
        <v>12919</v>
      </c>
      <c r="B480" s="16" t="str">
        <f>IFERROR(__xludf.DUMMYFUNCTION("""COMPUTED_VALUE"""),"Jake Woodford")</f>
        <v>Jake Woodford</v>
      </c>
      <c r="C480" s="153">
        <f>IFERROR(__xludf.DUMMYFUNCTION("""COMPUTED_VALUE"""),0.0)</f>
        <v>0</v>
      </c>
      <c r="D480" s="16"/>
      <c r="E480" s="16" t="str">
        <f>IFERROR(__xludf.DUMMYFUNCTION("""COMPUTED_VALUE"""),"R")</f>
        <v>R</v>
      </c>
      <c r="F480" s="16">
        <f>IFERROR(__xludf.DUMMYFUNCTION("""COMPUTED_VALUE"""),35.0)</f>
        <v>35</v>
      </c>
      <c r="G480" s="16">
        <f>IFERROR(__xludf.DUMMYFUNCTION("""COMPUTED_VALUE"""),11.0)</f>
        <v>11</v>
      </c>
      <c r="H480" s="16">
        <f>IFERROR(__xludf.DUMMYFUNCTION("""COMPUTED_VALUE"""),9.0)</f>
        <v>9</v>
      </c>
      <c r="I480" s="16">
        <f>IFERROR(__xludf.DUMMYFUNCTION("""COMPUTED_VALUE"""),-2.0)</f>
        <v>-2</v>
      </c>
      <c r="J480" s="16">
        <f>IFERROR(__xludf.DUMMYFUNCTION("""COMPUTED_VALUE"""),-2.0)</f>
        <v>-2</v>
      </c>
      <c r="K480" s="16">
        <f>IFERROR(__xludf.DUMMYFUNCTION("""COMPUTED_VALUE"""),-6.0)</f>
        <v>-6</v>
      </c>
      <c r="L480" s="16">
        <f>IFERROR(__xludf.DUMMYFUNCTION("""COMPUTED_VALUE"""),-6.0)</f>
        <v>-6</v>
      </c>
      <c r="M480" s="16">
        <f>IFERROR(__xludf.DUMMYFUNCTION("""COMPUTED_VALUE"""),4.0)</f>
        <v>4</v>
      </c>
      <c r="N480" s="16">
        <f>IFERROR(__xludf.DUMMYFUNCTION("""COMPUTED_VALUE"""),2.0)</f>
        <v>2</v>
      </c>
      <c r="O480" s="16">
        <f>IFERROR(__xludf.DUMMYFUNCTION("""COMPUTED_VALUE"""),2.0)</f>
        <v>2</v>
      </c>
      <c r="P480" s="16">
        <f>IFERROR(__xludf.DUMMYFUNCTION("""COMPUTED_VALUE"""),3.0)</f>
        <v>3</v>
      </c>
      <c r="Q480" s="16">
        <f>IFERROR(__xludf.DUMMYFUNCTION("""COMPUTED_VALUE"""),2.0)</f>
        <v>2</v>
      </c>
      <c r="R480" s="16">
        <f>IFERROR(__xludf.DUMMYFUNCTION("""COMPUTED_VALUE"""),3.0)</f>
        <v>3</v>
      </c>
      <c r="S480" s="16">
        <f>IFERROR(__xludf.DUMMYFUNCTION("""COMPUTED_VALUE"""),28.5)</f>
        <v>28.5</v>
      </c>
      <c r="T480" s="16">
        <f>IFERROR(__xludf.DUMMYFUNCTION("""COMPUTED_VALUE"""),28.5)</f>
        <v>28.5</v>
      </c>
      <c r="U480" s="16">
        <f>IFERROR(__xludf.DUMMYFUNCTION("""COMPUTED_VALUE"""),-2.0)</f>
        <v>-2</v>
      </c>
      <c r="V480" s="16">
        <f>IFERROR(__xludf.DUMMYFUNCTION("""COMPUTED_VALUE"""),-2.0)</f>
        <v>-2</v>
      </c>
      <c r="W480" s="16">
        <f>IFERROR(__xludf.DUMMYFUNCTION("""COMPUTED_VALUE"""),-4.0)</f>
        <v>-4</v>
      </c>
      <c r="X480" s="16">
        <f>IFERROR(__xludf.DUMMYFUNCTION("""COMPUTED_VALUE"""),-4.0)</f>
        <v>-4</v>
      </c>
      <c r="Y480" s="16">
        <f>IFERROR(__xludf.DUMMYFUNCTION("""COMPUTED_VALUE"""),32.5)</f>
        <v>32.5</v>
      </c>
      <c r="Z480" s="16">
        <f>IFERROR(__xludf.DUMMYFUNCTION("""COMPUTED_VALUE"""),30.5)</f>
        <v>30.5</v>
      </c>
      <c r="AA480" s="16">
        <f>IFERROR(__xludf.DUMMYFUNCTION("""COMPUTED_VALUE"""),-1.0)</f>
        <v>-1</v>
      </c>
      <c r="AB480" s="16">
        <f>IFERROR(__xludf.DUMMYFUNCTION("""COMPUTED_VALUE"""),-1.0)</f>
        <v>-1</v>
      </c>
      <c r="AC480" s="16">
        <f>IFERROR(__xludf.DUMMYFUNCTION("""COMPUTED_VALUE"""),-5.0)</f>
        <v>-5</v>
      </c>
      <c r="AD480" s="16">
        <f>IFERROR(__xludf.DUMMYFUNCTION("""COMPUTED_VALUE"""),-5.0)</f>
        <v>-5</v>
      </c>
      <c r="AE480" s="16">
        <f>IFERROR(__xludf.DUMMYFUNCTION("""COMPUTED_VALUE"""),65.2)</f>
        <v>65.2</v>
      </c>
      <c r="AF480" s="16">
        <f>IFERROR(__xludf.DUMMYFUNCTION("""COMPUTED_VALUE"""),49.5)</f>
        <v>49.5</v>
      </c>
      <c r="AG480" s="16">
        <f>IFERROR(__xludf.DUMMYFUNCTION("""COMPUTED_VALUE"""),-3.0)</f>
        <v>-3</v>
      </c>
      <c r="AH480" s="16">
        <f>IFERROR(__xludf.DUMMYFUNCTION("""COMPUTED_VALUE"""),-2.0)</f>
        <v>-2</v>
      </c>
      <c r="AI480" s="16">
        <f>IFERROR(__xludf.DUMMYFUNCTION("""COMPUTED_VALUE"""),-6.0)</f>
        <v>-6</v>
      </c>
      <c r="AJ480" s="16">
        <f>IFERROR(__xludf.DUMMYFUNCTION("""COMPUTED_VALUE"""),-4.0)</f>
        <v>-4</v>
      </c>
      <c r="AK480" s="16">
        <f>IFERROR(__xludf.DUMMYFUNCTION("""COMPUTED_VALUE"""),19.2)</f>
        <v>19.2</v>
      </c>
      <c r="AL480" s="16">
        <f>IFERROR(__xludf.DUMMYFUNCTION("""COMPUTED_VALUE"""),28.5)</f>
        <v>28.5</v>
      </c>
      <c r="AM480" s="16">
        <f>IFERROR(__xludf.DUMMYFUNCTION("""COMPUTED_VALUE"""),-1.0)</f>
        <v>-1</v>
      </c>
      <c r="AN480" s="16">
        <f>IFERROR(__xludf.DUMMYFUNCTION("""COMPUTED_VALUE"""),-2.0)</f>
        <v>-2</v>
      </c>
      <c r="AO480" s="16">
        <f>IFERROR(__xludf.DUMMYFUNCTION("""COMPUTED_VALUE"""),-1.0)</f>
        <v>-1</v>
      </c>
      <c r="AP480" s="16">
        <f>IFERROR(__xludf.DUMMYFUNCTION("""COMPUTED_VALUE"""),-2.0)</f>
        <v>-2</v>
      </c>
      <c r="AQ480" s="16">
        <f>IFERROR(__xludf.DUMMYFUNCTION("""COMPUTED_VALUE"""),28.0)</f>
        <v>28</v>
      </c>
      <c r="AR480" s="16">
        <f>IFERROR(__xludf.DUMMYFUNCTION("""COMPUTED_VALUE"""),49.5)</f>
        <v>49.5</v>
      </c>
      <c r="AS480" s="16">
        <f>IFERROR(__xludf.DUMMYFUNCTION("""COMPUTED_VALUE"""),-1.0)</f>
        <v>-1</v>
      </c>
      <c r="AT480" s="16">
        <f>IFERROR(__xludf.DUMMYFUNCTION("""COMPUTED_VALUE"""),-3.0)</f>
        <v>-3</v>
      </c>
      <c r="AU480" s="16">
        <f>IFERROR(__xludf.DUMMYFUNCTION("""COMPUTED_VALUE"""),-2.0)</f>
        <v>-2</v>
      </c>
      <c r="AV480" s="16">
        <f>IFERROR(__xludf.DUMMYFUNCTION("""COMPUTED_VALUE"""),-6.0)</f>
        <v>-6</v>
      </c>
      <c r="AW480" s="16">
        <f>IFERROR(__xludf.DUMMYFUNCTION("""COMPUTED_VALUE"""),9.3)</f>
        <v>9.3</v>
      </c>
      <c r="AX480" s="16">
        <f>IFERROR(__xludf.DUMMYFUNCTION("""COMPUTED_VALUE"""),0.0)</f>
        <v>0</v>
      </c>
      <c r="AY480" s="16">
        <f>IFERROR(__xludf.DUMMYFUNCTION("""COMPUTED_VALUE"""),-3.0)</f>
        <v>-3</v>
      </c>
      <c r="AZ480" s="16">
        <f>IFERROR(__xludf.DUMMYFUNCTION("""COMPUTED_VALUE"""),2.0)</f>
        <v>2</v>
      </c>
      <c r="BA480" s="16">
        <f>IFERROR(__xludf.DUMMYFUNCTION("""COMPUTED_VALUE"""),-15.0)</f>
        <v>-15</v>
      </c>
      <c r="BB480" s="16">
        <f>IFERROR(__xludf.DUMMYFUNCTION("""COMPUTED_VALUE"""),10.0)</f>
        <v>10</v>
      </c>
      <c r="BC480" s="16">
        <f>IFERROR(__xludf.DUMMYFUNCTION("""COMPUTED_VALUE"""),8.0)</f>
        <v>8</v>
      </c>
      <c r="BD480" s="16">
        <f>IFERROR(__xludf.DUMMYFUNCTION("""COMPUTED_VALUE"""),0.0)</f>
        <v>0</v>
      </c>
      <c r="BE480" s="16">
        <f>IFERROR(__xludf.DUMMYFUNCTION("""COMPUTED_VALUE"""),8.0)</f>
        <v>8</v>
      </c>
      <c r="BF480" s="16">
        <f>IFERROR(__xludf.DUMMYFUNCTION("""COMPUTED_VALUE"""),0.0)</f>
        <v>0</v>
      </c>
      <c r="BG480" s="16">
        <f>IFERROR(__xludf.DUMMYFUNCTION("""COMPUTED_VALUE"""),-3.0)</f>
        <v>-3</v>
      </c>
      <c r="BH480" s="16">
        <f>IFERROR(__xludf.DUMMYFUNCTION("""COMPUTED_VALUE"""),2.0)</f>
        <v>2</v>
      </c>
      <c r="BI480" s="16">
        <f>IFERROR(__xludf.DUMMYFUNCTION("""COMPUTED_VALUE"""),-6.0)</f>
        <v>-6</v>
      </c>
      <c r="BJ480" s="16">
        <f>IFERROR(__xludf.DUMMYFUNCTION("""COMPUTED_VALUE"""),4.0)</f>
        <v>4</v>
      </c>
      <c r="BK480" s="16">
        <f>IFERROR(__xludf.DUMMYFUNCTION("""COMPUTED_VALUE"""),5.0)</f>
        <v>5</v>
      </c>
      <c r="BL480" s="16">
        <f>IFERROR(__xludf.DUMMYFUNCTION("""COMPUTED_VALUE"""),5.0)</f>
        <v>5</v>
      </c>
      <c r="BM480" s="16">
        <f>IFERROR(__xludf.DUMMYFUNCTION("""COMPUTED_VALUE"""),0.0)</f>
        <v>0</v>
      </c>
      <c r="BN480" s="16">
        <f>IFERROR(__xludf.DUMMYFUNCTION("""COMPUTED_VALUE"""),0.0)</f>
        <v>0</v>
      </c>
      <c r="BO480" s="16">
        <f>IFERROR(__xludf.DUMMYFUNCTION("""COMPUTED_VALUE"""),0.0)</f>
        <v>0</v>
      </c>
      <c r="BP480" s="16">
        <f>IFERROR(__xludf.DUMMYFUNCTION("""COMPUTED_VALUE"""),0.0)</f>
        <v>0</v>
      </c>
      <c r="BQ480" s="16">
        <f>IFERROR(__xludf.DUMMYFUNCTION("""COMPUTED_VALUE"""),0.0)</f>
        <v>0</v>
      </c>
      <c r="BR480" s="16">
        <f>IFERROR(__xludf.DUMMYFUNCTION("""COMPUTED_VALUE"""),0.0)</f>
        <v>0</v>
      </c>
      <c r="BS480" s="16">
        <f>IFERROR(__xludf.DUMMYFUNCTION("""COMPUTED_VALUE"""),-3.0)</f>
        <v>-3</v>
      </c>
      <c r="BT480" s="16">
        <f>IFERROR(__xludf.DUMMYFUNCTION("""COMPUTED_VALUE"""),-3.0)</f>
        <v>-3</v>
      </c>
      <c r="BU480" s="16">
        <f>IFERROR(__xludf.DUMMYFUNCTION("""COMPUTED_VALUE"""),-6.0)</f>
        <v>-6</v>
      </c>
      <c r="BV480" s="16">
        <f>IFERROR(__xludf.DUMMYFUNCTION("""COMPUTED_VALUE"""),-6.0)</f>
        <v>-6</v>
      </c>
      <c r="BW480" s="16">
        <f>IFERROR(__xludf.DUMMYFUNCTION("""COMPUTED_VALUE"""),0.0)</f>
        <v>0</v>
      </c>
      <c r="BX480" s="16">
        <f>IFERROR(__xludf.DUMMYFUNCTION("""COMPUTED_VALUE"""),0.0)</f>
        <v>0</v>
      </c>
      <c r="BY480" s="16" t="str">
        <f>IFERROR(__xludf.DUMMYFUNCTION("""COMPUTED_VALUE"""),"S(4) R(3)")</f>
        <v>S(4) R(3)</v>
      </c>
      <c r="BZ480" s="16" t="str">
        <f>IFERROR(__xludf.DUMMYFUNCTION("""COMPUTED_VALUE"""),"S(4) R(3)")</f>
        <v>S(4) R(3)</v>
      </c>
      <c r="CA480" s="16" t="str">
        <f>IFERROR(__xludf.DUMMYFUNCTION("""COMPUTED_VALUE"""),"S(4)")</f>
        <v>S(4)</v>
      </c>
      <c r="CB480" s="16" t="str">
        <f>IFERROR(__xludf.DUMMYFUNCTION("""COMPUTED_VALUE"""),"R(3)")</f>
        <v>R(3)</v>
      </c>
      <c r="CC480" s="16"/>
      <c r="CD480" s="16">
        <f>IFERROR(__xludf.DUMMYFUNCTION("""COMPUTED_VALUE"""),4.0)</f>
        <v>4</v>
      </c>
      <c r="CE480" s="16">
        <f>IFERROR(__xludf.DUMMYFUNCTION("""COMPUTED_VALUE"""),3.0)</f>
        <v>3</v>
      </c>
      <c r="CF480" s="16"/>
      <c r="CG480" s="16" t="str">
        <f>IFERROR(__xludf.DUMMYFUNCTION("""COMPUTED_VALUE"""),"3-0")</f>
        <v>3-0</v>
      </c>
      <c r="CH480" s="16">
        <f>IFERROR(__xludf.DUMMYFUNCTION("""COMPUTED_VALUE"""),3.0)</f>
        <v>3</v>
      </c>
      <c r="CI480" s="16">
        <f>IFERROR(__xludf.DUMMYFUNCTION("""COMPUTED_VALUE"""),0.0)</f>
        <v>0</v>
      </c>
      <c r="CJ480" s="16">
        <f>IFERROR(__xludf.DUMMYFUNCTION("""COMPUTED_VALUE"""),0.0)</f>
        <v>0</v>
      </c>
      <c r="CK480" s="16">
        <f>IFERROR(__xludf.DUMMYFUNCTION("""COMPUTED_VALUE"""),11.0)</f>
        <v>11</v>
      </c>
      <c r="CL480" s="16" t="str">
        <f>IFERROR(__xludf.DUMMYFUNCTION("""COMPUTED_VALUE"""),"1WR-C")</f>
        <v>1WR-C</v>
      </c>
      <c r="CM480" s="16" t="str">
        <f>IFERROR(__xludf.DUMMYFUNCTION("""COMPUTED_VALUE"""),"E")</f>
        <v>E</v>
      </c>
      <c r="CN480" s="16">
        <f>IFERROR(__xludf.DUMMYFUNCTION("""COMPUTED_VALUE"""),10.0)</f>
        <v>10</v>
      </c>
      <c r="CO480" s="16" t="str">
        <f>IFERROR(__xludf.DUMMYFUNCTION("""COMPUTED_VALUE"""),"C")</f>
        <v>C</v>
      </c>
      <c r="CP480" s="16" t="str">
        <f>IFERROR(__xludf.DUMMYFUNCTION("""COMPUTED_VALUE"""),"1p20")</f>
        <v>1p20</v>
      </c>
      <c r="CQ480" s="16">
        <f>IFERROR(__xludf.DUMMYFUNCTION("""COMPUTED_VALUE"""),-49.0)</f>
        <v>-49</v>
      </c>
      <c r="CR480" s="16">
        <f>IFERROR(__xludf.DUMMYFUNCTION("""COMPUTED_VALUE"""),-16.0)</f>
        <v>-16</v>
      </c>
      <c r="CS480" s="16">
        <f>IFERROR(__xludf.DUMMYFUNCTION("""COMPUTED_VALUE"""),-65.0)</f>
        <v>-65</v>
      </c>
      <c r="CT480" s="16">
        <f>IFERROR(__xludf.DUMMYFUNCTION("""COMPUTED_VALUE"""),-49.0)</f>
        <v>-49</v>
      </c>
      <c r="CU480" s="16">
        <f>IFERROR(__xludf.DUMMYFUNCTION("""COMPUTED_VALUE"""),-16.0)</f>
        <v>-16</v>
      </c>
      <c r="CV480" s="179">
        <f>IFERROR(__xludf.DUMMYFUNCTION("""COMPUTED_VALUE"""),-31.0)</f>
        <v>-31</v>
      </c>
      <c r="CW480" s="179">
        <f>IFERROR(__xludf.DUMMYFUNCTION("""COMPUTED_VALUE"""),4.0)</f>
        <v>4</v>
      </c>
      <c r="CX480" s="179">
        <f>IFERROR(__xludf.DUMMYFUNCTION("""COMPUTED_VALUE"""),3.0)</f>
        <v>3</v>
      </c>
      <c r="CY480" s="16" t="str">
        <f>IFERROR(__xludf.DUMMYFUNCTION("""COMPUTED_VALUE"""),"SP")</f>
        <v>SP</v>
      </c>
      <c r="CZ480" s="16" t="str">
        <f>IFERROR(__xludf.DUMMYFUNCTION("""COMPUTED_VALUE"""),"RP")</f>
        <v>RP</v>
      </c>
      <c r="DA480" s="16"/>
      <c r="DB480" s="16"/>
      <c r="DC480" s="16"/>
      <c r="DD480" s="16"/>
      <c r="DE480" s="16"/>
      <c r="DF480" s="16"/>
      <c r="DG480" s="16"/>
      <c r="DH480" s="16"/>
      <c r="DI480" s="16"/>
      <c r="DJ480" s="16"/>
      <c r="DK480" s="16"/>
    </row>
    <row r="481">
      <c r="A481" s="16">
        <f>IFERROR(__xludf.DUMMYFUNCTION("""COMPUTED_VALUE"""),13094.0)</f>
        <v>13094</v>
      </c>
      <c r="B481" s="16" t="str">
        <f>IFERROR(__xludf.DUMMYFUNCTION("""COMPUTED_VALUE"""),"Kyle Hendricks")</f>
        <v>Kyle Hendricks</v>
      </c>
      <c r="C481" s="153">
        <f>IFERROR(__xludf.DUMMYFUNCTION("""COMPUTED_VALUE"""),0.0)</f>
        <v>0</v>
      </c>
      <c r="D481" s="16"/>
      <c r="E481" s="16" t="str">
        <f>IFERROR(__xludf.DUMMYFUNCTION("""COMPUTED_VALUE"""),"R")</f>
        <v>R</v>
      </c>
      <c r="F481" s="16">
        <f>IFERROR(__xludf.DUMMYFUNCTION("""COMPUTED_VALUE"""),131.0)</f>
        <v>131</v>
      </c>
      <c r="G481" s="16">
        <f>IFERROR(__xludf.DUMMYFUNCTION("""COMPUTED_VALUE"""),7.0)</f>
        <v>7</v>
      </c>
      <c r="H481" s="16">
        <f>IFERROR(__xludf.DUMMYFUNCTION("""COMPUTED_VALUE"""),10.0)</f>
        <v>10</v>
      </c>
      <c r="I481" s="16">
        <f>IFERROR(__xludf.DUMMYFUNCTION("""COMPUTED_VALUE"""),-2.0)</f>
        <v>-2</v>
      </c>
      <c r="J481" s="16">
        <f>IFERROR(__xludf.DUMMYFUNCTION("""COMPUTED_VALUE"""),-2.0)</f>
        <v>-2</v>
      </c>
      <c r="K481" s="16">
        <f>IFERROR(__xludf.DUMMYFUNCTION("""COMPUTED_VALUE"""),-6.0)</f>
        <v>-6</v>
      </c>
      <c r="L481" s="16">
        <f>IFERROR(__xludf.DUMMYFUNCTION("""COMPUTED_VALUE"""),-6.0)</f>
        <v>-6</v>
      </c>
      <c r="M481" s="16">
        <f>IFERROR(__xludf.DUMMYFUNCTION("""COMPUTED_VALUE"""),9.0)</f>
        <v>9</v>
      </c>
      <c r="N481" s="16">
        <f>IFERROR(__xludf.DUMMYFUNCTION("""COMPUTED_VALUE"""),6.0)</f>
        <v>6</v>
      </c>
      <c r="O481" s="16">
        <f>IFERROR(__xludf.DUMMYFUNCTION("""COMPUTED_VALUE"""),0.0)</f>
        <v>0</v>
      </c>
      <c r="P481" s="16">
        <f>IFERROR(__xludf.DUMMYFUNCTION("""COMPUTED_VALUE"""),1.0)</f>
        <v>1</v>
      </c>
      <c r="Q481" s="16">
        <f>IFERROR(__xludf.DUMMYFUNCTION("""COMPUTED_VALUE"""),0.0)</f>
        <v>0</v>
      </c>
      <c r="R481" s="16">
        <f>IFERROR(__xludf.DUMMYFUNCTION("""COMPUTED_VALUE"""),1.0)</f>
        <v>1</v>
      </c>
      <c r="S481" s="16">
        <f>IFERROR(__xludf.DUMMYFUNCTION("""COMPUTED_VALUE"""),27.7)</f>
        <v>27.7</v>
      </c>
      <c r="T481" s="16">
        <f>IFERROR(__xludf.DUMMYFUNCTION("""COMPUTED_VALUE"""),24.0)</f>
        <v>24</v>
      </c>
      <c r="U481" s="16">
        <f>IFERROR(__xludf.DUMMYFUNCTION("""COMPUTED_VALUE"""),-2.0)</f>
        <v>-2</v>
      </c>
      <c r="V481" s="16">
        <f>IFERROR(__xludf.DUMMYFUNCTION("""COMPUTED_VALUE"""),-1.0)</f>
        <v>-1</v>
      </c>
      <c r="W481" s="16">
        <f>IFERROR(__xludf.DUMMYFUNCTION("""COMPUTED_VALUE"""),-4.0)</f>
        <v>-4</v>
      </c>
      <c r="X481" s="16">
        <f>IFERROR(__xludf.DUMMYFUNCTION("""COMPUTED_VALUE"""),-2.0)</f>
        <v>-2</v>
      </c>
      <c r="Y481" s="16">
        <f>IFERROR(__xludf.DUMMYFUNCTION("""COMPUTED_VALUE"""),36.7)</f>
        <v>36.7</v>
      </c>
      <c r="Z481" s="16">
        <f>IFERROR(__xludf.DUMMYFUNCTION("""COMPUTED_VALUE"""),30.0)</f>
        <v>30</v>
      </c>
      <c r="AA481" s="16">
        <f>IFERROR(__xludf.DUMMYFUNCTION("""COMPUTED_VALUE"""),-2.0)</f>
        <v>-2</v>
      </c>
      <c r="AB481" s="16">
        <f>IFERROR(__xludf.DUMMYFUNCTION("""COMPUTED_VALUE"""),-1.0)</f>
        <v>-1</v>
      </c>
      <c r="AC481" s="16">
        <f>IFERROR(__xludf.DUMMYFUNCTION("""COMPUTED_VALUE"""),-10.0)</f>
        <v>-10</v>
      </c>
      <c r="AD481" s="16">
        <f>IFERROR(__xludf.DUMMYFUNCTION("""COMPUTED_VALUE"""),-5.0)</f>
        <v>-5</v>
      </c>
      <c r="AE481" s="16">
        <f>IFERROR(__xludf.DUMMYFUNCTION("""COMPUTED_VALUE"""),40.6)</f>
        <v>40.6</v>
      </c>
      <c r="AF481" s="16">
        <f>IFERROR(__xludf.DUMMYFUNCTION("""COMPUTED_VALUE"""),30.7)</f>
        <v>30.7</v>
      </c>
      <c r="AG481" s="16">
        <f>IFERROR(__xludf.DUMMYFUNCTION("""COMPUTED_VALUE"""),-1.0)</f>
        <v>-1</v>
      </c>
      <c r="AH481" s="16">
        <f>IFERROR(__xludf.DUMMYFUNCTION("""COMPUTED_VALUE"""),0.0)</f>
        <v>0</v>
      </c>
      <c r="AI481" s="16">
        <f>IFERROR(__xludf.DUMMYFUNCTION("""COMPUTED_VALUE"""),-2.0)</f>
        <v>-2</v>
      </c>
      <c r="AJ481" s="16">
        <f>IFERROR(__xludf.DUMMYFUNCTION("""COMPUTED_VALUE"""),0.0)</f>
        <v>0</v>
      </c>
      <c r="AK481" s="16">
        <f>IFERROR(__xludf.DUMMYFUNCTION("""COMPUTED_VALUE"""),24.099999999999998)</f>
        <v>24.1</v>
      </c>
      <c r="AL481" s="16">
        <f>IFERROR(__xludf.DUMMYFUNCTION("""COMPUTED_VALUE"""),22.2)</f>
        <v>22.2</v>
      </c>
      <c r="AM481" s="16">
        <f>IFERROR(__xludf.DUMMYFUNCTION("""COMPUTED_VALUE"""),-2.0)</f>
        <v>-2</v>
      </c>
      <c r="AN481" s="16">
        <f>IFERROR(__xludf.DUMMYFUNCTION("""COMPUTED_VALUE"""),-2.0)</f>
        <v>-2</v>
      </c>
      <c r="AO481" s="16">
        <f>IFERROR(__xludf.DUMMYFUNCTION("""COMPUTED_VALUE"""),-2.0)</f>
        <v>-2</v>
      </c>
      <c r="AP481" s="16">
        <f>IFERROR(__xludf.DUMMYFUNCTION("""COMPUTED_VALUE"""),-2.0)</f>
        <v>-2</v>
      </c>
      <c r="AQ481" s="16">
        <f>IFERROR(__xludf.DUMMYFUNCTION("""COMPUTED_VALUE"""),26.200000000000003)</f>
        <v>26.2</v>
      </c>
      <c r="AR481" s="16">
        <f>IFERROR(__xludf.DUMMYFUNCTION("""COMPUTED_VALUE"""),23.5)</f>
        <v>23.5</v>
      </c>
      <c r="AS481" s="16">
        <f>IFERROR(__xludf.DUMMYFUNCTION("""COMPUTED_VALUE"""),-1.0)</f>
        <v>-1</v>
      </c>
      <c r="AT481" s="16">
        <f>IFERROR(__xludf.DUMMYFUNCTION("""COMPUTED_VALUE"""),-1.0)</f>
        <v>-1</v>
      </c>
      <c r="AU481" s="16">
        <f>IFERROR(__xludf.DUMMYFUNCTION("""COMPUTED_VALUE"""),-2.0)</f>
        <v>-2</v>
      </c>
      <c r="AV481" s="16">
        <f>IFERROR(__xludf.DUMMYFUNCTION("""COMPUTED_VALUE"""),-2.0)</f>
        <v>-2</v>
      </c>
      <c r="AW481" s="16">
        <f>IFERROR(__xludf.DUMMYFUNCTION("""COMPUTED_VALUE"""),3.6)</f>
        <v>3.6</v>
      </c>
      <c r="AX481" s="16">
        <f>IFERROR(__xludf.DUMMYFUNCTION("""COMPUTED_VALUE"""),1.8)</f>
        <v>1.8</v>
      </c>
      <c r="AY481" s="16">
        <f>IFERROR(__xludf.DUMMYFUNCTION("""COMPUTED_VALUE"""),-2.0)</f>
        <v>-2</v>
      </c>
      <c r="AZ481" s="16">
        <f>IFERROR(__xludf.DUMMYFUNCTION("""COMPUTED_VALUE"""),0.0)</f>
        <v>0</v>
      </c>
      <c r="BA481" s="16">
        <f>IFERROR(__xludf.DUMMYFUNCTION("""COMPUTED_VALUE"""),-10.0)</f>
        <v>-10</v>
      </c>
      <c r="BB481" s="16">
        <f>IFERROR(__xludf.DUMMYFUNCTION("""COMPUTED_VALUE"""),0.0)</f>
        <v>0</v>
      </c>
      <c r="BC481" s="16">
        <f>IFERROR(__xludf.DUMMYFUNCTION("""COMPUTED_VALUE"""),7.0)</f>
        <v>7</v>
      </c>
      <c r="BD481" s="16">
        <f>IFERROR(__xludf.DUMMYFUNCTION("""COMPUTED_VALUE"""),3.0)</f>
        <v>3</v>
      </c>
      <c r="BE481" s="16">
        <f>IFERROR(__xludf.DUMMYFUNCTION("""COMPUTED_VALUE"""),7.0)</f>
        <v>7</v>
      </c>
      <c r="BF481" s="16">
        <f>IFERROR(__xludf.DUMMYFUNCTION("""COMPUTED_VALUE"""),3.0)</f>
        <v>3</v>
      </c>
      <c r="BG481" s="16">
        <f>IFERROR(__xludf.DUMMYFUNCTION("""COMPUTED_VALUE"""),-3.0)</f>
        <v>-3</v>
      </c>
      <c r="BH481" s="16">
        <f>IFERROR(__xludf.DUMMYFUNCTION("""COMPUTED_VALUE"""),0.0)</f>
        <v>0</v>
      </c>
      <c r="BI481" s="16">
        <f>IFERROR(__xludf.DUMMYFUNCTION("""COMPUTED_VALUE"""),-6.0)</f>
        <v>-6</v>
      </c>
      <c r="BJ481" s="16">
        <f>IFERROR(__xludf.DUMMYFUNCTION("""COMPUTED_VALUE"""),0.0)</f>
        <v>0</v>
      </c>
      <c r="BK481" s="16">
        <f>IFERROR(__xludf.DUMMYFUNCTION("""COMPUTED_VALUE"""),5.0)</f>
        <v>5</v>
      </c>
      <c r="BL481" s="16">
        <f>IFERROR(__xludf.DUMMYFUNCTION("""COMPUTED_VALUE"""),5.0)</f>
        <v>5</v>
      </c>
      <c r="BM481" s="16">
        <f>IFERROR(__xludf.DUMMYFUNCTION("""COMPUTED_VALUE"""),0.0)</f>
        <v>0</v>
      </c>
      <c r="BN481" s="16">
        <f>IFERROR(__xludf.DUMMYFUNCTION("""COMPUTED_VALUE"""),0.0)</f>
        <v>0</v>
      </c>
      <c r="BO481" s="16">
        <f>IFERROR(__xludf.DUMMYFUNCTION("""COMPUTED_VALUE"""),0.0)</f>
        <v>0</v>
      </c>
      <c r="BP481" s="16">
        <f>IFERROR(__xludf.DUMMYFUNCTION("""COMPUTED_VALUE"""),0.0)</f>
        <v>0</v>
      </c>
      <c r="BQ481" s="16">
        <f>IFERROR(__xludf.DUMMYFUNCTION("""COMPUTED_VALUE"""),1.0)</f>
        <v>1</v>
      </c>
      <c r="BR481" s="16">
        <f>IFERROR(__xludf.DUMMYFUNCTION("""COMPUTED_VALUE"""),1.0)</f>
        <v>1</v>
      </c>
      <c r="BS481" s="16">
        <f>IFERROR(__xludf.DUMMYFUNCTION("""COMPUTED_VALUE"""),-2.0)</f>
        <v>-2</v>
      </c>
      <c r="BT481" s="16">
        <f>IFERROR(__xludf.DUMMYFUNCTION("""COMPUTED_VALUE"""),-2.0)</f>
        <v>-2</v>
      </c>
      <c r="BU481" s="16">
        <f>IFERROR(__xludf.DUMMYFUNCTION("""COMPUTED_VALUE"""),-4.0)</f>
        <v>-4</v>
      </c>
      <c r="BV481" s="16">
        <f>IFERROR(__xludf.DUMMYFUNCTION("""COMPUTED_VALUE"""),-4.0)</f>
        <v>-4</v>
      </c>
      <c r="BW481" s="16">
        <f>IFERROR(__xludf.DUMMYFUNCTION("""COMPUTED_VALUE"""),1.0)</f>
        <v>1</v>
      </c>
      <c r="BX481" s="16">
        <f>IFERROR(__xludf.DUMMYFUNCTION("""COMPUTED_VALUE"""),1.0)</f>
        <v>1</v>
      </c>
      <c r="BY481" s="16" t="str">
        <f>IFERROR(__xludf.DUMMYFUNCTION("""COMPUTED_VALUE"""),"S(5) R(4)")</f>
        <v>S(5) R(4)</v>
      </c>
      <c r="BZ481" s="16" t="str">
        <f>IFERROR(__xludf.DUMMYFUNCTION("""COMPUTED_VALUE"""),"S(5) R(4)")</f>
        <v>S(5) R(4)</v>
      </c>
      <c r="CA481" s="16" t="str">
        <f>IFERROR(__xludf.DUMMYFUNCTION("""COMPUTED_VALUE"""),"S(5)")</f>
        <v>S(5)</v>
      </c>
      <c r="CB481" s="16" t="str">
        <f>IFERROR(__xludf.DUMMYFUNCTION("""COMPUTED_VALUE"""),"R(4)")</f>
        <v>R(4)</v>
      </c>
      <c r="CC481" s="16"/>
      <c r="CD481" s="16">
        <f>IFERROR(__xludf.DUMMYFUNCTION("""COMPUTED_VALUE"""),5.0)</f>
        <v>5</v>
      </c>
      <c r="CE481" s="16">
        <f>IFERROR(__xludf.DUMMYFUNCTION("""COMPUTED_VALUE"""),4.0)</f>
        <v>4</v>
      </c>
      <c r="CF481" s="16"/>
      <c r="CG481" s="16" t="str">
        <f>IFERROR(__xludf.DUMMYFUNCTION("""COMPUTED_VALUE"""),"4-11")</f>
        <v>4-11</v>
      </c>
      <c r="CH481" s="16">
        <f>IFERROR(__xludf.DUMMYFUNCTION("""COMPUTED_VALUE"""),4.0)</f>
        <v>4</v>
      </c>
      <c r="CI481" s="16">
        <f>IFERROR(__xludf.DUMMYFUNCTION("""COMPUTED_VALUE"""),11.0)</f>
        <v>11</v>
      </c>
      <c r="CJ481" s="16">
        <f>IFERROR(__xludf.DUMMYFUNCTION("""COMPUTED_VALUE"""),0.0)</f>
        <v>0</v>
      </c>
      <c r="CK481" s="16">
        <f>IFERROR(__xludf.DUMMYFUNCTION("""COMPUTED_VALUE"""),0.0)</f>
        <v>0</v>
      </c>
      <c r="CL481" s="16" t="str">
        <f>IFERROR(__xludf.DUMMYFUNCTION("""COMPUTED_VALUE"""),"1WR-C")</f>
        <v>1WR-C</v>
      </c>
      <c r="CM481" s="16" t="str">
        <f>IFERROR(__xludf.DUMMYFUNCTION("""COMPUTED_VALUE"""),"E")</f>
        <v>E</v>
      </c>
      <c r="CN481" s="16">
        <f>IFERROR(__xludf.DUMMYFUNCTION("""COMPUTED_VALUE"""),12.0)</f>
        <v>12</v>
      </c>
      <c r="CO481" s="16" t="str">
        <f>IFERROR(__xludf.DUMMYFUNCTION("""COMPUTED_VALUE"""),"C")</f>
        <v>C</v>
      </c>
      <c r="CP481" s="16" t="str">
        <f>IFERROR(__xludf.DUMMYFUNCTION("""COMPUTED_VALUE"""),"1p65")</f>
        <v>1p65</v>
      </c>
      <c r="CQ481" s="16">
        <f>IFERROR(__xludf.DUMMYFUNCTION("""COMPUTED_VALUE"""),-46.0)</f>
        <v>-46</v>
      </c>
      <c r="CR481" s="16">
        <f>IFERROR(__xludf.DUMMYFUNCTION("""COMPUTED_VALUE"""),-20.0)</f>
        <v>-20</v>
      </c>
      <c r="CS481" s="16">
        <f>IFERROR(__xludf.DUMMYFUNCTION("""COMPUTED_VALUE"""),-66.0)</f>
        <v>-66</v>
      </c>
      <c r="CT481" s="16">
        <f>IFERROR(__xludf.DUMMYFUNCTION("""COMPUTED_VALUE"""),-46.0)</f>
        <v>-46</v>
      </c>
      <c r="CU481" s="16">
        <f>IFERROR(__xludf.DUMMYFUNCTION("""COMPUTED_VALUE"""),-20.0)</f>
        <v>-20</v>
      </c>
      <c r="CV481" s="179">
        <f>IFERROR(__xludf.DUMMYFUNCTION("""COMPUTED_VALUE"""),-31.333333333333336)</f>
        <v>-31.33333333</v>
      </c>
      <c r="CW481" s="179">
        <f>IFERROR(__xludf.DUMMYFUNCTION("""COMPUTED_VALUE"""),4.0)</f>
        <v>4</v>
      </c>
      <c r="CX481" s="179">
        <f>IFERROR(__xludf.DUMMYFUNCTION("""COMPUTED_VALUE"""),2.0)</f>
        <v>2</v>
      </c>
      <c r="CY481" s="16" t="str">
        <f>IFERROR(__xludf.DUMMYFUNCTION("""COMPUTED_VALUE"""),"SP")</f>
        <v>SP</v>
      </c>
      <c r="CZ481" s="16" t="str">
        <f>IFERROR(__xludf.DUMMYFUNCTION("""COMPUTED_VALUE"""),"RP")</f>
        <v>RP</v>
      </c>
      <c r="DA481" s="16"/>
      <c r="DB481" s="16"/>
      <c r="DC481" s="16"/>
      <c r="DD481" s="16"/>
      <c r="DE481" s="16"/>
      <c r="DF481" s="16"/>
      <c r="DG481" s="16"/>
      <c r="DH481" s="16"/>
      <c r="DI481" s="16"/>
      <c r="DJ481" s="16"/>
      <c r="DK481" s="16"/>
    </row>
    <row r="482">
      <c r="A482" s="16">
        <f>IFERROR(__xludf.DUMMYFUNCTION("""COMPUTED_VALUE"""),13055.0)</f>
        <v>13055</v>
      </c>
      <c r="B482" s="16" t="str">
        <f>IFERROR(__xludf.DUMMYFUNCTION("""COMPUTED_VALUE"""),"Justin Lawrence")</f>
        <v>Justin Lawrence</v>
      </c>
      <c r="C482" s="153">
        <f>IFERROR(__xludf.DUMMYFUNCTION("""COMPUTED_VALUE"""),0.0)</f>
        <v>0</v>
      </c>
      <c r="D482" s="16"/>
      <c r="E482" s="16" t="str">
        <f>IFERROR(__xludf.DUMMYFUNCTION("""COMPUTED_VALUE"""),"R")</f>
        <v>R</v>
      </c>
      <c r="F482" s="16">
        <f>IFERROR(__xludf.DUMMYFUNCTION("""COMPUTED_VALUE"""),60.0)</f>
        <v>60</v>
      </c>
      <c r="G482" s="16">
        <f>IFERROR(__xludf.DUMMYFUNCTION("""COMPUTED_VALUE"""),0.0)</f>
        <v>0</v>
      </c>
      <c r="H482" s="16">
        <f>IFERROR(__xludf.DUMMYFUNCTION("""COMPUTED_VALUE"""),22.0)</f>
        <v>22</v>
      </c>
      <c r="I482" s="16">
        <f>IFERROR(__xludf.DUMMYFUNCTION("""COMPUTED_VALUE"""),-3.0)</f>
        <v>-3</v>
      </c>
      <c r="J482" s="16">
        <f>IFERROR(__xludf.DUMMYFUNCTION("""COMPUTED_VALUE"""),-1.0)</f>
        <v>-1</v>
      </c>
      <c r="K482" s="16">
        <f>IFERROR(__xludf.DUMMYFUNCTION("""COMPUTED_VALUE"""),-9.0)</f>
        <v>-9</v>
      </c>
      <c r="L482" s="16">
        <f>IFERROR(__xludf.DUMMYFUNCTION("""COMPUTED_VALUE"""),-3.0)</f>
        <v>-3</v>
      </c>
      <c r="M482" s="16">
        <f>IFERROR(__xludf.DUMMYFUNCTION("""COMPUTED_VALUE"""),19.0)</f>
        <v>19</v>
      </c>
      <c r="N482" s="16">
        <f>IFERROR(__xludf.DUMMYFUNCTION("""COMPUTED_VALUE"""),16.0)</f>
        <v>16</v>
      </c>
      <c r="O482" s="16">
        <f>IFERROR(__xludf.DUMMYFUNCTION("""COMPUTED_VALUE"""),-3.0)</f>
        <v>-3</v>
      </c>
      <c r="P482" s="16">
        <f>IFERROR(__xludf.DUMMYFUNCTION("""COMPUTED_VALUE"""),-3.0)</f>
        <v>-3</v>
      </c>
      <c r="Q482" s="16">
        <f>IFERROR(__xludf.DUMMYFUNCTION("""COMPUTED_VALUE"""),-3.0)</f>
        <v>-3</v>
      </c>
      <c r="R482" s="16">
        <f>IFERROR(__xludf.DUMMYFUNCTION("""COMPUTED_VALUE"""),-3.0)</f>
        <v>-3</v>
      </c>
      <c r="S482" s="16">
        <f>IFERROR(__xludf.DUMMYFUNCTION("""COMPUTED_VALUE"""),26.9)</f>
        <v>26.9</v>
      </c>
      <c r="T482" s="16">
        <f>IFERROR(__xludf.DUMMYFUNCTION("""COMPUTED_VALUE"""),25.7)</f>
        <v>25.7</v>
      </c>
      <c r="U482" s="16">
        <f>IFERROR(__xludf.DUMMYFUNCTION("""COMPUTED_VALUE"""),-2.0)</f>
        <v>-2</v>
      </c>
      <c r="V482" s="16">
        <f>IFERROR(__xludf.DUMMYFUNCTION("""COMPUTED_VALUE"""),-2.0)</f>
        <v>-2</v>
      </c>
      <c r="W482" s="16">
        <f>IFERROR(__xludf.DUMMYFUNCTION("""COMPUTED_VALUE"""),-4.0)</f>
        <v>-4</v>
      </c>
      <c r="X482" s="16">
        <f>IFERROR(__xludf.DUMMYFUNCTION("""COMPUTED_VALUE"""),-4.0)</f>
        <v>-4</v>
      </c>
      <c r="Y482" s="16">
        <f>IFERROR(__xludf.DUMMYFUNCTION("""COMPUTED_VALUE"""),45.8)</f>
        <v>45.8</v>
      </c>
      <c r="Z482" s="16">
        <f>IFERROR(__xludf.DUMMYFUNCTION("""COMPUTED_VALUE"""),41.7)</f>
        <v>41.7</v>
      </c>
      <c r="AA482" s="16">
        <f>IFERROR(__xludf.DUMMYFUNCTION("""COMPUTED_VALUE"""),-2.0)</f>
        <v>-2</v>
      </c>
      <c r="AB482" s="16">
        <f>IFERROR(__xludf.DUMMYFUNCTION("""COMPUTED_VALUE"""),-2.0)</f>
        <v>-2</v>
      </c>
      <c r="AC482" s="16">
        <f>IFERROR(__xludf.DUMMYFUNCTION("""COMPUTED_VALUE"""),-10.0)</f>
        <v>-10</v>
      </c>
      <c r="AD482" s="16">
        <f>IFERROR(__xludf.DUMMYFUNCTION("""COMPUTED_VALUE"""),-10.0)</f>
        <v>-10</v>
      </c>
      <c r="AE482" s="16">
        <f>IFERROR(__xludf.DUMMYFUNCTION("""COMPUTED_VALUE"""),43.4)</f>
        <v>43.4</v>
      </c>
      <c r="AF482" s="16">
        <f>IFERROR(__xludf.DUMMYFUNCTION("""COMPUTED_VALUE"""),35.0)</f>
        <v>35</v>
      </c>
      <c r="AG482" s="16">
        <f>IFERROR(__xludf.DUMMYFUNCTION("""COMPUTED_VALUE"""),-2.0)</f>
        <v>-2</v>
      </c>
      <c r="AH482" s="16">
        <f>IFERROR(__xludf.DUMMYFUNCTION("""COMPUTED_VALUE"""),-1.0)</f>
        <v>-1</v>
      </c>
      <c r="AI482" s="16">
        <f>IFERROR(__xludf.DUMMYFUNCTION("""COMPUTED_VALUE"""),-4.0)</f>
        <v>-4</v>
      </c>
      <c r="AJ482" s="16">
        <f>IFERROR(__xludf.DUMMYFUNCTION("""COMPUTED_VALUE"""),-2.0)</f>
        <v>-2</v>
      </c>
      <c r="AK482" s="16">
        <f>IFERROR(__xludf.DUMMYFUNCTION("""COMPUTED_VALUE"""),23.099999999999998)</f>
        <v>23.1</v>
      </c>
      <c r="AL482" s="16">
        <f>IFERROR(__xludf.DUMMYFUNCTION("""COMPUTED_VALUE"""),24.5)</f>
        <v>24.5</v>
      </c>
      <c r="AM482" s="16">
        <f>IFERROR(__xludf.DUMMYFUNCTION("""COMPUTED_VALUE"""),-2.0)</f>
        <v>-2</v>
      </c>
      <c r="AN482" s="16">
        <f>IFERROR(__xludf.DUMMYFUNCTION("""COMPUTED_VALUE"""),-2.0)</f>
        <v>-2</v>
      </c>
      <c r="AO482" s="16">
        <f>IFERROR(__xludf.DUMMYFUNCTION("""COMPUTED_VALUE"""),-2.0)</f>
        <v>-2</v>
      </c>
      <c r="AP482" s="16">
        <f>IFERROR(__xludf.DUMMYFUNCTION("""COMPUTED_VALUE"""),-2.0)</f>
        <v>-2</v>
      </c>
      <c r="AQ482" s="16">
        <f>IFERROR(__xludf.DUMMYFUNCTION("""COMPUTED_VALUE"""),28.2)</f>
        <v>28.2</v>
      </c>
      <c r="AR482" s="16">
        <f>IFERROR(__xludf.DUMMYFUNCTION("""COMPUTED_VALUE"""),30.2)</f>
        <v>30.2</v>
      </c>
      <c r="AS482" s="16">
        <f>IFERROR(__xludf.DUMMYFUNCTION("""COMPUTED_VALUE"""),-1.0)</f>
        <v>-1</v>
      </c>
      <c r="AT482" s="16">
        <f>IFERROR(__xludf.DUMMYFUNCTION("""COMPUTED_VALUE"""),-1.0)</f>
        <v>-1</v>
      </c>
      <c r="AU482" s="16">
        <f>IFERROR(__xludf.DUMMYFUNCTION("""COMPUTED_VALUE"""),-2.0)</f>
        <v>-2</v>
      </c>
      <c r="AV482" s="16">
        <f>IFERROR(__xludf.DUMMYFUNCTION("""COMPUTED_VALUE"""),-2.0)</f>
        <v>-2</v>
      </c>
      <c r="AW482" s="16">
        <f>IFERROR(__xludf.DUMMYFUNCTION("""COMPUTED_VALUE"""),3.8)</f>
        <v>3.8</v>
      </c>
      <c r="AX482" s="16">
        <f>IFERROR(__xludf.DUMMYFUNCTION("""COMPUTED_VALUE"""),1.2)</f>
        <v>1.2</v>
      </c>
      <c r="AY482" s="16">
        <f>IFERROR(__xludf.DUMMYFUNCTION("""COMPUTED_VALUE"""),-2.0)</f>
        <v>-2</v>
      </c>
      <c r="AZ482" s="16">
        <f>IFERROR(__xludf.DUMMYFUNCTION("""COMPUTED_VALUE"""),1.0)</f>
        <v>1</v>
      </c>
      <c r="BA482" s="16">
        <f>IFERROR(__xludf.DUMMYFUNCTION("""COMPUTED_VALUE"""),-10.0)</f>
        <v>-10</v>
      </c>
      <c r="BB482" s="16">
        <f>IFERROR(__xludf.DUMMYFUNCTION("""COMPUTED_VALUE"""),5.0)</f>
        <v>5</v>
      </c>
      <c r="BC482" s="16">
        <f>IFERROR(__xludf.DUMMYFUNCTION("""COMPUTED_VALUE"""),6.0)</f>
        <v>6</v>
      </c>
      <c r="BD482" s="16">
        <f>IFERROR(__xludf.DUMMYFUNCTION("""COMPUTED_VALUE"""),2.0)</f>
        <v>2</v>
      </c>
      <c r="BE482" s="16">
        <f>IFERROR(__xludf.DUMMYFUNCTION("""COMPUTED_VALUE"""),6.0)</f>
        <v>6</v>
      </c>
      <c r="BF482" s="16">
        <f>IFERROR(__xludf.DUMMYFUNCTION("""COMPUTED_VALUE"""),2.0)</f>
        <v>2</v>
      </c>
      <c r="BG482" s="16">
        <f>IFERROR(__xludf.DUMMYFUNCTION("""COMPUTED_VALUE"""),-3.0)</f>
        <v>-3</v>
      </c>
      <c r="BH482" s="16">
        <f>IFERROR(__xludf.DUMMYFUNCTION("""COMPUTED_VALUE"""),1.0)</f>
        <v>1</v>
      </c>
      <c r="BI482" s="16">
        <f>IFERROR(__xludf.DUMMYFUNCTION("""COMPUTED_VALUE"""),-6.0)</f>
        <v>-6</v>
      </c>
      <c r="BJ482" s="16">
        <f>IFERROR(__xludf.DUMMYFUNCTION("""COMPUTED_VALUE"""),2.0)</f>
        <v>2</v>
      </c>
      <c r="BK482" s="16">
        <f>IFERROR(__xludf.DUMMYFUNCTION("""COMPUTED_VALUE"""),5.0)</f>
        <v>5</v>
      </c>
      <c r="BL482" s="16">
        <f>IFERROR(__xludf.DUMMYFUNCTION("""COMPUTED_VALUE"""),5.0)</f>
        <v>5</v>
      </c>
      <c r="BM482" s="16">
        <f>IFERROR(__xludf.DUMMYFUNCTION("""COMPUTED_VALUE"""),0.0)</f>
        <v>0</v>
      </c>
      <c r="BN482" s="16">
        <f>IFERROR(__xludf.DUMMYFUNCTION("""COMPUTED_VALUE"""),0.0)</f>
        <v>0</v>
      </c>
      <c r="BO482" s="16">
        <f>IFERROR(__xludf.DUMMYFUNCTION("""COMPUTED_VALUE"""),0.0)</f>
        <v>0</v>
      </c>
      <c r="BP482" s="16">
        <f>IFERROR(__xludf.DUMMYFUNCTION("""COMPUTED_VALUE"""),0.0)</f>
        <v>0</v>
      </c>
      <c r="BQ482" s="16">
        <f>IFERROR(__xludf.DUMMYFUNCTION("""COMPUTED_VALUE"""),13.0)</f>
        <v>13</v>
      </c>
      <c r="BR482" s="16">
        <f>IFERROR(__xludf.DUMMYFUNCTION("""COMPUTED_VALUE"""),6.0)</f>
        <v>6</v>
      </c>
      <c r="BS482" s="16">
        <f>IFERROR(__xludf.DUMMYFUNCTION("""COMPUTED_VALUE"""),3.0)</f>
        <v>3</v>
      </c>
      <c r="BT482" s="16">
        <f>IFERROR(__xludf.DUMMYFUNCTION("""COMPUTED_VALUE"""),1.0)</f>
        <v>1</v>
      </c>
      <c r="BU482" s="16">
        <f>IFERROR(__xludf.DUMMYFUNCTION("""COMPUTED_VALUE"""),6.0)</f>
        <v>6</v>
      </c>
      <c r="BV482" s="16">
        <f>IFERROR(__xludf.DUMMYFUNCTION("""COMPUTED_VALUE"""),2.0)</f>
        <v>2</v>
      </c>
      <c r="BW482" s="16">
        <f>IFERROR(__xludf.DUMMYFUNCTION("""COMPUTED_VALUE"""),2.0)</f>
        <v>2</v>
      </c>
      <c r="BX482" s="16">
        <f>IFERROR(__xludf.DUMMYFUNCTION("""COMPUTED_VALUE"""),2.0)</f>
        <v>2</v>
      </c>
      <c r="BY482" s="16" t="str">
        <f>IFERROR(__xludf.DUMMYFUNCTION("""COMPUTED_VALUE"""),"R(1) C(1)")</f>
        <v>R(1) C(1)</v>
      </c>
      <c r="BZ482" s="16" t="str">
        <f>IFERROR(__xludf.DUMMYFUNCTION("""COMPUTED_VALUE"""),"R(1) C(1)")</f>
        <v>R(1) C(1)</v>
      </c>
      <c r="CA482" s="16" t="str">
        <f>IFERROR(__xludf.DUMMYFUNCTION("""COMPUTED_VALUE"""),"R(1)")</f>
        <v>R(1)</v>
      </c>
      <c r="CB482" s="16" t="str">
        <f>IFERROR(__xludf.DUMMYFUNCTION("""COMPUTED_VALUE"""),"C(1)")</f>
        <v>C(1)</v>
      </c>
      <c r="CC482" s="16"/>
      <c r="CD482" s="16"/>
      <c r="CE482" s="16">
        <f>IFERROR(__xludf.DUMMYFUNCTION("""COMPUTED_VALUE"""),1.0)</f>
        <v>1</v>
      </c>
      <c r="CF482" s="16">
        <f>IFERROR(__xludf.DUMMYFUNCTION("""COMPUTED_VALUE"""),1.0)</f>
        <v>1</v>
      </c>
      <c r="CG482" s="16" t="str">
        <f>IFERROR(__xludf.DUMMYFUNCTION("""COMPUTED_VALUE"""),"2-0")</f>
        <v>2-0</v>
      </c>
      <c r="CH482" s="16">
        <f>IFERROR(__xludf.DUMMYFUNCTION("""COMPUTED_VALUE"""),2.0)</f>
        <v>2</v>
      </c>
      <c r="CI482" s="16">
        <f>IFERROR(__xludf.DUMMYFUNCTION("""COMPUTED_VALUE"""),0.0)</f>
        <v>0</v>
      </c>
      <c r="CJ482" s="16">
        <f>IFERROR(__xludf.DUMMYFUNCTION("""COMPUTED_VALUE"""),0.0)</f>
        <v>0</v>
      </c>
      <c r="CK482" s="16">
        <f>IFERROR(__xludf.DUMMYFUNCTION("""COMPUTED_VALUE"""),10.0)</f>
        <v>10</v>
      </c>
      <c r="CL482" s="16" t="str">
        <f>IFERROR(__xludf.DUMMYFUNCTION("""COMPUTED_VALUE"""),"1WR-C")</f>
        <v>1WR-C</v>
      </c>
      <c r="CM482" s="16" t="str">
        <f>IFERROR(__xludf.DUMMYFUNCTION("""COMPUTED_VALUE"""),"E")</f>
        <v>E</v>
      </c>
      <c r="CN482" s="16">
        <f>IFERROR(__xludf.DUMMYFUNCTION("""COMPUTED_VALUE"""),10.0)</f>
        <v>10</v>
      </c>
      <c r="CO482" s="16" t="str">
        <f>IFERROR(__xludf.DUMMYFUNCTION("""COMPUTED_VALUE"""),"C")</f>
        <v>C</v>
      </c>
      <c r="CP482" s="16" t="str">
        <f>IFERROR(__xludf.DUMMYFUNCTION("""COMPUTED_VALUE"""),"2p50")</f>
        <v>2p50</v>
      </c>
      <c r="CQ482" s="16">
        <f>IFERROR(__xludf.DUMMYFUNCTION("""COMPUTED_VALUE"""),-44.0)</f>
        <v>-44</v>
      </c>
      <c r="CR482" s="16">
        <f>IFERROR(__xludf.DUMMYFUNCTION("""COMPUTED_VALUE"""),-17.0)</f>
        <v>-17</v>
      </c>
      <c r="CS482" s="16">
        <f>IFERROR(__xludf.DUMMYFUNCTION("""COMPUTED_VALUE"""),-61.0)</f>
        <v>-61</v>
      </c>
      <c r="CT482" s="16">
        <f>IFERROR(__xludf.DUMMYFUNCTION("""COMPUTED_VALUE"""),-44.0)</f>
        <v>-44</v>
      </c>
      <c r="CU482" s="16">
        <f>IFERROR(__xludf.DUMMYFUNCTION("""COMPUTED_VALUE"""),-17.0)</f>
        <v>-17</v>
      </c>
      <c r="CV482" s="179">
        <f>IFERROR(__xludf.DUMMYFUNCTION("""COMPUTED_VALUE"""),-32.0)</f>
        <v>-32</v>
      </c>
      <c r="CW482" s="179">
        <f>IFERROR(__xludf.DUMMYFUNCTION("""COMPUTED_VALUE"""),3.0)</f>
        <v>3</v>
      </c>
      <c r="CX482" s="179">
        <f>IFERROR(__xludf.DUMMYFUNCTION("""COMPUTED_VALUE"""),0.0)</f>
        <v>0</v>
      </c>
      <c r="CY482" s="16" t="str">
        <f>IFERROR(__xludf.DUMMYFUNCTION("""COMPUTED_VALUE"""),"RP")</f>
        <v>RP</v>
      </c>
      <c r="CZ482" s="16" t="str">
        <f>IFERROR(__xludf.DUMMYFUNCTION("""COMPUTED_VALUE"""),"CP")</f>
        <v>CP</v>
      </c>
      <c r="DA482" s="16"/>
      <c r="DB482" s="16"/>
      <c r="DC482" s="16"/>
      <c r="DD482" s="16"/>
      <c r="DE482" s="16"/>
      <c r="DF482" s="16"/>
      <c r="DG482" s="16"/>
      <c r="DH482" s="16"/>
      <c r="DI482" s="16"/>
      <c r="DJ482" s="16"/>
      <c r="DK482" s="16"/>
    </row>
    <row r="483">
      <c r="A483" s="16">
        <f>IFERROR(__xludf.DUMMYFUNCTION("""COMPUTED_VALUE"""),12673.0)</f>
        <v>12673</v>
      </c>
      <c r="B483" s="16" t="str">
        <f>IFERROR(__xludf.DUMMYFUNCTION("""COMPUTED_VALUE"""),"Chris Devenski")</f>
        <v>Chris Devenski</v>
      </c>
      <c r="C483" s="153">
        <f>IFERROR(__xludf.DUMMYFUNCTION("""COMPUTED_VALUE"""),0.0)</f>
        <v>0</v>
      </c>
      <c r="D483" s="16"/>
      <c r="E483" s="16" t="str">
        <f>IFERROR(__xludf.DUMMYFUNCTION("""COMPUTED_VALUE"""),"R")</f>
        <v>R</v>
      </c>
      <c r="F483" s="16">
        <f>IFERROR(__xludf.DUMMYFUNCTION("""COMPUTED_VALUE"""),27.0)</f>
        <v>27</v>
      </c>
      <c r="G483" s="16">
        <f>IFERROR(__xludf.DUMMYFUNCTION("""COMPUTED_VALUE"""),17.0)</f>
        <v>17</v>
      </c>
      <c r="H483" s="16">
        <f>IFERROR(__xludf.DUMMYFUNCTION("""COMPUTED_VALUE"""),19.0)</f>
        <v>19</v>
      </c>
      <c r="I483" s="16">
        <f>IFERROR(__xludf.DUMMYFUNCTION("""COMPUTED_VALUE"""),-1.0)</f>
        <v>-1</v>
      </c>
      <c r="J483" s="16">
        <f>IFERROR(__xludf.DUMMYFUNCTION("""COMPUTED_VALUE"""),-1.0)</f>
        <v>-1</v>
      </c>
      <c r="K483" s="16">
        <f>IFERROR(__xludf.DUMMYFUNCTION("""COMPUTED_VALUE"""),-3.0)</f>
        <v>-3</v>
      </c>
      <c r="L483" s="16">
        <f>IFERROR(__xludf.DUMMYFUNCTION("""COMPUTED_VALUE"""),-3.0)</f>
        <v>-3</v>
      </c>
      <c r="M483" s="16">
        <f>IFERROR(__xludf.DUMMYFUNCTION("""COMPUTED_VALUE"""),4.0)</f>
        <v>4</v>
      </c>
      <c r="N483" s="16">
        <f>IFERROR(__xludf.DUMMYFUNCTION("""COMPUTED_VALUE"""),28.0)</f>
        <v>28</v>
      </c>
      <c r="O483" s="16">
        <f>IFERROR(__xludf.DUMMYFUNCTION("""COMPUTED_VALUE"""),2.0)</f>
        <v>2</v>
      </c>
      <c r="P483" s="16">
        <f>IFERROR(__xludf.DUMMYFUNCTION("""COMPUTED_VALUE"""),-3.0)</f>
        <v>-3</v>
      </c>
      <c r="Q483" s="16">
        <f>IFERROR(__xludf.DUMMYFUNCTION("""COMPUTED_VALUE"""),2.0)</f>
        <v>2</v>
      </c>
      <c r="R483" s="16">
        <f>IFERROR(__xludf.DUMMYFUNCTION("""COMPUTED_VALUE"""),-3.0)</f>
        <v>-3</v>
      </c>
      <c r="S483" s="16">
        <f>IFERROR(__xludf.DUMMYFUNCTION("""COMPUTED_VALUE"""),14.7)</f>
        <v>14.7</v>
      </c>
      <c r="T483" s="16">
        <f>IFERROR(__xludf.DUMMYFUNCTION("""COMPUTED_VALUE"""),20.7)</f>
        <v>20.7</v>
      </c>
      <c r="U483" s="16">
        <f>IFERROR(__xludf.DUMMYFUNCTION("""COMPUTED_VALUE"""),0.0)</f>
        <v>0</v>
      </c>
      <c r="V483" s="16">
        <f>IFERROR(__xludf.DUMMYFUNCTION("""COMPUTED_VALUE"""),-1.0)</f>
        <v>-1</v>
      </c>
      <c r="W483" s="16">
        <f>IFERROR(__xludf.DUMMYFUNCTION("""COMPUTED_VALUE"""),0.0)</f>
        <v>0</v>
      </c>
      <c r="X483" s="16">
        <f>IFERROR(__xludf.DUMMYFUNCTION("""COMPUTED_VALUE"""),-2.0)</f>
        <v>-2</v>
      </c>
      <c r="Y483" s="16">
        <f>IFERROR(__xludf.DUMMYFUNCTION("""COMPUTED_VALUE"""),18.7)</f>
        <v>18.7</v>
      </c>
      <c r="Z483" s="16">
        <f>IFERROR(__xludf.DUMMYFUNCTION("""COMPUTED_VALUE"""),48.7)</f>
        <v>48.7</v>
      </c>
      <c r="AA483" s="16">
        <f>IFERROR(__xludf.DUMMYFUNCTION("""COMPUTED_VALUE"""),1.0)</f>
        <v>1</v>
      </c>
      <c r="AB483" s="16">
        <f>IFERROR(__xludf.DUMMYFUNCTION("""COMPUTED_VALUE"""),-3.0)</f>
        <v>-3</v>
      </c>
      <c r="AC483" s="16">
        <f>IFERROR(__xludf.DUMMYFUNCTION("""COMPUTED_VALUE"""),5.0)</f>
        <v>5</v>
      </c>
      <c r="AD483" s="16">
        <f>IFERROR(__xludf.DUMMYFUNCTION("""COMPUTED_VALUE"""),-15.0)</f>
        <v>-15</v>
      </c>
      <c r="AE483" s="16">
        <f>IFERROR(__xludf.DUMMYFUNCTION("""COMPUTED_VALUE"""),36.4)</f>
        <v>36.4</v>
      </c>
      <c r="AF483" s="16">
        <f>IFERROR(__xludf.DUMMYFUNCTION("""COMPUTED_VALUE"""),73.2)</f>
        <v>73.2</v>
      </c>
      <c r="AG483" s="16">
        <f>IFERROR(__xludf.DUMMYFUNCTION("""COMPUTED_VALUE"""),-1.0)</f>
        <v>-1</v>
      </c>
      <c r="AH483" s="16">
        <f>IFERROR(__xludf.DUMMYFUNCTION("""COMPUTED_VALUE"""),-3.0)</f>
        <v>-3</v>
      </c>
      <c r="AI483" s="16">
        <f>IFERROR(__xludf.DUMMYFUNCTION("""COMPUTED_VALUE"""),-2.0)</f>
        <v>-2</v>
      </c>
      <c r="AJ483" s="16">
        <f>IFERROR(__xludf.DUMMYFUNCTION("""COMPUTED_VALUE"""),-6.0)</f>
        <v>-6</v>
      </c>
      <c r="AK483" s="16">
        <f>IFERROR(__xludf.DUMMYFUNCTION("""COMPUTED_VALUE"""),10.399999999999999)</f>
        <v>10.4</v>
      </c>
      <c r="AL483" s="16">
        <f>IFERROR(__xludf.DUMMYFUNCTION("""COMPUTED_VALUE"""),6.299999999999999)</f>
        <v>6.3</v>
      </c>
      <c r="AM483" s="16">
        <f>IFERROR(__xludf.DUMMYFUNCTION("""COMPUTED_VALUE"""),0.0)</f>
        <v>0</v>
      </c>
      <c r="AN483" s="16">
        <f>IFERROR(__xludf.DUMMYFUNCTION("""COMPUTED_VALUE"""),1.0)</f>
        <v>1</v>
      </c>
      <c r="AO483" s="16">
        <f>IFERROR(__xludf.DUMMYFUNCTION("""COMPUTED_VALUE"""),0.0)</f>
        <v>0</v>
      </c>
      <c r="AP483" s="16">
        <f>IFERROR(__xludf.DUMMYFUNCTION("""COMPUTED_VALUE"""),1.0)</f>
        <v>1</v>
      </c>
      <c r="AQ483" s="16">
        <f>IFERROR(__xludf.DUMMYFUNCTION("""COMPUTED_VALUE"""),19.2)</f>
        <v>19.2</v>
      </c>
      <c r="AR483" s="16">
        <f>IFERROR(__xludf.DUMMYFUNCTION("""COMPUTED_VALUE"""),15.600000000000001)</f>
        <v>15.6</v>
      </c>
      <c r="AS483" s="16">
        <f>IFERROR(__xludf.DUMMYFUNCTION("""COMPUTED_VALUE"""),0.0)</f>
        <v>0</v>
      </c>
      <c r="AT483" s="16">
        <f>IFERROR(__xludf.DUMMYFUNCTION("""COMPUTED_VALUE"""),1.0)</f>
        <v>1</v>
      </c>
      <c r="AU483" s="16">
        <f>IFERROR(__xludf.DUMMYFUNCTION("""COMPUTED_VALUE"""),0.0)</f>
        <v>0</v>
      </c>
      <c r="AV483" s="16">
        <f>IFERROR(__xludf.DUMMYFUNCTION("""COMPUTED_VALUE"""),2.0)</f>
        <v>2</v>
      </c>
      <c r="AW483" s="16">
        <f>IFERROR(__xludf.DUMMYFUNCTION("""COMPUTED_VALUE"""),4.3)</f>
        <v>4.3</v>
      </c>
      <c r="AX483" s="16">
        <f>IFERROR(__xludf.DUMMYFUNCTION("""COMPUTED_VALUE"""),14.4)</f>
        <v>14.4</v>
      </c>
      <c r="AY483" s="16">
        <f>IFERROR(__xludf.DUMMYFUNCTION("""COMPUTED_VALUE"""),-2.0)</f>
        <v>-2</v>
      </c>
      <c r="AZ483" s="16">
        <f>IFERROR(__xludf.DUMMYFUNCTION("""COMPUTED_VALUE"""),-3.0)</f>
        <v>-3</v>
      </c>
      <c r="BA483" s="16">
        <f>IFERROR(__xludf.DUMMYFUNCTION("""COMPUTED_VALUE"""),-10.0)</f>
        <v>-10</v>
      </c>
      <c r="BB483" s="16">
        <f>IFERROR(__xludf.DUMMYFUNCTION("""COMPUTED_VALUE"""),-15.0)</f>
        <v>-15</v>
      </c>
      <c r="BC483" s="16"/>
      <c r="BD483" s="16"/>
      <c r="BE483" s="16">
        <f>IFERROR(__xludf.DUMMYFUNCTION("""COMPUTED_VALUE"""),7.0)</f>
        <v>7</v>
      </c>
      <c r="BF483" s="16">
        <f>IFERROR(__xludf.DUMMYFUNCTION("""COMPUTED_VALUE"""),8.0)</f>
        <v>8</v>
      </c>
      <c r="BG483" s="16">
        <f>IFERROR(__xludf.DUMMYFUNCTION("""COMPUTED_VALUE"""),-3.0)</f>
        <v>-3</v>
      </c>
      <c r="BH483" s="16">
        <f>IFERROR(__xludf.DUMMYFUNCTION("""COMPUTED_VALUE"""),-3.0)</f>
        <v>-3</v>
      </c>
      <c r="BI483" s="16">
        <f>IFERROR(__xludf.DUMMYFUNCTION("""COMPUTED_VALUE"""),-6.0)</f>
        <v>-6</v>
      </c>
      <c r="BJ483" s="16">
        <f>IFERROR(__xludf.DUMMYFUNCTION("""COMPUTED_VALUE"""),-6.0)</f>
        <v>-6</v>
      </c>
      <c r="BK483" s="16">
        <f>IFERROR(__xludf.DUMMYFUNCTION("""COMPUTED_VALUE"""),0.0)</f>
        <v>0</v>
      </c>
      <c r="BL483" s="16">
        <f>IFERROR(__xludf.DUMMYFUNCTION("""COMPUTED_VALUE"""),0.0)</f>
        <v>0</v>
      </c>
      <c r="BM483" s="16">
        <f>IFERROR(__xludf.DUMMYFUNCTION("""COMPUTED_VALUE"""),1.0)</f>
        <v>1</v>
      </c>
      <c r="BN483" s="16">
        <f>IFERROR(__xludf.DUMMYFUNCTION("""COMPUTED_VALUE"""),1.0)</f>
        <v>1</v>
      </c>
      <c r="BO483" s="16">
        <f>IFERROR(__xludf.DUMMYFUNCTION("""COMPUTED_VALUE"""),1.0)</f>
        <v>1</v>
      </c>
      <c r="BP483" s="16">
        <f>IFERROR(__xludf.DUMMYFUNCTION("""COMPUTED_VALUE"""),1.0)</f>
        <v>1</v>
      </c>
      <c r="BQ483" s="16">
        <f>IFERROR(__xludf.DUMMYFUNCTION("""COMPUTED_VALUE"""),6.0)</f>
        <v>6</v>
      </c>
      <c r="BR483" s="16">
        <f>IFERROR(__xludf.DUMMYFUNCTION("""COMPUTED_VALUE"""),1.0)</f>
        <v>1</v>
      </c>
      <c r="BS483" s="16">
        <f>IFERROR(__xludf.DUMMYFUNCTION("""COMPUTED_VALUE"""),1.0)</f>
        <v>1</v>
      </c>
      <c r="BT483" s="16">
        <f>IFERROR(__xludf.DUMMYFUNCTION("""COMPUTED_VALUE"""),-2.0)</f>
        <v>-2</v>
      </c>
      <c r="BU483" s="16">
        <f>IFERROR(__xludf.DUMMYFUNCTION("""COMPUTED_VALUE"""),2.0)</f>
        <v>2</v>
      </c>
      <c r="BV483" s="16">
        <f>IFERROR(__xludf.DUMMYFUNCTION("""COMPUTED_VALUE"""),-4.0)</f>
        <v>-4</v>
      </c>
      <c r="BW483" s="16">
        <f>IFERROR(__xludf.DUMMYFUNCTION("""COMPUTED_VALUE"""),9.0)</f>
        <v>9</v>
      </c>
      <c r="BX483" s="16">
        <f>IFERROR(__xludf.DUMMYFUNCTION("""COMPUTED_VALUE"""),9.0)</f>
        <v>9</v>
      </c>
      <c r="BY483" s="16" t="str">
        <f>IFERROR(__xludf.DUMMYFUNCTION("""COMPUTED_VALUE"""),"R(2)")</f>
        <v>R(2)</v>
      </c>
      <c r="BZ483" s="16" t="str">
        <f>IFERROR(__xludf.DUMMYFUNCTION("""COMPUTED_VALUE"""),"R(2)")</f>
        <v>R(2)</v>
      </c>
      <c r="CA483" s="16" t="str">
        <f>IFERROR(__xludf.DUMMYFUNCTION("""COMPUTED_VALUE"""),"R(2)")</f>
        <v>R(2)</v>
      </c>
      <c r="CB483" s="16"/>
      <c r="CC483" s="16"/>
      <c r="CD483" s="16"/>
      <c r="CE483" s="16">
        <f>IFERROR(__xludf.DUMMYFUNCTION("""COMPUTED_VALUE"""),2.0)</f>
        <v>2</v>
      </c>
      <c r="CF483" s="16"/>
      <c r="CG483" s="16" t="str">
        <f>IFERROR(__xludf.DUMMYFUNCTION("""COMPUTED_VALUE"""),"3-0")</f>
        <v>3-0</v>
      </c>
      <c r="CH483" s="16">
        <f>IFERROR(__xludf.DUMMYFUNCTION("""COMPUTED_VALUE"""),3.0)</f>
        <v>3</v>
      </c>
      <c r="CI483" s="16">
        <f>IFERROR(__xludf.DUMMYFUNCTION("""COMPUTED_VALUE"""),0.0)</f>
        <v>0</v>
      </c>
      <c r="CJ483" s="16">
        <f>IFERROR(__xludf.DUMMYFUNCTION("""COMPUTED_VALUE"""),0.0)</f>
        <v>0</v>
      </c>
      <c r="CK483" s="16">
        <f>IFERROR(__xludf.DUMMYFUNCTION("""COMPUTED_VALUE"""),7.0)</f>
        <v>7</v>
      </c>
      <c r="CL483" s="16" t="str">
        <f>IFERROR(__xludf.DUMMYFUNCTION("""COMPUTED_VALUE"""),"1WR-C")</f>
        <v>1WR-C</v>
      </c>
      <c r="CM483" s="16" t="str">
        <f>IFERROR(__xludf.DUMMYFUNCTION("""COMPUTED_VALUE"""),"E")</f>
        <v>E</v>
      </c>
      <c r="CN483" s="16">
        <f>IFERROR(__xludf.DUMMYFUNCTION("""COMPUTED_VALUE"""),10.0)</f>
        <v>10</v>
      </c>
      <c r="CO483" s="16" t="str">
        <f>IFERROR(__xludf.DUMMYFUNCTION("""COMPUTED_VALUE"""),"C")</f>
        <v>C</v>
      </c>
      <c r="CP483" s="16" t="str">
        <f>IFERROR(__xludf.DUMMYFUNCTION("""COMPUTED_VALUE"""),"3p20")</f>
        <v>3p20</v>
      </c>
      <c r="CQ483" s="16">
        <f>IFERROR(__xludf.DUMMYFUNCTION("""COMPUTED_VALUE"""),-11.0)</f>
        <v>-11</v>
      </c>
      <c r="CR483" s="16">
        <f>IFERROR(__xludf.DUMMYFUNCTION("""COMPUTED_VALUE"""),-50.0)</f>
        <v>-50</v>
      </c>
      <c r="CS483" s="16">
        <f>IFERROR(__xludf.DUMMYFUNCTION("""COMPUTED_VALUE"""),-61.0)</f>
        <v>-61</v>
      </c>
      <c r="CT483" s="16">
        <f>IFERROR(__xludf.DUMMYFUNCTION("""COMPUTED_VALUE"""),-11.0)</f>
        <v>-11</v>
      </c>
      <c r="CU483" s="16">
        <f>IFERROR(__xludf.DUMMYFUNCTION("""COMPUTED_VALUE"""),-50.0)</f>
        <v>-50</v>
      </c>
      <c r="CV483" s="179">
        <f>IFERROR(__xludf.DUMMYFUNCTION("""COMPUTED_VALUE"""),-32.0)</f>
        <v>-32</v>
      </c>
      <c r="CW483" s="179">
        <f>IFERROR(__xludf.DUMMYFUNCTION("""COMPUTED_VALUE"""),2.0)</f>
        <v>2</v>
      </c>
      <c r="CX483" s="179">
        <f>IFERROR(__xludf.DUMMYFUNCTION("""COMPUTED_VALUE"""),3.0)</f>
        <v>3</v>
      </c>
      <c r="CY483" s="16" t="str">
        <f>IFERROR(__xludf.DUMMYFUNCTION("""COMPUTED_VALUE"""),"RP")</f>
        <v>RP</v>
      </c>
      <c r="CZ483" s="16"/>
      <c r="DA483" s="16"/>
      <c r="DB483" s="16"/>
      <c r="DC483" s="16"/>
      <c r="DD483" s="16"/>
      <c r="DE483" s="16"/>
      <c r="DF483" s="16"/>
      <c r="DG483" s="16"/>
      <c r="DH483" s="16"/>
      <c r="DI483" s="16"/>
      <c r="DJ483" s="16"/>
      <c r="DK483" s="16"/>
    </row>
    <row r="484">
      <c r="A484" s="16">
        <f>IFERROR(__xludf.DUMMYFUNCTION("""COMPUTED_VALUE"""),13482.0)</f>
        <v>13482</v>
      </c>
      <c r="B484" s="16" t="str">
        <f>IFERROR(__xludf.DUMMYFUNCTION("""COMPUTED_VALUE"""),"Will Smith")</f>
        <v>Will Smith</v>
      </c>
      <c r="C484" s="153">
        <f>IFERROR(__xludf.DUMMYFUNCTION("""COMPUTED_VALUE"""),0.0)</f>
        <v>0</v>
      </c>
      <c r="D484" s="16"/>
      <c r="E484" s="16" t="str">
        <f>IFERROR(__xludf.DUMMYFUNCTION("""COMPUTED_VALUE"""),"L")</f>
        <v>L</v>
      </c>
      <c r="F484" s="16">
        <f>IFERROR(__xludf.DUMMYFUNCTION("""COMPUTED_VALUE"""),41.0)</f>
        <v>41</v>
      </c>
      <c r="G484" s="16">
        <f>IFERROR(__xludf.DUMMYFUNCTION("""COMPUTED_VALUE"""),22.0)</f>
        <v>22</v>
      </c>
      <c r="H484" s="16">
        <f>IFERROR(__xludf.DUMMYFUNCTION("""COMPUTED_VALUE"""),1.0)</f>
        <v>1</v>
      </c>
      <c r="I484" s="16">
        <f>IFERROR(__xludf.DUMMYFUNCTION("""COMPUTED_VALUE"""),-1.0)</f>
        <v>-1</v>
      </c>
      <c r="J484" s="16">
        <f>IFERROR(__xludf.DUMMYFUNCTION("""COMPUTED_VALUE"""),-3.0)</f>
        <v>-3</v>
      </c>
      <c r="K484" s="16">
        <f>IFERROR(__xludf.DUMMYFUNCTION("""COMPUTED_VALUE"""),-3.0)</f>
        <v>-3</v>
      </c>
      <c r="L484" s="16">
        <f>IFERROR(__xludf.DUMMYFUNCTION("""COMPUTED_VALUE"""),-9.0)</f>
        <v>-9</v>
      </c>
      <c r="M484" s="16">
        <f>IFERROR(__xludf.DUMMYFUNCTION("""COMPUTED_VALUE"""),0.0)</f>
        <v>0</v>
      </c>
      <c r="N484" s="16">
        <f>IFERROR(__xludf.DUMMYFUNCTION("""COMPUTED_VALUE"""),13.0)</f>
        <v>13</v>
      </c>
      <c r="O484" s="16">
        <f>IFERROR(__xludf.DUMMYFUNCTION("""COMPUTED_VALUE"""),3.0)</f>
        <v>3</v>
      </c>
      <c r="P484" s="16">
        <f>IFERROR(__xludf.DUMMYFUNCTION("""COMPUTED_VALUE"""),-2.0)</f>
        <v>-2</v>
      </c>
      <c r="Q484" s="16">
        <f>IFERROR(__xludf.DUMMYFUNCTION("""COMPUTED_VALUE"""),3.0)</f>
        <v>3</v>
      </c>
      <c r="R484" s="16">
        <f>IFERROR(__xludf.DUMMYFUNCTION("""COMPUTED_VALUE"""),-2.0)</f>
        <v>-2</v>
      </c>
      <c r="S484" s="16">
        <f>IFERROR(__xludf.DUMMYFUNCTION("""COMPUTED_VALUE"""),16.2)</f>
        <v>16.2</v>
      </c>
      <c r="T484" s="16">
        <f>IFERROR(__xludf.DUMMYFUNCTION("""COMPUTED_VALUE"""),22.7)</f>
        <v>22.7</v>
      </c>
      <c r="U484" s="16">
        <f>IFERROR(__xludf.DUMMYFUNCTION("""COMPUTED_VALUE"""),0.0)</f>
        <v>0</v>
      </c>
      <c r="V484" s="16">
        <f>IFERROR(__xludf.DUMMYFUNCTION("""COMPUTED_VALUE"""),-1.0)</f>
        <v>-1</v>
      </c>
      <c r="W484" s="16">
        <f>IFERROR(__xludf.DUMMYFUNCTION("""COMPUTED_VALUE"""),0.0)</f>
        <v>0</v>
      </c>
      <c r="X484" s="16">
        <f>IFERROR(__xludf.DUMMYFUNCTION("""COMPUTED_VALUE"""),-2.0)</f>
        <v>-2</v>
      </c>
      <c r="Y484" s="16">
        <f>IFERROR(__xludf.DUMMYFUNCTION("""COMPUTED_VALUE"""),16.2)</f>
        <v>16.2</v>
      </c>
      <c r="Z484" s="16">
        <f>IFERROR(__xludf.DUMMYFUNCTION("""COMPUTED_VALUE"""),35.7)</f>
        <v>35.7</v>
      </c>
      <c r="AA484" s="16">
        <f>IFERROR(__xludf.DUMMYFUNCTION("""COMPUTED_VALUE"""),1.0)</f>
        <v>1</v>
      </c>
      <c r="AB484" s="16">
        <f>IFERROR(__xludf.DUMMYFUNCTION("""COMPUTED_VALUE"""),-2.0)</f>
        <v>-2</v>
      </c>
      <c r="AC484" s="16">
        <f>IFERROR(__xludf.DUMMYFUNCTION("""COMPUTED_VALUE"""),5.0)</f>
        <v>5</v>
      </c>
      <c r="AD484" s="16">
        <f>IFERROR(__xludf.DUMMYFUNCTION("""COMPUTED_VALUE"""),-10.0)</f>
        <v>-10</v>
      </c>
      <c r="AE484" s="16">
        <f>IFERROR(__xludf.DUMMYFUNCTION("""COMPUTED_VALUE"""),31.1)</f>
        <v>31.1</v>
      </c>
      <c r="AF484" s="16">
        <f>IFERROR(__xludf.DUMMYFUNCTION("""COMPUTED_VALUE"""),43.7)</f>
        <v>43.7</v>
      </c>
      <c r="AG484" s="16">
        <f>IFERROR(__xludf.DUMMYFUNCTION("""COMPUTED_VALUE"""),0.0)</f>
        <v>0</v>
      </c>
      <c r="AH484" s="16">
        <f>IFERROR(__xludf.DUMMYFUNCTION("""COMPUTED_VALUE"""),-2.0)</f>
        <v>-2</v>
      </c>
      <c r="AI484" s="16">
        <f>IFERROR(__xludf.DUMMYFUNCTION("""COMPUTED_VALUE"""),0.0)</f>
        <v>0</v>
      </c>
      <c r="AJ484" s="16">
        <f>IFERROR(__xludf.DUMMYFUNCTION("""COMPUTED_VALUE"""),-4.0)</f>
        <v>-4</v>
      </c>
      <c r="AK484" s="16">
        <f>IFERROR(__xludf.DUMMYFUNCTION("""COMPUTED_VALUE"""),14.0)</f>
        <v>14</v>
      </c>
      <c r="AL484" s="16">
        <f>IFERROR(__xludf.DUMMYFUNCTION("""COMPUTED_VALUE"""),18.7)</f>
        <v>18.7</v>
      </c>
      <c r="AM484" s="16">
        <f>IFERROR(__xludf.DUMMYFUNCTION("""COMPUTED_VALUE"""),0.0)</f>
        <v>0</v>
      </c>
      <c r="AN484" s="16">
        <f>IFERROR(__xludf.DUMMYFUNCTION("""COMPUTED_VALUE"""),-1.0)</f>
        <v>-1</v>
      </c>
      <c r="AO484" s="16">
        <f>IFERROR(__xludf.DUMMYFUNCTION("""COMPUTED_VALUE"""),0.0)</f>
        <v>0</v>
      </c>
      <c r="AP484" s="16">
        <f>IFERROR(__xludf.DUMMYFUNCTION("""COMPUTED_VALUE"""),-1.0)</f>
        <v>-1</v>
      </c>
      <c r="AQ484" s="16">
        <f>IFERROR(__xludf.DUMMYFUNCTION("""COMPUTED_VALUE"""),22.3)</f>
        <v>22.3</v>
      </c>
      <c r="AR484" s="16">
        <f>IFERROR(__xludf.DUMMYFUNCTION("""COMPUTED_VALUE"""),27.700000000000003)</f>
        <v>27.7</v>
      </c>
      <c r="AS484" s="16">
        <f>IFERROR(__xludf.DUMMYFUNCTION("""COMPUTED_VALUE"""),0.0)</f>
        <v>0</v>
      </c>
      <c r="AT484" s="16">
        <f>IFERROR(__xludf.DUMMYFUNCTION("""COMPUTED_VALUE"""),-1.0)</f>
        <v>-1</v>
      </c>
      <c r="AU484" s="16">
        <f>IFERROR(__xludf.DUMMYFUNCTION("""COMPUTED_VALUE"""),0.0)</f>
        <v>0</v>
      </c>
      <c r="AV484" s="16">
        <f>IFERROR(__xludf.DUMMYFUNCTION("""COMPUTED_VALUE"""),-2.0)</f>
        <v>-2</v>
      </c>
      <c r="AW484" s="16">
        <f>IFERROR(__xludf.DUMMYFUNCTION("""COMPUTED_VALUE"""),2.2)</f>
        <v>2.2</v>
      </c>
      <c r="AX484" s="16">
        <f>IFERROR(__xludf.DUMMYFUNCTION("""COMPUTED_VALUE"""),4.0)</f>
        <v>4</v>
      </c>
      <c r="AY484" s="16">
        <f>IFERROR(__xludf.DUMMYFUNCTION("""COMPUTED_VALUE"""),0.0)</f>
        <v>0</v>
      </c>
      <c r="AZ484" s="16">
        <f>IFERROR(__xludf.DUMMYFUNCTION("""COMPUTED_VALUE"""),-2.0)</f>
        <v>-2</v>
      </c>
      <c r="BA484" s="16">
        <f>IFERROR(__xludf.DUMMYFUNCTION("""COMPUTED_VALUE"""),0.0)</f>
        <v>0</v>
      </c>
      <c r="BB484" s="16">
        <f>IFERROR(__xludf.DUMMYFUNCTION("""COMPUTED_VALUE"""),-10.0)</f>
        <v>-10</v>
      </c>
      <c r="BC484" s="16">
        <f>IFERROR(__xludf.DUMMYFUNCTION("""COMPUTED_VALUE"""),4.0)</f>
        <v>4</v>
      </c>
      <c r="BD484" s="16">
        <f>IFERROR(__xludf.DUMMYFUNCTION("""COMPUTED_VALUE"""),7.0)</f>
        <v>7</v>
      </c>
      <c r="BE484" s="16">
        <f>IFERROR(__xludf.DUMMYFUNCTION("""COMPUTED_VALUE"""),4.0)</f>
        <v>4</v>
      </c>
      <c r="BF484" s="16">
        <f>IFERROR(__xludf.DUMMYFUNCTION("""COMPUTED_VALUE"""),7.0)</f>
        <v>7</v>
      </c>
      <c r="BG484" s="16">
        <f>IFERROR(__xludf.DUMMYFUNCTION("""COMPUTED_VALUE"""),-1.0)</f>
        <v>-1</v>
      </c>
      <c r="BH484" s="16">
        <f>IFERROR(__xludf.DUMMYFUNCTION("""COMPUTED_VALUE"""),-3.0)</f>
        <v>-3</v>
      </c>
      <c r="BI484" s="16">
        <f>IFERROR(__xludf.DUMMYFUNCTION("""COMPUTED_VALUE"""),-2.0)</f>
        <v>-2</v>
      </c>
      <c r="BJ484" s="16">
        <f>IFERROR(__xludf.DUMMYFUNCTION("""COMPUTED_VALUE"""),-6.0)</f>
        <v>-6</v>
      </c>
      <c r="BK484" s="16">
        <f>IFERROR(__xludf.DUMMYFUNCTION("""COMPUTED_VALUE"""),5.0)</f>
        <v>5</v>
      </c>
      <c r="BL484" s="16">
        <f>IFERROR(__xludf.DUMMYFUNCTION("""COMPUTED_VALUE"""),5.0)</f>
        <v>5</v>
      </c>
      <c r="BM484" s="16">
        <f>IFERROR(__xludf.DUMMYFUNCTION("""COMPUTED_VALUE"""),0.0)</f>
        <v>0</v>
      </c>
      <c r="BN484" s="16">
        <f>IFERROR(__xludf.DUMMYFUNCTION("""COMPUTED_VALUE"""),0.0)</f>
        <v>0</v>
      </c>
      <c r="BO484" s="16">
        <f>IFERROR(__xludf.DUMMYFUNCTION("""COMPUTED_VALUE"""),0.0)</f>
        <v>0</v>
      </c>
      <c r="BP484" s="16">
        <f>IFERROR(__xludf.DUMMYFUNCTION("""COMPUTED_VALUE"""),0.0)</f>
        <v>0</v>
      </c>
      <c r="BQ484" s="16">
        <f>IFERROR(__xludf.DUMMYFUNCTION("""COMPUTED_VALUE"""),0.0)</f>
        <v>0</v>
      </c>
      <c r="BR484" s="16">
        <f>IFERROR(__xludf.DUMMYFUNCTION("""COMPUTED_VALUE"""),0.0)</f>
        <v>0</v>
      </c>
      <c r="BS484" s="16">
        <f>IFERROR(__xludf.DUMMYFUNCTION("""COMPUTED_VALUE"""),-3.0)</f>
        <v>-3</v>
      </c>
      <c r="BT484" s="16">
        <f>IFERROR(__xludf.DUMMYFUNCTION("""COMPUTED_VALUE"""),-3.0)</f>
        <v>-3</v>
      </c>
      <c r="BU484" s="16">
        <f>IFERROR(__xludf.DUMMYFUNCTION("""COMPUTED_VALUE"""),-6.0)</f>
        <v>-6</v>
      </c>
      <c r="BV484" s="16">
        <f>IFERROR(__xludf.DUMMYFUNCTION("""COMPUTED_VALUE"""),-6.0)</f>
        <v>-6</v>
      </c>
      <c r="BW484" s="16">
        <f>IFERROR(__xludf.DUMMYFUNCTION("""COMPUTED_VALUE"""),4.0)</f>
        <v>4</v>
      </c>
      <c r="BX484" s="16">
        <f>IFERROR(__xludf.DUMMYFUNCTION("""COMPUTED_VALUE"""),4.0)</f>
        <v>4</v>
      </c>
      <c r="BY484" s="16" t="str">
        <f>IFERROR(__xludf.DUMMYFUNCTION("""COMPUTED_VALUE"""),"R(1) C(0)")</f>
        <v>R(1) C(0)</v>
      </c>
      <c r="BZ484" s="16" t="str">
        <f>IFERROR(__xludf.DUMMYFUNCTION("""COMPUTED_VALUE"""),"R(1) C(0)")</f>
        <v>R(1) C(0)</v>
      </c>
      <c r="CA484" s="16" t="str">
        <f>IFERROR(__xludf.DUMMYFUNCTION("""COMPUTED_VALUE"""),"R(1)")</f>
        <v>R(1)</v>
      </c>
      <c r="CB484" s="16" t="str">
        <f>IFERROR(__xludf.DUMMYFUNCTION("""COMPUTED_VALUE"""),"C(0)")</f>
        <v>C(0)</v>
      </c>
      <c r="CC484" s="16"/>
      <c r="CD484" s="16"/>
      <c r="CE484" s="16">
        <f>IFERROR(__xludf.DUMMYFUNCTION("""COMPUTED_VALUE"""),1.0)</f>
        <v>1</v>
      </c>
      <c r="CF484" s="16">
        <f>IFERROR(__xludf.DUMMYFUNCTION("""COMPUTED_VALUE"""),0.0)</f>
        <v>0</v>
      </c>
      <c r="CG484" s="16" t="str">
        <f>IFERROR(__xludf.DUMMYFUNCTION("""COMPUTED_VALUE"""),"2-51")</f>
        <v>2-51</v>
      </c>
      <c r="CH484" s="16">
        <f>IFERROR(__xludf.DUMMYFUNCTION("""COMPUTED_VALUE"""),2.0)</f>
        <v>2</v>
      </c>
      <c r="CI484" s="16">
        <f>IFERROR(__xludf.DUMMYFUNCTION("""COMPUTED_VALUE"""),51.0)</f>
        <v>51</v>
      </c>
      <c r="CJ484" s="16">
        <f>IFERROR(__xludf.DUMMYFUNCTION("""COMPUTED_VALUE"""),0.0)</f>
        <v>0</v>
      </c>
      <c r="CK484" s="16">
        <f>IFERROR(__xludf.DUMMYFUNCTION("""COMPUTED_VALUE"""),0.0)</f>
        <v>0</v>
      </c>
      <c r="CL484" s="16" t="str">
        <f>IFERROR(__xludf.DUMMYFUNCTION("""COMPUTED_VALUE"""),"1WR-C")</f>
        <v>1WR-C</v>
      </c>
      <c r="CM484" s="16" t="str">
        <f>IFERROR(__xludf.DUMMYFUNCTION("""COMPUTED_VALUE"""),"E")</f>
        <v>E</v>
      </c>
      <c r="CN484" s="16">
        <f>IFERROR(__xludf.DUMMYFUNCTION("""COMPUTED_VALUE"""),10.0)</f>
        <v>10</v>
      </c>
      <c r="CO484" s="16" t="str">
        <f>IFERROR(__xludf.DUMMYFUNCTION("""COMPUTED_VALUE"""),"C")</f>
        <v>C</v>
      </c>
      <c r="CP484" s="16" t="str">
        <f>IFERROR(__xludf.DUMMYFUNCTION("""COMPUTED_VALUE"""),"3p40")</f>
        <v>3p40</v>
      </c>
      <c r="CQ484" s="16">
        <f>IFERROR(__xludf.DUMMYFUNCTION("""COMPUTED_VALUE"""),-3.0)</f>
        <v>-3</v>
      </c>
      <c r="CR484" s="16">
        <f>IFERROR(__xludf.DUMMYFUNCTION("""COMPUTED_VALUE"""),-52.0)</f>
        <v>-52</v>
      </c>
      <c r="CS484" s="16">
        <f>IFERROR(__xludf.DUMMYFUNCTION("""COMPUTED_VALUE"""),-55.0)</f>
        <v>-55</v>
      </c>
      <c r="CT484" s="16">
        <f>IFERROR(__xludf.DUMMYFUNCTION("""COMPUTED_VALUE"""),-3.0)</f>
        <v>-3</v>
      </c>
      <c r="CU484" s="16">
        <f>IFERROR(__xludf.DUMMYFUNCTION("""COMPUTED_VALUE"""),-52.0)</f>
        <v>-52</v>
      </c>
      <c r="CV484" s="179">
        <f>IFERROR(__xludf.DUMMYFUNCTION("""COMPUTED_VALUE"""),-32.666666666666664)</f>
        <v>-32.66666667</v>
      </c>
      <c r="CW484" s="179">
        <f>IFERROR(__xludf.DUMMYFUNCTION("""COMPUTED_VALUE"""),2.0)</f>
        <v>2</v>
      </c>
      <c r="CX484" s="179">
        <f>IFERROR(__xludf.DUMMYFUNCTION("""COMPUTED_VALUE"""),1.0)</f>
        <v>1</v>
      </c>
      <c r="CY484" s="16" t="str">
        <f>IFERROR(__xludf.DUMMYFUNCTION("""COMPUTED_VALUE"""),"RP")</f>
        <v>RP</v>
      </c>
      <c r="CZ484" s="16" t="str">
        <f>IFERROR(__xludf.DUMMYFUNCTION("""COMPUTED_VALUE"""),"CP")</f>
        <v>CP</v>
      </c>
      <c r="DA484" s="16"/>
      <c r="DB484" s="16"/>
      <c r="DC484" s="16"/>
      <c r="DD484" s="16"/>
      <c r="DE484" s="16"/>
      <c r="DF484" s="16"/>
      <c r="DG484" s="16"/>
      <c r="DH484" s="16"/>
      <c r="DI484" s="16"/>
      <c r="DJ484" s="16"/>
      <c r="DK484" s="16"/>
    </row>
    <row r="485">
      <c r="A485" s="16">
        <f>IFERROR(__xludf.DUMMYFUNCTION("""COMPUTED_VALUE"""),13222.0)</f>
        <v>13222</v>
      </c>
      <c r="B485" s="16" t="str">
        <f>IFERROR(__xludf.DUMMYFUNCTION("""COMPUTED_VALUE"""),"Mitch White")</f>
        <v>Mitch White</v>
      </c>
      <c r="C485" s="153">
        <f>IFERROR(__xludf.DUMMYFUNCTION("""COMPUTED_VALUE"""),0.0)</f>
        <v>0</v>
      </c>
      <c r="D485" s="16"/>
      <c r="E485" s="16" t="str">
        <f>IFERROR(__xludf.DUMMYFUNCTION("""COMPUTED_VALUE"""),"R")</f>
        <v>R</v>
      </c>
      <c r="F485" s="16">
        <f>IFERROR(__xludf.DUMMYFUNCTION("""COMPUTED_VALUE"""),24.0)</f>
        <v>24</v>
      </c>
      <c r="G485" s="16">
        <f>IFERROR(__xludf.DUMMYFUNCTION("""COMPUTED_VALUE"""),0.0)</f>
        <v>0</v>
      </c>
      <c r="H485" s="16">
        <f>IFERROR(__xludf.DUMMYFUNCTION("""COMPUTED_VALUE"""),12.0)</f>
        <v>12</v>
      </c>
      <c r="I485" s="16">
        <f>IFERROR(__xludf.DUMMYFUNCTION("""COMPUTED_VALUE"""),-3.0)</f>
        <v>-3</v>
      </c>
      <c r="J485" s="16">
        <f>IFERROR(__xludf.DUMMYFUNCTION("""COMPUTED_VALUE"""),-2.0)</f>
        <v>-2</v>
      </c>
      <c r="K485" s="16">
        <f>IFERROR(__xludf.DUMMYFUNCTION("""COMPUTED_VALUE"""),-9.0)</f>
        <v>-9</v>
      </c>
      <c r="L485" s="16">
        <f>IFERROR(__xludf.DUMMYFUNCTION("""COMPUTED_VALUE"""),-6.0)</f>
        <v>-6</v>
      </c>
      <c r="M485" s="16">
        <f>IFERROR(__xludf.DUMMYFUNCTION("""COMPUTED_VALUE"""),17.0)</f>
        <v>17</v>
      </c>
      <c r="N485" s="16">
        <f>IFERROR(__xludf.DUMMYFUNCTION("""COMPUTED_VALUE"""),13.0)</f>
        <v>13</v>
      </c>
      <c r="O485" s="16">
        <f>IFERROR(__xludf.DUMMYFUNCTION("""COMPUTED_VALUE"""),-2.0)</f>
        <v>-2</v>
      </c>
      <c r="P485" s="16">
        <f>IFERROR(__xludf.DUMMYFUNCTION("""COMPUTED_VALUE"""),-2.0)</f>
        <v>-2</v>
      </c>
      <c r="Q485" s="16">
        <f>IFERROR(__xludf.DUMMYFUNCTION("""COMPUTED_VALUE"""),-2.0)</f>
        <v>-2</v>
      </c>
      <c r="R485" s="16">
        <f>IFERROR(__xludf.DUMMYFUNCTION("""COMPUTED_VALUE"""),-2.0)</f>
        <v>-2</v>
      </c>
      <c r="S485" s="16">
        <f>IFERROR(__xludf.DUMMYFUNCTION("""COMPUTED_VALUE"""),30.0)</f>
        <v>30</v>
      </c>
      <c r="T485" s="16">
        <f>IFERROR(__xludf.DUMMYFUNCTION("""COMPUTED_VALUE"""),18.3)</f>
        <v>18.3</v>
      </c>
      <c r="U485" s="16">
        <f>IFERROR(__xludf.DUMMYFUNCTION("""COMPUTED_VALUE"""),-2.0)</f>
        <v>-2</v>
      </c>
      <c r="V485" s="16">
        <f>IFERROR(__xludf.DUMMYFUNCTION("""COMPUTED_VALUE"""),0.0)</f>
        <v>0</v>
      </c>
      <c r="W485" s="16">
        <f>IFERROR(__xludf.DUMMYFUNCTION("""COMPUTED_VALUE"""),-4.0)</f>
        <v>-4</v>
      </c>
      <c r="X485" s="16">
        <f>IFERROR(__xludf.DUMMYFUNCTION("""COMPUTED_VALUE"""),0.0)</f>
        <v>0</v>
      </c>
      <c r="Y485" s="16">
        <f>IFERROR(__xludf.DUMMYFUNCTION("""COMPUTED_VALUE"""),47.0)</f>
        <v>47</v>
      </c>
      <c r="Z485" s="16">
        <f>IFERROR(__xludf.DUMMYFUNCTION("""COMPUTED_VALUE"""),31.3)</f>
        <v>31.3</v>
      </c>
      <c r="AA485" s="16">
        <f>IFERROR(__xludf.DUMMYFUNCTION("""COMPUTED_VALUE"""),-2.0)</f>
        <v>-2</v>
      </c>
      <c r="AB485" s="16">
        <f>IFERROR(__xludf.DUMMYFUNCTION("""COMPUTED_VALUE"""),-1.0)</f>
        <v>-1</v>
      </c>
      <c r="AC485" s="16">
        <f>IFERROR(__xludf.DUMMYFUNCTION("""COMPUTED_VALUE"""),-10.0)</f>
        <v>-10</v>
      </c>
      <c r="AD485" s="16">
        <f>IFERROR(__xludf.DUMMYFUNCTION("""COMPUTED_VALUE"""),-5.0)</f>
        <v>-5</v>
      </c>
      <c r="AE485" s="16">
        <f>IFERROR(__xludf.DUMMYFUNCTION("""COMPUTED_VALUE"""),79.4)</f>
        <v>79.4</v>
      </c>
      <c r="AF485" s="16">
        <f>IFERROR(__xludf.DUMMYFUNCTION("""COMPUTED_VALUE"""),34.0)</f>
        <v>34</v>
      </c>
      <c r="AG485" s="16">
        <f>IFERROR(__xludf.DUMMYFUNCTION("""COMPUTED_VALUE"""),-3.0)</f>
        <v>-3</v>
      </c>
      <c r="AH485" s="16">
        <f>IFERROR(__xludf.DUMMYFUNCTION("""COMPUTED_VALUE"""),-1.0)</f>
        <v>-1</v>
      </c>
      <c r="AI485" s="16">
        <f>IFERROR(__xludf.DUMMYFUNCTION("""COMPUTED_VALUE"""),-6.0)</f>
        <v>-6</v>
      </c>
      <c r="AJ485" s="16">
        <f>IFERROR(__xludf.DUMMYFUNCTION("""COMPUTED_VALUE"""),-2.0)</f>
        <v>-2</v>
      </c>
      <c r="AK485" s="16">
        <f>IFERROR(__xludf.DUMMYFUNCTION("""COMPUTED_VALUE"""),15.5)</f>
        <v>15.5</v>
      </c>
      <c r="AL485" s="16">
        <f>IFERROR(__xludf.DUMMYFUNCTION("""COMPUTED_VALUE"""),18.3)</f>
        <v>18.3</v>
      </c>
      <c r="AM485" s="16">
        <f>IFERROR(__xludf.DUMMYFUNCTION("""COMPUTED_VALUE"""),0.0)</f>
        <v>0</v>
      </c>
      <c r="AN485" s="16">
        <f>IFERROR(__xludf.DUMMYFUNCTION("""COMPUTED_VALUE"""),-1.0)</f>
        <v>-1</v>
      </c>
      <c r="AO485" s="16">
        <f>IFERROR(__xludf.DUMMYFUNCTION("""COMPUTED_VALUE"""),0.0)</f>
        <v>0</v>
      </c>
      <c r="AP485" s="16">
        <f>IFERROR(__xludf.DUMMYFUNCTION("""COMPUTED_VALUE"""),-1.0)</f>
        <v>-1</v>
      </c>
      <c r="AQ485" s="16">
        <f>IFERROR(__xludf.DUMMYFUNCTION("""COMPUTED_VALUE"""),21.400000000000006)</f>
        <v>21.4</v>
      </c>
      <c r="AR485" s="16">
        <f>IFERROR(__xludf.DUMMYFUNCTION("""COMPUTED_VALUE"""),34.0)</f>
        <v>34</v>
      </c>
      <c r="AS485" s="16">
        <f>IFERROR(__xludf.DUMMYFUNCTION("""COMPUTED_VALUE"""),0.0)</f>
        <v>0</v>
      </c>
      <c r="AT485" s="16">
        <f>IFERROR(__xludf.DUMMYFUNCTION("""COMPUTED_VALUE"""),-2.0)</f>
        <v>-2</v>
      </c>
      <c r="AU485" s="16">
        <f>IFERROR(__xludf.DUMMYFUNCTION("""COMPUTED_VALUE"""),0.0)</f>
        <v>0</v>
      </c>
      <c r="AV485" s="16">
        <f>IFERROR(__xludf.DUMMYFUNCTION("""COMPUTED_VALUE"""),-4.0)</f>
        <v>-4</v>
      </c>
      <c r="AW485" s="16">
        <f>IFERROR(__xludf.DUMMYFUNCTION("""COMPUTED_VALUE"""),14.5)</f>
        <v>14.5</v>
      </c>
      <c r="AX485" s="16">
        <f>IFERROR(__xludf.DUMMYFUNCTION("""COMPUTED_VALUE"""),0.0)</f>
        <v>0</v>
      </c>
      <c r="AY485" s="16">
        <f>IFERROR(__xludf.DUMMYFUNCTION("""COMPUTED_VALUE"""),-3.0)</f>
        <v>-3</v>
      </c>
      <c r="AZ485" s="16">
        <f>IFERROR(__xludf.DUMMYFUNCTION("""COMPUTED_VALUE"""),2.0)</f>
        <v>2</v>
      </c>
      <c r="BA485" s="16">
        <f>IFERROR(__xludf.DUMMYFUNCTION("""COMPUTED_VALUE"""),-15.0)</f>
        <v>-15</v>
      </c>
      <c r="BB485" s="16">
        <f>IFERROR(__xludf.DUMMYFUNCTION("""COMPUTED_VALUE"""),10.0)</f>
        <v>10</v>
      </c>
      <c r="BC485" s="16">
        <f>IFERROR(__xludf.DUMMYFUNCTION("""COMPUTED_VALUE"""),8.0)</f>
        <v>8</v>
      </c>
      <c r="BD485" s="16">
        <f>IFERROR(__xludf.DUMMYFUNCTION("""COMPUTED_VALUE"""),0.0)</f>
        <v>0</v>
      </c>
      <c r="BE485" s="16">
        <f>IFERROR(__xludf.DUMMYFUNCTION("""COMPUTED_VALUE"""),8.0)</f>
        <v>8</v>
      </c>
      <c r="BF485" s="16">
        <f>IFERROR(__xludf.DUMMYFUNCTION("""COMPUTED_VALUE"""),0.0)</f>
        <v>0</v>
      </c>
      <c r="BG485" s="16">
        <f>IFERROR(__xludf.DUMMYFUNCTION("""COMPUTED_VALUE"""),-3.0)</f>
        <v>-3</v>
      </c>
      <c r="BH485" s="16">
        <f>IFERROR(__xludf.DUMMYFUNCTION("""COMPUTED_VALUE"""),2.0)</f>
        <v>2</v>
      </c>
      <c r="BI485" s="16">
        <f>IFERROR(__xludf.DUMMYFUNCTION("""COMPUTED_VALUE"""),-6.0)</f>
        <v>-6</v>
      </c>
      <c r="BJ485" s="16">
        <f>IFERROR(__xludf.DUMMYFUNCTION("""COMPUTED_VALUE"""),4.0)</f>
        <v>4</v>
      </c>
      <c r="BK485" s="16">
        <f>IFERROR(__xludf.DUMMYFUNCTION("""COMPUTED_VALUE"""),5.0)</f>
        <v>5</v>
      </c>
      <c r="BL485" s="16">
        <f>IFERROR(__xludf.DUMMYFUNCTION("""COMPUTED_VALUE"""),5.0)</f>
        <v>5</v>
      </c>
      <c r="BM485" s="16">
        <f>IFERROR(__xludf.DUMMYFUNCTION("""COMPUTED_VALUE"""),0.0)</f>
        <v>0</v>
      </c>
      <c r="BN485" s="16">
        <f>IFERROR(__xludf.DUMMYFUNCTION("""COMPUTED_VALUE"""),0.0)</f>
        <v>0</v>
      </c>
      <c r="BO485" s="16">
        <f>IFERROR(__xludf.DUMMYFUNCTION("""COMPUTED_VALUE"""),0.0)</f>
        <v>0</v>
      </c>
      <c r="BP485" s="16">
        <f>IFERROR(__xludf.DUMMYFUNCTION("""COMPUTED_VALUE"""),0.0)</f>
        <v>0</v>
      </c>
      <c r="BQ485" s="16">
        <f>IFERROR(__xludf.DUMMYFUNCTION("""COMPUTED_VALUE"""),2.0)</f>
        <v>2</v>
      </c>
      <c r="BR485" s="16">
        <f>IFERROR(__xludf.DUMMYFUNCTION("""COMPUTED_VALUE"""),2.0)</f>
        <v>2</v>
      </c>
      <c r="BS485" s="16">
        <f>IFERROR(__xludf.DUMMYFUNCTION("""COMPUTED_VALUE"""),-2.0)</f>
        <v>-2</v>
      </c>
      <c r="BT485" s="16">
        <f>IFERROR(__xludf.DUMMYFUNCTION("""COMPUTED_VALUE"""),-2.0)</f>
        <v>-2</v>
      </c>
      <c r="BU485" s="16">
        <f>IFERROR(__xludf.DUMMYFUNCTION("""COMPUTED_VALUE"""),-4.0)</f>
        <v>-4</v>
      </c>
      <c r="BV485" s="16">
        <f>IFERROR(__xludf.DUMMYFUNCTION("""COMPUTED_VALUE"""),-4.0)</f>
        <v>-4</v>
      </c>
      <c r="BW485" s="16">
        <f>IFERROR(__xludf.DUMMYFUNCTION("""COMPUTED_VALUE"""),1.0)</f>
        <v>1</v>
      </c>
      <c r="BX485" s="16">
        <f>IFERROR(__xludf.DUMMYFUNCTION("""COMPUTED_VALUE"""),1.0)</f>
        <v>1</v>
      </c>
      <c r="BY485" s="16" t="str">
        <f>IFERROR(__xludf.DUMMYFUNCTION("""COMPUTED_VALUE"""),"R(2)")</f>
        <v>R(2)</v>
      </c>
      <c r="BZ485" s="16" t="str">
        <f>IFERROR(__xludf.DUMMYFUNCTION("""COMPUTED_VALUE"""),"R(2)")</f>
        <v>R(2)</v>
      </c>
      <c r="CA485" s="16" t="str">
        <f>IFERROR(__xludf.DUMMYFUNCTION("""COMPUTED_VALUE"""),"R(2)")</f>
        <v>R(2)</v>
      </c>
      <c r="CB485" s="16"/>
      <c r="CC485" s="16"/>
      <c r="CD485" s="16"/>
      <c r="CE485" s="16">
        <f>IFERROR(__xludf.DUMMYFUNCTION("""COMPUTED_VALUE"""),2.0)</f>
        <v>2</v>
      </c>
      <c r="CF485" s="16"/>
      <c r="CG485" s="16" t="str">
        <f>IFERROR(__xludf.DUMMYFUNCTION("""COMPUTED_VALUE"""),"3-0")</f>
        <v>3-0</v>
      </c>
      <c r="CH485" s="16">
        <f>IFERROR(__xludf.DUMMYFUNCTION("""COMPUTED_VALUE"""),3.0)</f>
        <v>3</v>
      </c>
      <c r="CI485" s="16">
        <f>IFERROR(__xludf.DUMMYFUNCTION("""COMPUTED_VALUE"""),0.0)</f>
        <v>0</v>
      </c>
      <c r="CJ485" s="16">
        <f>IFERROR(__xludf.DUMMYFUNCTION("""COMPUTED_VALUE"""),0.0)</f>
        <v>0</v>
      </c>
      <c r="CK485" s="16">
        <f>IFERROR(__xludf.DUMMYFUNCTION("""COMPUTED_VALUE"""),8.0)</f>
        <v>8</v>
      </c>
      <c r="CL485" s="16" t="str">
        <f>IFERROR(__xludf.DUMMYFUNCTION("""COMPUTED_VALUE"""),"1WR-C")</f>
        <v>1WR-C</v>
      </c>
      <c r="CM485" s="16" t="str">
        <f>IFERROR(__xludf.DUMMYFUNCTION("""COMPUTED_VALUE"""),"E")</f>
        <v>E</v>
      </c>
      <c r="CN485" s="16">
        <f>IFERROR(__xludf.DUMMYFUNCTION("""COMPUTED_VALUE"""),10.0)</f>
        <v>10</v>
      </c>
      <c r="CO485" s="16" t="str">
        <f>IFERROR(__xludf.DUMMYFUNCTION("""COMPUTED_VALUE"""),"C")</f>
        <v>C</v>
      </c>
      <c r="CP485" s="16" t="str">
        <f>IFERROR(__xludf.DUMMYFUNCTION("""COMPUTED_VALUE"""),"1p20")</f>
        <v>1p20</v>
      </c>
      <c r="CQ485" s="16">
        <f>IFERROR(__xludf.DUMMYFUNCTION("""COMPUTED_VALUE"""),-56.0)</f>
        <v>-56</v>
      </c>
      <c r="CR485" s="16">
        <f>IFERROR(__xludf.DUMMYFUNCTION("""COMPUTED_VALUE"""),-10.0)</f>
        <v>-10</v>
      </c>
      <c r="CS485" s="16">
        <f>IFERROR(__xludf.DUMMYFUNCTION("""COMPUTED_VALUE"""),-66.0)</f>
        <v>-66</v>
      </c>
      <c r="CT485" s="16">
        <f>IFERROR(__xludf.DUMMYFUNCTION("""COMPUTED_VALUE"""),-56.0)</f>
        <v>-56</v>
      </c>
      <c r="CU485" s="16">
        <f>IFERROR(__xludf.DUMMYFUNCTION("""COMPUTED_VALUE"""),-10.0)</f>
        <v>-10</v>
      </c>
      <c r="CV485" s="179">
        <f>IFERROR(__xludf.DUMMYFUNCTION("""COMPUTED_VALUE"""),-33.666666666666664)</f>
        <v>-33.66666667</v>
      </c>
      <c r="CW485" s="179">
        <f>IFERROR(__xludf.DUMMYFUNCTION("""COMPUTED_VALUE"""),4.0)</f>
        <v>4</v>
      </c>
      <c r="CX485" s="179">
        <f>IFERROR(__xludf.DUMMYFUNCTION("""COMPUTED_VALUE"""),3.0)</f>
        <v>3</v>
      </c>
      <c r="CY485" s="16" t="str">
        <f>IFERROR(__xludf.DUMMYFUNCTION("""COMPUTED_VALUE"""),"RP")</f>
        <v>RP</v>
      </c>
      <c r="CZ485" s="16"/>
      <c r="DA485" s="16"/>
      <c r="DB485" s="16"/>
      <c r="DC485" s="16"/>
      <c r="DD485" s="16"/>
      <c r="DE485" s="16"/>
      <c r="DF485" s="16"/>
      <c r="DG485" s="16"/>
      <c r="DH485" s="16"/>
      <c r="DI485" s="16"/>
      <c r="DJ485" s="16"/>
      <c r="DK485" s="16"/>
    </row>
    <row r="486">
      <c r="A486" s="16">
        <f>IFERROR(__xludf.DUMMYFUNCTION("""COMPUTED_VALUE"""),13444.0)</f>
        <v>13444</v>
      </c>
      <c r="B486" s="16" t="str">
        <f>IFERROR(__xludf.DUMMYFUNCTION("""COMPUTED_VALUE"""),"Ty Blach")</f>
        <v>Ty Blach</v>
      </c>
      <c r="C486" s="153">
        <f>IFERROR(__xludf.DUMMYFUNCTION("""COMPUTED_VALUE"""),0.0)</f>
        <v>0</v>
      </c>
      <c r="D486" s="16"/>
      <c r="E486" s="16" t="str">
        <f>IFERROR(__xludf.DUMMYFUNCTION("""COMPUTED_VALUE"""),"L")</f>
        <v>L</v>
      </c>
      <c r="F486" s="16">
        <f>IFERROR(__xludf.DUMMYFUNCTION("""COMPUTED_VALUE"""),71.0)</f>
        <v>71</v>
      </c>
      <c r="G486" s="16">
        <f>IFERROR(__xludf.DUMMYFUNCTION("""COMPUTED_VALUE"""),0.0)</f>
        <v>0</v>
      </c>
      <c r="H486" s="16">
        <f>IFERROR(__xludf.DUMMYFUNCTION("""COMPUTED_VALUE"""),0.0)</f>
        <v>0</v>
      </c>
      <c r="I486" s="16">
        <f>IFERROR(__xludf.DUMMYFUNCTION("""COMPUTED_VALUE"""),-3.0)</f>
        <v>-3</v>
      </c>
      <c r="J486" s="16">
        <f>IFERROR(__xludf.DUMMYFUNCTION("""COMPUTED_VALUE"""),-3.0)</f>
        <v>-3</v>
      </c>
      <c r="K486" s="16">
        <f>IFERROR(__xludf.DUMMYFUNCTION("""COMPUTED_VALUE"""),-9.0)</f>
        <v>-9</v>
      </c>
      <c r="L486" s="16">
        <f>IFERROR(__xludf.DUMMYFUNCTION("""COMPUTED_VALUE"""),-9.0)</f>
        <v>-9</v>
      </c>
      <c r="M486" s="16">
        <f>IFERROR(__xludf.DUMMYFUNCTION("""COMPUTED_VALUE"""),0.0)</f>
        <v>0</v>
      </c>
      <c r="N486" s="16">
        <f>IFERROR(__xludf.DUMMYFUNCTION("""COMPUTED_VALUE"""),6.0)</f>
        <v>6</v>
      </c>
      <c r="O486" s="16">
        <f>IFERROR(__xludf.DUMMYFUNCTION("""COMPUTED_VALUE"""),3.0)</f>
        <v>3</v>
      </c>
      <c r="P486" s="16">
        <f>IFERROR(__xludf.DUMMYFUNCTION("""COMPUTED_VALUE"""),1.0)</f>
        <v>1</v>
      </c>
      <c r="Q486" s="16">
        <f>IFERROR(__xludf.DUMMYFUNCTION("""COMPUTED_VALUE"""),3.0)</f>
        <v>3</v>
      </c>
      <c r="R486" s="16">
        <f>IFERROR(__xludf.DUMMYFUNCTION("""COMPUTED_VALUE"""),1.0)</f>
        <v>1</v>
      </c>
      <c r="S486" s="16">
        <f>IFERROR(__xludf.DUMMYFUNCTION("""COMPUTED_VALUE"""),24.4)</f>
        <v>24.4</v>
      </c>
      <c r="T486" s="16">
        <f>IFERROR(__xludf.DUMMYFUNCTION("""COMPUTED_VALUE"""),36.9)</f>
        <v>36.9</v>
      </c>
      <c r="U486" s="16">
        <f>IFERROR(__xludf.DUMMYFUNCTION("""COMPUTED_VALUE"""),-2.0)</f>
        <v>-2</v>
      </c>
      <c r="V486" s="16">
        <f>IFERROR(__xludf.DUMMYFUNCTION("""COMPUTED_VALUE"""),-3.0)</f>
        <v>-3</v>
      </c>
      <c r="W486" s="16">
        <f>IFERROR(__xludf.DUMMYFUNCTION("""COMPUTED_VALUE"""),-4.0)</f>
        <v>-4</v>
      </c>
      <c r="X486" s="16">
        <f>IFERROR(__xludf.DUMMYFUNCTION("""COMPUTED_VALUE"""),-6.0)</f>
        <v>-6</v>
      </c>
      <c r="Y486" s="16">
        <f>IFERROR(__xludf.DUMMYFUNCTION("""COMPUTED_VALUE"""),24.4)</f>
        <v>24.4</v>
      </c>
      <c r="Z486" s="16">
        <f>IFERROR(__xludf.DUMMYFUNCTION("""COMPUTED_VALUE"""),42.9)</f>
        <v>42.9</v>
      </c>
      <c r="AA486" s="16">
        <f>IFERROR(__xludf.DUMMYFUNCTION("""COMPUTED_VALUE"""),0.0)</f>
        <v>0</v>
      </c>
      <c r="AB486" s="16">
        <f>IFERROR(__xludf.DUMMYFUNCTION("""COMPUTED_VALUE"""),-2.0)</f>
        <v>-2</v>
      </c>
      <c r="AC486" s="16">
        <f>IFERROR(__xludf.DUMMYFUNCTION("""COMPUTED_VALUE"""),0.0)</f>
        <v>0</v>
      </c>
      <c r="AD486" s="16">
        <f>IFERROR(__xludf.DUMMYFUNCTION("""COMPUTED_VALUE"""),-10.0)</f>
        <v>-10</v>
      </c>
      <c r="AE486" s="16">
        <f>IFERROR(__xludf.DUMMYFUNCTION("""COMPUTED_VALUE"""),40.6)</f>
        <v>40.6</v>
      </c>
      <c r="AF486" s="16">
        <f>IFERROR(__xludf.DUMMYFUNCTION("""COMPUTED_VALUE"""),61.1)</f>
        <v>61.1</v>
      </c>
      <c r="AG486" s="16">
        <f>IFERROR(__xludf.DUMMYFUNCTION("""COMPUTED_VALUE"""),-1.0)</f>
        <v>-1</v>
      </c>
      <c r="AH486" s="16">
        <f>IFERROR(__xludf.DUMMYFUNCTION("""COMPUTED_VALUE"""),-3.0)</f>
        <v>-3</v>
      </c>
      <c r="AI486" s="16">
        <f>IFERROR(__xludf.DUMMYFUNCTION("""COMPUTED_VALUE"""),-2.0)</f>
        <v>-2</v>
      </c>
      <c r="AJ486" s="16">
        <f>IFERROR(__xludf.DUMMYFUNCTION("""COMPUTED_VALUE"""),-6.0)</f>
        <v>-6</v>
      </c>
      <c r="AK486" s="16">
        <f>IFERROR(__xludf.DUMMYFUNCTION("""COMPUTED_VALUE"""),21.799999999999997)</f>
        <v>21.8</v>
      </c>
      <c r="AL486" s="16">
        <f>IFERROR(__xludf.DUMMYFUNCTION("""COMPUTED_VALUE"""),32.1)</f>
        <v>32.1</v>
      </c>
      <c r="AM486" s="16">
        <f>IFERROR(__xludf.DUMMYFUNCTION("""COMPUTED_VALUE"""),-2.0)</f>
        <v>-2</v>
      </c>
      <c r="AN486" s="16">
        <f>IFERROR(__xludf.DUMMYFUNCTION("""COMPUTED_VALUE"""),-3.0)</f>
        <v>-3</v>
      </c>
      <c r="AO486" s="16">
        <f>IFERROR(__xludf.DUMMYFUNCTION("""COMPUTED_VALUE"""),-2.0)</f>
        <v>-2</v>
      </c>
      <c r="AP486" s="16">
        <f>IFERROR(__xludf.DUMMYFUNCTION("""COMPUTED_VALUE"""),-3.0)</f>
        <v>-3</v>
      </c>
      <c r="AQ486" s="16">
        <f>IFERROR(__xludf.DUMMYFUNCTION("""COMPUTED_VALUE"""),30.200000000000003)</f>
        <v>30.2</v>
      </c>
      <c r="AR486" s="16">
        <f>IFERROR(__xludf.DUMMYFUNCTION("""COMPUTED_VALUE"""),41.900000000000006)</f>
        <v>41.9</v>
      </c>
      <c r="AS486" s="16">
        <f>IFERROR(__xludf.DUMMYFUNCTION("""COMPUTED_VALUE"""),-1.0)</f>
        <v>-1</v>
      </c>
      <c r="AT486" s="16">
        <f>IFERROR(__xludf.DUMMYFUNCTION("""COMPUTED_VALUE"""),-3.0)</f>
        <v>-3</v>
      </c>
      <c r="AU486" s="16">
        <f>IFERROR(__xludf.DUMMYFUNCTION("""COMPUTED_VALUE"""),-2.0)</f>
        <v>-2</v>
      </c>
      <c r="AV486" s="16">
        <f>IFERROR(__xludf.DUMMYFUNCTION("""COMPUTED_VALUE"""),-6.0)</f>
        <v>-6</v>
      </c>
      <c r="AW486" s="16">
        <f>IFERROR(__xludf.DUMMYFUNCTION("""COMPUTED_VALUE"""),2.6)</f>
        <v>2.6</v>
      </c>
      <c r="AX486" s="16">
        <f>IFERROR(__xludf.DUMMYFUNCTION("""COMPUTED_VALUE"""),4.8)</f>
        <v>4.8</v>
      </c>
      <c r="AY486" s="16">
        <f>IFERROR(__xludf.DUMMYFUNCTION("""COMPUTED_VALUE"""),-1.0)</f>
        <v>-1</v>
      </c>
      <c r="AZ486" s="16">
        <f>IFERROR(__xludf.DUMMYFUNCTION("""COMPUTED_VALUE"""),-2.0)</f>
        <v>-2</v>
      </c>
      <c r="BA486" s="16">
        <f>IFERROR(__xludf.DUMMYFUNCTION("""COMPUTED_VALUE"""),-5.0)</f>
        <v>-5</v>
      </c>
      <c r="BB486" s="16">
        <f>IFERROR(__xludf.DUMMYFUNCTION("""COMPUTED_VALUE"""),-10.0)</f>
        <v>-10</v>
      </c>
      <c r="BC486" s="16">
        <f>IFERROR(__xludf.DUMMYFUNCTION("""COMPUTED_VALUE"""),5.0)</f>
        <v>5</v>
      </c>
      <c r="BD486" s="16">
        <f>IFERROR(__xludf.DUMMYFUNCTION("""COMPUTED_VALUE"""),8.0)</f>
        <v>8</v>
      </c>
      <c r="BE486" s="16">
        <f>IFERROR(__xludf.DUMMYFUNCTION("""COMPUTED_VALUE"""),5.0)</f>
        <v>5</v>
      </c>
      <c r="BF486" s="16">
        <f>IFERROR(__xludf.DUMMYFUNCTION("""COMPUTED_VALUE"""),8.0)</f>
        <v>8</v>
      </c>
      <c r="BG486" s="16">
        <f>IFERROR(__xludf.DUMMYFUNCTION("""COMPUTED_VALUE"""),-2.0)</f>
        <v>-2</v>
      </c>
      <c r="BH486" s="16">
        <f>IFERROR(__xludf.DUMMYFUNCTION("""COMPUTED_VALUE"""),-3.0)</f>
        <v>-3</v>
      </c>
      <c r="BI486" s="16">
        <f>IFERROR(__xludf.DUMMYFUNCTION("""COMPUTED_VALUE"""),-4.0)</f>
        <v>-4</v>
      </c>
      <c r="BJ486" s="16">
        <f>IFERROR(__xludf.DUMMYFUNCTION("""COMPUTED_VALUE"""),-6.0)</f>
        <v>-6</v>
      </c>
      <c r="BK486" s="16">
        <f>IFERROR(__xludf.DUMMYFUNCTION("""COMPUTED_VALUE"""),5.0)</f>
        <v>5</v>
      </c>
      <c r="BL486" s="16">
        <f>IFERROR(__xludf.DUMMYFUNCTION("""COMPUTED_VALUE"""),5.0)</f>
        <v>5</v>
      </c>
      <c r="BM486" s="16">
        <f>IFERROR(__xludf.DUMMYFUNCTION("""COMPUTED_VALUE"""),0.0)</f>
        <v>0</v>
      </c>
      <c r="BN486" s="16">
        <f>IFERROR(__xludf.DUMMYFUNCTION("""COMPUTED_VALUE"""),0.0)</f>
        <v>0</v>
      </c>
      <c r="BO486" s="16">
        <f>IFERROR(__xludf.DUMMYFUNCTION("""COMPUTED_VALUE"""),0.0)</f>
        <v>0</v>
      </c>
      <c r="BP486" s="16">
        <f>IFERROR(__xludf.DUMMYFUNCTION("""COMPUTED_VALUE"""),0.0)</f>
        <v>0</v>
      </c>
      <c r="BQ486" s="16">
        <f>IFERROR(__xludf.DUMMYFUNCTION("""COMPUTED_VALUE"""),10.0)</f>
        <v>10</v>
      </c>
      <c r="BR486" s="16">
        <f>IFERROR(__xludf.DUMMYFUNCTION("""COMPUTED_VALUE"""),10.0)</f>
        <v>10</v>
      </c>
      <c r="BS486" s="16">
        <f>IFERROR(__xludf.DUMMYFUNCTION("""COMPUTED_VALUE"""),3.0)</f>
        <v>3</v>
      </c>
      <c r="BT486" s="16">
        <f>IFERROR(__xludf.DUMMYFUNCTION("""COMPUTED_VALUE"""),3.0)</f>
        <v>3</v>
      </c>
      <c r="BU486" s="16">
        <f>IFERROR(__xludf.DUMMYFUNCTION("""COMPUTED_VALUE"""),6.0)</f>
        <v>6</v>
      </c>
      <c r="BV486" s="16">
        <f>IFERROR(__xludf.DUMMYFUNCTION("""COMPUTED_VALUE"""),6.0)</f>
        <v>6</v>
      </c>
      <c r="BW486" s="16">
        <f>IFERROR(__xludf.DUMMYFUNCTION("""COMPUTED_VALUE"""),-5.0)</f>
        <v>-5</v>
      </c>
      <c r="BX486" s="16">
        <f>IFERROR(__xludf.DUMMYFUNCTION("""COMPUTED_VALUE"""),-5.0)</f>
        <v>-5</v>
      </c>
      <c r="BY486" s="16" t="str">
        <f>IFERROR(__xludf.DUMMYFUNCTION("""COMPUTED_VALUE"""),"S(5) R(3)")</f>
        <v>S(5) R(3)</v>
      </c>
      <c r="BZ486" s="16" t="str">
        <f>IFERROR(__xludf.DUMMYFUNCTION("""COMPUTED_VALUE"""),"S(5) R(3)")</f>
        <v>S(5) R(3)</v>
      </c>
      <c r="CA486" s="16" t="str">
        <f>IFERROR(__xludf.DUMMYFUNCTION("""COMPUTED_VALUE"""),"S(5)")</f>
        <v>S(5)</v>
      </c>
      <c r="CB486" s="16" t="str">
        <f>IFERROR(__xludf.DUMMYFUNCTION("""COMPUTED_VALUE"""),"R(3)")</f>
        <v>R(3)</v>
      </c>
      <c r="CC486" s="16"/>
      <c r="CD486" s="16">
        <f>IFERROR(__xludf.DUMMYFUNCTION("""COMPUTED_VALUE"""),5.0)</f>
        <v>5</v>
      </c>
      <c r="CE486" s="16">
        <f>IFERROR(__xludf.DUMMYFUNCTION("""COMPUTED_VALUE"""),3.0)</f>
        <v>3</v>
      </c>
      <c r="CF486" s="16"/>
      <c r="CG486" s="16" t="str">
        <f>IFERROR(__xludf.DUMMYFUNCTION("""COMPUTED_VALUE"""),"1-0")</f>
        <v>1-0</v>
      </c>
      <c r="CH486" s="16">
        <f>IFERROR(__xludf.DUMMYFUNCTION("""COMPUTED_VALUE"""),1.0)</f>
        <v>1</v>
      </c>
      <c r="CI486" s="16">
        <f>IFERROR(__xludf.DUMMYFUNCTION("""COMPUTED_VALUE"""),0.0)</f>
        <v>0</v>
      </c>
      <c r="CJ486" s="16">
        <f>IFERROR(__xludf.DUMMYFUNCTION("""COMPUTED_VALUE"""),0.0)</f>
        <v>0</v>
      </c>
      <c r="CK486" s="16">
        <f>IFERROR(__xludf.DUMMYFUNCTION("""COMPUTED_VALUE"""),2.0)</f>
        <v>2</v>
      </c>
      <c r="CL486" s="16" t="str">
        <f>IFERROR(__xludf.DUMMYFUNCTION("""COMPUTED_VALUE"""),"1WR-C")</f>
        <v>1WR-C</v>
      </c>
      <c r="CM486" s="16" t="str">
        <f>IFERROR(__xludf.DUMMYFUNCTION("""COMPUTED_VALUE"""),"E")</f>
        <v>E</v>
      </c>
      <c r="CN486" s="16">
        <f>IFERROR(__xludf.DUMMYFUNCTION("""COMPUTED_VALUE"""),10.0)</f>
        <v>10</v>
      </c>
      <c r="CO486" s="16" t="str">
        <f>IFERROR(__xludf.DUMMYFUNCTION("""COMPUTED_VALUE"""),"C")</f>
        <v>C</v>
      </c>
      <c r="CP486" s="16" t="str">
        <f>IFERROR(__xludf.DUMMYFUNCTION("""COMPUTED_VALUE"""),"1p40")</f>
        <v>1p40</v>
      </c>
      <c r="CQ486" s="16">
        <f>IFERROR(__xludf.DUMMYFUNCTION("""COMPUTED_VALUE"""),-19.0)</f>
        <v>-19</v>
      </c>
      <c r="CR486" s="16">
        <f>IFERROR(__xludf.DUMMYFUNCTION("""COMPUTED_VALUE"""),-49.0)</f>
        <v>-49</v>
      </c>
      <c r="CS486" s="16">
        <f>IFERROR(__xludf.DUMMYFUNCTION("""COMPUTED_VALUE"""),-68.0)</f>
        <v>-68</v>
      </c>
      <c r="CT486" s="16">
        <f>IFERROR(__xludf.DUMMYFUNCTION("""COMPUTED_VALUE"""),-19.0)</f>
        <v>-19</v>
      </c>
      <c r="CU486" s="16">
        <f>IFERROR(__xludf.DUMMYFUNCTION("""COMPUTED_VALUE"""),-49.0)</f>
        <v>-49</v>
      </c>
      <c r="CV486" s="179">
        <f>IFERROR(__xludf.DUMMYFUNCTION("""COMPUTED_VALUE"""),-34.0)</f>
        <v>-34</v>
      </c>
      <c r="CW486" s="179">
        <f>IFERROR(__xludf.DUMMYFUNCTION("""COMPUTED_VALUE"""),4.0)</f>
        <v>4</v>
      </c>
      <c r="CX486" s="179">
        <f>IFERROR(__xludf.DUMMYFUNCTION("""COMPUTED_VALUE"""),1.0)</f>
        <v>1</v>
      </c>
      <c r="CY486" s="16" t="str">
        <f>IFERROR(__xludf.DUMMYFUNCTION("""COMPUTED_VALUE"""),"SP")</f>
        <v>SP</v>
      </c>
      <c r="CZ486" s="16" t="str">
        <f>IFERROR(__xludf.DUMMYFUNCTION("""COMPUTED_VALUE"""),"RP")</f>
        <v>RP</v>
      </c>
      <c r="DA486" s="16"/>
      <c r="DB486" s="16"/>
      <c r="DC486" s="16"/>
      <c r="DD486" s="16"/>
      <c r="DE486" s="16"/>
      <c r="DF486" s="16"/>
      <c r="DG486" s="16"/>
      <c r="DH486" s="16"/>
      <c r="DI486" s="16"/>
      <c r="DJ486" s="16"/>
      <c r="DK486" s="16"/>
    </row>
    <row r="487">
      <c r="A487" s="16">
        <f>IFERROR(__xludf.DUMMYFUNCTION("""COMPUTED_VALUE"""),13426.0)</f>
        <v>13426</v>
      </c>
      <c r="B487" s="16" t="str">
        <f>IFERROR(__xludf.DUMMYFUNCTION("""COMPUTED_VALUE"""),"Touki Toussaint")</f>
        <v>Touki Toussaint</v>
      </c>
      <c r="C487" s="153">
        <f>IFERROR(__xludf.DUMMYFUNCTION("""COMPUTED_VALUE"""),0.0)</f>
        <v>0</v>
      </c>
      <c r="D487" s="16"/>
      <c r="E487" s="16" t="str">
        <f>IFERROR(__xludf.DUMMYFUNCTION("""COMPUTED_VALUE"""),"R")</f>
        <v>R</v>
      </c>
      <c r="F487" s="16">
        <f>IFERROR(__xludf.DUMMYFUNCTION("""COMPUTED_VALUE"""),23.0)</f>
        <v>23</v>
      </c>
      <c r="G487" s="16">
        <f>IFERROR(__xludf.DUMMYFUNCTION("""COMPUTED_VALUE"""),3.0)</f>
        <v>3</v>
      </c>
      <c r="H487" s="16">
        <f>IFERROR(__xludf.DUMMYFUNCTION("""COMPUTED_VALUE"""),23.0)</f>
        <v>23</v>
      </c>
      <c r="I487" s="16">
        <f>IFERROR(__xludf.DUMMYFUNCTION("""COMPUTED_VALUE"""),-3.0)</f>
        <v>-3</v>
      </c>
      <c r="J487" s="16">
        <f>IFERROR(__xludf.DUMMYFUNCTION("""COMPUTED_VALUE"""),-1.0)</f>
        <v>-1</v>
      </c>
      <c r="K487" s="16">
        <f>IFERROR(__xludf.DUMMYFUNCTION("""COMPUTED_VALUE"""),-9.0)</f>
        <v>-9</v>
      </c>
      <c r="L487" s="16">
        <f>IFERROR(__xludf.DUMMYFUNCTION("""COMPUTED_VALUE"""),-3.0)</f>
        <v>-3</v>
      </c>
      <c r="M487" s="16">
        <f>IFERROR(__xludf.DUMMYFUNCTION("""COMPUTED_VALUE"""),22.0)</f>
        <v>22</v>
      </c>
      <c r="N487" s="16">
        <f>IFERROR(__xludf.DUMMYFUNCTION("""COMPUTED_VALUE"""),28.0)</f>
        <v>28</v>
      </c>
      <c r="O487" s="16">
        <f>IFERROR(__xludf.DUMMYFUNCTION("""COMPUTED_VALUE"""),-3.0)</f>
        <v>-3</v>
      </c>
      <c r="P487" s="16">
        <f>IFERROR(__xludf.DUMMYFUNCTION("""COMPUTED_VALUE"""),-3.0)</f>
        <v>-3</v>
      </c>
      <c r="Q487" s="16">
        <f>IFERROR(__xludf.DUMMYFUNCTION("""COMPUTED_VALUE"""),-3.0)</f>
        <v>-3</v>
      </c>
      <c r="R487" s="16">
        <f>IFERROR(__xludf.DUMMYFUNCTION("""COMPUTED_VALUE"""),-3.0)</f>
        <v>-3</v>
      </c>
      <c r="S487" s="16">
        <f>IFERROR(__xludf.DUMMYFUNCTION("""COMPUTED_VALUE"""),46.0)</f>
        <v>46</v>
      </c>
      <c r="T487" s="16">
        <f>IFERROR(__xludf.DUMMYFUNCTION("""COMPUTED_VALUE"""),21.7)</f>
        <v>21.7</v>
      </c>
      <c r="U487" s="16">
        <f>IFERROR(__xludf.DUMMYFUNCTION("""COMPUTED_VALUE"""),-3.0)</f>
        <v>-3</v>
      </c>
      <c r="V487" s="16">
        <f>IFERROR(__xludf.DUMMYFUNCTION("""COMPUTED_VALUE"""),-1.0)</f>
        <v>-1</v>
      </c>
      <c r="W487" s="16">
        <f>IFERROR(__xludf.DUMMYFUNCTION("""COMPUTED_VALUE"""),-6.0)</f>
        <v>-6</v>
      </c>
      <c r="X487" s="16">
        <f>IFERROR(__xludf.DUMMYFUNCTION("""COMPUTED_VALUE"""),-2.0)</f>
        <v>-2</v>
      </c>
      <c r="Y487" s="16">
        <f>IFERROR(__xludf.DUMMYFUNCTION("""COMPUTED_VALUE"""),68.0)</f>
        <v>68</v>
      </c>
      <c r="Z487" s="16">
        <f>IFERROR(__xludf.DUMMYFUNCTION("""COMPUTED_VALUE"""),49.7)</f>
        <v>49.7</v>
      </c>
      <c r="AA487" s="16">
        <f>IFERROR(__xludf.DUMMYFUNCTION("""COMPUTED_VALUE"""),-3.0)</f>
        <v>-3</v>
      </c>
      <c r="AB487" s="16">
        <f>IFERROR(__xludf.DUMMYFUNCTION("""COMPUTED_VALUE"""),-3.0)</f>
        <v>-3</v>
      </c>
      <c r="AC487" s="16">
        <f>IFERROR(__xludf.DUMMYFUNCTION("""COMPUTED_VALUE"""),-15.0)</f>
        <v>-15</v>
      </c>
      <c r="AD487" s="16">
        <f>IFERROR(__xludf.DUMMYFUNCTION("""COMPUTED_VALUE"""),-15.0)</f>
        <v>-15</v>
      </c>
      <c r="AE487" s="16">
        <f>IFERROR(__xludf.DUMMYFUNCTION("""COMPUTED_VALUE"""),67.5)</f>
        <v>67.5</v>
      </c>
      <c r="AF487" s="16">
        <f>IFERROR(__xludf.DUMMYFUNCTION("""COMPUTED_VALUE"""),36.6)</f>
        <v>36.6</v>
      </c>
      <c r="AG487" s="16">
        <f>IFERROR(__xludf.DUMMYFUNCTION("""COMPUTED_VALUE"""),-3.0)</f>
        <v>-3</v>
      </c>
      <c r="AH487" s="16">
        <f>IFERROR(__xludf.DUMMYFUNCTION("""COMPUTED_VALUE"""),-1.0)</f>
        <v>-1</v>
      </c>
      <c r="AI487" s="16">
        <f>IFERROR(__xludf.DUMMYFUNCTION("""COMPUTED_VALUE"""),-6.0)</f>
        <v>-6</v>
      </c>
      <c r="AJ487" s="16">
        <f>IFERROR(__xludf.DUMMYFUNCTION("""COMPUTED_VALUE"""),-2.0)</f>
        <v>-2</v>
      </c>
      <c r="AK487" s="16">
        <f>IFERROR(__xludf.DUMMYFUNCTION("""COMPUTED_VALUE"""),43.8)</f>
        <v>43.8</v>
      </c>
      <c r="AL487" s="16">
        <f>IFERROR(__xludf.DUMMYFUNCTION("""COMPUTED_VALUE"""),21.3)</f>
        <v>21.3</v>
      </c>
      <c r="AM487" s="16">
        <f>IFERROR(__xludf.DUMMYFUNCTION("""COMPUTED_VALUE"""),-3.0)</f>
        <v>-3</v>
      </c>
      <c r="AN487" s="16">
        <f>IFERROR(__xludf.DUMMYFUNCTION("""COMPUTED_VALUE"""),-1.0)</f>
        <v>-1</v>
      </c>
      <c r="AO487" s="16">
        <f>IFERROR(__xludf.DUMMYFUNCTION("""COMPUTED_VALUE"""),-3.0)</f>
        <v>-3</v>
      </c>
      <c r="AP487" s="16">
        <f>IFERROR(__xludf.DUMMYFUNCTION("""COMPUTED_VALUE"""),-1.0)</f>
        <v>-1</v>
      </c>
      <c r="AQ487" s="16">
        <f>IFERROR(__xludf.DUMMYFUNCTION("""COMPUTED_VALUE"""),58.7)</f>
        <v>58.7</v>
      </c>
      <c r="AR487" s="16">
        <f>IFERROR(__xludf.DUMMYFUNCTION("""COMPUTED_VALUE"""),35.0)</f>
        <v>35</v>
      </c>
      <c r="AS487" s="16">
        <f>IFERROR(__xludf.DUMMYFUNCTION("""COMPUTED_VALUE"""),-3.0)</f>
        <v>-3</v>
      </c>
      <c r="AT487" s="16">
        <f>IFERROR(__xludf.DUMMYFUNCTION("""COMPUTED_VALUE"""),-2.0)</f>
        <v>-2</v>
      </c>
      <c r="AU487" s="16">
        <f>IFERROR(__xludf.DUMMYFUNCTION("""COMPUTED_VALUE"""),-6.0)</f>
        <v>-6</v>
      </c>
      <c r="AV487" s="16">
        <f>IFERROR(__xludf.DUMMYFUNCTION("""COMPUTED_VALUE"""),-4.0)</f>
        <v>-4</v>
      </c>
      <c r="AW487" s="16">
        <f>IFERROR(__xludf.DUMMYFUNCTION("""COMPUTED_VALUE"""),2.2)</f>
        <v>2.2</v>
      </c>
      <c r="AX487" s="16">
        <f>IFERROR(__xludf.DUMMYFUNCTION("""COMPUTED_VALUE"""),0.4)</f>
        <v>0.4</v>
      </c>
      <c r="AY487" s="16">
        <f>IFERROR(__xludf.DUMMYFUNCTION("""COMPUTED_VALUE"""),0.0)</f>
        <v>0</v>
      </c>
      <c r="AZ487" s="16">
        <f>IFERROR(__xludf.DUMMYFUNCTION("""COMPUTED_VALUE"""),2.0)</f>
        <v>2</v>
      </c>
      <c r="BA487" s="16">
        <f>IFERROR(__xludf.DUMMYFUNCTION("""COMPUTED_VALUE"""),0.0)</f>
        <v>0</v>
      </c>
      <c r="BB487" s="16">
        <f>IFERROR(__xludf.DUMMYFUNCTION("""COMPUTED_VALUE"""),10.0)</f>
        <v>10</v>
      </c>
      <c r="BC487" s="16"/>
      <c r="BD487" s="16">
        <f>IFERROR(__xludf.DUMMYFUNCTION("""COMPUTED_VALUE"""),0.0)</f>
        <v>0</v>
      </c>
      <c r="BE487" s="16">
        <f>IFERROR(__xludf.DUMMYFUNCTION("""COMPUTED_VALUE"""),4.0)</f>
        <v>4</v>
      </c>
      <c r="BF487" s="16">
        <f>IFERROR(__xludf.DUMMYFUNCTION("""COMPUTED_VALUE"""),0.0)</f>
        <v>0</v>
      </c>
      <c r="BG487" s="16">
        <f>IFERROR(__xludf.DUMMYFUNCTION("""COMPUTED_VALUE"""),-1.0)</f>
        <v>-1</v>
      </c>
      <c r="BH487" s="16">
        <f>IFERROR(__xludf.DUMMYFUNCTION("""COMPUTED_VALUE"""),2.0)</f>
        <v>2</v>
      </c>
      <c r="BI487" s="16">
        <f>IFERROR(__xludf.DUMMYFUNCTION("""COMPUTED_VALUE"""),-2.0)</f>
        <v>-2</v>
      </c>
      <c r="BJ487" s="16">
        <f>IFERROR(__xludf.DUMMYFUNCTION("""COMPUTED_VALUE"""),4.0)</f>
        <v>4</v>
      </c>
      <c r="BK487" s="16">
        <f>IFERROR(__xludf.DUMMYFUNCTION("""COMPUTED_VALUE"""),0.0)</f>
        <v>0</v>
      </c>
      <c r="BL487" s="16">
        <f>IFERROR(__xludf.DUMMYFUNCTION("""COMPUTED_VALUE"""),5.0)</f>
        <v>5</v>
      </c>
      <c r="BM487" s="16">
        <f>IFERROR(__xludf.DUMMYFUNCTION("""COMPUTED_VALUE"""),1.0)</f>
        <v>1</v>
      </c>
      <c r="BN487" s="16">
        <f>IFERROR(__xludf.DUMMYFUNCTION("""COMPUTED_VALUE"""),0.0)</f>
        <v>0</v>
      </c>
      <c r="BO487" s="16">
        <f>IFERROR(__xludf.DUMMYFUNCTION("""COMPUTED_VALUE"""),1.0)</f>
        <v>1</v>
      </c>
      <c r="BP487" s="16">
        <f>IFERROR(__xludf.DUMMYFUNCTION("""COMPUTED_VALUE"""),0.0)</f>
        <v>0</v>
      </c>
      <c r="BQ487" s="16">
        <f>IFERROR(__xludf.DUMMYFUNCTION("""COMPUTED_VALUE"""),3.0)</f>
        <v>3</v>
      </c>
      <c r="BR487" s="16">
        <f>IFERROR(__xludf.DUMMYFUNCTION("""COMPUTED_VALUE"""),0.0)</f>
        <v>0</v>
      </c>
      <c r="BS487" s="16">
        <f>IFERROR(__xludf.DUMMYFUNCTION("""COMPUTED_VALUE"""),-1.0)</f>
        <v>-1</v>
      </c>
      <c r="BT487" s="16">
        <f>IFERROR(__xludf.DUMMYFUNCTION("""COMPUTED_VALUE"""),-3.0)</f>
        <v>-3</v>
      </c>
      <c r="BU487" s="16">
        <f>IFERROR(__xludf.DUMMYFUNCTION("""COMPUTED_VALUE"""),-2.0)</f>
        <v>-2</v>
      </c>
      <c r="BV487" s="16">
        <f>IFERROR(__xludf.DUMMYFUNCTION("""COMPUTED_VALUE"""),-6.0)</f>
        <v>-6</v>
      </c>
      <c r="BW487" s="16">
        <f>IFERROR(__xludf.DUMMYFUNCTION("""COMPUTED_VALUE"""),-2.0)</f>
        <v>-2</v>
      </c>
      <c r="BX487" s="16">
        <f>IFERROR(__xludf.DUMMYFUNCTION("""COMPUTED_VALUE"""),-2.0)</f>
        <v>-2</v>
      </c>
      <c r="BY487" s="16" t="str">
        <f>IFERROR(__xludf.DUMMYFUNCTION("""COMPUTED_VALUE"""),"R(3)")</f>
        <v>R(3)</v>
      </c>
      <c r="BZ487" s="16" t="str">
        <f>IFERROR(__xludf.DUMMYFUNCTION("""COMPUTED_VALUE"""),"R(3)")</f>
        <v>R(3)</v>
      </c>
      <c r="CA487" s="16" t="str">
        <f>IFERROR(__xludf.DUMMYFUNCTION("""COMPUTED_VALUE"""),"R(3)")</f>
        <v>R(3)</v>
      </c>
      <c r="CB487" s="16"/>
      <c r="CC487" s="16"/>
      <c r="CD487" s="16"/>
      <c r="CE487" s="16">
        <f>IFERROR(__xludf.DUMMYFUNCTION("""COMPUTED_VALUE"""),3.0)</f>
        <v>3</v>
      </c>
      <c r="CF487" s="16"/>
      <c r="CG487" s="16" t="str">
        <f>IFERROR(__xludf.DUMMYFUNCTION("""COMPUTED_VALUE"""),"2-51")</f>
        <v>2-51</v>
      </c>
      <c r="CH487" s="16">
        <f>IFERROR(__xludf.DUMMYFUNCTION("""COMPUTED_VALUE"""),2.0)</f>
        <v>2</v>
      </c>
      <c r="CI487" s="16">
        <f>IFERROR(__xludf.DUMMYFUNCTION("""COMPUTED_VALUE"""),51.0)</f>
        <v>51</v>
      </c>
      <c r="CJ487" s="16">
        <f>IFERROR(__xludf.DUMMYFUNCTION("""COMPUTED_VALUE"""),0.0)</f>
        <v>0</v>
      </c>
      <c r="CK487" s="16">
        <f>IFERROR(__xludf.DUMMYFUNCTION("""COMPUTED_VALUE"""),7.0)</f>
        <v>7</v>
      </c>
      <c r="CL487" s="16" t="str">
        <f>IFERROR(__xludf.DUMMYFUNCTION("""COMPUTED_VALUE"""),"1WR-C")</f>
        <v>1WR-C</v>
      </c>
      <c r="CM487" s="16" t="str">
        <f>IFERROR(__xludf.DUMMYFUNCTION("""COMPUTED_VALUE"""),"E")</f>
        <v>E</v>
      </c>
      <c r="CN487" s="16">
        <f>IFERROR(__xludf.DUMMYFUNCTION("""COMPUTED_VALUE"""),10.0)</f>
        <v>10</v>
      </c>
      <c r="CO487" s="16" t="str">
        <f>IFERROR(__xludf.DUMMYFUNCTION("""COMPUTED_VALUE"""),"C")</f>
        <v>C</v>
      </c>
      <c r="CP487" s="16" t="str">
        <f>IFERROR(__xludf.DUMMYFUNCTION("""COMPUTED_VALUE"""),"1p20")</f>
        <v>1p20</v>
      </c>
      <c r="CQ487" s="16">
        <f>IFERROR(__xludf.DUMMYFUNCTION("""COMPUTED_VALUE"""),-51.0)</f>
        <v>-51</v>
      </c>
      <c r="CR487" s="16">
        <f>IFERROR(__xludf.DUMMYFUNCTION("""COMPUTED_VALUE"""),-22.0)</f>
        <v>-22</v>
      </c>
      <c r="CS487" s="16">
        <f>IFERROR(__xludf.DUMMYFUNCTION("""COMPUTED_VALUE"""),-73.0)</f>
        <v>-73</v>
      </c>
      <c r="CT487" s="16">
        <f>IFERROR(__xludf.DUMMYFUNCTION("""COMPUTED_VALUE"""),-51.0)</f>
        <v>-51</v>
      </c>
      <c r="CU487" s="16">
        <f>IFERROR(__xludf.DUMMYFUNCTION("""COMPUTED_VALUE"""),-22.0)</f>
        <v>-22</v>
      </c>
      <c r="CV487" s="179">
        <f>IFERROR(__xludf.DUMMYFUNCTION("""COMPUTED_VALUE"""),-34.333333333333336)</f>
        <v>-34.33333333</v>
      </c>
      <c r="CW487" s="179">
        <f>IFERROR(__xludf.DUMMYFUNCTION("""COMPUTED_VALUE"""),4.0)</f>
        <v>4</v>
      </c>
      <c r="CX487" s="179">
        <f>IFERROR(__xludf.DUMMYFUNCTION("""COMPUTED_VALUE"""),3.0)</f>
        <v>3</v>
      </c>
      <c r="CY487" s="16" t="str">
        <f>IFERROR(__xludf.DUMMYFUNCTION("""COMPUTED_VALUE"""),"RP")</f>
        <v>RP</v>
      </c>
      <c r="CZ487" s="16"/>
      <c r="DA487" s="16"/>
      <c r="DB487" s="16"/>
      <c r="DC487" s="16"/>
      <c r="DD487" s="16"/>
      <c r="DE487" s="16"/>
      <c r="DF487" s="16"/>
      <c r="DG487" s="16"/>
      <c r="DH487" s="16"/>
      <c r="DI487" s="16"/>
      <c r="DJ487" s="16"/>
      <c r="DK487" s="16"/>
    </row>
    <row r="488">
      <c r="A488" s="16">
        <f>IFERROR(__xludf.DUMMYFUNCTION("""COMPUTED_VALUE"""),13525.0)</f>
        <v>13525</v>
      </c>
      <c r="B488" s="16" t="str">
        <f>IFERROR(__xludf.DUMMYFUNCTION("""COMPUTED_VALUE"""),"Zebby Matthews")</f>
        <v>Zebby Matthews</v>
      </c>
      <c r="C488" s="153">
        <f>IFERROR(__xludf.DUMMYFUNCTION("""COMPUTED_VALUE"""),0.0)</f>
        <v>0</v>
      </c>
      <c r="D488" s="16"/>
      <c r="E488" s="16" t="str">
        <f>IFERROR(__xludf.DUMMYFUNCTION("""COMPUTED_VALUE"""),"R")</f>
        <v>R</v>
      </c>
      <c r="F488" s="16">
        <f>IFERROR(__xludf.DUMMYFUNCTION("""COMPUTED_VALUE"""),38.0)</f>
        <v>38</v>
      </c>
      <c r="G488" s="16">
        <f>IFERROR(__xludf.DUMMYFUNCTION("""COMPUTED_VALUE"""),22.0)</f>
        <v>22</v>
      </c>
      <c r="H488" s="16">
        <f>IFERROR(__xludf.DUMMYFUNCTION("""COMPUTED_VALUE"""),32.0)</f>
        <v>32</v>
      </c>
      <c r="I488" s="16">
        <f>IFERROR(__xludf.DUMMYFUNCTION("""COMPUTED_VALUE"""),-1.0)</f>
        <v>-1</v>
      </c>
      <c r="J488" s="16">
        <f>IFERROR(__xludf.DUMMYFUNCTION("""COMPUTED_VALUE"""),1.0)</f>
        <v>1</v>
      </c>
      <c r="K488" s="16">
        <f>IFERROR(__xludf.DUMMYFUNCTION("""COMPUTED_VALUE"""),-3.0)</f>
        <v>-3</v>
      </c>
      <c r="L488" s="16">
        <f>IFERROR(__xludf.DUMMYFUNCTION("""COMPUTED_VALUE"""),3.0)</f>
        <v>3</v>
      </c>
      <c r="M488" s="16">
        <f>IFERROR(__xludf.DUMMYFUNCTION("""COMPUTED_VALUE"""),10.0)</f>
        <v>10</v>
      </c>
      <c r="N488" s="16">
        <f>IFERROR(__xludf.DUMMYFUNCTION("""COMPUTED_VALUE"""),0.0)</f>
        <v>0</v>
      </c>
      <c r="O488" s="16">
        <f>IFERROR(__xludf.DUMMYFUNCTION("""COMPUTED_VALUE"""),0.0)</f>
        <v>0</v>
      </c>
      <c r="P488" s="16">
        <f>IFERROR(__xludf.DUMMYFUNCTION("""COMPUTED_VALUE"""),3.0)</f>
        <v>3</v>
      </c>
      <c r="Q488" s="16">
        <f>IFERROR(__xludf.DUMMYFUNCTION("""COMPUTED_VALUE"""),0.0)</f>
        <v>0</v>
      </c>
      <c r="R488" s="16">
        <f>IFERROR(__xludf.DUMMYFUNCTION("""COMPUTED_VALUE"""),3.0)</f>
        <v>3</v>
      </c>
      <c r="S488" s="16">
        <f>IFERROR(__xludf.DUMMYFUNCTION("""COMPUTED_VALUE"""),25.8)</f>
        <v>25.8</v>
      </c>
      <c r="T488" s="16">
        <f>IFERROR(__xludf.DUMMYFUNCTION("""COMPUTED_VALUE"""),29.6)</f>
        <v>29.6</v>
      </c>
      <c r="U488" s="16">
        <f>IFERROR(__xludf.DUMMYFUNCTION("""COMPUTED_VALUE"""),-2.0)</f>
        <v>-2</v>
      </c>
      <c r="V488" s="16">
        <f>IFERROR(__xludf.DUMMYFUNCTION("""COMPUTED_VALUE"""),-2.0)</f>
        <v>-2</v>
      </c>
      <c r="W488" s="16">
        <f>IFERROR(__xludf.DUMMYFUNCTION("""COMPUTED_VALUE"""),-4.0)</f>
        <v>-4</v>
      </c>
      <c r="X488" s="16">
        <f>IFERROR(__xludf.DUMMYFUNCTION("""COMPUTED_VALUE"""),-4.0)</f>
        <v>-4</v>
      </c>
      <c r="Y488" s="16">
        <f>IFERROR(__xludf.DUMMYFUNCTION("""COMPUTED_VALUE"""),35.8)</f>
        <v>35.8</v>
      </c>
      <c r="Z488" s="16">
        <f>IFERROR(__xludf.DUMMYFUNCTION("""COMPUTED_VALUE"""),29.6)</f>
        <v>29.6</v>
      </c>
      <c r="AA488" s="16">
        <f>IFERROR(__xludf.DUMMYFUNCTION("""COMPUTED_VALUE"""),-1.0)</f>
        <v>-1</v>
      </c>
      <c r="AB488" s="16">
        <f>IFERROR(__xludf.DUMMYFUNCTION("""COMPUTED_VALUE"""),-1.0)</f>
        <v>-1</v>
      </c>
      <c r="AC488" s="16">
        <f>IFERROR(__xludf.DUMMYFUNCTION("""COMPUTED_VALUE"""),-5.0)</f>
        <v>-5</v>
      </c>
      <c r="AD488" s="16">
        <f>IFERROR(__xludf.DUMMYFUNCTION("""COMPUTED_VALUE"""),-5.0)</f>
        <v>-5</v>
      </c>
      <c r="AE488" s="16">
        <f>IFERROR(__xludf.DUMMYFUNCTION("""COMPUTED_VALUE"""),58.4)</f>
        <v>58.4</v>
      </c>
      <c r="AF488" s="16">
        <f>IFERROR(__xludf.DUMMYFUNCTION("""COMPUTED_VALUE"""),50.3)</f>
        <v>50.3</v>
      </c>
      <c r="AG488" s="16">
        <f>IFERROR(__xludf.DUMMYFUNCTION("""COMPUTED_VALUE"""),-3.0)</f>
        <v>-3</v>
      </c>
      <c r="AH488" s="16">
        <f>IFERROR(__xludf.DUMMYFUNCTION("""COMPUTED_VALUE"""),-2.0)</f>
        <v>-2</v>
      </c>
      <c r="AI488" s="16">
        <f>IFERROR(__xludf.DUMMYFUNCTION("""COMPUTED_VALUE"""),-6.0)</f>
        <v>-6</v>
      </c>
      <c r="AJ488" s="16">
        <f>IFERROR(__xludf.DUMMYFUNCTION("""COMPUTED_VALUE"""),-4.0)</f>
        <v>-4</v>
      </c>
      <c r="AK488" s="16">
        <f>IFERROR(__xludf.DUMMYFUNCTION("""COMPUTED_VALUE"""),16.200000000000003)</f>
        <v>16.2</v>
      </c>
      <c r="AL488" s="16">
        <f>IFERROR(__xludf.DUMMYFUNCTION("""COMPUTED_VALUE"""),26.0)</f>
        <v>26</v>
      </c>
      <c r="AM488" s="16">
        <f>IFERROR(__xludf.DUMMYFUNCTION("""COMPUTED_VALUE"""),-1.0)</f>
        <v>-1</v>
      </c>
      <c r="AN488" s="16">
        <f>IFERROR(__xludf.DUMMYFUNCTION("""COMPUTED_VALUE"""),-2.0)</f>
        <v>-2</v>
      </c>
      <c r="AO488" s="16">
        <f>IFERROR(__xludf.DUMMYFUNCTION("""COMPUTED_VALUE"""),-1.0)</f>
        <v>-1</v>
      </c>
      <c r="AP488" s="16">
        <f>IFERROR(__xludf.DUMMYFUNCTION("""COMPUTED_VALUE"""),-2.0)</f>
        <v>-2</v>
      </c>
      <c r="AQ488" s="16">
        <f>IFERROR(__xludf.DUMMYFUNCTION("""COMPUTED_VALUE"""),20.0)</f>
        <v>20</v>
      </c>
      <c r="AR488" s="16">
        <f>IFERROR(__xludf.DUMMYFUNCTION("""COMPUTED_VALUE"""),35.9)</f>
        <v>35.9</v>
      </c>
      <c r="AS488" s="16">
        <f>IFERROR(__xludf.DUMMYFUNCTION("""COMPUTED_VALUE"""),0.0)</f>
        <v>0</v>
      </c>
      <c r="AT488" s="16">
        <f>IFERROR(__xludf.DUMMYFUNCTION("""COMPUTED_VALUE"""),-2.0)</f>
        <v>-2</v>
      </c>
      <c r="AU488" s="16">
        <f>IFERROR(__xludf.DUMMYFUNCTION("""COMPUTED_VALUE"""),0.0)</f>
        <v>0</v>
      </c>
      <c r="AV488" s="16">
        <f>IFERROR(__xludf.DUMMYFUNCTION("""COMPUTED_VALUE"""),-4.0)</f>
        <v>-4</v>
      </c>
      <c r="AW488" s="16">
        <f>IFERROR(__xludf.DUMMYFUNCTION("""COMPUTED_VALUE"""),9.6)</f>
        <v>9.6</v>
      </c>
      <c r="AX488" s="16">
        <f>IFERROR(__xludf.DUMMYFUNCTION("""COMPUTED_VALUE"""),3.6)</f>
        <v>3.6</v>
      </c>
      <c r="AY488" s="16">
        <f>IFERROR(__xludf.DUMMYFUNCTION("""COMPUTED_VALUE"""),-3.0)</f>
        <v>-3</v>
      </c>
      <c r="AZ488" s="16">
        <f>IFERROR(__xludf.DUMMYFUNCTION("""COMPUTED_VALUE"""),-2.0)</f>
        <v>-2</v>
      </c>
      <c r="BA488" s="16">
        <f>IFERROR(__xludf.DUMMYFUNCTION("""COMPUTED_VALUE"""),-15.0)</f>
        <v>-15</v>
      </c>
      <c r="BB488" s="16">
        <f>IFERROR(__xludf.DUMMYFUNCTION("""COMPUTED_VALUE"""),-10.0)</f>
        <v>-10</v>
      </c>
      <c r="BC488" s="16">
        <f>IFERROR(__xludf.DUMMYFUNCTION("""COMPUTED_VALUE"""),8.0)</f>
        <v>8</v>
      </c>
      <c r="BD488" s="16">
        <f>IFERROR(__xludf.DUMMYFUNCTION("""COMPUTED_VALUE"""),5.0)</f>
        <v>5</v>
      </c>
      <c r="BE488" s="16">
        <f>IFERROR(__xludf.DUMMYFUNCTION("""COMPUTED_VALUE"""),8.0)</f>
        <v>8</v>
      </c>
      <c r="BF488" s="16">
        <f>IFERROR(__xludf.DUMMYFUNCTION("""COMPUTED_VALUE"""),5.0)</f>
        <v>5</v>
      </c>
      <c r="BG488" s="16">
        <f>IFERROR(__xludf.DUMMYFUNCTION("""COMPUTED_VALUE"""),-3.0)</f>
        <v>-3</v>
      </c>
      <c r="BH488" s="16">
        <f>IFERROR(__xludf.DUMMYFUNCTION("""COMPUTED_VALUE"""),-2.0)</f>
        <v>-2</v>
      </c>
      <c r="BI488" s="16">
        <f>IFERROR(__xludf.DUMMYFUNCTION("""COMPUTED_VALUE"""),-6.0)</f>
        <v>-6</v>
      </c>
      <c r="BJ488" s="16">
        <f>IFERROR(__xludf.DUMMYFUNCTION("""COMPUTED_VALUE"""),-4.0)</f>
        <v>-4</v>
      </c>
      <c r="BK488" s="16">
        <f>IFERROR(__xludf.DUMMYFUNCTION("""COMPUTED_VALUE"""),5.0)</f>
        <v>5</v>
      </c>
      <c r="BL488" s="16">
        <f>IFERROR(__xludf.DUMMYFUNCTION("""COMPUTED_VALUE"""),5.0)</f>
        <v>5</v>
      </c>
      <c r="BM488" s="16">
        <f>IFERROR(__xludf.DUMMYFUNCTION("""COMPUTED_VALUE"""),0.0)</f>
        <v>0</v>
      </c>
      <c r="BN488" s="16">
        <f>IFERROR(__xludf.DUMMYFUNCTION("""COMPUTED_VALUE"""),0.0)</f>
        <v>0</v>
      </c>
      <c r="BO488" s="16">
        <f>IFERROR(__xludf.DUMMYFUNCTION("""COMPUTED_VALUE"""),0.0)</f>
        <v>0</v>
      </c>
      <c r="BP488" s="16">
        <f>IFERROR(__xludf.DUMMYFUNCTION("""COMPUTED_VALUE"""),0.0)</f>
        <v>0</v>
      </c>
      <c r="BQ488" s="16">
        <f>IFERROR(__xludf.DUMMYFUNCTION("""COMPUTED_VALUE"""),0.0)</f>
        <v>0</v>
      </c>
      <c r="BR488" s="16">
        <f>IFERROR(__xludf.DUMMYFUNCTION("""COMPUTED_VALUE"""),0.0)</f>
        <v>0</v>
      </c>
      <c r="BS488" s="16">
        <f>IFERROR(__xludf.DUMMYFUNCTION("""COMPUTED_VALUE"""),-3.0)</f>
        <v>-3</v>
      </c>
      <c r="BT488" s="16">
        <f>IFERROR(__xludf.DUMMYFUNCTION("""COMPUTED_VALUE"""),-3.0)</f>
        <v>-3</v>
      </c>
      <c r="BU488" s="16">
        <f>IFERROR(__xludf.DUMMYFUNCTION("""COMPUTED_VALUE"""),-6.0)</f>
        <v>-6</v>
      </c>
      <c r="BV488" s="16">
        <f>IFERROR(__xludf.DUMMYFUNCTION("""COMPUTED_VALUE"""),-6.0)</f>
        <v>-6</v>
      </c>
      <c r="BW488" s="16">
        <f>IFERROR(__xludf.DUMMYFUNCTION("""COMPUTED_VALUE"""),-2.0)</f>
        <v>-2</v>
      </c>
      <c r="BX488" s="16">
        <f>IFERROR(__xludf.DUMMYFUNCTION("""COMPUTED_VALUE"""),-2.0)</f>
        <v>-2</v>
      </c>
      <c r="BY488" s="16" t="str">
        <f>IFERROR(__xludf.DUMMYFUNCTION("""COMPUTED_VALUE"""),"S(5)")</f>
        <v>S(5)</v>
      </c>
      <c r="BZ488" s="16" t="str">
        <f>IFERROR(__xludf.DUMMYFUNCTION("""COMPUTED_VALUE"""),"S(5)")</f>
        <v>S(5)</v>
      </c>
      <c r="CA488" s="16" t="str">
        <f>IFERROR(__xludf.DUMMYFUNCTION("""COMPUTED_VALUE"""),"S(5)")</f>
        <v>S(5)</v>
      </c>
      <c r="CB488" s="16"/>
      <c r="CC488" s="16"/>
      <c r="CD488" s="16">
        <f>IFERROR(__xludf.DUMMYFUNCTION("""COMPUTED_VALUE"""),5.0)</f>
        <v>5</v>
      </c>
      <c r="CE488" s="16"/>
      <c r="CF488" s="16"/>
      <c r="CG488" s="16" t="str">
        <f>IFERROR(__xludf.DUMMYFUNCTION("""COMPUTED_VALUE"""),"3-38")</f>
        <v>3-38</v>
      </c>
      <c r="CH488" s="16">
        <f>IFERROR(__xludf.DUMMYFUNCTION("""COMPUTED_VALUE"""),3.0)</f>
        <v>3</v>
      </c>
      <c r="CI488" s="16">
        <f>IFERROR(__xludf.DUMMYFUNCTION("""COMPUTED_VALUE"""),38.0)</f>
        <v>38</v>
      </c>
      <c r="CJ488" s="16">
        <f>IFERROR(__xludf.DUMMYFUNCTION("""COMPUTED_VALUE"""),0.0)</f>
        <v>0</v>
      </c>
      <c r="CK488" s="16">
        <f>IFERROR(__xludf.DUMMYFUNCTION("""COMPUTED_VALUE"""),5.0)</f>
        <v>5</v>
      </c>
      <c r="CL488" s="16" t="str">
        <f>IFERROR(__xludf.DUMMYFUNCTION("""COMPUTED_VALUE"""),"1WR-C")</f>
        <v>1WR-C</v>
      </c>
      <c r="CM488" s="16" t="str">
        <f>IFERROR(__xludf.DUMMYFUNCTION("""COMPUTED_VALUE"""),"E")</f>
        <v>E</v>
      </c>
      <c r="CN488" s="16">
        <f>IFERROR(__xludf.DUMMYFUNCTION("""COMPUTED_VALUE"""),10.0)</f>
        <v>10</v>
      </c>
      <c r="CO488" s="16" t="str">
        <f>IFERROR(__xludf.DUMMYFUNCTION("""COMPUTED_VALUE"""),"C")</f>
        <v>C</v>
      </c>
      <c r="CP488" s="16" t="str">
        <f>IFERROR(__xludf.DUMMYFUNCTION("""COMPUTED_VALUE"""),"1p20")</f>
        <v>1p20</v>
      </c>
      <c r="CQ488" s="16">
        <f>IFERROR(__xludf.DUMMYFUNCTION("""COMPUTED_VALUE"""),-46.0)</f>
        <v>-46</v>
      </c>
      <c r="CR488" s="16">
        <f>IFERROR(__xludf.DUMMYFUNCTION("""COMPUTED_VALUE"""),-33.0)</f>
        <v>-33</v>
      </c>
      <c r="CS488" s="16">
        <f>IFERROR(__xludf.DUMMYFUNCTION("""COMPUTED_VALUE"""),-79.0)</f>
        <v>-79</v>
      </c>
      <c r="CT488" s="16">
        <f>IFERROR(__xludf.DUMMYFUNCTION("""COMPUTED_VALUE"""),-46.0)</f>
        <v>-46</v>
      </c>
      <c r="CU488" s="16">
        <f>IFERROR(__xludf.DUMMYFUNCTION("""COMPUTED_VALUE"""),-33.0)</f>
        <v>-33</v>
      </c>
      <c r="CV488" s="179">
        <f>IFERROR(__xludf.DUMMYFUNCTION("""COMPUTED_VALUE"""),-34.666666666666664)</f>
        <v>-34.66666667</v>
      </c>
      <c r="CW488" s="179">
        <f>IFERROR(__xludf.DUMMYFUNCTION("""COMPUTED_VALUE"""),4.0)</f>
        <v>4</v>
      </c>
      <c r="CX488" s="179">
        <f>IFERROR(__xludf.DUMMYFUNCTION("""COMPUTED_VALUE"""),3.0)</f>
        <v>3</v>
      </c>
      <c r="CY488" s="16" t="str">
        <f>IFERROR(__xludf.DUMMYFUNCTION("""COMPUTED_VALUE"""),"SP")</f>
        <v>SP</v>
      </c>
      <c r="CZ488" s="16"/>
      <c r="DA488" s="16"/>
      <c r="DB488" s="16"/>
      <c r="DC488" s="16"/>
      <c r="DD488" s="16"/>
      <c r="DE488" s="16"/>
      <c r="DF488" s="16"/>
      <c r="DG488" s="16"/>
      <c r="DH488" s="16"/>
      <c r="DI488" s="16"/>
      <c r="DJ488" s="16"/>
      <c r="DK488" s="16"/>
    </row>
    <row r="489">
      <c r="A489" s="16">
        <f>IFERROR(__xludf.DUMMYFUNCTION("""COMPUTED_VALUE"""),12632.0)</f>
        <v>12632</v>
      </c>
      <c r="B489" s="16" t="str">
        <f>IFERROR(__xludf.DUMMYFUNCTION("""COMPUTED_VALUE"""),"Bryce Elder")</f>
        <v>Bryce Elder</v>
      </c>
      <c r="C489" s="153">
        <f>IFERROR(__xludf.DUMMYFUNCTION("""COMPUTED_VALUE"""),0.0)</f>
        <v>0</v>
      </c>
      <c r="D489" s="16"/>
      <c r="E489" s="16" t="str">
        <f>IFERROR(__xludf.DUMMYFUNCTION("""COMPUTED_VALUE"""),"R")</f>
        <v>R</v>
      </c>
      <c r="F489" s="16">
        <f>IFERROR(__xludf.DUMMYFUNCTION("""COMPUTED_VALUE"""),50.0)</f>
        <v>50</v>
      </c>
      <c r="G489" s="16">
        <f>IFERROR(__xludf.DUMMYFUNCTION("""COMPUTED_VALUE"""),11.0)</f>
        <v>11</v>
      </c>
      <c r="H489" s="16">
        <f>IFERROR(__xludf.DUMMYFUNCTION("""COMPUTED_VALUE"""),30.0)</f>
        <v>30</v>
      </c>
      <c r="I489" s="16">
        <f>IFERROR(__xludf.DUMMYFUNCTION("""COMPUTED_VALUE"""),-2.0)</f>
        <v>-2</v>
      </c>
      <c r="J489" s="16">
        <f>IFERROR(__xludf.DUMMYFUNCTION("""COMPUTED_VALUE"""),0.0)</f>
        <v>0</v>
      </c>
      <c r="K489" s="16">
        <f>IFERROR(__xludf.DUMMYFUNCTION("""COMPUTED_VALUE"""),-6.0)</f>
        <v>-6</v>
      </c>
      <c r="L489" s="16">
        <f>IFERROR(__xludf.DUMMYFUNCTION("""COMPUTED_VALUE"""),0.0)</f>
        <v>0</v>
      </c>
      <c r="M489" s="16">
        <f>IFERROR(__xludf.DUMMYFUNCTION("""COMPUTED_VALUE"""),10.0)</f>
        <v>10</v>
      </c>
      <c r="N489" s="16">
        <f>IFERROR(__xludf.DUMMYFUNCTION("""COMPUTED_VALUE"""),5.0)</f>
        <v>5</v>
      </c>
      <c r="O489" s="16">
        <f>IFERROR(__xludf.DUMMYFUNCTION("""COMPUTED_VALUE"""),0.0)</f>
        <v>0</v>
      </c>
      <c r="P489" s="16">
        <f>IFERROR(__xludf.DUMMYFUNCTION("""COMPUTED_VALUE"""),2.0)</f>
        <v>2</v>
      </c>
      <c r="Q489" s="16">
        <f>IFERROR(__xludf.DUMMYFUNCTION("""COMPUTED_VALUE"""),0.0)</f>
        <v>0</v>
      </c>
      <c r="R489" s="16">
        <f>IFERROR(__xludf.DUMMYFUNCTION("""COMPUTED_VALUE"""),2.0)</f>
        <v>2</v>
      </c>
      <c r="S489" s="16">
        <f>IFERROR(__xludf.DUMMYFUNCTION("""COMPUTED_VALUE"""),35.0)</f>
        <v>35</v>
      </c>
      <c r="T489" s="16">
        <f>IFERROR(__xludf.DUMMYFUNCTION("""COMPUTED_VALUE"""),27.5)</f>
        <v>27.5</v>
      </c>
      <c r="U489" s="16">
        <f>IFERROR(__xludf.DUMMYFUNCTION("""COMPUTED_VALUE"""),-3.0)</f>
        <v>-3</v>
      </c>
      <c r="V489" s="16">
        <f>IFERROR(__xludf.DUMMYFUNCTION("""COMPUTED_VALUE"""),-2.0)</f>
        <v>-2</v>
      </c>
      <c r="W489" s="16">
        <f>IFERROR(__xludf.DUMMYFUNCTION("""COMPUTED_VALUE"""),-6.0)</f>
        <v>-6</v>
      </c>
      <c r="X489" s="16">
        <f>IFERROR(__xludf.DUMMYFUNCTION("""COMPUTED_VALUE"""),-4.0)</f>
        <v>-4</v>
      </c>
      <c r="Y489" s="16">
        <f>IFERROR(__xludf.DUMMYFUNCTION("""COMPUTED_VALUE"""),45.0)</f>
        <v>45</v>
      </c>
      <c r="Z489" s="16">
        <f>IFERROR(__xludf.DUMMYFUNCTION("""COMPUTED_VALUE"""),32.5)</f>
        <v>32.5</v>
      </c>
      <c r="AA489" s="16">
        <f>IFERROR(__xludf.DUMMYFUNCTION("""COMPUTED_VALUE"""),-2.0)</f>
        <v>-2</v>
      </c>
      <c r="AB489" s="16">
        <f>IFERROR(__xludf.DUMMYFUNCTION("""COMPUTED_VALUE"""),-1.0)</f>
        <v>-1</v>
      </c>
      <c r="AC489" s="16">
        <f>IFERROR(__xludf.DUMMYFUNCTION("""COMPUTED_VALUE"""),-10.0)</f>
        <v>-10</v>
      </c>
      <c r="AD489" s="16">
        <f>IFERROR(__xludf.DUMMYFUNCTION("""COMPUTED_VALUE"""),-5.0)</f>
        <v>-5</v>
      </c>
      <c r="AE489" s="16">
        <f>IFERROR(__xludf.DUMMYFUNCTION("""COMPUTED_VALUE"""),51.9)</f>
        <v>51.9</v>
      </c>
      <c r="AF489" s="16">
        <f>IFERROR(__xludf.DUMMYFUNCTION("""COMPUTED_VALUE"""),45.9)</f>
        <v>45.9</v>
      </c>
      <c r="AG489" s="16">
        <f>IFERROR(__xludf.DUMMYFUNCTION("""COMPUTED_VALUE"""),-2.0)</f>
        <v>-2</v>
      </c>
      <c r="AH489" s="16">
        <f>IFERROR(__xludf.DUMMYFUNCTION("""COMPUTED_VALUE"""),-2.0)</f>
        <v>-2</v>
      </c>
      <c r="AI489" s="16">
        <f>IFERROR(__xludf.DUMMYFUNCTION("""COMPUTED_VALUE"""),-4.0)</f>
        <v>-4</v>
      </c>
      <c r="AJ489" s="16">
        <f>IFERROR(__xludf.DUMMYFUNCTION("""COMPUTED_VALUE"""),-4.0)</f>
        <v>-4</v>
      </c>
      <c r="AK489" s="16">
        <f>IFERROR(__xludf.DUMMYFUNCTION("""COMPUTED_VALUE"""),31.2)</f>
        <v>31.2</v>
      </c>
      <c r="AL489" s="16">
        <f>IFERROR(__xludf.DUMMYFUNCTION("""COMPUTED_VALUE"""),25.3)</f>
        <v>25.3</v>
      </c>
      <c r="AM489" s="16">
        <f>IFERROR(__xludf.DUMMYFUNCTION("""COMPUTED_VALUE"""),-3.0)</f>
        <v>-3</v>
      </c>
      <c r="AN489" s="16">
        <f>IFERROR(__xludf.DUMMYFUNCTION("""COMPUTED_VALUE"""),-2.0)</f>
        <v>-2</v>
      </c>
      <c r="AO489" s="16">
        <f>IFERROR(__xludf.DUMMYFUNCTION("""COMPUTED_VALUE"""),-3.0)</f>
        <v>-3</v>
      </c>
      <c r="AP489" s="16">
        <f>IFERROR(__xludf.DUMMYFUNCTION("""COMPUTED_VALUE"""),-2.0)</f>
        <v>-2</v>
      </c>
      <c r="AQ489" s="16">
        <f>IFERROR(__xludf.DUMMYFUNCTION("""COMPUTED_VALUE"""),36.7)</f>
        <v>36.7</v>
      </c>
      <c r="AR489" s="16">
        <f>IFERROR(__xludf.DUMMYFUNCTION("""COMPUTED_VALUE"""),37.099999999999994)</f>
        <v>37.1</v>
      </c>
      <c r="AS489" s="16">
        <f>IFERROR(__xludf.DUMMYFUNCTION("""COMPUTED_VALUE"""),-2.0)</f>
        <v>-2</v>
      </c>
      <c r="AT489" s="16">
        <f>IFERROR(__xludf.DUMMYFUNCTION("""COMPUTED_VALUE"""),-2.0)</f>
        <v>-2</v>
      </c>
      <c r="AU489" s="16">
        <f>IFERROR(__xludf.DUMMYFUNCTION("""COMPUTED_VALUE"""),-4.0)</f>
        <v>-4</v>
      </c>
      <c r="AV489" s="16">
        <f>IFERROR(__xludf.DUMMYFUNCTION("""COMPUTED_VALUE"""),-4.0)</f>
        <v>-4</v>
      </c>
      <c r="AW489" s="16">
        <f>IFERROR(__xludf.DUMMYFUNCTION("""COMPUTED_VALUE"""),3.8)</f>
        <v>3.8</v>
      </c>
      <c r="AX489" s="16">
        <f>IFERROR(__xludf.DUMMYFUNCTION("""COMPUTED_VALUE"""),2.2)</f>
        <v>2.2</v>
      </c>
      <c r="AY489" s="16">
        <f>IFERROR(__xludf.DUMMYFUNCTION("""COMPUTED_VALUE"""),-2.0)</f>
        <v>-2</v>
      </c>
      <c r="AZ489" s="16">
        <f>IFERROR(__xludf.DUMMYFUNCTION("""COMPUTED_VALUE"""),0.0)</f>
        <v>0</v>
      </c>
      <c r="BA489" s="16">
        <f>IFERROR(__xludf.DUMMYFUNCTION("""COMPUTED_VALUE"""),-10.0)</f>
        <v>-10</v>
      </c>
      <c r="BB489" s="16">
        <f>IFERROR(__xludf.DUMMYFUNCTION("""COMPUTED_VALUE"""),0.0)</f>
        <v>0</v>
      </c>
      <c r="BC489" s="16">
        <f>IFERROR(__xludf.DUMMYFUNCTION("""COMPUTED_VALUE"""),7.0)</f>
        <v>7</v>
      </c>
      <c r="BD489" s="16">
        <f>IFERROR(__xludf.DUMMYFUNCTION("""COMPUTED_VALUE"""),4.0)</f>
        <v>4</v>
      </c>
      <c r="BE489" s="16">
        <f>IFERROR(__xludf.DUMMYFUNCTION("""COMPUTED_VALUE"""),7.0)</f>
        <v>7</v>
      </c>
      <c r="BF489" s="16">
        <f>IFERROR(__xludf.DUMMYFUNCTION("""COMPUTED_VALUE"""),4.0)</f>
        <v>4</v>
      </c>
      <c r="BG489" s="16">
        <f>IFERROR(__xludf.DUMMYFUNCTION("""COMPUTED_VALUE"""),-3.0)</f>
        <v>-3</v>
      </c>
      <c r="BH489" s="16">
        <f>IFERROR(__xludf.DUMMYFUNCTION("""COMPUTED_VALUE"""),-1.0)</f>
        <v>-1</v>
      </c>
      <c r="BI489" s="16">
        <f>IFERROR(__xludf.DUMMYFUNCTION("""COMPUTED_VALUE"""),-6.0)</f>
        <v>-6</v>
      </c>
      <c r="BJ489" s="16">
        <f>IFERROR(__xludf.DUMMYFUNCTION("""COMPUTED_VALUE"""),-2.0)</f>
        <v>-2</v>
      </c>
      <c r="BK489" s="16">
        <f>IFERROR(__xludf.DUMMYFUNCTION("""COMPUTED_VALUE"""),5.0)</f>
        <v>5</v>
      </c>
      <c r="BL489" s="16">
        <f>IFERROR(__xludf.DUMMYFUNCTION("""COMPUTED_VALUE"""),5.0)</f>
        <v>5</v>
      </c>
      <c r="BM489" s="16">
        <f>IFERROR(__xludf.DUMMYFUNCTION("""COMPUTED_VALUE"""),0.0)</f>
        <v>0</v>
      </c>
      <c r="BN489" s="16">
        <f>IFERROR(__xludf.DUMMYFUNCTION("""COMPUTED_VALUE"""),0.0)</f>
        <v>0</v>
      </c>
      <c r="BO489" s="16">
        <f>IFERROR(__xludf.DUMMYFUNCTION("""COMPUTED_VALUE"""),0.0)</f>
        <v>0</v>
      </c>
      <c r="BP489" s="16">
        <f>IFERROR(__xludf.DUMMYFUNCTION("""COMPUTED_VALUE"""),0.0)</f>
        <v>0</v>
      </c>
      <c r="BQ489" s="16">
        <f>IFERROR(__xludf.DUMMYFUNCTION("""COMPUTED_VALUE"""),3.0)</f>
        <v>3</v>
      </c>
      <c r="BR489" s="16">
        <f>IFERROR(__xludf.DUMMYFUNCTION("""COMPUTED_VALUE"""),4.0)</f>
        <v>4</v>
      </c>
      <c r="BS489" s="16">
        <f>IFERROR(__xludf.DUMMYFUNCTION("""COMPUTED_VALUE"""),-1.0)</f>
        <v>-1</v>
      </c>
      <c r="BT489" s="16">
        <f>IFERROR(__xludf.DUMMYFUNCTION("""COMPUTED_VALUE"""),-1.0)</f>
        <v>-1</v>
      </c>
      <c r="BU489" s="16">
        <f>IFERROR(__xludf.DUMMYFUNCTION("""COMPUTED_VALUE"""),-2.0)</f>
        <v>-2</v>
      </c>
      <c r="BV489" s="16">
        <f>IFERROR(__xludf.DUMMYFUNCTION("""COMPUTED_VALUE"""),-2.0)</f>
        <v>-2</v>
      </c>
      <c r="BW489" s="16">
        <f>IFERROR(__xludf.DUMMYFUNCTION("""COMPUTED_VALUE"""),8.0)</f>
        <v>8</v>
      </c>
      <c r="BX489" s="16">
        <f>IFERROR(__xludf.DUMMYFUNCTION("""COMPUTED_VALUE"""),8.0)</f>
        <v>8</v>
      </c>
      <c r="BY489" s="16" t="str">
        <f>IFERROR(__xludf.DUMMYFUNCTION("""COMPUTED_VALUE"""),"S(5)")</f>
        <v>S(5)</v>
      </c>
      <c r="BZ489" s="16" t="str">
        <f>IFERROR(__xludf.DUMMYFUNCTION("""COMPUTED_VALUE"""),"S(5)")</f>
        <v>S(5)</v>
      </c>
      <c r="CA489" s="16" t="str">
        <f>IFERROR(__xludf.DUMMYFUNCTION("""COMPUTED_VALUE"""),"S(5)")</f>
        <v>S(5)</v>
      </c>
      <c r="CB489" s="16"/>
      <c r="CC489" s="16"/>
      <c r="CD489" s="16">
        <f>IFERROR(__xludf.DUMMYFUNCTION("""COMPUTED_VALUE"""),5.0)</f>
        <v>5</v>
      </c>
      <c r="CE489" s="16"/>
      <c r="CF489" s="16"/>
      <c r="CG489" s="16" t="str">
        <f>IFERROR(__xludf.DUMMYFUNCTION("""COMPUTED_VALUE"""),"4-0")</f>
        <v>4-0</v>
      </c>
      <c r="CH489" s="16">
        <f>IFERROR(__xludf.DUMMYFUNCTION("""COMPUTED_VALUE"""),4.0)</f>
        <v>4</v>
      </c>
      <c r="CI489" s="16">
        <f>IFERROR(__xludf.DUMMYFUNCTION("""COMPUTED_VALUE"""),0.0)</f>
        <v>0</v>
      </c>
      <c r="CJ489" s="16">
        <f>IFERROR(__xludf.DUMMYFUNCTION("""COMPUTED_VALUE"""),0.0)</f>
        <v>0</v>
      </c>
      <c r="CK489" s="16">
        <f>IFERROR(__xludf.DUMMYFUNCTION("""COMPUTED_VALUE"""),12.0)</f>
        <v>12</v>
      </c>
      <c r="CL489" s="16" t="str">
        <f>IFERROR(__xludf.DUMMYFUNCTION("""COMPUTED_VALUE"""),"1WR-C")</f>
        <v>1WR-C</v>
      </c>
      <c r="CM489" s="16" t="str">
        <f>IFERROR(__xludf.DUMMYFUNCTION("""COMPUTED_VALUE"""),"E")</f>
        <v>E</v>
      </c>
      <c r="CN489" s="16">
        <f>IFERROR(__xludf.DUMMYFUNCTION("""COMPUTED_VALUE"""),10.0)</f>
        <v>10</v>
      </c>
      <c r="CO489" s="16" t="str">
        <f>IFERROR(__xludf.DUMMYFUNCTION("""COMPUTED_VALUE"""),"C")</f>
        <v>C</v>
      </c>
      <c r="CP489" s="16" t="str">
        <f>IFERROR(__xludf.DUMMYFUNCTION("""COMPUTED_VALUE"""),"1p30")</f>
        <v>1p30</v>
      </c>
      <c r="CQ489" s="16">
        <f>IFERROR(__xludf.DUMMYFUNCTION("""COMPUTED_VALUE"""),-51.0)</f>
        <v>-51</v>
      </c>
      <c r="CR489" s="16">
        <f>IFERROR(__xludf.DUMMYFUNCTION("""COMPUTED_VALUE"""),-21.0)</f>
        <v>-21</v>
      </c>
      <c r="CS489" s="16">
        <f>IFERROR(__xludf.DUMMYFUNCTION("""COMPUTED_VALUE"""),-72.0)</f>
        <v>-72</v>
      </c>
      <c r="CT489" s="16">
        <f>IFERROR(__xludf.DUMMYFUNCTION("""COMPUTED_VALUE"""),-51.0)</f>
        <v>-51</v>
      </c>
      <c r="CU489" s="16">
        <f>IFERROR(__xludf.DUMMYFUNCTION("""COMPUTED_VALUE"""),-21.0)</f>
        <v>-21</v>
      </c>
      <c r="CV489" s="179">
        <f>IFERROR(__xludf.DUMMYFUNCTION("""COMPUTED_VALUE"""),-35.0)</f>
        <v>-35</v>
      </c>
      <c r="CW489" s="179">
        <f>IFERROR(__xludf.DUMMYFUNCTION("""COMPUTED_VALUE"""),4.0)</f>
        <v>4</v>
      </c>
      <c r="CX489" s="179">
        <f>IFERROR(__xludf.DUMMYFUNCTION("""COMPUTED_VALUE"""),2.0)</f>
        <v>2</v>
      </c>
      <c r="CY489" s="16" t="str">
        <f>IFERROR(__xludf.DUMMYFUNCTION("""COMPUTED_VALUE"""),"SP")</f>
        <v>SP</v>
      </c>
      <c r="CZ489" s="16"/>
      <c r="DA489" s="16"/>
      <c r="DB489" s="16"/>
      <c r="DC489" s="16"/>
      <c r="DD489" s="16"/>
      <c r="DE489" s="16"/>
      <c r="DF489" s="16"/>
      <c r="DG489" s="16"/>
      <c r="DH489" s="16"/>
      <c r="DI489" s="16"/>
      <c r="DJ489" s="16"/>
      <c r="DK489" s="16"/>
    </row>
    <row r="490">
      <c r="A490" s="16">
        <f>IFERROR(__xludf.DUMMYFUNCTION("""COMPUTED_VALUE"""),12892.0)</f>
        <v>12892</v>
      </c>
      <c r="B490" s="16" t="str">
        <f>IFERROR(__xludf.DUMMYFUNCTION("""COMPUTED_VALUE"""),"Jack Leiter")</f>
        <v>Jack Leiter</v>
      </c>
      <c r="C490" s="153">
        <f>IFERROR(__xludf.DUMMYFUNCTION("""COMPUTED_VALUE"""),0.0)</f>
        <v>0</v>
      </c>
      <c r="D490" s="16"/>
      <c r="E490" s="16" t="str">
        <f>IFERROR(__xludf.DUMMYFUNCTION("""COMPUTED_VALUE"""),"R")</f>
        <v>R</v>
      </c>
      <c r="F490" s="16">
        <f>IFERROR(__xludf.DUMMYFUNCTION("""COMPUTED_VALUE"""),36.0)</f>
        <v>36</v>
      </c>
      <c r="G490" s="16">
        <f>IFERROR(__xludf.DUMMYFUNCTION("""COMPUTED_VALUE"""),9.0)</f>
        <v>9</v>
      </c>
      <c r="H490" s="16">
        <f>IFERROR(__xludf.DUMMYFUNCTION("""COMPUTED_VALUE"""),18.0)</f>
        <v>18</v>
      </c>
      <c r="I490" s="16">
        <f>IFERROR(__xludf.DUMMYFUNCTION("""COMPUTED_VALUE"""),-2.0)</f>
        <v>-2</v>
      </c>
      <c r="J490" s="16">
        <f>IFERROR(__xludf.DUMMYFUNCTION("""COMPUTED_VALUE"""),-1.0)</f>
        <v>-1</v>
      </c>
      <c r="K490" s="16">
        <f>IFERROR(__xludf.DUMMYFUNCTION("""COMPUTED_VALUE"""),-6.0)</f>
        <v>-6</v>
      </c>
      <c r="L490" s="16">
        <f>IFERROR(__xludf.DUMMYFUNCTION("""COMPUTED_VALUE"""),-3.0)</f>
        <v>-3</v>
      </c>
      <c r="M490" s="16">
        <f>IFERROR(__xludf.DUMMYFUNCTION("""COMPUTED_VALUE"""),16.0)</f>
        <v>16</v>
      </c>
      <c r="N490" s="16">
        <f>IFERROR(__xludf.DUMMYFUNCTION("""COMPUTED_VALUE"""),11.0)</f>
        <v>11</v>
      </c>
      <c r="O490" s="16">
        <f>IFERROR(__xludf.DUMMYFUNCTION("""COMPUTED_VALUE"""),-2.0)</f>
        <v>-2</v>
      </c>
      <c r="P490" s="16">
        <f>IFERROR(__xludf.DUMMYFUNCTION("""COMPUTED_VALUE"""),-1.0)</f>
        <v>-1</v>
      </c>
      <c r="Q490" s="16">
        <f>IFERROR(__xludf.DUMMYFUNCTION("""COMPUTED_VALUE"""),-2.0)</f>
        <v>-2</v>
      </c>
      <c r="R490" s="16">
        <f>IFERROR(__xludf.DUMMYFUNCTION("""COMPUTED_VALUE"""),-1.0)</f>
        <v>-1</v>
      </c>
      <c r="S490" s="16">
        <f>IFERROR(__xludf.DUMMYFUNCTION("""COMPUTED_VALUE"""),20.1)</f>
        <v>20.1</v>
      </c>
      <c r="T490" s="16">
        <f>IFERROR(__xludf.DUMMYFUNCTION("""COMPUTED_VALUE"""),31.5)</f>
        <v>31.5</v>
      </c>
      <c r="U490" s="16">
        <f>IFERROR(__xludf.DUMMYFUNCTION("""COMPUTED_VALUE"""),-1.0)</f>
        <v>-1</v>
      </c>
      <c r="V490" s="16">
        <f>IFERROR(__xludf.DUMMYFUNCTION("""COMPUTED_VALUE"""),-2.0)</f>
        <v>-2</v>
      </c>
      <c r="W490" s="16">
        <f>IFERROR(__xludf.DUMMYFUNCTION("""COMPUTED_VALUE"""),-2.0)</f>
        <v>-2</v>
      </c>
      <c r="X490" s="16">
        <f>IFERROR(__xludf.DUMMYFUNCTION("""COMPUTED_VALUE"""),-4.0)</f>
        <v>-4</v>
      </c>
      <c r="Y490" s="16">
        <f>IFERROR(__xludf.DUMMYFUNCTION("""COMPUTED_VALUE"""),36.2)</f>
        <v>36.2</v>
      </c>
      <c r="Z490" s="16">
        <f>IFERROR(__xludf.DUMMYFUNCTION("""COMPUTED_VALUE"""),42.5)</f>
        <v>42.5</v>
      </c>
      <c r="AA490" s="16">
        <f>IFERROR(__xludf.DUMMYFUNCTION("""COMPUTED_VALUE"""),-1.0)</f>
        <v>-1</v>
      </c>
      <c r="AB490" s="16">
        <f>IFERROR(__xludf.DUMMYFUNCTION("""COMPUTED_VALUE"""),-2.0)</f>
        <v>-2</v>
      </c>
      <c r="AC490" s="16">
        <f>IFERROR(__xludf.DUMMYFUNCTION("""COMPUTED_VALUE"""),-5.0)</f>
        <v>-5</v>
      </c>
      <c r="AD490" s="16">
        <f>IFERROR(__xludf.DUMMYFUNCTION("""COMPUTED_VALUE"""),-10.0)</f>
        <v>-10</v>
      </c>
      <c r="AE490" s="16">
        <f>IFERROR(__xludf.DUMMYFUNCTION("""COMPUTED_VALUE"""),39.8)</f>
        <v>39.8</v>
      </c>
      <c r="AF490" s="16">
        <f>IFERROR(__xludf.DUMMYFUNCTION("""COMPUTED_VALUE"""),55.8)</f>
        <v>55.8</v>
      </c>
      <c r="AG490" s="16">
        <f>IFERROR(__xludf.DUMMYFUNCTION("""COMPUTED_VALUE"""),-1.0)</f>
        <v>-1</v>
      </c>
      <c r="AH490" s="16">
        <f>IFERROR(__xludf.DUMMYFUNCTION("""COMPUTED_VALUE"""),-3.0)</f>
        <v>-3</v>
      </c>
      <c r="AI490" s="16">
        <f>IFERROR(__xludf.DUMMYFUNCTION("""COMPUTED_VALUE"""),-2.0)</f>
        <v>-2</v>
      </c>
      <c r="AJ490" s="16">
        <f>IFERROR(__xludf.DUMMYFUNCTION("""COMPUTED_VALUE"""),-6.0)</f>
        <v>-6</v>
      </c>
      <c r="AK490" s="16">
        <f>IFERROR(__xludf.DUMMYFUNCTION("""COMPUTED_VALUE"""),17.700000000000003)</f>
        <v>17.7</v>
      </c>
      <c r="AL490" s="16">
        <f>IFERROR(__xludf.DUMMYFUNCTION("""COMPUTED_VALUE"""),27.2)</f>
        <v>27.2</v>
      </c>
      <c r="AM490" s="16">
        <f>IFERROR(__xludf.DUMMYFUNCTION("""COMPUTED_VALUE"""),-1.0)</f>
        <v>-1</v>
      </c>
      <c r="AN490" s="16">
        <f>IFERROR(__xludf.DUMMYFUNCTION("""COMPUTED_VALUE"""),-2.0)</f>
        <v>-2</v>
      </c>
      <c r="AO490" s="16">
        <f>IFERROR(__xludf.DUMMYFUNCTION("""COMPUTED_VALUE"""),-1.0)</f>
        <v>-1</v>
      </c>
      <c r="AP490" s="16">
        <f>IFERROR(__xludf.DUMMYFUNCTION("""COMPUTED_VALUE"""),-2.0)</f>
        <v>-2</v>
      </c>
      <c r="AQ490" s="16">
        <f>IFERROR(__xludf.DUMMYFUNCTION("""COMPUTED_VALUE"""),30.199999999999996)</f>
        <v>30.2</v>
      </c>
      <c r="AR490" s="16">
        <f>IFERROR(__xludf.DUMMYFUNCTION("""COMPUTED_VALUE"""),38.599999999999994)</f>
        <v>38.6</v>
      </c>
      <c r="AS490" s="16">
        <f>IFERROR(__xludf.DUMMYFUNCTION("""COMPUTED_VALUE"""),-1.0)</f>
        <v>-1</v>
      </c>
      <c r="AT490" s="16">
        <f>IFERROR(__xludf.DUMMYFUNCTION("""COMPUTED_VALUE"""),-2.0)</f>
        <v>-2</v>
      </c>
      <c r="AU490" s="16">
        <f>IFERROR(__xludf.DUMMYFUNCTION("""COMPUTED_VALUE"""),-2.0)</f>
        <v>-2</v>
      </c>
      <c r="AV490" s="16">
        <f>IFERROR(__xludf.DUMMYFUNCTION("""COMPUTED_VALUE"""),-4.0)</f>
        <v>-4</v>
      </c>
      <c r="AW490" s="16">
        <f>IFERROR(__xludf.DUMMYFUNCTION("""COMPUTED_VALUE"""),2.4)</f>
        <v>2.4</v>
      </c>
      <c r="AX490" s="16">
        <f>IFERROR(__xludf.DUMMYFUNCTION("""COMPUTED_VALUE"""),4.3)</f>
        <v>4.3</v>
      </c>
      <c r="AY490" s="16">
        <f>IFERROR(__xludf.DUMMYFUNCTION("""COMPUTED_VALUE"""),0.0)</f>
        <v>0</v>
      </c>
      <c r="AZ490" s="16">
        <f>IFERROR(__xludf.DUMMYFUNCTION("""COMPUTED_VALUE"""),-2.0)</f>
        <v>-2</v>
      </c>
      <c r="BA490" s="16">
        <f>IFERROR(__xludf.DUMMYFUNCTION("""COMPUTED_VALUE"""),0.0)</f>
        <v>0</v>
      </c>
      <c r="BB490" s="16">
        <f>IFERROR(__xludf.DUMMYFUNCTION("""COMPUTED_VALUE"""),-10.0)</f>
        <v>-10</v>
      </c>
      <c r="BC490" s="16">
        <f>IFERROR(__xludf.DUMMYFUNCTION("""COMPUTED_VALUE"""),3.0)</f>
        <v>3</v>
      </c>
      <c r="BD490" s="16">
        <f>IFERROR(__xludf.DUMMYFUNCTION("""COMPUTED_VALUE"""),6.0)</f>
        <v>6</v>
      </c>
      <c r="BE490" s="16">
        <f>IFERROR(__xludf.DUMMYFUNCTION("""COMPUTED_VALUE"""),3.0)</f>
        <v>3</v>
      </c>
      <c r="BF490" s="16">
        <f>IFERROR(__xludf.DUMMYFUNCTION("""COMPUTED_VALUE"""),6.0)</f>
        <v>6</v>
      </c>
      <c r="BG490" s="16">
        <f>IFERROR(__xludf.DUMMYFUNCTION("""COMPUTED_VALUE"""),0.0)</f>
        <v>0</v>
      </c>
      <c r="BH490" s="16">
        <f>IFERROR(__xludf.DUMMYFUNCTION("""COMPUTED_VALUE"""),-2.0)</f>
        <v>-2</v>
      </c>
      <c r="BI490" s="16">
        <f>IFERROR(__xludf.DUMMYFUNCTION("""COMPUTED_VALUE"""),0.0)</f>
        <v>0</v>
      </c>
      <c r="BJ490" s="16">
        <f>IFERROR(__xludf.DUMMYFUNCTION("""COMPUTED_VALUE"""),-4.0)</f>
        <v>-4</v>
      </c>
      <c r="BK490" s="16">
        <f>IFERROR(__xludf.DUMMYFUNCTION("""COMPUTED_VALUE"""),5.0)</f>
        <v>5</v>
      </c>
      <c r="BL490" s="16">
        <f>IFERROR(__xludf.DUMMYFUNCTION("""COMPUTED_VALUE"""),5.0)</f>
        <v>5</v>
      </c>
      <c r="BM490" s="16">
        <f>IFERROR(__xludf.DUMMYFUNCTION("""COMPUTED_VALUE"""),0.0)</f>
        <v>0</v>
      </c>
      <c r="BN490" s="16">
        <f>IFERROR(__xludf.DUMMYFUNCTION("""COMPUTED_VALUE"""),0.0)</f>
        <v>0</v>
      </c>
      <c r="BO490" s="16">
        <f>IFERROR(__xludf.DUMMYFUNCTION("""COMPUTED_VALUE"""),0.0)</f>
        <v>0</v>
      </c>
      <c r="BP490" s="16">
        <f>IFERROR(__xludf.DUMMYFUNCTION("""COMPUTED_VALUE"""),0.0)</f>
        <v>0</v>
      </c>
      <c r="BQ490" s="16">
        <f>IFERROR(__xludf.DUMMYFUNCTION("""COMPUTED_VALUE"""),0.0)</f>
        <v>0</v>
      </c>
      <c r="BR490" s="16">
        <f>IFERROR(__xludf.DUMMYFUNCTION("""COMPUTED_VALUE"""),0.0)</f>
        <v>0</v>
      </c>
      <c r="BS490" s="16">
        <f>IFERROR(__xludf.DUMMYFUNCTION("""COMPUTED_VALUE"""),-3.0)</f>
        <v>-3</v>
      </c>
      <c r="BT490" s="16">
        <f>IFERROR(__xludf.DUMMYFUNCTION("""COMPUTED_VALUE"""),-3.0)</f>
        <v>-3</v>
      </c>
      <c r="BU490" s="16">
        <f>IFERROR(__xludf.DUMMYFUNCTION("""COMPUTED_VALUE"""),-6.0)</f>
        <v>-6</v>
      </c>
      <c r="BV490" s="16">
        <f>IFERROR(__xludf.DUMMYFUNCTION("""COMPUTED_VALUE"""),-6.0)</f>
        <v>-6</v>
      </c>
      <c r="BW490" s="16">
        <f>IFERROR(__xludf.DUMMYFUNCTION("""COMPUTED_VALUE"""),1.0)</f>
        <v>1</v>
      </c>
      <c r="BX490" s="16">
        <f>IFERROR(__xludf.DUMMYFUNCTION("""COMPUTED_VALUE"""),1.0)</f>
        <v>1</v>
      </c>
      <c r="BY490" s="16" t="str">
        <f>IFERROR(__xludf.DUMMYFUNCTION("""COMPUTED_VALUE"""),"S(4) R(4)")</f>
        <v>S(4) R(4)</v>
      </c>
      <c r="BZ490" s="16" t="str">
        <f>IFERROR(__xludf.DUMMYFUNCTION("""COMPUTED_VALUE"""),"S(4) R(4)")</f>
        <v>S(4) R(4)</v>
      </c>
      <c r="CA490" s="16" t="str">
        <f>IFERROR(__xludf.DUMMYFUNCTION("""COMPUTED_VALUE"""),"S(4)")</f>
        <v>S(4)</v>
      </c>
      <c r="CB490" s="16" t="str">
        <f>IFERROR(__xludf.DUMMYFUNCTION("""COMPUTED_VALUE"""),"R(4)")</f>
        <v>R(4)</v>
      </c>
      <c r="CC490" s="16"/>
      <c r="CD490" s="16">
        <f>IFERROR(__xludf.DUMMYFUNCTION("""COMPUTED_VALUE"""),4.0)</f>
        <v>4</v>
      </c>
      <c r="CE490" s="16">
        <f>IFERROR(__xludf.DUMMYFUNCTION("""COMPUTED_VALUE"""),4.0)</f>
        <v>4</v>
      </c>
      <c r="CF490" s="16"/>
      <c r="CG490" s="16" t="str">
        <f>IFERROR(__xludf.DUMMYFUNCTION("""COMPUTED_VALUE"""),"3-0")</f>
        <v>3-0</v>
      </c>
      <c r="CH490" s="16">
        <f>IFERROR(__xludf.DUMMYFUNCTION("""COMPUTED_VALUE"""),3.0)</f>
        <v>3</v>
      </c>
      <c r="CI490" s="16">
        <f>IFERROR(__xludf.DUMMYFUNCTION("""COMPUTED_VALUE"""),0.0)</f>
        <v>0</v>
      </c>
      <c r="CJ490" s="16">
        <f>IFERROR(__xludf.DUMMYFUNCTION("""COMPUTED_VALUE"""),0.0)</f>
        <v>0</v>
      </c>
      <c r="CK490" s="16">
        <f>IFERROR(__xludf.DUMMYFUNCTION("""COMPUTED_VALUE"""),16.0)</f>
        <v>16</v>
      </c>
      <c r="CL490" s="16" t="str">
        <f>IFERROR(__xludf.DUMMYFUNCTION("""COMPUTED_VALUE"""),"1WR-C")</f>
        <v>1WR-C</v>
      </c>
      <c r="CM490" s="16" t="str">
        <f>IFERROR(__xludf.DUMMYFUNCTION("""COMPUTED_VALUE"""),"E")</f>
        <v>E</v>
      </c>
      <c r="CN490" s="16">
        <f>IFERROR(__xludf.DUMMYFUNCTION("""COMPUTED_VALUE"""),10.0)</f>
        <v>10</v>
      </c>
      <c r="CO490" s="16" t="str">
        <f>IFERROR(__xludf.DUMMYFUNCTION("""COMPUTED_VALUE"""),"C")</f>
        <v>C</v>
      </c>
      <c r="CP490" s="16" t="str">
        <f>IFERROR(__xludf.DUMMYFUNCTION("""COMPUTED_VALUE"""),"1p20")</f>
        <v>1p20</v>
      </c>
      <c r="CQ490" s="16">
        <f>IFERROR(__xludf.DUMMYFUNCTION("""COMPUTED_VALUE"""),-26.0)</f>
        <v>-26</v>
      </c>
      <c r="CR490" s="16">
        <f>IFERROR(__xludf.DUMMYFUNCTION("""COMPUTED_VALUE"""),-50.0)</f>
        <v>-50</v>
      </c>
      <c r="CS490" s="16">
        <f>IFERROR(__xludf.DUMMYFUNCTION("""COMPUTED_VALUE"""),-76.0)</f>
        <v>-76</v>
      </c>
      <c r="CT490" s="16">
        <f>IFERROR(__xludf.DUMMYFUNCTION("""COMPUTED_VALUE"""),-26.0)</f>
        <v>-26</v>
      </c>
      <c r="CU490" s="16">
        <f>IFERROR(__xludf.DUMMYFUNCTION("""COMPUTED_VALUE"""),-50.0)</f>
        <v>-50</v>
      </c>
      <c r="CV490" s="179">
        <f>IFERROR(__xludf.DUMMYFUNCTION("""COMPUTED_VALUE"""),-35.0)</f>
        <v>-35</v>
      </c>
      <c r="CW490" s="179">
        <f>IFERROR(__xludf.DUMMYFUNCTION("""COMPUTED_VALUE"""),4.0)</f>
        <v>4</v>
      </c>
      <c r="CX490" s="179">
        <f>IFERROR(__xludf.DUMMYFUNCTION("""COMPUTED_VALUE"""),3.0)</f>
        <v>3</v>
      </c>
      <c r="CY490" s="16" t="str">
        <f>IFERROR(__xludf.DUMMYFUNCTION("""COMPUTED_VALUE"""),"SP")</f>
        <v>SP</v>
      </c>
      <c r="CZ490" s="16" t="str">
        <f>IFERROR(__xludf.DUMMYFUNCTION("""COMPUTED_VALUE"""),"RP")</f>
        <v>RP</v>
      </c>
      <c r="DA490" s="16"/>
      <c r="DB490" s="16"/>
      <c r="DC490" s="16"/>
      <c r="DD490" s="16"/>
      <c r="DE490" s="16"/>
      <c r="DF490" s="16"/>
      <c r="DG490" s="16"/>
      <c r="DH490" s="16"/>
      <c r="DI490" s="16"/>
      <c r="DJ490" s="16"/>
      <c r="DK490" s="16"/>
    </row>
    <row r="491">
      <c r="A491" s="16">
        <f>IFERROR(__xludf.DUMMYFUNCTION("""COMPUTED_VALUE"""),12848.0)</f>
        <v>12848</v>
      </c>
      <c r="B491" s="16" t="str">
        <f>IFERROR(__xludf.DUMMYFUNCTION("""COMPUTED_VALUE"""),"Giovanny Gallegos")</f>
        <v>Giovanny Gallegos</v>
      </c>
      <c r="C491" s="153">
        <f>IFERROR(__xludf.DUMMYFUNCTION("""COMPUTED_VALUE"""),0.0)</f>
        <v>0</v>
      </c>
      <c r="D491" s="16"/>
      <c r="E491" s="16" t="str">
        <f>IFERROR(__xludf.DUMMYFUNCTION("""COMPUTED_VALUE"""),"R")</f>
        <v>R</v>
      </c>
      <c r="F491" s="16">
        <f>IFERROR(__xludf.DUMMYFUNCTION("""COMPUTED_VALUE"""),21.0)</f>
        <v>21</v>
      </c>
      <c r="G491" s="16">
        <f>IFERROR(__xludf.DUMMYFUNCTION("""COMPUTED_VALUE"""),23.0)</f>
        <v>23</v>
      </c>
      <c r="H491" s="16">
        <f>IFERROR(__xludf.DUMMYFUNCTION("""COMPUTED_VALUE"""),22.0)</f>
        <v>22</v>
      </c>
      <c r="I491" s="16">
        <f>IFERROR(__xludf.DUMMYFUNCTION("""COMPUTED_VALUE"""),-1.0)</f>
        <v>-1</v>
      </c>
      <c r="J491" s="16">
        <f>IFERROR(__xludf.DUMMYFUNCTION("""COMPUTED_VALUE"""),-1.0)</f>
        <v>-1</v>
      </c>
      <c r="K491" s="16">
        <f>IFERROR(__xludf.DUMMYFUNCTION("""COMPUTED_VALUE"""),-3.0)</f>
        <v>-3</v>
      </c>
      <c r="L491" s="16">
        <f>IFERROR(__xludf.DUMMYFUNCTION("""COMPUTED_VALUE"""),-3.0)</f>
        <v>-3</v>
      </c>
      <c r="M491" s="16">
        <f>IFERROR(__xludf.DUMMYFUNCTION("""COMPUTED_VALUE"""),2.0)</f>
        <v>2</v>
      </c>
      <c r="N491" s="16">
        <f>IFERROR(__xludf.DUMMYFUNCTION("""COMPUTED_VALUE"""),22.0)</f>
        <v>22</v>
      </c>
      <c r="O491" s="16">
        <f>IFERROR(__xludf.DUMMYFUNCTION("""COMPUTED_VALUE"""),2.0)</f>
        <v>2</v>
      </c>
      <c r="P491" s="16">
        <f>IFERROR(__xludf.DUMMYFUNCTION("""COMPUTED_VALUE"""),-3.0)</f>
        <v>-3</v>
      </c>
      <c r="Q491" s="16">
        <f>IFERROR(__xludf.DUMMYFUNCTION("""COMPUTED_VALUE"""),2.0)</f>
        <v>2</v>
      </c>
      <c r="R491" s="16">
        <f>IFERROR(__xludf.DUMMYFUNCTION("""COMPUTED_VALUE"""),-3.0)</f>
        <v>-3</v>
      </c>
      <c r="S491" s="16">
        <f>IFERROR(__xludf.DUMMYFUNCTION("""COMPUTED_VALUE"""),26.8)</f>
        <v>26.8</v>
      </c>
      <c r="T491" s="16">
        <f>IFERROR(__xludf.DUMMYFUNCTION("""COMPUTED_VALUE"""),21.7)</f>
        <v>21.7</v>
      </c>
      <c r="U491" s="16">
        <f>IFERROR(__xludf.DUMMYFUNCTION("""COMPUTED_VALUE"""),-2.0)</f>
        <v>-2</v>
      </c>
      <c r="V491" s="16">
        <f>IFERROR(__xludf.DUMMYFUNCTION("""COMPUTED_VALUE"""),-1.0)</f>
        <v>-1</v>
      </c>
      <c r="W491" s="16">
        <f>IFERROR(__xludf.DUMMYFUNCTION("""COMPUTED_VALUE"""),-4.0)</f>
        <v>-4</v>
      </c>
      <c r="X491" s="16">
        <f>IFERROR(__xludf.DUMMYFUNCTION("""COMPUTED_VALUE"""),-2.0)</f>
        <v>-2</v>
      </c>
      <c r="Y491" s="16">
        <f>IFERROR(__xludf.DUMMYFUNCTION("""COMPUTED_VALUE"""),28.8)</f>
        <v>28.8</v>
      </c>
      <c r="Z491" s="16">
        <f>IFERROR(__xludf.DUMMYFUNCTION("""COMPUTED_VALUE"""),43.7)</f>
        <v>43.7</v>
      </c>
      <c r="AA491" s="16">
        <f>IFERROR(__xludf.DUMMYFUNCTION("""COMPUTED_VALUE"""),0.0)</f>
        <v>0</v>
      </c>
      <c r="AB491" s="16">
        <f>IFERROR(__xludf.DUMMYFUNCTION("""COMPUTED_VALUE"""),-2.0)</f>
        <v>-2</v>
      </c>
      <c r="AC491" s="16">
        <f>IFERROR(__xludf.DUMMYFUNCTION("""COMPUTED_VALUE"""),0.0)</f>
        <v>0</v>
      </c>
      <c r="AD491" s="16">
        <f>IFERROR(__xludf.DUMMYFUNCTION("""COMPUTED_VALUE"""),-10.0)</f>
        <v>-10</v>
      </c>
      <c r="AE491" s="16">
        <f>IFERROR(__xludf.DUMMYFUNCTION("""COMPUTED_VALUE"""),74.3)</f>
        <v>74.3</v>
      </c>
      <c r="AF491" s="16">
        <f>IFERROR(__xludf.DUMMYFUNCTION("""COMPUTED_VALUE"""),51.9)</f>
        <v>51.9</v>
      </c>
      <c r="AG491" s="16">
        <f>IFERROR(__xludf.DUMMYFUNCTION("""COMPUTED_VALUE"""),-3.0)</f>
        <v>-3</v>
      </c>
      <c r="AH491" s="16">
        <f>IFERROR(__xludf.DUMMYFUNCTION("""COMPUTED_VALUE"""),-2.0)</f>
        <v>-2</v>
      </c>
      <c r="AI491" s="16">
        <f>IFERROR(__xludf.DUMMYFUNCTION("""COMPUTED_VALUE"""),-6.0)</f>
        <v>-6</v>
      </c>
      <c r="AJ491" s="16">
        <f>IFERROR(__xludf.DUMMYFUNCTION("""COMPUTED_VALUE"""),-4.0)</f>
        <v>-4</v>
      </c>
      <c r="AK491" s="16">
        <f>IFERROR(__xludf.DUMMYFUNCTION("""COMPUTED_VALUE"""),16.3)</f>
        <v>16.3</v>
      </c>
      <c r="AL491" s="16">
        <f>IFERROR(__xludf.DUMMYFUNCTION("""COMPUTED_VALUE"""),16.9)</f>
        <v>16.9</v>
      </c>
      <c r="AM491" s="16">
        <f>IFERROR(__xludf.DUMMYFUNCTION("""COMPUTED_VALUE"""),-1.0)</f>
        <v>-1</v>
      </c>
      <c r="AN491" s="16">
        <f>IFERROR(__xludf.DUMMYFUNCTION("""COMPUTED_VALUE"""),-1.0)</f>
        <v>-1</v>
      </c>
      <c r="AO491" s="16">
        <f>IFERROR(__xludf.DUMMYFUNCTION("""COMPUTED_VALUE"""),-1.0)</f>
        <v>-1</v>
      </c>
      <c r="AP491" s="16">
        <f>IFERROR(__xludf.DUMMYFUNCTION("""COMPUTED_VALUE"""),-1.0)</f>
        <v>-1</v>
      </c>
      <c r="AQ491" s="16">
        <f>IFERROR(__xludf.DUMMYFUNCTION("""COMPUTED_VALUE"""),32.3)</f>
        <v>32.3</v>
      </c>
      <c r="AR491" s="16">
        <f>IFERROR(__xludf.DUMMYFUNCTION("""COMPUTED_VALUE"""),32.7)</f>
        <v>32.7</v>
      </c>
      <c r="AS491" s="16">
        <f>IFERROR(__xludf.DUMMYFUNCTION("""COMPUTED_VALUE"""),-2.0)</f>
        <v>-2</v>
      </c>
      <c r="AT491" s="16">
        <f>IFERROR(__xludf.DUMMYFUNCTION("""COMPUTED_VALUE"""),-2.0)</f>
        <v>-2</v>
      </c>
      <c r="AU491" s="16">
        <f>IFERROR(__xludf.DUMMYFUNCTION("""COMPUTED_VALUE"""),-4.0)</f>
        <v>-4</v>
      </c>
      <c r="AV491" s="16">
        <f>IFERROR(__xludf.DUMMYFUNCTION("""COMPUTED_VALUE"""),-4.0)</f>
        <v>-4</v>
      </c>
      <c r="AW491" s="16">
        <f>IFERROR(__xludf.DUMMYFUNCTION("""COMPUTED_VALUE"""),10.5)</f>
        <v>10.5</v>
      </c>
      <c r="AX491" s="16">
        <f>IFERROR(__xludf.DUMMYFUNCTION("""COMPUTED_VALUE"""),4.8)</f>
        <v>4.8</v>
      </c>
      <c r="AY491" s="16">
        <f>IFERROR(__xludf.DUMMYFUNCTION("""COMPUTED_VALUE"""),-3.0)</f>
        <v>-3</v>
      </c>
      <c r="AZ491" s="16">
        <f>IFERROR(__xludf.DUMMYFUNCTION("""COMPUTED_VALUE"""),-2.0)</f>
        <v>-2</v>
      </c>
      <c r="BA491" s="16">
        <f>IFERROR(__xludf.DUMMYFUNCTION("""COMPUTED_VALUE"""),-15.0)</f>
        <v>-15</v>
      </c>
      <c r="BB491" s="16">
        <f>IFERROR(__xludf.DUMMYFUNCTION("""COMPUTED_VALUE"""),-10.0)</f>
        <v>-10</v>
      </c>
      <c r="BC491" s="16"/>
      <c r="BD491" s="16"/>
      <c r="BE491" s="16">
        <f>IFERROR(__xludf.DUMMYFUNCTION("""COMPUTED_VALUE"""),8.0)</f>
        <v>8</v>
      </c>
      <c r="BF491" s="16">
        <f>IFERROR(__xludf.DUMMYFUNCTION("""COMPUTED_VALUE"""),8.0)</f>
        <v>8</v>
      </c>
      <c r="BG491" s="16">
        <f>IFERROR(__xludf.DUMMYFUNCTION("""COMPUTED_VALUE"""),-3.0)</f>
        <v>-3</v>
      </c>
      <c r="BH491" s="16">
        <f>IFERROR(__xludf.DUMMYFUNCTION("""COMPUTED_VALUE"""),-3.0)</f>
        <v>-3</v>
      </c>
      <c r="BI491" s="16">
        <f>IFERROR(__xludf.DUMMYFUNCTION("""COMPUTED_VALUE"""),-6.0)</f>
        <v>-6</v>
      </c>
      <c r="BJ491" s="16">
        <f>IFERROR(__xludf.DUMMYFUNCTION("""COMPUTED_VALUE"""),-6.0)</f>
        <v>-6</v>
      </c>
      <c r="BK491" s="16">
        <f>IFERROR(__xludf.DUMMYFUNCTION("""COMPUTED_VALUE"""),0.0)</f>
        <v>0</v>
      </c>
      <c r="BL491" s="16">
        <f>IFERROR(__xludf.DUMMYFUNCTION("""COMPUTED_VALUE"""),0.0)</f>
        <v>0</v>
      </c>
      <c r="BM491" s="16">
        <f>IFERROR(__xludf.DUMMYFUNCTION("""COMPUTED_VALUE"""),1.0)</f>
        <v>1</v>
      </c>
      <c r="BN491" s="16">
        <f>IFERROR(__xludf.DUMMYFUNCTION("""COMPUTED_VALUE"""),1.0)</f>
        <v>1</v>
      </c>
      <c r="BO491" s="16">
        <f>IFERROR(__xludf.DUMMYFUNCTION("""COMPUTED_VALUE"""),1.0)</f>
        <v>1</v>
      </c>
      <c r="BP491" s="16">
        <f>IFERROR(__xludf.DUMMYFUNCTION("""COMPUTED_VALUE"""),1.0)</f>
        <v>1</v>
      </c>
      <c r="BQ491" s="16">
        <f>IFERROR(__xludf.DUMMYFUNCTION("""COMPUTED_VALUE"""),13.0)</f>
        <v>13</v>
      </c>
      <c r="BR491" s="16">
        <f>IFERROR(__xludf.DUMMYFUNCTION("""COMPUTED_VALUE"""),4.0)</f>
        <v>4</v>
      </c>
      <c r="BS491" s="16">
        <f>IFERROR(__xludf.DUMMYFUNCTION("""COMPUTED_VALUE"""),3.0)</f>
        <v>3</v>
      </c>
      <c r="BT491" s="16">
        <f>IFERROR(__xludf.DUMMYFUNCTION("""COMPUTED_VALUE"""),-1.0)</f>
        <v>-1</v>
      </c>
      <c r="BU491" s="16">
        <f>IFERROR(__xludf.DUMMYFUNCTION("""COMPUTED_VALUE"""),6.0)</f>
        <v>6</v>
      </c>
      <c r="BV491" s="16">
        <f>IFERROR(__xludf.DUMMYFUNCTION("""COMPUTED_VALUE"""),-2.0)</f>
        <v>-2</v>
      </c>
      <c r="BW491" s="16">
        <f>IFERROR(__xludf.DUMMYFUNCTION("""COMPUTED_VALUE"""),1.0)</f>
        <v>1</v>
      </c>
      <c r="BX491" s="16">
        <f>IFERROR(__xludf.DUMMYFUNCTION("""COMPUTED_VALUE"""),1.0)</f>
        <v>1</v>
      </c>
      <c r="BY491" s="16" t="str">
        <f>IFERROR(__xludf.DUMMYFUNCTION("""COMPUTED_VALUE"""),"R(2) C(0)")</f>
        <v>R(2) C(0)</v>
      </c>
      <c r="BZ491" s="16" t="str">
        <f>IFERROR(__xludf.DUMMYFUNCTION("""COMPUTED_VALUE"""),"R(2) C(0)")</f>
        <v>R(2) C(0)</v>
      </c>
      <c r="CA491" s="16" t="str">
        <f>IFERROR(__xludf.DUMMYFUNCTION("""COMPUTED_VALUE"""),"R(2)")</f>
        <v>R(2)</v>
      </c>
      <c r="CB491" s="16" t="str">
        <f>IFERROR(__xludf.DUMMYFUNCTION("""COMPUTED_VALUE"""),"C(0)")</f>
        <v>C(0)</v>
      </c>
      <c r="CC491" s="16"/>
      <c r="CD491" s="16"/>
      <c r="CE491" s="16">
        <f>IFERROR(__xludf.DUMMYFUNCTION("""COMPUTED_VALUE"""),2.0)</f>
        <v>2</v>
      </c>
      <c r="CF491" s="16">
        <f>IFERROR(__xludf.DUMMYFUNCTION("""COMPUTED_VALUE"""),0.0)</f>
        <v>0</v>
      </c>
      <c r="CG491" s="16" t="str">
        <f>IFERROR(__xludf.DUMMYFUNCTION("""COMPUTED_VALUE"""),"3-0")</f>
        <v>3-0</v>
      </c>
      <c r="CH491" s="16">
        <f>IFERROR(__xludf.DUMMYFUNCTION("""COMPUTED_VALUE"""),3.0)</f>
        <v>3</v>
      </c>
      <c r="CI491" s="16">
        <f>IFERROR(__xludf.DUMMYFUNCTION("""COMPUTED_VALUE"""),0.0)</f>
        <v>0</v>
      </c>
      <c r="CJ491" s="16">
        <f>IFERROR(__xludf.DUMMYFUNCTION("""COMPUTED_VALUE"""),0.0)</f>
        <v>0</v>
      </c>
      <c r="CK491" s="16">
        <f>IFERROR(__xludf.DUMMYFUNCTION("""COMPUTED_VALUE"""),10.0)</f>
        <v>10</v>
      </c>
      <c r="CL491" s="16" t="str">
        <f>IFERROR(__xludf.DUMMYFUNCTION("""COMPUTED_VALUE"""),"1WR-C")</f>
        <v>1WR-C</v>
      </c>
      <c r="CM491" s="16" t="str">
        <f>IFERROR(__xludf.DUMMYFUNCTION("""COMPUTED_VALUE"""),"E")</f>
        <v>E</v>
      </c>
      <c r="CN491" s="16">
        <f>IFERROR(__xludf.DUMMYFUNCTION("""COMPUTED_VALUE"""),10.0)</f>
        <v>10</v>
      </c>
      <c r="CO491" s="16" t="str">
        <f>IFERROR(__xludf.DUMMYFUNCTION("""COMPUTED_VALUE"""),"C")</f>
        <v>C</v>
      </c>
      <c r="CP491" s="16" t="str">
        <f>IFERROR(__xludf.DUMMYFUNCTION("""COMPUTED_VALUE"""),"5p20")</f>
        <v>5p20</v>
      </c>
      <c r="CQ491" s="16">
        <f>IFERROR(__xludf.DUMMYFUNCTION("""COMPUTED_VALUE"""),-30.0)</f>
        <v>-30</v>
      </c>
      <c r="CR491" s="16">
        <f>IFERROR(__xludf.DUMMYFUNCTION("""COMPUTED_VALUE"""),-44.0)</f>
        <v>-44</v>
      </c>
      <c r="CS491" s="16">
        <f>IFERROR(__xludf.DUMMYFUNCTION("""COMPUTED_VALUE"""),-74.0)</f>
        <v>-74</v>
      </c>
      <c r="CT491" s="16">
        <f>IFERROR(__xludf.DUMMYFUNCTION("""COMPUTED_VALUE"""),-30.0)</f>
        <v>-30</v>
      </c>
      <c r="CU491" s="16">
        <f>IFERROR(__xludf.DUMMYFUNCTION("""COMPUTED_VALUE"""),-44.0)</f>
        <v>-44</v>
      </c>
      <c r="CV491" s="179">
        <f>IFERROR(__xludf.DUMMYFUNCTION("""COMPUTED_VALUE"""),-36.333333333333336)</f>
        <v>-36.33333333</v>
      </c>
      <c r="CW491" s="179">
        <f>IFERROR(__xludf.DUMMYFUNCTION("""COMPUTED_VALUE"""),0.0)</f>
        <v>0</v>
      </c>
      <c r="CX491" s="179">
        <f>IFERROR(__xludf.DUMMYFUNCTION("""COMPUTED_VALUE"""),3.0)</f>
        <v>3</v>
      </c>
      <c r="CY491" s="16" t="str">
        <f>IFERROR(__xludf.DUMMYFUNCTION("""COMPUTED_VALUE"""),"RP")</f>
        <v>RP</v>
      </c>
      <c r="CZ491" s="16" t="str">
        <f>IFERROR(__xludf.DUMMYFUNCTION("""COMPUTED_VALUE"""),"CP")</f>
        <v>CP</v>
      </c>
      <c r="DA491" s="16"/>
      <c r="DB491" s="16"/>
      <c r="DC491" s="16"/>
      <c r="DD491" s="16"/>
      <c r="DE491" s="16"/>
      <c r="DF491" s="16"/>
      <c r="DG491" s="16"/>
      <c r="DH491" s="16"/>
      <c r="DI491" s="16"/>
      <c r="DJ491" s="16"/>
      <c r="DK491" s="16"/>
    </row>
    <row r="492">
      <c r="A492" s="16">
        <f>IFERROR(__xludf.DUMMYFUNCTION("""COMPUTED_VALUE"""),13319.0)</f>
        <v>13319</v>
      </c>
      <c r="B492" s="16" t="str">
        <f>IFERROR(__xludf.DUMMYFUNCTION("""COMPUTED_VALUE"""),"Roddery Munoz")</f>
        <v>Roddery Munoz</v>
      </c>
      <c r="C492" s="153">
        <f>IFERROR(__xludf.DUMMYFUNCTION("""COMPUTED_VALUE"""),0.0)</f>
        <v>0</v>
      </c>
      <c r="D492" s="16"/>
      <c r="E492" s="16" t="str">
        <f>IFERROR(__xludf.DUMMYFUNCTION("""COMPUTED_VALUE"""),"R")</f>
        <v>R</v>
      </c>
      <c r="F492" s="16">
        <f>IFERROR(__xludf.DUMMYFUNCTION("""COMPUTED_VALUE"""),83.0)</f>
        <v>83</v>
      </c>
      <c r="G492" s="16">
        <f>IFERROR(__xludf.DUMMYFUNCTION("""COMPUTED_VALUE"""),15.0)</f>
        <v>15</v>
      </c>
      <c r="H492" s="16">
        <f>IFERROR(__xludf.DUMMYFUNCTION("""COMPUTED_VALUE"""),17.0)</f>
        <v>17</v>
      </c>
      <c r="I492" s="16">
        <f>IFERROR(__xludf.DUMMYFUNCTION("""COMPUTED_VALUE"""),-2.0)</f>
        <v>-2</v>
      </c>
      <c r="J492" s="16">
        <f>IFERROR(__xludf.DUMMYFUNCTION("""COMPUTED_VALUE"""),-1.0)</f>
        <v>-1</v>
      </c>
      <c r="K492" s="16">
        <f>IFERROR(__xludf.DUMMYFUNCTION("""COMPUTED_VALUE"""),-6.0)</f>
        <v>-6</v>
      </c>
      <c r="L492" s="16">
        <f>IFERROR(__xludf.DUMMYFUNCTION("""COMPUTED_VALUE"""),-3.0)</f>
        <v>-3</v>
      </c>
      <c r="M492" s="16">
        <f>IFERROR(__xludf.DUMMYFUNCTION("""COMPUTED_VALUE"""),15.0)</f>
        <v>15</v>
      </c>
      <c r="N492" s="16">
        <f>IFERROR(__xludf.DUMMYFUNCTION("""COMPUTED_VALUE"""),16.0)</f>
        <v>16</v>
      </c>
      <c r="O492" s="16">
        <f>IFERROR(__xludf.DUMMYFUNCTION("""COMPUTED_VALUE"""),-2.0)</f>
        <v>-2</v>
      </c>
      <c r="P492" s="16">
        <f>IFERROR(__xludf.DUMMYFUNCTION("""COMPUTED_VALUE"""),-3.0)</f>
        <v>-3</v>
      </c>
      <c r="Q492" s="16">
        <f>IFERROR(__xludf.DUMMYFUNCTION("""COMPUTED_VALUE"""),-2.0)</f>
        <v>-2</v>
      </c>
      <c r="R492" s="16">
        <f>IFERROR(__xludf.DUMMYFUNCTION("""COMPUTED_VALUE"""),-3.0)</f>
        <v>-3</v>
      </c>
      <c r="S492" s="16">
        <f>IFERROR(__xludf.DUMMYFUNCTION("""COMPUTED_VALUE"""),24.6)</f>
        <v>24.6</v>
      </c>
      <c r="T492" s="16">
        <f>IFERROR(__xludf.DUMMYFUNCTION("""COMPUTED_VALUE"""),9.1)</f>
        <v>9.1</v>
      </c>
      <c r="U492" s="16">
        <f>IFERROR(__xludf.DUMMYFUNCTION("""COMPUTED_VALUE"""),-2.0)</f>
        <v>-2</v>
      </c>
      <c r="V492" s="16">
        <f>IFERROR(__xludf.DUMMYFUNCTION("""COMPUTED_VALUE"""),1.0)</f>
        <v>1</v>
      </c>
      <c r="W492" s="16">
        <f>IFERROR(__xludf.DUMMYFUNCTION("""COMPUTED_VALUE"""),-4.0)</f>
        <v>-4</v>
      </c>
      <c r="X492" s="16">
        <f>IFERROR(__xludf.DUMMYFUNCTION("""COMPUTED_VALUE"""),2.0)</f>
        <v>2</v>
      </c>
      <c r="Y492" s="16">
        <f>IFERROR(__xludf.DUMMYFUNCTION("""COMPUTED_VALUE"""),39.6)</f>
        <v>39.6</v>
      </c>
      <c r="Z492" s="16">
        <f>IFERROR(__xludf.DUMMYFUNCTION("""COMPUTED_VALUE"""),25.1)</f>
        <v>25.1</v>
      </c>
      <c r="AA492" s="16">
        <f>IFERROR(__xludf.DUMMYFUNCTION("""COMPUTED_VALUE"""),-2.0)</f>
        <v>-2</v>
      </c>
      <c r="AB492" s="16">
        <f>IFERROR(__xludf.DUMMYFUNCTION("""COMPUTED_VALUE"""),0.0)</f>
        <v>0</v>
      </c>
      <c r="AC492" s="16">
        <f>IFERROR(__xludf.DUMMYFUNCTION("""COMPUTED_VALUE"""),-10.0)</f>
        <v>-10</v>
      </c>
      <c r="AD492" s="16">
        <f>IFERROR(__xludf.DUMMYFUNCTION("""COMPUTED_VALUE"""),0.0)</f>
        <v>0</v>
      </c>
      <c r="AE492" s="16">
        <f>IFERROR(__xludf.DUMMYFUNCTION("""COMPUTED_VALUE"""),69.9)</f>
        <v>69.9</v>
      </c>
      <c r="AF492" s="16">
        <f>IFERROR(__xludf.DUMMYFUNCTION("""COMPUTED_VALUE"""),27.0)</f>
        <v>27</v>
      </c>
      <c r="AG492" s="16">
        <f>IFERROR(__xludf.DUMMYFUNCTION("""COMPUTED_VALUE"""),-3.0)</f>
        <v>-3</v>
      </c>
      <c r="AH492" s="16">
        <f>IFERROR(__xludf.DUMMYFUNCTION("""COMPUTED_VALUE"""),0.0)</f>
        <v>0</v>
      </c>
      <c r="AI492" s="16">
        <f>IFERROR(__xludf.DUMMYFUNCTION("""COMPUTED_VALUE"""),-6.0)</f>
        <v>-6</v>
      </c>
      <c r="AJ492" s="16">
        <f>IFERROR(__xludf.DUMMYFUNCTION("""COMPUTED_VALUE"""),0.0)</f>
        <v>0</v>
      </c>
      <c r="AK492" s="16">
        <f>IFERROR(__xludf.DUMMYFUNCTION("""COMPUTED_VALUE"""),13.200000000000001)</f>
        <v>13.2</v>
      </c>
      <c r="AL492" s="16">
        <f>IFERROR(__xludf.DUMMYFUNCTION("""COMPUTED_VALUE"""),4.1)</f>
        <v>4.1</v>
      </c>
      <c r="AM492" s="16">
        <f>IFERROR(__xludf.DUMMYFUNCTION("""COMPUTED_VALUE"""),0.0)</f>
        <v>0</v>
      </c>
      <c r="AN492" s="16">
        <f>IFERROR(__xludf.DUMMYFUNCTION("""COMPUTED_VALUE"""),2.0)</f>
        <v>2</v>
      </c>
      <c r="AO492" s="16">
        <f>IFERROR(__xludf.DUMMYFUNCTION("""COMPUTED_VALUE"""),0.0)</f>
        <v>0</v>
      </c>
      <c r="AP492" s="16">
        <f>IFERROR(__xludf.DUMMYFUNCTION("""COMPUTED_VALUE"""),2.0)</f>
        <v>2</v>
      </c>
      <c r="AQ492" s="16">
        <f>IFERROR(__xludf.DUMMYFUNCTION("""COMPUTED_VALUE"""),24.300000000000004)</f>
        <v>24.3</v>
      </c>
      <c r="AR492" s="16">
        <f>IFERROR(__xludf.DUMMYFUNCTION("""COMPUTED_VALUE"""),7.0)</f>
        <v>7</v>
      </c>
      <c r="AS492" s="16">
        <f>IFERROR(__xludf.DUMMYFUNCTION("""COMPUTED_VALUE"""),-1.0)</f>
        <v>-1</v>
      </c>
      <c r="AT492" s="16">
        <f>IFERROR(__xludf.DUMMYFUNCTION("""COMPUTED_VALUE"""),2.0)</f>
        <v>2</v>
      </c>
      <c r="AU492" s="16">
        <f>IFERROR(__xludf.DUMMYFUNCTION("""COMPUTED_VALUE"""),-2.0)</f>
        <v>-2</v>
      </c>
      <c r="AV492" s="16">
        <f>IFERROR(__xludf.DUMMYFUNCTION("""COMPUTED_VALUE"""),4.0)</f>
        <v>4</v>
      </c>
      <c r="AW492" s="16">
        <f>IFERROR(__xludf.DUMMYFUNCTION("""COMPUTED_VALUE"""),11.4)</f>
        <v>11.4</v>
      </c>
      <c r="AX492" s="16">
        <f>IFERROR(__xludf.DUMMYFUNCTION("""COMPUTED_VALUE"""),5.0)</f>
        <v>5</v>
      </c>
      <c r="AY492" s="16">
        <f>IFERROR(__xludf.DUMMYFUNCTION("""COMPUTED_VALUE"""),-3.0)</f>
        <v>-3</v>
      </c>
      <c r="AZ492" s="16">
        <f>IFERROR(__xludf.DUMMYFUNCTION("""COMPUTED_VALUE"""),-3.0)</f>
        <v>-3</v>
      </c>
      <c r="BA492" s="16">
        <f>IFERROR(__xludf.DUMMYFUNCTION("""COMPUTED_VALUE"""),-15.0)</f>
        <v>-15</v>
      </c>
      <c r="BB492" s="16">
        <f>IFERROR(__xludf.DUMMYFUNCTION("""COMPUTED_VALUE"""),-15.0)</f>
        <v>-15</v>
      </c>
      <c r="BC492" s="16"/>
      <c r="BD492" s="16">
        <f>IFERROR(__xludf.DUMMYFUNCTION("""COMPUTED_VALUE"""),8.0)</f>
        <v>8</v>
      </c>
      <c r="BE492" s="16">
        <f>IFERROR(__xludf.DUMMYFUNCTION("""COMPUTED_VALUE"""),8.0)</f>
        <v>8</v>
      </c>
      <c r="BF492" s="16">
        <f>IFERROR(__xludf.DUMMYFUNCTION("""COMPUTED_VALUE"""),8.0)</f>
        <v>8</v>
      </c>
      <c r="BG492" s="16">
        <f>IFERROR(__xludf.DUMMYFUNCTION("""COMPUTED_VALUE"""),-3.0)</f>
        <v>-3</v>
      </c>
      <c r="BH492" s="16">
        <f>IFERROR(__xludf.DUMMYFUNCTION("""COMPUTED_VALUE"""),-3.0)</f>
        <v>-3</v>
      </c>
      <c r="BI492" s="16">
        <f>IFERROR(__xludf.DUMMYFUNCTION("""COMPUTED_VALUE"""),-6.0)</f>
        <v>-6</v>
      </c>
      <c r="BJ492" s="16">
        <f>IFERROR(__xludf.DUMMYFUNCTION("""COMPUTED_VALUE"""),-6.0)</f>
        <v>-6</v>
      </c>
      <c r="BK492" s="16">
        <f>IFERROR(__xludf.DUMMYFUNCTION("""COMPUTED_VALUE"""),0.0)</f>
        <v>0</v>
      </c>
      <c r="BL492" s="16">
        <f>IFERROR(__xludf.DUMMYFUNCTION("""COMPUTED_VALUE"""),5.0)</f>
        <v>5</v>
      </c>
      <c r="BM492" s="16">
        <f>IFERROR(__xludf.DUMMYFUNCTION("""COMPUTED_VALUE"""),1.0)</f>
        <v>1</v>
      </c>
      <c r="BN492" s="16">
        <f>IFERROR(__xludf.DUMMYFUNCTION("""COMPUTED_VALUE"""),0.0)</f>
        <v>0</v>
      </c>
      <c r="BO492" s="16">
        <f>IFERROR(__xludf.DUMMYFUNCTION("""COMPUTED_VALUE"""),1.0)</f>
        <v>1</v>
      </c>
      <c r="BP492" s="16">
        <f>IFERROR(__xludf.DUMMYFUNCTION("""COMPUTED_VALUE"""),0.0)</f>
        <v>0</v>
      </c>
      <c r="BQ492" s="16">
        <f>IFERROR(__xludf.DUMMYFUNCTION("""COMPUTED_VALUE"""),4.0)</f>
        <v>4</v>
      </c>
      <c r="BR492" s="16">
        <f>IFERROR(__xludf.DUMMYFUNCTION("""COMPUTED_VALUE"""),4.0)</f>
        <v>4</v>
      </c>
      <c r="BS492" s="16">
        <f>IFERROR(__xludf.DUMMYFUNCTION("""COMPUTED_VALUE"""),-1.0)</f>
        <v>-1</v>
      </c>
      <c r="BT492" s="16">
        <f>IFERROR(__xludf.DUMMYFUNCTION("""COMPUTED_VALUE"""),-1.0)</f>
        <v>-1</v>
      </c>
      <c r="BU492" s="16">
        <f>IFERROR(__xludf.DUMMYFUNCTION("""COMPUTED_VALUE"""),-2.0)</f>
        <v>-2</v>
      </c>
      <c r="BV492" s="16">
        <f>IFERROR(__xludf.DUMMYFUNCTION("""COMPUTED_VALUE"""),-2.0)</f>
        <v>-2</v>
      </c>
      <c r="BW492" s="16">
        <f>IFERROR(__xludf.DUMMYFUNCTION("""COMPUTED_VALUE"""),0.0)</f>
        <v>0</v>
      </c>
      <c r="BX492" s="16">
        <f>IFERROR(__xludf.DUMMYFUNCTION("""COMPUTED_VALUE"""),0.0)</f>
        <v>0</v>
      </c>
      <c r="BY492" s="16" t="str">
        <f>IFERROR(__xludf.DUMMYFUNCTION("""COMPUTED_VALUE"""),"S(5)")</f>
        <v>S(5)</v>
      </c>
      <c r="BZ492" s="16" t="str">
        <f>IFERROR(__xludf.DUMMYFUNCTION("""COMPUTED_VALUE"""),"S(5)")</f>
        <v>S(5)</v>
      </c>
      <c r="CA492" s="16" t="str">
        <f>IFERROR(__xludf.DUMMYFUNCTION("""COMPUTED_VALUE"""),"S(5)")</f>
        <v>S(5)</v>
      </c>
      <c r="CB492" s="16"/>
      <c r="CC492" s="16"/>
      <c r="CD492" s="16">
        <f>IFERROR(__xludf.DUMMYFUNCTION("""COMPUTED_VALUE"""),5.0)</f>
        <v>5</v>
      </c>
      <c r="CE492" s="16"/>
      <c r="CF492" s="16"/>
      <c r="CG492" s="16" t="str">
        <f>IFERROR(__xludf.DUMMYFUNCTION("""COMPUTED_VALUE"""),"3-51")</f>
        <v>3-51</v>
      </c>
      <c r="CH492" s="16">
        <f>IFERROR(__xludf.DUMMYFUNCTION("""COMPUTED_VALUE"""),3.0)</f>
        <v>3</v>
      </c>
      <c r="CI492" s="16">
        <f>IFERROR(__xludf.DUMMYFUNCTION("""COMPUTED_VALUE"""),51.0)</f>
        <v>51</v>
      </c>
      <c r="CJ492" s="16">
        <f>IFERROR(__xludf.DUMMYFUNCTION("""COMPUTED_VALUE"""),4.0)</f>
        <v>4</v>
      </c>
      <c r="CK492" s="16">
        <f>IFERROR(__xludf.DUMMYFUNCTION("""COMPUTED_VALUE"""),9.0)</f>
        <v>9</v>
      </c>
      <c r="CL492" s="16" t="str">
        <f>IFERROR(__xludf.DUMMYFUNCTION("""COMPUTED_VALUE"""),"1WR-C")</f>
        <v>1WR-C</v>
      </c>
      <c r="CM492" s="16" t="str">
        <f>IFERROR(__xludf.DUMMYFUNCTION("""COMPUTED_VALUE"""),"E")</f>
        <v>E</v>
      </c>
      <c r="CN492" s="16">
        <f>IFERROR(__xludf.DUMMYFUNCTION("""COMPUTED_VALUE"""),10.0)</f>
        <v>10</v>
      </c>
      <c r="CO492" s="16" t="str">
        <f>IFERROR(__xludf.DUMMYFUNCTION("""COMPUTED_VALUE"""),"C")</f>
        <v>C</v>
      </c>
      <c r="CP492" s="16" t="str">
        <f>IFERROR(__xludf.DUMMYFUNCTION("""COMPUTED_VALUE"""),"1p50")</f>
        <v>1p50</v>
      </c>
      <c r="CQ492" s="16">
        <f>IFERROR(__xludf.DUMMYFUNCTION("""COMPUTED_VALUE"""),-52.0)</f>
        <v>-52</v>
      </c>
      <c r="CR492" s="16">
        <f>IFERROR(__xludf.DUMMYFUNCTION("""COMPUTED_VALUE"""),-21.0)</f>
        <v>-21</v>
      </c>
      <c r="CS492" s="16">
        <f>IFERROR(__xludf.DUMMYFUNCTION("""COMPUTED_VALUE"""),-73.0)</f>
        <v>-73</v>
      </c>
      <c r="CT492" s="16">
        <f>IFERROR(__xludf.DUMMYFUNCTION("""COMPUTED_VALUE"""),-52.0)</f>
        <v>-52</v>
      </c>
      <c r="CU492" s="16">
        <f>IFERROR(__xludf.DUMMYFUNCTION("""COMPUTED_VALUE"""),-21.0)</f>
        <v>-21</v>
      </c>
      <c r="CV492" s="179">
        <f>IFERROR(__xludf.DUMMYFUNCTION("""COMPUTED_VALUE"""),-37.666666666666664)</f>
        <v>-37.66666667</v>
      </c>
      <c r="CW492" s="179">
        <f>IFERROR(__xludf.DUMMYFUNCTION("""COMPUTED_VALUE"""),4.0)</f>
        <v>4</v>
      </c>
      <c r="CX492" s="179">
        <f>IFERROR(__xludf.DUMMYFUNCTION("""COMPUTED_VALUE"""),0.0)</f>
        <v>0</v>
      </c>
      <c r="CY492" s="16" t="str">
        <f>IFERROR(__xludf.DUMMYFUNCTION("""COMPUTED_VALUE"""),"SP")</f>
        <v>SP</v>
      </c>
      <c r="CZ492" s="16"/>
      <c r="DA492" s="16"/>
      <c r="DB492" s="16"/>
      <c r="DC492" s="16"/>
      <c r="DD492" s="16"/>
      <c r="DE492" s="16"/>
      <c r="DF492" s="16"/>
      <c r="DG492" s="16"/>
      <c r="DH492" s="16"/>
      <c r="DI492" s="16"/>
      <c r="DJ492" s="16"/>
      <c r="DK492" s="16"/>
    </row>
    <row r="493">
      <c r="A493" s="16">
        <f>IFERROR(__xludf.DUMMYFUNCTION("""COMPUTED_VALUE"""),13003.0)</f>
        <v>13003</v>
      </c>
      <c r="B493" s="16" t="str">
        <f>IFERROR(__xludf.DUMMYFUNCTION("""COMPUTED_VALUE"""),"Jordan Wicks")</f>
        <v>Jordan Wicks</v>
      </c>
      <c r="C493" s="153">
        <f>IFERROR(__xludf.DUMMYFUNCTION("""COMPUTED_VALUE"""),0.0)</f>
        <v>0</v>
      </c>
      <c r="D493" s="16"/>
      <c r="E493" s="16" t="str">
        <f>IFERROR(__xludf.DUMMYFUNCTION("""COMPUTED_VALUE"""),"L")</f>
        <v>L</v>
      </c>
      <c r="F493" s="16">
        <f>IFERROR(__xludf.DUMMYFUNCTION("""COMPUTED_VALUE"""),46.0)</f>
        <v>46</v>
      </c>
      <c r="G493" s="16">
        <f>IFERROR(__xludf.DUMMYFUNCTION("""COMPUTED_VALUE"""),17.0)</f>
        <v>17</v>
      </c>
      <c r="H493" s="16">
        <f>IFERROR(__xludf.DUMMYFUNCTION("""COMPUTED_VALUE"""),19.0)</f>
        <v>19</v>
      </c>
      <c r="I493" s="16">
        <f>IFERROR(__xludf.DUMMYFUNCTION("""COMPUTED_VALUE"""),-1.0)</f>
        <v>-1</v>
      </c>
      <c r="J493" s="16">
        <f>IFERROR(__xludf.DUMMYFUNCTION("""COMPUTED_VALUE"""),-1.0)</f>
        <v>-1</v>
      </c>
      <c r="K493" s="16">
        <f>IFERROR(__xludf.DUMMYFUNCTION("""COMPUTED_VALUE"""),-3.0)</f>
        <v>-3</v>
      </c>
      <c r="L493" s="16">
        <f>IFERROR(__xludf.DUMMYFUNCTION("""COMPUTED_VALUE"""),-3.0)</f>
        <v>-3</v>
      </c>
      <c r="M493" s="16">
        <f>IFERROR(__xludf.DUMMYFUNCTION("""COMPUTED_VALUE"""),15.0)</f>
        <v>15</v>
      </c>
      <c r="N493" s="16">
        <f>IFERROR(__xludf.DUMMYFUNCTION("""COMPUTED_VALUE"""),10.0)</f>
        <v>10</v>
      </c>
      <c r="O493" s="16">
        <f>IFERROR(__xludf.DUMMYFUNCTION("""COMPUTED_VALUE"""),-2.0)</f>
        <v>-2</v>
      </c>
      <c r="P493" s="16">
        <f>IFERROR(__xludf.DUMMYFUNCTION("""COMPUTED_VALUE"""),-1.0)</f>
        <v>-1</v>
      </c>
      <c r="Q493" s="16">
        <f>IFERROR(__xludf.DUMMYFUNCTION("""COMPUTED_VALUE"""),-2.0)</f>
        <v>-2</v>
      </c>
      <c r="R493" s="16">
        <f>IFERROR(__xludf.DUMMYFUNCTION("""COMPUTED_VALUE"""),-1.0)</f>
        <v>-1</v>
      </c>
      <c r="S493" s="16">
        <f>IFERROR(__xludf.DUMMYFUNCTION("""COMPUTED_VALUE"""),28.9)</f>
        <v>28.9</v>
      </c>
      <c r="T493" s="16">
        <f>IFERROR(__xludf.DUMMYFUNCTION("""COMPUTED_VALUE"""),23.5)</f>
        <v>23.5</v>
      </c>
      <c r="U493" s="16">
        <f>IFERROR(__xludf.DUMMYFUNCTION("""COMPUTED_VALUE"""),-2.0)</f>
        <v>-2</v>
      </c>
      <c r="V493" s="16">
        <f>IFERROR(__xludf.DUMMYFUNCTION("""COMPUTED_VALUE"""),-1.0)</f>
        <v>-1</v>
      </c>
      <c r="W493" s="16">
        <f>IFERROR(__xludf.DUMMYFUNCTION("""COMPUTED_VALUE"""),-4.0)</f>
        <v>-4</v>
      </c>
      <c r="X493" s="16">
        <f>IFERROR(__xludf.DUMMYFUNCTION("""COMPUTED_VALUE"""),-2.0)</f>
        <v>-2</v>
      </c>
      <c r="Y493" s="16">
        <f>IFERROR(__xludf.DUMMYFUNCTION("""COMPUTED_VALUE"""),43.8)</f>
        <v>43.8</v>
      </c>
      <c r="Z493" s="16">
        <f>IFERROR(__xludf.DUMMYFUNCTION("""COMPUTED_VALUE"""),33.5)</f>
        <v>33.5</v>
      </c>
      <c r="AA493" s="16">
        <f>IFERROR(__xludf.DUMMYFUNCTION("""COMPUTED_VALUE"""),-2.0)</f>
        <v>-2</v>
      </c>
      <c r="AB493" s="16">
        <f>IFERROR(__xludf.DUMMYFUNCTION("""COMPUTED_VALUE"""),-1.0)</f>
        <v>-1</v>
      </c>
      <c r="AC493" s="16">
        <f>IFERROR(__xludf.DUMMYFUNCTION("""COMPUTED_VALUE"""),-10.0)</f>
        <v>-10</v>
      </c>
      <c r="AD493" s="16">
        <f>IFERROR(__xludf.DUMMYFUNCTION("""COMPUTED_VALUE"""),-5.0)</f>
        <v>-5</v>
      </c>
      <c r="AE493" s="16">
        <f>IFERROR(__xludf.DUMMYFUNCTION("""COMPUTED_VALUE"""),48.3)</f>
        <v>48.3</v>
      </c>
      <c r="AF493" s="16">
        <f>IFERROR(__xludf.DUMMYFUNCTION("""COMPUTED_VALUE"""),40.4)</f>
        <v>40.4</v>
      </c>
      <c r="AG493" s="16">
        <f>IFERROR(__xludf.DUMMYFUNCTION("""COMPUTED_VALUE"""),-2.0)</f>
        <v>-2</v>
      </c>
      <c r="AH493" s="16">
        <f>IFERROR(__xludf.DUMMYFUNCTION("""COMPUTED_VALUE"""),-1.0)</f>
        <v>-1</v>
      </c>
      <c r="AI493" s="16">
        <f>IFERROR(__xludf.DUMMYFUNCTION("""COMPUTED_VALUE"""),-4.0)</f>
        <v>-4</v>
      </c>
      <c r="AJ493" s="16">
        <f>IFERROR(__xludf.DUMMYFUNCTION("""COMPUTED_VALUE"""),-2.0)</f>
        <v>-2</v>
      </c>
      <c r="AK493" s="16">
        <f>IFERROR(__xludf.DUMMYFUNCTION("""COMPUTED_VALUE"""),24.4)</f>
        <v>24.4</v>
      </c>
      <c r="AL493" s="16">
        <f>IFERROR(__xludf.DUMMYFUNCTION("""COMPUTED_VALUE"""),20.5)</f>
        <v>20.5</v>
      </c>
      <c r="AM493" s="16">
        <f>IFERROR(__xludf.DUMMYFUNCTION("""COMPUTED_VALUE"""),-2.0)</f>
        <v>-2</v>
      </c>
      <c r="AN493" s="16">
        <f>IFERROR(__xludf.DUMMYFUNCTION("""COMPUTED_VALUE"""),-1.0)</f>
        <v>-1</v>
      </c>
      <c r="AO493" s="16">
        <f>IFERROR(__xludf.DUMMYFUNCTION("""COMPUTED_VALUE"""),-2.0)</f>
        <v>-2</v>
      </c>
      <c r="AP493" s="16">
        <f>IFERROR(__xludf.DUMMYFUNCTION("""COMPUTED_VALUE"""),-1.0)</f>
        <v>-1</v>
      </c>
      <c r="AQ493" s="16">
        <f>IFERROR(__xludf.DUMMYFUNCTION("""COMPUTED_VALUE"""),30.299999999999997)</f>
        <v>30.3</v>
      </c>
      <c r="AR493" s="16">
        <f>IFERROR(__xludf.DUMMYFUNCTION("""COMPUTED_VALUE"""),28.4)</f>
        <v>28.4</v>
      </c>
      <c r="AS493" s="16">
        <f>IFERROR(__xludf.DUMMYFUNCTION("""COMPUTED_VALUE"""),-1.0)</f>
        <v>-1</v>
      </c>
      <c r="AT493" s="16">
        <f>IFERROR(__xludf.DUMMYFUNCTION("""COMPUTED_VALUE"""),-1.0)</f>
        <v>-1</v>
      </c>
      <c r="AU493" s="16">
        <f>IFERROR(__xludf.DUMMYFUNCTION("""COMPUTED_VALUE"""),-2.0)</f>
        <v>-2</v>
      </c>
      <c r="AV493" s="16">
        <f>IFERROR(__xludf.DUMMYFUNCTION("""COMPUTED_VALUE"""),-2.0)</f>
        <v>-2</v>
      </c>
      <c r="AW493" s="16">
        <f>IFERROR(__xludf.DUMMYFUNCTION("""COMPUTED_VALUE"""),4.5)</f>
        <v>4.5</v>
      </c>
      <c r="AX493" s="16">
        <f>IFERROR(__xludf.DUMMYFUNCTION("""COMPUTED_VALUE"""),3.0)</f>
        <v>3</v>
      </c>
      <c r="AY493" s="16">
        <f>IFERROR(__xludf.DUMMYFUNCTION("""COMPUTED_VALUE"""),-2.0)</f>
        <v>-2</v>
      </c>
      <c r="AZ493" s="16">
        <f>IFERROR(__xludf.DUMMYFUNCTION("""COMPUTED_VALUE"""),-1.0)</f>
        <v>-1</v>
      </c>
      <c r="BA493" s="16">
        <f>IFERROR(__xludf.DUMMYFUNCTION("""COMPUTED_VALUE"""),-10.0)</f>
        <v>-10</v>
      </c>
      <c r="BB493" s="16">
        <f>IFERROR(__xludf.DUMMYFUNCTION("""COMPUTED_VALUE"""),-5.0)</f>
        <v>-5</v>
      </c>
      <c r="BC493" s="16">
        <f>IFERROR(__xludf.DUMMYFUNCTION("""COMPUTED_VALUE"""),8.0)</f>
        <v>8</v>
      </c>
      <c r="BD493" s="16">
        <f>IFERROR(__xludf.DUMMYFUNCTION("""COMPUTED_VALUE"""),6.0)</f>
        <v>6</v>
      </c>
      <c r="BE493" s="16">
        <f>IFERROR(__xludf.DUMMYFUNCTION("""COMPUTED_VALUE"""),8.0)</f>
        <v>8</v>
      </c>
      <c r="BF493" s="16">
        <f>IFERROR(__xludf.DUMMYFUNCTION("""COMPUTED_VALUE"""),6.0)</f>
        <v>6</v>
      </c>
      <c r="BG493" s="16">
        <f>IFERROR(__xludf.DUMMYFUNCTION("""COMPUTED_VALUE"""),-3.0)</f>
        <v>-3</v>
      </c>
      <c r="BH493" s="16">
        <f>IFERROR(__xludf.DUMMYFUNCTION("""COMPUTED_VALUE"""),-2.0)</f>
        <v>-2</v>
      </c>
      <c r="BI493" s="16">
        <f>IFERROR(__xludf.DUMMYFUNCTION("""COMPUTED_VALUE"""),-6.0)</f>
        <v>-6</v>
      </c>
      <c r="BJ493" s="16">
        <f>IFERROR(__xludf.DUMMYFUNCTION("""COMPUTED_VALUE"""),-4.0)</f>
        <v>-4</v>
      </c>
      <c r="BK493" s="16">
        <f>IFERROR(__xludf.DUMMYFUNCTION("""COMPUTED_VALUE"""),5.0)</f>
        <v>5</v>
      </c>
      <c r="BL493" s="16">
        <f>IFERROR(__xludf.DUMMYFUNCTION("""COMPUTED_VALUE"""),5.0)</f>
        <v>5</v>
      </c>
      <c r="BM493" s="16">
        <f>IFERROR(__xludf.DUMMYFUNCTION("""COMPUTED_VALUE"""),0.0)</f>
        <v>0</v>
      </c>
      <c r="BN493" s="16">
        <f>IFERROR(__xludf.DUMMYFUNCTION("""COMPUTED_VALUE"""),0.0)</f>
        <v>0</v>
      </c>
      <c r="BO493" s="16">
        <f>IFERROR(__xludf.DUMMYFUNCTION("""COMPUTED_VALUE"""),0.0)</f>
        <v>0</v>
      </c>
      <c r="BP493" s="16">
        <f>IFERROR(__xludf.DUMMYFUNCTION("""COMPUTED_VALUE"""),0.0)</f>
        <v>0</v>
      </c>
      <c r="BQ493" s="16">
        <f>IFERROR(__xludf.DUMMYFUNCTION("""COMPUTED_VALUE"""),4.0)</f>
        <v>4</v>
      </c>
      <c r="BR493" s="16">
        <f>IFERROR(__xludf.DUMMYFUNCTION("""COMPUTED_VALUE"""),3.0)</f>
        <v>3</v>
      </c>
      <c r="BS493" s="16">
        <f>IFERROR(__xludf.DUMMYFUNCTION("""COMPUTED_VALUE"""),-1.0)</f>
        <v>-1</v>
      </c>
      <c r="BT493" s="16">
        <f>IFERROR(__xludf.DUMMYFUNCTION("""COMPUTED_VALUE"""),-1.0)</f>
        <v>-1</v>
      </c>
      <c r="BU493" s="16">
        <f>IFERROR(__xludf.DUMMYFUNCTION("""COMPUTED_VALUE"""),-2.0)</f>
        <v>-2</v>
      </c>
      <c r="BV493" s="16">
        <f>IFERROR(__xludf.DUMMYFUNCTION("""COMPUTED_VALUE"""),-2.0)</f>
        <v>-2</v>
      </c>
      <c r="BW493" s="16">
        <f>IFERROR(__xludf.DUMMYFUNCTION("""COMPUTED_VALUE"""),0.0)</f>
        <v>0</v>
      </c>
      <c r="BX493" s="16">
        <f>IFERROR(__xludf.DUMMYFUNCTION("""COMPUTED_VALUE"""),0.0)</f>
        <v>0</v>
      </c>
      <c r="BY493" s="16" t="str">
        <f>IFERROR(__xludf.DUMMYFUNCTION("""COMPUTED_VALUE"""),"S(4)")</f>
        <v>S(4)</v>
      </c>
      <c r="BZ493" s="16" t="str">
        <f>IFERROR(__xludf.DUMMYFUNCTION("""COMPUTED_VALUE"""),"S(4)")</f>
        <v>S(4)</v>
      </c>
      <c r="CA493" s="16" t="str">
        <f>IFERROR(__xludf.DUMMYFUNCTION("""COMPUTED_VALUE"""),"S(4)")</f>
        <v>S(4)</v>
      </c>
      <c r="CB493" s="16"/>
      <c r="CC493" s="16"/>
      <c r="CD493" s="16">
        <f>IFERROR(__xludf.DUMMYFUNCTION("""COMPUTED_VALUE"""),4.0)</f>
        <v>4</v>
      </c>
      <c r="CE493" s="16"/>
      <c r="CF493" s="16"/>
      <c r="CG493" s="16" t="str">
        <f>IFERROR(__xludf.DUMMYFUNCTION("""COMPUTED_VALUE"""),"3-0")</f>
        <v>3-0</v>
      </c>
      <c r="CH493" s="16">
        <f>IFERROR(__xludf.DUMMYFUNCTION("""COMPUTED_VALUE"""),3.0)</f>
        <v>3</v>
      </c>
      <c r="CI493" s="16">
        <f>IFERROR(__xludf.DUMMYFUNCTION("""COMPUTED_VALUE"""),0.0)</f>
        <v>0</v>
      </c>
      <c r="CJ493" s="16">
        <f>IFERROR(__xludf.DUMMYFUNCTION("""COMPUTED_VALUE"""),0.0)</f>
        <v>0</v>
      </c>
      <c r="CK493" s="16">
        <f>IFERROR(__xludf.DUMMYFUNCTION("""COMPUTED_VALUE"""),13.0)</f>
        <v>13</v>
      </c>
      <c r="CL493" s="16" t="str">
        <f>IFERROR(__xludf.DUMMYFUNCTION("""COMPUTED_VALUE"""),"1WL-C")</f>
        <v>1WL-C</v>
      </c>
      <c r="CM493" s="16" t="str">
        <f>IFERROR(__xludf.DUMMYFUNCTION("""COMPUTED_VALUE"""),"E")</f>
        <v>E</v>
      </c>
      <c r="CN493" s="16">
        <f>IFERROR(__xludf.DUMMYFUNCTION("""COMPUTED_VALUE"""),10.0)</f>
        <v>10</v>
      </c>
      <c r="CO493" s="16" t="str">
        <f>IFERROR(__xludf.DUMMYFUNCTION("""COMPUTED_VALUE"""),"C")</f>
        <v>C</v>
      </c>
      <c r="CP493" s="16" t="str">
        <f>IFERROR(__xludf.DUMMYFUNCTION("""COMPUTED_VALUE"""),"6p30")</f>
        <v>6p30</v>
      </c>
      <c r="CQ493" s="16">
        <f>IFERROR(__xludf.DUMMYFUNCTION("""COMPUTED_VALUE"""),-45.0)</f>
        <v>-45</v>
      </c>
      <c r="CR493" s="16">
        <f>IFERROR(__xludf.DUMMYFUNCTION("""COMPUTED_VALUE"""),-27.0)</f>
        <v>-27</v>
      </c>
      <c r="CS493" s="16">
        <f>IFERROR(__xludf.DUMMYFUNCTION("""COMPUTED_VALUE"""),-72.0)</f>
        <v>-72</v>
      </c>
      <c r="CT493" s="16">
        <f>IFERROR(__xludf.DUMMYFUNCTION("""COMPUTED_VALUE"""),-45.0)</f>
        <v>-45</v>
      </c>
      <c r="CU493" s="16">
        <f>IFERROR(__xludf.DUMMYFUNCTION("""COMPUTED_VALUE"""),-27.0)</f>
        <v>-27</v>
      </c>
      <c r="CV493" s="179">
        <f>IFERROR(__xludf.DUMMYFUNCTION("""COMPUTED_VALUE"""),-38.0)</f>
        <v>-38</v>
      </c>
      <c r="CW493" s="179">
        <f>IFERROR(__xludf.DUMMYFUNCTION("""COMPUTED_VALUE"""),-1.0)</f>
        <v>-1</v>
      </c>
      <c r="CX493" s="179">
        <f>IFERROR(__xludf.DUMMYFUNCTION("""COMPUTED_VALUE"""),2.0)</f>
        <v>2</v>
      </c>
      <c r="CY493" s="16" t="str">
        <f>IFERROR(__xludf.DUMMYFUNCTION("""COMPUTED_VALUE"""),"SP")</f>
        <v>SP</v>
      </c>
      <c r="CZ493" s="16"/>
      <c r="DA493" s="16"/>
      <c r="DB493" s="16"/>
      <c r="DC493" s="16"/>
      <c r="DD493" s="16"/>
      <c r="DE493" s="16"/>
      <c r="DF493" s="16"/>
      <c r="DG493" s="16"/>
      <c r="DH493" s="16"/>
      <c r="DI493" s="16"/>
      <c r="DJ493" s="16"/>
      <c r="DK493" s="16"/>
    </row>
    <row r="494">
      <c r="A494" s="16">
        <f>IFERROR(__xludf.DUMMYFUNCTION("""COMPUTED_VALUE"""),13505.0)</f>
        <v>13505</v>
      </c>
      <c r="B494" s="16" t="str">
        <f>IFERROR(__xludf.DUMMYFUNCTION("""COMPUTED_VALUE"""),"Yonny Chirinos")</f>
        <v>Yonny Chirinos</v>
      </c>
      <c r="C494" s="153">
        <f>IFERROR(__xludf.DUMMYFUNCTION("""COMPUTED_VALUE"""),0.0)</f>
        <v>0</v>
      </c>
      <c r="D494" s="16"/>
      <c r="E494" s="16" t="str">
        <f>IFERROR(__xludf.DUMMYFUNCTION("""COMPUTED_VALUE"""),"R")</f>
        <v>R</v>
      </c>
      <c r="F494" s="16">
        <f>IFERROR(__xludf.DUMMYFUNCTION("""COMPUTED_VALUE"""),30.0)</f>
        <v>30</v>
      </c>
      <c r="G494" s="16">
        <f>IFERROR(__xludf.DUMMYFUNCTION("""COMPUTED_VALUE"""),2.0)</f>
        <v>2</v>
      </c>
      <c r="H494" s="16">
        <f>IFERROR(__xludf.DUMMYFUNCTION("""COMPUTED_VALUE"""),24.0)</f>
        <v>24</v>
      </c>
      <c r="I494" s="16">
        <f>IFERROR(__xludf.DUMMYFUNCTION("""COMPUTED_VALUE"""),-3.0)</f>
        <v>-3</v>
      </c>
      <c r="J494" s="16">
        <f>IFERROR(__xludf.DUMMYFUNCTION("""COMPUTED_VALUE"""),0.0)</f>
        <v>0</v>
      </c>
      <c r="K494" s="16">
        <f>IFERROR(__xludf.DUMMYFUNCTION("""COMPUTED_VALUE"""),-9.0)</f>
        <v>-9</v>
      </c>
      <c r="L494" s="16">
        <f>IFERROR(__xludf.DUMMYFUNCTION("""COMPUTED_VALUE"""),0.0)</f>
        <v>0</v>
      </c>
      <c r="M494" s="16">
        <f>IFERROR(__xludf.DUMMYFUNCTION("""COMPUTED_VALUE"""),13.0)</f>
        <v>13</v>
      </c>
      <c r="N494" s="16">
        <f>IFERROR(__xludf.DUMMYFUNCTION("""COMPUTED_VALUE"""),10.0)</f>
        <v>10</v>
      </c>
      <c r="O494" s="16">
        <f>IFERROR(__xludf.DUMMYFUNCTION("""COMPUTED_VALUE"""),-1.0)</f>
        <v>-1</v>
      </c>
      <c r="P494" s="16">
        <f>IFERROR(__xludf.DUMMYFUNCTION("""COMPUTED_VALUE"""),-1.0)</f>
        <v>-1</v>
      </c>
      <c r="Q494" s="16">
        <f>IFERROR(__xludf.DUMMYFUNCTION("""COMPUTED_VALUE"""),-1.0)</f>
        <v>-1</v>
      </c>
      <c r="R494" s="16">
        <f>IFERROR(__xludf.DUMMYFUNCTION("""COMPUTED_VALUE"""),-1.0)</f>
        <v>-1</v>
      </c>
      <c r="S494" s="16">
        <f>IFERROR(__xludf.DUMMYFUNCTION("""COMPUTED_VALUE"""),24.6)</f>
        <v>24.6</v>
      </c>
      <c r="T494" s="16">
        <f>IFERROR(__xludf.DUMMYFUNCTION("""COMPUTED_VALUE"""),23.0)</f>
        <v>23</v>
      </c>
      <c r="U494" s="16">
        <f>IFERROR(__xludf.DUMMYFUNCTION("""COMPUTED_VALUE"""),-2.0)</f>
        <v>-2</v>
      </c>
      <c r="V494" s="16">
        <f>IFERROR(__xludf.DUMMYFUNCTION("""COMPUTED_VALUE"""),-1.0)</f>
        <v>-1</v>
      </c>
      <c r="W494" s="16">
        <f>IFERROR(__xludf.DUMMYFUNCTION("""COMPUTED_VALUE"""),-4.0)</f>
        <v>-4</v>
      </c>
      <c r="X494" s="16">
        <f>IFERROR(__xludf.DUMMYFUNCTION("""COMPUTED_VALUE"""),-2.0)</f>
        <v>-2</v>
      </c>
      <c r="Y494" s="16">
        <f>IFERROR(__xludf.DUMMYFUNCTION("""COMPUTED_VALUE"""),37.5)</f>
        <v>37.5</v>
      </c>
      <c r="Z494" s="16">
        <f>IFERROR(__xludf.DUMMYFUNCTION("""COMPUTED_VALUE"""),33.0)</f>
        <v>33</v>
      </c>
      <c r="AA494" s="16">
        <f>IFERROR(__xludf.DUMMYFUNCTION("""COMPUTED_VALUE"""),-2.0)</f>
        <v>-2</v>
      </c>
      <c r="AB494" s="16">
        <f>IFERROR(__xludf.DUMMYFUNCTION("""COMPUTED_VALUE"""),-1.0)</f>
        <v>-1</v>
      </c>
      <c r="AC494" s="16">
        <f>IFERROR(__xludf.DUMMYFUNCTION("""COMPUTED_VALUE"""),-10.0)</f>
        <v>-10</v>
      </c>
      <c r="AD494" s="16">
        <f>IFERROR(__xludf.DUMMYFUNCTION("""COMPUTED_VALUE"""),-5.0)</f>
        <v>-5</v>
      </c>
      <c r="AE494" s="16">
        <f>IFERROR(__xludf.DUMMYFUNCTION("""COMPUTED_VALUE"""),48.6)</f>
        <v>48.6</v>
      </c>
      <c r="AF494" s="16">
        <f>IFERROR(__xludf.DUMMYFUNCTION("""COMPUTED_VALUE"""),39.4)</f>
        <v>39.4</v>
      </c>
      <c r="AG494" s="16">
        <f>IFERROR(__xludf.DUMMYFUNCTION("""COMPUTED_VALUE"""),-2.0)</f>
        <v>-2</v>
      </c>
      <c r="AH494" s="16">
        <f>IFERROR(__xludf.DUMMYFUNCTION("""COMPUTED_VALUE"""),-1.0)</f>
        <v>-1</v>
      </c>
      <c r="AI494" s="16">
        <f>IFERROR(__xludf.DUMMYFUNCTION("""COMPUTED_VALUE"""),-4.0)</f>
        <v>-4</v>
      </c>
      <c r="AJ494" s="16">
        <f>IFERROR(__xludf.DUMMYFUNCTION("""COMPUTED_VALUE"""),-2.0)</f>
        <v>-2</v>
      </c>
      <c r="AK494" s="16">
        <f>IFERROR(__xludf.DUMMYFUNCTION("""COMPUTED_VALUE"""),20.8)</f>
        <v>20.8</v>
      </c>
      <c r="AL494" s="16">
        <f>IFERROR(__xludf.DUMMYFUNCTION("""COMPUTED_VALUE"""),20.4)</f>
        <v>20.4</v>
      </c>
      <c r="AM494" s="16">
        <f>IFERROR(__xludf.DUMMYFUNCTION("""COMPUTED_VALUE"""),-1.0)</f>
        <v>-1</v>
      </c>
      <c r="AN494" s="16">
        <f>IFERROR(__xludf.DUMMYFUNCTION("""COMPUTED_VALUE"""),-1.0)</f>
        <v>-1</v>
      </c>
      <c r="AO494" s="16">
        <f>IFERROR(__xludf.DUMMYFUNCTION("""COMPUTED_VALUE"""),-1.0)</f>
        <v>-1</v>
      </c>
      <c r="AP494" s="16">
        <f>IFERROR(__xludf.DUMMYFUNCTION("""COMPUTED_VALUE"""),-1.0)</f>
        <v>-1</v>
      </c>
      <c r="AQ494" s="16">
        <f>IFERROR(__xludf.DUMMYFUNCTION("""COMPUTED_VALUE"""),33.400000000000006)</f>
        <v>33.4</v>
      </c>
      <c r="AR494" s="16">
        <f>IFERROR(__xludf.DUMMYFUNCTION("""COMPUTED_VALUE"""),29.0)</f>
        <v>29</v>
      </c>
      <c r="AS494" s="16">
        <f>IFERROR(__xludf.DUMMYFUNCTION("""COMPUTED_VALUE"""),-2.0)</f>
        <v>-2</v>
      </c>
      <c r="AT494" s="16">
        <f>IFERROR(__xludf.DUMMYFUNCTION("""COMPUTED_VALUE"""),-1.0)</f>
        <v>-1</v>
      </c>
      <c r="AU494" s="16">
        <f>IFERROR(__xludf.DUMMYFUNCTION("""COMPUTED_VALUE"""),-4.0)</f>
        <v>-4</v>
      </c>
      <c r="AV494" s="16">
        <f>IFERROR(__xludf.DUMMYFUNCTION("""COMPUTED_VALUE"""),-2.0)</f>
        <v>-2</v>
      </c>
      <c r="AW494" s="16">
        <f>IFERROR(__xludf.DUMMYFUNCTION("""COMPUTED_VALUE"""),3.8)</f>
        <v>3.8</v>
      </c>
      <c r="AX494" s="16">
        <f>IFERROR(__xludf.DUMMYFUNCTION("""COMPUTED_VALUE"""),2.6)</f>
        <v>2.6</v>
      </c>
      <c r="AY494" s="16">
        <f>IFERROR(__xludf.DUMMYFUNCTION("""COMPUTED_VALUE"""),-2.0)</f>
        <v>-2</v>
      </c>
      <c r="AZ494" s="16">
        <f>IFERROR(__xludf.DUMMYFUNCTION("""COMPUTED_VALUE"""),-1.0)</f>
        <v>-1</v>
      </c>
      <c r="BA494" s="16">
        <f>IFERROR(__xludf.DUMMYFUNCTION("""COMPUTED_VALUE"""),-10.0)</f>
        <v>-10</v>
      </c>
      <c r="BB494" s="16">
        <f>IFERROR(__xludf.DUMMYFUNCTION("""COMPUTED_VALUE"""),-5.0)</f>
        <v>-5</v>
      </c>
      <c r="BC494" s="16">
        <f>IFERROR(__xludf.DUMMYFUNCTION("""COMPUTED_VALUE"""),7.0)</f>
        <v>7</v>
      </c>
      <c r="BD494" s="16">
        <f>IFERROR(__xludf.DUMMYFUNCTION("""COMPUTED_VALUE"""),4.0)</f>
        <v>4</v>
      </c>
      <c r="BE494" s="16">
        <f>IFERROR(__xludf.DUMMYFUNCTION("""COMPUTED_VALUE"""),7.0)</f>
        <v>7</v>
      </c>
      <c r="BF494" s="16">
        <f>IFERROR(__xludf.DUMMYFUNCTION("""COMPUTED_VALUE"""),4.0)</f>
        <v>4</v>
      </c>
      <c r="BG494" s="16">
        <f>IFERROR(__xludf.DUMMYFUNCTION("""COMPUTED_VALUE"""),-3.0)</f>
        <v>-3</v>
      </c>
      <c r="BH494" s="16">
        <f>IFERROR(__xludf.DUMMYFUNCTION("""COMPUTED_VALUE"""),-1.0)</f>
        <v>-1</v>
      </c>
      <c r="BI494" s="16">
        <f>IFERROR(__xludf.DUMMYFUNCTION("""COMPUTED_VALUE"""),-6.0)</f>
        <v>-6</v>
      </c>
      <c r="BJ494" s="16">
        <f>IFERROR(__xludf.DUMMYFUNCTION("""COMPUTED_VALUE"""),-2.0)</f>
        <v>-2</v>
      </c>
      <c r="BK494" s="16">
        <f>IFERROR(__xludf.DUMMYFUNCTION("""COMPUTED_VALUE"""),5.0)</f>
        <v>5</v>
      </c>
      <c r="BL494" s="16">
        <f>IFERROR(__xludf.DUMMYFUNCTION("""COMPUTED_VALUE"""),5.0)</f>
        <v>5</v>
      </c>
      <c r="BM494" s="16">
        <f>IFERROR(__xludf.DUMMYFUNCTION("""COMPUTED_VALUE"""),0.0)</f>
        <v>0</v>
      </c>
      <c r="BN494" s="16">
        <f>IFERROR(__xludf.DUMMYFUNCTION("""COMPUTED_VALUE"""),0.0)</f>
        <v>0</v>
      </c>
      <c r="BO494" s="16">
        <f>IFERROR(__xludf.DUMMYFUNCTION("""COMPUTED_VALUE"""),0.0)</f>
        <v>0</v>
      </c>
      <c r="BP494" s="16">
        <f>IFERROR(__xludf.DUMMYFUNCTION("""COMPUTED_VALUE"""),0.0)</f>
        <v>0</v>
      </c>
      <c r="BQ494" s="16">
        <f>IFERROR(__xludf.DUMMYFUNCTION("""COMPUTED_VALUE"""),0.0)</f>
        <v>0</v>
      </c>
      <c r="BR494" s="16">
        <f>IFERROR(__xludf.DUMMYFUNCTION("""COMPUTED_VALUE"""),0.0)</f>
        <v>0</v>
      </c>
      <c r="BS494" s="16">
        <f>IFERROR(__xludf.DUMMYFUNCTION("""COMPUTED_VALUE"""),-3.0)</f>
        <v>-3</v>
      </c>
      <c r="BT494" s="16">
        <f>IFERROR(__xludf.DUMMYFUNCTION("""COMPUTED_VALUE"""),-3.0)</f>
        <v>-3</v>
      </c>
      <c r="BU494" s="16">
        <f>IFERROR(__xludf.DUMMYFUNCTION("""COMPUTED_VALUE"""),-6.0)</f>
        <v>-6</v>
      </c>
      <c r="BV494" s="16">
        <f>IFERROR(__xludf.DUMMYFUNCTION("""COMPUTED_VALUE"""),-6.0)</f>
        <v>-6</v>
      </c>
      <c r="BW494" s="16">
        <f>IFERROR(__xludf.DUMMYFUNCTION("""COMPUTED_VALUE"""),9.0)</f>
        <v>9</v>
      </c>
      <c r="BX494" s="16">
        <f>IFERROR(__xludf.DUMMYFUNCTION("""COMPUTED_VALUE"""),9.0)</f>
        <v>9</v>
      </c>
      <c r="BY494" s="16" t="str">
        <f>IFERROR(__xludf.DUMMYFUNCTION("""COMPUTED_VALUE"""),"S(5)")</f>
        <v>S(5)</v>
      </c>
      <c r="BZ494" s="16" t="str">
        <f>IFERROR(__xludf.DUMMYFUNCTION("""COMPUTED_VALUE"""),"S(5)")</f>
        <v>S(5)</v>
      </c>
      <c r="CA494" s="16" t="str">
        <f>IFERROR(__xludf.DUMMYFUNCTION("""COMPUTED_VALUE"""),"S(5)")</f>
        <v>S(5)</v>
      </c>
      <c r="CB494" s="16"/>
      <c r="CC494" s="16"/>
      <c r="CD494" s="16">
        <f>IFERROR(__xludf.DUMMYFUNCTION("""COMPUTED_VALUE"""),5.0)</f>
        <v>5</v>
      </c>
      <c r="CE494" s="16"/>
      <c r="CF494" s="16"/>
      <c r="CG494" s="16" t="str">
        <f>IFERROR(__xludf.DUMMYFUNCTION("""COMPUTED_VALUE"""),"4-0")</f>
        <v>4-0</v>
      </c>
      <c r="CH494" s="16">
        <f>IFERROR(__xludf.DUMMYFUNCTION("""COMPUTED_VALUE"""),4.0)</f>
        <v>4</v>
      </c>
      <c r="CI494" s="16">
        <f>IFERROR(__xludf.DUMMYFUNCTION("""COMPUTED_VALUE"""),0.0)</f>
        <v>0</v>
      </c>
      <c r="CJ494" s="16">
        <f>IFERROR(__xludf.DUMMYFUNCTION("""COMPUTED_VALUE"""),0.0)</f>
        <v>0</v>
      </c>
      <c r="CK494" s="16">
        <f>IFERROR(__xludf.DUMMYFUNCTION("""COMPUTED_VALUE"""),6.0)</f>
        <v>6</v>
      </c>
      <c r="CL494" s="16" t="str">
        <f>IFERROR(__xludf.DUMMYFUNCTION("""COMPUTED_VALUE"""),"1WR-C")</f>
        <v>1WR-C</v>
      </c>
      <c r="CM494" s="16" t="str">
        <f>IFERROR(__xludf.DUMMYFUNCTION("""COMPUTED_VALUE"""),"E")</f>
        <v>E</v>
      </c>
      <c r="CN494" s="16">
        <f>IFERROR(__xludf.DUMMYFUNCTION("""COMPUTED_VALUE"""),10.0)</f>
        <v>10</v>
      </c>
      <c r="CO494" s="16" t="str">
        <f>IFERROR(__xludf.DUMMYFUNCTION("""COMPUTED_VALUE"""),"C")</f>
        <v>C</v>
      </c>
      <c r="CP494" s="16" t="str">
        <f>IFERROR(__xludf.DUMMYFUNCTION("""COMPUTED_VALUE"""),"1p20")</f>
        <v>1p20</v>
      </c>
      <c r="CQ494" s="16">
        <f>IFERROR(__xludf.DUMMYFUNCTION("""COMPUTED_VALUE"""),-55.0)</f>
        <v>-55</v>
      </c>
      <c r="CR494" s="16">
        <f>IFERROR(__xludf.DUMMYFUNCTION("""COMPUTED_VALUE"""),-26.0)</f>
        <v>-26</v>
      </c>
      <c r="CS494" s="16">
        <f>IFERROR(__xludf.DUMMYFUNCTION("""COMPUTED_VALUE"""),-81.0)</f>
        <v>-81</v>
      </c>
      <c r="CT494" s="16">
        <f>IFERROR(__xludf.DUMMYFUNCTION("""COMPUTED_VALUE"""),-55.0)</f>
        <v>-55</v>
      </c>
      <c r="CU494" s="16">
        <f>IFERROR(__xludf.DUMMYFUNCTION("""COMPUTED_VALUE"""),-26.0)</f>
        <v>-26</v>
      </c>
      <c r="CV494" s="179">
        <f>IFERROR(__xludf.DUMMYFUNCTION("""COMPUTED_VALUE"""),-38.333333333333336)</f>
        <v>-38.33333333</v>
      </c>
      <c r="CW494" s="179">
        <f>IFERROR(__xludf.DUMMYFUNCTION("""COMPUTED_VALUE"""),4.0)</f>
        <v>4</v>
      </c>
      <c r="CX494" s="179">
        <f>IFERROR(__xludf.DUMMYFUNCTION("""COMPUTED_VALUE"""),3.0)</f>
        <v>3</v>
      </c>
      <c r="CY494" s="16" t="str">
        <f>IFERROR(__xludf.DUMMYFUNCTION("""COMPUTED_VALUE"""),"SP")</f>
        <v>SP</v>
      </c>
      <c r="CZ494" s="16"/>
      <c r="DA494" s="16"/>
      <c r="DB494" s="16"/>
      <c r="DC494" s="16"/>
      <c r="DD494" s="16"/>
      <c r="DE494" s="16"/>
      <c r="DF494" s="16"/>
      <c r="DG494" s="16"/>
      <c r="DH494" s="16"/>
      <c r="DI494" s="16"/>
      <c r="DJ494" s="16"/>
      <c r="DK494" s="16"/>
    </row>
    <row r="495">
      <c r="A495" s="16">
        <f>IFERROR(__xludf.DUMMYFUNCTION("""COMPUTED_VALUE"""),13379.0)</f>
        <v>13379</v>
      </c>
      <c r="B495" s="16" t="str">
        <f>IFERROR(__xludf.DUMMYFUNCTION("""COMPUTED_VALUE"""),"Slade Cecconi")</f>
        <v>Slade Cecconi</v>
      </c>
      <c r="C495" s="153">
        <f>IFERROR(__xludf.DUMMYFUNCTION("""COMPUTED_VALUE"""),0.0)</f>
        <v>0</v>
      </c>
      <c r="D495" s="16"/>
      <c r="E495" s="16" t="str">
        <f>IFERROR(__xludf.DUMMYFUNCTION("""COMPUTED_VALUE"""),"R")</f>
        <v>R</v>
      </c>
      <c r="F495" s="16">
        <f>IFERROR(__xludf.DUMMYFUNCTION("""COMPUTED_VALUE"""),77.0)</f>
        <v>77</v>
      </c>
      <c r="G495" s="16">
        <f>IFERROR(__xludf.DUMMYFUNCTION("""COMPUTED_VALUE"""),11.0)</f>
        <v>11</v>
      </c>
      <c r="H495" s="16">
        <f>IFERROR(__xludf.DUMMYFUNCTION("""COMPUTED_VALUE"""),22.0)</f>
        <v>22</v>
      </c>
      <c r="I495" s="16">
        <f>IFERROR(__xludf.DUMMYFUNCTION("""COMPUTED_VALUE"""),-2.0)</f>
        <v>-2</v>
      </c>
      <c r="J495" s="16">
        <f>IFERROR(__xludf.DUMMYFUNCTION("""COMPUTED_VALUE"""),-1.0)</f>
        <v>-1</v>
      </c>
      <c r="K495" s="16">
        <f>IFERROR(__xludf.DUMMYFUNCTION("""COMPUTED_VALUE"""),-6.0)</f>
        <v>-6</v>
      </c>
      <c r="L495" s="16">
        <f>IFERROR(__xludf.DUMMYFUNCTION("""COMPUTED_VALUE"""),-3.0)</f>
        <v>-3</v>
      </c>
      <c r="M495" s="16">
        <f>IFERROR(__xludf.DUMMYFUNCTION("""COMPUTED_VALUE"""),2.0)</f>
        <v>2</v>
      </c>
      <c r="N495" s="16">
        <f>IFERROR(__xludf.DUMMYFUNCTION("""COMPUTED_VALUE"""),1.0)</f>
        <v>1</v>
      </c>
      <c r="O495" s="16">
        <f>IFERROR(__xludf.DUMMYFUNCTION("""COMPUTED_VALUE"""),2.0)</f>
        <v>2</v>
      </c>
      <c r="P495" s="16">
        <f>IFERROR(__xludf.DUMMYFUNCTION("""COMPUTED_VALUE"""),3.0)</f>
        <v>3</v>
      </c>
      <c r="Q495" s="16">
        <f>IFERROR(__xludf.DUMMYFUNCTION("""COMPUTED_VALUE"""),2.0)</f>
        <v>2</v>
      </c>
      <c r="R495" s="16">
        <f>IFERROR(__xludf.DUMMYFUNCTION("""COMPUTED_VALUE"""),3.0)</f>
        <v>3</v>
      </c>
      <c r="S495" s="16">
        <f>IFERROR(__xludf.DUMMYFUNCTION("""COMPUTED_VALUE"""),20.7)</f>
        <v>20.7</v>
      </c>
      <c r="T495" s="16">
        <f>IFERROR(__xludf.DUMMYFUNCTION("""COMPUTED_VALUE"""),32.4)</f>
        <v>32.4</v>
      </c>
      <c r="U495" s="16">
        <f>IFERROR(__xludf.DUMMYFUNCTION("""COMPUTED_VALUE"""),-1.0)</f>
        <v>-1</v>
      </c>
      <c r="V495" s="16">
        <f>IFERROR(__xludf.DUMMYFUNCTION("""COMPUTED_VALUE"""),-3.0)</f>
        <v>-3</v>
      </c>
      <c r="W495" s="16">
        <f>IFERROR(__xludf.DUMMYFUNCTION("""COMPUTED_VALUE"""),-2.0)</f>
        <v>-2</v>
      </c>
      <c r="X495" s="16">
        <f>IFERROR(__xludf.DUMMYFUNCTION("""COMPUTED_VALUE"""),-6.0)</f>
        <v>-6</v>
      </c>
      <c r="Y495" s="16">
        <f>IFERROR(__xludf.DUMMYFUNCTION("""COMPUTED_VALUE"""),22.7)</f>
        <v>22.7</v>
      </c>
      <c r="Z495" s="16">
        <f>IFERROR(__xludf.DUMMYFUNCTION("""COMPUTED_VALUE"""),33.4)</f>
        <v>33.4</v>
      </c>
      <c r="AA495" s="16">
        <f>IFERROR(__xludf.DUMMYFUNCTION("""COMPUTED_VALUE"""),0.0)</f>
        <v>0</v>
      </c>
      <c r="AB495" s="16">
        <f>IFERROR(__xludf.DUMMYFUNCTION("""COMPUTED_VALUE"""),-1.0)</f>
        <v>-1</v>
      </c>
      <c r="AC495" s="16">
        <f>IFERROR(__xludf.DUMMYFUNCTION("""COMPUTED_VALUE"""),0.0)</f>
        <v>0</v>
      </c>
      <c r="AD495" s="16">
        <f>IFERROR(__xludf.DUMMYFUNCTION("""COMPUTED_VALUE"""),-5.0)</f>
        <v>-5</v>
      </c>
      <c r="AE495" s="16">
        <f>IFERROR(__xludf.DUMMYFUNCTION("""COMPUTED_VALUE"""),41.8)</f>
        <v>41.8</v>
      </c>
      <c r="AF495" s="16">
        <f>IFERROR(__xludf.DUMMYFUNCTION("""COMPUTED_VALUE"""),61.9)</f>
        <v>61.9</v>
      </c>
      <c r="AG495" s="16">
        <f>IFERROR(__xludf.DUMMYFUNCTION("""COMPUTED_VALUE"""),-1.0)</f>
        <v>-1</v>
      </c>
      <c r="AH495" s="16">
        <f>IFERROR(__xludf.DUMMYFUNCTION("""COMPUTED_VALUE"""),-3.0)</f>
        <v>-3</v>
      </c>
      <c r="AI495" s="16">
        <f>IFERROR(__xludf.DUMMYFUNCTION("""COMPUTED_VALUE"""),-2.0)</f>
        <v>-2</v>
      </c>
      <c r="AJ495" s="16">
        <f>IFERROR(__xludf.DUMMYFUNCTION("""COMPUTED_VALUE"""),-6.0)</f>
        <v>-6</v>
      </c>
      <c r="AK495" s="16">
        <f>IFERROR(__xludf.DUMMYFUNCTION("""COMPUTED_VALUE"""),16.9)</f>
        <v>16.9</v>
      </c>
      <c r="AL495" s="16">
        <f>IFERROR(__xludf.DUMMYFUNCTION("""COMPUTED_VALUE"""),26.9)</f>
        <v>26.9</v>
      </c>
      <c r="AM495" s="16">
        <f>IFERROR(__xludf.DUMMYFUNCTION("""COMPUTED_VALUE"""),-1.0)</f>
        <v>-1</v>
      </c>
      <c r="AN495" s="16">
        <f>IFERROR(__xludf.DUMMYFUNCTION("""COMPUTED_VALUE"""),-2.0)</f>
        <v>-2</v>
      </c>
      <c r="AO495" s="16">
        <f>IFERROR(__xludf.DUMMYFUNCTION("""COMPUTED_VALUE"""),-1.0)</f>
        <v>-1</v>
      </c>
      <c r="AP495" s="16">
        <f>IFERROR(__xludf.DUMMYFUNCTION("""COMPUTED_VALUE"""),-2.0)</f>
        <v>-2</v>
      </c>
      <c r="AQ495" s="16">
        <f>IFERROR(__xludf.DUMMYFUNCTION("""COMPUTED_VALUE"""),26.599999999999998)</f>
        <v>26.6</v>
      </c>
      <c r="AR495" s="16">
        <f>IFERROR(__xludf.DUMMYFUNCTION("""COMPUTED_VALUE"""),39.9)</f>
        <v>39.9</v>
      </c>
      <c r="AS495" s="16">
        <f>IFERROR(__xludf.DUMMYFUNCTION("""COMPUTED_VALUE"""),-1.0)</f>
        <v>-1</v>
      </c>
      <c r="AT495" s="16">
        <f>IFERROR(__xludf.DUMMYFUNCTION("""COMPUTED_VALUE"""),-2.0)</f>
        <v>-2</v>
      </c>
      <c r="AU495" s="16">
        <f>IFERROR(__xludf.DUMMYFUNCTION("""COMPUTED_VALUE"""),-2.0)</f>
        <v>-2</v>
      </c>
      <c r="AV495" s="16">
        <f>IFERROR(__xludf.DUMMYFUNCTION("""COMPUTED_VALUE"""),-4.0)</f>
        <v>-4</v>
      </c>
      <c r="AW495" s="16">
        <f>IFERROR(__xludf.DUMMYFUNCTION("""COMPUTED_VALUE"""),3.8)</f>
        <v>3.8</v>
      </c>
      <c r="AX495" s="16">
        <f>IFERROR(__xludf.DUMMYFUNCTION("""COMPUTED_VALUE"""),5.5)</f>
        <v>5.5</v>
      </c>
      <c r="AY495" s="16">
        <f>IFERROR(__xludf.DUMMYFUNCTION("""COMPUTED_VALUE"""),-2.0)</f>
        <v>-2</v>
      </c>
      <c r="AZ495" s="16">
        <f>IFERROR(__xludf.DUMMYFUNCTION("""COMPUTED_VALUE"""),-3.0)</f>
        <v>-3</v>
      </c>
      <c r="BA495" s="16">
        <f>IFERROR(__xludf.DUMMYFUNCTION("""COMPUTED_VALUE"""),-10.0)</f>
        <v>-10</v>
      </c>
      <c r="BB495" s="16">
        <f>IFERROR(__xludf.DUMMYFUNCTION("""COMPUTED_VALUE"""),-15.0)</f>
        <v>-15</v>
      </c>
      <c r="BC495" s="16">
        <f>IFERROR(__xludf.DUMMYFUNCTION("""COMPUTED_VALUE"""),8.0)</f>
        <v>8</v>
      </c>
      <c r="BD495" s="16">
        <f>IFERROR(__xludf.DUMMYFUNCTION("""COMPUTED_VALUE"""),8.0)</f>
        <v>8</v>
      </c>
      <c r="BE495" s="16">
        <f>IFERROR(__xludf.DUMMYFUNCTION("""COMPUTED_VALUE"""),8.0)</f>
        <v>8</v>
      </c>
      <c r="BF495" s="16">
        <f>IFERROR(__xludf.DUMMYFUNCTION("""COMPUTED_VALUE"""),8.0)</f>
        <v>8</v>
      </c>
      <c r="BG495" s="16">
        <f>IFERROR(__xludf.DUMMYFUNCTION("""COMPUTED_VALUE"""),-3.0)</f>
        <v>-3</v>
      </c>
      <c r="BH495" s="16">
        <f>IFERROR(__xludf.DUMMYFUNCTION("""COMPUTED_VALUE"""),-3.0)</f>
        <v>-3</v>
      </c>
      <c r="BI495" s="16">
        <f>IFERROR(__xludf.DUMMYFUNCTION("""COMPUTED_VALUE"""),-6.0)</f>
        <v>-6</v>
      </c>
      <c r="BJ495" s="16">
        <f>IFERROR(__xludf.DUMMYFUNCTION("""COMPUTED_VALUE"""),-6.0)</f>
        <v>-6</v>
      </c>
      <c r="BK495" s="16">
        <f>IFERROR(__xludf.DUMMYFUNCTION("""COMPUTED_VALUE"""),5.0)</f>
        <v>5</v>
      </c>
      <c r="BL495" s="16">
        <f>IFERROR(__xludf.DUMMYFUNCTION("""COMPUTED_VALUE"""),5.0)</f>
        <v>5</v>
      </c>
      <c r="BM495" s="16">
        <f>IFERROR(__xludf.DUMMYFUNCTION("""COMPUTED_VALUE"""),0.0)</f>
        <v>0</v>
      </c>
      <c r="BN495" s="16">
        <f>IFERROR(__xludf.DUMMYFUNCTION("""COMPUTED_VALUE"""),0.0)</f>
        <v>0</v>
      </c>
      <c r="BO495" s="16">
        <f>IFERROR(__xludf.DUMMYFUNCTION("""COMPUTED_VALUE"""),0.0)</f>
        <v>0</v>
      </c>
      <c r="BP495" s="16">
        <f>IFERROR(__xludf.DUMMYFUNCTION("""COMPUTED_VALUE"""),0.0)</f>
        <v>0</v>
      </c>
      <c r="BQ495" s="16">
        <f>IFERROR(__xludf.DUMMYFUNCTION("""COMPUTED_VALUE"""),0.0)</f>
        <v>0</v>
      </c>
      <c r="BR495" s="16">
        <f>IFERROR(__xludf.DUMMYFUNCTION("""COMPUTED_VALUE"""),0.0)</f>
        <v>0</v>
      </c>
      <c r="BS495" s="16">
        <f>IFERROR(__xludf.DUMMYFUNCTION("""COMPUTED_VALUE"""),-3.0)</f>
        <v>-3</v>
      </c>
      <c r="BT495" s="16">
        <f>IFERROR(__xludf.DUMMYFUNCTION("""COMPUTED_VALUE"""),-3.0)</f>
        <v>-3</v>
      </c>
      <c r="BU495" s="16">
        <f>IFERROR(__xludf.DUMMYFUNCTION("""COMPUTED_VALUE"""),-6.0)</f>
        <v>-6</v>
      </c>
      <c r="BV495" s="16">
        <f>IFERROR(__xludf.DUMMYFUNCTION("""COMPUTED_VALUE"""),-6.0)</f>
        <v>-6</v>
      </c>
      <c r="BW495" s="16">
        <f>IFERROR(__xludf.DUMMYFUNCTION("""COMPUTED_VALUE"""),0.0)</f>
        <v>0</v>
      </c>
      <c r="BX495" s="16">
        <f>IFERROR(__xludf.DUMMYFUNCTION("""COMPUTED_VALUE"""),0.0)</f>
        <v>0</v>
      </c>
      <c r="BY495" s="16" t="str">
        <f>IFERROR(__xludf.DUMMYFUNCTION("""COMPUTED_VALUE"""),"S(4) R(3)")</f>
        <v>S(4) R(3)</v>
      </c>
      <c r="BZ495" s="16" t="str">
        <f>IFERROR(__xludf.DUMMYFUNCTION("""COMPUTED_VALUE"""),"S(4) R(3)")</f>
        <v>S(4) R(3)</v>
      </c>
      <c r="CA495" s="16" t="str">
        <f>IFERROR(__xludf.DUMMYFUNCTION("""COMPUTED_VALUE"""),"S(4)")</f>
        <v>S(4)</v>
      </c>
      <c r="CB495" s="16" t="str">
        <f>IFERROR(__xludf.DUMMYFUNCTION("""COMPUTED_VALUE"""),"R(3)")</f>
        <v>R(3)</v>
      </c>
      <c r="CC495" s="16"/>
      <c r="CD495" s="16">
        <f>IFERROR(__xludf.DUMMYFUNCTION("""COMPUTED_VALUE"""),4.0)</f>
        <v>4</v>
      </c>
      <c r="CE495" s="16">
        <f>IFERROR(__xludf.DUMMYFUNCTION("""COMPUTED_VALUE"""),3.0)</f>
        <v>3</v>
      </c>
      <c r="CF495" s="16"/>
      <c r="CG495" s="16" t="str">
        <f>IFERROR(__xludf.DUMMYFUNCTION("""COMPUTED_VALUE"""),"3-0")</f>
        <v>3-0</v>
      </c>
      <c r="CH495" s="16">
        <f>IFERROR(__xludf.DUMMYFUNCTION("""COMPUTED_VALUE"""),3.0)</f>
        <v>3</v>
      </c>
      <c r="CI495" s="16">
        <f>IFERROR(__xludf.DUMMYFUNCTION("""COMPUTED_VALUE"""),0.0)</f>
        <v>0</v>
      </c>
      <c r="CJ495" s="16">
        <f>IFERROR(__xludf.DUMMYFUNCTION("""COMPUTED_VALUE"""),4.0)</f>
        <v>4</v>
      </c>
      <c r="CK495" s="16">
        <f>IFERROR(__xludf.DUMMYFUNCTION("""COMPUTED_VALUE"""),5.0)</f>
        <v>5</v>
      </c>
      <c r="CL495" s="16" t="str">
        <f>IFERROR(__xludf.DUMMYFUNCTION("""COMPUTED_VALUE"""),"1WR-C")</f>
        <v>1WR-C</v>
      </c>
      <c r="CM495" s="16" t="str">
        <f>IFERROR(__xludf.DUMMYFUNCTION("""COMPUTED_VALUE"""),"E")</f>
        <v>E</v>
      </c>
      <c r="CN495" s="16">
        <f>IFERROR(__xludf.DUMMYFUNCTION("""COMPUTED_VALUE"""),10.0)</f>
        <v>10</v>
      </c>
      <c r="CO495" s="16" t="str">
        <f>IFERROR(__xludf.DUMMYFUNCTION("""COMPUTED_VALUE"""),"C")</f>
        <v>C</v>
      </c>
      <c r="CP495" s="16" t="str">
        <f>IFERROR(__xludf.DUMMYFUNCTION("""COMPUTED_VALUE"""),"1p40")</f>
        <v>1p40</v>
      </c>
      <c r="CQ495" s="16">
        <f>IFERROR(__xludf.DUMMYFUNCTION("""COMPUTED_VALUE"""),-33.0)</f>
        <v>-33</v>
      </c>
      <c r="CR495" s="16">
        <f>IFERROR(__xludf.DUMMYFUNCTION("""COMPUTED_VALUE"""),-50.0)</f>
        <v>-50</v>
      </c>
      <c r="CS495" s="16">
        <f>IFERROR(__xludf.DUMMYFUNCTION("""COMPUTED_VALUE"""),-83.0)</f>
        <v>-83</v>
      </c>
      <c r="CT495" s="16">
        <f>IFERROR(__xludf.DUMMYFUNCTION("""COMPUTED_VALUE"""),-33.0)</f>
        <v>-33</v>
      </c>
      <c r="CU495" s="16">
        <f>IFERROR(__xludf.DUMMYFUNCTION("""COMPUTED_VALUE"""),-50.0)</f>
        <v>-50</v>
      </c>
      <c r="CV495" s="179">
        <f>IFERROR(__xludf.DUMMYFUNCTION("""COMPUTED_VALUE"""),-39.333333333333336)</f>
        <v>-39.33333333</v>
      </c>
      <c r="CW495" s="179">
        <f>IFERROR(__xludf.DUMMYFUNCTION("""COMPUTED_VALUE"""),4.0)</f>
        <v>4</v>
      </c>
      <c r="CX495" s="179">
        <f>IFERROR(__xludf.DUMMYFUNCTION("""COMPUTED_VALUE"""),1.0)</f>
        <v>1</v>
      </c>
      <c r="CY495" s="16" t="str">
        <f>IFERROR(__xludf.DUMMYFUNCTION("""COMPUTED_VALUE"""),"SP")</f>
        <v>SP</v>
      </c>
      <c r="CZ495" s="16" t="str">
        <f>IFERROR(__xludf.DUMMYFUNCTION("""COMPUTED_VALUE"""),"RP")</f>
        <v>RP</v>
      </c>
      <c r="DA495" s="16"/>
      <c r="DB495" s="16"/>
      <c r="DC495" s="16"/>
      <c r="DD495" s="16"/>
      <c r="DE495" s="16"/>
      <c r="DF495" s="16"/>
      <c r="DG495" s="16"/>
      <c r="DH495" s="16"/>
      <c r="DI495" s="16"/>
      <c r="DJ495" s="16"/>
      <c r="DK495" s="16"/>
    </row>
    <row r="496">
      <c r="A496" s="16">
        <f>IFERROR(__xludf.DUMMYFUNCTION("""COMPUTED_VALUE"""),13421.0)</f>
        <v>13421</v>
      </c>
      <c r="B496" s="16" t="str">
        <f>IFERROR(__xludf.DUMMYFUNCTION("""COMPUTED_VALUE"""),"Tommy Henry")</f>
        <v>Tommy Henry</v>
      </c>
      <c r="C496" s="153">
        <f>IFERROR(__xludf.DUMMYFUNCTION("""COMPUTED_VALUE"""),0.0)</f>
        <v>0</v>
      </c>
      <c r="D496" s="16"/>
      <c r="E496" s="16" t="str">
        <f>IFERROR(__xludf.DUMMYFUNCTION("""COMPUTED_VALUE"""),"L")</f>
        <v>L</v>
      </c>
      <c r="F496" s="16">
        <f>IFERROR(__xludf.DUMMYFUNCTION("""COMPUTED_VALUE"""),38.0)</f>
        <v>38</v>
      </c>
      <c r="G496" s="16">
        <f>IFERROR(__xludf.DUMMYFUNCTION("""COMPUTED_VALUE"""),9.0)</f>
        <v>9</v>
      </c>
      <c r="H496" s="16">
        <f>IFERROR(__xludf.DUMMYFUNCTION("""COMPUTED_VALUE"""),12.0)</f>
        <v>12</v>
      </c>
      <c r="I496" s="16">
        <f>IFERROR(__xludf.DUMMYFUNCTION("""COMPUTED_VALUE"""),-2.0)</f>
        <v>-2</v>
      </c>
      <c r="J496" s="16">
        <f>IFERROR(__xludf.DUMMYFUNCTION("""COMPUTED_VALUE"""),-2.0)</f>
        <v>-2</v>
      </c>
      <c r="K496" s="16">
        <f>IFERROR(__xludf.DUMMYFUNCTION("""COMPUTED_VALUE"""),-6.0)</f>
        <v>-6</v>
      </c>
      <c r="L496" s="16">
        <f>IFERROR(__xludf.DUMMYFUNCTION("""COMPUTED_VALUE"""),-6.0)</f>
        <v>-6</v>
      </c>
      <c r="M496" s="16">
        <f>IFERROR(__xludf.DUMMYFUNCTION("""COMPUTED_VALUE"""),5.0)</f>
        <v>5</v>
      </c>
      <c r="N496" s="16">
        <f>IFERROR(__xludf.DUMMYFUNCTION("""COMPUTED_VALUE"""),17.0)</f>
        <v>17</v>
      </c>
      <c r="O496" s="16">
        <f>IFERROR(__xludf.DUMMYFUNCTION("""COMPUTED_VALUE"""),2.0)</f>
        <v>2</v>
      </c>
      <c r="P496" s="16">
        <f>IFERROR(__xludf.DUMMYFUNCTION("""COMPUTED_VALUE"""),-3.0)</f>
        <v>-3</v>
      </c>
      <c r="Q496" s="16">
        <f>IFERROR(__xludf.DUMMYFUNCTION("""COMPUTED_VALUE"""),2.0)</f>
        <v>2</v>
      </c>
      <c r="R496" s="16">
        <f>IFERROR(__xludf.DUMMYFUNCTION("""COMPUTED_VALUE"""),-3.0)</f>
        <v>-3</v>
      </c>
      <c r="S496" s="16">
        <f>IFERROR(__xludf.DUMMYFUNCTION("""COMPUTED_VALUE"""),34.6)</f>
        <v>34.6</v>
      </c>
      <c r="T496" s="16">
        <f>IFERROR(__xludf.DUMMYFUNCTION("""COMPUTED_VALUE"""),23.4)</f>
        <v>23.4</v>
      </c>
      <c r="U496" s="16">
        <f>IFERROR(__xludf.DUMMYFUNCTION("""COMPUTED_VALUE"""),-3.0)</f>
        <v>-3</v>
      </c>
      <c r="V496" s="16">
        <f>IFERROR(__xludf.DUMMYFUNCTION("""COMPUTED_VALUE"""),-1.0)</f>
        <v>-1</v>
      </c>
      <c r="W496" s="16">
        <f>IFERROR(__xludf.DUMMYFUNCTION("""COMPUTED_VALUE"""),-6.0)</f>
        <v>-6</v>
      </c>
      <c r="X496" s="16">
        <f>IFERROR(__xludf.DUMMYFUNCTION("""COMPUTED_VALUE"""),-2.0)</f>
        <v>-2</v>
      </c>
      <c r="Y496" s="16">
        <f>IFERROR(__xludf.DUMMYFUNCTION("""COMPUTED_VALUE"""),39.6)</f>
        <v>39.6</v>
      </c>
      <c r="Z496" s="16">
        <f>IFERROR(__xludf.DUMMYFUNCTION("""COMPUTED_VALUE"""),40.4)</f>
        <v>40.4</v>
      </c>
      <c r="AA496" s="16">
        <f>IFERROR(__xludf.DUMMYFUNCTION("""COMPUTED_VALUE"""),-2.0)</f>
        <v>-2</v>
      </c>
      <c r="AB496" s="16">
        <f>IFERROR(__xludf.DUMMYFUNCTION("""COMPUTED_VALUE"""),-2.0)</f>
        <v>-2</v>
      </c>
      <c r="AC496" s="16">
        <f>IFERROR(__xludf.DUMMYFUNCTION("""COMPUTED_VALUE"""),-10.0)</f>
        <v>-10</v>
      </c>
      <c r="AD496" s="16">
        <f>IFERROR(__xludf.DUMMYFUNCTION("""COMPUTED_VALUE"""),-10.0)</f>
        <v>-10</v>
      </c>
      <c r="AE496" s="16">
        <f>IFERROR(__xludf.DUMMYFUNCTION("""COMPUTED_VALUE"""),65.9)</f>
        <v>65.9</v>
      </c>
      <c r="AF496" s="16">
        <f>IFERROR(__xludf.DUMMYFUNCTION("""COMPUTED_VALUE"""),53.2)</f>
        <v>53.2</v>
      </c>
      <c r="AG496" s="16">
        <f>IFERROR(__xludf.DUMMYFUNCTION("""COMPUTED_VALUE"""),-3.0)</f>
        <v>-3</v>
      </c>
      <c r="AH496" s="16">
        <f>IFERROR(__xludf.DUMMYFUNCTION("""COMPUTED_VALUE"""),-2.0)</f>
        <v>-2</v>
      </c>
      <c r="AI496" s="16">
        <f>IFERROR(__xludf.DUMMYFUNCTION("""COMPUTED_VALUE"""),-6.0)</f>
        <v>-6</v>
      </c>
      <c r="AJ496" s="16">
        <f>IFERROR(__xludf.DUMMYFUNCTION("""COMPUTED_VALUE"""),-4.0)</f>
        <v>-4</v>
      </c>
      <c r="AK496" s="16">
        <f>IFERROR(__xludf.DUMMYFUNCTION("""COMPUTED_VALUE"""),31.0)</f>
        <v>31</v>
      </c>
      <c r="AL496" s="16">
        <f>IFERROR(__xludf.DUMMYFUNCTION("""COMPUTED_VALUE"""),17.4)</f>
        <v>17.4</v>
      </c>
      <c r="AM496" s="16">
        <f>IFERROR(__xludf.DUMMYFUNCTION("""COMPUTED_VALUE"""),-3.0)</f>
        <v>-3</v>
      </c>
      <c r="AN496" s="16">
        <f>IFERROR(__xludf.DUMMYFUNCTION("""COMPUTED_VALUE"""),-1.0)</f>
        <v>-1</v>
      </c>
      <c r="AO496" s="16">
        <f>IFERROR(__xludf.DUMMYFUNCTION("""COMPUTED_VALUE"""),-3.0)</f>
        <v>-3</v>
      </c>
      <c r="AP496" s="16">
        <f>IFERROR(__xludf.DUMMYFUNCTION("""COMPUTED_VALUE"""),-1.0)</f>
        <v>-1</v>
      </c>
      <c r="AQ496" s="16">
        <f>IFERROR(__xludf.DUMMYFUNCTION("""COMPUTED_VALUE"""),51.50000000000001)</f>
        <v>51.5</v>
      </c>
      <c r="AR496" s="16">
        <f>IFERROR(__xludf.DUMMYFUNCTION("""COMPUTED_VALUE"""),29.200000000000003)</f>
        <v>29.2</v>
      </c>
      <c r="AS496" s="16">
        <f>IFERROR(__xludf.DUMMYFUNCTION("""COMPUTED_VALUE"""),-3.0)</f>
        <v>-3</v>
      </c>
      <c r="AT496" s="16">
        <f>IFERROR(__xludf.DUMMYFUNCTION("""COMPUTED_VALUE"""),-1.0)</f>
        <v>-1</v>
      </c>
      <c r="AU496" s="16">
        <f>IFERROR(__xludf.DUMMYFUNCTION("""COMPUTED_VALUE"""),-6.0)</f>
        <v>-6</v>
      </c>
      <c r="AV496" s="16">
        <f>IFERROR(__xludf.DUMMYFUNCTION("""COMPUTED_VALUE"""),-2.0)</f>
        <v>-2</v>
      </c>
      <c r="AW496" s="16">
        <f>IFERROR(__xludf.DUMMYFUNCTION("""COMPUTED_VALUE"""),3.6)</f>
        <v>3.6</v>
      </c>
      <c r="AX496" s="16">
        <f>IFERROR(__xludf.DUMMYFUNCTION("""COMPUTED_VALUE"""),6.0)</f>
        <v>6</v>
      </c>
      <c r="AY496" s="16">
        <f>IFERROR(__xludf.DUMMYFUNCTION("""COMPUTED_VALUE"""),-2.0)</f>
        <v>-2</v>
      </c>
      <c r="AZ496" s="16">
        <f>IFERROR(__xludf.DUMMYFUNCTION("""COMPUTED_VALUE"""),-3.0)</f>
        <v>-3</v>
      </c>
      <c r="BA496" s="16">
        <f>IFERROR(__xludf.DUMMYFUNCTION("""COMPUTED_VALUE"""),-10.0)</f>
        <v>-10</v>
      </c>
      <c r="BB496" s="16">
        <f>IFERROR(__xludf.DUMMYFUNCTION("""COMPUTED_VALUE"""),-15.0)</f>
        <v>-15</v>
      </c>
      <c r="BC496" s="16">
        <f>IFERROR(__xludf.DUMMYFUNCTION("""COMPUTED_VALUE"""),8.0)</f>
        <v>8</v>
      </c>
      <c r="BD496" s="16">
        <f>IFERROR(__xludf.DUMMYFUNCTION("""COMPUTED_VALUE"""),8.0)</f>
        <v>8</v>
      </c>
      <c r="BE496" s="16">
        <f>IFERROR(__xludf.DUMMYFUNCTION("""COMPUTED_VALUE"""),8.0)</f>
        <v>8</v>
      </c>
      <c r="BF496" s="16">
        <f>IFERROR(__xludf.DUMMYFUNCTION("""COMPUTED_VALUE"""),8.0)</f>
        <v>8</v>
      </c>
      <c r="BG496" s="16">
        <f>IFERROR(__xludf.DUMMYFUNCTION("""COMPUTED_VALUE"""),-3.0)</f>
        <v>-3</v>
      </c>
      <c r="BH496" s="16">
        <f>IFERROR(__xludf.DUMMYFUNCTION("""COMPUTED_VALUE"""),-3.0)</f>
        <v>-3</v>
      </c>
      <c r="BI496" s="16">
        <f>IFERROR(__xludf.DUMMYFUNCTION("""COMPUTED_VALUE"""),-6.0)</f>
        <v>-6</v>
      </c>
      <c r="BJ496" s="16">
        <f>IFERROR(__xludf.DUMMYFUNCTION("""COMPUTED_VALUE"""),-6.0)</f>
        <v>-6</v>
      </c>
      <c r="BK496" s="16">
        <f>IFERROR(__xludf.DUMMYFUNCTION("""COMPUTED_VALUE"""),5.0)</f>
        <v>5</v>
      </c>
      <c r="BL496" s="16">
        <f>IFERROR(__xludf.DUMMYFUNCTION("""COMPUTED_VALUE"""),5.0)</f>
        <v>5</v>
      </c>
      <c r="BM496" s="16">
        <f>IFERROR(__xludf.DUMMYFUNCTION("""COMPUTED_VALUE"""),0.0)</f>
        <v>0</v>
      </c>
      <c r="BN496" s="16">
        <f>IFERROR(__xludf.DUMMYFUNCTION("""COMPUTED_VALUE"""),0.0)</f>
        <v>0</v>
      </c>
      <c r="BO496" s="16">
        <f>IFERROR(__xludf.DUMMYFUNCTION("""COMPUTED_VALUE"""),0.0)</f>
        <v>0</v>
      </c>
      <c r="BP496" s="16">
        <f>IFERROR(__xludf.DUMMYFUNCTION("""COMPUTED_VALUE"""),0.0)</f>
        <v>0</v>
      </c>
      <c r="BQ496" s="16">
        <f>IFERROR(__xludf.DUMMYFUNCTION("""COMPUTED_VALUE"""),8.0)</f>
        <v>8</v>
      </c>
      <c r="BR496" s="16">
        <f>IFERROR(__xludf.DUMMYFUNCTION("""COMPUTED_VALUE"""),8.0)</f>
        <v>8</v>
      </c>
      <c r="BS496" s="16">
        <f>IFERROR(__xludf.DUMMYFUNCTION("""COMPUTED_VALUE"""),2.0)</f>
        <v>2</v>
      </c>
      <c r="BT496" s="16">
        <f>IFERROR(__xludf.DUMMYFUNCTION("""COMPUTED_VALUE"""),2.0)</f>
        <v>2</v>
      </c>
      <c r="BU496" s="16">
        <f>IFERROR(__xludf.DUMMYFUNCTION("""COMPUTED_VALUE"""),4.0)</f>
        <v>4</v>
      </c>
      <c r="BV496" s="16">
        <f>IFERROR(__xludf.DUMMYFUNCTION("""COMPUTED_VALUE"""),4.0)</f>
        <v>4</v>
      </c>
      <c r="BW496" s="16">
        <f>IFERROR(__xludf.DUMMYFUNCTION("""COMPUTED_VALUE"""),-2.0)</f>
        <v>-2</v>
      </c>
      <c r="BX496" s="16">
        <f>IFERROR(__xludf.DUMMYFUNCTION("""COMPUTED_VALUE"""),-2.0)</f>
        <v>-2</v>
      </c>
      <c r="BY496" s="16" t="str">
        <f>IFERROR(__xludf.DUMMYFUNCTION("""COMPUTED_VALUE"""),"S(4) R(3)")</f>
        <v>S(4) R(3)</v>
      </c>
      <c r="BZ496" s="16" t="str">
        <f>IFERROR(__xludf.DUMMYFUNCTION("""COMPUTED_VALUE"""),"S(4) R(3)")</f>
        <v>S(4) R(3)</v>
      </c>
      <c r="CA496" s="16" t="str">
        <f>IFERROR(__xludf.DUMMYFUNCTION("""COMPUTED_VALUE"""),"S(4)")</f>
        <v>S(4)</v>
      </c>
      <c r="CB496" s="16" t="str">
        <f>IFERROR(__xludf.DUMMYFUNCTION("""COMPUTED_VALUE"""),"R(3)")</f>
        <v>R(3)</v>
      </c>
      <c r="CC496" s="16"/>
      <c r="CD496" s="16">
        <f>IFERROR(__xludf.DUMMYFUNCTION("""COMPUTED_VALUE"""),4.0)</f>
        <v>4</v>
      </c>
      <c r="CE496" s="16">
        <f>IFERROR(__xludf.DUMMYFUNCTION("""COMPUTED_VALUE"""),3.0)</f>
        <v>3</v>
      </c>
      <c r="CF496" s="16"/>
      <c r="CG496" s="16" t="str">
        <f>IFERROR(__xludf.DUMMYFUNCTION("""COMPUTED_VALUE"""),"3-0")</f>
        <v>3-0</v>
      </c>
      <c r="CH496" s="16">
        <f>IFERROR(__xludf.DUMMYFUNCTION("""COMPUTED_VALUE"""),3.0)</f>
        <v>3</v>
      </c>
      <c r="CI496" s="16">
        <f>IFERROR(__xludf.DUMMYFUNCTION("""COMPUTED_VALUE"""),0.0)</f>
        <v>0</v>
      </c>
      <c r="CJ496" s="16">
        <f>IFERROR(__xludf.DUMMYFUNCTION("""COMPUTED_VALUE"""),0.0)</f>
        <v>0</v>
      </c>
      <c r="CK496" s="16">
        <f>IFERROR(__xludf.DUMMYFUNCTION("""COMPUTED_VALUE"""),0.0)</f>
        <v>0</v>
      </c>
      <c r="CL496" s="16" t="str">
        <f>IFERROR(__xludf.DUMMYFUNCTION("""COMPUTED_VALUE"""),"1WL-C")</f>
        <v>1WL-C</v>
      </c>
      <c r="CM496" s="16" t="str">
        <f>IFERROR(__xludf.DUMMYFUNCTION("""COMPUTED_VALUE"""),"E")</f>
        <v>E</v>
      </c>
      <c r="CN496" s="16">
        <f>IFERROR(__xludf.DUMMYFUNCTION("""COMPUTED_VALUE"""),10.0)</f>
        <v>10</v>
      </c>
      <c r="CO496" s="16" t="str">
        <f>IFERROR(__xludf.DUMMYFUNCTION("""COMPUTED_VALUE"""),"C")</f>
        <v>C</v>
      </c>
      <c r="CP496" s="16" t="str">
        <f>IFERROR(__xludf.DUMMYFUNCTION("""COMPUTED_VALUE"""),"1p20")</f>
        <v>1p20</v>
      </c>
      <c r="CQ496" s="16">
        <f>IFERROR(__xludf.DUMMYFUNCTION("""COMPUTED_VALUE"""),-47.0)</f>
        <v>-47</v>
      </c>
      <c r="CR496" s="16">
        <f>IFERROR(__xludf.DUMMYFUNCTION("""COMPUTED_VALUE"""),-45.0)</f>
        <v>-45</v>
      </c>
      <c r="CS496" s="16">
        <f>IFERROR(__xludf.DUMMYFUNCTION("""COMPUTED_VALUE"""),-92.0)</f>
        <v>-92</v>
      </c>
      <c r="CT496" s="16">
        <f>IFERROR(__xludf.DUMMYFUNCTION("""COMPUTED_VALUE"""),-47.0)</f>
        <v>-47</v>
      </c>
      <c r="CU496" s="16">
        <f>IFERROR(__xludf.DUMMYFUNCTION("""COMPUTED_VALUE"""),-45.0)</f>
        <v>-45</v>
      </c>
      <c r="CV496" s="179">
        <f>IFERROR(__xludf.DUMMYFUNCTION("""COMPUTED_VALUE"""),-39.333333333333336)</f>
        <v>-39.33333333</v>
      </c>
      <c r="CW496" s="179">
        <f>IFERROR(__xludf.DUMMYFUNCTION("""COMPUTED_VALUE"""),4.0)</f>
        <v>4</v>
      </c>
      <c r="CX496" s="179">
        <f>IFERROR(__xludf.DUMMYFUNCTION("""COMPUTED_VALUE"""),3.0)</f>
        <v>3</v>
      </c>
      <c r="CY496" s="16" t="str">
        <f>IFERROR(__xludf.DUMMYFUNCTION("""COMPUTED_VALUE"""),"SP")</f>
        <v>SP</v>
      </c>
      <c r="CZ496" s="16" t="str">
        <f>IFERROR(__xludf.DUMMYFUNCTION("""COMPUTED_VALUE"""),"RP")</f>
        <v>RP</v>
      </c>
      <c r="DA496" s="16"/>
      <c r="DB496" s="16"/>
      <c r="DC496" s="16"/>
      <c r="DD496" s="16"/>
      <c r="DE496" s="16"/>
      <c r="DF496" s="16"/>
      <c r="DG496" s="16"/>
      <c r="DH496" s="16"/>
      <c r="DI496" s="16"/>
      <c r="DJ496" s="16"/>
      <c r="DK496" s="16"/>
    </row>
    <row r="497">
      <c r="A497" s="16">
        <f>IFERROR(__xludf.DUMMYFUNCTION("""COMPUTED_VALUE"""),12587.0)</f>
        <v>12587</v>
      </c>
      <c r="B497" s="16" t="str">
        <f>IFERROR(__xludf.DUMMYFUNCTION("""COMPUTED_VALUE"""),"Bobby Miller")</f>
        <v>Bobby Miller</v>
      </c>
      <c r="C497" s="153">
        <f>IFERROR(__xludf.DUMMYFUNCTION("""COMPUTED_VALUE"""),0.0)</f>
        <v>0</v>
      </c>
      <c r="D497" s="16"/>
      <c r="E497" s="16" t="str">
        <f>IFERROR(__xludf.DUMMYFUNCTION("""COMPUTED_VALUE"""),"R")</f>
        <v>R</v>
      </c>
      <c r="F497" s="16">
        <f>IFERROR(__xludf.DUMMYFUNCTION("""COMPUTED_VALUE"""),56.0)</f>
        <v>56</v>
      </c>
      <c r="G497" s="16">
        <f>IFERROR(__xludf.DUMMYFUNCTION("""COMPUTED_VALUE"""),23.0)</f>
        <v>23</v>
      </c>
      <c r="H497" s="16">
        <f>IFERROR(__xludf.DUMMYFUNCTION("""COMPUTED_VALUE"""),14.0)</f>
        <v>14</v>
      </c>
      <c r="I497" s="16">
        <f>IFERROR(__xludf.DUMMYFUNCTION("""COMPUTED_VALUE"""),-1.0)</f>
        <v>-1</v>
      </c>
      <c r="J497" s="16">
        <f>IFERROR(__xludf.DUMMYFUNCTION("""COMPUTED_VALUE"""),-2.0)</f>
        <v>-2</v>
      </c>
      <c r="K497" s="16">
        <f>IFERROR(__xludf.DUMMYFUNCTION("""COMPUTED_VALUE"""),-3.0)</f>
        <v>-3</v>
      </c>
      <c r="L497" s="16">
        <f>IFERROR(__xludf.DUMMYFUNCTION("""COMPUTED_VALUE"""),-6.0)</f>
        <v>-6</v>
      </c>
      <c r="M497" s="16">
        <f>IFERROR(__xludf.DUMMYFUNCTION("""COMPUTED_VALUE"""),15.0)</f>
        <v>15</v>
      </c>
      <c r="N497" s="16">
        <f>IFERROR(__xludf.DUMMYFUNCTION("""COMPUTED_VALUE"""),18.0)</f>
        <v>18</v>
      </c>
      <c r="O497" s="16">
        <f>IFERROR(__xludf.DUMMYFUNCTION("""COMPUTED_VALUE"""),-2.0)</f>
        <v>-2</v>
      </c>
      <c r="P497" s="16">
        <f>IFERROR(__xludf.DUMMYFUNCTION("""COMPUTED_VALUE"""),-3.0)</f>
        <v>-3</v>
      </c>
      <c r="Q497" s="16">
        <f>IFERROR(__xludf.DUMMYFUNCTION("""COMPUTED_VALUE"""),-2.0)</f>
        <v>-2</v>
      </c>
      <c r="R497" s="16">
        <f>IFERROR(__xludf.DUMMYFUNCTION("""COMPUTED_VALUE"""),-3.0)</f>
        <v>-3</v>
      </c>
      <c r="S497" s="16">
        <f>IFERROR(__xludf.DUMMYFUNCTION("""COMPUTED_VALUE"""),22.6)</f>
        <v>22.6</v>
      </c>
      <c r="T497" s="16">
        <f>IFERROR(__xludf.DUMMYFUNCTION("""COMPUTED_VALUE"""),22.7)</f>
        <v>22.7</v>
      </c>
      <c r="U497" s="16">
        <f>IFERROR(__xludf.DUMMYFUNCTION("""COMPUTED_VALUE"""),-1.0)</f>
        <v>-1</v>
      </c>
      <c r="V497" s="16">
        <f>IFERROR(__xludf.DUMMYFUNCTION("""COMPUTED_VALUE"""),-1.0)</f>
        <v>-1</v>
      </c>
      <c r="W497" s="16">
        <f>IFERROR(__xludf.DUMMYFUNCTION("""COMPUTED_VALUE"""),-2.0)</f>
        <v>-2</v>
      </c>
      <c r="X497" s="16">
        <f>IFERROR(__xludf.DUMMYFUNCTION("""COMPUTED_VALUE"""),-2.0)</f>
        <v>-2</v>
      </c>
      <c r="Y497" s="16">
        <f>IFERROR(__xludf.DUMMYFUNCTION("""COMPUTED_VALUE"""),37.7)</f>
        <v>37.7</v>
      </c>
      <c r="Z497" s="16">
        <f>IFERROR(__xludf.DUMMYFUNCTION("""COMPUTED_VALUE"""),40.7)</f>
        <v>40.7</v>
      </c>
      <c r="AA497" s="16">
        <f>IFERROR(__xludf.DUMMYFUNCTION("""COMPUTED_VALUE"""),-2.0)</f>
        <v>-2</v>
      </c>
      <c r="AB497" s="16">
        <f>IFERROR(__xludf.DUMMYFUNCTION("""COMPUTED_VALUE"""),-2.0)</f>
        <v>-2</v>
      </c>
      <c r="AC497" s="16">
        <f>IFERROR(__xludf.DUMMYFUNCTION("""COMPUTED_VALUE"""),-10.0)</f>
        <v>-10</v>
      </c>
      <c r="AD497" s="16">
        <f>IFERROR(__xludf.DUMMYFUNCTION("""COMPUTED_VALUE"""),-10.0)</f>
        <v>-10</v>
      </c>
      <c r="AE497" s="16">
        <f>IFERROR(__xludf.DUMMYFUNCTION("""COMPUTED_VALUE"""),49.5)</f>
        <v>49.5</v>
      </c>
      <c r="AF497" s="16">
        <f>IFERROR(__xludf.DUMMYFUNCTION("""COMPUTED_VALUE"""),41.3)</f>
        <v>41.3</v>
      </c>
      <c r="AG497" s="16">
        <f>IFERROR(__xludf.DUMMYFUNCTION("""COMPUTED_VALUE"""),-2.0)</f>
        <v>-2</v>
      </c>
      <c r="AH497" s="16">
        <f>IFERROR(__xludf.DUMMYFUNCTION("""COMPUTED_VALUE"""),-1.0)</f>
        <v>-1</v>
      </c>
      <c r="AI497" s="16">
        <f>IFERROR(__xludf.DUMMYFUNCTION("""COMPUTED_VALUE"""),-4.0)</f>
        <v>-4</v>
      </c>
      <c r="AJ497" s="16">
        <f>IFERROR(__xludf.DUMMYFUNCTION("""COMPUTED_VALUE"""),-2.0)</f>
        <v>-2</v>
      </c>
      <c r="AK497" s="16">
        <f>IFERROR(__xludf.DUMMYFUNCTION("""COMPUTED_VALUE"""),14.3)</f>
        <v>14.3</v>
      </c>
      <c r="AL497" s="16">
        <f>IFERROR(__xludf.DUMMYFUNCTION("""COMPUTED_VALUE"""),17.7)</f>
        <v>17.7</v>
      </c>
      <c r="AM497" s="16">
        <f>IFERROR(__xludf.DUMMYFUNCTION("""COMPUTED_VALUE"""),0.0)</f>
        <v>0</v>
      </c>
      <c r="AN497" s="16">
        <f>IFERROR(__xludf.DUMMYFUNCTION("""COMPUTED_VALUE"""),-1.0)</f>
        <v>-1</v>
      </c>
      <c r="AO497" s="16">
        <f>IFERROR(__xludf.DUMMYFUNCTION("""COMPUTED_VALUE"""),0.0)</f>
        <v>0</v>
      </c>
      <c r="AP497" s="16">
        <f>IFERROR(__xludf.DUMMYFUNCTION("""COMPUTED_VALUE"""),-1.0)</f>
        <v>-1</v>
      </c>
      <c r="AQ497" s="16">
        <f>IFERROR(__xludf.DUMMYFUNCTION("""COMPUTED_VALUE"""),16.299999999999997)</f>
        <v>16.3</v>
      </c>
      <c r="AR497" s="16">
        <f>IFERROR(__xludf.DUMMYFUNCTION("""COMPUTED_VALUE"""),21.299999999999997)</f>
        <v>21.3</v>
      </c>
      <c r="AS497" s="16">
        <f>IFERROR(__xludf.DUMMYFUNCTION("""COMPUTED_VALUE"""),0.0)</f>
        <v>0</v>
      </c>
      <c r="AT497" s="16">
        <f>IFERROR(__xludf.DUMMYFUNCTION("""COMPUTED_VALUE"""),0.0)</f>
        <v>0</v>
      </c>
      <c r="AU497" s="16">
        <f>IFERROR(__xludf.DUMMYFUNCTION("""COMPUTED_VALUE"""),0.0)</f>
        <v>0</v>
      </c>
      <c r="AV497" s="16">
        <f>IFERROR(__xludf.DUMMYFUNCTION("""COMPUTED_VALUE"""),0.0)</f>
        <v>0</v>
      </c>
      <c r="AW497" s="16">
        <f>IFERROR(__xludf.DUMMYFUNCTION("""COMPUTED_VALUE"""),8.3)</f>
        <v>8.3</v>
      </c>
      <c r="AX497" s="16">
        <f>IFERROR(__xludf.DUMMYFUNCTION("""COMPUTED_VALUE"""),5.0)</f>
        <v>5</v>
      </c>
      <c r="AY497" s="16">
        <f>IFERROR(__xludf.DUMMYFUNCTION("""COMPUTED_VALUE"""),-3.0)</f>
        <v>-3</v>
      </c>
      <c r="AZ497" s="16">
        <f>IFERROR(__xludf.DUMMYFUNCTION("""COMPUTED_VALUE"""),-3.0)</f>
        <v>-3</v>
      </c>
      <c r="BA497" s="16">
        <f>IFERROR(__xludf.DUMMYFUNCTION("""COMPUTED_VALUE"""),-15.0)</f>
        <v>-15</v>
      </c>
      <c r="BB497" s="16">
        <f>IFERROR(__xludf.DUMMYFUNCTION("""COMPUTED_VALUE"""),-15.0)</f>
        <v>-15</v>
      </c>
      <c r="BC497" s="16">
        <f>IFERROR(__xludf.DUMMYFUNCTION("""COMPUTED_VALUE"""),8.0)</f>
        <v>8</v>
      </c>
      <c r="BD497" s="16">
        <f>IFERROR(__xludf.DUMMYFUNCTION("""COMPUTED_VALUE"""),8.0)</f>
        <v>8</v>
      </c>
      <c r="BE497" s="16">
        <f>IFERROR(__xludf.DUMMYFUNCTION("""COMPUTED_VALUE"""),8.0)</f>
        <v>8</v>
      </c>
      <c r="BF497" s="16">
        <f>IFERROR(__xludf.DUMMYFUNCTION("""COMPUTED_VALUE"""),8.0)</f>
        <v>8</v>
      </c>
      <c r="BG497" s="16">
        <f>IFERROR(__xludf.DUMMYFUNCTION("""COMPUTED_VALUE"""),-3.0)</f>
        <v>-3</v>
      </c>
      <c r="BH497" s="16">
        <f>IFERROR(__xludf.DUMMYFUNCTION("""COMPUTED_VALUE"""),-3.0)</f>
        <v>-3</v>
      </c>
      <c r="BI497" s="16">
        <f>IFERROR(__xludf.DUMMYFUNCTION("""COMPUTED_VALUE"""),-6.0)</f>
        <v>-6</v>
      </c>
      <c r="BJ497" s="16">
        <f>IFERROR(__xludf.DUMMYFUNCTION("""COMPUTED_VALUE"""),-6.0)</f>
        <v>-6</v>
      </c>
      <c r="BK497" s="16">
        <f>IFERROR(__xludf.DUMMYFUNCTION("""COMPUTED_VALUE"""),5.0)</f>
        <v>5</v>
      </c>
      <c r="BL497" s="16">
        <f>IFERROR(__xludf.DUMMYFUNCTION("""COMPUTED_VALUE"""),5.0)</f>
        <v>5</v>
      </c>
      <c r="BM497" s="16">
        <f>IFERROR(__xludf.DUMMYFUNCTION("""COMPUTED_VALUE"""),0.0)</f>
        <v>0</v>
      </c>
      <c r="BN497" s="16">
        <f>IFERROR(__xludf.DUMMYFUNCTION("""COMPUTED_VALUE"""),0.0)</f>
        <v>0</v>
      </c>
      <c r="BO497" s="16">
        <f>IFERROR(__xludf.DUMMYFUNCTION("""COMPUTED_VALUE"""),0.0)</f>
        <v>0</v>
      </c>
      <c r="BP497" s="16">
        <f>IFERROR(__xludf.DUMMYFUNCTION("""COMPUTED_VALUE"""),0.0)</f>
        <v>0</v>
      </c>
      <c r="BQ497" s="16">
        <f>IFERROR(__xludf.DUMMYFUNCTION("""COMPUTED_VALUE"""),3.0)</f>
        <v>3</v>
      </c>
      <c r="BR497" s="16">
        <f>IFERROR(__xludf.DUMMYFUNCTION("""COMPUTED_VALUE"""),10.0)</f>
        <v>10</v>
      </c>
      <c r="BS497" s="16">
        <f>IFERROR(__xludf.DUMMYFUNCTION("""COMPUTED_VALUE"""),-1.0)</f>
        <v>-1</v>
      </c>
      <c r="BT497" s="16">
        <f>IFERROR(__xludf.DUMMYFUNCTION("""COMPUTED_VALUE"""),3.0)</f>
        <v>3</v>
      </c>
      <c r="BU497" s="16">
        <f>IFERROR(__xludf.DUMMYFUNCTION("""COMPUTED_VALUE"""),-2.0)</f>
        <v>-2</v>
      </c>
      <c r="BV497" s="16">
        <f>IFERROR(__xludf.DUMMYFUNCTION("""COMPUTED_VALUE"""),6.0)</f>
        <v>6</v>
      </c>
      <c r="BW497" s="16">
        <f>IFERROR(__xludf.DUMMYFUNCTION("""COMPUTED_VALUE"""),2.0)</f>
        <v>2</v>
      </c>
      <c r="BX497" s="16">
        <f>IFERROR(__xludf.DUMMYFUNCTION("""COMPUTED_VALUE"""),2.0)</f>
        <v>2</v>
      </c>
      <c r="BY497" s="16" t="str">
        <f>IFERROR(__xludf.DUMMYFUNCTION("""COMPUTED_VALUE"""),"S(4)")</f>
        <v>S(4)</v>
      </c>
      <c r="BZ497" s="16" t="str">
        <f>IFERROR(__xludf.DUMMYFUNCTION("""COMPUTED_VALUE"""),"S(4)")</f>
        <v>S(4)</v>
      </c>
      <c r="CA497" s="16" t="str">
        <f>IFERROR(__xludf.DUMMYFUNCTION("""COMPUTED_VALUE"""),"S(4)")</f>
        <v>S(4)</v>
      </c>
      <c r="CB497" s="16"/>
      <c r="CC497" s="16"/>
      <c r="CD497" s="16">
        <f>IFERROR(__xludf.DUMMYFUNCTION("""COMPUTED_VALUE"""),4.0)</f>
        <v>4</v>
      </c>
      <c r="CE497" s="16"/>
      <c r="CF497" s="16"/>
      <c r="CG497" s="16" t="str">
        <f>IFERROR(__xludf.DUMMYFUNCTION("""COMPUTED_VALUE"""),"3-0")</f>
        <v>3-0</v>
      </c>
      <c r="CH497" s="16">
        <f>IFERROR(__xludf.DUMMYFUNCTION("""COMPUTED_VALUE"""),3.0)</f>
        <v>3</v>
      </c>
      <c r="CI497" s="16">
        <f>IFERROR(__xludf.DUMMYFUNCTION("""COMPUTED_VALUE"""),0.0)</f>
        <v>0</v>
      </c>
      <c r="CJ497" s="16">
        <f>IFERROR(__xludf.DUMMYFUNCTION("""COMPUTED_VALUE"""),0.0)</f>
        <v>0</v>
      </c>
      <c r="CK497" s="16">
        <f>IFERROR(__xludf.DUMMYFUNCTION("""COMPUTED_VALUE"""),20.0)</f>
        <v>20</v>
      </c>
      <c r="CL497" s="16" t="str">
        <f>IFERROR(__xludf.DUMMYFUNCTION("""COMPUTED_VALUE"""),"1WL-C")</f>
        <v>1WL-C</v>
      </c>
      <c r="CM497" s="16" t="str">
        <f>IFERROR(__xludf.DUMMYFUNCTION("""COMPUTED_VALUE"""),"E")</f>
        <v>E</v>
      </c>
      <c r="CN497" s="16">
        <f>IFERROR(__xludf.DUMMYFUNCTION("""COMPUTED_VALUE"""),10.0)</f>
        <v>10</v>
      </c>
      <c r="CO497" s="16" t="str">
        <f>IFERROR(__xludf.DUMMYFUNCTION("""COMPUTED_VALUE"""),"C")</f>
        <v>C</v>
      </c>
      <c r="CP497" s="16" t="str">
        <f>IFERROR(__xludf.DUMMYFUNCTION("""COMPUTED_VALUE"""),"4p30")</f>
        <v>4p30</v>
      </c>
      <c r="CQ497" s="16">
        <f>IFERROR(__xludf.DUMMYFUNCTION("""COMPUTED_VALUE"""),-44.0)</f>
        <v>-44</v>
      </c>
      <c r="CR497" s="16">
        <f>IFERROR(__xludf.DUMMYFUNCTION("""COMPUTED_VALUE"""),-39.0)</f>
        <v>-39</v>
      </c>
      <c r="CS497" s="16">
        <f>IFERROR(__xludf.DUMMYFUNCTION("""COMPUTED_VALUE"""),-83.0)</f>
        <v>-83</v>
      </c>
      <c r="CT497" s="16">
        <f>IFERROR(__xludf.DUMMYFUNCTION("""COMPUTED_VALUE"""),-44.0)</f>
        <v>-44</v>
      </c>
      <c r="CU497" s="16">
        <f>IFERROR(__xludf.DUMMYFUNCTION("""COMPUTED_VALUE"""),-39.0)</f>
        <v>-39</v>
      </c>
      <c r="CV497" s="179">
        <f>IFERROR(__xludf.DUMMYFUNCTION("""COMPUTED_VALUE"""),-39.333333333333336)</f>
        <v>-39.33333333</v>
      </c>
      <c r="CW497" s="179">
        <f>IFERROR(__xludf.DUMMYFUNCTION("""COMPUTED_VALUE"""),1.0)</f>
        <v>1</v>
      </c>
      <c r="CX497" s="179">
        <f>IFERROR(__xludf.DUMMYFUNCTION("""COMPUTED_VALUE"""),2.0)</f>
        <v>2</v>
      </c>
      <c r="CY497" s="16" t="str">
        <f>IFERROR(__xludf.DUMMYFUNCTION("""COMPUTED_VALUE"""),"SP")</f>
        <v>SP</v>
      </c>
      <c r="CZ497" s="16"/>
      <c r="DA497" s="16"/>
      <c r="DB497" s="16"/>
      <c r="DC497" s="16"/>
      <c r="DD497" s="16"/>
      <c r="DE497" s="16"/>
      <c r="DF497" s="16"/>
      <c r="DG497" s="16"/>
      <c r="DH497" s="16"/>
      <c r="DI497" s="16"/>
      <c r="DJ497" s="16"/>
      <c r="DK497" s="16"/>
    </row>
    <row r="498">
      <c r="A498" s="16">
        <f>IFERROR(__xludf.DUMMYFUNCTION("""COMPUTED_VALUE"""),13162.0)</f>
        <v>13162</v>
      </c>
      <c r="B498" s="16" t="str">
        <f>IFERROR(__xludf.DUMMYFUNCTION("""COMPUTED_VALUE"""),"Mason Black")</f>
        <v>Mason Black</v>
      </c>
      <c r="C498" s="153">
        <f>IFERROR(__xludf.DUMMYFUNCTION("""COMPUTED_VALUE"""),0.0)</f>
        <v>0</v>
      </c>
      <c r="D498" s="16"/>
      <c r="E498" s="16" t="str">
        <f>IFERROR(__xludf.DUMMYFUNCTION("""COMPUTED_VALUE"""),"R")</f>
        <v>R</v>
      </c>
      <c r="F498" s="16">
        <f>IFERROR(__xludf.DUMMYFUNCTION("""COMPUTED_VALUE"""),36.0)</f>
        <v>36</v>
      </c>
      <c r="G498" s="16">
        <f>IFERROR(__xludf.DUMMYFUNCTION("""COMPUTED_VALUE"""),13.0)</f>
        <v>13</v>
      </c>
      <c r="H498" s="16">
        <f>IFERROR(__xludf.DUMMYFUNCTION("""COMPUTED_VALUE"""),19.0)</f>
        <v>19</v>
      </c>
      <c r="I498" s="16">
        <f>IFERROR(__xludf.DUMMYFUNCTION("""COMPUTED_VALUE"""),-2.0)</f>
        <v>-2</v>
      </c>
      <c r="J498" s="16">
        <f>IFERROR(__xludf.DUMMYFUNCTION("""COMPUTED_VALUE"""),-1.0)</f>
        <v>-1</v>
      </c>
      <c r="K498" s="16">
        <f>IFERROR(__xludf.DUMMYFUNCTION("""COMPUTED_VALUE"""),-6.0)</f>
        <v>-6</v>
      </c>
      <c r="L498" s="16">
        <f>IFERROR(__xludf.DUMMYFUNCTION("""COMPUTED_VALUE"""),-3.0)</f>
        <v>-3</v>
      </c>
      <c r="M498" s="16">
        <f>IFERROR(__xludf.DUMMYFUNCTION("""COMPUTED_VALUE"""),10.0)</f>
        <v>10</v>
      </c>
      <c r="N498" s="16">
        <f>IFERROR(__xludf.DUMMYFUNCTION("""COMPUTED_VALUE"""),12.0)</f>
        <v>12</v>
      </c>
      <c r="O498" s="16">
        <f>IFERROR(__xludf.DUMMYFUNCTION("""COMPUTED_VALUE"""),0.0)</f>
        <v>0</v>
      </c>
      <c r="P498" s="16">
        <f>IFERROR(__xludf.DUMMYFUNCTION("""COMPUTED_VALUE"""),-2.0)</f>
        <v>-2</v>
      </c>
      <c r="Q498" s="16">
        <f>IFERROR(__xludf.DUMMYFUNCTION("""COMPUTED_VALUE"""),0.0)</f>
        <v>0</v>
      </c>
      <c r="R498" s="16">
        <f>IFERROR(__xludf.DUMMYFUNCTION("""COMPUTED_VALUE"""),-2.0)</f>
        <v>-2</v>
      </c>
      <c r="S498" s="16">
        <f>IFERROR(__xludf.DUMMYFUNCTION("""COMPUTED_VALUE"""),19.6)</f>
        <v>19.6</v>
      </c>
      <c r="T498" s="16">
        <f>IFERROR(__xludf.DUMMYFUNCTION("""COMPUTED_VALUE"""),31.4)</f>
        <v>31.4</v>
      </c>
      <c r="U498" s="16">
        <f>IFERROR(__xludf.DUMMYFUNCTION("""COMPUTED_VALUE"""),-1.0)</f>
        <v>-1</v>
      </c>
      <c r="V498" s="16">
        <f>IFERROR(__xludf.DUMMYFUNCTION("""COMPUTED_VALUE"""),-2.0)</f>
        <v>-2</v>
      </c>
      <c r="W498" s="16">
        <f>IFERROR(__xludf.DUMMYFUNCTION("""COMPUTED_VALUE"""),-2.0)</f>
        <v>-2</v>
      </c>
      <c r="X498" s="16">
        <f>IFERROR(__xludf.DUMMYFUNCTION("""COMPUTED_VALUE"""),-4.0)</f>
        <v>-4</v>
      </c>
      <c r="Y498" s="16">
        <f>IFERROR(__xludf.DUMMYFUNCTION("""COMPUTED_VALUE"""),29.6)</f>
        <v>29.6</v>
      </c>
      <c r="Z498" s="16">
        <f>IFERROR(__xludf.DUMMYFUNCTION("""COMPUTED_VALUE"""),43.5)</f>
        <v>43.5</v>
      </c>
      <c r="AA498" s="16">
        <f>IFERROR(__xludf.DUMMYFUNCTION("""COMPUTED_VALUE"""),-1.0)</f>
        <v>-1</v>
      </c>
      <c r="AB498" s="16">
        <f>IFERROR(__xludf.DUMMYFUNCTION("""COMPUTED_VALUE"""),-2.0)</f>
        <v>-2</v>
      </c>
      <c r="AC498" s="16">
        <f>IFERROR(__xludf.DUMMYFUNCTION("""COMPUTED_VALUE"""),-5.0)</f>
        <v>-5</v>
      </c>
      <c r="AD498" s="16">
        <f>IFERROR(__xludf.DUMMYFUNCTION("""COMPUTED_VALUE"""),-10.0)</f>
        <v>-10</v>
      </c>
      <c r="AE498" s="16">
        <f>IFERROR(__xludf.DUMMYFUNCTION("""COMPUTED_VALUE"""),29.0)</f>
        <v>29</v>
      </c>
      <c r="AF498" s="16">
        <f>IFERROR(__xludf.DUMMYFUNCTION("""COMPUTED_VALUE"""),58.5)</f>
        <v>58.5</v>
      </c>
      <c r="AG498" s="16">
        <f>IFERROR(__xludf.DUMMYFUNCTION("""COMPUTED_VALUE"""),0.0)</f>
        <v>0</v>
      </c>
      <c r="AH498" s="16">
        <f>IFERROR(__xludf.DUMMYFUNCTION("""COMPUTED_VALUE"""),-3.0)</f>
        <v>-3</v>
      </c>
      <c r="AI498" s="16">
        <f>IFERROR(__xludf.DUMMYFUNCTION("""COMPUTED_VALUE"""),0.0)</f>
        <v>0</v>
      </c>
      <c r="AJ498" s="16">
        <f>IFERROR(__xludf.DUMMYFUNCTION("""COMPUTED_VALUE"""),-6.0)</f>
        <v>-6</v>
      </c>
      <c r="AK498" s="16">
        <f>IFERROR(__xludf.DUMMYFUNCTION("""COMPUTED_VALUE"""),16.8)</f>
        <v>16.8</v>
      </c>
      <c r="AL498" s="16">
        <f>IFERROR(__xludf.DUMMYFUNCTION("""COMPUTED_VALUE"""),27.4)</f>
        <v>27.4</v>
      </c>
      <c r="AM498" s="16">
        <f>IFERROR(__xludf.DUMMYFUNCTION("""COMPUTED_VALUE"""),-1.0)</f>
        <v>-1</v>
      </c>
      <c r="AN498" s="16">
        <f>IFERROR(__xludf.DUMMYFUNCTION("""COMPUTED_VALUE"""),-2.0)</f>
        <v>-2</v>
      </c>
      <c r="AO498" s="16">
        <f>IFERROR(__xludf.DUMMYFUNCTION("""COMPUTED_VALUE"""),-1.0)</f>
        <v>-1</v>
      </c>
      <c r="AP498" s="16">
        <f>IFERROR(__xludf.DUMMYFUNCTION("""COMPUTED_VALUE"""),-2.0)</f>
        <v>-2</v>
      </c>
      <c r="AQ498" s="16">
        <f>IFERROR(__xludf.DUMMYFUNCTION("""COMPUTED_VALUE"""),17.8)</f>
        <v>17.8</v>
      </c>
      <c r="AR498" s="16">
        <f>IFERROR(__xludf.DUMMYFUNCTION("""COMPUTED_VALUE"""),42.5)</f>
        <v>42.5</v>
      </c>
      <c r="AS498" s="16">
        <f>IFERROR(__xludf.DUMMYFUNCTION("""COMPUTED_VALUE"""),0.0)</f>
        <v>0</v>
      </c>
      <c r="AT498" s="16">
        <f>IFERROR(__xludf.DUMMYFUNCTION("""COMPUTED_VALUE"""),-3.0)</f>
        <v>-3</v>
      </c>
      <c r="AU498" s="16">
        <f>IFERROR(__xludf.DUMMYFUNCTION("""COMPUTED_VALUE"""),0.0)</f>
        <v>0</v>
      </c>
      <c r="AV498" s="16">
        <f>IFERROR(__xludf.DUMMYFUNCTION("""COMPUTED_VALUE"""),-6.0)</f>
        <v>-6</v>
      </c>
      <c r="AW498" s="16">
        <f>IFERROR(__xludf.DUMMYFUNCTION("""COMPUTED_VALUE"""),2.8)</f>
        <v>2.8</v>
      </c>
      <c r="AX498" s="16">
        <f>IFERROR(__xludf.DUMMYFUNCTION("""COMPUTED_VALUE"""),4.0)</f>
        <v>4</v>
      </c>
      <c r="AY498" s="16">
        <f>IFERROR(__xludf.DUMMYFUNCTION("""COMPUTED_VALUE"""),-1.0)</f>
        <v>-1</v>
      </c>
      <c r="AZ498" s="16">
        <f>IFERROR(__xludf.DUMMYFUNCTION("""COMPUTED_VALUE"""),-2.0)</f>
        <v>-2</v>
      </c>
      <c r="BA498" s="16">
        <f>IFERROR(__xludf.DUMMYFUNCTION("""COMPUTED_VALUE"""),-5.0)</f>
        <v>-5</v>
      </c>
      <c r="BB498" s="16">
        <f>IFERROR(__xludf.DUMMYFUNCTION("""COMPUTED_VALUE"""),-10.0)</f>
        <v>-10</v>
      </c>
      <c r="BC498" s="16">
        <f>IFERROR(__xludf.DUMMYFUNCTION("""COMPUTED_VALUE"""),6.0)</f>
        <v>6</v>
      </c>
      <c r="BD498" s="16">
        <f>IFERROR(__xludf.DUMMYFUNCTION("""COMPUTED_VALUE"""),8.0)</f>
        <v>8</v>
      </c>
      <c r="BE498" s="16">
        <f>IFERROR(__xludf.DUMMYFUNCTION("""COMPUTED_VALUE"""),6.0)</f>
        <v>6</v>
      </c>
      <c r="BF498" s="16">
        <f>IFERROR(__xludf.DUMMYFUNCTION("""COMPUTED_VALUE"""),8.0)</f>
        <v>8</v>
      </c>
      <c r="BG498" s="16">
        <f>IFERROR(__xludf.DUMMYFUNCTION("""COMPUTED_VALUE"""),-3.0)</f>
        <v>-3</v>
      </c>
      <c r="BH498" s="16">
        <f>IFERROR(__xludf.DUMMYFUNCTION("""COMPUTED_VALUE"""),-3.0)</f>
        <v>-3</v>
      </c>
      <c r="BI498" s="16">
        <f>IFERROR(__xludf.DUMMYFUNCTION("""COMPUTED_VALUE"""),-6.0)</f>
        <v>-6</v>
      </c>
      <c r="BJ498" s="16">
        <f>IFERROR(__xludf.DUMMYFUNCTION("""COMPUTED_VALUE"""),-6.0)</f>
        <v>-6</v>
      </c>
      <c r="BK498" s="16">
        <f>IFERROR(__xludf.DUMMYFUNCTION("""COMPUTED_VALUE"""),5.0)</f>
        <v>5</v>
      </c>
      <c r="BL498" s="16">
        <f>IFERROR(__xludf.DUMMYFUNCTION("""COMPUTED_VALUE"""),5.0)</f>
        <v>5</v>
      </c>
      <c r="BM498" s="16">
        <f>IFERROR(__xludf.DUMMYFUNCTION("""COMPUTED_VALUE"""),0.0)</f>
        <v>0</v>
      </c>
      <c r="BN498" s="16">
        <f>IFERROR(__xludf.DUMMYFUNCTION("""COMPUTED_VALUE"""),0.0)</f>
        <v>0</v>
      </c>
      <c r="BO498" s="16">
        <f>IFERROR(__xludf.DUMMYFUNCTION("""COMPUTED_VALUE"""),0.0)</f>
        <v>0</v>
      </c>
      <c r="BP498" s="16">
        <f>IFERROR(__xludf.DUMMYFUNCTION("""COMPUTED_VALUE"""),0.0)</f>
        <v>0</v>
      </c>
      <c r="BQ498" s="16">
        <f>IFERROR(__xludf.DUMMYFUNCTION("""COMPUTED_VALUE"""),0.0)</f>
        <v>0</v>
      </c>
      <c r="BR498" s="16">
        <f>IFERROR(__xludf.DUMMYFUNCTION("""COMPUTED_VALUE"""),0.0)</f>
        <v>0</v>
      </c>
      <c r="BS498" s="16">
        <f>IFERROR(__xludf.DUMMYFUNCTION("""COMPUTED_VALUE"""),-3.0)</f>
        <v>-3</v>
      </c>
      <c r="BT498" s="16">
        <f>IFERROR(__xludf.DUMMYFUNCTION("""COMPUTED_VALUE"""),-3.0)</f>
        <v>-3</v>
      </c>
      <c r="BU498" s="16">
        <f>IFERROR(__xludf.DUMMYFUNCTION("""COMPUTED_VALUE"""),-6.0)</f>
        <v>-6</v>
      </c>
      <c r="BV498" s="16">
        <f>IFERROR(__xludf.DUMMYFUNCTION("""COMPUTED_VALUE"""),-6.0)</f>
        <v>-6</v>
      </c>
      <c r="BW498" s="16">
        <f>IFERROR(__xludf.DUMMYFUNCTION("""COMPUTED_VALUE"""),0.0)</f>
        <v>0</v>
      </c>
      <c r="BX498" s="16">
        <f>IFERROR(__xludf.DUMMYFUNCTION("""COMPUTED_VALUE"""),0.0)</f>
        <v>0</v>
      </c>
      <c r="BY498" s="16" t="str">
        <f>IFERROR(__xludf.DUMMYFUNCTION("""COMPUTED_VALUE"""),"S(4) R(3)")</f>
        <v>S(4) R(3)</v>
      </c>
      <c r="BZ498" s="16" t="str">
        <f>IFERROR(__xludf.DUMMYFUNCTION("""COMPUTED_VALUE"""),"S(4) R(3)")</f>
        <v>S(4) R(3)</v>
      </c>
      <c r="CA498" s="16" t="str">
        <f>IFERROR(__xludf.DUMMYFUNCTION("""COMPUTED_VALUE"""),"S(4)")</f>
        <v>S(4)</v>
      </c>
      <c r="CB498" s="16" t="str">
        <f>IFERROR(__xludf.DUMMYFUNCTION("""COMPUTED_VALUE"""),"R(3)")</f>
        <v>R(3)</v>
      </c>
      <c r="CC498" s="16"/>
      <c r="CD498" s="16">
        <f>IFERROR(__xludf.DUMMYFUNCTION("""COMPUTED_VALUE"""),4.0)</f>
        <v>4</v>
      </c>
      <c r="CE498" s="16">
        <f>IFERROR(__xludf.DUMMYFUNCTION("""COMPUTED_VALUE"""),3.0)</f>
        <v>3</v>
      </c>
      <c r="CF498" s="16"/>
      <c r="CG498" s="16" t="str">
        <f>IFERROR(__xludf.DUMMYFUNCTION("""COMPUTED_VALUE"""),"4-0")</f>
        <v>4-0</v>
      </c>
      <c r="CH498" s="16">
        <f>IFERROR(__xludf.DUMMYFUNCTION("""COMPUTED_VALUE"""),4.0)</f>
        <v>4</v>
      </c>
      <c r="CI498" s="16">
        <f>IFERROR(__xludf.DUMMYFUNCTION("""COMPUTED_VALUE"""),0.0)</f>
        <v>0</v>
      </c>
      <c r="CJ498" s="16">
        <f>IFERROR(__xludf.DUMMYFUNCTION("""COMPUTED_VALUE"""),0.0)</f>
        <v>0</v>
      </c>
      <c r="CK498" s="16">
        <f>IFERROR(__xludf.DUMMYFUNCTION("""COMPUTED_VALUE"""),0.0)</f>
        <v>0</v>
      </c>
      <c r="CL498" s="16" t="str">
        <f>IFERROR(__xludf.DUMMYFUNCTION("""COMPUTED_VALUE"""),"1WR-C")</f>
        <v>1WR-C</v>
      </c>
      <c r="CM498" s="16" t="str">
        <f>IFERROR(__xludf.DUMMYFUNCTION("""COMPUTED_VALUE"""),"E")</f>
        <v>E</v>
      </c>
      <c r="CN498" s="16">
        <f>IFERROR(__xludf.DUMMYFUNCTION("""COMPUTED_VALUE"""),10.0)</f>
        <v>10</v>
      </c>
      <c r="CO498" s="16" t="str">
        <f>IFERROR(__xludf.DUMMYFUNCTION("""COMPUTED_VALUE"""),"C")</f>
        <v>C</v>
      </c>
      <c r="CP498" s="16" t="str">
        <f>IFERROR(__xludf.DUMMYFUNCTION("""COMPUTED_VALUE"""),"1p20")</f>
        <v>1p20</v>
      </c>
      <c r="CQ498" s="16">
        <f>IFERROR(__xludf.DUMMYFUNCTION("""COMPUTED_VALUE"""),-31.0)</f>
        <v>-31</v>
      </c>
      <c r="CR498" s="16">
        <f>IFERROR(__xludf.DUMMYFUNCTION("""COMPUTED_VALUE"""),-55.0)</f>
        <v>-55</v>
      </c>
      <c r="CS498" s="16">
        <f>IFERROR(__xludf.DUMMYFUNCTION("""COMPUTED_VALUE"""),-86.0)</f>
        <v>-86</v>
      </c>
      <c r="CT498" s="16">
        <f>IFERROR(__xludf.DUMMYFUNCTION("""COMPUTED_VALUE"""),-31.0)</f>
        <v>-31</v>
      </c>
      <c r="CU498" s="16">
        <f>IFERROR(__xludf.DUMMYFUNCTION("""COMPUTED_VALUE"""),-55.0)</f>
        <v>-55</v>
      </c>
      <c r="CV498" s="179">
        <f>IFERROR(__xludf.DUMMYFUNCTION("""COMPUTED_VALUE"""),-40.0)</f>
        <v>-40</v>
      </c>
      <c r="CW498" s="179">
        <f>IFERROR(__xludf.DUMMYFUNCTION("""COMPUTED_VALUE"""),4.0)</f>
        <v>4</v>
      </c>
      <c r="CX498" s="179">
        <f>IFERROR(__xludf.DUMMYFUNCTION("""COMPUTED_VALUE"""),3.0)</f>
        <v>3</v>
      </c>
      <c r="CY498" s="16" t="str">
        <f>IFERROR(__xludf.DUMMYFUNCTION("""COMPUTED_VALUE"""),"SP")</f>
        <v>SP</v>
      </c>
      <c r="CZ498" s="16" t="str">
        <f>IFERROR(__xludf.DUMMYFUNCTION("""COMPUTED_VALUE"""),"RP")</f>
        <v>RP</v>
      </c>
      <c r="DA498" s="16"/>
      <c r="DB498" s="16"/>
      <c r="DC498" s="16"/>
      <c r="DD498" s="16"/>
      <c r="DE498" s="16"/>
      <c r="DF498" s="16"/>
      <c r="DG498" s="16"/>
      <c r="DH498" s="16"/>
      <c r="DI498" s="16"/>
      <c r="DJ498" s="16"/>
      <c r="DK498" s="16"/>
    </row>
    <row r="499">
      <c r="A499" s="16">
        <f>IFERROR(__xludf.DUMMYFUNCTION("""COMPUTED_VALUE"""),12735.0)</f>
        <v>12735</v>
      </c>
      <c r="B499" s="16" t="str">
        <f>IFERROR(__xludf.DUMMYFUNCTION("""COMPUTED_VALUE"""),"Darren McCaughan")</f>
        <v>Darren McCaughan</v>
      </c>
      <c r="C499" s="153">
        <f>IFERROR(__xludf.DUMMYFUNCTION("""COMPUTED_VALUE"""),0.0)</f>
        <v>0</v>
      </c>
      <c r="D499" s="16"/>
      <c r="E499" s="16" t="str">
        <f>IFERROR(__xludf.DUMMYFUNCTION("""COMPUTED_VALUE"""),"R")</f>
        <v>R</v>
      </c>
      <c r="F499" s="16">
        <f>IFERROR(__xludf.DUMMYFUNCTION("""COMPUTED_VALUE"""),42.0)</f>
        <v>42</v>
      </c>
      <c r="G499" s="16">
        <f>IFERROR(__xludf.DUMMYFUNCTION("""COMPUTED_VALUE"""),9.0)</f>
        <v>9</v>
      </c>
      <c r="H499" s="16">
        <f>IFERROR(__xludf.DUMMYFUNCTION("""COMPUTED_VALUE"""),6.0)</f>
        <v>6</v>
      </c>
      <c r="I499" s="16">
        <f>IFERROR(__xludf.DUMMYFUNCTION("""COMPUTED_VALUE"""),-2.0)</f>
        <v>-2</v>
      </c>
      <c r="J499" s="16">
        <f>IFERROR(__xludf.DUMMYFUNCTION("""COMPUTED_VALUE"""),-2.0)</f>
        <v>-2</v>
      </c>
      <c r="K499" s="16">
        <f>IFERROR(__xludf.DUMMYFUNCTION("""COMPUTED_VALUE"""),-6.0)</f>
        <v>-6</v>
      </c>
      <c r="L499" s="16">
        <f>IFERROR(__xludf.DUMMYFUNCTION("""COMPUTED_VALUE"""),-6.0)</f>
        <v>-6</v>
      </c>
      <c r="M499" s="16">
        <f>IFERROR(__xludf.DUMMYFUNCTION("""COMPUTED_VALUE"""),2.0)</f>
        <v>2</v>
      </c>
      <c r="N499" s="16">
        <f>IFERROR(__xludf.DUMMYFUNCTION("""COMPUTED_VALUE"""),15.0)</f>
        <v>15</v>
      </c>
      <c r="O499" s="16">
        <f>IFERROR(__xludf.DUMMYFUNCTION("""COMPUTED_VALUE"""),2.0)</f>
        <v>2</v>
      </c>
      <c r="P499" s="16">
        <f>IFERROR(__xludf.DUMMYFUNCTION("""COMPUTED_VALUE"""),-3.0)</f>
        <v>-3</v>
      </c>
      <c r="Q499" s="16">
        <f>IFERROR(__xludf.DUMMYFUNCTION("""COMPUTED_VALUE"""),2.0)</f>
        <v>2</v>
      </c>
      <c r="R499" s="16">
        <f>IFERROR(__xludf.DUMMYFUNCTION("""COMPUTED_VALUE"""),-3.0)</f>
        <v>-3</v>
      </c>
      <c r="S499" s="16">
        <f>IFERROR(__xludf.DUMMYFUNCTION("""COMPUTED_VALUE"""),21.9)</f>
        <v>21.9</v>
      </c>
      <c r="T499" s="16">
        <f>IFERROR(__xludf.DUMMYFUNCTION("""COMPUTED_VALUE"""),29.0)</f>
        <v>29</v>
      </c>
      <c r="U499" s="16">
        <f>IFERROR(__xludf.DUMMYFUNCTION("""COMPUTED_VALUE"""),-1.0)</f>
        <v>-1</v>
      </c>
      <c r="V499" s="16">
        <f>IFERROR(__xludf.DUMMYFUNCTION("""COMPUTED_VALUE"""),-2.0)</f>
        <v>-2</v>
      </c>
      <c r="W499" s="16">
        <f>IFERROR(__xludf.DUMMYFUNCTION("""COMPUTED_VALUE"""),-2.0)</f>
        <v>-2</v>
      </c>
      <c r="X499" s="16">
        <f>IFERROR(__xludf.DUMMYFUNCTION("""COMPUTED_VALUE"""),-4.0)</f>
        <v>-4</v>
      </c>
      <c r="Y499" s="16">
        <f>IFERROR(__xludf.DUMMYFUNCTION("""COMPUTED_VALUE"""),23.9)</f>
        <v>23.9</v>
      </c>
      <c r="Z499" s="16">
        <f>IFERROR(__xludf.DUMMYFUNCTION("""COMPUTED_VALUE"""),43.9)</f>
        <v>43.9</v>
      </c>
      <c r="AA499" s="16">
        <f>IFERROR(__xludf.DUMMYFUNCTION("""COMPUTED_VALUE"""),0.0)</f>
        <v>0</v>
      </c>
      <c r="AB499" s="16">
        <f>IFERROR(__xludf.DUMMYFUNCTION("""COMPUTED_VALUE"""),-3.0)</f>
        <v>-3</v>
      </c>
      <c r="AC499" s="16">
        <f>IFERROR(__xludf.DUMMYFUNCTION("""COMPUTED_VALUE"""),0.0)</f>
        <v>0</v>
      </c>
      <c r="AD499" s="16">
        <f>IFERROR(__xludf.DUMMYFUNCTION("""COMPUTED_VALUE"""),-15.0)</f>
        <v>-15</v>
      </c>
      <c r="AE499" s="16">
        <f>IFERROR(__xludf.DUMMYFUNCTION("""COMPUTED_VALUE"""),41.1)</f>
        <v>41.1</v>
      </c>
      <c r="AF499" s="16">
        <f>IFERROR(__xludf.DUMMYFUNCTION("""COMPUTED_VALUE"""),49.3)</f>
        <v>49.3</v>
      </c>
      <c r="AG499" s="16">
        <f>IFERROR(__xludf.DUMMYFUNCTION("""COMPUTED_VALUE"""),-1.0)</f>
        <v>-1</v>
      </c>
      <c r="AH499" s="16">
        <f>IFERROR(__xludf.DUMMYFUNCTION("""COMPUTED_VALUE"""),-2.0)</f>
        <v>-2</v>
      </c>
      <c r="AI499" s="16">
        <f>IFERROR(__xludf.DUMMYFUNCTION("""COMPUTED_VALUE"""),-2.0)</f>
        <v>-2</v>
      </c>
      <c r="AJ499" s="16">
        <f>IFERROR(__xludf.DUMMYFUNCTION("""COMPUTED_VALUE"""),-4.0)</f>
        <v>-4</v>
      </c>
      <c r="AK499" s="16">
        <f>IFERROR(__xludf.DUMMYFUNCTION("""COMPUTED_VALUE"""),18.7)</f>
        <v>18.7</v>
      </c>
      <c r="AL499" s="16">
        <f>IFERROR(__xludf.DUMMYFUNCTION("""COMPUTED_VALUE"""),24.2)</f>
        <v>24.2</v>
      </c>
      <c r="AM499" s="16">
        <f>IFERROR(__xludf.DUMMYFUNCTION("""COMPUTED_VALUE"""),-1.0)</f>
        <v>-1</v>
      </c>
      <c r="AN499" s="16">
        <f>IFERROR(__xludf.DUMMYFUNCTION("""COMPUTED_VALUE"""),-2.0)</f>
        <v>-2</v>
      </c>
      <c r="AO499" s="16">
        <f>IFERROR(__xludf.DUMMYFUNCTION("""COMPUTED_VALUE"""),-1.0)</f>
        <v>-1</v>
      </c>
      <c r="AP499" s="16">
        <f>IFERROR(__xludf.DUMMYFUNCTION("""COMPUTED_VALUE"""),-2.0)</f>
        <v>-2</v>
      </c>
      <c r="AQ499" s="16">
        <f>IFERROR(__xludf.DUMMYFUNCTION("""COMPUTED_VALUE"""),28.3)</f>
        <v>28.3</v>
      </c>
      <c r="AR499" s="16">
        <f>IFERROR(__xludf.DUMMYFUNCTION("""COMPUTED_VALUE"""),30.099999999999998)</f>
        <v>30.1</v>
      </c>
      <c r="AS499" s="16">
        <f>IFERROR(__xludf.DUMMYFUNCTION("""COMPUTED_VALUE"""),-1.0)</f>
        <v>-1</v>
      </c>
      <c r="AT499" s="16">
        <f>IFERROR(__xludf.DUMMYFUNCTION("""COMPUTED_VALUE"""),-1.0)</f>
        <v>-1</v>
      </c>
      <c r="AU499" s="16">
        <f>IFERROR(__xludf.DUMMYFUNCTION("""COMPUTED_VALUE"""),-2.0)</f>
        <v>-2</v>
      </c>
      <c r="AV499" s="16">
        <f>IFERROR(__xludf.DUMMYFUNCTION("""COMPUTED_VALUE"""),-2.0)</f>
        <v>-2</v>
      </c>
      <c r="AW499" s="16">
        <f>IFERROR(__xludf.DUMMYFUNCTION("""COMPUTED_VALUE"""),3.2)</f>
        <v>3.2</v>
      </c>
      <c r="AX499" s="16">
        <f>IFERROR(__xludf.DUMMYFUNCTION("""COMPUTED_VALUE"""),4.8)</f>
        <v>4.8</v>
      </c>
      <c r="AY499" s="16">
        <f>IFERROR(__xludf.DUMMYFUNCTION("""COMPUTED_VALUE"""),-1.0)</f>
        <v>-1</v>
      </c>
      <c r="AZ499" s="16">
        <f>IFERROR(__xludf.DUMMYFUNCTION("""COMPUTED_VALUE"""),-2.0)</f>
        <v>-2</v>
      </c>
      <c r="BA499" s="16">
        <f>IFERROR(__xludf.DUMMYFUNCTION("""COMPUTED_VALUE"""),-5.0)</f>
        <v>-5</v>
      </c>
      <c r="BB499" s="16">
        <f>IFERROR(__xludf.DUMMYFUNCTION("""COMPUTED_VALUE"""),-10.0)</f>
        <v>-10</v>
      </c>
      <c r="BC499" s="16">
        <f>IFERROR(__xludf.DUMMYFUNCTION("""COMPUTED_VALUE"""),5.0)</f>
        <v>5</v>
      </c>
      <c r="BD499" s="16">
        <f>IFERROR(__xludf.DUMMYFUNCTION("""COMPUTED_VALUE"""),8.0)</f>
        <v>8</v>
      </c>
      <c r="BE499" s="16">
        <f>IFERROR(__xludf.DUMMYFUNCTION("""COMPUTED_VALUE"""),5.0)</f>
        <v>5</v>
      </c>
      <c r="BF499" s="16">
        <f>IFERROR(__xludf.DUMMYFUNCTION("""COMPUTED_VALUE"""),8.0)</f>
        <v>8</v>
      </c>
      <c r="BG499" s="16">
        <f>IFERROR(__xludf.DUMMYFUNCTION("""COMPUTED_VALUE"""),-2.0)</f>
        <v>-2</v>
      </c>
      <c r="BH499" s="16">
        <f>IFERROR(__xludf.DUMMYFUNCTION("""COMPUTED_VALUE"""),-3.0)</f>
        <v>-3</v>
      </c>
      <c r="BI499" s="16">
        <f>IFERROR(__xludf.DUMMYFUNCTION("""COMPUTED_VALUE"""),-4.0)</f>
        <v>-4</v>
      </c>
      <c r="BJ499" s="16">
        <f>IFERROR(__xludf.DUMMYFUNCTION("""COMPUTED_VALUE"""),-6.0)</f>
        <v>-6</v>
      </c>
      <c r="BK499" s="16">
        <f>IFERROR(__xludf.DUMMYFUNCTION("""COMPUTED_VALUE"""),5.0)</f>
        <v>5</v>
      </c>
      <c r="BL499" s="16">
        <f>IFERROR(__xludf.DUMMYFUNCTION("""COMPUTED_VALUE"""),5.0)</f>
        <v>5</v>
      </c>
      <c r="BM499" s="16">
        <f>IFERROR(__xludf.DUMMYFUNCTION("""COMPUTED_VALUE"""),0.0)</f>
        <v>0</v>
      </c>
      <c r="BN499" s="16">
        <f>IFERROR(__xludf.DUMMYFUNCTION("""COMPUTED_VALUE"""),0.0)</f>
        <v>0</v>
      </c>
      <c r="BO499" s="16">
        <f>IFERROR(__xludf.DUMMYFUNCTION("""COMPUTED_VALUE"""),0.0)</f>
        <v>0</v>
      </c>
      <c r="BP499" s="16">
        <f>IFERROR(__xludf.DUMMYFUNCTION("""COMPUTED_VALUE"""),0.0)</f>
        <v>0</v>
      </c>
      <c r="BQ499" s="16">
        <f>IFERROR(__xludf.DUMMYFUNCTION("""COMPUTED_VALUE"""),0.0)</f>
        <v>0</v>
      </c>
      <c r="BR499" s="16">
        <f>IFERROR(__xludf.DUMMYFUNCTION("""COMPUTED_VALUE"""),0.0)</f>
        <v>0</v>
      </c>
      <c r="BS499" s="16">
        <f>IFERROR(__xludf.DUMMYFUNCTION("""COMPUTED_VALUE"""),-3.0)</f>
        <v>-3</v>
      </c>
      <c r="BT499" s="16">
        <f>IFERROR(__xludf.DUMMYFUNCTION("""COMPUTED_VALUE"""),-3.0)</f>
        <v>-3</v>
      </c>
      <c r="BU499" s="16">
        <f>IFERROR(__xludf.DUMMYFUNCTION("""COMPUTED_VALUE"""),-6.0)</f>
        <v>-6</v>
      </c>
      <c r="BV499" s="16">
        <f>IFERROR(__xludf.DUMMYFUNCTION("""COMPUTED_VALUE"""),-6.0)</f>
        <v>-6</v>
      </c>
      <c r="BW499" s="16">
        <f>IFERROR(__xludf.DUMMYFUNCTION("""COMPUTED_VALUE"""),1.0)</f>
        <v>1</v>
      </c>
      <c r="BX499" s="16">
        <f>IFERROR(__xludf.DUMMYFUNCTION("""COMPUTED_VALUE"""),1.0)</f>
        <v>1</v>
      </c>
      <c r="BY499" s="16" t="str">
        <f>IFERROR(__xludf.DUMMYFUNCTION("""COMPUTED_VALUE"""),"S(4) R(4) C(1)")</f>
        <v>S(4) R(4) C(1)</v>
      </c>
      <c r="BZ499" s="16" t="str">
        <f>IFERROR(__xludf.DUMMYFUNCTION("""COMPUTED_VALUE"""),"S(4) R(4) C(1)")</f>
        <v>S(4) R(4) C(1)</v>
      </c>
      <c r="CA499" s="16" t="str">
        <f>IFERROR(__xludf.DUMMYFUNCTION("""COMPUTED_VALUE"""),"S(4)")</f>
        <v>S(4)</v>
      </c>
      <c r="CB499" s="16" t="str">
        <f>IFERROR(__xludf.DUMMYFUNCTION("""COMPUTED_VALUE"""),"R(4)")</f>
        <v>R(4)</v>
      </c>
      <c r="CC499" s="16" t="str">
        <f>IFERROR(__xludf.DUMMYFUNCTION("""COMPUTED_VALUE"""),"C(1)")</f>
        <v>C(1)</v>
      </c>
      <c r="CD499" s="16">
        <f>IFERROR(__xludf.DUMMYFUNCTION("""COMPUTED_VALUE"""),4.0)</f>
        <v>4</v>
      </c>
      <c r="CE499" s="16">
        <f>IFERROR(__xludf.DUMMYFUNCTION("""COMPUTED_VALUE"""),4.0)</f>
        <v>4</v>
      </c>
      <c r="CF499" s="16">
        <f>IFERROR(__xludf.DUMMYFUNCTION("""COMPUTED_VALUE"""),1.0)</f>
        <v>1</v>
      </c>
      <c r="CG499" s="16" t="str">
        <f>IFERROR(__xludf.DUMMYFUNCTION("""COMPUTED_VALUE"""),"3-34")</f>
        <v>3-34</v>
      </c>
      <c r="CH499" s="16">
        <f>IFERROR(__xludf.DUMMYFUNCTION("""COMPUTED_VALUE"""),3.0)</f>
        <v>3</v>
      </c>
      <c r="CI499" s="16">
        <f>IFERROR(__xludf.DUMMYFUNCTION("""COMPUTED_VALUE"""),34.0)</f>
        <v>34</v>
      </c>
      <c r="CJ499" s="16">
        <f>IFERROR(__xludf.DUMMYFUNCTION("""COMPUTED_VALUE"""),0.0)</f>
        <v>0</v>
      </c>
      <c r="CK499" s="16">
        <f>IFERROR(__xludf.DUMMYFUNCTION("""COMPUTED_VALUE"""),9.0)</f>
        <v>9</v>
      </c>
      <c r="CL499" s="16" t="str">
        <f>IFERROR(__xludf.DUMMYFUNCTION("""COMPUTED_VALUE"""),"1WR-C")</f>
        <v>1WR-C</v>
      </c>
      <c r="CM499" s="16" t="str">
        <f>IFERROR(__xludf.DUMMYFUNCTION("""COMPUTED_VALUE"""),"E")</f>
        <v>E</v>
      </c>
      <c r="CN499" s="16">
        <f>IFERROR(__xludf.DUMMYFUNCTION("""COMPUTED_VALUE"""),10.0)</f>
        <v>10</v>
      </c>
      <c r="CO499" s="16" t="str">
        <f>IFERROR(__xludf.DUMMYFUNCTION("""COMPUTED_VALUE"""),"C")</f>
        <v>C</v>
      </c>
      <c r="CP499" s="16" t="str">
        <f>IFERROR(__xludf.DUMMYFUNCTION("""COMPUTED_VALUE"""),"1p30")</f>
        <v>1p30</v>
      </c>
      <c r="CQ499" s="16">
        <f>IFERROR(__xludf.DUMMYFUNCTION("""COMPUTED_VALUE"""),-26.0)</f>
        <v>-26</v>
      </c>
      <c r="CR499" s="16">
        <f>IFERROR(__xludf.DUMMYFUNCTION("""COMPUTED_VALUE"""),-58.0)</f>
        <v>-58</v>
      </c>
      <c r="CS499" s="16">
        <f>IFERROR(__xludf.DUMMYFUNCTION("""COMPUTED_VALUE"""),-84.0)</f>
        <v>-84</v>
      </c>
      <c r="CT499" s="16">
        <f>IFERROR(__xludf.DUMMYFUNCTION("""COMPUTED_VALUE"""),-26.0)</f>
        <v>-26</v>
      </c>
      <c r="CU499" s="16">
        <f>IFERROR(__xludf.DUMMYFUNCTION("""COMPUTED_VALUE"""),-58.0)</f>
        <v>-58</v>
      </c>
      <c r="CV499" s="179">
        <f>IFERROR(__xludf.DUMMYFUNCTION("""COMPUTED_VALUE"""),-41.333333333333336)</f>
        <v>-41.33333333</v>
      </c>
      <c r="CW499" s="179">
        <f>IFERROR(__xludf.DUMMYFUNCTION("""COMPUTED_VALUE"""),4.0)</f>
        <v>4</v>
      </c>
      <c r="CX499" s="179">
        <f>IFERROR(__xludf.DUMMYFUNCTION("""COMPUTED_VALUE"""),2.0)</f>
        <v>2</v>
      </c>
      <c r="CY499" s="16" t="str">
        <f>IFERROR(__xludf.DUMMYFUNCTION("""COMPUTED_VALUE"""),"SP")</f>
        <v>SP</v>
      </c>
      <c r="CZ499" s="16" t="str">
        <f>IFERROR(__xludf.DUMMYFUNCTION("""COMPUTED_VALUE"""),"RP")</f>
        <v>RP</v>
      </c>
      <c r="DA499" s="16" t="str">
        <f>IFERROR(__xludf.DUMMYFUNCTION("""COMPUTED_VALUE"""),"CP")</f>
        <v>CP</v>
      </c>
      <c r="DB499" s="16"/>
      <c r="DC499" s="16"/>
      <c r="DD499" s="16"/>
      <c r="DE499" s="16"/>
      <c r="DF499" s="16"/>
      <c r="DG499" s="16"/>
      <c r="DH499" s="16"/>
      <c r="DI499" s="16"/>
      <c r="DJ499" s="16"/>
      <c r="DK499" s="16"/>
    </row>
    <row r="500">
      <c r="A500" s="16">
        <f>IFERROR(__xludf.DUMMYFUNCTION("""COMPUTED_VALUE"""),13122.0)</f>
        <v>13122</v>
      </c>
      <c r="B500" s="16" t="str">
        <f>IFERROR(__xludf.DUMMYFUNCTION("""COMPUTED_VALUE"""),"Louie Varland")</f>
        <v>Louie Varland</v>
      </c>
      <c r="C500" s="153">
        <f>IFERROR(__xludf.DUMMYFUNCTION("""COMPUTED_VALUE"""),0.0)</f>
        <v>0</v>
      </c>
      <c r="D500" s="16"/>
      <c r="E500" s="16" t="str">
        <f>IFERROR(__xludf.DUMMYFUNCTION("""COMPUTED_VALUE"""),"R")</f>
        <v>R</v>
      </c>
      <c r="F500" s="16">
        <f>IFERROR(__xludf.DUMMYFUNCTION("""COMPUTED_VALUE"""),50.0)</f>
        <v>50</v>
      </c>
      <c r="G500" s="16">
        <f>IFERROR(__xludf.DUMMYFUNCTION("""COMPUTED_VALUE"""),24.0)</f>
        <v>24</v>
      </c>
      <c r="H500" s="16">
        <f>IFERROR(__xludf.DUMMYFUNCTION("""COMPUTED_VALUE"""),19.0)</f>
        <v>19</v>
      </c>
      <c r="I500" s="16">
        <f>IFERROR(__xludf.DUMMYFUNCTION("""COMPUTED_VALUE"""),-1.0)</f>
        <v>-1</v>
      </c>
      <c r="J500" s="16">
        <f>IFERROR(__xludf.DUMMYFUNCTION("""COMPUTED_VALUE"""),-1.0)</f>
        <v>-1</v>
      </c>
      <c r="K500" s="16">
        <f>IFERROR(__xludf.DUMMYFUNCTION("""COMPUTED_VALUE"""),-3.0)</f>
        <v>-3</v>
      </c>
      <c r="L500" s="16">
        <f>IFERROR(__xludf.DUMMYFUNCTION("""COMPUTED_VALUE"""),-3.0)</f>
        <v>-3</v>
      </c>
      <c r="M500" s="16">
        <f>IFERROR(__xludf.DUMMYFUNCTION("""COMPUTED_VALUE"""),1.0)</f>
        <v>1</v>
      </c>
      <c r="N500" s="16">
        <f>IFERROR(__xludf.DUMMYFUNCTION("""COMPUTED_VALUE"""),10.0)</f>
        <v>10</v>
      </c>
      <c r="O500" s="16">
        <f>IFERROR(__xludf.DUMMYFUNCTION("""COMPUTED_VALUE"""),3.0)</f>
        <v>3</v>
      </c>
      <c r="P500" s="16">
        <f>IFERROR(__xludf.DUMMYFUNCTION("""COMPUTED_VALUE"""),-1.0)</f>
        <v>-1</v>
      </c>
      <c r="Q500" s="16">
        <f>IFERROR(__xludf.DUMMYFUNCTION("""COMPUTED_VALUE"""),3.0)</f>
        <v>3</v>
      </c>
      <c r="R500" s="16">
        <f>IFERROR(__xludf.DUMMYFUNCTION("""COMPUTED_VALUE"""),-1.0)</f>
        <v>-1</v>
      </c>
      <c r="S500" s="16">
        <f>IFERROR(__xludf.DUMMYFUNCTION("""COMPUTED_VALUE"""),37.4)</f>
        <v>37.4</v>
      </c>
      <c r="T500" s="16">
        <f>IFERROR(__xludf.DUMMYFUNCTION("""COMPUTED_VALUE"""),32.4)</f>
        <v>32.4</v>
      </c>
      <c r="U500" s="16">
        <f>IFERROR(__xludf.DUMMYFUNCTION("""COMPUTED_VALUE"""),-3.0)</f>
        <v>-3</v>
      </c>
      <c r="V500" s="16">
        <f>IFERROR(__xludf.DUMMYFUNCTION("""COMPUTED_VALUE"""),-3.0)</f>
        <v>-3</v>
      </c>
      <c r="W500" s="16">
        <f>IFERROR(__xludf.DUMMYFUNCTION("""COMPUTED_VALUE"""),-6.0)</f>
        <v>-6</v>
      </c>
      <c r="X500" s="16">
        <f>IFERROR(__xludf.DUMMYFUNCTION("""COMPUTED_VALUE"""),-6.0)</f>
        <v>-6</v>
      </c>
      <c r="Y500" s="16">
        <f>IFERROR(__xludf.DUMMYFUNCTION("""COMPUTED_VALUE"""),38.4)</f>
        <v>38.4</v>
      </c>
      <c r="Z500" s="16">
        <f>IFERROR(__xludf.DUMMYFUNCTION("""COMPUTED_VALUE"""),42.4)</f>
        <v>42.4</v>
      </c>
      <c r="AA500" s="16">
        <f>IFERROR(__xludf.DUMMYFUNCTION("""COMPUTED_VALUE"""),-2.0)</f>
        <v>-2</v>
      </c>
      <c r="AB500" s="16">
        <f>IFERROR(__xludf.DUMMYFUNCTION("""COMPUTED_VALUE"""),-2.0)</f>
        <v>-2</v>
      </c>
      <c r="AC500" s="16">
        <f>IFERROR(__xludf.DUMMYFUNCTION("""COMPUTED_VALUE"""),-10.0)</f>
        <v>-10</v>
      </c>
      <c r="AD500" s="16">
        <f>IFERROR(__xludf.DUMMYFUNCTION("""COMPUTED_VALUE"""),-10.0)</f>
        <v>-10</v>
      </c>
      <c r="AE500" s="16">
        <f>IFERROR(__xludf.DUMMYFUNCTION("""COMPUTED_VALUE"""),53.4)</f>
        <v>53.4</v>
      </c>
      <c r="AF500" s="16">
        <f>IFERROR(__xludf.DUMMYFUNCTION("""COMPUTED_VALUE"""),56.4)</f>
        <v>56.4</v>
      </c>
      <c r="AG500" s="16">
        <f>IFERROR(__xludf.DUMMYFUNCTION("""COMPUTED_VALUE"""),-2.0)</f>
        <v>-2</v>
      </c>
      <c r="AH500" s="16">
        <f>IFERROR(__xludf.DUMMYFUNCTION("""COMPUTED_VALUE"""),-3.0)</f>
        <v>-3</v>
      </c>
      <c r="AI500" s="16">
        <f>IFERROR(__xludf.DUMMYFUNCTION("""COMPUTED_VALUE"""),-4.0)</f>
        <v>-4</v>
      </c>
      <c r="AJ500" s="16">
        <f>IFERROR(__xludf.DUMMYFUNCTION("""COMPUTED_VALUE"""),-6.0)</f>
        <v>-6</v>
      </c>
      <c r="AK500" s="16">
        <f>IFERROR(__xludf.DUMMYFUNCTION("""COMPUTED_VALUE"""),33.1)</f>
        <v>33.1</v>
      </c>
      <c r="AL500" s="16">
        <f>IFERROR(__xludf.DUMMYFUNCTION("""COMPUTED_VALUE"""),25.9)</f>
        <v>25.9</v>
      </c>
      <c r="AM500" s="16">
        <f>IFERROR(__xludf.DUMMYFUNCTION("""COMPUTED_VALUE"""),-3.0)</f>
        <v>-3</v>
      </c>
      <c r="AN500" s="16">
        <f>IFERROR(__xludf.DUMMYFUNCTION("""COMPUTED_VALUE"""),-2.0)</f>
        <v>-2</v>
      </c>
      <c r="AO500" s="16">
        <f>IFERROR(__xludf.DUMMYFUNCTION("""COMPUTED_VALUE"""),-3.0)</f>
        <v>-3</v>
      </c>
      <c r="AP500" s="16">
        <f>IFERROR(__xludf.DUMMYFUNCTION("""COMPUTED_VALUE"""),-2.0)</f>
        <v>-2</v>
      </c>
      <c r="AQ500" s="16">
        <f>IFERROR(__xludf.DUMMYFUNCTION("""COMPUTED_VALUE"""),36.2)</f>
        <v>36.2</v>
      </c>
      <c r="AR500" s="16">
        <f>IFERROR(__xludf.DUMMYFUNCTION("""COMPUTED_VALUE"""),30.4)</f>
        <v>30.4</v>
      </c>
      <c r="AS500" s="16">
        <f>IFERROR(__xludf.DUMMYFUNCTION("""COMPUTED_VALUE"""),-2.0)</f>
        <v>-2</v>
      </c>
      <c r="AT500" s="16">
        <f>IFERROR(__xludf.DUMMYFUNCTION("""COMPUTED_VALUE"""),-1.0)</f>
        <v>-1</v>
      </c>
      <c r="AU500" s="16">
        <f>IFERROR(__xludf.DUMMYFUNCTION("""COMPUTED_VALUE"""),-4.0)</f>
        <v>-4</v>
      </c>
      <c r="AV500" s="16">
        <f>IFERROR(__xludf.DUMMYFUNCTION("""COMPUTED_VALUE"""),-2.0)</f>
        <v>-2</v>
      </c>
      <c r="AW500" s="16">
        <f>IFERROR(__xludf.DUMMYFUNCTION("""COMPUTED_VALUE"""),4.3)</f>
        <v>4.3</v>
      </c>
      <c r="AX500" s="16">
        <f>IFERROR(__xludf.DUMMYFUNCTION("""COMPUTED_VALUE"""),6.5)</f>
        <v>6.5</v>
      </c>
      <c r="AY500" s="16">
        <f>IFERROR(__xludf.DUMMYFUNCTION("""COMPUTED_VALUE"""),-2.0)</f>
        <v>-2</v>
      </c>
      <c r="AZ500" s="16">
        <f>IFERROR(__xludf.DUMMYFUNCTION("""COMPUTED_VALUE"""),-3.0)</f>
        <v>-3</v>
      </c>
      <c r="BA500" s="16">
        <f>IFERROR(__xludf.DUMMYFUNCTION("""COMPUTED_VALUE"""),-10.0)</f>
        <v>-10</v>
      </c>
      <c r="BB500" s="16">
        <f>IFERROR(__xludf.DUMMYFUNCTION("""COMPUTED_VALUE"""),-15.0)</f>
        <v>-15</v>
      </c>
      <c r="BC500" s="16">
        <f>IFERROR(__xludf.DUMMYFUNCTION("""COMPUTED_VALUE"""),8.0)</f>
        <v>8</v>
      </c>
      <c r="BD500" s="16">
        <f>IFERROR(__xludf.DUMMYFUNCTION("""COMPUTED_VALUE"""),8.0)</f>
        <v>8</v>
      </c>
      <c r="BE500" s="16">
        <f>IFERROR(__xludf.DUMMYFUNCTION("""COMPUTED_VALUE"""),8.0)</f>
        <v>8</v>
      </c>
      <c r="BF500" s="16">
        <f>IFERROR(__xludf.DUMMYFUNCTION("""COMPUTED_VALUE"""),8.0)</f>
        <v>8</v>
      </c>
      <c r="BG500" s="16">
        <f>IFERROR(__xludf.DUMMYFUNCTION("""COMPUTED_VALUE"""),-3.0)</f>
        <v>-3</v>
      </c>
      <c r="BH500" s="16">
        <f>IFERROR(__xludf.DUMMYFUNCTION("""COMPUTED_VALUE"""),-3.0)</f>
        <v>-3</v>
      </c>
      <c r="BI500" s="16">
        <f>IFERROR(__xludf.DUMMYFUNCTION("""COMPUTED_VALUE"""),-6.0)</f>
        <v>-6</v>
      </c>
      <c r="BJ500" s="16">
        <f>IFERROR(__xludf.DUMMYFUNCTION("""COMPUTED_VALUE"""),-6.0)</f>
        <v>-6</v>
      </c>
      <c r="BK500" s="16">
        <f>IFERROR(__xludf.DUMMYFUNCTION("""COMPUTED_VALUE"""),5.0)</f>
        <v>5</v>
      </c>
      <c r="BL500" s="16">
        <f>IFERROR(__xludf.DUMMYFUNCTION("""COMPUTED_VALUE"""),5.0)</f>
        <v>5</v>
      </c>
      <c r="BM500" s="16">
        <f>IFERROR(__xludf.DUMMYFUNCTION("""COMPUTED_VALUE"""),0.0)</f>
        <v>0</v>
      </c>
      <c r="BN500" s="16">
        <f>IFERROR(__xludf.DUMMYFUNCTION("""COMPUTED_VALUE"""),0.0)</f>
        <v>0</v>
      </c>
      <c r="BO500" s="16">
        <f>IFERROR(__xludf.DUMMYFUNCTION("""COMPUTED_VALUE"""),0.0)</f>
        <v>0</v>
      </c>
      <c r="BP500" s="16">
        <f>IFERROR(__xludf.DUMMYFUNCTION("""COMPUTED_VALUE"""),0.0)</f>
        <v>0</v>
      </c>
      <c r="BQ500" s="16">
        <f>IFERROR(__xludf.DUMMYFUNCTION("""COMPUTED_VALUE"""),0.0)</f>
        <v>0</v>
      </c>
      <c r="BR500" s="16">
        <f>IFERROR(__xludf.DUMMYFUNCTION("""COMPUTED_VALUE"""),3.0)</f>
        <v>3</v>
      </c>
      <c r="BS500" s="16">
        <f>IFERROR(__xludf.DUMMYFUNCTION("""COMPUTED_VALUE"""),-3.0)</f>
        <v>-3</v>
      </c>
      <c r="BT500" s="16">
        <f>IFERROR(__xludf.DUMMYFUNCTION("""COMPUTED_VALUE"""),-1.0)</f>
        <v>-1</v>
      </c>
      <c r="BU500" s="16">
        <f>IFERROR(__xludf.DUMMYFUNCTION("""COMPUTED_VALUE"""),-6.0)</f>
        <v>-6</v>
      </c>
      <c r="BV500" s="16">
        <f>IFERROR(__xludf.DUMMYFUNCTION("""COMPUTED_VALUE"""),-2.0)</f>
        <v>-2</v>
      </c>
      <c r="BW500" s="16">
        <f>IFERROR(__xludf.DUMMYFUNCTION("""COMPUTED_VALUE"""),-3.0)</f>
        <v>-3</v>
      </c>
      <c r="BX500" s="16">
        <f>IFERROR(__xludf.DUMMYFUNCTION("""COMPUTED_VALUE"""),-3.0)</f>
        <v>-3</v>
      </c>
      <c r="BY500" s="16" t="str">
        <f>IFERROR(__xludf.DUMMYFUNCTION("""COMPUTED_VALUE"""),"S(5) R(3)")</f>
        <v>S(5) R(3)</v>
      </c>
      <c r="BZ500" s="16" t="str">
        <f>IFERROR(__xludf.DUMMYFUNCTION("""COMPUTED_VALUE"""),"S(5) R(3)")</f>
        <v>S(5) R(3)</v>
      </c>
      <c r="CA500" s="16" t="str">
        <f>IFERROR(__xludf.DUMMYFUNCTION("""COMPUTED_VALUE"""),"S(5)")</f>
        <v>S(5)</v>
      </c>
      <c r="CB500" s="16" t="str">
        <f>IFERROR(__xludf.DUMMYFUNCTION("""COMPUTED_VALUE"""),"R(3)")</f>
        <v>R(3)</v>
      </c>
      <c r="CC500" s="16"/>
      <c r="CD500" s="16">
        <f>IFERROR(__xludf.DUMMYFUNCTION("""COMPUTED_VALUE"""),5.0)</f>
        <v>5</v>
      </c>
      <c r="CE500" s="16">
        <f>IFERROR(__xludf.DUMMYFUNCTION("""COMPUTED_VALUE"""),3.0)</f>
        <v>3</v>
      </c>
      <c r="CF500" s="16"/>
      <c r="CG500" s="16" t="str">
        <f>IFERROR(__xludf.DUMMYFUNCTION("""COMPUTED_VALUE"""),"2-30")</f>
        <v>2-30</v>
      </c>
      <c r="CH500" s="16">
        <f>IFERROR(__xludf.DUMMYFUNCTION("""COMPUTED_VALUE"""),2.0)</f>
        <v>2</v>
      </c>
      <c r="CI500" s="16">
        <f>IFERROR(__xludf.DUMMYFUNCTION("""COMPUTED_VALUE"""),30.0)</f>
        <v>30</v>
      </c>
      <c r="CJ500" s="16">
        <f>IFERROR(__xludf.DUMMYFUNCTION("""COMPUTED_VALUE"""),0.0)</f>
        <v>0</v>
      </c>
      <c r="CK500" s="16">
        <f>IFERROR(__xludf.DUMMYFUNCTION("""COMPUTED_VALUE"""),0.0)</f>
        <v>0</v>
      </c>
      <c r="CL500" s="16" t="str">
        <f>IFERROR(__xludf.DUMMYFUNCTION("""COMPUTED_VALUE"""),"1WL-C")</f>
        <v>1WL-C</v>
      </c>
      <c r="CM500" s="16" t="str">
        <f>IFERROR(__xludf.DUMMYFUNCTION("""COMPUTED_VALUE"""),"E")</f>
        <v>E</v>
      </c>
      <c r="CN500" s="16">
        <f>IFERROR(__xludf.DUMMYFUNCTION("""COMPUTED_VALUE"""),10.0)</f>
        <v>10</v>
      </c>
      <c r="CO500" s="16" t="str">
        <f>IFERROR(__xludf.DUMMYFUNCTION("""COMPUTED_VALUE"""),"C")</f>
        <v>C</v>
      </c>
      <c r="CP500" s="16" t="str">
        <f>IFERROR(__xludf.DUMMYFUNCTION("""COMPUTED_VALUE"""),"1p30")</f>
        <v>1p30</v>
      </c>
      <c r="CQ500" s="16">
        <f>IFERROR(__xludf.DUMMYFUNCTION("""COMPUTED_VALUE"""),-49.0)</f>
        <v>-49</v>
      </c>
      <c r="CR500" s="16">
        <f>IFERROR(__xludf.DUMMYFUNCTION("""COMPUTED_VALUE"""),-53.0)</f>
        <v>-53</v>
      </c>
      <c r="CS500" s="16">
        <f>IFERROR(__xludf.DUMMYFUNCTION("""COMPUTED_VALUE"""),-102.0)</f>
        <v>-102</v>
      </c>
      <c r="CT500" s="16">
        <f>IFERROR(__xludf.DUMMYFUNCTION("""COMPUTED_VALUE"""),-49.0)</f>
        <v>-49</v>
      </c>
      <c r="CU500" s="16">
        <f>IFERROR(__xludf.DUMMYFUNCTION("""COMPUTED_VALUE"""),-53.0)</f>
        <v>-53</v>
      </c>
      <c r="CV500" s="179">
        <f>IFERROR(__xludf.DUMMYFUNCTION("""COMPUTED_VALUE"""),-45.666666666666664)</f>
        <v>-45.66666667</v>
      </c>
      <c r="CW500" s="179">
        <f>IFERROR(__xludf.DUMMYFUNCTION("""COMPUTED_VALUE"""),4.0)</f>
        <v>4</v>
      </c>
      <c r="CX500" s="179">
        <f>IFERROR(__xludf.DUMMYFUNCTION("""COMPUTED_VALUE"""),2.0)</f>
        <v>2</v>
      </c>
      <c r="CY500" s="16" t="str">
        <f>IFERROR(__xludf.DUMMYFUNCTION("""COMPUTED_VALUE"""),"SP")</f>
        <v>SP</v>
      </c>
      <c r="CZ500" s="16" t="str">
        <f>IFERROR(__xludf.DUMMYFUNCTION("""COMPUTED_VALUE"""),"RP")</f>
        <v>RP</v>
      </c>
      <c r="DA500" s="16"/>
      <c r="DB500" s="16"/>
      <c r="DC500" s="16"/>
      <c r="DD500" s="16"/>
      <c r="DE500" s="16"/>
      <c r="DF500" s="16"/>
      <c r="DG500" s="16"/>
      <c r="DH500" s="16"/>
      <c r="DI500" s="16"/>
      <c r="DJ500" s="16"/>
      <c r="DK500" s="16"/>
    </row>
    <row r="501">
      <c r="A501" s="16">
        <f>IFERROR(__xludf.DUMMYFUNCTION("""COMPUTED_VALUE"""),13511.0)</f>
        <v>13511</v>
      </c>
      <c r="B501" s="16" t="str">
        <f>IFERROR(__xludf.DUMMYFUNCTION("""COMPUTED_VALUE"""),"Yunior Marte")</f>
        <v>Yunior Marte</v>
      </c>
      <c r="C501" s="153">
        <f>IFERROR(__xludf.DUMMYFUNCTION("""COMPUTED_VALUE"""),0.0)</f>
        <v>0</v>
      </c>
      <c r="D501" s="16"/>
      <c r="E501" s="16" t="str">
        <f>IFERROR(__xludf.DUMMYFUNCTION("""COMPUTED_VALUE"""),"R")</f>
        <v>R</v>
      </c>
      <c r="F501" s="16">
        <f>IFERROR(__xludf.DUMMYFUNCTION("""COMPUTED_VALUE"""),26.0)</f>
        <v>26</v>
      </c>
      <c r="G501" s="16">
        <f>IFERROR(__xludf.DUMMYFUNCTION("""COMPUTED_VALUE"""),5.0)</f>
        <v>5</v>
      </c>
      <c r="H501" s="16">
        <f>IFERROR(__xludf.DUMMYFUNCTION("""COMPUTED_VALUE"""),21.0)</f>
        <v>21</v>
      </c>
      <c r="I501" s="16">
        <f>IFERROR(__xludf.DUMMYFUNCTION("""COMPUTED_VALUE"""),-3.0)</f>
        <v>-3</v>
      </c>
      <c r="J501" s="16">
        <f>IFERROR(__xludf.DUMMYFUNCTION("""COMPUTED_VALUE"""),-1.0)</f>
        <v>-1</v>
      </c>
      <c r="K501" s="16">
        <f>IFERROR(__xludf.DUMMYFUNCTION("""COMPUTED_VALUE"""),-9.0)</f>
        <v>-9</v>
      </c>
      <c r="L501" s="16">
        <f>IFERROR(__xludf.DUMMYFUNCTION("""COMPUTED_VALUE"""),-3.0)</f>
        <v>-3</v>
      </c>
      <c r="M501" s="16">
        <f>IFERROR(__xludf.DUMMYFUNCTION("""COMPUTED_VALUE"""),19.0)</f>
        <v>19</v>
      </c>
      <c r="N501" s="16">
        <f>IFERROR(__xludf.DUMMYFUNCTION("""COMPUTED_VALUE"""),16.0)</f>
        <v>16</v>
      </c>
      <c r="O501" s="16">
        <f>IFERROR(__xludf.DUMMYFUNCTION("""COMPUTED_VALUE"""),-3.0)</f>
        <v>-3</v>
      </c>
      <c r="P501" s="16">
        <f>IFERROR(__xludf.DUMMYFUNCTION("""COMPUTED_VALUE"""),-3.0)</f>
        <v>-3</v>
      </c>
      <c r="Q501" s="16">
        <f>IFERROR(__xludf.DUMMYFUNCTION("""COMPUTED_VALUE"""),-3.0)</f>
        <v>-3</v>
      </c>
      <c r="R501" s="16">
        <f>IFERROR(__xludf.DUMMYFUNCTION("""COMPUTED_VALUE"""),-3.0)</f>
        <v>-3</v>
      </c>
      <c r="S501" s="16">
        <f>IFERROR(__xludf.DUMMYFUNCTION("""COMPUTED_VALUE"""),26.9)</f>
        <v>26.9</v>
      </c>
      <c r="T501" s="16">
        <f>IFERROR(__xludf.DUMMYFUNCTION("""COMPUTED_VALUE"""),25.0)</f>
        <v>25</v>
      </c>
      <c r="U501" s="16">
        <f>IFERROR(__xludf.DUMMYFUNCTION("""COMPUTED_VALUE"""),-2.0)</f>
        <v>-2</v>
      </c>
      <c r="V501" s="16">
        <f>IFERROR(__xludf.DUMMYFUNCTION("""COMPUTED_VALUE"""),-2.0)</f>
        <v>-2</v>
      </c>
      <c r="W501" s="16">
        <f>IFERROR(__xludf.DUMMYFUNCTION("""COMPUTED_VALUE"""),-4.0)</f>
        <v>-4</v>
      </c>
      <c r="X501" s="16">
        <f>IFERROR(__xludf.DUMMYFUNCTION("""COMPUTED_VALUE"""),-4.0)</f>
        <v>-4</v>
      </c>
      <c r="Y501" s="16">
        <f>IFERROR(__xludf.DUMMYFUNCTION("""COMPUTED_VALUE"""),45.8)</f>
        <v>45.8</v>
      </c>
      <c r="Z501" s="16">
        <f>IFERROR(__xludf.DUMMYFUNCTION("""COMPUTED_VALUE"""),41.0)</f>
        <v>41</v>
      </c>
      <c r="AA501" s="16">
        <f>IFERROR(__xludf.DUMMYFUNCTION("""COMPUTED_VALUE"""),-2.0)</f>
        <v>-2</v>
      </c>
      <c r="AB501" s="16">
        <f>IFERROR(__xludf.DUMMYFUNCTION("""COMPUTED_VALUE"""),-2.0)</f>
        <v>-2</v>
      </c>
      <c r="AC501" s="16">
        <f>IFERROR(__xludf.DUMMYFUNCTION("""COMPUTED_VALUE"""),-10.0)</f>
        <v>-10</v>
      </c>
      <c r="AD501" s="16">
        <f>IFERROR(__xludf.DUMMYFUNCTION("""COMPUTED_VALUE"""),-10.0)</f>
        <v>-10</v>
      </c>
      <c r="AE501" s="16">
        <f>IFERROR(__xludf.DUMMYFUNCTION("""COMPUTED_VALUE"""),68.3)</f>
        <v>68.3</v>
      </c>
      <c r="AF501" s="16">
        <f>IFERROR(__xludf.DUMMYFUNCTION("""COMPUTED_VALUE"""),25.0)</f>
        <v>25</v>
      </c>
      <c r="AG501" s="16">
        <f>IFERROR(__xludf.DUMMYFUNCTION("""COMPUTED_VALUE"""),-3.0)</f>
        <v>-3</v>
      </c>
      <c r="AH501" s="16">
        <f>IFERROR(__xludf.DUMMYFUNCTION("""COMPUTED_VALUE"""),0.0)</f>
        <v>0</v>
      </c>
      <c r="AI501" s="16">
        <f>IFERROR(__xludf.DUMMYFUNCTION("""COMPUTED_VALUE"""),-6.0)</f>
        <v>-6</v>
      </c>
      <c r="AJ501" s="16">
        <f>IFERROR(__xludf.DUMMYFUNCTION("""COMPUTED_VALUE"""),0.0)</f>
        <v>0</v>
      </c>
      <c r="AK501" s="16">
        <f>IFERROR(__xludf.DUMMYFUNCTION("""COMPUTED_VALUE"""),18.4)</f>
        <v>18.4</v>
      </c>
      <c r="AL501" s="16">
        <f>IFERROR(__xludf.DUMMYFUNCTION("""COMPUTED_VALUE"""),25.0)</f>
        <v>25</v>
      </c>
      <c r="AM501" s="16">
        <f>IFERROR(__xludf.DUMMYFUNCTION("""COMPUTED_VALUE"""),-1.0)</f>
        <v>-1</v>
      </c>
      <c r="AN501" s="16">
        <f>IFERROR(__xludf.DUMMYFUNCTION("""COMPUTED_VALUE"""),-2.0)</f>
        <v>-2</v>
      </c>
      <c r="AO501" s="16">
        <f>IFERROR(__xludf.DUMMYFUNCTION("""COMPUTED_VALUE"""),-1.0)</f>
        <v>-1</v>
      </c>
      <c r="AP501" s="16">
        <f>IFERROR(__xludf.DUMMYFUNCTION("""COMPUTED_VALUE"""),-2.0)</f>
        <v>-2</v>
      </c>
      <c r="AQ501" s="16">
        <f>IFERROR(__xludf.DUMMYFUNCTION("""COMPUTED_VALUE"""),34.3)</f>
        <v>34.3</v>
      </c>
      <c r="AR501" s="16">
        <f>IFERROR(__xludf.DUMMYFUNCTION("""COMPUTED_VALUE"""),25.0)</f>
        <v>25</v>
      </c>
      <c r="AS501" s="16">
        <f>IFERROR(__xludf.DUMMYFUNCTION("""COMPUTED_VALUE"""),-2.0)</f>
        <v>-2</v>
      </c>
      <c r="AT501" s="16">
        <f>IFERROR(__xludf.DUMMYFUNCTION("""COMPUTED_VALUE"""),-1.0)</f>
        <v>-1</v>
      </c>
      <c r="AU501" s="16">
        <f>IFERROR(__xludf.DUMMYFUNCTION("""COMPUTED_VALUE"""),-4.0)</f>
        <v>-4</v>
      </c>
      <c r="AV501" s="16">
        <f>IFERROR(__xludf.DUMMYFUNCTION("""COMPUTED_VALUE"""),-2.0)</f>
        <v>-2</v>
      </c>
      <c r="AW501" s="16">
        <f>IFERROR(__xludf.DUMMYFUNCTION("""COMPUTED_VALUE"""),8.5)</f>
        <v>8.5</v>
      </c>
      <c r="AX501" s="16">
        <f>IFERROR(__xludf.DUMMYFUNCTION("""COMPUTED_VALUE"""),0.0)</f>
        <v>0</v>
      </c>
      <c r="AY501" s="16">
        <f>IFERROR(__xludf.DUMMYFUNCTION("""COMPUTED_VALUE"""),-3.0)</f>
        <v>-3</v>
      </c>
      <c r="AZ501" s="16">
        <f>IFERROR(__xludf.DUMMYFUNCTION("""COMPUTED_VALUE"""),2.0)</f>
        <v>2</v>
      </c>
      <c r="BA501" s="16">
        <f>IFERROR(__xludf.DUMMYFUNCTION("""COMPUTED_VALUE"""),-15.0)</f>
        <v>-15</v>
      </c>
      <c r="BB501" s="16">
        <f>IFERROR(__xludf.DUMMYFUNCTION("""COMPUTED_VALUE"""),10.0)</f>
        <v>10</v>
      </c>
      <c r="BC501" s="16">
        <f>IFERROR(__xludf.DUMMYFUNCTION("""COMPUTED_VALUE"""),8.0)</f>
        <v>8</v>
      </c>
      <c r="BD501" s="16">
        <f>IFERROR(__xludf.DUMMYFUNCTION("""COMPUTED_VALUE"""),0.0)</f>
        <v>0</v>
      </c>
      <c r="BE501" s="16">
        <f>IFERROR(__xludf.DUMMYFUNCTION("""COMPUTED_VALUE"""),8.0)</f>
        <v>8</v>
      </c>
      <c r="BF501" s="16">
        <f>IFERROR(__xludf.DUMMYFUNCTION("""COMPUTED_VALUE"""),0.0)</f>
        <v>0</v>
      </c>
      <c r="BG501" s="16">
        <f>IFERROR(__xludf.DUMMYFUNCTION("""COMPUTED_VALUE"""),-3.0)</f>
        <v>-3</v>
      </c>
      <c r="BH501" s="16">
        <f>IFERROR(__xludf.DUMMYFUNCTION("""COMPUTED_VALUE"""),2.0)</f>
        <v>2</v>
      </c>
      <c r="BI501" s="16">
        <f>IFERROR(__xludf.DUMMYFUNCTION("""COMPUTED_VALUE"""),-6.0)</f>
        <v>-6</v>
      </c>
      <c r="BJ501" s="16">
        <f>IFERROR(__xludf.DUMMYFUNCTION("""COMPUTED_VALUE"""),4.0)</f>
        <v>4</v>
      </c>
      <c r="BK501" s="16">
        <f>IFERROR(__xludf.DUMMYFUNCTION("""COMPUTED_VALUE"""),5.0)</f>
        <v>5</v>
      </c>
      <c r="BL501" s="16">
        <f>IFERROR(__xludf.DUMMYFUNCTION("""COMPUTED_VALUE"""),5.0)</f>
        <v>5</v>
      </c>
      <c r="BM501" s="16">
        <f>IFERROR(__xludf.DUMMYFUNCTION("""COMPUTED_VALUE"""),0.0)</f>
        <v>0</v>
      </c>
      <c r="BN501" s="16">
        <f>IFERROR(__xludf.DUMMYFUNCTION("""COMPUTED_VALUE"""),0.0)</f>
        <v>0</v>
      </c>
      <c r="BO501" s="16">
        <f>IFERROR(__xludf.DUMMYFUNCTION("""COMPUTED_VALUE"""),0.0)</f>
        <v>0</v>
      </c>
      <c r="BP501" s="16">
        <f>IFERROR(__xludf.DUMMYFUNCTION("""COMPUTED_VALUE"""),0.0)</f>
        <v>0</v>
      </c>
      <c r="BQ501" s="16">
        <f>IFERROR(__xludf.DUMMYFUNCTION("""COMPUTED_VALUE"""),0.0)</f>
        <v>0</v>
      </c>
      <c r="BR501" s="16">
        <f>IFERROR(__xludf.DUMMYFUNCTION("""COMPUTED_VALUE"""),0.0)</f>
        <v>0</v>
      </c>
      <c r="BS501" s="16">
        <f>IFERROR(__xludf.DUMMYFUNCTION("""COMPUTED_VALUE"""),-3.0)</f>
        <v>-3</v>
      </c>
      <c r="BT501" s="16">
        <f>IFERROR(__xludf.DUMMYFUNCTION("""COMPUTED_VALUE"""),-3.0)</f>
        <v>-3</v>
      </c>
      <c r="BU501" s="16">
        <f>IFERROR(__xludf.DUMMYFUNCTION("""COMPUTED_VALUE"""),-6.0)</f>
        <v>-6</v>
      </c>
      <c r="BV501" s="16">
        <f>IFERROR(__xludf.DUMMYFUNCTION("""COMPUTED_VALUE"""),-6.0)</f>
        <v>-6</v>
      </c>
      <c r="BW501" s="16">
        <f>IFERROR(__xludf.DUMMYFUNCTION("""COMPUTED_VALUE"""),9.0)</f>
        <v>9</v>
      </c>
      <c r="BX501" s="16">
        <f>IFERROR(__xludf.DUMMYFUNCTION("""COMPUTED_VALUE"""),9.0)</f>
        <v>9</v>
      </c>
      <c r="BY501" s="16" t="str">
        <f>IFERROR(__xludf.DUMMYFUNCTION("""COMPUTED_VALUE"""),"R(1)")</f>
        <v>R(1)</v>
      </c>
      <c r="BZ501" s="16" t="str">
        <f>IFERROR(__xludf.DUMMYFUNCTION("""COMPUTED_VALUE"""),"R(1)")</f>
        <v>R(1)</v>
      </c>
      <c r="CA501" s="16" t="str">
        <f>IFERROR(__xludf.DUMMYFUNCTION("""COMPUTED_VALUE"""),"R(1)")</f>
        <v>R(1)</v>
      </c>
      <c r="CB501" s="16"/>
      <c r="CC501" s="16"/>
      <c r="CD501" s="16"/>
      <c r="CE501" s="16">
        <f>IFERROR(__xludf.DUMMYFUNCTION("""COMPUTED_VALUE"""),1.0)</f>
        <v>1</v>
      </c>
      <c r="CF501" s="16"/>
      <c r="CG501" s="16" t="str">
        <f>IFERROR(__xludf.DUMMYFUNCTION("""COMPUTED_VALUE"""),"5-0")</f>
        <v>5-0</v>
      </c>
      <c r="CH501" s="16">
        <f>IFERROR(__xludf.DUMMYFUNCTION("""COMPUTED_VALUE"""),5.0)</f>
        <v>5</v>
      </c>
      <c r="CI501" s="16">
        <f>IFERROR(__xludf.DUMMYFUNCTION("""COMPUTED_VALUE"""),0.0)</f>
        <v>0</v>
      </c>
      <c r="CJ501" s="16">
        <f>IFERROR(__xludf.DUMMYFUNCTION("""COMPUTED_VALUE"""),0.0)</f>
        <v>0</v>
      </c>
      <c r="CK501" s="16">
        <f>IFERROR(__xludf.DUMMYFUNCTION("""COMPUTED_VALUE"""),20.0)</f>
        <v>20</v>
      </c>
      <c r="CL501" s="16" t="str">
        <f>IFERROR(__xludf.DUMMYFUNCTION("""COMPUTED_VALUE"""),"1WR-C")</f>
        <v>1WR-C</v>
      </c>
      <c r="CM501" s="16" t="str">
        <f>IFERROR(__xludf.DUMMYFUNCTION("""COMPUTED_VALUE"""),"E")</f>
        <v>E</v>
      </c>
      <c r="CN501" s="16">
        <f>IFERROR(__xludf.DUMMYFUNCTION("""COMPUTED_VALUE"""),10.0)</f>
        <v>10</v>
      </c>
      <c r="CO501" s="16" t="str">
        <f>IFERROR(__xludf.DUMMYFUNCTION("""COMPUTED_VALUE"""),"C")</f>
        <v>C</v>
      </c>
      <c r="CP501" s="16" t="str">
        <f>IFERROR(__xludf.DUMMYFUNCTION("""COMPUTED_VALUE"""),"5p30")</f>
        <v>5p30</v>
      </c>
      <c r="CQ501" s="16">
        <f>IFERROR(__xludf.DUMMYFUNCTION("""COMPUTED_VALUE"""),-64.0)</f>
        <v>-64</v>
      </c>
      <c r="CR501" s="16">
        <f>IFERROR(__xludf.DUMMYFUNCTION("""COMPUTED_VALUE"""),-16.0)</f>
        <v>-16</v>
      </c>
      <c r="CS501" s="16">
        <f>IFERROR(__xludf.DUMMYFUNCTION("""COMPUTED_VALUE"""),-80.0)</f>
        <v>-80</v>
      </c>
      <c r="CT501" s="16">
        <f>IFERROR(__xludf.DUMMYFUNCTION("""COMPUTED_VALUE"""),-64.0)</f>
        <v>-64</v>
      </c>
      <c r="CU501" s="16">
        <f>IFERROR(__xludf.DUMMYFUNCTION("""COMPUTED_VALUE"""),-16.0)</f>
        <v>-16</v>
      </c>
      <c r="CV501" s="179">
        <f>IFERROR(__xludf.DUMMYFUNCTION("""COMPUTED_VALUE"""),-46.0)</f>
        <v>-46</v>
      </c>
      <c r="CW501" s="179">
        <f>IFERROR(__xludf.DUMMYFUNCTION("""COMPUTED_VALUE"""),0.0)</f>
        <v>0</v>
      </c>
      <c r="CX501" s="179">
        <f>IFERROR(__xludf.DUMMYFUNCTION("""COMPUTED_VALUE"""),2.0)</f>
        <v>2</v>
      </c>
      <c r="CY501" s="16" t="str">
        <f>IFERROR(__xludf.DUMMYFUNCTION("""COMPUTED_VALUE"""),"RP")</f>
        <v>RP</v>
      </c>
      <c r="CZ501" s="16"/>
      <c r="DA501" s="16"/>
      <c r="DB501" s="16"/>
      <c r="DC501" s="16"/>
      <c r="DD501" s="16"/>
      <c r="DE501" s="16"/>
      <c r="DF501" s="16"/>
      <c r="DG501" s="16"/>
      <c r="DH501" s="16"/>
      <c r="DI501" s="16"/>
      <c r="DJ501" s="16"/>
      <c r="DK501" s="16"/>
    </row>
    <row r="502">
      <c r="A502" s="16">
        <f>IFERROR(__xludf.DUMMYFUNCTION("""COMPUTED_VALUE"""),13399.0)</f>
        <v>13399</v>
      </c>
      <c r="B502" s="16" t="str">
        <f>IFERROR(__xludf.DUMMYFUNCTION("""COMPUTED_VALUE"""),"Tanner Gordon")</f>
        <v>Tanner Gordon</v>
      </c>
      <c r="C502" s="153">
        <f>IFERROR(__xludf.DUMMYFUNCTION("""COMPUTED_VALUE"""),0.0)</f>
        <v>0</v>
      </c>
      <c r="D502" s="16"/>
      <c r="E502" s="16" t="str">
        <f>IFERROR(__xludf.DUMMYFUNCTION("""COMPUTED_VALUE"""),"R")</f>
        <v>R</v>
      </c>
      <c r="F502" s="16">
        <f>IFERROR(__xludf.DUMMYFUNCTION("""COMPUTED_VALUE"""),34.0)</f>
        <v>34</v>
      </c>
      <c r="G502" s="16">
        <f>IFERROR(__xludf.DUMMYFUNCTION("""COMPUTED_VALUE"""),2.0)</f>
        <v>2</v>
      </c>
      <c r="H502" s="16">
        <f>IFERROR(__xludf.DUMMYFUNCTION("""COMPUTED_VALUE"""),21.0)</f>
        <v>21</v>
      </c>
      <c r="I502" s="16">
        <f>IFERROR(__xludf.DUMMYFUNCTION("""COMPUTED_VALUE"""),-3.0)</f>
        <v>-3</v>
      </c>
      <c r="J502" s="16">
        <f>IFERROR(__xludf.DUMMYFUNCTION("""COMPUTED_VALUE"""),-1.0)</f>
        <v>-1</v>
      </c>
      <c r="K502" s="16">
        <f>IFERROR(__xludf.DUMMYFUNCTION("""COMPUTED_VALUE"""),-9.0)</f>
        <v>-9</v>
      </c>
      <c r="L502" s="16">
        <f>IFERROR(__xludf.DUMMYFUNCTION("""COMPUTED_VALUE"""),-3.0)</f>
        <v>-3</v>
      </c>
      <c r="M502" s="16">
        <f>IFERROR(__xludf.DUMMYFUNCTION("""COMPUTED_VALUE"""),0.0)</f>
        <v>0</v>
      </c>
      <c r="N502" s="16">
        <f>IFERROR(__xludf.DUMMYFUNCTION("""COMPUTED_VALUE"""),0.0)</f>
        <v>0</v>
      </c>
      <c r="O502" s="16">
        <f>IFERROR(__xludf.DUMMYFUNCTION("""COMPUTED_VALUE"""),3.0)</f>
        <v>3</v>
      </c>
      <c r="P502" s="16">
        <f>IFERROR(__xludf.DUMMYFUNCTION("""COMPUTED_VALUE"""),3.0)</f>
        <v>3</v>
      </c>
      <c r="Q502" s="16">
        <f>IFERROR(__xludf.DUMMYFUNCTION("""COMPUTED_VALUE"""),3.0)</f>
        <v>3</v>
      </c>
      <c r="R502" s="16">
        <f>IFERROR(__xludf.DUMMYFUNCTION("""COMPUTED_VALUE"""),3.0)</f>
        <v>3</v>
      </c>
      <c r="S502" s="16">
        <f>IFERROR(__xludf.DUMMYFUNCTION("""COMPUTED_VALUE"""),33.3)</f>
        <v>33.3</v>
      </c>
      <c r="T502" s="16">
        <f>IFERROR(__xludf.DUMMYFUNCTION("""COMPUTED_VALUE"""),42.0)</f>
        <v>42</v>
      </c>
      <c r="U502" s="16">
        <f>IFERROR(__xludf.DUMMYFUNCTION("""COMPUTED_VALUE"""),-3.0)</f>
        <v>-3</v>
      </c>
      <c r="V502" s="16">
        <f>IFERROR(__xludf.DUMMYFUNCTION("""COMPUTED_VALUE"""),-3.0)</f>
        <v>-3</v>
      </c>
      <c r="W502" s="16">
        <f>IFERROR(__xludf.DUMMYFUNCTION("""COMPUTED_VALUE"""),-6.0)</f>
        <v>-6</v>
      </c>
      <c r="X502" s="16">
        <f>IFERROR(__xludf.DUMMYFUNCTION("""COMPUTED_VALUE"""),-6.0)</f>
        <v>-6</v>
      </c>
      <c r="Y502" s="16">
        <f>IFERROR(__xludf.DUMMYFUNCTION("""COMPUTED_VALUE"""),33.3)</f>
        <v>33.3</v>
      </c>
      <c r="Z502" s="16">
        <f>IFERROR(__xludf.DUMMYFUNCTION("""COMPUTED_VALUE"""),42.0)</f>
        <v>42</v>
      </c>
      <c r="AA502" s="16">
        <f>IFERROR(__xludf.DUMMYFUNCTION("""COMPUTED_VALUE"""),-1.0)</f>
        <v>-1</v>
      </c>
      <c r="AB502" s="16">
        <f>IFERROR(__xludf.DUMMYFUNCTION("""COMPUTED_VALUE"""),-2.0)</f>
        <v>-2</v>
      </c>
      <c r="AC502" s="16">
        <f>IFERROR(__xludf.DUMMYFUNCTION("""COMPUTED_VALUE"""),-5.0)</f>
        <v>-5</v>
      </c>
      <c r="AD502" s="16">
        <f>IFERROR(__xludf.DUMMYFUNCTION("""COMPUTED_VALUE"""),-10.0)</f>
        <v>-10</v>
      </c>
      <c r="AE502" s="16">
        <f>IFERROR(__xludf.DUMMYFUNCTION("""COMPUTED_VALUE"""),63.7)</f>
        <v>63.7</v>
      </c>
      <c r="AF502" s="16">
        <f>IFERROR(__xludf.DUMMYFUNCTION("""COMPUTED_VALUE"""),80.2)</f>
        <v>80.2</v>
      </c>
      <c r="AG502" s="16">
        <f>IFERROR(__xludf.DUMMYFUNCTION("""COMPUTED_VALUE"""),-3.0)</f>
        <v>-3</v>
      </c>
      <c r="AH502" s="16">
        <f>IFERROR(__xludf.DUMMYFUNCTION("""COMPUTED_VALUE"""),-3.0)</f>
        <v>-3</v>
      </c>
      <c r="AI502" s="16">
        <f>IFERROR(__xludf.DUMMYFUNCTION("""COMPUTED_VALUE"""),-6.0)</f>
        <v>-6</v>
      </c>
      <c r="AJ502" s="16">
        <f>IFERROR(__xludf.DUMMYFUNCTION("""COMPUTED_VALUE"""),-6.0)</f>
        <v>-6</v>
      </c>
      <c r="AK502" s="16">
        <f>IFERROR(__xludf.DUMMYFUNCTION("""COMPUTED_VALUE"""),28.799999999999997)</f>
        <v>28.8</v>
      </c>
      <c r="AL502" s="16">
        <f>IFERROR(__xludf.DUMMYFUNCTION("""COMPUTED_VALUE"""),33.7)</f>
        <v>33.7</v>
      </c>
      <c r="AM502" s="16">
        <f>IFERROR(__xludf.DUMMYFUNCTION("""COMPUTED_VALUE"""),-2.0)</f>
        <v>-2</v>
      </c>
      <c r="AN502" s="16">
        <f>IFERROR(__xludf.DUMMYFUNCTION("""COMPUTED_VALUE"""),-3.0)</f>
        <v>-3</v>
      </c>
      <c r="AO502" s="16">
        <f>IFERROR(__xludf.DUMMYFUNCTION("""COMPUTED_VALUE"""),-2.0)</f>
        <v>-2</v>
      </c>
      <c r="AP502" s="16">
        <f>IFERROR(__xludf.DUMMYFUNCTION("""COMPUTED_VALUE"""),-3.0)</f>
        <v>-3</v>
      </c>
      <c r="AQ502" s="16">
        <f>IFERROR(__xludf.DUMMYFUNCTION("""COMPUTED_VALUE"""),45.7)</f>
        <v>45.7</v>
      </c>
      <c r="AR502" s="16">
        <f>IFERROR(__xludf.DUMMYFUNCTION("""COMPUTED_VALUE"""),47.0)</f>
        <v>47</v>
      </c>
      <c r="AS502" s="16">
        <f>IFERROR(__xludf.DUMMYFUNCTION("""COMPUTED_VALUE"""),-3.0)</f>
        <v>-3</v>
      </c>
      <c r="AT502" s="16">
        <f>IFERROR(__xludf.DUMMYFUNCTION("""COMPUTED_VALUE"""),-3.0)</f>
        <v>-3</v>
      </c>
      <c r="AU502" s="16">
        <f>IFERROR(__xludf.DUMMYFUNCTION("""COMPUTED_VALUE"""),-6.0)</f>
        <v>-6</v>
      </c>
      <c r="AV502" s="16">
        <f>IFERROR(__xludf.DUMMYFUNCTION("""COMPUTED_VALUE"""),-6.0)</f>
        <v>-6</v>
      </c>
      <c r="AW502" s="16">
        <f>IFERROR(__xludf.DUMMYFUNCTION("""COMPUTED_VALUE"""),4.5)</f>
        <v>4.5</v>
      </c>
      <c r="AX502" s="16">
        <f>IFERROR(__xludf.DUMMYFUNCTION("""COMPUTED_VALUE"""),8.3)</f>
        <v>8.3</v>
      </c>
      <c r="AY502" s="16">
        <f>IFERROR(__xludf.DUMMYFUNCTION("""COMPUTED_VALUE"""),-2.0)</f>
        <v>-2</v>
      </c>
      <c r="AZ502" s="16">
        <f>IFERROR(__xludf.DUMMYFUNCTION("""COMPUTED_VALUE"""),-3.0)</f>
        <v>-3</v>
      </c>
      <c r="BA502" s="16">
        <f>IFERROR(__xludf.DUMMYFUNCTION("""COMPUTED_VALUE"""),-10.0)</f>
        <v>-10</v>
      </c>
      <c r="BB502" s="16">
        <f>IFERROR(__xludf.DUMMYFUNCTION("""COMPUTED_VALUE"""),-15.0)</f>
        <v>-15</v>
      </c>
      <c r="BC502" s="16">
        <f>IFERROR(__xludf.DUMMYFUNCTION("""COMPUTED_VALUE"""),8.0)</f>
        <v>8</v>
      </c>
      <c r="BD502" s="16">
        <f>IFERROR(__xludf.DUMMYFUNCTION("""COMPUTED_VALUE"""),8.0)</f>
        <v>8</v>
      </c>
      <c r="BE502" s="16">
        <f>IFERROR(__xludf.DUMMYFUNCTION("""COMPUTED_VALUE"""),8.0)</f>
        <v>8</v>
      </c>
      <c r="BF502" s="16">
        <f>IFERROR(__xludf.DUMMYFUNCTION("""COMPUTED_VALUE"""),8.0)</f>
        <v>8</v>
      </c>
      <c r="BG502" s="16">
        <f>IFERROR(__xludf.DUMMYFUNCTION("""COMPUTED_VALUE"""),-3.0)</f>
        <v>-3</v>
      </c>
      <c r="BH502" s="16">
        <f>IFERROR(__xludf.DUMMYFUNCTION("""COMPUTED_VALUE"""),-3.0)</f>
        <v>-3</v>
      </c>
      <c r="BI502" s="16">
        <f>IFERROR(__xludf.DUMMYFUNCTION("""COMPUTED_VALUE"""),-6.0)</f>
        <v>-6</v>
      </c>
      <c r="BJ502" s="16">
        <f>IFERROR(__xludf.DUMMYFUNCTION("""COMPUTED_VALUE"""),-6.0)</f>
        <v>-6</v>
      </c>
      <c r="BK502" s="16">
        <f>IFERROR(__xludf.DUMMYFUNCTION("""COMPUTED_VALUE"""),5.0)</f>
        <v>5</v>
      </c>
      <c r="BL502" s="16">
        <f>IFERROR(__xludf.DUMMYFUNCTION("""COMPUTED_VALUE"""),5.0)</f>
        <v>5</v>
      </c>
      <c r="BM502" s="16">
        <f>IFERROR(__xludf.DUMMYFUNCTION("""COMPUTED_VALUE"""),0.0)</f>
        <v>0</v>
      </c>
      <c r="BN502" s="16">
        <f>IFERROR(__xludf.DUMMYFUNCTION("""COMPUTED_VALUE"""),0.0)</f>
        <v>0</v>
      </c>
      <c r="BO502" s="16">
        <f>IFERROR(__xludf.DUMMYFUNCTION("""COMPUTED_VALUE"""),0.0)</f>
        <v>0</v>
      </c>
      <c r="BP502" s="16">
        <f>IFERROR(__xludf.DUMMYFUNCTION("""COMPUTED_VALUE"""),0.0)</f>
        <v>0</v>
      </c>
      <c r="BQ502" s="16">
        <f>IFERROR(__xludf.DUMMYFUNCTION("""COMPUTED_VALUE"""),5.0)</f>
        <v>5</v>
      </c>
      <c r="BR502" s="16">
        <f>IFERROR(__xludf.DUMMYFUNCTION("""COMPUTED_VALUE"""),0.0)</f>
        <v>0</v>
      </c>
      <c r="BS502" s="16">
        <f>IFERROR(__xludf.DUMMYFUNCTION("""COMPUTED_VALUE"""),0.0)</f>
        <v>0</v>
      </c>
      <c r="BT502" s="16">
        <f>IFERROR(__xludf.DUMMYFUNCTION("""COMPUTED_VALUE"""),-3.0)</f>
        <v>-3</v>
      </c>
      <c r="BU502" s="16">
        <f>IFERROR(__xludf.DUMMYFUNCTION("""COMPUTED_VALUE"""),0.0)</f>
        <v>0</v>
      </c>
      <c r="BV502" s="16">
        <f>IFERROR(__xludf.DUMMYFUNCTION("""COMPUTED_VALUE"""),-6.0)</f>
        <v>-6</v>
      </c>
      <c r="BW502" s="16">
        <f>IFERROR(__xludf.DUMMYFUNCTION("""COMPUTED_VALUE"""),-2.0)</f>
        <v>-2</v>
      </c>
      <c r="BX502" s="16">
        <f>IFERROR(__xludf.DUMMYFUNCTION("""COMPUTED_VALUE"""),-2.0)</f>
        <v>-2</v>
      </c>
      <c r="BY502" s="16" t="str">
        <f>IFERROR(__xludf.DUMMYFUNCTION("""COMPUTED_VALUE"""),"S(4)")</f>
        <v>S(4)</v>
      </c>
      <c r="BZ502" s="16" t="str">
        <f>IFERROR(__xludf.DUMMYFUNCTION("""COMPUTED_VALUE"""),"S(4)")</f>
        <v>S(4)</v>
      </c>
      <c r="CA502" s="16" t="str">
        <f>IFERROR(__xludf.DUMMYFUNCTION("""COMPUTED_VALUE"""),"S(4)")</f>
        <v>S(4)</v>
      </c>
      <c r="CB502" s="16"/>
      <c r="CC502" s="16"/>
      <c r="CD502" s="16">
        <f>IFERROR(__xludf.DUMMYFUNCTION("""COMPUTED_VALUE"""),4.0)</f>
        <v>4</v>
      </c>
      <c r="CE502" s="16"/>
      <c r="CF502" s="16"/>
      <c r="CG502" s="16" t="str">
        <f>IFERROR(__xludf.DUMMYFUNCTION("""COMPUTED_VALUE"""),"3-0")</f>
        <v>3-0</v>
      </c>
      <c r="CH502" s="16">
        <f>IFERROR(__xludf.DUMMYFUNCTION("""COMPUTED_VALUE"""),3.0)</f>
        <v>3</v>
      </c>
      <c r="CI502" s="16">
        <f>IFERROR(__xludf.DUMMYFUNCTION("""COMPUTED_VALUE"""),0.0)</f>
        <v>0</v>
      </c>
      <c r="CJ502" s="16">
        <f>IFERROR(__xludf.DUMMYFUNCTION("""COMPUTED_VALUE"""),0.0)</f>
        <v>0</v>
      </c>
      <c r="CK502" s="16">
        <f>IFERROR(__xludf.DUMMYFUNCTION("""COMPUTED_VALUE"""),0.0)</f>
        <v>0</v>
      </c>
      <c r="CL502" s="16" t="str">
        <f>IFERROR(__xludf.DUMMYFUNCTION("""COMPUTED_VALUE"""),"1WL-C")</f>
        <v>1WL-C</v>
      </c>
      <c r="CM502" s="16" t="str">
        <f>IFERROR(__xludf.DUMMYFUNCTION("""COMPUTED_VALUE"""),"E")</f>
        <v>E</v>
      </c>
      <c r="CN502" s="16">
        <f>IFERROR(__xludf.DUMMYFUNCTION("""COMPUTED_VALUE"""),10.0)</f>
        <v>10</v>
      </c>
      <c r="CO502" s="16" t="str">
        <f>IFERROR(__xludf.DUMMYFUNCTION("""COMPUTED_VALUE"""),"C")</f>
        <v>C</v>
      </c>
      <c r="CP502" s="16" t="str">
        <f>IFERROR(__xludf.DUMMYFUNCTION("""COMPUTED_VALUE"""),"1p20")</f>
        <v>1p20</v>
      </c>
      <c r="CQ502" s="16">
        <f>IFERROR(__xludf.DUMMYFUNCTION("""COMPUTED_VALUE"""),-47.0)</f>
        <v>-47</v>
      </c>
      <c r="CR502" s="16">
        <f>IFERROR(__xludf.DUMMYFUNCTION("""COMPUTED_VALUE"""),-58.0)</f>
        <v>-58</v>
      </c>
      <c r="CS502" s="16">
        <f>IFERROR(__xludf.DUMMYFUNCTION("""COMPUTED_VALUE"""),-105.0)</f>
        <v>-105</v>
      </c>
      <c r="CT502" s="16">
        <f>IFERROR(__xludf.DUMMYFUNCTION("""COMPUTED_VALUE"""),-47.0)</f>
        <v>-47</v>
      </c>
      <c r="CU502" s="16">
        <f>IFERROR(__xludf.DUMMYFUNCTION("""COMPUTED_VALUE"""),-58.0)</f>
        <v>-58</v>
      </c>
      <c r="CV502" s="179">
        <f>IFERROR(__xludf.DUMMYFUNCTION("""COMPUTED_VALUE"""),-47.333333333333336)</f>
        <v>-47.33333333</v>
      </c>
      <c r="CW502" s="179">
        <f>IFERROR(__xludf.DUMMYFUNCTION("""COMPUTED_VALUE"""),4.0)</f>
        <v>4</v>
      </c>
      <c r="CX502" s="179">
        <f>IFERROR(__xludf.DUMMYFUNCTION("""COMPUTED_VALUE"""),3.0)</f>
        <v>3</v>
      </c>
      <c r="CY502" s="16" t="str">
        <f>IFERROR(__xludf.DUMMYFUNCTION("""COMPUTED_VALUE"""),"SP")</f>
        <v>SP</v>
      </c>
      <c r="CZ502" s="16"/>
      <c r="DA502" s="16"/>
      <c r="DB502" s="16"/>
      <c r="DC502" s="16"/>
      <c r="DD502" s="16"/>
      <c r="DE502" s="16"/>
      <c r="DF502" s="16"/>
      <c r="DG502" s="16"/>
      <c r="DH502" s="16"/>
      <c r="DI502" s="16"/>
      <c r="DJ502" s="16"/>
      <c r="DK502" s="16"/>
    </row>
    <row r="503">
      <c r="A503" s="16">
        <f>IFERROR(__xludf.DUMMYFUNCTION("""COMPUTED_VALUE"""),13395.0)</f>
        <v>13395</v>
      </c>
      <c r="B503" s="16" t="str">
        <f>IFERROR(__xludf.DUMMYFUNCTION("""COMPUTED_VALUE"""),"Taijuan Walker")</f>
        <v>Taijuan Walker</v>
      </c>
      <c r="C503" s="153">
        <f>IFERROR(__xludf.DUMMYFUNCTION("""COMPUTED_VALUE"""),0.0)</f>
        <v>0</v>
      </c>
      <c r="D503" s="16"/>
      <c r="E503" s="16" t="str">
        <f>IFERROR(__xludf.DUMMYFUNCTION("""COMPUTED_VALUE"""),"R")</f>
        <v>R</v>
      </c>
      <c r="F503" s="16">
        <f>IFERROR(__xludf.DUMMYFUNCTION("""COMPUTED_VALUE"""),84.0)</f>
        <v>84</v>
      </c>
      <c r="G503" s="16">
        <f>IFERROR(__xludf.DUMMYFUNCTION("""COMPUTED_VALUE"""),8.0)</f>
        <v>8</v>
      </c>
      <c r="H503" s="16">
        <f>IFERROR(__xludf.DUMMYFUNCTION("""COMPUTED_VALUE"""),9.0)</f>
        <v>9</v>
      </c>
      <c r="I503" s="16">
        <f>IFERROR(__xludf.DUMMYFUNCTION("""COMPUTED_VALUE"""),-2.0)</f>
        <v>-2</v>
      </c>
      <c r="J503" s="16">
        <f>IFERROR(__xludf.DUMMYFUNCTION("""COMPUTED_VALUE"""),-2.0)</f>
        <v>-2</v>
      </c>
      <c r="K503" s="16">
        <f>IFERROR(__xludf.DUMMYFUNCTION("""COMPUTED_VALUE"""),-6.0)</f>
        <v>-6</v>
      </c>
      <c r="L503" s="16">
        <f>IFERROR(__xludf.DUMMYFUNCTION("""COMPUTED_VALUE"""),-6.0)</f>
        <v>-6</v>
      </c>
      <c r="M503" s="16">
        <f>IFERROR(__xludf.DUMMYFUNCTION("""COMPUTED_VALUE"""),14.0)</f>
        <v>14</v>
      </c>
      <c r="N503" s="16">
        <f>IFERROR(__xludf.DUMMYFUNCTION("""COMPUTED_VALUE"""),11.0)</f>
        <v>11</v>
      </c>
      <c r="O503" s="16">
        <f>IFERROR(__xludf.DUMMYFUNCTION("""COMPUTED_VALUE"""),-2.0)</f>
        <v>-2</v>
      </c>
      <c r="P503" s="16">
        <f>IFERROR(__xludf.DUMMYFUNCTION("""COMPUTED_VALUE"""),-1.0)</f>
        <v>-1</v>
      </c>
      <c r="Q503" s="16">
        <f>IFERROR(__xludf.DUMMYFUNCTION("""COMPUTED_VALUE"""),-2.0)</f>
        <v>-2</v>
      </c>
      <c r="R503" s="16">
        <f>IFERROR(__xludf.DUMMYFUNCTION("""COMPUTED_VALUE"""),-1.0)</f>
        <v>-1</v>
      </c>
      <c r="S503" s="16">
        <f>IFERROR(__xludf.DUMMYFUNCTION("""COMPUTED_VALUE"""),22.9)</f>
        <v>22.9</v>
      </c>
      <c r="T503" s="16">
        <f>IFERROR(__xludf.DUMMYFUNCTION("""COMPUTED_VALUE"""),32.0)</f>
        <v>32</v>
      </c>
      <c r="U503" s="16">
        <f>IFERROR(__xludf.DUMMYFUNCTION("""COMPUTED_VALUE"""),-1.0)</f>
        <v>-1</v>
      </c>
      <c r="V503" s="16">
        <f>IFERROR(__xludf.DUMMYFUNCTION("""COMPUTED_VALUE"""),-2.0)</f>
        <v>-2</v>
      </c>
      <c r="W503" s="16">
        <f>IFERROR(__xludf.DUMMYFUNCTION("""COMPUTED_VALUE"""),-2.0)</f>
        <v>-2</v>
      </c>
      <c r="X503" s="16">
        <f>IFERROR(__xludf.DUMMYFUNCTION("""COMPUTED_VALUE"""),-4.0)</f>
        <v>-4</v>
      </c>
      <c r="Y503" s="16">
        <f>IFERROR(__xludf.DUMMYFUNCTION("""COMPUTED_VALUE"""),36.8)</f>
        <v>36.8</v>
      </c>
      <c r="Z503" s="16">
        <f>IFERROR(__xludf.DUMMYFUNCTION("""COMPUTED_VALUE"""),43.0)</f>
        <v>43</v>
      </c>
      <c r="AA503" s="16">
        <f>IFERROR(__xludf.DUMMYFUNCTION("""COMPUTED_VALUE"""),-2.0)</f>
        <v>-2</v>
      </c>
      <c r="AB503" s="16">
        <f>IFERROR(__xludf.DUMMYFUNCTION("""COMPUTED_VALUE"""),-2.0)</f>
        <v>-2</v>
      </c>
      <c r="AC503" s="16">
        <f>IFERROR(__xludf.DUMMYFUNCTION("""COMPUTED_VALUE"""),-10.0)</f>
        <v>-10</v>
      </c>
      <c r="AD503" s="16">
        <f>IFERROR(__xludf.DUMMYFUNCTION("""COMPUTED_VALUE"""),-10.0)</f>
        <v>-10</v>
      </c>
      <c r="AE503" s="16">
        <f>IFERROR(__xludf.DUMMYFUNCTION("""COMPUTED_VALUE"""),41.8)</f>
        <v>41.8</v>
      </c>
      <c r="AF503" s="16">
        <f>IFERROR(__xludf.DUMMYFUNCTION("""COMPUTED_VALUE"""),65.8)</f>
        <v>65.8</v>
      </c>
      <c r="AG503" s="16">
        <f>IFERROR(__xludf.DUMMYFUNCTION("""COMPUTED_VALUE"""),-1.0)</f>
        <v>-1</v>
      </c>
      <c r="AH503" s="16">
        <f>IFERROR(__xludf.DUMMYFUNCTION("""COMPUTED_VALUE"""),-3.0)</f>
        <v>-3</v>
      </c>
      <c r="AI503" s="16">
        <f>IFERROR(__xludf.DUMMYFUNCTION("""COMPUTED_VALUE"""),-2.0)</f>
        <v>-2</v>
      </c>
      <c r="AJ503" s="16">
        <f>IFERROR(__xludf.DUMMYFUNCTION("""COMPUTED_VALUE"""),-6.0)</f>
        <v>-6</v>
      </c>
      <c r="AK503" s="16">
        <f>IFERROR(__xludf.DUMMYFUNCTION("""COMPUTED_VALUE"""),18.099999999999998)</f>
        <v>18.1</v>
      </c>
      <c r="AL503" s="16">
        <f>IFERROR(__xludf.DUMMYFUNCTION("""COMPUTED_VALUE"""),23.7)</f>
        <v>23.7</v>
      </c>
      <c r="AM503" s="16">
        <f>IFERROR(__xludf.DUMMYFUNCTION("""COMPUTED_VALUE"""),-1.0)</f>
        <v>-1</v>
      </c>
      <c r="AN503" s="16">
        <f>IFERROR(__xludf.DUMMYFUNCTION("""COMPUTED_VALUE"""),-2.0)</f>
        <v>-2</v>
      </c>
      <c r="AO503" s="16">
        <f>IFERROR(__xludf.DUMMYFUNCTION("""COMPUTED_VALUE"""),-1.0)</f>
        <v>-1</v>
      </c>
      <c r="AP503" s="16">
        <f>IFERROR(__xludf.DUMMYFUNCTION("""COMPUTED_VALUE"""),-2.0)</f>
        <v>-2</v>
      </c>
      <c r="AQ503" s="16">
        <f>IFERROR(__xludf.DUMMYFUNCTION("""COMPUTED_VALUE"""),22.599999999999998)</f>
        <v>22.6</v>
      </c>
      <c r="AR503" s="16">
        <f>IFERROR(__xludf.DUMMYFUNCTION("""COMPUTED_VALUE"""),32.599999999999994)</f>
        <v>32.6</v>
      </c>
      <c r="AS503" s="16">
        <f>IFERROR(__xludf.DUMMYFUNCTION("""COMPUTED_VALUE"""),0.0)</f>
        <v>0</v>
      </c>
      <c r="AT503" s="16">
        <f>IFERROR(__xludf.DUMMYFUNCTION("""COMPUTED_VALUE"""),-2.0)</f>
        <v>-2</v>
      </c>
      <c r="AU503" s="16">
        <f>IFERROR(__xludf.DUMMYFUNCTION("""COMPUTED_VALUE"""),0.0)</f>
        <v>0</v>
      </c>
      <c r="AV503" s="16">
        <f>IFERROR(__xludf.DUMMYFUNCTION("""COMPUTED_VALUE"""),-4.0)</f>
        <v>-4</v>
      </c>
      <c r="AW503" s="16">
        <f>IFERROR(__xludf.DUMMYFUNCTION("""COMPUTED_VALUE"""),4.8)</f>
        <v>4.8</v>
      </c>
      <c r="AX503" s="16">
        <f>IFERROR(__xludf.DUMMYFUNCTION("""COMPUTED_VALUE"""),8.3)</f>
        <v>8.3</v>
      </c>
      <c r="AY503" s="16">
        <f>IFERROR(__xludf.DUMMYFUNCTION("""COMPUTED_VALUE"""),-3.0)</f>
        <v>-3</v>
      </c>
      <c r="AZ503" s="16">
        <f>IFERROR(__xludf.DUMMYFUNCTION("""COMPUTED_VALUE"""),-3.0)</f>
        <v>-3</v>
      </c>
      <c r="BA503" s="16">
        <f>IFERROR(__xludf.DUMMYFUNCTION("""COMPUTED_VALUE"""),-15.0)</f>
        <v>-15</v>
      </c>
      <c r="BB503" s="16">
        <f>IFERROR(__xludf.DUMMYFUNCTION("""COMPUTED_VALUE"""),-15.0)</f>
        <v>-15</v>
      </c>
      <c r="BC503" s="16">
        <f>IFERROR(__xludf.DUMMYFUNCTION("""COMPUTED_VALUE"""),6.0)</f>
        <v>6</v>
      </c>
      <c r="BD503" s="16">
        <f>IFERROR(__xludf.DUMMYFUNCTION("""COMPUTED_VALUE"""),8.0)</f>
        <v>8</v>
      </c>
      <c r="BE503" s="16">
        <f>IFERROR(__xludf.DUMMYFUNCTION("""COMPUTED_VALUE"""),6.0)</f>
        <v>6</v>
      </c>
      <c r="BF503" s="16">
        <f>IFERROR(__xludf.DUMMYFUNCTION("""COMPUTED_VALUE"""),8.0)</f>
        <v>8</v>
      </c>
      <c r="BG503" s="16">
        <f>IFERROR(__xludf.DUMMYFUNCTION("""COMPUTED_VALUE"""),-3.0)</f>
        <v>-3</v>
      </c>
      <c r="BH503" s="16">
        <f>IFERROR(__xludf.DUMMYFUNCTION("""COMPUTED_VALUE"""),-3.0)</f>
        <v>-3</v>
      </c>
      <c r="BI503" s="16">
        <f>IFERROR(__xludf.DUMMYFUNCTION("""COMPUTED_VALUE"""),-6.0)</f>
        <v>-6</v>
      </c>
      <c r="BJ503" s="16">
        <f>IFERROR(__xludf.DUMMYFUNCTION("""COMPUTED_VALUE"""),-6.0)</f>
        <v>-6</v>
      </c>
      <c r="BK503" s="16">
        <f>IFERROR(__xludf.DUMMYFUNCTION("""COMPUTED_VALUE"""),5.0)</f>
        <v>5</v>
      </c>
      <c r="BL503" s="16">
        <f>IFERROR(__xludf.DUMMYFUNCTION("""COMPUTED_VALUE"""),5.0)</f>
        <v>5</v>
      </c>
      <c r="BM503" s="16">
        <f>IFERROR(__xludf.DUMMYFUNCTION("""COMPUTED_VALUE"""),0.0)</f>
        <v>0</v>
      </c>
      <c r="BN503" s="16">
        <f>IFERROR(__xludf.DUMMYFUNCTION("""COMPUTED_VALUE"""),0.0)</f>
        <v>0</v>
      </c>
      <c r="BO503" s="16">
        <f>IFERROR(__xludf.DUMMYFUNCTION("""COMPUTED_VALUE"""),0.0)</f>
        <v>0</v>
      </c>
      <c r="BP503" s="16">
        <f>IFERROR(__xludf.DUMMYFUNCTION("""COMPUTED_VALUE"""),0.0)</f>
        <v>0</v>
      </c>
      <c r="BQ503" s="16">
        <f>IFERROR(__xludf.DUMMYFUNCTION("""COMPUTED_VALUE"""),9.0)</f>
        <v>9</v>
      </c>
      <c r="BR503" s="16">
        <f>IFERROR(__xludf.DUMMYFUNCTION("""COMPUTED_VALUE"""),5.0)</f>
        <v>5</v>
      </c>
      <c r="BS503" s="16">
        <f>IFERROR(__xludf.DUMMYFUNCTION("""COMPUTED_VALUE"""),3.0)</f>
        <v>3</v>
      </c>
      <c r="BT503" s="16">
        <f>IFERROR(__xludf.DUMMYFUNCTION("""COMPUTED_VALUE"""),0.0)</f>
        <v>0</v>
      </c>
      <c r="BU503" s="16">
        <f>IFERROR(__xludf.DUMMYFUNCTION("""COMPUTED_VALUE"""),6.0)</f>
        <v>6</v>
      </c>
      <c r="BV503" s="16">
        <f>IFERROR(__xludf.DUMMYFUNCTION("""COMPUTED_VALUE"""),0.0)</f>
        <v>0</v>
      </c>
      <c r="BW503" s="16">
        <f>IFERROR(__xludf.DUMMYFUNCTION("""COMPUTED_VALUE"""),0.0)</f>
        <v>0</v>
      </c>
      <c r="BX503" s="16">
        <f>IFERROR(__xludf.DUMMYFUNCTION("""COMPUTED_VALUE"""),0.0)</f>
        <v>0</v>
      </c>
      <c r="BY503" s="16" t="str">
        <f>IFERROR(__xludf.DUMMYFUNCTION("""COMPUTED_VALUE"""),"S(5) R(3)")</f>
        <v>S(5) R(3)</v>
      </c>
      <c r="BZ503" s="16" t="str">
        <f>IFERROR(__xludf.DUMMYFUNCTION("""COMPUTED_VALUE"""),"S(5) R(3)")</f>
        <v>S(5) R(3)</v>
      </c>
      <c r="CA503" s="16" t="str">
        <f>IFERROR(__xludf.DUMMYFUNCTION("""COMPUTED_VALUE"""),"S(5)")</f>
        <v>S(5)</v>
      </c>
      <c r="CB503" s="16" t="str">
        <f>IFERROR(__xludf.DUMMYFUNCTION("""COMPUTED_VALUE"""),"R(3)")</f>
        <v>R(3)</v>
      </c>
      <c r="CC503" s="16"/>
      <c r="CD503" s="16">
        <f>IFERROR(__xludf.DUMMYFUNCTION("""COMPUTED_VALUE"""),5.0)</f>
        <v>5</v>
      </c>
      <c r="CE503" s="16">
        <f>IFERROR(__xludf.DUMMYFUNCTION("""COMPUTED_VALUE"""),3.0)</f>
        <v>3</v>
      </c>
      <c r="CF503" s="16"/>
      <c r="CG503" s="16" t="str">
        <f>IFERROR(__xludf.DUMMYFUNCTION("""COMPUTED_VALUE"""),"3-17")</f>
        <v>3-17</v>
      </c>
      <c r="CH503" s="16">
        <f>IFERROR(__xludf.DUMMYFUNCTION("""COMPUTED_VALUE"""),3.0)</f>
        <v>3</v>
      </c>
      <c r="CI503" s="16">
        <f>IFERROR(__xludf.DUMMYFUNCTION("""COMPUTED_VALUE"""),17.0)</f>
        <v>17</v>
      </c>
      <c r="CJ503" s="16">
        <f>IFERROR(__xludf.DUMMYFUNCTION("""COMPUTED_VALUE"""),0.0)</f>
        <v>0</v>
      </c>
      <c r="CK503" s="16">
        <f>IFERROR(__xludf.DUMMYFUNCTION("""COMPUTED_VALUE"""),0.0)</f>
        <v>0</v>
      </c>
      <c r="CL503" s="16" t="str">
        <f>IFERROR(__xludf.DUMMYFUNCTION("""COMPUTED_VALUE"""),"1WR-C")</f>
        <v>1WR-C</v>
      </c>
      <c r="CM503" s="16" t="str">
        <f>IFERROR(__xludf.DUMMYFUNCTION("""COMPUTED_VALUE"""),"E")</f>
        <v>E</v>
      </c>
      <c r="CN503" s="16">
        <f>IFERROR(__xludf.DUMMYFUNCTION("""COMPUTED_VALUE"""),10.0)</f>
        <v>10</v>
      </c>
      <c r="CO503" s="16" t="str">
        <f>IFERROR(__xludf.DUMMYFUNCTION("""COMPUTED_VALUE"""),"C")</f>
        <v>C</v>
      </c>
      <c r="CP503" s="16" t="str">
        <f>IFERROR(__xludf.DUMMYFUNCTION("""COMPUTED_VALUE"""),"4p50")</f>
        <v>4p50</v>
      </c>
      <c r="CQ503" s="16">
        <f>IFERROR(__xludf.DUMMYFUNCTION("""COMPUTED_VALUE"""),-38.0)</f>
        <v>-38</v>
      </c>
      <c r="CR503" s="16">
        <f>IFERROR(__xludf.DUMMYFUNCTION("""COMPUTED_VALUE"""),-54.0)</f>
        <v>-54</v>
      </c>
      <c r="CS503" s="16">
        <f>IFERROR(__xludf.DUMMYFUNCTION("""COMPUTED_VALUE"""),-92.0)</f>
        <v>-92</v>
      </c>
      <c r="CT503" s="16">
        <f>IFERROR(__xludf.DUMMYFUNCTION("""COMPUTED_VALUE"""),-38.0)</f>
        <v>-38</v>
      </c>
      <c r="CU503" s="16">
        <f>IFERROR(__xludf.DUMMYFUNCTION("""COMPUTED_VALUE"""),-54.0)</f>
        <v>-54</v>
      </c>
      <c r="CV503" s="179">
        <f>IFERROR(__xludf.DUMMYFUNCTION("""COMPUTED_VALUE"""),-47.666666666666664)</f>
        <v>-47.66666667</v>
      </c>
      <c r="CW503" s="179">
        <f>IFERROR(__xludf.DUMMYFUNCTION("""COMPUTED_VALUE"""),1.0)</f>
        <v>1</v>
      </c>
      <c r="CX503" s="179">
        <f>IFERROR(__xludf.DUMMYFUNCTION("""COMPUTED_VALUE"""),0.0)</f>
        <v>0</v>
      </c>
      <c r="CY503" s="16" t="str">
        <f>IFERROR(__xludf.DUMMYFUNCTION("""COMPUTED_VALUE"""),"SP")</f>
        <v>SP</v>
      </c>
      <c r="CZ503" s="16" t="str">
        <f>IFERROR(__xludf.DUMMYFUNCTION("""COMPUTED_VALUE"""),"RP")</f>
        <v>RP</v>
      </c>
      <c r="DA503" s="16"/>
      <c r="DB503" s="16"/>
      <c r="DC503" s="16"/>
      <c r="DD503" s="16"/>
      <c r="DE503" s="16"/>
      <c r="DF503" s="16"/>
      <c r="DG503" s="16"/>
      <c r="DH503" s="16"/>
      <c r="DI503" s="16"/>
      <c r="DJ503" s="16"/>
      <c r="DK503" s="16"/>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outlinePr summaryBelow="0" summaryRight="0"/>
  </sheetPr>
  <sheetViews>
    <sheetView workbookViewId="0"/>
  </sheetViews>
  <sheetFormatPr customHeight="1" defaultColWidth="12.63" defaultRowHeight="15.75"/>
  <cols>
    <col customWidth="1" min="1" max="1" width="6.25"/>
    <col customWidth="1" min="2" max="2" width="5.5"/>
    <col customWidth="1" min="3" max="3" width="5.0"/>
    <col customWidth="1" min="4" max="4" width="8.75"/>
    <col customWidth="1" min="5" max="5" width="5.25"/>
    <col customWidth="1" min="6" max="6" width="22.75"/>
    <col customWidth="1" min="7" max="7" width="4.38"/>
  </cols>
  <sheetData>
    <row r="1">
      <c r="A1" s="16" t="str">
        <f>IFERROR(__xludf.DUMMYFUNCTION("if('Depth Chart'!AW1,IMPORTRANGE(""1vWJfvuz9jN5BU2ZR0X0oC9BAVr_R8o-dWZsF2KXQMsE"",""Ordered List!A1:G513""),)"),"")</f>
        <v/>
      </c>
      <c r="F1" s="153"/>
      <c r="G1" s="153"/>
    </row>
    <row r="2">
      <c r="F2" s="153"/>
      <c r="G2" s="153"/>
    </row>
    <row r="3">
      <c r="F3" s="153"/>
      <c r="G3" s="153"/>
    </row>
    <row r="4">
      <c r="F4" s="153"/>
      <c r="G4" s="153"/>
    </row>
    <row r="5">
      <c r="F5" s="153"/>
      <c r="G5" s="153"/>
    </row>
    <row r="6">
      <c r="F6" s="153"/>
      <c r="G6" s="153"/>
    </row>
    <row r="7">
      <c r="F7" s="153"/>
      <c r="G7" s="153"/>
    </row>
    <row r="8">
      <c r="F8" s="153"/>
      <c r="G8" s="153"/>
    </row>
    <row r="9">
      <c r="F9" s="153"/>
      <c r="G9" s="153"/>
    </row>
    <row r="10">
      <c r="F10" s="153"/>
      <c r="G10" s="153"/>
    </row>
    <row r="11">
      <c r="F11" s="153"/>
      <c r="G11" s="153"/>
    </row>
    <row r="12">
      <c r="F12" s="153"/>
      <c r="G12" s="153"/>
    </row>
    <row r="13">
      <c r="F13" s="153"/>
      <c r="G13" s="153"/>
    </row>
    <row r="14">
      <c r="F14" s="153"/>
      <c r="G14" s="153"/>
    </row>
    <row r="15">
      <c r="F15" s="153"/>
      <c r="G15" s="153"/>
    </row>
    <row r="16">
      <c r="F16" s="153"/>
      <c r="G16" s="153"/>
    </row>
    <row r="17">
      <c r="F17" s="153"/>
      <c r="G17" s="153"/>
    </row>
    <row r="18">
      <c r="F18" s="153"/>
      <c r="G18" s="153"/>
    </row>
    <row r="19">
      <c r="F19" s="153"/>
      <c r="G19" s="153"/>
    </row>
    <row r="20">
      <c r="F20" s="153"/>
      <c r="G20" s="153"/>
    </row>
    <row r="21">
      <c r="F21" s="153"/>
      <c r="G21" s="153"/>
    </row>
    <row r="22">
      <c r="F22" s="153"/>
      <c r="G22" s="153"/>
    </row>
    <row r="23">
      <c r="F23" s="153"/>
      <c r="G23" s="153"/>
    </row>
    <row r="24">
      <c r="F24" s="153"/>
      <c r="G24" s="153"/>
    </row>
    <row r="25">
      <c r="F25" s="153"/>
      <c r="G25" s="153"/>
    </row>
    <row r="26">
      <c r="F26" s="153"/>
      <c r="G26" s="153"/>
    </row>
    <row r="27">
      <c r="F27" s="153"/>
      <c r="G27" s="153"/>
    </row>
    <row r="28">
      <c r="F28" s="153"/>
      <c r="G28" s="153"/>
    </row>
    <row r="29">
      <c r="F29" s="153"/>
      <c r="G29" s="153"/>
    </row>
    <row r="30">
      <c r="F30" s="153"/>
      <c r="G30" s="153"/>
    </row>
    <row r="31">
      <c r="F31" s="153"/>
      <c r="G31" s="153"/>
    </row>
    <row r="32">
      <c r="F32" s="153"/>
      <c r="G32" s="153"/>
    </row>
    <row r="33">
      <c r="F33" s="153"/>
      <c r="G33" s="153"/>
    </row>
    <row r="34">
      <c r="F34" s="153"/>
      <c r="G34" s="153"/>
    </row>
    <row r="35">
      <c r="F35" s="153"/>
      <c r="G35" s="153"/>
    </row>
    <row r="36">
      <c r="F36" s="153"/>
      <c r="G36" s="153"/>
    </row>
    <row r="37">
      <c r="F37" s="153"/>
      <c r="G37" s="153"/>
    </row>
    <row r="38">
      <c r="F38" s="153"/>
      <c r="G38" s="153"/>
    </row>
    <row r="39">
      <c r="F39" s="153"/>
      <c r="G39" s="153"/>
    </row>
    <row r="40">
      <c r="F40" s="153"/>
      <c r="G40" s="153"/>
    </row>
    <row r="41">
      <c r="F41" s="153"/>
      <c r="G41" s="153"/>
    </row>
    <row r="42">
      <c r="F42" s="153"/>
      <c r="G42" s="153"/>
    </row>
    <row r="43">
      <c r="F43" s="153"/>
      <c r="G43" s="153"/>
    </row>
    <row r="44">
      <c r="F44" s="153"/>
      <c r="G44" s="153"/>
    </row>
    <row r="45">
      <c r="F45" s="153"/>
      <c r="G45" s="153"/>
    </row>
    <row r="46">
      <c r="F46" s="153"/>
      <c r="G46" s="153"/>
    </row>
    <row r="47">
      <c r="F47" s="153"/>
      <c r="G47" s="153"/>
    </row>
    <row r="48">
      <c r="F48" s="153"/>
      <c r="G48" s="153"/>
    </row>
    <row r="49">
      <c r="F49" s="153"/>
      <c r="G49" s="153"/>
    </row>
    <row r="50">
      <c r="F50" s="153"/>
      <c r="G50" s="153"/>
    </row>
    <row r="51">
      <c r="F51" s="153"/>
      <c r="G51" s="153"/>
    </row>
    <row r="52">
      <c r="F52" s="153"/>
      <c r="G52" s="153"/>
    </row>
    <row r="53">
      <c r="F53" s="153"/>
      <c r="G53" s="153"/>
    </row>
    <row r="54">
      <c r="F54" s="153"/>
      <c r="G54" s="153"/>
    </row>
    <row r="55">
      <c r="F55" s="153"/>
      <c r="G55" s="153"/>
    </row>
    <row r="56">
      <c r="F56" s="153"/>
      <c r="G56" s="153"/>
    </row>
    <row r="57">
      <c r="F57" s="153"/>
      <c r="G57" s="153"/>
    </row>
    <row r="58">
      <c r="F58" s="153"/>
      <c r="G58" s="153"/>
    </row>
    <row r="59">
      <c r="F59" s="153"/>
      <c r="G59" s="153"/>
    </row>
    <row r="60">
      <c r="F60" s="153"/>
      <c r="G60" s="153"/>
    </row>
    <row r="61">
      <c r="F61" s="153"/>
      <c r="G61" s="153"/>
    </row>
    <row r="62">
      <c r="F62" s="153"/>
      <c r="G62" s="153"/>
    </row>
    <row r="63">
      <c r="F63" s="153"/>
      <c r="G63" s="153"/>
    </row>
    <row r="64">
      <c r="F64" s="153"/>
      <c r="G64" s="153"/>
    </row>
    <row r="65">
      <c r="F65" s="153"/>
      <c r="G65" s="153"/>
    </row>
    <row r="66">
      <c r="F66" s="153"/>
      <c r="G66" s="153"/>
    </row>
    <row r="67">
      <c r="F67" s="153"/>
      <c r="G67" s="153"/>
    </row>
    <row r="68">
      <c r="F68" s="153"/>
      <c r="G68" s="153"/>
    </row>
    <row r="69">
      <c r="F69" s="153"/>
      <c r="G69" s="153"/>
    </row>
    <row r="70">
      <c r="F70" s="153"/>
      <c r="G70" s="153"/>
    </row>
    <row r="71">
      <c r="F71" s="153"/>
      <c r="G71" s="153"/>
    </row>
    <row r="72">
      <c r="F72" s="153"/>
      <c r="G72" s="153"/>
    </row>
    <row r="73">
      <c r="F73" s="153"/>
      <c r="G73" s="153"/>
    </row>
    <row r="74">
      <c r="F74" s="153"/>
      <c r="G74" s="153"/>
    </row>
    <row r="75">
      <c r="F75" s="153"/>
      <c r="G75" s="153"/>
    </row>
    <row r="76">
      <c r="F76" s="153"/>
      <c r="G76" s="153"/>
    </row>
    <row r="77">
      <c r="F77" s="153"/>
      <c r="G77" s="153"/>
    </row>
    <row r="78">
      <c r="F78" s="153"/>
      <c r="G78" s="153"/>
    </row>
    <row r="79">
      <c r="F79" s="153"/>
      <c r="G79" s="153"/>
    </row>
    <row r="80">
      <c r="F80" s="153"/>
      <c r="G80" s="153"/>
    </row>
    <row r="81">
      <c r="F81" s="153"/>
      <c r="G81" s="153"/>
    </row>
    <row r="82">
      <c r="F82" s="153"/>
      <c r="G82" s="153"/>
    </row>
    <row r="83">
      <c r="F83" s="153"/>
      <c r="G83" s="153"/>
    </row>
    <row r="84">
      <c r="F84" s="153"/>
      <c r="G84" s="153"/>
    </row>
    <row r="85">
      <c r="F85" s="153"/>
      <c r="G85" s="153"/>
    </row>
    <row r="86">
      <c r="F86" s="153"/>
      <c r="G86" s="153"/>
    </row>
    <row r="87">
      <c r="F87" s="153"/>
      <c r="G87" s="153"/>
    </row>
    <row r="88">
      <c r="F88" s="153"/>
      <c r="G88" s="153"/>
    </row>
    <row r="89">
      <c r="F89" s="153"/>
      <c r="G89" s="153"/>
    </row>
    <row r="90">
      <c r="F90" s="153"/>
      <c r="G90" s="153"/>
    </row>
    <row r="91">
      <c r="F91" s="153"/>
      <c r="G91" s="153"/>
    </row>
    <row r="92">
      <c r="F92" s="153"/>
      <c r="G92" s="153"/>
    </row>
    <row r="93">
      <c r="F93" s="153"/>
      <c r="G93" s="153"/>
    </row>
    <row r="94">
      <c r="F94" s="153"/>
      <c r="G94" s="153"/>
    </row>
    <row r="95">
      <c r="F95" s="153"/>
      <c r="G95" s="153"/>
    </row>
    <row r="96">
      <c r="F96" s="153"/>
      <c r="G96" s="153"/>
    </row>
    <row r="97">
      <c r="F97" s="153"/>
      <c r="G97" s="153"/>
    </row>
    <row r="98">
      <c r="F98" s="153"/>
      <c r="G98" s="153"/>
    </row>
    <row r="99">
      <c r="F99" s="153"/>
      <c r="G99" s="153"/>
    </row>
    <row r="100">
      <c r="F100" s="153"/>
      <c r="G100" s="153"/>
    </row>
    <row r="101">
      <c r="F101" s="153"/>
      <c r="G101" s="153"/>
    </row>
    <row r="102">
      <c r="F102" s="153"/>
      <c r="G102" s="153"/>
    </row>
    <row r="103">
      <c r="F103" s="153"/>
      <c r="G103" s="153"/>
    </row>
    <row r="104">
      <c r="F104" s="153"/>
      <c r="G104" s="153"/>
    </row>
    <row r="105">
      <c r="F105" s="153"/>
      <c r="G105" s="153"/>
    </row>
    <row r="106">
      <c r="F106" s="153"/>
      <c r="G106" s="153"/>
    </row>
    <row r="107">
      <c r="F107" s="153"/>
      <c r="G107" s="153"/>
    </row>
    <row r="108">
      <c r="F108" s="153"/>
      <c r="G108" s="153"/>
    </row>
    <row r="109">
      <c r="F109" s="153"/>
      <c r="G109" s="153"/>
    </row>
    <row r="110">
      <c r="F110" s="153"/>
      <c r="G110" s="153"/>
    </row>
    <row r="111">
      <c r="F111" s="153"/>
      <c r="G111" s="153"/>
    </row>
    <row r="112">
      <c r="F112" s="153"/>
      <c r="G112" s="153"/>
    </row>
    <row r="113">
      <c r="F113" s="153"/>
      <c r="G113" s="153"/>
    </row>
    <row r="114">
      <c r="F114" s="153"/>
      <c r="G114" s="153"/>
    </row>
    <row r="115">
      <c r="F115" s="153"/>
      <c r="G115" s="153"/>
    </row>
    <row r="116">
      <c r="F116" s="153"/>
      <c r="G116" s="153"/>
    </row>
    <row r="117">
      <c r="F117" s="153"/>
      <c r="G117" s="153"/>
    </row>
    <row r="118">
      <c r="F118" s="153"/>
      <c r="G118" s="153"/>
    </row>
    <row r="119">
      <c r="F119" s="153"/>
      <c r="G119" s="153"/>
    </row>
    <row r="120">
      <c r="F120" s="153"/>
      <c r="G120" s="153"/>
    </row>
    <row r="121">
      <c r="F121" s="153"/>
      <c r="G121" s="153"/>
    </row>
    <row r="122">
      <c r="F122" s="153"/>
      <c r="G122" s="153"/>
    </row>
    <row r="123">
      <c r="F123" s="153"/>
      <c r="G123" s="153"/>
    </row>
    <row r="124">
      <c r="F124" s="153"/>
      <c r="G124" s="153"/>
    </row>
    <row r="125">
      <c r="F125" s="153"/>
      <c r="G125" s="153"/>
    </row>
    <row r="126">
      <c r="F126" s="153"/>
      <c r="G126" s="153"/>
    </row>
    <row r="127">
      <c r="F127" s="153"/>
      <c r="G127" s="153"/>
    </row>
    <row r="128">
      <c r="F128" s="153"/>
      <c r="G128" s="153"/>
    </row>
    <row r="129">
      <c r="F129" s="153"/>
      <c r="G129" s="153"/>
    </row>
    <row r="130">
      <c r="F130" s="153"/>
      <c r="G130" s="153"/>
    </row>
    <row r="131">
      <c r="F131" s="153"/>
      <c r="G131" s="153"/>
    </row>
    <row r="132">
      <c r="F132" s="153"/>
      <c r="G132" s="153"/>
    </row>
    <row r="133">
      <c r="F133" s="153"/>
      <c r="G133" s="153"/>
    </row>
    <row r="134">
      <c r="F134" s="153"/>
      <c r="G134" s="153"/>
    </row>
    <row r="135">
      <c r="F135" s="153"/>
      <c r="G135" s="153"/>
    </row>
    <row r="136">
      <c r="F136" s="153"/>
      <c r="G136" s="153"/>
    </row>
    <row r="137">
      <c r="F137" s="153"/>
      <c r="G137" s="153"/>
    </row>
    <row r="138">
      <c r="F138" s="153"/>
      <c r="G138" s="153"/>
    </row>
    <row r="139">
      <c r="F139" s="153"/>
      <c r="G139" s="153"/>
    </row>
    <row r="140">
      <c r="F140" s="153"/>
      <c r="G140" s="153"/>
    </row>
    <row r="141">
      <c r="F141" s="153"/>
      <c r="G141" s="153"/>
    </row>
    <row r="142">
      <c r="F142" s="153"/>
      <c r="G142" s="153"/>
    </row>
    <row r="143">
      <c r="F143" s="153"/>
      <c r="G143" s="153"/>
    </row>
    <row r="144">
      <c r="F144" s="153"/>
      <c r="G144" s="153"/>
    </row>
    <row r="145">
      <c r="F145" s="153"/>
      <c r="G145" s="153"/>
    </row>
    <row r="146">
      <c r="F146" s="153"/>
      <c r="G146" s="153"/>
    </row>
    <row r="147">
      <c r="F147" s="153"/>
      <c r="G147" s="153"/>
    </row>
    <row r="148">
      <c r="F148" s="153"/>
      <c r="G148" s="153"/>
    </row>
    <row r="149">
      <c r="F149" s="153"/>
      <c r="G149" s="153"/>
    </row>
    <row r="150">
      <c r="F150" s="153"/>
      <c r="G150" s="153"/>
    </row>
    <row r="151">
      <c r="F151" s="153"/>
      <c r="G151" s="153"/>
    </row>
    <row r="152">
      <c r="F152" s="153"/>
      <c r="G152" s="153"/>
    </row>
    <row r="153">
      <c r="F153" s="153"/>
      <c r="G153" s="153"/>
    </row>
    <row r="154">
      <c r="F154" s="153"/>
      <c r="G154" s="153"/>
    </row>
    <row r="155">
      <c r="F155" s="153"/>
      <c r="G155" s="153"/>
    </row>
    <row r="156">
      <c r="F156" s="153"/>
      <c r="G156" s="153"/>
    </row>
    <row r="157">
      <c r="F157" s="153"/>
      <c r="G157" s="153"/>
    </row>
    <row r="158">
      <c r="F158" s="153"/>
      <c r="G158" s="153"/>
    </row>
    <row r="159">
      <c r="F159" s="153"/>
      <c r="G159" s="153"/>
    </row>
    <row r="160">
      <c r="F160" s="153"/>
      <c r="G160" s="153"/>
    </row>
    <row r="161">
      <c r="F161" s="153"/>
      <c r="G161" s="153"/>
    </row>
    <row r="162">
      <c r="F162" s="153"/>
      <c r="G162" s="153"/>
    </row>
    <row r="163">
      <c r="F163" s="153"/>
      <c r="G163" s="153"/>
    </row>
    <row r="164">
      <c r="F164" s="153"/>
      <c r="G164" s="153"/>
    </row>
    <row r="165">
      <c r="F165" s="153"/>
      <c r="G165" s="153"/>
    </row>
    <row r="166">
      <c r="F166" s="153"/>
      <c r="G166" s="153"/>
    </row>
    <row r="167">
      <c r="F167" s="153"/>
      <c r="G167" s="153"/>
    </row>
    <row r="168">
      <c r="F168" s="153"/>
      <c r="G168" s="153"/>
    </row>
    <row r="169">
      <c r="F169" s="153"/>
      <c r="G169" s="153"/>
    </row>
    <row r="170">
      <c r="F170" s="153"/>
      <c r="G170" s="153"/>
    </row>
    <row r="171">
      <c r="F171" s="153"/>
      <c r="G171" s="153"/>
    </row>
    <row r="172">
      <c r="F172" s="153"/>
      <c r="G172" s="153"/>
    </row>
    <row r="173">
      <c r="F173" s="153"/>
      <c r="G173" s="153"/>
    </row>
    <row r="174">
      <c r="F174" s="153"/>
      <c r="G174" s="153"/>
    </row>
    <row r="175">
      <c r="F175" s="153"/>
      <c r="G175" s="153"/>
    </row>
    <row r="176">
      <c r="F176" s="153"/>
      <c r="G176" s="153"/>
    </row>
    <row r="177">
      <c r="F177" s="153"/>
      <c r="G177" s="153"/>
    </row>
    <row r="178">
      <c r="F178" s="153"/>
      <c r="G178" s="153"/>
    </row>
    <row r="179">
      <c r="F179" s="153"/>
      <c r="G179" s="153"/>
    </row>
    <row r="180">
      <c r="F180" s="153"/>
      <c r="G180" s="153"/>
    </row>
    <row r="181">
      <c r="F181" s="153"/>
      <c r="G181" s="153"/>
    </row>
    <row r="182">
      <c r="F182" s="153"/>
      <c r="G182" s="153"/>
    </row>
    <row r="183">
      <c r="F183" s="153"/>
      <c r="G183" s="153"/>
    </row>
    <row r="184">
      <c r="F184" s="153"/>
      <c r="G184" s="153"/>
    </row>
    <row r="185">
      <c r="F185" s="153"/>
      <c r="G185" s="153"/>
    </row>
    <row r="186">
      <c r="F186" s="153"/>
      <c r="G186" s="153"/>
    </row>
    <row r="187">
      <c r="F187" s="153"/>
      <c r="G187" s="153"/>
    </row>
    <row r="188">
      <c r="F188" s="153"/>
      <c r="G188" s="153"/>
    </row>
    <row r="189">
      <c r="F189" s="153"/>
      <c r="G189" s="153"/>
    </row>
    <row r="190">
      <c r="F190" s="153"/>
      <c r="G190" s="153"/>
    </row>
    <row r="191">
      <c r="F191" s="153"/>
      <c r="G191" s="153"/>
    </row>
    <row r="192">
      <c r="F192" s="153"/>
      <c r="G192" s="153"/>
    </row>
    <row r="193">
      <c r="F193" s="153"/>
      <c r="G193" s="153"/>
    </row>
    <row r="194">
      <c r="F194" s="153"/>
      <c r="G194" s="153"/>
    </row>
    <row r="195">
      <c r="F195" s="153"/>
      <c r="G195" s="153"/>
    </row>
    <row r="196">
      <c r="F196" s="153"/>
      <c r="G196" s="153"/>
    </row>
    <row r="197">
      <c r="F197" s="153"/>
      <c r="G197" s="153"/>
    </row>
    <row r="198">
      <c r="F198" s="153"/>
      <c r="G198" s="153"/>
    </row>
    <row r="199">
      <c r="F199" s="153"/>
      <c r="G199" s="153"/>
    </row>
    <row r="200">
      <c r="F200" s="153"/>
      <c r="G200" s="153"/>
    </row>
    <row r="201">
      <c r="F201" s="153"/>
      <c r="G201" s="153"/>
    </row>
    <row r="202">
      <c r="F202" s="153"/>
      <c r="G202" s="153"/>
    </row>
    <row r="203">
      <c r="F203" s="153"/>
      <c r="G203" s="153"/>
    </row>
    <row r="204">
      <c r="F204" s="153"/>
      <c r="G204" s="153"/>
    </row>
    <row r="205">
      <c r="F205" s="153"/>
      <c r="G205" s="153"/>
    </row>
    <row r="206">
      <c r="F206" s="153"/>
      <c r="G206" s="153"/>
    </row>
    <row r="207">
      <c r="F207" s="153"/>
      <c r="G207" s="153"/>
    </row>
    <row r="208">
      <c r="F208" s="153"/>
      <c r="G208" s="153"/>
    </row>
    <row r="209">
      <c r="F209" s="153"/>
      <c r="G209" s="153"/>
    </row>
    <row r="210">
      <c r="F210" s="153"/>
      <c r="G210" s="153"/>
    </row>
    <row r="211">
      <c r="F211" s="153"/>
      <c r="G211" s="153"/>
    </row>
    <row r="212">
      <c r="F212" s="153"/>
      <c r="G212" s="153"/>
    </row>
    <row r="213">
      <c r="F213" s="153"/>
      <c r="G213" s="153"/>
    </row>
    <row r="214">
      <c r="F214" s="153"/>
      <c r="G214" s="153"/>
    </row>
    <row r="215">
      <c r="F215" s="153"/>
      <c r="G215" s="153"/>
    </row>
    <row r="216">
      <c r="F216" s="153"/>
      <c r="G216" s="153"/>
    </row>
    <row r="217">
      <c r="F217" s="153"/>
      <c r="G217" s="153"/>
    </row>
    <row r="218">
      <c r="F218" s="153"/>
      <c r="G218" s="153"/>
    </row>
    <row r="219">
      <c r="F219" s="153"/>
      <c r="G219" s="153"/>
    </row>
    <row r="220">
      <c r="F220" s="153"/>
      <c r="G220" s="153"/>
    </row>
    <row r="221">
      <c r="F221" s="153"/>
      <c r="G221" s="153"/>
    </row>
    <row r="222">
      <c r="F222" s="153"/>
      <c r="G222" s="153"/>
    </row>
    <row r="223">
      <c r="F223" s="153"/>
      <c r="G223" s="153"/>
    </row>
    <row r="224">
      <c r="F224" s="153"/>
      <c r="G224" s="153"/>
    </row>
    <row r="225">
      <c r="F225" s="153"/>
      <c r="G225" s="153"/>
    </row>
    <row r="226">
      <c r="F226" s="153"/>
      <c r="G226" s="153"/>
    </row>
    <row r="227">
      <c r="F227" s="153"/>
      <c r="G227" s="153"/>
    </row>
    <row r="228">
      <c r="F228" s="153"/>
      <c r="G228" s="153"/>
    </row>
    <row r="229">
      <c r="F229" s="153"/>
      <c r="G229" s="153"/>
    </row>
    <row r="230">
      <c r="F230" s="153"/>
      <c r="G230" s="153"/>
    </row>
    <row r="231">
      <c r="F231" s="153"/>
      <c r="G231" s="153"/>
    </row>
    <row r="232">
      <c r="F232" s="153"/>
      <c r="G232" s="153"/>
    </row>
    <row r="233">
      <c r="F233" s="153"/>
      <c r="G233" s="153"/>
    </row>
    <row r="234">
      <c r="F234" s="153"/>
      <c r="G234" s="153"/>
    </row>
    <row r="235">
      <c r="F235" s="153"/>
      <c r="G235" s="153"/>
    </row>
    <row r="236">
      <c r="F236" s="153"/>
      <c r="G236" s="153"/>
    </row>
    <row r="237">
      <c r="F237" s="153"/>
      <c r="G237" s="153"/>
    </row>
    <row r="238">
      <c r="F238" s="153"/>
      <c r="G238" s="153"/>
    </row>
    <row r="239">
      <c r="F239" s="153"/>
      <c r="G239" s="153"/>
    </row>
    <row r="240">
      <c r="F240" s="153"/>
      <c r="G240" s="153"/>
    </row>
    <row r="241">
      <c r="F241" s="153"/>
      <c r="G241" s="153"/>
    </row>
    <row r="242">
      <c r="F242" s="153"/>
      <c r="G242" s="153"/>
    </row>
    <row r="243">
      <c r="F243" s="153"/>
      <c r="G243" s="153"/>
    </row>
    <row r="244">
      <c r="F244" s="153"/>
      <c r="G244" s="153"/>
    </row>
    <row r="245">
      <c r="F245" s="153"/>
      <c r="G245" s="153"/>
    </row>
    <row r="246">
      <c r="F246" s="153"/>
      <c r="G246" s="153"/>
    </row>
    <row r="247">
      <c r="F247" s="153"/>
      <c r="G247" s="153"/>
    </row>
    <row r="248">
      <c r="F248" s="153"/>
      <c r="G248" s="153"/>
    </row>
    <row r="249">
      <c r="F249" s="153"/>
      <c r="G249" s="153"/>
    </row>
    <row r="250">
      <c r="F250" s="153"/>
      <c r="G250" s="153"/>
    </row>
    <row r="251">
      <c r="F251" s="153"/>
      <c r="G251" s="153"/>
    </row>
    <row r="252">
      <c r="F252" s="153"/>
      <c r="G252" s="153"/>
    </row>
    <row r="253">
      <c r="F253" s="153"/>
      <c r="G253" s="153"/>
    </row>
    <row r="254">
      <c r="F254" s="153"/>
      <c r="G254" s="153"/>
    </row>
    <row r="255">
      <c r="F255" s="153"/>
      <c r="G255" s="153"/>
    </row>
    <row r="256">
      <c r="F256" s="153"/>
      <c r="G256" s="153"/>
    </row>
    <row r="257">
      <c r="F257" s="153"/>
      <c r="G257" s="153"/>
    </row>
    <row r="258">
      <c r="F258" s="153"/>
      <c r="G258" s="153"/>
    </row>
    <row r="259">
      <c r="F259" s="153"/>
      <c r="G259" s="153"/>
    </row>
    <row r="260">
      <c r="F260" s="153"/>
      <c r="G260" s="153"/>
    </row>
    <row r="261">
      <c r="F261" s="153"/>
      <c r="G261" s="153"/>
    </row>
    <row r="262">
      <c r="F262" s="153"/>
      <c r="G262" s="153"/>
    </row>
    <row r="263">
      <c r="F263" s="153"/>
      <c r="G263" s="153"/>
    </row>
    <row r="264">
      <c r="F264" s="153"/>
      <c r="G264" s="153"/>
    </row>
    <row r="265">
      <c r="F265" s="153"/>
      <c r="G265" s="153"/>
    </row>
    <row r="266">
      <c r="F266" s="153"/>
      <c r="G266" s="153"/>
    </row>
    <row r="267">
      <c r="F267" s="153"/>
      <c r="G267" s="153"/>
    </row>
    <row r="268">
      <c r="F268" s="153"/>
      <c r="G268" s="153"/>
    </row>
    <row r="269">
      <c r="F269" s="153"/>
      <c r="G269" s="153"/>
    </row>
    <row r="270">
      <c r="F270" s="153"/>
      <c r="G270" s="153"/>
    </row>
    <row r="271">
      <c r="F271" s="153"/>
      <c r="G271" s="153"/>
    </row>
    <row r="272">
      <c r="F272" s="153"/>
      <c r="G272" s="153"/>
    </row>
    <row r="273">
      <c r="F273" s="153"/>
      <c r="G273" s="153"/>
    </row>
    <row r="274">
      <c r="F274" s="153"/>
      <c r="G274" s="153"/>
    </row>
    <row r="275">
      <c r="F275" s="153"/>
      <c r="G275" s="153"/>
    </row>
    <row r="276">
      <c r="F276" s="153"/>
      <c r="G276" s="153"/>
    </row>
    <row r="277">
      <c r="F277" s="153"/>
      <c r="G277" s="153"/>
    </row>
    <row r="278">
      <c r="F278" s="153"/>
      <c r="G278" s="153"/>
    </row>
    <row r="279">
      <c r="F279" s="153"/>
      <c r="G279" s="153"/>
    </row>
    <row r="280">
      <c r="F280" s="153"/>
      <c r="G280" s="153"/>
    </row>
    <row r="281">
      <c r="F281" s="153"/>
      <c r="G281" s="153"/>
    </row>
    <row r="282">
      <c r="F282" s="153"/>
      <c r="G282" s="153"/>
    </row>
    <row r="283">
      <c r="F283" s="153"/>
      <c r="G283" s="153"/>
    </row>
    <row r="284">
      <c r="F284" s="153"/>
      <c r="G284" s="153"/>
    </row>
    <row r="285">
      <c r="F285" s="153"/>
      <c r="G285" s="153"/>
    </row>
    <row r="286">
      <c r="F286" s="153"/>
      <c r="G286" s="153"/>
    </row>
    <row r="287">
      <c r="F287" s="153"/>
      <c r="G287" s="153"/>
    </row>
    <row r="288">
      <c r="F288" s="153"/>
      <c r="G288" s="153"/>
    </row>
    <row r="289">
      <c r="F289" s="153"/>
      <c r="G289" s="153"/>
    </row>
    <row r="290">
      <c r="F290" s="153"/>
      <c r="G290" s="153"/>
    </row>
    <row r="291">
      <c r="F291" s="153"/>
      <c r="G291" s="153"/>
    </row>
    <row r="292">
      <c r="F292" s="153"/>
      <c r="G292" s="153"/>
    </row>
    <row r="293">
      <c r="F293" s="153"/>
      <c r="G293" s="153"/>
    </row>
    <row r="294">
      <c r="F294" s="153"/>
      <c r="G294" s="153"/>
    </row>
    <row r="295">
      <c r="F295" s="153"/>
      <c r="G295" s="153"/>
    </row>
    <row r="296">
      <c r="F296" s="153"/>
      <c r="G296" s="153"/>
    </row>
    <row r="297">
      <c r="F297" s="153"/>
      <c r="G297" s="153"/>
    </row>
    <row r="298">
      <c r="F298" s="153"/>
      <c r="G298" s="153"/>
    </row>
    <row r="299">
      <c r="F299" s="153"/>
      <c r="G299" s="153"/>
    </row>
    <row r="300">
      <c r="F300" s="153"/>
      <c r="G300" s="153"/>
    </row>
    <row r="301">
      <c r="F301" s="153"/>
      <c r="G301" s="153"/>
    </row>
    <row r="302">
      <c r="F302" s="153"/>
      <c r="G302" s="153"/>
    </row>
    <row r="303">
      <c r="F303" s="153"/>
      <c r="G303" s="153"/>
    </row>
    <row r="304">
      <c r="F304" s="153"/>
      <c r="G304" s="153"/>
    </row>
    <row r="305">
      <c r="F305" s="153"/>
      <c r="G305" s="153"/>
    </row>
    <row r="306">
      <c r="F306" s="153"/>
      <c r="G306" s="153"/>
    </row>
    <row r="307">
      <c r="F307" s="153"/>
      <c r="G307" s="153"/>
    </row>
    <row r="308">
      <c r="F308" s="153"/>
      <c r="G308" s="153"/>
    </row>
    <row r="309">
      <c r="F309" s="153"/>
      <c r="G309" s="153"/>
    </row>
    <row r="310">
      <c r="F310" s="153"/>
      <c r="G310" s="153"/>
    </row>
    <row r="311">
      <c r="F311" s="153"/>
      <c r="G311" s="153"/>
    </row>
    <row r="312">
      <c r="F312" s="153"/>
      <c r="G312" s="153"/>
    </row>
    <row r="313">
      <c r="F313" s="153"/>
      <c r="G313" s="153"/>
    </row>
    <row r="314">
      <c r="F314" s="153"/>
      <c r="G314" s="153"/>
    </row>
    <row r="315">
      <c r="F315" s="153"/>
      <c r="G315" s="153"/>
    </row>
    <row r="316">
      <c r="F316" s="153"/>
      <c r="G316" s="153"/>
    </row>
    <row r="317">
      <c r="F317" s="153"/>
      <c r="G317" s="153"/>
    </row>
    <row r="318">
      <c r="F318" s="153"/>
      <c r="G318" s="153"/>
    </row>
    <row r="319">
      <c r="F319" s="153"/>
      <c r="G319" s="153"/>
    </row>
    <row r="320">
      <c r="F320" s="153"/>
      <c r="G320" s="153"/>
    </row>
    <row r="321">
      <c r="F321" s="153"/>
      <c r="G321" s="153"/>
    </row>
    <row r="322">
      <c r="F322" s="153"/>
      <c r="G322" s="153"/>
    </row>
    <row r="323">
      <c r="F323" s="153"/>
      <c r="G323" s="153"/>
    </row>
    <row r="324">
      <c r="F324" s="153"/>
      <c r="G324" s="153"/>
    </row>
    <row r="325">
      <c r="F325" s="153"/>
      <c r="G325" s="153"/>
    </row>
    <row r="326">
      <c r="F326" s="153"/>
      <c r="G326" s="153"/>
    </row>
    <row r="327">
      <c r="F327" s="153"/>
      <c r="G327" s="153"/>
    </row>
    <row r="328">
      <c r="F328" s="153"/>
      <c r="G328" s="153"/>
    </row>
    <row r="329">
      <c r="F329" s="153"/>
      <c r="G329" s="153"/>
    </row>
    <row r="330">
      <c r="F330" s="153"/>
      <c r="G330" s="153"/>
    </row>
    <row r="331">
      <c r="F331" s="153"/>
      <c r="G331" s="153"/>
    </row>
    <row r="332">
      <c r="F332" s="153"/>
      <c r="G332" s="153"/>
    </row>
    <row r="333">
      <c r="F333" s="153"/>
      <c r="G333" s="153"/>
    </row>
    <row r="334">
      <c r="F334" s="153"/>
      <c r="G334" s="153"/>
    </row>
    <row r="335">
      <c r="F335" s="153"/>
      <c r="G335" s="153"/>
    </row>
    <row r="336">
      <c r="F336" s="153"/>
      <c r="G336" s="153"/>
    </row>
    <row r="337">
      <c r="F337" s="153"/>
      <c r="G337" s="153"/>
    </row>
    <row r="338">
      <c r="F338" s="153"/>
      <c r="G338" s="153"/>
    </row>
    <row r="339">
      <c r="F339" s="153"/>
      <c r="G339" s="153"/>
    </row>
    <row r="340">
      <c r="F340" s="153"/>
      <c r="G340" s="153"/>
    </row>
    <row r="341">
      <c r="F341" s="153"/>
      <c r="G341" s="153"/>
    </row>
    <row r="342">
      <c r="F342" s="153"/>
      <c r="G342" s="153"/>
    </row>
    <row r="343">
      <c r="F343" s="153"/>
      <c r="G343" s="153"/>
    </row>
    <row r="344">
      <c r="F344" s="153"/>
      <c r="G344" s="153"/>
    </row>
    <row r="345">
      <c r="F345" s="153"/>
      <c r="G345" s="153"/>
    </row>
    <row r="346">
      <c r="F346" s="153"/>
      <c r="G346" s="153"/>
    </row>
    <row r="347">
      <c r="F347" s="153"/>
      <c r="G347" s="153"/>
    </row>
    <row r="348">
      <c r="F348" s="153"/>
      <c r="G348" s="153"/>
    </row>
    <row r="349">
      <c r="F349" s="153"/>
      <c r="G349" s="153"/>
    </row>
    <row r="350">
      <c r="F350" s="153"/>
      <c r="G350" s="153"/>
    </row>
    <row r="351">
      <c r="F351" s="153"/>
      <c r="G351" s="153"/>
    </row>
    <row r="352">
      <c r="F352" s="153"/>
      <c r="G352" s="153"/>
    </row>
    <row r="353">
      <c r="F353" s="153"/>
      <c r="G353" s="153"/>
    </row>
    <row r="354">
      <c r="F354" s="153"/>
      <c r="G354" s="153"/>
    </row>
    <row r="355">
      <c r="F355" s="153"/>
      <c r="G355" s="153"/>
    </row>
    <row r="356">
      <c r="F356" s="153"/>
      <c r="G356" s="153"/>
    </row>
    <row r="357">
      <c r="F357" s="153"/>
      <c r="G357" s="153"/>
    </row>
    <row r="358">
      <c r="F358" s="153"/>
      <c r="G358" s="153"/>
    </row>
    <row r="359">
      <c r="F359" s="153"/>
      <c r="G359" s="153"/>
    </row>
    <row r="360">
      <c r="F360" s="153"/>
      <c r="G360" s="153"/>
    </row>
    <row r="361">
      <c r="F361" s="153"/>
      <c r="G361" s="153"/>
    </row>
    <row r="362">
      <c r="F362" s="153"/>
      <c r="G362" s="153"/>
    </row>
    <row r="363">
      <c r="F363" s="153"/>
      <c r="G363" s="153"/>
    </row>
    <row r="364">
      <c r="F364" s="153"/>
      <c r="G364" s="153"/>
    </row>
    <row r="365">
      <c r="F365" s="153"/>
      <c r="G365" s="153"/>
    </row>
    <row r="366">
      <c r="F366" s="153"/>
      <c r="G366" s="153"/>
    </row>
    <row r="367">
      <c r="F367" s="153"/>
      <c r="G367" s="153"/>
    </row>
    <row r="368">
      <c r="F368" s="153"/>
      <c r="G368" s="153"/>
    </row>
    <row r="369">
      <c r="F369" s="153"/>
      <c r="G369" s="153"/>
    </row>
    <row r="370">
      <c r="F370" s="153"/>
      <c r="G370" s="153"/>
    </row>
    <row r="371">
      <c r="F371" s="153"/>
      <c r="G371" s="153"/>
    </row>
    <row r="372">
      <c r="F372" s="153"/>
      <c r="G372" s="153"/>
    </row>
    <row r="373">
      <c r="F373" s="153"/>
      <c r="G373" s="153"/>
    </row>
    <row r="374">
      <c r="F374" s="153"/>
      <c r="G374" s="153"/>
    </row>
    <row r="375">
      <c r="F375" s="153"/>
      <c r="G375" s="153"/>
    </row>
    <row r="376">
      <c r="F376" s="153"/>
      <c r="G376" s="153"/>
    </row>
    <row r="377">
      <c r="F377" s="153"/>
      <c r="G377" s="153"/>
    </row>
    <row r="378">
      <c r="F378" s="153"/>
      <c r="G378" s="153"/>
    </row>
    <row r="379">
      <c r="F379" s="153"/>
      <c r="G379" s="153"/>
    </row>
    <row r="380">
      <c r="F380" s="153"/>
      <c r="G380" s="153"/>
    </row>
    <row r="381">
      <c r="F381" s="153"/>
      <c r="G381" s="153"/>
    </row>
    <row r="382">
      <c r="F382" s="153"/>
      <c r="G382" s="153"/>
    </row>
    <row r="383">
      <c r="F383" s="153"/>
      <c r="G383" s="153"/>
    </row>
    <row r="384">
      <c r="F384" s="153"/>
      <c r="G384" s="153"/>
    </row>
    <row r="385">
      <c r="F385" s="153"/>
      <c r="G385" s="153"/>
    </row>
    <row r="386">
      <c r="F386" s="153"/>
      <c r="G386" s="153"/>
    </row>
    <row r="387">
      <c r="F387" s="153"/>
      <c r="G387" s="153"/>
    </row>
    <row r="388">
      <c r="F388" s="153"/>
      <c r="G388" s="153"/>
    </row>
    <row r="389">
      <c r="F389" s="153"/>
      <c r="G389" s="153"/>
    </row>
    <row r="390">
      <c r="F390" s="153"/>
      <c r="G390" s="153"/>
    </row>
    <row r="391">
      <c r="F391" s="153"/>
      <c r="G391" s="153"/>
    </row>
    <row r="392">
      <c r="F392" s="153"/>
      <c r="G392" s="153"/>
    </row>
    <row r="393">
      <c r="F393" s="153"/>
      <c r="G393" s="153"/>
    </row>
    <row r="394">
      <c r="F394" s="153"/>
      <c r="G394" s="153"/>
    </row>
    <row r="395">
      <c r="F395" s="153"/>
      <c r="G395" s="153"/>
    </row>
    <row r="396">
      <c r="F396" s="153"/>
      <c r="G396" s="153"/>
    </row>
    <row r="397">
      <c r="F397" s="153"/>
      <c r="G397" s="153"/>
    </row>
    <row r="398">
      <c r="F398" s="153"/>
      <c r="G398" s="153"/>
    </row>
    <row r="399">
      <c r="F399" s="153"/>
      <c r="G399" s="153"/>
    </row>
    <row r="400">
      <c r="F400" s="153"/>
      <c r="G400" s="153"/>
    </row>
    <row r="401">
      <c r="F401" s="153"/>
      <c r="G401" s="153"/>
    </row>
    <row r="402">
      <c r="F402" s="153"/>
      <c r="G402" s="153"/>
    </row>
    <row r="403">
      <c r="F403" s="153"/>
      <c r="G403" s="153"/>
    </row>
    <row r="404">
      <c r="F404" s="153"/>
      <c r="G404" s="153"/>
    </row>
    <row r="405">
      <c r="F405" s="153"/>
      <c r="G405" s="153"/>
    </row>
    <row r="406">
      <c r="F406" s="153"/>
      <c r="G406" s="153"/>
    </row>
    <row r="407">
      <c r="F407" s="153"/>
      <c r="G407" s="153"/>
    </row>
    <row r="408">
      <c r="F408" s="153"/>
      <c r="G408" s="153"/>
    </row>
    <row r="409">
      <c r="F409" s="153"/>
      <c r="G409" s="153"/>
    </row>
    <row r="410">
      <c r="F410" s="153"/>
      <c r="G410" s="153"/>
    </row>
    <row r="411">
      <c r="F411" s="153"/>
      <c r="G411" s="153"/>
    </row>
    <row r="412">
      <c r="F412" s="153"/>
      <c r="G412" s="153"/>
    </row>
    <row r="413">
      <c r="F413" s="153"/>
      <c r="G413" s="153"/>
    </row>
    <row r="414">
      <c r="F414" s="153"/>
      <c r="G414" s="153"/>
    </row>
    <row r="415">
      <c r="F415" s="153"/>
      <c r="G415" s="153"/>
    </row>
    <row r="416">
      <c r="F416" s="153"/>
      <c r="G416" s="153"/>
    </row>
    <row r="417">
      <c r="F417" s="153"/>
      <c r="G417" s="153"/>
    </row>
    <row r="418">
      <c r="F418" s="153"/>
      <c r="G418" s="153"/>
    </row>
    <row r="419">
      <c r="F419" s="153"/>
      <c r="G419" s="153"/>
    </row>
    <row r="420">
      <c r="F420" s="153"/>
      <c r="G420" s="153"/>
    </row>
    <row r="421">
      <c r="F421" s="153"/>
      <c r="G421" s="153"/>
    </row>
    <row r="422">
      <c r="F422" s="153"/>
      <c r="G422" s="153"/>
    </row>
    <row r="423">
      <c r="F423" s="153"/>
      <c r="G423" s="153"/>
    </row>
    <row r="424">
      <c r="F424" s="153"/>
      <c r="G424" s="153"/>
    </row>
    <row r="425">
      <c r="F425" s="153"/>
      <c r="G425" s="153"/>
    </row>
    <row r="426">
      <c r="F426" s="153"/>
      <c r="G426" s="153"/>
    </row>
    <row r="427">
      <c r="F427" s="153"/>
      <c r="G427" s="153"/>
    </row>
    <row r="428">
      <c r="F428" s="153"/>
      <c r="G428" s="153"/>
    </row>
    <row r="429">
      <c r="F429" s="153"/>
      <c r="G429" s="153"/>
    </row>
    <row r="430">
      <c r="F430" s="153"/>
      <c r="G430" s="153"/>
    </row>
    <row r="431">
      <c r="F431" s="153"/>
      <c r="G431" s="153"/>
    </row>
    <row r="432">
      <c r="F432" s="153"/>
      <c r="G432" s="153"/>
    </row>
    <row r="433">
      <c r="F433" s="153"/>
      <c r="G433" s="153"/>
    </row>
    <row r="434">
      <c r="F434" s="153"/>
      <c r="G434" s="153"/>
    </row>
    <row r="435">
      <c r="F435" s="153"/>
      <c r="G435" s="153"/>
    </row>
    <row r="436">
      <c r="F436" s="153"/>
      <c r="G436" s="153"/>
    </row>
    <row r="437">
      <c r="F437" s="153"/>
      <c r="G437" s="153"/>
    </row>
    <row r="438">
      <c r="F438" s="153"/>
      <c r="G438" s="153"/>
    </row>
    <row r="439">
      <c r="F439" s="153"/>
      <c r="G439" s="153"/>
    </row>
    <row r="440">
      <c r="F440" s="153"/>
      <c r="G440" s="153"/>
    </row>
    <row r="441">
      <c r="F441" s="153"/>
      <c r="G441" s="153"/>
    </row>
    <row r="442">
      <c r="F442" s="153"/>
      <c r="G442" s="153"/>
    </row>
    <row r="443">
      <c r="F443" s="153"/>
      <c r="G443" s="153"/>
    </row>
    <row r="444">
      <c r="F444" s="153"/>
      <c r="G444" s="153"/>
    </row>
    <row r="445">
      <c r="F445" s="153"/>
      <c r="G445" s="153"/>
    </row>
    <row r="446">
      <c r="F446" s="153"/>
      <c r="G446" s="153"/>
    </row>
    <row r="447">
      <c r="F447" s="153"/>
      <c r="G447" s="153"/>
    </row>
    <row r="448">
      <c r="F448" s="153"/>
      <c r="G448" s="153"/>
    </row>
    <row r="449">
      <c r="F449" s="153"/>
      <c r="G449" s="153"/>
    </row>
    <row r="450">
      <c r="F450" s="153"/>
      <c r="G450" s="153"/>
    </row>
    <row r="451">
      <c r="F451" s="153"/>
      <c r="G451" s="153"/>
    </row>
    <row r="452">
      <c r="F452" s="153"/>
      <c r="G452" s="153"/>
    </row>
    <row r="453">
      <c r="F453" s="153"/>
      <c r="G453" s="153"/>
    </row>
    <row r="454">
      <c r="F454" s="153"/>
      <c r="G454" s="153"/>
    </row>
    <row r="455">
      <c r="F455" s="153"/>
      <c r="G455" s="153"/>
    </row>
    <row r="456">
      <c r="F456" s="153"/>
      <c r="G456" s="153"/>
    </row>
    <row r="457">
      <c r="F457" s="153"/>
      <c r="G457" s="153"/>
    </row>
    <row r="458">
      <c r="F458" s="153"/>
      <c r="G458" s="153"/>
    </row>
    <row r="459">
      <c r="F459" s="153"/>
      <c r="G459" s="153"/>
    </row>
    <row r="460">
      <c r="F460" s="153"/>
      <c r="G460" s="153"/>
    </row>
    <row r="461">
      <c r="F461" s="153"/>
      <c r="G461" s="153"/>
    </row>
    <row r="462">
      <c r="F462" s="153"/>
      <c r="G462" s="153"/>
    </row>
    <row r="463">
      <c r="F463" s="153"/>
      <c r="G463" s="153"/>
    </row>
    <row r="464">
      <c r="F464" s="153"/>
      <c r="G464" s="153"/>
    </row>
    <row r="465">
      <c r="F465" s="153"/>
      <c r="G465" s="153"/>
    </row>
    <row r="466">
      <c r="F466" s="153"/>
      <c r="G466" s="153"/>
    </row>
    <row r="467">
      <c r="F467" s="153"/>
      <c r="G467" s="153"/>
    </row>
    <row r="468">
      <c r="F468" s="153"/>
      <c r="G468" s="153"/>
    </row>
    <row r="469">
      <c r="F469" s="153"/>
      <c r="G469" s="153"/>
    </row>
    <row r="470">
      <c r="F470" s="153"/>
      <c r="G470" s="153"/>
    </row>
    <row r="471">
      <c r="F471" s="153"/>
      <c r="G471" s="153"/>
    </row>
    <row r="472">
      <c r="F472" s="153"/>
      <c r="G472" s="153"/>
    </row>
    <row r="473">
      <c r="F473" s="153"/>
      <c r="G473" s="153"/>
    </row>
    <row r="474">
      <c r="F474" s="153"/>
      <c r="G474" s="153"/>
    </row>
    <row r="475">
      <c r="F475" s="153"/>
      <c r="G475" s="153"/>
    </row>
    <row r="476">
      <c r="F476" s="153"/>
      <c r="G476" s="153"/>
    </row>
    <row r="477">
      <c r="F477" s="153"/>
      <c r="G477" s="153"/>
    </row>
    <row r="478">
      <c r="F478" s="153"/>
      <c r="G478" s="153"/>
    </row>
    <row r="479">
      <c r="F479" s="153"/>
      <c r="G479" s="153"/>
    </row>
    <row r="480">
      <c r="F480" s="153"/>
      <c r="G480" s="153"/>
    </row>
    <row r="481">
      <c r="F481" s="153"/>
      <c r="G481" s="153"/>
    </row>
    <row r="482">
      <c r="F482" s="153"/>
      <c r="G482" s="153"/>
    </row>
    <row r="483">
      <c r="F483" s="153"/>
      <c r="G483" s="153"/>
    </row>
    <row r="484">
      <c r="F484" s="153"/>
      <c r="G484" s="153"/>
    </row>
    <row r="485">
      <c r="F485" s="153"/>
      <c r="G485" s="153"/>
    </row>
    <row r="486">
      <c r="F486" s="153"/>
      <c r="G486" s="153"/>
    </row>
    <row r="487">
      <c r="F487" s="153"/>
      <c r="G487" s="153"/>
    </row>
    <row r="488">
      <c r="F488" s="153"/>
      <c r="G488" s="153"/>
    </row>
    <row r="489">
      <c r="F489" s="153"/>
      <c r="G489" s="153"/>
    </row>
    <row r="490">
      <c r="F490" s="153"/>
      <c r="G490" s="153"/>
    </row>
    <row r="491">
      <c r="F491" s="153"/>
      <c r="G491" s="153"/>
    </row>
    <row r="492">
      <c r="F492" s="153"/>
      <c r="G492" s="153"/>
    </row>
    <row r="493">
      <c r="F493" s="153"/>
      <c r="G493" s="153"/>
    </row>
    <row r="494">
      <c r="F494" s="153"/>
      <c r="G494" s="153"/>
    </row>
    <row r="495">
      <c r="F495" s="153"/>
      <c r="G495" s="153"/>
    </row>
    <row r="496">
      <c r="F496" s="153"/>
      <c r="G496" s="153"/>
    </row>
    <row r="497">
      <c r="F497" s="153"/>
      <c r="G497" s="153"/>
    </row>
    <row r="498">
      <c r="F498" s="153"/>
      <c r="G498" s="153"/>
    </row>
    <row r="499">
      <c r="F499" s="153"/>
      <c r="G499" s="153"/>
    </row>
    <row r="500">
      <c r="F500" s="153"/>
      <c r="G500" s="153"/>
    </row>
    <row r="501">
      <c r="F501" s="153"/>
      <c r="G501" s="153"/>
    </row>
    <row r="502">
      <c r="F502" s="153"/>
      <c r="G502" s="153"/>
    </row>
    <row r="503">
      <c r="F503" s="153"/>
      <c r="G503" s="153"/>
    </row>
    <row r="504">
      <c r="F504" s="153"/>
      <c r="G504" s="153"/>
    </row>
    <row r="505">
      <c r="F505" s="153"/>
      <c r="G505" s="153"/>
    </row>
    <row r="506">
      <c r="F506" s="153"/>
      <c r="G506" s="153"/>
    </row>
    <row r="507">
      <c r="F507" s="153"/>
      <c r="G507" s="153"/>
    </row>
    <row r="508">
      <c r="F508" s="153"/>
      <c r="G508" s="153"/>
    </row>
    <row r="509">
      <c r="F509" s="153"/>
      <c r="G509" s="153"/>
    </row>
    <row r="510">
      <c r="F510" s="153"/>
      <c r="G510" s="153"/>
    </row>
    <row r="511">
      <c r="F511" s="153"/>
      <c r="G511" s="153"/>
    </row>
    <row r="512">
      <c r="F512" s="153"/>
      <c r="G512" s="153"/>
    </row>
    <row r="513">
      <c r="F513" s="153"/>
      <c r="G513" s="153"/>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63"/>
    <col customWidth="1" min="2" max="16" width="5.38"/>
    <col customWidth="1" hidden="1" min="17" max="18" width="5.38"/>
    <col customWidth="1" min="19" max="22" width="5.38"/>
    <col customWidth="1" hidden="1" min="23" max="23" width="5.38"/>
    <col customWidth="1" min="24" max="28" width="5.38"/>
    <col customWidth="1" min="29" max="29" width="5.13"/>
    <col customWidth="1" min="30" max="30" width="5.88"/>
    <col customWidth="1" min="31" max="35" width="5.13"/>
    <col customWidth="1" min="36" max="36" width="4.25"/>
    <col customWidth="1" min="37" max="37" width="4.38"/>
    <col customWidth="1" min="38" max="42" width="5.13"/>
    <col customWidth="1" min="43" max="44" width="4.25"/>
    <col customWidth="1" min="45" max="45" width="10.75"/>
    <col customWidth="1" min="46" max="46" width="5.13"/>
    <col customWidth="1" min="47" max="47" width="8.25"/>
    <col customWidth="1" min="48" max="48" width="11.63"/>
    <col customWidth="1" min="49" max="49" width="4.88"/>
    <col customWidth="1" min="50" max="50" width="10.88"/>
  </cols>
  <sheetData>
    <row r="1">
      <c r="A1" s="30" t="s">
        <v>4566</v>
      </c>
      <c r="B1" s="15">
        <v>9904.0</v>
      </c>
      <c r="C1" s="15"/>
      <c r="D1" s="15"/>
      <c r="E1" s="15"/>
      <c r="F1" s="15"/>
      <c r="G1" s="15"/>
      <c r="H1" s="15"/>
      <c r="I1" s="15"/>
      <c r="J1" s="15"/>
      <c r="K1" s="15"/>
      <c r="L1" s="15"/>
      <c r="M1" s="15"/>
      <c r="N1" s="15"/>
      <c r="O1" s="15"/>
      <c r="P1" s="15"/>
      <c r="Q1" s="15"/>
      <c r="R1" s="15"/>
      <c r="S1" s="15"/>
      <c r="T1" s="15"/>
      <c r="U1" s="15"/>
      <c r="V1" s="15"/>
      <c r="W1" s="15"/>
      <c r="X1" s="15"/>
      <c r="Y1" s="15"/>
      <c r="Z1" s="15"/>
      <c r="AA1" s="15"/>
      <c r="AB1" s="15"/>
    </row>
    <row r="2">
      <c r="A2" s="16" t="str">
        <f>SbaApiImport("plays/batting","season=10&amp;group_by=playerteam&amp;player_id="&amp;B1)</f>
        <v>player</v>
      </c>
      <c r="B2" s="15" t="s">
        <v>4567</v>
      </c>
      <c r="C2" s="15" t="s">
        <v>4568</v>
      </c>
      <c r="D2" s="15" t="s">
        <v>4569</v>
      </c>
      <c r="E2" s="15" t="s">
        <v>4570</v>
      </c>
      <c r="F2" s="15" t="s">
        <v>4571</v>
      </c>
      <c r="G2" s="15" t="s">
        <v>4572</v>
      </c>
      <c r="H2" s="15" t="s">
        <v>4573</v>
      </c>
      <c r="I2" s="15" t="s">
        <v>4574</v>
      </c>
      <c r="J2" s="15" t="s">
        <v>4575</v>
      </c>
      <c r="K2" s="15" t="s">
        <v>4576</v>
      </c>
      <c r="L2" s="15" t="s">
        <v>4577</v>
      </c>
      <c r="M2" s="15" t="s">
        <v>4578</v>
      </c>
      <c r="N2" s="15" t="s">
        <v>4579</v>
      </c>
      <c r="O2" s="15" t="s">
        <v>4580</v>
      </c>
      <c r="P2" s="15" t="s">
        <v>4581</v>
      </c>
      <c r="Q2" s="15" t="s">
        <v>4582</v>
      </c>
      <c r="R2" s="15" t="s">
        <v>4583</v>
      </c>
      <c r="S2" s="15" t="s">
        <v>4584</v>
      </c>
      <c r="T2" s="15" t="s">
        <v>4585</v>
      </c>
      <c r="U2" s="15" t="s">
        <v>4586</v>
      </c>
      <c r="V2" s="15" t="s">
        <v>4587</v>
      </c>
      <c r="W2" s="15" t="s">
        <v>4588</v>
      </c>
      <c r="X2" s="15" t="s">
        <v>4589</v>
      </c>
      <c r="Y2" s="15" t="s">
        <v>4590</v>
      </c>
      <c r="Z2" s="15" t="s">
        <v>4591</v>
      </c>
      <c r="AA2" s="15" t="s">
        <v>4592</v>
      </c>
      <c r="AB2" s="15" t="s">
        <v>4593</v>
      </c>
      <c r="AC2" s="16" t="s">
        <v>4594</v>
      </c>
      <c r="AD2" s="16" t="s">
        <v>4595</v>
      </c>
      <c r="AE2" s="16" t="s">
        <v>4596</v>
      </c>
      <c r="AF2" s="16" t="s">
        <v>4597</v>
      </c>
      <c r="AG2" s="16" t="s">
        <v>4598</v>
      </c>
      <c r="AH2" s="16" t="s">
        <v>4599</v>
      </c>
      <c r="AI2" s="16" t="s">
        <v>4600</v>
      </c>
    </row>
    <row r="3">
      <c r="A3" s="16" t="s">
        <v>2988</v>
      </c>
      <c r="B3" s="15" t="s">
        <v>245</v>
      </c>
      <c r="C3" s="15">
        <v>61.0</v>
      </c>
      <c r="D3" s="15">
        <v>57.0</v>
      </c>
      <c r="E3" s="15">
        <v>12.0</v>
      </c>
      <c r="F3" s="15">
        <v>14.0</v>
      </c>
      <c r="G3" s="15">
        <v>6.0</v>
      </c>
      <c r="H3" s="15">
        <v>4.0</v>
      </c>
      <c r="I3" s="15">
        <v>0.0</v>
      </c>
      <c r="J3" s="15">
        <v>4.0</v>
      </c>
      <c r="K3" s="15">
        <v>2.0</v>
      </c>
      <c r="L3" s="15">
        <v>19.0</v>
      </c>
      <c r="M3" s="15">
        <v>1.0</v>
      </c>
      <c r="N3" s="15">
        <v>1.0</v>
      </c>
      <c r="O3" s="15">
        <v>0.0</v>
      </c>
      <c r="P3" s="15">
        <v>0.0</v>
      </c>
      <c r="Q3" s="15">
        <v>0.0</v>
      </c>
      <c r="R3" s="15">
        <v>0.0</v>
      </c>
      <c r="S3" s="15">
        <v>3.0</v>
      </c>
      <c r="T3" s="15">
        <v>0.0</v>
      </c>
      <c r="U3" s="15">
        <v>1.0</v>
      </c>
      <c r="V3" s="15">
        <v>4.0</v>
      </c>
      <c r="W3" s="15">
        <v>-0.6320001</v>
      </c>
      <c r="X3" s="181">
        <v>0.24561403508771928</v>
      </c>
      <c r="Y3" s="181">
        <v>0.2786885245901639</v>
      </c>
      <c r="Z3" s="181">
        <v>0.5263157894736842</v>
      </c>
      <c r="AA3" s="181">
        <v>0.8050043140638481</v>
      </c>
      <c r="AB3" s="181">
        <v>0.3429508196721312</v>
      </c>
      <c r="AC3" s="16" t="s">
        <v>4601</v>
      </c>
      <c r="AD3" s="16">
        <v>22.0</v>
      </c>
      <c r="AE3" s="16">
        <v>0.9166666666666666</v>
      </c>
      <c r="AF3" s="16">
        <v>6.0</v>
      </c>
      <c r="AG3" s="16">
        <v>0.08333333333333333</v>
      </c>
      <c r="AH3" s="16" t="s">
        <v>4601</v>
      </c>
      <c r="AI3" s="16">
        <v>-1.9119998</v>
      </c>
    </row>
    <row r="4">
      <c r="A4" s="16" t="s">
        <v>2988</v>
      </c>
      <c r="B4" s="15" t="s">
        <v>306</v>
      </c>
      <c r="C4" s="15">
        <v>237.0</v>
      </c>
      <c r="D4" s="15">
        <v>222.0</v>
      </c>
      <c r="E4" s="15">
        <v>33.0</v>
      </c>
      <c r="F4" s="15">
        <v>50.0</v>
      </c>
      <c r="G4" s="15">
        <v>32.0</v>
      </c>
      <c r="H4" s="15">
        <v>18.0</v>
      </c>
      <c r="I4" s="15">
        <v>3.0</v>
      </c>
      <c r="J4" s="15">
        <v>13.0</v>
      </c>
      <c r="K4" s="15">
        <v>9.0</v>
      </c>
      <c r="L4" s="15">
        <v>90.0</v>
      </c>
      <c r="M4" s="15">
        <v>5.0</v>
      </c>
      <c r="N4" s="15">
        <v>1.0</v>
      </c>
      <c r="O4" s="15">
        <v>0.0</v>
      </c>
      <c r="P4" s="15">
        <v>7.0</v>
      </c>
      <c r="Q4" s="15">
        <v>2.0</v>
      </c>
      <c r="R4" s="15">
        <v>1.0</v>
      </c>
      <c r="S4" s="15">
        <v>7.0</v>
      </c>
      <c r="T4" s="15">
        <v>7.0</v>
      </c>
      <c r="U4" s="15">
        <v>3.0</v>
      </c>
      <c r="V4" s="15">
        <v>5.0</v>
      </c>
      <c r="W4" s="15">
        <v>-0.48500009999999993</v>
      </c>
      <c r="X4" s="181">
        <v>0.22522522522522523</v>
      </c>
      <c r="Y4" s="181">
        <v>0.270042194092827</v>
      </c>
      <c r="Z4" s="181">
        <v>0.509009009009009</v>
      </c>
      <c r="AA4" s="181">
        <v>0.779051203101836</v>
      </c>
      <c r="AB4" s="181">
        <v>0.33362869198312234</v>
      </c>
      <c r="AC4" s="16" t="s">
        <v>4601</v>
      </c>
      <c r="AD4" s="16">
        <v>151.0</v>
      </c>
      <c r="AE4" s="16">
        <v>0.8830409356725146</v>
      </c>
      <c r="AF4" s="16">
        <v>56.0</v>
      </c>
      <c r="AG4" s="16">
        <v>0.1111111111111111</v>
      </c>
      <c r="AH4" s="16" t="s">
        <v>4601</v>
      </c>
      <c r="AI4" s="16">
        <v>-1.9119998</v>
      </c>
    </row>
    <row r="5">
      <c r="B5" s="15"/>
      <c r="C5" s="15"/>
      <c r="D5" s="15"/>
      <c r="E5" s="15"/>
      <c r="F5" s="15"/>
      <c r="G5" s="15"/>
      <c r="H5" s="15"/>
      <c r="I5" s="15"/>
      <c r="J5" s="15"/>
      <c r="K5" s="15"/>
      <c r="L5" s="15"/>
      <c r="M5" s="15"/>
      <c r="N5" s="15"/>
      <c r="O5" s="15"/>
      <c r="P5" s="15"/>
      <c r="Q5" s="15"/>
      <c r="R5" s="15"/>
      <c r="S5" s="15"/>
      <c r="T5" s="15"/>
      <c r="U5" s="15"/>
      <c r="V5" s="15"/>
      <c r="W5" s="15"/>
      <c r="X5" s="181"/>
      <c r="Y5" s="181"/>
      <c r="Z5" s="181"/>
      <c r="AA5" s="181"/>
      <c r="AB5" s="181"/>
    </row>
    <row r="6">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c r="B7" s="15"/>
      <c r="C7" s="15"/>
      <c r="D7" s="15"/>
      <c r="E7" s="15"/>
      <c r="F7" s="15"/>
      <c r="G7" s="15"/>
      <c r="H7" s="15"/>
      <c r="I7" s="15"/>
      <c r="J7" s="15"/>
      <c r="K7" s="15"/>
      <c r="L7" s="15"/>
      <c r="M7" s="15"/>
      <c r="N7" s="15"/>
      <c r="O7" s="15"/>
      <c r="P7" s="15"/>
      <c r="Q7" s="15"/>
      <c r="R7" s="15"/>
      <c r="S7" s="15"/>
      <c r="T7" s="15"/>
      <c r="U7" s="15"/>
      <c r="V7" s="15"/>
      <c r="W7" s="15"/>
      <c r="X7" s="15"/>
      <c r="Y7" s="15"/>
      <c r="Z7" s="15"/>
      <c r="AA7" s="15"/>
      <c r="AB7" s="15"/>
    </row>
    <row r="8">
      <c r="B8" s="15"/>
      <c r="C8" s="15"/>
      <c r="D8" s="15"/>
      <c r="E8" s="15"/>
      <c r="F8" s="15"/>
      <c r="G8" s="15"/>
      <c r="H8" s="15"/>
      <c r="I8" s="15"/>
      <c r="J8" s="15"/>
      <c r="K8" s="15"/>
      <c r="L8" s="15"/>
      <c r="M8" s="15"/>
      <c r="N8" s="15"/>
      <c r="O8" s="15"/>
      <c r="P8" s="15"/>
      <c r="Q8" s="15"/>
      <c r="R8" s="15"/>
      <c r="S8" s="15"/>
      <c r="T8" s="15"/>
      <c r="U8" s="15"/>
      <c r="V8" s="15"/>
      <c r="W8" s="15"/>
      <c r="X8" s="15"/>
      <c r="Y8" s="15"/>
      <c r="Z8" s="15"/>
      <c r="AA8" s="15"/>
      <c r="AB8" s="15"/>
    </row>
    <row r="9">
      <c r="A9" s="30" t="s">
        <v>4566</v>
      </c>
      <c r="B9" s="15">
        <v>10024.0</v>
      </c>
      <c r="C9" s="15"/>
      <c r="D9" s="15"/>
      <c r="E9" s="15"/>
      <c r="F9" s="15"/>
      <c r="G9" s="15"/>
      <c r="H9" s="15"/>
      <c r="I9" s="15"/>
      <c r="J9" s="15"/>
      <c r="K9" s="15"/>
      <c r="L9" s="15"/>
      <c r="M9" s="15"/>
      <c r="N9" s="15"/>
      <c r="O9" s="15"/>
      <c r="P9" s="15"/>
      <c r="Q9" s="15"/>
      <c r="R9" s="15"/>
      <c r="S9" s="15"/>
      <c r="T9" s="15"/>
      <c r="U9" s="15"/>
      <c r="V9" s="15"/>
      <c r="W9" s="15"/>
      <c r="X9" s="15"/>
      <c r="Y9" s="15"/>
      <c r="Z9" s="15"/>
      <c r="AA9" s="15"/>
      <c r="AB9" s="15"/>
    </row>
    <row r="10">
      <c r="A10" s="16" t="str">
        <f>SbaApiImport("plays/pitching","season=10&amp;group_by=playerteam&amp;player_id="&amp;B9)</f>
        <v>player</v>
      </c>
      <c r="B10" s="15" t="s">
        <v>4567</v>
      </c>
      <c r="C10" s="15" t="s">
        <v>4602</v>
      </c>
      <c r="D10" s="15" t="s">
        <v>4603</v>
      </c>
      <c r="E10" s="15" t="s">
        <v>4604</v>
      </c>
      <c r="F10" s="15" t="s">
        <v>4605</v>
      </c>
      <c r="G10" s="15" t="s">
        <v>4606</v>
      </c>
      <c r="H10" s="15" t="s">
        <v>4607</v>
      </c>
      <c r="I10" s="15" t="s">
        <v>4608</v>
      </c>
      <c r="J10" s="15" t="s">
        <v>4609</v>
      </c>
      <c r="K10" s="15" t="s">
        <v>4610</v>
      </c>
      <c r="L10" s="15" t="s">
        <v>4611</v>
      </c>
      <c r="M10" s="15" t="s">
        <v>4612</v>
      </c>
      <c r="N10" s="15" t="s">
        <v>4569</v>
      </c>
      <c r="O10" s="15" t="s">
        <v>4570</v>
      </c>
      <c r="P10" s="15" t="s">
        <v>4613</v>
      </c>
      <c r="Q10" s="15" t="s">
        <v>4614</v>
      </c>
      <c r="R10" s="15" t="s">
        <v>4573</v>
      </c>
      <c r="S10" s="15" t="s">
        <v>4574</v>
      </c>
      <c r="T10" s="15" t="s">
        <v>4575</v>
      </c>
      <c r="U10" s="15" t="s">
        <v>4576</v>
      </c>
      <c r="V10" s="15" t="s">
        <v>4577</v>
      </c>
      <c r="W10" s="15" t="s">
        <v>4578</v>
      </c>
      <c r="X10" s="15" t="s">
        <v>4579</v>
      </c>
      <c r="Y10" s="15" t="s">
        <v>4580</v>
      </c>
      <c r="Z10" s="15" t="s">
        <v>4581</v>
      </c>
      <c r="AA10" s="15" t="s">
        <v>4582</v>
      </c>
      <c r="AB10" s="15" t="s">
        <v>4583</v>
      </c>
      <c r="AC10" s="16" t="s">
        <v>4584</v>
      </c>
      <c r="AD10" s="16" t="s">
        <v>4585</v>
      </c>
      <c r="AE10" s="16" t="s">
        <v>4586</v>
      </c>
      <c r="AF10" s="16" t="s">
        <v>4587</v>
      </c>
      <c r="AG10" s="16" t="s">
        <v>4615</v>
      </c>
      <c r="AH10" s="16" t="s">
        <v>4616</v>
      </c>
      <c r="AI10" s="16" t="s">
        <v>4588</v>
      </c>
      <c r="AJ10" s="16" t="s">
        <v>4617</v>
      </c>
      <c r="AK10" s="16" t="s">
        <v>4618</v>
      </c>
      <c r="AL10" s="16" t="s">
        <v>4589</v>
      </c>
      <c r="AM10" s="16" t="s">
        <v>4590</v>
      </c>
      <c r="AN10" s="16" t="s">
        <v>4591</v>
      </c>
      <c r="AO10" s="16" t="s">
        <v>4592</v>
      </c>
      <c r="AP10" s="16" t="s">
        <v>4593</v>
      </c>
      <c r="AQ10" s="16" t="s">
        <v>4619</v>
      </c>
      <c r="AR10" s="16" t="s">
        <v>4620</v>
      </c>
      <c r="AS10" s="16" t="s">
        <v>4621</v>
      </c>
      <c r="AT10" s="16" t="s">
        <v>4594</v>
      </c>
      <c r="AU10" s="16" t="s">
        <v>4597</v>
      </c>
      <c r="AV10" s="16" t="s">
        <v>4598</v>
      </c>
      <c r="AW10" s="16" t="s">
        <v>4599</v>
      </c>
      <c r="AX10" s="16" t="s">
        <v>4600</v>
      </c>
    </row>
    <row r="11">
      <c r="A11" s="16" t="s">
        <v>3525</v>
      </c>
      <c r="B11" s="15" t="s">
        <v>245</v>
      </c>
      <c r="C11" s="15">
        <v>222.0</v>
      </c>
      <c r="D11" s="15">
        <v>141.0</v>
      </c>
      <c r="E11" s="15">
        <v>10.0</v>
      </c>
      <c r="F11" s="15">
        <v>8.0</v>
      </c>
      <c r="G11" s="15">
        <v>2.0</v>
      </c>
      <c r="H11" s="15">
        <v>2.0</v>
      </c>
      <c r="I11" s="15">
        <v>0.0</v>
      </c>
      <c r="J11" s="15">
        <v>0.0</v>
      </c>
      <c r="K11" s="15">
        <v>0.0</v>
      </c>
      <c r="L11" s="15">
        <v>0.0</v>
      </c>
      <c r="M11" s="15">
        <v>0.0</v>
      </c>
      <c r="N11" s="15">
        <v>198.0</v>
      </c>
      <c r="O11" s="15">
        <v>37.0</v>
      </c>
      <c r="P11" s="15">
        <v>35.0</v>
      </c>
      <c r="Q11" s="15">
        <v>61.0</v>
      </c>
      <c r="R11" s="15">
        <v>7.0</v>
      </c>
      <c r="S11" s="15">
        <v>2.0</v>
      </c>
      <c r="T11" s="15">
        <v>11.0</v>
      </c>
      <c r="U11" s="15">
        <v>20.0</v>
      </c>
      <c r="V11" s="15">
        <v>57.0</v>
      </c>
      <c r="W11" s="15">
        <v>1.0</v>
      </c>
      <c r="X11" s="15">
        <v>3.0</v>
      </c>
      <c r="Y11" s="15">
        <v>0.0</v>
      </c>
      <c r="Z11" s="15">
        <v>4.0</v>
      </c>
      <c r="AA11" s="15">
        <v>0.0</v>
      </c>
      <c r="AB11" s="15">
        <v>1.0</v>
      </c>
      <c r="AC11" s="16">
        <v>8.0</v>
      </c>
      <c r="AD11" s="16">
        <v>3.0</v>
      </c>
      <c r="AE11" s="16">
        <v>3.0</v>
      </c>
      <c r="AF11" s="16">
        <v>3.0</v>
      </c>
      <c r="AG11" s="16">
        <v>2.0</v>
      </c>
      <c r="AH11" s="16">
        <v>0.0</v>
      </c>
      <c r="AI11" s="16">
        <v>0.2810001</v>
      </c>
      <c r="AJ11" s="153">
        <v>6.702127659574468</v>
      </c>
      <c r="AK11" s="153">
        <v>1.7234042553191489</v>
      </c>
      <c r="AL11" s="182">
        <v>0.30808080808080807</v>
      </c>
      <c r="AM11" s="182">
        <v>0.36936936936936937</v>
      </c>
      <c r="AN11" s="182">
        <v>0.5303030303030303</v>
      </c>
      <c r="AO11" s="182">
        <v>0.8996723996723996</v>
      </c>
      <c r="AP11" s="182">
        <v>0.3884684684684685</v>
      </c>
      <c r="AQ11" s="153">
        <v>10.914893617021276</v>
      </c>
      <c r="AR11" s="153">
        <v>3.8297872340425534</v>
      </c>
      <c r="AS11" s="16">
        <v>2.85</v>
      </c>
      <c r="AT11" s="16" t="s">
        <v>4601</v>
      </c>
      <c r="AU11" s="16">
        <v>0.0</v>
      </c>
      <c r="AV11" s="16">
        <v>0.0</v>
      </c>
      <c r="AW11" s="16" t="s">
        <v>4601</v>
      </c>
      <c r="AX11" s="16">
        <v>-10.564998</v>
      </c>
    </row>
    <row r="12">
      <c r="A12" s="16" t="s">
        <v>3525</v>
      </c>
      <c r="B12" s="15" t="s">
        <v>306</v>
      </c>
      <c r="C12" s="15">
        <v>96.0</v>
      </c>
      <c r="D12" s="15">
        <v>75.0</v>
      </c>
      <c r="E12" s="15">
        <v>4.0</v>
      </c>
      <c r="F12" s="15">
        <v>4.0</v>
      </c>
      <c r="G12" s="15">
        <v>2.0</v>
      </c>
      <c r="H12" s="15">
        <v>0.0</v>
      </c>
      <c r="I12" s="15">
        <v>0.0</v>
      </c>
      <c r="J12" s="15">
        <v>0.0</v>
      </c>
      <c r="K12" s="15">
        <v>0.0</v>
      </c>
      <c r="L12" s="15">
        <v>0.0</v>
      </c>
      <c r="M12" s="15">
        <v>0.0</v>
      </c>
      <c r="N12" s="15">
        <v>90.0</v>
      </c>
      <c r="O12" s="15">
        <v>7.0</v>
      </c>
      <c r="P12" s="15">
        <v>7.0</v>
      </c>
      <c r="Q12" s="15">
        <v>19.0</v>
      </c>
      <c r="R12" s="15">
        <v>4.0</v>
      </c>
      <c r="S12" s="15">
        <v>0.0</v>
      </c>
      <c r="T12" s="15">
        <v>5.0</v>
      </c>
      <c r="U12" s="15">
        <v>5.0</v>
      </c>
      <c r="V12" s="15">
        <v>25.0</v>
      </c>
      <c r="W12" s="15">
        <v>1.0</v>
      </c>
      <c r="X12" s="15">
        <v>0.0</v>
      </c>
      <c r="Y12" s="15">
        <v>0.0</v>
      </c>
      <c r="Z12" s="15">
        <v>5.0</v>
      </c>
      <c r="AA12" s="15">
        <v>0.0</v>
      </c>
      <c r="AB12" s="15">
        <v>0.0</v>
      </c>
      <c r="AC12" s="16">
        <v>1.0</v>
      </c>
      <c r="AD12" s="16">
        <v>1.0</v>
      </c>
      <c r="AE12" s="16">
        <v>2.0</v>
      </c>
      <c r="AF12" s="16">
        <v>2.0</v>
      </c>
      <c r="AG12" s="16">
        <v>1.0</v>
      </c>
      <c r="AH12" s="16">
        <v>0.0</v>
      </c>
      <c r="AI12" s="16">
        <v>1.7309998</v>
      </c>
      <c r="AJ12" s="153">
        <v>2.52</v>
      </c>
      <c r="AK12" s="153">
        <v>0.96</v>
      </c>
      <c r="AL12" s="182">
        <v>0.2111111111111111</v>
      </c>
      <c r="AM12" s="182">
        <v>0.2604166666666667</v>
      </c>
      <c r="AN12" s="182">
        <v>0.4222222222222222</v>
      </c>
      <c r="AO12" s="182">
        <v>0.6826388888888889</v>
      </c>
      <c r="AP12" s="182">
        <v>0.29843749999999997</v>
      </c>
      <c r="AQ12" s="153">
        <v>9.0</v>
      </c>
      <c r="AR12" s="153">
        <v>1.8</v>
      </c>
      <c r="AS12" s="16">
        <v>5.0</v>
      </c>
      <c r="AT12" s="16" t="s">
        <v>4601</v>
      </c>
      <c r="AU12" s="16">
        <v>0.0</v>
      </c>
      <c r="AV12" s="16">
        <v>0.0</v>
      </c>
      <c r="AW12" s="16" t="s">
        <v>4601</v>
      </c>
      <c r="AX12" s="16">
        <v>7.7979994</v>
      </c>
    </row>
    <row r="13">
      <c r="B13" s="15"/>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row>
    <row r="14">
      <c r="B14" s="15"/>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row>
    <row r="15">
      <c r="B15" s="15"/>
      <c r="C15" s="15"/>
      <c r="D15" s="15"/>
      <c r="E15" s="15"/>
      <c r="F15" s="79">
        <f>(F3+H3+(I3*2)+(J3*3))/D3</f>
        <v>0.5263157895</v>
      </c>
      <c r="G15" s="15"/>
      <c r="H15" s="15"/>
      <c r="I15" s="15"/>
      <c r="J15" s="15"/>
      <c r="K15" s="15"/>
      <c r="L15" s="15"/>
      <c r="M15" s="15"/>
      <c r="N15" s="15"/>
      <c r="O15" s="15"/>
      <c r="P15" s="15"/>
      <c r="Q15" s="15"/>
      <c r="R15" s="15"/>
      <c r="S15" s="15"/>
      <c r="T15" s="15"/>
      <c r="U15" s="15"/>
      <c r="V15" s="15"/>
      <c r="W15" s="15"/>
      <c r="X15" s="15"/>
      <c r="Y15" s="15"/>
      <c r="Z15" s="15"/>
      <c r="AA15" s="15"/>
      <c r="AB15" s="15"/>
    </row>
    <row r="16">
      <c r="B16" s="15"/>
      <c r="C16" s="15"/>
      <c r="D16" s="15"/>
      <c r="E16" s="15"/>
      <c r="F16" s="79">
        <f>((F3-H3-I3-J3)+(2*H3)+(I3*3)+(J3*4))/D3</f>
        <v>0.5263157895</v>
      </c>
      <c r="G16" s="15"/>
      <c r="H16" s="15"/>
      <c r="I16" s="15"/>
      <c r="J16" s="15"/>
      <c r="K16" s="15"/>
      <c r="L16" s="15"/>
      <c r="M16" s="15"/>
      <c r="N16" s="15"/>
      <c r="O16" s="15"/>
      <c r="P16" s="15"/>
      <c r="Q16" s="15"/>
      <c r="R16" s="15"/>
      <c r="S16" s="15"/>
      <c r="T16" s="15"/>
      <c r="U16" s="15"/>
      <c r="V16" s="15"/>
      <c r="W16" s="15"/>
      <c r="X16" s="15"/>
      <c r="Y16" s="15"/>
      <c r="Z16" s="15"/>
      <c r="AA16" s="15"/>
      <c r="AB16" s="15"/>
    </row>
    <row r="17">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row>
    <row r="18">
      <c r="A18" s="16" t="str">
        <f>SbaApiImport("views/season-stats/batting","season=12&amp;team_id=499&amp;csv=true")</f>
        <v>player</v>
      </c>
      <c r="B18" s="15" t="s">
        <v>4622</v>
      </c>
      <c r="C18" s="15" t="s">
        <v>4567</v>
      </c>
      <c r="D18" s="15" t="s">
        <v>171</v>
      </c>
      <c r="E18" s="15" t="s">
        <v>132</v>
      </c>
      <c r="F18" s="15" t="s">
        <v>4623</v>
      </c>
      <c r="G18" s="15" t="s">
        <v>4624</v>
      </c>
      <c r="H18" s="15" t="s">
        <v>4568</v>
      </c>
      <c r="I18" s="15" t="s">
        <v>4569</v>
      </c>
      <c r="J18" s="15" t="s">
        <v>4570</v>
      </c>
      <c r="K18" s="15" t="s">
        <v>4571</v>
      </c>
      <c r="L18" s="15" t="s">
        <v>4573</v>
      </c>
      <c r="M18" s="15" t="s">
        <v>4574</v>
      </c>
      <c r="N18" s="15" t="s">
        <v>4625</v>
      </c>
      <c r="O18" s="15" t="s">
        <v>4572</v>
      </c>
      <c r="P18" s="15" t="s">
        <v>4576</v>
      </c>
      <c r="Q18" s="15" t="s">
        <v>4577</v>
      </c>
      <c r="R18" s="15" t="s">
        <v>4584</v>
      </c>
      <c r="S18" s="15" t="s">
        <v>4585</v>
      </c>
      <c r="T18" s="15" t="s">
        <v>4586</v>
      </c>
      <c r="U18" s="15" t="s">
        <v>4587</v>
      </c>
      <c r="V18" s="15" t="s">
        <v>4581</v>
      </c>
      <c r="W18" s="15" t="s">
        <v>4578</v>
      </c>
      <c r="X18" s="15" t="s">
        <v>4579</v>
      </c>
      <c r="Y18" s="15" t="s">
        <v>4580</v>
      </c>
      <c r="Z18" s="15" t="s">
        <v>4589</v>
      </c>
      <c r="AA18" s="15" t="s">
        <v>4590</v>
      </c>
      <c r="AB18" s="15" t="s">
        <v>4591</v>
      </c>
      <c r="AC18" s="16" t="s">
        <v>4592</v>
      </c>
      <c r="AD18" s="16" t="s">
        <v>4593</v>
      </c>
      <c r="AE18" s="16" t="s">
        <v>4626</v>
      </c>
      <c r="AF18" s="16" t="s">
        <v>4582</v>
      </c>
      <c r="AG18" s="16" t="s">
        <v>4583</v>
      </c>
    </row>
    <row r="19">
      <c r="A19" s="16">
        <v>11862.0</v>
      </c>
      <c r="B19" s="15" t="s">
        <v>181</v>
      </c>
      <c r="C19" s="15">
        <v>499.0</v>
      </c>
      <c r="D19" s="15">
        <v>12.0</v>
      </c>
      <c r="E19" s="15" t="s">
        <v>2013</v>
      </c>
      <c r="F19" s="15">
        <v>499.0</v>
      </c>
      <c r="G19" s="15" t="s">
        <v>126</v>
      </c>
      <c r="H19" s="15">
        <v>2.0</v>
      </c>
      <c r="I19" s="15">
        <v>1.0</v>
      </c>
      <c r="J19" s="15">
        <v>1.0</v>
      </c>
      <c r="K19" s="15">
        <v>1.0</v>
      </c>
      <c r="L19" s="15">
        <v>0.0</v>
      </c>
      <c r="M19" s="15">
        <v>0.0</v>
      </c>
      <c r="N19" s="15">
        <v>0.0</v>
      </c>
      <c r="O19" s="15">
        <v>0.0</v>
      </c>
      <c r="P19" s="15">
        <v>1.0</v>
      </c>
      <c r="Q19" s="15">
        <v>0.0</v>
      </c>
      <c r="R19" s="15">
        <v>0.0</v>
      </c>
      <c r="S19" s="15">
        <v>0.0</v>
      </c>
      <c r="T19" s="15">
        <v>0.0</v>
      </c>
      <c r="U19" s="15">
        <v>0.0</v>
      </c>
      <c r="V19" s="15">
        <v>0.0</v>
      </c>
      <c r="W19" s="15">
        <v>0.0</v>
      </c>
      <c r="X19" s="15">
        <v>0.0</v>
      </c>
      <c r="Y19" s="15">
        <v>0.0</v>
      </c>
      <c r="Z19" s="15">
        <v>1.0</v>
      </c>
      <c r="AA19" s="15">
        <v>1.0</v>
      </c>
      <c r="AB19" s="15">
        <v>1.0</v>
      </c>
      <c r="AC19" s="16">
        <v>2.0</v>
      </c>
      <c r="AD19" s="16">
        <v>0.789</v>
      </c>
      <c r="AE19" s="16">
        <v>0.0</v>
      </c>
      <c r="AF19" s="16">
        <v>1.0</v>
      </c>
      <c r="AG19" s="16">
        <v>0.0</v>
      </c>
    </row>
    <row r="20">
      <c r="A20" s="16">
        <v>12274.0</v>
      </c>
      <c r="B20" s="15" t="s">
        <v>181</v>
      </c>
      <c r="C20" s="15">
        <v>499.0</v>
      </c>
      <c r="D20" s="15">
        <v>12.0</v>
      </c>
      <c r="E20" s="15" t="s">
        <v>39</v>
      </c>
      <c r="F20" s="15">
        <v>499.0</v>
      </c>
      <c r="G20" s="15" t="s">
        <v>126</v>
      </c>
      <c r="H20" s="15">
        <v>58.0</v>
      </c>
      <c r="I20" s="15">
        <v>48.0</v>
      </c>
      <c r="J20" s="15">
        <v>13.0</v>
      </c>
      <c r="K20" s="15">
        <v>10.0</v>
      </c>
      <c r="L20" s="15">
        <v>1.0</v>
      </c>
      <c r="M20" s="15">
        <v>0.0</v>
      </c>
      <c r="N20" s="15">
        <v>6.0</v>
      </c>
      <c r="O20" s="15">
        <v>14.0</v>
      </c>
      <c r="P20" s="15">
        <v>7.0</v>
      </c>
      <c r="Q20" s="15">
        <v>16.0</v>
      </c>
      <c r="R20" s="15">
        <v>2.0</v>
      </c>
      <c r="S20" s="15">
        <v>2.0</v>
      </c>
      <c r="T20" s="15">
        <v>0.0</v>
      </c>
      <c r="U20" s="15">
        <v>0.0</v>
      </c>
      <c r="V20" s="15">
        <v>1.0</v>
      </c>
      <c r="W20" s="15">
        <v>3.0</v>
      </c>
      <c r="X20" s="15">
        <v>0.0</v>
      </c>
      <c r="Y20" s="15">
        <v>0.0</v>
      </c>
      <c r="Z20" s="15">
        <v>0.208</v>
      </c>
      <c r="AA20" s="15">
        <v>0.345</v>
      </c>
      <c r="AB20" s="15">
        <v>0.604</v>
      </c>
      <c r="AC20" s="16">
        <v>0.949</v>
      </c>
      <c r="AD20" s="16">
        <v>0.406</v>
      </c>
      <c r="AE20" s="16">
        <v>27.6</v>
      </c>
      <c r="AF20" s="16">
        <v>0.0</v>
      </c>
      <c r="AG20" s="16">
        <v>0.0</v>
      </c>
    </row>
    <row r="21">
      <c r="A21" s="16">
        <v>12472.0</v>
      </c>
      <c r="B21" s="15" t="s">
        <v>181</v>
      </c>
      <c r="C21" s="15">
        <v>499.0</v>
      </c>
      <c r="D21" s="15">
        <v>12.0</v>
      </c>
      <c r="E21" s="15" t="s">
        <v>4479</v>
      </c>
      <c r="F21" s="15">
        <v>499.0</v>
      </c>
      <c r="G21" s="15" t="s">
        <v>126</v>
      </c>
      <c r="H21" s="15">
        <v>293.0</v>
      </c>
      <c r="I21" s="15">
        <v>255.0</v>
      </c>
      <c r="J21" s="15">
        <v>44.0</v>
      </c>
      <c r="K21" s="15">
        <v>68.0</v>
      </c>
      <c r="L21" s="15">
        <v>8.0</v>
      </c>
      <c r="M21" s="15">
        <v>1.0</v>
      </c>
      <c r="N21" s="15">
        <v>20.0</v>
      </c>
      <c r="O21" s="15">
        <v>47.0</v>
      </c>
      <c r="P21" s="15">
        <v>29.0</v>
      </c>
      <c r="Q21" s="15">
        <v>40.0</v>
      </c>
      <c r="R21" s="15">
        <v>8.0</v>
      </c>
      <c r="S21" s="15">
        <v>5.0</v>
      </c>
      <c r="T21" s="15">
        <v>7.0</v>
      </c>
      <c r="U21" s="15">
        <v>7.0</v>
      </c>
      <c r="V21" s="15">
        <v>8.0</v>
      </c>
      <c r="W21" s="15">
        <v>4.0</v>
      </c>
      <c r="X21" s="15">
        <v>2.0</v>
      </c>
      <c r="Y21" s="15">
        <v>3.0</v>
      </c>
      <c r="Z21" s="15">
        <v>0.267</v>
      </c>
      <c r="AA21" s="15">
        <v>0.355</v>
      </c>
      <c r="AB21" s="15">
        <v>0.541</v>
      </c>
      <c r="AC21" s="16">
        <v>0.896</v>
      </c>
      <c r="AD21" s="16">
        <v>0.38</v>
      </c>
      <c r="AE21" s="16">
        <v>13.7</v>
      </c>
      <c r="AF21" s="16">
        <v>0.0</v>
      </c>
      <c r="AG21" s="16">
        <v>0.0</v>
      </c>
    </row>
    <row r="22">
      <c r="A22" s="16">
        <v>12077.0</v>
      </c>
      <c r="B22" s="15" t="s">
        <v>181</v>
      </c>
      <c r="C22" s="15">
        <v>499.0</v>
      </c>
      <c r="D22" s="15">
        <v>12.0</v>
      </c>
      <c r="E22" s="15" t="s">
        <v>2888</v>
      </c>
      <c r="F22" s="15">
        <v>499.0</v>
      </c>
      <c r="G22" s="15" t="s">
        <v>126</v>
      </c>
      <c r="H22" s="15">
        <v>145.0</v>
      </c>
      <c r="I22" s="15">
        <v>124.0</v>
      </c>
      <c r="J22" s="15">
        <v>23.0</v>
      </c>
      <c r="K22" s="15">
        <v>34.0</v>
      </c>
      <c r="L22" s="15">
        <v>10.0</v>
      </c>
      <c r="M22" s="15">
        <v>2.0</v>
      </c>
      <c r="N22" s="15">
        <v>4.0</v>
      </c>
      <c r="O22" s="15">
        <v>8.0</v>
      </c>
      <c r="P22" s="15">
        <v>17.0</v>
      </c>
      <c r="Q22" s="15">
        <v>34.0</v>
      </c>
      <c r="R22" s="15">
        <v>2.0</v>
      </c>
      <c r="S22" s="15">
        <v>2.0</v>
      </c>
      <c r="T22" s="15">
        <v>5.0</v>
      </c>
      <c r="U22" s="15">
        <v>1.0</v>
      </c>
      <c r="V22" s="15">
        <v>3.0</v>
      </c>
      <c r="W22" s="15">
        <v>3.0</v>
      </c>
      <c r="X22" s="15">
        <v>1.0</v>
      </c>
      <c r="Y22" s="15">
        <v>0.0</v>
      </c>
      <c r="Z22" s="15">
        <v>0.274</v>
      </c>
      <c r="AA22" s="15">
        <v>0.372</v>
      </c>
      <c r="AB22" s="15">
        <v>0.484</v>
      </c>
      <c r="AC22" s="16">
        <v>0.856</v>
      </c>
      <c r="AD22" s="16">
        <v>0.374</v>
      </c>
      <c r="AE22" s="16">
        <v>23.4</v>
      </c>
      <c r="AF22" s="16">
        <v>6.0</v>
      </c>
      <c r="AG22" s="16">
        <v>0.0</v>
      </c>
    </row>
    <row r="23">
      <c r="A23" s="16">
        <v>11487.0</v>
      </c>
      <c r="B23" s="15">
        <v>248.0</v>
      </c>
      <c r="C23" s="15">
        <v>499.0</v>
      </c>
      <c r="D23" s="15">
        <v>12.0</v>
      </c>
      <c r="E23" s="15" t="s">
        <v>42</v>
      </c>
      <c r="F23" s="15">
        <v>499.0</v>
      </c>
      <c r="G23" s="15" t="s">
        <v>126</v>
      </c>
      <c r="H23" s="15">
        <v>329.0</v>
      </c>
      <c r="I23" s="15">
        <v>305.0</v>
      </c>
      <c r="J23" s="15">
        <v>47.0</v>
      </c>
      <c r="K23" s="15">
        <v>83.0</v>
      </c>
      <c r="L23" s="15">
        <v>16.0</v>
      </c>
      <c r="M23" s="15">
        <v>1.0</v>
      </c>
      <c r="N23" s="15">
        <v>19.0</v>
      </c>
      <c r="O23" s="15">
        <v>46.0</v>
      </c>
      <c r="P23" s="15">
        <v>24.0</v>
      </c>
      <c r="Q23" s="15">
        <v>50.0</v>
      </c>
      <c r="R23" s="15">
        <v>9.0</v>
      </c>
      <c r="S23" s="15">
        <v>3.0</v>
      </c>
      <c r="T23" s="15">
        <v>6.0</v>
      </c>
      <c r="U23" s="15">
        <v>4.0</v>
      </c>
      <c r="V23" s="15">
        <v>9.0</v>
      </c>
      <c r="W23" s="15">
        <v>0.0</v>
      </c>
      <c r="X23" s="15">
        <v>0.0</v>
      </c>
      <c r="Y23" s="15">
        <v>0.0</v>
      </c>
      <c r="Z23" s="15">
        <v>0.272</v>
      </c>
      <c r="AA23" s="15">
        <v>0.325</v>
      </c>
      <c r="AB23" s="15">
        <v>0.518</v>
      </c>
      <c r="AC23" s="16">
        <v>0.843</v>
      </c>
      <c r="AD23" s="16">
        <v>0.365</v>
      </c>
      <c r="AE23" s="16">
        <v>15.2</v>
      </c>
      <c r="AF23" s="16">
        <v>0.0</v>
      </c>
      <c r="AG23" s="16">
        <v>0.0</v>
      </c>
    </row>
    <row r="24">
      <c r="A24" s="16">
        <v>11483.0</v>
      </c>
      <c r="B24" s="15" t="s">
        <v>181</v>
      </c>
      <c r="C24" s="15">
        <v>499.0</v>
      </c>
      <c r="D24" s="15">
        <v>12.0</v>
      </c>
      <c r="E24" s="15" t="s">
        <v>40</v>
      </c>
      <c r="F24" s="15">
        <v>499.0</v>
      </c>
      <c r="G24" s="15" t="s">
        <v>126</v>
      </c>
      <c r="H24" s="15">
        <v>263.0</v>
      </c>
      <c r="I24" s="15">
        <v>236.0</v>
      </c>
      <c r="J24" s="15">
        <v>35.0</v>
      </c>
      <c r="K24" s="15">
        <v>61.0</v>
      </c>
      <c r="L24" s="15">
        <v>10.0</v>
      </c>
      <c r="M24" s="15">
        <v>0.0</v>
      </c>
      <c r="N24" s="15">
        <v>14.0</v>
      </c>
      <c r="O24" s="15">
        <v>45.0</v>
      </c>
      <c r="P24" s="15">
        <v>24.0</v>
      </c>
      <c r="Q24" s="15">
        <v>43.0</v>
      </c>
      <c r="R24" s="15">
        <v>7.0</v>
      </c>
      <c r="S24" s="15">
        <v>4.0</v>
      </c>
      <c r="T24" s="15">
        <v>4.0</v>
      </c>
      <c r="U24" s="15">
        <v>6.0</v>
      </c>
      <c r="V24" s="15">
        <v>3.0</v>
      </c>
      <c r="W24" s="15">
        <v>2.0</v>
      </c>
      <c r="X24" s="15">
        <v>1.0</v>
      </c>
      <c r="Y24" s="15">
        <v>0.0</v>
      </c>
      <c r="Z24" s="15">
        <v>0.258</v>
      </c>
      <c r="AA24" s="15">
        <v>0.331</v>
      </c>
      <c r="AB24" s="15">
        <v>0.479</v>
      </c>
      <c r="AC24" s="16">
        <v>0.81</v>
      </c>
      <c r="AD24" s="16">
        <v>0.354</v>
      </c>
      <c r="AE24" s="16">
        <v>16.3</v>
      </c>
      <c r="AF24" s="16">
        <v>1.0</v>
      </c>
      <c r="AG24" s="16">
        <v>1.0</v>
      </c>
    </row>
    <row r="25">
      <c r="A25" s="16">
        <v>12395.0</v>
      </c>
      <c r="B25" s="15">
        <v>1.0</v>
      </c>
      <c r="C25" s="15">
        <v>499.0</v>
      </c>
      <c r="D25" s="15">
        <v>12.0</v>
      </c>
      <c r="E25" s="15" t="s">
        <v>43</v>
      </c>
      <c r="F25" s="15">
        <v>499.0</v>
      </c>
      <c r="G25" s="15" t="s">
        <v>126</v>
      </c>
      <c r="H25" s="15">
        <v>355.0</v>
      </c>
      <c r="I25" s="15">
        <v>338.0</v>
      </c>
      <c r="J25" s="15">
        <v>43.0</v>
      </c>
      <c r="K25" s="15">
        <v>105.0</v>
      </c>
      <c r="L25" s="15">
        <v>15.0</v>
      </c>
      <c r="M25" s="15">
        <v>1.0</v>
      </c>
      <c r="N25" s="15">
        <v>13.0</v>
      </c>
      <c r="O25" s="15">
        <v>38.0</v>
      </c>
      <c r="P25" s="15">
        <v>15.0</v>
      </c>
      <c r="Q25" s="15">
        <v>81.0</v>
      </c>
      <c r="R25" s="15">
        <v>6.0</v>
      </c>
      <c r="S25" s="15">
        <v>3.0</v>
      </c>
      <c r="T25" s="15">
        <v>11.0</v>
      </c>
      <c r="U25" s="15">
        <v>6.0</v>
      </c>
      <c r="V25" s="15">
        <v>4.0</v>
      </c>
      <c r="W25" s="15">
        <v>0.0</v>
      </c>
      <c r="X25" s="15">
        <v>1.0</v>
      </c>
      <c r="Y25" s="15">
        <v>1.0</v>
      </c>
      <c r="Z25" s="15">
        <v>0.311</v>
      </c>
      <c r="AA25" s="15">
        <v>0.341</v>
      </c>
      <c r="AB25" s="15">
        <v>0.476</v>
      </c>
      <c r="AC25" s="16">
        <v>0.817</v>
      </c>
      <c r="AD25" s="16">
        <v>0.354</v>
      </c>
      <c r="AE25" s="16">
        <v>22.8</v>
      </c>
      <c r="AF25" s="16">
        <v>7.0</v>
      </c>
      <c r="AG25" s="16">
        <v>1.0</v>
      </c>
    </row>
    <row r="26">
      <c r="A26" s="16">
        <v>11798.0</v>
      </c>
      <c r="B26" s="15" t="s">
        <v>181</v>
      </c>
      <c r="C26" s="15">
        <v>499.0</v>
      </c>
      <c r="D26" s="15">
        <v>12.0</v>
      </c>
      <c r="E26" s="15" t="s">
        <v>1749</v>
      </c>
      <c r="F26" s="15">
        <v>499.0</v>
      </c>
      <c r="G26" s="15" t="s">
        <v>126</v>
      </c>
      <c r="H26" s="15">
        <v>24.0</v>
      </c>
      <c r="I26" s="15">
        <v>23.0</v>
      </c>
      <c r="J26" s="15">
        <v>3.0</v>
      </c>
      <c r="K26" s="15">
        <v>8.0</v>
      </c>
      <c r="L26" s="15">
        <v>1.0</v>
      </c>
      <c r="M26" s="15">
        <v>0.0</v>
      </c>
      <c r="N26" s="15">
        <v>0.0</v>
      </c>
      <c r="O26" s="15">
        <v>2.0</v>
      </c>
      <c r="P26" s="15">
        <v>1.0</v>
      </c>
      <c r="Q26" s="15">
        <v>6.0</v>
      </c>
      <c r="R26" s="15">
        <v>0.0</v>
      </c>
      <c r="S26" s="15">
        <v>0.0</v>
      </c>
      <c r="T26" s="15">
        <v>1.0</v>
      </c>
      <c r="U26" s="15">
        <v>1.0</v>
      </c>
      <c r="V26" s="15">
        <v>0.0</v>
      </c>
      <c r="W26" s="15">
        <v>0.0</v>
      </c>
      <c r="X26" s="15">
        <v>0.0</v>
      </c>
      <c r="Y26" s="15">
        <v>0.0</v>
      </c>
      <c r="Z26" s="15">
        <v>0.348</v>
      </c>
      <c r="AA26" s="15">
        <v>0.375</v>
      </c>
      <c r="AB26" s="15">
        <v>0.391</v>
      </c>
      <c r="AC26" s="16">
        <v>0.766</v>
      </c>
      <c r="AD26" s="16">
        <v>0.341</v>
      </c>
      <c r="AE26" s="16">
        <v>25.0</v>
      </c>
      <c r="AF26" s="16">
        <v>2.0</v>
      </c>
      <c r="AG26" s="16">
        <v>0.0</v>
      </c>
    </row>
    <row r="27">
      <c r="A27" s="16">
        <v>12262.0</v>
      </c>
      <c r="B27" s="15" t="s">
        <v>181</v>
      </c>
      <c r="C27" s="15">
        <v>499.0</v>
      </c>
      <c r="D27" s="15">
        <v>12.0</v>
      </c>
      <c r="E27" s="15" t="s">
        <v>41</v>
      </c>
      <c r="F27" s="15">
        <v>499.0</v>
      </c>
      <c r="G27" s="15" t="s">
        <v>126</v>
      </c>
      <c r="H27" s="15">
        <v>253.0</v>
      </c>
      <c r="I27" s="15">
        <v>225.0</v>
      </c>
      <c r="J27" s="15">
        <v>44.0</v>
      </c>
      <c r="K27" s="15">
        <v>58.0</v>
      </c>
      <c r="L27" s="15">
        <v>5.0</v>
      </c>
      <c r="M27" s="15">
        <v>1.0</v>
      </c>
      <c r="N27" s="15">
        <v>10.0</v>
      </c>
      <c r="O27" s="15">
        <v>31.0</v>
      </c>
      <c r="P27" s="15">
        <v>22.0</v>
      </c>
      <c r="Q27" s="15">
        <v>45.0</v>
      </c>
      <c r="R27" s="15">
        <v>6.0</v>
      </c>
      <c r="S27" s="15">
        <v>4.0</v>
      </c>
      <c r="T27" s="15">
        <v>8.0</v>
      </c>
      <c r="U27" s="15">
        <v>7.0</v>
      </c>
      <c r="V27" s="15">
        <v>3.0</v>
      </c>
      <c r="W27" s="15">
        <v>5.0</v>
      </c>
      <c r="X27" s="15">
        <v>1.0</v>
      </c>
      <c r="Y27" s="15">
        <v>0.0</v>
      </c>
      <c r="Z27" s="15">
        <v>0.258</v>
      </c>
      <c r="AA27" s="15">
        <v>0.336</v>
      </c>
      <c r="AB27" s="15">
        <v>0.422</v>
      </c>
      <c r="AC27" s="16">
        <v>0.758</v>
      </c>
      <c r="AD27" s="16">
        <v>0.336</v>
      </c>
      <c r="AE27" s="16">
        <v>17.8</v>
      </c>
      <c r="AF27" s="16">
        <v>2.0</v>
      </c>
      <c r="AG27" s="16">
        <v>1.0</v>
      </c>
    </row>
    <row r="28">
      <c r="A28" s="16">
        <v>11928.0</v>
      </c>
      <c r="B28" s="15">
        <v>20.0</v>
      </c>
      <c r="C28" s="15">
        <v>499.0</v>
      </c>
      <c r="D28" s="15">
        <v>12.0</v>
      </c>
      <c r="E28" s="15" t="s">
        <v>49</v>
      </c>
      <c r="F28" s="15">
        <v>499.0</v>
      </c>
      <c r="G28" s="15" t="s">
        <v>126</v>
      </c>
      <c r="H28" s="15">
        <v>102.0</v>
      </c>
      <c r="I28" s="15">
        <v>95.0</v>
      </c>
      <c r="J28" s="15">
        <v>15.0</v>
      </c>
      <c r="K28" s="15">
        <v>20.0</v>
      </c>
      <c r="L28" s="15">
        <v>6.0</v>
      </c>
      <c r="M28" s="15">
        <v>1.0</v>
      </c>
      <c r="N28" s="15">
        <v>7.0</v>
      </c>
      <c r="O28" s="15">
        <v>18.0</v>
      </c>
      <c r="P28" s="15">
        <v>6.0</v>
      </c>
      <c r="Q28" s="15">
        <v>31.0</v>
      </c>
      <c r="R28" s="15">
        <v>5.0</v>
      </c>
      <c r="S28" s="15">
        <v>1.0</v>
      </c>
      <c r="T28" s="15">
        <v>1.0</v>
      </c>
      <c r="U28" s="15">
        <v>4.0</v>
      </c>
      <c r="V28" s="15">
        <v>2.0</v>
      </c>
      <c r="W28" s="15">
        <v>1.0</v>
      </c>
      <c r="X28" s="15">
        <v>0.0</v>
      </c>
      <c r="Y28" s="15">
        <v>0.0</v>
      </c>
      <c r="Z28" s="15">
        <v>0.211</v>
      </c>
      <c r="AA28" s="15">
        <v>0.265</v>
      </c>
      <c r="AB28" s="15">
        <v>0.516</v>
      </c>
      <c r="AC28" s="16">
        <v>0.78</v>
      </c>
      <c r="AD28" s="16">
        <v>0.335</v>
      </c>
      <c r="AE28" s="16">
        <v>30.4</v>
      </c>
      <c r="AF28" s="16">
        <v>0.0</v>
      </c>
      <c r="AG28" s="16">
        <v>1.0</v>
      </c>
    </row>
    <row r="29">
      <c r="A29" s="16">
        <v>11674.0</v>
      </c>
      <c r="B29" s="15" t="s">
        <v>181</v>
      </c>
      <c r="C29" s="15">
        <v>499.0</v>
      </c>
      <c r="D29" s="15">
        <v>12.0</v>
      </c>
      <c r="E29" s="15" t="s">
        <v>1242</v>
      </c>
      <c r="F29" s="15">
        <v>499.0</v>
      </c>
      <c r="G29" s="15" t="s">
        <v>126</v>
      </c>
      <c r="H29" s="15">
        <v>181.0</v>
      </c>
      <c r="I29" s="15">
        <v>170.0</v>
      </c>
      <c r="J29" s="15">
        <v>19.0</v>
      </c>
      <c r="K29" s="15">
        <v>47.0</v>
      </c>
      <c r="L29" s="15">
        <v>9.0</v>
      </c>
      <c r="M29" s="15">
        <v>0.0</v>
      </c>
      <c r="N29" s="15">
        <v>6.0</v>
      </c>
      <c r="O29" s="15">
        <v>20.0</v>
      </c>
      <c r="P29" s="15">
        <v>6.0</v>
      </c>
      <c r="Q29" s="15">
        <v>39.0</v>
      </c>
      <c r="R29" s="15">
        <v>2.0</v>
      </c>
      <c r="S29" s="15">
        <v>5.0</v>
      </c>
      <c r="T29" s="15">
        <v>1.0</v>
      </c>
      <c r="U29" s="15">
        <v>7.0</v>
      </c>
      <c r="V29" s="15">
        <v>7.0</v>
      </c>
      <c r="W29" s="15">
        <v>5.0</v>
      </c>
      <c r="X29" s="15">
        <v>0.0</v>
      </c>
      <c r="Y29" s="15">
        <v>0.0</v>
      </c>
      <c r="Z29" s="15">
        <v>0.276</v>
      </c>
      <c r="AA29" s="15">
        <v>0.32</v>
      </c>
      <c r="AB29" s="15">
        <v>0.435</v>
      </c>
      <c r="AC29" s="16">
        <v>0.756</v>
      </c>
      <c r="AD29" s="16">
        <v>0.333</v>
      </c>
      <c r="AE29" s="16">
        <v>21.5</v>
      </c>
      <c r="AF29" s="16">
        <v>2.0</v>
      </c>
      <c r="AG29" s="16">
        <v>2.0</v>
      </c>
    </row>
    <row r="30">
      <c r="A30" s="16">
        <v>12339.0</v>
      </c>
      <c r="B30" s="15" t="s">
        <v>181</v>
      </c>
      <c r="C30" s="15">
        <v>499.0</v>
      </c>
      <c r="D30" s="15">
        <v>12.0</v>
      </c>
      <c r="E30" s="15" t="s">
        <v>3941</v>
      </c>
      <c r="F30" s="15">
        <v>499.0</v>
      </c>
      <c r="G30" s="15" t="s">
        <v>126</v>
      </c>
      <c r="H30" s="15">
        <v>254.0</v>
      </c>
      <c r="I30" s="15">
        <v>225.0</v>
      </c>
      <c r="J30" s="15">
        <v>39.0</v>
      </c>
      <c r="K30" s="15">
        <v>46.0</v>
      </c>
      <c r="L30" s="15">
        <v>6.0</v>
      </c>
      <c r="M30" s="15">
        <v>0.0</v>
      </c>
      <c r="N30" s="15">
        <v>18.0</v>
      </c>
      <c r="O30" s="15">
        <v>37.0</v>
      </c>
      <c r="P30" s="15">
        <v>24.0</v>
      </c>
      <c r="Q30" s="15">
        <v>69.0</v>
      </c>
      <c r="R30" s="15">
        <v>7.0</v>
      </c>
      <c r="S30" s="15">
        <v>7.0</v>
      </c>
      <c r="T30" s="15">
        <v>3.0</v>
      </c>
      <c r="U30" s="15">
        <v>8.0</v>
      </c>
      <c r="V30" s="15">
        <v>9.0</v>
      </c>
      <c r="W30" s="15">
        <v>4.0</v>
      </c>
      <c r="X30" s="15">
        <v>1.0</v>
      </c>
      <c r="Y30" s="15">
        <v>0.0</v>
      </c>
      <c r="Z30" s="15">
        <v>0.204</v>
      </c>
      <c r="AA30" s="15">
        <v>0.291</v>
      </c>
      <c r="AB30" s="15">
        <v>0.471</v>
      </c>
      <c r="AC30" s="16">
        <v>0.762</v>
      </c>
      <c r="AD30" s="16">
        <v>0.332</v>
      </c>
      <c r="AE30" s="16">
        <v>27.2</v>
      </c>
      <c r="AF30" s="16">
        <v>0.0</v>
      </c>
      <c r="AG30" s="16">
        <v>0.0</v>
      </c>
    </row>
    <row r="31">
      <c r="A31" s="16">
        <v>11509.0</v>
      </c>
      <c r="B31" s="15">
        <v>1272.0</v>
      </c>
      <c r="C31" s="15">
        <v>499.0</v>
      </c>
      <c r="D31" s="15">
        <v>12.0</v>
      </c>
      <c r="E31" s="15" t="s">
        <v>52</v>
      </c>
      <c r="F31" s="15">
        <v>499.0</v>
      </c>
      <c r="G31" s="15" t="s">
        <v>126</v>
      </c>
      <c r="H31" s="15">
        <v>93.0</v>
      </c>
      <c r="I31" s="15">
        <v>76.0</v>
      </c>
      <c r="J31" s="15">
        <v>12.0</v>
      </c>
      <c r="K31" s="15">
        <v>18.0</v>
      </c>
      <c r="L31" s="15">
        <v>2.0</v>
      </c>
      <c r="M31" s="15">
        <v>0.0</v>
      </c>
      <c r="N31" s="15">
        <v>2.0</v>
      </c>
      <c r="O31" s="15">
        <v>8.0</v>
      </c>
      <c r="P31" s="15">
        <v>16.0</v>
      </c>
      <c r="Q31" s="15">
        <v>23.0</v>
      </c>
      <c r="R31" s="15">
        <v>1.0</v>
      </c>
      <c r="S31" s="15">
        <v>0.0</v>
      </c>
      <c r="T31" s="15">
        <v>2.0</v>
      </c>
      <c r="U31" s="15">
        <v>2.0</v>
      </c>
      <c r="V31" s="15">
        <v>0.0</v>
      </c>
      <c r="W31" s="15">
        <v>0.0</v>
      </c>
      <c r="X31" s="15">
        <v>1.0</v>
      </c>
      <c r="Y31" s="15">
        <v>0.0</v>
      </c>
      <c r="Z31" s="15">
        <v>0.237</v>
      </c>
      <c r="AA31" s="15">
        <v>0.366</v>
      </c>
      <c r="AB31" s="15">
        <v>0.342</v>
      </c>
      <c r="AC31" s="16">
        <v>0.708</v>
      </c>
      <c r="AD31" s="16">
        <v>0.325</v>
      </c>
      <c r="AE31" s="16">
        <v>24.7</v>
      </c>
      <c r="AF31" s="16">
        <v>1.0</v>
      </c>
      <c r="AG31" s="16">
        <v>0.0</v>
      </c>
    </row>
    <row r="32">
      <c r="A32" s="16">
        <v>11956.0</v>
      </c>
      <c r="B32" s="15" t="s">
        <v>181</v>
      </c>
      <c r="C32" s="15">
        <v>499.0</v>
      </c>
      <c r="D32" s="15">
        <v>12.0</v>
      </c>
      <c r="E32" s="15" t="s">
        <v>2397</v>
      </c>
      <c r="F32" s="15">
        <v>499.0</v>
      </c>
      <c r="G32" s="15" t="s">
        <v>126</v>
      </c>
      <c r="H32" s="15">
        <v>116.0</v>
      </c>
      <c r="I32" s="15">
        <v>100.0</v>
      </c>
      <c r="J32" s="15">
        <v>12.0</v>
      </c>
      <c r="K32" s="15">
        <v>26.0</v>
      </c>
      <c r="L32" s="15">
        <v>1.0</v>
      </c>
      <c r="M32" s="15">
        <v>0.0</v>
      </c>
      <c r="N32" s="15">
        <v>2.0</v>
      </c>
      <c r="O32" s="15">
        <v>10.0</v>
      </c>
      <c r="P32" s="15">
        <v>7.0</v>
      </c>
      <c r="Q32" s="15">
        <v>30.0</v>
      </c>
      <c r="R32" s="15">
        <v>1.0</v>
      </c>
      <c r="S32" s="15">
        <v>2.0</v>
      </c>
      <c r="T32" s="15">
        <v>4.0</v>
      </c>
      <c r="U32" s="15">
        <v>3.0</v>
      </c>
      <c r="V32" s="15">
        <v>2.0</v>
      </c>
      <c r="W32" s="15">
        <v>8.0</v>
      </c>
      <c r="X32" s="15">
        <v>1.0</v>
      </c>
      <c r="Y32" s="15">
        <v>0.0</v>
      </c>
      <c r="Z32" s="15">
        <v>0.26</v>
      </c>
      <c r="AA32" s="15">
        <v>0.353</v>
      </c>
      <c r="AB32" s="15">
        <v>0.33</v>
      </c>
      <c r="AC32" s="16">
        <v>0.683</v>
      </c>
      <c r="AD32" s="16">
        <v>0.315</v>
      </c>
      <c r="AE32" s="16">
        <v>25.9</v>
      </c>
      <c r="AF32" s="16">
        <v>4.0</v>
      </c>
      <c r="AG32" s="16">
        <v>3.0</v>
      </c>
    </row>
    <row r="33">
      <c r="A33" s="16">
        <v>12288.0</v>
      </c>
      <c r="B33" s="15" t="s">
        <v>181</v>
      </c>
      <c r="C33" s="15">
        <v>499.0</v>
      </c>
      <c r="D33" s="15">
        <v>12.0</v>
      </c>
      <c r="E33" s="15" t="s">
        <v>50</v>
      </c>
      <c r="F33" s="15">
        <v>499.0</v>
      </c>
      <c r="G33" s="15" t="s">
        <v>126</v>
      </c>
      <c r="H33" s="15">
        <v>161.0</v>
      </c>
      <c r="I33" s="15">
        <v>135.0</v>
      </c>
      <c r="J33" s="15">
        <v>14.0</v>
      </c>
      <c r="K33" s="15">
        <v>27.0</v>
      </c>
      <c r="L33" s="15">
        <v>5.0</v>
      </c>
      <c r="M33" s="15">
        <v>0.0</v>
      </c>
      <c r="N33" s="15">
        <v>3.0</v>
      </c>
      <c r="O33" s="15">
        <v>20.0</v>
      </c>
      <c r="P33" s="15">
        <v>22.0</v>
      </c>
      <c r="Q33" s="15">
        <v>35.0</v>
      </c>
      <c r="R33" s="15">
        <v>0.0</v>
      </c>
      <c r="S33" s="15">
        <v>2.0</v>
      </c>
      <c r="T33" s="15">
        <v>1.0</v>
      </c>
      <c r="U33" s="15">
        <v>9.0</v>
      </c>
      <c r="V33" s="15">
        <v>5.0</v>
      </c>
      <c r="W33" s="15">
        <v>3.0</v>
      </c>
      <c r="X33" s="15">
        <v>1.0</v>
      </c>
      <c r="Y33" s="15">
        <v>0.0</v>
      </c>
      <c r="Z33" s="15">
        <v>0.2</v>
      </c>
      <c r="AA33" s="15">
        <v>0.323</v>
      </c>
      <c r="AB33" s="15">
        <v>0.304</v>
      </c>
      <c r="AC33" s="16">
        <v>0.627</v>
      </c>
      <c r="AD33" s="16">
        <v>0.291</v>
      </c>
      <c r="AE33" s="16">
        <v>21.7</v>
      </c>
      <c r="AF33" s="16">
        <v>11.0</v>
      </c>
      <c r="AG33" s="16">
        <v>3.0</v>
      </c>
    </row>
    <row r="34">
      <c r="A34" s="16">
        <v>12251.0</v>
      </c>
      <c r="B34" s="15" t="s">
        <v>181</v>
      </c>
      <c r="C34" s="15">
        <v>499.0</v>
      </c>
      <c r="D34" s="15">
        <v>12.0</v>
      </c>
      <c r="E34" s="15" t="s">
        <v>3590</v>
      </c>
      <c r="F34" s="15">
        <v>499.0</v>
      </c>
      <c r="G34" s="15" t="s">
        <v>126</v>
      </c>
      <c r="H34" s="15">
        <v>26.0</v>
      </c>
      <c r="I34" s="15">
        <v>22.0</v>
      </c>
      <c r="J34" s="15">
        <v>1.0</v>
      </c>
      <c r="K34" s="15">
        <v>7.0</v>
      </c>
      <c r="L34" s="15">
        <v>1.0</v>
      </c>
      <c r="M34" s="15">
        <v>0.0</v>
      </c>
      <c r="N34" s="15">
        <v>0.0</v>
      </c>
      <c r="O34" s="15">
        <v>1.0</v>
      </c>
      <c r="P34" s="15">
        <v>1.0</v>
      </c>
      <c r="Q34" s="15">
        <v>10.0</v>
      </c>
      <c r="R34" s="15">
        <v>0.0</v>
      </c>
      <c r="S34" s="15">
        <v>0.0</v>
      </c>
      <c r="T34" s="15">
        <v>1.0</v>
      </c>
      <c r="U34" s="15">
        <v>1.0</v>
      </c>
      <c r="V34" s="15">
        <v>0.0</v>
      </c>
      <c r="W34" s="15">
        <v>0.0</v>
      </c>
      <c r="X34" s="15">
        <v>3.0</v>
      </c>
      <c r="Y34" s="15">
        <v>0.0</v>
      </c>
      <c r="Z34" s="15">
        <v>0.318</v>
      </c>
      <c r="AA34" s="15">
        <v>0.308</v>
      </c>
      <c r="AB34" s="15">
        <v>0.364</v>
      </c>
      <c r="AC34" s="16">
        <v>0.671</v>
      </c>
      <c r="AD34" s="16">
        <v>0.28</v>
      </c>
      <c r="AE34" s="16">
        <v>38.5</v>
      </c>
      <c r="AF34" s="16">
        <v>0.0</v>
      </c>
      <c r="AG34" s="16">
        <v>1.0</v>
      </c>
    </row>
    <row r="35">
      <c r="A35" s="16">
        <v>11545.0</v>
      </c>
      <c r="B35" s="15" t="s">
        <v>181</v>
      </c>
      <c r="C35" s="15">
        <v>499.0</v>
      </c>
      <c r="D35" s="15">
        <v>12.0</v>
      </c>
      <c r="E35" s="15" t="s">
        <v>48</v>
      </c>
      <c r="F35" s="15">
        <v>499.0</v>
      </c>
      <c r="G35" s="15" t="s">
        <v>126</v>
      </c>
      <c r="H35" s="15">
        <v>251.0</v>
      </c>
      <c r="I35" s="15">
        <v>228.0</v>
      </c>
      <c r="J35" s="15">
        <v>24.0</v>
      </c>
      <c r="K35" s="15">
        <v>50.0</v>
      </c>
      <c r="L35" s="15">
        <v>8.0</v>
      </c>
      <c r="M35" s="15">
        <v>1.0</v>
      </c>
      <c r="N35" s="15">
        <v>1.0</v>
      </c>
      <c r="O35" s="15">
        <v>25.0</v>
      </c>
      <c r="P35" s="15">
        <v>17.0</v>
      </c>
      <c r="Q35" s="15">
        <v>69.0</v>
      </c>
      <c r="R35" s="15">
        <v>0.0</v>
      </c>
      <c r="S35" s="15">
        <v>3.0</v>
      </c>
      <c r="T35" s="15">
        <v>6.0</v>
      </c>
      <c r="U35" s="15">
        <v>8.0</v>
      </c>
      <c r="V35" s="15">
        <v>3.0</v>
      </c>
      <c r="W35" s="15">
        <v>6.0</v>
      </c>
      <c r="X35" s="15">
        <v>0.0</v>
      </c>
      <c r="Y35" s="15">
        <v>0.0</v>
      </c>
      <c r="Z35" s="15">
        <v>0.219</v>
      </c>
      <c r="AA35" s="15">
        <v>0.291</v>
      </c>
      <c r="AB35" s="15">
        <v>0.276</v>
      </c>
      <c r="AC35" s="16">
        <v>0.567</v>
      </c>
      <c r="AD35" s="16">
        <v>0.261</v>
      </c>
      <c r="AE35" s="16">
        <v>27.5</v>
      </c>
      <c r="AF35" s="16">
        <v>10.0</v>
      </c>
      <c r="AG35" s="16">
        <v>3.0</v>
      </c>
    </row>
    <row r="36">
      <c r="A36" s="16">
        <v>12437.0</v>
      </c>
      <c r="B36" s="15" t="s">
        <v>181</v>
      </c>
      <c r="C36" s="15">
        <v>499.0</v>
      </c>
      <c r="D36" s="15">
        <v>12.0</v>
      </c>
      <c r="E36" s="15" t="s">
        <v>4338</v>
      </c>
      <c r="F36" s="15">
        <v>499.0</v>
      </c>
      <c r="G36" s="15" t="s">
        <v>126</v>
      </c>
      <c r="H36" s="15">
        <v>15.0</v>
      </c>
      <c r="I36" s="15">
        <v>15.0</v>
      </c>
      <c r="J36" s="15">
        <v>0.0</v>
      </c>
      <c r="K36" s="15">
        <v>4.0</v>
      </c>
      <c r="L36" s="15">
        <v>0.0</v>
      </c>
      <c r="M36" s="15">
        <v>0.0</v>
      </c>
      <c r="N36" s="15">
        <v>0.0</v>
      </c>
      <c r="O36" s="15">
        <v>1.0</v>
      </c>
      <c r="P36" s="15">
        <v>0.0</v>
      </c>
      <c r="Q36" s="15">
        <v>4.0</v>
      </c>
      <c r="R36" s="15">
        <v>0.0</v>
      </c>
      <c r="S36" s="15">
        <v>0.0</v>
      </c>
      <c r="T36" s="15">
        <v>1.0</v>
      </c>
      <c r="U36" s="15">
        <v>0.0</v>
      </c>
      <c r="V36" s="15">
        <v>0.0</v>
      </c>
      <c r="W36" s="15">
        <v>0.0</v>
      </c>
      <c r="X36" s="15">
        <v>0.0</v>
      </c>
      <c r="Y36" s="15">
        <v>0.0</v>
      </c>
      <c r="Z36" s="15">
        <v>0.267</v>
      </c>
      <c r="AA36" s="15">
        <v>0.267</v>
      </c>
      <c r="AB36" s="15">
        <v>0.267</v>
      </c>
      <c r="AC36" s="16">
        <v>0.533</v>
      </c>
      <c r="AD36" s="16">
        <v>0.237</v>
      </c>
      <c r="AE36" s="16">
        <v>26.7</v>
      </c>
      <c r="AF36" s="16">
        <v>1.0</v>
      </c>
      <c r="AG36" s="16">
        <v>1.0</v>
      </c>
    </row>
    <row r="37">
      <c r="A37" s="16">
        <v>11851.0</v>
      </c>
      <c r="B37" s="15" t="s">
        <v>181</v>
      </c>
      <c r="C37" s="15">
        <v>499.0</v>
      </c>
      <c r="D37" s="15">
        <v>12.0</v>
      </c>
      <c r="E37" s="15" t="s">
        <v>1967</v>
      </c>
      <c r="F37" s="15">
        <v>499.0</v>
      </c>
      <c r="G37" s="15" t="s">
        <v>126</v>
      </c>
      <c r="H37" s="15">
        <v>52.0</v>
      </c>
      <c r="I37" s="15">
        <v>46.0</v>
      </c>
      <c r="J37" s="15">
        <v>5.0</v>
      </c>
      <c r="K37" s="15">
        <v>7.0</v>
      </c>
      <c r="L37" s="15">
        <v>1.0</v>
      </c>
      <c r="M37" s="15">
        <v>0.0</v>
      </c>
      <c r="N37" s="15">
        <v>0.0</v>
      </c>
      <c r="O37" s="15">
        <v>1.0</v>
      </c>
      <c r="P37" s="15">
        <v>6.0</v>
      </c>
      <c r="Q37" s="15">
        <v>8.0</v>
      </c>
      <c r="R37" s="15">
        <v>0.0</v>
      </c>
      <c r="S37" s="15">
        <v>0.0</v>
      </c>
      <c r="T37" s="15">
        <v>0.0</v>
      </c>
      <c r="U37" s="15">
        <v>0.0</v>
      </c>
      <c r="V37" s="15">
        <v>1.0</v>
      </c>
      <c r="W37" s="15">
        <v>0.0</v>
      </c>
      <c r="X37" s="15">
        <v>0.0</v>
      </c>
      <c r="Y37" s="15">
        <v>0.0</v>
      </c>
      <c r="Z37" s="15">
        <v>0.152</v>
      </c>
      <c r="AA37" s="15">
        <v>0.25</v>
      </c>
      <c r="AB37" s="15">
        <v>0.174</v>
      </c>
      <c r="AC37" s="16">
        <v>0.424</v>
      </c>
      <c r="AD37" s="16">
        <v>0.207</v>
      </c>
      <c r="AE37" s="16">
        <v>15.4</v>
      </c>
      <c r="AF37" s="16">
        <v>0.0</v>
      </c>
      <c r="AG37" s="16">
        <v>1.0</v>
      </c>
    </row>
    <row r="38">
      <c r="A38" s="16">
        <v>11559.0</v>
      </c>
      <c r="B38" s="15" t="s">
        <v>181</v>
      </c>
      <c r="C38" s="15">
        <v>499.0</v>
      </c>
      <c r="D38" s="15">
        <v>12.0</v>
      </c>
      <c r="E38" s="15" t="s">
        <v>772</v>
      </c>
      <c r="F38" s="15">
        <v>499.0</v>
      </c>
      <c r="G38" s="15" t="s">
        <v>126</v>
      </c>
      <c r="H38" s="15">
        <v>2.0</v>
      </c>
      <c r="I38" s="15">
        <v>2.0</v>
      </c>
      <c r="J38" s="15">
        <v>0.0</v>
      </c>
      <c r="K38" s="15">
        <v>0.0</v>
      </c>
      <c r="L38" s="15">
        <v>0.0</v>
      </c>
      <c r="M38" s="15">
        <v>0.0</v>
      </c>
      <c r="N38" s="15">
        <v>0.0</v>
      </c>
      <c r="O38" s="15">
        <v>0.0</v>
      </c>
      <c r="P38" s="15">
        <v>0.0</v>
      </c>
      <c r="Q38" s="15">
        <v>1.0</v>
      </c>
      <c r="R38" s="15">
        <v>0.0</v>
      </c>
      <c r="S38" s="15">
        <v>0.0</v>
      </c>
      <c r="T38" s="15">
        <v>0.0</v>
      </c>
      <c r="U38" s="15">
        <v>0.0</v>
      </c>
      <c r="V38" s="15">
        <v>0.0</v>
      </c>
      <c r="W38" s="15">
        <v>0.0</v>
      </c>
      <c r="X38" s="15">
        <v>0.0</v>
      </c>
      <c r="Y38" s="15">
        <v>0.0</v>
      </c>
      <c r="Z38" s="15">
        <v>0.0</v>
      </c>
      <c r="AA38" s="15">
        <v>0.0</v>
      </c>
      <c r="AB38" s="15">
        <v>0.0</v>
      </c>
      <c r="AC38" s="16">
        <v>0.0</v>
      </c>
      <c r="AD38" s="16">
        <v>0.0</v>
      </c>
      <c r="AE38" s="16">
        <v>50.0</v>
      </c>
      <c r="AF38" s="16">
        <v>0.0</v>
      </c>
      <c r="AG38" s="16">
        <v>0.0</v>
      </c>
    </row>
    <row r="39">
      <c r="A39" s="16">
        <v>12473.0</v>
      </c>
      <c r="B39" s="15">
        <v>2206.0</v>
      </c>
      <c r="C39" s="15">
        <v>499.0</v>
      </c>
      <c r="D39" s="15">
        <v>12.0</v>
      </c>
      <c r="E39" s="15" t="s">
        <v>68</v>
      </c>
      <c r="F39" s="15">
        <v>499.0</v>
      </c>
      <c r="G39" s="15" t="s">
        <v>126</v>
      </c>
      <c r="H39" s="15">
        <v>1.0</v>
      </c>
      <c r="I39" s="15">
        <v>1.0</v>
      </c>
      <c r="J39" s="15">
        <v>0.0</v>
      </c>
      <c r="K39" s="15">
        <v>0.0</v>
      </c>
      <c r="L39" s="15">
        <v>0.0</v>
      </c>
      <c r="M39" s="15">
        <v>0.0</v>
      </c>
      <c r="N39" s="15">
        <v>0.0</v>
      </c>
      <c r="O39" s="15">
        <v>0.0</v>
      </c>
      <c r="P39" s="15">
        <v>0.0</v>
      </c>
      <c r="Q39" s="15">
        <v>0.0</v>
      </c>
      <c r="R39" s="15">
        <v>0.0</v>
      </c>
      <c r="S39" s="15">
        <v>0.0</v>
      </c>
      <c r="T39" s="15">
        <v>0.0</v>
      </c>
      <c r="U39" s="15">
        <v>0.0</v>
      </c>
      <c r="V39" s="15">
        <v>0.0</v>
      </c>
      <c r="W39" s="15">
        <v>0.0</v>
      </c>
      <c r="X39" s="15">
        <v>0.0</v>
      </c>
      <c r="Y39" s="15">
        <v>0.0</v>
      </c>
      <c r="Z39" s="15">
        <v>0.0</v>
      </c>
      <c r="AA39" s="15">
        <v>0.0</v>
      </c>
      <c r="AB39" s="15">
        <v>0.0</v>
      </c>
      <c r="AC39" s="16">
        <v>0.0</v>
      </c>
      <c r="AD39" s="16">
        <v>0.0</v>
      </c>
      <c r="AE39" s="16">
        <v>0.0</v>
      </c>
      <c r="AF39" s="16">
        <v>0.0</v>
      </c>
      <c r="AG39" s="16">
        <v>0.0</v>
      </c>
    </row>
    <row r="40">
      <c r="A40" s="16">
        <v>11539.0</v>
      </c>
      <c r="B40" s="15">
        <v>266.0</v>
      </c>
      <c r="C40" s="15">
        <v>499.0</v>
      </c>
      <c r="D40" s="15">
        <v>12.0</v>
      </c>
      <c r="E40" s="15" t="s">
        <v>689</v>
      </c>
      <c r="F40" s="15">
        <v>499.0</v>
      </c>
      <c r="G40" s="15" t="s">
        <v>126</v>
      </c>
      <c r="H40" s="15">
        <v>1.0</v>
      </c>
      <c r="I40" s="15">
        <v>0.0</v>
      </c>
      <c r="J40" s="15">
        <v>0.0</v>
      </c>
      <c r="K40" s="15">
        <v>0.0</v>
      </c>
      <c r="L40" s="15">
        <v>0.0</v>
      </c>
      <c r="M40" s="15">
        <v>0.0</v>
      </c>
      <c r="N40" s="15">
        <v>0.0</v>
      </c>
      <c r="O40" s="15">
        <v>1.0</v>
      </c>
      <c r="P40" s="15">
        <v>0.0</v>
      </c>
      <c r="Q40" s="15">
        <v>0.0</v>
      </c>
      <c r="R40" s="15">
        <v>0.0</v>
      </c>
      <c r="S40" s="15">
        <v>0.0</v>
      </c>
      <c r="T40" s="15">
        <v>0.0</v>
      </c>
      <c r="U40" s="15">
        <v>0.0</v>
      </c>
      <c r="V40" s="15">
        <v>0.0</v>
      </c>
      <c r="W40" s="15">
        <v>0.0</v>
      </c>
      <c r="X40" s="15">
        <v>1.0</v>
      </c>
      <c r="Y40" s="15">
        <v>0.0</v>
      </c>
      <c r="Z40" s="15">
        <v>0.0</v>
      </c>
      <c r="AA40" s="15">
        <v>0.0</v>
      </c>
      <c r="AB40" s="15">
        <v>0.0</v>
      </c>
      <c r="AC40" s="16">
        <v>0.0</v>
      </c>
      <c r="AD40" s="16">
        <v>0.0</v>
      </c>
      <c r="AE40" s="16">
        <v>0.0</v>
      </c>
      <c r="AF40" s="16">
        <v>0.0</v>
      </c>
      <c r="AG40" s="16">
        <v>0.0</v>
      </c>
    </row>
    <row r="41">
      <c r="A41" s="16">
        <v>12479.0</v>
      </c>
      <c r="B41" s="15">
        <v>673.0</v>
      </c>
      <c r="C41" s="15">
        <v>499.0</v>
      </c>
      <c r="D41" s="15">
        <v>12.0</v>
      </c>
      <c r="E41" s="15" t="s">
        <v>4506</v>
      </c>
      <c r="F41" s="15">
        <v>499.0</v>
      </c>
      <c r="G41" s="15" t="s">
        <v>126</v>
      </c>
      <c r="H41" s="15">
        <v>2.0</v>
      </c>
      <c r="I41" s="15">
        <v>2.0</v>
      </c>
      <c r="J41" s="15">
        <v>0.0</v>
      </c>
      <c r="K41" s="15">
        <v>0.0</v>
      </c>
      <c r="L41" s="15">
        <v>0.0</v>
      </c>
      <c r="M41" s="15">
        <v>0.0</v>
      </c>
      <c r="N41" s="15">
        <v>0.0</v>
      </c>
      <c r="O41" s="15">
        <v>0.0</v>
      </c>
      <c r="P41" s="15">
        <v>0.0</v>
      </c>
      <c r="Q41" s="15">
        <v>1.0</v>
      </c>
      <c r="R41" s="15">
        <v>0.0</v>
      </c>
      <c r="S41" s="15">
        <v>0.0</v>
      </c>
      <c r="T41" s="15">
        <v>0.0</v>
      </c>
      <c r="U41" s="15">
        <v>0.0</v>
      </c>
      <c r="V41" s="15">
        <v>0.0</v>
      </c>
      <c r="W41" s="15">
        <v>0.0</v>
      </c>
      <c r="X41" s="15">
        <v>0.0</v>
      </c>
      <c r="Y41" s="15">
        <v>0.0</v>
      </c>
      <c r="Z41" s="15">
        <v>0.0</v>
      </c>
      <c r="AA41" s="15">
        <v>0.0</v>
      </c>
      <c r="AB41" s="15">
        <v>0.0</v>
      </c>
      <c r="AC41" s="16">
        <v>0.0</v>
      </c>
      <c r="AD41" s="16">
        <v>0.0</v>
      </c>
      <c r="AE41" s="16">
        <v>50.0</v>
      </c>
      <c r="AF41" s="16">
        <v>0.0</v>
      </c>
      <c r="AG41" s="16">
        <v>0.0</v>
      </c>
    </row>
    <row r="42">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row>
    <row r="43">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row>
    <row r="44">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row>
    <row r="4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row>
    <row r="46">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row>
    <row r="47">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row>
    <row r="48">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row>
    <row r="49">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row>
    <row r="50">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row>
    <row r="51">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row>
    <row r="52">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row>
    <row r="53">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row>
    <row r="54">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row>
    <row r="55">
      <c r="B55" s="15"/>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15"/>
    </row>
    <row r="56">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row>
    <row r="57">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row>
    <row r="58">
      <c r="B58" s="15"/>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row>
    <row r="59">
      <c r="B59" s="15"/>
      <c r="C59" s="15"/>
      <c r="D59" s="15"/>
      <c r="E59" s="15"/>
      <c r="F59" s="15"/>
      <c r="G59" s="15"/>
      <c r="H59" s="15"/>
      <c r="I59" s="15"/>
      <c r="J59" s="15"/>
      <c r="K59" s="15"/>
      <c r="L59" s="15"/>
      <c r="M59" s="15"/>
      <c r="N59" s="15"/>
      <c r="O59" s="15"/>
      <c r="P59" s="15"/>
      <c r="Q59" s="15"/>
      <c r="R59" s="15"/>
      <c r="S59" s="15"/>
      <c r="T59" s="15"/>
      <c r="U59" s="15"/>
      <c r="V59" s="15"/>
      <c r="W59" s="15"/>
      <c r="X59" s="15"/>
      <c r="Y59" s="15"/>
      <c r="Z59" s="15"/>
      <c r="AA59" s="15"/>
      <c r="AB59" s="15"/>
    </row>
    <row r="60">
      <c r="B60" s="15"/>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row>
    <row r="61">
      <c r="B61" s="15"/>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row>
    <row r="62">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row>
    <row r="63">
      <c r="B63" s="15"/>
      <c r="C63" s="15"/>
      <c r="D63" s="15"/>
      <c r="E63" s="15"/>
      <c r="F63" s="15"/>
      <c r="G63" s="15"/>
      <c r="H63" s="15"/>
      <c r="I63" s="15"/>
      <c r="J63" s="15"/>
      <c r="K63" s="15"/>
      <c r="L63" s="15"/>
      <c r="M63" s="15"/>
      <c r="N63" s="15"/>
      <c r="O63" s="15"/>
      <c r="P63" s="15"/>
      <c r="Q63" s="15"/>
      <c r="R63" s="15"/>
      <c r="S63" s="15"/>
      <c r="T63" s="15"/>
      <c r="U63" s="15"/>
      <c r="V63" s="15"/>
      <c r="W63" s="15"/>
      <c r="X63" s="15"/>
      <c r="Y63" s="15"/>
      <c r="Z63" s="15"/>
      <c r="AA63" s="15"/>
      <c r="AB63" s="15"/>
    </row>
    <row r="64">
      <c r="B64" s="15"/>
      <c r="C64" s="15"/>
      <c r="D64" s="15"/>
      <c r="E64" s="15"/>
      <c r="F64" s="15"/>
      <c r="G64" s="15"/>
      <c r="H64" s="15"/>
      <c r="I64" s="15"/>
      <c r="J64" s="15"/>
      <c r="K64" s="15"/>
      <c r="L64" s="15"/>
      <c r="M64" s="15"/>
      <c r="N64" s="15"/>
      <c r="O64" s="15"/>
      <c r="P64" s="15"/>
      <c r="Q64" s="15"/>
      <c r="R64" s="15"/>
      <c r="S64" s="15"/>
      <c r="T64" s="15"/>
      <c r="U64" s="15"/>
      <c r="V64" s="15"/>
      <c r="W64" s="15"/>
      <c r="X64" s="15"/>
      <c r="Y64" s="15"/>
      <c r="Z64" s="15"/>
      <c r="AA64" s="15"/>
      <c r="AB64" s="15"/>
    </row>
    <row r="65">
      <c r="B65" s="15"/>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row>
    <row r="66">
      <c r="B66" s="15"/>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row>
    <row r="67">
      <c r="B67" s="15"/>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row>
    <row r="68">
      <c r="B68" s="15"/>
      <c r="C68" s="15"/>
      <c r="D68" s="15"/>
      <c r="E68" s="15"/>
      <c r="F68" s="15"/>
      <c r="G68" s="15"/>
      <c r="H68" s="15"/>
      <c r="I68" s="15"/>
      <c r="J68" s="15"/>
      <c r="K68" s="15"/>
      <c r="L68" s="15"/>
      <c r="M68" s="15"/>
      <c r="N68" s="15"/>
      <c r="O68" s="15"/>
      <c r="P68" s="15"/>
      <c r="Q68" s="15"/>
      <c r="R68" s="15"/>
      <c r="S68" s="15"/>
      <c r="T68" s="15"/>
      <c r="U68" s="15"/>
      <c r="V68" s="15"/>
      <c r="W68" s="15"/>
      <c r="X68" s="15"/>
      <c r="Y68" s="15"/>
      <c r="Z68" s="15"/>
      <c r="AA68" s="15"/>
      <c r="AB68" s="15"/>
    </row>
    <row r="69">
      <c r="B69" s="15"/>
      <c r="C69" s="15"/>
      <c r="D69" s="15"/>
      <c r="E69" s="15"/>
      <c r="F69" s="15"/>
      <c r="G69" s="15"/>
      <c r="H69" s="15"/>
      <c r="I69" s="15"/>
      <c r="J69" s="15"/>
      <c r="K69" s="15"/>
      <c r="L69" s="15"/>
      <c r="M69" s="15"/>
      <c r="N69" s="15"/>
      <c r="O69" s="15"/>
      <c r="P69" s="15"/>
      <c r="Q69" s="15"/>
      <c r="R69" s="15"/>
      <c r="S69" s="15"/>
      <c r="T69" s="15"/>
      <c r="U69" s="15"/>
      <c r="V69" s="15"/>
      <c r="W69" s="15"/>
      <c r="X69" s="15"/>
      <c r="Y69" s="15"/>
      <c r="Z69" s="15"/>
      <c r="AA69" s="15"/>
      <c r="AB69" s="15"/>
    </row>
    <row r="70">
      <c r="B70" s="15"/>
      <c r="C70" s="15"/>
      <c r="D70" s="15"/>
      <c r="E70" s="15"/>
      <c r="F70" s="15"/>
      <c r="G70" s="15"/>
      <c r="H70" s="15"/>
      <c r="I70" s="15"/>
      <c r="J70" s="15"/>
      <c r="K70" s="15"/>
      <c r="L70" s="15"/>
      <c r="M70" s="15"/>
      <c r="N70" s="15"/>
      <c r="O70" s="15"/>
      <c r="P70" s="15"/>
      <c r="Q70" s="15"/>
      <c r="R70" s="15"/>
      <c r="S70" s="15"/>
      <c r="T70" s="15"/>
      <c r="U70" s="15"/>
      <c r="V70" s="15"/>
      <c r="W70" s="15"/>
      <c r="X70" s="15"/>
      <c r="Y70" s="15"/>
      <c r="Z70" s="15"/>
      <c r="AA70" s="15"/>
      <c r="AB70" s="15"/>
    </row>
    <row r="71">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row>
    <row r="72">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row>
    <row r="73">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row>
    <row r="74">
      <c r="B74" s="15"/>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row>
    <row r="75">
      <c r="B75" s="15"/>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row>
    <row r="76">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row>
    <row r="77">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row>
    <row r="78">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row>
    <row r="79">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row>
    <row r="80">
      <c r="B80" s="15"/>
      <c r="C80" s="15"/>
      <c r="D80" s="15"/>
      <c r="E80" s="15"/>
      <c r="F80" s="15"/>
      <c r="G80" s="15"/>
      <c r="H80" s="15"/>
      <c r="I80" s="15"/>
      <c r="J80" s="15"/>
      <c r="K80" s="15"/>
      <c r="L80" s="15"/>
      <c r="M80" s="15"/>
      <c r="N80" s="15"/>
      <c r="O80" s="15"/>
      <c r="P80" s="15"/>
      <c r="Q80" s="15"/>
      <c r="R80" s="15"/>
      <c r="S80" s="15"/>
      <c r="T80" s="15"/>
      <c r="U80" s="15"/>
      <c r="V80" s="15"/>
      <c r="W80" s="15"/>
      <c r="X80" s="15"/>
      <c r="Y80" s="15"/>
      <c r="Z80" s="15"/>
      <c r="AA80" s="15"/>
      <c r="AB80" s="15"/>
    </row>
    <row r="81">
      <c r="B81" s="15"/>
      <c r="C81" s="15"/>
      <c r="D81" s="15"/>
      <c r="E81" s="15"/>
      <c r="F81" s="15"/>
      <c r="G81" s="15"/>
      <c r="H81" s="15"/>
      <c r="I81" s="15"/>
      <c r="J81" s="15"/>
      <c r="K81" s="15"/>
      <c r="L81" s="15"/>
      <c r="M81" s="15"/>
      <c r="N81" s="15"/>
      <c r="O81" s="15"/>
      <c r="P81" s="15"/>
      <c r="Q81" s="15"/>
      <c r="R81" s="15"/>
      <c r="S81" s="15"/>
      <c r="T81" s="15"/>
      <c r="U81" s="15"/>
      <c r="V81" s="15"/>
      <c r="W81" s="15"/>
      <c r="X81" s="15"/>
      <c r="Y81" s="15"/>
      <c r="Z81" s="15"/>
      <c r="AA81" s="15"/>
      <c r="AB81" s="15"/>
    </row>
    <row r="82">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row>
    <row r="83">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row>
    <row r="84">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row>
    <row r="8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row>
    <row r="86">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row>
    <row r="87">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row>
    <row r="88">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row>
    <row r="89">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row>
    <row r="90">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row>
    <row r="91">
      <c r="B91" s="15"/>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row>
    <row r="92">
      <c r="B92" s="15"/>
      <c r="C92" s="15"/>
      <c r="D92" s="15"/>
      <c r="E92" s="15"/>
      <c r="F92" s="15"/>
      <c r="G92" s="15"/>
      <c r="H92" s="15"/>
      <c r="I92" s="15"/>
      <c r="J92" s="15"/>
      <c r="K92" s="15"/>
      <c r="L92" s="15"/>
      <c r="M92" s="15"/>
      <c r="N92" s="15"/>
      <c r="O92" s="15"/>
      <c r="P92" s="15"/>
      <c r="Q92" s="15"/>
      <c r="R92" s="15"/>
      <c r="S92" s="15"/>
      <c r="T92" s="15"/>
      <c r="U92" s="15"/>
      <c r="V92" s="15"/>
      <c r="W92" s="15"/>
      <c r="X92" s="15"/>
      <c r="Y92" s="15"/>
      <c r="Z92" s="15"/>
      <c r="AA92" s="15"/>
      <c r="AB92" s="15"/>
    </row>
    <row r="93">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row>
    <row r="94">
      <c r="B94" s="15"/>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row>
    <row r="95">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row>
    <row r="96">
      <c r="B96" s="15"/>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row>
    <row r="97">
      <c r="B97" s="15"/>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row>
    <row r="98">
      <c r="B98" s="15"/>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5"/>
    </row>
    <row r="99">
      <c r="B99" s="15"/>
      <c r="C99" s="15"/>
      <c r="D99" s="15"/>
      <c r="E99" s="15"/>
      <c r="F99" s="15"/>
      <c r="G99" s="15"/>
      <c r="H99" s="15"/>
      <c r="I99" s="15"/>
      <c r="J99" s="15"/>
      <c r="K99" s="15"/>
      <c r="L99" s="15"/>
      <c r="M99" s="15"/>
      <c r="N99" s="15"/>
      <c r="O99" s="15"/>
      <c r="P99" s="15"/>
      <c r="Q99" s="15"/>
      <c r="R99" s="15"/>
      <c r="S99" s="15"/>
      <c r="T99" s="15"/>
      <c r="U99" s="15"/>
      <c r="V99" s="15"/>
      <c r="W99" s="15"/>
      <c r="X99" s="15"/>
      <c r="Y99" s="15"/>
      <c r="Z99" s="15"/>
      <c r="AA99" s="15"/>
      <c r="AB99" s="15"/>
    </row>
    <row r="100">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row>
    <row r="101">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row>
    <row r="102">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c r="AA102" s="15"/>
      <c r="AB102" s="15"/>
    </row>
    <row r="103">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c r="AA103" s="15"/>
      <c r="AB103" s="15"/>
    </row>
    <row r="104">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c r="AA104" s="15"/>
      <c r="AB104" s="15"/>
    </row>
    <row r="10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row>
    <row r="106">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row>
    <row r="107">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c r="AA107" s="15"/>
      <c r="AB107" s="15"/>
    </row>
    <row r="108">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c r="AA108" s="15"/>
      <c r="AB108" s="15"/>
    </row>
    <row r="109">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row>
    <row r="110">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row>
    <row r="111">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c r="AA111" s="15"/>
      <c r="AB111" s="15"/>
    </row>
    <row r="112">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row>
    <row r="113">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row>
    <row r="114">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row>
    <row r="1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row>
    <row r="116">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row>
    <row r="117">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row>
    <row r="118">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row>
    <row r="119">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row>
    <row r="120">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c r="AA120" s="15"/>
      <c r="AB120" s="15"/>
    </row>
    <row r="121">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c r="AA121" s="15"/>
      <c r="AB121" s="15"/>
    </row>
    <row r="122">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c r="AA122" s="15"/>
      <c r="AB122" s="15"/>
    </row>
    <row r="123">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c r="AA123" s="15"/>
      <c r="AB123" s="15"/>
    </row>
    <row r="124">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c r="AA124" s="15"/>
      <c r="AB124" s="15"/>
    </row>
    <row r="12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c r="AA125" s="15"/>
      <c r="AB125" s="15"/>
    </row>
    <row r="126">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row>
    <row r="127">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row>
    <row r="128">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row>
    <row r="129">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row>
    <row r="130">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row>
    <row r="131">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c r="AA131" s="15"/>
      <c r="AB131" s="15"/>
    </row>
    <row r="132">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row>
    <row r="133">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c r="AA133" s="15"/>
      <c r="AB133" s="15"/>
    </row>
    <row r="134">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c r="AA134" s="15"/>
      <c r="AB134" s="15"/>
    </row>
    <row r="13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c r="AA135" s="15"/>
      <c r="AB135" s="15"/>
    </row>
    <row r="136">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c r="AA136" s="15"/>
      <c r="AB136" s="15"/>
    </row>
    <row r="137">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5"/>
    </row>
    <row r="138">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row>
    <row r="139">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c r="AA139" s="15"/>
      <c r="AB139" s="15"/>
    </row>
    <row r="140">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c r="AA140" s="15"/>
      <c r="AB140" s="15"/>
    </row>
    <row r="141">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c r="AA141" s="15"/>
      <c r="AB141" s="15"/>
    </row>
    <row r="142">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row>
    <row r="143">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c r="AA143" s="15"/>
      <c r="AB143" s="15"/>
    </row>
    <row r="144">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c r="AA144" s="15"/>
      <c r="AB144" s="15"/>
    </row>
    <row r="14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c r="AA145" s="15"/>
      <c r="AB145" s="15"/>
    </row>
    <row r="146">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row>
    <row r="147">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c r="AA147" s="15"/>
      <c r="AB147" s="15"/>
    </row>
    <row r="148">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c r="AA148" s="15"/>
      <c r="AB148" s="15"/>
    </row>
    <row r="149">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row>
    <row r="150">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c r="AA150" s="15"/>
      <c r="AB150" s="15"/>
    </row>
    <row r="151">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c r="AA151" s="15"/>
      <c r="AB151" s="15"/>
    </row>
    <row r="152">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c r="AA152" s="15"/>
      <c r="AB152" s="15"/>
    </row>
    <row r="153">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c r="AA153" s="15"/>
      <c r="AB153" s="15"/>
    </row>
    <row r="154">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row>
    <row r="15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row>
    <row r="156">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c r="AA156" s="15"/>
      <c r="AB156" s="15"/>
    </row>
    <row r="157">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c r="AA157" s="15"/>
      <c r="AB157" s="15"/>
    </row>
    <row r="158">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row>
    <row r="159">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c r="AA159" s="15"/>
      <c r="AB159" s="15"/>
    </row>
    <row r="160">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c r="AA160" s="15"/>
      <c r="AB160" s="15"/>
    </row>
    <row r="161">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c r="AA161" s="15"/>
      <c r="AB161" s="15"/>
    </row>
    <row r="162">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c r="AA162" s="15"/>
      <c r="AB162" s="15"/>
    </row>
    <row r="163">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c r="AA163" s="15"/>
      <c r="AB163" s="15"/>
    </row>
    <row r="164">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c r="AA164" s="15"/>
      <c r="AB164" s="15"/>
    </row>
    <row r="16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c r="AA165" s="15"/>
      <c r="AB165" s="15"/>
    </row>
    <row r="166">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c r="AA166" s="15"/>
      <c r="AB166" s="15"/>
    </row>
    <row r="167">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c r="AA167" s="15"/>
      <c r="AB167" s="15"/>
    </row>
    <row r="168">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c r="AA168" s="15"/>
      <c r="AB168" s="15"/>
    </row>
    <row r="169">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row>
    <row r="170">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c r="AA170" s="15"/>
      <c r="AB170" s="15"/>
    </row>
    <row r="171">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c r="AA171" s="15"/>
      <c r="AB171" s="15"/>
    </row>
    <row r="172">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c r="AA172" s="15"/>
      <c r="AB172" s="15"/>
    </row>
    <row r="173">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c r="AA173" s="15"/>
      <c r="AB173" s="15"/>
    </row>
    <row r="174">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c r="AA174" s="15"/>
      <c r="AB174" s="15"/>
    </row>
    <row r="17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c r="AA175" s="15"/>
      <c r="AB175" s="15"/>
    </row>
    <row r="176">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c r="AA176" s="15"/>
      <c r="AB176" s="15"/>
    </row>
    <row r="177">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c r="AA177" s="15"/>
      <c r="AB177" s="15"/>
    </row>
    <row r="178">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row>
    <row r="179">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c r="AA179" s="15"/>
      <c r="AB179" s="15"/>
    </row>
    <row r="180">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c r="AA180" s="15"/>
      <c r="AB180" s="15"/>
    </row>
    <row r="181">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c r="AA181" s="15"/>
      <c r="AB181" s="15"/>
    </row>
    <row r="182">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c r="AA182" s="15"/>
      <c r="AB182" s="15"/>
    </row>
    <row r="183">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c r="AA183" s="15"/>
      <c r="AB183" s="15"/>
    </row>
    <row r="184">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row>
    <row r="18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row>
    <row r="186">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c r="AA186" s="15"/>
      <c r="AB186" s="15"/>
    </row>
    <row r="187">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c r="AA187" s="15"/>
      <c r="AB187" s="15"/>
    </row>
    <row r="188">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c r="AA188" s="15"/>
      <c r="AB188" s="15"/>
    </row>
    <row r="189">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row>
    <row r="190">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row>
    <row r="191">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row>
    <row r="192">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c r="AA192" s="15"/>
      <c r="AB192" s="15"/>
    </row>
    <row r="193">
      <c r="B193" s="15"/>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c r="AA193" s="15"/>
      <c r="AB193" s="15"/>
    </row>
    <row r="194">
      <c r="B194" s="15"/>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c r="AA194" s="15"/>
      <c r="AB194" s="15"/>
    </row>
    <row r="195">
      <c r="B195" s="15"/>
      <c r="C195" s="15"/>
      <c r="D195" s="15"/>
      <c r="E195" s="15"/>
      <c r="F195" s="15"/>
      <c r="G195" s="15"/>
      <c r="H195" s="15"/>
      <c r="I195" s="15"/>
      <c r="J195" s="15"/>
      <c r="K195" s="15"/>
      <c r="L195" s="15"/>
      <c r="M195" s="15"/>
      <c r="N195" s="15"/>
      <c r="O195" s="15"/>
      <c r="P195" s="15"/>
      <c r="Q195" s="15"/>
      <c r="R195" s="15"/>
      <c r="S195" s="15"/>
      <c r="T195" s="15"/>
      <c r="U195" s="15"/>
      <c r="V195" s="15"/>
      <c r="W195" s="15"/>
      <c r="X195" s="15"/>
      <c r="Y195" s="15"/>
      <c r="Z195" s="15"/>
      <c r="AA195" s="15"/>
      <c r="AB195" s="15"/>
    </row>
    <row r="196">
      <c r="B196" s="15"/>
      <c r="C196" s="15"/>
      <c r="D196" s="15"/>
      <c r="E196" s="15"/>
      <c r="F196" s="15"/>
      <c r="G196" s="15"/>
      <c r="H196" s="15"/>
      <c r="I196" s="15"/>
      <c r="J196" s="15"/>
      <c r="K196" s="15"/>
      <c r="L196" s="15"/>
      <c r="M196" s="15"/>
      <c r="N196" s="15"/>
      <c r="O196" s="15"/>
      <c r="P196" s="15"/>
      <c r="Q196" s="15"/>
      <c r="R196" s="15"/>
      <c r="S196" s="15"/>
      <c r="T196" s="15"/>
      <c r="U196" s="15"/>
      <c r="V196" s="15"/>
      <c r="W196" s="15"/>
      <c r="X196" s="15"/>
      <c r="Y196" s="15"/>
      <c r="Z196" s="15"/>
      <c r="AA196" s="15"/>
      <c r="AB196" s="15"/>
    </row>
    <row r="197">
      <c r="B197" s="15"/>
      <c r="C197" s="15"/>
      <c r="D197" s="15"/>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row>
    <row r="198">
      <c r="B198" s="15"/>
      <c r="C198" s="15"/>
      <c r="D198" s="15"/>
      <c r="E198" s="15"/>
      <c r="F198" s="15"/>
      <c r="G198" s="15"/>
      <c r="H198" s="15"/>
      <c r="I198" s="15"/>
      <c r="J198" s="15"/>
      <c r="K198" s="15"/>
      <c r="L198" s="15"/>
      <c r="M198" s="15"/>
      <c r="N198" s="15"/>
      <c r="O198" s="15"/>
      <c r="P198" s="15"/>
      <c r="Q198" s="15"/>
      <c r="R198" s="15"/>
      <c r="S198" s="15"/>
      <c r="T198" s="15"/>
      <c r="U198" s="15"/>
      <c r="V198" s="15"/>
      <c r="W198" s="15"/>
      <c r="X198" s="15"/>
      <c r="Y198" s="15"/>
      <c r="Z198" s="15"/>
      <c r="AA198" s="15"/>
      <c r="AB198" s="15"/>
    </row>
    <row r="199">
      <c r="B199" s="15"/>
      <c r="C199" s="15"/>
      <c r="D199" s="15"/>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row>
    <row r="200">
      <c r="B200" s="15"/>
      <c r="C200" s="15"/>
      <c r="D200" s="15"/>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row>
    <row r="201">
      <c r="B201" s="15"/>
      <c r="C201" s="15"/>
      <c r="D201" s="15"/>
      <c r="E201" s="15"/>
      <c r="F201" s="15"/>
      <c r="G201" s="15"/>
      <c r="H201" s="15"/>
      <c r="I201" s="15"/>
      <c r="J201" s="15"/>
      <c r="K201" s="15"/>
      <c r="L201" s="15"/>
      <c r="M201" s="15"/>
      <c r="N201" s="15"/>
      <c r="O201" s="15"/>
      <c r="P201" s="15"/>
      <c r="Q201" s="15"/>
      <c r="R201" s="15"/>
      <c r="S201" s="15"/>
      <c r="T201" s="15"/>
      <c r="U201" s="15"/>
      <c r="V201" s="15"/>
      <c r="W201" s="15"/>
      <c r="X201" s="15"/>
      <c r="Y201" s="15"/>
      <c r="Z201" s="15"/>
      <c r="AA201" s="15"/>
      <c r="AB201" s="15"/>
    </row>
    <row r="202">
      <c r="B202" s="15"/>
      <c r="C202" s="15"/>
      <c r="D202" s="15"/>
      <c r="E202" s="15"/>
      <c r="F202" s="15"/>
      <c r="G202" s="15"/>
      <c r="H202" s="15"/>
      <c r="I202" s="15"/>
      <c r="J202" s="15"/>
      <c r="K202" s="15"/>
      <c r="L202" s="15"/>
      <c r="M202" s="15"/>
      <c r="N202" s="15"/>
      <c r="O202" s="15"/>
      <c r="P202" s="15"/>
      <c r="Q202" s="15"/>
      <c r="R202" s="15"/>
      <c r="S202" s="15"/>
      <c r="T202" s="15"/>
      <c r="U202" s="15"/>
      <c r="V202" s="15"/>
      <c r="W202" s="15"/>
      <c r="X202" s="15"/>
      <c r="Y202" s="15"/>
      <c r="Z202" s="15"/>
      <c r="AA202" s="15"/>
      <c r="AB202" s="15"/>
    </row>
    <row r="203">
      <c r="B203" s="15"/>
      <c r="C203" s="15"/>
      <c r="D203" s="15"/>
      <c r="E203" s="15"/>
      <c r="F203" s="15"/>
      <c r="G203" s="15"/>
      <c r="H203" s="15"/>
      <c r="I203" s="15"/>
      <c r="J203" s="15"/>
      <c r="K203" s="15"/>
      <c r="L203" s="15"/>
      <c r="M203" s="15"/>
      <c r="N203" s="15"/>
      <c r="O203" s="15"/>
      <c r="P203" s="15"/>
      <c r="Q203" s="15"/>
      <c r="R203" s="15"/>
      <c r="S203" s="15"/>
      <c r="T203" s="15"/>
      <c r="U203" s="15"/>
      <c r="V203" s="15"/>
      <c r="W203" s="15"/>
      <c r="X203" s="15"/>
      <c r="Y203" s="15"/>
      <c r="Z203" s="15"/>
      <c r="AA203" s="15"/>
      <c r="AB203" s="15"/>
    </row>
    <row r="204">
      <c r="B204" s="15"/>
      <c r="C204" s="15"/>
      <c r="D204" s="15"/>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row>
    <row r="205">
      <c r="B205" s="15"/>
      <c r="C205" s="15"/>
      <c r="D205" s="15"/>
      <c r="E205" s="15"/>
      <c r="F205" s="15"/>
      <c r="G205" s="15"/>
      <c r="H205" s="15"/>
      <c r="I205" s="15"/>
      <c r="J205" s="15"/>
      <c r="K205" s="15"/>
      <c r="L205" s="15"/>
      <c r="M205" s="15"/>
      <c r="N205" s="15"/>
      <c r="O205" s="15"/>
      <c r="P205" s="15"/>
      <c r="Q205" s="15"/>
      <c r="R205" s="15"/>
      <c r="S205" s="15"/>
      <c r="T205" s="15"/>
      <c r="U205" s="15"/>
      <c r="V205" s="15"/>
      <c r="W205" s="15"/>
      <c r="X205" s="15"/>
      <c r="Y205" s="15"/>
      <c r="Z205" s="15"/>
      <c r="AA205" s="15"/>
      <c r="AB205" s="15"/>
    </row>
    <row r="206">
      <c r="B206" s="15"/>
      <c r="C206" s="15"/>
      <c r="D206" s="15"/>
      <c r="E206" s="15"/>
      <c r="F206" s="15"/>
      <c r="G206" s="15"/>
      <c r="H206" s="15"/>
      <c r="I206" s="15"/>
      <c r="J206" s="15"/>
      <c r="K206" s="15"/>
      <c r="L206" s="15"/>
      <c r="M206" s="15"/>
      <c r="N206" s="15"/>
      <c r="O206" s="15"/>
      <c r="P206" s="15"/>
      <c r="Q206" s="15"/>
      <c r="R206" s="15"/>
      <c r="S206" s="15"/>
      <c r="T206" s="15"/>
      <c r="U206" s="15"/>
      <c r="V206" s="15"/>
      <c r="W206" s="15"/>
      <c r="X206" s="15"/>
      <c r="Y206" s="15"/>
      <c r="Z206" s="15"/>
      <c r="AA206" s="15"/>
      <c r="AB206" s="15"/>
    </row>
    <row r="207">
      <c r="B207" s="15"/>
      <c r="C207" s="15"/>
      <c r="D207" s="15"/>
      <c r="E207" s="15"/>
      <c r="F207" s="15"/>
      <c r="G207" s="15"/>
      <c r="H207" s="15"/>
      <c r="I207" s="15"/>
      <c r="J207" s="15"/>
      <c r="K207" s="15"/>
      <c r="L207" s="15"/>
      <c r="M207" s="15"/>
      <c r="N207" s="15"/>
      <c r="O207" s="15"/>
      <c r="P207" s="15"/>
      <c r="Q207" s="15"/>
      <c r="R207" s="15"/>
      <c r="S207" s="15"/>
      <c r="T207" s="15"/>
      <c r="U207" s="15"/>
      <c r="V207" s="15"/>
      <c r="W207" s="15"/>
      <c r="X207" s="15"/>
      <c r="Y207" s="15"/>
      <c r="Z207" s="15"/>
      <c r="AA207" s="15"/>
      <c r="AB207" s="15"/>
    </row>
    <row r="208">
      <c r="B208" s="15"/>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c r="AA208" s="15"/>
      <c r="AB208" s="15"/>
    </row>
    <row r="209">
      <c r="B209" s="15"/>
      <c r="C209" s="15"/>
      <c r="D209" s="15"/>
      <c r="E209" s="15"/>
      <c r="F209" s="15"/>
      <c r="G209" s="15"/>
      <c r="H209" s="15"/>
      <c r="I209" s="15"/>
      <c r="J209" s="15"/>
      <c r="K209" s="15"/>
      <c r="L209" s="15"/>
      <c r="M209" s="15"/>
      <c r="N209" s="15"/>
      <c r="O209" s="15"/>
      <c r="P209" s="15"/>
      <c r="Q209" s="15"/>
      <c r="R209" s="15"/>
      <c r="S209" s="15"/>
      <c r="T209" s="15"/>
      <c r="U209" s="15"/>
      <c r="V209" s="15"/>
      <c r="W209" s="15"/>
      <c r="X209" s="15"/>
      <c r="Y209" s="15"/>
      <c r="Z209" s="15"/>
      <c r="AA209" s="15"/>
      <c r="AB209" s="15"/>
    </row>
    <row r="210">
      <c r="B210" s="15"/>
      <c r="C210" s="15"/>
      <c r="D210" s="15"/>
      <c r="E210" s="15"/>
      <c r="F210" s="15"/>
      <c r="G210" s="15"/>
      <c r="H210" s="15"/>
      <c r="I210" s="15"/>
      <c r="J210" s="15"/>
      <c r="K210" s="15"/>
      <c r="L210" s="15"/>
      <c r="M210" s="15"/>
      <c r="N210" s="15"/>
      <c r="O210" s="15"/>
      <c r="P210" s="15"/>
      <c r="Q210" s="15"/>
      <c r="R210" s="15"/>
      <c r="S210" s="15"/>
      <c r="T210" s="15"/>
      <c r="U210" s="15"/>
      <c r="V210" s="15"/>
      <c r="W210" s="15"/>
      <c r="X210" s="15"/>
      <c r="Y210" s="15"/>
      <c r="Z210" s="15"/>
      <c r="AA210" s="15"/>
      <c r="AB210" s="15"/>
    </row>
    <row r="211">
      <c r="B211" s="15"/>
      <c r="C211" s="15"/>
      <c r="D211" s="15"/>
      <c r="E211" s="15"/>
      <c r="F211" s="15"/>
      <c r="G211" s="15"/>
      <c r="H211" s="15"/>
      <c r="I211" s="15"/>
      <c r="J211" s="15"/>
      <c r="K211" s="15"/>
      <c r="L211" s="15"/>
      <c r="M211" s="15"/>
      <c r="N211" s="15"/>
      <c r="O211" s="15"/>
      <c r="P211" s="15"/>
      <c r="Q211" s="15"/>
      <c r="R211" s="15"/>
      <c r="S211" s="15"/>
      <c r="T211" s="15"/>
      <c r="U211" s="15"/>
      <c r="V211" s="15"/>
      <c r="W211" s="15"/>
      <c r="X211" s="15"/>
      <c r="Y211" s="15"/>
      <c r="Z211" s="15"/>
      <c r="AA211" s="15"/>
      <c r="AB211" s="15"/>
    </row>
    <row r="212">
      <c r="B212" s="15"/>
      <c r="C212" s="15"/>
      <c r="D212" s="15"/>
      <c r="E212" s="15"/>
      <c r="F212" s="15"/>
      <c r="G212" s="15"/>
      <c r="H212" s="15"/>
      <c r="I212" s="15"/>
      <c r="J212" s="15"/>
      <c r="K212" s="15"/>
      <c r="L212" s="15"/>
      <c r="M212" s="15"/>
      <c r="N212" s="15"/>
      <c r="O212" s="15"/>
      <c r="P212" s="15"/>
      <c r="Q212" s="15"/>
      <c r="R212" s="15"/>
      <c r="S212" s="15"/>
      <c r="T212" s="15"/>
      <c r="U212" s="15"/>
      <c r="V212" s="15"/>
      <c r="W212" s="15"/>
      <c r="X212" s="15"/>
      <c r="Y212" s="15"/>
      <c r="Z212" s="15"/>
      <c r="AA212" s="15"/>
      <c r="AB212" s="15"/>
    </row>
    <row r="213">
      <c r="B213" s="15"/>
      <c r="C213" s="15"/>
      <c r="D213" s="15"/>
      <c r="E213" s="15"/>
      <c r="F213" s="15"/>
      <c r="G213" s="15"/>
      <c r="H213" s="15"/>
      <c r="I213" s="15"/>
      <c r="J213" s="15"/>
      <c r="K213" s="15"/>
      <c r="L213" s="15"/>
      <c r="M213" s="15"/>
      <c r="N213" s="15"/>
      <c r="O213" s="15"/>
      <c r="P213" s="15"/>
      <c r="Q213" s="15"/>
      <c r="R213" s="15"/>
      <c r="S213" s="15"/>
      <c r="T213" s="15"/>
      <c r="U213" s="15"/>
      <c r="V213" s="15"/>
      <c r="W213" s="15"/>
      <c r="X213" s="15"/>
      <c r="Y213" s="15"/>
      <c r="Z213" s="15"/>
      <c r="AA213" s="15"/>
      <c r="AB213" s="15"/>
    </row>
    <row r="214">
      <c r="B214" s="15"/>
      <c r="C214" s="15"/>
      <c r="D214" s="15"/>
      <c r="E214" s="15"/>
      <c r="F214" s="15"/>
      <c r="G214" s="15"/>
      <c r="H214" s="15"/>
      <c r="I214" s="15"/>
      <c r="J214" s="15"/>
      <c r="K214" s="15"/>
      <c r="L214" s="15"/>
      <c r="M214" s="15"/>
      <c r="N214" s="15"/>
      <c r="O214" s="15"/>
      <c r="P214" s="15"/>
      <c r="Q214" s="15"/>
      <c r="R214" s="15"/>
      <c r="S214" s="15"/>
      <c r="T214" s="15"/>
      <c r="U214" s="15"/>
      <c r="V214" s="15"/>
      <c r="W214" s="15"/>
      <c r="X214" s="15"/>
      <c r="Y214" s="15"/>
      <c r="Z214" s="15"/>
      <c r="AA214" s="15"/>
      <c r="AB214" s="15"/>
    </row>
    <row r="215">
      <c r="B215" s="15"/>
      <c r="C215" s="15"/>
      <c r="D215" s="15"/>
      <c r="E215" s="15"/>
      <c r="F215" s="15"/>
      <c r="G215" s="15"/>
      <c r="H215" s="15"/>
      <c r="I215" s="15"/>
      <c r="J215" s="15"/>
      <c r="K215" s="15"/>
      <c r="L215" s="15"/>
      <c r="M215" s="15"/>
      <c r="N215" s="15"/>
      <c r="O215" s="15"/>
      <c r="P215" s="15"/>
      <c r="Q215" s="15"/>
      <c r="R215" s="15"/>
      <c r="S215" s="15"/>
      <c r="T215" s="15"/>
      <c r="U215" s="15"/>
      <c r="V215" s="15"/>
      <c r="W215" s="15"/>
      <c r="X215" s="15"/>
      <c r="Y215" s="15"/>
      <c r="Z215" s="15"/>
      <c r="AA215" s="15"/>
      <c r="AB215" s="15"/>
    </row>
    <row r="216">
      <c r="B216" s="15"/>
      <c r="C216" s="15"/>
      <c r="D216" s="15"/>
      <c r="E216" s="15"/>
      <c r="F216" s="15"/>
      <c r="G216" s="15"/>
      <c r="H216" s="15"/>
      <c r="I216" s="15"/>
      <c r="J216" s="15"/>
      <c r="K216" s="15"/>
      <c r="L216" s="15"/>
      <c r="M216" s="15"/>
      <c r="N216" s="15"/>
      <c r="O216" s="15"/>
      <c r="P216" s="15"/>
      <c r="Q216" s="15"/>
      <c r="R216" s="15"/>
      <c r="S216" s="15"/>
      <c r="T216" s="15"/>
      <c r="U216" s="15"/>
      <c r="V216" s="15"/>
      <c r="W216" s="15"/>
      <c r="X216" s="15"/>
      <c r="Y216" s="15"/>
      <c r="Z216" s="15"/>
      <c r="AA216" s="15"/>
      <c r="AB216" s="15"/>
    </row>
    <row r="217">
      <c r="B217" s="15"/>
      <c r="C217" s="15"/>
      <c r="D217" s="15"/>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row>
    <row r="218">
      <c r="B218" s="15"/>
      <c r="C218" s="15"/>
      <c r="D218" s="15"/>
      <c r="E218" s="15"/>
      <c r="F218" s="15"/>
      <c r="G218" s="15"/>
      <c r="H218" s="15"/>
      <c r="I218" s="15"/>
      <c r="J218" s="15"/>
      <c r="K218" s="15"/>
      <c r="L218" s="15"/>
      <c r="M218" s="15"/>
      <c r="N218" s="15"/>
      <c r="O218" s="15"/>
      <c r="P218" s="15"/>
      <c r="Q218" s="15"/>
      <c r="R218" s="15"/>
      <c r="S218" s="15"/>
      <c r="T218" s="15"/>
      <c r="U218" s="15"/>
      <c r="V218" s="15"/>
      <c r="W218" s="15"/>
      <c r="X218" s="15"/>
      <c r="Y218" s="15"/>
      <c r="Z218" s="15"/>
      <c r="AA218" s="15"/>
      <c r="AB218" s="15"/>
    </row>
    <row r="219">
      <c r="B219" s="15"/>
      <c r="C219" s="15"/>
      <c r="D219" s="15"/>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row>
    <row r="220">
      <c r="B220" s="15"/>
      <c r="C220" s="15"/>
      <c r="D220" s="15"/>
      <c r="E220" s="15"/>
      <c r="F220" s="15"/>
      <c r="G220" s="15"/>
      <c r="H220" s="15"/>
      <c r="I220" s="15"/>
      <c r="J220" s="15"/>
      <c r="K220" s="15"/>
      <c r="L220" s="15"/>
      <c r="M220" s="15"/>
      <c r="N220" s="15"/>
      <c r="O220" s="15"/>
      <c r="P220" s="15"/>
      <c r="Q220" s="15"/>
      <c r="R220" s="15"/>
      <c r="S220" s="15"/>
      <c r="T220" s="15"/>
      <c r="U220" s="15"/>
      <c r="V220" s="15"/>
      <c r="W220" s="15"/>
      <c r="X220" s="15"/>
      <c r="Y220" s="15"/>
      <c r="Z220" s="15"/>
      <c r="AA220" s="15"/>
      <c r="AB220" s="15"/>
    </row>
    <row r="221">
      <c r="B221" s="15"/>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c r="AA221" s="15"/>
      <c r="AB221" s="15"/>
    </row>
    <row r="222">
      <c r="B222" s="15"/>
      <c r="C222" s="15"/>
      <c r="D222" s="15"/>
      <c r="E222" s="15"/>
      <c r="F222" s="15"/>
      <c r="G222" s="15"/>
      <c r="H222" s="15"/>
      <c r="I222" s="15"/>
      <c r="J222" s="15"/>
      <c r="K222" s="15"/>
      <c r="L222" s="15"/>
      <c r="M222" s="15"/>
      <c r="N222" s="15"/>
      <c r="O222" s="15"/>
      <c r="P222" s="15"/>
      <c r="Q222" s="15"/>
      <c r="R222" s="15"/>
      <c r="S222" s="15"/>
      <c r="T222" s="15"/>
      <c r="U222" s="15"/>
      <c r="V222" s="15"/>
      <c r="W222" s="15"/>
      <c r="X222" s="15"/>
      <c r="Y222" s="15"/>
      <c r="Z222" s="15"/>
      <c r="AA222" s="15"/>
      <c r="AB222" s="15"/>
    </row>
    <row r="223">
      <c r="B223" s="15"/>
      <c r="C223" s="15"/>
      <c r="D223" s="15"/>
      <c r="E223" s="15"/>
      <c r="F223" s="15"/>
      <c r="G223" s="15"/>
      <c r="H223" s="15"/>
      <c r="I223" s="15"/>
      <c r="J223" s="15"/>
      <c r="K223" s="15"/>
      <c r="L223" s="15"/>
      <c r="M223" s="15"/>
      <c r="N223" s="15"/>
      <c r="O223" s="15"/>
      <c r="P223" s="15"/>
      <c r="Q223" s="15"/>
      <c r="R223" s="15"/>
      <c r="S223" s="15"/>
      <c r="T223" s="15"/>
      <c r="U223" s="15"/>
      <c r="V223" s="15"/>
      <c r="W223" s="15"/>
      <c r="X223" s="15"/>
      <c r="Y223" s="15"/>
      <c r="Z223" s="15"/>
      <c r="AA223" s="15"/>
      <c r="AB223" s="15"/>
    </row>
    <row r="224">
      <c r="B224" s="15"/>
      <c r="C224" s="15"/>
      <c r="D224" s="15"/>
      <c r="E224" s="15"/>
      <c r="F224" s="15"/>
      <c r="G224" s="15"/>
      <c r="H224" s="15"/>
      <c r="I224" s="15"/>
      <c r="J224" s="15"/>
      <c r="K224" s="15"/>
      <c r="L224" s="15"/>
      <c r="M224" s="15"/>
      <c r="N224" s="15"/>
      <c r="O224" s="15"/>
      <c r="P224" s="15"/>
      <c r="Q224" s="15"/>
      <c r="R224" s="15"/>
      <c r="S224" s="15"/>
      <c r="T224" s="15"/>
      <c r="U224" s="15"/>
      <c r="V224" s="15"/>
      <c r="W224" s="15"/>
      <c r="X224" s="15"/>
      <c r="Y224" s="15"/>
      <c r="Z224" s="15"/>
      <c r="AA224" s="15"/>
      <c r="AB224" s="15"/>
    </row>
    <row r="225">
      <c r="B225" s="15"/>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c r="AA225" s="15"/>
      <c r="AB225" s="15"/>
    </row>
    <row r="226">
      <c r="B226" s="15"/>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15"/>
      <c r="AB226" s="15"/>
    </row>
    <row r="227">
      <c r="B227" s="15"/>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c r="AA227" s="15"/>
      <c r="AB227" s="15"/>
    </row>
    <row r="228">
      <c r="B228" s="15"/>
      <c r="C228" s="15"/>
      <c r="D228" s="15"/>
      <c r="E228" s="15"/>
      <c r="F228" s="15"/>
      <c r="G228" s="15"/>
      <c r="H228" s="15"/>
      <c r="I228" s="15"/>
      <c r="J228" s="15"/>
      <c r="K228" s="15"/>
      <c r="L228" s="15"/>
      <c r="M228" s="15"/>
      <c r="N228" s="15"/>
      <c r="O228" s="15"/>
      <c r="P228" s="15"/>
      <c r="Q228" s="15"/>
      <c r="R228" s="15"/>
      <c r="S228" s="15"/>
      <c r="T228" s="15"/>
      <c r="U228" s="15"/>
      <c r="V228" s="15"/>
      <c r="W228" s="15"/>
      <c r="X228" s="15"/>
      <c r="Y228" s="15"/>
      <c r="Z228" s="15"/>
      <c r="AA228" s="15"/>
      <c r="AB228" s="15"/>
    </row>
    <row r="229">
      <c r="B229" s="15"/>
      <c r="C229" s="15"/>
      <c r="D229" s="15"/>
      <c r="E229" s="15"/>
      <c r="F229" s="15"/>
      <c r="G229" s="15"/>
      <c r="H229" s="15"/>
      <c r="I229" s="15"/>
      <c r="J229" s="15"/>
      <c r="K229" s="15"/>
      <c r="L229" s="15"/>
      <c r="M229" s="15"/>
      <c r="N229" s="15"/>
      <c r="O229" s="15"/>
      <c r="P229" s="15"/>
      <c r="Q229" s="15"/>
      <c r="R229" s="15"/>
      <c r="S229" s="15"/>
      <c r="T229" s="15"/>
      <c r="U229" s="15"/>
      <c r="V229" s="15"/>
      <c r="W229" s="15"/>
      <c r="X229" s="15"/>
      <c r="Y229" s="15"/>
      <c r="Z229" s="15"/>
      <c r="AA229" s="15"/>
      <c r="AB229" s="15"/>
    </row>
    <row r="230">
      <c r="B230" s="15"/>
      <c r="C230" s="15"/>
      <c r="D230" s="15"/>
      <c r="E230" s="15"/>
      <c r="F230" s="15"/>
      <c r="G230" s="15"/>
      <c r="H230" s="15"/>
      <c r="I230" s="15"/>
      <c r="J230" s="15"/>
      <c r="K230" s="15"/>
      <c r="L230" s="15"/>
      <c r="M230" s="15"/>
      <c r="N230" s="15"/>
      <c r="O230" s="15"/>
      <c r="P230" s="15"/>
      <c r="Q230" s="15"/>
      <c r="R230" s="15"/>
      <c r="S230" s="15"/>
      <c r="T230" s="15"/>
      <c r="U230" s="15"/>
      <c r="V230" s="15"/>
      <c r="W230" s="15"/>
      <c r="X230" s="15"/>
      <c r="Y230" s="15"/>
      <c r="Z230" s="15"/>
      <c r="AA230" s="15"/>
      <c r="AB230" s="15"/>
    </row>
    <row r="231">
      <c r="B231" s="15"/>
      <c r="C231" s="15"/>
      <c r="D231" s="15"/>
      <c r="E231" s="15"/>
      <c r="F231" s="15"/>
      <c r="G231" s="15"/>
      <c r="H231" s="15"/>
      <c r="I231" s="15"/>
      <c r="J231" s="15"/>
      <c r="K231" s="15"/>
      <c r="L231" s="15"/>
      <c r="M231" s="15"/>
      <c r="N231" s="15"/>
      <c r="O231" s="15"/>
      <c r="P231" s="15"/>
      <c r="Q231" s="15"/>
      <c r="R231" s="15"/>
      <c r="S231" s="15"/>
      <c r="T231" s="15"/>
      <c r="U231" s="15"/>
      <c r="V231" s="15"/>
      <c r="W231" s="15"/>
      <c r="X231" s="15"/>
      <c r="Y231" s="15"/>
      <c r="Z231" s="15"/>
      <c r="AA231" s="15"/>
      <c r="AB231" s="15"/>
    </row>
    <row r="232">
      <c r="B232" s="15"/>
      <c r="C232" s="15"/>
      <c r="D232" s="15"/>
      <c r="E232" s="15"/>
      <c r="F232" s="15"/>
      <c r="G232" s="15"/>
      <c r="H232" s="15"/>
      <c r="I232" s="15"/>
      <c r="J232" s="15"/>
      <c r="K232" s="15"/>
      <c r="L232" s="15"/>
      <c r="M232" s="15"/>
      <c r="N232" s="15"/>
      <c r="O232" s="15"/>
      <c r="P232" s="15"/>
      <c r="Q232" s="15"/>
      <c r="R232" s="15"/>
      <c r="S232" s="15"/>
      <c r="T232" s="15"/>
      <c r="U232" s="15"/>
      <c r="V232" s="15"/>
      <c r="W232" s="15"/>
      <c r="X232" s="15"/>
      <c r="Y232" s="15"/>
      <c r="Z232" s="15"/>
      <c r="AA232" s="15"/>
      <c r="AB232" s="15"/>
    </row>
    <row r="233">
      <c r="B233" s="15"/>
      <c r="C233" s="15"/>
      <c r="D233" s="15"/>
      <c r="E233" s="15"/>
      <c r="F233" s="15"/>
      <c r="G233" s="15"/>
      <c r="H233" s="15"/>
      <c r="I233" s="15"/>
      <c r="J233" s="15"/>
      <c r="K233" s="15"/>
      <c r="L233" s="15"/>
      <c r="M233" s="15"/>
      <c r="N233" s="15"/>
      <c r="O233" s="15"/>
      <c r="P233" s="15"/>
      <c r="Q233" s="15"/>
      <c r="R233" s="15"/>
      <c r="S233" s="15"/>
      <c r="T233" s="15"/>
      <c r="U233" s="15"/>
      <c r="V233" s="15"/>
      <c r="W233" s="15"/>
      <c r="X233" s="15"/>
      <c r="Y233" s="15"/>
      <c r="Z233" s="15"/>
      <c r="AA233" s="15"/>
      <c r="AB233" s="15"/>
    </row>
    <row r="234">
      <c r="B234" s="15"/>
      <c r="C234" s="15"/>
      <c r="D234" s="15"/>
      <c r="E234" s="15"/>
      <c r="F234" s="15"/>
      <c r="G234" s="15"/>
      <c r="H234" s="15"/>
      <c r="I234" s="15"/>
      <c r="J234" s="15"/>
      <c r="K234" s="15"/>
      <c r="L234" s="15"/>
      <c r="M234" s="15"/>
      <c r="N234" s="15"/>
      <c r="O234" s="15"/>
      <c r="P234" s="15"/>
      <c r="Q234" s="15"/>
      <c r="R234" s="15"/>
      <c r="S234" s="15"/>
      <c r="T234" s="15"/>
      <c r="U234" s="15"/>
      <c r="V234" s="15"/>
      <c r="W234" s="15"/>
      <c r="X234" s="15"/>
      <c r="Y234" s="15"/>
      <c r="Z234" s="15"/>
      <c r="AA234" s="15"/>
      <c r="AB234" s="15"/>
    </row>
    <row r="235">
      <c r="B235" s="15"/>
      <c r="C235" s="15"/>
      <c r="D235" s="15"/>
      <c r="E235" s="15"/>
      <c r="F235" s="15"/>
      <c r="G235" s="15"/>
      <c r="H235" s="15"/>
      <c r="I235" s="15"/>
      <c r="J235" s="15"/>
      <c r="K235" s="15"/>
      <c r="L235" s="15"/>
      <c r="M235" s="15"/>
      <c r="N235" s="15"/>
      <c r="O235" s="15"/>
      <c r="P235" s="15"/>
      <c r="Q235" s="15"/>
      <c r="R235" s="15"/>
      <c r="S235" s="15"/>
      <c r="T235" s="15"/>
      <c r="U235" s="15"/>
      <c r="V235" s="15"/>
      <c r="W235" s="15"/>
      <c r="X235" s="15"/>
      <c r="Y235" s="15"/>
      <c r="Z235" s="15"/>
      <c r="AA235" s="15"/>
      <c r="AB235" s="15"/>
    </row>
    <row r="236">
      <c r="B236" s="15"/>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c r="AA236" s="15"/>
      <c r="AB236" s="15"/>
    </row>
    <row r="237">
      <c r="B237" s="15"/>
      <c r="C237" s="15"/>
      <c r="D237" s="15"/>
      <c r="E237" s="15"/>
      <c r="F237" s="15"/>
      <c r="G237" s="15"/>
      <c r="H237" s="15"/>
      <c r="I237" s="15"/>
      <c r="J237" s="15"/>
      <c r="K237" s="15"/>
      <c r="L237" s="15"/>
      <c r="M237" s="15"/>
      <c r="N237" s="15"/>
      <c r="O237" s="15"/>
      <c r="P237" s="15"/>
      <c r="Q237" s="15"/>
      <c r="R237" s="15"/>
      <c r="S237" s="15"/>
      <c r="T237" s="15"/>
      <c r="U237" s="15"/>
      <c r="V237" s="15"/>
      <c r="W237" s="15"/>
      <c r="X237" s="15"/>
      <c r="Y237" s="15"/>
      <c r="Z237" s="15"/>
      <c r="AA237" s="15"/>
      <c r="AB237" s="15"/>
    </row>
    <row r="238">
      <c r="B238" s="15"/>
      <c r="C238" s="15"/>
      <c r="D238" s="15"/>
      <c r="E238" s="15"/>
      <c r="F238" s="15"/>
      <c r="G238" s="15"/>
      <c r="H238" s="15"/>
      <c r="I238" s="15"/>
      <c r="J238" s="15"/>
      <c r="K238" s="15"/>
      <c r="L238" s="15"/>
      <c r="M238" s="15"/>
      <c r="N238" s="15"/>
      <c r="O238" s="15"/>
      <c r="P238" s="15"/>
      <c r="Q238" s="15"/>
      <c r="R238" s="15"/>
      <c r="S238" s="15"/>
      <c r="T238" s="15"/>
      <c r="U238" s="15"/>
      <c r="V238" s="15"/>
      <c r="W238" s="15"/>
      <c r="X238" s="15"/>
      <c r="Y238" s="15"/>
      <c r="Z238" s="15"/>
      <c r="AA238" s="15"/>
      <c r="AB238" s="15"/>
    </row>
    <row r="239">
      <c r="B239" s="15"/>
      <c r="C239" s="15"/>
      <c r="D239" s="15"/>
      <c r="E239" s="15"/>
      <c r="F239" s="15"/>
      <c r="G239" s="15"/>
      <c r="H239" s="15"/>
      <c r="I239" s="15"/>
      <c r="J239" s="15"/>
      <c r="K239" s="15"/>
      <c r="L239" s="15"/>
      <c r="M239" s="15"/>
      <c r="N239" s="15"/>
      <c r="O239" s="15"/>
      <c r="P239" s="15"/>
      <c r="Q239" s="15"/>
      <c r="R239" s="15"/>
      <c r="S239" s="15"/>
      <c r="T239" s="15"/>
      <c r="U239" s="15"/>
      <c r="V239" s="15"/>
      <c r="W239" s="15"/>
      <c r="X239" s="15"/>
      <c r="Y239" s="15"/>
      <c r="Z239" s="15"/>
      <c r="AA239" s="15"/>
      <c r="AB239" s="15"/>
    </row>
    <row r="240">
      <c r="B240" s="15"/>
      <c r="C240" s="15"/>
      <c r="D240" s="15"/>
      <c r="E240" s="15"/>
      <c r="F240" s="15"/>
      <c r="G240" s="15"/>
      <c r="H240" s="15"/>
      <c r="I240" s="15"/>
      <c r="J240" s="15"/>
      <c r="K240" s="15"/>
      <c r="L240" s="15"/>
      <c r="M240" s="15"/>
      <c r="N240" s="15"/>
      <c r="O240" s="15"/>
      <c r="P240" s="15"/>
      <c r="Q240" s="15"/>
      <c r="R240" s="15"/>
      <c r="S240" s="15"/>
      <c r="T240" s="15"/>
      <c r="U240" s="15"/>
      <c r="V240" s="15"/>
      <c r="W240" s="15"/>
      <c r="X240" s="15"/>
      <c r="Y240" s="15"/>
      <c r="Z240" s="15"/>
      <c r="AA240" s="15"/>
      <c r="AB240" s="15"/>
    </row>
    <row r="241">
      <c r="B241" s="15"/>
      <c r="C241" s="15"/>
      <c r="D241" s="15"/>
      <c r="E241" s="15"/>
      <c r="F241" s="15"/>
      <c r="G241" s="15"/>
      <c r="H241" s="15"/>
      <c r="I241" s="15"/>
      <c r="J241" s="15"/>
      <c r="K241" s="15"/>
      <c r="L241" s="15"/>
      <c r="M241" s="15"/>
      <c r="N241" s="15"/>
      <c r="O241" s="15"/>
      <c r="P241" s="15"/>
      <c r="Q241" s="15"/>
      <c r="R241" s="15"/>
      <c r="S241" s="15"/>
      <c r="T241" s="15"/>
      <c r="U241" s="15"/>
      <c r="V241" s="15"/>
      <c r="W241" s="15"/>
      <c r="X241" s="15"/>
      <c r="Y241" s="15"/>
      <c r="Z241" s="15"/>
      <c r="AA241" s="15"/>
      <c r="AB241" s="15"/>
    </row>
    <row r="242">
      <c r="B242" s="15"/>
      <c r="C242" s="15"/>
      <c r="D242" s="15"/>
      <c r="E242" s="15"/>
      <c r="F242" s="15"/>
      <c r="G242" s="15"/>
      <c r="H242" s="15"/>
      <c r="I242" s="15"/>
      <c r="J242" s="15"/>
      <c r="K242" s="15"/>
      <c r="L242" s="15"/>
      <c r="M242" s="15"/>
      <c r="N242" s="15"/>
      <c r="O242" s="15"/>
      <c r="P242" s="15"/>
      <c r="Q242" s="15"/>
      <c r="R242" s="15"/>
      <c r="S242" s="15"/>
      <c r="T242" s="15"/>
      <c r="U242" s="15"/>
      <c r="V242" s="15"/>
      <c r="W242" s="15"/>
      <c r="X242" s="15"/>
      <c r="Y242" s="15"/>
      <c r="Z242" s="15"/>
      <c r="AA242" s="15"/>
      <c r="AB242" s="15"/>
    </row>
    <row r="243">
      <c r="B243" s="15"/>
      <c r="C243" s="15"/>
      <c r="D243" s="15"/>
      <c r="E243" s="15"/>
      <c r="F243" s="15"/>
      <c r="G243" s="15"/>
      <c r="H243" s="15"/>
      <c r="I243" s="15"/>
      <c r="J243" s="15"/>
      <c r="K243" s="15"/>
      <c r="L243" s="15"/>
      <c r="M243" s="15"/>
      <c r="N243" s="15"/>
      <c r="O243" s="15"/>
      <c r="P243" s="15"/>
      <c r="Q243" s="15"/>
      <c r="R243" s="15"/>
      <c r="S243" s="15"/>
      <c r="T243" s="15"/>
      <c r="U243" s="15"/>
      <c r="V243" s="15"/>
      <c r="W243" s="15"/>
      <c r="X243" s="15"/>
      <c r="Y243" s="15"/>
      <c r="Z243" s="15"/>
      <c r="AA243" s="15"/>
      <c r="AB243" s="15"/>
    </row>
    <row r="244">
      <c r="B244" s="15"/>
      <c r="C244" s="15"/>
      <c r="D244" s="15"/>
      <c r="E244" s="15"/>
      <c r="F244" s="15"/>
      <c r="G244" s="15"/>
      <c r="H244" s="15"/>
      <c r="I244" s="15"/>
      <c r="J244" s="15"/>
      <c r="K244" s="15"/>
      <c r="L244" s="15"/>
      <c r="M244" s="15"/>
      <c r="N244" s="15"/>
      <c r="O244" s="15"/>
      <c r="P244" s="15"/>
      <c r="Q244" s="15"/>
      <c r="R244" s="15"/>
      <c r="S244" s="15"/>
      <c r="T244" s="15"/>
      <c r="U244" s="15"/>
      <c r="V244" s="15"/>
      <c r="W244" s="15"/>
      <c r="X244" s="15"/>
      <c r="Y244" s="15"/>
      <c r="Z244" s="15"/>
      <c r="AA244" s="15"/>
      <c r="AB244" s="15"/>
    </row>
    <row r="245">
      <c r="B245" s="15"/>
      <c r="C245" s="15"/>
      <c r="D245" s="15"/>
      <c r="E245" s="15"/>
      <c r="F245" s="15"/>
      <c r="G245" s="15"/>
      <c r="H245" s="15"/>
      <c r="I245" s="15"/>
      <c r="J245" s="15"/>
      <c r="K245" s="15"/>
      <c r="L245" s="15"/>
      <c r="M245" s="15"/>
      <c r="N245" s="15"/>
      <c r="O245" s="15"/>
      <c r="P245" s="15"/>
      <c r="Q245" s="15"/>
      <c r="R245" s="15"/>
      <c r="S245" s="15"/>
      <c r="T245" s="15"/>
      <c r="U245" s="15"/>
      <c r="V245" s="15"/>
      <c r="W245" s="15"/>
      <c r="X245" s="15"/>
      <c r="Y245" s="15"/>
      <c r="Z245" s="15"/>
      <c r="AA245" s="15"/>
      <c r="AB245" s="15"/>
    </row>
    <row r="246">
      <c r="B246" s="15"/>
      <c r="C246" s="15"/>
      <c r="D246" s="15"/>
      <c r="E246" s="15"/>
      <c r="F246" s="15"/>
      <c r="G246" s="15"/>
      <c r="H246" s="15"/>
      <c r="I246" s="15"/>
      <c r="J246" s="15"/>
      <c r="K246" s="15"/>
      <c r="L246" s="15"/>
      <c r="M246" s="15"/>
      <c r="N246" s="15"/>
      <c r="O246" s="15"/>
      <c r="P246" s="15"/>
      <c r="Q246" s="15"/>
      <c r="R246" s="15"/>
      <c r="S246" s="15"/>
      <c r="T246" s="15"/>
      <c r="U246" s="15"/>
      <c r="V246" s="15"/>
      <c r="W246" s="15"/>
      <c r="X246" s="15"/>
      <c r="Y246" s="15"/>
      <c r="Z246" s="15"/>
      <c r="AA246" s="15"/>
      <c r="AB246" s="15"/>
    </row>
    <row r="247">
      <c r="B247" s="15"/>
      <c r="C247" s="15"/>
      <c r="D247" s="15"/>
      <c r="E247" s="15"/>
      <c r="F247" s="15"/>
      <c r="G247" s="15"/>
      <c r="H247" s="15"/>
      <c r="I247" s="15"/>
      <c r="J247" s="15"/>
      <c r="K247" s="15"/>
      <c r="L247" s="15"/>
      <c r="M247" s="15"/>
      <c r="N247" s="15"/>
      <c r="O247" s="15"/>
      <c r="P247" s="15"/>
      <c r="Q247" s="15"/>
      <c r="R247" s="15"/>
      <c r="S247" s="15"/>
      <c r="T247" s="15"/>
      <c r="U247" s="15"/>
      <c r="V247" s="15"/>
      <c r="W247" s="15"/>
      <c r="X247" s="15"/>
      <c r="Y247" s="15"/>
      <c r="Z247" s="15"/>
      <c r="AA247" s="15"/>
      <c r="AB247" s="15"/>
    </row>
    <row r="248">
      <c r="B248" s="15"/>
      <c r="C248" s="15"/>
      <c r="D248" s="15"/>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row>
    <row r="249">
      <c r="B249" s="15"/>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c r="AA249" s="15"/>
      <c r="AB249" s="15"/>
    </row>
    <row r="250">
      <c r="B250" s="15"/>
      <c r="C250" s="15"/>
      <c r="D250" s="15"/>
      <c r="E250" s="15"/>
      <c r="F250" s="15"/>
      <c r="G250" s="15"/>
      <c r="H250" s="15"/>
      <c r="I250" s="15"/>
      <c r="J250" s="15"/>
      <c r="K250" s="15"/>
      <c r="L250" s="15"/>
      <c r="M250" s="15"/>
      <c r="N250" s="15"/>
      <c r="O250" s="15"/>
      <c r="P250" s="15"/>
      <c r="Q250" s="15"/>
      <c r="R250" s="15"/>
      <c r="S250" s="15"/>
      <c r="T250" s="15"/>
      <c r="U250" s="15"/>
      <c r="V250" s="15"/>
      <c r="W250" s="15"/>
      <c r="X250" s="15"/>
      <c r="Y250" s="15"/>
      <c r="Z250" s="15"/>
      <c r="AA250" s="15"/>
      <c r="AB250" s="15"/>
    </row>
    <row r="251">
      <c r="B251" s="15"/>
      <c r="C251" s="15"/>
      <c r="D251" s="15"/>
      <c r="E251" s="15"/>
      <c r="F251" s="15"/>
      <c r="G251" s="15"/>
      <c r="H251" s="15"/>
      <c r="I251" s="15"/>
      <c r="J251" s="15"/>
      <c r="K251" s="15"/>
      <c r="L251" s="15"/>
      <c r="M251" s="15"/>
      <c r="N251" s="15"/>
      <c r="O251" s="15"/>
      <c r="P251" s="15"/>
      <c r="Q251" s="15"/>
      <c r="R251" s="15"/>
      <c r="S251" s="15"/>
      <c r="T251" s="15"/>
      <c r="U251" s="15"/>
      <c r="V251" s="15"/>
      <c r="W251" s="15"/>
      <c r="X251" s="15"/>
      <c r="Y251" s="15"/>
      <c r="Z251" s="15"/>
      <c r="AA251" s="15"/>
      <c r="AB251" s="15"/>
    </row>
    <row r="252">
      <c r="B252" s="15"/>
      <c r="C252" s="15"/>
      <c r="D252" s="15"/>
      <c r="E252" s="15"/>
      <c r="F252" s="15"/>
      <c r="G252" s="15"/>
      <c r="H252" s="15"/>
      <c r="I252" s="15"/>
      <c r="J252" s="15"/>
      <c r="K252" s="15"/>
      <c r="L252" s="15"/>
      <c r="M252" s="15"/>
      <c r="N252" s="15"/>
      <c r="O252" s="15"/>
      <c r="P252" s="15"/>
      <c r="Q252" s="15"/>
      <c r="R252" s="15"/>
      <c r="S252" s="15"/>
      <c r="T252" s="15"/>
      <c r="U252" s="15"/>
      <c r="V252" s="15"/>
      <c r="W252" s="15"/>
      <c r="X252" s="15"/>
      <c r="Y252" s="15"/>
      <c r="Z252" s="15"/>
      <c r="AA252" s="15"/>
      <c r="AB252" s="15"/>
    </row>
    <row r="253">
      <c r="B253" s="15"/>
      <c r="C253" s="15"/>
      <c r="D253" s="15"/>
      <c r="E253" s="15"/>
      <c r="F253" s="15"/>
      <c r="G253" s="15"/>
      <c r="H253" s="15"/>
      <c r="I253" s="15"/>
      <c r="J253" s="15"/>
      <c r="K253" s="15"/>
      <c r="L253" s="15"/>
      <c r="M253" s="15"/>
      <c r="N253" s="15"/>
      <c r="O253" s="15"/>
      <c r="P253" s="15"/>
      <c r="Q253" s="15"/>
      <c r="R253" s="15"/>
      <c r="S253" s="15"/>
      <c r="T253" s="15"/>
      <c r="U253" s="15"/>
      <c r="V253" s="15"/>
      <c r="W253" s="15"/>
      <c r="X253" s="15"/>
      <c r="Y253" s="15"/>
      <c r="Z253" s="15"/>
      <c r="AA253" s="15"/>
      <c r="AB253" s="15"/>
    </row>
    <row r="254">
      <c r="B254" s="15"/>
      <c r="C254" s="15"/>
      <c r="D254" s="15"/>
      <c r="E254" s="15"/>
      <c r="F254" s="15"/>
      <c r="G254" s="15"/>
      <c r="H254" s="15"/>
      <c r="I254" s="15"/>
      <c r="J254" s="15"/>
      <c r="K254" s="15"/>
      <c r="L254" s="15"/>
      <c r="M254" s="15"/>
      <c r="N254" s="15"/>
      <c r="O254" s="15"/>
      <c r="P254" s="15"/>
      <c r="Q254" s="15"/>
      <c r="R254" s="15"/>
      <c r="S254" s="15"/>
      <c r="T254" s="15"/>
      <c r="U254" s="15"/>
      <c r="V254" s="15"/>
      <c r="W254" s="15"/>
      <c r="X254" s="15"/>
      <c r="Y254" s="15"/>
      <c r="Z254" s="15"/>
      <c r="AA254" s="15"/>
      <c r="AB254" s="15"/>
    </row>
    <row r="255">
      <c r="B255" s="15"/>
      <c r="C255" s="15"/>
      <c r="D255" s="15"/>
      <c r="E255" s="15"/>
      <c r="F255" s="15"/>
      <c r="G255" s="15"/>
      <c r="H255" s="15"/>
      <c r="I255" s="15"/>
      <c r="J255" s="15"/>
      <c r="K255" s="15"/>
      <c r="L255" s="15"/>
      <c r="M255" s="15"/>
      <c r="N255" s="15"/>
      <c r="O255" s="15"/>
      <c r="P255" s="15"/>
      <c r="Q255" s="15"/>
      <c r="R255" s="15"/>
      <c r="S255" s="15"/>
      <c r="T255" s="15"/>
      <c r="U255" s="15"/>
      <c r="V255" s="15"/>
      <c r="W255" s="15"/>
      <c r="X255" s="15"/>
      <c r="Y255" s="15"/>
      <c r="Z255" s="15"/>
      <c r="AA255" s="15"/>
      <c r="AB255" s="15"/>
    </row>
    <row r="256">
      <c r="B256" s="15"/>
      <c r="C256" s="15"/>
      <c r="D256" s="15"/>
      <c r="E256" s="15"/>
      <c r="F256" s="15"/>
      <c r="G256" s="15"/>
      <c r="H256" s="15"/>
      <c r="I256" s="15"/>
      <c r="J256" s="15"/>
      <c r="K256" s="15"/>
      <c r="L256" s="15"/>
      <c r="M256" s="15"/>
      <c r="N256" s="15"/>
      <c r="O256" s="15"/>
      <c r="P256" s="15"/>
      <c r="Q256" s="15"/>
      <c r="R256" s="15"/>
      <c r="S256" s="15"/>
      <c r="T256" s="15"/>
      <c r="U256" s="15"/>
      <c r="V256" s="15"/>
      <c r="W256" s="15"/>
      <c r="X256" s="15"/>
      <c r="Y256" s="15"/>
      <c r="Z256" s="15"/>
      <c r="AA256" s="15"/>
      <c r="AB256" s="15"/>
    </row>
    <row r="257">
      <c r="B257" s="15"/>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c r="AA257" s="15"/>
      <c r="AB257" s="15"/>
    </row>
    <row r="258">
      <c r="B258" s="15"/>
      <c r="C258" s="15"/>
      <c r="D258" s="15"/>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row>
    <row r="259">
      <c r="B259" s="15"/>
      <c r="C259" s="15"/>
      <c r="D259" s="15"/>
      <c r="E259" s="15"/>
      <c r="F259" s="15"/>
      <c r="G259" s="15"/>
      <c r="H259" s="15"/>
      <c r="I259" s="15"/>
      <c r="J259" s="15"/>
      <c r="K259" s="15"/>
      <c r="L259" s="15"/>
      <c r="M259" s="15"/>
      <c r="N259" s="15"/>
      <c r="O259" s="15"/>
      <c r="P259" s="15"/>
      <c r="Q259" s="15"/>
      <c r="R259" s="15"/>
      <c r="S259" s="15"/>
      <c r="T259" s="15"/>
      <c r="U259" s="15"/>
      <c r="V259" s="15"/>
      <c r="W259" s="15"/>
      <c r="X259" s="15"/>
      <c r="Y259" s="15"/>
      <c r="Z259" s="15"/>
      <c r="AA259" s="15"/>
      <c r="AB259" s="15"/>
    </row>
    <row r="260">
      <c r="B260" s="15"/>
      <c r="C260" s="15"/>
      <c r="D260" s="15"/>
      <c r="E260" s="15"/>
      <c r="F260" s="15"/>
      <c r="G260" s="15"/>
      <c r="H260" s="15"/>
      <c r="I260" s="15"/>
      <c r="J260" s="15"/>
      <c r="K260" s="15"/>
      <c r="L260" s="15"/>
      <c r="M260" s="15"/>
      <c r="N260" s="15"/>
      <c r="O260" s="15"/>
      <c r="P260" s="15"/>
      <c r="Q260" s="15"/>
      <c r="R260" s="15"/>
      <c r="S260" s="15"/>
      <c r="T260" s="15"/>
      <c r="U260" s="15"/>
      <c r="V260" s="15"/>
      <c r="W260" s="15"/>
      <c r="X260" s="15"/>
      <c r="Y260" s="15"/>
      <c r="Z260" s="15"/>
      <c r="AA260" s="15"/>
      <c r="AB260" s="15"/>
    </row>
    <row r="261">
      <c r="B261" s="15"/>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c r="AA261" s="15"/>
      <c r="AB261" s="15"/>
    </row>
    <row r="262">
      <c r="B262" s="15"/>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c r="AA262" s="15"/>
      <c r="AB262" s="15"/>
    </row>
    <row r="263">
      <c r="B263" s="15"/>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c r="AA263" s="15"/>
      <c r="AB263" s="15"/>
    </row>
    <row r="264">
      <c r="B264" s="15"/>
      <c r="C264" s="15"/>
      <c r="D264" s="15"/>
      <c r="E264" s="15"/>
      <c r="F264" s="15"/>
      <c r="G264" s="15"/>
      <c r="H264" s="15"/>
      <c r="I264" s="15"/>
      <c r="J264" s="15"/>
      <c r="K264" s="15"/>
      <c r="L264" s="15"/>
      <c r="M264" s="15"/>
      <c r="N264" s="15"/>
      <c r="O264" s="15"/>
      <c r="P264" s="15"/>
      <c r="Q264" s="15"/>
      <c r="R264" s="15"/>
      <c r="S264" s="15"/>
      <c r="T264" s="15"/>
      <c r="U264" s="15"/>
      <c r="V264" s="15"/>
      <c r="W264" s="15"/>
      <c r="X264" s="15"/>
      <c r="Y264" s="15"/>
      <c r="Z264" s="15"/>
      <c r="AA264" s="15"/>
      <c r="AB264" s="15"/>
    </row>
    <row r="265">
      <c r="B265" s="15"/>
      <c r="C265" s="15"/>
      <c r="D265" s="15"/>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row>
    <row r="266">
      <c r="B266" s="15"/>
      <c r="C266" s="15"/>
      <c r="D266" s="15"/>
      <c r="E266" s="15"/>
      <c r="F266" s="15"/>
      <c r="G266" s="15"/>
      <c r="H266" s="15"/>
      <c r="I266" s="15"/>
      <c r="J266" s="15"/>
      <c r="K266" s="15"/>
      <c r="L266" s="15"/>
      <c r="M266" s="15"/>
      <c r="N266" s="15"/>
      <c r="O266" s="15"/>
      <c r="P266" s="15"/>
      <c r="Q266" s="15"/>
      <c r="R266" s="15"/>
      <c r="S266" s="15"/>
      <c r="T266" s="15"/>
      <c r="U266" s="15"/>
      <c r="V266" s="15"/>
      <c r="W266" s="15"/>
      <c r="X266" s="15"/>
      <c r="Y266" s="15"/>
      <c r="Z266" s="15"/>
      <c r="AA266" s="15"/>
      <c r="AB266" s="15"/>
    </row>
    <row r="267">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c r="AA267" s="15"/>
      <c r="AB267" s="15"/>
    </row>
    <row r="268">
      <c r="B268" s="15"/>
      <c r="C268" s="15"/>
      <c r="D268" s="15"/>
      <c r="E268" s="15"/>
      <c r="F268" s="15"/>
      <c r="G268" s="15"/>
      <c r="H268" s="15"/>
      <c r="I268" s="15"/>
      <c r="J268" s="15"/>
      <c r="K268" s="15"/>
      <c r="L268" s="15"/>
      <c r="M268" s="15"/>
      <c r="N268" s="15"/>
      <c r="O268" s="15"/>
      <c r="P268" s="15"/>
      <c r="Q268" s="15"/>
      <c r="R268" s="15"/>
      <c r="S268" s="15"/>
      <c r="T268" s="15"/>
      <c r="U268" s="15"/>
      <c r="V268" s="15"/>
      <c r="W268" s="15"/>
      <c r="X268" s="15"/>
      <c r="Y268" s="15"/>
      <c r="Z268" s="15"/>
      <c r="AA268" s="15"/>
      <c r="AB268" s="15"/>
    </row>
    <row r="269">
      <c r="B269" s="15"/>
      <c r="C269" s="15"/>
      <c r="D269" s="15"/>
      <c r="E269" s="15"/>
      <c r="F269" s="15"/>
      <c r="G269" s="15"/>
      <c r="H269" s="15"/>
      <c r="I269" s="15"/>
      <c r="J269" s="15"/>
      <c r="K269" s="15"/>
      <c r="L269" s="15"/>
      <c r="M269" s="15"/>
      <c r="N269" s="15"/>
      <c r="O269" s="15"/>
      <c r="P269" s="15"/>
      <c r="Q269" s="15"/>
      <c r="R269" s="15"/>
      <c r="S269" s="15"/>
      <c r="T269" s="15"/>
      <c r="U269" s="15"/>
      <c r="V269" s="15"/>
      <c r="W269" s="15"/>
      <c r="X269" s="15"/>
      <c r="Y269" s="15"/>
      <c r="Z269" s="15"/>
      <c r="AA269" s="15"/>
      <c r="AB269" s="15"/>
    </row>
    <row r="270">
      <c r="B270" s="15"/>
      <c r="C270" s="15"/>
      <c r="D270" s="15"/>
      <c r="E270" s="15"/>
      <c r="F270" s="15"/>
      <c r="G270" s="15"/>
      <c r="H270" s="15"/>
      <c r="I270" s="15"/>
      <c r="J270" s="15"/>
      <c r="K270" s="15"/>
      <c r="L270" s="15"/>
      <c r="M270" s="15"/>
      <c r="N270" s="15"/>
      <c r="O270" s="15"/>
      <c r="P270" s="15"/>
      <c r="Q270" s="15"/>
      <c r="R270" s="15"/>
      <c r="S270" s="15"/>
      <c r="T270" s="15"/>
      <c r="U270" s="15"/>
      <c r="V270" s="15"/>
      <c r="W270" s="15"/>
      <c r="X270" s="15"/>
      <c r="Y270" s="15"/>
      <c r="Z270" s="15"/>
      <c r="AA270" s="15"/>
      <c r="AB270" s="15"/>
    </row>
    <row r="271">
      <c r="B271" s="15"/>
      <c r="C271" s="15"/>
      <c r="D271" s="15"/>
      <c r="E271" s="15"/>
      <c r="F271" s="15"/>
      <c r="G271" s="15"/>
      <c r="H271" s="15"/>
      <c r="I271" s="15"/>
      <c r="J271" s="15"/>
      <c r="K271" s="15"/>
      <c r="L271" s="15"/>
      <c r="M271" s="15"/>
      <c r="N271" s="15"/>
      <c r="O271" s="15"/>
      <c r="P271" s="15"/>
      <c r="Q271" s="15"/>
      <c r="R271" s="15"/>
      <c r="S271" s="15"/>
      <c r="T271" s="15"/>
      <c r="U271" s="15"/>
      <c r="V271" s="15"/>
      <c r="W271" s="15"/>
      <c r="X271" s="15"/>
      <c r="Y271" s="15"/>
      <c r="Z271" s="15"/>
      <c r="AA271" s="15"/>
      <c r="AB271" s="15"/>
    </row>
    <row r="272">
      <c r="B272" s="15"/>
      <c r="C272" s="15"/>
      <c r="D272" s="15"/>
      <c r="E272" s="15"/>
      <c r="F272" s="15"/>
      <c r="G272" s="15"/>
      <c r="H272" s="15"/>
      <c r="I272" s="15"/>
      <c r="J272" s="15"/>
      <c r="K272" s="15"/>
      <c r="L272" s="15"/>
      <c r="M272" s="15"/>
      <c r="N272" s="15"/>
      <c r="O272" s="15"/>
      <c r="P272" s="15"/>
      <c r="Q272" s="15"/>
      <c r="R272" s="15"/>
      <c r="S272" s="15"/>
      <c r="T272" s="15"/>
      <c r="U272" s="15"/>
      <c r="V272" s="15"/>
      <c r="W272" s="15"/>
      <c r="X272" s="15"/>
      <c r="Y272" s="15"/>
      <c r="Z272" s="15"/>
      <c r="AA272" s="15"/>
      <c r="AB272" s="15"/>
    </row>
    <row r="273">
      <c r="B273" s="15"/>
      <c r="C273" s="15"/>
      <c r="D273" s="15"/>
      <c r="E273" s="15"/>
      <c r="F273" s="15"/>
      <c r="G273" s="15"/>
      <c r="H273" s="15"/>
      <c r="I273" s="15"/>
      <c r="J273" s="15"/>
      <c r="K273" s="15"/>
      <c r="L273" s="15"/>
      <c r="M273" s="15"/>
      <c r="N273" s="15"/>
      <c r="O273" s="15"/>
      <c r="P273" s="15"/>
      <c r="Q273" s="15"/>
      <c r="R273" s="15"/>
      <c r="S273" s="15"/>
      <c r="T273" s="15"/>
      <c r="U273" s="15"/>
      <c r="V273" s="15"/>
      <c r="W273" s="15"/>
      <c r="X273" s="15"/>
      <c r="Y273" s="15"/>
      <c r="Z273" s="15"/>
      <c r="AA273" s="15"/>
      <c r="AB273" s="15"/>
    </row>
    <row r="274">
      <c r="B274" s="15"/>
      <c r="C274" s="15"/>
      <c r="D274" s="15"/>
      <c r="E274" s="15"/>
      <c r="F274" s="15"/>
      <c r="G274" s="15"/>
      <c r="H274" s="15"/>
      <c r="I274" s="15"/>
      <c r="J274" s="15"/>
      <c r="K274" s="15"/>
      <c r="L274" s="15"/>
      <c r="M274" s="15"/>
      <c r="N274" s="15"/>
      <c r="O274" s="15"/>
      <c r="P274" s="15"/>
      <c r="Q274" s="15"/>
      <c r="R274" s="15"/>
      <c r="S274" s="15"/>
      <c r="T274" s="15"/>
      <c r="U274" s="15"/>
      <c r="V274" s="15"/>
      <c r="W274" s="15"/>
      <c r="X274" s="15"/>
      <c r="Y274" s="15"/>
      <c r="Z274" s="15"/>
      <c r="AA274" s="15"/>
      <c r="AB274" s="15"/>
    </row>
    <row r="275">
      <c r="B275" s="15"/>
      <c r="C275" s="15"/>
      <c r="D275" s="15"/>
      <c r="E275" s="15"/>
      <c r="F275" s="15"/>
      <c r="G275" s="15"/>
      <c r="H275" s="15"/>
      <c r="I275" s="15"/>
      <c r="J275" s="15"/>
      <c r="K275" s="15"/>
      <c r="L275" s="15"/>
      <c r="M275" s="15"/>
      <c r="N275" s="15"/>
      <c r="O275" s="15"/>
      <c r="P275" s="15"/>
      <c r="Q275" s="15"/>
      <c r="R275" s="15"/>
      <c r="S275" s="15"/>
      <c r="T275" s="15"/>
      <c r="U275" s="15"/>
      <c r="V275" s="15"/>
      <c r="W275" s="15"/>
      <c r="X275" s="15"/>
      <c r="Y275" s="15"/>
      <c r="Z275" s="15"/>
      <c r="AA275" s="15"/>
      <c r="AB275" s="15"/>
    </row>
    <row r="276">
      <c r="B276" s="15"/>
      <c r="C276" s="15"/>
      <c r="D276" s="15"/>
      <c r="E276" s="15"/>
      <c r="F276" s="15"/>
      <c r="G276" s="15"/>
      <c r="H276" s="15"/>
      <c r="I276" s="15"/>
      <c r="J276" s="15"/>
      <c r="K276" s="15"/>
      <c r="L276" s="15"/>
      <c r="M276" s="15"/>
      <c r="N276" s="15"/>
      <c r="O276" s="15"/>
      <c r="P276" s="15"/>
      <c r="Q276" s="15"/>
      <c r="R276" s="15"/>
      <c r="S276" s="15"/>
      <c r="T276" s="15"/>
      <c r="U276" s="15"/>
      <c r="V276" s="15"/>
      <c r="W276" s="15"/>
      <c r="X276" s="15"/>
      <c r="Y276" s="15"/>
      <c r="Z276" s="15"/>
      <c r="AA276" s="15"/>
      <c r="AB276" s="15"/>
    </row>
    <row r="277">
      <c r="B277" s="15"/>
      <c r="C277" s="15"/>
      <c r="D277" s="15"/>
      <c r="E277" s="15"/>
      <c r="F277" s="15"/>
      <c r="G277" s="15"/>
      <c r="H277" s="15"/>
      <c r="I277" s="15"/>
      <c r="J277" s="15"/>
      <c r="K277" s="15"/>
      <c r="L277" s="15"/>
      <c r="M277" s="15"/>
      <c r="N277" s="15"/>
      <c r="O277" s="15"/>
      <c r="P277" s="15"/>
      <c r="Q277" s="15"/>
      <c r="R277" s="15"/>
      <c r="S277" s="15"/>
      <c r="T277" s="15"/>
      <c r="U277" s="15"/>
      <c r="V277" s="15"/>
      <c r="W277" s="15"/>
      <c r="X277" s="15"/>
      <c r="Y277" s="15"/>
      <c r="Z277" s="15"/>
      <c r="AA277" s="15"/>
      <c r="AB277" s="15"/>
    </row>
    <row r="278">
      <c r="B278" s="15"/>
      <c r="C278" s="15"/>
      <c r="D278" s="15"/>
      <c r="E278" s="15"/>
      <c r="F278" s="15"/>
      <c r="G278" s="15"/>
      <c r="H278" s="15"/>
      <c r="I278" s="15"/>
      <c r="J278" s="15"/>
      <c r="K278" s="15"/>
      <c r="L278" s="15"/>
      <c r="M278" s="15"/>
      <c r="N278" s="15"/>
      <c r="O278" s="15"/>
      <c r="P278" s="15"/>
      <c r="Q278" s="15"/>
      <c r="R278" s="15"/>
      <c r="S278" s="15"/>
      <c r="T278" s="15"/>
      <c r="U278" s="15"/>
      <c r="V278" s="15"/>
      <c r="W278" s="15"/>
      <c r="X278" s="15"/>
      <c r="Y278" s="15"/>
      <c r="Z278" s="15"/>
      <c r="AA278" s="15"/>
      <c r="AB278" s="15"/>
    </row>
    <row r="279">
      <c r="B279" s="15"/>
      <c r="C279" s="15"/>
      <c r="D279" s="15"/>
      <c r="E279" s="15"/>
      <c r="F279" s="15"/>
      <c r="G279" s="15"/>
      <c r="H279" s="15"/>
      <c r="I279" s="15"/>
      <c r="J279" s="15"/>
      <c r="K279" s="15"/>
      <c r="L279" s="15"/>
      <c r="M279" s="15"/>
      <c r="N279" s="15"/>
      <c r="O279" s="15"/>
      <c r="P279" s="15"/>
      <c r="Q279" s="15"/>
      <c r="R279" s="15"/>
      <c r="S279" s="15"/>
      <c r="T279" s="15"/>
      <c r="U279" s="15"/>
      <c r="V279" s="15"/>
      <c r="W279" s="15"/>
      <c r="X279" s="15"/>
      <c r="Y279" s="15"/>
      <c r="Z279" s="15"/>
      <c r="AA279" s="15"/>
      <c r="AB279" s="15"/>
    </row>
    <row r="280">
      <c r="B280" s="15"/>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c r="AA280" s="15"/>
      <c r="AB280" s="15"/>
    </row>
    <row r="281">
      <c r="B281" s="15"/>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c r="AA281" s="15"/>
      <c r="AB281" s="15"/>
    </row>
    <row r="282">
      <c r="B282" s="15"/>
      <c r="C282" s="15"/>
      <c r="D282" s="15"/>
      <c r="E282" s="15"/>
      <c r="F282" s="15"/>
      <c r="G282" s="15"/>
      <c r="H282" s="15"/>
      <c r="I282" s="15"/>
      <c r="J282" s="15"/>
      <c r="K282" s="15"/>
      <c r="L282" s="15"/>
      <c r="M282" s="15"/>
      <c r="N282" s="15"/>
      <c r="O282" s="15"/>
      <c r="P282" s="15"/>
      <c r="Q282" s="15"/>
      <c r="R282" s="15"/>
      <c r="S282" s="15"/>
      <c r="T282" s="15"/>
      <c r="U282" s="15"/>
      <c r="V282" s="15"/>
      <c r="W282" s="15"/>
      <c r="X282" s="15"/>
      <c r="Y282" s="15"/>
      <c r="Z282" s="15"/>
      <c r="AA282" s="15"/>
      <c r="AB282" s="15"/>
    </row>
    <row r="283">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c r="AA283" s="15"/>
      <c r="AB283" s="15"/>
    </row>
    <row r="284">
      <c r="B284" s="15"/>
      <c r="C284" s="15"/>
      <c r="D284" s="15"/>
      <c r="E284" s="15"/>
      <c r="F284" s="15"/>
      <c r="G284" s="15"/>
      <c r="H284" s="15"/>
      <c r="I284" s="15"/>
      <c r="J284" s="15"/>
      <c r="K284" s="15"/>
      <c r="L284" s="15"/>
      <c r="M284" s="15"/>
      <c r="N284" s="15"/>
      <c r="O284" s="15"/>
      <c r="P284" s="15"/>
      <c r="Q284" s="15"/>
      <c r="R284" s="15"/>
      <c r="S284" s="15"/>
      <c r="T284" s="15"/>
      <c r="U284" s="15"/>
      <c r="V284" s="15"/>
      <c r="W284" s="15"/>
      <c r="X284" s="15"/>
      <c r="Y284" s="15"/>
      <c r="Z284" s="15"/>
      <c r="AA284" s="15"/>
      <c r="AB284" s="15"/>
    </row>
    <row r="285">
      <c r="B285" s="15"/>
      <c r="C285" s="15"/>
      <c r="D285" s="15"/>
      <c r="E285" s="15"/>
      <c r="F285" s="15"/>
      <c r="G285" s="15"/>
      <c r="H285" s="15"/>
      <c r="I285" s="15"/>
      <c r="J285" s="15"/>
      <c r="K285" s="15"/>
      <c r="L285" s="15"/>
      <c r="M285" s="15"/>
      <c r="N285" s="15"/>
      <c r="O285" s="15"/>
      <c r="P285" s="15"/>
      <c r="Q285" s="15"/>
      <c r="R285" s="15"/>
      <c r="S285" s="15"/>
      <c r="T285" s="15"/>
      <c r="U285" s="15"/>
      <c r="V285" s="15"/>
      <c r="W285" s="15"/>
      <c r="X285" s="15"/>
      <c r="Y285" s="15"/>
      <c r="Z285" s="15"/>
      <c r="AA285" s="15"/>
      <c r="AB285" s="15"/>
    </row>
    <row r="286">
      <c r="B286" s="15"/>
      <c r="C286" s="15"/>
      <c r="D286" s="15"/>
      <c r="E286" s="15"/>
      <c r="F286" s="15"/>
      <c r="G286" s="15"/>
      <c r="H286" s="15"/>
      <c r="I286" s="15"/>
      <c r="J286" s="15"/>
      <c r="K286" s="15"/>
      <c r="L286" s="15"/>
      <c r="M286" s="15"/>
      <c r="N286" s="15"/>
      <c r="O286" s="15"/>
      <c r="P286" s="15"/>
      <c r="Q286" s="15"/>
      <c r="R286" s="15"/>
      <c r="S286" s="15"/>
      <c r="T286" s="15"/>
      <c r="U286" s="15"/>
      <c r="V286" s="15"/>
      <c r="W286" s="15"/>
      <c r="X286" s="15"/>
      <c r="Y286" s="15"/>
      <c r="Z286" s="15"/>
      <c r="AA286" s="15"/>
      <c r="AB286" s="15"/>
    </row>
    <row r="287">
      <c r="B287" s="15"/>
      <c r="C287" s="15"/>
      <c r="D287" s="15"/>
      <c r="E287" s="15"/>
      <c r="F287" s="15"/>
      <c r="G287" s="15"/>
      <c r="H287" s="15"/>
      <c r="I287" s="15"/>
      <c r="J287" s="15"/>
      <c r="K287" s="15"/>
      <c r="L287" s="15"/>
      <c r="M287" s="15"/>
      <c r="N287" s="15"/>
      <c r="O287" s="15"/>
      <c r="P287" s="15"/>
      <c r="Q287" s="15"/>
      <c r="R287" s="15"/>
      <c r="S287" s="15"/>
      <c r="T287" s="15"/>
      <c r="U287" s="15"/>
      <c r="V287" s="15"/>
      <c r="W287" s="15"/>
      <c r="X287" s="15"/>
      <c r="Y287" s="15"/>
      <c r="Z287" s="15"/>
      <c r="AA287" s="15"/>
      <c r="AB287" s="15"/>
    </row>
    <row r="288">
      <c r="B288" s="15"/>
      <c r="C288" s="15"/>
      <c r="D288" s="15"/>
      <c r="E288" s="15"/>
      <c r="F288" s="15"/>
      <c r="G288" s="15"/>
      <c r="H288" s="15"/>
      <c r="I288" s="15"/>
      <c r="J288" s="15"/>
      <c r="K288" s="15"/>
      <c r="L288" s="15"/>
      <c r="M288" s="15"/>
      <c r="N288" s="15"/>
      <c r="O288" s="15"/>
      <c r="P288" s="15"/>
      <c r="Q288" s="15"/>
      <c r="R288" s="15"/>
      <c r="S288" s="15"/>
      <c r="T288" s="15"/>
      <c r="U288" s="15"/>
      <c r="V288" s="15"/>
      <c r="W288" s="15"/>
      <c r="X288" s="15"/>
      <c r="Y288" s="15"/>
      <c r="Z288" s="15"/>
      <c r="AA288" s="15"/>
      <c r="AB288" s="15"/>
    </row>
    <row r="289">
      <c r="B289" s="15"/>
      <c r="C289" s="15"/>
      <c r="D289" s="15"/>
      <c r="E289" s="15"/>
      <c r="F289" s="15"/>
      <c r="G289" s="15"/>
      <c r="H289" s="15"/>
      <c r="I289" s="15"/>
      <c r="J289" s="15"/>
      <c r="K289" s="15"/>
      <c r="L289" s="15"/>
      <c r="M289" s="15"/>
      <c r="N289" s="15"/>
      <c r="O289" s="15"/>
      <c r="P289" s="15"/>
      <c r="Q289" s="15"/>
      <c r="R289" s="15"/>
      <c r="S289" s="15"/>
      <c r="T289" s="15"/>
      <c r="U289" s="15"/>
      <c r="V289" s="15"/>
      <c r="W289" s="15"/>
      <c r="X289" s="15"/>
      <c r="Y289" s="15"/>
      <c r="Z289" s="15"/>
      <c r="AA289" s="15"/>
      <c r="AB289" s="15"/>
    </row>
    <row r="290">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c r="AA290" s="15"/>
      <c r="AB290" s="15"/>
    </row>
    <row r="291">
      <c r="B291" s="15"/>
      <c r="C291" s="15"/>
      <c r="D291" s="15"/>
      <c r="E291" s="15"/>
      <c r="F291" s="15"/>
      <c r="G291" s="15"/>
      <c r="H291" s="15"/>
      <c r="I291" s="15"/>
      <c r="J291" s="15"/>
      <c r="K291" s="15"/>
      <c r="L291" s="15"/>
      <c r="M291" s="15"/>
      <c r="N291" s="15"/>
      <c r="O291" s="15"/>
      <c r="P291" s="15"/>
      <c r="Q291" s="15"/>
      <c r="R291" s="15"/>
      <c r="S291" s="15"/>
      <c r="T291" s="15"/>
      <c r="U291" s="15"/>
      <c r="V291" s="15"/>
      <c r="W291" s="15"/>
      <c r="X291" s="15"/>
      <c r="Y291" s="15"/>
      <c r="Z291" s="15"/>
      <c r="AA291" s="15"/>
      <c r="AB291" s="15"/>
    </row>
    <row r="292">
      <c r="B292" s="15"/>
      <c r="C292" s="15"/>
      <c r="D292" s="15"/>
      <c r="E292" s="15"/>
      <c r="F292" s="15"/>
      <c r="G292" s="15"/>
      <c r="H292" s="15"/>
      <c r="I292" s="15"/>
      <c r="J292" s="15"/>
      <c r="K292" s="15"/>
      <c r="L292" s="15"/>
      <c r="M292" s="15"/>
      <c r="N292" s="15"/>
      <c r="O292" s="15"/>
      <c r="P292" s="15"/>
      <c r="Q292" s="15"/>
      <c r="R292" s="15"/>
      <c r="S292" s="15"/>
      <c r="T292" s="15"/>
      <c r="U292" s="15"/>
      <c r="V292" s="15"/>
      <c r="W292" s="15"/>
      <c r="X292" s="15"/>
      <c r="Y292" s="15"/>
      <c r="Z292" s="15"/>
      <c r="AA292" s="15"/>
      <c r="AB292" s="15"/>
    </row>
    <row r="293">
      <c r="B293" s="15"/>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row>
    <row r="294">
      <c r="B294" s="15"/>
      <c r="C294" s="15"/>
      <c r="D294" s="15"/>
      <c r="E294" s="15"/>
      <c r="F294" s="15"/>
      <c r="G294" s="15"/>
      <c r="H294" s="15"/>
      <c r="I294" s="15"/>
      <c r="J294" s="15"/>
      <c r="K294" s="15"/>
      <c r="L294" s="15"/>
      <c r="M294" s="15"/>
      <c r="N294" s="15"/>
      <c r="O294" s="15"/>
      <c r="P294" s="15"/>
      <c r="Q294" s="15"/>
      <c r="R294" s="15"/>
      <c r="S294" s="15"/>
      <c r="T294" s="15"/>
      <c r="U294" s="15"/>
      <c r="V294" s="15"/>
      <c r="W294" s="15"/>
      <c r="X294" s="15"/>
      <c r="Y294" s="15"/>
      <c r="Z294" s="15"/>
      <c r="AA294" s="15"/>
      <c r="AB294" s="15"/>
    </row>
    <row r="295">
      <c r="B295" s="15"/>
      <c r="C295" s="15"/>
      <c r="D295" s="15"/>
      <c r="E295" s="15"/>
      <c r="F295" s="15"/>
      <c r="G295" s="15"/>
      <c r="H295" s="15"/>
      <c r="I295" s="15"/>
      <c r="J295" s="15"/>
      <c r="K295" s="15"/>
      <c r="L295" s="15"/>
      <c r="M295" s="15"/>
      <c r="N295" s="15"/>
      <c r="O295" s="15"/>
      <c r="P295" s="15"/>
      <c r="Q295" s="15"/>
      <c r="R295" s="15"/>
      <c r="S295" s="15"/>
      <c r="T295" s="15"/>
      <c r="U295" s="15"/>
      <c r="V295" s="15"/>
      <c r="W295" s="15"/>
      <c r="X295" s="15"/>
      <c r="Y295" s="15"/>
      <c r="Z295" s="15"/>
      <c r="AA295" s="15"/>
      <c r="AB295" s="15"/>
    </row>
    <row r="296">
      <c r="B296" s="15"/>
      <c r="C296" s="15"/>
      <c r="D296" s="15"/>
      <c r="E296" s="15"/>
      <c r="F296" s="15"/>
      <c r="G296" s="15"/>
      <c r="H296" s="15"/>
      <c r="I296" s="15"/>
      <c r="J296" s="15"/>
      <c r="K296" s="15"/>
      <c r="L296" s="15"/>
      <c r="M296" s="15"/>
      <c r="N296" s="15"/>
      <c r="O296" s="15"/>
      <c r="P296" s="15"/>
      <c r="Q296" s="15"/>
      <c r="R296" s="15"/>
      <c r="S296" s="15"/>
      <c r="T296" s="15"/>
      <c r="U296" s="15"/>
      <c r="V296" s="15"/>
      <c r="W296" s="15"/>
      <c r="X296" s="15"/>
      <c r="Y296" s="15"/>
      <c r="Z296" s="15"/>
      <c r="AA296" s="15"/>
      <c r="AB296" s="15"/>
    </row>
    <row r="297">
      <c r="B297" s="15"/>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row>
    <row r="298">
      <c r="B298" s="15"/>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c r="AA298" s="15"/>
      <c r="AB298" s="15"/>
    </row>
    <row r="299">
      <c r="B299" s="15"/>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row>
    <row r="300">
      <c r="B300" s="15"/>
      <c r="C300" s="15"/>
      <c r="D300" s="15"/>
      <c r="E300" s="15"/>
      <c r="F300" s="15"/>
      <c r="G300" s="15"/>
      <c r="H300" s="15"/>
      <c r="I300" s="15"/>
      <c r="J300" s="15"/>
      <c r="K300" s="15"/>
      <c r="L300" s="15"/>
      <c r="M300" s="15"/>
      <c r="N300" s="15"/>
      <c r="O300" s="15"/>
      <c r="P300" s="15"/>
      <c r="Q300" s="15"/>
      <c r="R300" s="15"/>
      <c r="S300" s="15"/>
      <c r="T300" s="15"/>
      <c r="U300" s="15"/>
      <c r="V300" s="15"/>
      <c r="W300" s="15"/>
      <c r="X300" s="15"/>
      <c r="Y300" s="15"/>
      <c r="Z300" s="15"/>
      <c r="AA300" s="15"/>
      <c r="AB300" s="15"/>
    </row>
    <row r="301">
      <c r="B301" s="15"/>
      <c r="C301" s="15"/>
      <c r="D301" s="15"/>
      <c r="E301" s="15"/>
      <c r="F301" s="15"/>
      <c r="G301" s="15"/>
      <c r="H301" s="15"/>
      <c r="I301" s="15"/>
      <c r="J301" s="15"/>
      <c r="K301" s="15"/>
      <c r="L301" s="15"/>
      <c r="M301" s="15"/>
      <c r="N301" s="15"/>
      <c r="O301" s="15"/>
      <c r="P301" s="15"/>
      <c r="Q301" s="15"/>
      <c r="R301" s="15"/>
      <c r="S301" s="15"/>
      <c r="T301" s="15"/>
      <c r="U301" s="15"/>
      <c r="V301" s="15"/>
      <c r="W301" s="15"/>
      <c r="X301" s="15"/>
      <c r="Y301" s="15"/>
      <c r="Z301" s="15"/>
      <c r="AA301" s="15"/>
      <c r="AB301" s="15"/>
    </row>
    <row r="302">
      <c r="B302" s="15"/>
      <c r="C302" s="15"/>
      <c r="D302" s="15"/>
      <c r="E302" s="15"/>
      <c r="F302" s="15"/>
      <c r="G302" s="15"/>
      <c r="H302" s="15"/>
      <c r="I302" s="15"/>
      <c r="J302" s="15"/>
      <c r="K302" s="15"/>
      <c r="L302" s="15"/>
      <c r="M302" s="15"/>
      <c r="N302" s="15"/>
      <c r="O302" s="15"/>
      <c r="P302" s="15"/>
      <c r="Q302" s="15"/>
      <c r="R302" s="15"/>
      <c r="S302" s="15"/>
      <c r="T302" s="15"/>
      <c r="U302" s="15"/>
      <c r="V302" s="15"/>
      <c r="W302" s="15"/>
      <c r="X302" s="15"/>
      <c r="Y302" s="15"/>
      <c r="Z302" s="15"/>
      <c r="AA302" s="15"/>
      <c r="AB302" s="15"/>
    </row>
    <row r="303">
      <c r="B303" s="1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c r="AA303" s="15"/>
      <c r="AB303" s="15"/>
    </row>
    <row r="304">
      <c r="B304" s="15"/>
      <c r="C304" s="15"/>
      <c r="D304" s="15"/>
      <c r="E304" s="15"/>
      <c r="F304" s="15"/>
      <c r="G304" s="15"/>
      <c r="H304" s="15"/>
      <c r="I304" s="15"/>
      <c r="J304" s="15"/>
      <c r="K304" s="15"/>
      <c r="L304" s="15"/>
      <c r="M304" s="15"/>
      <c r="N304" s="15"/>
      <c r="O304" s="15"/>
      <c r="P304" s="15"/>
      <c r="Q304" s="15"/>
      <c r="R304" s="15"/>
      <c r="S304" s="15"/>
      <c r="T304" s="15"/>
      <c r="U304" s="15"/>
      <c r="V304" s="15"/>
      <c r="W304" s="15"/>
      <c r="X304" s="15"/>
      <c r="Y304" s="15"/>
      <c r="Z304" s="15"/>
      <c r="AA304" s="15"/>
      <c r="AB304" s="15"/>
    </row>
    <row r="305">
      <c r="B305" s="15"/>
      <c r="C305" s="15"/>
      <c r="D305" s="15"/>
      <c r="E305" s="15"/>
      <c r="F305" s="15"/>
      <c r="G305" s="15"/>
      <c r="H305" s="15"/>
      <c r="I305" s="15"/>
      <c r="J305" s="15"/>
      <c r="K305" s="15"/>
      <c r="L305" s="15"/>
      <c r="M305" s="15"/>
      <c r="N305" s="15"/>
      <c r="O305" s="15"/>
      <c r="P305" s="15"/>
      <c r="Q305" s="15"/>
      <c r="R305" s="15"/>
      <c r="S305" s="15"/>
      <c r="T305" s="15"/>
      <c r="U305" s="15"/>
      <c r="V305" s="15"/>
      <c r="W305" s="15"/>
      <c r="X305" s="15"/>
      <c r="Y305" s="15"/>
      <c r="Z305" s="15"/>
      <c r="AA305" s="15"/>
      <c r="AB305" s="15"/>
    </row>
    <row r="306">
      <c r="B306" s="15"/>
      <c r="C306" s="15"/>
      <c r="D306" s="15"/>
      <c r="E306" s="15"/>
      <c r="F306" s="15"/>
      <c r="G306" s="15"/>
      <c r="H306" s="15"/>
      <c r="I306" s="15"/>
      <c r="J306" s="15"/>
      <c r="K306" s="15"/>
      <c r="L306" s="15"/>
      <c r="M306" s="15"/>
      <c r="N306" s="15"/>
      <c r="O306" s="15"/>
      <c r="P306" s="15"/>
      <c r="Q306" s="15"/>
      <c r="R306" s="15"/>
      <c r="S306" s="15"/>
      <c r="T306" s="15"/>
      <c r="U306" s="15"/>
      <c r="V306" s="15"/>
      <c r="W306" s="15"/>
      <c r="X306" s="15"/>
      <c r="Y306" s="15"/>
      <c r="Z306" s="15"/>
      <c r="AA306" s="15"/>
      <c r="AB306" s="15"/>
    </row>
    <row r="307">
      <c r="B307" s="15"/>
      <c r="C307" s="15"/>
      <c r="D307" s="15"/>
      <c r="E307" s="15"/>
      <c r="F307" s="15"/>
      <c r="G307" s="15"/>
      <c r="H307" s="15"/>
      <c r="I307" s="15"/>
      <c r="J307" s="15"/>
      <c r="K307" s="15"/>
      <c r="L307" s="15"/>
      <c r="M307" s="15"/>
      <c r="N307" s="15"/>
      <c r="O307" s="15"/>
      <c r="P307" s="15"/>
      <c r="Q307" s="15"/>
      <c r="R307" s="15"/>
      <c r="S307" s="15"/>
      <c r="T307" s="15"/>
      <c r="U307" s="15"/>
      <c r="V307" s="15"/>
      <c r="W307" s="15"/>
      <c r="X307" s="15"/>
      <c r="Y307" s="15"/>
      <c r="Z307" s="15"/>
      <c r="AA307" s="15"/>
      <c r="AB307" s="15"/>
    </row>
    <row r="308">
      <c r="B308" s="15"/>
      <c r="C308" s="15"/>
      <c r="D308" s="15"/>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row>
    <row r="309">
      <c r="B309" s="15"/>
      <c r="C309" s="15"/>
      <c r="D309" s="15"/>
      <c r="E309" s="15"/>
      <c r="F309" s="15"/>
      <c r="G309" s="15"/>
      <c r="H309" s="15"/>
      <c r="I309" s="15"/>
      <c r="J309" s="15"/>
      <c r="K309" s="15"/>
      <c r="L309" s="15"/>
      <c r="M309" s="15"/>
      <c r="N309" s="15"/>
      <c r="O309" s="15"/>
      <c r="P309" s="15"/>
      <c r="Q309" s="15"/>
      <c r="R309" s="15"/>
      <c r="S309" s="15"/>
      <c r="T309" s="15"/>
      <c r="U309" s="15"/>
      <c r="V309" s="15"/>
      <c r="W309" s="15"/>
      <c r="X309" s="15"/>
      <c r="Y309" s="15"/>
      <c r="Z309" s="15"/>
      <c r="AA309" s="15"/>
      <c r="AB309" s="15"/>
    </row>
    <row r="310">
      <c r="B310" s="15"/>
      <c r="C310" s="15"/>
      <c r="D310" s="15"/>
      <c r="E310" s="15"/>
      <c r="F310" s="15"/>
      <c r="G310" s="15"/>
      <c r="H310" s="15"/>
      <c r="I310" s="15"/>
      <c r="J310" s="15"/>
      <c r="K310" s="15"/>
      <c r="L310" s="15"/>
      <c r="M310" s="15"/>
      <c r="N310" s="15"/>
      <c r="O310" s="15"/>
      <c r="P310" s="15"/>
      <c r="Q310" s="15"/>
      <c r="R310" s="15"/>
      <c r="S310" s="15"/>
      <c r="T310" s="15"/>
      <c r="U310" s="15"/>
      <c r="V310" s="15"/>
      <c r="W310" s="15"/>
      <c r="X310" s="15"/>
      <c r="Y310" s="15"/>
      <c r="Z310" s="15"/>
      <c r="AA310" s="15"/>
      <c r="AB310" s="15"/>
    </row>
    <row r="311">
      <c r="B311" s="15"/>
      <c r="C311" s="15"/>
      <c r="D311" s="15"/>
      <c r="E311" s="15"/>
      <c r="F311" s="15"/>
      <c r="G311" s="15"/>
      <c r="H311" s="15"/>
      <c r="I311" s="15"/>
      <c r="J311" s="15"/>
      <c r="K311" s="15"/>
      <c r="L311" s="15"/>
      <c r="M311" s="15"/>
      <c r="N311" s="15"/>
      <c r="O311" s="15"/>
      <c r="P311" s="15"/>
      <c r="Q311" s="15"/>
      <c r="R311" s="15"/>
      <c r="S311" s="15"/>
      <c r="T311" s="15"/>
      <c r="U311" s="15"/>
      <c r="V311" s="15"/>
      <c r="W311" s="15"/>
      <c r="X311" s="15"/>
      <c r="Y311" s="15"/>
      <c r="Z311" s="15"/>
      <c r="AA311" s="15"/>
      <c r="AB311" s="15"/>
    </row>
    <row r="312">
      <c r="B312" s="15"/>
      <c r="C312" s="15"/>
      <c r="D312" s="15"/>
      <c r="E312" s="15"/>
      <c r="F312" s="15"/>
      <c r="G312" s="15"/>
      <c r="H312" s="15"/>
      <c r="I312" s="15"/>
      <c r="J312" s="15"/>
      <c r="K312" s="15"/>
      <c r="L312" s="15"/>
      <c r="M312" s="15"/>
      <c r="N312" s="15"/>
      <c r="O312" s="15"/>
      <c r="P312" s="15"/>
      <c r="Q312" s="15"/>
      <c r="R312" s="15"/>
      <c r="S312" s="15"/>
      <c r="T312" s="15"/>
      <c r="U312" s="15"/>
      <c r="V312" s="15"/>
      <c r="W312" s="15"/>
      <c r="X312" s="15"/>
      <c r="Y312" s="15"/>
      <c r="Z312" s="15"/>
      <c r="AA312" s="15"/>
      <c r="AB312" s="15"/>
    </row>
    <row r="313">
      <c r="B313" s="15"/>
      <c r="C313" s="15"/>
      <c r="D313" s="15"/>
      <c r="E313" s="15"/>
      <c r="F313" s="15"/>
      <c r="G313" s="15"/>
      <c r="H313" s="15"/>
      <c r="I313" s="15"/>
      <c r="J313" s="15"/>
      <c r="K313" s="15"/>
      <c r="L313" s="15"/>
      <c r="M313" s="15"/>
      <c r="N313" s="15"/>
      <c r="O313" s="15"/>
      <c r="P313" s="15"/>
      <c r="Q313" s="15"/>
      <c r="R313" s="15"/>
      <c r="S313" s="15"/>
      <c r="T313" s="15"/>
      <c r="U313" s="15"/>
      <c r="V313" s="15"/>
      <c r="W313" s="15"/>
      <c r="X313" s="15"/>
      <c r="Y313" s="15"/>
      <c r="Z313" s="15"/>
      <c r="AA313" s="15"/>
      <c r="AB313" s="15"/>
    </row>
    <row r="314">
      <c r="B314" s="15"/>
      <c r="C314" s="15"/>
      <c r="D314" s="15"/>
      <c r="E314" s="15"/>
      <c r="F314" s="15"/>
      <c r="G314" s="15"/>
      <c r="H314" s="15"/>
      <c r="I314" s="15"/>
      <c r="J314" s="15"/>
      <c r="K314" s="15"/>
      <c r="L314" s="15"/>
      <c r="M314" s="15"/>
      <c r="N314" s="15"/>
      <c r="O314" s="15"/>
      <c r="P314" s="15"/>
      <c r="Q314" s="15"/>
      <c r="R314" s="15"/>
      <c r="S314" s="15"/>
      <c r="T314" s="15"/>
      <c r="U314" s="15"/>
      <c r="V314" s="15"/>
      <c r="W314" s="15"/>
      <c r="X314" s="15"/>
      <c r="Y314" s="15"/>
      <c r="Z314" s="15"/>
      <c r="AA314" s="15"/>
      <c r="AB314" s="15"/>
    </row>
    <row r="315">
      <c r="B315" s="15"/>
      <c r="C315" s="15"/>
      <c r="D315" s="15"/>
      <c r="E315" s="15"/>
      <c r="F315" s="15"/>
      <c r="G315" s="15"/>
      <c r="H315" s="15"/>
      <c r="I315" s="15"/>
      <c r="J315" s="15"/>
      <c r="K315" s="15"/>
      <c r="L315" s="15"/>
      <c r="M315" s="15"/>
      <c r="N315" s="15"/>
      <c r="O315" s="15"/>
      <c r="P315" s="15"/>
      <c r="Q315" s="15"/>
      <c r="R315" s="15"/>
      <c r="S315" s="15"/>
      <c r="T315" s="15"/>
      <c r="U315" s="15"/>
      <c r="V315" s="15"/>
      <c r="W315" s="15"/>
      <c r="X315" s="15"/>
      <c r="Y315" s="15"/>
      <c r="Z315" s="15"/>
      <c r="AA315" s="15"/>
      <c r="AB315" s="15"/>
    </row>
    <row r="316">
      <c r="B316" s="15"/>
      <c r="C316" s="15"/>
      <c r="D316" s="15"/>
      <c r="E316" s="15"/>
      <c r="F316" s="15"/>
      <c r="G316" s="15"/>
      <c r="H316" s="15"/>
      <c r="I316" s="15"/>
      <c r="J316" s="15"/>
      <c r="K316" s="15"/>
      <c r="L316" s="15"/>
      <c r="M316" s="15"/>
      <c r="N316" s="15"/>
      <c r="O316" s="15"/>
      <c r="P316" s="15"/>
      <c r="Q316" s="15"/>
      <c r="R316" s="15"/>
      <c r="S316" s="15"/>
      <c r="T316" s="15"/>
      <c r="U316" s="15"/>
      <c r="V316" s="15"/>
      <c r="W316" s="15"/>
      <c r="X316" s="15"/>
      <c r="Y316" s="15"/>
      <c r="Z316" s="15"/>
      <c r="AA316" s="15"/>
      <c r="AB316" s="15"/>
    </row>
    <row r="317">
      <c r="B317" s="15"/>
      <c r="C317" s="15"/>
      <c r="D317" s="15"/>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row>
    <row r="318">
      <c r="B318" s="15"/>
      <c r="C318" s="15"/>
      <c r="D318" s="15"/>
      <c r="E318" s="15"/>
      <c r="F318" s="15"/>
      <c r="G318" s="15"/>
      <c r="H318" s="15"/>
      <c r="I318" s="15"/>
      <c r="J318" s="15"/>
      <c r="K318" s="15"/>
      <c r="L318" s="15"/>
      <c r="M318" s="15"/>
      <c r="N318" s="15"/>
      <c r="O318" s="15"/>
      <c r="P318" s="15"/>
      <c r="Q318" s="15"/>
      <c r="R318" s="15"/>
      <c r="S318" s="15"/>
      <c r="T318" s="15"/>
      <c r="U318" s="15"/>
      <c r="V318" s="15"/>
      <c r="W318" s="15"/>
      <c r="X318" s="15"/>
      <c r="Y318" s="15"/>
      <c r="Z318" s="15"/>
      <c r="AA318" s="15"/>
      <c r="AB318" s="15"/>
    </row>
    <row r="319">
      <c r="B319" s="15"/>
      <c r="C319" s="15"/>
      <c r="D319" s="15"/>
      <c r="E319" s="15"/>
      <c r="F319" s="15"/>
      <c r="G319" s="15"/>
      <c r="H319" s="15"/>
      <c r="I319" s="15"/>
      <c r="J319" s="15"/>
      <c r="K319" s="15"/>
      <c r="L319" s="15"/>
      <c r="M319" s="15"/>
      <c r="N319" s="15"/>
      <c r="O319" s="15"/>
      <c r="P319" s="15"/>
      <c r="Q319" s="15"/>
      <c r="R319" s="15"/>
      <c r="S319" s="15"/>
      <c r="T319" s="15"/>
      <c r="U319" s="15"/>
      <c r="V319" s="15"/>
      <c r="W319" s="15"/>
      <c r="X319" s="15"/>
      <c r="Y319" s="15"/>
      <c r="Z319" s="15"/>
      <c r="AA319" s="15"/>
      <c r="AB319" s="15"/>
    </row>
    <row r="320">
      <c r="B320" s="15"/>
      <c r="C320" s="15"/>
      <c r="D320" s="15"/>
      <c r="E320" s="15"/>
      <c r="F320" s="15"/>
      <c r="G320" s="15"/>
      <c r="H320" s="15"/>
      <c r="I320" s="15"/>
      <c r="J320" s="15"/>
      <c r="K320" s="15"/>
      <c r="L320" s="15"/>
      <c r="M320" s="15"/>
      <c r="N320" s="15"/>
      <c r="O320" s="15"/>
      <c r="P320" s="15"/>
      <c r="Q320" s="15"/>
      <c r="R320" s="15"/>
      <c r="S320" s="15"/>
      <c r="T320" s="15"/>
      <c r="U320" s="15"/>
      <c r="V320" s="15"/>
      <c r="W320" s="15"/>
      <c r="X320" s="15"/>
      <c r="Y320" s="15"/>
      <c r="Z320" s="15"/>
      <c r="AA320" s="15"/>
      <c r="AB320" s="15"/>
    </row>
    <row r="321">
      <c r="B321" s="15"/>
      <c r="C321" s="15"/>
      <c r="D321" s="15"/>
      <c r="E321" s="15"/>
      <c r="F321" s="15"/>
      <c r="G321" s="15"/>
      <c r="H321" s="15"/>
      <c r="I321" s="15"/>
      <c r="J321" s="15"/>
      <c r="K321" s="15"/>
      <c r="L321" s="15"/>
      <c r="M321" s="15"/>
      <c r="N321" s="15"/>
      <c r="O321" s="15"/>
      <c r="P321" s="15"/>
      <c r="Q321" s="15"/>
      <c r="R321" s="15"/>
      <c r="S321" s="15"/>
      <c r="T321" s="15"/>
      <c r="U321" s="15"/>
      <c r="V321" s="15"/>
      <c r="W321" s="15"/>
      <c r="X321" s="15"/>
      <c r="Y321" s="15"/>
      <c r="Z321" s="15"/>
      <c r="AA321" s="15"/>
      <c r="AB321" s="15"/>
    </row>
    <row r="322">
      <c r="B322" s="15"/>
      <c r="C322" s="15"/>
      <c r="D322" s="15"/>
      <c r="E322" s="15"/>
      <c r="F322" s="15"/>
      <c r="G322" s="15"/>
      <c r="H322" s="15"/>
      <c r="I322" s="15"/>
      <c r="J322" s="15"/>
      <c r="K322" s="15"/>
      <c r="L322" s="15"/>
      <c r="M322" s="15"/>
      <c r="N322" s="15"/>
      <c r="O322" s="15"/>
      <c r="P322" s="15"/>
      <c r="Q322" s="15"/>
      <c r="R322" s="15"/>
      <c r="S322" s="15"/>
      <c r="T322" s="15"/>
      <c r="U322" s="15"/>
      <c r="V322" s="15"/>
      <c r="W322" s="15"/>
      <c r="X322" s="15"/>
      <c r="Y322" s="15"/>
      <c r="Z322" s="15"/>
      <c r="AA322" s="15"/>
      <c r="AB322" s="15"/>
    </row>
    <row r="323">
      <c r="B323" s="15"/>
      <c r="C323" s="15"/>
      <c r="D323" s="15"/>
      <c r="E323" s="15"/>
      <c r="F323" s="15"/>
      <c r="G323" s="15"/>
      <c r="H323" s="15"/>
      <c r="I323" s="15"/>
      <c r="J323" s="15"/>
      <c r="K323" s="15"/>
      <c r="L323" s="15"/>
      <c r="M323" s="15"/>
      <c r="N323" s="15"/>
      <c r="O323" s="15"/>
      <c r="P323" s="15"/>
      <c r="Q323" s="15"/>
      <c r="R323" s="15"/>
      <c r="S323" s="15"/>
      <c r="T323" s="15"/>
      <c r="U323" s="15"/>
      <c r="V323" s="15"/>
      <c r="W323" s="15"/>
      <c r="X323" s="15"/>
      <c r="Y323" s="15"/>
      <c r="Z323" s="15"/>
      <c r="AA323" s="15"/>
      <c r="AB323" s="15"/>
    </row>
    <row r="324">
      <c r="B324" s="15"/>
      <c r="C324" s="15"/>
      <c r="D324" s="15"/>
      <c r="E324" s="15"/>
      <c r="F324" s="15"/>
      <c r="G324" s="15"/>
      <c r="H324" s="15"/>
      <c r="I324" s="15"/>
      <c r="J324" s="15"/>
      <c r="K324" s="15"/>
      <c r="L324" s="15"/>
      <c r="M324" s="15"/>
      <c r="N324" s="15"/>
      <c r="O324" s="15"/>
      <c r="P324" s="15"/>
      <c r="Q324" s="15"/>
      <c r="R324" s="15"/>
      <c r="S324" s="15"/>
      <c r="T324" s="15"/>
      <c r="U324" s="15"/>
      <c r="V324" s="15"/>
      <c r="W324" s="15"/>
      <c r="X324" s="15"/>
      <c r="Y324" s="15"/>
      <c r="Z324" s="15"/>
      <c r="AA324" s="15"/>
      <c r="AB324" s="15"/>
    </row>
    <row r="325">
      <c r="B325" s="15"/>
      <c r="C325" s="15"/>
      <c r="D325" s="15"/>
      <c r="E325" s="15"/>
      <c r="F325" s="15"/>
      <c r="G325" s="15"/>
      <c r="H325" s="15"/>
      <c r="I325" s="15"/>
      <c r="J325" s="15"/>
      <c r="K325" s="15"/>
      <c r="L325" s="15"/>
      <c r="M325" s="15"/>
      <c r="N325" s="15"/>
      <c r="O325" s="15"/>
      <c r="P325" s="15"/>
      <c r="Q325" s="15"/>
      <c r="R325" s="15"/>
      <c r="S325" s="15"/>
      <c r="T325" s="15"/>
      <c r="U325" s="15"/>
      <c r="V325" s="15"/>
      <c r="W325" s="15"/>
      <c r="X325" s="15"/>
      <c r="Y325" s="15"/>
      <c r="Z325" s="15"/>
      <c r="AA325" s="15"/>
      <c r="AB325" s="15"/>
    </row>
    <row r="326">
      <c r="B326" s="15"/>
      <c r="C326" s="15"/>
      <c r="D326" s="15"/>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row>
    <row r="327">
      <c r="B327" s="15"/>
      <c r="C327" s="15"/>
      <c r="D327" s="15"/>
      <c r="E327" s="15"/>
      <c r="F327" s="15"/>
      <c r="G327" s="15"/>
      <c r="H327" s="15"/>
      <c r="I327" s="15"/>
      <c r="J327" s="15"/>
      <c r="K327" s="15"/>
      <c r="L327" s="15"/>
      <c r="M327" s="15"/>
      <c r="N327" s="15"/>
      <c r="O327" s="15"/>
      <c r="P327" s="15"/>
      <c r="Q327" s="15"/>
      <c r="R327" s="15"/>
      <c r="S327" s="15"/>
      <c r="T327" s="15"/>
      <c r="U327" s="15"/>
      <c r="V327" s="15"/>
      <c r="W327" s="15"/>
      <c r="X327" s="15"/>
      <c r="Y327" s="15"/>
      <c r="Z327" s="15"/>
      <c r="AA327" s="15"/>
      <c r="AB327" s="15"/>
    </row>
    <row r="328">
      <c r="B328" s="15"/>
      <c r="C328" s="15"/>
      <c r="D328" s="15"/>
      <c r="E328" s="15"/>
      <c r="F328" s="15"/>
      <c r="G328" s="15"/>
      <c r="H328" s="15"/>
      <c r="I328" s="15"/>
      <c r="J328" s="15"/>
      <c r="K328" s="15"/>
      <c r="L328" s="15"/>
      <c r="M328" s="15"/>
      <c r="N328" s="15"/>
      <c r="O328" s="15"/>
      <c r="P328" s="15"/>
      <c r="Q328" s="15"/>
      <c r="R328" s="15"/>
      <c r="S328" s="15"/>
      <c r="T328" s="15"/>
      <c r="U328" s="15"/>
      <c r="V328" s="15"/>
      <c r="W328" s="15"/>
      <c r="X328" s="15"/>
      <c r="Y328" s="15"/>
      <c r="Z328" s="15"/>
      <c r="AA328" s="15"/>
      <c r="AB328" s="15"/>
    </row>
    <row r="329">
      <c r="B329" s="15"/>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c r="AA329" s="15"/>
      <c r="AB329" s="15"/>
    </row>
    <row r="330">
      <c r="B330" s="15"/>
      <c r="C330" s="15"/>
      <c r="D330" s="15"/>
      <c r="E330" s="15"/>
      <c r="F330" s="15"/>
      <c r="G330" s="15"/>
      <c r="H330" s="15"/>
      <c r="I330" s="15"/>
      <c r="J330" s="15"/>
      <c r="K330" s="15"/>
      <c r="L330" s="15"/>
      <c r="M330" s="15"/>
      <c r="N330" s="15"/>
      <c r="O330" s="15"/>
      <c r="P330" s="15"/>
      <c r="Q330" s="15"/>
      <c r="R330" s="15"/>
      <c r="S330" s="15"/>
      <c r="T330" s="15"/>
      <c r="U330" s="15"/>
      <c r="V330" s="15"/>
      <c r="W330" s="15"/>
      <c r="X330" s="15"/>
      <c r="Y330" s="15"/>
      <c r="Z330" s="15"/>
      <c r="AA330" s="15"/>
      <c r="AB330" s="15"/>
    </row>
    <row r="331">
      <c r="B331" s="15"/>
      <c r="C331" s="15"/>
      <c r="D331" s="15"/>
      <c r="E331" s="15"/>
      <c r="F331" s="15"/>
      <c r="G331" s="15"/>
      <c r="H331" s="15"/>
      <c r="I331" s="15"/>
      <c r="J331" s="15"/>
      <c r="K331" s="15"/>
      <c r="L331" s="15"/>
      <c r="M331" s="15"/>
      <c r="N331" s="15"/>
      <c r="O331" s="15"/>
      <c r="P331" s="15"/>
      <c r="Q331" s="15"/>
      <c r="R331" s="15"/>
      <c r="S331" s="15"/>
      <c r="T331" s="15"/>
      <c r="U331" s="15"/>
      <c r="V331" s="15"/>
      <c r="W331" s="15"/>
      <c r="X331" s="15"/>
      <c r="Y331" s="15"/>
      <c r="Z331" s="15"/>
      <c r="AA331" s="15"/>
      <c r="AB331" s="15"/>
    </row>
    <row r="332">
      <c r="B332" s="15"/>
      <c r="C332" s="15"/>
      <c r="D332" s="15"/>
      <c r="E332" s="15"/>
      <c r="F332" s="15"/>
      <c r="G332" s="15"/>
      <c r="H332" s="15"/>
      <c r="I332" s="15"/>
      <c r="J332" s="15"/>
      <c r="K332" s="15"/>
      <c r="L332" s="15"/>
      <c r="M332" s="15"/>
      <c r="N332" s="15"/>
      <c r="O332" s="15"/>
      <c r="P332" s="15"/>
      <c r="Q332" s="15"/>
      <c r="R332" s="15"/>
      <c r="S332" s="15"/>
      <c r="T332" s="15"/>
      <c r="U332" s="15"/>
      <c r="V332" s="15"/>
      <c r="W332" s="15"/>
      <c r="X332" s="15"/>
      <c r="Y332" s="15"/>
      <c r="Z332" s="15"/>
      <c r="AA332" s="15"/>
      <c r="AB332" s="15"/>
    </row>
    <row r="333">
      <c r="B333" s="15"/>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row>
    <row r="334">
      <c r="B334" s="15"/>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c r="AA334" s="15"/>
      <c r="AB334" s="15"/>
    </row>
    <row r="335">
      <c r="B335" s="15"/>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row>
    <row r="336">
      <c r="B336" s="15"/>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c r="AA336" s="15"/>
      <c r="AB336" s="15"/>
    </row>
    <row r="337">
      <c r="B337" s="15"/>
      <c r="C337" s="15"/>
      <c r="D337" s="15"/>
      <c r="E337" s="15"/>
      <c r="F337" s="15"/>
      <c r="G337" s="15"/>
      <c r="H337" s="15"/>
      <c r="I337" s="15"/>
      <c r="J337" s="15"/>
      <c r="K337" s="15"/>
      <c r="L337" s="15"/>
      <c r="M337" s="15"/>
      <c r="N337" s="15"/>
      <c r="O337" s="15"/>
      <c r="P337" s="15"/>
      <c r="Q337" s="15"/>
      <c r="R337" s="15"/>
      <c r="S337" s="15"/>
      <c r="T337" s="15"/>
      <c r="U337" s="15"/>
      <c r="V337" s="15"/>
      <c r="W337" s="15"/>
      <c r="X337" s="15"/>
      <c r="Y337" s="15"/>
      <c r="Z337" s="15"/>
      <c r="AA337" s="15"/>
      <c r="AB337" s="15"/>
    </row>
    <row r="338">
      <c r="B338" s="15"/>
      <c r="C338" s="15"/>
      <c r="D338" s="15"/>
      <c r="E338" s="15"/>
      <c r="F338" s="15"/>
      <c r="G338" s="15"/>
      <c r="H338" s="15"/>
      <c r="I338" s="15"/>
      <c r="J338" s="15"/>
      <c r="K338" s="15"/>
      <c r="L338" s="15"/>
      <c r="M338" s="15"/>
      <c r="N338" s="15"/>
      <c r="O338" s="15"/>
      <c r="P338" s="15"/>
      <c r="Q338" s="15"/>
      <c r="R338" s="15"/>
      <c r="S338" s="15"/>
      <c r="T338" s="15"/>
      <c r="U338" s="15"/>
      <c r="V338" s="15"/>
      <c r="W338" s="15"/>
      <c r="X338" s="15"/>
      <c r="Y338" s="15"/>
      <c r="Z338" s="15"/>
      <c r="AA338" s="15"/>
      <c r="AB338" s="15"/>
    </row>
    <row r="339">
      <c r="B339" s="15"/>
      <c r="C339" s="15"/>
      <c r="D339" s="15"/>
      <c r="E339" s="15"/>
      <c r="F339" s="15"/>
      <c r="G339" s="15"/>
      <c r="H339" s="15"/>
      <c r="I339" s="15"/>
      <c r="J339" s="15"/>
      <c r="K339" s="15"/>
      <c r="L339" s="15"/>
      <c r="M339" s="15"/>
      <c r="N339" s="15"/>
      <c r="O339" s="15"/>
      <c r="P339" s="15"/>
      <c r="Q339" s="15"/>
      <c r="R339" s="15"/>
      <c r="S339" s="15"/>
      <c r="T339" s="15"/>
      <c r="U339" s="15"/>
      <c r="V339" s="15"/>
      <c r="W339" s="15"/>
      <c r="X339" s="15"/>
      <c r="Y339" s="15"/>
      <c r="Z339" s="15"/>
      <c r="AA339" s="15"/>
      <c r="AB339" s="15"/>
    </row>
    <row r="340">
      <c r="B340" s="15"/>
      <c r="C340" s="15"/>
      <c r="D340" s="15"/>
      <c r="E340" s="15"/>
      <c r="F340" s="15"/>
      <c r="G340" s="15"/>
      <c r="H340" s="15"/>
      <c r="I340" s="15"/>
      <c r="J340" s="15"/>
      <c r="K340" s="15"/>
      <c r="L340" s="15"/>
      <c r="M340" s="15"/>
      <c r="N340" s="15"/>
      <c r="O340" s="15"/>
      <c r="P340" s="15"/>
      <c r="Q340" s="15"/>
      <c r="R340" s="15"/>
      <c r="S340" s="15"/>
      <c r="T340" s="15"/>
      <c r="U340" s="15"/>
      <c r="V340" s="15"/>
      <c r="W340" s="15"/>
      <c r="X340" s="15"/>
      <c r="Y340" s="15"/>
      <c r="Z340" s="15"/>
      <c r="AA340" s="15"/>
      <c r="AB340" s="15"/>
    </row>
    <row r="341">
      <c r="B341" s="15"/>
      <c r="C341" s="15"/>
      <c r="D341" s="15"/>
      <c r="E341" s="15"/>
      <c r="F341" s="15"/>
      <c r="G341" s="15"/>
      <c r="H341" s="15"/>
      <c r="I341" s="15"/>
      <c r="J341" s="15"/>
      <c r="K341" s="15"/>
      <c r="L341" s="15"/>
      <c r="M341" s="15"/>
      <c r="N341" s="15"/>
      <c r="O341" s="15"/>
      <c r="P341" s="15"/>
      <c r="Q341" s="15"/>
      <c r="R341" s="15"/>
      <c r="S341" s="15"/>
      <c r="T341" s="15"/>
      <c r="U341" s="15"/>
      <c r="V341" s="15"/>
      <c r="W341" s="15"/>
      <c r="X341" s="15"/>
      <c r="Y341" s="15"/>
      <c r="Z341" s="15"/>
      <c r="AA341" s="15"/>
      <c r="AB341" s="15"/>
    </row>
    <row r="342">
      <c r="B342" s="15"/>
      <c r="C342" s="15"/>
      <c r="D342" s="15"/>
      <c r="E342" s="15"/>
      <c r="F342" s="15"/>
      <c r="G342" s="15"/>
      <c r="H342" s="15"/>
      <c r="I342" s="15"/>
      <c r="J342" s="15"/>
      <c r="K342" s="15"/>
      <c r="L342" s="15"/>
      <c r="M342" s="15"/>
      <c r="N342" s="15"/>
      <c r="O342" s="15"/>
      <c r="P342" s="15"/>
      <c r="Q342" s="15"/>
      <c r="R342" s="15"/>
      <c r="S342" s="15"/>
      <c r="T342" s="15"/>
      <c r="U342" s="15"/>
      <c r="V342" s="15"/>
      <c r="W342" s="15"/>
      <c r="X342" s="15"/>
      <c r="Y342" s="15"/>
      <c r="Z342" s="15"/>
      <c r="AA342" s="15"/>
      <c r="AB342" s="15"/>
    </row>
    <row r="343">
      <c r="B343" s="15"/>
      <c r="C343" s="15"/>
      <c r="D343" s="15"/>
      <c r="E343" s="15"/>
      <c r="F343" s="15"/>
      <c r="G343" s="15"/>
      <c r="H343" s="15"/>
      <c r="I343" s="15"/>
      <c r="J343" s="15"/>
      <c r="K343" s="15"/>
      <c r="L343" s="15"/>
      <c r="M343" s="15"/>
      <c r="N343" s="15"/>
      <c r="O343" s="15"/>
      <c r="P343" s="15"/>
      <c r="Q343" s="15"/>
      <c r="R343" s="15"/>
      <c r="S343" s="15"/>
      <c r="T343" s="15"/>
      <c r="U343" s="15"/>
      <c r="V343" s="15"/>
      <c r="W343" s="15"/>
      <c r="X343" s="15"/>
      <c r="Y343" s="15"/>
      <c r="Z343" s="15"/>
      <c r="AA343" s="15"/>
      <c r="AB343" s="15"/>
    </row>
    <row r="344">
      <c r="B344" s="15"/>
      <c r="C344" s="15"/>
      <c r="D344" s="15"/>
      <c r="E344" s="15"/>
      <c r="F344" s="15"/>
      <c r="G344" s="15"/>
      <c r="H344" s="15"/>
      <c r="I344" s="15"/>
      <c r="J344" s="15"/>
      <c r="K344" s="15"/>
      <c r="L344" s="15"/>
      <c r="M344" s="15"/>
      <c r="N344" s="15"/>
      <c r="O344" s="15"/>
      <c r="P344" s="15"/>
      <c r="Q344" s="15"/>
      <c r="R344" s="15"/>
      <c r="S344" s="15"/>
      <c r="T344" s="15"/>
      <c r="U344" s="15"/>
      <c r="V344" s="15"/>
      <c r="W344" s="15"/>
      <c r="X344" s="15"/>
      <c r="Y344" s="15"/>
      <c r="Z344" s="15"/>
      <c r="AA344" s="15"/>
      <c r="AB344" s="15"/>
    </row>
    <row r="345">
      <c r="B345" s="15"/>
      <c r="C345" s="15"/>
      <c r="D345" s="15"/>
      <c r="E345" s="15"/>
      <c r="F345" s="15"/>
      <c r="G345" s="15"/>
      <c r="H345" s="15"/>
      <c r="I345" s="15"/>
      <c r="J345" s="15"/>
      <c r="K345" s="15"/>
      <c r="L345" s="15"/>
      <c r="M345" s="15"/>
      <c r="N345" s="15"/>
      <c r="O345" s="15"/>
      <c r="P345" s="15"/>
      <c r="Q345" s="15"/>
      <c r="R345" s="15"/>
      <c r="S345" s="15"/>
      <c r="T345" s="15"/>
      <c r="U345" s="15"/>
      <c r="V345" s="15"/>
      <c r="W345" s="15"/>
      <c r="X345" s="15"/>
      <c r="Y345" s="15"/>
      <c r="Z345" s="15"/>
      <c r="AA345" s="15"/>
      <c r="AB345" s="15"/>
    </row>
    <row r="346">
      <c r="B346" s="15"/>
      <c r="C346" s="15"/>
      <c r="D346" s="15"/>
      <c r="E346" s="15"/>
      <c r="F346" s="15"/>
      <c r="G346" s="15"/>
      <c r="H346" s="15"/>
      <c r="I346" s="15"/>
      <c r="J346" s="15"/>
      <c r="K346" s="15"/>
      <c r="L346" s="15"/>
      <c r="M346" s="15"/>
      <c r="N346" s="15"/>
      <c r="O346" s="15"/>
      <c r="P346" s="15"/>
      <c r="Q346" s="15"/>
      <c r="R346" s="15"/>
      <c r="S346" s="15"/>
      <c r="T346" s="15"/>
      <c r="U346" s="15"/>
      <c r="V346" s="15"/>
      <c r="W346" s="15"/>
      <c r="X346" s="15"/>
      <c r="Y346" s="15"/>
      <c r="Z346" s="15"/>
      <c r="AA346" s="15"/>
      <c r="AB346" s="15"/>
    </row>
    <row r="347">
      <c r="B347" s="15"/>
      <c r="C347" s="15"/>
      <c r="D347" s="15"/>
      <c r="E347" s="15"/>
      <c r="F347" s="15"/>
      <c r="G347" s="15"/>
      <c r="H347" s="15"/>
      <c r="I347" s="15"/>
      <c r="J347" s="15"/>
      <c r="K347" s="15"/>
      <c r="L347" s="15"/>
      <c r="M347" s="15"/>
      <c r="N347" s="15"/>
      <c r="O347" s="15"/>
      <c r="P347" s="15"/>
      <c r="Q347" s="15"/>
      <c r="R347" s="15"/>
      <c r="S347" s="15"/>
      <c r="T347" s="15"/>
      <c r="U347" s="15"/>
      <c r="V347" s="15"/>
      <c r="W347" s="15"/>
      <c r="X347" s="15"/>
      <c r="Y347" s="15"/>
      <c r="Z347" s="15"/>
      <c r="AA347" s="15"/>
      <c r="AB347" s="15"/>
    </row>
    <row r="348">
      <c r="B348" s="15"/>
      <c r="C348" s="15"/>
      <c r="D348" s="15"/>
      <c r="E348" s="15"/>
      <c r="F348" s="15"/>
      <c r="G348" s="15"/>
      <c r="H348" s="15"/>
      <c r="I348" s="15"/>
      <c r="J348" s="15"/>
      <c r="K348" s="15"/>
      <c r="L348" s="15"/>
      <c r="M348" s="15"/>
      <c r="N348" s="15"/>
      <c r="O348" s="15"/>
      <c r="P348" s="15"/>
      <c r="Q348" s="15"/>
      <c r="R348" s="15"/>
      <c r="S348" s="15"/>
      <c r="T348" s="15"/>
      <c r="U348" s="15"/>
      <c r="V348" s="15"/>
      <c r="W348" s="15"/>
      <c r="X348" s="15"/>
      <c r="Y348" s="15"/>
      <c r="Z348" s="15"/>
      <c r="AA348" s="15"/>
      <c r="AB348" s="15"/>
    </row>
    <row r="349">
      <c r="B349" s="15"/>
      <c r="C349" s="15"/>
      <c r="D349" s="15"/>
      <c r="E349" s="15"/>
      <c r="F349" s="15"/>
      <c r="G349" s="15"/>
      <c r="H349" s="15"/>
      <c r="I349" s="15"/>
      <c r="J349" s="15"/>
      <c r="K349" s="15"/>
      <c r="L349" s="15"/>
      <c r="M349" s="15"/>
      <c r="N349" s="15"/>
      <c r="O349" s="15"/>
      <c r="P349" s="15"/>
      <c r="Q349" s="15"/>
      <c r="R349" s="15"/>
      <c r="S349" s="15"/>
      <c r="T349" s="15"/>
      <c r="U349" s="15"/>
      <c r="V349" s="15"/>
      <c r="W349" s="15"/>
      <c r="X349" s="15"/>
      <c r="Y349" s="15"/>
      <c r="Z349" s="15"/>
      <c r="AA349" s="15"/>
      <c r="AB349" s="15"/>
    </row>
    <row r="350">
      <c r="B350" s="15"/>
      <c r="C350" s="15"/>
      <c r="D350" s="15"/>
      <c r="E350" s="15"/>
      <c r="F350" s="15"/>
      <c r="G350" s="15"/>
      <c r="H350" s="15"/>
      <c r="I350" s="15"/>
      <c r="J350" s="15"/>
      <c r="K350" s="15"/>
      <c r="L350" s="15"/>
      <c r="M350" s="15"/>
      <c r="N350" s="15"/>
      <c r="O350" s="15"/>
      <c r="P350" s="15"/>
      <c r="Q350" s="15"/>
      <c r="R350" s="15"/>
      <c r="S350" s="15"/>
      <c r="T350" s="15"/>
      <c r="U350" s="15"/>
      <c r="V350" s="15"/>
      <c r="W350" s="15"/>
      <c r="X350" s="15"/>
      <c r="Y350" s="15"/>
      <c r="Z350" s="15"/>
      <c r="AA350" s="15"/>
      <c r="AB350" s="15"/>
    </row>
    <row r="351">
      <c r="B351" s="15"/>
      <c r="C351" s="15"/>
      <c r="D351" s="15"/>
      <c r="E351" s="15"/>
      <c r="F351" s="15"/>
      <c r="G351" s="15"/>
      <c r="H351" s="15"/>
      <c r="I351" s="15"/>
      <c r="J351" s="15"/>
      <c r="K351" s="15"/>
      <c r="L351" s="15"/>
      <c r="M351" s="15"/>
      <c r="N351" s="15"/>
      <c r="O351" s="15"/>
      <c r="P351" s="15"/>
      <c r="Q351" s="15"/>
      <c r="R351" s="15"/>
      <c r="S351" s="15"/>
      <c r="T351" s="15"/>
      <c r="U351" s="15"/>
      <c r="V351" s="15"/>
      <c r="W351" s="15"/>
      <c r="X351" s="15"/>
      <c r="Y351" s="15"/>
      <c r="Z351" s="15"/>
      <c r="AA351" s="15"/>
      <c r="AB351" s="15"/>
    </row>
    <row r="352">
      <c r="B352" s="15"/>
      <c r="C352" s="15"/>
      <c r="D352" s="15"/>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row>
    <row r="353">
      <c r="B353" s="15"/>
      <c r="C353" s="15"/>
      <c r="D353" s="15"/>
      <c r="E353" s="15"/>
      <c r="F353" s="15"/>
      <c r="G353" s="15"/>
      <c r="H353" s="15"/>
      <c r="I353" s="15"/>
      <c r="J353" s="15"/>
      <c r="K353" s="15"/>
      <c r="L353" s="15"/>
      <c r="M353" s="15"/>
      <c r="N353" s="15"/>
      <c r="O353" s="15"/>
      <c r="P353" s="15"/>
      <c r="Q353" s="15"/>
      <c r="R353" s="15"/>
      <c r="S353" s="15"/>
      <c r="T353" s="15"/>
      <c r="U353" s="15"/>
      <c r="V353" s="15"/>
      <c r="W353" s="15"/>
      <c r="X353" s="15"/>
      <c r="Y353" s="15"/>
      <c r="Z353" s="15"/>
      <c r="AA353" s="15"/>
      <c r="AB353" s="15"/>
    </row>
    <row r="354">
      <c r="B354" s="15"/>
      <c r="C354" s="15"/>
      <c r="D354" s="15"/>
      <c r="E354" s="15"/>
      <c r="F354" s="15"/>
      <c r="G354" s="15"/>
      <c r="H354" s="15"/>
      <c r="I354" s="15"/>
      <c r="J354" s="15"/>
      <c r="K354" s="15"/>
      <c r="L354" s="15"/>
      <c r="M354" s="15"/>
      <c r="N354" s="15"/>
      <c r="O354" s="15"/>
      <c r="P354" s="15"/>
      <c r="Q354" s="15"/>
      <c r="R354" s="15"/>
      <c r="S354" s="15"/>
      <c r="T354" s="15"/>
      <c r="U354" s="15"/>
      <c r="V354" s="15"/>
      <c r="W354" s="15"/>
      <c r="X354" s="15"/>
      <c r="Y354" s="15"/>
      <c r="Z354" s="15"/>
      <c r="AA354" s="15"/>
      <c r="AB354" s="15"/>
    </row>
    <row r="355">
      <c r="B355" s="15"/>
      <c r="C355" s="15"/>
      <c r="D355" s="15"/>
      <c r="E355" s="15"/>
      <c r="F355" s="15"/>
      <c r="G355" s="15"/>
      <c r="H355" s="15"/>
      <c r="I355" s="15"/>
      <c r="J355" s="15"/>
      <c r="K355" s="15"/>
      <c r="L355" s="15"/>
      <c r="M355" s="15"/>
      <c r="N355" s="15"/>
      <c r="O355" s="15"/>
      <c r="P355" s="15"/>
      <c r="Q355" s="15"/>
      <c r="R355" s="15"/>
      <c r="S355" s="15"/>
      <c r="T355" s="15"/>
      <c r="U355" s="15"/>
      <c r="V355" s="15"/>
      <c r="W355" s="15"/>
      <c r="X355" s="15"/>
      <c r="Y355" s="15"/>
      <c r="Z355" s="15"/>
      <c r="AA355" s="15"/>
      <c r="AB355" s="15"/>
    </row>
    <row r="356">
      <c r="B356" s="15"/>
      <c r="C356" s="15"/>
      <c r="D356" s="15"/>
      <c r="E356" s="15"/>
      <c r="F356" s="15"/>
      <c r="G356" s="15"/>
      <c r="H356" s="15"/>
      <c r="I356" s="15"/>
      <c r="J356" s="15"/>
      <c r="K356" s="15"/>
      <c r="L356" s="15"/>
      <c r="M356" s="15"/>
      <c r="N356" s="15"/>
      <c r="O356" s="15"/>
      <c r="P356" s="15"/>
      <c r="Q356" s="15"/>
      <c r="R356" s="15"/>
      <c r="S356" s="15"/>
      <c r="T356" s="15"/>
      <c r="U356" s="15"/>
      <c r="V356" s="15"/>
      <c r="W356" s="15"/>
      <c r="X356" s="15"/>
      <c r="Y356" s="15"/>
      <c r="Z356" s="15"/>
      <c r="AA356" s="15"/>
      <c r="AB356" s="15"/>
    </row>
    <row r="357">
      <c r="B357" s="15"/>
      <c r="C357" s="15"/>
      <c r="D357" s="15"/>
      <c r="E357" s="15"/>
      <c r="F357" s="15"/>
      <c r="G357" s="15"/>
      <c r="H357" s="15"/>
      <c r="I357" s="15"/>
      <c r="J357" s="15"/>
      <c r="K357" s="15"/>
      <c r="L357" s="15"/>
      <c r="M357" s="15"/>
      <c r="N357" s="15"/>
      <c r="O357" s="15"/>
      <c r="P357" s="15"/>
      <c r="Q357" s="15"/>
      <c r="R357" s="15"/>
      <c r="S357" s="15"/>
      <c r="T357" s="15"/>
      <c r="U357" s="15"/>
      <c r="V357" s="15"/>
      <c r="W357" s="15"/>
      <c r="X357" s="15"/>
      <c r="Y357" s="15"/>
      <c r="Z357" s="15"/>
      <c r="AA357" s="15"/>
      <c r="AB357" s="15"/>
    </row>
    <row r="358">
      <c r="B358" s="15"/>
      <c r="C358" s="15"/>
      <c r="D358" s="15"/>
      <c r="E358" s="15"/>
      <c r="F358" s="15"/>
      <c r="G358" s="15"/>
      <c r="H358" s="15"/>
      <c r="I358" s="15"/>
      <c r="J358" s="15"/>
      <c r="K358" s="15"/>
      <c r="L358" s="15"/>
      <c r="M358" s="15"/>
      <c r="N358" s="15"/>
      <c r="O358" s="15"/>
      <c r="P358" s="15"/>
      <c r="Q358" s="15"/>
      <c r="R358" s="15"/>
      <c r="S358" s="15"/>
      <c r="T358" s="15"/>
      <c r="U358" s="15"/>
      <c r="V358" s="15"/>
      <c r="W358" s="15"/>
      <c r="X358" s="15"/>
      <c r="Y358" s="15"/>
      <c r="Z358" s="15"/>
      <c r="AA358" s="15"/>
      <c r="AB358" s="15"/>
    </row>
    <row r="359">
      <c r="B359" s="15"/>
      <c r="C359" s="15"/>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row>
    <row r="360">
      <c r="B360" s="15"/>
      <c r="C360" s="15"/>
      <c r="D360" s="15"/>
      <c r="E360" s="15"/>
      <c r="F360" s="15"/>
      <c r="G360" s="15"/>
      <c r="H360" s="15"/>
      <c r="I360" s="15"/>
      <c r="J360" s="15"/>
      <c r="K360" s="15"/>
      <c r="L360" s="15"/>
      <c r="M360" s="15"/>
      <c r="N360" s="15"/>
      <c r="O360" s="15"/>
      <c r="P360" s="15"/>
      <c r="Q360" s="15"/>
      <c r="R360" s="15"/>
      <c r="S360" s="15"/>
      <c r="T360" s="15"/>
      <c r="U360" s="15"/>
      <c r="V360" s="15"/>
      <c r="W360" s="15"/>
      <c r="X360" s="15"/>
      <c r="Y360" s="15"/>
      <c r="Z360" s="15"/>
      <c r="AA360" s="15"/>
      <c r="AB360" s="15"/>
    </row>
    <row r="361">
      <c r="B361" s="15"/>
      <c r="C361" s="15"/>
      <c r="D361" s="15"/>
      <c r="E361" s="15"/>
      <c r="F361" s="15"/>
      <c r="G361" s="15"/>
      <c r="H361" s="15"/>
      <c r="I361" s="15"/>
      <c r="J361" s="15"/>
      <c r="K361" s="15"/>
      <c r="L361" s="15"/>
      <c r="M361" s="15"/>
      <c r="N361" s="15"/>
      <c r="O361" s="15"/>
      <c r="P361" s="15"/>
      <c r="Q361" s="15"/>
      <c r="R361" s="15"/>
      <c r="S361" s="15"/>
      <c r="T361" s="15"/>
      <c r="U361" s="15"/>
      <c r="V361" s="15"/>
      <c r="W361" s="15"/>
      <c r="X361" s="15"/>
      <c r="Y361" s="15"/>
      <c r="Z361" s="15"/>
      <c r="AA361" s="15"/>
      <c r="AB361" s="15"/>
    </row>
    <row r="362">
      <c r="B362" s="15"/>
      <c r="C362" s="15"/>
      <c r="D362" s="15"/>
      <c r="E362" s="15"/>
      <c r="F362" s="15"/>
      <c r="G362" s="15"/>
      <c r="H362" s="15"/>
      <c r="I362" s="15"/>
      <c r="J362" s="15"/>
      <c r="K362" s="15"/>
      <c r="L362" s="15"/>
      <c r="M362" s="15"/>
      <c r="N362" s="15"/>
      <c r="O362" s="15"/>
      <c r="P362" s="15"/>
      <c r="Q362" s="15"/>
      <c r="R362" s="15"/>
      <c r="S362" s="15"/>
      <c r="T362" s="15"/>
      <c r="U362" s="15"/>
      <c r="V362" s="15"/>
      <c r="W362" s="15"/>
      <c r="X362" s="15"/>
      <c r="Y362" s="15"/>
      <c r="Z362" s="15"/>
      <c r="AA362" s="15"/>
      <c r="AB362" s="15"/>
    </row>
    <row r="363">
      <c r="B363" s="15"/>
      <c r="C363" s="15"/>
      <c r="D363" s="15"/>
      <c r="E363" s="15"/>
      <c r="F363" s="15"/>
      <c r="G363" s="15"/>
      <c r="H363" s="15"/>
      <c r="I363" s="15"/>
      <c r="J363" s="15"/>
      <c r="K363" s="15"/>
      <c r="L363" s="15"/>
      <c r="M363" s="15"/>
      <c r="N363" s="15"/>
      <c r="O363" s="15"/>
      <c r="P363" s="15"/>
      <c r="Q363" s="15"/>
      <c r="R363" s="15"/>
      <c r="S363" s="15"/>
      <c r="T363" s="15"/>
      <c r="U363" s="15"/>
      <c r="V363" s="15"/>
      <c r="W363" s="15"/>
      <c r="X363" s="15"/>
      <c r="Y363" s="15"/>
      <c r="Z363" s="15"/>
      <c r="AA363" s="15"/>
      <c r="AB363" s="15"/>
    </row>
    <row r="364">
      <c r="B364" s="15"/>
      <c r="C364" s="15"/>
      <c r="D364" s="15"/>
      <c r="E364" s="15"/>
      <c r="F364" s="15"/>
      <c r="G364" s="15"/>
      <c r="H364" s="15"/>
      <c r="I364" s="15"/>
      <c r="J364" s="15"/>
      <c r="K364" s="15"/>
      <c r="L364" s="15"/>
      <c r="M364" s="15"/>
      <c r="N364" s="15"/>
      <c r="O364" s="15"/>
      <c r="P364" s="15"/>
      <c r="Q364" s="15"/>
      <c r="R364" s="15"/>
      <c r="S364" s="15"/>
      <c r="T364" s="15"/>
      <c r="U364" s="15"/>
      <c r="V364" s="15"/>
      <c r="W364" s="15"/>
      <c r="X364" s="15"/>
      <c r="Y364" s="15"/>
      <c r="Z364" s="15"/>
      <c r="AA364" s="15"/>
      <c r="AB364" s="15"/>
    </row>
    <row r="365">
      <c r="B365" s="15"/>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c r="AA365" s="15"/>
      <c r="AB365" s="15"/>
    </row>
    <row r="366">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c r="AA366" s="15"/>
      <c r="AB366" s="15"/>
    </row>
    <row r="367">
      <c r="B367" s="15"/>
      <c r="C367" s="15"/>
      <c r="D367" s="15"/>
      <c r="E367" s="15"/>
      <c r="F367" s="15"/>
      <c r="G367" s="15"/>
      <c r="H367" s="15"/>
      <c r="I367" s="15"/>
      <c r="J367" s="15"/>
      <c r="K367" s="15"/>
      <c r="L367" s="15"/>
      <c r="M367" s="15"/>
      <c r="N367" s="15"/>
      <c r="O367" s="15"/>
      <c r="P367" s="15"/>
      <c r="Q367" s="15"/>
      <c r="R367" s="15"/>
      <c r="S367" s="15"/>
      <c r="T367" s="15"/>
      <c r="U367" s="15"/>
      <c r="V367" s="15"/>
      <c r="W367" s="15"/>
      <c r="X367" s="15"/>
      <c r="Y367" s="15"/>
      <c r="Z367" s="15"/>
      <c r="AA367" s="15"/>
      <c r="AB367" s="15"/>
    </row>
    <row r="368">
      <c r="B368" s="15"/>
      <c r="C368" s="15"/>
      <c r="D368" s="15"/>
      <c r="E368" s="15"/>
      <c r="F368" s="15"/>
      <c r="G368" s="15"/>
      <c r="H368" s="15"/>
      <c r="I368" s="15"/>
      <c r="J368" s="15"/>
      <c r="K368" s="15"/>
      <c r="L368" s="15"/>
      <c r="M368" s="15"/>
      <c r="N368" s="15"/>
      <c r="O368" s="15"/>
      <c r="P368" s="15"/>
      <c r="Q368" s="15"/>
      <c r="R368" s="15"/>
      <c r="S368" s="15"/>
      <c r="T368" s="15"/>
      <c r="U368" s="15"/>
      <c r="V368" s="15"/>
      <c r="W368" s="15"/>
      <c r="X368" s="15"/>
      <c r="Y368" s="15"/>
      <c r="Z368" s="15"/>
      <c r="AA368" s="15"/>
      <c r="AB368" s="15"/>
    </row>
    <row r="369">
      <c r="B369" s="15"/>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c r="AA369" s="15"/>
      <c r="AB369" s="15"/>
    </row>
    <row r="370">
      <c r="B370" s="15"/>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c r="AA370" s="15"/>
      <c r="AB370" s="15"/>
    </row>
    <row r="371">
      <c r="B371" s="15"/>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row>
    <row r="372">
      <c r="B372" s="15"/>
      <c r="C372" s="15"/>
      <c r="D372" s="15"/>
      <c r="E372" s="15"/>
      <c r="F372" s="15"/>
      <c r="G372" s="15"/>
      <c r="H372" s="15"/>
      <c r="I372" s="15"/>
      <c r="J372" s="15"/>
      <c r="K372" s="15"/>
      <c r="L372" s="15"/>
      <c r="M372" s="15"/>
      <c r="N372" s="15"/>
      <c r="O372" s="15"/>
      <c r="P372" s="15"/>
      <c r="Q372" s="15"/>
      <c r="R372" s="15"/>
      <c r="S372" s="15"/>
      <c r="T372" s="15"/>
      <c r="U372" s="15"/>
      <c r="V372" s="15"/>
      <c r="W372" s="15"/>
      <c r="X372" s="15"/>
      <c r="Y372" s="15"/>
      <c r="Z372" s="15"/>
      <c r="AA372" s="15"/>
      <c r="AB372" s="15"/>
    </row>
    <row r="373">
      <c r="B373" s="15"/>
      <c r="C373" s="15"/>
      <c r="D373" s="15"/>
      <c r="E373" s="15"/>
      <c r="F373" s="15"/>
      <c r="G373" s="15"/>
      <c r="H373" s="15"/>
      <c r="I373" s="15"/>
      <c r="J373" s="15"/>
      <c r="K373" s="15"/>
      <c r="L373" s="15"/>
      <c r="M373" s="15"/>
      <c r="N373" s="15"/>
      <c r="O373" s="15"/>
      <c r="P373" s="15"/>
      <c r="Q373" s="15"/>
      <c r="R373" s="15"/>
      <c r="S373" s="15"/>
      <c r="T373" s="15"/>
      <c r="U373" s="15"/>
      <c r="V373" s="15"/>
      <c r="W373" s="15"/>
      <c r="X373" s="15"/>
      <c r="Y373" s="15"/>
      <c r="Z373" s="15"/>
      <c r="AA373" s="15"/>
      <c r="AB373" s="15"/>
    </row>
    <row r="374">
      <c r="B374" s="15"/>
      <c r="C374" s="15"/>
      <c r="D374" s="15"/>
      <c r="E374" s="15"/>
      <c r="F374" s="15"/>
      <c r="G374" s="15"/>
      <c r="H374" s="15"/>
      <c r="I374" s="15"/>
      <c r="J374" s="15"/>
      <c r="K374" s="15"/>
      <c r="L374" s="15"/>
      <c r="M374" s="15"/>
      <c r="N374" s="15"/>
      <c r="O374" s="15"/>
      <c r="P374" s="15"/>
      <c r="Q374" s="15"/>
      <c r="R374" s="15"/>
      <c r="S374" s="15"/>
      <c r="T374" s="15"/>
      <c r="U374" s="15"/>
      <c r="V374" s="15"/>
      <c r="W374" s="15"/>
      <c r="X374" s="15"/>
      <c r="Y374" s="15"/>
      <c r="Z374" s="15"/>
      <c r="AA374" s="15"/>
      <c r="AB374" s="15"/>
    </row>
    <row r="375">
      <c r="B375" s="15"/>
      <c r="C375" s="15"/>
      <c r="D375" s="15"/>
      <c r="E375" s="15"/>
      <c r="F375" s="15"/>
      <c r="G375" s="15"/>
      <c r="H375" s="15"/>
      <c r="I375" s="15"/>
      <c r="J375" s="15"/>
      <c r="K375" s="15"/>
      <c r="L375" s="15"/>
      <c r="M375" s="15"/>
      <c r="N375" s="15"/>
      <c r="O375" s="15"/>
      <c r="P375" s="15"/>
      <c r="Q375" s="15"/>
      <c r="R375" s="15"/>
      <c r="S375" s="15"/>
      <c r="T375" s="15"/>
      <c r="U375" s="15"/>
      <c r="V375" s="15"/>
      <c r="W375" s="15"/>
      <c r="X375" s="15"/>
      <c r="Y375" s="15"/>
      <c r="Z375" s="15"/>
      <c r="AA375" s="15"/>
      <c r="AB375" s="15"/>
    </row>
    <row r="376">
      <c r="B376" s="15"/>
      <c r="C376" s="15"/>
      <c r="D376" s="15"/>
      <c r="E376" s="15"/>
      <c r="F376" s="15"/>
      <c r="G376" s="15"/>
      <c r="H376" s="15"/>
      <c r="I376" s="15"/>
      <c r="J376" s="15"/>
      <c r="K376" s="15"/>
      <c r="L376" s="15"/>
      <c r="M376" s="15"/>
      <c r="N376" s="15"/>
      <c r="O376" s="15"/>
      <c r="P376" s="15"/>
      <c r="Q376" s="15"/>
      <c r="R376" s="15"/>
      <c r="S376" s="15"/>
      <c r="T376" s="15"/>
      <c r="U376" s="15"/>
      <c r="V376" s="15"/>
      <c r="W376" s="15"/>
      <c r="X376" s="15"/>
      <c r="Y376" s="15"/>
      <c r="Z376" s="15"/>
      <c r="AA376" s="15"/>
      <c r="AB376" s="15"/>
    </row>
    <row r="377">
      <c r="B377" s="15"/>
      <c r="C377" s="15"/>
      <c r="D377" s="15"/>
      <c r="E377" s="15"/>
      <c r="F377" s="15"/>
      <c r="G377" s="15"/>
      <c r="H377" s="15"/>
      <c r="I377" s="15"/>
      <c r="J377" s="15"/>
      <c r="K377" s="15"/>
      <c r="L377" s="15"/>
      <c r="M377" s="15"/>
      <c r="N377" s="15"/>
      <c r="O377" s="15"/>
      <c r="P377" s="15"/>
      <c r="Q377" s="15"/>
      <c r="R377" s="15"/>
      <c r="S377" s="15"/>
      <c r="T377" s="15"/>
      <c r="U377" s="15"/>
      <c r="V377" s="15"/>
      <c r="W377" s="15"/>
      <c r="X377" s="15"/>
      <c r="Y377" s="15"/>
      <c r="Z377" s="15"/>
      <c r="AA377" s="15"/>
      <c r="AB377" s="15"/>
    </row>
    <row r="378">
      <c r="B378" s="15"/>
      <c r="C378" s="15"/>
      <c r="D378" s="15"/>
      <c r="E378" s="15"/>
      <c r="F378" s="15"/>
      <c r="G378" s="15"/>
      <c r="H378" s="15"/>
      <c r="I378" s="15"/>
      <c r="J378" s="15"/>
      <c r="K378" s="15"/>
      <c r="L378" s="15"/>
      <c r="M378" s="15"/>
      <c r="N378" s="15"/>
      <c r="O378" s="15"/>
      <c r="P378" s="15"/>
      <c r="Q378" s="15"/>
      <c r="R378" s="15"/>
      <c r="S378" s="15"/>
      <c r="T378" s="15"/>
      <c r="U378" s="15"/>
      <c r="V378" s="15"/>
      <c r="W378" s="15"/>
      <c r="X378" s="15"/>
      <c r="Y378" s="15"/>
      <c r="Z378" s="15"/>
      <c r="AA378" s="15"/>
      <c r="AB378" s="15"/>
    </row>
    <row r="379">
      <c r="B379" s="15"/>
      <c r="C379" s="15"/>
      <c r="D379" s="15"/>
      <c r="E379" s="15"/>
      <c r="F379" s="15"/>
      <c r="G379" s="15"/>
      <c r="H379" s="15"/>
      <c r="I379" s="15"/>
      <c r="J379" s="15"/>
      <c r="K379" s="15"/>
      <c r="L379" s="15"/>
      <c r="M379" s="15"/>
      <c r="N379" s="15"/>
      <c r="O379" s="15"/>
      <c r="P379" s="15"/>
      <c r="Q379" s="15"/>
      <c r="R379" s="15"/>
      <c r="S379" s="15"/>
      <c r="T379" s="15"/>
      <c r="U379" s="15"/>
      <c r="V379" s="15"/>
      <c r="W379" s="15"/>
      <c r="X379" s="15"/>
      <c r="Y379" s="15"/>
      <c r="Z379" s="15"/>
      <c r="AA379" s="15"/>
      <c r="AB379" s="15"/>
    </row>
    <row r="380">
      <c r="B380" s="15"/>
      <c r="C380" s="15"/>
      <c r="D380" s="15"/>
      <c r="E380" s="15"/>
      <c r="F380" s="15"/>
      <c r="G380" s="15"/>
      <c r="H380" s="15"/>
      <c r="I380" s="15"/>
      <c r="J380" s="15"/>
      <c r="K380" s="15"/>
      <c r="L380" s="15"/>
      <c r="M380" s="15"/>
      <c r="N380" s="15"/>
      <c r="O380" s="15"/>
      <c r="P380" s="15"/>
      <c r="Q380" s="15"/>
      <c r="R380" s="15"/>
      <c r="S380" s="15"/>
      <c r="T380" s="15"/>
      <c r="U380" s="15"/>
      <c r="V380" s="15"/>
      <c r="W380" s="15"/>
      <c r="X380" s="15"/>
      <c r="Y380" s="15"/>
      <c r="Z380" s="15"/>
      <c r="AA380" s="15"/>
      <c r="AB380" s="15"/>
    </row>
    <row r="381">
      <c r="B381" s="15"/>
      <c r="C381" s="15"/>
      <c r="D381" s="15"/>
      <c r="E381" s="15"/>
      <c r="F381" s="15"/>
      <c r="G381" s="15"/>
      <c r="H381" s="15"/>
      <c r="I381" s="15"/>
      <c r="J381" s="15"/>
      <c r="K381" s="15"/>
      <c r="L381" s="15"/>
      <c r="M381" s="15"/>
      <c r="N381" s="15"/>
      <c r="O381" s="15"/>
      <c r="P381" s="15"/>
      <c r="Q381" s="15"/>
      <c r="R381" s="15"/>
      <c r="S381" s="15"/>
      <c r="T381" s="15"/>
      <c r="U381" s="15"/>
      <c r="V381" s="15"/>
      <c r="W381" s="15"/>
      <c r="X381" s="15"/>
      <c r="Y381" s="15"/>
      <c r="Z381" s="15"/>
      <c r="AA381" s="15"/>
      <c r="AB381" s="15"/>
    </row>
    <row r="382">
      <c r="B382" s="15"/>
      <c r="C382" s="15"/>
      <c r="D382" s="15"/>
      <c r="E382" s="15"/>
      <c r="F382" s="15"/>
      <c r="G382" s="15"/>
      <c r="H382" s="15"/>
      <c r="I382" s="15"/>
      <c r="J382" s="15"/>
      <c r="K382" s="15"/>
      <c r="L382" s="15"/>
      <c r="M382" s="15"/>
      <c r="N382" s="15"/>
      <c r="O382" s="15"/>
      <c r="P382" s="15"/>
      <c r="Q382" s="15"/>
      <c r="R382" s="15"/>
      <c r="S382" s="15"/>
      <c r="T382" s="15"/>
      <c r="U382" s="15"/>
      <c r="V382" s="15"/>
      <c r="W382" s="15"/>
      <c r="X382" s="15"/>
      <c r="Y382" s="15"/>
      <c r="Z382" s="15"/>
      <c r="AA382" s="15"/>
      <c r="AB382" s="15"/>
    </row>
    <row r="383">
      <c r="B383" s="15"/>
      <c r="C383" s="15"/>
      <c r="D383" s="15"/>
      <c r="E383" s="15"/>
      <c r="F383" s="15"/>
      <c r="G383" s="15"/>
      <c r="H383" s="15"/>
      <c r="I383" s="15"/>
      <c r="J383" s="15"/>
      <c r="K383" s="15"/>
      <c r="L383" s="15"/>
      <c r="M383" s="15"/>
      <c r="N383" s="15"/>
      <c r="O383" s="15"/>
      <c r="P383" s="15"/>
      <c r="Q383" s="15"/>
      <c r="R383" s="15"/>
      <c r="S383" s="15"/>
      <c r="T383" s="15"/>
      <c r="U383" s="15"/>
      <c r="V383" s="15"/>
      <c r="W383" s="15"/>
      <c r="X383" s="15"/>
      <c r="Y383" s="15"/>
      <c r="Z383" s="15"/>
      <c r="AA383" s="15"/>
      <c r="AB383" s="15"/>
    </row>
    <row r="384">
      <c r="B384" s="15"/>
      <c r="C384" s="15"/>
      <c r="D384" s="15"/>
      <c r="E384" s="15"/>
      <c r="F384" s="15"/>
      <c r="G384" s="15"/>
      <c r="H384" s="15"/>
      <c r="I384" s="15"/>
      <c r="J384" s="15"/>
      <c r="K384" s="15"/>
      <c r="L384" s="15"/>
      <c r="M384" s="15"/>
      <c r="N384" s="15"/>
      <c r="O384" s="15"/>
      <c r="P384" s="15"/>
      <c r="Q384" s="15"/>
      <c r="R384" s="15"/>
      <c r="S384" s="15"/>
      <c r="T384" s="15"/>
      <c r="U384" s="15"/>
      <c r="V384" s="15"/>
      <c r="W384" s="15"/>
      <c r="X384" s="15"/>
      <c r="Y384" s="15"/>
      <c r="Z384" s="15"/>
      <c r="AA384" s="15"/>
      <c r="AB384" s="15"/>
    </row>
    <row r="385">
      <c r="B385" s="15"/>
      <c r="C385" s="15"/>
      <c r="D385" s="15"/>
      <c r="E385" s="15"/>
      <c r="F385" s="15"/>
      <c r="G385" s="15"/>
      <c r="H385" s="15"/>
      <c r="I385" s="15"/>
      <c r="J385" s="15"/>
      <c r="K385" s="15"/>
      <c r="L385" s="15"/>
      <c r="M385" s="15"/>
      <c r="N385" s="15"/>
      <c r="O385" s="15"/>
      <c r="P385" s="15"/>
      <c r="Q385" s="15"/>
      <c r="R385" s="15"/>
      <c r="S385" s="15"/>
      <c r="T385" s="15"/>
      <c r="U385" s="15"/>
      <c r="V385" s="15"/>
      <c r="W385" s="15"/>
      <c r="X385" s="15"/>
      <c r="Y385" s="15"/>
      <c r="Z385" s="15"/>
      <c r="AA385" s="15"/>
      <c r="AB385" s="15"/>
    </row>
    <row r="386">
      <c r="B386" s="15"/>
      <c r="C386" s="15"/>
      <c r="D386" s="15"/>
      <c r="E386" s="15"/>
      <c r="F386" s="15"/>
      <c r="G386" s="15"/>
      <c r="H386" s="15"/>
      <c r="I386" s="15"/>
      <c r="J386" s="15"/>
      <c r="K386" s="15"/>
      <c r="L386" s="15"/>
      <c r="M386" s="15"/>
      <c r="N386" s="15"/>
      <c r="O386" s="15"/>
      <c r="P386" s="15"/>
      <c r="Q386" s="15"/>
      <c r="R386" s="15"/>
      <c r="S386" s="15"/>
      <c r="T386" s="15"/>
      <c r="U386" s="15"/>
      <c r="V386" s="15"/>
      <c r="W386" s="15"/>
      <c r="X386" s="15"/>
      <c r="Y386" s="15"/>
      <c r="Z386" s="15"/>
      <c r="AA386" s="15"/>
      <c r="AB386" s="15"/>
    </row>
    <row r="387">
      <c r="B387" s="15"/>
      <c r="C387" s="15"/>
      <c r="D387" s="15"/>
      <c r="E387" s="15"/>
      <c r="F387" s="15"/>
      <c r="G387" s="15"/>
      <c r="H387" s="15"/>
      <c r="I387" s="15"/>
      <c r="J387" s="15"/>
      <c r="K387" s="15"/>
      <c r="L387" s="15"/>
      <c r="M387" s="15"/>
      <c r="N387" s="15"/>
      <c r="O387" s="15"/>
      <c r="P387" s="15"/>
      <c r="Q387" s="15"/>
      <c r="R387" s="15"/>
      <c r="S387" s="15"/>
      <c r="T387" s="15"/>
      <c r="U387" s="15"/>
      <c r="V387" s="15"/>
      <c r="W387" s="15"/>
      <c r="X387" s="15"/>
      <c r="Y387" s="15"/>
      <c r="Z387" s="15"/>
      <c r="AA387" s="15"/>
      <c r="AB387" s="15"/>
    </row>
    <row r="388">
      <c r="B388" s="15"/>
      <c r="C388" s="15"/>
      <c r="D388" s="15"/>
      <c r="E388" s="15"/>
      <c r="F388" s="15"/>
      <c r="G388" s="15"/>
      <c r="H388" s="15"/>
      <c r="I388" s="15"/>
      <c r="J388" s="15"/>
      <c r="K388" s="15"/>
      <c r="L388" s="15"/>
      <c r="M388" s="15"/>
      <c r="N388" s="15"/>
      <c r="O388" s="15"/>
      <c r="P388" s="15"/>
      <c r="Q388" s="15"/>
      <c r="R388" s="15"/>
      <c r="S388" s="15"/>
      <c r="T388" s="15"/>
      <c r="U388" s="15"/>
      <c r="V388" s="15"/>
      <c r="W388" s="15"/>
      <c r="X388" s="15"/>
      <c r="Y388" s="15"/>
      <c r="Z388" s="15"/>
      <c r="AA388" s="15"/>
      <c r="AB388" s="15"/>
    </row>
    <row r="389">
      <c r="B389" s="15"/>
      <c r="C389" s="15"/>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row>
    <row r="390">
      <c r="B390" s="15"/>
      <c r="C390" s="15"/>
      <c r="D390" s="15"/>
      <c r="E390" s="15"/>
      <c r="F390" s="15"/>
      <c r="G390" s="15"/>
      <c r="H390" s="15"/>
      <c r="I390" s="15"/>
      <c r="J390" s="15"/>
      <c r="K390" s="15"/>
      <c r="L390" s="15"/>
      <c r="M390" s="15"/>
      <c r="N390" s="15"/>
      <c r="O390" s="15"/>
      <c r="P390" s="15"/>
      <c r="Q390" s="15"/>
      <c r="R390" s="15"/>
      <c r="S390" s="15"/>
      <c r="T390" s="15"/>
      <c r="U390" s="15"/>
      <c r="V390" s="15"/>
      <c r="W390" s="15"/>
      <c r="X390" s="15"/>
      <c r="Y390" s="15"/>
      <c r="Z390" s="15"/>
      <c r="AA390" s="15"/>
      <c r="AB390" s="15"/>
    </row>
    <row r="391">
      <c r="B391" s="15"/>
      <c r="C391" s="15"/>
      <c r="D391" s="15"/>
      <c r="E391" s="15"/>
      <c r="F391" s="15"/>
      <c r="G391" s="15"/>
      <c r="H391" s="15"/>
      <c r="I391" s="15"/>
      <c r="J391" s="15"/>
      <c r="K391" s="15"/>
      <c r="L391" s="15"/>
      <c r="M391" s="15"/>
      <c r="N391" s="15"/>
      <c r="O391" s="15"/>
      <c r="P391" s="15"/>
      <c r="Q391" s="15"/>
      <c r="R391" s="15"/>
      <c r="S391" s="15"/>
      <c r="T391" s="15"/>
      <c r="U391" s="15"/>
      <c r="V391" s="15"/>
      <c r="W391" s="15"/>
      <c r="X391" s="15"/>
      <c r="Y391" s="15"/>
      <c r="Z391" s="15"/>
      <c r="AA391" s="15"/>
      <c r="AB391" s="15"/>
    </row>
    <row r="392">
      <c r="B392" s="15"/>
      <c r="C392" s="15"/>
      <c r="D392" s="15"/>
      <c r="E392" s="15"/>
      <c r="F392" s="15"/>
      <c r="G392" s="15"/>
      <c r="H392" s="15"/>
      <c r="I392" s="15"/>
      <c r="J392" s="15"/>
      <c r="K392" s="15"/>
      <c r="L392" s="15"/>
      <c r="M392" s="15"/>
      <c r="N392" s="15"/>
      <c r="O392" s="15"/>
      <c r="P392" s="15"/>
      <c r="Q392" s="15"/>
      <c r="R392" s="15"/>
      <c r="S392" s="15"/>
      <c r="T392" s="15"/>
      <c r="U392" s="15"/>
      <c r="V392" s="15"/>
      <c r="W392" s="15"/>
      <c r="X392" s="15"/>
      <c r="Y392" s="15"/>
      <c r="Z392" s="15"/>
      <c r="AA392" s="15"/>
      <c r="AB392" s="15"/>
    </row>
    <row r="393">
      <c r="B393" s="15"/>
      <c r="C393" s="15"/>
      <c r="D393" s="15"/>
      <c r="E393" s="15"/>
      <c r="F393" s="15"/>
      <c r="G393" s="15"/>
      <c r="H393" s="15"/>
      <c r="I393" s="15"/>
      <c r="J393" s="15"/>
      <c r="K393" s="15"/>
      <c r="L393" s="15"/>
      <c r="M393" s="15"/>
      <c r="N393" s="15"/>
      <c r="O393" s="15"/>
      <c r="P393" s="15"/>
      <c r="Q393" s="15"/>
      <c r="R393" s="15"/>
      <c r="S393" s="15"/>
      <c r="T393" s="15"/>
      <c r="U393" s="15"/>
      <c r="V393" s="15"/>
      <c r="W393" s="15"/>
      <c r="X393" s="15"/>
      <c r="Y393" s="15"/>
      <c r="Z393" s="15"/>
      <c r="AA393" s="15"/>
      <c r="AB393" s="15"/>
    </row>
    <row r="394">
      <c r="B394" s="15"/>
      <c r="C394" s="15"/>
      <c r="D394" s="15"/>
      <c r="E394" s="15"/>
      <c r="F394" s="15"/>
      <c r="G394" s="15"/>
      <c r="H394" s="15"/>
      <c r="I394" s="15"/>
      <c r="J394" s="15"/>
      <c r="K394" s="15"/>
      <c r="L394" s="15"/>
      <c r="M394" s="15"/>
      <c r="N394" s="15"/>
      <c r="O394" s="15"/>
      <c r="P394" s="15"/>
      <c r="Q394" s="15"/>
      <c r="R394" s="15"/>
      <c r="S394" s="15"/>
      <c r="T394" s="15"/>
      <c r="U394" s="15"/>
      <c r="V394" s="15"/>
      <c r="W394" s="15"/>
      <c r="X394" s="15"/>
      <c r="Y394" s="15"/>
      <c r="Z394" s="15"/>
      <c r="AA394" s="15"/>
      <c r="AB394" s="15"/>
    </row>
    <row r="395">
      <c r="B395" s="15"/>
      <c r="C395" s="15"/>
      <c r="D395" s="15"/>
      <c r="E395" s="15"/>
      <c r="F395" s="15"/>
      <c r="G395" s="15"/>
      <c r="H395" s="15"/>
      <c r="I395" s="15"/>
      <c r="J395" s="15"/>
      <c r="K395" s="15"/>
      <c r="L395" s="15"/>
      <c r="M395" s="15"/>
      <c r="N395" s="15"/>
      <c r="O395" s="15"/>
      <c r="P395" s="15"/>
      <c r="Q395" s="15"/>
      <c r="R395" s="15"/>
      <c r="S395" s="15"/>
      <c r="T395" s="15"/>
      <c r="U395" s="15"/>
      <c r="V395" s="15"/>
      <c r="W395" s="15"/>
      <c r="X395" s="15"/>
      <c r="Y395" s="15"/>
      <c r="Z395" s="15"/>
      <c r="AA395" s="15"/>
      <c r="AB395" s="15"/>
    </row>
    <row r="396">
      <c r="B396" s="15"/>
      <c r="C396" s="15"/>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row>
    <row r="397">
      <c r="B397" s="15"/>
      <c r="C397" s="15"/>
      <c r="D397" s="15"/>
      <c r="E397" s="15"/>
      <c r="F397" s="15"/>
      <c r="G397" s="15"/>
      <c r="H397" s="15"/>
      <c r="I397" s="15"/>
      <c r="J397" s="15"/>
      <c r="K397" s="15"/>
      <c r="L397" s="15"/>
      <c r="M397" s="15"/>
      <c r="N397" s="15"/>
      <c r="O397" s="15"/>
      <c r="P397" s="15"/>
      <c r="Q397" s="15"/>
      <c r="R397" s="15"/>
      <c r="S397" s="15"/>
      <c r="T397" s="15"/>
      <c r="U397" s="15"/>
      <c r="V397" s="15"/>
      <c r="W397" s="15"/>
      <c r="X397" s="15"/>
      <c r="Y397" s="15"/>
      <c r="Z397" s="15"/>
      <c r="AA397" s="15"/>
      <c r="AB397" s="15"/>
    </row>
    <row r="398">
      <c r="B398" s="15"/>
      <c r="C398" s="15"/>
      <c r="D398" s="15"/>
      <c r="E398" s="15"/>
      <c r="F398" s="15"/>
      <c r="G398" s="15"/>
      <c r="H398" s="15"/>
      <c r="I398" s="15"/>
      <c r="J398" s="15"/>
      <c r="K398" s="15"/>
      <c r="L398" s="15"/>
      <c r="M398" s="15"/>
      <c r="N398" s="15"/>
      <c r="O398" s="15"/>
      <c r="P398" s="15"/>
      <c r="Q398" s="15"/>
      <c r="R398" s="15"/>
      <c r="S398" s="15"/>
      <c r="T398" s="15"/>
      <c r="U398" s="15"/>
      <c r="V398" s="15"/>
      <c r="W398" s="15"/>
      <c r="X398" s="15"/>
      <c r="Y398" s="15"/>
      <c r="Z398" s="15"/>
      <c r="AA398" s="15"/>
      <c r="AB398" s="15"/>
    </row>
    <row r="399">
      <c r="B399" s="15"/>
      <c r="C399" s="15"/>
      <c r="D399" s="15"/>
      <c r="E399" s="15"/>
      <c r="F399" s="15"/>
      <c r="G399" s="15"/>
      <c r="H399" s="15"/>
      <c r="I399" s="15"/>
      <c r="J399" s="15"/>
      <c r="K399" s="15"/>
      <c r="L399" s="15"/>
      <c r="M399" s="15"/>
      <c r="N399" s="15"/>
      <c r="O399" s="15"/>
      <c r="P399" s="15"/>
      <c r="Q399" s="15"/>
      <c r="R399" s="15"/>
      <c r="S399" s="15"/>
      <c r="T399" s="15"/>
      <c r="U399" s="15"/>
      <c r="V399" s="15"/>
      <c r="W399" s="15"/>
      <c r="X399" s="15"/>
      <c r="Y399" s="15"/>
      <c r="Z399" s="15"/>
      <c r="AA399" s="15"/>
      <c r="AB399" s="15"/>
    </row>
    <row r="400">
      <c r="B400" s="15"/>
      <c r="C400" s="15"/>
      <c r="D400" s="15"/>
      <c r="E400" s="15"/>
      <c r="F400" s="15"/>
      <c r="G400" s="15"/>
      <c r="H400" s="15"/>
      <c r="I400" s="15"/>
      <c r="J400" s="15"/>
      <c r="K400" s="15"/>
      <c r="L400" s="15"/>
      <c r="M400" s="15"/>
      <c r="N400" s="15"/>
      <c r="O400" s="15"/>
      <c r="P400" s="15"/>
      <c r="Q400" s="15"/>
      <c r="R400" s="15"/>
      <c r="S400" s="15"/>
      <c r="T400" s="15"/>
      <c r="U400" s="15"/>
      <c r="V400" s="15"/>
      <c r="W400" s="15"/>
      <c r="X400" s="15"/>
      <c r="Y400" s="15"/>
      <c r="Z400" s="15"/>
      <c r="AA400" s="15"/>
      <c r="AB400" s="15"/>
    </row>
    <row r="401">
      <c r="B401" s="15"/>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c r="AA401" s="15"/>
      <c r="AB401" s="15"/>
    </row>
    <row r="402">
      <c r="B402" s="15"/>
      <c r="C402" s="15"/>
      <c r="D402" s="15"/>
      <c r="E402" s="15"/>
      <c r="F402" s="15"/>
      <c r="G402" s="15"/>
      <c r="H402" s="15"/>
      <c r="I402" s="15"/>
      <c r="J402" s="15"/>
      <c r="K402" s="15"/>
      <c r="L402" s="15"/>
      <c r="M402" s="15"/>
      <c r="N402" s="15"/>
      <c r="O402" s="15"/>
      <c r="P402" s="15"/>
      <c r="Q402" s="15"/>
      <c r="R402" s="15"/>
      <c r="S402" s="15"/>
      <c r="T402" s="15"/>
      <c r="U402" s="15"/>
      <c r="V402" s="15"/>
      <c r="W402" s="15"/>
      <c r="X402" s="15"/>
      <c r="Y402" s="15"/>
      <c r="Z402" s="15"/>
      <c r="AA402" s="15"/>
      <c r="AB402" s="15"/>
    </row>
    <row r="403">
      <c r="B403" s="15"/>
      <c r="C403" s="15"/>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row>
    <row r="404">
      <c r="B404" s="15"/>
      <c r="C404" s="15"/>
      <c r="D404" s="15"/>
      <c r="E404" s="15"/>
      <c r="F404" s="15"/>
      <c r="G404" s="15"/>
      <c r="H404" s="15"/>
      <c r="I404" s="15"/>
      <c r="J404" s="15"/>
      <c r="K404" s="15"/>
      <c r="L404" s="15"/>
      <c r="M404" s="15"/>
      <c r="N404" s="15"/>
      <c r="O404" s="15"/>
      <c r="P404" s="15"/>
      <c r="Q404" s="15"/>
      <c r="R404" s="15"/>
      <c r="S404" s="15"/>
      <c r="T404" s="15"/>
      <c r="U404" s="15"/>
      <c r="V404" s="15"/>
      <c r="W404" s="15"/>
      <c r="X404" s="15"/>
      <c r="Y404" s="15"/>
      <c r="Z404" s="15"/>
      <c r="AA404" s="15"/>
      <c r="AB404" s="15"/>
    </row>
    <row r="405">
      <c r="B405" s="15"/>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row>
    <row r="406">
      <c r="B406" s="15"/>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row>
    <row r="407">
      <c r="B407" s="15"/>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c r="AA407" s="15"/>
      <c r="AB407" s="15"/>
    </row>
    <row r="408">
      <c r="B408" s="15"/>
      <c r="C408" s="15"/>
      <c r="D408" s="15"/>
      <c r="E408" s="15"/>
      <c r="F408" s="15"/>
      <c r="G408" s="15"/>
      <c r="H408" s="15"/>
      <c r="I408" s="15"/>
      <c r="J408" s="15"/>
      <c r="K408" s="15"/>
      <c r="L408" s="15"/>
      <c r="M408" s="15"/>
      <c r="N408" s="15"/>
      <c r="O408" s="15"/>
      <c r="P408" s="15"/>
      <c r="Q408" s="15"/>
      <c r="R408" s="15"/>
      <c r="S408" s="15"/>
      <c r="T408" s="15"/>
      <c r="U408" s="15"/>
      <c r="V408" s="15"/>
      <c r="W408" s="15"/>
      <c r="X408" s="15"/>
      <c r="Y408" s="15"/>
      <c r="Z408" s="15"/>
      <c r="AA408" s="15"/>
      <c r="AB408" s="15"/>
    </row>
    <row r="409">
      <c r="B409" s="15"/>
      <c r="C409" s="15"/>
      <c r="D409" s="15"/>
      <c r="E409" s="15"/>
      <c r="F409" s="15"/>
      <c r="G409" s="15"/>
      <c r="H409" s="15"/>
      <c r="I409" s="15"/>
      <c r="J409" s="15"/>
      <c r="K409" s="15"/>
      <c r="L409" s="15"/>
      <c r="M409" s="15"/>
      <c r="N409" s="15"/>
      <c r="O409" s="15"/>
      <c r="P409" s="15"/>
      <c r="Q409" s="15"/>
      <c r="R409" s="15"/>
      <c r="S409" s="15"/>
      <c r="T409" s="15"/>
      <c r="U409" s="15"/>
      <c r="V409" s="15"/>
      <c r="W409" s="15"/>
      <c r="X409" s="15"/>
      <c r="Y409" s="15"/>
      <c r="Z409" s="15"/>
      <c r="AA409" s="15"/>
      <c r="AB409" s="15"/>
    </row>
    <row r="410">
      <c r="B410" s="15"/>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row>
    <row r="411">
      <c r="B411" s="15"/>
      <c r="C411" s="15"/>
      <c r="D411" s="15"/>
      <c r="E411" s="15"/>
      <c r="F411" s="15"/>
      <c r="G411" s="15"/>
      <c r="H411" s="15"/>
      <c r="I411" s="15"/>
      <c r="J411" s="15"/>
      <c r="K411" s="15"/>
      <c r="L411" s="15"/>
      <c r="M411" s="15"/>
      <c r="N411" s="15"/>
      <c r="O411" s="15"/>
      <c r="P411" s="15"/>
      <c r="Q411" s="15"/>
      <c r="R411" s="15"/>
      <c r="S411" s="15"/>
      <c r="T411" s="15"/>
      <c r="U411" s="15"/>
      <c r="V411" s="15"/>
      <c r="W411" s="15"/>
      <c r="X411" s="15"/>
      <c r="Y411" s="15"/>
      <c r="Z411" s="15"/>
      <c r="AA411" s="15"/>
      <c r="AB411" s="15"/>
    </row>
    <row r="412">
      <c r="B412" s="15"/>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row>
    <row r="413">
      <c r="B413" s="15"/>
      <c r="C413" s="15"/>
      <c r="D413" s="15"/>
      <c r="E413" s="15"/>
      <c r="F413" s="15"/>
      <c r="G413" s="15"/>
      <c r="H413" s="15"/>
      <c r="I413" s="15"/>
      <c r="J413" s="15"/>
      <c r="K413" s="15"/>
      <c r="L413" s="15"/>
      <c r="M413" s="15"/>
      <c r="N413" s="15"/>
      <c r="O413" s="15"/>
      <c r="P413" s="15"/>
      <c r="Q413" s="15"/>
      <c r="R413" s="15"/>
      <c r="S413" s="15"/>
      <c r="T413" s="15"/>
      <c r="U413" s="15"/>
      <c r="V413" s="15"/>
      <c r="W413" s="15"/>
      <c r="X413" s="15"/>
      <c r="Y413" s="15"/>
      <c r="Z413" s="15"/>
      <c r="AA413" s="15"/>
      <c r="AB413" s="15"/>
    </row>
    <row r="414">
      <c r="B414" s="15"/>
      <c r="C414" s="15"/>
      <c r="D414" s="15"/>
      <c r="E414" s="15"/>
      <c r="F414" s="15"/>
      <c r="G414" s="15"/>
      <c r="H414" s="15"/>
      <c r="I414" s="15"/>
      <c r="J414" s="15"/>
      <c r="K414" s="15"/>
      <c r="L414" s="15"/>
      <c r="M414" s="15"/>
      <c r="N414" s="15"/>
      <c r="O414" s="15"/>
      <c r="P414" s="15"/>
      <c r="Q414" s="15"/>
      <c r="R414" s="15"/>
      <c r="S414" s="15"/>
      <c r="T414" s="15"/>
      <c r="U414" s="15"/>
      <c r="V414" s="15"/>
      <c r="W414" s="15"/>
      <c r="X414" s="15"/>
      <c r="Y414" s="15"/>
      <c r="Z414" s="15"/>
      <c r="AA414" s="15"/>
      <c r="AB414" s="15"/>
    </row>
    <row r="415">
      <c r="B415" s="15"/>
      <c r="C415" s="15"/>
      <c r="D415" s="15"/>
      <c r="E415" s="15"/>
      <c r="F415" s="15"/>
      <c r="G415" s="15"/>
      <c r="H415" s="15"/>
      <c r="I415" s="15"/>
      <c r="J415" s="15"/>
      <c r="K415" s="15"/>
      <c r="L415" s="15"/>
      <c r="M415" s="15"/>
      <c r="N415" s="15"/>
      <c r="O415" s="15"/>
      <c r="P415" s="15"/>
      <c r="Q415" s="15"/>
      <c r="R415" s="15"/>
      <c r="S415" s="15"/>
      <c r="T415" s="15"/>
      <c r="U415" s="15"/>
      <c r="V415" s="15"/>
      <c r="W415" s="15"/>
      <c r="X415" s="15"/>
      <c r="Y415" s="15"/>
      <c r="Z415" s="15"/>
      <c r="AA415" s="15"/>
      <c r="AB415" s="15"/>
    </row>
    <row r="416">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c r="AA416" s="15"/>
      <c r="AB416" s="15"/>
    </row>
    <row r="417">
      <c r="B417" s="15"/>
      <c r="C417" s="15"/>
      <c r="D417" s="15"/>
      <c r="E417" s="15"/>
      <c r="F417" s="15"/>
      <c r="G417" s="15"/>
      <c r="H417" s="15"/>
      <c r="I417" s="15"/>
      <c r="J417" s="15"/>
      <c r="K417" s="15"/>
      <c r="L417" s="15"/>
      <c r="M417" s="15"/>
      <c r="N417" s="15"/>
      <c r="O417" s="15"/>
      <c r="P417" s="15"/>
      <c r="Q417" s="15"/>
      <c r="R417" s="15"/>
      <c r="S417" s="15"/>
      <c r="T417" s="15"/>
      <c r="U417" s="15"/>
      <c r="V417" s="15"/>
      <c r="W417" s="15"/>
      <c r="X417" s="15"/>
      <c r="Y417" s="15"/>
      <c r="Z417" s="15"/>
      <c r="AA417" s="15"/>
      <c r="AB417" s="15"/>
    </row>
    <row r="418">
      <c r="B418" s="15"/>
      <c r="C418" s="15"/>
      <c r="D418" s="15"/>
      <c r="E418" s="15"/>
      <c r="F418" s="15"/>
      <c r="G418" s="15"/>
      <c r="H418" s="15"/>
      <c r="I418" s="15"/>
      <c r="J418" s="15"/>
      <c r="K418" s="15"/>
      <c r="L418" s="15"/>
      <c r="M418" s="15"/>
      <c r="N418" s="15"/>
      <c r="O418" s="15"/>
      <c r="P418" s="15"/>
      <c r="Q418" s="15"/>
      <c r="R418" s="15"/>
      <c r="S418" s="15"/>
      <c r="T418" s="15"/>
      <c r="U418" s="15"/>
      <c r="V418" s="15"/>
      <c r="W418" s="15"/>
      <c r="X418" s="15"/>
      <c r="Y418" s="15"/>
      <c r="Z418" s="15"/>
      <c r="AA418" s="15"/>
      <c r="AB418" s="15"/>
    </row>
    <row r="419">
      <c r="B419" s="15"/>
      <c r="C419" s="15"/>
      <c r="D419" s="15"/>
      <c r="E419" s="15"/>
      <c r="F419" s="15"/>
      <c r="G419" s="15"/>
      <c r="H419" s="15"/>
      <c r="I419" s="15"/>
      <c r="J419" s="15"/>
      <c r="K419" s="15"/>
      <c r="L419" s="15"/>
      <c r="M419" s="15"/>
      <c r="N419" s="15"/>
      <c r="O419" s="15"/>
      <c r="P419" s="15"/>
      <c r="Q419" s="15"/>
      <c r="R419" s="15"/>
      <c r="S419" s="15"/>
      <c r="T419" s="15"/>
      <c r="U419" s="15"/>
      <c r="V419" s="15"/>
      <c r="W419" s="15"/>
      <c r="X419" s="15"/>
      <c r="Y419" s="15"/>
      <c r="Z419" s="15"/>
      <c r="AA419" s="15"/>
      <c r="AB419" s="15"/>
    </row>
    <row r="420">
      <c r="B420" s="15"/>
      <c r="C420" s="15"/>
      <c r="D420" s="15"/>
      <c r="E420" s="15"/>
      <c r="F420" s="15"/>
      <c r="G420" s="15"/>
      <c r="H420" s="15"/>
      <c r="I420" s="15"/>
      <c r="J420" s="15"/>
      <c r="K420" s="15"/>
      <c r="L420" s="15"/>
      <c r="M420" s="15"/>
      <c r="N420" s="15"/>
      <c r="O420" s="15"/>
      <c r="P420" s="15"/>
      <c r="Q420" s="15"/>
      <c r="R420" s="15"/>
      <c r="S420" s="15"/>
      <c r="T420" s="15"/>
      <c r="U420" s="15"/>
      <c r="V420" s="15"/>
      <c r="W420" s="15"/>
      <c r="X420" s="15"/>
      <c r="Y420" s="15"/>
      <c r="Z420" s="15"/>
      <c r="AA420" s="15"/>
      <c r="AB420" s="15"/>
    </row>
    <row r="421">
      <c r="B421" s="15"/>
      <c r="C421" s="15"/>
      <c r="D421" s="15"/>
      <c r="E421" s="15"/>
      <c r="F421" s="15"/>
      <c r="G421" s="15"/>
      <c r="H421" s="15"/>
      <c r="I421" s="15"/>
      <c r="J421" s="15"/>
      <c r="K421" s="15"/>
      <c r="L421" s="15"/>
      <c r="M421" s="15"/>
      <c r="N421" s="15"/>
      <c r="O421" s="15"/>
      <c r="P421" s="15"/>
      <c r="Q421" s="15"/>
      <c r="R421" s="15"/>
      <c r="S421" s="15"/>
      <c r="T421" s="15"/>
      <c r="U421" s="15"/>
      <c r="V421" s="15"/>
      <c r="W421" s="15"/>
      <c r="X421" s="15"/>
      <c r="Y421" s="15"/>
      <c r="Z421" s="15"/>
      <c r="AA421" s="15"/>
      <c r="AB421" s="15"/>
    </row>
    <row r="422">
      <c r="B422" s="15"/>
      <c r="C422" s="15"/>
      <c r="D422" s="15"/>
      <c r="E422" s="15"/>
      <c r="F422" s="15"/>
      <c r="G422" s="15"/>
      <c r="H422" s="15"/>
      <c r="I422" s="15"/>
      <c r="J422" s="15"/>
      <c r="K422" s="15"/>
      <c r="L422" s="15"/>
      <c r="M422" s="15"/>
      <c r="N422" s="15"/>
      <c r="O422" s="15"/>
      <c r="P422" s="15"/>
      <c r="Q422" s="15"/>
      <c r="R422" s="15"/>
      <c r="S422" s="15"/>
      <c r="T422" s="15"/>
      <c r="U422" s="15"/>
      <c r="V422" s="15"/>
      <c r="W422" s="15"/>
      <c r="X422" s="15"/>
      <c r="Y422" s="15"/>
      <c r="Z422" s="15"/>
      <c r="AA422" s="15"/>
      <c r="AB422" s="15"/>
    </row>
    <row r="423">
      <c r="B423" s="15"/>
      <c r="C423" s="15"/>
      <c r="D423" s="15"/>
      <c r="E423" s="15"/>
      <c r="F423" s="15"/>
      <c r="G423" s="15"/>
      <c r="H423" s="15"/>
      <c r="I423" s="15"/>
      <c r="J423" s="15"/>
      <c r="K423" s="15"/>
      <c r="L423" s="15"/>
      <c r="M423" s="15"/>
      <c r="N423" s="15"/>
      <c r="O423" s="15"/>
      <c r="P423" s="15"/>
      <c r="Q423" s="15"/>
      <c r="R423" s="15"/>
      <c r="S423" s="15"/>
      <c r="T423" s="15"/>
      <c r="U423" s="15"/>
      <c r="V423" s="15"/>
      <c r="W423" s="15"/>
      <c r="X423" s="15"/>
      <c r="Y423" s="15"/>
      <c r="Z423" s="15"/>
      <c r="AA423" s="15"/>
      <c r="AB423" s="15"/>
    </row>
    <row r="424">
      <c r="B424" s="15"/>
      <c r="C424" s="15"/>
      <c r="D424" s="15"/>
      <c r="E424" s="15"/>
      <c r="F424" s="15"/>
      <c r="G424" s="15"/>
      <c r="H424" s="15"/>
      <c r="I424" s="15"/>
      <c r="J424" s="15"/>
      <c r="K424" s="15"/>
      <c r="L424" s="15"/>
      <c r="M424" s="15"/>
      <c r="N424" s="15"/>
      <c r="O424" s="15"/>
      <c r="P424" s="15"/>
      <c r="Q424" s="15"/>
      <c r="R424" s="15"/>
      <c r="S424" s="15"/>
      <c r="T424" s="15"/>
      <c r="U424" s="15"/>
      <c r="V424" s="15"/>
      <c r="W424" s="15"/>
      <c r="X424" s="15"/>
      <c r="Y424" s="15"/>
      <c r="Z424" s="15"/>
      <c r="AA424" s="15"/>
      <c r="AB424" s="15"/>
    </row>
    <row r="425">
      <c r="B425" s="15"/>
      <c r="C425" s="15"/>
      <c r="D425" s="15"/>
      <c r="E425" s="15"/>
      <c r="F425" s="15"/>
      <c r="G425" s="15"/>
      <c r="H425" s="15"/>
      <c r="I425" s="15"/>
      <c r="J425" s="15"/>
      <c r="K425" s="15"/>
      <c r="L425" s="15"/>
      <c r="M425" s="15"/>
      <c r="N425" s="15"/>
      <c r="O425" s="15"/>
      <c r="P425" s="15"/>
      <c r="Q425" s="15"/>
      <c r="R425" s="15"/>
      <c r="S425" s="15"/>
      <c r="T425" s="15"/>
      <c r="U425" s="15"/>
      <c r="V425" s="15"/>
      <c r="W425" s="15"/>
      <c r="X425" s="15"/>
      <c r="Y425" s="15"/>
      <c r="Z425" s="15"/>
      <c r="AA425" s="15"/>
      <c r="AB425" s="15"/>
    </row>
    <row r="426">
      <c r="B426" s="15"/>
      <c r="C426" s="15"/>
      <c r="D426" s="15"/>
      <c r="E426" s="15"/>
      <c r="F426" s="15"/>
      <c r="G426" s="15"/>
      <c r="H426" s="15"/>
      <c r="I426" s="15"/>
      <c r="J426" s="15"/>
      <c r="K426" s="15"/>
      <c r="L426" s="15"/>
      <c r="M426" s="15"/>
      <c r="N426" s="15"/>
      <c r="O426" s="15"/>
      <c r="P426" s="15"/>
      <c r="Q426" s="15"/>
      <c r="R426" s="15"/>
      <c r="S426" s="15"/>
      <c r="T426" s="15"/>
      <c r="U426" s="15"/>
      <c r="V426" s="15"/>
      <c r="W426" s="15"/>
      <c r="X426" s="15"/>
      <c r="Y426" s="15"/>
      <c r="Z426" s="15"/>
      <c r="AA426" s="15"/>
      <c r="AB426" s="15"/>
    </row>
    <row r="427">
      <c r="B427" s="15"/>
      <c r="C427" s="15"/>
      <c r="D427" s="15"/>
      <c r="E427" s="15"/>
      <c r="F427" s="15"/>
      <c r="G427" s="15"/>
      <c r="H427" s="15"/>
      <c r="I427" s="15"/>
      <c r="J427" s="15"/>
      <c r="K427" s="15"/>
      <c r="L427" s="15"/>
      <c r="M427" s="15"/>
      <c r="N427" s="15"/>
      <c r="O427" s="15"/>
      <c r="P427" s="15"/>
      <c r="Q427" s="15"/>
      <c r="R427" s="15"/>
      <c r="S427" s="15"/>
      <c r="T427" s="15"/>
      <c r="U427" s="15"/>
      <c r="V427" s="15"/>
      <c r="W427" s="15"/>
      <c r="X427" s="15"/>
      <c r="Y427" s="15"/>
      <c r="Z427" s="15"/>
      <c r="AA427" s="15"/>
      <c r="AB427" s="15"/>
    </row>
    <row r="428">
      <c r="B428" s="15"/>
      <c r="C428" s="15"/>
      <c r="D428" s="15"/>
      <c r="E428" s="15"/>
      <c r="F428" s="15"/>
      <c r="G428" s="15"/>
      <c r="H428" s="15"/>
      <c r="I428" s="15"/>
      <c r="J428" s="15"/>
      <c r="K428" s="15"/>
      <c r="L428" s="15"/>
      <c r="M428" s="15"/>
      <c r="N428" s="15"/>
      <c r="O428" s="15"/>
      <c r="P428" s="15"/>
      <c r="Q428" s="15"/>
      <c r="R428" s="15"/>
      <c r="S428" s="15"/>
      <c r="T428" s="15"/>
      <c r="U428" s="15"/>
      <c r="V428" s="15"/>
      <c r="W428" s="15"/>
      <c r="X428" s="15"/>
      <c r="Y428" s="15"/>
      <c r="Z428" s="15"/>
      <c r="AA428" s="15"/>
      <c r="AB428" s="15"/>
    </row>
    <row r="429">
      <c r="B429" s="15"/>
      <c r="C429" s="15"/>
      <c r="D429" s="15"/>
      <c r="E429" s="15"/>
      <c r="F429" s="15"/>
      <c r="G429" s="15"/>
      <c r="H429" s="15"/>
      <c r="I429" s="15"/>
      <c r="J429" s="15"/>
      <c r="K429" s="15"/>
      <c r="L429" s="15"/>
      <c r="M429" s="15"/>
      <c r="N429" s="15"/>
      <c r="O429" s="15"/>
      <c r="P429" s="15"/>
      <c r="Q429" s="15"/>
      <c r="R429" s="15"/>
      <c r="S429" s="15"/>
      <c r="T429" s="15"/>
      <c r="U429" s="15"/>
      <c r="V429" s="15"/>
      <c r="W429" s="15"/>
      <c r="X429" s="15"/>
      <c r="Y429" s="15"/>
      <c r="Z429" s="15"/>
      <c r="AA429" s="15"/>
      <c r="AB429" s="15"/>
    </row>
    <row r="430">
      <c r="B430" s="15"/>
      <c r="C430" s="15"/>
      <c r="D430" s="15"/>
      <c r="E430" s="15"/>
      <c r="F430" s="15"/>
      <c r="G430" s="15"/>
      <c r="H430" s="15"/>
      <c r="I430" s="15"/>
      <c r="J430" s="15"/>
      <c r="K430" s="15"/>
      <c r="L430" s="15"/>
      <c r="M430" s="15"/>
      <c r="N430" s="15"/>
      <c r="O430" s="15"/>
      <c r="P430" s="15"/>
      <c r="Q430" s="15"/>
      <c r="R430" s="15"/>
      <c r="S430" s="15"/>
      <c r="T430" s="15"/>
      <c r="U430" s="15"/>
      <c r="V430" s="15"/>
      <c r="W430" s="15"/>
      <c r="X430" s="15"/>
      <c r="Y430" s="15"/>
      <c r="Z430" s="15"/>
      <c r="AA430" s="15"/>
      <c r="AB430" s="15"/>
    </row>
    <row r="431">
      <c r="B431" s="15"/>
      <c r="C431" s="15"/>
      <c r="D431" s="15"/>
      <c r="E431" s="15"/>
      <c r="F431" s="15"/>
      <c r="G431" s="15"/>
      <c r="H431" s="15"/>
      <c r="I431" s="15"/>
      <c r="J431" s="15"/>
      <c r="K431" s="15"/>
      <c r="L431" s="15"/>
      <c r="M431" s="15"/>
      <c r="N431" s="15"/>
      <c r="O431" s="15"/>
      <c r="P431" s="15"/>
      <c r="Q431" s="15"/>
      <c r="R431" s="15"/>
      <c r="S431" s="15"/>
      <c r="T431" s="15"/>
      <c r="U431" s="15"/>
      <c r="V431" s="15"/>
      <c r="W431" s="15"/>
      <c r="X431" s="15"/>
      <c r="Y431" s="15"/>
      <c r="Z431" s="15"/>
      <c r="AA431" s="15"/>
      <c r="AB431" s="15"/>
    </row>
    <row r="432">
      <c r="B432" s="15"/>
      <c r="C432" s="15"/>
      <c r="D432" s="15"/>
      <c r="E432" s="15"/>
      <c r="F432" s="15"/>
      <c r="G432" s="15"/>
      <c r="H432" s="15"/>
      <c r="I432" s="15"/>
      <c r="J432" s="15"/>
      <c r="K432" s="15"/>
      <c r="L432" s="15"/>
      <c r="M432" s="15"/>
      <c r="N432" s="15"/>
      <c r="O432" s="15"/>
      <c r="P432" s="15"/>
      <c r="Q432" s="15"/>
      <c r="R432" s="15"/>
      <c r="S432" s="15"/>
      <c r="T432" s="15"/>
      <c r="U432" s="15"/>
      <c r="V432" s="15"/>
      <c r="W432" s="15"/>
      <c r="X432" s="15"/>
      <c r="Y432" s="15"/>
      <c r="Z432" s="15"/>
      <c r="AA432" s="15"/>
      <c r="AB432" s="15"/>
    </row>
    <row r="433">
      <c r="B433" s="15"/>
      <c r="C433" s="15"/>
      <c r="D433" s="15"/>
      <c r="E433" s="15"/>
      <c r="F433" s="15"/>
      <c r="G433" s="15"/>
      <c r="H433" s="15"/>
      <c r="I433" s="15"/>
      <c r="J433" s="15"/>
      <c r="K433" s="15"/>
      <c r="L433" s="15"/>
      <c r="M433" s="15"/>
      <c r="N433" s="15"/>
      <c r="O433" s="15"/>
      <c r="P433" s="15"/>
      <c r="Q433" s="15"/>
      <c r="R433" s="15"/>
      <c r="S433" s="15"/>
      <c r="T433" s="15"/>
      <c r="U433" s="15"/>
      <c r="V433" s="15"/>
      <c r="W433" s="15"/>
      <c r="X433" s="15"/>
      <c r="Y433" s="15"/>
      <c r="Z433" s="15"/>
      <c r="AA433" s="15"/>
      <c r="AB433" s="15"/>
    </row>
    <row r="434">
      <c r="B434" s="15"/>
      <c r="C434" s="15"/>
      <c r="D434" s="15"/>
      <c r="E434" s="15"/>
      <c r="F434" s="15"/>
      <c r="G434" s="15"/>
      <c r="H434" s="15"/>
      <c r="I434" s="15"/>
      <c r="J434" s="15"/>
      <c r="K434" s="15"/>
      <c r="L434" s="15"/>
      <c r="M434" s="15"/>
      <c r="N434" s="15"/>
      <c r="O434" s="15"/>
      <c r="P434" s="15"/>
      <c r="Q434" s="15"/>
      <c r="R434" s="15"/>
      <c r="S434" s="15"/>
      <c r="T434" s="15"/>
      <c r="U434" s="15"/>
      <c r="V434" s="15"/>
      <c r="W434" s="15"/>
      <c r="X434" s="15"/>
      <c r="Y434" s="15"/>
      <c r="Z434" s="15"/>
      <c r="AA434" s="15"/>
      <c r="AB434" s="15"/>
    </row>
    <row r="435">
      <c r="B435" s="15"/>
      <c r="C435" s="15"/>
      <c r="D435" s="15"/>
      <c r="E435" s="15"/>
      <c r="F435" s="15"/>
      <c r="G435" s="15"/>
      <c r="H435" s="15"/>
      <c r="I435" s="15"/>
      <c r="J435" s="15"/>
      <c r="K435" s="15"/>
      <c r="L435" s="15"/>
      <c r="M435" s="15"/>
      <c r="N435" s="15"/>
      <c r="O435" s="15"/>
      <c r="P435" s="15"/>
      <c r="Q435" s="15"/>
      <c r="R435" s="15"/>
      <c r="S435" s="15"/>
      <c r="T435" s="15"/>
      <c r="U435" s="15"/>
      <c r="V435" s="15"/>
      <c r="W435" s="15"/>
      <c r="X435" s="15"/>
      <c r="Y435" s="15"/>
      <c r="Z435" s="15"/>
      <c r="AA435" s="15"/>
      <c r="AB435" s="15"/>
    </row>
    <row r="436">
      <c r="B436" s="15"/>
      <c r="C436" s="15"/>
      <c r="D436" s="15"/>
      <c r="E436" s="15"/>
      <c r="F436" s="15"/>
      <c r="G436" s="15"/>
      <c r="H436" s="15"/>
      <c r="I436" s="15"/>
      <c r="J436" s="15"/>
      <c r="K436" s="15"/>
      <c r="L436" s="15"/>
      <c r="M436" s="15"/>
      <c r="N436" s="15"/>
      <c r="O436" s="15"/>
      <c r="P436" s="15"/>
      <c r="Q436" s="15"/>
      <c r="R436" s="15"/>
      <c r="S436" s="15"/>
      <c r="T436" s="15"/>
      <c r="U436" s="15"/>
      <c r="V436" s="15"/>
      <c r="W436" s="15"/>
      <c r="X436" s="15"/>
      <c r="Y436" s="15"/>
      <c r="Z436" s="15"/>
      <c r="AA436" s="15"/>
      <c r="AB436" s="15"/>
    </row>
    <row r="437">
      <c r="B437" s="15"/>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c r="AA437" s="15"/>
      <c r="AB437" s="15"/>
    </row>
    <row r="438">
      <c r="B438" s="15"/>
      <c r="C438" s="15"/>
      <c r="D438" s="15"/>
      <c r="E438" s="15"/>
      <c r="F438" s="15"/>
      <c r="G438" s="15"/>
      <c r="H438" s="15"/>
      <c r="I438" s="15"/>
      <c r="J438" s="15"/>
      <c r="K438" s="15"/>
      <c r="L438" s="15"/>
      <c r="M438" s="15"/>
      <c r="N438" s="15"/>
      <c r="O438" s="15"/>
      <c r="P438" s="15"/>
      <c r="Q438" s="15"/>
      <c r="R438" s="15"/>
      <c r="S438" s="15"/>
      <c r="T438" s="15"/>
      <c r="U438" s="15"/>
      <c r="V438" s="15"/>
      <c r="W438" s="15"/>
      <c r="X438" s="15"/>
      <c r="Y438" s="15"/>
      <c r="Z438" s="15"/>
      <c r="AA438" s="15"/>
      <c r="AB438" s="15"/>
    </row>
    <row r="439">
      <c r="B439" s="15"/>
      <c r="C439" s="15"/>
      <c r="D439" s="15"/>
      <c r="E439" s="15"/>
      <c r="F439" s="15"/>
      <c r="G439" s="15"/>
      <c r="H439" s="15"/>
      <c r="I439" s="15"/>
      <c r="J439" s="15"/>
      <c r="K439" s="15"/>
      <c r="L439" s="15"/>
      <c r="M439" s="15"/>
      <c r="N439" s="15"/>
      <c r="O439" s="15"/>
      <c r="P439" s="15"/>
      <c r="Q439" s="15"/>
      <c r="R439" s="15"/>
      <c r="S439" s="15"/>
      <c r="T439" s="15"/>
      <c r="U439" s="15"/>
      <c r="V439" s="15"/>
      <c r="W439" s="15"/>
      <c r="X439" s="15"/>
      <c r="Y439" s="15"/>
      <c r="Z439" s="15"/>
      <c r="AA439" s="15"/>
      <c r="AB439" s="15"/>
    </row>
    <row r="440">
      <c r="B440" s="15"/>
      <c r="C440" s="15"/>
      <c r="D440" s="15"/>
      <c r="E440" s="15"/>
      <c r="F440" s="15"/>
      <c r="G440" s="15"/>
      <c r="H440" s="15"/>
      <c r="I440" s="15"/>
      <c r="J440" s="15"/>
      <c r="K440" s="15"/>
      <c r="L440" s="15"/>
      <c r="M440" s="15"/>
      <c r="N440" s="15"/>
      <c r="O440" s="15"/>
      <c r="P440" s="15"/>
      <c r="Q440" s="15"/>
      <c r="R440" s="15"/>
      <c r="S440" s="15"/>
      <c r="T440" s="15"/>
      <c r="U440" s="15"/>
      <c r="V440" s="15"/>
      <c r="W440" s="15"/>
      <c r="X440" s="15"/>
      <c r="Y440" s="15"/>
      <c r="Z440" s="15"/>
      <c r="AA440" s="15"/>
      <c r="AB440" s="15"/>
    </row>
    <row r="441">
      <c r="B441" s="15"/>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row>
    <row r="442">
      <c r="B442" s="15"/>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c r="AA442" s="15"/>
      <c r="AB442" s="15"/>
    </row>
    <row r="443">
      <c r="B443" s="15"/>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c r="AA443" s="15"/>
      <c r="AB443" s="15"/>
    </row>
    <row r="444">
      <c r="B444" s="15"/>
      <c r="C444" s="15"/>
      <c r="D444" s="15"/>
      <c r="E444" s="15"/>
      <c r="F444" s="15"/>
      <c r="G444" s="15"/>
      <c r="H444" s="15"/>
      <c r="I444" s="15"/>
      <c r="J444" s="15"/>
      <c r="K444" s="15"/>
      <c r="L444" s="15"/>
      <c r="M444" s="15"/>
      <c r="N444" s="15"/>
      <c r="O444" s="15"/>
      <c r="P444" s="15"/>
      <c r="Q444" s="15"/>
      <c r="R444" s="15"/>
      <c r="S444" s="15"/>
      <c r="T444" s="15"/>
      <c r="U444" s="15"/>
      <c r="V444" s="15"/>
      <c r="W444" s="15"/>
      <c r="X444" s="15"/>
      <c r="Y444" s="15"/>
      <c r="Z444" s="15"/>
      <c r="AA444" s="15"/>
      <c r="AB444" s="15"/>
    </row>
    <row r="445">
      <c r="B445" s="15"/>
      <c r="C445" s="15"/>
      <c r="D445" s="15"/>
      <c r="E445" s="15"/>
      <c r="F445" s="15"/>
      <c r="G445" s="15"/>
      <c r="H445" s="15"/>
      <c r="I445" s="15"/>
      <c r="J445" s="15"/>
      <c r="K445" s="15"/>
      <c r="L445" s="15"/>
      <c r="M445" s="15"/>
      <c r="N445" s="15"/>
      <c r="O445" s="15"/>
      <c r="P445" s="15"/>
      <c r="Q445" s="15"/>
      <c r="R445" s="15"/>
      <c r="S445" s="15"/>
      <c r="T445" s="15"/>
      <c r="U445" s="15"/>
      <c r="V445" s="15"/>
      <c r="W445" s="15"/>
      <c r="X445" s="15"/>
      <c r="Y445" s="15"/>
      <c r="Z445" s="15"/>
      <c r="AA445" s="15"/>
      <c r="AB445" s="15"/>
    </row>
    <row r="446">
      <c r="B446" s="15"/>
      <c r="C446" s="15"/>
      <c r="D446" s="15"/>
      <c r="E446" s="15"/>
      <c r="F446" s="15"/>
      <c r="G446" s="15"/>
      <c r="H446" s="15"/>
      <c r="I446" s="15"/>
      <c r="J446" s="15"/>
      <c r="K446" s="15"/>
      <c r="L446" s="15"/>
      <c r="M446" s="15"/>
      <c r="N446" s="15"/>
      <c r="O446" s="15"/>
      <c r="P446" s="15"/>
      <c r="Q446" s="15"/>
      <c r="R446" s="15"/>
      <c r="S446" s="15"/>
      <c r="T446" s="15"/>
      <c r="U446" s="15"/>
      <c r="V446" s="15"/>
      <c r="W446" s="15"/>
      <c r="X446" s="15"/>
      <c r="Y446" s="15"/>
      <c r="Z446" s="15"/>
      <c r="AA446" s="15"/>
      <c r="AB446" s="15"/>
    </row>
    <row r="447">
      <c r="B447" s="15"/>
      <c r="C447" s="15"/>
      <c r="D447" s="15"/>
      <c r="E447" s="15"/>
      <c r="F447" s="15"/>
      <c r="G447" s="15"/>
      <c r="H447" s="15"/>
      <c r="I447" s="15"/>
      <c r="J447" s="15"/>
      <c r="K447" s="15"/>
      <c r="L447" s="15"/>
      <c r="M447" s="15"/>
      <c r="N447" s="15"/>
      <c r="O447" s="15"/>
      <c r="P447" s="15"/>
      <c r="Q447" s="15"/>
      <c r="R447" s="15"/>
      <c r="S447" s="15"/>
      <c r="T447" s="15"/>
      <c r="U447" s="15"/>
      <c r="V447" s="15"/>
      <c r="W447" s="15"/>
      <c r="X447" s="15"/>
      <c r="Y447" s="15"/>
      <c r="Z447" s="15"/>
      <c r="AA447" s="15"/>
      <c r="AB447" s="15"/>
    </row>
    <row r="448">
      <c r="B448" s="15"/>
      <c r="C448" s="15"/>
      <c r="D448" s="15"/>
      <c r="E448" s="15"/>
      <c r="F448" s="15"/>
      <c r="G448" s="15"/>
      <c r="H448" s="15"/>
      <c r="I448" s="15"/>
      <c r="J448" s="15"/>
      <c r="K448" s="15"/>
      <c r="L448" s="15"/>
      <c r="M448" s="15"/>
      <c r="N448" s="15"/>
      <c r="O448" s="15"/>
      <c r="P448" s="15"/>
      <c r="Q448" s="15"/>
      <c r="R448" s="15"/>
      <c r="S448" s="15"/>
      <c r="T448" s="15"/>
      <c r="U448" s="15"/>
      <c r="V448" s="15"/>
      <c r="W448" s="15"/>
      <c r="X448" s="15"/>
      <c r="Y448" s="15"/>
      <c r="Z448" s="15"/>
      <c r="AA448" s="15"/>
      <c r="AB448" s="15"/>
    </row>
    <row r="449">
      <c r="B449" s="15"/>
      <c r="C449" s="15"/>
      <c r="D449" s="15"/>
      <c r="E449" s="15"/>
      <c r="F449" s="15"/>
      <c r="G449" s="15"/>
      <c r="H449" s="15"/>
      <c r="I449" s="15"/>
      <c r="J449" s="15"/>
      <c r="K449" s="15"/>
      <c r="L449" s="15"/>
      <c r="M449" s="15"/>
      <c r="N449" s="15"/>
      <c r="O449" s="15"/>
      <c r="P449" s="15"/>
      <c r="Q449" s="15"/>
      <c r="R449" s="15"/>
      <c r="S449" s="15"/>
      <c r="T449" s="15"/>
      <c r="U449" s="15"/>
      <c r="V449" s="15"/>
      <c r="W449" s="15"/>
      <c r="X449" s="15"/>
      <c r="Y449" s="15"/>
      <c r="Z449" s="15"/>
      <c r="AA449" s="15"/>
      <c r="AB449" s="15"/>
    </row>
    <row r="450">
      <c r="B450" s="15"/>
      <c r="C450" s="15"/>
      <c r="D450" s="15"/>
      <c r="E450" s="15"/>
      <c r="F450" s="15"/>
      <c r="G450" s="15"/>
      <c r="H450" s="15"/>
      <c r="I450" s="15"/>
      <c r="J450" s="15"/>
      <c r="K450" s="15"/>
      <c r="L450" s="15"/>
      <c r="M450" s="15"/>
      <c r="N450" s="15"/>
      <c r="O450" s="15"/>
      <c r="P450" s="15"/>
      <c r="Q450" s="15"/>
      <c r="R450" s="15"/>
      <c r="S450" s="15"/>
      <c r="T450" s="15"/>
      <c r="U450" s="15"/>
      <c r="V450" s="15"/>
      <c r="W450" s="15"/>
      <c r="X450" s="15"/>
      <c r="Y450" s="15"/>
      <c r="Z450" s="15"/>
      <c r="AA450" s="15"/>
      <c r="AB450" s="15"/>
    </row>
    <row r="451">
      <c r="B451" s="15"/>
      <c r="C451" s="15"/>
      <c r="D451" s="15"/>
      <c r="E451" s="15"/>
      <c r="F451" s="15"/>
      <c r="G451" s="15"/>
      <c r="H451" s="15"/>
      <c r="I451" s="15"/>
      <c r="J451" s="15"/>
      <c r="K451" s="15"/>
      <c r="L451" s="15"/>
      <c r="M451" s="15"/>
      <c r="N451" s="15"/>
      <c r="O451" s="15"/>
      <c r="P451" s="15"/>
      <c r="Q451" s="15"/>
      <c r="R451" s="15"/>
      <c r="S451" s="15"/>
      <c r="T451" s="15"/>
      <c r="U451" s="15"/>
      <c r="V451" s="15"/>
      <c r="W451" s="15"/>
      <c r="X451" s="15"/>
      <c r="Y451" s="15"/>
      <c r="Z451" s="15"/>
      <c r="AA451" s="15"/>
      <c r="AB451" s="15"/>
    </row>
    <row r="452">
      <c r="B452" s="15"/>
      <c r="C452" s="15"/>
      <c r="D452" s="15"/>
      <c r="E452" s="15"/>
      <c r="F452" s="15"/>
      <c r="G452" s="15"/>
      <c r="H452" s="15"/>
      <c r="I452" s="15"/>
      <c r="J452" s="15"/>
      <c r="K452" s="15"/>
      <c r="L452" s="15"/>
      <c r="M452" s="15"/>
      <c r="N452" s="15"/>
      <c r="O452" s="15"/>
      <c r="P452" s="15"/>
      <c r="Q452" s="15"/>
      <c r="R452" s="15"/>
      <c r="S452" s="15"/>
      <c r="T452" s="15"/>
      <c r="U452" s="15"/>
      <c r="V452" s="15"/>
      <c r="W452" s="15"/>
      <c r="X452" s="15"/>
      <c r="Y452" s="15"/>
      <c r="Z452" s="15"/>
      <c r="AA452" s="15"/>
      <c r="AB452" s="15"/>
    </row>
    <row r="453">
      <c r="B453" s="15"/>
      <c r="C453" s="15"/>
      <c r="D453" s="15"/>
      <c r="E453" s="15"/>
      <c r="F453" s="15"/>
      <c r="G453" s="15"/>
      <c r="H453" s="15"/>
      <c r="I453" s="15"/>
      <c r="J453" s="15"/>
      <c r="K453" s="15"/>
      <c r="L453" s="15"/>
      <c r="M453" s="15"/>
      <c r="N453" s="15"/>
      <c r="O453" s="15"/>
      <c r="P453" s="15"/>
      <c r="Q453" s="15"/>
      <c r="R453" s="15"/>
      <c r="S453" s="15"/>
      <c r="T453" s="15"/>
      <c r="U453" s="15"/>
      <c r="V453" s="15"/>
      <c r="W453" s="15"/>
      <c r="X453" s="15"/>
      <c r="Y453" s="15"/>
      <c r="Z453" s="15"/>
      <c r="AA453" s="15"/>
      <c r="AB453" s="15"/>
    </row>
    <row r="454">
      <c r="B454" s="15"/>
      <c r="C454" s="15"/>
      <c r="D454" s="15"/>
      <c r="E454" s="15"/>
      <c r="F454" s="15"/>
      <c r="G454" s="15"/>
      <c r="H454" s="15"/>
      <c r="I454" s="15"/>
      <c r="J454" s="15"/>
      <c r="K454" s="15"/>
      <c r="L454" s="15"/>
      <c r="M454" s="15"/>
      <c r="N454" s="15"/>
      <c r="O454" s="15"/>
      <c r="P454" s="15"/>
      <c r="Q454" s="15"/>
      <c r="R454" s="15"/>
      <c r="S454" s="15"/>
      <c r="T454" s="15"/>
      <c r="U454" s="15"/>
      <c r="V454" s="15"/>
      <c r="W454" s="15"/>
      <c r="X454" s="15"/>
      <c r="Y454" s="15"/>
      <c r="Z454" s="15"/>
      <c r="AA454" s="15"/>
      <c r="AB454" s="15"/>
    </row>
    <row r="455">
      <c r="B455" s="15"/>
      <c r="C455" s="15"/>
      <c r="D455" s="15"/>
      <c r="E455" s="15"/>
      <c r="F455" s="15"/>
      <c r="G455" s="15"/>
      <c r="H455" s="15"/>
      <c r="I455" s="15"/>
      <c r="J455" s="15"/>
      <c r="K455" s="15"/>
      <c r="L455" s="15"/>
      <c r="M455" s="15"/>
      <c r="N455" s="15"/>
      <c r="O455" s="15"/>
      <c r="P455" s="15"/>
      <c r="Q455" s="15"/>
      <c r="R455" s="15"/>
      <c r="S455" s="15"/>
      <c r="T455" s="15"/>
      <c r="U455" s="15"/>
      <c r="V455" s="15"/>
      <c r="W455" s="15"/>
      <c r="X455" s="15"/>
      <c r="Y455" s="15"/>
      <c r="Z455" s="15"/>
      <c r="AA455" s="15"/>
      <c r="AB455" s="15"/>
    </row>
    <row r="456">
      <c r="B456" s="15"/>
      <c r="C456" s="15"/>
      <c r="D456" s="15"/>
      <c r="E456" s="15"/>
      <c r="F456" s="15"/>
      <c r="G456" s="15"/>
      <c r="H456" s="15"/>
      <c r="I456" s="15"/>
      <c r="J456" s="15"/>
      <c r="K456" s="15"/>
      <c r="L456" s="15"/>
      <c r="M456" s="15"/>
      <c r="N456" s="15"/>
      <c r="O456" s="15"/>
      <c r="P456" s="15"/>
      <c r="Q456" s="15"/>
      <c r="R456" s="15"/>
      <c r="S456" s="15"/>
      <c r="T456" s="15"/>
      <c r="U456" s="15"/>
      <c r="V456" s="15"/>
      <c r="W456" s="15"/>
      <c r="X456" s="15"/>
      <c r="Y456" s="15"/>
      <c r="Z456" s="15"/>
      <c r="AA456" s="15"/>
      <c r="AB456" s="15"/>
    </row>
    <row r="457">
      <c r="B457" s="15"/>
      <c r="C457" s="15"/>
      <c r="D457" s="15"/>
      <c r="E457" s="15"/>
      <c r="F457" s="15"/>
      <c r="G457" s="15"/>
      <c r="H457" s="15"/>
      <c r="I457" s="15"/>
      <c r="J457" s="15"/>
      <c r="K457" s="15"/>
      <c r="L457" s="15"/>
      <c r="M457" s="15"/>
      <c r="N457" s="15"/>
      <c r="O457" s="15"/>
      <c r="P457" s="15"/>
      <c r="Q457" s="15"/>
      <c r="R457" s="15"/>
      <c r="S457" s="15"/>
      <c r="T457" s="15"/>
      <c r="U457" s="15"/>
      <c r="V457" s="15"/>
      <c r="W457" s="15"/>
      <c r="X457" s="15"/>
      <c r="Y457" s="15"/>
      <c r="Z457" s="15"/>
      <c r="AA457" s="15"/>
      <c r="AB457" s="15"/>
    </row>
    <row r="458">
      <c r="B458" s="15"/>
      <c r="C458" s="15"/>
      <c r="D458" s="15"/>
      <c r="E458" s="15"/>
      <c r="F458" s="15"/>
      <c r="G458" s="15"/>
      <c r="H458" s="15"/>
      <c r="I458" s="15"/>
      <c r="J458" s="15"/>
      <c r="K458" s="15"/>
      <c r="L458" s="15"/>
      <c r="M458" s="15"/>
      <c r="N458" s="15"/>
      <c r="O458" s="15"/>
      <c r="P458" s="15"/>
      <c r="Q458" s="15"/>
      <c r="R458" s="15"/>
      <c r="S458" s="15"/>
      <c r="T458" s="15"/>
      <c r="U458" s="15"/>
      <c r="V458" s="15"/>
      <c r="W458" s="15"/>
      <c r="X458" s="15"/>
      <c r="Y458" s="15"/>
      <c r="Z458" s="15"/>
      <c r="AA458" s="15"/>
      <c r="AB458" s="15"/>
    </row>
    <row r="459">
      <c r="B459" s="15"/>
      <c r="C459" s="15"/>
      <c r="D459" s="15"/>
      <c r="E459" s="15"/>
      <c r="F459" s="15"/>
      <c r="G459" s="15"/>
      <c r="H459" s="15"/>
      <c r="I459" s="15"/>
      <c r="J459" s="15"/>
      <c r="K459" s="15"/>
      <c r="L459" s="15"/>
      <c r="M459" s="15"/>
      <c r="N459" s="15"/>
      <c r="O459" s="15"/>
      <c r="P459" s="15"/>
      <c r="Q459" s="15"/>
      <c r="R459" s="15"/>
      <c r="S459" s="15"/>
      <c r="T459" s="15"/>
      <c r="U459" s="15"/>
      <c r="V459" s="15"/>
      <c r="W459" s="15"/>
      <c r="X459" s="15"/>
      <c r="Y459" s="15"/>
      <c r="Z459" s="15"/>
      <c r="AA459" s="15"/>
      <c r="AB459" s="15"/>
    </row>
    <row r="460">
      <c r="B460" s="15"/>
      <c r="C460" s="15"/>
      <c r="D460" s="15"/>
      <c r="E460" s="15"/>
      <c r="F460" s="15"/>
      <c r="G460" s="15"/>
      <c r="H460" s="15"/>
      <c r="I460" s="15"/>
      <c r="J460" s="15"/>
      <c r="K460" s="15"/>
      <c r="L460" s="15"/>
      <c r="M460" s="15"/>
      <c r="N460" s="15"/>
      <c r="O460" s="15"/>
      <c r="P460" s="15"/>
      <c r="Q460" s="15"/>
      <c r="R460" s="15"/>
      <c r="S460" s="15"/>
      <c r="T460" s="15"/>
      <c r="U460" s="15"/>
      <c r="V460" s="15"/>
      <c r="W460" s="15"/>
      <c r="X460" s="15"/>
      <c r="Y460" s="15"/>
      <c r="Z460" s="15"/>
      <c r="AA460" s="15"/>
      <c r="AB460" s="15"/>
    </row>
    <row r="461">
      <c r="B461" s="15"/>
      <c r="C461" s="15"/>
      <c r="D461" s="15"/>
      <c r="E461" s="15"/>
      <c r="F461" s="15"/>
      <c r="G461" s="15"/>
      <c r="H461" s="15"/>
      <c r="I461" s="15"/>
      <c r="J461" s="15"/>
      <c r="K461" s="15"/>
      <c r="L461" s="15"/>
      <c r="M461" s="15"/>
      <c r="N461" s="15"/>
      <c r="O461" s="15"/>
      <c r="P461" s="15"/>
      <c r="Q461" s="15"/>
      <c r="R461" s="15"/>
      <c r="S461" s="15"/>
      <c r="T461" s="15"/>
      <c r="U461" s="15"/>
      <c r="V461" s="15"/>
      <c r="W461" s="15"/>
      <c r="X461" s="15"/>
      <c r="Y461" s="15"/>
      <c r="Z461" s="15"/>
      <c r="AA461" s="15"/>
      <c r="AB461" s="15"/>
    </row>
    <row r="462">
      <c r="B462" s="15"/>
      <c r="C462" s="15"/>
      <c r="D462" s="15"/>
      <c r="E462" s="15"/>
      <c r="F462" s="15"/>
      <c r="G462" s="15"/>
      <c r="H462" s="15"/>
      <c r="I462" s="15"/>
      <c r="J462" s="15"/>
      <c r="K462" s="15"/>
      <c r="L462" s="15"/>
      <c r="M462" s="15"/>
      <c r="N462" s="15"/>
      <c r="O462" s="15"/>
      <c r="P462" s="15"/>
      <c r="Q462" s="15"/>
      <c r="R462" s="15"/>
      <c r="S462" s="15"/>
      <c r="T462" s="15"/>
      <c r="U462" s="15"/>
      <c r="V462" s="15"/>
      <c r="W462" s="15"/>
      <c r="X462" s="15"/>
      <c r="Y462" s="15"/>
      <c r="Z462" s="15"/>
      <c r="AA462" s="15"/>
      <c r="AB462" s="15"/>
    </row>
    <row r="463">
      <c r="B463" s="15"/>
      <c r="C463" s="15"/>
      <c r="D463" s="15"/>
      <c r="E463" s="15"/>
      <c r="F463" s="15"/>
      <c r="G463" s="15"/>
      <c r="H463" s="15"/>
      <c r="I463" s="15"/>
      <c r="J463" s="15"/>
      <c r="K463" s="15"/>
      <c r="L463" s="15"/>
      <c r="M463" s="15"/>
      <c r="N463" s="15"/>
      <c r="O463" s="15"/>
      <c r="P463" s="15"/>
      <c r="Q463" s="15"/>
      <c r="R463" s="15"/>
      <c r="S463" s="15"/>
      <c r="T463" s="15"/>
      <c r="U463" s="15"/>
      <c r="V463" s="15"/>
      <c r="W463" s="15"/>
      <c r="X463" s="15"/>
      <c r="Y463" s="15"/>
      <c r="Z463" s="15"/>
      <c r="AA463" s="15"/>
      <c r="AB463" s="15"/>
    </row>
    <row r="464">
      <c r="B464" s="15"/>
      <c r="C464" s="15"/>
      <c r="D464" s="15"/>
      <c r="E464" s="15"/>
      <c r="F464" s="15"/>
      <c r="G464" s="15"/>
      <c r="H464" s="15"/>
      <c r="I464" s="15"/>
      <c r="J464" s="15"/>
      <c r="K464" s="15"/>
      <c r="L464" s="15"/>
      <c r="M464" s="15"/>
      <c r="N464" s="15"/>
      <c r="O464" s="15"/>
      <c r="P464" s="15"/>
      <c r="Q464" s="15"/>
      <c r="R464" s="15"/>
      <c r="S464" s="15"/>
      <c r="T464" s="15"/>
      <c r="U464" s="15"/>
      <c r="V464" s="15"/>
      <c r="W464" s="15"/>
      <c r="X464" s="15"/>
      <c r="Y464" s="15"/>
      <c r="Z464" s="15"/>
      <c r="AA464" s="15"/>
      <c r="AB464" s="15"/>
    </row>
    <row r="465">
      <c r="B465" s="15"/>
      <c r="C465" s="15"/>
      <c r="D465" s="15"/>
      <c r="E465" s="15"/>
      <c r="F465" s="15"/>
      <c r="G465" s="15"/>
      <c r="H465" s="15"/>
      <c r="I465" s="15"/>
      <c r="J465" s="15"/>
      <c r="K465" s="15"/>
      <c r="L465" s="15"/>
      <c r="M465" s="15"/>
      <c r="N465" s="15"/>
      <c r="O465" s="15"/>
      <c r="P465" s="15"/>
      <c r="Q465" s="15"/>
      <c r="R465" s="15"/>
      <c r="S465" s="15"/>
      <c r="T465" s="15"/>
      <c r="U465" s="15"/>
      <c r="V465" s="15"/>
      <c r="W465" s="15"/>
      <c r="X465" s="15"/>
      <c r="Y465" s="15"/>
      <c r="Z465" s="15"/>
      <c r="AA465" s="15"/>
      <c r="AB465" s="15"/>
    </row>
    <row r="466">
      <c r="B466" s="15"/>
      <c r="C466" s="15"/>
      <c r="D466" s="15"/>
      <c r="E466" s="15"/>
      <c r="F466" s="15"/>
      <c r="G466" s="15"/>
      <c r="H466" s="15"/>
      <c r="I466" s="15"/>
      <c r="J466" s="15"/>
      <c r="K466" s="15"/>
      <c r="L466" s="15"/>
      <c r="M466" s="15"/>
      <c r="N466" s="15"/>
      <c r="O466" s="15"/>
      <c r="P466" s="15"/>
      <c r="Q466" s="15"/>
      <c r="R466" s="15"/>
      <c r="S466" s="15"/>
      <c r="T466" s="15"/>
      <c r="U466" s="15"/>
      <c r="V466" s="15"/>
      <c r="W466" s="15"/>
      <c r="X466" s="15"/>
      <c r="Y466" s="15"/>
      <c r="Z466" s="15"/>
      <c r="AA466" s="15"/>
      <c r="AB466" s="15"/>
    </row>
    <row r="467">
      <c r="B467" s="15"/>
      <c r="C467" s="15"/>
      <c r="D467" s="15"/>
      <c r="E467" s="15"/>
      <c r="F467" s="15"/>
      <c r="G467" s="15"/>
      <c r="H467" s="15"/>
      <c r="I467" s="15"/>
      <c r="J467" s="15"/>
      <c r="K467" s="15"/>
      <c r="L467" s="15"/>
      <c r="M467" s="15"/>
      <c r="N467" s="15"/>
      <c r="O467" s="15"/>
      <c r="P467" s="15"/>
      <c r="Q467" s="15"/>
      <c r="R467" s="15"/>
      <c r="S467" s="15"/>
      <c r="T467" s="15"/>
      <c r="U467" s="15"/>
      <c r="V467" s="15"/>
      <c r="W467" s="15"/>
      <c r="X467" s="15"/>
      <c r="Y467" s="15"/>
      <c r="Z467" s="15"/>
      <c r="AA467" s="15"/>
      <c r="AB467" s="15"/>
    </row>
    <row r="468">
      <c r="B468" s="15"/>
      <c r="C468" s="15"/>
      <c r="D468" s="15"/>
      <c r="E468" s="15"/>
      <c r="F468" s="15"/>
      <c r="G468" s="15"/>
      <c r="H468" s="15"/>
      <c r="I468" s="15"/>
      <c r="J468" s="15"/>
      <c r="K468" s="15"/>
      <c r="L468" s="15"/>
      <c r="M468" s="15"/>
      <c r="N468" s="15"/>
      <c r="O468" s="15"/>
      <c r="P468" s="15"/>
      <c r="Q468" s="15"/>
      <c r="R468" s="15"/>
      <c r="S468" s="15"/>
      <c r="T468" s="15"/>
      <c r="U468" s="15"/>
      <c r="V468" s="15"/>
      <c r="W468" s="15"/>
      <c r="X468" s="15"/>
      <c r="Y468" s="15"/>
      <c r="Z468" s="15"/>
      <c r="AA468" s="15"/>
      <c r="AB468" s="15"/>
    </row>
    <row r="469">
      <c r="B469" s="15"/>
      <c r="C469" s="15"/>
      <c r="D469" s="15"/>
      <c r="E469" s="15"/>
      <c r="F469" s="15"/>
      <c r="G469" s="15"/>
      <c r="H469" s="15"/>
      <c r="I469" s="15"/>
      <c r="J469" s="15"/>
      <c r="K469" s="15"/>
      <c r="L469" s="15"/>
      <c r="M469" s="15"/>
      <c r="N469" s="15"/>
      <c r="O469" s="15"/>
      <c r="P469" s="15"/>
      <c r="Q469" s="15"/>
      <c r="R469" s="15"/>
      <c r="S469" s="15"/>
      <c r="T469" s="15"/>
      <c r="U469" s="15"/>
      <c r="V469" s="15"/>
      <c r="W469" s="15"/>
      <c r="X469" s="15"/>
      <c r="Y469" s="15"/>
      <c r="Z469" s="15"/>
      <c r="AA469" s="15"/>
      <c r="AB469" s="15"/>
    </row>
    <row r="470">
      <c r="B470" s="15"/>
      <c r="C470" s="15"/>
      <c r="D470" s="15"/>
      <c r="E470" s="15"/>
      <c r="F470" s="15"/>
      <c r="G470" s="15"/>
      <c r="H470" s="15"/>
      <c r="I470" s="15"/>
      <c r="J470" s="15"/>
      <c r="K470" s="15"/>
      <c r="L470" s="15"/>
      <c r="M470" s="15"/>
      <c r="N470" s="15"/>
      <c r="O470" s="15"/>
      <c r="P470" s="15"/>
      <c r="Q470" s="15"/>
      <c r="R470" s="15"/>
      <c r="S470" s="15"/>
      <c r="T470" s="15"/>
      <c r="U470" s="15"/>
      <c r="V470" s="15"/>
      <c r="W470" s="15"/>
      <c r="X470" s="15"/>
      <c r="Y470" s="15"/>
      <c r="Z470" s="15"/>
      <c r="AA470" s="15"/>
      <c r="AB470" s="15"/>
    </row>
    <row r="471">
      <c r="B471" s="15"/>
      <c r="C471" s="15"/>
      <c r="D471" s="15"/>
      <c r="E471" s="15"/>
      <c r="F471" s="15"/>
      <c r="G471" s="15"/>
      <c r="H471" s="15"/>
      <c r="I471" s="15"/>
      <c r="J471" s="15"/>
      <c r="K471" s="15"/>
      <c r="L471" s="15"/>
      <c r="M471" s="15"/>
      <c r="N471" s="15"/>
      <c r="O471" s="15"/>
      <c r="P471" s="15"/>
      <c r="Q471" s="15"/>
      <c r="R471" s="15"/>
      <c r="S471" s="15"/>
      <c r="T471" s="15"/>
      <c r="U471" s="15"/>
      <c r="V471" s="15"/>
      <c r="W471" s="15"/>
      <c r="X471" s="15"/>
      <c r="Y471" s="15"/>
      <c r="Z471" s="15"/>
      <c r="AA471" s="15"/>
      <c r="AB471" s="15"/>
    </row>
    <row r="472">
      <c r="B472" s="15"/>
      <c r="C472" s="15"/>
      <c r="D472" s="15"/>
      <c r="E472" s="15"/>
      <c r="F472" s="15"/>
      <c r="G472" s="15"/>
      <c r="H472" s="15"/>
      <c r="I472" s="15"/>
      <c r="J472" s="15"/>
      <c r="K472" s="15"/>
      <c r="L472" s="15"/>
      <c r="M472" s="15"/>
      <c r="N472" s="15"/>
      <c r="O472" s="15"/>
      <c r="P472" s="15"/>
      <c r="Q472" s="15"/>
      <c r="R472" s="15"/>
      <c r="S472" s="15"/>
      <c r="T472" s="15"/>
      <c r="U472" s="15"/>
      <c r="V472" s="15"/>
      <c r="W472" s="15"/>
      <c r="X472" s="15"/>
      <c r="Y472" s="15"/>
      <c r="Z472" s="15"/>
      <c r="AA472" s="15"/>
      <c r="AB472" s="15"/>
    </row>
    <row r="473">
      <c r="B473" s="15"/>
      <c r="C473" s="15"/>
      <c r="D473" s="15"/>
      <c r="E473" s="15"/>
      <c r="F473" s="15"/>
      <c r="G473" s="15"/>
      <c r="H473" s="15"/>
      <c r="I473" s="15"/>
      <c r="J473" s="15"/>
      <c r="K473" s="15"/>
      <c r="L473" s="15"/>
      <c r="M473" s="15"/>
      <c r="N473" s="15"/>
      <c r="O473" s="15"/>
      <c r="P473" s="15"/>
      <c r="Q473" s="15"/>
      <c r="R473" s="15"/>
      <c r="S473" s="15"/>
      <c r="T473" s="15"/>
      <c r="U473" s="15"/>
      <c r="V473" s="15"/>
      <c r="W473" s="15"/>
      <c r="X473" s="15"/>
      <c r="Y473" s="15"/>
      <c r="Z473" s="15"/>
      <c r="AA473" s="15"/>
      <c r="AB473" s="15"/>
    </row>
    <row r="474">
      <c r="B474" s="15"/>
      <c r="C474" s="15"/>
      <c r="D474" s="15"/>
      <c r="E474" s="15"/>
      <c r="F474" s="15"/>
      <c r="G474" s="15"/>
      <c r="H474" s="15"/>
      <c r="I474" s="15"/>
      <c r="J474" s="15"/>
      <c r="K474" s="15"/>
      <c r="L474" s="15"/>
      <c r="M474" s="15"/>
      <c r="N474" s="15"/>
      <c r="O474" s="15"/>
      <c r="P474" s="15"/>
      <c r="Q474" s="15"/>
      <c r="R474" s="15"/>
      <c r="S474" s="15"/>
      <c r="T474" s="15"/>
      <c r="U474" s="15"/>
      <c r="V474" s="15"/>
      <c r="W474" s="15"/>
      <c r="X474" s="15"/>
      <c r="Y474" s="15"/>
      <c r="Z474" s="15"/>
      <c r="AA474" s="15"/>
      <c r="AB474" s="15"/>
    </row>
    <row r="475">
      <c r="B475" s="15"/>
      <c r="C475" s="15"/>
      <c r="D475" s="15"/>
      <c r="E475" s="15"/>
      <c r="F475" s="15"/>
      <c r="G475" s="15"/>
      <c r="H475" s="15"/>
      <c r="I475" s="15"/>
      <c r="J475" s="15"/>
      <c r="K475" s="15"/>
      <c r="L475" s="15"/>
      <c r="M475" s="15"/>
      <c r="N475" s="15"/>
      <c r="O475" s="15"/>
      <c r="P475" s="15"/>
      <c r="Q475" s="15"/>
      <c r="R475" s="15"/>
      <c r="S475" s="15"/>
      <c r="T475" s="15"/>
      <c r="U475" s="15"/>
      <c r="V475" s="15"/>
      <c r="W475" s="15"/>
      <c r="X475" s="15"/>
      <c r="Y475" s="15"/>
      <c r="Z475" s="15"/>
      <c r="AA475" s="15"/>
      <c r="AB475" s="15"/>
    </row>
    <row r="476">
      <c r="B476" s="15"/>
      <c r="C476" s="15"/>
      <c r="D476" s="15"/>
      <c r="E476" s="15"/>
      <c r="F476" s="15"/>
      <c r="G476" s="15"/>
      <c r="H476" s="15"/>
      <c r="I476" s="15"/>
      <c r="J476" s="15"/>
      <c r="K476" s="15"/>
      <c r="L476" s="15"/>
      <c r="M476" s="15"/>
      <c r="N476" s="15"/>
      <c r="O476" s="15"/>
      <c r="P476" s="15"/>
      <c r="Q476" s="15"/>
      <c r="R476" s="15"/>
      <c r="S476" s="15"/>
      <c r="T476" s="15"/>
      <c r="U476" s="15"/>
      <c r="V476" s="15"/>
      <c r="W476" s="15"/>
      <c r="X476" s="15"/>
      <c r="Y476" s="15"/>
      <c r="Z476" s="15"/>
      <c r="AA476" s="15"/>
      <c r="AB476" s="15"/>
    </row>
    <row r="477">
      <c r="B477" s="15"/>
      <c r="C477" s="15"/>
      <c r="D477" s="15"/>
      <c r="E477" s="15"/>
      <c r="F477" s="15"/>
      <c r="G477" s="15"/>
      <c r="H477" s="15"/>
      <c r="I477" s="15"/>
      <c r="J477" s="15"/>
      <c r="K477" s="15"/>
      <c r="L477" s="15"/>
      <c r="M477" s="15"/>
      <c r="N477" s="15"/>
      <c r="O477" s="15"/>
      <c r="P477" s="15"/>
      <c r="Q477" s="15"/>
      <c r="R477" s="15"/>
      <c r="S477" s="15"/>
      <c r="T477" s="15"/>
      <c r="U477" s="15"/>
      <c r="V477" s="15"/>
      <c r="W477" s="15"/>
      <c r="X477" s="15"/>
      <c r="Y477" s="15"/>
      <c r="Z477" s="15"/>
      <c r="AA477" s="15"/>
      <c r="AB477" s="15"/>
    </row>
    <row r="478">
      <c r="B478" s="15"/>
      <c r="C478" s="15"/>
      <c r="D478" s="15"/>
      <c r="E478" s="15"/>
      <c r="F478" s="15"/>
      <c r="G478" s="15"/>
      <c r="H478" s="15"/>
      <c r="I478" s="15"/>
      <c r="J478" s="15"/>
      <c r="K478" s="15"/>
      <c r="L478" s="15"/>
      <c r="M478" s="15"/>
      <c r="N478" s="15"/>
      <c r="O478" s="15"/>
      <c r="P478" s="15"/>
      <c r="Q478" s="15"/>
      <c r="R478" s="15"/>
      <c r="S478" s="15"/>
      <c r="T478" s="15"/>
      <c r="U478" s="15"/>
      <c r="V478" s="15"/>
      <c r="W478" s="15"/>
      <c r="X478" s="15"/>
      <c r="Y478" s="15"/>
      <c r="Z478" s="15"/>
      <c r="AA478" s="15"/>
      <c r="AB478" s="15"/>
    </row>
    <row r="479">
      <c r="B479" s="15"/>
      <c r="C479" s="15"/>
      <c r="D479" s="15"/>
      <c r="E479" s="15"/>
      <c r="F479" s="15"/>
      <c r="G479" s="15"/>
      <c r="H479" s="15"/>
      <c r="I479" s="15"/>
      <c r="J479" s="15"/>
      <c r="K479" s="15"/>
      <c r="L479" s="15"/>
      <c r="M479" s="15"/>
      <c r="N479" s="15"/>
      <c r="O479" s="15"/>
      <c r="P479" s="15"/>
      <c r="Q479" s="15"/>
      <c r="R479" s="15"/>
      <c r="S479" s="15"/>
      <c r="T479" s="15"/>
      <c r="U479" s="15"/>
      <c r="V479" s="15"/>
      <c r="W479" s="15"/>
      <c r="X479" s="15"/>
      <c r="Y479" s="15"/>
      <c r="Z479" s="15"/>
      <c r="AA479" s="15"/>
      <c r="AB479" s="15"/>
    </row>
    <row r="480">
      <c r="B480" s="15"/>
      <c r="C480" s="15"/>
      <c r="D480" s="15"/>
      <c r="E480" s="15"/>
      <c r="F480" s="15"/>
      <c r="G480" s="15"/>
      <c r="H480" s="15"/>
      <c r="I480" s="15"/>
      <c r="J480" s="15"/>
      <c r="K480" s="15"/>
      <c r="L480" s="15"/>
      <c r="M480" s="15"/>
      <c r="N480" s="15"/>
      <c r="O480" s="15"/>
      <c r="P480" s="15"/>
      <c r="Q480" s="15"/>
      <c r="R480" s="15"/>
      <c r="S480" s="15"/>
      <c r="T480" s="15"/>
      <c r="U480" s="15"/>
      <c r="V480" s="15"/>
      <c r="W480" s="15"/>
      <c r="X480" s="15"/>
      <c r="Y480" s="15"/>
      <c r="Z480" s="15"/>
      <c r="AA480" s="15"/>
      <c r="AB480" s="15"/>
    </row>
    <row r="481">
      <c r="B481" s="15"/>
      <c r="C481" s="15"/>
      <c r="D481" s="15"/>
      <c r="E481" s="15"/>
      <c r="F481" s="15"/>
      <c r="G481" s="15"/>
      <c r="H481" s="15"/>
      <c r="I481" s="15"/>
      <c r="J481" s="15"/>
      <c r="K481" s="15"/>
      <c r="L481" s="15"/>
      <c r="M481" s="15"/>
      <c r="N481" s="15"/>
      <c r="O481" s="15"/>
      <c r="P481" s="15"/>
      <c r="Q481" s="15"/>
      <c r="R481" s="15"/>
      <c r="S481" s="15"/>
      <c r="T481" s="15"/>
      <c r="U481" s="15"/>
      <c r="V481" s="15"/>
      <c r="W481" s="15"/>
      <c r="X481" s="15"/>
      <c r="Y481" s="15"/>
      <c r="Z481" s="15"/>
      <c r="AA481" s="15"/>
      <c r="AB481" s="15"/>
    </row>
    <row r="482">
      <c r="B482" s="15"/>
      <c r="C482" s="15"/>
      <c r="D482" s="15"/>
      <c r="E482" s="15"/>
      <c r="F482" s="15"/>
      <c r="G482" s="15"/>
      <c r="H482" s="15"/>
      <c r="I482" s="15"/>
      <c r="J482" s="15"/>
      <c r="K482" s="15"/>
      <c r="L482" s="15"/>
      <c r="M482" s="15"/>
      <c r="N482" s="15"/>
      <c r="O482" s="15"/>
      <c r="P482" s="15"/>
      <c r="Q482" s="15"/>
      <c r="R482" s="15"/>
      <c r="S482" s="15"/>
      <c r="T482" s="15"/>
      <c r="U482" s="15"/>
      <c r="V482" s="15"/>
      <c r="W482" s="15"/>
      <c r="X482" s="15"/>
      <c r="Y482" s="15"/>
      <c r="Z482" s="15"/>
      <c r="AA482" s="15"/>
      <c r="AB482" s="15"/>
    </row>
    <row r="483">
      <c r="B483" s="15"/>
      <c r="C483" s="15"/>
      <c r="D483" s="15"/>
      <c r="E483" s="15"/>
      <c r="F483" s="15"/>
      <c r="G483" s="15"/>
      <c r="H483" s="15"/>
      <c r="I483" s="15"/>
      <c r="J483" s="15"/>
      <c r="K483" s="15"/>
      <c r="L483" s="15"/>
      <c r="M483" s="15"/>
      <c r="N483" s="15"/>
      <c r="O483" s="15"/>
      <c r="P483" s="15"/>
      <c r="Q483" s="15"/>
      <c r="R483" s="15"/>
      <c r="S483" s="15"/>
      <c r="T483" s="15"/>
      <c r="U483" s="15"/>
      <c r="V483" s="15"/>
      <c r="W483" s="15"/>
      <c r="X483" s="15"/>
      <c r="Y483" s="15"/>
      <c r="Z483" s="15"/>
      <c r="AA483" s="15"/>
      <c r="AB483" s="15"/>
    </row>
    <row r="484">
      <c r="B484" s="15"/>
      <c r="C484" s="15"/>
      <c r="D484" s="15"/>
      <c r="E484" s="15"/>
      <c r="F484" s="15"/>
      <c r="G484" s="15"/>
      <c r="H484" s="15"/>
      <c r="I484" s="15"/>
      <c r="J484" s="15"/>
      <c r="K484" s="15"/>
      <c r="L484" s="15"/>
      <c r="M484" s="15"/>
      <c r="N484" s="15"/>
      <c r="O484" s="15"/>
      <c r="P484" s="15"/>
      <c r="Q484" s="15"/>
      <c r="R484" s="15"/>
      <c r="S484" s="15"/>
      <c r="T484" s="15"/>
      <c r="U484" s="15"/>
      <c r="V484" s="15"/>
      <c r="W484" s="15"/>
      <c r="X484" s="15"/>
      <c r="Y484" s="15"/>
      <c r="Z484" s="15"/>
      <c r="AA484" s="15"/>
      <c r="AB484" s="15"/>
    </row>
    <row r="485">
      <c r="B485" s="15"/>
      <c r="C485" s="15"/>
      <c r="D485" s="15"/>
      <c r="E485" s="15"/>
      <c r="F485" s="15"/>
      <c r="G485" s="15"/>
      <c r="H485" s="15"/>
      <c r="I485" s="15"/>
      <c r="J485" s="15"/>
      <c r="K485" s="15"/>
      <c r="L485" s="15"/>
      <c r="M485" s="15"/>
      <c r="N485" s="15"/>
      <c r="O485" s="15"/>
      <c r="P485" s="15"/>
      <c r="Q485" s="15"/>
      <c r="R485" s="15"/>
      <c r="S485" s="15"/>
      <c r="T485" s="15"/>
      <c r="U485" s="15"/>
      <c r="V485" s="15"/>
      <c r="W485" s="15"/>
      <c r="X485" s="15"/>
      <c r="Y485" s="15"/>
      <c r="Z485" s="15"/>
      <c r="AA485" s="15"/>
      <c r="AB485" s="15"/>
    </row>
    <row r="486">
      <c r="B486" s="15"/>
      <c r="C486" s="15"/>
      <c r="D486" s="15"/>
      <c r="E486" s="15"/>
      <c r="F486" s="15"/>
      <c r="G486" s="15"/>
      <c r="H486" s="15"/>
      <c r="I486" s="15"/>
      <c r="J486" s="15"/>
      <c r="K486" s="15"/>
      <c r="L486" s="15"/>
      <c r="M486" s="15"/>
      <c r="N486" s="15"/>
      <c r="O486" s="15"/>
      <c r="P486" s="15"/>
      <c r="Q486" s="15"/>
      <c r="R486" s="15"/>
      <c r="S486" s="15"/>
      <c r="T486" s="15"/>
      <c r="U486" s="15"/>
      <c r="V486" s="15"/>
      <c r="W486" s="15"/>
      <c r="X486" s="15"/>
      <c r="Y486" s="15"/>
      <c r="Z486" s="15"/>
      <c r="AA486" s="15"/>
      <c r="AB486" s="15"/>
    </row>
    <row r="487">
      <c r="B487" s="15"/>
      <c r="C487" s="15"/>
      <c r="D487" s="15"/>
      <c r="E487" s="15"/>
      <c r="F487" s="15"/>
      <c r="G487" s="15"/>
      <c r="H487" s="15"/>
      <c r="I487" s="15"/>
      <c r="J487" s="15"/>
      <c r="K487" s="15"/>
      <c r="L487" s="15"/>
      <c r="M487" s="15"/>
      <c r="N487" s="15"/>
      <c r="O487" s="15"/>
      <c r="P487" s="15"/>
      <c r="Q487" s="15"/>
      <c r="R487" s="15"/>
      <c r="S487" s="15"/>
      <c r="T487" s="15"/>
      <c r="U487" s="15"/>
      <c r="V487" s="15"/>
      <c r="W487" s="15"/>
      <c r="X487" s="15"/>
      <c r="Y487" s="15"/>
      <c r="Z487" s="15"/>
      <c r="AA487" s="15"/>
      <c r="AB487" s="15"/>
    </row>
    <row r="488">
      <c r="B488" s="15"/>
      <c r="C488" s="15"/>
      <c r="D488" s="15"/>
      <c r="E488" s="15"/>
      <c r="F488" s="15"/>
      <c r="G488" s="15"/>
      <c r="H488" s="15"/>
      <c r="I488" s="15"/>
      <c r="J488" s="15"/>
      <c r="K488" s="15"/>
      <c r="L488" s="15"/>
      <c r="M488" s="15"/>
      <c r="N488" s="15"/>
      <c r="O488" s="15"/>
      <c r="P488" s="15"/>
      <c r="Q488" s="15"/>
      <c r="R488" s="15"/>
      <c r="S488" s="15"/>
      <c r="T488" s="15"/>
      <c r="U488" s="15"/>
      <c r="V488" s="15"/>
      <c r="W488" s="15"/>
      <c r="X488" s="15"/>
      <c r="Y488" s="15"/>
      <c r="Z488" s="15"/>
      <c r="AA488" s="15"/>
      <c r="AB488" s="15"/>
    </row>
    <row r="489">
      <c r="B489" s="15"/>
      <c r="C489" s="15"/>
      <c r="D489" s="15"/>
      <c r="E489" s="15"/>
      <c r="F489" s="15"/>
      <c r="G489" s="15"/>
      <c r="H489" s="15"/>
      <c r="I489" s="15"/>
      <c r="J489" s="15"/>
      <c r="K489" s="15"/>
      <c r="L489" s="15"/>
      <c r="M489" s="15"/>
      <c r="N489" s="15"/>
      <c r="O489" s="15"/>
      <c r="P489" s="15"/>
      <c r="Q489" s="15"/>
      <c r="R489" s="15"/>
      <c r="S489" s="15"/>
      <c r="T489" s="15"/>
      <c r="U489" s="15"/>
      <c r="V489" s="15"/>
      <c r="W489" s="15"/>
      <c r="X489" s="15"/>
      <c r="Y489" s="15"/>
      <c r="Z489" s="15"/>
      <c r="AA489" s="15"/>
      <c r="AB489" s="15"/>
    </row>
    <row r="490">
      <c r="B490" s="15"/>
      <c r="C490" s="15"/>
      <c r="D490" s="15"/>
      <c r="E490" s="15"/>
      <c r="F490" s="15"/>
      <c r="G490" s="15"/>
      <c r="H490" s="15"/>
      <c r="I490" s="15"/>
      <c r="J490" s="15"/>
      <c r="K490" s="15"/>
      <c r="L490" s="15"/>
      <c r="M490" s="15"/>
      <c r="N490" s="15"/>
      <c r="O490" s="15"/>
      <c r="P490" s="15"/>
      <c r="Q490" s="15"/>
      <c r="R490" s="15"/>
      <c r="S490" s="15"/>
      <c r="T490" s="15"/>
      <c r="U490" s="15"/>
      <c r="V490" s="15"/>
      <c r="W490" s="15"/>
      <c r="X490" s="15"/>
      <c r="Y490" s="15"/>
      <c r="Z490" s="15"/>
      <c r="AA490" s="15"/>
      <c r="AB490" s="15"/>
    </row>
    <row r="491">
      <c r="B491" s="15"/>
      <c r="C491" s="15"/>
      <c r="D491" s="15"/>
      <c r="E491" s="15"/>
      <c r="F491" s="15"/>
      <c r="G491" s="15"/>
      <c r="H491" s="15"/>
      <c r="I491" s="15"/>
      <c r="J491" s="15"/>
      <c r="K491" s="15"/>
      <c r="L491" s="15"/>
      <c r="M491" s="15"/>
      <c r="N491" s="15"/>
      <c r="O491" s="15"/>
      <c r="P491" s="15"/>
      <c r="Q491" s="15"/>
      <c r="R491" s="15"/>
      <c r="S491" s="15"/>
      <c r="T491" s="15"/>
      <c r="U491" s="15"/>
      <c r="V491" s="15"/>
      <c r="W491" s="15"/>
      <c r="X491" s="15"/>
      <c r="Y491" s="15"/>
      <c r="Z491" s="15"/>
      <c r="AA491" s="15"/>
      <c r="AB491" s="15"/>
    </row>
    <row r="492">
      <c r="B492" s="15"/>
      <c r="C492" s="15"/>
      <c r="D492" s="15"/>
      <c r="E492" s="15"/>
      <c r="F492" s="15"/>
      <c r="G492" s="15"/>
      <c r="H492" s="15"/>
      <c r="I492" s="15"/>
      <c r="J492" s="15"/>
      <c r="K492" s="15"/>
      <c r="L492" s="15"/>
      <c r="M492" s="15"/>
      <c r="N492" s="15"/>
      <c r="O492" s="15"/>
      <c r="P492" s="15"/>
      <c r="Q492" s="15"/>
      <c r="R492" s="15"/>
      <c r="S492" s="15"/>
      <c r="T492" s="15"/>
      <c r="U492" s="15"/>
      <c r="V492" s="15"/>
      <c r="W492" s="15"/>
      <c r="X492" s="15"/>
      <c r="Y492" s="15"/>
      <c r="Z492" s="15"/>
      <c r="AA492" s="15"/>
      <c r="AB492" s="15"/>
    </row>
    <row r="493">
      <c r="B493" s="15"/>
      <c r="C493" s="15"/>
      <c r="D493" s="15"/>
      <c r="E493" s="15"/>
      <c r="F493" s="15"/>
      <c r="G493" s="15"/>
      <c r="H493" s="15"/>
      <c r="I493" s="15"/>
      <c r="J493" s="15"/>
      <c r="K493" s="15"/>
      <c r="L493" s="15"/>
      <c r="M493" s="15"/>
      <c r="N493" s="15"/>
      <c r="O493" s="15"/>
      <c r="P493" s="15"/>
      <c r="Q493" s="15"/>
      <c r="R493" s="15"/>
      <c r="S493" s="15"/>
      <c r="T493" s="15"/>
      <c r="U493" s="15"/>
      <c r="V493" s="15"/>
      <c r="W493" s="15"/>
      <c r="X493" s="15"/>
      <c r="Y493" s="15"/>
      <c r="Z493" s="15"/>
      <c r="AA493" s="15"/>
      <c r="AB493" s="15"/>
    </row>
    <row r="494">
      <c r="B494" s="15"/>
      <c r="C494" s="15"/>
      <c r="D494" s="15"/>
      <c r="E494" s="15"/>
      <c r="F494" s="15"/>
      <c r="G494" s="15"/>
      <c r="H494" s="15"/>
      <c r="I494" s="15"/>
      <c r="J494" s="15"/>
      <c r="K494" s="15"/>
      <c r="L494" s="15"/>
      <c r="M494" s="15"/>
      <c r="N494" s="15"/>
      <c r="O494" s="15"/>
      <c r="P494" s="15"/>
      <c r="Q494" s="15"/>
      <c r="R494" s="15"/>
      <c r="S494" s="15"/>
      <c r="T494" s="15"/>
      <c r="U494" s="15"/>
      <c r="V494" s="15"/>
      <c r="W494" s="15"/>
      <c r="X494" s="15"/>
      <c r="Y494" s="15"/>
      <c r="Z494" s="15"/>
      <c r="AA494" s="15"/>
      <c r="AB494" s="15"/>
    </row>
    <row r="495">
      <c r="B495" s="15"/>
      <c r="C495" s="15"/>
      <c r="D495" s="15"/>
      <c r="E495" s="15"/>
      <c r="F495" s="15"/>
      <c r="G495" s="15"/>
      <c r="H495" s="15"/>
      <c r="I495" s="15"/>
      <c r="J495" s="15"/>
      <c r="K495" s="15"/>
      <c r="L495" s="15"/>
      <c r="M495" s="15"/>
      <c r="N495" s="15"/>
      <c r="O495" s="15"/>
      <c r="P495" s="15"/>
      <c r="Q495" s="15"/>
      <c r="R495" s="15"/>
      <c r="S495" s="15"/>
      <c r="T495" s="15"/>
      <c r="U495" s="15"/>
      <c r="V495" s="15"/>
      <c r="W495" s="15"/>
      <c r="X495" s="15"/>
      <c r="Y495" s="15"/>
      <c r="Z495" s="15"/>
      <c r="AA495" s="15"/>
      <c r="AB495" s="15"/>
    </row>
    <row r="496">
      <c r="B496" s="15"/>
      <c r="C496" s="15"/>
      <c r="D496" s="15"/>
      <c r="E496" s="15"/>
      <c r="F496" s="15"/>
      <c r="G496" s="15"/>
      <c r="H496" s="15"/>
      <c r="I496" s="15"/>
      <c r="J496" s="15"/>
      <c r="K496" s="15"/>
      <c r="L496" s="15"/>
      <c r="M496" s="15"/>
      <c r="N496" s="15"/>
      <c r="O496" s="15"/>
      <c r="P496" s="15"/>
      <c r="Q496" s="15"/>
      <c r="R496" s="15"/>
      <c r="S496" s="15"/>
      <c r="T496" s="15"/>
      <c r="U496" s="15"/>
      <c r="V496" s="15"/>
      <c r="W496" s="15"/>
      <c r="X496" s="15"/>
      <c r="Y496" s="15"/>
      <c r="Z496" s="15"/>
      <c r="AA496" s="15"/>
      <c r="AB496" s="15"/>
    </row>
    <row r="497">
      <c r="B497" s="15"/>
      <c r="C497" s="15"/>
      <c r="D497" s="15"/>
      <c r="E497" s="15"/>
      <c r="F497" s="15"/>
      <c r="G497" s="15"/>
      <c r="H497" s="15"/>
      <c r="I497" s="15"/>
      <c r="J497" s="15"/>
      <c r="K497" s="15"/>
      <c r="L497" s="15"/>
      <c r="M497" s="15"/>
      <c r="N497" s="15"/>
      <c r="O497" s="15"/>
      <c r="P497" s="15"/>
      <c r="Q497" s="15"/>
      <c r="R497" s="15"/>
      <c r="S497" s="15"/>
      <c r="T497" s="15"/>
      <c r="U497" s="15"/>
      <c r="V497" s="15"/>
      <c r="W497" s="15"/>
      <c r="X497" s="15"/>
      <c r="Y497" s="15"/>
      <c r="Z497" s="15"/>
      <c r="AA497" s="15"/>
      <c r="AB497" s="15"/>
    </row>
    <row r="498">
      <c r="B498" s="15"/>
      <c r="C498" s="15"/>
      <c r="D498" s="15"/>
      <c r="E498" s="15"/>
      <c r="F498" s="15"/>
      <c r="G498" s="15"/>
      <c r="H498" s="15"/>
      <c r="I498" s="15"/>
      <c r="J498" s="15"/>
      <c r="K498" s="15"/>
      <c r="L498" s="15"/>
      <c r="M498" s="15"/>
      <c r="N498" s="15"/>
      <c r="O498" s="15"/>
      <c r="P498" s="15"/>
      <c r="Q498" s="15"/>
      <c r="R498" s="15"/>
      <c r="S498" s="15"/>
      <c r="T498" s="15"/>
      <c r="U498" s="15"/>
      <c r="V498" s="15"/>
      <c r="W498" s="15"/>
      <c r="X498" s="15"/>
      <c r="Y498" s="15"/>
      <c r="Z498" s="15"/>
      <c r="AA498" s="15"/>
      <c r="AB498" s="15"/>
    </row>
    <row r="499">
      <c r="B499" s="15"/>
      <c r="C499" s="15"/>
      <c r="D499" s="15"/>
      <c r="E499" s="15"/>
      <c r="F499" s="15"/>
      <c r="G499" s="15"/>
      <c r="H499" s="15"/>
      <c r="I499" s="15"/>
      <c r="J499" s="15"/>
      <c r="K499" s="15"/>
      <c r="L499" s="15"/>
      <c r="M499" s="15"/>
      <c r="N499" s="15"/>
      <c r="O499" s="15"/>
      <c r="P499" s="15"/>
      <c r="Q499" s="15"/>
      <c r="R499" s="15"/>
      <c r="S499" s="15"/>
      <c r="T499" s="15"/>
      <c r="U499" s="15"/>
      <c r="V499" s="15"/>
      <c r="W499" s="15"/>
      <c r="X499" s="15"/>
      <c r="Y499" s="15"/>
      <c r="Z499" s="15"/>
      <c r="AA499" s="15"/>
      <c r="AB499" s="15"/>
    </row>
    <row r="500">
      <c r="B500" s="15"/>
      <c r="C500" s="15"/>
      <c r="D500" s="15"/>
      <c r="E500" s="15"/>
      <c r="F500" s="15"/>
      <c r="G500" s="15"/>
      <c r="H500" s="15"/>
      <c r="I500" s="15"/>
      <c r="J500" s="15"/>
      <c r="K500" s="15"/>
      <c r="L500" s="15"/>
      <c r="M500" s="15"/>
      <c r="N500" s="15"/>
      <c r="O500" s="15"/>
      <c r="P500" s="15"/>
      <c r="Q500" s="15"/>
      <c r="R500" s="15"/>
      <c r="S500" s="15"/>
      <c r="T500" s="15"/>
      <c r="U500" s="15"/>
      <c r="V500" s="15"/>
      <c r="W500" s="15"/>
      <c r="X500" s="15"/>
      <c r="Y500" s="15"/>
      <c r="Z500" s="15"/>
      <c r="AA500" s="15"/>
      <c r="AB500" s="15"/>
    </row>
    <row r="501">
      <c r="B501" s="15"/>
      <c r="C501" s="15"/>
      <c r="D501" s="15"/>
      <c r="E501" s="15"/>
      <c r="F501" s="15"/>
      <c r="G501" s="15"/>
      <c r="H501" s="15"/>
      <c r="I501" s="15"/>
      <c r="J501" s="15"/>
      <c r="K501" s="15"/>
      <c r="L501" s="15"/>
      <c r="M501" s="15"/>
      <c r="N501" s="15"/>
      <c r="O501" s="15"/>
      <c r="P501" s="15"/>
      <c r="Q501" s="15"/>
      <c r="R501" s="15"/>
      <c r="S501" s="15"/>
      <c r="T501" s="15"/>
      <c r="U501" s="15"/>
      <c r="V501" s="15"/>
      <c r="W501" s="15"/>
      <c r="X501" s="15"/>
      <c r="Y501" s="15"/>
      <c r="Z501" s="15"/>
      <c r="AA501" s="15"/>
      <c r="AB501" s="15"/>
    </row>
    <row r="502">
      <c r="B502" s="15"/>
      <c r="C502" s="15"/>
      <c r="D502" s="15"/>
      <c r="E502" s="15"/>
      <c r="F502" s="15"/>
      <c r="G502" s="15"/>
      <c r="H502" s="15"/>
      <c r="I502" s="15"/>
      <c r="J502" s="15"/>
      <c r="K502" s="15"/>
      <c r="L502" s="15"/>
      <c r="M502" s="15"/>
      <c r="N502" s="15"/>
      <c r="O502" s="15"/>
      <c r="P502" s="15"/>
      <c r="Q502" s="15"/>
      <c r="R502" s="15"/>
      <c r="S502" s="15"/>
      <c r="T502" s="15"/>
      <c r="U502" s="15"/>
      <c r="V502" s="15"/>
      <c r="W502" s="15"/>
      <c r="X502" s="15"/>
      <c r="Y502" s="15"/>
      <c r="Z502" s="15"/>
      <c r="AA502" s="15"/>
      <c r="AB502" s="15"/>
    </row>
    <row r="503">
      <c r="B503" s="15"/>
      <c r="C503" s="15"/>
      <c r="D503" s="15"/>
      <c r="E503" s="15"/>
      <c r="F503" s="15"/>
      <c r="G503" s="15"/>
      <c r="H503" s="15"/>
      <c r="I503" s="15"/>
      <c r="J503" s="15"/>
      <c r="K503" s="15"/>
      <c r="L503" s="15"/>
      <c r="M503" s="15"/>
      <c r="N503" s="15"/>
      <c r="O503" s="15"/>
      <c r="P503" s="15"/>
      <c r="Q503" s="15"/>
      <c r="R503" s="15"/>
      <c r="S503" s="15"/>
      <c r="T503" s="15"/>
      <c r="U503" s="15"/>
      <c r="V503" s="15"/>
      <c r="W503" s="15"/>
      <c r="X503" s="15"/>
      <c r="Y503" s="15"/>
      <c r="Z503" s="15"/>
      <c r="AA503" s="15"/>
      <c r="AB503" s="15"/>
    </row>
    <row r="504">
      <c r="B504" s="15"/>
      <c r="C504" s="15"/>
      <c r="D504" s="15"/>
      <c r="E504" s="15"/>
      <c r="F504" s="15"/>
      <c r="G504" s="15"/>
      <c r="H504" s="15"/>
      <c r="I504" s="15"/>
      <c r="J504" s="15"/>
      <c r="K504" s="15"/>
      <c r="L504" s="15"/>
      <c r="M504" s="15"/>
      <c r="N504" s="15"/>
      <c r="O504" s="15"/>
      <c r="P504" s="15"/>
      <c r="Q504" s="15"/>
      <c r="R504" s="15"/>
      <c r="S504" s="15"/>
      <c r="T504" s="15"/>
      <c r="U504" s="15"/>
      <c r="V504" s="15"/>
      <c r="W504" s="15"/>
      <c r="X504" s="15"/>
      <c r="Y504" s="15"/>
      <c r="Z504" s="15"/>
      <c r="AA504" s="15"/>
      <c r="AB504" s="15"/>
    </row>
    <row r="505">
      <c r="B505" s="15"/>
      <c r="C505" s="15"/>
      <c r="D505" s="15"/>
      <c r="E505" s="15"/>
      <c r="F505" s="15"/>
      <c r="G505" s="15"/>
      <c r="H505" s="15"/>
      <c r="I505" s="15"/>
      <c r="J505" s="15"/>
      <c r="K505" s="15"/>
      <c r="L505" s="15"/>
      <c r="M505" s="15"/>
      <c r="N505" s="15"/>
      <c r="O505" s="15"/>
      <c r="P505" s="15"/>
      <c r="Q505" s="15"/>
      <c r="R505" s="15"/>
      <c r="S505" s="15"/>
      <c r="T505" s="15"/>
      <c r="U505" s="15"/>
      <c r="V505" s="15"/>
      <c r="W505" s="15"/>
      <c r="X505" s="15"/>
      <c r="Y505" s="15"/>
      <c r="Z505" s="15"/>
      <c r="AA505" s="15"/>
      <c r="AB505" s="15"/>
    </row>
    <row r="506">
      <c r="B506" s="15"/>
      <c r="C506" s="15"/>
      <c r="D506" s="15"/>
      <c r="E506" s="15"/>
      <c r="F506" s="15"/>
      <c r="G506" s="15"/>
      <c r="H506" s="15"/>
      <c r="I506" s="15"/>
      <c r="J506" s="15"/>
      <c r="K506" s="15"/>
      <c r="L506" s="15"/>
      <c r="M506" s="15"/>
      <c r="N506" s="15"/>
      <c r="O506" s="15"/>
      <c r="P506" s="15"/>
      <c r="Q506" s="15"/>
      <c r="R506" s="15"/>
      <c r="S506" s="15"/>
      <c r="T506" s="15"/>
      <c r="U506" s="15"/>
      <c r="V506" s="15"/>
      <c r="W506" s="15"/>
      <c r="X506" s="15"/>
      <c r="Y506" s="15"/>
      <c r="Z506" s="15"/>
      <c r="AA506" s="15"/>
      <c r="AB506" s="15"/>
    </row>
    <row r="507">
      <c r="B507" s="15"/>
      <c r="C507" s="15"/>
      <c r="D507" s="15"/>
      <c r="E507" s="15"/>
      <c r="F507" s="15"/>
      <c r="G507" s="15"/>
      <c r="H507" s="15"/>
      <c r="I507" s="15"/>
      <c r="J507" s="15"/>
      <c r="K507" s="15"/>
      <c r="L507" s="15"/>
      <c r="M507" s="15"/>
      <c r="N507" s="15"/>
      <c r="O507" s="15"/>
      <c r="P507" s="15"/>
      <c r="Q507" s="15"/>
      <c r="R507" s="15"/>
      <c r="S507" s="15"/>
      <c r="T507" s="15"/>
      <c r="U507" s="15"/>
      <c r="V507" s="15"/>
      <c r="W507" s="15"/>
      <c r="X507" s="15"/>
      <c r="Y507" s="15"/>
      <c r="Z507" s="15"/>
      <c r="AA507" s="15"/>
      <c r="AB507" s="15"/>
    </row>
    <row r="508">
      <c r="B508" s="15"/>
      <c r="C508" s="15"/>
      <c r="D508" s="15"/>
      <c r="E508" s="15"/>
      <c r="F508" s="15"/>
      <c r="G508" s="15"/>
      <c r="H508" s="15"/>
      <c r="I508" s="15"/>
      <c r="J508" s="15"/>
      <c r="K508" s="15"/>
      <c r="L508" s="15"/>
      <c r="M508" s="15"/>
      <c r="N508" s="15"/>
      <c r="O508" s="15"/>
      <c r="P508" s="15"/>
      <c r="Q508" s="15"/>
      <c r="R508" s="15"/>
      <c r="S508" s="15"/>
      <c r="T508" s="15"/>
      <c r="U508" s="15"/>
      <c r="V508" s="15"/>
      <c r="W508" s="15"/>
      <c r="X508" s="15"/>
      <c r="Y508" s="15"/>
      <c r="Z508" s="15"/>
      <c r="AA508" s="15"/>
      <c r="AB508" s="15"/>
    </row>
    <row r="509">
      <c r="B509" s="15"/>
      <c r="C509" s="15"/>
      <c r="D509" s="15"/>
      <c r="E509" s="15"/>
      <c r="F509" s="15"/>
      <c r="G509" s="15"/>
      <c r="H509" s="15"/>
      <c r="I509" s="15"/>
      <c r="J509" s="15"/>
      <c r="K509" s="15"/>
      <c r="L509" s="15"/>
      <c r="M509" s="15"/>
      <c r="N509" s="15"/>
      <c r="O509" s="15"/>
      <c r="P509" s="15"/>
      <c r="Q509" s="15"/>
      <c r="R509" s="15"/>
      <c r="S509" s="15"/>
      <c r="T509" s="15"/>
      <c r="U509" s="15"/>
      <c r="V509" s="15"/>
      <c r="W509" s="15"/>
      <c r="X509" s="15"/>
      <c r="Y509" s="15"/>
      <c r="Z509" s="15"/>
      <c r="AA509" s="15"/>
      <c r="AB509" s="15"/>
    </row>
    <row r="510">
      <c r="B510" s="15"/>
      <c r="C510" s="15"/>
      <c r="D510" s="15"/>
      <c r="E510" s="15"/>
      <c r="F510" s="15"/>
      <c r="G510" s="15"/>
      <c r="H510" s="15"/>
      <c r="I510" s="15"/>
      <c r="J510" s="15"/>
      <c r="K510" s="15"/>
      <c r="L510" s="15"/>
      <c r="M510" s="15"/>
      <c r="N510" s="15"/>
      <c r="O510" s="15"/>
      <c r="P510" s="15"/>
      <c r="Q510" s="15"/>
      <c r="R510" s="15"/>
      <c r="S510" s="15"/>
      <c r="T510" s="15"/>
      <c r="U510" s="15"/>
      <c r="V510" s="15"/>
      <c r="W510" s="15"/>
      <c r="X510" s="15"/>
      <c r="Y510" s="15"/>
      <c r="Z510" s="15"/>
      <c r="AA510" s="15"/>
      <c r="AB510" s="15"/>
    </row>
    <row r="511">
      <c r="B511" s="15"/>
      <c r="C511" s="15"/>
      <c r="D511" s="15"/>
      <c r="E511" s="15"/>
      <c r="F511" s="15"/>
      <c r="G511" s="15"/>
      <c r="H511" s="15"/>
      <c r="I511" s="15"/>
      <c r="J511" s="15"/>
      <c r="K511" s="15"/>
      <c r="L511" s="15"/>
      <c r="M511" s="15"/>
      <c r="N511" s="15"/>
      <c r="O511" s="15"/>
      <c r="P511" s="15"/>
      <c r="Q511" s="15"/>
      <c r="R511" s="15"/>
      <c r="S511" s="15"/>
      <c r="T511" s="15"/>
      <c r="U511" s="15"/>
      <c r="V511" s="15"/>
      <c r="W511" s="15"/>
      <c r="X511" s="15"/>
      <c r="Y511" s="15"/>
      <c r="Z511" s="15"/>
      <c r="AA511" s="15"/>
      <c r="AB511" s="15"/>
    </row>
    <row r="512">
      <c r="B512" s="15"/>
      <c r="C512" s="15"/>
      <c r="D512" s="15"/>
      <c r="E512" s="15"/>
      <c r="F512" s="15"/>
      <c r="G512" s="15"/>
      <c r="H512" s="15"/>
      <c r="I512" s="15"/>
      <c r="J512" s="15"/>
      <c r="K512" s="15"/>
      <c r="L512" s="15"/>
      <c r="M512" s="15"/>
      <c r="N512" s="15"/>
      <c r="O512" s="15"/>
      <c r="P512" s="15"/>
      <c r="Q512" s="15"/>
      <c r="R512" s="15"/>
      <c r="S512" s="15"/>
      <c r="T512" s="15"/>
      <c r="U512" s="15"/>
      <c r="V512" s="15"/>
      <c r="W512" s="15"/>
      <c r="X512" s="15"/>
      <c r="Y512" s="15"/>
      <c r="Z512" s="15"/>
      <c r="AA512" s="15"/>
      <c r="AB512" s="15"/>
    </row>
    <row r="513">
      <c r="B513" s="15"/>
      <c r="C513" s="15"/>
      <c r="D513" s="15"/>
      <c r="E513" s="15"/>
      <c r="F513" s="15"/>
      <c r="G513" s="15"/>
      <c r="H513" s="15"/>
      <c r="I513" s="15"/>
      <c r="J513" s="15"/>
      <c r="K513" s="15"/>
      <c r="L513" s="15"/>
      <c r="M513" s="15"/>
      <c r="N513" s="15"/>
      <c r="O513" s="15"/>
      <c r="P513" s="15"/>
      <c r="Q513" s="15"/>
      <c r="R513" s="15"/>
      <c r="S513" s="15"/>
      <c r="T513" s="15"/>
      <c r="U513" s="15"/>
      <c r="V513" s="15"/>
      <c r="W513" s="15"/>
      <c r="X513" s="15"/>
      <c r="Y513" s="15"/>
      <c r="Z513" s="15"/>
      <c r="AA513" s="15"/>
      <c r="AB513" s="15"/>
    </row>
    <row r="514">
      <c r="B514" s="15"/>
      <c r="C514" s="15"/>
      <c r="D514" s="15"/>
      <c r="E514" s="15"/>
      <c r="F514" s="15"/>
      <c r="G514" s="15"/>
      <c r="H514" s="15"/>
      <c r="I514" s="15"/>
      <c r="J514" s="15"/>
      <c r="K514" s="15"/>
      <c r="L514" s="15"/>
      <c r="M514" s="15"/>
      <c r="N514" s="15"/>
      <c r="O514" s="15"/>
      <c r="P514" s="15"/>
      <c r="Q514" s="15"/>
      <c r="R514" s="15"/>
      <c r="S514" s="15"/>
      <c r="T514" s="15"/>
      <c r="U514" s="15"/>
      <c r="V514" s="15"/>
      <c r="W514" s="15"/>
      <c r="X514" s="15"/>
      <c r="Y514" s="15"/>
      <c r="Z514" s="15"/>
      <c r="AA514" s="15"/>
      <c r="AB514" s="15"/>
    </row>
    <row r="515">
      <c r="B515" s="15"/>
      <c r="C515" s="15"/>
      <c r="D515" s="15"/>
      <c r="E515" s="15"/>
      <c r="F515" s="15"/>
      <c r="G515" s="15"/>
      <c r="H515" s="15"/>
      <c r="I515" s="15"/>
      <c r="J515" s="15"/>
      <c r="K515" s="15"/>
      <c r="L515" s="15"/>
      <c r="M515" s="15"/>
      <c r="N515" s="15"/>
      <c r="O515" s="15"/>
      <c r="P515" s="15"/>
      <c r="Q515" s="15"/>
      <c r="R515" s="15"/>
      <c r="S515" s="15"/>
      <c r="T515" s="15"/>
      <c r="U515" s="15"/>
      <c r="V515" s="15"/>
      <c r="W515" s="15"/>
      <c r="X515" s="15"/>
      <c r="Y515" s="15"/>
      <c r="Z515" s="15"/>
      <c r="AA515" s="15"/>
      <c r="AB515" s="15"/>
    </row>
    <row r="516">
      <c r="B516" s="15"/>
      <c r="C516" s="15"/>
      <c r="D516" s="15"/>
      <c r="E516" s="15"/>
      <c r="F516" s="15"/>
      <c r="G516" s="15"/>
      <c r="H516" s="15"/>
      <c r="I516" s="15"/>
      <c r="J516" s="15"/>
      <c r="K516" s="15"/>
      <c r="L516" s="15"/>
      <c r="M516" s="15"/>
      <c r="N516" s="15"/>
      <c r="O516" s="15"/>
      <c r="P516" s="15"/>
      <c r="Q516" s="15"/>
      <c r="R516" s="15"/>
      <c r="S516" s="15"/>
      <c r="T516" s="15"/>
      <c r="U516" s="15"/>
      <c r="V516" s="15"/>
      <c r="W516" s="15"/>
      <c r="X516" s="15"/>
      <c r="Y516" s="15"/>
      <c r="Z516" s="15"/>
      <c r="AA516" s="15"/>
      <c r="AB516" s="15"/>
    </row>
    <row r="517">
      <c r="B517" s="15"/>
      <c r="C517" s="15"/>
      <c r="D517" s="15"/>
      <c r="E517" s="15"/>
      <c r="F517" s="15"/>
      <c r="G517" s="15"/>
      <c r="H517" s="15"/>
      <c r="I517" s="15"/>
      <c r="J517" s="15"/>
      <c r="K517" s="15"/>
      <c r="L517" s="15"/>
      <c r="M517" s="15"/>
      <c r="N517" s="15"/>
      <c r="O517" s="15"/>
      <c r="P517" s="15"/>
      <c r="Q517" s="15"/>
      <c r="R517" s="15"/>
      <c r="S517" s="15"/>
      <c r="T517" s="15"/>
      <c r="U517" s="15"/>
      <c r="V517" s="15"/>
      <c r="W517" s="15"/>
      <c r="X517" s="15"/>
      <c r="Y517" s="15"/>
      <c r="Z517" s="15"/>
      <c r="AA517" s="15"/>
      <c r="AB517" s="15"/>
    </row>
    <row r="518">
      <c r="B518" s="15"/>
      <c r="C518" s="15"/>
      <c r="D518" s="15"/>
      <c r="E518" s="15"/>
      <c r="F518" s="15"/>
      <c r="G518" s="15"/>
      <c r="H518" s="15"/>
      <c r="I518" s="15"/>
      <c r="J518" s="15"/>
      <c r="K518" s="15"/>
      <c r="L518" s="15"/>
      <c r="M518" s="15"/>
      <c r="N518" s="15"/>
      <c r="O518" s="15"/>
      <c r="P518" s="15"/>
      <c r="Q518" s="15"/>
      <c r="R518" s="15"/>
      <c r="S518" s="15"/>
      <c r="T518" s="15"/>
      <c r="U518" s="15"/>
      <c r="V518" s="15"/>
      <c r="W518" s="15"/>
      <c r="X518" s="15"/>
      <c r="Y518" s="15"/>
      <c r="Z518" s="15"/>
      <c r="AA518" s="15"/>
      <c r="AB518" s="15"/>
    </row>
    <row r="519">
      <c r="B519" s="15"/>
      <c r="C519" s="15"/>
      <c r="D519" s="15"/>
      <c r="E519" s="15"/>
      <c r="F519" s="15"/>
      <c r="G519" s="15"/>
      <c r="H519" s="15"/>
      <c r="I519" s="15"/>
      <c r="J519" s="15"/>
      <c r="K519" s="15"/>
      <c r="L519" s="15"/>
      <c r="M519" s="15"/>
      <c r="N519" s="15"/>
      <c r="O519" s="15"/>
      <c r="P519" s="15"/>
      <c r="Q519" s="15"/>
      <c r="R519" s="15"/>
      <c r="S519" s="15"/>
      <c r="T519" s="15"/>
      <c r="U519" s="15"/>
      <c r="V519" s="15"/>
      <c r="W519" s="15"/>
      <c r="X519" s="15"/>
      <c r="Y519" s="15"/>
      <c r="Z519" s="15"/>
      <c r="AA519" s="15"/>
      <c r="AB519" s="15"/>
    </row>
    <row r="520">
      <c r="B520" s="15"/>
      <c r="C520" s="15"/>
      <c r="D520" s="15"/>
      <c r="E520" s="15"/>
      <c r="F520" s="15"/>
      <c r="G520" s="15"/>
      <c r="H520" s="15"/>
      <c r="I520" s="15"/>
      <c r="J520" s="15"/>
      <c r="K520" s="15"/>
      <c r="L520" s="15"/>
      <c r="M520" s="15"/>
      <c r="N520" s="15"/>
      <c r="O520" s="15"/>
      <c r="P520" s="15"/>
      <c r="Q520" s="15"/>
      <c r="R520" s="15"/>
      <c r="S520" s="15"/>
      <c r="T520" s="15"/>
      <c r="U520" s="15"/>
      <c r="V520" s="15"/>
      <c r="W520" s="15"/>
      <c r="X520" s="15"/>
      <c r="Y520" s="15"/>
      <c r="Z520" s="15"/>
      <c r="AA520" s="15"/>
      <c r="AB520" s="15"/>
    </row>
    <row r="521">
      <c r="B521" s="15"/>
      <c r="C521" s="15"/>
      <c r="D521" s="15"/>
      <c r="E521" s="15"/>
      <c r="F521" s="15"/>
      <c r="G521" s="15"/>
      <c r="H521" s="15"/>
      <c r="I521" s="15"/>
      <c r="J521" s="15"/>
      <c r="K521" s="15"/>
      <c r="L521" s="15"/>
      <c r="M521" s="15"/>
      <c r="N521" s="15"/>
      <c r="O521" s="15"/>
      <c r="P521" s="15"/>
      <c r="Q521" s="15"/>
      <c r="R521" s="15"/>
      <c r="S521" s="15"/>
      <c r="T521" s="15"/>
      <c r="U521" s="15"/>
      <c r="V521" s="15"/>
      <c r="W521" s="15"/>
      <c r="X521" s="15"/>
      <c r="Y521" s="15"/>
      <c r="Z521" s="15"/>
      <c r="AA521" s="15"/>
      <c r="AB521" s="15"/>
    </row>
    <row r="522">
      <c r="B522" s="15"/>
      <c r="C522" s="15"/>
      <c r="D522" s="15"/>
      <c r="E522" s="15"/>
      <c r="F522" s="15"/>
      <c r="G522" s="15"/>
      <c r="H522" s="15"/>
      <c r="I522" s="15"/>
      <c r="J522" s="15"/>
      <c r="K522" s="15"/>
      <c r="L522" s="15"/>
      <c r="M522" s="15"/>
      <c r="N522" s="15"/>
      <c r="O522" s="15"/>
      <c r="P522" s="15"/>
      <c r="Q522" s="15"/>
      <c r="R522" s="15"/>
      <c r="S522" s="15"/>
      <c r="T522" s="15"/>
      <c r="U522" s="15"/>
      <c r="V522" s="15"/>
      <c r="W522" s="15"/>
      <c r="X522" s="15"/>
      <c r="Y522" s="15"/>
      <c r="Z522" s="15"/>
      <c r="AA522" s="15"/>
      <c r="AB522" s="15"/>
    </row>
    <row r="523">
      <c r="B523" s="15"/>
      <c r="C523" s="15"/>
      <c r="D523" s="15"/>
      <c r="E523" s="15"/>
      <c r="F523" s="15"/>
      <c r="G523" s="15"/>
      <c r="H523" s="15"/>
      <c r="I523" s="15"/>
      <c r="J523" s="15"/>
      <c r="K523" s="15"/>
      <c r="L523" s="15"/>
      <c r="M523" s="15"/>
      <c r="N523" s="15"/>
      <c r="O523" s="15"/>
      <c r="P523" s="15"/>
      <c r="Q523" s="15"/>
      <c r="R523" s="15"/>
      <c r="S523" s="15"/>
      <c r="T523" s="15"/>
      <c r="U523" s="15"/>
      <c r="V523" s="15"/>
      <c r="W523" s="15"/>
      <c r="X523" s="15"/>
      <c r="Y523" s="15"/>
      <c r="Z523" s="15"/>
      <c r="AA523" s="15"/>
      <c r="AB523" s="15"/>
    </row>
    <row r="524">
      <c r="B524" s="15"/>
      <c r="C524" s="15"/>
      <c r="D524" s="15"/>
      <c r="E524" s="15"/>
      <c r="F524" s="15"/>
      <c r="G524" s="15"/>
      <c r="H524" s="15"/>
      <c r="I524" s="15"/>
      <c r="J524" s="15"/>
      <c r="K524" s="15"/>
      <c r="L524" s="15"/>
      <c r="M524" s="15"/>
      <c r="N524" s="15"/>
      <c r="O524" s="15"/>
      <c r="P524" s="15"/>
      <c r="Q524" s="15"/>
      <c r="R524" s="15"/>
      <c r="S524" s="15"/>
      <c r="T524" s="15"/>
      <c r="U524" s="15"/>
      <c r="V524" s="15"/>
      <c r="W524" s="15"/>
      <c r="X524" s="15"/>
      <c r="Y524" s="15"/>
      <c r="Z524" s="15"/>
      <c r="AA524" s="15"/>
      <c r="AB524" s="15"/>
    </row>
    <row r="525">
      <c r="B525" s="15"/>
      <c r="C525" s="15"/>
      <c r="D525" s="15"/>
      <c r="E525" s="15"/>
      <c r="F525" s="15"/>
      <c r="G525" s="15"/>
      <c r="H525" s="15"/>
      <c r="I525" s="15"/>
      <c r="J525" s="15"/>
      <c r="K525" s="15"/>
      <c r="L525" s="15"/>
      <c r="M525" s="15"/>
      <c r="N525" s="15"/>
      <c r="O525" s="15"/>
      <c r="P525" s="15"/>
      <c r="Q525" s="15"/>
      <c r="R525" s="15"/>
      <c r="S525" s="15"/>
      <c r="T525" s="15"/>
      <c r="U525" s="15"/>
      <c r="V525" s="15"/>
      <c r="W525" s="15"/>
      <c r="X525" s="15"/>
      <c r="Y525" s="15"/>
      <c r="Z525" s="15"/>
      <c r="AA525" s="15"/>
      <c r="AB525" s="15"/>
    </row>
    <row r="526">
      <c r="B526" s="15"/>
      <c r="C526" s="15"/>
      <c r="D526" s="15"/>
      <c r="E526" s="15"/>
      <c r="F526" s="15"/>
      <c r="G526" s="15"/>
      <c r="H526" s="15"/>
      <c r="I526" s="15"/>
      <c r="J526" s="15"/>
      <c r="K526" s="15"/>
      <c r="L526" s="15"/>
      <c r="M526" s="15"/>
      <c r="N526" s="15"/>
      <c r="O526" s="15"/>
      <c r="P526" s="15"/>
      <c r="Q526" s="15"/>
      <c r="R526" s="15"/>
      <c r="S526" s="15"/>
      <c r="T526" s="15"/>
      <c r="U526" s="15"/>
      <c r="V526" s="15"/>
      <c r="W526" s="15"/>
      <c r="X526" s="15"/>
      <c r="Y526" s="15"/>
      <c r="Z526" s="15"/>
      <c r="AA526" s="15"/>
      <c r="AB526" s="15"/>
    </row>
    <row r="527">
      <c r="B527" s="15"/>
      <c r="C527" s="15"/>
      <c r="D527" s="15"/>
      <c r="E527" s="15"/>
      <c r="F527" s="15"/>
      <c r="G527" s="15"/>
      <c r="H527" s="15"/>
      <c r="I527" s="15"/>
      <c r="J527" s="15"/>
      <c r="K527" s="15"/>
      <c r="L527" s="15"/>
      <c r="M527" s="15"/>
      <c r="N527" s="15"/>
      <c r="O527" s="15"/>
      <c r="P527" s="15"/>
      <c r="Q527" s="15"/>
      <c r="R527" s="15"/>
      <c r="S527" s="15"/>
      <c r="T527" s="15"/>
      <c r="U527" s="15"/>
      <c r="V527" s="15"/>
      <c r="W527" s="15"/>
      <c r="X527" s="15"/>
      <c r="Y527" s="15"/>
      <c r="Z527" s="15"/>
      <c r="AA527" s="15"/>
      <c r="AB527" s="15"/>
    </row>
    <row r="528">
      <c r="B528" s="15"/>
      <c r="C528" s="15"/>
      <c r="D528" s="15"/>
      <c r="E528" s="15"/>
      <c r="F528" s="15"/>
      <c r="G528" s="15"/>
      <c r="H528" s="15"/>
      <c r="I528" s="15"/>
      <c r="J528" s="15"/>
      <c r="K528" s="15"/>
      <c r="L528" s="15"/>
      <c r="M528" s="15"/>
      <c r="N528" s="15"/>
      <c r="O528" s="15"/>
      <c r="P528" s="15"/>
      <c r="Q528" s="15"/>
      <c r="R528" s="15"/>
      <c r="S528" s="15"/>
      <c r="T528" s="15"/>
      <c r="U528" s="15"/>
      <c r="V528" s="15"/>
      <c r="W528" s="15"/>
      <c r="X528" s="15"/>
      <c r="Y528" s="15"/>
      <c r="Z528" s="15"/>
      <c r="AA528" s="15"/>
      <c r="AB528" s="15"/>
    </row>
    <row r="529">
      <c r="B529" s="15"/>
      <c r="C529" s="15"/>
      <c r="D529" s="15"/>
      <c r="E529" s="15"/>
      <c r="F529" s="15"/>
      <c r="G529" s="15"/>
      <c r="H529" s="15"/>
      <c r="I529" s="15"/>
      <c r="J529" s="15"/>
      <c r="K529" s="15"/>
      <c r="L529" s="15"/>
      <c r="M529" s="15"/>
      <c r="N529" s="15"/>
      <c r="O529" s="15"/>
      <c r="P529" s="15"/>
      <c r="Q529" s="15"/>
      <c r="R529" s="15"/>
      <c r="S529" s="15"/>
      <c r="T529" s="15"/>
      <c r="U529" s="15"/>
      <c r="V529" s="15"/>
      <c r="W529" s="15"/>
      <c r="X529" s="15"/>
      <c r="Y529" s="15"/>
      <c r="Z529" s="15"/>
      <c r="AA529" s="15"/>
      <c r="AB529" s="15"/>
    </row>
    <row r="530">
      <c r="B530" s="15"/>
      <c r="C530" s="15"/>
      <c r="D530" s="15"/>
      <c r="E530" s="15"/>
      <c r="F530" s="15"/>
      <c r="G530" s="15"/>
      <c r="H530" s="15"/>
      <c r="I530" s="15"/>
      <c r="J530" s="15"/>
      <c r="K530" s="15"/>
      <c r="L530" s="15"/>
      <c r="M530" s="15"/>
      <c r="N530" s="15"/>
      <c r="O530" s="15"/>
      <c r="P530" s="15"/>
      <c r="Q530" s="15"/>
      <c r="R530" s="15"/>
      <c r="S530" s="15"/>
      <c r="T530" s="15"/>
      <c r="U530" s="15"/>
      <c r="V530" s="15"/>
      <c r="W530" s="15"/>
      <c r="X530" s="15"/>
      <c r="Y530" s="15"/>
      <c r="Z530" s="15"/>
      <c r="AA530" s="15"/>
      <c r="AB530" s="15"/>
    </row>
    <row r="531">
      <c r="B531" s="15"/>
      <c r="C531" s="15"/>
      <c r="D531" s="15"/>
      <c r="E531" s="15"/>
      <c r="F531" s="15"/>
      <c r="G531" s="15"/>
      <c r="H531" s="15"/>
      <c r="I531" s="15"/>
      <c r="J531" s="15"/>
      <c r="K531" s="15"/>
      <c r="L531" s="15"/>
      <c r="M531" s="15"/>
      <c r="N531" s="15"/>
      <c r="O531" s="15"/>
      <c r="P531" s="15"/>
      <c r="Q531" s="15"/>
      <c r="R531" s="15"/>
      <c r="S531" s="15"/>
      <c r="T531" s="15"/>
      <c r="U531" s="15"/>
      <c r="V531" s="15"/>
      <c r="W531" s="15"/>
      <c r="X531" s="15"/>
      <c r="Y531" s="15"/>
      <c r="Z531" s="15"/>
      <c r="AA531" s="15"/>
      <c r="AB531" s="15"/>
    </row>
    <row r="532">
      <c r="B532" s="15"/>
      <c r="C532" s="15"/>
      <c r="D532" s="15"/>
      <c r="E532" s="15"/>
      <c r="F532" s="15"/>
      <c r="G532" s="15"/>
      <c r="H532" s="15"/>
      <c r="I532" s="15"/>
      <c r="J532" s="15"/>
      <c r="K532" s="15"/>
      <c r="L532" s="15"/>
      <c r="M532" s="15"/>
      <c r="N532" s="15"/>
      <c r="O532" s="15"/>
      <c r="P532" s="15"/>
      <c r="Q532" s="15"/>
      <c r="R532" s="15"/>
      <c r="S532" s="15"/>
      <c r="T532" s="15"/>
      <c r="U532" s="15"/>
      <c r="V532" s="15"/>
      <c r="W532" s="15"/>
      <c r="X532" s="15"/>
      <c r="Y532" s="15"/>
      <c r="Z532" s="15"/>
      <c r="AA532" s="15"/>
      <c r="AB532" s="15"/>
    </row>
    <row r="533">
      <c r="B533" s="15"/>
      <c r="C533" s="15"/>
      <c r="D533" s="15"/>
      <c r="E533" s="15"/>
      <c r="F533" s="15"/>
      <c r="G533" s="15"/>
      <c r="H533" s="15"/>
      <c r="I533" s="15"/>
      <c r="J533" s="15"/>
      <c r="K533" s="15"/>
      <c r="L533" s="15"/>
      <c r="M533" s="15"/>
      <c r="N533" s="15"/>
      <c r="O533" s="15"/>
      <c r="P533" s="15"/>
      <c r="Q533" s="15"/>
      <c r="R533" s="15"/>
      <c r="S533" s="15"/>
      <c r="T533" s="15"/>
      <c r="U533" s="15"/>
      <c r="V533" s="15"/>
      <c r="W533" s="15"/>
      <c r="X533" s="15"/>
      <c r="Y533" s="15"/>
      <c r="Z533" s="15"/>
      <c r="AA533" s="15"/>
      <c r="AB533" s="15"/>
    </row>
    <row r="534">
      <c r="B534" s="15"/>
      <c r="C534" s="15"/>
      <c r="D534" s="15"/>
      <c r="E534" s="15"/>
      <c r="F534" s="15"/>
      <c r="G534" s="15"/>
      <c r="H534" s="15"/>
      <c r="I534" s="15"/>
      <c r="J534" s="15"/>
      <c r="K534" s="15"/>
      <c r="L534" s="15"/>
      <c r="M534" s="15"/>
      <c r="N534" s="15"/>
      <c r="O534" s="15"/>
      <c r="P534" s="15"/>
      <c r="Q534" s="15"/>
      <c r="R534" s="15"/>
      <c r="S534" s="15"/>
      <c r="T534" s="15"/>
      <c r="U534" s="15"/>
      <c r="V534" s="15"/>
      <c r="W534" s="15"/>
      <c r="X534" s="15"/>
      <c r="Y534" s="15"/>
      <c r="Z534" s="15"/>
      <c r="AA534" s="15"/>
      <c r="AB534" s="15"/>
    </row>
    <row r="535">
      <c r="B535" s="15"/>
      <c r="C535" s="15"/>
      <c r="D535" s="15"/>
      <c r="E535" s="15"/>
      <c r="F535" s="15"/>
      <c r="G535" s="15"/>
      <c r="H535" s="15"/>
      <c r="I535" s="15"/>
      <c r="J535" s="15"/>
      <c r="K535" s="15"/>
      <c r="L535" s="15"/>
      <c r="M535" s="15"/>
      <c r="N535" s="15"/>
      <c r="O535" s="15"/>
      <c r="P535" s="15"/>
      <c r="Q535" s="15"/>
      <c r="R535" s="15"/>
      <c r="S535" s="15"/>
      <c r="T535" s="15"/>
      <c r="U535" s="15"/>
      <c r="V535" s="15"/>
      <c r="W535" s="15"/>
      <c r="X535" s="15"/>
      <c r="Y535" s="15"/>
      <c r="Z535" s="15"/>
      <c r="AA535" s="15"/>
      <c r="AB535" s="15"/>
    </row>
    <row r="536">
      <c r="B536" s="15"/>
      <c r="C536" s="15"/>
      <c r="D536" s="15"/>
      <c r="E536" s="15"/>
      <c r="F536" s="15"/>
      <c r="G536" s="15"/>
      <c r="H536" s="15"/>
      <c r="I536" s="15"/>
      <c r="J536" s="15"/>
      <c r="K536" s="15"/>
      <c r="L536" s="15"/>
      <c r="M536" s="15"/>
      <c r="N536" s="15"/>
      <c r="O536" s="15"/>
      <c r="P536" s="15"/>
      <c r="Q536" s="15"/>
      <c r="R536" s="15"/>
      <c r="S536" s="15"/>
      <c r="T536" s="15"/>
      <c r="U536" s="15"/>
      <c r="V536" s="15"/>
      <c r="W536" s="15"/>
      <c r="X536" s="15"/>
      <c r="Y536" s="15"/>
      <c r="Z536" s="15"/>
      <c r="AA536" s="15"/>
      <c r="AB536" s="15"/>
    </row>
    <row r="537">
      <c r="B537" s="15"/>
      <c r="C537" s="15"/>
      <c r="D537" s="15"/>
      <c r="E537" s="15"/>
      <c r="F537" s="15"/>
      <c r="G537" s="15"/>
      <c r="H537" s="15"/>
      <c r="I537" s="15"/>
      <c r="J537" s="15"/>
      <c r="K537" s="15"/>
      <c r="L537" s="15"/>
      <c r="M537" s="15"/>
      <c r="N537" s="15"/>
      <c r="O537" s="15"/>
      <c r="P537" s="15"/>
      <c r="Q537" s="15"/>
      <c r="R537" s="15"/>
      <c r="S537" s="15"/>
      <c r="T537" s="15"/>
      <c r="U537" s="15"/>
      <c r="V537" s="15"/>
      <c r="W537" s="15"/>
      <c r="X537" s="15"/>
      <c r="Y537" s="15"/>
      <c r="Z537" s="15"/>
      <c r="AA537" s="15"/>
      <c r="AB537" s="15"/>
    </row>
    <row r="538">
      <c r="B538" s="15"/>
      <c r="C538" s="15"/>
      <c r="D538" s="15"/>
      <c r="E538" s="15"/>
      <c r="F538" s="15"/>
      <c r="G538" s="15"/>
      <c r="H538" s="15"/>
      <c r="I538" s="15"/>
      <c r="J538" s="15"/>
      <c r="K538" s="15"/>
      <c r="L538" s="15"/>
      <c r="M538" s="15"/>
      <c r="N538" s="15"/>
      <c r="O538" s="15"/>
      <c r="P538" s="15"/>
      <c r="Q538" s="15"/>
      <c r="R538" s="15"/>
      <c r="S538" s="15"/>
      <c r="T538" s="15"/>
      <c r="U538" s="15"/>
      <c r="V538" s="15"/>
      <c r="W538" s="15"/>
      <c r="X538" s="15"/>
      <c r="Y538" s="15"/>
      <c r="Z538" s="15"/>
      <c r="AA538" s="15"/>
      <c r="AB538" s="15"/>
    </row>
    <row r="539">
      <c r="B539" s="15"/>
      <c r="C539" s="15"/>
      <c r="D539" s="15"/>
      <c r="E539" s="15"/>
      <c r="F539" s="15"/>
      <c r="G539" s="15"/>
      <c r="H539" s="15"/>
      <c r="I539" s="15"/>
      <c r="J539" s="15"/>
      <c r="K539" s="15"/>
      <c r="L539" s="15"/>
      <c r="M539" s="15"/>
      <c r="N539" s="15"/>
      <c r="O539" s="15"/>
      <c r="P539" s="15"/>
      <c r="Q539" s="15"/>
      <c r="R539" s="15"/>
      <c r="S539" s="15"/>
      <c r="T539" s="15"/>
      <c r="U539" s="15"/>
      <c r="V539" s="15"/>
      <c r="W539" s="15"/>
      <c r="X539" s="15"/>
      <c r="Y539" s="15"/>
      <c r="Z539" s="15"/>
      <c r="AA539" s="15"/>
      <c r="AB539" s="15"/>
    </row>
    <row r="540">
      <c r="B540" s="15"/>
      <c r="C540" s="15"/>
      <c r="D540" s="15"/>
      <c r="E540" s="15"/>
      <c r="F540" s="15"/>
      <c r="G540" s="15"/>
      <c r="H540" s="15"/>
      <c r="I540" s="15"/>
      <c r="J540" s="15"/>
      <c r="K540" s="15"/>
      <c r="L540" s="15"/>
      <c r="M540" s="15"/>
      <c r="N540" s="15"/>
      <c r="O540" s="15"/>
      <c r="P540" s="15"/>
      <c r="Q540" s="15"/>
      <c r="R540" s="15"/>
      <c r="S540" s="15"/>
      <c r="T540" s="15"/>
      <c r="U540" s="15"/>
      <c r="V540" s="15"/>
      <c r="W540" s="15"/>
      <c r="X540" s="15"/>
      <c r="Y540" s="15"/>
      <c r="Z540" s="15"/>
      <c r="AA540" s="15"/>
      <c r="AB540" s="15"/>
    </row>
    <row r="541">
      <c r="B541" s="15"/>
      <c r="C541" s="15"/>
      <c r="D541" s="15"/>
      <c r="E541" s="15"/>
      <c r="F541" s="15"/>
      <c r="G541" s="15"/>
      <c r="H541" s="15"/>
      <c r="I541" s="15"/>
      <c r="J541" s="15"/>
      <c r="K541" s="15"/>
      <c r="L541" s="15"/>
      <c r="M541" s="15"/>
      <c r="N541" s="15"/>
      <c r="O541" s="15"/>
      <c r="P541" s="15"/>
      <c r="Q541" s="15"/>
      <c r="R541" s="15"/>
      <c r="S541" s="15"/>
      <c r="T541" s="15"/>
      <c r="U541" s="15"/>
      <c r="V541" s="15"/>
      <c r="W541" s="15"/>
      <c r="X541" s="15"/>
      <c r="Y541" s="15"/>
      <c r="Z541" s="15"/>
      <c r="AA541" s="15"/>
      <c r="AB541" s="15"/>
    </row>
    <row r="542">
      <c r="B542" s="15"/>
      <c r="C542" s="15"/>
      <c r="D542" s="15"/>
      <c r="E542" s="15"/>
      <c r="F542" s="15"/>
      <c r="G542" s="15"/>
      <c r="H542" s="15"/>
      <c r="I542" s="15"/>
      <c r="J542" s="15"/>
      <c r="K542" s="15"/>
      <c r="L542" s="15"/>
      <c r="M542" s="15"/>
      <c r="N542" s="15"/>
      <c r="O542" s="15"/>
      <c r="P542" s="15"/>
      <c r="Q542" s="15"/>
      <c r="R542" s="15"/>
      <c r="S542" s="15"/>
      <c r="T542" s="15"/>
      <c r="U542" s="15"/>
      <c r="V542" s="15"/>
      <c r="W542" s="15"/>
      <c r="X542" s="15"/>
      <c r="Y542" s="15"/>
      <c r="Z542" s="15"/>
      <c r="AA542" s="15"/>
      <c r="AB542" s="15"/>
    </row>
    <row r="543">
      <c r="B543" s="15"/>
      <c r="C543" s="15"/>
      <c r="D543" s="15"/>
      <c r="E543" s="15"/>
      <c r="F543" s="15"/>
      <c r="G543" s="15"/>
      <c r="H543" s="15"/>
      <c r="I543" s="15"/>
      <c r="J543" s="15"/>
      <c r="K543" s="15"/>
      <c r="L543" s="15"/>
      <c r="M543" s="15"/>
      <c r="N543" s="15"/>
      <c r="O543" s="15"/>
      <c r="P543" s="15"/>
      <c r="Q543" s="15"/>
      <c r="R543" s="15"/>
      <c r="S543" s="15"/>
      <c r="T543" s="15"/>
      <c r="U543" s="15"/>
      <c r="V543" s="15"/>
      <c r="W543" s="15"/>
      <c r="X543" s="15"/>
      <c r="Y543" s="15"/>
      <c r="Z543" s="15"/>
      <c r="AA543" s="15"/>
      <c r="AB543" s="15"/>
    </row>
    <row r="544">
      <c r="B544" s="15"/>
      <c r="C544" s="15"/>
      <c r="D544" s="15"/>
      <c r="E544" s="15"/>
      <c r="F544" s="15"/>
      <c r="G544" s="15"/>
      <c r="H544" s="15"/>
      <c r="I544" s="15"/>
      <c r="J544" s="15"/>
      <c r="K544" s="15"/>
      <c r="L544" s="15"/>
      <c r="M544" s="15"/>
      <c r="N544" s="15"/>
      <c r="O544" s="15"/>
      <c r="P544" s="15"/>
      <c r="Q544" s="15"/>
      <c r="R544" s="15"/>
      <c r="S544" s="15"/>
      <c r="T544" s="15"/>
      <c r="U544" s="15"/>
      <c r="V544" s="15"/>
      <c r="W544" s="15"/>
      <c r="X544" s="15"/>
      <c r="Y544" s="15"/>
      <c r="Z544" s="15"/>
      <c r="AA544" s="15"/>
      <c r="AB544" s="15"/>
    </row>
    <row r="545">
      <c r="B545" s="15"/>
      <c r="C545" s="15"/>
      <c r="D545" s="15"/>
      <c r="E545" s="15"/>
      <c r="F545" s="15"/>
      <c r="G545" s="15"/>
      <c r="H545" s="15"/>
      <c r="I545" s="15"/>
      <c r="J545" s="15"/>
      <c r="K545" s="15"/>
      <c r="L545" s="15"/>
      <c r="M545" s="15"/>
      <c r="N545" s="15"/>
      <c r="O545" s="15"/>
      <c r="P545" s="15"/>
      <c r="Q545" s="15"/>
      <c r="R545" s="15"/>
      <c r="S545" s="15"/>
      <c r="T545" s="15"/>
      <c r="U545" s="15"/>
      <c r="V545" s="15"/>
      <c r="W545" s="15"/>
      <c r="X545" s="15"/>
      <c r="Y545" s="15"/>
      <c r="Z545" s="15"/>
      <c r="AA545" s="15"/>
      <c r="AB545" s="15"/>
    </row>
    <row r="546">
      <c r="B546" s="15"/>
      <c r="C546" s="15"/>
      <c r="D546" s="15"/>
      <c r="E546" s="15"/>
      <c r="F546" s="15"/>
      <c r="G546" s="15"/>
      <c r="H546" s="15"/>
      <c r="I546" s="15"/>
      <c r="J546" s="15"/>
      <c r="K546" s="15"/>
      <c r="L546" s="15"/>
      <c r="M546" s="15"/>
      <c r="N546" s="15"/>
      <c r="O546" s="15"/>
      <c r="P546" s="15"/>
      <c r="Q546" s="15"/>
      <c r="R546" s="15"/>
      <c r="S546" s="15"/>
      <c r="T546" s="15"/>
      <c r="U546" s="15"/>
      <c r="V546" s="15"/>
      <c r="W546" s="15"/>
      <c r="X546" s="15"/>
      <c r="Y546" s="15"/>
      <c r="Z546" s="15"/>
      <c r="AA546" s="15"/>
      <c r="AB546" s="15"/>
    </row>
    <row r="547">
      <c r="B547" s="15"/>
      <c r="C547" s="15"/>
      <c r="D547" s="15"/>
      <c r="E547" s="15"/>
      <c r="F547" s="15"/>
      <c r="G547" s="15"/>
      <c r="H547" s="15"/>
      <c r="I547" s="15"/>
      <c r="J547" s="15"/>
      <c r="K547" s="15"/>
      <c r="L547" s="15"/>
      <c r="M547" s="15"/>
      <c r="N547" s="15"/>
      <c r="O547" s="15"/>
      <c r="P547" s="15"/>
      <c r="Q547" s="15"/>
      <c r="R547" s="15"/>
      <c r="S547" s="15"/>
      <c r="T547" s="15"/>
      <c r="U547" s="15"/>
      <c r="V547" s="15"/>
      <c r="W547" s="15"/>
      <c r="X547" s="15"/>
      <c r="Y547" s="15"/>
      <c r="Z547" s="15"/>
      <c r="AA547" s="15"/>
      <c r="AB547" s="15"/>
    </row>
    <row r="548">
      <c r="B548" s="15"/>
      <c r="C548" s="15"/>
      <c r="D548" s="15"/>
      <c r="E548" s="15"/>
      <c r="F548" s="15"/>
      <c r="G548" s="15"/>
      <c r="H548" s="15"/>
      <c r="I548" s="15"/>
      <c r="J548" s="15"/>
      <c r="K548" s="15"/>
      <c r="L548" s="15"/>
      <c r="M548" s="15"/>
      <c r="N548" s="15"/>
      <c r="O548" s="15"/>
      <c r="P548" s="15"/>
      <c r="Q548" s="15"/>
      <c r="R548" s="15"/>
      <c r="S548" s="15"/>
      <c r="T548" s="15"/>
      <c r="U548" s="15"/>
      <c r="V548" s="15"/>
      <c r="W548" s="15"/>
      <c r="X548" s="15"/>
      <c r="Y548" s="15"/>
      <c r="Z548" s="15"/>
      <c r="AA548" s="15"/>
      <c r="AB548" s="15"/>
    </row>
    <row r="549">
      <c r="B549" s="15"/>
      <c r="C549" s="15"/>
      <c r="D549" s="15"/>
      <c r="E549" s="15"/>
      <c r="F549" s="15"/>
      <c r="G549" s="15"/>
      <c r="H549" s="15"/>
      <c r="I549" s="15"/>
      <c r="J549" s="15"/>
      <c r="K549" s="15"/>
      <c r="L549" s="15"/>
      <c r="M549" s="15"/>
      <c r="N549" s="15"/>
      <c r="O549" s="15"/>
      <c r="P549" s="15"/>
      <c r="Q549" s="15"/>
      <c r="R549" s="15"/>
      <c r="S549" s="15"/>
      <c r="T549" s="15"/>
      <c r="U549" s="15"/>
      <c r="V549" s="15"/>
      <c r="W549" s="15"/>
      <c r="X549" s="15"/>
      <c r="Y549" s="15"/>
      <c r="Z549" s="15"/>
      <c r="AA549" s="15"/>
      <c r="AB549" s="15"/>
    </row>
    <row r="550">
      <c r="B550" s="15"/>
      <c r="C550" s="15"/>
      <c r="D550" s="15"/>
      <c r="E550" s="15"/>
      <c r="F550" s="15"/>
      <c r="G550" s="15"/>
      <c r="H550" s="15"/>
      <c r="I550" s="15"/>
      <c r="J550" s="15"/>
      <c r="K550" s="15"/>
      <c r="L550" s="15"/>
      <c r="M550" s="15"/>
      <c r="N550" s="15"/>
      <c r="O550" s="15"/>
      <c r="P550" s="15"/>
      <c r="Q550" s="15"/>
      <c r="R550" s="15"/>
      <c r="S550" s="15"/>
      <c r="T550" s="15"/>
      <c r="U550" s="15"/>
      <c r="V550" s="15"/>
      <c r="W550" s="15"/>
      <c r="X550" s="15"/>
      <c r="Y550" s="15"/>
      <c r="Z550" s="15"/>
      <c r="AA550" s="15"/>
      <c r="AB550" s="15"/>
    </row>
    <row r="551">
      <c r="B551" s="15"/>
      <c r="C551" s="15"/>
      <c r="D551" s="15"/>
      <c r="E551" s="15"/>
      <c r="F551" s="15"/>
      <c r="G551" s="15"/>
      <c r="H551" s="15"/>
      <c r="I551" s="15"/>
      <c r="J551" s="15"/>
      <c r="K551" s="15"/>
      <c r="L551" s="15"/>
      <c r="M551" s="15"/>
      <c r="N551" s="15"/>
      <c r="O551" s="15"/>
      <c r="P551" s="15"/>
      <c r="Q551" s="15"/>
      <c r="R551" s="15"/>
      <c r="S551" s="15"/>
      <c r="T551" s="15"/>
      <c r="U551" s="15"/>
      <c r="V551" s="15"/>
      <c r="W551" s="15"/>
      <c r="X551" s="15"/>
      <c r="Y551" s="15"/>
      <c r="Z551" s="15"/>
      <c r="AA551" s="15"/>
      <c r="AB551" s="15"/>
    </row>
    <row r="552">
      <c r="B552" s="15"/>
      <c r="C552" s="15"/>
      <c r="D552" s="15"/>
      <c r="E552" s="15"/>
      <c r="F552" s="15"/>
      <c r="G552" s="15"/>
      <c r="H552" s="15"/>
      <c r="I552" s="15"/>
      <c r="J552" s="15"/>
      <c r="K552" s="15"/>
      <c r="L552" s="15"/>
      <c r="M552" s="15"/>
      <c r="N552" s="15"/>
      <c r="O552" s="15"/>
      <c r="P552" s="15"/>
      <c r="Q552" s="15"/>
      <c r="R552" s="15"/>
      <c r="S552" s="15"/>
      <c r="T552" s="15"/>
      <c r="U552" s="15"/>
      <c r="V552" s="15"/>
      <c r="W552" s="15"/>
      <c r="X552" s="15"/>
      <c r="Y552" s="15"/>
      <c r="Z552" s="15"/>
      <c r="AA552" s="15"/>
      <c r="AB552" s="15"/>
    </row>
    <row r="553">
      <c r="B553" s="15"/>
      <c r="C553" s="15"/>
      <c r="D553" s="15"/>
      <c r="E553" s="15"/>
      <c r="F553" s="15"/>
      <c r="G553" s="15"/>
      <c r="H553" s="15"/>
      <c r="I553" s="15"/>
      <c r="J553" s="15"/>
      <c r="K553" s="15"/>
      <c r="L553" s="15"/>
      <c r="M553" s="15"/>
      <c r="N553" s="15"/>
      <c r="O553" s="15"/>
      <c r="P553" s="15"/>
      <c r="Q553" s="15"/>
      <c r="R553" s="15"/>
      <c r="S553" s="15"/>
      <c r="T553" s="15"/>
      <c r="U553" s="15"/>
      <c r="V553" s="15"/>
      <c r="W553" s="15"/>
      <c r="X553" s="15"/>
      <c r="Y553" s="15"/>
      <c r="Z553" s="15"/>
      <c r="AA553" s="15"/>
      <c r="AB553" s="15"/>
    </row>
    <row r="554">
      <c r="B554" s="15"/>
      <c r="C554" s="15"/>
      <c r="D554" s="15"/>
      <c r="E554" s="15"/>
      <c r="F554" s="15"/>
      <c r="G554" s="15"/>
      <c r="H554" s="15"/>
      <c r="I554" s="15"/>
      <c r="J554" s="15"/>
      <c r="K554" s="15"/>
      <c r="L554" s="15"/>
      <c r="M554" s="15"/>
      <c r="N554" s="15"/>
      <c r="O554" s="15"/>
      <c r="P554" s="15"/>
      <c r="Q554" s="15"/>
      <c r="R554" s="15"/>
      <c r="S554" s="15"/>
      <c r="T554" s="15"/>
      <c r="U554" s="15"/>
      <c r="V554" s="15"/>
      <c r="W554" s="15"/>
      <c r="X554" s="15"/>
      <c r="Y554" s="15"/>
      <c r="Z554" s="15"/>
      <c r="AA554" s="15"/>
      <c r="AB554" s="15"/>
    </row>
    <row r="555">
      <c r="B555" s="15"/>
      <c r="C555" s="15"/>
      <c r="D555" s="15"/>
      <c r="E555" s="15"/>
      <c r="F555" s="15"/>
      <c r="G555" s="15"/>
      <c r="H555" s="15"/>
      <c r="I555" s="15"/>
      <c r="J555" s="15"/>
      <c r="K555" s="15"/>
      <c r="L555" s="15"/>
      <c r="M555" s="15"/>
      <c r="N555" s="15"/>
      <c r="O555" s="15"/>
      <c r="P555" s="15"/>
      <c r="Q555" s="15"/>
      <c r="R555" s="15"/>
      <c r="S555" s="15"/>
      <c r="T555" s="15"/>
      <c r="U555" s="15"/>
      <c r="V555" s="15"/>
      <c r="W555" s="15"/>
      <c r="X555" s="15"/>
      <c r="Y555" s="15"/>
      <c r="Z555" s="15"/>
      <c r="AA555" s="15"/>
      <c r="AB555" s="15"/>
    </row>
    <row r="556">
      <c r="B556" s="15"/>
      <c r="C556" s="15"/>
      <c r="D556" s="15"/>
      <c r="E556" s="15"/>
      <c r="F556" s="15"/>
      <c r="G556" s="15"/>
      <c r="H556" s="15"/>
      <c r="I556" s="15"/>
      <c r="J556" s="15"/>
      <c r="K556" s="15"/>
      <c r="L556" s="15"/>
      <c r="M556" s="15"/>
      <c r="N556" s="15"/>
      <c r="O556" s="15"/>
      <c r="P556" s="15"/>
      <c r="Q556" s="15"/>
      <c r="R556" s="15"/>
      <c r="S556" s="15"/>
      <c r="T556" s="15"/>
      <c r="U556" s="15"/>
      <c r="V556" s="15"/>
      <c r="W556" s="15"/>
      <c r="X556" s="15"/>
      <c r="Y556" s="15"/>
      <c r="Z556" s="15"/>
      <c r="AA556" s="15"/>
      <c r="AB556" s="15"/>
    </row>
    <row r="557">
      <c r="B557" s="15"/>
      <c r="C557" s="15"/>
      <c r="D557" s="15"/>
      <c r="E557" s="15"/>
      <c r="F557" s="15"/>
      <c r="G557" s="15"/>
      <c r="H557" s="15"/>
      <c r="I557" s="15"/>
      <c r="J557" s="15"/>
      <c r="K557" s="15"/>
      <c r="L557" s="15"/>
      <c r="M557" s="15"/>
      <c r="N557" s="15"/>
      <c r="O557" s="15"/>
      <c r="P557" s="15"/>
      <c r="Q557" s="15"/>
      <c r="R557" s="15"/>
      <c r="S557" s="15"/>
      <c r="T557" s="15"/>
      <c r="U557" s="15"/>
      <c r="V557" s="15"/>
      <c r="W557" s="15"/>
      <c r="X557" s="15"/>
      <c r="Y557" s="15"/>
      <c r="Z557" s="15"/>
      <c r="AA557" s="15"/>
      <c r="AB557" s="15"/>
    </row>
    <row r="558">
      <c r="B558" s="15"/>
      <c r="C558" s="15"/>
      <c r="D558" s="15"/>
      <c r="E558" s="15"/>
      <c r="F558" s="15"/>
      <c r="G558" s="15"/>
      <c r="H558" s="15"/>
      <c r="I558" s="15"/>
      <c r="J558" s="15"/>
      <c r="K558" s="15"/>
      <c r="L558" s="15"/>
      <c r="M558" s="15"/>
      <c r="N558" s="15"/>
      <c r="O558" s="15"/>
      <c r="P558" s="15"/>
      <c r="Q558" s="15"/>
      <c r="R558" s="15"/>
      <c r="S558" s="15"/>
      <c r="T558" s="15"/>
      <c r="U558" s="15"/>
      <c r="V558" s="15"/>
      <c r="W558" s="15"/>
      <c r="X558" s="15"/>
      <c r="Y558" s="15"/>
      <c r="Z558" s="15"/>
      <c r="AA558" s="15"/>
      <c r="AB558" s="15"/>
    </row>
    <row r="559">
      <c r="B559" s="15"/>
      <c r="C559" s="15"/>
      <c r="D559" s="15"/>
      <c r="E559" s="15"/>
      <c r="F559" s="15"/>
      <c r="G559" s="15"/>
      <c r="H559" s="15"/>
      <c r="I559" s="15"/>
      <c r="J559" s="15"/>
      <c r="K559" s="15"/>
      <c r="L559" s="15"/>
      <c r="M559" s="15"/>
      <c r="N559" s="15"/>
      <c r="O559" s="15"/>
      <c r="P559" s="15"/>
      <c r="Q559" s="15"/>
      <c r="R559" s="15"/>
      <c r="S559" s="15"/>
      <c r="T559" s="15"/>
      <c r="U559" s="15"/>
      <c r="V559" s="15"/>
      <c r="W559" s="15"/>
      <c r="X559" s="15"/>
      <c r="Y559" s="15"/>
      <c r="Z559" s="15"/>
      <c r="AA559" s="15"/>
      <c r="AB559" s="15"/>
    </row>
    <row r="560">
      <c r="B560" s="15"/>
      <c r="C560" s="15"/>
      <c r="D560" s="15"/>
      <c r="E560" s="15"/>
      <c r="F560" s="15"/>
      <c r="G560" s="15"/>
      <c r="H560" s="15"/>
      <c r="I560" s="15"/>
      <c r="J560" s="15"/>
      <c r="K560" s="15"/>
      <c r="L560" s="15"/>
      <c r="M560" s="15"/>
      <c r="N560" s="15"/>
      <c r="O560" s="15"/>
      <c r="P560" s="15"/>
      <c r="Q560" s="15"/>
      <c r="R560" s="15"/>
      <c r="S560" s="15"/>
      <c r="T560" s="15"/>
      <c r="U560" s="15"/>
      <c r="V560" s="15"/>
      <c r="W560" s="15"/>
      <c r="X560" s="15"/>
      <c r="Y560" s="15"/>
      <c r="Z560" s="15"/>
      <c r="AA560" s="15"/>
      <c r="AB560" s="15"/>
    </row>
    <row r="561">
      <c r="B561" s="15"/>
      <c r="C561" s="15"/>
      <c r="D561" s="15"/>
      <c r="E561" s="15"/>
      <c r="F561" s="15"/>
      <c r="G561" s="15"/>
      <c r="H561" s="15"/>
      <c r="I561" s="15"/>
      <c r="J561" s="15"/>
      <c r="K561" s="15"/>
      <c r="L561" s="15"/>
      <c r="M561" s="15"/>
      <c r="N561" s="15"/>
      <c r="O561" s="15"/>
      <c r="P561" s="15"/>
      <c r="Q561" s="15"/>
      <c r="R561" s="15"/>
      <c r="S561" s="15"/>
      <c r="T561" s="15"/>
      <c r="U561" s="15"/>
      <c r="V561" s="15"/>
      <c r="W561" s="15"/>
      <c r="X561" s="15"/>
      <c r="Y561" s="15"/>
      <c r="Z561" s="15"/>
      <c r="AA561" s="15"/>
      <c r="AB561" s="15"/>
    </row>
    <row r="562">
      <c r="B562" s="15"/>
      <c r="C562" s="15"/>
      <c r="D562" s="15"/>
      <c r="E562" s="15"/>
      <c r="F562" s="15"/>
      <c r="G562" s="15"/>
      <c r="H562" s="15"/>
      <c r="I562" s="15"/>
      <c r="J562" s="15"/>
      <c r="K562" s="15"/>
      <c r="L562" s="15"/>
      <c r="M562" s="15"/>
      <c r="N562" s="15"/>
      <c r="O562" s="15"/>
      <c r="P562" s="15"/>
      <c r="Q562" s="15"/>
      <c r="R562" s="15"/>
      <c r="S562" s="15"/>
      <c r="T562" s="15"/>
      <c r="U562" s="15"/>
      <c r="V562" s="15"/>
      <c r="W562" s="15"/>
      <c r="X562" s="15"/>
      <c r="Y562" s="15"/>
      <c r="Z562" s="15"/>
      <c r="AA562" s="15"/>
      <c r="AB562" s="15"/>
    </row>
    <row r="563">
      <c r="B563" s="15"/>
      <c r="C563" s="15"/>
      <c r="D563" s="15"/>
      <c r="E563" s="15"/>
      <c r="F563" s="15"/>
      <c r="G563" s="15"/>
      <c r="H563" s="15"/>
      <c r="I563" s="15"/>
      <c r="J563" s="15"/>
      <c r="K563" s="15"/>
      <c r="L563" s="15"/>
      <c r="M563" s="15"/>
      <c r="N563" s="15"/>
      <c r="O563" s="15"/>
      <c r="P563" s="15"/>
      <c r="Q563" s="15"/>
      <c r="R563" s="15"/>
      <c r="S563" s="15"/>
      <c r="T563" s="15"/>
      <c r="U563" s="15"/>
      <c r="V563" s="15"/>
      <c r="W563" s="15"/>
      <c r="X563" s="15"/>
      <c r="Y563" s="15"/>
      <c r="Z563" s="15"/>
      <c r="AA563" s="15"/>
      <c r="AB563" s="15"/>
    </row>
    <row r="564">
      <c r="B564" s="15"/>
      <c r="C564" s="15"/>
      <c r="D564" s="15"/>
      <c r="E564" s="15"/>
      <c r="F564" s="15"/>
      <c r="G564" s="15"/>
      <c r="H564" s="15"/>
      <c r="I564" s="15"/>
      <c r="J564" s="15"/>
      <c r="K564" s="15"/>
      <c r="L564" s="15"/>
      <c r="M564" s="15"/>
      <c r="N564" s="15"/>
      <c r="O564" s="15"/>
      <c r="P564" s="15"/>
      <c r="Q564" s="15"/>
      <c r="R564" s="15"/>
      <c r="S564" s="15"/>
      <c r="T564" s="15"/>
      <c r="U564" s="15"/>
      <c r="V564" s="15"/>
      <c r="W564" s="15"/>
      <c r="X564" s="15"/>
      <c r="Y564" s="15"/>
      <c r="Z564" s="15"/>
      <c r="AA564" s="15"/>
      <c r="AB564" s="15"/>
    </row>
    <row r="565">
      <c r="B565" s="15"/>
      <c r="C565" s="15"/>
      <c r="D565" s="15"/>
      <c r="E565" s="15"/>
      <c r="F565" s="15"/>
      <c r="G565" s="15"/>
      <c r="H565" s="15"/>
      <c r="I565" s="15"/>
      <c r="J565" s="15"/>
      <c r="K565" s="15"/>
      <c r="L565" s="15"/>
      <c r="M565" s="15"/>
      <c r="N565" s="15"/>
      <c r="O565" s="15"/>
      <c r="P565" s="15"/>
      <c r="Q565" s="15"/>
      <c r="R565" s="15"/>
      <c r="S565" s="15"/>
      <c r="T565" s="15"/>
      <c r="U565" s="15"/>
      <c r="V565" s="15"/>
      <c r="W565" s="15"/>
      <c r="X565" s="15"/>
      <c r="Y565" s="15"/>
      <c r="Z565" s="15"/>
      <c r="AA565" s="15"/>
      <c r="AB565" s="15"/>
    </row>
    <row r="566">
      <c r="B566" s="15"/>
      <c r="C566" s="15"/>
      <c r="D566" s="15"/>
      <c r="E566" s="15"/>
      <c r="F566" s="15"/>
      <c r="G566" s="15"/>
      <c r="H566" s="15"/>
      <c r="I566" s="15"/>
      <c r="J566" s="15"/>
      <c r="K566" s="15"/>
      <c r="L566" s="15"/>
      <c r="M566" s="15"/>
      <c r="N566" s="15"/>
      <c r="O566" s="15"/>
      <c r="P566" s="15"/>
      <c r="Q566" s="15"/>
      <c r="R566" s="15"/>
      <c r="S566" s="15"/>
      <c r="T566" s="15"/>
      <c r="U566" s="15"/>
      <c r="V566" s="15"/>
      <c r="W566" s="15"/>
      <c r="X566" s="15"/>
      <c r="Y566" s="15"/>
      <c r="Z566" s="15"/>
      <c r="AA566" s="15"/>
      <c r="AB566" s="15"/>
    </row>
    <row r="567">
      <c r="B567" s="15"/>
      <c r="C567" s="15"/>
      <c r="D567" s="15"/>
      <c r="E567" s="15"/>
      <c r="F567" s="15"/>
      <c r="G567" s="15"/>
      <c r="H567" s="15"/>
      <c r="I567" s="15"/>
      <c r="J567" s="15"/>
      <c r="K567" s="15"/>
      <c r="L567" s="15"/>
      <c r="M567" s="15"/>
      <c r="N567" s="15"/>
      <c r="O567" s="15"/>
      <c r="P567" s="15"/>
      <c r="Q567" s="15"/>
      <c r="R567" s="15"/>
      <c r="S567" s="15"/>
      <c r="T567" s="15"/>
      <c r="U567" s="15"/>
      <c r="V567" s="15"/>
      <c r="W567" s="15"/>
      <c r="X567" s="15"/>
      <c r="Y567" s="15"/>
      <c r="Z567" s="15"/>
      <c r="AA567" s="15"/>
      <c r="AB567" s="15"/>
    </row>
    <row r="568">
      <c r="B568" s="15"/>
      <c r="C568" s="15"/>
      <c r="D568" s="15"/>
      <c r="E568" s="15"/>
      <c r="F568" s="15"/>
      <c r="G568" s="15"/>
      <c r="H568" s="15"/>
      <c r="I568" s="15"/>
      <c r="J568" s="15"/>
      <c r="K568" s="15"/>
      <c r="L568" s="15"/>
      <c r="M568" s="15"/>
      <c r="N568" s="15"/>
      <c r="O568" s="15"/>
      <c r="P568" s="15"/>
      <c r="Q568" s="15"/>
      <c r="R568" s="15"/>
      <c r="S568" s="15"/>
      <c r="T568" s="15"/>
      <c r="U568" s="15"/>
      <c r="V568" s="15"/>
      <c r="W568" s="15"/>
      <c r="X568" s="15"/>
      <c r="Y568" s="15"/>
      <c r="Z568" s="15"/>
      <c r="AA568" s="15"/>
      <c r="AB568" s="15"/>
    </row>
    <row r="569">
      <c r="B569" s="15"/>
      <c r="C569" s="15"/>
      <c r="D569" s="15"/>
      <c r="E569" s="15"/>
      <c r="F569" s="15"/>
      <c r="G569" s="15"/>
      <c r="H569" s="15"/>
      <c r="I569" s="15"/>
      <c r="J569" s="15"/>
      <c r="K569" s="15"/>
      <c r="L569" s="15"/>
      <c r="M569" s="15"/>
      <c r="N569" s="15"/>
      <c r="O569" s="15"/>
      <c r="P569" s="15"/>
      <c r="Q569" s="15"/>
      <c r="R569" s="15"/>
      <c r="S569" s="15"/>
      <c r="T569" s="15"/>
      <c r="U569" s="15"/>
      <c r="V569" s="15"/>
      <c r="W569" s="15"/>
      <c r="X569" s="15"/>
      <c r="Y569" s="15"/>
      <c r="Z569" s="15"/>
      <c r="AA569" s="15"/>
      <c r="AB569" s="15"/>
    </row>
    <row r="570">
      <c r="B570" s="15"/>
      <c r="C570" s="15"/>
      <c r="D570" s="15"/>
      <c r="E570" s="15"/>
      <c r="F570" s="15"/>
      <c r="G570" s="15"/>
      <c r="H570" s="15"/>
      <c r="I570" s="15"/>
      <c r="J570" s="15"/>
      <c r="K570" s="15"/>
      <c r="L570" s="15"/>
      <c r="M570" s="15"/>
      <c r="N570" s="15"/>
      <c r="O570" s="15"/>
      <c r="P570" s="15"/>
      <c r="Q570" s="15"/>
      <c r="R570" s="15"/>
      <c r="S570" s="15"/>
      <c r="T570" s="15"/>
      <c r="U570" s="15"/>
      <c r="V570" s="15"/>
      <c r="W570" s="15"/>
      <c r="X570" s="15"/>
      <c r="Y570" s="15"/>
      <c r="Z570" s="15"/>
      <c r="AA570" s="15"/>
      <c r="AB570" s="15"/>
    </row>
    <row r="571">
      <c r="B571" s="15"/>
      <c r="C571" s="15"/>
      <c r="D571" s="15"/>
      <c r="E571" s="15"/>
      <c r="F571" s="15"/>
      <c r="G571" s="15"/>
      <c r="H571" s="15"/>
      <c r="I571" s="15"/>
      <c r="J571" s="15"/>
      <c r="K571" s="15"/>
      <c r="L571" s="15"/>
      <c r="M571" s="15"/>
      <c r="N571" s="15"/>
      <c r="O571" s="15"/>
      <c r="P571" s="15"/>
      <c r="Q571" s="15"/>
      <c r="R571" s="15"/>
      <c r="S571" s="15"/>
      <c r="T571" s="15"/>
      <c r="U571" s="15"/>
      <c r="V571" s="15"/>
      <c r="W571" s="15"/>
      <c r="X571" s="15"/>
      <c r="Y571" s="15"/>
      <c r="Z571" s="15"/>
      <c r="AA571" s="15"/>
      <c r="AB571" s="15"/>
    </row>
    <row r="572">
      <c r="B572" s="15"/>
      <c r="C572" s="15"/>
      <c r="D572" s="15"/>
      <c r="E572" s="15"/>
      <c r="F572" s="15"/>
      <c r="G572" s="15"/>
      <c r="H572" s="15"/>
      <c r="I572" s="15"/>
      <c r="J572" s="15"/>
      <c r="K572" s="15"/>
      <c r="L572" s="15"/>
      <c r="M572" s="15"/>
      <c r="N572" s="15"/>
      <c r="O572" s="15"/>
      <c r="P572" s="15"/>
      <c r="Q572" s="15"/>
      <c r="R572" s="15"/>
      <c r="S572" s="15"/>
      <c r="T572" s="15"/>
      <c r="U572" s="15"/>
      <c r="V572" s="15"/>
      <c r="W572" s="15"/>
      <c r="X572" s="15"/>
      <c r="Y572" s="15"/>
      <c r="Z572" s="15"/>
      <c r="AA572" s="15"/>
      <c r="AB572" s="15"/>
    </row>
    <row r="573">
      <c r="B573" s="15"/>
      <c r="C573" s="15"/>
      <c r="D573" s="15"/>
      <c r="E573" s="15"/>
      <c r="F573" s="15"/>
      <c r="G573" s="15"/>
      <c r="H573" s="15"/>
      <c r="I573" s="15"/>
      <c r="J573" s="15"/>
      <c r="K573" s="15"/>
      <c r="L573" s="15"/>
      <c r="M573" s="15"/>
      <c r="N573" s="15"/>
      <c r="O573" s="15"/>
      <c r="P573" s="15"/>
      <c r="Q573" s="15"/>
      <c r="R573" s="15"/>
      <c r="S573" s="15"/>
      <c r="T573" s="15"/>
      <c r="U573" s="15"/>
      <c r="V573" s="15"/>
      <c r="W573" s="15"/>
      <c r="X573" s="15"/>
      <c r="Y573" s="15"/>
      <c r="Z573" s="15"/>
      <c r="AA573" s="15"/>
      <c r="AB573" s="15"/>
    </row>
    <row r="574">
      <c r="B574" s="15"/>
      <c r="C574" s="15"/>
      <c r="D574" s="15"/>
      <c r="E574" s="15"/>
      <c r="F574" s="15"/>
      <c r="G574" s="15"/>
      <c r="H574" s="15"/>
      <c r="I574" s="15"/>
      <c r="J574" s="15"/>
      <c r="K574" s="15"/>
      <c r="L574" s="15"/>
      <c r="M574" s="15"/>
      <c r="N574" s="15"/>
      <c r="O574" s="15"/>
      <c r="P574" s="15"/>
      <c r="Q574" s="15"/>
      <c r="R574" s="15"/>
      <c r="S574" s="15"/>
      <c r="T574" s="15"/>
      <c r="U574" s="15"/>
      <c r="V574" s="15"/>
      <c r="W574" s="15"/>
      <c r="X574" s="15"/>
      <c r="Y574" s="15"/>
      <c r="Z574" s="15"/>
      <c r="AA574" s="15"/>
      <c r="AB574" s="15"/>
    </row>
    <row r="575">
      <c r="B575" s="15"/>
      <c r="C575" s="15"/>
      <c r="D575" s="15"/>
      <c r="E575" s="15"/>
      <c r="F575" s="15"/>
      <c r="G575" s="15"/>
      <c r="H575" s="15"/>
      <c r="I575" s="15"/>
      <c r="J575" s="15"/>
      <c r="K575" s="15"/>
      <c r="L575" s="15"/>
      <c r="M575" s="15"/>
      <c r="N575" s="15"/>
      <c r="O575" s="15"/>
      <c r="P575" s="15"/>
      <c r="Q575" s="15"/>
      <c r="R575" s="15"/>
      <c r="S575" s="15"/>
      <c r="T575" s="15"/>
      <c r="U575" s="15"/>
      <c r="V575" s="15"/>
      <c r="W575" s="15"/>
      <c r="X575" s="15"/>
      <c r="Y575" s="15"/>
      <c r="Z575" s="15"/>
      <c r="AA575" s="15"/>
      <c r="AB575" s="15"/>
    </row>
    <row r="576">
      <c r="B576" s="15"/>
      <c r="C576" s="15"/>
      <c r="D576" s="15"/>
      <c r="E576" s="15"/>
      <c r="F576" s="15"/>
      <c r="G576" s="15"/>
      <c r="H576" s="15"/>
      <c r="I576" s="15"/>
      <c r="J576" s="15"/>
      <c r="K576" s="15"/>
      <c r="L576" s="15"/>
      <c r="M576" s="15"/>
      <c r="N576" s="15"/>
      <c r="O576" s="15"/>
      <c r="P576" s="15"/>
      <c r="Q576" s="15"/>
      <c r="R576" s="15"/>
      <c r="S576" s="15"/>
      <c r="T576" s="15"/>
      <c r="U576" s="15"/>
      <c r="V576" s="15"/>
      <c r="W576" s="15"/>
      <c r="X576" s="15"/>
      <c r="Y576" s="15"/>
      <c r="Z576" s="15"/>
      <c r="AA576" s="15"/>
      <c r="AB576" s="15"/>
    </row>
    <row r="577">
      <c r="B577" s="15"/>
      <c r="C577" s="15"/>
      <c r="D577" s="15"/>
      <c r="E577" s="15"/>
      <c r="F577" s="15"/>
      <c r="G577" s="15"/>
      <c r="H577" s="15"/>
      <c r="I577" s="15"/>
      <c r="J577" s="15"/>
      <c r="K577" s="15"/>
      <c r="L577" s="15"/>
      <c r="M577" s="15"/>
      <c r="N577" s="15"/>
      <c r="O577" s="15"/>
      <c r="P577" s="15"/>
      <c r="Q577" s="15"/>
      <c r="R577" s="15"/>
      <c r="S577" s="15"/>
      <c r="T577" s="15"/>
      <c r="U577" s="15"/>
      <c r="V577" s="15"/>
      <c r="W577" s="15"/>
      <c r="X577" s="15"/>
      <c r="Y577" s="15"/>
      <c r="Z577" s="15"/>
      <c r="AA577" s="15"/>
      <c r="AB577" s="15"/>
    </row>
    <row r="578">
      <c r="B578" s="15"/>
      <c r="C578" s="15"/>
      <c r="D578" s="15"/>
      <c r="E578" s="15"/>
      <c r="F578" s="15"/>
      <c r="G578" s="15"/>
      <c r="H578" s="15"/>
      <c r="I578" s="15"/>
      <c r="J578" s="15"/>
      <c r="K578" s="15"/>
      <c r="L578" s="15"/>
      <c r="M578" s="15"/>
      <c r="N578" s="15"/>
      <c r="O578" s="15"/>
      <c r="P578" s="15"/>
      <c r="Q578" s="15"/>
      <c r="R578" s="15"/>
      <c r="S578" s="15"/>
      <c r="T578" s="15"/>
      <c r="U578" s="15"/>
      <c r="V578" s="15"/>
      <c r="W578" s="15"/>
      <c r="X578" s="15"/>
      <c r="Y578" s="15"/>
      <c r="Z578" s="15"/>
      <c r="AA578" s="15"/>
      <c r="AB578" s="15"/>
    </row>
    <row r="579">
      <c r="B579" s="15"/>
      <c r="C579" s="15"/>
      <c r="D579" s="15"/>
      <c r="E579" s="15"/>
      <c r="F579" s="15"/>
      <c r="G579" s="15"/>
      <c r="H579" s="15"/>
      <c r="I579" s="15"/>
      <c r="J579" s="15"/>
      <c r="K579" s="15"/>
      <c r="L579" s="15"/>
      <c r="M579" s="15"/>
      <c r="N579" s="15"/>
      <c r="O579" s="15"/>
      <c r="P579" s="15"/>
      <c r="Q579" s="15"/>
      <c r="R579" s="15"/>
      <c r="S579" s="15"/>
      <c r="T579" s="15"/>
      <c r="U579" s="15"/>
      <c r="V579" s="15"/>
      <c r="W579" s="15"/>
      <c r="X579" s="15"/>
      <c r="Y579" s="15"/>
      <c r="Z579" s="15"/>
      <c r="AA579" s="15"/>
      <c r="AB579" s="15"/>
    </row>
    <row r="580">
      <c r="B580" s="15"/>
      <c r="C580" s="15"/>
      <c r="D580" s="15"/>
      <c r="E580" s="15"/>
      <c r="F580" s="15"/>
      <c r="G580" s="15"/>
      <c r="H580" s="15"/>
      <c r="I580" s="15"/>
      <c r="J580" s="15"/>
      <c r="K580" s="15"/>
      <c r="L580" s="15"/>
      <c r="M580" s="15"/>
      <c r="N580" s="15"/>
      <c r="O580" s="15"/>
      <c r="P580" s="15"/>
      <c r="Q580" s="15"/>
      <c r="R580" s="15"/>
      <c r="S580" s="15"/>
      <c r="T580" s="15"/>
      <c r="U580" s="15"/>
      <c r="V580" s="15"/>
      <c r="W580" s="15"/>
      <c r="X580" s="15"/>
      <c r="Y580" s="15"/>
      <c r="Z580" s="15"/>
      <c r="AA580" s="15"/>
      <c r="AB580" s="15"/>
    </row>
    <row r="581">
      <c r="B581" s="15"/>
      <c r="C581" s="15"/>
      <c r="D581" s="15"/>
      <c r="E581" s="15"/>
      <c r="F581" s="15"/>
      <c r="G581" s="15"/>
      <c r="H581" s="15"/>
      <c r="I581" s="15"/>
      <c r="J581" s="15"/>
      <c r="K581" s="15"/>
      <c r="L581" s="15"/>
      <c r="M581" s="15"/>
      <c r="N581" s="15"/>
      <c r="O581" s="15"/>
      <c r="P581" s="15"/>
      <c r="Q581" s="15"/>
      <c r="R581" s="15"/>
      <c r="S581" s="15"/>
      <c r="T581" s="15"/>
      <c r="U581" s="15"/>
      <c r="V581" s="15"/>
      <c r="W581" s="15"/>
      <c r="X581" s="15"/>
      <c r="Y581" s="15"/>
      <c r="Z581" s="15"/>
      <c r="AA581" s="15"/>
      <c r="AB581" s="15"/>
    </row>
    <row r="582">
      <c r="B582" s="15"/>
      <c r="C582" s="15"/>
      <c r="D582" s="15"/>
      <c r="E582" s="15"/>
      <c r="F582" s="15"/>
      <c r="G582" s="15"/>
      <c r="H582" s="15"/>
      <c r="I582" s="15"/>
      <c r="J582" s="15"/>
      <c r="K582" s="15"/>
      <c r="L582" s="15"/>
      <c r="M582" s="15"/>
      <c r="N582" s="15"/>
      <c r="O582" s="15"/>
      <c r="P582" s="15"/>
      <c r="Q582" s="15"/>
      <c r="R582" s="15"/>
      <c r="S582" s="15"/>
      <c r="T582" s="15"/>
      <c r="U582" s="15"/>
      <c r="V582" s="15"/>
      <c r="W582" s="15"/>
      <c r="X582" s="15"/>
      <c r="Y582" s="15"/>
      <c r="Z582" s="15"/>
      <c r="AA582" s="15"/>
      <c r="AB582" s="15"/>
    </row>
    <row r="583">
      <c r="B583" s="15"/>
      <c r="C583" s="15"/>
      <c r="D583" s="15"/>
      <c r="E583" s="15"/>
      <c r="F583" s="15"/>
      <c r="G583" s="15"/>
      <c r="H583" s="15"/>
      <c r="I583" s="15"/>
      <c r="J583" s="15"/>
      <c r="K583" s="15"/>
      <c r="L583" s="15"/>
      <c r="M583" s="15"/>
      <c r="N583" s="15"/>
      <c r="O583" s="15"/>
      <c r="P583" s="15"/>
      <c r="Q583" s="15"/>
      <c r="R583" s="15"/>
      <c r="S583" s="15"/>
      <c r="T583" s="15"/>
      <c r="U583" s="15"/>
      <c r="V583" s="15"/>
      <c r="W583" s="15"/>
      <c r="X583" s="15"/>
      <c r="Y583" s="15"/>
      <c r="Z583" s="15"/>
      <c r="AA583" s="15"/>
      <c r="AB583" s="15"/>
    </row>
    <row r="584">
      <c r="B584" s="15"/>
      <c r="C584" s="15"/>
      <c r="D584" s="15"/>
      <c r="E584" s="15"/>
      <c r="F584" s="15"/>
      <c r="G584" s="15"/>
      <c r="H584" s="15"/>
      <c r="I584" s="15"/>
      <c r="J584" s="15"/>
      <c r="K584" s="15"/>
      <c r="L584" s="15"/>
      <c r="M584" s="15"/>
      <c r="N584" s="15"/>
      <c r="O584" s="15"/>
      <c r="P584" s="15"/>
      <c r="Q584" s="15"/>
      <c r="R584" s="15"/>
      <c r="S584" s="15"/>
      <c r="T584" s="15"/>
      <c r="U584" s="15"/>
      <c r="V584" s="15"/>
      <c r="W584" s="15"/>
      <c r="X584" s="15"/>
      <c r="Y584" s="15"/>
      <c r="Z584" s="15"/>
      <c r="AA584" s="15"/>
      <c r="AB584" s="15"/>
    </row>
    <row r="585">
      <c r="B585" s="15"/>
      <c r="C585" s="15"/>
      <c r="D585" s="15"/>
      <c r="E585" s="15"/>
      <c r="F585" s="15"/>
      <c r="G585" s="15"/>
      <c r="H585" s="15"/>
      <c r="I585" s="15"/>
      <c r="J585" s="15"/>
      <c r="K585" s="15"/>
      <c r="L585" s="15"/>
      <c r="M585" s="15"/>
      <c r="N585" s="15"/>
      <c r="O585" s="15"/>
      <c r="P585" s="15"/>
      <c r="Q585" s="15"/>
      <c r="R585" s="15"/>
      <c r="S585" s="15"/>
      <c r="T585" s="15"/>
      <c r="U585" s="15"/>
      <c r="V585" s="15"/>
      <c r="W585" s="15"/>
      <c r="X585" s="15"/>
      <c r="Y585" s="15"/>
      <c r="Z585" s="15"/>
      <c r="AA585" s="15"/>
      <c r="AB585" s="15"/>
    </row>
    <row r="586">
      <c r="B586" s="15"/>
      <c r="C586" s="15"/>
      <c r="D586" s="15"/>
      <c r="E586" s="15"/>
      <c r="F586" s="15"/>
      <c r="G586" s="15"/>
      <c r="H586" s="15"/>
      <c r="I586" s="15"/>
      <c r="J586" s="15"/>
      <c r="K586" s="15"/>
      <c r="L586" s="15"/>
      <c r="M586" s="15"/>
      <c r="N586" s="15"/>
      <c r="O586" s="15"/>
      <c r="P586" s="15"/>
      <c r="Q586" s="15"/>
      <c r="R586" s="15"/>
      <c r="S586" s="15"/>
      <c r="T586" s="15"/>
      <c r="U586" s="15"/>
      <c r="V586" s="15"/>
      <c r="W586" s="15"/>
      <c r="X586" s="15"/>
      <c r="Y586" s="15"/>
      <c r="Z586" s="15"/>
      <c r="AA586" s="15"/>
      <c r="AB586" s="15"/>
    </row>
    <row r="587">
      <c r="B587" s="15"/>
      <c r="C587" s="15"/>
      <c r="D587" s="15"/>
      <c r="E587" s="15"/>
      <c r="F587" s="15"/>
      <c r="G587" s="15"/>
      <c r="H587" s="15"/>
      <c r="I587" s="15"/>
      <c r="J587" s="15"/>
      <c r="K587" s="15"/>
      <c r="L587" s="15"/>
      <c r="M587" s="15"/>
      <c r="N587" s="15"/>
      <c r="O587" s="15"/>
      <c r="P587" s="15"/>
      <c r="Q587" s="15"/>
      <c r="R587" s="15"/>
      <c r="S587" s="15"/>
      <c r="T587" s="15"/>
      <c r="U587" s="15"/>
      <c r="V587" s="15"/>
      <c r="W587" s="15"/>
      <c r="X587" s="15"/>
      <c r="Y587" s="15"/>
      <c r="Z587" s="15"/>
      <c r="AA587" s="15"/>
      <c r="AB587" s="15"/>
    </row>
    <row r="588">
      <c r="B588" s="15"/>
      <c r="C588" s="15"/>
      <c r="D588" s="15"/>
      <c r="E588" s="15"/>
      <c r="F588" s="15"/>
      <c r="G588" s="15"/>
      <c r="H588" s="15"/>
      <c r="I588" s="15"/>
      <c r="J588" s="15"/>
      <c r="K588" s="15"/>
      <c r="L588" s="15"/>
      <c r="M588" s="15"/>
      <c r="N588" s="15"/>
      <c r="O588" s="15"/>
      <c r="P588" s="15"/>
      <c r="Q588" s="15"/>
      <c r="R588" s="15"/>
      <c r="S588" s="15"/>
      <c r="T588" s="15"/>
      <c r="U588" s="15"/>
      <c r="V588" s="15"/>
      <c r="W588" s="15"/>
      <c r="X588" s="15"/>
      <c r="Y588" s="15"/>
      <c r="Z588" s="15"/>
      <c r="AA588" s="15"/>
      <c r="AB588" s="15"/>
    </row>
    <row r="589">
      <c r="B589" s="15"/>
      <c r="C589" s="15"/>
      <c r="D589" s="15"/>
      <c r="E589" s="15"/>
      <c r="F589" s="15"/>
      <c r="G589" s="15"/>
      <c r="H589" s="15"/>
      <c r="I589" s="15"/>
      <c r="J589" s="15"/>
      <c r="K589" s="15"/>
      <c r="L589" s="15"/>
      <c r="M589" s="15"/>
      <c r="N589" s="15"/>
      <c r="O589" s="15"/>
      <c r="P589" s="15"/>
      <c r="Q589" s="15"/>
      <c r="R589" s="15"/>
      <c r="S589" s="15"/>
      <c r="T589" s="15"/>
      <c r="U589" s="15"/>
      <c r="V589" s="15"/>
      <c r="W589" s="15"/>
      <c r="X589" s="15"/>
      <c r="Y589" s="15"/>
      <c r="Z589" s="15"/>
      <c r="AA589" s="15"/>
      <c r="AB589" s="15"/>
    </row>
    <row r="590">
      <c r="B590" s="15"/>
      <c r="C590" s="15"/>
      <c r="D590" s="15"/>
      <c r="E590" s="15"/>
      <c r="F590" s="15"/>
      <c r="G590" s="15"/>
      <c r="H590" s="15"/>
      <c r="I590" s="15"/>
      <c r="J590" s="15"/>
      <c r="K590" s="15"/>
      <c r="L590" s="15"/>
      <c r="M590" s="15"/>
      <c r="N590" s="15"/>
      <c r="O590" s="15"/>
      <c r="P590" s="15"/>
      <c r="Q590" s="15"/>
      <c r="R590" s="15"/>
      <c r="S590" s="15"/>
      <c r="T590" s="15"/>
      <c r="U590" s="15"/>
      <c r="V590" s="15"/>
      <c r="W590" s="15"/>
      <c r="X590" s="15"/>
      <c r="Y590" s="15"/>
      <c r="Z590" s="15"/>
      <c r="AA590" s="15"/>
      <c r="AB590" s="15"/>
    </row>
    <row r="591">
      <c r="B591" s="15"/>
      <c r="C591" s="15"/>
      <c r="D591" s="15"/>
      <c r="E591" s="15"/>
      <c r="F591" s="15"/>
      <c r="G591" s="15"/>
      <c r="H591" s="15"/>
      <c r="I591" s="15"/>
      <c r="J591" s="15"/>
      <c r="K591" s="15"/>
      <c r="L591" s="15"/>
      <c r="M591" s="15"/>
      <c r="N591" s="15"/>
      <c r="O591" s="15"/>
      <c r="P591" s="15"/>
      <c r="Q591" s="15"/>
      <c r="R591" s="15"/>
      <c r="S591" s="15"/>
      <c r="T591" s="15"/>
      <c r="U591" s="15"/>
      <c r="V591" s="15"/>
      <c r="W591" s="15"/>
      <c r="X591" s="15"/>
      <c r="Y591" s="15"/>
      <c r="Z591" s="15"/>
      <c r="AA591" s="15"/>
      <c r="AB591" s="15"/>
    </row>
    <row r="592">
      <c r="B592" s="15"/>
      <c r="C592" s="15"/>
      <c r="D592" s="15"/>
      <c r="E592" s="15"/>
      <c r="F592" s="15"/>
      <c r="G592" s="15"/>
      <c r="H592" s="15"/>
      <c r="I592" s="15"/>
      <c r="J592" s="15"/>
      <c r="K592" s="15"/>
      <c r="L592" s="15"/>
      <c r="M592" s="15"/>
      <c r="N592" s="15"/>
      <c r="O592" s="15"/>
      <c r="P592" s="15"/>
      <c r="Q592" s="15"/>
      <c r="R592" s="15"/>
      <c r="S592" s="15"/>
      <c r="T592" s="15"/>
      <c r="U592" s="15"/>
      <c r="V592" s="15"/>
      <c r="W592" s="15"/>
      <c r="X592" s="15"/>
      <c r="Y592" s="15"/>
      <c r="Z592" s="15"/>
      <c r="AA592" s="15"/>
      <c r="AB592" s="15"/>
    </row>
    <row r="593">
      <c r="B593" s="15"/>
      <c r="C593" s="15"/>
      <c r="D593" s="15"/>
      <c r="E593" s="15"/>
      <c r="F593" s="15"/>
      <c r="G593" s="15"/>
      <c r="H593" s="15"/>
      <c r="I593" s="15"/>
      <c r="J593" s="15"/>
      <c r="K593" s="15"/>
      <c r="L593" s="15"/>
      <c r="M593" s="15"/>
      <c r="N593" s="15"/>
      <c r="O593" s="15"/>
      <c r="P593" s="15"/>
      <c r="Q593" s="15"/>
      <c r="R593" s="15"/>
      <c r="S593" s="15"/>
      <c r="T593" s="15"/>
      <c r="U593" s="15"/>
      <c r="V593" s="15"/>
      <c r="W593" s="15"/>
      <c r="X593" s="15"/>
      <c r="Y593" s="15"/>
      <c r="Z593" s="15"/>
      <c r="AA593" s="15"/>
      <c r="AB593" s="15"/>
    </row>
    <row r="594">
      <c r="B594" s="15"/>
      <c r="C594" s="15"/>
      <c r="D594" s="15"/>
      <c r="E594" s="15"/>
      <c r="F594" s="15"/>
      <c r="G594" s="15"/>
      <c r="H594" s="15"/>
      <c r="I594" s="15"/>
      <c r="J594" s="15"/>
      <c r="K594" s="15"/>
      <c r="L594" s="15"/>
      <c r="M594" s="15"/>
      <c r="N594" s="15"/>
      <c r="O594" s="15"/>
      <c r="P594" s="15"/>
      <c r="Q594" s="15"/>
      <c r="R594" s="15"/>
      <c r="S594" s="15"/>
      <c r="T594" s="15"/>
      <c r="U594" s="15"/>
      <c r="V594" s="15"/>
      <c r="W594" s="15"/>
      <c r="X594" s="15"/>
      <c r="Y594" s="15"/>
      <c r="Z594" s="15"/>
      <c r="AA594" s="15"/>
      <c r="AB594" s="15"/>
    </row>
    <row r="595">
      <c r="B595" s="15"/>
      <c r="C595" s="15"/>
      <c r="D595" s="15"/>
      <c r="E595" s="15"/>
      <c r="F595" s="15"/>
      <c r="G595" s="15"/>
      <c r="H595" s="15"/>
      <c r="I595" s="15"/>
      <c r="J595" s="15"/>
      <c r="K595" s="15"/>
      <c r="L595" s="15"/>
      <c r="M595" s="15"/>
      <c r="N595" s="15"/>
      <c r="O595" s="15"/>
      <c r="P595" s="15"/>
      <c r="Q595" s="15"/>
      <c r="R595" s="15"/>
      <c r="S595" s="15"/>
      <c r="T595" s="15"/>
      <c r="U595" s="15"/>
      <c r="V595" s="15"/>
      <c r="W595" s="15"/>
      <c r="X595" s="15"/>
      <c r="Y595" s="15"/>
      <c r="Z595" s="15"/>
      <c r="AA595" s="15"/>
      <c r="AB595" s="15"/>
    </row>
    <row r="596">
      <c r="B596" s="15"/>
      <c r="C596" s="15"/>
      <c r="D596" s="15"/>
      <c r="E596" s="15"/>
      <c r="F596" s="15"/>
      <c r="G596" s="15"/>
      <c r="H596" s="15"/>
      <c r="I596" s="15"/>
      <c r="J596" s="15"/>
      <c r="K596" s="15"/>
      <c r="L596" s="15"/>
      <c r="M596" s="15"/>
      <c r="N596" s="15"/>
      <c r="O596" s="15"/>
      <c r="P596" s="15"/>
      <c r="Q596" s="15"/>
      <c r="R596" s="15"/>
      <c r="S596" s="15"/>
      <c r="T596" s="15"/>
      <c r="U596" s="15"/>
      <c r="V596" s="15"/>
      <c r="W596" s="15"/>
      <c r="X596" s="15"/>
      <c r="Y596" s="15"/>
      <c r="Z596" s="15"/>
      <c r="AA596" s="15"/>
      <c r="AB596" s="15"/>
    </row>
    <row r="597">
      <c r="B597" s="15"/>
      <c r="C597" s="15"/>
      <c r="D597" s="15"/>
      <c r="E597" s="15"/>
      <c r="F597" s="15"/>
      <c r="G597" s="15"/>
      <c r="H597" s="15"/>
      <c r="I597" s="15"/>
      <c r="J597" s="15"/>
      <c r="K597" s="15"/>
      <c r="L597" s="15"/>
      <c r="M597" s="15"/>
      <c r="N597" s="15"/>
      <c r="O597" s="15"/>
      <c r="P597" s="15"/>
      <c r="Q597" s="15"/>
      <c r="R597" s="15"/>
      <c r="S597" s="15"/>
      <c r="T597" s="15"/>
      <c r="U597" s="15"/>
      <c r="V597" s="15"/>
      <c r="W597" s="15"/>
      <c r="X597" s="15"/>
      <c r="Y597" s="15"/>
      <c r="Z597" s="15"/>
      <c r="AA597" s="15"/>
      <c r="AB597" s="15"/>
    </row>
    <row r="598">
      <c r="B598" s="15"/>
      <c r="C598" s="15"/>
      <c r="D598" s="15"/>
      <c r="E598" s="15"/>
      <c r="F598" s="15"/>
      <c r="G598" s="15"/>
      <c r="H598" s="15"/>
      <c r="I598" s="15"/>
      <c r="J598" s="15"/>
      <c r="K598" s="15"/>
      <c r="L598" s="15"/>
      <c r="M598" s="15"/>
      <c r="N598" s="15"/>
      <c r="O598" s="15"/>
      <c r="P598" s="15"/>
      <c r="Q598" s="15"/>
      <c r="R598" s="15"/>
      <c r="S598" s="15"/>
      <c r="T598" s="15"/>
      <c r="U598" s="15"/>
      <c r="V598" s="15"/>
      <c r="W598" s="15"/>
      <c r="X598" s="15"/>
      <c r="Y598" s="15"/>
      <c r="Z598" s="15"/>
      <c r="AA598" s="15"/>
      <c r="AB598" s="15"/>
    </row>
    <row r="599">
      <c r="B599" s="15"/>
      <c r="C599" s="15"/>
      <c r="D599" s="15"/>
      <c r="E599" s="15"/>
      <c r="F599" s="15"/>
      <c r="G599" s="15"/>
      <c r="H599" s="15"/>
      <c r="I599" s="15"/>
      <c r="J599" s="15"/>
      <c r="K599" s="15"/>
      <c r="L599" s="15"/>
      <c r="M599" s="15"/>
      <c r="N599" s="15"/>
      <c r="O599" s="15"/>
      <c r="P599" s="15"/>
      <c r="Q599" s="15"/>
      <c r="R599" s="15"/>
      <c r="S599" s="15"/>
      <c r="T599" s="15"/>
      <c r="U599" s="15"/>
      <c r="V599" s="15"/>
      <c r="W599" s="15"/>
      <c r="X599" s="15"/>
      <c r="Y599" s="15"/>
      <c r="Z599" s="15"/>
      <c r="AA599" s="15"/>
      <c r="AB599" s="15"/>
    </row>
    <row r="600">
      <c r="B600" s="15"/>
      <c r="C600" s="15"/>
      <c r="D600" s="15"/>
      <c r="E600" s="15"/>
      <c r="F600" s="15"/>
      <c r="G600" s="15"/>
      <c r="H600" s="15"/>
      <c r="I600" s="15"/>
      <c r="J600" s="15"/>
      <c r="K600" s="15"/>
      <c r="L600" s="15"/>
      <c r="M600" s="15"/>
      <c r="N600" s="15"/>
      <c r="O600" s="15"/>
      <c r="P600" s="15"/>
      <c r="Q600" s="15"/>
      <c r="R600" s="15"/>
      <c r="S600" s="15"/>
      <c r="T600" s="15"/>
      <c r="U600" s="15"/>
      <c r="V600" s="15"/>
      <c r="W600" s="15"/>
      <c r="X600" s="15"/>
      <c r="Y600" s="15"/>
      <c r="Z600" s="15"/>
      <c r="AA600" s="15"/>
      <c r="AB600" s="15"/>
    </row>
    <row r="601">
      <c r="B601" s="15"/>
      <c r="C601" s="15"/>
      <c r="D601" s="15"/>
      <c r="E601" s="15"/>
      <c r="F601" s="15"/>
      <c r="G601" s="15"/>
      <c r="H601" s="15"/>
      <c r="I601" s="15"/>
      <c r="J601" s="15"/>
      <c r="K601" s="15"/>
      <c r="L601" s="15"/>
      <c r="M601" s="15"/>
      <c r="N601" s="15"/>
      <c r="O601" s="15"/>
      <c r="P601" s="15"/>
      <c r="Q601" s="15"/>
      <c r="R601" s="15"/>
      <c r="S601" s="15"/>
      <c r="T601" s="15"/>
      <c r="U601" s="15"/>
      <c r="V601" s="15"/>
      <c r="W601" s="15"/>
      <c r="X601" s="15"/>
      <c r="Y601" s="15"/>
      <c r="Z601" s="15"/>
      <c r="AA601" s="15"/>
      <c r="AB601" s="15"/>
    </row>
    <row r="602">
      <c r="B602" s="15"/>
      <c r="C602" s="15"/>
      <c r="D602" s="15"/>
      <c r="E602" s="15"/>
      <c r="F602" s="15"/>
      <c r="G602" s="15"/>
      <c r="H602" s="15"/>
      <c r="I602" s="15"/>
      <c r="J602" s="15"/>
      <c r="K602" s="15"/>
      <c r="L602" s="15"/>
      <c r="M602" s="15"/>
      <c r="N602" s="15"/>
      <c r="O602" s="15"/>
      <c r="P602" s="15"/>
      <c r="Q602" s="15"/>
      <c r="R602" s="15"/>
      <c r="S602" s="15"/>
      <c r="T602" s="15"/>
      <c r="U602" s="15"/>
      <c r="V602" s="15"/>
      <c r="W602" s="15"/>
      <c r="X602" s="15"/>
      <c r="Y602" s="15"/>
      <c r="Z602" s="15"/>
      <c r="AA602" s="15"/>
      <c r="AB602" s="15"/>
    </row>
    <row r="603">
      <c r="B603" s="15"/>
      <c r="C603" s="15"/>
      <c r="D603" s="15"/>
      <c r="E603" s="15"/>
      <c r="F603" s="15"/>
      <c r="G603" s="15"/>
      <c r="H603" s="15"/>
      <c r="I603" s="15"/>
      <c r="J603" s="15"/>
      <c r="K603" s="15"/>
      <c r="L603" s="15"/>
      <c r="M603" s="15"/>
      <c r="N603" s="15"/>
      <c r="O603" s="15"/>
      <c r="P603" s="15"/>
      <c r="Q603" s="15"/>
      <c r="R603" s="15"/>
      <c r="S603" s="15"/>
      <c r="T603" s="15"/>
      <c r="U603" s="15"/>
      <c r="V603" s="15"/>
      <c r="W603" s="15"/>
      <c r="X603" s="15"/>
      <c r="Y603" s="15"/>
      <c r="Z603" s="15"/>
      <c r="AA603" s="15"/>
      <c r="AB603" s="15"/>
    </row>
    <row r="604">
      <c r="B604" s="15"/>
      <c r="C604" s="15"/>
      <c r="D604" s="15"/>
      <c r="E604" s="15"/>
      <c r="F604" s="15"/>
      <c r="G604" s="15"/>
      <c r="H604" s="15"/>
      <c r="I604" s="15"/>
      <c r="J604" s="15"/>
      <c r="K604" s="15"/>
      <c r="L604" s="15"/>
      <c r="M604" s="15"/>
      <c r="N604" s="15"/>
      <c r="O604" s="15"/>
      <c r="P604" s="15"/>
      <c r="Q604" s="15"/>
      <c r="R604" s="15"/>
      <c r="S604" s="15"/>
      <c r="T604" s="15"/>
      <c r="U604" s="15"/>
      <c r="V604" s="15"/>
      <c r="W604" s="15"/>
      <c r="X604" s="15"/>
      <c r="Y604" s="15"/>
      <c r="Z604" s="15"/>
      <c r="AA604" s="15"/>
      <c r="AB604" s="15"/>
    </row>
    <row r="605">
      <c r="B605" s="15"/>
      <c r="C605" s="15"/>
      <c r="D605" s="15"/>
      <c r="E605" s="15"/>
      <c r="F605" s="15"/>
      <c r="G605" s="15"/>
      <c r="H605" s="15"/>
      <c r="I605" s="15"/>
      <c r="J605" s="15"/>
      <c r="K605" s="15"/>
      <c r="L605" s="15"/>
      <c r="M605" s="15"/>
      <c r="N605" s="15"/>
      <c r="O605" s="15"/>
      <c r="P605" s="15"/>
      <c r="Q605" s="15"/>
      <c r="R605" s="15"/>
      <c r="S605" s="15"/>
      <c r="T605" s="15"/>
      <c r="U605" s="15"/>
      <c r="V605" s="15"/>
      <c r="W605" s="15"/>
      <c r="X605" s="15"/>
      <c r="Y605" s="15"/>
      <c r="Z605" s="15"/>
      <c r="AA605" s="15"/>
      <c r="AB605" s="15"/>
    </row>
    <row r="606">
      <c r="B606" s="15"/>
      <c r="C606" s="15"/>
      <c r="D606" s="15"/>
      <c r="E606" s="15"/>
      <c r="F606" s="15"/>
      <c r="G606" s="15"/>
      <c r="H606" s="15"/>
      <c r="I606" s="15"/>
      <c r="J606" s="15"/>
      <c r="K606" s="15"/>
      <c r="L606" s="15"/>
      <c r="M606" s="15"/>
      <c r="N606" s="15"/>
      <c r="O606" s="15"/>
      <c r="P606" s="15"/>
      <c r="Q606" s="15"/>
      <c r="R606" s="15"/>
      <c r="S606" s="15"/>
      <c r="T606" s="15"/>
      <c r="U606" s="15"/>
      <c r="V606" s="15"/>
      <c r="W606" s="15"/>
      <c r="X606" s="15"/>
      <c r="Y606" s="15"/>
      <c r="Z606" s="15"/>
      <c r="AA606" s="15"/>
      <c r="AB606" s="15"/>
    </row>
    <row r="607">
      <c r="B607" s="15"/>
      <c r="C607" s="15"/>
      <c r="D607" s="15"/>
      <c r="E607" s="15"/>
      <c r="F607" s="15"/>
      <c r="G607" s="15"/>
      <c r="H607" s="15"/>
      <c r="I607" s="15"/>
      <c r="J607" s="15"/>
      <c r="K607" s="15"/>
      <c r="L607" s="15"/>
      <c r="M607" s="15"/>
      <c r="N607" s="15"/>
      <c r="O607" s="15"/>
      <c r="P607" s="15"/>
      <c r="Q607" s="15"/>
      <c r="R607" s="15"/>
      <c r="S607" s="15"/>
      <c r="T607" s="15"/>
      <c r="U607" s="15"/>
      <c r="V607" s="15"/>
      <c r="W607" s="15"/>
      <c r="X607" s="15"/>
      <c r="Y607" s="15"/>
      <c r="Z607" s="15"/>
      <c r="AA607" s="15"/>
      <c r="AB607" s="15"/>
    </row>
    <row r="608">
      <c r="B608" s="15"/>
      <c r="C608" s="15"/>
      <c r="D608" s="15"/>
      <c r="E608" s="15"/>
      <c r="F608" s="15"/>
      <c r="G608" s="15"/>
      <c r="H608" s="15"/>
      <c r="I608" s="15"/>
      <c r="J608" s="15"/>
      <c r="K608" s="15"/>
      <c r="L608" s="15"/>
      <c r="M608" s="15"/>
      <c r="N608" s="15"/>
      <c r="O608" s="15"/>
      <c r="P608" s="15"/>
      <c r="Q608" s="15"/>
      <c r="R608" s="15"/>
      <c r="S608" s="15"/>
      <c r="T608" s="15"/>
      <c r="U608" s="15"/>
      <c r="V608" s="15"/>
      <c r="W608" s="15"/>
      <c r="X608" s="15"/>
      <c r="Y608" s="15"/>
      <c r="Z608" s="15"/>
      <c r="AA608" s="15"/>
      <c r="AB608" s="15"/>
    </row>
    <row r="609">
      <c r="B609" s="15"/>
      <c r="C609" s="15"/>
      <c r="D609" s="15"/>
      <c r="E609" s="15"/>
      <c r="F609" s="15"/>
      <c r="G609" s="15"/>
      <c r="H609" s="15"/>
      <c r="I609" s="15"/>
      <c r="J609" s="15"/>
      <c r="K609" s="15"/>
      <c r="L609" s="15"/>
      <c r="M609" s="15"/>
      <c r="N609" s="15"/>
      <c r="O609" s="15"/>
      <c r="P609" s="15"/>
      <c r="Q609" s="15"/>
      <c r="R609" s="15"/>
      <c r="S609" s="15"/>
      <c r="T609" s="15"/>
      <c r="U609" s="15"/>
      <c r="V609" s="15"/>
      <c r="W609" s="15"/>
      <c r="X609" s="15"/>
      <c r="Y609" s="15"/>
      <c r="Z609" s="15"/>
      <c r="AA609" s="15"/>
      <c r="AB609" s="15"/>
    </row>
    <row r="610">
      <c r="B610" s="15"/>
      <c r="C610" s="15"/>
      <c r="D610" s="15"/>
      <c r="E610" s="15"/>
      <c r="F610" s="15"/>
      <c r="G610" s="15"/>
      <c r="H610" s="15"/>
      <c r="I610" s="15"/>
      <c r="J610" s="15"/>
      <c r="K610" s="15"/>
      <c r="L610" s="15"/>
      <c r="M610" s="15"/>
      <c r="N610" s="15"/>
      <c r="O610" s="15"/>
      <c r="P610" s="15"/>
      <c r="Q610" s="15"/>
      <c r="R610" s="15"/>
      <c r="S610" s="15"/>
      <c r="T610" s="15"/>
      <c r="U610" s="15"/>
      <c r="V610" s="15"/>
      <c r="W610" s="15"/>
      <c r="X610" s="15"/>
      <c r="Y610" s="15"/>
      <c r="Z610" s="15"/>
      <c r="AA610" s="15"/>
      <c r="AB610" s="15"/>
    </row>
    <row r="611">
      <c r="B611" s="15"/>
      <c r="C611" s="15"/>
      <c r="D611" s="15"/>
      <c r="E611" s="15"/>
      <c r="F611" s="15"/>
      <c r="G611" s="15"/>
      <c r="H611" s="15"/>
      <c r="I611" s="15"/>
      <c r="J611" s="15"/>
      <c r="K611" s="15"/>
      <c r="L611" s="15"/>
      <c r="M611" s="15"/>
      <c r="N611" s="15"/>
      <c r="O611" s="15"/>
      <c r="P611" s="15"/>
      <c r="Q611" s="15"/>
      <c r="R611" s="15"/>
      <c r="S611" s="15"/>
      <c r="T611" s="15"/>
      <c r="U611" s="15"/>
      <c r="V611" s="15"/>
      <c r="W611" s="15"/>
      <c r="X611" s="15"/>
      <c r="Y611" s="15"/>
      <c r="Z611" s="15"/>
      <c r="AA611" s="15"/>
      <c r="AB611" s="15"/>
    </row>
    <row r="612">
      <c r="B612" s="15"/>
      <c r="C612" s="15"/>
      <c r="D612" s="15"/>
      <c r="E612" s="15"/>
      <c r="F612" s="15"/>
      <c r="G612" s="15"/>
      <c r="H612" s="15"/>
      <c r="I612" s="15"/>
      <c r="J612" s="15"/>
      <c r="K612" s="15"/>
      <c r="L612" s="15"/>
      <c r="M612" s="15"/>
      <c r="N612" s="15"/>
      <c r="O612" s="15"/>
      <c r="P612" s="15"/>
      <c r="Q612" s="15"/>
      <c r="R612" s="15"/>
      <c r="S612" s="15"/>
      <c r="T612" s="15"/>
      <c r="U612" s="15"/>
      <c r="V612" s="15"/>
      <c r="W612" s="15"/>
      <c r="X612" s="15"/>
      <c r="Y612" s="15"/>
      <c r="Z612" s="15"/>
      <c r="AA612" s="15"/>
      <c r="AB612" s="15"/>
    </row>
    <row r="613">
      <c r="B613" s="15"/>
      <c r="C613" s="15"/>
      <c r="D613" s="15"/>
      <c r="E613" s="15"/>
      <c r="F613" s="15"/>
      <c r="G613" s="15"/>
      <c r="H613" s="15"/>
      <c r="I613" s="15"/>
      <c r="J613" s="15"/>
      <c r="K613" s="15"/>
      <c r="L613" s="15"/>
      <c r="M613" s="15"/>
      <c r="N613" s="15"/>
      <c r="O613" s="15"/>
      <c r="P613" s="15"/>
      <c r="Q613" s="15"/>
      <c r="R613" s="15"/>
      <c r="S613" s="15"/>
      <c r="T613" s="15"/>
      <c r="U613" s="15"/>
      <c r="V613" s="15"/>
      <c r="W613" s="15"/>
      <c r="X613" s="15"/>
      <c r="Y613" s="15"/>
      <c r="Z613" s="15"/>
      <c r="AA613" s="15"/>
      <c r="AB613" s="15"/>
    </row>
    <row r="614">
      <c r="B614" s="15"/>
      <c r="C614" s="15"/>
      <c r="D614" s="15"/>
      <c r="E614" s="15"/>
      <c r="F614" s="15"/>
      <c r="G614" s="15"/>
      <c r="H614" s="15"/>
      <c r="I614" s="15"/>
      <c r="J614" s="15"/>
      <c r="K614" s="15"/>
      <c r="L614" s="15"/>
      <c r="M614" s="15"/>
      <c r="N614" s="15"/>
      <c r="O614" s="15"/>
      <c r="P614" s="15"/>
      <c r="Q614" s="15"/>
      <c r="R614" s="15"/>
      <c r="S614" s="15"/>
      <c r="T614" s="15"/>
      <c r="U614" s="15"/>
      <c r="V614" s="15"/>
      <c r="W614" s="15"/>
      <c r="X614" s="15"/>
      <c r="Y614" s="15"/>
      <c r="Z614" s="15"/>
      <c r="AA614" s="15"/>
      <c r="AB614" s="15"/>
    </row>
    <row r="615">
      <c r="B615" s="15"/>
      <c r="C615" s="15"/>
      <c r="D615" s="15"/>
      <c r="E615" s="15"/>
      <c r="F615" s="15"/>
      <c r="G615" s="15"/>
      <c r="H615" s="15"/>
      <c r="I615" s="15"/>
      <c r="J615" s="15"/>
      <c r="K615" s="15"/>
      <c r="L615" s="15"/>
      <c r="M615" s="15"/>
      <c r="N615" s="15"/>
      <c r="O615" s="15"/>
      <c r="P615" s="15"/>
      <c r="Q615" s="15"/>
      <c r="R615" s="15"/>
      <c r="S615" s="15"/>
      <c r="T615" s="15"/>
      <c r="U615" s="15"/>
      <c r="V615" s="15"/>
      <c r="W615" s="15"/>
      <c r="X615" s="15"/>
      <c r="Y615" s="15"/>
      <c r="Z615" s="15"/>
      <c r="AA615" s="15"/>
      <c r="AB615" s="15"/>
    </row>
    <row r="616">
      <c r="B616" s="15"/>
      <c r="C616" s="15"/>
      <c r="D616" s="15"/>
      <c r="E616" s="15"/>
      <c r="F616" s="15"/>
      <c r="G616" s="15"/>
      <c r="H616" s="15"/>
      <c r="I616" s="15"/>
      <c r="J616" s="15"/>
      <c r="K616" s="15"/>
      <c r="L616" s="15"/>
      <c r="M616" s="15"/>
      <c r="N616" s="15"/>
      <c r="O616" s="15"/>
      <c r="P616" s="15"/>
      <c r="Q616" s="15"/>
      <c r="R616" s="15"/>
      <c r="S616" s="15"/>
      <c r="T616" s="15"/>
      <c r="U616" s="15"/>
      <c r="V616" s="15"/>
      <c r="W616" s="15"/>
      <c r="X616" s="15"/>
      <c r="Y616" s="15"/>
      <c r="Z616" s="15"/>
      <c r="AA616" s="15"/>
      <c r="AB616" s="15"/>
    </row>
    <row r="617">
      <c r="B617" s="15"/>
      <c r="C617" s="15"/>
      <c r="D617" s="15"/>
      <c r="E617" s="15"/>
      <c r="F617" s="15"/>
      <c r="G617" s="15"/>
      <c r="H617" s="15"/>
      <c r="I617" s="15"/>
      <c r="J617" s="15"/>
      <c r="K617" s="15"/>
      <c r="L617" s="15"/>
      <c r="M617" s="15"/>
      <c r="N617" s="15"/>
      <c r="O617" s="15"/>
      <c r="P617" s="15"/>
      <c r="Q617" s="15"/>
      <c r="R617" s="15"/>
      <c r="S617" s="15"/>
      <c r="T617" s="15"/>
      <c r="U617" s="15"/>
      <c r="V617" s="15"/>
      <c r="W617" s="15"/>
      <c r="X617" s="15"/>
      <c r="Y617" s="15"/>
      <c r="Z617" s="15"/>
      <c r="AA617" s="15"/>
      <c r="AB617" s="15"/>
    </row>
    <row r="618">
      <c r="B618" s="15"/>
      <c r="C618" s="15"/>
      <c r="D618" s="15"/>
      <c r="E618" s="15"/>
      <c r="F618" s="15"/>
      <c r="G618" s="15"/>
      <c r="H618" s="15"/>
      <c r="I618" s="15"/>
      <c r="J618" s="15"/>
      <c r="K618" s="15"/>
      <c r="L618" s="15"/>
      <c r="M618" s="15"/>
      <c r="N618" s="15"/>
      <c r="O618" s="15"/>
      <c r="P618" s="15"/>
      <c r="Q618" s="15"/>
      <c r="R618" s="15"/>
      <c r="S618" s="15"/>
      <c r="T618" s="15"/>
      <c r="U618" s="15"/>
      <c r="V618" s="15"/>
      <c r="W618" s="15"/>
      <c r="X618" s="15"/>
      <c r="Y618" s="15"/>
      <c r="Z618" s="15"/>
      <c r="AA618" s="15"/>
      <c r="AB618" s="15"/>
    </row>
    <row r="619">
      <c r="B619" s="15"/>
      <c r="C619" s="15"/>
      <c r="D619" s="15"/>
      <c r="E619" s="15"/>
      <c r="F619" s="15"/>
      <c r="G619" s="15"/>
      <c r="H619" s="15"/>
      <c r="I619" s="15"/>
      <c r="J619" s="15"/>
      <c r="K619" s="15"/>
      <c r="L619" s="15"/>
      <c r="M619" s="15"/>
      <c r="N619" s="15"/>
      <c r="O619" s="15"/>
      <c r="P619" s="15"/>
      <c r="Q619" s="15"/>
      <c r="R619" s="15"/>
      <c r="S619" s="15"/>
      <c r="T619" s="15"/>
      <c r="U619" s="15"/>
      <c r="V619" s="15"/>
      <c r="W619" s="15"/>
      <c r="X619" s="15"/>
      <c r="Y619" s="15"/>
      <c r="Z619" s="15"/>
      <c r="AA619" s="15"/>
      <c r="AB619" s="15"/>
    </row>
    <row r="620">
      <c r="B620" s="15"/>
      <c r="C620" s="15"/>
      <c r="D620" s="15"/>
      <c r="E620" s="15"/>
      <c r="F620" s="15"/>
      <c r="G620" s="15"/>
      <c r="H620" s="15"/>
      <c r="I620" s="15"/>
      <c r="J620" s="15"/>
      <c r="K620" s="15"/>
      <c r="L620" s="15"/>
      <c r="M620" s="15"/>
      <c r="N620" s="15"/>
      <c r="O620" s="15"/>
      <c r="P620" s="15"/>
      <c r="Q620" s="15"/>
      <c r="R620" s="15"/>
      <c r="S620" s="15"/>
      <c r="T620" s="15"/>
      <c r="U620" s="15"/>
      <c r="V620" s="15"/>
      <c r="W620" s="15"/>
      <c r="X620" s="15"/>
      <c r="Y620" s="15"/>
      <c r="Z620" s="15"/>
      <c r="AA620" s="15"/>
      <c r="AB620" s="15"/>
    </row>
    <row r="621">
      <c r="B621" s="15"/>
      <c r="C621" s="15"/>
      <c r="D621" s="15"/>
      <c r="E621" s="15"/>
      <c r="F621" s="15"/>
      <c r="G621" s="15"/>
      <c r="H621" s="15"/>
      <c r="I621" s="15"/>
      <c r="J621" s="15"/>
      <c r="K621" s="15"/>
      <c r="L621" s="15"/>
      <c r="M621" s="15"/>
      <c r="N621" s="15"/>
      <c r="O621" s="15"/>
      <c r="P621" s="15"/>
      <c r="Q621" s="15"/>
      <c r="R621" s="15"/>
      <c r="S621" s="15"/>
      <c r="T621" s="15"/>
      <c r="U621" s="15"/>
      <c r="V621" s="15"/>
      <c r="W621" s="15"/>
      <c r="X621" s="15"/>
      <c r="Y621" s="15"/>
      <c r="Z621" s="15"/>
      <c r="AA621" s="15"/>
      <c r="AB621" s="15"/>
    </row>
    <row r="622">
      <c r="B622" s="15"/>
      <c r="C622" s="15"/>
      <c r="D622" s="15"/>
      <c r="E622" s="15"/>
      <c r="F622" s="15"/>
      <c r="G622" s="15"/>
      <c r="H622" s="15"/>
      <c r="I622" s="15"/>
      <c r="J622" s="15"/>
      <c r="K622" s="15"/>
      <c r="L622" s="15"/>
      <c r="M622" s="15"/>
      <c r="N622" s="15"/>
      <c r="O622" s="15"/>
      <c r="P622" s="15"/>
      <c r="Q622" s="15"/>
      <c r="R622" s="15"/>
      <c r="S622" s="15"/>
      <c r="T622" s="15"/>
      <c r="U622" s="15"/>
      <c r="V622" s="15"/>
      <c r="W622" s="15"/>
      <c r="X622" s="15"/>
      <c r="Y622" s="15"/>
      <c r="Z622" s="15"/>
      <c r="AA622" s="15"/>
      <c r="AB622" s="15"/>
    </row>
    <row r="623">
      <c r="B623" s="15"/>
      <c r="C623" s="15"/>
      <c r="D623" s="15"/>
      <c r="E623" s="15"/>
      <c r="F623" s="15"/>
      <c r="G623" s="15"/>
      <c r="H623" s="15"/>
      <c r="I623" s="15"/>
      <c r="J623" s="15"/>
      <c r="K623" s="15"/>
      <c r="L623" s="15"/>
      <c r="M623" s="15"/>
      <c r="N623" s="15"/>
      <c r="O623" s="15"/>
      <c r="P623" s="15"/>
      <c r="Q623" s="15"/>
      <c r="R623" s="15"/>
      <c r="S623" s="15"/>
      <c r="T623" s="15"/>
      <c r="U623" s="15"/>
      <c r="V623" s="15"/>
      <c r="W623" s="15"/>
      <c r="X623" s="15"/>
      <c r="Y623" s="15"/>
      <c r="Z623" s="15"/>
      <c r="AA623" s="15"/>
      <c r="AB623" s="15"/>
    </row>
    <row r="624">
      <c r="B624" s="15"/>
      <c r="C624" s="15"/>
      <c r="D624" s="15"/>
      <c r="E624" s="15"/>
      <c r="F624" s="15"/>
      <c r="G624" s="15"/>
      <c r="H624" s="15"/>
      <c r="I624" s="15"/>
      <c r="J624" s="15"/>
      <c r="K624" s="15"/>
      <c r="L624" s="15"/>
      <c r="M624" s="15"/>
      <c r="N624" s="15"/>
      <c r="O624" s="15"/>
      <c r="P624" s="15"/>
      <c r="Q624" s="15"/>
      <c r="R624" s="15"/>
      <c r="S624" s="15"/>
      <c r="T624" s="15"/>
      <c r="U624" s="15"/>
      <c r="V624" s="15"/>
      <c r="W624" s="15"/>
      <c r="X624" s="15"/>
      <c r="Y624" s="15"/>
      <c r="Z624" s="15"/>
      <c r="AA624" s="15"/>
      <c r="AB624" s="15"/>
    </row>
    <row r="625">
      <c r="B625" s="15"/>
      <c r="C625" s="15"/>
      <c r="D625" s="15"/>
      <c r="E625" s="15"/>
      <c r="F625" s="15"/>
      <c r="G625" s="15"/>
      <c r="H625" s="15"/>
      <c r="I625" s="15"/>
      <c r="J625" s="15"/>
      <c r="K625" s="15"/>
      <c r="L625" s="15"/>
      <c r="M625" s="15"/>
      <c r="N625" s="15"/>
      <c r="O625" s="15"/>
      <c r="P625" s="15"/>
      <c r="Q625" s="15"/>
      <c r="R625" s="15"/>
      <c r="S625" s="15"/>
      <c r="T625" s="15"/>
      <c r="U625" s="15"/>
      <c r="V625" s="15"/>
      <c r="W625" s="15"/>
      <c r="X625" s="15"/>
      <c r="Y625" s="15"/>
      <c r="Z625" s="15"/>
      <c r="AA625" s="15"/>
      <c r="AB625" s="15"/>
    </row>
    <row r="626">
      <c r="B626" s="15"/>
      <c r="C626" s="15"/>
      <c r="D626" s="15"/>
      <c r="E626" s="15"/>
      <c r="F626" s="15"/>
      <c r="G626" s="15"/>
      <c r="H626" s="15"/>
      <c r="I626" s="15"/>
      <c r="J626" s="15"/>
      <c r="K626" s="15"/>
      <c r="L626" s="15"/>
      <c r="M626" s="15"/>
      <c r="N626" s="15"/>
      <c r="O626" s="15"/>
      <c r="P626" s="15"/>
      <c r="Q626" s="15"/>
      <c r="R626" s="15"/>
      <c r="S626" s="15"/>
      <c r="T626" s="15"/>
      <c r="U626" s="15"/>
      <c r="V626" s="15"/>
      <c r="W626" s="15"/>
      <c r="X626" s="15"/>
      <c r="Y626" s="15"/>
      <c r="Z626" s="15"/>
      <c r="AA626" s="15"/>
      <c r="AB626" s="15"/>
    </row>
    <row r="627">
      <c r="B627" s="15"/>
      <c r="C627" s="15"/>
      <c r="D627" s="15"/>
      <c r="E627" s="15"/>
      <c r="F627" s="15"/>
      <c r="G627" s="15"/>
      <c r="H627" s="15"/>
      <c r="I627" s="15"/>
      <c r="J627" s="15"/>
      <c r="K627" s="15"/>
      <c r="L627" s="15"/>
      <c r="M627" s="15"/>
      <c r="N627" s="15"/>
      <c r="O627" s="15"/>
      <c r="P627" s="15"/>
      <c r="Q627" s="15"/>
      <c r="R627" s="15"/>
      <c r="S627" s="15"/>
      <c r="T627" s="15"/>
      <c r="U627" s="15"/>
      <c r="V627" s="15"/>
      <c r="W627" s="15"/>
      <c r="X627" s="15"/>
      <c r="Y627" s="15"/>
      <c r="Z627" s="15"/>
      <c r="AA627" s="15"/>
      <c r="AB627" s="15"/>
    </row>
    <row r="628">
      <c r="B628" s="15"/>
      <c r="C628" s="15"/>
      <c r="D628" s="15"/>
      <c r="E628" s="15"/>
      <c r="F628" s="15"/>
      <c r="G628" s="15"/>
      <c r="H628" s="15"/>
      <c r="I628" s="15"/>
      <c r="J628" s="15"/>
      <c r="K628" s="15"/>
      <c r="L628" s="15"/>
      <c r="M628" s="15"/>
      <c r="N628" s="15"/>
      <c r="O628" s="15"/>
      <c r="P628" s="15"/>
      <c r="Q628" s="15"/>
      <c r="R628" s="15"/>
      <c r="S628" s="15"/>
      <c r="T628" s="15"/>
      <c r="U628" s="15"/>
      <c r="V628" s="15"/>
      <c r="W628" s="15"/>
      <c r="X628" s="15"/>
      <c r="Y628" s="15"/>
      <c r="Z628" s="15"/>
      <c r="AA628" s="15"/>
      <c r="AB628" s="15"/>
    </row>
    <row r="629">
      <c r="B629" s="15"/>
      <c r="C629" s="15"/>
      <c r="D629" s="15"/>
      <c r="E629" s="15"/>
      <c r="F629" s="15"/>
      <c r="G629" s="15"/>
      <c r="H629" s="15"/>
      <c r="I629" s="15"/>
      <c r="J629" s="15"/>
      <c r="K629" s="15"/>
      <c r="L629" s="15"/>
      <c r="M629" s="15"/>
      <c r="N629" s="15"/>
      <c r="O629" s="15"/>
      <c r="P629" s="15"/>
      <c r="Q629" s="15"/>
      <c r="R629" s="15"/>
      <c r="S629" s="15"/>
      <c r="T629" s="15"/>
      <c r="U629" s="15"/>
      <c r="V629" s="15"/>
      <c r="W629" s="15"/>
      <c r="X629" s="15"/>
      <c r="Y629" s="15"/>
      <c r="Z629" s="15"/>
      <c r="AA629" s="15"/>
      <c r="AB629" s="15"/>
    </row>
    <row r="630">
      <c r="B630" s="15"/>
      <c r="C630" s="15"/>
      <c r="D630" s="15"/>
      <c r="E630" s="15"/>
      <c r="F630" s="15"/>
      <c r="G630" s="15"/>
      <c r="H630" s="15"/>
      <c r="I630" s="15"/>
      <c r="J630" s="15"/>
      <c r="K630" s="15"/>
      <c r="L630" s="15"/>
      <c r="M630" s="15"/>
      <c r="N630" s="15"/>
      <c r="O630" s="15"/>
      <c r="P630" s="15"/>
      <c r="Q630" s="15"/>
      <c r="R630" s="15"/>
      <c r="S630" s="15"/>
      <c r="T630" s="15"/>
      <c r="U630" s="15"/>
      <c r="V630" s="15"/>
      <c r="W630" s="15"/>
      <c r="X630" s="15"/>
      <c r="Y630" s="15"/>
      <c r="Z630" s="15"/>
      <c r="AA630" s="15"/>
      <c r="AB630" s="15"/>
    </row>
    <row r="631">
      <c r="B631" s="15"/>
      <c r="C631" s="15"/>
      <c r="D631" s="15"/>
      <c r="E631" s="15"/>
      <c r="F631" s="15"/>
      <c r="G631" s="15"/>
      <c r="H631" s="15"/>
      <c r="I631" s="15"/>
      <c r="J631" s="15"/>
      <c r="K631" s="15"/>
      <c r="L631" s="15"/>
      <c r="M631" s="15"/>
      <c r="N631" s="15"/>
      <c r="O631" s="15"/>
      <c r="P631" s="15"/>
      <c r="Q631" s="15"/>
      <c r="R631" s="15"/>
      <c r="S631" s="15"/>
      <c r="T631" s="15"/>
      <c r="U631" s="15"/>
      <c r="V631" s="15"/>
      <c r="W631" s="15"/>
      <c r="X631" s="15"/>
      <c r="Y631" s="15"/>
      <c r="Z631" s="15"/>
      <c r="AA631" s="15"/>
      <c r="AB631" s="15"/>
    </row>
    <row r="632">
      <c r="B632" s="15"/>
      <c r="C632" s="15"/>
      <c r="D632" s="15"/>
      <c r="E632" s="15"/>
      <c r="F632" s="15"/>
      <c r="G632" s="15"/>
      <c r="H632" s="15"/>
      <c r="I632" s="15"/>
      <c r="J632" s="15"/>
      <c r="K632" s="15"/>
      <c r="L632" s="15"/>
      <c r="M632" s="15"/>
      <c r="N632" s="15"/>
      <c r="O632" s="15"/>
      <c r="P632" s="15"/>
      <c r="Q632" s="15"/>
      <c r="R632" s="15"/>
      <c r="S632" s="15"/>
      <c r="T632" s="15"/>
      <c r="U632" s="15"/>
      <c r="V632" s="15"/>
      <c r="W632" s="15"/>
      <c r="X632" s="15"/>
      <c r="Y632" s="15"/>
      <c r="Z632" s="15"/>
      <c r="AA632" s="15"/>
      <c r="AB632" s="15"/>
    </row>
    <row r="633">
      <c r="B633" s="15"/>
      <c r="C633" s="15"/>
      <c r="D633" s="15"/>
      <c r="E633" s="15"/>
      <c r="F633" s="15"/>
      <c r="G633" s="15"/>
      <c r="H633" s="15"/>
      <c r="I633" s="15"/>
      <c r="J633" s="15"/>
      <c r="K633" s="15"/>
      <c r="L633" s="15"/>
      <c r="M633" s="15"/>
      <c r="N633" s="15"/>
      <c r="O633" s="15"/>
      <c r="P633" s="15"/>
      <c r="Q633" s="15"/>
      <c r="R633" s="15"/>
      <c r="S633" s="15"/>
      <c r="T633" s="15"/>
      <c r="U633" s="15"/>
      <c r="V633" s="15"/>
      <c r="W633" s="15"/>
      <c r="X633" s="15"/>
      <c r="Y633" s="15"/>
      <c r="Z633" s="15"/>
      <c r="AA633" s="15"/>
      <c r="AB633" s="15"/>
    </row>
    <row r="634">
      <c r="B634" s="15"/>
      <c r="C634" s="15"/>
      <c r="D634" s="15"/>
      <c r="E634" s="15"/>
      <c r="F634" s="15"/>
      <c r="G634" s="15"/>
      <c r="H634" s="15"/>
      <c r="I634" s="15"/>
      <c r="J634" s="15"/>
      <c r="K634" s="15"/>
      <c r="L634" s="15"/>
      <c r="M634" s="15"/>
      <c r="N634" s="15"/>
      <c r="O634" s="15"/>
      <c r="P634" s="15"/>
      <c r="Q634" s="15"/>
      <c r="R634" s="15"/>
      <c r="S634" s="15"/>
      <c r="T634" s="15"/>
      <c r="U634" s="15"/>
      <c r="V634" s="15"/>
      <c r="W634" s="15"/>
      <c r="X634" s="15"/>
      <c r="Y634" s="15"/>
      <c r="Z634" s="15"/>
      <c r="AA634" s="15"/>
      <c r="AB634" s="15"/>
    </row>
    <row r="635">
      <c r="B635" s="15"/>
      <c r="C635" s="15"/>
      <c r="D635" s="15"/>
      <c r="E635" s="15"/>
      <c r="F635" s="15"/>
      <c r="G635" s="15"/>
      <c r="H635" s="15"/>
      <c r="I635" s="15"/>
      <c r="J635" s="15"/>
      <c r="K635" s="15"/>
      <c r="L635" s="15"/>
      <c r="M635" s="15"/>
      <c r="N635" s="15"/>
      <c r="O635" s="15"/>
      <c r="P635" s="15"/>
      <c r="Q635" s="15"/>
      <c r="R635" s="15"/>
      <c r="S635" s="15"/>
      <c r="T635" s="15"/>
      <c r="U635" s="15"/>
      <c r="V635" s="15"/>
      <c r="W635" s="15"/>
      <c r="X635" s="15"/>
      <c r="Y635" s="15"/>
      <c r="Z635" s="15"/>
      <c r="AA635" s="15"/>
      <c r="AB635" s="15"/>
    </row>
    <row r="636">
      <c r="B636" s="15"/>
      <c r="C636" s="15"/>
      <c r="D636" s="15"/>
      <c r="E636" s="15"/>
      <c r="F636" s="15"/>
      <c r="G636" s="15"/>
      <c r="H636" s="15"/>
      <c r="I636" s="15"/>
      <c r="J636" s="15"/>
      <c r="K636" s="15"/>
      <c r="L636" s="15"/>
      <c r="M636" s="15"/>
      <c r="N636" s="15"/>
      <c r="O636" s="15"/>
      <c r="P636" s="15"/>
      <c r="Q636" s="15"/>
      <c r="R636" s="15"/>
      <c r="S636" s="15"/>
      <c r="T636" s="15"/>
      <c r="U636" s="15"/>
      <c r="V636" s="15"/>
      <c r="W636" s="15"/>
      <c r="X636" s="15"/>
      <c r="Y636" s="15"/>
      <c r="Z636" s="15"/>
      <c r="AA636" s="15"/>
      <c r="AB636" s="15"/>
    </row>
    <row r="637">
      <c r="B637" s="15"/>
      <c r="C637" s="15"/>
      <c r="D637" s="15"/>
      <c r="E637" s="15"/>
      <c r="F637" s="15"/>
      <c r="G637" s="15"/>
      <c r="H637" s="15"/>
      <c r="I637" s="15"/>
      <c r="J637" s="15"/>
      <c r="K637" s="15"/>
      <c r="L637" s="15"/>
      <c r="M637" s="15"/>
      <c r="N637" s="15"/>
      <c r="O637" s="15"/>
      <c r="P637" s="15"/>
      <c r="Q637" s="15"/>
      <c r="R637" s="15"/>
      <c r="S637" s="15"/>
      <c r="T637" s="15"/>
      <c r="U637" s="15"/>
      <c r="V637" s="15"/>
      <c r="W637" s="15"/>
      <c r="X637" s="15"/>
      <c r="Y637" s="15"/>
      <c r="Z637" s="15"/>
      <c r="AA637" s="15"/>
      <c r="AB637" s="15"/>
    </row>
    <row r="638">
      <c r="B638" s="15"/>
      <c r="C638" s="15"/>
      <c r="D638" s="15"/>
      <c r="E638" s="15"/>
      <c r="F638" s="15"/>
      <c r="G638" s="15"/>
      <c r="H638" s="15"/>
      <c r="I638" s="15"/>
      <c r="J638" s="15"/>
      <c r="K638" s="15"/>
      <c r="L638" s="15"/>
      <c r="M638" s="15"/>
      <c r="N638" s="15"/>
      <c r="O638" s="15"/>
      <c r="P638" s="15"/>
      <c r="Q638" s="15"/>
      <c r="R638" s="15"/>
      <c r="S638" s="15"/>
      <c r="T638" s="15"/>
      <c r="U638" s="15"/>
      <c r="V638" s="15"/>
      <c r="W638" s="15"/>
      <c r="X638" s="15"/>
      <c r="Y638" s="15"/>
      <c r="Z638" s="15"/>
      <c r="AA638" s="15"/>
      <c r="AB638" s="15"/>
    </row>
    <row r="639">
      <c r="B639" s="15"/>
      <c r="C639" s="15"/>
      <c r="D639" s="15"/>
      <c r="E639" s="15"/>
      <c r="F639" s="15"/>
      <c r="G639" s="15"/>
      <c r="H639" s="15"/>
      <c r="I639" s="15"/>
      <c r="J639" s="15"/>
      <c r="K639" s="15"/>
      <c r="L639" s="15"/>
      <c r="M639" s="15"/>
      <c r="N639" s="15"/>
      <c r="O639" s="15"/>
      <c r="P639" s="15"/>
      <c r="Q639" s="15"/>
      <c r="R639" s="15"/>
      <c r="S639" s="15"/>
      <c r="T639" s="15"/>
      <c r="U639" s="15"/>
      <c r="V639" s="15"/>
      <c r="W639" s="15"/>
      <c r="X639" s="15"/>
      <c r="Y639" s="15"/>
      <c r="Z639" s="15"/>
      <c r="AA639" s="15"/>
      <c r="AB639" s="15"/>
    </row>
    <row r="640">
      <c r="B640" s="15"/>
      <c r="C640" s="15"/>
      <c r="D640" s="15"/>
      <c r="E640" s="15"/>
      <c r="F640" s="15"/>
      <c r="G640" s="15"/>
      <c r="H640" s="15"/>
      <c r="I640" s="15"/>
      <c r="J640" s="15"/>
      <c r="K640" s="15"/>
      <c r="L640" s="15"/>
      <c r="M640" s="15"/>
      <c r="N640" s="15"/>
      <c r="O640" s="15"/>
      <c r="P640" s="15"/>
      <c r="Q640" s="15"/>
      <c r="R640" s="15"/>
      <c r="S640" s="15"/>
      <c r="T640" s="15"/>
      <c r="U640" s="15"/>
      <c r="V640" s="15"/>
      <c r="W640" s="15"/>
      <c r="X640" s="15"/>
      <c r="Y640" s="15"/>
      <c r="Z640" s="15"/>
      <c r="AA640" s="15"/>
      <c r="AB640" s="15"/>
    </row>
    <row r="641">
      <c r="B641" s="15"/>
      <c r="C641" s="15"/>
      <c r="D641" s="15"/>
      <c r="E641" s="15"/>
      <c r="F641" s="15"/>
      <c r="G641" s="15"/>
      <c r="H641" s="15"/>
      <c r="I641" s="15"/>
      <c r="J641" s="15"/>
      <c r="K641" s="15"/>
      <c r="L641" s="15"/>
      <c r="M641" s="15"/>
      <c r="N641" s="15"/>
      <c r="O641" s="15"/>
      <c r="P641" s="15"/>
      <c r="Q641" s="15"/>
      <c r="R641" s="15"/>
      <c r="S641" s="15"/>
      <c r="T641" s="15"/>
      <c r="U641" s="15"/>
      <c r="V641" s="15"/>
      <c r="W641" s="15"/>
      <c r="X641" s="15"/>
      <c r="Y641" s="15"/>
      <c r="Z641" s="15"/>
      <c r="AA641" s="15"/>
      <c r="AB641" s="15"/>
    </row>
    <row r="642">
      <c r="B642" s="15"/>
      <c r="C642" s="15"/>
      <c r="D642" s="15"/>
      <c r="E642" s="15"/>
      <c r="F642" s="15"/>
      <c r="G642" s="15"/>
      <c r="H642" s="15"/>
      <c r="I642" s="15"/>
      <c r="J642" s="15"/>
      <c r="K642" s="15"/>
      <c r="L642" s="15"/>
      <c r="M642" s="15"/>
      <c r="N642" s="15"/>
      <c r="O642" s="15"/>
      <c r="P642" s="15"/>
      <c r="Q642" s="15"/>
      <c r="R642" s="15"/>
      <c r="S642" s="15"/>
      <c r="T642" s="15"/>
      <c r="U642" s="15"/>
      <c r="V642" s="15"/>
      <c r="W642" s="15"/>
      <c r="X642" s="15"/>
      <c r="Y642" s="15"/>
      <c r="Z642" s="15"/>
      <c r="AA642" s="15"/>
      <c r="AB642" s="15"/>
    </row>
    <row r="643">
      <c r="B643" s="15"/>
      <c r="C643" s="15"/>
      <c r="D643" s="15"/>
      <c r="E643" s="15"/>
      <c r="F643" s="15"/>
      <c r="G643" s="15"/>
      <c r="H643" s="15"/>
      <c r="I643" s="15"/>
      <c r="J643" s="15"/>
      <c r="K643" s="15"/>
      <c r="L643" s="15"/>
      <c r="M643" s="15"/>
      <c r="N643" s="15"/>
      <c r="O643" s="15"/>
      <c r="P643" s="15"/>
      <c r="Q643" s="15"/>
      <c r="R643" s="15"/>
      <c r="S643" s="15"/>
      <c r="T643" s="15"/>
      <c r="U643" s="15"/>
      <c r="V643" s="15"/>
      <c r="W643" s="15"/>
      <c r="X643" s="15"/>
      <c r="Y643" s="15"/>
      <c r="Z643" s="15"/>
      <c r="AA643" s="15"/>
      <c r="AB643" s="15"/>
    </row>
    <row r="644">
      <c r="B644" s="15"/>
      <c r="C644" s="15"/>
      <c r="D644" s="15"/>
      <c r="E644" s="15"/>
      <c r="F644" s="15"/>
      <c r="G644" s="15"/>
      <c r="H644" s="15"/>
      <c r="I644" s="15"/>
      <c r="J644" s="15"/>
      <c r="K644" s="15"/>
      <c r="L644" s="15"/>
      <c r="M644" s="15"/>
      <c r="N644" s="15"/>
      <c r="O644" s="15"/>
      <c r="P644" s="15"/>
      <c r="Q644" s="15"/>
      <c r="R644" s="15"/>
      <c r="S644" s="15"/>
      <c r="T644" s="15"/>
      <c r="U644" s="15"/>
      <c r="V644" s="15"/>
      <c r="W644" s="15"/>
      <c r="X644" s="15"/>
      <c r="Y644" s="15"/>
      <c r="Z644" s="15"/>
      <c r="AA644" s="15"/>
      <c r="AB644" s="15"/>
    </row>
    <row r="645">
      <c r="B645" s="15"/>
      <c r="C645" s="15"/>
      <c r="D645" s="15"/>
      <c r="E645" s="15"/>
      <c r="F645" s="15"/>
      <c r="G645" s="15"/>
      <c r="H645" s="15"/>
      <c r="I645" s="15"/>
      <c r="J645" s="15"/>
      <c r="K645" s="15"/>
      <c r="L645" s="15"/>
      <c r="M645" s="15"/>
      <c r="N645" s="15"/>
      <c r="O645" s="15"/>
      <c r="P645" s="15"/>
      <c r="Q645" s="15"/>
      <c r="R645" s="15"/>
      <c r="S645" s="15"/>
      <c r="T645" s="15"/>
      <c r="U645" s="15"/>
      <c r="V645" s="15"/>
      <c r="W645" s="15"/>
      <c r="X645" s="15"/>
      <c r="Y645" s="15"/>
      <c r="Z645" s="15"/>
      <c r="AA645" s="15"/>
      <c r="AB645" s="15"/>
    </row>
    <row r="646">
      <c r="B646" s="15"/>
      <c r="C646" s="15"/>
      <c r="D646" s="15"/>
      <c r="E646" s="15"/>
      <c r="F646" s="15"/>
      <c r="G646" s="15"/>
      <c r="H646" s="15"/>
      <c r="I646" s="15"/>
      <c r="J646" s="15"/>
      <c r="K646" s="15"/>
      <c r="L646" s="15"/>
      <c r="M646" s="15"/>
      <c r="N646" s="15"/>
      <c r="O646" s="15"/>
      <c r="P646" s="15"/>
      <c r="Q646" s="15"/>
      <c r="R646" s="15"/>
      <c r="S646" s="15"/>
      <c r="T646" s="15"/>
      <c r="U646" s="15"/>
      <c r="V646" s="15"/>
      <c r="W646" s="15"/>
      <c r="X646" s="15"/>
      <c r="Y646" s="15"/>
      <c r="Z646" s="15"/>
      <c r="AA646" s="15"/>
      <c r="AB646" s="15"/>
    </row>
    <row r="647">
      <c r="B647" s="15"/>
      <c r="C647" s="15"/>
      <c r="D647" s="15"/>
      <c r="E647" s="15"/>
      <c r="F647" s="15"/>
      <c r="G647" s="15"/>
      <c r="H647" s="15"/>
      <c r="I647" s="15"/>
      <c r="J647" s="15"/>
      <c r="K647" s="15"/>
      <c r="L647" s="15"/>
      <c r="M647" s="15"/>
      <c r="N647" s="15"/>
      <c r="O647" s="15"/>
      <c r="P647" s="15"/>
      <c r="Q647" s="15"/>
      <c r="R647" s="15"/>
      <c r="S647" s="15"/>
      <c r="T647" s="15"/>
      <c r="U647" s="15"/>
      <c r="V647" s="15"/>
      <c r="W647" s="15"/>
      <c r="X647" s="15"/>
      <c r="Y647" s="15"/>
      <c r="Z647" s="15"/>
      <c r="AA647" s="15"/>
      <c r="AB647" s="15"/>
    </row>
    <row r="648">
      <c r="B648" s="15"/>
      <c r="C648" s="15"/>
      <c r="D648" s="15"/>
      <c r="E648" s="15"/>
      <c r="F648" s="15"/>
      <c r="G648" s="15"/>
      <c r="H648" s="15"/>
      <c r="I648" s="15"/>
      <c r="J648" s="15"/>
      <c r="K648" s="15"/>
      <c r="L648" s="15"/>
      <c r="M648" s="15"/>
      <c r="N648" s="15"/>
      <c r="O648" s="15"/>
      <c r="P648" s="15"/>
      <c r="Q648" s="15"/>
      <c r="R648" s="15"/>
      <c r="S648" s="15"/>
      <c r="T648" s="15"/>
      <c r="U648" s="15"/>
      <c r="V648" s="15"/>
      <c r="W648" s="15"/>
      <c r="X648" s="15"/>
      <c r="Y648" s="15"/>
      <c r="Z648" s="15"/>
      <c r="AA648" s="15"/>
      <c r="AB648" s="15"/>
    </row>
    <row r="649">
      <c r="B649" s="15"/>
      <c r="C649" s="15"/>
      <c r="D649" s="15"/>
      <c r="E649" s="15"/>
      <c r="F649" s="15"/>
      <c r="G649" s="15"/>
      <c r="H649" s="15"/>
      <c r="I649" s="15"/>
      <c r="J649" s="15"/>
      <c r="K649" s="15"/>
      <c r="L649" s="15"/>
      <c r="M649" s="15"/>
      <c r="N649" s="15"/>
      <c r="O649" s="15"/>
      <c r="P649" s="15"/>
      <c r="Q649" s="15"/>
      <c r="R649" s="15"/>
      <c r="S649" s="15"/>
      <c r="T649" s="15"/>
      <c r="U649" s="15"/>
      <c r="V649" s="15"/>
      <c r="W649" s="15"/>
      <c r="X649" s="15"/>
      <c r="Y649" s="15"/>
      <c r="Z649" s="15"/>
      <c r="AA649" s="15"/>
      <c r="AB649" s="15"/>
    </row>
    <row r="650">
      <c r="B650" s="15"/>
      <c r="C650" s="15"/>
      <c r="D650" s="15"/>
      <c r="E650" s="15"/>
      <c r="F650" s="15"/>
      <c r="G650" s="15"/>
      <c r="H650" s="15"/>
      <c r="I650" s="15"/>
      <c r="J650" s="15"/>
      <c r="K650" s="15"/>
      <c r="L650" s="15"/>
      <c r="M650" s="15"/>
      <c r="N650" s="15"/>
      <c r="O650" s="15"/>
      <c r="P650" s="15"/>
      <c r="Q650" s="15"/>
      <c r="R650" s="15"/>
      <c r="S650" s="15"/>
      <c r="T650" s="15"/>
      <c r="U650" s="15"/>
      <c r="V650" s="15"/>
      <c r="W650" s="15"/>
      <c r="X650" s="15"/>
      <c r="Y650" s="15"/>
      <c r="Z650" s="15"/>
      <c r="AA650" s="15"/>
      <c r="AB650" s="15"/>
    </row>
    <row r="651">
      <c r="B651" s="15"/>
      <c r="C651" s="15"/>
      <c r="D651" s="15"/>
      <c r="E651" s="15"/>
      <c r="F651" s="15"/>
      <c r="G651" s="15"/>
      <c r="H651" s="15"/>
      <c r="I651" s="15"/>
      <c r="J651" s="15"/>
      <c r="K651" s="15"/>
      <c r="L651" s="15"/>
      <c r="M651" s="15"/>
      <c r="N651" s="15"/>
      <c r="O651" s="15"/>
      <c r="P651" s="15"/>
      <c r="Q651" s="15"/>
      <c r="R651" s="15"/>
      <c r="S651" s="15"/>
      <c r="T651" s="15"/>
      <c r="U651" s="15"/>
      <c r="V651" s="15"/>
      <c r="W651" s="15"/>
      <c r="X651" s="15"/>
      <c r="Y651" s="15"/>
      <c r="Z651" s="15"/>
      <c r="AA651" s="15"/>
      <c r="AB651" s="15"/>
    </row>
    <row r="652">
      <c r="B652" s="15"/>
      <c r="C652" s="15"/>
      <c r="D652" s="15"/>
      <c r="E652" s="15"/>
      <c r="F652" s="15"/>
      <c r="G652" s="15"/>
      <c r="H652" s="15"/>
      <c r="I652" s="15"/>
      <c r="J652" s="15"/>
      <c r="K652" s="15"/>
      <c r="L652" s="15"/>
      <c r="M652" s="15"/>
      <c r="N652" s="15"/>
      <c r="O652" s="15"/>
      <c r="P652" s="15"/>
      <c r="Q652" s="15"/>
      <c r="R652" s="15"/>
      <c r="S652" s="15"/>
      <c r="T652" s="15"/>
      <c r="U652" s="15"/>
      <c r="V652" s="15"/>
      <c r="W652" s="15"/>
      <c r="X652" s="15"/>
      <c r="Y652" s="15"/>
      <c r="Z652" s="15"/>
      <c r="AA652" s="15"/>
      <c r="AB652" s="15"/>
    </row>
    <row r="653">
      <c r="B653" s="15"/>
      <c r="C653" s="15"/>
      <c r="D653" s="15"/>
      <c r="E653" s="15"/>
      <c r="F653" s="15"/>
      <c r="G653" s="15"/>
      <c r="H653" s="15"/>
      <c r="I653" s="15"/>
      <c r="J653" s="15"/>
      <c r="K653" s="15"/>
      <c r="L653" s="15"/>
      <c r="M653" s="15"/>
      <c r="N653" s="15"/>
      <c r="O653" s="15"/>
      <c r="P653" s="15"/>
      <c r="Q653" s="15"/>
      <c r="R653" s="15"/>
      <c r="S653" s="15"/>
      <c r="T653" s="15"/>
      <c r="U653" s="15"/>
      <c r="V653" s="15"/>
      <c r="W653" s="15"/>
      <c r="X653" s="15"/>
      <c r="Y653" s="15"/>
      <c r="Z653" s="15"/>
      <c r="AA653" s="15"/>
      <c r="AB653" s="15"/>
    </row>
    <row r="654">
      <c r="B654" s="15"/>
      <c r="C654" s="15"/>
      <c r="D654" s="15"/>
      <c r="E654" s="15"/>
      <c r="F654" s="15"/>
      <c r="G654" s="15"/>
      <c r="H654" s="15"/>
      <c r="I654" s="15"/>
      <c r="J654" s="15"/>
      <c r="K654" s="15"/>
      <c r="L654" s="15"/>
      <c r="M654" s="15"/>
      <c r="N654" s="15"/>
      <c r="O654" s="15"/>
      <c r="P654" s="15"/>
      <c r="Q654" s="15"/>
      <c r="R654" s="15"/>
      <c r="S654" s="15"/>
      <c r="T654" s="15"/>
      <c r="U654" s="15"/>
      <c r="V654" s="15"/>
      <c r="W654" s="15"/>
      <c r="X654" s="15"/>
      <c r="Y654" s="15"/>
      <c r="Z654" s="15"/>
      <c r="AA654" s="15"/>
      <c r="AB654" s="15"/>
    </row>
    <row r="655">
      <c r="B655" s="15"/>
      <c r="C655" s="15"/>
      <c r="D655" s="15"/>
      <c r="E655" s="15"/>
      <c r="F655" s="15"/>
      <c r="G655" s="15"/>
      <c r="H655" s="15"/>
      <c r="I655" s="15"/>
      <c r="J655" s="15"/>
      <c r="K655" s="15"/>
      <c r="L655" s="15"/>
      <c r="M655" s="15"/>
      <c r="N655" s="15"/>
      <c r="O655" s="15"/>
      <c r="P655" s="15"/>
      <c r="Q655" s="15"/>
      <c r="R655" s="15"/>
      <c r="S655" s="15"/>
      <c r="T655" s="15"/>
      <c r="U655" s="15"/>
      <c r="V655" s="15"/>
      <c r="W655" s="15"/>
      <c r="X655" s="15"/>
      <c r="Y655" s="15"/>
      <c r="Z655" s="15"/>
      <c r="AA655" s="15"/>
      <c r="AB655" s="15"/>
    </row>
    <row r="656">
      <c r="B656" s="15"/>
      <c r="C656" s="15"/>
      <c r="D656" s="15"/>
      <c r="E656" s="15"/>
      <c r="F656" s="15"/>
      <c r="G656" s="15"/>
      <c r="H656" s="15"/>
      <c r="I656" s="15"/>
      <c r="J656" s="15"/>
      <c r="K656" s="15"/>
      <c r="L656" s="15"/>
      <c r="M656" s="15"/>
      <c r="N656" s="15"/>
      <c r="O656" s="15"/>
      <c r="P656" s="15"/>
      <c r="Q656" s="15"/>
      <c r="R656" s="15"/>
      <c r="S656" s="15"/>
      <c r="T656" s="15"/>
      <c r="U656" s="15"/>
      <c r="V656" s="15"/>
      <c r="W656" s="15"/>
      <c r="X656" s="15"/>
      <c r="Y656" s="15"/>
      <c r="Z656" s="15"/>
      <c r="AA656" s="15"/>
      <c r="AB656" s="15"/>
    </row>
    <row r="657">
      <c r="B657" s="15"/>
      <c r="C657" s="15"/>
      <c r="D657" s="15"/>
      <c r="E657" s="15"/>
      <c r="F657" s="15"/>
      <c r="G657" s="15"/>
      <c r="H657" s="15"/>
      <c r="I657" s="15"/>
      <c r="J657" s="15"/>
      <c r="K657" s="15"/>
      <c r="L657" s="15"/>
      <c r="M657" s="15"/>
      <c r="N657" s="15"/>
      <c r="O657" s="15"/>
      <c r="P657" s="15"/>
      <c r="Q657" s="15"/>
      <c r="R657" s="15"/>
      <c r="S657" s="15"/>
      <c r="T657" s="15"/>
      <c r="U657" s="15"/>
      <c r="V657" s="15"/>
      <c r="W657" s="15"/>
      <c r="X657" s="15"/>
      <c r="Y657" s="15"/>
      <c r="Z657" s="15"/>
      <c r="AA657" s="15"/>
      <c r="AB657" s="15"/>
    </row>
    <row r="658">
      <c r="B658" s="15"/>
      <c r="C658" s="15"/>
      <c r="D658" s="15"/>
      <c r="E658" s="15"/>
      <c r="F658" s="15"/>
      <c r="G658" s="15"/>
      <c r="H658" s="15"/>
      <c r="I658" s="15"/>
      <c r="J658" s="15"/>
      <c r="K658" s="15"/>
      <c r="L658" s="15"/>
      <c r="M658" s="15"/>
      <c r="N658" s="15"/>
      <c r="O658" s="15"/>
      <c r="P658" s="15"/>
      <c r="Q658" s="15"/>
      <c r="R658" s="15"/>
      <c r="S658" s="15"/>
      <c r="T658" s="15"/>
      <c r="U658" s="15"/>
      <c r="V658" s="15"/>
      <c r="W658" s="15"/>
      <c r="X658" s="15"/>
      <c r="Y658" s="15"/>
      <c r="Z658" s="15"/>
      <c r="AA658" s="15"/>
      <c r="AB658" s="15"/>
    </row>
    <row r="659">
      <c r="B659" s="15"/>
      <c r="C659" s="15"/>
      <c r="D659" s="15"/>
      <c r="E659" s="15"/>
      <c r="F659" s="15"/>
      <c r="G659" s="15"/>
      <c r="H659" s="15"/>
      <c r="I659" s="15"/>
      <c r="J659" s="15"/>
      <c r="K659" s="15"/>
      <c r="L659" s="15"/>
      <c r="M659" s="15"/>
      <c r="N659" s="15"/>
      <c r="O659" s="15"/>
      <c r="P659" s="15"/>
      <c r="Q659" s="15"/>
      <c r="R659" s="15"/>
      <c r="S659" s="15"/>
      <c r="T659" s="15"/>
      <c r="U659" s="15"/>
      <c r="V659" s="15"/>
      <c r="W659" s="15"/>
      <c r="X659" s="15"/>
      <c r="Y659" s="15"/>
      <c r="Z659" s="15"/>
      <c r="AA659" s="15"/>
      <c r="AB659" s="15"/>
    </row>
    <row r="660">
      <c r="B660" s="15"/>
      <c r="C660" s="15"/>
      <c r="D660" s="15"/>
      <c r="E660" s="15"/>
      <c r="F660" s="15"/>
      <c r="G660" s="15"/>
      <c r="H660" s="15"/>
      <c r="I660" s="15"/>
      <c r="J660" s="15"/>
      <c r="K660" s="15"/>
      <c r="L660" s="15"/>
      <c r="M660" s="15"/>
      <c r="N660" s="15"/>
      <c r="O660" s="15"/>
      <c r="P660" s="15"/>
      <c r="Q660" s="15"/>
      <c r="R660" s="15"/>
      <c r="S660" s="15"/>
      <c r="T660" s="15"/>
      <c r="U660" s="15"/>
      <c r="V660" s="15"/>
      <c r="W660" s="15"/>
      <c r="X660" s="15"/>
      <c r="Y660" s="15"/>
      <c r="Z660" s="15"/>
      <c r="AA660" s="15"/>
      <c r="AB660" s="15"/>
    </row>
    <row r="661">
      <c r="B661" s="15"/>
      <c r="C661" s="15"/>
      <c r="D661" s="15"/>
      <c r="E661" s="15"/>
      <c r="F661" s="15"/>
      <c r="G661" s="15"/>
      <c r="H661" s="15"/>
      <c r="I661" s="15"/>
      <c r="J661" s="15"/>
      <c r="K661" s="15"/>
      <c r="L661" s="15"/>
      <c r="M661" s="15"/>
      <c r="N661" s="15"/>
      <c r="O661" s="15"/>
      <c r="P661" s="15"/>
      <c r="Q661" s="15"/>
      <c r="R661" s="15"/>
      <c r="S661" s="15"/>
      <c r="T661" s="15"/>
      <c r="U661" s="15"/>
      <c r="V661" s="15"/>
      <c r="W661" s="15"/>
      <c r="X661" s="15"/>
      <c r="Y661" s="15"/>
      <c r="Z661" s="15"/>
      <c r="AA661" s="15"/>
      <c r="AB661" s="15"/>
    </row>
    <row r="662">
      <c r="B662" s="15"/>
      <c r="C662" s="15"/>
      <c r="D662" s="15"/>
      <c r="E662" s="15"/>
      <c r="F662" s="15"/>
      <c r="G662" s="15"/>
      <c r="H662" s="15"/>
      <c r="I662" s="15"/>
      <c r="J662" s="15"/>
      <c r="K662" s="15"/>
      <c r="L662" s="15"/>
      <c r="M662" s="15"/>
      <c r="N662" s="15"/>
      <c r="O662" s="15"/>
      <c r="P662" s="15"/>
      <c r="Q662" s="15"/>
      <c r="R662" s="15"/>
      <c r="S662" s="15"/>
      <c r="T662" s="15"/>
      <c r="U662" s="15"/>
      <c r="V662" s="15"/>
      <c r="W662" s="15"/>
      <c r="X662" s="15"/>
      <c r="Y662" s="15"/>
      <c r="Z662" s="15"/>
      <c r="AA662" s="15"/>
      <c r="AB662" s="15"/>
    </row>
    <row r="663">
      <c r="B663" s="15"/>
      <c r="C663" s="15"/>
      <c r="D663" s="15"/>
      <c r="E663" s="15"/>
      <c r="F663" s="15"/>
      <c r="G663" s="15"/>
      <c r="H663" s="15"/>
      <c r="I663" s="15"/>
      <c r="J663" s="15"/>
      <c r="K663" s="15"/>
      <c r="L663" s="15"/>
      <c r="M663" s="15"/>
      <c r="N663" s="15"/>
      <c r="O663" s="15"/>
      <c r="P663" s="15"/>
      <c r="Q663" s="15"/>
      <c r="R663" s="15"/>
      <c r="S663" s="15"/>
      <c r="T663" s="15"/>
      <c r="U663" s="15"/>
      <c r="V663" s="15"/>
      <c r="W663" s="15"/>
      <c r="X663" s="15"/>
      <c r="Y663" s="15"/>
      <c r="Z663" s="15"/>
      <c r="AA663" s="15"/>
      <c r="AB663" s="15"/>
    </row>
    <row r="664">
      <c r="B664" s="15"/>
      <c r="C664" s="15"/>
      <c r="D664" s="15"/>
      <c r="E664" s="15"/>
      <c r="F664" s="15"/>
      <c r="G664" s="15"/>
      <c r="H664" s="15"/>
      <c r="I664" s="15"/>
      <c r="J664" s="15"/>
      <c r="K664" s="15"/>
      <c r="L664" s="15"/>
      <c r="M664" s="15"/>
      <c r="N664" s="15"/>
      <c r="O664" s="15"/>
      <c r="P664" s="15"/>
      <c r="Q664" s="15"/>
      <c r="R664" s="15"/>
      <c r="S664" s="15"/>
      <c r="T664" s="15"/>
      <c r="U664" s="15"/>
      <c r="V664" s="15"/>
      <c r="W664" s="15"/>
      <c r="X664" s="15"/>
      <c r="Y664" s="15"/>
      <c r="Z664" s="15"/>
      <c r="AA664" s="15"/>
      <c r="AB664" s="15"/>
    </row>
    <row r="665">
      <c r="B665" s="15"/>
      <c r="C665" s="15"/>
      <c r="D665" s="15"/>
      <c r="E665" s="15"/>
      <c r="F665" s="15"/>
      <c r="G665" s="15"/>
      <c r="H665" s="15"/>
      <c r="I665" s="15"/>
      <c r="J665" s="15"/>
      <c r="K665" s="15"/>
      <c r="L665" s="15"/>
      <c r="M665" s="15"/>
      <c r="N665" s="15"/>
      <c r="O665" s="15"/>
      <c r="P665" s="15"/>
      <c r="Q665" s="15"/>
      <c r="R665" s="15"/>
      <c r="S665" s="15"/>
      <c r="T665" s="15"/>
      <c r="U665" s="15"/>
      <c r="V665" s="15"/>
      <c r="W665" s="15"/>
      <c r="X665" s="15"/>
      <c r="Y665" s="15"/>
      <c r="Z665" s="15"/>
      <c r="AA665" s="15"/>
      <c r="AB665" s="15"/>
    </row>
    <row r="666">
      <c r="B666" s="15"/>
      <c r="C666" s="15"/>
      <c r="D666" s="15"/>
      <c r="E666" s="15"/>
      <c r="F666" s="15"/>
      <c r="G666" s="15"/>
      <c r="H666" s="15"/>
      <c r="I666" s="15"/>
      <c r="J666" s="15"/>
      <c r="K666" s="15"/>
      <c r="L666" s="15"/>
      <c r="M666" s="15"/>
      <c r="N666" s="15"/>
      <c r="O666" s="15"/>
      <c r="P666" s="15"/>
      <c r="Q666" s="15"/>
      <c r="R666" s="15"/>
      <c r="S666" s="15"/>
      <c r="T666" s="15"/>
      <c r="U666" s="15"/>
      <c r="V666" s="15"/>
      <c r="W666" s="15"/>
      <c r="X666" s="15"/>
      <c r="Y666" s="15"/>
      <c r="Z666" s="15"/>
      <c r="AA666" s="15"/>
      <c r="AB666" s="15"/>
    </row>
    <row r="667">
      <c r="B667" s="15"/>
      <c r="C667" s="15"/>
      <c r="D667" s="15"/>
      <c r="E667" s="15"/>
      <c r="F667" s="15"/>
      <c r="G667" s="15"/>
      <c r="H667" s="15"/>
      <c r="I667" s="15"/>
      <c r="J667" s="15"/>
      <c r="K667" s="15"/>
      <c r="L667" s="15"/>
      <c r="M667" s="15"/>
      <c r="N667" s="15"/>
      <c r="O667" s="15"/>
      <c r="P667" s="15"/>
      <c r="Q667" s="15"/>
      <c r="R667" s="15"/>
      <c r="S667" s="15"/>
      <c r="T667" s="15"/>
      <c r="U667" s="15"/>
      <c r="V667" s="15"/>
      <c r="W667" s="15"/>
      <c r="X667" s="15"/>
      <c r="Y667" s="15"/>
      <c r="Z667" s="15"/>
      <c r="AA667" s="15"/>
      <c r="AB667" s="15"/>
    </row>
    <row r="668">
      <c r="B668" s="15"/>
      <c r="C668" s="15"/>
      <c r="D668" s="15"/>
      <c r="E668" s="15"/>
      <c r="F668" s="15"/>
      <c r="G668" s="15"/>
      <c r="H668" s="15"/>
      <c r="I668" s="15"/>
      <c r="J668" s="15"/>
      <c r="K668" s="15"/>
      <c r="L668" s="15"/>
      <c r="M668" s="15"/>
      <c r="N668" s="15"/>
      <c r="O668" s="15"/>
      <c r="P668" s="15"/>
      <c r="Q668" s="15"/>
      <c r="R668" s="15"/>
      <c r="S668" s="15"/>
      <c r="T668" s="15"/>
      <c r="U668" s="15"/>
      <c r="V668" s="15"/>
      <c r="W668" s="15"/>
      <c r="X668" s="15"/>
      <c r="Y668" s="15"/>
      <c r="Z668" s="15"/>
      <c r="AA668" s="15"/>
      <c r="AB668" s="15"/>
    </row>
    <row r="669">
      <c r="B669" s="15"/>
      <c r="C669" s="15"/>
      <c r="D669" s="15"/>
      <c r="E669" s="15"/>
      <c r="F669" s="15"/>
      <c r="G669" s="15"/>
      <c r="H669" s="15"/>
      <c r="I669" s="15"/>
      <c r="J669" s="15"/>
      <c r="K669" s="15"/>
      <c r="L669" s="15"/>
      <c r="M669" s="15"/>
      <c r="N669" s="15"/>
      <c r="O669" s="15"/>
      <c r="P669" s="15"/>
      <c r="Q669" s="15"/>
      <c r="R669" s="15"/>
      <c r="S669" s="15"/>
      <c r="T669" s="15"/>
      <c r="U669" s="15"/>
      <c r="V669" s="15"/>
      <c r="W669" s="15"/>
      <c r="X669" s="15"/>
      <c r="Y669" s="15"/>
      <c r="Z669" s="15"/>
      <c r="AA669" s="15"/>
      <c r="AB669" s="15"/>
    </row>
    <row r="670">
      <c r="B670" s="15"/>
      <c r="C670" s="15"/>
      <c r="D670" s="15"/>
      <c r="E670" s="15"/>
      <c r="F670" s="15"/>
      <c r="G670" s="15"/>
      <c r="H670" s="15"/>
      <c r="I670" s="15"/>
      <c r="J670" s="15"/>
      <c r="K670" s="15"/>
      <c r="L670" s="15"/>
      <c r="M670" s="15"/>
      <c r="N670" s="15"/>
      <c r="O670" s="15"/>
      <c r="P670" s="15"/>
      <c r="Q670" s="15"/>
      <c r="R670" s="15"/>
      <c r="S670" s="15"/>
      <c r="T670" s="15"/>
      <c r="U670" s="15"/>
      <c r="V670" s="15"/>
      <c r="W670" s="15"/>
      <c r="X670" s="15"/>
      <c r="Y670" s="15"/>
      <c r="Z670" s="15"/>
      <c r="AA670" s="15"/>
      <c r="AB670" s="15"/>
    </row>
    <row r="671">
      <c r="B671" s="15"/>
      <c r="C671" s="15"/>
      <c r="D671" s="15"/>
      <c r="E671" s="15"/>
      <c r="F671" s="15"/>
      <c r="G671" s="15"/>
      <c r="H671" s="15"/>
      <c r="I671" s="15"/>
      <c r="J671" s="15"/>
      <c r="K671" s="15"/>
      <c r="L671" s="15"/>
      <c r="M671" s="15"/>
      <c r="N671" s="15"/>
      <c r="O671" s="15"/>
      <c r="P671" s="15"/>
      <c r="Q671" s="15"/>
      <c r="R671" s="15"/>
      <c r="S671" s="15"/>
      <c r="T671" s="15"/>
      <c r="U671" s="15"/>
      <c r="V671" s="15"/>
      <c r="W671" s="15"/>
      <c r="X671" s="15"/>
      <c r="Y671" s="15"/>
      <c r="Z671" s="15"/>
      <c r="AA671" s="15"/>
      <c r="AB671" s="15"/>
    </row>
    <row r="672">
      <c r="B672" s="15"/>
      <c r="C672" s="15"/>
      <c r="D672" s="15"/>
      <c r="E672" s="15"/>
      <c r="F672" s="15"/>
      <c r="G672" s="15"/>
      <c r="H672" s="15"/>
      <c r="I672" s="15"/>
      <c r="J672" s="15"/>
      <c r="K672" s="15"/>
      <c r="L672" s="15"/>
      <c r="M672" s="15"/>
      <c r="N672" s="15"/>
      <c r="O672" s="15"/>
      <c r="P672" s="15"/>
      <c r="Q672" s="15"/>
      <c r="R672" s="15"/>
      <c r="S672" s="15"/>
      <c r="T672" s="15"/>
      <c r="U672" s="15"/>
      <c r="V672" s="15"/>
      <c r="W672" s="15"/>
      <c r="X672" s="15"/>
      <c r="Y672" s="15"/>
      <c r="Z672" s="15"/>
      <c r="AA672" s="15"/>
      <c r="AB672" s="15"/>
    </row>
    <row r="673">
      <c r="B673" s="15"/>
      <c r="C673" s="15"/>
      <c r="D673" s="15"/>
      <c r="E673" s="15"/>
      <c r="F673" s="15"/>
      <c r="G673" s="15"/>
      <c r="H673" s="15"/>
      <c r="I673" s="15"/>
      <c r="J673" s="15"/>
      <c r="K673" s="15"/>
      <c r="L673" s="15"/>
      <c r="M673" s="15"/>
      <c r="N673" s="15"/>
      <c r="O673" s="15"/>
      <c r="P673" s="15"/>
      <c r="Q673" s="15"/>
      <c r="R673" s="15"/>
      <c r="S673" s="15"/>
      <c r="T673" s="15"/>
      <c r="U673" s="15"/>
      <c r="V673" s="15"/>
      <c r="W673" s="15"/>
      <c r="X673" s="15"/>
      <c r="Y673" s="15"/>
      <c r="Z673" s="15"/>
      <c r="AA673" s="15"/>
      <c r="AB673" s="15"/>
    </row>
    <row r="674">
      <c r="B674" s="15"/>
      <c r="C674" s="15"/>
      <c r="D674" s="15"/>
      <c r="E674" s="15"/>
      <c r="F674" s="15"/>
      <c r="G674" s="15"/>
      <c r="H674" s="15"/>
      <c r="I674" s="15"/>
      <c r="J674" s="15"/>
      <c r="K674" s="15"/>
      <c r="L674" s="15"/>
      <c r="M674" s="15"/>
      <c r="N674" s="15"/>
      <c r="O674" s="15"/>
      <c r="P674" s="15"/>
      <c r="Q674" s="15"/>
      <c r="R674" s="15"/>
      <c r="S674" s="15"/>
      <c r="T674" s="15"/>
      <c r="U674" s="15"/>
      <c r="V674" s="15"/>
      <c r="W674" s="15"/>
      <c r="X674" s="15"/>
      <c r="Y674" s="15"/>
      <c r="Z674" s="15"/>
      <c r="AA674" s="15"/>
      <c r="AB674" s="15"/>
    </row>
    <row r="675">
      <c r="B675" s="15"/>
      <c r="C675" s="15"/>
      <c r="D675" s="15"/>
      <c r="E675" s="15"/>
      <c r="F675" s="15"/>
      <c r="G675" s="15"/>
      <c r="H675" s="15"/>
      <c r="I675" s="15"/>
      <c r="J675" s="15"/>
      <c r="K675" s="15"/>
      <c r="L675" s="15"/>
      <c r="M675" s="15"/>
      <c r="N675" s="15"/>
      <c r="O675" s="15"/>
      <c r="P675" s="15"/>
      <c r="Q675" s="15"/>
      <c r="R675" s="15"/>
      <c r="S675" s="15"/>
      <c r="T675" s="15"/>
      <c r="U675" s="15"/>
      <c r="V675" s="15"/>
      <c r="W675" s="15"/>
      <c r="X675" s="15"/>
      <c r="Y675" s="15"/>
      <c r="Z675" s="15"/>
      <c r="AA675" s="15"/>
      <c r="AB675" s="15"/>
    </row>
    <row r="676">
      <c r="B676" s="15"/>
      <c r="C676" s="15"/>
      <c r="D676" s="15"/>
      <c r="E676" s="15"/>
      <c r="F676" s="15"/>
      <c r="G676" s="15"/>
      <c r="H676" s="15"/>
      <c r="I676" s="15"/>
      <c r="J676" s="15"/>
      <c r="K676" s="15"/>
      <c r="L676" s="15"/>
      <c r="M676" s="15"/>
      <c r="N676" s="15"/>
      <c r="O676" s="15"/>
      <c r="P676" s="15"/>
      <c r="Q676" s="15"/>
      <c r="R676" s="15"/>
      <c r="S676" s="15"/>
      <c r="T676" s="15"/>
      <c r="U676" s="15"/>
      <c r="V676" s="15"/>
      <c r="W676" s="15"/>
      <c r="X676" s="15"/>
      <c r="Y676" s="15"/>
      <c r="Z676" s="15"/>
      <c r="AA676" s="15"/>
      <c r="AB676" s="15"/>
    </row>
    <row r="677">
      <c r="B677" s="15"/>
      <c r="C677" s="15"/>
      <c r="D677" s="15"/>
      <c r="E677" s="15"/>
      <c r="F677" s="15"/>
      <c r="G677" s="15"/>
      <c r="H677" s="15"/>
      <c r="I677" s="15"/>
      <c r="J677" s="15"/>
      <c r="K677" s="15"/>
      <c r="L677" s="15"/>
      <c r="M677" s="15"/>
      <c r="N677" s="15"/>
      <c r="O677" s="15"/>
      <c r="P677" s="15"/>
      <c r="Q677" s="15"/>
      <c r="R677" s="15"/>
      <c r="S677" s="15"/>
      <c r="T677" s="15"/>
      <c r="U677" s="15"/>
      <c r="V677" s="15"/>
      <c r="W677" s="15"/>
      <c r="X677" s="15"/>
      <c r="Y677" s="15"/>
      <c r="Z677" s="15"/>
      <c r="AA677" s="15"/>
      <c r="AB677" s="15"/>
    </row>
    <row r="678">
      <c r="B678" s="15"/>
      <c r="C678" s="15"/>
      <c r="D678" s="15"/>
      <c r="E678" s="15"/>
      <c r="F678" s="15"/>
      <c r="G678" s="15"/>
      <c r="H678" s="15"/>
      <c r="I678" s="15"/>
      <c r="J678" s="15"/>
      <c r="K678" s="15"/>
      <c r="L678" s="15"/>
      <c r="M678" s="15"/>
      <c r="N678" s="15"/>
      <c r="O678" s="15"/>
      <c r="P678" s="15"/>
      <c r="Q678" s="15"/>
      <c r="R678" s="15"/>
      <c r="S678" s="15"/>
      <c r="T678" s="15"/>
      <c r="U678" s="15"/>
      <c r="V678" s="15"/>
      <c r="W678" s="15"/>
      <c r="X678" s="15"/>
      <c r="Y678" s="15"/>
      <c r="Z678" s="15"/>
      <c r="AA678" s="15"/>
      <c r="AB678" s="15"/>
    </row>
    <row r="679">
      <c r="B679" s="15"/>
      <c r="C679" s="15"/>
      <c r="D679" s="15"/>
      <c r="E679" s="15"/>
      <c r="F679" s="15"/>
      <c r="G679" s="15"/>
      <c r="H679" s="15"/>
      <c r="I679" s="15"/>
      <c r="J679" s="15"/>
      <c r="K679" s="15"/>
      <c r="L679" s="15"/>
      <c r="M679" s="15"/>
      <c r="N679" s="15"/>
      <c r="O679" s="15"/>
      <c r="P679" s="15"/>
      <c r="Q679" s="15"/>
      <c r="R679" s="15"/>
      <c r="S679" s="15"/>
      <c r="T679" s="15"/>
      <c r="U679" s="15"/>
      <c r="V679" s="15"/>
      <c r="W679" s="15"/>
      <c r="X679" s="15"/>
      <c r="Y679" s="15"/>
      <c r="Z679" s="15"/>
      <c r="AA679" s="15"/>
      <c r="AB679" s="15"/>
    </row>
    <row r="680">
      <c r="B680" s="15"/>
      <c r="C680" s="15"/>
      <c r="D680" s="15"/>
      <c r="E680" s="15"/>
      <c r="F680" s="15"/>
      <c r="G680" s="15"/>
      <c r="H680" s="15"/>
      <c r="I680" s="15"/>
      <c r="J680" s="15"/>
      <c r="K680" s="15"/>
      <c r="L680" s="15"/>
      <c r="M680" s="15"/>
      <c r="N680" s="15"/>
      <c r="O680" s="15"/>
      <c r="P680" s="15"/>
      <c r="Q680" s="15"/>
      <c r="R680" s="15"/>
      <c r="S680" s="15"/>
      <c r="T680" s="15"/>
      <c r="U680" s="15"/>
      <c r="V680" s="15"/>
      <c r="W680" s="15"/>
      <c r="X680" s="15"/>
      <c r="Y680" s="15"/>
      <c r="Z680" s="15"/>
      <c r="AA680" s="15"/>
      <c r="AB680" s="15"/>
    </row>
    <row r="681">
      <c r="B681" s="15"/>
      <c r="C681" s="15"/>
      <c r="D681" s="15"/>
      <c r="E681" s="15"/>
      <c r="F681" s="15"/>
      <c r="G681" s="15"/>
      <c r="H681" s="15"/>
      <c r="I681" s="15"/>
      <c r="J681" s="15"/>
      <c r="K681" s="15"/>
      <c r="L681" s="15"/>
      <c r="M681" s="15"/>
      <c r="N681" s="15"/>
      <c r="O681" s="15"/>
      <c r="P681" s="15"/>
      <c r="Q681" s="15"/>
      <c r="R681" s="15"/>
      <c r="S681" s="15"/>
      <c r="T681" s="15"/>
      <c r="U681" s="15"/>
      <c r="V681" s="15"/>
      <c r="W681" s="15"/>
      <c r="X681" s="15"/>
      <c r="Y681" s="15"/>
      <c r="Z681" s="15"/>
      <c r="AA681" s="15"/>
      <c r="AB681" s="15"/>
    </row>
    <row r="682">
      <c r="B682" s="15"/>
      <c r="C682" s="15"/>
      <c r="D682" s="15"/>
      <c r="E682" s="15"/>
      <c r="F682" s="15"/>
      <c r="G682" s="15"/>
      <c r="H682" s="15"/>
      <c r="I682" s="15"/>
      <c r="J682" s="15"/>
      <c r="K682" s="15"/>
      <c r="L682" s="15"/>
      <c r="M682" s="15"/>
      <c r="N682" s="15"/>
      <c r="O682" s="15"/>
      <c r="P682" s="15"/>
      <c r="Q682" s="15"/>
      <c r="R682" s="15"/>
      <c r="S682" s="15"/>
      <c r="T682" s="15"/>
      <c r="U682" s="15"/>
      <c r="V682" s="15"/>
      <c r="W682" s="15"/>
      <c r="X682" s="15"/>
      <c r="Y682" s="15"/>
      <c r="Z682" s="15"/>
      <c r="AA682" s="15"/>
      <c r="AB682" s="15"/>
    </row>
    <row r="683">
      <c r="B683" s="15"/>
      <c r="C683" s="15"/>
      <c r="D683" s="15"/>
      <c r="E683" s="15"/>
      <c r="F683" s="15"/>
      <c r="G683" s="15"/>
      <c r="H683" s="15"/>
      <c r="I683" s="15"/>
      <c r="J683" s="15"/>
      <c r="K683" s="15"/>
      <c r="L683" s="15"/>
      <c r="M683" s="15"/>
      <c r="N683" s="15"/>
      <c r="O683" s="15"/>
      <c r="P683" s="15"/>
      <c r="Q683" s="15"/>
      <c r="R683" s="15"/>
      <c r="S683" s="15"/>
      <c r="T683" s="15"/>
      <c r="U683" s="15"/>
      <c r="V683" s="15"/>
      <c r="W683" s="15"/>
      <c r="X683" s="15"/>
      <c r="Y683" s="15"/>
      <c r="Z683" s="15"/>
      <c r="AA683" s="15"/>
      <c r="AB683" s="15"/>
    </row>
    <row r="684">
      <c r="B684" s="15"/>
      <c r="C684" s="15"/>
      <c r="D684" s="15"/>
      <c r="E684" s="15"/>
      <c r="F684" s="15"/>
      <c r="G684" s="15"/>
      <c r="H684" s="15"/>
      <c r="I684" s="15"/>
      <c r="J684" s="15"/>
      <c r="K684" s="15"/>
      <c r="L684" s="15"/>
      <c r="M684" s="15"/>
      <c r="N684" s="15"/>
      <c r="O684" s="15"/>
      <c r="P684" s="15"/>
      <c r="Q684" s="15"/>
      <c r="R684" s="15"/>
      <c r="S684" s="15"/>
      <c r="T684" s="15"/>
      <c r="U684" s="15"/>
      <c r="V684" s="15"/>
      <c r="W684" s="15"/>
      <c r="X684" s="15"/>
      <c r="Y684" s="15"/>
      <c r="Z684" s="15"/>
      <c r="AA684" s="15"/>
      <c r="AB684" s="15"/>
    </row>
    <row r="685">
      <c r="B685" s="15"/>
      <c r="C685" s="15"/>
      <c r="D685" s="15"/>
      <c r="E685" s="15"/>
      <c r="F685" s="15"/>
      <c r="G685" s="15"/>
      <c r="H685" s="15"/>
      <c r="I685" s="15"/>
      <c r="J685" s="15"/>
      <c r="K685" s="15"/>
      <c r="L685" s="15"/>
      <c r="M685" s="15"/>
      <c r="N685" s="15"/>
      <c r="O685" s="15"/>
      <c r="P685" s="15"/>
      <c r="Q685" s="15"/>
      <c r="R685" s="15"/>
      <c r="S685" s="15"/>
      <c r="T685" s="15"/>
      <c r="U685" s="15"/>
      <c r="V685" s="15"/>
      <c r="W685" s="15"/>
      <c r="X685" s="15"/>
      <c r="Y685" s="15"/>
      <c r="Z685" s="15"/>
      <c r="AA685" s="15"/>
      <c r="AB685" s="15"/>
    </row>
    <row r="686">
      <c r="B686" s="15"/>
      <c r="C686" s="15"/>
      <c r="D686" s="15"/>
      <c r="E686" s="15"/>
      <c r="F686" s="15"/>
      <c r="G686" s="15"/>
      <c r="H686" s="15"/>
      <c r="I686" s="15"/>
      <c r="J686" s="15"/>
      <c r="K686" s="15"/>
      <c r="L686" s="15"/>
      <c r="M686" s="15"/>
      <c r="N686" s="15"/>
      <c r="O686" s="15"/>
      <c r="P686" s="15"/>
      <c r="Q686" s="15"/>
      <c r="R686" s="15"/>
      <c r="S686" s="15"/>
      <c r="T686" s="15"/>
      <c r="U686" s="15"/>
      <c r="V686" s="15"/>
      <c r="W686" s="15"/>
      <c r="X686" s="15"/>
      <c r="Y686" s="15"/>
      <c r="Z686" s="15"/>
      <c r="AA686" s="15"/>
      <c r="AB686" s="15"/>
    </row>
    <row r="687">
      <c r="B687" s="15"/>
      <c r="C687" s="15"/>
      <c r="D687" s="15"/>
      <c r="E687" s="15"/>
      <c r="F687" s="15"/>
      <c r="G687" s="15"/>
      <c r="H687" s="15"/>
      <c r="I687" s="15"/>
      <c r="J687" s="15"/>
      <c r="K687" s="15"/>
      <c r="L687" s="15"/>
      <c r="M687" s="15"/>
      <c r="N687" s="15"/>
      <c r="O687" s="15"/>
      <c r="P687" s="15"/>
      <c r="Q687" s="15"/>
      <c r="R687" s="15"/>
      <c r="S687" s="15"/>
      <c r="T687" s="15"/>
      <c r="U687" s="15"/>
      <c r="V687" s="15"/>
      <c r="W687" s="15"/>
      <c r="X687" s="15"/>
      <c r="Y687" s="15"/>
      <c r="Z687" s="15"/>
      <c r="AA687" s="15"/>
      <c r="AB687" s="15"/>
    </row>
    <row r="688">
      <c r="B688" s="15"/>
      <c r="C688" s="15"/>
      <c r="D688" s="15"/>
      <c r="E688" s="15"/>
      <c r="F688" s="15"/>
      <c r="G688" s="15"/>
      <c r="H688" s="15"/>
      <c r="I688" s="15"/>
      <c r="J688" s="15"/>
      <c r="K688" s="15"/>
      <c r="L688" s="15"/>
      <c r="M688" s="15"/>
      <c r="N688" s="15"/>
      <c r="O688" s="15"/>
      <c r="P688" s="15"/>
      <c r="Q688" s="15"/>
      <c r="R688" s="15"/>
      <c r="S688" s="15"/>
      <c r="T688" s="15"/>
      <c r="U688" s="15"/>
      <c r="V688" s="15"/>
      <c r="W688" s="15"/>
      <c r="X688" s="15"/>
      <c r="Y688" s="15"/>
      <c r="Z688" s="15"/>
      <c r="AA688" s="15"/>
      <c r="AB688" s="15"/>
    </row>
    <row r="689">
      <c r="B689" s="15"/>
      <c r="C689" s="15"/>
      <c r="D689" s="15"/>
      <c r="E689" s="15"/>
      <c r="F689" s="15"/>
      <c r="G689" s="15"/>
      <c r="H689" s="15"/>
      <c r="I689" s="15"/>
      <c r="J689" s="15"/>
      <c r="K689" s="15"/>
      <c r="L689" s="15"/>
      <c r="M689" s="15"/>
      <c r="N689" s="15"/>
      <c r="O689" s="15"/>
      <c r="P689" s="15"/>
      <c r="Q689" s="15"/>
      <c r="R689" s="15"/>
      <c r="S689" s="15"/>
      <c r="T689" s="15"/>
      <c r="U689" s="15"/>
      <c r="V689" s="15"/>
      <c r="W689" s="15"/>
      <c r="X689" s="15"/>
      <c r="Y689" s="15"/>
      <c r="Z689" s="15"/>
      <c r="AA689" s="15"/>
      <c r="AB689" s="15"/>
    </row>
    <row r="690">
      <c r="B690" s="15"/>
      <c r="C690" s="15"/>
      <c r="D690" s="15"/>
      <c r="E690" s="15"/>
      <c r="F690" s="15"/>
      <c r="G690" s="15"/>
      <c r="H690" s="15"/>
      <c r="I690" s="15"/>
      <c r="J690" s="15"/>
      <c r="K690" s="15"/>
      <c r="L690" s="15"/>
      <c r="M690" s="15"/>
      <c r="N690" s="15"/>
      <c r="O690" s="15"/>
      <c r="P690" s="15"/>
      <c r="Q690" s="15"/>
      <c r="R690" s="15"/>
      <c r="S690" s="15"/>
      <c r="T690" s="15"/>
      <c r="U690" s="15"/>
      <c r="V690" s="15"/>
      <c r="W690" s="15"/>
      <c r="X690" s="15"/>
      <c r="Y690" s="15"/>
      <c r="Z690" s="15"/>
      <c r="AA690" s="15"/>
      <c r="AB690" s="15"/>
    </row>
    <row r="691">
      <c r="B691" s="15"/>
      <c r="C691" s="15"/>
      <c r="D691" s="15"/>
      <c r="E691" s="15"/>
      <c r="F691" s="15"/>
      <c r="G691" s="15"/>
      <c r="H691" s="15"/>
      <c r="I691" s="15"/>
      <c r="J691" s="15"/>
      <c r="K691" s="15"/>
      <c r="L691" s="15"/>
      <c r="M691" s="15"/>
      <c r="N691" s="15"/>
      <c r="O691" s="15"/>
      <c r="P691" s="15"/>
      <c r="Q691" s="15"/>
      <c r="R691" s="15"/>
      <c r="S691" s="15"/>
      <c r="T691" s="15"/>
      <c r="U691" s="15"/>
      <c r="V691" s="15"/>
      <c r="W691" s="15"/>
      <c r="X691" s="15"/>
      <c r="Y691" s="15"/>
      <c r="Z691" s="15"/>
      <c r="AA691" s="15"/>
      <c r="AB691" s="15"/>
    </row>
    <row r="692">
      <c r="B692" s="15"/>
      <c r="C692" s="15"/>
      <c r="D692" s="15"/>
      <c r="E692" s="15"/>
      <c r="F692" s="15"/>
      <c r="G692" s="15"/>
      <c r="H692" s="15"/>
      <c r="I692" s="15"/>
      <c r="J692" s="15"/>
      <c r="K692" s="15"/>
      <c r="L692" s="15"/>
      <c r="M692" s="15"/>
      <c r="N692" s="15"/>
      <c r="O692" s="15"/>
      <c r="P692" s="15"/>
      <c r="Q692" s="15"/>
      <c r="R692" s="15"/>
      <c r="S692" s="15"/>
      <c r="T692" s="15"/>
      <c r="U692" s="15"/>
      <c r="V692" s="15"/>
      <c r="W692" s="15"/>
      <c r="X692" s="15"/>
      <c r="Y692" s="15"/>
      <c r="Z692" s="15"/>
      <c r="AA692" s="15"/>
      <c r="AB692" s="15"/>
    </row>
    <row r="693">
      <c r="B693" s="15"/>
      <c r="C693" s="15"/>
      <c r="D693" s="15"/>
      <c r="E693" s="15"/>
      <c r="F693" s="15"/>
      <c r="G693" s="15"/>
      <c r="H693" s="15"/>
      <c r="I693" s="15"/>
      <c r="J693" s="15"/>
      <c r="K693" s="15"/>
      <c r="L693" s="15"/>
      <c r="M693" s="15"/>
      <c r="N693" s="15"/>
      <c r="O693" s="15"/>
      <c r="P693" s="15"/>
      <c r="Q693" s="15"/>
      <c r="R693" s="15"/>
      <c r="S693" s="15"/>
      <c r="T693" s="15"/>
      <c r="U693" s="15"/>
      <c r="V693" s="15"/>
      <c r="W693" s="15"/>
      <c r="X693" s="15"/>
      <c r="Y693" s="15"/>
      <c r="Z693" s="15"/>
      <c r="AA693" s="15"/>
      <c r="AB693" s="15"/>
    </row>
    <row r="694">
      <c r="B694" s="15"/>
      <c r="C694" s="15"/>
      <c r="D694" s="15"/>
      <c r="E694" s="15"/>
      <c r="F694" s="15"/>
      <c r="G694" s="15"/>
      <c r="H694" s="15"/>
      <c r="I694" s="15"/>
      <c r="J694" s="15"/>
      <c r="K694" s="15"/>
      <c r="L694" s="15"/>
      <c r="M694" s="15"/>
      <c r="N694" s="15"/>
      <c r="O694" s="15"/>
      <c r="P694" s="15"/>
      <c r="Q694" s="15"/>
      <c r="R694" s="15"/>
      <c r="S694" s="15"/>
      <c r="T694" s="15"/>
      <c r="U694" s="15"/>
      <c r="V694" s="15"/>
      <c r="W694" s="15"/>
      <c r="X694" s="15"/>
      <c r="Y694" s="15"/>
      <c r="Z694" s="15"/>
      <c r="AA694" s="15"/>
      <c r="AB694" s="15"/>
    </row>
    <row r="695">
      <c r="B695" s="15"/>
      <c r="C695" s="15"/>
      <c r="D695" s="15"/>
      <c r="E695" s="15"/>
      <c r="F695" s="15"/>
      <c r="G695" s="15"/>
      <c r="H695" s="15"/>
      <c r="I695" s="15"/>
      <c r="J695" s="15"/>
      <c r="K695" s="15"/>
      <c r="L695" s="15"/>
      <c r="M695" s="15"/>
      <c r="N695" s="15"/>
      <c r="O695" s="15"/>
      <c r="P695" s="15"/>
      <c r="Q695" s="15"/>
      <c r="R695" s="15"/>
      <c r="S695" s="15"/>
      <c r="T695" s="15"/>
      <c r="U695" s="15"/>
      <c r="V695" s="15"/>
      <c r="W695" s="15"/>
      <c r="X695" s="15"/>
      <c r="Y695" s="15"/>
      <c r="Z695" s="15"/>
      <c r="AA695" s="15"/>
      <c r="AB695" s="15"/>
    </row>
    <row r="696">
      <c r="B696" s="15"/>
      <c r="C696" s="15"/>
      <c r="D696" s="15"/>
      <c r="E696" s="15"/>
      <c r="F696" s="15"/>
      <c r="G696" s="15"/>
      <c r="H696" s="15"/>
      <c r="I696" s="15"/>
      <c r="J696" s="15"/>
      <c r="K696" s="15"/>
      <c r="L696" s="15"/>
      <c r="M696" s="15"/>
      <c r="N696" s="15"/>
      <c r="O696" s="15"/>
      <c r="P696" s="15"/>
      <c r="Q696" s="15"/>
      <c r="R696" s="15"/>
      <c r="S696" s="15"/>
      <c r="T696" s="15"/>
      <c r="U696" s="15"/>
      <c r="V696" s="15"/>
      <c r="W696" s="15"/>
      <c r="X696" s="15"/>
      <c r="Y696" s="15"/>
      <c r="Z696" s="15"/>
      <c r="AA696" s="15"/>
      <c r="AB696" s="15"/>
    </row>
    <row r="697">
      <c r="B697" s="15"/>
      <c r="C697" s="15"/>
      <c r="D697" s="15"/>
      <c r="E697" s="15"/>
      <c r="F697" s="15"/>
      <c r="G697" s="15"/>
      <c r="H697" s="15"/>
      <c r="I697" s="15"/>
      <c r="J697" s="15"/>
      <c r="K697" s="15"/>
      <c r="L697" s="15"/>
      <c r="M697" s="15"/>
      <c r="N697" s="15"/>
      <c r="O697" s="15"/>
      <c r="P697" s="15"/>
      <c r="Q697" s="15"/>
      <c r="R697" s="15"/>
      <c r="S697" s="15"/>
      <c r="T697" s="15"/>
      <c r="U697" s="15"/>
      <c r="V697" s="15"/>
      <c r="W697" s="15"/>
      <c r="X697" s="15"/>
      <c r="Y697" s="15"/>
      <c r="Z697" s="15"/>
      <c r="AA697" s="15"/>
      <c r="AB697" s="15"/>
    </row>
    <row r="698">
      <c r="B698" s="15"/>
      <c r="C698" s="15"/>
      <c r="D698" s="15"/>
      <c r="E698" s="15"/>
      <c r="F698" s="15"/>
      <c r="G698" s="15"/>
      <c r="H698" s="15"/>
      <c r="I698" s="15"/>
      <c r="J698" s="15"/>
      <c r="K698" s="15"/>
      <c r="L698" s="15"/>
      <c r="M698" s="15"/>
      <c r="N698" s="15"/>
      <c r="O698" s="15"/>
      <c r="P698" s="15"/>
      <c r="Q698" s="15"/>
      <c r="R698" s="15"/>
      <c r="S698" s="15"/>
      <c r="T698" s="15"/>
      <c r="U698" s="15"/>
      <c r="V698" s="15"/>
      <c r="W698" s="15"/>
      <c r="X698" s="15"/>
      <c r="Y698" s="15"/>
      <c r="Z698" s="15"/>
      <c r="AA698" s="15"/>
      <c r="AB698" s="15"/>
    </row>
    <row r="699">
      <c r="B699" s="15"/>
      <c r="C699" s="15"/>
      <c r="D699" s="15"/>
      <c r="E699" s="15"/>
      <c r="F699" s="15"/>
      <c r="G699" s="15"/>
      <c r="H699" s="15"/>
      <c r="I699" s="15"/>
      <c r="J699" s="15"/>
      <c r="K699" s="15"/>
      <c r="L699" s="15"/>
      <c r="M699" s="15"/>
      <c r="N699" s="15"/>
      <c r="O699" s="15"/>
      <c r="P699" s="15"/>
      <c r="Q699" s="15"/>
      <c r="R699" s="15"/>
      <c r="S699" s="15"/>
      <c r="T699" s="15"/>
      <c r="U699" s="15"/>
      <c r="V699" s="15"/>
      <c r="W699" s="15"/>
      <c r="X699" s="15"/>
      <c r="Y699" s="15"/>
      <c r="Z699" s="15"/>
      <c r="AA699" s="15"/>
      <c r="AB699" s="15"/>
    </row>
    <row r="700">
      <c r="B700" s="15"/>
      <c r="C700" s="15"/>
      <c r="D700" s="15"/>
      <c r="E700" s="15"/>
      <c r="F700" s="15"/>
      <c r="G700" s="15"/>
      <c r="H700" s="15"/>
      <c r="I700" s="15"/>
      <c r="J700" s="15"/>
      <c r="K700" s="15"/>
      <c r="L700" s="15"/>
      <c r="M700" s="15"/>
      <c r="N700" s="15"/>
      <c r="O700" s="15"/>
      <c r="P700" s="15"/>
      <c r="Q700" s="15"/>
      <c r="R700" s="15"/>
      <c r="S700" s="15"/>
      <c r="T700" s="15"/>
      <c r="U700" s="15"/>
      <c r="V700" s="15"/>
      <c r="W700" s="15"/>
      <c r="X700" s="15"/>
      <c r="Y700" s="15"/>
      <c r="Z700" s="15"/>
      <c r="AA700" s="15"/>
      <c r="AB700" s="15"/>
    </row>
    <row r="701">
      <c r="B701" s="15"/>
      <c r="C701" s="15"/>
      <c r="D701" s="15"/>
      <c r="E701" s="15"/>
      <c r="F701" s="15"/>
      <c r="G701" s="15"/>
      <c r="H701" s="15"/>
      <c r="I701" s="15"/>
      <c r="J701" s="15"/>
      <c r="K701" s="15"/>
      <c r="L701" s="15"/>
      <c r="M701" s="15"/>
      <c r="N701" s="15"/>
      <c r="O701" s="15"/>
      <c r="P701" s="15"/>
      <c r="Q701" s="15"/>
      <c r="R701" s="15"/>
      <c r="S701" s="15"/>
      <c r="T701" s="15"/>
      <c r="U701" s="15"/>
      <c r="V701" s="15"/>
      <c r="W701" s="15"/>
      <c r="X701" s="15"/>
      <c r="Y701" s="15"/>
      <c r="Z701" s="15"/>
      <c r="AA701" s="15"/>
      <c r="AB701" s="15"/>
    </row>
    <row r="702">
      <c r="B702" s="15"/>
      <c r="C702" s="15"/>
      <c r="D702" s="15"/>
      <c r="E702" s="15"/>
      <c r="F702" s="15"/>
      <c r="G702" s="15"/>
      <c r="H702" s="15"/>
      <c r="I702" s="15"/>
      <c r="J702" s="15"/>
      <c r="K702" s="15"/>
      <c r="L702" s="15"/>
      <c r="M702" s="15"/>
      <c r="N702" s="15"/>
      <c r="O702" s="15"/>
      <c r="P702" s="15"/>
      <c r="Q702" s="15"/>
      <c r="R702" s="15"/>
      <c r="S702" s="15"/>
      <c r="T702" s="15"/>
      <c r="U702" s="15"/>
      <c r="V702" s="15"/>
      <c r="W702" s="15"/>
      <c r="X702" s="15"/>
      <c r="Y702" s="15"/>
      <c r="Z702" s="15"/>
      <c r="AA702" s="15"/>
      <c r="AB702" s="15"/>
    </row>
    <row r="703">
      <c r="B703" s="15"/>
      <c r="C703" s="15"/>
      <c r="D703" s="15"/>
      <c r="E703" s="15"/>
      <c r="F703" s="15"/>
      <c r="G703" s="15"/>
      <c r="H703" s="15"/>
      <c r="I703" s="15"/>
      <c r="J703" s="15"/>
      <c r="K703" s="15"/>
      <c r="L703" s="15"/>
      <c r="M703" s="15"/>
      <c r="N703" s="15"/>
      <c r="O703" s="15"/>
      <c r="P703" s="15"/>
      <c r="Q703" s="15"/>
      <c r="R703" s="15"/>
      <c r="S703" s="15"/>
      <c r="T703" s="15"/>
      <c r="U703" s="15"/>
      <c r="V703" s="15"/>
      <c r="W703" s="15"/>
      <c r="X703" s="15"/>
      <c r="Y703" s="15"/>
      <c r="Z703" s="15"/>
      <c r="AA703" s="15"/>
      <c r="AB703" s="15"/>
    </row>
    <row r="704">
      <c r="B704" s="15"/>
      <c r="C704" s="15"/>
      <c r="D704" s="15"/>
      <c r="E704" s="15"/>
      <c r="F704" s="15"/>
      <c r="G704" s="15"/>
      <c r="H704" s="15"/>
      <c r="I704" s="15"/>
      <c r="J704" s="15"/>
      <c r="K704" s="15"/>
      <c r="L704" s="15"/>
      <c r="M704" s="15"/>
      <c r="N704" s="15"/>
      <c r="O704" s="15"/>
      <c r="P704" s="15"/>
      <c r="Q704" s="15"/>
      <c r="R704" s="15"/>
      <c r="S704" s="15"/>
      <c r="T704" s="15"/>
      <c r="U704" s="15"/>
      <c r="V704" s="15"/>
      <c r="W704" s="15"/>
      <c r="X704" s="15"/>
      <c r="Y704" s="15"/>
      <c r="Z704" s="15"/>
      <c r="AA704" s="15"/>
      <c r="AB704" s="15"/>
    </row>
    <row r="705">
      <c r="B705" s="15"/>
      <c r="C705" s="15"/>
      <c r="D705" s="15"/>
      <c r="E705" s="15"/>
      <c r="F705" s="15"/>
      <c r="G705" s="15"/>
      <c r="H705" s="15"/>
      <c r="I705" s="15"/>
      <c r="J705" s="15"/>
      <c r="K705" s="15"/>
      <c r="L705" s="15"/>
      <c r="M705" s="15"/>
      <c r="N705" s="15"/>
      <c r="O705" s="15"/>
      <c r="P705" s="15"/>
      <c r="Q705" s="15"/>
      <c r="R705" s="15"/>
      <c r="S705" s="15"/>
      <c r="T705" s="15"/>
      <c r="U705" s="15"/>
      <c r="V705" s="15"/>
      <c r="W705" s="15"/>
      <c r="X705" s="15"/>
      <c r="Y705" s="15"/>
      <c r="Z705" s="15"/>
      <c r="AA705" s="15"/>
      <c r="AB705" s="15"/>
    </row>
    <row r="706">
      <c r="B706" s="15"/>
      <c r="C706" s="15"/>
      <c r="D706" s="15"/>
      <c r="E706" s="15"/>
      <c r="F706" s="15"/>
      <c r="G706" s="15"/>
      <c r="H706" s="15"/>
      <c r="I706" s="15"/>
      <c r="J706" s="15"/>
      <c r="K706" s="15"/>
      <c r="L706" s="15"/>
      <c r="M706" s="15"/>
      <c r="N706" s="15"/>
      <c r="O706" s="15"/>
      <c r="P706" s="15"/>
      <c r="Q706" s="15"/>
      <c r="R706" s="15"/>
      <c r="S706" s="15"/>
      <c r="T706" s="15"/>
      <c r="U706" s="15"/>
      <c r="V706" s="15"/>
      <c r="W706" s="15"/>
      <c r="X706" s="15"/>
      <c r="Y706" s="15"/>
      <c r="Z706" s="15"/>
      <c r="AA706" s="15"/>
      <c r="AB706" s="15"/>
    </row>
    <row r="707">
      <c r="B707" s="15"/>
      <c r="C707" s="15"/>
      <c r="D707" s="15"/>
      <c r="E707" s="15"/>
      <c r="F707" s="15"/>
      <c r="G707" s="15"/>
      <c r="H707" s="15"/>
      <c r="I707" s="15"/>
      <c r="J707" s="15"/>
      <c r="K707" s="15"/>
      <c r="L707" s="15"/>
      <c r="M707" s="15"/>
      <c r="N707" s="15"/>
      <c r="O707" s="15"/>
      <c r="P707" s="15"/>
      <c r="Q707" s="15"/>
      <c r="R707" s="15"/>
      <c r="S707" s="15"/>
      <c r="T707" s="15"/>
      <c r="U707" s="15"/>
      <c r="V707" s="15"/>
      <c r="W707" s="15"/>
      <c r="X707" s="15"/>
      <c r="Y707" s="15"/>
      <c r="Z707" s="15"/>
      <c r="AA707" s="15"/>
      <c r="AB707" s="15"/>
    </row>
    <row r="708">
      <c r="B708" s="15"/>
      <c r="C708" s="15"/>
      <c r="D708" s="15"/>
      <c r="E708" s="15"/>
      <c r="F708" s="15"/>
      <c r="G708" s="15"/>
      <c r="H708" s="15"/>
      <c r="I708" s="15"/>
      <c r="J708" s="15"/>
      <c r="K708" s="15"/>
      <c r="L708" s="15"/>
      <c r="M708" s="15"/>
      <c r="N708" s="15"/>
      <c r="O708" s="15"/>
      <c r="P708" s="15"/>
      <c r="Q708" s="15"/>
      <c r="R708" s="15"/>
      <c r="S708" s="15"/>
      <c r="T708" s="15"/>
      <c r="U708" s="15"/>
      <c r="V708" s="15"/>
      <c r="W708" s="15"/>
      <c r="X708" s="15"/>
      <c r="Y708" s="15"/>
      <c r="Z708" s="15"/>
      <c r="AA708" s="15"/>
      <c r="AB708" s="15"/>
    </row>
    <row r="709">
      <c r="B709" s="15"/>
      <c r="C709" s="15"/>
      <c r="D709" s="15"/>
      <c r="E709" s="15"/>
      <c r="F709" s="15"/>
      <c r="G709" s="15"/>
      <c r="H709" s="15"/>
      <c r="I709" s="15"/>
      <c r="J709" s="15"/>
      <c r="K709" s="15"/>
      <c r="L709" s="15"/>
      <c r="M709" s="15"/>
      <c r="N709" s="15"/>
      <c r="O709" s="15"/>
      <c r="P709" s="15"/>
      <c r="Q709" s="15"/>
      <c r="R709" s="15"/>
      <c r="S709" s="15"/>
      <c r="T709" s="15"/>
      <c r="U709" s="15"/>
      <c r="V709" s="15"/>
      <c r="W709" s="15"/>
      <c r="X709" s="15"/>
      <c r="Y709" s="15"/>
      <c r="Z709" s="15"/>
      <c r="AA709" s="15"/>
      <c r="AB709" s="15"/>
    </row>
    <row r="710">
      <c r="B710" s="15"/>
      <c r="C710" s="15"/>
      <c r="D710" s="15"/>
      <c r="E710" s="15"/>
      <c r="F710" s="15"/>
      <c r="G710" s="15"/>
      <c r="H710" s="15"/>
      <c r="I710" s="15"/>
      <c r="J710" s="15"/>
      <c r="K710" s="15"/>
      <c r="L710" s="15"/>
      <c r="M710" s="15"/>
      <c r="N710" s="15"/>
      <c r="O710" s="15"/>
      <c r="P710" s="15"/>
      <c r="Q710" s="15"/>
      <c r="R710" s="15"/>
      <c r="S710" s="15"/>
      <c r="T710" s="15"/>
      <c r="U710" s="15"/>
      <c r="V710" s="15"/>
      <c r="W710" s="15"/>
      <c r="X710" s="15"/>
      <c r="Y710" s="15"/>
      <c r="Z710" s="15"/>
      <c r="AA710" s="15"/>
      <c r="AB710" s="15"/>
    </row>
    <row r="711">
      <c r="B711" s="15"/>
      <c r="C711" s="15"/>
      <c r="D711" s="15"/>
      <c r="E711" s="15"/>
      <c r="F711" s="15"/>
      <c r="G711" s="15"/>
      <c r="H711" s="15"/>
      <c r="I711" s="15"/>
      <c r="J711" s="15"/>
      <c r="K711" s="15"/>
      <c r="L711" s="15"/>
      <c r="M711" s="15"/>
      <c r="N711" s="15"/>
      <c r="O711" s="15"/>
      <c r="P711" s="15"/>
      <c r="Q711" s="15"/>
      <c r="R711" s="15"/>
      <c r="S711" s="15"/>
      <c r="T711" s="15"/>
      <c r="U711" s="15"/>
      <c r="V711" s="15"/>
      <c r="W711" s="15"/>
      <c r="X711" s="15"/>
      <c r="Y711" s="15"/>
      <c r="Z711" s="15"/>
      <c r="AA711" s="15"/>
      <c r="AB711" s="15"/>
    </row>
    <row r="712">
      <c r="B712" s="15"/>
      <c r="C712" s="15"/>
      <c r="D712" s="15"/>
      <c r="E712" s="15"/>
      <c r="F712" s="15"/>
      <c r="G712" s="15"/>
      <c r="H712" s="15"/>
      <c r="I712" s="15"/>
      <c r="J712" s="15"/>
      <c r="K712" s="15"/>
      <c r="L712" s="15"/>
      <c r="M712" s="15"/>
      <c r="N712" s="15"/>
      <c r="O712" s="15"/>
      <c r="P712" s="15"/>
      <c r="Q712" s="15"/>
      <c r="R712" s="15"/>
      <c r="S712" s="15"/>
      <c r="T712" s="15"/>
      <c r="U712" s="15"/>
      <c r="V712" s="15"/>
      <c r="W712" s="15"/>
      <c r="X712" s="15"/>
      <c r="Y712" s="15"/>
      <c r="Z712" s="15"/>
      <c r="AA712" s="15"/>
      <c r="AB712" s="15"/>
    </row>
    <row r="713">
      <c r="B713" s="15"/>
      <c r="C713" s="15"/>
      <c r="D713" s="15"/>
      <c r="E713" s="15"/>
      <c r="F713" s="15"/>
      <c r="G713" s="15"/>
      <c r="H713" s="15"/>
      <c r="I713" s="15"/>
      <c r="J713" s="15"/>
      <c r="K713" s="15"/>
      <c r="L713" s="15"/>
      <c r="M713" s="15"/>
      <c r="N713" s="15"/>
      <c r="O713" s="15"/>
      <c r="P713" s="15"/>
      <c r="Q713" s="15"/>
      <c r="R713" s="15"/>
      <c r="S713" s="15"/>
      <c r="T713" s="15"/>
      <c r="U713" s="15"/>
      <c r="V713" s="15"/>
      <c r="W713" s="15"/>
      <c r="X713" s="15"/>
      <c r="Y713" s="15"/>
      <c r="Z713" s="15"/>
      <c r="AA713" s="15"/>
      <c r="AB713" s="15"/>
    </row>
    <row r="714">
      <c r="B714" s="15"/>
      <c r="C714" s="15"/>
      <c r="D714" s="15"/>
      <c r="E714" s="15"/>
      <c r="F714" s="15"/>
      <c r="G714" s="15"/>
      <c r="H714" s="15"/>
      <c r="I714" s="15"/>
      <c r="J714" s="15"/>
      <c r="K714" s="15"/>
      <c r="L714" s="15"/>
      <c r="M714" s="15"/>
      <c r="N714" s="15"/>
      <c r="O714" s="15"/>
      <c r="P714" s="15"/>
      <c r="Q714" s="15"/>
      <c r="R714" s="15"/>
      <c r="S714" s="15"/>
      <c r="T714" s="15"/>
      <c r="U714" s="15"/>
      <c r="V714" s="15"/>
      <c r="W714" s="15"/>
      <c r="X714" s="15"/>
      <c r="Y714" s="15"/>
      <c r="Z714" s="15"/>
      <c r="AA714" s="15"/>
      <c r="AB714" s="15"/>
    </row>
    <row r="715">
      <c r="B715" s="15"/>
      <c r="C715" s="15"/>
      <c r="D715" s="15"/>
      <c r="E715" s="15"/>
      <c r="F715" s="15"/>
      <c r="G715" s="15"/>
      <c r="H715" s="15"/>
      <c r="I715" s="15"/>
      <c r="J715" s="15"/>
      <c r="K715" s="15"/>
      <c r="L715" s="15"/>
      <c r="M715" s="15"/>
      <c r="N715" s="15"/>
      <c r="O715" s="15"/>
      <c r="P715" s="15"/>
      <c r="Q715" s="15"/>
      <c r="R715" s="15"/>
      <c r="S715" s="15"/>
      <c r="T715" s="15"/>
      <c r="U715" s="15"/>
      <c r="V715" s="15"/>
      <c r="W715" s="15"/>
      <c r="X715" s="15"/>
      <c r="Y715" s="15"/>
      <c r="Z715" s="15"/>
      <c r="AA715" s="15"/>
      <c r="AB715" s="15"/>
    </row>
    <row r="716">
      <c r="B716" s="15"/>
      <c r="C716" s="15"/>
      <c r="D716" s="15"/>
      <c r="E716" s="15"/>
      <c r="F716" s="15"/>
      <c r="G716" s="15"/>
      <c r="H716" s="15"/>
      <c r="I716" s="15"/>
      <c r="J716" s="15"/>
      <c r="K716" s="15"/>
      <c r="L716" s="15"/>
      <c r="M716" s="15"/>
      <c r="N716" s="15"/>
      <c r="O716" s="15"/>
      <c r="P716" s="15"/>
      <c r="Q716" s="15"/>
      <c r="R716" s="15"/>
      <c r="S716" s="15"/>
      <c r="T716" s="15"/>
      <c r="U716" s="15"/>
      <c r="V716" s="15"/>
      <c r="W716" s="15"/>
      <c r="X716" s="15"/>
      <c r="Y716" s="15"/>
      <c r="Z716" s="15"/>
      <c r="AA716" s="15"/>
      <c r="AB716" s="15"/>
    </row>
    <row r="717">
      <c r="B717" s="15"/>
      <c r="C717" s="15"/>
      <c r="D717" s="15"/>
      <c r="E717" s="15"/>
      <c r="F717" s="15"/>
      <c r="G717" s="15"/>
      <c r="H717" s="15"/>
      <c r="I717" s="15"/>
      <c r="J717" s="15"/>
      <c r="K717" s="15"/>
      <c r="L717" s="15"/>
      <c r="M717" s="15"/>
      <c r="N717" s="15"/>
      <c r="O717" s="15"/>
      <c r="P717" s="15"/>
      <c r="Q717" s="15"/>
      <c r="R717" s="15"/>
      <c r="S717" s="15"/>
      <c r="T717" s="15"/>
      <c r="U717" s="15"/>
      <c r="V717" s="15"/>
      <c r="W717" s="15"/>
      <c r="X717" s="15"/>
      <c r="Y717" s="15"/>
      <c r="Z717" s="15"/>
      <c r="AA717" s="15"/>
      <c r="AB717" s="15"/>
    </row>
    <row r="718">
      <c r="B718" s="15"/>
      <c r="C718" s="15"/>
      <c r="D718" s="15"/>
      <c r="E718" s="15"/>
      <c r="F718" s="15"/>
      <c r="G718" s="15"/>
      <c r="H718" s="15"/>
      <c r="I718" s="15"/>
      <c r="J718" s="15"/>
      <c r="K718" s="15"/>
      <c r="L718" s="15"/>
      <c r="M718" s="15"/>
      <c r="N718" s="15"/>
      <c r="O718" s="15"/>
      <c r="P718" s="15"/>
      <c r="Q718" s="15"/>
      <c r="R718" s="15"/>
      <c r="S718" s="15"/>
      <c r="T718" s="15"/>
      <c r="U718" s="15"/>
      <c r="V718" s="15"/>
      <c r="W718" s="15"/>
      <c r="X718" s="15"/>
      <c r="Y718" s="15"/>
      <c r="Z718" s="15"/>
      <c r="AA718" s="15"/>
      <c r="AB718" s="15"/>
    </row>
    <row r="719">
      <c r="B719" s="15"/>
      <c r="C719" s="15"/>
      <c r="D719" s="15"/>
      <c r="E719" s="15"/>
      <c r="F719" s="15"/>
      <c r="G719" s="15"/>
      <c r="H719" s="15"/>
      <c r="I719" s="15"/>
      <c r="J719" s="15"/>
      <c r="K719" s="15"/>
      <c r="L719" s="15"/>
      <c r="M719" s="15"/>
      <c r="N719" s="15"/>
      <c r="O719" s="15"/>
      <c r="P719" s="15"/>
      <c r="Q719" s="15"/>
      <c r="R719" s="15"/>
      <c r="S719" s="15"/>
      <c r="T719" s="15"/>
      <c r="U719" s="15"/>
      <c r="V719" s="15"/>
      <c r="W719" s="15"/>
      <c r="X719" s="15"/>
      <c r="Y719" s="15"/>
      <c r="Z719" s="15"/>
      <c r="AA719" s="15"/>
      <c r="AB719" s="15"/>
    </row>
    <row r="720">
      <c r="B720" s="15"/>
      <c r="C720" s="15"/>
      <c r="D720" s="15"/>
      <c r="E720" s="15"/>
      <c r="F720" s="15"/>
      <c r="G720" s="15"/>
      <c r="H720" s="15"/>
      <c r="I720" s="15"/>
      <c r="J720" s="15"/>
      <c r="K720" s="15"/>
      <c r="L720" s="15"/>
      <c r="M720" s="15"/>
      <c r="N720" s="15"/>
      <c r="O720" s="15"/>
      <c r="P720" s="15"/>
      <c r="Q720" s="15"/>
      <c r="R720" s="15"/>
      <c r="S720" s="15"/>
      <c r="T720" s="15"/>
      <c r="U720" s="15"/>
      <c r="V720" s="15"/>
      <c r="W720" s="15"/>
      <c r="X720" s="15"/>
      <c r="Y720" s="15"/>
      <c r="Z720" s="15"/>
      <c r="AA720" s="15"/>
      <c r="AB720" s="15"/>
    </row>
    <row r="721">
      <c r="B721" s="15"/>
      <c r="C721" s="15"/>
      <c r="D721" s="15"/>
      <c r="E721" s="15"/>
      <c r="F721" s="15"/>
      <c r="G721" s="15"/>
      <c r="H721" s="15"/>
      <c r="I721" s="15"/>
      <c r="J721" s="15"/>
      <c r="K721" s="15"/>
      <c r="L721" s="15"/>
      <c r="M721" s="15"/>
      <c r="N721" s="15"/>
      <c r="O721" s="15"/>
      <c r="P721" s="15"/>
      <c r="Q721" s="15"/>
      <c r="R721" s="15"/>
      <c r="S721" s="15"/>
      <c r="T721" s="15"/>
      <c r="U721" s="15"/>
      <c r="V721" s="15"/>
      <c r="W721" s="15"/>
      <c r="X721" s="15"/>
      <c r="Y721" s="15"/>
      <c r="Z721" s="15"/>
      <c r="AA721" s="15"/>
      <c r="AB721" s="15"/>
    </row>
    <row r="722">
      <c r="B722" s="15"/>
      <c r="C722" s="15"/>
      <c r="D722" s="15"/>
      <c r="E722" s="15"/>
      <c r="F722" s="15"/>
      <c r="G722" s="15"/>
      <c r="H722" s="15"/>
      <c r="I722" s="15"/>
      <c r="J722" s="15"/>
      <c r="K722" s="15"/>
      <c r="L722" s="15"/>
      <c r="M722" s="15"/>
      <c r="N722" s="15"/>
      <c r="O722" s="15"/>
      <c r="P722" s="15"/>
      <c r="Q722" s="15"/>
      <c r="R722" s="15"/>
      <c r="S722" s="15"/>
      <c r="T722" s="15"/>
      <c r="U722" s="15"/>
      <c r="V722" s="15"/>
      <c r="W722" s="15"/>
      <c r="X722" s="15"/>
      <c r="Y722" s="15"/>
      <c r="Z722" s="15"/>
      <c r="AA722" s="15"/>
      <c r="AB722" s="15"/>
    </row>
    <row r="723">
      <c r="B723" s="15"/>
      <c r="C723" s="15"/>
      <c r="D723" s="15"/>
      <c r="E723" s="15"/>
      <c r="F723" s="15"/>
      <c r="G723" s="15"/>
      <c r="H723" s="15"/>
      <c r="I723" s="15"/>
      <c r="J723" s="15"/>
      <c r="K723" s="15"/>
      <c r="L723" s="15"/>
      <c r="M723" s="15"/>
      <c r="N723" s="15"/>
      <c r="O723" s="15"/>
      <c r="P723" s="15"/>
      <c r="Q723" s="15"/>
      <c r="R723" s="15"/>
      <c r="S723" s="15"/>
      <c r="T723" s="15"/>
      <c r="U723" s="15"/>
      <c r="V723" s="15"/>
      <c r="W723" s="15"/>
      <c r="X723" s="15"/>
      <c r="Y723" s="15"/>
      <c r="Z723" s="15"/>
      <c r="AA723" s="15"/>
      <c r="AB723" s="15"/>
    </row>
    <row r="724">
      <c r="B724" s="15"/>
      <c r="C724" s="15"/>
      <c r="D724" s="15"/>
      <c r="E724" s="15"/>
      <c r="F724" s="15"/>
      <c r="G724" s="15"/>
      <c r="H724" s="15"/>
      <c r="I724" s="15"/>
      <c r="J724" s="15"/>
      <c r="K724" s="15"/>
      <c r="L724" s="15"/>
      <c r="M724" s="15"/>
      <c r="N724" s="15"/>
      <c r="O724" s="15"/>
      <c r="P724" s="15"/>
      <c r="Q724" s="15"/>
      <c r="R724" s="15"/>
      <c r="S724" s="15"/>
      <c r="T724" s="15"/>
      <c r="U724" s="15"/>
      <c r="V724" s="15"/>
      <c r="W724" s="15"/>
      <c r="X724" s="15"/>
      <c r="Y724" s="15"/>
      <c r="Z724" s="15"/>
      <c r="AA724" s="15"/>
      <c r="AB724" s="15"/>
    </row>
    <row r="725">
      <c r="B725" s="15"/>
      <c r="C725" s="15"/>
      <c r="D725" s="15"/>
      <c r="E725" s="15"/>
      <c r="F725" s="15"/>
      <c r="G725" s="15"/>
      <c r="H725" s="15"/>
      <c r="I725" s="15"/>
      <c r="J725" s="15"/>
      <c r="K725" s="15"/>
      <c r="L725" s="15"/>
      <c r="M725" s="15"/>
      <c r="N725" s="15"/>
      <c r="O725" s="15"/>
      <c r="P725" s="15"/>
      <c r="Q725" s="15"/>
      <c r="R725" s="15"/>
      <c r="S725" s="15"/>
      <c r="T725" s="15"/>
      <c r="U725" s="15"/>
      <c r="V725" s="15"/>
      <c r="W725" s="15"/>
      <c r="X725" s="15"/>
      <c r="Y725" s="15"/>
      <c r="Z725" s="15"/>
      <c r="AA725" s="15"/>
      <c r="AB725" s="15"/>
    </row>
    <row r="726">
      <c r="B726" s="15"/>
      <c r="C726" s="15"/>
      <c r="D726" s="15"/>
      <c r="E726" s="15"/>
      <c r="F726" s="15"/>
      <c r="G726" s="15"/>
      <c r="H726" s="15"/>
      <c r="I726" s="15"/>
      <c r="J726" s="15"/>
      <c r="K726" s="15"/>
      <c r="L726" s="15"/>
      <c r="M726" s="15"/>
      <c r="N726" s="15"/>
      <c r="O726" s="15"/>
      <c r="P726" s="15"/>
      <c r="Q726" s="15"/>
      <c r="R726" s="15"/>
      <c r="S726" s="15"/>
      <c r="T726" s="15"/>
      <c r="U726" s="15"/>
      <c r="V726" s="15"/>
      <c r="W726" s="15"/>
      <c r="X726" s="15"/>
      <c r="Y726" s="15"/>
      <c r="Z726" s="15"/>
      <c r="AA726" s="15"/>
      <c r="AB726" s="15"/>
    </row>
    <row r="727">
      <c r="B727" s="15"/>
      <c r="C727" s="15"/>
      <c r="D727" s="15"/>
      <c r="E727" s="15"/>
      <c r="F727" s="15"/>
      <c r="G727" s="15"/>
      <c r="H727" s="15"/>
      <c r="I727" s="15"/>
      <c r="J727" s="15"/>
      <c r="K727" s="15"/>
      <c r="L727" s="15"/>
      <c r="M727" s="15"/>
      <c r="N727" s="15"/>
      <c r="O727" s="15"/>
      <c r="P727" s="15"/>
      <c r="Q727" s="15"/>
      <c r="R727" s="15"/>
      <c r="S727" s="15"/>
      <c r="T727" s="15"/>
      <c r="U727" s="15"/>
      <c r="V727" s="15"/>
      <c r="W727" s="15"/>
      <c r="X727" s="15"/>
      <c r="Y727" s="15"/>
      <c r="Z727" s="15"/>
      <c r="AA727" s="15"/>
      <c r="AB727" s="15"/>
    </row>
    <row r="728">
      <c r="B728" s="15"/>
      <c r="C728" s="15"/>
      <c r="D728" s="15"/>
      <c r="E728" s="15"/>
      <c r="F728" s="15"/>
      <c r="G728" s="15"/>
      <c r="H728" s="15"/>
      <c r="I728" s="15"/>
      <c r="J728" s="15"/>
      <c r="K728" s="15"/>
      <c r="L728" s="15"/>
      <c r="M728" s="15"/>
      <c r="N728" s="15"/>
      <c r="O728" s="15"/>
      <c r="P728" s="15"/>
      <c r="Q728" s="15"/>
      <c r="R728" s="15"/>
      <c r="S728" s="15"/>
      <c r="T728" s="15"/>
      <c r="U728" s="15"/>
      <c r="V728" s="15"/>
      <c r="W728" s="15"/>
      <c r="X728" s="15"/>
      <c r="Y728" s="15"/>
      <c r="Z728" s="15"/>
      <c r="AA728" s="15"/>
      <c r="AB728" s="15"/>
    </row>
    <row r="729">
      <c r="B729" s="15"/>
      <c r="C729" s="15"/>
      <c r="D729" s="15"/>
      <c r="E729" s="15"/>
      <c r="F729" s="15"/>
      <c r="G729" s="15"/>
      <c r="H729" s="15"/>
      <c r="I729" s="15"/>
      <c r="J729" s="15"/>
      <c r="K729" s="15"/>
      <c r="L729" s="15"/>
      <c r="M729" s="15"/>
      <c r="N729" s="15"/>
      <c r="O729" s="15"/>
      <c r="P729" s="15"/>
      <c r="Q729" s="15"/>
      <c r="R729" s="15"/>
      <c r="S729" s="15"/>
      <c r="T729" s="15"/>
      <c r="U729" s="15"/>
      <c r="V729" s="15"/>
      <c r="W729" s="15"/>
      <c r="X729" s="15"/>
      <c r="Y729" s="15"/>
      <c r="Z729" s="15"/>
      <c r="AA729" s="15"/>
      <c r="AB729" s="15"/>
    </row>
    <row r="730">
      <c r="B730" s="15"/>
      <c r="C730" s="15"/>
      <c r="D730" s="15"/>
      <c r="E730" s="15"/>
      <c r="F730" s="15"/>
      <c r="G730" s="15"/>
      <c r="H730" s="15"/>
      <c r="I730" s="15"/>
      <c r="J730" s="15"/>
      <c r="K730" s="15"/>
      <c r="L730" s="15"/>
      <c r="M730" s="15"/>
      <c r="N730" s="15"/>
      <c r="O730" s="15"/>
      <c r="P730" s="15"/>
      <c r="Q730" s="15"/>
      <c r="R730" s="15"/>
      <c r="S730" s="15"/>
      <c r="T730" s="15"/>
      <c r="U730" s="15"/>
      <c r="V730" s="15"/>
      <c r="W730" s="15"/>
      <c r="X730" s="15"/>
      <c r="Y730" s="15"/>
      <c r="Z730" s="15"/>
      <c r="AA730" s="15"/>
      <c r="AB730" s="15"/>
    </row>
    <row r="731">
      <c r="B731" s="15"/>
      <c r="C731" s="15"/>
      <c r="D731" s="15"/>
      <c r="E731" s="15"/>
      <c r="F731" s="15"/>
      <c r="G731" s="15"/>
      <c r="H731" s="15"/>
      <c r="I731" s="15"/>
      <c r="J731" s="15"/>
      <c r="K731" s="15"/>
      <c r="L731" s="15"/>
      <c r="M731" s="15"/>
      <c r="N731" s="15"/>
      <c r="O731" s="15"/>
      <c r="P731" s="15"/>
      <c r="Q731" s="15"/>
      <c r="R731" s="15"/>
      <c r="S731" s="15"/>
      <c r="T731" s="15"/>
      <c r="U731" s="15"/>
      <c r="V731" s="15"/>
      <c r="W731" s="15"/>
      <c r="X731" s="15"/>
      <c r="Y731" s="15"/>
      <c r="Z731" s="15"/>
      <c r="AA731" s="15"/>
      <c r="AB731" s="15"/>
    </row>
    <row r="732">
      <c r="B732" s="15"/>
      <c r="C732" s="15"/>
      <c r="D732" s="15"/>
      <c r="E732" s="15"/>
      <c r="F732" s="15"/>
      <c r="G732" s="15"/>
      <c r="H732" s="15"/>
      <c r="I732" s="15"/>
      <c r="J732" s="15"/>
      <c r="K732" s="15"/>
      <c r="L732" s="15"/>
      <c r="M732" s="15"/>
      <c r="N732" s="15"/>
      <c r="O732" s="15"/>
      <c r="P732" s="15"/>
      <c r="Q732" s="15"/>
      <c r="R732" s="15"/>
      <c r="S732" s="15"/>
      <c r="T732" s="15"/>
      <c r="U732" s="15"/>
      <c r="V732" s="15"/>
      <c r="W732" s="15"/>
      <c r="X732" s="15"/>
      <c r="Y732" s="15"/>
      <c r="Z732" s="15"/>
      <c r="AA732" s="15"/>
      <c r="AB732" s="15"/>
    </row>
    <row r="733">
      <c r="B733" s="15"/>
      <c r="C733" s="15"/>
      <c r="D733" s="15"/>
      <c r="E733" s="15"/>
      <c r="F733" s="15"/>
      <c r="G733" s="15"/>
      <c r="H733" s="15"/>
      <c r="I733" s="15"/>
      <c r="J733" s="15"/>
      <c r="K733" s="15"/>
      <c r="L733" s="15"/>
      <c r="M733" s="15"/>
      <c r="N733" s="15"/>
      <c r="O733" s="15"/>
      <c r="P733" s="15"/>
      <c r="Q733" s="15"/>
      <c r="R733" s="15"/>
      <c r="S733" s="15"/>
      <c r="T733" s="15"/>
      <c r="U733" s="15"/>
      <c r="V733" s="15"/>
      <c r="W733" s="15"/>
      <c r="X733" s="15"/>
      <c r="Y733" s="15"/>
      <c r="Z733" s="15"/>
      <c r="AA733" s="15"/>
      <c r="AB733" s="15"/>
    </row>
    <row r="734">
      <c r="B734" s="15"/>
      <c r="C734" s="15"/>
      <c r="D734" s="15"/>
      <c r="E734" s="15"/>
      <c r="F734" s="15"/>
      <c r="G734" s="15"/>
      <c r="H734" s="15"/>
      <c r="I734" s="15"/>
      <c r="J734" s="15"/>
      <c r="K734" s="15"/>
      <c r="L734" s="15"/>
      <c r="M734" s="15"/>
      <c r="N734" s="15"/>
      <c r="O734" s="15"/>
      <c r="P734" s="15"/>
      <c r="Q734" s="15"/>
      <c r="R734" s="15"/>
      <c r="S734" s="15"/>
      <c r="T734" s="15"/>
      <c r="U734" s="15"/>
      <c r="V734" s="15"/>
      <c r="W734" s="15"/>
      <c r="X734" s="15"/>
      <c r="Y734" s="15"/>
      <c r="Z734" s="15"/>
      <c r="AA734" s="15"/>
      <c r="AB734" s="15"/>
    </row>
    <row r="735">
      <c r="B735" s="15"/>
      <c r="C735" s="15"/>
      <c r="D735" s="15"/>
      <c r="E735" s="15"/>
      <c r="F735" s="15"/>
      <c r="G735" s="15"/>
      <c r="H735" s="15"/>
      <c r="I735" s="15"/>
      <c r="J735" s="15"/>
      <c r="K735" s="15"/>
      <c r="L735" s="15"/>
      <c r="M735" s="15"/>
      <c r="N735" s="15"/>
      <c r="O735" s="15"/>
      <c r="P735" s="15"/>
      <c r="Q735" s="15"/>
      <c r="R735" s="15"/>
      <c r="S735" s="15"/>
      <c r="T735" s="15"/>
      <c r="U735" s="15"/>
      <c r="V735" s="15"/>
      <c r="W735" s="15"/>
      <c r="X735" s="15"/>
      <c r="Y735" s="15"/>
      <c r="Z735" s="15"/>
      <c r="AA735" s="15"/>
      <c r="AB735" s="15"/>
    </row>
    <row r="736">
      <c r="B736" s="15"/>
      <c r="C736" s="15"/>
      <c r="D736" s="15"/>
      <c r="E736" s="15"/>
      <c r="F736" s="15"/>
      <c r="G736" s="15"/>
      <c r="H736" s="15"/>
      <c r="I736" s="15"/>
      <c r="J736" s="15"/>
      <c r="K736" s="15"/>
      <c r="L736" s="15"/>
      <c r="M736" s="15"/>
      <c r="N736" s="15"/>
      <c r="O736" s="15"/>
      <c r="P736" s="15"/>
      <c r="Q736" s="15"/>
      <c r="R736" s="15"/>
      <c r="S736" s="15"/>
      <c r="T736" s="15"/>
      <c r="U736" s="15"/>
      <c r="V736" s="15"/>
      <c r="W736" s="15"/>
      <c r="X736" s="15"/>
      <c r="Y736" s="15"/>
      <c r="Z736" s="15"/>
      <c r="AA736" s="15"/>
      <c r="AB736" s="15"/>
    </row>
    <row r="737">
      <c r="B737" s="15"/>
      <c r="C737" s="15"/>
      <c r="D737" s="15"/>
      <c r="E737" s="15"/>
      <c r="F737" s="15"/>
      <c r="G737" s="15"/>
      <c r="H737" s="15"/>
      <c r="I737" s="15"/>
      <c r="J737" s="15"/>
      <c r="K737" s="15"/>
      <c r="L737" s="15"/>
      <c r="M737" s="15"/>
      <c r="N737" s="15"/>
      <c r="O737" s="15"/>
      <c r="P737" s="15"/>
      <c r="Q737" s="15"/>
      <c r="R737" s="15"/>
      <c r="S737" s="15"/>
      <c r="T737" s="15"/>
      <c r="U737" s="15"/>
      <c r="V737" s="15"/>
      <c r="W737" s="15"/>
      <c r="X737" s="15"/>
      <c r="Y737" s="15"/>
      <c r="Z737" s="15"/>
      <c r="AA737" s="15"/>
      <c r="AB737" s="15"/>
    </row>
    <row r="738">
      <c r="B738" s="15"/>
      <c r="C738" s="15"/>
      <c r="D738" s="15"/>
      <c r="E738" s="15"/>
      <c r="F738" s="15"/>
      <c r="G738" s="15"/>
      <c r="H738" s="15"/>
      <c r="I738" s="15"/>
      <c r="J738" s="15"/>
      <c r="K738" s="15"/>
      <c r="L738" s="15"/>
      <c r="M738" s="15"/>
      <c r="N738" s="15"/>
      <c r="O738" s="15"/>
      <c r="P738" s="15"/>
      <c r="Q738" s="15"/>
      <c r="R738" s="15"/>
      <c r="S738" s="15"/>
      <c r="T738" s="15"/>
      <c r="U738" s="15"/>
      <c r="V738" s="15"/>
      <c r="W738" s="15"/>
      <c r="X738" s="15"/>
      <c r="Y738" s="15"/>
      <c r="Z738" s="15"/>
      <c r="AA738" s="15"/>
      <c r="AB738" s="15"/>
    </row>
    <row r="739">
      <c r="B739" s="15"/>
      <c r="C739" s="15"/>
      <c r="D739" s="15"/>
      <c r="E739" s="15"/>
      <c r="F739" s="15"/>
      <c r="G739" s="15"/>
      <c r="H739" s="15"/>
      <c r="I739" s="15"/>
      <c r="J739" s="15"/>
      <c r="K739" s="15"/>
      <c r="L739" s="15"/>
      <c r="M739" s="15"/>
      <c r="N739" s="15"/>
      <c r="O739" s="15"/>
      <c r="P739" s="15"/>
      <c r="Q739" s="15"/>
      <c r="R739" s="15"/>
      <c r="S739" s="15"/>
      <c r="T739" s="15"/>
      <c r="U739" s="15"/>
      <c r="V739" s="15"/>
      <c r="W739" s="15"/>
      <c r="X739" s="15"/>
      <c r="Y739" s="15"/>
      <c r="Z739" s="15"/>
      <c r="AA739" s="15"/>
      <c r="AB739" s="15"/>
    </row>
    <row r="740">
      <c r="B740" s="15"/>
      <c r="C740" s="15"/>
      <c r="D740" s="15"/>
      <c r="E740" s="15"/>
      <c r="F740" s="15"/>
      <c r="G740" s="15"/>
      <c r="H740" s="15"/>
      <c r="I740" s="15"/>
      <c r="J740" s="15"/>
      <c r="K740" s="15"/>
      <c r="L740" s="15"/>
      <c r="M740" s="15"/>
      <c r="N740" s="15"/>
      <c r="O740" s="15"/>
      <c r="P740" s="15"/>
      <c r="Q740" s="15"/>
      <c r="R740" s="15"/>
      <c r="S740" s="15"/>
      <c r="T740" s="15"/>
      <c r="U740" s="15"/>
      <c r="V740" s="15"/>
      <c r="W740" s="15"/>
      <c r="X740" s="15"/>
      <c r="Y740" s="15"/>
      <c r="Z740" s="15"/>
      <c r="AA740" s="15"/>
      <c r="AB740" s="15"/>
    </row>
    <row r="741">
      <c r="B741" s="15"/>
      <c r="C741" s="15"/>
      <c r="D741" s="15"/>
      <c r="E741" s="15"/>
      <c r="F741" s="15"/>
      <c r="G741" s="15"/>
      <c r="H741" s="15"/>
      <c r="I741" s="15"/>
      <c r="J741" s="15"/>
      <c r="K741" s="15"/>
      <c r="L741" s="15"/>
      <c r="M741" s="15"/>
      <c r="N741" s="15"/>
      <c r="O741" s="15"/>
      <c r="P741" s="15"/>
      <c r="Q741" s="15"/>
      <c r="R741" s="15"/>
      <c r="S741" s="15"/>
      <c r="T741" s="15"/>
      <c r="U741" s="15"/>
      <c r="V741" s="15"/>
      <c r="W741" s="15"/>
      <c r="X741" s="15"/>
      <c r="Y741" s="15"/>
      <c r="Z741" s="15"/>
      <c r="AA741" s="15"/>
      <c r="AB741" s="15"/>
    </row>
    <row r="742">
      <c r="B742" s="15"/>
      <c r="C742" s="15"/>
      <c r="D742" s="15"/>
      <c r="E742" s="15"/>
      <c r="F742" s="15"/>
      <c r="G742" s="15"/>
      <c r="H742" s="15"/>
      <c r="I742" s="15"/>
      <c r="J742" s="15"/>
      <c r="K742" s="15"/>
      <c r="L742" s="15"/>
      <c r="M742" s="15"/>
      <c r="N742" s="15"/>
      <c r="O742" s="15"/>
      <c r="P742" s="15"/>
      <c r="Q742" s="15"/>
      <c r="R742" s="15"/>
      <c r="S742" s="15"/>
      <c r="T742" s="15"/>
      <c r="U742" s="15"/>
      <c r="V742" s="15"/>
      <c r="W742" s="15"/>
      <c r="X742" s="15"/>
      <c r="Y742" s="15"/>
      <c r="Z742" s="15"/>
      <c r="AA742" s="15"/>
      <c r="AB742" s="15"/>
    </row>
    <row r="743">
      <c r="B743" s="15"/>
      <c r="C743" s="15"/>
      <c r="D743" s="15"/>
      <c r="E743" s="15"/>
      <c r="F743" s="15"/>
      <c r="G743" s="15"/>
      <c r="H743" s="15"/>
      <c r="I743" s="15"/>
      <c r="J743" s="15"/>
      <c r="K743" s="15"/>
      <c r="L743" s="15"/>
      <c r="M743" s="15"/>
      <c r="N743" s="15"/>
      <c r="O743" s="15"/>
      <c r="P743" s="15"/>
      <c r="Q743" s="15"/>
      <c r="R743" s="15"/>
      <c r="S743" s="15"/>
      <c r="T743" s="15"/>
      <c r="U743" s="15"/>
      <c r="V743" s="15"/>
      <c r="W743" s="15"/>
      <c r="X743" s="15"/>
      <c r="Y743" s="15"/>
      <c r="Z743" s="15"/>
      <c r="AA743" s="15"/>
      <c r="AB743" s="15"/>
    </row>
    <row r="744">
      <c r="B744" s="15"/>
      <c r="C744" s="15"/>
      <c r="D744" s="15"/>
      <c r="E744" s="15"/>
      <c r="F744" s="15"/>
      <c r="G744" s="15"/>
      <c r="H744" s="15"/>
      <c r="I744" s="15"/>
      <c r="J744" s="15"/>
      <c r="K744" s="15"/>
      <c r="L744" s="15"/>
      <c r="M744" s="15"/>
      <c r="N744" s="15"/>
      <c r="O744" s="15"/>
      <c r="P744" s="15"/>
      <c r="Q744" s="15"/>
      <c r="R744" s="15"/>
      <c r="S744" s="15"/>
      <c r="T744" s="15"/>
      <c r="U744" s="15"/>
      <c r="V744" s="15"/>
      <c r="W744" s="15"/>
      <c r="X744" s="15"/>
      <c r="Y744" s="15"/>
      <c r="Z744" s="15"/>
      <c r="AA744" s="15"/>
      <c r="AB744" s="15"/>
    </row>
    <row r="745">
      <c r="B745" s="15"/>
      <c r="C745" s="15"/>
      <c r="D745" s="15"/>
      <c r="E745" s="15"/>
      <c r="F745" s="15"/>
      <c r="G745" s="15"/>
      <c r="H745" s="15"/>
      <c r="I745" s="15"/>
      <c r="J745" s="15"/>
      <c r="K745" s="15"/>
      <c r="L745" s="15"/>
      <c r="M745" s="15"/>
      <c r="N745" s="15"/>
      <c r="O745" s="15"/>
      <c r="P745" s="15"/>
      <c r="Q745" s="15"/>
      <c r="R745" s="15"/>
      <c r="S745" s="15"/>
      <c r="T745" s="15"/>
      <c r="U745" s="15"/>
      <c r="V745" s="15"/>
      <c r="W745" s="15"/>
      <c r="X745" s="15"/>
      <c r="Y745" s="15"/>
      <c r="Z745" s="15"/>
      <c r="AA745" s="15"/>
      <c r="AB745" s="15"/>
    </row>
    <row r="746">
      <c r="B746" s="15"/>
      <c r="C746" s="15"/>
      <c r="D746" s="15"/>
      <c r="E746" s="15"/>
      <c r="F746" s="15"/>
      <c r="G746" s="15"/>
      <c r="H746" s="15"/>
      <c r="I746" s="15"/>
      <c r="J746" s="15"/>
      <c r="K746" s="15"/>
      <c r="L746" s="15"/>
      <c r="M746" s="15"/>
      <c r="N746" s="15"/>
      <c r="O746" s="15"/>
      <c r="P746" s="15"/>
      <c r="Q746" s="15"/>
      <c r="R746" s="15"/>
      <c r="S746" s="15"/>
      <c r="T746" s="15"/>
      <c r="U746" s="15"/>
      <c r="V746" s="15"/>
      <c r="W746" s="15"/>
      <c r="X746" s="15"/>
      <c r="Y746" s="15"/>
      <c r="Z746" s="15"/>
      <c r="AA746" s="15"/>
      <c r="AB746" s="15"/>
    </row>
    <row r="747">
      <c r="B747" s="15"/>
      <c r="C747" s="15"/>
      <c r="D747" s="15"/>
      <c r="E747" s="15"/>
      <c r="F747" s="15"/>
      <c r="G747" s="15"/>
      <c r="H747" s="15"/>
      <c r="I747" s="15"/>
      <c r="J747" s="15"/>
      <c r="K747" s="15"/>
      <c r="L747" s="15"/>
      <c r="M747" s="15"/>
      <c r="N747" s="15"/>
      <c r="O747" s="15"/>
      <c r="P747" s="15"/>
      <c r="Q747" s="15"/>
      <c r="R747" s="15"/>
      <c r="S747" s="15"/>
      <c r="T747" s="15"/>
      <c r="U747" s="15"/>
      <c r="V747" s="15"/>
      <c r="W747" s="15"/>
      <c r="X747" s="15"/>
      <c r="Y747" s="15"/>
      <c r="Z747" s="15"/>
      <c r="AA747" s="15"/>
      <c r="AB747" s="15"/>
    </row>
    <row r="748">
      <c r="B748" s="15"/>
      <c r="C748" s="15"/>
      <c r="D748" s="15"/>
      <c r="E748" s="15"/>
      <c r="F748" s="15"/>
      <c r="G748" s="15"/>
      <c r="H748" s="15"/>
      <c r="I748" s="15"/>
      <c r="J748" s="15"/>
      <c r="K748" s="15"/>
      <c r="L748" s="15"/>
      <c r="M748" s="15"/>
      <c r="N748" s="15"/>
      <c r="O748" s="15"/>
      <c r="P748" s="15"/>
      <c r="Q748" s="15"/>
      <c r="R748" s="15"/>
      <c r="S748" s="15"/>
      <c r="T748" s="15"/>
      <c r="U748" s="15"/>
      <c r="V748" s="15"/>
      <c r="W748" s="15"/>
      <c r="X748" s="15"/>
      <c r="Y748" s="15"/>
      <c r="Z748" s="15"/>
      <c r="AA748" s="15"/>
      <c r="AB748" s="15"/>
    </row>
    <row r="749">
      <c r="B749" s="15"/>
      <c r="C749" s="15"/>
      <c r="D749" s="15"/>
      <c r="E749" s="15"/>
      <c r="F749" s="15"/>
      <c r="G749" s="15"/>
      <c r="H749" s="15"/>
      <c r="I749" s="15"/>
      <c r="J749" s="15"/>
      <c r="K749" s="15"/>
      <c r="L749" s="15"/>
      <c r="M749" s="15"/>
      <c r="N749" s="15"/>
      <c r="O749" s="15"/>
      <c r="P749" s="15"/>
      <c r="Q749" s="15"/>
      <c r="R749" s="15"/>
      <c r="S749" s="15"/>
      <c r="T749" s="15"/>
      <c r="U749" s="15"/>
      <c r="V749" s="15"/>
      <c r="W749" s="15"/>
      <c r="X749" s="15"/>
      <c r="Y749" s="15"/>
      <c r="Z749" s="15"/>
      <c r="AA749" s="15"/>
      <c r="AB749" s="15"/>
    </row>
    <row r="750">
      <c r="B750" s="15"/>
      <c r="C750" s="15"/>
      <c r="D750" s="15"/>
      <c r="E750" s="15"/>
      <c r="F750" s="15"/>
      <c r="G750" s="15"/>
      <c r="H750" s="15"/>
      <c r="I750" s="15"/>
      <c r="J750" s="15"/>
      <c r="K750" s="15"/>
      <c r="L750" s="15"/>
      <c r="M750" s="15"/>
      <c r="N750" s="15"/>
      <c r="O750" s="15"/>
      <c r="P750" s="15"/>
      <c r="Q750" s="15"/>
      <c r="R750" s="15"/>
      <c r="S750" s="15"/>
      <c r="T750" s="15"/>
      <c r="U750" s="15"/>
      <c r="V750" s="15"/>
      <c r="W750" s="15"/>
      <c r="X750" s="15"/>
      <c r="Y750" s="15"/>
      <c r="Z750" s="15"/>
      <c r="AA750" s="15"/>
      <c r="AB750" s="15"/>
    </row>
    <row r="751">
      <c r="B751" s="15"/>
      <c r="C751" s="15"/>
      <c r="D751" s="15"/>
      <c r="E751" s="15"/>
      <c r="F751" s="15"/>
      <c r="G751" s="15"/>
      <c r="H751" s="15"/>
      <c r="I751" s="15"/>
      <c r="J751" s="15"/>
      <c r="K751" s="15"/>
      <c r="L751" s="15"/>
      <c r="M751" s="15"/>
      <c r="N751" s="15"/>
      <c r="O751" s="15"/>
      <c r="P751" s="15"/>
      <c r="Q751" s="15"/>
      <c r="R751" s="15"/>
      <c r="S751" s="15"/>
      <c r="T751" s="15"/>
      <c r="U751" s="15"/>
      <c r="V751" s="15"/>
      <c r="W751" s="15"/>
      <c r="X751" s="15"/>
      <c r="Y751" s="15"/>
      <c r="Z751" s="15"/>
      <c r="AA751" s="15"/>
      <c r="AB751" s="15"/>
    </row>
    <row r="752">
      <c r="B752" s="15"/>
      <c r="C752" s="15"/>
      <c r="D752" s="15"/>
      <c r="E752" s="15"/>
      <c r="F752" s="15"/>
      <c r="G752" s="15"/>
      <c r="H752" s="15"/>
      <c r="I752" s="15"/>
      <c r="J752" s="15"/>
      <c r="K752" s="15"/>
      <c r="L752" s="15"/>
      <c r="M752" s="15"/>
      <c r="N752" s="15"/>
      <c r="O752" s="15"/>
      <c r="P752" s="15"/>
      <c r="Q752" s="15"/>
      <c r="R752" s="15"/>
      <c r="S752" s="15"/>
      <c r="T752" s="15"/>
      <c r="U752" s="15"/>
      <c r="V752" s="15"/>
      <c r="W752" s="15"/>
      <c r="X752" s="15"/>
      <c r="Y752" s="15"/>
      <c r="Z752" s="15"/>
      <c r="AA752" s="15"/>
      <c r="AB752" s="15"/>
    </row>
    <row r="753">
      <c r="B753" s="15"/>
      <c r="C753" s="15"/>
      <c r="D753" s="15"/>
      <c r="E753" s="15"/>
      <c r="F753" s="15"/>
      <c r="G753" s="15"/>
      <c r="H753" s="15"/>
      <c r="I753" s="15"/>
      <c r="J753" s="15"/>
      <c r="K753" s="15"/>
      <c r="L753" s="15"/>
      <c r="M753" s="15"/>
      <c r="N753" s="15"/>
      <c r="O753" s="15"/>
      <c r="P753" s="15"/>
      <c r="Q753" s="15"/>
      <c r="R753" s="15"/>
      <c r="S753" s="15"/>
      <c r="T753" s="15"/>
      <c r="U753" s="15"/>
      <c r="V753" s="15"/>
      <c r="W753" s="15"/>
      <c r="X753" s="15"/>
      <c r="Y753" s="15"/>
      <c r="Z753" s="15"/>
      <c r="AA753" s="15"/>
      <c r="AB753" s="15"/>
    </row>
    <row r="754">
      <c r="B754" s="15"/>
      <c r="C754" s="15"/>
      <c r="D754" s="15"/>
      <c r="E754" s="15"/>
      <c r="F754" s="15"/>
      <c r="G754" s="15"/>
      <c r="H754" s="15"/>
      <c r="I754" s="15"/>
      <c r="J754" s="15"/>
      <c r="K754" s="15"/>
      <c r="L754" s="15"/>
      <c r="M754" s="15"/>
      <c r="N754" s="15"/>
      <c r="O754" s="15"/>
      <c r="P754" s="15"/>
      <c r="Q754" s="15"/>
      <c r="R754" s="15"/>
      <c r="S754" s="15"/>
      <c r="T754" s="15"/>
      <c r="U754" s="15"/>
      <c r="V754" s="15"/>
      <c r="W754" s="15"/>
      <c r="X754" s="15"/>
      <c r="Y754" s="15"/>
      <c r="Z754" s="15"/>
      <c r="AA754" s="15"/>
      <c r="AB754" s="15"/>
    </row>
    <row r="755">
      <c r="B755" s="15"/>
      <c r="C755" s="15"/>
      <c r="D755" s="15"/>
      <c r="E755" s="15"/>
      <c r="F755" s="15"/>
      <c r="G755" s="15"/>
      <c r="H755" s="15"/>
      <c r="I755" s="15"/>
      <c r="J755" s="15"/>
      <c r="K755" s="15"/>
      <c r="L755" s="15"/>
      <c r="M755" s="15"/>
      <c r="N755" s="15"/>
      <c r="O755" s="15"/>
      <c r="P755" s="15"/>
      <c r="Q755" s="15"/>
      <c r="R755" s="15"/>
      <c r="S755" s="15"/>
      <c r="T755" s="15"/>
      <c r="U755" s="15"/>
      <c r="V755" s="15"/>
      <c r="W755" s="15"/>
      <c r="X755" s="15"/>
      <c r="Y755" s="15"/>
      <c r="Z755" s="15"/>
      <c r="AA755" s="15"/>
      <c r="AB755" s="15"/>
    </row>
    <row r="756">
      <c r="B756" s="15"/>
      <c r="C756" s="15"/>
      <c r="D756" s="15"/>
      <c r="E756" s="15"/>
      <c r="F756" s="15"/>
      <c r="G756" s="15"/>
      <c r="H756" s="15"/>
      <c r="I756" s="15"/>
      <c r="J756" s="15"/>
      <c r="K756" s="15"/>
      <c r="L756" s="15"/>
      <c r="M756" s="15"/>
      <c r="N756" s="15"/>
      <c r="O756" s="15"/>
      <c r="P756" s="15"/>
      <c r="Q756" s="15"/>
      <c r="R756" s="15"/>
      <c r="S756" s="15"/>
      <c r="T756" s="15"/>
      <c r="U756" s="15"/>
      <c r="V756" s="15"/>
      <c r="W756" s="15"/>
      <c r="X756" s="15"/>
      <c r="Y756" s="15"/>
      <c r="Z756" s="15"/>
      <c r="AA756" s="15"/>
      <c r="AB756" s="15"/>
    </row>
    <row r="757">
      <c r="B757" s="15"/>
      <c r="C757" s="15"/>
      <c r="D757" s="15"/>
      <c r="E757" s="15"/>
      <c r="F757" s="15"/>
      <c r="G757" s="15"/>
      <c r="H757" s="15"/>
      <c r="I757" s="15"/>
      <c r="J757" s="15"/>
      <c r="K757" s="15"/>
      <c r="L757" s="15"/>
      <c r="M757" s="15"/>
      <c r="N757" s="15"/>
      <c r="O757" s="15"/>
      <c r="P757" s="15"/>
      <c r="Q757" s="15"/>
      <c r="R757" s="15"/>
      <c r="S757" s="15"/>
      <c r="T757" s="15"/>
      <c r="U757" s="15"/>
      <c r="V757" s="15"/>
      <c r="W757" s="15"/>
      <c r="X757" s="15"/>
      <c r="Y757" s="15"/>
      <c r="Z757" s="15"/>
      <c r="AA757" s="15"/>
      <c r="AB757" s="15"/>
    </row>
    <row r="758">
      <c r="B758" s="15"/>
      <c r="C758" s="15"/>
      <c r="D758" s="15"/>
      <c r="E758" s="15"/>
      <c r="F758" s="15"/>
      <c r="G758" s="15"/>
      <c r="H758" s="15"/>
      <c r="I758" s="15"/>
      <c r="J758" s="15"/>
      <c r="K758" s="15"/>
      <c r="L758" s="15"/>
      <c r="M758" s="15"/>
      <c r="N758" s="15"/>
      <c r="O758" s="15"/>
      <c r="P758" s="15"/>
      <c r="Q758" s="15"/>
      <c r="R758" s="15"/>
      <c r="S758" s="15"/>
      <c r="T758" s="15"/>
      <c r="U758" s="15"/>
      <c r="V758" s="15"/>
      <c r="W758" s="15"/>
      <c r="X758" s="15"/>
      <c r="Y758" s="15"/>
      <c r="Z758" s="15"/>
      <c r="AA758" s="15"/>
      <c r="AB758" s="15"/>
    </row>
    <row r="759">
      <c r="B759" s="15"/>
      <c r="C759" s="15"/>
      <c r="D759" s="15"/>
      <c r="E759" s="15"/>
      <c r="F759" s="15"/>
      <c r="G759" s="15"/>
      <c r="H759" s="15"/>
      <c r="I759" s="15"/>
      <c r="J759" s="15"/>
      <c r="K759" s="15"/>
      <c r="L759" s="15"/>
      <c r="M759" s="15"/>
      <c r="N759" s="15"/>
      <c r="O759" s="15"/>
      <c r="P759" s="15"/>
      <c r="Q759" s="15"/>
      <c r="R759" s="15"/>
      <c r="S759" s="15"/>
      <c r="T759" s="15"/>
      <c r="U759" s="15"/>
      <c r="V759" s="15"/>
      <c r="W759" s="15"/>
      <c r="X759" s="15"/>
      <c r="Y759" s="15"/>
      <c r="Z759" s="15"/>
      <c r="AA759" s="15"/>
      <c r="AB759" s="15"/>
    </row>
    <row r="760">
      <c r="B760" s="15"/>
      <c r="C760" s="15"/>
      <c r="D760" s="15"/>
      <c r="E760" s="15"/>
      <c r="F760" s="15"/>
      <c r="G760" s="15"/>
      <c r="H760" s="15"/>
      <c r="I760" s="15"/>
      <c r="J760" s="15"/>
      <c r="K760" s="15"/>
      <c r="L760" s="15"/>
      <c r="M760" s="15"/>
      <c r="N760" s="15"/>
      <c r="O760" s="15"/>
      <c r="P760" s="15"/>
      <c r="Q760" s="15"/>
      <c r="R760" s="15"/>
      <c r="S760" s="15"/>
      <c r="T760" s="15"/>
      <c r="U760" s="15"/>
      <c r="V760" s="15"/>
      <c r="W760" s="15"/>
      <c r="X760" s="15"/>
      <c r="Y760" s="15"/>
      <c r="Z760" s="15"/>
      <c r="AA760" s="15"/>
      <c r="AB760" s="15"/>
    </row>
    <row r="761">
      <c r="B761" s="15"/>
      <c r="C761" s="15"/>
      <c r="D761" s="15"/>
      <c r="E761" s="15"/>
      <c r="F761" s="15"/>
      <c r="G761" s="15"/>
      <c r="H761" s="15"/>
      <c r="I761" s="15"/>
      <c r="J761" s="15"/>
      <c r="K761" s="15"/>
      <c r="L761" s="15"/>
      <c r="M761" s="15"/>
      <c r="N761" s="15"/>
      <c r="O761" s="15"/>
      <c r="P761" s="15"/>
      <c r="Q761" s="15"/>
      <c r="R761" s="15"/>
      <c r="S761" s="15"/>
      <c r="T761" s="15"/>
      <c r="U761" s="15"/>
      <c r="V761" s="15"/>
      <c r="W761" s="15"/>
      <c r="X761" s="15"/>
      <c r="Y761" s="15"/>
      <c r="Z761" s="15"/>
      <c r="AA761" s="15"/>
      <c r="AB761" s="15"/>
    </row>
    <row r="762">
      <c r="B762" s="15"/>
      <c r="C762" s="15"/>
      <c r="D762" s="15"/>
      <c r="E762" s="15"/>
      <c r="F762" s="15"/>
      <c r="G762" s="15"/>
      <c r="H762" s="15"/>
      <c r="I762" s="15"/>
      <c r="J762" s="15"/>
      <c r="K762" s="15"/>
      <c r="L762" s="15"/>
      <c r="M762" s="15"/>
      <c r="N762" s="15"/>
      <c r="O762" s="15"/>
      <c r="P762" s="15"/>
      <c r="Q762" s="15"/>
      <c r="R762" s="15"/>
      <c r="S762" s="15"/>
      <c r="T762" s="15"/>
      <c r="U762" s="15"/>
      <c r="V762" s="15"/>
      <c r="W762" s="15"/>
      <c r="X762" s="15"/>
      <c r="Y762" s="15"/>
      <c r="Z762" s="15"/>
      <c r="AA762" s="15"/>
      <c r="AB762" s="15"/>
    </row>
    <row r="763">
      <c r="B763" s="15"/>
      <c r="C763" s="15"/>
      <c r="D763" s="15"/>
      <c r="E763" s="15"/>
      <c r="F763" s="15"/>
      <c r="G763" s="15"/>
      <c r="H763" s="15"/>
      <c r="I763" s="15"/>
      <c r="J763" s="15"/>
      <c r="K763" s="15"/>
      <c r="L763" s="15"/>
      <c r="M763" s="15"/>
      <c r="N763" s="15"/>
      <c r="O763" s="15"/>
      <c r="P763" s="15"/>
      <c r="Q763" s="15"/>
      <c r="R763" s="15"/>
      <c r="S763" s="15"/>
      <c r="T763" s="15"/>
      <c r="U763" s="15"/>
      <c r="V763" s="15"/>
      <c r="W763" s="15"/>
      <c r="X763" s="15"/>
      <c r="Y763" s="15"/>
      <c r="Z763" s="15"/>
      <c r="AA763" s="15"/>
      <c r="AB763" s="15"/>
    </row>
    <row r="764">
      <c r="B764" s="15"/>
      <c r="C764" s="15"/>
      <c r="D764" s="15"/>
      <c r="E764" s="15"/>
      <c r="F764" s="15"/>
      <c r="G764" s="15"/>
      <c r="H764" s="15"/>
      <c r="I764" s="15"/>
      <c r="J764" s="15"/>
      <c r="K764" s="15"/>
      <c r="L764" s="15"/>
      <c r="M764" s="15"/>
      <c r="N764" s="15"/>
      <c r="O764" s="15"/>
      <c r="P764" s="15"/>
      <c r="Q764" s="15"/>
      <c r="R764" s="15"/>
      <c r="S764" s="15"/>
      <c r="T764" s="15"/>
      <c r="U764" s="15"/>
      <c r="V764" s="15"/>
      <c r="W764" s="15"/>
      <c r="X764" s="15"/>
      <c r="Y764" s="15"/>
      <c r="Z764" s="15"/>
      <c r="AA764" s="15"/>
      <c r="AB764" s="15"/>
    </row>
    <row r="765">
      <c r="B765" s="15"/>
      <c r="C765" s="15"/>
      <c r="D765" s="15"/>
      <c r="E765" s="15"/>
      <c r="F765" s="15"/>
      <c r="G765" s="15"/>
      <c r="H765" s="15"/>
      <c r="I765" s="15"/>
      <c r="J765" s="15"/>
      <c r="K765" s="15"/>
      <c r="L765" s="15"/>
      <c r="M765" s="15"/>
      <c r="N765" s="15"/>
      <c r="O765" s="15"/>
      <c r="P765" s="15"/>
      <c r="Q765" s="15"/>
      <c r="R765" s="15"/>
      <c r="S765" s="15"/>
      <c r="T765" s="15"/>
      <c r="U765" s="15"/>
      <c r="V765" s="15"/>
      <c r="W765" s="15"/>
      <c r="X765" s="15"/>
      <c r="Y765" s="15"/>
      <c r="Z765" s="15"/>
      <c r="AA765" s="15"/>
      <c r="AB765" s="15"/>
    </row>
    <row r="766">
      <c r="B766" s="15"/>
      <c r="C766" s="15"/>
      <c r="D766" s="15"/>
      <c r="E766" s="15"/>
      <c r="F766" s="15"/>
      <c r="G766" s="15"/>
      <c r="H766" s="15"/>
      <c r="I766" s="15"/>
      <c r="J766" s="15"/>
      <c r="K766" s="15"/>
      <c r="L766" s="15"/>
      <c r="M766" s="15"/>
      <c r="N766" s="15"/>
      <c r="O766" s="15"/>
      <c r="P766" s="15"/>
      <c r="Q766" s="15"/>
      <c r="R766" s="15"/>
      <c r="S766" s="15"/>
      <c r="T766" s="15"/>
      <c r="U766" s="15"/>
      <c r="V766" s="15"/>
      <c r="W766" s="15"/>
      <c r="X766" s="15"/>
      <c r="Y766" s="15"/>
      <c r="Z766" s="15"/>
      <c r="AA766" s="15"/>
      <c r="AB766" s="15"/>
    </row>
    <row r="767">
      <c r="B767" s="15"/>
      <c r="C767" s="15"/>
      <c r="D767" s="15"/>
      <c r="E767" s="15"/>
      <c r="F767" s="15"/>
      <c r="G767" s="15"/>
      <c r="H767" s="15"/>
      <c r="I767" s="15"/>
      <c r="J767" s="15"/>
      <c r="K767" s="15"/>
      <c r="L767" s="15"/>
      <c r="M767" s="15"/>
      <c r="N767" s="15"/>
      <c r="O767" s="15"/>
      <c r="P767" s="15"/>
      <c r="Q767" s="15"/>
      <c r="R767" s="15"/>
      <c r="S767" s="15"/>
      <c r="T767" s="15"/>
      <c r="U767" s="15"/>
      <c r="V767" s="15"/>
      <c r="W767" s="15"/>
      <c r="X767" s="15"/>
      <c r="Y767" s="15"/>
      <c r="Z767" s="15"/>
      <c r="AA767" s="15"/>
      <c r="AB767" s="15"/>
    </row>
    <row r="768">
      <c r="B768" s="15"/>
      <c r="C768" s="15"/>
      <c r="D768" s="15"/>
      <c r="E768" s="15"/>
      <c r="F768" s="15"/>
      <c r="G768" s="15"/>
      <c r="H768" s="15"/>
      <c r="I768" s="15"/>
      <c r="J768" s="15"/>
      <c r="K768" s="15"/>
      <c r="L768" s="15"/>
      <c r="M768" s="15"/>
      <c r="N768" s="15"/>
      <c r="O768" s="15"/>
      <c r="P768" s="15"/>
      <c r="Q768" s="15"/>
      <c r="R768" s="15"/>
      <c r="S768" s="15"/>
      <c r="T768" s="15"/>
      <c r="U768" s="15"/>
      <c r="V768" s="15"/>
      <c r="W768" s="15"/>
      <c r="X768" s="15"/>
      <c r="Y768" s="15"/>
      <c r="Z768" s="15"/>
      <c r="AA768" s="15"/>
      <c r="AB768" s="15"/>
    </row>
    <row r="769">
      <c r="B769" s="15"/>
      <c r="C769" s="15"/>
      <c r="D769" s="15"/>
      <c r="E769" s="15"/>
      <c r="F769" s="15"/>
      <c r="G769" s="15"/>
      <c r="H769" s="15"/>
      <c r="I769" s="15"/>
      <c r="J769" s="15"/>
      <c r="K769" s="15"/>
      <c r="L769" s="15"/>
      <c r="M769" s="15"/>
      <c r="N769" s="15"/>
      <c r="O769" s="15"/>
      <c r="P769" s="15"/>
      <c r="Q769" s="15"/>
      <c r="R769" s="15"/>
      <c r="S769" s="15"/>
      <c r="T769" s="15"/>
      <c r="U769" s="15"/>
      <c r="V769" s="15"/>
      <c r="W769" s="15"/>
      <c r="X769" s="15"/>
      <c r="Y769" s="15"/>
      <c r="Z769" s="15"/>
      <c r="AA769" s="15"/>
      <c r="AB769" s="15"/>
    </row>
    <row r="770">
      <c r="B770" s="15"/>
      <c r="C770" s="15"/>
      <c r="D770" s="15"/>
      <c r="E770" s="15"/>
      <c r="F770" s="15"/>
      <c r="G770" s="15"/>
      <c r="H770" s="15"/>
      <c r="I770" s="15"/>
      <c r="J770" s="15"/>
      <c r="K770" s="15"/>
      <c r="L770" s="15"/>
      <c r="M770" s="15"/>
      <c r="N770" s="15"/>
      <c r="O770" s="15"/>
      <c r="P770" s="15"/>
      <c r="Q770" s="15"/>
      <c r="R770" s="15"/>
      <c r="S770" s="15"/>
      <c r="T770" s="15"/>
      <c r="U770" s="15"/>
      <c r="V770" s="15"/>
      <c r="W770" s="15"/>
      <c r="X770" s="15"/>
      <c r="Y770" s="15"/>
      <c r="Z770" s="15"/>
      <c r="AA770" s="15"/>
      <c r="AB770" s="15"/>
    </row>
    <row r="771">
      <c r="B771" s="15"/>
      <c r="C771" s="15"/>
      <c r="D771" s="15"/>
      <c r="E771" s="15"/>
      <c r="F771" s="15"/>
      <c r="G771" s="15"/>
      <c r="H771" s="15"/>
      <c r="I771" s="15"/>
      <c r="J771" s="15"/>
      <c r="K771" s="15"/>
      <c r="L771" s="15"/>
      <c r="M771" s="15"/>
      <c r="N771" s="15"/>
      <c r="O771" s="15"/>
      <c r="P771" s="15"/>
      <c r="Q771" s="15"/>
      <c r="R771" s="15"/>
      <c r="S771" s="15"/>
      <c r="T771" s="15"/>
      <c r="U771" s="15"/>
      <c r="V771" s="15"/>
      <c r="W771" s="15"/>
      <c r="X771" s="15"/>
      <c r="Y771" s="15"/>
      <c r="Z771" s="15"/>
      <c r="AA771" s="15"/>
      <c r="AB771" s="15"/>
    </row>
    <row r="772">
      <c r="B772" s="15"/>
      <c r="C772" s="15"/>
      <c r="D772" s="15"/>
      <c r="E772" s="15"/>
      <c r="F772" s="15"/>
      <c r="G772" s="15"/>
      <c r="H772" s="15"/>
      <c r="I772" s="15"/>
      <c r="J772" s="15"/>
      <c r="K772" s="15"/>
      <c r="L772" s="15"/>
      <c r="M772" s="15"/>
      <c r="N772" s="15"/>
      <c r="O772" s="15"/>
      <c r="P772" s="15"/>
      <c r="Q772" s="15"/>
      <c r="R772" s="15"/>
      <c r="S772" s="15"/>
      <c r="T772" s="15"/>
      <c r="U772" s="15"/>
      <c r="V772" s="15"/>
      <c r="W772" s="15"/>
      <c r="X772" s="15"/>
      <c r="Y772" s="15"/>
      <c r="Z772" s="15"/>
      <c r="AA772" s="15"/>
      <c r="AB772" s="15"/>
    </row>
    <row r="773">
      <c r="B773" s="15"/>
      <c r="C773" s="15"/>
      <c r="D773" s="15"/>
      <c r="E773" s="15"/>
      <c r="F773" s="15"/>
      <c r="G773" s="15"/>
      <c r="H773" s="15"/>
      <c r="I773" s="15"/>
      <c r="J773" s="15"/>
      <c r="K773" s="15"/>
      <c r="L773" s="15"/>
      <c r="M773" s="15"/>
      <c r="N773" s="15"/>
      <c r="O773" s="15"/>
      <c r="P773" s="15"/>
      <c r="Q773" s="15"/>
      <c r="R773" s="15"/>
      <c r="S773" s="15"/>
      <c r="T773" s="15"/>
      <c r="U773" s="15"/>
      <c r="V773" s="15"/>
      <c r="W773" s="15"/>
      <c r="X773" s="15"/>
      <c r="Y773" s="15"/>
      <c r="Z773" s="15"/>
      <c r="AA773" s="15"/>
      <c r="AB773" s="15"/>
    </row>
    <row r="774">
      <c r="B774" s="15"/>
      <c r="C774" s="15"/>
      <c r="D774" s="15"/>
      <c r="E774" s="15"/>
      <c r="F774" s="15"/>
      <c r="G774" s="15"/>
      <c r="H774" s="15"/>
      <c r="I774" s="15"/>
      <c r="J774" s="15"/>
      <c r="K774" s="15"/>
      <c r="L774" s="15"/>
      <c r="M774" s="15"/>
      <c r="N774" s="15"/>
      <c r="O774" s="15"/>
      <c r="P774" s="15"/>
      <c r="Q774" s="15"/>
      <c r="R774" s="15"/>
      <c r="S774" s="15"/>
      <c r="T774" s="15"/>
      <c r="U774" s="15"/>
      <c r="V774" s="15"/>
      <c r="W774" s="15"/>
      <c r="X774" s="15"/>
      <c r="Y774" s="15"/>
      <c r="Z774" s="15"/>
      <c r="AA774" s="15"/>
      <c r="AB774" s="15"/>
    </row>
    <row r="775">
      <c r="B775" s="15"/>
      <c r="C775" s="15"/>
      <c r="D775" s="15"/>
      <c r="E775" s="15"/>
      <c r="F775" s="15"/>
      <c r="G775" s="15"/>
      <c r="H775" s="15"/>
      <c r="I775" s="15"/>
      <c r="J775" s="15"/>
      <c r="K775" s="15"/>
      <c r="L775" s="15"/>
      <c r="M775" s="15"/>
      <c r="N775" s="15"/>
      <c r="O775" s="15"/>
      <c r="P775" s="15"/>
      <c r="Q775" s="15"/>
      <c r="R775" s="15"/>
      <c r="S775" s="15"/>
      <c r="T775" s="15"/>
      <c r="U775" s="15"/>
      <c r="V775" s="15"/>
      <c r="W775" s="15"/>
      <c r="X775" s="15"/>
      <c r="Y775" s="15"/>
      <c r="Z775" s="15"/>
      <c r="AA775" s="15"/>
      <c r="AB775" s="15"/>
    </row>
    <row r="776">
      <c r="B776" s="15"/>
      <c r="C776" s="15"/>
      <c r="D776" s="15"/>
      <c r="E776" s="15"/>
      <c r="F776" s="15"/>
      <c r="G776" s="15"/>
      <c r="H776" s="15"/>
      <c r="I776" s="15"/>
      <c r="J776" s="15"/>
      <c r="K776" s="15"/>
      <c r="L776" s="15"/>
      <c r="M776" s="15"/>
      <c r="N776" s="15"/>
      <c r="O776" s="15"/>
      <c r="P776" s="15"/>
      <c r="Q776" s="15"/>
      <c r="R776" s="15"/>
      <c r="S776" s="15"/>
      <c r="T776" s="15"/>
      <c r="U776" s="15"/>
      <c r="V776" s="15"/>
      <c r="W776" s="15"/>
      <c r="X776" s="15"/>
      <c r="Y776" s="15"/>
      <c r="Z776" s="15"/>
      <c r="AA776" s="15"/>
      <c r="AB776" s="15"/>
    </row>
    <row r="777">
      <c r="B777" s="15"/>
      <c r="C777" s="15"/>
      <c r="D777" s="15"/>
      <c r="E777" s="15"/>
      <c r="F777" s="15"/>
      <c r="G777" s="15"/>
      <c r="H777" s="15"/>
      <c r="I777" s="15"/>
      <c r="J777" s="15"/>
      <c r="K777" s="15"/>
      <c r="L777" s="15"/>
      <c r="M777" s="15"/>
      <c r="N777" s="15"/>
      <c r="O777" s="15"/>
      <c r="P777" s="15"/>
      <c r="Q777" s="15"/>
      <c r="R777" s="15"/>
      <c r="S777" s="15"/>
      <c r="T777" s="15"/>
      <c r="U777" s="15"/>
      <c r="V777" s="15"/>
      <c r="W777" s="15"/>
      <c r="X777" s="15"/>
      <c r="Y777" s="15"/>
      <c r="Z777" s="15"/>
      <c r="AA777" s="15"/>
      <c r="AB777" s="15"/>
    </row>
    <row r="778">
      <c r="B778" s="15"/>
      <c r="C778" s="15"/>
      <c r="D778" s="15"/>
      <c r="E778" s="15"/>
      <c r="F778" s="15"/>
      <c r="G778" s="15"/>
      <c r="H778" s="15"/>
      <c r="I778" s="15"/>
      <c r="J778" s="15"/>
      <c r="K778" s="15"/>
      <c r="L778" s="15"/>
      <c r="M778" s="15"/>
      <c r="N778" s="15"/>
      <c r="O778" s="15"/>
      <c r="P778" s="15"/>
      <c r="Q778" s="15"/>
      <c r="R778" s="15"/>
      <c r="S778" s="15"/>
      <c r="T778" s="15"/>
      <c r="U778" s="15"/>
      <c r="V778" s="15"/>
      <c r="W778" s="15"/>
      <c r="X778" s="15"/>
      <c r="Y778" s="15"/>
      <c r="Z778" s="15"/>
      <c r="AA778" s="15"/>
      <c r="AB778" s="15"/>
    </row>
    <row r="779">
      <c r="B779" s="15"/>
      <c r="C779" s="15"/>
      <c r="D779" s="15"/>
      <c r="E779" s="15"/>
      <c r="F779" s="15"/>
      <c r="G779" s="15"/>
      <c r="H779" s="15"/>
      <c r="I779" s="15"/>
      <c r="J779" s="15"/>
      <c r="K779" s="15"/>
      <c r="L779" s="15"/>
      <c r="M779" s="15"/>
      <c r="N779" s="15"/>
      <c r="O779" s="15"/>
      <c r="P779" s="15"/>
      <c r="Q779" s="15"/>
      <c r="R779" s="15"/>
      <c r="S779" s="15"/>
      <c r="T779" s="15"/>
      <c r="U779" s="15"/>
      <c r="V779" s="15"/>
      <c r="W779" s="15"/>
      <c r="X779" s="15"/>
      <c r="Y779" s="15"/>
      <c r="Z779" s="15"/>
      <c r="AA779" s="15"/>
      <c r="AB779" s="15"/>
    </row>
    <row r="780">
      <c r="B780" s="15"/>
      <c r="C780" s="15"/>
      <c r="D780" s="15"/>
      <c r="E780" s="15"/>
      <c r="F780" s="15"/>
      <c r="G780" s="15"/>
      <c r="H780" s="15"/>
      <c r="I780" s="15"/>
      <c r="J780" s="15"/>
      <c r="K780" s="15"/>
      <c r="L780" s="15"/>
      <c r="M780" s="15"/>
      <c r="N780" s="15"/>
      <c r="O780" s="15"/>
      <c r="P780" s="15"/>
      <c r="Q780" s="15"/>
      <c r="R780" s="15"/>
      <c r="S780" s="15"/>
      <c r="T780" s="15"/>
      <c r="U780" s="15"/>
      <c r="V780" s="15"/>
      <c r="W780" s="15"/>
      <c r="X780" s="15"/>
      <c r="Y780" s="15"/>
      <c r="Z780" s="15"/>
      <c r="AA780" s="15"/>
      <c r="AB780" s="15"/>
    </row>
    <row r="781">
      <c r="B781" s="15"/>
      <c r="C781" s="15"/>
      <c r="D781" s="15"/>
      <c r="E781" s="15"/>
      <c r="F781" s="15"/>
      <c r="G781" s="15"/>
      <c r="H781" s="15"/>
      <c r="I781" s="15"/>
      <c r="J781" s="15"/>
      <c r="K781" s="15"/>
      <c r="L781" s="15"/>
      <c r="M781" s="15"/>
      <c r="N781" s="15"/>
      <c r="O781" s="15"/>
      <c r="P781" s="15"/>
      <c r="Q781" s="15"/>
      <c r="R781" s="15"/>
      <c r="S781" s="15"/>
      <c r="T781" s="15"/>
      <c r="U781" s="15"/>
      <c r="V781" s="15"/>
      <c r="W781" s="15"/>
      <c r="X781" s="15"/>
      <c r="Y781" s="15"/>
      <c r="Z781" s="15"/>
      <c r="AA781" s="15"/>
      <c r="AB781" s="15"/>
    </row>
    <row r="782">
      <c r="B782" s="15"/>
      <c r="C782" s="15"/>
      <c r="D782" s="15"/>
      <c r="E782" s="15"/>
      <c r="F782" s="15"/>
      <c r="G782" s="15"/>
      <c r="H782" s="15"/>
      <c r="I782" s="15"/>
      <c r="J782" s="15"/>
      <c r="K782" s="15"/>
      <c r="L782" s="15"/>
      <c r="M782" s="15"/>
      <c r="N782" s="15"/>
      <c r="O782" s="15"/>
      <c r="P782" s="15"/>
      <c r="Q782" s="15"/>
      <c r="R782" s="15"/>
      <c r="S782" s="15"/>
      <c r="T782" s="15"/>
      <c r="U782" s="15"/>
      <c r="V782" s="15"/>
      <c r="W782" s="15"/>
      <c r="X782" s="15"/>
      <c r="Y782" s="15"/>
      <c r="Z782" s="15"/>
      <c r="AA782" s="15"/>
      <c r="AB782" s="15"/>
    </row>
    <row r="783">
      <c r="B783" s="15"/>
      <c r="C783" s="15"/>
      <c r="D783" s="15"/>
      <c r="E783" s="15"/>
      <c r="F783" s="15"/>
      <c r="G783" s="15"/>
      <c r="H783" s="15"/>
      <c r="I783" s="15"/>
      <c r="J783" s="15"/>
      <c r="K783" s="15"/>
      <c r="L783" s="15"/>
      <c r="M783" s="15"/>
      <c r="N783" s="15"/>
      <c r="O783" s="15"/>
      <c r="P783" s="15"/>
      <c r="Q783" s="15"/>
      <c r="R783" s="15"/>
      <c r="S783" s="15"/>
      <c r="T783" s="15"/>
      <c r="U783" s="15"/>
      <c r="V783" s="15"/>
      <c r="W783" s="15"/>
      <c r="X783" s="15"/>
      <c r="Y783" s="15"/>
      <c r="Z783" s="15"/>
      <c r="AA783" s="15"/>
      <c r="AB783" s="15"/>
    </row>
    <row r="784">
      <c r="B784" s="15"/>
      <c r="C784" s="15"/>
      <c r="D784" s="15"/>
      <c r="E784" s="15"/>
      <c r="F784" s="15"/>
      <c r="G784" s="15"/>
      <c r="H784" s="15"/>
      <c r="I784" s="15"/>
      <c r="J784" s="15"/>
      <c r="K784" s="15"/>
      <c r="L784" s="15"/>
      <c r="M784" s="15"/>
      <c r="N784" s="15"/>
      <c r="O784" s="15"/>
      <c r="P784" s="15"/>
      <c r="Q784" s="15"/>
      <c r="R784" s="15"/>
      <c r="S784" s="15"/>
      <c r="T784" s="15"/>
      <c r="U784" s="15"/>
      <c r="V784" s="15"/>
      <c r="W784" s="15"/>
      <c r="X784" s="15"/>
      <c r="Y784" s="15"/>
      <c r="Z784" s="15"/>
      <c r="AA784" s="15"/>
      <c r="AB784" s="15"/>
    </row>
    <row r="785">
      <c r="B785" s="15"/>
      <c r="C785" s="15"/>
      <c r="D785" s="15"/>
      <c r="E785" s="15"/>
      <c r="F785" s="15"/>
      <c r="G785" s="15"/>
      <c r="H785" s="15"/>
      <c r="I785" s="15"/>
      <c r="J785" s="15"/>
      <c r="K785" s="15"/>
      <c r="L785" s="15"/>
      <c r="M785" s="15"/>
      <c r="N785" s="15"/>
      <c r="O785" s="15"/>
      <c r="P785" s="15"/>
      <c r="Q785" s="15"/>
      <c r="R785" s="15"/>
      <c r="S785" s="15"/>
      <c r="T785" s="15"/>
      <c r="U785" s="15"/>
      <c r="V785" s="15"/>
      <c r="W785" s="15"/>
      <c r="X785" s="15"/>
      <c r="Y785" s="15"/>
      <c r="Z785" s="15"/>
      <c r="AA785" s="15"/>
      <c r="AB785" s="15"/>
    </row>
    <row r="786">
      <c r="B786" s="15"/>
      <c r="C786" s="15"/>
      <c r="D786" s="15"/>
      <c r="E786" s="15"/>
      <c r="F786" s="15"/>
      <c r="G786" s="15"/>
      <c r="H786" s="15"/>
      <c r="I786" s="15"/>
      <c r="J786" s="15"/>
      <c r="K786" s="15"/>
      <c r="L786" s="15"/>
      <c r="M786" s="15"/>
      <c r="N786" s="15"/>
      <c r="O786" s="15"/>
      <c r="P786" s="15"/>
      <c r="Q786" s="15"/>
      <c r="R786" s="15"/>
      <c r="S786" s="15"/>
      <c r="T786" s="15"/>
      <c r="U786" s="15"/>
      <c r="V786" s="15"/>
      <c r="W786" s="15"/>
      <c r="X786" s="15"/>
      <c r="Y786" s="15"/>
      <c r="Z786" s="15"/>
      <c r="AA786" s="15"/>
      <c r="AB786" s="15"/>
    </row>
    <row r="787">
      <c r="B787" s="15"/>
      <c r="C787" s="15"/>
      <c r="D787" s="15"/>
      <c r="E787" s="15"/>
      <c r="F787" s="15"/>
      <c r="G787" s="15"/>
      <c r="H787" s="15"/>
      <c r="I787" s="15"/>
      <c r="J787" s="15"/>
      <c r="K787" s="15"/>
      <c r="L787" s="15"/>
      <c r="M787" s="15"/>
      <c r="N787" s="15"/>
      <c r="O787" s="15"/>
      <c r="P787" s="15"/>
      <c r="Q787" s="15"/>
      <c r="R787" s="15"/>
      <c r="S787" s="15"/>
      <c r="T787" s="15"/>
      <c r="U787" s="15"/>
      <c r="V787" s="15"/>
      <c r="W787" s="15"/>
      <c r="X787" s="15"/>
      <c r="Y787" s="15"/>
      <c r="Z787" s="15"/>
      <c r="AA787" s="15"/>
      <c r="AB787" s="15"/>
    </row>
    <row r="788">
      <c r="B788" s="15"/>
      <c r="C788" s="15"/>
      <c r="D788" s="15"/>
      <c r="E788" s="15"/>
      <c r="F788" s="15"/>
      <c r="G788" s="15"/>
      <c r="H788" s="15"/>
      <c r="I788" s="15"/>
      <c r="J788" s="15"/>
      <c r="K788" s="15"/>
      <c r="L788" s="15"/>
      <c r="M788" s="15"/>
      <c r="N788" s="15"/>
      <c r="O788" s="15"/>
      <c r="P788" s="15"/>
      <c r="Q788" s="15"/>
      <c r="R788" s="15"/>
      <c r="S788" s="15"/>
      <c r="T788" s="15"/>
      <c r="U788" s="15"/>
      <c r="V788" s="15"/>
      <c r="W788" s="15"/>
      <c r="X788" s="15"/>
      <c r="Y788" s="15"/>
      <c r="Z788" s="15"/>
      <c r="AA788" s="15"/>
      <c r="AB788" s="15"/>
    </row>
    <row r="789">
      <c r="B789" s="15"/>
      <c r="C789" s="15"/>
      <c r="D789" s="15"/>
      <c r="E789" s="15"/>
      <c r="F789" s="15"/>
      <c r="G789" s="15"/>
      <c r="H789" s="15"/>
      <c r="I789" s="15"/>
      <c r="J789" s="15"/>
      <c r="K789" s="15"/>
      <c r="L789" s="15"/>
      <c r="M789" s="15"/>
      <c r="N789" s="15"/>
      <c r="O789" s="15"/>
      <c r="P789" s="15"/>
      <c r="Q789" s="15"/>
      <c r="R789" s="15"/>
      <c r="S789" s="15"/>
      <c r="T789" s="15"/>
      <c r="U789" s="15"/>
      <c r="V789" s="15"/>
      <c r="W789" s="15"/>
      <c r="X789" s="15"/>
      <c r="Y789" s="15"/>
      <c r="Z789" s="15"/>
      <c r="AA789" s="15"/>
      <c r="AB789" s="15"/>
    </row>
    <row r="790">
      <c r="B790" s="15"/>
      <c r="C790" s="15"/>
      <c r="D790" s="15"/>
      <c r="E790" s="15"/>
      <c r="F790" s="15"/>
      <c r="G790" s="15"/>
      <c r="H790" s="15"/>
      <c r="I790" s="15"/>
      <c r="J790" s="15"/>
      <c r="K790" s="15"/>
      <c r="L790" s="15"/>
      <c r="M790" s="15"/>
      <c r="N790" s="15"/>
      <c r="O790" s="15"/>
      <c r="P790" s="15"/>
      <c r="Q790" s="15"/>
      <c r="R790" s="15"/>
      <c r="S790" s="15"/>
      <c r="T790" s="15"/>
      <c r="U790" s="15"/>
      <c r="V790" s="15"/>
      <c r="W790" s="15"/>
      <c r="X790" s="15"/>
      <c r="Y790" s="15"/>
      <c r="Z790" s="15"/>
      <c r="AA790" s="15"/>
      <c r="AB790" s="15"/>
    </row>
    <row r="791">
      <c r="B791" s="15"/>
      <c r="C791" s="15"/>
      <c r="D791" s="15"/>
      <c r="E791" s="15"/>
      <c r="F791" s="15"/>
      <c r="G791" s="15"/>
      <c r="H791" s="15"/>
      <c r="I791" s="15"/>
      <c r="J791" s="15"/>
      <c r="K791" s="15"/>
      <c r="L791" s="15"/>
      <c r="M791" s="15"/>
      <c r="N791" s="15"/>
      <c r="O791" s="15"/>
      <c r="P791" s="15"/>
      <c r="Q791" s="15"/>
      <c r="R791" s="15"/>
      <c r="S791" s="15"/>
      <c r="T791" s="15"/>
      <c r="U791" s="15"/>
      <c r="V791" s="15"/>
      <c r="W791" s="15"/>
      <c r="X791" s="15"/>
      <c r="Y791" s="15"/>
      <c r="Z791" s="15"/>
      <c r="AA791" s="15"/>
      <c r="AB791" s="15"/>
    </row>
    <row r="792">
      <c r="B792" s="15"/>
      <c r="C792" s="15"/>
      <c r="D792" s="15"/>
      <c r="E792" s="15"/>
      <c r="F792" s="15"/>
      <c r="G792" s="15"/>
      <c r="H792" s="15"/>
      <c r="I792" s="15"/>
      <c r="J792" s="15"/>
      <c r="K792" s="15"/>
      <c r="L792" s="15"/>
      <c r="M792" s="15"/>
      <c r="N792" s="15"/>
      <c r="O792" s="15"/>
      <c r="P792" s="15"/>
      <c r="Q792" s="15"/>
      <c r="R792" s="15"/>
      <c r="S792" s="15"/>
      <c r="T792" s="15"/>
      <c r="U792" s="15"/>
      <c r="V792" s="15"/>
      <c r="W792" s="15"/>
      <c r="X792" s="15"/>
      <c r="Y792" s="15"/>
      <c r="Z792" s="15"/>
      <c r="AA792" s="15"/>
      <c r="AB792" s="15"/>
    </row>
    <row r="793">
      <c r="B793" s="15"/>
      <c r="C793" s="15"/>
      <c r="D793" s="15"/>
      <c r="E793" s="15"/>
      <c r="F793" s="15"/>
      <c r="G793" s="15"/>
      <c r="H793" s="15"/>
      <c r="I793" s="15"/>
      <c r="J793" s="15"/>
      <c r="K793" s="15"/>
      <c r="L793" s="15"/>
      <c r="M793" s="15"/>
      <c r="N793" s="15"/>
      <c r="O793" s="15"/>
      <c r="P793" s="15"/>
      <c r="Q793" s="15"/>
      <c r="R793" s="15"/>
      <c r="S793" s="15"/>
      <c r="T793" s="15"/>
      <c r="U793" s="15"/>
      <c r="V793" s="15"/>
      <c r="W793" s="15"/>
      <c r="X793" s="15"/>
      <c r="Y793" s="15"/>
      <c r="Z793" s="15"/>
      <c r="AA793" s="15"/>
      <c r="AB793" s="15"/>
    </row>
    <row r="794">
      <c r="B794" s="15"/>
      <c r="C794" s="15"/>
      <c r="D794" s="15"/>
      <c r="E794" s="15"/>
      <c r="F794" s="15"/>
      <c r="G794" s="15"/>
      <c r="H794" s="15"/>
      <c r="I794" s="15"/>
      <c r="J794" s="15"/>
      <c r="K794" s="15"/>
      <c r="L794" s="15"/>
      <c r="M794" s="15"/>
      <c r="N794" s="15"/>
      <c r="O794" s="15"/>
      <c r="P794" s="15"/>
      <c r="Q794" s="15"/>
      <c r="R794" s="15"/>
      <c r="S794" s="15"/>
      <c r="T794" s="15"/>
      <c r="U794" s="15"/>
      <c r="V794" s="15"/>
      <c r="W794" s="15"/>
      <c r="X794" s="15"/>
      <c r="Y794" s="15"/>
      <c r="Z794" s="15"/>
      <c r="AA794" s="15"/>
      <c r="AB794" s="15"/>
    </row>
    <row r="795">
      <c r="B795" s="15"/>
      <c r="C795" s="15"/>
      <c r="D795" s="15"/>
      <c r="E795" s="15"/>
      <c r="F795" s="15"/>
      <c r="G795" s="15"/>
      <c r="H795" s="15"/>
      <c r="I795" s="15"/>
      <c r="J795" s="15"/>
      <c r="K795" s="15"/>
      <c r="L795" s="15"/>
      <c r="M795" s="15"/>
      <c r="N795" s="15"/>
      <c r="O795" s="15"/>
      <c r="P795" s="15"/>
      <c r="Q795" s="15"/>
      <c r="R795" s="15"/>
      <c r="S795" s="15"/>
      <c r="T795" s="15"/>
      <c r="U795" s="15"/>
      <c r="V795" s="15"/>
      <c r="W795" s="15"/>
      <c r="X795" s="15"/>
      <c r="Y795" s="15"/>
      <c r="Z795" s="15"/>
      <c r="AA795" s="15"/>
      <c r="AB795" s="15"/>
    </row>
    <row r="796">
      <c r="B796" s="15"/>
      <c r="C796" s="15"/>
      <c r="D796" s="15"/>
      <c r="E796" s="15"/>
      <c r="F796" s="15"/>
      <c r="G796" s="15"/>
      <c r="H796" s="15"/>
      <c r="I796" s="15"/>
      <c r="J796" s="15"/>
      <c r="K796" s="15"/>
      <c r="L796" s="15"/>
      <c r="M796" s="15"/>
      <c r="N796" s="15"/>
      <c r="O796" s="15"/>
      <c r="P796" s="15"/>
      <c r="Q796" s="15"/>
      <c r="R796" s="15"/>
      <c r="S796" s="15"/>
      <c r="T796" s="15"/>
      <c r="U796" s="15"/>
      <c r="V796" s="15"/>
      <c r="W796" s="15"/>
      <c r="X796" s="15"/>
      <c r="Y796" s="15"/>
      <c r="Z796" s="15"/>
      <c r="AA796" s="15"/>
      <c r="AB796" s="15"/>
    </row>
    <row r="797">
      <c r="B797" s="15"/>
      <c r="C797" s="15"/>
      <c r="D797" s="15"/>
      <c r="E797" s="15"/>
      <c r="F797" s="15"/>
      <c r="G797" s="15"/>
      <c r="H797" s="15"/>
      <c r="I797" s="15"/>
      <c r="J797" s="15"/>
      <c r="K797" s="15"/>
      <c r="L797" s="15"/>
      <c r="M797" s="15"/>
      <c r="N797" s="15"/>
      <c r="O797" s="15"/>
      <c r="P797" s="15"/>
      <c r="Q797" s="15"/>
      <c r="R797" s="15"/>
      <c r="S797" s="15"/>
      <c r="T797" s="15"/>
      <c r="U797" s="15"/>
      <c r="V797" s="15"/>
      <c r="W797" s="15"/>
      <c r="X797" s="15"/>
      <c r="Y797" s="15"/>
      <c r="Z797" s="15"/>
      <c r="AA797" s="15"/>
      <c r="AB797" s="15"/>
    </row>
    <row r="798">
      <c r="B798" s="15"/>
      <c r="C798" s="15"/>
      <c r="D798" s="15"/>
      <c r="E798" s="15"/>
      <c r="F798" s="15"/>
      <c r="G798" s="15"/>
      <c r="H798" s="15"/>
      <c r="I798" s="15"/>
      <c r="J798" s="15"/>
      <c r="K798" s="15"/>
      <c r="L798" s="15"/>
      <c r="M798" s="15"/>
      <c r="N798" s="15"/>
      <c r="O798" s="15"/>
      <c r="P798" s="15"/>
      <c r="Q798" s="15"/>
      <c r="R798" s="15"/>
      <c r="S798" s="15"/>
      <c r="T798" s="15"/>
      <c r="U798" s="15"/>
      <c r="V798" s="15"/>
      <c r="W798" s="15"/>
      <c r="X798" s="15"/>
      <c r="Y798" s="15"/>
      <c r="Z798" s="15"/>
      <c r="AA798" s="15"/>
      <c r="AB798" s="15"/>
    </row>
    <row r="799">
      <c r="B799" s="15"/>
      <c r="C799" s="15"/>
      <c r="D799" s="15"/>
      <c r="E799" s="15"/>
      <c r="F799" s="15"/>
      <c r="G799" s="15"/>
      <c r="H799" s="15"/>
      <c r="I799" s="15"/>
      <c r="J799" s="15"/>
      <c r="K799" s="15"/>
      <c r="L799" s="15"/>
      <c r="M799" s="15"/>
      <c r="N799" s="15"/>
      <c r="O799" s="15"/>
      <c r="P799" s="15"/>
      <c r="Q799" s="15"/>
      <c r="R799" s="15"/>
      <c r="S799" s="15"/>
      <c r="T799" s="15"/>
      <c r="U799" s="15"/>
      <c r="V799" s="15"/>
      <c r="W799" s="15"/>
      <c r="X799" s="15"/>
      <c r="Y799" s="15"/>
      <c r="Z799" s="15"/>
      <c r="AA799" s="15"/>
      <c r="AB799" s="15"/>
    </row>
    <row r="800">
      <c r="B800" s="15"/>
      <c r="C800" s="15"/>
      <c r="D800" s="15"/>
      <c r="E800" s="15"/>
      <c r="F800" s="15"/>
      <c r="G800" s="15"/>
      <c r="H800" s="15"/>
      <c r="I800" s="15"/>
      <c r="J800" s="15"/>
      <c r="K800" s="15"/>
      <c r="L800" s="15"/>
      <c r="M800" s="15"/>
      <c r="N800" s="15"/>
      <c r="O800" s="15"/>
      <c r="P800" s="15"/>
      <c r="Q800" s="15"/>
      <c r="R800" s="15"/>
      <c r="S800" s="15"/>
      <c r="T800" s="15"/>
      <c r="U800" s="15"/>
      <c r="V800" s="15"/>
      <c r="W800" s="15"/>
      <c r="X800" s="15"/>
      <c r="Y800" s="15"/>
      <c r="Z800" s="15"/>
      <c r="AA800" s="15"/>
      <c r="AB800" s="15"/>
    </row>
    <row r="801">
      <c r="B801" s="15"/>
      <c r="C801" s="15"/>
      <c r="D801" s="15"/>
      <c r="E801" s="15"/>
      <c r="F801" s="15"/>
      <c r="G801" s="15"/>
      <c r="H801" s="15"/>
      <c r="I801" s="15"/>
      <c r="J801" s="15"/>
      <c r="K801" s="15"/>
      <c r="L801" s="15"/>
      <c r="M801" s="15"/>
      <c r="N801" s="15"/>
      <c r="O801" s="15"/>
      <c r="P801" s="15"/>
      <c r="Q801" s="15"/>
      <c r="R801" s="15"/>
      <c r="S801" s="15"/>
      <c r="T801" s="15"/>
      <c r="U801" s="15"/>
      <c r="V801" s="15"/>
      <c r="W801" s="15"/>
      <c r="X801" s="15"/>
      <c r="Y801" s="15"/>
      <c r="Z801" s="15"/>
      <c r="AA801" s="15"/>
      <c r="AB801" s="15"/>
    </row>
    <row r="802">
      <c r="B802" s="15"/>
      <c r="C802" s="15"/>
      <c r="D802" s="15"/>
      <c r="E802" s="15"/>
      <c r="F802" s="15"/>
      <c r="G802" s="15"/>
      <c r="H802" s="15"/>
      <c r="I802" s="15"/>
      <c r="J802" s="15"/>
      <c r="K802" s="15"/>
      <c r="L802" s="15"/>
      <c r="M802" s="15"/>
      <c r="N802" s="15"/>
      <c r="O802" s="15"/>
      <c r="P802" s="15"/>
      <c r="Q802" s="15"/>
      <c r="R802" s="15"/>
      <c r="S802" s="15"/>
      <c r="T802" s="15"/>
      <c r="U802" s="15"/>
      <c r="V802" s="15"/>
      <c r="W802" s="15"/>
      <c r="X802" s="15"/>
      <c r="Y802" s="15"/>
      <c r="Z802" s="15"/>
      <c r="AA802" s="15"/>
      <c r="AB802" s="15"/>
    </row>
    <row r="803">
      <c r="B803" s="15"/>
      <c r="C803" s="15"/>
      <c r="D803" s="15"/>
      <c r="E803" s="15"/>
      <c r="F803" s="15"/>
      <c r="G803" s="15"/>
      <c r="H803" s="15"/>
      <c r="I803" s="15"/>
      <c r="J803" s="15"/>
      <c r="K803" s="15"/>
      <c r="L803" s="15"/>
      <c r="M803" s="15"/>
      <c r="N803" s="15"/>
      <c r="O803" s="15"/>
      <c r="P803" s="15"/>
      <c r="Q803" s="15"/>
      <c r="R803" s="15"/>
      <c r="S803" s="15"/>
      <c r="T803" s="15"/>
      <c r="U803" s="15"/>
      <c r="V803" s="15"/>
      <c r="W803" s="15"/>
      <c r="X803" s="15"/>
      <c r="Y803" s="15"/>
      <c r="Z803" s="15"/>
      <c r="AA803" s="15"/>
      <c r="AB803" s="15"/>
    </row>
    <row r="804">
      <c r="B804" s="15"/>
      <c r="C804" s="15"/>
      <c r="D804" s="15"/>
      <c r="E804" s="15"/>
      <c r="F804" s="15"/>
      <c r="G804" s="15"/>
      <c r="H804" s="15"/>
      <c r="I804" s="15"/>
      <c r="J804" s="15"/>
      <c r="K804" s="15"/>
      <c r="L804" s="15"/>
      <c r="M804" s="15"/>
      <c r="N804" s="15"/>
      <c r="O804" s="15"/>
      <c r="P804" s="15"/>
      <c r="Q804" s="15"/>
      <c r="R804" s="15"/>
      <c r="S804" s="15"/>
      <c r="T804" s="15"/>
      <c r="U804" s="15"/>
      <c r="V804" s="15"/>
      <c r="W804" s="15"/>
      <c r="X804" s="15"/>
      <c r="Y804" s="15"/>
      <c r="Z804" s="15"/>
      <c r="AA804" s="15"/>
      <c r="AB804" s="15"/>
    </row>
    <row r="805">
      <c r="B805" s="15"/>
      <c r="C805" s="15"/>
      <c r="D805" s="15"/>
      <c r="E805" s="15"/>
      <c r="F805" s="15"/>
      <c r="G805" s="15"/>
      <c r="H805" s="15"/>
      <c r="I805" s="15"/>
      <c r="J805" s="15"/>
      <c r="K805" s="15"/>
      <c r="L805" s="15"/>
      <c r="M805" s="15"/>
      <c r="N805" s="15"/>
      <c r="O805" s="15"/>
      <c r="P805" s="15"/>
      <c r="Q805" s="15"/>
      <c r="R805" s="15"/>
      <c r="S805" s="15"/>
      <c r="T805" s="15"/>
      <c r="U805" s="15"/>
      <c r="V805" s="15"/>
      <c r="W805" s="15"/>
      <c r="X805" s="15"/>
      <c r="Y805" s="15"/>
      <c r="Z805" s="15"/>
      <c r="AA805" s="15"/>
      <c r="AB805" s="15"/>
    </row>
    <row r="806">
      <c r="B806" s="15"/>
      <c r="C806" s="15"/>
      <c r="D806" s="15"/>
      <c r="E806" s="15"/>
      <c r="F806" s="15"/>
      <c r="G806" s="15"/>
      <c r="H806" s="15"/>
      <c r="I806" s="15"/>
      <c r="J806" s="15"/>
      <c r="K806" s="15"/>
      <c r="L806" s="15"/>
      <c r="M806" s="15"/>
      <c r="N806" s="15"/>
      <c r="O806" s="15"/>
      <c r="P806" s="15"/>
      <c r="Q806" s="15"/>
      <c r="R806" s="15"/>
      <c r="S806" s="15"/>
      <c r="T806" s="15"/>
      <c r="U806" s="15"/>
      <c r="V806" s="15"/>
      <c r="W806" s="15"/>
      <c r="X806" s="15"/>
      <c r="Y806" s="15"/>
      <c r="Z806" s="15"/>
      <c r="AA806" s="15"/>
      <c r="AB806" s="15"/>
    </row>
    <row r="807">
      <c r="B807" s="15"/>
      <c r="C807" s="15"/>
      <c r="D807" s="15"/>
      <c r="E807" s="15"/>
      <c r="F807" s="15"/>
      <c r="G807" s="15"/>
      <c r="H807" s="15"/>
      <c r="I807" s="15"/>
      <c r="J807" s="15"/>
      <c r="K807" s="15"/>
      <c r="L807" s="15"/>
      <c r="M807" s="15"/>
      <c r="N807" s="15"/>
      <c r="O807" s="15"/>
      <c r="P807" s="15"/>
      <c r="Q807" s="15"/>
      <c r="R807" s="15"/>
      <c r="S807" s="15"/>
      <c r="T807" s="15"/>
      <c r="U807" s="15"/>
      <c r="V807" s="15"/>
      <c r="W807" s="15"/>
      <c r="X807" s="15"/>
      <c r="Y807" s="15"/>
      <c r="Z807" s="15"/>
      <c r="AA807" s="15"/>
      <c r="AB807" s="15"/>
    </row>
    <row r="808">
      <c r="B808" s="15"/>
      <c r="C808" s="15"/>
      <c r="D808" s="15"/>
      <c r="E808" s="15"/>
      <c r="F808" s="15"/>
      <c r="G808" s="15"/>
      <c r="H808" s="15"/>
      <c r="I808" s="15"/>
      <c r="J808" s="15"/>
      <c r="K808" s="15"/>
      <c r="L808" s="15"/>
      <c r="M808" s="15"/>
      <c r="N808" s="15"/>
      <c r="O808" s="15"/>
      <c r="P808" s="15"/>
      <c r="Q808" s="15"/>
      <c r="R808" s="15"/>
      <c r="S808" s="15"/>
      <c r="T808" s="15"/>
      <c r="U808" s="15"/>
      <c r="V808" s="15"/>
      <c r="W808" s="15"/>
      <c r="X808" s="15"/>
      <c r="Y808" s="15"/>
      <c r="Z808" s="15"/>
      <c r="AA808" s="15"/>
      <c r="AB808" s="15"/>
    </row>
    <row r="809">
      <c r="B809" s="15"/>
      <c r="C809" s="15"/>
      <c r="D809" s="15"/>
      <c r="E809" s="15"/>
      <c r="F809" s="15"/>
      <c r="G809" s="15"/>
      <c r="H809" s="15"/>
      <c r="I809" s="15"/>
      <c r="J809" s="15"/>
      <c r="K809" s="15"/>
      <c r="L809" s="15"/>
      <c r="M809" s="15"/>
      <c r="N809" s="15"/>
      <c r="O809" s="15"/>
      <c r="P809" s="15"/>
      <c r="Q809" s="15"/>
      <c r="R809" s="15"/>
      <c r="S809" s="15"/>
      <c r="T809" s="15"/>
      <c r="U809" s="15"/>
      <c r="V809" s="15"/>
      <c r="W809" s="15"/>
      <c r="X809" s="15"/>
      <c r="Y809" s="15"/>
      <c r="Z809" s="15"/>
      <c r="AA809" s="15"/>
      <c r="AB809" s="15"/>
    </row>
    <row r="810">
      <c r="B810" s="15"/>
      <c r="C810" s="15"/>
      <c r="D810" s="15"/>
      <c r="E810" s="15"/>
      <c r="F810" s="15"/>
      <c r="G810" s="15"/>
      <c r="H810" s="15"/>
      <c r="I810" s="15"/>
      <c r="J810" s="15"/>
      <c r="K810" s="15"/>
      <c r="L810" s="15"/>
      <c r="M810" s="15"/>
      <c r="N810" s="15"/>
      <c r="O810" s="15"/>
      <c r="P810" s="15"/>
      <c r="Q810" s="15"/>
      <c r="R810" s="15"/>
      <c r="S810" s="15"/>
      <c r="T810" s="15"/>
      <c r="U810" s="15"/>
      <c r="V810" s="15"/>
      <c r="W810" s="15"/>
      <c r="X810" s="15"/>
      <c r="Y810" s="15"/>
      <c r="Z810" s="15"/>
      <c r="AA810" s="15"/>
      <c r="AB810" s="15"/>
    </row>
    <row r="811">
      <c r="B811" s="15"/>
      <c r="C811" s="15"/>
      <c r="D811" s="15"/>
      <c r="E811" s="15"/>
      <c r="F811" s="15"/>
      <c r="G811" s="15"/>
      <c r="H811" s="15"/>
      <c r="I811" s="15"/>
      <c r="J811" s="15"/>
      <c r="K811" s="15"/>
      <c r="L811" s="15"/>
      <c r="M811" s="15"/>
      <c r="N811" s="15"/>
      <c r="O811" s="15"/>
      <c r="P811" s="15"/>
      <c r="Q811" s="15"/>
      <c r="R811" s="15"/>
      <c r="S811" s="15"/>
      <c r="T811" s="15"/>
      <c r="U811" s="15"/>
      <c r="V811" s="15"/>
      <c r="W811" s="15"/>
      <c r="X811" s="15"/>
      <c r="Y811" s="15"/>
      <c r="Z811" s="15"/>
      <c r="AA811" s="15"/>
      <c r="AB811" s="15"/>
    </row>
    <row r="812">
      <c r="B812" s="15"/>
      <c r="C812" s="15"/>
      <c r="D812" s="15"/>
      <c r="E812" s="15"/>
      <c r="F812" s="15"/>
      <c r="G812" s="15"/>
      <c r="H812" s="15"/>
      <c r="I812" s="15"/>
      <c r="J812" s="15"/>
      <c r="K812" s="15"/>
      <c r="L812" s="15"/>
      <c r="M812" s="15"/>
      <c r="N812" s="15"/>
      <c r="O812" s="15"/>
      <c r="P812" s="15"/>
      <c r="Q812" s="15"/>
      <c r="R812" s="15"/>
      <c r="S812" s="15"/>
      <c r="T812" s="15"/>
      <c r="U812" s="15"/>
      <c r="V812" s="15"/>
      <c r="W812" s="15"/>
      <c r="X812" s="15"/>
      <c r="Y812" s="15"/>
      <c r="Z812" s="15"/>
      <c r="AA812" s="15"/>
      <c r="AB812" s="15"/>
    </row>
    <row r="813">
      <c r="B813" s="15"/>
      <c r="C813" s="15"/>
      <c r="D813" s="15"/>
      <c r="E813" s="15"/>
      <c r="F813" s="15"/>
      <c r="G813" s="15"/>
      <c r="H813" s="15"/>
      <c r="I813" s="15"/>
      <c r="J813" s="15"/>
      <c r="K813" s="15"/>
      <c r="L813" s="15"/>
      <c r="M813" s="15"/>
      <c r="N813" s="15"/>
      <c r="O813" s="15"/>
      <c r="P813" s="15"/>
      <c r="Q813" s="15"/>
      <c r="R813" s="15"/>
      <c r="S813" s="15"/>
      <c r="T813" s="15"/>
      <c r="U813" s="15"/>
      <c r="V813" s="15"/>
      <c r="W813" s="15"/>
      <c r="X813" s="15"/>
      <c r="Y813" s="15"/>
      <c r="Z813" s="15"/>
      <c r="AA813" s="15"/>
      <c r="AB813" s="15"/>
    </row>
    <row r="814">
      <c r="B814" s="15"/>
      <c r="C814" s="15"/>
      <c r="D814" s="15"/>
      <c r="E814" s="15"/>
      <c r="F814" s="15"/>
      <c r="G814" s="15"/>
      <c r="H814" s="15"/>
      <c r="I814" s="15"/>
      <c r="J814" s="15"/>
      <c r="K814" s="15"/>
      <c r="L814" s="15"/>
      <c r="M814" s="15"/>
      <c r="N814" s="15"/>
      <c r="O814" s="15"/>
      <c r="P814" s="15"/>
      <c r="Q814" s="15"/>
      <c r="R814" s="15"/>
      <c r="S814" s="15"/>
      <c r="T814" s="15"/>
      <c r="U814" s="15"/>
      <c r="V814" s="15"/>
      <c r="W814" s="15"/>
      <c r="X814" s="15"/>
      <c r="Y814" s="15"/>
      <c r="Z814" s="15"/>
      <c r="AA814" s="15"/>
      <c r="AB814" s="15"/>
    </row>
    <row r="815">
      <c r="B815" s="15"/>
      <c r="C815" s="15"/>
      <c r="D815" s="15"/>
      <c r="E815" s="15"/>
      <c r="F815" s="15"/>
      <c r="G815" s="15"/>
      <c r="H815" s="15"/>
      <c r="I815" s="15"/>
      <c r="J815" s="15"/>
      <c r="K815" s="15"/>
      <c r="L815" s="15"/>
      <c r="M815" s="15"/>
      <c r="N815" s="15"/>
      <c r="O815" s="15"/>
      <c r="P815" s="15"/>
      <c r="Q815" s="15"/>
      <c r="R815" s="15"/>
      <c r="S815" s="15"/>
      <c r="T815" s="15"/>
      <c r="U815" s="15"/>
      <c r="V815" s="15"/>
      <c r="W815" s="15"/>
      <c r="X815" s="15"/>
      <c r="Y815" s="15"/>
      <c r="Z815" s="15"/>
      <c r="AA815" s="15"/>
      <c r="AB815" s="15"/>
    </row>
    <row r="816">
      <c r="B816" s="15"/>
      <c r="C816" s="15"/>
      <c r="D816" s="15"/>
      <c r="E816" s="15"/>
      <c r="F816" s="15"/>
      <c r="G816" s="15"/>
      <c r="H816" s="15"/>
      <c r="I816" s="15"/>
      <c r="J816" s="15"/>
      <c r="K816" s="15"/>
      <c r="L816" s="15"/>
      <c r="M816" s="15"/>
      <c r="N816" s="15"/>
      <c r="O816" s="15"/>
      <c r="P816" s="15"/>
      <c r="Q816" s="15"/>
      <c r="R816" s="15"/>
      <c r="S816" s="15"/>
      <c r="T816" s="15"/>
      <c r="U816" s="15"/>
      <c r="V816" s="15"/>
      <c r="W816" s="15"/>
      <c r="X816" s="15"/>
      <c r="Y816" s="15"/>
      <c r="Z816" s="15"/>
      <c r="AA816" s="15"/>
      <c r="AB816" s="15"/>
    </row>
    <row r="817">
      <c r="B817" s="15"/>
      <c r="C817" s="15"/>
      <c r="D817" s="15"/>
      <c r="E817" s="15"/>
      <c r="F817" s="15"/>
      <c r="G817" s="15"/>
      <c r="H817" s="15"/>
      <c r="I817" s="15"/>
      <c r="J817" s="15"/>
      <c r="K817" s="15"/>
      <c r="L817" s="15"/>
      <c r="M817" s="15"/>
      <c r="N817" s="15"/>
      <c r="O817" s="15"/>
      <c r="P817" s="15"/>
      <c r="Q817" s="15"/>
      <c r="R817" s="15"/>
      <c r="S817" s="15"/>
      <c r="T817" s="15"/>
      <c r="U817" s="15"/>
      <c r="V817" s="15"/>
      <c r="W817" s="15"/>
      <c r="X817" s="15"/>
      <c r="Y817" s="15"/>
      <c r="Z817" s="15"/>
      <c r="AA817" s="15"/>
      <c r="AB817" s="15"/>
    </row>
    <row r="818">
      <c r="B818" s="15"/>
      <c r="C818" s="15"/>
      <c r="D818" s="15"/>
      <c r="E818" s="15"/>
      <c r="F818" s="15"/>
      <c r="G818" s="15"/>
      <c r="H818" s="15"/>
      <c r="I818" s="15"/>
      <c r="J818" s="15"/>
      <c r="K818" s="15"/>
      <c r="L818" s="15"/>
      <c r="M818" s="15"/>
      <c r="N818" s="15"/>
      <c r="O818" s="15"/>
      <c r="P818" s="15"/>
      <c r="Q818" s="15"/>
      <c r="R818" s="15"/>
      <c r="S818" s="15"/>
      <c r="T818" s="15"/>
      <c r="U818" s="15"/>
      <c r="V818" s="15"/>
      <c r="W818" s="15"/>
      <c r="X818" s="15"/>
      <c r="Y818" s="15"/>
      <c r="Z818" s="15"/>
      <c r="AA818" s="15"/>
      <c r="AB818" s="15"/>
    </row>
    <row r="819">
      <c r="B819" s="15"/>
      <c r="C819" s="15"/>
      <c r="D819" s="15"/>
      <c r="E819" s="15"/>
      <c r="F819" s="15"/>
      <c r="G819" s="15"/>
      <c r="H819" s="15"/>
      <c r="I819" s="15"/>
      <c r="J819" s="15"/>
      <c r="K819" s="15"/>
      <c r="L819" s="15"/>
      <c r="M819" s="15"/>
      <c r="N819" s="15"/>
      <c r="O819" s="15"/>
      <c r="P819" s="15"/>
      <c r="Q819" s="15"/>
      <c r="R819" s="15"/>
      <c r="S819" s="15"/>
      <c r="T819" s="15"/>
      <c r="U819" s="15"/>
      <c r="V819" s="15"/>
      <c r="W819" s="15"/>
      <c r="X819" s="15"/>
      <c r="Y819" s="15"/>
      <c r="Z819" s="15"/>
      <c r="AA819" s="15"/>
      <c r="AB819" s="15"/>
    </row>
    <row r="820">
      <c r="B820" s="15"/>
      <c r="C820" s="15"/>
      <c r="D820" s="15"/>
      <c r="E820" s="15"/>
      <c r="F820" s="15"/>
      <c r="G820" s="15"/>
      <c r="H820" s="15"/>
      <c r="I820" s="15"/>
      <c r="J820" s="15"/>
      <c r="K820" s="15"/>
      <c r="L820" s="15"/>
      <c r="M820" s="15"/>
      <c r="N820" s="15"/>
      <c r="O820" s="15"/>
      <c r="P820" s="15"/>
      <c r="Q820" s="15"/>
      <c r="R820" s="15"/>
      <c r="S820" s="15"/>
      <c r="T820" s="15"/>
      <c r="U820" s="15"/>
      <c r="V820" s="15"/>
      <c r="W820" s="15"/>
      <c r="X820" s="15"/>
      <c r="Y820" s="15"/>
      <c r="Z820" s="15"/>
      <c r="AA820" s="15"/>
      <c r="AB820" s="15"/>
    </row>
    <row r="821">
      <c r="B821" s="15"/>
      <c r="C821" s="15"/>
      <c r="D821" s="15"/>
      <c r="E821" s="15"/>
      <c r="F821" s="15"/>
      <c r="G821" s="15"/>
      <c r="H821" s="15"/>
      <c r="I821" s="15"/>
      <c r="J821" s="15"/>
      <c r="K821" s="15"/>
      <c r="L821" s="15"/>
      <c r="M821" s="15"/>
      <c r="N821" s="15"/>
      <c r="O821" s="15"/>
      <c r="P821" s="15"/>
      <c r="Q821" s="15"/>
      <c r="R821" s="15"/>
      <c r="S821" s="15"/>
      <c r="T821" s="15"/>
      <c r="U821" s="15"/>
      <c r="V821" s="15"/>
      <c r="W821" s="15"/>
      <c r="X821" s="15"/>
      <c r="Y821" s="15"/>
      <c r="Z821" s="15"/>
      <c r="AA821" s="15"/>
      <c r="AB821" s="15"/>
    </row>
    <row r="822">
      <c r="B822" s="15"/>
      <c r="C822" s="15"/>
      <c r="D822" s="15"/>
      <c r="E822" s="15"/>
      <c r="F822" s="15"/>
      <c r="G822" s="15"/>
      <c r="H822" s="15"/>
      <c r="I822" s="15"/>
      <c r="J822" s="15"/>
      <c r="K822" s="15"/>
      <c r="L822" s="15"/>
      <c r="M822" s="15"/>
      <c r="N822" s="15"/>
      <c r="O822" s="15"/>
      <c r="P822" s="15"/>
      <c r="Q822" s="15"/>
      <c r="R822" s="15"/>
      <c r="S822" s="15"/>
      <c r="T822" s="15"/>
      <c r="U822" s="15"/>
      <c r="V822" s="15"/>
      <c r="W822" s="15"/>
      <c r="X822" s="15"/>
      <c r="Y822" s="15"/>
      <c r="Z822" s="15"/>
      <c r="AA822" s="15"/>
      <c r="AB822" s="15"/>
    </row>
    <row r="823">
      <c r="B823" s="15"/>
      <c r="C823" s="15"/>
      <c r="D823" s="15"/>
      <c r="E823" s="15"/>
      <c r="F823" s="15"/>
      <c r="G823" s="15"/>
      <c r="H823" s="15"/>
      <c r="I823" s="15"/>
      <c r="J823" s="15"/>
      <c r="K823" s="15"/>
      <c r="L823" s="15"/>
      <c r="M823" s="15"/>
      <c r="N823" s="15"/>
      <c r="O823" s="15"/>
      <c r="P823" s="15"/>
      <c r="Q823" s="15"/>
      <c r="R823" s="15"/>
      <c r="S823" s="15"/>
      <c r="T823" s="15"/>
      <c r="U823" s="15"/>
      <c r="V823" s="15"/>
      <c r="W823" s="15"/>
      <c r="X823" s="15"/>
      <c r="Y823" s="15"/>
      <c r="Z823" s="15"/>
      <c r="AA823" s="15"/>
      <c r="AB823" s="15"/>
    </row>
    <row r="824">
      <c r="B824" s="15"/>
      <c r="C824" s="15"/>
      <c r="D824" s="15"/>
      <c r="E824" s="15"/>
      <c r="F824" s="15"/>
      <c r="G824" s="15"/>
      <c r="H824" s="15"/>
      <c r="I824" s="15"/>
      <c r="J824" s="15"/>
      <c r="K824" s="15"/>
      <c r="L824" s="15"/>
      <c r="M824" s="15"/>
      <c r="N824" s="15"/>
      <c r="O824" s="15"/>
      <c r="P824" s="15"/>
      <c r="Q824" s="15"/>
      <c r="R824" s="15"/>
      <c r="S824" s="15"/>
      <c r="T824" s="15"/>
      <c r="U824" s="15"/>
      <c r="V824" s="15"/>
      <c r="W824" s="15"/>
      <c r="X824" s="15"/>
      <c r="Y824" s="15"/>
      <c r="Z824" s="15"/>
      <c r="AA824" s="15"/>
      <c r="AB824" s="15"/>
    </row>
    <row r="825">
      <c r="B825" s="15"/>
      <c r="C825" s="15"/>
      <c r="D825" s="15"/>
      <c r="E825" s="15"/>
      <c r="F825" s="15"/>
      <c r="G825" s="15"/>
      <c r="H825" s="15"/>
      <c r="I825" s="15"/>
      <c r="J825" s="15"/>
      <c r="K825" s="15"/>
      <c r="L825" s="15"/>
      <c r="M825" s="15"/>
      <c r="N825" s="15"/>
      <c r="O825" s="15"/>
      <c r="P825" s="15"/>
      <c r="Q825" s="15"/>
      <c r="R825" s="15"/>
      <c r="S825" s="15"/>
      <c r="T825" s="15"/>
      <c r="U825" s="15"/>
      <c r="V825" s="15"/>
      <c r="W825" s="15"/>
      <c r="X825" s="15"/>
      <c r="Y825" s="15"/>
      <c r="Z825" s="15"/>
      <c r="AA825" s="15"/>
      <c r="AB825" s="15"/>
    </row>
    <row r="826">
      <c r="B826" s="15"/>
      <c r="C826" s="15"/>
      <c r="D826" s="15"/>
      <c r="E826" s="15"/>
      <c r="F826" s="15"/>
      <c r="G826" s="15"/>
      <c r="H826" s="15"/>
      <c r="I826" s="15"/>
      <c r="J826" s="15"/>
      <c r="K826" s="15"/>
      <c r="L826" s="15"/>
      <c r="M826" s="15"/>
      <c r="N826" s="15"/>
      <c r="O826" s="15"/>
      <c r="P826" s="15"/>
      <c r="Q826" s="15"/>
      <c r="R826" s="15"/>
      <c r="S826" s="15"/>
      <c r="T826" s="15"/>
      <c r="U826" s="15"/>
      <c r="V826" s="15"/>
      <c r="W826" s="15"/>
      <c r="X826" s="15"/>
      <c r="Y826" s="15"/>
      <c r="Z826" s="15"/>
      <c r="AA826" s="15"/>
      <c r="AB826" s="15"/>
    </row>
    <row r="827">
      <c r="B827" s="15"/>
      <c r="C827" s="15"/>
      <c r="D827" s="15"/>
      <c r="E827" s="15"/>
      <c r="F827" s="15"/>
      <c r="G827" s="15"/>
      <c r="H827" s="15"/>
      <c r="I827" s="15"/>
      <c r="J827" s="15"/>
      <c r="K827" s="15"/>
      <c r="L827" s="15"/>
      <c r="M827" s="15"/>
      <c r="N827" s="15"/>
      <c r="O827" s="15"/>
      <c r="P827" s="15"/>
      <c r="Q827" s="15"/>
      <c r="R827" s="15"/>
      <c r="S827" s="15"/>
      <c r="T827" s="15"/>
      <c r="U827" s="15"/>
      <c r="V827" s="15"/>
      <c r="W827" s="15"/>
      <c r="X827" s="15"/>
      <c r="Y827" s="15"/>
      <c r="Z827" s="15"/>
      <c r="AA827" s="15"/>
      <c r="AB827" s="15"/>
    </row>
    <row r="828">
      <c r="B828" s="15"/>
      <c r="C828" s="15"/>
      <c r="D828" s="15"/>
      <c r="E828" s="15"/>
      <c r="F828" s="15"/>
      <c r="G828" s="15"/>
      <c r="H828" s="15"/>
      <c r="I828" s="15"/>
      <c r="J828" s="15"/>
      <c r="K828" s="15"/>
      <c r="L828" s="15"/>
      <c r="M828" s="15"/>
      <c r="N828" s="15"/>
      <c r="O828" s="15"/>
      <c r="P828" s="15"/>
      <c r="Q828" s="15"/>
      <c r="R828" s="15"/>
      <c r="S828" s="15"/>
      <c r="T828" s="15"/>
      <c r="U828" s="15"/>
      <c r="V828" s="15"/>
      <c r="W828" s="15"/>
      <c r="X828" s="15"/>
      <c r="Y828" s="15"/>
      <c r="Z828" s="15"/>
      <c r="AA828" s="15"/>
      <c r="AB828" s="15"/>
    </row>
    <row r="829">
      <c r="B829" s="15"/>
      <c r="C829" s="15"/>
      <c r="D829" s="15"/>
      <c r="E829" s="15"/>
      <c r="F829" s="15"/>
      <c r="G829" s="15"/>
      <c r="H829" s="15"/>
      <c r="I829" s="15"/>
      <c r="J829" s="15"/>
      <c r="K829" s="15"/>
      <c r="L829" s="15"/>
      <c r="M829" s="15"/>
      <c r="N829" s="15"/>
      <c r="O829" s="15"/>
      <c r="P829" s="15"/>
      <c r="Q829" s="15"/>
      <c r="R829" s="15"/>
      <c r="S829" s="15"/>
      <c r="T829" s="15"/>
      <c r="U829" s="15"/>
      <c r="V829" s="15"/>
      <c r="W829" s="15"/>
      <c r="X829" s="15"/>
      <c r="Y829" s="15"/>
      <c r="Z829" s="15"/>
      <c r="AA829" s="15"/>
      <c r="AB829" s="15"/>
    </row>
    <row r="830">
      <c r="B830" s="15"/>
      <c r="C830" s="15"/>
      <c r="D830" s="15"/>
      <c r="E830" s="15"/>
      <c r="F830" s="15"/>
      <c r="G830" s="15"/>
      <c r="H830" s="15"/>
      <c r="I830" s="15"/>
      <c r="J830" s="15"/>
      <c r="K830" s="15"/>
      <c r="L830" s="15"/>
      <c r="M830" s="15"/>
      <c r="N830" s="15"/>
      <c r="O830" s="15"/>
      <c r="P830" s="15"/>
      <c r="Q830" s="15"/>
      <c r="R830" s="15"/>
      <c r="S830" s="15"/>
      <c r="T830" s="15"/>
      <c r="U830" s="15"/>
      <c r="V830" s="15"/>
      <c r="W830" s="15"/>
      <c r="X830" s="15"/>
      <c r="Y830" s="15"/>
      <c r="Z830" s="15"/>
      <c r="AA830" s="15"/>
      <c r="AB830" s="15"/>
    </row>
    <row r="831">
      <c r="B831" s="15"/>
      <c r="C831" s="15"/>
      <c r="D831" s="15"/>
      <c r="E831" s="15"/>
      <c r="F831" s="15"/>
      <c r="G831" s="15"/>
      <c r="H831" s="15"/>
      <c r="I831" s="15"/>
      <c r="J831" s="15"/>
      <c r="K831" s="15"/>
      <c r="L831" s="15"/>
      <c r="M831" s="15"/>
      <c r="N831" s="15"/>
      <c r="O831" s="15"/>
      <c r="P831" s="15"/>
      <c r="Q831" s="15"/>
      <c r="R831" s="15"/>
      <c r="S831" s="15"/>
      <c r="T831" s="15"/>
      <c r="U831" s="15"/>
      <c r="V831" s="15"/>
      <c r="W831" s="15"/>
      <c r="X831" s="15"/>
      <c r="Y831" s="15"/>
      <c r="Z831" s="15"/>
      <c r="AA831" s="15"/>
      <c r="AB831" s="15"/>
    </row>
    <row r="832">
      <c r="B832" s="15"/>
      <c r="C832" s="15"/>
      <c r="D832" s="15"/>
      <c r="E832" s="15"/>
      <c r="F832" s="15"/>
      <c r="G832" s="15"/>
      <c r="H832" s="15"/>
      <c r="I832" s="15"/>
      <c r="J832" s="15"/>
      <c r="K832" s="15"/>
      <c r="L832" s="15"/>
      <c r="M832" s="15"/>
      <c r="N832" s="15"/>
      <c r="O832" s="15"/>
      <c r="P832" s="15"/>
      <c r="Q832" s="15"/>
      <c r="R832" s="15"/>
      <c r="S832" s="15"/>
      <c r="T832" s="15"/>
      <c r="U832" s="15"/>
      <c r="V832" s="15"/>
      <c r="W832" s="15"/>
      <c r="X832" s="15"/>
      <c r="Y832" s="15"/>
      <c r="Z832" s="15"/>
      <c r="AA832" s="15"/>
      <c r="AB832" s="15"/>
    </row>
    <row r="833">
      <c r="B833" s="15"/>
      <c r="C833" s="15"/>
      <c r="D833" s="15"/>
      <c r="E833" s="15"/>
      <c r="F833" s="15"/>
      <c r="G833" s="15"/>
      <c r="H833" s="15"/>
      <c r="I833" s="15"/>
      <c r="J833" s="15"/>
      <c r="K833" s="15"/>
      <c r="L833" s="15"/>
      <c r="M833" s="15"/>
      <c r="N833" s="15"/>
      <c r="O833" s="15"/>
      <c r="P833" s="15"/>
      <c r="Q833" s="15"/>
      <c r="R833" s="15"/>
      <c r="S833" s="15"/>
      <c r="T833" s="15"/>
      <c r="U833" s="15"/>
      <c r="V833" s="15"/>
      <c r="W833" s="15"/>
      <c r="X833" s="15"/>
      <c r="Y833" s="15"/>
      <c r="Z833" s="15"/>
      <c r="AA833" s="15"/>
      <c r="AB833" s="15"/>
    </row>
    <row r="834">
      <c r="B834" s="15"/>
      <c r="C834" s="15"/>
      <c r="D834" s="15"/>
      <c r="E834" s="15"/>
      <c r="F834" s="15"/>
      <c r="G834" s="15"/>
      <c r="H834" s="15"/>
      <c r="I834" s="15"/>
      <c r="J834" s="15"/>
      <c r="K834" s="15"/>
      <c r="L834" s="15"/>
      <c r="M834" s="15"/>
      <c r="N834" s="15"/>
      <c r="O834" s="15"/>
      <c r="P834" s="15"/>
      <c r="Q834" s="15"/>
      <c r="R834" s="15"/>
      <c r="S834" s="15"/>
      <c r="T834" s="15"/>
      <c r="U834" s="15"/>
      <c r="V834" s="15"/>
      <c r="W834" s="15"/>
      <c r="X834" s="15"/>
      <c r="Y834" s="15"/>
      <c r="Z834" s="15"/>
      <c r="AA834" s="15"/>
      <c r="AB834" s="15"/>
    </row>
    <row r="835">
      <c r="B835" s="15"/>
      <c r="C835" s="15"/>
      <c r="D835" s="15"/>
      <c r="E835" s="15"/>
      <c r="F835" s="15"/>
      <c r="G835" s="15"/>
      <c r="H835" s="15"/>
      <c r="I835" s="15"/>
      <c r="J835" s="15"/>
      <c r="K835" s="15"/>
      <c r="L835" s="15"/>
      <c r="M835" s="15"/>
      <c r="N835" s="15"/>
      <c r="O835" s="15"/>
      <c r="P835" s="15"/>
      <c r="Q835" s="15"/>
      <c r="R835" s="15"/>
      <c r="S835" s="15"/>
      <c r="T835" s="15"/>
      <c r="U835" s="15"/>
      <c r="V835" s="15"/>
      <c r="W835" s="15"/>
      <c r="X835" s="15"/>
      <c r="Y835" s="15"/>
      <c r="Z835" s="15"/>
      <c r="AA835" s="15"/>
      <c r="AB835" s="15"/>
    </row>
    <row r="836">
      <c r="B836" s="15"/>
      <c r="C836" s="15"/>
      <c r="D836" s="15"/>
      <c r="E836" s="15"/>
      <c r="F836" s="15"/>
      <c r="G836" s="15"/>
      <c r="H836" s="15"/>
      <c r="I836" s="15"/>
      <c r="J836" s="15"/>
      <c r="K836" s="15"/>
      <c r="L836" s="15"/>
      <c r="M836" s="15"/>
      <c r="N836" s="15"/>
      <c r="O836" s="15"/>
      <c r="P836" s="15"/>
      <c r="Q836" s="15"/>
      <c r="R836" s="15"/>
      <c r="S836" s="15"/>
      <c r="T836" s="15"/>
      <c r="U836" s="15"/>
      <c r="V836" s="15"/>
      <c r="W836" s="15"/>
      <c r="X836" s="15"/>
      <c r="Y836" s="15"/>
      <c r="Z836" s="15"/>
      <c r="AA836" s="15"/>
      <c r="AB836" s="15"/>
    </row>
    <row r="837">
      <c r="B837" s="15"/>
      <c r="C837" s="15"/>
      <c r="D837" s="15"/>
      <c r="E837" s="15"/>
      <c r="F837" s="15"/>
      <c r="G837" s="15"/>
      <c r="H837" s="15"/>
      <c r="I837" s="15"/>
      <c r="J837" s="15"/>
      <c r="K837" s="15"/>
      <c r="L837" s="15"/>
      <c r="M837" s="15"/>
      <c r="N837" s="15"/>
      <c r="O837" s="15"/>
      <c r="P837" s="15"/>
      <c r="Q837" s="15"/>
      <c r="R837" s="15"/>
      <c r="S837" s="15"/>
      <c r="T837" s="15"/>
      <c r="U837" s="15"/>
      <c r="V837" s="15"/>
      <c r="W837" s="15"/>
      <c r="X837" s="15"/>
      <c r="Y837" s="15"/>
      <c r="Z837" s="15"/>
      <c r="AA837" s="15"/>
      <c r="AB837" s="15"/>
    </row>
    <row r="838">
      <c r="B838" s="15"/>
      <c r="C838" s="15"/>
      <c r="D838" s="15"/>
      <c r="E838" s="15"/>
      <c r="F838" s="15"/>
      <c r="G838" s="15"/>
      <c r="H838" s="15"/>
      <c r="I838" s="15"/>
      <c r="J838" s="15"/>
      <c r="K838" s="15"/>
      <c r="L838" s="15"/>
      <c r="M838" s="15"/>
      <c r="N838" s="15"/>
      <c r="O838" s="15"/>
      <c r="P838" s="15"/>
      <c r="Q838" s="15"/>
      <c r="R838" s="15"/>
      <c r="S838" s="15"/>
      <c r="T838" s="15"/>
      <c r="U838" s="15"/>
      <c r="V838" s="15"/>
      <c r="W838" s="15"/>
      <c r="X838" s="15"/>
      <c r="Y838" s="15"/>
      <c r="Z838" s="15"/>
      <c r="AA838" s="15"/>
      <c r="AB838" s="15"/>
    </row>
    <row r="839">
      <c r="B839" s="15"/>
      <c r="C839" s="15"/>
      <c r="D839" s="15"/>
      <c r="E839" s="15"/>
      <c r="F839" s="15"/>
      <c r="G839" s="15"/>
      <c r="H839" s="15"/>
      <c r="I839" s="15"/>
      <c r="J839" s="15"/>
      <c r="K839" s="15"/>
      <c r="L839" s="15"/>
      <c r="M839" s="15"/>
      <c r="N839" s="15"/>
      <c r="O839" s="15"/>
      <c r="P839" s="15"/>
      <c r="Q839" s="15"/>
      <c r="R839" s="15"/>
      <c r="S839" s="15"/>
      <c r="T839" s="15"/>
      <c r="U839" s="15"/>
      <c r="V839" s="15"/>
      <c r="W839" s="15"/>
      <c r="X839" s="15"/>
      <c r="Y839" s="15"/>
      <c r="Z839" s="15"/>
      <c r="AA839" s="15"/>
      <c r="AB839" s="15"/>
    </row>
    <row r="840">
      <c r="B840" s="15"/>
      <c r="C840" s="15"/>
      <c r="D840" s="15"/>
      <c r="E840" s="15"/>
      <c r="F840" s="15"/>
      <c r="G840" s="15"/>
      <c r="H840" s="15"/>
      <c r="I840" s="15"/>
      <c r="J840" s="15"/>
      <c r="K840" s="15"/>
      <c r="L840" s="15"/>
      <c r="M840" s="15"/>
      <c r="N840" s="15"/>
      <c r="O840" s="15"/>
      <c r="P840" s="15"/>
      <c r="Q840" s="15"/>
      <c r="R840" s="15"/>
      <c r="S840" s="15"/>
      <c r="T840" s="15"/>
      <c r="U840" s="15"/>
      <c r="V840" s="15"/>
      <c r="W840" s="15"/>
      <c r="X840" s="15"/>
      <c r="Y840" s="15"/>
      <c r="Z840" s="15"/>
      <c r="AA840" s="15"/>
      <c r="AB840" s="15"/>
    </row>
    <row r="841">
      <c r="B841" s="15"/>
      <c r="C841" s="15"/>
      <c r="D841" s="15"/>
      <c r="E841" s="15"/>
      <c r="F841" s="15"/>
      <c r="G841" s="15"/>
      <c r="H841" s="15"/>
      <c r="I841" s="15"/>
      <c r="J841" s="15"/>
      <c r="K841" s="15"/>
      <c r="L841" s="15"/>
      <c r="M841" s="15"/>
      <c r="N841" s="15"/>
      <c r="O841" s="15"/>
      <c r="P841" s="15"/>
      <c r="Q841" s="15"/>
      <c r="R841" s="15"/>
      <c r="S841" s="15"/>
      <c r="T841" s="15"/>
      <c r="U841" s="15"/>
      <c r="V841" s="15"/>
      <c r="W841" s="15"/>
      <c r="X841" s="15"/>
      <c r="Y841" s="15"/>
      <c r="Z841" s="15"/>
      <c r="AA841" s="15"/>
      <c r="AB841" s="15"/>
    </row>
    <row r="842">
      <c r="B842" s="15"/>
      <c r="C842" s="15"/>
      <c r="D842" s="15"/>
      <c r="E842" s="15"/>
      <c r="F842" s="15"/>
      <c r="G842" s="15"/>
      <c r="H842" s="15"/>
      <c r="I842" s="15"/>
      <c r="J842" s="15"/>
      <c r="K842" s="15"/>
      <c r="L842" s="15"/>
      <c r="M842" s="15"/>
      <c r="N842" s="15"/>
      <c r="O842" s="15"/>
      <c r="P842" s="15"/>
      <c r="Q842" s="15"/>
      <c r="R842" s="15"/>
      <c r="S842" s="15"/>
      <c r="T842" s="15"/>
      <c r="U842" s="15"/>
      <c r="V842" s="15"/>
      <c r="W842" s="15"/>
      <c r="X842" s="15"/>
      <c r="Y842" s="15"/>
      <c r="Z842" s="15"/>
      <c r="AA842" s="15"/>
      <c r="AB842" s="15"/>
    </row>
    <row r="843">
      <c r="B843" s="15"/>
      <c r="C843" s="15"/>
      <c r="D843" s="15"/>
      <c r="E843" s="15"/>
      <c r="F843" s="15"/>
      <c r="G843" s="15"/>
      <c r="H843" s="15"/>
      <c r="I843" s="15"/>
      <c r="J843" s="15"/>
      <c r="K843" s="15"/>
      <c r="L843" s="15"/>
      <c r="M843" s="15"/>
      <c r="N843" s="15"/>
      <c r="O843" s="15"/>
      <c r="P843" s="15"/>
      <c r="Q843" s="15"/>
      <c r="R843" s="15"/>
      <c r="S843" s="15"/>
      <c r="T843" s="15"/>
      <c r="U843" s="15"/>
      <c r="V843" s="15"/>
      <c r="W843" s="15"/>
      <c r="X843" s="15"/>
      <c r="Y843" s="15"/>
      <c r="Z843" s="15"/>
      <c r="AA843" s="15"/>
      <c r="AB843" s="15"/>
    </row>
    <row r="844">
      <c r="B844" s="15"/>
      <c r="C844" s="15"/>
      <c r="D844" s="15"/>
      <c r="E844" s="15"/>
      <c r="F844" s="15"/>
      <c r="G844" s="15"/>
      <c r="H844" s="15"/>
      <c r="I844" s="15"/>
      <c r="J844" s="15"/>
      <c r="K844" s="15"/>
      <c r="L844" s="15"/>
      <c r="M844" s="15"/>
      <c r="N844" s="15"/>
      <c r="O844" s="15"/>
      <c r="P844" s="15"/>
      <c r="Q844" s="15"/>
      <c r="R844" s="15"/>
      <c r="S844" s="15"/>
      <c r="T844" s="15"/>
      <c r="U844" s="15"/>
      <c r="V844" s="15"/>
      <c r="W844" s="15"/>
      <c r="X844" s="15"/>
      <c r="Y844" s="15"/>
      <c r="Z844" s="15"/>
      <c r="AA844" s="15"/>
      <c r="AB844" s="15"/>
    </row>
    <row r="845">
      <c r="B845" s="15"/>
      <c r="C845" s="15"/>
      <c r="D845" s="15"/>
      <c r="E845" s="15"/>
      <c r="F845" s="15"/>
      <c r="G845" s="15"/>
      <c r="H845" s="15"/>
      <c r="I845" s="15"/>
      <c r="J845" s="15"/>
      <c r="K845" s="15"/>
      <c r="L845" s="15"/>
      <c r="M845" s="15"/>
      <c r="N845" s="15"/>
      <c r="O845" s="15"/>
      <c r="P845" s="15"/>
      <c r="Q845" s="15"/>
      <c r="R845" s="15"/>
      <c r="S845" s="15"/>
      <c r="T845" s="15"/>
      <c r="U845" s="15"/>
      <c r="V845" s="15"/>
      <c r="W845" s="15"/>
      <c r="X845" s="15"/>
      <c r="Y845" s="15"/>
      <c r="Z845" s="15"/>
      <c r="AA845" s="15"/>
      <c r="AB845" s="15"/>
    </row>
    <row r="846">
      <c r="B846" s="15"/>
      <c r="C846" s="15"/>
      <c r="D846" s="15"/>
      <c r="E846" s="15"/>
      <c r="F846" s="15"/>
      <c r="G846" s="15"/>
      <c r="H846" s="15"/>
      <c r="I846" s="15"/>
      <c r="J846" s="15"/>
      <c r="K846" s="15"/>
      <c r="L846" s="15"/>
      <c r="M846" s="15"/>
      <c r="N846" s="15"/>
      <c r="O846" s="15"/>
      <c r="P846" s="15"/>
      <c r="Q846" s="15"/>
      <c r="R846" s="15"/>
      <c r="S846" s="15"/>
      <c r="T846" s="15"/>
      <c r="U846" s="15"/>
      <c r="V846" s="15"/>
      <c r="W846" s="15"/>
      <c r="X846" s="15"/>
      <c r="Y846" s="15"/>
      <c r="Z846" s="15"/>
      <c r="AA846" s="15"/>
      <c r="AB846" s="15"/>
    </row>
    <row r="847">
      <c r="B847" s="15"/>
      <c r="C847" s="15"/>
      <c r="D847" s="15"/>
      <c r="E847" s="15"/>
      <c r="F847" s="15"/>
      <c r="G847" s="15"/>
      <c r="H847" s="15"/>
      <c r="I847" s="15"/>
      <c r="J847" s="15"/>
      <c r="K847" s="15"/>
      <c r="L847" s="15"/>
      <c r="M847" s="15"/>
      <c r="N847" s="15"/>
      <c r="O847" s="15"/>
      <c r="P847" s="15"/>
      <c r="Q847" s="15"/>
      <c r="R847" s="15"/>
      <c r="S847" s="15"/>
      <c r="T847" s="15"/>
      <c r="U847" s="15"/>
      <c r="V847" s="15"/>
      <c r="W847" s="15"/>
      <c r="X847" s="15"/>
      <c r="Y847" s="15"/>
      <c r="Z847" s="15"/>
      <c r="AA847" s="15"/>
      <c r="AB847" s="15"/>
    </row>
    <row r="848">
      <c r="B848" s="15"/>
      <c r="C848" s="15"/>
      <c r="D848" s="15"/>
      <c r="E848" s="15"/>
      <c r="F848" s="15"/>
      <c r="G848" s="15"/>
      <c r="H848" s="15"/>
      <c r="I848" s="15"/>
      <c r="J848" s="15"/>
      <c r="K848" s="15"/>
      <c r="L848" s="15"/>
      <c r="M848" s="15"/>
      <c r="N848" s="15"/>
      <c r="O848" s="15"/>
      <c r="P848" s="15"/>
      <c r="Q848" s="15"/>
      <c r="R848" s="15"/>
      <c r="S848" s="15"/>
      <c r="T848" s="15"/>
      <c r="U848" s="15"/>
      <c r="V848" s="15"/>
      <c r="W848" s="15"/>
      <c r="X848" s="15"/>
      <c r="Y848" s="15"/>
      <c r="Z848" s="15"/>
      <c r="AA848" s="15"/>
      <c r="AB848" s="15"/>
    </row>
    <row r="849">
      <c r="B849" s="15"/>
      <c r="C849" s="15"/>
      <c r="D849" s="15"/>
      <c r="E849" s="15"/>
      <c r="F849" s="15"/>
      <c r="G849" s="15"/>
      <c r="H849" s="15"/>
      <c r="I849" s="15"/>
      <c r="J849" s="15"/>
      <c r="K849" s="15"/>
      <c r="L849" s="15"/>
      <c r="M849" s="15"/>
      <c r="N849" s="15"/>
      <c r="O849" s="15"/>
      <c r="P849" s="15"/>
      <c r="Q849" s="15"/>
      <c r="R849" s="15"/>
      <c r="S849" s="15"/>
      <c r="T849" s="15"/>
      <c r="U849" s="15"/>
      <c r="V849" s="15"/>
      <c r="W849" s="15"/>
      <c r="X849" s="15"/>
      <c r="Y849" s="15"/>
      <c r="Z849" s="15"/>
      <c r="AA849" s="15"/>
      <c r="AB849" s="15"/>
    </row>
    <row r="850">
      <c r="B850" s="15"/>
      <c r="C850" s="15"/>
      <c r="D850" s="15"/>
      <c r="E850" s="15"/>
      <c r="F850" s="15"/>
      <c r="G850" s="15"/>
      <c r="H850" s="15"/>
      <c r="I850" s="15"/>
      <c r="J850" s="15"/>
      <c r="K850" s="15"/>
      <c r="L850" s="15"/>
      <c r="M850" s="15"/>
      <c r="N850" s="15"/>
      <c r="O850" s="15"/>
      <c r="P850" s="15"/>
      <c r="Q850" s="15"/>
      <c r="R850" s="15"/>
      <c r="S850" s="15"/>
      <c r="T850" s="15"/>
      <c r="U850" s="15"/>
      <c r="V850" s="15"/>
      <c r="W850" s="15"/>
      <c r="X850" s="15"/>
      <c r="Y850" s="15"/>
      <c r="Z850" s="15"/>
      <c r="AA850" s="15"/>
      <c r="AB850" s="15"/>
    </row>
    <row r="851">
      <c r="B851" s="15"/>
      <c r="C851" s="15"/>
      <c r="D851" s="15"/>
      <c r="E851" s="15"/>
      <c r="F851" s="15"/>
      <c r="G851" s="15"/>
      <c r="H851" s="15"/>
      <c r="I851" s="15"/>
      <c r="J851" s="15"/>
      <c r="K851" s="15"/>
      <c r="L851" s="15"/>
      <c r="M851" s="15"/>
      <c r="N851" s="15"/>
      <c r="O851" s="15"/>
      <c r="P851" s="15"/>
      <c r="Q851" s="15"/>
      <c r="R851" s="15"/>
      <c r="S851" s="15"/>
      <c r="T851" s="15"/>
      <c r="U851" s="15"/>
      <c r="V851" s="15"/>
      <c r="W851" s="15"/>
      <c r="X851" s="15"/>
      <c r="Y851" s="15"/>
      <c r="Z851" s="15"/>
      <c r="AA851" s="15"/>
      <c r="AB851" s="15"/>
    </row>
    <row r="852">
      <c r="B852" s="15"/>
      <c r="C852" s="15"/>
      <c r="D852" s="15"/>
      <c r="E852" s="15"/>
      <c r="F852" s="15"/>
      <c r="G852" s="15"/>
      <c r="H852" s="15"/>
      <c r="I852" s="15"/>
      <c r="J852" s="15"/>
      <c r="K852" s="15"/>
      <c r="L852" s="15"/>
      <c r="M852" s="15"/>
      <c r="N852" s="15"/>
      <c r="O852" s="15"/>
      <c r="P852" s="15"/>
      <c r="Q852" s="15"/>
      <c r="R852" s="15"/>
      <c r="S852" s="15"/>
      <c r="T852" s="15"/>
      <c r="U852" s="15"/>
      <c r="V852" s="15"/>
      <c r="W852" s="15"/>
      <c r="X852" s="15"/>
      <c r="Y852" s="15"/>
      <c r="Z852" s="15"/>
      <c r="AA852" s="15"/>
      <c r="AB852" s="15"/>
    </row>
    <row r="853">
      <c r="B853" s="15"/>
      <c r="C853" s="15"/>
      <c r="D853" s="15"/>
      <c r="E853" s="15"/>
      <c r="F853" s="15"/>
      <c r="G853" s="15"/>
      <c r="H853" s="15"/>
      <c r="I853" s="15"/>
      <c r="J853" s="15"/>
      <c r="K853" s="15"/>
      <c r="L853" s="15"/>
      <c r="M853" s="15"/>
      <c r="N853" s="15"/>
      <c r="O853" s="15"/>
      <c r="P853" s="15"/>
      <c r="Q853" s="15"/>
      <c r="R853" s="15"/>
      <c r="S853" s="15"/>
      <c r="T853" s="15"/>
      <c r="U853" s="15"/>
      <c r="V853" s="15"/>
      <c r="W853" s="15"/>
      <c r="X853" s="15"/>
      <c r="Y853" s="15"/>
      <c r="Z853" s="15"/>
      <c r="AA853" s="15"/>
      <c r="AB853" s="15"/>
    </row>
    <row r="854">
      <c r="B854" s="15"/>
      <c r="C854" s="15"/>
      <c r="D854" s="15"/>
      <c r="E854" s="15"/>
      <c r="F854" s="15"/>
      <c r="G854" s="15"/>
      <c r="H854" s="15"/>
      <c r="I854" s="15"/>
      <c r="J854" s="15"/>
      <c r="K854" s="15"/>
      <c r="L854" s="15"/>
      <c r="M854" s="15"/>
      <c r="N854" s="15"/>
      <c r="O854" s="15"/>
      <c r="P854" s="15"/>
      <c r="Q854" s="15"/>
      <c r="R854" s="15"/>
      <c r="S854" s="15"/>
      <c r="T854" s="15"/>
      <c r="U854" s="15"/>
      <c r="V854" s="15"/>
      <c r="W854" s="15"/>
      <c r="X854" s="15"/>
      <c r="Y854" s="15"/>
      <c r="Z854" s="15"/>
      <c r="AA854" s="15"/>
      <c r="AB854" s="15"/>
    </row>
    <row r="855">
      <c r="B855" s="15"/>
      <c r="C855" s="15"/>
      <c r="D855" s="15"/>
      <c r="E855" s="15"/>
      <c r="F855" s="15"/>
      <c r="G855" s="15"/>
      <c r="H855" s="15"/>
      <c r="I855" s="15"/>
      <c r="J855" s="15"/>
      <c r="K855" s="15"/>
      <c r="L855" s="15"/>
      <c r="M855" s="15"/>
      <c r="N855" s="15"/>
      <c r="O855" s="15"/>
      <c r="P855" s="15"/>
      <c r="Q855" s="15"/>
      <c r="R855" s="15"/>
      <c r="S855" s="15"/>
      <c r="T855" s="15"/>
      <c r="U855" s="15"/>
      <c r="V855" s="15"/>
      <c r="W855" s="15"/>
      <c r="X855" s="15"/>
      <c r="Y855" s="15"/>
      <c r="Z855" s="15"/>
      <c r="AA855" s="15"/>
      <c r="AB855" s="15"/>
    </row>
    <row r="856">
      <c r="B856" s="15"/>
      <c r="C856" s="15"/>
      <c r="D856" s="15"/>
      <c r="E856" s="15"/>
      <c r="F856" s="15"/>
      <c r="G856" s="15"/>
      <c r="H856" s="15"/>
      <c r="I856" s="15"/>
      <c r="J856" s="15"/>
      <c r="K856" s="15"/>
      <c r="L856" s="15"/>
      <c r="M856" s="15"/>
      <c r="N856" s="15"/>
      <c r="O856" s="15"/>
      <c r="P856" s="15"/>
      <c r="Q856" s="15"/>
      <c r="R856" s="15"/>
      <c r="S856" s="15"/>
      <c r="T856" s="15"/>
      <c r="U856" s="15"/>
      <c r="V856" s="15"/>
      <c r="W856" s="15"/>
      <c r="X856" s="15"/>
      <c r="Y856" s="15"/>
      <c r="Z856" s="15"/>
      <c r="AA856" s="15"/>
      <c r="AB856" s="15"/>
    </row>
    <row r="857">
      <c r="B857" s="15"/>
      <c r="C857" s="15"/>
      <c r="D857" s="15"/>
      <c r="E857" s="15"/>
      <c r="F857" s="15"/>
      <c r="G857" s="15"/>
      <c r="H857" s="15"/>
      <c r="I857" s="15"/>
      <c r="J857" s="15"/>
      <c r="K857" s="15"/>
      <c r="L857" s="15"/>
      <c r="M857" s="15"/>
      <c r="N857" s="15"/>
      <c r="O857" s="15"/>
      <c r="P857" s="15"/>
      <c r="Q857" s="15"/>
      <c r="R857" s="15"/>
      <c r="S857" s="15"/>
      <c r="T857" s="15"/>
      <c r="U857" s="15"/>
      <c r="V857" s="15"/>
      <c r="W857" s="15"/>
      <c r="X857" s="15"/>
      <c r="Y857" s="15"/>
      <c r="Z857" s="15"/>
      <c r="AA857" s="15"/>
      <c r="AB857" s="15"/>
    </row>
    <row r="858">
      <c r="B858" s="15"/>
      <c r="C858" s="15"/>
      <c r="D858" s="15"/>
      <c r="E858" s="15"/>
      <c r="F858" s="15"/>
      <c r="G858" s="15"/>
      <c r="H858" s="15"/>
      <c r="I858" s="15"/>
      <c r="J858" s="15"/>
      <c r="K858" s="15"/>
      <c r="L858" s="15"/>
      <c r="M858" s="15"/>
      <c r="N858" s="15"/>
      <c r="O858" s="15"/>
      <c r="P858" s="15"/>
      <c r="Q858" s="15"/>
      <c r="R858" s="15"/>
      <c r="S858" s="15"/>
      <c r="T858" s="15"/>
      <c r="U858" s="15"/>
      <c r="V858" s="15"/>
      <c r="W858" s="15"/>
      <c r="X858" s="15"/>
      <c r="Y858" s="15"/>
      <c r="Z858" s="15"/>
      <c r="AA858" s="15"/>
      <c r="AB858" s="15"/>
    </row>
    <row r="859">
      <c r="B859" s="15"/>
      <c r="C859" s="15"/>
      <c r="D859" s="15"/>
      <c r="E859" s="15"/>
      <c r="F859" s="15"/>
      <c r="G859" s="15"/>
      <c r="H859" s="15"/>
      <c r="I859" s="15"/>
      <c r="J859" s="15"/>
      <c r="K859" s="15"/>
      <c r="L859" s="15"/>
      <c r="M859" s="15"/>
      <c r="N859" s="15"/>
      <c r="O859" s="15"/>
      <c r="P859" s="15"/>
      <c r="Q859" s="15"/>
      <c r="R859" s="15"/>
      <c r="S859" s="15"/>
      <c r="T859" s="15"/>
      <c r="U859" s="15"/>
      <c r="V859" s="15"/>
      <c r="W859" s="15"/>
      <c r="X859" s="15"/>
      <c r="Y859" s="15"/>
      <c r="Z859" s="15"/>
      <c r="AA859" s="15"/>
      <c r="AB859" s="15"/>
    </row>
    <row r="860">
      <c r="B860" s="15"/>
      <c r="C860" s="15"/>
      <c r="D860" s="15"/>
      <c r="E860" s="15"/>
      <c r="F860" s="15"/>
      <c r="G860" s="15"/>
      <c r="H860" s="15"/>
      <c r="I860" s="15"/>
      <c r="J860" s="15"/>
      <c r="K860" s="15"/>
      <c r="L860" s="15"/>
      <c r="M860" s="15"/>
      <c r="N860" s="15"/>
      <c r="O860" s="15"/>
      <c r="P860" s="15"/>
      <c r="Q860" s="15"/>
      <c r="R860" s="15"/>
      <c r="S860" s="15"/>
      <c r="T860" s="15"/>
      <c r="U860" s="15"/>
      <c r="V860" s="15"/>
      <c r="W860" s="15"/>
      <c r="X860" s="15"/>
      <c r="Y860" s="15"/>
      <c r="Z860" s="15"/>
      <c r="AA860" s="15"/>
      <c r="AB860" s="15"/>
    </row>
    <row r="861">
      <c r="B861" s="15"/>
      <c r="C861" s="15"/>
      <c r="D861" s="15"/>
      <c r="E861" s="15"/>
      <c r="F861" s="15"/>
      <c r="G861" s="15"/>
      <c r="H861" s="15"/>
      <c r="I861" s="15"/>
      <c r="J861" s="15"/>
      <c r="K861" s="15"/>
      <c r="L861" s="15"/>
      <c r="M861" s="15"/>
      <c r="N861" s="15"/>
      <c r="O861" s="15"/>
      <c r="P861" s="15"/>
      <c r="Q861" s="15"/>
      <c r="R861" s="15"/>
      <c r="S861" s="15"/>
      <c r="T861" s="15"/>
      <c r="U861" s="15"/>
      <c r="V861" s="15"/>
      <c r="W861" s="15"/>
      <c r="X861" s="15"/>
      <c r="Y861" s="15"/>
      <c r="Z861" s="15"/>
      <c r="AA861" s="15"/>
      <c r="AB861" s="15"/>
    </row>
    <row r="862">
      <c r="B862" s="15"/>
      <c r="C862" s="15"/>
      <c r="D862" s="15"/>
      <c r="E862" s="15"/>
      <c r="F862" s="15"/>
      <c r="G862" s="15"/>
      <c r="H862" s="15"/>
      <c r="I862" s="15"/>
      <c r="J862" s="15"/>
      <c r="K862" s="15"/>
      <c r="L862" s="15"/>
      <c r="M862" s="15"/>
      <c r="N862" s="15"/>
      <c r="O862" s="15"/>
      <c r="P862" s="15"/>
      <c r="Q862" s="15"/>
      <c r="R862" s="15"/>
      <c r="S862" s="15"/>
      <c r="T862" s="15"/>
      <c r="U862" s="15"/>
      <c r="V862" s="15"/>
      <c r="W862" s="15"/>
      <c r="X862" s="15"/>
      <c r="Y862" s="15"/>
      <c r="Z862" s="15"/>
      <c r="AA862" s="15"/>
      <c r="AB862" s="15"/>
    </row>
    <row r="863">
      <c r="B863" s="15"/>
      <c r="C863" s="15"/>
      <c r="D863" s="15"/>
      <c r="E863" s="15"/>
      <c r="F863" s="15"/>
      <c r="G863" s="15"/>
      <c r="H863" s="15"/>
      <c r="I863" s="15"/>
      <c r="J863" s="15"/>
      <c r="K863" s="15"/>
      <c r="L863" s="15"/>
      <c r="M863" s="15"/>
      <c r="N863" s="15"/>
      <c r="O863" s="15"/>
      <c r="P863" s="15"/>
      <c r="Q863" s="15"/>
      <c r="R863" s="15"/>
      <c r="S863" s="15"/>
      <c r="T863" s="15"/>
      <c r="U863" s="15"/>
      <c r="V863" s="15"/>
      <c r="W863" s="15"/>
      <c r="X863" s="15"/>
      <c r="Y863" s="15"/>
      <c r="Z863" s="15"/>
      <c r="AA863" s="15"/>
      <c r="AB863" s="15"/>
    </row>
    <row r="864">
      <c r="B864" s="15"/>
      <c r="C864" s="15"/>
      <c r="D864" s="15"/>
      <c r="E864" s="15"/>
      <c r="F864" s="15"/>
      <c r="G864" s="15"/>
      <c r="H864" s="15"/>
      <c r="I864" s="15"/>
      <c r="J864" s="15"/>
      <c r="K864" s="15"/>
      <c r="L864" s="15"/>
      <c r="M864" s="15"/>
      <c r="N864" s="15"/>
      <c r="O864" s="15"/>
      <c r="P864" s="15"/>
      <c r="Q864" s="15"/>
      <c r="R864" s="15"/>
      <c r="S864" s="15"/>
      <c r="T864" s="15"/>
      <c r="U864" s="15"/>
      <c r="V864" s="15"/>
      <c r="W864" s="15"/>
      <c r="X864" s="15"/>
      <c r="Y864" s="15"/>
      <c r="Z864" s="15"/>
      <c r="AA864" s="15"/>
      <c r="AB864" s="15"/>
    </row>
    <row r="865">
      <c r="B865" s="15"/>
      <c r="C865" s="15"/>
      <c r="D865" s="15"/>
      <c r="E865" s="15"/>
      <c r="F865" s="15"/>
      <c r="G865" s="15"/>
      <c r="H865" s="15"/>
      <c r="I865" s="15"/>
      <c r="J865" s="15"/>
      <c r="K865" s="15"/>
      <c r="L865" s="15"/>
      <c r="M865" s="15"/>
      <c r="N865" s="15"/>
      <c r="O865" s="15"/>
      <c r="P865" s="15"/>
      <c r="Q865" s="15"/>
      <c r="R865" s="15"/>
      <c r="S865" s="15"/>
      <c r="T865" s="15"/>
      <c r="U865" s="15"/>
      <c r="V865" s="15"/>
      <c r="W865" s="15"/>
      <c r="X865" s="15"/>
      <c r="Y865" s="15"/>
      <c r="Z865" s="15"/>
      <c r="AA865" s="15"/>
      <c r="AB865" s="15"/>
    </row>
    <row r="866">
      <c r="B866" s="15"/>
      <c r="C866" s="15"/>
      <c r="D866" s="15"/>
      <c r="E866" s="15"/>
      <c r="F866" s="15"/>
      <c r="G866" s="15"/>
      <c r="H866" s="15"/>
      <c r="I866" s="15"/>
      <c r="J866" s="15"/>
      <c r="K866" s="15"/>
      <c r="L866" s="15"/>
      <c r="M866" s="15"/>
      <c r="N866" s="15"/>
      <c r="O866" s="15"/>
      <c r="P866" s="15"/>
      <c r="Q866" s="15"/>
      <c r="R866" s="15"/>
      <c r="S866" s="15"/>
      <c r="T866" s="15"/>
      <c r="U866" s="15"/>
      <c r="V866" s="15"/>
      <c r="W866" s="15"/>
      <c r="X866" s="15"/>
      <c r="Y866" s="15"/>
      <c r="Z866" s="15"/>
      <c r="AA866" s="15"/>
      <c r="AB866" s="15"/>
    </row>
    <row r="867">
      <c r="B867" s="15"/>
      <c r="C867" s="15"/>
      <c r="D867" s="15"/>
      <c r="E867" s="15"/>
      <c r="F867" s="15"/>
      <c r="G867" s="15"/>
      <c r="H867" s="15"/>
      <c r="I867" s="15"/>
      <c r="J867" s="15"/>
      <c r="K867" s="15"/>
      <c r="L867" s="15"/>
      <c r="M867" s="15"/>
      <c r="N867" s="15"/>
      <c r="O867" s="15"/>
      <c r="P867" s="15"/>
      <c r="Q867" s="15"/>
      <c r="R867" s="15"/>
      <c r="S867" s="15"/>
      <c r="T867" s="15"/>
      <c r="U867" s="15"/>
      <c r="V867" s="15"/>
      <c r="W867" s="15"/>
      <c r="X867" s="15"/>
      <c r="Y867" s="15"/>
      <c r="Z867" s="15"/>
      <c r="AA867" s="15"/>
      <c r="AB867" s="15"/>
    </row>
    <row r="868">
      <c r="B868" s="15"/>
      <c r="C868" s="15"/>
      <c r="D868" s="15"/>
      <c r="E868" s="15"/>
      <c r="F868" s="15"/>
      <c r="G868" s="15"/>
      <c r="H868" s="15"/>
      <c r="I868" s="15"/>
      <c r="J868" s="15"/>
      <c r="K868" s="15"/>
      <c r="L868" s="15"/>
      <c r="M868" s="15"/>
      <c r="N868" s="15"/>
      <c r="O868" s="15"/>
      <c r="P868" s="15"/>
      <c r="Q868" s="15"/>
      <c r="R868" s="15"/>
      <c r="S868" s="15"/>
      <c r="T868" s="15"/>
      <c r="U868" s="15"/>
      <c r="V868" s="15"/>
      <c r="W868" s="15"/>
      <c r="X868" s="15"/>
      <c r="Y868" s="15"/>
      <c r="Z868" s="15"/>
      <c r="AA868" s="15"/>
      <c r="AB868" s="15"/>
    </row>
    <row r="869">
      <c r="B869" s="15"/>
      <c r="C869" s="15"/>
      <c r="D869" s="15"/>
      <c r="E869" s="15"/>
      <c r="F869" s="15"/>
      <c r="G869" s="15"/>
      <c r="H869" s="15"/>
      <c r="I869" s="15"/>
      <c r="J869" s="15"/>
      <c r="K869" s="15"/>
      <c r="L869" s="15"/>
      <c r="M869" s="15"/>
      <c r="N869" s="15"/>
      <c r="O869" s="15"/>
      <c r="P869" s="15"/>
      <c r="Q869" s="15"/>
      <c r="R869" s="15"/>
      <c r="S869" s="15"/>
      <c r="T869" s="15"/>
      <c r="U869" s="15"/>
      <c r="V869" s="15"/>
      <c r="W869" s="15"/>
      <c r="X869" s="15"/>
      <c r="Y869" s="15"/>
      <c r="Z869" s="15"/>
      <c r="AA869" s="15"/>
      <c r="AB869" s="15"/>
    </row>
    <row r="870">
      <c r="B870" s="15"/>
      <c r="C870" s="15"/>
      <c r="D870" s="15"/>
      <c r="E870" s="15"/>
      <c r="F870" s="15"/>
      <c r="G870" s="15"/>
      <c r="H870" s="15"/>
      <c r="I870" s="15"/>
      <c r="J870" s="15"/>
      <c r="K870" s="15"/>
      <c r="L870" s="15"/>
      <c r="M870" s="15"/>
      <c r="N870" s="15"/>
      <c r="O870" s="15"/>
      <c r="P870" s="15"/>
      <c r="Q870" s="15"/>
      <c r="R870" s="15"/>
      <c r="S870" s="15"/>
      <c r="T870" s="15"/>
      <c r="U870" s="15"/>
      <c r="V870" s="15"/>
      <c r="W870" s="15"/>
      <c r="X870" s="15"/>
      <c r="Y870" s="15"/>
      <c r="Z870" s="15"/>
      <c r="AA870" s="15"/>
      <c r="AB870" s="15"/>
    </row>
    <row r="871">
      <c r="B871" s="15"/>
      <c r="C871" s="15"/>
      <c r="D871" s="15"/>
      <c r="E871" s="15"/>
      <c r="F871" s="15"/>
      <c r="G871" s="15"/>
      <c r="H871" s="15"/>
      <c r="I871" s="15"/>
      <c r="J871" s="15"/>
      <c r="K871" s="15"/>
      <c r="L871" s="15"/>
      <c r="M871" s="15"/>
      <c r="N871" s="15"/>
      <c r="O871" s="15"/>
      <c r="P871" s="15"/>
      <c r="Q871" s="15"/>
      <c r="R871" s="15"/>
      <c r="S871" s="15"/>
      <c r="T871" s="15"/>
      <c r="U871" s="15"/>
      <c r="V871" s="15"/>
      <c r="W871" s="15"/>
      <c r="X871" s="15"/>
      <c r="Y871" s="15"/>
      <c r="Z871" s="15"/>
      <c r="AA871" s="15"/>
      <c r="AB871" s="15"/>
    </row>
    <row r="872">
      <c r="B872" s="15"/>
      <c r="C872" s="15"/>
      <c r="D872" s="15"/>
      <c r="E872" s="15"/>
      <c r="F872" s="15"/>
      <c r="G872" s="15"/>
      <c r="H872" s="15"/>
      <c r="I872" s="15"/>
      <c r="J872" s="15"/>
      <c r="K872" s="15"/>
      <c r="L872" s="15"/>
      <c r="M872" s="15"/>
      <c r="N872" s="15"/>
      <c r="O872" s="15"/>
      <c r="P872" s="15"/>
      <c r="Q872" s="15"/>
      <c r="R872" s="15"/>
      <c r="S872" s="15"/>
      <c r="T872" s="15"/>
      <c r="U872" s="15"/>
      <c r="V872" s="15"/>
      <c r="W872" s="15"/>
      <c r="X872" s="15"/>
      <c r="Y872" s="15"/>
      <c r="Z872" s="15"/>
      <c r="AA872" s="15"/>
      <c r="AB872" s="15"/>
    </row>
    <row r="873">
      <c r="B873" s="15"/>
      <c r="C873" s="15"/>
      <c r="D873" s="15"/>
      <c r="E873" s="15"/>
      <c r="F873" s="15"/>
      <c r="G873" s="15"/>
      <c r="H873" s="15"/>
      <c r="I873" s="15"/>
      <c r="J873" s="15"/>
      <c r="K873" s="15"/>
      <c r="L873" s="15"/>
      <c r="M873" s="15"/>
      <c r="N873" s="15"/>
      <c r="O873" s="15"/>
      <c r="P873" s="15"/>
      <c r="Q873" s="15"/>
      <c r="R873" s="15"/>
      <c r="S873" s="15"/>
      <c r="T873" s="15"/>
      <c r="U873" s="15"/>
      <c r="V873" s="15"/>
      <c r="W873" s="15"/>
      <c r="X873" s="15"/>
      <c r="Y873" s="15"/>
      <c r="Z873" s="15"/>
      <c r="AA873" s="15"/>
      <c r="AB873" s="15"/>
    </row>
    <row r="874">
      <c r="B874" s="15"/>
      <c r="C874" s="15"/>
      <c r="D874" s="15"/>
      <c r="E874" s="15"/>
      <c r="F874" s="15"/>
      <c r="G874" s="15"/>
      <c r="H874" s="15"/>
      <c r="I874" s="15"/>
      <c r="J874" s="15"/>
      <c r="K874" s="15"/>
      <c r="L874" s="15"/>
      <c r="M874" s="15"/>
      <c r="N874" s="15"/>
      <c r="O874" s="15"/>
      <c r="P874" s="15"/>
      <c r="Q874" s="15"/>
      <c r="R874" s="15"/>
      <c r="S874" s="15"/>
      <c r="T874" s="15"/>
      <c r="U874" s="15"/>
      <c r="V874" s="15"/>
      <c r="W874" s="15"/>
      <c r="X874" s="15"/>
      <c r="Y874" s="15"/>
      <c r="Z874" s="15"/>
      <c r="AA874" s="15"/>
      <c r="AB874" s="15"/>
    </row>
    <row r="875">
      <c r="B875" s="15"/>
      <c r="C875" s="15"/>
      <c r="D875" s="15"/>
      <c r="E875" s="15"/>
      <c r="F875" s="15"/>
      <c r="G875" s="15"/>
      <c r="H875" s="15"/>
      <c r="I875" s="15"/>
      <c r="J875" s="15"/>
      <c r="K875" s="15"/>
      <c r="L875" s="15"/>
      <c r="M875" s="15"/>
      <c r="N875" s="15"/>
      <c r="O875" s="15"/>
      <c r="P875" s="15"/>
      <c r="Q875" s="15"/>
      <c r="R875" s="15"/>
      <c r="S875" s="15"/>
      <c r="T875" s="15"/>
      <c r="U875" s="15"/>
      <c r="V875" s="15"/>
      <c r="W875" s="15"/>
      <c r="X875" s="15"/>
      <c r="Y875" s="15"/>
      <c r="Z875" s="15"/>
      <c r="AA875" s="15"/>
      <c r="AB875" s="15"/>
    </row>
    <row r="876">
      <c r="B876" s="15"/>
      <c r="C876" s="15"/>
      <c r="D876" s="15"/>
      <c r="E876" s="15"/>
      <c r="F876" s="15"/>
      <c r="G876" s="15"/>
      <c r="H876" s="15"/>
      <c r="I876" s="15"/>
      <c r="J876" s="15"/>
      <c r="K876" s="15"/>
      <c r="L876" s="15"/>
      <c r="M876" s="15"/>
      <c r="N876" s="15"/>
      <c r="O876" s="15"/>
      <c r="P876" s="15"/>
      <c r="Q876" s="15"/>
      <c r="R876" s="15"/>
      <c r="S876" s="15"/>
      <c r="T876" s="15"/>
      <c r="U876" s="15"/>
      <c r="V876" s="15"/>
      <c r="W876" s="15"/>
      <c r="X876" s="15"/>
      <c r="Y876" s="15"/>
      <c r="Z876" s="15"/>
      <c r="AA876" s="15"/>
      <c r="AB876" s="15"/>
    </row>
    <row r="877">
      <c r="B877" s="15"/>
      <c r="C877" s="15"/>
      <c r="D877" s="15"/>
      <c r="E877" s="15"/>
      <c r="F877" s="15"/>
      <c r="G877" s="15"/>
      <c r="H877" s="15"/>
      <c r="I877" s="15"/>
      <c r="J877" s="15"/>
      <c r="K877" s="15"/>
      <c r="L877" s="15"/>
      <c r="M877" s="15"/>
      <c r="N877" s="15"/>
      <c r="O877" s="15"/>
      <c r="P877" s="15"/>
      <c r="Q877" s="15"/>
      <c r="R877" s="15"/>
      <c r="S877" s="15"/>
      <c r="T877" s="15"/>
      <c r="U877" s="15"/>
      <c r="V877" s="15"/>
      <c r="W877" s="15"/>
      <c r="X877" s="15"/>
      <c r="Y877" s="15"/>
      <c r="Z877" s="15"/>
      <c r="AA877" s="15"/>
      <c r="AB877" s="15"/>
    </row>
    <row r="878">
      <c r="B878" s="15"/>
      <c r="C878" s="15"/>
      <c r="D878" s="15"/>
      <c r="E878" s="15"/>
      <c r="F878" s="15"/>
      <c r="G878" s="15"/>
      <c r="H878" s="15"/>
      <c r="I878" s="15"/>
      <c r="J878" s="15"/>
      <c r="K878" s="15"/>
      <c r="L878" s="15"/>
      <c r="M878" s="15"/>
      <c r="N878" s="15"/>
      <c r="O878" s="15"/>
      <c r="P878" s="15"/>
      <c r="Q878" s="15"/>
      <c r="R878" s="15"/>
      <c r="S878" s="15"/>
      <c r="T878" s="15"/>
      <c r="U878" s="15"/>
      <c r="V878" s="15"/>
      <c r="W878" s="15"/>
      <c r="X878" s="15"/>
      <c r="Y878" s="15"/>
      <c r="Z878" s="15"/>
      <c r="AA878" s="15"/>
      <c r="AB878" s="15"/>
    </row>
    <row r="879">
      <c r="B879" s="15"/>
      <c r="C879" s="15"/>
      <c r="D879" s="15"/>
      <c r="E879" s="15"/>
      <c r="F879" s="15"/>
      <c r="G879" s="15"/>
      <c r="H879" s="15"/>
      <c r="I879" s="15"/>
      <c r="J879" s="15"/>
      <c r="K879" s="15"/>
      <c r="L879" s="15"/>
      <c r="M879" s="15"/>
      <c r="N879" s="15"/>
      <c r="O879" s="15"/>
      <c r="P879" s="15"/>
      <c r="Q879" s="15"/>
      <c r="R879" s="15"/>
      <c r="S879" s="15"/>
      <c r="T879" s="15"/>
      <c r="U879" s="15"/>
      <c r="V879" s="15"/>
      <c r="W879" s="15"/>
      <c r="X879" s="15"/>
      <c r="Y879" s="15"/>
      <c r="Z879" s="15"/>
      <c r="AA879" s="15"/>
      <c r="AB879" s="15"/>
    </row>
    <row r="880">
      <c r="B880" s="15"/>
      <c r="C880" s="15"/>
      <c r="D880" s="15"/>
      <c r="E880" s="15"/>
      <c r="F880" s="15"/>
      <c r="G880" s="15"/>
      <c r="H880" s="15"/>
      <c r="I880" s="15"/>
      <c r="J880" s="15"/>
      <c r="K880" s="15"/>
      <c r="L880" s="15"/>
      <c r="M880" s="15"/>
      <c r="N880" s="15"/>
      <c r="O880" s="15"/>
      <c r="P880" s="15"/>
      <c r="Q880" s="15"/>
      <c r="R880" s="15"/>
      <c r="S880" s="15"/>
      <c r="T880" s="15"/>
      <c r="U880" s="15"/>
      <c r="V880" s="15"/>
      <c r="W880" s="15"/>
      <c r="X880" s="15"/>
      <c r="Y880" s="15"/>
      <c r="Z880" s="15"/>
      <c r="AA880" s="15"/>
      <c r="AB880" s="15"/>
    </row>
    <row r="881">
      <c r="B881" s="15"/>
      <c r="C881" s="15"/>
      <c r="D881" s="15"/>
      <c r="E881" s="15"/>
      <c r="F881" s="15"/>
      <c r="G881" s="15"/>
      <c r="H881" s="15"/>
      <c r="I881" s="15"/>
      <c r="J881" s="15"/>
      <c r="K881" s="15"/>
      <c r="L881" s="15"/>
      <c r="M881" s="15"/>
      <c r="N881" s="15"/>
      <c r="O881" s="15"/>
      <c r="P881" s="15"/>
      <c r="Q881" s="15"/>
      <c r="R881" s="15"/>
      <c r="S881" s="15"/>
      <c r="T881" s="15"/>
      <c r="U881" s="15"/>
      <c r="V881" s="15"/>
      <c r="W881" s="15"/>
      <c r="X881" s="15"/>
      <c r="Y881" s="15"/>
      <c r="Z881" s="15"/>
      <c r="AA881" s="15"/>
      <c r="AB881" s="15"/>
    </row>
    <row r="882">
      <c r="B882" s="15"/>
      <c r="C882" s="15"/>
      <c r="D882" s="15"/>
      <c r="E882" s="15"/>
      <c r="F882" s="15"/>
      <c r="G882" s="15"/>
      <c r="H882" s="15"/>
      <c r="I882" s="15"/>
      <c r="J882" s="15"/>
      <c r="K882" s="15"/>
      <c r="L882" s="15"/>
      <c r="M882" s="15"/>
      <c r="N882" s="15"/>
      <c r="O882" s="15"/>
      <c r="P882" s="15"/>
      <c r="Q882" s="15"/>
      <c r="R882" s="15"/>
      <c r="S882" s="15"/>
      <c r="T882" s="15"/>
      <c r="U882" s="15"/>
      <c r="V882" s="15"/>
      <c r="W882" s="15"/>
      <c r="X882" s="15"/>
      <c r="Y882" s="15"/>
      <c r="Z882" s="15"/>
      <c r="AA882" s="15"/>
      <c r="AB882" s="15"/>
    </row>
    <row r="883">
      <c r="B883" s="15"/>
      <c r="C883" s="15"/>
      <c r="D883" s="15"/>
      <c r="E883" s="15"/>
      <c r="F883" s="15"/>
      <c r="G883" s="15"/>
      <c r="H883" s="15"/>
      <c r="I883" s="15"/>
      <c r="J883" s="15"/>
      <c r="K883" s="15"/>
      <c r="L883" s="15"/>
      <c r="M883" s="15"/>
      <c r="N883" s="15"/>
      <c r="O883" s="15"/>
      <c r="P883" s="15"/>
      <c r="Q883" s="15"/>
      <c r="R883" s="15"/>
      <c r="S883" s="15"/>
      <c r="T883" s="15"/>
      <c r="U883" s="15"/>
      <c r="V883" s="15"/>
      <c r="W883" s="15"/>
      <c r="X883" s="15"/>
      <c r="Y883" s="15"/>
      <c r="Z883" s="15"/>
      <c r="AA883" s="15"/>
      <c r="AB883" s="15"/>
    </row>
    <row r="884">
      <c r="B884" s="15"/>
      <c r="C884" s="15"/>
      <c r="D884" s="15"/>
      <c r="E884" s="15"/>
      <c r="F884" s="15"/>
      <c r="G884" s="15"/>
      <c r="H884" s="15"/>
      <c r="I884" s="15"/>
      <c r="J884" s="15"/>
      <c r="K884" s="15"/>
      <c r="L884" s="15"/>
      <c r="M884" s="15"/>
      <c r="N884" s="15"/>
      <c r="O884" s="15"/>
      <c r="P884" s="15"/>
      <c r="Q884" s="15"/>
      <c r="R884" s="15"/>
      <c r="S884" s="15"/>
      <c r="T884" s="15"/>
      <c r="U884" s="15"/>
      <c r="V884" s="15"/>
      <c r="W884" s="15"/>
      <c r="X884" s="15"/>
      <c r="Y884" s="15"/>
      <c r="Z884" s="15"/>
      <c r="AA884" s="15"/>
      <c r="AB884" s="15"/>
    </row>
    <row r="885">
      <c r="B885" s="15"/>
      <c r="C885" s="15"/>
      <c r="D885" s="15"/>
      <c r="E885" s="15"/>
      <c r="F885" s="15"/>
      <c r="G885" s="15"/>
      <c r="H885" s="15"/>
      <c r="I885" s="15"/>
      <c r="J885" s="15"/>
      <c r="K885" s="15"/>
      <c r="L885" s="15"/>
      <c r="M885" s="15"/>
      <c r="N885" s="15"/>
      <c r="O885" s="15"/>
      <c r="P885" s="15"/>
      <c r="Q885" s="15"/>
      <c r="R885" s="15"/>
      <c r="S885" s="15"/>
      <c r="T885" s="15"/>
      <c r="U885" s="15"/>
      <c r="V885" s="15"/>
      <c r="W885" s="15"/>
      <c r="X885" s="15"/>
      <c r="Y885" s="15"/>
      <c r="Z885" s="15"/>
      <c r="AA885" s="15"/>
      <c r="AB885" s="15"/>
    </row>
    <row r="886">
      <c r="B886" s="15"/>
      <c r="C886" s="15"/>
      <c r="D886" s="15"/>
      <c r="E886" s="15"/>
      <c r="F886" s="15"/>
      <c r="G886" s="15"/>
      <c r="H886" s="15"/>
      <c r="I886" s="15"/>
      <c r="J886" s="15"/>
      <c r="K886" s="15"/>
      <c r="L886" s="15"/>
      <c r="M886" s="15"/>
      <c r="N886" s="15"/>
      <c r="O886" s="15"/>
      <c r="P886" s="15"/>
      <c r="Q886" s="15"/>
      <c r="R886" s="15"/>
      <c r="S886" s="15"/>
      <c r="T886" s="15"/>
      <c r="U886" s="15"/>
      <c r="V886" s="15"/>
      <c r="W886" s="15"/>
      <c r="X886" s="15"/>
      <c r="Y886" s="15"/>
      <c r="Z886" s="15"/>
      <c r="AA886" s="15"/>
      <c r="AB886" s="15"/>
    </row>
    <row r="887">
      <c r="B887" s="15"/>
      <c r="C887" s="15"/>
      <c r="D887" s="15"/>
      <c r="E887" s="15"/>
      <c r="F887" s="15"/>
      <c r="G887" s="15"/>
      <c r="H887" s="15"/>
      <c r="I887" s="15"/>
      <c r="J887" s="15"/>
      <c r="K887" s="15"/>
      <c r="L887" s="15"/>
      <c r="M887" s="15"/>
      <c r="N887" s="15"/>
      <c r="O887" s="15"/>
      <c r="P887" s="15"/>
      <c r="Q887" s="15"/>
      <c r="R887" s="15"/>
      <c r="S887" s="15"/>
      <c r="T887" s="15"/>
      <c r="U887" s="15"/>
      <c r="V887" s="15"/>
      <c r="W887" s="15"/>
      <c r="X887" s="15"/>
      <c r="Y887" s="15"/>
      <c r="Z887" s="15"/>
      <c r="AA887" s="15"/>
      <c r="AB887" s="15"/>
    </row>
    <row r="888">
      <c r="B888" s="15"/>
      <c r="C888" s="15"/>
      <c r="D888" s="15"/>
      <c r="E888" s="15"/>
      <c r="F888" s="15"/>
      <c r="G888" s="15"/>
      <c r="H888" s="15"/>
      <c r="I888" s="15"/>
      <c r="J888" s="15"/>
      <c r="K888" s="15"/>
      <c r="L888" s="15"/>
      <c r="M888" s="15"/>
      <c r="N888" s="15"/>
      <c r="O888" s="15"/>
      <c r="P888" s="15"/>
      <c r="Q888" s="15"/>
      <c r="R888" s="15"/>
      <c r="S888" s="15"/>
      <c r="T888" s="15"/>
      <c r="U888" s="15"/>
      <c r="V888" s="15"/>
      <c r="W888" s="15"/>
      <c r="X888" s="15"/>
      <c r="Y888" s="15"/>
      <c r="Z888" s="15"/>
      <c r="AA888" s="15"/>
      <c r="AB888" s="15"/>
    </row>
    <row r="889">
      <c r="B889" s="15"/>
      <c r="C889" s="15"/>
      <c r="D889" s="15"/>
      <c r="E889" s="15"/>
      <c r="F889" s="15"/>
      <c r="G889" s="15"/>
      <c r="H889" s="15"/>
      <c r="I889" s="15"/>
      <c r="J889" s="15"/>
      <c r="K889" s="15"/>
      <c r="L889" s="15"/>
      <c r="M889" s="15"/>
      <c r="N889" s="15"/>
      <c r="O889" s="15"/>
      <c r="P889" s="15"/>
      <c r="Q889" s="15"/>
      <c r="R889" s="15"/>
      <c r="S889" s="15"/>
      <c r="T889" s="15"/>
      <c r="U889" s="15"/>
      <c r="V889" s="15"/>
      <c r="W889" s="15"/>
      <c r="X889" s="15"/>
      <c r="Y889" s="15"/>
      <c r="Z889" s="15"/>
      <c r="AA889" s="15"/>
      <c r="AB889" s="15"/>
    </row>
    <row r="890">
      <c r="B890" s="15"/>
      <c r="C890" s="15"/>
      <c r="D890" s="15"/>
      <c r="E890" s="15"/>
      <c r="F890" s="15"/>
      <c r="G890" s="15"/>
      <c r="H890" s="15"/>
      <c r="I890" s="15"/>
      <c r="J890" s="15"/>
      <c r="K890" s="15"/>
      <c r="L890" s="15"/>
      <c r="M890" s="15"/>
      <c r="N890" s="15"/>
      <c r="O890" s="15"/>
      <c r="P890" s="15"/>
      <c r="Q890" s="15"/>
      <c r="R890" s="15"/>
      <c r="S890" s="15"/>
      <c r="T890" s="15"/>
      <c r="U890" s="15"/>
      <c r="V890" s="15"/>
      <c r="W890" s="15"/>
      <c r="X890" s="15"/>
      <c r="Y890" s="15"/>
      <c r="Z890" s="15"/>
      <c r="AA890" s="15"/>
      <c r="AB890" s="15"/>
    </row>
    <row r="891">
      <c r="B891" s="15"/>
      <c r="C891" s="15"/>
      <c r="D891" s="15"/>
      <c r="E891" s="15"/>
      <c r="F891" s="15"/>
      <c r="G891" s="15"/>
      <c r="H891" s="15"/>
      <c r="I891" s="15"/>
      <c r="J891" s="15"/>
      <c r="K891" s="15"/>
      <c r="L891" s="15"/>
      <c r="M891" s="15"/>
      <c r="N891" s="15"/>
      <c r="O891" s="15"/>
      <c r="P891" s="15"/>
      <c r="Q891" s="15"/>
      <c r="R891" s="15"/>
      <c r="S891" s="15"/>
      <c r="T891" s="15"/>
      <c r="U891" s="15"/>
      <c r="V891" s="15"/>
      <c r="W891" s="15"/>
      <c r="X891" s="15"/>
      <c r="Y891" s="15"/>
      <c r="Z891" s="15"/>
      <c r="AA891" s="15"/>
      <c r="AB891" s="15"/>
    </row>
    <row r="892">
      <c r="B892" s="15"/>
      <c r="C892" s="15"/>
      <c r="D892" s="15"/>
      <c r="E892" s="15"/>
      <c r="F892" s="15"/>
      <c r="G892" s="15"/>
      <c r="H892" s="15"/>
      <c r="I892" s="15"/>
      <c r="J892" s="15"/>
      <c r="K892" s="15"/>
      <c r="L892" s="15"/>
      <c r="M892" s="15"/>
      <c r="N892" s="15"/>
      <c r="O892" s="15"/>
      <c r="P892" s="15"/>
      <c r="Q892" s="15"/>
      <c r="R892" s="15"/>
      <c r="S892" s="15"/>
      <c r="T892" s="15"/>
      <c r="U892" s="15"/>
      <c r="V892" s="15"/>
      <c r="W892" s="15"/>
      <c r="X892" s="15"/>
      <c r="Y892" s="15"/>
      <c r="Z892" s="15"/>
      <c r="AA892" s="15"/>
      <c r="AB892" s="15"/>
    </row>
    <row r="893">
      <c r="B893" s="15"/>
      <c r="C893" s="15"/>
      <c r="D893" s="15"/>
      <c r="E893" s="15"/>
      <c r="F893" s="15"/>
      <c r="G893" s="15"/>
      <c r="H893" s="15"/>
      <c r="I893" s="15"/>
      <c r="J893" s="15"/>
      <c r="K893" s="15"/>
      <c r="L893" s="15"/>
      <c r="M893" s="15"/>
      <c r="N893" s="15"/>
      <c r="O893" s="15"/>
      <c r="P893" s="15"/>
      <c r="Q893" s="15"/>
      <c r="R893" s="15"/>
      <c r="S893" s="15"/>
      <c r="T893" s="15"/>
      <c r="U893" s="15"/>
      <c r="V893" s="15"/>
      <c r="W893" s="15"/>
      <c r="X893" s="15"/>
      <c r="Y893" s="15"/>
      <c r="Z893" s="15"/>
      <c r="AA893" s="15"/>
      <c r="AB893" s="15"/>
    </row>
    <row r="894">
      <c r="B894" s="15"/>
      <c r="C894" s="15"/>
      <c r="D894" s="15"/>
      <c r="E894" s="15"/>
      <c r="F894" s="15"/>
      <c r="G894" s="15"/>
      <c r="H894" s="15"/>
      <c r="I894" s="15"/>
      <c r="J894" s="15"/>
      <c r="K894" s="15"/>
      <c r="L894" s="15"/>
      <c r="M894" s="15"/>
      <c r="N894" s="15"/>
      <c r="O894" s="15"/>
      <c r="P894" s="15"/>
      <c r="Q894" s="15"/>
      <c r="R894" s="15"/>
      <c r="S894" s="15"/>
      <c r="T894" s="15"/>
      <c r="U894" s="15"/>
      <c r="V894" s="15"/>
      <c r="W894" s="15"/>
      <c r="X894" s="15"/>
      <c r="Y894" s="15"/>
      <c r="Z894" s="15"/>
      <c r="AA894" s="15"/>
      <c r="AB894" s="15"/>
    </row>
    <row r="895">
      <c r="B895" s="15"/>
      <c r="C895" s="15"/>
      <c r="D895" s="15"/>
      <c r="E895" s="15"/>
      <c r="F895" s="15"/>
      <c r="G895" s="15"/>
      <c r="H895" s="15"/>
      <c r="I895" s="15"/>
      <c r="J895" s="15"/>
      <c r="K895" s="15"/>
      <c r="L895" s="15"/>
      <c r="M895" s="15"/>
      <c r="N895" s="15"/>
      <c r="O895" s="15"/>
      <c r="P895" s="15"/>
      <c r="Q895" s="15"/>
      <c r="R895" s="15"/>
      <c r="S895" s="15"/>
      <c r="T895" s="15"/>
      <c r="U895" s="15"/>
      <c r="V895" s="15"/>
      <c r="W895" s="15"/>
      <c r="X895" s="15"/>
      <c r="Y895" s="15"/>
      <c r="Z895" s="15"/>
      <c r="AA895" s="15"/>
      <c r="AB895" s="15"/>
    </row>
    <row r="896">
      <c r="B896" s="15"/>
      <c r="C896" s="15"/>
      <c r="D896" s="15"/>
      <c r="E896" s="15"/>
      <c r="F896" s="15"/>
      <c r="G896" s="15"/>
      <c r="H896" s="15"/>
      <c r="I896" s="15"/>
      <c r="J896" s="15"/>
      <c r="K896" s="15"/>
      <c r="L896" s="15"/>
      <c r="M896" s="15"/>
      <c r="N896" s="15"/>
      <c r="O896" s="15"/>
      <c r="P896" s="15"/>
      <c r="Q896" s="15"/>
      <c r="R896" s="15"/>
      <c r="S896" s="15"/>
      <c r="T896" s="15"/>
      <c r="U896" s="15"/>
      <c r="V896" s="15"/>
      <c r="W896" s="15"/>
      <c r="X896" s="15"/>
      <c r="Y896" s="15"/>
      <c r="Z896" s="15"/>
      <c r="AA896" s="15"/>
      <c r="AB896" s="15"/>
    </row>
    <row r="897">
      <c r="B897" s="15"/>
      <c r="C897" s="15"/>
      <c r="D897" s="15"/>
      <c r="E897" s="15"/>
      <c r="F897" s="15"/>
      <c r="G897" s="15"/>
      <c r="H897" s="15"/>
      <c r="I897" s="15"/>
      <c r="J897" s="15"/>
      <c r="K897" s="15"/>
      <c r="L897" s="15"/>
      <c r="M897" s="15"/>
      <c r="N897" s="15"/>
      <c r="O897" s="15"/>
      <c r="P897" s="15"/>
      <c r="Q897" s="15"/>
      <c r="R897" s="15"/>
      <c r="S897" s="15"/>
      <c r="T897" s="15"/>
      <c r="U897" s="15"/>
      <c r="V897" s="15"/>
      <c r="W897" s="15"/>
      <c r="X897" s="15"/>
      <c r="Y897" s="15"/>
      <c r="Z897" s="15"/>
      <c r="AA897" s="15"/>
      <c r="AB897" s="15"/>
    </row>
    <row r="898">
      <c r="B898" s="15"/>
      <c r="C898" s="15"/>
      <c r="D898" s="15"/>
      <c r="E898" s="15"/>
      <c r="F898" s="15"/>
      <c r="G898" s="15"/>
      <c r="H898" s="15"/>
      <c r="I898" s="15"/>
      <c r="J898" s="15"/>
      <c r="K898" s="15"/>
      <c r="L898" s="15"/>
      <c r="M898" s="15"/>
      <c r="N898" s="15"/>
      <c r="O898" s="15"/>
      <c r="P898" s="15"/>
      <c r="Q898" s="15"/>
      <c r="R898" s="15"/>
      <c r="S898" s="15"/>
      <c r="T898" s="15"/>
      <c r="U898" s="15"/>
      <c r="V898" s="15"/>
      <c r="W898" s="15"/>
      <c r="X898" s="15"/>
      <c r="Y898" s="15"/>
      <c r="Z898" s="15"/>
      <c r="AA898" s="15"/>
      <c r="AB898" s="15"/>
    </row>
    <row r="899">
      <c r="B899" s="15"/>
      <c r="C899" s="15"/>
      <c r="D899" s="15"/>
      <c r="E899" s="15"/>
      <c r="F899" s="15"/>
      <c r="G899" s="15"/>
      <c r="H899" s="15"/>
      <c r="I899" s="15"/>
      <c r="J899" s="15"/>
      <c r="K899" s="15"/>
      <c r="L899" s="15"/>
      <c r="M899" s="15"/>
      <c r="N899" s="15"/>
      <c r="O899" s="15"/>
      <c r="P899" s="15"/>
      <c r="Q899" s="15"/>
      <c r="R899" s="15"/>
      <c r="S899" s="15"/>
      <c r="T899" s="15"/>
      <c r="U899" s="15"/>
      <c r="V899" s="15"/>
      <c r="W899" s="15"/>
      <c r="X899" s="15"/>
      <c r="Y899" s="15"/>
      <c r="Z899" s="15"/>
      <c r="AA899" s="15"/>
      <c r="AB899" s="15"/>
    </row>
    <row r="900">
      <c r="B900" s="15"/>
      <c r="C900" s="15"/>
      <c r="D900" s="15"/>
      <c r="E900" s="15"/>
      <c r="F900" s="15"/>
      <c r="G900" s="15"/>
      <c r="H900" s="15"/>
      <c r="I900" s="15"/>
      <c r="J900" s="15"/>
      <c r="K900" s="15"/>
      <c r="L900" s="15"/>
      <c r="M900" s="15"/>
      <c r="N900" s="15"/>
      <c r="O900" s="15"/>
      <c r="P900" s="15"/>
      <c r="Q900" s="15"/>
      <c r="R900" s="15"/>
      <c r="S900" s="15"/>
      <c r="T900" s="15"/>
      <c r="U900" s="15"/>
      <c r="V900" s="15"/>
      <c r="W900" s="15"/>
      <c r="X900" s="15"/>
      <c r="Y900" s="15"/>
      <c r="Z900" s="15"/>
      <c r="AA900" s="15"/>
      <c r="AB900" s="15"/>
    </row>
    <row r="901">
      <c r="B901" s="15"/>
      <c r="C901" s="15"/>
      <c r="D901" s="15"/>
      <c r="E901" s="15"/>
      <c r="F901" s="15"/>
      <c r="G901" s="15"/>
      <c r="H901" s="15"/>
      <c r="I901" s="15"/>
      <c r="J901" s="15"/>
      <c r="K901" s="15"/>
      <c r="L901" s="15"/>
      <c r="M901" s="15"/>
      <c r="N901" s="15"/>
      <c r="O901" s="15"/>
      <c r="P901" s="15"/>
      <c r="Q901" s="15"/>
      <c r="R901" s="15"/>
      <c r="S901" s="15"/>
      <c r="T901" s="15"/>
      <c r="U901" s="15"/>
      <c r="V901" s="15"/>
      <c r="W901" s="15"/>
      <c r="X901" s="15"/>
      <c r="Y901" s="15"/>
      <c r="Z901" s="15"/>
      <c r="AA901" s="15"/>
      <c r="AB901" s="15"/>
    </row>
    <row r="902">
      <c r="B902" s="15"/>
      <c r="C902" s="15"/>
      <c r="D902" s="15"/>
      <c r="E902" s="15"/>
      <c r="F902" s="15"/>
      <c r="G902" s="15"/>
      <c r="H902" s="15"/>
      <c r="I902" s="15"/>
      <c r="J902" s="15"/>
      <c r="K902" s="15"/>
      <c r="L902" s="15"/>
      <c r="M902" s="15"/>
      <c r="N902" s="15"/>
      <c r="O902" s="15"/>
      <c r="P902" s="15"/>
      <c r="Q902" s="15"/>
      <c r="R902" s="15"/>
      <c r="S902" s="15"/>
      <c r="T902" s="15"/>
      <c r="U902" s="15"/>
      <c r="V902" s="15"/>
      <c r="W902" s="15"/>
      <c r="X902" s="15"/>
      <c r="Y902" s="15"/>
      <c r="Z902" s="15"/>
      <c r="AA902" s="15"/>
      <c r="AB902" s="15"/>
    </row>
    <row r="903">
      <c r="B903" s="15"/>
      <c r="C903" s="15"/>
      <c r="D903" s="15"/>
      <c r="E903" s="15"/>
      <c r="F903" s="15"/>
      <c r="G903" s="15"/>
      <c r="H903" s="15"/>
      <c r="I903" s="15"/>
      <c r="J903" s="15"/>
      <c r="K903" s="15"/>
      <c r="L903" s="15"/>
      <c r="M903" s="15"/>
      <c r="N903" s="15"/>
      <c r="O903" s="15"/>
      <c r="P903" s="15"/>
      <c r="Q903" s="15"/>
      <c r="R903" s="15"/>
      <c r="S903" s="15"/>
      <c r="T903" s="15"/>
      <c r="U903" s="15"/>
      <c r="V903" s="15"/>
      <c r="W903" s="15"/>
      <c r="X903" s="15"/>
      <c r="Y903" s="15"/>
      <c r="Z903" s="15"/>
      <c r="AA903" s="15"/>
      <c r="AB903" s="15"/>
    </row>
    <row r="904">
      <c r="B904" s="15"/>
      <c r="C904" s="15"/>
      <c r="D904" s="15"/>
      <c r="E904" s="15"/>
      <c r="F904" s="15"/>
      <c r="G904" s="15"/>
      <c r="H904" s="15"/>
      <c r="I904" s="15"/>
      <c r="J904" s="15"/>
      <c r="K904" s="15"/>
      <c r="L904" s="15"/>
      <c r="M904" s="15"/>
      <c r="N904" s="15"/>
      <c r="O904" s="15"/>
      <c r="P904" s="15"/>
      <c r="Q904" s="15"/>
      <c r="R904" s="15"/>
      <c r="S904" s="15"/>
      <c r="T904" s="15"/>
      <c r="U904" s="15"/>
      <c r="V904" s="15"/>
      <c r="W904" s="15"/>
      <c r="X904" s="15"/>
      <c r="Y904" s="15"/>
      <c r="Z904" s="15"/>
      <c r="AA904" s="15"/>
      <c r="AB904" s="15"/>
    </row>
    <row r="905">
      <c r="B905" s="15"/>
      <c r="C905" s="15"/>
      <c r="D905" s="15"/>
      <c r="E905" s="15"/>
      <c r="F905" s="15"/>
      <c r="G905" s="15"/>
      <c r="H905" s="15"/>
      <c r="I905" s="15"/>
      <c r="J905" s="15"/>
      <c r="K905" s="15"/>
      <c r="L905" s="15"/>
      <c r="M905" s="15"/>
      <c r="N905" s="15"/>
      <c r="O905" s="15"/>
      <c r="P905" s="15"/>
      <c r="Q905" s="15"/>
      <c r="R905" s="15"/>
      <c r="S905" s="15"/>
      <c r="T905" s="15"/>
      <c r="U905" s="15"/>
      <c r="V905" s="15"/>
      <c r="W905" s="15"/>
      <c r="X905" s="15"/>
      <c r="Y905" s="15"/>
      <c r="Z905" s="15"/>
      <c r="AA905" s="15"/>
      <c r="AB905" s="15"/>
    </row>
    <row r="906">
      <c r="B906" s="15"/>
      <c r="C906" s="15"/>
      <c r="D906" s="15"/>
      <c r="E906" s="15"/>
      <c r="F906" s="15"/>
      <c r="G906" s="15"/>
      <c r="H906" s="15"/>
      <c r="I906" s="15"/>
      <c r="J906" s="15"/>
      <c r="K906" s="15"/>
      <c r="L906" s="15"/>
      <c r="M906" s="15"/>
      <c r="N906" s="15"/>
      <c r="O906" s="15"/>
      <c r="P906" s="15"/>
      <c r="Q906" s="15"/>
      <c r="R906" s="15"/>
      <c r="S906" s="15"/>
      <c r="T906" s="15"/>
      <c r="U906" s="15"/>
      <c r="V906" s="15"/>
      <c r="W906" s="15"/>
      <c r="X906" s="15"/>
      <c r="Y906" s="15"/>
      <c r="Z906" s="15"/>
      <c r="AA906" s="15"/>
      <c r="AB906" s="15"/>
    </row>
    <row r="907">
      <c r="B907" s="15"/>
      <c r="C907" s="15"/>
      <c r="D907" s="15"/>
      <c r="E907" s="15"/>
      <c r="F907" s="15"/>
      <c r="G907" s="15"/>
      <c r="H907" s="15"/>
      <c r="I907" s="15"/>
      <c r="J907" s="15"/>
      <c r="K907" s="15"/>
      <c r="L907" s="15"/>
      <c r="M907" s="15"/>
      <c r="N907" s="15"/>
      <c r="O907" s="15"/>
      <c r="P907" s="15"/>
      <c r="Q907" s="15"/>
      <c r="R907" s="15"/>
      <c r="S907" s="15"/>
      <c r="T907" s="15"/>
      <c r="U907" s="15"/>
      <c r="V907" s="15"/>
      <c r="W907" s="15"/>
      <c r="X907" s="15"/>
      <c r="Y907" s="15"/>
      <c r="Z907" s="15"/>
      <c r="AA907" s="15"/>
      <c r="AB907" s="15"/>
    </row>
    <row r="908">
      <c r="B908" s="15"/>
      <c r="C908" s="15"/>
      <c r="D908" s="15"/>
      <c r="E908" s="15"/>
      <c r="F908" s="15"/>
      <c r="G908" s="15"/>
      <c r="H908" s="15"/>
      <c r="I908" s="15"/>
      <c r="J908" s="15"/>
      <c r="K908" s="15"/>
      <c r="L908" s="15"/>
      <c r="M908" s="15"/>
      <c r="N908" s="15"/>
      <c r="O908" s="15"/>
      <c r="P908" s="15"/>
      <c r="Q908" s="15"/>
      <c r="R908" s="15"/>
      <c r="S908" s="15"/>
      <c r="T908" s="15"/>
      <c r="U908" s="15"/>
      <c r="V908" s="15"/>
      <c r="W908" s="15"/>
      <c r="X908" s="15"/>
      <c r="Y908" s="15"/>
      <c r="Z908" s="15"/>
      <c r="AA908" s="15"/>
      <c r="AB908" s="15"/>
    </row>
    <row r="909">
      <c r="B909" s="15"/>
      <c r="C909" s="15"/>
      <c r="D909" s="15"/>
      <c r="E909" s="15"/>
      <c r="F909" s="15"/>
      <c r="G909" s="15"/>
      <c r="H909" s="15"/>
      <c r="I909" s="15"/>
      <c r="J909" s="15"/>
      <c r="K909" s="15"/>
      <c r="L909" s="15"/>
      <c r="M909" s="15"/>
      <c r="N909" s="15"/>
      <c r="O909" s="15"/>
      <c r="P909" s="15"/>
      <c r="Q909" s="15"/>
      <c r="R909" s="15"/>
      <c r="S909" s="15"/>
      <c r="T909" s="15"/>
      <c r="U909" s="15"/>
      <c r="V909" s="15"/>
      <c r="W909" s="15"/>
      <c r="X909" s="15"/>
      <c r="Y909" s="15"/>
      <c r="Z909" s="15"/>
      <c r="AA909" s="15"/>
      <c r="AB909" s="15"/>
    </row>
    <row r="910">
      <c r="B910" s="15"/>
      <c r="C910" s="15"/>
      <c r="D910" s="15"/>
      <c r="E910" s="15"/>
      <c r="F910" s="15"/>
      <c r="G910" s="15"/>
      <c r="H910" s="15"/>
      <c r="I910" s="15"/>
      <c r="J910" s="15"/>
      <c r="K910" s="15"/>
      <c r="L910" s="15"/>
      <c r="M910" s="15"/>
      <c r="N910" s="15"/>
      <c r="O910" s="15"/>
      <c r="P910" s="15"/>
      <c r="Q910" s="15"/>
      <c r="R910" s="15"/>
      <c r="S910" s="15"/>
      <c r="T910" s="15"/>
      <c r="U910" s="15"/>
      <c r="V910" s="15"/>
      <c r="W910" s="15"/>
      <c r="X910" s="15"/>
      <c r="Y910" s="15"/>
      <c r="Z910" s="15"/>
      <c r="AA910" s="15"/>
      <c r="AB910" s="15"/>
    </row>
    <row r="911">
      <c r="B911" s="15"/>
      <c r="C911" s="15"/>
      <c r="D911" s="15"/>
      <c r="E911" s="15"/>
      <c r="F911" s="15"/>
      <c r="G911" s="15"/>
      <c r="H911" s="15"/>
      <c r="I911" s="15"/>
      <c r="J911" s="15"/>
      <c r="K911" s="15"/>
      <c r="L911" s="15"/>
      <c r="M911" s="15"/>
      <c r="N911" s="15"/>
      <c r="O911" s="15"/>
      <c r="P911" s="15"/>
      <c r="Q911" s="15"/>
      <c r="R911" s="15"/>
      <c r="S911" s="15"/>
      <c r="T911" s="15"/>
      <c r="U911" s="15"/>
      <c r="V911" s="15"/>
      <c r="W911" s="15"/>
      <c r="X911" s="15"/>
      <c r="Y911" s="15"/>
      <c r="Z911" s="15"/>
      <c r="AA911" s="15"/>
      <c r="AB911" s="15"/>
    </row>
    <row r="912">
      <c r="B912" s="15"/>
      <c r="C912" s="15"/>
      <c r="D912" s="15"/>
      <c r="E912" s="15"/>
      <c r="F912" s="15"/>
      <c r="G912" s="15"/>
      <c r="H912" s="15"/>
      <c r="I912" s="15"/>
      <c r="J912" s="15"/>
      <c r="K912" s="15"/>
      <c r="L912" s="15"/>
      <c r="M912" s="15"/>
      <c r="N912" s="15"/>
      <c r="O912" s="15"/>
      <c r="P912" s="15"/>
      <c r="Q912" s="15"/>
      <c r="R912" s="15"/>
      <c r="S912" s="15"/>
      <c r="T912" s="15"/>
      <c r="U912" s="15"/>
      <c r="V912" s="15"/>
      <c r="W912" s="15"/>
      <c r="X912" s="15"/>
      <c r="Y912" s="15"/>
      <c r="Z912" s="15"/>
      <c r="AA912" s="15"/>
      <c r="AB912" s="15"/>
    </row>
    <row r="913">
      <c r="B913" s="15"/>
      <c r="C913" s="15"/>
      <c r="D913" s="15"/>
      <c r="E913" s="15"/>
      <c r="F913" s="15"/>
      <c r="G913" s="15"/>
      <c r="H913" s="15"/>
      <c r="I913" s="15"/>
      <c r="J913" s="15"/>
      <c r="K913" s="15"/>
      <c r="L913" s="15"/>
      <c r="M913" s="15"/>
      <c r="N913" s="15"/>
      <c r="O913" s="15"/>
      <c r="P913" s="15"/>
      <c r="Q913" s="15"/>
      <c r="R913" s="15"/>
      <c r="S913" s="15"/>
      <c r="T913" s="15"/>
      <c r="U913" s="15"/>
      <c r="V913" s="15"/>
      <c r="W913" s="15"/>
      <c r="X913" s="15"/>
      <c r="Y913" s="15"/>
      <c r="Z913" s="15"/>
      <c r="AA913" s="15"/>
      <c r="AB913" s="15"/>
    </row>
    <row r="914">
      <c r="B914" s="15"/>
      <c r="C914" s="15"/>
      <c r="D914" s="15"/>
      <c r="E914" s="15"/>
      <c r="F914" s="15"/>
      <c r="G914" s="15"/>
      <c r="H914" s="15"/>
      <c r="I914" s="15"/>
      <c r="J914" s="15"/>
      <c r="K914" s="15"/>
      <c r="L914" s="15"/>
      <c r="M914" s="15"/>
      <c r="N914" s="15"/>
      <c r="O914" s="15"/>
      <c r="P914" s="15"/>
      <c r="Q914" s="15"/>
      <c r="R914" s="15"/>
      <c r="S914" s="15"/>
      <c r="T914" s="15"/>
      <c r="U914" s="15"/>
      <c r="V914" s="15"/>
      <c r="W914" s="15"/>
      <c r="X914" s="15"/>
      <c r="Y914" s="15"/>
      <c r="Z914" s="15"/>
      <c r="AA914" s="15"/>
      <c r="AB914" s="15"/>
    </row>
    <row r="915">
      <c r="B915" s="15"/>
      <c r="C915" s="15"/>
      <c r="D915" s="15"/>
      <c r="E915" s="15"/>
      <c r="F915" s="15"/>
      <c r="G915" s="15"/>
      <c r="H915" s="15"/>
      <c r="I915" s="15"/>
      <c r="J915" s="15"/>
      <c r="K915" s="15"/>
      <c r="L915" s="15"/>
      <c r="M915" s="15"/>
      <c r="N915" s="15"/>
      <c r="O915" s="15"/>
      <c r="P915" s="15"/>
      <c r="Q915" s="15"/>
      <c r="R915" s="15"/>
      <c r="S915" s="15"/>
      <c r="T915" s="15"/>
      <c r="U915" s="15"/>
      <c r="V915" s="15"/>
      <c r="W915" s="15"/>
      <c r="X915" s="15"/>
      <c r="Y915" s="15"/>
      <c r="Z915" s="15"/>
      <c r="AA915" s="15"/>
      <c r="AB915" s="15"/>
    </row>
    <row r="916">
      <c r="B916" s="15"/>
      <c r="C916" s="15"/>
      <c r="D916" s="15"/>
      <c r="E916" s="15"/>
      <c r="F916" s="15"/>
      <c r="G916" s="15"/>
      <c r="H916" s="15"/>
      <c r="I916" s="15"/>
      <c r="J916" s="15"/>
      <c r="K916" s="15"/>
      <c r="L916" s="15"/>
      <c r="M916" s="15"/>
      <c r="N916" s="15"/>
      <c r="O916" s="15"/>
      <c r="P916" s="15"/>
      <c r="Q916" s="15"/>
      <c r="R916" s="15"/>
      <c r="S916" s="15"/>
      <c r="T916" s="15"/>
      <c r="U916" s="15"/>
      <c r="V916" s="15"/>
      <c r="W916" s="15"/>
      <c r="X916" s="15"/>
      <c r="Y916" s="15"/>
      <c r="Z916" s="15"/>
      <c r="AA916" s="15"/>
      <c r="AB916" s="15"/>
    </row>
    <row r="917">
      <c r="B917" s="15"/>
      <c r="C917" s="15"/>
      <c r="D917" s="15"/>
      <c r="E917" s="15"/>
      <c r="F917" s="15"/>
      <c r="G917" s="15"/>
      <c r="H917" s="15"/>
      <c r="I917" s="15"/>
      <c r="J917" s="15"/>
      <c r="K917" s="15"/>
      <c r="L917" s="15"/>
      <c r="M917" s="15"/>
      <c r="N917" s="15"/>
      <c r="O917" s="15"/>
      <c r="P917" s="15"/>
      <c r="Q917" s="15"/>
      <c r="R917" s="15"/>
      <c r="S917" s="15"/>
      <c r="T917" s="15"/>
      <c r="U917" s="15"/>
      <c r="V917" s="15"/>
      <c r="W917" s="15"/>
      <c r="X917" s="15"/>
      <c r="Y917" s="15"/>
      <c r="Z917" s="15"/>
      <c r="AA917" s="15"/>
      <c r="AB917" s="15"/>
    </row>
    <row r="918">
      <c r="B918" s="15"/>
      <c r="C918" s="15"/>
      <c r="D918" s="15"/>
      <c r="E918" s="15"/>
      <c r="F918" s="15"/>
      <c r="G918" s="15"/>
      <c r="H918" s="15"/>
      <c r="I918" s="15"/>
      <c r="J918" s="15"/>
      <c r="K918" s="15"/>
      <c r="L918" s="15"/>
      <c r="M918" s="15"/>
      <c r="N918" s="15"/>
      <c r="O918" s="15"/>
      <c r="P918" s="15"/>
      <c r="Q918" s="15"/>
      <c r="R918" s="15"/>
      <c r="S918" s="15"/>
      <c r="T918" s="15"/>
      <c r="U918" s="15"/>
      <c r="V918" s="15"/>
      <c r="W918" s="15"/>
      <c r="X918" s="15"/>
      <c r="Y918" s="15"/>
      <c r="Z918" s="15"/>
      <c r="AA918" s="15"/>
      <c r="AB918" s="15"/>
    </row>
    <row r="919">
      <c r="B919" s="15"/>
      <c r="C919" s="15"/>
      <c r="D919" s="15"/>
      <c r="E919" s="15"/>
      <c r="F919" s="15"/>
      <c r="G919" s="15"/>
      <c r="H919" s="15"/>
      <c r="I919" s="15"/>
      <c r="J919" s="15"/>
      <c r="K919" s="15"/>
      <c r="L919" s="15"/>
      <c r="M919" s="15"/>
      <c r="N919" s="15"/>
      <c r="O919" s="15"/>
      <c r="P919" s="15"/>
      <c r="Q919" s="15"/>
      <c r="R919" s="15"/>
      <c r="S919" s="15"/>
      <c r="T919" s="15"/>
      <c r="U919" s="15"/>
      <c r="V919" s="15"/>
      <c r="W919" s="15"/>
      <c r="X919" s="15"/>
      <c r="Y919" s="15"/>
      <c r="Z919" s="15"/>
      <c r="AA919" s="15"/>
      <c r="AB919" s="15"/>
    </row>
    <row r="920">
      <c r="B920" s="15"/>
      <c r="C920" s="15"/>
      <c r="D920" s="15"/>
      <c r="E920" s="15"/>
      <c r="F920" s="15"/>
      <c r="G920" s="15"/>
      <c r="H920" s="15"/>
      <c r="I920" s="15"/>
      <c r="J920" s="15"/>
      <c r="K920" s="15"/>
      <c r="L920" s="15"/>
      <c r="M920" s="15"/>
      <c r="N920" s="15"/>
      <c r="O920" s="15"/>
      <c r="P920" s="15"/>
      <c r="Q920" s="15"/>
      <c r="R920" s="15"/>
      <c r="S920" s="15"/>
      <c r="T920" s="15"/>
      <c r="U920" s="15"/>
      <c r="V920" s="15"/>
      <c r="W920" s="15"/>
      <c r="X920" s="15"/>
      <c r="Y920" s="15"/>
      <c r="Z920" s="15"/>
      <c r="AA920" s="15"/>
      <c r="AB920" s="15"/>
    </row>
    <row r="921">
      <c r="B921" s="15"/>
      <c r="C921" s="15"/>
      <c r="D921" s="15"/>
      <c r="E921" s="15"/>
      <c r="F921" s="15"/>
      <c r="G921" s="15"/>
      <c r="H921" s="15"/>
      <c r="I921" s="15"/>
      <c r="J921" s="15"/>
      <c r="K921" s="15"/>
      <c r="L921" s="15"/>
      <c r="M921" s="15"/>
      <c r="N921" s="15"/>
      <c r="O921" s="15"/>
      <c r="P921" s="15"/>
      <c r="Q921" s="15"/>
      <c r="R921" s="15"/>
      <c r="S921" s="15"/>
      <c r="T921" s="15"/>
      <c r="U921" s="15"/>
      <c r="V921" s="15"/>
      <c r="W921" s="15"/>
      <c r="X921" s="15"/>
      <c r="Y921" s="15"/>
      <c r="Z921" s="15"/>
      <c r="AA921" s="15"/>
      <c r="AB921" s="15"/>
    </row>
    <row r="922">
      <c r="B922" s="15"/>
      <c r="C922" s="15"/>
      <c r="D922" s="15"/>
      <c r="E922" s="15"/>
      <c r="F922" s="15"/>
      <c r="G922" s="15"/>
      <c r="H922" s="15"/>
      <c r="I922" s="15"/>
      <c r="J922" s="15"/>
      <c r="K922" s="15"/>
      <c r="L922" s="15"/>
      <c r="M922" s="15"/>
      <c r="N922" s="15"/>
      <c r="O922" s="15"/>
      <c r="P922" s="15"/>
      <c r="Q922" s="15"/>
      <c r="R922" s="15"/>
      <c r="S922" s="15"/>
      <c r="T922" s="15"/>
      <c r="U922" s="15"/>
      <c r="V922" s="15"/>
      <c r="W922" s="15"/>
      <c r="X922" s="15"/>
      <c r="Y922" s="15"/>
      <c r="Z922" s="15"/>
      <c r="AA922" s="15"/>
      <c r="AB922" s="15"/>
    </row>
    <row r="923">
      <c r="B923" s="15"/>
      <c r="C923" s="15"/>
      <c r="D923" s="15"/>
      <c r="E923" s="15"/>
      <c r="F923" s="15"/>
      <c r="G923" s="15"/>
      <c r="H923" s="15"/>
      <c r="I923" s="15"/>
      <c r="J923" s="15"/>
      <c r="K923" s="15"/>
      <c r="L923" s="15"/>
      <c r="M923" s="15"/>
      <c r="N923" s="15"/>
      <c r="O923" s="15"/>
      <c r="P923" s="15"/>
      <c r="Q923" s="15"/>
      <c r="R923" s="15"/>
      <c r="S923" s="15"/>
      <c r="T923" s="15"/>
      <c r="U923" s="15"/>
      <c r="V923" s="15"/>
      <c r="W923" s="15"/>
      <c r="X923" s="15"/>
      <c r="Y923" s="15"/>
      <c r="Z923" s="15"/>
      <c r="AA923" s="15"/>
      <c r="AB923" s="15"/>
    </row>
    <row r="924">
      <c r="B924" s="15"/>
      <c r="C924" s="15"/>
      <c r="D924" s="15"/>
      <c r="E924" s="15"/>
      <c r="F924" s="15"/>
      <c r="G924" s="15"/>
      <c r="H924" s="15"/>
      <c r="I924" s="15"/>
      <c r="J924" s="15"/>
      <c r="K924" s="15"/>
      <c r="L924" s="15"/>
      <c r="M924" s="15"/>
      <c r="N924" s="15"/>
      <c r="O924" s="15"/>
      <c r="P924" s="15"/>
      <c r="Q924" s="15"/>
      <c r="R924" s="15"/>
      <c r="S924" s="15"/>
      <c r="T924" s="15"/>
      <c r="U924" s="15"/>
      <c r="V924" s="15"/>
      <c r="W924" s="15"/>
      <c r="X924" s="15"/>
      <c r="Y924" s="15"/>
      <c r="Z924" s="15"/>
      <c r="AA924" s="15"/>
      <c r="AB924" s="15"/>
    </row>
    <row r="925">
      <c r="B925" s="15"/>
      <c r="C925" s="15"/>
      <c r="D925" s="15"/>
      <c r="E925" s="15"/>
      <c r="F925" s="15"/>
      <c r="G925" s="15"/>
      <c r="H925" s="15"/>
      <c r="I925" s="15"/>
      <c r="J925" s="15"/>
      <c r="K925" s="15"/>
      <c r="L925" s="15"/>
      <c r="M925" s="15"/>
      <c r="N925" s="15"/>
      <c r="O925" s="15"/>
      <c r="P925" s="15"/>
      <c r="Q925" s="15"/>
      <c r="R925" s="15"/>
      <c r="S925" s="15"/>
      <c r="T925" s="15"/>
      <c r="U925" s="15"/>
      <c r="V925" s="15"/>
      <c r="W925" s="15"/>
      <c r="X925" s="15"/>
      <c r="Y925" s="15"/>
      <c r="Z925" s="15"/>
      <c r="AA925" s="15"/>
      <c r="AB925" s="15"/>
    </row>
    <row r="926">
      <c r="B926" s="15"/>
      <c r="C926" s="15"/>
      <c r="D926" s="15"/>
      <c r="E926" s="15"/>
      <c r="F926" s="15"/>
      <c r="G926" s="15"/>
      <c r="H926" s="15"/>
      <c r="I926" s="15"/>
      <c r="J926" s="15"/>
      <c r="K926" s="15"/>
      <c r="L926" s="15"/>
      <c r="M926" s="15"/>
      <c r="N926" s="15"/>
      <c r="O926" s="15"/>
      <c r="P926" s="15"/>
      <c r="Q926" s="15"/>
      <c r="R926" s="15"/>
      <c r="S926" s="15"/>
      <c r="T926" s="15"/>
      <c r="U926" s="15"/>
      <c r="V926" s="15"/>
      <c r="W926" s="15"/>
      <c r="X926" s="15"/>
      <c r="Y926" s="15"/>
      <c r="Z926" s="15"/>
      <c r="AA926" s="15"/>
      <c r="AB926" s="15"/>
    </row>
    <row r="927">
      <c r="B927" s="15"/>
      <c r="C927" s="15"/>
      <c r="D927" s="15"/>
      <c r="E927" s="15"/>
      <c r="F927" s="15"/>
      <c r="G927" s="15"/>
      <c r="H927" s="15"/>
      <c r="I927" s="15"/>
      <c r="J927" s="15"/>
      <c r="K927" s="15"/>
      <c r="L927" s="15"/>
      <c r="M927" s="15"/>
      <c r="N927" s="15"/>
      <c r="O927" s="15"/>
      <c r="P927" s="15"/>
      <c r="Q927" s="15"/>
      <c r="R927" s="15"/>
      <c r="S927" s="15"/>
      <c r="T927" s="15"/>
      <c r="U927" s="15"/>
      <c r="V927" s="15"/>
      <c r="W927" s="15"/>
      <c r="X927" s="15"/>
      <c r="Y927" s="15"/>
      <c r="Z927" s="15"/>
      <c r="AA927" s="15"/>
      <c r="AB927" s="15"/>
    </row>
    <row r="928">
      <c r="B928" s="15"/>
      <c r="C928" s="15"/>
      <c r="D928" s="15"/>
      <c r="E928" s="15"/>
      <c r="F928" s="15"/>
      <c r="G928" s="15"/>
      <c r="H928" s="15"/>
      <c r="I928" s="15"/>
      <c r="J928" s="15"/>
      <c r="K928" s="15"/>
      <c r="L928" s="15"/>
      <c r="M928" s="15"/>
      <c r="N928" s="15"/>
      <c r="O928" s="15"/>
      <c r="P928" s="15"/>
      <c r="Q928" s="15"/>
      <c r="R928" s="15"/>
      <c r="S928" s="15"/>
      <c r="T928" s="15"/>
      <c r="U928" s="15"/>
      <c r="V928" s="15"/>
      <c r="W928" s="15"/>
      <c r="X928" s="15"/>
      <c r="Y928" s="15"/>
      <c r="Z928" s="15"/>
      <c r="AA928" s="15"/>
      <c r="AB928" s="15"/>
    </row>
    <row r="929">
      <c r="B929" s="15"/>
      <c r="C929" s="15"/>
      <c r="D929" s="15"/>
      <c r="E929" s="15"/>
      <c r="F929" s="15"/>
      <c r="G929" s="15"/>
      <c r="H929" s="15"/>
      <c r="I929" s="15"/>
      <c r="J929" s="15"/>
      <c r="K929" s="15"/>
      <c r="L929" s="15"/>
      <c r="M929" s="15"/>
      <c r="N929" s="15"/>
      <c r="O929" s="15"/>
      <c r="P929" s="15"/>
      <c r="Q929" s="15"/>
      <c r="R929" s="15"/>
      <c r="S929" s="15"/>
      <c r="T929" s="15"/>
      <c r="U929" s="15"/>
      <c r="V929" s="15"/>
      <c r="W929" s="15"/>
      <c r="X929" s="15"/>
      <c r="Y929" s="15"/>
      <c r="Z929" s="15"/>
      <c r="AA929" s="15"/>
      <c r="AB929" s="15"/>
    </row>
    <row r="930">
      <c r="B930" s="15"/>
      <c r="C930" s="15"/>
      <c r="D930" s="15"/>
      <c r="E930" s="15"/>
      <c r="F930" s="15"/>
      <c r="G930" s="15"/>
      <c r="H930" s="15"/>
      <c r="I930" s="15"/>
      <c r="J930" s="15"/>
      <c r="K930" s="15"/>
      <c r="L930" s="15"/>
      <c r="M930" s="15"/>
      <c r="N930" s="15"/>
      <c r="O930" s="15"/>
      <c r="P930" s="15"/>
      <c r="Q930" s="15"/>
      <c r="R930" s="15"/>
      <c r="S930" s="15"/>
      <c r="T930" s="15"/>
      <c r="U930" s="15"/>
      <c r="V930" s="15"/>
      <c r="W930" s="15"/>
      <c r="X930" s="15"/>
      <c r="Y930" s="15"/>
      <c r="Z930" s="15"/>
      <c r="AA930" s="15"/>
      <c r="AB930" s="15"/>
    </row>
    <row r="931">
      <c r="B931" s="15"/>
      <c r="C931" s="15"/>
      <c r="D931" s="15"/>
      <c r="E931" s="15"/>
      <c r="F931" s="15"/>
      <c r="G931" s="15"/>
      <c r="H931" s="15"/>
      <c r="I931" s="15"/>
      <c r="J931" s="15"/>
      <c r="K931" s="15"/>
      <c r="L931" s="15"/>
      <c r="M931" s="15"/>
      <c r="N931" s="15"/>
      <c r="O931" s="15"/>
      <c r="P931" s="15"/>
      <c r="Q931" s="15"/>
      <c r="R931" s="15"/>
      <c r="S931" s="15"/>
      <c r="T931" s="15"/>
      <c r="U931" s="15"/>
      <c r="V931" s="15"/>
      <c r="W931" s="15"/>
      <c r="X931" s="15"/>
      <c r="Y931" s="15"/>
      <c r="Z931" s="15"/>
      <c r="AA931" s="15"/>
      <c r="AB931" s="15"/>
    </row>
    <row r="932">
      <c r="B932" s="15"/>
      <c r="C932" s="15"/>
      <c r="D932" s="15"/>
      <c r="E932" s="15"/>
      <c r="F932" s="15"/>
      <c r="G932" s="15"/>
      <c r="H932" s="15"/>
      <c r="I932" s="15"/>
      <c r="J932" s="15"/>
      <c r="K932" s="15"/>
      <c r="L932" s="15"/>
      <c r="M932" s="15"/>
      <c r="N932" s="15"/>
      <c r="O932" s="15"/>
      <c r="P932" s="15"/>
      <c r="Q932" s="15"/>
      <c r="R932" s="15"/>
      <c r="S932" s="15"/>
      <c r="T932" s="15"/>
      <c r="U932" s="15"/>
      <c r="V932" s="15"/>
      <c r="W932" s="15"/>
      <c r="X932" s="15"/>
      <c r="Y932" s="15"/>
      <c r="Z932" s="15"/>
      <c r="AA932" s="15"/>
      <c r="AB932" s="15"/>
    </row>
    <row r="933">
      <c r="B933" s="15"/>
      <c r="C933" s="15"/>
      <c r="D933" s="15"/>
      <c r="E933" s="15"/>
      <c r="F933" s="15"/>
      <c r="G933" s="15"/>
      <c r="H933" s="15"/>
      <c r="I933" s="15"/>
      <c r="J933" s="15"/>
      <c r="K933" s="15"/>
      <c r="L933" s="15"/>
      <c r="M933" s="15"/>
      <c r="N933" s="15"/>
      <c r="O933" s="15"/>
      <c r="P933" s="15"/>
      <c r="Q933" s="15"/>
      <c r="R933" s="15"/>
      <c r="S933" s="15"/>
      <c r="T933" s="15"/>
      <c r="U933" s="15"/>
      <c r="V933" s="15"/>
      <c r="W933" s="15"/>
      <c r="X933" s="15"/>
      <c r="Y933" s="15"/>
      <c r="Z933" s="15"/>
      <c r="AA933" s="15"/>
      <c r="AB933" s="15"/>
    </row>
    <row r="934">
      <c r="B934" s="15"/>
      <c r="C934" s="15"/>
      <c r="D934" s="15"/>
      <c r="E934" s="15"/>
      <c r="F934" s="15"/>
      <c r="G934" s="15"/>
      <c r="H934" s="15"/>
      <c r="I934" s="15"/>
      <c r="J934" s="15"/>
      <c r="K934" s="15"/>
      <c r="L934" s="15"/>
      <c r="M934" s="15"/>
      <c r="N934" s="15"/>
      <c r="O934" s="15"/>
      <c r="P934" s="15"/>
      <c r="Q934" s="15"/>
      <c r="R934" s="15"/>
      <c r="S934" s="15"/>
      <c r="T934" s="15"/>
      <c r="U934" s="15"/>
      <c r="V934" s="15"/>
      <c r="W934" s="15"/>
      <c r="X934" s="15"/>
      <c r="Y934" s="15"/>
      <c r="Z934" s="15"/>
      <c r="AA934" s="15"/>
      <c r="AB934" s="15"/>
    </row>
    <row r="935">
      <c r="B935" s="15"/>
      <c r="C935" s="15"/>
      <c r="D935" s="15"/>
      <c r="E935" s="15"/>
      <c r="F935" s="15"/>
      <c r="G935" s="15"/>
      <c r="H935" s="15"/>
      <c r="I935" s="15"/>
      <c r="J935" s="15"/>
      <c r="K935" s="15"/>
      <c r="L935" s="15"/>
      <c r="M935" s="15"/>
      <c r="N935" s="15"/>
      <c r="O935" s="15"/>
      <c r="P935" s="15"/>
      <c r="Q935" s="15"/>
      <c r="R935" s="15"/>
      <c r="S935" s="15"/>
      <c r="T935" s="15"/>
      <c r="U935" s="15"/>
      <c r="V935" s="15"/>
      <c r="W935" s="15"/>
      <c r="X935" s="15"/>
      <c r="Y935" s="15"/>
      <c r="Z935" s="15"/>
      <c r="AA935" s="15"/>
      <c r="AB935" s="15"/>
    </row>
    <row r="936">
      <c r="B936" s="15"/>
      <c r="C936" s="15"/>
      <c r="D936" s="15"/>
      <c r="E936" s="15"/>
      <c r="F936" s="15"/>
      <c r="G936" s="15"/>
      <c r="H936" s="15"/>
      <c r="I936" s="15"/>
      <c r="J936" s="15"/>
      <c r="K936" s="15"/>
      <c r="L936" s="15"/>
      <c r="M936" s="15"/>
      <c r="N936" s="15"/>
      <c r="O936" s="15"/>
      <c r="P936" s="15"/>
      <c r="Q936" s="15"/>
      <c r="R936" s="15"/>
      <c r="S936" s="15"/>
      <c r="T936" s="15"/>
      <c r="U936" s="15"/>
      <c r="V936" s="15"/>
      <c r="W936" s="15"/>
      <c r="X936" s="15"/>
      <c r="Y936" s="15"/>
      <c r="Z936" s="15"/>
      <c r="AA936" s="15"/>
      <c r="AB936" s="15"/>
    </row>
    <row r="937">
      <c r="B937" s="15"/>
      <c r="C937" s="15"/>
      <c r="D937" s="15"/>
      <c r="E937" s="15"/>
      <c r="F937" s="15"/>
      <c r="G937" s="15"/>
      <c r="H937" s="15"/>
      <c r="I937" s="15"/>
      <c r="J937" s="15"/>
      <c r="K937" s="15"/>
      <c r="L937" s="15"/>
      <c r="M937" s="15"/>
      <c r="N937" s="15"/>
      <c r="O937" s="15"/>
      <c r="P937" s="15"/>
      <c r="Q937" s="15"/>
      <c r="R937" s="15"/>
      <c r="S937" s="15"/>
      <c r="T937" s="15"/>
      <c r="U937" s="15"/>
      <c r="V937" s="15"/>
      <c r="W937" s="15"/>
      <c r="X937" s="15"/>
      <c r="Y937" s="15"/>
      <c r="Z937" s="15"/>
      <c r="AA937" s="15"/>
      <c r="AB937" s="15"/>
    </row>
    <row r="938">
      <c r="B938" s="15"/>
      <c r="C938" s="15"/>
      <c r="D938" s="15"/>
      <c r="E938" s="15"/>
      <c r="F938" s="15"/>
      <c r="G938" s="15"/>
      <c r="H938" s="15"/>
      <c r="I938" s="15"/>
      <c r="J938" s="15"/>
      <c r="K938" s="15"/>
      <c r="L938" s="15"/>
      <c r="M938" s="15"/>
      <c r="N938" s="15"/>
      <c r="O938" s="15"/>
      <c r="P938" s="15"/>
      <c r="Q938" s="15"/>
      <c r="R938" s="15"/>
      <c r="S938" s="15"/>
      <c r="T938" s="15"/>
      <c r="U938" s="15"/>
      <c r="V938" s="15"/>
      <c r="W938" s="15"/>
      <c r="X938" s="15"/>
      <c r="Y938" s="15"/>
      <c r="Z938" s="15"/>
      <c r="AA938" s="15"/>
      <c r="AB938" s="15"/>
    </row>
    <row r="939">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c r="AA939" s="15"/>
      <c r="AB939" s="15"/>
    </row>
    <row r="940">
      <c r="B940" s="15"/>
      <c r="C940" s="15"/>
      <c r="D940" s="15"/>
      <c r="E940" s="15"/>
      <c r="F940" s="15"/>
      <c r="G940" s="15"/>
      <c r="H940" s="15"/>
      <c r="I940" s="15"/>
      <c r="J940" s="15"/>
      <c r="K940" s="15"/>
      <c r="L940" s="15"/>
      <c r="M940" s="15"/>
      <c r="N940" s="15"/>
      <c r="O940" s="15"/>
      <c r="P940" s="15"/>
      <c r="Q940" s="15"/>
      <c r="R940" s="15"/>
      <c r="S940" s="15"/>
      <c r="T940" s="15"/>
      <c r="U940" s="15"/>
      <c r="V940" s="15"/>
      <c r="W940" s="15"/>
      <c r="X940" s="15"/>
      <c r="Y940" s="15"/>
      <c r="Z940" s="15"/>
      <c r="AA940" s="15"/>
      <c r="AB940" s="15"/>
    </row>
    <row r="941">
      <c r="B941" s="15"/>
      <c r="C941" s="15"/>
      <c r="D941" s="15"/>
      <c r="E941" s="15"/>
      <c r="F941" s="15"/>
      <c r="G941" s="15"/>
      <c r="H941" s="15"/>
      <c r="I941" s="15"/>
      <c r="J941" s="15"/>
      <c r="K941" s="15"/>
      <c r="L941" s="15"/>
      <c r="M941" s="15"/>
      <c r="N941" s="15"/>
      <c r="O941" s="15"/>
      <c r="P941" s="15"/>
      <c r="Q941" s="15"/>
      <c r="R941" s="15"/>
      <c r="S941" s="15"/>
      <c r="T941" s="15"/>
      <c r="U941" s="15"/>
      <c r="V941" s="15"/>
      <c r="W941" s="15"/>
      <c r="X941" s="15"/>
      <c r="Y941" s="15"/>
      <c r="Z941" s="15"/>
      <c r="AA941" s="15"/>
      <c r="AB941" s="15"/>
    </row>
    <row r="942">
      <c r="B942" s="15"/>
      <c r="C942" s="15"/>
      <c r="D942" s="15"/>
      <c r="E942" s="15"/>
      <c r="F942" s="15"/>
      <c r="G942" s="15"/>
      <c r="H942" s="15"/>
      <c r="I942" s="15"/>
      <c r="J942" s="15"/>
      <c r="K942" s="15"/>
      <c r="L942" s="15"/>
      <c r="M942" s="15"/>
      <c r="N942" s="15"/>
      <c r="O942" s="15"/>
      <c r="P942" s="15"/>
      <c r="Q942" s="15"/>
      <c r="R942" s="15"/>
      <c r="S942" s="15"/>
      <c r="T942" s="15"/>
      <c r="U942" s="15"/>
      <c r="V942" s="15"/>
      <c r="W942" s="15"/>
      <c r="X942" s="15"/>
      <c r="Y942" s="15"/>
      <c r="Z942" s="15"/>
      <c r="AA942" s="15"/>
      <c r="AB942" s="15"/>
    </row>
    <row r="943">
      <c r="B943" s="15"/>
      <c r="C943" s="15"/>
      <c r="D943" s="15"/>
      <c r="E943" s="15"/>
      <c r="F943" s="15"/>
      <c r="G943" s="15"/>
      <c r="H943" s="15"/>
      <c r="I943" s="15"/>
      <c r="J943" s="15"/>
      <c r="K943" s="15"/>
      <c r="L943" s="15"/>
      <c r="M943" s="15"/>
      <c r="N943" s="15"/>
      <c r="O943" s="15"/>
      <c r="P943" s="15"/>
      <c r="Q943" s="15"/>
      <c r="R943" s="15"/>
      <c r="S943" s="15"/>
      <c r="T943" s="15"/>
      <c r="U943" s="15"/>
      <c r="V943" s="15"/>
      <c r="W943" s="15"/>
      <c r="X943" s="15"/>
      <c r="Y943" s="15"/>
      <c r="Z943" s="15"/>
      <c r="AA943" s="15"/>
      <c r="AB943" s="15"/>
    </row>
    <row r="944">
      <c r="B944" s="15"/>
      <c r="C944" s="15"/>
      <c r="D944" s="15"/>
      <c r="E944" s="15"/>
      <c r="F944" s="15"/>
      <c r="G944" s="15"/>
      <c r="H944" s="15"/>
      <c r="I944" s="15"/>
      <c r="J944" s="15"/>
      <c r="K944" s="15"/>
      <c r="L944" s="15"/>
      <c r="M944" s="15"/>
      <c r="N944" s="15"/>
      <c r="O944" s="15"/>
      <c r="P944" s="15"/>
      <c r="Q944" s="15"/>
      <c r="R944" s="15"/>
      <c r="S944" s="15"/>
      <c r="T944" s="15"/>
      <c r="U944" s="15"/>
      <c r="V944" s="15"/>
      <c r="W944" s="15"/>
      <c r="X944" s="15"/>
      <c r="Y944" s="15"/>
      <c r="Z944" s="15"/>
      <c r="AA944" s="15"/>
      <c r="AB944" s="15"/>
    </row>
    <row r="945">
      <c r="B945" s="15"/>
      <c r="C945" s="15"/>
      <c r="D945" s="15"/>
      <c r="E945" s="15"/>
      <c r="F945" s="15"/>
      <c r="G945" s="15"/>
      <c r="H945" s="15"/>
      <c r="I945" s="15"/>
      <c r="J945" s="15"/>
      <c r="K945" s="15"/>
      <c r="L945" s="15"/>
      <c r="M945" s="15"/>
      <c r="N945" s="15"/>
      <c r="O945" s="15"/>
      <c r="P945" s="15"/>
      <c r="Q945" s="15"/>
      <c r="R945" s="15"/>
      <c r="S945" s="15"/>
      <c r="T945" s="15"/>
      <c r="U945" s="15"/>
      <c r="V945" s="15"/>
      <c r="W945" s="15"/>
      <c r="X945" s="15"/>
      <c r="Y945" s="15"/>
      <c r="Z945" s="15"/>
      <c r="AA945" s="15"/>
      <c r="AB945" s="15"/>
    </row>
    <row r="946">
      <c r="B946" s="15"/>
      <c r="C946" s="15"/>
      <c r="D946" s="15"/>
      <c r="E946" s="15"/>
      <c r="F946" s="15"/>
      <c r="G946" s="15"/>
      <c r="H946" s="15"/>
      <c r="I946" s="15"/>
      <c r="J946" s="15"/>
      <c r="K946" s="15"/>
      <c r="L946" s="15"/>
      <c r="M946" s="15"/>
      <c r="N946" s="15"/>
      <c r="O946" s="15"/>
      <c r="P946" s="15"/>
      <c r="Q946" s="15"/>
      <c r="R946" s="15"/>
      <c r="S946" s="15"/>
      <c r="T946" s="15"/>
      <c r="U946" s="15"/>
      <c r="V946" s="15"/>
      <c r="W946" s="15"/>
      <c r="X946" s="15"/>
      <c r="Y946" s="15"/>
      <c r="Z946" s="15"/>
      <c r="AA946" s="15"/>
      <c r="AB946" s="15"/>
    </row>
    <row r="947">
      <c r="B947" s="15"/>
      <c r="C947" s="15"/>
      <c r="D947" s="15"/>
      <c r="E947" s="15"/>
      <c r="F947" s="15"/>
      <c r="G947" s="15"/>
      <c r="H947" s="15"/>
      <c r="I947" s="15"/>
      <c r="J947" s="15"/>
      <c r="K947" s="15"/>
      <c r="L947" s="15"/>
      <c r="M947" s="15"/>
      <c r="N947" s="15"/>
      <c r="O947" s="15"/>
      <c r="P947" s="15"/>
      <c r="Q947" s="15"/>
      <c r="R947" s="15"/>
      <c r="S947" s="15"/>
      <c r="T947" s="15"/>
      <c r="U947" s="15"/>
      <c r="V947" s="15"/>
      <c r="W947" s="15"/>
      <c r="X947" s="15"/>
      <c r="Y947" s="15"/>
      <c r="Z947" s="15"/>
      <c r="AA947" s="15"/>
      <c r="AB947" s="15"/>
    </row>
    <row r="948">
      <c r="B948" s="15"/>
      <c r="C948" s="15"/>
      <c r="D948" s="15"/>
      <c r="E948" s="15"/>
      <c r="F948" s="15"/>
      <c r="G948" s="15"/>
      <c r="H948" s="15"/>
      <c r="I948" s="15"/>
      <c r="J948" s="15"/>
      <c r="K948" s="15"/>
      <c r="L948" s="15"/>
      <c r="M948" s="15"/>
      <c r="N948" s="15"/>
      <c r="O948" s="15"/>
      <c r="P948" s="15"/>
      <c r="Q948" s="15"/>
      <c r="R948" s="15"/>
      <c r="S948" s="15"/>
      <c r="T948" s="15"/>
      <c r="U948" s="15"/>
      <c r="V948" s="15"/>
      <c r="W948" s="15"/>
      <c r="X948" s="15"/>
      <c r="Y948" s="15"/>
      <c r="Z948" s="15"/>
      <c r="AA948" s="15"/>
      <c r="AB948" s="15"/>
    </row>
    <row r="949">
      <c r="B949" s="15"/>
      <c r="C949" s="15"/>
      <c r="D949" s="15"/>
      <c r="E949" s="15"/>
      <c r="F949" s="15"/>
      <c r="G949" s="15"/>
      <c r="H949" s="15"/>
      <c r="I949" s="15"/>
      <c r="J949" s="15"/>
      <c r="K949" s="15"/>
      <c r="L949" s="15"/>
      <c r="M949" s="15"/>
      <c r="N949" s="15"/>
      <c r="O949" s="15"/>
      <c r="P949" s="15"/>
      <c r="Q949" s="15"/>
      <c r="R949" s="15"/>
      <c r="S949" s="15"/>
      <c r="T949" s="15"/>
      <c r="U949" s="15"/>
      <c r="V949" s="15"/>
      <c r="W949" s="15"/>
      <c r="X949" s="15"/>
      <c r="Y949" s="15"/>
      <c r="Z949" s="15"/>
      <c r="AA949" s="15"/>
      <c r="AB949" s="15"/>
    </row>
    <row r="950">
      <c r="B950" s="15"/>
      <c r="C950" s="15"/>
      <c r="D950" s="15"/>
      <c r="E950" s="15"/>
      <c r="F950" s="15"/>
      <c r="G950" s="15"/>
      <c r="H950" s="15"/>
      <c r="I950" s="15"/>
      <c r="J950" s="15"/>
      <c r="K950" s="15"/>
      <c r="L950" s="15"/>
      <c r="M950" s="15"/>
      <c r="N950" s="15"/>
      <c r="O950" s="15"/>
      <c r="P950" s="15"/>
      <c r="Q950" s="15"/>
      <c r="R950" s="15"/>
      <c r="S950" s="15"/>
      <c r="T950" s="15"/>
      <c r="U950" s="15"/>
      <c r="V950" s="15"/>
      <c r="W950" s="15"/>
      <c r="X950" s="15"/>
      <c r="Y950" s="15"/>
      <c r="Z950" s="15"/>
      <c r="AA950" s="15"/>
      <c r="AB950" s="15"/>
    </row>
    <row r="951">
      <c r="B951" s="15"/>
      <c r="C951" s="15"/>
      <c r="D951" s="15"/>
      <c r="E951" s="15"/>
      <c r="F951" s="15"/>
      <c r="G951" s="15"/>
      <c r="H951" s="15"/>
      <c r="I951" s="15"/>
      <c r="J951" s="15"/>
      <c r="K951" s="15"/>
      <c r="L951" s="15"/>
      <c r="M951" s="15"/>
      <c r="N951" s="15"/>
      <c r="O951" s="15"/>
      <c r="P951" s="15"/>
      <c r="Q951" s="15"/>
      <c r="R951" s="15"/>
      <c r="S951" s="15"/>
      <c r="T951" s="15"/>
      <c r="U951" s="15"/>
      <c r="V951" s="15"/>
      <c r="W951" s="15"/>
      <c r="X951" s="15"/>
      <c r="Y951" s="15"/>
      <c r="Z951" s="15"/>
      <c r="AA951" s="15"/>
      <c r="AB951" s="15"/>
    </row>
    <row r="952">
      <c r="B952" s="15"/>
      <c r="C952" s="15"/>
      <c r="D952" s="15"/>
      <c r="E952" s="15"/>
      <c r="F952" s="15"/>
      <c r="G952" s="15"/>
      <c r="H952" s="15"/>
      <c r="I952" s="15"/>
      <c r="J952" s="15"/>
      <c r="K952" s="15"/>
      <c r="L952" s="15"/>
      <c r="M952" s="15"/>
      <c r="N952" s="15"/>
      <c r="O952" s="15"/>
      <c r="P952" s="15"/>
      <c r="Q952" s="15"/>
      <c r="R952" s="15"/>
      <c r="S952" s="15"/>
      <c r="T952" s="15"/>
      <c r="U952" s="15"/>
      <c r="V952" s="15"/>
      <c r="W952" s="15"/>
      <c r="X952" s="15"/>
      <c r="Y952" s="15"/>
      <c r="Z952" s="15"/>
      <c r="AA952" s="15"/>
      <c r="AB952" s="15"/>
    </row>
    <row r="953">
      <c r="B953" s="15"/>
      <c r="C953" s="15"/>
      <c r="D953" s="15"/>
      <c r="E953" s="15"/>
      <c r="F953" s="15"/>
      <c r="G953" s="15"/>
      <c r="H953" s="15"/>
      <c r="I953" s="15"/>
      <c r="J953" s="15"/>
      <c r="K953" s="15"/>
      <c r="L953" s="15"/>
      <c r="M953" s="15"/>
      <c r="N953" s="15"/>
      <c r="O953" s="15"/>
      <c r="P953" s="15"/>
      <c r="Q953" s="15"/>
      <c r="R953" s="15"/>
      <c r="S953" s="15"/>
      <c r="T953" s="15"/>
      <c r="U953" s="15"/>
      <c r="V953" s="15"/>
      <c r="W953" s="15"/>
      <c r="X953" s="15"/>
      <c r="Y953" s="15"/>
      <c r="Z953" s="15"/>
      <c r="AA953" s="15"/>
      <c r="AB953" s="15"/>
    </row>
    <row r="954">
      <c r="B954" s="15"/>
      <c r="C954" s="15"/>
      <c r="D954" s="15"/>
      <c r="E954" s="15"/>
      <c r="F954" s="15"/>
      <c r="G954" s="15"/>
      <c r="H954" s="15"/>
      <c r="I954" s="15"/>
      <c r="J954" s="15"/>
      <c r="K954" s="15"/>
      <c r="L954" s="15"/>
      <c r="M954" s="15"/>
      <c r="N954" s="15"/>
      <c r="O954" s="15"/>
      <c r="P954" s="15"/>
      <c r="Q954" s="15"/>
      <c r="R954" s="15"/>
      <c r="S954" s="15"/>
      <c r="T954" s="15"/>
      <c r="U954" s="15"/>
      <c r="V954" s="15"/>
      <c r="W954" s="15"/>
      <c r="X954" s="15"/>
      <c r="Y954" s="15"/>
      <c r="Z954" s="15"/>
      <c r="AA954" s="15"/>
      <c r="AB954" s="15"/>
    </row>
    <row r="955">
      <c r="B955" s="15"/>
      <c r="C955" s="15"/>
      <c r="D955" s="15"/>
      <c r="E955" s="15"/>
      <c r="F955" s="15"/>
      <c r="G955" s="15"/>
      <c r="H955" s="15"/>
      <c r="I955" s="15"/>
      <c r="J955" s="15"/>
      <c r="K955" s="15"/>
      <c r="L955" s="15"/>
      <c r="M955" s="15"/>
      <c r="N955" s="15"/>
      <c r="O955" s="15"/>
      <c r="P955" s="15"/>
      <c r="Q955" s="15"/>
      <c r="R955" s="15"/>
      <c r="S955" s="15"/>
      <c r="T955" s="15"/>
      <c r="U955" s="15"/>
      <c r="V955" s="15"/>
      <c r="W955" s="15"/>
      <c r="X955" s="15"/>
      <c r="Y955" s="15"/>
      <c r="Z955" s="15"/>
      <c r="AA955" s="15"/>
      <c r="AB955" s="15"/>
    </row>
    <row r="956">
      <c r="B956" s="15"/>
      <c r="C956" s="15"/>
      <c r="D956" s="15"/>
      <c r="E956" s="15"/>
      <c r="F956" s="15"/>
      <c r="G956" s="15"/>
      <c r="H956" s="15"/>
      <c r="I956" s="15"/>
      <c r="J956" s="15"/>
      <c r="K956" s="15"/>
      <c r="L956" s="15"/>
      <c r="M956" s="15"/>
      <c r="N956" s="15"/>
      <c r="O956" s="15"/>
      <c r="P956" s="15"/>
      <c r="Q956" s="15"/>
      <c r="R956" s="15"/>
      <c r="S956" s="15"/>
      <c r="T956" s="15"/>
      <c r="U956" s="15"/>
      <c r="V956" s="15"/>
      <c r="W956" s="15"/>
      <c r="X956" s="15"/>
      <c r="Y956" s="15"/>
      <c r="Z956" s="15"/>
      <c r="AA956" s="15"/>
      <c r="AB956" s="15"/>
    </row>
    <row r="957">
      <c r="B957" s="15"/>
      <c r="C957" s="15"/>
      <c r="D957" s="15"/>
      <c r="E957" s="15"/>
      <c r="F957" s="15"/>
      <c r="G957" s="15"/>
      <c r="H957" s="15"/>
      <c r="I957" s="15"/>
      <c r="J957" s="15"/>
      <c r="K957" s="15"/>
      <c r="L957" s="15"/>
      <c r="M957" s="15"/>
      <c r="N957" s="15"/>
      <c r="O957" s="15"/>
      <c r="P957" s="15"/>
      <c r="Q957" s="15"/>
      <c r="R957" s="15"/>
      <c r="S957" s="15"/>
      <c r="T957" s="15"/>
      <c r="U957" s="15"/>
      <c r="V957" s="15"/>
      <c r="W957" s="15"/>
      <c r="X957" s="15"/>
      <c r="Y957" s="15"/>
      <c r="Z957" s="15"/>
      <c r="AA957" s="15"/>
      <c r="AB957" s="15"/>
    </row>
    <row r="958">
      <c r="B958" s="15"/>
      <c r="C958" s="15"/>
      <c r="D958" s="15"/>
      <c r="E958" s="15"/>
      <c r="F958" s="15"/>
      <c r="G958" s="15"/>
      <c r="H958" s="15"/>
      <c r="I958" s="15"/>
      <c r="J958" s="15"/>
      <c r="K958" s="15"/>
      <c r="L958" s="15"/>
      <c r="M958" s="15"/>
      <c r="N958" s="15"/>
      <c r="O958" s="15"/>
      <c r="P958" s="15"/>
      <c r="Q958" s="15"/>
      <c r="R958" s="15"/>
      <c r="S958" s="15"/>
      <c r="T958" s="15"/>
      <c r="U958" s="15"/>
      <c r="V958" s="15"/>
      <c r="W958" s="15"/>
      <c r="X958" s="15"/>
      <c r="Y958" s="15"/>
      <c r="Z958" s="15"/>
      <c r="AA958" s="15"/>
      <c r="AB958" s="15"/>
    </row>
    <row r="959">
      <c r="B959" s="15"/>
      <c r="C959" s="15"/>
      <c r="D959" s="15"/>
      <c r="E959" s="15"/>
      <c r="F959" s="15"/>
      <c r="G959" s="15"/>
      <c r="H959" s="15"/>
      <c r="I959" s="15"/>
      <c r="J959" s="15"/>
      <c r="K959" s="15"/>
      <c r="L959" s="15"/>
      <c r="M959" s="15"/>
      <c r="N959" s="15"/>
      <c r="O959" s="15"/>
      <c r="P959" s="15"/>
      <c r="Q959" s="15"/>
      <c r="R959" s="15"/>
      <c r="S959" s="15"/>
      <c r="T959" s="15"/>
      <c r="U959" s="15"/>
      <c r="V959" s="15"/>
      <c r="W959" s="15"/>
      <c r="X959" s="15"/>
      <c r="Y959" s="15"/>
      <c r="Z959" s="15"/>
      <c r="AA959" s="15"/>
      <c r="AB959" s="15"/>
    </row>
    <row r="960">
      <c r="B960" s="15"/>
      <c r="C960" s="15"/>
      <c r="D960" s="15"/>
      <c r="E960" s="15"/>
      <c r="F960" s="15"/>
      <c r="G960" s="15"/>
      <c r="H960" s="15"/>
      <c r="I960" s="15"/>
      <c r="J960" s="15"/>
      <c r="K960" s="15"/>
      <c r="L960" s="15"/>
      <c r="M960" s="15"/>
      <c r="N960" s="15"/>
      <c r="O960" s="15"/>
      <c r="P960" s="15"/>
      <c r="Q960" s="15"/>
      <c r="R960" s="15"/>
      <c r="S960" s="15"/>
      <c r="T960" s="15"/>
      <c r="U960" s="15"/>
      <c r="V960" s="15"/>
      <c r="W960" s="15"/>
      <c r="X960" s="15"/>
      <c r="Y960" s="15"/>
      <c r="Z960" s="15"/>
      <c r="AA960" s="15"/>
      <c r="AB960" s="15"/>
    </row>
    <row r="961">
      <c r="B961" s="15"/>
      <c r="C961" s="15"/>
      <c r="D961" s="15"/>
      <c r="E961" s="15"/>
      <c r="F961" s="15"/>
      <c r="G961" s="15"/>
      <c r="H961" s="15"/>
      <c r="I961" s="15"/>
      <c r="J961" s="15"/>
      <c r="K961" s="15"/>
      <c r="L961" s="15"/>
      <c r="M961" s="15"/>
      <c r="N961" s="15"/>
      <c r="O961" s="15"/>
      <c r="P961" s="15"/>
      <c r="Q961" s="15"/>
      <c r="R961" s="15"/>
      <c r="S961" s="15"/>
      <c r="T961" s="15"/>
      <c r="U961" s="15"/>
      <c r="V961" s="15"/>
      <c r="W961" s="15"/>
      <c r="X961" s="15"/>
      <c r="Y961" s="15"/>
      <c r="Z961" s="15"/>
      <c r="AA961" s="15"/>
      <c r="AB961" s="15"/>
    </row>
    <row r="962">
      <c r="B962" s="15"/>
      <c r="C962" s="15"/>
      <c r="D962" s="15"/>
      <c r="E962" s="15"/>
      <c r="F962" s="15"/>
      <c r="G962" s="15"/>
      <c r="H962" s="15"/>
      <c r="I962" s="15"/>
      <c r="J962" s="15"/>
      <c r="K962" s="15"/>
      <c r="L962" s="15"/>
      <c r="M962" s="15"/>
      <c r="N962" s="15"/>
      <c r="O962" s="15"/>
      <c r="P962" s="15"/>
      <c r="Q962" s="15"/>
      <c r="R962" s="15"/>
      <c r="S962" s="15"/>
      <c r="T962" s="15"/>
      <c r="U962" s="15"/>
      <c r="V962" s="15"/>
      <c r="W962" s="15"/>
      <c r="X962" s="15"/>
      <c r="Y962" s="15"/>
      <c r="Z962" s="15"/>
      <c r="AA962" s="15"/>
      <c r="AB962" s="15"/>
    </row>
    <row r="963">
      <c r="B963" s="15"/>
      <c r="C963" s="15"/>
      <c r="D963" s="15"/>
      <c r="E963" s="15"/>
      <c r="F963" s="15"/>
      <c r="G963" s="15"/>
      <c r="H963" s="15"/>
      <c r="I963" s="15"/>
      <c r="J963" s="15"/>
      <c r="K963" s="15"/>
      <c r="L963" s="15"/>
      <c r="M963" s="15"/>
      <c r="N963" s="15"/>
      <c r="O963" s="15"/>
      <c r="P963" s="15"/>
      <c r="Q963" s="15"/>
      <c r="R963" s="15"/>
      <c r="S963" s="15"/>
      <c r="T963" s="15"/>
      <c r="U963" s="15"/>
      <c r="V963" s="15"/>
      <c r="W963" s="15"/>
      <c r="X963" s="15"/>
      <c r="Y963" s="15"/>
      <c r="Z963" s="15"/>
      <c r="AA963" s="15"/>
      <c r="AB963" s="15"/>
    </row>
    <row r="964">
      <c r="B964" s="15"/>
      <c r="C964" s="15"/>
      <c r="D964" s="15"/>
      <c r="E964" s="15"/>
      <c r="F964" s="15"/>
      <c r="G964" s="15"/>
      <c r="H964" s="15"/>
      <c r="I964" s="15"/>
      <c r="J964" s="15"/>
      <c r="K964" s="15"/>
      <c r="L964" s="15"/>
      <c r="M964" s="15"/>
      <c r="N964" s="15"/>
      <c r="O964" s="15"/>
      <c r="P964" s="15"/>
      <c r="Q964" s="15"/>
      <c r="R964" s="15"/>
      <c r="S964" s="15"/>
      <c r="T964" s="15"/>
      <c r="U964" s="15"/>
      <c r="V964" s="15"/>
      <c r="W964" s="15"/>
      <c r="X964" s="15"/>
      <c r="Y964" s="15"/>
      <c r="Z964" s="15"/>
      <c r="AA964" s="15"/>
      <c r="AB964" s="15"/>
    </row>
    <row r="965">
      <c r="B965" s="15"/>
      <c r="C965" s="15"/>
      <c r="D965" s="15"/>
      <c r="E965" s="15"/>
      <c r="F965" s="15"/>
      <c r="G965" s="15"/>
      <c r="H965" s="15"/>
      <c r="I965" s="15"/>
      <c r="J965" s="15"/>
      <c r="K965" s="15"/>
      <c r="L965" s="15"/>
      <c r="M965" s="15"/>
      <c r="N965" s="15"/>
      <c r="O965" s="15"/>
      <c r="P965" s="15"/>
      <c r="Q965" s="15"/>
      <c r="R965" s="15"/>
      <c r="S965" s="15"/>
      <c r="T965" s="15"/>
      <c r="U965" s="15"/>
      <c r="V965" s="15"/>
      <c r="W965" s="15"/>
      <c r="X965" s="15"/>
      <c r="Y965" s="15"/>
      <c r="Z965" s="15"/>
      <c r="AA965" s="15"/>
      <c r="AB965" s="15"/>
    </row>
    <row r="966">
      <c r="B966" s="15"/>
      <c r="C966" s="15"/>
      <c r="D966" s="15"/>
      <c r="E966" s="15"/>
      <c r="F966" s="15"/>
      <c r="G966" s="15"/>
      <c r="H966" s="15"/>
      <c r="I966" s="15"/>
      <c r="J966" s="15"/>
      <c r="K966" s="15"/>
      <c r="L966" s="15"/>
      <c r="M966" s="15"/>
      <c r="N966" s="15"/>
      <c r="O966" s="15"/>
      <c r="P966" s="15"/>
      <c r="Q966" s="15"/>
      <c r="R966" s="15"/>
      <c r="S966" s="15"/>
      <c r="T966" s="15"/>
      <c r="U966" s="15"/>
      <c r="V966" s="15"/>
      <c r="W966" s="15"/>
      <c r="X966" s="15"/>
      <c r="Y966" s="15"/>
      <c r="Z966" s="15"/>
      <c r="AA966" s="15"/>
      <c r="AB966" s="15"/>
    </row>
    <row r="967">
      <c r="B967" s="15"/>
      <c r="C967" s="15"/>
      <c r="D967" s="15"/>
      <c r="E967" s="15"/>
      <c r="F967" s="15"/>
      <c r="G967" s="15"/>
      <c r="H967" s="15"/>
      <c r="I967" s="15"/>
      <c r="J967" s="15"/>
      <c r="K967" s="15"/>
      <c r="L967" s="15"/>
      <c r="M967" s="15"/>
      <c r="N967" s="15"/>
      <c r="O967" s="15"/>
      <c r="P967" s="15"/>
      <c r="Q967" s="15"/>
      <c r="R967" s="15"/>
      <c r="S967" s="15"/>
      <c r="T967" s="15"/>
      <c r="U967" s="15"/>
      <c r="V967" s="15"/>
      <c r="W967" s="15"/>
      <c r="X967" s="15"/>
      <c r="Y967" s="15"/>
      <c r="Z967" s="15"/>
      <c r="AA967" s="15"/>
      <c r="AB967" s="15"/>
    </row>
    <row r="968">
      <c r="B968" s="15"/>
      <c r="C968" s="15"/>
      <c r="D968" s="15"/>
      <c r="E968" s="15"/>
      <c r="F968" s="15"/>
      <c r="G968" s="15"/>
      <c r="H968" s="15"/>
      <c r="I968" s="15"/>
      <c r="J968" s="15"/>
      <c r="K968" s="15"/>
      <c r="L968" s="15"/>
      <c r="M968" s="15"/>
      <c r="N968" s="15"/>
      <c r="O968" s="15"/>
      <c r="P968" s="15"/>
      <c r="Q968" s="15"/>
      <c r="R968" s="15"/>
      <c r="S968" s="15"/>
      <c r="T968" s="15"/>
      <c r="U968" s="15"/>
      <c r="V968" s="15"/>
      <c r="W968" s="15"/>
      <c r="X968" s="15"/>
      <c r="Y968" s="15"/>
      <c r="Z968" s="15"/>
      <c r="AA968" s="15"/>
      <c r="AB968" s="15"/>
    </row>
    <row r="969">
      <c r="B969" s="15"/>
      <c r="C969" s="15"/>
      <c r="D969" s="15"/>
      <c r="E969" s="15"/>
      <c r="F969" s="15"/>
      <c r="G969" s="15"/>
      <c r="H969" s="15"/>
      <c r="I969" s="15"/>
      <c r="J969" s="15"/>
      <c r="K969" s="15"/>
      <c r="L969" s="15"/>
      <c r="M969" s="15"/>
      <c r="N969" s="15"/>
      <c r="O969" s="15"/>
      <c r="P969" s="15"/>
      <c r="Q969" s="15"/>
      <c r="R969" s="15"/>
      <c r="S969" s="15"/>
      <c r="T969" s="15"/>
      <c r="U969" s="15"/>
      <c r="V969" s="15"/>
      <c r="W969" s="15"/>
      <c r="X969" s="15"/>
      <c r="Y969" s="15"/>
      <c r="Z969" s="15"/>
      <c r="AA969" s="15"/>
      <c r="AB969" s="15"/>
    </row>
    <row r="970">
      <c r="B970" s="15"/>
      <c r="C970" s="15"/>
      <c r="D970" s="15"/>
      <c r="E970" s="15"/>
      <c r="F970" s="15"/>
      <c r="G970" s="15"/>
      <c r="H970" s="15"/>
      <c r="I970" s="15"/>
      <c r="J970" s="15"/>
      <c r="K970" s="15"/>
      <c r="L970" s="15"/>
      <c r="M970" s="15"/>
      <c r="N970" s="15"/>
      <c r="O970" s="15"/>
      <c r="P970" s="15"/>
      <c r="Q970" s="15"/>
      <c r="R970" s="15"/>
      <c r="S970" s="15"/>
      <c r="T970" s="15"/>
      <c r="U970" s="15"/>
      <c r="V970" s="15"/>
      <c r="W970" s="15"/>
      <c r="X970" s="15"/>
      <c r="Y970" s="15"/>
      <c r="Z970" s="15"/>
      <c r="AA970" s="15"/>
      <c r="AB970" s="15"/>
    </row>
    <row r="971">
      <c r="B971" s="15"/>
      <c r="C971" s="15"/>
      <c r="D971" s="15"/>
      <c r="E971" s="15"/>
      <c r="F971" s="15"/>
      <c r="G971" s="15"/>
      <c r="H971" s="15"/>
      <c r="I971" s="15"/>
      <c r="J971" s="15"/>
      <c r="K971" s="15"/>
      <c r="L971" s="15"/>
      <c r="M971" s="15"/>
      <c r="N971" s="15"/>
      <c r="O971" s="15"/>
      <c r="P971" s="15"/>
      <c r="Q971" s="15"/>
      <c r="R971" s="15"/>
      <c r="S971" s="15"/>
      <c r="T971" s="15"/>
      <c r="U971" s="15"/>
      <c r="V971" s="15"/>
      <c r="W971" s="15"/>
      <c r="X971" s="15"/>
      <c r="Y971" s="15"/>
      <c r="Z971" s="15"/>
      <c r="AA971" s="15"/>
      <c r="AB971" s="15"/>
    </row>
    <row r="972">
      <c r="B972" s="15"/>
      <c r="C972" s="15"/>
      <c r="D972" s="15"/>
      <c r="E972" s="15"/>
      <c r="F972" s="15"/>
      <c r="G972" s="15"/>
      <c r="H972" s="15"/>
      <c r="I972" s="15"/>
      <c r="J972" s="15"/>
      <c r="K972" s="15"/>
      <c r="L972" s="15"/>
      <c r="M972" s="15"/>
      <c r="N972" s="15"/>
      <c r="O972" s="15"/>
      <c r="P972" s="15"/>
      <c r="Q972" s="15"/>
      <c r="R972" s="15"/>
      <c r="S972" s="15"/>
      <c r="T972" s="15"/>
      <c r="U972" s="15"/>
      <c r="V972" s="15"/>
      <c r="W972" s="15"/>
      <c r="X972" s="15"/>
      <c r="Y972" s="15"/>
      <c r="Z972" s="15"/>
      <c r="AA972" s="15"/>
      <c r="AB972" s="15"/>
    </row>
    <row r="973">
      <c r="B973" s="15"/>
      <c r="C973" s="15"/>
      <c r="D973" s="15"/>
      <c r="E973" s="15"/>
      <c r="F973" s="15"/>
      <c r="G973" s="15"/>
      <c r="H973" s="15"/>
      <c r="I973" s="15"/>
      <c r="J973" s="15"/>
      <c r="K973" s="15"/>
      <c r="L973" s="15"/>
      <c r="M973" s="15"/>
      <c r="N973" s="15"/>
      <c r="O973" s="15"/>
      <c r="P973" s="15"/>
      <c r="Q973" s="15"/>
      <c r="R973" s="15"/>
      <c r="S973" s="15"/>
      <c r="T973" s="15"/>
      <c r="U973" s="15"/>
      <c r="V973" s="15"/>
      <c r="W973" s="15"/>
      <c r="X973" s="15"/>
      <c r="Y973" s="15"/>
      <c r="Z973" s="15"/>
      <c r="AA973" s="15"/>
      <c r="AB973" s="15"/>
    </row>
    <row r="974">
      <c r="B974" s="15"/>
      <c r="C974" s="15"/>
      <c r="D974" s="15"/>
      <c r="E974" s="15"/>
      <c r="F974" s="15"/>
      <c r="G974" s="15"/>
      <c r="H974" s="15"/>
      <c r="I974" s="15"/>
      <c r="J974" s="15"/>
      <c r="K974" s="15"/>
      <c r="L974" s="15"/>
      <c r="M974" s="15"/>
      <c r="N974" s="15"/>
      <c r="O974" s="15"/>
      <c r="P974" s="15"/>
      <c r="Q974" s="15"/>
      <c r="R974" s="15"/>
      <c r="S974" s="15"/>
      <c r="T974" s="15"/>
      <c r="U974" s="15"/>
      <c r="V974" s="15"/>
      <c r="W974" s="15"/>
      <c r="X974" s="15"/>
      <c r="Y974" s="15"/>
      <c r="Z974" s="15"/>
      <c r="AA974" s="15"/>
      <c r="AB974" s="15"/>
    </row>
    <row r="975">
      <c r="B975" s="15"/>
      <c r="C975" s="15"/>
      <c r="D975" s="15"/>
      <c r="E975" s="15"/>
      <c r="F975" s="15"/>
      <c r="G975" s="15"/>
      <c r="H975" s="15"/>
      <c r="I975" s="15"/>
      <c r="J975" s="15"/>
      <c r="K975" s="15"/>
      <c r="L975" s="15"/>
      <c r="M975" s="15"/>
      <c r="N975" s="15"/>
      <c r="O975" s="15"/>
      <c r="P975" s="15"/>
      <c r="Q975" s="15"/>
      <c r="R975" s="15"/>
      <c r="S975" s="15"/>
      <c r="T975" s="15"/>
      <c r="U975" s="15"/>
      <c r="V975" s="15"/>
      <c r="W975" s="15"/>
      <c r="X975" s="15"/>
      <c r="Y975" s="15"/>
      <c r="Z975" s="15"/>
      <c r="AA975" s="15"/>
      <c r="AB975" s="15"/>
    </row>
    <row r="976">
      <c r="B976" s="15"/>
      <c r="C976" s="15"/>
      <c r="D976" s="15"/>
      <c r="E976" s="15"/>
      <c r="F976" s="15"/>
      <c r="G976" s="15"/>
      <c r="H976" s="15"/>
      <c r="I976" s="15"/>
      <c r="J976" s="15"/>
      <c r="K976" s="15"/>
      <c r="L976" s="15"/>
      <c r="M976" s="15"/>
      <c r="N976" s="15"/>
      <c r="O976" s="15"/>
      <c r="P976" s="15"/>
      <c r="Q976" s="15"/>
      <c r="R976" s="15"/>
      <c r="S976" s="15"/>
      <c r="T976" s="15"/>
      <c r="U976" s="15"/>
      <c r="V976" s="15"/>
      <c r="W976" s="15"/>
      <c r="X976" s="15"/>
      <c r="Y976" s="15"/>
      <c r="Z976" s="15"/>
      <c r="AA976" s="15"/>
      <c r="AB976" s="15"/>
    </row>
    <row r="977">
      <c r="B977" s="15"/>
      <c r="C977" s="15"/>
      <c r="D977" s="15"/>
      <c r="E977" s="15"/>
      <c r="F977" s="15"/>
      <c r="G977" s="15"/>
      <c r="H977" s="15"/>
      <c r="I977" s="15"/>
      <c r="J977" s="15"/>
      <c r="K977" s="15"/>
      <c r="L977" s="15"/>
      <c r="M977" s="15"/>
      <c r="N977" s="15"/>
      <c r="O977" s="15"/>
      <c r="P977" s="15"/>
      <c r="Q977" s="15"/>
      <c r="R977" s="15"/>
      <c r="S977" s="15"/>
      <c r="T977" s="15"/>
      <c r="U977" s="15"/>
      <c r="V977" s="15"/>
      <c r="W977" s="15"/>
      <c r="X977" s="15"/>
      <c r="Y977" s="15"/>
      <c r="Z977" s="15"/>
      <c r="AA977" s="15"/>
      <c r="AB977" s="15"/>
    </row>
    <row r="978">
      <c r="B978" s="15"/>
      <c r="C978" s="15"/>
      <c r="D978" s="15"/>
      <c r="E978" s="15"/>
      <c r="F978" s="15"/>
      <c r="G978" s="15"/>
      <c r="H978" s="15"/>
      <c r="I978" s="15"/>
      <c r="J978" s="15"/>
      <c r="K978" s="15"/>
      <c r="L978" s="15"/>
      <c r="M978" s="15"/>
      <c r="N978" s="15"/>
      <c r="O978" s="15"/>
      <c r="P978" s="15"/>
      <c r="Q978" s="15"/>
      <c r="R978" s="15"/>
      <c r="S978" s="15"/>
      <c r="T978" s="15"/>
      <c r="U978" s="15"/>
      <c r="V978" s="15"/>
      <c r="W978" s="15"/>
      <c r="X978" s="15"/>
      <c r="Y978" s="15"/>
      <c r="Z978" s="15"/>
      <c r="AA978" s="15"/>
      <c r="AB978" s="15"/>
    </row>
    <row r="979">
      <c r="B979" s="15"/>
      <c r="C979" s="15"/>
      <c r="D979" s="15"/>
      <c r="E979" s="15"/>
      <c r="F979" s="15"/>
      <c r="G979" s="15"/>
      <c r="H979" s="15"/>
      <c r="I979" s="15"/>
      <c r="J979" s="15"/>
      <c r="K979" s="15"/>
      <c r="L979" s="15"/>
      <c r="M979" s="15"/>
      <c r="N979" s="15"/>
      <c r="O979" s="15"/>
      <c r="P979" s="15"/>
      <c r="Q979" s="15"/>
      <c r="R979" s="15"/>
      <c r="S979" s="15"/>
      <c r="T979" s="15"/>
      <c r="U979" s="15"/>
      <c r="V979" s="15"/>
      <c r="W979" s="15"/>
      <c r="X979" s="15"/>
      <c r="Y979" s="15"/>
      <c r="Z979" s="15"/>
      <c r="AA979" s="15"/>
      <c r="AB979" s="15"/>
    </row>
    <row r="980">
      <c r="B980" s="15"/>
      <c r="C980" s="15"/>
      <c r="D980" s="15"/>
      <c r="E980" s="15"/>
      <c r="F980" s="15"/>
      <c r="G980" s="15"/>
      <c r="H980" s="15"/>
      <c r="I980" s="15"/>
      <c r="J980" s="15"/>
      <c r="K980" s="15"/>
      <c r="L980" s="15"/>
      <c r="M980" s="15"/>
      <c r="N980" s="15"/>
      <c r="O980" s="15"/>
      <c r="P980" s="15"/>
      <c r="Q980" s="15"/>
      <c r="R980" s="15"/>
      <c r="S980" s="15"/>
      <c r="T980" s="15"/>
      <c r="U980" s="15"/>
      <c r="V980" s="15"/>
      <c r="W980" s="15"/>
      <c r="X980" s="15"/>
      <c r="Y980" s="15"/>
      <c r="Z980" s="15"/>
      <c r="AA980" s="15"/>
      <c r="AB980" s="15"/>
    </row>
    <row r="981">
      <c r="B981" s="15"/>
      <c r="C981" s="15"/>
      <c r="D981" s="15"/>
      <c r="E981" s="15"/>
      <c r="F981" s="15"/>
      <c r="G981" s="15"/>
      <c r="H981" s="15"/>
      <c r="I981" s="15"/>
      <c r="J981" s="15"/>
      <c r="K981" s="15"/>
      <c r="L981" s="15"/>
      <c r="M981" s="15"/>
      <c r="N981" s="15"/>
      <c r="O981" s="15"/>
      <c r="P981" s="15"/>
      <c r="Q981" s="15"/>
      <c r="R981" s="15"/>
      <c r="S981" s="15"/>
      <c r="T981" s="15"/>
      <c r="U981" s="15"/>
      <c r="V981" s="15"/>
      <c r="W981" s="15"/>
      <c r="X981" s="15"/>
      <c r="Y981" s="15"/>
      <c r="Z981" s="15"/>
      <c r="AA981" s="15"/>
      <c r="AB981" s="15"/>
    </row>
    <row r="982">
      <c r="B982" s="15"/>
      <c r="C982" s="15"/>
      <c r="D982" s="15"/>
      <c r="E982" s="15"/>
      <c r="F982" s="15"/>
      <c r="G982" s="15"/>
      <c r="H982" s="15"/>
      <c r="I982" s="15"/>
      <c r="J982" s="15"/>
      <c r="K982" s="15"/>
      <c r="L982" s="15"/>
      <c r="M982" s="15"/>
      <c r="N982" s="15"/>
      <c r="O982" s="15"/>
      <c r="P982" s="15"/>
      <c r="Q982" s="15"/>
      <c r="R982" s="15"/>
      <c r="S982" s="15"/>
      <c r="T982" s="15"/>
      <c r="U982" s="15"/>
      <c r="V982" s="15"/>
      <c r="W982" s="15"/>
      <c r="X982" s="15"/>
      <c r="Y982" s="15"/>
      <c r="Z982" s="15"/>
      <c r="AA982" s="15"/>
      <c r="AB982" s="15"/>
    </row>
    <row r="983">
      <c r="B983" s="15"/>
      <c r="C983" s="15"/>
      <c r="D983" s="15"/>
      <c r="E983" s="15"/>
      <c r="F983" s="15"/>
      <c r="G983" s="15"/>
      <c r="H983" s="15"/>
      <c r="I983" s="15"/>
      <c r="J983" s="15"/>
      <c r="K983" s="15"/>
      <c r="L983" s="15"/>
      <c r="M983" s="15"/>
      <c r="N983" s="15"/>
      <c r="O983" s="15"/>
      <c r="P983" s="15"/>
      <c r="Q983" s="15"/>
      <c r="R983" s="15"/>
      <c r="S983" s="15"/>
      <c r="T983" s="15"/>
      <c r="U983" s="15"/>
      <c r="V983" s="15"/>
      <c r="W983" s="15"/>
      <c r="X983" s="15"/>
      <c r="Y983" s="15"/>
      <c r="Z983" s="15"/>
      <c r="AA983" s="15"/>
      <c r="AB983" s="15"/>
    </row>
    <row r="984">
      <c r="B984" s="15"/>
      <c r="C984" s="15"/>
      <c r="D984" s="15"/>
      <c r="E984" s="15"/>
      <c r="F984" s="15"/>
      <c r="G984" s="15"/>
      <c r="H984" s="15"/>
      <c r="I984" s="15"/>
      <c r="J984" s="15"/>
      <c r="K984" s="15"/>
      <c r="L984" s="15"/>
      <c r="M984" s="15"/>
      <c r="N984" s="15"/>
      <c r="O984" s="15"/>
      <c r="P984" s="15"/>
      <c r="Q984" s="15"/>
      <c r="R984" s="15"/>
      <c r="S984" s="15"/>
      <c r="T984" s="15"/>
      <c r="U984" s="15"/>
      <c r="V984" s="15"/>
      <c r="W984" s="15"/>
      <c r="X984" s="15"/>
      <c r="Y984" s="15"/>
      <c r="Z984" s="15"/>
      <c r="AA984" s="15"/>
      <c r="AB984" s="15"/>
    </row>
    <row r="985">
      <c r="B985" s="15"/>
      <c r="C985" s="15"/>
      <c r="D985" s="15"/>
      <c r="E985" s="15"/>
      <c r="F985" s="15"/>
      <c r="G985" s="15"/>
      <c r="H985" s="15"/>
      <c r="I985" s="15"/>
      <c r="J985" s="15"/>
      <c r="K985" s="15"/>
      <c r="L985" s="15"/>
      <c r="M985" s="15"/>
      <c r="N985" s="15"/>
      <c r="O985" s="15"/>
      <c r="P985" s="15"/>
      <c r="Q985" s="15"/>
      <c r="R985" s="15"/>
      <c r="S985" s="15"/>
      <c r="T985" s="15"/>
      <c r="U985" s="15"/>
      <c r="V985" s="15"/>
      <c r="W985" s="15"/>
      <c r="X985" s="15"/>
      <c r="Y985" s="15"/>
      <c r="Z985" s="15"/>
      <c r="AA985" s="15"/>
      <c r="AB985" s="15"/>
    </row>
    <row r="986">
      <c r="B986" s="15"/>
      <c r="C986" s="15"/>
      <c r="D986" s="15"/>
      <c r="E986" s="15"/>
      <c r="F986" s="15"/>
      <c r="G986" s="15"/>
      <c r="H986" s="15"/>
      <c r="I986" s="15"/>
      <c r="J986" s="15"/>
      <c r="K986" s="15"/>
      <c r="L986" s="15"/>
      <c r="M986" s="15"/>
      <c r="N986" s="15"/>
      <c r="O986" s="15"/>
      <c r="P986" s="15"/>
      <c r="Q986" s="15"/>
      <c r="R986" s="15"/>
      <c r="S986" s="15"/>
      <c r="T986" s="15"/>
      <c r="U986" s="15"/>
      <c r="V986" s="15"/>
      <c r="W986" s="15"/>
      <c r="X986" s="15"/>
      <c r="Y986" s="15"/>
      <c r="Z986" s="15"/>
      <c r="AA986" s="15"/>
      <c r="AB986" s="15"/>
    </row>
    <row r="987">
      <c r="B987" s="15"/>
      <c r="C987" s="15"/>
      <c r="D987" s="15"/>
      <c r="E987" s="15"/>
      <c r="F987" s="15"/>
      <c r="G987" s="15"/>
      <c r="H987" s="15"/>
      <c r="I987" s="15"/>
      <c r="J987" s="15"/>
      <c r="K987" s="15"/>
      <c r="L987" s="15"/>
      <c r="M987" s="15"/>
      <c r="N987" s="15"/>
      <c r="O987" s="15"/>
      <c r="P987" s="15"/>
      <c r="Q987" s="15"/>
      <c r="R987" s="15"/>
      <c r="S987" s="15"/>
      <c r="T987" s="15"/>
      <c r="U987" s="15"/>
      <c r="V987" s="15"/>
      <c r="W987" s="15"/>
      <c r="X987" s="15"/>
      <c r="Y987" s="15"/>
      <c r="Z987" s="15"/>
      <c r="AA987" s="15"/>
      <c r="AB987" s="15"/>
    </row>
    <row r="988">
      <c r="B988" s="15"/>
      <c r="C988" s="15"/>
      <c r="D988" s="15"/>
      <c r="E988" s="15"/>
      <c r="F988" s="15"/>
      <c r="G988" s="15"/>
      <c r="H988" s="15"/>
      <c r="I988" s="15"/>
      <c r="J988" s="15"/>
      <c r="K988" s="15"/>
      <c r="L988" s="15"/>
      <c r="M988" s="15"/>
      <c r="N988" s="15"/>
      <c r="O988" s="15"/>
      <c r="P988" s="15"/>
      <c r="Q988" s="15"/>
      <c r="R988" s="15"/>
      <c r="S988" s="15"/>
      <c r="T988" s="15"/>
      <c r="U988" s="15"/>
      <c r="V988" s="15"/>
      <c r="W988" s="15"/>
      <c r="X988" s="15"/>
      <c r="Y988" s="15"/>
      <c r="Z988" s="15"/>
      <c r="AA988" s="15"/>
      <c r="AB988" s="15"/>
    </row>
    <row r="989">
      <c r="B989" s="15"/>
      <c r="C989" s="15"/>
      <c r="D989" s="15"/>
      <c r="E989" s="15"/>
      <c r="F989" s="15"/>
      <c r="G989" s="15"/>
      <c r="H989" s="15"/>
      <c r="I989" s="15"/>
      <c r="J989" s="15"/>
      <c r="K989" s="15"/>
      <c r="L989" s="15"/>
      <c r="M989" s="15"/>
      <c r="N989" s="15"/>
      <c r="O989" s="15"/>
      <c r="P989" s="15"/>
      <c r="Q989" s="15"/>
      <c r="R989" s="15"/>
      <c r="S989" s="15"/>
      <c r="T989" s="15"/>
      <c r="U989" s="15"/>
      <c r="V989" s="15"/>
      <c r="W989" s="15"/>
      <c r="X989" s="15"/>
      <c r="Y989" s="15"/>
      <c r="Z989" s="15"/>
      <c r="AA989" s="15"/>
      <c r="AB989" s="15"/>
    </row>
    <row r="990">
      <c r="B990" s="15"/>
      <c r="C990" s="15"/>
      <c r="D990" s="15"/>
      <c r="E990" s="15"/>
      <c r="F990" s="15"/>
      <c r="G990" s="15"/>
      <c r="H990" s="15"/>
      <c r="I990" s="15"/>
      <c r="J990" s="15"/>
      <c r="K990" s="15"/>
      <c r="L990" s="15"/>
      <c r="M990" s="15"/>
      <c r="N990" s="15"/>
      <c r="O990" s="15"/>
      <c r="P990" s="15"/>
      <c r="Q990" s="15"/>
      <c r="R990" s="15"/>
      <c r="S990" s="15"/>
      <c r="T990" s="15"/>
      <c r="U990" s="15"/>
      <c r="V990" s="15"/>
      <c r="W990" s="15"/>
      <c r="X990" s="15"/>
      <c r="Y990" s="15"/>
      <c r="Z990" s="15"/>
      <c r="AA990" s="15"/>
      <c r="AB990" s="15"/>
    </row>
    <row r="991">
      <c r="B991" s="15"/>
      <c r="C991" s="15"/>
      <c r="D991" s="15"/>
      <c r="E991" s="15"/>
      <c r="F991" s="15"/>
      <c r="G991" s="15"/>
      <c r="H991" s="15"/>
      <c r="I991" s="15"/>
      <c r="J991" s="15"/>
      <c r="K991" s="15"/>
      <c r="L991" s="15"/>
      <c r="M991" s="15"/>
      <c r="N991" s="15"/>
      <c r="O991" s="15"/>
      <c r="P991" s="15"/>
      <c r="Q991" s="15"/>
      <c r="R991" s="15"/>
      <c r="S991" s="15"/>
      <c r="T991" s="15"/>
      <c r="U991" s="15"/>
      <c r="V991" s="15"/>
      <c r="W991" s="15"/>
      <c r="X991" s="15"/>
      <c r="Y991" s="15"/>
      <c r="Z991" s="15"/>
      <c r="AA991" s="15"/>
      <c r="AB991" s="15"/>
    </row>
    <row r="992">
      <c r="B992" s="15"/>
      <c r="C992" s="15"/>
      <c r="D992" s="15"/>
      <c r="E992" s="15"/>
      <c r="F992" s="15"/>
      <c r="G992" s="15"/>
      <c r="H992" s="15"/>
      <c r="I992" s="15"/>
      <c r="J992" s="15"/>
      <c r="K992" s="15"/>
      <c r="L992" s="15"/>
      <c r="M992" s="15"/>
      <c r="N992" s="15"/>
      <c r="O992" s="15"/>
      <c r="P992" s="15"/>
      <c r="Q992" s="15"/>
      <c r="R992" s="15"/>
      <c r="S992" s="15"/>
      <c r="T992" s="15"/>
      <c r="U992" s="15"/>
      <c r="V992" s="15"/>
      <c r="W992" s="15"/>
      <c r="X992" s="15"/>
      <c r="Y992" s="15"/>
      <c r="Z992" s="15"/>
      <c r="AA992" s="15"/>
      <c r="AB992" s="15"/>
    </row>
    <row r="993">
      <c r="B993" s="15"/>
      <c r="C993" s="15"/>
      <c r="D993" s="15"/>
      <c r="E993" s="15"/>
      <c r="F993" s="15"/>
      <c r="G993" s="15"/>
      <c r="H993" s="15"/>
      <c r="I993" s="15"/>
      <c r="J993" s="15"/>
      <c r="K993" s="15"/>
      <c r="L993" s="15"/>
      <c r="M993" s="15"/>
      <c r="N993" s="15"/>
      <c r="O993" s="15"/>
      <c r="P993" s="15"/>
      <c r="Q993" s="15"/>
      <c r="R993" s="15"/>
      <c r="S993" s="15"/>
      <c r="T993" s="15"/>
      <c r="U993" s="15"/>
      <c r="V993" s="15"/>
      <c r="W993" s="15"/>
      <c r="X993" s="15"/>
      <c r="Y993" s="15"/>
      <c r="Z993" s="15"/>
      <c r="AA993" s="15"/>
      <c r="AB993" s="15"/>
    </row>
    <row r="994">
      <c r="B994" s="15"/>
      <c r="C994" s="15"/>
      <c r="D994" s="15"/>
      <c r="E994" s="15"/>
      <c r="F994" s="15"/>
      <c r="G994" s="15"/>
      <c r="H994" s="15"/>
      <c r="I994" s="15"/>
      <c r="J994" s="15"/>
      <c r="K994" s="15"/>
      <c r="L994" s="15"/>
      <c r="M994" s="15"/>
      <c r="N994" s="15"/>
      <c r="O994" s="15"/>
      <c r="P994" s="15"/>
      <c r="Q994" s="15"/>
      <c r="R994" s="15"/>
      <c r="S994" s="15"/>
      <c r="T994" s="15"/>
      <c r="U994" s="15"/>
      <c r="V994" s="15"/>
      <c r="W994" s="15"/>
      <c r="X994" s="15"/>
      <c r="Y994" s="15"/>
      <c r="Z994" s="15"/>
      <c r="AA994" s="15"/>
      <c r="AB994" s="15"/>
    </row>
    <row r="995">
      <c r="B995" s="15"/>
      <c r="C995" s="15"/>
      <c r="D995" s="15"/>
      <c r="E995" s="15"/>
      <c r="F995" s="15"/>
      <c r="G995" s="15"/>
      <c r="H995" s="15"/>
      <c r="I995" s="15"/>
      <c r="J995" s="15"/>
      <c r="K995" s="15"/>
      <c r="L995" s="15"/>
      <c r="M995" s="15"/>
      <c r="N995" s="15"/>
      <c r="O995" s="15"/>
      <c r="P995" s="15"/>
      <c r="Q995" s="15"/>
      <c r="R995" s="15"/>
      <c r="S995" s="15"/>
      <c r="T995" s="15"/>
      <c r="U995" s="15"/>
      <c r="V995" s="15"/>
      <c r="W995" s="15"/>
      <c r="X995" s="15"/>
      <c r="Y995" s="15"/>
      <c r="Z995" s="15"/>
      <c r="AA995" s="15"/>
      <c r="AB995" s="15"/>
    </row>
    <row r="996">
      <c r="B996" s="15"/>
      <c r="C996" s="15"/>
      <c r="D996" s="15"/>
      <c r="E996" s="15"/>
      <c r="F996" s="15"/>
      <c r="G996" s="15"/>
      <c r="H996" s="15"/>
      <c r="I996" s="15"/>
      <c r="J996" s="15"/>
      <c r="K996" s="15"/>
      <c r="L996" s="15"/>
      <c r="M996" s="15"/>
      <c r="N996" s="15"/>
      <c r="O996" s="15"/>
      <c r="P996" s="15"/>
      <c r="Q996" s="15"/>
      <c r="R996" s="15"/>
      <c r="S996" s="15"/>
      <c r="T996" s="15"/>
      <c r="U996" s="15"/>
      <c r="V996" s="15"/>
      <c r="W996" s="15"/>
      <c r="X996" s="15"/>
      <c r="Y996" s="15"/>
      <c r="Z996" s="15"/>
      <c r="AA996" s="15"/>
      <c r="AB996" s="15"/>
    </row>
    <row r="997">
      <c r="B997" s="15"/>
      <c r="C997" s="15"/>
      <c r="D997" s="15"/>
      <c r="E997" s="15"/>
      <c r="F997" s="15"/>
      <c r="G997" s="15"/>
      <c r="H997" s="15"/>
      <c r="I997" s="15"/>
      <c r="J997" s="15"/>
      <c r="K997" s="15"/>
      <c r="L997" s="15"/>
      <c r="M997" s="15"/>
      <c r="N997" s="15"/>
      <c r="O997" s="15"/>
      <c r="P997" s="15"/>
      <c r="Q997" s="15"/>
      <c r="R997" s="15"/>
      <c r="S997" s="15"/>
      <c r="T997" s="15"/>
      <c r="U997" s="15"/>
      <c r="V997" s="15"/>
      <c r="W997" s="15"/>
      <c r="X997" s="15"/>
      <c r="Y997" s="15"/>
      <c r="Z997" s="15"/>
      <c r="AA997" s="15"/>
      <c r="AB997" s="15"/>
    </row>
    <row r="998">
      <c r="B998" s="15"/>
      <c r="C998" s="15"/>
      <c r="D998" s="15"/>
      <c r="E998" s="15"/>
      <c r="F998" s="15"/>
      <c r="G998" s="15"/>
      <c r="H998" s="15"/>
      <c r="I998" s="15"/>
      <c r="J998" s="15"/>
      <c r="K998" s="15"/>
      <c r="L998" s="15"/>
      <c r="M998" s="15"/>
      <c r="N998" s="15"/>
      <c r="O998" s="15"/>
      <c r="P998" s="15"/>
      <c r="Q998" s="15"/>
      <c r="R998" s="15"/>
      <c r="S998" s="15"/>
      <c r="T998" s="15"/>
      <c r="U998" s="15"/>
      <c r="V998" s="15"/>
      <c r="W998" s="15"/>
      <c r="X998" s="15"/>
      <c r="Y998" s="15"/>
      <c r="Z998" s="15"/>
      <c r="AA998" s="15"/>
      <c r="AB998" s="15"/>
    </row>
    <row r="999">
      <c r="B999" s="15"/>
      <c r="C999" s="15"/>
      <c r="D999" s="15"/>
      <c r="E999" s="15"/>
      <c r="F999" s="15"/>
      <c r="G999" s="15"/>
      <c r="H999" s="15"/>
      <c r="I999" s="15"/>
      <c r="J999" s="15"/>
      <c r="K999" s="15"/>
      <c r="L999" s="15"/>
      <c r="M999" s="15"/>
      <c r="N999" s="15"/>
      <c r="O999" s="15"/>
      <c r="P999" s="15"/>
      <c r="Q999" s="15"/>
      <c r="R999" s="15"/>
      <c r="S999" s="15"/>
      <c r="T999" s="15"/>
      <c r="U999" s="15"/>
      <c r="V999" s="15"/>
      <c r="W999" s="15"/>
      <c r="X999" s="15"/>
      <c r="Y999" s="15"/>
      <c r="Z999" s="15"/>
      <c r="AA999" s="15"/>
      <c r="AB999" s="15"/>
    </row>
    <row r="1000">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c r="Y1000" s="15"/>
      <c r="Z1000" s="15"/>
      <c r="AA1000" s="15"/>
      <c r="AB1000" s="15"/>
    </row>
    <row r="1001">
      <c r="B1001" s="15"/>
      <c r="C1001" s="15"/>
      <c r="D1001" s="15"/>
      <c r="E1001" s="15"/>
      <c r="F1001" s="15"/>
      <c r="G1001" s="15"/>
      <c r="H1001" s="15"/>
      <c r="I1001" s="15"/>
      <c r="J1001" s="15"/>
      <c r="K1001" s="15"/>
      <c r="L1001" s="15"/>
      <c r="M1001" s="15"/>
      <c r="N1001" s="15"/>
      <c r="O1001" s="15"/>
      <c r="P1001" s="15"/>
      <c r="Q1001" s="15"/>
      <c r="R1001" s="15"/>
      <c r="S1001" s="15"/>
      <c r="T1001" s="15"/>
      <c r="U1001" s="15"/>
      <c r="V1001" s="15"/>
      <c r="W1001" s="15"/>
      <c r="X1001" s="15"/>
      <c r="Y1001" s="15"/>
      <c r="Z1001" s="15"/>
      <c r="AA1001" s="15"/>
      <c r="AB1001" s="15"/>
    </row>
    <row r="1002">
      <c r="B1002" s="15"/>
      <c r="C1002" s="15"/>
      <c r="D1002" s="15"/>
      <c r="E1002" s="15"/>
      <c r="F1002" s="15"/>
      <c r="G1002" s="15"/>
      <c r="H1002" s="15"/>
      <c r="I1002" s="15"/>
      <c r="J1002" s="15"/>
      <c r="K1002" s="15"/>
      <c r="L1002" s="15"/>
      <c r="M1002" s="15"/>
      <c r="N1002" s="15"/>
      <c r="O1002" s="15"/>
      <c r="P1002" s="15"/>
      <c r="Q1002" s="15"/>
      <c r="R1002" s="15"/>
      <c r="S1002" s="15"/>
      <c r="T1002" s="15"/>
      <c r="U1002" s="15"/>
      <c r="V1002" s="15"/>
      <c r="W1002" s="15"/>
      <c r="X1002" s="15"/>
      <c r="Y1002" s="15"/>
      <c r="Z1002" s="15"/>
      <c r="AA1002" s="15"/>
      <c r="AB1002" s="15"/>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9.75"/>
    <col customWidth="1" min="2" max="2" width="4.75"/>
    <col customWidth="1" min="3" max="3" width="4.38"/>
    <col customWidth="1" min="4" max="4" width="4.13"/>
    <col customWidth="1" min="5" max="5" width="2.75"/>
    <col customWidth="1" min="6" max="6" width="4.5"/>
    <col customWidth="1" min="7" max="7" width="5.13"/>
    <col customWidth="1" min="8" max="8" width="2.75"/>
    <col customWidth="1" min="9" max="9" width="2.63"/>
    <col customWidth="1" min="10" max="10" width="2.88"/>
    <col customWidth="1" min="11" max="11" width="5.75"/>
    <col customWidth="1" min="12" max="12" width="6.5"/>
    <col customWidth="1" min="13" max="13" width="4.13"/>
    <col customWidth="1" min="14" max="14" width="5.25"/>
    <col customWidth="1" min="15" max="15" width="4.88"/>
    <col customWidth="1" min="19" max="19" width="4.75"/>
    <col customWidth="1" min="20" max="20" width="6.38"/>
    <col customWidth="1" min="21" max="21" width="4.88"/>
    <col customWidth="1" min="22" max="22" width="9.38"/>
    <col customWidth="1" min="23" max="23" width="10.5"/>
    <col customWidth="1" min="24" max="24" width="9.5"/>
    <col customWidth="1" min="25" max="26" width="9.88"/>
    <col customWidth="1" min="27" max="27" width="10.25"/>
    <col customWidth="1" min="28" max="28" width="12.38"/>
    <col customWidth="1" min="29" max="29" width="12.75"/>
    <col customWidth="1" min="30" max="30" width="15.13"/>
  </cols>
  <sheetData>
    <row r="1">
      <c r="A1" s="16" t="str">
        <f>SbaApiImport("plays/fielding?player_id=10165&amp;group_by=playergame")</f>
        <v>player</v>
      </c>
      <c r="B1" s="16" t="s">
        <v>4567</v>
      </c>
      <c r="C1" s="16" t="s">
        <v>4627</v>
      </c>
      <c r="D1" s="16" t="s">
        <v>4628</v>
      </c>
      <c r="E1" s="16" t="s">
        <v>4571</v>
      </c>
      <c r="F1" s="16" t="s">
        <v>4629</v>
      </c>
      <c r="G1" s="16" t="s">
        <v>4630</v>
      </c>
      <c r="H1" s="16" t="s">
        <v>4582</v>
      </c>
      <c r="I1" s="16" t="s">
        <v>4583</v>
      </c>
      <c r="J1" s="16" t="s">
        <v>4631</v>
      </c>
      <c r="K1" s="16" t="s">
        <v>4588</v>
      </c>
      <c r="L1" s="16" t="s">
        <v>4632</v>
      </c>
      <c r="M1" s="16" t="s">
        <v>4633</v>
      </c>
      <c r="N1" s="16" t="s">
        <v>4594</v>
      </c>
      <c r="O1" s="16" t="s">
        <v>4599</v>
      </c>
      <c r="P1" s="30" t="s">
        <v>4634</v>
      </c>
      <c r="Q1" s="30" t="s">
        <v>4635</v>
      </c>
      <c r="R1" s="30" t="s">
        <v>4636</v>
      </c>
      <c r="S1" s="16" t="str">
        <f>SbaApiImport("games?team1_id=401")</f>
        <v>id</v>
      </c>
      <c r="T1" s="16" t="s">
        <v>171</v>
      </c>
      <c r="U1" s="16" t="s">
        <v>4599</v>
      </c>
      <c r="V1" s="16" t="s">
        <v>4637</v>
      </c>
      <c r="W1" s="16" t="s">
        <v>4638</v>
      </c>
      <c r="X1" s="16" t="s">
        <v>4639</v>
      </c>
      <c r="Y1" s="16" t="s">
        <v>4640</v>
      </c>
      <c r="Z1" s="16" t="s">
        <v>4641</v>
      </c>
      <c r="AA1" s="16" t="s">
        <v>4642</v>
      </c>
      <c r="AB1" s="16" t="s">
        <v>4643</v>
      </c>
      <c r="AC1" s="16" t="s">
        <v>4644</v>
      </c>
      <c r="AD1" s="18" t="s">
        <v>4645</v>
      </c>
      <c r="AE1" s="30" t="s">
        <v>4646</v>
      </c>
    </row>
    <row r="2">
      <c r="A2" s="16" t="s">
        <v>43</v>
      </c>
      <c r="B2" s="16" t="s">
        <v>4601</v>
      </c>
      <c r="C2" s="16" t="s">
        <v>4601</v>
      </c>
      <c r="D2" s="16">
        <v>1.0</v>
      </c>
      <c r="E2" s="16">
        <v>0.0</v>
      </c>
      <c r="F2" s="16">
        <v>0.0</v>
      </c>
      <c r="G2" s="16">
        <v>0.0</v>
      </c>
      <c r="H2" s="16">
        <v>0.0</v>
      </c>
      <c r="I2" s="16">
        <v>0.0</v>
      </c>
      <c r="J2" s="16">
        <v>0.0</v>
      </c>
      <c r="K2" s="16">
        <v>-0.007</v>
      </c>
      <c r="L2" s="16">
        <v>1.0</v>
      </c>
      <c r="M2" s="16" t="s">
        <v>181</v>
      </c>
      <c r="N2" s="16">
        <v>1279.0</v>
      </c>
      <c r="O2" s="16" t="s">
        <v>4601</v>
      </c>
      <c r="P2" s="16">
        <f t="shared" ref="P2:P47" si="1">if(sum(E2:F2)=0,1,)</f>
        <v>1</v>
      </c>
      <c r="Q2" s="16">
        <f t="shared" ref="Q2:Q47" si="2">if(P2=1,D2,)</f>
        <v>1</v>
      </c>
      <c r="R2" s="16" t="str">
        <f t="shared" ref="R2:R47" si="3">if(P2=1,index(AE:AE,match(N2,S:S,0)),)</f>
        <v/>
      </c>
      <c r="S2" s="16">
        <v>1278.0</v>
      </c>
      <c r="T2" s="16">
        <v>10.0</v>
      </c>
      <c r="U2" s="16">
        <v>1.0</v>
      </c>
      <c r="V2" s="16">
        <v>1.0</v>
      </c>
      <c r="W2" s="16" t="s">
        <v>4647</v>
      </c>
      <c r="X2" s="16" t="s">
        <v>289</v>
      </c>
      <c r="Y2" s="16" t="s">
        <v>126</v>
      </c>
      <c r="Z2" s="16">
        <v>6.0</v>
      </c>
      <c r="AA2" s="16">
        <v>1.0</v>
      </c>
      <c r="AB2" s="16" t="s">
        <v>378</v>
      </c>
      <c r="AC2" s="16" t="s">
        <v>191</v>
      </c>
      <c r="AD2" s="17" t="s">
        <v>4648</v>
      </c>
      <c r="AE2" s="16">
        <f t="shared" ref="AE2:AE42" si="4">if(Z2&gt;AA2,1,)</f>
        <v>1</v>
      </c>
    </row>
    <row r="3">
      <c r="A3" s="16" t="s">
        <v>43</v>
      </c>
      <c r="B3" s="16" t="s">
        <v>4601</v>
      </c>
      <c r="C3" s="16" t="s">
        <v>4601</v>
      </c>
      <c r="D3" s="16">
        <v>1.0</v>
      </c>
      <c r="E3" s="16">
        <v>0.0</v>
      </c>
      <c r="F3" s="16">
        <v>0.0</v>
      </c>
      <c r="G3" s="16">
        <v>0.0</v>
      </c>
      <c r="H3" s="16">
        <v>0.0</v>
      </c>
      <c r="I3" s="16">
        <v>0.0</v>
      </c>
      <c r="J3" s="16">
        <v>0.0</v>
      </c>
      <c r="K3" s="16">
        <v>-0.023</v>
      </c>
      <c r="L3" s="16">
        <v>1.0</v>
      </c>
      <c r="M3" s="16" t="s">
        <v>181</v>
      </c>
      <c r="N3" s="16">
        <v>1280.0</v>
      </c>
      <c r="O3" s="16" t="s">
        <v>4601</v>
      </c>
      <c r="P3" s="16">
        <f t="shared" si="1"/>
        <v>1</v>
      </c>
      <c r="Q3" s="16">
        <f t="shared" si="2"/>
        <v>1</v>
      </c>
      <c r="R3" s="16" t="str">
        <f t="shared" si="3"/>
        <v/>
      </c>
      <c r="S3" s="16">
        <v>1279.0</v>
      </c>
      <c r="T3" s="16">
        <v>10.0</v>
      </c>
      <c r="U3" s="16">
        <v>1.0</v>
      </c>
      <c r="V3" s="16">
        <v>2.0</v>
      </c>
      <c r="W3" s="16" t="s">
        <v>4647</v>
      </c>
      <c r="X3" s="16" t="s">
        <v>289</v>
      </c>
      <c r="Y3" s="16" t="s">
        <v>126</v>
      </c>
      <c r="Z3" s="16">
        <v>5.0</v>
      </c>
      <c r="AA3" s="16">
        <v>7.0</v>
      </c>
      <c r="AB3" s="16" t="s">
        <v>378</v>
      </c>
      <c r="AC3" s="16" t="s">
        <v>191</v>
      </c>
      <c r="AD3" s="17" t="s">
        <v>4649</v>
      </c>
      <c r="AE3" s="16" t="str">
        <f t="shared" si="4"/>
        <v/>
      </c>
    </row>
    <row r="4">
      <c r="A4" s="16" t="s">
        <v>43</v>
      </c>
      <c r="B4" s="16" t="s">
        <v>4601</v>
      </c>
      <c r="C4" s="16" t="s">
        <v>4601</v>
      </c>
      <c r="D4" s="16">
        <v>1.0</v>
      </c>
      <c r="E4" s="16">
        <v>0.0</v>
      </c>
      <c r="F4" s="16">
        <v>0.0</v>
      </c>
      <c r="G4" s="16">
        <v>0.0</v>
      </c>
      <c r="H4" s="16">
        <v>0.0</v>
      </c>
      <c r="I4" s="16">
        <v>0.0</v>
      </c>
      <c r="J4" s="16">
        <v>0.0</v>
      </c>
      <c r="K4" s="16">
        <v>0.01</v>
      </c>
      <c r="L4" s="16">
        <v>1.0</v>
      </c>
      <c r="M4" s="16" t="s">
        <v>181</v>
      </c>
      <c r="N4" s="16">
        <v>1306.0</v>
      </c>
      <c r="O4" s="16" t="s">
        <v>4601</v>
      </c>
      <c r="P4" s="16">
        <f t="shared" si="1"/>
        <v>1</v>
      </c>
      <c r="Q4" s="16">
        <f t="shared" si="2"/>
        <v>1</v>
      </c>
      <c r="R4" s="16" t="str">
        <f t="shared" si="3"/>
        <v/>
      </c>
      <c r="S4" s="16">
        <v>1280.0</v>
      </c>
      <c r="T4" s="16">
        <v>10.0</v>
      </c>
      <c r="U4" s="16">
        <v>1.0</v>
      </c>
      <c r="V4" s="16">
        <v>3.0</v>
      </c>
      <c r="W4" s="16" t="s">
        <v>4647</v>
      </c>
      <c r="X4" s="16" t="s">
        <v>289</v>
      </c>
      <c r="Y4" s="16" t="s">
        <v>126</v>
      </c>
      <c r="Z4" s="16">
        <v>5.0</v>
      </c>
      <c r="AA4" s="16">
        <v>7.0</v>
      </c>
      <c r="AB4" s="16" t="s">
        <v>379</v>
      </c>
      <c r="AC4" s="16" t="s">
        <v>191</v>
      </c>
      <c r="AD4" s="17" t="s">
        <v>4650</v>
      </c>
      <c r="AE4" s="16" t="str">
        <f t="shared" si="4"/>
        <v/>
      </c>
    </row>
    <row r="5">
      <c r="A5" s="16" t="s">
        <v>43</v>
      </c>
      <c r="B5" s="16" t="s">
        <v>4601</v>
      </c>
      <c r="C5" s="16" t="s">
        <v>4601</v>
      </c>
      <c r="D5" s="16">
        <v>2.0</v>
      </c>
      <c r="E5" s="16">
        <v>0.0</v>
      </c>
      <c r="F5" s="16">
        <v>0.0</v>
      </c>
      <c r="G5" s="16">
        <v>0.0</v>
      </c>
      <c r="H5" s="16">
        <v>0.0</v>
      </c>
      <c r="I5" s="16">
        <v>0.0</v>
      </c>
      <c r="J5" s="16">
        <v>0.0</v>
      </c>
      <c r="K5" s="16">
        <v>0.065</v>
      </c>
      <c r="L5" s="16">
        <v>1.0</v>
      </c>
      <c r="M5" s="16" t="s">
        <v>181</v>
      </c>
      <c r="N5" s="16">
        <v>1309.0</v>
      </c>
      <c r="O5" s="16" t="s">
        <v>4601</v>
      </c>
      <c r="P5" s="16">
        <f t="shared" si="1"/>
        <v>1</v>
      </c>
      <c r="Q5" s="16">
        <f t="shared" si="2"/>
        <v>2</v>
      </c>
      <c r="R5" s="16">
        <f t="shared" si="3"/>
        <v>1</v>
      </c>
      <c r="S5" s="16">
        <v>1281.0</v>
      </c>
      <c r="T5" s="16">
        <v>10.0</v>
      </c>
      <c r="U5" s="16">
        <v>1.0</v>
      </c>
      <c r="V5" s="16">
        <v>4.0</v>
      </c>
      <c r="W5" s="16" t="s">
        <v>4647</v>
      </c>
      <c r="X5" s="16" t="s">
        <v>289</v>
      </c>
      <c r="Y5" s="16" t="s">
        <v>126</v>
      </c>
      <c r="Z5" s="16">
        <v>3.0</v>
      </c>
      <c r="AA5" s="16">
        <v>4.0</v>
      </c>
      <c r="AB5" s="16" t="s">
        <v>379</v>
      </c>
      <c r="AC5" s="16" t="s">
        <v>191</v>
      </c>
      <c r="AD5" s="17" t="s">
        <v>4651</v>
      </c>
      <c r="AE5" s="16" t="str">
        <f t="shared" si="4"/>
        <v/>
      </c>
    </row>
    <row r="6">
      <c r="A6" s="16" t="s">
        <v>43</v>
      </c>
      <c r="B6" s="16" t="s">
        <v>4601</v>
      </c>
      <c r="C6" s="16" t="s">
        <v>4601</v>
      </c>
      <c r="D6" s="16">
        <v>1.0</v>
      </c>
      <c r="E6" s="16">
        <v>0.0</v>
      </c>
      <c r="F6" s="16">
        <v>0.0</v>
      </c>
      <c r="G6" s="16">
        <v>0.0</v>
      </c>
      <c r="H6" s="16">
        <v>0.0</v>
      </c>
      <c r="I6" s="16">
        <v>0.0</v>
      </c>
      <c r="J6" s="16">
        <v>0.0</v>
      </c>
      <c r="K6" s="16">
        <v>0.178</v>
      </c>
      <c r="L6" s="16">
        <v>1.0</v>
      </c>
      <c r="M6" s="16" t="s">
        <v>181</v>
      </c>
      <c r="N6" s="16">
        <v>1342.0</v>
      </c>
      <c r="O6" s="16" t="s">
        <v>4601</v>
      </c>
      <c r="P6" s="16">
        <f t="shared" si="1"/>
        <v>1</v>
      </c>
      <c r="Q6" s="16">
        <f t="shared" si="2"/>
        <v>1</v>
      </c>
      <c r="R6" s="16">
        <f t="shared" si="3"/>
        <v>1</v>
      </c>
      <c r="S6" s="16">
        <v>1306.0</v>
      </c>
      <c r="T6" s="16">
        <v>10.0</v>
      </c>
      <c r="U6" s="16">
        <v>2.0</v>
      </c>
      <c r="V6" s="16">
        <v>1.0</v>
      </c>
      <c r="W6" s="16" t="s">
        <v>4647</v>
      </c>
      <c r="X6" s="16" t="s">
        <v>387</v>
      </c>
      <c r="Y6" s="16" t="s">
        <v>126</v>
      </c>
      <c r="Z6" s="16">
        <v>2.0</v>
      </c>
      <c r="AA6" s="16">
        <v>6.0</v>
      </c>
      <c r="AB6" s="16" t="s">
        <v>391</v>
      </c>
      <c r="AC6" s="16" t="s">
        <v>191</v>
      </c>
      <c r="AD6" s="17" t="s">
        <v>4652</v>
      </c>
      <c r="AE6" s="16" t="str">
        <f t="shared" si="4"/>
        <v/>
      </c>
    </row>
    <row r="7">
      <c r="A7" s="16" t="s">
        <v>43</v>
      </c>
      <c r="B7" s="16" t="s">
        <v>4601</v>
      </c>
      <c r="C7" s="16" t="s">
        <v>4601</v>
      </c>
      <c r="D7" s="16">
        <v>1.0</v>
      </c>
      <c r="E7" s="16">
        <v>0.0</v>
      </c>
      <c r="F7" s="16">
        <v>0.0</v>
      </c>
      <c r="G7" s="16">
        <v>0.0</v>
      </c>
      <c r="H7" s="16">
        <v>0.0</v>
      </c>
      <c r="I7" s="16">
        <v>0.0</v>
      </c>
      <c r="J7" s="16">
        <v>0.0</v>
      </c>
      <c r="K7" s="16">
        <v>0.017</v>
      </c>
      <c r="L7" s="16">
        <v>1.0</v>
      </c>
      <c r="M7" s="16" t="s">
        <v>181</v>
      </c>
      <c r="N7" s="16">
        <v>1343.0</v>
      </c>
      <c r="O7" s="16" t="s">
        <v>4601</v>
      </c>
      <c r="P7" s="16">
        <f t="shared" si="1"/>
        <v>1</v>
      </c>
      <c r="Q7" s="16">
        <f t="shared" si="2"/>
        <v>1</v>
      </c>
      <c r="R7" s="16" t="str">
        <f t="shared" si="3"/>
        <v/>
      </c>
      <c r="S7" s="16">
        <v>1307.0</v>
      </c>
      <c r="T7" s="16">
        <v>10.0</v>
      </c>
      <c r="U7" s="16">
        <v>2.0</v>
      </c>
      <c r="V7" s="16">
        <v>2.0</v>
      </c>
      <c r="W7" s="16" t="s">
        <v>4647</v>
      </c>
      <c r="X7" s="16" t="s">
        <v>387</v>
      </c>
      <c r="Y7" s="16" t="s">
        <v>126</v>
      </c>
      <c r="Z7" s="16">
        <v>5.0</v>
      </c>
      <c r="AA7" s="16">
        <v>6.0</v>
      </c>
      <c r="AB7" s="16" t="s">
        <v>391</v>
      </c>
      <c r="AC7" s="16" t="s">
        <v>191</v>
      </c>
      <c r="AD7" s="17" t="s">
        <v>4653</v>
      </c>
      <c r="AE7" s="16" t="str">
        <f t="shared" si="4"/>
        <v/>
      </c>
    </row>
    <row r="8">
      <c r="A8" s="16" t="s">
        <v>43</v>
      </c>
      <c r="B8" s="16" t="s">
        <v>4601</v>
      </c>
      <c r="C8" s="16" t="s">
        <v>4601</v>
      </c>
      <c r="D8" s="16">
        <v>1.0</v>
      </c>
      <c r="E8" s="16">
        <v>0.0</v>
      </c>
      <c r="F8" s="16">
        <v>0.0</v>
      </c>
      <c r="G8" s="16">
        <v>0.0</v>
      </c>
      <c r="H8" s="16">
        <v>0.0</v>
      </c>
      <c r="I8" s="16">
        <v>0.0</v>
      </c>
      <c r="J8" s="16">
        <v>0.0</v>
      </c>
      <c r="K8" s="16">
        <v>0.009</v>
      </c>
      <c r="L8" s="16">
        <v>1.0</v>
      </c>
      <c r="M8" s="16" t="s">
        <v>181</v>
      </c>
      <c r="N8" s="16">
        <v>1344.0</v>
      </c>
      <c r="O8" s="16" t="s">
        <v>4601</v>
      </c>
      <c r="P8" s="16">
        <f t="shared" si="1"/>
        <v>1</v>
      </c>
      <c r="Q8" s="16">
        <f t="shared" si="2"/>
        <v>1</v>
      </c>
      <c r="R8" s="16">
        <f t="shared" si="3"/>
        <v>1</v>
      </c>
      <c r="S8" s="16">
        <v>1308.0</v>
      </c>
      <c r="T8" s="16">
        <v>10.0</v>
      </c>
      <c r="U8" s="16">
        <v>2.0</v>
      </c>
      <c r="V8" s="16">
        <v>3.0</v>
      </c>
      <c r="W8" s="16" t="s">
        <v>4647</v>
      </c>
      <c r="X8" s="16" t="s">
        <v>126</v>
      </c>
      <c r="Y8" s="16" t="s">
        <v>387</v>
      </c>
      <c r="Z8" s="16">
        <v>3.0</v>
      </c>
      <c r="AA8" s="16">
        <v>5.0</v>
      </c>
      <c r="AB8" s="16" t="s">
        <v>191</v>
      </c>
      <c r="AC8" s="16" t="s">
        <v>391</v>
      </c>
      <c r="AD8" s="17" t="s">
        <v>4654</v>
      </c>
      <c r="AE8" s="16" t="str">
        <f t="shared" si="4"/>
        <v/>
      </c>
    </row>
    <row r="9">
      <c r="A9" s="16" t="s">
        <v>43</v>
      </c>
      <c r="B9" s="16" t="s">
        <v>4601</v>
      </c>
      <c r="C9" s="16" t="s">
        <v>4601</v>
      </c>
      <c r="D9" s="16">
        <v>1.0</v>
      </c>
      <c r="E9" s="16">
        <v>0.0</v>
      </c>
      <c r="F9" s="16">
        <v>0.0</v>
      </c>
      <c r="G9" s="16">
        <v>0.0</v>
      </c>
      <c r="H9" s="16">
        <v>0.0</v>
      </c>
      <c r="I9" s="16">
        <v>0.0</v>
      </c>
      <c r="J9" s="16">
        <v>0.0</v>
      </c>
      <c r="K9" s="16">
        <v>0.0</v>
      </c>
      <c r="L9" s="16">
        <v>1.0</v>
      </c>
      <c r="M9" s="16" t="s">
        <v>181</v>
      </c>
      <c r="N9" s="16">
        <v>1368.0</v>
      </c>
      <c r="O9" s="16" t="s">
        <v>4601</v>
      </c>
      <c r="P9" s="16">
        <f t="shared" si="1"/>
        <v>1</v>
      </c>
      <c r="Q9" s="16">
        <f t="shared" si="2"/>
        <v>1</v>
      </c>
      <c r="R9" s="16">
        <f t="shared" si="3"/>
        <v>1</v>
      </c>
      <c r="S9" s="16">
        <v>1309.0</v>
      </c>
      <c r="T9" s="16">
        <v>10.0</v>
      </c>
      <c r="U9" s="16">
        <v>2.0</v>
      </c>
      <c r="V9" s="16">
        <v>4.0</v>
      </c>
      <c r="W9" s="16" t="s">
        <v>4647</v>
      </c>
      <c r="X9" s="16" t="s">
        <v>126</v>
      </c>
      <c r="Y9" s="16" t="s">
        <v>387</v>
      </c>
      <c r="Z9" s="16">
        <v>7.0</v>
      </c>
      <c r="AA9" s="16">
        <v>6.0</v>
      </c>
      <c r="AB9" s="16" t="s">
        <v>191</v>
      </c>
      <c r="AC9" s="16" t="s">
        <v>391</v>
      </c>
      <c r="AD9" s="17" t="s">
        <v>4655</v>
      </c>
      <c r="AE9" s="16">
        <f t="shared" si="4"/>
        <v>1</v>
      </c>
    </row>
    <row r="10">
      <c r="A10" s="16" t="s">
        <v>43</v>
      </c>
      <c r="B10" s="16" t="s">
        <v>4601</v>
      </c>
      <c r="C10" s="16" t="s">
        <v>4601</v>
      </c>
      <c r="D10" s="16">
        <v>3.0</v>
      </c>
      <c r="E10" s="16">
        <v>1.0</v>
      </c>
      <c r="F10" s="16">
        <v>0.0</v>
      </c>
      <c r="G10" s="16">
        <v>0.0</v>
      </c>
      <c r="H10" s="16">
        <v>0.0</v>
      </c>
      <c r="I10" s="16">
        <v>0.0</v>
      </c>
      <c r="J10" s="16">
        <v>0.0</v>
      </c>
      <c r="K10" s="16">
        <v>0.021999998</v>
      </c>
      <c r="L10" s="16">
        <v>0.75</v>
      </c>
      <c r="M10" s="16" t="s">
        <v>181</v>
      </c>
      <c r="N10" s="16">
        <v>1369.0</v>
      </c>
      <c r="O10" s="16" t="s">
        <v>4601</v>
      </c>
      <c r="P10" s="16" t="str">
        <f t="shared" si="1"/>
        <v/>
      </c>
      <c r="Q10" s="16" t="str">
        <f t="shared" si="2"/>
        <v/>
      </c>
      <c r="R10" s="16" t="str">
        <f t="shared" si="3"/>
        <v/>
      </c>
      <c r="S10" s="16">
        <v>1342.0</v>
      </c>
      <c r="T10" s="16">
        <v>10.0</v>
      </c>
      <c r="U10" s="16">
        <v>3.0</v>
      </c>
      <c r="V10" s="16">
        <v>1.0</v>
      </c>
      <c r="W10" s="16" t="s">
        <v>4647</v>
      </c>
      <c r="X10" s="16" t="s">
        <v>126</v>
      </c>
      <c r="Y10" s="16" t="s">
        <v>4656</v>
      </c>
      <c r="Z10" s="16">
        <v>5.0</v>
      </c>
      <c r="AA10" s="16">
        <v>4.0</v>
      </c>
      <c r="AB10" s="16" t="s">
        <v>191</v>
      </c>
      <c r="AC10" s="16" t="s">
        <v>4657</v>
      </c>
      <c r="AD10" s="17" t="s">
        <v>4658</v>
      </c>
      <c r="AE10" s="16">
        <f t="shared" si="4"/>
        <v>1</v>
      </c>
    </row>
    <row r="11">
      <c r="A11" s="16" t="s">
        <v>43</v>
      </c>
      <c r="B11" s="16" t="s">
        <v>4601</v>
      </c>
      <c r="C11" s="16" t="s">
        <v>4601</v>
      </c>
      <c r="D11" s="16">
        <v>3.0</v>
      </c>
      <c r="E11" s="16">
        <v>0.0</v>
      </c>
      <c r="F11" s="16">
        <v>0.0</v>
      </c>
      <c r="G11" s="16">
        <v>0.0</v>
      </c>
      <c r="H11" s="16">
        <v>0.0</v>
      </c>
      <c r="I11" s="16">
        <v>0.0</v>
      </c>
      <c r="J11" s="16">
        <v>0.0</v>
      </c>
      <c r="K11" s="16">
        <v>0.044</v>
      </c>
      <c r="L11" s="16">
        <v>1.0</v>
      </c>
      <c r="M11" s="16" t="s">
        <v>181</v>
      </c>
      <c r="N11" s="16">
        <v>1394.0</v>
      </c>
      <c r="O11" s="16" t="s">
        <v>4601</v>
      </c>
      <c r="P11" s="16">
        <f t="shared" si="1"/>
        <v>1</v>
      </c>
      <c r="Q11" s="16">
        <f t="shared" si="2"/>
        <v>3</v>
      </c>
      <c r="R11" s="16">
        <f t="shared" si="3"/>
        <v>1</v>
      </c>
      <c r="S11" s="16">
        <v>1343.0</v>
      </c>
      <c r="T11" s="16">
        <v>10.0</v>
      </c>
      <c r="U11" s="16">
        <v>3.0</v>
      </c>
      <c r="V11" s="16">
        <v>2.0</v>
      </c>
      <c r="W11" s="16" t="s">
        <v>4647</v>
      </c>
      <c r="X11" s="16" t="s">
        <v>126</v>
      </c>
      <c r="Y11" s="16" t="s">
        <v>4656</v>
      </c>
      <c r="Z11" s="16">
        <v>8.0</v>
      </c>
      <c r="AA11" s="16">
        <v>9.0</v>
      </c>
      <c r="AB11" s="16" t="s">
        <v>191</v>
      </c>
      <c r="AC11" s="16" t="s">
        <v>4657</v>
      </c>
      <c r="AD11" s="17" t="s">
        <v>4659</v>
      </c>
      <c r="AE11" s="16" t="str">
        <f t="shared" si="4"/>
        <v/>
      </c>
    </row>
    <row r="12">
      <c r="A12" s="16" t="s">
        <v>43</v>
      </c>
      <c r="B12" s="16" t="s">
        <v>4601</v>
      </c>
      <c r="C12" s="16" t="s">
        <v>4601</v>
      </c>
      <c r="D12" s="16">
        <v>1.0</v>
      </c>
      <c r="E12" s="16">
        <v>0.0</v>
      </c>
      <c r="F12" s="16">
        <v>1.0</v>
      </c>
      <c r="G12" s="16">
        <v>0.0</v>
      </c>
      <c r="H12" s="16">
        <v>0.0</v>
      </c>
      <c r="I12" s="16">
        <v>0.0</v>
      </c>
      <c r="J12" s="16">
        <v>0.0</v>
      </c>
      <c r="K12" s="16">
        <v>-0.126</v>
      </c>
      <c r="L12" s="16">
        <v>0.5</v>
      </c>
      <c r="M12" s="16" t="s">
        <v>181</v>
      </c>
      <c r="N12" s="16">
        <v>1396.0</v>
      </c>
      <c r="O12" s="16" t="s">
        <v>4601</v>
      </c>
      <c r="P12" s="16" t="str">
        <f t="shared" si="1"/>
        <v/>
      </c>
      <c r="Q12" s="16" t="str">
        <f t="shared" si="2"/>
        <v/>
      </c>
      <c r="R12" s="16" t="str">
        <f t="shared" si="3"/>
        <v/>
      </c>
      <c r="S12" s="16">
        <v>1344.0</v>
      </c>
      <c r="T12" s="16">
        <v>10.0</v>
      </c>
      <c r="U12" s="16">
        <v>3.0</v>
      </c>
      <c r="V12" s="16">
        <v>3.0</v>
      </c>
      <c r="W12" s="16" t="s">
        <v>4647</v>
      </c>
      <c r="X12" s="16" t="s">
        <v>126</v>
      </c>
      <c r="Y12" s="16" t="s">
        <v>4656</v>
      </c>
      <c r="Z12" s="16">
        <v>9.0</v>
      </c>
      <c r="AA12" s="16">
        <v>8.0</v>
      </c>
      <c r="AB12" s="16" t="s">
        <v>191</v>
      </c>
      <c r="AC12" s="16" t="s">
        <v>4660</v>
      </c>
      <c r="AD12" s="17" t="s">
        <v>4661</v>
      </c>
      <c r="AE12" s="16">
        <f t="shared" si="4"/>
        <v>1</v>
      </c>
    </row>
    <row r="13">
      <c r="A13" s="16" t="s">
        <v>43</v>
      </c>
      <c r="B13" s="16" t="s">
        <v>4601</v>
      </c>
      <c r="C13" s="16" t="s">
        <v>4601</v>
      </c>
      <c r="D13" s="16">
        <v>3.0</v>
      </c>
      <c r="E13" s="16">
        <v>0.0</v>
      </c>
      <c r="F13" s="16">
        <v>0.0</v>
      </c>
      <c r="G13" s="16">
        <v>0.0</v>
      </c>
      <c r="H13" s="16">
        <v>0.0</v>
      </c>
      <c r="I13" s="16">
        <v>0.0</v>
      </c>
      <c r="J13" s="16">
        <v>0.0</v>
      </c>
      <c r="K13" s="16">
        <v>0.13</v>
      </c>
      <c r="L13" s="16">
        <v>1.0</v>
      </c>
      <c r="M13" s="16" t="s">
        <v>181</v>
      </c>
      <c r="N13" s="16">
        <v>1445.0</v>
      </c>
      <c r="O13" s="16" t="s">
        <v>4601</v>
      </c>
      <c r="P13" s="16">
        <f t="shared" si="1"/>
        <v>1</v>
      </c>
      <c r="Q13" s="16">
        <f t="shared" si="2"/>
        <v>3</v>
      </c>
      <c r="R13" s="16">
        <f t="shared" si="3"/>
        <v>1</v>
      </c>
      <c r="S13" s="16">
        <v>1345.0</v>
      </c>
      <c r="T13" s="16">
        <v>10.0</v>
      </c>
      <c r="U13" s="16">
        <v>3.0</v>
      </c>
      <c r="V13" s="16">
        <v>4.0</v>
      </c>
      <c r="W13" s="16" t="s">
        <v>4647</v>
      </c>
      <c r="X13" s="16" t="s">
        <v>126</v>
      </c>
      <c r="Y13" s="16" t="s">
        <v>4656</v>
      </c>
      <c r="Z13" s="16">
        <v>3.0</v>
      </c>
      <c r="AA13" s="16">
        <v>5.0</v>
      </c>
      <c r="AB13" s="16" t="s">
        <v>191</v>
      </c>
      <c r="AC13" s="16" t="s">
        <v>4660</v>
      </c>
      <c r="AD13" s="17" t="s">
        <v>4662</v>
      </c>
      <c r="AE13" s="16" t="str">
        <f t="shared" si="4"/>
        <v/>
      </c>
    </row>
    <row r="14">
      <c r="A14" s="16" t="s">
        <v>43</v>
      </c>
      <c r="B14" s="16" t="s">
        <v>4601</v>
      </c>
      <c r="C14" s="16" t="s">
        <v>4601</v>
      </c>
      <c r="D14" s="16">
        <v>2.0</v>
      </c>
      <c r="E14" s="16">
        <v>1.0</v>
      </c>
      <c r="F14" s="16">
        <v>0.0</v>
      </c>
      <c r="G14" s="16">
        <v>0.0</v>
      </c>
      <c r="H14" s="16">
        <v>0.0</v>
      </c>
      <c r="I14" s="16">
        <v>0.0</v>
      </c>
      <c r="J14" s="16">
        <v>0.0</v>
      </c>
      <c r="K14" s="16">
        <v>0.077</v>
      </c>
      <c r="L14" s="16">
        <v>0.625</v>
      </c>
      <c r="M14" s="16" t="s">
        <v>181</v>
      </c>
      <c r="N14" s="16">
        <v>1475.0</v>
      </c>
      <c r="O14" s="16" t="s">
        <v>4601</v>
      </c>
      <c r="P14" s="16" t="str">
        <f t="shared" si="1"/>
        <v/>
      </c>
      <c r="Q14" s="16" t="str">
        <f t="shared" si="2"/>
        <v/>
      </c>
      <c r="R14" s="16" t="str">
        <f t="shared" si="3"/>
        <v/>
      </c>
      <c r="S14" s="16">
        <v>1366.0</v>
      </c>
      <c r="T14" s="16">
        <v>10.0</v>
      </c>
      <c r="U14" s="16">
        <v>4.0</v>
      </c>
      <c r="V14" s="16">
        <v>1.0</v>
      </c>
      <c r="W14" s="16" t="s">
        <v>4647</v>
      </c>
      <c r="X14" s="16" t="s">
        <v>126</v>
      </c>
      <c r="Y14" s="16" t="s">
        <v>4663</v>
      </c>
      <c r="Z14" s="16">
        <v>3.0</v>
      </c>
      <c r="AA14" s="16">
        <v>6.0</v>
      </c>
      <c r="AB14" s="16" t="s">
        <v>191</v>
      </c>
      <c r="AC14" s="16" t="s">
        <v>351</v>
      </c>
      <c r="AD14" s="17" t="s">
        <v>4664</v>
      </c>
      <c r="AE14" s="16" t="str">
        <f t="shared" si="4"/>
        <v/>
      </c>
    </row>
    <row r="15">
      <c r="A15" s="16" t="s">
        <v>43</v>
      </c>
      <c r="B15" s="16" t="s">
        <v>4601</v>
      </c>
      <c r="C15" s="16" t="s">
        <v>4601</v>
      </c>
      <c r="D15" s="16">
        <v>1.0</v>
      </c>
      <c r="E15" s="16">
        <v>1.0</v>
      </c>
      <c r="F15" s="16">
        <v>0.0</v>
      </c>
      <c r="G15" s="16">
        <v>0.0</v>
      </c>
      <c r="H15" s="16">
        <v>0.0</v>
      </c>
      <c r="I15" s="16">
        <v>0.0</v>
      </c>
      <c r="J15" s="16">
        <v>0.0</v>
      </c>
      <c r="K15" s="16">
        <v>0.022</v>
      </c>
      <c r="L15" s="16">
        <v>0.25</v>
      </c>
      <c r="M15" s="16" t="s">
        <v>181</v>
      </c>
      <c r="N15" s="16">
        <v>1476.0</v>
      </c>
      <c r="O15" s="16" t="s">
        <v>4601</v>
      </c>
      <c r="P15" s="16" t="str">
        <f t="shared" si="1"/>
        <v/>
      </c>
      <c r="Q15" s="16" t="str">
        <f t="shared" si="2"/>
        <v/>
      </c>
      <c r="R15" s="16" t="str">
        <f t="shared" si="3"/>
        <v/>
      </c>
      <c r="S15" s="16">
        <v>1367.0</v>
      </c>
      <c r="T15" s="16">
        <v>10.0</v>
      </c>
      <c r="U15" s="16">
        <v>4.0</v>
      </c>
      <c r="V15" s="16">
        <v>2.0</v>
      </c>
      <c r="W15" s="16" t="s">
        <v>4647</v>
      </c>
      <c r="X15" s="16" t="s">
        <v>126</v>
      </c>
      <c r="Y15" s="16" t="s">
        <v>4663</v>
      </c>
      <c r="Z15" s="16">
        <v>7.0</v>
      </c>
      <c r="AA15" s="16">
        <v>11.0</v>
      </c>
      <c r="AB15" s="16" t="s">
        <v>191</v>
      </c>
      <c r="AC15" s="16" t="s">
        <v>351</v>
      </c>
      <c r="AD15" s="17" t="s">
        <v>4665</v>
      </c>
      <c r="AE15" s="16" t="str">
        <f t="shared" si="4"/>
        <v/>
      </c>
    </row>
    <row r="16">
      <c r="A16" s="16" t="s">
        <v>43</v>
      </c>
      <c r="B16" s="16" t="s">
        <v>4601</v>
      </c>
      <c r="C16" s="16" t="s">
        <v>4601</v>
      </c>
      <c r="D16" s="16">
        <v>1.0</v>
      </c>
      <c r="E16" s="16">
        <v>0.0</v>
      </c>
      <c r="F16" s="16">
        <v>0.0</v>
      </c>
      <c r="G16" s="16">
        <v>0.0</v>
      </c>
      <c r="H16" s="16">
        <v>0.0</v>
      </c>
      <c r="I16" s="16">
        <v>0.0</v>
      </c>
      <c r="J16" s="16">
        <v>0.0</v>
      </c>
      <c r="K16" s="16">
        <v>-0.017</v>
      </c>
      <c r="L16" s="16">
        <v>1.0</v>
      </c>
      <c r="M16" s="16" t="s">
        <v>181</v>
      </c>
      <c r="N16" s="16">
        <v>1477.0</v>
      </c>
      <c r="O16" s="16" t="s">
        <v>4601</v>
      </c>
      <c r="P16" s="16">
        <f t="shared" si="1"/>
        <v>1</v>
      </c>
      <c r="Q16" s="16">
        <f t="shared" si="2"/>
        <v>1</v>
      </c>
      <c r="R16" s="16" t="str">
        <f t="shared" si="3"/>
        <v/>
      </c>
      <c r="S16" s="16">
        <v>1368.0</v>
      </c>
      <c r="T16" s="16">
        <v>10.0</v>
      </c>
      <c r="U16" s="16">
        <v>4.0</v>
      </c>
      <c r="V16" s="16">
        <v>3.0</v>
      </c>
      <c r="W16" s="16" t="s">
        <v>4647</v>
      </c>
      <c r="X16" s="16" t="s">
        <v>4663</v>
      </c>
      <c r="Y16" s="16" t="s">
        <v>126</v>
      </c>
      <c r="Z16" s="16">
        <v>9.0</v>
      </c>
      <c r="AA16" s="16">
        <v>4.0</v>
      </c>
      <c r="AB16" s="16" t="s">
        <v>351</v>
      </c>
      <c r="AC16" s="16" t="s">
        <v>191</v>
      </c>
      <c r="AD16" s="17" t="s">
        <v>4666</v>
      </c>
      <c r="AE16" s="16">
        <f t="shared" si="4"/>
        <v>1</v>
      </c>
    </row>
    <row r="17">
      <c r="A17" s="16" t="s">
        <v>43</v>
      </c>
      <c r="B17" s="16" t="s">
        <v>4601</v>
      </c>
      <c r="C17" s="16" t="s">
        <v>4601</v>
      </c>
      <c r="D17" s="16">
        <v>1.0</v>
      </c>
      <c r="E17" s="16">
        <v>0.0</v>
      </c>
      <c r="F17" s="16">
        <v>0.0</v>
      </c>
      <c r="G17" s="16">
        <v>0.0</v>
      </c>
      <c r="H17" s="16">
        <v>0.0</v>
      </c>
      <c r="I17" s="16">
        <v>0.0</v>
      </c>
      <c r="J17" s="16">
        <v>0.0</v>
      </c>
      <c r="K17" s="16">
        <v>0.076</v>
      </c>
      <c r="L17" s="16">
        <v>1.0</v>
      </c>
      <c r="M17" s="16" t="s">
        <v>181</v>
      </c>
      <c r="N17" s="16">
        <v>1486.0</v>
      </c>
      <c r="O17" s="16" t="s">
        <v>4601</v>
      </c>
      <c r="P17" s="16">
        <f t="shared" si="1"/>
        <v>1</v>
      </c>
      <c r="Q17" s="16">
        <f t="shared" si="2"/>
        <v>1</v>
      </c>
      <c r="R17" s="16">
        <f t="shared" si="3"/>
        <v>1</v>
      </c>
      <c r="S17" s="16">
        <v>1369.0</v>
      </c>
      <c r="T17" s="16">
        <v>10.0</v>
      </c>
      <c r="U17" s="16">
        <v>4.0</v>
      </c>
      <c r="V17" s="16">
        <v>4.0</v>
      </c>
      <c r="W17" s="16" t="s">
        <v>4647</v>
      </c>
      <c r="X17" s="16" t="s">
        <v>4663</v>
      </c>
      <c r="Y17" s="16" t="s">
        <v>126</v>
      </c>
      <c r="Z17" s="16">
        <v>14.0</v>
      </c>
      <c r="AA17" s="16">
        <v>8.0</v>
      </c>
      <c r="AB17" s="16" t="s">
        <v>351</v>
      </c>
      <c r="AC17" s="16" t="s">
        <v>191</v>
      </c>
      <c r="AD17" s="17" t="s">
        <v>4667</v>
      </c>
      <c r="AE17" s="16">
        <f t="shared" si="4"/>
        <v>1</v>
      </c>
    </row>
    <row r="18">
      <c r="A18" s="16" t="s">
        <v>43</v>
      </c>
      <c r="B18" s="16" t="s">
        <v>4601</v>
      </c>
      <c r="C18" s="16" t="s">
        <v>4601</v>
      </c>
      <c r="D18" s="16">
        <v>1.0</v>
      </c>
      <c r="E18" s="16">
        <v>0.0</v>
      </c>
      <c r="F18" s="16">
        <v>0.0</v>
      </c>
      <c r="G18" s="16">
        <v>0.0</v>
      </c>
      <c r="H18" s="16">
        <v>0.0</v>
      </c>
      <c r="I18" s="16">
        <v>0.0</v>
      </c>
      <c r="J18" s="16">
        <v>0.0</v>
      </c>
      <c r="K18" s="16">
        <v>-0.079</v>
      </c>
      <c r="L18" s="16">
        <v>1.0</v>
      </c>
      <c r="M18" s="16" t="s">
        <v>181</v>
      </c>
      <c r="N18" s="16">
        <v>1539.0</v>
      </c>
      <c r="O18" s="16" t="s">
        <v>4601</v>
      </c>
      <c r="P18" s="16">
        <f t="shared" si="1"/>
        <v>1</v>
      </c>
      <c r="Q18" s="16">
        <f t="shared" si="2"/>
        <v>1</v>
      </c>
      <c r="R18" s="16" t="str">
        <f t="shared" si="3"/>
        <v/>
      </c>
      <c r="S18" s="16">
        <v>1394.0</v>
      </c>
      <c r="T18" s="16">
        <v>10.0</v>
      </c>
      <c r="U18" s="16">
        <v>5.0</v>
      </c>
      <c r="V18" s="16">
        <v>3.0</v>
      </c>
      <c r="W18" s="16" t="s">
        <v>4647</v>
      </c>
      <c r="X18" s="16" t="s">
        <v>272</v>
      </c>
      <c r="Y18" s="16" t="s">
        <v>126</v>
      </c>
      <c r="Z18" s="16">
        <v>8.0</v>
      </c>
      <c r="AA18" s="16">
        <v>6.0</v>
      </c>
      <c r="AB18" s="16" t="s">
        <v>404</v>
      </c>
      <c r="AC18" s="16" t="s">
        <v>191</v>
      </c>
      <c r="AD18" s="17" t="s">
        <v>4668</v>
      </c>
      <c r="AE18" s="16">
        <f t="shared" si="4"/>
        <v>1</v>
      </c>
    </row>
    <row r="19">
      <c r="A19" s="16" t="s">
        <v>43</v>
      </c>
      <c r="B19" s="16" t="s">
        <v>4601</v>
      </c>
      <c r="C19" s="16" t="s">
        <v>4601</v>
      </c>
      <c r="D19" s="16">
        <v>1.0</v>
      </c>
      <c r="E19" s="16">
        <v>0.0</v>
      </c>
      <c r="F19" s="16">
        <v>1.0</v>
      </c>
      <c r="G19" s="16">
        <v>0.0</v>
      </c>
      <c r="H19" s="16">
        <v>0.0</v>
      </c>
      <c r="I19" s="16">
        <v>0.0</v>
      </c>
      <c r="J19" s="16">
        <v>0.0</v>
      </c>
      <c r="K19" s="16">
        <v>-0.055</v>
      </c>
      <c r="L19" s="16">
        <v>0.5</v>
      </c>
      <c r="M19" s="16" t="s">
        <v>181</v>
      </c>
      <c r="N19" s="16">
        <v>1540.0</v>
      </c>
      <c r="O19" s="16" t="s">
        <v>4601</v>
      </c>
      <c r="P19" s="16" t="str">
        <f t="shared" si="1"/>
        <v/>
      </c>
      <c r="Q19" s="16" t="str">
        <f t="shared" si="2"/>
        <v/>
      </c>
      <c r="R19" s="16" t="str">
        <f t="shared" si="3"/>
        <v/>
      </c>
      <c r="S19" s="16">
        <v>1395.0</v>
      </c>
      <c r="T19" s="16">
        <v>10.0</v>
      </c>
      <c r="U19" s="16">
        <v>5.0</v>
      </c>
      <c r="V19" s="16">
        <v>4.0</v>
      </c>
      <c r="W19" s="16" t="s">
        <v>4647</v>
      </c>
      <c r="X19" s="16" t="s">
        <v>272</v>
      </c>
      <c r="Y19" s="16" t="s">
        <v>126</v>
      </c>
      <c r="Z19" s="16">
        <v>0.0</v>
      </c>
      <c r="AA19" s="16">
        <v>4.0</v>
      </c>
      <c r="AB19" s="16" t="s">
        <v>404</v>
      </c>
      <c r="AC19" s="16" t="s">
        <v>191</v>
      </c>
      <c r="AD19" s="17" t="s">
        <v>4669</v>
      </c>
      <c r="AE19" s="16" t="str">
        <f t="shared" si="4"/>
        <v/>
      </c>
    </row>
    <row r="20">
      <c r="A20" s="16" t="s">
        <v>43</v>
      </c>
      <c r="B20" s="16" t="s">
        <v>4601</v>
      </c>
      <c r="C20" s="16" t="s">
        <v>4601</v>
      </c>
      <c r="D20" s="16">
        <v>1.0</v>
      </c>
      <c r="E20" s="16">
        <v>1.0</v>
      </c>
      <c r="F20" s="16">
        <v>0.0</v>
      </c>
      <c r="G20" s="16">
        <v>0.0</v>
      </c>
      <c r="H20" s="16">
        <v>0.0</v>
      </c>
      <c r="I20" s="16">
        <v>0.0</v>
      </c>
      <c r="J20" s="16">
        <v>0.0</v>
      </c>
      <c r="K20" s="16">
        <v>-0.014</v>
      </c>
      <c r="L20" s="16">
        <v>0.25</v>
      </c>
      <c r="M20" s="16" t="s">
        <v>181</v>
      </c>
      <c r="N20" s="16">
        <v>1543.0</v>
      </c>
      <c r="O20" s="16" t="s">
        <v>4601</v>
      </c>
      <c r="P20" s="16" t="str">
        <f t="shared" si="1"/>
        <v/>
      </c>
      <c r="Q20" s="16" t="str">
        <f t="shared" si="2"/>
        <v/>
      </c>
      <c r="R20" s="16" t="str">
        <f t="shared" si="3"/>
        <v/>
      </c>
      <c r="S20" s="16">
        <v>1396.0</v>
      </c>
      <c r="T20" s="16">
        <v>10.0</v>
      </c>
      <c r="U20" s="16">
        <v>5.0</v>
      </c>
      <c r="V20" s="16">
        <v>1.0</v>
      </c>
      <c r="W20" s="16" t="s">
        <v>4647</v>
      </c>
      <c r="X20" s="16" t="s">
        <v>126</v>
      </c>
      <c r="Y20" s="16" t="s">
        <v>272</v>
      </c>
      <c r="Z20" s="16">
        <v>5.0</v>
      </c>
      <c r="AA20" s="16">
        <v>4.0</v>
      </c>
      <c r="AB20" s="16" t="s">
        <v>191</v>
      </c>
      <c r="AC20" s="16" t="s">
        <v>404</v>
      </c>
      <c r="AD20" s="17" t="s">
        <v>4670</v>
      </c>
      <c r="AE20" s="16">
        <f t="shared" si="4"/>
        <v>1</v>
      </c>
    </row>
    <row r="21">
      <c r="A21" s="16" t="s">
        <v>43</v>
      </c>
      <c r="B21" s="16" t="s">
        <v>4601</v>
      </c>
      <c r="C21" s="16" t="s">
        <v>4601</v>
      </c>
      <c r="D21" s="16">
        <v>1.0</v>
      </c>
      <c r="E21" s="16">
        <v>0.0</v>
      </c>
      <c r="F21" s="16">
        <v>1.0</v>
      </c>
      <c r="G21" s="16">
        <v>0.0</v>
      </c>
      <c r="H21" s="16">
        <v>0.0</v>
      </c>
      <c r="I21" s="16">
        <v>0.0</v>
      </c>
      <c r="J21" s="16">
        <v>0.0</v>
      </c>
      <c r="K21" s="16">
        <v>0.007</v>
      </c>
      <c r="L21" s="16">
        <v>0.5</v>
      </c>
      <c r="M21" s="16" t="s">
        <v>181</v>
      </c>
      <c r="N21" s="16">
        <v>1544.0</v>
      </c>
      <c r="O21" s="16" t="s">
        <v>4601</v>
      </c>
      <c r="P21" s="16" t="str">
        <f t="shared" si="1"/>
        <v/>
      </c>
      <c r="Q21" s="16" t="str">
        <f t="shared" si="2"/>
        <v/>
      </c>
      <c r="R21" s="16" t="str">
        <f t="shared" si="3"/>
        <v/>
      </c>
      <c r="S21" s="16">
        <v>1397.0</v>
      </c>
      <c r="T21" s="16">
        <v>10.0</v>
      </c>
      <c r="U21" s="16">
        <v>5.0</v>
      </c>
      <c r="V21" s="16">
        <v>2.0</v>
      </c>
      <c r="W21" s="16" t="s">
        <v>4647</v>
      </c>
      <c r="X21" s="16" t="s">
        <v>126</v>
      </c>
      <c r="Y21" s="16" t="s">
        <v>272</v>
      </c>
      <c r="Z21" s="16">
        <v>8.0</v>
      </c>
      <c r="AA21" s="16">
        <v>5.0</v>
      </c>
      <c r="AB21" s="16" t="s">
        <v>191</v>
      </c>
      <c r="AC21" s="16" t="s">
        <v>404</v>
      </c>
      <c r="AD21" s="17" t="s">
        <v>4671</v>
      </c>
      <c r="AE21" s="16">
        <f t="shared" si="4"/>
        <v>1</v>
      </c>
    </row>
    <row r="22">
      <c r="A22" s="16" t="s">
        <v>43</v>
      </c>
      <c r="B22" s="16" t="s">
        <v>4601</v>
      </c>
      <c r="C22" s="16" t="s">
        <v>4601</v>
      </c>
      <c r="D22" s="16">
        <v>2.0</v>
      </c>
      <c r="E22" s="16">
        <v>0.0</v>
      </c>
      <c r="F22" s="16">
        <v>0.0</v>
      </c>
      <c r="G22" s="16">
        <v>0.0</v>
      </c>
      <c r="H22" s="16">
        <v>0.0</v>
      </c>
      <c r="I22" s="16">
        <v>0.0</v>
      </c>
      <c r="J22" s="16">
        <v>0.0</v>
      </c>
      <c r="K22" s="16">
        <v>0.051</v>
      </c>
      <c r="L22" s="16">
        <v>1.0</v>
      </c>
      <c r="M22" s="16" t="s">
        <v>181</v>
      </c>
      <c r="N22" s="16">
        <v>1600.0</v>
      </c>
      <c r="O22" s="16" t="s">
        <v>4601</v>
      </c>
      <c r="P22" s="16">
        <f t="shared" si="1"/>
        <v>1</v>
      </c>
      <c r="Q22" s="16">
        <f t="shared" si="2"/>
        <v>2</v>
      </c>
      <c r="R22" s="16" t="str">
        <f t="shared" si="3"/>
        <v/>
      </c>
      <c r="S22" s="16">
        <v>1442.0</v>
      </c>
      <c r="T22" s="16">
        <v>10.0</v>
      </c>
      <c r="U22" s="16">
        <v>6.0</v>
      </c>
      <c r="V22" s="16">
        <v>1.0</v>
      </c>
      <c r="W22" s="16" t="s">
        <v>4647</v>
      </c>
      <c r="X22" s="16" t="s">
        <v>126</v>
      </c>
      <c r="Y22" s="16" t="s">
        <v>4672</v>
      </c>
      <c r="Z22" s="16">
        <v>10.0</v>
      </c>
      <c r="AA22" s="16">
        <v>3.0</v>
      </c>
      <c r="AB22" s="16" t="s">
        <v>191</v>
      </c>
      <c r="AC22" s="16" t="s">
        <v>283</v>
      </c>
      <c r="AD22" s="17" t="s">
        <v>4673</v>
      </c>
      <c r="AE22" s="16">
        <f t="shared" si="4"/>
        <v>1</v>
      </c>
    </row>
    <row r="23">
      <c r="A23" s="16" t="s">
        <v>43</v>
      </c>
      <c r="B23" s="16" t="s">
        <v>4601</v>
      </c>
      <c r="C23" s="16" t="s">
        <v>4601</v>
      </c>
      <c r="D23" s="16">
        <v>2.0</v>
      </c>
      <c r="E23" s="16">
        <v>0.0</v>
      </c>
      <c r="F23" s="16">
        <v>0.0</v>
      </c>
      <c r="G23" s="16">
        <v>0.0</v>
      </c>
      <c r="H23" s="16">
        <v>0.0</v>
      </c>
      <c r="I23" s="16">
        <v>0.0</v>
      </c>
      <c r="J23" s="16">
        <v>0.0</v>
      </c>
      <c r="K23" s="16">
        <v>0.016</v>
      </c>
      <c r="L23" s="16">
        <v>1.0</v>
      </c>
      <c r="M23" s="16" t="s">
        <v>181</v>
      </c>
      <c r="N23" s="16">
        <v>1610.0</v>
      </c>
      <c r="O23" s="16" t="s">
        <v>4601</v>
      </c>
      <c r="P23" s="16">
        <f t="shared" si="1"/>
        <v>1</v>
      </c>
      <c r="Q23" s="16">
        <f t="shared" si="2"/>
        <v>2</v>
      </c>
      <c r="R23" s="16" t="str">
        <f t="shared" si="3"/>
        <v/>
      </c>
      <c r="S23" s="16">
        <v>1443.0</v>
      </c>
      <c r="T23" s="16">
        <v>10.0</v>
      </c>
      <c r="U23" s="16">
        <v>6.0</v>
      </c>
      <c r="V23" s="16">
        <v>2.0</v>
      </c>
      <c r="W23" s="16" t="s">
        <v>4647</v>
      </c>
      <c r="X23" s="16" t="s">
        <v>126</v>
      </c>
      <c r="Y23" s="16" t="s">
        <v>4672</v>
      </c>
      <c r="Z23" s="16">
        <v>5.0</v>
      </c>
      <c r="AA23" s="16">
        <v>1.0</v>
      </c>
      <c r="AB23" s="16" t="s">
        <v>191</v>
      </c>
      <c r="AC23" s="16" t="s">
        <v>283</v>
      </c>
      <c r="AD23" s="17" t="s">
        <v>4674</v>
      </c>
      <c r="AE23" s="16">
        <f t="shared" si="4"/>
        <v>1</v>
      </c>
    </row>
    <row r="24">
      <c r="A24" s="16" t="s">
        <v>43</v>
      </c>
      <c r="B24" s="16" t="s">
        <v>4601</v>
      </c>
      <c r="C24" s="16" t="s">
        <v>4601</v>
      </c>
      <c r="D24" s="16">
        <v>1.0</v>
      </c>
      <c r="E24" s="16">
        <v>0.0</v>
      </c>
      <c r="F24" s="16">
        <v>0.0</v>
      </c>
      <c r="G24" s="16">
        <v>0.0</v>
      </c>
      <c r="H24" s="16">
        <v>0.0</v>
      </c>
      <c r="I24" s="16">
        <v>0.0</v>
      </c>
      <c r="J24" s="16">
        <v>0.0</v>
      </c>
      <c r="K24" s="16">
        <v>0.032</v>
      </c>
      <c r="L24" s="16">
        <v>1.0</v>
      </c>
      <c r="M24" s="16" t="s">
        <v>181</v>
      </c>
      <c r="N24" s="16">
        <v>1611.0</v>
      </c>
      <c r="O24" s="16" t="s">
        <v>4601</v>
      </c>
      <c r="P24" s="16">
        <f t="shared" si="1"/>
        <v>1</v>
      </c>
      <c r="Q24" s="16">
        <f t="shared" si="2"/>
        <v>1</v>
      </c>
      <c r="R24" s="16">
        <f t="shared" si="3"/>
        <v>1</v>
      </c>
      <c r="S24" s="16">
        <v>1444.0</v>
      </c>
      <c r="T24" s="16">
        <v>10.0</v>
      </c>
      <c r="U24" s="16">
        <v>6.0</v>
      </c>
      <c r="V24" s="16">
        <v>3.0</v>
      </c>
      <c r="W24" s="16" t="s">
        <v>4647</v>
      </c>
      <c r="X24" s="16" t="s">
        <v>126</v>
      </c>
      <c r="Y24" s="16" t="s">
        <v>4672</v>
      </c>
      <c r="Z24" s="16">
        <v>1.0</v>
      </c>
      <c r="AA24" s="16">
        <v>3.0</v>
      </c>
      <c r="AB24" s="16" t="s">
        <v>191</v>
      </c>
      <c r="AC24" s="16" t="s">
        <v>283</v>
      </c>
      <c r="AD24" s="17" t="s">
        <v>4675</v>
      </c>
      <c r="AE24" s="16" t="str">
        <f t="shared" si="4"/>
        <v/>
      </c>
    </row>
    <row r="25">
      <c r="A25" s="16" t="s">
        <v>43</v>
      </c>
      <c r="B25" s="16" t="s">
        <v>4601</v>
      </c>
      <c r="C25" s="16" t="s">
        <v>4601</v>
      </c>
      <c r="D25" s="16">
        <v>2.0</v>
      </c>
      <c r="E25" s="16">
        <v>0.0</v>
      </c>
      <c r="F25" s="16">
        <v>0.0</v>
      </c>
      <c r="G25" s="16">
        <v>0.0</v>
      </c>
      <c r="H25" s="16">
        <v>0.0</v>
      </c>
      <c r="I25" s="16">
        <v>0.0</v>
      </c>
      <c r="J25" s="16">
        <v>0.0</v>
      </c>
      <c r="K25" s="16">
        <v>0.263</v>
      </c>
      <c r="L25" s="16">
        <v>1.0</v>
      </c>
      <c r="M25" s="16" t="s">
        <v>181</v>
      </c>
      <c r="N25" s="16">
        <v>1612.0</v>
      </c>
      <c r="O25" s="16" t="s">
        <v>4601</v>
      </c>
      <c r="P25" s="16">
        <f t="shared" si="1"/>
        <v>1</v>
      </c>
      <c r="Q25" s="16">
        <f t="shared" si="2"/>
        <v>2</v>
      </c>
      <c r="R25" s="16">
        <f t="shared" si="3"/>
        <v>1</v>
      </c>
      <c r="S25" s="16">
        <v>1445.0</v>
      </c>
      <c r="T25" s="16">
        <v>10.0</v>
      </c>
      <c r="U25" s="16">
        <v>6.0</v>
      </c>
      <c r="V25" s="16">
        <v>4.0</v>
      </c>
      <c r="W25" s="16" t="s">
        <v>4647</v>
      </c>
      <c r="X25" s="16" t="s">
        <v>126</v>
      </c>
      <c r="Y25" s="16" t="s">
        <v>4672</v>
      </c>
      <c r="Z25" s="16">
        <v>3.0</v>
      </c>
      <c r="AA25" s="16">
        <v>1.0</v>
      </c>
      <c r="AB25" s="16" t="s">
        <v>191</v>
      </c>
      <c r="AC25" s="16" t="s">
        <v>283</v>
      </c>
      <c r="AD25" s="17" t="s">
        <v>4676</v>
      </c>
      <c r="AE25" s="16">
        <f t="shared" si="4"/>
        <v>1</v>
      </c>
    </row>
    <row r="26">
      <c r="A26" s="16" t="s">
        <v>43</v>
      </c>
      <c r="B26" s="16" t="s">
        <v>4601</v>
      </c>
      <c r="C26" s="16" t="s">
        <v>4601</v>
      </c>
      <c r="D26" s="16">
        <v>1.0</v>
      </c>
      <c r="E26" s="16">
        <v>0.0</v>
      </c>
      <c r="F26" s="16">
        <v>0.0</v>
      </c>
      <c r="G26" s="16">
        <v>0.0</v>
      </c>
      <c r="H26" s="16">
        <v>0.0</v>
      </c>
      <c r="I26" s="16">
        <v>0.0</v>
      </c>
      <c r="J26" s="16">
        <v>0.0</v>
      </c>
      <c r="K26" s="16">
        <v>0.084</v>
      </c>
      <c r="L26" s="16">
        <v>1.0</v>
      </c>
      <c r="M26" s="16" t="s">
        <v>181</v>
      </c>
      <c r="N26" s="16">
        <v>1613.0</v>
      </c>
      <c r="O26" s="16" t="s">
        <v>4601</v>
      </c>
      <c r="P26" s="16">
        <f t="shared" si="1"/>
        <v>1</v>
      </c>
      <c r="Q26" s="16">
        <f t="shared" si="2"/>
        <v>1</v>
      </c>
      <c r="R26" s="16">
        <f t="shared" si="3"/>
        <v>1</v>
      </c>
      <c r="S26" s="16">
        <v>1474.0</v>
      </c>
      <c r="T26" s="16">
        <v>10.0</v>
      </c>
      <c r="U26" s="16">
        <v>7.0</v>
      </c>
      <c r="V26" s="16">
        <v>1.0</v>
      </c>
      <c r="W26" s="16" t="s">
        <v>4647</v>
      </c>
      <c r="X26" s="16" t="s">
        <v>126</v>
      </c>
      <c r="Y26" s="16" t="s">
        <v>277</v>
      </c>
      <c r="Z26" s="16">
        <v>4.0</v>
      </c>
      <c r="AA26" s="16">
        <v>6.0</v>
      </c>
      <c r="AB26" s="16" t="s">
        <v>191</v>
      </c>
      <c r="AC26" s="16" t="s">
        <v>282</v>
      </c>
      <c r="AD26" s="17" t="s">
        <v>4677</v>
      </c>
      <c r="AE26" s="16" t="str">
        <f t="shared" si="4"/>
        <v/>
      </c>
    </row>
    <row r="27">
      <c r="A27" s="16" t="s">
        <v>43</v>
      </c>
      <c r="B27" s="16" t="s">
        <v>4601</v>
      </c>
      <c r="C27" s="16" t="s">
        <v>4601</v>
      </c>
      <c r="D27" s="16">
        <v>1.0</v>
      </c>
      <c r="E27" s="16">
        <v>0.0</v>
      </c>
      <c r="F27" s="16">
        <v>0.0</v>
      </c>
      <c r="G27" s="16">
        <v>0.0</v>
      </c>
      <c r="H27" s="16">
        <v>0.0</v>
      </c>
      <c r="I27" s="16">
        <v>0.0</v>
      </c>
      <c r="J27" s="16">
        <v>0.0</v>
      </c>
      <c r="K27" s="16">
        <v>0.164</v>
      </c>
      <c r="L27" s="16">
        <v>1.0</v>
      </c>
      <c r="M27" s="16" t="s">
        <v>181</v>
      </c>
      <c r="N27" s="16">
        <v>1638.0</v>
      </c>
      <c r="O27" s="16" t="s">
        <v>4601</v>
      </c>
      <c r="P27" s="16">
        <f t="shared" si="1"/>
        <v>1</v>
      </c>
      <c r="Q27" s="16">
        <f t="shared" si="2"/>
        <v>1</v>
      </c>
      <c r="R27" s="16">
        <f t="shared" si="3"/>
        <v>1</v>
      </c>
      <c r="S27" s="16">
        <v>1475.0</v>
      </c>
      <c r="T27" s="16">
        <v>10.0</v>
      </c>
      <c r="U27" s="16">
        <v>7.0</v>
      </c>
      <c r="V27" s="16">
        <v>2.0</v>
      </c>
      <c r="W27" s="16" t="s">
        <v>4647</v>
      </c>
      <c r="X27" s="16" t="s">
        <v>126</v>
      </c>
      <c r="Y27" s="16" t="s">
        <v>277</v>
      </c>
      <c r="Z27" s="16">
        <v>8.0</v>
      </c>
      <c r="AA27" s="16">
        <v>3.0</v>
      </c>
      <c r="AB27" s="16" t="s">
        <v>191</v>
      </c>
      <c r="AC27" s="16" t="s">
        <v>282</v>
      </c>
      <c r="AD27" s="17" t="s">
        <v>4678</v>
      </c>
      <c r="AE27" s="16">
        <f t="shared" si="4"/>
        <v>1</v>
      </c>
    </row>
    <row r="28">
      <c r="A28" s="16" t="s">
        <v>43</v>
      </c>
      <c r="B28" s="16" t="s">
        <v>4601</v>
      </c>
      <c r="C28" s="16" t="s">
        <v>4601</v>
      </c>
      <c r="D28" s="16">
        <v>2.0</v>
      </c>
      <c r="E28" s="16">
        <v>0.0</v>
      </c>
      <c r="F28" s="16">
        <v>1.0</v>
      </c>
      <c r="G28" s="16">
        <v>0.0</v>
      </c>
      <c r="H28" s="16">
        <v>0.0</v>
      </c>
      <c r="I28" s="16">
        <v>0.0</v>
      </c>
      <c r="J28" s="16">
        <v>0.0</v>
      </c>
      <c r="K28" s="16">
        <v>0.07700001</v>
      </c>
      <c r="L28" s="16">
        <v>0.75</v>
      </c>
      <c r="M28" s="16" t="s">
        <v>181</v>
      </c>
      <c r="N28" s="16">
        <v>1639.0</v>
      </c>
      <c r="O28" s="16" t="s">
        <v>4601</v>
      </c>
      <c r="P28" s="16" t="str">
        <f t="shared" si="1"/>
        <v/>
      </c>
      <c r="Q28" s="16" t="str">
        <f t="shared" si="2"/>
        <v/>
      </c>
      <c r="R28" s="16" t="str">
        <f t="shared" si="3"/>
        <v/>
      </c>
      <c r="S28" s="16">
        <v>1476.0</v>
      </c>
      <c r="T28" s="16">
        <v>10.0</v>
      </c>
      <c r="U28" s="16">
        <v>7.0</v>
      </c>
      <c r="V28" s="16">
        <v>3.0</v>
      </c>
      <c r="W28" s="16" t="s">
        <v>4647</v>
      </c>
      <c r="X28" s="16" t="s">
        <v>277</v>
      </c>
      <c r="Y28" s="16" t="s">
        <v>126</v>
      </c>
      <c r="Z28" s="16">
        <v>6.0</v>
      </c>
      <c r="AA28" s="16">
        <v>7.0</v>
      </c>
      <c r="AB28" s="16" t="s">
        <v>282</v>
      </c>
      <c r="AC28" s="16" t="s">
        <v>191</v>
      </c>
      <c r="AD28" s="17" t="s">
        <v>4679</v>
      </c>
      <c r="AE28" s="16" t="str">
        <f t="shared" si="4"/>
        <v/>
      </c>
    </row>
    <row r="29">
      <c r="A29" s="16" t="s">
        <v>43</v>
      </c>
      <c r="B29" s="16" t="s">
        <v>4601</v>
      </c>
      <c r="C29" s="16" t="s">
        <v>4601</v>
      </c>
      <c r="D29" s="16">
        <v>2.0</v>
      </c>
      <c r="E29" s="16">
        <v>1.0</v>
      </c>
      <c r="F29" s="16">
        <v>0.0</v>
      </c>
      <c r="G29" s="16">
        <v>0.0</v>
      </c>
      <c r="H29" s="16">
        <v>0.0</v>
      </c>
      <c r="I29" s="16">
        <v>0.0</v>
      </c>
      <c r="J29" s="16">
        <v>0.0</v>
      </c>
      <c r="K29" s="16">
        <v>0.0</v>
      </c>
      <c r="L29" s="16">
        <v>0.625</v>
      </c>
      <c r="M29" s="16" t="s">
        <v>181</v>
      </c>
      <c r="N29" s="16">
        <v>1640.0</v>
      </c>
      <c r="O29" s="16" t="s">
        <v>4601</v>
      </c>
      <c r="P29" s="16" t="str">
        <f t="shared" si="1"/>
        <v/>
      </c>
      <c r="Q29" s="16" t="str">
        <f t="shared" si="2"/>
        <v/>
      </c>
      <c r="R29" s="16" t="str">
        <f t="shared" si="3"/>
        <v/>
      </c>
      <c r="S29" s="16">
        <v>1477.0</v>
      </c>
      <c r="T29" s="16">
        <v>10.0</v>
      </c>
      <c r="U29" s="16">
        <v>7.0</v>
      </c>
      <c r="V29" s="16">
        <v>4.0</v>
      </c>
      <c r="W29" s="16" t="s">
        <v>4647</v>
      </c>
      <c r="X29" s="16" t="s">
        <v>277</v>
      </c>
      <c r="Y29" s="16" t="s">
        <v>126</v>
      </c>
      <c r="Z29" s="16">
        <v>6.0</v>
      </c>
      <c r="AA29" s="16">
        <v>7.0</v>
      </c>
      <c r="AB29" s="16" t="s">
        <v>282</v>
      </c>
      <c r="AC29" s="16" t="s">
        <v>191</v>
      </c>
      <c r="AD29" s="17" t="s">
        <v>4680</v>
      </c>
      <c r="AE29" s="16" t="str">
        <f t="shared" si="4"/>
        <v/>
      </c>
    </row>
    <row r="30">
      <c r="A30" s="16" t="s">
        <v>43</v>
      </c>
      <c r="B30" s="16" t="s">
        <v>4601</v>
      </c>
      <c r="C30" s="16" t="s">
        <v>4601</v>
      </c>
      <c r="D30" s="16">
        <v>2.0</v>
      </c>
      <c r="E30" s="16">
        <v>0.0</v>
      </c>
      <c r="F30" s="16">
        <v>1.0</v>
      </c>
      <c r="G30" s="16">
        <v>0.0</v>
      </c>
      <c r="H30" s="16">
        <v>0.0</v>
      </c>
      <c r="I30" s="16">
        <v>0.0</v>
      </c>
      <c r="J30" s="16">
        <v>0.0</v>
      </c>
      <c r="K30" s="16">
        <v>0.0020000022</v>
      </c>
      <c r="L30" s="16">
        <v>0.75</v>
      </c>
      <c r="M30" s="16" t="s">
        <v>181</v>
      </c>
      <c r="N30" s="16">
        <v>1695.0</v>
      </c>
      <c r="O30" s="16" t="s">
        <v>4601</v>
      </c>
      <c r="P30" s="16" t="str">
        <f t="shared" si="1"/>
        <v/>
      </c>
      <c r="Q30" s="16" t="str">
        <f t="shared" si="2"/>
        <v/>
      </c>
      <c r="R30" s="16" t="str">
        <f t="shared" si="3"/>
        <v/>
      </c>
      <c r="S30" s="16">
        <v>1486.0</v>
      </c>
      <c r="T30" s="16">
        <v>10.0</v>
      </c>
      <c r="U30" s="16">
        <v>8.0</v>
      </c>
      <c r="V30" s="16">
        <v>1.0</v>
      </c>
      <c r="W30" s="16" t="s">
        <v>4647</v>
      </c>
      <c r="X30" s="16" t="s">
        <v>126</v>
      </c>
      <c r="Y30" s="16" t="s">
        <v>4681</v>
      </c>
      <c r="Z30" s="16">
        <v>7.0</v>
      </c>
      <c r="AA30" s="16">
        <v>5.0</v>
      </c>
      <c r="AB30" s="16" t="s">
        <v>191</v>
      </c>
      <c r="AC30" s="16" t="s">
        <v>4682</v>
      </c>
      <c r="AD30" s="17" t="s">
        <v>4683</v>
      </c>
      <c r="AE30" s="16">
        <f t="shared" si="4"/>
        <v>1</v>
      </c>
    </row>
    <row r="31">
      <c r="A31" s="16" t="s">
        <v>43</v>
      </c>
      <c r="B31" s="16" t="s">
        <v>4601</v>
      </c>
      <c r="C31" s="16" t="s">
        <v>4601</v>
      </c>
      <c r="D31" s="16">
        <v>1.0</v>
      </c>
      <c r="E31" s="16">
        <v>0.0</v>
      </c>
      <c r="F31" s="16">
        <v>0.0</v>
      </c>
      <c r="G31" s="16">
        <v>0.0</v>
      </c>
      <c r="H31" s="16">
        <v>0.0</v>
      </c>
      <c r="I31" s="16">
        <v>0.0</v>
      </c>
      <c r="J31" s="16">
        <v>0.0</v>
      </c>
      <c r="K31" s="16">
        <v>0.003</v>
      </c>
      <c r="L31" s="16">
        <v>1.0</v>
      </c>
      <c r="M31" s="16" t="s">
        <v>181</v>
      </c>
      <c r="N31" s="16">
        <v>1696.0</v>
      </c>
      <c r="O31" s="16" t="s">
        <v>4601</v>
      </c>
      <c r="P31" s="16">
        <f t="shared" si="1"/>
        <v>1</v>
      </c>
      <c r="Q31" s="16">
        <f t="shared" si="2"/>
        <v>1</v>
      </c>
      <c r="R31" s="16">
        <f t="shared" si="3"/>
        <v>1</v>
      </c>
      <c r="S31" s="16">
        <v>1487.0</v>
      </c>
      <c r="T31" s="16">
        <v>10.0</v>
      </c>
      <c r="U31" s="16">
        <v>8.0</v>
      </c>
      <c r="V31" s="16">
        <v>2.0</v>
      </c>
      <c r="W31" s="16" t="s">
        <v>4647</v>
      </c>
      <c r="X31" s="16" t="s">
        <v>126</v>
      </c>
      <c r="Y31" s="16" t="s">
        <v>4681</v>
      </c>
      <c r="Z31" s="16">
        <v>8.0</v>
      </c>
      <c r="AA31" s="16">
        <v>1.0</v>
      </c>
      <c r="AB31" s="16" t="s">
        <v>191</v>
      </c>
      <c r="AC31" s="16" t="s">
        <v>4682</v>
      </c>
      <c r="AD31" s="17" t="s">
        <v>4684</v>
      </c>
      <c r="AE31" s="16">
        <f t="shared" si="4"/>
        <v>1</v>
      </c>
    </row>
    <row r="32">
      <c r="A32" s="16" t="s">
        <v>43</v>
      </c>
      <c r="B32" s="16" t="s">
        <v>4601</v>
      </c>
      <c r="C32" s="16" t="s">
        <v>4601</v>
      </c>
      <c r="D32" s="16">
        <v>3.0</v>
      </c>
      <c r="E32" s="16">
        <v>2.0</v>
      </c>
      <c r="F32" s="16">
        <v>0.0</v>
      </c>
      <c r="G32" s="16">
        <v>0.0</v>
      </c>
      <c r="H32" s="16">
        <v>0.0</v>
      </c>
      <c r="I32" s="16">
        <v>0.0</v>
      </c>
      <c r="J32" s="16">
        <v>0.0</v>
      </c>
      <c r="K32" s="16">
        <v>-0.033999998</v>
      </c>
      <c r="L32" s="16">
        <v>0.5</v>
      </c>
      <c r="M32" s="16" t="s">
        <v>181</v>
      </c>
      <c r="N32" s="16">
        <v>1722.0</v>
      </c>
      <c r="O32" s="16" t="s">
        <v>4601</v>
      </c>
      <c r="P32" s="16" t="str">
        <f t="shared" si="1"/>
        <v/>
      </c>
      <c r="Q32" s="16" t="str">
        <f t="shared" si="2"/>
        <v/>
      </c>
      <c r="R32" s="16" t="str">
        <f t="shared" si="3"/>
        <v/>
      </c>
      <c r="S32" s="16">
        <v>1488.0</v>
      </c>
      <c r="T32" s="16">
        <v>10.0</v>
      </c>
      <c r="U32" s="16">
        <v>8.0</v>
      </c>
      <c r="V32" s="16">
        <v>3.0</v>
      </c>
      <c r="W32" s="16" t="s">
        <v>4647</v>
      </c>
      <c r="X32" s="16" t="s">
        <v>4681</v>
      </c>
      <c r="Y32" s="16" t="s">
        <v>126</v>
      </c>
      <c r="Z32" s="16">
        <v>1.0</v>
      </c>
      <c r="AA32" s="16">
        <v>3.0</v>
      </c>
      <c r="AB32" s="16" t="s">
        <v>206</v>
      </c>
      <c r="AC32" s="16" t="s">
        <v>191</v>
      </c>
      <c r="AD32" s="17" t="s">
        <v>4685</v>
      </c>
      <c r="AE32" s="16" t="str">
        <f t="shared" si="4"/>
        <v/>
      </c>
    </row>
    <row r="33">
      <c r="A33" s="16" t="s">
        <v>43</v>
      </c>
      <c r="B33" s="16" t="s">
        <v>4601</v>
      </c>
      <c r="C33" s="16" t="s">
        <v>4601</v>
      </c>
      <c r="D33" s="16">
        <v>1.0</v>
      </c>
      <c r="E33" s="16">
        <v>0.0</v>
      </c>
      <c r="F33" s="16">
        <v>0.0</v>
      </c>
      <c r="G33" s="16">
        <v>0.0</v>
      </c>
      <c r="H33" s="16">
        <v>0.0</v>
      </c>
      <c r="I33" s="16">
        <v>0.0</v>
      </c>
      <c r="J33" s="16">
        <v>0.0</v>
      </c>
      <c r="K33" s="16">
        <v>-0.063</v>
      </c>
      <c r="L33" s="16">
        <v>1.0</v>
      </c>
      <c r="M33" s="16" t="s">
        <v>181</v>
      </c>
      <c r="N33" s="16">
        <v>1724.0</v>
      </c>
      <c r="O33" s="16" t="s">
        <v>4601</v>
      </c>
      <c r="P33" s="16">
        <f t="shared" si="1"/>
        <v>1</v>
      </c>
      <c r="Q33" s="16">
        <f t="shared" si="2"/>
        <v>1</v>
      </c>
      <c r="R33" s="16" t="str">
        <f t="shared" si="3"/>
        <v/>
      </c>
      <c r="S33" s="16">
        <v>1489.0</v>
      </c>
      <c r="T33" s="16">
        <v>10.0</v>
      </c>
      <c r="U33" s="16">
        <v>8.0</v>
      </c>
      <c r="V33" s="16">
        <v>4.0</v>
      </c>
      <c r="W33" s="16" t="s">
        <v>4647</v>
      </c>
      <c r="X33" s="16" t="s">
        <v>4681</v>
      </c>
      <c r="Y33" s="16" t="s">
        <v>126</v>
      </c>
      <c r="Z33" s="16">
        <v>8.0</v>
      </c>
      <c r="AA33" s="16">
        <v>6.0</v>
      </c>
      <c r="AB33" s="16" t="s">
        <v>206</v>
      </c>
      <c r="AC33" s="16" t="s">
        <v>191</v>
      </c>
      <c r="AD33" s="17" t="s">
        <v>4686</v>
      </c>
      <c r="AE33" s="16">
        <f t="shared" si="4"/>
        <v>1</v>
      </c>
    </row>
    <row r="34">
      <c r="A34" s="16" t="s">
        <v>43</v>
      </c>
      <c r="B34" s="16" t="s">
        <v>4601</v>
      </c>
      <c r="C34" s="16" t="s">
        <v>4601</v>
      </c>
      <c r="D34" s="16">
        <v>3.0</v>
      </c>
      <c r="E34" s="16">
        <v>1.0</v>
      </c>
      <c r="F34" s="16">
        <v>1.0</v>
      </c>
      <c r="G34" s="16">
        <v>0.0</v>
      </c>
      <c r="H34" s="16">
        <v>0.0</v>
      </c>
      <c r="I34" s="16">
        <v>0.0</v>
      </c>
      <c r="J34" s="16">
        <v>0.0</v>
      </c>
      <c r="K34" s="16">
        <v>-0.0019999999</v>
      </c>
      <c r="L34" s="16">
        <v>0.5833333333333334</v>
      </c>
      <c r="M34" s="16" t="s">
        <v>181</v>
      </c>
      <c r="N34" s="16">
        <v>1725.0</v>
      </c>
      <c r="O34" s="16" t="s">
        <v>4601</v>
      </c>
      <c r="P34" s="16" t="str">
        <f t="shared" si="1"/>
        <v/>
      </c>
      <c r="Q34" s="16" t="str">
        <f t="shared" si="2"/>
        <v/>
      </c>
      <c r="R34" s="16" t="str">
        <f t="shared" si="3"/>
        <v/>
      </c>
      <c r="S34" s="16">
        <v>1538.0</v>
      </c>
      <c r="T34" s="16">
        <v>10.0</v>
      </c>
      <c r="U34" s="16">
        <v>9.0</v>
      </c>
      <c r="V34" s="16">
        <v>1.0</v>
      </c>
      <c r="W34" s="16" t="s">
        <v>4647</v>
      </c>
      <c r="X34" s="16" t="s">
        <v>212</v>
      </c>
      <c r="Y34" s="16" t="s">
        <v>126</v>
      </c>
      <c r="Z34" s="16">
        <v>8.0</v>
      </c>
      <c r="AA34" s="16">
        <v>10.0</v>
      </c>
      <c r="AB34" s="16" t="s">
        <v>323</v>
      </c>
      <c r="AC34" s="16" t="s">
        <v>191</v>
      </c>
      <c r="AD34" s="17" t="s">
        <v>4687</v>
      </c>
      <c r="AE34" s="16" t="str">
        <f t="shared" si="4"/>
        <v/>
      </c>
    </row>
    <row r="35">
      <c r="A35" s="16" t="s">
        <v>43</v>
      </c>
      <c r="B35" s="16" t="s">
        <v>4601</v>
      </c>
      <c r="C35" s="16" t="s">
        <v>4601</v>
      </c>
      <c r="D35" s="16">
        <v>2.0</v>
      </c>
      <c r="E35" s="16">
        <v>2.0</v>
      </c>
      <c r="F35" s="16">
        <v>0.0</v>
      </c>
      <c r="G35" s="16">
        <v>0.0</v>
      </c>
      <c r="H35" s="16">
        <v>0.0</v>
      </c>
      <c r="I35" s="16">
        <v>0.0</v>
      </c>
      <c r="J35" s="16">
        <v>0.0</v>
      </c>
      <c r="K35" s="16">
        <v>0.087</v>
      </c>
      <c r="L35" s="16">
        <v>0.25</v>
      </c>
      <c r="M35" s="16" t="s">
        <v>181</v>
      </c>
      <c r="N35" s="16">
        <v>1758.0</v>
      </c>
      <c r="O35" s="16" t="s">
        <v>4601</v>
      </c>
      <c r="P35" s="16" t="str">
        <f t="shared" si="1"/>
        <v/>
      </c>
      <c r="Q35" s="16" t="str">
        <f t="shared" si="2"/>
        <v/>
      </c>
      <c r="R35" s="16" t="str">
        <f t="shared" si="3"/>
        <v/>
      </c>
      <c r="S35" s="16">
        <v>1539.0</v>
      </c>
      <c r="T35" s="16">
        <v>10.0</v>
      </c>
      <c r="U35" s="16">
        <v>9.0</v>
      </c>
      <c r="V35" s="16">
        <v>2.0</v>
      </c>
      <c r="W35" s="16" t="s">
        <v>4647</v>
      </c>
      <c r="X35" s="16" t="s">
        <v>212</v>
      </c>
      <c r="Y35" s="16" t="s">
        <v>126</v>
      </c>
      <c r="Z35" s="16">
        <v>3.0</v>
      </c>
      <c r="AA35" s="16">
        <v>5.0</v>
      </c>
      <c r="AB35" s="16" t="s">
        <v>323</v>
      </c>
      <c r="AC35" s="16" t="s">
        <v>191</v>
      </c>
      <c r="AD35" s="17" t="s">
        <v>4688</v>
      </c>
      <c r="AE35" s="16" t="str">
        <f t="shared" si="4"/>
        <v/>
      </c>
    </row>
    <row r="36">
      <c r="A36" s="16" t="s">
        <v>43</v>
      </c>
      <c r="B36" s="16" t="s">
        <v>4601</v>
      </c>
      <c r="C36" s="16" t="s">
        <v>4601</v>
      </c>
      <c r="D36" s="16">
        <v>2.0</v>
      </c>
      <c r="E36" s="16">
        <v>1.0</v>
      </c>
      <c r="F36" s="16">
        <v>0.0</v>
      </c>
      <c r="G36" s="16">
        <v>0.0</v>
      </c>
      <c r="H36" s="16">
        <v>0.0</v>
      </c>
      <c r="I36" s="16">
        <v>0.0</v>
      </c>
      <c r="J36" s="16">
        <v>0.0</v>
      </c>
      <c r="K36" s="16">
        <v>0.008</v>
      </c>
      <c r="L36" s="16">
        <v>0.625</v>
      </c>
      <c r="M36" s="16" t="s">
        <v>181</v>
      </c>
      <c r="N36" s="16">
        <v>1759.0</v>
      </c>
      <c r="O36" s="16" t="s">
        <v>4601</v>
      </c>
      <c r="P36" s="16" t="str">
        <f t="shared" si="1"/>
        <v/>
      </c>
      <c r="Q36" s="16" t="str">
        <f t="shared" si="2"/>
        <v/>
      </c>
      <c r="R36" s="16" t="str">
        <f t="shared" si="3"/>
        <v/>
      </c>
      <c r="S36" s="16">
        <v>1540.0</v>
      </c>
      <c r="T36" s="16">
        <v>10.0</v>
      </c>
      <c r="U36" s="16">
        <v>9.0</v>
      </c>
      <c r="V36" s="16">
        <v>3.0</v>
      </c>
      <c r="W36" s="16" t="s">
        <v>4647</v>
      </c>
      <c r="X36" s="16" t="s">
        <v>126</v>
      </c>
      <c r="Y36" s="16" t="s">
        <v>212</v>
      </c>
      <c r="Z36" s="16">
        <v>0.0</v>
      </c>
      <c r="AA36" s="16">
        <v>14.0</v>
      </c>
      <c r="AB36" s="16" t="s">
        <v>191</v>
      </c>
      <c r="AC36" s="16" t="s">
        <v>324</v>
      </c>
      <c r="AD36" s="17" t="s">
        <v>4689</v>
      </c>
      <c r="AE36" s="16" t="str">
        <f t="shared" si="4"/>
        <v/>
      </c>
    </row>
    <row r="37">
      <c r="A37" s="16" t="s">
        <v>43</v>
      </c>
      <c r="B37" s="16" t="s">
        <v>4601</v>
      </c>
      <c r="C37" s="16" t="s">
        <v>4601</v>
      </c>
      <c r="D37" s="16">
        <v>1.0</v>
      </c>
      <c r="E37" s="16">
        <v>0.0</v>
      </c>
      <c r="F37" s="16">
        <v>0.0</v>
      </c>
      <c r="G37" s="16">
        <v>0.0</v>
      </c>
      <c r="H37" s="16">
        <v>0.0</v>
      </c>
      <c r="I37" s="16">
        <v>0.0</v>
      </c>
      <c r="J37" s="16">
        <v>0.0</v>
      </c>
      <c r="K37" s="16">
        <v>0.0</v>
      </c>
      <c r="L37" s="16">
        <v>1.0</v>
      </c>
      <c r="M37" s="16" t="s">
        <v>181</v>
      </c>
      <c r="N37" s="16">
        <v>1760.0</v>
      </c>
      <c r="O37" s="16" t="s">
        <v>4601</v>
      </c>
      <c r="P37" s="16">
        <f t="shared" si="1"/>
        <v>1</v>
      </c>
      <c r="Q37" s="16">
        <f t="shared" si="2"/>
        <v>1</v>
      </c>
      <c r="R37" s="16" t="str">
        <f t="shared" si="3"/>
        <v/>
      </c>
      <c r="S37" s="16">
        <v>1541.0</v>
      </c>
      <c r="T37" s="16">
        <v>10.0</v>
      </c>
      <c r="U37" s="16">
        <v>9.0</v>
      </c>
      <c r="V37" s="16">
        <v>4.0</v>
      </c>
      <c r="W37" s="16" t="s">
        <v>4647</v>
      </c>
      <c r="X37" s="16" t="s">
        <v>126</v>
      </c>
      <c r="Y37" s="16" t="s">
        <v>212</v>
      </c>
      <c r="Z37" s="16">
        <v>2.0</v>
      </c>
      <c r="AA37" s="16">
        <v>1.0</v>
      </c>
      <c r="AB37" s="16" t="s">
        <v>191</v>
      </c>
      <c r="AC37" s="16" t="s">
        <v>324</v>
      </c>
      <c r="AD37" s="17" t="s">
        <v>4690</v>
      </c>
      <c r="AE37" s="16">
        <f t="shared" si="4"/>
        <v>1</v>
      </c>
    </row>
    <row r="38">
      <c r="A38" s="16" t="s">
        <v>43</v>
      </c>
      <c r="B38" s="16" t="s">
        <v>4601</v>
      </c>
      <c r="C38" s="16" t="s">
        <v>4601</v>
      </c>
      <c r="D38" s="16">
        <v>2.0</v>
      </c>
      <c r="E38" s="16">
        <v>1.0</v>
      </c>
      <c r="F38" s="16">
        <v>0.0</v>
      </c>
      <c r="G38" s="16">
        <v>0.0</v>
      </c>
      <c r="H38" s="16">
        <v>0.0</v>
      </c>
      <c r="I38" s="16">
        <v>0.0</v>
      </c>
      <c r="J38" s="16">
        <v>0.0</v>
      </c>
      <c r="K38" s="16">
        <v>0.08</v>
      </c>
      <c r="L38" s="16">
        <v>0.625</v>
      </c>
      <c r="M38" s="16" t="s">
        <v>181</v>
      </c>
      <c r="N38" s="16">
        <v>1761.0</v>
      </c>
      <c r="O38" s="16" t="s">
        <v>4601</v>
      </c>
      <c r="P38" s="16" t="str">
        <f t="shared" si="1"/>
        <v/>
      </c>
      <c r="Q38" s="16" t="str">
        <f t="shared" si="2"/>
        <v/>
      </c>
      <c r="R38" s="16" t="str">
        <f t="shared" si="3"/>
        <v/>
      </c>
      <c r="S38" s="16">
        <v>1542.0</v>
      </c>
      <c r="T38" s="16">
        <v>10.0</v>
      </c>
      <c r="U38" s="16">
        <v>10.0</v>
      </c>
      <c r="V38" s="16">
        <v>1.0</v>
      </c>
      <c r="W38" s="16" t="s">
        <v>4647</v>
      </c>
      <c r="X38" s="16" t="s">
        <v>126</v>
      </c>
      <c r="Y38" s="16" t="s">
        <v>4691</v>
      </c>
      <c r="Z38" s="16">
        <v>5.0</v>
      </c>
      <c r="AA38" s="16">
        <v>4.0</v>
      </c>
      <c r="AB38" s="16" t="s">
        <v>191</v>
      </c>
      <c r="AC38" s="16" t="s">
        <v>265</v>
      </c>
      <c r="AD38" s="17" t="s">
        <v>4692</v>
      </c>
      <c r="AE38" s="16">
        <f t="shared" si="4"/>
        <v>1</v>
      </c>
    </row>
    <row r="39">
      <c r="A39" s="16" t="s">
        <v>43</v>
      </c>
      <c r="B39" s="16" t="s">
        <v>4601</v>
      </c>
      <c r="C39" s="16" t="s">
        <v>4601</v>
      </c>
      <c r="D39" s="16">
        <v>1.0</v>
      </c>
      <c r="E39" s="16">
        <v>0.0</v>
      </c>
      <c r="F39" s="16">
        <v>0.0</v>
      </c>
      <c r="G39" s="16">
        <v>0.0</v>
      </c>
      <c r="H39" s="16">
        <v>0.0</v>
      </c>
      <c r="I39" s="16">
        <v>0.0</v>
      </c>
      <c r="J39" s="16">
        <v>0.0</v>
      </c>
      <c r="K39" s="16">
        <v>0.0</v>
      </c>
      <c r="L39" s="16">
        <v>1.0</v>
      </c>
      <c r="M39" s="16" t="s">
        <v>181</v>
      </c>
      <c r="N39" s="16">
        <v>1770.0</v>
      </c>
      <c r="O39" s="16" t="s">
        <v>4601</v>
      </c>
      <c r="P39" s="16">
        <f t="shared" si="1"/>
        <v>1</v>
      </c>
      <c r="Q39" s="16">
        <f t="shared" si="2"/>
        <v>1</v>
      </c>
      <c r="R39" s="16">
        <f t="shared" si="3"/>
        <v>1</v>
      </c>
      <c r="S39" s="16">
        <v>1543.0</v>
      </c>
      <c r="T39" s="16">
        <v>10.0</v>
      </c>
      <c r="U39" s="16">
        <v>10.0</v>
      </c>
      <c r="V39" s="16">
        <v>2.0</v>
      </c>
      <c r="W39" s="16" t="s">
        <v>4647</v>
      </c>
      <c r="X39" s="16" t="s">
        <v>126</v>
      </c>
      <c r="Y39" s="16" t="s">
        <v>4691</v>
      </c>
      <c r="Z39" s="16">
        <v>4.0</v>
      </c>
      <c r="AA39" s="16">
        <v>5.0</v>
      </c>
      <c r="AB39" s="16" t="s">
        <v>191</v>
      </c>
      <c r="AC39" s="16" t="s">
        <v>265</v>
      </c>
      <c r="AD39" s="17" t="s">
        <v>4693</v>
      </c>
      <c r="AE39" s="16" t="str">
        <f t="shared" si="4"/>
        <v/>
      </c>
    </row>
    <row r="40">
      <c r="A40" s="16" t="s">
        <v>43</v>
      </c>
      <c r="B40" s="16" t="s">
        <v>4601</v>
      </c>
      <c r="C40" s="16" t="s">
        <v>4601</v>
      </c>
      <c r="D40" s="16">
        <v>3.0</v>
      </c>
      <c r="E40" s="16">
        <v>0.0</v>
      </c>
      <c r="F40" s="16">
        <v>0.0</v>
      </c>
      <c r="G40" s="16">
        <v>0.0</v>
      </c>
      <c r="H40" s="16">
        <v>0.0</v>
      </c>
      <c r="I40" s="16">
        <v>0.0</v>
      </c>
      <c r="J40" s="16">
        <v>0.0</v>
      </c>
      <c r="K40" s="16">
        <v>0.103</v>
      </c>
      <c r="L40" s="16">
        <v>1.0</v>
      </c>
      <c r="M40" s="16" t="s">
        <v>181</v>
      </c>
      <c r="N40" s="16">
        <v>1771.0</v>
      </c>
      <c r="O40" s="16" t="s">
        <v>4601</v>
      </c>
      <c r="P40" s="16">
        <f t="shared" si="1"/>
        <v>1</v>
      </c>
      <c r="Q40" s="16">
        <f t="shared" si="2"/>
        <v>3</v>
      </c>
      <c r="R40" s="16" t="str">
        <f t="shared" si="3"/>
        <v/>
      </c>
      <c r="S40" s="16">
        <v>1544.0</v>
      </c>
      <c r="T40" s="16">
        <v>10.0</v>
      </c>
      <c r="U40" s="16">
        <v>10.0</v>
      </c>
      <c r="V40" s="16">
        <v>3.0</v>
      </c>
      <c r="W40" s="16" t="s">
        <v>4647</v>
      </c>
      <c r="X40" s="16" t="s">
        <v>4691</v>
      </c>
      <c r="Y40" s="16" t="s">
        <v>126</v>
      </c>
      <c r="Z40" s="16">
        <v>1.0</v>
      </c>
      <c r="AA40" s="16">
        <v>5.0</v>
      </c>
      <c r="AB40" s="16" t="s">
        <v>266</v>
      </c>
      <c r="AC40" s="16" t="s">
        <v>191</v>
      </c>
      <c r="AD40" s="17" t="s">
        <v>4694</v>
      </c>
      <c r="AE40" s="16" t="str">
        <f t="shared" si="4"/>
        <v/>
      </c>
    </row>
    <row r="41">
      <c r="A41" s="16" t="s">
        <v>43</v>
      </c>
      <c r="B41" s="16" t="s">
        <v>4601</v>
      </c>
      <c r="C41" s="16" t="s">
        <v>4601</v>
      </c>
      <c r="D41" s="16">
        <v>2.0</v>
      </c>
      <c r="E41" s="16">
        <v>1.0</v>
      </c>
      <c r="F41" s="16">
        <v>0.0</v>
      </c>
      <c r="G41" s="16">
        <v>0.0</v>
      </c>
      <c r="H41" s="16">
        <v>0.0</v>
      </c>
      <c r="I41" s="16">
        <v>0.0</v>
      </c>
      <c r="J41" s="16">
        <v>0.0</v>
      </c>
      <c r="K41" s="16">
        <v>0.116</v>
      </c>
      <c r="L41" s="16">
        <v>0.625</v>
      </c>
      <c r="M41" s="16" t="s">
        <v>181</v>
      </c>
      <c r="N41" s="16">
        <v>1826.0</v>
      </c>
      <c r="O41" s="16" t="s">
        <v>4601</v>
      </c>
      <c r="P41" s="16" t="str">
        <f t="shared" si="1"/>
        <v/>
      </c>
      <c r="Q41" s="16" t="str">
        <f t="shared" si="2"/>
        <v/>
      </c>
      <c r="R41" s="16" t="str">
        <f t="shared" si="3"/>
        <v/>
      </c>
      <c r="S41" s="16">
        <v>1545.0</v>
      </c>
      <c r="T41" s="16">
        <v>10.0</v>
      </c>
      <c r="U41" s="16">
        <v>10.0</v>
      </c>
      <c r="V41" s="16">
        <v>4.0</v>
      </c>
      <c r="W41" s="16" t="s">
        <v>4647</v>
      </c>
      <c r="X41" s="16" t="s">
        <v>4691</v>
      </c>
      <c r="Y41" s="16" t="s">
        <v>126</v>
      </c>
      <c r="Z41" s="16">
        <v>6.0</v>
      </c>
      <c r="AA41" s="16">
        <v>3.0</v>
      </c>
      <c r="AB41" s="16" t="s">
        <v>266</v>
      </c>
      <c r="AC41" s="16" t="s">
        <v>191</v>
      </c>
      <c r="AD41" s="17" t="s">
        <v>4695</v>
      </c>
      <c r="AE41" s="16">
        <f t="shared" si="4"/>
        <v>1</v>
      </c>
    </row>
    <row r="42">
      <c r="A42" s="16" t="s">
        <v>43</v>
      </c>
      <c r="B42" s="16" t="s">
        <v>4601</v>
      </c>
      <c r="C42" s="16" t="s">
        <v>4601</v>
      </c>
      <c r="D42" s="16">
        <v>1.0</v>
      </c>
      <c r="E42" s="16">
        <v>0.0</v>
      </c>
      <c r="F42" s="16">
        <v>0.0</v>
      </c>
      <c r="G42" s="16">
        <v>0.0</v>
      </c>
      <c r="H42" s="16">
        <v>0.0</v>
      </c>
      <c r="I42" s="16">
        <v>0.0</v>
      </c>
      <c r="J42" s="16">
        <v>0.0</v>
      </c>
      <c r="K42" s="16">
        <v>0.16</v>
      </c>
      <c r="L42" s="16">
        <v>1.0</v>
      </c>
      <c r="M42" s="16" t="s">
        <v>181</v>
      </c>
      <c r="N42" s="16">
        <v>1827.0</v>
      </c>
      <c r="O42" s="16" t="s">
        <v>4601</v>
      </c>
      <c r="P42" s="16">
        <f t="shared" si="1"/>
        <v>1</v>
      </c>
      <c r="Q42" s="16">
        <f t="shared" si="2"/>
        <v>1</v>
      </c>
      <c r="R42" s="16" t="str">
        <f t="shared" si="3"/>
        <v/>
      </c>
      <c r="S42" s="16">
        <v>1598.0</v>
      </c>
      <c r="T42" s="16">
        <v>10.0</v>
      </c>
      <c r="U42" s="16">
        <v>11.0</v>
      </c>
      <c r="V42" s="16">
        <v>1.0</v>
      </c>
      <c r="W42" s="16" t="s">
        <v>4647</v>
      </c>
      <c r="X42" s="16" t="s">
        <v>200</v>
      </c>
      <c r="Y42" s="16" t="s">
        <v>126</v>
      </c>
      <c r="Z42" s="16">
        <v>4.0</v>
      </c>
      <c r="AA42" s="16">
        <v>3.0</v>
      </c>
      <c r="AB42" s="16" t="s">
        <v>205</v>
      </c>
      <c r="AC42" s="16" t="s">
        <v>191</v>
      </c>
      <c r="AD42" s="17" t="s">
        <v>4696</v>
      </c>
      <c r="AE42" s="16">
        <f t="shared" si="4"/>
        <v>1</v>
      </c>
    </row>
    <row r="43">
      <c r="A43" s="16" t="s">
        <v>43</v>
      </c>
      <c r="B43" s="16" t="s">
        <v>4601</v>
      </c>
      <c r="C43" s="16" t="s">
        <v>4601</v>
      </c>
      <c r="D43" s="16">
        <v>1.0</v>
      </c>
      <c r="E43" s="16">
        <v>0.0</v>
      </c>
      <c r="F43" s="16">
        <v>0.0</v>
      </c>
      <c r="G43" s="16">
        <v>0.0</v>
      </c>
      <c r="H43" s="16">
        <v>0.0</v>
      </c>
      <c r="I43" s="16">
        <v>0.0</v>
      </c>
      <c r="J43" s="16">
        <v>0.0</v>
      </c>
      <c r="K43" s="16">
        <v>0.0</v>
      </c>
      <c r="L43" s="16">
        <v>1.0</v>
      </c>
      <c r="M43" s="16" t="s">
        <v>181</v>
      </c>
      <c r="N43" s="16">
        <v>1829.0</v>
      </c>
      <c r="O43" s="16" t="s">
        <v>4601</v>
      </c>
      <c r="P43" s="16">
        <f t="shared" si="1"/>
        <v>1</v>
      </c>
      <c r="Q43" s="16">
        <f t="shared" si="2"/>
        <v>1</v>
      </c>
      <c r="R43" s="16" t="str">
        <f t="shared" si="3"/>
        <v/>
      </c>
      <c r="S43" s="16">
        <v>1599.0</v>
      </c>
      <c r="T43" s="16">
        <v>10.0</v>
      </c>
      <c r="U43" s="16">
        <v>11.0</v>
      </c>
      <c r="V43" s="16">
        <v>2.0</v>
      </c>
      <c r="W43" s="16" t="s">
        <v>4647</v>
      </c>
      <c r="X43" s="16" t="s">
        <v>200</v>
      </c>
      <c r="Y43" s="16" t="s">
        <v>126</v>
      </c>
      <c r="Z43" s="16">
        <v>1.0</v>
      </c>
      <c r="AA43" s="16">
        <v>10.0</v>
      </c>
      <c r="AB43" s="16" t="s">
        <v>205</v>
      </c>
      <c r="AC43" s="16" t="s">
        <v>191</v>
      </c>
      <c r="AD43" s="17" t="s">
        <v>4697</v>
      </c>
      <c r="AE43" s="16">
        <f t="shared" ref="AE43:AE85" si="5">if(AA43&gt;Z43,1,)</f>
        <v>1</v>
      </c>
    </row>
    <row r="44">
      <c r="A44" s="16" t="s">
        <v>43</v>
      </c>
      <c r="B44" s="16" t="s">
        <v>4601</v>
      </c>
      <c r="C44" s="16" t="s">
        <v>4601</v>
      </c>
      <c r="D44" s="16">
        <v>3.0</v>
      </c>
      <c r="E44" s="16">
        <v>0.0</v>
      </c>
      <c r="F44" s="16">
        <v>0.0</v>
      </c>
      <c r="G44" s="16">
        <v>0.0</v>
      </c>
      <c r="H44" s="16">
        <v>0.0</v>
      </c>
      <c r="I44" s="16">
        <v>0.0</v>
      </c>
      <c r="J44" s="16">
        <v>0.0</v>
      </c>
      <c r="K44" s="16">
        <v>0.054</v>
      </c>
      <c r="L44" s="16">
        <v>1.0</v>
      </c>
      <c r="M44" s="16" t="s">
        <v>181</v>
      </c>
      <c r="N44" s="16">
        <v>1836.0</v>
      </c>
      <c r="O44" s="16" t="s">
        <v>4601</v>
      </c>
      <c r="P44" s="16">
        <f t="shared" si="1"/>
        <v>1</v>
      </c>
      <c r="Q44" s="16">
        <f t="shared" si="2"/>
        <v>3</v>
      </c>
      <c r="R44" s="16">
        <f t="shared" si="3"/>
        <v>1</v>
      </c>
      <c r="S44" s="16">
        <v>1600.0</v>
      </c>
      <c r="T44" s="16">
        <v>10.0</v>
      </c>
      <c r="U44" s="16">
        <v>11.0</v>
      </c>
      <c r="V44" s="16">
        <v>3.0</v>
      </c>
      <c r="W44" s="16" t="s">
        <v>4647</v>
      </c>
      <c r="X44" s="16" t="s">
        <v>126</v>
      </c>
      <c r="Y44" s="16" t="s">
        <v>200</v>
      </c>
      <c r="Z44" s="16">
        <v>4.0</v>
      </c>
      <c r="AA44" s="16">
        <v>2.0</v>
      </c>
      <c r="AB44" s="16" t="s">
        <v>191</v>
      </c>
      <c r="AC44" s="16" t="s">
        <v>205</v>
      </c>
      <c r="AD44" s="17" t="s">
        <v>4698</v>
      </c>
      <c r="AE44" s="16" t="str">
        <f t="shared" si="5"/>
        <v/>
      </c>
    </row>
    <row r="45">
      <c r="A45" s="16" t="s">
        <v>43</v>
      </c>
      <c r="B45" s="16" t="s">
        <v>4601</v>
      </c>
      <c r="C45" s="16" t="s">
        <v>4601</v>
      </c>
      <c r="D45" s="16">
        <v>1.0</v>
      </c>
      <c r="E45" s="16">
        <v>0.0</v>
      </c>
      <c r="F45" s="16">
        <v>0.0</v>
      </c>
      <c r="G45" s="16">
        <v>0.0</v>
      </c>
      <c r="H45" s="16">
        <v>0.0</v>
      </c>
      <c r="I45" s="16">
        <v>0.0</v>
      </c>
      <c r="J45" s="16">
        <v>0.0</v>
      </c>
      <c r="K45" s="16">
        <v>0.076</v>
      </c>
      <c r="L45" s="16">
        <v>1.0</v>
      </c>
      <c r="M45" s="16" t="s">
        <v>181</v>
      </c>
      <c r="N45" s="16">
        <v>1837.0</v>
      </c>
      <c r="O45" s="16" t="s">
        <v>4601</v>
      </c>
      <c r="P45" s="16">
        <f t="shared" si="1"/>
        <v>1</v>
      </c>
      <c r="Q45" s="16">
        <f t="shared" si="2"/>
        <v>1</v>
      </c>
      <c r="R45" s="16">
        <f t="shared" si="3"/>
        <v>1</v>
      </c>
      <c r="S45" s="16">
        <v>1601.0</v>
      </c>
      <c r="T45" s="16">
        <v>10.0</v>
      </c>
      <c r="U45" s="16">
        <v>11.0</v>
      </c>
      <c r="V45" s="16">
        <v>4.0</v>
      </c>
      <c r="W45" s="16" t="s">
        <v>4647</v>
      </c>
      <c r="X45" s="16" t="s">
        <v>126</v>
      </c>
      <c r="Y45" s="16" t="s">
        <v>200</v>
      </c>
      <c r="Z45" s="16">
        <v>8.0</v>
      </c>
      <c r="AA45" s="16">
        <v>3.0</v>
      </c>
      <c r="AB45" s="16" t="s">
        <v>191</v>
      </c>
      <c r="AC45" s="16" t="s">
        <v>205</v>
      </c>
      <c r="AD45" s="17" t="s">
        <v>4699</v>
      </c>
      <c r="AE45" s="16" t="str">
        <f t="shared" si="5"/>
        <v/>
      </c>
    </row>
    <row r="46">
      <c r="A46" s="16" t="s">
        <v>43</v>
      </c>
      <c r="B46" s="16" t="s">
        <v>4601</v>
      </c>
      <c r="C46" s="16" t="s">
        <v>4601</v>
      </c>
      <c r="D46" s="16">
        <v>1.0</v>
      </c>
      <c r="E46" s="16">
        <v>0.0</v>
      </c>
      <c r="F46" s="16">
        <v>0.0</v>
      </c>
      <c r="G46" s="16">
        <v>0.0</v>
      </c>
      <c r="H46" s="16">
        <v>0.0</v>
      </c>
      <c r="I46" s="16">
        <v>0.0</v>
      </c>
      <c r="J46" s="16">
        <v>0.0</v>
      </c>
      <c r="K46" s="16">
        <v>0.038</v>
      </c>
      <c r="L46" s="16">
        <v>1.0</v>
      </c>
      <c r="M46" s="16" t="s">
        <v>181</v>
      </c>
      <c r="N46" s="16">
        <v>1838.0</v>
      </c>
      <c r="O46" s="16" t="s">
        <v>4601</v>
      </c>
      <c r="P46" s="16">
        <f t="shared" si="1"/>
        <v>1</v>
      </c>
      <c r="Q46" s="16">
        <f t="shared" si="2"/>
        <v>1</v>
      </c>
      <c r="R46" s="16" t="str">
        <f t="shared" si="3"/>
        <v/>
      </c>
      <c r="S46" s="16">
        <v>1610.0</v>
      </c>
      <c r="T46" s="16">
        <v>10.0</v>
      </c>
      <c r="U46" s="16">
        <v>12.0</v>
      </c>
      <c r="V46" s="16">
        <v>1.0</v>
      </c>
      <c r="W46" s="16" t="s">
        <v>4647</v>
      </c>
      <c r="X46" s="16" t="s">
        <v>126</v>
      </c>
      <c r="Y46" s="16" t="s">
        <v>292</v>
      </c>
      <c r="Z46" s="16">
        <v>8.0</v>
      </c>
      <c r="AA46" s="16">
        <v>4.0</v>
      </c>
      <c r="AB46" s="16" t="s">
        <v>191</v>
      </c>
      <c r="AC46" s="16" t="s">
        <v>297</v>
      </c>
      <c r="AD46" s="17" t="s">
        <v>4700</v>
      </c>
      <c r="AE46" s="16" t="str">
        <f t="shared" si="5"/>
        <v/>
      </c>
    </row>
    <row r="47">
      <c r="A47" s="16" t="s">
        <v>43</v>
      </c>
      <c r="B47" s="16" t="s">
        <v>4601</v>
      </c>
      <c r="C47" s="16" t="s">
        <v>4601</v>
      </c>
      <c r="D47" s="16">
        <v>1.0</v>
      </c>
      <c r="E47" s="16">
        <v>0.0</v>
      </c>
      <c r="F47" s="16">
        <v>0.0</v>
      </c>
      <c r="G47" s="16">
        <v>0.0</v>
      </c>
      <c r="H47" s="16">
        <v>0.0</v>
      </c>
      <c r="I47" s="16">
        <v>0.0</v>
      </c>
      <c r="J47" s="16">
        <v>0.0</v>
      </c>
      <c r="K47" s="16">
        <v>0.075</v>
      </c>
      <c r="L47" s="16">
        <v>1.0</v>
      </c>
      <c r="M47" s="16" t="s">
        <v>181</v>
      </c>
      <c r="N47" s="16">
        <v>1857.0</v>
      </c>
      <c r="O47" s="16" t="s">
        <v>4601</v>
      </c>
      <c r="P47" s="16">
        <f t="shared" si="1"/>
        <v>1</v>
      </c>
      <c r="Q47" s="16">
        <f t="shared" si="2"/>
        <v>1</v>
      </c>
      <c r="R47" s="16">
        <f t="shared" si="3"/>
        <v>1</v>
      </c>
      <c r="S47" s="16">
        <v>1611.0</v>
      </c>
      <c r="T47" s="16">
        <v>10.0</v>
      </c>
      <c r="U47" s="16">
        <v>12.0</v>
      </c>
      <c r="V47" s="16">
        <v>2.0</v>
      </c>
      <c r="W47" s="16" t="s">
        <v>4647</v>
      </c>
      <c r="X47" s="16" t="s">
        <v>126</v>
      </c>
      <c r="Y47" s="16" t="s">
        <v>292</v>
      </c>
      <c r="Z47" s="16">
        <v>3.0</v>
      </c>
      <c r="AA47" s="16">
        <v>7.0</v>
      </c>
      <c r="AB47" s="16" t="s">
        <v>191</v>
      </c>
      <c r="AC47" s="16" t="s">
        <v>297</v>
      </c>
      <c r="AD47" s="17" t="s">
        <v>4701</v>
      </c>
      <c r="AE47" s="16">
        <f t="shared" si="5"/>
        <v>1</v>
      </c>
    </row>
    <row r="48">
      <c r="A48" s="16" t="s">
        <v>43</v>
      </c>
      <c r="B48" s="16" t="s">
        <v>4601</v>
      </c>
      <c r="C48" s="16" t="s">
        <v>4601</v>
      </c>
      <c r="D48" s="16">
        <v>3.0</v>
      </c>
      <c r="E48" s="16">
        <v>2.0</v>
      </c>
      <c r="F48" s="16">
        <v>0.0</v>
      </c>
      <c r="G48" s="16">
        <v>0.0</v>
      </c>
      <c r="H48" s="16">
        <v>0.0</v>
      </c>
      <c r="I48" s="16">
        <v>0.0</v>
      </c>
      <c r="J48" s="16">
        <v>0.0</v>
      </c>
      <c r="K48" s="16">
        <v>-0.017</v>
      </c>
      <c r="L48" s="16">
        <v>0.5</v>
      </c>
      <c r="M48" s="16" t="s">
        <v>181</v>
      </c>
      <c r="N48" s="16">
        <v>1861.0</v>
      </c>
      <c r="O48" s="16" t="s">
        <v>4601</v>
      </c>
      <c r="S48" s="16">
        <v>1612.0</v>
      </c>
      <c r="T48" s="16">
        <v>10.0</v>
      </c>
      <c r="U48" s="16">
        <v>12.0</v>
      </c>
      <c r="V48" s="16">
        <v>3.0</v>
      </c>
      <c r="W48" s="16" t="s">
        <v>4647</v>
      </c>
      <c r="X48" s="16" t="s">
        <v>292</v>
      </c>
      <c r="Y48" s="16" t="s">
        <v>126</v>
      </c>
      <c r="Z48" s="16">
        <v>6.0</v>
      </c>
      <c r="AA48" s="16">
        <v>7.0</v>
      </c>
      <c r="AB48" s="16" t="s">
        <v>297</v>
      </c>
      <c r="AC48" s="16" t="s">
        <v>191</v>
      </c>
      <c r="AD48" s="17" t="s">
        <v>4702</v>
      </c>
      <c r="AE48" s="16">
        <f t="shared" si="5"/>
        <v>1</v>
      </c>
    </row>
    <row r="49">
      <c r="A49" s="16" t="s">
        <v>43</v>
      </c>
      <c r="B49" s="16" t="s">
        <v>4601</v>
      </c>
      <c r="C49" s="16" t="s">
        <v>4601</v>
      </c>
      <c r="D49" s="16">
        <v>2.0</v>
      </c>
      <c r="E49" s="16">
        <v>0.0</v>
      </c>
      <c r="F49" s="16">
        <v>0.0</v>
      </c>
      <c r="G49" s="16">
        <v>0.0</v>
      </c>
      <c r="H49" s="16">
        <v>0.0</v>
      </c>
      <c r="I49" s="16">
        <v>0.0</v>
      </c>
      <c r="J49" s="16">
        <v>0.0</v>
      </c>
      <c r="K49" s="16">
        <v>0.015000001</v>
      </c>
      <c r="L49" s="16">
        <v>1.0</v>
      </c>
      <c r="M49" s="16" t="s">
        <v>181</v>
      </c>
      <c r="N49" s="16">
        <v>1864.0</v>
      </c>
      <c r="O49" s="16" t="s">
        <v>4601</v>
      </c>
      <c r="S49" s="16">
        <v>1613.0</v>
      </c>
      <c r="T49" s="16">
        <v>10.0</v>
      </c>
      <c r="U49" s="16">
        <v>12.0</v>
      </c>
      <c r="V49" s="16">
        <v>4.0</v>
      </c>
      <c r="W49" s="16" t="s">
        <v>4647</v>
      </c>
      <c r="X49" s="16" t="s">
        <v>292</v>
      </c>
      <c r="Y49" s="16" t="s">
        <v>126</v>
      </c>
      <c r="Z49" s="16">
        <v>3.0</v>
      </c>
      <c r="AA49" s="16">
        <v>4.0</v>
      </c>
      <c r="AB49" s="16" t="s">
        <v>297</v>
      </c>
      <c r="AC49" s="16" t="s">
        <v>191</v>
      </c>
      <c r="AD49" s="17" t="s">
        <v>4703</v>
      </c>
      <c r="AE49" s="16">
        <f t="shared" si="5"/>
        <v>1</v>
      </c>
    </row>
    <row r="50">
      <c r="A50" s="16" t="s">
        <v>43</v>
      </c>
      <c r="B50" s="16" t="s">
        <v>4601</v>
      </c>
      <c r="C50" s="16" t="s">
        <v>4601</v>
      </c>
      <c r="D50" s="16">
        <v>1.0</v>
      </c>
      <c r="E50" s="16">
        <v>0.0</v>
      </c>
      <c r="F50" s="16">
        <v>0.0</v>
      </c>
      <c r="G50" s="16">
        <v>0.0</v>
      </c>
      <c r="H50" s="16">
        <v>0.0</v>
      </c>
      <c r="I50" s="16">
        <v>0.0</v>
      </c>
      <c r="J50" s="16">
        <v>0.0</v>
      </c>
      <c r="K50" s="16">
        <v>0.0</v>
      </c>
      <c r="L50" s="16">
        <v>1.0</v>
      </c>
      <c r="M50" s="16" t="s">
        <v>181</v>
      </c>
      <c r="N50" s="16">
        <v>1865.0</v>
      </c>
      <c r="O50" s="16" t="s">
        <v>4601</v>
      </c>
      <c r="S50" s="16">
        <v>1638.0</v>
      </c>
      <c r="T50" s="16">
        <v>10.0</v>
      </c>
      <c r="U50" s="16">
        <v>13.0</v>
      </c>
      <c r="V50" s="16">
        <v>1.0</v>
      </c>
      <c r="W50" s="16" t="s">
        <v>4647</v>
      </c>
      <c r="X50" s="16" t="s">
        <v>361</v>
      </c>
      <c r="Y50" s="16" t="s">
        <v>126</v>
      </c>
      <c r="Z50" s="16">
        <v>6.0</v>
      </c>
      <c r="AA50" s="16">
        <v>10.0</v>
      </c>
      <c r="AB50" s="16" t="s">
        <v>365</v>
      </c>
      <c r="AC50" s="16" t="s">
        <v>191</v>
      </c>
      <c r="AD50" s="17" t="s">
        <v>4704</v>
      </c>
      <c r="AE50" s="16">
        <f t="shared" si="5"/>
        <v>1</v>
      </c>
    </row>
    <row r="51">
      <c r="A51" s="16" t="s">
        <v>43</v>
      </c>
      <c r="B51" s="16" t="s">
        <v>4601</v>
      </c>
      <c r="C51" s="16" t="s">
        <v>4601</v>
      </c>
      <c r="D51" s="16">
        <v>2.0</v>
      </c>
      <c r="E51" s="16">
        <v>0.0</v>
      </c>
      <c r="F51" s="16">
        <v>1.0</v>
      </c>
      <c r="G51" s="16">
        <v>0.0</v>
      </c>
      <c r="H51" s="16">
        <v>0.0</v>
      </c>
      <c r="I51" s="16">
        <v>0.0</v>
      </c>
      <c r="J51" s="16">
        <v>0.0</v>
      </c>
      <c r="K51" s="16">
        <v>0.049</v>
      </c>
      <c r="L51" s="16">
        <v>0.75</v>
      </c>
      <c r="M51" s="16" t="s">
        <v>181</v>
      </c>
      <c r="N51" s="16">
        <v>1867.0</v>
      </c>
      <c r="O51" s="16" t="s">
        <v>4601</v>
      </c>
      <c r="S51" s="16">
        <v>1639.0</v>
      </c>
      <c r="T51" s="16">
        <v>10.0</v>
      </c>
      <c r="U51" s="16">
        <v>13.0</v>
      </c>
      <c r="V51" s="16">
        <v>2.0</v>
      </c>
      <c r="W51" s="16" t="s">
        <v>4647</v>
      </c>
      <c r="X51" s="16" t="s">
        <v>361</v>
      </c>
      <c r="Y51" s="16" t="s">
        <v>126</v>
      </c>
      <c r="Z51" s="16">
        <v>4.0</v>
      </c>
      <c r="AA51" s="16">
        <v>6.0</v>
      </c>
      <c r="AB51" s="16" t="s">
        <v>365</v>
      </c>
      <c r="AC51" s="16" t="s">
        <v>191</v>
      </c>
      <c r="AD51" s="17" t="s">
        <v>4705</v>
      </c>
      <c r="AE51" s="16">
        <f t="shared" si="5"/>
        <v>1</v>
      </c>
    </row>
    <row r="52">
      <c r="A52" s="16" t="s">
        <v>43</v>
      </c>
      <c r="B52" s="16" t="s">
        <v>4601</v>
      </c>
      <c r="C52" s="16" t="s">
        <v>4601</v>
      </c>
      <c r="D52" s="16">
        <v>3.0</v>
      </c>
      <c r="E52" s="16">
        <v>1.0</v>
      </c>
      <c r="F52" s="16">
        <v>0.0</v>
      </c>
      <c r="G52" s="16">
        <v>0.0</v>
      </c>
      <c r="H52" s="16">
        <v>0.0</v>
      </c>
      <c r="I52" s="16">
        <v>0.0</v>
      </c>
      <c r="J52" s="16">
        <v>0.0</v>
      </c>
      <c r="K52" s="16">
        <v>-0.06</v>
      </c>
      <c r="L52" s="16">
        <v>0.75</v>
      </c>
      <c r="M52" s="16" t="s">
        <v>181</v>
      </c>
      <c r="N52" s="16">
        <v>1868.0</v>
      </c>
      <c r="O52" s="16" t="s">
        <v>4601</v>
      </c>
      <c r="S52" s="16">
        <v>1640.0</v>
      </c>
      <c r="T52" s="16">
        <v>10.0</v>
      </c>
      <c r="U52" s="16">
        <v>13.0</v>
      </c>
      <c r="V52" s="16">
        <v>3.0</v>
      </c>
      <c r="W52" s="16" t="s">
        <v>4647</v>
      </c>
      <c r="X52" s="16" t="s">
        <v>126</v>
      </c>
      <c r="Y52" s="16" t="s">
        <v>361</v>
      </c>
      <c r="Z52" s="16">
        <v>3.0</v>
      </c>
      <c r="AA52" s="16">
        <v>11.0</v>
      </c>
      <c r="AB52" s="16" t="s">
        <v>191</v>
      </c>
      <c r="AC52" s="16" t="s">
        <v>365</v>
      </c>
      <c r="AD52" s="17" t="s">
        <v>4706</v>
      </c>
      <c r="AE52" s="16">
        <f t="shared" si="5"/>
        <v>1</v>
      </c>
    </row>
    <row r="53">
      <c r="A53" s="16" t="s">
        <v>43</v>
      </c>
      <c r="B53" s="16" t="s">
        <v>4601</v>
      </c>
      <c r="C53" s="16" t="s">
        <v>4601</v>
      </c>
      <c r="D53" s="16">
        <v>2.0</v>
      </c>
      <c r="E53" s="16">
        <v>0.0</v>
      </c>
      <c r="F53" s="16">
        <v>0.0</v>
      </c>
      <c r="G53" s="16">
        <v>0.0</v>
      </c>
      <c r="H53" s="16">
        <v>0.0</v>
      </c>
      <c r="I53" s="16">
        <v>0.0</v>
      </c>
      <c r="J53" s="16">
        <v>0.0</v>
      </c>
      <c r="K53" s="16">
        <v>0.0</v>
      </c>
      <c r="L53" s="16">
        <v>1.0</v>
      </c>
      <c r="M53" s="16" t="s">
        <v>181</v>
      </c>
      <c r="N53" s="16">
        <v>1869.0</v>
      </c>
      <c r="O53" s="16" t="s">
        <v>4601</v>
      </c>
      <c r="S53" s="16">
        <v>1641.0</v>
      </c>
      <c r="T53" s="16">
        <v>10.0</v>
      </c>
      <c r="U53" s="16">
        <v>13.0</v>
      </c>
      <c r="V53" s="16">
        <v>4.0</v>
      </c>
      <c r="W53" s="16" t="s">
        <v>4647</v>
      </c>
      <c r="X53" s="16" t="s">
        <v>126</v>
      </c>
      <c r="Y53" s="16" t="s">
        <v>361</v>
      </c>
      <c r="Z53" s="16">
        <v>4.0</v>
      </c>
      <c r="AA53" s="16">
        <v>2.0</v>
      </c>
      <c r="AB53" s="16" t="s">
        <v>191</v>
      </c>
      <c r="AC53" s="16" t="s">
        <v>365</v>
      </c>
      <c r="AD53" s="17" t="s">
        <v>4707</v>
      </c>
      <c r="AE53" s="16" t="str">
        <f t="shared" si="5"/>
        <v/>
      </c>
    </row>
    <row r="54">
      <c r="A54" s="16" t="s">
        <v>43</v>
      </c>
      <c r="B54" s="16" t="s">
        <v>4601</v>
      </c>
      <c r="C54" s="16" t="s">
        <v>4601</v>
      </c>
      <c r="D54" s="16">
        <v>1.0</v>
      </c>
      <c r="E54" s="16">
        <v>1.0</v>
      </c>
      <c r="F54" s="16">
        <v>0.0</v>
      </c>
      <c r="G54" s="16">
        <v>0.0</v>
      </c>
      <c r="H54" s="16">
        <v>0.0</v>
      </c>
      <c r="I54" s="16">
        <v>0.0</v>
      </c>
      <c r="J54" s="16">
        <v>0.0</v>
      </c>
      <c r="K54" s="16">
        <v>-0.032</v>
      </c>
      <c r="L54" s="16">
        <v>0.25</v>
      </c>
      <c r="M54" s="16" t="s">
        <v>181</v>
      </c>
      <c r="N54" s="16">
        <v>1870.0</v>
      </c>
      <c r="O54" s="16" t="s">
        <v>4601</v>
      </c>
      <c r="S54" s="16">
        <v>1694.0</v>
      </c>
      <c r="T54" s="16">
        <v>10.0</v>
      </c>
      <c r="U54" s="16">
        <v>14.0</v>
      </c>
      <c r="V54" s="16">
        <v>1.0</v>
      </c>
      <c r="W54" s="16" t="s">
        <v>4647</v>
      </c>
      <c r="X54" s="16" t="s">
        <v>126</v>
      </c>
      <c r="Y54" s="16" t="s">
        <v>289</v>
      </c>
      <c r="Z54" s="16">
        <v>4.0</v>
      </c>
      <c r="AA54" s="16">
        <v>2.0</v>
      </c>
      <c r="AB54" s="16" t="s">
        <v>191</v>
      </c>
      <c r="AC54" s="16" t="s">
        <v>379</v>
      </c>
      <c r="AD54" s="17" t="s">
        <v>4708</v>
      </c>
      <c r="AE54" s="16" t="str">
        <f t="shared" si="5"/>
        <v/>
      </c>
    </row>
    <row r="55">
      <c r="S55" s="16">
        <v>1695.0</v>
      </c>
      <c r="T55" s="16">
        <v>10.0</v>
      </c>
      <c r="U55" s="16">
        <v>14.0</v>
      </c>
      <c r="V55" s="16">
        <v>2.0</v>
      </c>
      <c r="W55" s="16" t="s">
        <v>4647</v>
      </c>
      <c r="X55" s="16" t="s">
        <v>126</v>
      </c>
      <c r="Y55" s="16" t="s">
        <v>289</v>
      </c>
      <c r="Z55" s="16">
        <v>2.0</v>
      </c>
      <c r="AA55" s="16">
        <v>1.0</v>
      </c>
      <c r="AB55" s="16" t="s">
        <v>191</v>
      </c>
      <c r="AC55" s="16" t="s">
        <v>379</v>
      </c>
      <c r="AD55" s="17" t="s">
        <v>4709</v>
      </c>
      <c r="AE55" s="16" t="str">
        <f t="shared" si="5"/>
        <v/>
      </c>
    </row>
    <row r="56">
      <c r="S56" s="16">
        <v>1696.0</v>
      </c>
      <c r="T56" s="16">
        <v>10.0</v>
      </c>
      <c r="U56" s="16">
        <v>14.0</v>
      </c>
      <c r="V56" s="16">
        <v>3.0</v>
      </c>
      <c r="W56" s="16" t="s">
        <v>4647</v>
      </c>
      <c r="X56" s="16" t="s">
        <v>126</v>
      </c>
      <c r="Y56" s="16" t="s">
        <v>289</v>
      </c>
      <c r="Z56" s="16">
        <v>3.0</v>
      </c>
      <c r="AA56" s="16">
        <v>5.0</v>
      </c>
      <c r="AB56" s="16" t="s">
        <v>191</v>
      </c>
      <c r="AC56" s="16" t="s">
        <v>378</v>
      </c>
      <c r="AD56" s="17" t="s">
        <v>4710</v>
      </c>
      <c r="AE56" s="16">
        <f t="shared" si="5"/>
        <v>1</v>
      </c>
    </row>
    <row r="57">
      <c r="S57" s="16">
        <v>1697.0</v>
      </c>
      <c r="T57" s="16">
        <v>10.0</v>
      </c>
      <c r="U57" s="16">
        <v>14.0</v>
      </c>
      <c r="V57" s="16">
        <v>4.0</v>
      </c>
      <c r="W57" s="16" t="s">
        <v>4647</v>
      </c>
      <c r="X57" s="16" t="s">
        <v>126</v>
      </c>
      <c r="Y57" s="16" t="s">
        <v>289</v>
      </c>
      <c r="Z57" s="16">
        <v>8.0</v>
      </c>
      <c r="AA57" s="16">
        <v>9.0</v>
      </c>
      <c r="AB57" s="16" t="s">
        <v>191</v>
      </c>
      <c r="AC57" s="16" t="s">
        <v>378</v>
      </c>
      <c r="AD57" s="17" t="s">
        <v>4711</v>
      </c>
      <c r="AE57" s="16">
        <f t="shared" si="5"/>
        <v>1</v>
      </c>
    </row>
    <row r="58">
      <c r="S58" s="16">
        <v>1722.0</v>
      </c>
      <c r="T58" s="16">
        <v>10.0</v>
      </c>
      <c r="U58" s="16">
        <v>15.0</v>
      </c>
      <c r="V58" s="16">
        <v>1.0</v>
      </c>
      <c r="W58" s="16" t="s">
        <v>4647</v>
      </c>
      <c r="X58" s="16" t="s">
        <v>126</v>
      </c>
      <c r="Y58" s="16" t="s">
        <v>306</v>
      </c>
      <c r="Z58" s="16">
        <v>4.0</v>
      </c>
      <c r="AA58" s="16">
        <v>5.0</v>
      </c>
      <c r="AB58" s="16" t="s">
        <v>191</v>
      </c>
      <c r="AC58" s="16" t="s">
        <v>311</v>
      </c>
      <c r="AD58" s="17" t="s">
        <v>4712</v>
      </c>
      <c r="AE58" s="16">
        <f t="shared" si="5"/>
        <v>1</v>
      </c>
    </row>
    <row r="59">
      <c r="S59" s="16">
        <v>1723.0</v>
      </c>
      <c r="T59" s="16">
        <v>10.0</v>
      </c>
      <c r="U59" s="16">
        <v>15.0</v>
      </c>
      <c r="V59" s="16">
        <v>2.0</v>
      </c>
      <c r="W59" s="16" t="s">
        <v>4647</v>
      </c>
      <c r="X59" s="16" t="s">
        <v>126</v>
      </c>
      <c r="Y59" s="16" t="s">
        <v>306</v>
      </c>
      <c r="Z59" s="16">
        <v>1.0</v>
      </c>
      <c r="AA59" s="16">
        <v>4.0</v>
      </c>
      <c r="AB59" s="16" t="s">
        <v>191</v>
      </c>
      <c r="AC59" s="16" t="s">
        <v>311</v>
      </c>
      <c r="AD59" s="17" t="s">
        <v>4713</v>
      </c>
      <c r="AE59" s="16">
        <f t="shared" si="5"/>
        <v>1</v>
      </c>
    </row>
    <row r="60">
      <c r="S60" s="16">
        <v>1724.0</v>
      </c>
      <c r="T60" s="16">
        <v>10.0</v>
      </c>
      <c r="U60" s="16">
        <v>15.0</v>
      </c>
      <c r="V60" s="16">
        <v>3.0</v>
      </c>
      <c r="W60" s="16" t="s">
        <v>4647</v>
      </c>
      <c r="X60" s="16" t="s">
        <v>306</v>
      </c>
      <c r="Y60" s="16" t="s">
        <v>126</v>
      </c>
      <c r="Z60" s="16">
        <v>5.0</v>
      </c>
      <c r="AA60" s="16">
        <v>3.0</v>
      </c>
      <c r="AB60" s="16" t="s">
        <v>310</v>
      </c>
      <c r="AC60" s="16" t="s">
        <v>191</v>
      </c>
      <c r="AD60" s="17" t="s">
        <v>4714</v>
      </c>
      <c r="AE60" s="16" t="str">
        <f t="shared" si="5"/>
        <v/>
      </c>
    </row>
    <row r="61">
      <c r="S61" s="16">
        <v>1725.0</v>
      </c>
      <c r="T61" s="16">
        <v>10.0</v>
      </c>
      <c r="U61" s="16">
        <v>15.0</v>
      </c>
      <c r="V61" s="16">
        <v>4.0</v>
      </c>
      <c r="W61" s="16" t="s">
        <v>4647</v>
      </c>
      <c r="X61" s="16" t="s">
        <v>306</v>
      </c>
      <c r="Y61" s="16" t="s">
        <v>126</v>
      </c>
      <c r="Z61" s="16">
        <v>6.0</v>
      </c>
      <c r="AA61" s="16">
        <v>8.0</v>
      </c>
      <c r="AB61" s="16" t="s">
        <v>310</v>
      </c>
      <c r="AC61" s="16" t="s">
        <v>191</v>
      </c>
      <c r="AD61" s="17" t="s">
        <v>4715</v>
      </c>
      <c r="AE61" s="16">
        <f t="shared" si="5"/>
        <v>1</v>
      </c>
    </row>
    <row r="62">
      <c r="S62" s="16">
        <v>1758.0</v>
      </c>
      <c r="T62" s="16">
        <v>10.0</v>
      </c>
      <c r="U62" s="16">
        <v>16.0</v>
      </c>
      <c r="V62" s="16">
        <v>1.0</v>
      </c>
      <c r="W62" s="16" t="s">
        <v>4647</v>
      </c>
      <c r="X62" s="16" t="s">
        <v>4656</v>
      </c>
      <c r="Y62" s="16" t="s">
        <v>126</v>
      </c>
      <c r="Z62" s="16">
        <v>1.0</v>
      </c>
      <c r="AA62" s="16">
        <v>3.0</v>
      </c>
      <c r="AB62" s="16" t="s">
        <v>4660</v>
      </c>
      <c r="AC62" s="16" t="s">
        <v>191</v>
      </c>
      <c r="AD62" s="17" t="s">
        <v>4716</v>
      </c>
      <c r="AE62" s="16">
        <f t="shared" si="5"/>
        <v>1</v>
      </c>
    </row>
    <row r="63">
      <c r="S63" s="16">
        <v>1759.0</v>
      </c>
      <c r="T63" s="16">
        <v>10.0</v>
      </c>
      <c r="U63" s="16">
        <v>16.0</v>
      </c>
      <c r="V63" s="16">
        <v>2.0</v>
      </c>
      <c r="W63" s="16" t="s">
        <v>4647</v>
      </c>
      <c r="X63" s="16" t="s">
        <v>4656</v>
      </c>
      <c r="Y63" s="16" t="s">
        <v>126</v>
      </c>
      <c r="Z63" s="16">
        <v>8.0</v>
      </c>
      <c r="AA63" s="16">
        <v>5.0</v>
      </c>
      <c r="AB63" s="16" t="s">
        <v>4660</v>
      </c>
      <c r="AC63" s="16" t="s">
        <v>191</v>
      </c>
      <c r="AD63" s="17" t="s">
        <v>4717</v>
      </c>
      <c r="AE63" s="16" t="str">
        <f t="shared" si="5"/>
        <v/>
      </c>
    </row>
    <row r="64">
      <c r="S64" s="16">
        <v>1760.0</v>
      </c>
      <c r="T64" s="16">
        <v>10.0</v>
      </c>
      <c r="U64" s="16">
        <v>16.0</v>
      </c>
      <c r="V64" s="16">
        <v>3.0</v>
      </c>
      <c r="W64" s="16" t="s">
        <v>4647</v>
      </c>
      <c r="X64" s="16" t="s">
        <v>4656</v>
      </c>
      <c r="Y64" s="16" t="s">
        <v>126</v>
      </c>
      <c r="Z64" s="16">
        <v>11.0</v>
      </c>
      <c r="AA64" s="16">
        <v>1.0</v>
      </c>
      <c r="AB64" s="16" t="s">
        <v>4657</v>
      </c>
      <c r="AC64" s="16" t="s">
        <v>191</v>
      </c>
      <c r="AD64" s="17" t="s">
        <v>4718</v>
      </c>
      <c r="AE64" s="16" t="str">
        <f t="shared" si="5"/>
        <v/>
      </c>
    </row>
    <row r="65">
      <c r="S65" s="16">
        <v>1761.0</v>
      </c>
      <c r="T65" s="16">
        <v>10.0</v>
      </c>
      <c r="U65" s="16">
        <v>16.0</v>
      </c>
      <c r="V65" s="16">
        <v>4.0</v>
      </c>
      <c r="W65" s="16" t="s">
        <v>4647</v>
      </c>
      <c r="X65" s="16" t="s">
        <v>4656</v>
      </c>
      <c r="Y65" s="16" t="s">
        <v>126</v>
      </c>
      <c r="Z65" s="16">
        <v>3.0</v>
      </c>
      <c r="AA65" s="16">
        <v>4.0</v>
      </c>
      <c r="AB65" s="16" t="s">
        <v>4657</v>
      </c>
      <c r="AC65" s="16" t="s">
        <v>191</v>
      </c>
      <c r="AD65" s="17" t="s">
        <v>4719</v>
      </c>
      <c r="AE65" s="16">
        <f t="shared" si="5"/>
        <v>1</v>
      </c>
    </row>
    <row r="66">
      <c r="S66" s="16">
        <v>1770.0</v>
      </c>
      <c r="T66" s="16">
        <v>10.0</v>
      </c>
      <c r="U66" s="16">
        <v>17.0</v>
      </c>
      <c r="V66" s="16">
        <v>1.0</v>
      </c>
      <c r="W66" s="16" t="s">
        <v>4647</v>
      </c>
      <c r="X66" s="16" t="s">
        <v>245</v>
      </c>
      <c r="Y66" s="16" t="s">
        <v>126</v>
      </c>
      <c r="Z66" s="16">
        <v>2.0</v>
      </c>
      <c r="AA66" s="16">
        <v>7.0</v>
      </c>
      <c r="AB66" s="16" t="s">
        <v>337</v>
      </c>
      <c r="AC66" s="16" t="s">
        <v>191</v>
      </c>
      <c r="AD66" s="17" t="s">
        <v>4720</v>
      </c>
      <c r="AE66" s="16">
        <f t="shared" si="5"/>
        <v>1</v>
      </c>
    </row>
    <row r="67">
      <c r="S67" s="16">
        <v>1771.0</v>
      </c>
      <c r="T67" s="16">
        <v>10.0</v>
      </c>
      <c r="U67" s="16">
        <v>17.0</v>
      </c>
      <c r="V67" s="16">
        <v>2.0</v>
      </c>
      <c r="W67" s="16" t="s">
        <v>4647</v>
      </c>
      <c r="X67" s="16" t="s">
        <v>245</v>
      </c>
      <c r="Y67" s="16" t="s">
        <v>126</v>
      </c>
      <c r="Z67" s="16">
        <v>12.0</v>
      </c>
      <c r="AA67" s="16">
        <v>4.0</v>
      </c>
      <c r="AB67" s="16" t="s">
        <v>337</v>
      </c>
      <c r="AC67" s="16" t="s">
        <v>191</v>
      </c>
      <c r="AD67" s="17" t="s">
        <v>4721</v>
      </c>
      <c r="AE67" s="16" t="str">
        <f t="shared" si="5"/>
        <v/>
      </c>
    </row>
    <row r="68">
      <c r="S68" s="16">
        <v>1772.0</v>
      </c>
      <c r="T68" s="16">
        <v>10.0</v>
      </c>
      <c r="U68" s="16">
        <v>17.0</v>
      </c>
      <c r="V68" s="16">
        <v>3.0</v>
      </c>
      <c r="W68" s="16" t="s">
        <v>4647</v>
      </c>
      <c r="X68" s="16" t="s">
        <v>126</v>
      </c>
      <c r="Y68" s="16" t="s">
        <v>245</v>
      </c>
      <c r="Z68" s="16">
        <v>4.0</v>
      </c>
      <c r="AA68" s="16">
        <v>0.0</v>
      </c>
      <c r="AB68" s="16" t="s">
        <v>191</v>
      </c>
      <c r="AC68" s="16" t="s">
        <v>4722</v>
      </c>
      <c r="AD68" s="17" t="s">
        <v>4723</v>
      </c>
      <c r="AE68" s="16" t="str">
        <f t="shared" si="5"/>
        <v/>
      </c>
    </row>
    <row r="69">
      <c r="S69" s="16">
        <v>1773.0</v>
      </c>
      <c r="T69" s="16">
        <v>10.0</v>
      </c>
      <c r="U69" s="16">
        <v>17.0</v>
      </c>
      <c r="V69" s="16">
        <v>4.0</v>
      </c>
      <c r="W69" s="16" t="s">
        <v>4647</v>
      </c>
      <c r="X69" s="16" t="s">
        <v>126</v>
      </c>
      <c r="Y69" s="16" t="s">
        <v>245</v>
      </c>
      <c r="Z69" s="16">
        <v>5.0</v>
      </c>
      <c r="AA69" s="16">
        <v>4.0</v>
      </c>
      <c r="AB69" s="16" t="s">
        <v>191</v>
      </c>
      <c r="AC69" s="16" t="s">
        <v>4722</v>
      </c>
      <c r="AD69" s="17" t="s">
        <v>4724</v>
      </c>
      <c r="AE69" s="16" t="str">
        <f t="shared" si="5"/>
        <v/>
      </c>
    </row>
    <row r="70">
      <c r="S70" s="16">
        <v>1826.0</v>
      </c>
      <c r="T70" s="16">
        <v>10.0</v>
      </c>
      <c r="U70" s="16">
        <v>18.0</v>
      </c>
      <c r="V70" s="16">
        <v>1.0</v>
      </c>
      <c r="W70" s="16" t="s">
        <v>4647</v>
      </c>
      <c r="X70" s="16" t="s">
        <v>4672</v>
      </c>
      <c r="Y70" s="16" t="s">
        <v>126</v>
      </c>
      <c r="Z70" s="16">
        <v>5.0</v>
      </c>
      <c r="AA70" s="16">
        <v>1.0</v>
      </c>
      <c r="AB70" s="16" t="s">
        <v>283</v>
      </c>
      <c r="AC70" s="16" t="s">
        <v>191</v>
      </c>
      <c r="AD70" s="17" t="s">
        <v>4725</v>
      </c>
      <c r="AE70" s="16" t="str">
        <f t="shared" si="5"/>
        <v/>
      </c>
    </row>
    <row r="71">
      <c r="S71" s="16">
        <v>1827.0</v>
      </c>
      <c r="T71" s="16">
        <v>10.0</v>
      </c>
      <c r="U71" s="16">
        <v>18.0</v>
      </c>
      <c r="V71" s="16">
        <v>2.0</v>
      </c>
      <c r="W71" s="16" t="s">
        <v>4647</v>
      </c>
      <c r="X71" s="16" t="s">
        <v>4672</v>
      </c>
      <c r="Y71" s="16" t="s">
        <v>126</v>
      </c>
      <c r="Z71" s="16">
        <v>3.0</v>
      </c>
      <c r="AA71" s="16">
        <v>2.0</v>
      </c>
      <c r="AB71" s="16" t="s">
        <v>283</v>
      </c>
      <c r="AC71" s="16" t="s">
        <v>191</v>
      </c>
      <c r="AD71" s="17" t="s">
        <v>4726</v>
      </c>
      <c r="AE71" s="16" t="str">
        <f t="shared" si="5"/>
        <v/>
      </c>
    </row>
    <row r="72">
      <c r="S72" s="16">
        <v>1828.0</v>
      </c>
      <c r="T72" s="16">
        <v>10.0</v>
      </c>
      <c r="U72" s="16">
        <v>18.0</v>
      </c>
      <c r="V72" s="16">
        <v>3.0</v>
      </c>
      <c r="W72" s="16" t="s">
        <v>4647</v>
      </c>
      <c r="X72" s="16" t="s">
        <v>4672</v>
      </c>
      <c r="Y72" s="16" t="s">
        <v>126</v>
      </c>
      <c r="Z72" s="16">
        <v>3.0</v>
      </c>
      <c r="AA72" s="16">
        <v>4.0</v>
      </c>
      <c r="AB72" s="16" t="s">
        <v>283</v>
      </c>
      <c r="AC72" s="16" t="s">
        <v>191</v>
      </c>
      <c r="AD72" s="17" t="s">
        <v>4727</v>
      </c>
      <c r="AE72" s="16">
        <f t="shared" si="5"/>
        <v>1</v>
      </c>
    </row>
    <row r="73">
      <c r="S73" s="16">
        <v>1829.0</v>
      </c>
      <c r="T73" s="16">
        <v>10.0</v>
      </c>
      <c r="U73" s="16">
        <v>18.0</v>
      </c>
      <c r="V73" s="16">
        <v>4.0</v>
      </c>
      <c r="W73" s="16" t="s">
        <v>4647</v>
      </c>
      <c r="X73" s="16" t="s">
        <v>4672</v>
      </c>
      <c r="Y73" s="16" t="s">
        <v>126</v>
      </c>
      <c r="Z73" s="16">
        <v>8.0</v>
      </c>
      <c r="AA73" s="16">
        <v>5.0</v>
      </c>
      <c r="AB73" s="16" t="s">
        <v>283</v>
      </c>
      <c r="AC73" s="16" t="s">
        <v>191</v>
      </c>
      <c r="AD73" s="17" t="s">
        <v>4728</v>
      </c>
      <c r="AE73" s="16" t="str">
        <f t="shared" si="5"/>
        <v/>
      </c>
    </row>
    <row r="74">
      <c r="S74" s="16">
        <v>1835.0</v>
      </c>
      <c r="T74" s="16">
        <v>10.0</v>
      </c>
      <c r="U74" s="16">
        <v>19.0</v>
      </c>
      <c r="V74" s="16">
        <v>1.0</v>
      </c>
      <c r="W74" s="16" t="s">
        <v>4729</v>
      </c>
      <c r="X74" s="16" t="s">
        <v>277</v>
      </c>
      <c r="Y74" s="16" t="s">
        <v>126</v>
      </c>
      <c r="Z74" s="16">
        <v>1.0</v>
      </c>
      <c r="AA74" s="16">
        <v>4.0</v>
      </c>
      <c r="AB74" s="16" t="s">
        <v>282</v>
      </c>
      <c r="AC74" s="16" t="s">
        <v>191</v>
      </c>
      <c r="AD74" s="17" t="s">
        <v>4730</v>
      </c>
      <c r="AE74" s="16">
        <f t="shared" si="5"/>
        <v>1</v>
      </c>
    </row>
    <row r="75">
      <c r="S75" s="16">
        <v>1836.0</v>
      </c>
      <c r="T75" s="16">
        <v>10.0</v>
      </c>
      <c r="U75" s="16">
        <v>19.0</v>
      </c>
      <c r="V75" s="16">
        <v>2.0</v>
      </c>
      <c r="W75" s="16" t="s">
        <v>4729</v>
      </c>
      <c r="X75" s="16" t="s">
        <v>277</v>
      </c>
      <c r="Y75" s="16" t="s">
        <v>126</v>
      </c>
      <c r="Z75" s="16">
        <v>6.0</v>
      </c>
      <c r="AA75" s="16">
        <v>7.0</v>
      </c>
      <c r="AB75" s="16" t="s">
        <v>282</v>
      </c>
      <c r="AC75" s="16" t="s">
        <v>191</v>
      </c>
      <c r="AD75" s="17" t="s">
        <v>4731</v>
      </c>
      <c r="AE75" s="16">
        <f t="shared" si="5"/>
        <v>1</v>
      </c>
    </row>
    <row r="76">
      <c r="S76" s="16">
        <v>1837.0</v>
      </c>
      <c r="T76" s="16">
        <v>10.0</v>
      </c>
      <c r="U76" s="16">
        <v>19.0</v>
      </c>
      <c r="V76" s="16">
        <v>3.0</v>
      </c>
      <c r="W76" s="16" t="s">
        <v>4729</v>
      </c>
      <c r="X76" s="16" t="s">
        <v>126</v>
      </c>
      <c r="Y76" s="16" t="s">
        <v>277</v>
      </c>
      <c r="Z76" s="16">
        <v>3.0</v>
      </c>
      <c r="AA76" s="16">
        <v>7.0</v>
      </c>
      <c r="AB76" s="16" t="s">
        <v>191</v>
      </c>
      <c r="AC76" s="16" t="s">
        <v>282</v>
      </c>
      <c r="AD76" s="17" t="s">
        <v>4732</v>
      </c>
      <c r="AE76" s="16">
        <f t="shared" si="5"/>
        <v>1</v>
      </c>
    </row>
    <row r="77">
      <c r="S77" s="16">
        <v>1838.0</v>
      </c>
      <c r="T77" s="16">
        <v>10.0</v>
      </c>
      <c r="U77" s="16">
        <v>19.0</v>
      </c>
      <c r="V77" s="16">
        <v>4.0</v>
      </c>
      <c r="W77" s="16" t="s">
        <v>4729</v>
      </c>
      <c r="X77" s="16" t="s">
        <v>126</v>
      </c>
      <c r="Y77" s="16" t="s">
        <v>277</v>
      </c>
      <c r="Z77" s="16">
        <v>10.0</v>
      </c>
      <c r="AA77" s="16">
        <v>6.0</v>
      </c>
      <c r="AB77" s="16" t="s">
        <v>191</v>
      </c>
      <c r="AC77" s="16" t="s">
        <v>282</v>
      </c>
      <c r="AD77" s="17" t="s">
        <v>4733</v>
      </c>
      <c r="AE77" s="16" t="str">
        <f t="shared" si="5"/>
        <v/>
      </c>
    </row>
    <row r="78">
      <c r="S78" s="16">
        <v>1839.0</v>
      </c>
      <c r="T78" s="16">
        <v>10.0</v>
      </c>
      <c r="U78" s="16">
        <v>19.0</v>
      </c>
      <c r="V78" s="16" t="s">
        <v>181</v>
      </c>
      <c r="W78" s="16" t="s">
        <v>4729</v>
      </c>
      <c r="X78" s="16" t="s">
        <v>277</v>
      </c>
      <c r="Y78" s="16" t="s">
        <v>126</v>
      </c>
      <c r="Z78" s="16" t="s">
        <v>181</v>
      </c>
      <c r="AA78" s="16" t="s">
        <v>181</v>
      </c>
      <c r="AB78" s="16" t="s">
        <v>181</v>
      </c>
      <c r="AC78" s="16" t="s">
        <v>181</v>
      </c>
      <c r="AD78" s="18" t="s">
        <v>181</v>
      </c>
      <c r="AE78" s="16" t="str">
        <f t="shared" si="5"/>
        <v/>
      </c>
    </row>
    <row r="79">
      <c r="S79" s="16">
        <v>1857.0</v>
      </c>
      <c r="T79" s="16">
        <v>10.0</v>
      </c>
      <c r="U79" s="16">
        <v>20.0</v>
      </c>
      <c r="V79" s="16">
        <v>1.0</v>
      </c>
      <c r="W79" s="16" t="s">
        <v>4729</v>
      </c>
      <c r="X79" s="16" t="s">
        <v>4656</v>
      </c>
      <c r="Y79" s="16" t="s">
        <v>126</v>
      </c>
      <c r="Z79" s="16">
        <v>6.0</v>
      </c>
      <c r="AA79" s="16">
        <v>7.0</v>
      </c>
      <c r="AB79" s="16" t="s">
        <v>4660</v>
      </c>
      <c r="AC79" s="16" t="s">
        <v>191</v>
      </c>
      <c r="AD79" s="17" t="s">
        <v>4734</v>
      </c>
      <c r="AE79" s="16">
        <f t="shared" si="5"/>
        <v>1</v>
      </c>
    </row>
    <row r="80">
      <c r="S80" s="16">
        <v>1858.0</v>
      </c>
      <c r="T80" s="16">
        <v>10.0</v>
      </c>
      <c r="U80" s="16">
        <v>20.0</v>
      </c>
      <c r="V80" s="16">
        <v>2.0</v>
      </c>
      <c r="W80" s="16" t="s">
        <v>4729</v>
      </c>
      <c r="X80" s="16" t="s">
        <v>4656</v>
      </c>
      <c r="Y80" s="16" t="s">
        <v>126</v>
      </c>
      <c r="Z80" s="16">
        <v>2.0</v>
      </c>
      <c r="AA80" s="16">
        <v>5.0</v>
      </c>
      <c r="AB80" s="16" t="s">
        <v>4660</v>
      </c>
      <c r="AC80" s="16" t="s">
        <v>191</v>
      </c>
      <c r="AD80" s="17" t="s">
        <v>4735</v>
      </c>
      <c r="AE80" s="16">
        <f t="shared" si="5"/>
        <v>1</v>
      </c>
    </row>
    <row r="81">
      <c r="S81" s="16">
        <v>1859.0</v>
      </c>
      <c r="T81" s="16">
        <v>10.0</v>
      </c>
      <c r="U81" s="16">
        <v>20.0</v>
      </c>
      <c r="V81" s="16">
        <v>3.0</v>
      </c>
      <c r="W81" s="16" t="s">
        <v>4729</v>
      </c>
      <c r="X81" s="16" t="s">
        <v>126</v>
      </c>
      <c r="Y81" s="16" t="s">
        <v>4656</v>
      </c>
      <c r="Z81" s="16">
        <v>9.0</v>
      </c>
      <c r="AA81" s="16">
        <v>3.0</v>
      </c>
      <c r="AB81" s="16" t="s">
        <v>191</v>
      </c>
      <c r="AC81" s="16" t="s">
        <v>4660</v>
      </c>
      <c r="AD81" s="17" t="s">
        <v>4736</v>
      </c>
      <c r="AE81" s="16" t="str">
        <f t="shared" si="5"/>
        <v/>
      </c>
    </row>
    <row r="82">
      <c r="S82" s="16">
        <v>1860.0</v>
      </c>
      <c r="T82" s="16">
        <v>10.0</v>
      </c>
      <c r="U82" s="16">
        <v>20.0</v>
      </c>
      <c r="V82" s="16">
        <v>4.0</v>
      </c>
      <c r="W82" s="16" t="s">
        <v>4729</v>
      </c>
      <c r="X82" s="16" t="s">
        <v>126</v>
      </c>
      <c r="Y82" s="16" t="s">
        <v>4656</v>
      </c>
      <c r="Z82" s="16">
        <v>1.0</v>
      </c>
      <c r="AA82" s="16">
        <v>3.0</v>
      </c>
      <c r="AB82" s="16" t="s">
        <v>191</v>
      </c>
      <c r="AC82" s="16" t="s">
        <v>4657</v>
      </c>
      <c r="AD82" s="17" t="s">
        <v>4737</v>
      </c>
      <c r="AE82" s="16">
        <f t="shared" si="5"/>
        <v>1</v>
      </c>
    </row>
    <row r="83">
      <c r="S83" s="16">
        <v>1861.0</v>
      </c>
      <c r="T83" s="16">
        <v>10.0</v>
      </c>
      <c r="U83" s="16">
        <v>20.0</v>
      </c>
      <c r="V83" s="16">
        <v>5.0</v>
      </c>
      <c r="W83" s="16" t="s">
        <v>4729</v>
      </c>
      <c r="X83" s="16" t="s">
        <v>126</v>
      </c>
      <c r="Y83" s="16" t="s">
        <v>4656</v>
      </c>
      <c r="Z83" s="16">
        <v>0.0</v>
      </c>
      <c r="AA83" s="16">
        <v>6.0</v>
      </c>
      <c r="AB83" s="16" t="s">
        <v>191</v>
      </c>
      <c r="AC83" s="16" t="s">
        <v>4657</v>
      </c>
      <c r="AD83" s="17" t="s">
        <v>4738</v>
      </c>
      <c r="AE83" s="16">
        <f t="shared" si="5"/>
        <v>1</v>
      </c>
    </row>
    <row r="84">
      <c r="S84" s="16">
        <v>1862.0</v>
      </c>
      <c r="T84" s="16">
        <v>10.0</v>
      </c>
      <c r="U84" s="16">
        <v>20.0</v>
      </c>
      <c r="V84" s="16">
        <v>6.0</v>
      </c>
      <c r="W84" s="16" t="s">
        <v>4729</v>
      </c>
      <c r="X84" s="16" t="s">
        <v>4656</v>
      </c>
      <c r="Y84" s="16" t="s">
        <v>126</v>
      </c>
      <c r="Z84" s="16">
        <v>3.0</v>
      </c>
      <c r="AA84" s="16">
        <v>4.0</v>
      </c>
      <c r="AB84" s="16" t="s">
        <v>4657</v>
      </c>
      <c r="AC84" s="16" t="s">
        <v>191</v>
      </c>
      <c r="AD84" s="17" t="s">
        <v>4739</v>
      </c>
      <c r="AE84" s="16">
        <f t="shared" si="5"/>
        <v>1</v>
      </c>
    </row>
    <row r="85">
      <c r="S85" s="16">
        <v>1863.0</v>
      </c>
      <c r="T85" s="16">
        <v>10.0</v>
      </c>
      <c r="U85" s="16">
        <v>20.0</v>
      </c>
      <c r="V85" s="16" t="s">
        <v>181</v>
      </c>
      <c r="W85" s="16" t="s">
        <v>4729</v>
      </c>
      <c r="X85" s="16" t="s">
        <v>4656</v>
      </c>
      <c r="Y85" s="16" t="s">
        <v>126</v>
      </c>
      <c r="Z85" s="16" t="s">
        <v>181</v>
      </c>
      <c r="AA85" s="16" t="s">
        <v>181</v>
      </c>
      <c r="AB85" s="16" t="s">
        <v>181</v>
      </c>
      <c r="AC85" s="16" t="s">
        <v>181</v>
      </c>
      <c r="AD85" s="18" t="s">
        <v>181</v>
      </c>
      <c r="AE85" s="16" t="str">
        <f t="shared" si="5"/>
        <v/>
      </c>
    </row>
    <row r="86">
      <c r="S86" s="16">
        <v>1864.0</v>
      </c>
      <c r="T86" s="16">
        <v>10.0</v>
      </c>
      <c r="U86" s="16">
        <v>21.0</v>
      </c>
      <c r="V86" s="16">
        <v>1.0</v>
      </c>
      <c r="W86" s="16" t="s">
        <v>4729</v>
      </c>
      <c r="X86" s="16" t="s">
        <v>126</v>
      </c>
      <c r="Y86" s="16" t="s">
        <v>361</v>
      </c>
      <c r="Z86" s="16">
        <v>5.0</v>
      </c>
      <c r="AA86" s="16">
        <v>6.0</v>
      </c>
      <c r="AB86" s="16" t="s">
        <v>191</v>
      </c>
      <c r="AC86" s="16" t="s">
        <v>365</v>
      </c>
      <c r="AD86" s="17" t="s">
        <v>4740</v>
      </c>
    </row>
    <row r="87">
      <c r="S87" s="16">
        <v>1865.0</v>
      </c>
      <c r="T87" s="16">
        <v>10.0</v>
      </c>
      <c r="U87" s="16">
        <v>21.0</v>
      </c>
      <c r="V87" s="16">
        <v>2.0</v>
      </c>
      <c r="W87" s="16" t="s">
        <v>4729</v>
      </c>
      <c r="X87" s="16" t="s">
        <v>126</v>
      </c>
      <c r="Y87" s="16" t="s">
        <v>361</v>
      </c>
      <c r="Z87" s="16">
        <v>10.0</v>
      </c>
      <c r="AA87" s="16">
        <v>4.0</v>
      </c>
      <c r="AB87" s="16" t="s">
        <v>191</v>
      </c>
      <c r="AC87" s="16" t="s">
        <v>365</v>
      </c>
      <c r="AD87" s="17" t="s">
        <v>4741</v>
      </c>
    </row>
    <row r="88">
      <c r="S88" s="16">
        <v>1866.0</v>
      </c>
      <c r="T88" s="16">
        <v>10.0</v>
      </c>
      <c r="U88" s="16">
        <v>21.0</v>
      </c>
      <c r="V88" s="16">
        <v>3.0</v>
      </c>
      <c r="W88" s="16" t="s">
        <v>4729</v>
      </c>
      <c r="X88" s="16" t="s">
        <v>361</v>
      </c>
      <c r="Y88" s="16" t="s">
        <v>126</v>
      </c>
      <c r="Z88" s="16">
        <v>2.0</v>
      </c>
      <c r="AA88" s="16">
        <v>6.0</v>
      </c>
      <c r="AB88" s="16" t="s">
        <v>365</v>
      </c>
      <c r="AC88" s="16" t="s">
        <v>191</v>
      </c>
      <c r="AD88" s="17" t="s">
        <v>4742</v>
      </c>
    </row>
    <row r="89">
      <c r="S89" s="16">
        <v>1867.0</v>
      </c>
      <c r="T89" s="16">
        <v>10.0</v>
      </c>
      <c r="U89" s="16">
        <v>21.0</v>
      </c>
      <c r="V89" s="16">
        <v>4.0</v>
      </c>
      <c r="W89" s="16" t="s">
        <v>4729</v>
      </c>
      <c r="X89" s="16" t="s">
        <v>361</v>
      </c>
      <c r="Y89" s="16" t="s">
        <v>126</v>
      </c>
      <c r="Z89" s="16">
        <v>3.0</v>
      </c>
      <c r="AA89" s="16">
        <v>4.0</v>
      </c>
      <c r="AB89" s="16" t="s">
        <v>365</v>
      </c>
      <c r="AC89" s="16" t="s">
        <v>191</v>
      </c>
      <c r="AD89" s="17" t="s">
        <v>4743</v>
      </c>
    </row>
    <row r="90">
      <c r="S90" s="16">
        <v>1868.0</v>
      </c>
      <c r="T90" s="16">
        <v>10.0</v>
      </c>
      <c r="U90" s="16">
        <v>21.0</v>
      </c>
      <c r="V90" s="16">
        <v>5.0</v>
      </c>
      <c r="W90" s="16" t="s">
        <v>4729</v>
      </c>
      <c r="X90" s="16" t="s">
        <v>361</v>
      </c>
      <c r="Y90" s="16" t="s">
        <v>126</v>
      </c>
      <c r="Z90" s="16">
        <v>10.0</v>
      </c>
      <c r="AA90" s="16">
        <v>3.0</v>
      </c>
      <c r="AB90" s="16" t="s">
        <v>365</v>
      </c>
      <c r="AC90" s="16" t="s">
        <v>191</v>
      </c>
      <c r="AD90" s="17" t="s">
        <v>4744</v>
      </c>
    </row>
    <row r="91">
      <c r="S91" s="16">
        <v>1869.0</v>
      </c>
      <c r="T91" s="16">
        <v>10.0</v>
      </c>
      <c r="U91" s="16">
        <v>21.0</v>
      </c>
      <c r="V91" s="16">
        <v>6.0</v>
      </c>
      <c r="W91" s="16" t="s">
        <v>4729</v>
      </c>
      <c r="X91" s="16" t="s">
        <v>126</v>
      </c>
      <c r="Y91" s="16" t="s">
        <v>361</v>
      </c>
      <c r="Z91" s="16">
        <v>0.0</v>
      </c>
      <c r="AA91" s="16">
        <v>9.0</v>
      </c>
      <c r="AB91" s="16" t="s">
        <v>191</v>
      </c>
      <c r="AC91" s="16" t="s">
        <v>365</v>
      </c>
      <c r="AD91" s="17" t="s">
        <v>4745</v>
      </c>
    </row>
    <row r="92">
      <c r="S92" s="16">
        <v>1870.0</v>
      </c>
      <c r="T92" s="16">
        <v>10.0</v>
      </c>
      <c r="U92" s="16">
        <v>21.0</v>
      </c>
      <c r="V92" s="16">
        <v>7.0</v>
      </c>
      <c r="W92" s="16" t="s">
        <v>4729</v>
      </c>
      <c r="X92" s="16" t="s">
        <v>126</v>
      </c>
      <c r="Y92" s="16" t="s">
        <v>361</v>
      </c>
      <c r="Z92" s="16">
        <v>3.0</v>
      </c>
      <c r="AA92" s="16">
        <v>5.0</v>
      </c>
      <c r="AB92" s="16" t="s">
        <v>191</v>
      </c>
      <c r="AC92" s="16" t="s">
        <v>365</v>
      </c>
      <c r="AD92" s="17" t="s">
        <v>4746</v>
      </c>
    </row>
    <row r="93">
      <c r="AD93" s="18"/>
    </row>
    <row r="94">
      <c r="AD94" s="18"/>
    </row>
    <row r="95">
      <c r="AD95" s="18"/>
    </row>
    <row r="96">
      <c r="AD96" s="18"/>
    </row>
    <row r="97">
      <c r="AD97" s="18"/>
    </row>
    <row r="98">
      <c r="AD98" s="18"/>
    </row>
    <row r="99">
      <c r="AD99" s="18"/>
    </row>
    <row r="100">
      <c r="AD100" s="18"/>
    </row>
    <row r="101">
      <c r="AD101" s="18"/>
    </row>
    <row r="102">
      <c r="AD102" s="18"/>
    </row>
    <row r="103">
      <c r="AD103" s="18"/>
    </row>
    <row r="104">
      <c r="AD104" s="18"/>
    </row>
    <row r="105">
      <c r="AD105" s="18"/>
    </row>
    <row r="106">
      <c r="AD106" s="18"/>
    </row>
    <row r="107">
      <c r="AD107" s="18"/>
    </row>
    <row r="108">
      <c r="AD108" s="18"/>
    </row>
    <row r="109">
      <c r="AD109" s="18"/>
    </row>
    <row r="110">
      <c r="AD110" s="18"/>
    </row>
    <row r="111">
      <c r="AD111" s="18"/>
    </row>
    <row r="112">
      <c r="AD112" s="18"/>
    </row>
    <row r="113">
      <c r="AD113" s="18"/>
    </row>
    <row r="114">
      <c r="AD114" s="18"/>
    </row>
    <row r="115">
      <c r="AD115" s="18"/>
    </row>
    <row r="116">
      <c r="AD116" s="18"/>
    </row>
    <row r="117">
      <c r="AD117" s="18"/>
    </row>
    <row r="118">
      <c r="AD118" s="18"/>
    </row>
    <row r="119">
      <c r="AD119" s="18"/>
    </row>
    <row r="120">
      <c r="AD120" s="18"/>
    </row>
    <row r="121">
      <c r="AD121" s="18"/>
    </row>
    <row r="122">
      <c r="AD122" s="18"/>
    </row>
    <row r="123">
      <c r="AD123" s="18"/>
    </row>
    <row r="124">
      <c r="AD124" s="18"/>
    </row>
    <row r="125">
      <c r="AD125" s="18"/>
    </row>
    <row r="126">
      <c r="AD126" s="18"/>
    </row>
    <row r="127">
      <c r="AD127" s="18"/>
    </row>
    <row r="128">
      <c r="AD128" s="18"/>
    </row>
    <row r="129">
      <c r="AD129" s="18"/>
    </row>
    <row r="130">
      <c r="AD130" s="18"/>
    </row>
    <row r="131">
      <c r="AD131" s="18"/>
    </row>
    <row r="132">
      <c r="AD132" s="18"/>
    </row>
    <row r="133">
      <c r="AD133" s="18"/>
    </row>
    <row r="134">
      <c r="AD134" s="18"/>
    </row>
    <row r="135">
      <c r="AD135" s="18"/>
    </row>
    <row r="136">
      <c r="AD136" s="18"/>
    </row>
    <row r="137">
      <c r="AD137" s="18"/>
    </row>
    <row r="138">
      <c r="AD138" s="18"/>
    </row>
    <row r="139">
      <c r="AD139" s="18"/>
    </row>
    <row r="140">
      <c r="AD140" s="18"/>
    </row>
    <row r="141">
      <c r="AD141" s="18"/>
    </row>
    <row r="142">
      <c r="AD142" s="18"/>
    </row>
    <row r="143">
      <c r="AD143" s="18"/>
    </row>
    <row r="144">
      <c r="AD144" s="18"/>
    </row>
    <row r="145">
      <c r="AD145" s="18"/>
    </row>
    <row r="146">
      <c r="AD146" s="18"/>
    </row>
    <row r="147">
      <c r="AD147" s="18"/>
    </row>
    <row r="148">
      <c r="AD148" s="18"/>
    </row>
    <row r="149">
      <c r="AD149" s="18"/>
    </row>
    <row r="150">
      <c r="AD150" s="18"/>
    </row>
    <row r="151">
      <c r="AD151" s="18"/>
    </row>
    <row r="152">
      <c r="AD152" s="18"/>
    </row>
    <row r="153">
      <c r="AD153" s="18"/>
    </row>
    <row r="154">
      <c r="AD154" s="18"/>
    </row>
    <row r="155">
      <c r="AD155" s="18"/>
    </row>
    <row r="156">
      <c r="AD156" s="18"/>
    </row>
    <row r="157">
      <c r="AD157" s="18"/>
    </row>
    <row r="158">
      <c r="AD158" s="18"/>
    </row>
    <row r="159">
      <c r="AD159" s="18"/>
    </row>
    <row r="160">
      <c r="AD160" s="18"/>
    </row>
    <row r="161">
      <c r="AD161" s="18"/>
    </row>
    <row r="162">
      <c r="AD162" s="18"/>
    </row>
    <row r="163">
      <c r="AD163" s="18"/>
    </row>
    <row r="164">
      <c r="AD164" s="18"/>
    </row>
    <row r="165">
      <c r="AD165" s="18"/>
    </row>
    <row r="166">
      <c r="AD166" s="18"/>
    </row>
    <row r="167">
      <c r="AD167" s="18"/>
    </row>
    <row r="168">
      <c r="AD168" s="18"/>
    </row>
    <row r="169">
      <c r="AD169" s="18"/>
    </row>
    <row r="170">
      <c r="AD170" s="18"/>
    </row>
    <row r="171">
      <c r="AD171" s="18"/>
    </row>
    <row r="172">
      <c r="AD172" s="18"/>
    </row>
    <row r="173">
      <c r="AD173" s="18"/>
    </row>
    <row r="174">
      <c r="AD174" s="18"/>
    </row>
    <row r="175">
      <c r="AD175" s="18"/>
    </row>
    <row r="176">
      <c r="AD176" s="18"/>
    </row>
    <row r="177">
      <c r="AD177" s="18"/>
    </row>
    <row r="178">
      <c r="AD178" s="18"/>
    </row>
    <row r="179">
      <c r="AD179" s="18"/>
    </row>
    <row r="180">
      <c r="AD180" s="18"/>
    </row>
    <row r="181">
      <c r="AD181" s="18"/>
    </row>
    <row r="182">
      <c r="AD182" s="18"/>
    </row>
    <row r="183">
      <c r="AD183" s="18"/>
    </row>
    <row r="184">
      <c r="AD184" s="18"/>
    </row>
    <row r="185">
      <c r="AD185" s="18"/>
    </row>
    <row r="186">
      <c r="AD186" s="18"/>
    </row>
    <row r="187">
      <c r="AD187" s="18"/>
    </row>
    <row r="188">
      <c r="AD188" s="18"/>
    </row>
    <row r="189">
      <c r="AD189" s="18"/>
    </row>
    <row r="190">
      <c r="AD190" s="18"/>
    </row>
    <row r="191">
      <c r="AD191" s="18"/>
    </row>
    <row r="192">
      <c r="AD192" s="18"/>
    </row>
    <row r="193">
      <c r="AD193" s="18"/>
    </row>
    <row r="194">
      <c r="AD194" s="18"/>
    </row>
    <row r="195">
      <c r="AD195" s="18"/>
    </row>
    <row r="196">
      <c r="AD196" s="18"/>
    </row>
    <row r="197">
      <c r="AD197" s="18"/>
    </row>
    <row r="198">
      <c r="AD198" s="18"/>
    </row>
    <row r="199">
      <c r="AD199" s="18"/>
    </row>
    <row r="200">
      <c r="AD200" s="18"/>
    </row>
    <row r="201">
      <c r="AD201" s="18"/>
    </row>
    <row r="202">
      <c r="AD202" s="18"/>
    </row>
    <row r="203">
      <c r="AD203" s="18"/>
    </row>
    <row r="204">
      <c r="AD204" s="18"/>
    </row>
    <row r="205">
      <c r="AD205" s="18"/>
    </row>
    <row r="206">
      <c r="AD206" s="18"/>
    </row>
    <row r="207">
      <c r="AD207" s="18"/>
    </row>
    <row r="208">
      <c r="AD208" s="18"/>
    </row>
    <row r="209">
      <c r="AD209" s="18"/>
    </row>
    <row r="210">
      <c r="AD210" s="18"/>
    </row>
    <row r="211">
      <c r="AD211" s="18"/>
    </row>
    <row r="212">
      <c r="AD212" s="18"/>
    </row>
    <row r="213">
      <c r="AD213" s="18"/>
    </row>
    <row r="214">
      <c r="AD214" s="18"/>
    </row>
    <row r="215">
      <c r="AD215" s="18"/>
    </row>
    <row r="216">
      <c r="AD216" s="18"/>
    </row>
    <row r="217">
      <c r="AD217" s="18"/>
    </row>
    <row r="218">
      <c r="AD218" s="18"/>
    </row>
    <row r="219">
      <c r="AD219" s="18"/>
    </row>
    <row r="220">
      <c r="AD220" s="18"/>
    </row>
    <row r="221">
      <c r="AD221" s="18"/>
    </row>
    <row r="222">
      <c r="AD222" s="18"/>
    </row>
    <row r="223">
      <c r="AD223" s="18"/>
    </row>
    <row r="224">
      <c r="AD224" s="18"/>
    </row>
    <row r="225">
      <c r="AD225" s="18"/>
    </row>
    <row r="226">
      <c r="AD226" s="18"/>
    </row>
    <row r="227">
      <c r="AD227" s="18"/>
    </row>
    <row r="228">
      <c r="AD228" s="18"/>
    </row>
    <row r="229">
      <c r="AD229" s="18"/>
    </row>
    <row r="230">
      <c r="AD230" s="18"/>
    </row>
    <row r="231">
      <c r="AD231" s="18"/>
    </row>
    <row r="232">
      <c r="AD232" s="18"/>
    </row>
    <row r="233">
      <c r="AD233" s="18"/>
    </row>
    <row r="234">
      <c r="AD234" s="18"/>
    </row>
    <row r="235">
      <c r="AD235" s="18"/>
    </row>
    <row r="236">
      <c r="AD236" s="18"/>
    </row>
    <row r="237">
      <c r="AD237" s="18"/>
    </row>
    <row r="238">
      <c r="AD238" s="18"/>
    </row>
    <row r="239">
      <c r="AD239" s="18"/>
    </row>
    <row r="240">
      <c r="AD240" s="18"/>
    </row>
    <row r="241">
      <c r="AD241" s="18"/>
    </row>
    <row r="242">
      <c r="AD242" s="18"/>
    </row>
    <row r="243">
      <c r="AD243" s="18"/>
    </row>
    <row r="244">
      <c r="AD244" s="18"/>
    </row>
    <row r="245">
      <c r="AD245" s="18"/>
    </row>
    <row r="246">
      <c r="AD246" s="18"/>
    </row>
    <row r="247">
      <c r="AD247" s="18"/>
    </row>
    <row r="248">
      <c r="AD248" s="18"/>
    </row>
    <row r="249">
      <c r="AD249" s="18"/>
    </row>
    <row r="250">
      <c r="AD250" s="18"/>
    </row>
    <row r="251">
      <c r="AD251" s="18"/>
    </row>
    <row r="252">
      <c r="AD252" s="18"/>
    </row>
    <row r="253">
      <c r="AD253" s="18"/>
    </row>
    <row r="254">
      <c r="AD254" s="18"/>
    </row>
    <row r="255">
      <c r="AD255" s="18"/>
    </row>
    <row r="256">
      <c r="AD256" s="18"/>
    </row>
    <row r="257">
      <c r="AD257" s="18"/>
    </row>
    <row r="258">
      <c r="AD258" s="18"/>
    </row>
    <row r="259">
      <c r="AD259" s="18"/>
    </row>
    <row r="260">
      <c r="AD260" s="18"/>
    </row>
    <row r="261">
      <c r="AD261" s="18"/>
    </row>
    <row r="262">
      <c r="AD262" s="18"/>
    </row>
    <row r="263">
      <c r="AD263" s="18"/>
    </row>
    <row r="264">
      <c r="AD264" s="18"/>
    </row>
    <row r="265">
      <c r="AD265" s="18"/>
    </row>
    <row r="266">
      <c r="AD266" s="18"/>
    </row>
    <row r="267">
      <c r="AD267" s="18"/>
    </row>
    <row r="268">
      <c r="AD268" s="18"/>
    </row>
    <row r="269">
      <c r="AD269" s="18"/>
    </row>
    <row r="270">
      <c r="AD270" s="18"/>
    </row>
    <row r="271">
      <c r="AD271" s="18"/>
    </row>
    <row r="272">
      <c r="AD272" s="18"/>
    </row>
    <row r="273">
      <c r="AD273" s="18"/>
    </row>
    <row r="274">
      <c r="AD274" s="18"/>
    </row>
    <row r="275">
      <c r="AD275" s="18"/>
    </row>
    <row r="276">
      <c r="AD276" s="18"/>
    </row>
    <row r="277">
      <c r="AD277" s="18"/>
    </row>
    <row r="278">
      <c r="AD278" s="18"/>
    </row>
    <row r="279">
      <c r="AD279" s="18"/>
    </row>
    <row r="280">
      <c r="AD280" s="18"/>
    </row>
    <row r="281">
      <c r="AD281" s="18"/>
    </row>
    <row r="282">
      <c r="AD282" s="18"/>
    </row>
    <row r="283">
      <c r="AD283" s="18"/>
    </row>
    <row r="284">
      <c r="AD284" s="18"/>
    </row>
    <row r="285">
      <c r="AD285" s="18"/>
    </row>
    <row r="286">
      <c r="AD286" s="18"/>
    </row>
    <row r="287">
      <c r="AD287" s="18"/>
    </row>
    <row r="288">
      <c r="AD288" s="18"/>
    </row>
    <row r="289">
      <c r="AD289" s="18"/>
    </row>
    <row r="290">
      <c r="AD290" s="18"/>
    </row>
    <row r="291">
      <c r="AD291" s="18"/>
    </row>
    <row r="292">
      <c r="AD292" s="18"/>
    </row>
    <row r="293">
      <c r="AD293" s="18"/>
    </row>
    <row r="294">
      <c r="AD294" s="18"/>
    </row>
    <row r="295">
      <c r="AD295" s="18"/>
    </row>
    <row r="296">
      <c r="AD296" s="18"/>
    </row>
    <row r="297">
      <c r="AD297" s="18"/>
    </row>
    <row r="298">
      <c r="AD298" s="18"/>
    </row>
    <row r="299">
      <c r="AD299" s="18"/>
    </row>
    <row r="300">
      <c r="AD300" s="18"/>
    </row>
    <row r="301">
      <c r="AD301" s="18"/>
    </row>
    <row r="302">
      <c r="AD302" s="18"/>
    </row>
    <row r="303">
      <c r="AD303" s="18"/>
    </row>
    <row r="304">
      <c r="AD304" s="18"/>
    </row>
    <row r="305">
      <c r="AD305" s="18"/>
    </row>
    <row r="306">
      <c r="AD306" s="18"/>
    </row>
    <row r="307">
      <c r="AD307" s="18"/>
    </row>
    <row r="308">
      <c r="AD308" s="18"/>
    </row>
    <row r="309">
      <c r="AD309" s="18"/>
    </row>
    <row r="310">
      <c r="AD310" s="18"/>
    </row>
    <row r="311">
      <c r="AD311" s="18"/>
    </row>
    <row r="312">
      <c r="AD312" s="18"/>
    </row>
    <row r="313">
      <c r="AD313" s="18"/>
    </row>
    <row r="314">
      <c r="AD314" s="18"/>
    </row>
    <row r="315">
      <c r="AD315" s="18"/>
    </row>
    <row r="316">
      <c r="AD316" s="18"/>
    </row>
    <row r="317">
      <c r="AD317" s="18"/>
    </row>
    <row r="318">
      <c r="AD318" s="18"/>
    </row>
    <row r="319">
      <c r="AD319" s="18"/>
    </row>
    <row r="320">
      <c r="AD320" s="18"/>
    </row>
    <row r="321">
      <c r="AD321" s="18"/>
    </row>
    <row r="322">
      <c r="AD322" s="18"/>
    </row>
    <row r="323">
      <c r="AD323" s="18"/>
    </row>
    <row r="324">
      <c r="AD324" s="18"/>
    </row>
    <row r="325">
      <c r="AD325" s="18"/>
    </row>
    <row r="326">
      <c r="AD326" s="18"/>
    </row>
    <row r="327">
      <c r="AD327" s="18"/>
    </row>
    <row r="328">
      <c r="AD328" s="18"/>
    </row>
    <row r="329">
      <c r="AD329" s="18"/>
    </row>
    <row r="330">
      <c r="AD330" s="18"/>
    </row>
    <row r="331">
      <c r="AD331" s="18"/>
    </row>
    <row r="332">
      <c r="AD332" s="18"/>
    </row>
    <row r="333">
      <c r="AD333" s="18"/>
    </row>
    <row r="334">
      <c r="AD334" s="18"/>
    </row>
    <row r="335">
      <c r="AD335" s="18"/>
    </row>
    <row r="336">
      <c r="AD336" s="18"/>
    </row>
    <row r="337">
      <c r="AD337" s="18"/>
    </row>
    <row r="338">
      <c r="AD338" s="18"/>
    </row>
    <row r="339">
      <c r="AD339" s="18"/>
    </row>
    <row r="340">
      <c r="AD340" s="18"/>
    </row>
    <row r="341">
      <c r="AD341" s="18"/>
    </row>
    <row r="342">
      <c r="AD342" s="18"/>
    </row>
    <row r="343">
      <c r="AD343" s="18"/>
    </row>
    <row r="344">
      <c r="AD344" s="18"/>
    </row>
    <row r="345">
      <c r="AD345" s="18"/>
    </row>
    <row r="346">
      <c r="AD346" s="18"/>
    </row>
    <row r="347">
      <c r="AD347" s="18"/>
    </row>
    <row r="348">
      <c r="AD348" s="18"/>
    </row>
    <row r="349">
      <c r="AD349" s="18"/>
    </row>
    <row r="350">
      <c r="AD350" s="18"/>
    </row>
    <row r="351">
      <c r="AD351" s="18"/>
    </row>
    <row r="352">
      <c r="AD352" s="18"/>
    </row>
    <row r="353">
      <c r="AD353" s="18"/>
    </row>
    <row r="354">
      <c r="AD354" s="18"/>
    </row>
    <row r="355">
      <c r="AD355" s="18"/>
    </row>
    <row r="356">
      <c r="AD356" s="18"/>
    </row>
    <row r="357">
      <c r="AD357" s="18"/>
    </row>
    <row r="358">
      <c r="AD358" s="18"/>
    </row>
    <row r="359">
      <c r="AD359" s="18"/>
    </row>
    <row r="360">
      <c r="AD360" s="18"/>
    </row>
    <row r="361">
      <c r="AD361" s="18"/>
    </row>
    <row r="362">
      <c r="AD362" s="18"/>
    </row>
    <row r="363">
      <c r="AD363" s="18"/>
    </row>
    <row r="364">
      <c r="AD364" s="18"/>
    </row>
    <row r="365">
      <c r="AD365" s="18"/>
    </row>
    <row r="366">
      <c r="AD366" s="18"/>
    </row>
    <row r="367">
      <c r="AD367" s="18"/>
    </row>
    <row r="368">
      <c r="AD368" s="18"/>
    </row>
    <row r="369">
      <c r="AD369" s="18"/>
    </row>
    <row r="370">
      <c r="AD370" s="18"/>
    </row>
    <row r="371">
      <c r="AD371" s="18"/>
    </row>
    <row r="372">
      <c r="AD372" s="18"/>
    </row>
    <row r="373">
      <c r="AD373" s="18"/>
    </row>
    <row r="374">
      <c r="AD374" s="18"/>
    </row>
    <row r="375">
      <c r="AD375" s="18"/>
    </row>
    <row r="376">
      <c r="AD376" s="18"/>
    </row>
    <row r="377">
      <c r="AD377" s="18"/>
    </row>
    <row r="378">
      <c r="AD378" s="18"/>
    </row>
    <row r="379">
      <c r="AD379" s="18"/>
    </row>
    <row r="380">
      <c r="AD380" s="18"/>
    </row>
    <row r="381">
      <c r="AD381" s="18"/>
    </row>
    <row r="382">
      <c r="AD382" s="18"/>
    </row>
    <row r="383">
      <c r="AD383" s="18"/>
    </row>
    <row r="384">
      <c r="AD384" s="18"/>
    </row>
    <row r="385">
      <c r="AD385" s="18"/>
    </row>
    <row r="386">
      <c r="AD386" s="18"/>
    </row>
    <row r="387">
      <c r="AD387" s="18"/>
    </row>
    <row r="388">
      <c r="AD388" s="18"/>
    </row>
    <row r="389">
      <c r="AD389" s="18"/>
    </row>
    <row r="390">
      <c r="AD390" s="18"/>
    </row>
    <row r="391">
      <c r="AD391" s="18"/>
    </row>
    <row r="392">
      <c r="AD392" s="18"/>
    </row>
    <row r="393">
      <c r="AD393" s="18"/>
    </row>
    <row r="394">
      <c r="AD394" s="18"/>
    </row>
    <row r="395">
      <c r="AD395" s="18"/>
    </row>
    <row r="396">
      <c r="AD396" s="18"/>
    </row>
    <row r="397">
      <c r="AD397" s="18"/>
    </row>
    <row r="398">
      <c r="AD398" s="18"/>
    </row>
    <row r="399">
      <c r="AD399" s="18"/>
    </row>
    <row r="400">
      <c r="AD400" s="18"/>
    </row>
    <row r="401">
      <c r="AD401" s="18"/>
    </row>
    <row r="402">
      <c r="AD402" s="18"/>
    </row>
    <row r="403">
      <c r="AD403" s="18"/>
    </row>
    <row r="404">
      <c r="AD404" s="18"/>
    </row>
    <row r="405">
      <c r="AD405" s="18"/>
    </row>
    <row r="406">
      <c r="AD406" s="18"/>
    </row>
    <row r="407">
      <c r="AD407" s="18"/>
    </row>
    <row r="408">
      <c r="AD408" s="18"/>
    </row>
    <row r="409">
      <c r="AD409" s="18"/>
    </row>
    <row r="410">
      <c r="AD410" s="18"/>
    </row>
    <row r="411">
      <c r="AD411" s="18"/>
    </row>
    <row r="412">
      <c r="AD412" s="18"/>
    </row>
    <row r="413">
      <c r="AD413" s="18"/>
    </row>
    <row r="414">
      <c r="AD414" s="18"/>
    </row>
    <row r="415">
      <c r="AD415" s="18"/>
    </row>
    <row r="416">
      <c r="AD416" s="18"/>
    </row>
    <row r="417">
      <c r="AD417" s="18"/>
    </row>
    <row r="418">
      <c r="AD418" s="18"/>
    </row>
    <row r="419">
      <c r="AD419" s="18"/>
    </row>
    <row r="420">
      <c r="AD420" s="18"/>
    </row>
    <row r="421">
      <c r="AD421" s="18"/>
    </row>
    <row r="422">
      <c r="AD422" s="18"/>
    </row>
    <row r="423">
      <c r="AD423" s="18"/>
    </row>
    <row r="424">
      <c r="AD424" s="18"/>
    </row>
    <row r="425">
      <c r="AD425" s="18"/>
    </row>
    <row r="426">
      <c r="AD426" s="18"/>
    </row>
    <row r="427">
      <c r="AD427" s="18"/>
    </row>
    <row r="428">
      <c r="AD428" s="18"/>
    </row>
    <row r="429">
      <c r="AD429" s="18"/>
    </row>
    <row r="430">
      <c r="AD430" s="18"/>
    </row>
    <row r="431">
      <c r="AD431" s="18"/>
    </row>
    <row r="432">
      <c r="AD432" s="18"/>
    </row>
    <row r="433">
      <c r="AD433" s="18"/>
    </row>
    <row r="434">
      <c r="AD434" s="18"/>
    </row>
    <row r="435">
      <c r="AD435" s="18"/>
    </row>
    <row r="436">
      <c r="AD436" s="18"/>
    </row>
    <row r="437">
      <c r="AD437" s="18"/>
    </row>
    <row r="438">
      <c r="AD438" s="18"/>
    </row>
    <row r="439">
      <c r="AD439" s="18"/>
    </row>
    <row r="440">
      <c r="AD440" s="18"/>
    </row>
    <row r="441">
      <c r="AD441" s="18"/>
    </row>
    <row r="442">
      <c r="AD442" s="18"/>
    </row>
    <row r="443">
      <c r="AD443" s="18"/>
    </row>
    <row r="444">
      <c r="AD444" s="18"/>
    </row>
    <row r="445">
      <c r="AD445" s="18"/>
    </row>
    <row r="446">
      <c r="AD446" s="18"/>
    </row>
    <row r="447">
      <c r="AD447" s="18"/>
    </row>
    <row r="448">
      <c r="AD448" s="18"/>
    </row>
    <row r="449">
      <c r="AD449" s="18"/>
    </row>
    <row r="450">
      <c r="AD450" s="18"/>
    </row>
    <row r="451">
      <c r="AD451" s="18"/>
    </row>
    <row r="452">
      <c r="AD452" s="18"/>
    </row>
    <row r="453">
      <c r="AD453" s="18"/>
    </row>
    <row r="454">
      <c r="AD454" s="18"/>
    </row>
    <row r="455">
      <c r="AD455" s="18"/>
    </row>
    <row r="456">
      <c r="AD456" s="18"/>
    </row>
    <row r="457">
      <c r="AD457" s="18"/>
    </row>
    <row r="458">
      <c r="AD458" s="18"/>
    </row>
    <row r="459">
      <c r="AD459" s="18"/>
    </row>
    <row r="460">
      <c r="AD460" s="18"/>
    </row>
    <row r="461">
      <c r="AD461" s="18"/>
    </row>
    <row r="462">
      <c r="AD462" s="18"/>
    </row>
    <row r="463">
      <c r="AD463" s="18"/>
    </row>
    <row r="464">
      <c r="AD464" s="18"/>
    </row>
    <row r="465">
      <c r="AD465" s="18"/>
    </row>
    <row r="466">
      <c r="AD466" s="18"/>
    </row>
    <row r="467">
      <c r="AD467" s="18"/>
    </row>
    <row r="468">
      <c r="AD468" s="18"/>
    </row>
    <row r="469">
      <c r="AD469" s="18"/>
    </row>
    <row r="470">
      <c r="AD470" s="18"/>
    </row>
    <row r="471">
      <c r="AD471" s="18"/>
    </row>
    <row r="472">
      <c r="AD472" s="18"/>
    </row>
    <row r="473">
      <c r="AD473" s="18"/>
    </row>
    <row r="474">
      <c r="AD474" s="18"/>
    </row>
    <row r="475">
      <c r="AD475" s="18"/>
    </row>
    <row r="476">
      <c r="AD476" s="18"/>
    </row>
    <row r="477">
      <c r="AD477" s="18"/>
    </row>
    <row r="478">
      <c r="AD478" s="18"/>
    </row>
    <row r="479">
      <c r="AD479" s="18"/>
    </row>
    <row r="480">
      <c r="AD480" s="18"/>
    </row>
    <row r="481">
      <c r="AD481" s="18"/>
    </row>
    <row r="482">
      <c r="AD482" s="18"/>
    </row>
    <row r="483">
      <c r="AD483" s="18"/>
    </row>
    <row r="484">
      <c r="AD484" s="18"/>
    </row>
    <row r="485">
      <c r="AD485" s="18"/>
    </row>
    <row r="486">
      <c r="AD486" s="18"/>
    </row>
    <row r="487">
      <c r="AD487" s="18"/>
    </row>
    <row r="488">
      <c r="AD488" s="18"/>
    </row>
    <row r="489">
      <c r="AD489" s="18"/>
    </row>
    <row r="490">
      <c r="AD490" s="18"/>
    </row>
    <row r="491">
      <c r="AD491" s="18"/>
    </row>
    <row r="492">
      <c r="AD492" s="18"/>
    </row>
    <row r="493">
      <c r="AD493" s="18"/>
    </row>
    <row r="494">
      <c r="AD494" s="18"/>
    </row>
    <row r="495">
      <c r="AD495" s="18"/>
    </row>
    <row r="496">
      <c r="AD496" s="18"/>
    </row>
    <row r="497">
      <c r="AD497" s="18"/>
    </row>
    <row r="498">
      <c r="AD498" s="18"/>
    </row>
    <row r="499">
      <c r="AD499" s="18"/>
    </row>
    <row r="500">
      <c r="AD500" s="18"/>
    </row>
    <row r="501">
      <c r="AD501" s="18"/>
    </row>
    <row r="502">
      <c r="AD502" s="18"/>
    </row>
    <row r="503">
      <c r="AD503" s="18"/>
    </row>
    <row r="504">
      <c r="AD504" s="18"/>
    </row>
    <row r="505">
      <c r="AD505" s="18"/>
    </row>
    <row r="506">
      <c r="AD506" s="18"/>
    </row>
    <row r="507">
      <c r="AD507" s="18"/>
    </row>
    <row r="508">
      <c r="AD508" s="18"/>
    </row>
    <row r="509">
      <c r="AD509" s="18"/>
    </row>
    <row r="510">
      <c r="AD510" s="18"/>
    </row>
    <row r="511">
      <c r="AD511" s="18"/>
    </row>
    <row r="512">
      <c r="AD512" s="18"/>
    </row>
    <row r="513">
      <c r="AD513" s="18"/>
    </row>
    <row r="514">
      <c r="AD514" s="18"/>
    </row>
    <row r="515">
      <c r="AD515" s="18"/>
    </row>
    <row r="516">
      <c r="AD516" s="18"/>
    </row>
    <row r="517">
      <c r="AD517" s="18"/>
    </row>
    <row r="518">
      <c r="AD518" s="18"/>
    </row>
    <row r="519">
      <c r="AD519" s="18"/>
    </row>
    <row r="520">
      <c r="AD520" s="18"/>
    </row>
    <row r="521">
      <c r="AD521" s="18"/>
    </row>
    <row r="522">
      <c r="AD522" s="18"/>
    </row>
    <row r="523">
      <c r="AD523" s="18"/>
    </row>
    <row r="524">
      <c r="AD524" s="18"/>
    </row>
    <row r="525">
      <c r="AD525" s="18"/>
    </row>
    <row r="526">
      <c r="AD526" s="18"/>
    </row>
    <row r="527">
      <c r="AD527" s="18"/>
    </row>
    <row r="528">
      <c r="AD528" s="18"/>
    </row>
    <row r="529">
      <c r="AD529" s="18"/>
    </row>
    <row r="530">
      <c r="AD530" s="18"/>
    </row>
    <row r="531">
      <c r="AD531" s="18"/>
    </row>
    <row r="532">
      <c r="AD532" s="18"/>
    </row>
    <row r="533">
      <c r="AD533" s="18"/>
    </row>
    <row r="534">
      <c r="AD534" s="18"/>
    </row>
    <row r="535">
      <c r="AD535" s="18"/>
    </row>
    <row r="536">
      <c r="AD536" s="18"/>
    </row>
    <row r="537">
      <c r="AD537" s="18"/>
    </row>
    <row r="538">
      <c r="AD538" s="18"/>
    </row>
    <row r="539">
      <c r="AD539" s="18"/>
    </row>
    <row r="540">
      <c r="AD540" s="18"/>
    </row>
    <row r="541">
      <c r="AD541" s="18"/>
    </row>
    <row r="542">
      <c r="AD542" s="18"/>
    </row>
    <row r="543">
      <c r="AD543" s="18"/>
    </row>
    <row r="544">
      <c r="AD544" s="18"/>
    </row>
    <row r="545">
      <c r="AD545" s="18"/>
    </row>
    <row r="546">
      <c r="AD546" s="18"/>
    </row>
    <row r="547">
      <c r="AD547" s="18"/>
    </row>
    <row r="548">
      <c r="AD548" s="18"/>
    </row>
    <row r="549">
      <c r="AD549" s="18"/>
    </row>
    <row r="550">
      <c r="AD550" s="18"/>
    </row>
    <row r="551">
      <c r="AD551" s="18"/>
    </row>
    <row r="552">
      <c r="AD552" s="18"/>
    </row>
    <row r="553">
      <c r="AD553" s="18"/>
    </row>
    <row r="554">
      <c r="AD554" s="18"/>
    </row>
    <row r="555">
      <c r="AD555" s="18"/>
    </row>
    <row r="556">
      <c r="AD556" s="18"/>
    </row>
    <row r="557">
      <c r="AD557" s="18"/>
    </row>
    <row r="558">
      <c r="AD558" s="18"/>
    </row>
    <row r="559">
      <c r="AD559" s="18"/>
    </row>
    <row r="560">
      <c r="AD560" s="18"/>
    </row>
    <row r="561">
      <c r="AD561" s="18"/>
    </row>
    <row r="562">
      <c r="AD562" s="18"/>
    </row>
    <row r="563">
      <c r="AD563" s="18"/>
    </row>
    <row r="564">
      <c r="AD564" s="18"/>
    </row>
    <row r="565">
      <c r="AD565" s="18"/>
    </row>
    <row r="566">
      <c r="AD566" s="18"/>
    </row>
    <row r="567">
      <c r="AD567" s="18"/>
    </row>
    <row r="568">
      <c r="AD568" s="18"/>
    </row>
    <row r="569">
      <c r="AD569" s="18"/>
    </row>
    <row r="570">
      <c r="AD570" s="18"/>
    </row>
    <row r="571">
      <c r="AD571" s="18"/>
    </row>
    <row r="572">
      <c r="AD572" s="18"/>
    </row>
    <row r="573">
      <c r="AD573" s="18"/>
    </row>
    <row r="574">
      <c r="AD574" s="18"/>
    </row>
    <row r="575">
      <c r="AD575" s="18"/>
    </row>
    <row r="576">
      <c r="AD576" s="18"/>
    </row>
    <row r="577">
      <c r="AD577" s="18"/>
    </row>
    <row r="578">
      <c r="AD578" s="18"/>
    </row>
    <row r="579">
      <c r="AD579" s="18"/>
    </row>
    <row r="580">
      <c r="AD580" s="18"/>
    </row>
    <row r="581">
      <c r="AD581" s="18"/>
    </row>
    <row r="582">
      <c r="AD582" s="18"/>
    </row>
    <row r="583">
      <c r="AD583" s="18"/>
    </row>
    <row r="584">
      <c r="AD584" s="18"/>
    </row>
    <row r="585">
      <c r="AD585" s="18"/>
    </row>
    <row r="586">
      <c r="AD586" s="18"/>
    </row>
    <row r="587">
      <c r="AD587" s="18"/>
    </row>
    <row r="588">
      <c r="AD588" s="18"/>
    </row>
    <row r="589">
      <c r="AD589" s="18"/>
    </row>
    <row r="590">
      <c r="AD590" s="18"/>
    </row>
    <row r="591">
      <c r="AD591" s="18"/>
    </row>
    <row r="592">
      <c r="AD592" s="18"/>
    </row>
    <row r="593">
      <c r="AD593" s="18"/>
    </row>
    <row r="594">
      <c r="AD594" s="18"/>
    </row>
    <row r="595">
      <c r="AD595" s="18"/>
    </row>
    <row r="596">
      <c r="AD596" s="18"/>
    </row>
    <row r="597">
      <c r="AD597" s="18"/>
    </row>
    <row r="598">
      <c r="AD598" s="18"/>
    </row>
    <row r="599">
      <c r="AD599" s="18"/>
    </row>
    <row r="600">
      <c r="AD600" s="18"/>
    </row>
    <row r="601">
      <c r="AD601" s="18"/>
    </row>
    <row r="602">
      <c r="AD602" s="18"/>
    </row>
    <row r="603">
      <c r="AD603" s="18"/>
    </row>
    <row r="604">
      <c r="AD604" s="18"/>
    </row>
    <row r="605">
      <c r="AD605" s="18"/>
    </row>
    <row r="606">
      <c r="AD606" s="18"/>
    </row>
    <row r="607">
      <c r="AD607" s="18"/>
    </row>
    <row r="608">
      <c r="AD608" s="18"/>
    </row>
    <row r="609">
      <c r="AD609" s="18"/>
    </row>
    <row r="610">
      <c r="AD610" s="18"/>
    </row>
    <row r="611">
      <c r="AD611" s="18"/>
    </row>
    <row r="612">
      <c r="AD612" s="18"/>
    </row>
    <row r="613">
      <c r="AD613" s="18"/>
    </row>
    <row r="614">
      <c r="AD614" s="18"/>
    </row>
    <row r="615">
      <c r="AD615" s="18"/>
    </row>
    <row r="616">
      <c r="AD616" s="18"/>
    </row>
    <row r="617">
      <c r="AD617" s="18"/>
    </row>
    <row r="618">
      <c r="AD618" s="18"/>
    </row>
    <row r="619">
      <c r="AD619" s="18"/>
    </row>
    <row r="620">
      <c r="AD620" s="18"/>
    </row>
    <row r="621">
      <c r="AD621" s="18"/>
    </row>
    <row r="622">
      <c r="AD622" s="18"/>
    </row>
    <row r="623">
      <c r="AD623" s="18"/>
    </row>
    <row r="624">
      <c r="AD624" s="18"/>
    </row>
    <row r="625">
      <c r="AD625" s="18"/>
    </row>
    <row r="626">
      <c r="AD626" s="18"/>
    </row>
    <row r="627">
      <c r="AD627" s="18"/>
    </row>
    <row r="628">
      <c r="AD628" s="18"/>
    </row>
    <row r="629">
      <c r="AD629" s="18"/>
    </row>
    <row r="630">
      <c r="AD630" s="18"/>
    </row>
    <row r="631">
      <c r="AD631" s="18"/>
    </row>
    <row r="632">
      <c r="AD632" s="18"/>
    </row>
    <row r="633">
      <c r="AD633" s="18"/>
    </row>
    <row r="634">
      <c r="AD634" s="18"/>
    </row>
    <row r="635">
      <c r="AD635" s="18"/>
    </row>
    <row r="636">
      <c r="AD636" s="18"/>
    </row>
    <row r="637">
      <c r="AD637" s="18"/>
    </row>
    <row r="638">
      <c r="AD638" s="18"/>
    </row>
    <row r="639">
      <c r="AD639" s="18"/>
    </row>
    <row r="640">
      <c r="AD640" s="18"/>
    </row>
    <row r="641">
      <c r="AD641" s="18"/>
    </row>
    <row r="642">
      <c r="AD642" s="18"/>
    </row>
    <row r="643">
      <c r="AD643" s="18"/>
    </row>
    <row r="644">
      <c r="AD644" s="18"/>
    </row>
    <row r="645">
      <c r="AD645" s="18"/>
    </row>
    <row r="646">
      <c r="AD646" s="18"/>
    </row>
    <row r="647">
      <c r="AD647" s="18"/>
    </row>
    <row r="648">
      <c r="AD648" s="18"/>
    </row>
    <row r="649">
      <c r="AD649" s="18"/>
    </row>
    <row r="650">
      <c r="AD650" s="18"/>
    </row>
    <row r="651">
      <c r="AD651" s="18"/>
    </row>
    <row r="652">
      <c r="AD652" s="18"/>
    </row>
    <row r="653">
      <c r="AD653" s="18"/>
    </row>
    <row r="654">
      <c r="AD654" s="18"/>
    </row>
    <row r="655">
      <c r="AD655" s="18"/>
    </row>
    <row r="656">
      <c r="AD656" s="18"/>
    </row>
    <row r="657">
      <c r="AD657" s="18"/>
    </row>
    <row r="658">
      <c r="AD658" s="18"/>
    </row>
    <row r="659">
      <c r="AD659" s="18"/>
    </row>
    <row r="660">
      <c r="AD660" s="18"/>
    </row>
    <row r="661">
      <c r="AD661" s="18"/>
    </row>
    <row r="662">
      <c r="AD662" s="18"/>
    </row>
    <row r="663">
      <c r="AD663" s="18"/>
    </row>
    <row r="664">
      <c r="AD664" s="18"/>
    </row>
    <row r="665">
      <c r="AD665" s="18"/>
    </row>
    <row r="666">
      <c r="AD666" s="18"/>
    </row>
    <row r="667">
      <c r="AD667" s="18"/>
    </row>
    <row r="668">
      <c r="AD668" s="18"/>
    </row>
    <row r="669">
      <c r="AD669" s="18"/>
    </row>
    <row r="670">
      <c r="AD670" s="18"/>
    </row>
    <row r="671">
      <c r="AD671" s="18"/>
    </row>
    <row r="672">
      <c r="AD672" s="18"/>
    </row>
    <row r="673">
      <c r="AD673" s="18"/>
    </row>
    <row r="674">
      <c r="AD674" s="18"/>
    </row>
    <row r="675">
      <c r="AD675" s="18"/>
    </row>
    <row r="676">
      <c r="AD676" s="18"/>
    </row>
    <row r="677">
      <c r="AD677" s="18"/>
    </row>
    <row r="678">
      <c r="AD678" s="18"/>
    </row>
    <row r="679">
      <c r="AD679" s="18"/>
    </row>
    <row r="680">
      <c r="AD680" s="18"/>
    </row>
    <row r="681">
      <c r="AD681" s="18"/>
    </row>
    <row r="682">
      <c r="AD682" s="18"/>
    </row>
    <row r="683">
      <c r="AD683" s="18"/>
    </row>
    <row r="684">
      <c r="AD684" s="18"/>
    </row>
    <row r="685">
      <c r="AD685" s="18"/>
    </row>
    <row r="686">
      <c r="AD686" s="18"/>
    </row>
    <row r="687">
      <c r="AD687" s="18"/>
    </row>
    <row r="688">
      <c r="AD688" s="18"/>
    </row>
    <row r="689">
      <c r="AD689" s="18"/>
    </row>
    <row r="690">
      <c r="AD690" s="18"/>
    </row>
    <row r="691">
      <c r="AD691" s="18"/>
    </row>
    <row r="692">
      <c r="AD692" s="18"/>
    </row>
    <row r="693">
      <c r="AD693" s="18"/>
    </row>
    <row r="694">
      <c r="AD694" s="18"/>
    </row>
    <row r="695">
      <c r="AD695" s="18"/>
    </row>
    <row r="696">
      <c r="AD696" s="18"/>
    </row>
    <row r="697">
      <c r="AD697" s="18"/>
    </row>
    <row r="698">
      <c r="AD698" s="18"/>
    </row>
    <row r="699">
      <c r="AD699" s="18"/>
    </row>
    <row r="700">
      <c r="AD700" s="18"/>
    </row>
    <row r="701">
      <c r="AD701" s="18"/>
    </row>
    <row r="702">
      <c r="AD702" s="18"/>
    </row>
    <row r="703">
      <c r="AD703" s="18"/>
    </row>
    <row r="704">
      <c r="AD704" s="18"/>
    </row>
    <row r="705">
      <c r="AD705" s="18"/>
    </row>
    <row r="706">
      <c r="AD706" s="18"/>
    </row>
    <row r="707">
      <c r="AD707" s="18"/>
    </row>
    <row r="708">
      <c r="AD708" s="18"/>
    </row>
    <row r="709">
      <c r="AD709" s="18"/>
    </row>
    <row r="710">
      <c r="AD710" s="18"/>
    </row>
    <row r="711">
      <c r="AD711" s="18"/>
    </row>
    <row r="712">
      <c r="AD712" s="18"/>
    </row>
    <row r="713">
      <c r="AD713" s="18"/>
    </row>
    <row r="714">
      <c r="AD714" s="18"/>
    </row>
    <row r="715">
      <c r="AD715" s="18"/>
    </row>
    <row r="716">
      <c r="AD716" s="18"/>
    </row>
    <row r="717">
      <c r="AD717" s="18"/>
    </row>
    <row r="718">
      <c r="AD718" s="18"/>
    </row>
    <row r="719">
      <c r="AD719" s="18"/>
    </row>
    <row r="720">
      <c r="AD720" s="18"/>
    </row>
    <row r="721">
      <c r="AD721" s="18"/>
    </row>
    <row r="722">
      <c r="AD722" s="18"/>
    </row>
    <row r="723">
      <c r="AD723" s="18"/>
    </row>
    <row r="724">
      <c r="AD724" s="18"/>
    </row>
    <row r="725">
      <c r="AD725" s="18"/>
    </row>
    <row r="726">
      <c r="AD726" s="18"/>
    </row>
    <row r="727">
      <c r="AD727" s="18"/>
    </row>
    <row r="728">
      <c r="AD728" s="18"/>
    </row>
    <row r="729">
      <c r="AD729" s="18"/>
    </row>
    <row r="730">
      <c r="AD730" s="18"/>
    </row>
    <row r="731">
      <c r="AD731" s="18"/>
    </row>
    <row r="732">
      <c r="AD732" s="18"/>
    </row>
    <row r="733">
      <c r="AD733" s="18"/>
    </row>
    <row r="734">
      <c r="AD734" s="18"/>
    </row>
    <row r="735">
      <c r="AD735" s="18"/>
    </row>
    <row r="736">
      <c r="AD736" s="18"/>
    </row>
    <row r="737">
      <c r="AD737" s="18"/>
    </row>
    <row r="738">
      <c r="AD738" s="18"/>
    </row>
    <row r="739">
      <c r="AD739" s="18"/>
    </row>
    <row r="740">
      <c r="AD740" s="18"/>
    </row>
    <row r="741">
      <c r="AD741" s="18"/>
    </row>
    <row r="742">
      <c r="AD742" s="18"/>
    </row>
    <row r="743">
      <c r="AD743" s="18"/>
    </row>
    <row r="744">
      <c r="AD744" s="18"/>
    </row>
    <row r="745">
      <c r="AD745" s="18"/>
    </row>
    <row r="746">
      <c r="AD746" s="18"/>
    </row>
    <row r="747">
      <c r="AD747" s="18"/>
    </row>
    <row r="748">
      <c r="AD748" s="18"/>
    </row>
    <row r="749">
      <c r="AD749" s="18"/>
    </row>
    <row r="750">
      <c r="AD750" s="18"/>
    </row>
    <row r="751">
      <c r="AD751" s="18"/>
    </row>
    <row r="752">
      <c r="AD752" s="18"/>
    </row>
    <row r="753">
      <c r="AD753" s="18"/>
    </row>
    <row r="754">
      <c r="AD754" s="18"/>
    </row>
    <row r="755">
      <c r="AD755" s="18"/>
    </row>
    <row r="756">
      <c r="AD756" s="18"/>
    </row>
    <row r="757">
      <c r="AD757" s="18"/>
    </row>
    <row r="758">
      <c r="AD758" s="18"/>
    </row>
    <row r="759">
      <c r="AD759" s="18"/>
    </row>
    <row r="760">
      <c r="AD760" s="18"/>
    </row>
    <row r="761">
      <c r="AD761" s="18"/>
    </row>
    <row r="762">
      <c r="AD762" s="18"/>
    </row>
    <row r="763">
      <c r="AD763" s="18"/>
    </row>
    <row r="764">
      <c r="AD764" s="18"/>
    </row>
    <row r="765">
      <c r="AD765" s="18"/>
    </row>
    <row r="766">
      <c r="AD766" s="18"/>
    </row>
    <row r="767">
      <c r="AD767" s="18"/>
    </row>
    <row r="768">
      <c r="AD768" s="18"/>
    </row>
    <row r="769">
      <c r="AD769" s="18"/>
    </row>
    <row r="770">
      <c r="AD770" s="18"/>
    </row>
    <row r="771">
      <c r="AD771" s="18"/>
    </row>
    <row r="772">
      <c r="AD772" s="18"/>
    </row>
    <row r="773">
      <c r="AD773" s="18"/>
    </row>
    <row r="774">
      <c r="AD774" s="18"/>
    </row>
    <row r="775">
      <c r="AD775" s="18"/>
    </row>
    <row r="776">
      <c r="AD776" s="18"/>
    </row>
    <row r="777">
      <c r="AD777" s="18"/>
    </row>
    <row r="778">
      <c r="AD778" s="18"/>
    </row>
    <row r="779">
      <c r="AD779" s="18"/>
    </row>
    <row r="780">
      <c r="AD780" s="18"/>
    </row>
    <row r="781">
      <c r="AD781" s="18"/>
    </row>
    <row r="782">
      <c r="AD782" s="18"/>
    </row>
    <row r="783">
      <c r="AD783" s="18"/>
    </row>
    <row r="784">
      <c r="AD784" s="18"/>
    </row>
    <row r="785">
      <c r="AD785" s="18"/>
    </row>
    <row r="786">
      <c r="AD786" s="18"/>
    </row>
    <row r="787">
      <c r="AD787" s="18"/>
    </row>
    <row r="788">
      <c r="AD788" s="18"/>
    </row>
    <row r="789">
      <c r="AD789" s="18"/>
    </row>
    <row r="790">
      <c r="AD790" s="18"/>
    </row>
    <row r="791">
      <c r="AD791" s="18"/>
    </row>
    <row r="792">
      <c r="AD792" s="18"/>
    </row>
    <row r="793">
      <c r="AD793" s="18"/>
    </row>
    <row r="794">
      <c r="AD794" s="18"/>
    </row>
    <row r="795">
      <c r="AD795" s="18"/>
    </row>
    <row r="796">
      <c r="AD796" s="18"/>
    </row>
    <row r="797">
      <c r="AD797" s="18"/>
    </row>
    <row r="798">
      <c r="AD798" s="18"/>
    </row>
    <row r="799">
      <c r="AD799" s="18"/>
    </row>
    <row r="800">
      <c r="AD800" s="18"/>
    </row>
    <row r="801">
      <c r="AD801" s="18"/>
    </row>
    <row r="802">
      <c r="AD802" s="18"/>
    </row>
    <row r="803">
      <c r="AD803" s="18"/>
    </row>
    <row r="804">
      <c r="AD804" s="18"/>
    </row>
    <row r="805">
      <c r="AD805" s="18"/>
    </row>
    <row r="806">
      <c r="AD806" s="18"/>
    </row>
    <row r="807">
      <c r="AD807" s="18"/>
    </row>
    <row r="808">
      <c r="AD808" s="18"/>
    </row>
    <row r="809">
      <c r="AD809" s="18"/>
    </row>
    <row r="810">
      <c r="AD810" s="18"/>
    </row>
    <row r="811">
      <c r="AD811" s="18"/>
    </row>
    <row r="812">
      <c r="AD812" s="18"/>
    </row>
    <row r="813">
      <c r="AD813" s="18"/>
    </row>
    <row r="814">
      <c r="AD814" s="18"/>
    </row>
    <row r="815">
      <c r="AD815" s="18"/>
    </row>
    <row r="816">
      <c r="AD816" s="18"/>
    </row>
    <row r="817">
      <c r="AD817" s="18"/>
    </row>
    <row r="818">
      <c r="AD818" s="18"/>
    </row>
    <row r="819">
      <c r="AD819" s="18"/>
    </row>
    <row r="820">
      <c r="AD820" s="18"/>
    </row>
    <row r="821">
      <c r="AD821" s="18"/>
    </row>
    <row r="822">
      <c r="AD822" s="18"/>
    </row>
    <row r="823">
      <c r="AD823" s="18"/>
    </row>
    <row r="824">
      <c r="AD824" s="18"/>
    </row>
    <row r="825">
      <c r="AD825" s="18"/>
    </row>
    <row r="826">
      <c r="AD826" s="18"/>
    </row>
    <row r="827">
      <c r="AD827" s="18"/>
    </row>
    <row r="828">
      <c r="AD828" s="18"/>
    </row>
    <row r="829">
      <c r="AD829" s="18"/>
    </row>
    <row r="830">
      <c r="AD830" s="18"/>
    </row>
    <row r="831">
      <c r="AD831" s="18"/>
    </row>
    <row r="832">
      <c r="AD832" s="18"/>
    </row>
    <row r="833">
      <c r="AD833" s="18"/>
    </row>
    <row r="834">
      <c r="AD834" s="18"/>
    </row>
    <row r="835">
      <c r="AD835" s="18"/>
    </row>
    <row r="836">
      <c r="AD836" s="18"/>
    </row>
    <row r="837">
      <c r="AD837" s="18"/>
    </row>
    <row r="838">
      <c r="AD838" s="18"/>
    </row>
    <row r="839">
      <c r="AD839" s="18"/>
    </row>
    <row r="840">
      <c r="AD840" s="18"/>
    </row>
    <row r="841">
      <c r="AD841" s="18"/>
    </row>
    <row r="842">
      <c r="AD842" s="18"/>
    </row>
    <row r="843">
      <c r="AD843" s="18"/>
    </row>
    <row r="844">
      <c r="AD844" s="18"/>
    </row>
    <row r="845">
      <c r="AD845" s="18"/>
    </row>
    <row r="846">
      <c r="AD846" s="18"/>
    </row>
    <row r="847">
      <c r="AD847" s="18"/>
    </row>
    <row r="848">
      <c r="AD848" s="18"/>
    </row>
    <row r="849">
      <c r="AD849" s="18"/>
    </row>
    <row r="850">
      <c r="AD850" s="18"/>
    </row>
    <row r="851">
      <c r="AD851" s="18"/>
    </row>
    <row r="852">
      <c r="AD852" s="18"/>
    </row>
    <row r="853">
      <c r="AD853" s="18"/>
    </row>
    <row r="854">
      <c r="AD854" s="18"/>
    </row>
    <row r="855">
      <c r="AD855" s="18"/>
    </row>
    <row r="856">
      <c r="AD856" s="18"/>
    </row>
    <row r="857">
      <c r="AD857" s="18"/>
    </row>
    <row r="858">
      <c r="AD858" s="18"/>
    </row>
    <row r="859">
      <c r="AD859" s="18"/>
    </row>
    <row r="860">
      <c r="AD860" s="18"/>
    </row>
    <row r="861">
      <c r="AD861" s="18"/>
    </row>
    <row r="862">
      <c r="AD862" s="18"/>
    </row>
    <row r="863">
      <c r="AD863" s="18"/>
    </row>
    <row r="864">
      <c r="AD864" s="18"/>
    </row>
    <row r="865">
      <c r="AD865" s="18"/>
    </row>
    <row r="866">
      <c r="AD866" s="18"/>
    </row>
    <row r="867">
      <c r="AD867" s="18"/>
    </row>
    <row r="868">
      <c r="AD868" s="18"/>
    </row>
    <row r="869">
      <c r="AD869" s="18"/>
    </row>
    <row r="870">
      <c r="AD870" s="18"/>
    </row>
    <row r="871">
      <c r="AD871" s="18"/>
    </row>
    <row r="872">
      <c r="AD872" s="18"/>
    </row>
    <row r="873">
      <c r="AD873" s="18"/>
    </row>
    <row r="874">
      <c r="AD874" s="18"/>
    </row>
    <row r="875">
      <c r="AD875" s="18"/>
    </row>
    <row r="876">
      <c r="AD876" s="18"/>
    </row>
    <row r="877">
      <c r="AD877" s="18"/>
    </row>
    <row r="878">
      <c r="AD878" s="18"/>
    </row>
    <row r="879">
      <c r="AD879" s="18"/>
    </row>
    <row r="880">
      <c r="AD880" s="18"/>
    </row>
    <row r="881">
      <c r="AD881" s="18"/>
    </row>
    <row r="882">
      <c r="AD882" s="18"/>
    </row>
    <row r="883">
      <c r="AD883" s="18"/>
    </row>
    <row r="884">
      <c r="AD884" s="18"/>
    </row>
    <row r="885">
      <c r="AD885" s="18"/>
    </row>
    <row r="886">
      <c r="AD886" s="18"/>
    </row>
    <row r="887">
      <c r="AD887" s="18"/>
    </row>
    <row r="888">
      <c r="AD888" s="18"/>
    </row>
    <row r="889">
      <c r="AD889" s="18"/>
    </row>
    <row r="890">
      <c r="AD890" s="18"/>
    </row>
    <row r="891">
      <c r="AD891" s="18"/>
    </row>
    <row r="892">
      <c r="AD892" s="18"/>
    </row>
    <row r="893">
      <c r="AD893" s="18"/>
    </row>
    <row r="894">
      <c r="AD894" s="18"/>
    </row>
    <row r="895">
      <c r="AD895" s="18"/>
    </row>
    <row r="896">
      <c r="AD896" s="18"/>
    </row>
    <row r="897">
      <c r="AD897" s="18"/>
    </row>
    <row r="898">
      <c r="AD898" s="18"/>
    </row>
    <row r="899">
      <c r="AD899" s="18"/>
    </row>
    <row r="900">
      <c r="AD900" s="18"/>
    </row>
    <row r="901">
      <c r="AD901" s="18"/>
    </row>
    <row r="902">
      <c r="AD902" s="18"/>
    </row>
    <row r="903">
      <c r="AD903" s="18"/>
    </row>
    <row r="904">
      <c r="AD904" s="18"/>
    </row>
    <row r="905">
      <c r="AD905" s="18"/>
    </row>
    <row r="906">
      <c r="AD906" s="18"/>
    </row>
    <row r="907">
      <c r="AD907" s="18"/>
    </row>
    <row r="908">
      <c r="AD908" s="18"/>
    </row>
    <row r="909">
      <c r="AD909" s="18"/>
    </row>
    <row r="910">
      <c r="AD910" s="18"/>
    </row>
    <row r="911">
      <c r="AD911" s="18"/>
    </row>
    <row r="912">
      <c r="AD912" s="18"/>
    </row>
    <row r="913">
      <c r="AD913" s="18"/>
    </row>
    <row r="914">
      <c r="AD914" s="18"/>
    </row>
    <row r="915">
      <c r="AD915" s="18"/>
    </row>
    <row r="916">
      <c r="AD916" s="18"/>
    </row>
    <row r="917">
      <c r="AD917" s="18"/>
    </row>
    <row r="918">
      <c r="AD918" s="18"/>
    </row>
    <row r="919">
      <c r="AD919" s="18"/>
    </row>
    <row r="920">
      <c r="AD920" s="18"/>
    </row>
    <row r="921">
      <c r="AD921" s="18"/>
    </row>
    <row r="922">
      <c r="AD922" s="18"/>
    </row>
    <row r="923">
      <c r="AD923" s="18"/>
    </row>
    <row r="924">
      <c r="AD924" s="18"/>
    </row>
    <row r="925">
      <c r="AD925" s="18"/>
    </row>
    <row r="926">
      <c r="AD926" s="18"/>
    </row>
    <row r="927">
      <c r="AD927" s="18"/>
    </row>
    <row r="928">
      <c r="AD928" s="18"/>
    </row>
    <row r="929">
      <c r="AD929" s="18"/>
    </row>
    <row r="930">
      <c r="AD930" s="18"/>
    </row>
    <row r="931">
      <c r="AD931" s="18"/>
    </row>
    <row r="932">
      <c r="AD932" s="18"/>
    </row>
    <row r="933">
      <c r="AD933" s="18"/>
    </row>
    <row r="934">
      <c r="AD934" s="18"/>
    </row>
    <row r="935">
      <c r="AD935" s="18"/>
    </row>
    <row r="936">
      <c r="AD936" s="18"/>
    </row>
    <row r="937">
      <c r="AD937" s="18"/>
    </row>
    <row r="938">
      <c r="AD938" s="18"/>
    </row>
    <row r="939">
      <c r="AD939" s="18"/>
    </row>
    <row r="940">
      <c r="AD940" s="18"/>
    </row>
    <row r="941">
      <c r="AD941" s="18"/>
    </row>
    <row r="942">
      <c r="AD942" s="18"/>
    </row>
    <row r="943">
      <c r="AD943" s="18"/>
    </row>
    <row r="944">
      <c r="AD944" s="18"/>
    </row>
    <row r="945">
      <c r="AD945" s="18"/>
    </row>
    <row r="946">
      <c r="AD946" s="18"/>
    </row>
    <row r="947">
      <c r="AD947" s="18"/>
    </row>
    <row r="948">
      <c r="AD948" s="18"/>
    </row>
    <row r="949">
      <c r="AD949" s="18"/>
    </row>
    <row r="950">
      <c r="AD950" s="18"/>
    </row>
    <row r="951">
      <c r="AD951" s="18"/>
    </row>
    <row r="952">
      <c r="AD952" s="18"/>
    </row>
    <row r="953">
      <c r="AD953" s="18"/>
    </row>
    <row r="954">
      <c r="AD954" s="18"/>
    </row>
    <row r="955">
      <c r="AD955" s="18"/>
    </row>
    <row r="956">
      <c r="AD956" s="18"/>
    </row>
    <row r="957">
      <c r="AD957" s="18"/>
    </row>
    <row r="958">
      <c r="AD958" s="18"/>
    </row>
    <row r="959">
      <c r="AD959" s="18"/>
    </row>
    <row r="960">
      <c r="AD960" s="18"/>
    </row>
    <row r="961">
      <c r="AD961" s="18"/>
    </row>
    <row r="962">
      <c r="AD962" s="18"/>
    </row>
    <row r="963">
      <c r="AD963" s="18"/>
    </row>
    <row r="964">
      <c r="AD964" s="18"/>
    </row>
    <row r="965">
      <c r="AD965" s="18"/>
    </row>
    <row r="966">
      <c r="AD966" s="18"/>
    </row>
    <row r="967">
      <c r="AD967" s="18"/>
    </row>
    <row r="968">
      <c r="AD968" s="18"/>
    </row>
    <row r="969">
      <c r="AD969" s="18"/>
    </row>
    <row r="970">
      <c r="AD970" s="18"/>
    </row>
    <row r="971">
      <c r="AD971" s="18"/>
    </row>
    <row r="972">
      <c r="AD972" s="18"/>
    </row>
    <row r="973">
      <c r="AD973" s="18"/>
    </row>
    <row r="974">
      <c r="AD974" s="18"/>
    </row>
    <row r="975">
      <c r="AD975" s="18"/>
    </row>
    <row r="976">
      <c r="AD976" s="18"/>
    </row>
    <row r="977">
      <c r="AD977" s="18"/>
    </row>
    <row r="978">
      <c r="AD978" s="18"/>
    </row>
    <row r="979">
      <c r="AD979" s="18"/>
    </row>
    <row r="980">
      <c r="AD980" s="18"/>
    </row>
    <row r="981">
      <c r="AD981" s="18"/>
    </row>
    <row r="982">
      <c r="AD982" s="18"/>
    </row>
    <row r="983">
      <c r="AD983" s="18"/>
    </row>
    <row r="984">
      <c r="AD984" s="18"/>
    </row>
    <row r="985">
      <c r="AD985" s="18"/>
    </row>
    <row r="986">
      <c r="AD986" s="18"/>
    </row>
    <row r="987">
      <c r="AD987" s="18"/>
    </row>
    <row r="988">
      <c r="AD988" s="18"/>
    </row>
    <row r="989">
      <c r="AD989" s="18"/>
    </row>
    <row r="990">
      <c r="AD990" s="18"/>
    </row>
    <row r="991">
      <c r="AD991" s="18"/>
    </row>
    <row r="992">
      <c r="AD992" s="18"/>
    </row>
    <row r="993">
      <c r="AD993" s="18"/>
    </row>
    <row r="994">
      <c r="AD994" s="18"/>
    </row>
    <row r="995">
      <c r="AD995" s="18"/>
    </row>
    <row r="996">
      <c r="AD996" s="18"/>
    </row>
    <row r="997">
      <c r="AD997" s="18"/>
    </row>
    <row r="998">
      <c r="AD998" s="18"/>
    </row>
    <row r="999">
      <c r="AD999" s="18"/>
    </row>
    <row r="1000">
      <c r="AD1000" s="18"/>
    </row>
  </sheetData>
  <hyperlinks>
    <hyperlink r:id="rId1" ref="AD2"/>
    <hyperlink r:id="rId2" ref="AD3"/>
    <hyperlink r:id="rId3" ref="AD4"/>
    <hyperlink r:id="rId4" ref="AD5"/>
    <hyperlink r:id="rId5" ref="AD6"/>
    <hyperlink r:id="rId6" ref="AD7"/>
    <hyperlink r:id="rId7" ref="AD8"/>
    <hyperlink r:id="rId8" ref="AD9"/>
    <hyperlink r:id="rId9" ref="AD10"/>
    <hyperlink r:id="rId10" ref="AD11"/>
    <hyperlink r:id="rId11" ref="AD12"/>
    <hyperlink r:id="rId12" ref="AD13"/>
    <hyperlink r:id="rId13" ref="AD14"/>
    <hyperlink r:id="rId14" ref="AD15"/>
    <hyperlink r:id="rId15" ref="AD16"/>
    <hyperlink r:id="rId16" ref="AD17"/>
    <hyperlink r:id="rId17" ref="AD18"/>
    <hyperlink r:id="rId18" ref="AD19"/>
    <hyperlink r:id="rId19" ref="AD20"/>
    <hyperlink r:id="rId20" ref="AD21"/>
    <hyperlink r:id="rId21" ref="AD22"/>
    <hyperlink r:id="rId22" ref="AD23"/>
    <hyperlink r:id="rId23" ref="AD24"/>
    <hyperlink r:id="rId24" ref="AD25"/>
    <hyperlink r:id="rId25" ref="AD26"/>
    <hyperlink r:id="rId26" ref="AD27"/>
    <hyperlink r:id="rId27" ref="AD28"/>
    <hyperlink r:id="rId28" ref="AD29"/>
    <hyperlink r:id="rId29" ref="AD30"/>
    <hyperlink r:id="rId30" ref="AD31"/>
    <hyperlink r:id="rId31" ref="AD32"/>
    <hyperlink r:id="rId32" ref="AD33"/>
    <hyperlink r:id="rId33" ref="AD34"/>
    <hyperlink r:id="rId34" ref="AD35"/>
    <hyperlink r:id="rId35" ref="AD36"/>
    <hyperlink r:id="rId36" ref="AD37"/>
    <hyperlink r:id="rId37" ref="AD38"/>
    <hyperlink r:id="rId38" ref="AD39"/>
    <hyperlink r:id="rId39" ref="AD40"/>
    <hyperlink r:id="rId40" ref="AD41"/>
    <hyperlink r:id="rId41" ref="AD42"/>
    <hyperlink r:id="rId42" ref="AD43"/>
    <hyperlink r:id="rId43" ref="AD44"/>
    <hyperlink r:id="rId44" ref="AD45"/>
    <hyperlink r:id="rId45" ref="AD46"/>
    <hyperlink r:id="rId46" ref="AD47"/>
    <hyperlink r:id="rId47" ref="AD48"/>
    <hyperlink r:id="rId48" ref="AD49"/>
    <hyperlink r:id="rId49" ref="AD50"/>
    <hyperlink r:id="rId50" ref="AD51"/>
    <hyperlink r:id="rId51" ref="AD52"/>
    <hyperlink r:id="rId52" ref="AD53"/>
    <hyperlink r:id="rId53" ref="AD54"/>
    <hyperlink r:id="rId54" ref="AD55"/>
    <hyperlink r:id="rId55" ref="AD56"/>
    <hyperlink r:id="rId56" ref="AD57"/>
    <hyperlink r:id="rId57" ref="AD58"/>
    <hyperlink r:id="rId58" ref="AD59"/>
    <hyperlink r:id="rId59" ref="AD60"/>
    <hyperlink r:id="rId60" ref="AD61"/>
    <hyperlink r:id="rId61" ref="AD62"/>
    <hyperlink r:id="rId62" ref="AD63"/>
    <hyperlink r:id="rId63" ref="AD64"/>
    <hyperlink r:id="rId64" ref="AD65"/>
    <hyperlink r:id="rId65" ref="AD66"/>
    <hyperlink r:id="rId66" ref="AD67"/>
    <hyperlink r:id="rId67" ref="AD68"/>
    <hyperlink r:id="rId68" ref="AD69"/>
    <hyperlink r:id="rId69" ref="AD70"/>
    <hyperlink r:id="rId70" ref="AD71"/>
    <hyperlink r:id="rId71" ref="AD72"/>
    <hyperlink r:id="rId72" ref="AD73"/>
    <hyperlink r:id="rId73" ref="AD74"/>
    <hyperlink r:id="rId74" ref="AD75"/>
    <hyperlink r:id="rId75" ref="AD76"/>
    <hyperlink r:id="rId76" ref="AD77"/>
    <hyperlink r:id="rId77" ref="AD79"/>
    <hyperlink r:id="rId78" ref="AD80"/>
    <hyperlink r:id="rId79" ref="AD81"/>
    <hyperlink r:id="rId80" ref="AD82"/>
    <hyperlink r:id="rId81" ref="AD83"/>
    <hyperlink r:id="rId82" ref="AD84"/>
    <hyperlink r:id="rId83" ref="AD86"/>
    <hyperlink r:id="rId84" ref="AD87"/>
    <hyperlink r:id="rId85" ref="AD88"/>
    <hyperlink r:id="rId86" ref="AD89"/>
    <hyperlink r:id="rId87" ref="AD90"/>
    <hyperlink r:id="rId88" ref="AD91"/>
    <hyperlink r:id="rId89" ref="AD92"/>
  </hyperlinks>
  <drawing r:id="rId90"/>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63"/>
    <col customWidth="1" min="2" max="2" width="19.5"/>
    <col customWidth="1" min="3" max="3" width="8.75"/>
    <col customWidth="1" min="4" max="4" width="27.25"/>
  </cols>
  <sheetData>
    <row r="1">
      <c r="A1" s="16" t="str">
        <f>IFERROR(__xludf.DUMMYFUNCTION("query(BatterCalcs!A1:GD1567,""select A, B, C, CG, CH, GD, CR where CG &gt; 0 and GD = 'FA' and C &lt; 1.0"")"),"player_id")</f>
        <v>player_id</v>
      </c>
      <c r="B1" s="16" t="str">
        <f>IFERROR(__xludf.DUMMYFUNCTION("""COMPUTED_VALUE"""),"Name")</f>
        <v>Name</v>
      </c>
      <c r="C1" s="16" t="str">
        <f>IFERROR(__xludf.DUMMYFUNCTION("""COMPUTED_VALUE"""),"sWAR")</f>
        <v>sWAR</v>
      </c>
      <c r="D1" s="16" t="str">
        <f>IFERROR(__xludf.DUMMYFUNCTION("""COMPUTED_VALUE"""),"vL")</f>
        <v>vL</v>
      </c>
      <c r="E1" s="16" t="str">
        <f>IFERROR(__xludf.DUMMYFUNCTION("""COMPUTED_VALUE"""),"vR")</f>
        <v>vR</v>
      </c>
      <c r="F1" s="16" t="str">
        <f>IFERROR(__xludf.DUMMYFUNCTION("""COMPUTED_VALUE"""),"Team")</f>
        <v>Team</v>
      </c>
      <c r="G1" s="16" t="str">
        <f>IFERROR(__xludf.DUMMYFUNCTION("""COMPUTED_VALUE"""),"FIELDING")</f>
        <v>FIELDING</v>
      </c>
    </row>
    <row r="2">
      <c r="A2" s="16">
        <f>IFERROR(__xludf.DUMMYFUNCTION("""COMPUTED_VALUE"""),12543.0)</f>
        <v>12543</v>
      </c>
      <c r="B2" s="16" t="str">
        <f>IFERROR(__xludf.DUMMYFUNCTION("""COMPUTED_VALUE"""),"Andrew McCutchen")</f>
        <v>Andrew McCutchen</v>
      </c>
      <c r="C2" s="16">
        <f>IFERROR(__xludf.DUMMYFUNCTION("""COMPUTED_VALUE"""),0.45)</f>
        <v>0.45</v>
      </c>
      <c r="D2" s="16">
        <f>IFERROR(__xludf.DUMMYFUNCTION("""COMPUTED_VALUE"""),7.0)</f>
        <v>7</v>
      </c>
      <c r="E2" s="16">
        <f>IFERROR(__xludf.DUMMYFUNCTION("""COMPUTED_VALUE"""),16.0)</f>
        <v>16</v>
      </c>
      <c r="F2" s="16" t="str">
        <f>IFERROR(__xludf.DUMMYFUNCTION("""COMPUTED_VALUE"""),"FA")</f>
        <v>FA</v>
      </c>
      <c r="G2" s="16" t="str">
        <f>IFERROR(__xludf.DUMMYFUNCTION("""COMPUTED_VALUE"""),"rf-5(+2)e3")</f>
        <v>rf-5(+2)e3</v>
      </c>
    </row>
    <row r="3">
      <c r="A3" s="16">
        <f>IFERROR(__xludf.DUMMYFUNCTION("""COMPUTED_VALUE"""),13201.0)</f>
        <v>13201</v>
      </c>
      <c r="B3" s="16" t="str">
        <f>IFERROR(__xludf.DUMMYFUNCTION("""COMPUTED_VALUE"""),"Michael Toglia")</f>
        <v>Michael Toglia</v>
      </c>
      <c r="C3" s="16">
        <f>IFERROR(__xludf.DUMMYFUNCTION("""COMPUTED_VALUE"""),0.83)</f>
        <v>0.83</v>
      </c>
      <c r="D3" s="16">
        <f>IFERROR(__xludf.DUMMYFUNCTION("""COMPUTED_VALUE"""),16.0)</f>
        <v>16</v>
      </c>
      <c r="E3" s="16">
        <f>IFERROR(__xludf.DUMMYFUNCTION("""COMPUTED_VALUE"""),0.0)</f>
        <v>0</v>
      </c>
      <c r="F3" s="16" t="str">
        <f>IFERROR(__xludf.DUMMYFUNCTION("""COMPUTED_VALUE"""),"FA")</f>
        <v>FA</v>
      </c>
      <c r="G3" s="16" t="str">
        <f>IFERROR(__xludf.DUMMYFUNCTION("""COMPUTED_VALUE"""),"1b-3e13 rf-4(0)e5")</f>
        <v>1b-3e13 rf-4(0)e5</v>
      </c>
    </row>
    <row r="4">
      <c r="A4" s="16">
        <f>IFERROR(__xludf.DUMMYFUNCTION("""COMPUTED_VALUE"""),12994.0)</f>
        <v>12994</v>
      </c>
      <c r="B4" s="16" t="str">
        <f>IFERROR(__xludf.DUMMYFUNCTION("""COMPUTED_VALUE"""),"Jonathan India")</f>
        <v>Jonathan India</v>
      </c>
      <c r="C4" s="16">
        <f>IFERROR(__xludf.DUMMYFUNCTION("""COMPUTED_VALUE"""),0.77)</f>
        <v>0.77</v>
      </c>
      <c r="D4" s="16">
        <f>IFERROR(__xludf.DUMMYFUNCTION("""COMPUTED_VALUE"""),2.0)</f>
        <v>2</v>
      </c>
      <c r="E4" s="16">
        <f>IFERROR(__xludf.DUMMYFUNCTION("""COMPUTED_VALUE"""),-4.0)</f>
        <v>-4</v>
      </c>
      <c r="F4" s="16" t="str">
        <f>IFERROR(__xludf.DUMMYFUNCTION("""COMPUTED_VALUE"""),"FA")</f>
        <v>FA</v>
      </c>
      <c r="G4" s="16" t="str">
        <f>IFERROR(__xludf.DUMMYFUNCTION("""COMPUTED_VALUE"""),"2b-4e5")</f>
        <v>2b-4e5</v>
      </c>
    </row>
    <row r="5">
      <c r="A5" s="16">
        <f>IFERROR(__xludf.DUMMYFUNCTION("""COMPUTED_VALUE"""),12668.0)</f>
        <v>12668</v>
      </c>
      <c r="B5" s="16" t="str">
        <f>IFERROR(__xludf.DUMMYFUNCTION("""COMPUTED_VALUE"""),"Charlie Blackmon")</f>
        <v>Charlie Blackmon</v>
      </c>
      <c r="C5" s="16">
        <f>IFERROR(__xludf.DUMMYFUNCTION("""COMPUTED_VALUE"""),0.35)</f>
        <v>0.35</v>
      </c>
      <c r="D5" s="16">
        <f>IFERROR(__xludf.DUMMYFUNCTION("""COMPUTED_VALUE"""),2.0)</f>
        <v>2</v>
      </c>
      <c r="E5" s="16">
        <f>IFERROR(__xludf.DUMMYFUNCTION("""COMPUTED_VALUE"""),1.0)</f>
        <v>1</v>
      </c>
      <c r="F5" s="16" t="str">
        <f>IFERROR(__xludf.DUMMYFUNCTION("""COMPUTED_VALUE"""),"FA")</f>
        <v>FA</v>
      </c>
      <c r="G5" s="16" t="str">
        <f>IFERROR(__xludf.DUMMYFUNCTION("""COMPUTED_VALUE"""),"rf-4(0)e3")</f>
        <v>rf-4(0)e3</v>
      </c>
    </row>
    <row r="6">
      <c r="A6" s="16">
        <f>IFERROR(__xludf.DUMMYFUNCTION("""COMPUTED_VALUE"""),13189.0)</f>
        <v>13189</v>
      </c>
      <c r="B6" s="16" t="str">
        <f>IFERROR(__xludf.DUMMYFUNCTION("""COMPUTED_VALUE"""),"Michael Conforto")</f>
        <v>Michael Conforto</v>
      </c>
      <c r="C6" s="16">
        <f>IFERROR(__xludf.DUMMYFUNCTION("""COMPUTED_VALUE"""),0.77)</f>
        <v>0.77</v>
      </c>
      <c r="D6" s="16">
        <f>IFERROR(__xludf.DUMMYFUNCTION("""COMPUTED_VALUE"""),19.0)</f>
        <v>19</v>
      </c>
      <c r="E6" s="16">
        <f>IFERROR(__xludf.DUMMYFUNCTION("""COMPUTED_VALUE"""),-2.0)</f>
        <v>-2</v>
      </c>
      <c r="F6" s="16" t="str">
        <f>IFERROR(__xludf.DUMMYFUNCTION("""COMPUTED_VALUE"""),"FA")</f>
        <v>FA</v>
      </c>
      <c r="G6" s="16" t="str">
        <f>IFERROR(__xludf.DUMMYFUNCTION("""COMPUTED_VALUE"""),"lf-4(-1)e3")</f>
        <v>lf-4(-1)e3</v>
      </c>
    </row>
    <row r="7">
      <c r="A7" s="16">
        <f>IFERROR(__xludf.DUMMYFUNCTION("""COMPUTED_VALUE"""),13259.0)</f>
        <v>13259</v>
      </c>
      <c r="B7" s="16" t="str">
        <f>IFERROR(__xludf.DUMMYFUNCTION("""COMPUTED_VALUE"""),"Nolan Schanuel")</f>
        <v>Nolan Schanuel</v>
      </c>
      <c r="C7" s="16">
        <f>IFERROR(__xludf.DUMMYFUNCTION("""COMPUTED_VALUE"""),0.62)</f>
        <v>0.62</v>
      </c>
      <c r="D7" s="16">
        <f>IFERROR(__xludf.DUMMYFUNCTION("""COMPUTED_VALUE"""),3.0)</f>
        <v>3</v>
      </c>
      <c r="E7" s="16">
        <f>IFERROR(__xludf.DUMMYFUNCTION("""COMPUTED_VALUE"""),-5.0)</f>
        <v>-5</v>
      </c>
      <c r="F7" s="16" t="str">
        <f>IFERROR(__xludf.DUMMYFUNCTION("""COMPUTED_VALUE"""),"FA")</f>
        <v>FA</v>
      </c>
      <c r="G7" s="16" t="str">
        <f>IFERROR(__xludf.DUMMYFUNCTION("""COMPUTED_VALUE"""),"1b-3e8")</f>
        <v>1b-3e8</v>
      </c>
    </row>
    <row r="8">
      <c r="A8" s="16">
        <f>IFERROR(__xludf.DUMMYFUNCTION("""COMPUTED_VALUE"""),12545.0)</f>
        <v>12545</v>
      </c>
      <c r="B8" s="16" t="str">
        <f>IFERROR(__xludf.DUMMYFUNCTION("""COMPUTED_VALUE"""),"Andrew Vaughn")</f>
        <v>Andrew Vaughn</v>
      </c>
      <c r="C8" s="16">
        <f>IFERROR(__xludf.DUMMYFUNCTION("""COMPUTED_VALUE"""),0.09)</f>
        <v>0.09</v>
      </c>
      <c r="D8" s="16">
        <f>IFERROR(__xludf.DUMMYFUNCTION("""COMPUTED_VALUE"""),8.0)</f>
        <v>8</v>
      </c>
      <c r="E8" s="16">
        <f>IFERROR(__xludf.DUMMYFUNCTION("""COMPUTED_VALUE"""),-7.0)</f>
        <v>-7</v>
      </c>
      <c r="F8" s="16" t="str">
        <f>IFERROR(__xludf.DUMMYFUNCTION("""COMPUTED_VALUE"""),"FA")</f>
        <v>FA</v>
      </c>
      <c r="G8" s="16" t="str">
        <f>IFERROR(__xludf.DUMMYFUNCTION("""COMPUTED_VALUE"""),"1b-4e5")</f>
        <v>1b-4e5</v>
      </c>
    </row>
    <row r="9">
      <c r="A9" s="16">
        <f>IFERROR(__xludf.DUMMYFUNCTION("""COMPUTED_VALUE"""),13386.0)</f>
        <v>13386</v>
      </c>
      <c r="B9" s="16" t="str">
        <f>IFERROR(__xludf.DUMMYFUNCTION("""COMPUTED_VALUE"""),"Spencer Torkelson")</f>
        <v>Spencer Torkelson</v>
      </c>
      <c r="C9" s="16">
        <f>IFERROR(__xludf.DUMMYFUNCTION("""COMPUTED_VALUE"""),0.14)</f>
        <v>0.14</v>
      </c>
      <c r="D9" s="16">
        <f>IFERROR(__xludf.DUMMYFUNCTION("""COMPUTED_VALUE"""),9.0)</f>
        <v>9</v>
      </c>
      <c r="E9" s="16">
        <f>IFERROR(__xludf.DUMMYFUNCTION("""COMPUTED_VALUE"""),-8.0)</f>
        <v>-8</v>
      </c>
      <c r="F9" s="16" t="str">
        <f>IFERROR(__xludf.DUMMYFUNCTION("""COMPUTED_VALUE"""),"FA")</f>
        <v>FA</v>
      </c>
      <c r="G9" s="16" t="str">
        <f>IFERROR(__xludf.DUMMYFUNCTION("""COMPUTED_VALUE"""),"1b-3e7")</f>
        <v>1b-3e7</v>
      </c>
    </row>
    <row r="10">
      <c r="A10" s="16">
        <f>IFERROR(__xludf.DUMMYFUNCTION("""COMPUTED_VALUE"""),12775.0)</f>
        <v>12775</v>
      </c>
      <c r="B10" s="16" t="str">
        <f>IFERROR(__xludf.DUMMYFUNCTION("""COMPUTED_VALUE"""),"Dylan Moore")</f>
        <v>Dylan Moore</v>
      </c>
      <c r="C10" s="16">
        <f>IFERROR(__xludf.DUMMYFUNCTION("""COMPUTED_VALUE"""),0.87)</f>
        <v>0.87</v>
      </c>
      <c r="D10" s="16">
        <f>IFERROR(__xludf.DUMMYFUNCTION("""COMPUTED_VALUE"""),6.0)</f>
        <v>6</v>
      </c>
      <c r="E10" s="16">
        <f>IFERROR(__xludf.DUMMYFUNCTION("""COMPUTED_VALUE"""),-18.0)</f>
        <v>-18</v>
      </c>
      <c r="F10" s="16" t="str">
        <f>IFERROR(__xludf.DUMMYFUNCTION("""COMPUTED_VALUE"""),"FA")</f>
        <v>FA</v>
      </c>
      <c r="G10" s="16" t="str">
        <f>IFERROR(__xludf.DUMMYFUNCTION("""COMPUTED_VALUE"""),"ss-3e20 2b-3e5 3b-3e6 lf-3(+1)e4 1b-4e18")</f>
        <v>ss-3e20 2b-3e5 3b-3e6 lf-3(+1)e4 1b-4e18</v>
      </c>
    </row>
    <row r="11">
      <c r="A11" s="16">
        <f>IFERROR(__xludf.DUMMYFUNCTION("""COMPUTED_VALUE"""),12607.0)</f>
        <v>12607</v>
      </c>
      <c r="B11" s="16" t="str">
        <f>IFERROR(__xludf.DUMMYFUNCTION("""COMPUTED_VALUE"""),"Brendan Rodgers")</f>
        <v>Brendan Rodgers</v>
      </c>
      <c r="C11" s="16">
        <f>IFERROR(__xludf.DUMMYFUNCTION("""COMPUTED_VALUE"""),0.59)</f>
        <v>0.59</v>
      </c>
      <c r="D11" s="16">
        <f>IFERROR(__xludf.DUMMYFUNCTION("""COMPUTED_VALUE"""),10.0)</f>
        <v>10</v>
      </c>
      <c r="E11" s="16">
        <f>IFERROR(__xludf.DUMMYFUNCTION("""COMPUTED_VALUE"""),-16.0)</f>
        <v>-16</v>
      </c>
      <c r="F11" s="16" t="str">
        <f>IFERROR(__xludf.DUMMYFUNCTION("""COMPUTED_VALUE"""),"FA")</f>
        <v>FA</v>
      </c>
      <c r="G11" s="16" t="str">
        <f>IFERROR(__xludf.DUMMYFUNCTION("""COMPUTED_VALUE"""),"2b-3e10")</f>
        <v>2b-3e10</v>
      </c>
    </row>
    <row r="12">
      <c r="A12" s="16">
        <f>IFERROR(__xludf.DUMMYFUNCTION("""COMPUTED_VALUE"""),13181.0)</f>
        <v>13181</v>
      </c>
      <c r="B12" s="16" t="str">
        <f>IFERROR(__xludf.DUMMYFUNCTION("""COMPUTED_VALUE"""),"Max Kepler")</f>
        <v>Max Kepler</v>
      </c>
      <c r="C12" s="16">
        <f>IFERROR(__xludf.DUMMYFUNCTION("""COMPUTED_VALUE"""),0.73)</f>
        <v>0.73</v>
      </c>
      <c r="D12" s="16">
        <f>IFERROR(__xludf.DUMMYFUNCTION("""COMPUTED_VALUE"""),4.0)</f>
        <v>4</v>
      </c>
      <c r="E12" s="16">
        <f>IFERROR(__xludf.DUMMYFUNCTION("""COMPUTED_VALUE"""),-6.0)</f>
        <v>-6</v>
      </c>
      <c r="F12" s="16" t="str">
        <f>IFERROR(__xludf.DUMMYFUNCTION("""COMPUTED_VALUE"""),"FA")</f>
        <v>FA</v>
      </c>
      <c r="G12" s="16" t="str">
        <f>IFERROR(__xludf.DUMMYFUNCTION("""COMPUTED_VALUE"""),"rf-2(-2)e0")</f>
        <v>rf-2(-2)e0</v>
      </c>
    </row>
    <row r="13">
      <c r="A13" s="16">
        <f>IFERROR(__xludf.DUMMYFUNCTION("""COMPUTED_VALUE"""),12783.0)</f>
        <v>12783</v>
      </c>
      <c r="B13" s="16" t="str">
        <f>IFERROR(__xludf.DUMMYFUNCTION("""COMPUTED_VALUE"""),"Edward Olivares")</f>
        <v>Edward Olivares</v>
      </c>
      <c r="C13" s="16">
        <f>IFERROR(__xludf.DUMMYFUNCTION("""COMPUTED_VALUE"""),0.0)</f>
        <v>0</v>
      </c>
      <c r="D13" s="16">
        <f>IFERROR(__xludf.DUMMYFUNCTION("""COMPUTED_VALUE"""),3.0)</f>
        <v>3</v>
      </c>
      <c r="E13" s="16">
        <f>IFERROR(__xludf.DUMMYFUNCTION("""COMPUTED_VALUE"""),-11.0)</f>
        <v>-11</v>
      </c>
      <c r="F13" s="16" t="str">
        <f>IFERROR(__xludf.DUMMYFUNCTION("""COMPUTED_VALUE"""),"FA")</f>
        <v>FA</v>
      </c>
      <c r="G13" s="16" t="str">
        <f>IFERROR(__xludf.DUMMYFUNCTION("""COMPUTED_VALUE"""),"rf-4(+1)e4 lf-4e4")</f>
        <v>rf-4(+1)e4 lf-4e4</v>
      </c>
    </row>
    <row r="14">
      <c r="A14" s="16">
        <f>IFERROR(__xludf.DUMMYFUNCTION("""COMPUTED_VALUE"""),13156.0)</f>
        <v>13156</v>
      </c>
      <c r="B14" s="16" t="str">
        <f>IFERROR(__xludf.DUMMYFUNCTION("""COMPUTED_VALUE"""),"Mark Canha")</f>
        <v>Mark Canha</v>
      </c>
      <c r="C14" s="16">
        <f>IFERROR(__xludf.DUMMYFUNCTION("""COMPUTED_VALUE"""),0.38)</f>
        <v>0.38</v>
      </c>
      <c r="D14" s="16">
        <f>IFERROR(__xludf.DUMMYFUNCTION("""COMPUTED_VALUE"""),7.0)</f>
        <v>7</v>
      </c>
      <c r="E14" s="16">
        <f>IFERROR(__xludf.DUMMYFUNCTION("""COMPUTED_VALUE"""),-16.0)</f>
        <v>-16</v>
      </c>
      <c r="F14" s="16" t="str">
        <f>IFERROR(__xludf.DUMMYFUNCTION("""COMPUTED_VALUE"""),"FA")</f>
        <v>FA</v>
      </c>
      <c r="G14" s="16" t="str">
        <f>IFERROR(__xludf.DUMMYFUNCTION("""COMPUTED_VALUE"""),"1b-4e11 lf-4(+1)e5 rf-4e5 3b-5e37")</f>
        <v>1b-4e11 lf-4(+1)e5 rf-4e5 3b-5e37</v>
      </c>
    </row>
    <row r="15">
      <c r="A15" s="16">
        <f>IFERROR(__xludf.DUMMYFUNCTION("""COMPUTED_VALUE"""),13478.0)</f>
        <v>13478</v>
      </c>
      <c r="B15" s="16" t="str">
        <f>IFERROR(__xludf.DUMMYFUNCTION("""COMPUTED_VALUE"""),"Whit Merrifield")</f>
        <v>Whit Merrifield</v>
      </c>
      <c r="C15" s="16">
        <f>IFERROR(__xludf.DUMMYFUNCTION("""COMPUTED_VALUE"""),0.26)</f>
        <v>0.26</v>
      </c>
      <c r="D15" s="16">
        <f>IFERROR(__xludf.DUMMYFUNCTION("""COMPUTED_VALUE"""),1.0)</f>
        <v>1</v>
      </c>
      <c r="E15" s="16">
        <f>IFERROR(__xludf.DUMMYFUNCTION("""COMPUTED_VALUE"""),-18.0)</f>
        <v>-18</v>
      </c>
      <c r="F15" s="16" t="str">
        <f>IFERROR(__xludf.DUMMYFUNCTION("""COMPUTED_VALUE"""),"FA")</f>
        <v>FA</v>
      </c>
      <c r="G15" s="16" t="str">
        <f>IFERROR(__xludf.DUMMYFUNCTION("""COMPUTED_VALUE"""),"2b-3e13 lf-4(0)e2 3b-3e17")</f>
        <v>2b-3e13 lf-4(0)e2 3b-3e17</v>
      </c>
    </row>
    <row r="16">
      <c r="A16" s="16">
        <f>IFERROR(__xludf.DUMMYFUNCTION("""COMPUTED_VALUE"""),12962.0)</f>
        <v>12962</v>
      </c>
      <c r="B16" s="16" t="str">
        <f>IFERROR(__xludf.DUMMYFUNCTION("""COMPUTED_VALUE"""),"Jo Adell")</f>
        <v>Jo Adell</v>
      </c>
      <c r="C16" s="16">
        <f>IFERROR(__xludf.DUMMYFUNCTION("""COMPUTED_VALUE"""),0.58)</f>
        <v>0.58</v>
      </c>
      <c r="D16" s="16">
        <f>IFERROR(__xludf.DUMMYFUNCTION("""COMPUTED_VALUE"""),18.0)</f>
        <v>18</v>
      </c>
      <c r="E16" s="16">
        <f>IFERROR(__xludf.DUMMYFUNCTION("""COMPUTED_VALUE"""),-19.0)</f>
        <v>-19</v>
      </c>
      <c r="F16" s="16" t="str">
        <f>IFERROR(__xludf.DUMMYFUNCTION("""COMPUTED_VALUE"""),"FA")</f>
        <v>FA</v>
      </c>
      <c r="G16" s="16" t="str">
        <f>IFERROR(__xludf.DUMMYFUNCTION("""COMPUTED_VALUE"""),"rf-2(-1)e6 cf-4e6")</f>
        <v>rf-2(-1)e6 cf-4e6</v>
      </c>
    </row>
    <row r="17">
      <c r="A17" s="16">
        <f>IFERROR(__xludf.DUMMYFUNCTION("""COMPUTED_VALUE"""),13454.0)</f>
        <v>13454</v>
      </c>
      <c r="B17" s="16" t="str">
        <f>IFERROR(__xludf.DUMMYFUNCTION("""COMPUTED_VALUE"""),"Tyler Nevin")</f>
        <v>Tyler Nevin</v>
      </c>
      <c r="C17" s="16">
        <f>IFERROR(__xludf.DUMMYFUNCTION("""COMPUTED_VALUE"""),0.0)</f>
        <v>0</v>
      </c>
      <c r="D17" s="16">
        <f>IFERROR(__xludf.DUMMYFUNCTION("""COMPUTED_VALUE"""),1.0)</f>
        <v>1</v>
      </c>
      <c r="E17" s="16">
        <f>IFERROR(__xludf.DUMMYFUNCTION("""COMPUTED_VALUE"""),-14.0)</f>
        <v>-14</v>
      </c>
      <c r="F17" s="16" t="str">
        <f>IFERROR(__xludf.DUMMYFUNCTION("""COMPUTED_VALUE"""),"FA")</f>
        <v>FA</v>
      </c>
      <c r="G17" s="16" t="str">
        <f>IFERROR(__xludf.DUMMYFUNCTION("""COMPUTED_VALUE"""),"1b-4e14 3b-4e19 rf-4(+2)e10 lf-4e10")</f>
        <v>1b-4e14 3b-4e19 rf-4(+2)e10 lf-4e10</v>
      </c>
    </row>
    <row r="18">
      <c r="A18" s="16">
        <f>IFERROR(__xludf.DUMMYFUNCTION("""COMPUTED_VALUE"""),13113.0)</f>
        <v>13113</v>
      </c>
      <c r="B18" s="16" t="str">
        <f>IFERROR(__xludf.DUMMYFUNCTION("""COMPUTED_VALUE"""),"Lenyn Sosa")</f>
        <v>Lenyn Sosa</v>
      </c>
      <c r="C18" s="16">
        <f>IFERROR(__xludf.DUMMYFUNCTION("""COMPUTED_VALUE"""),0.0)</f>
        <v>0</v>
      </c>
      <c r="D18" s="16">
        <f>IFERROR(__xludf.DUMMYFUNCTION("""COMPUTED_VALUE"""),11.0)</f>
        <v>11</v>
      </c>
      <c r="E18" s="16">
        <f>IFERROR(__xludf.DUMMYFUNCTION("""COMPUTED_VALUE"""),-20.0)</f>
        <v>-20</v>
      </c>
      <c r="F18" s="16" t="str">
        <f>IFERROR(__xludf.DUMMYFUNCTION("""COMPUTED_VALUE"""),"FA")</f>
        <v>FA</v>
      </c>
      <c r="G18" s="16" t="str">
        <f>IFERROR(__xludf.DUMMYFUNCTION("""COMPUTED_VALUE"""),"3b-4e13 2b-4e8 1b-5e25")</f>
        <v>3b-4e13 2b-4e8 1b-5e25</v>
      </c>
    </row>
    <row r="19">
      <c r="A19" s="16">
        <f>IFERROR(__xludf.DUMMYFUNCTION("""COMPUTED_VALUE"""),12498.0)</f>
        <v>12498</v>
      </c>
      <c r="B19" s="16" t="str">
        <f>IFERROR(__xludf.DUMMYFUNCTION("""COMPUTED_VALUE"""),"Abraham Toro")</f>
        <v>Abraham Toro</v>
      </c>
      <c r="C19" s="16">
        <f>IFERROR(__xludf.DUMMYFUNCTION("""COMPUTED_VALUE"""),0.48)</f>
        <v>0.48</v>
      </c>
      <c r="D19" s="16">
        <f>IFERROR(__xludf.DUMMYFUNCTION("""COMPUTED_VALUE"""),1.0)</f>
        <v>1</v>
      </c>
      <c r="E19" s="16">
        <f>IFERROR(__xludf.DUMMYFUNCTION("""COMPUTED_VALUE"""),-19.0)</f>
        <v>-19</v>
      </c>
      <c r="F19" s="16" t="str">
        <f>IFERROR(__xludf.DUMMYFUNCTION("""COMPUTED_VALUE"""),"FA")</f>
        <v>FA</v>
      </c>
      <c r="G19" s="16" t="str">
        <f>IFERROR(__xludf.DUMMYFUNCTION("""COMPUTED_VALUE"""),"3b-4e17 2b-4e5 1b-4e8 lf-4(+2)e25")</f>
        <v>3b-4e17 2b-4e5 1b-4e8 lf-4(+2)e25</v>
      </c>
    </row>
    <row r="20">
      <c r="A20" s="16">
        <f>IFERROR(__xludf.DUMMYFUNCTION("""COMPUTED_VALUE"""),13394.0)</f>
        <v>13394</v>
      </c>
      <c r="B20" s="16" t="str">
        <f>IFERROR(__xludf.DUMMYFUNCTION("""COMPUTED_VALUE"""),"Stuart Fairchild")</f>
        <v>Stuart Fairchild</v>
      </c>
      <c r="C20" s="16">
        <f>IFERROR(__xludf.DUMMYFUNCTION("""COMPUTED_VALUE"""),0.74)</f>
        <v>0.74</v>
      </c>
      <c r="D20" s="16">
        <f>IFERROR(__xludf.DUMMYFUNCTION("""COMPUTED_VALUE"""),11.0)</f>
        <v>11</v>
      </c>
      <c r="E20" s="16">
        <f>IFERROR(__xludf.DUMMYFUNCTION("""COMPUTED_VALUE"""),-22.0)</f>
        <v>-22</v>
      </c>
      <c r="F20" s="16" t="str">
        <f>IFERROR(__xludf.DUMMYFUNCTION("""COMPUTED_VALUE"""),"FA")</f>
        <v>FA</v>
      </c>
      <c r="G20" s="16" t="str">
        <f>IFERROR(__xludf.DUMMYFUNCTION("""COMPUTED_VALUE"""),"cf-2(-1)e3 rf-2e3 lf-2e3")</f>
        <v>cf-2(-1)e3 rf-2e3 lf-2e3</v>
      </c>
    </row>
    <row r="21">
      <c r="A21" s="16">
        <f>IFERROR(__xludf.DUMMYFUNCTION("""COMPUTED_VALUE"""),12723.0)</f>
        <v>12723</v>
      </c>
      <c r="B21" s="16" t="str">
        <f>IFERROR(__xludf.DUMMYFUNCTION("""COMPUTED_VALUE"""),"Dane Myers")</f>
        <v>Dane Myers</v>
      </c>
      <c r="C21" s="16">
        <f>IFERROR(__xludf.DUMMYFUNCTION("""COMPUTED_VALUE"""),0.8)</f>
        <v>0.8</v>
      </c>
      <c r="D21" s="16">
        <f>IFERROR(__xludf.DUMMYFUNCTION("""COMPUTED_VALUE"""),19.0)</f>
        <v>19</v>
      </c>
      <c r="E21" s="16">
        <f>IFERROR(__xludf.DUMMYFUNCTION("""COMPUTED_VALUE"""),-13.0)</f>
        <v>-13</v>
      </c>
      <c r="F21" s="16" t="str">
        <f>IFERROR(__xludf.DUMMYFUNCTION("""COMPUTED_VALUE"""),"FA")</f>
        <v>FA</v>
      </c>
      <c r="G21" s="16" t="str">
        <f>IFERROR(__xludf.DUMMYFUNCTION("""COMPUTED_VALUE"""),"rf-3(-2)e13 lf-4e13 cf-4e13")</f>
        <v>rf-3(-2)e13 lf-4e13 cf-4e13</v>
      </c>
    </row>
    <row r="22">
      <c r="A22" s="16">
        <f>IFERROR(__xludf.DUMMYFUNCTION("""COMPUTED_VALUE"""),13327.0)</f>
        <v>13327</v>
      </c>
      <c r="B22" s="16" t="str">
        <f>IFERROR(__xludf.DUMMYFUNCTION("""COMPUTED_VALUE"""),"Ryan Bliss")</f>
        <v>Ryan Bliss</v>
      </c>
      <c r="C22" s="16">
        <f>IFERROR(__xludf.DUMMYFUNCTION("""COMPUTED_VALUE"""),0.98)</f>
        <v>0.98</v>
      </c>
      <c r="D22" s="16">
        <f>IFERROR(__xludf.DUMMYFUNCTION("""COMPUTED_VALUE"""),10.0)</f>
        <v>10</v>
      </c>
      <c r="E22" s="16">
        <f>IFERROR(__xludf.DUMMYFUNCTION("""COMPUTED_VALUE"""),-24.0)</f>
        <v>-24</v>
      </c>
      <c r="F22" s="16" t="str">
        <f>IFERROR(__xludf.DUMMYFUNCTION("""COMPUTED_VALUE"""),"FA")</f>
        <v>FA</v>
      </c>
      <c r="G22" s="16" t="str">
        <f>IFERROR(__xludf.DUMMYFUNCTION("""COMPUTED_VALUE"""),"2b-3e8")</f>
        <v>2b-3e8</v>
      </c>
    </row>
    <row r="23">
      <c r="A23" s="16">
        <f>IFERROR(__xludf.DUMMYFUNCTION("""COMPUTED_VALUE"""),13000.0)</f>
        <v>13000</v>
      </c>
      <c r="B23" s="16" t="str">
        <f>IFERROR(__xludf.DUMMYFUNCTION("""COMPUTED_VALUE"""),"Jordan Walker")</f>
        <v>Jordan Walker</v>
      </c>
      <c r="C23" s="16">
        <f>IFERROR(__xludf.DUMMYFUNCTION("""COMPUTED_VALUE"""),0.0)</f>
        <v>0</v>
      </c>
      <c r="D23" s="16">
        <f>IFERROR(__xludf.DUMMYFUNCTION("""COMPUTED_VALUE"""),15.0)</f>
        <v>15</v>
      </c>
      <c r="E23" s="16">
        <f>IFERROR(__xludf.DUMMYFUNCTION("""COMPUTED_VALUE"""),-28.0)</f>
        <v>-28</v>
      </c>
      <c r="F23" s="16" t="str">
        <f>IFERROR(__xludf.DUMMYFUNCTION("""COMPUTED_VALUE"""),"FA")</f>
        <v>FA</v>
      </c>
      <c r="G23" s="16" t="str">
        <f>IFERROR(__xludf.DUMMYFUNCTION("""COMPUTED_VALUE"""),"rf-5(-2)e4")</f>
        <v>rf-5(-2)e4</v>
      </c>
    </row>
    <row r="24">
      <c r="A24" s="16">
        <f>IFERROR(__xludf.DUMMYFUNCTION("""COMPUTED_VALUE"""),12681.0)</f>
        <v>12681</v>
      </c>
      <c r="B24" s="16" t="str">
        <f>IFERROR(__xludf.DUMMYFUNCTION("""COMPUTED_VALUE"""),"Christian Bethancourt")</f>
        <v>Christian Bethancourt</v>
      </c>
      <c r="C24" s="16">
        <f>IFERROR(__xludf.DUMMYFUNCTION("""COMPUTED_VALUE"""),0.59)</f>
        <v>0.59</v>
      </c>
      <c r="D24" s="16">
        <f>IFERROR(__xludf.DUMMYFUNCTION("""COMPUTED_VALUE"""),9.0)</f>
        <v>9</v>
      </c>
      <c r="E24" s="16">
        <f>IFERROR(__xludf.DUMMYFUNCTION("""COMPUTED_VALUE"""),-27.0)</f>
        <v>-27</v>
      </c>
      <c r="F24" s="16" t="str">
        <f>IFERROR(__xludf.DUMMYFUNCTION("""COMPUTED_VALUE"""),"FA")</f>
        <v>FA</v>
      </c>
      <c r="G24" s="16" t="str">
        <f>IFERROR(__xludf.DUMMYFUNCTION("""COMPUTED_VALUE"""),"c-3(-2)e1,T-16(pb-0)")</f>
        <v>c-3(-2)e1,T-16(pb-0)</v>
      </c>
    </row>
    <row r="25">
      <c r="A25" s="16">
        <f>IFERROR(__xludf.DUMMYFUNCTION("""COMPUTED_VALUE"""),12719.0)</f>
        <v>12719</v>
      </c>
      <c r="B25" s="16" t="str">
        <f>IFERROR(__xludf.DUMMYFUNCTION("""COMPUTED_VALUE"""),"Curtis Mead")</f>
        <v>Curtis Mead</v>
      </c>
      <c r="C25" s="16">
        <f>IFERROR(__xludf.DUMMYFUNCTION("""COMPUTED_VALUE"""),0.0)</f>
        <v>0</v>
      </c>
      <c r="D25" s="16">
        <f>IFERROR(__xludf.DUMMYFUNCTION("""COMPUTED_VALUE"""),6.0)</f>
        <v>6</v>
      </c>
      <c r="E25" s="16">
        <f>IFERROR(__xludf.DUMMYFUNCTION("""COMPUTED_VALUE"""),-27.0)</f>
        <v>-27</v>
      </c>
      <c r="F25" s="16" t="str">
        <f>IFERROR(__xludf.DUMMYFUNCTION("""COMPUTED_VALUE"""),"FA")</f>
        <v>FA</v>
      </c>
      <c r="G25" s="16" t="str">
        <f>IFERROR(__xludf.DUMMYFUNCTION("""COMPUTED_VALUE"""),"2b-4e18 3b-4e27 1b-5e30")</f>
        <v>2b-4e18 3b-4e27 1b-5e30</v>
      </c>
    </row>
    <row r="26">
      <c r="A26" s="16">
        <f>IFERROR(__xludf.DUMMYFUNCTION("""COMPUTED_VALUE"""),13139.0)</f>
        <v>13139</v>
      </c>
      <c r="B26" s="16" t="str">
        <f>IFERROR(__xludf.DUMMYFUNCTION("""COMPUTED_VALUE"""),"Luis Urias")</f>
        <v>Luis Urias</v>
      </c>
      <c r="C26" s="16">
        <f>IFERROR(__xludf.DUMMYFUNCTION("""COMPUTED_VALUE"""),0.64)</f>
        <v>0.64</v>
      </c>
      <c r="D26" s="16">
        <f>IFERROR(__xludf.DUMMYFUNCTION("""COMPUTED_VALUE"""),5.0)</f>
        <v>5</v>
      </c>
      <c r="E26" s="16">
        <f>IFERROR(__xludf.DUMMYFUNCTION("""COMPUTED_VALUE"""),-30.0)</f>
        <v>-30</v>
      </c>
      <c r="F26" s="16" t="str">
        <f>IFERROR(__xludf.DUMMYFUNCTION("""COMPUTED_VALUE"""),"FA")</f>
        <v>FA</v>
      </c>
      <c r="G26" s="16" t="str">
        <f>IFERROR(__xludf.DUMMYFUNCTION("""COMPUTED_VALUE"""),"3b-4e34")</f>
        <v>3b-4e34</v>
      </c>
    </row>
    <row r="27">
      <c r="A27" s="16">
        <f>IFERROR(__xludf.DUMMYFUNCTION("""COMPUTED_VALUE"""),12730.0)</f>
        <v>12730</v>
      </c>
      <c r="B27" s="16" t="str">
        <f>IFERROR(__xludf.DUMMYFUNCTION("""COMPUTED_VALUE"""),"Danny Mendick")</f>
        <v>Danny Mendick</v>
      </c>
      <c r="C27" s="16">
        <f>IFERROR(__xludf.DUMMYFUNCTION("""COMPUTED_VALUE"""),0.0)</f>
        <v>0</v>
      </c>
      <c r="D27" s="16">
        <f>IFERROR(__xludf.DUMMYFUNCTION("""COMPUTED_VALUE"""),9.0)</f>
        <v>9</v>
      </c>
      <c r="E27" s="16">
        <f>IFERROR(__xludf.DUMMYFUNCTION("""COMPUTED_VALUE"""),-43.0)</f>
        <v>-43</v>
      </c>
      <c r="F27" s="16" t="str">
        <f>IFERROR(__xludf.DUMMYFUNCTION("""COMPUTED_VALUE"""),"FA")</f>
        <v>FA</v>
      </c>
      <c r="G27" s="16" t="str">
        <f>IFERROR(__xludf.DUMMYFUNCTION("""COMPUTED_VALUE"""),"3b-3e20 2b-3e8")</f>
        <v>3b-3e20 2b-3e8</v>
      </c>
    </row>
    <row r="33">
      <c r="A33" s="16" t="str">
        <f>SbaPlayerImport(12)</f>
        <v>player id</v>
      </c>
      <c r="B33" s="16" t="s">
        <v>132</v>
      </c>
      <c r="C33" s="16" t="s">
        <v>2</v>
      </c>
      <c r="D33" s="16" t="s">
        <v>133</v>
      </c>
      <c r="E33" s="16" t="s">
        <v>134</v>
      </c>
      <c r="F33" s="16" t="s">
        <v>135</v>
      </c>
      <c r="G33" s="16" t="s">
        <v>136</v>
      </c>
      <c r="H33" s="16" t="s">
        <v>137</v>
      </c>
      <c r="I33" s="16" t="s">
        <v>138</v>
      </c>
      <c r="J33" s="16" t="s">
        <v>139</v>
      </c>
      <c r="K33" s="16" t="s">
        <v>140</v>
      </c>
      <c r="L33" s="16" t="s">
        <v>141</v>
      </c>
      <c r="M33" s="16" t="s">
        <v>142</v>
      </c>
      <c r="N33" s="16" t="s">
        <v>143</v>
      </c>
      <c r="O33" s="16" t="s">
        <v>144</v>
      </c>
      <c r="P33" s="16" t="s">
        <v>145</v>
      </c>
      <c r="Q33" s="16" t="s">
        <v>146</v>
      </c>
      <c r="R33" s="16" t="s">
        <v>147</v>
      </c>
      <c r="S33" s="16" t="s">
        <v>148</v>
      </c>
      <c r="T33" s="16" t="s">
        <v>149</v>
      </c>
      <c r="U33" s="16" t="s">
        <v>150</v>
      </c>
      <c r="V33" s="16" t="s">
        <v>151</v>
      </c>
      <c r="W33" s="16" t="s">
        <v>152</v>
      </c>
    </row>
    <row r="34">
      <c r="A34" s="16">
        <v>11458.0</v>
      </c>
      <c r="B34" s="16" t="s">
        <v>174</v>
      </c>
      <c r="C34" s="16">
        <v>0.52</v>
      </c>
      <c r="D34" s="174" t="s">
        <v>175</v>
      </c>
      <c r="E34" s="16"/>
      <c r="F34" s="16">
        <v>498.0</v>
      </c>
      <c r="G34" s="16" t="s">
        <v>176</v>
      </c>
      <c r="H34" s="16" t="s">
        <v>25</v>
      </c>
      <c r="I34" s="16"/>
      <c r="J34" s="16"/>
      <c r="K34" s="16"/>
      <c r="L34" s="16"/>
      <c r="M34" s="16"/>
      <c r="N34" s="16"/>
      <c r="O34" s="16"/>
      <c r="P34" s="16"/>
      <c r="Q34" s="16"/>
      <c r="R34" s="16"/>
      <c r="S34" s="16">
        <v>-2.0</v>
      </c>
      <c r="T34" s="16"/>
      <c r="U34" s="16" t="s">
        <v>177</v>
      </c>
      <c r="V34" s="16" t="s">
        <v>178</v>
      </c>
      <c r="W34" s="16" t="s">
        <v>179</v>
      </c>
    </row>
    <row r="35">
      <c r="A35" s="16">
        <v>11459.0</v>
      </c>
      <c r="B35" s="16" t="s">
        <v>184</v>
      </c>
      <c r="C35" s="16">
        <v>0.56</v>
      </c>
      <c r="D35" s="174" t="s">
        <v>185</v>
      </c>
      <c r="E35" s="16"/>
      <c r="F35" s="16">
        <v>498.0</v>
      </c>
      <c r="G35" s="16" t="s">
        <v>176</v>
      </c>
      <c r="H35" s="16" t="s">
        <v>24</v>
      </c>
      <c r="I35" s="16"/>
      <c r="J35" s="16"/>
      <c r="K35" s="16"/>
      <c r="L35" s="16"/>
      <c r="M35" s="16"/>
      <c r="N35" s="16"/>
      <c r="O35" s="16"/>
      <c r="P35" s="16"/>
      <c r="Q35" s="16"/>
      <c r="R35" s="16"/>
      <c r="S35" s="16">
        <v>-2.0</v>
      </c>
      <c r="T35" s="16"/>
      <c r="U35" s="16" t="s">
        <v>186</v>
      </c>
      <c r="V35" s="16" t="s">
        <v>187</v>
      </c>
      <c r="W35" s="16" t="s">
        <v>188</v>
      </c>
    </row>
    <row r="36">
      <c r="A36" s="16">
        <v>11460.0</v>
      </c>
      <c r="B36" s="16" t="s">
        <v>195</v>
      </c>
      <c r="C36" s="16">
        <v>0.0</v>
      </c>
      <c r="D36" s="174" t="s">
        <v>196</v>
      </c>
      <c r="E36" s="16"/>
      <c r="F36" s="16">
        <v>498.0</v>
      </c>
      <c r="G36" s="16" t="s">
        <v>176</v>
      </c>
      <c r="H36" s="16" t="s">
        <v>19</v>
      </c>
      <c r="I36" s="16" t="s">
        <v>17</v>
      </c>
      <c r="J36" s="16" t="s">
        <v>18</v>
      </c>
      <c r="K36" s="16"/>
      <c r="L36" s="16"/>
      <c r="M36" s="16"/>
      <c r="N36" s="16"/>
      <c r="O36" s="16"/>
      <c r="P36" s="16"/>
      <c r="Q36" s="16"/>
      <c r="R36" s="16"/>
      <c r="S36" s="16">
        <v>-2.0</v>
      </c>
      <c r="T36" s="16"/>
      <c r="U36" s="16" t="s">
        <v>197</v>
      </c>
      <c r="V36" s="16" t="s">
        <v>198</v>
      </c>
      <c r="W36" s="16" t="s">
        <v>199</v>
      </c>
    </row>
    <row r="37">
      <c r="A37" s="16">
        <v>11461.0</v>
      </c>
      <c r="B37" s="16" t="s">
        <v>210</v>
      </c>
      <c r="C37" s="16">
        <v>4.45</v>
      </c>
      <c r="D37" s="174" t="s">
        <v>211</v>
      </c>
      <c r="E37" s="16"/>
      <c r="F37" s="16">
        <v>526.0</v>
      </c>
      <c r="G37" s="16" t="s">
        <v>212</v>
      </c>
      <c r="H37" s="16" t="s">
        <v>18</v>
      </c>
      <c r="I37" s="16" t="s">
        <v>19</v>
      </c>
      <c r="J37" s="16" t="s">
        <v>17</v>
      </c>
      <c r="K37" s="16"/>
      <c r="L37" s="16"/>
      <c r="M37" s="16"/>
      <c r="N37" s="16"/>
      <c r="O37" s="16"/>
      <c r="P37" s="16"/>
      <c r="Q37" s="16"/>
      <c r="R37" s="16"/>
      <c r="S37" s="16">
        <v>1.0</v>
      </c>
      <c r="T37" s="174" t="s">
        <v>4747</v>
      </c>
      <c r="U37" s="16" t="s">
        <v>213</v>
      </c>
      <c r="V37" s="16" t="s">
        <v>214</v>
      </c>
      <c r="W37" s="16" t="s">
        <v>188</v>
      </c>
    </row>
    <row r="38">
      <c r="A38" s="16">
        <v>11462.0</v>
      </c>
      <c r="B38" s="16" t="s">
        <v>226</v>
      </c>
      <c r="C38" s="16">
        <v>1.63</v>
      </c>
      <c r="D38" s="174" t="s">
        <v>227</v>
      </c>
      <c r="E38" s="16"/>
      <c r="F38" s="16">
        <v>507.0</v>
      </c>
      <c r="G38" s="16" t="s">
        <v>4748</v>
      </c>
      <c r="H38" s="16" t="s">
        <v>24</v>
      </c>
      <c r="I38" s="16"/>
      <c r="J38" s="16"/>
      <c r="K38" s="16"/>
      <c r="L38" s="16"/>
      <c r="M38" s="16"/>
      <c r="N38" s="16"/>
      <c r="O38" s="16"/>
      <c r="P38" s="16"/>
      <c r="Q38" s="16"/>
      <c r="R38" s="16"/>
      <c r="S38" s="16">
        <v>15.0</v>
      </c>
      <c r="T38" s="16"/>
      <c r="U38" s="16" t="s">
        <v>229</v>
      </c>
      <c r="V38" s="16" t="s">
        <v>230</v>
      </c>
      <c r="W38" s="16" t="s">
        <v>231</v>
      </c>
    </row>
    <row r="39">
      <c r="A39" s="16">
        <v>11463.0</v>
      </c>
      <c r="B39" s="16" t="s">
        <v>241</v>
      </c>
      <c r="C39" s="16">
        <v>0.59</v>
      </c>
      <c r="D39" s="174" t="s">
        <v>242</v>
      </c>
      <c r="E39" s="16"/>
      <c r="F39" s="16">
        <v>498.0</v>
      </c>
      <c r="G39" s="16" t="s">
        <v>176</v>
      </c>
      <c r="H39" s="16" t="s">
        <v>14</v>
      </c>
      <c r="I39" s="16" t="s">
        <v>15</v>
      </c>
      <c r="J39" s="16" t="s">
        <v>16</v>
      </c>
      <c r="K39" s="16"/>
      <c r="L39" s="16"/>
      <c r="M39" s="16"/>
      <c r="N39" s="16"/>
      <c r="O39" s="16"/>
      <c r="P39" s="16"/>
      <c r="Q39" s="16"/>
      <c r="R39" s="16"/>
      <c r="S39" s="16">
        <v>-2.0</v>
      </c>
      <c r="T39" s="16"/>
      <c r="U39" s="16" t="s">
        <v>243</v>
      </c>
      <c r="V39" s="16" t="s">
        <v>244</v>
      </c>
      <c r="W39" s="16" t="s">
        <v>199</v>
      </c>
    </row>
    <row r="40">
      <c r="A40" s="16">
        <v>11464.0</v>
      </c>
      <c r="B40" s="16" t="s">
        <v>255</v>
      </c>
      <c r="C40" s="16">
        <v>0.48</v>
      </c>
      <c r="D40" s="174" t="s">
        <v>256</v>
      </c>
      <c r="E40" s="16"/>
      <c r="F40" s="16">
        <v>498.0</v>
      </c>
      <c r="G40" s="16" t="s">
        <v>176</v>
      </c>
      <c r="H40" s="16" t="s">
        <v>15</v>
      </c>
      <c r="I40" s="16" t="s">
        <v>14</v>
      </c>
      <c r="J40" s="16" t="s">
        <v>13</v>
      </c>
      <c r="K40" s="16" t="s">
        <v>17</v>
      </c>
      <c r="L40" s="16"/>
      <c r="M40" s="16"/>
      <c r="N40" s="16"/>
      <c r="O40" s="16"/>
      <c r="P40" s="16"/>
      <c r="Q40" s="16"/>
      <c r="R40" s="16"/>
      <c r="S40" s="16">
        <v>7.0</v>
      </c>
      <c r="T40" s="16"/>
      <c r="U40" s="16" t="s">
        <v>257</v>
      </c>
      <c r="V40" s="16" t="s">
        <v>258</v>
      </c>
      <c r="W40" s="16" t="s">
        <v>259</v>
      </c>
    </row>
    <row r="41">
      <c r="A41" s="16">
        <v>11465.0</v>
      </c>
      <c r="B41" s="16" t="s">
        <v>270</v>
      </c>
      <c r="C41" s="16">
        <v>0.0</v>
      </c>
      <c r="D41" s="174" t="s">
        <v>271</v>
      </c>
      <c r="E41" s="16"/>
      <c r="F41" s="16">
        <v>505.0</v>
      </c>
      <c r="G41" s="16" t="s">
        <v>4656</v>
      </c>
      <c r="H41" s="16" t="s">
        <v>25</v>
      </c>
      <c r="I41" s="16"/>
      <c r="J41" s="16"/>
      <c r="K41" s="16"/>
      <c r="L41" s="16"/>
      <c r="M41" s="16"/>
      <c r="N41" s="16"/>
      <c r="O41" s="16"/>
      <c r="P41" s="16"/>
      <c r="Q41" s="16"/>
      <c r="R41" s="16"/>
      <c r="S41" s="16">
        <v>17.0</v>
      </c>
      <c r="T41" s="16"/>
      <c r="U41" s="16" t="s">
        <v>274</v>
      </c>
      <c r="V41" s="16" t="s">
        <v>275</v>
      </c>
      <c r="W41" s="16" t="s">
        <v>276</v>
      </c>
    </row>
    <row r="42">
      <c r="A42" s="16">
        <v>11466.0</v>
      </c>
      <c r="B42" s="16" t="s">
        <v>287</v>
      </c>
      <c r="C42" s="16">
        <v>0.0</v>
      </c>
      <c r="D42" s="174" t="s">
        <v>288</v>
      </c>
      <c r="E42" s="16"/>
      <c r="F42" s="16">
        <v>544.0</v>
      </c>
      <c r="G42" s="16" t="s">
        <v>272</v>
      </c>
      <c r="H42" s="16" t="s">
        <v>19</v>
      </c>
      <c r="I42" s="16" t="s">
        <v>17</v>
      </c>
      <c r="J42" s="16"/>
      <c r="K42" s="16"/>
      <c r="L42" s="16"/>
      <c r="M42" s="16"/>
      <c r="N42" s="16"/>
      <c r="O42" s="16"/>
      <c r="P42" s="16"/>
      <c r="Q42" s="16"/>
      <c r="R42" s="16"/>
      <c r="S42" s="16">
        <v>1.0</v>
      </c>
      <c r="T42" s="174" t="s">
        <v>4749</v>
      </c>
      <c r="U42" s="16" t="s">
        <v>290</v>
      </c>
      <c r="V42" s="16" t="s">
        <v>291</v>
      </c>
      <c r="W42" s="16" t="s">
        <v>179</v>
      </c>
    </row>
    <row r="43">
      <c r="A43" s="16">
        <v>11467.0</v>
      </c>
      <c r="B43" s="16" t="s">
        <v>302</v>
      </c>
      <c r="C43" s="16">
        <v>0.3</v>
      </c>
      <c r="D43" s="174" t="s">
        <v>303</v>
      </c>
      <c r="E43" s="16"/>
      <c r="F43" s="16">
        <v>498.0</v>
      </c>
      <c r="G43" s="16" t="s">
        <v>176</v>
      </c>
      <c r="H43" s="16" t="s">
        <v>14</v>
      </c>
      <c r="I43" s="16" t="s">
        <v>19</v>
      </c>
      <c r="J43" s="16" t="s">
        <v>17</v>
      </c>
      <c r="K43" s="16" t="s">
        <v>15</v>
      </c>
      <c r="L43" s="16" t="s">
        <v>13</v>
      </c>
      <c r="M43" s="16"/>
      <c r="N43" s="16"/>
      <c r="O43" s="16"/>
      <c r="P43" s="16"/>
      <c r="Q43" s="16"/>
      <c r="R43" s="16"/>
      <c r="S43" s="16">
        <v>-2.0</v>
      </c>
      <c r="T43" s="16"/>
      <c r="U43" s="16" t="s">
        <v>304</v>
      </c>
      <c r="V43" s="16" t="s">
        <v>305</v>
      </c>
      <c r="W43" s="16" t="s">
        <v>179</v>
      </c>
    </row>
    <row r="44">
      <c r="A44" s="16">
        <v>11468.0</v>
      </c>
      <c r="B44" s="16" t="s">
        <v>315</v>
      </c>
      <c r="C44" s="16">
        <v>0.0</v>
      </c>
      <c r="D44" s="174" t="s">
        <v>316</v>
      </c>
      <c r="E44" s="16"/>
      <c r="F44" s="16">
        <v>498.0</v>
      </c>
      <c r="G44" s="16" t="s">
        <v>176</v>
      </c>
      <c r="H44" s="16" t="s">
        <v>24</v>
      </c>
      <c r="I44" s="16"/>
      <c r="J44" s="16"/>
      <c r="K44" s="16"/>
      <c r="L44" s="16"/>
      <c r="M44" s="16"/>
      <c r="N44" s="16"/>
      <c r="O44" s="16"/>
      <c r="P44" s="16"/>
      <c r="Q44" s="16"/>
      <c r="R44" s="16"/>
      <c r="S44" s="16">
        <v>-2.0</v>
      </c>
      <c r="T44" s="16"/>
      <c r="U44" s="16" t="s">
        <v>317</v>
      </c>
      <c r="V44" s="16" t="s">
        <v>318</v>
      </c>
      <c r="W44" s="16" t="s">
        <v>199</v>
      </c>
    </row>
    <row r="45">
      <c r="A45" s="16">
        <v>11469.0</v>
      </c>
      <c r="B45" s="16" t="s">
        <v>328</v>
      </c>
      <c r="C45" s="16">
        <v>0.71</v>
      </c>
      <c r="D45" s="174" t="s">
        <v>329</v>
      </c>
      <c r="E45" s="16"/>
      <c r="F45" s="16">
        <v>498.0</v>
      </c>
      <c r="G45" s="16" t="s">
        <v>176</v>
      </c>
      <c r="H45" s="16" t="s">
        <v>24</v>
      </c>
      <c r="I45" s="16"/>
      <c r="J45" s="16"/>
      <c r="K45" s="16"/>
      <c r="L45" s="16"/>
      <c r="M45" s="16"/>
      <c r="N45" s="16"/>
      <c r="O45" s="16"/>
      <c r="P45" s="16"/>
      <c r="Q45" s="16"/>
      <c r="R45" s="16"/>
      <c r="S45" s="16">
        <v>-2.0</v>
      </c>
      <c r="T45" s="16"/>
      <c r="U45" s="16" t="s">
        <v>330</v>
      </c>
      <c r="V45" s="16" t="s">
        <v>331</v>
      </c>
      <c r="W45" s="16" t="s">
        <v>332</v>
      </c>
    </row>
    <row r="46">
      <c r="A46" s="16">
        <v>11470.0</v>
      </c>
      <c r="B46" s="16" t="s">
        <v>342</v>
      </c>
      <c r="C46" s="16">
        <v>0.0</v>
      </c>
      <c r="D46" s="174" t="s">
        <v>343</v>
      </c>
      <c r="E46" s="16"/>
      <c r="F46" s="16">
        <v>543.0</v>
      </c>
      <c r="G46" s="16" t="s">
        <v>1175</v>
      </c>
      <c r="H46" s="16" t="s">
        <v>25</v>
      </c>
      <c r="I46" s="16" t="s">
        <v>26</v>
      </c>
      <c r="J46" s="16"/>
      <c r="K46" s="16"/>
      <c r="L46" s="16"/>
      <c r="M46" s="16"/>
      <c r="N46" s="16"/>
      <c r="O46" s="16"/>
      <c r="P46" s="16"/>
      <c r="Q46" s="16"/>
      <c r="R46" s="16"/>
      <c r="S46" s="16">
        <v>14.0</v>
      </c>
      <c r="T46" s="16"/>
      <c r="U46" s="16" t="s">
        <v>344</v>
      </c>
      <c r="V46" s="16" t="s">
        <v>345</v>
      </c>
      <c r="W46" s="16" t="s">
        <v>179</v>
      </c>
    </row>
    <row r="47">
      <c r="A47" s="16">
        <v>11471.0</v>
      </c>
      <c r="B47" s="16" t="s">
        <v>356</v>
      </c>
      <c r="C47" s="16">
        <v>0.52</v>
      </c>
      <c r="D47" s="174" t="s">
        <v>357</v>
      </c>
      <c r="E47" s="16"/>
      <c r="F47" s="16">
        <v>498.0</v>
      </c>
      <c r="G47" s="16" t="s">
        <v>176</v>
      </c>
      <c r="H47" s="16" t="s">
        <v>15</v>
      </c>
      <c r="I47" s="16" t="s">
        <v>19</v>
      </c>
      <c r="J47" s="16" t="s">
        <v>17</v>
      </c>
      <c r="K47" s="16"/>
      <c r="L47" s="16"/>
      <c r="M47" s="16"/>
      <c r="N47" s="16"/>
      <c r="O47" s="16"/>
      <c r="P47" s="16"/>
      <c r="Q47" s="16"/>
      <c r="R47" s="16"/>
      <c r="S47" s="16">
        <v>-2.0</v>
      </c>
      <c r="T47" s="16"/>
      <c r="U47" s="16" t="s">
        <v>358</v>
      </c>
      <c r="V47" s="16" t="s">
        <v>359</v>
      </c>
      <c r="W47" s="16" t="s">
        <v>360</v>
      </c>
    </row>
    <row r="48">
      <c r="A48" s="16">
        <v>11472.0</v>
      </c>
      <c r="B48" s="16" t="s">
        <v>369</v>
      </c>
      <c r="C48" s="16">
        <v>1.55</v>
      </c>
      <c r="D48" s="174" t="s">
        <v>370</v>
      </c>
      <c r="E48" s="16"/>
      <c r="F48" s="16">
        <v>505.0</v>
      </c>
      <c r="G48" s="16" t="s">
        <v>4656</v>
      </c>
      <c r="H48" s="16" t="s">
        <v>12</v>
      </c>
      <c r="I48" s="16"/>
      <c r="J48" s="16"/>
      <c r="K48" s="16"/>
      <c r="L48" s="16"/>
      <c r="M48" s="16"/>
      <c r="N48" s="16"/>
      <c r="O48" s="16"/>
      <c r="P48" s="16"/>
      <c r="Q48" s="16"/>
      <c r="R48" s="16"/>
      <c r="S48" s="16">
        <v>17.0</v>
      </c>
      <c r="T48" s="16"/>
      <c r="U48" s="16" t="s">
        <v>372</v>
      </c>
      <c r="V48" s="16" t="s">
        <v>373</v>
      </c>
      <c r="W48" s="16" t="s">
        <v>188</v>
      </c>
    </row>
    <row r="49">
      <c r="A49" s="16">
        <v>11473.0</v>
      </c>
      <c r="B49" s="16" t="s">
        <v>383</v>
      </c>
      <c r="C49" s="16">
        <v>0.14</v>
      </c>
      <c r="D49" s="174" t="s">
        <v>384</v>
      </c>
      <c r="E49" s="16"/>
      <c r="F49" s="16">
        <v>498.0</v>
      </c>
      <c r="G49" s="16" t="s">
        <v>176</v>
      </c>
      <c r="H49" s="16" t="s">
        <v>19</v>
      </c>
      <c r="I49" s="16"/>
      <c r="J49" s="16"/>
      <c r="K49" s="16"/>
      <c r="L49" s="16"/>
      <c r="M49" s="16"/>
      <c r="N49" s="16"/>
      <c r="O49" s="16"/>
      <c r="P49" s="16"/>
      <c r="Q49" s="16"/>
      <c r="R49" s="16"/>
      <c r="S49" s="16">
        <v>15.0</v>
      </c>
      <c r="T49" s="16"/>
      <c r="U49" s="16" t="s">
        <v>385</v>
      </c>
      <c r="V49" s="16" t="s">
        <v>386</v>
      </c>
      <c r="W49" s="16" t="s">
        <v>188</v>
      </c>
    </row>
    <row r="50">
      <c r="A50" s="16">
        <v>11474.0</v>
      </c>
      <c r="B50" s="16" t="s">
        <v>395</v>
      </c>
      <c r="C50" s="16">
        <v>1.67</v>
      </c>
      <c r="D50" s="174" t="s">
        <v>396</v>
      </c>
      <c r="E50" s="16"/>
      <c r="F50" s="16">
        <v>529.0</v>
      </c>
      <c r="G50" s="16" t="s">
        <v>333</v>
      </c>
      <c r="H50" s="16" t="s">
        <v>12</v>
      </c>
      <c r="I50" s="16"/>
      <c r="J50" s="16"/>
      <c r="K50" s="16"/>
      <c r="L50" s="16"/>
      <c r="M50" s="16"/>
      <c r="N50" s="16"/>
      <c r="O50" s="16"/>
      <c r="P50" s="16"/>
      <c r="Q50" s="16"/>
      <c r="R50" s="16"/>
      <c r="S50" s="16">
        <v>15.0</v>
      </c>
      <c r="T50" s="16"/>
      <c r="U50" s="16" t="s">
        <v>397</v>
      </c>
      <c r="V50" s="16" t="s">
        <v>398</v>
      </c>
      <c r="W50" s="16" t="s">
        <v>399</v>
      </c>
    </row>
    <row r="51">
      <c r="A51" s="16">
        <v>11475.0</v>
      </c>
      <c r="B51" s="16" t="s">
        <v>409</v>
      </c>
      <c r="C51" s="16">
        <v>0.0</v>
      </c>
      <c r="D51" s="174" t="s">
        <v>410</v>
      </c>
      <c r="E51" s="16"/>
      <c r="F51" s="16">
        <v>498.0</v>
      </c>
      <c r="G51" s="16" t="s">
        <v>176</v>
      </c>
      <c r="H51" s="16" t="s">
        <v>24</v>
      </c>
      <c r="I51" s="16" t="s">
        <v>25</v>
      </c>
      <c r="J51" s="16" t="s">
        <v>26</v>
      </c>
      <c r="K51" s="16"/>
      <c r="L51" s="16"/>
      <c r="M51" s="16"/>
      <c r="N51" s="16"/>
      <c r="O51" s="16"/>
      <c r="P51" s="16"/>
      <c r="Q51" s="16"/>
      <c r="R51" s="16"/>
      <c r="S51" s="16">
        <v>-2.0</v>
      </c>
      <c r="T51" s="16"/>
      <c r="U51" s="16" t="s">
        <v>411</v>
      </c>
      <c r="V51" s="16" t="s">
        <v>412</v>
      </c>
      <c r="W51" s="16" t="s">
        <v>360</v>
      </c>
    </row>
    <row r="52">
      <c r="A52" s="16">
        <v>11476.0</v>
      </c>
      <c r="B52" s="16" t="s">
        <v>413</v>
      </c>
      <c r="C52" s="16">
        <v>0.98</v>
      </c>
      <c r="D52" s="174" t="s">
        <v>414</v>
      </c>
      <c r="E52" s="16"/>
      <c r="F52" s="16">
        <v>546.0</v>
      </c>
      <c r="G52" s="16" t="s">
        <v>415</v>
      </c>
      <c r="H52" s="16" t="s">
        <v>25</v>
      </c>
      <c r="I52" s="16" t="s">
        <v>26</v>
      </c>
      <c r="J52" s="16"/>
      <c r="K52" s="16"/>
      <c r="L52" s="16"/>
      <c r="M52" s="16"/>
      <c r="N52" s="16"/>
      <c r="O52" s="16"/>
      <c r="P52" s="16"/>
      <c r="Q52" s="16"/>
      <c r="R52" s="16"/>
      <c r="S52" s="16">
        <v>15.0</v>
      </c>
      <c r="T52" s="16"/>
      <c r="U52" s="16" t="s">
        <v>416</v>
      </c>
      <c r="V52" s="16" t="s">
        <v>417</v>
      </c>
      <c r="W52" s="16" t="s">
        <v>179</v>
      </c>
    </row>
    <row r="53">
      <c r="A53" s="16">
        <v>11477.0</v>
      </c>
      <c r="B53" s="16" t="s">
        <v>418</v>
      </c>
      <c r="C53" s="16">
        <v>1.54</v>
      </c>
      <c r="D53" s="174" t="s">
        <v>419</v>
      </c>
      <c r="E53" s="16"/>
      <c r="F53" s="16">
        <v>522.0</v>
      </c>
      <c r="G53" s="16" t="s">
        <v>686</v>
      </c>
      <c r="H53" s="16" t="s">
        <v>25</v>
      </c>
      <c r="I53" s="16" t="s">
        <v>26</v>
      </c>
      <c r="J53" s="16"/>
      <c r="K53" s="16"/>
      <c r="L53" s="16"/>
      <c r="M53" s="16"/>
      <c r="N53" s="16"/>
      <c r="O53" s="16"/>
      <c r="P53" s="16"/>
      <c r="Q53" s="16"/>
      <c r="R53" s="16" t="s">
        <v>4750</v>
      </c>
      <c r="S53" s="16">
        <v>17.0</v>
      </c>
      <c r="T53" s="16"/>
      <c r="U53" s="16" t="s">
        <v>420</v>
      </c>
      <c r="V53" s="16" t="s">
        <v>421</v>
      </c>
      <c r="W53" s="16" t="s">
        <v>422</v>
      </c>
    </row>
    <row r="54">
      <c r="A54" s="16">
        <v>11478.0</v>
      </c>
      <c r="B54" s="16" t="s">
        <v>423</v>
      </c>
      <c r="C54" s="16">
        <v>1.41</v>
      </c>
      <c r="D54" s="174" t="s">
        <v>424</v>
      </c>
      <c r="E54" s="16"/>
      <c r="F54" s="16">
        <v>505.0</v>
      </c>
      <c r="G54" s="16" t="s">
        <v>4656</v>
      </c>
      <c r="H54" s="16" t="s">
        <v>24</v>
      </c>
      <c r="I54" s="16" t="s">
        <v>25</v>
      </c>
      <c r="J54" s="16" t="s">
        <v>26</v>
      </c>
      <c r="K54" s="16"/>
      <c r="L54" s="16"/>
      <c r="M54" s="16"/>
      <c r="N54" s="16"/>
      <c r="O54" s="16"/>
      <c r="P54" s="16"/>
      <c r="Q54" s="16"/>
      <c r="R54" s="16"/>
      <c r="S54" s="16">
        <v>-2.0</v>
      </c>
      <c r="T54" s="16"/>
      <c r="U54" s="16" t="s">
        <v>425</v>
      </c>
      <c r="V54" s="16" t="s">
        <v>426</v>
      </c>
      <c r="W54" s="16" t="s">
        <v>360</v>
      </c>
    </row>
    <row r="55">
      <c r="A55" s="16">
        <v>11479.0</v>
      </c>
      <c r="B55" s="16" t="s">
        <v>427</v>
      </c>
      <c r="C55" s="16">
        <v>0.0</v>
      </c>
      <c r="D55" s="174" t="s">
        <v>428</v>
      </c>
      <c r="E55" s="16"/>
      <c r="F55" s="16">
        <v>498.0</v>
      </c>
      <c r="G55" s="16" t="s">
        <v>176</v>
      </c>
      <c r="H55" s="16" t="s">
        <v>17</v>
      </c>
      <c r="I55" s="16" t="s">
        <v>19</v>
      </c>
      <c r="J55" s="16" t="s">
        <v>18</v>
      </c>
      <c r="K55" s="16"/>
      <c r="L55" s="16"/>
      <c r="M55" s="16"/>
      <c r="N55" s="16"/>
      <c r="O55" s="16"/>
      <c r="P55" s="16"/>
      <c r="Q55" s="16"/>
      <c r="R55" s="16"/>
      <c r="S55" s="16">
        <v>-2.0</v>
      </c>
      <c r="T55" s="16"/>
      <c r="U55" s="16" t="s">
        <v>429</v>
      </c>
      <c r="V55" s="16" t="s">
        <v>430</v>
      </c>
      <c r="W55" s="16" t="s">
        <v>199</v>
      </c>
    </row>
    <row r="56">
      <c r="A56" s="16">
        <v>11480.0</v>
      </c>
      <c r="B56" s="16" t="s">
        <v>431</v>
      </c>
      <c r="C56" s="16">
        <v>0.0</v>
      </c>
      <c r="D56" s="174" t="s">
        <v>432</v>
      </c>
      <c r="E56" s="16"/>
      <c r="F56" s="16">
        <v>498.0</v>
      </c>
      <c r="G56" s="16" t="s">
        <v>176</v>
      </c>
      <c r="H56" s="16" t="s">
        <v>14</v>
      </c>
      <c r="I56" s="16" t="s">
        <v>15</v>
      </c>
      <c r="J56" s="16" t="s">
        <v>16</v>
      </c>
      <c r="K56" s="16"/>
      <c r="L56" s="16"/>
      <c r="M56" s="16"/>
      <c r="N56" s="16"/>
      <c r="O56" s="16"/>
      <c r="P56" s="16"/>
      <c r="Q56" s="16"/>
      <c r="R56" s="16"/>
      <c r="S56" s="16">
        <v>1.0</v>
      </c>
      <c r="T56" s="16"/>
      <c r="U56" s="16" t="s">
        <v>433</v>
      </c>
      <c r="V56" s="16" t="s">
        <v>434</v>
      </c>
      <c r="W56" s="16" t="s">
        <v>199</v>
      </c>
    </row>
    <row r="57">
      <c r="A57" s="16">
        <v>11481.0</v>
      </c>
      <c r="B57" s="16" t="s">
        <v>435</v>
      </c>
      <c r="C57" s="16">
        <v>1.18</v>
      </c>
      <c r="D57" s="174" t="s">
        <v>436</v>
      </c>
      <c r="E57" s="16"/>
      <c r="F57" s="16">
        <v>498.0</v>
      </c>
      <c r="G57" s="16" t="s">
        <v>176</v>
      </c>
      <c r="H57" s="16" t="s">
        <v>24</v>
      </c>
      <c r="I57" s="16" t="s">
        <v>25</v>
      </c>
      <c r="J57" s="16"/>
      <c r="K57" s="16"/>
      <c r="L57" s="16"/>
      <c r="M57" s="16"/>
      <c r="N57" s="16"/>
      <c r="O57" s="16"/>
      <c r="P57" s="16"/>
      <c r="Q57" s="16"/>
      <c r="R57" s="16"/>
      <c r="S57" s="16">
        <v>-2.0</v>
      </c>
      <c r="T57" s="16"/>
      <c r="U57" s="16" t="s">
        <v>437</v>
      </c>
      <c r="V57" s="16" t="s">
        <v>438</v>
      </c>
      <c r="W57" s="16" t="s">
        <v>188</v>
      </c>
    </row>
    <row r="58">
      <c r="A58" s="16">
        <v>11482.0</v>
      </c>
      <c r="B58" s="16" t="s">
        <v>439</v>
      </c>
      <c r="C58" s="16">
        <v>1.44</v>
      </c>
      <c r="D58" s="174" t="s">
        <v>440</v>
      </c>
      <c r="E58" s="16"/>
      <c r="F58" s="16">
        <v>507.0</v>
      </c>
      <c r="G58" s="16" t="s">
        <v>4748</v>
      </c>
      <c r="H58" s="16" t="s">
        <v>15</v>
      </c>
      <c r="I58" s="16" t="s">
        <v>13</v>
      </c>
      <c r="J58" s="16"/>
      <c r="K58" s="16"/>
      <c r="L58" s="16"/>
      <c r="M58" s="16"/>
      <c r="N58" s="16"/>
      <c r="O58" s="16"/>
      <c r="P58" s="16"/>
      <c r="Q58" s="16"/>
      <c r="R58" s="16"/>
      <c r="S58" s="16">
        <v>13.0</v>
      </c>
      <c r="T58" s="16"/>
      <c r="U58" s="16" t="s">
        <v>441</v>
      </c>
      <c r="V58" s="16" t="s">
        <v>442</v>
      </c>
      <c r="W58" s="16" t="s">
        <v>443</v>
      </c>
    </row>
    <row r="59">
      <c r="A59" s="16">
        <v>11483.0</v>
      </c>
      <c r="B59" s="16" t="s">
        <v>40</v>
      </c>
      <c r="C59" s="16">
        <v>0.58</v>
      </c>
      <c r="D59" s="174" t="s">
        <v>444</v>
      </c>
      <c r="E59" s="16"/>
      <c r="F59" s="16">
        <v>499.0</v>
      </c>
      <c r="G59" s="16" t="s">
        <v>126</v>
      </c>
      <c r="H59" s="16" t="s">
        <v>19</v>
      </c>
      <c r="I59" s="16" t="s">
        <v>17</v>
      </c>
      <c r="J59" s="16" t="s">
        <v>13</v>
      </c>
      <c r="K59" s="16"/>
      <c r="L59" s="16"/>
      <c r="M59" s="16"/>
      <c r="N59" s="16"/>
      <c r="O59" s="16"/>
      <c r="P59" s="16"/>
      <c r="Q59" s="16"/>
      <c r="R59" s="16"/>
      <c r="S59" s="16">
        <v>1.0</v>
      </c>
      <c r="T59" s="16"/>
      <c r="U59" s="16" t="s">
        <v>445</v>
      </c>
      <c r="V59" s="16" t="s">
        <v>446</v>
      </c>
      <c r="W59" s="16" t="s">
        <v>188</v>
      </c>
    </row>
    <row r="60">
      <c r="A60" s="16">
        <v>11484.0</v>
      </c>
      <c r="B60" s="16" t="s">
        <v>447</v>
      </c>
      <c r="C60" s="16">
        <v>0.52</v>
      </c>
      <c r="D60" s="174" t="s">
        <v>448</v>
      </c>
      <c r="E60" s="16"/>
      <c r="F60" s="16">
        <v>498.0</v>
      </c>
      <c r="G60" s="16" t="s">
        <v>176</v>
      </c>
      <c r="H60" s="16" t="s">
        <v>24</v>
      </c>
      <c r="I60" s="16"/>
      <c r="J60" s="16"/>
      <c r="K60" s="16"/>
      <c r="L60" s="16"/>
      <c r="M60" s="16"/>
      <c r="N60" s="16"/>
      <c r="O60" s="16"/>
      <c r="P60" s="16"/>
      <c r="Q60" s="16"/>
      <c r="R60" s="16"/>
      <c r="S60" s="16">
        <v>-2.0</v>
      </c>
      <c r="T60" s="16"/>
      <c r="U60" s="16" t="s">
        <v>449</v>
      </c>
      <c r="V60" s="16" t="s">
        <v>450</v>
      </c>
      <c r="W60" s="16" t="s">
        <v>443</v>
      </c>
    </row>
    <row r="61">
      <c r="A61" s="16">
        <v>11485.0</v>
      </c>
      <c r="B61" s="16" t="s">
        <v>451</v>
      </c>
      <c r="C61" s="16">
        <v>1.5</v>
      </c>
      <c r="D61" s="174" t="s">
        <v>452</v>
      </c>
      <c r="E61" s="16"/>
      <c r="F61" s="16">
        <v>534.0</v>
      </c>
      <c r="G61" s="16" t="s">
        <v>1170</v>
      </c>
      <c r="H61" s="16" t="s">
        <v>12</v>
      </c>
      <c r="I61" s="16"/>
      <c r="J61" s="16"/>
      <c r="K61" s="16"/>
      <c r="L61" s="16"/>
      <c r="M61" s="16"/>
      <c r="N61" s="16"/>
      <c r="O61" s="16"/>
      <c r="P61" s="16"/>
      <c r="Q61" s="16"/>
      <c r="R61" s="16"/>
      <c r="S61" s="16">
        <v>16.0</v>
      </c>
      <c r="T61" s="174" t="s">
        <v>4747</v>
      </c>
      <c r="U61" s="16" t="s">
        <v>453</v>
      </c>
      <c r="V61" s="16" t="s">
        <v>454</v>
      </c>
      <c r="W61" s="16" t="s">
        <v>259</v>
      </c>
    </row>
    <row r="62">
      <c r="A62" s="16">
        <v>11486.0</v>
      </c>
      <c r="B62" s="16" t="s">
        <v>455</v>
      </c>
      <c r="C62" s="16">
        <v>0.0</v>
      </c>
      <c r="D62" s="174" t="s">
        <v>456</v>
      </c>
      <c r="E62" s="16"/>
      <c r="F62" s="16">
        <v>498.0</v>
      </c>
      <c r="G62" s="16" t="s">
        <v>176</v>
      </c>
      <c r="H62" s="16" t="s">
        <v>18</v>
      </c>
      <c r="I62" s="16"/>
      <c r="J62" s="16"/>
      <c r="K62" s="16"/>
      <c r="L62" s="16"/>
      <c r="M62" s="16"/>
      <c r="N62" s="16"/>
      <c r="O62" s="16"/>
      <c r="P62" s="16"/>
      <c r="Q62" s="16"/>
      <c r="R62" s="16"/>
      <c r="S62" s="16">
        <v>12.0</v>
      </c>
      <c r="T62" s="16"/>
      <c r="U62" s="16" t="s">
        <v>457</v>
      </c>
      <c r="V62" s="16" t="s">
        <v>458</v>
      </c>
      <c r="W62" s="16" t="s">
        <v>459</v>
      </c>
    </row>
    <row r="63">
      <c r="A63" s="16">
        <v>11487.0</v>
      </c>
      <c r="B63" s="16" t="s">
        <v>42</v>
      </c>
      <c r="C63" s="16">
        <v>1.88</v>
      </c>
      <c r="D63" s="174" t="s">
        <v>460</v>
      </c>
      <c r="E63" s="16"/>
      <c r="F63" s="16">
        <v>499.0</v>
      </c>
      <c r="G63" s="16" t="s">
        <v>126</v>
      </c>
      <c r="H63" s="16" t="s">
        <v>15</v>
      </c>
      <c r="I63" s="16"/>
      <c r="J63" s="16"/>
      <c r="K63" s="16"/>
      <c r="L63" s="16"/>
      <c r="M63" s="16"/>
      <c r="N63" s="16"/>
      <c r="O63" s="16"/>
      <c r="P63" s="16"/>
      <c r="Q63" s="16"/>
      <c r="R63" s="16"/>
      <c r="S63" s="16">
        <v>1.0</v>
      </c>
      <c r="T63" s="16"/>
      <c r="U63" s="16" t="s">
        <v>461</v>
      </c>
      <c r="V63" s="16" t="s">
        <v>462</v>
      </c>
      <c r="W63" s="16" t="s">
        <v>443</v>
      </c>
    </row>
    <row r="64">
      <c r="A64" s="16">
        <v>11488.0</v>
      </c>
      <c r="B64" s="16" t="s">
        <v>463</v>
      </c>
      <c r="C64" s="16">
        <v>3.85</v>
      </c>
      <c r="D64" s="174" t="s">
        <v>464</v>
      </c>
      <c r="E64" s="16"/>
      <c r="F64" s="16">
        <v>529.0</v>
      </c>
      <c r="G64" s="16" t="s">
        <v>333</v>
      </c>
      <c r="H64" s="16" t="s">
        <v>19</v>
      </c>
      <c r="I64" s="16" t="s">
        <v>18</v>
      </c>
      <c r="J64" s="16" t="s">
        <v>17</v>
      </c>
      <c r="K64" s="16"/>
      <c r="L64" s="16"/>
      <c r="M64" s="16"/>
      <c r="N64" s="16"/>
      <c r="O64" s="16"/>
      <c r="P64" s="16"/>
      <c r="Q64" s="16"/>
      <c r="R64" s="16"/>
      <c r="S64" s="16">
        <v>14.0</v>
      </c>
      <c r="T64" s="16"/>
      <c r="U64" s="16" t="s">
        <v>467</v>
      </c>
      <c r="V64" s="16" t="s">
        <v>468</v>
      </c>
      <c r="W64" s="16" t="s">
        <v>276</v>
      </c>
    </row>
    <row r="65">
      <c r="A65" s="16">
        <v>11489.0</v>
      </c>
      <c r="B65" s="16" t="s">
        <v>469</v>
      </c>
      <c r="C65" s="16">
        <v>0.5</v>
      </c>
      <c r="D65" s="174" t="s">
        <v>470</v>
      </c>
      <c r="E65" s="16"/>
      <c r="F65" s="16">
        <v>498.0</v>
      </c>
      <c r="G65" s="16" t="s">
        <v>176</v>
      </c>
      <c r="H65" s="16" t="s">
        <v>24</v>
      </c>
      <c r="I65" s="16" t="s">
        <v>25</v>
      </c>
      <c r="J65" s="16"/>
      <c r="K65" s="16"/>
      <c r="L65" s="16"/>
      <c r="M65" s="16"/>
      <c r="N65" s="16"/>
      <c r="O65" s="16"/>
      <c r="P65" s="16"/>
      <c r="Q65" s="16"/>
      <c r="R65" s="16"/>
      <c r="S65" s="16">
        <v>-2.0</v>
      </c>
      <c r="T65" s="16"/>
      <c r="U65" s="16" t="s">
        <v>471</v>
      </c>
      <c r="V65" s="16" t="s">
        <v>472</v>
      </c>
      <c r="W65" s="16" t="s">
        <v>473</v>
      </c>
    </row>
    <row r="66">
      <c r="A66" s="16">
        <v>11490.0</v>
      </c>
      <c r="B66" s="16" t="s">
        <v>474</v>
      </c>
      <c r="C66" s="16">
        <v>0.0</v>
      </c>
      <c r="D66" s="174" t="s">
        <v>475</v>
      </c>
      <c r="E66" s="16"/>
      <c r="F66" s="16">
        <v>498.0</v>
      </c>
      <c r="G66" s="16" t="s">
        <v>176</v>
      </c>
      <c r="H66" s="16" t="s">
        <v>12</v>
      </c>
      <c r="I66" s="16"/>
      <c r="J66" s="16"/>
      <c r="K66" s="16"/>
      <c r="L66" s="16"/>
      <c r="M66" s="16"/>
      <c r="N66" s="16"/>
      <c r="O66" s="16"/>
      <c r="P66" s="16"/>
      <c r="Q66" s="16"/>
      <c r="R66" s="16"/>
      <c r="S66" s="16">
        <v>-2.0</v>
      </c>
      <c r="T66" s="16"/>
      <c r="U66" s="16" t="s">
        <v>476</v>
      </c>
      <c r="V66" s="16" t="s">
        <v>477</v>
      </c>
      <c r="W66" s="16" t="s">
        <v>478</v>
      </c>
    </row>
    <row r="67">
      <c r="A67" s="16">
        <v>11491.0</v>
      </c>
      <c r="B67" s="16" t="s">
        <v>479</v>
      </c>
      <c r="C67" s="16">
        <v>0.0</v>
      </c>
      <c r="D67" s="174" t="s">
        <v>480</v>
      </c>
      <c r="E67" s="16"/>
      <c r="F67" s="16">
        <v>498.0</v>
      </c>
      <c r="G67" s="16" t="s">
        <v>176</v>
      </c>
      <c r="H67" s="16" t="s">
        <v>17</v>
      </c>
      <c r="I67" s="16" t="s">
        <v>13</v>
      </c>
      <c r="J67" s="16" t="s">
        <v>19</v>
      </c>
      <c r="K67" s="16"/>
      <c r="L67" s="16"/>
      <c r="M67" s="16"/>
      <c r="N67" s="16"/>
      <c r="O67" s="16"/>
      <c r="P67" s="16"/>
      <c r="Q67" s="16"/>
      <c r="R67" s="16"/>
      <c r="S67" s="16">
        <v>-2.0</v>
      </c>
      <c r="T67" s="16"/>
      <c r="U67" s="16" t="s">
        <v>481</v>
      </c>
      <c r="V67" s="16" t="s">
        <v>482</v>
      </c>
      <c r="W67" s="16" t="s">
        <v>422</v>
      </c>
    </row>
    <row r="68">
      <c r="A68" s="16">
        <v>11492.0</v>
      </c>
      <c r="B68" s="16" t="s">
        <v>483</v>
      </c>
      <c r="C68" s="16">
        <v>0.37</v>
      </c>
      <c r="D68" s="174" t="s">
        <v>484</v>
      </c>
      <c r="E68" s="16"/>
      <c r="F68" s="16">
        <v>543.0</v>
      </c>
      <c r="G68" s="16" t="s">
        <v>1175</v>
      </c>
      <c r="H68" s="16" t="s">
        <v>17</v>
      </c>
      <c r="I68" s="16" t="s">
        <v>19</v>
      </c>
      <c r="J68" s="16" t="s">
        <v>18</v>
      </c>
      <c r="K68" s="16"/>
      <c r="L68" s="16"/>
      <c r="M68" s="16"/>
      <c r="N68" s="16"/>
      <c r="O68" s="16"/>
      <c r="P68" s="16"/>
      <c r="Q68" s="16"/>
      <c r="R68" s="16"/>
      <c r="S68" s="16">
        <v>15.0</v>
      </c>
      <c r="T68" s="16"/>
      <c r="U68" s="16" t="s">
        <v>485</v>
      </c>
      <c r="V68" s="16" t="s">
        <v>486</v>
      </c>
      <c r="W68" s="16" t="s">
        <v>188</v>
      </c>
    </row>
    <row r="69">
      <c r="A69" s="16">
        <v>11493.0</v>
      </c>
      <c r="B69" s="16" t="s">
        <v>487</v>
      </c>
      <c r="C69" s="16">
        <v>1.16</v>
      </c>
      <c r="D69" s="174" t="s">
        <v>488</v>
      </c>
      <c r="E69" s="16"/>
      <c r="F69" s="16">
        <v>502.0</v>
      </c>
      <c r="G69" s="16" t="s">
        <v>200</v>
      </c>
      <c r="H69" s="16" t="s">
        <v>25</v>
      </c>
      <c r="I69" s="16" t="s">
        <v>26</v>
      </c>
      <c r="J69" s="16"/>
      <c r="K69" s="16"/>
      <c r="L69" s="16"/>
      <c r="M69" s="16"/>
      <c r="N69" s="16"/>
      <c r="O69" s="16"/>
      <c r="P69" s="16"/>
      <c r="Q69" s="16"/>
      <c r="R69" s="16"/>
      <c r="S69" s="16">
        <v>16.0</v>
      </c>
      <c r="T69" s="16"/>
      <c r="U69" s="16" t="s">
        <v>489</v>
      </c>
      <c r="V69" s="16" t="s">
        <v>490</v>
      </c>
      <c r="W69" s="16" t="s">
        <v>491</v>
      </c>
    </row>
    <row r="70">
      <c r="A70" s="16">
        <v>11494.0</v>
      </c>
      <c r="B70" s="16" t="s">
        <v>492</v>
      </c>
      <c r="C70" s="16">
        <v>0.0</v>
      </c>
      <c r="D70" s="174" t="s">
        <v>493</v>
      </c>
      <c r="E70" s="16"/>
      <c r="F70" s="16">
        <v>498.0</v>
      </c>
      <c r="G70" s="16" t="s">
        <v>176</v>
      </c>
      <c r="H70" s="16" t="s">
        <v>24</v>
      </c>
      <c r="I70" s="16"/>
      <c r="J70" s="16"/>
      <c r="K70" s="16"/>
      <c r="L70" s="16"/>
      <c r="M70" s="16"/>
      <c r="N70" s="16"/>
      <c r="O70" s="16"/>
      <c r="P70" s="16"/>
      <c r="Q70" s="16"/>
      <c r="R70" s="16"/>
      <c r="S70" s="16">
        <v>-2.0</v>
      </c>
      <c r="T70" s="16"/>
      <c r="U70" s="16" t="s">
        <v>494</v>
      </c>
      <c r="V70" s="16" t="s">
        <v>495</v>
      </c>
      <c r="W70" s="16" t="s">
        <v>496</v>
      </c>
    </row>
    <row r="71">
      <c r="A71" s="16">
        <v>11495.0</v>
      </c>
      <c r="B71" s="16" t="s">
        <v>497</v>
      </c>
      <c r="C71" s="16">
        <v>0.43</v>
      </c>
      <c r="D71" s="174" t="s">
        <v>498</v>
      </c>
      <c r="E71" s="16"/>
      <c r="F71" s="16">
        <v>532.0</v>
      </c>
      <c r="G71" s="16" t="s">
        <v>346</v>
      </c>
      <c r="H71" s="16" t="s">
        <v>25</v>
      </c>
      <c r="I71" s="16" t="s">
        <v>26</v>
      </c>
      <c r="J71" s="16"/>
      <c r="K71" s="16"/>
      <c r="L71" s="16"/>
      <c r="M71" s="16"/>
      <c r="N71" s="16"/>
      <c r="O71" s="16"/>
      <c r="P71" s="16"/>
      <c r="Q71" s="16"/>
      <c r="R71" s="16" t="s">
        <v>4751</v>
      </c>
      <c r="S71" s="16">
        <v>1.0</v>
      </c>
      <c r="T71" s="16"/>
      <c r="U71" s="16" t="s">
        <v>499</v>
      </c>
      <c r="V71" s="16" t="s">
        <v>500</v>
      </c>
      <c r="W71" s="16" t="s">
        <v>179</v>
      </c>
    </row>
    <row r="72">
      <c r="A72" s="16">
        <v>11496.0</v>
      </c>
      <c r="B72" s="16" t="s">
        <v>501</v>
      </c>
      <c r="C72" s="16">
        <v>0.0</v>
      </c>
      <c r="D72" s="174" t="s">
        <v>502</v>
      </c>
      <c r="E72" s="16"/>
      <c r="F72" s="16">
        <v>538.0</v>
      </c>
      <c r="G72" s="16" t="s">
        <v>289</v>
      </c>
      <c r="H72" s="16" t="s">
        <v>12</v>
      </c>
      <c r="I72" s="16"/>
      <c r="J72" s="16"/>
      <c r="K72" s="16"/>
      <c r="L72" s="16"/>
      <c r="M72" s="16"/>
      <c r="N72" s="16"/>
      <c r="O72" s="16"/>
      <c r="P72" s="16"/>
      <c r="Q72" s="16"/>
      <c r="R72" s="16"/>
      <c r="S72" s="16">
        <v>1.0</v>
      </c>
      <c r="T72" s="16"/>
      <c r="U72" s="16" t="s">
        <v>503</v>
      </c>
      <c r="V72" s="16" t="s">
        <v>504</v>
      </c>
      <c r="W72" s="16" t="s">
        <v>399</v>
      </c>
    </row>
    <row r="73">
      <c r="A73" s="16">
        <v>11497.0</v>
      </c>
      <c r="B73" s="16" t="s">
        <v>505</v>
      </c>
      <c r="C73" s="16">
        <v>0.0</v>
      </c>
      <c r="D73" s="174" t="s">
        <v>506</v>
      </c>
      <c r="E73" s="16"/>
      <c r="F73" s="16">
        <v>498.0</v>
      </c>
      <c r="G73" s="16" t="s">
        <v>176</v>
      </c>
      <c r="H73" s="16" t="s">
        <v>14</v>
      </c>
      <c r="I73" s="16" t="s">
        <v>16</v>
      </c>
      <c r="J73" s="16"/>
      <c r="K73" s="16"/>
      <c r="L73" s="16"/>
      <c r="M73" s="16"/>
      <c r="N73" s="16"/>
      <c r="O73" s="16"/>
      <c r="P73" s="16"/>
      <c r="Q73" s="16"/>
      <c r="R73" s="16"/>
      <c r="S73" s="16">
        <v>-2.0</v>
      </c>
      <c r="T73" s="16"/>
      <c r="U73" s="16" t="s">
        <v>507</v>
      </c>
      <c r="V73" s="16" t="s">
        <v>508</v>
      </c>
      <c r="W73" s="16" t="s">
        <v>399</v>
      </c>
    </row>
    <row r="74">
      <c r="A74" s="16">
        <v>11498.0</v>
      </c>
      <c r="B74" s="16" t="s">
        <v>509</v>
      </c>
      <c r="C74" s="16">
        <v>0.0</v>
      </c>
      <c r="D74" s="174" t="s">
        <v>510</v>
      </c>
      <c r="E74" s="16"/>
      <c r="F74" s="16">
        <v>529.0</v>
      </c>
      <c r="G74" s="16" t="s">
        <v>333</v>
      </c>
      <c r="H74" s="16" t="s">
        <v>14</v>
      </c>
      <c r="I74" s="16" t="s">
        <v>19</v>
      </c>
      <c r="J74" s="16" t="s">
        <v>15</v>
      </c>
      <c r="K74" s="16" t="s">
        <v>16</v>
      </c>
      <c r="L74" s="16"/>
      <c r="M74" s="16"/>
      <c r="N74" s="16"/>
      <c r="O74" s="16"/>
      <c r="P74" s="16"/>
      <c r="Q74" s="16"/>
      <c r="R74" s="16"/>
      <c r="S74" s="16">
        <v>14.0</v>
      </c>
      <c r="T74" s="16"/>
      <c r="U74" s="16" t="s">
        <v>511</v>
      </c>
      <c r="V74" s="16" t="s">
        <v>512</v>
      </c>
      <c r="W74" s="16" t="s">
        <v>179</v>
      </c>
    </row>
    <row r="75">
      <c r="A75" s="16">
        <v>11499.0</v>
      </c>
      <c r="B75" s="16" t="s">
        <v>513</v>
      </c>
      <c r="C75" s="16">
        <v>0.99</v>
      </c>
      <c r="D75" s="174" t="s">
        <v>514</v>
      </c>
      <c r="E75" s="16"/>
      <c r="F75" s="16">
        <v>517.0</v>
      </c>
      <c r="G75" s="16" t="s">
        <v>277</v>
      </c>
      <c r="H75" s="16" t="s">
        <v>24</v>
      </c>
      <c r="I75" s="16" t="s">
        <v>25</v>
      </c>
      <c r="J75" s="16"/>
      <c r="K75" s="16"/>
      <c r="L75" s="16"/>
      <c r="M75" s="16"/>
      <c r="N75" s="16"/>
      <c r="O75" s="16"/>
      <c r="P75" s="16"/>
      <c r="Q75" s="16"/>
      <c r="R75" s="16"/>
      <c r="S75" s="16">
        <v>12.0</v>
      </c>
      <c r="T75" s="16"/>
      <c r="U75" s="16" t="s">
        <v>517</v>
      </c>
      <c r="V75" s="16" t="s">
        <v>518</v>
      </c>
      <c r="W75" s="16" t="s">
        <v>491</v>
      </c>
    </row>
    <row r="76">
      <c r="A76" s="16">
        <v>11500.0</v>
      </c>
      <c r="B76" s="16" t="s">
        <v>519</v>
      </c>
      <c r="C76" s="16">
        <v>0.0</v>
      </c>
      <c r="D76" s="174" t="s">
        <v>520</v>
      </c>
      <c r="E76" s="16"/>
      <c r="F76" s="16">
        <v>543.0</v>
      </c>
      <c r="G76" s="16" t="s">
        <v>1175</v>
      </c>
      <c r="H76" s="16" t="s">
        <v>13</v>
      </c>
      <c r="I76" s="16"/>
      <c r="J76" s="16"/>
      <c r="K76" s="16"/>
      <c r="L76" s="16"/>
      <c r="M76" s="16"/>
      <c r="N76" s="16"/>
      <c r="O76" s="16"/>
      <c r="P76" s="16"/>
      <c r="Q76" s="16"/>
      <c r="R76" s="16"/>
      <c r="S76" s="16">
        <v>2.0</v>
      </c>
      <c r="T76" s="16"/>
      <c r="U76" s="16" t="s">
        <v>523</v>
      </c>
      <c r="V76" s="16" t="s">
        <v>524</v>
      </c>
      <c r="W76" s="16" t="s">
        <v>199</v>
      </c>
    </row>
    <row r="77">
      <c r="A77" s="16">
        <v>11501.0</v>
      </c>
      <c r="B77" s="16" t="s">
        <v>525</v>
      </c>
      <c r="C77" s="16">
        <v>1.83</v>
      </c>
      <c r="D77" s="174" t="s">
        <v>526</v>
      </c>
      <c r="E77" s="16"/>
      <c r="F77" s="16">
        <v>505.0</v>
      </c>
      <c r="G77" s="16" t="s">
        <v>4656</v>
      </c>
      <c r="H77" s="16" t="s">
        <v>14</v>
      </c>
      <c r="I77" s="16"/>
      <c r="J77" s="16"/>
      <c r="K77" s="16"/>
      <c r="L77" s="16"/>
      <c r="M77" s="16"/>
      <c r="N77" s="16"/>
      <c r="O77" s="16"/>
      <c r="P77" s="16"/>
      <c r="Q77" s="16"/>
      <c r="R77" s="16"/>
      <c r="S77" s="16">
        <v>13.0</v>
      </c>
      <c r="T77" s="16"/>
      <c r="U77" s="16" t="s">
        <v>527</v>
      </c>
      <c r="V77" s="16" t="s">
        <v>528</v>
      </c>
      <c r="W77" s="16" t="s">
        <v>188</v>
      </c>
    </row>
    <row r="78">
      <c r="A78" s="16">
        <v>11502.0</v>
      </c>
      <c r="B78" s="16" t="s">
        <v>529</v>
      </c>
      <c r="C78" s="16">
        <v>1.62</v>
      </c>
      <c r="D78" s="174" t="s">
        <v>530</v>
      </c>
      <c r="E78" s="16"/>
      <c r="F78" s="16">
        <v>526.0</v>
      </c>
      <c r="G78" s="16" t="s">
        <v>212</v>
      </c>
      <c r="H78" s="16" t="s">
        <v>25</v>
      </c>
      <c r="I78" s="16" t="s">
        <v>26</v>
      </c>
      <c r="J78" s="16"/>
      <c r="K78" s="16"/>
      <c r="L78" s="16"/>
      <c r="M78" s="16"/>
      <c r="N78" s="16"/>
      <c r="O78" s="16"/>
      <c r="P78" s="16"/>
      <c r="Q78" s="16"/>
      <c r="R78" s="16"/>
      <c r="S78" s="16">
        <v>1.0</v>
      </c>
      <c r="T78" s="174" t="s">
        <v>4747</v>
      </c>
      <c r="U78" s="16" t="s">
        <v>531</v>
      </c>
      <c r="V78" s="16" t="s">
        <v>532</v>
      </c>
      <c r="W78" s="16" t="s">
        <v>179</v>
      </c>
    </row>
    <row r="79">
      <c r="A79" s="16">
        <v>11503.0</v>
      </c>
      <c r="B79" s="16" t="s">
        <v>533</v>
      </c>
      <c r="C79" s="16">
        <v>1.79</v>
      </c>
      <c r="D79" s="174" t="s">
        <v>534</v>
      </c>
      <c r="E79" s="16"/>
      <c r="F79" s="16">
        <v>546.0</v>
      </c>
      <c r="G79" s="16" t="s">
        <v>415</v>
      </c>
      <c r="H79" s="16" t="s">
        <v>24</v>
      </c>
      <c r="I79" s="16"/>
      <c r="J79" s="16"/>
      <c r="K79" s="16"/>
      <c r="L79" s="16"/>
      <c r="M79" s="16"/>
      <c r="N79" s="16"/>
      <c r="O79" s="16"/>
      <c r="P79" s="16"/>
      <c r="Q79" s="16"/>
      <c r="R79" s="16"/>
      <c r="S79" s="16">
        <v>16.0</v>
      </c>
      <c r="T79" s="16"/>
      <c r="U79" s="16" t="s">
        <v>537</v>
      </c>
      <c r="V79" s="16" t="s">
        <v>538</v>
      </c>
      <c r="W79" s="16" t="s">
        <v>188</v>
      </c>
    </row>
    <row r="80">
      <c r="A80" s="16">
        <v>11504.0</v>
      </c>
      <c r="B80" s="16" t="s">
        <v>539</v>
      </c>
      <c r="C80" s="16">
        <v>0.0</v>
      </c>
      <c r="D80" s="174" t="s">
        <v>540</v>
      </c>
      <c r="E80" s="16"/>
      <c r="F80" s="16">
        <v>498.0</v>
      </c>
      <c r="G80" s="16" t="s">
        <v>176</v>
      </c>
      <c r="H80" s="16" t="s">
        <v>17</v>
      </c>
      <c r="I80" s="16"/>
      <c r="J80" s="16"/>
      <c r="K80" s="16"/>
      <c r="L80" s="16"/>
      <c r="M80" s="16"/>
      <c r="N80" s="16"/>
      <c r="O80" s="16"/>
      <c r="P80" s="16"/>
      <c r="Q80" s="16"/>
      <c r="R80" s="16"/>
      <c r="S80" s="16">
        <v>-2.0</v>
      </c>
      <c r="T80" s="16"/>
      <c r="U80" s="16" t="s">
        <v>541</v>
      </c>
      <c r="V80" s="16" t="s">
        <v>542</v>
      </c>
      <c r="W80" s="16" t="s">
        <v>491</v>
      </c>
    </row>
    <row r="81">
      <c r="A81" s="16">
        <v>11505.0</v>
      </c>
      <c r="B81" s="16" t="s">
        <v>543</v>
      </c>
      <c r="C81" s="16">
        <v>0.43</v>
      </c>
      <c r="D81" s="174" t="s">
        <v>544</v>
      </c>
      <c r="E81" s="16"/>
      <c r="F81" s="16">
        <v>546.0</v>
      </c>
      <c r="G81" s="16" t="s">
        <v>415</v>
      </c>
      <c r="H81" s="16" t="s">
        <v>25</v>
      </c>
      <c r="I81" s="16" t="s">
        <v>26</v>
      </c>
      <c r="J81" s="16"/>
      <c r="K81" s="16"/>
      <c r="L81" s="16"/>
      <c r="M81" s="16"/>
      <c r="N81" s="16"/>
      <c r="O81" s="16"/>
      <c r="P81" s="16"/>
      <c r="Q81" s="16"/>
      <c r="R81" s="16"/>
      <c r="S81" s="16">
        <v>15.0</v>
      </c>
      <c r="T81" s="16"/>
      <c r="U81" s="16" t="s">
        <v>545</v>
      </c>
      <c r="V81" s="16" t="s">
        <v>546</v>
      </c>
      <c r="W81" s="16" t="s">
        <v>179</v>
      </c>
    </row>
    <row r="82">
      <c r="A82" s="16">
        <v>11506.0</v>
      </c>
      <c r="B82" s="16" t="s">
        <v>547</v>
      </c>
      <c r="C82" s="16">
        <v>0.38</v>
      </c>
      <c r="D82" s="174" t="s">
        <v>548</v>
      </c>
      <c r="E82" s="16"/>
      <c r="F82" s="16">
        <v>498.0</v>
      </c>
      <c r="G82" s="16" t="s">
        <v>176</v>
      </c>
      <c r="H82" s="16" t="s">
        <v>24</v>
      </c>
      <c r="I82" s="16"/>
      <c r="J82" s="16"/>
      <c r="K82" s="16"/>
      <c r="L82" s="16"/>
      <c r="M82" s="16"/>
      <c r="N82" s="16"/>
      <c r="O82" s="16"/>
      <c r="P82" s="16"/>
      <c r="Q82" s="16"/>
      <c r="R82" s="16"/>
      <c r="S82" s="16">
        <v>16.0</v>
      </c>
      <c r="T82" s="16"/>
      <c r="U82" s="16" t="s">
        <v>549</v>
      </c>
      <c r="V82" s="16" t="s">
        <v>550</v>
      </c>
      <c r="W82" s="16" t="s">
        <v>188</v>
      </c>
    </row>
    <row r="83">
      <c r="A83" s="16">
        <v>11507.0</v>
      </c>
      <c r="B83" s="16" t="s">
        <v>551</v>
      </c>
      <c r="C83" s="16">
        <v>1.02</v>
      </c>
      <c r="D83" s="174" t="s">
        <v>552</v>
      </c>
      <c r="E83" s="16"/>
      <c r="F83" s="16">
        <v>498.0</v>
      </c>
      <c r="G83" s="16" t="s">
        <v>176</v>
      </c>
      <c r="H83" s="16" t="s">
        <v>25</v>
      </c>
      <c r="I83" s="16" t="s">
        <v>26</v>
      </c>
      <c r="J83" s="16"/>
      <c r="K83" s="16"/>
      <c r="L83" s="16"/>
      <c r="M83" s="16"/>
      <c r="N83" s="16"/>
      <c r="O83" s="16"/>
      <c r="P83" s="16"/>
      <c r="Q83" s="16"/>
      <c r="R83" s="16"/>
      <c r="S83" s="16">
        <v>-2.0</v>
      </c>
      <c r="T83" s="16"/>
      <c r="U83" s="16" t="s">
        <v>553</v>
      </c>
      <c r="V83" s="16" t="s">
        <v>554</v>
      </c>
      <c r="W83" s="16" t="s">
        <v>231</v>
      </c>
    </row>
    <row r="84">
      <c r="A84" s="16">
        <v>11508.0</v>
      </c>
      <c r="B84" s="16" t="s">
        <v>555</v>
      </c>
      <c r="C84" s="16">
        <v>0.0</v>
      </c>
      <c r="D84" s="174" t="s">
        <v>556</v>
      </c>
      <c r="E84" s="16"/>
      <c r="F84" s="16">
        <v>498.0</v>
      </c>
      <c r="G84" s="16" t="s">
        <v>176</v>
      </c>
      <c r="H84" s="16" t="s">
        <v>12</v>
      </c>
      <c r="I84" s="16"/>
      <c r="J84" s="16"/>
      <c r="K84" s="16"/>
      <c r="L84" s="16"/>
      <c r="M84" s="16"/>
      <c r="N84" s="16"/>
      <c r="O84" s="16"/>
      <c r="P84" s="16"/>
      <c r="Q84" s="16"/>
      <c r="R84" s="16"/>
      <c r="S84" s="16">
        <v>-2.0</v>
      </c>
      <c r="T84" s="16"/>
      <c r="U84" s="16" t="s">
        <v>557</v>
      </c>
      <c r="V84" s="16" t="s">
        <v>558</v>
      </c>
      <c r="W84" s="16" t="s">
        <v>399</v>
      </c>
    </row>
    <row r="85">
      <c r="A85" s="16">
        <v>11509.0</v>
      </c>
      <c r="B85" s="16" t="s">
        <v>52</v>
      </c>
      <c r="C85" s="16">
        <v>0.45</v>
      </c>
      <c r="D85" s="174" t="s">
        <v>559</v>
      </c>
      <c r="E85" s="16"/>
      <c r="F85" s="16">
        <v>501.0</v>
      </c>
      <c r="G85" s="16" t="s">
        <v>371</v>
      </c>
      <c r="H85" s="16" t="s">
        <v>19</v>
      </c>
      <c r="I85" s="16"/>
      <c r="J85" s="16"/>
      <c r="K85" s="16"/>
      <c r="L85" s="16"/>
      <c r="M85" s="16"/>
      <c r="N85" s="16"/>
      <c r="O85" s="16"/>
      <c r="P85" s="16"/>
      <c r="Q85" s="16"/>
      <c r="R85" s="16"/>
      <c r="S85" s="16">
        <v>16.0</v>
      </c>
      <c r="T85" s="16"/>
      <c r="U85" s="16" t="s">
        <v>560</v>
      </c>
      <c r="V85" s="16" t="s">
        <v>561</v>
      </c>
      <c r="W85" s="16" t="s">
        <v>491</v>
      </c>
    </row>
    <row r="86">
      <c r="A86" s="16">
        <v>11510.0</v>
      </c>
      <c r="B86" s="16" t="s">
        <v>562</v>
      </c>
      <c r="C86" s="16">
        <v>0.19</v>
      </c>
      <c r="D86" s="174" t="s">
        <v>563</v>
      </c>
      <c r="E86" s="16"/>
      <c r="F86" s="16">
        <v>532.0</v>
      </c>
      <c r="G86" s="16" t="s">
        <v>346</v>
      </c>
      <c r="H86" s="16" t="s">
        <v>25</v>
      </c>
      <c r="I86" s="16"/>
      <c r="J86" s="16"/>
      <c r="K86" s="16"/>
      <c r="L86" s="16"/>
      <c r="M86" s="16"/>
      <c r="N86" s="16"/>
      <c r="O86" s="16"/>
      <c r="P86" s="16"/>
      <c r="Q86" s="16"/>
      <c r="R86" s="16"/>
      <c r="S86" s="16">
        <v>15.0</v>
      </c>
      <c r="T86" s="16"/>
      <c r="U86" s="16" t="s">
        <v>564</v>
      </c>
      <c r="V86" s="16" t="s">
        <v>565</v>
      </c>
      <c r="W86" s="16" t="s">
        <v>566</v>
      </c>
    </row>
    <row r="87">
      <c r="A87" s="16">
        <v>11511.0</v>
      </c>
      <c r="B87" s="16" t="s">
        <v>567</v>
      </c>
      <c r="C87" s="16">
        <v>0.09</v>
      </c>
      <c r="D87" s="174" t="s">
        <v>568</v>
      </c>
      <c r="E87" s="16"/>
      <c r="F87" s="16">
        <v>517.0</v>
      </c>
      <c r="G87" s="16" t="s">
        <v>277</v>
      </c>
      <c r="H87" s="16" t="s">
        <v>13</v>
      </c>
      <c r="I87" s="16"/>
      <c r="J87" s="16"/>
      <c r="K87" s="16"/>
      <c r="L87" s="16"/>
      <c r="M87" s="16"/>
      <c r="N87" s="16"/>
      <c r="O87" s="16"/>
      <c r="P87" s="16"/>
      <c r="Q87" s="16"/>
      <c r="R87" s="16"/>
      <c r="S87" s="16">
        <v>1.0</v>
      </c>
      <c r="T87" s="174" t="s">
        <v>4752</v>
      </c>
      <c r="U87" s="16" t="s">
        <v>569</v>
      </c>
      <c r="V87" s="16" t="s">
        <v>570</v>
      </c>
      <c r="W87" s="16" t="s">
        <v>188</v>
      </c>
    </row>
    <row r="88">
      <c r="A88" s="16">
        <v>11512.0</v>
      </c>
      <c r="B88" s="16" t="s">
        <v>571</v>
      </c>
      <c r="C88" s="16">
        <v>0.0</v>
      </c>
      <c r="D88" s="174" t="s">
        <v>572</v>
      </c>
      <c r="E88" s="16"/>
      <c r="F88" s="16">
        <v>498.0</v>
      </c>
      <c r="G88" s="16" t="s">
        <v>176</v>
      </c>
      <c r="H88" s="16" t="s">
        <v>15</v>
      </c>
      <c r="I88" s="16" t="s">
        <v>14</v>
      </c>
      <c r="J88" s="16" t="s">
        <v>13</v>
      </c>
      <c r="K88" s="16" t="s">
        <v>17</v>
      </c>
      <c r="L88" s="16"/>
      <c r="M88" s="16"/>
      <c r="N88" s="16"/>
      <c r="O88" s="16"/>
      <c r="P88" s="16"/>
      <c r="Q88" s="16"/>
      <c r="R88" s="16"/>
      <c r="S88" s="16">
        <v>-2.0</v>
      </c>
      <c r="T88" s="16"/>
      <c r="U88" s="16" t="s">
        <v>573</v>
      </c>
      <c r="V88" s="16" t="s">
        <v>574</v>
      </c>
      <c r="W88" s="16" t="s">
        <v>332</v>
      </c>
    </row>
    <row r="89">
      <c r="A89" s="16">
        <v>11513.0</v>
      </c>
      <c r="B89" s="16" t="s">
        <v>575</v>
      </c>
      <c r="C89" s="16">
        <v>1.66</v>
      </c>
      <c r="D89" s="174" t="s">
        <v>576</v>
      </c>
      <c r="E89" s="16"/>
      <c r="F89" s="16">
        <v>498.0</v>
      </c>
      <c r="G89" s="16" t="s">
        <v>176</v>
      </c>
      <c r="H89" s="16" t="s">
        <v>14</v>
      </c>
      <c r="I89" s="16" t="s">
        <v>13</v>
      </c>
      <c r="J89" s="16" t="s">
        <v>15</v>
      </c>
      <c r="K89" s="16" t="s">
        <v>16</v>
      </c>
      <c r="L89" s="16" t="s">
        <v>17</v>
      </c>
      <c r="M89" s="16"/>
      <c r="N89" s="16"/>
      <c r="O89" s="16"/>
      <c r="P89" s="16"/>
      <c r="Q89" s="16"/>
      <c r="R89" s="16"/>
      <c r="S89" s="16">
        <v>-2.0</v>
      </c>
      <c r="T89" s="16"/>
      <c r="U89" s="16" t="s">
        <v>577</v>
      </c>
      <c r="V89" s="16" t="s">
        <v>578</v>
      </c>
      <c r="W89" s="16" t="s">
        <v>259</v>
      </c>
    </row>
    <row r="90">
      <c r="A90" s="16">
        <v>11514.0</v>
      </c>
      <c r="B90" s="16" t="s">
        <v>579</v>
      </c>
      <c r="C90" s="16">
        <v>0.85</v>
      </c>
      <c r="D90" s="174" t="s">
        <v>580</v>
      </c>
      <c r="E90" s="16"/>
      <c r="F90" s="16">
        <v>514.0</v>
      </c>
      <c r="G90" s="16" t="s">
        <v>260</v>
      </c>
      <c r="H90" s="16" t="s">
        <v>18</v>
      </c>
      <c r="I90" s="16" t="s">
        <v>19</v>
      </c>
      <c r="J90" s="16" t="s">
        <v>17</v>
      </c>
      <c r="K90" s="16"/>
      <c r="L90" s="16"/>
      <c r="M90" s="16"/>
      <c r="N90" s="16"/>
      <c r="O90" s="16"/>
      <c r="P90" s="16"/>
      <c r="Q90" s="16"/>
      <c r="R90" s="16"/>
      <c r="S90" s="16">
        <v>3.0</v>
      </c>
      <c r="T90" s="16"/>
      <c r="U90" s="16" t="s">
        <v>581</v>
      </c>
      <c r="V90" s="16" t="s">
        <v>582</v>
      </c>
      <c r="W90" s="16" t="s">
        <v>491</v>
      </c>
    </row>
    <row r="91">
      <c r="A91" s="16">
        <v>11515.0</v>
      </c>
      <c r="B91" s="16" t="s">
        <v>583</v>
      </c>
      <c r="C91" s="16">
        <v>0.3</v>
      </c>
      <c r="D91" s="174" t="s">
        <v>584</v>
      </c>
      <c r="E91" s="16"/>
      <c r="F91" s="16">
        <v>498.0</v>
      </c>
      <c r="G91" s="16" t="s">
        <v>176</v>
      </c>
      <c r="H91" s="16" t="s">
        <v>25</v>
      </c>
      <c r="I91" s="16" t="s">
        <v>26</v>
      </c>
      <c r="J91" s="16"/>
      <c r="K91" s="16"/>
      <c r="L91" s="16"/>
      <c r="M91" s="16"/>
      <c r="N91" s="16"/>
      <c r="O91" s="16"/>
      <c r="P91" s="16"/>
      <c r="Q91" s="16"/>
      <c r="R91" s="16"/>
      <c r="S91" s="16">
        <v>-2.0</v>
      </c>
      <c r="T91" s="16"/>
      <c r="U91" s="16" t="s">
        <v>585</v>
      </c>
      <c r="V91" s="16" t="s">
        <v>586</v>
      </c>
      <c r="W91" s="16" t="s">
        <v>332</v>
      </c>
    </row>
    <row r="92">
      <c r="A92" s="16">
        <v>11516.0</v>
      </c>
      <c r="B92" s="16" t="s">
        <v>587</v>
      </c>
      <c r="C92" s="16">
        <v>0.17</v>
      </c>
      <c r="D92" s="174" t="s">
        <v>588</v>
      </c>
      <c r="E92" s="16"/>
      <c r="F92" s="16">
        <v>498.0</v>
      </c>
      <c r="G92" s="16" t="s">
        <v>176</v>
      </c>
      <c r="H92" s="16" t="s">
        <v>18</v>
      </c>
      <c r="I92" s="16" t="s">
        <v>17</v>
      </c>
      <c r="J92" s="16" t="s">
        <v>15</v>
      </c>
      <c r="K92" s="16" t="s">
        <v>19</v>
      </c>
      <c r="L92" s="16" t="s">
        <v>14</v>
      </c>
      <c r="M92" s="16"/>
      <c r="N92" s="16"/>
      <c r="O92" s="16"/>
      <c r="P92" s="16"/>
      <c r="Q92" s="16"/>
      <c r="R92" s="16"/>
      <c r="S92" s="16">
        <v>-2.0</v>
      </c>
      <c r="T92" s="16"/>
      <c r="U92" s="16" t="s">
        <v>589</v>
      </c>
      <c r="V92" s="16" t="s">
        <v>590</v>
      </c>
      <c r="W92" s="16" t="s">
        <v>591</v>
      </c>
    </row>
    <row r="93">
      <c r="A93" s="16">
        <v>11517.0</v>
      </c>
      <c r="B93" s="16" t="s">
        <v>592</v>
      </c>
      <c r="C93" s="16">
        <v>0.54</v>
      </c>
      <c r="D93" s="174" t="s">
        <v>593</v>
      </c>
      <c r="E93" s="16"/>
      <c r="F93" s="16">
        <v>498.0</v>
      </c>
      <c r="G93" s="16" t="s">
        <v>176</v>
      </c>
      <c r="H93" s="16" t="s">
        <v>25</v>
      </c>
      <c r="I93" s="16"/>
      <c r="J93" s="16"/>
      <c r="K93" s="16"/>
      <c r="L93" s="16"/>
      <c r="M93" s="16"/>
      <c r="N93" s="16"/>
      <c r="O93" s="16"/>
      <c r="P93" s="16"/>
      <c r="Q93" s="16"/>
      <c r="R93" s="16"/>
      <c r="S93" s="16">
        <v>-2.0</v>
      </c>
      <c r="T93" s="16"/>
      <c r="U93" s="16" t="s">
        <v>594</v>
      </c>
      <c r="V93" s="16" t="s">
        <v>595</v>
      </c>
      <c r="W93" s="16" t="s">
        <v>179</v>
      </c>
    </row>
    <row r="94">
      <c r="A94" s="16">
        <v>11518.0</v>
      </c>
      <c r="B94" s="16" t="s">
        <v>596</v>
      </c>
      <c r="C94" s="16">
        <v>0.48</v>
      </c>
      <c r="D94" s="174" t="s">
        <v>597</v>
      </c>
      <c r="E94" s="16"/>
      <c r="F94" s="16">
        <v>522.0</v>
      </c>
      <c r="G94" s="16" t="s">
        <v>686</v>
      </c>
      <c r="H94" s="16" t="s">
        <v>24</v>
      </c>
      <c r="I94" s="16" t="s">
        <v>25</v>
      </c>
      <c r="J94" s="16" t="s">
        <v>26</v>
      </c>
      <c r="K94" s="16"/>
      <c r="L94" s="16"/>
      <c r="M94" s="16"/>
      <c r="N94" s="16"/>
      <c r="O94" s="16"/>
      <c r="P94" s="16"/>
      <c r="Q94" s="16"/>
      <c r="R94" s="16"/>
      <c r="S94" s="16">
        <v>17.0</v>
      </c>
      <c r="T94" s="16"/>
      <c r="U94" s="16" t="s">
        <v>598</v>
      </c>
      <c r="V94" s="16" t="s">
        <v>599</v>
      </c>
      <c r="W94" s="16" t="s">
        <v>600</v>
      </c>
    </row>
    <row r="95">
      <c r="A95" s="16">
        <v>11519.0</v>
      </c>
      <c r="B95" s="16" t="s">
        <v>116</v>
      </c>
      <c r="C95" s="16">
        <v>0.82</v>
      </c>
      <c r="D95" s="174" t="s">
        <v>601</v>
      </c>
      <c r="E95" s="16"/>
      <c r="F95" s="16">
        <v>543.0</v>
      </c>
      <c r="G95" s="16" t="s">
        <v>1175</v>
      </c>
      <c r="H95" s="16" t="s">
        <v>25</v>
      </c>
      <c r="I95" s="16" t="s">
        <v>26</v>
      </c>
      <c r="J95" s="16"/>
      <c r="K95" s="16"/>
      <c r="L95" s="16"/>
      <c r="M95" s="16"/>
      <c r="N95" s="16"/>
      <c r="O95" s="16"/>
      <c r="P95" s="16"/>
      <c r="Q95" s="16"/>
      <c r="R95" s="16"/>
      <c r="S95" s="16">
        <v>15.0</v>
      </c>
      <c r="T95" s="16"/>
      <c r="U95" s="16" t="s">
        <v>602</v>
      </c>
      <c r="V95" s="16" t="s">
        <v>603</v>
      </c>
      <c r="W95" s="16" t="s">
        <v>259</v>
      </c>
    </row>
    <row r="96">
      <c r="A96" s="16">
        <v>11520.0</v>
      </c>
      <c r="B96" s="16" t="s">
        <v>604</v>
      </c>
      <c r="C96" s="16">
        <v>0.0</v>
      </c>
      <c r="D96" s="174" t="s">
        <v>605</v>
      </c>
      <c r="E96" s="16"/>
      <c r="F96" s="16">
        <v>498.0</v>
      </c>
      <c r="G96" s="16" t="s">
        <v>176</v>
      </c>
      <c r="H96" s="16" t="s">
        <v>25</v>
      </c>
      <c r="I96" s="16"/>
      <c r="J96" s="16"/>
      <c r="K96" s="16"/>
      <c r="L96" s="16"/>
      <c r="M96" s="16"/>
      <c r="N96" s="16"/>
      <c r="O96" s="16"/>
      <c r="P96" s="16"/>
      <c r="Q96" s="16"/>
      <c r="R96" s="16"/>
      <c r="S96" s="16">
        <v>-2.0</v>
      </c>
      <c r="T96" s="16"/>
      <c r="U96" s="16" t="s">
        <v>606</v>
      </c>
      <c r="V96" s="16" t="s">
        <v>607</v>
      </c>
      <c r="W96" s="16" t="s">
        <v>360</v>
      </c>
    </row>
    <row r="97">
      <c r="A97" s="16">
        <v>11521.0</v>
      </c>
      <c r="B97" s="16" t="s">
        <v>608</v>
      </c>
      <c r="C97" s="16">
        <v>0.73</v>
      </c>
      <c r="D97" s="174" t="s">
        <v>609</v>
      </c>
      <c r="E97" s="16"/>
      <c r="F97" s="16">
        <v>498.0</v>
      </c>
      <c r="G97" s="16" t="s">
        <v>176</v>
      </c>
      <c r="H97" s="16" t="s">
        <v>15</v>
      </c>
      <c r="I97" s="16"/>
      <c r="J97" s="16"/>
      <c r="K97" s="16"/>
      <c r="L97" s="16"/>
      <c r="M97" s="16"/>
      <c r="N97" s="16"/>
      <c r="O97" s="16"/>
      <c r="P97" s="16"/>
      <c r="Q97" s="16"/>
      <c r="R97" s="16"/>
      <c r="S97" s="16">
        <v>-2.0</v>
      </c>
      <c r="T97" s="16"/>
      <c r="U97" s="16" t="s">
        <v>610</v>
      </c>
      <c r="V97" s="16" t="s">
        <v>611</v>
      </c>
      <c r="W97" s="16" t="s">
        <v>422</v>
      </c>
    </row>
    <row r="98">
      <c r="A98" s="16">
        <v>11522.0</v>
      </c>
      <c r="B98" s="16" t="s">
        <v>612</v>
      </c>
      <c r="C98" s="16">
        <v>0.15</v>
      </c>
      <c r="D98" s="174" t="s">
        <v>613</v>
      </c>
      <c r="E98" s="16"/>
      <c r="F98" s="16">
        <v>541.0</v>
      </c>
      <c r="G98" s="16" t="s">
        <v>387</v>
      </c>
      <c r="H98" s="16" t="s">
        <v>13</v>
      </c>
      <c r="I98" s="16"/>
      <c r="J98" s="16"/>
      <c r="K98" s="16"/>
      <c r="L98" s="16"/>
      <c r="M98" s="16"/>
      <c r="N98" s="16"/>
      <c r="O98" s="16"/>
      <c r="P98" s="16"/>
      <c r="Q98" s="16"/>
      <c r="R98" s="16"/>
      <c r="S98" s="16">
        <v>14.0</v>
      </c>
      <c r="T98" s="16"/>
      <c r="U98" s="16" t="s">
        <v>614</v>
      </c>
      <c r="V98" s="16" t="s">
        <v>615</v>
      </c>
      <c r="W98" s="16" t="s">
        <v>616</v>
      </c>
    </row>
    <row r="99">
      <c r="A99" s="16">
        <v>11523.0</v>
      </c>
      <c r="B99" s="16" t="s">
        <v>617</v>
      </c>
      <c r="C99" s="16">
        <v>1.26</v>
      </c>
      <c r="D99" s="174" t="s">
        <v>618</v>
      </c>
      <c r="E99" s="16"/>
      <c r="F99" s="16">
        <v>544.0</v>
      </c>
      <c r="G99" s="16" t="s">
        <v>272</v>
      </c>
      <c r="H99" s="16" t="s">
        <v>19</v>
      </c>
      <c r="I99" s="16" t="s">
        <v>13</v>
      </c>
      <c r="J99" s="16"/>
      <c r="K99" s="16"/>
      <c r="L99" s="16"/>
      <c r="M99" s="16"/>
      <c r="N99" s="16"/>
      <c r="O99" s="16"/>
      <c r="P99" s="16"/>
      <c r="Q99" s="16"/>
      <c r="R99" s="16"/>
      <c r="S99" s="16">
        <v>12.0</v>
      </c>
      <c r="T99" s="174" t="s">
        <v>4753</v>
      </c>
      <c r="U99" s="16" t="s">
        <v>619</v>
      </c>
      <c r="V99" s="16" t="s">
        <v>620</v>
      </c>
      <c r="W99" s="16" t="s">
        <v>188</v>
      </c>
    </row>
    <row r="100">
      <c r="A100" s="16">
        <v>11524.0</v>
      </c>
      <c r="B100" s="16" t="s">
        <v>621</v>
      </c>
      <c r="C100" s="16">
        <v>1.43</v>
      </c>
      <c r="D100" s="174" t="s">
        <v>622</v>
      </c>
      <c r="E100" s="16"/>
      <c r="F100" s="16">
        <v>538.0</v>
      </c>
      <c r="G100" s="16" t="s">
        <v>289</v>
      </c>
      <c r="H100" s="16" t="s">
        <v>16</v>
      </c>
      <c r="I100" s="16"/>
      <c r="J100" s="16"/>
      <c r="K100" s="16"/>
      <c r="L100" s="16"/>
      <c r="M100" s="16"/>
      <c r="N100" s="16"/>
      <c r="O100" s="16"/>
      <c r="P100" s="16"/>
      <c r="Q100" s="16"/>
      <c r="R100" s="16"/>
      <c r="S100" s="16">
        <v>1.0</v>
      </c>
      <c r="T100" s="16"/>
      <c r="U100" s="16" t="s">
        <v>624</v>
      </c>
      <c r="V100" s="16" t="s">
        <v>625</v>
      </c>
      <c r="W100" s="16" t="s">
        <v>188</v>
      </c>
    </row>
    <row r="101">
      <c r="A101" s="16">
        <v>11525.0</v>
      </c>
      <c r="B101" s="16" t="s">
        <v>626</v>
      </c>
      <c r="C101" s="16">
        <v>0.31</v>
      </c>
      <c r="D101" s="174" t="s">
        <v>627</v>
      </c>
      <c r="E101" s="16"/>
      <c r="F101" s="16">
        <v>541.0</v>
      </c>
      <c r="G101" s="16" t="s">
        <v>387</v>
      </c>
      <c r="H101" s="16" t="s">
        <v>25</v>
      </c>
      <c r="I101" s="16" t="s">
        <v>26</v>
      </c>
      <c r="J101" s="16"/>
      <c r="K101" s="16"/>
      <c r="L101" s="16"/>
      <c r="M101" s="16"/>
      <c r="N101" s="16"/>
      <c r="O101" s="16"/>
      <c r="P101" s="16"/>
      <c r="Q101" s="16"/>
      <c r="R101" s="16"/>
      <c r="S101" s="16">
        <v>1.0</v>
      </c>
      <c r="T101" s="16"/>
      <c r="U101" s="16" t="s">
        <v>628</v>
      </c>
      <c r="V101" s="16" t="s">
        <v>629</v>
      </c>
      <c r="W101" s="16" t="s">
        <v>179</v>
      </c>
    </row>
    <row r="102">
      <c r="A102" s="16">
        <v>11526.0</v>
      </c>
      <c r="B102" s="16" t="s">
        <v>630</v>
      </c>
      <c r="C102" s="16">
        <v>0.58</v>
      </c>
      <c r="D102" s="174" t="s">
        <v>631</v>
      </c>
      <c r="E102" s="16"/>
      <c r="F102" s="16">
        <v>498.0</v>
      </c>
      <c r="G102" s="16" t="s">
        <v>176</v>
      </c>
      <c r="H102" s="16" t="s">
        <v>25</v>
      </c>
      <c r="I102" s="16"/>
      <c r="J102" s="16"/>
      <c r="K102" s="16"/>
      <c r="L102" s="16"/>
      <c r="M102" s="16"/>
      <c r="N102" s="16"/>
      <c r="O102" s="16"/>
      <c r="P102" s="16"/>
      <c r="Q102" s="16"/>
      <c r="R102" s="16"/>
      <c r="S102" s="16">
        <v>-2.0</v>
      </c>
      <c r="T102" s="16"/>
      <c r="U102" s="16" t="s">
        <v>632</v>
      </c>
      <c r="V102" s="16" t="s">
        <v>633</v>
      </c>
      <c r="W102" s="16" t="s">
        <v>634</v>
      </c>
    </row>
    <row r="103">
      <c r="A103" s="16">
        <v>11527.0</v>
      </c>
      <c r="B103" s="16" t="s">
        <v>635</v>
      </c>
      <c r="C103" s="16">
        <v>1.3</v>
      </c>
      <c r="D103" s="174" t="s">
        <v>636</v>
      </c>
      <c r="E103" s="16"/>
      <c r="F103" s="16">
        <v>516.0</v>
      </c>
      <c r="G103" s="16" t="s">
        <v>228</v>
      </c>
      <c r="H103" s="16" t="s">
        <v>12</v>
      </c>
      <c r="I103" s="16" t="s">
        <v>14</v>
      </c>
      <c r="J103" s="16"/>
      <c r="K103" s="16"/>
      <c r="L103" s="16"/>
      <c r="M103" s="16"/>
      <c r="N103" s="16"/>
      <c r="O103" s="16"/>
      <c r="P103" s="16"/>
      <c r="Q103" s="16"/>
      <c r="R103" s="16"/>
      <c r="S103" s="16">
        <v>2.0</v>
      </c>
      <c r="T103" s="16"/>
      <c r="U103" s="16" t="s">
        <v>638</v>
      </c>
      <c r="V103" s="16" t="s">
        <v>639</v>
      </c>
      <c r="W103" s="16" t="s">
        <v>640</v>
      </c>
    </row>
    <row r="104">
      <c r="A104" s="16">
        <v>11528.0</v>
      </c>
      <c r="B104" s="16" t="s">
        <v>641</v>
      </c>
      <c r="C104" s="16">
        <v>1.15</v>
      </c>
      <c r="D104" s="174" t="s">
        <v>642</v>
      </c>
      <c r="E104" s="16"/>
      <c r="F104" s="16">
        <v>498.0</v>
      </c>
      <c r="G104" s="16" t="s">
        <v>176</v>
      </c>
      <c r="H104" s="16" t="s">
        <v>24</v>
      </c>
      <c r="I104" s="16"/>
      <c r="J104" s="16"/>
      <c r="K104" s="16"/>
      <c r="L104" s="16"/>
      <c r="M104" s="16"/>
      <c r="N104" s="16"/>
      <c r="O104" s="16"/>
      <c r="P104" s="16"/>
      <c r="Q104" s="16"/>
      <c r="R104" s="16"/>
      <c r="S104" s="16">
        <v>16.0</v>
      </c>
      <c r="T104" s="16"/>
      <c r="U104" s="16" t="s">
        <v>643</v>
      </c>
      <c r="V104" s="16" t="s">
        <v>644</v>
      </c>
      <c r="W104" s="16" t="s">
        <v>188</v>
      </c>
    </row>
    <row r="105">
      <c r="A105" s="16">
        <v>11529.0</v>
      </c>
      <c r="B105" s="16" t="s">
        <v>645</v>
      </c>
      <c r="C105" s="16">
        <v>0.0</v>
      </c>
      <c r="D105" s="174" t="s">
        <v>646</v>
      </c>
      <c r="E105" s="16"/>
      <c r="F105" s="16">
        <v>538.0</v>
      </c>
      <c r="G105" s="16" t="s">
        <v>289</v>
      </c>
      <c r="H105" s="16" t="s">
        <v>17</v>
      </c>
      <c r="I105" s="16" t="s">
        <v>19</v>
      </c>
      <c r="J105" s="16"/>
      <c r="K105" s="16"/>
      <c r="L105" s="16"/>
      <c r="M105" s="16"/>
      <c r="N105" s="16"/>
      <c r="O105" s="16"/>
      <c r="P105" s="16"/>
      <c r="Q105" s="16"/>
      <c r="R105" s="16"/>
      <c r="S105" s="16">
        <v>1.0</v>
      </c>
      <c r="T105" s="16"/>
      <c r="U105" s="16" t="s">
        <v>647</v>
      </c>
      <c r="V105" s="16" t="s">
        <v>648</v>
      </c>
      <c r="W105" s="16" t="s">
        <v>634</v>
      </c>
    </row>
    <row r="106">
      <c r="A106" s="16">
        <v>11530.0</v>
      </c>
      <c r="B106" s="16" t="s">
        <v>649</v>
      </c>
      <c r="C106" s="16">
        <v>0.0</v>
      </c>
      <c r="D106" s="174" t="s">
        <v>650</v>
      </c>
      <c r="E106" s="16"/>
      <c r="F106" s="16">
        <v>508.0</v>
      </c>
      <c r="G106" s="16" t="s">
        <v>4754</v>
      </c>
      <c r="H106" s="16" t="s">
        <v>12</v>
      </c>
      <c r="I106" s="16"/>
      <c r="J106" s="16"/>
      <c r="K106" s="16"/>
      <c r="L106" s="16"/>
      <c r="M106" s="16"/>
      <c r="N106" s="16"/>
      <c r="O106" s="16"/>
      <c r="P106" s="16"/>
      <c r="Q106" s="16"/>
      <c r="R106" s="16"/>
      <c r="S106" s="16">
        <v>1.0</v>
      </c>
      <c r="T106" s="16"/>
      <c r="U106" s="16" t="s">
        <v>651</v>
      </c>
      <c r="V106" s="16" t="s">
        <v>652</v>
      </c>
      <c r="W106" s="16" t="s">
        <v>478</v>
      </c>
    </row>
    <row r="107">
      <c r="A107" s="16">
        <v>11531.0</v>
      </c>
      <c r="B107" s="16" t="s">
        <v>653</v>
      </c>
      <c r="C107" s="16">
        <v>0.0</v>
      </c>
      <c r="D107" s="174" t="s">
        <v>654</v>
      </c>
      <c r="E107" s="16"/>
      <c r="F107" s="16">
        <v>522.0</v>
      </c>
      <c r="G107" s="16" t="s">
        <v>686</v>
      </c>
      <c r="H107" s="16" t="s">
        <v>18</v>
      </c>
      <c r="I107" s="16" t="s">
        <v>17</v>
      </c>
      <c r="J107" s="16" t="s">
        <v>14</v>
      </c>
      <c r="K107" s="16"/>
      <c r="L107" s="16"/>
      <c r="M107" s="16"/>
      <c r="N107" s="16"/>
      <c r="O107" s="16"/>
      <c r="P107" s="16"/>
      <c r="Q107" s="16"/>
      <c r="R107" s="16"/>
      <c r="S107" s="16">
        <v>14.0</v>
      </c>
      <c r="T107" s="16"/>
      <c r="U107" s="16" t="s">
        <v>655</v>
      </c>
      <c r="V107" s="16" t="s">
        <v>656</v>
      </c>
      <c r="W107" s="16" t="s">
        <v>179</v>
      </c>
    </row>
    <row r="108">
      <c r="A108" s="16">
        <v>11532.0</v>
      </c>
      <c r="B108" s="16" t="s">
        <v>657</v>
      </c>
      <c r="C108" s="16">
        <v>1.79</v>
      </c>
      <c r="D108" s="174" t="s">
        <v>658</v>
      </c>
      <c r="E108" s="16"/>
      <c r="F108" s="16">
        <v>508.0</v>
      </c>
      <c r="G108" s="16" t="s">
        <v>4754</v>
      </c>
      <c r="H108" s="16" t="s">
        <v>15</v>
      </c>
      <c r="I108" s="16"/>
      <c r="J108" s="16"/>
      <c r="K108" s="16"/>
      <c r="L108" s="16"/>
      <c r="M108" s="16"/>
      <c r="N108" s="16"/>
      <c r="O108" s="16"/>
      <c r="P108" s="16"/>
      <c r="Q108" s="16"/>
      <c r="R108" s="16"/>
      <c r="S108" s="16">
        <v>16.0</v>
      </c>
      <c r="T108" s="16"/>
      <c r="U108" s="16" t="s">
        <v>659</v>
      </c>
      <c r="V108" s="16" t="s">
        <v>660</v>
      </c>
      <c r="W108" s="16" t="s">
        <v>661</v>
      </c>
    </row>
    <row r="109">
      <c r="A109" s="16">
        <v>11533.0</v>
      </c>
      <c r="B109" s="16" t="s">
        <v>662</v>
      </c>
      <c r="C109" s="16">
        <v>0.0</v>
      </c>
      <c r="D109" s="174" t="s">
        <v>663</v>
      </c>
      <c r="E109" s="16"/>
      <c r="F109" s="16">
        <v>509.0</v>
      </c>
      <c r="G109" s="16" t="s">
        <v>4755</v>
      </c>
      <c r="H109" s="16" t="s">
        <v>19</v>
      </c>
      <c r="I109" s="16" t="s">
        <v>17</v>
      </c>
      <c r="J109" s="16" t="s">
        <v>18</v>
      </c>
      <c r="K109" s="16"/>
      <c r="L109" s="16"/>
      <c r="M109" s="16"/>
      <c r="N109" s="16"/>
      <c r="O109" s="16"/>
      <c r="P109" s="16"/>
      <c r="Q109" s="16"/>
      <c r="R109" s="16" t="s">
        <v>4756</v>
      </c>
      <c r="S109" s="16">
        <v>11.0</v>
      </c>
      <c r="T109" s="16"/>
      <c r="U109" s="16" t="s">
        <v>664</v>
      </c>
      <c r="V109" s="16" t="s">
        <v>665</v>
      </c>
      <c r="W109" s="16" t="s">
        <v>600</v>
      </c>
    </row>
    <row r="110">
      <c r="A110" s="16">
        <v>11534.0</v>
      </c>
      <c r="B110" s="16" t="s">
        <v>666</v>
      </c>
      <c r="C110" s="16">
        <v>0.0</v>
      </c>
      <c r="D110" s="174" t="s">
        <v>667</v>
      </c>
      <c r="E110" s="16"/>
      <c r="F110" s="16">
        <v>517.0</v>
      </c>
      <c r="G110" s="16" t="s">
        <v>277</v>
      </c>
      <c r="H110" s="16" t="s">
        <v>25</v>
      </c>
      <c r="I110" s="16"/>
      <c r="J110" s="16"/>
      <c r="K110" s="16"/>
      <c r="L110" s="16"/>
      <c r="M110" s="16"/>
      <c r="N110" s="16"/>
      <c r="O110" s="16"/>
      <c r="P110" s="16"/>
      <c r="Q110" s="16"/>
      <c r="R110" s="16"/>
      <c r="S110" s="16">
        <v>17.0</v>
      </c>
      <c r="T110" s="16"/>
      <c r="U110" s="16" t="s">
        <v>668</v>
      </c>
      <c r="V110" s="16" t="s">
        <v>669</v>
      </c>
      <c r="W110" s="16" t="s">
        <v>179</v>
      </c>
    </row>
    <row r="111">
      <c r="A111" s="16">
        <v>11535.0</v>
      </c>
      <c r="B111" s="16" t="s">
        <v>670</v>
      </c>
      <c r="C111" s="16">
        <v>1.75</v>
      </c>
      <c r="D111" s="174" t="s">
        <v>671</v>
      </c>
      <c r="E111" s="16"/>
      <c r="F111" s="16">
        <v>540.0</v>
      </c>
      <c r="G111" s="16" t="s">
        <v>1729</v>
      </c>
      <c r="H111" s="16" t="s">
        <v>12</v>
      </c>
      <c r="I111" s="16"/>
      <c r="J111" s="16"/>
      <c r="K111" s="16"/>
      <c r="L111" s="16"/>
      <c r="M111" s="16"/>
      <c r="N111" s="16"/>
      <c r="O111" s="16"/>
      <c r="P111" s="16"/>
      <c r="Q111" s="16"/>
      <c r="R111" s="16"/>
      <c r="S111" s="16">
        <v>15.0</v>
      </c>
      <c r="T111" s="16"/>
      <c r="U111" s="16" t="s">
        <v>673</v>
      </c>
      <c r="V111" s="16" t="s">
        <v>674</v>
      </c>
      <c r="W111" s="16" t="s">
        <v>675</v>
      </c>
    </row>
    <row r="112">
      <c r="A112" s="16">
        <v>11536.0</v>
      </c>
      <c r="B112" s="16" t="s">
        <v>676</v>
      </c>
      <c r="C112" s="16">
        <v>0.9</v>
      </c>
      <c r="D112" s="174" t="s">
        <v>677</v>
      </c>
      <c r="E112" s="16"/>
      <c r="F112" s="16">
        <v>498.0</v>
      </c>
      <c r="G112" s="16" t="s">
        <v>176</v>
      </c>
      <c r="H112" s="16" t="s">
        <v>24</v>
      </c>
      <c r="I112" s="16"/>
      <c r="J112" s="16"/>
      <c r="K112" s="16"/>
      <c r="L112" s="16"/>
      <c r="M112" s="16"/>
      <c r="N112" s="16"/>
      <c r="O112" s="16"/>
      <c r="P112" s="16"/>
      <c r="Q112" s="16"/>
      <c r="R112" s="16"/>
      <c r="S112" s="16">
        <v>-2.0</v>
      </c>
      <c r="T112" s="16"/>
      <c r="U112" s="16" t="s">
        <v>678</v>
      </c>
      <c r="V112" s="16" t="s">
        <v>679</v>
      </c>
      <c r="W112" s="16" t="s">
        <v>188</v>
      </c>
    </row>
    <row r="113">
      <c r="A113" s="16">
        <v>11537.0</v>
      </c>
      <c r="B113" s="16" t="s">
        <v>680</v>
      </c>
      <c r="C113" s="16">
        <v>1.46</v>
      </c>
      <c r="D113" s="174" t="s">
        <v>681</v>
      </c>
      <c r="E113" s="16"/>
      <c r="F113" s="16">
        <v>505.0</v>
      </c>
      <c r="G113" s="16" t="s">
        <v>4656</v>
      </c>
      <c r="H113" s="16" t="s">
        <v>24</v>
      </c>
      <c r="I113" s="16"/>
      <c r="J113" s="16"/>
      <c r="K113" s="16"/>
      <c r="L113" s="16"/>
      <c r="M113" s="16"/>
      <c r="N113" s="16"/>
      <c r="O113" s="16"/>
      <c r="P113" s="16"/>
      <c r="Q113" s="16"/>
      <c r="R113" s="16"/>
      <c r="S113" s="16">
        <v>12.0</v>
      </c>
      <c r="T113" s="16"/>
      <c r="U113" s="16" t="s">
        <v>682</v>
      </c>
      <c r="V113" s="16" t="s">
        <v>683</v>
      </c>
      <c r="W113" s="16" t="s">
        <v>188</v>
      </c>
    </row>
    <row r="114">
      <c r="A114" s="16">
        <v>11538.0</v>
      </c>
      <c r="B114" s="16" t="s">
        <v>684</v>
      </c>
      <c r="C114" s="16">
        <v>0.5</v>
      </c>
      <c r="D114" s="174" t="s">
        <v>685</v>
      </c>
      <c r="E114" s="16"/>
      <c r="F114" s="16">
        <v>508.0</v>
      </c>
      <c r="G114" s="16" t="s">
        <v>4754</v>
      </c>
      <c r="H114" s="16" t="s">
        <v>24</v>
      </c>
      <c r="I114" s="16" t="s">
        <v>25</v>
      </c>
      <c r="J114" s="16" t="s">
        <v>26</v>
      </c>
      <c r="K114" s="16"/>
      <c r="L114" s="16"/>
      <c r="M114" s="16"/>
      <c r="N114" s="16"/>
      <c r="O114" s="16"/>
      <c r="P114" s="16"/>
      <c r="Q114" s="16"/>
      <c r="R114" s="16"/>
      <c r="S114" s="16">
        <v>1.0</v>
      </c>
      <c r="T114" s="16"/>
      <c r="U114" s="16" t="s">
        <v>687</v>
      </c>
      <c r="V114" s="16" t="s">
        <v>688</v>
      </c>
      <c r="W114" s="16" t="s">
        <v>491</v>
      </c>
    </row>
    <row r="115">
      <c r="A115" s="16">
        <v>11539.0</v>
      </c>
      <c r="B115" s="16" t="s">
        <v>689</v>
      </c>
      <c r="C115" s="16">
        <v>1.22</v>
      </c>
      <c r="D115" s="174" t="s">
        <v>690</v>
      </c>
      <c r="E115" s="16"/>
      <c r="F115" s="16">
        <v>500.0</v>
      </c>
      <c r="G115" s="16" t="s">
        <v>120</v>
      </c>
      <c r="H115" s="16" t="s">
        <v>24</v>
      </c>
      <c r="I115" s="16" t="s">
        <v>25</v>
      </c>
      <c r="J115" s="16"/>
      <c r="K115" s="16"/>
      <c r="L115" s="16"/>
      <c r="M115" s="16"/>
      <c r="N115" s="16"/>
      <c r="O115" s="16"/>
      <c r="P115" s="16"/>
      <c r="Q115" s="16"/>
      <c r="R115" s="16" t="s">
        <v>4757</v>
      </c>
      <c r="S115" s="16">
        <v>16.0</v>
      </c>
      <c r="T115" s="16"/>
      <c r="U115" s="16" t="s">
        <v>691</v>
      </c>
      <c r="V115" s="16" t="s">
        <v>692</v>
      </c>
      <c r="W115" s="16" t="s">
        <v>422</v>
      </c>
    </row>
    <row r="116">
      <c r="A116" s="16">
        <v>11540.0</v>
      </c>
      <c r="B116" s="16" t="s">
        <v>693</v>
      </c>
      <c r="C116" s="16">
        <v>0.59</v>
      </c>
      <c r="D116" s="174" t="s">
        <v>694</v>
      </c>
      <c r="E116" s="16"/>
      <c r="F116" s="16">
        <v>502.0</v>
      </c>
      <c r="G116" s="16" t="s">
        <v>200</v>
      </c>
      <c r="H116" s="16" t="s">
        <v>19</v>
      </c>
      <c r="I116" s="16" t="s">
        <v>17</v>
      </c>
      <c r="J116" s="16"/>
      <c r="K116" s="16"/>
      <c r="L116" s="16"/>
      <c r="M116" s="16"/>
      <c r="N116" s="16"/>
      <c r="O116" s="16"/>
      <c r="P116" s="16"/>
      <c r="Q116" s="16"/>
      <c r="R116" s="16" t="s">
        <v>181</v>
      </c>
      <c r="S116" s="16">
        <v>1.0</v>
      </c>
      <c r="T116" s="16"/>
      <c r="U116" s="16" t="s">
        <v>696</v>
      </c>
      <c r="V116" s="16" t="s">
        <v>697</v>
      </c>
      <c r="W116" s="16" t="s">
        <v>399</v>
      </c>
    </row>
    <row r="117">
      <c r="A117" s="16">
        <v>11541.0</v>
      </c>
      <c r="B117" s="16" t="s">
        <v>698</v>
      </c>
      <c r="C117" s="16">
        <v>2.35</v>
      </c>
      <c r="D117" s="174" t="s">
        <v>699</v>
      </c>
      <c r="E117" s="16"/>
      <c r="F117" s="16">
        <v>500.0</v>
      </c>
      <c r="G117" s="16" t="s">
        <v>120</v>
      </c>
      <c r="H117" s="16" t="s">
        <v>25</v>
      </c>
      <c r="I117" s="16" t="s">
        <v>26</v>
      </c>
      <c r="J117" s="16"/>
      <c r="K117" s="16"/>
      <c r="L117" s="16"/>
      <c r="M117" s="16"/>
      <c r="N117" s="16"/>
      <c r="O117" s="16"/>
      <c r="P117" s="16"/>
      <c r="Q117" s="16"/>
      <c r="R117" s="16"/>
      <c r="S117" s="16">
        <v>10.0</v>
      </c>
      <c r="T117" s="16"/>
      <c r="U117" s="16" t="s">
        <v>701</v>
      </c>
      <c r="V117" s="16" t="s">
        <v>702</v>
      </c>
      <c r="W117" s="16" t="s">
        <v>478</v>
      </c>
    </row>
    <row r="118">
      <c r="A118" s="16">
        <v>11542.0</v>
      </c>
      <c r="B118" s="16" t="s">
        <v>703</v>
      </c>
      <c r="C118" s="16">
        <v>0.75</v>
      </c>
      <c r="D118" s="174" t="s">
        <v>704</v>
      </c>
      <c r="E118" s="16"/>
      <c r="F118" s="16">
        <v>501.0</v>
      </c>
      <c r="G118" s="16" t="s">
        <v>371</v>
      </c>
      <c r="H118" s="16" t="s">
        <v>24</v>
      </c>
      <c r="I118" s="16"/>
      <c r="J118" s="16"/>
      <c r="K118" s="16"/>
      <c r="L118" s="16"/>
      <c r="M118" s="16"/>
      <c r="N118" s="16"/>
      <c r="O118" s="16"/>
      <c r="P118" s="16"/>
      <c r="Q118" s="16"/>
      <c r="R118" s="16" t="s">
        <v>181</v>
      </c>
      <c r="S118" s="16">
        <v>15.0</v>
      </c>
      <c r="T118" s="16"/>
      <c r="U118" s="16" t="s">
        <v>705</v>
      </c>
      <c r="V118" s="16" t="s">
        <v>706</v>
      </c>
      <c r="W118" s="16" t="s">
        <v>188</v>
      </c>
    </row>
    <row r="119">
      <c r="A119" s="16">
        <v>11543.0</v>
      </c>
      <c r="B119" s="16" t="s">
        <v>707</v>
      </c>
      <c r="C119" s="16">
        <v>0.0</v>
      </c>
      <c r="D119" s="174" t="s">
        <v>708</v>
      </c>
      <c r="E119" s="16"/>
      <c r="F119" s="16">
        <v>498.0</v>
      </c>
      <c r="G119" s="16" t="s">
        <v>176</v>
      </c>
      <c r="H119" s="16" t="s">
        <v>13</v>
      </c>
      <c r="I119" s="16" t="s">
        <v>12</v>
      </c>
      <c r="J119" s="16"/>
      <c r="K119" s="16"/>
      <c r="L119" s="16"/>
      <c r="M119" s="16"/>
      <c r="N119" s="16"/>
      <c r="O119" s="16"/>
      <c r="P119" s="16"/>
      <c r="Q119" s="16"/>
      <c r="R119" s="16"/>
      <c r="S119" s="16">
        <v>-2.0</v>
      </c>
      <c r="T119" s="16"/>
      <c r="U119" s="16" t="s">
        <v>709</v>
      </c>
      <c r="V119" s="16" t="s">
        <v>710</v>
      </c>
      <c r="W119" s="16" t="s">
        <v>332</v>
      </c>
    </row>
    <row r="120">
      <c r="A120" s="16">
        <v>11544.0</v>
      </c>
      <c r="B120" s="16" t="s">
        <v>711</v>
      </c>
      <c r="C120" s="16">
        <v>0.8</v>
      </c>
      <c r="D120" s="174" t="s">
        <v>712</v>
      </c>
      <c r="E120" s="16"/>
      <c r="F120" s="16">
        <v>504.0</v>
      </c>
      <c r="G120" s="16" t="s">
        <v>1465</v>
      </c>
      <c r="H120" s="16" t="s">
        <v>12</v>
      </c>
      <c r="I120" s="16"/>
      <c r="J120" s="16"/>
      <c r="K120" s="16"/>
      <c r="L120" s="16"/>
      <c r="M120" s="16"/>
      <c r="N120" s="16"/>
      <c r="O120" s="16"/>
      <c r="P120" s="16"/>
      <c r="Q120" s="16"/>
      <c r="R120" s="16"/>
      <c r="S120" s="16">
        <v>17.0</v>
      </c>
      <c r="T120" s="16"/>
      <c r="U120" s="16" t="s">
        <v>713</v>
      </c>
      <c r="V120" s="16" t="s">
        <v>714</v>
      </c>
      <c r="W120" s="16" t="s">
        <v>259</v>
      </c>
    </row>
    <row r="121">
      <c r="A121" s="16">
        <v>11545.0</v>
      </c>
      <c r="B121" s="16" t="s">
        <v>48</v>
      </c>
      <c r="C121" s="16">
        <v>1.2</v>
      </c>
      <c r="D121" s="174" t="s">
        <v>715</v>
      </c>
      <c r="E121" s="16"/>
      <c r="F121" s="16">
        <v>500.0</v>
      </c>
      <c r="G121" s="16" t="s">
        <v>120</v>
      </c>
      <c r="H121" s="16" t="s">
        <v>18</v>
      </c>
      <c r="I121" s="16"/>
      <c r="J121" s="16"/>
      <c r="K121" s="16"/>
      <c r="L121" s="16"/>
      <c r="M121" s="16"/>
      <c r="N121" s="16"/>
      <c r="O121" s="16"/>
      <c r="P121" s="16"/>
      <c r="Q121" s="16"/>
      <c r="R121" s="16" t="s">
        <v>4758</v>
      </c>
      <c r="S121" s="16">
        <v>14.0</v>
      </c>
      <c r="T121" s="16"/>
      <c r="U121" s="16" t="s">
        <v>716</v>
      </c>
      <c r="V121" s="16" t="s">
        <v>717</v>
      </c>
      <c r="W121" s="16" t="s">
        <v>491</v>
      </c>
    </row>
    <row r="122">
      <c r="A122" s="16">
        <v>11546.0</v>
      </c>
      <c r="B122" s="16" t="s">
        <v>718</v>
      </c>
      <c r="C122" s="16">
        <v>1.51</v>
      </c>
      <c r="D122" s="174" t="s">
        <v>719</v>
      </c>
      <c r="E122" s="16"/>
      <c r="F122" s="16">
        <v>529.0</v>
      </c>
      <c r="G122" s="16" t="s">
        <v>333</v>
      </c>
      <c r="H122" s="16" t="s">
        <v>24</v>
      </c>
      <c r="I122" s="16"/>
      <c r="J122" s="16"/>
      <c r="K122" s="16"/>
      <c r="L122" s="16"/>
      <c r="M122" s="16"/>
      <c r="N122" s="16"/>
      <c r="O122" s="16"/>
      <c r="P122" s="16"/>
      <c r="Q122" s="16"/>
      <c r="R122" s="16"/>
      <c r="S122" s="16">
        <v>10.0</v>
      </c>
      <c r="T122" s="16"/>
      <c r="U122" s="16" t="s">
        <v>720</v>
      </c>
      <c r="V122" s="16" t="s">
        <v>721</v>
      </c>
      <c r="W122" s="16" t="s">
        <v>722</v>
      </c>
    </row>
    <row r="123">
      <c r="A123" s="16">
        <v>11547.0</v>
      </c>
      <c r="B123" s="16" t="s">
        <v>723</v>
      </c>
      <c r="C123" s="16">
        <v>1.44</v>
      </c>
      <c r="D123" s="174" t="s">
        <v>724</v>
      </c>
      <c r="E123" s="16"/>
      <c r="F123" s="16">
        <v>506.0</v>
      </c>
      <c r="G123" s="16" t="s">
        <v>4759</v>
      </c>
      <c r="H123" s="16" t="s">
        <v>25</v>
      </c>
      <c r="I123" s="16" t="s">
        <v>26</v>
      </c>
      <c r="J123" s="16"/>
      <c r="K123" s="16"/>
      <c r="L123" s="16"/>
      <c r="M123" s="16"/>
      <c r="N123" s="16"/>
      <c r="O123" s="16"/>
      <c r="P123" s="16"/>
      <c r="Q123" s="16"/>
      <c r="R123" s="16" t="s">
        <v>4760</v>
      </c>
      <c r="S123" s="16">
        <v>6.0</v>
      </c>
      <c r="T123" s="16"/>
      <c r="U123" s="16" t="s">
        <v>725</v>
      </c>
      <c r="V123" s="16" t="s">
        <v>726</v>
      </c>
      <c r="W123" s="16" t="s">
        <v>634</v>
      </c>
    </row>
    <row r="124">
      <c r="A124" s="16">
        <v>11548.0</v>
      </c>
      <c r="B124" s="16" t="s">
        <v>727</v>
      </c>
      <c r="C124" s="16">
        <v>0.0</v>
      </c>
      <c r="D124" s="174" t="s">
        <v>728</v>
      </c>
      <c r="E124" s="16"/>
      <c r="F124" s="16">
        <v>532.0</v>
      </c>
      <c r="G124" s="16" t="s">
        <v>346</v>
      </c>
      <c r="H124" s="16" t="s">
        <v>16</v>
      </c>
      <c r="I124" s="16" t="s">
        <v>14</v>
      </c>
      <c r="J124" s="16" t="s">
        <v>15</v>
      </c>
      <c r="K124" s="16"/>
      <c r="L124" s="16"/>
      <c r="M124" s="16"/>
      <c r="N124" s="16"/>
      <c r="O124" s="16"/>
      <c r="P124" s="16"/>
      <c r="Q124" s="16"/>
      <c r="R124" s="16"/>
      <c r="S124" s="16">
        <v>11.0</v>
      </c>
      <c r="T124" s="174" t="s">
        <v>4761</v>
      </c>
      <c r="U124" s="16" t="s">
        <v>729</v>
      </c>
      <c r="V124" s="16" t="s">
        <v>730</v>
      </c>
      <c r="W124" s="16" t="s">
        <v>332</v>
      </c>
    </row>
    <row r="125">
      <c r="A125" s="16">
        <v>11549.0</v>
      </c>
      <c r="B125" s="16" t="s">
        <v>731</v>
      </c>
      <c r="C125" s="16">
        <v>0.77</v>
      </c>
      <c r="D125" s="174" t="s">
        <v>732</v>
      </c>
      <c r="E125" s="16"/>
      <c r="F125" s="16">
        <v>516.0</v>
      </c>
      <c r="G125" s="16" t="s">
        <v>228</v>
      </c>
      <c r="H125" s="16" t="s">
        <v>13</v>
      </c>
      <c r="I125" s="16" t="s">
        <v>19</v>
      </c>
      <c r="J125" s="16"/>
      <c r="K125" s="16"/>
      <c r="L125" s="16"/>
      <c r="M125" s="16"/>
      <c r="N125" s="16"/>
      <c r="O125" s="16"/>
      <c r="P125" s="16"/>
      <c r="Q125" s="16"/>
      <c r="R125" s="16"/>
      <c r="S125" s="16">
        <v>15.0</v>
      </c>
      <c r="T125" s="16"/>
      <c r="U125" s="16" t="s">
        <v>733</v>
      </c>
      <c r="V125" s="16" t="s">
        <v>734</v>
      </c>
      <c r="W125" s="16" t="s">
        <v>199</v>
      </c>
    </row>
    <row r="126">
      <c r="A126" s="16">
        <v>11550.0</v>
      </c>
      <c r="B126" s="16" t="s">
        <v>735</v>
      </c>
      <c r="C126" s="16">
        <v>0.0</v>
      </c>
      <c r="D126" s="174" t="s">
        <v>736</v>
      </c>
      <c r="E126" s="16"/>
      <c r="F126" s="16">
        <v>498.0</v>
      </c>
      <c r="G126" s="16" t="s">
        <v>176</v>
      </c>
      <c r="H126" s="16" t="s">
        <v>16</v>
      </c>
      <c r="I126" s="16"/>
      <c r="J126" s="16"/>
      <c r="K126" s="16"/>
      <c r="L126" s="16"/>
      <c r="M126" s="16"/>
      <c r="N126" s="16"/>
      <c r="O126" s="16"/>
      <c r="P126" s="16"/>
      <c r="Q126" s="16"/>
      <c r="R126" s="16"/>
      <c r="S126" s="16">
        <v>-2.0</v>
      </c>
      <c r="T126" s="16"/>
      <c r="U126" s="16" t="s">
        <v>737</v>
      </c>
      <c r="V126" s="16" t="s">
        <v>738</v>
      </c>
      <c r="W126" s="16" t="s">
        <v>634</v>
      </c>
    </row>
    <row r="127">
      <c r="A127" s="16">
        <v>11551.0</v>
      </c>
      <c r="B127" s="16" t="s">
        <v>739</v>
      </c>
      <c r="C127" s="16">
        <v>0.52</v>
      </c>
      <c r="D127" s="174" t="s">
        <v>740</v>
      </c>
      <c r="E127" s="16"/>
      <c r="F127" s="16">
        <v>504.0</v>
      </c>
      <c r="G127" s="16" t="s">
        <v>1465</v>
      </c>
      <c r="H127" s="16" t="s">
        <v>12</v>
      </c>
      <c r="I127" s="16"/>
      <c r="J127" s="16"/>
      <c r="K127" s="16"/>
      <c r="L127" s="16"/>
      <c r="M127" s="16"/>
      <c r="N127" s="16"/>
      <c r="O127" s="16"/>
      <c r="P127" s="16"/>
      <c r="Q127" s="16"/>
      <c r="R127" s="16"/>
      <c r="S127" s="16">
        <v>15.0</v>
      </c>
      <c r="T127" s="16"/>
      <c r="U127" s="16" t="s">
        <v>741</v>
      </c>
      <c r="V127" s="16" t="s">
        <v>742</v>
      </c>
      <c r="W127" s="16" t="s">
        <v>675</v>
      </c>
    </row>
    <row r="128">
      <c r="A128" s="16">
        <v>11552.0</v>
      </c>
      <c r="B128" s="16" t="s">
        <v>743</v>
      </c>
      <c r="C128" s="16">
        <v>0.0</v>
      </c>
      <c r="D128" s="174" t="s">
        <v>744</v>
      </c>
      <c r="E128" s="16"/>
      <c r="F128" s="16">
        <v>498.0</v>
      </c>
      <c r="G128" s="16" t="s">
        <v>176</v>
      </c>
      <c r="H128" s="16" t="s">
        <v>13</v>
      </c>
      <c r="I128" s="16" t="s">
        <v>15</v>
      </c>
      <c r="J128" s="16" t="s">
        <v>19</v>
      </c>
      <c r="K128" s="16"/>
      <c r="L128" s="16"/>
      <c r="M128" s="16"/>
      <c r="N128" s="16"/>
      <c r="O128" s="16"/>
      <c r="P128" s="16"/>
      <c r="Q128" s="16"/>
      <c r="R128" s="16"/>
      <c r="S128" s="16">
        <v>-2.0</v>
      </c>
      <c r="T128" s="16"/>
      <c r="U128" s="16" t="s">
        <v>745</v>
      </c>
      <c r="V128" s="16" t="s">
        <v>746</v>
      </c>
      <c r="W128" s="16" t="s">
        <v>199</v>
      </c>
    </row>
    <row r="129">
      <c r="A129" s="16">
        <v>11553.0</v>
      </c>
      <c r="B129" s="16" t="s">
        <v>747</v>
      </c>
      <c r="C129" s="16">
        <v>0.0</v>
      </c>
      <c r="D129" s="174" t="s">
        <v>748</v>
      </c>
      <c r="E129" s="16"/>
      <c r="F129" s="16">
        <v>498.0</v>
      </c>
      <c r="G129" s="16" t="s">
        <v>176</v>
      </c>
      <c r="H129" s="16" t="s">
        <v>24</v>
      </c>
      <c r="I129" s="16"/>
      <c r="J129" s="16"/>
      <c r="K129" s="16"/>
      <c r="L129" s="16"/>
      <c r="M129" s="16"/>
      <c r="N129" s="16"/>
      <c r="O129" s="16"/>
      <c r="P129" s="16"/>
      <c r="Q129" s="16"/>
      <c r="R129" s="16"/>
      <c r="S129" s="16">
        <v>-2.0</v>
      </c>
      <c r="T129" s="16"/>
      <c r="U129" s="16" t="s">
        <v>749</v>
      </c>
      <c r="V129" s="16" t="s">
        <v>750</v>
      </c>
      <c r="W129" s="16" t="s">
        <v>751</v>
      </c>
    </row>
    <row r="130">
      <c r="A130" s="16">
        <v>11554.0</v>
      </c>
      <c r="B130" s="16" t="s">
        <v>752</v>
      </c>
      <c r="C130" s="16">
        <v>3.84</v>
      </c>
      <c r="D130" s="174" t="s">
        <v>753</v>
      </c>
      <c r="E130" s="16"/>
      <c r="F130" s="16">
        <v>523.0</v>
      </c>
      <c r="G130" s="16" t="s">
        <v>306</v>
      </c>
      <c r="H130" s="16" t="s">
        <v>16</v>
      </c>
      <c r="I130" s="16"/>
      <c r="J130" s="16"/>
      <c r="K130" s="16"/>
      <c r="L130" s="16"/>
      <c r="M130" s="16"/>
      <c r="N130" s="16"/>
      <c r="O130" s="16"/>
      <c r="P130" s="16"/>
      <c r="Q130" s="16"/>
      <c r="R130" s="16"/>
      <c r="S130" s="16">
        <v>1.0</v>
      </c>
      <c r="T130" s="16"/>
      <c r="U130" s="16" t="s">
        <v>754</v>
      </c>
      <c r="V130" s="16" t="s">
        <v>755</v>
      </c>
      <c r="W130" s="16" t="s">
        <v>188</v>
      </c>
    </row>
    <row r="131">
      <c r="A131" s="16">
        <v>11555.0</v>
      </c>
      <c r="B131" s="16" t="s">
        <v>756</v>
      </c>
      <c r="C131" s="16">
        <v>1.39</v>
      </c>
      <c r="D131" s="174" t="s">
        <v>757</v>
      </c>
      <c r="E131" s="16"/>
      <c r="F131" s="16">
        <v>538.0</v>
      </c>
      <c r="G131" s="16" t="s">
        <v>289</v>
      </c>
      <c r="H131" s="16" t="s">
        <v>24</v>
      </c>
      <c r="I131" s="16" t="s">
        <v>25</v>
      </c>
      <c r="J131" s="16"/>
      <c r="K131" s="16"/>
      <c r="L131" s="16"/>
      <c r="M131" s="16"/>
      <c r="N131" s="16"/>
      <c r="O131" s="16"/>
      <c r="P131" s="16"/>
      <c r="Q131" s="16"/>
      <c r="R131" s="16"/>
      <c r="S131" s="16">
        <v>1.0</v>
      </c>
      <c r="T131" s="16"/>
      <c r="U131" s="16" t="s">
        <v>758</v>
      </c>
      <c r="V131" s="16" t="s">
        <v>759</v>
      </c>
      <c r="W131" s="16" t="s">
        <v>259</v>
      </c>
    </row>
    <row r="132">
      <c r="A132" s="16">
        <v>11556.0</v>
      </c>
      <c r="B132" s="16" t="s">
        <v>760</v>
      </c>
      <c r="C132" s="16">
        <v>0.0</v>
      </c>
      <c r="D132" s="174" t="s">
        <v>761</v>
      </c>
      <c r="E132" s="16"/>
      <c r="F132" s="16">
        <v>516.0</v>
      </c>
      <c r="G132" s="16" t="s">
        <v>228</v>
      </c>
      <c r="H132" s="16" t="s">
        <v>24</v>
      </c>
      <c r="I132" s="16" t="s">
        <v>25</v>
      </c>
      <c r="J132" s="16" t="s">
        <v>26</v>
      </c>
      <c r="K132" s="16"/>
      <c r="L132" s="16"/>
      <c r="M132" s="16"/>
      <c r="N132" s="16"/>
      <c r="O132" s="16"/>
      <c r="P132" s="16"/>
      <c r="Q132" s="16"/>
      <c r="R132" s="16"/>
      <c r="S132" s="16">
        <v>14.0</v>
      </c>
      <c r="T132" s="16"/>
      <c r="U132" s="16" t="s">
        <v>762</v>
      </c>
      <c r="V132" s="16" t="s">
        <v>763</v>
      </c>
      <c r="W132" s="16" t="s">
        <v>332</v>
      </c>
    </row>
    <row r="133">
      <c r="A133" s="16">
        <v>11557.0</v>
      </c>
      <c r="B133" s="16" t="s">
        <v>764</v>
      </c>
      <c r="C133" s="16">
        <v>0.0</v>
      </c>
      <c r="D133" s="174" t="s">
        <v>765</v>
      </c>
      <c r="E133" s="16"/>
      <c r="F133" s="16">
        <v>538.0</v>
      </c>
      <c r="G133" s="16" t="s">
        <v>289</v>
      </c>
      <c r="H133" s="16" t="s">
        <v>16</v>
      </c>
      <c r="I133" s="16" t="s">
        <v>15</v>
      </c>
      <c r="J133" s="16" t="s">
        <v>14</v>
      </c>
      <c r="K133" s="16"/>
      <c r="L133" s="16"/>
      <c r="M133" s="16"/>
      <c r="N133" s="16"/>
      <c r="O133" s="16"/>
      <c r="P133" s="16"/>
      <c r="Q133" s="16"/>
      <c r="R133" s="16"/>
      <c r="S133" s="16">
        <v>1.0</v>
      </c>
      <c r="T133" s="16"/>
      <c r="U133" s="16" t="s">
        <v>766</v>
      </c>
      <c r="V133" s="16" t="s">
        <v>767</v>
      </c>
      <c r="W133" s="16" t="s">
        <v>199</v>
      </c>
    </row>
    <row r="134">
      <c r="A134" s="16">
        <v>11558.0</v>
      </c>
      <c r="B134" s="16" t="s">
        <v>768</v>
      </c>
      <c r="C134" s="16">
        <v>0.0</v>
      </c>
      <c r="D134" s="174" t="s">
        <v>769</v>
      </c>
      <c r="E134" s="16"/>
      <c r="F134" s="16">
        <v>498.0</v>
      </c>
      <c r="G134" s="16" t="s">
        <v>176</v>
      </c>
      <c r="H134" s="16" t="s">
        <v>24</v>
      </c>
      <c r="I134" s="16" t="s">
        <v>25</v>
      </c>
      <c r="J134" s="16"/>
      <c r="K134" s="16"/>
      <c r="L134" s="16"/>
      <c r="M134" s="16"/>
      <c r="N134" s="16"/>
      <c r="O134" s="16"/>
      <c r="P134" s="16"/>
      <c r="Q134" s="16"/>
      <c r="R134" s="16"/>
      <c r="S134" s="16">
        <v>-2.0</v>
      </c>
      <c r="T134" s="16"/>
      <c r="U134" s="16" t="s">
        <v>770</v>
      </c>
      <c r="V134" s="16" t="s">
        <v>771</v>
      </c>
      <c r="W134" s="16" t="s">
        <v>199</v>
      </c>
    </row>
    <row r="135">
      <c r="A135" s="16">
        <v>11559.0</v>
      </c>
      <c r="B135" s="16" t="s">
        <v>772</v>
      </c>
      <c r="C135" s="16">
        <v>1.29</v>
      </c>
      <c r="D135" s="174" t="s">
        <v>773</v>
      </c>
      <c r="E135" s="16"/>
      <c r="F135" s="16">
        <v>501.0</v>
      </c>
      <c r="G135" s="16" t="s">
        <v>371</v>
      </c>
      <c r="H135" s="16" t="s">
        <v>24</v>
      </c>
      <c r="I135" s="16"/>
      <c r="J135" s="16"/>
      <c r="K135" s="16"/>
      <c r="L135" s="16"/>
      <c r="M135" s="16"/>
      <c r="N135" s="16"/>
      <c r="O135" s="16"/>
      <c r="P135" s="16"/>
      <c r="Q135" s="16"/>
      <c r="R135" s="16"/>
      <c r="S135" s="16">
        <v>15.0</v>
      </c>
      <c r="T135" s="16"/>
      <c r="U135" s="16" t="s">
        <v>774</v>
      </c>
      <c r="V135" s="16" t="s">
        <v>775</v>
      </c>
      <c r="W135" s="16" t="s">
        <v>231</v>
      </c>
    </row>
    <row r="136">
      <c r="A136" s="16">
        <v>11560.0</v>
      </c>
      <c r="B136" s="16" t="s">
        <v>776</v>
      </c>
      <c r="C136" s="16">
        <v>0.24</v>
      </c>
      <c r="D136" s="174" t="s">
        <v>777</v>
      </c>
      <c r="E136" s="16"/>
      <c r="F136" s="16">
        <v>498.0</v>
      </c>
      <c r="G136" s="16" t="s">
        <v>176</v>
      </c>
      <c r="H136" s="16" t="s">
        <v>25</v>
      </c>
      <c r="I136" s="16"/>
      <c r="J136" s="16"/>
      <c r="K136" s="16"/>
      <c r="L136" s="16"/>
      <c r="M136" s="16"/>
      <c r="N136" s="16"/>
      <c r="O136" s="16"/>
      <c r="P136" s="16"/>
      <c r="Q136" s="16"/>
      <c r="R136" s="16"/>
      <c r="S136" s="16">
        <v>-2.0</v>
      </c>
      <c r="T136" s="16"/>
      <c r="U136" s="16" t="s">
        <v>778</v>
      </c>
      <c r="V136" s="16" t="s">
        <v>779</v>
      </c>
      <c r="W136" s="16" t="s">
        <v>199</v>
      </c>
    </row>
    <row r="137">
      <c r="A137" s="16">
        <v>11561.0</v>
      </c>
      <c r="B137" s="16" t="s">
        <v>780</v>
      </c>
      <c r="C137" s="16">
        <v>0.0</v>
      </c>
      <c r="D137" s="174" t="s">
        <v>781</v>
      </c>
      <c r="E137" s="16"/>
      <c r="F137" s="16">
        <v>498.0</v>
      </c>
      <c r="G137" s="16" t="s">
        <v>176</v>
      </c>
      <c r="H137" s="16" t="s">
        <v>16</v>
      </c>
      <c r="I137" s="16" t="s">
        <v>15</v>
      </c>
      <c r="J137" s="16"/>
      <c r="K137" s="16"/>
      <c r="L137" s="16"/>
      <c r="M137" s="16"/>
      <c r="N137" s="16"/>
      <c r="O137" s="16"/>
      <c r="P137" s="16"/>
      <c r="Q137" s="16"/>
      <c r="R137" s="16"/>
      <c r="S137" s="16">
        <v>-2.0</v>
      </c>
      <c r="T137" s="16"/>
      <c r="U137" s="16" t="s">
        <v>782</v>
      </c>
      <c r="V137" s="16" t="s">
        <v>783</v>
      </c>
      <c r="W137" s="16" t="s">
        <v>199</v>
      </c>
    </row>
    <row r="138">
      <c r="A138" s="16">
        <v>11562.0</v>
      </c>
      <c r="B138" s="16" t="s">
        <v>784</v>
      </c>
      <c r="C138" s="16">
        <v>0.0</v>
      </c>
      <c r="D138" s="174" t="s">
        <v>785</v>
      </c>
      <c r="E138" s="16"/>
      <c r="F138" s="16">
        <v>498.0</v>
      </c>
      <c r="G138" s="16" t="s">
        <v>176</v>
      </c>
      <c r="H138" s="16" t="s">
        <v>14</v>
      </c>
      <c r="I138" s="16" t="s">
        <v>15</v>
      </c>
      <c r="J138" s="16" t="s">
        <v>13</v>
      </c>
      <c r="K138" s="16"/>
      <c r="L138" s="16"/>
      <c r="M138" s="16"/>
      <c r="N138" s="16"/>
      <c r="O138" s="16"/>
      <c r="P138" s="16"/>
      <c r="Q138" s="16"/>
      <c r="R138" s="16"/>
      <c r="S138" s="16">
        <v>-2.0</v>
      </c>
      <c r="T138" s="16"/>
      <c r="U138" s="16" t="s">
        <v>786</v>
      </c>
      <c r="V138" s="16" t="s">
        <v>787</v>
      </c>
      <c r="W138" s="16" t="s">
        <v>661</v>
      </c>
    </row>
    <row r="139">
      <c r="A139" s="16">
        <v>11563.0</v>
      </c>
      <c r="B139" s="16" t="s">
        <v>788</v>
      </c>
      <c r="C139" s="16">
        <v>1.64</v>
      </c>
      <c r="D139" s="174" t="s">
        <v>789</v>
      </c>
      <c r="E139" s="16"/>
      <c r="F139" s="16">
        <v>539.0</v>
      </c>
      <c r="G139" s="16" t="s">
        <v>3115</v>
      </c>
      <c r="H139" s="16" t="s">
        <v>14</v>
      </c>
      <c r="I139" s="16" t="s">
        <v>13</v>
      </c>
      <c r="J139" s="16"/>
      <c r="K139" s="16"/>
      <c r="L139" s="16"/>
      <c r="M139" s="16"/>
      <c r="N139" s="16"/>
      <c r="O139" s="16"/>
      <c r="P139" s="16"/>
      <c r="Q139" s="16"/>
      <c r="R139" s="16" t="s">
        <v>4756</v>
      </c>
      <c r="S139" s="16">
        <v>17.0</v>
      </c>
      <c r="T139" s="16"/>
      <c r="U139" s="16" t="s">
        <v>790</v>
      </c>
      <c r="V139" s="16" t="s">
        <v>791</v>
      </c>
      <c r="W139" s="16" t="s">
        <v>661</v>
      </c>
    </row>
    <row r="140">
      <c r="A140" s="16">
        <v>11564.0</v>
      </c>
      <c r="B140" s="16" t="s">
        <v>792</v>
      </c>
      <c r="C140" s="16">
        <v>1.89</v>
      </c>
      <c r="D140" s="174" t="s">
        <v>793</v>
      </c>
      <c r="E140" s="16"/>
      <c r="F140" s="16">
        <v>514.0</v>
      </c>
      <c r="G140" s="16" t="s">
        <v>260</v>
      </c>
      <c r="H140" s="16" t="s">
        <v>17</v>
      </c>
      <c r="I140" s="16" t="s">
        <v>18</v>
      </c>
      <c r="J140" s="16" t="s">
        <v>19</v>
      </c>
      <c r="K140" s="16"/>
      <c r="L140" s="16"/>
      <c r="M140" s="16"/>
      <c r="N140" s="16"/>
      <c r="O140" s="16"/>
      <c r="P140" s="16"/>
      <c r="Q140" s="16"/>
      <c r="R140" s="16"/>
      <c r="S140" s="16">
        <v>8.0</v>
      </c>
      <c r="T140" s="16"/>
      <c r="U140" s="16" t="s">
        <v>794</v>
      </c>
      <c r="V140" s="16" t="s">
        <v>795</v>
      </c>
      <c r="W140" s="16" t="s">
        <v>491</v>
      </c>
    </row>
    <row r="141">
      <c r="A141" s="16">
        <v>11565.0</v>
      </c>
      <c r="B141" s="16" t="s">
        <v>796</v>
      </c>
      <c r="C141" s="16">
        <v>0.96</v>
      </c>
      <c r="D141" s="174" t="s">
        <v>797</v>
      </c>
      <c r="E141" s="16"/>
      <c r="F141" s="16">
        <v>546.0</v>
      </c>
      <c r="G141" s="16" t="s">
        <v>415</v>
      </c>
      <c r="H141" s="16" t="s">
        <v>17</v>
      </c>
      <c r="I141" s="16" t="s">
        <v>18</v>
      </c>
      <c r="J141" s="16"/>
      <c r="K141" s="16"/>
      <c r="L141" s="16"/>
      <c r="M141" s="16"/>
      <c r="N141" s="16"/>
      <c r="O141" s="16"/>
      <c r="P141" s="16"/>
      <c r="Q141" s="16"/>
      <c r="R141" s="16"/>
      <c r="S141" s="16">
        <v>11.0</v>
      </c>
      <c r="T141" s="16"/>
      <c r="U141" s="16" t="s">
        <v>798</v>
      </c>
      <c r="V141" s="16" t="s">
        <v>799</v>
      </c>
      <c r="W141" s="16" t="s">
        <v>188</v>
      </c>
    </row>
    <row r="142">
      <c r="A142" s="16">
        <v>11566.0</v>
      </c>
      <c r="B142" s="16" t="s">
        <v>800</v>
      </c>
      <c r="C142" s="16">
        <v>0.25</v>
      </c>
      <c r="D142" s="174" t="s">
        <v>801</v>
      </c>
      <c r="E142" s="16"/>
      <c r="F142" s="16">
        <v>504.0</v>
      </c>
      <c r="G142" s="16" t="s">
        <v>1465</v>
      </c>
      <c r="H142" s="16" t="s">
        <v>24</v>
      </c>
      <c r="I142" s="16"/>
      <c r="J142" s="16"/>
      <c r="K142" s="16"/>
      <c r="L142" s="16"/>
      <c r="M142" s="16"/>
      <c r="N142" s="16"/>
      <c r="O142" s="16"/>
      <c r="P142" s="16"/>
      <c r="Q142" s="16"/>
      <c r="R142" s="16"/>
      <c r="S142" s="16">
        <v>1.0</v>
      </c>
      <c r="T142" s="16"/>
      <c r="U142" s="16" t="s">
        <v>802</v>
      </c>
      <c r="V142" s="16" t="s">
        <v>803</v>
      </c>
      <c r="W142" s="16" t="s">
        <v>231</v>
      </c>
    </row>
    <row r="143">
      <c r="A143" s="16">
        <v>11567.0</v>
      </c>
      <c r="B143" s="16" t="s">
        <v>804</v>
      </c>
      <c r="C143" s="16">
        <v>2.06</v>
      </c>
      <c r="D143" s="174" t="s">
        <v>805</v>
      </c>
      <c r="E143" s="16"/>
      <c r="F143" s="16">
        <v>532.0</v>
      </c>
      <c r="G143" s="16" t="s">
        <v>346</v>
      </c>
      <c r="H143" s="16" t="s">
        <v>24</v>
      </c>
      <c r="I143" s="16" t="s">
        <v>25</v>
      </c>
      <c r="J143" s="16"/>
      <c r="K143" s="16"/>
      <c r="L143" s="16"/>
      <c r="M143" s="16"/>
      <c r="N143" s="16"/>
      <c r="O143" s="16"/>
      <c r="P143" s="16"/>
      <c r="Q143" s="16"/>
      <c r="R143" s="16"/>
      <c r="S143" s="16">
        <v>5.0</v>
      </c>
      <c r="T143" s="16"/>
      <c r="U143" s="16" t="s">
        <v>806</v>
      </c>
      <c r="V143" s="16" t="s">
        <v>807</v>
      </c>
      <c r="W143" s="16" t="s">
        <v>332</v>
      </c>
    </row>
    <row r="144">
      <c r="A144" s="16">
        <v>11568.0</v>
      </c>
      <c r="B144" s="16" t="s">
        <v>808</v>
      </c>
      <c r="C144" s="16">
        <v>0.61</v>
      </c>
      <c r="D144" s="174" t="s">
        <v>809</v>
      </c>
      <c r="E144" s="16"/>
      <c r="F144" s="16">
        <v>536.0</v>
      </c>
      <c r="G144" s="16" t="s">
        <v>969</v>
      </c>
      <c r="H144" s="16" t="s">
        <v>24</v>
      </c>
      <c r="I144" s="16"/>
      <c r="J144" s="16"/>
      <c r="K144" s="16"/>
      <c r="L144" s="16"/>
      <c r="M144" s="16"/>
      <c r="N144" s="16"/>
      <c r="O144" s="16"/>
      <c r="P144" s="16"/>
      <c r="Q144" s="16"/>
      <c r="R144" s="16" t="s">
        <v>4762</v>
      </c>
      <c r="S144" s="16">
        <v>16.0</v>
      </c>
      <c r="T144" s="16"/>
      <c r="U144" s="16" t="s">
        <v>810</v>
      </c>
      <c r="V144" s="16" t="s">
        <v>811</v>
      </c>
      <c r="W144" s="16" t="s">
        <v>459</v>
      </c>
    </row>
    <row r="145">
      <c r="A145" s="16">
        <v>11569.0</v>
      </c>
      <c r="B145" s="16" t="s">
        <v>812</v>
      </c>
      <c r="C145" s="16">
        <v>0.69</v>
      </c>
      <c r="D145" s="174" t="s">
        <v>813</v>
      </c>
      <c r="E145" s="16"/>
      <c r="F145" s="16">
        <v>504.0</v>
      </c>
      <c r="G145" s="16" t="s">
        <v>1465</v>
      </c>
      <c r="H145" s="16" t="s">
        <v>24</v>
      </c>
      <c r="I145" s="16"/>
      <c r="J145" s="16"/>
      <c r="K145" s="16"/>
      <c r="L145" s="16"/>
      <c r="M145" s="16"/>
      <c r="N145" s="16"/>
      <c r="O145" s="16"/>
      <c r="P145" s="16"/>
      <c r="Q145" s="16"/>
      <c r="R145" s="16"/>
      <c r="S145" s="16">
        <v>12.0</v>
      </c>
      <c r="T145" s="16"/>
      <c r="U145" s="16" t="s">
        <v>814</v>
      </c>
      <c r="V145" s="16" t="s">
        <v>815</v>
      </c>
      <c r="W145" s="16" t="s">
        <v>188</v>
      </c>
    </row>
    <row r="146">
      <c r="A146" s="16">
        <v>11570.0</v>
      </c>
      <c r="B146" s="16" t="s">
        <v>816</v>
      </c>
      <c r="C146" s="16">
        <v>1.25</v>
      </c>
      <c r="D146" s="174" t="s">
        <v>817</v>
      </c>
      <c r="E146" s="16"/>
      <c r="F146" s="16">
        <v>543.0</v>
      </c>
      <c r="G146" s="16" t="s">
        <v>1175</v>
      </c>
      <c r="H146" s="16" t="s">
        <v>16</v>
      </c>
      <c r="I146" s="16"/>
      <c r="J146" s="16"/>
      <c r="K146" s="16"/>
      <c r="L146" s="16"/>
      <c r="M146" s="16"/>
      <c r="N146" s="16"/>
      <c r="O146" s="16"/>
      <c r="P146" s="16"/>
      <c r="Q146" s="16"/>
      <c r="R146" s="16"/>
      <c r="S146" s="16">
        <v>15.0</v>
      </c>
      <c r="T146" s="16"/>
      <c r="U146" s="16" t="s">
        <v>818</v>
      </c>
      <c r="V146" s="16" t="s">
        <v>819</v>
      </c>
      <c r="W146" s="16" t="s">
        <v>443</v>
      </c>
    </row>
    <row r="147">
      <c r="A147" s="16">
        <v>11571.0</v>
      </c>
      <c r="B147" s="16" t="s">
        <v>820</v>
      </c>
      <c r="C147" s="16">
        <v>1.47</v>
      </c>
      <c r="D147" s="174" t="s">
        <v>821</v>
      </c>
      <c r="E147" s="16"/>
      <c r="F147" s="16">
        <v>517.0</v>
      </c>
      <c r="G147" s="16" t="s">
        <v>277</v>
      </c>
      <c r="H147" s="16" t="s">
        <v>24</v>
      </c>
      <c r="I147" s="16" t="s">
        <v>25</v>
      </c>
      <c r="J147" s="16"/>
      <c r="K147" s="16"/>
      <c r="L147" s="16"/>
      <c r="M147" s="16"/>
      <c r="N147" s="16"/>
      <c r="O147" s="16"/>
      <c r="P147" s="16"/>
      <c r="Q147" s="16"/>
      <c r="R147" s="16"/>
      <c r="S147" s="16">
        <v>5.0</v>
      </c>
      <c r="T147" s="16"/>
      <c r="U147" s="16" t="s">
        <v>822</v>
      </c>
      <c r="V147" s="16" t="s">
        <v>823</v>
      </c>
      <c r="W147" s="16" t="s">
        <v>332</v>
      </c>
    </row>
    <row r="148">
      <c r="A148" s="16">
        <v>11572.0</v>
      </c>
      <c r="B148" s="16" t="s">
        <v>824</v>
      </c>
      <c r="C148" s="16">
        <v>1.16</v>
      </c>
      <c r="D148" s="174" t="s">
        <v>825</v>
      </c>
      <c r="E148" s="16"/>
      <c r="F148" s="16">
        <v>520.0</v>
      </c>
      <c r="G148" s="16" t="s">
        <v>292</v>
      </c>
      <c r="H148" s="16" t="s">
        <v>17</v>
      </c>
      <c r="I148" s="16" t="s">
        <v>14</v>
      </c>
      <c r="J148" s="16" t="s">
        <v>15</v>
      </c>
      <c r="K148" s="16"/>
      <c r="L148" s="16"/>
      <c r="M148" s="16"/>
      <c r="N148" s="16"/>
      <c r="O148" s="16"/>
      <c r="P148" s="16"/>
      <c r="Q148" s="16"/>
      <c r="R148" s="16"/>
      <c r="S148" s="16">
        <v>1.0</v>
      </c>
      <c r="T148" s="16"/>
      <c r="U148" s="16" t="s">
        <v>827</v>
      </c>
      <c r="V148" s="16" t="s">
        <v>828</v>
      </c>
      <c r="W148" s="16" t="s">
        <v>188</v>
      </c>
    </row>
    <row r="149">
      <c r="A149" s="16">
        <v>11573.0</v>
      </c>
      <c r="B149" s="16" t="s">
        <v>829</v>
      </c>
      <c r="C149" s="16">
        <v>0.59</v>
      </c>
      <c r="D149" s="174" t="s">
        <v>830</v>
      </c>
      <c r="E149" s="16"/>
      <c r="F149" s="16">
        <v>546.0</v>
      </c>
      <c r="G149" s="16" t="s">
        <v>415</v>
      </c>
      <c r="H149" s="16" t="s">
        <v>14</v>
      </c>
      <c r="I149" s="16"/>
      <c r="J149" s="16"/>
      <c r="K149" s="16"/>
      <c r="L149" s="16"/>
      <c r="M149" s="16"/>
      <c r="N149" s="16"/>
      <c r="O149" s="16"/>
      <c r="P149" s="16"/>
      <c r="Q149" s="16"/>
      <c r="R149" s="16"/>
      <c r="S149" s="16">
        <v>15.0</v>
      </c>
      <c r="T149" s="16"/>
      <c r="U149" s="16" t="s">
        <v>831</v>
      </c>
      <c r="V149" s="16" t="s">
        <v>832</v>
      </c>
      <c r="W149" s="16" t="s">
        <v>491</v>
      </c>
    </row>
    <row r="150">
      <c r="A150" s="16">
        <v>11574.0</v>
      </c>
      <c r="B150" s="16" t="s">
        <v>833</v>
      </c>
      <c r="C150" s="16">
        <v>0.11</v>
      </c>
      <c r="D150" s="174" t="s">
        <v>834</v>
      </c>
      <c r="E150" s="16"/>
      <c r="F150" s="16">
        <v>543.0</v>
      </c>
      <c r="G150" s="16" t="s">
        <v>1175</v>
      </c>
      <c r="H150" s="16" t="s">
        <v>25</v>
      </c>
      <c r="I150" s="16" t="s">
        <v>26</v>
      </c>
      <c r="J150" s="16"/>
      <c r="K150" s="16"/>
      <c r="L150" s="16"/>
      <c r="M150" s="16"/>
      <c r="N150" s="16"/>
      <c r="O150" s="16"/>
      <c r="P150" s="16"/>
      <c r="Q150" s="16"/>
      <c r="R150" s="16"/>
      <c r="S150" s="16">
        <v>14.0</v>
      </c>
      <c r="T150" s="16"/>
      <c r="U150" s="16" t="s">
        <v>835</v>
      </c>
      <c r="V150" s="16" t="s">
        <v>836</v>
      </c>
      <c r="W150" s="16" t="s">
        <v>360</v>
      </c>
    </row>
    <row r="151">
      <c r="A151" s="16">
        <v>11575.0</v>
      </c>
      <c r="B151" s="16" t="s">
        <v>837</v>
      </c>
      <c r="C151" s="16">
        <v>0.47</v>
      </c>
      <c r="D151" s="174" t="s">
        <v>838</v>
      </c>
      <c r="E151" s="16"/>
      <c r="F151" s="16">
        <v>498.0</v>
      </c>
      <c r="G151" s="16" t="s">
        <v>176</v>
      </c>
      <c r="H151" s="16" t="s">
        <v>24</v>
      </c>
      <c r="I151" s="16" t="s">
        <v>25</v>
      </c>
      <c r="J151" s="16"/>
      <c r="K151" s="16"/>
      <c r="L151" s="16"/>
      <c r="M151" s="16"/>
      <c r="N151" s="16"/>
      <c r="O151" s="16"/>
      <c r="P151" s="16"/>
      <c r="Q151" s="16"/>
      <c r="R151" s="16"/>
      <c r="S151" s="16">
        <v>-2.0</v>
      </c>
      <c r="T151" s="16"/>
      <c r="U151" s="16" t="s">
        <v>839</v>
      </c>
      <c r="V151" s="16" t="s">
        <v>840</v>
      </c>
      <c r="W151" s="16" t="s">
        <v>600</v>
      </c>
    </row>
    <row r="152">
      <c r="A152" s="16">
        <v>11576.0</v>
      </c>
      <c r="B152" s="16" t="s">
        <v>841</v>
      </c>
      <c r="C152" s="16">
        <v>1.15</v>
      </c>
      <c r="D152" s="174" t="s">
        <v>842</v>
      </c>
      <c r="E152" s="16"/>
      <c r="F152" s="16">
        <v>531.0</v>
      </c>
      <c r="G152" s="16" t="s">
        <v>3232</v>
      </c>
      <c r="H152" s="16" t="s">
        <v>25</v>
      </c>
      <c r="I152" s="16" t="s">
        <v>26</v>
      </c>
      <c r="J152" s="16"/>
      <c r="K152" s="16"/>
      <c r="L152" s="16"/>
      <c r="M152" s="16"/>
      <c r="N152" s="16"/>
      <c r="O152" s="16"/>
      <c r="P152" s="16"/>
      <c r="Q152" s="16"/>
      <c r="R152" s="16"/>
      <c r="S152" s="16">
        <v>19.0</v>
      </c>
      <c r="T152" s="16"/>
      <c r="U152" s="16" t="s">
        <v>843</v>
      </c>
      <c r="V152" s="16" t="s">
        <v>844</v>
      </c>
      <c r="W152" s="16" t="s">
        <v>199</v>
      </c>
    </row>
    <row r="153">
      <c r="A153" s="16">
        <v>11577.0</v>
      </c>
      <c r="B153" s="16" t="s">
        <v>845</v>
      </c>
      <c r="C153" s="16">
        <v>2.64</v>
      </c>
      <c r="D153" s="174" t="s">
        <v>846</v>
      </c>
      <c r="E153" s="16"/>
      <c r="F153" s="16">
        <v>511.0</v>
      </c>
      <c r="G153" s="16" t="s">
        <v>245</v>
      </c>
      <c r="H153" s="16" t="s">
        <v>17</v>
      </c>
      <c r="I153" s="16" t="s">
        <v>19</v>
      </c>
      <c r="J153" s="16"/>
      <c r="K153" s="16"/>
      <c r="L153" s="16"/>
      <c r="M153" s="16"/>
      <c r="N153" s="16"/>
      <c r="O153" s="16"/>
      <c r="P153" s="16"/>
      <c r="Q153" s="16"/>
      <c r="R153" s="16" t="s">
        <v>4763</v>
      </c>
      <c r="S153" s="16">
        <v>17.0</v>
      </c>
      <c r="T153" s="16"/>
      <c r="U153" s="16" t="s">
        <v>847</v>
      </c>
      <c r="V153" s="16" t="s">
        <v>848</v>
      </c>
      <c r="W153" s="16" t="s">
        <v>443</v>
      </c>
    </row>
    <row r="154">
      <c r="A154" s="16">
        <v>11578.0</v>
      </c>
      <c r="B154" s="16" t="s">
        <v>849</v>
      </c>
      <c r="C154" s="16">
        <v>1.02</v>
      </c>
      <c r="D154" s="174" t="s">
        <v>850</v>
      </c>
      <c r="E154" s="16"/>
      <c r="F154" s="16">
        <v>498.0</v>
      </c>
      <c r="G154" s="16" t="s">
        <v>176</v>
      </c>
      <c r="H154" s="16" t="s">
        <v>24</v>
      </c>
      <c r="I154" s="16" t="s">
        <v>25</v>
      </c>
      <c r="J154" s="16" t="s">
        <v>26</v>
      </c>
      <c r="K154" s="16"/>
      <c r="L154" s="16"/>
      <c r="M154" s="16"/>
      <c r="N154" s="16"/>
      <c r="O154" s="16"/>
      <c r="P154" s="16"/>
      <c r="Q154" s="16"/>
      <c r="R154" s="16"/>
      <c r="S154" s="16">
        <v>-2.0</v>
      </c>
      <c r="T154" s="16"/>
      <c r="U154" s="16" t="s">
        <v>851</v>
      </c>
      <c r="V154" s="16" t="s">
        <v>852</v>
      </c>
      <c r="W154" s="16" t="s">
        <v>722</v>
      </c>
    </row>
    <row r="155">
      <c r="A155" s="16">
        <v>11579.0</v>
      </c>
      <c r="B155" s="16" t="s">
        <v>853</v>
      </c>
      <c r="C155" s="16">
        <v>1.92</v>
      </c>
      <c r="D155" s="174" t="s">
        <v>854</v>
      </c>
      <c r="E155" s="16"/>
      <c r="F155" s="16">
        <v>508.0</v>
      </c>
      <c r="G155" s="16" t="s">
        <v>4754</v>
      </c>
      <c r="H155" s="16" t="s">
        <v>18</v>
      </c>
      <c r="I155" s="16"/>
      <c r="J155" s="16"/>
      <c r="K155" s="16"/>
      <c r="L155" s="16"/>
      <c r="M155" s="16"/>
      <c r="N155" s="16"/>
      <c r="O155" s="16"/>
      <c r="P155" s="16"/>
      <c r="Q155" s="16"/>
      <c r="R155" s="16"/>
      <c r="S155" s="16">
        <v>17.0</v>
      </c>
      <c r="T155" s="16"/>
      <c r="U155" s="16" t="s">
        <v>855</v>
      </c>
      <c r="V155" s="16" t="s">
        <v>856</v>
      </c>
      <c r="W155" s="16" t="s">
        <v>188</v>
      </c>
    </row>
    <row r="156">
      <c r="A156" s="16">
        <v>11580.0</v>
      </c>
      <c r="B156" s="16" t="s">
        <v>857</v>
      </c>
      <c r="C156" s="16">
        <v>0.51</v>
      </c>
      <c r="D156" s="174" t="s">
        <v>858</v>
      </c>
      <c r="E156" s="16"/>
      <c r="F156" s="16">
        <v>516.0</v>
      </c>
      <c r="G156" s="16" t="s">
        <v>228</v>
      </c>
      <c r="H156" s="16" t="s">
        <v>15</v>
      </c>
      <c r="I156" s="16"/>
      <c r="J156" s="16"/>
      <c r="K156" s="16"/>
      <c r="L156" s="16"/>
      <c r="M156" s="16"/>
      <c r="N156" s="16"/>
      <c r="O156" s="16"/>
      <c r="P156" s="16"/>
      <c r="Q156" s="16"/>
      <c r="R156" s="16"/>
      <c r="S156" s="16">
        <v>15.0</v>
      </c>
      <c r="T156" s="16"/>
      <c r="U156" s="16" t="s">
        <v>859</v>
      </c>
      <c r="V156" s="16" t="s">
        <v>860</v>
      </c>
      <c r="W156" s="16" t="s">
        <v>332</v>
      </c>
    </row>
    <row r="157">
      <c r="A157" s="16">
        <v>11581.0</v>
      </c>
      <c r="B157" s="16" t="s">
        <v>861</v>
      </c>
      <c r="C157" s="16">
        <v>0.0</v>
      </c>
      <c r="D157" s="174" t="s">
        <v>862</v>
      </c>
      <c r="E157" s="16"/>
      <c r="F157" s="16">
        <v>498.0</v>
      </c>
      <c r="G157" s="16" t="s">
        <v>176</v>
      </c>
      <c r="H157" s="16" t="s">
        <v>15</v>
      </c>
      <c r="I157" s="16"/>
      <c r="J157" s="16"/>
      <c r="K157" s="16"/>
      <c r="L157" s="16"/>
      <c r="M157" s="16"/>
      <c r="N157" s="16"/>
      <c r="O157" s="16"/>
      <c r="P157" s="16"/>
      <c r="Q157" s="16"/>
      <c r="R157" s="16"/>
      <c r="S157" s="16">
        <v>-2.0</v>
      </c>
      <c r="T157" s="16"/>
      <c r="U157" s="16" t="s">
        <v>863</v>
      </c>
      <c r="V157" s="16" t="s">
        <v>864</v>
      </c>
      <c r="W157" s="16" t="s">
        <v>199</v>
      </c>
    </row>
    <row r="158">
      <c r="A158" s="16">
        <v>11582.0</v>
      </c>
      <c r="B158" s="16" t="s">
        <v>865</v>
      </c>
      <c r="C158" s="16">
        <v>0.53</v>
      </c>
      <c r="D158" s="174" t="s">
        <v>866</v>
      </c>
      <c r="E158" s="16"/>
      <c r="F158" s="16">
        <v>535.0</v>
      </c>
      <c r="G158" s="16" t="s">
        <v>361</v>
      </c>
      <c r="H158" s="16" t="s">
        <v>16</v>
      </c>
      <c r="I158" s="16" t="s">
        <v>14</v>
      </c>
      <c r="J158" s="16" t="s">
        <v>15</v>
      </c>
      <c r="K158" s="16" t="s">
        <v>13</v>
      </c>
      <c r="L158" s="16" t="s">
        <v>18</v>
      </c>
      <c r="M158" s="16"/>
      <c r="N158" s="16"/>
      <c r="O158" s="16"/>
      <c r="P158" s="16"/>
      <c r="Q158" s="16"/>
      <c r="R158" s="16"/>
      <c r="S158" s="16">
        <v>1.0</v>
      </c>
      <c r="T158" s="16"/>
      <c r="U158" s="16" t="s">
        <v>867</v>
      </c>
      <c r="V158" s="16" t="s">
        <v>868</v>
      </c>
      <c r="W158" s="16" t="s">
        <v>360</v>
      </c>
    </row>
    <row r="159">
      <c r="A159" s="16">
        <v>11583.0</v>
      </c>
      <c r="B159" s="16" t="s">
        <v>869</v>
      </c>
      <c r="C159" s="16">
        <v>0.82</v>
      </c>
      <c r="D159" s="174" t="s">
        <v>870</v>
      </c>
      <c r="E159" s="16"/>
      <c r="F159" s="16">
        <v>498.0</v>
      </c>
      <c r="G159" s="16" t="s">
        <v>176</v>
      </c>
      <c r="H159" s="16" t="s">
        <v>12</v>
      </c>
      <c r="I159" s="16"/>
      <c r="J159" s="16"/>
      <c r="K159" s="16"/>
      <c r="L159" s="16"/>
      <c r="M159" s="16"/>
      <c r="N159" s="16"/>
      <c r="O159" s="16"/>
      <c r="P159" s="16"/>
      <c r="Q159" s="16"/>
      <c r="R159" s="16"/>
      <c r="S159" s="16">
        <v>-2.0</v>
      </c>
      <c r="T159" s="16"/>
      <c r="U159" s="16" t="s">
        <v>871</v>
      </c>
      <c r="V159" s="16" t="s">
        <v>872</v>
      </c>
      <c r="W159" s="16" t="s">
        <v>399</v>
      </c>
    </row>
    <row r="160">
      <c r="A160" s="16">
        <v>11584.0</v>
      </c>
      <c r="B160" s="16" t="s">
        <v>873</v>
      </c>
      <c r="C160" s="16">
        <v>2.2</v>
      </c>
      <c r="D160" s="174" t="s">
        <v>874</v>
      </c>
      <c r="E160" s="16"/>
      <c r="F160" s="16">
        <v>508.0</v>
      </c>
      <c r="G160" s="16" t="s">
        <v>4754</v>
      </c>
      <c r="H160" s="16" t="s">
        <v>14</v>
      </c>
      <c r="I160" s="16"/>
      <c r="J160" s="16"/>
      <c r="K160" s="16"/>
      <c r="L160" s="16"/>
      <c r="M160" s="16"/>
      <c r="N160" s="16"/>
      <c r="O160" s="16"/>
      <c r="P160" s="16"/>
      <c r="Q160" s="16"/>
      <c r="R160" s="16"/>
      <c r="S160" s="16">
        <v>1.0</v>
      </c>
      <c r="T160" s="16"/>
      <c r="U160" s="16" t="s">
        <v>875</v>
      </c>
      <c r="V160" s="16" t="s">
        <v>876</v>
      </c>
      <c r="W160" s="16" t="s">
        <v>188</v>
      </c>
    </row>
    <row r="161">
      <c r="A161" s="16">
        <v>11585.0</v>
      </c>
      <c r="B161" s="16" t="s">
        <v>877</v>
      </c>
      <c r="C161" s="16">
        <v>0.0</v>
      </c>
      <c r="D161" s="174" t="s">
        <v>878</v>
      </c>
      <c r="E161" s="16"/>
      <c r="F161" s="16">
        <v>498.0</v>
      </c>
      <c r="G161" s="16" t="s">
        <v>176</v>
      </c>
      <c r="H161" s="16" t="s">
        <v>25</v>
      </c>
      <c r="I161" s="16"/>
      <c r="J161" s="16"/>
      <c r="K161" s="16"/>
      <c r="L161" s="16"/>
      <c r="M161" s="16"/>
      <c r="N161" s="16"/>
      <c r="O161" s="16"/>
      <c r="P161" s="16"/>
      <c r="Q161" s="16"/>
      <c r="R161" s="16"/>
      <c r="S161" s="16">
        <v>-2.0</v>
      </c>
      <c r="T161" s="16"/>
      <c r="U161" s="16" t="s">
        <v>879</v>
      </c>
      <c r="V161" s="16" t="s">
        <v>880</v>
      </c>
      <c r="W161" s="16" t="s">
        <v>422</v>
      </c>
    </row>
    <row r="162">
      <c r="A162" s="16">
        <v>11586.0</v>
      </c>
      <c r="B162" s="16" t="s">
        <v>881</v>
      </c>
      <c r="C162" s="16">
        <v>0.0</v>
      </c>
      <c r="D162" s="174" t="s">
        <v>882</v>
      </c>
      <c r="E162" s="16"/>
      <c r="F162" s="16">
        <v>498.0</v>
      </c>
      <c r="G162" s="16" t="s">
        <v>176</v>
      </c>
      <c r="H162" s="16" t="s">
        <v>14</v>
      </c>
      <c r="I162" s="16" t="s">
        <v>16</v>
      </c>
      <c r="J162" s="16"/>
      <c r="K162" s="16"/>
      <c r="L162" s="16"/>
      <c r="M162" s="16"/>
      <c r="N162" s="16"/>
      <c r="O162" s="16"/>
      <c r="P162" s="16"/>
      <c r="Q162" s="16"/>
      <c r="R162" s="16"/>
      <c r="S162" s="16">
        <v>-2.0</v>
      </c>
      <c r="T162" s="16"/>
      <c r="U162" s="16" t="s">
        <v>883</v>
      </c>
      <c r="V162" s="16" t="s">
        <v>884</v>
      </c>
      <c r="W162" s="16" t="s">
        <v>399</v>
      </c>
    </row>
    <row r="163">
      <c r="A163" s="16">
        <v>11587.0</v>
      </c>
      <c r="B163" s="16" t="s">
        <v>885</v>
      </c>
      <c r="C163" s="16">
        <v>0.0</v>
      </c>
      <c r="D163" s="174" t="s">
        <v>886</v>
      </c>
      <c r="E163" s="16"/>
      <c r="F163" s="16">
        <v>523.0</v>
      </c>
      <c r="G163" s="16" t="s">
        <v>306</v>
      </c>
      <c r="H163" s="16" t="s">
        <v>16</v>
      </c>
      <c r="I163" s="16" t="s">
        <v>15</v>
      </c>
      <c r="J163" s="16" t="s">
        <v>14</v>
      </c>
      <c r="K163" s="16"/>
      <c r="L163" s="16"/>
      <c r="M163" s="16"/>
      <c r="N163" s="16"/>
      <c r="O163" s="16"/>
      <c r="P163" s="16"/>
      <c r="Q163" s="16"/>
      <c r="R163" s="16"/>
      <c r="S163" s="16">
        <v>15.0</v>
      </c>
      <c r="T163" s="16"/>
      <c r="U163" s="16" t="s">
        <v>887</v>
      </c>
      <c r="V163" s="16" t="s">
        <v>888</v>
      </c>
      <c r="W163" s="16" t="s">
        <v>478</v>
      </c>
    </row>
    <row r="164">
      <c r="A164" s="16">
        <v>11588.0</v>
      </c>
      <c r="B164" s="16" t="s">
        <v>889</v>
      </c>
      <c r="C164" s="16">
        <v>1.04</v>
      </c>
      <c r="D164" s="174" t="s">
        <v>890</v>
      </c>
      <c r="E164" s="16"/>
      <c r="F164" s="16">
        <v>520.0</v>
      </c>
      <c r="G164" s="16" t="s">
        <v>292</v>
      </c>
      <c r="H164" s="16" t="s">
        <v>25</v>
      </c>
      <c r="I164" s="16" t="s">
        <v>26</v>
      </c>
      <c r="J164" s="16"/>
      <c r="K164" s="16"/>
      <c r="L164" s="16"/>
      <c r="M164" s="16"/>
      <c r="N164" s="16"/>
      <c r="O164" s="16"/>
      <c r="P164" s="16"/>
      <c r="Q164" s="16"/>
      <c r="R164" s="16"/>
      <c r="S164" s="16">
        <v>1.0</v>
      </c>
      <c r="T164" s="16"/>
      <c r="U164" s="16" t="s">
        <v>891</v>
      </c>
      <c r="V164" s="16" t="s">
        <v>892</v>
      </c>
      <c r="W164" s="16" t="s">
        <v>231</v>
      </c>
    </row>
    <row r="165">
      <c r="A165" s="16">
        <v>11589.0</v>
      </c>
      <c r="B165" s="16" t="s">
        <v>893</v>
      </c>
      <c r="C165" s="16">
        <v>0.0</v>
      </c>
      <c r="D165" s="174" t="s">
        <v>894</v>
      </c>
      <c r="E165" s="16"/>
      <c r="F165" s="16">
        <v>498.0</v>
      </c>
      <c r="G165" s="16" t="s">
        <v>176</v>
      </c>
      <c r="H165" s="16" t="s">
        <v>25</v>
      </c>
      <c r="I165" s="16"/>
      <c r="J165" s="16"/>
      <c r="K165" s="16"/>
      <c r="L165" s="16"/>
      <c r="M165" s="16"/>
      <c r="N165" s="16"/>
      <c r="O165" s="16"/>
      <c r="P165" s="16"/>
      <c r="Q165" s="16"/>
      <c r="R165" s="16"/>
      <c r="S165" s="16">
        <v>12.0</v>
      </c>
      <c r="T165" s="16"/>
      <c r="U165" s="16" t="s">
        <v>895</v>
      </c>
      <c r="V165" s="16" t="s">
        <v>896</v>
      </c>
      <c r="W165" s="16" t="s">
        <v>199</v>
      </c>
    </row>
    <row r="166">
      <c r="A166" s="16">
        <v>11590.0</v>
      </c>
      <c r="B166" s="16" t="s">
        <v>897</v>
      </c>
      <c r="C166" s="16">
        <v>0.0</v>
      </c>
      <c r="D166" s="174" t="s">
        <v>898</v>
      </c>
      <c r="E166" s="16"/>
      <c r="F166" s="16">
        <v>498.0</v>
      </c>
      <c r="G166" s="16" t="s">
        <v>176</v>
      </c>
      <c r="H166" s="16" t="s">
        <v>19</v>
      </c>
      <c r="I166" s="16" t="s">
        <v>17</v>
      </c>
      <c r="J166" s="16"/>
      <c r="K166" s="16"/>
      <c r="L166" s="16"/>
      <c r="M166" s="16"/>
      <c r="N166" s="16"/>
      <c r="O166" s="16"/>
      <c r="P166" s="16"/>
      <c r="Q166" s="16"/>
      <c r="R166" s="16"/>
      <c r="S166" s="16">
        <v>-2.0</v>
      </c>
      <c r="T166" s="16"/>
      <c r="U166" s="16" t="s">
        <v>899</v>
      </c>
      <c r="V166" s="16" t="s">
        <v>900</v>
      </c>
      <c r="W166" s="16" t="s">
        <v>188</v>
      </c>
    </row>
    <row r="167">
      <c r="A167" s="16">
        <v>11591.0</v>
      </c>
      <c r="B167" s="16" t="s">
        <v>901</v>
      </c>
      <c r="C167" s="16">
        <v>2.28</v>
      </c>
      <c r="D167" s="174" t="s">
        <v>902</v>
      </c>
      <c r="E167" s="16"/>
      <c r="F167" s="16">
        <v>536.0</v>
      </c>
      <c r="G167" s="16" t="s">
        <v>969</v>
      </c>
      <c r="H167" s="16" t="s">
        <v>24</v>
      </c>
      <c r="I167" s="16" t="s">
        <v>25</v>
      </c>
      <c r="J167" s="16"/>
      <c r="K167" s="16"/>
      <c r="L167" s="16"/>
      <c r="M167" s="16"/>
      <c r="N167" s="16"/>
      <c r="O167" s="16"/>
      <c r="P167" s="16"/>
      <c r="Q167" s="16"/>
      <c r="R167" s="16" t="s">
        <v>4764</v>
      </c>
      <c r="S167" s="16">
        <v>17.0</v>
      </c>
      <c r="T167" s="16"/>
      <c r="U167" s="16" t="s">
        <v>903</v>
      </c>
      <c r="V167" s="16" t="s">
        <v>904</v>
      </c>
      <c r="W167" s="16" t="s">
        <v>422</v>
      </c>
    </row>
    <row r="168">
      <c r="A168" s="16">
        <v>11592.0</v>
      </c>
      <c r="B168" s="16" t="s">
        <v>905</v>
      </c>
      <c r="C168" s="16">
        <v>2.89</v>
      </c>
      <c r="D168" s="174" t="s">
        <v>906</v>
      </c>
      <c r="E168" s="16"/>
      <c r="F168" s="16">
        <v>508.0</v>
      </c>
      <c r="G168" s="16" t="s">
        <v>4754</v>
      </c>
      <c r="H168" s="16" t="s">
        <v>25</v>
      </c>
      <c r="I168" s="16"/>
      <c r="J168" s="16"/>
      <c r="K168" s="16"/>
      <c r="L168" s="16"/>
      <c r="M168" s="16"/>
      <c r="N168" s="16"/>
      <c r="O168" s="16"/>
      <c r="P168" s="16"/>
      <c r="Q168" s="16"/>
      <c r="R168" s="16"/>
      <c r="S168" s="16">
        <v>9.0</v>
      </c>
      <c r="T168" s="16"/>
      <c r="U168" s="16" t="s">
        <v>907</v>
      </c>
      <c r="V168" s="16" t="s">
        <v>908</v>
      </c>
      <c r="W168" s="16" t="s">
        <v>600</v>
      </c>
    </row>
    <row r="169">
      <c r="A169" s="16">
        <v>11593.0</v>
      </c>
      <c r="B169" s="16" t="s">
        <v>909</v>
      </c>
      <c r="C169" s="16">
        <v>1.09</v>
      </c>
      <c r="D169" s="174" t="s">
        <v>910</v>
      </c>
      <c r="E169" s="16"/>
      <c r="F169" s="16">
        <v>505.0</v>
      </c>
      <c r="G169" s="16" t="s">
        <v>4656</v>
      </c>
      <c r="H169" s="16" t="s">
        <v>25</v>
      </c>
      <c r="I169" s="16"/>
      <c r="J169" s="16"/>
      <c r="K169" s="16"/>
      <c r="L169" s="16"/>
      <c r="M169" s="16"/>
      <c r="N169" s="16"/>
      <c r="O169" s="16"/>
      <c r="P169" s="16"/>
      <c r="Q169" s="16"/>
      <c r="R169" s="16"/>
      <c r="S169" s="16">
        <v>17.0</v>
      </c>
      <c r="T169" s="16"/>
      <c r="U169" s="16" t="s">
        <v>911</v>
      </c>
      <c r="V169" s="16" t="s">
        <v>912</v>
      </c>
      <c r="W169" s="16" t="s">
        <v>332</v>
      </c>
    </row>
    <row r="170">
      <c r="A170" s="16">
        <v>11594.0</v>
      </c>
      <c r="B170" s="16" t="s">
        <v>913</v>
      </c>
      <c r="C170" s="16">
        <v>0.0</v>
      </c>
      <c r="D170" s="174" t="s">
        <v>914</v>
      </c>
      <c r="E170" s="16"/>
      <c r="F170" s="16">
        <v>498.0</v>
      </c>
      <c r="G170" s="16" t="s">
        <v>176</v>
      </c>
      <c r="H170" s="16" t="s">
        <v>15</v>
      </c>
      <c r="I170" s="16"/>
      <c r="J170" s="16"/>
      <c r="K170" s="16"/>
      <c r="L170" s="16"/>
      <c r="M170" s="16"/>
      <c r="N170" s="16"/>
      <c r="O170" s="16"/>
      <c r="P170" s="16"/>
      <c r="Q170" s="16"/>
      <c r="R170" s="16"/>
      <c r="S170" s="16">
        <v>-2.0</v>
      </c>
      <c r="T170" s="16"/>
      <c r="U170" s="16" t="s">
        <v>915</v>
      </c>
      <c r="V170" s="16" t="s">
        <v>916</v>
      </c>
      <c r="W170" s="16" t="s">
        <v>199</v>
      </c>
    </row>
    <row r="171">
      <c r="A171" s="16">
        <v>11595.0</v>
      </c>
      <c r="B171" s="16" t="s">
        <v>917</v>
      </c>
      <c r="C171" s="16">
        <v>1.51</v>
      </c>
      <c r="D171" s="174" t="s">
        <v>918</v>
      </c>
      <c r="E171" s="16"/>
      <c r="F171" s="16">
        <v>530.0</v>
      </c>
      <c r="G171" s="16" t="s">
        <v>465</v>
      </c>
      <c r="H171" s="16" t="s">
        <v>17</v>
      </c>
      <c r="I171" s="16" t="s">
        <v>19</v>
      </c>
      <c r="J171" s="16"/>
      <c r="K171" s="16"/>
      <c r="L171" s="16"/>
      <c r="M171" s="16"/>
      <c r="N171" s="16"/>
      <c r="O171" s="16"/>
      <c r="P171" s="16"/>
      <c r="Q171" s="16"/>
      <c r="R171" s="16"/>
      <c r="S171" s="16">
        <v>14.0</v>
      </c>
      <c r="T171" s="174" t="s">
        <v>4765</v>
      </c>
      <c r="U171" s="16" t="s">
        <v>919</v>
      </c>
      <c r="V171" s="16" t="s">
        <v>920</v>
      </c>
      <c r="W171" s="16" t="s">
        <v>188</v>
      </c>
    </row>
    <row r="172">
      <c r="A172" s="16">
        <v>11596.0</v>
      </c>
      <c r="B172" s="16" t="s">
        <v>921</v>
      </c>
      <c r="C172" s="16">
        <v>1.32</v>
      </c>
      <c r="D172" s="174" t="s">
        <v>922</v>
      </c>
      <c r="E172" s="16"/>
      <c r="F172" s="16">
        <v>525.0</v>
      </c>
      <c r="G172" s="16" t="s">
        <v>672</v>
      </c>
      <c r="H172" s="16" t="s">
        <v>25</v>
      </c>
      <c r="I172" s="16"/>
      <c r="J172" s="16"/>
      <c r="K172" s="16"/>
      <c r="L172" s="16"/>
      <c r="M172" s="16"/>
      <c r="N172" s="16"/>
      <c r="O172" s="16"/>
      <c r="P172" s="16"/>
      <c r="Q172" s="16"/>
      <c r="R172" s="16"/>
      <c r="S172" s="16">
        <v>15.0</v>
      </c>
      <c r="T172" s="16"/>
      <c r="U172" s="16" t="s">
        <v>923</v>
      </c>
      <c r="V172" s="16" t="s">
        <v>924</v>
      </c>
      <c r="W172" s="16" t="s">
        <v>199</v>
      </c>
    </row>
    <row r="173">
      <c r="A173" s="16">
        <v>11597.0</v>
      </c>
      <c r="B173" s="16" t="s">
        <v>925</v>
      </c>
      <c r="C173" s="16">
        <v>1.78</v>
      </c>
      <c r="D173" s="174" t="s">
        <v>926</v>
      </c>
      <c r="E173" s="16"/>
      <c r="F173" s="16">
        <v>536.0</v>
      </c>
      <c r="G173" s="16" t="s">
        <v>969</v>
      </c>
      <c r="H173" s="16" t="s">
        <v>24</v>
      </c>
      <c r="I173" s="16"/>
      <c r="J173" s="16"/>
      <c r="K173" s="16"/>
      <c r="L173" s="16"/>
      <c r="M173" s="16"/>
      <c r="N173" s="16"/>
      <c r="O173" s="16"/>
      <c r="P173" s="16"/>
      <c r="Q173" s="16"/>
      <c r="R173" s="16" t="s">
        <v>4766</v>
      </c>
      <c r="S173" s="16">
        <v>16.0</v>
      </c>
      <c r="T173" s="16"/>
      <c r="U173" s="16" t="s">
        <v>928</v>
      </c>
      <c r="V173" s="16" t="s">
        <v>929</v>
      </c>
      <c r="W173" s="16" t="s">
        <v>661</v>
      </c>
    </row>
    <row r="174">
      <c r="A174" s="16">
        <v>11598.0</v>
      </c>
      <c r="B174" s="16" t="s">
        <v>930</v>
      </c>
      <c r="C174" s="16">
        <v>0.0</v>
      </c>
      <c r="D174" s="174" t="s">
        <v>931</v>
      </c>
      <c r="E174" s="16"/>
      <c r="F174" s="16">
        <v>498.0</v>
      </c>
      <c r="G174" s="16" t="s">
        <v>176</v>
      </c>
      <c r="H174" s="16" t="s">
        <v>24</v>
      </c>
      <c r="I174" s="16"/>
      <c r="J174" s="16"/>
      <c r="K174" s="16"/>
      <c r="L174" s="16"/>
      <c r="M174" s="16"/>
      <c r="N174" s="16"/>
      <c r="O174" s="16"/>
      <c r="P174" s="16"/>
      <c r="Q174" s="16"/>
      <c r="R174" s="16"/>
      <c r="S174" s="16">
        <v>-2.0</v>
      </c>
      <c r="T174" s="16"/>
      <c r="U174" s="16" t="s">
        <v>932</v>
      </c>
      <c r="V174" s="16" t="s">
        <v>933</v>
      </c>
      <c r="W174" s="16" t="s">
        <v>332</v>
      </c>
    </row>
    <row r="175">
      <c r="A175" s="16">
        <v>11599.0</v>
      </c>
      <c r="B175" s="16" t="s">
        <v>934</v>
      </c>
      <c r="C175" s="16">
        <v>2.21</v>
      </c>
      <c r="D175" s="174" t="s">
        <v>935</v>
      </c>
      <c r="E175" s="16"/>
      <c r="F175" s="16">
        <v>508.0</v>
      </c>
      <c r="G175" s="16" t="s">
        <v>4754</v>
      </c>
      <c r="H175" s="16" t="s">
        <v>13</v>
      </c>
      <c r="I175" s="16"/>
      <c r="J175" s="16"/>
      <c r="K175" s="16"/>
      <c r="L175" s="16"/>
      <c r="M175" s="16"/>
      <c r="N175" s="16"/>
      <c r="O175" s="16"/>
      <c r="P175" s="16"/>
      <c r="Q175" s="16"/>
      <c r="R175" s="16"/>
      <c r="S175" s="16">
        <v>14.0</v>
      </c>
      <c r="T175" s="16"/>
      <c r="U175" s="16" t="s">
        <v>936</v>
      </c>
      <c r="V175" s="16" t="s">
        <v>937</v>
      </c>
      <c r="W175" s="16" t="s">
        <v>443</v>
      </c>
    </row>
    <row r="176">
      <c r="A176" s="16">
        <v>11600.0</v>
      </c>
      <c r="B176" s="16" t="s">
        <v>938</v>
      </c>
      <c r="C176" s="16">
        <v>0.97</v>
      </c>
      <c r="D176" s="174" t="s">
        <v>939</v>
      </c>
      <c r="E176" s="16"/>
      <c r="F176" s="16">
        <v>546.0</v>
      </c>
      <c r="G176" s="16" t="s">
        <v>415</v>
      </c>
      <c r="H176" s="16" t="s">
        <v>25</v>
      </c>
      <c r="I176" s="16"/>
      <c r="J176" s="16"/>
      <c r="K176" s="16"/>
      <c r="L176" s="16"/>
      <c r="M176" s="16"/>
      <c r="N176" s="16"/>
      <c r="O176" s="16"/>
      <c r="P176" s="16"/>
      <c r="Q176" s="16"/>
      <c r="R176" s="16"/>
      <c r="S176" s="16">
        <v>15.0</v>
      </c>
      <c r="T176" s="16"/>
      <c r="U176" s="16" t="s">
        <v>940</v>
      </c>
      <c r="V176" s="16" t="s">
        <v>941</v>
      </c>
      <c r="W176" s="16" t="s">
        <v>942</v>
      </c>
    </row>
    <row r="177">
      <c r="A177" s="16">
        <v>11601.0</v>
      </c>
      <c r="B177" s="16" t="s">
        <v>943</v>
      </c>
      <c r="C177" s="16">
        <v>0.0</v>
      </c>
      <c r="D177" s="174" t="s">
        <v>944</v>
      </c>
      <c r="E177" s="16"/>
      <c r="F177" s="16">
        <v>505.0</v>
      </c>
      <c r="G177" s="16" t="s">
        <v>4656</v>
      </c>
      <c r="H177" s="16" t="s">
        <v>19</v>
      </c>
      <c r="I177" s="16" t="s">
        <v>17</v>
      </c>
      <c r="J177" s="16" t="s">
        <v>18</v>
      </c>
      <c r="K177" s="16"/>
      <c r="L177" s="16"/>
      <c r="M177" s="16"/>
      <c r="N177" s="16"/>
      <c r="O177" s="16"/>
      <c r="P177" s="16"/>
      <c r="Q177" s="16"/>
      <c r="R177" s="16"/>
      <c r="S177" s="16">
        <v>14.0</v>
      </c>
      <c r="T177" s="16"/>
      <c r="U177" s="16" t="s">
        <v>945</v>
      </c>
      <c r="V177" s="16" t="s">
        <v>946</v>
      </c>
      <c r="W177" s="16" t="s">
        <v>332</v>
      </c>
    </row>
    <row r="178">
      <c r="A178" s="16">
        <v>11602.0</v>
      </c>
      <c r="B178" s="16" t="s">
        <v>947</v>
      </c>
      <c r="C178" s="16">
        <v>1.7</v>
      </c>
      <c r="D178" s="174" t="s">
        <v>948</v>
      </c>
      <c r="E178" s="16"/>
      <c r="F178" s="16">
        <v>538.0</v>
      </c>
      <c r="G178" s="16" t="s">
        <v>289</v>
      </c>
      <c r="H178" s="16" t="s">
        <v>24</v>
      </c>
      <c r="I178" s="16"/>
      <c r="J178" s="16"/>
      <c r="K178" s="16"/>
      <c r="L178" s="16"/>
      <c r="M178" s="16"/>
      <c r="N178" s="16"/>
      <c r="O178" s="16"/>
      <c r="P178" s="16"/>
      <c r="Q178" s="16"/>
      <c r="R178" s="16"/>
      <c r="S178" s="16">
        <v>14.0</v>
      </c>
      <c r="T178" s="16"/>
      <c r="U178" s="16" t="s">
        <v>949</v>
      </c>
      <c r="V178" s="16" t="s">
        <v>950</v>
      </c>
      <c r="W178" s="16" t="s">
        <v>188</v>
      </c>
    </row>
    <row r="179">
      <c r="A179" s="16">
        <v>11603.0</v>
      </c>
      <c r="B179" s="16" t="s">
        <v>951</v>
      </c>
      <c r="C179" s="16">
        <v>0.62</v>
      </c>
      <c r="D179" s="174" t="s">
        <v>952</v>
      </c>
      <c r="E179" s="16"/>
      <c r="F179" s="16">
        <v>498.0</v>
      </c>
      <c r="G179" s="16" t="s">
        <v>176</v>
      </c>
      <c r="H179" s="16" t="s">
        <v>24</v>
      </c>
      <c r="I179" s="16" t="s">
        <v>25</v>
      </c>
      <c r="J179" s="16"/>
      <c r="K179" s="16"/>
      <c r="L179" s="16"/>
      <c r="M179" s="16"/>
      <c r="N179" s="16"/>
      <c r="O179" s="16"/>
      <c r="P179" s="16"/>
      <c r="Q179" s="16"/>
      <c r="R179" s="16"/>
      <c r="S179" s="16">
        <v>-2.0</v>
      </c>
      <c r="T179" s="16"/>
      <c r="U179" s="16" t="s">
        <v>953</v>
      </c>
      <c r="V179" s="16" t="s">
        <v>954</v>
      </c>
      <c r="W179" s="16" t="s">
        <v>675</v>
      </c>
    </row>
    <row r="180">
      <c r="A180" s="16">
        <v>11604.0</v>
      </c>
      <c r="B180" s="16" t="s">
        <v>955</v>
      </c>
      <c r="C180" s="16">
        <v>1.27</v>
      </c>
      <c r="D180" s="174" t="s">
        <v>956</v>
      </c>
      <c r="E180" s="16"/>
      <c r="F180" s="16">
        <v>544.0</v>
      </c>
      <c r="G180" s="16" t="s">
        <v>272</v>
      </c>
      <c r="H180" s="16" t="s">
        <v>14</v>
      </c>
      <c r="I180" s="16" t="s">
        <v>16</v>
      </c>
      <c r="J180" s="16"/>
      <c r="K180" s="16"/>
      <c r="L180" s="16"/>
      <c r="M180" s="16"/>
      <c r="N180" s="16"/>
      <c r="O180" s="16"/>
      <c r="P180" s="16"/>
      <c r="Q180" s="16"/>
      <c r="R180" s="16"/>
      <c r="S180" s="16">
        <v>11.0</v>
      </c>
      <c r="T180" s="16"/>
      <c r="U180" s="16" t="s">
        <v>957</v>
      </c>
      <c r="V180" s="16" t="s">
        <v>958</v>
      </c>
      <c r="W180" s="16" t="s">
        <v>188</v>
      </c>
    </row>
    <row r="181">
      <c r="A181" s="16">
        <v>11605.0</v>
      </c>
      <c r="B181" s="16" t="s">
        <v>959</v>
      </c>
      <c r="C181" s="16">
        <v>1.72</v>
      </c>
      <c r="D181" s="174" t="s">
        <v>960</v>
      </c>
      <c r="E181" s="16"/>
      <c r="F181" s="16">
        <v>499.0</v>
      </c>
      <c r="G181" s="16" t="s">
        <v>126</v>
      </c>
      <c r="H181" s="16" t="s">
        <v>25</v>
      </c>
      <c r="I181" s="16" t="s">
        <v>26</v>
      </c>
      <c r="J181" s="16"/>
      <c r="K181" s="16"/>
      <c r="L181" s="16"/>
      <c r="M181" s="16"/>
      <c r="N181" s="16"/>
      <c r="O181" s="16"/>
      <c r="P181" s="16"/>
      <c r="Q181" s="16"/>
      <c r="R181" s="16"/>
      <c r="S181" s="16">
        <v>15.0</v>
      </c>
      <c r="T181" s="16"/>
      <c r="U181" s="16" t="s">
        <v>961</v>
      </c>
      <c r="V181" s="16" t="s">
        <v>962</v>
      </c>
      <c r="W181" s="16" t="s">
        <v>360</v>
      </c>
    </row>
    <row r="182">
      <c r="A182" s="16">
        <v>11606.0</v>
      </c>
      <c r="B182" s="16" t="s">
        <v>963</v>
      </c>
      <c r="C182" s="16">
        <v>0.0</v>
      </c>
      <c r="D182" s="174" t="s">
        <v>964</v>
      </c>
      <c r="E182" s="16"/>
      <c r="F182" s="16">
        <v>498.0</v>
      </c>
      <c r="G182" s="16" t="s">
        <v>176</v>
      </c>
      <c r="H182" s="16" t="s">
        <v>25</v>
      </c>
      <c r="I182" s="16"/>
      <c r="J182" s="16"/>
      <c r="K182" s="16"/>
      <c r="L182" s="16"/>
      <c r="M182" s="16"/>
      <c r="N182" s="16"/>
      <c r="O182" s="16"/>
      <c r="P182" s="16"/>
      <c r="Q182" s="16"/>
      <c r="R182" s="16"/>
      <c r="S182" s="16">
        <v>-2.0</v>
      </c>
      <c r="T182" s="16"/>
      <c r="U182" s="16" t="s">
        <v>965</v>
      </c>
      <c r="V182" s="16" t="s">
        <v>966</v>
      </c>
      <c r="W182" s="16" t="s">
        <v>179</v>
      </c>
    </row>
    <row r="183">
      <c r="A183" s="16">
        <v>11607.0</v>
      </c>
      <c r="B183" s="16" t="s">
        <v>967</v>
      </c>
      <c r="C183" s="16">
        <v>2.69</v>
      </c>
      <c r="D183" s="174" t="s">
        <v>968</v>
      </c>
      <c r="E183" s="16"/>
      <c r="F183" s="16">
        <v>535.0</v>
      </c>
      <c r="G183" s="16" t="s">
        <v>361</v>
      </c>
      <c r="H183" s="16" t="s">
        <v>18</v>
      </c>
      <c r="I183" s="16"/>
      <c r="J183" s="16"/>
      <c r="K183" s="16"/>
      <c r="L183" s="16"/>
      <c r="M183" s="16"/>
      <c r="N183" s="16"/>
      <c r="O183" s="16"/>
      <c r="P183" s="16"/>
      <c r="Q183" s="16"/>
      <c r="R183" s="16"/>
      <c r="S183" s="16">
        <v>17.0</v>
      </c>
      <c r="T183" s="16"/>
      <c r="U183" s="16" t="s">
        <v>972</v>
      </c>
      <c r="V183" s="16" t="s">
        <v>973</v>
      </c>
      <c r="W183" s="16" t="s">
        <v>661</v>
      </c>
    </row>
    <row r="184">
      <c r="A184" s="16">
        <v>11608.0</v>
      </c>
      <c r="B184" s="16" t="s">
        <v>974</v>
      </c>
      <c r="C184" s="16">
        <v>0.0</v>
      </c>
      <c r="D184" s="174" t="s">
        <v>975</v>
      </c>
      <c r="E184" s="16"/>
      <c r="F184" s="16">
        <v>498.0</v>
      </c>
      <c r="G184" s="16" t="s">
        <v>176</v>
      </c>
      <c r="H184" s="16" t="s">
        <v>24</v>
      </c>
      <c r="I184" s="16"/>
      <c r="J184" s="16"/>
      <c r="K184" s="16"/>
      <c r="L184" s="16"/>
      <c r="M184" s="16"/>
      <c r="N184" s="16"/>
      <c r="O184" s="16"/>
      <c r="P184" s="16"/>
      <c r="Q184" s="16"/>
      <c r="R184" s="16"/>
      <c r="S184" s="16">
        <v>-2.0</v>
      </c>
      <c r="T184" s="16"/>
      <c r="U184" s="16" t="s">
        <v>976</v>
      </c>
      <c r="V184" s="16" t="s">
        <v>977</v>
      </c>
      <c r="W184" s="16" t="s">
        <v>360</v>
      </c>
    </row>
    <row r="185">
      <c r="A185" s="16">
        <v>11609.0</v>
      </c>
      <c r="B185" s="16" t="s">
        <v>978</v>
      </c>
      <c r="C185" s="16">
        <v>1.53</v>
      </c>
      <c r="D185" s="174" t="s">
        <v>979</v>
      </c>
      <c r="E185" s="16"/>
      <c r="F185" s="16">
        <v>526.0</v>
      </c>
      <c r="G185" s="16" t="s">
        <v>212</v>
      </c>
      <c r="H185" s="16" t="s">
        <v>25</v>
      </c>
      <c r="I185" s="16" t="s">
        <v>26</v>
      </c>
      <c r="J185" s="16"/>
      <c r="K185" s="16"/>
      <c r="L185" s="16"/>
      <c r="M185" s="16"/>
      <c r="N185" s="16"/>
      <c r="O185" s="16"/>
      <c r="P185" s="16"/>
      <c r="Q185" s="16"/>
      <c r="R185" s="16"/>
      <c r="S185" s="16">
        <v>1.0</v>
      </c>
      <c r="T185" s="174" t="s">
        <v>4747</v>
      </c>
      <c r="U185" s="16" t="s">
        <v>980</v>
      </c>
      <c r="V185" s="16" t="s">
        <v>981</v>
      </c>
      <c r="W185" s="16" t="s">
        <v>231</v>
      </c>
    </row>
    <row r="186">
      <c r="A186" s="16">
        <v>11610.0</v>
      </c>
      <c r="B186" s="16" t="s">
        <v>982</v>
      </c>
      <c r="C186" s="16">
        <v>0.81</v>
      </c>
      <c r="D186" s="174" t="s">
        <v>983</v>
      </c>
      <c r="E186" s="16"/>
      <c r="F186" s="16">
        <v>498.0</v>
      </c>
      <c r="G186" s="16" t="s">
        <v>176</v>
      </c>
      <c r="H186" s="16" t="s">
        <v>24</v>
      </c>
      <c r="I186" s="16"/>
      <c r="J186" s="16"/>
      <c r="K186" s="16"/>
      <c r="L186" s="16"/>
      <c r="M186" s="16"/>
      <c r="N186" s="16"/>
      <c r="O186" s="16"/>
      <c r="P186" s="16"/>
      <c r="Q186" s="16"/>
      <c r="R186" s="16"/>
      <c r="S186" s="16">
        <v>-2.0</v>
      </c>
      <c r="T186" s="16"/>
      <c r="U186" s="16" t="s">
        <v>984</v>
      </c>
      <c r="V186" s="16" t="s">
        <v>985</v>
      </c>
      <c r="W186" s="16" t="s">
        <v>188</v>
      </c>
    </row>
    <row r="187">
      <c r="A187" s="16">
        <v>11611.0</v>
      </c>
      <c r="B187" s="16" t="s">
        <v>986</v>
      </c>
      <c r="C187" s="16">
        <v>2.17</v>
      </c>
      <c r="D187" s="174" t="s">
        <v>987</v>
      </c>
      <c r="E187" s="16"/>
      <c r="F187" s="16">
        <v>544.0</v>
      </c>
      <c r="G187" s="16" t="s">
        <v>272</v>
      </c>
      <c r="H187" s="16" t="s">
        <v>12</v>
      </c>
      <c r="I187" s="16"/>
      <c r="J187" s="16"/>
      <c r="K187" s="16"/>
      <c r="L187" s="16"/>
      <c r="M187" s="16"/>
      <c r="N187" s="16"/>
      <c r="O187" s="16"/>
      <c r="P187" s="16"/>
      <c r="Q187" s="16"/>
      <c r="R187" s="16"/>
      <c r="S187" s="16">
        <v>1.0</v>
      </c>
      <c r="T187" s="174" t="s">
        <v>4767</v>
      </c>
      <c r="U187" s="16" t="s">
        <v>989</v>
      </c>
      <c r="V187" s="16" t="s">
        <v>990</v>
      </c>
      <c r="W187" s="16" t="s">
        <v>188</v>
      </c>
    </row>
    <row r="188">
      <c r="A188" s="16">
        <v>11612.0</v>
      </c>
      <c r="B188" s="16" t="s">
        <v>991</v>
      </c>
      <c r="C188" s="16">
        <v>0.0</v>
      </c>
      <c r="D188" s="174" t="s">
        <v>992</v>
      </c>
      <c r="E188" s="16"/>
      <c r="F188" s="16">
        <v>498.0</v>
      </c>
      <c r="G188" s="16" t="s">
        <v>176</v>
      </c>
      <c r="H188" s="16" t="s">
        <v>25</v>
      </c>
      <c r="I188" s="16" t="s">
        <v>26</v>
      </c>
      <c r="J188" s="16"/>
      <c r="K188" s="16"/>
      <c r="L188" s="16"/>
      <c r="M188" s="16"/>
      <c r="N188" s="16"/>
      <c r="O188" s="16"/>
      <c r="P188" s="16"/>
      <c r="Q188" s="16"/>
      <c r="R188" s="16"/>
      <c r="S188" s="16">
        <v>-2.0</v>
      </c>
      <c r="T188" s="16"/>
      <c r="U188" s="16" t="s">
        <v>993</v>
      </c>
      <c r="V188" s="16" t="s">
        <v>994</v>
      </c>
      <c r="W188" s="16" t="s">
        <v>179</v>
      </c>
    </row>
    <row r="189">
      <c r="A189" s="16">
        <v>11613.0</v>
      </c>
      <c r="B189" s="16" t="s">
        <v>995</v>
      </c>
      <c r="C189" s="16">
        <v>0.0</v>
      </c>
      <c r="D189" s="174" t="s">
        <v>996</v>
      </c>
      <c r="E189" s="16"/>
      <c r="F189" s="16">
        <v>516.0</v>
      </c>
      <c r="G189" s="16" t="s">
        <v>228</v>
      </c>
      <c r="H189" s="16" t="s">
        <v>25</v>
      </c>
      <c r="I189" s="16" t="s">
        <v>26</v>
      </c>
      <c r="J189" s="16"/>
      <c r="K189" s="16"/>
      <c r="L189" s="16"/>
      <c r="M189" s="16"/>
      <c r="N189" s="16"/>
      <c r="O189" s="16"/>
      <c r="P189" s="16"/>
      <c r="Q189" s="16"/>
      <c r="R189" s="16"/>
      <c r="S189" s="16">
        <v>15.0</v>
      </c>
      <c r="T189" s="16"/>
      <c r="U189" s="16" t="s">
        <v>997</v>
      </c>
      <c r="V189" s="16" t="s">
        <v>998</v>
      </c>
      <c r="W189" s="16" t="s">
        <v>600</v>
      </c>
    </row>
    <row r="190">
      <c r="A190" s="16">
        <v>11614.0</v>
      </c>
      <c r="B190" s="16" t="s">
        <v>999</v>
      </c>
      <c r="C190" s="16">
        <v>1.07</v>
      </c>
      <c r="D190" s="174" t="s">
        <v>1000</v>
      </c>
      <c r="E190" s="16"/>
      <c r="F190" s="16">
        <v>498.0</v>
      </c>
      <c r="G190" s="16" t="s">
        <v>176</v>
      </c>
      <c r="H190" s="16" t="s">
        <v>25</v>
      </c>
      <c r="I190" s="16" t="s">
        <v>26</v>
      </c>
      <c r="J190" s="16"/>
      <c r="K190" s="16"/>
      <c r="L190" s="16"/>
      <c r="M190" s="16"/>
      <c r="N190" s="16"/>
      <c r="O190" s="16"/>
      <c r="P190" s="16"/>
      <c r="Q190" s="16"/>
      <c r="R190" s="16"/>
      <c r="S190" s="16">
        <v>-2.0</v>
      </c>
      <c r="T190" s="16"/>
      <c r="U190" s="16" t="s">
        <v>1001</v>
      </c>
      <c r="V190" s="16" t="s">
        <v>1002</v>
      </c>
      <c r="W190" s="16" t="s">
        <v>259</v>
      </c>
    </row>
    <row r="191">
      <c r="A191" s="16">
        <v>11615.0</v>
      </c>
      <c r="B191" s="16" t="s">
        <v>1003</v>
      </c>
      <c r="C191" s="16">
        <v>0.9</v>
      </c>
      <c r="D191" s="174" t="s">
        <v>1004</v>
      </c>
      <c r="E191" s="16"/>
      <c r="F191" s="16">
        <v>498.0</v>
      </c>
      <c r="G191" s="16" t="s">
        <v>176</v>
      </c>
      <c r="H191" s="16" t="s">
        <v>25</v>
      </c>
      <c r="I191" s="16" t="s">
        <v>26</v>
      </c>
      <c r="J191" s="16"/>
      <c r="K191" s="16"/>
      <c r="L191" s="16"/>
      <c r="M191" s="16"/>
      <c r="N191" s="16"/>
      <c r="O191" s="16"/>
      <c r="P191" s="16"/>
      <c r="Q191" s="16"/>
      <c r="R191" s="16"/>
      <c r="S191" s="16">
        <v>-2.0</v>
      </c>
      <c r="T191" s="16"/>
      <c r="U191" s="16" t="s">
        <v>1005</v>
      </c>
      <c r="V191" s="16" t="s">
        <v>1006</v>
      </c>
      <c r="W191" s="16" t="s">
        <v>600</v>
      </c>
    </row>
    <row r="192">
      <c r="A192" s="16">
        <v>11616.0</v>
      </c>
      <c r="B192" s="16" t="s">
        <v>1007</v>
      </c>
      <c r="C192" s="16">
        <v>0.0</v>
      </c>
      <c r="D192" s="174" t="s">
        <v>1008</v>
      </c>
      <c r="E192" s="16"/>
      <c r="F192" s="16">
        <v>498.0</v>
      </c>
      <c r="G192" s="16" t="s">
        <v>176</v>
      </c>
      <c r="H192" s="16" t="s">
        <v>25</v>
      </c>
      <c r="I192" s="16" t="s">
        <v>26</v>
      </c>
      <c r="J192" s="16"/>
      <c r="K192" s="16"/>
      <c r="L192" s="16"/>
      <c r="M192" s="16"/>
      <c r="N192" s="16"/>
      <c r="O192" s="16"/>
      <c r="P192" s="16"/>
      <c r="Q192" s="16"/>
      <c r="R192" s="16"/>
      <c r="S192" s="16">
        <v>-2.0</v>
      </c>
      <c r="T192" s="16"/>
      <c r="U192" s="16" t="s">
        <v>1009</v>
      </c>
      <c r="V192" s="16" t="s">
        <v>1010</v>
      </c>
      <c r="W192" s="16" t="s">
        <v>179</v>
      </c>
    </row>
    <row r="193">
      <c r="A193" s="16">
        <v>11617.0</v>
      </c>
      <c r="B193" s="16" t="s">
        <v>1011</v>
      </c>
      <c r="C193" s="16">
        <v>0.0</v>
      </c>
      <c r="D193" s="174" t="s">
        <v>1012</v>
      </c>
      <c r="E193" s="16"/>
      <c r="F193" s="16">
        <v>498.0</v>
      </c>
      <c r="G193" s="16" t="s">
        <v>176</v>
      </c>
      <c r="H193" s="16" t="s">
        <v>24</v>
      </c>
      <c r="I193" s="16"/>
      <c r="J193" s="16"/>
      <c r="K193" s="16"/>
      <c r="L193" s="16"/>
      <c r="M193" s="16"/>
      <c r="N193" s="16"/>
      <c r="O193" s="16"/>
      <c r="P193" s="16"/>
      <c r="Q193" s="16"/>
      <c r="R193" s="16"/>
      <c r="S193" s="16">
        <v>-2.0</v>
      </c>
      <c r="T193" s="16"/>
      <c r="U193" s="16" t="s">
        <v>1013</v>
      </c>
      <c r="V193" s="16" t="s">
        <v>1014</v>
      </c>
      <c r="W193" s="16" t="s">
        <v>675</v>
      </c>
    </row>
    <row r="194">
      <c r="A194" s="16">
        <v>11618.0</v>
      </c>
      <c r="B194" s="16" t="s">
        <v>1015</v>
      </c>
      <c r="C194" s="16">
        <v>2.92</v>
      </c>
      <c r="D194" s="174" t="s">
        <v>1016</v>
      </c>
      <c r="E194" s="16"/>
      <c r="F194" s="16">
        <v>529.0</v>
      </c>
      <c r="G194" s="16" t="s">
        <v>333</v>
      </c>
      <c r="H194" s="16" t="s">
        <v>16</v>
      </c>
      <c r="I194" s="16"/>
      <c r="J194" s="16"/>
      <c r="K194" s="16"/>
      <c r="L194" s="16"/>
      <c r="M194" s="16"/>
      <c r="N194" s="16"/>
      <c r="O194" s="16"/>
      <c r="P194" s="16"/>
      <c r="Q194" s="16"/>
      <c r="R194" s="16"/>
      <c r="S194" s="16">
        <v>17.0</v>
      </c>
      <c r="T194" s="16"/>
      <c r="U194" s="16" t="s">
        <v>1017</v>
      </c>
      <c r="V194" s="16" t="s">
        <v>1018</v>
      </c>
      <c r="W194" s="16" t="s">
        <v>634</v>
      </c>
    </row>
    <row r="195">
      <c r="A195" s="16">
        <v>11619.0</v>
      </c>
      <c r="B195" s="16" t="s">
        <v>1019</v>
      </c>
      <c r="C195" s="16">
        <v>1.83</v>
      </c>
      <c r="D195" s="174" t="s">
        <v>1020</v>
      </c>
      <c r="E195" s="16"/>
      <c r="F195" s="16">
        <v>529.0</v>
      </c>
      <c r="G195" s="16" t="s">
        <v>333</v>
      </c>
      <c r="H195" s="16" t="s">
        <v>25</v>
      </c>
      <c r="I195" s="16" t="s">
        <v>26</v>
      </c>
      <c r="J195" s="16"/>
      <c r="K195" s="16"/>
      <c r="L195" s="16"/>
      <c r="M195" s="16"/>
      <c r="N195" s="16"/>
      <c r="O195" s="16"/>
      <c r="P195" s="16"/>
      <c r="Q195" s="16"/>
      <c r="R195" s="16"/>
      <c r="S195" s="16">
        <v>13.0</v>
      </c>
      <c r="T195" s="16"/>
      <c r="U195" s="16" t="s">
        <v>1021</v>
      </c>
      <c r="V195" s="16" t="s">
        <v>1022</v>
      </c>
      <c r="W195" s="16" t="s">
        <v>179</v>
      </c>
    </row>
    <row r="196">
      <c r="A196" s="16">
        <v>11620.0</v>
      </c>
      <c r="B196" s="16" t="s">
        <v>1023</v>
      </c>
      <c r="C196" s="16">
        <v>0.48</v>
      </c>
      <c r="D196" s="174" t="s">
        <v>1024</v>
      </c>
      <c r="E196" s="16"/>
      <c r="F196" s="16">
        <v>519.0</v>
      </c>
      <c r="G196" s="16" t="s">
        <v>1452</v>
      </c>
      <c r="H196" s="16" t="s">
        <v>25</v>
      </c>
      <c r="I196" s="16"/>
      <c r="J196" s="16"/>
      <c r="K196" s="16"/>
      <c r="L196" s="16"/>
      <c r="M196" s="16"/>
      <c r="N196" s="16"/>
      <c r="O196" s="16"/>
      <c r="P196" s="16"/>
      <c r="Q196" s="16"/>
      <c r="R196" s="16"/>
      <c r="S196" s="16">
        <v>16.0</v>
      </c>
      <c r="T196" s="16"/>
      <c r="U196" s="16" t="s">
        <v>1025</v>
      </c>
      <c r="V196" s="16" t="s">
        <v>1026</v>
      </c>
      <c r="W196" s="16" t="s">
        <v>591</v>
      </c>
    </row>
    <row r="197">
      <c r="A197" s="16">
        <v>11621.0</v>
      </c>
      <c r="B197" s="16" t="s">
        <v>1027</v>
      </c>
      <c r="C197" s="16">
        <v>0.98</v>
      </c>
      <c r="D197" s="174" t="s">
        <v>1028</v>
      </c>
      <c r="E197" s="16"/>
      <c r="F197" s="16">
        <v>505.0</v>
      </c>
      <c r="G197" s="16" t="s">
        <v>4656</v>
      </c>
      <c r="H197" s="16" t="s">
        <v>24</v>
      </c>
      <c r="I197" s="16"/>
      <c r="J197" s="16"/>
      <c r="K197" s="16"/>
      <c r="L197" s="16"/>
      <c r="M197" s="16"/>
      <c r="N197" s="16"/>
      <c r="O197" s="16"/>
      <c r="P197" s="16"/>
      <c r="Q197" s="16"/>
      <c r="R197" s="16"/>
      <c r="S197" s="16">
        <v>1.0</v>
      </c>
      <c r="T197" s="16"/>
      <c r="U197" s="16" t="s">
        <v>1029</v>
      </c>
      <c r="V197" s="16" t="s">
        <v>1030</v>
      </c>
      <c r="W197" s="16" t="s">
        <v>231</v>
      </c>
    </row>
    <row r="198">
      <c r="A198" s="16">
        <v>11622.0</v>
      </c>
      <c r="B198" s="16" t="s">
        <v>1031</v>
      </c>
      <c r="C198" s="16">
        <v>1.22</v>
      </c>
      <c r="D198" s="174" t="s">
        <v>1032</v>
      </c>
      <c r="E198" s="16"/>
      <c r="F198" s="16">
        <v>505.0</v>
      </c>
      <c r="G198" s="16" t="s">
        <v>4656</v>
      </c>
      <c r="H198" s="16" t="s">
        <v>13</v>
      </c>
      <c r="I198" s="16"/>
      <c r="J198" s="16"/>
      <c r="K198" s="16"/>
      <c r="L198" s="16"/>
      <c r="M198" s="16"/>
      <c r="N198" s="16"/>
      <c r="O198" s="16"/>
      <c r="P198" s="16"/>
      <c r="Q198" s="16"/>
      <c r="R198" s="16"/>
      <c r="S198" s="16">
        <v>13.0</v>
      </c>
      <c r="T198" s="16"/>
      <c r="U198" s="16" t="s">
        <v>1033</v>
      </c>
      <c r="V198" s="16" t="s">
        <v>1034</v>
      </c>
      <c r="W198" s="16" t="s">
        <v>188</v>
      </c>
    </row>
    <row r="199">
      <c r="A199" s="16">
        <v>11623.0</v>
      </c>
      <c r="B199" s="16" t="s">
        <v>1035</v>
      </c>
      <c r="C199" s="16">
        <v>0.76</v>
      </c>
      <c r="D199" s="174" t="s">
        <v>1036</v>
      </c>
      <c r="E199" s="16"/>
      <c r="F199" s="16">
        <v>502.0</v>
      </c>
      <c r="G199" s="16" t="s">
        <v>200</v>
      </c>
      <c r="H199" s="16" t="s">
        <v>24</v>
      </c>
      <c r="I199" s="16" t="s">
        <v>25</v>
      </c>
      <c r="J199" s="16"/>
      <c r="K199" s="16"/>
      <c r="L199" s="16"/>
      <c r="M199" s="16"/>
      <c r="N199" s="16"/>
      <c r="O199" s="16"/>
      <c r="P199" s="16"/>
      <c r="Q199" s="16"/>
      <c r="R199" s="16"/>
      <c r="S199" s="16">
        <v>9.0</v>
      </c>
      <c r="T199" s="174" t="s">
        <v>4768</v>
      </c>
      <c r="U199" s="16" t="s">
        <v>1037</v>
      </c>
      <c r="V199" s="16" t="s">
        <v>1038</v>
      </c>
      <c r="W199" s="16" t="s">
        <v>634</v>
      </c>
    </row>
    <row r="200">
      <c r="A200" s="16">
        <v>11624.0</v>
      </c>
      <c r="B200" s="16" t="s">
        <v>1039</v>
      </c>
      <c r="C200" s="16">
        <v>0.69</v>
      </c>
      <c r="D200" s="174" t="s">
        <v>1040</v>
      </c>
      <c r="E200" s="16"/>
      <c r="F200" s="16">
        <v>498.0</v>
      </c>
      <c r="G200" s="16" t="s">
        <v>176</v>
      </c>
      <c r="H200" s="16" t="s">
        <v>24</v>
      </c>
      <c r="I200" s="16" t="s">
        <v>25</v>
      </c>
      <c r="J200" s="16"/>
      <c r="K200" s="16"/>
      <c r="L200" s="16"/>
      <c r="M200" s="16"/>
      <c r="N200" s="16"/>
      <c r="O200" s="16"/>
      <c r="P200" s="16"/>
      <c r="Q200" s="16"/>
      <c r="R200" s="16"/>
      <c r="S200" s="16">
        <v>-2.0</v>
      </c>
      <c r="T200" s="16"/>
      <c r="U200" s="16" t="s">
        <v>1041</v>
      </c>
      <c r="V200" s="16" t="s">
        <v>1042</v>
      </c>
      <c r="W200" s="16" t="s">
        <v>661</v>
      </c>
    </row>
    <row r="201">
      <c r="A201" s="16">
        <v>11625.0</v>
      </c>
      <c r="B201" s="16" t="s">
        <v>1043</v>
      </c>
      <c r="C201" s="16">
        <v>0.46</v>
      </c>
      <c r="D201" s="174" t="s">
        <v>1044</v>
      </c>
      <c r="E201" s="16"/>
      <c r="F201" s="16">
        <v>523.0</v>
      </c>
      <c r="G201" s="16" t="s">
        <v>306</v>
      </c>
      <c r="H201" s="16" t="s">
        <v>12</v>
      </c>
      <c r="I201" s="16"/>
      <c r="J201" s="16"/>
      <c r="K201" s="16"/>
      <c r="L201" s="16"/>
      <c r="M201" s="16"/>
      <c r="N201" s="16"/>
      <c r="O201" s="16"/>
      <c r="P201" s="16"/>
      <c r="Q201" s="16"/>
      <c r="R201" s="16"/>
      <c r="S201" s="16">
        <v>1.0</v>
      </c>
      <c r="T201" s="16"/>
      <c r="U201" s="16" t="s">
        <v>1046</v>
      </c>
      <c r="V201" s="16" t="s">
        <v>1047</v>
      </c>
      <c r="W201" s="16" t="s">
        <v>600</v>
      </c>
    </row>
    <row r="202">
      <c r="A202" s="16">
        <v>11626.0</v>
      </c>
      <c r="B202" s="16" t="s">
        <v>1048</v>
      </c>
      <c r="C202" s="16">
        <v>0.0</v>
      </c>
      <c r="D202" s="174" t="s">
        <v>1049</v>
      </c>
      <c r="E202" s="16"/>
      <c r="F202" s="16">
        <v>498.0</v>
      </c>
      <c r="G202" s="16" t="s">
        <v>176</v>
      </c>
      <c r="H202" s="16" t="s">
        <v>24</v>
      </c>
      <c r="I202" s="16" t="s">
        <v>25</v>
      </c>
      <c r="J202" s="16"/>
      <c r="K202" s="16"/>
      <c r="L202" s="16"/>
      <c r="M202" s="16"/>
      <c r="N202" s="16"/>
      <c r="O202" s="16"/>
      <c r="P202" s="16"/>
      <c r="Q202" s="16"/>
      <c r="R202" s="16"/>
      <c r="S202" s="16">
        <v>-2.0</v>
      </c>
      <c r="T202" s="16"/>
      <c r="U202" s="16" t="s">
        <v>1050</v>
      </c>
      <c r="V202" s="16" t="s">
        <v>1051</v>
      </c>
      <c r="W202" s="16" t="s">
        <v>259</v>
      </c>
    </row>
    <row r="203">
      <c r="A203" s="16">
        <v>11627.0</v>
      </c>
      <c r="B203" s="16" t="s">
        <v>1052</v>
      </c>
      <c r="C203" s="16">
        <v>0.07</v>
      </c>
      <c r="D203" s="174" t="s">
        <v>1053</v>
      </c>
      <c r="E203" s="16"/>
      <c r="F203" s="16">
        <v>498.0</v>
      </c>
      <c r="G203" s="16" t="s">
        <v>176</v>
      </c>
      <c r="H203" s="16" t="s">
        <v>24</v>
      </c>
      <c r="I203" s="16" t="s">
        <v>25</v>
      </c>
      <c r="J203" s="16"/>
      <c r="K203" s="16"/>
      <c r="L203" s="16"/>
      <c r="M203" s="16"/>
      <c r="N203" s="16"/>
      <c r="O203" s="16"/>
      <c r="P203" s="16"/>
      <c r="Q203" s="16"/>
      <c r="R203" s="16"/>
      <c r="S203" s="16">
        <v>-2.0</v>
      </c>
      <c r="T203" s="16"/>
      <c r="U203" s="16" t="s">
        <v>1054</v>
      </c>
      <c r="V203" s="16" t="s">
        <v>1055</v>
      </c>
      <c r="W203" s="16" t="s">
        <v>722</v>
      </c>
    </row>
    <row r="204">
      <c r="A204" s="16">
        <v>11628.0</v>
      </c>
      <c r="B204" s="16" t="s">
        <v>1056</v>
      </c>
      <c r="C204" s="16">
        <v>0.51</v>
      </c>
      <c r="D204" s="174" t="s">
        <v>1057</v>
      </c>
      <c r="E204" s="16"/>
      <c r="F204" s="16">
        <v>505.0</v>
      </c>
      <c r="G204" s="16" t="s">
        <v>4656</v>
      </c>
      <c r="H204" s="16" t="s">
        <v>14</v>
      </c>
      <c r="I204" s="16" t="s">
        <v>16</v>
      </c>
      <c r="J204" s="16" t="s">
        <v>15</v>
      </c>
      <c r="K204" s="16"/>
      <c r="L204" s="16"/>
      <c r="M204" s="16"/>
      <c r="N204" s="16"/>
      <c r="O204" s="16"/>
      <c r="P204" s="16"/>
      <c r="Q204" s="16"/>
      <c r="R204" s="16"/>
      <c r="S204" s="16">
        <v>7.0</v>
      </c>
      <c r="T204" s="16"/>
      <c r="U204" s="16" t="s">
        <v>1058</v>
      </c>
      <c r="V204" s="16" t="s">
        <v>1059</v>
      </c>
      <c r="W204" s="16" t="s">
        <v>199</v>
      </c>
    </row>
    <row r="205">
      <c r="A205" s="16">
        <v>11629.0</v>
      </c>
      <c r="B205" s="16" t="s">
        <v>1060</v>
      </c>
      <c r="C205" s="16">
        <v>0.13</v>
      </c>
      <c r="D205" s="174" t="s">
        <v>1061</v>
      </c>
      <c r="E205" s="16"/>
      <c r="F205" s="16">
        <v>498.0</v>
      </c>
      <c r="G205" s="16" t="s">
        <v>176</v>
      </c>
      <c r="H205" s="16" t="s">
        <v>14</v>
      </c>
      <c r="I205" s="16" t="s">
        <v>15</v>
      </c>
      <c r="J205" s="16" t="s">
        <v>13</v>
      </c>
      <c r="K205" s="16" t="s">
        <v>19</v>
      </c>
      <c r="L205" s="16"/>
      <c r="M205" s="16"/>
      <c r="N205" s="16"/>
      <c r="O205" s="16"/>
      <c r="P205" s="16"/>
      <c r="Q205" s="16"/>
      <c r="R205" s="16"/>
      <c r="S205" s="16">
        <v>-2.0</v>
      </c>
      <c r="T205" s="16"/>
      <c r="U205" s="16" t="s">
        <v>1062</v>
      </c>
      <c r="V205" s="16" t="s">
        <v>1063</v>
      </c>
      <c r="W205" s="16" t="s">
        <v>360</v>
      </c>
    </row>
    <row r="206">
      <c r="A206" s="16">
        <v>11630.0</v>
      </c>
      <c r="B206" s="16" t="s">
        <v>1064</v>
      </c>
      <c r="C206" s="16">
        <v>1.42</v>
      </c>
      <c r="D206" s="174" t="s">
        <v>1065</v>
      </c>
      <c r="E206" s="16"/>
      <c r="F206" s="16">
        <v>525.0</v>
      </c>
      <c r="G206" s="16" t="s">
        <v>672</v>
      </c>
      <c r="H206" s="16" t="s">
        <v>16</v>
      </c>
      <c r="I206" s="16" t="s">
        <v>18</v>
      </c>
      <c r="J206" s="16" t="s">
        <v>14</v>
      </c>
      <c r="K206" s="16" t="s">
        <v>15</v>
      </c>
      <c r="L206" s="16" t="s">
        <v>19</v>
      </c>
      <c r="M206" s="16"/>
      <c r="N206" s="16"/>
      <c r="O206" s="16"/>
      <c r="P206" s="16"/>
      <c r="Q206" s="16"/>
      <c r="R206" s="16"/>
      <c r="S206" s="16">
        <v>15.0</v>
      </c>
      <c r="T206" s="16"/>
      <c r="U206" s="16" t="s">
        <v>1066</v>
      </c>
      <c r="V206" s="16" t="s">
        <v>1067</v>
      </c>
      <c r="W206" s="16" t="s">
        <v>188</v>
      </c>
    </row>
    <row r="207">
      <c r="A207" s="16">
        <v>11631.0</v>
      </c>
      <c r="B207" s="16" t="s">
        <v>1068</v>
      </c>
      <c r="C207" s="16">
        <v>1.51</v>
      </c>
      <c r="D207" s="174" t="s">
        <v>1069</v>
      </c>
      <c r="E207" s="16"/>
      <c r="F207" s="16">
        <v>520.0</v>
      </c>
      <c r="G207" s="16" t="s">
        <v>292</v>
      </c>
      <c r="H207" s="16" t="s">
        <v>18</v>
      </c>
      <c r="I207" s="16"/>
      <c r="J207" s="16"/>
      <c r="K207" s="16"/>
      <c r="L207" s="16"/>
      <c r="M207" s="16"/>
      <c r="N207" s="16"/>
      <c r="O207" s="16"/>
      <c r="P207" s="16"/>
      <c r="Q207" s="16"/>
      <c r="R207" s="16"/>
      <c r="S207" s="16">
        <v>14.0</v>
      </c>
      <c r="T207" s="16"/>
      <c r="U207" s="16" t="s">
        <v>1070</v>
      </c>
      <c r="V207" s="16" t="s">
        <v>1071</v>
      </c>
      <c r="W207" s="16" t="s">
        <v>443</v>
      </c>
    </row>
    <row r="208">
      <c r="A208" s="16">
        <v>11632.0</v>
      </c>
      <c r="B208" s="16" t="s">
        <v>1072</v>
      </c>
      <c r="C208" s="16">
        <v>0.63</v>
      </c>
      <c r="D208" s="174" t="s">
        <v>1073</v>
      </c>
      <c r="E208" s="16"/>
      <c r="F208" s="16">
        <v>534.0</v>
      </c>
      <c r="G208" s="16" t="s">
        <v>1170</v>
      </c>
      <c r="H208" s="16" t="s">
        <v>25</v>
      </c>
      <c r="I208" s="16" t="s">
        <v>26</v>
      </c>
      <c r="J208" s="16"/>
      <c r="K208" s="16"/>
      <c r="L208" s="16"/>
      <c r="M208" s="16"/>
      <c r="N208" s="16"/>
      <c r="O208" s="16"/>
      <c r="P208" s="16"/>
      <c r="Q208" s="16"/>
      <c r="R208" s="16"/>
      <c r="S208" s="16">
        <v>15.0</v>
      </c>
      <c r="T208" s="16"/>
      <c r="U208" s="16" t="s">
        <v>1074</v>
      </c>
      <c r="V208" s="16" t="s">
        <v>1075</v>
      </c>
      <c r="W208" s="16" t="s">
        <v>661</v>
      </c>
    </row>
    <row r="209">
      <c r="A209" s="16">
        <v>11633.0</v>
      </c>
      <c r="B209" s="16" t="s">
        <v>1076</v>
      </c>
      <c r="C209" s="16">
        <v>0.27</v>
      </c>
      <c r="D209" s="174" t="s">
        <v>1077</v>
      </c>
      <c r="E209" s="16"/>
      <c r="F209" s="16">
        <v>513.0</v>
      </c>
      <c r="G209" s="16" t="s">
        <v>1381</v>
      </c>
      <c r="H209" s="16" t="s">
        <v>24</v>
      </c>
      <c r="I209" s="16" t="s">
        <v>25</v>
      </c>
      <c r="J209" s="16" t="s">
        <v>26</v>
      </c>
      <c r="K209" s="16"/>
      <c r="L209" s="16"/>
      <c r="M209" s="16"/>
      <c r="N209" s="16"/>
      <c r="O209" s="16"/>
      <c r="P209" s="16"/>
      <c r="Q209" s="16"/>
      <c r="R209" s="16"/>
      <c r="S209" s="16">
        <v>15.0</v>
      </c>
      <c r="T209" s="16"/>
      <c r="U209" s="16" t="s">
        <v>1078</v>
      </c>
      <c r="V209" s="16" t="s">
        <v>1079</v>
      </c>
      <c r="W209" s="16" t="s">
        <v>332</v>
      </c>
    </row>
    <row r="210">
      <c r="A210" s="16">
        <v>11634.0</v>
      </c>
      <c r="B210" s="16" t="s">
        <v>1080</v>
      </c>
      <c r="C210" s="16">
        <v>0.35</v>
      </c>
      <c r="D210" s="174" t="s">
        <v>1081</v>
      </c>
      <c r="E210" s="16"/>
      <c r="F210" s="16">
        <v>532.0</v>
      </c>
      <c r="G210" s="16" t="s">
        <v>346</v>
      </c>
      <c r="H210" s="16" t="s">
        <v>19</v>
      </c>
      <c r="I210" s="16"/>
      <c r="J210" s="16"/>
      <c r="K210" s="16"/>
      <c r="L210" s="16"/>
      <c r="M210" s="16"/>
      <c r="N210" s="16"/>
      <c r="O210" s="16"/>
      <c r="P210" s="16"/>
      <c r="Q210" s="16"/>
      <c r="R210" s="16"/>
      <c r="S210" s="16">
        <v>19.0</v>
      </c>
      <c r="T210" s="16"/>
      <c r="U210" s="16" t="s">
        <v>1082</v>
      </c>
      <c r="V210" s="16" t="s">
        <v>1083</v>
      </c>
      <c r="W210" s="16" t="s">
        <v>491</v>
      </c>
    </row>
    <row r="211">
      <c r="A211" s="16">
        <v>11635.0</v>
      </c>
      <c r="B211" s="16" t="s">
        <v>1084</v>
      </c>
      <c r="C211" s="16">
        <v>0.6</v>
      </c>
      <c r="D211" s="174" t="s">
        <v>1085</v>
      </c>
      <c r="E211" s="16"/>
      <c r="F211" s="16">
        <v>498.0</v>
      </c>
      <c r="G211" s="16" t="s">
        <v>176</v>
      </c>
      <c r="H211" s="16" t="s">
        <v>24</v>
      </c>
      <c r="I211" s="16"/>
      <c r="J211" s="16"/>
      <c r="K211" s="16"/>
      <c r="L211" s="16"/>
      <c r="M211" s="16"/>
      <c r="N211" s="16"/>
      <c r="O211" s="16"/>
      <c r="P211" s="16"/>
      <c r="Q211" s="16"/>
      <c r="R211" s="16"/>
      <c r="S211" s="16">
        <v>-2.0</v>
      </c>
      <c r="T211" s="16"/>
      <c r="U211" s="16" t="s">
        <v>1086</v>
      </c>
      <c r="V211" s="16" t="s">
        <v>1087</v>
      </c>
      <c r="W211" s="16" t="s">
        <v>188</v>
      </c>
    </row>
    <row r="212">
      <c r="A212" s="16">
        <v>11636.0</v>
      </c>
      <c r="B212" s="16" t="s">
        <v>1088</v>
      </c>
      <c r="C212" s="16">
        <v>0.0</v>
      </c>
      <c r="D212" s="174" t="s">
        <v>1089</v>
      </c>
      <c r="E212" s="16"/>
      <c r="F212" s="16">
        <v>517.0</v>
      </c>
      <c r="G212" s="16" t="s">
        <v>277</v>
      </c>
      <c r="H212" s="16" t="s">
        <v>17</v>
      </c>
      <c r="I212" s="16" t="s">
        <v>19</v>
      </c>
      <c r="J212" s="16" t="s">
        <v>18</v>
      </c>
      <c r="K212" s="16"/>
      <c r="L212" s="16"/>
      <c r="M212" s="16"/>
      <c r="N212" s="16"/>
      <c r="O212" s="16"/>
      <c r="P212" s="16"/>
      <c r="Q212" s="16"/>
      <c r="R212" s="16"/>
      <c r="S212" s="16">
        <v>1.0</v>
      </c>
      <c r="T212" s="16"/>
      <c r="U212" s="16" t="s">
        <v>1090</v>
      </c>
      <c r="V212" s="16" t="s">
        <v>1091</v>
      </c>
      <c r="W212" s="16" t="s">
        <v>661</v>
      </c>
    </row>
    <row r="213">
      <c r="A213" s="16">
        <v>11637.0</v>
      </c>
      <c r="B213" s="16" t="s">
        <v>1092</v>
      </c>
      <c r="C213" s="16">
        <v>0.0</v>
      </c>
      <c r="D213" s="174" t="s">
        <v>1093</v>
      </c>
      <c r="E213" s="16"/>
      <c r="F213" s="16">
        <v>498.0</v>
      </c>
      <c r="G213" s="16" t="s">
        <v>176</v>
      </c>
      <c r="H213" s="16" t="s">
        <v>25</v>
      </c>
      <c r="I213" s="16" t="s">
        <v>26</v>
      </c>
      <c r="J213" s="16"/>
      <c r="K213" s="16"/>
      <c r="L213" s="16"/>
      <c r="M213" s="16"/>
      <c r="N213" s="16"/>
      <c r="O213" s="16"/>
      <c r="P213" s="16"/>
      <c r="Q213" s="16"/>
      <c r="R213" s="16"/>
      <c r="S213" s="16">
        <v>-2.0</v>
      </c>
      <c r="T213" s="16"/>
      <c r="U213" s="16" t="s">
        <v>1094</v>
      </c>
      <c r="V213" s="16" t="s">
        <v>1095</v>
      </c>
      <c r="W213" s="16" t="s">
        <v>332</v>
      </c>
    </row>
    <row r="214">
      <c r="A214" s="16">
        <v>11638.0</v>
      </c>
      <c r="B214" s="16" t="s">
        <v>1096</v>
      </c>
      <c r="C214" s="16">
        <v>0.0</v>
      </c>
      <c r="D214" s="174" t="s">
        <v>1097</v>
      </c>
      <c r="E214" s="16"/>
      <c r="F214" s="16">
        <v>498.0</v>
      </c>
      <c r="G214" s="16" t="s">
        <v>176</v>
      </c>
      <c r="H214" s="16" t="s">
        <v>24</v>
      </c>
      <c r="I214" s="16"/>
      <c r="J214" s="16"/>
      <c r="K214" s="16"/>
      <c r="L214" s="16"/>
      <c r="M214" s="16"/>
      <c r="N214" s="16"/>
      <c r="O214" s="16"/>
      <c r="P214" s="16"/>
      <c r="Q214" s="16"/>
      <c r="R214" s="16"/>
      <c r="S214" s="16">
        <v>11.0</v>
      </c>
      <c r="T214" s="16"/>
      <c r="U214" s="16" t="s">
        <v>1098</v>
      </c>
      <c r="V214" s="16" t="s">
        <v>1099</v>
      </c>
      <c r="W214" s="16" t="s">
        <v>188</v>
      </c>
    </row>
    <row r="215">
      <c r="A215" s="16">
        <v>11639.0</v>
      </c>
      <c r="B215" s="16" t="s">
        <v>1100</v>
      </c>
      <c r="C215" s="16">
        <v>0.0</v>
      </c>
      <c r="D215" s="174" t="s">
        <v>1101</v>
      </c>
      <c r="E215" s="16"/>
      <c r="F215" s="16">
        <v>498.0</v>
      </c>
      <c r="G215" s="16" t="s">
        <v>176</v>
      </c>
      <c r="H215" s="16" t="s">
        <v>25</v>
      </c>
      <c r="I215" s="16"/>
      <c r="J215" s="16"/>
      <c r="K215" s="16"/>
      <c r="L215" s="16"/>
      <c r="M215" s="16"/>
      <c r="N215" s="16"/>
      <c r="O215" s="16"/>
      <c r="P215" s="16"/>
      <c r="Q215" s="16"/>
      <c r="R215" s="16"/>
      <c r="S215" s="16">
        <v>-2.0</v>
      </c>
      <c r="T215" s="16"/>
      <c r="U215" s="16" t="s">
        <v>1102</v>
      </c>
      <c r="V215" s="16" t="s">
        <v>1103</v>
      </c>
      <c r="W215" s="16" t="s">
        <v>276</v>
      </c>
    </row>
    <row r="216">
      <c r="A216" s="16">
        <v>11640.0</v>
      </c>
      <c r="B216" s="16" t="s">
        <v>1104</v>
      </c>
      <c r="C216" s="16">
        <v>0.75</v>
      </c>
      <c r="D216" s="174" t="s">
        <v>1105</v>
      </c>
      <c r="E216" s="16"/>
      <c r="F216" s="16">
        <v>498.0</v>
      </c>
      <c r="G216" s="16" t="s">
        <v>176</v>
      </c>
      <c r="H216" s="16" t="s">
        <v>24</v>
      </c>
      <c r="I216" s="16" t="s">
        <v>25</v>
      </c>
      <c r="J216" s="16"/>
      <c r="K216" s="16"/>
      <c r="L216" s="16"/>
      <c r="M216" s="16"/>
      <c r="N216" s="16"/>
      <c r="O216" s="16"/>
      <c r="P216" s="16"/>
      <c r="Q216" s="16"/>
      <c r="R216" s="16"/>
      <c r="S216" s="16">
        <v>-2.0</v>
      </c>
      <c r="T216" s="16"/>
      <c r="U216" s="16" t="s">
        <v>1106</v>
      </c>
      <c r="V216" s="16" t="s">
        <v>1107</v>
      </c>
      <c r="W216" s="16" t="s">
        <v>188</v>
      </c>
    </row>
    <row r="217">
      <c r="A217" s="16">
        <v>11641.0</v>
      </c>
      <c r="B217" s="16" t="s">
        <v>1108</v>
      </c>
      <c r="C217" s="16">
        <v>0.22</v>
      </c>
      <c r="D217" s="174" t="s">
        <v>1109</v>
      </c>
      <c r="E217" s="16"/>
      <c r="F217" s="16">
        <v>529.0</v>
      </c>
      <c r="G217" s="16" t="s">
        <v>333</v>
      </c>
      <c r="H217" s="16" t="s">
        <v>25</v>
      </c>
      <c r="I217" s="16" t="s">
        <v>26</v>
      </c>
      <c r="J217" s="16"/>
      <c r="K217" s="16"/>
      <c r="L217" s="16"/>
      <c r="M217" s="16"/>
      <c r="N217" s="16"/>
      <c r="O217" s="16"/>
      <c r="P217" s="16"/>
      <c r="Q217" s="16"/>
      <c r="R217" s="16"/>
      <c r="S217" s="16">
        <v>1.0</v>
      </c>
      <c r="T217" s="16"/>
      <c r="U217" s="16" t="s">
        <v>1110</v>
      </c>
      <c r="V217" s="16" t="s">
        <v>1111</v>
      </c>
      <c r="W217" s="16" t="s">
        <v>634</v>
      </c>
    </row>
    <row r="218">
      <c r="A218" s="16">
        <v>11642.0</v>
      </c>
      <c r="B218" s="16" t="s">
        <v>1112</v>
      </c>
      <c r="C218" s="16">
        <v>0.34</v>
      </c>
      <c r="D218" s="174" t="s">
        <v>1113</v>
      </c>
      <c r="E218" s="16"/>
      <c r="F218" s="16">
        <v>498.0</v>
      </c>
      <c r="G218" s="16" t="s">
        <v>176</v>
      </c>
      <c r="H218" s="16" t="s">
        <v>24</v>
      </c>
      <c r="I218" s="16"/>
      <c r="J218" s="16"/>
      <c r="K218" s="16"/>
      <c r="L218" s="16"/>
      <c r="M218" s="16"/>
      <c r="N218" s="16"/>
      <c r="O218" s="16"/>
      <c r="P218" s="16"/>
      <c r="Q218" s="16"/>
      <c r="R218" s="16"/>
      <c r="S218" s="16">
        <v>-2.0</v>
      </c>
      <c r="T218" s="16"/>
      <c r="U218" s="16" t="s">
        <v>1114</v>
      </c>
      <c r="V218" s="16" t="s">
        <v>1115</v>
      </c>
      <c r="W218" s="16" t="s">
        <v>616</v>
      </c>
    </row>
    <row r="219">
      <c r="A219" s="16">
        <v>11643.0</v>
      </c>
      <c r="B219" s="16" t="s">
        <v>1116</v>
      </c>
      <c r="C219" s="16">
        <v>0.0</v>
      </c>
      <c r="D219" s="174" t="s">
        <v>1117</v>
      </c>
      <c r="E219" s="16"/>
      <c r="F219" s="16">
        <v>508.0</v>
      </c>
      <c r="G219" s="16" t="s">
        <v>4754</v>
      </c>
      <c r="H219" s="16" t="s">
        <v>25</v>
      </c>
      <c r="I219" s="16"/>
      <c r="J219" s="16"/>
      <c r="K219" s="16"/>
      <c r="L219" s="16"/>
      <c r="M219" s="16"/>
      <c r="N219" s="16"/>
      <c r="O219" s="16"/>
      <c r="P219" s="16"/>
      <c r="Q219" s="16"/>
      <c r="R219" s="16"/>
      <c r="S219" s="16">
        <v>13.0</v>
      </c>
      <c r="T219" s="16"/>
      <c r="U219" s="16" t="s">
        <v>1118</v>
      </c>
      <c r="V219" s="16" t="s">
        <v>1119</v>
      </c>
      <c r="W219" s="16" t="s">
        <v>199</v>
      </c>
    </row>
    <row r="220">
      <c r="A220" s="16">
        <v>11644.0</v>
      </c>
      <c r="B220" s="16" t="s">
        <v>1120</v>
      </c>
      <c r="C220" s="16">
        <v>3.14</v>
      </c>
      <c r="D220" s="174" t="s">
        <v>1121</v>
      </c>
      <c r="E220" s="16"/>
      <c r="F220" s="16">
        <v>502.0</v>
      </c>
      <c r="G220" s="16" t="s">
        <v>200</v>
      </c>
      <c r="H220" s="16" t="s">
        <v>24</v>
      </c>
      <c r="I220" s="16"/>
      <c r="J220" s="16"/>
      <c r="K220" s="16"/>
      <c r="L220" s="16"/>
      <c r="M220" s="16"/>
      <c r="N220" s="16"/>
      <c r="O220" s="16"/>
      <c r="P220" s="16"/>
      <c r="Q220" s="16"/>
      <c r="R220" s="16"/>
      <c r="S220" s="16">
        <v>16.0</v>
      </c>
      <c r="T220" s="16"/>
      <c r="U220" s="16" t="s">
        <v>1122</v>
      </c>
      <c r="V220" s="16" t="s">
        <v>1123</v>
      </c>
      <c r="W220" s="16" t="s">
        <v>188</v>
      </c>
    </row>
    <row r="221">
      <c r="A221" s="16">
        <v>11645.0</v>
      </c>
      <c r="B221" s="16" t="s">
        <v>1124</v>
      </c>
      <c r="C221" s="16">
        <v>0.0</v>
      </c>
      <c r="D221" s="174" t="s">
        <v>1125</v>
      </c>
      <c r="E221" s="16"/>
      <c r="F221" s="16">
        <v>498.0</v>
      </c>
      <c r="G221" s="16" t="s">
        <v>176</v>
      </c>
      <c r="H221" s="16" t="s">
        <v>25</v>
      </c>
      <c r="I221" s="16" t="s">
        <v>26</v>
      </c>
      <c r="J221" s="16"/>
      <c r="K221" s="16"/>
      <c r="L221" s="16"/>
      <c r="M221" s="16"/>
      <c r="N221" s="16"/>
      <c r="O221" s="16"/>
      <c r="P221" s="16"/>
      <c r="Q221" s="16"/>
      <c r="R221" s="16"/>
      <c r="S221" s="16">
        <v>-2.0</v>
      </c>
      <c r="T221" s="16"/>
      <c r="U221" s="16" t="s">
        <v>1126</v>
      </c>
      <c r="V221" s="16" t="s">
        <v>1127</v>
      </c>
      <c r="W221" s="16" t="s">
        <v>259</v>
      </c>
    </row>
    <row r="222">
      <c r="A222" s="16">
        <v>11646.0</v>
      </c>
      <c r="B222" s="16" t="s">
        <v>1128</v>
      </c>
      <c r="C222" s="16">
        <v>0.0</v>
      </c>
      <c r="D222" s="174" t="s">
        <v>1129</v>
      </c>
      <c r="E222" s="16"/>
      <c r="F222" s="16">
        <v>498.0</v>
      </c>
      <c r="G222" s="16" t="s">
        <v>176</v>
      </c>
      <c r="H222" s="16" t="s">
        <v>17</v>
      </c>
      <c r="I222" s="16" t="s">
        <v>15</v>
      </c>
      <c r="J222" s="16" t="s">
        <v>14</v>
      </c>
      <c r="K222" s="16" t="s">
        <v>18</v>
      </c>
      <c r="L222" s="16"/>
      <c r="M222" s="16"/>
      <c r="N222" s="16"/>
      <c r="O222" s="16"/>
      <c r="P222" s="16"/>
      <c r="Q222" s="16"/>
      <c r="R222" s="16"/>
      <c r="S222" s="16">
        <v>-2.0</v>
      </c>
      <c r="T222" s="16"/>
      <c r="U222" s="16" t="s">
        <v>1130</v>
      </c>
      <c r="V222" s="16" t="s">
        <v>1131</v>
      </c>
      <c r="W222" s="16" t="s">
        <v>600</v>
      </c>
    </row>
    <row r="223">
      <c r="A223" s="16">
        <v>11647.0</v>
      </c>
      <c r="B223" s="16" t="s">
        <v>1132</v>
      </c>
      <c r="C223" s="16">
        <v>0.59</v>
      </c>
      <c r="D223" s="174" t="s">
        <v>1133</v>
      </c>
      <c r="E223" s="16"/>
      <c r="F223" s="16">
        <v>532.0</v>
      </c>
      <c r="G223" s="16" t="s">
        <v>346</v>
      </c>
      <c r="H223" s="16" t="s">
        <v>12</v>
      </c>
      <c r="I223" s="16"/>
      <c r="J223" s="16"/>
      <c r="K223" s="16"/>
      <c r="L223" s="16"/>
      <c r="M223" s="16"/>
      <c r="N223" s="16"/>
      <c r="O223" s="16"/>
      <c r="P223" s="16"/>
      <c r="Q223" s="16"/>
      <c r="R223" s="16"/>
      <c r="S223" s="16">
        <v>1.0</v>
      </c>
      <c r="T223" s="16"/>
      <c r="U223" s="16" t="s">
        <v>1134</v>
      </c>
      <c r="V223" s="16" t="s">
        <v>1135</v>
      </c>
      <c r="W223" s="16" t="s">
        <v>478</v>
      </c>
    </row>
    <row r="224">
      <c r="A224" s="16">
        <v>11648.0</v>
      </c>
      <c r="B224" s="16" t="s">
        <v>1136</v>
      </c>
      <c r="C224" s="16">
        <v>0.0</v>
      </c>
      <c r="D224" s="174" t="s">
        <v>1137</v>
      </c>
      <c r="E224" s="16"/>
      <c r="F224" s="16">
        <v>498.0</v>
      </c>
      <c r="G224" s="16" t="s">
        <v>176</v>
      </c>
      <c r="H224" s="16" t="s">
        <v>13</v>
      </c>
      <c r="I224" s="16"/>
      <c r="J224" s="16"/>
      <c r="K224" s="16"/>
      <c r="L224" s="16"/>
      <c r="M224" s="16"/>
      <c r="N224" s="16"/>
      <c r="O224" s="16"/>
      <c r="P224" s="16"/>
      <c r="Q224" s="16"/>
      <c r="R224" s="16"/>
      <c r="S224" s="16">
        <v>-2.0</v>
      </c>
      <c r="T224" s="16"/>
      <c r="U224" s="16" t="s">
        <v>1138</v>
      </c>
      <c r="V224" s="16" t="s">
        <v>1139</v>
      </c>
      <c r="W224" s="16" t="s">
        <v>591</v>
      </c>
    </row>
    <row r="225">
      <c r="A225" s="16">
        <v>11649.0</v>
      </c>
      <c r="B225" s="16" t="s">
        <v>1140</v>
      </c>
      <c r="C225" s="16">
        <v>0.48</v>
      </c>
      <c r="D225" s="174" t="s">
        <v>1141</v>
      </c>
      <c r="E225" s="16"/>
      <c r="F225" s="16">
        <v>498.0</v>
      </c>
      <c r="G225" s="16" t="s">
        <v>176</v>
      </c>
      <c r="H225" s="16" t="s">
        <v>24</v>
      </c>
      <c r="I225" s="16"/>
      <c r="J225" s="16"/>
      <c r="K225" s="16"/>
      <c r="L225" s="16"/>
      <c r="M225" s="16"/>
      <c r="N225" s="16"/>
      <c r="O225" s="16"/>
      <c r="P225" s="16"/>
      <c r="Q225" s="16"/>
      <c r="R225" s="16"/>
      <c r="S225" s="16">
        <v>-2.0</v>
      </c>
      <c r="T225" s="16"/>
      <c r="U225" s="16" t="s">
        <v>1142</v>
      </c>
      <c r="V225" s="16" t="s">
        <v>1143</v>
      </c>
      <c r="W225" s="16" t="s">
        <v>496</v>
      </c>
    </row>
    <row r="226">
      <c r="A226" s="16">
        <v>11650.0</v>
      </c>
      <c r="B226" s="16" t="s">
        <v>1144</v>
      </c>
      <c r="C226" s="16">
        <v>0.0</v>
      </c>
      <c r="D226" s="174" t="s">
        <v>1145</v>
      </c>
      <c r="E226" s="16"/>
      <c r="F226" s="16">
        <v>514.0</v>
      </c>
      <c r="G226" s="16" t="s">
        <v>260</v>
      </c>
      <c r="H226" s="16" t="s">
        <v>12</v>
      </c>
      <c r="I226" s="16" t="s">
        <v>15</v>
      </c>
      <c r="J226" s="16" t="s">
        <v>13</v>
      </c>
      <c r="K226" s="16"/>
      <c r="L226" s="16"/>
      <c r="M226" s="16"/>
      <c r="N226" s="16"/>
      <c r="O226" s="16"/>
      <c r="P226" s="16"/>
      <c r="Q226" s="16"/>
      <c r="R226" s="16"/>
      <c r="S226" s="16">
        <v>1.0</v>
      </c>
      <c r="T226" s="16"/>
      <c r="U226" s="16" t="s">
        <v>1146</v>
      </c>
      <c r="V226" s="16" t="s">
        <v>1147</v>
      </c>
      <c r="W226" s="16" t="s">
        <v>259</v>
      </c>
    </row>
    <row r="227">
      <c r="A227" s="16">
        <v>11651.0</v>
      </c>
      <c r="B227" s="16" t="s">
        <v>1148</v>
      </c>
      <c r="C227" s="16">
        <v>1.37</v>
      </c>
      <c r="D227" s="174" t="s">
        <v>1149</v>
      </c>
      <c r="E227" s="16"/>
      <c r="F227" s="16">
        <v>534.0</v>
      </c>
      <c r="G227" s="16" t="s">
        <v>1170</v>
      </c>
      <c r="H227" s="16" t="s">
        <v>13</v>
      </c>
      <c r="I227" s="16"/>
      <c r="J227" s="16"/>
      <c r="K227" s="16"/>
      <c r="L227" s="16"/>
      <c r="M227" s="16"/>
      <c r="N227" s="16"/>
      <c r="O227" s="16"/>
      <c r="P227" s="16"/>
      <c r="Q227" s="16"/>
      <c r="R227" s="16"/>
      <c r="S227" s="16">
        <v>19.0</v>
      </c>
      <c r="T227" s="174" t="s">
        <v>4769</v>
      </c>
      <c r="U227" s="16" t="s">
        <v>1150</v>
      </c>
      <c r="V227" s="16" t="s">
        <v>1151</v>
      </c>
      <c r="W227" s="16" t="s">
        <v>722</v>
      </c>
    </row>
    <row r="228">
      <c r="A228" s="16">
        <v>11652.0</v>
      </c>
      <c r="B228" s="16" t="s">
        <v>1152</v>
      </c>
      <c r="C228" s="16">
        <v>2.03</v>
      </c>
      <c r="D228" s="174" t="s">
        <v>1153</v>
      </c>
      <c r="E228" s="16"/>
      <c r="F228" s="16">
        <v>517.0</v>
      </c>
      <c r="G228" s="16" t="s">
        <v>277</v>
      </c>
      <c r="H228" s="16" t="s">
        <v>17</v>
      </c>
      <c r="I228" s="16"/>
      <c r="J228" s="16"/>
      <c r="K228" s="16"/>
      <c r="L228" s="16"/>
      <c r="M228" s="16"/>
      <c r="N228" s="16"/>
      <c r="O228" s="16"/>
      <c r="P228" s="16"/>
      <c r="Q228" s="16"/>
      <c r="R228" s="16"/>
      <c r="S228" s="16">
        <v>16.0</v>
      </c>
      <c r="T228" s="174" t="s">
        <v>4770</v>
      </c>
      <c r="U228" s="16" t="s">
        <v>1154</v>
      </c>
      <c r="V228" s="16" t="s">
        <v>1155</v>
      </c>
      <c r="W228" s="16" t="s">
        <v>942</v>
      </c>
    </row>
    <row r="229">
      <c r="A229" s="16">
        <v>11653.0</v>
      </c>
      <c r="B229" s="16" t="s">
        <v>1156</v>
      </c>
      <c r="C229" s="16">
        <v>0.0</v>
      </c>
      <c r="D229" s="174" t="s">
        <v>1157</v>
      </c>
      <c r="E229" s="16"/>
      <c r="F229" s="16">
        <v>498.0</v>
      </c>
      <c r="G229" s="16" t="s">
        <v>176</v>
      </c>
      <c r="H229" s="16" t="s">
        <v>15</v>
      </c>
      <c r="I229" s="16" t="s">
        <v>14</v>
      </c>
      <c r="J229" s="16" t="s">
        <v>17</v>
      </c>
      <c r="K229" s="16"/>
      <c r="L229" s="16"/>
      <c r="M229" s="16"/>
      <c r="N229" s="16"/>
      <c r="O229" s="16"/>
      <c r="P229" s="16"/>
      <c r="Q229" s="16"/>
      <c r="R229" s="16"/>
      <c r="S229" s="16">
        <v>-2.0</v>
      </c>
      <c r="T229" s="16"/>
      <c r="U229" s="16" t="s">
        <v>1158</v>
      </c>
      <c r="V229" s="16" t="s">
        <v>1159</v>
      </c>
      <c r="W229" s="16" t="s">
        <v>188</v>
      </c>
    </row>
    <row r="230">
      <c r="A230" s="16">
        <v>11654.0</v>
      </c>
      <c r="B230" s="16" t="s">
        <v>1160</v>
      </c>
      <c r="C230" s="16">
        <v>0.0</v>
      </c>
      <c r="D230" s="174" t="s">
        <v>1161</v>
      </c>
      <c r="E230" s="16"/>
      <c r="F230" s="16">
        <v>498.0</v>
      </c>
      <c r="G230" s="16" t="s">
        <v>176</v>
      </c>
      <c r="H230" s="16" t="s">
        <v>12</v>
      </c>
      <c r="I230" s="16"/>
      <c r="J230" s="16"/>
      <c r="K230" s="16"/>
      <c r="L230" s="16"/>
      <c r="M230" s="16"/>
      <c r="N230" s="16"/>
      <c r="O230" s="16"/>
      <c r="P230" s="16"/>
      <c r="Q230" s="16"/>
      <c r="R230" s="16"/>
      <c r="S230" s="16">
        <v>1.0</v>
      </c>
      <c r="T230" s="16"/>
      <c r="U230" s="16" t="s">
        <v>1162</v>
      </c>
      <c r="V230" s="16" t="s">
        <v>1163</v>
      </c>
      <c r="W230" s="16" t="s">
        <v>399</v>
      </c>
    </row>
    <row r="231">
      <c r="A231" s="16">
        <v>11655.0</v>
      </c>
      <c r="B231" s="16" t="s">
        <v>1164</v>
      </c>
      <c r="C231" s="16">
        <v>0.0</v>
      </c>
      <c r="D231" s="174" t="s">
        <v>1165</v>
      </c>
      <c r="E231" s="16"/>
      <c r="F231" s="16">
        <v>498.0</v>
      </c>
      <c r="G231" s="16" t="s">
        <v>176</v>
      </c>
      <c r="H231" s="16" t="s">
        <v>25</v>
      </c>
      <c r="I231" s="16" t="s">
        <v>26</v>
      </c>
      <c r="J231" s="16"/>
      <c r="K231" s="16"/>
      <c r="L231" s="16"/>
      <c r="M231" s="16"/>
      <c r="N231" s="16"/>
      <c r="O231" s="16"/>
      <c r="P231" s="16"/>
      <c r="Q231" s="16"/>
      <c r="R231" s="16"/>
      <c r="S231" s="16">
        <v>13.0</v>
      </c>
      <c r="T231" s="174" t="s">
        <v>4747</v>
      </c>
      <c r="U231" s="16" t="s">
        <v>1166</v>
      </c>
      <c r="V231" s="16" t="s">
        <v>1167</v>
      </c>
      <c r="W231" s="16" t="s">
        <v>259</v>
      </c>
    </row>
    <row r="232">
      <c r="A232" s="16">
        <v>11656.0</v>
      </c>
      <c r="B232" s="16" t="s">
        <v>1168</v>
      </c>
      <c r="C232" s="16">
        <v>1.64</v>
      </c>
      <c r="D232" s="174" t="s">
        <v>1169</v>
      </c>
      <c r="E232" s="16"/>
      <c r="F232" s="16">
        <v>532.0</v>
      </c>
      <c r="G232" s="16" t="s">
        <v>346</v>
      </c>
      <c r="H232" s="16" t="s">
        <v>16</v>
      </c>
      <c r="I232" s="16"/>
      <c r="J232" s="16"/>
      <c r="K232" s="16"/>
      <c r="L232" s="16"/>
      <c r="M232" s="16"/>
      <c r="N232" s="16"/>
      <c r="O232" s="16"/>
      <c r="P232" s="16"/>
      <c r="Q232" s="16"/>
      <c r="R232" s="16"/>
      <c r="S232" s="16">
        <v>19.0</v>
      </c>
      <c r="T232" s="16"/>
      <c r="U232" s="16" t="s">
        <v>1171</v>
      </c>
      <c r="V232" s="16" t="s">
        <v>1172</v>
      </c>
      <c r="W232" s="16" t="s">
        <v>443</v>
      </c>
    </row>
    <row r="233">
      <c r="A233" s="16">
        <v>11657.0</v>
      </c>
      <c r="B233" s="16" t="s">
        <v>1173</v>
      </c>
      <c r="C233" s="16">
        <v>1.76</v>
      </c>
      <c r="D233" s="174" t="s">
        <v>1174</v>
      </c>
      <c r="E233" s="16"/>
      <c r="F233" s="16">
        <v>509.0</v>
      </c>
      <c r="G233" s="16" t="s">
        <v>4755</v>
      </c>
      <c r="H233" s="16" t="s">
        <v>24</v>
      </c>
      <c r="I233" s="16"/>
      <c r="J233" s="16"/>
      <c r="K233" s="16"/>
      <c r="L233" s="16"/>
      <c r="M233" s="16"/>
      <c r="N233" s="16"/>
      <c r="O233" s="16"/>
      <c r="P233" s="16"/>
      <c r="Q233" s="16"/>
      <c r="R233" s="16" t="s">
        <v>4771</v>
      </c>
      <c r="S233" s="16">
        <v>17.0</v>
      </c>
      <c r="T233" s="16"/>
      <c r="U233" s="16" t="s">
        <v>1176</v>
      </c>
      <c r="V233" s="16" t="s">
        <v>1177</v>
      </c>
      <c r="W233" s="16" t="s">
        <v>473</v>
      </c>
    </row>
    <row r="234">
      <c r="A234" s="16">
        <v>11658.0</v>
      </c>
      <c r="B234" s="16" t="s">
        <v>1178</v>
      </c>
      <c r="C234" s="16">
        <v>0.53</v>
      </c>
      <c r="D234" s="174" t="s">
        <v>1179</v>
      </c>
      <c r="E234" s="16"/>
      <c r="F234" s="16">
        <v>508.0</v>
      </c>
      <c r="G234" s="16" t="s">
        <v>4754</v>
      </c>
      <c r="H234" s="16" t="s">
        <v>25</v>
      </c>
      <c r="I234" s="16" t="s">
        <v>26</v>
      </c>
      <c r="J234" s="16"/>
      <c r="K234" s="16"/>
      <c r="L234" s="16"/>
      <c r="M234" s="16"/>
      <c r="N234" s="16"/>
      <c r="O234" s="16"/>
      <c r="P234" s="16"/>
      <c r="Q234" s="16"/>
      <c r="R234" s="16"/>
      <c r="S234" s="16">
        <v>1.0</v>
      </c>
      <c r="T234" s="16"/>
      <c r="U234" s="16" t="s">
        <v>1180</v>
      </c>
      <c r="V234" s="16" t="s">
        <v>1181</v>
      </c>
      <c r="W234" s="16" t="s">
        <v>179</v>
      </c>
    </row>
    <row r="235">
      <c r="A235" s="16">
        <v>11659.0</v>
      </c>
      <c r="B235" s="16" t="s">
        <v>1182</v>
      </c>
      <c r="C235" s="16">
        <v>0.0</v>
      </c>
      <c r="D235" s="174" t="s">
        <v>1183</v>
      </c>
      <c r="E235" s="16"/>
      <c r="F235" s="16">
        <v>498.0</v>
      </c>
      <c r="G235" s="16" t="s">
        <v>176</v>
      </c>
      <c r="H235" s="16" t="s">
        <v>24</v>
      </c>
      <c r="I235" s="16"/>
      <c r="J235" s="16"/>
      <c r="K235" s="16"/>
      <c r="L235" s="16"/>
      <c r="M235" s="16"/>
      <c r="N235" s="16"/>
      <c r="O235" s="16"/>
      <c r="P235" s="16"/>
      <c r="Q235" s="16"/>
      <c r="R235" s="16"/>
      <c r="S235" s="16">
        <v>-2.0</v>
      </c>
      <c r="T235" s="16"/>
      <c r="U235" s="16" t="s">
        <v>1184</v>
      </c>
      <c r="V235" s="16" t="s">
        <v>1185</v>
      </c>
      <c r="W235" s="16" t="s">
        <v>459</v>
      </c>
    </row>
    <row r="236">
      <c r="A236" s="16">
        <v>11660.0</v>
      </c>
      <c r="B236" s="16" t="s">
        <v>1186</v>
      </c>
      <c r="C236" s="16">
        <v>1.12</v>
      </c>
      <c r="D236" s="174" t="s">
        <v>1187</v>
      </c>
      <c r="E236" s="16"/>
      <c r="F236" s="16">
        <v>538.0</v>
      </c>
      <c r="G236" s="16" t="s">
        <v>289</v>
      </c>
      <c r="H236" s="16" t="s">
        <v>18</v>
      </c>
      <c r="I236" s="16" t="s">
        <v>19</v>
      </c>
      <c r="J236" s="16" t="s">
        <v>13</v>
      </c>
      <c r="K236" s="16"/>
      <c r="L236" s="16"/>
      <c r="M236" s="16"/>
      <c r="N236" s="16"/>
      <c r="O236" s="16"/>
      <c r="P236" s="16"/>
      <c r="Q236" s="16"/>
      <c r="R236" s="16"/>
      <c r="S236" s="16">
        <v>4.0</v>
      </c>
      <c r="T236" s="16"/>
      <c r="U236" s="16" t="s">
        <v>1188</v>
      </c>
      <c r="V236" s="16" t="s">
        <v>1189</v>
      </c>
      <c r="W236" s="16" t="s">
        <v>491</v>
      </c>
    </row>
    <row r="237">
      <c r="A237" s="16">
        <v>11661.0</v>
      </c>
      <c r="B237" s="16" t="s">
        <v>1190</v>
      </c>
      <c r="C237" s="16">
        <v>1.3</v>
      </c>
      <c r="D237" s="174" t="s">
        <v>1191</v>
      </c>
      <c r="E237" s="16"/>
      <c r="F237" s="16">
        <v>511.0</v>
      </c>
      <c r="G237" s="16" t="s">
        <v>245</v>
      </c>
      <c r="H237" s="16" t="s">
        <v>24</v>
      </c>
      <c r="I237" s="16"/>
      <c r="J237" s="16"/>
      <c r="K237" s="16"/>
      <c r="L237" s="16"/>
      <c r="M237" s="16"/>
      <c r="N237" s="16"/>
      <c r="O237" s="16"/>
      <c r="P237" s="16"/>
      <c r="Q237" s="16"/>
      <c r="R237" s="16"/>
      <c r="S237" s="16">
        <v>6.0</v>
      </c>
      <c r="T237" s="16"/>
      <c r="U237" s="16" t="s">
        <v>1192</v>
      </c>
      <c r="V237" s="16" t="s">
        <v>1193</v>
      </c>
      <c r="W237" s="16" t="s">
        <v>942</v>
      </c>
    </row>
    <row r="238">
      <c r="A238" s="16">
        <v>11662.0</v>
      </c>
      <c r="B238" s="16" t="s">
        <v>1194</v>
      </c>
      <c r="C238" s="16">
        <v>0.0</v>
      </c>
      <c r="D238" s="174" t="s">
        <v>1195</v>
      </c>
      <c r="E238" s="16"/>
      <c r="F238" s="16">
        <v>502.0</v>
      </c>
      <c r="G238" s="16" t="s">
        <v>200</v>
      </c>
      <c r="H238" s="16" t="s">
        <v>24</v>
      </c>
      <c r="I238" s="16" t="s">
        <v>25</v>
      </c>
      <c r="J238" s="16" t="s">
        <v>26</v>
      </c>
      <c r="K238" s="16"/>
      <c r="L238" s="16"/>
      <c r="M238" s="16"/>
      <c r="N238" s="16"/>
      <c r="O238" s="16"/>
      <c r="P238" s="16"/>
      <c r="Q238" s="16"/>
      <c r="R238" s="16"/>
      <c r="S238" s="16">
        <v>1.0</v>
      </c>
      <c r="T238" s="16"/>
      <c r="U238" s="16" t="s">
        <v>1196</v>
      </c>
      <c r="V238" s="16" t="s">
        <v>1197</v>
      </c>
      <c r="W238" s="16" t="s">
        <v>491</v>
      </c>
    </row>
    <row r="239">
      <c r="A239" s="16">
        <v>11663.0</v>
      </c>
      <c r="B239" s="16" t="s">
        <v>1198</v>
      </c>
      <c r="C239" s="16">
        <v>2.37</v>
      </c>
      <c r="D239" s="174" t="s">
        <v>1199</v>
      </c>
      <c r="E239" s="16"/>
      <c r="F239" s="16">
        <v>517.0</v>
      </c>
      <c r="G239" s="16" t="s">
        <v>277</v>
      </c>
      <c r="H239" s="16" t="s">
        <v>24</v>
      </c>
      <c r="I239" s="16"/>
      <c r="J239" s="16"/>
      <c r="K239" s="16"/>
      <c r="L239" s="16"/>
      <c r="M239" s="16"/>
      <c r="N239" s="16"/>
      <c r="O239" s="16"/>
      <c r="P239" s="16"/>
      <c r="Q239" s="16"/>
      <c r="R239" s="16"/>
      <c r="S239" s="16">
        <v>1.0</v>
      </c>
      <c r="T239" s="174" t="s">
        <v>4772</v>
      </c>
      <c r="U239" s="16" t="s">
        <v>1200</v>
      </c>
      <c r="V239" s="16" t="s">
        <v>1201</v>
      </c>
      <c r="W239" s="16" t="s">
        <v>231</v>
      </c>
    </row>
    <row r="240">
      <c r="A240" s="16">
        <v>11664.0</v>
      </c>
      <c r="B240" s="16" t="s">
        <v>1202</v>
      </c>
      <c r="C240" s="16">
        <v>1.21</v>
      </c>
      <c r="D240" s="174" t="s">
        <v>1203</v>
      </c>
      <c r="E240" s="16"/>
      <c r="F240" s="16">
        <v>532.0</v>
      </c>
      <c r="G240" s="16" t="s">
        <v>346</v>
      </c>
      <c r="H240" s="16" t="s">
        <v>25</v>
      </c>
      <c r="I240" s="16" t="s">
        <v>26</v>
      </c>
      <c r="J240" s="16"/>
      <c r="K240" s="16"/>
      <c r="L240" s="16"/>
      <c r="M240" s="16"/>
      <c r="N240" s="16"/>
      <c r="O240" s="16"/>
      <c r="P240" s="16"/>
      <c r="Q240" s="16"/>
      <c r="R240" s="16"/>
      <c r="S240" s="16">
        <v>4.0</v>
      </c>
      <c r="T240" s="16"/>
      <c r="U240" s="16" t="s">
        <v>1204</v>
      </c>
      <c r="V240" s="16" t="s">
        <v>1205</v>
      </c>
      <c r="W240" s="16" t="s">
        <v>360</v>
      </c>
    </row>
    <row r="241">
      <c r="A241" s="16">
        <v>11665.0</v>
      </c>
      <c r="B241" s="16" t="s">
        <v>1206</v>
      </c>
      <c r="C241" s="16">
        <v>0.65</v>
      </c>
      <c r="D241" s="174" t="s">
        <v>1207</v>
      </c>
      <c r="E241" s="16"/>
      <c r="F241" s="16">
        <v>537.0</v>
      </c>
      <c r="G241" s="16" t="s">
        <v>623</v>
      </c>
      <c r="H241" s="16" t="s">
        <v>25</v>
      </c>
      <c r="I241" s="16"/>
      <c r="J241" s="16"/>
      <c r="K241" s="16"/>
      <c r="L241" s="16"/>
      <c r="M241" s="16"/>
      <c r="N241" s="16"/>
      <c r="O241" s="16"/>
      <c r="P241" s="16"/>
      <c r="Q241" s="16"/>
      <c r="R241" s="16"/>
      <c r="S241" s="16">
        <v>15.0</v>
      </c>
      <c r="T241" s="16"/>
      <c r="U241" s="16" t="s">
        <v>1208</v>
      </c>
      <c r="V241" s="16" t="s">
        <v>1209</v>
      </c>
      <c r="W241" s="16" t="s">
        <v>566</v>
      </c>
    </row>
    <row r="242">
      <c r="A242" s="16">
        <v>11666.0</v>
      </c>
      <c r="B242" s="16" t="s">
        <v>1210</v>
      </c>
      <c r="C242" s="16">
        <v>0.64</v>
      </c>
      <c r="D242" s="174" t="s">
        <v>1211</v>
      </c>
      <c r="E242" s="16"/>
      <c r="F242" s="16">
        <v>498.0</v>
      </c>
      <c r="G242" s="16" t="s">
        <v>176</v>
      </c>
      <c r="H242" s="16" t="s">
        <v>25</v>
      </c>
      <c r="I242" s="16" t="s">
        <v>26</v>
      </c>
      <c r="J242" s="16"/>
      <c r="K242" s="16"/>
      <c r="L242" s="16"/>
      <c r="M242" s="16"/>
      <c r="N242" s="16"/>
      <c r="O242" s="16"/>
      <c r="P242" s="16"/>
      <c r="Q242" s="16"/>
      <c r="R242" s="16"/>
      <c r="S242" s="16">
        <v>10.0</v>
      </c>
      <c r="T242" s="16"/>
      <c r="U242" s="16" t="s">
        <v>1212</v>
      </c>
      <c r="V242" s="16" t="s">
        <v>1213</v>
      </c>
      <c r="W242" s="16" t="s">
        <v>422</v>
      </c>
    </row>
    <row r="243">
      <c r="A243" s="16">
        <v>11667.0</v>
      </c>
      <c r="B243" s="16" t="s">
        <v>1214</v>
      </c>
      <c r="C243" s="16">
        <v>0.54</v>
      </c>
      <c r="D243" s="174" t="s">
        <v>1215</v>
      </c>
      <c r="E243" s="16"/>
      <c r="F243" s="16">
        <v>498.0</v>
      </c>
      <c r="G243" s="16" t="s">
        <v>176</v>
      </c>
      <c r="H243" s="16" t="s">
        <v>24</v>
      </c>
      <c r="I243" s="16" t="s">
        <v>25</v>
      </c>
      <c r="J243" s="16" t="s">
        <v>26</v>
      </c>
      <c r="K243" s="16"/>
      <c r="L243" s="16"/>
      <c r="M243" s="16"/>
      <c r="N243" s="16"/>
      <c r="O243" s="16"/>
      <c r="P243" s="16"/>
      <c r="Q243" s="16"/>
      <c r="R243" s="16"/>
      <c r="S243" s="16">
        <v>-2.0</v>
      </c>
      <c r="T243" s="16"/>
      <c r="U243" s="16" t="s">
        <v>1216</v>
      </c>
      <c r="V243" s="16" t="s">
        <v>1217</v>
      </c>
      <c r="W243" s="16" t="s">
        <v>188</v>
      </c>
    </row>
    <row r="244">
      <c r="A244" s="16">
        <v>11668.0</v>
      </c>
      <c r="B244" s="16" t="s">
        <v>1218</v>
      </c>
      <c r="C244" s="16">
        <v>1.04</v>
      </c>
      <c r="D244" s="174" t="s">
        <v>1219</v>
      </c>
      <c r="E244" s="16"/>
      <c r="F244" s="16">
        <v>528.0</v>
      </c>
      <c r="G244" s="16" t="s">
        <v>1755</v>
      </c>
      <c r="H244" s="16" t="s">
        <v>25</v>
      </c>
      <c r="I244" s="16"/>
      <c r="J244" s="16"/>
      <c r="K244" s="16"/>
      <c r="L244" s="16"/>
      <c r="M244" s="16"/>
      <c r="N244" s="16"/>
      <c r="O244" s="16"/>
      <c r="P244" s="16"/>
      <c r="Q244" s="16"/>
      <c r="R244" s="16"/>
      <c r="S244" s="16">
        <v>19.0</v>
      </c>
      <c r="T244" s="16"/>
      <c r="U244" s="16" t="s">
        <v>1220</v>
      </c>
      <c r="V244" s="16" t="s">
        <v>1221</v>
      </c>
      <c r="W244" s="16" t="s">
        <v>600</v>
      </c>
    </row>
    <row r="245">
      <c r="A245" s="16">
        <v>11669.0</v>
      </c>
      <c r="B245" s="16" t="s">
        <v>1222</v>
      </c>
      <c r="C245" s="16">
        <v>0.57</v>
      </c>
      <c r="D245" s="174" t="s">
        <v>1223</v>
      </c>
      <c r="E245" s="16"/>
      <c r="F245" s="16">
        <v>498.0</v>
      </c>
      <c r="G245" s="16" t="s">
        <v>176</v>
      </c>
      <c r="H245" s="16" t="s">
        <v>14</v>
      </c>
      <c r="I245" s="16"/>
      <c r="J245" s="16"/>
      <c r="K245" s="16"/>
      <c r="L245" s="16"/>
      <c r="M245" s="16"/>
      <c r="N245" s="16"/>
      <c r="O245" s="16"/>
      <c r="P245" s="16"/>
      <c r="Q245" s="16"/>
      <c r="R245" s="16"/>
      <c r="S245" s="16">
        <v>-2.0</v>
      </c>
      <c r="T245" s="16"/>
      <c r="U245" s="16" t="s">
        <v>1224</v>
      </c>
      <c r="V245" s="16" t="s">
        <v>1225</v>
      </c>
      <c r="W245" s="16" t="s">
        <v>188</v>
      </c>
    </row>
    <row r="246">
      <c r="A246" s="16">
        <v>11670.0</v>
      </c>
      <c r="B246" s="16" t="s">
        <v>1226</v>
      </c>
      <c r="C246" s="16">
        <v>0.0</v>
      </c>
      <c r="D246" s="174" t="s">
        <v>1227</v>
      </c>
      <c r="E246" s="16"/>
      <c r="F246" s="16">
        <v>498.0</v>
      </c>
      <c r="G246" s="16" t="s">
        <v>176</v>
      </c>
      <c r="H246" s="16" t="s">
        <v>25</v>
      </c>
      <c r="I246" s="16" t="s">
        <v>26</v>
      </c>
      <c r="J246" s="16"/>
      <c r="K246" s="16"/>
      <c r="L246" s="16"/>
      <c r="M246" s="16"/>
      <c r="N246" s="16"/>
      <c r="O246" s="16"/>
      <c r="P246" s="16"/>
      <c r="Q246" s="16"/>
      <c r="R246" s="16"/>
      <c r="S246" s="16">
        <v>-2.0</v>
      </c>
      <c r="T246" s="16"/>
      <c r="U246" s="16" t="s">
        <v>1228</v>
      </c>
      <c r="V246" s="16" t="s">
        <v>1229</v>
      </c>
      <c r="W246" s="16" t="s">
        <v>591</v>
      </c>
    </row>
    <row r="247">
      <c r="A247" s="16">
        <v>11671.0</v>
      </c>
      <c r="B247" s="16" t="s">
        <v>1230</v>
      </c>
      <c r="C247" s="16">
        <v>1.6</v>
      </c>
      <c r="D247" s="174" t="s">
        <v>1231</v>
      </c>
      <c r="E247" s="16"/>
      <c r="F247" s="16">
        <v>526.0</v>
      </c>
      <c r="G247" s="16" t="s">
        <v>212</v>
      </c>
      <c r="H247" s="16" t="s">
        <v>17</v>
      </c>
      <c r="I247" s="16" t="s">
        <v>18</v>
      </c>
      <c r="J247" s="16" t="s">
        <v>19</v>
      </c>
      <c r="K247" s="16"/>
      <c r="L247" s="16"/>
      <c r="M247" s="16"/>
      <c r="N247" s="16"/>
      <c r="O247" s="16"/>
      <c r="P247" s="16"/>
      <c r="Q247" s="16"/>
      <c r="R247" s="16"/>
      <c r="S247" s="16">
        <v>1.0</v>
      </c>
      <c r="T247" s="174" t="s">
        <v>4747</v>
      </c>
      <c r="U247" s="16" t="s">
        <v>1232</v>
      </c>
      <c r="V247" s="16" t="s">
        <v>1233</v>
      </c>
      <c r="W247" s="16" t="s">
        <v>188</v>
      </c>
    </row>
    <row r="248">
      <c r="A248" s="16">
        <v>11672.0</v>
      </c>
      <c r="B248" s="16" t="s">
        <v>1234</v>
      </c>
      <c r="C248" s="16">
        <v>0.42</v>
      </c>
      <c r="D248" s="174" t="s">
        <v>1235</v>
      </c>
      <c r="E248" s="16"/>
      <c r="F248" s="16">
        <v>498.0</v>
      </c>
      <c r="G248" s="16" t="s">
        <v>176</v>
      </c>
      <c r="H248" s="16" t="s">
        <v>13</v>
      </c>
      <c r="I248" s="16" t="s">
        <v>19</v>
      </c>
      <c r="J248" s="16" t="s">
        <v>17</v>
      </c>
      <c r="K248" s="16"/>
      <c r="L248" s="16"/>
      <c r="M248" s="16"/>
      <c r="N248" s="16"/>
      <c r="O248" s="16"/>
      <c r="P248" s="16"/>
      <c r="Q248" s="16"/>
      <c r="R248" s="16"/>
      <c r="S248" s="16">
        <v>-2.0</v>
      </c>
      <c r="T248" s="16"/>
      <c r="U248" s="16" t="s">
        <v>1236</v>
      </c>
      <c r="V248" s="16" t="s">
        <v>1237</v>
      </c>
      <c r="W248" s="16" t="s">
        <v>491</v>
      </c>
    </row>
    <row r="249">
      <c r="A249" s="16">
        <v>11673.0</v>
      </c>
      <c r="B249" s="16" t="s">
        <v>1238</v>
      </c>
      <c r="C249" s="16">
        <v>0.3</v>
      </c>
      <c r="D249" s="174" t="s">
        <v>1239</v>
      </c>
      <c r="E249" s="16"/>
      <c r="F249" s="16">
        <v>520.0</v>
      </c>
      <c r="G249" s="16" t="s">
        <v>292</v>
      </c>
      <c r="H249" s="16" t="s">
        <v>15</v>
      </c>
      <c r="I249" s="16" t="s">
        <v>14</v>
      </c>
      <c r="J249" s="16"/>
      <c r="K249" s="16"/>
      <c r="L249" s="16"/>
      <c r="M249" s="16"/>
      <c r="N249" s="16"/>
      <c r="O249" s="16"/>
      <c r="P249" s="16"/>
      <c r="Q249" s="16"/>
      <c r="R249" s="16"/>
      <c r="S249" s="16">
        <v>17.0</v>
      </c>
      <c r="T249" s="16"/>
      <c r="U249" s="16" t="s">
        <v>1240</v>
      </c>
      <c r="V249" s="16" t="s">
        <v>1241</v>
      </c>
      <c r="W249" s="16" t="s">
        <v>199</v>
      </c>
    </row>
    <row r="250">
      <c r="A250" s="16">
        <v>11674.0</v>
      </c>
      <c r="B250" s="16" t="s">
        <v>1242</v>
      </c>
      <c r="C250" s="16">
        <v>0.95</v>
      </c>
      <c r="D250" s="174" t="s">
        <v>1243</v>
      </c>
      <c r="E250" s="16"/>
      <c r="F250" s="16">
        <v>501.0</v>
      </c>
      <c r="G250" s="16" t="s">
        <v>371</v>
      </c>
      <c r="H250" s="16" t="s">
        <v>12</v>
      </c>
      <c r="I250" s="16" t="s">
        <v>13</v>
      </c>
      <c r="J250" s="16" t="s">
        <v>14</v>
      </c>
      <c r="K250" s="16" t="s">
        <v>17</v>
      </c>
      <c r="L250" s="16"/>
      <c r="M250" s="16"/>
      <c r="N250" s="16"/>
      <c r="O250" s="16"/>
      <c r="P250" s="16"/>
      <c r="Q250" s="16"/>
      <c r="R250" s="16"/>
      <c r="S250" s="16">
        <v>16.0</v>
      </c>
      <c r="T250" s="16"/>
      <c r="U250" s="16" t="s">
        <v>1244</v>
      </c>
      <c r="V250" s="16" t="s">
        <v>1245</v>
      </c>
      <c r="W250" s="16" t="s">
        <v>675</v>
      </c>
    </row>
    <row r="251">
      <c r="A251" s="16">
        <v>11675.0</v>
      </c>
      <c r="B251" s="16" t="s">
        <v>1246</v>
      </c>
      <c r="C251" s="16">
        <v>0.51</v>
      </c>
      <c r="D251" s="174" t="s">
        <v>1247</v>
      </c>
      <c r="E251" s="16"/>
      <c r="F251" s="16">
        <v>516.0</v>
      </c>
      <c r="G251" s="16" t="s">
        <v>228</v>
      </c>
      <c r="H251" s="16" t="s">
        <v>24</v>
      </c>
      <c r="I251" s="16" t="s">
        <v>25</v>
      </c>
      <c r="J251" s="16"/>
      <c r="K251" s="16"/>
      <c r="L251" s="16"/>
      <c r="M251" s="16"/>
      <c r="N251" s="16"/>
      <c r="O251" s="16"/>
      <c r="P251" s="16"/>
      <c r="Q251" s="16"/>
      <c r="R251" s="16"/>
      <c r="S251" s="16">
        <v>15.0</v>
      </c>
      <c r="T251" s="16"/>
      <c r="U251" s="16" t="s">
        <v>1248</v>
      </c>
      <c r="V251" s="16" t="s">
        <v>1249</v>
      </c>
      <c r="W251" s="16" t="s">
        <v>491</v>
      </c>
    </row>
    <row r="252">
      <c r="A252" s="16">
        <v>11676.0</v>
      </c>
      <c r="B252" s="16" t="s">
        <v>1250</v>
      </c>
      <c r="C252" s="16">
        <v>1.57</v>
      </c>
      <c r="D252" s="174" t="s">
        <v>1251</v>
      </c>
      <c r="E252" s="16"/>
      <c r="F252" s="16">
        <v>517.0</v>
      </c>
      <c r="G252" s="16" t="s">
        <v>277</v>
      </c>
      <c r="H252" s="16" t="s">
        <v>24</v>
      </c>
      <c r="I252" s="16"/>
      <c r="J252" s="16"/>
      <c r="K252" s="16"/>
      <c r="L252" s="16"/>
      <c r="M252" s="16"/>
      <c r="N252" s="16"/>
      <c r="O252" s="16"/>
      <c r="P252" s="16"/>
      <c r="Q252" s="16"/>
      <c r="R252" s="16"/>
      <c r="S252" s="16">
        <v>1.0</v>
      </c>
      <c r="T252" s="174" t="s">
        <v>4773</v>
      </c>
      <c r="U252" s="16" t="s">
        <v>1252</v>
      </c>
      <c r="V252" s="16" t="s">
        <v>1253</v>
      </c>
      <c r="W252" s="16" t="s">
        <v>231</v>
      </c>
    </row>
    <row r="253">
      <c r="A253" s="16">
        <v>11677.0</v>
      </c>
      <c r="B253" s="16" t="s">
        <v>1254</v>
      </c>
      <c r="C253" s="16">
        <v>1.44</v>
      </c>
      <c r="D253" s="174" t="s">
        <v>1255</v>
      </c>
      <c r="E253" s="16"/>
      <c r="F253" s="16">
        <v>535.0</v>
      </c>
      <c r="G253" s="16" t="s">
        <v>361</v>
      </c>
      <c r="H253" s="16" t="s">
        <v>18</v>
      </c>
      <c r="I253" s="16" t="s">
        <v>19</v>
      </c>
      <c r="J253" s="16"/>
      <c r="K253" s="16"/>
      <c r="L253" s="16"/>
      <c r="M253" s="16"/>
      <c r="N253" s="16"/>
      <c r="O253" s="16"/>
      <c r="P253" s="16"/>
      <c r="Q253" s="16"/>
      <c r="R253" s="16"/>
      <c r="S253" s="16">
        <v>1.0</v>
      </c>
      <c r="T253" s="16"/>
      <c r="U253" s="16" t="s">
        <v>1257</v>
      </c>
      <c r="V253" s="16" t="s">
        <v>1258</v>
      </c>
      <c r="W253" s="16" t="s">
        <v>188</v>
      </c>
    </row>
    <row r="254">
      <c r="A254" s="16">
        <v>11678.0</v>
      </c>
      <c r="B254" s="16" t="s">
        <v>1259</v>
      </c>
      <c r="C254" s="16">
        <v>0.0</v>
      </c>
      <c r="D254" s="174" t="s">
        <v>1260</v>
      </c>
      <c r="E254" s="16"/>
      <c r="F254" s="16">
        <v>498.0</v>
      </c>
      <c r="G254" s="16" t="s">
        <v>176</v>
      </c>
      <c r="H254" s="16" t="s">
        <v>19</v>
      </c>
      <c r="I254" s="16" t="s">
        <v>17</v>
      </c>
      <c r="J254" s="16" t="s">
        <v>18</v>
      </c>
      <c r="K254" s="16"/>
      <c r="L254" s="16"/>
      <c r="M254" s="16"/>
      <c r="N254" s="16"/>
      <c r="O254" s="16"/>
      <c r="P254" s="16"/>
      <c r="Q254" s="16"/>
      <c r="R254" s="16"/>
      <c r="S254" s="16">
        <v>-2.0</v>
      </c>
      <c r="T254" s="16"/>
      <c r="U254" s="16" t="s">
        <v>1261</v>
      </c>
      <c r="V254" s="16" t="s">
        <v>1262</v>
      </c>
      <c r="W254" s="16" t="s">
        <v>332</v>
      </c>
    </row>
    <row r="255">
      <c r="A255" s="16">
        <v>11679.0</v>
      </c>
      <c r="B255" s="16" t="s">
        <v>1263</v>
      </c>
      <c r="C255" s="16">
        <v>2.72</v>
      </c>
      <c r="D255" s="174" t="s">
        <v>1264</v>
      </c>
      <c r="E255" s="16"/>
      <c r="F255" s="16">
        <v>526.0</v>
      </c>
      <c r="G255" s="16" t="s">
        <v>212</v>
      </c>
      <c r="H255" s="16" t="s">
        <v>16</v>
      </c>
      <c r="I255" s="16"/>
      <c r="J255" s="16"/>
      <c r="K255" s="16"/>
      <c r="L255" s="16"/>
      <c r="M255" s="16"/>
      <c r="N255" s="16"/>
      <c r="O255" s="16"/>
      <c r="P255" s="16"/>
      <c r="Q255" s="16"/>
      <c r="R255" s="16"/>
      <c r="S255" s="16">
        <v>11.0</v>
      </c>
      <c r="T255" s="174" t="s">
        <v>4747</v>
      </c>
      <c r="U255" s="16" t="s">
        <v>1265</v>
      </c>
      <c r="V255" s="16" t="s">
        <v>1266</v>
      </c>
      <c r="W255" s="16" t="s">
        <v>722</v>
      </c>
    </row>
    <row r="256">
      <c r="A256" s="16">
        <v>11680.0</v>
      </c>
      <c r="B256" s="16" t="s">
        <v>1267</v>
      </c>
      <c r="C256" s="16">
        <v>0.0</v>
      </c>
      <c r="D256" s="174" t="s">
        <v>1268</v>
      </c>
      <c r="E256" s="16"/>
      <c r="F256" s="16">
        <v>541.0</v>
      </c>
      <c r="G256" s="16" t="s">
        <v>387</v>
      </c>
      <c r="H256" s="16" t="s">
        <v>25</v>
      </c>
      <c r="I256" s="16" t="s">
        <v>26</v>
      </c>
      <c r="J256" s="16"/>
      <c r="K256" s="16"/>
      <c r="L256" s="16"/>
      <c r="M256" s="16"/>
      <c r="N256" s="16"/>
      <c r="O256" s="16"/>
      <c r="P256" s="16"/>
      <c r="Q256" s="16"/>
      <c r="R256" s="16"/>
      <c r="S256" s="16">
        <v>1.0</v>
      </c>
      <c r="T256" s="16"/>
      <c r="U256" s="16" t="s">
        <v>1269</v>
      </c>
      <c r="V256" s="16" t="s">
        <v>1270</v>
      </c>
      <c r="W256" s="16" t="s">
        <v>179</v>
      </c>
    </row>
    <row r="257">
      <c r="A257" s="16">
        <v>11681.0</v>
      </c>
      <c r="B257" s="16" t="s">
        <v>1271</v>
      </c>
      <c r="C257" s="16">
        <v>0.87</v>
      </c>
      <c r="D257" s="174" t="s">
        <v>1272</v>
      </c>
      <c r="E257" s="16"/>
      <c r="F257" s="16">
        <v>498.0</v>
      </c>
      <c r="G257" s="16" t="s">
        <v>176</v>
      </c>
      <c r="H257" s="16" t="s">
        <v>24</v>
      </c>
      <c r="I257" s="16"/>
      <c r="J257" s="16"/>
      <c r="K257" s="16"/>
      <c r="L257" s="16"/>
      <c r="M257" s="16"/>
      <c r="N257" s="16"/>
      <c r="O257" s="16"/>
      <c r="P257" s="16"/>
      <c r="Q257" s="16"/>
      <c r="R257" s="16"/>
      <c r="S257" s="16">
        <v>-2.0</v>
      </c>
      <c r="T257" s="16"/>
      <c r="U257" s="16" t="s">
        <v>1273</v>
      </c>
      <c r="V257" s="16" t="s">
        <v>1274</v>
      </c>
      <c r="W257" s="16" t="s">
        <v>459</v>
      </c>
    </row>
    <row r="258">
      <c r="A258" s="16">
        <v>11682.0</v>
      </c>
      <c r="B258" s="16" t="s">
        <v>1275</v>
      </c>
      <c r="C258" s="16">
        <v>0.0</v>
      </c>
      <c r="D258" s="174" t="s">
        <v>1276</v>
      </c>
      <c r="E258" s="16"/>
      <c r="F258" s="16">
        <v>498.0</v>
      </c>
      <c r="G258" s="16" t="s">
        <v>176</v>
      </c>
      <c r="H258" s="16" t="s">
        <v>18</v>
      </c>
      <c r="I258" s="16" t="s">
        <v>17</v>
      </c>
      <c r="J258" s="16" t="s">
        <v>19</v>
      </c>
      <c r="K258" s="16"/>
      <c r="L258" s="16"/>
      <c r="M258" s="16"/>
      <c r="N258" s="16"/>
      <c r="O258" s="16"/>
      <c r="P258" s="16"/>
      <c r="Q258" s="16"/>
      <c r="R258" s="16"/>
      <c r="S258" s="16">
        <v>-2.0</v>
      </c>
      <c r="T258" s="16"/>
      <c r="U258" s="16" t="s">
        <v>1277</v>
      </c>
      <c r="V258" s="16" t="s">
        <v>1278</v>
      </c>
      <c r="W258" s="16" t="s">
        <v>360</v>
      </c>
    </row>
    <row r="259">
      <c r="A259" s="16">
        <v>11683.0</v>
      </c>
      <c r="B259" s="16" t="s">
        <v>1279</v>
      </c>
      <c r="C259" s="16">
        <v>1.68</v>
      </c>
      <c r="D259" s="174" t="s">
        <v>1280</v>
      </c>
      <c r="E259" s="16"/>
      <c r="F259" s="16">
        <v>517.0</v>
      </c>
      <c r="G259" s="16" t="s">
        <v>277</v>
      </c>
      <c r="H259" s="16" t="s">
        <v>24</v>
      </c>
      <c r="I259" s="16"/>
      <c r="J259" s="16"/>
      <c r="K259" s="16"/>
      <c r="L259" s="16"/>
      <c r="M259" s="16"/>
      <c r="N259" s="16"/>
      <c r="O259" s="16"/>
      <c r="P259" s="16"/>
      <c r="Q259" s="16"/>
      <c r="R259" s="16"/>
      <c r="S259" s="16">
        <v>9.0</v>
      </c>
      <c r="T259" s="16"/>
      <c r="U259" s="16" t="s">
        <v>1281</v>
      </c>
      <c r="V259" s="16" t="s">
        <v>1282</v>
      </c>
      <c r="W259" s="16" t="s">
        <v>188</v>
      </c>
    </row>
    <row r="260">
      <c r="A260" s="16">
        <v>11684.0</v>
      </c>
      <c r="B260" s="16" t="s">
        <v>1283</v>
      </c>
      <c r="C260" s="16">
        <v>0.7</v>
      </c>
      <c r="D260" s="174" t="s">
        <v>1284</v>
      </c>
      <c r="E260" s="16"/>
      <c r="F260" s="16">
        <v>498.0</v>
      </c>
      <c r="G260" s="16" t="s">
        <v>176</v>
      </c>
      <c r="H260" s="16" t="s">
        <v>12</v>
      </c>
      <c r="I260" s="16"/>
      <c r="J260" s="16"/>
      <c r="K260" s="16"/>
      <c r="L260" s="16"/>
      <c r="M260" s="16"/>
      <c r="N260" s="16"/>
      <c r="O260" s="16"/>
      <c r="P260" s="16"/>
      <c r="Q260" s="16"/>
      <c r="R260" s="16"/>
      <c r="S260" s="16">
        <v>-2.0</v>
      </c>
      <c r="T260" s="16"/>
      <c r="U260" s="16" t="s">
        <v>1285</v>
      </c>
      <c r="V260" s="16" t="s">
        <v>1286</v>
      </c>
      <c r="W260" s="16" t="s">
        <v>399</v>
      </c>
    </row>
    <row r="261">
      <c r="A261" s="16">
        <v>11685.0</v>
      </c>
      <c r="B261" s="16" t="s">
        <v>1287</v>
      </c>
      <c r="C261" s="16">
        <v>0.0</v>
      </c>
      <c r="D261" s="174" t="s">
        <v>1288</v>
      </c>
      <c r="E261" s="16"/>
      <c r="F261" s="16">
        <v>514.0</v>
      </c>
      <c r="G261" s="16" t="s">
        <v>260</v>
      </c>
      <c r="H261" s="16" t="s">
        <v>14</v>
      </c>
      <c r="I261" s="16" t="s">
        <v>15</v>
      </c>
      <c r="J261" s="16" t="s">
        <v>13</v>
      </c>
      <c r="K261" s="16"/>
      <c r="L261" s="16"/>
      <c r="M261" s="16"/>
      <c r="N261" s="16"/>
      <c r="O261" s="16"/>
      <c r="P261" s="16"/>
      <c r="Q261" s="16"/>
      <c r="R261" s="16"/>
      <c r="S261" s="16">
        <v>1.0</v>
      </c>
      <c r="T261" s="16"/>
      <c r="U261" s="16" t="s">
        <v>1289</v>
      </c>
      <c r="V261" s="16" t="s">
        <v>1290</v>
      </c>
      <c r="W261" s="16" t="s">
        <v>199</v>
      </c>
    </row>
    <row r="262">
      <c r="A262" s="16">
        <v>11686.0</v>
      </c>
      <c r="B262" s="16" t="s">
        <v>1291</v>
      </c>
      <c r="C262" s="16">
        <v>0.22</v>
      </c>
      <c r="D262" s="174" t="s">
        <v>1292</v>
      </c>
      <c r="E262" s="16"/>
      <c r="F262" s="16">
        <v>505.0</v>
      </c>
      <c r="G262" s="16" t="s">
        <v>4656</v>
      </c>
      <c r="H262" s="16" t="s">
        <v>17</v>
      </c>
      <c r="I262" s="16" t="s">
        <v>18</v>
      </c>
      <c r="J262" s="16" t="s">
        <v>19</v>
      </c>
      <c r="K262" s="16"/>
      <c r="L262" s="16"/>
      <c r="M262" s="16"/>
      <c r="N262" s="16"/>
      <c r="O262" s="16"/>
      <c r="P262" s="16"/>
      <c r="Q262" s="16"/>
      <c r="R262" s="16"/>
      <c r="S262" s="16">
        <v>1.0</v>
      </c>
      <c r="T262" s="16"/>
      <c r="U262" s="16" t="s">
        <v>1293</v>
      </c>
      <c r="V262" s="16" t="s">
        <v>1294</v>
      </c>
      <c r="W262" s="16" t="s">
        <v>360</v>
      </c>
    </row>
    <row r="263">
      <c r="A263" s="16">
        <v>11687.0</v>
      </c>
      <c r="B263" s="16" t="s">
        <v>1295</v>
      </c>
      <c r="C263" s="16">
        <v>0.0</v>
      </c>
      <c r="D263" s="174" t="s">
        <v>1296</v>
      </c>
      <c r="E263" s="16"/>
      <c r="F263" s="16">
        <v>498.0</v>
      </c>
      <c r="G263" s="16" t="s">
        <v>176</v>
      </c>
      <c r="H263" s="16" t="s">
        <v>24</v>
      </c>
      <c r="I263" s="16"/>
      <c r="J263" s="16"/>
      <c r="K263" s="16"/>
      <c r="L263" s="16"/>
      <c r="M263" s="16"/>
      <c r="N263" s="16"/>
      <c r="O263" s="16"/>
      <c r="P263" s="16"/>
      <c r="Q263" s="16"/>
      <c r="R263" s="16"/>
      <c r="S263" s="16">
        <v>-2.0</v>
      </c>
      <c r="T263" s="16"/>
      <c r="U263" s="16" t="s">
        <v>1297</v>
      </c>
      <c r="V263" s="16" t="s">
        <v>1298</v>
      </c>
      <c r="W263" s="16" t="s">
        <v>259</v>
      </c>
    </row>
    <row r="264">
      <c r="A264" s="16">
        <v>11688.0</v>
      </c>
      <c r="B264" s="16" t="s">
        <v>1299</v>
      </c>
      <c r="C264" s="16">
        <v>0.0</v>
      </c>
      <c r="D264" s="174" t="s">
        <v>1300</v>
      </c>
      <c r="E264" s="16"/>
      <c r="F264" s="16">
        <v>498.0</v>
      </c>
      <c r="G264" s="16" t="s">
        <v>176</v>
      </c>
      <c r="H264" s="16" t="s">
        <v>24</v>
      </c>
      <c r="I264" s="16" t="s">
        <v>25</v>
      </c>
      <c r="J264" s="16"/>
      <c r="K264" s="16"/>
      <c r="L264" s="16"/>
      <c r="M264" s="16"/>
      <c r="N264" s="16"/>
      <c r="O264" s="16"/>
      <c r="P264" s="16"/>
      <c r="Q264" s="16"/>
      <c r="R264" s="16"/>
      <c r="S264" s="16">
        <v>-2.0</v>
      </c>
      <c r="T264" s="16"/>
      <c r="U264" s="16" t="s">
        <v>1301</v>
      </c>
      <c r="V264" s="16" t="s">
        <v>1302</v>
      </c>
      <c r="W264" s="16" t="s">
        <v>259</v>
      </c>
    </row>
    <row r="265">
      <c r="A265" s="16">
        <v>11689.0</v>
      </c>
      <c r="B265" s="16" t="s">
        <v>1303</v>
      </c>
      <c r="C265" s="16">
        <v>1.34</v>
      </c>
      <c r="D265" s="174" t="s">
        <v>1304</v>
      </c>
      <c r="E265" s="16"/>
      <c r="F265" s="16">
        <v>498.0</v>
      </c>
      <c r="G265" s="16" t="s">
        <v>176</v>
      </c>
      <c r="H265" s="16" t="s">
        <v>19</v>
      </c>
      <c r="I265" s="16" t="s">
        <v>17</v>
      </c>
      <c r="J265" s="16" t="s">
        <v>18</v>
      </c>
      <c r="K265" s="16"/>
      <c r="L265" s="16"/>
      <c r="M265" s="16"/>
      <c r="N265" s="16"/>
      <c r="O265" s="16"/>
      <c r="P265" s="16"/>
      <c r="Q265" s="16"/>
      <c r="R265" s="16"/>
      <c r="S265" s="16">
        <v>-2.0</v>
      </c>
      <c r="T265" s="16"/>
      <c r="U265" s="16" t="s">
        <v>1305</v>
      </c>
      <c r="V265" s="16" t="s">
        <v>1306</v>
      </c>
      <c r="W265" s="16" t="s">
        <v>459</v>
      </c>
    </row>
    <row r="266">
      <c r="A266" s="16">
        <v>11690.0</v>
      </c>
      <c r="B266" s="16" t="s">
        <v>1307</v>
      </c>
      <c r="C266" s="16">
        <v>1.46</v>
      </c>
      <c r="D266" s="174" t="s">
        <v>1308</v>
      </c>
      <c r="E266" s="16"/>
      <c r="F266" s="16">
        <v>538.0</v>
      </c>
      <c r="G266" s="16" t="s">
        <v>289</v>
      </c>
      <c r="H266" s="16" t="s">
        <v>25</v>
      </c>
      <c r="I266" s="16" t="s">
        <v>26</v>
      </c>
      <c r="J266" s="16"/>
      <c r="K266" s="16"/>
      <c r="L266" s="16"/>
      <c r="M266" s="16"/>
      <c r="N266" s="16"/>
      <c r="O266" s="16"/>
      <c r="P266" s="16"/>
      <c r="Q266" s="16"/>
      <c r="R266" s="16"/>
      <c r="S266" s="16">
        <v>10.0</v>
      </c>
      <c r="T266" s="16"/>
      <c r="U266" s="16" t="s">
        <v>1309</v>
      </c>
      <c r="V266" s="16" t="s">
        <v>1310</v>
      </c>
      <c r="W266" s="16" t="s">
        <v>422</v>
      </c>
    </row>
    <row r="267">
      <c r="A267" s="16">
        <v>11691.0</v>
      </c>
      <c r="B267" s="16" t="s">
        <v>1311</v>
      </c>
      <c r="C267" s="16">
        <v>0.38</v>
      </c>
      <c r="D267" s="174" t="s">
        <v>1312</v>
      </c>
      <c r="E267" s="16"/>
      <c r="F267" s="16">
        <v>535.0</v>
      </c>
      <c r="G267" s="16" t="s">
        <v>361</v>
      </c>
      <c r="H267" s="16" t="s">
        <v>25</v>
      </c>
      <c r="I267" s="16" t="s">
        <v>26</v>
      </c>
      <c r="J267" s="16"/>
      <c r="K267" s="16"/>
      <c r="L267" s="16"/>
      <c r="M267" s="16"/>
      <c r="N267" s="16"/>
      <c r="O267" s="16"/>
      <c r="P267" s="16"/>
      <c r="Q267" s="16"/>
      <c r="R267" s="16"/>
      <c r="S267" s="16">
        <v>16.0</v>
      </c>
      <c r="T267" s="16"/>
      <c r="U267" s="16" t="s">
        <v>1313</v>
      </c>
      <c r="V267" s="16" t="s">
        <v>1314</v>
      </c>
      <c r="W267" s="16" t="s">
        <v>179</v>
      </c>
    </row>
    <row r="268">
      <c r="A268" s="16">
        <v>11692.0</v>
      </c>
      <c r="B268" s="16" t="s">
        <v>1315</v>
      </c>
      <c r="C268" s="16">
        <v>1.5</v>
      </c>
      <c r="D268" s="174" t="s">
        <v>1316</v>
      </c>
      <c r="E268" s="16"/>
      <c r="F268" s="16">
        <v>534.0</v>
      </c>
      <c r="G268" s="16" t="s">
        <v>1170</v>
      </c>
      <c r="H268" s="16" t="s">
        <v>24</v>
      </c>
      <c r="I268" s="16" t="s">
        <v>25</v>
      </c>
      <c r="J268" s="16" t="s">
        <v>26</v>
      </c>
      <c r="K268" s="16"/>
      <c r="L268" s="16"/>
      <c r="M268" s="16"/>
      <c r="N268" s="16"/>
      <c r="O268" s="16"/>
      <c r="P268" s="16"/>
      <c r="Q268" s="16"/>
      <c r="R268" s="16"/>
      <c r="S268" s="16">
        <v>19.0</v>
      </c>
      <c r="T268" s="16"/>
      <c r="U268" s="16" t="s">
        <v>1318</v>
      </c>
      <c r="V268" s="16" t="s">
        <v>1319</v>
      </c>
      <c r="W268" s="16" t="s">
        <v>332</v>
      </c>
    </row>
    <row r="269">
      <c r="A269" s="16">
        <v>11693.0</v>
      </c>
      <c r="B269" s="16" t="s">
        <v>1320</v>
      </c>
      <c r="C269" s="16">
        <v>0.92</v>
      </c>
      <c r="D269" s="174" t="s">
        <v>1321</v>
      </c>
      <c r="E269" s="16"/>
      <c r="F269" s="16">
        <v>540.0</v>
      </c>
      <c r="G269" s="16" t="s">
        <v>1729</v>
      </c>
      <c r="H269" s="16" t="s">
        <v>16</v>
      </c>
      <c r="I269" s="16" t="s">
        <v>18</v>
      </c>
      <c r="J269" s="16" t="s">
        <v>15</v>
      </c>
      <c r="K269" s="16" t="s">
        <v>19</v>
      </c>
      <c r="L269" s="16" t="s">
        <v>14</v>
      </c>
      <c r="M269" s="16" t="s">
        <v>17</v>
      </c>
      <c r="N269" s="16"/>
      <c r="O269" s="16"/>
      <c r="P269" s="16"/>
      <c r="Q269" s="16"/>
      <c r="R269" s="16"/>
      <c r="S269" s="16">
        <v>15.0</v>
      </c>
      <c r="T269" s="16"/>
      <c r="U269" s="16" t="s">
        <v>1322</v>
      </c>
      <c r="V269" s="16" t="s">
        <v>1323</v>
      </c>
      <c r="W269" s="16" t="s">
        <v>360</v>
      </c>
    </row>
    <row r="270">
      <c r="A270" s="16">
        <v>11694.0</v>
      </c>
      <c r="B270" s="16" t="s">
        <v>1324</v>
      </c>
      <c r="C270" s="16">
        <v>0.0</v>
      </c>
      <c r="D270" s="174" t="s">
        <v>1325</v>
      </c>
      <c r="E270" s="16"/>
      <c r="F270" s="16">
        <v>498.0</v>
      </c>
      <c r="G270" s="16" t="s">
        <v>176</v>
      </c>
      <c r="H270" s="16" t="s">
        <v>51</v>
      </c>
      <c r="I270" s="16"/>
      <c r="J270" s="16"/>
      <c r="K270" s="16"/>
      <c r="L270" s="16"/>
      <c r="M270" s="16"/>
      <c r="N270" s="16"/>
      <c r="O270" s="16"/>
      <c r="P270" s="16"/>
      <c r="Q270" s="16"/>
      <c r="R270" s="16"/>
      <c r="S270" s="16">
        <v>-2.0</v>
      </c>
      <c r="T270" s="16"/>
      <c r="U270" s="16" t="s">
        <v>1326</v>
      </c>
      <c r="V270" s="16" t="s">
        <v>1327</v>
      </c>
      <c r="W270" s="16" t="s">
        <v>199</v>
      </c>
    </row>
    <row r="271">
      <c r="A271" s="16">
        <v>11695.0</v>
      </c>
      <c r="B271" s="16" t="s">
        <v>1328</v>
      </c>
      <c r="C271" s="16">
        <v>0.63</v>
      </c>
      <c r="D271" s="174" t="s">
        <v>1329</v>
      </c>
      <c r="E271" s="16"/>
      <c r="F271" s="16">
        <v>502.0</v>
      </c>
      <c r="G271" s="16" t="s">
        <v>200</v>
      </c>
      <c r="H271" s="16" t="s">
        <v>12</v>
      </c>
      <c r="I271" s="16"/>
      <c r="J271" s="16"/>
      <c r="K271" s="16"/>
      <c r="L271" s="16"/>
      <c r="M271" s="16"/>
      <c r="N271" s="16"/>
      <c r="O271" s="16"/>
      <c r="P271" s="16"/>
      <c r="Q271" s="16"/>
      <c r="R271" s="16"/>
      <c r="S271" s="16">
        <v>17.0</v>
      </c>
      <c r="T271" s="16"/>
      <c r="U271" s="16" t="s">
        <v>1330</v>
      </c>
      <c r="V271" s="16" t="s">
        <v>1331</v>
      </c>
      <c r="W271" s="16" t="s">
        <v>661</v>
      </c>
    </row>
    <row r="272">
      <c r="A272" s="16">
        <v>11696.0</v>
      </c>
      <c r="B272" s="16" t="s">
        <v>1332</v>
      </c>
      <c r="C272" s="16">
        <v>0.0</v>
      </c>
      <c r="D272" s="174" t="s">
        <v>1333</v>
      </c>
      <c r="E272" s="16"/>
      <c r="F272" s="16">
        <v>528.0</v>
      </c>
      <c r="G272" s="16" t="s">
        <v>1755</v>
      </c>
      <c r="H272" s="16" t="s">
        <v>15</v>
      </c>
      <c r="I272" s="16" t="s">
        <v>14</v>
      </c>
      <c r="J272" s="16"/>
      <c r="K272" s="16"/>
      <c r="L272" s="16"/>
      <c r="M272" s="16"/>
      <c r="N272" s="16"/>
      <c r="O272" s="16"/>
      <c r="P272" s="16"/>
      <c r="Q272" s="16"/>
      <c r="R272" s="16"/>
      <c r="S272" s="16">
        <v>15.0</v>
      </c>
      <c r="T272" s="174" t="s">
        <v>4747</v>
      </c>
      <c r="U272" s="16" t="s">
        <v>1334</v>
      </c>
      <c r="V272" s="16" t="s">
        <v>1335</v>
      </c>
      <c r="W272" s="16" t="s">
        <v>332</v>
      </c>
    </row>
    <row r="273">
      <c r="A273" s="16">
        <v>11697.0</v>
      </c>
      <c r="B273" s="16" t="s">
        <v>1336</v>
      </c>
      <c r="C273" s="16">
        <v>0.0</v>
      </c>
      <c r="D273" s="174" t="s">
        <v>1337</v>
      </c>
      <c r="E273" s="16"/>
      <c r="F273" s="16">
        <v>523.0</v>
      </c>
      <c r="G273" s="16" t="s">
        <v>306</v>
      </c>
      <c r="H273" s="16" t="s">
        <v>25</v>
      </c>
      <c r="I273" s="16"/>
      <c r="J273" s="16"/>
      <c r="K273" s="16"/>
      <c r="L273" s="16"/>
      <c r="M273" s="16"/>
      <c r="N273" s="16"/>
      <c r="O273" s="16"/>
      <c r="P273" s="16"/>
      <c r="Q273" s="16"/>
      <c r="R273" s="16"/>
      <c r="S273" s="16">
        <v>1.0</v>
      </c>
      <c r="T273" s="16"/>
      <c r="U273" s="16" t="s">
        <v>1338</v>
      </c>
      <c r="V273" s="16" t="s">
        <v>1339</v>
      </c>
      <c r="W273" s="16" t="s">
        <v>332</v>
      </c>
    </row>
    <row r="274">
      <c r="A274" s="16">
        <v>11698.0</v>
      </c>
      <c r="B274" s="16" t="s">
        <v>1340</v>
      </c>
      <c r="C274" s="16">
        <v>1.96</v>
      </c>
      <c r="D274" s="174" t="s">
        <v>1341</v>
      </c>
      <c r="E274" s="16"/>
      <c r="F274" s="16">
        <v>535.0</v>
      </c>
      <c r="G274" s="16" t="s">
        <v>361</v>
      </c>
      <c r="H274" s="16" t="s">
        <v>16</v>
      </c>
      <c r="I274" s="16"/>
      <c r="J274" s="16"/>
      <c r="K274" s="16"/>
      <c r="L274" s="16"/>
      <c r="M274" s="16"/>
      <c r="N274" s="16"/>
      <c r="O274" s="16"/>
      <c r="P274" s="16"/>
      <c r="Q274" s="16"/>
      <c r="R274" s="16"/>
      <c r="S274" s="16">
        <v>14.0</v>
      </c>
      <c r="T274" s="16"/>
      <c r="U274" s="16" t="s">
        <v>1342</v>
      </c>
      <c r="V274" s="16" t="s">
        <v>1343</v>
      </c>
      <c r="W274" s="16" t="s">
        <v>188</v>
      </c>
    </row>
    <row r="275">
      <c r="A275" s="16">
        <v>11699.0</v>
      </c>
      <c r="B275" s="16" t="s">
        <v>1344</v>
      </c>
      <c r="C275" s="16">
        <v>0.0</v>
      </c>
      <c r="D275" s="174" t="s">
        <v>1345</v>
      </c>
      <c r="E275" s="16"/>
      <c r="F275" s="16">
        <v>498.0</v>
      </c>
      <c r="G275" s="16" t="s">
        <v>176</v>
      </c>
      <c r="H275" s="16" t="s">
        <v>25</v>
      </c>
      <c r="I275" s="16" t="s">
        <v>26</v>
      </c>
      <c r="J275" s="16"/>
      <c r="K275" s="16"/>
      <c r="L275" s="16"/>
      <c r="M275" s="16"/>
      <c r="N275" s="16"/>
      <c r="O275" s="16"/>
      <c r="P275" s="16"/>
      <c r="Q275" s="16"/>
      <c r="R275" s="16"/>
      <c r="S275" s="16">
        <v>-2.0</v>
      </c>
      <c r="T275" s="16"/>
      <c r="U275" s="16" t="s">
        <v>1346</v>
      </c>
      <c r="V275" s="16" t="s">
        <v>1347</v>
      </c>
      <c r="W275" s="16" t="s">
        <v>591</v>
      </c>
    </row>
    <row r="276">
      <c r="A276" s="16">
        <v>11700.0</v>
      </c>
      <c r="B276" s="16" t="s">
        <v>1348</v>
      </c>
      <c r="C276" s="16">
        <v>0.0</v>
      </c>
      <c r="D276" s="174" t="s">
        <v>1349</v>
      </c>
      <c r="E276" s="16"/>
      <c r="F276" s="16">
        <v>498.0</v>
      </c>
      <c r="G276" s="16" t="s">
        <v>176</v>
      </c>
      <c r="H276" s="16" t="s">
        <v>15</v>
      </c>
      <c r="I276" s="16" t="s">
        <v>16</v>
      </c>
      <c r="J276" s="16" t="s">
        <v>14</v>
      </c>
      <c r="K276" s="16"/>
      <c r="L276" s="16"/>
      <c r="M276" s="16"/>
      <c r="N276" s="16"/>
      <c r="O276" s="16"/>
      <c r="P276" s="16"/>
      <c r="Q276" s="16"/>
      <c r="R276" s="16"/>
      <c r="S276" s="16">
        <v>-2.0</v>
      </c>
      <c r="T276" s="16"/>
      <c r="U276" s="16" t="s">
        <v>1350</v>
      </c>
      <c r="V276" s="16" t="s">
        <v>1351</v>
      </c>
      <c r="W276" s="16" t="s">
        <v>422</v>
      </c>
    </row>
    <row r="277">
      <c r="A277" s="16">
        <v>11701.0</v>
      </c>
      <c r="B277" s="16" t="s">
        <v>1352</v>
      </c>
      <c r="C277" s="16">
        <v>0.0</v>
      </c>
      <c r="D277" s="174" t="s">
        <v>1353</v>
      </c>
      <c r="E277" s="16"/>
      <c r="F277" s="16">
        <v>498.0</v>
      </c>
      <c r="G277" s="16" t="s">
        <v>176</v>
      </c>
      <c r="H277" s="16" t="s">
        <v>24</v>
      </c>
      <c r="I277" s="16" t="s">
        <v>25</v>
      </c>
      <c r="J277" s="16" t="s">
        <v>26</v>
      </c>
      <c r="K277" s="16"/>
      <c r="L277" s="16"/>
      <c r="M277" s="16"/>
      <c r="N277" s="16"/>
      <c r="O277" s="16"/>
      <c r="P277" s="16"/>
      <c r="Q277" s="16"/>
      <c r="R277" s="16"/>
      <c r="S277" s="16">
        <v>-2.0</v>
      </c>
      <c r="T277" s="16"/>
      <c r="U277" s="16" t="s">
        <v>1354</v>
      </c>
      <c r="V277" s="16" t="s">
        <v>1355</v>
      </c>
      <c r="W277" s="16" t="s">
        <v>332</v>
      </c>
    </row>
    <row r="278">
      <c r="A278" s="16">
        <v>11702.0</v>
      </c>
      <c r="B278" s="16" t="s">
        <v>1356</v>
      </c>
      <c r="C278" s="16">
        <v>2.83</v>
      </c>
      <c r="D278" s="174" t="s">
        <v>1357</v>
      </c>
      <c r="E278" s="16"/>
      <c r="F278" s="16">
        <v>517.0</v>
      </c>
      <c r="G278" s="16" t="s">
        <v>277</v>
      </c>
      <c r="H278" s="16" t="s">
        <v>18</v>
      </c>
      <c r="I278" s="16" t="s">
        <v>17</v>
      </c>
      <c r="J278" s="16" t="s">
        <v>19</v>
      </c>
      <c r="K278" s="16"/>
      <c r="L278" s="16"/>
      <c r="M278" s="16"/>
      <c r="N278" s="16"/>
      <c r="O278" s="16"/>
      <c r="P278" s="16"/>
      <c r="Q278" s="16"/>
      <c r="R278" s="16"/>
      <c r="S278" s="16">
        <v>14.0</v>
      </c>
      <c r="T278" s="16"/>
      <c r="U278" s="16" t="s">
        <v>1358</v>
      </c>
      <c r="V278" s="16" t="s">
        <v>1359</v>
      </c>
      <c r="W278" s="16" t="s">
        <v>675</v>
      </c>
    </row>
    <row r="279">
      <c r="A279" s="16">
        <v>11703.0</v>
      </c>
      <c r="B279" s="16" t="s">
        <v>1360</v>
      </c>
      <c r="C279" s="16">
        <v>0.0</v>
      </c>
      <c r="D279" s="174" t="s">
        <v>1361</v>
      </c>
      <c r="E279" s="16"/>
      <c r="F279" s="16">
        <v>498.0</v>
      </c>
      <c r="G279" s="16" t="s">
        <v>176</v>
      </c>
      <c r="H279" s="16" t="s">
        <v>25</v>
      </c>
      <c r="I279" s="16" t="s">
        <v>26</v>
      </c>
      <c r="J279" s="16"/>
      <c r="K279" s="16"/>
      <c r="L279" s="16"/>
      <c r="M279" s="16"/>
      <c r="N279" s="16"/>
      <c r="O279" s="16"/>
      <c r="P279" s="16"/>
      <c r="Q279" s="16"/>
      <c r="R279" s="16"/>
      <c r="S279" s="16">
        <v>-2.0</v>
      </c>
      <c r="T279" s="16"/>
      <c r="U279" s="16" t="s">
        <v>1362</v>
      </c>
      <c r="V279" s="16" t="s">
        <v>1363</v>
      </c>
      <c r="W279" s="16" t="s">
        <v>179</v>
      </c>
    </row>
    <row r="280">
      <c r="A280" s="16">
        <v>11704.0</v>
      </c>
      <c r="B280" s="16" t="s">
        <v>1364</v>
      </c>
      <c r="C280" s="16">
        <v>1.4</v>
      </c>
      <c r="D280" s="174" t="s">
        <v>1365</v>
      </c>
      <c r="E280" s="16"/>
      <c r="F280" s="16">
        <v>498.0</v>
      </c>
      <c r="G280" s="16" t="s">
        <v>176</v>
      </c>
      <c r="H280" s="16" t="s">
        <v>17</v>
      </c>
      <c r="I280" s="16" t="s">
        <v>19</v>
      </c>
      <c r="J280" s="16"/>
      <c r="K280" s="16"/>
      <c r="L280" s="16"/>
      <c r="M280" s="16"/>
      <c r="N280" s="16"/>
      <c r="O280" s="16"/>
      <c r="P280" s="16"/>
      <c r="Q280" s="16"/>
      <c r="R280" s="16"/>
      <c r="S280" s="16">
        <v>-2.0</v>
      </c>
      <c r="T280" s="16"/>
      <c r="U280" s="16" t="s">
        <v>1366</v>
      </c>
      <c r="V280" s="16" t="s">
        <v>1367</v>
      </c>
      <c r="W280" s="16" t="s">
        <v>199</v>
      </c>
    </row>
    <row r="281">
      <c r="A281" s="16">
        <v>11705.0</v>
      </c>
      <c r="B281" s="16" t="s">
        <v>1368</v>
      </c>
      <c r="C281" s="16">
        <v>0.47</v>
      </c>
      <c r="D281" s="174" t="s">
        <v>1369</v>
      </c>
      <c r="E281" s="16"/>
      <c r="F281" s="16">
        <v>498.0</v>
      </c>
      <c r="G281" s="16" t="s">
        <v>176</v>
      </c>
      <c r="H281" s="16" t="s">
        <v>24</v>
      </c>
      <c r="I281" s="16" t="s">
        <v>25</v>
      </c>
      <c r="J281" s="16"/>
      <c r="K281" s="16"/>
      <c r="L281" s="16"/>
      <c r="M281" s="16"/>
      <c r="N281" s="16"/>
      <c r="O281" s="16"/>
      <c r="P281" s="16"/>
      <c r="Q281" s="16"/>
      <c r="R281" s="16"/>
      <c r="S281" s="16">
        <v>-2.0</v>
      </c>
      <c r="T281" s="16"/>
      <c r="U281" s="16" t="s">
        <v>1370</v>
      </c>
      <c r="V281" s="16" t="s">
        <v>1371</v>
      </c>
      <c r="W281" s="16" t="s">
        <v>360</v>
      </c>
    </row>
    <row r="282">
      <c r="A282" s="16">
        <v>11706.0</v>
      </c>
      <c r="B282" s="16" t="s">
        <v>37</v>
      </c>
      <c r="C282" s="16">
        <v>1.04</v>
      </c>
      <c r="D282" s="174" t="s">
        <v>1372</v>
      </c>
      <c r="E282" s="16"/>
      <c r="F282" s="16">
        <v>529.0</v>
      </c>
      <c r="G282" s="16" t="s">
        <v>333</v>
      </c>
      <c r="H282" s="16" t="s">
        <v>13</v>
      </c>
      <c r="I282" s="16" t="s">
        <v>12</v>
      </c>
      <c r="J282" s="16" t="s">
        <v>17</v>
      </c>
      <c r="K282" s="16" t="s">
        <v>19</v>
      </c>
      <c r="L282" s="16" t="s">
        <v>15</v>
      </c>
      <c r="M282" s="16"/>
      <c r="N282" s="16"/>
      <c r="O282" s="16"/>
      <c r="P282" s="16"/>
      <c r="Q282" s="16"/>
      <c r="R282" s="16"/>
      <c r="S282" s="16">
        <v>10.0</v>
      </c>
      <c r="T282" s="16"/>
      <c r="U282" s="16" t="s">
        <v>1373</v>
      </c>
      <c r="V282" s="16" t="s">
        <v>1374</v>
      </c>
      <c r="W282" s="16" t="s">
        <v>675</v>
      </c>
    </row>
    <row r="283">
      <c r="A283" s="16">
        <v>11707.0</v>
      </c>
      <c r="B283" s="16" t="s">
        <v>1375</v>
      </c>
      <c r="C283" s="16">
        <v>2.38</v>
      </c>
      <c r="D283" s="174" t="s">
        <v>1376</v>
      </c>
      <c r="E283" s="16"/>
      <c r="F283" s="16">
        <v>498.0</v>
      </c>
      <c r="G283" s="16" t="s">
        <v>176</v>
      </c>
      <c r="H283" s="16" t="s">
        <v>16</v>
      </c>
      <c r="I283" s="16" t="s">
        <v>14</v>
      </c>
      <c r="J283" s="16"/>
      <c r="K283" s="16"/>
      <c r="L283" s="16"/>
      <c r="M283" s="16"/>
      <c r="N283" s="16"/>
      <c r="O283" s="16"/>
      <c r="P283" s="16"/>
      <c r="Q283" s="16"/>
      <c r="R283" s="16"/>
      <c r="S283" s="16">
        <v>-2.0</v>
      </c>
      <c r="T283" s="16"/>
      <c r="U283" s="16" t="s">
        <v>1377</v>
      </c>
      <c r="V283" s="16" t="s">
        <v>1378</v>
      </c>
      <c r="W283" s="16" t="s">
        <v>661</v>
      </c>
    </row>
    <row r="284">
      <c r="A284" s="16">
        <v>11708.0</v>
      </c>
      <c r="B284" s="16" t="s">
        <v>1379</v>
      </c>
      <c r="C284" s="16">
        <v>0.89</v>
      </c>
      <c r="D284" s="174" t="s">
        <v>1380</v>
      </c>
      <c r="E284" s="16"/>
      <c r="F284" s="16">
        <v>528.0</v>
      </c>
      <c r="G284" s="16" t="s">
        <v>1755</v>
      </c>
      <c r="H284" s="16" t="s">
        <v>19</v>
      </c>
      <c r="I284" s="16" t="s">
        <v>17</v>
      </c>
      <c r="J284" s="16"/>
      <c r="K284" s="16"/>
      <c r="L284" s="16"/>
      <c r="M284" s="16"/>
      <c r="N284" s="16"/>
      <c r="O284" s="16"/>
      <c r="P284" s="16"/>
      <c r="Q284" s="16"/>
      <c r="R284" s="16"/>
      <c r="S284" s="16">
        <v>15.0</v>
      </c>
      <c r="T284" s="16"/>
      <c r="U284" s="16" t="s">
        <v>1382</v>
      </c>
      <c r="V284" s="16" t="s">
        <v>1383</v>
      </c>
      <c r="W284" s="16" t="s">
        <v>360</v>
      </c>
    </row>
    <row r="285">
      <c r="A285" s="16">
        <v>11709.0</v>
      </c>
      <c r="B285" s="16" t="s">
        <v>1384</v>
      </c>
      <c r="C285" s="16">
        <v>2.16</v>
      </c>
      <c r="D285" s="174" t="s">
        <v>1385</v>
      </c>
      <c r="E285" s="16"/>
      <c r="F285" s="16">
        <v>516.0</v>
      </c>
      <c r="G285" s="16" t="s">
        <v>228</v>
      </c>
      <c r="H285" s="16" t="s">
        <v>24</v>
      </c>
      <c r="I285" s="16"/>
      <c r="J285" s="16"/>
      <c r="K285" s="16"/>
      <c r="L285" s="16"/>
      <c r="M285" s="16"/>
      <c r="N285" s="16"/>
      <c r="O285" s="16"/>
      <c r="P285" s="16"/>
      <c r="Q285" s="16"/>
      <c r="R285" s="16"/>
      <c r="S285" s="16">
        <v>18.0</v>
      </c>
      <c r="T285" s="16"/>
      <c r="U285" s="16" t="s">
        <v>1386</v>
      </c>
      <c r="V285" s="16" t="s">
        <v>1387</v>
      </c>
      <c r="W285" s="16" t="s">
        <v>661</v>
      </c>
    </row>
    <row r="286">
      <c r="A286" s="16">
        <v>11710.0</v>
      </c>
      <c r="B286" s="16" t="s">
        <v>1388</v>
      </c>
      <c r="C286" s="16">
        <v>1.13</v>
      </c>
      <c r="D286" s="174" t="s">
        <v>1389</v>
      </c>
      <c r="E286" s="16"/>
      <c r="F286" s="16">
        <v>512.0</v>
      </c>
      <c r="G286" s="16" t="s">
        <v>3300</v>
      </c>
      <c r="H286" s="16" t="s">
        <v>25</v>
      </c>
      <c r="I286" s="16" t="s">
        <v>26</v>
      </c>
      <c r="J286" s="16"/>
      <c r="K286" s="16"/>
      <c r="L286" s="16"/>
      <c r="M286" s="16"/>
      <c r="N286" s="16"/>
      <c r="O286" s="16"/>
      <c r="P286" s="16"/>
      <c r="Q286" s="16"/>
      <c r="R286" s="16" t="s">
        <v>4774</v>
      </c>
      <c r="S286" s="16">
        <v>17.0</v>
      </c>
      <c r="T286" s="16"/>
      <c r="U286" s="16" t="s">
        <v>1390</v>
      </c>
      <c r="V286" s="16" t="s">
        <v>1391</v>
      </c>
      <c r="W286" s="16" t="s">
        <v>491</v>
      </c>
    </row>
    <row r="287">
      <c r="A287" s="16">
        <v>11711.0</v>
      </c>
      <c r="B287" s="16" t="s">
        <v>1392</v>
      </c>
      <c r="C287" s="16">
        <v>0.0</v>
      </c>
      <c r="D287" s="174" t="s">
        <v>1393</v>
      </c>
      <c r="E287" s="16"/>
      <c r="F287" s="16">
        <v>498.0</v>
      </c>
      <c r="G287" s="16" t="s">
        <v>176</v>
      </c>
      <c r="H287" s="16" t="s">
        <v>24</v>
      </c>
      <c r="I287" s="16"/>
      <c r="J287" s="16"/>
      <c r="K287" s="16"/>
      <c r="L287" s="16"/>
      <c r="M287" s="16"/>
      <c r="N287" s="16"/>
      <c r="O287" s="16"/>
      <c r="P287" s="16"/>
      <c r="Q287" s="16"/>
      <c r="R287" s="16"/>
      <c r="S287" s="16">
        <v>-2.0</v>
      </c>
      <c r="T287" s="16"/>
      <c r="U287" s="16" t="s">
        <v>1394</v>
      </c>
      <c r="V287" s="16" t="s">
        <v>1395</v>
      </c>
      <c r="W287" s="16" t="s">
        <v>199</v>
      </c>
    </row>
    <row r="288">
      <c r="A288" s="16">
        <v>11712.0</v>
      </c>
      <c r="B288" s="16" t="s">
        <v>1396</v>
      </c>
      <c r="C288" s="16">
        <v>1.35</v>
      </c>
      <c r="D288" s="174" t="s">
        <v>1397</v>
      </c>
      <c r="E288" s="16"/>
      <c r="F288" s="16">
        <v>498.0</v>
      </c>
      <c r="G288" s="16" t="s">
        <v>176</v>
      </c>
      <c r="H288" s="16" t="s">
        <v>24</v>
      </c>
      <c r="I288" s="16" t="s">
        <v>25</v>
      </c>
      <c r="J288" s="16"/>
      <c r="K288" s="16"/>
      <c r="L288" s="16"/>
      <c r="M288" s="16"/>
      <c r="N288" s="16"/>
      <c r="O288" s="16"/>
      <c r="P288" s="16"/>
      <c r="Q288" s="16"/>
      <c r="R288" s="16"/>
      <c r="S288" s="16">
        <v>-2.0</v>
      </c>
      <c r="T288" s="16"/>
      <c r="U288" s="16" t="s">
        <v>1398</v>
      </c>
      <c r="V288" s="16" t="s">
        <v>1399</v>
      </c>
      <c r="W288" s="16" t="s">
        <v>332</v>
      </c>
    </row>
    <row r="289">
      <c r="A289" s="16">
        <v>11713.0</v>
      </c>
      <c r="B289" s="16" t="s">
        <v>1400</v>
      </c>
      <c r="C289" s="16">
        <v>0.0</v>
      </c>
      <c r="D289" s="174" t="s">
        <v>1401</v>
      </c>
      <c r="E289" s="16"/>
      <c r="F289" s="16">
        <v>498.0</v>
      </c>
      <c r="G289" s="16" t="s">
        <v>176</v>
      </c>
      <c r="H289" s="16" t="s">
        <v>17</v>
      </c>
      <c r="I289" s="16" t="s">
        <v>14</v>
      </c>
      <c r="J289" s="16"/>
      <c r="K289" s="16"/>
      <c r="L289" s="16"/>
      <c r="M289" s="16"/>
      <c r="N289" s="16"/>
      <c r="O289" s="16"/>
      <c r="P289" s="16"/>
      <c r="Q289" s="16"/>
      <c r="R289" s="16"/>
      <c r="S289" s="16">
        <v>10.0</v>
      </c>
      <c r="T289" s="16"/>
      <c r="U289" s="16" t="s">
        <v>1402</v>
      </c>
      <c r="V289" s="16" t="s">
        <v>1403</v>
      </c>
      <c r="W289" s="16" t="s">
        <v>491</v>
      </c>
    </row>
    <row r="290">
      <c r="A290" s="16">
        <v>11714.0</v>
      </c>
      <c r="B290" s="16" t="s">
        <v>1404</v>
      </c>
      <c r="C290" s="16">
        <v>0.0</v>
      </c>
      <c r="D290" s="174" t="s">
        <v>1405</v>
      </c>
      <c r="E290" s="16"/>
      <c r="F290" s="16">
        <v>538.0</v>
      </c>
      <c r="G290" s="16" t="s">
        <v>289</v>
      </c>
      <c r="H290" s="16" t="s">
        <v>17</v>
      </c>
      <c r="I290" s="16" t="s">
        <v>19</v>
      </c>
      <c r="J290" s="16" t="s">
        <v>18</v>
      </c>
      <c r="K290" s="16"/>
      <c r="L290" s="16"/>
      <c r="M290" s="16"/>
      <c r="N290" s="16"/>
      <c r="O290" s="16"/>
      <c r="P290" s="16"/>
      <c r="Q290" s="16"/>
      <c r="R290" s="16"/>
      <c r="S290" s="16">
        <v>1.0</v>
      </c>
      <c r="T290" s="16"/>
      <c r="U290" s="16" t="s">
        <v>1406</v>
      </c>
      <c r="V290" s="16" t="s">
        <v>1407</v>
      </c>
      <c r="W290" s="16" t="s">
        <v>332</v>
      </c>
    </row>
    <row r="291">
      <c r="A291" s="16">
        <v>11715.0</v>
      </c>
      <c r="B291" s="16" t="s">
        <v>1408</v>
      </c>
      <c r="C291" s="16">
        <v>0.29</v>
      </c>
      <c r="D291" s="174" t="s">
        <v>1409</v>
      </c>
      <c r="E291" s="16"/>
      <c r="F291" s="16">
        <v>543.0</v>
      </c>
      <c r="G291" s="16" t="s">
        <v>1175</v>
      </c>
      <c r="H291" s="16" t="s">
        <v>24</v>
      </c>
      <c r="I291" s="16"/>
      <c r="J291" s="16"/>
      <c r="K291" s="16"/>
      <c r="L291" s="16"/>
      <c r="M291" s="16"/>
      <c r="N291" s="16"/>
      <c r="O291" s="16"/>
      <c r="P291" s="16"/>
      <c r="Q291" s="16"/>
      <c r="R291" s="16"/>
      <c r="S291" s="16">
        <v>14.0</v>
      </c>
      <c r="T291" s="16"/>
      <c r="U291" s="16" t="s">
        <v>1410</v>
      </c>
      <c r="V291" s="16" t="s">
        <v>1411</v>
      </c>
      <c r="W291" s="16" t="s">
        <v>1412</v>
      </c>
    </row>
    <row r="292">
      <c r="A292" s="16">
        <v>11716.0</v>
      </c>
      <c r="B292" s="16" t="s">
        <v>1413</v>
      </c>
      <c r="C292" s="16">
        <v>0.51</v>
      </c>
      <c r="D292" s="174" t="s">
        <v>1414</v>
      </c>
      <c r="E292" s="16"/>
      <c r="F292" s="16">
        <v>498.0</v>
      </c>
      <c r="G292" s="16" t="s">
        <v>176</v>
      </c>
      <c r="H292" s="16" t="s">
        <v>25</v>
      </c>
      <c r="I292" s="16"/>
      <c r="J292" s="16"/>
      <c r="K292" s="16"/>
      <c r="L292" s="16"/>
      <c r="M292" s="16"/>
      <c r="N292" s="16"/>
      <c r="O292" s="16"/>
      <c r="P292" s="16"/>
      <c r="Q292" s="16"/>
      <c r="R292" s="16"/>
      <c r="S292" s="16">
        <v>-2.0</v>
      </c>
      <c r="T292" s="16"/>
      <c r="U292" s="16" t="s">
        <v>1415</v>
      </c>
      <c r="V292" s="16" t="s">
        <v>1416</v>
      </c>
      <c r="W292" s="16" t="s">
        <v>360</v>
      </c>
    </row>
    <row r="293">
      <c r="A293" s="16">
        <v>11717.0</v>
      </c>
      <c r="B293" s="16" t="s">
        <v>1417</v>
      </c>
      <c r="C293" s="16">
        <v>1.65</v>
      </c>
      <c r="D293" s="174" t="s">
        <v>1418</v>
      </c>
      <c r="E293" s="16"/>
      <c r="F293" s="16">
        <v>542.0</v>
      </c>
      <c r="G293" s="16" t="s">
        <v>535</v>
      </c>
      <c r="H293" s="16" t="s">
        <v>25</v>
      </c>
      <c r="I293" s="16" t="s">
        <v>26</v>
      </c>
      <c r="J293" s="16"/>
      <c r="K293" s="16"/>
      <c r="L293" s="16"/>
      <c r="M293" s="16"/>
      <c r="N293" s="16"/>
      <c r="O293" s="16"/>
      <c r="P293" s="16"/>
      <c r="Q293" s="16"/>
      <c r="R293" s="16" t="s">
        <v>4775</v>
      </c>
      <c r="S293" s="16">
        <v>15.0</v>
      </c>
      <c r="T293" s="16"/>
      <c r="U293" s="16" t="s">
        <v>1419</v>
      </c>
      <c r="V293" s="16" t="s">
        <v>1420</v>
      </c>
      <c r="W293" s="16" t="s">
        <v>591</v>
      </c>
    </row>
    <row r="294">
      <c r="A294" s="16">
        <v>11718.0</v>
      </c>
      <c r="B294" s="16" t="s">
        <v>1421</v>
      </c>
      <c r="C294" s="16">
        <v>0.9</v>
      </c>
      <c r="D294" s="174" t="s">
        <v>1422</v>
      </c>
      <c r="E294" s="16"/>
      <c r="F294" s="16">
        <v>538.0</v>
      </c>
      <c r="G294" s="16" t="s">
        <v>289</v>
      </c>
      <c r="H294" s="16" t="s">
        <v>25</v>
      </c>
      <c r="I294" s="16" t="s">
        <v>26</v>
      </c>
      <c r="J294" s="16"/>
      <c r="K294" s="16"/>
      <c r="L294" s="16"/>
      <c r="M294" s="16"/>
      <c r="N294" s="16"/>
      <c r="O294" s="16"/>
      <c r="P294" s="16"/>
      <c r="Q294" s="16"/>
      <c r="R294" s="16"/>
      <c r="S294" s="16">
        <v>19.0</v>
      </c>
      <c r="T294" s="16"/>
      <c r="U294" s="16" t="s">
        <v>1423</v>
      </c>
      <c r="V294" s="16" t="s">
        <v>1424</v>
      </c>
      <c r="W294" s="16" t="s">
        <v>360</v>
      </c>
    </row>
    <row r="295">
      <c r="A295" s="16">
        <v>11719.0</v>
      </c>
      <c r="B295" s="16" t="s">
        <v>1425</v>
      </c>
      <c r="C295" s="16">
        <v>0.0</v>
      </c>
      <c r="D295" s="174" t="s">
        <v>1426</v>
      </c>
      <c r="E295" s="16"/>
      <c r="F295" s="16">
        <v>526.0</v>
      </c>
      <c r="G295" s="16" t="s">
        <v>212</v>
      </c>
      <c r="H295" s="16" t="s">
        <v>18</v>
      </c>
      <c r="I295" s="16" t="s">
        <v>17</v>
      </c>
      <c r="J295" s="16" t="s">
        <v>19</v>
      </c>
      <c r="K295" s="16"/>
      <c r="L295" s="16"/>
      <c r="M295" s="16"/>
      <c r="N295" s="16"/>
      <c r="O295" s="16"/>
      <c r="P295" s="16"/>
      <c r="Q295" s="16"/>
      <c r="R295" s="16"/>
      <c r="S295" s="16">
        <v>1.0</v>
      </c>
      <c r="T295" s="174" t="s">
        <v>4747</v>
      </c>
      <c r="U295" s="16" t="s">
        <v>1427</v>
      </c>
      <c r="V295" s="16" t="s">
        <v>1428</v>
      </c>
      <c r="W295" s="16" t="s">
        <v>332</v>
      </c>
    </row>
    <row r="296">
      <c r="A296" s="16">
        <v>11720.0</v>
      </c>
      <c r="B296" s="16" t="s">
        <v>1429</v>
      </c>
      <c r="C296" s="16">
        <v>1.52</v>
      </c>
      <c r="D296" s="174" t="s">
        <v>1430</v>
      </c>
      <c r="E296" s="16"/>
      <c r="F296" s="16">
        <v>532.0</v>
      </c>
      <c r="G296" s="16" t="s">
        <v>346</v>
      </c>
      <c r="H296" s="16" t="s">
        <v>25</v>
      </c>
      <c r="I296" s="16" t="s">
        <v>26</v>
      </c>
      <c r="J296" s="16"/>
      <c r="K296" s="16"/>
      <c r="L296" s="16"/>
      <c r="M296" s="16"/>
      <c r="N296" s="16"/>
      <c r="O296" s="16"/>
      <c r="P296" s="16"/>
      <c r="Q296" s="16"/>
      <c r="R296" s="16"/>
      <c r="S296" s="16">
        <v>11.0</v>
      </c>
      <c r="T296" s="16"/>
      <c r="U296" s="16" t="s">
        <v>1431</v>
      </c>
      <c r="V296" s="16" t="s">
        <v>1432</v>
      </c>
      <c r="W296" s="16" t="s">
        <v>231</v>
      </c>
    </row>
    <row r="297">
      <c r="A297" s="16">
        <v>11721.0</v>
      </c>
      <c r="B297" s="16" t="s">
        <v>1433</v>
      </c>
      <c r="C297" s="16">
        <v>3.1</v>
      </c>
      <c r="D297" s="174" t="s">
        <v>1434</v>
      </c>
      <c r="E297" s="16"/>
      <c r="F297" s="16">
        <v>531.0</v>
      </c>
      <c r="G297" s="16" t="s">
        <v>3232</v>
      </c>
      <c r="H297" s="16" t="s">
        <v>25</v>
      </c>
      <c r="I297" s="16" t="s">
        <v>26</v>
      </c>
      <c r="J297" s="16"/>
      <c r="K297" s="16"/>
      <c r="L297" s="16"/>
      <c r="M297" s="16"/>
      <c r="N297" s="16"/>
      <c r="O297" s="16"/>
      <c r="P297" s="16"/>
      <c r="Q297" s="16"/>
      <c r="R297" s="16"/>
      <c r="S297" s="16">
        <v>17.0</v>
      </c>
      <c r="T297" s="16"/>
      <c r="U297" s="16" t="s">
        <v>1436</v>
      </c>
      <c r="V297" s="16" t="s">
        <v>1437</v>
      </c>
      <c r="W297" s="16" t="s">
        <v>591</v>
      </c>
    </row>
    <row r="298">
      <c r="A298" s="16">
        <v>11722.0</v>
      </c>
      <c r="B298" s="16" t="s">
        <v>1438</v>
      </c>
      <c r="C298" s="16">
        <v>0.0</v>
      </c>
      <c r="D298" s="174" t="s">
        <v>1439</v>
      </c>
      <c r="E298" s="16"/>
      <c r="F298" s="16">
        <v>498.0</v>
      </c>
      <c r="G298" s="16" t="s">
        <v>176</v>
      </c>
      <c r="H298" s="16" t="s">
        <v>12</v>
      </c>
      <c r="I298" s="16"/>
      <c r="J298" s="16"/>
      <c r="K298" s="16"/>
      <c r="L298" s="16"/>
      <c r="M298" s="16"/>
      <c r="N298" s="16"/>
      <c r="O298" s="16"/>
      <c r="P298" s="16"/>
      <c r="Q298" s="16"/>
      <c r="R298" s="16"/>
      <c r="S298" s="16">
        <v>5.0</v>
      </c>
      <c r="T298" s="174" t="s">
        <v>4747</v>
      </c>
      <c r="U298" s="16" t="s">
        <v>1440</v>
      </c>
      <c r="V298" s="16" t="s">
        <v>1441</v>
      </c>
      <c r="W298" s="16" t="s">
        <v>399</v>
      </c>
    </row>
    <row r="299">
      <c r="A299" s="16">
        <v>11723.0</v>
      </c>
      <c r="B299" s="16" t="s">
        <v>1442</v>
      </c>
      <c r="C299" s="16">
        <v>0.0</v>
      </c>
      <c r="D299" s="174" t="s">
        <v>1443</v>
      </c>
      <c r="E299" s="16"/>
      <c r="F299" s="16">
        <v>531.0</v>
      </c>
      <c r="G299" s="16" t="s">
        <v>3232</v>
      </c>
      <c r="H299" s="16" t="s">
        <v>25</v>
      </c>
      <c r="I299" s="16" t="s">
        <v>26</v>
      </c>
      <c r="J299" s="16"/>
      <c r="K299" s="16"/>
      <c r="L299" s="16"/>
      <c r="M299" s="16"/>
      <c r="N299" s="16"/>
      <c r="O299" s="16"/>
      <c r="P299" s="16"/>
      <c r="Q299" s="16"/>
      <c r="R299" s="16"/>
      <c r="S299" s="16">
        <v>19.0</v>
      </c>
      <c r="T299" s="16"/>
      <c r="U299" s="16" t="s">
        <v>1444</v>
      </c>
      <c r="V299" s="16" t="s">
        <v>1445</v>
      </c>
      <c r="W299" s="16" t="s">
        <v>332</v>
      </c>
    </row>
    <row r="300">
      <c r="A300" s="16">
        <v>11724.0</v>
      </c>
      <c r="B300" s="16" t="s">
        <v>1446</v>
      </c>
      <c r="C300" s="16">
        <v>0.59</v>
      </c>
      <c r="D300" s="174" t="s">
        <v>1447</v>
      </c>
      <c r="E300" s="16"/>
      <c r="F300" s="16">
        <v>541.0</v>
      </c>
      <c r="G300" s="16" t="s">
        <v>387</v>
      </c>
      <c r="H300" s="16" t="s">
        <v>24</v>
      </c>
      <c r="I300" s="16"/>
      <c r="J300" s="16"/>
      <c r="K300" s="16"/>
      <c r="L300" s="16"/>
      <c r="M300" s="16"/>
      <c r="N300" s="16"/>
      <c r="O300" s="16"/>
      <c r="P300" s="16"/>
      <c r="Q300" s="16"/>
      <c r="R300" s="16"/>
      <c r="S300" s="16">
        <v>14.0</v>
      </c>
      <c r="T300" s="16"/>
      <c r="U300" s="16" t="s">
        <v>1448</v>
      </c>
      <c r="V300" s="16" t="s">
        <v>1449</v>
      </c>
      <c r="W300" s="16" t="s">
        <v>179</v>
      </c>
    </row>
    <row r="301">
      <c r="A301" s="16">
        <v>11725.0</v>
      </c>
      <c r="B301" s="16" t="s">
        <v>1450</v>
      </c>
      <c r="C301" s="16">
        <v>0.0</v>
      </c>
      <c r="D301" s="174" t="s">
        <v>1451</v>
      </c>
      <c r="E301" s="16"/>
      <c r="F301" s="16">
        <v>519.0</v>
      </c>
      <c r="G301" s="16" t="s">
        <v>1452</v>
      </c>
      <c r="H301" s="16" t="s">
        <v>15</v>
      </c>
      <c r="I301" s="16" t="s">
        <v>13</v>
      </c>
      <c r="J301" s="16"/>
      <c r="K301" s="16"/>
      <c r="L301" s="16"/>
      <c r="M301" s="16"/>
      <c r="N301" s="16"/>
      <c r="O301" s="16"/>
      <c r="P301" s="16"/>
      <c r="Q301" s="16"/>
      <c r="R301" s="16"/>
      <c r="S301" s="16">
        <v>15.0</v>
      </c>
      <c r="T301" s="16"/>
      <c r="U301" s="16" t="s">
        <v>1453</v>
      </c>
      <c r="V301" s="16" t="s">
        <v>1454</v>
      </c>
      <c r="W301" s="16" t="s">
        <v>422</v>
      </c>
    </row>
    <row r="302">
      <c r="A302" s="16">
        <v>11726.0</v>
      </c>
      <c r="B302" s="16" t="s">
        <v>1455</v>
      </c>
      <c r="C302" s="16">
        <v>0.0</v>
      </c>
      <c r="D302" s="174" t="s">
        <v>1456</v>
      </c>
      <c r="E302" s="16"/>
      <c r="F302" s="16">
        <v>498.0</v>
      </c>
      <c r="G302" s="16" t="s">
        <v>176</v>
      </c>
      <c r="H302" s="16" t="s">
        <v>19</v>
      </c>
      <c r="I302" s="16" t="s">
        <v>17</v>
      </c>
      <c r="J302" s="16" t="s">
        <v>13</v>
      </c>
      <c r="K302" s="16"/>
      <c r="L302" s="16"/>
      <c r="M302" s="16"/>
      <c r="N302" s="16"/>
      <c r="O302" s="16"/>
      <c r="P302" s="16"/>
      <c r="Q302" s="16"/>
      <c r="R302" s="16"/>
      <c r="S302" s="16">
        <v>-2.0</v>
      </c>
      <c r="T302" s="16"/>
      <c r="U302" s="16" t="s">
        <v>1457</v>
      </c>
      <c r="V302" s="16" t="s">
        <v>1458</v>
      </c>
      <c r="W302" s="16" t="s">
        <v>360</v>
      </c>
    </row>
    <row r="303">
      <c r="A303" s="16">
        <v>11727.0</v>
      </c>
      <c r="B303" s="16" t="s">
        <v>1459</v>
      </c>
      <c r="C303" s="16">
        <v>0.0</v>
      </c>
      <c r="D303" s="174" t="s">
        <v>1460</v>
      </c>
      <c r="E303" s="16"/>
      <c r="F303" s="16">
        <v>498.0</v>
      </c>
      <c r="G303" s="16" t="s">
        <v>176</v>
      </c>
      <c r="H303" s="16" t="s">
        <v>24</v>
      </c>
      <c r="I303" s="16" t="s">
        <v>25</v>
      </c>
      <c r="J303" s="16"/>
      <c r="K303" s="16"/>
      <c r="L303" s="16"/>
      <c r="M303" s="16"/>
      <c r="N303" s="16"/>
      <c r="O303" s="16"/>
      <c r="P303" s="16"/>
      <c r="Q303" s="16"/>
      <c r="R303" s="16"/>
      <c r="S303" s="16">
        <v>11.0</v>
      </c>
      <c r="T303" s="16"/>
      <c r="U303" s="16" t="s">
        <v>1461</v>
      </c>
      <c r="V303" s="16" t="s">
        <v>1462</v>
      </c>
      <c r="W303" s="16" t="s">
        <v>496</v>
      </c>
    </row>
    <row r="304">
      <c r="A304" s="16">
        <v>11728.0</v>
      </c>
      <c r="B304" s="16" t="s">
        <v>1463</v>
      </c>
      <c r="C304" s="16">
        <v>0.31</v>
      </c>
      <c r="D304" s="174" t="s">
        <v>1464</v>
      </c>
      <c r="E304" s="16"/>
      <c r="F304" s="16">
        <v>498.0</v>
      </c>
      <c r="G304" s="16" t="s">
        <v>176</v>
      </c>
      <c r="H304" s="16" t="s">
        <v>19</v>
      </c>
      <c r="I304" s="16" t="s">
        <v>17</v>
      </c>
      <c r="J304" s="16"/>
      <c r="K304" s="16"/>
      <c r="L304" s="16"/>
      <c r="M304" s="16"/>
      <c r="N304" s="16"/>
      <c r="O304" s="16"/>
      <c r="P304" s="16"/>
      <c r="Q304" s="16"/>
      <c r="R304" s="16"/>
      <c r="S304" s="16">
        <v>-2.0</v>
      </c>
      <c r="T304" s="16"/>
      <c r="U304" s="16" t="s">
        <v>1466</v>
      </c>
      <c r="V304" s="16" t="s">
        <v>1467</v>
      </c>
      <c r="W304" s="16" t="s">
        <v>751</v>
      </c>
    </row>
    <row r="305">
      <c r="A305" s="16">
        <v>11729.0</v>
      </c>
      <c r="B305" s="16" t="s">
        <v>1468</v>
      </c>
      <c r="C305" s="16">
        <v>0.0</v>
      </c>
      <c r="D305" s="174" t="s">
        <v>1469</v>
      </c>
      <c r="E305" s="16"/>
      <c r="F305" s="16">
        <v>498.0</v>
      </c>
      <c r="G305" s="16" t="s">
        <v>176</v>
      </c>
      <c r="H305" s="16" t="s">
        <v>19</v>
      </c>
      <c r="I305" s="16" t="s">
        <v>18</v>
      </c>
      <c r="J305" s="16" t="s">
        <v>17</v>
      </c>
      <c r="K305" s="16"/>
      <c r="L305" s="16"/>
      <c r="M305" s="16"/>
      <c r="N305" s="16"/>
      <c r="O305" s="16"/>
      <c r="P305" s="16"/>
      <c r="Q305" s="16"/>
      <c r="R305" s="16"/>
      <c r="S305" s="16">
        <v>-2.0</v>
      </c>
      <c r="T305" s="16"/>
      <c r="U305" s="16" t="s">
        <v>1470</v>
      </c>
      <c r="V305" s="16" t="s">
        <v>1471</v>
      </c>
      <c r="W305" s="16" t="s">
        <v>566</v>
      </c>
    </row>
    <row r="306">
      <c r="A306" s="16">
        <v>11730.0</v>
      </c>
      <c r="B306" s="16" t="s">
        <v>1472</v>
      </c>
      <c r="C306" s="16">
        <v>0.0</v>
      </c>
      <c r="D306" s="174" t="s">
        <v>1473</v>
      </c>
      <c r="E306" s="16"/>
      <c r="F306" s="16">
        <v>498.0</v>
      </c>
      <c r="G306" s="16" t="s">
        <v>176</v>
      </c>
      <c r="H306" s="16" t="s">
        <v>13</v>
      </c>
      <c r="I306" s="16"/>
      <c r="J306" s="16"/>
      <c r="K306" s="16"/>
      <c r="L306" s="16"/>
      <c r="M306" s="16"/>
      <c r="N306" s="16"/>
      <c r="O306" s="16"/>
      <c r="P306" s="16"/>
      <c r="Q306" s="16"/>
      <c r="R306" s="16"/>
      <c r="S306" s="16">
        <v>-2.0</v>
      </c>
      <c r="T306" s="16"/>
      <c r="U306" s="16" t="s">
        <v>1474</v>
      </c>
      <c r="V306" s="16" t="s">
        <v>1475</v>
      </c>
      <c r="W306" s="16" t="s">
        <v>179</v>
      </c>
    </row>
    <row r="307">
      <c r="A307" s="16">
        <v>11731.0</v>
      </c>
      <c r="B307" s="16" t="s">
        <v>1476</v>
      </c>
      <c r="C307" s="16">
        <v>0.94</v>
      </c>
      <c r="D307" s="174" t="s">
        <v>1477</v>
      </c>
      <c r="E307" s="16"/>
      <c r="F307" s="16">
        <v>526.0</v>
      </c>
      <c r="G307" s="16" t="s">
        <v>212</v>
      </c>
      <c r="H307" s="16" t="s">
        <v>15</v>
      </c>
      <c r="I307" s="16" t="s">
        <v>13</v>
      </c>
      <c r="J307" s="16" t="s">
        <v>14</v>
      </c>
      <c r="K307" s="16"/>
      <c r="L307" s="16"/>
      <c r="M307" s="16"/>
      <c r="N307" s="16"/>
      <c r="O307" s="16"/>
      <c r="P307" s="16"/>
      <c r="Q307" s="16"/>
      <c r="R307" s="16"/>
      <c r="S307" s="16">
        <v>17.0</v>
      </c>
      <c r="T307" s="174" t="s">
        <v>4747</v>
      </c>
      <c r="U307" s="16" t="s">
        <v>1478</v>
      </c>
      <c r="V307" s="16" t="s">
        <v>1479</v>
      </c>
      <c r="W307" s="16" t="s">
        <v>179</v>
      </c>
    </row>
    <row r="308">
      <c r="A308" s="16">
        <v>11732.0</v>
      </c>
      <c r="B308" s="16" t="s">
        <v>1480</v>
      </c>
      <c r="C308" s="16">
        <v>1.87</v>
      </c>
      <c r="D308" s="174" t="s">
        <v>1481</v>
      </c>
      <c r="E308" s="16"/>
      <c r="F308" s="16">
        <v>498.0</v>
      </c>
      <c r="G308" s="16" t="s">
        <v>176</v>
      </c>
      <c r="H308" s="16" t="s">
        <v>12</v>
      </c>
      <c r="I308" s="16"/>
      <c r="J308" s="16"/>
      <c r="K308" s="16"/>
      <c r="L308" s="16"/>
      <c r="M308" s="16"/>
      <c r="N308" s="16"/>
      <c r="O308" s="16"/>
      <c r="P308" s="16"/>
      <c r="Q308" s="16"/>
      <c r="R308" s="16"/>
      <c r="S308" s="16">
        <v>-2.0</v>
      </c>
      <c r="T308" s="16"/>
      <c r="U308" s="16" t="s">
        <v>1482</v>
      </c>
      <c r="V308" s="16" t="s">
        <v>1483</v>
      </c>
      <c r="W308" s="16" t="s">
        <v>399</v>
      </c>
    </row>
    <row r="309">
      <c r="A309" s="16">
        <v>11733.0</v>
      </c>
      <c r="B309" s="16" t="s">
        <v>1484</v>
      </c>
      <c r="C309" s="16">
        <v>1.0</v>
      </c>
      <c r="D309" s="174" t="s">
        <v>1485</v>
      </c>
      <c r="E309" s="16"/>
      <c r="F309" s="16">
        <v>536.0</v>
      </c>
      <c r="G309" s="16" t="s">
        <v>969</v>
      </c>
      <c r="H309" s="16" t="s">
        <v>24</v>
      </c>
      <c r="I309" s="16" t="s">
        <v>25</v>
      </c>
      <c r="J309" s="16" t="s">
        <v>26</v>
      </c>
      <c r="K309" s="16"/>
      <c r="L309" s="16"/>
      <c r="M309" s="16"/>
      <c r="N309" s="16"/>
      <c r="O309" s="16"/>
      <c r="P309" s="16"/>
      <c r="Q309" s="16"/>
      <c r="R309" s="16" t="s">
        <v>4776</v>
      </c>
      <c r="S309" s="16">
        <v>14.0</v>
      </c>
      <c r="T309" s="16"/>
      <c r="U309" s="16" t="s">
        <v>1486</v>
      </c>
      <c r="V309" s="16" t="s">
        <v>1487</v>
      </c>
      <c r="W309" s="16" t="s">
        <v>422</v>
      </c>
    </row>
    <row r="310">
      <c r="A310" s="16">
        <v>11734.0</v>
      </c>
      <c r="B310" s="16" t="s">
        <v>1488</v>
      </c>
      <c r="C310" s="16">
        <v>0.0</v>
      </c>
      <c r="D310" s="174" t="s">
        <v>1489</v>
      </c>
      <c r="E310" s="16"/>
      <c r="F310" s="16">
        <v>498.0</v>
      </c>
      <c r="G310" s="16" t="s">
        <v>176</v>
      </c>
      <c r="H310" s="16" t="s">
        <v>25</v>
      </c>
      <c r="I310" s="16"/>
      <c r="J310" s="16"/>
      <c r="K310" s="16"/>
      <c r="L310" s="16"/>
      <c r="M310" s="16"/>
      <c r="N310" s="16"/>
      <c r="O310" s="16"/>
      <c r="P310" s="16"/>
      <c r="Q310" s="16"/>
      <c r="R310" s="16"/>
      <c r="S310" s="16">
        <v>-2.0</v>
      </c>
      <c r="T310" s="16"/>
      <c r="U310" s="16" t="s">
        <v>1490</v>
      </c>
      <c r="V310" s="16" t="s">
        <v>1491</v>
      </c>
      <c r="W310" s="16" t="s">
        <v>566</v>
      </c>
    </row>
    <row r="311">
      <c r="A311" s="16">
        <v>11735.0</v>
      </c>
      <c r="B311" s="16" t="s">
        <v>1492</v>
      </c>
      <c r="C311" s="16">
        <v>0.0</v>
      </c>
      <c r="D311" s="174" t="s">
        <v>1493</v>
      </c>
      <c r="E311" s="16"/>
      <c r="F311" s="16">
        <v>544.0</v>
      </c>
      <c r="G311" s="16" t="s">
        <v>272</v>
      </c>
      <c r="H311" s="16" t="s">
        <v>24</v>
      </c>
      <c r="I311" s="16"/>
      <c r="J311" s="16"/>
      <c r="K311" s="16"/>
      <c r="L311" s="16"/>
      <c r="M311" s="16"/>
      <c r="N311" s="16"/>
      <c r="O311" s="16"/>
      <c r="P311" s="16"/>
      <c r="Q311" s="16"/>
      <c r="R311" s="16" t="s">
        <v>4777</v>
      </c>
      <c r="S311" s="16">
        <v>15.0</v>
      </c>
      <c r="T311" s="16"/>
      <c r="U311" s="16" t="s">
        <v>1494</v>
      </c>
      <c r="V311" s="16" t="s">
        <v>1495</v>
      </c>
      <c r="W311" s="16" t="s">
        <v>496</v>
      </c>
    </row>
    <row r="312">
      <c r="A312" s="16">
        <v>11736.0</v>
      </c>
      <c r="B312" s="16" t="s">
        <v>1496</v>
      </c>
      <c r="C312" s="16">
        <v>0.0</v>
      </c>
      <c r="D312" s="174" t="s">
        <v>1497</v>
      </c>
      <c r="E312" s="16"/>
      <c r="F312" s="16">
        <v>498.0</v>
      </c>
      <c r="G312" s="16" t="s">
        <v>176</v>
      </c>
      <c r="H312" s="16" t="s">
        <v>17</v>
      </c>
      <c r="I312" s="16" t="s">
        <v>19</v>
      </c>
      <c r="J312" s="16" t="s">
        <v>18</v>
      </c>
      <c r="K312" s="16"/>
      <c r="L312" s="16"/>
      <c r="M312" s="16"/>
      <c r="N312" s="16"/>
      <c r="O312" s="16"/>
      <c r="P312" s="16"/>
      <c r="Q312" s="16"/>
      <c r="R312" s="16"/>
      <c r="S312" s="16">
        <v>-2.0</v>
      </c>
      <c r="T312" s="16"/>
      <c r="U312" s="16" t="s">
        <v>1498</v>
      </c>
      <c r="V312" s="16" t="s">
        <v>1499</v>
      </c>
      <c r="W312" s="16" t="s">
        <v>661</v>
      </c>
    </row>
    <row r="313">
      <c r="A313" s="16">
        <v>11737.0</v>
      </c>
      <c r="B313" s="16" t="s">
        <v>70</v>
      </c>
      <c r="C313" s="16">
        <v>2.0</v>
      </c>
      <c r="D313" s="174" t="s">
        <v>1500</v>
      </c>
      <c r="E313" s="16"/>
      <c r="F313" s="16">
        <v>523.0</v>
      </c>
      <c r="G313" s="16" t="s">
        <v>306</v>
      </c>
      <c r="H313" s="16" t="s">
        <v>24</v>
      </c>
      <c r="I313" s="16"/>
      <c r="J313" s="16"/>
      <c r="K313" s="16"/>
      <c r="L313" s="16"/>
      <c r="M313" s="16"/>
      <c r="N313" s="16"/>
      <c r="O313" s="16"/>
      <c r="P313" s="16"/>
      <c r="Q313" s="16"/>
      <c r="R313" s="16"/>
      <c r="S313" s="16">
        <v>11.0</v>
      </c>
      <c r="T313" s="174" t="s">
        <v>4778</v>
      </c>
      <c r="U313" s="16" t="s">
        <v>1501</v>
      </c>
      <c r="V313" s="16" t="s">
        <v>1502</v>
      </c>
      <c r="W313" s="16" t="s">
        <v>231</v>
      </c>
    </row>
    <row r="314">
      <c r="A314" s="16">
        <v>11738.0</v>
      </c>
      <c r="B314" s="16" t="s">
        <v>1503</v>
      </c>
      <c r="C314" s="16">
        <v>1.32</v>
      </c>
      <c r="D314" s="174" t="s">
        <v>1504</v>
      </c>
      <c r="E314" s="16"/>
      <c r="F314" s="16">
        <v>534.0</v>
      </c>
      <c r="G314" s="16" t="s">
        <v>1170</v>
      </c>
      <c r="H314" s="16" t="s">
        <v>19</v>
      </c>
      <c r="I314" s="16" t="s">
        <v>18</v>
      </c>
      <c r="J314" s="16"/>
      <c r="K314" s="16"/>
      <c r="L314" s="16"/>
      <c r="M314" s="16"/>
      <c r="N314" s="16"/>
      <c r="O314" s="16"/>
      <c r="P314" s="16"/>
      <c r="Q314" s="16"/>
      <c r="R314" s="16"/>
      <c r="S314" s="16">
        <v>17.0</v>
      </c>
      <c r="T314" s="16"/>
      <c r="U314" s="16" t="s">
        <v>1505</v>
      </c>
      <c r="V314" s="16" t="s">
        <v>1506</v>
      </c>
      <c r="W314" s="16" t="s">
        <v>199</v>
      </c>
    </row>
    <row r="315">
      <c r="A315" s="16">
        <v>11739.0</v>
      </c>
      <c r="B315" s="16" t="s">
        <v>1507</v>
      </c>
      <c r="C315" s="16">
        <v>0.56</v>
      </c>
      <c r="D315" s="174" t="s">
        <v>1508</v>
      </c>
      <c r="E315" s="16"/>
      <c r="F315" s="16">
        <v>545.0</v>
      </c>
      <c r="G315" s="16" t="s">
        <v>4779</v>
      </c>
      <c r="H315" s="16" t="s">
        <v>25</v>
      </c>
      <c r="I315" s="16"/>
      <c r="J315" s="16"/>
      <c r="K315" s="16"/>
      <c r="L315" s="16"/>
      <c r="M315" s="16"/>
      <c r="N315" s="16"/>
      <c r="O315" s="16"/>
      <c r="P315" s="16"/>
      <c r="Q315" s="16"/>
      <c r="R315" s="16" t="s">
        <v>4780</v>
      </c>
      <c r="S315" s="16">
        <v>12.0</v>
      </c>
      <c r="T315" s="174" t="s">
        <v>4781</v>
      </c>
      <c r="U315" s="16" t="s">
        <v>1509</v>
      </c>
      <c r="V315" s="16" t="s">
        <v>1510</v>
      </c>
      <c r="W315" s="16" t="s">
        <v>491</v>
      </c>
    </row>
    <row r="316">
      <c r="A316" s="16">
        <v>11740.0</v>
      </c>
      <c r="B316" s="16" t="s">
        <v>1511</v>
      </c>
      <c r="C316" s="16">
        <v>1.57</v>
      </c>
      <c r="D316" s="174" t="s">
        <v>1512</v>
      </c>
      <c r="E316" s="16"/>
      <c r="F316" s="16">
        <v>498.0</v>
      </c>
      <c r="G316" s="16" t="s">
        <v>176</v>
      </c>
      <c r="H316" s="16" t="s">
        <v>25</v>
      </c>
      <c r="I316" s="16"/>
      <c r="J316" s="16"/>
      <c r="K316" s="16"/>
      <c r="L316" s="16"/>
      <c r="M316" s="16"/>
      <c r="N316" s="16"/>
      <c r="O316" s="16"/>
      <c r="P316" s="16"/>
      <c r="Q316" s="16"/>
      <c r="R316" s="16"/>
      <c r="S316" s="16">
        <v>-2.0</v>
      </c>
      <c r="T316" s="16"/>
      <c r="U316" s="16" t="s">
        <v>1513</v>
      </c>
      <c r="V316" s="16" t="s">
        <v>1514</v>
      </c>
      <c r="W316" s="16" t="s">
        <v>360</v>
      </c>
    </row>
    <row r="317">
      <c r="A317" s="16">
        <v>11741.0</v>
      </c>
      <c r="B317" s="16" t="s">
        <v>1515</v>
      </c>
      <c r="C317" s="16">
        <v>1.45</v>
      </c>
      <c r="D317" s="174" t="s">
        <v>1516</v>
      </c>
      <c r="E317" s="16"/>
      <c r="F317" s="16">
        <v>546.0</v>
      </c>
      <c r="G317" s="16" t="s">
        <v>415</v>
      </c>
      <c r="H317" s="16" t="s">
        <v>16</v>
      </c>
      <c r="I317" s="16" t="s">
        <v>14</v>
      </c>
      <c r="J317" s="16" t="s">
        <v>15</v>
      </c>
      <c r="K317" s="16" t="s">
        <v>17</v>
      </c>
      <c r="L317" s="16" t="s">
        <v>13</v>
      </c>
      <c r="M317" s="16"/>
      <c r="N317" s="16"/>
      <c r="O317" s="16"/>
      <c r="P317" s="16"/>
      <c r="Q317" s="16"/>
      <c r="R317" s="16"/>
      <c r="S317" s="16">
        <v>2.0</v>
      </c>
      <c r="T317" s="16"/>
      <c r="U317" s="16" t="s">
        <v>1517</v>
      </c>
      <c r="V317" s="16" t="s">
        <v>1518</v>
      </c>
      <c r="W317" s="16" t="s">
        <v>491</v>
      </c>
    </row>
    <row r="318">
      <c r="A318" s="16">
        <v>11742.0</v>
      </c>
      <c r="B318" s="16" t="s">
        <v>1519</v>
      </c>
      <c r="C318" s="16">
        <v>0.0</v>
      </c>
      <c r="D318" s="174" t="s">
        <v>1520</v>
      </c>
      <c r="E318" s="16"/>
      <c r="F318" s="16">
        <v>498.0</v>
      </c>
      <c r="G318" s="16" t="s">
        <v>176</v>
      </c>
      <c r="H318" s="16" t="s">
        <v>17</v>
      </c>
      <c r="I318" s="16" t="s">
        <v>19</v>
      </c>
      <c r="J318" s="16" t="s">
        <v>18</v>
      </c>
      <c r="K318" s="16"/>
      <c r="L318" s="16"/>
      <c r="M318" s="16"/>
      <c r="N318" s="16"/>
      <c r="O318" s="16"/>
      <c r="P318" s="16"/>
      <c r="Q318" s="16"/>
      <c r="R318" s="16"/>
      <c r="S318" s="16">
        <v>-2.0</v>
      </c>
      <c r="T318" s="16"/>
      <c r="U318" s="16" t="s">
        <v>1521</v>
      </c>
      <c r="V318" s="16" t="s">
        <v>1522</v>
      </c>
      <c r="W318" s="16" t="s">
        <v>360</v>
      </c>
    </row>
    <row r="319">
      <c r="A319" s="16">
        <v>11743.0</v>
      </c>
      <c r="B319" s="16" t="s">
        <v>1523</v>
      </c>
      <c r="C319" s="16">
        <v>2.43</v>
      </c>
      <c r="D319" s="174" t="s">
        <v>1524</v>
      </c>
      <c r="E319" s="16"/>
      <c r="F319" s="16">
        <v>528.0</v>
      </c>
      <c r="G319" s="16" t="s">
        <v>1755</v>
      </c>
      <c r="H319" s="16" t="s">
        <v>16</v>
      </c>
      <c r="I319" s="16" t="s">
        <v>14</v>
      </c>
      <c r="J319" s="16" t="s">
        <v>15</v>
      </c>
      <c r="K319" s="16"/>
      <c r="L319" s="16"/>
      <c r="M319" s="16"/>
      <c r="N319" s="16"/>
      <c r="O319" s="16"/>
      <c r="P319" s="16"/>
      <c r="Q319" s="16"/>
      <c r="R319" s="16"/>
      <c r="S319" s="16">
        <v>15.0</v>
      </c>
      <c r="T319" s="16"/>
      <c r="U319" s="16" t="s">
        <v>1526</v>
      </c>
      <c r="V319" s="16" t="s">
        <v>1527</v>
      </c>
      <c r="W319" s="16" t="s">
        <v>360</v>
      </c>
    </row>
    <row r="320">
      <c r="A320" s="16">
        <v>11744.0</v>
      </c>
      <c r="B320" s="16" t="s">
        <v>1528</v>
      </c>
      <c r="C320" s="16">
        <v>0.0</v>
      </c>
      <c r="D320" s="174" t="s">
        <v>1529</v>
      </c>
      <c r="E320" s="16"/>
      <c r="F320" s="16">
        <v>498.0</v>
      </c>
      <c r="G320" s="16" t="s">
        <v>176</v>
      </c>
      <c r="H320" s="16" t="s">
        <v>14</v>
      </c>
      <c r="I320" s="16" t="s">
        <v>13</v>
      </c>
      <c r="J320" s="16"/>
      <c r="K320" s="16"/>
      <c r="L320" s="16"/>
      <c r="M320" s="16"/>
      <c r="N320" s="16"/>
      <c r="O320" s="16"/>
      <c r="P320" s="16"/>
      <c r="Q320" s="16"/>
      <c r="R320" s="16"/>
      <c r="S320" s="16">
        <v>-2.0</v>
      </c>
      <c r="T320" s="16"/>
      <c r="U320" s="16" t="s">
        <v>1530</v>
      </c>
      <c r="V320" s="16" t="s">
        <v>1531</v>
      </c>
      <c r="W320" s="16" t="s">
        <v>179</v>
      </c>
    </row>
    <row r="321">
      <c r="A321" s="16">
        <v>11745.0</v>
      </c>
      <c r="B321" s="16" t="s">
        <v>1532</v>
      </c>
      <c r="C321" s="16">
        <v>0.0</v>
      </c>
      <c r="D321" s="174" t="s">
        <v>1533</v>
      </c>
      <c r="E321" s="16"/>
      <c r="F321" s="16">
        <v>511.0</v>
      </c>
      <c r="G321" s="16" t="s">
        <v>245</v>
      </c>
      <c r="H321" s="16" t="s">
        <v>25</v>
      </c>
      <c r="I321" s="16"/>
      <c r="J321" s="16"/>
      <c r="K321" s="16"/>
      <c r="L321" s="16"/>
      <c r="M321" s="16"/>
      <c r="N321" s="16"/>
      <c r="O321" s="16"/>
      <c r="P321" s="16"/>
      <c r="Q321" s="16"/>
      <c r="R321" s="16" t="s">
        <v>181</v>
      </c>
      <c r="S321" s="16">
        <v>16.0</v>
      </c>
      <c r="T321" s="16"/>
      <c r="U321" s="16" t="s">
        <v>1534</v>
      </c>
      <c r="V321" s="16" t="s">
        <v>1535</v>
      </c>
      <c r="W321" s="16" t="s">
        <v>591</v>
      </c>
    </row>
    <row r="322">
      <c r="A322" s="16">
        <v>11746.0</v>
      </c>
      <c r="B322" s="16" t="s">
        <v>1536</v>
      </c>
      <c r="C322" s="16">
        <v>0.3</v>
      </c>
      <c r="D322" s="174" t="s">
        <v>1537</v>
      </c>
      <c r="E322" s="16"/>
      <c r="F322" s="16">
        <v>498.0</v>
      </c>
      <c r="G322" s="16" t="s">
        <v>176</v>
      </c>
      <c r="H322" s="16" t="s">
        <v>24</v>
      </c>
      <c r="I322" s="16"/>
      <c r="J322" s="16"/>
      <c r="K322" s="16"/>
      <c r="L322" s="16"/>
      <c r="M322" s="16"/>
      <c r="N322" s="16"/>
      <c r="O322" s="16"/>
      <c r="P322" s="16"/>
      <c r="Q322" s="16"/>
      <c r="R322" s="16"/>
      <c r="S322" s="16">
        <v>-2.0</v>
      </c>
      <c r="T322" s="16"/>
      <c r="U322" s="16" t="s">
        <v>1538</v>
      </c>
      <c r="V322" s="16" t="s">
        <v>1539</v>
      </c>
      <c r="W322" s="16" t="s">
        <v>496</v>
      </c>
    </row>
    <row r="323">
      <c r="A323" s="16">
        <v>11747.0</v>
      </c>
      <c r="B323" s="16" t="s">
        <v>1540</v>
      </c>
      <c r="C323" s="16">
        <v>1.23</v>
      </c>
      <c r="D323" s="174" t="s">
        <v>1541</v>
      </c>
      <c r="E323" s="16"/>
      <c r="F323" s="16">
        <v>498.0</v>
      </c>
      <c r="G323" s="16" t="s">
        <v>176</v>
      </c>
      <c r="H323" s="16" t="s">
        <v>25</v>
      </c>
      <c r="I323" s="16"/>
      <c r="J323" s="16"/>
      <c r="K323" s="16"/>
      <c r="L323" s="16"/>
      <c r="M323" s="16"/>
      <c r="N323" s="16"/>
      <c r="O323" s="16"/>
      <c r="P323" s="16"/>
      <c r="Q323" s="16"/>
      <c r="R323" s="16"/>
      <c r="S323" s="16">
        <v>-2.0</v>
      </c>
      <c r="T323" s="16"/>
      <c r="U323" s="16" t="s">
        <v>1542</v>
      </c>
      <c r="V323" s="16" t="s">
        <v>1543</v>
      </c>
      <c r="W323" s="16" t="s">
        <v>199</v>
      </c>
    </row>
    <row r="324">
      <c r="A324" s="16">
        <v>11748.0</v>
      </c>
      <c r="B324" s="16" t="s">
        <v>1544</v>
      </c>
      <c r="C324" s="16">
        <v>0.54</v>
      </c>
      <c r="D324" s="174" t="s">
        <v>1545</v>
      </c>
      <c r="E324" s="16"/>
      <c r="F324" s="16">
        <v>510.0</v>
      </c>
      <c r="G324" s="16" t="s">
        <v>4782</v>
      </c>
      <c r="H324" s="16" t="s">
        <v>24</v>
      </c>
      <c r="I324" s="16"/>
      <c r="J324" s="16"/>
      <c r="K324" s="16"/>
      <c r="L324" s="16"/>
      <c r="M324" s="16"/>
      <c r="N324" s="16"/>
      <c r="O324" s="16"/>
      <c r="P324" s="16"/>
      <c r="Q324" s="16"/>
      <c r="R324" s="16"/>
      <c r="S324" s="16">
        <v>16.0</v>
      </c>
      <c r="T324" s="16"/>
      <c r="U324" s="16" t="s">
        <v>1546</v>
      </c>
      <c r="V324" s="16" t="s">
        <v>1547</v>
      </c>
      <c r="W324" s="16" t="s">
        <v>661</v>
      </c>
    </row>
    <row r="325">
      <c r="A325" s="16">
        <v>11749.0</v>
      </c>
      <c r="B325" s="16" t="s">
        <v>1548</v>
      </c>
      <c r="C325" s="16">
        <v>0.0</v>
      </c>
      <c r="D325" s="174" t="s">
        <v>1549</v>
      </c>
      <c r="E325" s="16"/>
      <c r="F325" s="16">
        <v>498.0</v>
      </c>
      <c r="G325" s="16" t="s">
        <v>176</v>
      </c>
      <c r="H325" s="16" t="s">
        <v>19</v>
      </c>
      <c r="I325" s="16" t="s">
        <v>17</v>
      </c>
      <c r="J325" s="16"/>
      <c r="K325" s="16"/>
      <c r="L325" s="16"/>
      <c r="M325" s="16"/>
      <c r="N325" s="16"/>
      <c r="O325" s="16"/>
      <c r="P325" s="16"/>
      <c r="Q325" s="16"/>
      <c r="R325" s="16"/>
      <c r="S325" s="16">
        <v>-2.0</v>
      </c>
      <c r="T325" s="16"/>
      <c r="U325" s="16" t="s">
        <v>1550</v>
      </c>
      <c r="V325" s="16" t="s">
        <v>1551</v>
      </c>
      <c r="W325" s="16" t="s">
        <v>332</v>
      </c>
    </row>
    <row r="326">
      <c r="A326" s="16">
        <v>11750.0</v>
      </c>
      <c r="B326" s="16" t="s">
        <v>1552</v>
      </c>
      <c r="C326" s="16">
        <v>0.45</v>
      </c>
      <c r="D326" s="174" t="s">
        <v>1553</v>
      </c>
      <c r="E326" s="16"/>
      <c r="F326" s="16">
        <v>514.0</v>
      </c>
      <c r="G326" s="16" t="s">
        <v>260</v>
      </c>
      <c r="H326" s="16" t="s">
        <v>25</v>
      </c>
      <c r="I326" s="16" t="s">
        <v>26</v>
      </c>
      <c r="J326" s="16"/>
      <c r="K326" s="16"/>
      <c r="L326" s="16"/>
      <c r="M326" s="16"/>
      <c r="N326" s="16"/>
      <c r="O326" s="16"/>
      <c r="P326" s="16"/>
      <c r="Q326" s="16"/>
      <c r="R326" s="16"/>
      <c r="S326" s="16">
        <v>1.0</v>
      </c>
      <c r="T326" s="16"/>
      <c r="U326" s="16" t="s">
        <v>1554</v>
      </c>
      <c r="V326" s="16" t="s">
        <v>1555</v>
      </c>
      <c r="W326" s="16" t="s">
        <v>259</v>
      </c>
    </row>
    <row r="327">
      <c r="A327" s="16">
        <v>11751.0</v>
      </c>
      <c r="B327" s="16" t="s">
        <v>1556</v>
      </c>
      <c r="C327" s="16">
        <v>3.28</v>
      </c>
      <c r="D327" s="174" t="s">
        <v>1557</v>
      </c>
      <c r="E327" s="16"/>
      <c r="F327" s="16">
        <v>537.0</v>
      </c>
      <c r="G327" s="16" t="s">
        <v>623</v>
      </c>
      <c r="H327" s="16" t="s">
        <v>25</v>
      </c>
      <c r="I327" s="16" t="s">
        <v>26</v>
      </c>
      <c r="J327" s="16"/>
      <c r="K327" s="16"/>
      <c r="L327" s="16"/>
      <c r="M327" s="16"/>
      <c r="N327" s="16"/>
      <c r="O327" s="16"/>
      <c r="P327" s="16"/>
      <c r="Q327" s="16"/>
      <c r="R327" s="16"/>
      <c r="S327" s="16">
        <v>16.0</v>
      </c>
      <c r="T327" s="16"/>
      <c r="U327" s="16" t="s">
        <v>1558</v>
      </c>
      <c r="V327" s="16" t="s">
        <v>1559</v>
      </c>
      <c r="W327" s="16" t="s">
        <v>332</v>
      </c>
    </row>
    <row r="328">
      <c r="A328" s="16">
        <v>11752.0</v>
      </c>
      <c r="B328" s="16" t="s">
        <v>1560</v>
      </c>
      <c r="C328" s="16">
        <v>0.0</v>
      </c>
      <c r="D328" s="174" t="s">
        <v>1561</v>
      </c>
      <c r="E328" s="16"/>
      <c r="F328" s="16">
        <v>498.0</v>
      </c>
      <c r="G328" s="16" t="s">
        <v>176</v>
      </c>
      <c r="H328" s="16" t="s">
        <v>13</v>
      </c>
      <c r="I328" s="16"/>
      <c r="J328" s="16"/>
      <c r="K328" s="16"/>
      <c r="L328" s="16"/>
      <c r="M328" s="16"/>
      <c r="N328" s="16"/>
      <c r="O328" s="16"/>
      <c r="P328" s="16"/>
      <c r="Q328" s="16"/>
      <c r="R328" s="16"/>
      <c r="S328" s="16">
        <v>-2.0</v>
      </c>
      <c r="T328" s="16"/>
      <c r="U328" s="16" t="s">
        <v>1562</v>
      </c>
      <c r="V328" s="16" t="s">
        <v>1563</v>
      </c>
      <c r="W328" s="16" t="s">
        <v>332</v>
      </c>
    </row>
    <row r="329">
      <c r="A329" s="16">
        <v>11753.0</v>
      </c>
      <c r="B329" s="16" t="s">
        <v>1564</v>
      </c>
      <c r="C329" s="16">
        <v>1.89</v>
      </c>
      <c r="D329" s="174" t="s">
        <v>1565</v>
      </c>
      <c r="E329" s="16"/>
      <c r="F329" s="16">
        <v>513.0</v>
      </c>
      <c r="G329" s="16" t="s">
        <v>1381</v>
      </c>
      <c r="H329" s="16" t="s">
        <v>25</v>
      </c>
      <c r="I329" s="16"/>
      <c r="J329" s="16"/>
      <c r="K329" s="16"/>
      <c r="L329" s="16"/>
      <c r="M329" s="16"/>
      <c r="N329" s="16"/>
      <c r="O329" s="16"/>
      <c r="P329" s="16"/>
      <c r="Q329" s="16"/>
      <c r="R329" s="16"/>
      <c r="S329" s="16">
        <v>10.0</v>
      </c>
      <c r="T329" s="16"/>
      <c r="U329" s="16" t="s">
        <v>1566</v>
      </c>
      <c r="V329" s="16" t="s">
        <v>1567</v>
      </c>
      <c r="W329" s="16" t="s">
        <v>422</v>
      </c>
    </row>
    <row r="330">
      <c r="A330" s="16">
        <v>11754.0</v>
      </c>
      <c r="B330" s="16" t="s">
        <v>1568</v>
      </c>
      <c r="C330" s="16">
        <v>1.07</v>
      </c>
      <c r="D330" s="174" t="s">
        <v>1569</v>
      </c>
      <c r="E330" s="16"/>
      <c r="F330" s="16">
        <v>522.0</v>
      </c>
      <c r="G330" s="16" t="s">
        <v>686</v>
      </c>
      <c r="H330" s="16" t="s">
        <v>12</v>
      </c>
      <c r="I330" s="16"/>
      <c r="J330" s="16"/>
      <c r="K330" s="16"/>
      <c r="L330" s="16"/>
      <c r="M330" s="16"/>
      <c r="N330" s="16"/>
      <c r="O330" s="16"/>
      <c r="P330" s="16"/>
      <c r="Q330" s="16"/>
      <c r="R330" s="16"/>
      <c r="S330" s="16">
        <v>17.0</v>
      </c>
      <c r="T330" s="16"/>
      <c r="U330" s="16" t="s">
        <v>1570</v>
      </c>
      <c r="V330" s="16" t="s">
        <v>1571</v>
      </c>
      <c r="W330" s="16" t="s">
        <v>661</v>
      </c>
    </row>
    <row r="331">
      <c r="A331" s="16">
        <v>11755.0</v>
      </c>
      <c r="B331" s="16" t="s">
        <v>1572</v>
      </c>
      <c r="C331" s="16">
        <v>2.17</v>
      </c>
      <c r="D331" s="174" t="s">
        <v>1573</v>
      </c>
      <c r="E331" s="16"/>
      <c r="F331" s="16">
        <v>511.0</v>
      </c>
      <c r="G331" s="16" t="s">
        <v>245</v>
      </c>
      <c r="H331" s="16" t="s">
        <v>16</v>
      </c>
      <c r="I331" s="16"/>
      <c r="J331" s="16"/>
      <c r="K331" s="16"/>
      <c r="L331" s="16"/>
      <c r="M331" s="16"/>
      <c r="N331" s="16"/>
      <c r="O331" s="16"/>
      <c r="P331" s="16"/>
      <c r="Q331" s="16"/>
      <c r="R331" s="16"/>
      <c r="S331" s="16">
        <v>14.0</v>
      </c>
      <c r="T331" s="16"/>
      <c r="U331" s="16" t="s">
        <v>1574</v>
      </c>
      <c r="V331" s="16" t="s">
        <v>1575</v>
      </c>
      <c r="W331" s="16" t="s">
        <v>188</v>
      </c>
    </row>
    <row r="332">
      <c r="A332" s="16">
        <v>11756.0</v>
      </c>
      <c r="B332" s="16" t="s">
        <v>1576</v>
      </c>
      <c r="C332" s="16">
        <v>0.0</v>
      </c>
      <c r="D332" s="174" t="s">
        <v>1577</v>
      </c>
      <c r="E332" s="16"/>
      <c r="F332" s="16">
        <v>498.0</v>
      </c>
      <c r="G332" s="16" t="s">
        <v>176</v>
      </c>
      <c r="H332" s="16" t="s">
        <v>19</v>
      </c>
      <c r="I332" s="16"/>
      <c r="J332" s="16"/>
      <c r="K332" s="16"/>
      <c r="L332" s="16"/>
      <c r="M332" s="16"/>
      <c r="N332" s="16"/>
      <c r="O332" s="16"/>
      <c r="P332" s="16"/>
      <c r="Q332" s="16"/>
      <c r="R332" s="16"/>
      <c r="S332" s="16">
        <v>-2.0</v>
      </c>
      <c r="T332" s="16"/>
      <c r="U332" s="16" t="s">
        <v>1578</v>
      </c>
      <c r="V332" s="16" t="s">
        <v>1579</v>
      </c>
      <c r="W332" s="16" t="s">
        <v>661</v>
      </c>
    </row>
    <row r="333">
      <c r="A333" s="16">
        <v>11757.0</v>
      </c>
      <c r="B333" s="16" t="s">
        <v>1580</v>
      </c>
      <c r="C333" s="16">
        <v>0.37</v>
      </c>
      <c r="D333" s="174" t="s">
        <v>1581</v>
      </c>
      <c r="E333" s="16"/>
      <c r="F333" s="16">
        <v>510.0</v>
      </c>
      <c r="G333" s="16" t="s">
        <v>4782</v>
      </c>
      <c r="H333" s="16" t="s">
        <v>25</v>
      </c>
      <c r="I333" s="16" t="s">
        <v>26</v>
      </c>
      <c r="J333" s="16"/>
      <c r="K333" s="16"/>
      <c r="L333" s="16"/>
      <c r="M333" s="16"/>
      <c r="N333" s="16"/>
      <c r="O333" s="16"/>
      <c r="P333" s="16"/>
      <c r="Q333" s="16"/>
      <c r="R333" s="16"/>
      <c r="S333" s="16">
        <v>16.0</v>
      </c>
      <c r="T333" s="16"/>
      <c r="U333" s="16" t="s">
        <v>1582</v>
      </c>
      <c r="V333" s="16" t="s">
        <v>1583</v>
      </c>
      <c r="W333" s="16" t="s">
        <v>360</v>
      </c>
    </row>
    <row r="334">
      <c r="A334" s="16">
        <v>11758.0</v>
      </c>
      <c r="B334" s="16" t="s">
        <v>1584</v>
      </c>
      <c r="C334" s="16">
        <v>0.0</v>
      </c>
      <c r="D334" s="174" t="s">
        <v>1585</v>
      </c>
      <c r="E334" s="16"/>
      <c r="F334" s="16">
        <v>498.0</v>
      </c>
      <c r="G334" s="16" t="s">
        <v>176</v>
      </c>
      <c r="H334" s="16" t="s">
        <v>24</v>
      </c>
      <c r="I334" s="16"/>
      <c r="J334" s="16"/>
      <c r="K334" s="16"/>
      <c r="L334" s="16"/>
      <c r="M334" s="16"/>
      <c r="N334" s="16"/>
      <c r="O334" s="16"/>
      <c r="P334" s="16"/>
      <c r="Q334" s="16"/>
      <c r="R334" s="16"/>
      <c r="S334" s="16">
        <v>-2.0</v>
      </c>
      <c r="T334" s="16"/>
      <c r="U334" s="16" t="s">
        <v>1586</v>
      </c>
      <c r="V334" s="16" t="s">
        <v>1587</v>
      </c>
      <c r="W334" s="16" t="s">
        <v>332</v>
      </c>
    </row>
    <row r="335">
      <c r="A335" s="16">
        <v>11759.0</v>
      </c>
      <c r="B335" s="16" t="s">
        <v>1588</v>
      </c>
      <c r="C335" s="16">
        <v>0.51</v>
      </c>
      <c r="D335" s="174" t="s">
        <v>1589</v>
      </c>
      <c r="E335" s="16"/>
      <c r="F335" s="16">
        <v>498.0</v>
      </c>
      <c r="G335" s="16" t="s">
        <v>176</v>
      </c>
      <c r="H335" s="16" t="s">
        <v>25</v>
      </c>
      <c r="I335" s="16" t="s">
        <v>26</v>
      </c>
      <c r="J335" s="16"/>
      <c r="K335" s="16"/>
      <c r="L335" s="16"/>
      <c r="M335" s="16"/>
      <c r="N335" s="16"/>
      <c r="O335" s="16"/>
      <c r="P335" s="16"/>
      <c r="Q335" s="16"/>
      <c r="R335" s="16"/>
      <c r="S335" s="16">
        <v>-2.0</v>
      </c>
      <c r="T335" s="16"/>
      <c r="U335" s="16" t="s">
        <v>1590</v>
      </c>
      <c r="V335" s="16" t="s">
        <v>1591</v>
      </c>
      <c r="W335" s="16" t="s">
        <v>422</v>
      </c>
    </row>
    <row r="336">
      <c r="A336" s="16">
        <v>11760.0</v>
      </c>
      <c r="B336" s="16" t="s">
        <v>1592</v>
      </c>
      <c r="C336" s="16">
        <v>2.84</v>
      </c>
      <c r="D336" s="174" t="s">
        <v>1593</v>
      </c>
      <c r="E336" s="16"/>
      <c r="F336" s="16">
        <v>544.0</v>
      </c>
      <c r="G336" s="16" t="s">
        <v>272</v>
      </c>
      <c r="H336" s="16" t="s">
        <v>25</v>
      </c>
      <c r="I336" s="16" t="s">
        <v>26</v>
      </c>
      <c r="J336" s="16"/>
      <c r="K336" s="16"/>
      <c r="L336" s="16"/>
      <c r="M336" s="16"/>
      <c r="N336" s="16"/>
      <c r="O336" s="16"/>
      <c r="P336" s="16"/>
      <c r="Q336" s="16"/>
      <c r="R336" s="16"/>
      <c r="S336" s="16">
        <v>1.0</v>
      </c>
      <c r="T336" s="174" t="s">
        <v>4783</v>
      </c>
      <c r="U336" s="16" t="s">
        <v>1594</v>
      </c>
      <c r="V336" s="16" t="s">
        <v>1595</v>
      </c>
      <c r="W336" s="16" t="s">
        <v>231</v>
      </c>
    </row>
    <row r="337">
      <c r="A337" s="16">
        <v>11761.0</v>
      </c>
      <c r="B337" s="16" t="s">
        <v>1596</v>
      </c>
      <c r="C337" s="16">
        <v>0.0</v>
      </c>
      <c r="D337" s="174" t="s">
        <v>1597</v>
      </c>
      <c r="E337" s="16"/>
      <c r="F337" s="16">
        <v>498.0</v>
      </c>
      <c r="G337" s="16" t="s">
        <v>176</v>
      </c>
      <c r="H337" s="16" t="s">
        <v>25</v>
      </c>
      <c r="I337" s="16"/>
      <c r="J337" s="16"/>
      <c r="K337" s="16"/>
      <c r="L337" s="16"/>
      <c r="M337" s="16"/>
      <c r="N337" s="16"/>
      <c r="O337" s="16"/>
      <c r="P337" s="16"/>
      <c r="Q337" s="16"/>
      <c r="R337" s="16"/>
      <c r="S337" s="16">
        <v>-2.0</v>
      </c>
      <c r="T337" s="16"/>
      <c r="U337" s="16" t="s">
        <v>1598</v>
      </c>
      <c r="V337" s="16" t="s">
        <v>1599</v>
      </c>
      <c r="W337" s="16" t="s">
        <v>199</v>
      </c>
    </row>
    <row r="338">
      <c r="A338" s="16">
        <v>11762.0</v>
      </c>
      <c r="B338" s="16" t="s">
        <v>1600</v>
      </c>
      <c r="C338" s="16">
        <v>0.0</v>
      </c>
      <c r="D338" s="174" t="s">
        <v>1601</v>
      </c>
      <c r="E338" s="16"/>
      <c r="F338" s="16">
        <v>508.0</v>
      </c>
      <c r="G338" s="16" t="s">
        <v>4754</v>
      </c>
      <c r="H338" s="16" t="s">
        <v>15</v>
      </c>
      <c r="I338" s="16" t="s">
        <v>13</v>
      </c>
      <c r="J338" s="16"/>
      <c r="K338" s="16"/>
      <c r="L338" s="16"/>
      <c r="M338" s="16"/>
      <c r="N338" s="16"/>
      <c r="O338" s="16"/>
      <c r="P338" s="16"/>
      <c r="Q338" s="16"/>
      <c r="R338" s="16"/>
      <c r="S338" s="16">
        <v>1.0</v>
      </c>
      <c r="T338" s="16"/>
      <c r="U338" s="16" t="s">
        <v>1602</v>
      </c>
      <c r="V338" s="16" t="s">
        <v>1603</v>
      </c>
      <c r="W338" s="16" t="s">
        <v>491</v>
      </c>
    </row>
    <row r="339">
      <c r="A339" s="16">
        <v>11763.0</v>
      </c>
      <c r="B339" s="16" t="s">
        <v>1604</v>
      </c>
      <c r="C339" s="16">
        <v>0.0</v>
      </c>
      <c r="D339" s="174" t="s">
        <v>1605</v>
      </c>
      <c r="E339" s="16"/>
      <c r="F339" s="16">
        <v>498.0</v>
      </c>
      <c r="G339" s="16" t="s">
        <v>176</v>
      </c>
      <c r="H339" s="16" t="s">
        <v>14</v>
      </c>
      <c r="I339" s="16" t="s">
        <v>15</v>
      </c>
      <c r="J339" s="16" t="s">
        <v>17</v>
      </c>
      <c r="K339" s="16"/>
      <c r="L339" s="16"/>
      <c r="M339" s="16"/>
      <c r="N339" s="16"/>
      <c r="O339" s="16"/>
      <c r="P339" s="16"/>
      <c r="Q339" s="16"/>
      <c r="R339" s="16"/>
      <c r="S339" s="16">
        <v>-2.0</v>
      </c>
      <c r="T339" s="16"/>
      <c r="U339" s="16" t="s">
        <v>1606</v>
      </c>
      <c r="V339" s="16" t="s">
        <v>1607</v>
      </c>
      <c r="W339" s="16" t="s">
        <v>360</v>
      </c>
    </row>
    <row r="340">
      <c r="A340" s="16">
        <v>11764.0</v>
      </c>
      <c r="B340" s="16" t="s">
        <v>1608</v>
      </c>
      <c r="C340" s="16">
        <v>2.33</v>
      </c>
      <c r="D340" s="174" t="s">
        <v>1609</v>
      </c>
      <c r="E340" s="16"/>
      <c r="F340" s="16">
        <v>513.0</v>
      </c>
      <c r="G340" s="16" t="s">
        <v>1381</v>
      </c>
      <c r="H340" s="16" t="s">
        <v>25</v>
      </c>
      <c r="I340" s="16" t="s">
        <v>26</v>
      </c>
      <c r="J340" s="16"/>
      <c r="K340" s="16"/>
      <c r="L340" s="16"/>
      <c r="M340" s="16"/>
      <c r="N340" s="16"/>
      <c r="O340" s="16"/>
      <c r="P340" s="16"/>
      <c r="Q340" s="16"/>
      <c r="R340" s="16"/>
      <c r="S340" s="16">
        <v>15.0</v>
      </c>
      <c r="T340" s="16"/>
      <c r="U340" s="16" t="s">
        <v>1610</v>
      </c>
      <c r="V340" s="16" t="s">
        <v>1611</v>
      </c>
      <c r="W340" s="16" t="s">
        <v>591</v>
      </c>
    </row>
    <row r="341">
      <c r="A341" s="16">
        <v>11765.0</v>
      </c>
      <c r="B341" s="16" t="s">
        <v>1612</v>
      </c>
      <c r="C341" s="16">
        <v>0.96</v>
      </c>
      <c r="D341" s="174" t="s">
        <v>1613</v>
      </c>
      <c r="E341" s="16"/>
      <c r="F341" s="16">
        <v>540.0</v>
      </c>
      <c r="G341" s="16" t="s">
        <v>1729</v>
      </c>
      <c r="H341" s="16" t="s">
        <v>15</v>
      </c>
      <c r="I341" s="16" t="s">
        <v>13</v>
      </c>
      <c r="J341" s="16" t="s">
        <v>17</v>
      </c>
      <c r="K341" s="16" t="s">
        <v>16</v>
      </c>
      <c r="L341" s="16" t="s">
        <v>14</v>
      </c>
      <c r="M341" s="16" t="s">
        <v>18</v>
      </c>
      <c r="N341" s="16"/>
      <c r="O341" s="16"/>
      <c r="P341" s="16"/>
      <c r="Q341" s="16"/>
      <c r="R341" s="16"/>
      <c r="S341" s="16">
        <v>6.0</v>
      </c>
      <c r="T341" s="16"/>
      <c r="U341" s="16" t="s">
        <v>1614</v>
      </c>
      <c r="V341" s="16" t="s">
        <v>1615</v>
      </c>
      <c r="W341" s="16" t="s">
        <v>491</v>
      </c>
    </row>
    <row r="342">
      <c r="A342" s="16">
        <v>11766.0</v>
      </c>
      <c r="B342" s="16" t="s">
        <v>1616</v>
      </c>
      <c r="C342" s="16">
        <v>0.08</v>
      </c>
      <c r="D342" s="174" t="s">
        <v>1617</v>
      </c>
      <c r="E342" s="16"/>
      <c r="F342" s="16">
        <v>498.0</v>
      </c>
      <c r="G342" s="16" t="s">
        <v>176</v>
      </c>
      <c r="H342" s="16" t="s">
        <v>25</v>
      </c>
      <c r="I342" s="16" t="s">
        <v>26</v>
      </c>
      <c r="J342" s="16"/>
      <c r="K342" s="16"/>
      <c r="L342" s="16"/>
      <c r="M342" s="16"/>
      <c r="N342" s="16"/>
      <c r="O342" s="16"/>
      <c r="P342" s="16"/>
      <c r="Q342" s="16"/>
      <c r="R342" s="16"/>
      <c r="S342" s="16">
        <v>-2.0</v>
      </c>
      <c r="T342" s="16"/>
      <c r="U342" s="16" t="s">
        <v>1618</v>
      </c>
      <c r="V342" s="16" t="s">
        <v>1619</v>
      </c>
      <c r="W342" s="16" t="s">
        <v>179</v>
      </c>
    </row>
    <row r="343">
      <c r="A343" s="16">
        <v>11767.0</v>
      </c>
      <c r="B343" s="16" t="s">
        <v>1620</v>
      </c>
      <c r="C343" s="16">
        <v>0.0</v>
      </c>
      <c r="D343" s="174" t="s">
        <v>1621</v>
      </c>
      <c r="E343" s="16"/>
      <c r="F343" s="16">
        <v>532.0</v>
      </c>
      <c r="G343" s="16" t="s">
        <v>346</v>
      </c>
      <c r="H343" s="16" t="s">
        <v>25</v>
      </c>
      <c r="I343" s="16" t="s">
        <v>26</v>
      </c>
      <c r="J343" s="16"/>
      <c r="K343" s="16"/>
      <c r="L343" s="16"/>
      <c r="M343" s="16"/>
      <c r="N343" s="16"/>
      <c r="O343" s="16"/>
      <c r="P343" s="16"/>
      <c r="Q343" s="16"/>
      <c r="R343" s="16"/>
      <c r="S343" s="16">
        <v>12.0</v>
      </c>
      <c r="T343" s="16"/>
      <c r="U343" s="16" t="s">
        <v>1622</v>
      </c>
      <c r="V343" s="16" t="s">
        <v>1623</v>
      </c>
      <c r="W343" s="16" t="s">
        <v>199</v>
      </c>
    </row>
    <row r="344">
      <c r="A344" s="16">
        <v>11768.0</v>
      </c>
      <c r="B344" s="16" t="s">
        <v>1624</v>
      </c>
      <c r="C344" s="16">
        <v>1.68</v>
      </c>
      <c r="D344" s="174" t="s">
        <v>1625</v>
      </c>
      <c r="E344" s="16"/>
      <c r="F344" s="16">
        <v>546.0</v>
      </c>
      <c r="G344" s="16" t="s">
        <v>415</v>
      </c>
      <c r="H344" s="16" t="s">
        <v>12</v>
      </c>
      <c r="I344" s="16"/>
      <c r="J344" s="16"/>
      <c r="K344" s="16"/>
      <c r="L344" s="16"/>
      <c r="M344" s="16"/>
      <c r="N344" s="16"/>
      <c r="O344" s="16"/>
      <c r="P344" s="16"/>
      <c r="Q344" s="16"/>
      <c r="R344" s="16"/>
      <c r="S344" s="16">
        <v>5.0</v>
      </c>
      <c r="T344" s="174" t="s">
        <v>4784</v>
      </c>
      <c r="U344" s="16" t="s">
        <v>1626</v>
      </c>
      <c r="V344" s="16" t="s">
        <v>1627</v>
      </c>
      <c r="W344" s="16" t="s">
        <v>399</v>
      </c>
    </row>
    <row r="345">
      <c r="A345" s="16">
        <v>11769.0</v>
      </c>
      <c r="B345" s="16" t="s">
        <v>1628</v>
      </c>
      <c r="C345" s="16">
        <v>1.57</v>
      </c>
      <c r="D345" s="174" t="s">
        <v>1629</v>
      </c>
      <c r="E345" s="16"/>
      <c r="F345" s="16">
        <v>498.0</v>
      </c>
      <c r="G345" s="16" t="s">
        <v>176</v>
      </c>
      <c r="H345" s="16" t="s">
        <v>15</v>
      </c>
      <c r="I345" s="16" t="s">
        <v>17</v>
      </c>
      <c r="J345" s="16"/>
      <c r="K345" s="16"/>
      <c r="L345" s="16"/>
      <c r="M345" s="16"/>
      <c r="N345" s="16"/>
      <c r="O345" s="16"/>
      <c r="P345" s="16"/>
      <c r="Q345" s="16"/>
      <c r="R345" s="16"/>
      <c r="S345" s="16">
        <v>-2.0</v>
      </c>
      <c r="T345" s="16"/>
      <c r="U345" s="16" t="s">
        <v>1630</v>
      </c>
      <c r="V345" s="16" t="s">
        <v>1631</v>
      </c>
      <c r="W345" s="16" t="s">
        <v>199</v>
      </c>
    </row>
    <row r="346">
      <c r="A346" s="16">
        <v>11770.0</v>
      </c>
      <c r="B346" s="16" t="s">
        <v>1632</v>
      </c>
      <c r="C346" s="16">
        <v>2.84</v>
      </c>
      <c r="D346" s="174" t="s">
        <v>1633</v>
      </c>
      <c r="E346" s="16"/>
      <c r="F346" s="16">
        <v>508.0</v>
      </c>
      <c r="G346" s="16" t="s">
        <v>4754</v>
      </c>
      <c r="H346" s="16" t="s">
        <v>24</v>
      </c>
      <c r="I346" s="16"/>
      <c r="J346" s="16"/>
      <c r="K346" s="16"/>
      <c r="L346" s="16"/>
      <c r="M346" s="16"/>
      <c r="N346" s="16"/>
      <c r="O346" s="16"/>
      <c r="P346" s="16"/>
      <c r="Q346" s="16"/>
      <c r="R346" s="16"/>
      <c r="S346" s="16">
        <v>1.0</v>
      </c>
      <c r="T346" s="16"/>
      <c r="U346" s="16" t="s">
        <v>1635</v>
      </c>
      <c r="V346" s="16" t="s">
        <v>1636</v>
      </c>
      <c r="W346" s="16" t="s">
        <v>188</v>
      </c>
    </row>
    <row r="347">
      <c r="A347" s="16">
        <v>11771.0</v>
      </c>
      <c r="B347" s="16" t="s">
        <v>1637</v>
      </c>
      <c r="C347" s="16">
        <v>0.29</v>
      </c>
      <c r="D347" s="174" t="s">
        <v>1638</v>
      </c>
      <c r="E347" s="16"/>
      <c r="F347" s="16">
        <v>520.0</v>
      </c>
      <c r="G347" s="16" t="s">
        <v>292</v>
      </c>
      <c r="H347" s="16" t="s">
        <v>24</v>
      </c>
      <c r="I347" s="16" t="s">
        <v>25</v>
      </c>
      <c r="J347" s="16"/>
      <c r="K347" s="16"/>
      <c r="L347" s="16"/>
      <c r="M347" s="16"/>
      <c r="N347" s="16"/>
      <c r="O347" s="16"/>
      <c r="P347" s="16"/>
      <c r="Q347" s="16"/>
      <c r="R347" s="16"/>
      <c r="S347" s="16">
        <v>1.0</v>
      </c>
      <c r="T347" s="16"/>
      <c r="U347" s="16" t="s">
        <v>1639</v>
      </c>
      <c r="V347" s="16" t="s">
        <v>1640</v>
      </c>
      <c r="W347" s="16" t="s">
        <v>231</v>
      </c>
    </row>
    <row r="348">
      <c r="A348" s="16">
        <v>11772.0</v>
      </c>
      <c r="B348" s="16" t="s">
        <v>1641</v>
      </c>
      <c r="C348" s="16">
        <v>0.0</v>
      </c>
      <c r="D348" s="174" t="s">
        <v>1642</v>
      </c>
      <c r="E348" s="16"/>
      <c r="F348" s="16">
        <v>498.0</v>
      </c>
      <c r="G348" s="16" t="s">
        <v>176</v>
      </c>
      <c r="H348" s="16" t="s">
        <v>25</v>
      </c>
      <c r="I348" s="16"/>
      <c r="J348" s="16"/>
      <c r="K348" s="16"/>
      <c r="L348" s="16"/>
      <c r="M348" s="16"/>
      <c r="N348" s="16"/>
      <c r="O348" s="16"/>
      <c r="P348" s="16"/>
      <c r="Q348" s="16"/>
      <c r="R348" s="16"/>
      <c r="S348" s="16">
        <v>-2.0</v>
      </c>
      <c r="T348" s="16"/>
      <c r="U348" s="16" t="s">
        <v>1643</v>
      </c>
      <c r="V348" s="16" t="s">
        <v>1644</v>
      </c>
      <c r="W348" s="16" t="s">
        <v>600</v>
      </c>
    </row>
    <row r="349">
      <c r="A349" s="16">
        <v>11773.0</v>
      </c>
      <c r="B349" s="16" t="s">
        <v>1645</v>
      </c>
      <c r="C349" s="16">
        <v>2.18</v>
      </c>
      <c r="D349" s="174" t="s">
        <v>1646</v>
      </c>
      <c r="E349" s="16"/>
      <c r="F349" s="16">
        <v>546.0</v>
      </c>
      <c r="G349" s="16" t="s">
        <v>415</v>
      </c>
      <c r="H349" s="16" t="s">
        <v>15</v>
      </c>
      <c r="I349" s="16" t="s">
        <v>16</v>
      </c>
      <c r="J349" s="16" t="s">
        <v>14</v>
      </c>
      <c r="K349" s="16" t="s">
        <v>17</v>
      </c>
      <c r="L349" s="16"/>
      <c r="M349" s="16"/>
      <c r="N349" s="16"/>
      <c r="O349" s="16"/>
      <c r="P349" s="16"/>
      <c r="Q349" s="16"/>
      <c r="R349" s="16"/>
      <c r="S349" s="16">
        <v>15.0</v>
      </c>
      <c r="T349" s="16"/>
      <c r="U349" s="16" t="s">
        <v>1647</v>
      </c>
      <c r="V349" s="16" t="s">
        <v>1648</v>
      </c>
      <c r="W349" s="16" t="s">
        <v>443</v>
      </c>
    </row>
    <row r="350">
      <c r="A350" s="16">
        <v>11774.0</v>
      </c>
      <c r="B350" s="16" t="s">
        <v>1649</v>
      </c>
      <c r="C350" s="16">
        <v>0.0</v>
      </c>
      <c r="D350" s="174" t="s">
        <v>1650</v>
      </c>
      <c r="E350" s="16"/>
      <c r="F350" s="16">
        <v>529.0</v>
      </c>
      <c r="G350" s="16" t="s">
        <v>333</v>
      </c>
      <c r="H350" s="16" t="s">
        <v>17</v>
      </c>
      <c r="I350" s="16" t="s">
        <v>18</v>
      </c>
      <c r="J350" s="16"/>
      <c r="K350" s="16"/>
      <c r="L350" s="16"/>
      <c r="M350" s="16"/>
      <c r="N350" s="16"/>
      <c r="O350" s="16"/>
      <c r="P350" s="16"/>
      <c r="Q350" s="16"/>
      <c r="R350" s="16" t="s">
        <v>181</v>
      </c>
      <c r="S350" s="16">
        <v>17.0</v>
      </c>
      <c r="T350" s="16"/>
      <c r="U350" s="16" t="s">
        <v>1651</v>
      </c>
      <c r="V350" s="16" t="s">
        <v>1652</v>
      </c>
      <c r="W350" s="16" t="s">
        <v>459</v>
      </c>
    </row>
    <row r="351">
      <c r="A351" s="16">
        <v>11775.0</v>
      </c>
      <c r="B351" s="16" t="s">
        <v>1653</v>
      </c>
      <c r="C351" s="16">
        <v>0.26</v>
      </c>
      <c r="D351" s="174" t="s">
        <v>1654</v>
      </c>
      <c r="E351" s="16"/>
      <c r="F351" s="16">
        <v>498.0</v>
      </c>
      <c r="G351" s="16" t="s">
        <v>176</v>
      </c>
      <c r="H351" s="16" t="s">
        <v>17</v>
      </c>
      <c r="I351" s="16" t="s">
        <v>19</v>
      </c>
      <c r="J351" s="16" t="s">
        <v>18</v>
      </c>
      <c r="K351" s="16"/>
      <c r="L351" s="16"/>
      <c r="M351" s="16"/>
      <c r="N351" s="16"/>
      <c r="O351" s="16"/>
      <c r="P351" s="16"/>
      <c r="Q351" s="16"/>
      <c r="R351" s="16"/>
      <c r="S351" s="16">
        <v>-2.0</v>
      </c>
      <c r="T351" s="16"/>
      <c r="U351" s="16" t="s">
        <v>1655</v>
      </c>
      <c r="V351" s="16" t="s">
        <v>1656</v>
      </c>
      <c r="W351" s="16" t="s">
        <v>199</v>
      </c>
    </row>
    <row r="352">
      <c r="A352" s="16">
        <v>11776.0</v>
      </c>
      <c r="B352" s="16" t="s">
        <v>1657</v>
      </c>
      <c r="C352" s="16">
        <v>0.54</v>
      </c>
      <c r="D352" s="174" t="s">
        <v>1658</v>
      </c>
      <c r="E352" s="16"/>
      <c r="F352" s="16">
        <v>498.0</v>
      </c>
      <c r="G352" s="16" t="s">
        <v>176</v>
      </c>
      <c r="H352" s="16" t="s">
        <v>25</v>
      </c>
      <c r="I352" s="16"/>
      <c r="J352" s="16"/>
      <c r="K352" s="16"/>
      <c r="L352" s="16"/>
      <c r="M352" s="16"/>
      <c r="N352" s="16"/>
      <c r="O352" s="16"/>
      <c r="P352" s="16"/>
      <c r="Q352" s="16"/>
      <c r="R352" s="16"/>
      <c r="S352" s="16">
        <v>-2.0</v>
      </c>
      <c r="T352" s="16"/>
      <c r="U352" s="16" t="s">
        <v>1659</v>
      </c>
      <c r="V352" s="16" t="s">
        <v>1660</v>
      </c>
      <c r="W352" s="16" t="s">
        <v>199</v>
      </c>
    </row>
    <row r="353">
      <c r="A353" s="16">
        <v>11777.0</v>
      </c>
      <c r="B353" s="16" t="s">
        <v>1661</v>
      </c>
      <c r="C353" s="16">
        <v>1.4</v>
      </c>
      <c r="D353" s="174" t="s">
        <v>1662</v>
      </c>
      <c r="E353" s="16"/>
      <c r="F353" s="16">
        <v>538.0</v>
      </c>
      <c r="G353" s="16" t="s">
        <v>289</v>
      </c>
      <c r="H353" s="16" t="s">
        <v>15</v>
      </c>
      <c r="I353" s="16"/>
      <c r="J353" s="16"/>
      <c r="K353" s="16"/>
      <c r="L353" s="16"/>
      <c r="M353" s="16"/>
      <c r="N353" s="16"/>
      <c r="O353" s="16"/>
      <c r="P353" s="16"/>
      <c r="Q353" s="16"/>
      <c r="R353" s="16"/>
      <c r="S353" s="16">
        <v>1.0</v>
      </c>
      <c r="T353" s="16"/>
      <c r="U353" s="16" t="s">
        <v>1663</v>
      </c>
      <c r="V353" s="16" t="s">
        <v>1664</v>
      </c>
      <c r="W353" s="16" t="s">
        <v>188</v>
      </c>
    </row>
    <row r="354">
      <c r="A354" s="16">
        <v>11778.0</v>
      </c>
      <c r="B354" s="16" t="s">
        <v>1665</v>
      </c>
      <c r="C354" s="16">
        <v>1.07</v>
      </c>
      <c r="D354" s="174" t="s">
        <v>1666</v>
      </c>
      <c r="E354" s="16"/>
      <c r="F354" s="16">
        <v>529.0</v>
      </c>
      <c r="G354" s="16" t="s">
        <v>333</v>
      </c>
      <c r="H354" s="16" t="s">
        <v>17</v>
      </c>
      <c r="I354" s="16" t="s">
        <v>19</v>
      </c>
      <c r="J354" s="16" t="s">
        <v>18</v>
      </c>
      <c r="K354" s="16"/>
      <c r="L354" s="16"/>
      <c r="M354" s="16"/>
      <c r="N354" s="16"/>
      <c r="O354" s="16"/>
      <c r="P354" s="16"/>
      <c r="Q354" s="16"/>
      <c r="R354" s="16"/>
      <c r="S354" s="16">
        <v>15.0</v>
      </c>
      <c r="T354" s="16"/>
      <c r="U354" s="16" t="s">
        <v>1669</v>
      </c>
      <c r="V354" s="16" t="s">
        <v>1670</v>
      </c>
      <c r="W354" s="16" t="s">
        <v>591</v>
      </c>
    </row>
    <row r="355">
      <c r="A355" s="16">
        <v>11779.0</v>
      </c>
      <c r="B355" s="16" t="s">
        <v>1671</v>
      </c>
      <c r="C355" s="16">
        <v>0.0</v>
      </c>
      <c r="D355" s="174" t="s">
        <v>1672</v>
      </c>
      <c r="E355" s="16"/>
      <c r="F355" s="16">
        <v>530.0</v>
      </c>
      <c r="G355" s="16" t="s">
        <v>465</v>
      </c>
      <c r="H355" s="16" t="s">
        <v>25</v>
      </c>
      <c r="I355" s="16" t="s">
        <v>26</v>
      </c>
      <c r="J355" s="16"/>
      <c r="K355" s="16"/>
      <c r="L355" s="16"/>
      <c r="M355" s="16"/>
      <c r="N355" s="16"/>
      <c r="O355" s="16"/>
      <c r="P355" s="16"/>
      <c r="Q355" s="16"/>
      <c r="R355" s="16"/>
      <c r="S355" s="16">
        <v>8.0</v>
      </c>
      <c r="T355" s="16"/>
      <c r="U355" s="16" t="s">
        <v>1673</v>
      </c>
      <c r="V355" s="16" t="s">
        <v>1674</v>
      </c>
      <c r="W355" s="16" t="s">
        <v>179</v>
      </c>
    </row>
    <row r="356">
      <c r="A356" s="16">
        <v>11780.0</v>
      </c>
      <c r="B356" s="16" t="s">
        <v>1675</v>
      </c>
      <c r="C356" s="16">
        <v>0.0</v>
      </c>
      <c r="D356" s="174" t="s">
        <v>1676</v>
      </c>
      <c r="E356" s="16"/>
      <c r="F356" s="16">
        <v>505.0</v>
      </c>
      <c r="G356" s="16" t="s">
        <v>4656</v>
      </c>
      <c r="H356" s="16" t="s">
        <v>15</v>
      </c>
      <c r="I356" s="16" t="s">
        <v>17</v>
      </c>
      <c r="J356" s="16" t="s">
        <v>13</v>
      </c>
      <c r="K356" s="16" t="s">
        <v>16</v>
      </c>
      <c r="L356" s="16" t="s">
        <v>14</v>
      </c>
      <c r="M356" s="16" t="s">
        <v>19</v>
      </c>
      <c r="N356" s="16"/>
      <c r="O356" s="16"/>
      <c r="P356" s="16"/>
      <c r="Q356" s="16"/>
      <c r="R356" s="16"/>
      <c r="S356" s="16">
        <v>13.0</v>
      </c>
      <c r="T356" s="16"/>
      <c r="U356" s="16" t="s">
        <v>1677</v>
      </c>
      <c r="V356" s="16" t="s">
        <v>1678</v>
      </c>
      <c r="W356" s="16" t="s">
        <v>179</v>
      </c>
    </row>
    <row r="357">
      <c r="A357" s="16">
        <v>11781.0</v>
      </c>
      <c r="B357" s="16" t="s">
        <v>1679</v>
      </c>
      <c r="C357" s="16">
        <v>1.59</v>
      </c>
      <c r="D357" s="174" t="s">
        <v>1680</v>
      </c>
      <c r="E357" s="16"/>
      <c r="F357" s="16">
        <v>502.0</v>
      </c>
      <c r="G357" s="16" t="s">
        <v>200</v>
      </c>
      <c r="H357" s="16" t="s">
        <v>16</v>
      </c>
      <c r="I357" s="16"/>
      <c r="J357" s="16"/>
      <c r="K357" s="16"/>
      <c r="L357" s="16"/>
      <c r="M357" s="16"/>
      <c r="N357" s="16"/>
      <c r="O357" s="16"/>
      <c r="P357" s="16"/>
      <c r="Q357" s="16"/>
      <c r="R357" s="16"/>
      <c r="S357" s="16">
        <v>1.0</v>
      </c>
      <c r="T357" s="16"/>
      <c r="U357" s="16" t="s">
        <v>1681</v>
      </c>
      <c r="V357" s="16" t="s">
        <v>1682</v>
      </c>
      <c r="W357" s="16" t="s">
        <v>188</v>
      </c>
    </row>
    <row r="358">
      <c r="A358" s="16">
        <v>11782.0</v>
      </c>
      <c r="B358" s="16" t="s">
        <v>1683</v>
      </c>
      <c r="C358" s="16">
        <v>0.22</v>
      </c>
      <c r="D358" s="174" t="s">
        <v>1684</v>
      </c>
      <c r="E358" s="16"/>
      <c r="F358" s="16">
        <v>504.0</v>
      </c>
      <c r="G358" s="16" t="s">
        <v>1465</v>
      </c>
      <c r="H358" s="16" t="s">
        <v>24</v>
      </c>
      <c r="I358" s="16" t="s">
        <v>25</v>
      </c>
      <c r="J358" s="16"/>
      <c r="K358" s="16"/>
      <c r="L358" s="16"/>
      <c r="M358" s="16"/>
      <c r="N358" s="16"/>
      <c r="O358" s="16"/>
      <c r="P358" s="16"/>
      <c r="Q358" s="16"/>
      <c r="R358" s="16"/>
      <c r="S358" s="16">
        <v>15.0</v>
      </c>
      <c r="T358" s="16"/>
      <c r="U358" s="16" t="s">
        <v>1685</v>
      </c>
      <c r="V358" s="16" t="s">
        <v>1686</v>
      </c>
      <c r="W358" s="16" t="s">
        <v>491</v>
      </c>
    </row>
    <row r="359">
      <c r="A359" s="16">
        <v>11783.0</v>
      </c>
      <c r="B359" s="16" t="s">
        <v>1687</v>
      </c>
      <c r="C359" s="16">
        <v>1.72</v>
      </c>
      <c r="D359" s="174" t="s">
        <v>1688</v>
      </c>
      <c r="E359" s="16"/>
      <c r="F359" s="16">
        <v>530.0</v>
      </c>
      <c r="G359" s="16" t="s">
        <v>465</v>
      </c>
      <c r="H359" s="16" t="s">
        <v>19</v>
      </c>
      <c r="I359" s="16"/>
      <c r="J359" s="16"/>
      <c r="K359" s="16"/>
      <c r="L359" s="16"/>
      <c r="M359" s="16"/>
      <c r="N359" s="16"/>
      <c r="O359" s="16"/>
      <c r="P359" s="16"/>
      <c r="Q359" s="16"/>
      <c r="R359" s="16" t="s">
        <v>4785</v>
      </c>
      <c r="S359" s="16">
        <v>8.0</v>
      </c>
      <c r="T359" s="16"/>
      <c r="U359" s="16" t="s">
        <v>1689</v>
      </c>
      <c r="V359" s="16" t="s">
        <v>1690</v>
      </c>
      <c r="W359" s="16" t="s">
        <v>616</v>
      </c>
    </row>
    <row r="360">
      <c r="A360" s="16">
        <v>11784.0</v>
      </c>
      <c r="B360" s="16" t="s">
        <v>1691</v>
      </c>
      <c r="C360" s="16">
        <v>2.3</v>
      </c>
      <c r="D360" s="174" t="s">
        <v>1692</v>
      </c>
      <c r="E360" s="16"/>
      <c r="F360" s="16">
        <v>520.0</v>
      </c>
      <c r="G360" s="16" t="s">
        <v>292</v>
      </c>
      <c r="H360" s="16" t="s">
        <v>24</v>
      </c>
      <c r="I360" s="16"/>
      <c r="J360" s="16"/>
      <c r="K360" s="16"/>
      <c r="L360" s="16"/>
      <c r="M360" s="16"/>
      <c r="N360" s="16"/>
      <c r="O360" s="16"/>
      <c r="P360" s="16"/>
      <c r="Q360" s="16"/>
      <c r="R360" s="16"/>
      <c r="S360" s="16">
        <v>8.0</v>
      </c>
      <c r="T360" s="16"/>
      <c r="U360" s="16" t="s">
        <v>1693</v>
      </c>
      <c r="V360" s="16" t="s">
        <v>1694</v>
      </c>
      <c r="W360" s="16" t="s">
        <v>188</v>
      </c>
    </row>
    <row r="361">
      <c r="A361" s="16">
        <v>11785.0</v>
      </c>
      <c r="B361" s="16" t="s">
        <v>1695</v>
      </c>
      <c r="C361" s="16">
        <v>0.68</v>
      </c>
      <c r="D361" s="174" t="s">
        <v>1696</v>
      </c>
      <c r="E361" s="16"/>
      <c r="F361" s="16">
        <v>541.0</v>
      </c>
      <c r="G361" s="16" t="s">
        <v>387</v>
      </c>
      <c r="H361" s="16" t="s">
        <v>12</v>
      </c>
      <c r="I361" s="16"/>
      <c r="J361" s="16"/>
      <c r="K361" s="16"/>
      <c r="L361" s="16"/>
      <c r="M361" s="16"/>
      <c r="N361" s="16"/>
      <c r="O361" s="16"/>
      <c r="P361" s="16"/>
      <c r="Q361" s="16"/>
      <c r="R361" s="16"/>
      <c r="S361" s="16">
        <v>1.0</v>
      </c>
      <c r="T361" s="16"/>
      <c r="U361" s="16" t="s">
        <v>1697</v>
      </c>
      <c r="V361" s="16" t="s">
        <v>1698</v>
      </c>
      <c r="W361" s="16" t="s">
        <v>473</v>
      </c>
    </row>
    <row r="362">
      <c r="A362" s="16">
        <v>11786.0</v>
      </c>
      <c r="B362" s="16" t="s">
        <v>1699</v>
      </c>
      <c r="C362" s="16">
        <v>2.9</v>
      </c>
      <c r="D362" s="174" t="s">
        <v>1700</v>
      </c>
      <c r="E362" s="16"/>
      <c r="F362" s="16">
        <v>517.0</v>
      </c>
      <c r="G362" s="16" t="s">
        <v>277</v>
      </c>
      <c r="H362" s="16" t="s">
        <v>16</v>
      </c>
      <c r="I362" s="16"/>
      <c r="J362" s="16"/>
      <c r="K362" s="16"/>
      <c r="L362" s="16"/>
      <c r="M362" s="16"/>
      <c r="N362" s="16"/>
      <c r="O362" s="16"/>
      <c r="P362" s="16"/>
      <c r="Q362" s="16"/>
      <c r="R362" s="16"/>
      <c r="S362" s="16">
        <v>1.0</v>
      </c>
      <c r="T362" s="174" t="s">
        <v>4786</v>
      </c>
      <c r="U362" s="16" t="s">
        <v>1701</v>
      </c>
      <c r="V362" s="16" t="s">
        <v>1702</v>
      </c>
      <c r="W362" s="16" t="s">
        <v>188</v>
      </c>
    </row>
    <row r="363">
      <c r="A363" s="16">
        <v>11787.0</v>
      </c>
      <c r="B363" s="16" t="s">
        <v>1703</v>
      </c>
      <c r="C363" s="16">
        <v>0.3</v>
      </c>
      <c r="D363" s="174" t="s">
        <v>1704</v>
      </c>
      <c r="E363" s="16"/>
      <c r="F363" s="16">
        <v>498.0</v>
      </c>
      <c r="G363" s="16" t="s">
        <v>176</v>
      </c>
      <c r="H363" s="16" t="s">
        <v>24</v>
      </c>
      <c r="I363" s="16"/>
      <c r="J363" s="16"/>
      <c r="K363" s="16"/>
      <c r="L363" s="16"/>
      <c r="M363" s="16"/>
      <c r="N363" s="16"/>
      <c r="O363" s="16"/>
      <c r="P363" s="16"/>
      <c r="Q363" s="16"/>
      <c r="R363" s="16"/>
      <c r="S363" s="16">
        <v>-2.0</v>
      </c>
      <c r="T363" s="16"/>
      <c r="U363" s="16" t="s">
        <v>1705</v>
      </c>
      <c r="V363" s="16" t="s">
        <v>1706</v>
      </c>
      <c r="W363" s="16" t="s">
        <v>188</v>
      </c>
    </row>
    <row r="364">
      <c r="A364" s="16">
        <v>11788.0</v>
      </c>
      <c r="B364" s="16" t="s">
        <v>1707</v>
      </c>
      <c r="C364" s="16">
        <v>0.4</v>
      </c>
      <c r="D364" s="174" t="s">
        <v>1708</v>
      </c>
      <c r="E364" s="16"/>
      <c r="F364" s="16">
        <v>520.0</v>
      </c>
      <c r="G364" s="16" t="s">
        <v>292</v>
      </c>
      <c r="H364" s="16" t="s">
        <v>25</v>
      </c>
      <c r="I364" s="16" t="s">
        <v>26</v>
      </c>
      <c r="J364" s="16"/>
      <c r="K364" s="16"/>
      <c r="L364" s="16"/>
      <c r="M364" s="16"/>
      <c r="N364" s="16"/>
      <c r="O364" s="16"/>
      <c r="P364" s="16"/>
      <c r="Q364" s="16"/>
      <c r="R364" s="16"/>
      <c r="S364" s="16">
        <v>1.0</v>
      </c>
      <c r="T364" s="16"/>
      <c r="U364" s="16" t="s">
        <v>1709</v>
      </c>
      <c r="V364" s="16" t="s">
        <v>1710</v>
      </c>
      <c r="W364" s="16" t="s">
        <v>199</v>
      </c>
    </row>
    <row r="365">
      <c r="A365" s="16">
        <v>11789.0</v>
      </c>
      <c r="B365" s="16" t="s">
        <v>1711</v>
      </c>
      <c r="C365" s="16">
        <v>2.14</v>
      </c>
      <c r="D365" s="174" t="s">
        <v>1712</v>
      </c>
      <c r="E365" s="16"/>
      <c r="F365" s="16">
        <v>508.0</v>
      </c>
      <c r="G365" s="16" t="s">
        <v>4754</v>
      </c>
      <c r="H365" s="16" t="s">
        <v>13</v>
      </c>
      <c r="I365" s="16"/>
      <c r="J365" s="16"/>
      <c r="K365" s="16"/>
      <c r="L365" s="16"/>
      <c r="M365" s="16"/>
      <c r="N365" s="16"/>
      <c r="O365" s="16"/>
      <c r="P365" s="16"/>
      <c r="Q365" s="16"/>
      <c r="R365" s="16"/>
      <c r="S365" s="16">
        <v>1.0</v>
      </c>
      <c r="T365" s="16"/>
      <c r="U365" s="16" t="s">
        <v>1713</v>
      </c>
      <c r="V365" s="16" t="s">
        <v>1714</v>
      </c>
      <c r="W365" s="16" t="s">
        <v>443</v>
      </c>
    </row>
    <row r="366">
      <c r="A366" s="16">
        <v>11790.0</v>
      </c>
      <c r="B366" s="16" t="s">
        <v>1715</v>
      </c>
      <c r="C366" s="16">
        <v>2.36</v>
      </c>
      <c r="D366" s="174" t="s">
        <v>1716</v>
      </c>
      <c r="E366" s="16"/>
      <c r="F366" s="16">
        <v>540.0</v>
      </c>
      <c r="G366" s="16" t="s">
        <v>1729</v>
      </c>
      <c r="H366" s="16" t="s">
        <v>12</v>
      </c>
      <c r="I366" s="16"/>
      <c r="J366" s="16"/>
      <c r="K366" s="16"/>
      <c r="L366" s="16"/>
      <c r="M366" s="16"/>
      <c r="N366" s="16"/>
      <c r="O366" s="16"/>
      <c r="P366" s="16"/>
      <c r="Q366" s="16"/>
      <c r="R366" s="16"/>
      <c r="S366" s="16">
        <v>14.0</v>
      </c>
      <c r="T366" s="16"/>
      <c r="U366" s="16" t="s">
        <v>1717</v>
      </c>
      <c r="V366" s="16" t="s">
        <v>1718</v>
      </c>
      <c r="W366" s="16" t="s">
        <v>259</v>
      </c>
    </row>
    <row r="367">
      <c r="A367" s="16">
        <v>11791.0</v>
      </c>
      <c r="B367" s="16" t="s">
        <v>1719</v>
      </c>
      <c r="C367" s="16">
        <v>1.12</v>
      </c>
      <c r="D367" s="174" t="s">
        <v>1720</v>
      </c>
      <c r="E367" s="16"/>
      <c r="F367" s="16">
        <v>514.0</v>
      </c>
      <c r="G367" s="16" t="s">
        <v>260</v>
      </c>
      <c r="H367" s="16" t="s">
        <v>24</v>
      </c>
      <c r="I367" s="16"/>
      <c r="J367" s="16"/>
      <c r="K367" s="16"/>
      <c r="L367" s="16"/>
      <c r="M367" s="16"/>
      <c r="N367" s="16"/>
      <c r="O367" s="16"/>
      <c r="P367" s="16"/>
      <c r="Q367" s="16"/>
      <c r="R367" s="16"/>
      <c r="S367" s="16">
        <v>17.0</v>
      </c>
      <c r="T367" s="174" t="s">
        <v>4787</v>
      </c>
      <c r="U367" s="16" t="s">
        <v>1721</v>
      </c>
      <c r="V367" s="16" t="s">
        <v>1722</v>
      </c>
      <c r="W367" s="16" t="s">
        <v>231</v>
      </c>
    </row>
    <row r="368">
      <c r="A368" s="16">
        <v>11792.0</v>
      </c>
      <c r="B368" s="16" t="s">
        <v>1723</v>
      </c>
      <c r="C368" s="16">
        <v>0.0</v>
      </c>
      <c r="D368" s="174" t="s">
        <v>1724</v>
      </c>
      <c r="E368" s="16"/>
      <c r="F368" s="16">
        <v>498.0</v>
      </c>
      <c r="G368" s="16" t="s">
        <v>176</v>
      </c>
      <c r="H368" s="16" t="s">
        <v>25</v>
      </c>
      <c r="I368" s="16"/>
      <c r="J368" s="16"/>
      <c r="K368" s="16"/>
      <c r="L368" s="16"/>
      <c r="M368" s="16"/>
      <c r="N368" s="16"/>
      <c r="O368" s="16"/>
      <c r="P368" s="16"/>
      <c r="Q368" s="16"/>
      <c r="R368" s="16"/>
      <c r="S368" s="16">
        <v>17.0</v>
      </c>
      <c r="T368" s="16"/>
      <c r="U368" s="16" t="s">
        <v>1725</v>
      </c>
      <c r="V368" s="16" t="s">
        <v>1726</v>
      </c>
      <c r="W368" s="16" t="s">
        <v>591</v>
      </c>
    </row>
    <row r="369">
      <c r="A369" s="16">
        <v>11793.0</v>
      </c>
      <c r="B369" s="16" t="s">
        <v>1727</v>
      </c>
      <c r="C369" s="16">
        <v>0.0</v>
      </c>
      <c r="D369" s="174" t="s">
        <v>1728</v>
      </c>
      <c r="E369" s="16"/>
      <c r="F369" s="16">
        <v>508.0</v>
      </c>
      <c r="G369" s="16" t="s">
        <v>4754</v>
      </c>
      <c r="H369" s="16" t="s">
        <v>15</v>
      </c>
      <c r="I369" s="16" t="s">
        <v>16</v>
      </c>
      <c r="J369" s="16" t="s">
        <v>14</v>
      </c>
      <c r="K369" s="16" t="s">
        <v>13</v>
      </c>
      <c r="L369" s="16" t="s">
        <v>17</v>
      </c>
      <c r="M369" s="16" t="s">
        <v>18</v>
      </c>
      <c r="N369" s="16" t="s">
        <v>19</v>
      </c>
      <c r="O369" s="16"/>
      <c r="P369" s="16"/>
      <c r="Q369" s="16"/>
      <c r="R369" s="16"/>
      <c r="S369" s="16">
        <v>1.0</v>
      </c>
      <c r="T369" s="16"/>
      <c r="U369" s="16" t="s">
        <v>1730</v>
      </c>
      <c r="V369" s="16" t="s">
        <v>1731</v>
      </c>
      <c r="W369" s="16" t="s">
        <v>332</v>
      </c>
    </row>
    <row r="370">
      <c r="A370" s="16">
        <v>11794.0</v>
      </c>
      <c r="B370" s="16" t="s">
        <v>1732</v>
      </c>
      <c r="C370" s="16">
        <v>2.15</v>
      </c>
      <c r="D370" s="174" t="s">
        <v>1733</v>
      </c>
      <c r="E370" s="16"/>
      <c r="F370" s="16">
        <v>537.0</v>
      </c>
      <c r="G370" s="16" t="s">
        <v>623</v>
      </c>
      <c r="H370" s="16" t="s">
        <v>12</v>
      </c>
      <c r="I370" s="16"/>
      <c r="J370" s="16"/>
      <c r="K370" s="16"/>
      <c r="L370" s="16"/>
      <c r="M370" s="16"/>
      <c r="N370" s="16"/>
      <c r="O370" s="16"/>
      <c r="P370" s="16"/>
      <c r="Q370" s="16"/>
      <c r="R370" s="16"/>
      <c r="S370" s="16">
        <v>17.0</v>
      </c>
      <c r="T370" s="16"/>
      <c r="U370" s="16" t="s">
        <v>1734</v>
      </c>
      <c r="V370" s="16" t="s">
        <v>1735</v>
      </c>
      <c r="W370" s="16" t="s">
        <v>473</v>
      </c>
    </row>
    <row r="371">
      <c r="A371" s="16">
        <v>11795.0</v>
      </c>
      <c r="B371" s="16" t="s">
        <v>1736</v>
      </c>
      <c r="C371" s="16">
        <v>0.64</v>
      </c>
      <c r="D371" s="174" t="s">
        <v>1737</v>
      </c>
      <c r="E371" s="16"/>
      <c r="F371" s="16">
        <v>522.0</v>
      </c>
      <c r="G371" s="16" t="s">
        <v>686</v>
      </c>
      <c r="H371" s="16" t="s">
        <v>25</v>
      </c>
      <c r="I371" s="16" t="s">
        <v>26</v>
      </c>
      <c r="J371" s="16"/>
      <c r="K371" s="16"/>
      <c r="L371" s="16"/>
      <c r="M371" s="16"/>
      <c r="N371" s="16"/>
      <c r="O371" s="16"/>
      <c r="P371" s="16"/>
      <c r="Q371" s="16"/>
      <c r="R371" s="16"/>
      <c r="S371" s="16">
        <v>14.0</v>
      </c>
      <c r="T371" s="16"/>
      <c r="U371" s="16" t="s">
        <v>1739</v>
      </c>
      <c r="V371" s="16" t="s">
        <v>1740</v>
      </c>
      <c r="W371" s="16" t="s">
        <v>179</v>
      </c>
    </row>
    <row r="372">
      <c r="A372" s="16">
        <v>11796.0</v>
      </c>
      <c r="B372" s="16" t="s">
        <v>1741</v>
      </c>
      <c r="C372" s="16">
        <v>0.0</v>
      </c>
      <c r="D372" s="174" t="s">
        <v>1742</v>
      </c>
      <c r="E372" s="16"/>
      <c r="F372" s="16">
        <v>498.0</v>
      </c>
      <c r="G372" s="16" t="s">
        <v>176</v>
      </c>
      <c r="H372" s="16" t="s">
        <v>13</v>
      </c>
      <c r="I372" s="16" t="s">
        <v>17</v>
      </c>
      <c r="J372" s="16"/>
      <c r="K372" s="16"/>
      <c r="L372" s="16"/>
      <c r="M372" s="16"/>
      <c r="N372" s="16"/>
      <c r="O372" s="16"/>
      <c r="P372" s="16"/>
      <c r="Q372" s="16"/>
      <c r="R372" s="16"/>
      <c r="S372" s="16">
        <v>-2.0</v>
      </c>
      <c r="T372" s="16"/>
      <c r="U372" s="16" t="s">
        <v>1743</v>
      </c>
      <c r="V372" s="16" t="s">
        <v>1744</v>
      </c>
      <c r="W372" s="16" t="s">
        <v>199</v>
      </c>
    </row>
    <row r="373">
      <c r="A373" s="16">
        <v>11797.0</v>
      </c>
      <c r="B373" s="16" t="s">
        <v>1745</v>
      </c>
      <c r="C373" s="16">
        <v>2.02</v>
      </c>
      <c r="D373" s="174" t="s">
        <v>1746</v>
      </c>
      <c r="E373" s="16"/>
      <c r="F373" s="16">
        <v>508.0</v>
      </c>
      <c r="G373" s="16" t="s">
        <v>4754</v>
      </c>
      <c r="H373" s="16" t="s">
        <v>24</v>
      </c>
      <c r="I373" s="16"/>
      <c r="J373" s="16"/>
      <c r="K373" s="16"/>
      <c r="L373" s="16"/>
      <c r="M373" s="16"/>
      <c r="N373" s="16"/>
      <c r="O373" s="16"/>
      <c r="P373" s="16"/>
      <c r="Q373" s="16"/>
      <c r="R373" s="16"/>
      <c r="S373" s="16">
        <v>11.0</v>
      </c>
      <c r="T373" s="16"/>
      <c r="U373" s="16" t="s">
        <v>1747</v>
      </c>
      <c r="V373" s="16" t="s">
        <v>1748</v>
      </c>
      <c r="W373" s="16" t="s">
        <v>231</v>
      </c>
    </row>
    <row r="374">
      <c r="A374" s="16">
        <v>11798.0</v>
      </c>
      <c r="B374" s="16" t="s">
        <v>1749</v>
      </c>
      <c r="C374" s="16">
        <v>0.5</v>
      </c>
      <c r="D374" s="174" t="s">
        <v>1750</v>
      </c>
      <c r="E374" s="16"/>
      <c r="F374" s="16">
        <v>499.0</v>
      </c>
      <c r="G374" s="16" t="s">
        <v>126</v>
      </c>
      <c r="H374" s="16" t="s">
        <v>18</v>
      </c>
      <c r="I374" s="16" t="s">
        <v>14</v>
      </c>
      <c r="J374" s="16" t="s">
        <v>17</v>
      </c>
      <c r="K374" s="16" t="s">
        <v>19</v>
      </c>
      <c r="L374" s="16" t="s">
        <v>13</v>
      </c>
      <c r="M374" s="16" t="s">
        <v>15</v>
      </c>
      <c r="N374" s="16" t="s">
        <v>16</v>
      </c>
      <c r="O374" s="16"/>
      <c r="P374" s="16"/>
      <c r="Q374" s="16"/>
      <c r="R374" s="16"/>
      <c r="S374" s="16">
        <v>16.0</v>
      </c>
      <c r="T374" s="16"/>
      <c r="U374" s="16" t="s">
        <v>1751</v>
      </c>
      <c r="V374" s="16" t="s">
        <v>1752</v>
      </c>
      <c r="W374" s="16" t="s">
        <v>179</v>
      </c>
    </row>
    <row r="375">
      <c r="A375" s="16">
        <v>11799.0</v>
      </c>
      <c r="B375" s="16" t="s">
        <v>1753</v>
      </c>
      <c r="C375" s="16">
        <v>2.59</v>
      </c>
      <c r="D375" s="174" t="s">
        <v>1754</v>
      </c>
      <c r="E375" s="16"/>
      <c r="F375" s="16">
        <v>528.0</v>
      </c>
      <c r="G375" s="16" t="s">
        <v>1755</v>
      </c>
      <c r="H375" s="16" t="s">
        <v>18</v>
      </c>
      <c r="I375" s="16" t="s">
        <v>19</v>
      </c>
      <c r="J375" s="16"/>
      <c r="K375" s="16"/>
      <c r="L375" s="16"/>
      <c r="M375" s="16"/>
      <c r="N375" s="16"/>
      <c r="O375" s="16"/>
      <c r="P375" s="16"/>
      <c r="Q375" s="16"/>
      <c r="R375" s="16"/>
      <c r="S375" s="16">
        <v>15.0</v>
      </c>
      <c r="T375" s="16"/>
      <c r="U375" s="16" t="s">
        <v>1756</v>
      </c>
      <c r="V375" s="16" t="s">
        <v>1757</v>
      </c>
      <c r="W375" s="16" t="s">
        <v>942</v>
      </c>
    </row>
    <row r="376">
      <c r="A376" s="16">
        <v>11800.0</v>
      </c>
      <c r="B376" s="16" t="s">
        <v>1758</v>
      </c>
      <c r="C376" s="16">
        <v>0.62</v>
      </c>
      <c r="D376" s="174" t="s">
        <v>1759</v>
      </c>
      <c r="E376" s="16"/>
      <c r="F376" s="16">
        <v>501.0</v>
      </c>
      <c r="G376" s="16" t="s">
        <v>371</v>
      </c>
      <c r="H376" s="16" t="s">
        <v>12</v>
      </c>
      <c r="I376" s="16"/>
      <c r="J376" s="16"/>
      <c r="K376" s="16"/>
      <c r="L376" s="16"/>
      <c r="M376" s="16"/>
      <c r="N376" s="16"/>
      <c r="O376" s="16"/>
      <c r="P376" s="16"/>
      <c r="Q376" s="16"/>
      <c r="R376" s="16"/>
      <c r="S376" s="16">
        <v>16.0</v>
      </c>
      <c r="T376" s="16"/>
      <c r="U376" s="16" t="s">
        <v>1760</v>
      </c>
      <c r="V376" s="16" t="s">
        <v>1761</v>
      </c>
      <c r="W376" s="16" t="s">
        <v>478</v>
      </c>
    </row>
    <row r="377">
      <c r="A377" s="16">
        <v>11801.0</v>
      </c>
      <c r="B377" s="16" t="s">
        <v>1762</v>
      </c>
      <c r="C377" s="16">
        <v>0.21</v>
      </c>
      <c r="D377" s="174" t="s">
        <v>1763</v>
      </c>
      <c r="E377" s="16"/>
      <c r="F377" s="16">
        <v>511.0</v>
      </c>
      <c r="G377" s="16" t="s">
        <v>245</v>
      </c>
      <c r="H377" s="16" t="s">
        <v>12</v>
      </c>
      <c r="I377" s="16" t="s">
        <v>13</v>
      </c>
      <c r="J377" s="16"/>
      <c r="K377" s="16"/>
      <c r="L377" s="16"/>
      <c r="M377" s="16"/>
      <c r="N377" s="16"/>
      <c r="O377" s="16"/>
      <c r="P377" s="16"/>
      <c r="Q377" s="16"/>
      <c r="R377" s="16" t="s">
        <v>4756</v>
      </c>
      <c r="S377" s="16">
        <v>1.0</v>
      </c>
      <c r="T377" s="16"/>
      <c r="U377" s="16" t="s">
        <v>1764</v>
      </c>
      <c r="V377" s="16" t="s">
        <v>1765</v>
      </c>
      <c r="W377" s="16" t="s">
        <v>566</v>
      </c>
    </row>
    <row r="378">
      <c r="A378" s="16">
        <v>11802.0</v>
      </c>
      <c r="B378" s="16" t="s">
        <v>1766</v>
      </c>
      <c r="C378" s="16">
        <v>1.25</v>
      </c>
      <c r="D378" s="174" t="s">
        <v>1767</v>
      </c>
      <c r="E378" s="16"/>
      <c r="F378" s="16">
        <v>498.0</v>
      </c>
      <c r="G378" s="16" t="s">
        <v>176</v>
      </c>
      <c r="H378" s="16" t="s">
        <v>14</v>
      </c>
      <c r="I378" s="16" t="s">
        <v>16</v>
      </c>
      <c r="J378" s="16"/>
      <c r="K378" s="16"/>
      <c r="L378" s="16"/>
      <c r="M378" s="16"/>
      <c r="N378" s="16"/>
      <c r="O378" s="16"/>
      <c r="P378" s="16"/>
      <c r="Q378" s="16"/>
      <c r="R378" s="16"/>
      <c r="S378" s="16">
        <v>-2.0</v>
      </c>
      <c r="T378" s="16"/>
      <c r="U378" s="16" t="s">
        <v>1768</v>
      </c>
      <c r="V378" s="16" t="s">
        <v>1769</v>
      </c>
      <c r="W378" s="16" t="s">
        <v>443</v>
      </c>
    </row>
    <row r="379">
      <c r="A379" s="16">
        <v>11803.0</v>
      </c>
      <c r="B379" s="16" t="s">
        <v>1770</v>
      </c>
      <c r="C379" s="16">
        <v>0.0</v>
      </c>
      <c r="D379" s="174" t="s">
        <v>1771</v>
      </c>
      <c r="E379" s="16"/>
      <c r="F379" s="16">
        <v>498.0</v>
      </c>
      <c r="G379" s="16" t="s">
        <v>176</v>
      </c>
      <c r="H379" s="16" t="s">
        <v>19</v>
      </c>
      <c r="I379" s="16" t="s">
        <v>13</v>
      </c>
      <c r="J379" s="16"/>
      <c r="K379" s="16"/>
      <c r="L379" s="16"/>
      <c r="M379" s="16"/>
      <c r="N379" s="16"/>
      <c r="O379" s="16"/>
      <c r="P379" s="16"/>
      <c r="Q379" s="16"/>
      <c r="R379" s="16"/>
      <c r="S379" s="16">
        <v>-2.0</v>
      </c>
      <c r="T379" s="16"/>
      <c r="U379" s="16" t="s">
        <v>1772</v>
      </c>
      <c r="V379" s="16" t="s">
        <v>1773</v>
      </c>
      <c r="W379" s="16" t="s">
        <v>443</v>
      </c>
    </row>
    <row r="380">
      <c r="A380" s="16">
        <v>11804.0</v>
      </c>
      <c r="B380" s="16" t="s">
        <v>1774</v>
      </c>
      <c r="C380" s="16">
        <v>0.96</v>
      </c>
      <c r="D380" s="174" t="s">
        <v>1775</v>
      </c>
      <c r="E380" s="16"/>
      <c r="F380" s="16">
        <v>530.0</v>
      </c>
      <c r="G380" s="16" t="s">
        <v>465</v>
      </c>
      <c r="H380" s="16" t="s">
        <v>24</v>
      </c>
      <c r="I380" s="16"/>
      <c r="J380" s="16"/>
      <c r="K380" s="16"/>
      <c r="L380" s="16"/>
      <c r="M380" s="16"/>
      <c r="N380" s="16"/>
      <c r="O380" s="16"/>
      <c r="P380" s="16"/>
      <c r="Q380" s="16"/>
      <c r="R380" s="16" t="s">
        <v>4788</v>
      </c>
      <c r="S380" s="16">
        <v>18.0</v>
      </c>
      <c r="T380" s="16"/>
      <c r="U380" s="16" t="s">
        <v>1776</v>
      </c>
      <c r="V380" s="16" t="s">
        <v>1777</v>
      </c>
      <c r="W380" s="16" t="s">
        <v>188</v>
      </c>
    </row>
    <row r="381">
      <c r="A381" s="16">
        <v>11805.0</v>
      </c>
      <c r="B381" s="16" t="s">
        <v>1778</v>
      </c>
      <c r="C381" s="16">
        <v>0.0</v>
      </c>
      <c r="D381" s="174" t="s">
        <v>1779</v>
      </c>
      <c r="E381" s="16"/>
      <c r="F381" s="16">
        <v>498.0</v>
      </c>
      <c r="G381" s="16" t="s">
        <v>176</v>
      </c>
      <c r="H381" s="16" t="s">
        <v>24</v>
      </c>
      <c r="I381" s="16"/>
      <c r="J381" s="16"/>
      <c r="K381" s="16"/>
      <c r="L381" s="16"/>
      <c r="M381" s="16"/>
      <c r="N381" s="16"/>
      <c r="O381" s="16"/>
      <c r="P381" s="16"/>
      <c r="Q381" s="16"/>
      <c r="R381" s="16"/>
      <c r="S381" s="16">
        <v>-2.0</v>
      </c>
      <c r="T381" s="16"/>
      <c r="U381" s="16" t="s">
        <v>1780</v>
      </c>
      <c r="V381" s="16" t="s">
        <v>1781</v>
      </c>
      <c r="W381" s="16" t="s">
        <v>634</v>
      </c>
    </row>
    <row r="382">
      <c r="A382" s="16">
        <v>11806.0</v>
      </c>
      <c r="B382" s="16" t="s">
        <v>1782</v>
      </c>
      <c r="C382" s="16">
        <v>0.0</v>
      </c>
      <c r="D382" s="174" t="s">
        <v>1783</v>
      </c>
      <c r="E382" s="16"/>
      <c r="F382" s="16">
        <v>498.0</v>
      </c>
      <c r="G382" s="16" t="s">
        <v>176</v>
      </c>
      <c r="H382" s="16" t="s">
        <v>25</v>
      </c>
      <c r="I382" s="16" t="s">
        <v>26</v>
      </c>
      <c r="J382" s="16"/>
      <c r="K382" s="16"/>
      <c r="L382" s="16"/>
      <c r="M382" s="16"/>
      <c r="N382" s="16"/>
      <c r="O382" s="16"/>
      <c r="P382" s="16"/>
      <c r="Q382" s="16"/>
      <c r="R382" s="16"/>
      <c r="S382" s="16">
        <v>-2.0</v>
      </c>
      <c r="T382" s="16"/>
      <c r="U382" s="16" t="s">
        <v>1784</v>
      </c>
      <c r="V382" s="16" t="s">
        <v>1785</v>
      </c>
      <c r="W382" s="16" t="s">
        <v>179</v>
      </c>
    </row>
    <row r="383">
      <c r="A383" s="16">
        <v>11807.0</v>
      </c>
      <c r="B383" s="16" t="s">
        <v>1786</v>
      </c>
      <c r="C383" s="16">
        <v>0.9</v>
      </c>
      <c r="D383" s="174" t="s">
        <v>1787</v>
      </c>
      <c r="E383" s="16"/>
      <c r="F383" s="16">
        <v>535.0</v>
      </c>
      <c r="G383" s="16" t="s">
        <v>361</v>
      </c>
      <c r="H383" s="16" t="s">
        <v>24</v>
      </c>
      <c r="I383" s="16"/>
      <c r="J383" s="16"/>
      <c r="K383" s="16"/>
      <c r="L383" s="16"/>
      <c r="M383" s="16"/>
      <c r="N383" s="16"/>
      <c r="O383" s="16"/>
      <c r="P383" s="16"/>
      <c r="Q383" s="16"/>
      <c r="R383" s="16"/>
      <c r="S383" s="16">
        <v>16.0</v>
      </c>
      <c r="T383" s="16"/>
      <c r="U383" s="16" t="s">
        <v>1788</v>
      </c>
      <c r="V383" s="16" t="s">
        <v>1789</v>
      </c>
      <c r="W383" s="16" t="s">
        <v>231</v>
      </c>
    </row>
    <row r="384">
      <c r="A384" s="16">
        <v>11808.0</v>
      </c>
      <c r="B384" s="16" t="s">
        <v>1790</v>
      </c>
      <c r="C384" s="16">
        <v>0.0</v>
      </c>
      <c r="D384" s="174" t="s">
        <v>1791</v>
      </c>
      <c r="E384" s="16"/>
      <c r="F384" s="16">
        <v>507.0</v>
      </c>
      <c r="G384" s="16" t="s">
        <v>4748</v>
      </c>
      <c r="H384" s="16" t="s">
        <v>25</v>
      </c>
      <c r="I384" s="16" t="s">
        <v>26</v>
      </c>
      <c r="J384" s="16"/>
      <c r="K384" s="16"/>
      <c r="L384" s="16"/>
      <c r="M384" s="16"/>
      <c r="N384" s="16"/>
      <c r="O384" s="16"/>
      <c r="P384" s="16"/>
      <c r="Q384" s="16"/>
      <c r="R384" s="16"/>
      <c r="S384" s="16">
        <v>15.0</v>
      </c>
      <c r="T384" s="16"/>
      <c r="U384" s="16" t="s">
        <v>1792</v>
      </c>
      <c r="V384" s="16" t="s">
        <v>1793</v>
      </c>
      <c r="W384" s="16" t="s">
        <v>199</v>
      </c>
    </row>
    <row r="385">
      <c r="A385" s="16">
        <v>11809.0</v>
      </c>
      <c r="B385" s="16" t="s">
        <v>1794</v>
      </c>
      <c r="C385" s="16">
        <v>0.52</v>
      </c>
      <c r="D385" s="174" t="s">
        <v>1795</v>
      </c>
      <c r="E385" s="16"/>
      <c r="F385" s="16">
        <v>498.0</v>
      </c>
      <c r="G385" s="16" t="s">
        <v>176</v>
      </c>
      <c r="H385" s="16" t="s">
        <v>19</v>
      </c>
      <c r="I385" s="16" t="s">
        <v>18</v>
      </c>
      <c r="J385" s="16"/>
      <c r="K385" s="16"/>
      <c r="L385" s="16"/>
      <c r="M385" s="16"/>
      <c r="N385" s="16"/>
      <c r="O385" s="16"/>
      <c r="P385" s="16"/>
      <c r="Q385" s="16"/>
      <c r="R385" s="16"/>
      <c r="S385" s="16">
        <v>-2.0</v>
      </c>
      <c r="T385" s="16"/>
      <c r="U385" s="16" t="s">
        <v>1796</v>
      </c>
      <c r="V385" s="16" t="s">
        <v>1797</v>
      </c>
      <c r="W385" s="16" t="s">
        <v>443</v>
      </c>
    </row>
    <row r="386">
      <c r="A386" s="16">
        <v>11810.0</v>
      </c>
      <c r="B386" s="16" t="s">
        <v>1798</v>
      </c>
      <c r="C386" s="16">
        <v>2.62</v>
      </c>
      <c r="D386" s="174" t="s">
        <v>1799</v>
      </c>
      <c r="E386" s="16"/>
      <c r="F386" s="16">
        <v>528.0</v>
      </c>
      <c r="G386" s="16" t="s">
        <v>1755</v>
      </c>
      <c r="H386" s="16" t="s">
        <v>16</v>
      </c>
      <c r="I386" s="16"/>
      <c r="J386" s="16"/>
      <c r="K386" s="16"/>
      <c r="L386" s="16"/>
      <c r="M386" s="16"/>
      <c r="N386" s="16"/>
      <c r="O386" s="16"/>
      <c r="P386" s="16"/>
      <c r="Q386" s="16"/>
      <c r="R386" s="16"/>
      <c r="S386" s="16">
        <v>11.0</v>
      </c>
      <c r="T386" s="16"/>
      <c r="U386" s="16" t="s">
        <v>1800</v>
      </c>
      <c r="V386" s="16" t="s">
        <v>1801</v>
      </c>
      <c r="W386" s="16" t="s">
        <v>616</v>
      </c>
    </row>
    <row r="387">
      <c r="A387" s="16">
        <v>11811.0</v>
      </c>
      <c r="B387" s="16" t="s">
        <v>1802</v>
      </c>
      <c r="C387" s="16">
        <v>1.89</v>
      </c>
      <c r="D387" s="174" t="s">
        <v>1803</v>
      </c>
      <c r="E387" s="16"/>
      <c r="F387" s="16">
        <v>532.0</v>
      </c>
      <c r="G387" s="16" t="s">
        <v>346</v>
      </c>
      <c r="H387" s="16" t="s">
        <v>24</v>
      </c>
      <c r="I387" s="16"/>
      <c r="J387" s="16"/>
      <c r="K387" s="16"/>
      <c r="L387" s="16"/>
      <c r="M387" s="16"/>
      <c r="N387" s="16"/>
      <c r="O387" s="16"/>
      <c r="P387" s="16"/>
      <c r="Q387" s="16"/>
      <c r="R387" s="16"/>
      <c r="S387" s="16">
        <v>15.0</v>
      </c>
      <c r="T387" s="16"/>
      <c r="U387" s="16" t="s">
        <v>1804</v>
      </c>
      <c r="V387" s="16" t="s">
        <v>1805</v>
      </c>
      <c r="W387" s="16" t="s">
        <v>634</v>
      </c>
    </row>
    <row r="388">
      <c r="A388" s="16">
        <v>11812.0</v>
      </c>
      <c r="B388" s="16" t="s">
        <v>1806</v>
      </c>
      <c r="C388" s="16">
        <v>0.44</v>
      </c>
      <c r="D388" s="174" t="s">
        <v>1807</v>
      </c>
      <c r="E388" s="16"/>
      <c r="F388" s="16">
        <v>526.0</v>
      </c>
      <c r="G388" s="16" t="s">
        <v>212</v>
      </c>
      <c r="H388" s="16" t="s">
        <v>51</v>
      </c>
      <c r="I388" s="16"/>
      <c r="J388" s="16"/>
      <c r="K388" s="16"/>
      <c r="L388" s="16"/>
      <c r="M388" s="16"/>
      <c r="N388" s="16"/>
      <c r="O388" s="16"/>
      <c r="P388" s="16"/>
      <c r="Q388" s="16"/>
      <c r="R388" s="16"/>
      <c r="S388" s="16">
        <v>15.0</v>
      </c>
      <c r="T388" s="16"/>
      <c r="U388" s="16" t="s">
        <v>1808</v>
      </c>
      <c r="V388" s="16" t="s">
        <v>1809</v>
      </c>
      <c r="W388" s="16" t="s">
        <v>722</v>
      </c>
    </row>
    <row r="389">
      <c r="A389" s="16">
        <v>11813.0</v>
      </c>
      <c r="B389" s="16" t="s">
        <v>1810</v>
      </c>
      <c r="C389" s="16">
        <v>0.44</v>
      </c>
      <c r="D389" s="174" t="s">
        <v>1811</v>
      </c>
      <c r="E389" s="16"/>
      <c r="F389" s="16">
        <v>498.0</v>
      </c>
      <c r="G389" s="16" t="s">
        <v>176</v>
      </c>
      <c r="H389" s="16" t="s">
        <v>15</v>
      </c>
      <c r="I389" s="16" t="s">
        <v>13</v>
      </c>
      <c r="J389" s="16" t="s">
        <v>16</v>
      </c>
      <c r="K389" s="16"/>
      <c r="L389" s="16"/>
      <c r="M389" s="16"/>
      <c r="N389" s="16"/>
      <c r="O389" s="16"/>
      <c r="P389" s="16"/>
      <c r="Q389" s="16"/>
      <c r="R389" s="16"/>
      <c r="S389" s="16">
        <v>-2.0</v>
      </c>
      <c r="T389" s="16"/>
      <c r="U389" s="16" t="s">
        <v>1812</v>
      </c>
      <c r="V389" s="16" t="s">
        <v>1813</v>
      </c>
      <c r="W389" s="16" t="s">
        <v>675</v>
      </c>
    </row>
    <row r="390">
      <c r="A390" s="16">
        <v>11814.0</v>
      </c>
      <c r="B390" s="16" t="s">
        <v>1814</v>
      </c>
      <c r="C390" s="16">
        <v>0.0</v>
      </c>
      <c r="D390" s="174" t="s">
        <v>1815</v>
      </c>
      <c r="E390" s="16"/>
      <c r="F390" s="16">
        <v>502.0</v>
      </c>
      <c r="G390" s="16" t="s">
        <v>200</v>
      </c>
      <c r="H390" s="16" t="s">
        <v>25</v>
      </c>
      <c r="I390" s="16" t="s">
        <v>26</v>
      </c>
      <c r="J390" s="16"/>
      <c r="K390" s="16"/>
      <c r="L390" s="16"/>
      <c r="M390" s="16"/>
      <c r="N390" s="16"/>
      <c r="O390" s="16"/>
      <c r="P390" s="16"/>
      <c r="Q390" s="16"/>
      <c r="R390" s="16"/>
      <c r="S390" s="16">
        <v>15.0</v>
      </c>
      <c r="T390" s="16"/>
      <c r="U390" s="16" t="s">
        <v>1816</v>
      </c>
      <c r="V390" s="16" t="s">
        <v>1817</v>
      </c>
      <c r="W390" s="16" t="s">
        <v>591</v>
      </c>
    </row>
    <row r="391">
      <c r="A391" s="16">
        <v>11815.0</v>
      </c>
      <c r="B391" s="16" t="s">
        <v>1818</v>
      </c>
      <c r="C391" s="16">
        <v>0.78</v>
      </c>
      <c r="D391" s="174" t="s">
        <v>1819</v>
      </c>
      <c r="E391" s="16"/>
      <c r="F391" s="16">
        <v>510.0</v>
      </c>
      <c r="G391" s="16" t="s">
        <v>4782</v>
      </c>
      <c r="H391" s="16" t="s">
        <v>14</v>
      </c>
      <c r="I391" s="16"/>
      <c r="J391" s="16"/>
      <c r="K391" s="16"/>
      <c r="L391" s="16"/>
      <c r="M391" s="16"/>
      <c r="N391" s="16"/>
      <c r="O391" s="16"/>
      <c r="P391" s="16"/>
      <c r="Q391" s="16"/>
      <c r="R391" s="16"/>
      <c r="S391" s="16">
        <v>15.0</v>
      </c>
      <c r="T391" s="16"/>
      <c r="U391" s="16" t="s">
        <v>1820</v>
      </c>
      <c r="V391" s="16" t="s">
        <v>1821</v>
      </c>
      <c r="W391" s="16" t="s">
        <v>188</v>
      </c>
    </row>
    <row r="392">
      <c r="A392" s="16">
        <v>11816.0</v>
      </c>
      <c r="B392" s="16" t="s">
        <v>1822</v>
      </c>
      <c r="C392" s="16">
        <v>0.29</v>
      </c>
      <c r="D392" s="174" t="s">
        <v>1823</v>
      </c>
      <c r="E392" s="16"/>
      <c r="F392" s="16">
        <v>498.0</v>
      </c>
      <c r="G392" s="16" t="s">
        <v>176</v>
      </c>
      <c r="H392" s="16" t="s">
        <v>24</v>
      </c>
      <c r="I392" s="16"/>
      <c r="J392" s="16"/>
      <c r="K392" s="16"/>
      <c r="L392" s="16"/>
      <c r="M392" s="16"/>
      <c r="N392" s="16"/>
      <c r="O392" s="16"/>
      <c r="P392" s="16"/>
      <c r="Q392" s="16"/>
      <c r="R392" s="16"/>
      <c r="S392" s="16">
        <v>-2.0</v>
      </c>
      <c r="T392" s="16"/>
      <c r="U392" s="16" t="s">
        <v>1824</v>
      </c>
      <c r="V392" s="16" t="s">
        <v>1825</v>
      </c>
      <c r="W392" s="16" t="s">
        <v>634</v>
      </c>
    </row>
    <row r="393">
      <c r="A393" s="16">
        <v>11817.0</v>
      </c>
      <c r="B393" s="16" t="s">
        <v>1826</v>
      </c>
      <c r="C393" s="16">
        <v>0.0</v>
      </c>
      <c r="D393" s="174" t="s">
        <v>1827</v>
      </c>
      <c r="E393" s="16"/>
      <c r="F393" s="16">
        <v>498.0</v>
      </c>
      <c r="G393" s="16" t="s">
        <v>176</v>
      </c>
      <c r="H393" s="16" t="s">
        <v>25</v>
      </c>
      <c r="I393" s="16" t="s">
        <v>26</v>
      </c>
      <c r="J393" s="16"/>
      <c r="K393" s="16"/>
      <c r="L393" s="16"/>
      <c r="M393" s="16"/>
      <c r="N393" s="16"/>
      <c r="O393" s="16"/>
      <c r="P393" s="16"/>
      <c r="Q393" s="16"/>
      <c r="R393" s="16"/>
      <c r="S393" s="16">
        <v>-2.0</v>
      </c>
      <c r="T393" s="16"/>
      <c r="U393" s="16" t="s">
        <v>1828</v>
      </c>
      <c r="V393" s="16" t="s">
        <v>1829</v>
      </c>
      <c r="W393" s="16" t="s">
        <v>399</v>
      </c>
    </row>
    <row r="394">
      <c r="A394" s="16">
        <v>11818.0</v>
      </c>
      <c r="B394" s="16" t="s">
        <v>1830</v>
      </c>
      <c r="C394" s="16">
        <v>1.16</v>
      </c>
      <c r="D394" s="174" t="s">
        <v>1831</v>
      </c>
      <c r="E394" s="16"/>
      <c r="F394" s="16">
        <v>534.0</v>
      </c>
      <c r="G394" s="16" t="s">
        <v>1170</v>
      </c>
      <c r="H394" s="16" t="s">
        <v>24</v>
      </c>
      <c r="I394" s="16" t="s">
        <v>25</v>
      </c>
      <c r="J394" s="16"/>
      <c r="K394" s="16"/>
      <c r="L394" s="16"/>
      <c r="M394" s="16"/>
      <c r="N394" s="16"/>
      <c r="O394" s="16"/>
      <c r="P394" s="16"/>
      <c r="Q394" s="16"/>
      <c r="R394" s="16"/>
      <c r="S394" s="16">
        <v>16.0</v>
      </c>
      <c r="T394" s="16"/>
      <c r="U394" s="16" t="s">
        <v>1832</v>
      </c>
      <c r="V394" s="16" t="s">
        <v>1833</v>
      </c>
      <c r="W394" s="16" t="s">
        <v>360</v>
      </c>
    </row>
    <row r="395">
      <c r="A395" s="16">
        <v>11819.0</v>
      </c>
      <c r="B395" s="16" t="s">
        <v>1834</v>
      </c>
      <c r="C395" s="16">
        <v>0.0</v>
      </c>
      <c r="D395" s="174" t="s">
        <v>1835</v>
      </c>
      <c r="E395" s="16"/>
      <c r="F395" s="16">
        <v>498.0</v>
      </c>
      <c r="G395" s="16" t="s">
        <v>176</v>
      </c>
      <c r="H395" s="16" t="s">
        <v>18</v>
      </c>
      <c r="I395" s="16"/>
      <c r="J395" s="16"/>
      <c r="K395" s="16"/>
      <c r="L395" s="16"/>
      <c r="M395" s="16"/>
      <c r="N395" s="16"/>
      <c r="O395" s="16"/>
      <c r="P395" s="16"/>
      <c r="Q395" s="16"/>
      <c r="R395" s="16"/>
      <c r="S395" s="16">
        <v>-2.0</v>
      </c>
      <c r="T395" s="16"/>
      <c r="U395" s="16" t="s">
        <v>1836</v>
      </c>
      <c r="V395" s="16" t="s">
        <v>1837</v>
      </c>
      <c r="W395" s="16" t="s">
        <v>199</v>
      </c>
    </row>
    <row r="396">
      <c r="A396" s="16">
        <v>11820.0</v>
      </c>
      <c r="B396" s="16" t="s">
        <v>1838</v>
      </c>
      <c r="C396" s="16">
        <v>1.08</v>
      </c>
      <c r="D396" s="174" t="s">
        <v>1839</v>
      </c>
      <c r="E396" s="16"/>
      <c r="F396" s="16">
        <v>515.0</v>
      </c>
      <c r="G396" s="16" t="s">
        <v>2296</v>
      </c>
      <c r="H396" s="16" t="s">
        <v>24</v>
      </c>
      <c r="I396" s="16"/>
      <c r="J396" s="16"/>
      <c r="K396" s="16"/>
      <c r="L396" s="16"/>
      <c r="M396" s="16"/>
      <c r="N396" s="16"/>
      <c r="O396" s="16"/>
      <c r="P396" s="16"/>
      <c r="Q396" s="16"/>
      <c r="R396" s="16"/>
      <c r="S396" s="16">
        <v>17.0</v>
      </c>
      <c r="T396" s="16"/>
      <c r="U396" s="16" t="s">
        <v>1840</v>
      </c>
      <c r="V396" s="16" t="s">
        <v>1841</v>
      </c>
      <c r="W396" s="16" t="s">
        <v>661</v>
      </c>
    </row>
    <row r="397">
      <c r="A397" s="16">
        <v>11821.0</v>
      </c>
      <c r="B397" s="16" t="s">
        <v>1842</v>
      </c>
      <c r="C397" s="16">
        <v>0.45</v>
      </c>
      <c r="D397" s="174" t="s">
        <v>1843</v>
      </c>
      <c r="E397" s="16"/>
      <c r="F397" s="16">
        <v>498.0</v>
      </c>
      <c r="G397" s="16" t="s">
        <v>176</v>
      </c>
      <c r="H397" s="16" t="s">
        <v>25</v>
      </c>
      <c r="I397" s="16" t="s">
        <v>26</v>
      </c>
      <c r="J397" s="16"/>
      <c r="K397" s="16"/>
      <c r="L397" s="16"/>
      <c r="M397" s="16"/>
      <c r="N397" s="16"/>
      <c r="O397" s="16"/>
      <c r="P397" s="16"/>
      <c r="Q397" s="16"/>
      <c r="R397" s="16"/>
      <c r="S397" s="16">
        <v>-2.0</v>
      </c>
      <c r="T397" s="16"/>
      <c r="U397" s="16" t="s">
        <v>1844</v>
      </c>
      <c r="V397" s="16" t="s">
        <v>1845</v>
      </c>
      <c r="W397" s="16" t="s">
        <v>179</v>
      </c>
    </row>
    <row r="398">
      <c r="A398" s="16">
        <v>11822.0</v>
      </c>
      <c r="B398" s="16" t="s">
        <v>1846</v>
      </c>
      <c r="C398" s="16">
        <v>0.18</v>
      </c>
      <c r="D398" s="174" t="s">
        <v>1847</v>
      </c>
      <c r="E398" s="16"/>
      <c r="F398" s="16">
        <v>498.0</v>
      </c>
      <c r="G398" s="16" t="s">
        <v>176</v>
      </c>
      <c r="H398" s="16" t="s">
        <v>25</v>
      </c>
      <c r="I398" s="16" t="s">
        <v>26</v>
      </c>
      <c r="J398" s="16"/>
      <c r="K398" s="16"/>
      <c r="L398" s="16"/>
      <c r="M398" s="16"/>
      <c r="N398" s="16"/>
      <c r="O398" s="16"/>
      <c r="P398" s="16"/>
      <c r="Q398" s="16"/>
      <c r="R398" s="16"/>
      <c r="S398" s="16">
        <v>-2.0</v>
      </c>
      <c r="T398" s="16"/>
      <c r="U398" s="16" t="s">
        <v>1848</v>
      </c>
      <c r="V398" s="16" t="s">
        <v>1849</v>
      </c>
      <c r="W398" s="16" t="s">
        <v>179</v>
      </c>
    </row>
    <row r="399">
      <c r="A399" s="16">
        <v>11823.0</v>
      </c>
      <c r="B399" s="16" t="s">
        <v>1850</v>
      </c>
      <c r="C399" s="16">
        <v>0.13</v>
      </c>
      <c r="D399" s="174" t="s">
        <v>1851</v>
      </c>
      <c r="E399" s="16"/>
      <c r="F399" s="16">
        <v>498.0</v>
      </c>
      <c r="G399" s="16" t="s">
        <v>176</v>
      </c>
      <c r="H399" s="16" t="s">
        <v>24</v>
      </c>
      <c r="I399" s="16"/>
      <c r="J399" s="16"/>
      <c r="K399" s="16"/>
      <c r="L399" s="16"/>
      <c r="M399" s="16"/>
      <c r="N399" s="16"/>
      <c r="O399" s="16"/>
      <c r="P399" s="16"/>
      <c r="Q399" s="16"/>
      <c r="R399" s="16"/>
      <c r="S399" s="16">
        <v>-2.0</v>
      </c>
      <c r="T399" s="16"/>
      <c r="U399" s="16" t="s">
        <v>1852</v>
      </c>
      <c r="V399" s="16" t="s">
        <v>1853</v>
      </c>
      <c r="W399" s="16" t="s">
        <v>188</v>
      </c>
    </row>
    <row r="400">
      <c r="A400" s="16">
        <v>11824.0</v>
      </c>
      <c r="B400" s="16" t="s">
        <v>1854</v>
      </c>
      <c r="C400" s="16">
        <v>2.28</v>
      </c>
      <c r="D400" s="174" t="s">
        <v>1855</v>
      </c>
      <c r="E400" s="16"/>
      <c r="F400" s="16">
        <v>516.0</v>
      </c>
      <c r="G400" s="16" t="s">
        <v>228</v>
      </c>
      <c r="H400" s="16" t="s">
        <v>19</v>
      </c>
      <c r="I400" s="16" t="s">
        <v>17</v>
      </c>
      <c r="J400" s="16"/>
      <c r="K400" s="16"/>
      <c r="L400" s="16"/>
      <c r="M400" s="16"/>
      <c r="N400" s="16"/>
      <c r="O400" s="16"/>
      <c r="P400" s="16"/>
      <c r="Q400" s="16"/>
      <c r="R400" s="16"/>
      <c r="S400" s="16">
        <v>15.0</v>
      </c>
      <c r="T400" s="16"/>
      <c r="U400" s="16" t="s">
        <v>1856</v>
      </c>
      <c r="V400" s="16" t="s">
        <v>1857</v>
      </c>
      <c r="W400" s="16" t="s">
        <v>199</v>
      </c>
    </row>
    <row r="401">
      <c r="A401" s="16">
        <v>11825.0</v>
      </c>
      <c r="B401" s="16" t="s">
        <v>1858</v>
      </c>
      <c r="C401" s="16">
        <v>1.89</v>
      </c>
      <c r="D401" s="174" t="s">
        <v>1859</v>
      </c>
      <c r="E401" s="16"/>
      <c r="F401" s="16">
        <v>523.0</v>
      </c>
      <c r="G401" s="16" t="s">
        <v>306</v>
      </c>
      <c r="H401" s="16" t="s">
        <v>25</v>
      </c>
      <c r="I401" s="16" t="s">
        <v>26</v>
      </c>
      <c r="J401" s="16"/>
      <c r="K401" s="16"/>
      <c r="L401" s="16"/>
      <c r="M401" s="16"/>
      <c r="N401" s="16"/>
      <c r="O401" s="16"/>
      <c r="P401" s="16"/>
      <c r="Q401" s="16"/>
      <c r="R401" s="16"/>
      <c r="S401" s="16">
        <v>1.0</v>
      </c>
      <c r="T401" s="16"/>
      <c r="U401" s="16" t="s">
        <v>1860</v>
      </c>
      <c r="V401" s="16" t="s">
        <v>1861</v>
      </c>
      <c r="W401" s="16" t="s">
        <v>231</v>
      </c>
    </row>
    <row r="402">
      <c r="A402" s="16">
        <v>11826.0</v>
      </c>
      <c r="B402" s="16" t="s">
        <v>1862</v>
      </c>
      <c r="C402" s="16">
        <v>3.67</v>
      </c>
      <c r="D402" s="174" t="s">
        <v>1863</v>
      </c>
      <c r="E402" s="16"/>
      <c r="F402" s="16">
        <v>505.0</v>
      </c>
      <c r="G402" s="16" t="s">
        <v>4656</v>
      </c>
      <c r="H402" s="16" t="s">
        <v>16</v>
      </c>
      <c r="I402" s="16"/>
      <c r="J402" s="16"/>
      <c r="K402" s="16"/>
      <c r="L402" s="16"/>
      <c r="M402" s="16"/>
      <c r="N402" s="16"/>
      <c r="O402" s="16"/>
      <c r="P402" s="16"/>
      <c r="Q402" s="16"/>
      <c r="R402" s="16" t="s">
        <v>4789</v>
      </c>
      <c r="S402" s="16">
        <v>10.0</v>
      </c>
      <c r="T402" s="174" t="s">
        <v>4790</v>
      </c>
      <c r="U402" s="16" t="s">
        <v>1864</v>
      </c>
      <c r="V402" s="16" t="s">
        <v>1865</v>
      </c>
      <c r="W402" s="16" t="s">
        <v>188</v>
      </c>
    </row>
    <row r="403">
      <c r="A403" s="16">
        <v>11827.0</v>
      </c>
      <c r="B403" s="16" t="s">
        <v>1866</v>
      </c>
      <c r="C403" s="16">
        <v>0.73</v>
      </c>
      <c r="D403" s="174" t="s">
        <v>1867</v>
      </c>
      <c r="E403" s="16"/>
      <c r="F403" s="16">
        <v>498.0</v>
      </c>
      <c r="G403" s="16" t="s">
        <v>176</v>
      </c>
      <c r="H403" s="16" t="s">
        <v>25</v>
      </c>
      <c r="I403" s="16"/>
      <c r="J403" s="16"/>
      <c r="K403" s="16"/>
      <c r="L403" s="16"/>
      <c r="M403" s="16"/>
      <c r="N403" s="16"/>
      <c r="O403" s="16"/>
      <c r="P403" s="16"/>
      <c r="Q403" s="16"/>
      <c r="R403" s="16"/>
      <c r="S403" s="16">
        <v>-2.0</v>
      </c>
      <c r="T403" s="16"/>
      <c r="U403" s="16" t="s">
        <v>1868</v>
      </c>
      <c r="V403" s="16" t="s">
        <v>1869</v>
      </c>
      <c r="W403" s="16" t="s">
        <v>332</v>
      </c>
    </row>
    <row r="404">
      <c r="A404" s="16">
        <v>11828.0</v>
      </c>
      <c r="B404" s="16" t="s">
        <v>1870</v>
      </c>
      <c r="C404" s="16">
        <v>1.6</v>
      </c>
      <c r="D404" s="174" t="s">
        <v>1871</v>
      </c>
      <c r="E404" s="16"/>
      <c r="F404" s="16">
        <v>532.0</v>
      </c>
      <c r="G404" s="16" t="s">
        <v>346</v>
      </c>
      <c r="H404" s="16" t="s">
        <v>16</v>
      </c>
      <c r="I404" s="16"/>
      <c r="J404" s="16"/>
      <c r="K404" s="16"/>
      <c r="L404" s="16"/>
      <c r="M404" s="16"/>
      <c r="N404" s="16"/>
      <c r="O404" s="16"/>
      <c r="P404" s="16"/>
      <c r="Q404" s="16"/>
      <c r="R404" s="16"/>
      <c r="S404" s="16">
        <v>16.0</v>
      </c>
      <c r="T404" s="16"/>
      <c r="U404" s="16" t="s">
        <v>1872</v>
      </c>
      <c r="V404" s="16" t="s">
        <v>1873</v>
      </c>
      <c r="W404" s="16" t="s">
        <v>722</v>
      </c>
    </row>
    <row r="405">
      <c r="A405" s="16">
        <v>11829.0</v>
      </c>
      <c r="B405" s="16" t="s">
        <v>1874</v>
      </c>
      <c r="C405" s="16">
        <v>0.95</v>
      </c>
      <c r="D405" s="174" t="s">
        <v>1875</v>
      </c>
      <c r="E405" s="16"/>
      <c r="F405" s="16">
        <v>528.0</v>
      </c>
      <c r="G405" s="16" t="s">
        <v>1755</v>
      </c>
      <c r="H405" s="16" t="s">
        <v>25</v>
      </c>
      <c r="I405" s="16"/>
      <c r="J405" s="16"/>
      <c r="K405" s="16"/>
      <c r="L405" s="16"/>
      <c r="M405" s="16"/>
      <c r="N405" s="16"/>
      <c r="O405" s="16"/>
      <c r="P405" s="16"/>
      <c r="Q405" s="16"/>
      <c r="R405" s="16"/>
      <c r="S405" s="16">
        <v>15.0</v>
      </c>
      <c r="T405" s="174" t="s">
        <v>4747</v>
      </c>
      <c r="U405" s="16" t="s">
        <v>1877</v>
      </c>
      <c r="V405" s="16" t="s">
        <v>1878</v>
      </c>
      <c r="W405" s="16" t="s">
        <v>199</v>
      </c>
    </row>
    <row r="406">
      <c r="A406" s="16">
        <v>11830.0</v>
      </c>
      <c r="B406" s="16" t="s">
        <v>1879</v>
      </c>
      <c r="C406" s="16">
        <v>0.0</v>
      </c>
      <c r="D406" s="174" t="s">
        <v>1880</v>
      </c>
      <c r="E406" s="16"/>
      <c r="F406" s="16">
        <v>498.0</v>
      </c>
      <c r="G406" s="16" t="s">
        <v>176</v>
      </c>
      <c r="H406" s="16" t="s">
        <v>17</v>
      </c>
      <c r="I406" s="16" t="s">
        <v>19</v>
      </c>
      <c r="J406" s="16"/>
      <c r="K406" s="16"/>
      <c r="L406" s="16"/>
      <c r="M406" s="16"/>
      <c r="N406" s="16"/>
      <c r="O406" s="16"/>
      <c r="P406" s="16"/>
      <c r="Q406" s="16"/>
      <c r="R406" s="16"/>
      <c r="S406" s="16">
        <v>-2.0</v>
      </c>
      <c r="T406" s="16"/>
      <c r="U406" s="16" t="s">
        <v>1881</v>
      </c>
      <c r="V406" s="16" t="s">
        <v>1882</v>
      </c>
      <c r="W406" s="16" t="s">
        <v>360</v>
      </c>
    </row>
    <row r="407">
      <c r="A407" s="16">
        <v>11831.0</v>
      </c>
      <c r="B407" s="16" t="s">
        <v>1883</v>
      </c>
      <c r="C407" s="16">
        <v>0.6</v>
      </c>
      <c r="D407" s="174" t="s">
        <v>1884</v>
      </c>
      <c r="E407" s="16"/>
      <c r="F407" s="16">
        <v>502.0</v>
      </c>
      <c r="G407" s="16" t="s">
        <v>200</v>
      </c>
      <c r="H407" s="16" t="s">
        <v>18</v>
      </c>
      <c r="I407" s="16"/>
      <c r="J407" s="16"/>
      <c r="K407" s="16"/>
      <c r="L407" s="16"/>
      <c r="M407" s="16"/>
      <c r="N407" s="16"/>
      <c r="O407" s="16"/>
      <c r="P407" s="16"/>
      <c r="Q407" s="16"/>
      <c r="R407" s="16"/>
      <c r="S407" s="16">
        <v>14.0</v>
      </c>
      <c r="T407" s="16"/>
      <c r="U407" s="16" t="s">
        <v>1885</v>
      </c>
      <c r="V407" s="16" t="s">
        <v>1886</v>
      </c>
      <c r="W407" s="16" t="s">
        <v>443</v>
      </c>
    </row>
    <row r="408">
      <c r="A408" s="16">
        <v>11832.0</v>
      </c>
      <c r="B408" s="16" t="s">
        <v>1887</v>
      </c>
      <c r="C408" s="16">
        <v>0.21</v>
      </c>
      <c r="D408" s="174" t="s">
        <v>1888</v>
      </c>
      <c r="E408" s="16"/>
      <c r="F408" s="16">
        <v>528.0</v>
      </c>
      <c r="G408" s="16" t="s">
        <v>1755</v>
      </c>
      <c r="H408" s="16" t="s">
        <v>24</v>
      </c>
      <c r="I408" s="16"/>
      <c r="J408" s="16"/>
      <c r="K408" s="16"/>
      <c r="L408" s="16"/>
      <c r="M408" s="16"/>
      <c r="N408" s="16"/>
      <c r="O408" s="16"/>
      <c r="P408" s="16"/>
      <c r="Q408" s="16"/>
      <c r="R408" s="16"/>
      <c r="S408" s="16">
        <v>13.0</v>
      </c>
      <c r="T408" s="174" t="s">
        <v>4747</v>
      </c>
      <c r="U408" s="16" t="s">
        <v>1889</v>
      </c>
      <c r="V408" s="16" t="s">
        <v>1890</v>
      </c>
      <c r="W408" s="16" t="s">
        <v>360</v>
      </c>
    </row>
    <row r="409">
      <c r="A409" s="16">
        <v>11833.0</v>
      </c>
      <c r="B409" s="16" t="s">
        <v>1891</v>
      </c>
      <c r="C409" s="16">
        <v>0.0</v>
      </c>
      <c r="D409" s="174" t="s">
        <v>1892</v>
      </c>
      <c r="E409" s="16"/>
      <c r="F409" s="16">
        <v>529.0</v>
      </c>
      <c r="G409" s="16" t="s">
        <v>333</v>
      </c>
      <c r="H409" s="16" t="s">
        <v>24</v>
      </c>
      <c r="I409" s="16" t="s">
        <v>25</v>
      </c>
      <c r="J409" s="16"/>
      <c r="K409" s="16"/>
      <c r="L409" s="16"/>
      <c r="M409" s="16"/>
      <c r="N409" s="16"/>
      <c r="O409" s="16"/>
      <c r="P409" s="16"/>
      <c r="Q409" s="16"/>
      <c r="R409" s="16"/>
      <c r="S409" s="16">
        <v>17.0</v>
      </c>
      <c r="T409" s="16"/>
      <c r="U409" s="16" t="s">
        <v>1893</v>
      </c>
      <c r="V409" s="16" t="s">
        <v>1894</v>
      </c>
      <c r="W409" s="16" t="s">
        <v>942</v>
      </c>
    </row>
    <row r="410">
      <c r="A410" s="16">
        <v>11834.0</v>
      </c>
      <c r="B410" s="16" t="s">
        <v>1895</v>
      </c>
      <c r="C410" s="16">
        <v>0.0</v>
      </c>
      <c r="D410" s="174" t="s">
        <v>1896</v>
      </c>
      <c r="E410" s="16"/>
      <c r="F410" s="16">
        <v>498.0</v>
      </c>
      <c r="G410" s="16" t="s">
        <v>176</v>
      </c>
      <c r="H410" s="16" t="s">
        <v>25</v>
      </c>
      <c r="I410" s="16" t="s">
        <v>26</v>
      </c>
      <c r="J410" s="16"/>
      <c r="K410" s="16"/>
      <c r="L410" s="16"/>
      <c r="M410" s="16"/>
      <c r="N410" s="16"/>
      <c r="O410" s="16"/>
      <c r="P410" s="16"/>
      <c r="Q410" s="16"/>
      <c r="R410" s="16"/>
      <c r="S410" s="16">
        <v>-2.0</v>
      </c>
      <c r="T410" s="16"/>
      <c r="U410" s="16" t="s">
        <v>1897</v>
      </c>
      <c r="V410" s="16" t="s">
        <v>1898</v>
      </c>
      <c r="W410" s="16" t="s">
        <v>179</v>
      </c>
    </row>
    <row r="411">
      <c r="A411" s="16">
        <v>11835.0</v>
      </c>
      <c r="B411" s="16" t="s">
        <v>1899</v>
      </c>
      <c r="C411" s="16">
        <v>1.29</v>
      </c>
      <c r="D411" s="174" t="s">
        <v>1900</v>
      </c>
      <c r="E411" s="16"/>
      <c r="F411" s="16">
        <v>536.0</v>
      </c>
      <c r="G411" s="16" t="s">
        <v>969</v>
      </c>
      <c r="H411" s="16" t="s">
        <v>18</v>
      </c>
      <c r="I411" s="16" t="s">
        <v>17</v>
      </c>
      <c r="J411" s="16" t="s">
        <v>19</v>
      </c>
      <c r="K411" s="16"/>
      <c r="L411" s="16"/>
      <c r="M411" s="16"/>
      <c r="N411" s="16"/>
      <c r="O411" s="16"/>
      <c r="P411" s="16"/>
      <c r="Q411" s="16"/>
      <c r="R411" s="16"/>
      <c r="S411" s="16">
        <v>6.0</v>
      </c>
      <c r="T411" s="16"/>
      <c r="U411" s="16" t="s">
        <v>1901</v>
      </c>
      <c r="V411" s="16" t="s">
        <v>1902</v>
      </c>
      <c r="W411" s="16" t="s">
        <v>491</v>
      </c>
    </row>
    <row r="412">
      <c r="A412" s="16">
        <v>11836.0</v>
      </c>
      <c r="B412" s="16" t="s">
        <v>1903</v>
      </c>
      <c r="C412" s="16">
        <v>0.0</v>
      </c>
      <c r="D412" s="174" t="s">
        <v>1904</v>
      </c>
      <c r="E412" s="16"/>
      <c r="F412" s="16">
        <v>498.0</v>
      </c>
      <c r="G412" s="16" t="s">
        <v>176</v>
      </c>
      <c r="H412" s="16" t="s">
        <v>12</v>
      </c>
      <c r="I412" s="16"/>
      <c r="J412" s="16"/>
      <c r="K412" s="16"/>
      <c r="L412" s="16"/>
      <c r="M412" s="16"/>
      <c r="N412" s="16"/>
      <c r="O412" s="16"/>
      <c r="P412" s="16"/>
      <c r="Q412" s="16"/>
      <c r="R412" s="16"/>
      <c r="S412" s="16">
        <v>-2.0</v>
      </c>
      <c r="T412" s="16"/>
      <c r="U412" s="16" t="s">
        <v>1905</v>
      </c>
      <c r="V412" s="16" t="s">
        <v>1906</v>
      </c>
      <c r="W412" s="16" t="s">
        <v>1907</v>
      </c>
    </row>
    <row r="413">
      <c r="A413" s="16">
        <v>11837.0</v>
      </c>
      <c r="B413" s="16" t="s">
        <v>1908</v>
      </c>
      <c r="C413" s="16">
        <v>1.02</v>
      </c>
      <c r="D413" s="174" t="s">
        <v>1909</v>
      </c>
      <c r="E413" s="16"/>
      <c r="F413" s="16">
        <v>537.0</v>
      </c>
      <c r="G413" s="16" t="s">
        <v>623</v>
      </c>
      <c r="H413" s="16" t="s">
        <v>17</v>
      </c>
      <c r="I413" s="16" t="s">
        <v>19</v>
      </c>
      <c r="J413" s="16"/>
      <c r="K413" s="16"/>
      <c r="L413" s="16"/>
      <c r="M413" s="16"/>
      <c r="N413" s="16"/>
      <c r="O413" s="16"/>
      <c r="P413" s="16"/>
      <c r="Q413" s="16"/>
      <c r="R413" s="16"/>
      <c r="S413" s="16">
        <v>15.0</v>
      </c>
      <c r="T413" s="16"/>
      <c r="U413" s="16" t="s">
        <v>1910</v>
      </c>
      <c r="V413" s="16" t="s">
        <v>1911</v>
      </c>
      <c r="W413" s="16" t="s">
        <v>199</v>
      </c>
    </row>
    <row r="414">
      <c r="A414" s="16">
        <v>11838.0</v>
      </c>
      <c r="B414" s="16" t="s">
        <v>1912</v>
      </c>
      <c r="C414" s="16">
        <v>0.0</v>
      </c>
      <c r="D414" s="174" t="s">
        <v>1913</v>
      </c>
      <c r="E414" s="16"/>
      <c r="F414" s="16">
        <v>498.0</v>
      </c>
      <c r="G414" s="16" t="s">
        <v>176</v>
      </c>
      <c r="H414" s="16" t="s">
        <v>25</v>
      </c>
      <c r="I414" s="16" t="s">
        <v>26</v>
      </c>
      <c r="J414" s="16"/>
      <c r="K414" s="16"/>
      <c r="L414" s="16"/>
      <c r="M414" s="16"/>
      <c r="N414" s="16"/>
      <c r="O414" s="16"/>
      <c r="P414" s="16"/>
      <c r="Q414" s="16"/>
      <c r="R414" s="16"/>
      <c r="S414" s="16">
        <v>15.0</v>
      </c>
      <c r="T414" s="16"/>
      <c r="U414" s="16" t="s">
        <v>1914</v>
      </c>
      <c r="V414" s="16" t="s">
        <v>1915</v>
      </c>
      <c r="W414" s="16" t="s">
        <v>179</v>
      </c>
    </row>
    <row r="415">
      <c r="A415" s="16">
        <v>11839.0</v>
      </c>
      <c r="B415" s="16" t="s">
        <v>1916</v>
      </c>
      <c r="C415" s="16">
        <v>1.97</v>
      </c>
      <c r="D415" s="174" t="s">
        <v>1917</v>
      </c>
      <c r="E415" s="16"/>
      <c r="F415" s="16">
        <v>501.0</v>
      </c>
      <c r="G415" s="16" t="s">
        <v>371</v>
      </c>
      <c r="H415" s="16" t="s">
        <v>24</v>
      </c>
      <c r="I415" s="16" t="s">
        <v>25</v>
      </c>
      <c r="J415" s="16"/>
      <c r="K415" s="16"/>
      <c r="L415" s="16"/>
      <c r="M415" s="16"/>
      <c r="N415" s="16"/>
      <c r="O415" s="16"/>
      <c r="P415" s="16"/>
      <c r="Q415" s="16"/>
      <c r="R415" s="16"/>
      <c r="S415" s="16">
        <v>15.0</v>
      </c>
      <c r="T415" s="16"/>
      <c r="U415" s="16" t="s">
        <v>1918</v>
      </c>
      <c r="V415" s="16" t="s">
        <v>1919</v>
      </c>
      <c r="W415" s="16" t="s">
        <v>360</v>
      </c>
    </row>
    <row r="416">
      <c r="A416" s="16">
        <v>11840.0</v>
      </c>
      <c r="B416" s="16" t="s">
        <v>1920</v>
      </c>
      <c r="C416" s="16">
        <v>0.42</v>
      </c>
      <c r="D416" s="174" t="s">
        <v>1921</v>
      </c>
      <c r="E416" s="16"/>
      <c r="F416" s="16">
        <v>508.0</v>
      </c>
      <c r="G416" s="16" t="s">
        <v>4754</v>
      </c>
      <c r="H416" s="16" t="s">
        <v>25</v>
      </c>
      <c r="I416" s="16"/>
      <c r="J416" s="16"/>
      <c r="K416" s="16"/>
      <c r="L416" s="16"/>
      <c r="M416" s="16"/>
      <c r="N416" s="16"/>
      <c r="O416" s="16"/>
      <c r="P416" s="16"/>
      <c r="Q416" s="16"/>
      <c r="R416" s="16"/>
      <c r="S416" s="16">
        <v>15.0</v>
      </c>
      <c r="T416" s="16"/>
      <c r="U416" s="16" t="s">
        <v>1924</v>
      </c>
      <c r="V416" s="16" t="s">
        <v>1925</v>
      </c>
      <c r="W416" s="16" t="s">
        <v>332</v>
      </c>
    </row>
    <row r="417">
      <c r="A417" s="16">
        <v>11841.0</v>
      </c>
      <c r="B417" s="16" t="s">
        <v>1926</v>
      </c>
      <c r="C417" s="16">
        <v>1.38</v>
      </c>
      <c r="D417" s="174" t="s">
        <v>1927</v>
      </c>
      <c r="E417" s="16"/>
      <c r="F417" s="16">
        <v>541.0</v>
      </c>
      <c r="G417" s="16" t="s">
        <v>387</v>
      </c>
      <c r="H417" s="16" t="s">
        <v>24</v>
      </c>
      <c r="I417" s="16"/>
      <c r="J417" s="16"/>
      <c r="K417" s="16"/>
      <c r="L417" s="16"/>
      <c r="M417" s="16"/>
      <c r="N417" s="16"/>
      <c r="O417" s="16"/>
      <c r="P417" s="16"/>
      <c r="Q417" s="16"/>
      <c r="R417" s="16"/>
      <c r="S417" s="16">
        <v>6.0</v>
      </c>
      <c r="T417" s="16"/>
      <c r="U417" s="16" t="s">
        <v>1928</v>
      </c>
      <c r="V417" s="16" t="s">
        <v>1929</v>
      </c>
      <c r="W417" s="16" t="s">
        <v>188</v>
      </c>
    </row>
    <row r="418">
      <c r="A418" s="16">
        <v>11842.0</v>
      </c>
      <c r="B418" s="16" t="s">
        <v>1930</v>
      </c>
      <c r="C418" s="16">
        <v>1.67</v>
      </c>
      <c r="D418" s="174" t="s">
        <v>1931</v>
      </c>
      <c r="E418" s="16"/>
      <c r="F418" s="16">
        <v>505.0</v>
      </c>
      <c r="G418" s="16" t="s">
        <v>4656</v>
      </c>
      <c r="H418" s="16" t="s">
        <v>25</v>
      </c>
      <c r="I418" s="16"/>
      <c r="J418" s="16"/>
      <c r="K418" s="16"/>
      <c r="L418" s="16"/>
      <c r="M418" s="16"/>
      <c r="N418" s="16"/>
      <c r="O418" s="16"/>
      <c r="P418" s="16"/>
      <c r="Q418" s="16"/>
      <c r="R418" s="16"/>
      <c r="S418" s="16">
        <v>1.0</v>
      </c>
      <c r="T418" s="16"/>
      <c r="U418" s="16" t="s">
        <v>1932</v>
      </c>
      <c r="V418" s="16" t="s">
        <v>1933</v>
      </c>
      <c r="W418" s="16" t="s">
        <v>231</v>
      </c>
    </row>
    <row r="419">
      <c r="A419" s="16">
        <v>11843.0</v>
      </c>
      <c r="B419" s="16" t="s">
        <v>1934</v>
      </c>
      <c r="C419" s="16">
        <v>0.0</v>
      </c>
      <c r="D419" s="174" t="s">
        <v>1935</v>
      </c>
      <c r="E419" s="16"/>
      <c r="F419" s="16">
        <v>517.0</v>
      </c>
      <c r="G419" s="16" t="s">
        <v>277</v>
      </c>
      <c r="H419" s="16" t="s">
        <v>12</v>
      </c>
      <c r="I419" s="16" t="s">
        <v>19</v>
      </c>
      <c r="J419" s="16" t="s">
        <v>17</v>
      </c>
      <c r="K419" s="16" t="s">
        <v>13</v>
      </c>
      <c r="L419" s="16"/>
      <c r="M419" s="16"/>
      <c r="N419" s="16"/>
      <c r="O419" s="16"/>
      <c r="P419" s="16"/>
      <c r="Q419" s="16"/>
      <c r="R419" s="16"/>
      <c r="S419" s="16">
        <v>1.0</v>
      </c>
      <c r="T419" s="16"/>
      <c r="U419" s="16" t="s">
        <v>1936</v>
      </c>
      <c r="V419" s="16" t="s">
        <v>1937</v>
      </c>
      <c r="W419" s="16" t="s">
        <v>600</v>
      </c>
    </row>
    <row r="420">
      <c r="A420" s="16">
        <v>11844.0</v>
      </c>
      <c r="B420" s="16" t="s">
        <v>1938</v>
      </c>
      <c r="C420" s="16">
        <v>3.77</v>
      </c>
      <c r="D420" s="174" t="s">
        <v>1939</v>
      </c>
      <c r="E420" s="16"/>
      <c r="F420" s="16">
        <v>502.0</v>
      </c>
      <c r="G420" s="16" t="s">
        <v>200</v>
      </c>
      <c r="H420" s="16" t="s">
        <v>24</v>
      </c>
      <c r="I420" s="16"/>
      <c r="J420" s="16"/>
      <c r="K420" s="16"/>
      <c r="L420" s="16"/>
      <c r="M420" s="16"/>
      <c r="N420" s="16"/>
      <c r="O420" s="16"/>
      <c r="P420" s="16"/>
      <c r="Q420" s="16"/>
      <c r="R420" s="16"/>
      <c r="S420" s="16">
        <v>12.0</v>
      </c>
      <c r="T420" s="174" t="s">
        <v>4791</v>
      </c>
      <c r="U420" s="16" t="s">
        <v>1941</v>
      </c>
      <c r="V420" s="16" t="s">
        <v>1942</v>
      </c>
      <c r="W420" s="16" t="s">
        <v>443</v>
      </c>
    </row>
    <row r="421">
      <c r="A421" s="16">
        <v>11845.0</v>
      </c>
      <c r="B421" s="16" t="s">
        <v>1943</v>
      </c>
      <c r="C421" s="16">
        <v>0.0</v>
      </c>
      <c r="D421" s="174" t="s">
        <v>1944</v>
      </c>
      <c r="E421" s="16"/>
      <c r="F421" s="16">
        <v>498.0</v>
      </c>
      <c r="G421" s="16" t="s">
        <v>176</v>
      </c>
      <c r="H421" s="16" t="s">
        <v>25</v>
      </c>
      <c r="I421" s="16" t="s">
        <v>26</v>
      </c>
      <c r="J421" s="16"/>
      <c r="K421" s="16"/>
      <c r="L421" s="16"/>
      <c r="M421" s="16"/>
      <c r="N421" s="16"/>
      <c r="O421" s="16"/>
      <c r="P421" s="16"/>
      <c r="Q421" s="16"/>
      <c r="R421" s="16"/>
      <c r="S421" s="16">
        <v>-2.0</v>
      </c>
      <c r="T421" s="16"/>
      <c r="U421" s="16" t="s">
        <v>1945</v>
      </c>
      <c r="V421" s="16" t="s">
        <v>1946</v>
      </c>
      <c r="W421" s="16" t="s">
        <v>634</v>
      </c>
    </row>
    <row r="422">
      <c r="A422" s="16">
        <v>11846.0</v>
      </c>
      <c r="B422" s="16" t="s">
        <v>1947</v>
      </c>
      <c r="C422" s="16">
        <v>0.0</v>
      </c>
      <c r="D422" s="174" t="s">
        <v>1948</v>
      </c>
      <c r="E422" s="16"/>
      <c r="F422" s="16">
        <v>498.0</v>
      </c>
      <c r="G422" s="16" t="s">
        <v>176</v>
      </c>
      <c r="H422" s="16" t="s">
        <v>19</v>
      </c>
      <c r="I422" s="16" t="s">
        <v>13</v>
      </c>
      <c r="J422" s="16"/>
      <c r="K422" s="16"/>
      <c r="L422" s="16"/>
      <c r="M422" s="16"/>
      <c r="N422" s="16"/>
      <c r="O422" s="16"/>
      <c r="P422" s="16"/>
      <c r="Q422" s="16"/>
      <c r="R422" s="16"/>
      <c r="S422" s="16">
        <v>-2.0</v>
      </c>
      <c r="T422" s="16"/>
      <c r="U422" s="16" t="s">
        <v>1949</v>
      </c>
      <c r="V422" s="16" t="s">
        <v>1950</v>
      </c>
      <c r="W422" s="16" t="s">
        <v>675</v>
      </c>
    </row>
    <row r="423">
      <c r="A423" s="16">
        <v>11847.0</v>
      </c>
      <c r="B423" s="16" t="s">
        <v>1951</v>
      </c>
      <c r="C423" s="16">
        <v>0.76</v>
      </c>
      <c r="D423" s="174" t="s">
        <v>1952</v>
      </c>
      <c r="E423" s="16"/>
      <c r="F423" s="16">
        <v>536.0</v>
      </c>
      <c r="G423" s="16" t="s">
        <v>969</v>
      </c>
      <c r="H423" s="16" t="s">
        <v>25</v>
      </c>
      <c r="I423" s="16" t="s">
        <v>26</v>
      </c>
      <c r="J423" s="16"/>
      <c r="K423" s="16"/>
      <c r="L423" s="16"/>
      <c r="M423" s="16"/>
      <c r="N423" s="16"/>
      <c r="O423" s="16"/>
      <c r="P423" s="16"/>
      <c r="Q423" s="16"/>
      <c r="R423" s="16" t="s">
        <v>4771</v>
      </c>
      <c r="S423" s="16">
        <v>19.0</v>
      </c>
      <c r="T423" s="16"/>
      <c r="U423" s="16" t="s">
        <v>1953</v>
      </c>
      <c r="V423" s="16" t="s">
        <v>1954</v>
      </c>
      <c r="W423" s="16" t="s">
        <v>422</v>
      </c>
    </row>
    <row r="424">
      <c r="A424" s="16">
        <v>11848.0</v>
      </c>
      <c r="B424" s="16" t="s">
        <v>1955</v>
      </c>
      <c r="C424" s="16">
        <v>0.65</v>
      </c>
      <c r="D424" s="174" t="s">
        <v>1956</v>
      </c>
      <c r="E424" s="16"/>
      <c r="F424" s="16">
        <v>544.0</v>
      </c>
      <c r="G424" s="16" t="s">
        <v>272</v>
      </c>
      <c r="H424" s="16" t="s">
        <v>25</v>
      </c>
      <c r="I424" s="16" t="s">
        <v>26</v>
      </c>
      <c r="J424" s="16"/>
      <c r="K424" s="16"/>
      <c r="L424" s="16"/>
      <c r="M424" s="16"/>
      <c r="N424" s="16"/>
      <c r="O424" s="16"/>
      <c r="P424" s="16"/>
      <c r="Q424" s="16"/>
      <c r="R424" s="16"/>
      <c r="S424" s="16">
        <v>1.0</v>
      </c>
      <c r="T424" s="174" t="s">
        <v>4792</v>
      </c>
      <c r="U424" s="16" t="s">
        <v>1957</v>
      </c>
      <c r="V424" s="16" t="s">
        <v>1958</v>
      </c>
      <c r="W424" s="16" t="s">
        <v>231</v>
      </c>
    </row>
    <row r="425">
      <c r="A425" s="16">
        <v>11849.0</v>
      </c>
      <c r="B425" s="16" t="s">
        <v>1959</v>
      </c>
      <c r="C425" s="16">
        <v>0.64</v>
      </c>
      <c r="D425" s="174" t="s">
        <v>1960</v>
      </c>
      <c r="E425" s="16"/>
      <c r="F425" s="16">
        <v>498.0</v>
      </c>
      <c r="G425" s="16" t="s">
        <v>176</v>
      </c>
      <c r="H425" s="16" t="s">
        <v>25</v>
      </c>
      <c r="I425" s="16" t="s">
        <v>26</v>
      </c>
      <c r="J425" s="16"/>
      <c r="K425" s="16"/>
      <c r="L425" s="16"/>
      <c r="M425" s="16"/>
      <c r="N425" s="16"/>
      <c r="O425" s="16"/>
      <c r="P425" s="16"/>
      <c r="Q425" s="16"/>
      <c r="R425" s="16"/>
      <c r="S425" s="16">
        <v>-2.0</v>
      </c>
      <c r="T425" s="16"/>
      <c r="U425" s="16" t="s">
        <v>1961</v>
      </c>
      <c r="V425" s="16" t="s">
        <v>1962</v>
      </c>
      <c r="W425" s="16" t="s">
        <v>422</v>
      </c>
    </row>
    <row r="426">
      <c r="A426" s="16">
        <v>11850.0</v>
      </c>
      <c r="B426" s="16" t="s">
        <v>1963</v>
      </c>
      <c r="C426" s="16">
        <v>1.72</v>
      </c>
      <c r="D426" s="174" t="s">
        <v>1964</v>
      </c>
      <c r="E426" s="16"/>
      <c r="F426" s="16">
        <v>541.0</v>
      </c>
      <c r="G426" s="16" t="s">
        <v>387</v>
      </c>
      <c r="H426" s="16" t="s">
        <v>17</v>
      </c>
      <c r="I426" s="16"/>
      <c r="J426" s="16"/>
      <c r="K426" s="16"/>
      <c r="L426" s="16"/>
      <c r="M426" s="16"/>
      <c r="N426" s="16"/>
      <c r="O426" s="16"/>
      <c r="P426" s="16"/>
      <c r="Q426" s="16"/>
      <c r="R426" s="16"/>
      <c r="S426" s="16">
        <v>1.0</v>
      </c>
      <c r="T426" s="16"/>
      <c r="U426" s="16" t="s">
        <v>1965</v>
      </c>
      <c r="V426" s="16" t="s">
        <v>1966</v>
      </c>
      <c r="W426" s="16" t="s">
        <v>188</v>
      </c>
    </row>
    <row r="427">
      <c r="A427" s="16">
        <v>11851.0</v>
      </c>
      <c r="B427" s="16" t="s">
        <v>1967</v>
      </c>
      <c r="C427" s="16">
        <v>0.0</v>
      </c>
      <c r="D427" s="174" t="s">
        <v>1968</v>
      </c>
      <c r="E427" s="16"/>
      <c r="F427" s="16">
        <v>499.0</v>
      </c>
      <c r="G427" s="16" t="s">
        <v>126</v>
      </c>
      <c r="H427" s="16" t="s">
        <v>15</v>
      </c>
      <c r="I427" s="16" t="s">
        <v>14</v>
      </c>
      <c r="J427" s="16" t="s">
        <v>17</v>
      </c>
      <c r="K427" s="16" t="s">
        <v>16</v>
      </c>
      <c r="L427" s="16" t="s">
        <v>13</v>
      </c>
      <c r="M427" s="16"/>
      <c r="N427" s="16"/>
      <c r="O427" s="16"/>
      <c r="P427" s="16"/>
      <c r="Q427" s="16"/>
      <c r="R427" s="16"/>
      <c r="S427" s="16">
        <v>15.0</v>
      </c>
      <c r="T427" s="16"/>
      <c r="U427" s="16" t="s">
        <v>1969</v>
      </c>
      <c r="V427" s="16" t="s">
        <v>1970</v>
      </c>
      <c r="W427" s="16" t="s">
        <v>179</v>
      </c>
    </row>
    <row r="428">
      <c r="A428" s="16">
        <v>11852.0</v>
      </c>
      <c r="B428" s="16" t="s">
        <v>1971</v>
      </c>
      <c r="C428" s="16">
        <v>1.22</v>
      </c>
      <c r="D428" s="174" t="s">
        <v>1972</v>
      </c>
      <c r="E428" s="16"/>
      <c r="F428" s="16">
        <v>504.0</v>
      </c>
      <c r="G428" s="16" t="s">
        <v>1465</v>
      </c>
      <c r="H428" s="16" t="s">
        <v>15</v>
      </c>
      <c r="I428" s="16" t="s">
        <v>13</v>
      </c>
      <c r="J428" s="16"/>
      <c r="K428" s="16"/>
      <c r="L428" s="16"/>
      <c r="M428" s="16"/>
      <c r="N428" s="16"/>
      <c r="O428" s="16"/>
      <c r="P428" s="16"/>
      <c r="Q428" s="16"/>
      <c r="R428" s="16"/>
      <c r="S428" s="16">
        <v>16.0</v>
      </c>
      <c r="T428" s="16"/>
      <c r="U428" s="16" t="s">
        <v>1974</v>
      </c>
      <c r="V428" s="16" t="s">
        <v>1975</v>
      </c>
      <c r="W428" s="16" t="s">
        <v>188</v>
      </c>
    </row>
    <row r="429">
      <c r="A429" s="16">
        <v>11853.0</v>
      </c>
      <c r="B429" s="16" t="s">
        <v>1976</v>
      </c>
      <c r="C429" s="16">
        <v>2.1</v>
      </c>
      <c r="D429" s="174" t="s">
        <v>1977</v>
      </c>
      <c r="E429" s="16"/>
      <c r="F429" s="16">
        <v>537.0</v>
      </c>
      <c r="G429" s="16" t="s">
        <v>623</v>
      </c>
      <c r="H429" s="16" t="s">
        <v>14</v>
      </c>
      <c r="I429" s="16" t="s">
        <v>15</v>
      </c>
      <c r="J429" s="16" t="s">
        <v>16</v>
      </c>
      <c r="K429" s="16" t="s">
        <v>18</v>
      </c>
      <c r="L429" s="16"/>
      <c r="M429" s="16"/>
      <c r="N429" s="16"/>
      <c r="O429" s="16"/>
      <c r="P429" s="16"/>
      <c r="Q429" s="16"/>
      <c r="R429" s="16"/>
      <c r="S429" s="16">
        <v>15.0</v>
      </c>
      <c r="T429" s="16"/>
      <c r="U429" s="16" t="s">
        <v>1978</v>
      </c>
      <c r="V429" s="16" t="s">
        <v>1979</v>
      </c>
      <c r="W429" s="16" t="s">
        <v>722</v>
      </c>
    </row>
    <row r="430">
      <c r="A430" s="16">
        <v>11854.0</v>
      </c>
      <c r="B430" s="16" t="s">
        <v>1980</v>
      </c>
      <c r="C430" s="16">
        <v>1.9</v>
      </c>
      <c r="D430" s="174" t="s">
        <v>1981</v>
      </c>
      <c r="E430" s="16"/>
      <c r="F430" s="16">
        <v>506.0</v>
      </c>
      <c r="G430" s="16" t="s">
        <v>4759</v>
      </c>
      <c r="H430" s="16" t="s">
        <v>12</v>
      </c>
      <c r="I430" s="16"/>
      <c r="J430" s="16"/>
      <c r="K430" s="16"/>
      <c r="L430" s="16"/>
      <c r="M430" s="16"/>
      <c r="N430" s="16"/>
      <c r="O430" s="16"/>
      <c r="P430" s="16"/>
      <c r="Q430" s="16"/>
      <c r="R430" s="16"/>
      <c r="S430" s="16">
        <v>16.0</v>
      </c>
      <c r="T430" s="16"/>
      <c r="U430" s="16" t="s">
        <v>1982</v>
      </c>
      <c r="V430" s="16" t="s">
        <v>1983</v>
      </c>
      <c r="W430" s="16" t="s">
        <v>566</v>
      </c>
    </row>
    <row r="431">
      <c r="A431" s="16">
        <v>11855.0</v>
      </c>
      <c r="B431" s="16" t="s">
        <v>1984</v>
      </c>
      <c r="C431" s="16">
        <v>0.0</v>
      </c>
      <c r="D431" s="174" t="s">
        <v>1985</v>
      </c>
      <c r="E431" s="16"/>
      <c r="F431" s="16">
        <v>532.0</v>
      </c>
      <c r="G431" s="16" t="s">
        <v>346</v>
      </c>
      <c r="H431" s="16" t="s">
        <v>15</v>
      </c>
      <c r="I431" s="16" t="s">
        <v>14</v>
      </c>
      <c r="J431" s="16"/>
      <c r="K431" s="16"/>
      <c r="L431" s="16"/>
      <c r="M431" s="16"/>
      <c r="N431" s="16"/>
      <c r="O431" s="16"/>
      <c r="P431" s="16"/>
      <c r="Q431" s="16"/>
      <c r="R431" s="16"/>
      <c r="S431" s="16">
        <v>1.0</v>
      </c>
      <c r="T431" s="16"/>
      <c r="U431" s="16" t="s">
        <v>1986</v>
      </c>
      <c r="V431" s="16" t="s">
        <v>1987</v>
      </c>
      <c r="W431" s="16" t="s">
        <v>199</v>
      </c>
    </row>
    <row r="432">
      <c r="A432" s="16">
        <v>11856.0</v>
      </c>
      <c r="B432" s="16" t="s">
        <v>1988</v>
      </c>
      <c r="C432" s="16">
        <v>1.72</v>
      </c>
      <c r="D432" s="174" t="s">
        <v>1989</v>
      </c>
      <c r="E432" s="16"/>
      <c r="F432" s="16">
        <v>538.0</v>
      </c>
      <c r="G432" s="16" t="s">
        <v>289</v>
      </c>
      <c r="H432" s="16" t="s">
        <v>24</v>
      </c>
      <c r="I432" s="16"/>
      <c r="J432" s="16"/>
      <c r="K432" s="16"/>
      <c r="L432" s="16"/>
      <c r="M432" s="16"/>
      <c r="N432" s="16"/>
      <c r="O432" s="16"/>
      <c r="P432" s="16"/>
      <c r="Q432" s="16"/>
      <c r="R432" s="16" t="s">
        <v>4793</v>
      </c>
      <c r="S432" s="16">
        <v>1.0</v>
      </c>
      <c r="T432" s="16"/>
      <c r="U432" s="16" t="s">
        <v>1990</v>
      </c>
      <c r="V432" s="16" t="s">
        <v>1991</v>
      </c>
      <c r="W432" s="16" t="s">
        <v>188</v>
      </c>
    </row>
    <row r="433">
      <c r="A433" s="16">
        <v>11857.0</v>
      </c>
      <c r="B433" s="16" t="s">
        <v>1992</v>
      </c>
      <c r="C433" s="16">
        <v>0.96</v>
      </c>
      <c r="D433" s="174" t="s">
        <v>1993</v>
      </c>
      <c r="E433" s="16"/>
      <c r="F433" s="16">
        <v>498.0</v>
      </c>
      <c r="G433" s="16" t="s">
        <v>176</v>
      </c>
      <c r="H433" s="16" t="s">
        <v>24</v>
      </c>
      <c r="I433" s="16"/>
      <c r="J433" s="16"/>
      <c r="K433" s="16"/>
      <c r="L433" s="16"/>
      <c r="M433" s="16"/>
      <c r="N433" s="16"/>
      <c r="O433" s="16"/>
      <c r="P433" s="16"/>
      <c r="Q433" s="16"/>
      <c r="R433" s="16"/>
      <c r="S433" s="16">
        <v>14.0</v>
      </c>
      <c r="T433" s="174" t="s">
        <v>4794</v>
      </c>
      <c r="U433" s="16" t="s">
        <v>1994</v>
      </c>
      <c r="V433" s="16" t="s">
        <v>1995</v>
      </c>
      <c r="W433" s="16" t="s">
        <v>332</v>
      </c>
    </row>
    <row r="434">
      <c r="A434" s="16">
        <v>11858.0</v>
      </c>
      <c r="B434" s="16" t="s">
        <v>1996</v>
      </c>
      <c r="C434" s="16">
        <v>0.0</v>
      </c>
      <c r="D434" s="174" t="s">
        <v>1997</v>
      </c>
      <c r="E434" s="16"/>
      <c r="F434" s="16">
        <v>498.0</v>
      </c>
      <c r="G434" s="16" t="s">
        <v>176</v>
      </c>
      <c r="H434" s="16" t="s">
        <v>24</v>
      </c>
      <c r="I434" s="16" t="s">
        <v>25</v>
      </c>
      <c r="J434" s="16"/>
      <c r="K434" s="16"/>
      <c r="L434" s="16"/>
      <c r="M434" s="16"/>
      <c r="N434" s="16"/>
      <c r="O434" s="16"/>
      <c r="P434" s="16"/>
      <c r="Q434" s="16"/>
      <c r="R434" s="16"/>
      <c r="S434" s="16">
        <v>-2.0</v>
      </c>
      <c r="T434" s="16"/>
      <c r="U434" s="16" t="s">
        <v>1998</v>
      </c>
      <c r="V434" s="16" t="s">
        <v>1999</v>
      </c>
      <c r="W434" s="16" t="s">
        <v>199</v>
      </c>
    </row>
    <row r="435">
      <c r="A435" s="16">
        <v>11859.0</v>
      </c>
      <c r="B435" s="16" t="s">
        <v>2000</v>
      </c>
      <c r="C435" s="16">
        <v>0.0</v>
      </c>
      <c r="D435" s="174" t="s">
        <v>2001</v>
      </c>
      <c r="E435" s="16"/>
      <c r="F435" s="16">
        <v>498.0</v>
      </c>
      <c r="G435" s="16" t="s">
        <v>176</v>
      </c>
      <c r="H435" s="16" t="s">
        <v>14</v>
      </c>
      <c r="I435" s="16" t="s">
        <v>16</v>
      </c>
      <c r="J435" s="16" t="s">
        <v>19</v>
      </c>
      <c r="K435" s="16"/>
      <c r="L435" s="16"/>
      <c r="M435" s="16"/>
      <c r="N435" s="16"/>
      <c r="O435" s="16"/>
      <c r="P435" s="16"/>
      <c r="Q435" s="16"/>
      <c r="R435" s="16"/>
      <c r="S435" s="16">
        <v>-2.0</v>
      </c>
      <c r="T435" s="16"/>
      <c r="U435" s="16" t="s">
        <v>2002</v>
      </c>
      <c r="V435" s="16" t="s">
        <v>2003</v>
      </c>
      <c r="W435" s="16" t="s">
        <v>199</v>
      </c>
    </row>
    <row r="436">
      <c r="A436" s="16">
        <v>11860.0</v>
      </c>
      <c r="B436" s="16" t="s">
        <v>2004</v>
      </c>
      <c r="C436" s="16">
        <v>0.0</v>
      </c>
      <c r="D436" s="174" t="s">
        <v>2005</v>
      </c>
      <c r="E436" s="16"/>
      <c r="F436" s="16">
        <v>498.0</v>
      </c>
      <c r="G436" s="16" t="s">
        <v>176</v>
      </c>
      <c r="H436" s="16" t="s">
        <v>18</v>
      </c>
      <c r="I436" s="16" t="s">
        <v>17</v>
      </c>
      <c r="J436" s="16" t="s">
        <v>19</v>
      </c>
      <c r="K436" s="16"/>
      <c r="L436" s="16"/>
      <c r="M436" s="16"/>
      <c r="N436" s="16"/>
      <c r="O436" s="16"/>
      <c r="P436" s="16"/>
      <c r="Q436" s="16"/>
      <c r="R436" s="16"/>
      <c r="S436" s="16">
        <v>-2.0</v>
      </c>
      <c r="T436" s="16"/>
      <c r="U436" s="16" t="s">
        <v>2006</v>
      </c>
      <c r="V436" s="16" t="s">
        <v>2007</v>
      </c>
      <c r="W436" s="16" t="s">
        <v>360</v>
      </c>
    </row>
    <row r="437">
      <c r="A437" s="16">
        <v>11861.0</v>
      </c>
      <c r="B437" s="16" t="s">
        <v>2008</v>
      </c>
      <c r="C437" s="16">
        <v>1.92</v>
      </c>
      <c r="D437" s="174" t="s">
        <v>2009</v>
      </c>
      <c r="E437" s="16"/>
      <c r="F437" s="16">
        <v>517.0</v>
      </c>
      <c r="G437" s="16" t="s">
        <v>277</v>
      </c>
      <c r="H437" s="16" t="s">
        <v>17</v>
      </c>
      <c r="I437" s="16" t="s">
        <v>19</v>
      </c>
      <c r="J437" s="16"/>
      <c r="K437" s="16"/>
      <c r="L437" s="16"/>
      <c r="M437" s="16"/>
      <c r="N437" s="16"/>
      <c r="O437" s="16"/>
      <c r="P437" s="16"/>
      <c r="Q437" s="16"/>
      <c r="R437" s="16"/>
      <c r="S437" s="16">
        <v>11.0</v>
      </c>
      <c r="T437" s="174" t="s">
        <v>4795</v>
      </c>
      <c r="U437" s="16" t="s">
        <v>2011</v>
      </c>
      <c r="V437" s="16" t="s">
        <v>2012</v>
      </c>
      <c r="W437" s="16" t="s">
        <v>188</v>
      </c>
    </row>
    <row r="438">
      <c r="A438" s="16">
        <v>11862.0</v>
      </c>
      <c r="B438" s="16" t="s">
        <v>2013</v>
      </c>
      <c r="C438" s="16">
        <v>0.14</v>
      </c>
      <c r="D438" s="174" t="s">
        <v>2014</v>
      </c>
      <c r="E438" s="16"/>
      <c r="F438" s="16">
        <v>501.0</v>
      </c>
      <c r="G438" s="16" t="s">
        <v>371</v>
      </c>
      <c r="H438" s="16" t="s">
        <v>14</v>
      </c>
      <c r="I438" s="16" t="s">
        <v>16</v>
      </c>
      <c r="J438" s="16"/>
      <c r="K438" s="16"/>
      <c r="L438" s="16"/>
      <c r="M438" s="16"/>
      <c r="N438" s="16"/>
      <c r="O438" s="16"/>
      <c r="P438" s="16"/>
      <c r="Q438" s="16"/>
      <c r="R438" s="16"/>
      <c r="S438" s="16">
        <v>15.0</v>
      </c>
      <c r="T438" s="16"/>
      <c r="U438" s="16" t="s">
        <v>2015</v>
      </c>
      <c r="V438" s="16" t="s">
        <v>2016</v>
      </c>
      <c r="W438" s="16" t="s">
        <v>332</v>
      </c>
    </row>
    <row r="439">
      <c r="A439" s="16">
        <v>11863.0</v>
      </c>
      <c r="B439" s="16" t="s">
        <v>2017</v>
      </c>
      <c r="C439" s="16">
        <v>2.15</v>
      </c>
      <c r="D439" s="174" t="s">
        <v>2018</v>
      </c>
      <c r="E439" s="16"/>
      <c r="F439" s="16">
        <v>544.0</v>
      </c>
      <c r="G439" s="16" t="s">
        <v>272</v>
      </c>
      <c r="H439" s="16" t="s">
        <v>18</v>
      </c>
      <c r="I439" s="16"/>
      <c r="J439" s="16"/>
      <c r="K439" s="16"/>
      <c r="L439" s="16"/>
      <c r="M439" s="16"/>
      <c r="N439" s="16"/>
      <c r="O439" s="16"/>
      <c r="P439" s="16"/>
      <c r="Q439" s="16"/>
      <c r="R439" s="16"/>
      <c r="S439" s="16">
        <v>11.0</v>
      </c>
      <c r="T439" s="16"/>
      <c r="U439" s="16" t="s">
        <v>2020</v>
      </c>
      <c r="V439" s="16" t="s">
        <v>2021</v>
      </c>
      <c r="W439" s="16" t="s">
        <v>188</v>
      </c>
    </row>
    <row r="440">
      <c r="A440" s="16">
        <v>11864.0</v>
      </c>
      <c r="B440" s="16" t="s">
        <v>2022</v>
      </c>
      <c r="C440" s="16">
        <v>0.0</v>
      </c>
      <c r="D440" s="174" t="s">
        <v>2023</v>
      </c>
      <c r="E440" s="16"/>
      <c r="F440" s="16">
        <v>498.0</v>
      </c>
      <c r="G440" s="16" t="s">
        <v>176</v>
      </c>
      <c r="H440" s="16" t="s">
        <v>16</v>
      </c>
      <c r="I440" s="16" t="s">
        <v>14</v>
      </c>
      <c r="J440" s="16"/>
      <c r="K440" s="16"/>
      <c r="L440" s="16"/>
      <c r="M440" s="16"/>
      <c r="N440" s="16"/>
      <c r="O440" s="16"/>
      <c r="P440" s="16"/>
      <c r="Q440" s="16"/>
      <c r="R440" s="16"/>
      <c r="S440" s="16">
        <v>-2.0</v>
      </c>
      <c r="T440" s="16"/>
      <c r="U440" s="16" t="s">
        <v>2024</v>
      </c>
      <c r="V440" s="16" t="s">
        <v>2025</v>
      </c>
      <c r="W440" s="16" t="s">
        <v>199</v>
      </c>
    </row>
    <row r="441">
      <c r="A441" s="16">
        <v>11865.0</v>
      </c>
      <c r="B441" s="16" t="s">
        <v>2026</v>
      </c>
      <c r="C441" s="16">
        <v>0.07</v>
      </c>
      <c r="D441" s="174" t="s">
        <v>2027</v>
      </c>
      <c r="E441" s="16"/>
      <c r="F441" s="16">
        <v>498.0</v>
      </c>
      <c r="G441" s="16" t="s">
        <v>176</v>
      </c>
      <c r="H441" s="16" t="s">
        <v>25</v>
      </c>
      <c r="I441" s="16"/>
      <c r="J441" s="16"/>
      <c r="K441" s="16"/>
      <c r="L441" s="16"/>
      <c r="M441" s="16"/>
      <c r="N441" s="16"/>
      <c r="O441" s="16"/>
      <c r="P441" s="16"/>
      <c r="Q441" s="16"/>
      <c r="R441" s="16"/>
      <c r="S441" s="16">
        <v>-2.0</v>
      </c>
      <c r="T441" s="16"/>
      <c r="U441" s="16" t="s">
        <v>2028</v>
      </c>
      <c r="V441" s="16" t="s">
        <v>2029</v>
      </c>
      <c r="W441" s="16" t="s">
        <v>491</v>
      </c>
    </row>
    <row r="442">
      <c r="A442" s="16">
        <v>11866.0</v>
      </c>
      <c r="B442" s="16" t="s">
        <v>2030</v>
      </c>
      <c r="C442" s="16">
        <v>0.0</v>
      </c>
      <c r="D442" s="174" t="s">
        <v>2031</v>
      </c>
      <c r="E442" s="16"/>
      <c r="F442" s="16">
        <v>498.0</v>
      </c>
      <c r="G442" s="16" t="s">
        <v>176</v>
      </c>
      <c r="H442" s="16" t="s">
        <v>17</v>
      </c>
      <c r="I442" s="16" t="s">
        <v>19</v>
      </c>
      <c r="J442" s="16"/>
      <c r="K442" s="16"/>
      <c r="L442" s="16"/>
      <c r="M442" s="16"/>
      <c r="N442" s="16"/>
      <c r="O442" s="16"/>
      <c r="P442" s="16"/>
      <c r="Q442" s="16"/>
      <c r="R442" s="16"/>
      <c r="S442" s="16">
        <v>-2.0</v>
      </c>
      <c r="T442" s="16"/>
      <c r="U442" s="16" t="s">
        <v>2032</v>
      </c>
      <c r="V442" s="16" t="s">
        <v>2033</v>
      </c>
      <c r="W442" s="16" t="s">
        <v>199</v>
      </c>
    </row>
    <row r="443">
      <c r="A443" s="16">
        <v>11867.0</v>
      </c>
      <c r="B443" s="16" t="s">
        <v>2034</v>
      </c>
      <c r="C443" s="16">
        <v>0.33</v>
      </c>
      <c r="D443" s="174" t="s">
        <v>2035</v>
      </c>
      <c r="E443" s="16"/>
      <c r="F443" s="16">
        <v>498.0</v>
      </c>
      <c r="G443" s="16" t="s">
        <v>176</v>
      </c>
      <c r="H443" s="16" t="s">
        <v>25</v>
      </c>
      <c r="I443" s="16"/>
      <c r="J443" s="16"/>
      <c r="K443" s="16"/>
      <c r="L443" s="16"/>
      <c r="M443" s="16"/>
      <c r="N443" s="16"/>
      <c r="O443" s="16"/>
      <c r="P443" s="16"/>
      <c r="Q443" s="16"/>
      <c r="R443" s="16"/>
      <c r="S443" s="16">
        <v>-2.0</v>
      </c>
      <c r="T443" s="16"/>
      <c r="U443" s="16" t="s">
        <v>2036</v>
      </c>
      <c r="V443" s="16" t="s">
        <v>2037</v>
      </c>
      <c r="W443" s="16" t="s">
        <v>634</v>
      </c>
    </row>
    <row r="444">
      <c r="A444" s="16">
        <v>11868.0</v>
      </c>
      <c r="B444" s="16" t="s">
        <v>2038</v>
      </c>
      <c r="C444" s="16">
        <v>1.86</v>
      </c>
      <c r="D444" s="174" t="s">
        <v>2039</v>
      </c>
      <c r="E444" s="16"/>
      <c r="F444" s="16">
        <v>519.0</v>
      </c>
      <c r="G444" s="16" t="s">
        <v>1452</v>
      </c>
      <c r="H444" s="16" t="s">
        <v>12</v>
      </c>
      <c r="I444" s="16"/>
      <c r="J444" s="16"/>
      <c r="K444" s="16"/>
      <c r="L444" s="16"/>
      <c r="M444" s="16"/>
      <c r="N444" s="16"/>
      <c r="O444" s="16"/>
      <c r="P444" s="16"/>
      <c r="Q444" s="16"/>
      <c r="R444" s="16"/>
      <c r="S444" s="16">
        <v>2.0</v>
      </c>
      <c r="T444" s="16"/>
      <c r="U444" s="16" t="s">
        <v>2040</v>
      </c>
      <c r="V444" s="16" t="s">
        <v>2041</v>
      </c>
      <c r="W444" s="16" t="s">
        <v>600</v>
      </c>
    </row>
    <row r="445">
      <c r="A445" s="16">
        <v>11869.0</v>
      </c>
      <c r="B445" s="16" t="s">
        <v>2042</v>
      </c>
      <c r="C445" s="16">
        <v>0.76</v>
      </c>
      <c r="D445" s="174" t="s">
        <v>2043</v>
      </c>
      <c r="E445" s="16"/>
      <c r="F445" s="16">
        <v>508.0</v>
      </c>
      <c r="G445" s="16" t="s">
        <v>4754</v>
      </c>
      <c r="H445" s="16" t="s">
        <v>25</v>
      </c>
      <c r="I445" s="16" t="s">
        <v>26</v>
      </c>
      <c r="J445" s="16"/>
      <c r="K445" s="16"/>
      <c r="L445" s="16"/>
      <c r="M445" s="16"/>
      <c r="N445" s="16"/>
      <c r="O445" s="16"/>
      <c r="P445" s="16"/>
      <c r="Q445" s="16"/>
      <c r="R445" s="16"/>
      <c r="S445" s="16">
        <v>15.0</v>
      </c>
      <c r="T445" s="16"/>
      <c r="U445" s="16" t="s">
        <v>2044</v>
      </c>
      <c r="V445" s="16" t="s">
        <v>2045</v>
      </c>
      <c r="W445" s="16" t="s">
        <v>259</v>
      </c>
    </row>
    <row r="446">
      <c r="A446" s="16">
        <v>11870.0</v>
      </c>
      <c r="B446" s="16" t="s">
        <v>2046</v>
      </c>
      <c r="C446" s="16">
        <v>0.0</v>
      </c>
      <c r="D446" s="174" t="s">
        <v>2047</v>
      </c>
      <c r="E446" s="16"/>
      <c r="F446" s="16">
        <v>525.0</v>
      </c>
      <c r="G446" s="16" t="s">
        <v>672</v>
      </c>
      <c r="H446" s="16" t="s">
        <v>16</v>
      </c>
      <c r="I446" s="16"/>
      <c r="J446" s="16"/>
      <c r="K446" s="16"/>
      <c r="L446" s="16"/>
      <c r="M446" s="16"/>
      <c r="N446" s="16"/>
      <c r="O446" s="16"/>
      <c r="P446" s="16"/>
      <c r="Q446" s="16"/>
      <c r="R446" s="16"/>
      <c r="S446" s="16">
        <v>14.0</v>
      </c>
      <c r="T446" s="16"/>
      <c r="U446" s="16" t="s">
        <v>2048</v>
      </c>
      <c r="V446" s="16" t="s">
        <v>2049</v>
      </c>
      <c r="W446" s="16" t="s">
        <v>276</v>
      </c>
    </row>
    <row r="447">
      <c r="A447" s="16">
        <v>11871.0</v>
      </c>
      <c r="B447" s="16" t="s">
        <v>2050</v>
      </c>
      <c r="C447" s="16">
        <v>1.56</v>
      </c>
      <c r="D447" s="174" t="s">
        <v>2051</v>
      </c>
      <c r="E447" s="16"/>
      <c r="F447" s="16">
        <v>525.0</v>
      </c>
      <c r="G447" s="16" t="s">
        <v>672</v>
      </c>
      <c r="H447" s="16" t="s">
        <v>18</v>
      </c>
      <c r="I447" s="16"/>
      <c r="J447" s="16"/>
      <c r="K447" s="16"/>
      <c r="L447" s="16"/>
      <c r="M447" s="16"/>
      <c r="N447" s="16"/>
      <c r="O447" s="16"/>
      <c r="P447" s="16"/>
      <c r="Q447" s="16"/>
      <c r="R447" s="16"/>
      <c r="S447" s="16">
        <v>14.0</v>
      </c>
      <c r="T447" s="16"/>
      <c r="U447" s="16" t="s">
        <v>2052</v>
      </c>
      <c r="V447" s="16" t="s">
        <v>2053</v>
      </c>
      <c r="W447" s="16" t="s">
        <v>188</v>
      </c>
    </row>
    <row r="448">
      <c r="A448" s="16">
        <v>11872.0</v>
      </c>
      <c r="B448" s="16" t="s">
        <v>2054</v>
      </c>
      <c r="C448" s="16">
        <v>0.0</v>
      </c>
      <c r="D448" s="174" t="s">
        <v>2055</v>
      </c>
      <c r="E448" s="16"/>
      <c r="F448" s="16">
        <v>519.0</v>
      </c>
      <c r="G448" s="16" t="s">
        <v>1452</v>
      </c>
      <c r="H448" s="16" t="s">
        <v>13</v>
      </c>
      <c r="I448" s="16" t="s">
        <v>17</v>
      </c>
      <c r="J448" s="16" t="s">
        <v>19</v>
      </c>
      <c r="K448" s="16"/>
      <c r="L448" s="16"/>
      <c r="M448" s="16"/>
      <c r="N448" s="16"/>
      <c r="O448" s="16"/>
      <c r="P448" s="16"/>
      <c r="Q448" s="16"/>
      <c r="R448" s="16"/>
      <c r="S448" s="16">
        <v>15.0</v>
      </c>
      <c r="T448" s="16"/>
      <c r="U448" s="16" t="s">
        <v>2056</v>
      </c>
      <c r="V448" s="16" t="s">
        <v>2057</v>
      </c>
      <c r="W448" s="16" t="s">
        <v>491</v>
      </c>
    </row>
    <row r="449">
      <c r="A449" s="16">
        <v>11873.0</v>
      </c>
      <c r="B449" s="16" t="s">
        <v>2058</v>
      </c>
      <c r="C449" s="16">
        <v>0.54</v>
      </c>
      <c r="D449" s="174" t="s">
        <v>2059</v>
      </c>
      <c r="E449" s="16"/>
      <c r="F449" s="16">
        <v>498.0</v>
      </c>
      <c r="G449" s="16" t="s">
        <v>176</v>
      </c>
      <c r="H449" s="16" t="s">
        <v>25</v>
      </c>
      <c r="I449" s="16" t="s">
        <v>26</v>
      </c>
      <c r="J449" s="16"/>
      <c r="K449" s="16"/>
      <c r="L449" s="16"/>
      <c r="M449" s="16"/>
      <c r="N449" s="16"/>
      <c r="O449" s="16"/>
      <c r="P449" s="16"/>
      <c r="Q449" s="16"/>
      <c r="R449" s="16"/>
      <c r="S449" s="16">
        <v>-2.0</v>
      </c>
      <c r="T449" s="16"/>
      <c r="U449" s="16" t="s">
        <v>2060</v>
      </c>
      <c r="V449" s="16" t="s">
        <v>2061</v>
      </c>
      <c r="W449" s="16" t="s">
        <v>422</v>
      </c>
    </row>
    <row r="450">
      <c r="A450" s="16">
        <v>11874.0</v>
      </c>
      <c r="B450" s="16" t="s">
        <v>2062</v>
      </c>
      <c r="C450" s="16">
        <v>0.25</v>
      </c>
      <c r="D450" s="174" t="s">
        <v>2063</v>
      </c>
      <c r="E450" s="16"/>
      <c r="F450" s="16">
        <v>505.0</v>
      </c>
      <c r="G450" s="16" t="s">
        <v>4656</v>
      </c>
      <c r="H450" s="16" t="s">
        <v>13</v>
      </c>
      <c r="I450" s="16" t="s">
        <v>15</v>
      </c>
      <c r="J450" s="16"/>
      <c r="K450" s="16"/>
      <c r="L450" s="16"/>
      <c r="M450" s="16"/>
      <c r="N450" s="16"/>
      <c r="O450" s="16"/>
      <c r="P450" s="16"/>
      <c r="Q450" s="16"/>
      <c r="R450" s="16"/>
      <c r="S450" s="16">
        <v>14.0</v>
      </c>
      <c r="T450" s="16"/>
      <c r="U450" s="16" t="s">
        <v>2064</v>
      </c>
      <c r="V450" s="16" t="s">
        <v>2065</v>
      </c>
      <c r="W450" s="16" t="s">
        <v>443</v>
      </c>
    </row>
    <row r="451">
      <c r="A451" s="16">
        <v>11875.0</v>
      </c>
      <c r="B451" s="16" t="s">
        <v>2066</v>
      </c>
      <c r="C451" s="16">
        <v>0.0</v>
      </c>
      <c r="D451" s="174" t="s">
        <v>2067</v>
      </c>
      <c r="E451" s="16"/>
      <c r="F451" s="16">
        <v>511.0</v>
      </c>
      <c r="G451" s="16" t="s">
        <v>245</v>
      </c>
      <c r="H451" s="16" t="s">
        <v>19</v>
      </c>
      <c r="I451" s="16" t="s">
        <v>17</v>
      </c>
      <c r="J451" s="16" t="s">
        <v>18</v>
      </c>
      <c r="K451" s="16"/>
      <c r="L451" s="16"/>
      <c r="M451" s="16"/>
      <c r="N451" s="16"/>
      <c r="O451" s="16"/>
      <c r="P451" s="16"/>
      <c r="Q451" s="16"/>
      <c r="R451" s="16"/>
      <c r="S451" s="16">
        <v>17.0</v>
      </c>
      <c r="T451" s="16"/>
      <c r="U451" s="16" t="s">
        <v>2068</v>
      </c>
      <c r="V451" s="16" t="s">
        <v>2069</v>
      </c>
      <c r="W451" s="16" t="s">
        <v>491</v>
      </c>
    </row>
    <row r="452">
      <c r="A452" s="16">
        <v>11876.0</v>
      </c>
      <c r="B452" s="16" t="s">
        <v>2070</v>
      </c>
      <c r="C452" s="16">
        <v>0.88</v>
      </c>
      <c r="D452" s="174" t="s">
        <v>2071</v>
      </c>
      <c r="E452" s="16"/>
      <c r="F452" s="16">
        <v>541.0</v>
      </c>
      <c r="G452" s="16" t="s">
        <v>387</v>
      </c>
      <c r="H452" s="16" t="s">
        <v>25</v>
      </c>
      <c r="I452" s="16" t="s">
        <v>26</v>
      </c>
      <c r="J452" s="16"/>
      <c r="K452" s="16"/>
      <c r="L452" s="16"/>
      <c r="M452" s="16"/>
      <c r="N452" s="16"/>
      <c r="O452" s="16"/>
      <c r="P452" s="16"/>
      <c r="Q452" s="16"/>
      <c r="R452" s="16"/>
      <c r="S452" s="16">
        <v>13.0</v>
      </c>
      <c r="T452" s="16"/>
      <c r="U452" s="16" t="s">
        <v>2072</v>
      </c>
      <c r="V452" s="16" t="s">
        <v>2073</v>
      </c>
      <c r="W452" s="16" t="s">
        <v>332</v>
      </c>
    </row>
    <row r="453">
      <c r="A453" s="16">
        <v>11877.0</v>
      </c>
      <c r="B453" s="16" t="s">
        <v>2074</v>
      </c>
      <c r="C453" s="16">
        <v>0.84</v>
      </c>
      <c r="D453" s="174" t="s">
        <v>2075</v>
      </c>
      <c r="E453" s="16"/>
      <c r="F453" s="16">
        <v>526.0</v>
      </c>
      <c r="G453" s="16" t="s">
        <v>212</v>
      </c>
      <c r="H453" s="16" t="s">
        <v>13</v>
      </c>
      <c r="I453" s="16" t="s">
        <v>14</v>
      </c>
      <c r="J453" s="16"/>
      <c r="K453" s="16"/>
      <c r="L453" s="16"/>
      <c r="M453" s="16"/>
      <c r="N453" s="16"/>
      <c r="O453" s="16"/>
      <c r="P453" s="16"/>
      <c r="Q453" s="16"/>
      <c r="R453" s="16"/>
      <c r="S453" s="16">
        <v>1.0</v>
      </c>
      <c r="T453" s="174" t="s">
        <v>4747</v>
      </c>
      <c r="U453" s="16" t="s">
        <v>2076</v>
      </c>
      <c r="V453" s="16" t="s">
        <v>2077</v>
      </c>
      <c r="W453" s="16" t="s">
        <v>188</v>
      </c>
    </row>
    <row r="454">
      <c r="A454" s="16">
        <v>11878.0</v>
      </c>
      <c r="B454" s="16" t="s">
        <v>2078</v>
      </c>
      <c r="C454" s="16">
        <v>0.0</v>
      </c>
      <c r="D454" s="174" t="s">
        <v>2079</v>
      </c>
      <c r="E454" s="16"/>
      <c r="F454" s="16">
        <v>498.0</v>
      </c>
      <c r="G454" s="16" t="s">
        <v>176</v>
      </c>
      <c r="H454" s="16" t="s">
        <v>25</v>
      </c>
      <c r="I454" s="16" t="s">
        <v>26</v>
      </c>
      <c r="J454" s="16"/>
      <c r="K454" s="16"/>
      <c r="L454" s="16"/>
      <c r="M454" s="16"/>
      <c r="N454" s="16"/>
      <c r="O454" s="16"/>
      <c r="P454" s="16"/>
      <c r="Q454" s="16"/>
      <c r="R454" s="16"/>
      <c r="S454" s="16">
        <v>-2.0</v>
      </c>
      <c r="T454" s="16"/>
      <c r="U454" s="16" t="s">
        <v>2080</v>
      </c>
      <c r="V454" s="16" t="s">
        <v>2081</v>
      </c>
      <c r="W454" s="16" t="s">
        <v>332</v>
      </c>
    </row>
    <row r="455">
      <c r="A455" s="16">
        <v>11879.0</v>
      </c>
      <c r="B455" s="16" t="s">
        <v>2082</v>
      </c>
      <c r="C455" s="16">
        <v>0.23</v>
      </c>
      <c r="D455" s="174" t="s">
        <v>2083</v>
      </c>
      <c r="E455" s="16"/>
      <c r="F455" s="16">
        <v>523.0</v>
      </c>
      <c r="G455" s="16" t="s">
        <v>306</v>
      </c>
      <c r="H455" s="16" t="s">
        <v>19</v>
      </c>
      <c r="I455" s="16" t="s">
        <v>17</v>
      </c>
      <c r="J455" s="16" t="s">
        <v>18</v>
      </c>
      <c r="K455" s="16"/>
      <c r="L455" s="16"/>
      <c r="M455" s="16"/>
      <c r="N455" s="16"/>
      <c r="O455" s="16"/>
      <c r="P455" s="16"/>
      <c r="Q455" s="16"/>
      <c r="R455" s="16"/>
      <c r="S455" s="16">
        <v>6.0</v>
      </c>
      <c r="T455" s="16"/>
      <c r="U455" s="16" t="s">
        <v>2084</v>
      </c>
      <c r="V455" s="16" t="s">
        <v>2085</v>
      </c>
      <c r="W455" s="16" t="s">
        <v>491</v>
      </c>
    </row>
    <row r="456">
      <c r="A456" s="16">
        <v>11880.0</v>
      </c>
      <c r="B456" s="16" t="s">
        <v>2086</v>
      </c>
      <c r="C456" s="16">
        <v>0.91</v>
      </c>
      <c r="D456" s="174" t="s">
        <v>2087</v>
      </c>
      <c r="E456" s="16"/>
      <c r="F456" s="16">
        <v>523.0</v>
      </c>
      <c r="G456" s="16" t="s">
        <v>306</v>
      </c>
      <c r="H456" s="16" t="s">
        <v>24</v>
      </c>
      <c r="I456" s="16"/>
      <c r="J456" s="16"/>
      <c r="K456" s="16"/>
      <c r="L456" s="16"/>
      <c r="M456" s="16"/>
      <c r="N456" s="16"/>
      <c r="O456" s="16"/>
      <c r="P456" s="16"/>
      <c r="Q456" s="16"/>
      <c r="R456" s="16"/>
      <c r="S456" s="16">
        <v>1.0</v>
      </c>
      <c r="T456" s="16"/>
      <c r="U456" s="16" t="s">
        <v>2089</v>
      </c>
      <c r="V456" s="16" t="s">
        <v>2090</v>
      </c>
      <c r="W456" s="16" t="s">
        <v>231</v>
      </c>
    </row>
    <row r="457">
      <c r="A457" s="16">
        <v>11881.0</v>
      </c>
      <c r="B457" s="16" t="s">
        <v>2091</v>
      </c>
      <c r="C457" s="16">
        <v>2.01</v>
      </c>
      <c r="D457" s="174" t="s">
        <v>2092</v>
      </c>
      <c r="E457" s="16"/>
      <c r="F457" s="16">
        <v>545.0</v>
      </c>
      <c r="G457" s="16" t="s">
        <v>4779</v>
      </c>
      <c r="H457" s="16" t="s">
        <v>24</v>
      </c>
      <c r="I457" s="16" t="s">
        <v>25</v>
      </c>
      <c r="J457" s="16" t="s">
        <v>26</v>
      </c>
      <c r="K457" s="16"/>
      <c r="L457" s="16"/>
      <c r="M457" s="16"/>
      <c r="N457" s="16"/>
      <c r="O457" s="16"/>
      <c r="P457" s="16"/>
      <c r="Q457" s="16"/>
      <c r="R457" s="16"/>
      <c r="S457" s="16">
        <v>17.0</v>
      </c>
      <c r="T457" s="174" t="s">
        <v>4796</v>
      </c>
      <c r="U457" s="16" t="s">
        <v>2095</v>
      </c>
      <c r="V457" s="16" t="s">
        <v>2096</v>
      </c>
      <c r="W457" s="16" t="s">
        <v>942</v>
      </c>
    </row>
    <row r="458">
      <c r="A458" s="16">
        <v>11882.0</v>
      </c>
      <c r="B458" s="16" t="s">
        <v>2097</v>
      </c>
      <c r="C458" s="16">
        <v>1.0</v>
      </c>
      <c r="D458" s="174" t="s">
        <v>2098</v>
      </c>
      <c r="E458" s="16"/>
      <c r="F458" s="16">
        <v>520.0</v>
      </c>
      <c r="G458" s="16" t="s">
        <v>292</v>
      </c>
      <c r="H458" s="16" t="s">
        <v>18</v>
      </c>
      <c r="I458" s="16" t="s">
        <v>19</v>
      </c>
      <c r="J458" s="16" t="s">
        <v>17</v>
      </c>
      <c r="K458" s="16"/>
      <c r="L458" s="16"/>
      <c r="M458" s="16"/>
      <c r="N458" s="16"/>
      <c r="O458" s="16"/>
      <c r="P458" s="16"/>
      <c r="Q458" s="16"/>
      <c r="R458" s="16"/>
      <c r="S458" s="16">
        <v>11.0</v>
      </c>
      <c r="T458" s="16"/>
      <c r="U458" s="16" t="s">
        <v>2099</v>
      </c>
      <c r="V458" s="16" t="s">
        <v>2100</v>
      </c>
      <c r="W458" s="16" t="s">
        <v>443</v>
      </c>
    </row>
    <row r="459">
      <c r="A459" s="16">
        <v>11883.0</v>
      </c>
      <c r="B459" s="16" t="s">
        <v>2101</v>
      </c>
      <c r="C459" s="16">
        <v>0.96</v>
      </c>
      <c r="D459" s="174" t="s">
        <v>2102</v>
      </c>
      <c r="E459" s="16"/>
      <c r="F459" s="16">
        <v>498.0</v>
      </c>
      <c r="G459" s="16" t="s">
        <v>176</v>
      </c>
      <c r="H459" s="16" t="s">
        <v>18</v>
      </c>
      <c r="I459" s="16"/>
      <c r="J459" s="16"/>
      <c r="K459" s="16"/>
      <c r="L459" s="16"/>
      <c r="M459" s="16"/>
      <c r="N459" s="16"/>
      <c r="O459" s="16"/>
      <c r="P459" s="16"/>
      <c r="Q459" s="16"/>
      <c r="R459" s="16" t="s">
        <v>4797</v>
      </c>
      <c r="S459" s="16">
        <v>15.0</v>
      </c>
      <c r="T459" s="16"/>
      <c r="U459" s="16" t="s">
        <v>2103</v>
      </c>
      <c r="V459" s="16" t="s">
        <v>2104</v>
      </c>
      <c r="W459" s="16" t="s">
        <v>188</v>
      </c>
    </row>
    <row r="460">
      <c r="A460" s="16">
        <v>11884.0</v>
      </c>
      <c r="B460" s="16" t="s">
        <v>2105</v>
      </c>
      <c r="C460" s="16">
        <v>0.86</v>
      </c>
      <c r="D460" s="174" t="s">
        <v>2106</v>
      </c>
      <c r="E460" s="16"/>
      <c r="F460" s="16">
        <v>498.0</v>
      </c>
      <c r="G460" s="16" t="s">
        <v>176</v>
      </c>
      <c r="H460" s="16" t="s">
        <v>12</v>
      </c>
      <c r="I460" s="16"/>
      <c r="J460" s="16"/>
      <c r="K460" s="16"/>
      <c r="L460" s="16"/>
      <c r="M460" s="16"/>
      <c r="N460" s="16"/>
      <c r="O460" s="16"/>
      <c r="P460" s="16"/>
      <c r="Q460" s="16"/>
      <c r="R460" s="16"/>
      <c r="S460" s="16">
        <v>15.0</v>
      </c>
      <c r="T460" s="16"/>
      <c r="U460" s="16" t="s">
        <v>2107</v>
      </c>
      <c r="V460" s="16" t="s">
        <v>2108</v>
      </c>
      <c r="W460" s="16" t="s">
        <v>259</v>
      </c>
    </row>
    <row r="461">
      <c r="A461" s="16">
        <v>11885.0</v>
      </c>
      <c r="B461" s="16" t="s">
        <v>2109</v>
      </c>
      <c r="C461" s="16">
        <v>0.0</v>
      </c>
      <c r="D461" s="174" t="s">
        <v>2110</v>
      </c>
      <c r="E461" s="16"/>
      <c r="F461" s="16">
        <v>498.0</v>
      </c>
      <c r="G461" s="16" t="s">
        <v>176</v>
      </c>
      <c r="H461" s="16" t="s">
        <v>24</v>
      </c>
      <c r="I461" s="16" t="s">
        <v>25</v>
      </c>
      <c r="J461" s="16"/>
      <c r="K461" s="16"/>
      <c r="L461" s="16"/>
      <c r="M461" s="16"/>
      <c r="N461" s="16"/>
      <c r="O461" s="16"/>
      <c r="P461" s="16"/>
      <c r="Q461" s="16"/>
      <c r="R461" s="16"/>
      <c r="S461" s="16">
        <v>-2.0</v>
      </c>
      <c r="T461" s="16"/>
      <c r="U461" s="16" t="s">
        <v>2111</v>
      </c>
      <c r="V461" s="16" t="s">
        <v>2112</v>
      </c>
      <c r="W461" s="16" t="s">
        <v>199</v>
      </c>
    </row>
    <row r="462">
      <c r="A462" s="16">
        <v>11886.0</v>
      </c>
      <c r="B462" s="16" t="s">
        <v>2113</v>
      </c>
      <c r="C462" s="16">
        <v>0.0</v>
      </c>
      <c r="D462" s="174" t="s">
        <v>2114</v>
      </c>
      <c r="E462" s="16"/>
      <c r="F462" s="16">
        <v>526.0</v>
      </c>
      <c r="G462" s="16" t="s">
        <v>212</v>
      </c>
      <c r="H462" s="16" t="s">
        <v>25</v>
      </c>
      <c r="I462" s="16" t="s">
        <v>26</v>
      </c>
      <c r="J462" s="16"/>
      <c r="K462" s="16"/>
      <c r="L462" s="16"/>
      <c r="M462" s="16"/>
      <c r="N462" s="16"/>
      <c r="O462" s="16"/>
      <c r="P462" s="16"/>
      <c r="Q462" s="16"/>
      <c r="R462" s="16"/>
      <c r="S462" s="16">
        <v>11.0</v>
      </c>
      <c r="T462" s="16"/>
      <c r="U462" s="16" t="s">
        <v>2115</v>
      </c>
      <c r="V462" s="16" t="s">
        <v>2116</v>
      </c>
      <c r="W462" s="16" t="s">
        <v>231</v>
      </c>
    </row>
    <row r="463">
      <c r="A463" s="16">
        <v>11887.0</v>
      </c>
      <c r="B463" s="16" t="s">
        <v>2117</v>
      </c>
      <c r="C463" s="16">
        <v>0.0</v>
      </c>
      <c r="D463" s="174" t="s">
        <v>2118</v>
      </c>
      <c r="E463" s="16"/>
      <c r="F463" s="16">
        <v>498.0</v>
      </c>
      <c r="G463" s="16" t="s">
        <v>176</v>
      </c>
      <c r="H463" s="16" t="s">
        <v>25</v>
      </c>
      <c r="I463" s="16" t="s">
        <v>26</v>
      </c>
      <c r="J463" s="16"/>
      <c r="K463" s="16"/>
      <c r="L463" s="16"/>
      <c r="M463" s="16"/>
      <c r="N463" s="16"/>
      <c r="O463" s="16"/>
      <c r="P463" s="16"/>
      <c r="Q463" s="16"/>
      <c r="R463" s="16"/>
      <c r="S463" s="16">
        <v>-2.0</v>
      </c>
      <c r="T463" s="16"/>
      <c r="U463" s="16" t="s">
        <v>2119</v>
      </c>
      <c r="V463" s="16" t="s">
        <v>2120</v>
      </c>
      <c r="W463" s="16" t="s">
        <v>179</v>
      </c>
    </row>
    <row r="464">
      <c r="A464" s="16">
        <v>11888.0</v>
      </c>
      <c r="B464" s="16" t="s">
        <v>2121</v>
      </c>
      <c r="C464" s="16">
        <v>1.0</v>
      </c>
      <c r="D464" s="174" t="s">
        <v>2122</v>
      </c>
      <c r="E464" s="16"/>
      <c r="F464" s="16">
        <v>528.0</v>
      </c>
      <c r="G464" s="16" t="s">
        <v>1755</v>
      </c>
      <c r="H464" s="16" t="s">
        <v>12</v>
      </c>
      <c r="I464" s="16"/>
      <c r="J464" s="16"/>
      <c r="K464" s="16"/>
      <c r="L464" s="16"/>
      <c r="M464" s="16"/>
      <c r="N464" s="16"/>
      <c r="O464" s="16"/>
      <c r="P464" s="16"/>
      <c r="Q464" s="16"/>
      <c r="R464" s="16"/>
      <c r="S464" s="16">
        <v>15.0</v>
      </c>
      <c r="T464" s="174" t="s">
        <v>4765</v>
      </c>
      <c r="U464" s="16" t="s">
        <v>2123</v>
      </c>
      <c r="V464" s="16" t="s">
        <v>2124</v>
      </c>
      <c r="W464" s="16" t="s">
        <v>478</v>
      </c>
    </row>
    <row r="465">
      <c r="A465" s="16">
        <v>11889.0</v>
      </c>
      <c r="B465" s="16" t="s">
        <v>2125</v>
      </c>
      <c r="C465" s="16">
        <v>0.0</v>
      </c>
      <c r="D465" s="174" t="s">
        <v>2126</v>
      </c>
      <c r="E465" s="16"/>
      <c r="F465" s="16">
        <v>498.0</v>
      </c>
      <c r="G465" s="16" t="s">
        <v>176</v>
      </c>
      <c r="H465" s="16" t="s">
        <v>18</v>
      </c>
      <c r="I465" s="16"/>
      <c r="J465" s="16"/>
      <c r="K465" s="16"/>
      <c r="L465" s="16"/>
      <c r="M465" s="16"/>
      <c r="N465" s="16"/>
      <c r="O465" s="16"/>
      <c r="P465" s="16"/>
      <c r="Q465" s="16"/>
      <c r="R465" s="16"/>
      <c r="S465" s="16">
        <v>-2.0</v>
      </c>
      <c r="T465" s="16"/>
      <c r="U465" s="16" t="s">
        <v>2127</v>
      </c>
      <c r="V465" s="16" t="s">
        <v>2128</v>
      </c>
      <c r="W465" s="16" t="s">
        <v>332</v>
      </c>
    </row>
    <row r="466">
      <c r="A466" s="16">
        <v>11890.0</v>
      </c>
      <c r="B466" s="16" t="s">
        <v>2129</v>
      </c>
      <c r="C466" s="16">
        <v>0.07</v>
      </c>
      <c r="D466" s="174" t="s">
        <v>2130</v>
      </c>
      <c r="E466" s="16"/>
      <c r="F466" s="16">
        <v>528.0</v>
      </c>
      <c r="G466" s="16" t="s">
        <v>1755</v>
      </c>
      <c r="H466" s="16" t="s">
        <v>24</v>
      </c>
      <c r="I466" s="16"/>
      <c r="J466" s="16"/>
      <c r="K466" s="16"/>
      <c r="L466" s="16"/>
      <c r="M466" s="16"/>
      <c r="N466" s="16"/>
      <c r="O466" s="16"/>
      <c r="P466" s="16"/>
      <c r="Q466" s="16"/>
      <c r="R466" s="16" t="s">
        <v>4758</v>
      </c>
      <c r="S466" s="16">
        <v>16.0</v>
      </c>
      <c r="T466" s="16"/>
      <c r="U466" s="16" t="s">
        <v>2131</v>
      </c>
      <c r="V466" s="16" t="s">
        <v>2132</v>
      </c>
      <c r="W466" s="16" t="s">
        <v>259</v>
      </c>
    </row>
    <row r="467">
      <c r="A467" s="16">
        <v>11891.0</v>
      </c>
      <c r="B467" s="16" t="s">
        <v>2133</v>
      </c>
      <c r="C467" s="16">
        <v>0.95</v>
      </c>
      <c r="D467" s="174" t="s">
        <v>2134</v>
      </c>
      <c r="E467" s="16"/>
      <c r="F467" s="16">
        <v>538.0</v>
      </c>
      <c r="G467" s="16" t="s">
        <v>289</v>
      </c>
      <c r="H467" s="16" t="s">
        <v>17</v>
      </c>
      <c r="I467" s="16"/>
      <c r="J467" s="16"/>
      <c r="K467" s="16"/>
      <c r="L467" s="16"/>
      <c r="M467" s="16"/>
      <c r="N467" s="16"/>
      <c r="O467" s="16"/>
      <c r="P467" s="16"/>
      <c r="Q467" s="16"/>
      <c r="R467" s="16"/>
      <c r="S467" s="16">
        <v>14.0</v>
      </c>
      <c r="T467" s="16"/>
      <c r="U467" s="16" t="s">
        <v>2135</v>
      </c>
      <c r="V467" s="16" t="s">
        <v>2136</v>
      </c>
      <c r="W467" s="16" t="s">
        <v>360</v>
      </c>
    </row>
    <row r="468">
      <c r="A468" s="16">
        <v>11892.0</v>
      </c>
      <c r="B468" s="16" t="s">
        <v>2137</v>
      </c>
      <c r="C468" s="16">
        <v>1.2</v>
      </c>
      <c r="D468" s="174" t="s">
        <v>2138</v>
      </c>
      <c r="E468" s="16"/>
      <c r="F468" s="16">
        <v>522.0</v>
      </c>
      <c r="G468" s="16" t="s">
        <v>686</v>
      </c>
      <c r="H468" s="16" t="s">
        <v>24</v>
      </c>
      <c r="I468" s="16"/>
      <c r="J468" s="16"/>
      <c r="K468" s="16"/>
      <c r="L468" s="16"/>
      <c r="M468" s="16"/>
      <c r="N468" s="16"/>
      <c r="O468" s="16"/>
      <c r="P468" s="16"/>
      <c r="Q468" s="16"/>
      <c r="R468" s="16"/>
      <c r="S468" s="16">
        <v>14.0</v>
      </c>
      <c r="T468" s="16"/>
      <c r="U468" s="16" t="s">
        <v>2139</v>
      </c>
      <c r="V468" s="16" t="s">
        <v>2140</v>
      </c>
      <c r="W468" s="16" t="s">
        <v>188</v>
      </c>
    </row>
    <row r="469">
      <c r="A469" s="16">
        <v>11893.0</v>
      </c>
      <c r="B469" s="16" t="s">
        <v>2141</v>
      </c>
      <c r="C469" s="16">
        <v>1.11</v>
      </c>
      <c r="D469" s="174" t="s">
        <v>2142</v>
      </c>
      <c r="E469" s="16"/>
      <c r="F469" s="16">
        <v>514.0</v>
      </c>
      <c r="G469" s="16" t="s">
        <v>260</v>
      </c>
      <c r="H469" s="16" t="s">
        <v>24</v>
      </c>
      <c r="I469" s="16"/>
      <c r="J469" s="16"/>
      <c r="K469" s="16"/>
      <c r="L469" s="16"/>
      <c r="M469" s="16"/>
      <c r="N469" s="16"/>
      <c r="O469" s="16"/>
      <c r="P469" s="16"/>
      <c r="Q469" s="16"/>
      <c r="R469" s="16"/>
      <c r="S469" s="16">
        <v>18.0</v>
      </c>
      <c r="T469" s="16"/>
      <c r="U469" s="16" t="s">
        <v>2143</v>
      </c>
      <c r="V469" s="16" t="s">
        <v>2144</v>
      </c>
      <c r="W469" s="16" t="s">
        <v>1412</v>
      </c>
    </row>
    <row r="470">
      <c r="A470" s="16">
        <v>11894.0</v>
      </c>
      <c r="B470" s="16" t="s">
        <v>2145</v>
      </c>
      <c r="C470" s="16">
        <v>1.16</v>
      </c>
      <c r="D470" s="174" t="s">
        <v>2146</v>
      </c>
      <c r="E470" s="16"/>
      <c r="F470" s="16">
        <v>519.0</v>
      </c>
      <c r="G470" s="16" t="s">
        <v>1452</v>
      </c>
      <c r="H470" s="16" t="s">
        <v>24</v>
      </c>
      <c r="I470" s="16" t="s">
        <v>25</v>
      </c>
      <c r="J470" s="16" t="s">
        <v>26</v>
      </c>
      <c r="K470" s="16"/>
      <c r="L470" s="16"/>
      <c r="M470" s="16"/>
      <c r="N470" s="16"/>
      <c r="O470" s="16"/>
      <c r="P470" s="16"/>
      <c r="Q470" s="16"/>
      <c r="R470" s="16"/>
      <c r="S470" s="16">
        <v>15.0</v>
      </c>
      <c r="T470" s="16"/>
      <c r="U470" s="16" t="s">
        <v>2147</v>
      </c>
      <c r="V470" s="16" t="s">
        <v>2148</v>
      </c>
      <c r="W470" s="16" t="s">
        <v>259</v>
      </c>
    </row>
    <row r="471">
      <c r="A471" s="16">
        <v>11895.0</v>
      </c>
      <c r="B471" s="16" t="s">
        <v>2149</v>
      </c>
      <c r="C471" s="16">
        <v>0.98</v>
      </c>
      <c r="D471" s="174" t="s">
        <v>2150</v>
      </c>
      <c r="E471" s="16"/>
      <c r="F471" s="16">
        <v>498.0</v>
      </c>
      <c r="G471" s="16" t="s">
        <v>176</v>
      </c>
      <c r="H471" s="16" t="s">
        <v>24</v>
      </c>
      <c r="I471" s="16" t="s">
        <v>25</v>
      </c>
      <c r="J471" s="16"/>
      <c r="K471" s="16"/>
      <c r="L471" s="16"/>
      <c r="M471" s="16"/>
      <c r="N471" s="16"/>
      <c r="O471" s="16"/>
      <c r="P471" s="16"/>
      <c r="Q471" s="16"/>
      <c r="R471" s="16"/>
      <c r="S471" s="16">
        <v>-2.0</v>
      </c>
      <c r="T471" s="16"/>
      <c r="U471" s="16" t="s">
        <v>2151</v>
      </c>
      <c r="V471" s="16" t="s">
        <v>2152</v>
      </c>
      <c r="W471" s="16" t="s">
        <v>360</v>
      </c>
    </row>
    <row r="472">
      <c r="A472" s="16">
        <v>11896.0</v>
      </c>
      <c r="B472" s="16" t="s">
        <v>2153</v>
      </c>
      <c r="C472" s="16">
        <v>0.85</v>
      </c>
      <c r="D472" s="174" t="s">
        <v>2154</v>
      </c>
      <c r="E472" s="16"/>
      <c r="F472" s="16">
        <v>519.0</v>
      </c>
      <c r="G472" s="16" t="s">
        <v>1452</v>
      </c>
      <c r="H472" s="16" t="s">
        <v>15</v>
      </c>
      <c r="I472" s="16" t="s">
        <v>14</v>
      </c>
      <c r="J472" s="16" t="s">
        <v>16</v>
      </c>
      <c r="K472" s="16" t="s">
        <v>13</v>
      </c>
      <c r="L472" s="16" t="s">
        <v>19</v>
      </c>
      <c r="M472" s="16"/>
      <c r="N472" s="16"/>
      <c r="O472" s="16"/>
      <c r="P472" s="16"/>
      <c r="Q472" s="16"/>
      <c r="R472" s="16"/>
      <c r="S472" s="16">
        <v>15.0</v>
      </c>
      <c r="T472" s="16"/>
      <c r="U472" s="16" t="s">
        <v>2155</v>
      </c>
      <c r="V472" s="16" t="s">
        <v>2156</v>
      </c>
      <c r="W472" s="16" t="s">
        <v>491</v>
      </c>
    </row>
    <row r="473">
      <c r="A473" s="16">
        <v>11897.0</v>
      </c>
      <c r="B473" s="16" t="s">
        <v>2157</v>
      </c>
      <c r="C473" s="16">
        <v>0.0</v>
      </c>
      <c r="D473" s="174" t="s">
        <v>2158</v>
      </c>
      <c r="E473" s="16"/>
      <c r="F473" s="16">
        <v>498.0</v>
      </c>
      <c r="G473" s="16" t="s">
        <v>176</v>
      </c>
      <c r="H473" s="16" t="s">
        <v>13</v>
      </c>
      <c r="I473" s="16"/>
      <c r="J473" s="16"/>
      <c r="K473" s="16"/>
      <c r="L473" s="16"/>
      <c r="M473" s="16"/>
      <c r="N473" s="16"/>
      <c r="O473" s="16"/>
      <c r="P473" s="16"/>
      <c r="Q473" s="16"/>
      <c r="R473" s="16"/>
      <c r="S473" s="16">
        <v>-2.0</v>
      </c>
      <c r="T473" s="16"/>
      <c r="U473" s="16" t="s">
        <v>2159</v>
      </c>
      <c r="V473" s="16" t="s">
        <v>2160</v>
      </c>
      <c r="W473" s="16" t="s">
        <v>199</v>
      </c>
    </row>
    <row r="474">
      <c r="A474" s="16">
        <v>11898.0</v>
      </c>
      <c r="B474" s="16" t="s">
        <v>2161</v>
      </c>
      <c r="C474" s="16">
        <v>0.26</v>
      </c>
      <c r="D474" s="174" t="s">
        <v>2162</v>
      </c>
      <c r="E474" s="16"/>
      <c r="F474" s="16">
        <v>498.0</v>
      </c>
      <c r="G474" s="16" t="s">
        <v>176</v>
      </c>
      <c r="H474" s="16" t="s">
        <v>17</v>
      </c>
      <c r="I474" s="16" t="s">
        <v>18</v>
      </c>
      <c r="J474" s="16"/>
      <c r="K474" s="16"/>
      <c r="L474" s="16"/>
      <c r="M474" s="16"/>
      <c r="N474" s="16"/>
      <c r="O474" s="16"/>
      <c r="P474" s="16"/>
      <c r="Q474" s="16"/>
      <c r="R474" s="16"/>
      <c r="S474" s="16">
        <v>-2.0</v>
      </c>
      <c r="T474" s="16"/>
      <c r="U474" s="16" t="s">
        <v>2163</v>
      </c>
      <c r="V474" s="16" t="s">
        <v>2164</v>
      </c>
      <c r="W474" s="16" t="s">
        <v>491</v>
      </c>
    </row>
    <row r="475">
      <c r="A475" s="16">
        <v>11899.0</v>
      </c>
      <c r="B475" s="16" t="s">
        <v>2165</v>
      </c>
      <c r="C475" s="16">
        <v>3.43</v>
      </c>
      <c r="D475" s="174" t="s">
        <v>2166</v>
      </c>
      <c r="E475" s="16"/>
      <c r="F475" s="16">
        <v>520.0</v>
      </c>
      <c r="G475" s="16" t="s">
        <v>292</v>
      </c>
      <c r="H475" s="16" t="s">
        <v>18</v>
      </c>
      <c r="I475" s="16" t="s">
        <v>17</v>
      </c>
      <c r="J475" s="16"/>
      <c r="K475" s="16"/>
      <c r="L475" s="16"/>
      <c r="M475" s="16"/>
      <c r="N475" s="16"/>
      <c r="O475" s="16"/>
      <c r="P475" s="16"/>
      <c r="Q475" s="16"/>
      <c r="R475" s="16"/>
      <c r="S475" s="16">
        <v>1.0</v>
      </c>
      <c r="T475" s="16"/>
      <c r="U475" s="16" t="s">
        <v>2167</v>
      </c>
      <c r="V475" s="16" t="s">
        <v>2168</v>
      </c>
      <c r="W475" s="16" t="s">
        <v>188</v>
      </c>
    </row>
    <row r="476">
      <c r="A476" s="16">
        <v>11900.0</v>
      </c>
      <c r="B476" s="16" t="s">
        <v>2169</v>
      </c>
      <c r="C476" s="16">
        <v>1.69</v>
      </c>
      <c r="D476" s="174" t="s">
        <v>2170</v>
      </c>
      <c r="E476" s="16"/>
      <c r="F476" s="16">
        <v>501.0</v>
      </c>
      <c r="G476" s="16" t="s">
        <v>371</v>
      </c>
      <c r="H476" s="16" t="s">
        <v>25</v>
      </c>
      <c r="I476" s="16" t="s">
        <v>26</v>
      </c>
      <c r="J476" s="16"/>
      <c r="K476" s="16"/>
      <c r="L476" s="16"/>
      <c r="M476" s="16"/>
      <c r="N476" s="16"/>
      <c r="O476" s="16"/>
      <c r="P476" s="16"/>
      <c r="Q476" s="16"/>
      <c r="R476" s="16"/>
      <c r="S476" s="16">
        <v>1.0</v>
      </c>
      <c r="T476" s="16"/>
      <c r="U476" s="16" t="s">
        <v>2171</v>
      </c>
      <c r="V476" s="16" t="s">
        <v>2172</v>
      </c>
      <c r="W476" s="16" t="s">
        <v>231</v>
      </c>
    </row>
    <row r="477">
      <c r="A477" s="16">
        <v>11901.0</v>
      </c>
      <c r="B477" s="16" t="s">
        <v>2173</v>
      </c>
      <c r="C477" s="16">
        <v>0.64</v>
      </c>
      <c r="D477" s="174" t="s">
        <v>2174</v>
      </c>
      <c r="E477" s="16"/>
      <c r="F477" s="16">
        <v>505.0</v>
      </c>
      <c r="G477" s="16" t="s">
        <v>4656</v>
      </c>
      <c r="H477" s="16" t="s">
        <v>25</v>
      </c>
      <c r="I477" s="16" t="s">
        <v>26</v>
      </c>
      <c r="J477" s="16"/>
      <c r="K477" s="16"/>
      <c r="L477" s="16"/>
      <c r="M477" s="16"/>
      <c r="N477" s="16"/>
      <c r="O477" s="16"/>
      <c r="P477" s="16"/>
      <c r="Q477" s="16"/>
      <c r="R477" s="16"/>
      <c r="S477" s="16">
        <v>10.0</v>
      </c>
      <c r="T477" s="16"/>
      <c r="U477" s="16" t="s">
        <v>2175</v>
      </c>
      <c r="V477" s="16" t="s">
        <v>2176</v>
      </c>
      <c r="W477" s="16" t="s">
        <v>179</v>
      </c>
    </row>
    <row r="478">
      <c r="A478" s="16">
        <v>11902.0</v>
      </c>
      <c r="B478" s="16" t="s">
        <v>2177</v>
      </c>
      <c r="C478" s="16">
        <v>1.35</v>
      </c>
      <c r="D478" s="174" t="s">
        <v>2178</v>
      </c>
      <c r="E478" s="16"/>
      <c r="F478" s="16">
        <v>498.0</v>
      </c>
      <c r="G478" s="16" t="s">
        <v>176</v>
      </c>
      <c r="H478" s="16" t="s">
        <v>19</v>
      </c>
      <c r="I478" s="16" t="s">
        <v>17</v>
      </c>
      <c r="J478" s="16" t="s">
        <v>18</v>
      </c>
      <c r="K478" s="16"/>
      <c r="L478" s="16"/>
      <c r="M478" s="16"/>
      <c r="N478" s="16"/>
      <c r="O478" s="16"/>
      <c r="P478" s="16"/>
      <c r="Q478" s="16"/>
      <c r="R478" s="16"/>
      <c r="S478" s="16">
        <v>-2.0</v>
      </c>
      <c r="T478" s="16"/>
      <c r="U478" s="16" t="s">
        <v>2179</v>
      </c>
      <c r="V478" s="16" t="s">
        <v>2180</v>
      </c>
      <c r="W478" s="16" t="s">
        <v>634</v>
      </c>
    </row>
    <row r="479">
      <c r="A479" s="16">
        <v>11903.0</v>
      </c>
      <c r="B479" s="16" t="s">
        <v>2181</v>
      </c>
      <c r="C479" s="16">
        <v>0.0</v>
      </c>
      <c r="D479" s="174" t="s">
        <v>2182</v>
      </c>
      <c r="E479" s="16"/>
      <c r="F479" s="16">
        <v>498.0</v>
      </c>
      <c r="G479" s="16" t="s">
        <v>176</v>
      </c>
      <c r="H479" s="16" t="s">
        <v>17</v>
      </c>
      <c r="I479" s="16" t="s">
        <v>18</v>
      </c>
      <c r="J479" s="16"/>
      <c r="K479" s="16"/>
      <c r="L479" s="16"/>
      <c r="M479" s="16"/>
      <c r="N479" s="16"/>
      <c r="O479" s="16"/>
      <c r="P479" s="16"/>
      <c r="Q479" s="16"/>
      <c r="R479" s="16"/>
      <c r="S479" s="16">
        <v>10.0</v>
      </c>
      <c r="T479" s="16"/>
      <c r="U479" s="16" t="s">
        <v>2183</v>
      </c>
      <c r="V479" s="16" t="s">
        <v>2184</v>
      </c>
      <c r="W479" s="16" t="s">
        <v>459</v>
      </c>
    </row>
    <row r="480">
      <c r="A480" s="16">
        <v>11904.0</v>
      </c>
      <c r="B480" s="16" t="s">
        <v>2185</v>
      </c>
      <c r="C480" s="16">
        <v>0.82</v>
      </c>
      <c r="D480" s="174" t="s">
        <v>2186</v>
      </c>
      <c r="E480" s="16"/>
      <c r="F480" s="16">
        <v>498.0</v>
      </c>
      <c r="G480" s="16" t="s">
        <v>176</v>
      </c>
      <c r="H480" s="16" t="s">
        <v>24</v>
      </c>
      <c r="I480" s="16"/>
      <c r="J480" s="16"/>
      <c r="K480" s="16"/>
      <c r="L480" s="16"/>
      <c r="M480" s="16"/>
      <c r="N480" s="16"/>
      <c r="O480" s="16"/>
      <c r="P480" s="16"/>
      <c r="Q480" s="16"/>
      <c r="R480" s="16"/>
      <c r="S480" s="16">
        <v>15.0</v>
      </c>
      <c r="T480" s="16"/>
      <c r="U480" s="16" t="s">
        <v>2187</v>
      </c>
      <c r="V480" s="16" t="s">
        <v>2188</v>
      </c>
      <c r="W480" s="16" t="s">
        <v>188</v>
      </c>
    </row>
    <row r="481">
      <c r="A481" s="16">
        <v>11905.0</v>
      </c>
      <c r="B481" s="16" t="s">
        <v>2189</v>
      </c>
      <c r="C481" s="16">
        <v>0.0</v>
      </c>
      <c r="D481" s="174" t="s">
        <v>2190</v>
      </c>
      <c r="E481" s="16"/>
      <c r="F481" s="16">
        <v>498.0</v>
      </c>
      <c r="G481" s="16" t="s">
        <v>176</v>
      </c>
      <c r="H481" s="16" t="s">
        <v>16</v>
      </c>
      <c r="I481" s="16"/>
      <c r="J481" s="16"/>
      <c r="K481" s="16"/>
      <c r="L481" s="16"/>
      <c r="M481" s="16"/>
      <c r="N481" s="16"/>
      <c r="O481" s="16"/>
      <c r="P481" s="16"/>
      <c r="Q481" s="16"/>
      <c r="R481" s="16"/>
      <c r="S481" s="16">
        <v>-2.0</v>
      </c>
      <c r="T481" s="16"/>
      <c r="U481" s="16" t="s">
        <v>2191</v>
      </c>
      <c r="V481" s="16" t="s">
        <v>2192</v>
      </c>
      <c r="W481" s="16" t="s">
        <v>942</v>
      </c>
    </row>
    <row r="482">
      <c r="A482" s="16">
        <v>11906.0</v>
      </c>
      <c r="B482" s="16" t="s">
        <v>2193</v>
      </c>
      <c r="C482" s="16">
        <v>0.0</v>
      </c>
      <c r="D482" s="174" t="s">
        <v>2194</v>
      </c>
      <c r="E482" s="16"/>
      <c r="F482" s="16">
        <v>498.0</v>
      </c>
      <c r="G482" s="16" t="s">
        <v>176</v>
      </c>
      <c r="H482" s="16" t="s">
        <v>25</v>
      </c>
      <c r="I482" s="16"/>
      <c r="J482" s="16"/>
      <c r="K482" s="16"/>
      <c r="L482" s="16"/>
      <c r="M482" s="16"/>
      <c r="N482" s="16"/>
      <c r="O482" s="16"/>
      <c r="P482" s="16"/>
      <c r="Q482" s="16"/>
      <c r="R482" s="16"/>
      <c r="S482" s="16">
        <v>-2.0</v>
      </c>
      <c r="T482" s="16"/>
      <c r="U482" s="16" t="s">
        <v>2195</v>
      </c>
      <c r="V482" s="16" t="s">
        <v>2196</v>
      </c>
      <c r="W482" s="16" t="s">
        <v>199</v>
      </c>
    </row>
    <row r="483">
      <c r="A483" s="16">
        <v>11907.0</v>
      </c>
      <c r="B483" s="16" t="s">
        <v>2197</v>
      </c>
      <c r="C483" s="16">
        <v>1.26</v>
      </c>
      <c r="D483" s="174" t="s">
        <v>2198</v>
      </c>
      <c r="E483" s="16"/>
      <c r="F483" s="16">
        <v>507.0</v>
      </c>
      <c r="G483" s="16" t="s">
        <v>4748</v>
      </c>
      <c r="H483" s="16" t="s">
        <v>18</v>
      </c>
      <c r="I483" s="16" t="s">
        <v>15</v>
      </c>
      <c r="J483" s="16" t="s">
        <v>14</v>
      </c>
      <c r="K483" s="16"/>
      <c r="L483" s="16"/>
      <c r="M483" s="16"/>
      <c r="N483" s="16"/>
      <c r="O483" s="16"/>
      <c r="P483" s="16"/>
      <c r="Q483" s="16"/>
      <c r="R483" s="16"/>
      <c r="S483" s="16">
        <v>13.0</v>
      </c>
      <c r="T483" s="16"/>
      <c r="U483" s="16" t="s">
        <v>2199</v>
      </c>
      <c r="V483" s="16" t="s">
        <v>2200</v>
      </c>
      <c r="W483" s="16" t="s">
        <v>443</v>
      </c>
    </row>
    <row r="484">
      <c r="A484" s="16">
        <v>11908.0</v>
      </c>
      <c r="B484" s="16" t="s">
        <v>2201</v>
      </c>
      <c r="C484" s="16">
        <v>0.0</v>
      </c>
      <c r="D484" s="174" t="s">
        <v>2202</v>
      </c>
      <c r="E484" s="16"/>
      <c r="F484" s="16">
        <v>498.0</v>
      </c>
      <c r="G484" s="16" t="s">
        <v>176</v>
      </c>
      <c r="H484" s="16" t="s">
        <v>13</v>
      </c>
      <c r="I484" s="16" t="s">
        <v>15</v>
      </c>
      <c r="J484" s="16"/>
      <c r="K484" s="16"/>
      <c r="L484" s="16"/>
      <c r="M484" s="16"/>
      <c r="N484" s="16"/>
      <c r="O484" s="16"/>
      <c r="P484" s="16"/>
      <c r="Q484" s="16"/>
      <c r="R484" s="16"/>
      <c r="S484" s="16">
        <v>-2.0</v>
      </c>
      <c r="T484" s="16"/>
      <c r="U484" s="16" t="s">
        <v>2203</v>
      </c>
      <c r="V484" s="16" t="s">
        <v>2204</v>
      </c>
      <c r="W484" s="16" t="s">
        <v>399</v>
      </c>
    </row>
    <row r="485">
      <c r="A485" s="16">
        <v>11909.0</v>
      </c>
      <c r="B485" s="16" t="s">
        <v>2205</v>
      </c>
      <c r="C485" s="16">
        <v>0.29</v>
      </c>
      <c r="D485" s="174" t="s">
        <v>2206</v>
      </c>
      <c r="E485" s="16"/>
      <c r="F485" s="16">
        <v>535.0</v>
      </c>
      <c r="G485" s="16" t="s">
        <v>361</v>
      </c>
      <c r="H485" s="16" t="s">
        <v>51</v>
      </c>
      <c r="I485" s="16"/>
      <c r="J485" s="16"/>
      <c r="K485" s="16"/>
      <c r="L485" s="16"/>
      <c r="M485" s="16"/>
      <c r="N485" s="16"/>
      <c r="O485" s="16"/>
      <c r="P485" s="16"/>
      <c r="Q485" s="16"/>
      <c r="R485" s="16"/>
      <c r="S485" s="16">
        <v>14.0</v>
      </c>
      <c r="T485" s="16"/>
      <c r="U485" s="16" t="s">
        <v>2207</v>
      </c>
      <c r="V485" s="16" t="s">
        <v>2208</v>
      </c>
      <c r="W485" s="16" t="s">
        <v>491</v>
      </c>
    </row>
    <row r="486">
      <c r="A486" s="16">
        <v>11910.0</v>
      </c>
      <c r="B486" s="16" t="s">
        <v>2209</v>
      </c>
      <c r="C486" s="16">
        <v>2.25</v>
      </c>
      <c r="D486" s="174" t="s">
        <v>2210</v>
      </c>
      <c r="E486" s="16"/>
      <c r="F486" s="16">
        <v>498.0</v>
      </c>
      <c r="G486" s="16" t="s">
        <v>176</v>
      </c>
      <c r="H486" s="16" t="s">
        <v>25</v>
      </c>
      <c r="I486" s="16"/>
      <c r="J486" s="16"/>
      <c r="K486" s="16"/>
      <c r="L486" s="16"/>
      <c r="M486" s="16"/>
      <c r="N486" s="16"/>
      <c r="O486" s="16"/>
      <c r="P486" s="16"/>
      <c r="Q486" s="16"/>
      <c r="R486" s="16"/>
      <c r="S486" s="16">
        <v>-2.0</v>
      </c>
      <c r="T486" s="16"/>
      <c r="U486" s="16" t="s">
        <v>2211</v>
      </c>
      <c r="V486" s="16" t="s">
        <v>2212</v>
      </c>
      <c r="W486" s="16" t="s">
        <v>199</v>
      </c>
    </row>
    <row r="487">
      <c r="A487" s="16">
        <v>11911.0</v>
      </c>
      <c r="B487" s="16" t="s">
        <v>2213</v>
      </c>
      <c r="C487" s="16">
        <v>1.45</v>
      </c>
      <c r="D487" s="174" t="s">
        <v>2214</v>
      </c>
      <c r="E487" s="16"/>
      <c r="F487" s="16">
        <v>541.0</v>
      </c>
      <c r="G487" s="16" t="s">
        <v>387</v>
      </c>
      <c r="H487" s="16" t="s">
        <v>25</v>
      </c>
      <c r="I487" s="16" t="s">
        <v>26</v>
      </c>
      <c r="J487" s="16"/>
      <c r="K487" s="16"/>
      <c r="L487" s="16"/>
      <c r="M487" s="16"/>
      <c r="N487" s="16"/>
      <c r="O487" s="16"/>
      <c r="P487" s="16"/>
      <c r="Q487" s="16"/>
      <c r="R487" s="16"/>
      <c r="S487" s="16">
        <v>1.0</v>
      </c>
      <c r="T487" s="16"/>
      <c r="U487" s="16" t="s">
        <v>2215</v>
      </c>
      <c r="V487" s="16" t="s">
        <v>2216</v>
      </c>
      <c r="W487" s="16" t="s">
        <v>491</v>
      </c>
    </row>
    <row r="488">
      <c r="A488" s="16">
        <v>11912.0</v>
      </c>
      <c r="B488" s="16" t="s">
        <v>2217</v>
      </c>
      <c r="C488" s="16">
        <v>0.98</v>
      </c>
      <c r="D488" s="174" t="s">
        <v>2218</v>
      </c>
      <c r="E488" s="16"/>
      <c r="F488" s="16">
        <v>540.0</v>
      </c>
      <c r="G488" s="16" t="s">
        <v>1729</v>
      </c>
      <c r="H488" s="16" t="s">
        <v>14</v>
      </c>
      <c r="I488" s="16" t="s">
        <v>19</v>
      </c>
      <c r="J488" s="16" t="s">
        <v>17</v>
      </c>
      <c r="K488" s="16"/>
      <c r="L488" s="16"/>
      <c r="M488" s="16"/>
      <c r="N488" s="16"/>
      <c r="O488" s="16"/>
      <c r="P488" s="16"/>
      <c r="Q488" s="16"/>
      <c r="R488" s="16"/>
      <c r="S488" s="16">
        <v>17.0</v>
      </c>
      <c r="T488" s="16"/>
      <c r="U488" s="16" t="s">
        <v>2219</v>
      </c>
      <c r="V488" s="16" t="s">
        <v>2220</v>
      </c>
      <c r="W488" s="16" t="s">
        <v>722</v>
      </c>
    </row>
    <row r="489">
      <c r="A489" s="16">
        <v>11913.0</v>
      </c>
      <c r="B489" s="16" t="s">
        <v>2221</v>
      </c>
      <c r="C489" s="16">
        <v>2.05</v>
      </c>
      <c r="D489" s="174" t="s">
        <v>2222</v>
      </c>
      <c r="E489" s="16"/>
      <c r="F489" s="16">
        <v>535.0</v>
      </c>
      <c r="G489" s="16" t="s">
        <v>361</v>
      </c>
      <c r="H489" s="16" t="s">
        <v>24</v>
      </c>
      <c r="I489" s="16"/>
      <c r="J489" s="16"/>
      <c r="K489" s="16"/>
      <c r="L489" s="16"/>
      <c r="M489" s="16"/>
      <c r="N489" s="16"/>
      <c r="O489" s="16"/>
      <c r="P489" s="16"/>
      <c r="Q489" s="16"/>
      <c r="R489" s="16"/>
      <c r="S489" s="16">
        <v>16.0</v>
      </c>
      <c r="T489" s="16"/>
      <c r="U489" s="16" t="s">
        <v>2223</v>
      </c>
      <c r="V489" s="16" t="s">
        <v>2224</v>
      </c>
      <c r="W489" s="16" t="s">
        <v>459</v>
      </c>
    </row>
    <row r="490">
      <c r="A490" s="16">
        <v>11914.0</v>
      </c>
      <c r="B490" s="16" t="s">
        <v>2225</v>
      </c>
      <c r="C490" s="16">
        <v>0.0</v>
      </c>
      <c r="D490" s="174" t="s">
        <v>2226</v>
      </c>
      <c r="E490" s="16"/>
      <c r="F490" s="16">
        <v>498.0</v>
      </c>
      <c r="G490" s="16" t="s">
        <v>176</v>
      </c>
      <c r="H490" s="16" t="s">
        <v>15</v>
      </c>
      <c r="I490" s="16" t="s">
        <v>13</v>
      </c>
      <c r="J490" s="16"/>
      <c r="K490" s="16"/>
      <c r="L490" s="16"/>
      <c r="M490" s="16"/>
      <c r="N490" s="16"/>
      <c r="O490" s="16"/>
      <c r="P490" s="16"/>
      <c r="Q490" s="16"/>
      <c r="R490" s="16"/>
      <c r="S490" s="16">
        <v>-2.0</v>
      </c>
      <c r="T490" s="16"/>
      <c r="U490" s="16" t="s">
        <v>2227</v>
      </c>
      <c r="V490" s="16" t="s">
        <v>2228</v>
      </c>
      <c r="W490" s="16" t="s">
        <v>661</v>
      </c>
    </row>
    <row r="491">
      <c r="A491" s="16">
        <v>11915.0</v>
      </c>
      <c r="B491" s="16" t="s">
        <v>2229</v>
      </c>
      <c r="C491" s="16">
        <v>0.24</v>
      </c>
      <c r="D491" s="174" t="s">
        <v>2230</v>
      </c>
      <c r="E491" s="16"/>
      <c r="F491" s="16">
        <v>498.0</v>
      </c>
      <c r="G491" s="16" t="s">
        <v>176</v>
      </c>
      <c r="H491" s="16" t="s">
        <v>19</v>
      </c>
      <c r="I491" s="16" t="s">
        <v>17</v>
      </c>
      <c r="J491" s="16" t="s">
        <v>13</v>
      </c>
      <c r="K491" s="16"/>
      <c r="L491" s="16"/>
      <c r="M491" s="16"/>
      <c r="N491" s="16"/>
      <c r="O491" s="16"/>
      <c r="P491" s="16"/>
      <c r="Q491" s="16"/>
      <c r="R491" s="16"/>
      <c r="S491" s="16">
        <v>6.0</v>
      </c>
      <c r="T491" s="16"/>
      <c r="U491" s="16" t="s">
        <v>2231</v>
      </c>
      <c r="V491" s="16" t="s">
        <v>2232</v>
      </c>
      <c r="W491" s="16" t="s">
        <v>199</v>
      </c>
    </row>
    <row r="492">
      <c r="A492" s="16">
        <v>11916.0</v>
      </c>
      <c r="B492" s="16" t="s">
        <v>2233</v>
      </c>
      <c r="C492" s="16">
        <v>0.94</v>
      </c>
      <c r="D492" s="174" t="s">
        <v>2234</v>
      </c>
      <c r="E492" s="16"/>
      <c r="F492" s="16">
        <v>538.0</v>
      </c>
      <c r="G492" s="16" t="s">
        <v>289</v>
      </c>
      <c r="H492" s="16" t="s">
        <v>25</v>
      </c>
      <c r="I492" s="16" t="s">
        <v>26</v>
      </c>
      <c r="J492" s="16"/>
      <c r="K492" s="16"/>
      <c r="L492" s="16"/>
      <c r="M492" s="16"/>
      <c r="N492" s="16"/>
      <c r="O492" s="16"/>
      <c r="P492" s="16"/>
      <c r="Q492" s="16"/>
      <c r="R492" s="16"/>
      <c r="S492" s="16">
        <v>1.0</v>
      </c>
      <c r="T492" s="16"/>
      <c r="U492" s="16" t="s">
        <v>2235</v>
      </c>
      <c r="V492" s="16" t="s">
        <v>2236</v>
      </c>
      <c r="W492" s="16" t="s">
        <v>179</v>
      </c>
    </row>
    <row r="493">
      <c r="A493" s="16">
        <v>11917.0</v>
      </c>
      <c r="B493" s="16" t="s">
        <v>2237</v>
      </c>
      <c r="C493" s="16">
        <v>1.83</v>
      </c>
      <c r="D493" s="174" t="s">
        <v>2238</v>
      </c>
      <c r="E493" s="16"/>
      <c r="F493" s="16">
        <v>544.0</v>
      </c>
      <c r="G493" s="16" t="s">
        <v>272</v>
      </c>
      <c r="H493" s="16" t="s">
        <v>16</v>
      </c>
      <c r="I493" s="16"/>
      <c r="J493" s="16"/>
      <c r="K493" s="16"/>
      <c r="L493" s="16"/>
      <c r="M493" s="16"/>
      <c r="N493" s="16"/>
      <c r="O493" s="16"/>
      <c r="P493" s="16"/>
      <c r="Q493" s="16"/>
      <c r="R493" s="16"/>
      <c r="S493" s="16">
        <v>1.0</v>
      </c>
      <c r="T493" s="174" t="s">
        <v>4798</v>
      </c>
      <c r="U493" s="16" t="s">
        <v>2239</v>
      </c>
      <c r="V493" s="16" t="s">
        <v>2240</v>
      </c>
      <c r="W493" s="16" t="s">
        <v>188</v>
      </c>
    </row>
    <row r="494">
      <c r="A494" s="16">
        <v>11918.0</v>
      </c>
      <c r="B494" s="16" t="s">
        <v>2241</v>
      </c>
      <c r="C494" s="16">
        <v>0.8</v>
      </c>
      <c r="D494" s="174" t="s">
        <v>2242</v>
      </c>
      <c r="E494" s="16"/>
      <c r="F494" s="16">
        <v>498.0</v>
      </c>
      <c r="G494" s="16" t="s">
        <v>176</v>
      </c>
      <c r="H494" s="16" t="s">
        <v>25</v>
      </c>
      <c r="I494" s="16"/>
      <c r="J494" s="16"/>
      <c r="K494" s="16"/>
      <c r="L494" s="16"/>
      <c r="M494" s="16"/>
      <c r="N494" s="16"/>
      <c r="O494" s="16"/>
      <c r="P494" s="16"/>
      <c r="Q494" s="16"/>
      <c r="R494" s="16"/>
      <c r="S494" s="16">
        <v>-2.0</v>
      </c>
      <c r="T494" s="16"/>
      <c r="U494" s="16" t="s">
        <v>2243</v>
      </c>
      <c r="V494" s="16" t="s">
        <v>2244</v>
      </c>
      <c r="W494" s="16" t="s">
        <v>360</v>
      </c>
    </row>
    <row r="495">
      <c r="A495" s="16">
        <v>11919.0</v>
      </c>
      <c r="B495" s="16" t="s">
        <v>2245</v>
      </c>
      <c r="C495" s="16">
        <v>1.14</v>
      </c>
      <c r="D495" s="174" t="s">
        <v>2246</v>
      </c>
      <c r="E495" s="16"/>
      <c r="F495" s="16">
        <v>534.0</v>
      </c>
      <c r="G495" s="16" t="s">
        <v>1170</v>
      </c>
      <c r="H495" s="16" t="s">
        <v>17</v>
      </c>
      <c r="I495" s="16" t="s">
        <v>19</v>
      </c>
      <c r="J495" s="16"/>
      <c r="K495" s="16"/>
      <c r="L495" s="16"/>
      <c r="M495" s="16"/>
      <c r="N495" s="16"/>
      <c r="O495" s="16"/>
      <c r="P495" s="16"/>
      <c r="Q495" s="16"/>
      <c r="R495" s="16"/>
      <c r="S495" s="16">
        <v>14.0</v>
      </c>
      <c r="T495" s="16"/>
      <c r="U495" s="16" t="s">
        <v>2248</v>
      </c>
      <c r="V495" s="16" t="s">
        <v>2249</v>
      </c>
      <c r="W495" s="16" t="s">
        <v>443</v>
      </c>
    </row>
    <row r="496">
      <c r="A496" s="16">
        <v>11920.0</v>
      </c>
      <c r="B496" s="16" t="s">
        <v>2250</v>
      </c>
      <c r="C496" s="16">
        <v>1.01</v>
      </c>
      <c r="D496" s="174" t="s">
        <v>2251</v>
      </c>
      <c r="E496" s="16"/>
      <c r="F496" s="16">
        <v>520.0</v>
      </c>
      <c r="G496" s="16" t="s">
        <v>292</v>
      </c>
      <c r="H496" s="16" t="s">
        <v>24</v>
      </c>
      <c r="I496" s="16"/>
      <c r="J496" s="16"/>
      <c r="K496" s="16"/>
      <c r="L496" s="16"/>
      <c r="M496" s="16"/>
      <c r="N496" s="16"/>
      <c r="O496" s="16"/>
      <c r="P496" s="16"/>
      <c r="Q496" s="16"/>
      <c r="R496" s="16"/>
      <c r="S496" s="16">
        <v>16.0</v>
      </c>
      <c r="T496" s="16"/>
      <c r="U496" s="16" t="s">
        <v>2252</v>
      </c>
      <c r="V496" s="16" t="s">
        <v>2253</v>
      </c>
      <c r="W496" s="16" t="s">
        <v>942</v>
      </c>
    </row>
    <row r="497">
      <c r="A497" s="16">
        <v>11921.0</v>
      </c>
      <c r="B497" s="16" t="s">
        <v>2254</v>
      </c>
      <c r="C497" s="16">
        <v>0.38</v>
      </c>
      <c r="D497" s="174" t="s">
        <v>2255</v>
      </c>
      <c r="E497" s="16"/>
      <c r="F497" s="16">
        <v>538.0</v>
      </c>
      <c r="G497" s="16" t="s">
        <v>289</v>
      </c>
      <c r="H497" s="16" t="s">
        <v>19</v>
      </c>
      <c r="I497" s="16" t="s">
        <v>17</v>
      </c>
      <c r="J497" s="16"/>
      <c r="K497" s="16"/>
      <c r="L497" s="16"/>
      <c r="M497" s="16"/>
      <c r="N497" s="16"/>
      <c r="O497" s="16"/>
      <c r="P497" s="16"/>
      <c r="Q497" s="16"/>
      <c r="R497" s="16"/>
      <c r="S497" s="16">
        <v>8.0</v>
      </c>
      <c r="T497" s="16"/>
      <c r="U497" s="16" t="s">
        <v>2256</v>
      </c>
      <c r="V497" s="16" t="s">
        <v>2257</v>
      </c>
      <c r="W497" s="16" t="s">
        <v>188</v>
      </c>
    </row>
    <row r="498">
      <c r="A498" s="16">
        <v>11922.0</v>
      </c>
      <c r="B498" s="16" t="s">
        <v>2258</v>
      </c>
      <c r="C498" s="16">
        <v>1.95</v>
      </c>
      <c r="D498" s="174" t="s">
        <v>2259</v>
      </c>
      <c r="E498" s="16"/>
      <c r="F498" s="16">
        <v>517.0</v>
      </c>
      <c r="G498" s="16" t="s">
        <v>277</v>
      </c>
      <c r="H498" s="16" t="s">
        <v>25</v>
      </c>
      <c r="I498" s="16" t="s">
        <v>26</v>
      </c>
      <c r="J498" s="16"/>
      <c r="K498" s="16"/>
      <c r="L498" s="16"/>
      <c r="M498" s="16"/>
      <c r="N498" s="16"/>
      <c r="O498" s="16"/>
      <c r="P498" s="16"/>
      <c r="Q498" s="16"/>
      <c r="R498" s="16"/>
      <c r="S498" s="16">
        <v>9.0</v>
      </c>
      <c r="T498" s="16"/>
      <c r="U498" s="16" t="s">
        <v>2261</v>
      </c>
      <c r="V498" s="16" t="s">
        <v>2262</v>
      </c>
      <c r="W498" s="16" t="s">
        <v>332</v>
      </c>
    </row>
    <row r="499">
      <c r="A499" s="16">
        <v>11923.0</v>
      </c>
      <c r="B499" s="16" t="s">
        <v>2263</v>
      </c>
      <c r="C499" s="16">
        <v>0.18</v>
      </c>
      <c r="D499" s="174" t="s">
        <v>2264</v>
      </c>
      <c r="E499" s="16"/>
      <c r="F499" s="16">
        <v>517.0</v>
      </c>
      <c r="G499" s="16" t="s">
        <v>277</v>
      </c>
      <c r="H499" s="16" t="s">
        <v>25</v>
      </c>
      <c r="I499" s="16" t="s">
        <v>26</v>
      </c>
      <c r="J499" s="16"/>
      <c r="K499" s="16"/>
      <c r="L499" s="16"/>
      <c r="M499" s="16"/>
      <c r="N499" s="16"/>
      <c r="O499" s="16"/>
      <c r="P499" s="16"/>
      <c r="Q499" s="16"/>
      <c r="R499" s="16"/>
      <c r="S499" s="16">
        <v>6.0</v>
      </c>
      <c r="T499" s="16"/>
      <c r="U499" s="16" t="s">
        <v>2265</v>
      </c>
      <c r="V499" s="16" t="s">
        <v>2266</v>
      </c>
      <c r="W499" s="16" t="s">
        <v>661</v>
      </c>
    </row>
    <row r="500">
      <c r="A500" s="16">
        <v>11924.0</v>
      </c>
      <c r="B500" s="16" t="s">
        <v>2267</v>
      </c>
      <c r="C500" s="16">
        <v>1.46</v>
      </c>
      <c r="D500" s="174" t="s">
        <v>2268</v>
      </c>
      <c r="E500" s="16"/>
      <c r="F500" s="16">
        <v>519.0</v>
      </c>
      <c r="G500" s="16" t="s">
        <v>1452</v>
      </c>
      <c r="H500" s="16" t="s">
        <v>19</v>
      </c>
      <c r="I500" s="16" t="s">
        <v>13</v>
      </c>
      <c r="J500" s="16"/>
      <c r="K500" s="16"/>
      <c r="L500" s="16"/>
      <c r="M500" s="16"/>
      <c r="N500" s="16"/>
      <c r="O500" s="16"/>
      <c r="P500" s="16"/>
      <c r="Q500" s="16"/>
      <c r="R500" s="16"/>
      <c r="S500" s="16">
        <v>7.0</v>
      </c>
      <c r="T500" s="16"/>
      <c r="U500" s="16" t="s">
        <v>2269</v>
      </c>
      <c r="V500" s="16" t="s">
        <v>2270</v>
      </c>
      <c r="W500" s="16" t="s">
        <v>332</v>
      </c>
    </row>
    <row r="501">
      <c r="A501" s="16">
        <v>11925.0</v>
      </c>
      <c r="B501" s="16" t="s">
        <v>2271</v>
      </c>
      <c r="C501" s="16">
        <v>0.33</v>
      </c>
      <c r="D501" s="174" t="s">
        <v>2272</v>
      </c>
      <c r="E501" s="16"/>
      <c r="F501" s="16">
        <v>498.0</v>
      </c>
      <c r="G501" s="16" t="s">
        <v>176</v>
      </c>
      <c r="H501" s="16" t="s">
        <v>25</v>
      </c>
      <c r="I501" s="16"/>
      <c r="J501" s="16"/>
      <c r="K501" s="16"/>
      <c r="L501" s="16"/>
      <c r="M501" s="16"/>
      <c r="N501" s="16"/>
      <c r="O501" s="16"/>
      <c r="P501" s="16"/>
      <c r="Q501" s="16"/>
      <c r="R501" s="16"/>
      <c r="S501" s="16">
        <v>9.0</v>
      </c>
      <c r="T501" s="16"/>
      <c r="U501" s="16" t="s">
        <v>2273</v>
      </c>
      <c r="V501" s="16" t="s">
        <v>2274</v>
      </c>
      <c r="W501" s="16" t="s">
        <v>332</v>
      </c>
    </row>
    <row r="502">
      <c r="A502" s="16">
        <v>11926.0</v>
      </c>
      <c r="B502" s="16" t="s">
        <v>2275</v>
      </c>
      <c r="C502" s="16">
        <v>0.0</v>
      </c>
      <c r="D502" s="174" t="s">
        <v>2276</v>
      </c>
      <c r="E502" s="16"/>
      <c r="F502" s="16">
        <v>498.0</v>
      </c>
      <c r="G502" s="16" t="s">
        <v>176</v>
      </c>
      <c r="H502" s="16" t="s">
        <v>18</v>
      </c>
      <c r="I502" s="16" t="s">
        <v>19</v>
      </c>
      <c r="J502" s="16" t="s">
        <v>14</v>
      </c>
      <c r="K502" s="16"/>
      <c r="L502" s="16"/>
      <c r="M502" s="16"/>
      <c r="N502" s="16"/>
      <c r="O502" s="16"/>
      <c r="P502" s="16"/>
      <c r="Q502" s="16"/>
      <c r="R502" s="16"/>
      <c r="S502" s="16">
        <v>-2.0</v>
      </c>
      <c r="T502" s="16"/>
      <c r="U502" s="16" t="s">
        <v>2277</v>
      </c>
      <c r="V502" s="16" t="s">
        <v>2278</v>
      </c>
      <c r="W502" s="16" t="s">
        <v>276</v>
      </c>
    </row>
    <row r="503">
      <c r="A503" s="16">
        <v>11927.0</v>
      </c>
      <c r="B503" s="16" t="s">
        <v>2279</v>
      </c>
      <c r="C503" s="16">
        <v>0.95</v>
      </c>
      <c r="D503" s="174" t="s">
        <v>2280</v>
      </c>
      <c r="E503" s="16"/>
      <c r="F503" s="16">
        <v>544.0</v>
      </c>
      <c r="G503" s="16" t="s">
        <v>272</v>
      </c>
      <c r="H503" s="16" t="s">
        <v>18</v>
      </c>
      <c r="I503" s="16"/>
      <c r="J503" s="16"/>
      <c r="K503" s="16"/>
      <c r="L503" s="16"/>
      <c r="M503" s="16"/>
      <c r="N503" s="16"/>
      <c r="O503" s="16"/>
      <c r="P503" s="16"/>
      <c r="Q503" s="16"/>
      <c r="R503" s="16"/>
      <c r="S503" s="16">
        <v>1.0</v>
      </c>
      <c r="T503" s="174" t="s">
        <v>4799</v>
      </c>
      <c r="U503" s="16" t="s">
        <v>2281</v>
      </c>
      <c r="V503" s="16" t="s">
        <v>2282</v>
      </c>
      <c r="W503" s="16" t="s">
        <v>188</v>
      </c>
    </row>
    <row r="504">
      <c r="A504" s="16">
        <v>11928.0</v>
      </c>
      <c r="B504" s="16" t="s">
        <v>49</v>
      </c>
      <c r="C504" s="16">
        <v>0.58</v>
      </c>
      <c r="D504" s="174" t="s">
        <v>2283</v>
      </c>
      <c r="E504" s="16"/>
      <c r="F504" s="16">
        <v>501.0</v>
      </c>
      <c r="G504" s="16" t="s">
        <v>371</v>
      </c>
      <c r="H504" s="16" t="s">
        <v>19</v>
      </c>
      <c r="I504" s="16" t="s">
        <v>18</v>
      </c>
      <c r="J504" s="16"/>
      <c r="K504" s="16"/>
      <c r="L504" s="16"/>
      <c r="M504" s="16"/>
      <c r="N504" s="16"/>
      <c r="O504" s="16"/>
      <c r="P504" s="16"/>
      <c r="Q504" s="16"/>
      <c r="R504" s="16"/>
      <c r="S504" s="16">
        <v>8.0</v>
      </c>
      <c r="T504" s="16"/>
      <c r="U504" s="16" t="s">
        <v>2284</v>
      </c>
      <c r="V504" s="16" t="s">
        <v>2285</v>
      </c>
      <c r="W504" s="16" t="s">
        <v>722</v>
      </c>
    </row>
    <row r="505">
      <c r="A505" s="16">
        <v>11929.0</v>
      </c>
      <c r="B505" s="16" t="s">
        <v>2286</v>
      </c>
      <c r="C505" s="16">
        <v>1.87</v>
      </c>
      <c r="D505" s="174" t="s">
        <v>2287</v>
      </c>
      <c r="E505" s="16"/>
      <c r="F505" s="16">
        <v>532.0</v>
      </c>
      <c r="G505" s="16" t="s">
        <v>346</v>
      </c>
      <c r="H505" s="16" t="s">
        <v>51</v>
      </c>
      <c r="I505" s="16"/>
      <c r="J505" s="16"/>
      <c r="K505" s="16"/>
      <c r="L505" s="16"/>
      <c r="M505" s="16"/>
      <c r="N505" s="16"/>
      <c r="O505" s="16"/>
      <c r="P505" s="16"/>
      <c r="Q505" s="16"/>
      <c r="R505" s="16"/>
      <c r="S505" s="16">
        <v>8.0</v>
      </c>
      <c r="T505" s="16"/>
      <c r="U505" s="16" t="s">
        <v>2288</v>
      </c>
      <c r="V505" s="16" t="s">
        <v>2289</v>
      </c>
      <c r="W505" s="16" t="s">
        <v>491</v>
      </c>
    </row>
    <row r="506">
      <c r="A506" s="16">
        <v>11930.0</v>
      </c>
      <c r="B506" s="16" t="s">
        <v>2290</v>
      </c>
      <c r="C506" s="16">
        <v>0.0</v>
      </c>
      <c r="D506" s="174" t="s">
        <v>2291</v>
      </c>
      <c r="E506" s="16"/>
      <c r="F506" s="16">
        <v>499.0</v>
      </c>
      <c r="G506" s="16" t="s">
        <v>126</v>
      </c>
      <c r="H506" s="16" t="s">
        <v>24</v>
      </c>
      <c r="I506" s="16" t="s">
        <v>25</v>
      </c>
      <c r="J506" s="16"/>
      <c r="K506" s="16"/>
      <c r="L506" s="16"/>
      <c r="M506" s="16"/>
      <c r="N506" s="16"/>
      <c r="O506" s="16"/>
      <c r="P506" s="16"/>
      <c r="Q506" s="16"/>
      <c r="R506" s="16"/>
      <c r="S506" s="16">
        <v>16.0</v>
      </c>
      <c r="T506" s="16"/>
      <c r="U506" s="16" t="s">
        <v>2292</v>
      </c>
      <c r="V506" s="16" t="s">
        <v>2293</v>
      </c>
      <c r="W506" s="16" t="s">
        <v>478</v>
      </c>
    </row>
    <row r="507">
      <c r="A507" s="16">
        <v>11931.0</v>
      </c>
      <c r="B507" s="16" t="s">
        <v>2294</v>
      </c>
      <c r="C507" s="16">
        <v>1.26</v>
      </c>
      <c r="D507" s="174" t="s">
        <v>2295</v>
      </c>
      <c r="E507" s="16"/>
      <c r="F507" s="16">
        <v>499.0</v>
      </c>
      <c r="G507" s="16" t="s">
        <v>126</v>
      </c>
      <c r="H507" s="16" t="s">
        <v>25</v>
      </c>
      <c r="I507" s="16" t="s">
        <v>26</v>
      </c>
      <c r="J507" s="16"/>
      <c r="K507" s="16"/>
      <c r="L507" s="16"/>
      <c r="M507" s="16"/>
      <c r="N507" s="16"/>
      <c r="O507" s="16"/>
      <c r="P507" s="16"/>
      <c r="Q507" s="16"/>
      <c r="R507" s="16"/>
      <c r="S507" s="16">
        <v>12.0</v>
      </c>
      <c r="T507" s="16"/>
      <c r="U507" s="16" t="s">
        <v>2297</v>
      </c>
      <c r="V507" s="16" t="s">
        <v>2298</v>
      </c>
      <c r="W507" s="16" t="s">
        <v>491</v>
      </c>
    </row>
    <row r="508">
      <c r="A508" s="16">
        <v>11932.0</v>
      </c>
      <c r="B508" s="16" t="s">
        <v>2299</v>
      </c>
      <c r="C508" s="16">
        <v>0.0</v>
      </c>
      <c r="D508" s="174" t="s">
        <v>2300</v>
      </c>
      <c r="E508" s="16"/>
      <c r="F508" s="16">
        <v>498.0</v>
      </c>
      <c r="G508" s="16" t="s">
        <v>176</v>
      </c>
      <c r="H508" s="16" t="s">
        <v>25</v>
      </c>
      <c r="I508" s="16"/>
      <c r="J508" s="16"/>
      <c r="K508" s="16"/>
      <c r="L508" s="16"/>
      <c r="M508" s="16"/>
      <c r="N508" s="16"/>
      <c r="O508" s="16"/>
      <c r="P508" s="16"/>
      <c r="Q508" s="16"/>
      <c r="R508" s="16"/>
      <c r="S508" s="16">
        <v>-1.0</v>
      </c>
      <c r="T508" s="16"/>
      <c r="U508" s="16" t="s">
        <v>2301</v>
      </c>
      <c r="V508" s="16" t="s">
        <v>2302</v>
      </c>
      <c r="W508" s="16" t="s">
        <v>422</v>
      </c>
    </row>
    <row r="509">
      <c r="A509" s="16">
        <v>11933.0</v>
      </c>
      <c r="B509" s="16" t="s">
        <v>2303</v>
      </c>
      <c r="C509" s="16">
        <v>0.48</v>
      </c>
      <c r="D509" s="174" t="s">
        <v>2304</v>
      </c>
      <c r="E509" s="16"/>
      <c r="F509" s="16">
        <v>502.0</v>
      </c>
      <c r="G509" s="16" t="s">
        <v>200</v>
      </c>
      <c r="H509" s="16" t="s">
        <v>24</v>
      </c>
      <c r="I509" s="16" t="s">
        <v>25</v>
      </c>
      <c r="J509" s="16" t="s">
        <v>26</v>
      </c>
      <c r="K509" s="16"/>
      <c r="L509" s="16"/>
      <c r="M509" s="16"/>
      <c r="N509" s="16"/>
      <c r="O509" s="16"/>
      <c r="P509" s="16"/>
      <c r="Q509" s="16"/>
      <c r="R509" s="16"/>
      <c r="S509" s="16">
        <v>1.0</v>
      </c>
      <c r="T509" s="16"/>
      <c r="U509" s="16" t="s">
        <v>2305</v>
      </c>
      <c r="V509" s="16" t="s">
        <v>2306</v>
      </c>
      <c r="W509" s="16" t="s">
        <v>231</v>
      </c>
    </row>
    <row r="510">
      <c r="A510" s="16">
        <v>11934.0</v>
      </c>
      <c r="B510" s="16" t="s">
        <v>2307</v>
      </c>
      <c r="C510" s="16">
        <v>1.54</v>
      </c>
      <c r="D510" s="174" t="s">
        <v>2308</v>
      </c>
      <c r="E510" s="16"/>
      <c r="F510" s="16">
        <v>546.0</v>
      </c>
      <c r="G510" s="16" t="s">
        <v>415</v>
      </c>
      <c r="H510" s="16" t="s">
        <v>24</v>
      </c>
      <c r="I510" s="16"/>
      <c r="J510" s="16"/>
      <c r="K510" s="16"/>
      <c r="L510" s="16"/>
      <c r="M510" s="16"/>
      <c r="N510" s="16"/>
      <c r="O510" s="16"/>
      <c r="P510" s="16"/>
      <c r="Q510" s="16"/>
      <c r="R510" s="16"/>
      <c r="S510" s="16">
        <v>15.0</v>
      </c>
      <c r="T510" s="16"/>
      <c r="U510" s="16" t="s">
        <v>2309</v>
      </c>
      <c r="V510" s="16" t="s">
        <v>2310</v>
      </c>
      <c r="W510" s="16" t="s">
        <v>661</v>
      </c>
    </row>
    <row r="511">
      <c r="A511" s="16">
        <v>11935.0</v>
      </c>
      <c r="B511" s="16" t="s">
        <v>2311</v>
      </c>
      <c r="C511" s="16">
        <v>0.51</v>
      </c>
      <c r="D511" s="174" t="s">
        <v>2312</v>
      </c>
      <c r="E511" s="16"/>
      <c r="F511" s="16">
        <v>519.0</v>
      </c>
      <c r="G511" s="16" t="s">
        <v>1452</v>
      </c>
      <c r="H511" s="16" t="s">
        <v>24</v>
      </c>
      <c r="I511" s="16" t="s">
        <v>25</v>
      </c>
      <c r="J511" s="16"/>
      <c r="K511" s="16"/>
      <c r="L511" s="16"/>
      <c r="M511" s="16"/>
      <c r="N511" s="16"/>
      <c r="O511" s="16"/>
      <c r="P511" s="16"/>
      <c r="Q511" s="16"/>
      <c r="R511" s="16"/>
      <c r="S511" s="16">
        <v>6.0</v>
      </c>
      <c r="T511" s="16"/>
      <c r="U511" s="16" t="s">
        <v>2313</v>
      </c>
      <c r="V511" s="16" t="s">
        <v>2314</v>
      </c>
      <c r="W511" s="16" t="s">
        <v>634</v>
      </c>
    </row>
    <row r="512">
      <c r="A512" s="16">
        <v>11936.0</v>
      </c>
      <c r="B512" s="16" t="s">
        <v>2315</v>
      </c>
      <c r="C512" s="16">
        <v>1.53</v>
      </c>
      <c r="D512" s="174" t="s">
        <v>2316</v>
      </c>
      <c r="E512" s="16"/>
      <c r="F512" s="16">
        <v>511.0</v>
      </c>
      <c r="G512" s="16" t="s">
        <v>245</v>
      </c>
      <c r="H512" s="16" t="s">
        <v>24</v>
      </c>
      <c r="I512" s="16"/>
      <c r="J512" s="16"/>
      <c r="K512" s="16"/>
      <c r="L512" s="16"/>
      <c r="M512" s="16"/>
      <c r="N512" s="16"/>
      <c r="O512" s="16"/>
      <c r="P512" s="16"/>
      <c r="Q512" s="16"/>
      <c r="R512" s="16"/>
      <c r="S512" s="16">
        <v>15.0</v>
      </c>
      <c r="T512" s="16"/>
      <c r="U512" s="16" t="s">
        <v>2317</v>
      </c>
      <c r="V512" s="16" t="s">
        <v>2318</v>
      </c>
      <c r="W512" s="16" t="s">
        <v>675</v>
      </c>
    </row>
    <row r="513">
      <c r="A513" s="16">
        <v>11937.0</v>
      </c>
      <c r="B513" s="16" t="s">
        <v>2319</v>
      </c>
      <c r="C513" s="16">
        <v>0.89</v>
      </c>
      <c r="D513" s="174" t="s">
        <v>2320</v>
      </c>
      <c r="E513" s="16"/>
      <c r="F513" s="16">
        <v>511.0</v>
      </c>
      <c r="G513" s="16" t="s">
        <v>245</v>
      </c>
      <c r="H513" s="16" t="s">
        <v>25</v>
      </c>
      <c r="I513" s="16" t="s">
        <v>26</v>
      </c>
      <c r="J513" s="16"/>
      <c r="K513" s="16"/>
      <c r="L513" s="16"/>
      <c r="M513" s="16"/>
      <c r="N513" s="16"/>
      <c r="O513" s="16"/>
      <c r="P513" s="16"/>
      <c r="Q513" s="16"/>
      <c r="R513" s="16"/>
      <c r="S513" s="16">
        <v>17.0</v>
      </c>
      <c r="T513" s="16"/>
      <c r="U513" s="16" t="s">
        <v>2321</v>
      </c>
      <c r="V513" s="16" t="s">
        <v>2322</v>
      </c>
      <c r="W513" s="16" t="s">
        <v>179</v>
      </c>
    </row>
    <row r="514">
      <c r="A514" s="16">
        <v>11938.0</v>
      </c>
      <c r="B514" s="16" t="s">
        <v>2323</v>
      </c>
      <c r="C514" s="16">
        <v>2.26</v>
      </c>
      <c r="D514" s="174" t="s">
        <v>2324</v>
      </c>
      <c r="E514" s="16"/>
      <c r="F514" s="16">
        <v>538.0</v>
      </c>
      <c r="G514" s="16" t="s">
        <v>289</v>
      </c>
      <c r="H514" s="16" t="s">
        <v>12</v>
      </c>
      <c r="I514" s="16"/>
      <c r="J514" s="16"/>
      <c r="K514" s="16"/>
      <c r="L514" s="16"/>
      <c r="M514" s="16"/>
      <c r="N514" s="16"/>
      <c r="O514" s="16"/>
      <c r="P514" s="16"/>
      <c r="Q514" s="16"/>
      <c r="R514" s="16"/>
      <c r="S514" s="16">
        <v>14.0</v>
      </c>
      <c r="T514" s="16"/>
      <c r="U514" s="16" t="s">
        <v>2325</v>
      </c>
      <c r="V514" s="16" t="s">
        <v>2326</v>
      </c>
      <c r="W514" s="16" t="s">
        <v>634</v>
      </c>
    </row>
    <row r="515">
      <c r="A515" s="16">
        <v>11939.0</v>
      </c>
      <c r="B515" s="16" t="s">
        <v>2327</v>
      </c>
      <c r="C515" s="16">
        <v>0.0</v>
      </c>
      <c r="D515" s="174" t="s">
        <v>2328</v>
      </c>
      <c r="E515" s="16"/>
      <c r="F515" s="16">
        <v>519.0</v>
      </c>
      <c r="G515" s="16" t="s">
        <v>1452</v>
      </c>
      <c r="H515" s="16" t="s">
        <v>24</v>
      </c>
      <c r="I515" s="16" t="s">
        <v>25</v>
      </c>
      <c r="J515" s="16"/>
      <c r="K515" s="16"/>
      <c r="L515" s="16"/>
      <c r="M515" s="16"/>
      <c r="N515" s="16"/>
      <c r="O515" s="16"/>
      <c r="P515" s="16"/>
      <c r="Q515" s="16"/>
      <c r="R515" s="16"/>
      <c r="S515" s="16">
        <v>17.0</v>
      </c>
      <c r="T515" s="16"/>
      <c r="U515" s="16" t="s">
        <v>2329</v>
      </c>
      <c r="V515" s="16" t="s">
        <v>2330</v>
      </c>
      <c r="W515" s="16" t="s">
        <v>199</v>
      </c>
    </row>
    <row r="516">
      <c r="A516" s="16">
        <v>11940.0</v>
      </c>
      <c r="B516" s="16" t="s">
        <v>2331</v>
      </c>
      <c r="C516" s="16">
        <v>0.41</v>
      </c>
      <c r="D516" s="174" t="s">
        <v>2332</v>
      </c>
      <c r="E516" s="16"/>
      <c r="F516" s="16">
        <v>498.0</v>
      </c>
      <c r="G516" s="16" t="s">
        <v>176</v>
      </c>
      <c r="H516" s="16" t="s">
        <v>24</v>
      </c>
      <c r="I516" s="16"/>
      <c r="J516" s="16"/>
      <c r="K516" s="16"/>
      <c r="L516" s="16"/>
      <c r="M516" s="16"/>
      <c r="N516" s="16"/>
      <c r="O516" s="16"/>
      <c r="P516" s="16"/>
      <c r="Q516" s="16"/>
      <c r="R516" s="16"/>
      <c r="S516" s="16">
        <v>-2.0</v>
      </c>
      <c r="T516" s="16"/>
      <c r="U516" s="16" t="s">
        <v>2333</v>
      </c>
      <c r="V516" s="16" t="s">
        <v>2334</v>
      </c>
      <c r="W516" s="16" t="s">
        <v>443</v>
      </c>
    </row>
    <row r="517">
      <c r="A517" s="16">
        <v>11941.0</v>
      </c>
      <c r="B517" s="16" t="s">
        <v>2335</v>
      </c>
      <c r="C517" s="16">
        <v>0.33</v>
      </c>
      <c r="D517" s="174" t="s">
        <v>2336</v>
      </c>
      <c r="E517" s="16"/>
      <c r="F517" s="16">
        <v>519.0</v>
      </c>
      <c r="G517" s="16" t="s">
        <v>1452</v>
      </c>
      <c r="H517" s="16" t="s">
        <v>13</v>
      </c>
      <c r="I517" s="16" t="s">
        <v>19</v>
      </c>
      <c r="J517" s="16" t="s">
        <v>17</v>
      </c>
      <c r="K517" s="16"/>
      <c r="L517" s="16"/>
      <c r="M517" s="16"/>
      <c r="N517" s="16"/>
      <c r="O517" s="16"/>
      <c r="P517" s="16"/>
      <c r="Q517" s="16"/>
      <c r="R517" s="16" t="s">
        <v>4800</v>
      </c>
      <c r="S517" s="16">
        <v>17.0</v>
      </c>
      <c r="T517" s="174" t="s">
        <v>4801</v>
      </c>
      <c r="U517" s="16" t="s">
        <v>2337</v>
      </c>
      <c r="V517" s="16" t="s">
        <v>2338</v>
      </c>
      <c r="W517" s="16" t="s">
        <v>942</v>
      </c>
    </row>
    <row r="518">
      <c r="A518" s="16">
        <v>11942.0</v>
      </c>
      <c r="B518" s="16" t="s">
        <v>2339</v>
      </c>
      <c r="C518" s="16">
        <v>0.55</v>
      </c>
      <c r="D518" s="174" t="s">
        <v>2340</v>
      </c>
      <c r="E518" s="16"/>
      <c r="F518" s="16">
        <v>498.0</v>
      </c>
      <c r="G518" s="16" t="s">
        <v>176</v>
      </c>
      <c r="H518" s="16" t="s">
        <v>17</v>
      </c>
      <c r="I518" s="16" t="s">
        <v>18</v>
      </c>
      <c r="J518" s="16" t="s">
        <v>19</v>
      </c>
      <c r="K518" s="16" t="s">
        <v>13</v>
      </c>
      <c r="L518" s="16"/>
      <c r="M518" s="16"/>
      <c r="N518" s="16"/>
      <c r="O518" s="16"/>
      <c r="P518" s="16"/>
      <c r="Q518" s="16"/>
      <c r="R518" s="16"/>
      <c r="S518" s="16">
        <v>-2.0</v>
      </c>
      <c r="T518" s="16"/>
      <c r="U518" s="16" t="s">
        <v>2341</v>
      </c>
      <c r="V518" s="16" t="s">
        <v>2342</v>
      </c>
      <c r="W518" s="16" t="s">
        <v>360</v>
      </c>
    </row>
    <row r="519">
      <c r="A519" s="16">
        <v>11943.0</v>
      </c>
      <c r="B519" s="16" t="s">
        <v>2343</v>
      </c>
      <c r="C519" s="16">
        <v>0.0</v>
      </c>
      <c r="D519" s="174" t="s">
        <v>2344</v>
      </c>
      <c r="E519" s="16"/>
      <c r="F519" s="16">
        <v>498.0</v>
      </c>
      <c r="G519" s="16" t="s">
        <v>176</v>
      </c>
      <c r="H519" s="16" t="s">
        <v>13</v>
      </c>
      <c r="I519" s="16"/>
      <c r="J519" s="16"/>
      <c r="K519" s="16"/>
      <c r="L519" s="16"/>
      <c r="M519" s="16"/>
      <c r="N519" s="16"/>
      <c r="O519" s="16"/>
      <c r="P519" s="16"/>
      <c r="Q519" s="16"/>
      <c r="R519" s="16"/>
      <c r="S519" s="16">
        <v>-2.0</v>
      </c>
      <c r="T519" s="16"/>
      <c r="U519" s="16" t="s">
        <v>2345</v>
      </c>
      <c r="V519" s="16" t="s">
        <v>2346</v>
      </c>
      <c r="W519" s="16" t="s">
        <v>360</v>
      </c>
    </row>
    <row r="520">
      <c r="A520" s="16">
        <v>11944.0</v>
      </c>
      <c r="B520" s="16" t="s">
        <v>2347</v>
      </c>
      <c r="C520" s="16">
        <v>1.53</v>
      </c>
      <c r="D520" s="174" t="s">
        <v>2348</v>
      </c>
      <c r="E520" s="16"/>
      <c r="F520" s="16">
        <v>532.0</v>
      </c>
      <c r="G520" s="16" t="s">
        <v>346</v>
      </c>
      <c r="H520" s="16" t="s">
        <v>15</v>
      </c>
      <c r="I520" s="16" t="s">
        <v>14</v>
      </c>
      <c r="J520" s="16" t="s">
        <v>16</v>
      </c>
      <c r="K520" s="16"/>
      <c r="L520" s="16"/>
      <c r="M520" s="16"/>
      <c r="N520" s="16"/>
      <c r="O520" s="16"/>
      <c r="P520" s="16"/>
      <c r="Q520" s="16"/>
      <c r="R520" s="16"/>
      <c r="S520" s="16">
        <v>16.0</v>
      </c>
      <c r="T520" s="16"/>
      <c r="U520" s="16" t="s">
        <v>2349</v>
      </c>
      <c r="V520" s="16" t="s">
        <v>2350</v>
      </c>
      <c r="W520" s="16" t="s">
        <v>443</v>
      </c>
    </row>
    <row r="521">
      <c r="A521" s="16">
        <v>11945.0</v>
      </c>
      <c r="B521" s="16" t="s">
        <v>2351</v>
      </c>
      <c r="C521" s="16">
        <v>0.11</v>
      </c>
      <c r="D521" s="174" t="s">
        <v>2352</v>
      </c>
      <c r="E521" s="16"/>
      <c r="F521" s="16">
        <v>541.0</v>
      </c>
      <c r="G521" s="16" t="s">
        <v>387</v>
      </c>
      <c r="H521" s="16" t="s">
        <v>25</v>
      </c>
      <c r="I521" s="16" t="s">
        <v>26</v>
      </c>
      <c r="J521" s="16"/>
      <c r="K521" s="16"/>
      <c r="L521" s="16"/>
      <c r="M521" s="16"/>
      <c r="N521" s="16"/>
      <c r="O521" s="16"/>
      <c r="P521" s="16"/>
      <c r="Q521" s="16"/>
      <c r="R521" s="16"/>
      <c r="S521" s="16">
        <v>5.0</v>
      </c>
      <c r="T521" s="16"/>
      <c r="U521" s="16" t="s">
        <v>2354</v>
      </c>
      <c r="V521" s="16" t="s">
        <v>2355</v>
      </c>
      <c r="W521" s="16" t="s">
        <v>360</v>
      </c>
    </row>
    <row r="522">
      <c r="A522" s="16">
        <v>11946.0</v>
      </c>
      <c r="B522" s="16" t="s">
        <v>2356</v>
      </c>
      <c r="C522" s="16">
        <v>0.56</v>
      </c>
      <c r="D522" s="174" t="s">
        <v>2357</v>
      </c>
      <c r="E522" s="16"/>
      <c r="F522" s="16">
        <v>504.0</v>
      </c>
      <c r="G522" s="16" t="s">
        <v>1465</v>
      </c>
      <c r="H522" s="16" t="s">
        <v>18</v>
      </c>
      <c r="I522" s="16"/>
      <c r="J522" s="16"/>
      <c r="K522" s="16"/>
      <c r="L522" s="16"/>
      <c r="M522" s="16"/>
      <c r="N522" s="16"/>
      <c r="O522" s="16"/>
      <c r="P522" s="16"/>
      <c r="Q522" s="16"/>
      <c r="R522" s="16"/>
      <c r="S522" s="16">
        <v>15.0</v>
      </c>
      <c r="T522" s="16"/>
      <c r="U522" s="16" t="s">
        <v>2358</v>
      </c>
      <c r="V522" s="16" t="s">
        <v>2359</v>
      </c>
      <c r="W522" s="16" t="s">
        <v>491</v>
      </c>
    </row>
    <row r="523">
      <c r="A523" s="16">
        <v>11947.0</v>
      </c>
      <c r="B523" s="16" t="s">
        <v>2360</v>
      </c>
      <c r="C523" s="16">
        <v>0.0</v>
      </c>
      <c r="D523" s="174" t="s">
        <v>2361</v>
      </c>
      <c r="E523" s="16"/>
      <c r="F523" s="16">
        <v>498.0</v>
      </c>
      <c r="G523" s="16" t="s">
        <v>176</v>
      </c>
      <c r="H523" s="16" t="s">
        <v>25</v>
      </c>
      <c r="I523" s="16" t="s">
        <v>26</v>
      </c>
      <c r="J523" s="16"/>
      <c r="K523" s="16"/>
      <c r="L523" s="16"/>
      <c r="M523" s="16"/>
      <c r="N523" s="16"/>
      <c r="O523" s="16"/>
      <c r="P523" s="16"/>
      <c r="Q523" s="16"/>
      <c r="R523" s="16"/>
      <c r="S523" s="16">
        <v>-2.0</v>
      </c>
      <c r="T523" s="16"/>
      <c r="U523" s="16" t="s">
        <v>2362</v>
      </c>
      <c r="V523" s="16" t="s">
        <v>2363</v>
      </c>
      <c r="W523" s="16" t="s">
        <v>259</v>
      </c>
    </row>
    <row r="524">
      <c r="A524" s="16">
        <v>11948.0</v>
      </c>
      <c r="B524" s="16" t="s">
        <v>2364</v>
      </c>
      <c r="C524" s="16">
        <v>0.96</v>
      </c>
      <c r="D524" s="174" t="s">
        <v>2365</v>
      </c>
      <c r="E524" s="16"/>
      <c r="F524" s="16">
        <v>507.0</v>
      </c>
      <c r="G524" s="16" t="s">
        <v>4748</v>
      </c>
      <c r="H524" s="16" t="s">
        <v>25</v>
      </c>
      <c r="I524" s="16"/>
      <c r="J524" s="16"/>
      <c r="K524" s="16"/>
      <c r="L524" s="16"/>
      <c r="M524" s="16"/>
      <c r="N524" s="16"/>
      <c r="O524" s="16"/>
      <c r="P524" s="16"/>
      <c r="Q524" s="16"/>
      <c r="R524" s="16"/>
      <c r="S524" s="16">
        <v>15.0</v>
      </c>
      <c r="T524" s="16"/>
      <c r="U524" s="16" t="s">
        <v>2366</v>
      </c>
      <c r="V524" s="16" t="s">
        <v>2367</v>
      </c>
      <c r="W524" s="16" t="s">
        <v>360</v>
      </c>
    </row>
    <row r="525">
      <c r="A525" s="16">
        <v>11949.0</v>
      </c>
      <c r="B525" s="16" t="s">
        <v>2368</v>
      </c>
      <c r="C525" s="16">
        <v>0.46</v>
      </c>
      <c r="D525" s="174" t="s">
        <v>2369</v>
      </c>
      <c r="E525" s="16"/>
      <c r="F525" s="16">
        <v>544.0</v>
      </c>
      <c r="G525" s="16" t="s">
        <v>272</v>
      </c>
      <c r="H525" s="16" t="s">
        <v>25</v>
      </c>
      <c r="I525" s="16" t="s">
        <v>26</v>
      </c>
      <c r="J525" s="16"/>
      <c r="K525" s="16"/>
      <c r="L525" s="16"/>
      <c r="M525" s="16"/>
      <c r="N525" s="16"/>
      <c r="O525" s="16"/>
      <c r="P525" s="16"/>
      <c r="Q525" s="16"/>
      <c r="R525" s="16"/>
      <c r="S525" s="16">
        <v>1.0</v>
      </c>
      <c r="T525" s="174" t="s">
        <v>4802</v>
      </c>
      <c r="U525" s="16" t="s">
        <v>2370</v>
      </c>
      <c r="V525" s="16" t="s">
        <v>2371</v>
      </c>
      <c r="W525" s="16" t="s">
        <v>600</v>
      </c>
    </row>
    <row r="526">
      <c r="A526" s="16">
        <v>11950.0</v>
      </c>
      <c r="B526" s="16" t="s">
        <v>2372</v>
      </c>
      <c r="C526" s="16">
        <v>0.73</v>
      </c>
      <c r="D526" s="174" t="s">
        <v>2373</v>
      </c>
      <c r="E526" s="16"/>
      <c r="F526" s="16">
        <v>525.0</v>
      </c>
      <c r="G526" s="16" t="s">
        <v>672</v>
      </c>
      <c r="H526" s="16" t="s">
        <v>25</v>
      </c>
      <c r="I526" s="16" t="s">
        <v>26</v>
      </c>
      <c r="J526" s="16"/>
      <c r="K526" s="16"/>
      <c r="L526" s="16"/>
      <c r="M526" s="16"/>
      <c r="N526" s="16"/>
      <c r="O526" s="16"/>
      <c r="P526" s="16"/>
      <c r="Q526" s="16"/>
      <c r="R526" s="16"/>
      <c r="S526" s="16">
        <v>10.0</v>
      </c>
      <c r="T526" s="16"/>
      <c r="U526" s="16" t="s">
        <v>2374</v>
      </c>
      <c r="V526" s="16" t="s">
        <v>2375</v>
      </c>
      <c r="W526" s="16" t="s">
        <v>179</v>
      </c>
    </row>
    <row r="527">
      <c r="A527" s="16">
        <v>11951.0</v>
      </c>
      <c r="B527" s="16" t="s">
        <v>2376</v>
      </c>
      <c r="C527" s="16">
        <v>2.35</v>
      </c>
      <c r="D527" s="174" t="s">
        <v>2377</v>
      </c>
      <c r="E527" s="16"/>
      <c r="F527" s="16">
        <v>507.0</v>
      </c>
      <c r="G527" s="16" t="s">
        <v>4748</v>
      </c>
      <c r="H527" s="16" t="s">
        <v>15</v>
      </c>
      <c r="I527" s="16" t="s">
        <v>14</v>
      </c>
      <c r="J527" s="16" t="s">
        <v>17</v>
      </c>
      <c r="K527" s="16"/>
      <c r="L527" s="16"/>
      <c r="M527" s="16"/>
      <c r="N527" s="16"/>
      <c r="O527" s="16"/>
      <c r="P527" s="16"/>
      <c r="Q527" s="16"/>
      <c r="R527" s="16"/>
      <c r="S527" s="16">
        <v>15.0</v>
      </c>
      <c r="T527" s="16"/>
      <c r="U527" s="16" t="s">
        <v>2378</v>
      </c>
      <c r="V527" s="16" t="s">
        <v>2379</v>
      </c>
      <c r="W527" s="16" t="s">
        <v>459</v>
      </c>
    </row>
    <row r="528">
      <c r="A528" s="16">
        <v>11952.0</v>
      </c>
      <c r="B528" s="16" t="s">
        <v>2380</v>
      </c>
      <c r="C528" s="16">
        <v>0.37</v>
      </c>
      <c r="D528" s="174" t="s">
        <v>2381</v>
      </c>
      <c r="E528" s="16"/>
      <c r="F528" s="16">
        <v>498.0</v>
      </c>
      <c r="G528" s="16" t="s">
        <v>176</v>
      </c>
      <c r="H528" s="16" t="s">
        <v>24</v>
      </c>
      <c r="I528" s="16" t="s">
        <v>25</v>
      </c>
      <c r="J528" s="16"/>
      <c r="K528" s="16"/>
      <c r="L528" s="16"/>
      <c r="M528" s="16"/>
      <c r="N528" s="16"/>
      <c r="O528" s="16"/>
      <c r="P528" s="16"/>
      <c r="Q528" s="16"/>
      <c r="R528" s="16"/>
      <c r="S528" s="16">
        <v>-2.0</v>
      </c>
      <c r="T528" s="16"/>
      <c r="U528" s="16" t="s">
        <v>2382</v>
      </c>
      <c r="V528" s="16" t="s">
        <v>2383</v>
      </c>
      <c r="W528" s="16" t="s">
        <v>722</v>
      </c>
    </row>
    <row r="529">
      <c r="A529" s="16">
        <v>11953.0</v>
      </c>
      <c r="B529" s="16" t="s">
        <v>2384</v>
      </c>
      <c r="C529" s="16">
        <v>0.21</v>
      </c>
      <c r="D529" s="174" t="s">
        <v>2385</v>
      </c>
      <c r="E529" s="16"/>
      <c r="F529" s="16">
        <v>529.0</v>
      </c>
      <c r="G529" s="16" t="s">
        <v>333</v>
      </c>
      <c r="H529" s="16" t="s">
        <v>13</v>
      </c>
      <c r="I529" s="16"/>
      <c r="J529" s="16"/>
      <c r="K529" s="16"/>
      <c r="L529" s="16"/>
      <c r="M529" s="16"/>
      <c r="N529" s="16"/>
      <c r="O529" s="16"/>
      <c r="P529" s="16"/>
      <c r="Q529" s="16"/>
      <c r="R529" s="16"/>
      <c r="S529" s="16">
        <v>15.0</v>
      </c>
      <c r="T529" s="16"/>
      <c r="U529" s="16" t="s">
        <v>2386</v>
      </c>
      <c r="V529" s="16" t="s">
        <v>2387</v>
      </c>
      <c r="W529" s="16" t="s">
        <v>491</v>
      </c>
    </row>
    <row r="530">
      <c r="A530" s="16">
        <v>11954.0</v>
      </c>
      <c r="B530" s="16" t="s">
        <v>2388</v>
      </c>
      <c r="C530" s="16">
        <v>0.85</v>
      </c>
      <c r="D530" s="174" t="s">
        <v>2389</v>
      </c>
      <c r="E530" s="16"/>
      <c r="F530" s="16">
        <v>535.0</v>
      </c>
      <c r="G530" s="16" t="s">
        <v>361</v>
      </c>
      <c r="H530" s="16" t="s">
        <v>13</v>
      </c>
      <c r="I530" s="16" t="s">
        <v>15</v>
      </c>
      <c r="J530" s="16" t="s">
        <v>14</v>
      </c>
      <c r="K530" s="16"/>
      <c r="L530" s="16"/>
      <c r="M530" s="16"/>
      <c r="N530" s="16"/>
      <c r="O530" s="16"/>
      <c r="P530" s="16"/>
      <c r="Q530" s="16"/>
      <c r="R530" s="16"/>
      <c r="S530" s="16">
        <v>14.0</v>
      </c>
      <c r="T530" s="16"/>
      <c r="U530" s="16" t="s">
        <v>2391</v>
      </c>
      <c r="V530" s="16" t="s">
        <v>2392</v>
      </c>
      <c r="W530" s="16" t="s">
        <v>360</v>
      </c>
    </row>
    <row r="531">
      <c r="A531" s="16">
        <v>11955.0</v>
      </c>
      <c r="B531" s="16" t="s">
        <v>2393</v>
      </c>
      <c r="C531" s="16">
        <v>0.65</v>
      </c>
      <c r="D531" s="174" t="s">
        <v>2394</v>
      </c>
      <c r="E531" s="16"/>
      <c r="F531" s="16">
        <v>498.0</v>
      </c>
      <c r="G531" s="16" t="s">
        <v>176</v>
      </c>
      <c r="H531" s="16" t="s">
        <v>12</v>
      </c>
      <c r="I531" s="16"/>
      <c r="J531" s="16"/>
      <c r="K531" s="16"/>
      <c r="L531" s="16"/>
      <c r="M531" s="16"/>
      <c r="N531" s="16"/>
      <c r="O531" s="16"/>
      <c r="P531" s="16"/>
      <c r="Q531" s="16"/>
      <c r="R531" s="16"/>
      <c r="S531" s="16">
        <v>-2.0</v>
      </c>
      <c r="T531" s="16"/>
      <c r="U531" s="16" t="s">
        <v>2395</v>
      </c>
      <c r="V531" s="16" t="s">
        <v>2396</v>
      </c>
      <c r="W531" s="16" t="s">
        <v>675</v>
      </c>
    </row>
    <row r="532">
      <c r="A532" s="16">
        <v>11956.0</v>
      </c>
      <c r="B532" s="16" t="s">
        <v>2397</v>
      </c>
      <c r="C532" s="16">
        <v>0.0</v>
      </c>
      <c r="D532" s="174" t="s">
        <v>2398</v>
      </c>
      <c r="E532" s="16"/>
      <c r="F532" s="16">
        <v>499.0</v>
      </c>
      <c r="G532" s="16" t="s">
        <v>126</v>
      </c>
      <c r="H532" s="16" t="s">
        <v>17</v>
      </c>
      <c r="I532" s="16" t="s">
        <v>18</v>
      </c>
      <c r="J532" s="16"/>
      <c r="K532" s="16"/>
      <c r="L532" s="16"/>
      <c r="M532" s="16"/>
      <c r="N532" s="16"/>
      <c r="O532" s="16"/>
      <c r="P532" s="16"/>
      <c r="Q532" s="16"/>
      <c r="R532" s="16" t="s">
        <v>181</v>
      </c>
      <c r="S532" s="16">
        <v>15.0</v>
      </c>
      <c r="T532" s="16"/>
      <c r="U532" s="16" t="s">
        <v>2399</v>
      </c>
      <c r="V532" s="16" t="s">
        <v>2400</v>
      </c>
      <c r="W532" s="16" t="s">
        <v>199</v>
      </c>
    </row>
    <row r="533">
      <c r="A533" s="16">
        <v>11957.0</v>
      </c>
      <c r="B533" s="16" t="s">
        <v>2401</v>
      </c>
      <c r="C533" s="16">
        <v>1.42</v>
      </c>
      <c r="D533" s="174" t="s">
        <v>2402</v>
      </c>
      <c r="E533" s="16"/>
      <c r="F533" s="16">
        <v>504.0</v>
      </c>
      <c r="G533" s="16" t="s">
        <v>1465</v>
      </c>
      <c r="H533" s="16" t="s">
        <v>13</v>
      </c>
      <c r="I533" s="16" t="s">
        <v>14</v>
      </c>
      <c r="J533" s="16" t="s">
        <v>15</v>
      </c>
      <c r="K533" s="16"/>
      <c r="L533" s="16"/>
      <c r="M533" s="16"/>
      <c r="N533" s="16"/>
      <c r="O533" s="16"/>
      <c r="P533" s="16"/>
      <c r="Q533" s="16"/>
      <c r="R533" s="16"/>
      <c r="S533" s="16">
        <v>15.0</v>
      </c>
      <c r="T533" s="16"/>
      <c r="U533" s="16" t="s">
        <v>2403</v>
      </c>
      <c r="V533" s="16" t="s">
        <v>2404</v>
      </c>
      <c r="W533" s="16" t="s">
        <v>1907</v>
      </c>
    </row>
    <row r="534">
      <c r="A534" s="16">
        <v>11958.0</v>
      </c>
      <c r="B534" s="16" t="s">
        <v>2405</v>
      </c>
      <c r="C534" s="16">
        <v>1.38</v>
      </c>
      <c r="D534" s="174" t="s">
        <v>2406</v>
      </c>
      <c r="E534" s="16"/>
      <c r="F534" s="16">
        <v>498.0</v>
      </c>
      <c r="G534" s="16" t="s">
        <v>176</v>
      </c>
      <c r="H534" s="16" t="s">
        <v>24</v>
      </c>
      <c r="I534" s="16" t="s">
        <v>25</v>
      </c>
      <c r="J534" s="16" t="s">
        <v>26</v>
      </c>
      <c r="K534" s="16"/>
      <c r="L534" s="16"/>
      <c r="M534" s="16"/>
      <c r="N534" s="16"/>
      <c r="O534" s="16"/>
      <c r="P534" s="16"/>
      <c r="Q534" s="16"/>
      <c r="R534" s="16"/>
      <c r="S534" s="16">
        <v>-2.0</v>
      </c>
      <c r="T534" s="16"/>
      <c r="U534" s="16" t="s">
        <v>2407</v>
      </c>
      <c r="V534" s="16" t="s">
        <v>2408</v>
      </c>
      <c r="W534" s="16" t="s">
        <v>491</v>
      </c>
    </row>
    <row r="535">
      <c r="A535" s="16">
        <v>11959.0</v>
      </c>
      <c r="B535" s="16" t="s">
        <v>2409</v>
      </c>
      <c r="C535" s="16">
        <v>0.0</v>
      </c>
      <c r="D535" s="174" t="s">
        <v>2410</v>
      </c>
      <c r="E535" s="16"/>
      <c r="F535" s="16">
        <v>498.0</v>
      </c>
      <c r="G535" s="16" t="s">
        <v>176</v>
      </c>
      <c r="H535" s="16" t="s">
        <v>25</v>
      </c>
      <c r="I535" s="16"/>
      <c r="J535" s="16"/>
      <c r="K535" s="16"/>
      <c r="L535" s="16"/>
      <c r="M535" s="16"/>
      <c r="N535" s="16"/>
      <c r="O535" s="16"/>
      <c r="P535" s="16"/>
      <c r="Q535" s="16"/>
      <c r="R535" s="16"/>
      <c r="S535" s="16">
        <v>-2.0</v>
      </c>
      <c r="T535" s="16"/>
      <c r="U535" s="16" t="s">
        <v>2411</v>
      </c>
      <c r="V535" s="16" t="s">
        <v>2412</v>
      </c>
      <c r="W535" s="16" t="s">
        <v>478</v>
      </c>
    </row>
    <row r="536">
      <c r="A536" s="16">
        <v>11960.0</v>
      </c>
      <c r="B536" s="16" t="s">
        <v>2413</v>
      </c>
      <c r="C536" s="16">
        <v>0.77</v>
      </c>
      <c r="D536" s="174" t="s">
        <v>2414</v>
      </c>
      <c r="E536" s="16"/>
      <c r="F536" s="16">
        <v>517.0</v>
      </c>
      <c r="G536" s="16" t="s">
        <v>277</v>
      </c>
      <c r="H536" s="16" t="s">
        <v>14</v>
      </c>
      <c r="I536" s="16"/>
      <c r="J536" s="16"/>
      <c r="K536" s="16"/>
      <c r="L536" s="16"/>
      <c r="M536" s="16"/>
      <c r="N536" s="16"/>
      <c r="O536" s="16"/>
      <c r="P536" s="16"/>
      <c r="Q536" s="16"/>
      <c r="R536" s="16"/>
      <c r="S536" s="16">
        <v>11.0</v>
      </c>
      <c r="T536" s="16"/>
      <c r="U536" s="16" t="s">
        <v>2415</v>
      </c>
      <c r="V536" s="16" t="s">
        <v>2416</v>
      </c>
      <c r="W536" s="16" t="s">
        <v>188</v>
      </c>
    </row>
    <row r="537">
      <c r="A537" s="16">
        <v>11961.0</v>
      </c>
      <c r="B537" s="16" t="s">
        <v>2417</v>
      </c>
      <c r="C537" s="16">
        <v>0.48</v>
      </c>
      <c r="D537" s="174" t="s">
        <v>2418</v>
      </c>
      <c r="E537" s="16"/>
      <c r="F537" s="16">
        <v>498.0</v>
      </c>
      <c r="G537" s="16" t="s">
        <v>176</v>
      </c>
      <c r="H537" s="16" t="s">
        <v>19</v>
      </c>
      <c r="I537" s="16" t="s">
        <v>18</v>
      </c>
      <c r="J537" s="16" t="s">
        <v>17</v>
      </c>
      <c r="K537" s="16"/>
      <c r="L537" s="16"/>
      <c r="M537" s="16"/>
      <c r="N537" s="16"/>
      <c r="O537" s="16"/>
      <c r="P537" s="16"/>
      <c r="Q537" s="16"/>
      <c r="R537" s="16"/>
      <c r="S537" s="16">
        <v>-2.0</v>
      </c>
      <c r="T537" s="16"/>
      <c r="U537" s="16" t="s">
        <v>2419</v>
      </c>
      <c r="V537" s="16" t="s">
        <v>2420</v>
      </c>
      <c r="W537" s="16" t="s">
        <v>661</v>
      </c>
    </row>
    <row r="538">
      <c r="A538" s="16">
        <v>11962.0</v>
      </c>
      <c r="B538" s="16" t="s">
        <v>2421</v>
      </c>
      <c r="C538" s="16">
        <v>0.0</v>
      </c>
      <c r="D538" s="174" t="s">
        <v>2422</v>
      </c>
      <c r="E538" s="16"/>
      <c r="F538" s="16">
        <v>498.0</v>
      </c>
      <c r="G538" s="16" t="s">
        <v>176</v>
      </c>
      <c r="H538" s="16" t="s">
        <v>17</v>
      </c>
      <c r="I538" s="16" t="s">
        <v>19</v>
      </c>
      <c r="J538" s="16" t="s">
        <v>18</v>
      </c>
      <c r="K538" s="16"/>
      <c r="L538" s="16"/>
      <c r="M538" s="16"/>
      <c r="N538" s="16"/>
      <c r="O538" s="16"/>
      <c r="P538" s="16"/>
      <c r="Q538" s="16"/>
      <c r="R538" s="16"/>
      <c r="S538" s="16">
        <v>-2.0</v>
      </c>
      <c r="T538" s="16"/>
      <c r="U538" s="16" t="s">
        <v>2423</v>
      </c>
      <c r="V538" s="16" t="s">
        <v>2424</v>
      </c>
      <c r="W538" s="16" t="s">
        <v>422</v>
      </c>
    </row>
    <row r="539">
      <c r="A539" s="16">
        <v>11963.0</v>
      </c>
      <c r="B539" s="16" t="s">
        <v>2425</v>
      </c>
      <c r="C539" s="16">
        <v>0.62</v>
      </c>
      <c r="D539" s="174" t="s">
        <v>2426</v>
      </c>
      <c r="E539" s="16"/>
      <c r="F539" s="16">
        <v>501.0</v>
      </c>
      <c r="G539" s="16" t="s">
        <v>371</v>
      </c>
      <c r="H539" s="16" t="s">
        <v>24</v>
      </c>
      <c r="I539" s="16" t="s">
        <v>25</v>
      </c>
      <c r="J539" s="16" t="s">
        <v>26</v>
      </c>
      <c r="K539" s="16"/>
      <c r="L539" s="16"/>
      <c r="M539" s="16"/>
      <c r="N539" s="16"/>
      <c r="O539" s="16"/>
      <c r="P539" s="16"/>
      <c r="Q539" s="16"/>
      <c r="R539" s="16"/>
      <c r="S539" s="16">
        <v>15.0</v>
      </c>
      <c r="T539" s="16"/>
      <c r="U539" s="16" t="s">
        <v>2427</v>
      </c>
      <c r="V539" s="16" t="s">
        <v>2428</v>
      </c>
      <c r="W539" s="16" t="s">
        <v>675</v>
      </c>
    </row>
    <row r="540">
      <c r="A540" s="16">
        <v>11964.0</v>
      </c>
      <c r="B540" s="16" t="s">
        <v>2429</v>
      </c>
      <c r="C540" s="16">
        <v>0.0</v>
      </c>
      <c r="D540" s="174" t="s">
        <v>2430</v>
      </c>
      <c r="E540" s="16"/>
      <c r="F540" s="16">
        <v>498.0</v>
      </c>
      <c r="G540" s="16" t="s">
        <v>176</v>
      </c>
      <c r="H540" s="16" t="s">
        <v>25</v>
      </c>
      <c r="I540" s="16" t="s">
        <v>26</v>
      </c>
      <c r="J540" s="16"/>
      <c r="K540" s="16"/>
      <c r="L540" s="16"/>
      <c r="M540" s="16"/>
      <c r="N540" s="16"/>
      <c r="O540" s="16"/>
      <c r="P540" s="16"/>
      <c r="Q540" s="16"/>
      <c r="R540" s="16"/>
      <c r="S540" s="16">
        <v>-2.0</v>
      </c>
      <c r="T540" s="16"/>
      <c r="U540" s="16" t="s">
        <v>2431</v>
      </c>
      <c r="V540" s="16" t="s">
        <v>2432</v>
      </c>
      <c r="W540" s="16" t="s">
        <v>422</v>
      </c>
    </row>
    <row r="541">
      <c r="A541" s="16">
        <v>11965.0</v>
      </c>
      <c r="B541" s="16" t="s">
        <v>2433</v>
      </c>
      <c r="C541" s="16">
        <v>0.0</v>
      </c>
      <c r="D541" s="174" t="s">
        <v>2434</v>
      </c>
      <c r="E541" s="16"/>
      <c r="F541" s="16">
        <v>498.0</v>
      </c>
      <c r="G541" s="16" t="s">
        <v>176</v>
      </c>
      <c r="H541" s="16" t="s">
        <v>24</v>
      </c>
      <c r="I541" s="16" t="s">
        <v>25</v>
      </c>
      <c r="J541" s="16" t="s">
        <v>26</v>
      </c>
      <c r="K541" s="16"/>
      <c r="L541" s="16"/>
      <c r="M541" s="16"/>
      <c r="N541" s="16"/>
      <c r="O541" s="16"/>
      <c r="P541" s="16"/>
      <c r="Q541" s="16"/>
      <c r="R541" s="16"/>
      <c r="S541" s="16">
        <v>-2.0</v>
      </c>
      <c r="T541" s="16"/>
      <c r="U541" s="16" t="s">
        <v>2435</v>
      </c>
      <c r="V541" s="16" t="s">
        <v>2436</v>
      </c>
      <c r="W541" s="16" t="s">
        <v>675</v>
      </c>
    </row>
    <row r="542">
      <c r="A542" s="16">
        <v>11966.0</v>
      </c>
      <c r="B542" s="16" t="s">
        <v>2437</v>
      </c>
      <c r="C542" s="16">
        <v>0.0</v>
      </c>
      <c r="D542" s="174" t="s">
        <v>2438</v>
      </c>
      <c r="E542" s="16"/>
      <c r="F542" s="16">
        <v>498.0</v>
      </c>
      <c r="G542" s="16" t="s">
        <v>176</v>
      </c>
      <c r="H542" s="16" t="s">
        <v>19</v>
      </c>
      <c r="I542" s="16"/>
      <c r="J542" s="16"/>
      <c r="K542" s="16"/>
      <c r="L542" s="16"/>
      <c r="M542" s="16"/>
      <c r="N542" s="16"/>
      <c r="O542" s="16"/>
      <c r="P542" s="16"/>
      <c r="Q542" s="16"/>
      <c r="R542" s="16"/>
      <c r="S542" s="16">
        <v>-2.0</v>
      </c>
      <c r="T542" s="16"/>
      <c r="U542" s="16" t="s">
        <v>2439</v>
      </c>
      <c r="V542" s="16" t="s">
        <v>2440</v>
      </c>
      <c r="W542" s="16" t="s">
        <v>332</v>
      </c>
    </row>
    <row r="543">
      <c r="A543" s="16">
        <v>11967.0</v>
      </c>
      <c r="B543" s="16" t="s">
        <v>2441</v>
      </c>
      <c r="C543" s="16">
        <v>0.0</v>
      </c>
      <c r="D543" s="174" t="s">
        <v>2442</v>
      </c>
      <c r="E543" s="16"/>
      <c r="F543" s="16">
        <v>498.0</v>
      </c>
      <c r="G543" s="16" t="s">
        <v>176</v>
      </c>
      <c r="H543" s="16" t="s">
        <v>25</v>
      </c>
      <c r="I543" s="16"/>
      <c r="J543" s="16"/>
      <c r="K543" s="16"/>
      <c r="L543" s="16"/>
      <c r="M543" s="16"/>
      <c r="N543" s="16"/>
      <c r="O543" s="16"/>
      <c r="P543" s="16"/>
      <c r="Q543" s="16"/>
      <c r="R543" s="16"/>
      <c r="S543" s="16">
        <v>-2.0</v>
      </c>
      <c r="T543" s="16"/>
      <c r="U543" s="16" t="s">
        <v>2443</v>
      </c>
      <c r="V543" s="16" t="s">
        <v>2444</v>
      </c>
      <c r="W543" s="16" t="s">
        <v>942</v>
      </c>
    </row>
    <row r="544">
      <c r="A544" s="16">
        <v>11968.0</v>
      </c>
      <c r="B544" s="16" t="s">
        <v>2445</v>
      </c>
      <c r="C544" s="16">
        <v>1.56</v>
      </c>
      <c r="D544" s="174" t="s">
        <v>2446</v>
      </c>
      <c r="E544" s="16"/>
      <c r="F544" s="16">
        <v>529.0</v>
      </c>
      <c r="G544" s="16" t="s">
        <v>333</v>
      </c>
      <c r="H544" s="16" t="s">
        <v>15</v>
      </c>
      <c r="I544" s="16" t="s">
        <v>14</v>
      </c>
      <c r="J544" s="16" t="s">
        <v>16</v>
      </c>
      <c r="K544" s="16"/>
      <c r="L544" s="16"/>
      <c r="M544" s="16"/>
      <c r="N544" s="16"/>
      <c r="O544" s="16"/>
      <c r="P544" s="16"/>
      <c r="Q544" s="16"/>
      <c r="R544" s="16"/>
      <c r="S544" s="16">
        <v>18.0</v>
      </c>
      <c r="T544" s="16"/>
      <c r="U544" s="16" t="s">
        <v>2447</v>
      </c>
      <c r="V544" s="16" t="s">
        <v>2448</v>
      </c>
      <c r="W544" s="16" t="s">
        <v>661</v>
      </c>
    </row>
    <row r="545">
      <c r="A545" s="16">
        <v>11969.0</v>
      </c>
      <c r="B545" s="16" t="s">
        <v>2449</v>
      </c>
      <c r="C545" s="16">
        <v>0.0</v>
      </c>
      <c r="D545" s="174" t="s">
        <v>2450</v>
      </c>
      <c r="E545" s="16"/>
      <c r="F545" s="16">
        <v>498.0</v>
      </c>
      <c r="G545" s="16" t="s">
        <v>176</v>
      </c>
      <c r="H545" s="16" t="s">
        <v>24</v>
      </c>
      <c r="I545" s="16"/>
      <c r="J545" s="16"/>
      <c r="K545" s="16"/>
      <c r="L545" s="16"/>
      <c r="M545" s="16"/>
      <c r="N545" s="16"/>
      <c r="O545" s="16"/>
      <c r="P545" s="16"/>
      <c r="Q545" s="16"/>
      <c r="R545" s="16"/>
      <c r="S545" s="16">
        <v>-2.0</v>
      </c>
      <c r="T545" s="16"/>
      <c r="U545" s="16" t="s">
        <v>2451</v>
      </c>
      <c r="V545" s="16" t="s">
        <v>2452</v>
      </c>
      <c r="W545" s="16" t="s">
        <v>496</v>
      </c>
    </row>
    <row r="546">
      <c r="A546" s="16">
        <v>11970.0</v>
      </c>
      <c r="B546" s="16" t="s">
        <v>2453</v>
      </c>
      <c r="C546" s="16">
        <v>1.15</v>
      </c>
      <c r="D546" s="174" t="s">
        <v>2454</v>
      </c>
      <c r="E546" s="16"/>
      <c r="F546" s="16">
        <v>538.0</v>
      </c>
      <c r="G546" s="16" t="s">
        <v>289</v>
      </c>
      <c r="H546" s="16" t="s">
        <v>25</v>
      </c>
      <c r="I546" s="16"/>
      <c r="J546" s="16"/>
      <c r="K546" s="16"/>
      <c r="L546" s="16"/>
      <c r="M546" s="16"/>
      <c r="N546" s="16"/>
      <c r="O546" s="16"/>
      <c r="P546" s="16"/>
      <c r="Q546" s="16"/>
      <c r="R546" s="16"/>
      <c r="S546" s="16">
        <v>1.0</v>
      </c>
      <c r="T546" s="16"/>
      <c r="U546" s="16" t="s">
        <v>2455</v>
      </c>
      <c r="V546" s="16" t="s">
        <v>2456</v>
      </c>
      <c r="W546" s="16" t="s">
        <v>179</v>
      </c>
    </row>
    <row r="547">
      <c r="A547" s="16">
        <v>11971.0</v>
      </c>
      <c r="B547" s="16" t="s">
        <v>2457</v>
      </c>
      <c r="C547" s="16">
        <v>0.82</v>
      </c>
      <c r="D547" s="174" t="s">
        <v>2458</v>
      </c>
      <c r="E547" s="16"/>
      <c r="F547" s="16">
        <v>498.0</v>
      </c>
      <c r="G547" s="16" t="s">
        <v>176</v>
      </c>
      <c r="H547" s="16" t="s">
        <v>25</v>
      </c>
      <c r="I547" s="16" t="s">
        <v>26</v>
      </c>
      <c r="J547" s="16"/>
      <c r="K547" s="16"/>
      <c r="L547" s="16"/>
      <c r="M547" s="16"/>
      <c r="N547" s="16"/>
      <c r="O547" s="16"/>
      <c r="P547" s="16"/>
      <c r="Q547" s="16"/>
      <c r="R547" s="16"/>
      <c r="S547" s="16">
        <v>-2.0</v>
      </c>
      <c r="T547" s="16"/>
      <c r="U547" s="16" t="s">
        <v>2459</v>
      </c>
      <c r="V547" s="16" t="s">
        <v>2460</v>
      </c>
      <c r="W547" s="16" t="s">
        <v>259</v>
      </c>
    </row>
    <row r="548">
      <c r="A548" s="16">
        <v>11972.0</v>
      </c>
      <c r="B548" s="16" t="s">
        <v>2461</v>
      </c>
      <c r="C548" s="16">
        <v>1.25</v>
      </c>
      <c r="D548" s="174" t="s">
        <v>2462</v>
      </c>
      <c r="E548" s="16"/>
      <c r="F548" s="16">
        <v>532.0</v>
      </c>
      <c r="G548" s="16" t="s">
        <v>346</v>
      </c>
      <c r="H548" s="16" t="s">
        <v>14</v>
      </c>
      <c r="I548" s="16" t="s">
        <v>16</v>
      </c>
      <c r="J548" s="16" t="s">
        <v>18</v>
      </c>
      <c r="K548" s="16"/>
      <c r="L548" s="16"/>
      <c r="M548" s="16"/>
      <c r="N548" s="16"/>
      <c r="O548" s="16"/>
      <c r="P548" s="16"/>
      <c r="Q548" s="16"/>
      <c r="R548" s="16"/>
      <c r="S548" s="16">
        <v>16.0</v>
      </c>
      <c r="T548" s="16"/>
      <c r="U548" s="16" t="s">
        <v>2463</v>
      </c>
      <c r="V548" s="16" t="s">
        <v>2464</v>
      </c>
      <c r="W548" s="16" t="s">
        <v>422</v>
      </c>
    </row>
    <row r="549">
      <c r="A549" s="16">
        <v>11973.0</v>
      </c>
      <c r="B549" s="16" t="s">
        <v>110</v>
      </c>
      <c r="C549" s="16">
        <v>0.8</v>
      </c>
      <c r="D549" s="174" t="s">
        <v>2465</v>
      </c>
      <c r="E549" s="16"/>
      <c r="F549" s="16">
        <v>498.0</v>
      </c>
      <c r="G549" s="16" t="s">
        <v>176</v>
      </c>
      <c r="H549" s="16" t="s">
        <v>14</v>
      </c>
      <c r="I549" s="16"/>
      <c r="J549" s="16"/>
      <c r="K549" s="16"/>
      <c r="L549" s="16"/>
      <c r="M549" s="16"/>
      <c r="N549" s="16"/>
      <c r="O549" s="16"/>
      <c r="P549" s="16"/>
      <c r="Q549" s="16"/>
      <c r="R549" s="16"/>
      <c r="S549" s="16">
        <v>-2.0</v>
      </c>
      <c r="T549" s="16"/>
      <c r="U549" s="16" t="s">
        <v>2466</v>
      </c>
      <c r="V549" s="16" t="s">
        <v>2467</v>
      </c>
      <c r="W549" s="16" t="s">
        <v>675</v>
      </c>
    </row>
    <row r="550">
      <c r="A550" s="16">
        <v>11974.0</v>
      </c>
      <c r="B550" s="16" t="s">
        <v>2468</v>
      </c>
      <c r="C550" s="16">
        <v>0.56</v>
      </c>
      <c r="D550" s="174" t="s">
        <v>2469</v>
      </c>
      <c r="E550" s="16"/>
      <c r="F550" s="16">
        <v>540.0</v>
      </c>
      <c r="G550" s="16" t="s">
        <v>1729</v>
      </c>
      <c r="H550" s="16" t="s">
        <v>19</v>
      </c>
      <c r="I550" s="16" t="s">
        <v>17</v>
      </c>
      <c r="J550" s="16"/>
      <c r="K550" s="16"/>
      <c r="L550" s="16"/>
      <c r="M550" s="16"/>
      <c r="N550" s="16"/>
      <c r="O550" s="16"/>
      <c r="P550" s="16"/>
      <c r="Q550" s="16"/>
      <c r="R550" s="16"/>
      <c r="S550" s="16">
        <v>17.0</v>
      </c>
      <c r="T550" s="16"/>
      <c r="U550" s="16" t="s">
        <v>2470</v>
      </c>
      <c r="V550" s="16" t="s">
        <v>2471</v>
      </c>
      <c r="W550" s="16" t="s">
        <v>443</v>
      </c>
    </row>
    <row r="551">
      <c r="A551" s="16">
        <v>11975.0</v>
      </c>
      <c r="B551" s="16" t="s">
        <v>2472</v>
      </c>
      <c r="C551" s="16">
        <v>0.75</v>
      </c>
      <c r="D551" s="174" t="s">
        <v>2473</v>
      </c>
      <c r="E551" s="16"/>
      <c r="F551" s="16">
        <v>541.0</v>
      </c>
      <c r="G551" s="16" t="s">
        <v>387</v>
      </c>
      <c r="H551" s="16" t="s">
        <v>25</v>
      </c>
      <c r="I551" s="16" t="s">
        <v>26</v>
      </c>
      <c r="J551" s="16"/>
      <c r="K551" s="16"/>
      <c r="L551" s="16"/>
      <c r="M551" s="16"/>
      <c r="N551" s="16"/>
      <c r="O551" s="16"/>
      <c r="P551" s="16"/>
      <c r="Q551" s="16"/>
      <c r="R551" s="16"/>
      <c r="S551" s="16">
        <v>14.0</v>
      </c>
      <c r="T551" s="16"/>
      <c r="U551" s="16" t="s">
        <v>2474</v>
      </c>
      <c r="V551" s="16" t="s">
        <v>2475</v>
      </c>
      <c r="W551" s="16" t="s">
        <v>422</v>
      </c>
    </row>
    <row r="552">
      <c r="A552" s="16">
        <v>11976.0</v>
      </c>
      <c r="B552" s="16" t="s">
        <v>2476</v>
      </c>
      <c r="C552" s="16">
        <v>0.0</v>
      </c>
      <c r="D552" s="174" t="s">
        <v>2477</v>
      </c>
      <c r="E552" s="16"/>
      <c r="F552" s="16">
        <v>498.0</v>
      </c>
      <c r="G552" s="16" t="s">
        <v>176</v>
      </c>
      <c r="H552" s="16" t="s">
        <v>13</v>
      </c>
      <c r="I552" s="16"/>
      <c r="J552" s="16"/>
      <c r="K552" s="16"/>
      <c r="L552" s="16"/>
      <c r="M552" s="16"/>
      <c r="N552" s="16"/>
      <c r="O552" s="16"/>
      <c r="P552" s="16"/>
      <c r="Q552" s="16"/>
      <c r="R552" s="16"/>
      <c r="S552" s="16">
        <v>-2.0</v>
      </c>
      <c r="T552" s="16"/>
      <c r="U552" s="16" t="s">
        <v>2478</v>
      </c>
      <c r="V552" s="16" t="s">
        <v>2479</v>
      </c>
      <c r="W552" s="16" t="s">
        <v>199</v>
      </c>
    </row>
    <row r="553">
      <c r="A553" s="16">
        <v>11977.0</v>
      </c>
      <c r="B553" s="16" t="s">
        <v>2480</v>
      </c>
      <c r="C553" s="16">
        <v>1.45</v>
      </c>
      <c r="D553" s="174" t="s">
        <v>2481</v>
      </c>
      <c r="E553" s="16"/>
      <c r="F553" s="16">
        <v>541.0</v>
      </c>
      <c r="G553" s="16" t="s">
        <v>387</v>
      </c>
      <c r="H553" s="16" t="s">
        <v>14</v>
      </c>
      <c r="I553" s="16"/>
      <c r="J553" s="16"/>
      <c r="K553" s="16"/>
      <c r="L553" s="16"/>
      <c r="M553" s="16"/>
      <c r="N553" s="16"/>
      <c r="O553" s="16"/>
      <c r="P553" s="16"/>
      <c r="Q553" s="16"/>
      <c r="R553" s="16"/>
      <c r="S553" s="16">
        <v>1.0</v>
      </c>
      <c r="T553" s="16"/>
      <c r="U553" s="16" t="s">
        <v>2482</v>
      </c>
      <c r="V553" s="16" t="s">
        <v>2483</v>
      </c>
      <c r="W553" s="16" t="s">
        <v>188</v>
      </c>
    </row>
    <row r="554">
      <c r="A554" s="16">
        <v>11978.0</v>
      </c>
      <c r="B554" s="16" t="s">
        <v>2484</v>
      </c>
      <c r="C554" s="16">
        <v>0.23</v>
      </c>
      <c r="D554" s="174" t="s">
        <v>2485</v>
      </c>
      <c r="E554" s="16"/>
      <c r="F554" s="16">
        <v>513.0</v>
      </c>
      <c r="G554" s="16" t="s">
        <v>1381</v>
      </c>
      <c r="H554" s="16" t="s">
        <v>25</v>
      </c>
      <c r="I554" s="16" t="s">
        <v>26</v>
      </c>
      <c r="J554" s="16"/>
      <c r="K554" s="16"/>
      <c r="L554" s="16"/>
      <c r="M554" s="16"/>
      <c r="N554" s="16"/>
      <c r="O554" s="16"/>
      <c r="P554" s="16"/>
      <c r="Q554" s="16"/>
      <c r="R554" s="16"/>
      <c r="S554" s="16">
        <v>1.0</v>
      </c>
      <c r="T554" s="16"/>
      <c r="U554" s="16" t="s">
        <v>2486</v>
      </c>
      <c r="V554" s="16" t="s">
        <v>2487</v>
      </c>
      <c r="W554" s="16" t="s">
        <v>179</v>
      </c>
    </row>
    <row r="555">
      <c r="A555" s="16">
        <v>11979.0</v>
      </c>
      <c r="B555" s="16" t="s">
        <v>2488</v>
      </c>
      <c r="C555" s="16">
        <v>0.0</v>
      </c>
      <c r="D555" s="174" t="s">
        <v>2489</v>
      </c>
      <c r="E555" s="16"/>
      <c r="F555" s="16">
        <v>537.0</v>
      </c>
      <c r="G555" s="16" t="s">
        <v>623</v>
      </c>
      <c r="H555" s="16" t="s">
        <v>17</v>
      </c>
      <c r="I555" s="16" t="s">
        <v>18</v>
      </c>
      <c r="J555" s="16" t="s">
        <v>19</v>
      </c>
      <c r="K555" s="16"/>
      <c r="L555" s="16"/>
      <c r="M555" s="16"/>
      <c r="N555" s="16"/>
      <c r="O555" s="16"/>
      <c r="P555" s="16"/>
      <c r="Q555" s="16"/>
      <c r="R555" s="16"/>
      <c r="S555" s="16">
        <v>15.0</v>
      </c>
      <c r="T555" s="16"/>
      <c r="U555" s="16" t="s">
        <v>2490</v>
      </c>
      <c r="V555" s="16" t="s">
        <v>2491</v>
      </c>
      <c r="W555" s="16" t="s">
        <v>332</v>
      </c>
    </row>
    <row r="556">
      <c r="A556" s="16">
        <v>11980.0</v>
      </c>
      <c r="B556" s="16" t="s">
        <v>2492</v>
      </c>
      <c r="C556" s="16">
        <v>1.03</v>
      </c>
      <c r="D556" s="174" t="s">
        <v>2493</v>
      </c>
      <c r="E556" s="16"/>
      <c r="F556" s="16">
        <v>529.0</v>
      </c>
      <c r="G556" s="16" t="s">
        <v>333</v>
      </c>
      <c r="H556" s="16" t="s">
        <v>24</v>
      </c>
      <c r="I556" s="16"/>
      <c r="J556" s="16"/>
      <c r="K556" s="16"/>
      <c r="L556" s="16"/>
      <c r="M556" s="16"/>
      <c r="N556" s="16"/>
      <c r="O556" s="16"/>
      <c r="P556" s="16"/>
      <c r="Q556" s="16"/>
      <c r="R556" s="16"/>
      <c r="S556" s="16">
        <v>17.0</v>
      </c>
      <c r="T556" s="16"/>
      <c r="U556" s="16" t="s">
        <v>2494</v>
      </c>
      <c r="V556" s="16" t="s">
        <v>2495</v>
      </c>
      <c r="W556" s="16" t="s">
        <v>231</v>
      </c>
    </row>
    <row r="557">
      <c r="A557" s="16">
        <v>11981.0</v>
      </c>
      <c r="B557" s="16" t="s">
        <v>2496</v>
      </c>
      <c r="C557" s="16">
        <v>2.23</v>
      </c>
      <c r="D557" s="174" t="s">
        <v>2497</v>
      </c>
      <c r="E557" s="16"/>
      <c r="F557" s="16">
        <v>514.0</v>
      </c>
      <c r="G557" s="16" t="s">
        <v>260</v>
      </c>
      <c r="H557" s="16" t="s">
        <v>24</v>
      </c>
      <c r="I557" s="16" t="s">
        <v>25</v>
      </c>
      <c r="J557" s="16" t="s">
        <v>26</v>
      </c>
      <c r="K557" s="16"/>
      <c r="L557" s="16"/>
      <c r="M557" s="16"/>
      <c r="N557" s="16"/>
      <c r="O557" s="16"/>
      <c r="P557" s="16"/>
      <c r="Q557" s="16"/>
      <c r="R557" s="16"/>
      <c r="S557" s="16">
        <v>1.0</v>
      </c>
      <c r="T557" s="16"/>
      <c r="U557" s="16" t="s">
        <v>2498</v>
      </c>
      <c r="V557" s="16" t="s">
        <v>2499</v>
      </c>
      <c r="W557" s="16" t="s">
        <v>360</v>
      </c>
    </row>
    <row r="558">
      <c r="A558" s="16">
        <v>11982.0</v>
      </c>
      <c r="B558" s="16" t="s">
        <v>2500</v>
      </c>
      <c r="C558" s="16">
        <v>0.96</v>
      </c>
      <c r="D558" s="174" t="s">
        <v>2501</v>
      </c>
      <c r="E558" s="16"/>
      <c r="F558" s="16">
        <v>520.0</v>
      </c>
      <c r="G558" s="16" t="s">
        <v>292</v>
      </c>
      <c r="H558" s="16" t="s">
        <v>16</v>
      </c>
      <c r="I558" s="16" t="s">
        <v>15</v>
      </c>
      <c r="J558" s="16" t="s">
        <v>14</v>
      </c>
      <c r="K558" s="16"/>
      <c r="L558" s="16"/>
      <c r="M558" s="16"/>
      <c r="N558" s="16"/>
      <c r="O558" s="16"/>
      <c r="P558" s="16"/>
      <c r="Q558" s="16"/>
      <c r="R558" s="16"/>
      <c r="S558" s="16">
        <v>17.0</v>
      </c>
      <c r="T558" s="16"/>
      <c r="U558" s="16" t="s">
        <v>2502</v>
      </c>
      <c r="V558" s="16" t="s">
        <v>2503</v>
      </c>
      <c r="W558" s="16" t="s">
        <v>443</v>
      </c>
    </row>
    <row r="559">
      <c r="A559" s="16">
        <v>11983.0</v>
      </c>
      <c r="B559" s="16" t="s">
        <v>2504</v>
      </c>
      <c r="C559" s="16">
        <v>0.0</v>
      </c>
      <c r="D559" s="174" t="s">
        <v>2505</v>
      </c>
      <c r="E559" s="16"/>
      <c r="F559" s="16">
        <v>498.0</v>
      </c>
      <c r="G559" s="16" t="s">
        <v>176</v>
      </c>
      <c r="H559" s="16" t="s">
        <v>14</v>
      </c>
      <c r="I559" s="16" t="s">
        <v>15</v>
      </c>
      <c r="J559" s="16" t="s">
        <v>17</v>
      </c>
      <c r="K559" s="16"/>
      <c r="L559" s="16"/>
      <c r="M559" s="16"/>
      <c r="N559" s="16"/>
      <c r="O559" s="16"/>
      <c r="P559" s="16"/>
      <c r="Q559" s="16"/>
      <c r="R559" s="16"/>
      <c r="S559" s="16">
        <v>-2.0</v>
      </c>
      <c r="T559" s="16"/>
      <c r="U559" s="16" t="s">
        <v>2506</v>
      </c>
      <c r="V559" s="16" t="s">
        <v>2507</v>
      </c>
      <c r="W559" s="16" t="s">
        <v>199</v>
      </c>
    </row>
    <row r="560">
      <c r="A560" s="16">
        <v>11984.0</v>
      </c>
      <c r="B560" s="16" t="s">
        <v>2508</v>
      </c>
      <c r="C560" s="16">
        <v>0.0</v>
      </c>
      <c r="D560" s="174" t="s">
        <v>2509</v>
      </c>
      <c r="E560" s="16"/>
      <c r="F560" s="16">
        <v>529.0</v>
      </c>
      <c r="G560" s="16" t="s">
        <v>333</v>
      </c>
      <c r="H560" s="16" t="s">
        <v>12</v>
      </c>
      <c r="I560" s="16" t="s">
        <v>15</v>
      </c>
      <c r="J560" s="16"/>
      <c r="K560" s="16"/>
      <c r="L560" s="16"/>
      <c r="M560" s="16"/>
      <c r="N560" s="16"/>
      <c r="O560" s="16"/>
      <c r="P560" s="16"/>
      <c r="Q560" s="16"/>
      <c r="R560" s="16"/>
      <c r="S560" s="16">
        <v>17.0</v>
      </c>
      <c r="T560" s="16"/>
      <c r="U560" s="16" t="s">
        <v>2510</v>
      </c>
      <c r="V560" s="16" t="s">
        <v>2511</v>
      </c>
      <c r="W560" s="16" t="s">
        <v>399</v>
      </c>
    </row>
    <row r="561">
      <c r="A561" s="16">
        <v>11985.0</v>
      </c>
      <c r="B561" s="16" t="s">
        <v>2512</v>
      </c>
      <c r="C561" s="16">
        <v>3.09</v>
      </c>
      <c r="D561" s="174" t="s">
        <v>2513</v>
      </c>
      <c r="E561" s="16"/>
      <c r="F561" s="16">
        <v>514.0</v>
      </c>
      <c r="G561" s="16" t="s">
        <v>260</v>
      </c>
      <c r="H561" s="16" t="s">
        <v>14</v>
      </c>
      <c r="I561" s="16" t="s">
        <v>15</v>
      </c>
      <c r="J561" s="16" t="s">
        <v>16</v>
      </c>
      <c r="K561" s="16"/>
      <c r="L561" s="16"/>
      <c r="M561" s="16"/>
      <c r="N561" s="16"/>
      <c r="O561" s="16"/>
      <c r="P561" s="16"/>
      <c r="Q561" s="16"/>
      <c r="R561" s="16"/>
      <c r="S561" s="16">
        <v>9.0</v>
      </c>
      <c r="T561" s="16"/>
      <c r="U561" s="16" t="s">
        <v>2514</v>
      </c>
      <c r="V561" s="16" t="s">
        <v>2515</v>
      </c>
      <c r="W561" s="16" t="s">
        <v>360</v>
      </c>
    </row>
    <row r="562">
      <c r="A562" s="16">
        <v>11986.0</v>
      </c>
      <c r="B562" s="16" t="s">
        <v>2516</v>
      </c>
      <c r="C562" s="16">
        <v>0.0</v>
      </c>
      <c r="D562" s="174" t="s">
        <v>2517</v>
      </c>
      <c r="E562" s="16"/>
      <c r="F562" s="16">
        <v>528.0</v>
      </c>
      <c r="G562" s="16" t="s">
        <v>1755</v>
      </c>
      <c r="H562" s="16" t="s">
        <v>25</v>
      </c>
      <c r="I562" s="16" t="s">
        <v>26</v>
      </c>
      <c r="J562" s="16"/>
      <c r="K562" s="16"/>
      <c r="L562" s="16"/>
      <c r="M562" s="16"/>
      <c r="N562" s="16"/>
      <c r="O562" s="16"/>
      <c r="P562" s="16"/>
      <c r="Q562" s="16"/>
      <c r="R562" s="16"/>
      <c r="S562" s="16">
        <v>15.0</v>
      </c>
      <c r="T562" s="16"/>
      <c r="U562" s="16" t="s">
        <v>2518</v>
      </c>
      <c r="V562" s="16" t="s">
        <v>2519</v>
      </c>
      <c r="W562" s="16" t="s">
        <v>491</v>
      </c>
    </row>
    <row r="563">
      <c r="A563" s="16">
        <v>11987.0</v>
      </c>
      <c r="B563" s="16" t="s">
        <v>2520</v>
      </c>
      <c r="C563" s="16">
        <v>1.15</v>
      </c>
      <c r="D563" s="174" t="s">
        <v>2521</v>
      </c>
      <c r="E563" s="16"/>
      <c r="F563" s="16">
        <v>520.0</v>
      </c>
      <c r="G563" s="16" t="s">
        <v>292</v>
      </c>
      <c r="H563" s="16" t="s">
        <v>15</v>
      </c>
      <c r="I563" s="16" t="s">
        <v>13</v>
      </c>
      <c r="J563" s="16" t="s">
        <v>16</v>
      </c>
      <c r="K563" s="16"/>
      <c r="L563" s="16"/>
      <c r="M563" s="16"/>
      <c r="N563" s="16"/>
      <c r="O563" s="16"/>
      <c r="P563" s="16"/>
      <c r="Q563" s="16"/>
      <c r="R563" s="16"/>
      <c r="S563" s="16">
        <v>13.0</v>
      </c>
      <c r="T563" s="16"/>
      <c r="U563" s="16" t="s">
        <v>2522</v>
      </c>
      <c r="V563" s="16" t="s">
        <v>2523</v>
      </c>
      <c r="W563" s="16" t="s">
        <v>675</v>
      </c>
    </row>
    <row r="564">
      <c r="A564" s="16">
        <v>11988.0</v>
      </c>
      <c r="B564" s="16" t="s">
        <v>2524</v>
      </c>
      <c r="C564" s="16">
        <v>1.1</v>
      </c>
      <c r="D564" s="174" t="s">
        <v>2525</v>
      </c>
      <c r="E564" s="16"/>
      <c r="F564" s="16">
        <v>498.0</v>
      </c>
      <c r="G564" s="16" t="s">
        <v>176</v>
      </c>
      <c r="H564" s="16" t="s">
        <v>24</v>
      </c>
      <c r="I564" s="16"/>
      <c r="J564" s="16"/>
      <c r="K564" s="16"/>
      <c r="L564" s="16"/>
      <c r="M564" s="16"/>
      <c r="N564" s="16"/>
      <c r="O564" s="16"/>
      <c r="P564" s="16"/>
      <c r="Q564" s="16"/>
      <c r="R564" s="16"/>
      <c r="S564" s="16">
        <v>-2.0</v>
      </c>
      <c r="T564" s="16"/>
      <c r="U564" s="16" t="s">
        <v>2526</v>
      </c>
      <c r="V564" s="16" t="s">
        <v>2527</v>
      </c>
      <c r="W564" s="16" t="s">
        <v>188</v>
      </c>
    </row>
    <row r="565">
      <c r="A565" s="16">
        <v>11989.0</v>
      </c>
      <c r="B565" s="16" t="s">
        <v>2528</v>
      </c>
      <c r="C565" s="16">
        <v>2.89</v>
      </c>
      <c r="D565" s="174" t="s">
        <v>2529</v>
      </c>
      <c r="E565" s="16"/>
      <c r="F565" s="16">
        <v>517.0</v>
      </c>
      <c r="G565" s="16" t="s">
        <v>277</v>
      </c>
      <c r="H565" s="16" t="s">
        <v>15</v>
      </c>
      <c r="I565" s="16"/>
      <c r="J565" s="16"/>
      <c r="K565" s="16"/>
      <c r="L565" s="16"/>
      <c r="M565" s="16"/>
      <c r="N565" s="16"/>
      <c r="O565" s="16"/>
      <c r="P565" s="16"/>
      <c r="Q565" s="16"/>
      <c r="R565" s="16"/>
      <c r="S565" s="16">
        <v>1.0</v>
      </c>
      <c r="T565" s="174" t="s">
        <v>4803</v>
      </c>
      <c r="U565" s="16" t="s">
        <v>2530</v>
      </c>
      <c r="V565" s="16" t="s">
        <v>2531</v>
      </c>
      <c r="W565" s="16" t="s">
        <v>188</v>
      </c>
    </row>
    <row r="566">
      <c r="A566" s="16">
        <v>11990.0</v>
      </c>
      <c r="B566" s="16" t="s">
        <v>2532</v>
      </c>
      <c r="C566" s="16">
        <v>0.47</v>
      </c>
      <c r="D566" s="174" t="s">
        <v>2533</v>
      </c>
      <c r="E566" s="16"/>
      <c r="F566" s="16">
        <v>498.0</v>
      </c>
      <c r="G566" s="16" t="s">
        <v>176</v>
      </c>
      <c r="H566" s="16" t="s">
        <v>25</v>
      </c>
      <c r="I566" s="16" t="s">
        <v>26</v>
      </c>
      <c r="J566" s="16"/>
      <c r="K566" s="16"/>
      <c r="L566" s="16"/>
      <c r="M566" s="16"/>
      <c r="N566" s="16"/>
      <c r="O566" s="16"/>
      <c r="P566" s="16"/>
      <c r="Q566" s="16"/>
      <c r="R566" s="16"/>
      <c r="S566" s="16">
        <v>-2.0</v>
      </c>
      <c r="T566" s="16"/>
      <c r="U566" s="16" t="s">
        <v>2534</v>
      </c>
      <c r="V566" s="16" t="s">
        <v>2535</v>
      </c>
      <c r="W566" s="16" t="s">
        <v>360</v>
      </c>
    </row>
    <row r="567">
      <c r="A567" s="16">
        <v>11991.0</v>
      </c>
      <c r="B567" s="16" t="s">
        <v>2536</v>
      </c>
      <c r="C567" s="16">
        <v>1.17</v>
      </c>
      <c r="D567" s="174" t="s">
        <v>2537</v>
      </c>
      <c r="E567" s="16"/>
      <c r="F567" s="16">
        <v>507.0</v>
      </c>
      <c r="G567" s="16" t="s">
        <v>4748</v>
      </c>
      <c r="H567" s="16" t="s">
        <v>18</v>
      </c>
      <c r="I567" s="16" t="s">
        <v>13</v>
      </c>
      <c r="J567" s="16"/>
      <c r="K567" s="16"/>
      <c r="L567" s="16"/>
      <c r="M567" s="16"/>
      <c r="N567" s="16"/>
      <c r="O567" s="16"/>
      <c r="P567" s="16"/>
      <c r="Q567" s="16"/>
      <c r="R567" s="16"/>
      <c r="S567" s="16">
        <v>15.0</v>
      </c>
      <c r="T567" s="16"/>
      <c r="U567" s="16" t="s">
        <v>2538</v>
      </c>
      <c r="V567" s="16" t="s">
        <v>2539</v>
      </c>
      <c r="W567" s="16" t="s">
        <v>491</v>
      </c>
    </row>
    <row r="568">
      <c r="A568" s="16">
        <v>11992.0</v>
      </c>
      <c r="B568" s="16" t="s">
        <v>2540</v>
      </c>
      <c r="C568" s="16">
        <v>1.39</v>
      </c>
      <c r="D568" s="174" t="s">
        <v>2541</v>
      </c>
      <c r="E568" s="16"/>
      <c r="F568" s="16">
        <v>528.0</v>
      </c>
      <c r="G568" s="16" t="s">
        <v>1755</v>
      </c>
      <c r="H568" s="16" t="s">
        <v>24</v>
      </c>
      <c r="I568" s="16" t="s">
        <v>25</v>
      </c>
      <c r="J568" s="16"/>
      <c r="K568" s="16"/>
      <c r="L568" s="16"/>
      <c r="M568" s="16"/>
      <c r="N568" s="16"/>
      <c r="O568" s="16"/>
      <c r="P568" s="16"/>
      <c r="Q568" s="16"/>
      <c r="R568" s="16"/>
      <c r="S568" s="16">
        <v>19.0</v>
      </c>
      <c r="T568" s="16"/>
      <c r="U568" s="16" t="s">
        <v>2542</v>
      </c>
      <c r="V568" s="16" t="s">
        <v>2543</v>
      </c>
      <c r="W568" s="16" t="s">
        <v>722</v>
      </c>
    </row>
    <row r="569">
      <c r="A569" s="16">
        <v>11993.0</v>
      </c>
      <c r="B569" s="16" t="s">
        <v>2544</v>
      </c>
      <c r="C569" s="16">
        <v>0.0</v>
      </c>
      <c r="D569" s="174" t="s">
        <v>2545</v>
      </c>
      <c r="E569" s="16"/>
      <c r="F569" s="16">
        <v>498.0</v>
      </c>
      <c r="G569" s="16" t="s">
        <v>176</v>
      </c>
      <c r="H569" s="16" t="s">
        <v>24</v>
      </c>
      <c r="I569" s="16" t="s">
        <v>25</v>
      </c>
      <c r="J569" s="16" t="s">
        <v>26</v>
      </c>
      <c r="K569" s="16"/>
      <c r="L569" s="16"/>
      <c r="M569" s="16"/>
      <c r="N569" s="16"/>
      <c r="O569" s="16"/>
      <c r="P569" s="16"/>
      <c r="Q569" s="16"/>
      <c r="R569" s="16"/>
      <c r="S569" s="16">
        <v>-2.0</v>
      </c>
      <c r="T569" s="16"/>
      <c r="U569" s="16" t="s">
        <v>2546</v>
      </c>
      <c r="V569" s="16" t="s">
        <v>2547</v>
      </c>
      <c r="W569" s="16" t="s">
        <v>332</v>
      </c>
    </row>
    <row r="570">
      <c r="A570" s="16">
        <v>11994.0</v>
      </c>
      <c r="B570" s="16" t="s">
        <v>2548</v>
      </c>
      <c r="C570" s="16">
        <v>0.35</v>
      </c>
      <c r="D570" s="174" t="s">
        <v>2549</v>
      </c>
      <c r="E570" s="16"/>
      <c r="F570" s="16">
        <v>498.0</v>
      </c>
      <c r="G570" s="16" t="s">
        <v>176</v>
      </c>
      <c r="H570" s="16" t="s">
        <v>15</v>
      </c>
      <c r="I570" s="16" t="s">
        <v>14</v>
      </c>
      <c r="J570" s="16"/>
      <c r="K570" s="16"/>
      <c r="L570" s="16"/>
      <c r="M570" s="16"/>
      <c r="N570" s="16"/>
      <c r="O570" s="16"/>
      <c r="P570" s="16"/>
      <c r="Q570" s="16"/>
      <c r="R570" s="16"/>
      <c r="S570" s="16">
        <v>-2.0</v>
      </c>
      <c r="T570" s="16"/>
      <c r="U570" s="16" t="s">
        <v>2550</v>
      </c>
      <c r="V570" s="16" t="s">
        <v>2551</v>
      </c>
      <c r="W570" s="16" t="s">
        <v>199</v>
      </c>
    </row>
    <row r="571">
      <c r="A571" s="16">
        <v>11995.0</v>
      </c>
      <c r="B571" s="16" t="s">
        <v>2552</v>
      </c>
      <c r="C571" s="16">
        <v>0.74</v>
      </c>
      <c r="D571" s="174" t="s">
        <v>2553</v>
      </c>
      <c r="E571" s="16"/>
      <c r="F571" s="16">
        <v>543.0</v>
      </c>
      <c r="G571" s="16" t="s">
        <v>1175</v>
      </c>
      <c r="H571" s="16" t="s">
        <v>12</v>
      </c>
      <c r="I571" s="16"/>
      <c r="J571" s="16"/>
      <c r="K571" s="16"/>
      <c r="L571" s="16"/>
      <c r="M571" s="16"/>
      <c r="N571" s="16"/>
      <c r="O571" s="16"/>
      <c r="P571" s="16"/>
      <c r="Q571" s="16"/>
      <c r="R571" s="16"/>
      <c r="S571" s="16">
        <v>15.0</v>
      </c>
      <c r="T571" s="16"/>
      <c r="U571" s="16" t="s">
        <v>2554</v>
      </c>
      <c r="V571" s="16" t="s">
        <v>2555</v>
      </c>
      <c r="W571" s="16" t="s">
        <v>634</v>
      </c>
    </row>
    <row r="572">
      <c r="A572" s="16">
        <v>11996.0</v>
      </c>
      <c r="B572" s="16" t="s">
        <v>2556</v>
      </c>
      <c r="C572" s="16">
        <v>0.41</v>
      </c>
      <c r="D572" s="174" t="s">
        <v>2557</v>
      </c>
      <c r="E572" s="16"/>
      <c r="F572" s="16">
        <v>498.0</v>
      </c>
      <c r="G572" s="16" t="s">
        <v>176</v>
      </c>
      <c r="H572" s="16" t="s">
        <v>24</v>
      </c>
      <c r="I572" s="16" t="s">
        <v>25</v>
      </c>
      <c r="J572" s="16" t="s">
        <v>26</v>
      </c>
      <c r="K572" s="16"/>
      <c r="L572" s="16"/>
      <c r="M572" s="16"/>
      <c r="N572" s="16"/>
      <c r="O572" s="16"/>
      <c r="P572" s="16"/>
      <c r="Q572" s="16"/>
      <c r="R572" s="16"/>
      <c r="S572" s="16">
        <v>15.0</v>
      </c>
      <c r="T572" s="16"/>
      <c r="U572" s="16" t="s">
        <v>2558</v>
      </c>
      <c r="V572" s="16" t="s">
        <v>2559</v>
      </c>
      <c r="W572" s="16" t="s">
        <v>675</v>
      </c>
    </row>
    <row r="573">
      <c r="A573" s="16">
        <v>11997.0</v>
      </c>
      <c r="B573" s="16" t="s">
        <v>2560</v>
      </c>
      <c r="C573" s="16">
        <v>0.0</v>
      </c>
      <c r="D573" s="174" t="s">
        <v>2561</v>
      </c>
      <c r="E573" s="16"/>
      <c r="F573" s="16">
        <v>498.0</v>
      </c>
      <c r="G573" s="16" t="s">
        <v>176</v>
      </c>
      <c r="H573" s="16" t="s">
        <v>13</v>
      </c>
      <c r="I573" s="16"/>
      <c r="J573" s="16"/>
      <c r="K573" s="16"/>
      <c r="L573" s="16"/>
      <c r="M573" s="16"/>
      <c r="N573" s="16"/>
      <c r="O573" s="16"/>
      <c r="P573" s="16"/>
      <c r="Q573" s="16"/>
      <c r="R573" s="16"/>
      <c r="S573" s="16">
        <v>-2.0</v>
      </c>
      <c r="T573" s="16"/>
      <c r="U573" s="16" t="s">
        <v>2562</v>
      </c>
      <c r="V573" s="16" t="s">
        <v>2563</v>
      </c>
      <c r="W573" s="16" t="s">
        <v>443</v>
      </c>
    </row>
    <row r="574">
      <c r="A574" s="16">
        <v>11998.0</v>
      </c>
      <c r="B574" s="16" t="s">
        <v>2564</v>
      </c>
      <c r="C574" s="16">
        <v>0.0</v>
      </c>
      <c r="D574" s="174" t="s">
        <v>2565</v>
      </c>
      <c r="E574" s="16"/>
      <c r="F574" s="16">
        <v>531.0</v>
      </c>
      <c r="G574" s="16" t="s">
        <v>3232</v>
      </c>
      <c r="H574" s="16" t="s">
        <v>24</v>
      </c>
      <c r="I574" s="16" t="s">
        <v>25</v>
      </c>
      <c r="J574" s="16" t="s">
        <v>26</v>
      </c>
      <c r="K574" s="16"/>
      <c r="L574" s="16"/>
      <c r="M574" s="16"/>
      <c r="N574" s="16"/>
      <c r="O574" s="16"/>
      <c r="P574" s="16"/>
      <c r="Q574" s="16"/>
      <c r="R574" s="16"/>
      <c r="S574" s="16">
        <v>19.0</v>
      </c>
      <c r="T574" s="16"/>
      <c r="U574" s="16" t="s">
        <v>2566</v>
      </c>
      <c r="V574" s="16" t="s">
        <v>2567</v>
      </c>
      <c r="W574" s="16" t="s">
        <v>199</v>
      </c>
    </row>
    <row r="575">
      <c r="A575" s="16">
        <v>11999.0</v>
      </c>
      <c r="B575" s="16" t="s">
        <v>2568</v>
      </c>
      <c r="C575" s="16">
        <v>0.41</v>
      </c>
      <c r="D575" s="174" t="s">
        <v>2569</v>
      </c>
      <c r="E575" s="16"/>
      <c r="F575" s="16">
        <v>517.0</v>
      </c>
      <c r="G575" s="16" t="s">
        <v>277</v>
      </c>
      <c r="H575" s="16" t="s">
        <v>25</v>
      </c>
      <c r="I575" s="16" t="s">
        <v>26</v>
      </c>
      <c r="J575" s="16"/>
      <c r="K575" s="16"/>
      <c r="L575" s="16"/>
      <c r="M575" s="16"/>
      <c r="N575" s="16"/>
      <c r="O575" s="16"/>
      <c r="P575" s="16"/>
      <c r="Q575" s="16"/>
      <c r="R575" s="16"/>
      <c r="S575" s="16">
        <v>11.0</v>
      </c>
      <c r="T575" s="174" t="s">
        <v>4804</v>
      </c>
      <c r="U575" s="16" t="s">
        <v>2570</v>
      </c>
      <c r="V575" s="16" t="s">
        <v>2571</v>
      </c>
      <c r="W575" s="16" t="s">
        <v>231</v>
      </c>
    </row>
    <row r="576">
      <c r="A576" s="16">
        <v>12000.0</v>
      </c>
      <c r="B576" s="16" t="s">
        <v>2572</v>
      </c>
      <c r="C576" s="16">
        <v>0.93</v>
      </c>
      <c r="D576" s="174" t="s">
        <v>2573</v>
      </c>
      <c r="E576" s="16"/>
      <c r="F576" s="16">
        <v>498.0</v>
      </c>
      <c r="G576" s="16" t="s">
        <v>176</v>
      </c>
      <c r="H576" s="16" t="s">
        <v>15</v>
      </c>
      <c r="I576" s="16"/>
      <c r="J576" s="16"/>
      <c r="K576" s="16"/>
      <c r="L576" s="16"/>
      <c r="M576" s="16"/>
      <c r="N576" s="16"/>
      <c r="O576" s="16"/>
      <c r="P576" s="16"/>
      <c r="Q576" s="16"/>
      <c r="R576" s="16"/>
      <c r="S576" s="16">
        <v>12.0</v>
      </c>
      <c r="T576" s="16"/>
      <c r="U576" s="16" t="s">
        <v>2574</v>
      </c>
      <c r="V576" s="16" t="s">
        <v>2575</v>
      </c>
      <c r="W576" s="16" t="s">
        <v>591</v>
      </c>
    </row>
    <row r="577">
      <c r="A577" s="16">
        <v>12001.0</v>
      </c>
      <c r="B577" s="16" t="s">
        <v>2576</v>
      </c>
      <c r="C577" s="16">
        <v>0.52</v>
      </c>
      <c r="D577" s="174" t="s">
        <v>2577</v>
      </c>
      <c r="E577" s="16"/>
      <c r="F577" s="16">
        <v>525.0</v>
      </c>
      <c r="G577" s="16" t="s">
        <v>672</v>
      </c>
      <c r="H577" s="16" t="s">
        <v>19</v>
      </c>
      <c r="I577" s="16" t="s">
        <v>17</v>
      </c>
      <c r="J577" s="16" t="s">
        <v>18</v>
      </c>
      <c r="K577" s="16"/>
      <c r="L577" s="16"/>
      <c r="M577" s="16"/>
      <c r="N577" s="16"/>
      <c r="O577" s="16"/>
      <c r="P577" s="16"/>
      <c r="Q577" s="16"/>
      <c r="R577" s="16"/>
      <c r="S577" s="16">
        <v>15.0</v>
      </c>
      <c r="T577" s="16"/>
      <c r="U577" s="16" t="s">
        <v>2578</v>
      </c>
      <c r="V577" s="16" t="s">
        <v>2579</v>
      </c>
      <c r="W577" s="16" t="s">
        <v>616</v>
      </c>
    </row>
    <row r="578">
      <c r="A578" s="16">
        <v>12002.0</v>
      </c>
      <c r="B578" s="16" t="s">
        <v>2580</v>
      </c>
      <c r="C578" s="16">
        <v>0.69</v>
      </c>
      <c r="D578" s="174" t="s">
        <v>2581</v>
      </c>
      <c r="E578" s="16"/>
      <c r="F578" s="16">
        <v>526.0</v>
      </c>
      <c r="G578" s="16" t="s">
        <v>212</v>
      </c>
      <c r="H578" s="16" t="s">
        <v>13</v>
      </c>
      <c r="I578" s="16"/>
      <c r="J578" s="16"/>
      <c r="K578" s="16"/>
      <c r="L578" s="16"/>
      <c r="M578" s="16"/>
      <c r="N578" s="16"/>
      <c r="O578" s="16"/>
      <c r="P578" s="16"/>
      <c r="Q578" s="16"/>
      <c r="R578" s="16" t="s">
        <v>4758</v>
      </c>
      <c r="S578" s="16">
        <v>11.0</v>
      </c>
      <c r="T578" s="174" t="s">
        <v>4747</v>
      </c>
      <c r="U578" s="16" t="s">
        <v>2582</v>
      </c>
      <c r="V578" s="16" t="s">
        <v>2583</v>
      </c>
      <c r="W578" s="16" t="s">
        <v>188</v>
      </c>
    </row>
    <row r="579">
      <c r="A579" s="16">
        <v>12003.0</v>
      </c>
      <c r="B579" s="16" t="s">
        <v>2584</v>
      </c>
      <c r="C579" s="16">
        <v>0.0</v>
      </c>
      <c r="D579" s="174" t="s">
        <v>2585</v>
      </c>
      <c r="E579" s="16"/>
      <c r="F579" s="16">
        <v>535.0</v>
      </c>
      <c r="G579" s="16" t="s">
        <v>361</v>
      </c>
      <c r="H579" s="16" t="s">
        <v>19</v>
      </c>
      <c r="I579" s="16" t="s">
        <v>17</v>
      </c>
      <c r="J579" s="16" t="s">
        <v>18</v>
      </c>
      <c r="K579" s="16"/>
      <c r="L579" s="16"/>
      <c r="M579" s="16"/>
      <c r="N579" s="16"/>
      <c r="O579" s="16"/>
      <c r="P579" s="16"/>
      <c r="Q579" s="16"/>
      <c r="R579" s="16" t="s">
        <v>181</v>
      </c>
      <c r="S579" s="16">
        <v>17.0</v>
      </c>
      <c r="T579" s="16"/>
      <c r="U579" s="16" t="s">
        <v>2586</v>
      </c>
      <c r="V579" s="16" t="s">
        <v>2587</v>
      </c>
      <c r="W579" s="16" t="s">
        <v>399</v>
      </c>
    </row>
    <row r="580">
      <c r="A580" s="16">
        <v>12004.0</v>
      </c>
      <c r="B580" s="16" t="s">
        <v>2588</v>
      </c>
      <c r="C580" s="16">
        <v>1.34</v>
      </c>
      <c r="D580" s="174" t="s">
        <v>2589</v>
      </c>
      <c r="E580" s="16"/>
      <c r="F580" s="16">
        <v>543.0</v>
      </c>
      <c r="G580" s="16" t="s">
        <v>1175</v>
      </c>
      <c r="H580" s="16" t="s">
        <v>15</v>
      </c>
      <c r="I580" s="16" t="s">
        <v>14</v>
      </c>
      <c r="J580" s="16" t="s">
        <v>17</v>
      </c>
      <c r="K580" s="16" t="s">
        <v>13</v>
      </c>
      <c r="L580" s="16"/>
      <c r="M580" s="16"/>
      <c r="N580" s="16"/>
      <c r="O580" s="16"/>
      <c r="P580" s="16"/>
      <c r="Q580" s="16"/>
      <c r="R580" s="16"/>
      <c r="S580" s="16">
        <v>15.0</v>
      </c>
      <c r="T580" s="16"/>
      <c r="U580" s="16" t="s">
        <v>2590</v>
      </c>
      <c r="V580" s="16" t="s">
        <v>2591</v>
      </c>
      <c r="W580" s="16" t="s">
        <v>443</v>
      </c>
    </row>
    <row r="581">
      <c r="A581" s="16">
        <v>12005.0</v>
      </c>
      <c r="B581" s="16" t="s">
        <v>2592</v>
      </c>
      <c r="C581" s="16">
        <v>1.57</v>
      </c>
      <c r="D581" s="174" t="s">
        <v>2593</v>
      </c>
      <c r="E581" s="16"/>
      <c r="F581" s="16">
        <v>541.0</v>
      </c>
      <c r="G581" s="16" t="s">
        <v>387</v>
      </c>
      <c r="H581" s="16" t="s">
        <v>15</v>
      </c>
      <c r="I581" s="16" t="s">
        <v>16</v>
      </c>
      <c r="J581" s="16" t="s">
        <v>17</v>
      </c>
      <c r="K581" s="16" t="s">
        <v>19</v>
      </c>
      <c r="L581" s="16" t="s">
        <v>14</v>
      </c>
      <c r="M581" s="16"/>
      <c r="N581" s="16"/>
      <c r="O581" s="16"/>
      <c r="P581" s="16"/>
      <c r="Q581" s="16"/>
      <c r="R581" s="16"/>
      <c r="S581" s="16">
        <v>1.0</v>
      </c>
      <c r="T581" s="16"/>
      <c r="U581" s="16" t="s">
        <v>2594</v>
      </c>
      <c r="V581" s="16" t="s">
        <v>2595</v>
      </c>
      <c r="W581" s="16" t="s">
        <v>188</v>
      </c>
    </row>
    <row r="582">
      <c r="A582" s="16">
        <v>12006.0</v>
      </c>
      <c r="B582" s="16" t="s">
        <v>2596</v>
      </c>
      <c r="C582" s="16">
        <v>0.39</v>
      </c>
      <c r="D582" s="174" t="s">
        <v>2597</v>
      </c>
      <c r="E582" s="16"/>
      <c r="F582" s="16">
        <v>517.0</v>
      </c>
      <c r="G582" s="16" t="s">
        <v>277</v>
      </c>
      <c r="H582" s="16" t="s">
        <v>25</v>
      </c>
      <c r="I582" s="16"/>
      <c r="J582" s="16"/>
      <c r="K582" s="16"/>
      <c r="L582" s="16"/>
      <c r="M582" s="16"/>
      <c r="N582" s="16"/>
      <c r="O582" s="16"/>
      <c r="P582" s="16"/>
      <c r="Q582" s="16"/>
      <c r="R582" s="16"/>
      <c r="S582" s="16">
        <v>11.0</v>
      </c>
      <c r="T582" s="16"/>
      <c r="U582" s="16" t="s">
        <v>2599</v>
      </c>
      <c r="V582" s="16" t="s">
        <v>2600</v>
      </c>
      <c r="W582" s="16" t="s">
        <v>399</v>
      </c>
    </row>
    <row r="583">
      <c r="A583" s="16">
        <v>12007.0</v>
      </c>
      <c r="B583" s="16" t="s">
        <v>2601</v>
      </c>
      <c r="C583" s="16">
        <v>0.38</v>
      </c>
      <c r="D583" s="174" t="s">
        <v>2602</v>
      </c>
      <c r="E583" s="16"/>
      <c r="F583" s="16">
        <v>498.0</v>
      </c>
      <c r="G583" s="16" t="s">
        <v>176</v>
      </c>
      <c r="H583" s="16" t="s">
        <v>24</v>
      </c>
      <c r="I583" s="16" t="s">
        <v>25</v>
      </c>
      <c r="J583" s="16" t="s">
        <v>26</v>
      </c>
      <c r="K583" s="16"/>
      <c r="L583" s="16"/>
      <c r="M583" s="16"/>
      <c r="N583" s="16"/>
      <c r="O583" s="16"/>
      <c r="P583" s="16"/>
      <c r="Q583" s="16"/>
      <c r="R583" s="16"/>
      <c r="S583" s="16">
        <v>-2.0</v>
      </c>
      <c r="T583" s="16"/>
      <c r="U583" s="16" t="s">
        <v>2603</v>
      </c>
      <c r="V583" s="16" t="s">
        <v>2604</v>
      </c>
      <c r="W583" s="16" t="s">
        <v>360</v>
      </c>
    </row>
    <row r="584">
      <c r="A584" s="16">
        <v>12008.0</v>
      </c>
      <c r="B584" s="16" t="s">
        <v>2605</v>
      </c>
      <c r="C584" s="16">
        <v>1.74</v>
      </c>
      <c r="D584" s="174" t="s">
        <v>2606</v>
      </c>
      <c r="E584" s="16"/>
      <c r="F584" s="16">
        <v>531.0</v>
      </c>
      <c r="G584" s="16" t="s">
        <v>3232</v>
      </c>
      <c r="H584" s="16" t="s">
        <v>16</v>
      </c>
      <c r="I584" s="16"/>
      <c r="J584" s="16"/>
      <c r="K584" s="16"/>
      <c r="L584" s="16"/>
      <c r="M584" s="16"/>
      <c r="N584" s="16"/>
      <c r="O584" s="16"/>
      <c r="P584" s="16"/>
      <c r="Q584" s="16"/>
      <c r="R584" s="16"/>
      <c r="S584" s="16">
        <v>17.0</v>
      </c>
      <c r="T584" s="16"/>
      <c r="U584" s="16" t="s">
        <v>2607</v>
      </c>
      <c r="V584" s="16" t="s">
        <v>2608</v>
      </c>
      <c r="W584" s="16" t="s">
        <v>616</v>
      </c>
    </row>
    <row r="585">
      <c r="A585" s="16">
        <v>12009.0</v>
      </c>
      <c r="B585" s="16" t="s">
        <v>2609</v>
      </c>
      <c r="C585" s="16">
        <v>1.15</v>
      </c>
      <c r="D585" s="174" t="s">
        <v>2610</v>
      </c>
      <c r="E585" s="16"/>
      <c r="F585" s="16">
        <v>534.0</v>
      </c>
      <c r="G585" s="16" t="s">
        <v>1170</v>
      </c>
      <c r="H585" s="16" t="s">
        <v>24</v>
      </c>
      <c r="I585" s="16"/>
      <c r="J585" s="16"/>
      <c r="K585" s="16"/>
      <c r="L585" s="16"/>
      <c r="M585" s="16"/>
      <c r="N585" s="16"/>
      <c r="O585" s="16"/>
      <c r="P585" s="16"/>
      <c r="Q585" s="16"/>
      <c r="R585" s="16"/>
      <c r="S585" s="16">
        <v>15.0</v>
      </c>
      <c r="T585" s="16"/>
      <c r="U585" s="16" t="s">
        <v>2611</v>
      </c>
      <c r="V585" s="16" t="s">
        <v>2612</v>
      </c>
      <c r="W585" s="16" t="s">
        <v>231</v>
      </c>
    </row>
    <row r="586">
      <c r="A586" s="16">
        <v>12010.0</v>
      </c>
      <c r="B586" s="16" t="s">
        <v>2613</v>
      </c>
      <c r="C586" s="16">
        <v>1.19</v>
      </c>
      <c r="D586" s="174" t="s">
        <v>2614</v>
      </c>
      <c r="E586" s="16"/>
      <c r="F586" s="16">
        <v>528.0</v>
      </c>
      <c r="G586" s="16" t="s">
        <v>1755</v>
      </c>
      <c r="H586" s="16" t="s">
        <v>25</v>
      </c>
      <c r="I586" s="16"/>
      <c r="J586" s="16"/>
      <c r="K586" s="16"/>
      <c r="L586" s="16"/>
      <c r="M586" s="16"/>
      <c r="N586" s="16"/>
      <c r="O586" s="16"/>
      <c r="P586" s="16"/>
      <c r="Q586" s="16"/>
      <c r="R586" s="16"/>
      <c r="S586" s="16">
        <v>15.0</v>
      </c>
      <c r="T586" s="16"/>
      <c r="U586" s="16" t="s">
        <v>2615</v>
      </c>
      <c r="V586" s="16" t="s">
        <v>2616</v>
      </c>
      <c r="W586" s="16" t="s">
        <v>422</v>
      </c>
    </row>
    <row r="587">
      <c r="A587" s="16">
        <v>12011.0</v>
      </c>
      <c r="B587" s="16" t="s">
        <v>2617</v>
      </c>
      <c r="C587" s="16">
        <v>1.1</v>
      </c>
      <c r="D587" s="174" t="s">
        <v>2618</v>
      </c>
      <c r="E587" s="16"/>
      <c r="F587" s="16">
        <v>534.0</v>
      </c>
      <c r="G587" s="16" t="s">
        <v>1170</v>
      </c>
      <c r="H587" s="16" t="s">
        <v>24</v>
      </c>
      <c r="I587" s="16" t="s">
        <v>25</v>
      </c>
      <c r="J587" s="16"/>
      <c r="K587" s="16"/>
      <c r="L587" s="16"/>
      <c r="M587" s="16"/>
      <c r="N587" s="16"/>
      <c r="O587" s="16"/>
      <c r="P587" s="16"/>
      <c r="Q587" s="16"/>
      <c r="R587" s="16"/>
      <c r="S587" s="16">
        <v>15.0</v>
      </c>
      <c r="T587" s="16"/>
      <c r="U587" s="16" t="s">
        <v>2619</v>
      </c>
      <c r="V587" s="16" t="s">
        <v>2620</v>
      </c>
      <c r="W587" s="16" t="s">
        <v>199</v>
      </c>
    </row>
    <row r="588">
      <c r="A588" s="16">
        <v>12012.0</v>
      </c>
      <c r="B588" s="16" t="s">
        <v>2621</v>
      </c>
      <c r="C588" s="16">
        <v>2.11</v>
      </c>
      <c r="D588" s="174" t="s">
        <v>2622</v>
      </c>
      <c r="E588" s="16"/>
      <c r="F588" s="16">
        <v>535.0</v>
      </c>
      <c r="G588" s="16" t="s">
        <v>361</v>
      </c>
      <c r="H588" s="16" t="s">
        <v>12</v>
      </c>
      <c r="I588" s="16"/>
      <c r="J588" s="16"/>
      <c r="K588" s="16"/>
      <c r="L588" s="16"/>
      <c r="M588" s="16"/>
      <c r="N588" s="16"/>
      <c r="O588" s="16"/>
      <c r="P588" s="16"/>
      <c r="Q588" s="16"/>
      <c r="R588" s="16"/>
      <c r="S588" s="16">
        <v>17.0</v>
      </c>
      <c r="T588" s="16"/>
      <c r="U588" s="16" t="s">
        <v>2623</v>
      </c>
      <c r="V588" s="16" t="s">
        <v>2624</v>
      </c>
      <c r="W588" s="16" t="s">
        <v>616</v>
      </c>
    </row>
    <row r="589">
      <c r="A589" s="16">
        <v>12013.0</v>
      </c>
      <c r="B589" s="16" t="s">
        <v>2625</v>
      </c>
      <c r="C589" s="16">
        <v>3.21</v>
      </c>
      <c r="D589" s="174" t="s">
        <v>2626</v>
      </c>
      <c r="E589" s="16"/>
      <c r="F589" s="16">
        <v>505.0</v>
      </c>
      <c r="G589" s="16" t="s">
        <v>4656</v>
      </c>
      <c r="H589" s="16" t="s">
        <v>19</v>
      </c>
      <c r="I589" s="16" t="s">
        <v>17</v>
      </c>
      <c r="J589" s="16"/>
      <c r="K589" s="16"/>
      <c r="L589" s="16"/>
      <c r="M589" s="16"/>
      <c r="N589" s="16"/>
      <c r="O589" s="16"/>
      <c r="P589" s="16"/>
      <c r="Q589" s="16"/>
      <c r="R589" s="16"/>
      <c r="S589" s="16">
        <v>1.0</v>
      </c>
      <c r="T589" s="16"/>
      <c r="U589" s="16" t="s">
        <v>2627</v>
      </c>
      <c r="V589" s="16" t="s">
        <v>2628</v>
      </c>
      <c r="W589" s="16" t="s">
        <v>188</v>
      </c>
    </row>
    <row r="590">
      <c r="A590" s="16">
        <v>12014.0</v>
      </c>
      <c r="B590" s="16" t="s">
        <v>2629</v>
      </c>
      <c r="C590" s="16">
        <v>0.7</v>
      </c>
      <c r="D590" s="174" t="s">
        <v>2630</v>
      </c>
      <c r="E590" s="16"/>
      <c r="F590" s="16">
        <v>529.0</v>
      </c>
      <c r="G590" s="16" t="s">
        <v>333</v>
      </c>
      <c r="H590" s="16" t="s">
        <v>13</v>
      </c>
      <c r="I590" s="16"/>
      <c r="J590" s="16"/>
      <c r="K590" s="16"/>
      <c r="L590" s="16"/>
      <c r="M590" s="16"/>
      <c r="N590" s="16"/>
      <c r="O590" s="16"/>
      <c r="P590" s="16"/>
      <c r="Q590" s="16"/>
      <c r="R590" s="16"/>
      <c r="S590" s="16">
        <v>15.0</v>
      </c>
      <c r="T590" s="16"/>
      <c r="U590" s="16" t="s">
        <v>2631</v>
      </c>
      <c r="V590" s="16" t="s">
        <v>2632</v>
      </c>
      <c r="W590" s="16" t="s">
        <v>332</v>
      </c>
    </row>
    <row r="591">
      <c r="A591" s="16">
        <v>12015.0</v>
      </c>
      <c r="B591" s="16" t="s">
        <v>2633</v>
      </c>
      <c r="C591" s="16">
        <v>0.0</v>
      </c>
      <c r="D591" s="174" t="s">
        <v>2634</v>
      </c>
      <c r="E591" s="16"/>
      <c r="F591" s="16">
        <v>498.0</v>
      </c>
      <c r="G591" s="16" t="s">
        <v>176</v>
      </c>
      <c r="H591" s="16" t="s">
        <v>24</v>
      </c>
      <c r="I591" s="16"/>
      <c r="J591" s="16"/>
      <c r="K591" s="16"/>
      <c r="L591" s="16"/>
      <c r="M591" s="16"/>
      <c r="N591" s="16"/>
      <c r="O591" s="16"/>
      <c r="P591" s="16"/>
      <c r="Q591" s="16"/>
      <c r="R591" s="16"/>
      <c r="S591" s="16">
        <v>-2.0</v>
      </c>
      <c r="T591" s="16"/>
      <c r="U591" s="16" t="s">
        <v>2635</v>
      </c>
      <c r="V591" s="16" t="s">
        <v>2636</v>
      </c>
      <c r="W591" s="16" t="s">
        <v>199</v>
      </c>
    </row>
    <row r="592">
      <c r="A592" s="16">
        <v>12016.0</v>
      </c>
      <c r="B592" s="16" t="s">
        <v>2637</v>
      </c>
      <c r="C592" s="16">
        <v>2.03</v>
      </c>
      <c r="D592" s="174" t="s">
        <v>2638</v>
      </c>
      <c r="E592" s="16"/>
      <c r="F592" s="16">
        <v>541.0</v>
      </c>
      <c r="G592" s="16" t="s">
        <v>387</v>
      </c>
      <c r="H592" s="16" t="s">
        <v>18</v>
      </c>
      <c r="I592" s="16"/>
      <c r="J592" s="16"/>
      <c r="K592" s="16"/>
      <c r="L592" s="16"/>
      <c r="M592" s="16"/>
      <c r="N592" s="16"/>
      <c r="O592" s="16"/>
      <c r="P592" s="16"/>
      <c r="Q592" s="16"/>
      <c r="R592" s="16"/>
      <c r="S592" s="16">
        <v>1.0</v>
      </c>
      <c r="T592" s="16"/>
      <c r="U592" s="16" t="s">
        <v>2639</v>
      </c>
      <c r="V592" s="16" t="s">
        <v>2640</v>
      </c>
      <c r="W592" s="16" t="s">
        <v>443</v>
      </c>
    </row>
    <row r="593">
      <c r="A593" s="16">
        <v>12017.0</v>
      </c>
      <c r="B593" s="16" t="s">
        <v>2641</v>
      </c>
      <c r="C593" s="16">
        <v>0.18</v>
      </c>
      <c r="D593" s="174" t="s">
        <v>2642</v>
      </c>
      <c r="E593" s="16"/>
      <c r="F593" s="16">
        <v>523.0</v>
      </c>
      <c r="G593" s="16" t="s">
        <v>306</v>
      </c>
      <c r="H593" s="16" t="s">
        <v>18</v>
      </c>
      <c r="I593" s="16"/>
      <c r="J593" s="16"/>
      <c r="K593" s="16"/>
      <c r="L593" s="16"/>
      <c r="M593" s="16"/>
      <c r="N593" s="16"/>
      <c r="O593" s="16"/>
      <c r="P593" s="16"/>
      <c r="Q593" s="16"/>
      <c r="R593" s="16"/>
      <c r="S593" s="16">
        <v>14.0</v>
      </c>
      <c r="T593" s="16"/>
      <c r="U593" s="16" t="s">
        <v>2643</v>
      </c>
      <c r="V593" s="16" t="s">
        <v>2644</v>
      </c>
      <c r="W593" s="16" t="s">
        <v>591</v>
      </c>
    </row>
    <row r="594">
      <c r="A594" s="16">
        <v>12018.0</v>
      </c>
      <c r="B594" s="16" t="s">
        <v>2645</v>
      </c>
      <c r="C594" s="16">
        <v>1.15</v>
      </c>
      <c r="D594" s="174" t="s">
        <v>2646</v>
      </c>
      <c r="E594" s="16"/>
      <c r="F594" s="16">
        <v>546.0</v>
      </c>
      <c r="G594" s="16" t="s">
        <v>415</v>
      </c>
      <c r="H594" s="16" t="s">
        <v>15</v>
      </c>
      <c r="I594" s="16" t="s">
        <v>13</v>
      </c>
      <c r="J594" s="16"/>
      <c r="K594" s="16"/>
      <c r="L594" s="16"/>
      <c r="M594" s="16"/>
      <c r="N594" s="16"/>
      <c r="O594" s="16"/>
      <c r="P594" s="16"/>
      <c r="Q594" s="16"/>
      <c r="R594" s="16"/>
      <c r="S594" s="16">
        <v>2.0</v>
      </c>
      <c r="T594" s="16"/>
      <c r="U594" s="16" t="s">
        <v>2647</v>
      </c>
      <c r="V594" s="16" t="s">
        <v>2648</v>
      </c>
      <c r="W594" s="16" t="s">
        <v>199</v>
      </c>
    </row>
    <row r="595">
      <c r="A595" s="16">
        <v>12019.0</v>
      </c>
      <c r="B595" s="16" t="s">
        <v>2649</v>
      </c>
      <c r="C595" s="16">
        <v>1.56</v>
      </c>
      <c r="D595" s="174" t="s">
        <v>2650</v>
      </c>
      <c r="E595" s="16"/>
      <c r="F595" s="16">
        <v>532.0</v>
      </c>
      <c r="G595" s="16" t="s">
        <v>346</v>
      </c>
      <c r="H595" s="16" t="s">
        <v>17</v>
      </c>
      <c r="I595" s="16" t="s">
        <v>13</v>
      </c>
      <c r="J595" s="16"/>
      <c r="K595" s="16"/>
      <c r="L595" s="16"/>
      <c r="M595" s="16"/>
      <c r="N595" s="16"/>
      <c r="O595" s="16"/>
      <c r="P595" s="16"/>
      <c r="Q595" s="16"/>
      <c r="R595" s="16"/>
      <c r="S595" s="16">
        <v>1.0</v>
      </c>
      <c r="T595" s="16"/>
      <c r="U595" s="16" t="s">
        <v>2651</v>
      </c>
      <c r="V595" s="16" t="s">
        <v>2652</v>
      </c>
      <c r="W595" s="16" t="s">
        <v>188</v>
      </c>
    </row>
    <row r="596">
      <c r="A596" s="16">
        <v>12020.0</v>
      </c>
      <c r="B596" s="16" t="s">
        <v>2653</v>
      </c>
      <c r="C596" s="16">
        <v>0.45</v>
      </c>
      <c r="D596" s="174" t="s">
        <v>2654</v>
      </c>
      <c r="E596" s="16"/>
      <c r="F596" s="16">
        <v>498.0</v>
      </c>
      <c r="G596" s="16" t="s">
        <v>176</v>
      </c>
      <c r="H596" s="16" t="s">
        <v>25</v>
      </c>
      <c r="I596" s="16" t="s">
        <v>26</v>
      </c>
      <c r="J596" s="16"/>
      <c r="K596" s="16"/>
      <c r="L596" s="16"/>
      <c r="M596" s="16"/>
      <c r="N596" s="16"/>
      <c r="O596" s="16"/>
      <c r="P596" s="16"/>
      <c r="Q596" s="16"/>
      <c r="R596" s="16"/>
      <c r="S596" s="16">
        <v>-2.0</v>
      </c>
      <c r="T596" s="16"/>
      <c r="U596" s="16" t="s">
        <v>2655</v>
      </c>
      <c r="V596" s="16" t="s">
        <v>2656</v>
      </c>
      <c r="W596" s="16" t="s">
        <v>179</v>
      </c>
    </row>
    <row r="597">
      <c r="A597" s="16">
        <v>12021.0</v>
      </c>
      <c r="B597" s="16" t="s">
        <v>2657</v>
      </c>
      <c r="C597" s="16">
        <v>0.0</v>
      </c>
      <c r="D597" s="174" t="s">
        <v>2658</v>
      </c>
      <c r="E597" s="16"/>
      <c r="F597" s="16">
        <v>498.0</v>
      </c>
      <c r="G597" s="16" t="s">
        <v>176</v>
      </c>
      <c r="H597" s="16" t="s">
        <v>25</v>
      </c>
      <c r="I597" s="16" t="s">
        <v>26</v>
      </c>
      <c r="J597" s="16"/>
      <c r="K597" s="16"/>
      <c r="L597" s="16"/>
      <c r="M597" s="16"/>
      <c r="N597" s="16"/>
      <c r="O597" s="16"/>
      <c r="P597" s="16"/>
      <c r="Q597" s="16"/>
      <c r="R597" s="16"/>
      <c r="S597" s="16">
        <v>-2.0</v>
      </c>
      <c r="T597" s="16"/>
      <c r="U597" s="16" t="s">
        <v>2659</v>
      </c>
      <c r="V597" s="16" t="s">
        <v>2660</v>
      </c>
      <c r="W597" s="16" t="s">
        <v>259</v>
      </c>
    </row>
    <row r="598">
      <c r="A598" s="16">
        <v>12022.0</v>
      </c>
      <c r="B598" s="16" t="s">
        <v>2661</v>
      </c>
      <c r="C598" s="16">
        <v>1.32</v>
      </c>
      <c r="D598" s="174" t="s">
        <v>2662</v>
      </c>
      <c r="E598" s="16"/>
      <c r="F598" s="16">
        <v>523.0</v>
      </c>
      <c r="G598" s="16" t="s">
        <v>306</v>
      </c>
      <c r="H598" s="16" t="s">
        <v>25</v>
      </c>
      <c r="I598" s="16" t="s">
        <v>26</v>
      </c>
      <c r="J598" s="16"/>
      <c r="K598" s="16"/>
      <c r="L598" s="16"/>
      <c r="M598" s="16"/>
      <c r="N598" s="16"/>
      <c r="O598" s="16"/>
      <c r="P598" s="16"/>
      <c r="Q598" s="16"/>
      <c r="R598" s="16"/>
      <c r="S598" s="16">
        <v>1.0</v>
      </c>
      <c r="T598" s="16"/>
      <c r="U598" s="16" t="s">
        <v>2664</v>
      </c>
      <c r="V598" s="16" t="s">
        <v>2665</v>
      </c>
      <c r="W598" s="16" t="s">
        <v>491</v>
      </c>
    </row>
    <row r="599">
      <c r="A599" s="16">
        <v>12023.0</v>
      </c>
      <c r="B599" s="16" t="s">
        <v>2666</v>
      </c>
      <c r="C599" s="16">
        <v>1.17</v>
      </c>
      <c r="D599" s="174" t="s">
        <v>2667</v>
      </c>
      <c r="E599" s="16"/>
      <c r="F599" s="16">
        <v>536.0</v>
      </c>
      <c r="G599" s="16" t="s">
        <v>969</v>
      </c>
      <c r="H599" s="16" t="s">
        <v>25</v>
      </c>
      <c r="I599" s="16" t="s">
        <v>26</v>
      </c>
      <c r="J599" s="16"/>
      <c r="K599" s="16"/>
      <c r="L599" s="16"/>
      <c r="M599" s="16"/>
      <c r="N599" s="16"/>
      <c r="O599" s="16"/>
      <c r="P599" s="16"/>
      <c r="Q599" s="16"/>
      <c r="R599" s="16" t="s">
        <v>4805</v>
      </c>
      <c r="S599" s="16">
        <v>9.0</v>
      </c>
      <c r="T599" s="16"/>
      <c r="U599" s="16" t="s">
        <v>2668</v>
      </c>
      <c r="V599" s="16" t="s">
        <v>2669</v>
      </c>
      <c r="W599" s="16" t="s">
        <v>751</v>
      </c>
    </row>
    <row r="600">
      <c r="A600" s="16">
        <v>12024.0</v>
      </c>
      <c r="B600" s="16" t="s">
        <v>2670</v>
      </c>
      <c r="C600" s="16">
        <v>1.06</v>
      </c>
      <c r="D600" s="174" t="s">
        <v>2671</v>
      </c>
      <c r="E600" s="16"/>
      <c r="F600" s="16">
        <v>516.0</v>
      </c>
      <c r="G600" s="16" t="s">
        <v>228</v>
      </c>
      <c r="H600" s="16" t="s">
        <v>24</v>
      </c>
      <c r="I600" s="16"/>
      <c r="J600" s="16"/>
      <c r="K600" s="16"/>
      <c r="L600" s="16"/>
      <c r="M600" s="16"/>
      <c r="N600" s="16"/>
      <c r="O600" s="16"/>
      <c r="P600" s="16"/>
      <c r="Q600" s="16"/>
      <c r="R600" s="16"/>
      <c r="S600" s="16">
        <v>13.0</v>
      </c>
      <c r="T600" s="16"/>
      <c r="U600" s="16" t="s">
        <v>2672</v>
      </c>
      <c r="V600" s="16" t="s">
        <v>2673</v>
      </c>
      <c r="W600" s="16" t="s">
        <v>2674</v>
      </c>
    </row>
    <row r="601">
      <c r="A601" s="16">
        <v>12025.0</v>
      </c>
      <c r="B601" s="16" t="s">
        <v>2675</v>
      </c>
      <c r="C601" s="16">
        <v>0.81</v>
      </c>
      <c r="D601" s="174" t="s">
        <v>2676</v>
      </c>
      <c r="E601" s="16"/>
      <c r="F601" s="16">
        <v>522.0</v>
      </c>
      <c r="G601" s="16" t="s">
        <v>686</v>
      </c>
      <c r="H601" s="16" t="s">
        <v>13</v>
      </c>
      <c r="I601" s="16" t="s">
        <v>15</v>
      </c>
      <c r="J601" s="16"/>
      <c r="K601" s="16"/>
      <c r="L601" s="16"/>
      <c r="M601" s="16"/>
      <c r="N601" s="16"/>
      <c r="O601" s="16"/>
      <c r="P601" s="16"/>
      <c r="Q601" s="16"/>
      <c r="R601" s="16"/>
      <c r="S601" s="16">
        <v>15.0</v>
      </c>
      <c r="T601" s="16"/>
      <c r="U601" s="16" t="s">
        <v>2677</v>
      </c>
      <c r="V601" s="16" t="s">
        <v>2678</v>
      </c>
      <c r="W601" s="16" t="s">
        <v>443</v>
      </c>
    </row>
    <row r="602">
      <c r="A602" s="16">
        <v>12026.0</v>
      </c>
      <c r="B602" s="16" t="s">
        <v>2679</v>
      </c>
      <c r="C602" s="16">
        <v>0.0</v>
      </c>
      <c r="D602" s="174" t="s">
        <v>2680</v>
      </c>
      <c r="E602" s="16"/>
      <c r="F602" s="16">
        <v>498.0</v>
      </c>
      <c r="G602" s="16" t="s">
        <v>176</v>
      </c>
      <c r="H602" s="16" t="s">
        <v>24</v>
      </c>
      <c r="I602" s="16"/>
      <c r="J602" s="16"/>
      <c r="K602" s="16"/>
      <c r="L602" s="16"/>
      <c r="M602" s="16"/>
      <c r="N602" s="16"/>
      <c r="O602" s="16"/>
      <c r="P602" s="16"/>
      <c r="Q602" s="16"/>
      <c r="R602" s="16"/>
      <c r="S602" s="16">
        <v>-2.0</v>
      </c>
      <c r="T602" s="16"/>
      <c r="U602" s="16" t="s">
        <v>2681</v>
      </c>
      <c r="V602" s="16" t="s">
        <v>2682</v>
      </c>
      <c r="W602" s="16" t="s">
        <v>616</v>
      </c>
    </row>
    <row r="603">
      <c r="A603" s="16">
        <v>12027.0</v>
      </c>
      <c r="B603" s="16" t="s">
        <v>2683</v>
      </c>
      <c r="C603" s="16">
        <v>0.0</v>
      </c>
      <c r="D603" s="174" t="s">
        <v>2684</v>
      </c>
      <c r="E603" s="16"/>
      <c r="F603" s="16">
        <v>498.0</v>
      </c>
      <c r="G603" s="16" t="s">
        <v>176</v>
      </c>
      <c r="H603" s="16" t="s">
        <v>25</v>
      </c>
      <c r="I603" s="16" t="s">
        <v>26</v>
      </c>
      <c r="J603" s="16"/>
      <c r="K603" s="16"/>
      <c r="L603" s="16"/>
      <c r="M603" s="16"/>
      <c r="N603" s="16"/>
      <c r="O603" s="16"/>
      <c r="P603" s="16"/>
      <c r="Q603" s="16"/>
      <c r="R603" s="16"/>
      <c r="S603" s="16">
        <v>-2.0</v>
      </c>
      <c r="T603" s="16"/>
      <c r="U603" s="16" t="s">
        <v>2685</v>
      </c>
      <c r="V603" s="16" t="s">
        <v>2686</v>
      </c>
      <c r="W603" s="16" t="s">
        <v>360</v>
      </c>
    </row>
    <row r="604">
      <c r="A604" s="16">
        <v>12028.0</v>
      </c>
      <c r="B604" s="16" t="s">
        <v>2687</v>
      </c>
      <c r="C604" s="16">
        <v>0.0</v>
      </c>
      <c r="D604" s="174" t="s">
        <v>2688</v>
      </c>
      <c r="E604" s="16"/>
      <c r="F604" s="16">
        <v>498.0</v>
      </c>
      <c r="G604" s="16" t="s">
        <v>176</v>
      </c>
      <c r="H604" s="16" t="s">
        <v>24</v>
      </c>
      <c r="I604" s="16" t="s">
        <v>25</v>
      </c>
      <c r="J604" s="16" t="s">
        <v>26</v>
      </c>
      <c r="K604" s="16"/>
      <c r="L604" s="16"/>
      <c r="M604" s="16"/>
      <c r="N604" s="16"/>
      <c r="O604" s="16"/>
      <c r="P604" s="16"/>
      <c r="Q604" s="16"/>
      <c r="R604" s="16"/>
      <c r="S604" s="16">
        <v>-2.0</v>
      </c>
      <c r="T604" s="16"/>
      <c r="U604" s="16" t="s">
        <v>2689</v>
      </c>
      <c r="V604" s="16" t="s">
        <v>2690</v>
      </c>
      <c r="W604" s="16" t="s">
        <v>199</v>
      </c>
    </row>
    <row r="605">
      <c r="A605" s="16">
        <v>12029.0</v>
      </c>
      <c r="B605" s="16" t="s">
        <v>2691</v>
      </c>
      <c r="C605" s="16">
        <v>0.0</v>
      </c>
      <c r="D605" s="174" t="s">
        <v>2692</v>
      </c>
      <c r="E605" s="16"/>
      <c r="F605" s="16">
        <v>535.0</v>
      </c>
      <c r="G605" s="16" t="s">
        <v>361</v>
      </c>
      <c r="H605" s="16" t="s">
        <v>51</v>
      </c>
      <c r="I605" s="16"/>
      <c r="J605" s="16"/>
      <c r="K605" s="16"/>
      <c r="L605" s="16"/>
      <c r="M605" s="16"/>
      <c r="N605" s="16"/>
      <c r="O605" s="16"/>
      <c r="P605" s="16"/>
      <c r="Q605" s="16"/>
      <c r="R605" s="16"/>
      <c r="S605" s="16">
        <v>15.0</v>
      </c>
      <c r="T605" s="16"/>
      <c r="U605" s="16" t="s">
        <v>2693</v>
      </c>
      <c r="V605" s="16" t="s">
        <v>2694</v>
      </c>
      <c r="W605" s="16" t="s">
        <v>360</v>
      </c>
    </row>
    <row r="606">
      <c r="A606" s="16">
        <v>12030.0</v>
      </c>
      <c r="B606" s="16" t="s">
        <v>2695</v>
      </c>
      <c r="C606" s="16">
        <v>1.46</v>
      </c>
      <c r="D606" s="174" t="s">
        <v>2696</v>
      </c>
      <c r="E606" s="16"/>
      <c r="F606" s="16">
        <v>498.0</v>
      </c>
      <c r="G606" s="16" t="s">
        <v>176</v>
      </c>
      <c r="H606" s="16" t="s">
        <v>25</v>
      </c>
      <c r="I606" s="16"/>
      <c r="J606" s="16"/>
      <c r="K606" s="16"/>
      <c r="L606" s="16"/>
      <c r="M606" s="16"/>
      <c r="N606" s="16"/>
      <c r="O606" s="16"/>
      <c r="P606" s="16"/>
      <c r="Q606" s="16"/>
      <c r="R606" s="16"/>
      <c r="S606" s="16">
        <v>-2.0</v>
      </c>
      <c r="T606" s="16"/>
      <c r="U606" s="16" t="s">
        <v>2697</v>
      </c>
      <c r="V606" s="16" t="s">
        <v>2698</v>
      </c>
      <c r="W606" s="16" t="s">
        <v>199</v>
      </c>
    </row>
    <row r="607">
      <c r="A607" s="16">
        <v>12031.0</v>
      </c>
      <c r="B607" s="16" t="s">
        <v>2699</v>
      </c>
      <c r="C607" s="16">
        <v>0.0</v>
      </c>
      <c r="D607" s="174" t="s">
        <v>2700</v>
      </c>
      <c r="E607" s="16"/>
      <c r="F607" s="16">
        <v>498.0</v>
      </c>
      <c r="G607" s="16" t="s">
        <v>176</v>
      </c>
      <c r="H607" s="16" t="s">
        <v>24</v>
      </c>
      <c r="I607" s="16"/>
      <c r="J607" s="16"/>
      <c r="K607" s="16"/>
      <c r="L607" s="16"/>
      <c r="M607" s="16"/>
      <c r="N607" s="16"/>
      <c r="O607" s="16"/>
      <c r="P607" s="16"/>
      <c r="Q607" s="16"/>
      <c r="R607" s="16"/>
      <c r="S607" s="16">
        <v>-2.0</v>
      </c>
      <c r="T607" s="16"/>
      <c r="U607" s="16" t="s">
        <v>2701</v>
      </c>
      <c r="V607" s="16" t="s">
        <v>2702</v>
      </c>
      <c r="W607" s="16" t="s">
        <v>422</v>
      </c>
    </row>
    <row r="608">
      <c r="A608" s="16">
        <v>12032.0</v>
      </c>
      <c r="B608" s="16" t="s">
        <v>2703</v>
      </c>
      <c r="C608" s="16">
        <v>0.59</v>
      </c>
      <c r="D608" s="174" t="s">
        <v>2704</v>
      </c>
      <c r="E608" s="16"/>
      <c r="F608" s="16">
        <v>502.0</v>
      </c>
      <c r="G608" s="16" t="s">
        <v>200</v>
      </c>
      <c r="H608" s="16" t="s">
        <v>15</v>
      </c>
      <c r="I608" s="16"/>
      <c r="J608" s="16"/>
      <c r="K608" s="16"/>
      <c r="L608" s="16"/>
      <c r="M608" s="16"/>
      <c r="N608" s="16"/>
      <c r="O608" s="16"/>
      <c r="P608" s="16"/>
      <c r="Q608" s="16"/>
      <c r="R608" s="16"/>
      <c r="S608" s="16">
        <v>1.0</v>
      </c>
      <c r="T608" s="16"/>
      <c r="U608" s="16" t="s">
        <v>2705</v>
      </c>
      <c r="V608" s="16" t="s">
        <v>2706</v>
      </c>
      <c r="W608" s="16" t="s">
        <v>616</v>
      </c>
    </row>
    <row r="609">
      <c r="A609" s="16">
        <v>12033.0</v>
      </c>
      <c r="B609" s="16" t="s">
        <v>2707</v>
      </c>
      <c r="C609" s="16">
        <v>1.01</v>
      </c>
      <c r="D609" s="174" t="s">
        <v>2708</v>
      </c>
      <c r="E609" s="16"/>
      <c r="F609" s="16">
        <v>544.0</v>
      </c>
      <c r="G609" s="16" t="s">
        <v>272</v>
      </c>
      <c r="H609" s="16" t="s">
        <v>25</v>
      </c>
      <c r="I609" s="16" t="s">
        <v>26</v>
      </c>
      <c r="J609" s="16"/>
      <c r="K609" s="16"/>
      <c r="L609" s="16"/>
      <c r="M609" s="16"/>
      <c r="N609" s="16"/>
      <c r="O609" s="16"/>
      <c r="P609" s="16"/>
      <c r="Q609" s="16"/>
      <c r="R609" s="16"/>
      <c r="S609" s="16">
        <v>11.0</v>
      </c>
      <c r="T609" s="174" t="s">
        <v>4806</v>
      </c>
      <c r="U609" s="16" t="s">
        <v>2709</v>
      </c>
      <c r="V609" s="16" t="s">
        <v>2710</v>
      </c>
      <c r="W609" s="16" t="s">
        <v>179</v>
      </c>
    </row>
    <row r="610">
      <c r="A610" s="16">
        <v>12034.0</v>
      </c>
      <c r="B610" s="16" t="s">
        <v>2711</v>
      </c>
      <c r="C610" s="16">
        <v>1.42</v>
      </c>
      <c r="D610" s="174" t="s">
        <v>2712</v>
      </c>
      <c r="E610" s="16"/>
      <c r="F610" s="16">
        <v>510.0</v>
      </c>
      <c r="G610" s="16" t="s">
        <v>4782</v>
      </c>
      <c r="H610" s="16" t="s">
        <v>25</v>
      </c>
      <c r="I610" s="16" t="s">
        <v>26</v>
      </c>
      <c r="J610" s="16"/>
      <c r="K610" s="16"/>
      <c r="L610" s="16"/>
      <c r="M610" s="16"/>
      <c r="N610" s="16"/>
      <c r="O610" s="16"/>
      <c r="P610" s="16"/>
      <c r="Q610" s="16"/>
      <c r="R610" s="16"/>
      <c r="S610" s="16">
        <v>16.0</v>
      </c>
      <c r="T610" s="16"/>
      <c r="U610" s="16" t="s">
        <v>2714</v>
      </c>
      <c r="V610" s="16" t="s">
        <v>2715</v>
      </c>
      <c r="W610" s="16" t="s">
        <v>591</v>
      </c>
    </row>
    <row r="611">
      <c r="A611" s="16">
        <v>12035.0</v>
      </c>
      <c r="B611" s="16" t="s">
        <v>2716</v>
      </c>
      <c r="C611" s="16">
        <v>0.36</v>
      </c>
      <c r="D611" s="174" t="s">
        <v>2717</v>
      </c>
      <c r="E611" s="16"/>
      <c r="F611" s="16">
        <v>498.0</v>
      </c>
      <c r="G611" s="16" t="s">
        <v>176</v>
      </c>
      <c r="H611" s="16" t="s">
        <v>12</v>
      </c>
      <c r="I611" s="16"/>
      <c r="J611" s="16"/>
      <c r="K611" s="16"/>
      <c r="L611" s="16"/>
      <c r="M611" s="16"/>
      <c r="N611" s="16"/>
      <c r="O611" s="16"/>
      <c r="P611" s="16"/>
      <c r="Q611" s="16"/>
      <c r="R611" s="16"/>
      <c r="S611" s="16">
        <v>-2.0</v>
      </c>
      <c r="T611" s="16"/>
      <c r="U611" s="16" t="s">
        <v>2718</v>
      </c>
      <c r="V611" s="16" t="s">
        <v>2719</v>
      </c>
      <c r="W611" s="16" t="s">
        <v>675</v>
      </c>
    </row>
    <row r="612">
      <c r="A612" s="16">
        <v>12036.0</v>
      </c>
      <c r="B612" s="16" t="s">
        <v>2720</v>
      </c>
      <c r="C612" s="16">
        <v>0.08</v>
      </c>
      <c r="D612" s="174" t="s">
        <v>2721</v>
      </c>
      <c r="E612" s="16"/>
      <c r="F612" s="16">
        <v>498.0</v>
      </c>
      <c r="G612" s="16" t="s">
        <v>176</v>
      </c>
      <c r="H612" s="16" t="s">
        <v>24</v>
      </c>
      <c r="I612" s="16" t="s">
        <v>25</v>
      </c>
      <c r="J612" s="16"/>
      <c r="K612" s="16"/>
      <c r="L612" s="16"/>
      <c r="M612" s="16"/>
      <c r="N612" s="16"/>
      <c r="O612" s="16"/>
      <c r="P612" s="16"/>
      <c r="Q612" s="16"/>
      <c r="R612" s="16"/>
      <c r="S612" s="16">
        <v>-2.0</v>
      </c>
      <c r="T612" s="16"/>
      <c r="U612" s="16" t="s">
        <v>2722</v>
      </c>
      <c r="V612" s="16" t="s">
        <v>2723</v>
      </c>
      <c r="W612" s="16" t="s">
        <v>179</v>
      </c>
    </row>
    <row r="613">
      <c r="A613" s="16">
        <v>12037.0</v>
      </c>
      <c r="B613" s="16" t="s">
        <v>2724</v>
      </c>
      <c r="C613" s="16">
        <v>1.14</v>
      </c>
      <c r="D613" s="174" t="s">
        <v>2725</v>
      </c>
      <c r="E613" s="16"/>
      <c r="F613" s="16">
        <v>502.0</v>
      </c>
      <c r="G613" s="16" t="s">
        <v>200</v>
      </c>
      <c r="H613" s="16" t="s">
        <v>25</v>
      </c>
      <c r="I613" s="16" t="s">
        <v>26</v>
      </c>
      <c r="J613" s="16"/>
      <c r="K613" s="16"/>
      <c r="L613" s="16"/>
      <c r="M613" s="16"/>
      <c r="N613" s="16"/>
      <c r="O613" s="16"/>
      <c r="P613" s="16"/>
      <c r="Q613" s="16"/>
      <c r="R613" s="16"/>
      <c r="S613" s="16">
        <v>15.0</v>
      </c>
      <c r="T613" s="16"/>
      <c r="U613" s="16" t="s">
        <v>2726</v>
      </c>
      <c r="V613" s="16" t="s">
        <v>2727</v>
      </c>
      <c r="W613" s="16" t="s">
        <v>179</v>
      </c>
    </row>
    <row r="614">
      <c r="A614" s="16">
        <v>12038.0</v>
      </c>
      <c r="B614" s="16" t="s">
        <v>2728</v>
      </c>
      <c r="C614" s="16">
        <v>0.0</v>
      </c>
      <c r="D614" s="174" t="s">
        <v>2729</v>
      </c>
      <c r="E614" s="16"/>
      <c r="F614" s="16">
        <v>498.0</v>
      </c>
      <c r="G614" s="16" t="s">
        <v>176</v>
      </c>
      <c r="H614" s="16" t="s">
        <v>24</v>
      </c>
      <c r="I614" s="16" t="s">
        <v>25</v>
      </c>
      <c r="J614" s="16"/>
      <c r="K614" s="16"/>
      <c r="L614" s="16"/>
      <c r="M614" s="16"/>
      <c r="N614" s="16"/>
      <c r="O614" s="16"/>
      <c r="P614" s="16"/>
      <c r="Q614" s="16"/>
      <c r="R614" s="16"/>
      <c r="S614" s="16">
        <v>-2.0</v>
      </c>
      <c r="T614" s="16"/>
      <c r="U614" s="16" t="s">
        <v>2730</v>
      </c>
      <c r="V614" s="16" t="s">
        <v>2731</v>
      </c>
      <c r="W614" s="16" t="s">
        <v>675</v>
      </c>
    </row>
    <row r="615">
      <c r="A615" s="16">
        <v>12039.0</v>
      </c>
      <c r="B615" s="16" t="s">
        <v>2732</v>
      </c>
      <c r="C615" s="16">
        <v>2.16</v>
      </c>
      <c r="D615" s="174" t="s">
        <v>2733</v>
      </c>
      <c r="E615" s="16"/>
      <c r="F615" s="16">
        <v>521.0</v>
      </c>
      <c r="G615" s="16" t="s">
        <v>1876</v>
      </c>
      <c r="H615" s="16" t="s">
        <v>19</v>
      </c>
      <c r="I615" s="16" t="s">
        <v>17</v>
      </c>
      <c r="J615" s="16"/>
      <c r="K615" s="16"/>
      <c r="L615" s="16"/>
      <c r="M615" s="16"/>
      <c r="N615" s="16"/>
      <c r="O615" s="16"/>
      <c r="P615" s="16"/>
      <c r="Q615" s="16"/>
      <c r="R615" s="16" t="s">
        <v>4751</v>
      </c>
      <c r="S615" s="16">
        <v>17.0</v>
      </c>
      <c r="T615" s="16"/>
      <c r="U615" s="16" t="s">
        <v>2734</v>
      </c>
      <c r="V615" s="16" t="s">
        <v>2735</v>
      </c>
      <c r="W615" s="16" t="s">
        <v>942</v>
      </c>
    </row>
    <row r="616">
      <c r="A616" s="16">
        <v>12040.0</v>
      </c>
      <c r="B616" s="16" t="s">
        <v>2736</v>
      </c>
      <c r="C616" s="16">
        <v>3.38</v>
      </c>
      <c r="D616" s="174" t="s">
        <v>2737</v>
      </c>
      <c r="E616" s="16"/>
      <c r="F616" s="16">
        <v>502.0</v>
      </c>
      <c r="G616" s="16" t="s">
        <v>200</v>
      </c>
      <c r="H616" s="16" t="s">
        <v>14</v>
      </c>
      <c r="I616" s="16" t="s">
        <v>16</v>
      </c>
      <c r="J616" s="16"/>
      <c r="K616" s="16"/>
      <c r="L616" s="16"/>
      <c r="M616" s="16"/>
      <c r="N616" s="16"/>
      <c r="O616" s="16"/>
      <c r="P616" s="16"/>
      <c r="Q616" s="16"/>
      <c r="R616" s="16"/>
      <c r="S616" s="16">
        <v>7.0</v>
      </c>
      <c r="T616" s="174" t="s">
        <v>4807</v>
      </c>
      <c r="U616" s="16" t="s">
        <v>2739</v>
      </c>
      <c r="V616" s="16" t="s">
        <v>2740</v>
      </c>
      <c r="W616" s="16" t="s">
        <v>491</v>
      </c>
    </row>
    <row r="617">
      <c r="A617" s="16">
        <v>12041.0</v>
      </c>
      <c r="B617" s="16" t="s">
        <v>2741</v>
      </c>
      <c r="C617" s="16">
        <v>0.45</v>
      </c>
      <c r="D617" s="174" t="s">
        <v>2742</v>
      </c>
      <c r="E617" s="16"/>
      <c r="F617" s="16">
        <v>508.0</v>
      </c>
      <c r="G617" s="16" t="s">
        <v>4754</v>
      </c>
      <c r="H617" s="16" t="s">
        <v>24</v>
      </c>
      <c r="I617" s="16"/>
      <c r="J617" s="16"/>
      <c r="K617" s="16"/>
      <c r="L617" s="16"/>
      <c r="M617" s="16"/>
      <c r="N617" s="16"/>
      <c r="O617" s="16"/>
      <c r="P617" s="16"/>
      <c r="Q617" s="16"/>
      <c r="R617" s="16"/>
      <c r="S617" s="16">
        <v>1.0</v>
      </c>
      <c r="T617" s="16"/>
      <c r="U617" s="16" t="s">
        <v>2743</v>
      </c>
      <c r="V617" s="16" t="s">
        <v>2744</v>
      </c>
      <c r="W617" s="16" t="s">
        <v>188</v>
      </c>
    </row>
    <row r="618">
      <c r="A618" s="16">
        <v>12042.0</v>
      </c>
      <c r="B618" s="16" t="s">
        <v>2745</v>
      </c>
      <c r="C618" s="16">
        <v>0.55</v>
      </c>
      <c r="D618" s="174" t="s">
        <v>2746</v>
      </c>
      <c r="E618" s="16"/>
      <c r="F618" s="16">
        <v>499.0</v>
      </c>
      <c r="G618" s="16" t="s">
        <v>126</v>
      </c>
      <c r="H618" s="16" t="s">
        <v>25</v>
      </c>
      <c r="I618" s="16" t="s">
        <v>26</v>
      </c>
      <c r="J618" s="16"/>
      <c r="K618" s="16"/>
      <c r="L618" s="16"/>
      <c r="M618" s="16"/>
      <c r="N618" s="16"/>
      <c r="O618" s="16"/>
      <c r="P618" s="16"/>
      <c r="Q618" s="16"/>
      <c r="R618" s="16"/>
      <c r="S618" s="16">
        <v>6.0</v>
      </c>
      <c r="T618" s="16"/>
      <c r="U618" s="16" t="s">
        <v>2747</v>
      </c>
      <c r="V618" s="16" t="s">
        <v>2748</v>
      </c>
      <c r="W618" s="16" t="s">
        <v>491</v>
      </c>
    </row>
    <row r="619">
      <c r="A619" s="16">
        <v>12043.0</v>
      </c>
      <c r="B619" s="16" t="s">
        <v>2749</v>
      </c>
      <c r="C619" s="16">
        <v>1.15</v>
      </c>
      <c r="D619" s="174" t="s">
        <v>2750</v>
      </c>
      <c r="E619" s="16"/>
      <c r="F619" s="16">
        <v>511.0</v>
      </c>
      <c r="G619" s="16" t="s">
        <v>245</v>
      </c>
      <c r="H619" s="16" t="s">
        <v>25</v>
      </c>
      <c r="I619" s="16" t="s">
        <v>26</v>
      </c>
      <c r="J619" s="16"/>
      <c r="K619" s="16"/>
      <c r="L619" s="16"/>
      <c r="M619" s="16"/>
      <c r="N619" s="16"/>
      <c r="O619" s="16"/>
      <c r="P619" s="16"/>
      <c r="Q619" s="16"/>
      <c r="R619" s="16"/>
      <c r="S619" s="16">
        <v>1.0</v>
      </c>
      <c r="T619" s="16"/>
      <c r="U619" s="16" t="s">
        <v>2751</v>
      </c>
      <c r="V619" s="16" t="s">
        <v>2752</v>
      </c>
      <c r="W619" s="16" t="s">
        <v>491</v>
      </c>
    </row>
    <row r="620">
      <c r="A620" s="16">
        <v>12044.0</v>
      </c>
      <c r="B620" s="16" t="s">
        <v>2753</v>
      </c>
      <c r="C620" s="16">
        <v>1.03</v>
      </c>
      <c r="D620" s="174" t="s">
        <v>2754</v>
      </c>
      <c r="E620" s="16"/>
      <c r="F620" s="16">
        <v>538.0</v>
      </c>
      <c r="G620" s="16" t="s">
        <v>289</v>
      </c>
      <c r="H620" s="16" t="s">
        <v>18</v>
      </c>
      <c r="I620" s="16"/>
      <c r="J620" s="16"/>
      <c r="K620" s="16"/>
      <c r="L620" s="16"/>
      <c r="M620" s="16"/>
      <c r="N620" s="16"/>
      <c r="O620" s="16"/>
      <c r="P620" s="16"/>
      <c r="Q620" s="16"/>
      <c r="R620" s="16"/>
      <c r="S620" s="16">
        <v>15.0</v>
      </c>
      <c r="T620" s="16"/>
      <c r="U620" s="16" t="s">
        <v>2755</v>
      </c>
      <c r="V620" s="16" t="s">
        <v>2756</v>
      </c>
      <c r="W620" s="16" t="s">
        <v>491</v>
      </c>
    </row>
    <row r="621">
      <c r="A621" s="16">
        <v>12045.0</v>
      </c>
      <c r="B621" s="16" t="s">
        <v>2757</v>
      </c>
      <c r="C621" s="16">
        <v>2.05</v>
      </c>
      <c r="D621" s="174" t="s">
        <v>2758</v>
      </c>
      <c r="E621" s="16"/>
      <c r="F621" s="16">
        <v>516.0</v>
      </c>
      <c r="G621" s="16" t="s">
        <v>228</v>
      </c>
      <c r="H621" s="16" t="s">
        <v>16</v>
      </c>
      <c r="I621" s="16" t="s">
        <v>14</v>
      </c>
      <c r="J621" s="16" t="s">
        <v>13</v>
      </c>
      <c r="K621" s="16" t="s">
        <v>15</v>
      </c>
      <c r="L621" s="16" t="s">
        <v>17</v>
      </c>
      <c r="M621" s="16"/>
      <c r="N621" s="16"/>
      <c r="O621" s="16"/>
      <c r="P621" s="16"/>
      <c r="Q621" s="16"/>
      <c r="R621" s="16"/>
      <c r="S621" s="16">
        <v>10.0</v>
      </c>
      <c r="T621" s="16"/>
      <c r="U621" s="16" t="s">
        <v>2759</v>
      </c>
      <c r="V621" s="16" t="s">
        <v>2760</v>
      </c>
      <c r="W621" s="16" t="s">
        <v>179</v>
      </c>
    </row>
    <row r="622">
      <c r="A622" s="16">
        <v>12046.0</v>
      </c>
      <c r="B622" s="16" t="s">
        <v>2761</v>
      </c>
      <c r="C622" s="16">
        <v>0.37</v>
      </c>
      <c r="D622" s="174" t="s">
        <v>2762</v>
      </c>
      <c r="E622" s="16"/>
      <c r="F622" s="16">
        <v>523.0</v>
      </c>
      <c r="G622" s="16" t="s">
        <v>306</v>
      </c>
      <c r="H622" s="16" t="s">
        <v>18</v>
      </c>
      <c r="I622" s="16" t="s">
        <v>17</v>
      </c>
      <c r="J622" s="16" t="s">
        <v>19</v>
      </c>
      <c r="K622" s="16"/>
      <c r="L622" s="16"/>
      <c r="M622" s="16"/>
      <c r="N622" s="16"/>
      <c r="O622" s="16"/>
      <c r="P622" s="16"/>
      <c r="Q622" s="16"/>
      <c r="R622" s="16"/>
      <c r="S622" s="16">
        <v>1.0</v>
      </c>
      <c r="T622" s="16"/>
      <c r="U622" s="16" t="s">
        <v>2764</v>
      </c>
      <c r="V622" s="16" t="s">
        <v>2765</v>
      </c>
      <c r="W622" s="16" t="s">
        <v>179</v>
      </c>
    </row>
    <row r="623">
      <c r="A623" s="16">
        <v>12047.0</v>
      </c>
      <c r="B623" s="16" t="s">
        <v>2766</v>
      </c>
      <c r="C623" s="16">
        <v>2.57</v>
      </c>
      <c r="D623" s="174" t="s">
        <v>2767</v>
      </c>
      <c r="E623" s="16"/>
      <c r="F623" s="16">
        <v>522.0</v>
      </c>
      <c r="G623" s="16" t="s">
        <v>686</v>
      </c>
      <c r="H623" s="16" t="s">
        <v>25</v>
      </c>
      <c r="I623" s="16" t="s">
        <v>26</v>
      </c>
      <c r="J623" s="16"/>
      <c r="K623" s="16"/>
      <c r="L623" s="16"/>
      <c r="M623" s="16"/>
      <c r="N623" s="16"/>
      <c r="O623" s="16"/>
      <c r="P623" s="16"/>
      <c r="Q623" s="16"/>
      <c r="R623" s="16"/>
      <c r="S623" s="16">
        <v>14.0</v>
      </c>
      <c r="T623" s="16"/>
      <c r="U623" s="16" t="s">
        <v>2768</v>
      </c>
      <c r="V623" s="16" t="s">
        <v>2769</v>
      </c>
      <c r="W623" s="16" t="s">
        <v>179</v>
      </c>
    </row>
    <row r="624">
      <c r="A624" s="16">
        <v>12048.0</v>
      </c>
      <c r="B624" s="16" t="s">
        <v>2770</v>
      </c>
      <c r="C624" s="16">
        <v>0.73</v>
      </c>
      <c r="D624" s="174" t="s">
        <v>2771</v>
      </c>
      <c r="E624" s="16"/>
      <c r="F624" s="16">
        <v>525.0</v>
      </c>
      <c r="G624" s="16" t="s">
        <v>672</v>
      </c>
      <c r="H624" s="16" t="s">
        <v>13</v>
      </c>
      <c r="I624" s="16" t="s">
        <v>15</v>
      </c>
      <c r="J624" s="16" t="s">
        <v>14</v>
      </c>
      <c r="K624" s="16" t="s">
        <v>17</v>
      </c>
      <c r="L624" s="16"/>
      <c r="M624" s="16"/>
      <c r="N624" s="16"/>
      <c r="O624" s="16"/>
      <c r="P624" s="16"/>
      <c r="Q624" s="16"/>
      <c r="R624" s="16"/>
      <c r="S624" s="16">
        <v>15.0</v>
      </c>
      <c r="T624" s="16"/>
      <c r="U624" s="16" t="s">
        <v>2772</v>
      </c>
      <c r="V624" s="16" t="s">
        <v>2773</v>
      </c>
      <c r="W624" s="16" t="s">
        <v>399</v>
      </c>
    </row>
    <row r="625">
      <c r="A625" s="16">
        <v>12049.0</v>
      </c>
      <c r="B625" s="16" t="s">
        <v>2774</v>
      </c>
      <c r="C625" s="16">
        <v>0.0</v>
      </c>
      <c r="D625" s="174" t="s">
        <v>2775</v>
      </c>
      <c r="E625" s="16"/>
      <c r="F625" s="16">
        <v>498.0</v>
      </c>
      <c r="G625" s="16" t="s">
        <v>176</v>
      </c>
      <c r="H625" s="16" t="s">
        <v>25</v>
      </c>
      <c r="I625" s="16" t="s">
        <v>26</v>
      </c>
      <c r="J625" s="16"/>
      <c r="K625" s="16"/>
      <c r="L625" s="16"/>
      <c r="M625" s="16"/>
      <c r="N625" s="16"/>
      <c r="O625" s="16"/>
      <c r="P625" s="16"/>
      <c r="Q625" s="16"/>
      <c r="R625" s="16"/>
      <c r="S625" s="16">
        <v>-2.0</v>
      </c>
      <c r="T625" s="16"/>
      <c r="U625" s="16" t="s">
        <v>2776</v>
      </c>
      <c r="V625" s="16" t="s">
        <v>2777</v>
      </c>
      <c r="W625" s="16" t="s">
        <v>591</v>
      </c>
    </row>
    <row r="626">
      <c r="A626" s="16">
        <v>12050.0</v>
      </c>
      <c r="B626" s="16" t="s">
        <v>2778</v>
      </c>
      <c r="C626" s="16">
        <v>0.07</v>
      </c>
      <c r="D626" s="174" t="s">
        <v>2779</v>
      </c>
      <c r="E626" s="16"/>
      <c r="F626" s="16">
        <v>520.0</v>
      </c>
      <c r="G626" s="16" t="s">
        <v>292</v>
      </c>
      <c r="H626" s="16" t="s">
        <v>12</v>
      </c>
      <c r="I626" s="16"/>
      <c r="J626" s="16"/>
      <c r="K626" s="16"/>
      <c r="L626" s="16"/>
      <c r="M626" s="16"/>
      <c r="N626" s="16"/>
      <c r="O626" s="16"/>
      <c r="P626" s="16"/>
      <c r="Q626" s="16"/>
      <c r="R626" s="16"/>
      <c r="S626" s="16">
        <v>14.0</v>
      </c>
      <c r="T626" s="16"/>
      <c r="U626" s="16" t="s">
        <v>2780</v>
      </c>
      <c r="V626" s="16" t="s">
        <v>2781</v>
      </c>
      <c r="W626" s="16" t="s">
        <v>675</v>
      </c>
    </row>
    <row r="627">
      <c r="A627" s="16">
        <v>12051.0</v>
      </c>
      <c r="B627" s="16" t="s">
        <v>2782</v>
      </c>
      <c r="C627" s="16">
        <v>0.0</v>
      </c>
      <c r="D627" s="174" t="s">
        <v>2783</v>
      </c>
      <c r="E627" s="16"/>
      <c r="F627" s="16">
        <v>498.0</v>
      </c>
      <c r="G627" s="16" t="s">
        <v>176</v>
      </c>
      <c r="H627" s="16" t="s">
        <v>13</v>
      </c>
      <c r="I627" s="16" t="s">
        <v>19</v>
      </c>
      <c r="J627" s="16"/>
      <c r="K627" s="16"/>
      <c r="L627" s="16"/>
      <c r="M627" s="16"/>
      <c r="N627" s="16"/>
      <c r="O627" s="16"/>
      <c r="P627" s="16"/>
      <c r="Q627" s="16"/>
      <c r="R627" s="16"/>
      <c r="S627" s="16">
        <v>15.0</v>
      </c>
      <c r="T627" s="16"/>
      <c r="U627" s="16" t="s">
        <v>2784</v>
      </c>
      <c r="V627" s="16" t="s">
        <v>2785</v>
      </c>
      <c r="W627" s="16" t="s">
        <v>591</v>
      </c>
    </row>
    <row r="628">
      <c r="A628" s="16">
        <v>12052.0</v>
      </c>
      <c r="B628" s="16" t="s">
        <v>2786</v>
      </c>
      <c r="C628" s="16">
        <v>1.27</v>
      </c>
      <c r="D628" s="174" t="s">
        <v>2787</v>
      </c>
      <c r="E628" s="16"/>
      <c r="F628" s="16">
        <v>536.0</v>
      </c>
      <c r="G628" s="16" t="s">
        <v>969</v>
      </c>
      <c r="H628" s="16" t="s">
        <v>25</v>
      </c>
      <c r="I628" s="16" t="s">
        <v>26</v>
      </c>
      <c r="J628" s="16"/>
      <c r="K628" s="16"/>
      <c r="L628" s="16"/>
      <c r="M628" s="16"/>
      <c r="N628" s="16"/>
      <c r="O628" s="16"/>
      <c r="P628" s="16"/>
      <c r="Q628" s="16"/>
      <c r="R628" s="16" t="s">
        <v>4776</v>
      </c>
      <c r="S628" s="16">
        <v>13.0</v>
      </c>
      <c r="T628" s="16"/>
      <c r="U628" s="16" t="s">
        <v>2788</v>
      </c>
      <c r="V628" s="16" t="s">
        <v>2789</v>
      </c>
      <c r="W628" s="16" t="s">
        <v>422</v>
      </c>
    </row>
    <row r="629">
      <c r="A629" s="16">
        <v>12053.0</v>
      </c>
      <c r="B629" s="16" t="s">
        <v>2790</v>
      </c>
      <c r="C629" s="16">
        <v>0.98</v>
      </c>
      <c r="D629" s="174" t="s">
        <v>2791</v>
      </c>
      <c r="E629" s="16"/>
      <c r="F629" s="16">
        <v>523.0</v>
      </c>
      <c r="G629" s="16" t="s">
        <v>306</v>
      </c>
      <c r="H629" s="16" t="s">
        <v>24</v>
      </c>
      <c r="I629" s="16"/>
      <c r="J629" s="16"/>
      <c r="K629" s="16"/>
      <c r="L629" s="16"/>
      <c r="M629" s="16"/>
      <c r="N629" s="16"/>
      <c r="O629" s="16"/>
      <c r="P629" s="16"/>
      <c r="Q629" s="16"/>
      <c r="R629" s="16"/>
      <c r="S629" s="16">
        <v>1.0</v>
      </c>
      <c r="T629" s="16"/>
      <c r="U629" s="16" t="s">
        <v>2792</v>
      </c>
      <c r="V629" s="16" t="s">
        <v>2793</v>
      </c>
      <c r="W629" s="16" t="s">
        <v>231</v>
      </c>
    </row>
    <row r="630">
      <c r="A630" s="16">
        <v>12054.0</v>
      </c>
      <c r="B630" s="16" t="s">
        <v>2794</v>
      </c>
      <c r="C630" s="16">
        <v>1.91</v>
      </c>
      <c r="D630" s="174" t="s">
        <v>2795</v>
      </c>
      <c r="E630" s="16"/>
      <c r="F630" s="16">
        <v>521.0</v>
      </c>
      <c r="G630" s="16" t="s">
        <v>1876</v>
      </c>
      <c r="H630" s="16" t="s">
        <v>24</v>
      </c>
      <c r="I630" s="16"/>
      <c r="J630" s="16"/>
      <c r="K630" s="16"/>
      <c r="L630" s="16"/>
      <c r="M630" s="16"/>
      <c r="N630" s="16"/>
      <c r="O630" s="16"/>
      <c r="P630" s="16"/>
      <c r="Q630" s="16"/>
      <c r="R630" s="16" t="s">
        <v>4808</v>
      </c>
      <c r="S630" s="16">
        <v>15.0</v>
      </c>
      <c r="T630" s="16"/>
      <c r="U630" s="16" t="s">
        <v>2796</v>
      </c>
      <c r="V630" s="16" t="s">
        <v>2797</v>
      </c>
      <c r="W630" s="16" t="s">
        <v>459</v>
      </c>
    </row>
    <row r="631">
      <c r="A631" s="16">
        <v>12055.0</v>
      </c>
      <c r="B631" s="16" t="s">
        <v>2798</v>
      </c>
      <c r="C631" s="16">
        <v>0.0</v>
      </c>
      <c r="D631" s="174" t="s">
        <v>2799</v>
      </c>
      <c r="E631" s="16"/>
      <c r="F631" s="16">
        <v>511.0</v>
      </c>
      <c r="G631" s="16" t="s">
        <v>245</v>
      </c>
      <c r="H631" s="16" t="s">
        <v>14</v>
      </c>
      <c r="I631" s="16" t="s">
        <v>15</v>
      </c>
      <c r="J631" s="16" t="s">
        <v>16</v>
      </c>
      <c r="K631" s="16" t="s">
        <v>13</v>
      </c>
      <c r="L631" s="16"/>
      <c r="M631" s="16"/>
      <c r="N631" s="16"/>
      <c r="O631" s="16"/>
      <c r="P631" s="16"/>
      <c r="Q631" s="16"/>
      <c r="R631" s="16"/>
      <c r="S631" s="16">
        <v>10.0</v>
      </c>
      <c r="T631" s="16"/>
      <c r="U631" s="16" t="s">
        <v>2800</v>
      </c>
      <c r="V631" s="16" t="s">
        <v>2801</v>
      </c>
      <c r="W631" s="16" t="s">
        <v>259</v>
      </c>
    </row>
    <row r="632">
      <c r="A632" s="16">
        <v>12056.0</v>
      </c>
      <c r="B632" s="16" t="s">
        <v>2802</v>
      </c>
      <c r="C632" s="16">
        <v>0.68</v>
      </c>
      <c r="D632" s="174" t="s">
        <v>2803</v>
      </c>
      <c r="E632" s="16"/>
      <c r="F632" s="16">
        <v>529.0</v>
      </c>
      <c r="G632" s="16" t="s">
        <v>333</v>
      </c>
      <c r="H632" s="16" t="s">
        <v>25</v>
      </c>
      <c r="I632" s="16" t="s">
        <v>26</v>
      </c>
      <c r="J632" s="16"/>
      <c r="K632" s="16"/>
      <c r="L632" s="16"/>
      <c r="M632" s="16"/>
      <c r="N632" s="16"/>
      <c r="O632" s="16"/>
      <c r="P632" s="16"/>
      <c r="Q632" s="16"/>
      <c r="R632" s="16"/>
      <c r="S632" s="16">
        <v>15.0</v>
      </c>
      <c r="T632" s="16"/>
      <c r="U632" s="16" t="s">
        <v>2804</v>
      </c>
      <c r="V632" s="16" t="s">
        <v>2805</v>
      </c>
      <c r="W632" s="16" t="s">
        <v>179</v>
      </c>
    </row>
    <row r="633">
      <c r="A633" s="16">
        <v>12057.0</v>
      </c>
      <c r="B633" s="16" t="s">
        <v>2806</v>
      </c>
      <c r="C633" s="16">
        <v>0.0</v>
      </c>
      <c r="D633" s="174" t="s">
        <v>2807</v>
      </c>
      <c r="E633" s="16"/>
      <c r="F633" s="16">
        <v>498.0</v>
      </c>
      <c r="G633" s="16" t="s">
        <v>176</v>
      </c>
      <c r="H633" s="16" t="s">
        <v>24</v>
      </c>
      <c r="I633" s="16"/>
      <c r="J633" s="16"/>
      <c r="K633" s="16"/>
      <c r="L633" s="16"/>
      <c r="M633" s="16"/>
      <c r="N633" s="16"/>
      <c r="O633" s="16"/>
      <c r="P633" s="16"/>
      <c r="Q633" s="16"/>
      <c r="R633" s="16"/>
      <c r="S633" s="16">
        <v>-2.0</v>
      </c>
      <c r="T633" s="16"/>
      <c r="U633" s="16" t="s">
        <v>2808</v>
      </c>
      <c r="V633" s="16" t="s">
        <v>2809</v>
      </c>
      <c r="W633" s="16" t="s">
        <v>722</v>
      </c>
    </row>
    <row r="634">
      <c r="A634" s="16">
        <v>12058.0</v>
      </c>
      <c r="B634" s="16" t="s">
        <v>2810</v>
      </c>
      <c r="C634" s="16">
        <v>0.48</v>
      </c>
      <c r="D634" s="174" t="s">
        <v>2811</v>
      </c>
      <c r="E634" s="16"/>
      <c r="F634" s="16">
        <v>498.0</v>
      </c>
      <c r="G634" s="16" t="s">
        <v>176</v>
      </c>
      <c r="H634" s="16" t="s">
        <v>24</v>
      </c>
      <c r="I634" s="16"/>
      <c r="J634" s="16"/>
      <c r="K634" s="16"/>
      <c r="L634" s="16"/>
      <c r="M634" s="16"/>
      <c r="N634" s="16"/>
      <c r="O634" s="16"/>
      <c r="P634" s="16"/>
      <c r="Q634" s="16"/>
      <c r="R634" s="16"/>
      <c r="S634" s="16">
        <v>-2.0</v>
      </c>
      <c r="T634" s="16"/>
      <c r="U634" s="16" t="s">
        <v>2812</v>
      </c>
      <c r="V634" s="16" t="s">
        <v>2813</v>
      </c>
      <c r="W634" s="16" t="s">
        <v>188</v>
      </c>
    </row>
    <row r="635">
      <c r="A635" s="16">
        <v>12059.0</v>
      </c>
      <c r="B635" s="16" t="s">
        <v>2814</v>
      </c>
      <c r="C635" s="16">
        <v>0.36</v>
      </c>
      <c r="D635" s="174" t="s">
        <v>2815</v>
      </c>
      <c r="E635" s="16"/>
      <c r="F635" s="16">
        <v>498.0</v>
      </c>
      <c r="G635" s="16" t="s">
        <v>176</v>
      </c>
      <c r="H635" s="16" t="s">
        <v>24</v>
      </c>
      <c r="I635" s="16"/>
      <c r="J635" s="16"/>
      <c r="K635" s="16"/>
      <c r="L635" s="16"/>
      <c r="M635" s="16"/>
      <c r="N635" s="16"/>
      <c r="O635" s="16"/>
      <c r="P635" s="16"/>
      <c r="Q635" s="16"/>
      <c r="R635" s="16"/>
      <c r="S635" s="16">
        <v>-2.0</v>
      </c>
      <c r="T635" s="16"/>
      <c r="U635" s="16" t="s">
        <v>2816</v>
      </c>
      <c r="V635" s="16" t="s">
        <v>2817</v>
      </c>
      <c r="W635" s="16" t="s">
        <v>1412</v>
      </c>
    </row>
    <row r="636">
      <c r="A636" s="16">
        <v>12060.0</v>
      </c>
      <c r="B636" s="16" t="s">
        <v>2818</v>
      </c>
      <c r="C636" s="16">
        <v>0.0</v>
      </c>
      <c r="D636" s="174" t="s">
        <v>2819</v>
      </c>
      <c r="E636" s="16"/>
      <c r="F636" s="16">
        <v>498.0</v>
      </c>
      <c r="G636" s="16" t="s">
        <v>176</v>
      </c>
      <c r="H636" s="16" t="s">
        <v>24</v>
      </c>
      <c r="I636" s="16" t="s">
        <v>25</v>
      </c>
      <c r="J636" s="16"/>
      <c r="K636" s="16"/>
      <c r="L636" s="16"/>
      <c r="M636" s="16"/>
      <c r="N636" s="16"/>
      <c r="O636" s="16"/>
      <c r="P636" s="16"/>
      <c r="Q636" s="16"/>
      <c r="R636" s="16"/>
      <c r="S636" s="16">
        <v>-2.0</v>
      </c>
      <c r="T636" s="16"/>
      <c r="U636" s="16" t="s">
        <v>2820</v>
      </c>
      <c r="V636" s="16" t="s">
        <v>2821</v>
      </c>
      <c r="W636" s="16" t="s">
        <v>443</v>
      </c>
    </row>
    <row r="637">
      <c r="A637" s="16">
        <v>12061.0</v>
      </c>
      <c r="B637" s="16" t="s">
        <v>2822</v>
      </c>
      <c r="C637" s="16">
        <v>1.54</v>
      </c>
      <c r="D637" s="174" t="s">
        <v>2823</v>
      </c>
      <c r="E637" s="16"/>
      <c r="F637" s="16">
        <v>511.0</v>
      </c>
      <c r="G637" s="16" t="s">
        <v>245</v>
      </c>
      <c r="H637" s="16" t="s">
        <v>12</v>
      </c>
      <c r="I637" s="16"/>
      <c r="J637" s="16"/>
      <c r="K637" s="16"/>
      <c r="L637" s="16"/>
      <c r="M637" s="16"/>
      <c r="N637" s="16"/>
      <c r="O637" s="16"/>
      <c r="P637" s="16"/>
      <c r="Q637" s="16"/>
      <c r="R637" s="16"/>
      <c r="S637" s="16">
        <v>8.0</v>
      </c>
      <c r="T637" s="16"/>
      <c r="U637" s="16" t="s">
        <v>2824</v>
      </c>
      <c r="V637" s="16" t="s">
        <v>2825</v>
      </c>
      <c r="W637" s="16" t="s">
        <v>600</v>
      </c>
    </row>
    <row r="638">
      <c r="A638" s="16">
        <v>12062.0</v>
      </c>
      <c r="B638" s="16" t="s">
        <v>2826</v>
      </c>
      <c r="C638" s="16">
        <v>1.23</v>
      </c>
      <c r="D638" s="174" t="s">
        <v>2827</v>
      </c>
      <c r="E638" s="16"/>
      <c r="F638" s="16">
        <v>532.0</v>
      </c>
      <c r="G638" s="16" t="s">
        <v>346</v>
      </c>
      <c r="H638" s="16" t="s">
        <v>18</v>
      </c>
      <c r="I638" s="16"/>
      <c r="J638" s="16"/>
      <c r="K638" s="16"/>
      <c r="L638" s="16"/>
      <c r="M638" s="16"/>
      <c r="N638" s="16"/>
      <c r="O638" s="16"/>
      <c r="P638" s="16"/>
      <c r="Q638" s="16"/>
      <c r="R638" s="16"/>
      <c r="S638" s="16">
        <v>19.0</v>
      </c>
      <c r="T638" s="16"/>
      <c r="U638" s="16" t="s">
        <v>2828</v>
      </c>
      <c r="V638" s="16" t="s">
        <v>2829</v>
      </c>
      <c r="W638" s="16" t="s">
        <v>491</v>
      </c>
    </row>
    <row r="639">
      <c r="A639" s="16">
        <v>12063.0</v>
      </c>
      <c r="B639" s="16" t="s">
        <v>2830</v>
      </c>
      <c r="C639" s="16">
        <v>0.3</v>
      </c>
      <c r="D639" s="174" t="s">
        <v>2831</v>
      </c>
      <c r="E639" s="16"/>
      <c r="F639" s="16">
        <v>526.0</v>
      </c>
      <c r="G639" s="16" t="s">
        <v>212</v>
      </c>
      <c r="H639" s="16" t="s">
        <v>25</v>
      </c>
      <c r="I639" s="16" t="s">
        <v>26</v>
      </c>
      <c r="J639" s="16"/>
      <c r="K639" s="16"/>
      <c r="L639" s="16"/>
      <c r="M639" s="16"/>
      <c r="N639" s="16"/>
      <c r="O639" s="16"/>
      <c r="P639" s="16"/>
      <c r="Q639" s="16"/>
      <c r="R639" s="16"/>
      <c r="S639" s="16">
        <v>1.0</v>
      </c>
      <c r="T639" s="174" t="s">
        <v>4747</v>
      </c>
      <c r="U639" s="16" t="s">
        <v>2832</v>
      </c>
      <c r="V639" s="16" t="s">
        <v>2833</v>
      </c>
      <c r="W639" s="16" t="s">
        <v>332</v>
      </c>
    </row>
    <row r="640">
      <c r="A640" s="16">
        <v>12064.0</v>
      </c>
      <c r="B640" s="16" t="s">
        <v>2834</v>
      </c>
      <c r="C640" s="16">
        <v>0.0</v>
      </c>
      <c r="D640" s="174" t="s">
        <v>2835</v>
      </c>
      <c r="E640" s="16"/>
      <c r="F640" s="16">
        <v>498.0</v>
      </c>
      <c r="G640" s="16" t="s">
        <v>176</v>
      </c>
      <c r="H640" s="16" t="s">
        <v>13</v>
      </c>
      <c r="I640" s="16"/>
      <c r="J640" s="16"/>
      <c r="K640" s="16"/>
      <c r="L640" s="16"/>
      <c r="M640" s="16"/>
      <c r="N640" s="16"/>
      <c r="O640" s="16"/>
      <c r="P640" s="16"/>
      <c r="Q640" s="16"/>
      <c r="R640" s="16"/>
      <c r="S640" s="16">
        <v>-2.0</v>
      </c>
      <c r="T640" s="16"/>
      <c r="U640" s="16" t="s">
        <v>2836</v>
      </c>
      <c r="V640" s="16" t="s">
        <v>2837</v>
      </c>
      <c r="W640" s="16" t="s">
        <v>332</v>
      </c>
    </row>
    <row r="641">
      <c r="A641" s="16">
        <v>12065.0</v>
      </c>
      <c r="B641" s="16" t="s">
        <v>2838</v>
      </c>
      <c r="C641" s="16">
        <v>0.37</v>
      </c>
      <c r="D641" s="174" t="s">
        <v>2839</v>
      </c>
      <c r="E641" s="16"/>
      <c r="F641" s="16">
        <v>519.0</v>
      </c>
      <c r="G641" s="16" t="s">
        <v>1452</v>
      </c>
      <c r="H641" s="16" t="s">
        <v>12</v>
      </c>
      <c r="I641" s="16"/>
      <c r="J641" s="16"/>
      <c r="K641" s="16"/>
      <c r="L641" s="16"/>
      <c r="M641" s="16"/>
      <c r="N641" s="16"/>
      <c r="O641" s="16"/>
      <c r="P641" s="16"/>
      <c r="Q641" s="16"/>
      <c r="R641" s="16"/>
      <c r="S641" s="16">
        <v>15.0</v>
      </c>
      <c r="T641" s="16"/>
      <c r="U641" s="16" t="s">
        <v>2840</v>
      </c>
      <c r="V641" s="16" t="s">
        <v>2841</v>
      </c>
      <c r="W641" s="16" t="s">
        <v>478</v>
      </c>
    </row>
    <row r="642">
      <c r="A642" s="16">
        <v>12066.0</v>
      </c>
      <c r="B642" s="16" t="s">
        <v>2842</v>
      </c>
      <c r="C642" s="16">
        <v>0.58</v>
      </c>
      <c r="D642" s="174" t="s">
        <v>2843</v>
      </c>
      <c r="E642" s="16"/>
      <c r="F642" s="16">
        <v>508.0</v>
      </c>
      <c r="G642" s="16" t="s">
        <v>4754</v>
      </c>
      <c r="H642" s="16" t="s">
        <v>25</v>
      </c>
      <c r="I642" s="16"/>
      <c r="J642" s="16"/>
      <c r="K642" s="16"/>
      <c r="L642" s="16"/>
      <c r="M642" s="16"/>
      <c r="N642" s="16"/>
      <c r="O642" s="16"/>
      <c r="P642" s="16"/>
      <c r="Q642" s="16"/>
      <c r="R642" s="16"/>
      <c r="S642" s="16">
        <v>17.0</v>
      </c>
      <c r="T642" s="16"/>
      <c r="U642" s="16" t="s">
        <v>2844</v>
      </c>
      <c r="V642" s="16" t="s">
        <v>2845</v>
      </c>
      <c r="W642" s="16" t="s">
        <v>640</v>
      </c>
    </row>
    <row r="643">
      <c r="A643" s="16">
        <v>12067.0</v>
      </c>
      <c r="B643" s="16" t="s">
        <v>2846</v>
      </c>
      <c r="C643" s="16">
        <v>0.18</v>
      </c>
      <c r="D643" s="174" t="s">
        <v>2847</v>
      </c>
      <c r="E643" s="16"/>
      <c r="F643" s="16">
        <v>528.0</v>
      </c>
      <c r="G643" s="16" t="s">
        <v>1755</v>
      </c>
      <c r="H643" s="16" t="s">
        <v>25</v>
      </c>
      <c r="I643" s="16"/>
      <c r="J643" s="16"/>
      <c r="K643" s="16"/>
      <c r="L643" s="16"/>
      <c r="M643" s="16"/>
      <c r="N643" s="16"/>
      <c r="O643" s="16"/>
      <c r="P643" s="16"/>
      <c r="Q643" s="16"/>
      <c r="R643" s="16"/>
      <c r="S643" s="16">
        <v>14.0</v>
      </c>
      <c r="T643" s="174" t="s">
        <v>4765</v>
      </c>
      <c r="U643" s="16" t="s">
        <v>2848</v>
      </c>
      <c r="V643" s="16" t="s">
        <v>2849</v>
      </c>
      <c r="W643" s="16" t="s">
        <v>179</v>
      </c>
    </row>
    <row r="644">
      <c r="A644" s="16">
        <v>12068.0</v>
      </c>
      <c r="B644" s="16" t="s">
        <v>2850</v>
      </c>
      <c r="C644" s="16">
        <v>1.47</v>
      </c>
      <c r="D644" s="174" t="s">
        <v>2851</v>
      </c>
      <c r="E644" s="16"/>
      <c r="F644" s="16">
        <v>517.0</v>
      </c>
      <c r="G644" s="16" t="s">
        <v>277</v>
      </c>
      <c r="H644" s="16" t="s">
        <v>17</v>
      </c>
      <c r="I644" s="16"/>
      <c r="J644" s="16"/>
      <c r="K644" s="16"/>
      <c r="L644" s="16"/>
      <c r="M644" s="16"/>
      <c r="N644" s="16"/>
      <c r="O644" s="16"/>
      <c r="P644" s="16"/>
      <c r="Q644" s="16"/>
      <c r="R644" s="16"/>
      <c r="S644" s="16">
        <v>1.0</v>
      </c>
      <c r="T644" s="174" t="s">
        <v>4809</v>
      </c>
      <c r="U644" s="16" t="s">
        <v>2852</v>
      </c>
      <c r="V644" s="16" t="s">
        <v>2853</v>
      </c>
      <c r="W644" s="16" t="s">
        <v>188</v>
      </c>
    </row>
    <row r="645">
      <c r="A645" s="16">
        <v>12069.0</v>
      </c>
      <c r="B645" s="16" t="s">
        <v>2854</v>
      </c>
      <c r="C645" s="16">
        <v>0.0</v>
      </c>
      <c r="D645" s="174" t="s">
        <v>2855</v>
      </c>
      <c r="E645" s="16"/>
      <c r="F645" s="16">
        <v>498.0</v>
      </c>
      <c r="G645" s="16" t="s">
        <v>176</v>
      </c>
      <c r="H645" s="16" t="s">
        <v>17</v>
      </c>
      <c r="I645" s="16" t="s">
        <v>18</v>
      </c>
      <c r="J645" s="16" t="s">
        <v>19</v>
      </c>
      <c r="K645" s="16"/>
      <c r="L645" s="16"/>
      <c r="M645" s="16"/>
      <c r="N645" s="16"/>
      <c r="O645" s="16"/>
      <c r="P645" s="16"/>
      <c r="Q645" s="16"/>
      <c r="R645" s="16"/>
      <c r="S645" s="16">
        <v>-2.0</v>
      </c>
      <c r="T645" s="16"/>
      <c r="U645" s="16" t="s">
        <v>2856</v>
      </c>
      <c r="V645" s="16" t="s">
        <v>2857</v>
      </c>
      <c r="W645" s="16" t="s">
        <v>360</v>
      </c>
    </row>
    <row r="646">
      <c r="A646" s="16">
        <v>12070.0</v>
      </c>
      <c r="B646" s="16" t="s">
        <v>2858</v>
      </c>
      <c r="C646" s="16">
        <v>4.02</v>
      </c>
      <c r="D646" s="174" t="s">
        <v>2859</v>
      </c>
      <c r="E646" s="16"/>
      <c r="F646" s="16">
        <v>502.0</v>
      </c>
      <c r="G646" s="16" t="s">
        <v>200</v>
      </c>
      <c r="H646" s="16" t="s">
        <v>19</v>
      </c>
      <c r="I646" s="16"/>
      <c r="J646" s="16"/>
      <c r="K646" s="16"/>
      <c r="L646" s="16"/>
      <c r="M646" s="16"/>
      <c r="N646" s="16"/>
      <c r="O646" s="16"/>
      <c r="P646" s="16"/>
      <c r="Q646" s="16"/>
      <c r="R646" s="16"/>
      <c r="S646" s="16">
        <v>12.0</v>
      </c>
      <c r="T646" s="174" t="s">
        <v>4810</v>
      </c>
      <c r="U646" s="16" t="s">
        <v>2862</v>
      </c>
      <c r="V646" s="16" t="s">
        <v>2863</v>
      </c>
      <c r="W646" s="16" t="s">
        <v>942</v>
      </c>
    </row>
    <row r="647">
      <c r="A647" s="16">
        <v>12071.0</v>
      </c>
      <c r="B647" s="16" t="s">
        <v>2864</v>
      </c>
      <c r="C647" s="16">
        <v>0.68</v>
      </c>
      <c r="D647" s="174" t="s">
        <v>2865</v>
      </c>
      <c r="E647" s="16"/>
      <c r="F647" s="16">
        <v>498.0</v>
      </c>
      <c r="G647" s="16" t="s">
        <v>176</v>
      </c>
      <c r="H647" s="16" t="s">
        <v>24</v>
      </c>
      <c r="I647" s="16" t="s">
        <v>25</v>
      </c>
      <c r="J647" s="16"/>
      <c r="K647" s="16"/>
      <c r="L647" s="16"/>
      <c r="M647" s="16"/>
      <c r="N647" s="16"/>
      <c r="O647" s="16"/>
      <c r="P647" s="16"/>
      <c r="Q647" s="16"/>
      <c r="R647" s="16"/>
      <c r="S647" s="16">
        <v>-2.0</v>
      </c>
      <c r="T647" s="16"/>
      <c r="U647" s="16" t="s">
        <v>2866</v>
      </c>
      <c r="V647" s="16" t="s">
        <v>2867</v>
      </c>
      <c r="W647" s="16" t="s">
        <v>199</v>
      </c>
    </row>
    <row r="648">
      <c r="A648" s="16">
        <v>12072.0</v>
      </c>
      <c r="B648" s="16" t="s">
        <v>2868</v>
      </c>
      <c r="C648" s="16">
        <v>1.52</v>
      </c>
      <c r="D648" s="174" t="s">
        <v>2869</v>
      </c>
      <c r="E648" s="16"/>
      <c r="F648" s="16">
        <v>520.0</v>
      </c>
      <c r="G648" s="16" t="s">
        <v>292</v>
      </c>
      <c r="H648" s="16" t="s">
        <v>13</v>
      </c>
      <c r="I648" s="16" t="s">
        <v>19</v>
      </c>
      <c r="J648" s="16" t="s">
        <v>17</v>
      </c>
      <c r="K648" s="16"/>
      <c r="L648" s="16"/>
      <c r="M648" s="16"/>
      <c r="N648" s="16"/>
      <c r="O648" s="16"/>
      <c r="P648" s="16"/>
      <c r="Q648" s="16"/>
      <c r="R648" s="16"/>
      <c r="S648" s="16">
        <v>11.0</v>
      </c>
      <c r="T648" s="16"/>
      <c r="U648" s="16" t="s">
        <v>2870</v>
      </c>
      <c r="V648" s="16" t="s">
        <v>2871</v>
      </c>
      <c r="W648" s="16" t="s">
        <v>722</v>
      </c>
    </row>
    <row r="649">
      <c r="A649" s="16">
        <v>12073.0</v>
      </c>
      <c r="B649" s="16" t="s">
        <v>2872</v>
      </c>
      <c r="C649" s="16">
        <v>0.19</v>
      </c>
      <c r="D649" s="174" t="s">
        <v>2873</v>
      </c>
      <c r="E649" s="16"/>
      <c r="F649" s="16">
        <v>498.0</v>
      </c>
      <c r="G649" s="16" t="s">
        <v>176</v>
      </c>
      <c r="H649" s="16" t="s">
        <v>24</v>
      </c>
      <c r="I649" s="16"/>
      <c r="J649" s="16"/>
      <c r="K649" s="16"/>
      <c r="L649" s="16"/>
      <c r="M649" s="16"/>
      <c r="N649" s="16"/>
      <c r="O649" s="16"/>
      <c r="P649" s="16"/>
      <c r="Q649" s="16"/>
      <c r="R649" s="16"/>
      <c r="S649" s="16">
        <v>15.0</v>
      </c>
      <c r="T649" s="16"/>
      <c r="U649" s="16" t="s">
        <v>2874</v>
      </c>
      <c r="V649" s="16" t="s">
        <v>2875</v>
      </c>
      <c r="W649" s="16" t="s">
        <v>675</v>
      </c>
    </row>
    <row r="650">
      <c r="A650" s="16">
        <v>12074.0</v>
      </c>
      <c r="B650" s="16" t="s">
        <v>2876</v>
      </c>
      <c r="C650" s="16">
        <v>0.89</v>
      </c>
      <c r="D650" s="174" t="s">
        <v>2877</v>
      </c>
      <c r="E650" s="16"/>
      <c r="F650" s="16">
        <v>517.0</v>
      </c>
      <c r="G650" s="16" t="s">
        <v>277</v>
      </c>
      <c r="H650" s="16" t="s">
        <v>24</v>
      </c>
      <c r="I650" s="16" t="s">
        <v>25</v>
      </c>
      <c r="J650" s="16"/>
      <c r="K650" s="16"/>
      <c r="L650" s="16"/>
      <c r="M650" s="16"/>
      <c r="N650" s="16"/>
      <c r="O650" s="16"/>
      <c r="P650" s="16"/>
      <c r="Q650" s="16"/>
      <c r="R650" s="16"/>
      <c r="S650" s="16">
        <v>1.0</v>
      </c>
      <c r="T650" s="16"/>
      <c r="U650" s="16" t="s">
        <v>2878</v>
      </c>
      <c r="V650" s="16" t="s">
        <v>2879</v>
      </c>
      <c r="W650" s="16" t="s">
        <v>332</v>
      </c>
    </row>
    <row r="651">
      <c r="A651" s="16">
        <v>12075.0</v>
      </c>
      <c r="B651" s="16" t="s">
        <v>2880</v>
      </c>
      <c r="C651" s="16">
        <v>0.98</v>
      </c>
      <c r="D651" s="174" t="s">
        <v>2881</v>
      </c>
      <c r="E651" s="16"/>
      <c r="F651" s="16">
        <v>520.0</v>
      </c>
      <c r="G651" s="16" t="s">
        <v>292</v>
      </c>
      <c r="H651" s="16" t="s">
        <v>24</v>
      </c>
      <c r="I651" s="16" t="s">
        <v>25</v>
      </c>
      <c r="J651" s="16" t="s">
        <v>26</v>
      </c>
      <c r="K651" s="16"/>
      <c r="L651" s="16"/>
      <c r="M651" s="16"/>
      <c r="N651" s="16"/>
      <c r="O651" s="16"/>
      <c r="P651" s="16"/>
      <c r="Q651" s="16"/>
      <c r="R651" s="16"/>
      <c r="S651" s="16">
        <v>11.0</v>
      </c>
      <c r="T651" s="16"/>
      <c r="U651" s="16" t="s">
        <v>2882</v>
      </c>
      <c r="V651" s="16" t="s">
        <v>2883</v>
      </c>
      <c r="W651" s="16" t="s">
        <v>360</v>
      </c>
    </row>
    <row r="652">
      <c r="A652" s="16">
        <v>12076.0</v>
      </c>
      <c r="B652" s="16" t="s">
        <v>2884</v>
      </c>
      <c r="C652" s="16">
        <v>0.16</v>
      </c>
      <c r="D652" s="174" t="s">
        <v>2885</v>
      </c>
      <c r="E652" s="16"/>
      <c r="F652" s="16">
        <v>520.0</v>
      </c>
      <c r="G652" s="16" t="s">
        <v>292</v>
      </c>
      <c r="H652" s="16" t="s">
        <v>19</v>
      </c>
      <c r="I652" s="16" t="s">
        <v>18</v>
      </c>
      <c r="J652" s="16"/>
      <c r="K652" s="16"/>
      <c r="L652" s="16"/>
      <c r="M652" s="16"/>
      <c r="N652" s="16"/>
      <c r="O652" s="16"/>
      <c r="P652" s="16"/>
      <c r="Q652" s="16"/>
      <c r="R652" s="16"/>
      <c r="S652" s="16">
        <v>1.0</v>
      </c>
      <c r="T652" s="16"/>
      <c r="U652" s="16" t="s">
        <v>2886</v>
      </c>
      <c r="V652" s="16" t="s">
        <v>2887</v>
      </c>
      <c r="W652" s="16" t="s">
        <v>722</v>
      </c>
    </row>
    <row r="653">
      <c r="A653" s="16">
        <v>12077.0</v>
      </c>
      <c r="B653" s="16" t="s">
        <v>2888</v>
      </c>
      <c r="C653" s="16">
        <v>1.07</v>
      </c>
      <c r="D653" s="174" t="s">
        <v>2889</v>
      </c>
      <c r="E653" s="16"/>
      <c r="F653" s="16">
        <v>500.0</v>
      </c>
      <c r="G653" s="16" t="s">
        <v>120</v>
      </c>
      <c r="H653" s="16" t="s">
        <v>19</v>
      </c>
      <c r="I653" s="16" t="s">
        <v>17</v>
      </c>
      <c r="J653" s="16" t="s">
        <v>18</v>
      </c>
      <c r="K653" s="16"/>
      <c r="L653" s="16"/>
      <c r="M653" s="16"/>
      <c r="N653" s="16"/>
      <c r="O653" s="16"/>
      <c r="P653" s="16"/>
      <c r="Q653" s="16"/>
      <c r="R653" s="16" t="s">
        <v>4758</v>
      </c>
      <c r="S653" s="16">
        <v>16.0</v>
      </c>
      <c r="T653" s="16"/>
      <c r="U653" s="16" t="s">
        <v>2890</v>
      </c>
      <c r="V653" s="16" t="s">
        <v>2891</v>
      </c>
      <c r="W653" s="16" t="s">
        <v>616</v>
      </c>
    </row>
    <row r="654">
      <c r="A654" s="16">
        <v>12078.0</v>
      </c>
      <c r="B654" s="16" t="s">
        <v>2892</v>
      </c>
      <c r="C654" s="16">
        <v>1.93</v>
      </c>
      <c r="D654" s="174" t="s">
        <v>2893</v>
      </c>
      <c r="E654" s="16"/>
      <c r="F654" s="16">
        <v>514.0</v>
      </c>
      <c r="G654" s="16" t="s">
        <v>260</v>
      </c>
      <c r="H654" s="16" t="s">
        <v>19</v>
      </c>
      <c r="I654" s="16" t="s">
        <v>18</v>
      </c>
      <c r="J654" s="16"/>
      <c r="K654" s="16"/>
      <c r="L654" s="16"/>
      <c r="M654" s="16"/>
      <c r="N654" s="16"/>
      <c r="O654" s="16"/>
      <c r="P654" s="16"/>
      <c r="Q654" s="16"/>
      <c r="R654" s="16"/>
      <c r="S654" s="16">
        <v>18.0</v>
      </c>
      <c r="T654" s="16"/>
      <c r="U654" s="16" t="s">
        <v>2894</v>
      </c>
      <c r="V654" s="16" t="s">
        <v>2895</v>
      </c>
      <c r="W654" s="16" t="s">
        <v>491</v>
      </c>
    </row>
    <row r="655">
      <c r="A655" s="16">
        <v>12079.0</v>
      </c>
      <c r="B655" s="16" t="s">
        <v>2896</v>
      </c>
      <c r="C655" s="16">
        <v>0.0</v>
      </c>
      <c r="D655" s="174" t="s">
        <v>2897</v>
      </c>
      <c r="E655" s="16"/>
      <c r="F655" s="16">
        <v>526.0</v>
      </c>
      <c r="G655" s="16" t="s">
        <v>212</v>
      </c>
      <c r="H655" s="16" t="s">
        <v>15</v>
      </c>
      <c r="I655" s="16" t="s">
        <v>14</v>
      </c>
      <c r="J655" s="16" t="s">
        <v>13</v>
      </c>
      <c r="K655" s="16"/>
      <c r="L655" s="16"/>
      <c r="M655" s="16"/>
      <c r="N655" s="16"/>
      <c r="O655" s="16"/>
      <c r="P655" s="16"/>
      <c r="Q655" s="16"/>
      <c r="R655" s="16"/>
      <c r="S655" s="16">
        <v>13.0</v>
      </c>
      <c r="T655" s="174" t="s">
        <v>4765</v>
      </c>
      <c r="U655" s="16" t="s">
        <v>2898</v>
      </c>
      <c r="V655" s="16" t="s">
        <v>2899</v>
      </c>
      <c r="W655" s="16" t="s">
        <v>179</v>
      </c>
    </row>
    <row r="656">
      <c r="A656" s="16">
        <v>12080.0</v>
      </c>
      <c r="B656" s="16" t="s">
        <v>2900</v>
      </c>
      <c r="C656" s="16">
        <v>1.24</v>
      </c>
      <c r="D656" s="174" t="s">
        <v>2901</v>
      </c>
      <c r="E656" s="16"/>
      <c r="F656" s="16">
        <v>519.0</v>
      </c>
      <c r="G656" s="16" t="s">
        <v>1452</v>
      </c>
      <c r="H656" s="16" t="s">
        <v>16</v>
      </c>
      <c r="I656" s="16" t="s">
        <v>14</v>
      </c>
      <c r="J656" s="16"/>
      <c r="K656" s="16"/>
      <c r="L656" s="16"/>
      <c r="M656" s="16"/>
      <c r="N656" s="16"/>
      <c r="O656" s="16"/>
      <c r="P656" s="16"/>
      <c r="Q656" s="16"/>
      <c r="R656" s="16"/>
      <c r="S656" s="16">
        <v>15.0</v>
      </c>
      <c r="T656" s="16"/>
      <c r="U656" s="16" t="s">
        <v>2902</v>
      </c>
      <c r="V656" s="16" t="s">
        <v>2903</v>
      </c>
      <c r="W656" s="16" t="s">
        <v>332</v>
      </c>
    </row>
    <row r="657">
      <c r="A657" s="16">
        <v>12081.0</v>
      </c>
      <c r="B657" s="16" t="s">
        <v>2904</v>
      </c>
      <c r="C657" s="16">
        <v>1.01</v>
      </c>
      <c r="D657" s="174" t="s">
        <v>2905</v>
      </c>
      <c r="E657" s="16"/>
      <c r="F657" s="16">
        <v>504.0</v>
      </c>
      <c r="G657" s="16" t="s">
        <v>1465</v>
      </c>
      <c r="H657" s="16" t="s">
        <v>16</v>
      </c>
      <c r="I657" s="16" t="s">
        <v>14</v>
      </c>
      <c r="J657" s="16" t="s">
        <v>15</v>
      </c>
      <c r="K657" s="16"/>
      <c r="L657" s="16"/>
      <c r="M657" s="16"/>
      <c r="N657" s="16"/>
      <c r="O657" s="16"/>
      <c r="P657" s="16"/>
      <c r="Q657" s="16"/>
      <c r="R657" s="16"/>
      <c r="S657" s="16">
        <v>9.0</v>
      </c>
      <c r="T657" s="16"/>
      <c r="U657" s="16" t="s">
        <v>2906</v>
      </c>
      <c r="V657" s="16" t="s">
        <v>2907</v>
      </c>
      <c r="W657" s="16" t="s">
        <v>199</v>
      </c>
    </row>
    <row r="658">
      <c r="A658" s="16">
        <v>12082.0</v>
      </c>
      <c r="B658" s="16" t="s">
        <v>2908</v>
      </c>
      <c r="C658" s="16">
        <v>0.27</v>
      </c>
      <c r="D658" s="174" t="s">
        <v>2909</v>
      </c>
      <c r="E658" s="16"/>
      <c r="F658" s="16">
        <v>505.0</v>
      </c>
      <c r="G658" s="16" t="s">
        <v>4656</v>
      </c>
      <c r="H658" s="16" t="s">
        <v>18</v>
      </c>
      <c r="I658" s="16"/>
      <c r="J658" s="16"/>
      <c r="K658" s="16"/>
      <c r="L658" s="16"/>
      <c r="M658" s="16"/>
      <c r="N658" s="16"/>
      <c r="O658" s="16"/>
      <c r="P658" s="16"/>
      <c r="Q658" s="16"/>
      <c r="R658" s="16" t="s">
        <v>4811</v>
      </c>
      <c r="S658" s="16">
        <v>10.0</v>
      </c>
      <c r="T658" s="16"/>
      <c r="U658" s="16" t="s">
        <v>2910</v>
      </c>
      <c r="V658" s="16" t="s">
        <v>2911</v>
      </c>
      <c r="W658" s="16" t="s">
        <v>188</v>
      </c>
    </row>
    <row r="659">
      <c r="A659" s="16">
        <v>12083.0</v>
      </c>
      <c r="B659" s="16" t="s">
        <v>2912</v>
      </c>
      <c r="C659" s="16">
        <v>0.0</v>
      </c>
      <c r="D659" s="174" t="s">
        <v>2913</v>
      </c>
      <c r="E659" s="16"/>
      <c r="F659" s="16">
        <v>498.0</v>
      </c>
      <c r="G659" s="16" t="s">
        <v>176</v>
      </c>
      <c r="H659" s="16" t="s">
        <v>25</v>
      </c>
      <c r="I659" s="16" t="s">
        <v>26</v>
      </c>
      <c r="J659" s="16"/>
      <c r="K659" s="16"/>
      <c r="L659" s="16"/>
      <c r="M659" s="16"/>
      <c r="N659" s="16"/>
      <c r="O659" s="16"/>
      <c r="P659" s="16"/>
      <c r="Q659" s="16"/>
      <c r="R659" s="16"/>
      <c r="S659" s="16">
        <v>-2.0</v>
      </c>
      <c r="T659" s="16"/>
      <c r="U659" s="16" t="s">
        <v>2914</v>
      </c>
      <c r="V659" s="16" t="s">
        <v>2915</v>
      </c>
      <c r="W659" s="16" t="s">
        <v>199</v>
      </c>
    </row>
    <row r="660">
      <c r="A660" s="16">
        <v>12084.0</v>
      </c>
      <c r="B660" s="16" t="s">
        <v>2916</v>
      </c>
      <c r="C660" s="16">
        <v>1.21</v>
      </c>
      <c r="D660" s="174" t="s">
        <v>2917</v>
      </c>
      <c r="E660" s="16"/>
      <c r="F660" s="16">
        <v>514.0</v>
      </c>
      <c r="G660" s="16" t="s">
        <v>260</v>
      </c>
      <c r="H660" s="16" t="s">
        <v>24</v>
      </c>
      <c r="I660" s="16"/>
      <c r="J660" s="16"/>
      <c r="K660" s="16"/>
      <c r="L660" s="16"/>
      <c r="M660" s="16"/>
      <c r="N660" s="16"/>
      <c r="O660" s="16"/>
      <c r="P660" s="16"/>
      <c r="Q660" s="16"/>
      <c r="R660" s="16"/>
      <c r="S660" s="16">
        <v>1.0</v>
      </c>
      <c r="T660" s="16"/>
      <c r="U660" s="16" t="s">
        <v>2918</v>
      </c>
      <c r="V660" s="16" t="s">
        <v>2919</v>
      </c>
      <c r="W660" s="16" t="s">
        <v>231</v>
      </c>
    </row>
    <row r="661">
      <c r="A661" s="16">
        <v>12085.0</v>
      </c>
      <c r="B661" s="16" t="s">
        <v>2920</v>
      </c>
      <c r="C661" s="16">
        <v>1.5</v>
      </c>
      <c r="D661" s="174" t="s">
        <v>2921</v>
      </c>
      <c r="E661" s="16"/>
      <c r="F661" s="16">
        <v>525.0</v>
      </c>
      <c r="G661" s="16" t="s">
        <v>672</v>
      </c>
      <c r="H661" s="16" t="s">
        <v>12</v>
      </c>
      <c r="I661" s="16"/>
      <c r="J661" s="16"/>
      <c r="K661" s="16"/>
      <c r="L661" s="16"/>
      <c r="M661" s="16"/>
      <c r="N661" s="16"/>
      <c r="O661" s="16"/>
      <c r="P661" s="16"/>
      <c r="Q661" s="16"/>
      <c r="R661" s="16"/>
      <c r="S661" s="16">
        <v>2.0</v>
      </c>
      <c r="T661" s="16"/>
      <c r="U661" s="16" t="s">
        <v>2922</v>
      </c>
      <c r="V661" s="16" t="s">
        <v>2923</v>
      </c>
      <c r="W661" s="16" t="s">
        <v>491</v>
      </c>
    </row>
    <row r="662">
      <c r="A662" s="16">
        <v>12086.0</v>
      </c>
      <c r="B662" s="16" t="s">
        <v>2924</v>
      </c>
      <c r="C662" s="16">
        <v>0.0</v>
      </c>
      <c r="D662" s="174" t="s">
        <v>2925</v>
      </c>
      <c r="E662" s="16"/>
      <c r="F662" s="16">
        <v>498.0</v>
      </c>
      <c r="G662" s="16" t="s">
        <v>176</v>
      </c>
      <c r="H662" s="16" t="s">
        <v>24</v>
      </c>
      <c r="I662" s="16"/>
      <c r="J662" s="16"/>
      <c r="K662" s="16"/>
      <c r="L662" s="16"/>
      <c r="M662" s="16"/>
      <c r="N662" s="16"/>
      <c r="O662" s="16"/>
      <c r="P662" s="16"/>
      <c r="Q662" s="16"/>
      <c r="R662" s="16"/>
      <c r="S662" s="16">
        <v>-2.0</v>
      </c>
      <c r="T662" s="16"/>
      <c r="U662" s="16" t="s">
        <v>2926</v>
      </c>
      <c r="V662" s="16" t="s">
        <v>2927</v>
      </c>
      <c r="W662" s="16" t="s">
        <v>179</v>
      </c>
    </row>
    <row r="663">
      <c r="A663" s="16">
        <v>12087.0</v>
      </c>
      <c r="B663" s="16" t="s">
        <v>2928</v>
      </c>
      <c r="C663" s="16">
        <v>1.63</v>
      </c>
      <c r="D663" s="174" t="s">
        <v>2929</v>
      </c>
      <c r="E663" s="16"/>
      <c r="F663" s="16">
        <v>541.0</v>
      </c>
      <c r="G663" s="16" t="s">
        <v>387</v>
      </c>
      <c r="H663" s="16" t="s">
        <v>24</v>
      </c>
      <c r="I663" s="16"/>
      <c r="J663" s="16"/>
      <c r="K663" s="16"/>
      <c r="L663" s="16"/>
      <c r="M663" s="16"/>
      <c r="N663" s="16"/>
      <c r="O663" s="16"/>
      <c r="P663" s="16"/>
      <c r="Q663" s="16"/>
      <c r="R663" s="16"/>
      <c r="S663" s="16">
        <v>14.0</v>
      </c>
      <c r="T663" s="174" t="s">
        <v>4812</v>
      </c>
      <c r="U663" s="16" t="s">
        <v>2930</v>
      </c>
      <c r="V663" s="16" t="s">
        <v>2931</v>
      </c>
      <c r="W663" s="16" t="s">
        <v>231</v>
      </c>
    </row>
    <row r="664">
      <c r="A664" s="16">
        <v>12088.0</v>
      </c>
      <c r="B664" s="16" t="s">
        <v>2932</v>
      </c>
      <c r="C664" s="16">
        <v>0.0</v>
      </c>
      <c r="D664" s="174" t="s">
        <v>2933</v>
      </c>
      <c r="E664" s="16"/>
      <c r="F664" s="16">
        <v>498.0</v>
      </c>
      <c r="G664" s="16" t="s">
        <v>176</v>
      </c>
      <c r="H664" s="16" t="s">
        <v>24</v>
      </c>
      <c r="I664" s="16" t="s">
        <v>25</v>
      </c>
      <c r="J664" s="16"/>
      <c r="K664" s="16"/>
      <c r="L664" s="16"/>
      <c r="M664" s="16"/>
      <c r="N664" s="16"/>
      <c r="O664" s="16"/>
      <c r="P664" s="16"/>
      <c r="Q664" s="16"/>
      <c r="R664" s="16"/>
      <c r="S664" s="16">
        <v>-2.0</v>
      </c>
      <c r="T664" s="16"/>
      <c r="U664" s="16" t="s">
        <v>2934</v>
      </c>
      <c r="V664" s="16" t="s">
        <v>2935</v>
      </c>
      <c r="W664" s="16" t="s">
        <v>332</v>
      </c>
    </row>
    <row r="665">
      <c r="A665" s="16">
        <v>12089.0</v>
      </c>
      <c r="B665" s="16" t="s">
        <v>2936</v>
      </c>
      <c r="C665" s="16">
        <v>1.05</v>
      </c>
      <c r="D665" s="174" t="s">
        <v>2937</v>
      </c>
      <c r="E665" s="16"/>
      <c r="F665" s="16">
        <v>541.0</v>
      </c>
      <c r="G665" s="16" t="s">
        <v>387</v>
      </c>
      <c r="H665" s="16" t="s">
        <v>17</v>
      </c>
      <c r="I665" s="16" t="s">
        <v>13</v>
      </c>
      <c r="J665" s="16"/>
      <c r="K665" s="16"/>
      <c r="L665" s="16"/>
      <c r="M665" s="16"/>
      <c r="N665" s="16"/>
      <c r="O665" s="16"/>
      <c r="P665" s="16"/>
      <c r="Q665" s="16"/>
      <c r="R665" s="16"/>
      <c r="S665" s="16">
        <v>1.0</v>
      </c>
      <c r="T665" s="16"/>
      <c r="U665" s="16" t="s">
        <v>2938</v>
      </c>
      <c r="V665" s="16" t="s">
        <v>2939</v>
      </c>
      <c r="W665" s="16" t="s">
        <v>491</v>
      </c>
    </row>
    <row r="666">
      <c r="A666" s="16">
        <v>12090.0</v>
      </c>
      <c r="B666" s="16" t="s">
        <v>2940</v>
      </c>
      <c r="C666" s="16">
        <v>0.93</v>
      </c>
      <c r="D666" s="174" t="s">
        <v>2941</v>
      </c>
      <c r="E666" s="16"/>
      <c r="F666" s="16">
        <v>538.0</v>
      </c>
      <c r="G666" s="16" t="s">
        <v>289</v>
      </c>
      <c r="H666" s="16" t="s">
        <v>25</v>
      </c>
      <c r="I666" s="16" t="s">
        <v>26</v>
      </c>
      <c r="J666" s="16"/>
      <c r="K666" s="16"/>
      <c r="L666" s="16"/>
      <c r="M666" s="16"/>
      <c r="N666" s="16"/>
      <c r="O666" s="16"/>
      <c r="P666" s="16"/>
      <c r="Q666" s="16"/>
      <c r="R666" s="16"/>
      <c r="S666" s="16">
        <v>14.0</v>
      </c>
      <c r="T666" s="16"/>
      <c r="U666" s="16" t="s">
        <v>2942</v>
      </c>
      <c r="V666" s="16" t="s">
        <v>2943</v>
      </c>
      <c r="W666" s="16" t="s">
        <v>179</v>
      </c>
    </row>
    <row r="667">
      <c r="A667" s="16">
        <v>12091.0</v>
      </c>
      <c r="B667" s="16" t="s">
        <v>2944</v>
      </c>
      <c r="C667" s="16">
        <v>0.49</v>
      </c>
      <c r="D667" s="174" t="s">
        <v>2945</v>
      </c>
      <c r="E667" s="16"/>
      <c r="F667" s="16">
        <v>498.0</v>
      </c>
      <c r="G667" s="16" t="s">
        <v>176</v>
      </c>
      <c r="H667" s="16" t="s">
        <v>25</v>
      </c>
      <c r="I667" s="16" t="s">
        <v>26</v>
      </c>
      <c r="J667" s="16"/>
      <c r="K667" s="16"/>
      <c r="L667" s="16"/>
      <c r="M667" s="16"/>
      <c r="N667" s="16"/>
      <c r="O667" s="16"/>
      <c r="P667" s="16"/>
      <c r="Q667" s="16"/>
      <c r="R667" s="16"/>
      <c r="S667" s="16">
        <v>-2.0</v>
      </c>
      <c r="T667" s="16"/>
      <c r="U667" s="16" t="s">
        <v>2946</v>
      </c>
      <c r="V667" s="16" t="s">
        <v>2947</v>
      </c>
      <c r="W667" s="16" t="s">
        <v>600</v>
      </c>
    </row>
    <row r="668">
      <c r="A668" s="16">
        <v>12092.0</v>
      </c>
      <c r="B668" s="16" t="s">
        <v>2948</v>
      </c>
      <c r="C668" s="16">
        <v>0.43</v>
      </c>
      <c r="D668" s="174" t="s">
        <v>2949</v>
      </c>
      <c r="E668" s="16"/>
      <c r="F668" s="16">
        <v>520.0</v>
      </c>
      <c r="G668" s="16" t="s">
        <v>292</v>
      </c>
      <c r="H668" s="16" t="s">
        <v>13</v>
      </c>
      <c r="I668" s="16" t="s">
        <v>14</v>
      </c>
      <c r="J668" s="16"/>
      <c r="K668" s="16"/>
      <c r="L668" s="16"/>
      <c r="M668" s="16"/>
      <c r="N668" s="16"/>
      <c r="O668" s="16"/>
      <c r="P668" s="16"/>
      <c r="Q668" s="16"/>
      <c r="R668" s="16"/>
      <c r="S668" s="16">
        <v>1.0</v>
      </c>
      <c r="T668" s="16"/>
      <c r="U668" s="16" t="s">
        <v>2950</v>
      </c>
      <c r="V668" s="16" t="s">
        <v>2951</v>
      </c>
      <c r="W668" s="16" t="s">
        <v>188</v>
      </c>
    </row>
    <row r="669">
      <c r="A669" s="16">
        <v>12093.0</v>
      </c>
      <c r="B669" s="16" t="s">
        <v>2952</v>
      </c>
      <c r="C669" s="16">
        <v>0.0</v>
      </c>
      <c r="D669" s="174" t="s">
        <v>2953</v>
      </c>
      <c r="E669" s="16"/>
      <c r="F669" s="16">
        <v>526.0</v>
      </c>
      <c r="G669" s="16" t="s">
        <v>212</v>
      </c>
      <c r="H669" s="16" t="s">
        <v>12</v>
      </c>
      <c r="I669" s="16" t="s">
        <v>13</v>
      </c>
      <c r="J669" s="16"/>
      <c r="K669" s="16"/>
      <c r="L669" s="16"/>
      <c r="M669" s="16"/>
      <c r="N669" s="16"/>
      <c r="O669" s="16"/>
      <c r="P669" s="16"/>
      <c r="Q669" s="16"/>
      <c r="R669" s="16"/>
      <c r="S669" s="16">
        <v>6.0</v>
      </c>
      <c r="T669" s="16"/>
      <c r="U669" s="16" t="s">
        <v>2954</v>
      </c>
      <c r="V669" s="16" t="s">
        <v>2955</v>
      </c>
      <c r="W669" s="16" t="s">
        <v>600</v>
      </c>
    </row>
    <row r="670">
      <c r="A670" s="16">
        <v>12094.0</v>
      </c>
      <c r="B670" s="16" t="s">
        <v>2956</v>
      </c>
      <c r="C670" s="16">
        <v>0.92</v>
      </c>
      <c r="D670" s="174" t="s">
        <v>2957</v>
      </c>
      <c r="E670" s="16"/>
      <c r="F670" s="16">
        <v>511.0</v>
      </c>
      <c r="G670" s="16" t="s">
        <v>245</v>
      </c>
      <c r="H670" s="16" t="s">
        <v>24</v>
      </c>
      <c r="I670" s="16"/>
      <c r="J670" s="16"/>
      <c r="K670" s="16"/>
      <c r="L670" s="16"/>
      <c r="M670" s="16"/>
      <c r="N670" s="16"/>
      <c r="O670" s="16"/>
      <c r="P670" s="16"/>
      <c r="Q670" s="16"/>
      <c r="R670" s="16"/>
      <c r="S670" s="16">
        <v>8.0</v>
      </c>
      <c r="T670" s="16"/>
      <c r="U670" s="16" t="s">
        <v>2958</v>
      </c>
      <c r="V670" s="16" t="s">
        <v>2959</v>
      </c>
      <c r="W670" s="16" t="s">
        <v>188</v>
      </c>
    </row>
    <row r="671">
      <c r="A671" s="16">
        <v>12095.0</v>
      </c>
      <c r="B671" s="16" t="s">
        <v>2960</v>
      </c>
      <c r="C671" s="16">
        <v>0.0</v>
      </c>
      <c r="D671" s="174" t="s">
        <v>2961</v>
      </c>
      <c r="E671" s="16"/>
      <c r="F671" s="16">
        <v>542.0</v>
      </c>
      <c r="G671" s="16" t="s">
        <v>535</v>
      </c>
      <c r="H671" s="16" t="s">
        <v>25</v>
      </c>
      <c r="I671" s="16" t="s">
        <v>26</v>
      </c>
      <c r="J671" s="16"/>
      <c r="K671" s="16"/>
      <c r="L671" s="16"/>
      <c r="M671" s="16"/>
      <c r="N671" s="16"/>
      <c r="O671" s="16"/>
      <c r="P671" s="16"/>
      <c r="Q671" s="16"/>
      <c r="R671" s="16"/>
      <c r="S671" s="16">
        <v>14.0</v>
      </c>
      <c r="T671" s="16"/>
      <c r="U671" s="16" t="s">
        <v>2962</v>
      </c>
      <c r="V671" s="16" t="s">
        <v>2963</v>
      </c>
      <c r="W671" s="16" t="s">
        <v>259</v>
      </c>
    </row>
    <row r="672">
      <c r="A672" s="16">
        <v>12096.0</v>
      </c>
      <c r="B672" s="16" t="s">
        <v>2964</v>
      </c>
      <c r="C672" s="16">
        <v>1.53</v>
      </c>
      <c r="D672" s="174" t="s">
        <v>2965</v>
      </c>
      <c r="E672" s="16"/>
      <c r="F672" s="16">
        <v>541.0</v>
      </c>
      <c r="G672" s="16" t="s">
        <v>387</v>
      </c>
      <c r="H672" s="16" t="s">
        <v>24</v>
      </c>
      <c r="I672" s="16"/>
      <c r="J672" s="16"/>
      <c r="K672" s="16"/>
      <c r="L672" s="16"/>
      <c r="M672" s="16"/>
      <c r="N672" s="16"/>
      <c r="O672" s="16"/>
      <c r="P672" s="16"/>
      <c r="Q672" s="16"/>
      <c r="R672" s="16"/>
      <c r="S672" s="16">
        <v>1.0</v>
      </c>
      <c r="T672" s="16"/>
      <c r="U672" s="16" t="s">
        <v>2966</v>
      </c>
      <c r="V672" s="16" t="s">
        <v>2967</v>
      </c>
      <c r="W672" s="16" t="s">
        <v>188</v>
      </c>
    </row>
    <row r="673">
      <c r="A673" s="16">
        <v>12097.0</v>
      </c>
      <c r="B673" s="16" t="s">
        <v>2968</v>
      </c>
      <c r="C673" s="16">
        <v>0.47</v>
      </c>
      <c r="D673" s="174" t="s">
        <v>2969</v>
      </c>
      <c r="E673" s="16"/>
      <c r="F673" s="16">
        <v>517.0</v>
      </c>
      <c r="G673" s="16" t="s">
        <v>277</v>
      </c>
      <c r="H673" s="16" t="s">
        <v>14</v>
      </c>
      <c r="I673" s="16" t="s">
        <v>15</v>
      </c>
      <c r="J673" s="16" t="s">
        <v>16</v>
      </c>
      <c r="K673" s="16"/>
      <c r="L673" s="16"/>
      <c r="M673" s="16"/>
      <c r="N673" s="16"/>
      <c r="O673" s="16"/>
      <c r="P673" s="16"/>
      <c r="Q673" s="16"/>
      <c r="R673" s="16"/>
      <c r="S673" s="16">
        <v>11.0</v>
      </c>
      <c r="T673" s="16"/>
      <c r="U673" s="16" t="s">
        <v>2970</v>
      </c>
      <c r="V673" s="16" t="s">
        <v>2971</v>
      </c>
      <c r="W673" s="16" t="s">
        <v>360</v>
      </c>
    </row>
    <row r="674">
      <c r="A674" s="16">
        <v>12098.0</v>
      </c>
      <c r="B674" s="16" t="s">
        <v>2972</v>
      </c>
      <c r="C674" s="16">
        <v>0.0</v>
      </c>
      <c r="D674" s="174" t="s">
        <v>2973</v>
      </c>
      <c r="E674" s="16"/>
      <c r="F674" s="16">
        <v>498.0</v>
      </c>
      <c r="G674" s="16" t="s">
        <v>176</v>
      </c>
      <c r="H674" s="16" t="s">
        <v>18</v>
      </c>
      <c r="I674" s="16" t="s">
        <v>19</v>
      </c>
      <c r="J674" s="16" t="s">
        <v>17</v>
      </c>
      <c r="K674" s="16"/>
      <c r="L674" s="16"/>
      <c r="M674" s="16"/>
      <c r="N674" s="16"/>
      <c r="O674" s="16"/>
      <c r="P674" s="16"/>
      <c r="Q674" s="16"/>
      <c r="R674" s="16"/>
      <c r="S674" s="16">
        <v>-2.0</v>
      </c>
      <c r="T674" s="16"/>
      <c r="U674" s="16" t="s">
        <v>2974</v>
      </c>
      <c r="V674" s="16" t="s">
        <v>2975</v>
      </c>
      <c r="W674" s="16" t="s">
        <v>199</v>
      </c>
    </row>
    <row r="675">
      <c r="A675" s="16">
        <v>12099.0</v>
      </c>
      <c r="B675" s="16" t="s">
        <v>2976</v>
      </c>
      <c r="C675" s="16">
        <v>0.56</v>
      </c>
      <c r="D675" s="174" t="s">
        <v>2977</v>
      </c>
      <c r="E675" s="16"/>
      <c r="F675" s="16">
        <v>498.0</v>
      </c>
      <c r="G675" s="16" t="s">
        <v>176</v>
      </c>
      <c r="H675" s="16" t="s">
        <v>24</v>
      </c>
      <c r="I675" s="16"/>
      <c r="J675" s="16"/>
      <c r="K675" s="16"/>
      <c r="L675" s="16"/>
      <c r="M675" s="16"/>
      <c r="N675" s="16"/>
      <c r="O675" s="16"/>
      <c r="P675" s="16"/>
      <c r="Q675" s="16"/>
      <c r="R675" s="16"/>
      <c r="S675" s="16">
        <v>-2.0</v>
      </c>
      <c r="T675" s="16"/>
      <c r="U675" s="16" t="s">
        <v>2978</v>
      </c>
      <c r="V675" s="16" t="s">
        <v>2979</v>
      </c>
      <c r="W675" s="16" t="s">
        <v>459</v>
      </c>
    </row>
    <row r="676">
      <c r="A676" s="16">
        <v>12100.0</v>
      </c>
      <c r="B676" s="16" t="s">
        <v>2980</v>
      </c>
      <c r="C676" s="16">
        <v>1.99</v>
      </c>
      <c r="D676" s="174" t="s">
        <v>2981</v>
      </c>
      <c r="E676" s="16"/>
      <c r="F676" s="16">
        <v>538.0</v>
      </c>
      <c r="G676" s="16" t="s">
        <v>289</v>
      </c>
      <c r="H676" s="16" t="s">
        <v>24</v>
      </c>
      <c r="I676" s="16" t="s">
        <v>25</v>
      </c>
      <c r="J676" s="16" t="s">
        <v>26</v>
      </c>
      <c r="K676" s="16"/>
      <c r="L676" s="16"/>
      <c r="M676" s="16"/>
      <c r="N676" s="16"/>
      <c r="O676" s="16"/>
      <c r="P676" s="16"/>
      <c r="Q676" s="16"/>
      <c r="R676" s="16"/>
      <c r="S676" s="16">
        <v>6.0</v>
      </c>
      <c r="T676" s="16"/>
      <c r="U676" s="16" t="s">
        <v>2982</v>
      </c>
      <c r="V676" s="16" t="s">
        <v>2983</v>
      </c>
      <c r="W676" s="16" t="s">
        <v>491</v>
      </c>
    </row>
    <row r="677">
      <c r="A677" s="16">
        <v>12101.0</v>
      </c>
      <c r="B677" s="16" t="s">
        <v>2984</v>
      </c>
      <c r="C677" s="16">
        <v>1.81</v>
      </c>
      <c r="D677" s="174" t="s">
        <v>2985</v>
      </c>
      <c r="E677" s="16"/>
      <c r="F677" s="16">
        <v>505.0</v>
      </c>
      <c r="G677" s="16" t="s">
        <v>4656</v>
      </c>
      <c r="H677" s="16" t="s">
        <v>15</v>
      </c>
      <c r="I677" s="16" t="s">
        <v>14</v>
      </c>
      <c r="J677" s="16" t="s">
        <v>16</v>
      </c>
      <c r="K677" s="16" t="s">
        <v>19</v>
      </c>
      <c r="L677" s="16"/>
      <c r="M677" s="16"/>
      <c r="N677" s="16"/>
      <c r="O677" s="16"/>
      <c r="P677" s="16"/>
      <c r="Q677" s="16"/>
      <c r="R677" s="16"/>
      <c r="S677" s="16">
        <v>11.0</v>
      </c>
      <c r="T677" s="16"/>
      <c r="U677" s="16" t="s">
        <v>2986</v>
      </c>
      <c r="V677" s="16" t="s">
        <v>2987</v>
      </c>
      <c r="W677" s="16" t="s">
        <v>360</v>
      </c>
    </row>
    <row r="678">
      <c r="A678" s="16">
        <v>12102.0</v>
      </c>
      <c r="B678" s="16" t="s">
        <v>2988</v>
      </c>
      <c r="C678" s="16">
        <v>0.96</v>
      </c>
      <c r="D678" s="174" t="s">
        <v>2989</v>
      </c>
      <c r="E678" s="16"/>
      <c r="F678" s="16">
        <v>513.0</v>
      </c>
      <c r="G678" s="16" t="s">
        <v>1381</v>
      </c>
      <c r="H678" s="16" t="s">
        <v>18</v>
      </c>
      <c r="I678" s="16"/>
      <c r="J678" s="16"/>
      <c r="K678" s="16"/>
      <c r="L678" s="16"/>
      <c r="M678" s="16"/>
      <c r="N678" s="16"/>
      <c r="O678" s="16"/>
      <c r="P678" s="16"/>
      <c r="Q678" s="16"/>
      <c r="R678" s="16"/>
      <c r="S678" s="16">
        <v>16.0</v>
      </c>
      <c r="T678" s="16"/>
      <c r="U678" s="16" t="s">
        <v>2990</v>
      </c>
      <c r="V678" s="16" t="s">
        <v>2991</v>
      </c>
      <c r="W678" s="16" t="s">
        <v>616</v>
      </c>
    </row>
    <row r="679">
      <c r="A679" s="16">
        <v>12103.0</v>
      </c>
      <c r="B679" s="16" t="s">
        <v>2992</v>
      </c>
      <c r="C679" s="16">
        <v>0.79</v>
      </c>
      <c r="D679" s="174" t="s">
        <v>2993</v>
      </c>
      <c r="E679" s="16"/>
      <c r="F679" s="16">
        <v>540.0</v>
      </c>
      <c r="G679" s="16" t="s">
        <v>1729</v>
      </c>
      <c r="H679" s="16" t="s">
        <v>24</v>
      </c>
      <c r="I679" s="16"/>
      <c r="J679" s="16"/>
      <c r="K679" s="16"/>
      <c r="L679" s="16"/>
      <c r="M679" s="16"/>
      <c r="N679" s="16"/>
      <c r="O679" s="16"/>
      <c r="P679" s="16"/>
      <c r="Q679" s="16"/>
      <c r="R679" s="16"/>
      <c r="S679" s="16">
        <v>15.0</v>
      </c>
      <c r="T679" s="16"/>
      <c r="U679" s="16" t="s">
        <v>2994</v>
      </c>
      <c r="V679" s="16" t="s">
        <v>2995</v>
      </c>
      <c r="W679" s="16" t="s">
        <v>188</v>
      </c>
    </row>
    <row r="680">
      <c r="A680" s="16">
        <v>12104.0</v>
      </c>
      <c r="B680" s="16" t="s">
        <v>2996</v>
      </c>
      <c r="C680" s="16">
        <v>1.56</v>
      </c>
      <c r="D680" s="174" t="s">
        <v>2997</v>
      </c>
      <c r="E680" s="16"/>
      <c r="F680" s="16">
        <v>498.0</v>
      </c>
      <c r="G680" s="16" t="s">
        <v>176</v>
      </c>
      <c r="H680" s="16" t="s">
        <v>12</v>
      </c>
      <c r="I680" s="16"/>
      <c r="J680" s="16"/>
      <c r="K680" s="16"/>
      <c r="L680" s="16"/>
      <c r="M680" s="16"/>
      <c r="N680" s="16"/>
      <c r="O680" s="16"/>
      <c r="P680" s="16"/>
      <c r="Q680" s="16"/>
      <c r="R680" s="16"/>
      <c r="S680" s="16">
        <v>15.0</v>
      </c>
      <c r="T680" s="16"/>
      <c r="U680" s="16" t="s">
        <v>2998</v>
      </c>
      <c r="V680" s="16" t="s">
        <v>2999</v>
      </c>
      <c r="W680" s="16" t="s">
        <v>478</v>
      </c>
    </row>
    <row r="681">
      <c r="A681" s="16">
        <v>12105.0</v>
      </c>
      <c r="B681" s="16" t="s">
        <v>3000</v>
      </c>
      <c r="C681" s="16">
        <v>1.06</v>
      </c>
      <c r="D681" s="174" t="s">
        <v>3001</v>
      </c>
      <c r="E681" s="16"/>
      <c r="F681" s="16">
        <v>498.0</v>
      </c>
      <c r="G681" s="16" t="s">
        <v>176</v>
      </c>
      <c r="H681" s="16" t="s">
        <v>15</v>
      </c>
      <c r="I681" s="16"/>
      <c r="J681" s="16"/>
      <c r="K681" s="16"/>
      <c r="L681" s="16"/>
      <c r="M681" s="16"/>
      <c r="N681" s="16"/>
      <c r="O681" s="16"/>
      <c r="P681" s="16"/>
      <c r="Q681" s="16"/>
      <c r="R681" s="16"/>
      <c r="S681" s="16">
        <v>-2.0</v>
      </c>
      <c r="T681" s="16"/>
      <c r="U681" s="16" t="s">
        <v>3002</v>
      </c>
      <c r="V681" s="16" t="s">
        <v>3003</v>
      </c>
      <c r="W681" s="16" t="s">
        <v>199</v>
      </c>
    </row>
    <row r="682">
      <c r="A682" s="16">
        <v>12106.0</v>
      </c>
      <c r="B682" s="16" t="s">
        <v>3004</v>
      </c>
      <c r="C682" s="16">
        <v>1.21</v>
      </c>
      <c r="D682" s="174" t="s">
        <v>3005</v>
      </c>
      <c r="E682" s="16"/>
      <c r="F682" s="16">
        <v>514.0</v>
      </c>
      <c r="G682" s="16" t="s">
        <v>260</v>
      </c>
      <c r="H682" s="16" t="s">
        <v>14</v>
      </c>
      <c r="I682" s="16"/>
      <c r="J682" s="16"/>
      <c r="K682" s="16"/>
      <c r="L682" s="16"/>
      <c r="M682" s="16"/>
      <c r="N682" s="16"/>
      <c r="O682" s="16"/>
      <c r="P682" s="16"/>
      <c r="Q682" s="16"/>
      <c r="R682" s="16"/>
      <c r="S682" s="16">
        <v>18.0</v>
      </c>
      <c r="T682" s="16"/>
      <c r="U682" s="16" t="s">
        <v>3006</v>
      </c>
      <c r="V682" s="16" t="s">
        <v>3007</v>
      </c>
      <c r="W682" s="16" t="s">
        <v>443</v>
      </c>
    </row>
    <row r="683">
      <c r="A683" s="16">
        <v>12107.0</v>
      </c>
      <c r="B683" s="16" t="s">
        <v>3008</v>
      </c>
      <c r="C683" s="16">
        <v>0.0</v>
      </c>
      <c r="D683" s="174" t="s">
        <v>3009</v>
      </c>
      <c r="E683" s="16"/>
      <c r="F683" s="16">
        <v>498.0</v>
      </c>
      <c r="G683" s="16" t="s">
        <v>176</v>
      </c>
      <c r="H683" s="16" t="s">
        <v>25</v>
      </c>
      <c r="I683" s="16"/>
      <c r="J683" s="16"/>
      <c r="K683" s="16"/>
      <c r="L683" s="16"/>
      <c r="M683" s="16"/>
      <c r="N683" s="16"/>
      <c r="O683" s="16"/>
      <c r="P683" s="16"/>
      <c r="Q683" s="16"/>
      <c r="R683" s="16"/>
      <c r="S683" s="16">
        <v>-2.0</v>
      </c>
      <c r="T683" s="16"/>
      <c r="U683" s="16" t="s">
        <v>3010</v>
      </c>
      <c r="V683" s="16" t="s">
        <v>3011</v>
      </c>
      <c r="W683" s="16" t="s">
        <v>259</v>
      </c>
    </row>
    <row r="684">
      <c r="A684" s="16">
        <v>12108.0</v>
      </c>
      <c r="B684" s="16" t="s">
        <v>3012</v>
      </c>
      <c r="C684" s="16">
        <v>0.55</v>
      </c>
      <c r="D684" s="174" t="s">
        <v>3013</v>
      </c>
      <c r="E684" s="16"/>
      <c r="F684" s="16">
        <v>511.0</v>
      </c>
      <c r="G684" s="16" t="s">
        <v>245</v>
      </c>
      <c r="H684" s="16" t="s">
        <v>25</v>
      </c>
      <c r="I684" s="16"/>
      <c r="J684" s="16"/>
      <c r="K684" s="16"/>
      <c r="L684" s="16"/>
      <c r="M684" s="16"/>
      <c r="N684" s="16"/>
      <c r="O684" s="16"/>
      <c r="P684" s="16"/>
      <c r="Q684" s="16"/>
      <c r="R684" s="16"/>
      <c r="S684" s="16">
        <v>10.0</v>
      </c>
      <c r="T684" s="16"/>
      <c r="U684" s="16" t="s">
        <v>3014</v>
      </c>
      <c r="V684" s="16" t="s">
        <v>3015</v>
      </c>
      <c r="W684" s="16" t="s">
        <v>422</v>
      </c>
    </row>
    <row r="685">
      <c r="A685" s="16">
        <v>12109.0</v>
      </c>
      <c r="B685" s="16" t="s">
        <v>3016</v>
      </c>
      <c r="C685" s="16">
        <v>0.0</v>
      </c>
      <c r="D685" s="174" t="s">
        <v>3017</v>
      </c>
      <c r="E685" s="16"/>
      <c r="F685" s="16">
        <v>535.0</v>
      </c>
      <c r="G685" s="16" t="s">
        <v>361</v>
      </c>
      <c r="H685" s="16" t="s">
        <v>12</v>
      </c>
      <c r="I685" s="16"/>
      <c r="J685" s="16"/>
      <c r="K685" s="16"/>
      <c r="L685" s="16"/>
      <c r="M685" s="16"/>
      <c r="N685" s="16"/>
      <c r="O685" s="16"/>
      <c r="P685" s="16"/>
      <c r="Q685" s="16"/>
      <c r="R685" s="16"/>
      <c r="S685" s="16">
        <v>1.0</v>
      </c>
      <c r="T685" s="16"/>
      <c r="U685" s="16" t="s">
        <v>3018</v>
      </c>
      <c r="V685" s="16" t="s">
        <v>3019</v>
      </c>
      <c r="W685" s="16" t="s">
        <v>640</v>
      </c>
    </row>
    <row r="686">
      <c r="A686" s="16">
        <v>12110.0</v>
      </c>
      <c r="B686" s="16" t="s">
        <v>3020</v>
      </c>
      <c r="C686" s="16">
        <v>2.04</v>
      </c>
      <c r="D686" s="174" t="s">
        <v>3021</v>
      </c>
      <c r="E686" s="16"/>
      <c r="F686" s="16">
        <v>544.0</v>
      </c>
      <c r="G686" s="16" t="s">
        <v>272</v>
      </c>
      <c r="H686" s="16" t="s">
        <v>17</v>
      </c>
      <c r="I686" s="16" t="s">
        <v>13</v>
      </c>
      <c r="J686" s="16" t="s">
        <v>19</v>
      </c>
      <c r="K686" s="16" t="s">
        <v>18</v>
      </c>
      <c r="L686" s="16"/>
      <c r="M686" s="16"/>
      <c r="N686" s="16"/>
      <c r="O686" s="16"/>
      <c r="P686" s="16"/>
      <c r="Q686" s="16"/>
      <c r="R686" s="16"/>
      <c r="S686" s="16">
        <v>1.0</v>
      </c>
      <c r="T686" s="174" t="s">
        <v>4813</v>
      </c>
      <c r="U686" s="16" t="s">
        <v>3022</v>
      </c>
      <c r="V686" s="16" t="s">
        <v>3023</v>
      </c>
      <c r="W686" s="16" t="s">
        <v>443</v>
      </c>
    </row>
    <row r="687">
      <c r="A687" s="16">
        <v>12111.0</v>
      </c>
      <c r="B687" s="16" t="s">
        <v>3024</v>
      </c>
      <c r="C687" s="16">
        <v>1.63</v>
      </c>
      <c r="D687" s="174" t="s">
        <v>3025</v>
      </c>
      <c r="E687" s="16"/>
      <c r="F687" s="16">
        <v>514.0</v>
      </c>
      <c r="G687" s="16" t="s">
        <v>260</v>
      </c>
      <c r="H687" s="16" t="s">
        <v>25</v>
      </c>
      <c r="I687" s="16" t="s">
        <v>26</v>
      </c>
      <c r="J687" s="16"/>
      <c r="K687" s="16"/>
      <c r="L687" s="16"/>
      <c r="M687" s="16"/>
      <c r="N687" s="16"/>
      <c r="O687" s="16"/>
      <c r="P687" s="16"/>
      <c r="Q687" s="16"/>
      <c r="R687" s="16"/>
      <c r="S687" s="16">
        <v>1.0</v>
      </c>
      <c r="T687" s="16"/>
      <c r="U687" s="16" t="s">
        <v>3027</v>
      </c>
      <c r="V687" s="16" t="s">
        <v>3028</v>
      </c>
      <c r="W687" s="16" t="s">
        <v>179</v>
      </c>
    </row>
    <row r="688">
      <c r="A688" s="16">
        <v>12112.0</v>
      </c>
      <c r="B688" s="16" t="s">
        <v>3029</v>
      </c>
      <c r="C688" s="16">
        <v>0.36</v>
      </c>
      <c r="D688" s="174" t="s">
        <v>3030</v>
      </c>
      <c r="E688" s="16"/>
      <c r="F688" s="16">
        <v>498.0</v>
      </c>
      <c r="G688" s="16" t="s">
        <v>176</v>
      </c>
      <c r="H688" s="16" t="s">
        <v>24</v>
      </c>
      <c r="I688" s="16"/>
      <c r="J688" s="16"/>
      <c r="K688" s="16"/>
      <c r="L688" s="16"/>
      <c r="M688" s="16"/>
      <c r="N688" s="16"/>
      <c r="O688" s="16"/>
      <c r="P688" s="16"/>
      <c r="Q688" s="16"/>
      <c r="R688" s="16"/>
      <c r="S688" s="16">
        <v>-2.0</v>
      </c>
      <c r="T688" s="16"/>
      <c r="U688" s="16" t="s">
        <v>3031</v>
      </c>
      <c r="V688" s="16" t="s">
        <v>3032</v>
      </c>
      <c r="W688" s="16" t="s">
        <v>231</v>
      </c>
    </row>
    <row r="689">
      <c r="A689" s="16">
        <v>12113.0</v>
      </c>
      <c r="B689" s="16" t="s">
        <v>3033</v>
      </c>
      <c r="C689" s="16">
        <v>0.56</v>
      </c>
      <c r="D689" s="174" t="s">
        <v>3034</v>
      </c>
      <c r="E689" s="16"/>
      <c r="F689" s="16">
        <v>514.0</v>
      </c>
      <c r="G689" s="16" t="s">
        <v>260</v>
      </c>
      <c r="H689" s="16" t="s">
        <v>15</v>
      </c>
      <c r="I689" s="16" t="s">
        <v>14</v>
      </c>
      <c r="J689" s="16" t="s">
        <v>16</v>
      </c>
      <c r="K689" s="16" t="s">
        <v>19</v>
      </c>
      <c r="L689" s="16"/>
      <c r="M689" s="16"/>
      <c r="N689" s="16"/>
      <c r="O689" s="16"/>
      <c r="P689" s="16"/>
      <c r="Q689" s="16"/>
      <c r="R689" s="16"/>
      <c r="S689" s="16">
        <v>17.0</v>
      </c>
      <c r="T689" s="16"/>
      <c r="U689" s="16" t="s">
        <v>3035</v>
      </c>
      <c r="V689" s="16" t="s">
        <v>3036</v>
      </c>
      <c r="W689" s="16" t="s">
        <v>188</v>
      </c>
    </row>
    <row r="690">
      <c r="A690" s="16">
        <v>12114.0</v>
      </c>
      <c r="B690" s="16" t="s">
        <v>3037</v>
      </c>
      <c r="C690" s="16">
        <v>1.4</v>
      </c>
      <c r="D690" s="174" t="s">
        <v>3038</v>
      </c>
      <c r="E690" s="16"/>
      <c r="F690" s="16">
        <v>511.0</v>
      </c>
      <c r="G690" s="16" t="s">
        <v>245</v>
      </c>
      <c r="H690" s="16" t="s">
        <v>15</v>
      </c>
      <c r="I690" s="16"/>
      <c r="J690" s="16"/>
      <c r="K690" s="16"/>
      <c r="L690" s="16"/>
      <c r="M690" s="16"/>
      <c r="N690" s="16"/>
      <c r="O690" s="16"/>
      <c r="P690" s="16"/>
      <c r="Q690" s="16"/>
      <c r="R690" s="16"/>
      <c r="S690" s="16">
        <v>7.0</v>
      </c>
      <c r="T690" s="16"/>
      <c r="U690" s="16" t="s">
        <v>3039</v>
      </c>
      <c r="V690" s="16" t="s">
        <v>3040</v>
      </c>
      <c r="W690" s="16" t="s">
        <v>188</v>
      </c>
    </row>
    <row r="691">
      <c r="A691" s="16">
        <v>12115.0</v>
      </c>
      <c r="B691" s="16" t="s">
        <v>3041</v>
      </c>
      <c r="C691" s="16">
        <v>0.0</v>
      </c>
      <c r="D691" s="174" t="s">
        <v>3042</v>
      </c>
      <c r="E691" s="16"/>
      <c r="F691" s="16">
        <v>498.0</v>
      </c>
      <c r="G691" s="16" t="s">
        <v>176</v>
      </c>
      <c r="H691" s="16" t="s">
        <v>17</v>
      </c>
      <c r="I691" s="16" t="s">
        <v>19</v>
      </c>
      <c r="J691" s="16" t="s">
        <v>18</v>
      </c>
      <c r="K691" s="16"/>
      <c r="L691" s="16"/>
      <c r="M691" s="16"/>
      <c r="N691" s="16"/>
      <c r="O691" s="16"/>
      <c r="P691" s="16"/>
      <c r="Q691" s="16"/>
      <c r="R691" s="16"/>
      <c r="S691" s="16">
        <v>-2.0</v>
      </c>
      <c r="T691" s="16"/>
      <c r="U691" s="16" t="s">
        <v>3043</v>
      </c>
      <c r="V691" s="16" t="s">
        <v>3044</v>
      </c>
      <c r="W691" s="16" t="s">
        <v>491</v>
      </c>
    </row>
    <row r="692">
      <c r="A692" s="16">
        <v>12116.0</v>
      </c>
      <c r="B692" s="16" t="s">
        <v>3045</v>
      </c>
      <c r="C692" s="16">
        <v>1.4</v>
      </c>
      <c r="D692" s="174" t="s">
        <v>3046</v>
      </c>
      <c r="E692" s="16"/>
      <c r="F692" s="16">
        <v>505.0</v>
      </c>
      <c r="G692" s="16" t="s">
        <v>4656</v>
      </c>
      <c r="H692" s="16" t="s">
        <v>25</v>
      </c>
      <c r="I692" s="16" t="s">
        <v>26</v>
      </c>
      <c r="J692" s="16"/>
      <c r="K692" s="16"/>
      <c r="L692" s="16"/>
      <c r="M692" s="16"/>
      <c r="N692" s="16"/>
      <c r="O692" s="16"/>
      <c r="P692" s="16"/>
      <c r="Q692" s="16"/>
      <c r="R692" s="16"/>
      <c r="S692" s="16">
        <v>17.0</v>
      </c>
      <c r="T692" s="16"/>
      <c r="U692" s="16" t="s">
        <v>3047</v>
      </c>
      <c r="V692" s="16" t="s">
        <v>3048</v>
      </c>
      <c r="W692" s="16" t="s">
        <v>332</v>
      </c>
    </row>
    <row r="693">
      <c r="A693" s="16">
        <v>12117.0</v>
      </c>
      <c r="B693" s="16" t="s">
        <v>3049</v>
      </c>
      <c r="C693" s="16">
        <v>1.81</v>
      </c>
      <c r="D693" s="174" t="s">
        <v>3050</v>
      </c>
      <c r="E693" s="16"/>
      <c r="F693" s="16">
        <v>502.0</v>
      </c>
      <c r="G693" s="16" t="s">
        <v>200</v>
      </c>
      <c r="H693" s="16" t="s">
        <v>51</v>
      </c>
      <c r="I693" s="16"/>
      <c r="J693" s="16"/>
      <c r="K693" s="16"/>
      <c r="L693" s="16"/>
      <c r="M693" s="16"/>
      <c r="N693" s="16"/>
      <c r="O693" s="16"/>
      <c r="P693" s="16"/>
      <c r="Q693" s="16"/>
      <c r="R693" s="16"/>
      <c r="S693" s="16">
        <v>1.0</v>
      </c>
      <c r="T693" s="174" t="s">
        <v>4814</v>
      </c>
      <c r="U693" s="16" t="s">
        <v>3051</v>
      </c>
      <c r="V693" s="16" t="s">
        <v>3052</v>
      </c>
      <c r="W693" s="16" t="s">
        <v>231</v>
      </c>
    </row>
    <row r="694">
      <c r="A694" s="16">
        <v>12118.0</v>
      </c>
      <c r="B694" s="16" t="s">
        <v>3053</v>
      </c>
      <c r="C694" s="16">
        <v>1.11</v>
      </c>
      <c r="D694" s="174" t="s">
        <v>3054</v>
      </c>
      <c r="E694" s="16"/>
      <c r="F694" s="16">
        <v>498.0</v>
      </c>
      <c r="G694" s="16" t="s">
        <v>176</v>
      </c>
      <c r="H694" s="16" t="s">
        <v>24</v>
      </c>
      <c r="I694" s="16"/>
      <c r="J694" s="16"/>
      <c r="K694" s="16"/>
      <c r="L694" s="16"/>
      <c r="M694" s="16"/>
      <c r="N694" s="16"/>
      <c r="O694" s="16"/>
      <c r="P694" s="16"/>
      <c r="Q694" s="16"/>
      <c r="R694" s="16"/>
      <c r="S694" s="16">
        <v>-2.0</v>
      </c>
      <c r="T694" s="16"/>
      <c r="U694" s="16" t="s">
        <v>3055</v>
      </c>
      <c r="V694" s="16" t="s">
        <v>3056</v>
      </c>
      <c r="W694" s="16" t="s">
        <v>459</v>
      </c>
    </row>
    <row r="695">
      <c r="A695" s="16">
        <v>12119.0</v>
      </c>
      <c r="B695" s="16" t="s">
        <v>3057</v>
      </c>
      <c r="C695" s="16">
        <v>0.0</v>
      </c>
      <c r="D695" s="174" t="s">
        <v>3058</v>
      </c>
      <c r="E695" s="16"/>
      <c r="F695" s="16">
        <v>498.0</v>
      </c>
      <c r="G695" s="16" t="s">
        <v>176</v>
      </c>
      <c r="H695" s="16" t="s">
        <v>16</v>
      </c>
      <c r="I695" s="16" t="s">
        <v>14</v>
      </c>
      <c r="J695" s="16"/>
      <c r="K695" s="16"/>
      <c r="L695" s="16"/>
      <c r="M695" s="16"/>
      <c r="N695" s="16"/>
      <c r="O695" s="16"/>
      <c r="P695" s="16"/>
      <c r="Q695" s="16"/>
      <c r="R695" s="16"/>
      <c r="S695" s="16">
        <v>6.0</v>
      </c>
      <c r="T695" s="16"/>
      <c r="U695" s="16" t="s">
        <v>3059</v>
      </c>
      <c r="V695" s="16" t="s">
        <v>3060</v>
      </c>
      <c r="W695" s="16" t="s">
        <v>199</v>
      </c>
    </row>
    <row r="696">
      <c r="A696" s="16">
        <v>12120.0</v>
      </c>
      <c r="B696" s="16" t="s">
        <v>3061</v>
      </c>
      <c r="C696" s="16">
        <v>1.66</v>
      </c>
      <c r="D696" s="174" t="s">
        <v>3062</v>
      </c>
      <c r="E696" s="16"/>
      <c r="F696" s="16">
        <v>535.0</v>
      </c>
      <c r="G696" s="16" t="s">
        <v>361</v>
      </c>
      <c r="H696" s="16" t="s">
        <v>14</v>
      </c>
      <c r="I696" s="16"/>
      <c r="J696" s="16"/>
      <c r="K696" s="16"/>
      <c r="L696" s="16"/>
      <c r="M696" s="16"/>
      <c r="N696" s="16"/>
      <c r="O696" s="16"/>
      <c r="P696" s="16"/>
      <c r="Q696" s="16"/>
      <c r="R696" s="16"/>
      <c r="S696" s="16">
        <v>1.0</v>
      </c>
      <c r="T696" s="16"/>
      <c r="U696" s="16" t="s">
        <v>3063</v>
      </c>
      <c r="V696" s="16" t="s">
        <v>3064</v>
      </c>
      <c r="W696" s="16" t="s">
        <v>188</v>
      </c>
    </row>
    <row r="697">
      <c r="A697" s="16">
        <v>12121.0</v>
      </c>
      <c r="B697" s="16" t="s">
        <v>3065</v>
      </c>
      <c r="C697" s="16">
        <v>0.34</v>
      </c>
      <c r="D697" s="174" t="s">
        <v>3066</v>
      </c>
      <c r="E697" s="16"/>
      <c r="F697" s="16">
        <v>498.0</v>
      </c>
      <c r="G697" s="16" t="s">
        <v>176</v>
      </c>
      <c r="H697" s="16" t="s">
        <v>24</v>
      </c>
      <c r="I697" s="16" t="s">
        <v>25</v>
      </c>
      <c r="J697" s="16" t="s">
        <v>26</v>
      </c>
      <c r="K697" s="16"/>
      <c r="L697" s="16"/>
      <c r="M697" s="16"/>
      <c r="N697" s="16"/>
      <c r="O697" s="16"/>
      <c r="P697" s="16"/>
      <c r="Q697" s="16"/>
      <c r="R697" s="16"/>
      <c r="S697" s="16">
        <v>-2.0</v>
      </c>
      <c r="T697" s="16"/>
      <c r="U697" s="16" t="s">
        <v>3067</v>
      </c>
      <c r="V697" s="16" t="s">
        <v>3068</v>
      </c>
      <c r="W697" s="16" t="s">
        <v>188</v>
      </c>
    </row>
    <row r="698">
      <c r="A698" s="16">
        <v>12122.0</v>
      </c>
      <c r="B698" s="16" t="s">
        <v>3069</v>
      </c>
      <c r="C698" s="16">
        <v>0.38</v>
      </c>
      <c r="D698" s="174" t="s">
        <v>3070</v>
      </c>
      <c r="E698" s="16"/>
      <c r="F698" s="16">
        <v>534.0</v>
      </c>
      <c r="G698" s="16" t="s">
        <v>1170</v>
      </c>
      <c r="H698" s="16" t="s">
        <v>13</v>
      </c>
      <c r="I698" s="16" t="s">
        <v>17</v>
      </c>
      <c r="J698" s="16" t="s">
        <v>19</v>
      </c>
      <c r="K698" s="16" t="s">
        <v>15</v>
      </c>
      <c r="L698" s="16"/>
      <c r="M698" s="16"/>
      <c r="N698" s="16"/>
      <c r="O698" s="16"/>
      <c r="P698" s="16"/>
      <c r="Q698" s="16"/>
      <c r="R698" s="16"/>
      <c r="S698" s="16">
        <v>16.0</v>
      </c>
      <c r="T698" s="16"/>
      <c r="U698" s="16" t="s">
        <v>3071</v>
      </c>
      <c r="V698" s="16" t="s">
        <v>3072</v>
      </c>
      <c r="W698" s="16" t="s">
        <v>491</v>
      </c>
    </row>
    <row r="699">
      <c r="A699" s="16">
        <v>12123.0</v>
      </c>
      <c r="B699" s="16" t="s">
        <v>3073</v>
      </c>
      <c r="C699" s="16">
        <v>0.0</v>
      </c>
      <c r="D699" s="174" t="s">
        <v>3074</v>
      </c>
      <c r="E699" s="16"/>
      <c r="F699" s="16">
        <v>525.0</v>
      </c>
      <c r="G699" s="16" t="s">
        <v>672</v>
      </c>
      <c r="H699" s="16" t="s">
        <v>25</v>
      </c>
      <c r="I699" s="16"/>
      <c r="J699" s="16"/>
      <c r="K699" s="16"/>
      <c r="L699" s="16"/>
      <c r="M699" s="16"/>
      <c r="N699" s="16"/>
      <c r="O699" s="16"/>
      <c r="P699" s="16"/>
      <c r="Q699" s="16"/>
      <c r="R699" s="16"/>
      <c r="S699" s="16">
        <v>15.0</v>
      </c>
      <c r="T699" s="16"/>
      <c r="U699" s="16" t="s">
        <v>3075</v>
      </c>
      <c r="V699" s="16" t="s">
        <v>3076</v>
      </c>
      <c r="W699" s="16" t="s">
        <v>179</v>
      </c>
    </row>
    <row r="700">
      <c r="A700" s="16">
        <v>12124.0</v>
      </c>
      <c r="B700" s="16" t="s">
        <v>3077</v>
      </c>
      <c r="C700" s="16">
        <v>1.98</v>
      </c>
      <c r="D700" s="174" t="s">
        <v>3078</v>
      </c>
      <c r="E700" s="16"/>
      <c r="F700" s="16">
        <v>514.0</v>
      </c>
      <c r="G700" s="16" t="s">
        <v>260</v>
      </c>
      <c r="H700" s="16" t="s">
        <v>15</v>
      </c>
      <c r="I700" s="16" t="s">
        <v>13</v>
      </c>
      <c r="J700" s="16"/>
      <c r="K700" s="16"/>
      <c r="L700" s="16"/>
      <c r="M700" s="16"/>
      <c r="N700" s="16"/>
      <c r="O700" s="16"/>
      <c r="P700" s="16"/>
      <c r="Q700" s="16"/>
      <c r="R700" s="16"/>
      <c r="S700" s="16">
        <v>14.0</v>
      </c>
      <c r="T700" s="16"/>
      <c r="U700" s="16" t="s">
        <v>3079</v>
      </c>
      <c r="V700" s="16" t="s">
        <v>3080</v>
      </c>
      <c r="W700" s="16" t="s">
        <v>179</v>
      </c>
    </row>
    <row r="701">
      <c r="A701" s="16">
        <v>12125.0</v>
      </c>
      <c r="B701" s="16" t="s">
        <v>3081</v>
      </c>
      <c r="C701" s="16">
        <v>0.0</v>
      </c>
      <c r="D701" s="174" t="s">
        <v>3082</v>
      </c>
      <c r="E701" s="16"/>
      <c r="F701" s="16">
        <v>498.0</v>
      </c>
      <c r="G701" s="16" t="s">
        <v>176</v>
      </c>
      <c r="H701" s="16" t="s">
        <v>12</v>
      </c>
      <c r="I701" s="16"/>
      <c r="J701" s="16"/>
      <c r="K701" s="16"/>
      <c r="L701" s="16"/>
      <c r="M701" s="16"/>
      <c r="N701" s="16"/>
      <c r="O701" s="16"/>
      <c r="P701" s="16"/>
      <c r="Q701" s="16"/>
      <c r="R701" s="16"/>
      <c r="S701" s="16">
        <v>-2.0</v>
      </c>
      <c r="T701" s="16"/>
      <c r="U701" s="16" t="s">
        <v>3083</v>
      </c>
      <c r="V701" s="16" t="s">
        <v>3084</v>
      </c>
      <c r="W701" s="16" t="s">
        <v>478</v>
      </c>
    </row>
    <row r="702">
      <c r="A702" s="16">
        <v>12126.0</v>
      </c>
      <c r="B702" s="16" t="s">
        <v>3085</v>
      </c>
      <c r="C702" s="16">
        <v>0.5</v>
      </c>
      <c r="D702" s="174" t="s">
        <v>3086</v>
      </c>
      <c r="E702" s="16"/>
      <c r="F702" s="16">
        <v>498.0</v>
      </c>
      <c r="G702" s="16" t="s">
        <v>176</v>
      </c>
      <c r="H702" s="16" t="s">
        <v>24</v>
      </c>
      <c r="I702" s="16"/>
      <c r="J702" s="16"/>
      <c r="K702" s="16"/>
      <c r="L702" s="16"/>
      <c r="M702" s="16"/>
      <c r="N702" s="16"/>
      <c r="O702" s="16"/>
      <c r="P702" s="16"/>
      <c r="Q702" s="16"/>
      <c r="R702" s="16"/>
      <c r="S702" s="16">
        <v>-2.0</v>
      </c>
      <c r="T702" s="16"/>
      <c r="U702" s="16" t="s">
        <v>3087</v>
      </c>
      <c r="V702" s="16" t="s">
        <v>3088</v>
      </c>
      <c r="W702" s="16" t="s">
        <v>188</v>
      </c>
    </row>
    <row r="703">
      <c r="A703" s="16">
        <v>12127.0</v>
      </c>
      <c r="B703" s="16" t="s">
        <v>3089</v>
      </c>
      <c r="C703" s="16">
        <v>0.96</v>
      </c>
      <c r="D703" s="174" t="s">
        <v>3090</v>
      </c>
      <c r="E703" s="16"/>
      <c r="F703" s="16">
        <v>529.0</v>
      </c>
      <c r="G703" s="16" t="s">
        <v>333</v>
      </c>
      <c r="H703" s="16" t="s">
        <v>17</v>
      </c>
      <c r="I703" s="16"/>
      <c r="J703" s="16"/>
      <c r="K703" s="16"/>
      <c r="L703" s="16"/>
      <c r="M703" s="16"/>
      <c r="N703" s="16"/>
      <c r="O703" s="16"/>
      <c r="P703" s="16"/>
      <c r="Q703" s="16"/>
      <c r="R703" s="16"/>
      <c r="S703" s="16">
        <v>15.0</v>
      </c>
      <c r="T703" s="16"/>
      <c r="U703" s="16" t="s">
        <v>3091</v>
      </c>
      <c r="V703" s="16" t="s">
        <v>3092</v>
      </c>
      <c r="W703" s="16" t="s">
        <v>661</v>
      </c>
    </row>
    <row r="704">
      <c r="A704" s="16">
        <v>12128.0</v>
      </c>
      <c r="B704" s="16" t="s">
        <v>3093</v>
      </c>
      <c r="C704" s="16">
        <v>0.0</v>
      </c>
      <c r="D704" s="174" t="s">
        <v>3094</v>
      </c>
      <c r="E704" s="16"/>
      <c r="F704" s="16">
        <v>498.0</v>
      </c>
      <c r="G704" s="16" t="s">
        <v>176</v>
      </c>
      <c r="H704" s="16" t="s">
        <v>24</v>
      </c>
      <c r="I704" s="16" t="s">
        <v>25</v>
      </c>
      <c r="J704" s="16"/>
      <c r="K704" s="16"/>
      <c r="L704" s="16"/>
      <c r="M704" s="16"/>
      <c r="N704" s="16"/>
      <c r="O704" s="16"/>
      <c r="P704" s="16"/>
      <c r="Q704" s="16"/>
      <c r="R704" s="16"/>
      <c r="S704" s="16">
        <v>-2.0</v>
      </c>
      <c r="T704" s="16"/>
      <c r="U704" s="16" t="s">
        <v>3095</v>
      </c>
      <c r="V704" s="16" t="s">
        <v>3096</v>
      </c>
      <c r="W704" s="16" t="s">
        <v>199</v>
      </c>
    </row>
    <row r="705">
      <c r="A705" s="16">
        <v>12129.0</v>
      </c>
      <c r="B705" s="16" t="s">
        <v>3097</v>
      </c>
      <c r="C705" s="16">
        <v>0.0</v>
      </c>
      <c r="D705" s="174" t="s">
        <v>3098</v>
      </c>
      <c r="E705" s="16"/>
      <c r="F705" s="16">
        <v>498.0</v>
      </c>
      <c r="G705" s="16" t="s">
        <v>176</v>
      </c>
      <c r="H705" s="16" t="s">
        <v>25</v>
      </c>
      <c r="I705" s="16"/>
      <c r="J705" s="16"/>
      <c r="K705" s="16"/>
      <c r="L705" s="16"/>
      <c r="M705" s="16"/>
      <c r="N705" s="16"/>
      <c r="O705" s="16"/>
      <c r="P705" s="16"/>
      <c r="Q705" s="16"/>
      <c r="R705" s="16"/>
      <c r="S705" s="16">
        <v>-2.0</v>
      </c>
      <c r="T705" s="16"/>
      <c r="U705" s="16" t="s">
        <v>3099</v>
      </c>
      <c r="V705" s="16" t="s">
        <v>3100</v>
      </c>
      <c r="W705" s="16" t="s">
        <v>199</v>
      </c>
    </row>
    <row r="706">
      <c r="A706" s="16">
        <v>12130.0</v>
      </c>
      <c r="B706" s="16" t="s">
        <v>3101</v>
      </c>
      <c r="C706" s="16">
        <v>1.77</v>
      </c>
      <c r="D706" s="174" t="s">
        <v>3102</v>
      </c>
      <c r="E706" s="16"/>
      <c r="F706" s="16">
        <v>544.0</v>
      </c>
      <c r="G706" s="16" t="s">
        <v>272</v>
      </c>
      <c r="H706" s="16" t="s">
        <v>25</v>
      </c>
      <c r="I706" s="16" t="s">
        <v>26</v>
      </c>
      <c r="J706" s="16"/>
      <c r="K706" s="16"/>
      <c r="L706" s="16"/>
      <c r="M706" s="16"/>
      <c r="N706" s="16"/>
      <c r="O706" s="16"/>
      <c r="P706" s="16"/>
      <c r="Q706" s="16"/>
      <c r="R706" s="16"/>
      <c r="S706" s="16">
        <v>11.0</v>
      </c>
      <c r="T706" s="16"/>
      <c r="U706" s="16" t="s">
        <v>3103</v>
      </c>
      <c r="V706" s="16" t="s">
        <v>3104</v>
      </c>
      <c r="W706" s="16" t="s">
        <v>675</v>
      </c>
    </row>
    <row r="707">
      <c r="A707" s="16">
        <v>12131.0</v>
      </c>
      <c r="B707" s="16" t="s">
        <v>3105</v>
      </c>
      <c r="C707" s="16">
        <v>2.23</v>
      </c>
      <c r="D707" s="174" t="s">
        <v>3106</v>
      </c>
      <c r="E707" s="16"/>
      <c r="F707" s="16">
        <v>508.0</v>
      </c>
      <c r="G707" s="16" t="s">
        <v>4754</v>
      </c>
      <c r="H707" s="16" t="s">
        <v>16</v>
      </c>
      <c r="I707" s="16"/>
      <c r="J707" s="16"/>
      <c r="K707" s="16"/>
      <c r="L707" s="16"/>
      <c r="M707" s="16"/>
      <c r="N707" s="16"/>
      <c r="O707" s="16"/>
      <c r="P707" s="16"/>
      <c r="Q707" s="16"/>
      <c r="R707" s="16"/>
      <c r="S707" s="16">
        <v>1.0</v>
      </c>
      <c r="T707" s="16"/>
      <c r="U707" s="16" t="s">
        <v>3107</v>
      </c>
      <c r="V707" s="16" t="s">
        <v>3108</v>
      </c>
      <c r="W707" s="16" t="s">
        <v>188</v>
      </c>
    </row>
    <row r="708">
      <c r="A708" s="16">
        <v>12132.0</v>
      </c>
      <c r="B708" s="16" t="s">
        <v>3109</v>
      </c>
      <c r="C708" s="16">
        <v>0.7</v>
      </c>
      <c r="D708" s="174" t="s">
        <v>3110</v>
      </c>
      <c r="E708" s="16"/>
      <c r="F708" s="16">
        <v>540.0</v>
      </c>
      <c r="G708" s="16" t="s">
        <v>1729</v>
      </c>
      <c r="H708" s="16" t="s">
        <v>25</v>
      </c>
      <c r="I708" s="16"/>
      <c r="J708" s="16"/>
      <c r="K708" s="16"/>
      <c r="L708" s="16"/>
      <c r="M708" s="16"/>
      <c r="N708" s="16"/>
      <c r="O708" s="16"/>
      <c r="P708" s="16"/>
      <c r="Q708" s="16"/>
      <c r="R708" s="16"/>
      <c r="S708" s="16">
        <v>19.0</v>
      </c>
      <c r="T708" s="16"/>
      <c r="U708" s="16" t="s">
        <v>3111</v>
      </c>
      <c r="V708" s="16" t="s">
        <v>3112</v>
      </c>
      <c r="W708" s="16" t="s">
        <v>199</v>
      </c>
    </row>
    <row r="709">
      <c r="A709" s="16">
        <v>12133.0</v>
      </c>
      <c r="B709" s="16" t="s">
        <v>3113</v>
      </c>
      <c r="C709" s="16">
        <v>1.32</v>
      </c>
      <c r="D709" s="174" t="s">
        <v>3114</v>
      </c>
      <c r="E709" s="16"/>
      <c r="F709" s="16">
        <v>513.0</v>
      </c>
      <c r="G709" s="16" t="s">
        <v>1381</v>
      </c>
      <c r="H709" s="16" t="s">
        <v>24</v>
      </c>
      <c r="I709" s="16"/>
      <c r="J709" s="16"/>
      <c r="K709" s="16"/>
      <c r="L709" s="16"/>
      <c r="M709" s="16"/>
      <c r="N709" s="16"/>
      <c r="O709" s="16"/>
      <c r="P709" s="16"/>
      <c r="Q709" s="16"/>
      <c r="R709" s="16"/>
      <c r="S709" s="16">
        <v>17.0</v>
      </c>
      <c r="T709" s="16"/>
      <c r="U709" s="16" t="s">
        <v>3116</v>
      </c>
      <c r="V709" s="16" t="s">
        <v>3117</v>
      </c>
      <c r="W709" s="16" t="s">
        <v>1907</v>
      </c>
    </row>
    <row r="710">
      <c r="A710" s="16">
        <v>12134.0</v>
      </c>
      <c r="B710" s="16" t="s">
        <v>3118</v>
      </c>
      <c r="C710" s="16">
        <v>0.0</v>
      </c>
      <c r="D710" s="174" t="s">
        <v>3119</v>
      </c>
      <c r="E710" s="16"/>
      <c r="F710" s="16">
        <v>529.0</v>
      </c>
      <c r="G710" s="16" t="s">
        <v>333</v>
      </c>
      <c r="H710" s="16" t="s">
        <v>13</v>
      </c>
      <c r="I710" s="16" t="s">
        <v>14</v>
      </c>
      <c r="J710" s="16" t="s">
        <v>15</v>
      </c>
      <c r="K710" s="16"/>
      <c r="L710" s="16"/>
      <c r="M710" s="16"/>
      <c r="N710" s="16"/>
      <c r="O710" s="16"/>
      <c r="P710" s="16"/>
      <c r="Q710" s="16"/>
      <c r="R710" s="16"/>
      <c r="S710" s="16">
        <v>15.0</v>
      </c>
      <c r="T710" s="16"/>
      <c r="U710" s="16" t="s">
        <v>3120</v>
      </c>
      <c r="V710" s="16" t="s">
        <v>3121</v>
      </c>
      <c r="W710" s="16" t="s">
        <v>751</v>
      </c>
    </row>
    <row r="711">
      <c r="A711" s="16">
        <v>12135.0</v>
      </c>
      <c r="B711" s="16" t="s">
        <v>3122</v>
      </c>
      <c r="C711" s="16">
        <v>3.18</v>
      </c>
      <c r="D711" s="174" t="s">
        <v>3123</v>
      </c>
      <c r="E711" s="16"/>
      <c r="F711" s="16">
        <v>544.0</v>
      </c>
      <c r="G711" s="16" t="s">
        <v>272</v>
      </c>
      <c r="H711" s="16" t="s">
        <v>15</v>
      </c>
      <c r="I711" s="16"/>
      <c r="J711" s="16"/>
      <c r="K711" s="16"/>
      <c r="L711" s="16"/>
      <c r="M711" s="16"/>
      <c r="N711" s="16"/>
      <c r="O711" s="16"/>
      <c r="P711" s="16"/>
      <c r="Q711" s="16"/>
      <c r="R711" s="16"/>
      <c r="S711" s="16">
        <v>1.0</v>
      </c>
      <c r="T711" s="174" t="s">
        <v>4815</v>
      </c>
      <c r="U711" s="16" t="s">
        <v>3124</v>
      </c>
      <c r="V711" s="16" t="s">
        <v>3125</v>
      </c>
      <c r="W711" s="16" t="s">
        <v>188</v>
      </c>
    </row>
    <row r="712">
      <c r="A712" s="16">
        <v>12136.0</v>
      </c>
      <c r="B712" s="16" t="s">
        <v>3126</v>
      </c>
      <c r="C712" s="16">
        <v>0.0</v>
      </c>
      <c r="D712" s="174" t="s">
        <v>3127</v>
      </c>
      <c r="E712" s="16"/>
      <c r="F712" s="16">
        <v>513.0</v>
      </c>
      <c r="G712" s="16" t="s">
        <v>1381</v>
      </c>
      <c r="H712" s="16" t="s">
        <v>25</v>
      </c>
      <c r="I712" s="16"/>
      <c r="J712" s="16"/>
      <c r="K712" s="16"/>
      <c r="L712" s="16"/>
      <c r="M712" s="16"/>
      <c r="N712" s="16"/>
      <c r="O712" s="16"/>
      <c r="P712" s="16"/>
      <c r="Q712" s="16"/>
      <c r="R712" s="16"/>
      <c r="S712" s="16">
        <v>14.0</v>
      </c>
      <c r="T712" s="16"/>
      <c r="U712" s="16" t="s">
        <v>3128</v>
      </c>
      <c r="V712" s="16" t="s">
        <v>3129</v>
      </c>
      <c r="W712" s="16" t="s">
        <v>199</v>
      </c>
    </row>
    <row r="713">
      <c r="A713" s="16">
        <v>12137.0</v>
      </c>
      <c r="B713" s="16" t="s">
        <v>3130</v>
      </c>
      <c r="C713" s="16">
        <v>0.0</v>
      </c>
      <c r="D713" s="174" t="s">
        <v>3131</v>
      </c>
      <c r="E713" s="16"/>
      <c r="F713" s="16">
        <v>498.0</v>
      </c>
      <c r="G713" s="16" t="s">
        <v>176</v>
      </c>
      <c r="H713" s="16" t="s">
        <v>25</v>
      </c>
      <c r="I713" s="16" t="s">
        <v>26</v>
      </c>
      <c r="J713" s="16"/>
      <c r="K713" s="16"/>
      <c r="L713" s="16"/>
      <c r="M713" s="16"/>
      <c r="N713" s="16"/>
      <c r="O713" s="16"/>
      <c r="P713" s="16"/>
      <c r="Q713" s="16"/>
      <c r="R713" s="16"/>
      <c r="S713" s="16">
        <v>-2.0</v>
      </c>
      <c r="T713" s="16"/>
      <c r="U713" s="16" t="s">
        <v>3132</v>
      </c>
      <c r="V713" s="16" t="s">
        <v>3133</v>
      </c>
      <c r="W713" s="16" t="s">
        <v>566</v>
      </c>
    </row>
    <row r="714">
      <c r="A714" s="16">
        <v>12138.0</v>
      </c>
      <c r="B714" s="16" t="s">
        <v>3134</v>
      </c>
      <c r="C714" s="16">
        <v>1.61</v>
      </c>
      <c r="D714" s="174" t="s">
        <v>3135</v>
      </c>
      <c r="E714" s="16"/>
      <c r="F714" s="16">
        <v>535.0</v>
      </c>
      <c r="G714" s="16" t="s">
        <v>361</v>
      </c>
      <c r="H714" s="16" t="s">
        <v>13</v>
      </c>
      <c r="I714" s="16"/>
      <c r="J714" s="16"/>
      <c r="K714" s="16"/>
      <c r="L714" s="16"/>
      <c r="M714" s="16"/>
      <c r="N714" s="16"/>
      <c r="O714" s="16"/>
      <c r="P714" s="16"/>
      <c r="Q714" s="16"/>
      <c r="R714" s="16"/>
      <c r="S714" s="16">
        <v>1.0</v>
      </c>
      <c r="T714" s="16"/>
      <c r="U714" s="16" t="s">
        <v>3136</v>
      </c>
      <c r="V714" s="16" t="s">
        <v>3137</v>
      </c>
      <c r="W714" s="16" t="s">
        <v>231</v>
      </c>
    </row>
    <row r="715">
      <c r="A715" s="16">
        <v>12139.0</v>
      </c>
      <c r="B715" s="16" t="s">
        <v>3138</v>
      </c>
      <c r="C715" s="16">
        <v>1.91</v>
      </c>
      <c r="D715" s="174" t="s">
        <v>3139</v>
      </c>
      <c r="E715" s="16"/>
      <c r="F715" s="16">
        <v>535.0</v>
      </c>
      <c r="G715" s="16" t="s">
        <v>361</v>
      </c>
      <c r="H715" s="16" t="s">
        <v>25</v>
      </c>
      <c r="I715" s="16" t="s">
        <v>26</v>
      </c>
      <c r="J715" s="16"/>
      <c r="K715" s="16"/>
      <c r="L715" s="16"/>
      <c r="M715" s="16"/>
      <c r="N715" s="16"/>
      <c r="O715" s="16"/>
      <c r="P715" s="16"/>
      <c r="Q715" s="16"/>
      <c r="R715" s="16"/>
      <c r="S715" s="16">
        <v>1.0</v>
      </c>
      <c r="T715" s="16"/>
      <c r="U715" s="16" t="s">
        <v>3140</v>
      </c>
      <c r="V715" s="16" t="s">
        <v>3141</v>
      </c>
      <c r="W715" s="16" t="s">
        <v>179</v>
      </c>
    </row>
    <row r="716">
      <c r="A716" s="16">
        <v>12140.0</v>
      </c>
      <c r="B716" s="16" t="s">
        <v>3142</v>
      </c>
      <c r="C716" s="16">
        <v>0.94</v>
      </c>
      <c r="D716" s="174" t="s">
        <v>3143</v>
      </c>
      <c r="E716" s="16"/>
      <c r="F716" s="16">
        <v>498.0</v>
      </c>
      <c r="G716" s="16" t="s">
        <v>176</v>
      </c>
      <c r="H716" s="16" t="s">
        <v>12</v>
      </c>
      <c r="I716" s="16"/>
      <c r="J716" s="16"/>
      <c r="K716" s="16"/>
      <c r="L716" s="16"/>
      <c r="M716" s="16"/>
      <c r="N716" s="16"/>
      <c r="O716" s="16"/>
      <c r="P716" s="16"/>
      <c r="Q716" s="16"/>
      <c r="R716" s="16"/>
      <c r="S716" s="16">
        <v>-2.0</v>
      </c>
      <c r="T716" s="16"/>
      <c r="U716" s="16" t="s">
        <v>3144</v>
      </c>
      <c r="V716" s="16" t="s">
        <v>3145</v>
      </c>
      <c r="W716" s="16" t="s">
        <v>478</v>
      </c>
    </row>
    <row r="717">
      <c r="A717" s="16">
        <v>12141.0</v>
      </c>
      <c r="B717" s="16" t="s">
        <v>3146</v>
      </c>
      <c r="C717" s="16">
        <v>1.53</v>
      </c>
      <c r="D717" s="174" t="s">
        <v>3147</v>
      </c>
      <c r="E717" s="16"/>
      <c r="F717" s="16">
        <v>541.0</v>
      </c>
      <c r="G717" s="16" t="s">
        <v>387</v>
      </c>
      <c r="H717" s="16" t="s">
        <v>18</v>
      </c>
      <c r="I717" s="16" t="s">
        <v>15</v>
      </c>
      <c r="J717" s="16" t="s">
        <v>19</v>
      </c>
      <c r="K717" s="16" t="s">
        <v>17</v>
      </c>
      <c r="L717" s="16" t="s">
        <v>13</v>
      </c>
      <c r="M717" s="16"/>
      <c r="N717" s="16"/>
      <c r="O717" s="16"/>
      <c r="P717" s="16"/>
      <c r="Q717" s="16"/>
      <c r="R717" s="16"/>
      <c r="S717" s="16">
        <v>1.0</v>
      </c>
      <c r="T717" s="16"/>
      <c r="U717" s="16" t="s">
        <v>3148</v>
      </c>
      <c r="V717" s="16" t="s">
        <v>3149</v>
      </c>
      <c r="W717" s="16" t="s">
        <v>443</v>
      </c>
    </row>
    <row r="718">
      <c r="A718" s="16">
        <v>12142.0</v>
      </c>
      <c r="B718" s="16" t="s">
        <v>3150</v>
      </c>
      <c r="C718" s="16">
        <v>0.49</v>
      </c>
      <c r="D718" s="174" t="s">
        <v>3151</v>
      </c>
      <c r="E718" s="16"/>
      <c r="F718" s="16">
        <v>498.0</v>
      </c>
      <c r="G718" s="16" t="s">
        <v>176</v>
      </c>
      <c r="H718" s="16" t="s">
        <v>24</v>
      </c>
      <c r="I718" s="16"/>
      <c r="J718" s="16"/>
      <c r="K718" s="16"/>
      <c r="L718" s="16"/>
      <c r="M718" s="16"/>
      <c r="N718" s="16"/>
      <c r="O718" s="16"/>
      <c r="P718" s="16"/>
      <c r="Q718" s="16"/>
      <c r="R718" s="16"/>
      <c r="S718" s="16">
        <v>-2.0</v>
      </c>
      <c r="T718" s="16"/>
      <c r="U718" s="16" t="s">
        <v>3152</v>
      </c>
      <c r="V718" s="16" t="s">
        <v>3153</v>
      </c>
      <c r="W718" s="16" t="s">
        <v>443</v>
      </c>
    </row>
    <row r="719">
      <c r="A719" s="16">
        <v>12143.0</v>
      </c>
      <c r="B719" s="16" t="s">
        <v>3154</v>
      </c>
      <c r="C719" s="16">
        <v>2.44</v>
      </c>
      <c r="D719" s="174" t="s">
        <v>3155</v>
      </c>
      <c r="E719" s="16"/>
      <c r="F719" s="16">
        <v>504.0</v>
      </c>
      <c r="G719" s="16" t="s">
        <v>1465</v>
      </c>
      <c r="H719" s="16" t="s">
        <v>19</v>
      </c>
      <c r="I719" s="16" t="s">
        <v>17</v>
      </c>
      <c r="J719" s="16"/>
      <c r="K719" s="16"/>
      <c r="L719" s="16"/>
      <c r="M719" s="16"/>
      <c r="N719" s="16"/>
      <c r="O719" s="16"/>
      <c r="P719" s="16"/>
      <c r="Q719" s="16"/>
      <c r="R719" s="16"/>
      <c r="S719" s="16">
        <v>12.0</v>
      </c>
      <c r="T719" s="16"/>
      <c r="U719" s="16" t="s">
        <v>3156</v>
      </c>
      <c r="V719" s="16" t="s">
        <v>3157</v>
      </c>
      <c r="W719" s="16" t="s">
        <v>360</v>
      </c>
    </row>
    <row r="720">
      <c r="A720" s="16">
        <v>12144.0</v>
      </c>
      <c r="B720" s="16" t="s">
        <v>3158</v>
      </c>
      <c r="C720" s="16">
        <v>0.25</v>
      </c>
      <c r="D720" s="174" t="s">
        <v>3159</v>
      </c>
      <c r="E720" s="16"/>
      <c r="F720" s="16">
        <v>498.0</v>
      </c>
      <c r="G720" s="16" t="s">
        <v>176</v>
      </c>
      <c r="H720" s="16" t="s">
        <v>24</v>
      </c>
      <c r="I720" s="16" t="s">
        <v>25</v>
      </c>
      <c r="J720" s="16"/>
      <c r="K720" s="16"/>
      <c r="L720" s="16"/>
      <c r="M720" s="16"/>
      <c r="N720" s="16"/>
      <c r="O720" s="16"/>
      <c r="P720" s="16"/>
      <c r="Q720" s="16"/>
      <c r="R720" s="16"/>
      <c r="S720" s="16">
        <v>13.0</v>
      </c>
      <c r="T720" s="16"/>
      <c r="U720" s="16" t="s">
        <v>3160</v>
      </c>
      <c r="V720" s="16" t="s">
        <v>3161</v>
      </c>
      <c r="W720" s="16" t="s">
        <v>179</v>
      </c>
    </row>
    <row r="721">
      <c r="A721" s="16">
        <v>12145.0</v>
      </c>
      <c r="B721" s="16" t="s">
        <v>3162</v>
      </c>
      <c r="C721" s="16">
        <v>0.75</v>
      </c>
      <c r="D721" s="174" t="s">
        <v>3163</v>
      </c>
      <c r="E721" s="16"/>
      <c r="F721" s="16">
        <v>523.0</v>
      </c>
      <c r="G721" s="16" t="s">
        <v>306</v>
      </c>
      <c r="H721" s="16" t="s">
        <v>17</v>
      </c>
      <c r="I721" s="16" t="s">
        <v>18</v>
      </c>
      <c r="J721" s="16" t="s">
        <v>14</v>
      </c>
      <c r="K721" s="16" t="s">
        <v>13</v>
      </c>
      <c r="L721" s="16" t="s">
        <v>19</v>
      </c>
      <c r="M721" s="16" t="s">
        <v>15</v>
      </c>
      <c r="N721" s="16" t="s">
        <v>16</v>
      </c>
      <c r="O721" s="16"/>
      <c r="P721" s="16"/>
      <c r="Q721" s="16"/>
      <c r="R721" s="16"/>
      <c r="S721" s="16">
        <v>1.0</v>
      </c>
      <c r="T721" s="16"/>
      <c r="U721" s="16" t="s">
        <v>3164</v>
      </c>
      <c r="V721" s="16" t="s">
        <v>3165</v>
      </c>
      <c r="W721" s="16" t="s">
        <v>443</v>
      </c>
    </row>
    <row r="722">
      <c r="A722" s="16">
        <v>12146.0</v>
      </c>
      <c r="B722" s="16" t="s">
        <v>3166</v>
      </c>
      <c r="C722" s="16">
        <v>1.81</v>
      </c>
      <c r="D722" s="174" t="s">
        <v>3167</v>
      </c>
      <c r="E722" s="16"/>
      <c r="F722" s="16">
        <v>504.0</v>
      </c>
      <c r="G722" s="16" t="s">
        <v>1465</v>
      </c>
      <c r="H722" s="16" t="s">
        <v>24</v>
      </c>
      <c r="I722" s="16"/>
      <c r="J722" s="16"/>
      <c r="K722" s="16"/>
      <c r="L722" s="16"/>
      <c r="M722" s="16"/>
      <c r="N722" s="16"/>
      <c r="O722" s="16"/>
      <c r="P722" s="16"/>
      <c r="Q722" s="16"/>
      <c r="R722" s="16"/>
      <c r="S722" s="16">
        <v>16.0</v>
      </c>
      <c r="T722" s="16"/>
      <c r="U722" s="16" t="s">
        <v>3168</v>
      </c>
      <c r="V722" s="16" t="s">
        <v>3169</v>
      </c>
      <c r="W722" s="16" t="s">
        <v>188</v>
      </c>
    </row>
    <row r="723">
      <c r="A723" s="16">
        <v>12147.0</v>
      </c>
      <c r="B723" s="16" t="s">
        <v>3170</v>
      </c>
      <c r="C723" s="16">
        <v>0.73</v>
      </c>
      <c r="D723" s="174" t="s">
        <v>3171</v>
      </c>
      <c r="E723" s="16"/>
      <c r="F723" s="16">
        <v>507.0</v>
      </c>
      <c r="G723" s="16" t="s">
        <v>4748</v>
      </c>
      <c r="H723" s="16" t="s">
        <v>19</v>
      </c>
      <c r="I723" s="16"/>
      <c r="J723" s="16"/>
      <c r="K723" s="16"/>
      <c r="L723" s="16"/>
      <c r="M723" s="16"/>
      <c r="N723" s="16"/>
      <c r="O723" s="16"/>
      <c r="P723" s="16"/>
      <c r="Q723" s="16"/>
      <c r="R723" s="16"/>
      <c r="S723" s="16">
        <v>17.0</v>
      </c>
      <c r="T723" s="16"/>
      <c r="U723" s="16" t="s">
        <v>3172</v>
      </c>
      <c r="V723" s="16" t="s">
        <v>3173</v>
      </c>
      <c r="W723" s="16" t="s">
        <v>616</v>
      </c>
    </row>
    <row r="724">
      <c r="A724" s="16">
        <v>12148.0</v>
      </c>
      <c r="B724" s="16" t="s">
        <v>3174</v>
      </c>
      <c r="C724" s="16">
        <v>0.0</v>
      </c>
      <c r="D724" s="174" t="s">
        <v>3175</v>
      </c>
      <c r="E724" s="16"/>
      <c r="F724" s="16">
        <v>498.0</v>
      </c>
      <c r="G724" s="16" t="s">
        <v>176</v>
      </c>
      <c r="H724" s="16" t="s">
        <v>24</v>
      </c>
      <c r="I724" s="16"/>
      <c r="J724" s="16"/>
      <c r="K724" s="16"/>
      <c r="L724" s="16"/>
      <c r="M724" s="16"/>
      <c r="N724" s="16"/>
      <c r="O724" s="16"/>
      <c r="P724" s="16"/>
      <c r="Q724" s="16"/>
      <c r="R724" s="16"/>
      <c r="S724" s="16">
        <v>-2.0</v>
      </c>
      <c r="T724" s="16"/>
      <c r="U724" s="16" t="s">
        <v>3176</v>
      </c>
      <c r="V724" s="16" t="s">
        <v>3177</v>
      </c>
      <c r="W724" s="16" t="s">
        <v>478</v>
      </c>
    </row>
    <row r="725">
      <c r="A725" s="16">
        <v>12149.0</v>
      </c>
      <c r="B725" s="16" t="s">
        <v>3178</v>
      </c>
      <c r="C725" s="16">
        <v>2.97</v>
      </c>
      <c r="D725" s="174" t="s">
        <v>3179</v>
      </c>
      <c r="E725" s="16"/>
      <c r="F725" s="16">
        <v>531.0</v>
      </c>
      <c r="G725" s="16" t="s">
        <v>3232</v>
      </c>
      <c r="H725" s="16" t="s">
        <v>15</v>
      </c>
      <c r="I725" s="16"/>
      <c r="J725" s="16"/>
      <c r="K725" s="16"/>
      <c r="L725" s="16"/>
      <c r="M725" s="16"/>
      <c r="N725" s="16"/>
      <c r="O725" s="16"/>
      <c r="P725" s="16"/>
      <c r="Q725" s="16"/>
      <c r="R725" s="16"/>
      <c r="S725" s="16">
        <v>17.0</v>
      </c>
      <c r="T725" s="16"/>
      <c r="U725" s="16" t="s">
        <v>3180</v>
      </c>
      <c r="V725" s="16" t="s">
        <v>3181</v>
      </c>
      <c r="W725" s="16" t="s">
        <v>942</v>
      </c>
    </row>
    <row r="726">
      <c r="A726" s="16">
        <v>12150.0</v>
      </c>
      <c r="B726" s="16" t="s">
        <v>3182</v>
      </c>
      <c r="C726" s="16">
        <v>0.66</v>
      </c>
      <c r="D726" s="174" t="s">
        <v>3183</v>
      </c>
      <c r="E726" s="16"/>
      <c r="F726" s="16">
        <v>504.0</v>
      </c>
      <c r="G726" s="16" t="s">
        <v>1465</v>
      </c>
      <c r="H726" s="16" t="s">
        <v>24</v>
      </c>
      <c r="I726" s="16"/>
      <c r="J726" s="16"/>
      <c r="K726" s="16"/>
      <c r="L726" s="16"/>
      <c r="M726" s="16"/>
      <c r="N726" s="16"/>
      <c r="O726" s="16"/>
      <c r="P726" s="16"/>
      <c r="Q726" s="16"/>
      <c r="R726" s="16"/>
      <c r="S726" s="16">
        <v>15.0</v>
      </c>
      <c r="T726" s="16"/>
      <c r="U726" s="16" t="s">
        <v>3184</v>
      </c>
      <c r="V726" s="16" t="s">
        <v>3185</v>
      </c>
      <c r="W726" s="16" t="s">
        <v>496</v>
      </c>
    </row>
    <row r="727">
      <c r="A727" s="16">
        <v>12151.0</v>
      </c>
      <c r="B727" s="16" t="s">
        <v>3186</v>
      </c>
      <c r="C727" s="16">
        <v>0.51</v>
      </c>
      <c r="D727" s="174" t="s">
        <v>3187</v>
      </c>
      <c r="E727" s="16"/>
      <c r="F727" s="16">
        <v>498.0</v>
      </c>
      <c r="G727" s="16" t="s">
        <v>176</v>
      </c>
      <c r="H727" s="16" t="s">
        <v>16</v>
      </c>
      <c r="I727" s="16" t="s">
        <v>15</v>
      </c>
      <c r="J727" s="16" t="s">
        <v>14</v>
      </c>
      <c r="K727" s="16" t="s">
        <v>17</v>
      </c>
      <c r="L727" s="16" t="s">
        <v>18</v>
      </c>
      <c r="M727" s="16"/>
      <c r="N727" s="16"/>
      <c r="O727" s="16"/>
      <c r="P727" s="16"/>
      <c r="Q727" s="16"/>
      <c r="R727" s="16"/>
      <c r="S727" s="16">
        <v>16.0</v>
      </c>
      <c r="T727" s="16"/>
      <c r="U727" s="16" t="s">
        <v>3188</v>
      </c>
      <c r="V727" s="16" t="s">
        <v>3189</v>
      </c>
      <c r="W727" s="16" t="s">
        <v>491</v>
      </c>
    </row>
    <row r="728">
      <c r="A728" s="16">
        <v>12152.0</v>
      </c>
      <c r="B728" s="16" t="s">
        <v>3190</v>
      </c>
      <c r="C728" s="16">
        <v>1.02</v>
      </c>
      <c r="D728" s="174" t="s">
        <v>3191</v>
      </c>
      <c r="E728" s="16"/>
      <c r="F728" s="16">
        <v>498.0</v>
      </c>
      <c r="G728" s="16" t="s">
        <v>176</v>
      </c>
      <c r="H728" s="16" t="s">
        <v>24</v>
      </c>
      <c r="I728" s="16"/>
      <c r="J728" s="16"/>
      <c r="K728" s="16"/>
      <c r="L728" s="16"/>
      <c r="M728" s="16"/>
      <c r="N728" s="16"/>
      <c r="O728" s="16"/>
      <c r="P728" s="16"/>
      <c r="Q728" s="16"/>
      <c r="R728" s="16"/>
      <c r="S728" s="16">
        <v>-2.0</v>
      </c>
      <c r="T728" s="16"/>
      <c r="U728" s="16" t="s">
        <v>3192</v>
      </c>
      <c r="V728" s="16" t="s">
        <v>3193</v>
      </c>
      <c r="W728" s="16" t="s">
        <v>942</v>
      </c>
    </row>
    <row r="729">
      <c r="A729" s="16">
        <v>12153.0</v>
      </c>
      <c r="B729" s="16" t="s">
        <v>3194</v>
      </c>
      <c r="C729" s="16">
        <v>0.87</v>
      </c>
      <c r="D729" s="174" t="s">
        <v>3195</v>
      </c>
      <c r="E729" s="16"/>
      <c r="F729" s="16">
        <v>498.0</v>
      </c>
      <c r="G729" s="16" t="s">
        <v>176</v>
      </c>
      <c r="H729" s="16" t="s">
        <v>18</v>
      </c>
      <c r="I729" s="16" t="s">
        <v>17</v>
      </c>
      <c r="J729" s="16"/>
      <c r="K729" s="16"/>
      <c r="L729" s="16"/>
      <c r="M729" s="16"/>
      <c r="N729" s="16"/>
      <c r="O729" s="16"/>
      <c r="P729" s="16"/>
      <c r="Q729" s="16"/>
      <c r="R729" s="16"/>
      <c r="S729" s="16">
        <v>-2.0</v>
      </c>
      <c r="T729" s="16"/>
      <c r="U729" s="16" t="s">
        <v>3196</v>
      </c>
      <c r="V729" s="16" t="s">
        <v>3197</v>
      </c>
      <c r="W729" s="16" t="s">
        <v>179</v>
      </c>
    </row>
    <row r="730">
      <c r="A730" s="16">
        <v>12154.0</v>
      </c>
      <c r="B730" s="16" t="s">
        <v>3198</v>
      </c>
      <c r="C730" s="16">
        <v>1.43</v>
      </c>
      <c r="D730" s="174" t="s">
        <v>3199</v>
      </c>
      <c r="E730" s="16"/>
      <c r="F730" s="16">
        <v>523.0</v>
      </c>
      <c r="G730" s="16" t="s">
        <v>306</v>
      </c>
      <c r="H730" s="16" t="s">
        <v>13</v>
      </c>
      <c r="I730" s="16" t="s">
        <v>14</v>
      </c>
      <c r="J730" s="16" t="s">
        <v>15</v>
      </c>
      <c r="K730" s="16"/>
      <c r="L730" s="16"/>
      <c r="M730" s="16"/>
      <c r="N730" s="16"/>
      <c r="O730" s="16"/>
      <c r="P730" s="16"/>
      <c r="Q730" s="16"/>
      <c r="R730" s="16"/>
      <c r="S730" s="16">
        <v>11.0</v>
      </c>
      <c r="T730" s="174" t="s">
        <v>4816</v>
      </c>
      <c r="U730" s="16" t="s">
        <v>3200</v>
      </c>
      <c r="V730" s="16" t="s">
        <v>3201</v>
      </c>
      <c r="W730" s="16" t="s">
        <v>188</v>
      </c>
    </row>
    <row r="731">
      <c r="A731" s="16">
        <v>12155.0</v>
      </c>
      <c r="B731" s="16" t="s">
        <v>3202</v>
      </c>
      <c r="C731" s="16">
        <v>0.77</v>
      </c>
      <c r="D731" s="174" t="s">
        <v>3203</v>
      </c>
      <c r="E731" s="16"/>
      <c r="F731" s="16">
        <v>510.0</v>
      </c>
      <c r="G731" s="16" t="s">
        <v>4782</v>
      </c>
      <c r="H731" s="16" t="s">
        <v>17</v>
      </c>
      <c r="I731" s="16"/>
      <c r="J731" s="16"/>
      <c r="K731" s="16"/>
      <c r="L731" s="16"/>
      <c r="M731" s="16"/>
      <c r="N731" s="16"/>
      <c r="O731" s="16"/>
      <c r="P731" s="16"/>
      <c r="Q731" s="16"/>
      <c r="R731" s="16"/>
      <c r="S731" s="16">
        <v>11.0</v>
      </c>
      <c r="T731" s="16"/>
      <c r="U731" s="16" t="s">
        <v>3204</v>
      </c>
      <c r="V731" s="16" t="s">
        <v>3205</v>
      </c>
      <c r="W731" s="16" t="s">
        <v>675</v>
      </c>
    </row>
    <row r="732">
      <c r="A732" s="16">
        <v>12156.0</v>
      </c>
      <c r="B732" s="16" t="s">
        <v>3206</v>
      </c>
      <c r="C732" s="16">
        <v>0.0</v>
      </c>
      <c r="D732" s="174" t="s">
        <v>3207</v>
      </c>
      <c r="E732" s="16"/>
      <c r="F732" s="16">
        <v>535.0</v>
      </c>
      <c r="G732" s="16" t="s">
        <v>361</v>
      </c>
      <c r="H732" s="16" t="s">
        <v>24</v>
      </c>
      <c r="I732" s="16" t="s">
        <v>25</v>
      </c>
      <c r="J732" s="16"/>
      <c r="K732" s="16"/>
      <c r="L732" s="16"/>
      <c r="M732" s="16"/>
      <c r="N732" s="16"/>
      <c r="O732" s="16"/>
      <c r="P732" s="16"/>
      <c r="Q732" s="16"/>
      <c r="R732" s="16"/>
      <c r="S732" s="16">
        <v>6.0</v>
      </c>
      <c r="T732" s="16"/>
      <c r="U732" s="16" t="s">
        <v>3208</v>
      </c>
      <c r="V732" s="16" t="s">
        <v>3209</v>
      </c>
      <c r="W732" s="16" t="s">
        <v>634</v>
      </c>
    </row>
    <row r="733">
      <c r="A733" s="16">
        <v>12157.0</v>
      </c>
      <c r="B733" s="16" t="s">
        <v>3210</v>
      </c>
      <c r="C733" s="16">
        <v>1.97</v>
      </c>
      <c r="D733" s="174" t="s">
        <v>3211</v>
      </c>
      <c r="E733" s="16"/>
      <c r="F733" s="16">
        <v>537.0</v>
      </c>
      <c r="G733" s="16" t="s">
        <v>623</v>
      </c>
      <c r="H733" s="16" t="s">
        <v>18</v>
      </c>
      <c r="I733" s="16"/>
      <c r="J733" s="16"/>
      <c r="K733" s="16"/>
      <c r="L733" s="16"/>
      <c r="M733" s="16"/>
      <c r="N733" s="16"/>
      <c r="O733" s="16"/>
      <c r="P733" s="16"/>
      <c r="Q733" s="16"/>
      <c r="R733" s="16"/>
      <c r="S733" s="16">
        <v>17.0</v>
      </c>
      <c r="T733" s="16"/>
      <c r="U733" s="16" t="s">
        <v>3212</v>
      </c>
      <c r="V733" s="16" t="s">
        <v>3213</v>
      </c>
      <c r="W733" s="16" t="s">
        <v>661</v>
      </c>
    </row>
    <row r="734">
      <c r="A734" s="16">
        <v>12158.0</v>
      </c>
      <c r="B734" s="16" t="s">
        <v>3214</v>
      </c>
      <c r="C734" s="16">
        <v>1.84</v>
      </c>
      <c r="D734" s="174" t="s">
        <v>3215</v>
      </c>
      <c r="E734" s="16"/>
      <c r="F734" s="16">
        <v>498.0</v>
      </c>
      <c r="G734" s="16" t="s">
        <v>176</v>
      </c>
      <c r="H734" s="16" t="s">
        <v>25</v>
      </c>
      <c r="I734" s="16"/>
      <c r="J734" s="16"/>
      <c r="K734" s="16"/>
      <c r="L734" s="16"/>
      <c r="M734" s="16"/>
      <c r="N734" s="16"/>
      <c r="O734" s="16"/>
      <c r="P734" s="16"/>
      <c r="Q734" s="16"/>
      <c r="R734" s="16"/>
      <c r="S734" s="16">
        <v>-2.0</v>
      </c>
      <c r="T734" s="16"/>
      <c r="U734" s="16" t="s">
        <v>3216</v>
      </c>
      <c r="V734" s="16" t="s">
        <v>3217</v>
      </c>
      <c r="W734" s="16" t="s">
        <v>199</v>
      </c>
    </row>
    <row r="735">
      <c r="A735" s="16">
        <v>12159.0</v>
      </c>
      <c r="B735" s="16" t="s">
        <v>3218</v>
      </c>
      <c r="C735" s="16">
        <v>1.81</v>
      </c>
      <c r="D735" s="174" t="s">
        <v>3219</v>
      </c>
      <c r="E735" s="16"/>
      <c r="F735" s="16">
        <v>526.0</v>
      </c>
      <c r="G735" s="16" t="s">
        <v>212</v>
      </c>
      <c r="H735" s="16" t="s">
        <v>24</v>
      </c>
      <c r="I735" s="16"/>
      <c r="J735" s="16"/>
      <c r="K735" s="16"/>
      <c r="L735" s="16"/>
      <c r="M735" s="16"/>
      <c r="N735" s="16"/>
      <c r="O735" s="16"/>
      <c r="P735" s="16"/>
      <c r="Q735" s="16"/>
      <c r="R735" s="16"/>
      <c r="S735" s="16">
        <v>1.0</v>
      </c>
      <c r="T735" s="174" t="s">
        <v>4747</v>
      </c>
      <c r="U735" s="16" t="s">
        <v>3220</v>
      </c>
      <c r="V735" s="16" t="s">
        <v>3221</v>
      </c>
      <c r="W735" s="16" t="s">
        <v>188</v>
      </c>
    </row>
    <row r="736">
      <c r="A736" s="16">
        <v>12160.0</v>
      </c>
      <c r="B736" s="16" t="s">
        <v>3222</v>
      </c>
      <c r="C736" s="16">
        <v>0.92</v>
      </c>
      <c r="D736" s="174" t="s">
        <v>3223</v>
      </c>
      <c r="E736" s="16"/>
      <c r="F736" s="16">
        <v>538.0</v>
      </c>
      <c r="G736" s="16" t="s">
        <v>289</v>
      </c>
      <c r="H736" s="16" t="s">
        <v>25</v>
      </c>
      <c r="I736" s="16" t="s">
        <v>26</v>
      </c>
      <c r="J736" s="16"/>
      <c r="K736" s="16"/>
      <c r="L736" s="16"/>
      <c r="M736" s="16"/>
      <c r="N736" s="16"/>
      <c r="O736" s="16"/>
      <c r="P736" s="16"/>
      <c r="Q736" s="16"/>
      <c r="R736" s="16"/>
      <c r="S736" s="16">
        <v>10.0</v>
      </c>
      <c r="T736" s="16"/>
      <c r="U736" s="16" t="s">
        <v>3224</v>
      </c>
      <c r="V736" s="16" t="s">
        <v>3225</v>
      </c>
      <c r="W736" s="16" t="s">
        <v>491</v>
      </c>
    </row>
    <row r="737">
      <c r="A737" s="16">
        <v>12161.0</v>
      </c>
      <c r="B737" s="16" t="s">
        <v>3226</v>
      </c>
      <c r="C737" s="16">
        <v>1.5</v>
      </c>
      <c r="D737" s="174" t="s">
        <v>3227</v>
      </c>
      <c r="E737" s="16"/>
      <c r="F737" s="16">
        <v>519.0</v>
      </c>
      <c r="G737" s="16" t="s">
        <v>1452</v>
      </c>
      <c r="H737" s="16" t="s">
        <v>24</v>
      </c>
      <c r="I737" s="16" t="s">
        <v>25</v>
      </c>
      <c r="J737" s="16"/>
      <c r="K737" s="16"/>
      <c r="L737" s="16"/>
      <c r="M737" s="16"/>
      <c r="N737" s="16"/>
      <c r="O737" s="16"/>
      <c r="P737" s="16"/>
      <c r="Q737" s="16"/>
      <c r="R737" s="16"/>
      <c r="S737" s="16">
        <v>13.0</v>
      </c>
      <c r="T737" s="174" t="s">
        <v>4817</v>
      </c>
      <c r="U737" s="16" t="s">
        <v>3228</v>
      </c>
      <c r="V737" s="16" t="s">
        <v>3229</v>
      </c>
      <c r="W737" s="16" t="s">
        <v>1412</v>
      </c>
    </row>
    <row r="738">
      <c r="A738" s="16">
        <v>12162.0</v>
      </c>
      <c r="B738" s="16" t="s">
        <v>3230</v>
      </c>
      <c r="C738" s="16">
        <v>1.3</v>
      </c>
      <c r="D738" s="174" t="s">
        <v>3231</v>
      </c>
      <c r="E738" s="16"/>
      <c r="F738" s="16">
        <v>544.0</v>
      </c>
      <c r="G738" s="16" t="s">
        <v>272</v>
      </c>
      <c r="H738" s="16" t="s">
        <v>14</v>
      </c>
      <c r="I738" s="16"/>
      <c r="J738" s="16"/>
      <c r="K738" s="16"/>
      <c r="L738" s="16"/>
      <c r="M738" s="16"/>
      <c r="N738" s="16"/>
      <c r="O738" s="16"/>
      <c r="P738" s="16"/>
      <c r="Q738" s="16"/>
      <c r="R738" s="16"/>
      <c r="S738" s="16">
        <v>1.0</v>
      </c>
      <c r="T738" s="174" t="s">
        <v>4818</v>
      </c>
      <c r="U738" s="16" t="s">
        <v>3233</v>
      </c>
      <c r="V738" s="16" t="s">
        <v>3234</v>
      </c>
      <c r="W738" s="16" t="s">
        <v>616</v>
      </c>
    </row>
    <row r="739">
      <c r="A739" s="16">
        <v>12163.0</v>
      </c>
      <c r="B739" s="16" t="s">
        <v>3235</v>
      </c>
      <c r="C739" s="16">
        <v>0.0</v>
      </c>
      <c r="D739" s="174" t="s">
        <v>3236</v>
      </c>
      <c r="E739" s="16"/>
      <c r="F739" s="16">
        <v>498.0</v>
      </c>
      <c r="G739" s="16" t="s">
        <v>176</v>
      </c>
      <c r="H739" s="16" t="s">
        <v>25</v>
      </c>
      <c r="I739" s="16"/>
      <c r="J739" s="16"/>
      <c r="K739" s="16"/>
      <c r="L739" s="16"/>
      <c r="M739" s="16"/>
      <c r="N739" s="16"/>
      <c r="O739" s="16"/>
      <c r="P739" s="16"/>
      <c r="Q739" s="16"/>
      <c r="R739" s="16"/>
      <c r="S739" s="16">
        <v>-2.0</v>
      </c>
      <c r="T739" s="16"/>
      <c r="U739" s="16" t="s">
        <v>3237</v>
      </c>
      <c r="V739" s="16" t="s">
        <v>3238</v>
      </c>
      <c r="W739" s="16" t="s">
        <v>199</v>
      </c>
    </row>
    <row r="740">
      <c r="A740" s="16">
        <v>12164.0</v>
      </c>
      <c r="B740" s="16" t="s">
        <v>3239</v>
      </c>
      <c r="C740" s="16">
        <v>0.61</v>
      </c>
      <c r="D740" s="174" t="s">
        <v>3240</v>
      </c>
      <c r="E740" s="16"/>
      <c r="F740" s="16">
        <v>514.0</v>
      </c>
      <c r="G740" s="16" t="s">
        <v>260</v>
      </c>
      <c r="H740" s="16" t="s">
        <v>18</v>
      </c>
      <c r="I740" s="16" t="s">
        <v>17</v>
      </c>
      <c r="J740" s="16" t="s">
        <v>19</v>
      </c>
      <c r="K740" s="16"/>
      <c r="L740" s="16"/>
      <c r="M740" s="16"/>
      <c r="N740" s="16"/>
      <c r="O740" s="16"/>
      <c r="P740" s="16"/>
      <c r="Q740" s="16"/>
      <c r="R740" s="16"/>
      <c r="S740" s="16">
        <v>1.0</v>
      </c>
      <c r="T740" s="16"/>
      <c r="U740" s="16" t="s">
        <v>3241</v>
      </c>
      <c r="V740" s="16" t="s">
        <v>3242</v>
      </c>
      <c r="W740" s="16" t="s">
        <v>675</v>
      </c>
    </row>
    <row r="741">
      <c r="A741" s="16">
        <v>12165.0</v>
      </c>
      <c r="B741" s="16" t="s">
        <v>3243</v>
      </c>
      <c r="C741" s="16">
        <v>0.56</v>
      </c>
      <c r="D741" s="174" t="s">
        <v>3244</v>
      </c>
      <c r="E741" s="16"/>
      <c r="F741" s="16">
        <v>498.0</v>
      </c>
      <c r="G741" s="16" t="s">
        <v>176</v>
      </c>
      <c r="H741" s="16" t="s">
        <v>24</v>
      </c>
      <c r="I741" s="16" t="s">
        <v>25</v>
      </c>
      <c r="J741" s="16"/>
      <c r="K741" s="16"/>
      <c r="L741" s="16"/>
      <c r="M741" s="16"/>
      <c r="N741" s="16"/>
      <c r="O741" s="16"/>
      <c r="P741" s="16"/>
      <c r="Q741" s="16"/>
      <c r="R741" s="16"/>
      <c r="S741" s="16">
        <v>-2.0</v>
      </c>
      <c r="T741" s="16"/>
      <c r="U741" s="16" t="s">
        <v>3245</v>
      </c>
      <c r="V741" s="16" t="s">
        <v>3246</v>
      </c>
      <c r="W741" s="16" t="s">
        <v>634</v>
      </c>
    </row>
    <row r="742">
      <c r="A742" s="16">
        <v>12166.0</v>
      </c>
      <c r="B742" s="16" t="s">
        <v>3247</v>
      </c>
      <c r="C742" s="16">
        <v>0.0</v>
      </c>
      <c r="D742" s="174" t="s">
        <v>3248</v>
      </c>
      <c r="E742" s="16"/>
      <c r="F742" s="16">
        <v>498.0</v>
      </c>
      <c r="G742" s="16" t="s">
        <v>176</v>
      </c>
      <c r="H742" s="16" t="s">
        <v>14</v>
      </c>
      <c r="I742" s="16" t="s">
        <v>15</v>
      </c>
      <c r="J742" s="16"/>
      <c r="K742" s="16"/>
      <c r="L742" s="16"/>
      <c r="M742" s="16"/>
      <c r="N742" s="16"/>
      <c r="O742" s="16"/>
      <c r="P742" s="16"/>
      <c r="Q742" s="16"/>
      <c r="R742" s="16"/>
      <c r="S742" s="16">
        <v>-2.0</v>
      </c>
      <c r="T742" s="16"/>
      <c r="U742" s="16" t="s">
        <v>3249</v>
      </c>
      <c r="V742" s="16" t="s">
        <v>3250</v>
      </c>
      <c r="W742" s="16" t="s">
        <v>591</v>
      </c>
    </row>
    <row r="743">
      <c r="A743" s="16">
        <v>12167.0</v>
      </c>
      <c r="B743" s="16" t="s">
        <v>3251</v>
      </c>
      <c r="C743" s="16">
        <v>1.39</v>
      </c>
      <c r="D743" s="174" t="s">
        <v>3252</v>
      </c>
      <c r="E743" s="16"/>
      <c r="F743" s="16">
        <v>510.0</v>
      </c>
      <c r="G743" s="16" t="s">
        <v>4782</v>
      </c>
      <c r="H743" s="16" t="s">
        <v>13</v>
      </c>
      <c r="I743" s="16" t="s">
        <v>19</v>
      </c>
      <c r="J743" s="16"/>
      <c r="K743" s="16"/>
      <c r="L743" s="16"/>
      <c r="M743" s="16"/>
      <c r="N743" s="16"/>
      <c r="O743" s="16"/>
      <c r="P743" s="16"/>
      <c r="Q743" s="16"/>
      <c r="R743" s="16"/>
      <c r="S743" s="16">
        <v>15.0</v>
      </c>
      <c r="T743" s="16"/>
      <c r="U743" s="16" t="s">
        <v>3253</v>
      </c>
      <c r="V743" s="16" t="s">
        <v>3254</v>
      </c>
      <c r="W743" s="16" t="s">
        <v>491</v>
      </c>
    </row>
    <row r="744">
      <c r="A744" s="16">
        <v>12168.0</v>
      </c>
      <c r="B744" s="16" t="s">
        <v>3255</v>
      </c>
      <c r="C744" s="16">
        <v>0.0</v>
      </c>
      <c r="D744" s="174" t="s">
        <v>3256</v>
      </c>
      <c r="E744" s="16"/>
      <c r="F744" s="16">
        <v>523.0</v>
      </c>
      <c r="G744" s="16" t="s">
        <v>306</v>
      </c>
      <c r="H744" s="16" t="s">
        <v>25</v>
      </c>
      <c r="I744" s="16" t="s">
        <v>26</v>
      </c>
      <c r="J744" s="16"/>
      <c r="K744" s="16"/>
      <c r="L744" s="16"/>
      <c r="M744" s="16"/>
      <c r="N744" s="16"/>
      <c r="O744" s="16"/>
      <c r="P744" s="16"/>
      <c r="Q744" s="16"/>
      <c r="R744" s="16"/>
      <c r="S744" s="16">
        <v>1.0</v>
      </c>
      <c r="T744" s="16"/>
      <c r="U744" s="16" t="s">
        <v>3257</v>
      </c>
      <c r="V744" s="16" t="s">
        <v>3258</v>
      </c>
      <c r="W744" s="16" t="s">
        <v>179</v>
      </c>
    </row>
    <row r="745">
      <c r="A745" s="16">
        <v>12169.0</v>
      </c>
      <c r="B745" s="16" t="s">
        <v>3259</v>
      </c>
      <c r="C745" s="16">
        <v>1.89</v>
      </c>
      <c r="D745" s="174" t="s">
        <v>3260</v>
      </c>
      <c r="E745" s="16"/>
      <c r="F745" s="16">
        <v>500.0</v>
      </c>
      <c r="G745" s="16" t="s">
        <v>120</v>
      </c>
      <c r="H745" s="16" t="s">
        <v>24</v>
      </c>
      <c r="I745" s="16"/>
      <c r="J745" s="16"/>
      <c r="K745" s="16"/>
      <c r="L745" s="16"/>
      <c r="M745" s="16"/>
      <c r="N745" s="16"/>
      <c r="O745" s="16"/>
      <c r="P745" s="16"/>
      <c r="Q745" s="16"/>
      <c r="R745" s="16" t="s">
        <v>4758</v>
      </c>
      <c r="S745" s="16">
        <v>1.0</v>
      </c>
      <c r="T745" s="16"/>
      <c r="U745" s="16" t="s">
        <v>3261</v>
      </c>
      <c r="V745" s="16" t="s">
        <v>3262</v>
      </c>
      <c r="W745" s="16" t="s">
        <v>188</v>
      </c>
    </row>
    <row r="746">
      <c r="A746" s="16">
        <v>12170.0</v>
      </c>
      <c r="B746" s="16" t="s">
        <v>3263</v>
      </c>
      <c r="C746" s="16">
        <v>0.56</v>
      </c>
      <c r="D746" s="174" t="s">
        <v>3264</v>
      </c>
      <c r="E746" s="16"/>
      <c r="F746" s="16">
        <v>520.0</v>
      </c>
      <c r="G746" s="16" t="s">
        <v>292</v>
      </c>
      <c r="H746" s="16" t="s">
        <v>25</v>
      </c>
      <c r="I746" s="16" t="s">
        <v>26</v>
      </c>
      <c r="J746" s="16"/>
      <c r="K746" s="16"/>
      <c r="L746" s="16"/>
      <c r="M746" s="16"/>
      <c r="N746" s="16"/>
      <c r="O746" s="16"/>
      <c r="P746" s="16"/>
      <c r="Q746" s="16"/>
      <c r="R746" s="16"/>
      <c r="S746" s="16">
        <v>14.0</v>
      </c>
      <c r="T746" s="16"/>
      <c r="U746" s="16" t="s">
        <v>3265</v>
      </c>
      <c r="V746" s="16" t="s">
        <v>3266</v>
      </c>
      <c r="W746" s="16" t="s">
        <v>332</v>
      </c>
    </row>
    <row r="747">
      <c r="A747" s="16">
        <v>12171.0</v>
      </c>
      <c r="B747" s="16" t="s">
        <v>118</v>
      </c>
      <c r="C747" s="16">
        <v>0.0</v>
      </c>
      <c r="D747" s="174" t="s">
        <v>3267</v>
      </c>
      <c r="E747" s="16"/>
      <c r="F747" s="16">
        <v>498.0</v>
      </c>
      <c r="G747" s="16" t="s">
        <v>176</v>
      </c>
      <c r="H747" s="16" t="s">
        <v>18</v>
      </c>
      <c r="I747" s="16" t="s">
        <v>19</v>
      </c>
      <c r="J747" s="16" t="s">
        <v>17</v>
      </c>
      <c r="K747" s="16"/>
      <c r="L747" s="16"/>
      <c r="M747" s="16"/>
      <c r="N747" s="16"/>
      <c r="O747" s="16"/>
      <c r="P747" s="16"/>
      <c r="Q747" s="16"/>
      <c r="R747" s="16"/>
      <c r="S747" s="16">
        <v>-2.0</v>
      </c>
      <c r="T747" s="16"/>
      <c r="U747" s="16" t="s">
        <v>3268</v>
      </c>
      <c r="V747" s="16" t="s">
        <v>3269</v>
      </c>
      <c r="W747" s="16" t="s">
        <v>491</v>
      </c>
    </row>
    <row r="748">
      <c r="A748" s="16">
        <v>12172.0</v>
      </c>
      <c r="B748" s="16" t="s">
        <v>3270</v>
      </c>
      <c r="C748" s="16">
        <v>1.52</v>
      </c>
      <c r="D748" s="174" t="s">
        <v>3271</v>
      </c>
      <c r="E748" s="16"/>
      <c r="F748" s="16">
        <v>537.0</v>
      </c>
      <c r="G748" s="16" t="s">
        <v>623</v>
      </c>
      <c r="H748" s="16" t="s">
        <v>12</v>
      </c>
      <c r="I748" s="16"/>
      <c r="J748" s="16"/>
      <c r="K748" s="16"/>
      <c r="L748" s="16"/>
      <c r="M748" s="16"/>
      <c r="N748" s="16"/>
      <c r="O748" s="16"/>
      <c r="P748" s="16"/>
      <c r="Q748" s="16"/>
      <c r="R748" s="16"/>
      <c r="S748" s="16">
        <v>15.0</v>
      </c>
      <c r="T748" s="16"/>
      <c r="U748" s="16" t="s">
        <v>3272</v>
      </c>
      <c r="V748" s="16" t="s">
        <v>3273</v>
      </c>
      <c r="W748" s="16" t="s">
        <v>675</v>
      </c>
    </row>
    <row r="749">
      <c r="A749" s="16">
        <v>12173.0</v>
      </c>
      <c r="B749" s="16" t="s">
        <v>3274</v>
      </c>
      <c r="C749" s="16">
        <v>0.36</v>
      </c>
      <c r="D749" s="174" t="s">
        <v>3275</v>
      </c>
      <c r="E749" s="16"/>
      <c r="F749" s="16">
        <v>514.0</v>
      </c>
      <c r="G749" s="16" t="s">
        <v>260</v>
      </c>
      <c r="H749" s="16" t="s">
        <v>17</v>
      </c>
      <c r="I749" s="16"/>
      <c r="J749" s="16"/>
      <c r="K749" s="16"/>
      <c r="L749" s="16"/>
      <c r="M749" s="16"/>
      <c r="N749" s="16"/>
      <c r="O749" s="16"/>
      <c r="P749" s="16"/>
      <c r="Q749" s="16"/>
      <c r="R749" s="16"/>
      <c r="S749" s="16">
        <v>18.0</v>
      </c>
      <c r="T749" s="16"/>
      <c r="U749" s="16" t="s">
        <v>3276</v>
      </c>
      <c r="V749" s="16" t="s">
        <v>3277</v>
      </c>
      <c r="W749" s="16" t="s">
        <v>634</v>
      </c>
    </row>
    <row r="750">
      <c r="A750" s="16">
        <v>12174.0</v>
      </c>
      <c r="B750" s="16" t="s">
        <v>3278</v>
      </c>
      <c r="C750" s="16">
        <v>2.93</v>
      </c>
      <c r="D750" s="174" t="s">
        <v>3279</v>
      </c>
      <c r="E750" s="16"/>
      <c r="F750" s="16">
        <v>541.0</v>
      </c>
      <c r="G750" s="16" t="s">
        <v>387</v>
      </c>
      <c r="H750" s="16" t="s">
        <v>16</v>
      </c>
      <c r="I750" s="16" t="s">
        <v>14</v>
      </c>
      <c r="J750" s="16" t="s">
        <v>15</v>
      </c>
      <c r="K750" s="16" t="s">
        <v>13</v>
      </c>
      <c r="L750" s="16"/>
      <c r="M750" s="16"/>
      <c r="N750" s="16"/>
      <c r="O750" s="16"/>
      <c r="P750" s="16"/>
      <c r="Q750" s="16"/>
      <c r="R750" s="16"/>
      <c r="S750" s="16">
        <v>1.0</v>
      </c>
      <c r="T750" s="16"/>
      <c r="U750" s="16" t="s">
        <v>3280</v>
      </c>
      <c r="V750" s="16" t="s">
        <v>3281</v>
      </c>
      <c r="W750" s="16" t="s">
        <v>179</v>
      </c>
    </row>
    <row r="751">
      <c r="A751" s="16">
        <v>12175.0</v>
      </c>
      <c r="B751" s="16" t="s">
        <v>3282</v>
      </c>
      <c r="C751" s="16">
        <v>0.0</v>
      </c>
      <c r="D751" s="174" t="s">
        <v>3283</v>
      </c>
      <c r="E751" s="16"/>
      <c r="F751" s="16">
        <v>498.0</v>
      </c>
      <c r="G751" s="16" t="s">
        <v>176</v>
      </c>
      <c r="H751" s="16" t="s">
        <v>15</v>
      </c>
      <c r="I751" s="16" t="s">
        <v>13</v>
      </c>
      <c r="J751" s="16"/>
      <c r="K751" s="16"/>
      <c r="L751" s="16"/>
      <c r="M751" s="16"/>
      <c r="N751" s="16"/>
      <c r="O751" s="16"/>
      <c r="P751" s="16"/>
      <c r="Q751" s="16"/>
      <c r="R751" s="16"/>
      <c r="S751" s="16">
        <v>-2.0</v>
      </c>
      <c r="T751" s="16"/>
      <c r="U751" s="16" t="s">
        <v>3284</v>
      </c>
      <c r="V751" s="16" t="s">
        <v>3285</v>
      </c>
      <c r="W751" s="16" t="s">
        <v>1907</v>
      </c>
    </row>
    <row r="752">
      <c r="A752" s="16">
        <v>12176.0</v>
      </c>
      <c r="B752" s="16" t="s">
        <v>3286</v>
      </c>
      <c r="C752" s="16">
        <v>0.0</v>
      </c>
      <c r="D752" s="174" t="s">
        <v>3287</v>
      </c>
      <c r="E752" s="16"/>
      <c r="F752" s="16">
        <v>498.0</v>
      </c>
      <c r="G752" s="16" t="s">
        <v>176</v>
      </c>
      <c r="H752" s="16" t="s">
        <v>15</v>
      </c>
      <c r="I752" s="16" t="s">
        <v>17</v>
      </c>
      <c r="J752" s="16"/>
      <c r="K752" s="16"/>
      <c r="L752" s="16"/>
      <c r="M752" s="16"/>
      <c r="N752" s="16"/>
      <c r="O752" s="16"/>
      <c r="P752" s="16"/>
      <c r="Q752" s="16"/>
      <c r="R752" s="16"/>
      <c r="S752" s="16">
        <v>-2.0</v>
      </c>
      <c r="T752" s="16"/>
      <c r="U752" s="16" t="s">
        <v>3288</v>
      </c>
      <c r="V752" s="16" t="s">
        <v>3289</v>
      </c>
      <c r="W752" s="16" t="s">
        <v>360</v>
      </c>
    </row>
    <row r="753">
      <c r="A753" s="16">
        <v>12177.0</v>
      </c>
      <c r="B753" s="16" t="s">
        <v>3290</v>
      </c>
      <c r="C753" s="16">
        <v>0.0</v>
      </c>
      <c r="D753" s="174" t="s">
        <v>3291</v>
      </c>
      <c r="E753" s="16"/>
      <c r="F753" s="16">
        <v>498.0</v>
      </c>
      <c r="G753" s="16" t="s">
        <v>176</v>
      </c>
      <c r="H753" s="16" t="s">
        <v>25</v>
      </c>
      <c r="I753" s="16"/>
      <c r="J753" s="16"/>
      <c r="K753" s="16"/>
      <c r="L753" s="16"/>
      <c r="M753" s="16"/>
      <c r="N753" s="16"/>
      <c r="O753" s="16"/>
      <c r="P753" s="16"/>
      <c r="Q753" s="16"/>
      <c r="R753" s="16"/>
      <c r="S753" s="16">
        <v>-2.0</v>
      </c>
      <c r="T753" s="16"/>
      <c r="U753" s="16" t="s">
        <v>3292</v>
      </c>
      <c r="V753" s="16" t="s">
        <v>3293</v>
      </c>
      <c r="W753" s="16" t="s">
        <v>179</v>
      </c>
    </row>
    <row r="754">
      <c r="A754" s="16">
        <v>12178.0</v>
      </c>
      <c r="B754" s="16" t="s">
        <v>3294</v>
      </c>
      <c r="C754" s="16">
        <v>0.0</v>
      </c>
      <c r="D754" s="174" t="s">
        <v>3295</v>
      </c>
      <c r="E754" s="16"/>
      <c r="F754" s="16">
        <v>498.0</v>
      </c>
      <c r="G754" s="16" t="s">
        <v>176</v>
      </c>
      <c r="H754" s="16" t="s">
        <v>13</v>
      </c>
      <c r="I754" s="16"/>
      <c r="J754" s="16"/>
      <c r="K754" s="16"/>
      <c r="L754" s="16"/>
      <c r="M754" s="16"/>
      <c r="N754" s="16"/>
      <c r="O754" s="16"/>
      <c r="P754" s="16"/>
      <c r="Q754" s="16"/>
      <c r="R754" s="16"/>
      <c r="S754" s="16">
        <v>-2.0</v>
      </c>
      <c r="T754" s="16"/>
      <c r="U754" s="16" t="s">
        <v>3296</v>
      </c>
      <c r="V754" s="16" t="s">
        <v>3297</v>
      </c>
      <c r="W754" s="16" t="s">
        <v>199</v>
      </c>
    </row>
    <row r="755">
      <c r="A755" s="16">
        <v>12179.0</v>
      </c>
      <c r="B755" s="16" t="s">
        <v>3298</v>
      </c>
      <c r="C755" s="16">
        <v>0.5</v>
      </c>
      <c r="D755" s="174" t="s">
        <v>3299</v>
      </c>
      <c r="E755" s="16"/>
      <c r="F755" s="16">
        <v>511.0</v>
      </c>
      <c r="G755" s="16" t="s">
        <v>245</v>
      </c>
      <c r="H755" s="16" t="s">
        <v>19</v>
      </c>
      <c r="I755" s="16" t="s">
        <v>17</v>
      </c>
      <c r="J755" s="16" t="s">
        <v>18</v>
      </c>
      <c r="K755" s="16"/>
      <c r="L755" s="16"/>
      <c r="M755" s="16"/>
      <c r="N755" s="16"/>
      <c r="O755" s="16"/>
      <c r="P755" s="16"/>
      <c r="Q755" s="16"/>
      <c r="R755" s="16" t="s">
        <v>4760</v>
      </c>
      <c r="S755" s="16">
        <v>17.0</v>
      </c>
      <c r="T755" s="16"/>
      <c r="U755" s="16" t="s">
        <v>3301</v>
      </c>
      <c r="V755" s="16" t="s">
        <v>3302</v>
      </c>
      <c r="W755" s="16" t="s">
        <v>661</v>
      </c>
    </row>
    <row r="756">
      <c r="A756" s="16">
        <v>12180.0</v>
      </c>
      <c r="B756" s="16" t="s">
        <v>3303</v>
      </c>
      <c r="C756" s="16">
        <v>2.53</v>
      </c>
      <c r="D756" s="174" t="s">
        <v>3304</v>
      </c>
      <c r="E756" s="16"/>
      <c r="F756" s="16">
        <v>533.0</v>
      </c>
      <c r="G756" s="16" t="s">
        <v>1667</v>
      </c>
      <c r="H756" s="16" t="s">
        <v>18</v>
      </c>
      <c r="I756" s="16"/>
      <c r="J756" s="16"/>
      <c r="K756" s="16"/>
      <c r="L756" s="16"/>
      <c r="M756" s="16"/>
      <c r="N756" s="16"/>
      <c r="O756" s="16"/>
      <c r="P756" s="16"/>
      <c r="Q756" s="16"/>
      <c r="R756" s="16" t="s">
        <v>4756</v>
      </c>
      <c r="S756" s="16">
        <v>17.0</v>
      </c>
      <c r="T756" s="16"/>
      <c r="U756" s="16" t="s">
        <v>3305</v>
      </c>
      <c r="V756" s="16" t="s">
        <v>3306</v>
      </c>
      <c r="W756" s="16" t="s">
        <v>591</v>
      </c>
    </row>
    <row r="757">
      <c r="A757" s="16">
        <v>12181.0</v>
      </c>
      <c r="B757" s="16" t="s">
        <v>3307</v>
      </c>
      <c r="C757" s="16">
        <v>1.28</v>
      </c>
      <c r="D757" s="174" t="s">
        <v>3308</v>
      </c>
      <c r="E757" s="16"/>
      <c r="F757" s="16">
        <v>508.0</v>
      </c>
      <c r="G757" s="16" t="s">
        <v>4754</v>
      </c>
      <c r="H757" s="16" t="s">
        <v>19</v>
      </c>
      <c r="I757" s="16" t="s">
        <v>18</v>
      </c>
      <c r="J757" s="16"/>
      <c r="K757" s="16"/>
      <c r="L757" s="16"/>
      <c r="M757" s="16"/>
      <c r="N757" s="16"/>
      <c r="O757" s="16"/>
      <c r="P757" s="16"/>
      <c r="Q757" s="16"/>
      <c r="R757" s="16"/>
      <c r="S757" s="16">
        <v>13.0</v>
      </c>
      <c r="T757" s="16"/>
      <c r="U757" s="16" t="s">
        <v>3309</v>
      </c>
      <c r="V757" s="16" t="s">
        <v>3310</v>
      </c>
      <c r="W757" s="16" t="s">
        <v>443</v>
      </c>
    </row>
    <row r="758">
      <c r="A758" s="16">
        <v>12182.0</v>
      </c>
      <c r="B758" s="16" t="s">
        <v>3311</v>
      </c>
      <c r="C758" s="16">
        <v>0.0</v>
      </c>
      <c r="D758" s="174" t="s">
        <v>3312</v>
      </c>
      <c r="E758" s="16"/>
      <c r="F758" s="16">
        <v>498.0</v>
      </c>
      <c r="G758" s="16" t="s">
        <v>176</v>
      </c>
      <c r="H758" s="16" t="s">
        <v>15</v>
      </c>
      <c r="I758" s="16" t="s">
        <v>14</v>
      </c>
      <c r="J758" s="16" t="s">
        <v>16</v>
      </c>
      <c r="K758" s="16" t="s">
        <v>17</v>
      </c>
      <c r="L758" s="16" t="s">
        <v>19</v>
      </c>
      <c r="M758" s="16"/>
      <c r="N758" s="16"/>
      <c r="O758" s="16"/>
      <c r="P758" s="16"/>
      <c r="Q758" s="16"/>
      <c r="R758" s="16"/>
      <c r="S758" s="16">
        <v>-2.0</v>
      </c>
      <c r="T758" s="16"/>
      <c r="U758" s="16" t="s">
        <v>3313</v>
      </c>
      <c r="V758" s="16" t="s">
        <v>3314</v>
      </c>
      <c r="W758" s="16" t="s">
        <v>332</v>
      </c>
    </row>
    <row r="759">
      <c r="A759" s="16">
        <v>12183.0</v>
      </c>
      <c r="B759" s="16" t="s">
        <v>3315</v>
      </c>
      <c r="C759" s="16">
        <v>0.0</v>
      </c>
      <c r="D759" s="174" t="s">
        <v>3316</v>
      </c>
      <c r="E759" s="16"/>
      <c r="F759" s="16">
        <v>498.0</v>
      </c>
      <c r="G759" s="16" t="s">
        <v>176</v>
      </c>
      <c r="H759" s="16" t="s">
        <v>24</v>
      </c>
      <c r="I759" s="16"/>
      <c r="J759" s="16"/>
      <c r="K759" s="16"/>
      <c r="L759" s="16"/>
      <c r="M759" s="16"/>
      <c r="N759" s="16"/>
      <c r="O759" s="16"/>
      <c r="P759" s="16"/>
      <c r="Q759" s="16"/>
      <c r="R759" s="16"/>
      <c r="S759" s="16">
        <v>-2.0</v>
      </c>
      <c r="T759" s="16"/>
      <c r="U759" s="16" t="s">
        <v>3317</v>
      </c>
      <c r="V759" s="16" t="s">
        <v>3318</v>
      </c>
      <c r="W759" s="16" t="s">
        <v>231</v>
      </c>
    </row>
    <row r="760">
      <c r="A760" s="16">
        <v>12184.0</v>
      </c>
      <c r="B760" s="16" t="s">
        <v>3319</v>
      </c>
      <c r="C760" s="16">
        <v>0.0</v>
      </c>
      <c r="D760" s="174" t="s">
        <v>3320</v>
      </c>
      <c r="E760" s="16"/>
      <c r="F760" s="16">
        <v>544.0</v>
      </c>
      <c r="G760" s="16" t="s">
        <v>272</v>
      </c>
      <c r="H760" s="16" t="s">
        <v>12</v>
      </c>
      <c r="I760" s="16"/>
      <c r="J760" s="16"/>
      <c r="K760" s="16"/>
      <c r="L760" s="16"/>
      <c r="M760" s="16"/>
      <c r="N760" s="16"/>
      <c r="O760" s="16"/>
      <c r="P760" s="16"/>
      <c r="Q760" s="16"/>
      <c r="R760" s="16"/>
      <c r="S760" s="16">
        <v>5.0</v>
      </c>
      <c r="T760" s="174" t="s">
        <v>4819</v>
      </c>
      <c r="U760" s="16" t="s">
        <v>3321</v>
      </c>
      <c r="V760" s="16" t="s">
        <v>3322</v>
      </c>
      <c r="W760" s="16" t="s">
        <v>675</v>
      </c>
    </row>
    <row r="761">
      <c r="A761" s="16">
        <v>12185.0</v>
      </c>
      <c r="B761" s="16" t="s">
        <v>3323</v>
      </c>
      <c r="C761" s="16">
        <v>0.0</v>
      </c>
      <c r="D761" s="174" t="s">
        <v>3324</v>
      </c>
      <c r="E761" s="16"/>
      <c r="F761" s="16">
        <v>498.0</v>
      </c>
      <c r="G761" s="16" t="s">
        <v>176</v>
      </c>
      <c r="H761" s="16" t="s">
        <v>19</v>
      </c>
      <c r="I761" s="16"/>
      <c r="J761" s="16"/>
      <c r="K761" s="16"/>
      <c r="L761" s="16"/>
      <c r="M761" s="16"/>
      <c r="N761" s="16"/>
      <c r="O761" s="16"/>
      <c r="P761" s="16"/>
      <c r="Q761" s="16"/>
      <c r="R761" s="16"/>
      <c r="S761" s="16">
        <v>-2.0</v>
      </c>
      <c r="T761" s="16"/>
      <c r="U761" s="16" t="s">
        <v>3325</v>
      </c>
      <c r="V761" s="16" t="s">
        <v>3326</v>
      </c>
      <c r="W761" s="16" t="s">
        <v>491</v>
      </c>
    </row>
    <row r="762">
      <c r="A762" s="16">
        <v>12186.0</v>
      </c>
      <c r="B762" s="16" t="s">
        <v>3327</v>
      </c>
      <c r="C762" s="16">
        <v>1.01</v>
      </c>
      <c r="D762" s="174" t="s">
        <v>3328</v>
      </c>
      <c r="E762" s="16"/>
      <c r="F762" s="16">
        <v>498.0</v>
      </c>
      <c r="G762" s="16" t="s">
        <v>176</v>
      </c>
      <c r="H762" s="16" t="s">
        <v>24</v>
      </c>
      <c r="I762" s="16"/>
      <c r="J762" s="16"/>
      <c r="K762" s="16"/>
      <c r="L762" s="16"/>
      <c r="M762" s="16"/>
      <c r="N762" s="16"/>
      <c r="O762" s="16"/>
      <c r="P762" s="16"/>
      <c r="Q762" s="16"/>
      <c r="R762" s="16"/>
      <c r="S762" s="16">
        <v>-2.0</v>
      </c>
      <c r="T762" s="16"/>
      <c r="U762" s="16" t="s">
        <v>3329</v>
      </c>
      <c r="V762" s="16" t="s">
        <v>3330</v>
      </c>
      <c r="W762" s="16" t="s">
        <v>188</v>
      </c>
    </row>
    <row r="763">
      <c r="A763" s="16">
        <v>12187.0</v>
      </c>
      <c r="B763" s="16" t="s">
        <v>3331</v>
      </c>
      <c r="C763" s="16">
        <v>0.79</v>
      </c>
      <c r="D763" s="174" t="s">
        <v>3332</v>
      </c>
      <c r="E763" s="16"/>
      <c r="F763" s="16">
        <v>498.0</v>
      </c>
      <c r="G763" s="16" t="s">
        <v>176</v>
      </c>
      <c r="H763" s="16" t="s">
        <v>24</v>
      </c>
      <c r="I763" s="16" t="s">
        <v>25</v>
      </c>
      <c r="J763" s="16"/>
      <c r="K763" s="16"/>
      <c r="L763" s="16"/>
      <c r="M763" s="16"/>
      <c r="N763" s="16"/>
      <c r="O763" s="16"/>
      <c r="P763" s="16"/>
      <c r="Q763" s="16"/>
      <c r="R763" s="16"/>
      <c r="S763" s="16">
        <v>-2.0</v>
      </c>
      <c r="T763" s="16"/>
      <c r="U763" s="16" t="s">
        <v>3333</v>
      </c>
      <c r="V763" s="16" t="s">
        <v>3334</v>
      </c>
      <c r="W763" s="16" t="s">
        <v>188</v>
      </c>
    </row>
    <row r="764">
      <c r="A764" s="16">
        <v>12188.0</v>
      </c>
      <c r="B764" s="16" t="s">
        <v>3335</v>
      </c>
      <c r="C764" s="16">
        <v>0.0</v>
      </c>
      <c r="D764" s="174" t="s">
        <v>3336</v>
      </c>
      <c r="E764" s="16"/>
      <c r="F764" s="16">
        <v>498.0</v>
      </c>
      <c r="G764" s="16" t="s">
        <v>176</v>
      </c>
      <c r="H764" s="16" t="s">
        <v>25</v>
      </c>
      <c r="I764" s="16"/>
      <c r="J764" s="16"/>
      <c r="K764" s="16"/>
      <c r="L764" s="16"/>
      <c r="M764" s="16"/>
      <c r="N764" s="16"/>
      <c r="O764" s="16"/>
      <c r="P764" s="16"/>
      <c r="Q764" s="16"/>
      <c r="R764" s="16"/>
      <c r="S764" s="16">
        <v>-2.0</v>
      </c>
      <c r="T764" s="16"/>
      <c r="U764" s="16" t="s">
        <v>3337</v>
      </c>
      <c r="V764" s="16" t="s">
        <v>3338</v>
      </c>
      <c r="W764" s="16" t="s">
        <v>199</v>
      </c>
    </row>
    <row r="765">
      <c r="A765" s="16">
        <v>12189.0</v>
      </c>
      <c r="B765" s="16" t="s">
        <v>3339</v>
      </c>
      <c r="C765" s="16">
        <v>0.3</v>
      </c>
      <c r="D765" s="174" t="s">
        <v>3340</v>
      </c>
      <c r="E765" s="16"/>
      <c r="F765" s="16">
        <v>498.0</v>
      </c>
      <c r="G765" s="16" t="s">
        <v>176</v>
      </c>
      <c r="H765" s="16" t="s">
        <v>24</v>
      </c>
      <c r="I765" s="16"/>
      <c r="J765" s="16"/>
      <c r="K765" s="16"/>
      <c r="L765" s="16"/>
      <c r="M765" s="16"/>
      <c r="N765" s="16"/>
      <c r="O765" s="16"/>
      <c r="P765" s="16"/>
      <c r="Q765" s="16"/>
      <c r="R765" s="16"/>
      <c r="S765" s="16">
        <v>16.0</v>
      </c>
      <c r="T765" s="174" t="s">
        <v>4820</v>
      </c>
      <c r="U765" s="16" t="s">
        <v>3341</v>
      </c>
      <c r="V765" s="16" t="s">
        <v>3342</v>
      </c>
      <c r="W765" s="16" t="s">
        <v>188</v>
      </c>
    </row>
    <row r="766">
      <c r="A766" s="16">
        <v>12190.0</v>
      </c>
      <c r="B766" s="16" t="s">
        <v>3343</v>
      </c>
      <c r="C766" s="16">
        <v>0.0</v>
      </c>
      <c r="D766" s="174" t="s">
        <v>3344</v>
      </c>
      <c r="E766" s="16"/>
      <c r="F766" s="16">
        <v>498.0</v>
      </c>
      <c r="G766" s="16" t="s">
        <v>176</v>
      </c>
      <c r="H766" s="16" t="s">
        <v>17</v>
      </c>
      <c r="I766" s="16" t="s">
        <v>19</v>
      </c>
      <c r="J766" s="16" t="s">
        <v>13</v>
      </c>
      <c r="K766" s="16"/>
      <c r="L766" s="16"/>
      <c r="M766" s="16"/>
      <c r="N766" s="16"/>
      <c r="O766" s="16"/>
      <c r="P766" s="16"/>
      <c r="Q766" s="16"/>
      <c r="R766" s="16"/>
      <c r="S766" s="16">
        <v>-2.0</v>
      </c>
      <c r="T766" s="16"/>
      <c r="U766" s="16" t="s">
        <v>3345</v>
      </c>
      <c r="V766" s="16" t="s">
        <v>3346</v>
      </c>
      <c r="W766" s="16" t="s">
        <v>491</v>
      </c>
    </row>
    <row r="767">
      <c r="A767" s="16">
        <v>12191.0</v>
      </c>
      <c r="B767" s="16" t="s">
        <v>3347</v>
      </c>
      <c r="C767" s="16">
        <v>2.7</v>
      </c>
      <c r="D767" s="174" t="s">
        <v>3348</v>
      </c>
      <c r="E767" s="16"/>
      <c r="F767" s="16">
        <v>541.0</v>
      </c>
      <c r="G767" s="16" t="s">
        <v>387</v>
      </c>
      <c r="H767" s="16" t="s">
        <v>16</v>
      </c>
      <c r="I767" s="16" t="s">
        <v>19</v>
      </c>
      <c r="J767" s="16" t="s">
        <v>14</v>
      </c>
      <c r="K767" s="16"/>
      <c r="L767" s="16"/>
      <c r="M767" s="16"/>
      <c r="N767" s="16"/>
      <c r="O767" s="16"/>
      <c r="P767" s="16"/>
      <c r="Q767" s="16"/>
      <c r="R767" s="16"/>
      <c r="S767" s="16">
        <v>12.0</v>
      </c>
      <c r="T767" s="16"/>
      <c r="U767" s="16" t="s">
        <v>3349</v>
      </c>
      <c r="V767" s="16" t="s">
        <v>3350</v>
      </c>
      <c r="W767" s="16" t="s">
        <v>722</v>
      </c>
    </row>
    <row r="768">
      <c r="A768" s="16">
        <v>12192.0</v>
      </c>
      <c r="B768" s="16" t="s">
        <v>3351</v>
      </c>
      <c r="C768" s="16">
        <v>2.6</v>
      </c>
      <c r="D768" s="174" t="s">
        <v>3352</v>
      </c>
      <c r="E768" s="16"/>
      <c r="F768" s="16">
        <v>498.0</v>
      </c>
      <c r="G768" s="16" t="s">
        <v>176</v>
      </c>
      <c r="H768" s="16" t="s">
        <v>16</v>
      </c>
      <c r="I768" s="16" t="s">
        <v>14</v>
      </c>
      <c r="J768" s="16"/>
      <c r="K768" s="16"/>
      <c r="L768" s="16"/>
      <c r="M768" s="16"/>
      <c r="N768" s="16"/>
      <c r="O768" s="16"/>
      <c r="P768" s="16"/>
      <c r="Q768" s="16"/>
      <c r="R768" s="16"/>
      <c r="S768" s="16">
        <v>-2.0</v>
      </c>
      <c r="T768" s="16"/>
      <c r="U768" s="16" t="s">
        <v>3353</v>
      </c>
      <c r="V768" s="16" t="s">
        <v>3354</v>
      </c>
      <c r="W768" s="16" t="s">
        <v>332</v>
      </c>
    </row>
    <row r="769">
      <c r="A769" s="16">
        <v>12193.0</v>
      </c>
      <c r="B769" s="16" t="s">
        <v>3355</v>
      </c>
      <c r="C769" s="16">
        <v>0.0</v>
      </c>
      <c r="D769" s="174" t="s">
        <v>3356</v>
      </c>
      <c r="E769" s="16"/>
      <c r="F769" s="16">
        <v>498.0</v>
      </c>
      <c r="G769" s="16" t="s">
        <v>176</v>
      </c>
      <c r="H769" s="16" t="s">
        <v>25</v>
      </c>
      <c r="I769" s="16" t="s">
        <v>26</v>
      </c>
      <c r="J769" s="16"/>
      <c r="K769" s="16"/>
      <c r="L769" s="16"/>
      <c r="M769" s="16"/>
      <c r="N769" s="16"/>
      <c r="O769" s="16"/>
      <c r="P769" s="16"/>
      <c r="Q769" s="16"/>
      <c r="R769" s="16"/>
      <c r="S769" s="16">
        <v>-2.0</v>
      </c>
      <c r="T769" s="16"/>
      <c r="U769" s="16" t="s">
        <v>3357</v>
      </c>
      <c r="V769" s="16" t="s">
        <v>3358</v>
      </c>
      <c r="W769" s="16" t="s">
        <v>491</v>
      </c>
    </row>
    <row r="770">
      <c r="A770" s="16">
        <v>12194.0</v>
      </c>
      <c r="B770" s="16" t="s">
        <v>3359</v>
      </c>
      <c r="C770" s="16">
        <v>1.21</v>
      </c>
      <c r="D770" s="174" t="s">
        <v>3360</v>
      </c>
      <c r="E770" s="16"/>
      <c r="F770" s="16">
        <v>505.0</v>
      </c>
      <c r="G770" s="16" t="s">
        <v>4656</v>
      </c>
      <c r="H770" s="16" t="s">
        <v>24</v>
      </c>
      <c r="I770" s="16"/>
      <c r="J770" s="16"/>
      <c r="K770" s="16"/>
      <c r="L770" s="16"/>
      <c r="M770" s="16"/>
      <c r="N770" s="16"/>
      <c r="O770" s="16"/>
      <c r="P770" s="16"/>
      <c r="Q770" s="16"/>
      <c r="R770" s="16"/>
      <c r="S770" s="16">
        <v>14.0</v>
      </c>
      <c r="T770" s="16"/>
      <c r="U770" s="16" t="s">
        <v>3361</v>
      </c>
      <c r="V770" s="16" t="s">
        <v>3362</v>
      </c>
      <c r="W770" s="16" t="s">
        <v>188</v>
      </c>
    </row>
    <row r="771">
      <c r="A771" s="16">
        <v>12195.0</v>
      </c>
      <c r="B771" s="16" t="s">
        <v>3363</v>
      </c>
      <c r="C771" s="16">
        <v>3.82</v>
      </c>
      <c r="D771" s="174" t="s">
        <v>3364</v>
      </c>
      <c r="E771" s="16"/>
      <c r="F771" s="16">
        <v>538.0</v>
      </c>
      <c r="G771" s="16" t="s">
        <v>289</v>
      </c>
      <c r="H771" s="16" t="s">
        <v>17</v>
      </c>
      <c r="I771" s="16" t="s">
        <v>19</v>
      </c>
      <c r="J771" s="16" t="s">
        <v>18</v>
      </c>
      <c r="K771" s="16"/>
      <c r="L771" s="16"/>
      <c r="M771" s="16"/>
      <c r="N771" s="16"/>
      <c r="O771" s="16"/>
      <c r="P771" s="16"/>
      <c r="Q771" s="16"/>
      <c r="R771" s="16"/>
      <c r="S771" s="16">
        <v>10.0</v>
      </c>
      <c r="T771" s="16"/>
      <c r="U771" s="16" t="s">
        <v>3365</v>
      </c>
      <c r="V771" s="16" t="s">
        <v>3366</v>
      </c>
      <c r="W771" s="16" t="s">
        <v>199</v>
      </c>
    </row>
    <row r="772">
      <c r="A772" s="16">
        <v>12196.0</v>
      </c>
      <c r="B772" s="16" t="s">
        <v>3367</v>
      </c>
      <c r="C772" s="16">
        <v>1.39</v>
      </c>
      <c r="D772" s="174" t="s">
        <v>3368</v>
      </c>
      <c r="E772" s="16"/>
      <c r="F772" s="16">
        <v>502.0</v>
      </c>
      <c r="G772" s="16" t="s">
        <v>200</v>
      </c>
      <c r="H772" s="16" t="s">
        <v>13</v>
      </c>
      <c r="I772" s="16"/>
      <c r="J772" s="16"/>
      <c r="K772" s="16"/>
      <c r="L772" s="16"/>
      <c r="M772" s="16"/>
      <c r="N772" s="16"/>
      <c r="O772" s="16"/>
      <c r="P772" s="16"/>
      <c r="Q772" s="16"/>
      <c r="R772" s="16"/>
      <c r="S772" s="16">
        <v>16.0</v>
      </c>
      <c r="T772" s="16"/>
      <c r="U772" s="16" t="s">
        <v>3369</v>
      </c>
      <c r="V772" s="16" t="s">
        <v>3370</v>
      </c>
      <c r="W772" s="16" t="s">
        <v>1412</v>
      </c>
    </row>
    <row r="773">
      <c r="A773" s="16">
        <v>12197.0</v>
      </c>
      <c r="B773" s="16" t="s">
        <v>3371</v>
      </c>
      <c r="C773" s="16">
        <v>0.0</v>
      </c>
      <c r="D773" s="174" t="s">
        <v>3372</v>
      </c>
      <c r="E773" s="16"/>
      <c r="F773" s="16">
        <v>498.0</v>
      </c>
      <c r="G773" s="16" t="s">
        <v>176</v>
      </c>
      <c r="H773" s="16" t="s">
        <v>19</v>
      </c>
      <c r="I773" s="16" t="s">
        <v>17</v>
      </c>
      <c r="J773" s="16"/>
      <c r="K773" s="16"/>
      <c r="L773" s="16"/>
      <c r="M773" s="16"/>
      <c r="N773" s="16"/>
      <c r="O773" s="16"/>
      <c r="P773" s="16"/>
      <c r="Q773" s="16"/>
      <c r="R773" s="16"/>
      <c r="S773" s="16">
        <v>-2.0</v>
      </c>
      <c r="T773" s="16"/>
      <c r="U773" s="16" t="s">
        <v>3373</v>
      </c>
      <c r="V773" s="16" t="s">
        <v>3374</v>
      </c>
      <c r="W773" s="16" t="s">
        <v>332</v>
      </c>
    </row>
    <row r="774">
      <c r="A774" s="16">
        <v>12198.0</v>
      </c>
      <c r="B774" s="16" t="s">
        <v>3375</v>
      </c>
      <c r="C774" s="16">
        <v>1.12</v>
      </c>
      <c r="D774" s="174" t="s">
        <v>3376</v>
      </c>
      <c r="E774" s="16"/>
      <c r="F774" s="16">
        <v>510.0</v>
      </c>
      <c r="G774" s="16" t="s">
        <v>4782</v>
      </c>
      <c r="H774" s="16" t="s">
        <v>24</v>
      </c>
      <c r="I774" s="16"/>
      <c r="J774" s="16"/>
      <c r="K774" s="16"/>
      <c r="L774" s="16"/>
      <c r="M774" s="16"/>
      <c r="N774" s="16"/>
      <c r="O774" s="16"/>
      <c r="P774" s="16"/>
      <c r="Q774" s="16"/>
      <c r="R774" s="16"/>
      <c r="S774" s="16">
        <v>2.0</v>
      </c>
      <c r="T774" s="16"/>
      <c r="U774" s="16" t="s">
        <v>3377</v>
      </c>
      <c r="V774" s="16" t="s">
        <v>3378</v>
      </c>
      <c r="W774" s="16" t="s">
        <v>188</v>
      </c>
    </row>
    <row r="775">
      <c r="A775" s="16">
        <v>12199.0</v>
      </c>
      <c r="B775" s="16" t="s">
        <v>3379</v>
      </c>
      <c r="C775" s="16">
        <v>0.35</v>
      </c>
      <c r="D775" s="174" t="s">
        <v>3380</v>
      </c>
      <c r="E775" s="16"/>
      <c r="F775" s="16">
        <v>526.0</v>
      </c>
      <c r="G775" s="16" t="s">
        <v>212</v>
      </c>
      <c r="H775" s="16" t="s">
        <v>19</v>
      </c>
      <c r="I775" s="16"/>
      <c r="J775" s="16"/>
      <c r="K775" s="16"/>
      <c r="L775" s="16"/>
      <c r="M775" s="16"/>
      <c r="N775" s="16"/>
      <c r="O775" s="16"/>
      <c r="P775" s="16"/>
      <c r="Q775" s="16"/>
      <c r="R775" s="16"/>
      <c r="S775" s="16">
        <v>15.0</v>
      </c>
      <c r="T775" s="16"/>
      <c r="U775" s="16" t="s">
        <v>3382</v>
      </c>
      <c r="V775" s="16" t="s">
        <v>3383</v>
      </c>
      <c r="W775" s="16" t="s">
        <v>231</v>
      </c>
    </row>
    <row r="776">
      <c r="A776" s="16">
        <v>12200.0</v>
      </c>
      <c r="B776" s="16" t="s">
        <v>3384</v>
      </c>
      <c r="C776" s="16">
        <v>0.0</v>
      </c>
      <c r="D776" s="174" t="s">
        <v>3385</v>
      </c>
      <c r="E776" s="16"/>
      <c r="F776" s="16">
        <v>514.0</v>
      </c>
      <c r="G776" s="16" t="s">
        <v>260</v>
      </c>
      <c r="H776" s="16" t="s">
        <v>16</v>
      </c>
      <c r="I776" s="16" t="s">
        <v>14</v>
      </c>
      <c r="J776" s="16"/>
      <c r="K776" s="16"/>
      <c r="L776" s="16"/>
      <c r="M776" s="16"/>
      <c r="N776" s="16"/>
      <c r="O776" s="16"/>
      <c r="P776" s="16"/>
      <c r="Q776" s="16"/>
      <c r="R776" s="16"/>
      <c r="S776" s="16">
        <v>18.0</v>
      </c>
      <c r="T776" s="16"/>
      <c r="U776" s="16" t="s">
        <v>3386</v>
      </c>
      <c r="V776" s="16" t="s">
        <v>3387</v>
      </c>
      <c r="W776" s="16" t="s">
        <v>566</v>
      </c>
    </row>
    <row r="777">
      <c r="A777" s="16">
        <v>12201.0</v>
      </c>
      <c r="B777" s="16" t="s">
        <v>3388</v>
      </c>
      <c r="C777" s="16">
        <v>0.55</v>
      </c>
      <c r="D777" s="174" t="s">
        <v>3389</v>
      </c>
      <c r="E777" s="16"/>
      <c r="F777" s="16">
        <v>498.0</v>
      </c>
      <c r="G777" s="16" t="s">
        <v>176</v>
      </c>
      <c r="H777" s="16" t="s">
        <v>16</v>
      </c>
      <c r="I777" s="16" t="s">
        <v>15</v>
      </c>
      <c r="J777" s="16" t="s">
        <v>14</v>
      </c>
      <c r="K777" s="16"/>
      <c r="L777" s="16"/>
      <c r="M777" s="16"/>
      <c r="N777" s="16"/>
      <c r="O777" s="16"/>
      <c r="P777" s="16"/>
      <c r="Q777" s="16"/>
      <c r="R777" s="16"/>
      <c r="S777" s="16">
        <v>-2.0</v>
      </c>
      <c r="T777" s="16"/>
      <c r="U777" s="16" t="s">
        <v>3390</v>
      </c>
      <c r="V777" s="16" t="s">
        <v>3391</v>
      </c>
      <c r="W777" s="16" t="s">
        <v>199</v>
      </c>
    </row>
    <row r="778">
      <c r="A778" s="16">
        <v>12202.0</v>
      </c>
      <c r="B778" s="16" t="s">
        <v>3392</v>
      </c>
      <c r="C778" s="16">
        <v>0.4</v>
      </c>
      <c r="D778" s="174" t="s">
        <v>3393</v>
      </c>
      <c r="E778" s="16"/>
      <c r="F778" s="16">
        <v>498.0</v>
      </c>
      <c r="G778" s="16" t="s">
        <v>176</v>
      </c>
      <c r="H778" s="16" t="s">
        <v>25</v>
      </c>
      <c r="I778" s="16" t="s">
        <v>26</v>
      </c>
      <c r="J778" s="16"/>
      <c r="K778" s="16"/>
      <c r="L778" s="16"/>
      <c r="M778" s="16"/>
      <c r="N778" s="16"/>
      <c r="O778" s="16"/>
      <c r="P778" s="16"/>
      <c r="Q778" s="16"/>
      <c r="R778" s="16"/>
      <c r="S778" s="16">
        <v>-2.0</v>
      </c>
      <c r="T778" s="16"/>
      <c r="U778" s="16" t="s">
        <v>3394</v>
      </c>
      <c r="V778" s="16" t="s">
        <v>3395</v>
      </c>
      <c r="W778" s="16" t="s">
        <v>332</v>
      </c>
    </row>
    <row r="779">
      <c r="A779" s="16">
        <v>12203.0</v>
      </c>
      <c r="B779" s="16" t="s">
        <v>3396</v>
      </c>
      <c r="C779" s="16">
        <v>0.0</v>
      </c>
      <c r="D779" s="174" t="s">
        <v>3397</v>
      </c>
      <c r="E779" s="16"/>
      <c r="F779" s="16">
        <v>505.0</v>
      </c>
      <c r="G779" s="16" t="s">
        <v>4656</v>
      </c>
      <c r="H779" s="16" t="s">
        <v>12</v>
      </c>
      <c r="I779" s="16"/>
      <c r="J779" s="16"/>
      <c r="K779" s="16"/>
      <c r="L779" s="16"/>
      <c r="M779" s="16"/>
      <c r="N779" s="16"/>
      <c r="O779" s="16"/>
      <c r="P779" s="16"/>
      <c r="Q779" s="16"/>
      <c r="R779" s="16"/>
      <c r="S779" s="16">
        <v>1.0</v>
      </c>
      <c r="T779" s="16"/>
      <c r="U779" s="16" t="s">
        <v>3398</v>
      </c>
      <c r="V779" s="16" t="s">
        <v>3399</v>
      </c>
      <c r="W779" s="16" t="s">
        <v>259</v>
      </c>
    </row>
    <row r="780">
      <c r="A780" s="16">
        <v>12204.0</v>
      </c>
      <c r="B780" s="16" t="s">
        <v>3400</v>
      </c>
      <c r="C780" s="16">
        <v>0.67</v>
      </c>
      <c r="D780" s="174" t="s">
        <v>3401</v>
      </c>
      <c r="E780" s="16"/>
      <c r="F780" s="16">
        <v>524.0</v>
      </c>
      <c r="G780" s="16" t="s">
        <v>4821</v>
      </c>
      <c r="H780" s="16" t="s">
        <v>14</v>
      </c>
      <c r="I780" s="16" t="s">
        <v>16</v>
      </c>
      <c r="J780" s="16" t="s">
        <v>15</v>
      </c>
      <c r="K780" s="16"/>
      <c r="L780" s="16"/>
      <c r="M780" s="16"/>
      <c r="N780" s="16"/>
      <c r="O780" s="16"/>
      <c r="P780" s="16"/>
      <c r="Q780" s="16"/>
      <c r="R780" s="16" t="s">
        <v>4788</v>
      </c>
      <c r="S780" s="16">
        <v>14.0</v>
      </c>
      <c r="T780" s="16"/>
      <c r="U780" s="16" t="s">
        <v>3402</v>
      </c>
      <c r="V780" s="16" t="s">
        <v>3403</v>
      </c>
      <c r="W780" s="16" t="s">
        <v>259</v>
      </c>
    </row>
    <row r="781">
      <c r="A781" s="16">
        <v>12205.0</v>
      </c>
      <c r="B781" s="16" t="s">
        <v>3404</v>
      </c>
      <c r="C781" s="16">
        <v>0.0</v>
      </c>
      <c r="D781" s="174" t="s">
        <v>3405</v>
      </c>
      <c r="E781" s="16"/>
      <c r="F781" s="16">
        <v>498.0</v>
      </c>
      <c r="G781" s="16" t="s">
        <v>176</v>
      </c>
      <c r="H781" s="16" t="s">
        <v>17</v>
      </c>
      <c r="I781" s="16" t="s">
        <v>18</v>
      </c>
      <c r="J781" s="16" t="s">
        <v>14</v>
      </c>
      <c r="K781" s="16"/>
      <c r="L781" s="16"/>
      <c r="M781" s="16"/>
      <c r="N781" s="16"/>
      <c r="O781" s="16"/>
      <c r="P781" s="16"/>
      <c r="Q781" s="16"/>
      <c r="R781" s="16"/>
      <c r="S781" s="16">
        <v>-2.0</v>
      </c>
      <c r="T781" s="16"/>
      <c r="U781" s="16" t="s">
        <v>3406</v>
      </c>
      <c r="V781" s="16" t="s">
        <v>3407</v>
      </c>
      <c r="W781" s="16" t="s">
        <v>179</v>
      </c>
    </row>
    <row r="782">
      <c r="A782" s="16">
        <v>12206.0</v>
      </c>
      <c r="B782" s="16" t="s">
        <v>3408</v>
      </c>
      <c r="C782" s="16">
        <v>0.94</v>
      </c>
      <c r="D782" s="174" t="s">
        <v>3409</v>
      </c>
      <c r="E782" s="16"/>
      <c r="F782" s="16">
        <v>543.0</v>
      </c>
      <c r="G782" s="16" t="s">
        <v>1175</v>
      </c>
      <c r="H782" s="16" t="s">
        <v>24</v>
      </c>
      <c r="I782" s="16"/>
      <c r="J782" s="16"/>
      <c r="K782" s="16"/>
      <c r="L782" s="16"/>
      <c r="M782" s="16"/>
      <c r="N782" s="16"/>
      <c r="O782" s="16"/>
      <c r="P782" s="16"/>
      <c r="Q782" s="16"/>
      <c r="R782" s="16"/>
      <c r="S782" s="16">
        <v>15.0</v>
      </c>
      <c r="T782" s="16"/>
      <c r="U782" s="16" t="s">
        <v>3410</v>
      </c>
      <c r="V782" s="16" t="s">
        <v>3411</v>
      </c>
      <c r="W782" s="16" t="s">
        <v>661</v>
      </c>
    </row>
    <row r="783">
      <c r="A783" s="16">
        <v>12207.0</v>
      </c>
      <c r="B783" s="16" t="s">
        <v>3412</v>
      </c>
      <c r="C783" s="16">
        <v>0.34</v>
      </c>
      <c r="D783" s="174" t="s">
        <v>3413</v>
      </c>
      <c r="E783" s="16"/>
      <c r="F783" s="16">
        <v>498.0</v>
      </c>
      <c r="G783" s="16" t="s">
        <v>176</v>
      </c>
      <c r="H783" s="16" t="s">
        <v>14</v>
      </c>
      <c r="I783" s="16" t="s">
        <v>15</v>
      </c>
      <c r="J783" s="16" t="s">
        <v>13</v>
      </c>
      <c r="K783" s="16" t="s">
        <v>17</v>
      </c>
      <c r="L783" s="16"/>
      <c r="M783" s="16"/>
      <c r="N783" s="16"/>
      <c r="O783" s="16"/>
      <c r="P783" s="16"/>
      <c r="Q783" s="16"/>
      <c r="R783" s="16"/>
      <c r="S783" s="16">
        <v>-2.0</v>
      </c>
      <c r="T783" s="16"/>
      <c r="U783" s="16" t="s">
        <v>3414</v>
      </c>
      <c r="V783" s="16" t="s">
        <v>3415</v>
      </c>
      <c r="W783" s="16" t="s">
        <v>332</v>
      </c>
    </row>
    <row r="784">
      <c r="A784" s="16">
        <v>12208.0</v>
      </c>
      <c r="B784" s="16" t="s">
        <v>3416</v>
      </c>
      <c r="C784" s="16">
        <v>0.0</v>
      </c>
      <c r="D784" s="174" t="s">
        <v>3417</v>
      </c>
      <c r="E784" s="16"/>
      <c r="F784" s="16">
        <v>498.0</v>
      </c>
      <c r="G784" s="16" t="s">
        <v>176</v>
      </c>
      <c r="H784" s="16" t="s">
        <v>15</v>
      </c>
      <c r="I784" s="16" t="s">
        <v>14</v>
      </c>
      <c r="J784" s="16"/>
      <c r="K784" s="16"/>
      <c r="L784" s="16"/>
      <c r="M784" s="16"/>
      <c r="N784" s="16"/>
      <c r="O784" s="16"/>
      <c r="P784" s="16"/>
      <c r="Q784" s="16"/>
      <c r="R784" s="16"/>
      <c r="S784" s="16">
        <v>-2.0</v>
      </c>
      <c r="T784" s="16"/>
      <c r="U784" s="16" t="s">
        <v>3418</v>
      </c>
      <c r="V784" s="16" t="s">
        <v>3419</v>
      </c>
      <c r="W784" s="16" t="s">
        <v>640</v>
      </c>
    </row>
    <row r="785">
      <c r="A785" s="16">
        <v>12209.0</v>
      </c>
      <c r="B785" s="16" t="s">
        <v>3420</v>
      </c>
      <c r="C785" s="16">
        <v>2.11</v>
      </c>
      <c r="D785" s="174" t="s">
        <v>3421</v>
      </c>
      <c r="E785" s="16"/>
      <c r="F785" s="16">
        <v>532.0</v>
      </c>
      <c r="G785" s="16" t="s">
        <v>346</v>
      </c>
      <c r="H785" s="16" t="s">
        <v>24</v>
      </c>
      <c r="I785" s="16" t="s">
        <v>25</v>
      </c>
      <c r="J785" s="16"/>
      <c r="K785" s="16"/>
      <c r="L785" s="16"/>
      <c r="M785" s="16"/>
      <c r="N785" s="16"/>
      <c r="O785" s="16"/>
      <c r="P785" s="16"/>
      <c r="Q785" s="16"/>
      <c r="R785" s="16"/>
      <c r="S785" s="16">
        <v>1.0</v>
      </c>
      <c r="T785" s="16"/>
      <c r="U785" s="16" t="s">
        <v>3422</v>
      </c>
      <c r="V785" s="16" t="s">
        <v>3423</v>
      </c>
      <c r="W785" s="16" t="s">
        <v>188</v>
      </c>
    </row>
    <row r="786">
      <c r="A786" s="16">
        <v>12210.0</v>
      </c>
      <c r="B786" s="16" t="s">
        <v>3424</v>
      </c>
      <c r="C786" s="16">
        <v>0.0</v>
      </c>
      <c r="D786" s="174" t="s">
        <v>3425</v>
      </c>
      <c r="E786" s="16"/>
      <c r="F786" s="16">
        <v>498.0</v>
      </c>
      <c r="G786" s="16" t="s">
        <v>176</v>
      </c>
      <c r="H786" s="16" t="s">
        <v>17</v>
      </c>
      <c r="I786" s="16" t="s">
        <v>19</v>
      </c>
      <c r="J786" s="16"/>
      <c r="K786" s="16"/>
      <c r="L786" s="16"/>
      <c r="M786" s="16"/>
      <c r="N786" s="16"/>
      <c r="O786" s="16"/>
      <c r="P786" s="16"/>
      <c r="Q786" s="16"/>
      <c r="R786" s="16"/>
      <c r="S786" s="16">
        <v>-2.0</v>
      </c>
      <c r="T786" s="16"/>
      <c r="U786" s="16" t="s">
        <v>3426</v>
      </c>
      <c r="V786" s="16" t="s">
        <v>3427</v>
      </c>
      <c r="W786" s="16" t="s">
        <v>422</v>
      </c>
    </row>
    <row r="787">
      <c r="A787" s="16">
        <v>12211.0</v>
      </c>
      <c r="B787" s="16" t="s">
        <v>3428</v>
      </c>
      <c r="C787" s="16">
        <v>0.0</v>
      </c>
      <c r="D787" s="174" t="s">
        <v>3429</v>
      </c>
      <c r="E787" s="16"/>
      <c r="F787" s="16">
        <v>498.0</v>
      </c>
      <c r="G787" s="16" t="s">
        <v>176</v>
      </c>
      <c r="H787" s="16" t="s">
        <v>25</v>
      </c>
      <c r="I787" s="16"/>
      <c r="J787" s="16"/>
      <c r="K787" s="16"/>
      <c r="L787" s="16"/>
      <c r="M787" s="16"/>
      <c r="N787" s="16"/>
      <c r="O787" s="16"/>
      <c r="P787" s="16"/>
      <c r="Q787" s="16"/>
      <c r="R787" s="16"/>
      <c r="S787" s="16">
        <v>-2.0</v>
      </c>
      <c r="T787" s="16"/>
      <c r="U787" s="16" t="s">
        <v>3430</v>
      </c>
      <c r="V787" s="16" t="s">
        <v>3431</v>
      </c>
      <c r="W787" s="16" t="s">
        <v>661</v>
      </c>
    </row>
    <row r="788">
      <c r="A788" s="16">
        <v>12212.0</v>
      </c>
      <c r="B788" s="16" t="s">
        <v>3432</v>
      </c>
      <c r="C788" s="16">
        <v>0.0</v>
      </c>
      <c r="D788" s="174" t="s">
        <v>3433</v>
      </c>
      <c r="E788" s="16"/>
      <c r="F788" s="16">
        <v>498.0</v>
      </c>
      <c r="G788" s="16" t="s">
        <v>176</v>
      </c>
      <c r="H788" s="16" t="s">
        <v>24</v>
      </c>
      <c r="I788" s="16" t="s">
        <v>25</v>
      </c>
      <c r="J788" s="16"/>
      <c r="K788" s="16"/>
      <c r="L788" s="16"/>
      <c r="M788" s="16"/>
      <c r="N788" s="16"/>
      <c r="O788" s="16"/>
      <c r="P788" s="16"/>
      <c r="Q788" s="16"/>
      <c r="R788" s="16"/>
      <c r="S788" s="16">
        <v>-2.0</v>
      </c>
      <c r="T788" s="16"/>
      <c r="U788" s="16" t="s">
        <v>3434</v>
      </c>
      <c r="V788" s="16" t="s">
        <v>3435</v>
      </c>
      <c r="W788" s="16" t="s">
        <v>199</v>
      </c>
    </row>
    <row r="789">
      <c r="A789" s="16">
        <v>12213.0</v>
      </c>
      <c r="B789" s="16" t="s">
        <v>3436</v>
      </c>
      <c r="C789" s="16">
        <v>0.93</v>
      </c>
      <c r="D789" s="174" t="s">
        <v>3437</v>
      </c>
      <c r="E789" s="16"/>
      <c r="F789" s="16">
        <v>525.0</v>
      </c>
      <c r="G789" s="16" t="s">
        <v>672</v>
      </c>
      <c r="H789" s="16" t="s">
        <v>24</v>
      </c>
      <c r="I789" s="16" t="s">
        <v>25</v>
      </c>
      <c r="J789" s="16"/>
      <c r="K789" s="16"/>
      <c r="L789" s="16"/>
      <c r="M789" s="16"/>
      <c r="N789" s="16"/>
      <c r="O789" s="16"/>
      <c r="P789" s="16"/>
      <c r="Q789" s="16"/>
      <c r="R789" s="16"/>
      <c r="S789" s="16">
        <v>8.0</v>
      </c>
      <c r="T789" s="16"/>
      <c r="U789" s="16" t="s">
        <v>3438</v>
      </c>
      <c r="V789" s="16" t="s">
        <v>3439</v>
      </c>
      <c r="W789" s="16" t="s">
        <v>188</v>
      </c>
    </row>
    <row r="790">
      <c r="A790" s="16">
        <v>12214.0</v>
      </c>
      <c r="B790" s="16" t="s">
        <v>3440</v>
      </c>
      <c r="C790" s="16">
        <v>0.0</v>
      </c>
      <c r="D790" s="174" t="s">
        <v>3441</v>
      </c>
      <c r="E790" s="16"/>
      <c r="F790" s="16">
        <v>534.0</v>
      </c>
      <c r="G790" s="16" t="s">
        <v>1170</v>
      </c>
      <c r="H790" s="16" t="s">
        <v>25</v>
      </c>
      <c r="I790" s="16" t="s">
        <v>26</v>
      </c>
      <c r="J790" s="16"/>
      <c r="K790" s="16"/>
      <c r="L790" s="16"/>
      <c r="M790" s="16"/>
      <c r="N790" s="16"/>
      <c r="O790" s="16"/>
      <c r="P790" s="16"/>
      <c r="Q790" s="16"/>
      <c r="R790" s="16"/>
      <c r="S790" s="16">
        <v>16.0</v>
      </c>
      <c r="T790" s="16"/>
      <c r="U790" s="16" t="s">
        <v>3442</v>
      </c>
      <c r="V790" s="16" t="s">
        <v>3443</v>
      </c>
      <c r="W790" s="16" t="s">
        <v>179</v>
      </c>
    </row>
    <row r="791">
      <c r="A791" s="16">
        <v>12215.0</v>
      </c>
      <c r="B791" s="16" t="s">
        <v>3444</v>
      </c>
      <c r="C791" s="16">
        <v>0.0</v>
      </c>
      <c r="D791" s="174" t="s">
        <v>3445</v>
      </c>
      <c r="E791" s="16"/>
      <c r="F791" s="16">
        <v>498.0</v>
      </c>
      <c r="G791" s="16" t="s">
        <v>176</v>
      </c>
      <c r="H791" s="16" t="s">
        <v>15</v>
      </c>
      <c r="I791" s="16" t="s">
        <v>19</v>
      </c>
      <c r="J791" s="16"/>
      <c r="K791" s="16"/>
      <c r="L791" s="16"/>
      <c r="M791" s="16"/>
      <c r="N791" s="16"/>
      <c r="O791" s="16"/>
      <c r="P791" s="16"/>
      <c r="Q791" s="16"/>
      <c r="R791" s="16"/>
      <c r="S791" s="16">
        <v>-2.0</v>
      </c>
      <c r="T791" s="16"/>
      <c r="U791" s="16" t="s">
        <v>3446</v>
      </c>
      <c r="V791" s="16" t="s">
        <v>3447</v>
      </c>
      <c r="W791" s="16" t="s">
        <v>600</v>
      </c>
    </row>
    <row r="792">
      <c r="A792" s="16">
        <v>12216.0</v>
      </c>
      <c r="B792" s="16" t="s">
        <v>3448</v>
      </c>
      <c r="C792" s="16">
        <v>1.01</v>
      </c>
      <c r="D792" s="174" t="s">
        <v>3449</v>
      </c>
      <c r="E792" s="16"/>
      <c r="F792" s="16">
        <v>498.0</v>
      </c>
      <c r="G792" s="16" t="s">
        <v>176</v>
      </c>
      <c r="H792" s="16" t="s">
        <v>14</v>
      </c>
      <c r="I792" s="16" t="s">
        <v>15</v>
      </c>
      <c r="J792" s="16" t="s">
        <v>16</v>
      </c>
      <c r="K792" s="16"/>
      <c r="L792" s="16"/>
      <c r="M792" s="16"/>
      <c r="N792" s="16"/>
      <c r="O792" s="16"/>
      <c r="P792" s="16"/>
      <c r="Q792" s="16"/>
      <c r="R792" s="16"/>
      <c r="S792" s="16">
        <v>-2.0</v>
      </c>
      <c r="T792" s="16"/>
      <c r="U792" s="16" t="s">
        <v>3450</v>
      </c>
      <c r="V792" s="16" t="s">
        <v>3451</v>
      </c>
      <c r="W792" s="16" t="s">
        <v>199</v>
      </c>
    </row>
    <row r="793">
      <c r="A793" s="16">
        <v>12217.0</v>
      </c>
      <c r="B793" s="16" t="s">
        <v>3452</v>
      </c>
      <c r="C793" s="16">
        <v>0.13</v>
      </c>
      <c r="D793" s="174" t="s">
        <v>3453</v>
      </c>
      <c r="E793" s="16"/>
      <c r="F793" s="16">
        <v>507.0</v>
      </c>
      <c r="G793" s="16" t="s">
        <v>4748</v>
      </c>
      <c r="H793" s="16" t="s">
        <v>16</v>
      </c>
      <c r="I793" s="16" t="s">
        <v>14</v>
      </c>
      <c r="J793" s="16"/>
      <c r="K793" s="16"/>
      <c r="L793" s="16"/>
      <c r="M793" s="16"/>
      <c r="N793" s="16"/>
      <c r="O793" s="16"/>
      <c r="P793" s="16"/>
      <c r="Q793" s="16"/>
      <c r="R793" s="16"/>
      <c r="S793" s="16">
        <v>15.0</v>
      </c>
      <c r="T793" s="16"/>
      <c r="U793" s="16" t="s">
        <v>3454</v>
      </c>
      <c r="V793" s="16" t="s">
        <v>3455</v>
      </c>
      <c r="W793" s="16" t="s">
        <v>491</v>
      </c>
    </row>
    <row r="794">
      <c r="A794" s="16">
        <v>12218.0</v>
      </c>
      <c r="B794" s="16" t="s">
        <v>3456</v>
      </c>
      <c r="C794" s="16">
        <v>1.67</v>
      </c>
      <c r="D794" s="174" t="s">
        <v>3457</v>
      </c>
      <c r="E794" s="16"/>
      <c r="F794" s="16">
        <v>523.0</v>
      </c>
      <c r="G794" s="16" t="s">
        <v>306</v>
      </c>
      <c r="H794" s="16" t="s">
        <v>14</v>
      </c>
      <c r="I794" s="16" t="s">
        <v>16</v>
      </c>
      <c r="J794" s="16"/>
      <c r="K794" s="16"/>
      <c r="L794" s="16"/>
      <c r="M794" s="16"/>
      <c r="N794" s="16"/>
      <c r="O794" s="16"/>
      <c r="P794" s="16"/>
      <c r="Q794" s="16"/>
      <c r="R794" s="16"/>
      <c r="S794" s="16">
        <v>2.0</v>
      </c>
      <c r="T794" s="16"/>
      <c r="U794" s="16" t="s">
        <v>3458</v>
      </c>
      <c r="V794" s="16" t="s">
        <v>3459</v>
      </c>
      <c r="W794" s="16" t="s">
        <v>188</v>
      </c>
    </row>
    <row r="795">
      <c r="A795" s="16">
        <v>12219.0</v>
      </c>
      <c r="B795" s="16" t="s">
        <v>3460</v>
      </c>
      <c r="C795" s="16">
        <v>0.0</v>
      </c>
      <c r="D795" s="174" t="s">
        <v>3461</v>
      </c>
      <c r="E795" s="16"/>
      <c r="F795" s="16">
        <v>498.0</v>
      </c>
      <c r="G795" s="16" t="s">
        <v>176</v>
      </c>
      <c r="H795" s="16" t="s">
        <v>13</v>
      </c>
      <c r="I795" s="16"/>
      <c r="J795" s="16"/>
      <c r="K795" s="16"/>
      <c r="L795" s="16"/>
      <c r="M795" s="16"/>
      <c r="N795" s="16"/>
      <c r="O795" s="16"/>
      <c r="P795" s="16"/>
      <c r="Q795" s="16"/>
      <c r="R795" s="16"/>
      <c r="S795" s="16">
        <v>-2.0</v>
      </c>
      <c r="T795" s="16"/>
      <c r="U795" s="16" t="s">
        <v>3462</v>
      </c>
      <c r="V795" s="16" t="s">
        <v>3463</v>
      </c>
      <c r="W795" s="16" t="s">
        <v>199</v>
      </c>
    </row>
    <row r="796">
      <c r="A796" s="16">
        <v>12220.0</v>
      </c>
      <c r="B796" s="16" t="s">
        <v>3464</v>
      </c>
      <c r="C796" s="16">
        <v>0.0</v>
      </c>
      <c r="D796" s="174" t="s">
        <v>3465</v>
      </c>
      <c r="E796" s="16"/>
      <c r="F796" s="16">
        <v>498.0</v>
      </c>
      <c r="G796" s="16" t="s">
        <v>176</v>
      </c>
      <c r="H796" s="16" t="s">
        <v>25</v>
      </c>
      <c r="I796" s="16"/>
      <c r="J796" s="16"/>
      <c r="K796" s="16"/>
      <c r="L796" s="16"/>
      <c r="M796" s="16"/>
      <c r="N796" s="16"/>
      <c r="O796" s="16"/>
      <c r="P796" s="16"/>
      <c r="Q796" s="16"/>
      <c r="R796" s="16"/>
      <c r="S796" s="16">
        <v>-2.0</v>
      </c>
      <c r="T796" s="16"/>
      <c r="U796" s="16" t="s">
        <v>3466</v>
      </c>
      <c r="V796" s="16" t="s">
        <v>3467</v>
      </c>
      <c r="W796" s="16" t="s">
        <v>199</v>
      </c>
    </row>
    <row r="797">
      <c r="A797" s="16">
        <v>12221.0</v>
      </c>
      <c r="B797" s="16" t="s">
        <v>3468</v>
      </c>
      <c r="C797" s="16">
        <v>0.0</v>
      </c>
      <c r="D797" s="174" t="s">
        <v>3469</v>
      </c>
      <c r="E797" s="16"/>
      <c r="F797" s="16">
        <v>498.0</v>
      </c>
      <c r="G797" s="16" t="s">
        <v>176</v>
      </c>
      <c r="H797" s="16" t="s">
        <v>15</v>
      </c>
      <c r="I797" s="16" t="s">
        <v>14</v>
      </c>
      <c r="J797" s="16"/>
      <c r="K797" s="16"/>
      <c r="L797" s="16"/>
      <c r="M797" s="16"/>
      <c r="N797" s="16"/>
      <c r="O797" s="16"/>
      <c r="P797" s="16"/>
      <c r="Q797" s="16"/>
      <c r="R797" s="16"/>
      <c r="S797" s="16">
        <v>-2.0</v>
      </c>
      <c r="T797" s="16"/>
      <c r="U797" s="16" t="s">
        <v>3470</v>
      </c>
      <c r="V797" s="16" t="s">
        <v>3471</v>
      </c>
      <c r="W797" s="16" t="s">
        <v>332</v>
      </c>
    </row>
    <row r="798">
      <c r="A798" s="16">
        <v>12222.0</v>
      </c>
      <c r="B798" s="16" t="s">
        <v>3472</v>
      </c>
      <c r="C798" s="16">
        <v>1.14</v>
      </c>
      <c r="D798" s="174" t="s">
        <v>3473</v>
      </c>
      <c r="E798" s="16"/>
      <c r="F798" s="16">
        <v>502.0</v>
      </c>
      <c r="G798" s="16" t="s">
        <v>200</v>
      </c>
      <c r="H798" s="16" t="s">
        <v>15</v>
      </c>
      <c r="I798" s="16"/>
      <c r="J798" s="16"/>
      <c r="K798" s="16"/>
      <c r="L798" s="16"/>
      <c r="M798" s="16"/>
      <c r="N798" s="16"/>
      <c r="O798" s="16"/>
      <c r="P798" s="16"/>
      <c r="Q798" s="16"/>
      <c r="R798" s="16" t="s">
        <v>181</v>
      </c>
      <c r="S798" s="16">
        <v>1.0</v>
      </c>
      <c r="T798" s="16"/>
      <c r="U798" s="16" t="s">
        <v>3475</v>
      </c>
      <c r="V798" s="16" t="s">
        <v>3476</v>
      </c>
      <c r="W798" s="16" t="s">
        <v>188</v>
      </c>
    </row>
    <row r="799">
      <c r="A799" s="16">
        <v>12223.0</v>
      </c>
      <c r="B799" s="16" t="s">
        <v>3477</v>
      </c>
      <c r="C799" s="16">
        <v>0.22</v>
      </c>
      <c r="D799" s="174" t="s">
        <v>3478</v>
      </c>
      <c r="E799" s="16"/>
      <c r="F799" s="16">
        <v>535.0</v>
      </c>
      <c r="G799" s="16" t="s">
        <v>361</v>
      </c>
      <c r="H799" s="16" t="s">
        <v>14</v>
      </c>
      <c r="I799" s="16" t="s">
        <v>15</v>
      </c>
      <c r="J799" s="16"/>
      <c r="K799" s="16"/>
      <c r="L799" s="16"/>
      <c r="M799" s="16"/>
      <c r="N799" s="16"/>
      <c r="O799" s="16"/>
      <c r="P799" s="16"/>
      <c r="Q799" s="16"/>
      <c r="R799" s="16"/>
      <c r="S799" s="16">
        <v>19.0</v>
      </c>
      <c r="T799" s="16"/>
      <c r="U799" s="16" t="s">
        <v>3479</v>
      </c>
      <c r="V799" s="16" t="s">
        <v>3480</v>
      </c>
      <c r="W799" s="16" t="s">
        <v>179</v>
      </c>
    </row>
    <row r="800">
      <c r="A800" s="16">
        <v>12224.0</v>
      </c>
      <c r="B800" s="16" t="s">
        <v>3481</v>
      </c>
      <c r="C800" s="16">
        <v>0.0</v>
      </c>
      <c r="D800" s="174" t="s">
        <v>3482</v>
      </c>
      <c r="E800" s="16"/>
      <c r="F800" s="16">
        <v>498.0</v>
      </c>
      <c r="G800" s="16" t="s">
        <v>176</v>
      </c>
      <c r="H800" s="16" t="s">
        <v>17</v>
      </c>
      <c r="I800" s="16"/>
      <c r="J800" s="16"/>
      <c r="K800" s="16"/>
      <c r="L800" s="16"/>
      <c r="M800" s="16"/>
      <c r="N800" s="16"/>
      <c r="O800" s="16"/>
      <c r="P800" s="16"/>
      <c r="Q800" s="16"/>
      <c r="R800" s="16"/>
      <c r="S800" s="16">
        <v>-2.0</v>
      </c>
      <c r="T800" s="16"/>
      <c r="U800" s="16" t="s">
        <v>3483</v>
      </c>
      <c r="V800" s="16" t="s">
        <v>3484</v>
      </c>
      <c r="W800" s="16" t="s">
        <v>942</v>
      </c>
    </row>
    <row r="801">
      <c r="A801" s="16">
        <v>12225.0</v>
      </c>
      <c r="B801" s="16" t="s">
        <v>3485</v>
      </c>
      <c r="C801" s="16">
        <v>0.62</v>
      </c>
      <c r="D801" s="174" t="s">
        <v>3486</v>
      </c>
      <c r="E801" s="16"/>
      <c r="F801" s="16">
        <v>513.0</v>
      </c>
      <c r="G801" s="16" t="s">
        <v>1381</v>
      </c>
      <c r="H801" s="16" t="s">
        <v>13</v>
      </c>
      <c r="I801" s="16"/>
      <c r="J801" s="16"/>
      <c r="K801" s="16"/>
      <c r="L801" s="16"/>
      <c r="M801" s="16"/>
      <c r="N801" s="16"/>
      <c r="O801" s="16"/>
      <c r="P801" s="16"/>
      <c r="Q801" s="16"/>
      <c r="R801" s="16"/>
      <c r="S801" s="16">
        <v>10.0</v>
      </c>
      <c r="T801" s="16"/>
      <c r="U801" s="16" t="s">
        <v>3487</v>
      </c>
      <c r="V801" s="16" t="s">
        <v>3488</v>
      </c>
      <c r="W801" s="16" t="s">
        <v>443</v>
      </c>
    </row>
    <row r="802">
      <c r="A802" s="16">
        <v>12226.0</v>
      </c>
      <c r="B802" s="16" t="s">
        <v>3489</v>
      </c>
      <c r="C802" s="16">
        <v>0.56</v>
      </c>
      <c r="D802" s="174" t="s">
        <v>3490</v>
      </c>
      <c r="E802" s="16"/>
      <c r="F802" s="16">
        <v>498.0</v>
      </c>
      <c r="G802" s="16" t="s">
        <v>176</v>
      </c>
      <c r="H802" s="16" t="s">
        <v>15</v>
      </c>
      <c r="I802" s="16" t="s">
        <v>13</v>
      </c>
      <c r="J802" s="16" t="s">
        <v>14</v>
      </c>
      <c r="K802" s="16"/>
      <c r="L802" s="16"/>
      <c r="M802" s="16"/>
      <c r="N802" s="16"/>
      <c r="O802" s="16"/>
      <c r="P802" s="16"/>
      <c r="Q802" s="16"/>
      <c r="R802" s="16"/>
      <c r="S802" s="16">
        <v>-2.0</v>
      </c>
      <c r="T802" s="16"/>
      <c r="U802" s="16" t="s">
        <v>3491</v>
      </c>
      <c r="V802" s="16" t="s">
        <v>3492</v>
      </c>
      <c r="W802" s="16" t="s">
        <v>459</v>
      </c>
    </row>
    <row r="803">
      <c r="A803" s="16">
        <v>12227.0</v>
      </c>
      <c r="B803" s="16" t="s">
        <v>3493</v>
      </c>
      <c r="C803" s="16">
        <v>0.0</v>
      </c>
      <c r="D803" s="174" t="s">
        <v>3494</v>
      </c>
      <c r="E803" s="16"/>
      <c r="F803" s="16">
        <v>507.0</v>
      </c>
      <c r="G803" s="16" t="s">
        <v>4748</v>
      </c>
      <c r="H803" s="16" t="s">
        <v>12</v>
      </c>
      <c r="I803" s="16"/>
      <c r="J803" s="16"/>
      <c r="K803" s="16"/>
      <c r="L803" s="16"/>
      <c r="M803" s="16"/>
      <c r="N803" s="16"/>
      <c r="O803" s="16"/>
      <c r="P803" s="16"/>
      <c r="Q803" s="16"/>
      <c r="R803" s="16"/>
      <c r="S803" s="16">
        <v>15.0</v>
      </c>
      <c r="T803" s="16"/>
      <c r="U803" s="16" t="s">
        <v>3495</v>
      </c>
      <c r="V803" s="16" t="s">
        <v>3496</v>
      </c>
      <c r="W803" s="16" t="s">
        <v>399</v>
      </c>
    </row>
    <row r="804">
      <c r="A804" s="16">
        <v>12228.0</v>
      </c>
      <c r="B804" s="16" t="s">
        <v>3497</v>
      </c>
      <c r="C804" s="16">
        <v>1.21</v>
      </c>
      <c r="D804" s="174" t="s">
        <v>3498</v>
      </c>
      <c r="E804" s="16"/>
      <c r="F804" s="16">
        <v>513.0</v>
      </c>
      <c r="G804" s="16" t="s">
        <v>1381</v>
      </c>
      <c r="H804" s="16" t="s">
        <v>16</v>
      </c>
      <c r="I804" s="16" t="s">
        <v>18</v>
      </c>
      <c r="J804" s="16"/>
      <c r="K804" s="16"/>
      <c r="L804" s="16"/>
      <c r="M804" s="16"/>
      <c r="N804" s="16"/>
      <c r="O804" s="16"/>
      <c r="P804" s="16"/>
      <c r="Q804" s="16"/>
      <c r="R804" s="16" t="s">
        <v>4822</v>
      </c>
      <c r="S804" s="16">
        <v>17.0</v>
      </c>
      <c r="T804" s="16"/>
      <c r="U804" s="16" t="s">
        <v>3499</v>
      </c>
      <c r="V804" s="16" t="s">
        <v>3500</v>
      </c>
      <c r="W804" s="16" t="s">
        <v>443</v>
      </c>
    </row>
    <row r="805">
      <c r="A805" s="16">
        <v>12229.0</v>
      </c>
      <c r="B805" s="16" t="s">
        <v>3501</v>
      </c>
      <c r="C805" s="16">
        <v>1.22</v>
      </c>
      <c r="D805" s="174" t="s">
        <v>3502</v>
      </c>
      <c r="E805" s="16"/>
      <c r="F805" s="16">
        <v>499.0</v>
      </c>
      <c r="G805" s="16" t="s">
        <v>126</v>
      </c>
      <c r="H805" s="16" t="s">
        <v>24</v>
      </c>
      <c r="I805" s="16" t="s">
        <v>25</v>
      </c>
      <c r="J805" s="16"/>
      <c r="K805" s="16"/>
      <c r="L805" s="16"/>
      <c r="M805" s="16"/>
      <c r="N805" s="16"/>
      <c r="O805" s="16"/>
      <c r="P805" s="16"/>
      <c r="Q805" s="16"/>
      <c r="R805" s="16"/>
      <c r="S805" s="16">
        <v>1.0</v>
      </c>
      <c r="T805" s="16"/>
      <c r="U805" s="16" t="s">
        <v>3503</v>
      </c>
      <c r="V805" s="16" t="s">
        <v>3504</v>
      </c>
      <c r="W805" s="16" t="s">
        <v>179</v>
      </c>
    </row>
    <row r="806">
      <c r="A806" s="16">
        <v>12230.0</v>
      </c>
      <c r="B806" s="16" t="s">
        <v>3505</v>
      </c>
      <c r="C806" s="16">
        <v>0.24</v>
      </c>
      <c r="D806" s="174" t="s">
        <v>3506</v>
      </c>
      <c r="E806" s="16"/>
      <c r="F806" s="16">
        <v>498.0</v>
      </c>
      <c r="G806" s="16" t="s">
        <v>176</v>
      </c>
      <c r="H806" s="16" t="s">
        <v>16</v>
      </c>
      <c r="I806" s="16"/>
      <c r="J806" s="16"/>
      <c r="K806" s="16"/>
      <c r="L806" s="16"/>
      <c r="M806" s="16"/>
      <c r="N806" s="16"/>
      <c r="O806" s="16"/>
      <c r="P806" s="16"/>
      <c r="Q806" s="16"/>
      <c r="R806" s="16"/>
      <c r="S806" s="16">
        <v>-2.0</v>
      </c>
      <c r="T806" s="16"/>
      <c r="U806" s="16" t="s">
        <v>3507</v>
      </c>
      <c r="V806" s="16" t="s">
        <v>3508</v>
      </c>
      <c r="W806" s="16" t="s">
        <v>188</v>
      </c>
    </row>
    <row r="807">
      <c r="A807" s="16">
        <v>12231.0</v>
      </c>
      <c r="B807" s="16" t="s">
        <v>3509</v>
      </c>
      <c r="C807" s="16">
        <v>2.01</v>
      </c>
      <c r="D807" s="174" t="s">
        <v>3510</v>
      </c>
      <c r="E807" s="16"/>
      <c r="F807" s="16">
        <v>535.0</v>
      </c>
      <c r="G807" s="16" t="s">
        <v>361</v>
      </c>
      <c r="H807" s="16" t="s">
        <v>24</v>
      </c>
      <c r="I807" s="16" t="s">
        <v>25</v>
      </c>
      <c r="J807" s="16"/>
      <c r="K807" s="16"/>
      <c r="L807" s="16"/>
      <c r="M807" s="16"/>
      <c r="N807" s="16"/>
      <c r="O807" s="16"/>
      <c r="P807" s="16"/>
      <c r="Q807" s="16"/>
      <c r="R807" s="16"/>
      <c r="S807" s="16">
        <v>15.0</v>
      </c>
      <c r="T807" s="16"/>
      <c r="U807" s="16" t="s">
        <v>3511</v>
      </c>
      <c r="V807" s="16" t="s">
        <v>3512</v>
      </c>
      <c r="W807" s="16" t="s">
        <v>600</v>
      </c>
    </row>
    <row r="808">
      <c r="A808" s="16">
        <v>12232.0</v>
      </c>
      <c r="B808" s="16" t="s">
        <v>3513</v>
      </c>
      <c r="C808" s="16">
        <v>1.16</v>
      </c>
      <c r="D808" s="174" t="s">
        <v>3514</v>
      </c>
      <c r="E808" s="16"/>
      <c r="F808" s="16">
        <v>526.0</v>
      </c>
      <c r="G808" s="16" t="s">
        <v>212</v>
      </c>
      <c r="H808" s="16" t="s">
        <v>15</v>
      </c>
      <c r="I808" s="16" t="s">
        <v>14</v>
      </c>
      <c r="J808" s="16" t="s">
        <v>13</v>
      </c>
      <c r="K808" s="16" t="s">
        <v>16</v>
      </c>
      <c r="L808" s="16" t="s">
        <v>19</v>
      </c>
      <c r="M808" s="16" t="s">
        <v>17</v>
      </c>
      <c r="N808" s="16"/>
      <c r="O808" s="16"/>
      <c r="P808" s="16"/>
      <c r="Q808" s="16"/>
      <c r="R808" s="16"/>
      <c r="S808" s="16">
        <v>16.0</v>
      </c>
      <c r="T808" s="174" t="s">
        <v>4823</v>
      </c>
      <c r="U808" s="16" t="s">
        <v>3515</v>
      </c>
      <c r="V808" s="16" t="s">
        <v>3516</v>
      </c>
      <c r="W808" s="16" t="s">
        <v>179</v>
      </c>
    </row>
    <row r="809">
      <c r="A809" s="16">
        <v>12233.0</v>
      </c>
      <c r="B809" s="16" t="s">
        <v>3517</v>
      </c>
      <c r="C809" s="16">
        <v>1.74</v>
      </c>
      <c r="D809" s="174" t="s">
        <v>3518</v>
      </c>
      <c r="E809" s="16"/>
      <c r="F809" s="16">
        <v>531.0</v>
      </c>
      <c r="G809" s="16" t="s">
        <v>3232</v>
      </c>
      <c r="H809" s="16" t="s">
        <v>14</v>
      </c>
      <c r="I809" s="16" t="s">
        <v>16</v>
      </c>
      <c r="J809" s="16" t="s">
        <v>15</v>
      </c>
      <c r="K809" s="16" t="s">
        <v>17</v>
      </c>
      <c r="L809" s="16" t="s">
        <v>18</v>
      </c>
      <c r="M809" s="16"/>
      <c r="N809" s="16"/>
      <c r="O809" s="16"/>
      <c r="P809" s="16"/>
      <c r="Q809" s="16"/>
      <c r="R809" s="16"/>
      <c r="S809" s="16">
        <v>18.0</v>
      </c>
      <c r="T809" s="16"/>
      <c r="U809" s="16" t="s">
        <v>3519</v>
      </c>
      <c r="V809" s="16" t="s">
        <v>3520</v>
      </c>
      <c r="W809" s="16" t="s">
        <v>675</v>
      </c>
    </row>
    <row r="810">
      <c r="A810" s="16">
        <v>12234.0</v>
      </c>
      <c r="B810" s="16" t="s">
        <v>3521</v>
      </c>
      <c r="C810" s="16">
        <v>1.07</v>
      </c>
      <c r="D810" s="174" t="s">
        <v>3522</v>
      </c>
      <c r="E810" s="16"/>
      <c r="F810" s="16">
        <v>514.0</v>
      </c>
      <c r="G810" s="16" t="s">
        <v>260</v>
      </c>
      <c r="H810" s="16" t="s">
        <v>14</v>
      </c>
      <c r="I810" s="16"/>
      <c r="J810" s="16"/>
      <c r="K810" s="16"/>
      <c r="L810" s="16"/>
      <c r="M810" s="16"/>
      <c r="N810" s="16"/>
      <c r="O810" s="16"/>
      <c r="P810" s="16"/>
      <c r="Q810" s="16"/>
      <c r="R810" s="16"/>
      <c r="S810" s="16">
        <v>18.0</v>
      </c>
      <c r="T810" s="16"/>
      <c r="U810" s="16" t="s">
        <v>3523</v>
      </c>
      <c r="V810" s="16" t="s">
        <v>3524</v>
      </c>
      <c r="W810" s="16" t="s">
        <v>616</v>
      </c>
    </row>
    <row r="811">
      <c r="A811" s="16">
        <v>12235.0</v>
      </c>
      <c r="B811" s="16" t="s">
        <v>3525</v>
      </c>
      <c r="C811" s="16">
        <v>1.21</v>
      </c>
      <c r="D811" s="174" t="s">
        <v>3526</v>
      </c>
      <c r="E811" s="16"/>
      <c r="F811" s="16">
        <v>540.0</v>
      </c>
      <c r="G811" s="16" t="s">
        <v>1729</v>
      </c>
      <c r="H811" s="16" t="s">
        <v>24</v>
      </c>
      <c r="I811" s="16"/>
      <c r="J811" s="16"/>
      <c r="K811" s="16"/>
      <c r="L811" s="16"/>
      <c r="M811" s="16"/>
      <c r="N811" s="16"/>
      <c r="O811" s="16"/>
      <c r="P811" s="16"/>
      <c r="Q811" s="16"/>
      <c r="R811" s="16"/>
      <c r="S811" s="16">
        <v>1.0</v>
      </c>
      <c r="T811" s="16"/>
      <c r="U811" s="16" t="s">
        <v>3527</v>
      </c>
      <c r="V811" s="16" t="s">
        <v>3528</v>
      </c>
      <c r="W811" s="16" t="s">
        <v>231</v>
      </c>
    </row>
    <row r="812">
      <c r="A812" s="16">
        <v>12236.0</v>
      </c>
      <c r="B812" s="16" t="s">
        <v>3529</v>
      </c>
      <c r="C812" s="16">
        <v>0.0</v>
      </c>
      <c r="D812" s="174" t="s">
        <v>3530</v>
      </c>
      <c r="E812" s="16"/>
      <c r="F812" s="16">
        <v>498.0</v>
      </c>
      <c r="G812" s="16" t="s">
        <v>176</v>
      </c>
      <c r="H812" s="16" t="s">
        <v>15</v>
      </c>
      <c r="I812" s="16" t="s">
        <v>14</v>
      </c>
      <c r="J812" s="16" t="s">
        <v>13</v>
      </c>
      <c r="K812" s="16" t="s">
        <v>16</v>
      </c>
      <c r="L812" s="16"/>
      <c r="M812" s="16"/>
      <c r="N812" s="16"/>
      <c r="O812" s="16"/>
      <c r="P812" s="16"/>
      <c r="Q812" s="16"/>
      <c r="R812" s="16"/>
      <c r="S812" s="16">
        <v>-2.0</v>
      </c>
      <c r="T812" s="16"/>
      <c r="U812" s="16" t="s">
        <v>3531</v>
      </c>
      <c r="V812" s="16" t="s">
        <v>3532</v>
      </c>
      <c r="W812" s="16" t="s">
        <v>199</v>
      </c>
    </row>
    <row r="813">
      <c r="A813" s="16">
        <v>12237.0</v>
      </c>
      <c r="B813" s="16" t="s">
        <v>3533</v>
      </c>
      <c r="C813" s="16">
        <v>2.14</v>
      </c>
      <c r="D813" s="174" t="s">
        <v>3534</v>
      </c>
      <c r="E813" s="16"/>
      <c r="F813" s="16">
        <v>530.0</v>
      </c>
      <c r="G813" s="16" t="s">
        <v>465</v>
      </c>
      <c r="H813" s="16" t="s">
        <v>18</v>
      </c>
      <c r="I813" s="16"/>
      <c r="J813" s="16"/>
      <c r="K813" s="16"/>
      <c r="L813" s="16"/>
      <c r="M813" s="16"/>
      <c r="N813" s="16"/>
      <c r="O813" s="16"/>
      <c r="P813" s="16"/>
      <c r="Q813" s="16"/>
      <c r="R813" s="16"/>
      <c r="S813" s="16">
        <v>12.0</v>
      </c>
      <c r="T813" s="16"/>
      <c r="U813" s="16" t="s">
        <v>3535</v>
      </c>
      <c r="V813" s="16" t="s">
        <v>3536</v>
      </c>
      <c r="W813" s="16" t="s">
        <v>600</v>
      </c>
    </row>
    <row r="814">
      <c r="A814" s="16">
        <v>12238.0</v>
      </c>
      <c r="B814" s="16" t="s">
        <v>3537</v>
      </c>
      <c r="C814" s="16">
        <v>1.17</v>
      </c>
      <c r="D814" s="174" t="s">
        <v>3538</v>
      </c>
      <c r="E814" s="16"/>
      <c r="F814" s="16">
        <v>513.0</v>
      </c>
      <c r="G814" s="16" t="s">
        <v>1381</v>
      </c>
      <c r="H814" s="16" t="s">
        <v>12</v>
      </c>
      <c r="I814" s="16"/>
      <c r="J814" s="16"/>
      <c r="K814" s="16"/>
      <c r="L814" s="16"/>
      <c r="M814" s="16"/>
      <c r="N814" s="16"/>
      <c r="O814" s="16"/>
      <c r="P814" s="16"/>
      <c r="Q814" s="16"/>
      <c r="R814" s="16"/>
      <c r="S814" s="16">
        <v>8.0</v>
      </c>
      <c r="T814" s="16"/>
      <c r="U814" s="16" t="s">
        <v>3539</v>
      </c>
      <c r="V814" s="16" t="s">
        <v>3540</v>
      </c>
      <c r="W814" s="16" t="s">
        <v>722</v>
      </c>
    </row>
    <row r="815">
      <c r="A815" s="16">
        <v>12239.0</v>
      </c>
      <c r="B815" s="16" t="s">
        <v>3541</v>
      </c>
      <c r="C815" s="16">
        <v>0.0</v>
      </c>
      <c r="D815" s="174" t="s">
        <v>3542</v>
      </c>
      <c r="E815" s="16"/>
      <c r="F815" s="16">
        <v>498.0</v>
      </c>
      <c r="G815" s="16" t="s">
        <v>176</v>
      </c>
      <c r="H815" s="16" t="s">
        <v>24</v>
      </c>
      <c r="I815" s="16"/>
      <c r="J815" s="16"/>
      <c r="K815" s="16"/>
      <c r="L815" s="16"/>
      <c r="M815" s="16"/>
      <c r="N815" s="16"/>
      <c r="O815" s="16"/>
      <c r="P815" s="16"/>
      <c r="Q815" s="16"/>
      <c r="R815" s="16"/>
      <c r="S815" s="16">
        <v>15.0</v>
      </c>
      <c r="T815" s="16"/>
      <c r="U815" s="16" t="s">
        <v>3543</v>
      </c>
      <c r="V815" s="16" t="s">
        <v>3544</v>
      </c>
      <c r="W815" s="16" t="s">
        <v>231</v>
      </c>
    </row>
    <row r="816">
      <c r="A816" s="16">
        <v>12240.0</v>
      </c>
      <c r="B816" s="16" t="s">
        <v>3545</v>
      </c>
      <c r="C816" s="16">
        <v>0.0</v>
      </c>
      <c r="D816" s="174" t="s">
        <v>3546</v>
      </c>
      <c r="E816" s="16"/>
      <c r="F816" s="16">
        <v>498.0</v>
      </c>
      <c r="G816" s="16" t="s">
        <v>176</v>
      </c>
      <c r="H816" s="16" t="s">
        <v>24</v>
      </c>
      <c r="I816" s="16"/>
      <c r="J816" s="16"/>
      <c r="K816" s="16"/>
      <c r="L816" s="16"/>
      <c r="M816" s="16"/>
      <c r="N816" s="16"/>
      <c r="O816" s="16"/>
      <c r="P816" s="16"/>
      <c r="Q816" s="16"/>
      <c r="R816" s="16"/>
      <c r="S816" s="16">
        <v>-2.0</v>
      </c>
      <c r="T816" s="16"/>
      <c r="U816" s="16" t="s">
        <v>3547</v>
      </c>
      <c r="V816" s="16" t="s">
        <v>3548</v>
      </c>
      <c r="W816" s="16" t="s">
        <v>942</v>
      </c>
    </row>
    <row r="817">
      <c r="A817" s="16">
        <v>12241.0</v>
      </c>
      <c r="B817" s="16" t="s">
        <v>3549</v>
      </c>
      <c r="C817" s="16">
        <v>0.0</v>
      </c>
      <c r="D817" s="174" t="s">
        <v>3550</v>
      </c>
      <c r="E817" s="16"/>
      <c r="F817" s="16">
        <v>498.0</v>
      </c>
      <c r="G817" s="16" t="s">
        <v>176</v>
      </c>
      <c r="H817" s="16" t="s">
        <v>13</v>
      </c>
      <c r="I817" s="16" t="s">
        <v>15</v>
      </c>
      <c r="J817" s="16" t="s">
        <v>17</v>
      </c>
      <c r="K817" s="16" t="s">
        <v>19</v>
      </c>
      <c r="L817" s="16" t="s">
        <v>14</v>
      </c>
      <c r="M817" s="16"/>
      <c r="N817" s="16"/>
      <c r="O817" s="16"/>
      <c r="P817" s="16"/>
      <c r="Q817" s="16"/>
      <c r="R817" s="16"/>
      <c r="S817" s="16">
        <v>-2.0</v>
      </c>
      <c r="T817" s="16"/>
      <c r="U817" s="16" t="s">
        <v>3551</v>
      </c>
      <c r="V817" s="16" t="s">
        <v>3552</v>
      </c>
      <c r="W817" s="16" t="s">
        <v>600</v>
      </c>
    </row>
    <row r="818">
      <c r="A818" s="16">
        <v>12242.0</v>
      </c>
      <c r="B818" s="16" t="s">
        <v>3553</v>
      </c>
      <c r="C818" s="16">
        <v>0.48</v>
      </c>
      <c r="D818" s="174" t="s">
        <v>3554</v>
      </c>
      <c r="E818" s="16"/>
      <c r="F818" s="16">
        <v>498.0</v>
      </c>
      <c r="G818" s="16" t="s">
        <v>176</v>
      </c>
      <c r="H818" s="16" t="s">
        <v>24</v>
      </c>
      <c r="I818" s="16"/>
      <c r="J818" s="16"/>
      <c r="K818" s="16"/>
      <c r="L818" s="16"/>
      <c r="M818" s="16"/>
      <c r="N818" s="16"/>
      <c r="O818" s="16"/>
      <c r="P818" s="16"/>
      <c r="Q818" s="16"/>
      <c r="R818" s="16"/>
      <c r="S818" s="16">
        <v>-2.0</v>
      </c>
      <c r="T818" s="16"/>
      <c r="U818" s="16" t="s">
        <v>3555</v>
      </c>
      <c r="V818" s="16" t="s">
        <v>3556</v>
      </c>
      <c r="W818" s="16" t="s">
        <v>942</v>
      </c>
    </row>
    <row r="819">
      <c r="A819" s="16">
        <v>12243.0</v>
      </c>
      <c r="B819" s="16" t="s">
        <v>3557</v>
      </c>
      <c r="C819" s="16">
        <v>0.54</v>
      </c>
      <c r="D819" s="174" t="s">
        <v>3558</v>
      </c>
      <c r="E819" s="16"/>
      <c r="F819" s="16">
        <v>513.0</v>
      </c>
      <c r="G819" s="16" t="s">
        <v>1381</v>
      </c>
      <c r="H819" s="16" t="s">
        <v>16</v>
      </c>
      <c r="I819" s="16" t="s">
        <v>15</v>
      </c>
      <c r="J819" s="16"/>
      <c r="K819" s="16"/>
      <c r="L819" s="16"/>
      <c r="M819" s="16"/>
      <c r="N819" s="16"/>
      <c r="O819" s="16"/>
      <c r="P819" s="16"/>
      <c r="Q819" s="16"/>
      <c r="R819" s="16"/>
      <c r="S819" s="16">
        <v>15.0</v>
      </c>
      <c r="T819" s="16"/>
      <c r="U819" s="16" t="s">
        <v>3559</v>
      </c>
      <c r="V819" s="16" t="s">
        <v>3560</v>
      </c>
      <c r="W819" s="16" t="s">
        <v>443</v>
      </c>
    </row>
    <row r="820">
      <c r="A820" s="16">
        <v>12244.0</v>
      </c>
      <c r="B820" s="16" t="s">
        <v>3561</v>
      </c>
      <c r="C820" s="16">
        <v>0.58</v>
      </c>
      <c r="D820" s="174" t="s">
        <v>3562</v>
      </c>
      <c r="E820" s="16"/>
      <c r="F820" s="16">
        <v>532.0</v>
      </c>
      <c r="G820" s="16" t="s">
        <v>346</v>
      </c>
      <c r="H820" s="16" t="s">
        <v>13</v>
      </c>
      <c r="I820" s="16"/>
      <c r="J820" s="16"/>
      <c r="K820" s="16"/>
      <c r="L820" s="16"/>
      <c r="M820" s="16"/>
      <c r="N820" s="16"/>
      <c r="O820" s="16"/>
      <c r="P820" s="16"/>
      <c r="Q820" s="16"/>
      <c r="R820" s="16"/>
      <c r="S820" s="16">
        <v>19.0</v>
      </c>
      <c r="T820" s="16"/>
      <c r="U820" s="16" t="s">
        <v>3563</v>
      </c>
      <c r="V820" s="16" t="s">
        <v>3564</v>
      </c>
      <c r="W820" s="16" t="s">
        <v>188</v>
      </c>
    </row>
    <row r="821">
      <c r="A821" s="16">
        <v>12245.0</v>
      </c>
      <c r="B821" s="16" t="s">
        <v>3565</v>
      </c>
      <c r="C821" s="16">
        <v>0.24</v>
      </c>
      <c r="D821" s="174" t="s">
        <v>3566</v>
      </c>
      <c r="E821" s="16"/>
      <c r="F821" s="16">
        <v>525.0</v>
      </c>
      <c r="G821" s="16" t="s">
        <v>672</v>
      </c>
      <c r="H821" s="16" t="s">
        <v>25</v>
      </c>
      <c r="I821" s="16" t="s">
        <v>26</v>
      </c>
      <c r="J821" s="16"/>
      <c r="K821" s="16"/>
      <c r="L821" s="16"/>
      <c r="M821" s="16"/>
      <c r="N821" s="16"/>
      <c r="O821" s="16"/>
      <c r="P821" s="16"/>
      <c r="Q821" s="16"/>
      <c r="R821" s="16"/>
      <c r="S821" s="16">
        <v>15.0</v>
      </c>
      <c r="T821" s="16"/>
      <c r="U821" s="16" t="s">
        <v>3567</v>
      </c>
      <c r="V821" s="16" t="s">
        <v>3568</v>
      </c>
      <c r="W821" s="16" t="s">
        <v>942</v>
      </c>
    </row>
    <row r="822">
      <c r="A822" s="16">
        <v>12246.0</v>
      </c>
      <c r="B822" s="16" t="s">
        <v>3569</v>
      </c>
      <c r="C822" s="16">
        <v>3.99</v>
      </c>
      <c r="D822" s="174" t="s">
        <v>3570</v>
      </c>
      <c r="E822" s="16"/>
      <c r="F822" s="16">
        <v>523.0</v>
      </c>
      <c r="G822" s="16" t="s">
        <v>306</v>
      </c>
      <c r="H822" s="16" t="s">
        <v>24</v>
      </c>
      <c r="I822" s="16"/>
      <c r="J822" s="16"/>
      <c r="K822" s="16"/>
      <c r="L822" s="16"/>
      <c r="M822" s="16"/>
      <c r="N822" s="16"/>
      <c r="O822" s="16"/>
      <c r="P822" s="16"/>
      <c r="Q822" s="16"/>
      <c r="R822" s="16"/>
      <c r="S822" s="16">
        <v>8.0</v>
      </c>
      <c r="T822" s="16"/>
      <c r="U822" s="16" t="s">
        <v>3571</v>
      </c>
      <c r="V822" s="16" t="s">
        <v>3572</v>
      </c>
      <c r="W822" s="16" t="s">
        <v>491</v>
      </c>
    </row>
    <row r="823">
      <c r="A823" s="16">
        <v>12247.0</v>
      </c>
      <c r="B823" s="16" t="s">
        <v>3573</v>
      </c>
      <c r="C823" s="16">
        <v>1.1</v>
      </c>
      <c r="D823" s="174" t="s">
        <v>3574</v>
      </c>
      <c r="E823" s="16"/>
      <c r="F823" s="16">
        <v>527.0</v>
      </c>
      <c r="G823" s="16" t="s">
        <v>521</v>
      </c>
      <c r="H823" s="16" t="s">
        <v>17</v>
      </c>
      <c r="I823" s="16" t="s">
        <v>19</v>
      </c>
      <c r="J823" s="16" t="s">
        <v>13</v>
      </c>
      <c r="K823" s="16"/>
      <c r="L823" s="16"/>
      <c r="M823" s="16"/>
      <c r="N823" s="16"/>
      <c r="O823" s="16"/>
      <c r="P823" s="16"/>
      <c r="Q823" s="16"/>
      <c r="R823" s="16" t="s">
        <v>4824</v>
      </c>
      <c r="S823" s="16">
        <v>17.0</v>
      </c>
      <c r="T823" s="174" t="s">
        <v>4747</v>
      </c>
      <c r="U823" s="16" t="s">
        <v>3575</v>
      </c>
      <c r="V823" s="16" t="s">
        <v>3576</v>
      </c>
      <c r="W823" s="16" t="s">
        <v>332</v>
      </c>
    </row>
    <row r="824">
      <c r="A824" s="16">
        <v>12248.0</v>
      </c>
      <c r="B824" s="16" t="s">
        <v>3577</v>
      </c>
      <c r="C824" s="16">
        <v>0.35</v>
      </c>
      <c r="D824" s="174" t="s">
        <v>3578</v>
      </c>
      <c r="E824" s="16"/>
      <c r="F824" s="16">
        <v>510.0</v>
      </c>
      <c r="G824" s="16" t="s">
        <v>4782</v>
      </c>
      <c r="H824" s="16" t="s">
        <v>25</v>
      </c>
      <c r="I824" s="16" t="s">
        <v>26</v>
      </c>
      <c r="J824" s="16"/>
      <c r="K824" s="16"/>
      <c r="L824" s="16"/>
      <c r="M824" s="16"/>
      <c r="N824" s="16"/>
      <c r="O824" s="16"/>
      <c r="P824" s="16"/>
      <c r="Q824" s="16"/>
      <c r="R824" s="16"/>
      <c r="S824" s="16">
        <v>2.0</v>
      </c>
      <c r="T824" s="16"/>
      <c r="U824" s="16" t="s">
        <v>3579</v>
      </c>
      <c r="V824" s="16" t="s">
        <v>3580</v>
      </c>
      <c r="W824" s="16" t="s">
        <v>179</v>
      </c>
    </row>
    <row r="825">
      <c r="A825" s="16">
        <v>12249.0</v>
      </c>
      <c r="B825" s="16" t="s">
        <v>3581</v>
      </c>
      <c r="C825" s="16">
        <v>1.06</v>
      </c>
      <c r="D825" s="174" t="s">
        <v>3582</v>
      </c>
      <c r="E825" s="16"/>
      <c r="F825" s="16">
        <v>543.0</v>
      </c>
      <c r="G825" s="16" t="s">
        <v>1175</v>
      </c>
      <c r="H825" s="16" t="s">
        <v>12</v>
      </c>
      <c r="I825" s="16" t="s">
        <v>13</v>
      </c>
      <c r="J825" s="16"/>
      <c r="K825" s="16"/>
      <c r="L825" s="16"/>
      <c r="M825" s="16"/>
      <c r="N825" s="16"/>
      <c r="O825" s="16"/>
      <c r="P825" s="16"/>
      <c r="Q825" s="16"/>
      <c r="R825" s="16"/>
      <c r="S825" s="16">
        <v>2.0</v>
      </c>
      <c r="T825" s="16"/>
      <c r="U825" s="16" t="s">
        <v>3583</v>
      </c>
      <c r="V825" s="16" t="s">
        <v>3584</v>
      </c>
      <c r="W825" s="16" t="s">
        <v>478</v>
      </c>
    </row>
    <row r="826">
      <c r="A826" s="16">
        <v>12250.0</v>
      </c>
      <c r="B826" s="16" t="s">
        <v>3585</v>
      </c>
      <c r="C826" s="16">
        <v>1.08</v>
      </c>
      <c r="D826" s="174" t="s">
        <v>3586</v>
      </c>
      <c r="E826" s="16"/>
      <c r="F826" s="16">
        <v>544.0</v>
      </c>
      <c r="G826" s="16" t="s">
        <v>272</v>
      </c>
      <c r="H826" s="16" t="s">
        <v>13</v>
      </c>
      <c r="I826" s="16"/>
      <c r="J826" s="16"/>
      <c r="K826" s="16"/>
      <c r="L826" s="16"/>
      <c r="M826" s="16"/>
      <c r="N826" s="16"/>
      <c r="O826" s="16"/>
      <c r="P826" s="16"/>
      <c r="Q826" s="16"/>
      <c r="R826" s="16"/>
      <c r="S826" s="16">
        <v>1.0</v>
      </c>
      <c r="T826" s="174" t="s">
        <v>4825</v>
      </c>
      <c r="U826" s="16" t="s">
        <v>3588</v>
      </c>
      <c r="V826" s="16" t="s">
        <v>3589</v>
      </c>
      <c r="W826" s="16" t="s">
        <v>231</v>
      </c>
    </row>
    <row r="827">
      <c r="A827" s="16">
        <v>12251.0</v>
      </c>
      <c r="B827" s="16" t="s">
        <v>3590</v>
      </c>
      <c r="C827" s="16">
        <v>1.63</v>
      </c>
      <c r="D827" s="174" t="s">
        <v>3591</v>
      </c>
      <c r="E827" s="16"/>
      <c r="F827" s="16">
        <v>499.0</v>
      </c>
      <c r="G827" s="16" t="s">
        <v>126</v>
      </c>
      <c r="H827" s="16" t="s">
        <v>18</v>
      </c>
      <c r="I827" s="16"/>
      <c r="J827" s="16"/>
      <c r="K827" s="16"/>
      <c r="L827" s="16"/>
      <c r="M827" s="16"/>
      <c r="N827" s="16"/>
      <c r="O827" s="16"/>
      <c r="P827" s="16"/>
      <c r="Q827" s="16"/>
      <c r="R827" s="16"/>
      <c r="S827" s="16">
        <v>14.0</v>
      </c>
      <c r="T827" s="16"/>
      <c r="U827" s="16" t="s">
        <v>3592</v>
      </c>
      <c r="V827" s="16" t="s">
        <v>3593</v>
      </c>
      <c r="W827" s="16" t="s">
        <v>491</v>
      </c>
    </row>
    <row r="828">
      <c r="A828" s="16">
        <v>12252.0</v>
      </c>
      <c r="B828" s="16" t="s">
        <v>3594</v>
      </c>
      <c r="C828" s="16">
        <v>0.85</v>
      </c>
      <c r="D828" s="174" t="s">
        <v>3595</v>
      </c>
      <c r="E828" s="16"/>
      <c r="F828" s="16">
        <v>532.0</v>
      </c>
      <c r="G828" s="16" t="s">
        <v>346</v>
      </c>
      <c r="H828" s="16" t="s">
        <v>25</v>
      </c>
      <c r="I828" s="16" t="s">
        <v>26</v>
      </c>
      <c r="J828" s="16"/>
      <c r="K828" s="16"/>
      <c r="L828" s="16"/>
      <c r="M828" s="16"/>
      <c r="N828" s="16"/>
      <c r="O828" s="16"/>
      <c r="P828" s="16"/>
      <c r="Q828" s="16"/>
      <c r="R828" s="16"/>
      <c r="S828" s="16">
        <v>16.0</v>
      </c>
      <c r="T828" s="16"/>
      <c r="U828" s="16" t="s">
        <v>3596</v>
      </c>
      <c r="V828" s="16" t="s">
        <v>3597</v>
      </c>
      <c r="W828" s="16" t="s">
        <v>942</v>
      </c>
    </row>
    <row r="829">
      <c r="A829" s="16">
        <v>12253.0</v>
      </c>
      <c r="B829" s="16" t="s">
        <v>3598</v>
      </c>
      <c r="C829" s="16">
        <v>0.0</v>
      </c>
      <c r="D829" s="174" t="s">
        <v>3599</v>
      </c>
      <c r="E829" s="16"/>
      <c r="F829" s="16">
        <v>498.0</v>
      </c>
      <c r="G829" s="16" t="s">
        <v>176</v>
      </c>
      <c r="H829" s="16" t="s">
        <v>24</v>
      </c>
      <c r="I829" s="16" t="s">
        <v>25</v>
      </c>
      <c r="J829" s="16"/>
      <c r="K829" s="16"/>
      <c r="L829" s="16"/>
      <c r="M829" s="16"/>
      <c r="N829" s="16"/>
      <c r="O829" s="16"/>
      <c r="P829" s="16"/>
      <c r="Q829" s="16"/>
      <c r="R829" s="16"/>
      <c r="S829" s="16">
        <v>-2.0</v>
      </c>
      <c r="T829" s="16"/>
      <c r="U829" s="16" t="s">
        <v>3600</v>
      </c>
      <c r="V829" s="16" t="s">
        <v>3601</v>
      </c>
      <c r="W829" s="16" t="s">
        <v>360</v>
      </c>
    </row>
    <row r="830">
      <c r="A830" s="16">
        <v>12254.0</v>
      </c>
      <c r="B830" s="16" t="s">
        <v>3602</v>
      </c>
      <c r="C830" s="16">
        <v>0.68</v>
      </c>
      <c r="D830" s="174" t="s">
        <v>3603</v>
      </c>
      <c r="E830" s="16"/>
      <c r="F830" s="16">
        <v>504.0</v>
      </c>
      <c r="G830" s="16" t="s">
        <v>1465</v>
      </c>
      <c r="H830" s="16" t="s">
        <v>25</v>
      </c>
      <c r="I830" s="16" t="s">
        <v>26</v>
      </c>
      <c r="J830" s="16"/>
      <c r="K830" s="16"/>
      <c r="L830" s="16"/>
      <c r="M830" s="16"/>
      <c r="N830" s="16"/>
      <c r="O830" s="16"/>
      <c r="P830" s="16"/>
      <c r="Q830" s="16"/>
      <c r="R830" s="16"/>
      <c r="S830" s="16">
        <v>16.0</v>
      </c>
      <c r="T830" s="16"/>
      <c r="U830" s="16" t="s">
        <v>3604</v>
      </c>
      <c r="V830" s="16" t="s">
        <v>3605</v>
      </c>
      <c r="W830" s="16" t="s">
        <v>231</v>
      </c>
    </row>
    <row r="831">
      <c r="A831" s="16">
        <v>12255.0</v>
      </c>
      <c r="B831" s="16" t="s">
        <v>3606</v>
      </c>
      <c r="C831" s="16">
        <v>0.6</v>
      </c>
      <c r="D831" s="174" t="s">
        <v>3607</v>
      </c>
      <c r="E831" s="16"/>
      <c r="F831" s="16">
        <v>522.0</v>
      </c>
      <c r="G831" s="16" t="s">
        <v>686</v>
      </c>
      <c r="H831" s="16" t="s">
        <v>25</v>
      </c>
      <c r="I831" s="16" t="s">
        <v>26</v>
      </c>
      <c r="J831" s="16"/>
      <c r="K831" s="16"/>
      <c r="L831" s="16"/>
      <c r="M831" s="16"/>
      <c r="N831" s="16"/>
      <c r="O831" s="16"/>
      <c r="P831" s="16"/>
      <c r="Q831" s="16"/>
      <c r="R831" s="16"/>
      <c r="S831" s="16">
        <v>12.0</v>
      </c>
      <c r="T831" s="16"/>
      <c r="U831" s="16" t="s">
        <v>3608</v>
      </c>
      <c r="V831" s="16" t="s">
        <v>3609</v>
      </c>
      <c r="W831" s="16" t="s">
        <v>259</v>
      </c>
    </row>
    <row r="832">
      <c r="A832" s="16">
        <v>12256.0</v>
      </c>
      <c r="B832" s="16" t="s">
        <v>3610</v>
      </c>
      <c r="C832" s="16">
        <v>1.45</v>
      </c>
      <c r="D832" s="174" t="s">
        <v>3611</v>
      </c>
      <c r="E832" s="16"/>
      <c r="F832" s="16">
        <v>529.0</v>
      </c>
      <c r="G832" s="16" t="s">
        <v>333</v>
      </c>
      <c r="H832" s="16" t="s">
        <v>25</v>
      </c>
      <c r="I832" s="16" t="s">
        <v>26</v>
      </c>
      <c r="J832" s="16"/>
      <c r="K832" s="16"/>
      <c r="L832" s="16"/>
      <c r="M832" s="16"/>
      <c r="N832" s="16"/>
      <c r="O832" s="16"/>
      <c r="P832" s="16"/>
      <c r="Q832" s="16"/>
      <c r="R832" s="16"/>
      <c r="S832" s="16">
        <v>14.0</v>
      </c>
      <c r="T832" s="16"/>
      <c r="U832" s="16" t="s">
        <v>3612</v>
      </c>
      <c r="V832" s="16" t="s">
        <v>3613</v>
      </c>
      <c r="W832" s="16" t="s">
        <v>360</v>
      </c>
    </row>
    <row r="833">
      <c r="A833" s="16">
        <v>12257.0</v>
      </c>
      <c r="B833" s="16" t="s">
        <v>3614</v>
      </c>
      <c r="C833" s="16">
        <v>0.0</v>
      </c>
      <c r="D833" s="174" t="s">
        <v>3615</v>
      </c>
      <c r="E833" s="16"/>
      <c r="F833" s="16">
        <v>525.0</v>
      </c>
      <c r="G833" s="16" t="s">
        <v>672</v>
      </c>
      <c r="H833" s="16" t="s">
        <v>24</v>
      </c>
      <c r="I833" s="16" t="s">
        <v>25</v>
      </c>
      <c r="J833" s="16"/>
      <c r="K833" s="16"/>
      <c r="L833" s="16"/>
      <c r="M833" s="16"/>
      <c r="N833" s="16"/>
      <c r="O833" s="16"/>
      <c r="P833" s="16"/>
      <c r="Q833" s="16"/>
      <c r="R833" s="16"/>
      <c r="S833" s="16">
        <v>8.0</v>
      </c>
      <c r="T833" s="16"/>
      <c r="U833" s="16" t="s">
        <v>3616</v>
      </c>
      <c r="V833" s="16" t="s">
        <v>3617</v>
      </c>
      <c r="W833" s="16" t="s">
        <v>640</v>
      </c>
    </row>
    <row r="834">
      <c r="A834" s="16">
        <v>12258.0</v>
      </c>
      <c r="B834" s="16" t="s">
        <v>3618</v>
      </c>
      <c r="C834" s="16">
        <v>1.79</v>
      </c>
      <c r="D834" s="174" t="s">
        <v>3619</v>
      </c>
      <c r="E834" s="16"/>
      <c r="F834" s="16">
        <v>514.0</v>
      </c>
      <c r="G834" s="16" t="s">
        <v>260</v>
      </c>
      <c r="H834" s="16" t="s">
        <v>15</v>
      </c>
      <c r="I834" s="16"/>
      <c r="J834" s="16"/>
      <c r="K834" s="16"/>
      <c r="L834" s="16"/>
      <c r="M834" s="16"/>
      <c r="N834" s="16"/>
      <c r="O834" s="16"/>
      <c r="P834" s="16"/>
      <c r="Q834" s="16"/>
      <c r="R834" s="16"/>
      <c r="S834" s="16">
        <v>1.0</v>
      </c>
      <c r="T834" s="16"/>
      <c r="U834" s="16" t="s">
        <v>3620</v>
      </c>
      <c r="V834" s="16" t="s">
        <v>3621</v>
      </c>
      <c r="W834" s="16" t="s">
        <v>443</v>
      </c>
    </row>
    <row r="835">
      <c r="A835" s="16">
        <v>12259.0</v>
      </c>
      <c r="B835" s="16" t="s">
        <v>3622</v>
      </c>
      <c r="C835" s="16">
        <v>0.0</v>
      </c>
      <c r="D835" s="174" t="s">
        <v>3623</v>
      </c>
      <c r="E835" s="16"/>
      <c r="F835" s="16">
        <v>498.0</v>
      </c>
      <c r="G835" s="16" t="s">
        <v>176</v>
      </c>
      <c r="H835" s="16" t="s">
        <v>25</v>
      </c>
      <c r="I835" s="16"/>
      <c r="J835" s="16"/>
      <c r="K835" s="16"/>
      <c r="L835" s="16"/>
      <c r="M835" s="16"/>
      <c r="N835" s="16"/>
      <c r="O835" s="16"/>
      <c r="P835" s="16"/>
      <c r="Q835" s="16"/>
      <c r="R835" s="16"/>
      <c r="S835" s="16">
        <v>-2.0</v>
      </c>
      <c r="T835" s="16"/>
      <c r="U835" s="16" t="s">
        <v>3624</v>
      </c>
      <c r="V835" s="16" t="s">
        <v>3625</v>
      </c>
      <c r="W835" s="16" t="s">
        <v>332</v>
      </c>
    </row>
    <row r="836">
      <c r="A836" s="16">
        <v>12260.0</v>
      </c>
      <c r="B836" s="16" t="s">
        <v>3626</v>
      </c>
      <c r="C836" s="16">
        <v>2.01</v>
      </c>
      <c r="D836" s="174" t="s">
        <v>3627</v>
      </c>
      <c r="E836" s="16"/>
      <c r="F836" s="16">
        <v>526.0</v>
      </c>
      <c r="G836" s="16" t="s">
        <v>212</v>
      </c>
      <c r="H836" s="16" t="s">
        <v>25</v>
      </c>
      <c r="I836" s="16" t="s">
        <v>26</v>
      </c>
      <c r="J836" s="16"/>
      <c r="K836" s="16"/>
      <c r="L836" s="16"/>
      <c r="M836" s="16"/>
      <c r="N836" s="16"/>
      <c r="O836" s="16"/>
      <c r="P836" s="16"/>
      <c r="Q836" s="16"/>
      <c r="R836" s="16"/>
      <c r="S836" s="16">
        <v>1.0</v>
      </c>
      <c r="T836" s="174" t="s">
        <v>4747</v>
      </c>
      <c r="U836" s="16" t="s">
        <v>3628</v>
      </c>
      <c r="V836" s="16" t="s">
        <v>3629</v>
      </c>
      <c r="W836" s="16" t="s">
        <v>491</v>
      </c>
    </row>
    <row r="837">
      <c r="A837" s="16">
        <v>12261.0</v>
      </c>
      <c r="B837" s="16" t="s">
        <v>3630</v>
      </c>
      <c r="C837" s="16">
        <v>1.22</v>
      </c>
      <c r="D837" s="174" t="s">
        <v>3631</v>
      </c>
      <c r="E837" s="16"/>
      <c r="F837" s="16">
        <v>543.0</v>
      </c>
      <c r="G837" s="16" t="s">
        <v>1175</v>
      </c>
      <c r="H837" s="16" t="s">
        <v>19</v>
      </c>
      <c r="I837" s="16" t="s">
        <v>17</v>
      </c>
      <c r="J837" s="16" t="s">
        <v>18</v>
      </c>
      <c r="K837" s="16"/>
      <c r="L837" s="16"/>
      <c r="M837" s="16"/>
      <c r="N837" s="16"/>
      <c r="O837" s="16"/>
      <c r="P837" s="16"/>
      <c r="Q837" s="16"/>
      <c r="R837" s="16"/>
      <c r="S837" s="16">
        <v>12.0</v>
      </c>
      <c r="T837" s="16"/>
      <c r="U837" s="16" t="s">
        <v>3632</v>
      </c>
      <c r="V837" s="16" t="s">
        <v>3633</v>
      </c>
      <c r="W837" s="16" t="s">
        <v>179</v>
      </c>
    </row>
    <row r="838">
      <c r="A838" s="16">
        <v>12262.0</v>
      </c>
      <c r="B838" s="16" t="s">
        <v>41</v>
      </c>
      <c r="C838" s="16">
        <v>1.45</v>
      </c>
      <c r="D838" s="174" t="s">
        <v>3634</v>
      </c>
      <c r="E838" s="16"/>
      <c r="F838" s="16">
        <v>499.0</v>
      </c>
      <c r="G838" s="16" t="s">
        <v>126</v>
      </c>
      <c r="H838" s="16" t="s">
        <v>15</v>
      </c>
      <c r="I838" s="16" t="s">
        <v>13</v>
      </c>
      <c r="J838" s="16" t="s">
        <v>14</v>
      </c>
      <c r="K838" s="16"/>
      <c r="L838" s="16"/>
      <c r="M838" s="16"/>
      <c r="N838" s="16"/>
      <c r="O838" s="16"/>
      <c r="P838" s="16"/>
      <c r="Q838" s="16"/>
      <c r="R838" s="16" t="s">
        <v>4788</v>
      </c>
      <c r="S838" s="16">
        <v>12.0</v>
      </c>
      <c r="T838" s="16"/>
      <c r="U838" s="16" t="s">
        <v>3635</v>
      </c>
      <c r="V838" s="16" t="s">
        <v>3636</v>
      </c>
      <c r="W838" s="16" t="s">
        <v>259</v>
      </c>
    </row>
    <row r="839">
      <c r="A839" s="16">
        <v>12263.0</v>
      </c>
      <c r="B839" s="16" t="s">
        <v>3637</v>
      </c>
      <c r="C839" s="16">
        <v>2.29</v>
      </c>
      <c r="D839" s="174" t="s">
        <v>3638</v>
      </c>
      <c r="E839" s="16"/>
      <c r="F839" s="16">
        <v>511.0</v>
      </c>
      <c r="G839" s="16" t="s">
        <v>245</v>
      </c>
      <c r="H839" s="16" t="s">
        <v>19</v>
      </c>
      <c r="I839" s="16" t="s">
        <v>17</v>
      </c>
      <c r="J839" s="16"/>
      <c r="K839" s="16"/>
      <c r="L839" s="16"/>
      <c r="M839" s="16"/>
      <c r="N839" s="16"/>
      <c r="O839" s="16"/>
      <c r="P839" s="16"/>
      <c r="Q839" s="16"/>
      <c r="R839" s="16"/>
      <c r="S839" s="16">
        <v>1.0</v>
      </c>
      <c r="T839" s="16"/>
      <c r="U839" s="16" t="s">
        <v>3639</v>
      </c>
      <c r="V839" s="16" t="s">
        <v>3640</v>
      </c>
      <c r="W839" s="16" t="s">
        <v>179</v>
      </c>
    </row>
    <row r="840">
      <c r="A840" s="16">
        <v>12264.0</v>
      </c>
      <c r="B840" s="16" t="s">
        <v>3641</v>
      </c>
      <c r="C840" s="16">
        <v>0.76</v>
      </c>
      <c r="D840" s="174" t="s">
        <v>3642</v>
      </c>
      <c r="E840" s="16"/>
      <c r="F840" s="16">
        <v>502.0</v>
      </c>
      <c r="G840" s="16" t="s">
        <v>200</v>
      </c>
      <c r="H840" s="16" t="s">
        <v>17</v>
      </c>
      <c r="I840" s="16" t="s">
        <v>18</v>
      </c>
      <c r="J840" s="16"/>
      <c r="K840" s="16"/>
      <c r="L840" s="16"/>
      <c r="M840" s="16"/>
      <c r="N840" s="16"/>
      <c r="O840" s="16"/>
      <c r="P840" s="16"/>
      <c r="Q840" s="16"/>
      <c r="R840" s="16"/>
      <c r="S840" s="16">
        <v>3.0</v>
      </c>
      <c r="T840" s="16"/>
      <c r="U840" s="16" t="s">
        <v>3644</v>
      </c>
      <c r="V840" s="16" t="s">
        <v>3645</v>
      </c>
      <c r="W840" s="16" t="s">
        <v>188</v>
      </c>
    </row>
    <row r="841">
      <c r="A841" s="16">
        <v>12265.0</v>
      </c>
      <c r="B841" s="16" t="s">
        <v>3646</v>
      </c>
      <c r="C841" s="16">
        <v>0.0</v>
      </c>
      <c r="D841" s="174" t="s">
        <v>3647</v>
      </c>
      <c r="E841" s="16"/>
      <c r="F841" s="16">
        <v>511.0</v>
      </c>
      <c r="G841" s="16" t="s">
        <v>245</v>
      </c>
      <c r="H841" s="16" t="s">
        <v>25</v>
      </c>
      <c r="I841" s="16"/>
      <c r="J841" s="16"/>
      <c r="K841" s="16"/>
      <c r="L841" s="16"/>
      <c r="M841" s="16"/>
      <c r="N841" s="16"/>
      <c r="O841" s="16"/>
      <c r="P841" s="16"/>
      <c r="Q841" s="16"/>
      <c r="R841" s="16"/>
      <c r="S841" s="16">
        <v>14.0</v>
      </c>
      <c r="T841" s="16"/>
      <c r="U841" s="16" t="s">
        <v>3648</v>
      </c>
      <c r="V841" s="16" t="s">
        <v>3649</v>
      </c>
      <c r="W841" s="16" t="s">
        <v>422</v>
      </c>
    </row>
    <row r="842">
      <c r="A842" s="16">
        <v>12266.0</v>
      </c>
      <c r="B842" s="16" t="s">
        <v>3650</v>
      </c>
      <c r="C842" s="16">
        <v>0.38</v>
      </c>
      <c r="D842" s="174" t="s">
        <v>3651</v>
      </c>
      <c r="E842" s="16"/>
      <c r="F842" s="16">
        <v>498.0</v>
      </c>
      <c r="G842" s="16" t="s">
        <v>176</v>
      </c>
      <c r="H842" s="16" t="s">
        <v>24</v>
      </c>
      <c r="I842" s="16"/>
      <c r="J842" s="16"/>
      <c r="K842" s="16"/>
      <c r="L842" s="16"/>
      <c r="M842" s="16"/>
      <c r="N842" s="16"/>
      <c r="O842" s="16"/>
      <c r="P842" s="16"/>
      <c r="Q842" s="16"/>
      <c r="R842" s="16"/>
      <c r="S842" s="16">
        <v>-2.0</v>
      </c>
      <c r="T842" s="16"/>
      <c r="U842" s="16" t="s">
        <v>3652</v>
      </c>
      <c r="V842" s="16" t="s">
        <v>3653</v>
      </c>
      <c r="W842" s="16" t="s">
        <v>179</v>
      </c>
    </row>
    <row r="843">
      <c r="A843" s="16">
        <v>12267.0</v>
      </c>
      <c r="B843" s="16" t="s">
        <v>3654</v>
      </c>
      <c r="C843" s="16">
        <v>1.29</v>
      </c>
      <c r="D843" s="174" t="s">
        <v>3655</v>
      </c>
      <c r="E843" s="16"/>
      <c r="F843" s="16">
        <v>513.0</v>
      </c>
      <c r="G843" s="16" t="s">
        <v>1381</v>
      </c>
      <c r="H843" s="16" t="s">
        <v>24</v>
      </c>
      <c r="I843" s="16"/>
      <c r="J843" s="16"/>
      <c r="K843" s="16"/>
      <c r="L843" s="16"/>
      <c r="M843" s="16"/>
      <c r="N843" s="16"/>
      <c r="O843" s="16"/>
      <c r="P843" s="16"/>
      <c r="Q843" s="16"/>
      <c r="R843" s="16"/>
      <c r="S843" s="16">
        <v>15.0</v>
      </c>
      <c r="T843" s="16"/>
      <c r="U843" s="16" t="s">
        <v>3656</v>
      </c>
      <c r="V843" s="16" t="s">
        <v>3657</v>
      </c>
      <c r="W843" s="16" t="s">
        <v>188</v>
      </c>
    </row>
    <row r="844">
      <c r="A844" s="16">
        <v>12268.0</v>
      </c>
      <c r="B844" s="16" t="s">
        <v>3658</v>
      </c>
      <c r="C844" s="16">
        <v>0.17</v>
      </c>
      <c r="D844" s="174" t="s">
        <v>3659</v>
      </c>
      <c r="E844" s="16"/>
      <c r="F844" s="16">
        <v>498.0</v>
      </c>
      <c r="G844" s="16" t="s">
        <v>176</v>
      </c>
      <c r="H844" s="16" t="s">
        <v>25</v>
      </c>
      <c r="I844" s="16" t="s">
        <v>26</v>
      </c>
      <c r="J844" s="16"/>
      <c r="K844" s="16"/>
      <c r="L844" s="16"/>
      <c r="M844" s="16"/>
      <c r="N844" s="16"/>
      <c r="O844" s="16"/>
      <c r="P844" s="16"/>
      <c r="Q844" s="16"/>
      <c r="R844" s="16"/>
      <c r="S844" s="16">
        <v>-2.0</v>
      </c>
      <c r="T844" s="16"/>
      <c r="U844" s="16" t="s">
        <v>3660</v>
      </c>
      <c r="V844" s="16" t="s">
        <v>3661</v>
      </c>
      <c r="W844" s="16" t="s">
        <v>661</v>
      </c>
    </row>
    <row r="845">
      <c r="A845" s="16">
        <v>12269.0</v>
      </c>
      <c r="B845" s="16" t="s">
        <v>3662</v>
      </c>
      <c r="C845" s="16">
        <v>0.18</v>
      </c>
      <c r="D845" s="174" t="s">
        <v>3663</v>
      </c>
      <c r="E845" s="16"/>
      <c r="F845" s="16">
        <v>498.0</v>
      </c>
      <c r="G845" s="16" t="s">
        <v>176</v>
      </c>
      <c r="H845" s="16" t="s">
        <v>12</v>
      </c>
      <c r="I845" s="16"/>
      <c r="J845" s="16"/>
      <c r="K845" s="16"/>
      <c r="L845" s="16"/>
      <c r="M845" s="16"/>
      <c r="N845" s="16"/>
      <c r="O845" s="16"/>
      <c r="P845" s="16"/>
      <c r="Q845" s="16"/>
      <c r="R845" s="16"/>
      <c r="S845" s="16">
        <v>-2.0</v>
      </c>
      <c r="T845" s="16"/>
      <c r="U845" s="16" t="s">
        <v>3664</v>
      </c>
      <c r="V845" s="16" t="s">
        <v>3665</v>
      </c>
      <c r="W845" s="16" t="s">
        <v>478</v>
      </c>
    </row>
    <row r="846">
      <c r="A846" s="16">
        <v>12270.0</v>
      </c>
      <c r="B846" s="16" t="s">
        <v>3666</v>
      </c>
      <c r="C846" s="16">
        <v>0.8</v>
      </c>
      <c r="D846" s="174" t="s">
        <v>3667</v>
      </c>
      <c r="E846" s="16"/>
      <c r="F846" s="16">
        <v>503.0</v>
      </c>
      <c r="G846" s="16" t="s">
        <v>2860</v>
      </c>
      <c r="H846" s="16" t="s">
        <v>24</v>
      </c>
      <c r="I846" s="16"/>
      <c r="J846" s="16"/>
      <c r="K846" s="16"/>
      <c r="L846" s="16"/>
      <c r="M846" s="16"/>
      <c r="N846" s="16"/>
      <c r="O846" s="16"/>
      <c r="P846" s="16"/>
      <c r="Q846" s="16"/>
      <c r="R846" s="16"/>
      <c r="S846" s="16">
        <v>9.0</v>
      </c>
      <c r="T846" s="16"/>
      <c r="U846" s="16" t="s">
        <v>3668</v>
      </c>
      <c r="V846" s="16" t="s">
        <v>3669</v>
      </c>
      <c r="W846" s="16" t="s">
        <v>675</v>
      </c>
    </row>
    <row r="847">
      <c r="A847" s="16">
        <v>12271.0</v>
      </c>
      <c r="B847" s="16" t="s">
        <v>3670</v>
      </c>
      <c r="C847" s="16">
        <v>0.0</v>
      </c>
      <c r="D847" s="174" t="s">
        <v>3671</v>
      </c>
      <c r="E847" s="16"/>
      <c r="F847" s="16">
        <v>498.0</v>
      </c>
      <c r="G847" s="16" t="s">
        <v>176</v>
      </c>
      <c r="H847" s="16" t="s">
        <v>24</v>
      </c>
      <c r="I847" s="16"/>
      <c r="J847" s="16"/>
      <c r="K847" s="16"/>
      <c r="L847" s="16"/>
      <c r="M847" s="16"/>
      <c r="N847" s="16"/>
      <c r="O847" s="16"/>
      <c r="P847" s="16"/>
      <c r="Q847" s="16"/>
      <c r="R847" s="16"/>
      <c r="S847" s="16">
        <v>-2.0</v>
      </c>
      <c r="T847" s="16"/>
      <c r="U847" s="16" t="s">
        <v>3672</v>
      </c>
      <c r="V847" s="16" t="s">
        <v>3673</v>
      </c>
      <c r="W847" s="16" t="s">
        <v>179</v>
      </c>
    </row>
    <row r="848">
      <c r="A848" s="16">
        <v>12272.0</v>
      </c>
      <c r="B848" s="16" t="s">
        <v>3674</v>
      </c>
      <c r="C848" s="16">
        <v>3.38</v>
      </c>
      <c r="D848" s="174" t="s">
        <v>3675</v>
      </c>
      <c r="E848" s="16"/>
      <c r="F848" s="16">
        <v>505.0</v>
      </c>
      <c r="G848" s="16" t="s">
        <v>4656</v>
      </c>
      <c r="H848" s="16" t="s">
        <v>24</v>
      </c>
      <c r="I848" s="16"/>
      <c r="J848" s="16"/>
      <c r="K848" s="16"/>
      <c r="L848" s="16"/>
      <c r="M848" s="16"/>
      <c r="N848" s="16"/>
      <c r="O848" s="16"/>
      <c r="P848" s="16"/>
      <c r="Q848" s="16"/>
      <c r="R848" s="16"/>
      <c r="S848" s="16">
        <v>12.0</v>
      </c>
      <c r="T848" s="16"/>
      <c r="U848" s="16" t="s">
        <v>3676</v>
      </c>
      <c r="V848" s="16" t="s">
        <v>3677</v>
      </c>
      <c r="W848" s="16" t="s">
        <v>491</v>
      </c>
    </row>
    <row r="849">
      <c r="A849" s="16">
        <v>12273.0</v>
      </c>
      <c r="B849" s="16" t="s">
        <v>3678</v>
      </c>
      <c r="C849" s="16">
        <v>4.65</v>
      </c>
      <c r="D849" s="174" t="s">
        <v>3679</v>
      </c>
      <c r="E849" s="16"/>
      <c r="F849" s="16">
        <v>520.0</v>
      </c>
      <c r="G849" s="16" t="s">
        <v>292</v>
      </c>
      <c r="H849" s="16" t="s">
        <v>24</v>
      </c>
      <c r="I849" s="16"/>
      <c r="J849" s="16"/>
      <c r="K849" s="16"/>
      <c r="L849" s="16"/>
      <c r="M849" s="16"/>
      <c r="N849" s="16"/>
      <c r="O849" s="16"/>
      <c r="P849" s="16"/>
      <c r="Q849" s="16"/>
      <c r="R849" s="16" t="s">
        <v>4826</v>
      </c>
      <c r="S849" s="16">
        <v>12.0</v>
      </c>
      <c r="T849" s="16"/>
      <c r="U849" s="16" t="s">
        <v>3680</v>
      </c>
      <c r="V849" s="16" t="s">
        <v>3681</v>
      </c>
      <c r="W849" s="16" t="s">
        <v>199</v>
      </c>
    </row>
    <row r="850">
      <c r="A850" s="16">
        <v>12274.0</v>
      </c>
      <c r="B850" s="16" t="s">
        <v>39</v>
      </c>
      <c r="C850" s="16">
        <v>0.0</v>
      </c>
      <c r="D850" s="174" t="s">
        <v>3682</v>
      </c>
      <c r="E850" s="16"/>
      <c r="F850" s="16">
        <v>499.0</v>
      </c>
      <c r="G850" s="16" t="s">
        <v>126</v>
      </c>
      <c r="H850" s="16" t="s">
        <v>13</v>
      </c>
      <c r="I850" s="16"/>
      <c r="J850" s="16"/>
      <c r="K850" s="16"/>
      <c r="L850" s="16"/>
      <c r="M850" s="16"/>
      <c r="N850" s="16"/>
      <c r="O850" s="16"/>
      <c r="P850" s="16"/>
      <c r="Q850" s="16"/>
      <c r="R850" s="16"/>
      <c r="S850" s="16">
        <v>16.0</v>
      </c>
      <c r="T850" s="16"/>
      <c r="U850" s="16" t="s">
        <v>3683</v>
      </c>
      <c r="V850" s="16" t="s">
        <v>3684</v>
      </c>
      <c r="W850" s="16" t="s">
        <v>675</v>
      </c>
    </row>
    <row r="851">
      <c r="A851" s="16">
        <v>12275.0</v>
      </c>
      <c r="B851" s="16" t="s">
        <v>3685</v>
      </c>
      <c r="C851" s="16">
        <v>0.28</v>
      </c>
      <c r="D851" s="174" t="s">
        <v>3686</v>
      </c>
      <c r="E851" s="16"/>
      <c r="F851" s="16">
        <v>498.0</v>
      </c>
      <c r="G851" s="16" t="s">
        <v>176</v>
      </c>
      <c r="H851" s="16" t="s">
        <v>25</v>
      </c>
      <c r="I851" s="16" t="s">
        <v>26</v>
      </c>
      <c r="J851" s="16"/>
      <c r="K851" s="16"/>
      <c r="L851" s="16"/>
      <c r="M851" s="16"/>
      <c r="N851" s="16"/>
      <c r="O851" s="16"/>
      <c r="P851" s="16"/>
      <c r="Q851" s="16"/>
      <c r="R851" s="16"/>
      <c r="S851" s="16">
        <v>9.0</v>
      </c>
      <c r="T851" s="16"/>
      <c r="U851" s="16" t="s">
        <v>3687</v>
      </c>
      <c r="V851" s="16" t="s">
        <v>3688</v>
      </c>
      <c r="W851" s="16" t="s">
        <v>422</v>
      </c>
    </row>
    <row r="852">
      <c r="A852" s="16">
        <v>12276.0</v>
      </c>
      <c r="B852" s="16" t="s">
        <v>3689</v>
      </c>
      <c r="C852" s="16">
        <v>1.65</v>
      </c>
      <c r="D852" s="174" t="s">
        <v>3690</v>
      </c>
      <c r="E852" s="16"/>
      <c r="F852" s="16">
        <v>498.0</v>
      </c>
      <c r="G852" s="16" t="s">
        <v>176</v>
      </c>
      <c r="H852" s="16" t="s">
        <v>17</v>
      </c>
      <c r="I852" s="16" t="s">
        <v>14</v>
      </c>
      <c r="J852" s="16" t="s">
        <v>19</v>
      </c>
      <c r="K852" s="16" t="s">
        <v>15</v>
      </c>
      <c r="L852" s="16" t="s">
        <v>16</v>
      </c>
      <c r="M852" s="16"/>
      <c r="N852" s="16"/>
      <c r="O852" s="16"/>
      <c r="P852" s="16"/>
      <c r="Q852" s="16"/>
      <c r="R852" s="16"/>
      <c r="S852" s="16">
        <v>-2.0</v>
      </c>
      <c r="T852" s="16"/>
      <c r="U852" s="16" t="s">
        <v>3691</v>
      </c>
      <c r="V852" s="16" t="s">
        <v>3692</v>
      </c>
      <c r="W852" s="16" t="s">
        <v>616</v>
      </c>
    </row>
    <row r="853">
      <c r="A853" s="16">
        <v>12277.0</v>
      </c>
      <c r="B853" s="16" t="s">
        <v>3693</v>
      </c>
      <c r="C853" s="16">
        <v>0.45</v>
      </c>
      <c r="D853" s="174" t="s">
        <v>3694</v>
      </c>
      <c r="E853" s="16"/>
      <c r="F853" s="16">
        <v>498.0</v>
      </c>
      <c r="G853" s="16" t="s">
        <v>176</v>
      </c>
      <c r="H853" s="16" t="s">
        <v>12</v>
      </c>
      <c r="I853" s="16"/>
      <c r="J853" s="16"/>
      <c r="K853" s="16"/>
      <c r="L853" s="16"/>
      <c r="M853" s="16"/>
      <c r="N853" s="16"/>
      <c r="O853" s="16"/>
      <c r="P853" s="16"/>
      <c r="Q853" s="16"/>
      <c r="R853" s="16"/>
      <c r="S853" s="16">
        <v>-2.0</v>
      </c>
      <c r="T853" s="16"/>
      <c r="U853" s="16" t="s">
        <v>3695</v>
      </c>
      <c r="V853" s="16" t="s">
        <v>3696</v>
      </c>
      <c r="W853" s="16" t="s">
        <v>399</v>
      </c>
    </row>
    <row r="854">
      <c r="A854" s="16">
        <v>12278.0</v>
      </c>
      <c r="B854" s="16" t="s">
        <v>3697</v>
      </c>
      <c r="C854" s="16">
        <v>2.68</v>
      </c>
      <c r="D854" s="174" t="s">
        <v>3698</v>
      </c>
      <c r="E854" s="16"/>
      <c r="F854" s="16">
        <v>523.0</v>
      </c>
      <c r="G854" s="16" t="s">
        <v>306</v>
      </c>
      <c r="H854" s="16" t="s">
        <v>17</v>
      </c>
      <c r="I854" s="16" t="s">
        <v>18</v>
      </c>
      <c r="J854" s="16" t="s">
        <v>19</v>
      </c>
      <c r="K854" s="16"/>
      <c r="L854" s="16"/>
      <c r="M854" s="16"/>
      <c r="N854" s="16"/>
      <c r="O854" s="16"/>
      <c r="P854" s="16"/>
      <c r="Q854" s="16"/>
      <c r="R854" s="16"/>
      <c r="S854" s="16">
        <v>1.0</v>
      </c>
      <c r="T854" s="16"/>
      <c r="U854" s="16" t="s">
        <v>3699</v>
      </c>
      <c r="V854" s="16" t="s">
        <v>3700</v>
      </c>
      <c r="W854" s="16" t="s">
        <v>443</v>
      </c>
    </row>
    <row r="855">
      <c r="A855" s="16">
        <v>12279.0</v>
      </c>
      <c r="B855" s="16" t="s">
        <v>3701</v>
      </c>
      <c r="C855" s="16">
        <v>0.53</v>
      </c>
      <c r="D855" s="174" t="s">
        <v>3702</v>
      </c>
      <c r="E855" s="16"/>
      <c r="F855" s="16">
        <v>540.0</v>
      </c>
      <c r="G855" s="16" t="s">
        <v>1729</v>
      </c>
      <c r="H855" s="16" t="s">
        <v>24</v>
      </c>
      <c r="I855" s="16" t="s">
        <v>25</v>
      </c>
      <c r="J855" s="16" t="s">
        <v>26</v>
      </c>
      <c r="K855" s="16"/>
      <c r="L855" s="16"/>
      <c r="M855" s="16"/>
      <c r="N855" s="16"/>
      <c r="O855" s="16"/>
      <c r="P855" s="16"/>
      <c r="Q855" s="16"/>
      <c r="R855" s="16"/>
      <c r="S855" s="16">
        <v>15.0</v>
      </c>
      <c r="T855" s="16"/>
      <c r="U855" s="16" t="s">
        <v>3703</v>
      </c>
      <c r="V855" s="16" t="s">
        <v>3704</v>
      </c>
      <c r="W855" s="16" t="s">
        <v>360</v>
      </c>
    </row>
    <row r="856">
      <c r="A856" s="16">
        <v>12280.0</v>
      </c>
      <c r="B856" s="16" t="s">
        <v>3705</v>
      </c>
      <c r="C856" s="16">
        <v>0.76</v>
      </c>
      <c r="D856" s="174" t="s">
        <v>3706</v>
      </c>
      <c r="E856" s="16"/>
      <c r="F856" s="16">
        <v>502.0</v>
      </c>
      <c r="G856" s="16" t="s">
        <v>200</v>
      </c>
      <c r="H856" s="16" t="s">
        <v>17</v>
      </c>
      <c r="I856" s="16" t="s">
        <v>19</v>
      </c>
      <c r="J856" s="16"/>
      <c r="K856" s="16"/>
      <c r="L856" s="16"/>
      <c r="M856" s="16"/>
      <c r="N856" s="16"/>
      <c r="O856" s="16"/>
      <c r="P856" s="16"/>
      <c r="Q856" s="16"/>
      <c r="R856" s="16"/>
      <c r="S856" s="16">
        <v>1.0</v>
      </c>
      <c r="T856" s="16"/>
      <c r="U856" s="16" t="s">
        <v>3707</v>
      </c>
      <c r="V856" s="16" t="s">
        <v>3708</v>
      </c>
      <c r="W856" s="16" t="s">
        <v>661</v>
      </c>
    </row>
    <row r="857">
      <c r="A857" s="16">
        <v>12281.0</v>
      </c>
      <c r="B857" s="16" t="s">
        <v>3709</v>
      </c>
      <c r="C857" s="16">
        <v>0.0</v>
      </c>
      <c r="D857" s="174" t="s">
        <v>3710</v>
      </c>
      <c r="E857" s="16"/>
      <c r="F857" s="16">
        <v>498.0</v>
      </c>
      <c r="G857" s="16" t="s">
        <v>176</v>
      </c>
      <c r="H857" s="16" t="s">
        <v>19</v>
      </c>
      <c r="I857" s="16" t="s">
        <v>17</v>
      </c>
      <c r="J857" s="16"/>
      <c r="K857" s="16"/>
      <c r="L857" s="16"/>
      <c r="M857" s="16"/>
      <c r="N857" s="16"/>
      <c r="O857" s="16"/>
      <c r="P857" s="16"/>
      <c r="Q857" s="16"/>
      <c r="R857" s="16"/>
      <c r="S857" s="16">
        <v>-2.0</v>
      </c>
      <c r="T857" s="16"/>
      <c r="U857" s="16" t="s">
        <v>3711</v>
      </c>
      <c r="V857" s="16" t="s">
        <v>3712</v>
      </c>
      <c r="W857" s="16" t="s">
        <v>360</v>
      </c>
    </row>
    <row r="858">
      <c r="A858" s="16">
        <v>12282.0</v>
      </c>
      <c r="B858" s="16" t="s">
        <v>3713</v>
      </c>
      <c r="C858" s="16">
        <v>0.0</v>
      </c>
      <c r="D858" s="174" t="s">
        <v>3714</v>
      </c>
      <c r="E858" s="16"/>
      <c r="F858" s="16">
        <v>520.0</v>
      </c>
      <c r="G858" s="16" t="s">
        <v>292</v>
      </c>
      <c r="H858" s="16" t="s">
        <v>24</v>
      </c>
      <c r="I858" s="16"/>
      <c r="J858" s="16"/>
      <c r="K858" s="16"/>
      <c r="L858" s="16"/>
      <c r="M858" s="16"/>
      <c r="N858" s="16"/>
      <c r="O858" s="16"/>
      <c r="P858" s="16"/>
      <c r="Q858" s="16"/>
      <c r="R858" s="16" t="s">
        <v>4774</v>
      </c>
      <c r="S858" s="16">
        <v>16.0</v>
      </c>
      <c r="T858" s="16"/>
      <c r="U858" s="16" t="s">
        <v>3715</v>
      </c>
      <c r="V858" s="16" t="s">
        <v>3716</v>
      </c>
      <c r="W858" s="16" t="s">
        <v>459</v>
      </c>
    </row>
    <row r="859">
      <c r="A859" s="16">
        <v>12283.0</v>
      </c>
      <c r="B859" s="16" t="s">
        <v>3717</v>
      </c>
      <c r="C859" s="16">
        <v>0.0</v>
      </c>
      <c r="D859" s="174" t="s">
        <v>3718</v>
      </c>
      <c r="E859" s="16"/>
      <c r="F859" s="16">
        <v>529.0</v>
      </c>
      <c r="G859" s="16" t="s">
        <v>333</v>
      </c>
      <c r="H859" s="16" t="s">
        <v>25</v>
      </c>
      <c r="I859" s="16"/>
      <c r="J859" s="16"/>
      <c r="K859" s="16"/>
      <c r="L859" s="16"/>
      <c r="M859" s="16"/>
      <c r="N859" s="16"/>
      <c r="O859" s="16"/>
      <c r="P859" s="16"/>
      <c r="Q859" s="16"/>
      <c r="R859" s="16"/>
      <c r="S859" s="16">
        <v>1.0</v>
      </c>
      <c r="T859" s="16"/>
      <c r="U859" s="16" t="s">
        <v>3719</v>
      </c>
      <c r="V859" s="16" t="s">
        <v>3720</v>
      </c>
      <c r="W859" s="16" t="s">
        <v>231</v>
      </c>
    </row>
    <row r="860">
      <c r="A860" s="16">
        <v>12284.0</v>
      </c>
      <c r="B860" s="16" t="s">
        <v>3721</v>
      </c>
      <c r="C860" s="16">
        <v>1.55</v>
      </c>
      <c r="D860" s="174" t="s">
        <v>3722</v>
      </c>
      <c r="E860" s="16"/>
      <c r="F860" s="16">
        <v>514.0</v>
      </c>
      <c r="G860" s="16" t="s">
        <v>260</v>
      </c>
      <c r="H860" s="16" t="s">
        <v>25</v>
      </c>
      <c r="I860" s="16" t="s">
        <v>26</v>
      </c>
      <c r="J860" s="16"/>
      <c r="K860" s="16"/>
      <c r="L860" s="16"/>
      <c r="M860" s="16"/>
      <c r="N860" s="16"/>
      <c r="O860" s="16"/>
      <c r="P860" s="16"/>
      <c r="Q860" s="16"/>
      <c r="R860" s="16"/>
      <c r="S860" s="16">
        <v>8.0</v>
      </c>
      <c r="T860" s="16"/>
      <c r="U860" s="16" t="s">
        <v>3723</v>
      </c>
      <c r="V860" s="16" t="s">
        <v>3724</v>
      </c>
      <c r="W860" s="16" t="s">
        <v>491</v>
      </c>
    </row>
    <row r="861">
      <c r="A861" s="16">
        <v>12285.0</v>
      </c>
      <c r="B861" s="16" t="s">
        <v>3725</v>
      </c>
      <c r="C861" s="16">
        <v>0.0</v>
      </c>
      <c r="D861" s="174" t="s">
        <v>3726</v>
      </c>
      <c r="E861" s="16"/>
      <c r="F861" s="16">
        <v>498.0</v>
      </c>
      <c r="G861" s="16" t="s">
        <v>176</v>
      </c>
      <c r="H861" s="16" t="s">
        <v>24</v>
      </c>
      <c r="I861" s="16"/>
      <c r="J861" s="16"/>
      <c r="K861" s="16"/>
      <c r="L861" s="16"/>
      <c r="M861" s="16"/>
      <c r="N861" s="16"/>
      <c r="O861" s="16"/>
      <c r="P861" s="16"/>
      <c r="Q861" s="16"/>
      <c r="R861" s="16"/>
      <c r="S861" s="16">
        <v>-2.0</v>
      </c>
      <c r="T861" s="16"/>
      <c r="U861" s="16" t="s">
        <v>3727</v>
      </c>
      <c r="V861" s="16" t="s">
        <v>3728</v>
      </c>
      <c r="W861" s="16" t="s">
        <v>179</v>
      </c>
    </row>
    <row r="862">
      <c r="A862" s="16">
        <v>12286.0</v>
      </c>
      <c r="B862" s="16" t="s">
        <v>3729</v>
      </c>
      <c r="C862" s="16">
        <v>1.21</v>
      </c>
      <c r="D862" s="174" t="s">
        <v>3730</v>
      </c>
      <c r="E862" s="16"/>
      <c r="F862" s="16">
        <v>510.0</v>
      </c>
      <c r="G862" s="16" t="s">
        <v>4782</v>
      </c>
      <c r="H862" s="16" t="s">
        <v>14</v>
      </c>
      <c r="I862" s="16" t="s">
        <v>13</v>
      </c>
      <c r="J862" s="16" t="s">
        <v>15</v>
      </c>
      <c r="K862" s="16" t="s">
        <v>16</v>
      </c>
      <c r="L862" s="16" t="s">
        <v>18</v>
      </c>
      <c r="M862" s="16" t="s">
        <v>19</v>
      </c>
      <c r="N862" s="16" t="s">
        <v>17</v>
      </c>
      <c r="O862" s="16"/>
      <c r="P862" s="16"/>
      <c r="Q862" s="16"/>
      <c r="R862" s="16"/>
      <c r="S862" s="16">
        <v>2.0</v>
      </c>
      <c r="T862" s="16"/>
      <c r="U862" s="16" t="s">
        <v>3731</v>
      </c>
      <c r="V862" s="16" t="s">
        <v>3732</v>
      </c>
      <c r="W862" s="16" t="s">
        <v>566</v>
      </c>
    </row>
    <row r="863">
      <c r="A863" s="16">
        <v>12287.0</v>
      </c>
      <c r="B863" s="16" t="s">
        <v>3733</v>
      </c>
      <c r="C863" s="16">
        <v>0.62</v>
      </c>
      <c r="D863" s="174" t="s">
        <v>3734</v>
      </c>
      <c r="E863" s="16"/>
      <c r="F863" s="16">
        <v>498.0</v>
      </c>
      <c r="G863" s="16" t="s">
        <v>176</v>
      </c>
      <c r="H863" s="16" t="s">
        <v>25</v>
      </c>
      <c r="I863" s="16"/>
      <c r="J863" s="16"/>
      <c r="K863" s="16"/>
      <c r="L863" s="16"/>
      <c r="M863" s="16"/>
      <c r="N863" s="16"/>
      <c r="O863" s="16"/>
      <c r="P863" s="16"/>
      <c r="Q863" s="16"/>
      <c r="R863" s="16"/>
      <c r="S863" s="16">
        <v>-2.0</v>
      </c>
      <c r="T863" s="16"/>
      <c r="U863" s="16" t="s">
        <v>3735</v>
      </c>
      <c r="V863" s="16" t="s">
        <v>3736</v>
      </c>
      <c r="W863" s="16" t="s">
        <v>199</v>
      </c>
    </row>
    <row r="864">
      <c r="A864" s="16">
        <v>12288.0</v>
      </c>
      <c r="B864" s="16" t="s">
        <v>50</v>
      </c>
      <c r="C864" s="16">
        <v>0.0</v>
      </c>
      <c r="D864" s="174" t="s">
        <v>3737</v>
      </c>
      <c r="E864" s="16"/>
      <c r="F864" s="16">
        <v>499.0</v>
      </c>
      <c r="G864" s="16" t="s">
        <v>126</v>
      </c>
      <c r="H864" s="16" t="s">
        <v>19</v>
      </c>
      <c r="I864" s="16"/>
      <c r="J864" s="16"/>
      <c r="K864" s="16"/>
      <c r="L864" s="16"/>
      <c r="M864" s="16"/>
      <c r="N864" s="16"/>
      <c r="O864" s="16"/>
      <c r="P864" s="16"/>
      <c r="Q864" s="16"/>
      <c r="R864" s="16"/>
      <c r="S864" s="16">
        <v>16.0</v>
      </c>
      <c r="T864" s="16"/>
      <c r="U864" s="16" t="s">
        <v>3738</v>
      </c>
      <c r="V864" s="16" t="s">
        <v>3739</v>
      </c>
      <c r="W864" s="16" t="s">
        <v>422</v>
      </c>
    </row>
    <row r="865">
      <c r="A865" s="16">
        <v>12289.0</v>
      </c>
      <c r="B865" s="16" t="s">
        <v>3740</v>
      </c>
      <c r="C865" s="16">
        <v>2.42</v>
      </c>
      <c r="D865" s="174" t="s">
        <v>3741</v>
      </c>
      <c r="E865" s="16"/>
      <c r="F865" s="16">
        <v>526.0</v>
      </c>
      <c r="G865" s="16" t="s">
        <v>212</v>
      </c>
      <c r="H865" s="16" t="s">
        <v>24</v>
      </c>
      <c r="I865" s="16"/>
      <c r="J865" s="16"/>
      <c r="K865" s="16"/>
      <c r="L865" s="16"/>
      <c r="M865" s="16"/>
      <c r="N865" s="16"/>
      <c r="O865" s="16"/>
      <c r="P865" s="16"/>
      <c r="Q865" s="16"/>
      <c r="R865" s="16"/>
      <c r="S865" s="16">
        <v>1.0</v>
      </c>
      <c r="T865" s="174" t="s">
        <v>4747</v>
      </c>
      <c r="U865" s="16" t="s">
        <v>3742</v>
      </c>
      <c r="V865" s="16" t="s">
        <v>3743</v>
      </c>
      <c r="W865" s="16" t="s">
        <v>188</v>
      </c>
    </row>
    <row r="866">
      <c r="A866" s="16">
        <v>12290.0</v>
      </c>
      <c r="B866" s="16" t="s">
        <v>3744</v>
      </c>
      <c r="C866" s="16">
        <v>0.0</v>
      </c>
      <c r="D866" s="174" t="s">
        <v>3745</v>
      </c>
      <c r="E866" s="16"/>
      <c r="F866" s="16">
        <v>498.0</v>
      </c>
      <c r="G866" s="16" t="s">
        <v>176</v>
      </c>
      <c r="H866" s="16" t="s">
        <v>24</v>
      </c>
      <c r="I866" s="16" t="s">
        <v>25</v>
      </c>
      <c r="J866" s="16"/>
      <c r="K866" s="16"/>
      <c r="L866" s="16"/>
      <c r="M866" s="16"/>
      <c r="N866" s="16"/>
      <c r="O866" s="16"/>
      <c r="P866" s="16"/>
      <c r="Q866" s="16"/>
      <c r="R866" s="16"/>
      <c r="S866" s="16">
        <v>-2.0</v>
      </c>
      <c r="T866" s="16"/>
      <c r="U866" s="16" t="s">
        <v>3746</v>
      </c>
      <c r="V866" s="16" t="s">
        <v>3747</v>
      </c>
      <c r="W866" s="16" t="s">
        <v>616</v>
      </c>
    </row>
    <row r="867">
      <c r="A867" s="16">
        <v>12291.0</v>
      </c>
      <c r="B867" s="16" t="s">
        <v>3748</v>
      </c>
      <c r="C867" s="16">
        <v>0.0</v>
      </c>
      <c r="D867" s="174" t="s">
        <v>3749</v>
      </c>
      <c r="E867" s="16"/>
      <c r="F867" s="16">
        <v>498.0</v>
      </c>
      <c r="G867" s="16" t="s">
        <v>176</v>
      </c>
      <c r="H867" s="16" t="s">
        <v>13</v>
      </c>
      <c r="I867" s="16"/>
      <c r="J867" s="16"/>
      <c r="K867" s="16"/>
      <c r="L867" s="16"/>
      <c r="M867" s="16"/>
      <c r="N867" s="16"/>
      <c r="O867" s="16"/>
      <c r="P867" s="16"/>
      <c r="Q867" s="16"/>
      <c r="R867" s="16"/>
      <c r="S867" s="16">
        <v>-2.0</v>
      </c>
      <c r="T867" s="16"/>
      <c r="U867" s="16" t="s">
        <v>3750</v>
      </c>
      <c r="V867" s="16" t="s">
        <v>3751</v>
      </c>
      <c r="W867" s="16" t="s">
        <v>491</v>
      </c>
    </row>
    <row r="868">
      <c r="A868" s="16">
        <v>12292.0</v>
      </c>
      <c r="B868" s="16" t="s">
        <v>3752</v>
      </c>
      <c r="C868" s="16">
        <v>0.62</v>
      </c>
      <c r="D868" s="174" t="s">
        <v>3753</v>
      </c>
      <c r="E868" s="16"/>
      <c r="F868" s="16">
        <v>527.0</v>
      </c>
      <c r="G868" s="16" t="s">
        <v>521</v>
      </c>
      <c r="H868" s="16" t="s">
        <v>15</v>
      </c>
      <c r="I868" s="16" t="s">
        <v>14</v>
      </c>
      <c r="J868" s="16"/>
      <c r="K868" s="16"/>
      <c r="L868" s="16"/>
      <c r="M868" s="16"/>
      <c r="N868" s="16"/>
      <c r="O868" s="16"/>
      <c r="P868" s="16"/>
      <c r="Q868" s="16"/>
      <c r="R868" s="16" t="s">
        <v>4827</v>
      </c>
      <c r="S868" s="16">
        <v>17.0</v>
      </c>
      <c r="T868" s="174" t="s">
        <v>4765</v>
      </c>
      <c r="U868" s="16" t="s">
        <v>3754</v>
      </c>
      <c r="V868" s="16" t="s">
        <v>3755</v>
      </c>
      <c r="W868" s="16" t="s">
        <v>942</v>
      </c>
    </row>
    <row r="869">
      <c r="A869" s="16">
        <v>12293.0</v>
      </c>
      <c r="B869" s="16" t="s">
        <v>3756</v>
      </c>
      <c r="C869" s="16">
        <v>1.63</v>
      </c>
      <c r="D869" s="174" t="s">
        <v>3757</v>
      </c>
      <c r="E869" s="16"/>
      <c r="F869" s="16">
        <v>498.0</v>
      </c>
      <c r="G869" s="16" t="s">
        <v>176</v>
      </c>
      <c r="H869" s="16" t="s">
        <v>14</v>
      </c>
      <c r="I869" s="16"/>
      <c r="J869" s="16"/>
      <c r="K869" s="16"/>
      <c r="L869" s="16"/>
      <c r="M869" s="16"/>
      <c r="N869" s="16"/>
      <c r="O869" s="16"/>
      <c r="P869" s="16"/>
      <c r="Q869" s="16"/>
      <c r="R869" s="16"/>
      <c r="S869" s="16">
        <v>-2.0</v>
      </c>
      <c r="T869" s="16"/>
      <c r="U869" s="16" t="s">
        <v>3758</v>
      </c>
      <c r="V869" s="16" t="s">
        <v>3759</v>
      </c>
      <c r="W869" s="16" t="s">
        <v>199</v>
      </c>
    </row>
    <row r="870">
      <c r="A870" s="16">
        <v>12294.0</v>
      </c>
      <c r="B870" s="16" t="s">
        <v>3760</v>
      </c>
      <c r="C870" s="16">
        <v>0.34</v>
      </c>
      <c r="D870" s="174" t="s">
        <v>3761</v>
      </c>
      <c r="E870" s="16"/>
      <c r="F870" s="16">
        <v>502.0</v>
      </c>
      <c r="G870" s="16" t="s">
        <v>200</v>
      </c>
      <c r="H870" s="16" t="s">
        <v>24</v>
      </c>
      <c r="I870" s="16" t="s">
        <v>25</v>
      </c>
      <c r="J870" s="16"/>
      <c r="K870" s="16"/>
      <c r="L870" s="16"/>
      <c r="M870" s="16"/>
      <c r="N870" s="16"/>
      <c r="O870" s="16"/>
      <c r="P870" s="16"/>
      <c r="Q870" s="16"/>
      <c r="R870" s="16"/>
      <c r="S870" s="16">
        <v>10.0</v>
      </c>
      <c r="T870" s="16"/>
      <c r="U870" s="16" t="s">
        <v>3762</v>
      </c>
      <c r="V870" s="16" t="s">
        <v>3763</v>
      </c>
      <c r="W870" s="16" t="s">
        <v>422</v>
      </c>
    </row>
    <row r="871">
      <c r="A871" s="16">
        <v>12295.0</v>
      </c>
      <c r="B871" s="16" t="s">
        <v>3764</v>
      </c>
      <c r="C871" s="16">
        <v>0.0</v>
      </c>
      <c r="D871" s="174" t="s">
        <v>3765</v>
      </c>
      <c r="E871" s="16"/>
      <c r="F871" s="16">
        <v>544.0</v>
      </c>
      <c r="G871" s="16" t="s">
        <v>272</v>
      </c>
      <c r="H871" s="16" t="s">
        <v>24</v>
      </c>
      <c r="I871" s="16" t="s">
        <v>25</v>
      </c>
      <c r="J871" s="16"/>
      <c r="K871" s="16"/>
      <c r="L871" s="16"/>
      <c r="M871" s="16"/>
      <c r="N871" s="16"/>
      <c r="O871" s="16"/>
      <c r="P871" s="16"/>
      <c r="Q871" s="16"/>
      <c r="R871" s="16"/>
      <c r="S871" s="16">
        <v>1.0</v>
      </c>
      <c r="T871" s="174" t="s">
        <v>4828</v>
      </c>
      <c r="U871" s="16" t="s">
        <v>3766</v>
      </c>
      <c r="V871" s="16" t="s">
        <v>3767</v>
      </c>
      <c r="W871" s="16" t="s">
        <v>332</v>
      </c>
    </row>
    <row r="872">
      <c r="A872" s="16">
        <v>12296.0</v>
      </c>
      <c r="B872" s="16" t="s">
        <v>3768</v>
      </c>
      <c r="C872" s="16">
        <v>0.51</v>
      </c>
      <c r="D872" s="174" t="s">
        <v>3769</v>
      </c>
      <c r="E872" s="16"/>
      <c r="F872" s="16">
        <v>510.0</v>
      </c>
      <c r="G872" s="16" t="s">
        <v>4782</v>
      </c>
      <c r="H872" s="16" t="s">
        <v>24</v>
      </c>
      <c r="I872" s="16"/>
      <c r="J872" s="16"/>
      <c r="K872" s="16"/>
      <c r="L872" s="16"/>
      <c r="M872" s="16"/>
      <c r="N872" s="16"/>
      <c r="O872" s="16"/>
      <c r="P872" s="16"/>
      <c r="Q872" s="16"/>
      <c r="R872" s="16"/>
      <c r="S872" s="16">
        <v>15.0</v>
      </c>
      <c r="T872" s="16"/>
      <c r="U872" s="16" t="s">
        <v>3770</v>
      </c>
      <c r="V872" s="16" t="s">
        <v>3771</v>
      </c>
      <c r="W872" s="16" t="s">
        <v>188</v>
      </c>
    </row>
    <row r="873">
      <c r="A873" s="16">
        <v>12297.0</v>
      </c>
      <c r="B873" s="16" t="s">
        <v>3772</v>
      </c>
      <c r="C873" s="16">
        <v>0.72</v>
      </c>
      <c r="D873" s="174" t="s">
        <v>3773</v>
      </c>
      <c r="E873" s="16"/>
      <c r="F873" s="16">
        <v>499.0</v>
      </c>
      <c r="G873" s="16" t="s">
        <v>126</v>
      </c>
      <c r="H873" s="16" t="s">
        <v>25</v>
      </c>
      <c r="I873" s="16" t="s">
        <v>26</v>
      </c>
      <c r="J873" s="16"/>
      <c r="K873" s="16"/>
      <c r="L873" s="16"/>
      <c r="M873" s="16"/>
      <c r="N873" s="16"/>
      <c r="O873" s="16"/>
      <c r="P873" s="16"/>
      <c r="Q873" s="16"/>
      <c r="R873" s="16"/>
      <c r="S873" s="16">
        <v>10.0</v>
      </c>
      <c r="T873" s="16"/>
      <c r="U873" s="16" t="s">
        <v>3774</v>
      </c>
      <c r="V873" s="16" t="s">
        <v>3775</v>
      </c>
      <c r="W873" s="16" t="s">
        <v>491</v>
      </c>
    </row>
    <row r="874">
      <c r="A874" s="16">
        <v>12298.0</v>
      </c>
      <c r="B874" s="16" t="s">
        <v>3776</v>
      </c>
      <c r="C874" s="16">
        <v>2.17</v>
      </c>
      <c r="D874" s="174" t="s">
        <v>3777</v>
      </c>
      <c r="E874" s="16"/>
      <c r="F874" s="16">
        <v>541.0</v>
      </c>
      <c r="G874" s="16" t="s">
        <v>387</v>
      </c>
      <c r="H874" s="16" t="s">
        <v>25</v>
      </c>
      <c r="I874" s="16" t="s">
        <v>26</v>
      </c>
      <c r="J874" s="16"/>
      <c r="K874" s="16"/>
      <c r="L874" s="16"/>
      <c r="M874" s="16"/>
      <c r="N874" s="16"/>
      <c r="O874" s="16"/>
      <c r="P874" s="16"/>
      <c r="Q874" s="16"/>
      <c r="R874" s="16"/>
      <c r="S874" s="16">
        <v>1.0</v>
      </c>
      <c r="T874" s="16"/>
      <c r="U874" s="16" t="s">
        <v>3778</v>
      </c>
      <c r="V874" s="16" t="s">
        <v>3779</v>
      </c>
      <c r="W874" s="16" t="s">
        <v>491</v>
      </c>
    </row>
    <row r="875">
      <c r="A875" s="16">
        <v>12299.0</v>
      </c>
      <c r="B875" s="16" t="s">
        <v>3780</v>
      </c>
      <c r="C875" s="16">
        <v>1.31</v>
      </c>
      <c r="D875" s="174" t="s">
        <v>3781</v>
      </c>
      <c r="E875" s="16"/>
      <c r="F875" s="16">
        <v>528.0</v>
      </c>
      <c r="G875" s="16" t="s">
        <v>1755</v>
      </c>
      <c r="H875" s="16" t="s">
        <v>12</v>
      </c>
      <c r="I875" s="16"/>
      <c r="J875" s="16"/>
      <c r="K875" s="16"/>
      <c r="L875" s="16"/>
      <c r="M875" s="16"/>
      <c r="N875" s="16"/>
      <c r="O875" s="16"/>
      <c r="P875" s="16"/>
      <c r="Q875" s="16"/>
      <c r="R875" s="16"/>
      <c r="S875" s="16">
        <v>12.0</v>
      </c>
      <c r="T875" s="16"/>
      <c r="U875" s="16" t="s">
        <v>3782</v>
      </c>
      <c r="V875" s="16" t="s">
        <v>3783</v>
      </c>
      <c r="W875" s="16" t="s">
        <v>675</v>
      </c>
    </row>
    <row r="876">
      <c r="A876" s="16">
        <v>12300.0</v>
      </c>
      <c r="B876" s="16" t="s">
        <v>3784</v>
      </c>
      <c r="C876" s="16">
        <v>0.0</v>
      </c>
      <c r="D876" s="174" t="s">
        <v>3785</v>
      </c>
      <c r="E876" s="16"/>
      <c r="F876" s="16">
        <v>522.0</v>
      </c>
      <c r="G876" s="16" t="s">
        <v>686</v>
      </c>
      <c r="H876" s="16" t="s">
        <v>16</v>
      </c>
      <c r="I876" s="16" t="s">
        <v>15</v>
      </c>
      <c r="J876" s="16" t="s">
        <v>17</v>
      </c>
      <c r="K876" s="16" t="s">
        <v>18</v>
      </c>
      <c r="L876" s="16"/>
      <c r="M876" s="16"/>
      <c r="N876" s="16"/>
      <c r="O876" s="16"/>
      <c r="P876" s="16"/>
      <c r="Q876" s="16"/>
      <c r="R876" s="16"/>
      <c r="S876" s="16">
        <v>15.0</v>
      </c>
      <c r="T876" s="16"/>
      <c r="U876" s="16" t="s">
        <v>3786</v>
      </c>
      <c r="V876" s="16" t="s">
        <v>3787</v>
      </c>
      <c r="W876" s="16" t="s">
        <v>199</v>
      </c>
    </row>
    <row r="877">
      <c r="A877" s="16">
        <v>12301.0</v>
      </c>
      <c r="B877" s="16" t="s">
        <v>3788</v>
      </c>
      <c r="C877" s="16">
        <v>1.12</v>
      </c>
      <c r="D877" s="174" t="s">
        <v>3789</v>
      </c>
      <c r="E877" s="16"/>
      <c r="F877" s="16">
        <v>523.0</v>
      </c>
      <c r="G877" s="16" t="s">
        <v>306</v>
      </c>
      <c r="H877" s="16" t="s">
        <v>15</v>
      </c>
      <c r="I877" s="16"/>
      <c r="J877" s="16"/>
      <c r="K877" s="16"/>
      <c r="L877" s="16"/>
      <c r="M877" s="16"/>
      <c r="N877" s="16"/>
      <c r="O877" s="16"/>
      <c r="P877" s="16"/>
      <c r="Q877" s="16"/>
      <c r="R877" s="16"/>
      <c r="S877" s="16">
        <v>4.0</v>
      </c>
      <c r="T877" s="16"/>
      <c r="U877" s="16" t="s">
        <v>3790</v>
      </c>
      <c r="V877" s="16" t="s">
        <v>3791</v>
      </c>
      <c r="W877" s="16" t="s">
        <v>188</v>
      </c>
    </row>
    <row r="878">
      <c r="A878" s="16">
        <v>12302.0</v>
      </c>
      <c r="B878" s="16" t="s">
        <v>3792</v>
      </c>
      <c r="C878" s="16">
        <v>1.49</v>
      </c>
      <c r="D878" s="174" t="s">
        <v>3793</v>
      </c>
      <c r="E878" s="16"/>
      <c r="F878" s="16">
        <v>516.0</v>
      </c>
      <c r="G878" s="16" t="s">
        <v>228</v>
      </c>
      <c r="H878" s="16" t="s">
        <v>13</v>
      </c>
      <c r="I878" s="16"/>
      <c r="J878" s="16"/>
      <c r="K878" s="16"/>
      <c r="L878" s="16"/>
      <c r="M878" s="16"/>
      <c r="N878" s="16"/>
      <c r="O878" s="16"/>
      <c r="P878" s="16"/>
      <c r="Q878" s="16"/>
      <c r="R878" s="16"/>
      <c r="S878" s="16">
        <v>15.0</v>
      </c>
      <c r="T878" s="16"/>
      <c r="U878" s="16" t="s">
        <v>3794</v>
      </c>
      <c r="V878" s="16" t="s">
        <v>3795</v>
      </c>
      <c r="W878" s="16" t="s">
        <v>675</v>
      </c>
    </row>
    <row r="879">
      <c r="A879" s="16">
        <v>12303.0</v>
      </c>
      <c r="B879" s="16" t="s">
        <v>3796</v>
      </c>
      <c r="C879" s="16">
        <v>0.0</v>
      </c>
      <c r="D879" s="174" t="s">
        <v>3797</v>
      </c>
      <c r="E879" s="16"/>
      <c r="F879" s="16">
        <v>498.0</v>
      </c>
      <c r="G879" s="16" t="s">
        <v>176</v>
      </c>
      <c r="H879" s="16" t="s">
        <v>13</v>
      </c>
      <c r="I879" s="16" t="s">
        <v>19</v>
      </c>
      <c r="J879" s="16"/>
      <c r="K879" s="16"/>
      <c r="L879" s="16"/>
      <c r="M879" s="16"/>
      <c r="N879" s="16"/>
      <c r="O879" s="16"/>
      <c r="P879" s="16"/>
      <c r="Q879" s="16"/>
      <c r="R879" s="16"/>
      <c r="S879" s="16">
        <v>-2.0</v>
      </c>
      <c r="T879" s="16"/>
      <c r="U879" s="16" t="s">
        <v>3798</v>
      </c>
      <c r="V879" s="16" t="s">
        <v>3799</v>
      </c>
      <c r="W879" s="16" t="s">
        <v>199</v>
      </c>
    </row>
    <row r="880">
      <c r="A880" s="16">
        <v>12304.0</v>
      </c>
      <c r="B880" s="16" t="s">
        <v>3800</v>
      </c>
      <c r="C880" s="16">
        <v>1.12</v>
      </c>
      <c r="D880" s="174" t="s">
        <v>3801</v>
      </c>
      <c r="E880" s="16"/>
      <c r="F880" s="16">
        <v>519.0</v>
      </c>
      <c r="G880" s="16" t="s">
        <v>1452</v>
      </c>
      <c r="H880" s="16" t="s">
        <v>13</v>
      </c>
      <c r="I880" s="16" t="s">
        <v>19</v>
      </c>
      <c r="J880" s="16" t="s">
        <v>17</v>
      </c>
      <c r="K880" s="16"/>
      <c r="L880" s="16"/>
      <c r="M880" s="16"/>
      <c r="N880" s="16"/>
      <c r="O880" s="16"/>
      <c r="P880" s="16"/>
      <c r="Q880" s="16"/>
      <c r="R880" s="16"/>
      <c r="S880" s="16">
        <v>16.0</v>
      </c>
      <c r="T880" s="16"/>
      <c r="U880" s="16" t="s">
        <v>3802</v>
      </c>
      <c r="V880" s="16" t="s">
        <v>3803</v>
      </c>
      <c r="W880" s="16" t="s">
        <v>443</v>
      </c>
    </row>
    <row r="881">
      <c r="A881" s="16">
        <v>12305.0</v>
      </c>
      <c r="B881" s="16" t="s">
        <v>3804</v>
      </c>
      <c r="C881" s="16">
        <v>1.21</v>
      </c>
      <c r="D881" s="174" t="s">
        <v>3805</v>
      </c>
      <c r="E881" s="16"/>
      <c r="F881" s="16">
        <v>526.0</v>
      </c>
      <c r="G881" s="16" t="s">
        <v>212</v>
      </c>
      <c r="H881" s="16" t="s">
        <v>24</v>
      </c>
      <c r="I881" s="16"/>
      <c r="J881" s="16"/>
      <c r="K881" s="16"/>
      <c r="L881" s="16"/>
      <c r="M881" s="16"/>
      <c r="N881" s="16"/>
      <c r="O881" s="16"/>
      <c r="P881" s="16"/>
      <c r="Q881" s="16"/>
      <c r="R881" s="16"/>
      <c r="S881" s="16">
        <v>16.0</v>
      </c>
      <c r="T881" s="174" t="s">
        <v>4747</v>
      </c>
      <c r="U881" s="16" t="s">
        <v>3806</v>
      </c>
      <c r="V881" s="16" t="s">
        <v>3807</v>
      </c>
      <c r="W881" s="16" t="s">
        <v>443</v>
      </c>
    </row>
    <row r="882">
      <c r="A882" s="16">
        <v>12306.0</v>
      </c>
      <c r="B882" s="16" t="s">
        <v>3808</v>
      </c>
      <c r="C882" s="16">
        <v>0.34</v>
      </c>
      <c r="D882" s="174" t="s">
        <v>3809</v>
      </c>
      <c r="E882" s="16"/>
      <c r="F882" s="16">
        <v>498.0</v>
      </c>
      <c r="G882" s="16" t="s">
        <v>176</v>
      </c>
      <c r="H882" s="16" t="s">
        <v>25</v>
      </c>
      <c r="I882" s="16" t="s">
        <v>26</v>
      </c>
      <c r="J882" s="16"/>
      <c r="K882" s="16"/>
      <c r="L882" s="16"/>
      <c r="M882" s="16"/>
      <c r="N882" s="16"/>
      <c r="O882" s="16"/>
      <c r="P882" s="16"/>
      <c r="Q882" s="16"/>
      <c r="R882" s="16"/>
      <c r="S882" s="16">
        <v>-2.0</v>
      </c>
      <c r="T882" s="16"/>
      <c r="U882" s="16" t="s">
        <v>3810</v>
      </c>
      <c r="V882" s="16" t="s">
        <v>3811</v>
      </c>
      <c r="W882" s="16" t="s">
        <v>259</v>
      </c>
    </row>
    <row r="883">
      <c r="A883" s="16">
        <v>12307.0</v>
      </c>
      <c r="B883" s="16" t="s">
        <v>3812</v>
      </c>
      <c r="C883" s="16">
        <v>0.72</v>
      </c>
      <c r="D883" s="174" t="s">
        <v>3813</v>
      </c>
      <c r="E883" s="16"/>
      <c r="F883" s="16">
        <v>516.0</v>
      </c>
      <c r="G883" s="16" t="s">
        <v>228</v>
      </c>
      <c r="H883" s="16" t="s">
        <v>25</v>
      </c>
      <c r="I883" s="16" t="s">
        <v>26</v>
      </c>
      <c r="J883" s="16"/>
      <c r="K883" s="16"/>
      <c r="L883" s="16"/>
      <c r="M883" s="16"/>
      <c r="N883" s="16"/>
      <c r="O883" s="16"/>
      <c r="P883" s="16"/>
      <c r="Q883" s="16"/>
      <c r="R883" s="16"/>
      <c r="S883" s="16">
        <v>18.0</v>
      </c>
      <c r="T883" s="16"/>
      <c r="U883" s="16" t="s">
        <v>3814</v>
      </c>
      <c r="V883" s="16" t="s">
        <v>3815</v>
      </c>
      <c r="W883" s="16" t="s">
        <v>491</v>
      </c>
    </row>
    <row r="884">
      <c r="A884" s="16">
        <v>12308.0</v>
      </c>
      <c r="B884" s="16" t="s">
        <v>3816</v>
      </c>
      <c r="C884" s="16">
        <v>1.68</v>
      </c>
      <c r="D884" s="174" t="s">
        <v>3817</v>
      </c>
      <c r="E884" s="16"/>
      <c r="F884" s="16">
        <v>505.0</v>
      </c>
      <c r="G884" s="16" t="s">
        <v>4656</v>
      </c>
      <c r="H884" s="16" t="s">
        <v>25</v>
      </c>
      <c r="I884" s="16" t="s">
        <v>26</v>
      </c>
      <c r="J884" s="16"/>
      <c r="K884" s="16"/>
      <c r="L884" s="16"/>
      <c r="M884" s="16"/>
      <c r="N884" s="16"/>
      <c r="O884" s="16"/>
      <c r="P884" s="16"/>
      <c r="Q884" s="16"/>
      <c r="R884" s="16"/>
      <c r="S884" s="16">
        <v>1.0</v>
      </c>
      <c r="T884" s="16"/>
      <c r="U884" s="16" t="s">
        <v>3819</v>
      </c>
      <c r="V884" s="16" t="s">
        <v>3820</v>
      </c>
      <c r="W884" s="16" t="s">
        <v>231</v>
      </c>
    </row>
    <row r="885">
      <c r="A885" s="16">
        <v>12309.0</v>
      </c>
      <c r="B885" s="16" t="s">
        <v>3821</v>
      </c>
      <c r="C885" s="16">
        <v>1.9</v>
      </c>
      <c r="D885" s="174" t="s">
        <v>3822</v>
      </c>
      <c r="E885" s="16"/>
      <c r="F885" s="16">
        <v>540.0</v>
      </c>
      <c r="G885" s="16" t="s">
        <v>1729</v>
      </c>
      <c r="H885" s="16" t="s">
        <v>24</v>
      </c>
      <c r="I885" s="16"/>
      <c r="J885" s="16"/>
      <c r="K885" s="16"/>
      <c r="L885" s="16"/>
      <c r="M885" s="16"/>
      <c r="N885" s="16"/>
      <c r="O885" s="16"/>
      <c r="P885" s="16"/>
      <c r="Q885" s="16"/>
      <c r="R885" s="16"/>
      <c r="S885" s="16">
        <v>14.0</v>
      </c>
      <c r="T885" s="16"/>
      <c r="U885" s="16" t="s">
        <v>3823</v>
      </c>
      <c r="V885" s="16" t="s">
        <v>3824</v>
      </c>
      <c r="W885" s="16" t="s">
        <v>473</v>
      </c>
    </row>
    <row r="886">
      <c r="A886" s="16">
        <v>12310.0</v>
      </c>
      <c r="B886" s="16" t="s">
        <v>3825</v>
      </c>
      <c r="C886" s="16">
        <v>0.88</v>
      </c>
      <c r="D886" s="174" t="s">
        <v>3826</v>
      </c>
      <c r="E886" s="16"/>
      <c r="F886" s="16">
        <v>538.0</v>
      </c>
      <c r="G886" s="16" t="s">
        <v>289</v>
      </c>
      <c r="H886" s="16" t="s">
        <v>25</v>
      </c>
      <c r="I886" s="16" t="s">
        <v>26</v>
      </c>
      <c r="J886" s="16"/>
      <c r="K886" s="16"/>
      <c r="L886" s="16"/>
      <c r="M886" s="16"/>
      <c r="N886" s="16"/>
      <c r="O886" s="16"/>
      <c r="P886" s="16"/>
      <c r="Q886" s="16"/>
      <c r="R886" s="16"/>
      <c r="S886" s="16">
        <v>4.0</v>
      </c>
      <c r="T886" s="16"/>
      <c r="U886" s="16" t="s">
        <v>3827</v>
      </c>
      <c r="V886" s="16" t="s">
        <v>3828</v>
      </c>
      <c r="W886" s="16" t="s">
        <v>491</v>
      </c>
    </row>
    <row r="887">
      <c r="A887" s="16">
        <v>12311.0</v>
      </c>
      <c r="B887" s="16" t="s">
        <v>3829</v>
      </c>
      <c r="C887" s="16">
        <v>0.0</v>
      </c>
      <c r="D887" s="174" t="s">
        <v>3830</v>
      </c>
      <c r="E887" s="16"/>
      <c r="F887" s="16">
        <v>498.0</v>
      </c>
      <c r="G887" s="16" t="s">
        <v>176</v>
      </c>
      <c r="H887" s="16" t="s">
        <v>25</v>
      </c>
      <c r="I887" s="16"/>
      <c r="J887" s="16"/>
      <c r="K887" s="16"/>
      <c r="L887" s="16"/>
      <c r="M887" s="16"/>
      <c r="N887" s="16"/>
      <c r="O887" s="16"/>
      <c r="P887" s="16"/>
      <c r="Q887" s="16"/>
      <c r="R887" s="16"/>
      <c r="S887" s="16">
        <v>9.0</v>
      </c>
      <c r="T887" s="16"/>
      <c r="U887" s="16" t="s">
        <v>3831</v>
      </c>
      <c r="V887" s="16" t="s">
        <v>3832</v>
      </c>
      <c r="W887" s="16" t="s">
        <v>199</v>
      </c>
    </row>
    <row r="888">
      <c r="A888" s="16">
        <v>12312.0</v>
      </c>
      <c r="B888" s="16" t="s">
        <v>3833</v>
      </c>
      <c r="C888" s="16">
        <v>1.02</v>
      </c>
      <c r="D888" s="174" t="s">
        <v>3834</v>
      </c>
      <c r="E888" s="16"/>
      <c r="F888" s="16">
        <v>498.0</v>
      </c>
      <c r="G888" s="16" t="s">
        <v>176</v>
      </c>
      <c r="H888" s="16" t="s">
        <v>24</v>
      </c>
      <c r="I888" s="16" t="s">
        <v>25</v>
      </c>
      <c r="J888" s="16" t="s">
        <v>26</v>
      </c>
      <c r="K888" s="16"/>
      <c r="L888" s="16"/>
      <c r="M888" s="16"/>
      <c r="N888" s="16"/>
      <c r="O888" s="16"/>
      <c r="P888" s="16"/>
      <c r="Q888" s="16"/>
      <c r="R888" s="16"/>
      <c r="S888" s="16">
        <v>-2.0</v>
      </c>
      <c r="T888" s="16"/>
      <c r="U888" s="16" t="s">
        <v>3835</v>
      </c>
      <c r="V888" s="16" t="s">
        <v>3836</v>
      </c>
      <c r="W888" s="16" t="s">
        <v>1412</v>
      </c>
    </row>
    <row r="889">
      <c r="A889" s="16">
        <v>12313.0</v>
      </c>
      <c r="B889" s="16" t="s">
        <v>3837</v>
      </c>
      <c r="C889" s="16">
        <v>0.0</v>
      </c>
      <c r="D889" s="174" t="s">
        <v>3838</v>
      </c>
      <c r="E889" s="16"/>
      <c r="F889" s="16">
        <v>523.0</v>
      </c>
      <c r="G889" s="16" t="s">
        <v>306</v>
      </c>
      <c r="H889" s="16" t="s">
        <v>25</v>
      </c>
      <c r="I889" s="16" t="s">
        <v>26</v>
      </c>
      <c r="J889" s="16"/>
      <c r="K889" s="16"/>
      <c r="L889" s="16"/>
      <c r="M889" s="16"/>
      <c r="N889" s="16"/>
      <c r="O889" s="16"/>
      <c r="P889" s="16"/>
      <c r="Q889" s="16"/>
      <c r="R889" s="16"/>
      <c r="S889" s="16">
        <v>1.0</v>
      </c>
      <c r="T889" s="16"/>
      <c r="U889" s="16" t="s">
        <v>3839</v>
      </c>
      <c r="V889" s="16" t="s">
        <v>3840</v>
      </c>
      <c r="W889" s="16" t="s">
        <v>179</v>
      </c>
    </row>
    <row r="890">
      <c r="A890" s="16">
        <v>12314.0</v>
      </c>
      <c r="B890" s="16" t="s">
        <v>3841</v>
      </c>
      <c r="C890" s="16">
        <v>1.16</v>
      </c>
      <c r="D890" s="174" t="s">
        <v>3842</v>
      </c>
      <c r="E890" s="16"/>
      <c r="F890" s="16">
        <v>519.0</v>
      </c>
      <c r="G890" s="16" t="s">
        <v>1452</v>
      </c>
      <c r="H890" s="16" t="s">
        <v>19</v>
      </c>
      <c r="I890" s="16" t="s">
        <v>17</v>
      </c>
      <c r="J890" s="16" t="s">
        <v>18</v>
      </c>
      <c r="K890" s="16" t="s">
        <v>15</v>
      </c>
      <c r="L890" s="16"/>
      <c r="M890" s="16"/>
      <c r="N890" s="16"/>
      <c r="O890" s="16"/>
      <c r="P890" s="16"/>
      <c r="Q890" s="16"/>
      <c r="R890" s="16"/>
      <c r="S890" s="16">
        <v>14.0</v>
      </c>
      <c r="T890" s="16"/>
      <c r="U890" s="16" t="s">
        <v>3843</v>
      </c>
      <c r="V890" s="16" t="s">
        <v>3844</v>
      </c>
      <c r="W890" s="16" t="s">
        <v>443</v>
      </c>
    </row>
    <row r="891">
      <c r="A891" s="16">
        <v>12315.0</v>
      </c>
      <c r="B891" s="16" t="s">
        <v>3845</v>
      </c>
      <c r="C891" s="16">
        <v>1.11</v>
      </c>
      <c r="D891" s="174" t="s">
        <v>3846</v>
      </c>
      <c r="E891" s="16"/>
      <c r="F891" s="16">
        <v>541.0</v>
      </c>
      <c r="G891" s="16" t="s">
        <v>387</v>
      </c>
      <c r="H891" s="16" t="s">
        <v>12</v>
      </c>
      <c r="I891" s="16" t="s">
        <v>13</v>
      </c>
      <c r="J891" s="16"/>
      <c r="K891" s="16"/>
      <c r="L891" s="16"/>
      <c r="M891" s="16"/>
      <c r="N891" s="16"/>
      <c r="O891" s="16"/>
      <c r="P891" s="16"/>
      <c r="Q891" s="16"/>
      <c r="R891" s="16"/>
      <c r="S891" s="16">
        <v>1.0</v>
      </c>
      <c r="T891" s="16"/>
      <c r="U891" s="16" t="s">
        <v>3847</v>
      </c>
      <c r="V891" s="16" t="s">
        <v>3848</v>
      </c>
      <c r="W891" s="16" t="s">
        <v>188</v>
      </c>
    </row>
    <row r="892">
      <c r="A892" s="16">
        <v>12316.0</v>
      </c>
      <c r="B892" s="16" t="s">
        <v>3849</v>
      </c>
      <c r="C892" s="16">
        <v>0.81</v>
      </c>
      <c r="D892" s="174" t="s">
        <v>3850</v>
      </c>
      <c r="E892" s="16"/>
      <c r="F892" s="16">
        <v>498.0</v>
      </c>
      <c r="G892" s="16" t="s">
        <v>176</v>
      </c>
      <c r="H892" s="16" t="s">
        <v>25</v>
      </c>
      <c r="I892" s="16"/>
      <c r="J892" s="16"/>
      <c r="K892" s="16"/>
      <c r="L892" s="16"/>
      <c r="M892" s="16"/>
      <c r="N892" s="16"/>
      <c r="O892" s="16"/>
      <c r="P892" s="16"/>
      <c r="Q892" s="16"/>
      <c r="R892" s="16"/>
      <c r="S892" s="16">
        <v>-2.0</v>
      </c>
      <c r="T892" s="16"/>
      <c r="U892" s="16" t="s">
        <v>3851</v>
      </c>
      <c r="V892" s="16" t="s">
        <v>3852</v>
      </c>
      <c r="W892" s="16" t="s">
        <v>591</v>
      </c>
    </row>
    <row r="893">
      <c r="A893" s="16">
        <v>12317.0</v>
      </c>
      <c r="B893" s="16" t="s">
        <v>3853</v>
      </c>
      <c r="C893" s="16">
        <v>0.92</v>
      </c>
      <c r="D893" s="174" t="s">
        <v>3854</v>
      </c>
      <c r="E893" s="16"/>
      <c r="F893" s="16">
        <v>531.0</v>
      </c>
      <c r="G893" s="16" t="s">
        <v>3232</v>
      </c>
      <c r="H893" s="16" t="s">
        <v>17</v>
      </c>
      <c r="I893" s="16" t="s">
        <v>18</v>
      </c>
      <c r="J893" s="16" t="s">
        <v>19</v>
      </c>
      <c r="K893" s="16"/>
      <c r="L893" s="16"/>
      <c r="M893" s="16"/>
      <c r="N893" s="16"/>
      <c r="O893" s="16"/>
      <c r="P893" s="16"/>
      <c r="Q893" s="16"/>
      <c r="R893" s="16"/>
      <c r="S893" s="16">
        <v>14.0</v>
      </c>
      <c r="T893" s="16"/>
      <c r="U893" s="16" t="s">
        <v>3855</v>
      </c>
      <c r="V893" s="16" t="s">
        <v>3856</v>
      </c>
      <c r="W893" s="16" t="s">
        <v>332</v>
      </c>
    </row>
    <row r="894">
      <c r="A894" s="16">
        <v>12318.0</v>
      </c>
      <c r="B894" s="16" t="s">
        <v>3857</v>
      </c>
      <c r="C894" s="16">
        <v>0.79</v>
      </c>
      <c r="D894" s="174" t="s">
        <v>3858</v>
      </c>
      <c r="E894" s="16"/>
      <c r="F894" s="16">
        <v>525.0</v>
      </c>
      <c r="G894" s="16" t="s">
        <v>672</v>
      </c>
      <c r="H894" s="16" t="s">
        <v>25</v>
      </c>
      <c r="I894" s="16" t="s">
        <v>26</v>
      </c>
      <c r="J894" s="16"/>
      <c r="K894" s="16"/>
      <c r="L894" s="16"/>
      <c r="M894" s="16"/>
      <c r="N894" s="16"/>
      <c r="O894" s="16"/>
      <c r="P894" s="16"/>
      <c r="Q894" s="16"/>
      <c r="R894" s="16"/>
      <c r="S894" s="16">
        <v>8.0</v>
      </c>
      <c r="T894" s="16"/>
      <c r="U894" s="16" t="s">
        <v>3859</v>
      </c>
      <c r="V894" s="16" t="s">
        <v>3860</v>
      </c>
      <c r="W894" s="16" t="s">
        <v>360</v>
      </c>
    </row>
    <row r="895">
      <c r="A895" s="16">
        <v>12319.0</v>
      </c>
      <c r="B895" s="16" t="s">
        <v>3861</v>
      </c>
      <c r="C895" s="16">
        <v>1.02</v>
      </c>
      <c r="D895" s="174" t="s">
        <v>3862</v>
      </c>
      <c r="E895" s="16"/>
      <c r="F895" s="16">
        <v>535.0</v>
      </c>
      <c r="G895" s="16" t="s">
        <v>361</v>
      </c>
      <c r="H895" s="16" t="s">
        <v>25</v>
      </c>
      <c r="I895" s="16"/>
      <c r="J895" s="16"/>
      <c r="K895" s="16"/>
      <c r="L895" s="16"/>
      <c r="M895" s="16"/>
      <c r="N895" s="16"/>
      <c r="O895" s="16"/>
      <c r="P895" s="16"/>
      <c r="Q895" s="16"/>
      <c r="R895" s="16"/>
      <c r="S895" s="16">
        <v>16.0</v>
      </c>
      <c r="T895" s="16"/>
      <c r="U895" s="16" t="s">
        <v>3863</v>
      </c>
      <c r="V895" s="16" t="s">
        <v>3864</v>
      </c>
      <c r="W895" s="16" t="s">
        <v>751</v>
      </c>
    </row>
    <row r="896">
      <c r="A896" s="16">
        <v>12320.0</v>
      </c>
      <c r="B896" s="16" t="s">
        <v>3865</v>
      </c>
      <c r="C896" s="16">
        <v>0.0</v>
      </c>
      <c r="D896" s="174" t="s">
        <v>3866</v>
      </c>
      <c r="E896" s="16"/>
      <c r="F896" s="16">
        <v>526.0</v>
      </c>
      <c r="G896" s="16" t="s">
        <v>212</v>
      </c>
      <c r="H896" s="16" t="s">
        <v>15</v>
      </c>
      <c r="I896" s="16" t="s">
        <v>14</v>
      </c>
      <c r="J896" s="16" t="s">
        <v>16</v>
      </c>
      <c r="K896" s="16" t="s">
        <v>17</v>
      </c>
      <c r="L896" s="16" t="s">
        <v>19</v>
      </c>
      <c r="M896" s="16"/>
      <c r="N896" s="16"/>
      <c r="O896" s="16"/>
      <c r="P896" s="16"/>
      <c r="Q896" s="16"/>
      <c r="R896" s="16"/>
      <c r="S896" s="16">
        <v>1.0</v>
      </c>
      <c r="T896" s="174" t="s">
        <v>4747</v>
      </c>
      <c r="U896" s="16" t="s">
        <v>3867</v>
      </c>
      <c r="V896" s="16" t="s">
        <v>3868</v>
      </c>
      <c r="W896" s="16" t="s">
        <v>491</v>
      </c>
    </row>
    <row r="897">
      <c r="A897" s="16">
        <v>12321.0</v>
      </c>
      <c r="B897" s="16" t="s">
        <v>3869</v>
      </c>
      <c r="C897" s="16">
        <v>1.49</v>
      </c>
      <c r="D897" s="174" t="s">
        <v>3870</v>
      </c>
      <c r="E897" s="16"/>
      <c r="F897" s="16">
        <v>498.0</v>
      </c>
      <c r="G897" s="16" t="s">
        <v>176</v>
      </c>
      <c r="H897" s="16" t="s">
        <v>25</v>
      </c>
      <c r="I897" s="16"/>
      <c r="J897" s="16"/>
      <c r="K897" s="16"/>
      <c r="L897" s="16"/>
      <c r="M897" s="16"/>
      <c r="N897" s="16"/>
      <c r="O897" s="16"/>
      <c r="P897" s="16"/>
      <c r="Q897" s="16"/>
      <c r="R897" s="16"/>
      <c r="S897" s="16">
        <v>4.0</v>
      </c>
      <c r="T897" s="16"/>
      <c r="U897" s="16" t="s">
        <v>3871</v>
      </c>
      <c r="V897" s="16" t="s">
        <v>3872</v>
      </c>
      <c r="W897" s="16" t="s">
        <v>422</v>
      </c>
    </row>
    <row r="898">
      <c r="A898" s="16">
        <v>12322.0</v>
      </c>
      <c r="B898" s="16" t="s">
        <v>3873</v>
      </c>
      <c r="C898" s="16">
        <v>0.17</v>
      </c>
      <c r="D898" s="174" t="s">
        <v>3874</v>
      </c>
      <c r="E898" s="16"/>
      <c r="F898" s="16">
        <v>546.0</v>
      </c>
      <c r="G898" s="16" t="s">
        <v>415</v>
      </c>
      <c r="H898" s="16" t="s">
        <v>25</v>
      </c>
      <c r="I898" s="16" t="s">
        <v>26</v>
      </c>
      <c r="J898" s="16"/>
      <c r="K898" s="16"/>
      <c r="L898" s="16"/>
      <c r="M898" s="16"/>
      <c r="N898" s="16"/>
      <c r="O898" s="16"/>
      <c r="P898" s="16"/>
      <c r="Q898" s="16"/>
      <c r="R898" s="16"/>
      <c r="S898" s="16">
        <v>12.0</v>
      </c>
      <c r="T898" s="16"/>
      <c r="U898" s="16" t="s">
        <v>3875</v>
      </c>
      <c r="V898" s="16" t="s">
        <v>3876</v>
      </c>
      <c r="W898" s="16" t="s">
        <v>179</v>
      </c>
    </row>
    <row r="899">
      <c r="A899" s="16">
        <v>12323.0</v>
      </c>
      <c r="B899" s="16" t="s">
        <v>3877</v>
      </c>
      <c r="C899" s="16">
        <v>2.83</v>
      </c>
      <c r="D899" s="174" t="s">
        <v>3878</v>
      </c>
      <c r="E899" s="16"/>
      <c r="F899" s="16">
        <v>498.0</v>
      </c>
      <c r="G899" s="16" t="s">
        <v>176</v>
      </c>
      <c r="H899" s="16" t="s">
        <v>25</v>
      </c>
      <c r="I899" s="16"/>
      <c r="J899" s="16"/>
      <c r="K899" s="16"/>
      <c r="L899" s="16"/>
      <c r="M899" s="16"/>
      <c r="N899" s="16"/>
      <c r="O899" s="16"/>
      <c r="P899" s="16"/>
      <c r="Q899" s="16"/>
      <c r="R899" s="16"/>
      <c r="S899" s="16">
        <v>-2.0</v>
      </c>
      <c r="T899" s="16"/>
      <c r="U899" s="16" t="s">
        <v>3879</v>
      </c>
      <c r="V899" s="16" t="s">
        <v>3880</v>
      </c>
      <c r="W899" s="16" t="s">
        <v>199</v>
      </c>
    </row>
    <row r="900">
      <c r="A900" s="16">
        <v>12324.0</v>
      </c>
      <c r="B900" s="16" t="s">
        <v>3881</v>
      </c>
      <c r="C900" s="16">
        <v>0.0</v>
      </c>
      <c r="D900" s="174" t="s">
        <v>3882</v>
      </c>
      <c r="E900" s="16"/>
      <c r="F900" s="16">
        <v>498.0</v>
      </c>
      <c r="G900" s="16" t="s">
        <v>176</v>
      </c>
      <c r="H900" s="16" t="s">
        <v>24</v>
      </c>
      <c r="I900" s="16" t="s">
        <v>25</v>
      </c>
      <c r="J900" s="16"/>
      <c r="K900" s="16"/>
      <c r="L900" s="16"/>
      <c r="M900" s="16"/>
      <c r="N900" s="16"/>
      <c r="O900" s="16"/>
      <c r="P900" s="16"/>
      <c r="Q900" s="16"/>
      <c r="R900" s="16"/>
      <c r="S900" s="16">
        <v>-2.0</v>
      </c>
      <c r="T900" s="16"/>
      <c r="U900" s="16" t="s">
        <v>3883</v>
      </c>
      <c r="V900" s="16" t="s">
        <v>3884</v>
      </c>
      <c r="W900" s="16" t="s">
        <v>332</v>
      </c>
    </row>
    <row r="901">
      <c r="A901" s="16">
        <v>12325.0</v>
      </c>
      <c r="B901" s="16" t="s">
        <v>3885</v>
      </c>
      <c r="C901" s="16">
        <v>0.0</v>
      </c>
      <c r="D901" s="174" t="s">
        <v>3886</v>
      </c>
      <c r="E901" s="16"/>
      <c r="F901" s="16">
        <v>498.0</v>
      </c>
      <c r="G901" s="16" t="s">
        <v>176</v>
      </c>
      <c r="H901" s="16" t="s">
        <v>19</v>
      </c>
      <c r="I901" s="16" t="s">
        <v>17</v>
      </c>
      <c r="J901" s="16"/>
      <c r="K901" s="16"/>
      <c r="L901" s="16"/>
      <c r="M901" s="16"/>
      <c r="N901" s="16"/>
      <c r="O901" s="16"/>
      <c r="P901" s="16"/>
      <c r="Q901" s="16"/>
      <c r="R901" s="16"/>
      <c r="S901" s="16">
        <v>-2.0</v>
      </c>
      <c r="T901" s="16"/>
      <c r="U901" s="16" t="s">
        <v>3887</v>
      </c>
      <c r="V901" s="16" t="s">
        <v>3888</v>
      </c>
      <c r="W901" s="16" t="s">
        <v>199</v>
      </c>
    </row>
    <row r="902">
      <c r="A902" s="16">
        <v>12326.0</v>
      </c>
      <c r="B902" s="16" t="s">
        <v>3889</v>
      </c>
      <c r="C902" s="16">
        <v>3.43</v>
      </c>
      <c r="D902" s="174" t="s">
        <v>3890</v>
      </c>
      <c r="E902" s="16"/>
      <c r="F902" s="16">
        <v>511.0</v>
      </c>
      <c r="G902" s="16" t="s">
        <v>245</v>
      </c>
      <c r="H902" s="16" t="s">
        <v>25</v>
      </c>
      <c r="I902" s="16"/>
      <c r="J902" s="16"/>
      <c r="K902" s="16"/>
      <c r="L902" s="16"/>
      <c r="M902" s="16"/>
      <c r="N902" s="16"/>
      <c r="O902" s="16"/>
      <c r="P902" s="16"/>
      <c r="Q902" s="16"/>
      <c r="R902" s="16" t="s">
        <v>4774</v>
      </c>
      <c r="S902" s="16">
        <v>15.0</v>
      </c>
      <c r="T902" s="16"/>
      <c r="U902" s="16" t="s">
        <v>3891</v>
      </c>
      <c r="V902" s="16" t="s">
        <v>3892</v>
      </c>
      <c r="W902" s="16" t="s">
        <v>199</v>
      </c>
    </row>
    <row r="903">
      <c r="A903" s="16">
        <v>12327.0</v>
      </c>
      <c r="B903" s="16" t="s">
        <v>3893</v>
      </c>
      <c r="C903" s="16">
        <v>0.54</v>
      </c>
      <c r="D903" s="174" t="s">
        <v>3894</v>
      </c>
      <c r="E903" s="16"/>
      <c r="F903" s="16">
        <v>507.0</v>
      </c>
      <c r="G903" s="16" t="s">
        <v>4748</v>
      </c>
      <c r="H903" s="16" t="s">
        <v>25</v>
      </c>
      <c r="I903" s="16"/>
      <c r="J903" s="16"/>
      <c r="K903" s="16"/>
      <c r="L903" s="16"/>
      <c r="M903" s="16"/>
      <c r="N903" s="16"/>
      <c r="O903" s="16"/>
      <c r="P903" s="16"/>
      <c r="Q903" s="16"/>
      <c r="R903" s="16"/>
      <c r="S903" s="16">
        <v>15.0</v>
      </c>
      <c r="T903" s="16"/>
      <c r="U903" s="16" t="s">
        <v>3895</v>
      </c>
      <c r="V903" s="16" t="s">
        <v>3896</v>
      </c>
      <c r="W903" s="16" t="s">
        <v>259</v>
      </c>
    </row>
    <row r="904">
      <c r="A904" s="16">
        <v>12328.0</v>
      </c>
      <c r="B904" s="16" t="s">
        <v>3897</v>
      </c>
      <c r="C904" s="16">
        <v>1.49</v>
      </c>
      <c r="D904" s="174" t="s">
        <v>3898</v>
      </c>
      <c r="E904" s="16"/>
      <c r="F904" s="16">
        <v>522.0</v>
      </c>
      <c r="G904" s="16" t="s">
        <v>686</v>
      </c>
      <c r="H904" s="16" t="s">
        <v>24</v>
      </c>
      <c r="I904" s="16"/>
      <c r="J904" s="16"/>
      <c r="K904" s="16"/>
      <c r="L904" s="16"/>
      <c r="M904" s="16"/>
      <c r="N904" s="16"/>
      <c r="O904" s="16"/>
      <c r="P904" s="16"/>
      <c r="Q904" s="16"/>
      <c r="R904" s="16"/>
      <c r="S904" s="16">
        <v>9.0</v>
      </c>
      <c r="T904" s="16"/>
      <c r="U904" s="16" t="s">
        <v>3899</v>
      </c>
      <c r="V904" s="16" t="s">
        <v>3900</v>
      </c>
      <c r="W904" s="16" t="s">
        <v>231</v>
      </c>
    </row>
    <row r="905">
      <c r="A905" s="16">
        <v>12329.0</v>
      </c>
      <c r="B905" s="16" t="s">
        <v>3901</v>
      </c>
      <c r="C905" s="16">
        <v>1.43</v>
      </c>
      <c r="D905" s="174" t="s">
        <v>3902</v>
      </c>
      <c r="E905" s="16"/>
      <c r="F905" s="16">
        <v>510.0</v>
      </c>
      <c r="G905" s="16" t="s">
        <v>4782</v>
      </c>
      <c r="H905" s="16" t="s">
        <v>12</v>
      </c>
      <c r="I905" s="16"/>
      <c r="J905" s="16"/>
      <c r="K905" s="16"/>
      <c r="L905" s="16"/>
      <c r="M905" s="16"/>
      <c r="N905" s="16"/>
      <c r="O905" s="16"/>
      <c r="P905" s="16"/>
      <c r="Q905" s="16"/>
      <c r="R905" s="16"/>
      <c r="S905" s="16">
        <v>15.0</v>
      </c>
      <c r="T905" s="16"/>
      <c r="U905" s="16" t="s">
        <v>3903</v>
      </c>
      <c r="V905" s="16" t="s">
        <v>3904</v>
      </c>
      <c r="W905" s="16" t="s">
        <v>942</v>
      </c>
    </row>
    <row r="906">
      <c r="A906" s="16">
        <v>12330.0</v>
      </c>
      <c r="B906" s="16" t="s">
        <v>3905</v>
      </c>
      <c r="C906" s="16">
        <v>0.44</v>
      </c>
      <c r="D906" s="174" t="s">
        <v>3906</v>
      </c>
      <c r="E906" s="16"/>
      <c r="F906" s="16">
        <v>520.0</v>
      </c>
      <c r="G906" s="16" t="s">
        <v>292</v>
      </c>
      <c r="H906" s="16" t="s">
        <v>25</v>
      </c>
      <c r="I906" s="16"/>
      <c r="J906" s="16"/>
      <c r="K906" s="16"/>
      <c r="L906" s="16"/>
      <c r="M906" s="16"/>
      <c r="N906" s="16"/>
      <c r="O906" s="16"/>
      <c r="P906" s="16"/>
      <c r="Q906" s="16"/>
      <c r="R906" s="16"/>
      <c r="S906" s="16">
        <v>16.0</v>
      </c>
      <c r="T906" s="16"/>
      <c r="U906" s="16" t="s">
        <v>3907</v>
      </c>
      <c r="V906" s="16" t="s">
        <v>3908</v>
      </c>
      <c r="W906" s="16" t="s">
        <v>591</v>
      </c>
    </row>
    <row r="907">
      <c r="A907" s="16">
        <v>12331.0</v>
      </c>
      <c r="B907" s="16" t="s">
        <v>3909</v>
      </c>
      <c r="C907" s="16">
        <v>1.74</v>
      </c>
      <c r="D907" s="174" t="s">
        <v>3910</v>
      </c>
      <c r="E907" s="16"/>
      <c r="F907" s="16">
        <v>505.0</v>
      </c>
      <c r="G907" s="16" t="s">
        <v>4656</v>
      </c>
      <c r="H907" s="16" t="s">
        <v>19</v>
      </c>
      <c r="I907" s="16" t="s">
        <v>17</v>
      </c>
      <c r="J907" s="16"/>
      <c r="K907" s="16"/>
      <c r="L907" s="16"/>
      <c r="M907" s="16"/>
      <c r="N907" s="16"/>
      <c r="O907" s="16"/>
      <c r="P907" s="16"/>
      <c r="Q907" s="16"/>
      <c r="R907" s="16"/>
      <c r="S907" s="16">
        <v>17.0</v>
      </c>
      <c r="T907" s="16"/>
      <c r="U907" s="16" t="s">
        <v>3911</v>
      </c>
      <c r="V907" s="16" t="s">
        <v>3912</v>
      </c>
      <c r="W907" s="16" t="s">
        <v>491</v>
      </c>
    </row>
    <row r="908">
      <c r="A908" s="16">
        <v>12332.0</v>
      </c>
      <c r="B908" s="16" t="s">
        <v>3913</v>
      </c>
      <c r="C908" s="16">
        <v>0.08</v>
      </c>
      <c r="D908" s="174" t="s">
        <v>3914</v>
      </c>
      <c r="E908" s="16"/>
      <c r="F908" s="16">
        <v>498.0</v>
      </c>
      <c r="G908" s="16" t="s">
        <v>176</v>
      </c>
      <c r="H908" s="16" t="s">
        <v>25</v>
      </c>
      <c r="I908" s="16" t="s">
        <v>26</v>
      </c>
      <c r="J908" s="16"/>
      <c r="K908" s="16"/>
      <c r="L908" s="16"/>
      <c r="M908" s="16"/>
      <c r="N908" s="16"/>
      <c r="O908" s="16"/>
      <c r="P908" s="16"/>
      <c r="Q908" s="16"/>
      <c r="R908" s="16"/>
      <c r="S908" s="16">
        <v>16.0</v>
      </c>
      <c r="T908" s="16"/>
      <c r="U908" s="16" t="s">
        <v>3915</v>
      </c>
      <c r="V908" s="16" t="s">
        <v>3916</v>
      </c>
      <c r="W908" s="16" t="s">
        <v>179</v>
      </c>
    </row>
    <row r="909">
      <c r="A909" s="16">
        <v>12333.0</v>
      </c>
      <c r="B909" s="16" t="s">
        <v>3917</v>
      </c>
      <c r="C909" s="16">
        <v>0.0</v>
      </c>
      <c r="D909" s="174" t="s">
        <v>3918</v>
      </c>
      <c r="E909" s="16"/>
      <c r="F909" s="16">
        <v>498.0</v>
      </c>
      <c r="G909" s="16" t="s">
        <v>176</v>
      </c>
      <c r="H909" s="16" t="s">
        <v>17</v>
      </c>
      <c r="I909" s="16" t="s">
        <v>13</v>
      </c>
      <c r="J909" s="16" t="s">
        <v>19</v>
      </c>
      <c r="K909" s="16"/>
      <c r="L909" s="16"/>
      <c r="M909" s="16"/>
      <c r="N909" s="16"/>
      <c r="O909" s="16"/>
      <c r="P909" s="16"/>
      <c r="Q909" s="16"/>
      <c r="R909" s="16"/>
      <c r="S909" s="16">
        <v>-2.0</v>
      </c>
      <c r="T909" s="16"/>
      <c r="U909" s="16" t="s">
        <v>3919</v>
      </c>
      <c r="V909" s="16" t="s">
        <v>3920</v>
      </c>
      <c r="W909" s="16" t="s">
        <v>491</v>
      </c>
    </row>
    <row r="910">
      <c r="A910" s="16">
        <v>12334.0</v>
      </c>
      <c r="B910" s="16" t="s">
        <v>3921</v>
      </c>
      <c r="C910" s="16">
        <v>2.31</v>
      </c>
      <c r="D910" s="174" t="s">
        <v>3922</v>
      </c>
      <c r="E910" s="16"/>
      <c r="F910" s="16">
        <v>526.0</v>
      </c>
      <c r="G910" s="16" t="s">
        <v>212</v>
      </c>
      <c r="H910" s="16" t="s">
        <v>24</v>
      </c>
      <c r="I910" s="16"/>
      <c r="J910" s="16"/>
      <c r="K910" s="16"/>
      <c r="L910" s="16"/>
      <c r="M910" s="16"/>
      <c r="N910" s="16"/>
      <c r="O910" s="16"/>
      <c r="P910" s="16"/>
      <c r="Q910" s="16"/>
      <c r="R910" s="16"/>
      <c r="S910" s="16">
        <v>1.0</v>
      </c>
      <c r="T910" s="174" t="s">
        <v>4747</v>
      </c>
      <c r="U910" s="16" t="s">
        <v>3923</v>
      </c>
      <c r="V910" s="16" t="s">
        <v>3924</v>
      </c>
      <c r="W910" s="16" t="s">
        <v>231</v>
      </c>
    </row>
    <row r="911">
      <c r="A911" s="16">
        <v>12335.0</v>
      </c>
      <c r="B911" s="16" t="s">
        <v>3925</v>
      </c>
      <c r="C911" s="16">
        <v>0.55</v>
      </c>
      <c r="D911" s="174" t="s">
        <v>3926</v>
      </c>
      <c r="E911" s="16"/>
      <c r="F911" s="16">
        <v>543.0</v>
      </c>
      <c r="G911" s="16" t="s">
        <v>1175</v>
      </c>
      <c r="H911" s="16" t="s">
        <v>25</v>
      </c>
      <c r="I911" s="16" t="s">
        <v>26</v>
      </c>
      <c r="J911" s="16"/>
      <c r="K911" s="16"/>
      <c r="L911" s="16"/>
      <c r="M911" s="16"/>
      <c r="N911" s="16"/>
      <c r="O911" s="16"/>
      <c r="P911" s="16"/>
      <c r="Q911" s="16"/>
      <c r="R911" s="16"/>
      <c r="S911" s="16">
        <v>15.0</v>
      </c>
      <c r="T911" s="16"/>
      <c r="U911" s="16" t="s">
        <v>3927</v>
      </c>
      <c r="V911" s="16" t="s">
        <v>3928</v>
      </c>
      <c r="W911" s="16" t="s">
        <v>332</v>
      </c>
    </row>
    <row r="912">
      <c r="A912" s="16">
        <v>12336.0</v>
      </c>
      <c r="B912" s="16" t="s">
        <v>3929</v>
      </c>
      <c r="C912" s="16">
        <v>1.99</v>
      </c>
      <c r="D912" s="174" t="s">
        <v>3930</v>
      </c>
      <c r="E912" s="16"/>
      <c r="F912" s="16">
        <v>534.0</v>
      </c>
      <c r="G912" s="16" t="s">
        <v>1170</v>
      </c>
      <c r="H912" s="16" t="s">
        <v>24</v>
      </c>
      <c r="I912" s="16"/>
      <c r="J912" s="16"/>
      <c r="K912" s="16"/>
      <c r="L912" s="16"/>
      <c r="M912" s="16"/>
      <c r="N912" s="16"/>
      <c r="O912" s="16"/>
      <c r="P912" s="16"/>
      <c r="Q912" s="16"/>
      <c r="R912" s="16"/>
      <c r="S912" s="16">
        <v>15.0</v>
      </c>
      <c r="T912" s="16"/>
      <c r="U912" s="16" t="s">
        <v>3931</v>
      </c>
      <c r="V912" s="16" t="s">
        <v>3932</v>
      </c>
      <c r="W912" s="16" t="s">
        <v>634</v>
      </c>
    </row>
    <row r="913">
      <c r="A913" s="16">
        <v>12337.0</v>
      </c>
      <c r="B913" s="16" t="s">
        <v>3933</v>
      </c>
      <c r="C913" s="16">
        <v>0.0</v>
      </c>
      <c r="D913" s="174" t="s">
        <v>3934</v>
      </c>
      <c r="E913" s="16"/>
      <c r="F913" s="16">
        <v>498.0</v>
      </c>
      <c r="G913" s="16" t="s">
        <v>176</v>
      </c>
      <c r="H913" s="16" t="s">
        <v>24</v>
      </c>
      <c r="I913" s="16" t="s">
        <v>25</v>
      </c>
      <c r="J913" s="16" t="s">
        <v>26</v>
      </c>
      <c r="K913" s="16"/>
      <c r="L913" s="16"/>
      <c r="M913" s="16"/>
      <c r="N913" s="16"/>
      <c r="O913" s="16"/>
      <c r="P913" s="16"/>
      <c r="Q913" s="16"/>
      <c r="R913" s="16"/>
      <c r="S913" s="16">
        <v>-2.0</v>
      </c>
      <c r="T913" s="16"/>
      <c r="U913" s="16" t="s">
        <v>3935</v>
      </c>
      <c r="V913" s="16" t="s">
        <v>3936</v>
      </c>
      <c r="W913" s="16" t="s">
        <v>491</v>
      </c>
    </row>
    <row r="914">
      <c r="A914" s="16">
        <v>12338.0</v>
      </c>
      <c r="B914" s="16" t="s">
        <v>3937</v>
      </c>
      <c r="C914" s="16">
        <v>0.0</v>
      </c>
      <c r="D914" s="174" t="s">
        <v>3938</v>
      </c>
      <c r="E914" s="16"/>
      <c r="F914" s="16">
        <v>525.0</v>
      </c>
      <c r="G914" s="16" t="s">
        <v>672</v>
      </c>
      <c r="H914" s="16" t="s">
        <v>24</v>
      </c>
      <c r="I914" s="16" t="s">
        <v>25</v>
      </c>
      <c r="J914" s="16" t="s">
        <v>26</v>
      </c>
      <c r="K914" s="16"/>
      <c r="L914" s="16"/>
      <c r="M914" s="16"/>
      <c r="N914" s="16"/>
      <c r="O914" s="16"/>
      <c r="P914" s="16"/>
      <c r="Q914" s="16"/>
      <c r="R914" s="16"/>
      <c r="S914" s="16">
        <v>8.0</v>
      </c>
      <c r="T914" s="16"/>
      <c r="U914" s="16" t="s">
        <v>3939</v>
      </c>
      <c r="V914" s="16" t="s">
        <v>3940</v>
      </c>
      <c r="W914" s="16" t="s">
        <v>478</v>
      </c>
    </row>
    <row r="915">
      <c r="A915" s="16">
        <v>12339.0</v>
      </c>
      <c r="B915" s="16" t="s">
        <v>3941</v>
      </c>
      <c r="C915" s="16">
        <v>1.57</v>
      </c>
      <c r="D915" s="174" t="s">
        <v>3942</v>
      </c>
      <c r="E915" s="16"/>
      <c r="F915" s="16">
        <v>500.0</v>
      </c>
      <c r="G915" s="16" t="s">
        <v>120</v>
      </c>
      <c r="H915" s="16" t="s">
        <v>12</v>
      </c>
      <c r="I915" s="16"/>
      <c r="J915" s="16"/>
      <c r="K915" s="16"/>
      <c r="L915" s="16"/>
      <c r="M915" s="16"/>
      <c r="N915" s="16"/>
      <c r="O915" s="16"/>
      <c r="P915" s="16"/>
      <c r="Q915" s="16"/>
      <c r="R915" s="16"/>
      <c r="S915" s="16">
        <v>13.0</v>
      </c>
      <c r="T915" s="16"/>
      <c r="U915" s="16" t="s">
        <v>3943</v>
      </c>
      <c r="V915" s="16" t="s">
        <v>3944</v>
      </c>
      <c r="W915" s="16" t="s">
        <v>443</v>
      </c>
    </row>
    <row r="916">
      <c r="A916" s="16">
        <v>12340.0</v>
      </c>
      <c r="B916" s="16" t="s">
        <v>3945</v>
      </c>
      <c r="C916" s="16">
        <v>0.0</v>
      </c>
      <c r="D916" s="174" t="s">
        <v>3946</v>
      </c>
      <c r="E916" s="16"/>
      <c r="F916" s="16">
        <v>535.0</v>
      </c>
      <c r="G916" s="16" t="s">
        <v>361</v>
      </c>
      <c r="H916" s="16" t="s">
        <v>25</v>
      </c>
      <c r="I916" s="16" t="s">
        <v>26</v>
      </c>
      <c r="J916" s="16"/>
      <c r="K916" s="16"/>
      <c r="L916" s="16"/>
      <c r="M916" s="16"/>
      <c r="N916" s="16"/>
      <c r="O916" s="16"/>
      <c r="P916" s="16"/>
      <c r="Q916" s="16"/>
      <c r="R916" s="16"/>
      <c r="S916" s="16">
        <v>7.0</v>
      </c>
      <c r="T916" s="16"/>
      <c r="U916" s="16" t="s">
        <v>3947</v>
      </c>
      <c r="V916" s="16" t="s">
        <v>3948</v>
      </c>
      <c r="W916" s="16" t="s">
        <v>259</v>
      </c>
    </row>
    <row r="917">
      <c r="A917" s="16">
        <v>12341.0</v>
      </c>
      <c r="B917" s="16" t="s">
        <v>3949</v>
      </c>
      <c r="C917" s="16">
        <v>3.65</v>
      </c>
      <c r="D917" s="174" t="s">
        <v>3950</v>
      </c>
      <c r="E917" s="16"/>
      <c r="F917" s="16">
        <v>535.0</v>
      </c>
      <c r="G917" s="16" t="s">
        <v>361</v>
      </c>
      <c r="H917" s="16" t="s">
        <v>51</v>
      </c>
      <c r="I917" s="16"/>
      <c r="J917" s="16"/>
      <c r="K917" s="16"/>
      <c r="L917" s="16"/>
      <c r="M917" s="16"/>
      <c r="N917" s="16"/>
      <c r="O917" s="16"/>
      <c r="P917" s="16"/>
      <c r="Q917" s="16"/>
      <c r="R917" s="16"/>
      <c r="S917" s="16">
        <v>1.0</v>
      </c>
      <c r="T917" s="16"/>
      <c r="U917" s="16" t="s">
        <v>3952</v>
      </c>
      <c r="V917" s="16" t="s">
        <v>3953</v>
      </c>
      <c r="W917" s="16" t="s">
        <v>188</v>
      </c>
    </row>
    <row r="918">
      <c r="A918" s="16">
        <v>12342.0</v>
      </c>
      <c r="B918" s="16" t="s">
        <v>3954</v>
      </c>
      <c r="C918" s="16">
        <v>1.56</v>
      </c>
      <c r="D918" s="174" t="s">
        <v>3955</v>
      </c>
      <c r="E918" s="16"/>
      <c r="F918" s="16">
        <v>541.0</v>
      </c>
      <c r="G918" s="16" t="s">
        <v>387</v>
      </c>
      <c r="H918" s="16" t="s">
        <v>24</v>
      </c>
      <c r="I918" s="16"/>
      <c r="J918" s="16"/>
      <c r="K918" s="16"/>
      <c r="L918" s="16"/>
      <c r="M918" s="16"/>
      <c r="N918" s="16"/>
      <c r="O918" s="16"/>
      <c r="P918" s="16"/>
      <c r="Q918" s="16"/>
      <c r="R918" s="16"/>
      <c r="S918" s="16">
        <v>17.0</v>
      </c>
      <c r="T918" s="16"/>
      <c r="U918" s="16" t="s">
        <v>3956</v>
      </c>
      <c r="V918" s="16" t="s">
        <v>3957</v>
      </c>
      <c r="W918" s="16" t="s">
        <v>188</v>
      </c>
    </row>
    <row r="919">
      <c r="A919" s="16">
        <v>12343.0</v>
      </c>
      <c r="B919" s="16" t="s">
        <v>3958</v>
      </c>
      <c r="C919" s="16">
        <v>1.12</v>
      </c>
      <c r="D919" s="174" t="s">
        <v>3959</v>
      </c>
      <c r="E919" s="16"/>
      <c r="F919" s="16">
        <v>508.0</v>
      </c>
      <c r="G919" s="16" t="s">
        <v>4754</v>
      </c>
      <c r="H919" s="16" t="s">
        <v>24</v>
      </c>
      <c r="I919" s="16"/>
      <c r="J919" s="16"/>
      <c r="K919" s="16"/>
      <c r="L919" s="16"/>
      <c r="M919" s="16"/>
      <c r="N919" s="16"/>
      <c r="O919" s="16"/>
      <c r="P919" s="16"/>
      <c r="Q919" s="16"/>
      <c r="R919" s="16"/>
      <c r="S919" s="16">
        <v>16.0</v>
      </c>
      <c r="T919" s="16"/>
      <c r="U919" s="16" t="s">
        <v>3961</v>
      </c>
      <c r="V919" s="16" t="s">
        <v>3962</v>
      </c>
      <c r="W919" s="16" t="s">
        <v>188</v>
      </c>
    </row>
    <row r="920">
      <c r="A920" s="16">
        <v>12344.0</v>
      </c>
      <c r="B920" s="16" t="s">
        <v>3963</v>
      </c>
      <c r="C920" s="16">
        <v>0.0</v>
      </c>
      <c r="D920" s="174" t="s">
        <v>3964</v>
      </c>
      <c r="E920" s="16"/>
      <c r="F920" s="16">
        <v>498.0</v>
      </c>
      <c r="G920" s="16" t="s">
        <v>176</v>
      </c>
      <c r="H920" s="16" t="s">
        <v>24</v>
      </c>
      <c r="I920" s="16" t="s">
        <v>25</v>
      </c>
      <c r="J920" s="16"/>
      <c r="K920" s="16"/>
      <c r="L920" s="16"/>
      <c r="M920" s="16"/>
      <c r="N920" s="16"/>
      <c r="O920" s="16"/>
      <c r="P920" s="16"/>
      <c r="Q920" s="16"/>
      <c r="R920" s="16"/>
      <c r="S920" s="16">
        <v>13.0</v>
      </c>
      <c r="T920" s="16"/>
      <c r="U920" s="16" t="s">
        <v>3965</v>
      </c>
      <c r="V920" s="16" t="s">
        <v>3966</v>
      </c>
      <c r="W920" s="16" t="s">
        <v>459</v>
      </c>
    </row>
    <row r="921">
      <c r="A921" s="16">
        <v>12345.0</v>
      </c>
      <c r="B921" s="16" t="s">
        <v>3967</v>
      </c>
      <c r="C921" s="16">
        <v>0.0</v>
      </c>
      <c r="D921" s="174" t="s">
        <v>3968</v>
      </c>
      <c r="E921" s="16"/>
      <c r="F921" s="16">
        <v>498.0</v>
      </c>
      <c r="G921" s="16" t="s">
        <v>176</v>
      </c>
      <c r="H921" s="16" t="s">
        <v>24</v>
      </c>
      <c r="I921" s="16" t="s">
        <v>25</v>
      </c>
      <c r="J921" s="16"/>
      <c r="K921" s="16"/>
      <c r="L921" s="16"/>
      <c r="M921" s="16"/>
      <c r="N921" s="16"/>
      <c r="O921" s="16"/>
      <c r="P921" s="16"/>
      <c r="Q921" s="16"/>
      <c r="R921" s="16"/>
      <c r="S921" s="16">
        <v>-2.0</v>
      </c>
      <c r="T921" s="16"/>
      <c r="U921" s="16" t="s">
        <v>3969</v>
      </c>
      <c r="V921" s="16" t="s">
        <v>3970</v>
      </c>
      <c r="W921" s="16" t="s">
        <v>360</v>
      </c>
    </row>
    <row r="922">
      <c r="A922" s="16">
        <v>12346.0</v>
      </c>
      <c r="B922" s="16" t="s">
        <v>3971</v>
      </c>
      <c r="C922" s="16">
        <v>0.97</v>
      </c>
      <c r="D922" s="174" t="s">
        <v>3972</v>
      </c>
      <c r="E922" s="16"/>
      <c r="F922" s="16">
        <v>502.0</v>
      </c>
      <c r="G922" s="16" t="s">
        <v>200</v>
      </c>
      <c r="H922" s="16" t="s">
        <v>24</v>
      </c>
      <c r="I922" s="16"/>
      <c r="J922" s="16"/>
      <c r="K922" s="16"/>
      <c r="L922" s="16"/>
      <c r="M922" s="16"/>
      <c r="N922" s="16"/>
      <c r="O922" s="16"/>
      <c r="P922" s="16"/>
      <c r="Q922" s="16"/>
      <c r="R922" s="16"/>
      <c r="S922" s="16">
        <v>1.0</v>
      </c>
      <c r="T922" s="16"/>
      <c r="U922" s="16" t="s">
        <v>3973</v>
      </c>
      <c r="V922" s="16" t="s">
        <v>3974</v>
      </c>
      <c r="W922" s="16" t="s">
        <v>188</v>
      </c>
    </row>
    <row r="923">
      <c r="A923" s="16">
        <v>12347.0</v>
      </c>
      <c r="B923" s="16" t="s">
        <v>3975</v>
      </c>
      <c r="C923" s="16">
        <v>0.16</v>
      </c>
      <c r="D923" s="174" t="s">
        <v>3976</v>
      </c>
      <c r="E923" s="16"/>
      <c r="F923" s="16">
        <v>498.0</v>
      </c>
      <c r="G923" s="16" t="s">
        <v>176</v>
      </c>
      <c r="H923" s="16" t="s">
        <v>24</v>
      </c>
      <c r="I923" s="16"/>
      <c r="J923" s="16"/>
      <c r="K923" s="16"/>
      <c r="L923" s="16"/>
      <c r="M923" s="16"/>
      <c r="N923" s="16"/>
      <c r="O923" s="16"/>
      <c r="P923" s="16"/>
      <c r="Q923" s="16"/>
      <c r="R923" s="16"/>
      <c r="S923" s="16">
        <v>-2.0</v>
      </c>
      <c r="T923" s="16"/>
      <c r="U923" s="16" t="s">
        <v>3977</v>
      </c>
      <c r="V923" s="16" t="s">
        <v>3978</v>
      </c>
      <c r="W923" s="16" t="s">
        <v>188</v>
      </c>
    </row>
    <row r="924">
      <c r="A924" s="16">
        <v>12348.0</v>
      </c>
      <c r="B924" s="16" t="s">
        <v>3979</v>
      </c>
      <c r="C924" s="16">
        <v>0.89</v>
      </c>
      <c r="D924" s="174" t="s">
        <v>3980</v>
      </c>
      <c r="E924" s="16"/>
      <c r="F924" s="16">
        <v>542.0</v>
      </c>
      <c r="G924" s="16" t="s">
        <v>535</v>
      </c>
      <c r="H924" s="16" t="s">
        <v>24</v>
      </c>
      <c r="I924" s="16" t="s">
        <v>25</v>
      </c>
      <c r="J924" s="16" t="s">
        <v>26</v>
      </c>
      <c r="K924" s="16"/>
      <c r="L924" s="16"/>
      <c r="M924" s="16"/>
      <c r="N924" s="16"/>
      <c r="O924" s="16"/>
      <c r="P924" s="16"/>
      <c r="Q924" s="16"/>
      <c r="R924" s="16"/>
      <c r="S924" s="16">
        <v>17.0</v>
      </c>
      <c r="T924" s="16"/>
      <c r="U924" s="16" t="s">
        <v>3981</v>
      </c>
      <c r="V924" s="16" t="s">
        <v>3982</v>
      </c>
      <c r="W924" s="16" t="s">
        <v>332</v>
      </c>
    </row>
    <row r="925">
      <c r="A925" s="16">
        <v>12349.0</v>
      </c>
      <c r="B925" s="16" t="s">
        <v>3983</v>
      </c>
      <c r="C925" s="16">
        <v>0.91</v>
      </c>
      <c r="D925" s="174" t="s">
        <v>3984</v>
      </c>
      <c r="E925" s="16"/>
      <c r="F925" s="16">
        <v>538.0</v>
      </c>
      <c r="G925" s="16" t="s">
        <v>289</v>
      </c>
      <c r="H925" s="16" t="s">
        <v>14</v>
      </c>
      <c r="I925" s="16" t="s">
        <v>13</v>
      </c>
      <c r="J925" s="16"/>
      <c r="K925" s="16"/>
      <c r="L925" s="16"/>
      <c r="M925" s="16"/>
      <c r="N925" s="16"/>
      <c r="O925" s="16"/>
      <c r="P925" s="16"/>
      <c r="Q925" s="16"/>
      <c r="R925" s="16"/>
      <c r="S925" s="16">
        <v>1.0</v>
      </c>
      <c r="T925" s="16"/>
      <c r="U925" s="16" t="s">
        <v>3985</v>
      </c>
      <c r="V925" s="16" t="s">
        <v>3986</v>
      </c>
      <c r="W925" s="16" t="s">
        <v>179</v>
      </c>
    </row>
    <row r="926">
      <c r="A926" s="16">
        <v>12350.0</v>
      </c>
      <c r="B926" s="16" t="s">
        <v>3987</v>
      </c>
      <c r="C926" s="16">
        <v>1.96</v>
      </c>
      <c r="D926" s="174" t="s">
        <v>3988</v>
      </c>
      <c r="E926" s="16"/>
      <c r="F926" s="16">
        <v>513.0</v>
      </c>
      <c r="G926" s="16" t="s">
        <v>1381</v>
      </c>
      <c r="H926" s="16" t="s">
        <v>24</v>
      </c>
      <c r="I926" s="16"/>
      <c r="J926" s="16"/>
      <c r="K926" s="16"/>
      <c r="L926" s="16"/>
      <c r="M926" s="16"/>
      <c r="N926" s="16"/>
      <c r="O926" s="16"/>
      <c r="P926" s="16"/>
      <c r="Q926" s="16"/>
      <c r="R926" s="16"/>
      <c r="S926" s="16">
        <v>15.0</v>
      </c>
      <c r="T926" s="16"/>
      <c r="U926" s="16" t="s">
        <v>3989</v>
      </c>
      <c r="V926" s="16" t="s">
        <v>3990</v>
      </c>
      <c r="W926" s="16" t="s">
        <v>491</v>
      </c>
    </row>
    <row r="927">
      <c r="A927" s="16">
        <v>12351.0</v>
      </c>
      <c r="B927" s="16" t="s">
        <v>3991</v>
      </c>
      <c r="C927" s="16">
        <v>0.66</v>
      </c>
      <c r="D927" s="174" t="s">
        <v>3992</v>
      </c>
      <c r="E927" s="16"/>
      <c r="F927" s="16">
        <v>511.0</v>
      </c>
      <c r="G927" s="16" t="s">
        <v>245</v>
      </c>
      <c r="H927" s="16" t="s">
        <v>17</v>
      </c>
      <c r="I927" s="16" t="s">
        <v>13</v>
      </c>
      <c r="J927" s="16" t="s">
        <v>14</v>
      </c>
      <c r="K927" s="16" t="s">
        <v>19</v>
      </c>
      <c r="L927" s="16" t="s">
        <v>16</v>
      </c>
      <c r="M927" s="16"/>
      <c r="N927" s="16"/>
      <c r="O927" s="16"/>
      <c r="P927" s="16"/>
      <c r="Q927" s="16"/>
      <c r="R927" s="16"/>
      <c r="S927" s="16">
        <v>17.0</v>
      </c>
      <c r="T927" s="16"/>
      <c r="U927" s="16" t="s">
        <v>3993</v>
      </c>
      <c r="V927" s="16" t="s">
        <v>3994</v>
      </c>
      <c r="W927" s="16" t="s">
        <v>188</v>
      </c>
    </row>
    <row r="928">
      <c r="A928" s="16">
        <v>12352.0</v>
      </c>
      <c r="B928" s="16" t="s">
        <v>3995</v>
      </c>
      <c r="C928" s="16">
        <v>0.23</v>
      </c>
      <c r="D928" s="174" t="s">
        <v>3996</v>
      </c>
      <c r="E928" s="16"/>
      <c r="F928" s="16">
        <v>498.0</v>
      </c>
      <c r="G928" s="16" t="s">
        <v>176</v>
      </c>
      <c r="H928" s="16" t="s">
        <v>13</v>
      </c>
      <c r="I928" s="16"/>
      <c r="J928" s="16"/>
      <c r="K928" s="16"/>
      <c r="L928" s="16"/>
      <c r="M928" s="16"/>
      <c r="N928" s="16"/>
      <c r="O928" s="16"/>
      <c r="P928" s="16"/>
      <c r="Q928" s="16"/>
      <c r="R928" s="16"/>
      <c r="S928" s="16">
        <v>-2.0</v>
      </c>
      <c r="T928" s="16"/>
      <c r="U928" s="16" t="s">
        <v>3997</v>
      </c>
      <c r="V928" s="16" t="s">
        <v>3998</v>
      </c>
      <c r="W928" s="16" t="s">
        <v>179</v>
      </c>
    </row>
    <row r="929">
      <c r="A929" s="16">
        <v>12353.0</v>
      </c>
      <c r="B929" s="16" t="s">
        <v>3999</v>
      </c>
      <c r="C929" s="16">
        <v>1.66</v>
      </c>
      <c r="D929" s="174" t="s">
        <v>4000</v>
      </c>
      <c r="E929" s="16"/>
      <c r="F929" s="16">
        <v>544.0</v>
      </c>
      <c r="G929" s="16" t="s">
        <v>272</v>
      </c>
      <c r="H929" s="16" t="s">
        <v>24</v>
      </c>
      <c r="I929" s="16" t="s">
        <v>25</v>
      </c>
      <c r="J929" s="16"/>
      <c r="K929" s="16"/>
      <c r="L929" s="16"/>
      <c r="M929" s="16"/>
      <c r="N929" s="16"/>
      <c r="O929" s="16"/>
      <c r="P929" s="16"/>
      <c r="Q929" s="16"/>
      <c r="R929" s="16"/>
      <c r="S929" s="16">
        <v>17.0</v>
      </c>
      <c r="T929" s="174" t="s">
        <v>4829</v>
      </c>
      <c r="U929" s="16" t="s">
        <v>4002</v>
      </c>
      <c r="V929" s="16" t="s">
        <v>4003</v>
      </c>
      <c r="W929" s="16" t="s">
        <v>751</v>
      </c>
    </row>
    <row r="930">
      <c r="A930" s="16">
        <v>12354.0</v>
      </c>
      <c r="B930" s="16" t="s">
        <v>4004</v>
      </c>
      <c r="C930" s="16">
        <v>0.55</v>
      </c>
      <c r="D930" s="174" t="s">
        <v>4005</v>
      </c>
      <c r="E930" s="16"/>
      <c r="F930" s="16">
        <v>532.0</v>
      </c>
      <c r="G930" s="16" t="s">
        <v>346</v>
      </c>
      <c r="H930" s="16" t="s">
        <v>19</v>
      </c>
      <c r="I930" s="16"/>
      <c r="J930" s="16"/>
      <c r="K930" s="16"/>
      <c r="L930" s="16"/>
      <c r="M930" s="16"/>
      <c r="N930" s="16"/>
      <c r="O930" s="16"/>
      <c r="P930" s="16"/>
      <c r="Q930" s="16"/>
      <c r="R930" s="16"/>
      <c r="S930" s="16">
        <v>16.0</v>
      </c>
      <c r="T930" s="16"/>
      <c r="U930" s="16" t="s">
        <v>4006</v>
      </c>
      <c r="V930" s="16" t="s">
        <v>4007</v>
      </c>
      <c r="W930" s="16" t="s">
        <v>616</v>
      </c>
    </row>
    <row r="931">
      <c r="A931" s="16">
        <v>12355.0</v>
      </c>
      <c r="B931" s="16" t="s">
        <v>117</v>
      </c>
      <c r="C931" s="16">
        <v>0.0</v>
      </c>
      <c r="D931" s="174" t="s">
        <v>4008</v>
      </c>
      <c r="E931" s="16"/>
      <c r="F931" s="16">
        <v>498.0</v>
      </c>
      <c r="G931" s="16" t="s">
        <v>176</v>
      </c>
      <c r="H931" s="16" t="s">
        <v>25</v>
      </c>
      <c r="I931" s="16"/>
      <c r="J931" s="16"/>
      <c r="K931" s="16"/>
      <c r="L931" s="16"/>
      <c r="M931" s="16"/>
      <c r="N931" s="16"/>
      <c r="O931" s="16"/>
      <c r="P931" s="16"/>
      <c r="Q931" s="16"/>
      <c r="R931" s="16"/>
      <c r="S931" s="16">
        <v>-2.0</v>
      </c>
      <c r="T931" s="16"/>
      <c r="U931" s="16" t="s">
        <v>4009</v>
      </c>
      <c r="V931" s="16" t="s">
        <v>4010</v>
      </c>
      <c r="W931" s="16" t="s">
        <v>422</v>
      </c>
    </row>
    <row r="932">
      <c r="A932" s="16">
        <v>12356.0</v>
      </c>
      <c r="B932" s="16" t="s">
        <v>44</v>
      </c>
      <c r="C932" s="16">
        <v>2.15</v>
      </c>
      <c r="D932" s="174" t="s">
        <v>4011</v>
      </c>
      <c r="E932" s="16"/>
      <c r="F932" s="16">
        <v>509.0</v>
      </c>
      <c r="G932" s="16" t="s">
        <v>4755</v>
      </c>
      <c r="H932" s="16" t="s">
        <v>17</v>
      </c>
      <c r="I932" s="16"/>
      <c r="J932" s="16"/>
      <c r="K932" s="16"/>
      <c r="L932" s="16"/>
      <c r="M932" s="16"/>
      <c r="N932" s="16"/>
      <c r="O932" s="16"/>
      <c r="P932" s="16"/>
      <c r="Q932" s="16"/>
      <c r="R932" s="16" t="s">
        <v>4788</v>
      </c>
      <c r="S932" s="16">
        <v>17.0</v>
      </c>
      <c r="T932" s="16"/>
      <c r="U932" s="16" t="s">
        <v>4012</v>
      </c>
      <c r="V932" s="16" t="s">
        <v>4013</v>
      </c>
      <c r="W932" s="16" t="s">
        <v>722</v>
      </c>
    </row>
    <row r="933">
      <c r="A933" s="16">
        <v>12357.0</v>
      </c>
      <c r="B933" s="16" t="s">
        <v>4014</v>
      </c>
      <c r="C933" s="16">
        <v>0.0</v>
      </c>
      <c r="D933" s="174" t="s">
        <v>4015</v>
      </c>
      <c r="E933" s="16"/>
      <c r="F933" s="16">
        <v>498.0</v>
      </c>
      <c r="G933" s="16" t="s">
        <v>176</v>
      </c>
      <c r="H933" s="16" t="s">
        <v>24</v>
      </c>
      <c r="I933" s="16" t="s">
        <v>25</v>
      </c>
      <c r="J933" s="16"/>
      <c r="K933" s="16"/>
      <c r="L933" s="16"/>
      <c r="M933" s="16"/>
      <c r="N933" s="16"/>
      <c r="O933" s="16"/>
      <c r="P933" s="16"/>
      <c r="Q933" s="16"/>
      <c r="R933" s="16"/>
      <c r="S933" s="16">
        <v>-2.0</v>
      </c>
      <c r="T933" s="16"/>
      <c r="U933" s="16" t="s">
        <v>4016</v>
      </c>
      <c r="V933" s="16" t="s">
        <v>4017</v>
      </c>
      <c r="W933" s="16" t="s">
        <v>496</v>
      </c>
    </row>
    <row r="934">
      <c r="A934" s="16">
        <v>12358.0</v>
      </c>
      <c r="B934" s="16" t="s">
        <v>4018</v>
      </c>
      <c r="C934" s="16">
        <v>0.0</v>
      </c>
      <c r="D934" s="174" t="s">
        <v>4019</v>
      </c>
      <c r="E934" s="16"/>
      <c r="F934" s="16">
        <v>498.0</v>
      </c>
      <c r="G934" s="16" t="s">
        <v>176</v>
      </c>
      <c r="H934" s="16" t="s">
        <v>25</v>
      </c>
      <c r="I934" s="16" t="s">
        <v>26</v>
      </c>
      <c r="J934" s="16"/>
      <c r="K934" s="16"/>
      <c r="L934" s="16"/>
      <c r="M934" s="16"/>
      <c r="N934" s="16"/>
      <c r="O934" s="16"/>
      <c r="P934" s="16"/>
      <c r="Q934" s="16"/>
      <c r="R934" s="16"/>
      <c r="S934" s="16">
        <v>-2.0</v>
      </c>
      <c r="T934" s="16"/>
      <c r="U934" s="16" t="s">
        <v>4020</v>
      </c>
      <c r="V934" s="16" t="s">
        <v>4021</v>
      </c>
      <c r="W934" s="16" t="s">
        <v>332</v>
      </c>
    </row>
    <row r="935">
      <c r="A935" s="16">
        <v>12359.0</v>
      </c>
      <c r="B935" s="16" t="s">
        <v>4022</v>
      </c>
      <c r="C935" s="16">
        <v>0.0</v>
      </c>
      <c r="D935" s="174" t="s">
        <v>4023</v>
      </c>
      <c r="E935" s="16"/>
      <c r="F935" s="16">
        <v>498.0</v>
      </c>
      <c r="G935" s="16" t="s">
        <v>176</v>
      </c>
      <c r="H935" s="16" t="s">
        <v>25</v>
      </c>
      <c r="I935" s="16"/>
      <c r="J935" s="16"/>
      <c r="K935" s="16"/>
      <c r="L935" s="16"/>
      <c r="M935" s="16"/>
      <c r="N935" s="16"/>
      <c r="O935" s="16"/>
      <c r="P935" s="16"/>
      <c r="Q935" s="16"/>
      <c r="R935" s="16"/>
      <c r="S935" s="16">
        <v>-2.0</v>
      </c>
      <c r="T935" s="16"/>
      <c r="U935" s="16" t="s">
        <v>4024</v>
      </c>
      <c r="V935" s="16" t="s">
        <v>4025</v>
      </c>
      <c r="W935" s="16" t="s">
        <v>422</v>
      </c>
    </row>
    <row r="936">
      <c r="A936" s="16">
        <v>12360.0</v>
      </c>
      <c r="B936" s="16" t="s">
        <v>4026</v>
      </c>
      <c r="C936" s="16">
        <v>1.24</v>
      </c>
      <c r="D936" s="174" t="s">
        <v>4027</v>
      </c>
      <c r="E936" s="16"/>
      <c r="F936" s="16">
        <v>498.0</v>
      </c>
      <c r="G936" s="16" t="s">
        <v>176</v>
      </c>
      <c r="H936" s="16" t="s">
        <v>18</v>
      </c>
      <c r="I936" s="16" t="s">
        <v>19</v>
      </c>
      <c r="J936" s="16" t="s">
        <v>17</v>
      </c>
      <c r="K936" s="16"/>
      <c r="L936" s="16"/>
      <c r="M936" s="16"/>
      <c r="N936" s="16"/>
      <c r="O936" s="16"/>
      <c r="P936" s="16"/>
      <c r="Q936" s="16"/>
      <c r="R936" s="16"/>
      <c r="S936" s="16">
        <v>-2.0</v>
      </c>
      <c r="T936" s="16"/>
      <c r="U936" s="16" t="s">
        <v>4028</v>
      </c>
      <c r="V936" s="16" t="s">
        <v>4029</v>
      </c>
      <c r="W936" s="16" t="s">
        <v>616</v>
      </c>
    </row>
    <row r="937">
      <c r="A937" s="16">
        <v>12361.0</v>
      </c>
      <c r="B937" s="16" t="s">
        <v>4030</v>
      </c>
      <c r="C937" s="16">
        <v>0.0</v>
      </c>
      <c r="D937" s="174" t="s">
        <v>4031</v>
      </c>
      <c r="E937" s="16"/>
      <c r="F937" s="16">
        <v>498.0</v>
      </c>
      <c r="G937" s="16" t="s">
        <v>176</v>
      </c>
      <c r="H937" s="16" t="s">
        <v>24</v>
      </c>
      <c r="I937" s="16" t="s">
        <v>25</v>
      </c>
      <c r="J937" s="16"/>
      <c r="K937" s="16"/>
      <c r="L937" s="16"/>
      <c r="M937" s="16"/>
      <c r="N937" s="16"/>
      <c r="O937" s="16"/>
      <c r="P937" s="16"/>
      <c r="Q937" s="16"/>
      <c r="R937" s="16"/>
      <c r="S937" s="16">
        <v>-2.0</v>
      </c>
      <c r="T937" s="16"/>
      <c r="U937" s="16" t="s">
        <v>4032</v>
      </c>
      <c r="V937" s="16" t="s">
        <v>4033</v>
      </c>
      <c r="W937" s="16" t="s">
        <v>616</v>
      </c>
    </row>
    <row r="938">
      <c r="A938" s="16">
        <v>12362.0</v>
      </c>
      <c r="B938" s="16" t="s">
        <v>4034</v>
      </c>
      <c r="C938" s="16">
        <v>1.04</v>
      </c>
      <c r="D938" s="174" t="s">
        <v>4035</v>
      </c>
      <c r="E938" s="16"/>
      <c r="F938" s="16">
        <v>516.0</v>
      </c>
      <c r="G938" s="16" t="s">
        <v>228</v>
      </c>
      <c r="H938" s="16" t="s">
        <v>24</v>
      </c>
      <c r="I938" s="16"/>
      <c r="J938" s="16"/>
      <c r="K938" s="16"/>
      <c r="L938" s="16"/>
      <c r="M938" s="16"/>
      <c r="N938" s="16"/>
      <c r="O938" s="16"/>
      <c r="P938" s="16"/>
      <c r="Q938" s="16"/>
      <c r="R938" s="16"/>
      <c r="S938" s="16">
        <v>17.0</v>
      </c>
      <c r="T938" s="16"/>
      <c r="U938" s="16" t="s">
        <v>4036</v>
      </c>
      <c r="V938" s="16" t="s">
        <v>4037</v>
      </c>
      <c r="W938" s="16" t="s">
        <v>491</v>
      </c>
    </row>
    <row r="939">
      <c r="A939" s="16">
        <v>12363.0</v>
      </c>
      <c r="B939" s="16" t="s">
        <v>4038</v>
      </c>
      <c r="C939" s="16">
        <v>0.07</v>
      </c>
      <c r="D939" s="174" t="s">
        <v>4039</v>
      </c>
      <c r="E939" s="16"/>
      <c r="F939" s="16">
        <v>535.0</v>
      </c>
      <c r="G939" s="16" t="s">
        <v>361</v>
      </c>
      <c r="H939" s="16" t="s">
        <v>25</v>
      </c>
      <c r="I939" s="16" t="s">
        <v>26</v>
      </c>
      <c r="J939" s="16"/>
      <c r="K939" s="16"/>
      <c r="L939" s="16"/>
      <c r="M939" s="16"/>
      <c r="N939" s="16"/>
      <c r="O939" s="16"/>
      <c r="P939" s="16"/>
      <c r="Q939" s="16"/>
      <c r="R939" s="16"/>
      <c r="S939" s="16">
        <v>14.0</v>
      </c>
      <c r="T939" s="16"/>
      <c r="U939" s="16" t="s">
        <v>4040</v>
      </c>
      <c r="V939" s="16" t="s">
        <v>4041</v>
      </c>
      <c r="W939" s="16" t="s">
        <v>491</v>
      </c>
    </row>
    <row r="940">
      <c r="A940" s="16">
        <v>12364.0</v>
      </c>
      <c r="B940" s="16" t="s">
        <v>4042</v>
      </c>
      <c r="C940" s="16">
        <v>1.12</v>
      </c>
      <c r="D940" s="174" t="s">
        <v>4043</v>
      </c>
      <c r="E940" s="16"/>
      <c r="F940" s="16">
        <v>529.0</v>
      </c>
      <c r="G940" s="16" t="s">
        <v>333</v>
      </c>
      <c r="H940" s="16" t="s">
        <v>24</v>
      </c>
      <c r="I940" s="16"/>
      <c r="J940" s="16"/>
      <c r="K940" s="16"/>
      <c r="L940" s="16"/>
      <c r="M940" s="16"/>
      <c r="N940" s="16"/>
      <c r="O940" s="16"/>
      <c r="P940" s="16"/>
      <c r="Q940" s="16"/>
      <c r="R940" s="16"/>
      <c r="S940" s="16">
        <v>19.0</v>
      </c>
      <c r="T940" s="16"/>
      <c r="U940" s="16" t="s">
        <v>4044</v>
      </c>
      <c r="V940" s="16" t="s">
        <v>4045</v>
      </c>
      <c r="W940" s="16" t="s">
        <v>188</v>
      </c>
    </row>
    <row r="941">
      <c r="A941" s="16">
        <v>12365.0</v>
      </c>
      <c r="B941" s="16" t="s">
        <v>4046</v>
      </c>
      <c r="C941" s="16">
        <v>0.0</v>
      </c>
      <c r="D941" s="174" t="s">
        <v>4047</v>
      </c>
      <c r="E941" s="16"/>
      <c r="F941" s="16">
        <v>498.0</v>
      </c>
      <c r="G941" s="16" t="s">
        <v>176</v>
      </c>
      <c r="H941" s="16" t="s">
        <v>24</v>
      </c>
      <c r="I941" s="16"/>
      <c r="J941" s="16"/>
      <c r="K941" s="16"/>
      <c r="L941" s="16"/>
      <c r="M941" s="16"/>
      <c r="N941" s="16"/>
      <c r="O941" s="16"/>
      <c r="P941" s="16"/>
      <c r="Q941" s="16"/>
      <c r="R941" s="16"/>
      <c r="S941" s="16">
        <v>-2.0</v>
      </c>
      <c r="T941" s="16"/>
      <c r="U941" s="16" t="s">
        <v>4048</v>
      </c>
      <c r="V941" s="16" t="s">
        <v>4049</v>
      </c>
      <c r="W941" s="16" t="s">
        <v>199</v>
      </c>
    </row>
    <row r="942">
      <c r="A942" s="16">
        <v>12366.0</v>
      </c>
      <c r="B942" s="16" t="s">
        <v>4050</v>
      </c>
      <c r="C942" s="16">
        <v>1.76</v>
      </c>
      <c r="D942" s="174" t="s">
        <v>4051</v>
      </c>
      <c r="E942" s="16"/>
      <c r="F942" s="16">
        <v>545.0</v>
      </c>
      <c r="G942" s="16" t="s">
        <v>4779</v>
      </c>
      <c r="H942" s="16" t="s">
        <v>24</v>
      </c>
      <c r="I942" s="16"/>
      <c r="J942" s="16"/>
      <c r="K942" s="16"/>
      <c r="L942" s="16"/>
      <c r="M942" s="16"/>
      <c r="N942" s="16"/>
      <c r="O942" s="16"/>
      <c r="P942" s="16"/>
      <c r="Q942" s="16"/>
      <c r="R942" s="16" t="s">
        <v>4760</v>
      </c>
      <c r="S942" s="16">
        <v>16.0</v>
      </c>
      <c r="T942" s="174" t="s">
        <v>4830</v>
      </c>
      <c r="U942" s="16" t="s">
        <v>4053</v>
      </c>
      <c r="V942" s="16" t="s">
        <v>4054</v>
      </c>
      <c r="W942" s="16" t="s">
        <v>188</v>
      </c>
    </row>
    <row r="943">
      <c r="A943" s="16">
        <v>12367.0</v>
      </c>
      <c r="B943" s="16" t="s">
        <v>4055</v>
      </c>
      <c r="C943" s="16">
        <v>0.09</v>
      </c>
      <c r="D943" s="174" t="s">
        <v>4056</v>
      </c>
      <c r="E943" s="16"/>
      <c r="F943" s="16">
        <v>498.0</v>
      </c>
      <c r="G943" s="16" t="s">
        <v>176</v>
      </c>
      <c r="H943" s="16" t="s">
        <v>25</v>
      </c>
      <c r="I943" s="16"/>
      <c r="J943" s="16"/>
      <c r="K943" s="16"/>
      <c r="L943" s="16"/>
      <c r="M943" s="16"/>
      <c r="N943" s="16"/>
      <c r="O943" s="16"/>
      <c r="P943" s="16"/>
      <c r="Q943" s="16"/>
      <c r="R943" s="16"/>
      <c r="S943" s="16">
        <v>-2.0</v>
      </c>
      <c r="T943" s="16"/>
      <c r="U943" s="16" t="s">
        <v>4057</v>
      </c>
      <c r="V943" s="16" t="s">
        <v>4058</v>
      </c>
      <c r="W943" s="16" t="s">
        <v>360</v>
      </c>
    </row>
    <row r="944">
      <c r="A944" s="16">
        <v>12368.0</v>
      </c>
      <c r="B944" s="16" t="s">
        <v>4059</v>
      </c>
      <c r="C944" s="16">
        <v>2.67</v>
      </c>
      <c r="D944" s="174" t="s">
        <v>4060</v>
      </c>
      <c r="E944" s="16"/>
      <c r="F944" s="16">
        <v>499.0</v>
      </c>
      <c r="G944" s="16" t="s">
        <v>126</v>
      </c>
      <c r="H944" s="16" t="s">
        <v>25</v>
      </c>
      <c r="I944" s="16" t="s">
        <v>26</v>
      </c>
      <c r="J944" s="16"/>
      <c r="K944" s="16"/>
      <c r="L944" s="16"/>
      <c r="M944" s="16"/>
      <c r="N944" s="16"/>
      <c r="O944" s="16"/>
      <c r="P944" s="16"/>
      <c r="Q944" s="16"/>
      <c r="R944" s="16"/>
      <c r="S944" s="16">
        <v>1.0</v>
      </c>
      <c r="T944" s="16"/>
      <c r="U944" s="16" t="s">
        <v>4062</v>
      </c>
      <c r="V944" s="16" t="s">
        <v>4063</v>
      </c>
      <c r="W944" s="16" t="s">
        <v>231</v>
      </c>
    </row>
    <row r="945">
      <c r="A945" s="16">
        <v>12369.0</v>
      </c>
      <c r="B945" s="16" t="s">
        <v>4064</v>
      </c>
      <c r="C945" s="16">
        <v>2.95</v>
      </c>
      <c r="D945" s="174" t="s">
        <v>4065</v>
      </c>
      <c r="E945" s="16"/>
      <c r="F945" s="16">
        <v>523.0</v>
      </c>
      <c r="G945" s="16" t="s">
        <v>306</v>
      </c>
      <c r="H945" s="16" t="s">
        <v>24</v>
      </c>
      <c r="I945" s="16"/>
      <c r="J945" s="16"/>
      <c r="K945" s="16"/>
      <c r="L945" s="16"/>
      <c r="M945" s="16"/>
      <c r="N945" s="16"/>
      <c r="O945" s="16"/>
      <c r="P945" s="16"/>
      <c r="Q945" s="16"/>
      <c r="R945" s="16"/>
      <c r="S945" s="16">
        <v>1.0</v>
      </c>
      <c r="T945" s="174" t="s">
        <v>4831</v>
      </c>
      <c r="U945" s="16" t="s">
        <v>4066</v>
      </c>
      <c r="V945" s="16" t="s">
        <v>4067</v>
      </c>
      <c r="W945" s="16" t="s">
        <v>188</v>
      </c>
    </row>
    <row r="946">
      <c r="A946" s="16">
        <v>12370.0</v>
      </c>
      <c r="B946" s="16" t="s">
        <v>4068</v>
      </c>
      <c r="C946" s="16">
        <v>0.5</v>
      </c>
      <c r="D946" s="174" t="s">
        <v>4069</v>
      </c>
      <c r="E946" s="16"/>
      <c r="F946" s="16">
        <v>498.0</v>
      </c>
      <c r="G946" s="16" t="s">
        <v>176</v>
      </c>
      <c r="H946" s="16" t="s">
        <v>25</v>
      </c>
      <c r="I946" s="16" t="s">
        <v>26</v>
      </c>
      <c r="J946" s="16"/>
      <c r="K946" s="16"/>
      <c r="L946" s="16"/>
      <c r="M946" s="16"/>
      <c r="N946" s="16"/>
      <c r="O946" s="16"/>
      <c r="P946" s="16"/>
      <c r="Q946" s="16"/>
      <c r="R946" s="16"/>
      <c r="S946" s="16">
        <v>-2.0</v>
      </c>
      <c r="T946" s="16"/>
      <c r="U946" s="16" t="s">
        <v>4071</v>
      </c>
      <c r="V946" s="16" t="s">
        <v>4072</v>
      </c>
      <c r="W946" s="16" t="s">
        <v>478</v>
      </c>
    </row>
    <row r="947">
      <c r="A947" s="16">
        <v>12371.0</v>
      </c>
      <c r="B947" s="16" t="s">
        <v>4073</v>
      </c>
      <c r="C947" s="16">
        <v>1.19</v>
      </c>
      <c r="D947" s="174" t="s">
        <v>4074</v>
      </c>
      <c r="E947" s="16"/>
      <c r="F947" s="16">
        <v>526.0</v>
      </c>
      <c r="G947" s="16" t="s">
        <v>212</v>
      </c>
      <c r="H947" s="16" t="s">
        <v>25</v>
      </c>
      <c r="I947" s="16"/>
      <c r="J947" s="16"/>
      <c r="K947" s="16"/>
      <c r="L947" s="16"/>
      <c r="M947" s="16"/>
      <c r="N947" s="16"/>
      <c r="O947" s="16"/>
      <c r="P947" s="16"/>
      <c r="Q947" s="16"/>
      <c r="R947" s="16"/>
      <c r="S947" s="16">
        <v>1.0</v>
      </c>
      <c r="T947" s="174" t="s">
        <v>4747</v>
      </c>
      <c r="U947" s="16" t="s">
        <v>4075</v>
      </c>
      <c r="V947" s="16" t="s">
        <v>4076</v>
      </c>
      <c r="W947" s="16" t="s">
        <v>491</v>
      </c>
    </row>
    <row r="948">
      <c r="A948" s="16">
        <v>12372.0</v>
      </c>
      <c r="B948" s="16" t="s">
        <v>4077</v>
      </c>
      <c r="C948" s="16">
        <v>0.88</v>
      </c>
      <c r="D948" s="174" t="s">
        <v>4078</v>
      </c>
      <c r="E948" s="16"/>
      <c r="F948" s="16">
        <v>540.0</v>
      </c>
      <c r="G948" s="16" t="s">
        <v>1729</v>
      </c>
      <c r="H948" s="16" t="s">
        <v>25</v>
      </c>
      <c r="I948" s="16"/>
      <c r="J948" s="16"/>
      <c r="K948" s="16"/>
      <c r="L948" s="16"/>
      <c r="M948" s="16"/>
      <c r="N948" s="16"/>
      <c r="O948" s="16"/>
      <c r="P948" s="16"/>
      <c r="Q948" s="16"/>
      <c r="R948" s="16"/>
      <c r="S948" s="16">
        <v>15.0</v>
      </c>
      <c r="T948" s="16"/>
      <c r="U948" s="16" t="s">
        <v>4079</v>
      </c>
      <c r="V948" s="16" t="s">
        <v>4080</v>
      </c>
      <c r="W948" s="16" t="s">
        <v>179</v>
      </c>
    </row>
    <row r="949">
      <c r="A949" s="16">
        <v>12373.0</v>
      </c>
      <c r="B949" s="16" t="s">
        <v>4081</v>
      </c>
      <c r="C949" s="16">
        <v>1.61</v>
      </c>
      <c r="D949" s="174" t="s">
        <v>4082</v>
      </c>
      <c r="E949" s="16"/>
      <c r="F949" s="16">
        <v>504.0</v>
      </c>
      <c r="G949" s="16" t="s">
        <v>1465</v>
      </c>
      <c r="H949" s="16" t="s">
        <v>16</v>
      </c>
      <c r="I949" s="16"/>
      <c r="J949" s="16"/>
      <c r="K949" s="16"/>
      <c r="L949" s="16"/>
      <c r="M949" s="16"/>
      <c r="N949" s="16"/>
      <c r="O949" s="16"/>
      <c r="P949" s="16"/>
      <c r="Q949" s="16"/>
      <c r="R949" s="16"/>
      <c r="S949" s="16">
        <v>15.0</v>
      </c>
      <c r="T949" s="16"/>
      <c r="U949" s="16" t="s">
        <v>4083</v>
      </c>
      <c r="V949" s="16" t="s">
        <v>4084</v>
      </c>
      <c r="W949" s="16" t="s">
        <v>942</v>
      </c>
    </row>
    <row r="950">
      <c r="A950" s="16">
        <v>12374.0</v>
      </c>
      <c r="B950" s="16" t="s">
        <v>4085</v>
      </c>
      <c r="C950" s="16">
        <v>1.01</v>
      </c>
      <c r="D950" s="174" t="s">
        <v>4086</v>
      </c>
      <c r="E950" s="16"/>
      <c r="F950" s="16">
        <v>517.0</v>
      </c>
      <c r="G950" s="16" t="s">
        <v>277</v>
      </c>
      <c r="H950" s="16" t="s">
        <v>17</v>
      </c>
      <c r="I950" s="16"/>
      <c r="J950" s="16"/>
      <c r="K950" s="16"/>
      <c r="L950" s="16"/>
      <c r="M950" s="16"/>
      <c r="N950" s="16"/>
      <c r="O950" s="16"/>
      <c r="P950" s="16"/>
      <c r="Q950" s="16"/>
      <c r="R950" s="16"/>
      <c r="S950" s="16">
        <v>16.0</v>
      </c>
      <c r="T950" s="16"/>
      <c r="U950" s="16" t="s">
        <v>4087</v>
      </c>
      <c r="V950" s="16" t="s">
        <v>4088</v>
      </c>
      <c r="W950" s="16" t="s">
        <v>188</v>
      </c>
    </row>
    <row r="951">
      <c r="A951" s="16">
        <v>12375.0</v>
      </c>
      <c r="B951" s="16" t="s">
        <v>4089</v>
      </c>
      <c r="C951" s="16">
        <v>1.91</v>
      </c>
      <c r="D951" s="174" t="s">
        <v>4090</v>
      </c>
      <c r="E951" s="16"/>
      <c r="F951" s="16">
        <v>526.0</v>
      </c>
      <c r="G951" s="16" t="s">
        <v>212</v>
      </c>
      <c r="H951" s="16" t="s">
        <v>17</v>
      </c>
      <c r="I951" s="16" t="s">
        <v>19</v>
      </c>
      <c r="J951" s="16"/>
      <c r="K951" s="16"/>
      <c r="L951" s="16"/>
      <c r="M951" s="16"/>
      <c r="N951" s="16"/>
      <c r="O951" s="16"/>
      <c r="P951" s="16"/>
      <c r="Q951" s="16"/>
      <c r="R951" s="16"/>
      <c r="S951" s="16">
        <v>15.0</v>
      </c>
      <c r="T951" s="174" t="s">
        <v>4765</v>
      </c>
      <c r="U951" s="16" t="s">
        <v>4091</v>
      </c>
      <c r="V951" s="16" t="s">
        <v>4092</v>
      </c>
      <c r="W951" s="16" t="s">
        <v>188</v>
      </c>
    </row>
    <row r="952">
      <c r="A952" s="16">
        <v>12376.0</v>
      </c>
      <c r="B952" s="16" t="s">
        <v>4093</v>
      </c>
      <c r="C952" s="16">
        <v>0.0</v>
      </c>
      <c r="D952" s="174" t="s">
        <v>4094</v>
      </c>
      <c r="E952" s="16"/>
      <c r="F952" s="16">
        <v>498.0</v>
      </c>
      <c r="G952" s="16" t="s">
        <v>176</v>
      </c>
      <c r="H952" s="16" t="s">
        <v>14</v>
      </c>
      <c r="I952" s="16"/>
      <c r="J952" s="16"/>
      <c r="K952" s="16"/>
      <c r="L952" s="16"/>
      <c r="M952" s="16"/>
      <c r="N952" s="16"/>
      <c r="O952" s="16"/>
      <c r="P952" s="16"/>
      <c r="Q952" s="16"/>
      <c r="R952" s="16"/>
      <c r="S952" s="16">
        <v>-2.0</v>
      </c>
      <c r="T952" s="16"/>
      <c r="U952" s="16" t="s">
        <v>4095</v>
      </c>
      <c r="V952" s="16" t="s">
        <v>4096</v>
      </c>
      <c r="W952" s="16" t="s">
        <v>661</v>
      </c>
    </row>
    <row r="953">
      <c r="A953" s="16">
        <v>12377.0</v>
      </c>
      <c r="B953" s="16" t="s">
        <v>4097</v>
      </c>
      <c r="C953" s="16">
        <v>0.0</v>
      </c>
      <c r="D953" s="174" t="s">
        <v>4098</v>
      </c>
      <c r="E953" s="16"/>
      <c r="F953" s="16">
        <v>498.0</v>
      </c>
      <c r="G953" s="16" t="s">
        <v>176</v>
      </c>
      <c r="H953" s="16" t="s">
        <v>25</v>
      </c>
      <c r="I953" s="16" t="s">
        <v>26</v>
      </c>
      <c r="J953" s="16"/>
      <c r="K953" s="16"/>
      <c r="L953" s="16"/>
      <c r="M953" s="16"/>
      <c r="N953" s="16"/>
      <c r="O953" s="16"/>
      <c r="P953" s="16"/>
      <c r="Q953" s="16"/>
      <c r="R953" s="16"/>
      <c r="S953" s="16">
        <v>-2.0</v>
      </c>
      <c r="T953" s="16"/>
      <c r="U953" s="16" t="s">
        <v>4099</v>
      </c>
      <c r="V953" s="16" t="s">
        <v>4100</v>
      </c>
      <c r="W953" s="16" t="s">
        <v>199</v>
      </c>
    </row>
    <row r="954">
      <c r="A954" s="16">
        <v>12378.0</v>
      </c>
      <c r="B954" s="16" t="s">
        <v>4101</v>
      </c>
      <c r="C954" s="16">
        <v>0.0</v>
      </c>
      <c r="D954" s="174" t="s">
        <v>4102</v>
      </c>
      <c r="E954" s="16"/>
      <c r="F954" s="16">
        <v>498.0</v>
      </c>
      <c r="G954" s="16" t="s">
        <v>176</v>
      </c>
      <c r="H954" s="16" t="s">
        <v>16</v>
      </c>
      <c r="I954" s="16"/>
      <c r="J954" s="16"/>
      <c r="K954" s="16"/>
      <c r="L954" s="16"/>
      <c r="M954" s="16"/>
      <c r="N954" s="16"/>
      <c r="O954" s="16"/>
      <c r="P954" s="16"/>
      <c r="Q954" s="16"/>
      <c r="R954" s="16"/>
      <c r="S954" s="16">
        <v>-2.0</v>
      </c>
      <c r="T954" s="16"/>
      <c r="U954" s="16" t="s">
        <v>4103</v>
      </c>
      <c r="V954" s="16" t="s">
        <v>4104</v>
      </c>
      <c r="W954" s="16" t="s">
        <v>332</v>
      </c>
    </row>
    <row r="955">
      <c r="A955" s="16">
        <v>12379.0</v>
      </c>
      <c r="B955" s="16" t="s">
        <v>4105</v>
      </c>
      <c r="C955" s="16">
        <v>1.24</v>
      </c>
      <c r="D955" s="174" t="s">
        <v>4106</v>
      </c>
      <c r="E955" s="16"/>
      <c r="F955" s="16">
        <v>517.0</v>
      </c>
      <c r="G955" s="16" t="s">
        <v>277</v>
      </c>
      <c r="H955" s="16" t="s">
        <v>25</v>
      </c>
      <c r="I955" s="16"/>
      <c r="J955" s="16"/>
      <c r="K955" s="16"/>
      <c r="L955" s="16"/>
      <c r="M955" s="16"/>
      <c r="N955" s="16"/>
      <c r="O955" s="16"/>
      <c r="P955" s="16"/>
      <c r="Q955" s="16"/>
      <c r="R955" s="16"/>
      <c r="S955" s="16">
        <v>1.0</v>
      </c>
      <c r="T955" s="16"/>
      <c r="U955" s="16" t="s">
        <v>4107</v>
      </c>
      <c r="V955" s="16" t="s">
        <v>4108</v>
      </c>
      <c r="W955" s="16" t="s">
        <v>231</v>
      </c>
    </row>
    <row r="956">
      <c r="A956" s="16">
        <v>12380.0</v>
      </c>
      <c r="B956" s="16" t="s">
        <v>4109</v>
      </c>
      <c r="C956" s="16">
        <v>0.36</v>
      </c>
      <c r="D956" s="174" t="s">
        <v>4110</v>
      </c>
      <c r="E956" s="16"/>
      <c r="F956" s="16">
        <v>498.0</v>
      </c>
      <c r="G956" s="16" t="s">
        <v>176</v>
      </c>
      <c r="H956" s="16" t="s">
        <v>25</v>
      </c>
      <c r="I956" s="16"/>
      <c r="J956" s="16"/>
      <c r="K956" s="16"/>
      <c r="L956" s="16"/>
      <c r="M956" s="16"/>
      <c r="N956" s="16"/>
      <c r="O956" s="16"/>
      <c r="P956" s="16"/>
      <c r="Q956" s="16"/>
      <c r="R956" s="16"/>
      <c r="S956" s="16">
        <v>-2.0</v>
      </c>
      <c r="T956" s="16"/>
      <c r="U956" s="16" t="s">
        <v>4111</v>
      </c>
      <c r="V956" s="16" t="s">
        <v>4112</v>
      </c>
      <c r="W956" s="16" t="s">
        <v>491</v>
      </c>
    </row>
    <row r="957">
      <c r="A957" s="16">
        <v>12381.0</v>
      </c>
      <c r="B957" s="16" t="s">
        <v>4113</v>
      </c>
      <c r="C957" s="16">
        <v>0.0</v>
      </c>
      <c r="D957" s="174" t="s">
        <v>4114</v>
      </c>
      <c r="E957" s="16"/>
      <c r="F957" s="16">
        <v>498.0</v>
      </c>
      <c r="G957" s="16" t="s">
        <v>176</v>
      </c>
      <c r="H957" s="16" t="s">
        <v>25</v>
      </c>
      <c r="I957" s="16"/>
      <c r="J957" s="16"/>
      <c r="K957" s="16"/>
      <c r="L957" s="16"/>
      <c r="M957" s="16"/>
      <c r="N957" s="16"/>
      <c r="O957" s="16"/>
      <c r="P957" s="16"/>
      <c r="Q957" s="16"/>
      <c r="R957" s="16"/>
      <c r="S957" s="16">
        <v>-2.0</v>
      </c>
      <c r="T957" s="16"/>
      <c r="U957" s="16" t="s">
        <v>4115</v>
      </c>
      <c r="V957" s="16" t="s">
        <v>4116</v>
      </c>
      <c r="W957" s="16" t="s">
        <v>360</v>
      </c>
    </row>
    <row r="958">
      <c r="A958" s="16">
        <v>12382.0</v>
      </c>
      <c r="B958" s="16" t="s">
        <v>4117</v>
      </c>
      <c r="C958" s="16">
        <v>0.43</v>
      </c>
      <c r="D958" s="174" t="s">
        <v>4118</v>
      </c>
      <c r="E958" s="16"/>
      <c r="F958" s="16">
        <v>498.0</v>
      </c>
      <c r="G958" s="16" t="s">
        <v>176</v>
      </c>
      <c r="H958" s="16" t="s">
        <v>18</v>
      </c>
      <c r="I958" s="16"/>
      <c r="J958" s="16"/>
      <c r="K958" s="16"/>
      <c r="L958" s="16"/>
      <c r="M958" s="16"/>
      <c r="N958" s="16"/>
      <c r="O958" s="16"/>
      <c r="P958" s="16"/>
      <c r="Q958" s="16"/>
      <c r="R958" s="16"/>
      <c r="S958" s="16">
        <v>4.0</v>
      </c>
      <c r="T958" s="16"/>
      <c r="U958" s="16" t="s">
        <v>4119</v>
      </c>
      <c r="V958" s="16" t="s">
        <v>4120</v>
      </c>
      <c r="W958" s="16" t="s">
        <v>942</v>
      </c>
    </row>
    <row r="959">
      <c r="A959" s="16">
        <v>12383.0</v>
      </c>
      <c r="B959" s="16" t="s">
        <v>4121</v>
      </c>
      <c r="C959" s="16">
        <v>0.51</v>
      </c>
      <c r="D959" s="174" t="s">
        <v>4122</v>
      </c>
      <c r="E959" s="16"/>
      <c r="F959" s="16">
        <v>507.0</v>
      </c>
      <c r="G959" s="16" t="s">
        <v>4748</v>
      </c>
      <c r="H959" s="16" t="s">
        <v>25</v>
      </c>
      <c r="I959" s="16"/>
      <c r="J959" s="16"/>
      <c r="K959" s="16"/>
      <c r="L959" s="16"/>
      <c r="M959" s="16"/>
      <c r="N959" s="16"/>
      <c r="O959" s="16"/>
      <c r="P959" s="16"/>
      <c r="Q959" s="16"/>
      <c r="R959" s="16"/>
      <c r="S959" s="16">
        <v>12.0</v>
      </c>
      <c r="T959" s="16"/>
      <c r="U959" s="16" t="s">
        <v>4123</v>
      </c>
      <c r="V959" s="16" t="s">
        <v>4124</v>
      </c>
      <c r="W959" s="16" t="s">
        <v>231</v>
      </c>
    </row>
    <row r="960">
      <c r="A960" s="16">
        <v>12384.0</v>
      </c>
      <c r="B960" s="16" t="s">
        <v>4125</v>
      </c>
      <c r="C960" s="16">
        <v>1.47</v>
      </c>
      <c r="D960" s="174" t="s">
        <v>4126</v>
      </c>
      <c r="E960" s="16"/>
      <c r="F960" s="16">
        <v>531.0</v>
      </c>
      <c r="G960" s="16" t="s">
        <v>3232</v>
      </c>
      <c r="H960" s="16" t="s">
        <v>24</v>
      </c>
      <c r="I960" s="16" t="s">
        <v>25</v>
      </c>
      <c r="J960" s="16"/>
      <c r="K960" s="16"/>
      <c r="L960" s="16"/>
      <c r="M960" s="16"/>
      <c r="N960" s="16"/>
      <c r="O960" s="16"/>
      <c r="P960" s="16"/>
      <c r="Q960" s="16"/>
      <c r="R960" s="16"/>
      <c r="S960" s="16">
        <v>13.0</v>
      </c>
      <c r="T960" s="16"/>
      <c r="U960" s="16" t="s">
        <v>4127</v>
      </c>
      <c r="V960" s="16" t="s">
        <v>4128</v>
      </c>
      <c r="W960" s="16" t="s">
        <v>188</v>
      </c>
    </row>
    <row r="961">
      <c r="A961" s="16">
        <v>12385.0</v>
      </c>
      <c r="B961" s="16" t="s">
        <v>4129</v>
      </c>
      <c r="C961" s="16">
        <v>0.0</v>
      </c>
      <c r="D961" s="174" t="s">
        <v>4130</v>
      </c>
      <c r="E961" s="16"/>
      <c r="F961" s="16">
        <v>498.0</v>
      </c>
      <c r="G961" s="16" t="s">
        <v>176</v>
      </c>
      <c r="H961" s="16" t="s">
        <v>12</v>
      </c>
      <c r="I961" s="16"/>
      <c r="J961" s="16"/>
      <c r="K961" s="16"/>
      <c r="L961" s="16"/>
      <c r="M961" s="16"/>
      <c r="N961" s="16"/>
      <c r="O961" s="16"/>
      <c r="P961" s="16"/>
      <c r="Q961" s="16"/>
      <c r="R961" s="16"/>
      <c r="S961" s="16">
        <v>9.0</v>
      </c>
      <c r="T961" s="16"/>
      <c r="U961" s="16" t="s">
        <v>4131</v>
      </c>
      <c r="V961" s="16" t="s">
        <v>4132</v>
      </c>
      <c r="W961" s="16" t="s">
        <v>751</v>
      </c>
    </row>
    <row r="962">
      <c r="A962" s="16">
        <v>12386.0</v>
      </c>
      <c r="B962" s="16" t="s">
        <v>4133</v>
      </c>
      <c r="C962" s="16">
        <v>1.71</v>
      </c>
      <c r="D962" s="174" t="s">
        <v>4134</v>
      </c>
      <c r="E962" s="16"/>
      <c r="F962" s="16">
        <v>520.0</v>
      </c>
      <c r="G962" s="16" t="s">
        <v>292</v>
      </c>
      <c r="H962" s="16" t="s">
        <v>18</v>
      </c>
      <c r="I962" s="16" t="s">
        <v>16</v>
      </c>
      <c r="J962" s="16" t="s">
        <v>14</v>
      </c>
      <c r="K962" s="16"/>
      <c r="L962" s="16"/>
      <c r="M962" s="16"/>
      <c r="N962" s="16"/>
      <c r="O962" s="16"/>
      <c r="P962" s="16"/>
      <c r="Q962" s="16"/>
      <c r="R962" s="16"/>
      <c r="S962" s="16">
        <v>17.0</v>
      </c>
      <c r="T962" s="16"/>
      <c r="U962" s="16" t="s">
        <v>4135</v>
      </c>
      <c r="V962" s="16" t="s">
        <v>4136</v>
      </c>
      <c r="W962" s="16" t="s">
        <v>591</v>
      </c>
    </row>
    <row r="963">
      <c r="A963" s="16">
        <v>12387.0</v>
      </c>
      <c r="B963" s="16" t="s">
        <v>4137</v>
      </c>
      <c r="C963" s="16">
        <v>0.0</v>
      </c>
      <c r="D963" s="174" t="s">
        <v>4138</v>
      </c>
      <c r="E963" s="16"/>
      <c r="F963" s="16">
        <v>498.0</v>
      </c>
      <c r="G963" s="16" t="s">
        <v>176</v>
      </c>
      <c r="H963" s="16" t="s">
        <v>24</v>
      </c>
      <c r="I963" s="16" t="s">
        <v>25</v>
      </c>
      <c r="J963" s="16"/>
      <c r="K963" s="16"/>
      <c r="L963" s="16"/>
      <c r="M963" s="16"/>
      <c r="N963" s="16"/>
      <c r="O963" s="16"/>
      <c r="P963" s="16"/>
      <c r="Q963" s="16"/>
      <c r="R963" s="16"/>
      <c r="S963" s="16">
        <v>-2.0</v>
      </c>
      <c r="T963" s="16"/>
      <c r="U963" s="16" t="s">
        <v>4139</v>
      </c>
      <c r="V963" s="16" t="s">
        <v>4140</v>
      </c>
      <c r="W963" s="16" t="s">
        <v>199</v>
      </c>
    </row>
    <row r="964">
      <c r="A964" s="16">
        <v>12388.0</v>
      </c>
      <c r="B964" s="16" t="s">
        <v>4141</v>
      </c>
      <c r="C964" s="16">
        <v>0.9</v>
      </c>
      <c r="D964" s="174" t="s">
        <v>4142</v>
      </c>
      <c r="E964" s="16"/>
      <c r="F964" s="16">
        <v>520.0</v>
      </c>
      <c r="G964" s="16" t="s">
        <v>292</v>
      </c>
      <c r="H964" s="16" t="s">
        <v>25</v>
      </c>
      <c r="I964" s="16" t="s">
        <v>26</v>
      </c>
      <c r="J964" s="16"/>
      <c r="K964" s="16"/>
      <c r="L964" s="16"/>
      <c r="M964" s="16"/>
      <c r="N964" s="16"/>
      <c r="O964" s="16"/>
      <c r="P964" s="16"/>
      <c r="Q964" s="16"/>
      <c r="R964" s="16"/>
      <c r="S964" s="16">
        <v>1.0</v>
      </c>
      <c r="T964" s="16"/>
      <c r="U964" s="16" t="s">
        <v>4143</v>
      </c>
      <c r="V964" s="16" t="s">
        <v>4144</v>
      </c>
      <c r="W964" s="16" t="s">
        <v>634</v>
      </c>
    </row>
    <row r="965">
      <c r="A965" s="16">
        <v>12389.0</v>
      </c>
      <c r="B965" s="16" t="s">
        <v>4145</v>
      </c>
      <c r="C965" s="16">
        <v>0.0</v>
      </c>
      <c r="D965" s="174" t="s">
        <v>4146</v>
      </c>
      <c r="E965" s="16"/>
      <c r="F965" s="16">
        <v>508.0</v>
      </c>
      <c r="G965" s="16" t="s">
        <v>4754</v>
      </c>
      <c r="H965" s="16" t="s">
        <v>25</v>
      </c>
      <c r="I965" s="16"/>
      <c r="J965" s="16"/>
      <c r="K965" s="16"/>
      <c r="L965" s="16"/>
      <c r="M965" s="16"/>
      <c r="N965" s="16"/>
      <c r="O965" s="16"/>
      <c r="P965" s="16"/>
      <c r="Q965" s="16"/>
      <c r="R965" s="16"/>
      <c r="S965" s="16">
        <v>1.0</v>
      </c>
      <c r="T965" s="16"/>
      <c r="U965" s="16" t="s">
        <v>4147</v>
      </c>
      <c r="V965" s="16" t="s">
        <v>4148</v>
      </c>
      <c r="W965" s="16" t="s">
        <v>199</v>
      </c>
    </row>
    <row r="966">
      <c r="A966" s="16">
        <v>12390.0</v>
      </c>
      <c r="B966" s="16" t="s">
        <v>4149</v>
      </c>
      <c r="C966" s="16">
        <v>0.0</v>
      </c>
      <c r="D966" s="174" t="s">
        <v>4150</v>
      </c>
      <c r="E966" s="16"/>
      <c r="F966" s="16">
        <v>498.0</v>
      </c>
      <c r="G966" s="16" t="s">
        <v>176</v>
      </c>
      <c r="H966" s="16" t="s">
        <v>19</v>
      </c>
      <c r="I966" s="16" t="s">
        <v>17</v>
      </c>
      <c r="J966" s="16" t="s">
        <v>18</v>
      </c>
      <c r="K966" s="16"/>
      <c r="L966" s="16"/>
      <c r="M966" s="16"/>
      <c r="N966" s="16"/>
      <c r="O966" s="16"/>
      <c r="P966" s="16"/>
      <c r="Q966" s="16"/>
      <c r="R966" s="16"/>
      <c r="S966" s="16">
        <v>-2.0</v>
      </c>
      <c r="T966" s="16"/>
      <c r="U966" s="16" t="s">
        <v>4151</v>
      </c>
      <c r="V966" s="16" t="s">
        <v>4152</v>
      </c>
      <c r="W966" s="16" t="s">
        <v>491</v>
      </c>
    </row>
    <row r="967">
      <c r="A967" s="16">
        <v>12391.0</v>
      </c>
      <c r="B967" s="16" t="s">
        <v>4153</v>
      </c>
      <c r="C967" s="16">
        <v>1.12</v>
      </c>
      <c r="D967" s="174" t="s">
        <v>4154</v>
      </c>
      <c r="E967" s="16"/>
      <c r="F967" s="16">
        <v>514.0</v>
      </c>
      <c r="G967" s="16" t="s">
        <v>260</v>
      </c>
      <c r="H967" s="16" t="s">
        <v>25</v>
      </c>
      <c r="I967" s="16"/>
      <c r="J967" s="16"/>
      <c r="K967" s="16"/>
      <c r="L967" s="16"/>
      <c r="M967" s="16"/>
      <c r="N967" s="16"/>
      <c r="O967" s="16"/>
      <c r="P967" s="16"/>
      <c r="Q967" s="16"/>
      <c r="R967" s="16"/>
      <c r="S967" s="16">
        <v>10.0</v>
      </c>
      <c r="T967" s="16"/>
      <c r="U967" s="16" t="s">
        <v>4155</v>
      </c>
      <c r="V967" s="16" t="s">
        <v>4156</v>
      </c>
      <c r="W967" s="16" t="s">
        <v>332</v>
      </c>
    </row>
    <row r="968">
      <c r="A968" s="16">
        <v>12392.0</v>
      </c>
      <c r="B968" s="16" t="s">
        <v>4157</v>
      </c>
      <c r="C968" s="16">
        <v>0.0</v>
      </c>
      <c r="D968" s="174" t="s">
        <v>4158</v>
      </c>
      <c r="E968" s="16"/>
      <c r="F968" s="16">
        <v>498.0</v>
      </c>
      <c r="G968" s="16" t="s">
        <v>176</v>
      </c>
      <c r="H968" s="16" t="s">
        <v>25</v>
      </c>
      <c r="I968" s="16"/>
      <c r="J968" s="16"/>
      <c r="K968" s="16"/>
      <c r="L968" s="16"/>
      <c r="M968" s="16"/>
      <c r="N968" s="16"/>
      <c r="O968" s="16"/>
      <c r="P968" s="16"/>
      <c r="Q968" s="16"/>
      <c r="R968" s="16"/>
      <c r="S968" s="16">
        <v>-2.0</v>
      </c>
      <c r="T968" s="16"/>
      <c r="U968" s="16" t="s">
        <v>4159</v>
      </c>
      <c r="V968" s="16" t="s">
        <v>4160</v>
      </c>
      <c r="W968" s="16" t="s">
        <v>199</v>
      </c>
    </row>
    <row r="969">
      <c r="A969" s="16">
        <v>12393.0</v>
      </c>
      <c r="B969" s="16" t="s">
        <v>4161</v>
      </c>
      <c r="C969" s="16">
        <v>0.94</v>
      </c>
      <c r="D969" s="174" t="s">
        <v>4162</v>
      </c>
      <c r="E969" s="16"/>
      <c r="F969" s="16">
        <v>508.0</v>
      </c>
      <c r="G969" s="16" t="s">
        <v>4754</v>
      </c>
      <c r="H969" s="16" t="s">
        <v>12</v>
      </c>
      <c r="I969" s="16"/>
      <c r="J969" s="16"/>
      <c r="K969" s="16"/>
      <c r="L969" s="16"/>
      <c r="M969" s="16"/>
      <c r="N969" s="16"/>
      <c r="O969" s="16"/>
      <c r="P969" s="16"/>
      <c r="Q969" s="16"/>
      <c r="R969" s="16"/>
      <c r="S969" s="16">
        <v>14.0</v>
      </c>
      <c r="T969" s="16"/>
      <c r="U969" s="16" t="s">
        <v>4163</v>
      </c>
      <c r="V969" s="16" t="s">
        <v>4164</v>
      </c>
      <c r="W969" s="16" t="s">
        <v>259</v>
      </c>
    </row>
    <row r="970">
      <c r="A970" s="16">
        <v>12394.0</v>
      </c>
      <c r="B970" s="16" t="s">
        <v>4165</v>
      </c>
      <c r="C970" s="16">
        <v>0.42</v>
      </c>
      <c r="D970" s="174" t="s">
        <v>4166</v>
      </c>
      <c r="E970" s="16"/>
      <c r="F970" s="16">
        <v>498.0</v>
      </c>
      <c r="G970" s="16" t="s">
        <v>176</v>
      </c>
      <c r="H970" s="16" t="s">
        <v>19</v>
      </c>
      <c r="I970" s="16" t="s">
        <v>17</v>
      </c>
      <c r="J970" s="16" t="s">
        <v>18</v>
      </c>
      <c r="K970" s="16"/>
      <c r="L970" s="16"/>
      <c r="M970" s="16"/>
      <c r="N970" s="16"/>
      <c r="O970" s="16"/>
      <c r="P970" s="16"/>
      <c r="Q970" s="16"/>
      <c r="R970" s="16"/>
      <c r="S970" s="16">
        <v>-2.0</v>
      </c>
      <c r="T970" s="16"/>
      <c r="U970" s="16" t="s">
        <v>4167</v>
      </c>
      <c r="V970" s="16" t="s">
        <v>4168</v>
      </c>
      <c r="W970" s="16" t="s">
        <v>179</v>
      </c>
    </row>
    <row r="971">
      <c r="A971" s="16">
        <v>12395.0</v>
      </c>
      <c r="B971" s="16" t="s">
        <v>43</v>
      </c>
      <c r="C971" s="16">
        <v>1.61</v>
      </c>
      <c r="D971" s="174" t="s">
        <v>4169</v>
      </c>
      <c r="E971" s="16"/>
      <c r="F971" s="16">
        <v>499.0</v>
      </c>
      <c r="G971" s="16" t="s">
        <v>126</v>
      </c>
      <c r="H971" s="16" t="s">
        <v>16</v>
      </c>
      <c r="I971" s="16"/>
      <c r="J971" s="16"/>
      <c r="K971" s="16"/>
      <c r="L971" s="16"/>
      <c r="M971" s="16"/>
      <c r="N971" s="16"/>
      <c r="O971" s="16"/>
      <c r="P971" s="16"/>
      <c r="Q971" s="16"/>
      <c r="R971" s="16"/>
      <c r="S971" s="16">
        <v>1.0</v>
      </c>
      <c r="T971" s="16"/>
      <c r="U971" s="16" t="s">
        <v>4170</v>
      </c>
      <c r="V971" s="16" t="s">
        <v>4171</v>
      </c>
      <c r="W971" s="16" t="s">
        <v>491</v>
      </c>
    </row>
    <row r="972">
      <c r="A972" s="16">
        <v>12396.0</v>
      </c>
      <c r="B972" s="16" t="s">
        <v>4172</v>
      </c>
      <c r="C972" s="16">
        <v>0.56</v>
      </c>
      <c r="D972" s="174" t="s">
        <v>4173</v>
      </c>
      <c r="E972" s="16"/>
      <c r="F972" s="16">
        <v>546.0</v>
      </c>
      <c r="G972" s="16" t="s">
        <v>415</v>
      </c>
      <c r="H972" s="16" t="s">
        <v>18</v>
      </c>
      <c r="I972" s="16"/>
      <c r="J972" s="16"/>
      <c r="K972" s="16"/>
      <c r="L972" s="16"/>
      <c r="M972" s="16"/>
      <c r="N972" s="16"/>
      <c r="O972" s="16"/>
      <c r="P972" s="16"/>
      <c r="Q972" s="16"/>
      <c r="R972" s="16"/>
      <c r="S972" s="16">
        <v>9.0</v>
      </c>
      <c r="T972" s="16"/>
      <c r="U972" s="16" t="s">
        <v>4174</v>
      </c>
      <c r="V972" s="16" t="s">
        <v>4175</v>
      </c>
      <c r="W972" s="16" t="s">
        <v>360</v>
      </c>
    </row>
    <row r="973">
      <c r="A973" s="16">
        <v>12397.0</v>
      </c>
      <c r="B973" s="16" t="s">
        <v>4176</v>
      </c>
      <c r="C973" s="16">
        <v>0.2</v>
      </c>
      <c r="D973" s="174" t="s">
        <v>4177</v>
      </c>
      <c r="E973" s="16"/>
      <c r="F973" s="16">
        <v>498.0</v>
      </c>
      <c r="G973" s="16" t="s">
        <v>176</v>
      </c>
      <c r="H973" s="16" t="s">
        <v>25</v>
      </c>
      <c r="I973" s="16" t="s">
        <v>26</v>
      </c>
      <c r="J973" s="16"/>
      <c r="K973" s="16"/>
      <c r="L973" s="16"/>
      <c r="M973" s="16"/>
      <c r="N973" s="16"/>
      <c r="O973" s="16"/>
      <c r="P973" s="16"/>
      <c r="Q973" s="16"/>
      <c r="R973" s="16"/>
      <c r="S973" s="16">
        <v>15.0</v>
      </c>
      <c r="T973" s="16"/>
      <c r="U973" s="16" t="s">
        <v>4178</v>
      </c>
      <c r="V973" s="16" t="s">
        <v>4179</v>
      </c>
      <c r="W973" s="16" t="s">
        <v>231</v>
      </c>
    </row>
    <row r="974">
      <c r="A974" s="16">
        <v>12398.0</v>
      </c>
      <c r="B974" s="16" t="s">
        <v>4180</v>
      </c>
      <c r="C974" s="16">
        <v>0.94</v>
      </c>
      <c r="D974" s="174" t="s">
        <v>4181</v>
      </c>
      <c r="E974" s="16"/>
      <c r="F974" s="16">
        <v>540.0</v>
      </c>
      <c r="G974" s="16" t="s">
        <v>1729</v>
      </c>
      <c r="H974" s="16" t="s">
        <v>17</v>
      </c>
      <c r="I974" s="16" t="s">
        <v>19</v>
      </c>
      <c r="J974" s="16"/>
      <c r="K974" s="16"/>
      <c r="L974" s="16"/>
      <c r="M974" s="16"/>
      <c r="N974" s="16"/>
      <c r="O974" s="16"/>
      <c r="P974" s="16"/>
      <c r="Q974" s="16"/>
      <c r="R974" s="16"/>
      <c r="S974" s="16">
        <v>15.0</v>
      </c>
      <c r="T974" s="16"/>
      <c r="U974" s="16" t="s">
        <v>4182</v>
      </c>
      <c r="V974" s="16" t="s">
        <v>4183</v>
      </c>
      <c r="W974" s="16" t="s">
        <v>179</v>
      </c>
    </row>
    <row r="975">
      <c r="A975" s="16">
        <v>12399.0</v>
      </c>
      <c r="B975" s="16" t="s">
        <v>4184</v>
      </c>
      <c r="C975" s="16">
        <v>1.35</v>
      </c>
      <c r="D975" s="174" t="s">
        <v>4185</v>
      </c>
      <c r="E975" s="16"/>
      <c r="F975" s="16">
        <v>508.0</v>
      </c>
      <c r="G975" s="16" t="s">
        <v>4754</v>
      </c>
      <c r="H975" s="16" t="s">
        <v>25</v>
      </c>
      <c r="I975" s="16" t="s">
        <v>26</v>
      </c>
      <c r="J975" s="16"/>
      <c r="K975" s="16"/>
      <c r="L975" s="16"/>
      <c r="M975" s="16"/>
      <c r="N975" s="16"/>
      <c r="O975" s="16"/>
      <c r="P975" s="16"/>
      <c r="Q975" s="16"/>
      <c r="R975" s="16"/>
      <c r="S975" s="16">
        <v>16.0</v>
      </c>
      <c r="T975" s="16"/>
      <c r="U975" s="16" t="s">
        <v>4187</v>
      </c>
      <c r="V975" s="16" t="s">
        <v>4188</v>
      </c>
      <c r="W975" s="16" t="s">
        <v>634</v>
      </c>
    </row>
    <row r="976">
      <c r="A976" s="16">
        <v>12400.0</v>
      </c>
      <c r="B976" s="16" t="s">
        <v>4189</v>
      </c>
      <c r="C976" s="16">
        <v>0.0</v>
      </c>
      <c r="D976" s="174" t="s">
        <v>4190</v>
      </c>
      <c r="E976" s="16"/>
      <c r="F976" s="16">
        <v>544.0</v>
      </c>
      <c r="G976" s="16" t="s">
        <v>272</v>
      </c>
      <c r="H976" s="16" t="s">
        <v>24</v>
      </c>
      <c r="I976" s="16" t="s">
        <v>25</v>
      </c>
      <c r="J976" s="16" t="s">
        <v>26</v>
      </c>
      <c r="K976" s="16"/>
      <c r="L976" s="16"/>
      <c r="M976" s="16"/>
      <c r="N976" s="16"/>
      <c r="O976" s="16"/>
      <c r="P976" s="16"/>
      <c r="Q976" s="16"/>
      <c r="R976" s="16"/>
      <c r="S976" s="16">
        <v>1.0</v>
      </c>
      <c r="T976" s="174" t="s">
        <v>4832</v>
      </c>
      <c r="U976" s="16" t="s">
        <v>4191</v>
      </c>
      <c r="V976" s="16" t="s">
        <v>4192</v>
      </c>
      <c r="W976" s="16" t="s">
        <v>491</v>
      </c>
    </row>
    <row r="977">
      <c r="A977" s="16">
        <v>12401.0</v>
      </c>
      <c r="B977" s="16" t="s">
        <v>4193</v>
      </c>
      <c r="C977" s="16">
        <v>0.6</v>
      </c>
      <c r="D977" s="174" t="s">
        <v>4194</v>
      </c>
      <c r="E977" s="16"/>
      <c r="F977" s="16">
        <v>498.0</v>
      </c>
      <c r="G977" s="16" t="s">
        <v>176</v>
      </c>
      <c r="H977" s="16" t="s">
        <v>24</v>
      </c>
      <c r="I977" s="16"/>
      <c r="J977" s="16"/>
      <c r="K977" s="16"/>
      <c r="L977" s="16"/>
      <c r="M977" s="16"/>
      <c r="N977" s="16"/>
      <c r="O977" s="16"/>
      <c r="P977" s="16"/>
      <c r="Q977" s="16"/>
      <c r="R977" s="16"/>
      <c r="S977" s="16">
        <v>-2.0</v>
      </c>
      <c r="T977" s="16"/>
      <c r="U977" s="16" t="s">
        <v>4196</v>
      </c>
      <c r="V977" s="16" t="s">
        <v>4197</v>
      </c>
      <c r="W977" s="16" t="s">
        <v>443</v>
      </c>
    </row>
    <row r="978">
      <c r="A978" s="16">
        <v>12402.0</v>
      </c>
      <c r="B978" s="16" t="s">
        <v>4198</v>
      </c>
      <c r="C978" s="16">
        <v>1.92</v>
      </c>
      <c r="D978" s="174" t="s">
        <v>4199</v>
      </c>
      <c r="E978" s="16"/>
      <c r="F978" s="16">
        <v>520.0</v>
      </c>
      <c r="G978" s="16" t="s">
        <v>292</v>
      </c>
      <c r="H978" s="16" t="s">
        <v>16</v>
      </c>
      <c r="I978" s="16"/>
      <c r="J978" s="16"/>
      <c r="K978" s="16"/>
      <c r="L978" s="16"/>
      <c r="M978" s="16"/>
      <c r="N978" s="16"/>
      <c r="O978" s="16"/>
      <c r="P978" s="16"/>
      <c r="Q978" s="16"/>
      <c r="R978" s="16"/>
      <c r="S978" s="16">
        <v>14.0</v>
      </c>
      <c r="T978" s="16"/>
      <c r="U978" s="16" t="s">
        <v>4200</v>
      </c>
      <c r="V978" s="16" t="s">
        <v>4201</v>
      </c>
      <c r="W978" s="16" t="s">
        <v>459</v>
      </c>
    </row>
    <row r="979">
      <c r="A979" s="16">
        <v>12403.0</v>
      </c>
      <c r="B979" s="16" t="s">
        <v>4202</v>
      </c>
      <c r="C979" s="16">
        <v>2.93</v>
      </c>
      <c r="D979" s="174" t="s">
        <v>4203</v>
      </c>
      <c r="E979" s="16"/>
      <c r="F979" s="16">
        <v>529.0</v>
      </c>
      <c r="G979" s="16" t="s">
        <v>333</v>
      </c>
      <c r="H979" s="16" t="s">
        <v>24</v>
      </c>
      <c r="I979" s="16"/>
      <c r="J979" s="16"/>
      <c r="K979" s="16"/>
      <c r="L979" s="16"/>
      <c r="M979" s="16"/>
      <c r="N979" s="16"/>
      <c r="O979" s="16"/>
      <c r="P979" s="16"/>
      <c r="Q979" s="16"/>
      <c r="R979" s="16"/>
      <c r="S979" s="16">
        <v>18.0</v>
      </c>
      <c r="T979" s="16"/>
      <c r="U979" s="16" t="s">
        <v>4204</v>
      </c>
      <c r="V979" s="16" t="s">
        <v>4205</v>
      </c>
      <c r="W979" s="16" t="s">
        <v>942</v>
      </c>
    </row>
    <row r="980">
      <c r="A980" s="16">
        <v>12404.0</v>
      </c>
      <c r="B980" s="16" t="s">
        <v>4206</v>
      </c>
      <c r="C980" s="16">
        <v>0.0</v>
      </c>
      <c r="D980" s="174" t="s">
        <v>4207</v>
      </c>
      <c r="E980" s="16"/>
      <c r="F980" s="16">
        <v>498.0</v>
      </c>
      <c r="G980" s="16" t="s">
        <v>176</v>
      </c>
      <c r="H980" s="16" t="s">
        <v>19</v>
      </c>
      <c r="I980" s="16" t="s">
        <v>17</v>
      </c>
      <c r="J980" s="16"/>
      <c r="K980" s="16"/>
      <c r="L980" s="16"/>
      <c r="M980" s="16"/>
      <c r="N980" s="16"/>
      <c r="O980" s="16"/>
      <c r="P980" s="16"/>
      <c r="Q980" s="16"/>
      <c r="R980" s="16"/>
      <c r="S980" s="16">
        <v>-2.0</v>
      </c>
      <c r="T980" s="16"/>
      <c r="U980" s="16" t="s">
        <v>4208</v>
      </c>
      <c r="V980" s="16" t="s">
        <v>4209</v>
      </c>
      <c r="W980" s="16" t="s">
        <v>199</v>
      </c>
    </row>
    <row r="981">
      <c r="A981" s="16">
        <v>12405.0</v>
      </c>
      <c r="B981" s="16" t="s">
        <v>4210</v>
      </c>
      <c r="C981" s="16">
        <v>0.0</v>
      </c>
      <c r="D981" s="174" t="s">
        <v>4211</v>
      </c>
      <c r="E981" s="16"/>
      <c r="F981" s="16">
        <v>498.0</v>
      </c>
      <c r="G981" s="16" t="s">
        <v>176</v>
      </c>
      <c r="H981" s="16" t="s">
        <v>15</v>
      </c>
      <c r="I981" s="16" t="s">
        <v>13</v>
      </c>
      <c r="J981" s="16" t="s">
        <v>14</v>
      </c>
      <c r="K981" s="16"/>
      <c r="L981" s="16"/>
      <c r="M981" s="16"/>
      <c r="N981" s="16"/>
      <c r="O981" s="16"/>
      <c r="P981" s="16"/>
      <c r="Q981" s="16"/>
      <c r="R981" s="16"/>
      <c r="S981" s="16">
        <v>-2.0</v>
      </c>
      <c r="T981" s="16"/>
      <c r="U981" s="16" t="s">
        <v>4212</v>
      </c>
      <c r="V981" s="16" t="s">
        <v>4213</v>
      </c>
      <c r="W981" s="16" t="s">
        <v>332</v>
      </c>
    </row>
    <row r="982">
      <c r="A982" s="16">
        <v>12406.0</v>
      </c>
      <c r="B982" s="16" t="s">
        <v>4214</v>
      </c>
      <c r="C982" s="16">
        <v>1.71</v>
      </c>
      <c r="D982" s="174" t="s">
        <v>4215</v>
      </c>
      <c r="E982" s="16"/>
      <c r="F982" s="16">
        <v>498.0</v>
      </c>
      <c r="G982" s="16" t="s">
        <v>176</v>
      </c>
      <c r="H982" s="16" t="s">
        <v>16</v>
      </c>
      <c r="I982" s="16"/>
      <c r="J982" s="16"/>
      <c r="K982" s="16"/>
      <c r="L982" s="16"/>
      <c r="M982" s="16"/>
      <c r="N982" s="16"/>
      <c r="O982" s="16"/>
      <c r="P982" s="16"/>
      <c r="Q982" s="16"/>
      <c r="R982" s="16"/>
      <c r="S982" s="16">
        <v>-2.0</v>
      </c>
      <c r="T982" s="16"/>
      <c r="U982" s="16" t="s">
        <v>4216</v>
      </c>
      <c r="V982" s="16" t="s">
        <v>4217</v>
      </c>
      <c r="W982" s="16" t="s">
        <v>199</v>
      </c>
    </row>
    <row r="983">
      <c r="A983" s="16">
        <v>12407.0</v>
      </c>
      <c r="B983" s="16" t="s">
        <v>4218</v>
      </c>
      <c r="C983" s="16">
        <v>0.72</v>
      </c>
      <c r="D983" s="174" t="s">
        <v>4219</v>
      </c>
      <c r="E983" s="16"/>
      <c r="F983" s="16">
        <v>512.0</v>
      </c>
      <c r="G983" s="16" t="s">
        <v>3300</v>
      </c>
      <c r="H983" s="16" t="s">
        <v>13</v>
      </c>
      <c r="I983" s="16"/>
      <c r="J983" s="16"/>
      <c r="K983" s="16"/>
      <c r="L983" s="16"/>
      <c r="M983" s="16"/>
      <c r="N983" s="16"/>
      <c r="O983" s="16"/>
      <c r="P983" s="16"/>
      <c r="Q983" s="16"/>
      <c r="R983" s="16" t="s">
        <v>4756</v>
      </c>
      <c r="S983" s="16">
        <v>17.0</v>
      </c>
      <c r="T983" s="16"/>
      <c r="U983" s="16" t="s">
        <v>4220</v>
      </c>
      <c r="V983" s="16" t="s">
        <v>4221</v>
      </c>
      <c r="W983" s="16" t="s">
        <v>422</v>
      </c>
    </row>
    <row r="984">
      <c r="A984" s="16">
        <v>12408.0</v>
      </c>
      <c r="B984" s="16" t="s">
        <v>4222</v>
      </c>
      <c r="C984" s="16">
        <v>0.0</v>
      </c>
      <c r="D984" s="174" t="s">
        <v>4223</v>
      </c>
      <c r="E984" s="16"/>
      <c r="F984" s="16">
        <v>498.0</v>
      </c>
      <c r="G984" s="16" t="s">
        <v>176</v>
      </c>
      <c r="H984" s="16" t="s">
        <v>24</v>
      </c>
      <c r="I984" s="16"/>
      <c r="J984" s="16"/>
      <c r="K984" s="16"/>
      <c r="L984" s="16"/>
      <c r="M984" s="16"/>
      <c r="N984" s="16"/>
      <c r="O984" s="16"/>
      <c r="P984" s="16"/>
      <c r="Q984" s="16"/>
      <c r="R984" s="16"/>
      <c r="S984" s="16">
        <v>-2.0</v>
      </c>
      <c r="T984" s="16"/>
      <c r="U984" s="16" t="s">
        <v>4224</v>
      </c>
      <c r="V984" s="16" t="s">
        <v>4225</v>
      </c>
      <c r="W984" s="16" t="s">
        <v>360</v>
      </c>
    </row>
    <row r="985">
      <c r="A985" s="16">
        <v>12409.0</v>
      </c>
      <c r="B985" s="16" t="s">
        <v>4226</v>
      </c>
      <c r="C985" s="16">
        <v>0.91</v>
      </c>
      <c r="D985" s="174" t="s">
        <v>4227</v>
      </c>
      <c r="E985" s="16"/>
      <c r="F985" s="16">
        <v>498.0</v>
      </c>
      <c r="G985" s="16" t="s">
        <v>176</v>
      </c>
      <c r="H985" s="16" t="s">
        <v>12</v>
      </c>
      <c r="I985" s="16"/>
      <c r="J985" s="16"/>
      <c r="K985" s="16"/>
      <c r="L985" s="16"/>
      <c r="M985" s="16"/>
      <c r="N985" s="16"/>
      <c r="O985" s="16"/>
      <c r="P985" s="16"/>
      <c r="Q985" s="16"/>
      <c r="R985" s="16"/>
      <c r="S985" s="16">
        <v>-2.0</v>
      </c>
      <c r="T985" s="16"/>
      <c r="U985" s="16" t="s">
        <v>4228</v>
      </c>
      <c r="V985" s="16" t="s">
        <v>4229</v>
      </c>
      <c r="W985" s="16" t="s">
        <v>399</v>
      </c>
    </row>
    <row r="986">
      <c r="A986" s="16">
        <v>12410.0</v>
      </c>
      <c r="B986" s="16" t="s">
        <v>4230</v>
      </c>
      <c r="C986" s="16">
        <v>0.0</v>
      </c>
      <c r="D986" s="174" t="s">
        <v>4231</v>
      </c>
      <c r="E986" s="16"/>
      <c r="F986" s="16">
        <v>498.0</v>
      </c>
      <c r="G986" s="16" t="s">
        <v>176</v>
      </c>
      <c r="H986" s="16" t="s">
        <v>24</v>
      </c>
      <c r="I986" s="16" t="s">
        <v>25</v>
      </c>
      <c r="J986" s="16"/>
      <c r="K986" s="16"/>
      <c r="L986" s="16"/>
      <c r="M986" s="16"/>
      <c r="N986" s="16"/>
      <c r="O986" s="16"/>
      <c r="P986" s="16"/>
      <c r="Q986" s="16"/>
      <c r="R986" s="16"/>
      <c r="S986" s="16">
        <v>-2.0</v>
      </c>
      <c r="T986" s="16"/>
      <c r="U986" s="16" t="s">
        <v>4232</v>
      </c>
      <c r="V986" s="16" t="s">
        <v>4233</v>
      </c>
      <c r="W986" s="16" t="s">
        <v>360</v>
      </c>
    </row>
    <row r="987">
      <c r="A987" s="16">
        <v>12411.0</v>
      </c>
      <c r="B987" s="16" t="s">
        <v>4234</v>
      </c>
      <c r="C987" s="16">
        <v>0.0</v>
      </c>
      <c r="D987" s="174" t="s">
        <v>4235</v>
      </c>
      <c r="E987" s="16"/>
      <c r="F987" s="16">
        <v>498.0</v>
      </c>
      <c r="G987" s="16" t="s">
        <v>176</v>
      </c>
      <c r="H987" s="16" t="s">
        <v>13</v>
      </c>
      <c r="I987" s="16" t="s">
        <v>14</v>
      </c>
      <c r="J987" s="16"/>
      <c r="K987" s="16"/>
      <c r="L987" s="16"/>
      <c r="M987" s="16"/>
      <c r="N987" s="16"/>
      <c r="O987" s="16"/>
      <c r="P987" s="16"/>
      <c r="Q987" s="16"/>
      <c r="R987" s="16"/>
      <c r="S987" s="16">
        <v>-2.0</v>
      </c>
      <c r="T987" s="16"/>
      <c r="U987" s="16" t="s">
        <v>4236</v>
      </c>
      <c r="V987" s="16" t="s">
        <v>4237</v>
      </c>
      <c r="W987" s="16" t="s">
        <v>443</v>
      </c>
    </row>
    <row r="988">
      <c r="A988" s="16">
        <v>12412.0</v>
      </c>
      <c r="B988" s="16" t="s">
        <v>4238</v>
      </c>
      <c r="C988" s="16">
        <v>0.2</v>
      </c>
      <c r="D988" s="174" t="s">
        <v>4239</v>
      </c>
      <c r="E988" s="16"/>
      <c r="F988" s="16">
        <v>498.0</v>
      </c>
      <c r="G988" s="16" t="s">
        <v>176</v>
      </c>
      <c r="H988" s="16" t="s">
        <v>24</v>
      </c>
      <c r="I988" s="16" t="s">
        <v>25</v>
      </c>
      <c r="J988" s="16"/>
      <c r="K988" s="16"/>
      <c r="L988" s="16"/>
      <c r="M988" s="16"/>
      <c r="N988" s="16"/>
      <c r="O988" s="16"/>
      <c r="P988" s="16"/>
      <c r="Q988" s="16"/>
      <c r="R988" s="16"/>
      <c r="S988" s="16">
        <v>-2.0</v>
      </c>
      <c r="T988" s="16"/>
      <c r="U988" s="16" t="s">
        <v>4240</v>
      </c>
      <c r="V988" s="16" t="s">
        <v>4241</v>
      </c>
      <c r="W988" s="16" t="s">
        <v>491</v>
      </c>
    </row>
    <row r="989">
      <c r="A989" s="16">
        <v>12413.0</v>
      </c>
      <c r="B989" s="16" t="s">
        <v>4242</v>
      </c>
      <c r="C989" s="16">
        <v>1.56</v>
      </c>
      <c r="D989" s="174" t="s">
        <v>4243</v>
      </c>
      <c r="E989" s="16"/>
      <c r="F989" s="16">
        <v>498.0</v>
      </c>
      <c r="G989" s="16" t="s">
        <v>176</v>
      </c>
      <c r="H989" s="16" t="s">
        <v>24</v>
      </c>
      <c r="I989" s="16"/>
      <c r="J989" s="16"/>
      <c r="K989" s="16"/>
      <c r="L989" s="16"/>
      <c r="M989" s="16"/>
      <c r="N989" s="16"/>
      <c r="O989" s="16"/>
      <c r="P989" s="16"/>
      <c r="Q989" s="16"/>
      <c r="R989" s="16"/>
      <c r="S989" s="16">
        <v>-2.0</v>
      </c>
      <c r="T989" s="16"/>
      <c r="U989" s="16" t="s">
        <v>4244</v>
      </c>
      <c r="V989" s="16" t="s">
        <v>4245</v>
      </c>
      <c r="W989" s="16" t="s">
        <v>188</v>
      </c>
    </row>
    <row r="990">
      <c r="A990" s="16">
        <v>12414.0</v>
      </c>
      <c r="B990" s="16" t="s">
        <v>4246</v>
      </c>
      <c r="C990" s="16">
        <v>0.65</v>
      </c>
      <c r="D990" s="174" t="s">
        <v>4247</v>
      </c>
      <c r="E990" s="16"/>
      <c r="F990" s="16">
        <v>523.0</v>
      </c>
      <c r="G990" s="16" t="s">
        <v>306</v>
      </c>
      <c r="H990" s="16" t="s">
        <v>25</v>
      </c>
      <c r="I990" s="16" t="s">
        <v>26</v>
      </c>
      <c r="J990" s="16"/>
      <c r="K990" s="16"/>
      <c r="L990" s="16"/>
      <c r="M990" s="16"/>
      <c r="N990" s="16"/>
      <c r="O990" s="16"/>
      <c r="P990" s="16"/>
      <c r="Q990" s="16"/>
      <c r="R990" s="16"/>
      <c r="S990" s="16">
        <v>1.0</v>
      </c>
      <c r="T990" s="16"/>
      <c r="U990" s="16" t="s">
        <v>4248</v>
      </c>
      <c r="V990" s="16" t="s">
        <v>4249</v>
      </c>
      <c r="W990" s="16" t="s">
        <v>360</v>
      </c>
    </row>
    <row r="991">
      <c r="A991" s="16">
        <v>12415.0</v>
      </c>
      <c r="B991" s="16" t="s">
        <v>4250</v>
      </c>
      <c r="C991" s="16">
        <v>2.38</v>
      </c>
      <c r="D991" s="174" t="s">
        <v>4251</v>
      </c>
      <c r="E991" s="16"/>
      <c r="F991" s="16">
        <v>538.0</v>
      </c>
      <c r="G991" s="16" t="s">
        <v>289</v>
      </c>
      <c r="H991" s="16" t="s">
        <v>16</v>
      </c>
      <c r="I991" s="16" t="s">
        <v>18</v>
      </c>
      <c r="J991" s="16" t="s">
        <v>14</v>
      </c>
      <c r="K991" s="16" t="s">
        <v>17</v>
      </c>
      <c r="L991" s="16" t="s">
        <v>13</v>
      </c>
      <c r="M991" s="16"/>
      <c r="N991" s="16"/>
      <c r="O991" s="16"/>
      <c r="P991" s="16"/>
      <c r="Q991" s="16"/>
      <c r="R991" s="16"/>
      <c r="S991" s="16">
        <v>15.0</v>
      </c>
      <c r="T991" s="16"/>
      <c r="U991" s="16" t="s">
        <v>4252</v>
      </c>
      <c r="V991" s="16" t="s">
        <v>4253</v>
      </c>
      <c r="W991" s="16" t="s">
        <v>179</v>
      </c>
    </row>
    <row r="992">
      <c r="A992" s="16">
        <v>12416.0</v>
      </c>
      <c r="B992" s="16" t="s">
        <v>4254</v>
      </c>
      <c r="C992" s="16">
        <v>0.68</v>
      </c>
      <c r="D992" s="174" t="s">
        <v>4255</v>
      </c>
      <c r="E992" s="16"/>
      <c r="F992" s="16">
        <v>498.0</v>
      </c>
      <c r="G992" s="16" t="s">
        <v>176</v>
      </c>
      <c r="H992" s="16" t="s">
        <v>18</v>
      </c>
      <c r="I992" s="16" t="s">
        <v>16</v>
      </c>
      <c r="J992" s="16" t="s">
        <v>14</v>
      </c>
      <c r="K992" s="16" t="s">
        <v>15</v>
      </c>
      <c r="L992" s="16"/>
      <c r="M992" s="16"/>
      <c r="N992" s="16"/>
      <c r="O992" s="16"/>
      <c r="P992" s="16"/>
      <c r="Q992" s="16"/>
      <c r="R992" s="16"/>
      <c r="S992" s="16">
        <v>-2.0</v>
      </c>
      <c r="T992" s="16"/>
      <c r="U992" s="16" t="s">
        <v>4256</v>
      </c>
      <c r="V992" s="16" t="s">
        <v>4257</v>
      </c>
      <c r="W992" s="16" t="s">
        <v>491</v>
      </c>
    </row>
    <row r="993">
      <c r="A993" s="16">
        <v>12417.0</v>
      </c>
      <c r="B993" s="16" t="s">
        <v>4258</v>
      </c>
      <c r="C993" s="16">
        <v>1.28</v>
      </c>
      <c r="D993" s="174" t="s">
        <v>4259</v>
      </c>
      <c r="E993" s="16"/>
      <c r="F993" s="16">
        <v>511.0</v>
      </c>
      <c r="G993" s="16" t="s">
        <v>245</v>
      </c>
      <c r="H993" s="16" t="s">
        <v>24</v>
      </c>
      <c r="I993" s="16"/>
      <c r="J993" s="16"/>
      <c r="K993" s="16"/>
      <c r="L993" s="16"/>
      <c r="M993" s="16"/>
      <c r="N993" s="16"/>
      <c r="O993" s="16"/>
      <c r="P993" s="16"/>
      <c r="Q993" s="16"/>
      <c r="R993" s="16"/>
      <c r="S993" s="16">
        <v>17.0</v>
      </c>
      <c r="T993" s="16"/>
      <c r="U993" s="16" t="s">
        <v>4260</v>
      </c>
      <c r="V993" s="16" t="s">
        <v>4261</v>
      </c>
      <c r="W993" s="16" t="s">
        <v>722</v>
      </c>
    </row>
    <row r="994">
      <c r="A994" s="16">
        <v>12418.0</v>
      </c>
      <c r="B994" s="16" t="s">
        <v>4262</v>
      </c>
      <c r="C994" s="16">
        <v>1.58</v>
      </c>
      <c r="D994" s="174" t="s">
        <v>4263</v>
      </c>
      <c r="E994" s="16"/>
      <c r="F994" s="16">
        <v>535.0</v>
      </c>
      <c r="G994" s="16" t="s">
        <v>361</v>
      </c>
      <c r="H994" s="16" t="s">
        <v>24</v>
      </c>
      <c r="I994" s="16" t="s">
        <v>25</v>
      </c>
      <c r="J994" s="16" t="s">
        <v>26</v>
      </c>
      <c r="K994" s="16"/>
      <c r="L994" s="16"/>
      <c r="M994" s="16"/>
      <c r="N994" s="16"/>
      <c r="O994" s="16"/>
      <c r="P994" s="16"/>
      <c r="Q994" s="16"/>
      <c r="R994" s="16"/>
      <c r="S994" s="16">
        <v>14.0</v>
      </c>
      <c r="T994" s="16"/>
      <c r="U994" s="16" t="s">
        <v>4264</v>
      </c>
      <c r="V994" s="16" t="s">
        <v>4265</v>
      </c>
      <c r="W994" s="16" t="s">
        <v>188</v>
      </c>
    </row>
    <row r="995">
      <c r="A995" s="16">
        <v>12419.0</v>
      </c>
      <c r="B995" s="16" t="s">
        <v>4266</v>
      </c>
      <c r="C995" s="16">
        <v>0.0</v>
      </c>
      <c r="D995" s="174" t="s">
        <v>4267</v>
      </c>
      <c r="E995" s="16"/>
      <c r="F995" s="16">
        <v>498.0</v>
      </c>
      <c r="G995" s="16" t="s">
        <v>176</v>
      </c>
      <c r="H995" s="16" t="s">
        <v>25</v>
      </c>
      <c r="I995" s="16" t="s">
        <v>26</v>
      </c>
      <c r="J995" s="16"/>
      <c r="K995" s="16"/>
      <c r="L995" s="16"/>
      <c r="M995" s="16"/>
      <c r="N995" s="16"/>
      <c r="O995" s="16"/>
      <c r="P995" s="16"/>
      <c r="Q995" s="16"/>
      <c r="R995" s="16"/>
      <c r="S995" s="16">
        <v>-2.0</v>
      </c>
      <c r="T995" s="16"/>
      <c r="U995" s="16" t="s">
        <v>4268</v>
      </c>
      <c r="V995" s="16" t="s">
        <v>4269</v>
      </c>
      <c r="W995" s="16" t="s">
        <v>179</v>
      </c>
    </row>
    <row r="996">
      <c r="A996" s="16">
        <v>12420.0</v>
      </c>
      <c r="B996" s="16" t="s">
        <v>4270</v>
      </c>
      <c r="C996" s="16">
        <v>0.0</v>
      </c>
      <c r="D996" s="174" t="s">
        <v>4271</v>
      </c>
      <c r="E996" s="16"/>
      <c r="F996" s="16">
        <v>498.0</v>
      </c>
      <c r="G996" s="16" t="s">
        <v>176</v>
      </c>
      <c r="H996" s="16" t="s">
        <v>13</v>
      </c>
      <c r="I996" s="16" t="s">
        <v>15</v>
      </c>
      <c r="J996" s="16" t="s">
        <v>19</v>
      </c>
      <c r="K996" s="16" t="s">
        <v>17</v>
      </c>
      <c r="L996" s="16"/>
      <c r="M996" s="16"/>
      <c r="N996" s="16"/>
      <c r="O996" s="16"/>
      <c r="P996" s="16"/>
      <c r="Q996" s="16"/>
      <c r="R996" s="16"/>
      <c r="S996" s="16">
        <v>-2.0</v>
      </c>
      <c r="T996" s="16"/>
      <c r="U996" s="16" t="s">
        <v>4272</v>
      </c>
      <c r="V996" s="16" t="s">
        <v>4273</v>
      </c>
      <c r="W996" s="16" t="s">
        <v>360</v>
      </c>
    </row>
    <row r="997">
      <c r="A997" s="16">
        <v>12421.0</v>
      </c>
      <c r="B997" s="16" t="s">
        <v>4274</v>
      </c>
      <c r="C997" s="16">
        <v>1.59</v>
      </c>
      <c r="D997" s="174" t="s">
        <v>4275</v>
      </c>
      <c r="E997" s="16"/>
      <c r="F997" s="16">
        <v>511.0</v>
      </c>
      <c r="G997" s="16" t="s">
        <v>245</v>
      </c>
      <c r="H997" s="16" t="s">
        <v>17</v>
      </c>
      <c r="I997" s="16" t="s">
        <v>19</v>
      </c>
      <c r="J997" s="16"/>
      <c r="K997" s="16"/>
      <c r="L997" s="16"/>
      <c r="M997" s="16"/>
      <c r="N997" s="16"/>
      <c r="O997" s="16"/>
      <c r="P997" s="16"/>
      <c r="Q997" s="16"/>
      <c r="R997" s="16"/>
      <c r="S997" s="16">
        <v>1.0</v>
      </c>
      <c r="T997" s="16"/>
      <c r="U997" s="16" t="s">
        <v>4276</v>
      </c>
      <c r="V997" s="16" t="s">
        <v>4277</v>
      </c>
      <c r="W997" s="16" t="s">
        <v>259</v>
      </c>
    </row>
    <row r="998">
      <c r="A998" s="16">
        <v>12422.0</v>
      </c>
      <c r="B998" s="16" t="s">
        <v>4278</v>
      </c>
      <c r="C998" s="16">
        <v>0.0</v>
      </c>
      <c r="D998" s="174" t="s">
        <v>4279</v>
      </c>
      <c r="E998" s="16"/>
      <c r="F998" s="16">
        <v>498.0</v>
      </c>
      <c r="G998" s="16" t="s">
        <v>176</v>
      </c>
      <c r="H998" s="16" t="s">
        <v>24</v>
      </c>
      <c r="I998" s="16" t="s">
        <v>25</v>
      </c>
      <c r="J998" s="16"/>
      <c r="K998" s="16"/>
      <c r="L998" s="16"/>
      <c r="M998" s="16"/>
      <c r="N998" s="16"/>
      <c r="O998" s="16"/>
      <c r="P998" s="16"/>
      <c r="Q998" s="16"/>
      <c r="R998" s="16"/>
      <c r="S998" s="16">
        <v>-2.0</v>
      </c>
      <c r="T998" s="16"/>
      <c r="U998" s="16" t="s">
        <v>4280</v>
      </c>
      <c r="V998" s="16" t="s">
        <v>4281</v>
      </c>
      <c r="W998" s="16" t="s">
        <v>199</v>
      </c>
    </row>
    <row r="999">
      <c r="A999" s="16">
        <v>12423.0</v>
      </c>
      <c r="B999" s="16" t="s">
        <v>4282</v>
      </c>
      <c r="C999" s="16">
        <v>1.02</v>
      </c>
      <c r="D999" s="174" t="s">
        <v>4283</v>
      </c>
      <c r="E999" s="16"/>
      <c r="F999" s="16">
        <v>532.0</v>
      </c>
      <c r="G999" s="16" t="s">
        <v>346</v>
      </c>
      <c r="H999" s="16" t="s">
        <v>25</v>
      </c>
      <c r="I999" s="16" t="s">
        <v>26</v>
      </c>
      <c r="J999" s="16"/>
      <c r="K999" s="16"/>
      <c r="L999" s="16"/>
      <c r="M999" s="16"/>
      <c r="N999" s="16"/>
      <c r="O999" s="16"/>
      <c r="P999" s="16"/>
      <c r="Q999" s="16"/>
      <c r="R999" s="16"/>
      <c r="S999" s="16">
        <v>1.0</v>
      </c>
      <c r="T999" s="16"/>
      <c r="U999" s="16" t="s">
        <v>4284</v>
      </c>
      <c r="V999" s="16" t="s">
        <v>4285</v>
      </c>
      <c r="W999" s="16" t="s">
        <v>231</v>
      </c>
    </row>
    <row r="1000">
      <c r="A1000" s="16">
        <v>12424.0</v>
      </c>
      <c r="B1000" s="16" t="s">
        <v>4286</v>
      </c>
      <c r="C1000" s="16">
        <v>0.68</v>
      </c>
      <c r="D1000" s="174" t="s">
        <v>4287</v>
      </c>
      <c r="E1000" s="16"/>
      <c r="F1000" s="16">
        <v>502.0</v>
      </c>
      <c r="G1000" s="16" t="s">
        <v>200</v>
      </c>
      <c r="H1000" s="16" t="s">
        <v>13</v>
      </c>
      <c r="I1000" s="16" t="s">
        <v>12</v>
      </c>
      <c r="J1000" s="16"/>
      <c r="K1000" s="16"/>
      <c r="L1000" s="16"/>
      <c r="M1000" s="16"/>
      <c r="N1000" s="16"/>
      <c r="O1000" s="16"/>
      <c r="P1000" s="16"/>
      <c r="Q1000" s="16"/>
      <c r="R1000" s="16"/>
      <c r="S1000" s="16">
        <v>8.0</v>
      </c>
      <c r="T1000" s="174" t="s">
        <v>4833</v>
      </c>
      <c r="U1000" s="16" t="s">
        <v>4288</v>
      </c>
      <c r="V1000" s="16" t="s">
        <v>4289</v>
      </c>
      <c r="W1000" s="16" t="s">
        <v>422</v>
      </c>
    </row>
    <row r="1001">
      <c r="A1001" s="16">
        <v>12425.0</v>
      </c>
      <c r="B1001" s="16" t="s">
        <v>4290</v>
      </c>
      <c r="C1001" s="16">
        <v>1.35</v>
      </c>
      <c r="D1001" s="174" t="s">
        <v>4291</v>
      </c>
      <c r="E1001" s="16"/>
      <c r="F1001" s="16">
        <v>520.0</v>
      </c>
      <c r="G1001" s="16" t="s">
        <v>292</v>
      </c>
      <c r="H1001" s="16" t="s">
        <v>12</v>
      </c>
      <c r="I1001" s="16"/>
      <c r="J1001" s="16"/>
      <c r="K1001" s="16"/>
      <c r="L1001" s="16"/>
      <c r="M1001" s="16"/>
      <c r="N1001" s="16"/>
      <c r="O1001" s="16"/>
      <c r="P1001" s="16"/>
      <c r="Q1001" s="16"/>
      <c r="R1001" s="16" t="s">
        <v>4763</v>
      </c>
      <c r="S1001" s="16">
        <v>17.0</v>
      </c>
      <c r="T1001" s="16"/>
      <c r="U1001" s="16" t="s">
        <v>4292</v>
      </c>
      <c r="V1001" s="16" t="s">
        <v>4293</v>
      </c>
      <c r="W1001" s="16" t="s">
        <v>443</v>
      </c>
    </row>
    <row r="1002">
      <c r="A1002" s="16">
        <v>12426.0</v>
      </c>
      <c r="B1002" s="16" t="s">
        <v>4294</v>
      </c>
      <c r="C1002" s="16">
        <v>0.0</v>
      </c>
      <c r="D1002" s="174" t="s">
        <v>4295</v>
      </c>
      <c r="E1002" s="16"/>
      <c r="F1002" s="16">
        <v>502.0</v>
      </c>
      <c r="G1002" s="16" t="s">
        <v>200</v>
      </c>
      <c r="H1002" s="16" t="s">
        <v>15</v>
      </c>
      <c r="I1002" s="16" t="s">
        <v>16</v>
      </c>
      <c r="J1002" s="16" t="s">
        <v>14</v>
      </c>
      <c r="K1002" s="16" t="s">
        <v>17</v>
      </c>
      <c r="L1002" s="16" t="s">
        <v>18</v>
      </c>
      <c r="M1002" s="16" t="s">
        <v>19</v>
      </c>
      <c r="N1002" s="16"/>
      <c r="O1002" s="16"/>
      <c r="P1002" s="16"/>
      <c r="Q1002" s="16"/>
      <c r="R1002" s="16"/>
      <c r="S1002" s="16">
        <v>11.0</v>
      </c>
      <c r="T1002" s="16"/>
      <c r="U1002" s="16" t="s">
        <v>4296</v>
      </c>
      <c r="V1002" s="16" t="s">
        <v>4297</v>
      </c>
      <c r="W1002" s="16" t="s">
        <v>360</v>
      </c>
    </row>
    <row r="1003">
      <c r="A1003" s="16">
        <v>12427.0</v>
      </c>
      <c r="B1003" s="16" t="s">
        <v>4298</v>
      </c>
      <c r="C1003" s="16">
        <v>0.48</v>
      </c>
      <c r="D1003" s="174" t="s">
        <v>4299</v>
      </c>
      <c r="E1003" s="16"/>
      <c r="F1003" s="16">
        <v>545.0</v>
      </c>
      <c r="G1003" s="16" t="s">
        <v>4779</v>
      </c>
      <c r="H1003" s="16" t="s">
        <v>24</v>
      </c>
      <c r="I1003" s="16"/>
      <c r="J1003" s="16"/>
      <c r="K1003" s="16"/>
      <c r="L1003" s="16"/>
      <c r="M1003" s="16"/>
      <c r="N1003" s="16"/>
      <c r="O1003" s="16"/>
      <c r="P1003" s="16"/>
      <c r="Q1003" s="16"/>
      <c r="R1003" s="16" t="s">
        <v>4834</v>
      </c>
      <c r="S1003" s="16">
        <v>12.0</v>
      </c>
      <c r="T1003" s="16"/>
      <c r="U1003" s="16" t="s">
        <v>4300</v>
      </c>
      <c r="V1003" s="16" t="s">
        <v>4301</v>
      </c>
      <c r="W1003" s="16" t="s">
        <v>566</v>
      </c>
    </row>
    <row r="1004">
      <c r="A1004" s="16">
        <v>12428.0</v>
      </c>
      <c r="B1004" s="16" t="s">
        <v>4302</v>
      </c>
      <c r="C1004" s="16">
        <v>1.68</v>
      </c>
      <c r="D1004" s="174" t="s">
        <v>4303</v>
      </c>
      <c r="E1004" s="16"/>
      <c r="F1004" s="16">
        <v>510.0</v>
      </c>
      <c r="G1004" s="16" t="s">
        <v>4782</v>
      </c>
      <c r="H1004" s="16" t="s">
        <v>19</v>
      </c>
      <c r="I1004" s="16" t="s">
        <v>18</v>
      </c>
      <c r="J1004" s="16" t="s">
        <v>17</v>
      </c>
      <c r="K1004" s="16"/>
      <c r="L1004" s="16"/>
      <c r="M1004" s="16"/>
      <c r="N1004" s="16"/>
      <c r="O1004" s="16"/>
      <c r="P1004" s="16"/>
      <c r="Q1004" s="16"/>
      <c r="R1004" s="16"/>
      <c r="S1004" s="16">
        <v>17.0</v>
      </c>
      <c r="T1004" s="16"/>
      <c r="U1004" s="16" t="s">
        <v>4304</v>
      </c>
      <c r="V1004" s="16" t="s">
        <v>4305</v>
      </c>
      <c r="W1004" s="16" t="s">
        <v>491</v>
      </c>
    </row>
    <row r="1005">
      <c r="A1005" s="16">
        <v>12429.0</v>
      </c>
      <c r="B1005" s="16" t="s">
        <v>4306</v>
      </c>
      <c r="C1005" s="16">
        <v>1.08</v>
      </c>
      <c r="D1005" s="174" t="s">
        <v>4307</v>
      </c>
      <c r="E1005" s="16"/>
      <c r="F1005" s="16">
        <v>502.0</v>
      </c>
      <c r="G1005" s="16" t="s">
        <v>200</v>
      </c>
      <c r="H1005" s="16" t="s">
        <v>25</v>
      </c>
      <c r="I1005" s="16" t="s">
        <v>26</v>
      </c>
      <c r="J1005" s="16"/>
      <c r="K1005" s="16"/>
      <c r="L1005" s="16"/>
      <c r="M1005" s="16"/>
      <c r="N1005" s="16"/>
      <c r="O1005" s="16"/>
      <c r="P1005" s="16"/>
      <c r="Q1005" s="16"/>
      <c r="R1005" s="16"/>
      <c r="S1005" s="16">
        <v>6.0</v>
      </c>
      <c r="T1005" s="16"/>
      <c r="U1005" s="16" t="s">
        <v>4308</v>
      </c>
      <c r="V1005" s="16" t="s">
        <v>4309</v>
      </c>
      <c r="W1005" s="16" t="s">
        <v>179</v>
      </c>
    </row>
    <row r="1006">
      <c r="A1006" s="16">
        <v>12430.0</v>
      </c>
      <c r="B1006" s="16" t="s">
        <v>4310</v>
      </c>
      <c r="C1006" s="16">
        <v>1.64</v>
      </c>
      <c r="D1006" s="174" t="s">
        <v>4311</v>
      </c>
      <c r="E1006" s="16"/>
      <c r="F1006" s="16">
        <v>531.0</v>
      </c>
      <c r="G1006" s="16" t="s">
        <v>3232</v>
      </c>
      <c r="H1006" s="16" t="s">
        <v>24</v>
      </c>
      <c r="I1006" s="16"/>
      <c r="J1006" s="16"/>
      <c r="K1006" s="16"/>
      <c r="L1006" s="16"/>
      <c r="M1006" s="16"/>
      <c r="N1006" s="16"/>
      <c r="O1006" s="16"/>
      <c r="P1006" s="16"/>
      <c r="Q1006" s="16"/>
      <c r="R1006" s="16"/>
      <c r="S1006" s="16">
        <v>13.0</v>
      </c>
      <c r="T1006" s="16"/>
      <c r="U1006" s="16" t="s">
        <v>4312</v>
      </c>
      <c r="V1006" s="16" t="s">
        <v>4313</v>
      </c>
      <c r="W1006" s="16" t="s">
        <v>360</v>
      </c>
    </row>
    <row r="1007">
      <c r="A1007" s="16">
        <v>12431.0</v>
      </c>
      <c r="B1007" s="16" t="s">
        <v>4314</v>
      </c>
      <c r="C1007" s="16">
        <v>0.0</v>
      </c>
      <c r="D1007" s="174" t="s">
        <v>4315</v>
      </c>
      <c r="E1007" s="16"/>
      <c r="F1007" s="16">
        <v>498.0</v>
      </c>
      <c r="G1007" s="16" t="s">
        <v>176</v>
      </c>
      <c r="H1007" s="16" t="s">
        <v>14</v>
      </c>
      <c r="I1007" s="16"/>
      <c r="J1007" s="16"/>
      <c r="K1007" s="16"/>
      <c r="L1007" s="16"/>
      <c r="M1007" s="16"/>
      <c r="N1007" s="16"/>
      <c r="O1007" s="16"/>
      <c r="P1007" s="16"/>
      <c r="Q1007" s="16"/>
      <c r="R1007" s="16"/>
      <c r="S1007" s="16">
        <v>-2.0</v>
      </c>
      <c r="T1007" s="16"/>
      <c r="U1007" s="16" t="s">
        <v>4316</v>
      </c>
      <c r="V1007" s="16" t="s">
        <v>4317</v>
      </c>
      <c r="W1007" s="16" t="s">
        <v>591</v>
      </c>
    </row>
    <row r="1008">
      <c r="A1008" s="16">
        <v>12432.0</v>
      </c>
      <c r="B1008" s="16" t="s">
        <v>4318</v>
      </c>
      <c r="C1008" s="16">
        <v>1.38</v>
      </c>
      <c r="D1008" s="174" t="s">
        <v>4319</v>
      </c>
      <c r="E1008" s="16"/>
      <c r="F1008" s="16">
        <v>531.0</v>
      </c>
      <c r="G1008" s="16" t="s">
        <v>3232</v>
      </c>
      <c r="H1008" s="16" t="s">
        <v>12</v>
      </c>
      <c r="I1008" s="16" t="s">
        <v>13</v>
      </c>
      <c r="J1008" s="16"/>
      <c r="K1008" s="16"/>
      <c r="L1008" s="16"/>
      <c r="M1008" s="16"/>
      <c r="N1008" s="16"/>
      <c r="O1008" s="16"/>
      <c r="P1008" s="16"/>
      <c r="Q1008" s="16"/>
      <c r="R1008" s="16"/>
      <c r="S1008" s="16">
        <v>15.0</v>
      </c>
      <c r="T1008" s="16"/>
      <c r="U1008" s="16" t="s">
        <v>4320</v>
      </c>
      <c r="V1008" s="16" t="s">
        <v>4321</v>
      </c>
      <c r="W1008" s="16" t="s">
        <v>634</v>
      </c>
    </row>
    <row r="1009">
      <c r="A1009" s="16">
        <v>12433.0</v>
      </c>
      <c r="B1009" s="16" t="s">
        <v>4322</v>
      </c>
      <c r="C1009" s="16">
        <v>0.21</v>
      </c>
      <c r="D1009" s="174" t="s">
        <v>4323</v>
      </c>
      <c r="E1009" s="16"/>
      <c r="F1009" s="16">
        <v>514.0</v>
      </c>
      <c r="G1009" s="16" t="s">
        <v>260</v>
      </c>
      <c r="H1009" s="16" t="s">
        <v>25</v>
      </c>
      <c r="I1009" s="16" t="s">
        <v>26</v>
      </c>
      <c r="J1009" s="16"/>
      <c r="K1009" s="16"/>
      <c r="L1009" s="16"/>
      <c r="M1009" s="16"/>
      <c r="N1009" s="16"/>
      <c r="O1009" s="16"/>
      <c r="P1009" s="16"/>
      <c r="Q1009" s="16"/>
      <c r="R1009" s="16"/>
      <c r="S1009" s="16">
        <v>1.0</v>
      </c>
      <c r="T1009" s="16"/>
      <c r="U1009" s="16" t="s">
        <v>4324</v>
      </c>
      <c r="V1009" s="16" t="s">
        <v>4325</v>
      </c>
      <c r="W1009" s="16" t="s">
        <v>199</v>
      </c>
    </row>
    <row r="1010">
      <c r="A1010" s="16">
        <v>12434.0</v>
      </c>
      <c r="B1010" s="16" t="s">
        <v>4326</v>
      </c>
      <c r="C1010" s="16">
        <v>3.05</v>
      </c>
      <c r="D1010" s="174" t="s">
        <v>4327</v>
      </c>
      <c r="E1010" s="16"/>
      <c r="F1010" s="16">
        <v>532.0</v>
      </c>
      <c r="G1010" s="16" t="s">
        <v>346</v>
      </c>
      <c r="H1010" s="16" t="s">
        <v>18</v>
      </c>
      <c r="I1010" s="16" t="s">
        <v>19</v>
      </c>
      <c r="J1010" s="16" t="s">
        <v>17</v>
      </c>
      <c r="K1010" s="16"/>
      <c r="L1010" s="16"/>
      <c r="M1010" s="16"/>
      <c r="N1010" s="16"/>
      <c r="O1010" s="16"/>
      <c r="P1010" s="16"/>
      <c r="Q1010" s="16"/>
      <c r="R1010" s="16"/>
      <c r="S1010" s="16">
        <v>17.0</v>
      </c>
      <c r="T1010" s="16"/>
      <c r="U1010" s="16" t="s">
        <v>4328</v>
      </c>
      <c r="V1010" s="16" t="s">
        <v>4329</v>
      </c>
      <c r="W1010" s="16" t="s">
        <v>566</v>
      </c>
    </row>
    <row r="1011">
      <c r="A1011" s="16">
        <v>12435.0</v>
      </c>
      <c r="B1011" s="16" t="s">
        <v>4330</v>
      </c>
      <c r="C1011" s="16">
        <v>0.0</v>
      </c>
      <c r="D1011" s="174" t="s">
        <v>4331</v>
      </c>
      <c r="E1011" s="16"/>
      <c r="F1011" s="16">
        <v>498.0</v>
      </c>
      <c r="G1011" s="16" t="s">
        <v>176</v>
      </c>
      <c r="H1011" s="16" t="s">
        <v>18</v>
      </c>
      <c r="I1011" s="16" t="s">
        <v>19</v>
      </c>
      <c r="J1011" s="16" t="s">
        <v>17</v>
      </c>
      <c r="K1011" s="16"/>
      <c r="L1011" s="16"/>
      <c r="M1011" s="16"/>
      <c r="N1011" s="16"/>
      <c r="O1011" s="16"/>
      <c r="P1011" s="16"/>
      <c r="Q1011" s="16"/>
      <c r="R1011" s="16"/>
      <c r="S1011" s="16">
        <v>-2.0</v>
      </c>
      <c r="T1011" s="16"/>
      <c r="U1011" s="16" t="s">
        <v>4332</v>
      </c>
      <c r="V1011" s="16" t="s">
        <v>4333</v>
      </c>
      <c r="W1011" s="16" t="s">
        <v>332</v>
      </c>
    </row>
    <row r="1012">
      <c r="A1012" s="16">
        <v>12436.0</v>
      </c>
      <c r="B1012" s="16" t="s">
        <v>4334</v>
      </c>
      <c r="C1012" s="16">
        <v>0.78</v>
      </c>
      <c r="D1012" s="174" t="s">
        <v>4335</v>
      </c>
      <c r="E1012" s="16"/>
      <c r="F1012" s="16">
        <v>499.0</v>
      </c>
      <c r="G1012" s="16" t="s">
        <v>126</v>
      </c>
      <c r="H1012" s="16" t="s">
        <v>25</v>
      </c>
      <c r="I1012" s="16" t="s">
        <v>26</v>
      </c>
      <c r="J1012" s="16"/>
      <c r="K1012" s="16"/>
      <c r="L1012" s="16"/>
      <c r="M1012" s="16"/>
      <c r="N1012" s="16"/>
      <c r="O1012" s="16"/>
      <c r="P1012" s="16"/>
      <c r="Q1012" s="16"/>
      <c r="R1012" s="16"/>
      <c r="S1012" s="16">
        <v>16.0</v>
      </c>
      <c r="T1012" s="16"/>
      <c r="U1012" s="16" t="s">
        <v>4336</v>
      </c>
      <c r="V1012" s="16" t="s">
        <v>4337</v>
      </c>
      <c r="W1012" s="16" t="s">
        <v>360</v>
      </c>
    </row>
    <row r="1013">
      <c r="A1013" s="16">
        <v>12437.0</v>
      </c>
      <c r="B1013" s="16" t="s">
        <v>4338</v>
      </c>
      <c r="C1013" s="16">
        <v>0.52</v>
      </c>
      <c r="D1013" s="174" t="s">
        <v>4339</v>
      </c>
      <c r="E1013" s="16"/>
      <c r="F1013" s="16">
        <v>501.0</v>
      </c>
      <c r="G1013" s="16" t="s">
        <v>371</v>
      </c>
      <c r="H1013" s="16" t="s">
        <v>14</v>
      </c>
      <c r="I1013" s="16" t="s">
        <v>16</v>
      </c>
      <c r="J1013" s="16" t="s">
        <v>18</v>
      </c>
      <c r="K1013" s="16" t="s">
        <v>15</v>
      </c>
      <c r="L1013" s="16" t="s">
        <v>19</v>
      </c>
      <c r="M1013" s="16" t="s">
        <v>17</v>
      </c>
      <c r="N1013" s="16" t="s">
        <v>13</v>
      </c>
      <c r="O1013" s="16"/>
      <c r="P1013" s="16"/>
      <c r="Q1013" s="16"/>
      <c r="R1013" s="16"/>
      <c r="S1013" s="16">
        <v>16.0</v>
      </c>
      <c r="T1013" s="16"/>
      <c r="U1013" s="16" t="s">
        <v>4340</v>
      </c>
      <c r="V1013" s="16" t="s">
        <v>4341</v>
      </c>
      <c r="W1013" s="16" t="s">
        <v>259</v>
      </c>
    </row>
    <row r="1014">
      <c r="A1014" s="16">
        <v>12438.0</v>
      </c>
      <c r="B1014" s="16" t="s">
        <v>4342</v>
      </c>
      <c r="C1014" s="16">
        <v>0.58</v>
      </c>
      <c r="D1014" s="174" t="s">
        <v>4343</v>
      </c>
      <c r="E1014" s="16"/>
      <c r="F1014" s="16">
        <v>525.0</v>
      </c>
      <c r="G1014" s="16" t="s">
        <v>672</v>
      </c>
      <c r="H1014" s="16" t="s">
        <v>13</v>
      </c>
      <c r="I1014" s="16"/>
      <c r="J1014" s="16"/>
      <c r="K1014" s="16"/>
      <c r="L1014" s="16"/>
      <c r="M1014" s="16"/>
      <c r="N1014" s="16"/>
      <c r="O1014" s="16"/>
      <c r="P1014" s="16"/>
      <c r="Q1014" s="16"/>
      <c r="R1014" s="16"/>
      <c r="S1014" s="16">
        <v>15.0</v>
      </c>
      <c r="T1014" s="16"/>
      <c r="U1014" s="16" t="s">
        <v>4344</v>
      </c>
      <c r="V1014" s="16" t="s">
        <v>4345</v>
      </c>
      <c r="W1014" s="16" t="s">
        <v>722</v>
      </c>
    </row>
    <row r="1015">
      <c r="A1015" s="16">
        <v>12439.0</v>
      </c>
      <c r="B1015" s="16" t="s">
        <v>4346</v>
      </c>
      <c r="C1015" s="16">
        <v>2.58</v>
      </c>
      <c r="D1015" s="174" t="s">
        <v>4347</v>
      </c>
      <c r="E1015" s="16"/>
      <c r="F1015" s="16">
        <v>514.0</v>
      </c>
      <c r="G1015" s="16" t="s">
        <v>260</v>
      </c>
      <c r="H1015" s="16" t="s">
        <v>13</v>
      </c>
      <c r="I1015" s="16" t="s">
        <v>15</v>
      </c>
      <c r="J1015" s="16"/>
      <c r="K1015" s="16"/>
      <c r="L1015" s="16"/>
      <c r="M1015" s="16"/>
      <c r="N1015" s="16"/>
      <c r="O1015" s="16"/>
      <c r="P1015" s="16"/>
      <c r="Q1015" s="16"/>
      <c r="R1015" s="16"/>
      <c r="S1015" s="16">
        <v>1.0</v>
      </c>
      <c r="T1015" s="16"/>
      <c r="U1015" s="16" t="s">
        <v>4348</v>
      </c>
      <c r="V1015" s="16" t="s">
        <v>4349</v>
      </c>
      <c r="W1015" s="16" t="s">
        <v>188</v>
      </c>
    </row>
    <row r="1016">
      <c r="A1016" s="16">
        <v>12440.0</v>
      </c>
      <c r="B1016" s="16" t="s">
        <v>4350</v>
      </c>
      <c r="C1016" s="16">
        <v>0.0</v>
      </c>
      <c r="D1016" s="174" t="s">
        <v>4351</v>
      </c>
      <c r="E1016" s="16"/>
      <c r="F1016" s="16">
        <v>498.0</v>
      </c>
      <c r="G1016" s="16" t="s">
        <v>176</v>
      </c>
      <c r="H1016" s="16" t="s">
        <v>24</v>
      </c>
      <c r="I1016" s="16"/>
      <c r="J1016" s="16"/>
      <c r="K1016" s="16"/>
      <c r="L1016" s="16"/>
      <c r="M1016" s="16"/>
      <c r="N1016" s="16"/>
      <c r="O1016" s="16"/>
      <c r="P1016" s="16"/>
      <c r="Q1016" s="16"/>
      <c r="R1016" s="16"/>
      <c r="S1016" s="16">
        <v>-2.0</v>
      </c>
      <c r="T1016" s="16"/>
      <c r="U1016" s="16" t="s">
        <v>4352</v>
      </c>
      <c r="V1016" s="16" t="s">
        <v>4353</v>
      </c>
      <c r="W1016" s="16" t="s">
        <v>942</v>
      </c>
    </row>
    <row r="1017">
      <c r="A1017" s="16">
        <v>12441.0</v>
      </c>
      <c r="B1017" s="16" t="s">
        <v>4354</v>
      </c>
      <c r="C1017" s="16">
        <v>0.5</v>
      </c>
      <c r="D1017" s="174" t="s">
        <v>4355</v>
      </c>
      <c r="E1017" s="16"/>
      <c r="F1017" s="16">
        <v>534.0</v>
      </c>
      <c r="G1017" s="16" t="s">
        <v>1170</v>
      </c>
      <c r="H1017" s="16" t="s">
        <v>25</v>
      </c>
      <c r="I1017" s="16"/>
      <c r="J1017" s="16"/>
      <c r="K1017" s="16"/>
      <c r="L1017" s="16"/>
      <c r="M1017" s="16"/>
      <c r="N1017" s="16"/>
      <c r="O1017" s="16"/>
      <c r="P1017" s="16"/>
      <c r="Q1017" s="16"/>
      <c r="R1017" s="16"/>
      <c r="S1017" s="16">
        <v>16.0</v>
      </c>
      <c r="T1017" s="16"/>
      <c r="U1017" s="16" t="s">
        <v>4356</v>
      </c>
      <c r="V1017" s="16" t="s">
        <v>4357</v>
      </c>
      <c r="W1017" s="16" t="s">
        <v>751</v>
      </c>
    </row>
    <row r="1018">
      <c r="A1018" s="16">
        <v>12442.0</v>
      </c>
      <c r="B1018" s="16" t="s">
        <v>4358</v>
      </c>
      <c r="C1018" s="16">
        <v>0.48</v>
      </c>
      <c r="D1018" s="174" t="s">
        <v>4359</v>
      </c>
      <c r="E1018" s="16"/>
      <c r="F1018" s="16">
        <v>498.0</v>
      </c>
      <c r="G1018" s="16" t="s">
        <v>176</v>
      </c>
      <c r="H1018" s="16" t="s">
        <v>19</v>
      </c>
      <c r="I1018" s="16" t="s">
        <v>18</v>
      </c>
      <c r="J1018" s="16" t="s">
        <v>17</v>
      </c>
      <c r="K1018" s="16"/>
      <c r="L1018" s="16"/>
      <c r="M1018" s="16"/>
      <c r="N1018" s="16"/>
      <c r="O1018" s="16"/>
      <c r="P1018" s="16"/>
      <c r="Q1018" s="16"/>
      <c r="R1018" s="16"/>
      <c r="S1018" s="16">
        <v>-2.0</v>
      </c>
      <c r="T1018" s="16"/>
      <c r="U1018" s="16" t="s">
        <v>4360</v>
      </c>
      <c r="V1018" s="16" t="s">
        <v>4361</v>
      </c>
      <c r="W1018" s="16" t="s">
        <v>661</v>
      </c>
    </row>
    <row r="1019">
      <c r="A1019" s="16">
        <v>12443.0</v>
      </c>
      <c r="B1019" s="16" t="s">
        <v>4362</v>
      </c>
      <c r="C1019" s="16">
        <v>2.07</v>
      </c>
      <c r="D1019" s="174" t="s">
        <v>4363</v>
      </c>
      <c r="E1019" s="16"/>
      <c r="F1019" s="16">
        <v>540.0</v>
      </c>
      <c r="G1019" s="16" t="s">
        <v>1729</v>
      </c>
      <c r="H1019" s="16" t="s">
        <v>17</v>
      </c>
      <c r="I1019" s="16" t="s">
        <v>15</v>
      </c>
      <c r="J1019" s="16" t="s">
        <v>19</v>
      </c>
      <c r="K1019" s="16" t="s">
        <v>14</v>
      </c>
      <c r="L1019" s="16" t="s">
        <v>13</v>
      </c>
      <c r="M1019" s="16"/>
      <c r="N1019" s="16"/>
      <c r="O1019" s="16"/>
      <c r="P1019" s="16"/>
      <c r="Q1019" s="16"/>
      <c r="R1019" s="16"/>
      <c r="S1019" s="16">
        <v>15.0</v>
      </c>
      <c r="T1019" s="16"/>
      <c r="U1019" s="16" t="s">
        <v>4364</v>
      </c>
      <c r="V1019" s="16" t="s">
        <v>4365</v>
      </c>
      <c r="W1019" s="16" t="s">
        <v>199</v>
      </c>
    </row>
    <row r="1020">
      <c r="A1020" s="16">
        <v>12444.0</v>
      </c>
      <c r="B1020" s="16" t="s">
        <v>4366</v>
      </c>
      <c r="C1020" s="16">
        <v>0.26</v>
      </c>
      <c r="D1020" s="174" t="s">
        <v>4367</v>
      </c>
      <c r="E1020" s="16"/>
      <c r="F1020" s="16">
        <v>498.0</v>
      </c>
      <c r="G1020" s="16" t="s">
        <v>176</v>
      </c>
      <c r="H1020" s="16" t="s">
        <v>14</v>
      </c>
      <c r="I1020" s="16" t="s">
        <v>17</v>
      </c>
      <c r="J1020" s="16" t="s">
        <v>15</v>
      </c>
      <c r="K1020" s="16"/>
      <c r="L1020" s="16"/>
      <c r="M1020" s="16"/>
      <c r="N1020" s="16"/>
      <c r="O1020" s="16"/>
      <c r="P1020" s="16"/>
      <c r="Q1020" s="16"/>
      <c r="R1020" s="16"/>
      <c r="S1020" s="16">
        <v>17.0</v>
      </c>
      <c r="T1020" s="16"/>
      <c r="U1020" s="16" t="s">
        <v>4368</v>
      </c>
      <c r="V1020" s="16" t="s">
        <v>4369</v>
      </c>
      <c r="W1020" s="16" t="s">
        <v>179</v>
      </c>
    </row>
    <row r="1021">
      <c r="A1021" s="16">
        <v>12445.0</v>
      </c>
      <c r="B1021" s="16" t="s">
        <v>4370</v>
      </c>
      <c r="C1021" s="16">
        <v>0.0</v>
      </c>
      <c r="D1021" s="174" t="s">
        <v>4371</v>
      </c>
      <c r="E1021" s="16"/>
      <c r="F1021" s="16">
        <v>498.0</v>
      </c>
      <c r="G1021" s="16" t="s">
        <v>176</v>
      </c>
      <c r="H1021" s="16" t="s">
        <v>17</v>
      </c>
      <c r="I1021" s="16" t="s">
        <v>19</v>
      </c>
      <c r="J1021" s="16" t="s">
        <v>18</v>
      </c>
      <c r="K1021" s="16"/>
      <c r="L1021" s="16"/>
      <c r="M1021" s="16"/>
      <c r="N1021" s="16"/>
      <c r="O1021" s="16"/>
      <c r="P1021" s="16"/>
      <c r="Q1021" s="16"/>
      <c r="R1021" s="16"/>
      <c r="S1021" s="16">
        <v>-2.0</v>
      </c>
      <c r="T1021" s="16"/>
      <c r="U1021" s="16" t="s">
        <v>4372</v>
      </c>
      <c r="V1021" s="16" t="s">
        <v>4373</v>
      </c>
      <c r="W1021" s="16" t="s">
        <v>491</v>
      </c>
    </row>
    <row r="1022">
      <c r="A1022" s="16">
        <v>12446.0</v>
      </c>
      <c r="B1022" s="16" t="s">
        <v>4374</v>
      </c>
      <c r="C1022" s="16">
        <v>0.0</v>
      </c>
      <c r="D1022" s="174" t="s">
        <v>4375</v>
      </c>
      <c r="E1022" s="16"/>
      <c r="F1022" s="16">
        <v>522.0</v>
      </c>
      <c r="G1022" s="16" t="s">
        <v>686</v>
      </c>
      <c r="H1022" s="16" t="s">
        <v>19</v>
      </c>
      <c r="I1022" s="16" t="s">
        <v>17</v>
      </c>
      <c r="J1022" s="16" t="s">
        <v>18</v>
      </c>
      <c r="K1022" s="16"/>
      <c r="L1022" s="16"/>
      <c r="M1022" s="16"/>
      <c r="N1022" s="16"/>
      <c r="O1022" s="16"/>
      <c r="P1022" s="16"/>
      <c r="Q1022" s="16"/>
      <c r="R1022" s="16"/>
      <c r="S1022" s="16">
        <v>15.0</v>
      </c>
      <c r="T1022" s="16"/>
      <c r="U1022" s="16" t="s">
        <v>4376</v>
      </c>
      <c r="V1022" s="16" t="s">
        <v>4377</v>
      </c>
      <c r="W1022" s="16" t="s">
        <v>491</v>
      </c>
    </row>
    <row r="1023">
      <c r="A1023" s="16">
        <v>12447.0</v>
      </c>
      <c r="B1023" s="16" t="s">
        <v>4378</v>
      </c>
      <c r="C1023" s="16">
        <v>1.87</v>
      </c>
      <c r="D1023" s="174" t="s">
        <v>4379</v>
      </c>
      <c r="E1023" s="16"/>
      <c r="F1023" s="16">
        <v>517.0</v>
      </c>
      <c r="G1023" s="16" t="s">
        <v>277</v>
      </c>
      <c r="H1023" s="16" t="s">
        <v>12</v>
      </c>
      <c r="I1023" s="16"/>
      <c r="J1023" s="16"/>
      <c r="K1023" s="16"/>
      <c r="L1023" s="16"/>
      <c r="M1023" s="16"/>
      <c r="N1023" s="16"/>
      <c r="O1023" s="16"/>
      <c r="P1023" s="16"/>
      <c r="Q1023" s="16"/>
      <c r="R1023" s="16"/>
      <c r="S1023" s="16">
        <v>2.0</v>
      </c>
      <c r="T1023" s="16"/>
      <c r="U1023" s="16" t="s">
        <v>4380</v>
      </c>
      <c r="V1023" s="16" t="s">
        <v>4381</v>
      </c>
      <c r="W1023" s="16" t="s">
        <v>675</v>
      </c>
    </row>
    <row r="1024">
      <c r="A1024" s="16">
        <v>12448.0</v>
      </c>
      <c r="B1024" s="16" t="s">
        <v>4382</v>
      </c>
      <c r="C1024" s="16">
        <v>0.0</v>
      </c>
      <c r="D1024" s="174" t="s">
        <v>4383</v>
      </c>
      <c r="E1024" s="16"/>
      <c r="F1024" s="16">
        <v>498.0</v>
      </c>
      <c r="G1024" s="16" t="s">
        <v>176</v>
      </c>
      <c r="H1024" s="16" t="s">
        <v>25</v>
      </c>
      <c r="I1024" s="16" t="s">
        <v>26</v>
      </c>
      <c r="J1024" s="16"/>
      <c r="K1024" s="16"/>
      <c r="L1024" s="16"/>
      <c r="M1024" s="16"/>
      <c r="N1024" s="16"/>
      <c r="O1024" s="16"/>
      <c r="P1024" s="16"/>
      <c r="Q1024" s="16"/>
      <c r="R1024" s="16"/>
      <c r="S1024" s="16">
        <v>-2.0</v>
      </c>
      <c r="T1024" s="16"/>
      <c r="U1024" s="16" t="s">
        <v>4384</v>
      </c>
      <c r="V1024" s="16" t="s">
        <v>4385</v>
      </c>
      <c r="W1024" s="16" t="s">
        <v>566</v>
      </c>
    </row>
    <row r="1025">
      <c r="A1025" s="16">
        <v>12449.0</v>
      </c>
      <c r="B1025" s="16" t="s">
        <v>4386</v>
      </c>
      <c r="C1025" s="16">
        <v>1.02</v>
      </c>
      <c r="D1025" s="174" t="s">
        <v>4387</v>
      </c>
      <c r="E1025" s="16"/>
      <c r="F1025" s="16">
        <v>499.0</v>
      </c>
      <c r="G1025" s="16" t="s">
        <v>126</v>
      </c>
      <c r="H1025" s="16" t="s">
        <v>25</v>
      </c>
      <c r="I1025" s="16" t="s">
        <v>26</v>
      </c>
      <c r="J1025" s="16"/>
      <c r="K1025" s="16"/>
      <c r="L1025" s="16"/>
      <c r="M1025" s="16"/>
      <c r="N1025" s="16"/>
      <c r="O1025" s="16"/>
      <c r="P1025" s="16"/>
      <c r="Q1025" s="16"/>
      <c r="R1025" s="16" t="s">
        <v>4751</v>
      </c>
      <c r="S1025" s="16">
        <v>5.0</v>
      </c>
      <c r="T1025" s="16"/>
      <c r="U1025" s="16" t="s">
        <v>4388</v>
      </c>
      <c r="V1025" s="16" t="s">
        <v>4389</v>
      </c>
      <c r="W1025" s="16" t="s">
        <v>491</v>
      </c>
    </row>
    <row r="1026">
      <c r="A1026" s="16">
        <v>12450.0</v>
      </c>
      <c r="B1026" s="16" t="s">
        <v>4390</v>
      </c>
      <c r="C1026" s="16">
        <v>2.36</v>
      </c>
      <c r="D1026" s="174" t="s">
        <v>4391</v>
      </c>
      <c r="E1026" s="16"/>
      <c r="F1026" s="16">
        <v>507.0</v>
      </c>
      <c r="G1026" s="16" t="s">
        <v>4748</v>
      </c>
      <c r="H1026" s="16" t="s">
        <v>14</v>
      </c>
      <c r="I1026" s="16" t="s">
        <v>13</v>
      </c>
      <c r="J1026" s="16"/>
      <c r="K1026" s="16"/>
      <c r="L1026" s="16"/>
      <c r="M1026" s="16"/>
      <c r="N1026" s="16"/>
      <c r="O1026" s="16"/>
      <c r="P1026" s="16"/>
      <c r="Q1026" s="16"/>
      <c r="R1026" s="16"/>
      <c r="S1026" s="16">
        <v>14.0</v>
      </c>
      <c r="T1026" s="16"/>
      <c r="U1026" s="16" t="s">
        <v>4392</v>
      </c>
      <c r="V1026" s="16" t="s">
        <v>4393</v>
      </c>
      <c r="W1026" s="16" t="s">
        <v>399</v>
      </c>
    </row>
    <row r="1027">
      <c r="A1027" s="16">
        <v>12451.0</v>
      </c>
      <c r="B1027" s="16" t="s">
        <v>4394</v>
      </c>
      <c r="C1027" s="16">
        <v>0.73</v>
      </c>
      <c r="D1027" s="174" t="s">
        <v>4395</v>
      </c>
      <c r="E1027" s="16"/>
      <c r="F1027" s="16">
        <v>541.0</v>
      </c>
      <c r="G1027" s="16" t="s">
        <v>387</v>
      </c>
      <c r="H1027" s="16" t="s">
        <v>16</v>
      </c>
      <c r="I1027" s="16" t="s">
        <v>14</v>
      </c>
      <c r="J1027" s="16" t="s">
        <v>17</v>
      </c>
      <c r="K1027" s="16" t="s">
        <v>18</v>
      </c>
      <c r="L1027" s="16" t="s">
        <v>15</v>
      </c>
      <c r="M1027" s="16"/>
      <c r="N1027" s="16"/>
      <c r="O1027" s="16"/>
      <c r="P1027" s="16"/>
      <c r="Q1027" s="16"/>
      <c r="R1027" s="16"/>
      <c r="S1027" s="16">
        <v>1.0</v>
      </c>
      <c r="T1027" s="16"/>
      <c r="U1027" s="16" t="s">
        <v>4396</v>
      </c>
      <c r="V1027" s="16" t="s">
        <v>4397</v>
      </c>
      <c r="W1027" s="16" t="s">
        <v>188</v>
      </c>
    </row>
    <row r="1028">
      <c r="A1028" s="16">
        <v>12452.0</v>
      </c>
      <c r="B1028" s="16" t="s">
        <v>4398</v>
      </c>
      <c r="C1028" s="16">
        <v>2.09</v>
      </c>
      <c r="D1028" s="174" t="s">
        <v>4399</v>
      </c>
      <c r="E1028" s="16"/>
      <c r="F1028" s="16">
        <v>514.0</v>
      </c>
      <c r="G1028" s="16" t="s">
        <v>260</v>
      </c>
      <c r="H1028" s="16" t="s">
        <v>12</v>
      </c>
      <c r="I1028" s="16"/>
      <c r="J1028" s="16"/>
      <c r="K1028" s="16"/>
      <c r="L1028" s="16"/>
      <c r="M1028" s="16"/>
      <c r="N1028" s="16"/>
      <c r="O1028" s="16"/>
      <c r="P1028" s="16"/>
      <c r="Q1028" s="16"/>
      <c r="R1028" s="16"/>
      <c r="S1028" s="16">
        <v>1.0</v>
      </c>
      <c r="T1028" s="16"/>
      <c r="U1028" s="16" t="s">
        <v>4400</v>
      </c>
      <c r="V1028" s="16" t="s">
        <v>4401</v>
      </c>
      <c r="W1028" s="16" t="s">
        <v>188</v>
      </c>
    </row>
    <row r="1029">
      <c r="A1029" s="16">
        <v>12453.0</v>
      </c>
      <c r="B1029" s="16" t="s">
        <v>4402</v>
      </c>
      <c r="C1029" s="16">
        <v>0.0</v>
      </c>
      <c r="D1029" s="174" t="s">
        <v>4403</v>
      </c>
      <c r="E1029" s="16"/>
      <c r="F1029" s="16">
        <v>498.0</v>
      </c>
      <c r="G1029" s="16" t="s">
        <v>176</v>
      </c>
      <c r="H1029" s="16" t="s">
        <v>13</v>
      </c>
      <c r="I1029" s="16" t="s">
        <v>17</v>
      </c>
      <c r="J1029" s="16"/>
      <c r="K1029" s="16"/>
      <c r="L1029" s="16"/>
      <c r="M1029" s="16"/>
      <c r="N1029" s="16"/>
      <c r="O1029" s="16"/>
      <c r="P1029" s="16"/>
      <c r="Q1029" s="16"/>
      <c r="R1029" s="16"/>
      <c r="S1029" s="16">
        <v>-2.0</v>
      </c>
      <c r="T1029" s="16"/>
      <c r="U1029" s="16" t="s">
        <v>4404</v>
      </c>
      <c r="V1029" s="16" t="s">
        <v>4405</v>
      </c>
      <c r="W1029" s="16" t="s">
        <v>332</v>
      </c>
    </row>
    <row r="1030">
      <c r="A1030" s="16">
        <v>12454.0</v>
      </c>
      <c r="B1030" s="16" t="s">
        <v>4406</v>
      </c>
      <c r="C1030" s="16">
        <v>2.43</v>
      </c>
      <c r="D1030" s="174" t="s">
        <v>4407</v>
      </c>
      <c r="E1030" s="16"/>
      <c r="F1030" s="16">
        <v>532.0</v>
      </c>
      <c r="G1030" s="16" t="s">
        <v>346</v>
      </c>
      <c r="H1030" s="16" t="s">
        <v>12</v>
      </c>
      <c r="I1030" s="16"/>
      <c r="J1030" s="16"/>
      <c r="K1030" s="16"/>
      <c r="L1030" s="16"/>
      <c r="M1030" s="16"/>
      <c r="N1030" s="16"/>
      <c r="O1030" s="16"/>
      <c r="P1030" s="16"/>
      <c r="Q1030" s="16"/>
      <c r="R1030" s="16"/>
      <c r="S1030" s="16">
        <v>16.0</v>
      </c>
      <c r="T1030" s="16"/>
      <c r="U1030" s="16" t="s">
        <v>4408</v>
      </c>
      <c r="V1030" s="16" t="s">
        <v>4409</v>
      </c>
      <c r="W1030" s="16" t="s">
        <v>942</v>
      </c>
    </row>
    <row r="1031">
      <c r="A1031" s="16">
        <v>12455.0</v>
      </c>
      <c r="B1031" s="16" t="s">
        <v>4410</v>
      </c>
      <c r="C1031" s="16">
        <v>1.31</v>
      </c>
      <c r="D1031" s="174" t="s">
        <v>4411</v>
      </c>
      <c r="E1031" s="16"/>
      <c r="F1031" s="16">
        <v>544.0</v>
      </c>
      <c r="G1031" s="16" t="s">
        <v>272</v>
      </c>
      <c r="H1031" s="16" t="s">
        <v>16</v>
      </c>
      <c r="I1031" s="16"/>
      <c r="J1031" s="16"/>
      <c r="K1031" s="16"/>
      <c r="L1031" s="16"/>
      <c r="M1031" s="16"/>
      <c r="N1031" s="16"/>
      <c r="O1031" s="16"/>
      <c r="P1031" s="16"/>
      <c r="Q1031" s="16"/>
      <c r="R1031" s="16"/>
      <c r="S1031" s="16">
        <v>1.0</v>
      </c>
      <c r="T1031" s="174" t="s">
        <v>4835</v>
      </c>
      <c r="U1031" s="16" t="s">
        <v>4413</v>
      </c>
      <c r="V1031" s="16" t="s">
        <v>4414</v>
      </c>
      <c r="W1031" s="16" t="s">
        <v>188</v>
      </c>
    </row>
    <row r="1032">
      <c r="A1032" s="16">
        <v>12456.0</v>
      </c>
      <c r="B1032" s="16" t="s">
        <v>4415</v>
      </c>
      <c r="C1032" s="16">
        <v>0.0</v>
      </c>
      <c r="D1032" s="174" t="s">
        <v>4416</v>
      </c>
      <c r="E1032" s="16"/>
      <c r="F1032" s="16">
        <v>498.0</v>
      </c>
      <c r="G1032" s="16" t="s">
        <v>176</v>
      </c>
      <c r="H1032" s="16" t="s">
        <v>13</v>
      </c>
      <c r="I1032" s="16" t="s">
        <v>15</v>
      </c>
      <c r="J1032" s="16"/>
      <c r="K1032" s="16"/>
      <c r="L1032" s="16"/>
      <c r="M1032" s="16"/>
      <c r="N1032" s="16"/>
      <c r="O1032" s="16"/>
      <c r="P1032" s="16"/>
      <c r="Q1032" s="16"/>
      <c r="R1032" s="16"/>
      <c r="S1032" s="16">
        <v>-2.0</v>
      </c>
      <c r="T1032" s="16"/>
      <c r="U1032" s="16" t="s">
        <v>4417</v>
      </c>
      <c r="V1032" s="16" t="s">
        <v>4418</v>
      </c>
      <c r="W1032" s="16" t="s">
        <v>942</v>
      </c>
    </row>
    <row r="1033">
      <c r="A1033" s="16">
        <v>12457.0</v>
      </c>
      <c r="B1033" s="16" t="s">
        <v>4419</v>
      </c>
      <c r="C1033" s="16">
        <v>2.21</v>
      </c>
      <c r="D1033" s="174" t="s">
        <v>4420</v>
      </c>
      <c r="E1033" s="16"/>
      <c r="F1033" s="16">
        <v>522.0</v>
      </c>
      <c r="G1033" s="16" t="s">
        <v>686</v>
      </c>
      <c r="H1033" s="16" t="s">
        <v>19</v>
      </c>
      <c r="I1033" s="16" t="s">
        <v>17</v>
      </c>
      <c r="J1033" s="16"/>
      <c r="K1033" s="16"/>
      <c r="L1033" s="16"/>
      <c r="M1033" s="16"/>
      <c r="N1033" s="16"/>
      <c r="O1033" s="16"/>
      <c r="P1033" s="16"/>
      <c r="Q1033" s="16"/>
      <c r="R1033" s="16"/>
      <c r="S1033" s="16">
        <v>17.0</v>
      </c>
      <c r="T1033" s="16"/>
      <c r="U1033" s="16" t="s">
        <v>4421</v>
      </c>
      <c r="V1033" s="16" t="s">
        <v>4422</v>
      </c>
      <c r="W1033" s="16" t="s">
        <v>675</v>
      </c>
    </row>
    <row r="1034">
      <c r="A1034" s="16">
        <v>12458.0</v>
      </c>
      <c r="B1034" s="16" t="s">
        <v>4423</v>
      </c>
      <c r="C1034" s="16">
        <v>2.03</v>
      </c>
      <c r="D1034" s="174" t="s">
        <v>4424</v>
      </c>
      <c r="E1034" s="16"/>
      <c r="F1034" s="16">
        <v>511.0</v>
      </c>
      <c r="G1034" s="16" t="s">
        <v>245</v>
      </c>
      <c r="H1034" s="16" t="s">
        <v>17</v>
      </c>
      <c r="I1034" s="16" t="s">
        <v>18</v>
      </c>
      <c r="J1034" s="16"/>
      <c r="K1034" s="16"/>
      <c r="L1034" s="16"/>
      <c r="M1034" s="16"/>
      <c r="N1034" s="16"/>
      <c r="O1034" s="16"/>
      <c r="P1034" s="16"/>
      <c r="Q1034" s="16"/>
      <c r="R1034" s="16"/>
      <c r="S1034" s="16">
        <v>1.0</v>
      </c>
      <c r="T1034" s="16"/>
      <c r="U1034" s="16" t="s">
        <v>4425</v>
      </c>
      <c r="V1034" s="16" t="s">
        <v>4426</v>
      </c>
      <c r="W1034" s="16" t="s">
        <v>675</v>
      </c>
    </row>
    <row r="1035">
      <c r="A1035" s="16">
        <v>12459.0</v>
      </c>
      <c r="B1035" s="16" t="s">
        <v>4427</v>
      </c>
      <c r="C1035" s="16">
        <v>0.75</v>
      </c>
      <c r="D1035" s="174" t="s">
        <v>4428</v>
      </c>
      <c r="E1035" s="16"/>
      <c r="F1035" s="16">
        <v>513.0</v>
      </c>
      <c r="G1035" s="16" t="s">
        <v>1381</v>
      </c>
      <c r="H1035" s="16" t="s">
        <v>14</v>
      </c>
      <c r="I1035" s="16" t="s">
        <v>16</v>
      </c>
      <c r="J1035" s="16"/>
      <c r="K1035" s="16"/>
      <c r="L1035" s="16"/>
      <c r="M1035" s="16"/>
      <c r="N1035" s="16"/>
      <c r="O1035" s="16"/>
      <c r="P1035" s="16"/>
      <c r="Q1035" s="16"/>
      <c r="R1035" s="16"/>
      <c r="S1035" s="16">
        <v>15.0</v>
      </c>
      <c r="T1035" s="16"/>
      <c r="U1035" s="16" t="s">
        <v>4429</v>
      </c>
      <c r="V1035" s="16" t="s">
        <v>4430</v>
      </c>
      <c r="W1035" s="16" t="s">
        <v>661</v>
      </c>
    </row>
    <row r="1036">
      <c r="A1036" s="16">
        <v>12460.0</v>
      </c>
      <c r="B1036" s="16" t="s">
        <v>4431</v>
      </c>
      <c r="C1036" s="16">
        <v>1.91</v>
      </c>
      <c r="D1036" s="174" t="s">
        <v>4432</v>
      </c>
      <c r="E1036" s="16"/>
      <c r="F1036" s="16">
        <v>529.0</v>
      </c>
      <c r="G1036" s="16" t="s">
        <v>333</v>
      </c>
      <c r="H1036" s="16" t="s">
        <v>16</v>
      </c>
      <c r="I1036" s="16" t="s">
        <v>14</v>
      </c>
      <c r="J1036" s="16"/>
      <c r="K1036" s="16"/>
      <c r="L1036" s="16"/>
      <c r="M1036" s="16"/>
      <c r="N1036" s="16"/>
      <c r="O1036" s="16"/>
      <c r="P1036" s="16"/>
      <c r="Q1036" s="16"/>
      <c r="R1036" s="16"/>
      <c r="S1036" s="16">
        <v>16.0</v>
      </c>
      <c r="T1036" s="16"/>
      <c r="U1036" s="16" t="s">
        <v>4433</v>
      </c>
      <c r="V1036" s="16" t="s">
        <v>4434</v>
      </c>
      <c r="W1036" s="16" t="s">
        <v>942</v>
      </c>
    </row>
    <row r="1037">
      <c r="A1037" s="16">
        <v>12461.0</v>
      </c>
      <c r="B1037" s="16" t="s">
        <v>4435</v>
      </c>
      <c r="C1037" s="16">
        <v>0.34</v>
      </c>
      <c r="D1037" s="174" t="s">
        <v>4436</v>
      </c>
      <c r="E1037" s="16"/>
      <c r="F1037" s="16">
        <v>535.0</v>
      </c>
      <c r="G1037" s="16" t="s">
        <v>361</v>
      </c>
      <c r="H1037" s="16" t="s">
        <v>24</v>
      </c>
      <c r="I1037" s="16" t="s">
        <v>25</v>
      </c>
      <c r="J1037" s="16"/>
      <c r="K1037" s="16"/>
      <c r="L1037" s="16"/>
      <c r="M1037" s="16"/>
      <c r="N1037" s="16"/>
      <c r="O1037" s="16"/>
      <c r="P1037" s="16"/>
      <c r="Q1037" s="16"/>
      <c r="R1037" s="16"/>
      <c r="S1037" s="16">
        <v>4.0</v>
      </c>
      <c r="T1037" s="16"/>
      <c r="U1037" s="16" t="s">
        <v>4437</v>
      </c>
      <c r="V1037" s="16" t="s">
        <v>4438</v>
      </c>
      <c r="W1037" s="16" t="s">
        <v>478</v>
      </c>
    </row>
    <row r="1038">
      <c r="A1038" s="16">
        <v>12462.0</v>
      </c>
      <c r="B1038" s="16" t="s">
        <v>4439</v>
      </c>
      <c r="C1038" s="16">
        <v>1.5</v>
      </c>
      <c r="D1038" s="174" t="s">
        <v>4440</v>
      </c>
      <c r="E1038" s="16"/>
      <c r="F1038" s="16">
        <v>523.0</v>
      </c>
      <c r="G1038" s="16" t="s">
        <v>306</v>
      </c>
      <c r="H1038" s="16" t="s">
        <v>12</v>
      </c>
      <c r="I1038" s="16" t="s">
        <v>13</v>
      </c>
      <c r="J1038" s="16"/>
      <c r="K1038" s="16"/>
      <c r="L1038" s="16"/>
      <c r="M1038" s="16"/>
      <c r="N1038" s="16"/>
      <c r="O1038" s="16"/>
      <c r="P1038" s="16"/>
      <c r="Q1038" s="16"/>
      <c r="R1038" s="16"/>
      <c r="S1038" s="16">
        <v>1.0</v>
      </c>
      <c r="T1038" s="16"/>
      <c r="U1038" s="16" t="s">
        <v>4441</v>
      </c>
      <c r="V1038" s="16" t="s">
        <v>4442</v>
      </c>
      <c r="W1038" s="16" t="s">
        <v>188</v>
      </c>
    </row>
    <row r="1039">
      <c r="A1039" s="16">
        <v>12463.0</v>
      </c>
      <c r="B1039" s="16" t="s">
        <v>4443</v>
      </c>
      <c r="C1039" s="16">
        <v>0.0</v>
      </c>
      <c r="D1039" s="174" t="s">
        <v>4444</v>
      </c>
      <c r="E1039" s="16"/>
      <c r="F1039" s="16">
        <v>498.0</v>
      </c>
      <c r="G1039" s="16" t="s">
        <v>176</v>
      </c>
      <c r="H1039" s="16" t="s">
        <v>12</v>
      </c>
      <c r="I1039" s="16"/>
      <c r="J1039" s="16"/>
      <c r="K1039" s="16"/>
      <c r="L1039" s="16"/>
      <c r="M1039" s="16"/>
      <c r="N1039" s="16"/>
      <c r="O1039" s="16"/>
      <c r="P1039" s="16"/>
      <c r="Q1039" s="16"/>
      <c r="R1039" s="16"/>
      <c r="S1039" s="16">
        <v>-2.0</v>
      </c>
      <c r="T1039" s="16"/>
      <c r="U1039" s="16" t="s">
        <v>4445</v>
      </c>
      <c r="V1039" s="16" t="s">
        <v>4446</v>
      </c>
      <c r="W1039" s="16" t="s">
        <v>399</v>
      </c>
    </row>
    <row r="1040">
      <c r="A1040" s="16">
        <v>12464.0</v>
      </c>
      <c r="B1040" s="16" t="s">
        <v>4447</v>
      </c>
      <c r="C1040" s="16">
        <v>0.75</v>
      </c>
      <c r="D1040" s="174" t="s">
        <v>4448</v>
      </c>
      <c r="E1040" s="16"/>
      <c r="F1040" s="16">
        <v>523.0</v>
      </c>
      <c r="G1040" s="16" t="s">
        <v>306</v>
      </c>
      <c r="H1040" s="16" t="s">
        <v>13</v>
      </c>
      <c r="I1040" s="16"/>
      <c r="J1040" s="16"/>
      <c r="K1040" s="16"/>
      <c r="L1040" s="16"/>
      <c r="M1040" s="16"/>
      <c r="N1040" s="16"/>
      <c r="O1040" s="16"/>
      <c r="P1040" s="16"/>
      <c r="Q1040" s="16"/>
      <c r="R1040" s="16"/>
      <c r="S1040" s="16">
        <v>1.0</v>
      </c>
      <c r="T1040" s="16"/>
      <c r="U1040" s="16" t="s">
        <v>4449</v>
      </c>
      <c r="V1040" s="16" t="s">
        <v>4450</v>
      </c>
      <c r="W1040" s="16" t="s">
        <v>443</v>
      </c>
    </row>
    <row r="1041">
      <c r="A1041" s="16">
        <v>12465.0</v>
      </c>
      <c r="B1041" s="16" t="s">
        <v>4451</v>
      </c>
      <c r="C1041" s="16">
        <v>0.0</v>
      </c>
      <c r="D1041" s="174" t="s">
        <v>4452</v>
      </c>
      <c r="E1041" s="16"/>
      <c r="F1041" s="16">
        <v>505.0</v>
      </c>
      <c r="G1041" s="16" t="s">
        <v>4656</v>
      </c>
      <c r="H1041" s="16" t="s">
        <v>24</v>
      </c>
      <c r="I1041" s="16"/>
      <c r="J1041" s="16"/>
      <c r="K1041" s="16"/>
      <c r="L1041" s="16"/>
      <c r="M1041" s="16"/>
      <c r="N1041" s="16"/>
      <c r="O1041" s="16"/>
      <c r="P1041" s="16"/>
      <c r="Q1041" s="16"/>
      <c r="R1041" s="16"/>
      <c r="S1041" s="16">
        <v>1.0</v>
      </c>
      <c r="T1041" s="16"/>
      <c r="U1041" s="16" t="s">
        <v>4453</v>
      </c>
      <c r="V1041" s="16" t="s">
        <v>4454</v>
      </c>
      <c r="W1041" s="16" t="s">
        <v>259</v>
      </c>
    </row>
    <row r="1042">
      <c r="A1042" s="16">
        <v>12466.0</v>
      </c>
      <c r="B1042" s="16" t="s">
        <v>4455</v>
      </c>
      <c r="C1042" s="16">
        <v>0.72</v>
      </c>
      <c r="D1042" s="174" t="s">
        <v>4456</v>
      </c>
      <c r="E1042" s="16"/>
      <c r="F1042" s="16">
        <v>546.0</v>
      </c>
      <c r="G1042" s="16" t="s">
        <v>415</v>
      </c>
      <c r="H1042" s="16" t="s">
        <v>12</v>
      </c>
      <c r="I1042" s="16" t="s">
        <v>13</v>
      </c>
      <c r="J1042" s="16"/>
      <c r="K1042" s="16"/>
      <c r="L1042" s="16"/>
      <c r="M1042" s="16"/>
      <c r="N1042" s="16"/>
      <c r="O1042" s="16"/>
      <c r="P1042" s="16"/>
      <c r="Q1042" s="16"/>
      <c r="R1042" s="16"/>
      <c r="S1042" s="16">
        <v>15.0</v>
      </c>
      <c r="T1042" s="16"/>
      <c r="U1042" s="16" t="s">
        <v>4457</v>
      </c>
      <c r="V1042" s="16" t="s">
        <v>4458</v>
      </c>
      <c r="W1042" s="16" t="s">
        <v>634</v>
      </c>
    </row>
    <row r="1043">
      <c r="A1043" s="16">
        <v>12467.0</v>
      </c>
      <c r="B1043" s="16" t="s">
        <v>4459</v>
      </c>
      <c r="C1043" s="16">
        <v>0.64</v>
      </c>
      <c r="D1043" s="174" t="s">
        <v>4460</v>
      </c>
      <c r="E1043" s="16"/>
      <c r="F1043" s="16">
        <v>513.0</v>
      </c>
      <c r="G1043" s="16" t="s">
        <v>1381</v>
      </c>
      <c r="H1043" s="16" t="s">
        <v>25</v>
      </c>
      <c r="I1043" s="16" t="s">
        <v>26</v>
      </c>
      <c r="J1043" s="16"/>
      <c r="K1043" s="16"/>
      <c r="L1043" s="16"/>
      <c r="M1043" s="16"/>
      <c r="N1043" s="16"/>
      <c r="O1043" s="16"/>
      <c r="P1043" s="16"/>
      <c r="Q1043" s="16"/>
      <c r="R1043" s="16"/>
      <c r="S1043" s="16">
        <v>15.0</v>
      </c>
      <c r="T1043" s="16"/>
      <c r="U1043" s="16" t="s">
        <v>4461</v>
      </c>
      <c r="V1043" s="16" t="s">
        <v>4462</v>
      </c>
      <c r="W1043" s="16" t="s">
        <v>231</v>
      </c>
    </row>
    <row r="1044">
      <c r="A1044" s="16">
        <v>12468.0</v>
      </c>
      <c r="B1044" s="16" t="s">
        <v>4463</v>
      </c>
      <c r="C1044" s="16">
        <v>0.0</v>
      </c>
      <c r="D1044" s="174" t="s">
        <v>4464</v>
      </c>
      <c r="E1044" s="16"/>
      <c r="F1044" s="16">
        <v>498.0</v>
      </c>
      <c r="G1044" s="16" t="s">
        <v>176</v>
      </c>
      <c r="H1044" s="16" t="s">
        <v>25</v>
      </c>
      <c r="I1044" s="16"/>
      <c r="J1044" s="16"/>
      <c r="K1044" s="16"/>
      <c r="L1044" s="16"/>
      <c r="M1044" s="16"/>
      <c r="N1044" s="16"/>
      <c r="O1044" s="16"/>
      <c r="P1044" s="16"/>
      <c r="Q1044" s="16"/>
      <c r="R1044" s="16"/>
      <c r="S1044" s="16">
        <v>-2.0</v>
      </c>
      <c r="T1044" s="16"/>
      <c r="U1044" s="16" t="s">
        <v>4465</v>
      </c>
      <c r="V1044" s="16" t="s">
        <v>4466</v>
      </c>
      <c r="W1044" s="16" t="s">
        <v>399</v>
      </c>
    </row>
    <row r="1045">
      <c r="A1045" s="16">
        <v>12469.0</v>
      </c>
      <c r="B1045" s="16" t="s">
        <v>4467</v>
      </c>
      <c r="C1045" s="16">
        <v>0.62</v>
      </c>
      <c r="D1045" s="174" t="s">
        <v>4468</v>
      </c>
      <c r="E1045" s="16"/>
      <c r="F1045" s="16">
        <v>514.0</v>
      </c>
      <c r="G1045" s="16" t="s">
        <v>260</v>
      </c>
      <c r="H1045" s="16" t="s">
        <v>25</v>
      </c>
      <c r="I1045" s="16" t="s">
        <v>26</v>
      </c>
      <c r="J1045" s="16"/>
      <c r="K1045" s="16"/>
      <c r="L1045" s="16"/>
      <c r="M1045" s="16"/>
      <c r="N1045" s="16"/>
      <c r="O1045" s="16"/>
      <c r="P1045" s="16"/>
      <c r="Q1045" s="16"/>
      <c r="R1045" s="16"/>
      <c r="S1045" s="16">
        <v>18.0</v>
      </c>
      <c r="T1045" s="16"/>
      <c r="U1045" s="16" t="s">
        <v>4469</v>
      </c>
      <c r="V1045" s="16" t="s">
        <v>4470</v>
      </c>
      <c r="W1045" s="16" t="s">
        <v>942</v>
      </c>
    </row>
    <row r="1046">
      <c r="A1046" s="16">
        <v>12470.0</v>
      </c>
      <c r="B1046" s="16" t="s">
        <v>4471</v>
      </c>
      <c r="C1046" s="16">
        <v>0.0</v>
      </c>
      <c r="D1046" s="174" t="s">
        <v>4472</v>
      </c>
      <c r="E1046" s="16"/>
      <c r="F1046" s="16">
        <v>498.0</v>
      </c>
      <c r="G1046" s="16" t="s">
        <v>176</v>
      </c>
      <c r="H1046" s="16" t="s">
        <v>25</v>
      </c>
      <c r="I1046" s="16" t="s">
        <v>26</v>
      </c>
      <c r="J1046" s="16"/>
      <c r="K1046" s="16"/>
      <c r="L1046" s="16"/>
      <c r="M1046" s="16"/>
      <c r="N1046" s="16"/>
      <c r="O1046" s="16"/>
      <c r="P1046" s="16"/>
      <c r="Q1046" s="16"/>
      <c r="R1046" s="16"/>
      <c r="S1046" s="16">
        <v>-2.0</v>
      </c>
      <c r="T1046" s="16"/>
      <c r="U1046" s="16" t="s">
        <v>4473</v>
      </c>
      <c r="V1046" s="16" t="s">
        <v>4474</v>
      </c>
      <c r="W1046" s="16" t="s">
        <v>332</v>
      </c>
    </row>
    <row r="1047">
      <c r="A1047" s="16">
        <v>12471.0</v>
      </c>
      <c r="B1047" s="16" t="s">
        <v>4475</v>
      </c>
      <c r="C1047" s="16">
        <v>0.0</v>
      </c>
      <c r="D1047" s="174" t="s">
        <v>4476</v>
      </c>
      <c r="E1047" s="16"/>
      <c r="F1047" s="16">
        <v>498.0</v>
      </c>
      <c r="G1047" s="16" t="s">
        <v>176</v>
      </c>
      <c r="H1047" s="16" t="s">
        <v>24</v>
      </c>
      <c r="I1047" s="16"/>
      <c r="J1047" s="16"/>
      <c r="K1047" s="16"/>
      <c r="L1047" s="16"/>
      <c r="M1047" s="16"/>
      <c r="N1047" s="16"/>
      <c r="O1047" s="16"/>
      <c r="P1047" s="16"/>
      <c r="Q1047" s="16"/>
      <c r="R1047" s="16"/>
      <c r="S1047" s="16">
        <v>-2.0</v>
      </c>
      <c r="T1047" s="16"/>
      <c r="U1047" s="16" t="s">
        <v>4477</v>
      </c>
      <c r="V1047" s="16" t="s">
        <v>4478</v>
      </c>
      <c r="W1047" s="16" t="s">
        <v>199</v>
      </c>
    </row>
    <row r="1048">
      <c r="A1048" s="16">
        <v>12472.0</v>
      </c>
      <c r="B1048" s="16" t="s">
        <v>4479</v>
      </c>
      <c r="C1048" s="16">
        <v>2.47</v>
      </c>
      <c r="D1048" s="174" t="s">
        <v>4480</v>
      </c>
      <c r="E1048" s="16"/>
      <c r="F1048" s="16">
        <v>499.0</v>
      </c>
      <c r="G1048" s="16" t="s">
        <v>126</v>
      </c>
      <c r="H1048" s="16" t="s">
        <v>17</v>
      </c>
      <c r="I1048" s="16"/>
      <c r="J1048" s="16"/>
      <c r="K1048" s="16"/>
      <c r="L1048" s="16"/>
      <c r="M1048" s="16"/>
      <c r="N1048" s="16"/>
      <c r="O1048" s="16"/>
      <c r="P1048" s="16"/>
      <c r="Q1048" s="16"/>
      <c r="R1048" s="16"/>
      <c r="S1048" s="16">
        <v>15.0</v>
      </c>
      <c r="T1048" s="16"/>
      <c r="U1048" s="16" t="s">
        <v>4481</v>
      </c>
      <c r="V1048" s="16" t="s">
        <v>4482</v>
      </c>
      <c r="W1048" s="16" t="s">
        <v>443</v>
      </c>
    </row>
    <row r="1049">
      <c r="A1049" s="16">
        <v>12473.0</v>
      </c>
      <c r="B1049" s="16" t="s">
        <v>68</v>
      </c>
      <c r="C1049" s="16">
        <v>1.42</v>
      </c>
      <c r="D1049" s="174" t="s">
        <v>4483</v>
      </c>
      <c r="E1049" s="16"/>
      <c r="F1049" s="16">
        <v>499.0</v>
      </c>
      <c r="G1049" s="16" t="s">
        <v>126</v>
      </c>
      <c r="H1049" s="16" t="s">
        <v>24</v>
      </c>
      <c r="I1049" s="16"/>
      <c r="J1049" s="16"/>
      <c r="K1049" s="16"/>
      <c r="L1049" s="16"/>
      <c r="M1049" s="16"/>
      <c r="N1049" s="16"/>
      <c r="O1049" s="16"/>
      <c r="P1049" s="16"/>
      <c r="Q1049" s="16"/>
      <c r="R1049" s="16"/>
      <c r="S1049" s="16">
        <v>6.0</v>
      </c>
      <c r="T1049" s="16"/>
      <c r="U1049" s="16" t="s">
        <v>4484</v>
      </c>
      <c r="V1049" s="16" t="s">
        <v>4485</v>
      </c>
      <c r="W1049" s="16" t="s">
        <v>661</v>
      </c>
    </row>
    <row r="1050">
      <c r="A1050" s="16">
        <v>12474.0</v>
      </c>
      <c r="B1050" s="16" t="s">
        <v>4486</v>
      </c>
      <c r="C1050" s="16">
        <v>1.84</v>
      </c>
      <c r="D1050" s="174" t="s">
        <v>4487</v>
      </c>
      <c r="E1050" s="16"/>
      <c r="F1050" s="16">
        <v>499.0</v>
      </c>
      <c r="G1050" s="16" t="s">
        <v>126</v>
      </c>
      <c r="H1050" s="16" t="s">
        <v>24</v>
      </c>
      <c r="I1050" s="16"/>
      <c r="J1050" s="16"/>
      <c r="K1050" s="16"/>
      <c r="L1050" s="16"/>
      <c r="M1050" s="16"/>
      <c r="N1050" s="16"/>
      <c r="O1050" s="16"/>
      <c r="P1050" s="16"/>
      <c r="Q1050" s="16"/>
      <c r="R1050" s="16"/>
      <c r="S1050" s="16">
        <v>14.0</v>
      </c>
      <c r="T1050" s="16"/>
      <c r="U1050" s="16" t="s">
        <v>4488</v>
      </c>
      <c r="V1050" s="16" t="s">
        <v>4489</v>
      </c>
      <c r="W1050" s="16" t="s">
        <v>473</v>
      </c>
    </row>
    <row r="1051">
      <c r="A1051" s="16">
        <v>12475.0</v>
      </c>
      <c r="B1051" s="16" t="s">
        <v>4490</v>
      </c>
      <c r="C1051" s="16">
        <v>0.61</v>
      </c>
      <c r="D1051" s="174" t="s">
        <v>4491</v>
      </c>
      <c r="E1051" s="16"/>
      <c r="F1051" s="16">
        <v>511.0</v>
      </c>
      <c r="G1051" s="16" t="s">
        <v>245</v>
      </c>
      <c r="H1051" s="16" t="s">
        <v>25</v>
      </c>
      <c r="I1051" s="16"/>
      <c r="J1051" s="16"/>
      <c r="K1051" s="16"/>
      <c r="L1051" s="16"/>
      <c r="M1051" s="16"/>
      <c r="N1051" s="16"/>
      <c r="O1051" s="16"/>
      <c r="P1051" s="16"/>
      <c r="Q1051" s="16"/>
      <c r="R1051" s="16"/>
      <c r="S1051" s="16">
        <v>16.0</v>
      </c>
      <c r="T1051" s="174" t="s">
        <v>4747</v>
      </c>
      <c r="U1051" s="16" t="s">
        <v>4492</v>
      </c>
      <c r="V1051" s="16" t="s">
        <v>4493</v>
      </c>
      <c r="W1051" s="16" t="s">
        <v>179</v>
      </c>
    </row>
    <row r="1052">
      <c r="A1052" s="16">
        <v>12476.0</v>
      </c>
      <c r="B1052" s="16" t="s">
        <v>4494</v>
      </c>
      <c r="C1052" s="16">
        <v>0.45</v>
      </c>
      <c r="D1052" s="174" t="s">
        <v>4495</v>
      </c>
      <c r="E1052" s="16"/>
      <c r="F1052" s="16">
        <v>498.0</v>
      </c>
      <c r="G1052" s="16" t="s">
        <v>176</v>
      </c>
      <c r="H1052" s="16" t="s">
        <v>13</v>
      </c>
      <c r="I1052" s="16"/>
      <c r="J1052" s="16"/>
      <c r="K1052" s="16"/>
      <c r="L1052" s="16"/>
      <c r="M1052" s="16"/>
      <c r="N1052" s="16"/>
      <c r="O1052" s="16"/>
      <c r="P1052" s="16"/>
      <c r="Q1052" s="16"/>
      <c r="R1052" s="16"/>
      <c r="S1052" s="16">
        <v>-2.0</v>
      </c>
      <c r="T1052" s="16"/>
      <c r="U1052" s="16" t="s">
        <v>4496</v>
      </c>
      <c r="V1052" s="16" t="s">
        <v>4497</v>
      </c>
      <c r="W1052" s="16" t="s">
        <v>199</v>
      </c>
    </row>
    <row r="1053">
      <c r="A1053" s="16">
        <v>12477.0</v>
      </c>
      <c r="B1053" s="16" t="s">
        <v>4498</v>
      </c>
      <c r="C1053" s="16">
        <v>0.0</v>
      </c>
      <c r="D1053" s="174" t="s">
        <v>4499</v>
      </c>
      <c r="E1053" s="16"/>
      <c r="F1053" s="16">
        <v>498.0</v>
      </c>
      <c r="G1053" s="16" t="s">
        <v>176</v>
      </c>
      <c r="H1053" s="16" t="s">
        <v>25</v>
      </c>
      <c r="I1053" s="16"/>
      <c r="J1053" s="16"/>
      <c r="K1053" s="16"/>
      <c r="L1053" s="16"/>
      <c r="M1053" s="16"/>
      <c r="N1053" s="16"/>
      <c r="O1053" s="16"/>
      <c r="P1053" s="16"/>
      <c r="Q1053" s="16"/>
      <c r="R1053" s="16"/>
      <c r="S1053" s="16">
        <v>-2.0</v>
      </c>
      <c r="T1053" s="16"/>
      <c r="U1053" s="16" t="s">
        <v>4500</v>
      </c>
      <c r="V1053" s="16" t="s">
        <v>4501</v>
      </c>
      <c r="W1053" s="16" t="s">
        <v>422</v>
      </c>
    </row>
    <row r="1054">
      <c r="A1054" s="16">
        <v>12478.0</v>
      </c>
      <c r="B1054" s="16" t="s">
        <v>4502</v>
      </c>
      <c r="C1054" s="16">
        <v>0.72</v>
      </c>
      <c r="D1054" s="174" t="s">
        <v>4503</v>
      </c>
      <c r="E1054" s="16"/>
      <c r="F1054" s="16">
        <v>532.0</v>
      </c>
      <c r="G1054" s="16" t="s">
        <v>346</v>
      </c>
      <c r="H1054" s="16" t="s">
        <v>24</v>
      </c>
      <c r="I1054" s="16"/>
      <c r="J1054" s="16"/>
      <c r="K1054" s="16"/>
      <c r="L1054" s="16"/>
      <c r="M1054" s="16"/>
      <c r="N1054" s="16"/>
      <c r="O1054" s="16"/>
      <c r="P1054" s="16"/>
      <c r="Q1054" s="16"/>
      <c r="R1054" s="16"/>
      <c r="S1054" s="16">
        <v>1.0</v>
      </c>
      <c r="T1054" s="16"/>
      <c r="U1054" s="16" t="s">
        <v>4504</v>
      </c>
      <c r="V1054" s="16" t="s">
        <v>4505</v>
      </c>
      <c r="W1054" s="16" t="s">
        <v>231</v>
      </c>
    </row>
    <row r="1055">
      <c r="A1055" s="16">
        <v>12479.0</v>
      </c>
      <c r="B1055" s="16" t="s">
        <v>4506</v>
      </c>
      <c r="C1055" s="16">
        <v>1.37</v>
      </c>
      <c r="D1055" s="174" t="s">
        <v>4507</v>
      </c>
      <c r="E1055" s="16"/>
      <c r="F1055" s="16">
        <v>500.0</v>
      </c>
      <c r="G1055" s="16" t="s">
        <v>120</v>
      </c>
      <c r="H1055" s="16" t="s">
        <v>24</v>
      </c>
      <c r="I1055" s="16"/>
      <c r="J1055" s="16"/>
      <c r="K1055" s="16"/>
      <c r="L1055" s="16"/>
      <c r="M1055" s="16"/>
      <c r="N1055" s="16"/>
      <c r="O1055" s="16"/>
      <c r="P1055" s="16"/>
      <c r="Q1055" s="16"/>
      <c r="R1055" s="16"/>
      <c r="S1055" s="16">
        <v>16.0</v>
      </c>
      <c r="T1055" s="16"/>
      <c r="U1055" s="16" t="s">
        <v>4508</v>
      </c>
      <c r="V1055" s="16" t="s">
        <v>4509</v>
      </c>
      <c r="W1055" s="16" t="s">
        <v>188</v>
      </c>
    </row>
    <row r="1056">
      <c r="A1056" s="16">
        <v>12480.0</v>
      </c>
      <c r="B1056" s="16" t="s">
        <v>4510</v>
      </c>
      <c r="C1056" s="16">
        <v>0.0</v>
      </c>
      <c r="D1056" s="174" t="s">
        <v>4511</v>
      </c>
      <c r="E1056" s="16"/>
      <c r="F1056" s="16">
        <v>498.0</v>
      </c>
      <c r="G1056" s="16" t="s">
        <v>176</v>
      </c>
      <c r="H1056" s="16" t="s">
        <v>19</v>
      </c>
      <c r="I1056" s="16" t="s">
        <v>17</v>
      </c>
      <c r="J1056" s="16" t="s">
        <v>18</v>
      </c>
      <c r="K1056" s="16"/>
      <c r="L1056" s="16"/>
      <c r="M1056" s="16"/>
      <c r="N1056" s="16"/>
      <c r="O1056" s="16"/>
      <c r="P1056" s="16"/>
      <c r="Q1056" s="16"/>
      <c r="R1056" s="16"/>
      <c r="S1056" s="16">
        <v>-2.0</v>
      </c>
      <c r="T1056" s="16"/>
      <c r="U1056" s="16" t="s">
        <v>4512</v>
      </c>
      <c r="V1056" s="16" t="s">
        <v>4513</v>
      </c>
      <c r="W1056" s="16" t="s">
        <v>199</v>
      </c>
    </row>
    <row r="1057">
      <c r="A1057" s="16">
        <v>12481.0</v>
      </c>
      <c r="B1057" s="16" t="s">
        <v>4514</v>
      </c>
      <c r="C1057" s="16">
        <v>0.0</v>
      </c>
      <c r="D1057" s="174" t="s">
        <v>4515</v>
      </c>
      <c r="E1057" s="16"/>
      <c r="F1057" s="16">
        <v>498.0</v>
      </c>
      <c r="G1057" s="16" t="s">
        <v>176</v>
      </c>
      <c r="H1057" s="16" t="s">
        <v>13</v>
      </c>
      <c r="I1057" s="16" t="s">
        <v>15</v>
      </c>
      <c r="J1057" s="16"/>
      <c r="K1057" s="16"/>
      <c r="L1057" s="16"/>
      <c r="M1057" s="16"/>
      <c r="N1057" s="16"/>
      <c r="O1057" s="16"/>
      <c r="P1057" s="16"/>
      <c r="Q1057" s="16"/>
      <c r="R1057" s="16"/>
      <c r="S1057" s="16">
        <v>-2.0</v>
      </c>
      <c r="T1057" s="16"/>
      <c r="U1057" s="16" t="s">
        <v>4516</v>
      </c>
      <c r="V1057" s="16" t="s">
        <v>4517</v>
      </c>
      <c r="W1057" s="16" t="s">
        <v>199</v>
      </c>
    </row>
    <row r="1058">
      <c r="A1058" s="16">
        <v>12482.0</v>
      </c>
      <c r="B1058" s="16" t="s">
        <v>4518</v>
      </c>
      <c r="C1058" s="16">
        <v>1.42</v>
      </c>
      <c r="D1058" s="174" t="s">
        <v>4519</v>
      </c>
      <c r="E1058" s="16"/>
      <c r="F1058" s="16">
        <v>546.0</v>
      </c>
      <c r="G1058" s="16" t="s">
        <v>415</v>
      </c>
      <c r="H1058" s="16" t="s">
        <v>24</v>
      </c>
      <c r="I1058" s="16"/>
      <c r="J1058" s="16"/>
      <c r="K1058" s="16"/>
      <c r="L1058" s="16"/>
      <c r="M1058" s="16"/>
      <c r="N1058" s="16"/>
      <c r="O1058" s="16"/>
      <c r="P1058" s="16"/>
      <c r="Q1058" s="16"/>
      <c r="R1058" s="16"/>
      <c r="S1058" s="16">
        <v>16.0</v>
      </c>
      <c r="T1058" s="174" t="s">
        <v>4836</v>
      </c>
      <c r="U1058" s="16" t="s">
        <v>4520</v>
      </c>
      <c r="V1058" s="16" t="s">
        <v>4521</v>
      </c>
      <c r="W1058" s="16" t="s">
        <v>188</v>
      </c>
    </row>
    <row r="1059">
      <c r="A1059" s="16">
        <v>12483.0</v>
      </c>
      <c r="B1059" s="16" t="s">
        <v>4522</v>
      </c>
      <c r="C1059" s="16">
        <v>0.71</v>
      </c>
      <c r="D1059" s="174" t="s">
        <v>4523</v>
      </c>
      <c r="E1059" s="16"/>
      <c r="F1059" s="16">
        <v>498.0</v>
      </c>
      <c r="G1059" s="16" t="s">
        <v>176</v>
      </c>
      <c r="H1059" s="16" t="s">
        <v>16</v>
      </c>
      <c r="I1059" s="16" t="s">
        <v>15</v>
      </c>
      <c r="J1059" s="16" t="s">
        <v>14</v>
      </c>
      <c r="K1059" s="16" t="s">
        <v>17</v>
      </c>
      <c r="L1059" s="16" t="s">
        <v>19</v>
      </c>
      <c r="M1059" s="16"/>
      <c r="N1059" s="16"/>
      <c r="O1059" s="16"/>
      <c r="P1059" s="16"/>
      <c r="Q1059" s="16"/>
      <c r="R1059" s="16"/>
      <c r="S1059" s="16">
        <v>-2.0</v>
      </c>
      <c r="T1059" s="16"/>
      <c r="U1059" s="16" t="s">
        <v>4524</v>
      </c>
      <c r="V1059" s="16" t="s">
        <v>4525</v>
      </c>
      <c r="W1059" s="16" t="s">
        <v>491</v>
      </c>
    </row>
    <row r="1060">
      <c r="A1060" s="16">
        <v>12484.0</v>
      </c>
      <c r="B1060" s="16" t="s">
        <v>4526</v>
      </c>
      <c r="C1060" s="16">
        <v>2.46</v>
      </c>
      <c r="D1060" s="174" t="s">
        <v>4527</v>
      </c>
      <c r="E1060" s="16"/>
      <c r="F1060" s="16">
        <v>516.0</v>
      </c>
      <c r="G1060" s="16" t="s">
        <v>228</v>
      </c>
      <c r="H1060" s="16" t="s">
        <v>16</v>
      </c>
      <c r="I1060" s="16"/>
      <c r="J1060" s="16"/>
      <c r="K1060" s="16"/>
      <c r="L1060" s="16"/>
      <c r="M1060" s="16"/>
      <c r="N1060" s="16"/>
      <c r="O1060" s="16"/>
      <c r="P1060" s="16"/>
      <c r="Q1060" s="16"/>
      <c r="R1060" s="16"/>
      <c r="S1060" s="16">
        <v>18.0</v>
      </c>
      <c r="T1060" s="16"/>
      <c r="U1060" s="16" t="s">
        <v>4528</v>
      </c>
      <c r="V1060" s="16" t="s">
        <v>4529</v>
      </c>
      <c r="W1060" s="16" t="s">
        <v>188</v>
      </c>
    </row>
    <row r="1061">
      <c r="A1061" s="16">
        <v>12485.0</v>
      </c>
      <c r="B1061" s="16" t="s">
        <v>4530</v>
      </c>
      <c r="C1061" s="16">
        <v>0.0</v>
      </c>
      <c r="D1061" s="174" t="s">
        <v>4531</v>
      </c>
      <c r="E1061" s="16"/>
      <c r="F1061" s="16">
        <v>498.0</v>
      </c>
      <c r="G1061" s="16" t="s">
        <v>176</v>
      </c>
      <c r="H1061" s="16" t="s">
        <v>25</v>
      </c>
      <c r="I1061" s="16" t="s">
        <v>26</v>
      </c>
      <c r="J1061" s="16"/>
      <c r="K1061" s="16"/>
      <c r="L1061" s="16"/>
      <c r="M1061" s="16"/>
      <c r="N1061" s="16"/>
      <c r="O1061" s="16"/>
      <c r="P1061" s="16"/>
      <c r="Q1061" s="16"/>
      <c r="R1061" s="16"/>
      <c r="S1061" s="16">
        <v>-2.0</v>
      </c>
      <c r="T1061" s="16"/>
      <c r="U1061" s="16" t="s">
        <v>4532</v>
      </c>
      <c r="V1061" s="16" t="s">
        <v>4533</v>
      </c>
      <c r="W1061" s="16" t="s">
        <v>360</v>
      </c>
    </row>
    <row r="1062">
      <c r="A1062" s="16">
        <v>12486.0</v>
      </c>
      <c r="B1062" s="16" t="s">
        <v>4534</v>
      </c>
      <c r="C1062" s="16">
        <v>0.74</v>
      </c>
      <c r="D1062" s="174" t="s">
        <v>4535</v>
      </c>
      <c r="E1062" s="16"/>
      <c r="F1062" s="16">
        <v>512.0</v>
      </c>
      <c r="G1062" s="16" t="s">
        <v>3300</v>
      </c>
      <c r="H1062" s="16" t="s">
        <v>14</v>
      </c>
      <c r="I1062" s="16"/>
      <c r="J1062" s="16"/>
      <c r="K1062" s="16"/>
      <c r="L1062" s="16"/>
      <c r="M1062" s="16"/>
      <c r="N1062" s="16"/>
      <c r="O1062" s="16"/>
      <c r="P1062" s="16"/>
      <c r="Q1062" s="16"/>
      <c r="R1062" s="16" t="s">
        <v>4808</v>
      </c>
      <c r="S1062" s="16">
        <v>5.0</v>
      </c>
      <c r="T1062" s="16"/>
      <c r="U1062" s="16" t="s">
        <v>4536</v>
      </c>
      <c r="V1062" s="16" t="s">
        <v>4537</v>
      </c>
      <c r="W1062" s="16" t="s">
        <v>1412</v>
      </c>
    </row>
    <row r="1063">
      <c r="A1063" s="16">
        <v>12487.0</v>
      </c>
      <c r="B1063" s="16" t="s">
        <v>4538</v>
      </c>
      <c r="C1063" s="16">
        <v>0.51</v>
      </c>
      <c r="D1063" s="174" t="s">
        <v>4539</v>
      </c>
      <c r="E1063" s="16"/>
      <c r="F1063" s="16">
        <v>498.0</v>
      </c>
      <c r="G1063" s="16" t="s">
        <v>176</v>
      </c>
      <c r="H1063" s="16" t="s">
        <v>24</v>
      </c>
      <c r="I1063" s="16" t="s">
        <v>25</v>
      </c>
      <c r="J1063" s="16"/>
      <c r="K1063" s="16"/>
      <c r="L1063" s="16"/>
      <c r="M1063" s="16"/>
      <c r="N1063" s="16"/>
      <c r="O1063" s="16"/>
      <c r="P1063" s="16"/>
      <c r="Q1063" s="16"/>
      <c r="R1063" s="16"/>
      <c r="S1063" s="16">
        <v>15.0</v>
      </c>
      <c r="T1063" s="16"/>
      <c r="U1063" s="16" t="s">
        <v>4540</v>
      </c>
      <c r="V1063" s="16" t="s">
        <v>4541</v>
      </c>
      <c r="W1063" s="16" t="s">
        <v>179</v>
      </c>
    </row>
    <row r="1064">
      <c r="A1064" s="16">
        <v>12488.0</v>
      </c>
      <c r="B1064" s="16" t="s">
        <v>4542</v>
      </c>
      <c r="C1064" s="16">
        <v>1.34</v>
      </c>
      <c r="D1064" s="174" t="s">
        <v>4543</v>
      </c>
      <c r="E1064" s="16"/>
      <c r="F1064" s="16">
        <v>501.0</v>
      </c>
      <c r="G1064" s="16" t="s">
        <v>371</v>
      </c>
      <c r="H1064" s="16" t="s">
        <v>24</v>
      </c>
      <c r="I1064" s="16"/>
      <c r="J1064" s="16"/>
      <c r="K1064" s="16"/>
      <c r="L1064" s="16"/>
      <c r="M1064" s="16"/>
      <c r="N1064" s="16"/>
      <c r="O1064" s="16"/>
      <c r="P1064" s="16"/>
      <c r="Q1064" s="16"/>
      <c r="R1064" s="16"/>
      <c r="S1064" s="16">
        <v>15.0</v>
      </c>
      <c r="T1064" s="16"/>
      <c r="U1064" s="16" t="s">
        <v>4544</v>
      </c>
      <c r="V1064" s="16" t="s">
        <v>4545</v>
      </c>
      <c r="W1064" s="16" t="s">
        <v>188</v>
      </c>
    </row>
    <row r="1065">
      <c r="A1065" s="16">
        <v>12489.0</v>
      </c>
      <c r="B1065" s="16" t="s">
        <v>4546</v>
      </c>
      <c r="C1065" s="16">
        <v>0.0</v>
      </c>
      <c r="D1065" s="174" t="s">
        <v>4547</v>
      </c>
      <c r="E1065" s="16"/>
      <c r="F1065" s="16">
        <v>498.0</v>
      </c>
      <c r="G1065" s="16" t="s">
        <v>176</v>
      </c>
      <c r="H1065" s="16" t="s">
        <v>15</v>
      </c>
      <c r="I1065" s="16" t="s">
        <v>16</v>
      </c>
      <c r="J1065" s="16" t="s">
        <v>14</v>
      </c>
      <c r="K1065" s="16"/>
      <c r="L1065" s="16"/>
      <c r="M1065" s="16"/>
      <c r="N1065" s="16"/>
      <c r="O1065" s="16"/>
      <c r="P1065" s="16"/>
      <c r="Q1065" s="16"/>
      <c r="R1065" s="16"/>
      <c r="S1065" s="16">
        <v>-2.0</v>
      </c>
      <c r="T1065" s="16"/>
      <c r="U1065" s="16" t="s">
        <v>4548</v>
      </c>
      <c r="V1065" s="16" t="s">
        <v>4549</v>
      </c>
      <c r="W1065" s="16" t="s">
        <v>199</v>
      </c>
    </row>
    <row r="1066">
      <c r="A1066" s="16">
        <v>12490.0</v>
      </c>
      <c r="B1066" s="16" t="s">
        <v>4550</v>
      </c>
      <c r="C1066" s="16">
        <v>2.75</v>
      </c>
      <c r="D1066" s="174" t="s">
        <v>4551</v>
      </c>
      <c r="E1066" s="16"/>
      <c r="F1066" s="16">
        <v>511.0</v>
      </c>
      <c r="G1066" s="16" t="s">
        <v>245</v>
      </c>
      <c r="H1066" s="16" t="s">
        <v>24</v>
      </c>
      <c r="I1066" s="16"/>
      <c r="J1066" s="16"/>
      <c r="K1066" s="16"/>
      <c r="L1066" s="16"/>
      <c r="M1066" s="16"/>
      <c r="N1066" s="16"/>
      <c r="O1066" s="16"/>
      <c r="P1066" s="16"/>
      <c r="Q1066" s="16"/>
      <c r="R1066" s="16"/>
      <c r="S1066" s="16">
        <v>1.0</v>
      </c>
      <c r="T1066" s="16"/>
      <c r="U1066" s="16" t="s">
        <v>4552</v>
      </c>
      <c r="V1066" s="16" t="s">
        <v>4553</v>
      </c>
      <c r="W1066" s="16" t="s">
        <v>231</v>
      </c>
    </row>
    <row r="1067">
      <c r="A1067" s="16">
        <v>12491.0</v>
      </c>
      <c r="B1067" s="16" t="s">
        <v>4554</v>
      </c>
      <c r="C1067" s="16">
        <v>0.0</v>
      </c>
      <c r="D1067" s="174" t="s">
        <v>4555</v>
      </c>
      <c r="E1067" s="16"/>
      <c r="F1067" s="16">
        <v>498.0</v>
      </c>
      <c r="G1067" s="16" t="s">
        <v>176</v>
      </c>
      <c r="H1067" s="16" t="s">
        <v>24</v>
      </c>
      <c r="I1067" s="16"/>
      <c r="J1067" s="16"/>
      <c r="K1067" s="16"/>
      <c r="L1067" s="16"/>
      <c r="M1067" s="16"/>
      <c r="N1067" s="16"/>
      <c r="O1067" s="16"/>
      <c r="P1067" s="16"/>
      <c r="Q1067" s="16"/>
      <c r="R1067" s="16"/>
      <c r="S1067" s="16">
        <v>-2.0</v>
      </c>
      <c r="T1067" s="16"/>
      <c r="U1067" s="16" t="s">
        <v>4556</v>
      </c>
      <c r="V1067" s="16" t="s">
        <v>4557</v>
      </c>
      <c r="W1067" s="16" t="s">
        <v>199</v>
      </c>
    </row>
  </sheetData>
  <hyperlinks>
    <hyperlink r:id="rId1" ref="D34"/>
    <hyperlink r:id="rId2" ref="D35"/>
    <hyperlink r:id="rId3" ref="D36"/>
    <hyperlink r:id="rId4" ref="D37"/>
    <hyperlink r:id="rId5" ref="T37"/>
    <hyperlink r:id="rId6" ref="D38"/>
    <hyperlink r:id="rId7" ref="D39"/>
    <hyperlink r:id="rId8" ref="D40"/>
    <hyperlink r:id="rId9" ref="D41"/>
    <hyperlink r:id="rId10" ref="D42"/>
    <hyperlink r:id="rId11" ref="T42"/>
    <hyperlink r:id="rId12" ref="D43"/>
    <hyperlink r:id="rId13" ref="D44"/>
    <hyperlink r:id="rId14" ref="D45"/>
    <hyperlink r:id="rId15" ref="D46"/>
    <hyperlink r:id="rId16" ref="D47"/>
    <hyperlink r:id="rId17" ref="D48"/>
    <hyperlink r:id="rId18" ref="D49"/>
    <hyperlink r:id="rId19" ref="D50"/>
    <hyperlink r:id="rId20" ref="D51"/>
    <hyperlink r:id="rId21" ref="D52"/>
    <hyperlink r:id="rId22" ref="D53"/>
    <hyperlink r:id="rId23" ref="D54"/>
    <hyperlink r:id="rId24" ref="D55"/>
    <hyperlink r:id="rId25" ref="D56"/>
    <hyperlink r:id="rId26" ref="D57"/>
    <hyperlink r:id="rId27" ref="D58"/>
    <hyperlink r:id="rId28" ref="D59"/>
    <hyperlink r:id="rId29" ref="D60"/>
    <hyperlink r:id="rId30" ref="D61"/>
    <hyperlink r:id="rId31" ref="T61"/>
    <hyperlink r:id="rId32" ref="D62"/>
    <hyperlink r:id="rId33" ref="D63"/>
    <hyperlink r:id="rId34" ref="D64"/>
    <hyperlink r:id="rId35" ref="D65"/>
    <hyperlink r:id="rId36" ref="D66"/>
    <hyperlink r:id="rId37" ref="D67"/>
    <hyperlink r:id="rId38" ref="D68"/>
    <hyperlink r:id="rId39" ref="D69"/>
    <hyperlink r:id="rId40" ref="D70"/>
    <hyperlink r:id="rId41" ref="D71"/>
    <hyperlink r:id="rId42" ref="D72"/>
    <hyperlink r:id="rId43" ref="D73"/>
    <hyperlink r:id="rId44" ref="D74"/>
    <hyperlink r:id="rId45" ref="D75"/>
    <hyperlink r:id="rId46" ref="D76"/>
    <hyperlink r:id="rId47" ref="D77"/>
    <hyperlink r:id="rId48" ref="D78"/>
    <hyperlink r:id="rId49" ref="T78"/>
    <hyperlink r:id="rId50" ref="D79"/>
    <hyperlink r:id="rId51" ref="D80"/>
    <hyperlink r:id="rId52" ref="D81"/>
    <hyperlink r:id="rId53" ref="D82"/>
    <hyperlink r:id="rId54" ref="D83"/>
    <hyperlink r:id="rId55" ref="D84"/>
    <hyperlink r:id="rId56" ref="D85"/>
    <hyperlink r:id="rId57" ref="D86"/>
    <hyperlink r:id="rId58" ref="D87"/>
    <hyperlink r:id="rId59" ref="T87"/>
    <hyperlink r:id="rId60" ref="D88"/>
    <hyperlink r:id="rId61" ref="D89"/>
    <hyperlink r:id="rId62" ref="D90"/>
    <hyperlink r:id="rId63" ref="D91"/>
    <hyperlink r:id="rId64" ref="D92"/>
    <hyperlink r:id="rId65" ref="D93"/>
    <hyperlink r:id="rId66" ref="D94"/>
    <hyperlink r:id="rId67" ref="D95"/>
    <hyperlink r:id="rId68" ref="D96"/>
    <hyperlink r:id="rId69" ref="D97"/>
    <hyperlink r:id="rId70" ref="D98"/>
    <hyperlink r:id="rId71" ref="D99"/>
    <hyperlink r:id="rId72" ref="T99"/>
    <hyperlink r:id="rId73" ref="D100"/>
    <hyperlink r:id="rId74" ref="D101"/>
    <hyperlink r:id="rId75" ref="D102"/>
    <hyperlink r:id="rId76" ref="D103"/>
    <hyperlink r:id="rId77" ref="D104"/>
    <hyperlink r:id="rId78" ref="D105"/>
    <hyperlink r:id="rId79" ref="D106"/>
    <hyperlink r:id="rId80" ref="D107"/>
    <hyperlink r:id="rId81" ref="D108"/>
    <hyperlink r:id="rId82" ref="D109"/>
    <hyperlink r:id="rId83" ref="D110"/>
    <hyperlink r:id="rId84" ref="D111"/>
    <hyperlink r:id="rId85" ref="D112"/>
    <hyperlink r:id="rId86" ref="D113"/>
    <hyperlink r:id="rId87" ref="D114"/>
    <hyperlink r:id="rId88" ref="D115"/>
    <hyperlink r:id="rId89" ref="D116"/>
    <hyperlink r:id="rId90" ref="D117"/>
    <hyperlink r:id="rId91" ref="D118"/>
    <hyperlink r:id="rId92" ref="D119"/>
    <hyperlink r:id="rId93" ref="D120"/>
    <hyperlink r:id="rId94" ref="D121"/>
    <hyperlink r:id="rId95" ref="D122"/>
    <hyperlink r:id="rId96" ref="D123"/>
    <hyperlink r:id="rId97" ref="D124"/>
    <hyperlink r:id="rId98" ref="T124"/>
    <hyperlink r:id="rId99" ref="D125"/>
    <hyperlink r:id="rId100" ref="D126"/>
    <hyperlink r:id="rId101" ref="D127"/>
    <hyperlink r:id="rId102" ref="D128"/>
    <hyperlink r:id="rId103" ref="D129"/>
    <hyperlink r:id="rId104" ref="D130"/>
    <hyperlink r:id="rId105" ref="D131"/>
    <hyperlink r:id="rId106" ref="D132"/>
    <hyperlink r:id="rId107" ref="D133"/>
    <hyperlink r:id="rId108" ref="D134"/>
    <hyperlink r:id="rId109" ref="D135"/>
    <hyperlink r:id="rId110" ref="D136"/>
    <hyperlink r:id="rId111" ref="D137"/>
    <hyperlink r:id="rId112" ref="D138"/>
    <hyperlink r:id="rId113" ref="D139"/>
    <hyperlink r:id="rId114" ref="D140"/>
    <hyperlink r:id="rId115" ref="D141"/>
    <hyperlink r:id="rId116" ref="D142"/>
    <hyperlink r:id="rId117" ref="D143"/>
    <hyperlink r:id="rId118" ref="D144"/>
    <hyperlink r:id="rId119" ref="D145"/>
    <hyperlink r:id="rId120" ref="D146"/>
    <hyperlink r:id="rId121" ref="D147"/>
    <hyperlink r:id="rId122" ref="D148"/>
    <hyperlink r:id="rId123" ref="D149"/>
    <hyperlink r:id="rId124" ref="D150"/>
    <hyperlink r:id="rId125" ref="D151"/>
    <hyperlink r:id="rId126" ref="D152"/>
    <hyperlink r:id="rId127" ref="D153"/>
    <hyperlink r:id="rId128" ref="D154"/>
    <hyperlink r:id="rId129" ref="D155"/>
    <hyperlink r:id="rId130" ref="D156"/>
    <hyperlink r:id="rId131" ref="D157"/>
    <hyperlink r:id="rId132" ref="D158"/>
    <hyperlink r:id="rId133" ref="D159"/>
    <hyperlink r:id="rId134" ref="D160"/>
    <hyperlink r:id="rId135" ref="D161"/>
    <hyperlink r:id="rId136" ref="D162"/>
    <hyperlink r:id="rId137" ref="D163"/>
    <hyperlink r:id="rId138" ref="D164"/>
    <hyperlink r:id="rId139" ref="D165"/>
    <hyperlink r:id="rId140" ref="D166"/>
    <hyperlink r:id="rId141" ref="D167"/>
    <hyperlink r:id="rId142" ref="D168"/>
    <hyperlink r:id="rId143" ref="D169"/>
    <hyperlink r:id="rId144" ref="D170"/>
    <hyperlink r:id="rId145" ref="D171"/>
    <hyperlink r:id="rId146" ref="T171"/>
    <hyperlink r:id="rId147" ref="D172"/>
    <hyperlink r:id="rId148" ref="D173"/>
    <hyperlink r:id="rId149" ref="D174"/>
    <hyperlink r:id="rId150" ref="D175"/>
    <hyperlink r:id="rId151" ref="D176"/>
    <hyperlink r:id="rId152" ref="D177"/>
    <hyperlink r:id="rId153" ref="D178"/>
    <hyperlink r:id="rId154" ref="D179"/>
    <hyperlink r:id="rId155" ref="D180"/>
    <hyperlink r:id="rId156" ref="D181"/>
    <hyperlink r:id="rId157" ref="D182"/>
    <hyperlink r:id="rId158" ref="D183"/>
    <hyperlink r:id="rId159" ref="D184"/>
    <hyperlink r:id="rId160" ref="D185"/>
    <hyperlink r:id="rId161" ref="T185"/>
    <hyperlink r:id="rId162" ref="D186"/>
    <hyperlink r:id="rId163" ref="D187"/>
    <hyperlink r:id="rId164" ref="T187"/>
    <hyperlink r:id="rId165" ref="D188"/>
    <hyperlink r:id="rId166" ref="D189"/>
    <hyperlink r:id="rId167" ref="D190"/>
    <hyperlink r:id="rId168" ref="D191"/>
    <hyperlink r:id="rId169" ref="D192"/>
    <hyperlink r:id="rId170" ref="D193"/>
    <hyperlink r:id="rId171" ref="D194"/>
    <hyperlink r:id="rId172" ref="D195"/>
    <hyperlink r:id="rId173" ref="D196"/>
    <hyperlink r:id="rId174" ref="D197"/>
    <hyperlink r:id="rId175" ref="D198"/>
    <hyperlink r:id="rId176" ref="D199"/>
    <hyperlink r:id="rId177" ref="T199"/>
    <hyperlink r:id="rId178" ref="D200"/>
    <hyperlink r:id="rId179" ref="D201"/>
    <hyperlink r:id="rId180" ref="D202"/>
    <hyperlink r:id="rId181" ref="D203"/>
    <hyperlink r:id="rId182" ref="D204"/>
    <hyperlink r:id="rId183" ref="D205"/>
    <hyperlink r:id="rId184" ref="D206"/>
    <hyperlink r:id="rId185" ref="D207"/>
    <hyperlink r:id="rId186" ref="D208"/>
    <hyperlink r:id="rId187" ref="D209"/>
    <hyperlink r:id="rId188" ref="D210"/>
    <hyperlink r:id="rId189" ref="D211"/>
    <hyperlink r:id="rId190" ref="D212"/>
    <hyperlink r:id="rId191" ref="D213"/>
    <hyperlink r:id="rId192" ref="D214"/>
    <hyperlink r:id="rId193" ref="D215"/>
    <hyperlink r:id="rId194" ref="D216"/>
    <hyperlink r:id="rId195" ref="D217"/>
    <hyperlink r:id="rId196" ref="D218"/>
    <hyperlink r:id="rId197" ref="D219"/>
    <hyperlink r:id="rId198" ref="D220"/>
    <hyperlink r:id="rId199" ref="D221"/>
    <hyperlink r:id="rId200" ref="D222"/>
    <hyperlink r:id="rId201" ref="D223"/>
    <hyperlink r:id="rId202" ref="D224"/>
    <hyperlink r:id="rId203" ref="D225"/>
    <hyperlink r:id="rId204" ref="D226"/>
    <hyperlink r:id="rId205" ref="D227"/>
    <hyperlink r:id="rId206" ref="T227"/>
    <hyperlink r:id="rId207" ref="D228"/>
    <hyperlink r:id="rId208" ref="T228"/>
    <hyperlink r:id="rId209" ref="D229"/>
    <hyperlink r:id="rId210" ref="D230"/>
    <hyperlink r:id="rId211" ref="D231"/>
    <hyperlink r:id="rId212" ref="T231"/>
    <hyperlink r:id="rId213" ref="D232"/>
    <hyperlink r:id="rId214" ref="D233"/>
    <hyperlink r:id="rId215" ref="D234"/>
    <hyperlink r:id="rId216" ref="D235"/>
    <hyperlink r:id="rId217" ref="D236"/>
    <hyperlink r:id="rId218" ref="D237"/>
    <hyperlink r:id="rId219" ref="D238"/>
    <hyperlink r:id="rId220" ref="D239"/>
    <hyperlink r:id="rId221" ref="T239"/>
    <hyperlink r:id="rId222" ref="D240"/>
    <hyperlink r:id="rId223" ref="D241"/>
    <hyperlink r:id="rId224" ref="D242"/>
    <hyperlink r:id="rId225" ref="D243"/>
    <hyperlink r:id="rId226" ref="D244"/>
    <hyperlink r:id="rId227" ref="D245"/>
    <hyperlink r:id="rId228" ref="D246"/>
    <hyperlink r:id="rId229" ref="D247"/>
    <hyperlink r:id="rId230" ref="T247"/>
    <hyperlink r:id="rId231" ref="D248"/>
    <hyperlink r:id="rId232" ref="D249"/>
    <hyperlink r:id="rId233" ref="D250"/>
    <hyperlink r:id="rId234" ref="D251"/>
    <hyperlink r:id="rId235" ref="D252"/>
    <hyperlink r:id="rId236" ref="T252"/>
    <hyperlink r:id="rId237" ref="D253"/>
    <hyperlink r:id="rId238" ref="D254"/>
    <hyperlink r:id="rId239" ref="D255"/>
    <hyperlink r:id="rId240" ref="T255"/>
    <hyperlink r:id="rId241" ref="D256"/>
    <hyperlink r:id="rId242" ref="D257"/>
    <hyperlink r:id="rId243" ref="D258"/>
    <hyperlink r:id="rId244" ref="D259"/>
    <hyperlink r:id="rId245" ref="D260"/>
    <hyperlink r:id="rId246" ref="D261"/>
    <hyperlink r:id="rId247" ref="D262"/>
    <hyperlink r:id="rId248" ref="D263"/>
    <hyperlink r:id="rId249" ref="D264"/>
    <hyperlink r:id="rId250" ref="D265"/>
    <hyperlink r:id="rId251" ref="D266"/>
    <hyperlink r:id="rId252" ref="D267"/>
    <hyperlink r:id="rId253" ref="D268"/>
    <hyperlink r:id="rId254" ref="D269"/>
    <hyperlink r:id="rId255" ref="D270"/>
    <hyperlink r:id="rId256" ref="D271"/>
    <hyperlink r:id="rId257" ref="D272"/>
    <hyperlink r:id="rId258" ref="T272"/>
    <hyperlink r:id="rId259" ref="D273"/>
    <hyperlink r:id="rId260" ref="D274"/>
    <hyperlink r:id="rId261" ref="D275"/>
    <hyperlink r:id="rId262" ref="D276"/>
    <hyperlink r:id="rId263" ref="D277"/>
    <hyperlink r:id="rId264" ref="D278"/>
    <hyperlink r:id="rId265" ref="D279"/>
    <hyperlink r:id="rId266" ref="D280"/>
    <hyperlink r:id="rId267" ref="D281"/>
    <hyperlink r:id="rId268" ref="D282"/>
    <hyperlink r:id="rId269" ref="D283"/>
    <hyperlink r:id="rId270" ref="D284"/>
    <hyperlink r:id="rId271" ref="D285"/>
    <hyperlink r:id="rId272" ref="D286"/>
    <hyperlink r:id="rId273" ref="D287"/>
    <hyperlink r:id="rId274" ref="D288"/>
    <hyperlink r:id="rId275" ref="D289"/>
    <hyperlink r:id="rId276" ref="D290"/>
    <hyperlink r:id="rId277" ref="D291"/>
    <hyperlink r:id="rId278" ref="D292"/>
    <hyperlink r:id="rId279" ref="D293"/>
    <hyperlink r:id="rId280" ref="D294"/>
    <hyperlink r:id="rId281" ref="D295"/>
    <hyperlink r:id="rId282" ref="T295"/>
    <hyperlink r:id="rId283" ref="D296"/>
    <hyperlink r:id="rId284" ref="D297"/>
    <hyperlink r:id="rId285" ref="D298"/>
    <hyperlink r:id="rId286" ref="T298"/>
    <hyperlink r:id="rId287" ref="D299"/>
    <hyperlink r:id="rId288" ref="D300"/>
    <hyperlink r:id="rId289" ref="D301"/>
    <hyperlink r:id="rId290" ref="D302"/>
    <hyperlink r:id="rId291" ref="D303"/>
    <hyperlink r:id="rId292" ref="D304"/>
    <hyperlink r:id="rId293" ref="D305"/>
    <hyperlink r:id="rId294" ref="D306"/>
    <hyperlink r:id="rId295" ref="D307"/>
    <hyperlink r:id="rId296" ref="T307"/>
    <hyperlink r:id="rId297" ref="D308"/>
    <hyperlink r:id="rId298" ref="D309"/>
    <hyperlink r:id="rId299" ref="D310"/>
    <hyperlink r:id="rId300" ref="D311"/>
    <hyperlink r:id="rId301" ref="D312"/>
    <hyperlink r:id="rId302" ref="D313"/>
    <hyperlink r:id="rId303" ref="T313"/>
    <hyperlink r:id="rId304" ref="D314"/>
    <hyperlink r:id="rId305" ref="D315"/>
    <hyperlink r:id="rId306" ref="T315"/>
    <hyperlink r:id="rId307" ref="D316"/>
    <hyperlink r:id="rId308" ref="D317"/>
    <hyperlink r:id="rId309" ref="D318"/>
    <hyperlink r:id="rId310" ref="D319"/>
    <hyperlink r:id="rId311" ref="D320"/>
    <hyperlink r:id="rId312" ref="D321"/>
    <hyperlink r:id="rId313" ref="D322"/>
    <hyperlink r:id="rId314" ref="D323"/>
    <hyperlink r:id="rId315" ref="D324"/>
    <hyperlink r:id="rId316" ref="D325"/>
    <hyperlink r:id="rId317" ref="D326"/>
    <hyperlink r:id="rId318" ref="D327"/>
    <hyperlink r:id="rId319" ref="D328"/>
    <hyperlink r:id="rId320" ref="D329"/>
    <hyperlink r:id="rId321" ref="D330"/>
    <hyperlink r:id="rId322" ref="D331"/>
    <hyperlink r:id="rId323" ref="D332"/>
    <hyperlink r:id="rId324" ref="D333"/>
    <hyperlink r:id="rId325" ref="D334"/>
    <hyperlink r:id="rId326" ref="D335"/>
    <hyperlink r:id="rId327" ref="D336"/>
    <hyperlink r:id="rId328" ref="T336"/>
    <hyperlink r:id="rId329" ref="D337"/>
    <hyperlink r:id="rId330" ref="D338"/>
    <hyperlink r:id="rId331" ref="D339"/>
    <hyperlink r:id="rId332" ref="D340"/>
    <hyperlink r:id="rId333" ref="D341"/>
    <hyperlink r:id="rId334" ref="D342"/>
    <hyperlink r:id="rId335" ref="D343"/>
    <hyperlink r:id="rId336" ref="D344"/>
    <hyperlink r:id="rId337" ref="T344"/>
    <hyperlink r:id="rId338" ref="D345"/>
    <hyperlink r:id="rId339" ref="D346"/>
    <hyperlink r:id="rId340" ref="D347"/>
    <hyperlink r:id="rId341" ref="D348"/>
    <hyperlink r:id="rId342" ref="D349"/>
    <hyperlink r:id="rId343" ref="D350"/>
    <hyperlink r:id="rId344" ref="D351"/>
    <hyperlink r:id="rId345" ref="D352"/>
    <hyperlink r:id="rId346" ref="D353"/>
    <hyperlink r:id="rId347" ref="D354"/>
    <hyperlink r:id="rId348" ref="D355"/>
    <hyperlink r:id="rId349" ref="D356"/>
    <hyperlink r:id="rId350" ref="D357"/>
    <hyperlink r:id="rId351" ref="D358"/>
    <hyperlink r:id="rId352" ref="D359"/>
    <hyperlink r:id="rId353" ref="D360"/>
    <hyperlink r:id="rId354" ref="D361"/>
    <hyperlink r:id="rId355" ref="D362"/>
    <hyperlink r:id="rId356" ref="T362"/>
    <hyperlink r:id="rId357" ref="D363"/>
    <hyperlink r:id="rId358" ref="D364"/>
    <hyperlink r:id="rId359" ref="D365"/>
    <hyperlink r:id="rId360" ref="D366"/>
    <hyperlink r:id="rId361" ref="D367"/>
    <hyperlink r:id="rId362" ref="T367"/>
    <hyperlink r:id="rId363" ref="D368"/>
    <hyperlink r:id="rId364" ref="D369"/>
    <hyperlink r:id="rId365" ref="D370"/>
    <hyperlink r:id="rId366" ref="D371"/>
    <hyperlink r:id="rId367" ref="D372"/>
    <hyperlink r:id="rId368" ref="D373"/>
    <hyperlink r:id="rId369" ref="D374"/>
    <hyperlink r:id="rId370" ref="D375"/>
    <hyperlink r:id="rId371" ref="D376"/>
    <hyperlink r:id="rId372" ref="D377"/>
    <hyperlink r:id="rId373" ref="D378"/>
    <hyperlink r:id="rId374" ref="D379"/>
    <hyperlink r:id="rId375" ref="D380"/>
    <hyperlink r:id="rId376" ref="D381"/>
    <hyperlink r:id="rId377" ref="D382"/>
    <hyperlink r:id="rId378" ref="D383"/>
    <hyperlink r:id="rId379" ref="D384"/>
    <hyperlink r:id="rId380" ref="D385"/>
    <hyperlink r:id="rId381" ref="D386"/>
    <hyperlink r:id="rId382" ref="D387"/>
    <hyperlink r:id="rId383" ref="D388"/>
    <hyperlink r:id="rId384" ref="D389"/>
    <hyperlink r:id="rId385" ref="D390"/>
    <hyperlink r:id="rId386" ref="D391"/>
    <hyperlink r:id="rId387" ref="D392"/>
    <hyperlink r:id="rId388" ref="D393"/>
    <hyperlink r:id="rId389" ref="D394"/>
    <hyperlink r:id="rId390" ref="D395"/>
    <hyperlink r:id="rId391" ref="D396"/>
    <hyperlink r:id="rId392" ref="D397"/>
    <hyperlink r:id="rId393" ref="D398"/>
    <hyperlink r:id="rId394" ref="D399"/>
    <hyperlink r:id="rId395" ref="D400"/>
    <hyperlink r:id="rId396" ref="D401"/>
    <hyperlink r:id="rId397" ref="D402"/>
    <hyperlink r:id="rId398" ref="T402"/>
    <hyperlink r:id="rId399" ref="D403"/>
    <hyperlink r:id="rId400" ref="D404"/>
    <hyperlink r:id="rId401" ref="D405"/>
    <hyperlink r:id="rId402" ref="T405"/>
    <hyperlink r:id="rId403" ref="D406"/>
    <hyperlink r:id="rId404" ref="D407"/>
    <hyperlink r:id="rId405" ref="D408"/>
    <hyperlink r:id="rId406" ref="T408"/>
    <hyperlink r:id="rId407" ref="D409"/>
    <hyperlink r:id="rId408" ref="D410"/>
    <hyperlink r:id="rId409" ref="D411"/>
    <hyperlink r:id="rId410" ref="D412"/>
    <hyperlink r:id="rId411" ref="D413"/>
    <hyperlink r:id="rId412" ref="D414"/>
    <hyperlink r:id="rId413" ref="D415"/>
    <hyperlink r:id="rId414" ref="D416"/>
    <hyperlink r:id="rId415" ref="D417"/>
    <hyperlink r:id="rId416" ref="D418"/>
    <hyperlink r:id="rId417" ref="D419"/>
    <hyperlink r:id="rId418" ref="D420"/>
    <hyperlink r:id="rId419" ref="T420"/>
    <hyperlink r:id="rId420" ref="D421"/>
    <hyperlink r:id="rId421" ref="D422"/>
    <hyperlink r:id="rId422" ref="D423"/>
    <hyperlink r:id="rId423" ref="D424"/>
    <hyperlink r:id="rId424" ref="T424"/>
    <hyperlink r:id="rId425" ref="D425"/>
    <hyperlink r:id="rId426" ref="D426"/>
    <hyperlink r:id="rId427" ref="D427"/>
    <hyperlink r:id="rId428" ref="D428"/>
    <hyperlink r:id="rId429" ref="D429"/>
    <hyperlink r:id="rId430" ref="D430"/>
    <hyperlink r:id="rId431" ref="D431"/>
    <hyperlink r:id="rId432" ref="D432"/>
    <hyperlink r:id="rId433" ref="D433"/>
    <hyperlink r:id="rId434" ref="T433"/>
    <hyperlink r:id="rId435" ref="D434"/>
    <hyperlink r:id="rId436" ref="D435"/>
    <hyperlink r:id="rId437" ref="D436"/>
    <hyperlink r:id="rId438" ref="D437"/>
    <hyperlink r:id="rId439" ref="T437"/>
    <hyperlink r:id="rId440" ref="D438"/>
    <hyperlink r:id="rId441" ref="D439"/>
    <hyperlink r:id="rId442" ref="D440"/>
    <hyperlink r:id="rId443" ref="D441"/>
    <hyperlink r:id="rId444" ref="D442"/>
    <hyperlink r:id="rId445" ref="D443"/>
    <hyperlink r:id="rId446" ref="D444"/>
    <hyperlink r:id="rId447" ref="D445"/>
    <hyperlink r:id="rId448" ref="D446"/>
    <hyperlink r:id="rId449" ref="D447"/>
    <hyperlink r:id="rId450" ref="D448"/>
    <hyperlink r:id="rId451" ref="D449"/>
    <hyperlink r:id="rId452" ref="D450"/>
    <hyperlink r:id="rId453" ref="D451"/>
    <hyperlink r:id="rId454" ref="D452"/>
    <hyperlink r:id="rId455" ref="D453"/>
    <hyperlink r:id="rId456" ref="T453"/>
    <hyperlink r:id="rId457" ref="D454"/>
    <hyperlink r:id="rId458" ref="D455"/>
    <hyperlink r:id="rId459" ref="D456"/>
    <hyperlink r:id="rId460" ref="D457"/>
    <hyperlink r:id="rId461" ref="T457"/>
    <hyperlink r:id="rId462" ref="D458"/>
    <hyperlink r:id="rId463" ref="D459"/>
    <hyperlink r:id="rId464" ref="D460"/>
    <hyperlink r:id="rId465" ref="D461"/>
    <hyperlink r:id="rId466" ref="D462"/>
    <hyperlink r:id="rId467" ref="D463"/>
    <hyperlink r:id="rId468" ref="D464"/>
    <hyperlink r:id="rId469" ref="T464"/>
    <hyperlink r:id="rId470" ref="D465"/>
    <hyperlink r:id="rId471" ref="D466"/>
    <hyperlink r:id="rId472" ref="D467"/>
    <hyperlink r:id="rId473" ref="D468"/>
    <hyperlink r:id="rId474" ref="D469"/>
    <hyperlink r:id="rId475" ref="D470"/>
    <hyperlink r:id="rId476" ref="D471"/>
    <hyperlink r:id="rId477" ref="D472"/>
    <hyperlink r:id="rId478" ref="D473"/>
    <hyperlink r:id="rId479" ref="D474"/>
    <hyperlink r:id="rId480" ref="D475"/>
    <hyperlink r:id="rId481" ref="D476"/>
    <hyperlink r:id="rId482" ref="D477"/>
    <hyperlink r:id="rId483" ref="D478"/>
    <hyperlink r:id="rId484" ref="D479"/>
    <hyperlink r:id="rId485" ref="D480"/>
    <hyperlink r:id="rId486" ref="D481"/>
    <hyperlink r:id="rId487" ref="D482"/>
    <hyperlink r:id="rId488" ref="D483"/>
    <hyperlink r:id="rId489" ref="D484"/>
    <hyperlink r:id="rId490" ref="D485"/>
    <hyperlink r:id="rId491" ref="D486"/>
    <hyperlink r:id="rId492" ref="D487"/>
    <hyperlink r:id="rId493" ref="D488"/>
    <hyperlink r:id="rId494" ref="D489"/>
    <hyperlink r:id="rId495" ref="D490"/>
    <hyperlink r:id="rId496" ref="D491"/>
    <hyperlink r:id="rId497" ref="D492"/>
    <hyperlink r:id="rId498" ref="D493"/>
    <hyperlink r:id="rId499" ref="T493"/>
    <hyperlink r:id="rId500" ref="D494"/>
    <hyperlink r:id="rId501" ref="D495"/>
    <hyperlink r:id="rId502" ref="D496"/>
    <hyperlink r:id="rId503" ref="D497"/>
    <hyperlink r:id="rId504" ref="D498"/>
    <hyperlink r:id="rId505" ref="D499"/>
    <hyperlink r:id="rId506" ref="D500"/>
    <hyperlink r:id="rId507" ref="D501"/>
    <hyperlink r:id="rId508" ref="D502"/>
    <hyperlink r:id="rId509" ref="D503"/>
    <hyperlink r:id="rId510" ref="T503"/>
    <hyperlink r:id="rId511" ref="D504"/>
    <hyperlink r:id="rId512" ref="D505"/>
    <hyperlink r:id="rId513" ref="D506"/>
    <hyperlink r:id="rId514" ref="D507"/>
    <hyperlink r:id="rId515" ref="D508"/>
    <hyperlink r:id="rId516" ref="D509"/>
    <hyperlink r:id="rId517" ref="D510"/>
    <hyperlink r:id="rId518" ref="D511"/>
    <hyperlink r:id="rId519" ref="D512"/>
    <hyperlink r:id="rId520" ref="D513"/>
    <hyperlink r:id="rId521" ref="D514"/>
    <hyperlink r:id="rId522" ref="D515"/>
    <hyperlink r:id="rId523" ref="D516"/>
    <hyperlink r:id="rId524" ref="D517"/>
    <hyperlink r:id="rId525" ref="T517"/>
    <hyperlink r:id="rId526" ref="D518"/>
    <hyperlink r:id="rId527" ref="D519"/>
    <hyperlink r:id="rId528" ref="D520"/>
    <hyperlink r:id="rId529" ref="D521"/>
    <hyperlink r:id="rId530" ref="D522"/>
    <hyperlink r:id="rId531" ref="D523"/>
    <hyperlink r:id="rId532" ref="D524"/>
    <hyperlink r:id="rId533" ref="D525"/>
    <hyperlink r:id="rId534" ref="T525"/>
    <hyperlink r:id="rId535" ref="D526"/>
    <hyperlink r:id="rId536" ref="D527"/>
    <hyperlink r:id="rId537" ref="D528"/>
    <hyperlink r:id="rId538" ref="D529"/>
    <hyperlink r:id="rId539" ref="D530"/>
    <hyperlink r:id="rId540" ref="D531"/>
    <hyperlink r:id="rId541" ref="D532"/>
    <hyperlink r:id="rId542" ref="D533"/>
    <hyperlink r:id="rId543" ref="D534"/>
    <hyperlink r:id="rId544" ref="D535"/>
    <hyperlink r:id="rId545" ref="D536"/>
    <hyperlink r:id="rId546" ref="D537"/>
    <hyperlink r:id="rId547" ref="D538"/>
    <hyperlink r:id="rId548" ref="D539"/>
    <hyperlink r:id="rId549" ref="D540"/>
    <hyperlink r:id="rId550" ref="D541"/>
    <hyperlink r:id="rId551" ref="D542"/>
    <hyperlink r:id="rId552" ref="D543"/>
    <hyperlink r:id="rId553" ref="D544"/>
    <hyperlink r:id="rId554" ref="D545"/>
    <hyperlink r:id="rId555" ref="D546"/>
    <hyperlink r:id="rId556" ref="D547"/>
    <hyperlink r:id="rId557" ref="D548"/>
    <hyperlink r:id="rId558" ref="D549"/>
    <hyperlink r:id="rId559" ref="D550"/>
    <hyperlink r:id="rId560" ref="D551"/>
    <hyperlink r:id="rId561" ref="D552"/>
    <hyperlink r:id="rId562" ref="D553"/>
    <hyperlink r:id="rId563" ref="D554"/>
    <hyperlink r:id="rId564" ref="D555"/>
    <hyperlink r:id="rId565" ref="D556"/>
    <hyperlink r:id="rId566" ref="D557"/>
    <hyperlink r:id="rId567" ref="D558"/>
    <hyperlink r:id="rId568" ref="D559"/>
    <hyperlink r:id="rId569" ref="D560"/>
    <hyperlink r:id="rId570" ref="D561"/>
    <hyperlink r:id="rId571" ref="D562"/>
    <hyperlink r:id="rId572" ref="D563"/>
    <hyperlink r:id="rId573" ref="D564"/>
    <hyperlink r:id="rId574" ref="D565"/>
    <hyperlink r:id="rId575" ref="T565"/>
    <hyperlink r:id="rId576" ref="D566"/>
    <hyperlink r:id="rId577" ref="D567"/>
    <hyperlink r:id="rId578" ref="D568"/>
    <hyperlink r:id="rId579" ref="D569"/>
    <hyperlink r:id="rId580" ref="D570"/>
    <hyperlink r:id="rId581" ref="D571"/>
    <hyperlink r:id="rId582" ref="D572"/>
    <hyperlink r:id="rId583" ref="D573"/>
    <hyperlink r:id="rId584" ref="D574"/>
    <hyperlink r:id="rId585" ref="D575"/>
    <hyperlink r:id="rId586" ref="T575"/>
    <hyperlink r:id="rId587" ref="D576"/>
    <hyperlink r:id="rId588" ref="D577"/>
    <hyperlink r:id="rId589" ref="D578"/>
    <hyperlink r:id="rId590" ref="T578"/>
    <hyperlink r:id="rId591" ref="D579"/>
    <hyperlink r:id="rId592" ref="D580"/>
    <hyperlink r:id="rId593" ref="D581"/>
    <hyperlink r:id="rId594" ref="D582"/>
    <hyperlink r:id="rId595" ref="D583"/>
    <hyperlink r:id="rId596" ref="D584"/>
    <hyperlink r:id="rId597" ref="D585"/>
    <hyperlink r:id="rId598" ref="D586"/>
    <hyperlink r:id="rId599" ref="D587"/>
    <hyperlink r:id="rId600" ref="D588"/>
    <hyperlink r:id="rId601" ref="D589"/>
    <hyperlink r:id="rId602" ref="D590"/>
    <hyperlink r:id="rId603" ref="D591"/>
    <hyperlink r:id="rId604" ref="D592"/>
    <hyperlink r:id="rId605" ref="D593"/>
    <hyperlink r:id="rId606" ref="D594"/>
    <hyperlink r:id="rId607" ref="D595"/>
    <hyperlink r:id="rId608" ref="D596"/>
    <hyperlink r:id="rId609" ref="D597"/>
    <hyperlink r:id="rId610" ref="D598"/>
    <hyperlink r:id="rId611" ref="D599"/>
    <hyperlink r:id="rId612" ref="D600"/>
    <hyperlink r:id="rId613" ref="D601"/>
    <hyperlink r:id="rId614" ref="D602"/>
    <hyperlink r:id="rId615" ref="D603"/>
    <hyperlink r:id="rId616" ref="D604"/>
    <hyperlink r:id="rId617" ref="D605"/>
    <hyperlink r:id="rId618" ref="D606"/>
    <hyperlink r:id="rId619" ref="D607"/>
    <hyperlink r:id="rId620" ref="D608"/>
    <hyperlink r:id="rId621" ref="D609"/>
    <hyperlink r:id="rId622" ref="T609"/>
    <hyperlink r:id="rId623" ref="D610"/>
    <hyperlink r:id="rId624" ref="D611"/>
    <hyperlink r:id="rId625" ref="D612"/>
    <hyperlink r:id="rId626" ref="D613"/>
    <hyperlink r:id="rId627" ref="D614"/>
    <hyperlink r:id="rId628" ref="D615"/>
    <hyperlink r:id="rId629" ref="D616"/>
    <hyperlink r:id="rId630" ref="T616"/>
    <hyperlink r:id="rId631" ref="D617"/>
    <hyperlink r:id="rId632" ref="D618"/>
    <hyperlink r:id="rId633" ref="D619"/>
    <hyperlink r:id="rId634" ref="D620"/>
    <hyperlink r:id="rId635" ref="D621"/>
    <hyperlink r:id="rId636" ref="D622"/>
    <hyperlink r:id="rId637" ref="D623"/>
    <hyperlink r:id="rId638" ref="D624"/>
    <hyperlink r:id="rId639" ref="D625"/>
    <hyperlink r:id="rId640" ref="D626"/>
    <hyperlink r:id="rId641" ref="D627"/>
    <hyperlink r:id="rId642" ref="D628"/>
    <hyperlink r:id="rId643" ref="D629"/>
    <hyperlink r:id="rId644" ref="D630"/>
    <hyperlink r:id="rId645" ref="D631"/>
    <hyperlink r:id="rId646" ref="D632"/>
    <hyperlink r:id="rId647" ref="D633"/>
    <hyperlink r:id="rId648" ref="D634"/>
    <hyperlink r:id="rId649" ref="D635"/>
    <hyperlink r:id="rId650" ref="D636"/>
    <hyperlink r:id="rId651" ref="D637"/>
    <hyperlink r:id="rId652" ref="D638"/>
    <hyperlink r:id="rId653" ref="D639"/>
    <hyperlink r:id="rId654" ref="T639"/>
    <hyperlink r:id="rId655" ref="D640"/>
    <hyperlink r:id="rId656" ref="D641"/>
    <hyperlink r:id="rId657" ref="D642"/>
    <hyperlink r:id="rId658" ref="D643"/>
    <hyperlink r:id="rId659" ref="T643"/>
    <hyperlink r:id="rId660" ref="D644"/>
    <hyperlink r:id="rId661" ref="T644"/>
    <hyperlink r:id="rId662" ref="D645"/>
    <hyperlink r:id="rId663" ref="D646"/>
    <hyperlink r:id="rId664" ref="T646"/>
    <hyperlink r:id="rId665" ref="D647"/>
    <hyperlink r:id="rId666" ref="D648"/>
    <hyperlink r:id="rId667" ref="D649"/>
    <hyperlink r:id="rId668" ref="D650"/>
    <hyperlink r:id="rId669" ref="D651"/>
    <hyperlink r:id="rId670" ref="D652"/>
    <hyperlink r:id="rId671" ref="D653"/>
    <hyperlink r:id="rId672" ref="D654"/>
    <hyperlink r:id="rId673" ref="D655"/>
    <hyperlink r:id="rId674" ref="T655"/>
    <hyperlink r:id="rId675" ref="D656"/>
    <hyperlink r:id="rId676" ref="D657"/>
    <hyperlink r:id="rId677" ref="D658"/>
    <hyperlink r:id="rId678" ref="D659"/>
    <hyperlink r:id="rId679" ref="D660"/>
    <hyperlink r:id="rId680" ref="D661"/>
    <hyperlink r:id="rId681" ref="D662"/>
    <hyperlink r:id="rId682" ref="D663"/>
    <hyperlink r:id="rId683" ref="T663"/>
    <hyperlink r:id="rId684" ref="D664"/>
    <hyperlink r:id="rId685" ref="D665"/>
    <hyperlink r:id="rId686" ref="D666"/>
    <hyperlink r:id="rId687" ref="D667"/>
    <hyperlink r:id="rId688" ref="D668"/>
    <hyperlink r:id="rId689" ref="D669"/>
    <hyperlink r:id="rId690" ref="D670"/>
    <hyperlink r:id="rId691" ref="D671"/>
    <hyperlink r:id="rId692" ref="D672"/>
    <hyperlink r:id="rId693" ref="D673"/>
    <hyperlink r:id="rId694" ref="D674"/>
    <hyperlink r:id="rId695" ref="D675"/>
    <hyperlink r:id="rId696" ref="D676"/>
    <hyperlink r:id="rId697" ref="D677"/>
    <hyperlink r:id="rId698" ref="D678"/>
    <hyperlink r:id="rId699" ref="D679"/>
    <hyperlink r:id="rId700" ref="D680"/>
    <hyperlink r:id="rId701" ref="D681"/>
    <hyperlink r:id="rId702" ref="D682"/>
    <hyperlink r:id="rId703" ref="D683"/>
    <hyperlink r:id="rId704" ref="D684"/>
    <hyperlink r:id="rId705" ref="D685"/>
    <hyperlink r:id="rId706" ref="D686"/>
    <hyperlink r:id="rId707" ref="T686"/>
    <hyperlink r:id="rId708" ref="D687"/>
    <hyperlink r:id="rId709" ref="D688"/>
    <hyperlink r:id="rId710" ref="D689"/>
    <hyperlink r:id="rId711" ref="D690"/>
    <hyperlink r:id="rId712" ref="D691"/>
    <hyperlink r:id="rId713" ref="D692"/>
    <hyperlink r:id="rId714" ref="D693"/>
    <hyperlink r:id="rId715" ref="T693"/>
    <hyperlink r:id="rId716" ref="D694"/>
    <hyperlink r:id="rId717" ref="D695"/>
    <hyperlink r:id="rId718" ref="D696"/>
    <hyperlink r:id="rId719" ref="D697"/>
    <hyperlink r:id="rId720" ref="D698"/>
    <hyperlink r:id="rId721" ref="D699"/>
    <hyperlink r:id="rId722" ref="D700"/>
    <hyperlink r:id="rId723" ref="D701"/>
    <hyperlink r:id="rId724" ref="D702"/>
    <hyperlink r:id="rId725" ref="D703"/>
    <hyperlink r:id="rId726" ref="D704"/>
    <hyperlink r:id="rId727" ref="D705"/>
    <hyperlink r:id="rId728" ref="D706"/>
    <hyperlink r:id="rId729" ref="D707"/>
    <hyperlink r:id="rId730" ref="D708"/>
    <hyperlink r:id="rId731" ref="D709"/>
    <hyperlink r:id="rId732" ref="D710"/>
    <hyperlink r:id="rId733" ref="D711"/>
    <hyperlink r:id="rId734" ref="T711"/>
    <hyperlink r:id="rId735" ref="D712"/>
    <hyperlink r:id="rId736" ref="D713"/>
    <hyperlink r:id="rId737" ref="D714"/>
    <hyperlink r:id="rId738" ref="D715"/>
    <hyperlink r:id="rId739" ref="D716"/>
    <hyperlink r:id="rId740" ref="D717"/>
    <hyperlink r:id="rId741" ref="D718"/>
    <hyperlink r:id="rId742" ref="D719"/>
    <hyperlink r:id="rId743" ref="D720"/>
    <hyperlink r:id="rId744" ref="D721"/>
    <hyperlink r:id="rId745" ref="D722"/>
    <hyperlink r:id="rId746" ref="D723"/>
    <hyperlink r:id="rId747" ref="D724"/>
    <hyperlink r:id="rId748" ref="D725"/>
    <hyperlink r:id="rId749" ref="D726"/>
    <hyperlink r:id="rId750" ref="D727"/>
    <hyperlink r:id="rId751" ref="D728"/>
    <hyperlink r:id="rId752" ref="D729"/>
    <hyperlink r:id="rId753" ref="D730"/>
    <hyperlink r:id="rId754" ref="T730"/>
    <hyperlink r:id="rId755" ref="D731"/>
    <hyperlink r:id="rId756" ref="D732"/>
    <hyperlink r:id="rId757" ref="D733"/>
    <hyperlink r:id="rId758" ref="D734"/>
    <hyperlink r:id="rId759" ref="D735"/>
    <hyperlink r:id="rId760" ref="T735"/>
    <hyperlink r:id="rId761" ref="D736"/>
    <hyperlink r:id="rId762" ref="D737"/>
    <hyperlink r:id="rId763" ref="T737"/>
    <hyperlink r:id="rId764" ref="D738"/>
    <hyperlink r:id="rId765" ref="T738"/>
    <hyperlink r:id="rId766" ref="D739"/>
    <hyperlink r:id="rId767" ref="D740"/>
    <hyperlink r:id="rId768" ref="D741"/>
    <hyperlink r:id="rId769" ref="D742"/>
    <hyperlink r:id="rId770" ref="D743"/>
    <hyperlink r:id="rId771" ref="D744"/>
    <hyperlink r:id="rId772" ref="D745"/>
    <hyperlink r:id="rId773" ref="D746"/>
    <hyperlink r:id="rId774" ref="D747"/>
    <hyperlink r:id="rId775" ref="D748"/>
    <hyperlink r:id="rId776" ref="D749"/>
    <hyperlink r:id="rId777" ref="D750"/>
    <hyperlink r:id="rId778" ref="D751"/>
    <hyperlink r:id="rId779" ref="D752"/>
    <hyperlink r:id="rId780" ref="D753"/>
    <hyperlink r:id="rId781" ref="D754"/>
    <hyperlink r:id="rId782" ref="D755"/>
    <hyperlink r:id="rId783" ref="D756"/>
    <hyperlink r:id="rId784" ref="D757"/>
    <hyperlink r:id="rId785" ref="D758"/>
    <hyperlink r:id="rId786" ref="D759"/>
    <hyperlink r:id="rId787" ref="D760"/>
    <hyperlink r:id="rId788" ref="T760"/>
    <hyperlink r:id="rId789" ref="D761"/>
    <hyperlink r:id="rId790" ref="D762"/>
    <hyperlink r:id="rId791" ref="D763"/>
    <hyperlink r:id="rId792" ref="D764"/>
    <hyperlink r:id="rId793" ref="D765"/>
    <hyperlink r:id="rId794" ref="T765"/>
    <hyperlink r:id="rId795" ref="D766"/>
    <hyperlink r:id="rId796" ref="D767"/>
    <hyperlink r:id="rId797" ref="D768"/>
    <hyperlink r:id="rId798" ref="D769"/>
    <hyperlink r:id="rId799" ref="D770"/>
    <hyperlink r:id="rId800" ref="D771"/>
    <hyperlink r:id="rId801" ref="D772"/>
    <hyperlink r:id="rId802" ref="D773"/>
    <hyperlink r:id="rId803" ref="D774"/>
    <hyperlink r:id="rId804" ref="D775"/>
    <hyperlink r:id="rId805" ref="D776"/>
    <hyperlink r:id="rId806" ref="D777"/>
    <hyperlink r:id="rId807" ref="D778"/>
    <hyperlink r:id="rId808" ref="D779"/>
    <hyperlink r:id="rId809" ref="D780"/>
    <hyperlink r:id="rId810" ref="D781"/>
    <hyperlink r:id="rId811" ref="D782"/>
    <hyperlink r:id="rId812" ref="D783"/>
    <hyperlink r:id="rId813" ref="D784"/>
    <hyperlink r:id="rId814" ref="D785"/>
    <hyperlink r:id="rId815" ref="D786"/>
    <hyperlink r:id="rId816" ref="D787"/>
    <hyperlink r:id="rId817" ref="D788"/>
    <hyperlink r:id="rId818" ref="D789"/>
    <hyperlink r:id="rId819" ref="D790"/>
    <hyperlink r:id="rId820" ref="D791"/>
    <hyperlink r:id="rId821" ref="D792"/>
    <hyperlink r:id="rId822" ref="D793"/>
    <hyperlink r:id="rId823" ref="D794"/>
    <hyperlink r:id="rId824" ref="D795"/>
    <hyperlink r:id="rId825" ref="D796"/>
    <hyperlink r:id="rId826" ref="D797"/>
    <hyperlink r:id="rId827" ref="D798"/>
    <hyperlink r:id="rId828" ref="D799"/>
    <hyperlink r:id="rId829" ref="D800"/>
    <hyperlink r:id="rId830" ref="D801"/>
    <hyperlink r:id="rId831" ref="D802"/>
    <hyperlink r:id="rId832" ref="D803"/>
    <hyperlink r:id="rId833" ref="D804"/>
    <hyperlink r:id="rId834" ref="D805"/>
    <hyperlink r:id="rId835" ref="D806"/>
    <hyperlink r:id="rId836" ref="D807"/>
    <hyperlink r:id="rId837" ref="D808"/>
    <hyperlink r:id="rId838" ref="T808"/>
    <hyperlink r:id="rId839" ref="D809"/>
    <hyperlink r:id="rId840" ref="D810"/>
    <hyperlink r:id="rId841" ref="D811"/>
    <hyperlink r:id="rId842" ref="D812"/>
    <hyperlink r:id="rId843" ref="D813"/>
    <hyperlink r:id="rId844" ref="D814"/>
    <hyperlink r:id="rId845" ref="D815"/>
    <hyperlink r:id="rId846" ref="D816"/>
    <hyperlink r:id="rId847" ref="D817"/>
    <hyperlink r:id="rId848" ref="D818"/>
    <hyperlink r:id="rId849" ref="D819"/>
    <hyperlink r:id="rId850" ref="D820"/>
    <hyperlink r:id="rId851" ref="D821"/>
    <hyperlink r:id="rId852" ref="D822"/>
    <hyperlink r:id="rId853" ref="D823"/>
    <hyperlink r:id="rId854" ref="T823"/>
    <hyperlink r:id="rId855" ref="D824"/>
    <hyperlink r:id="rId856" ref="D825"/>
    <hyperlink r:id="rId857" ref="D826"/>
    <hyperlink r:id="rId858" ref="T826"/>
    <hyperlink r:id="rId859" ref="D827"/>
    <hyperlink r:id="rId860" ref="D828"/>
    <hyperlink r:id="rId861" ref="D829"/>
    <hyperlink r:id="rId862" ref="D830"/>
    <hyperlink r:id="rId863" ref="D831"/>
    <hyperlink r:id="rId864" ref="D832"/>
    <hyperlink r:id="rId865" ref="D833"/>
    <hyperlink r:id="rId866" ref="D834"/>
    <hyperlink r:id="rId867" ref="D835"/>
    <hyperlink r:id="rId868" ref="D836"/>
    <hyperlink r:id="rId869" ref="T836"/>
    <hyperlink r:id="rId870" ref="D837"/>
    <hyperlink r:id="rId871" ref="D838"/>
    <hyperlink r:id="rId872" ref="D839"/>
    <hyperlink r:id="rId873" ref="D840"/>
    <hyperlink r:id="rId874" ref="D841"/>
    <hyperlink r:id="rId875" ref="D842"/>
    <hyperlink r:id="rId876" ref="D843"/>
    <hyperlink r:id="rId877" ref="D844"/>
    <hyperlink r:id="rId878" ref="D845"/>
    <hyperlink r:id="rId879" ref="D846"/>
    <hyperlink r:id="rId880" ref="D847"/>
    <hyperlink r:id="rId881" ref="D848"/>
    <hyperlink r:id="rId882" ref="D849"/>
    <hyperlink r:id="rId883" ref="D850"/>
    <hyperlink r:id="rId884" ref="D851"/>
    <hyperlink r:id="rId885" ref="D852"/>
    <hyperlink r:id="rId886" ref="D853"/>
    <hyperlink r:id="rId887" ref="D854"/>
    <hyperlink r:id="rId888" ref="D855"/>
    <hyperlink r:id="rId889" ref="D856"/>
    <hyperlink r:id="rId890" ref="D857"/>
    <hyperlink r:id="rId891" ref="D858"/>
    <hyperlink r:id="rId892" ref="D859"/>
    <hyperlink r:id="rId893" ref="D860"/>
    <hyperlink r:id="rId894" ref="D861"/>
    <hyperlink r:id="rId895" ref="D862"/>
    <hyperlink r:id="rId896" ref="D863"/>
    <hyperlink r:id="rId897" ref="D864"/>
    <hyperlink r:id="rId898" ref="D865"/>
    <hyperlink r:id="rId899" ref="T865"/>
    <hyperlink r:id="rId900" ref="D866"/>
    <hyperlink r:id="rId901" ref="D867"/>
    <hyperlink r:id="rId902" ref="D868"/>
    <hyperlink r:id="rId903" ref="T868"/>
    <hyperlink r:id="rId904" ref="D869"/>
    <hyperlink r:id="rId905" ref="D870"/>
    <hyperlink r:id="rId906" ref="D871"/>
    <hyperlink r:id="rId907" ref="T871"/>
    <hyperlink r:id="rId908" ref="D872"/>
    <hyperlink r:id="rId909" ref="D873"/>
    <hyperlink r:id="rId910" ref="D874"/>
    <hyperlink r:id="rId911" ref="D875"/>
    <hyperlink r:id="rId912" ref="D876"/>
    <hyperlink r:id="rId913" ref="D877"/>
    <hyperlink r:id="rId914" ref="D878"/>
    <hyperlink r:id="rId915" ref="D879"/>
    <hyperlink r:id="rId916" ref="D880"/>
    <hyperlink r:id="rId917" ref="D881"/>
    <hyperlink r:id="rId918" ref="T881"/>
    <hyperlink r:id="rId919" ref="D882"/>
    <hyperlink r:id="rId920" ref="D883"/>
    <hyperlink r:id="rId921" ref="D884"/>
    <hyperlink r:id="rId922" ref="D885"/>
    <hyperlink r:id="rId923" ref="D886"/>
    <hyperlink r:id="rId924" ref="D887"/>
    <hyperlink r:id="rId925" ref="D888"/>
    <hyperlink r:id="rId926" ref="D889"/>
    <hyperlink r:id="rId927" ref="D890"/>
    <hyperlink r:id="rId928" ref="D891"/>
    <hyperlink r:id="rId929" ref="D892"/>
    <hyperlink r:id="rId930" ref="D893"/>
    <hyperlink r:id="rId931" ref="D894"/>
    <hyperlink r:id="rId932" ref="D895"/>
    <hyperlink r:id="rId933" ref="D896"/>
    <hyperlink r:id="rId934" ref="T896"/>
    <hyperlink r:id="rId935" ref="D897"/>
    <hyperlink r:id="rId936" ref="D898"/>
    <hyperlink r:id="rId937" ref="D899"/>
    <hyperlink r:id="rId938" ref="D900"/>
    <hyperlink r:id="rId939" ref="D901"/>
    <hyperlink r:id="rId940" ref="D902"/>
    <hyperlink r:id="rId941" ref="D903"/>
    <hyperlink r:id="rId942" ref="D904"/>
    <hyperlink r:id="rId943" ref="D905"/>
    <hyperlink r:id="rId944" ref="D906"/>
    <hyperlink r:id="rId945" ref="D907"/>
    <hyperlink r:id="rId946" ref="D908"/>
    <hyperlink r:id="rId947" ref="D909"/>
    <hyperlink r:id="rId948" ref="D910"/>
    <hyperlink r:id="rId949" ref="T910"/>
    <hyperlink r:id="rId950" ref="D911"/>
    <hyperlink r:id="rId951" ref="D912"/>
    <hyperlink r:id="rId952" ref="D913"/>
    <hyperlink r:id="rId953" ref="D914"/>
    <hyperlink r:id="rId954" ref="D915"/>
    <hyperlink r:id="rId955" ref="D916"/>
    <hyperlink r:id="rId956" ref="D917"/>
    <hyperlink r:id="rId957" ref="D918"/>
    <hyperlink r:id="rId958" ref="D919"/>
    <hyperlink r:id="rId959" ref="D920"/>
    <hyperlink r:id="rId960" ref="D921"/>
    <hyperlink r:id="rId961" ref="D922"/>
    <hyperlink r:id="rId962" ref="D923"/>
    <hyperlink r:id="rId963" ref="D924"/>
    <hyperlink r:id="rId964" ref="D925"/>
    <hyperlink r:id="rId965" ref="D926"/>
    <hyperlink r:id="rId966" ref="D927"/>
    <hyperlink r:id="rId967" ref="D928"/>
    <hyperlink r:id="rId968" ref="D929"/>
    <hyperlink r:id="rId969" ref="T929"/>
    <hyperlink r:id="rId970" ref="D930"/>
    <hyperlink r:id="rId971" ref="D931"/>
    <hyperlink r:id="rId972" ref="D932"/>
    <hyperlink r:id="rId973" ref="D933"/>
    <hyperlink r:id="rId974" ref="D934"/>
    <hyperlink r:id="rId975" ref="D935"/>
    <hyperlink r:id="rId976" ref="D936"/>
    <hyperlink r:id="rId977" ref="D937"/>
    <hyperlink r:id="rId978" ref="D938"/>
    <hyperlink r:id="rId979" ref="D939"/>
    <hyperlink r:id="rId980" ref="D940"/>
    <hyperlink r:id="rId981" ref="D941"/>
    <hyperlink r:id="rId982" ref="D942"/>
    <hyperlink r:id="rId983" ref="T942"/>
    <hyperlink r:id="rId984" ref="D943"/>
    <hyperlink r:id="rId985" ref="D944"/>
    <hyperlink r:id="rId986" ref="D945"/>
    <hyperlink r:id="rId987" ref="T945"/>
    <hyperlink r:id="rId988" ref="D946"/>
    <hyperlink r:id="rId989" ref="D947"/>
    <hyperlink r:id="rId990" ref="T947"/>
    <hyperlink r:id="rId991" ref="D948"/>
    <hyperlink r:id="rId992" ref="D949"/>
    <hyperlink r:id="rId993" ref="D950"/>
    <hyperlink r:id="rId994" ref="D951"/>
    <hyperlink r:id="rId995" ref="T951"/>
    <hyperlink r:id="rId996" ref="D952"/>
    <hyperlink r:id="rId997" ref="D953"/>
    <hyperlink r:id="rId998" ref="D954"/>
    <hyperlink r:id="rId999" ref="D955"/>
    <hyperlink r:id="rId1000" ref="D956"/>
    <hyperlink r:id="rId1001" ref="D957"/>
    <hyperlink r:id="rId1002" ref="D958"/>
    <hyperlink r:id="rId1003" ref="D959"/>
    <hyperlink r:id="rId1004" ref="D960"/>
    <hyperlink r:id="rId1005" ref="D961"/>
    <hyperlink r:id="rId1006" ref="D962"/>
    <hyperlink r:id="rId1007" ref="D963"/>
    <hyperlink r:id="rId1008" ref="D964"/>
    <hyperlink r:id="rId1009" ref="D965"/>
    <hyperlink r:id="rId1010" ref="D966"/>
    <hyperlink r:id="rId1011" ref="D967"/>
    <hyperlink r:id="rId1012" ref="D968"/>
    <hyperlink r:id="rId1013" ref="D969"/>
    <hyperlink r:id="rId1014" ref="D970"/>
    <hyperlink r:id="rId1015" ref="D971"/>
    <hyperlink r:id="rId1016" ref="D972"/>
    <hyperlink r:id="rId1017" ref="D973"/>
    <hyperlink r:id="rId1018" ref="D974"/>
    <hyperlink r:id="rId1019" ref="D975"/>
    <hyperlink r:id="rId1020" ref="D976"/>
    <hyperlink r:id="rId1021" ref="T976"/>
    <hyperlink r:id="rId1022" ref="D977"/>
    <hyperlink r:id="rId1023" ref="D978"/>
    <hyperlink r:id="rId1024" ref="D979"/>
    <hyperlink r:id="rId1025" ref="D980"/>
    <hyperlink r:id="rId1026" ref="D981"/>
    <hyperlink r:id="rId1027" ref="D982"/>
    <hyperlink r:id="rId1028" ref="D983"/>
    <hyperlink r:id="rId1029" ref="D984"/>
    <hyperlink r:id="rId1030" ref="D985"/>
    <hyperlink r:id="rId1031" ref="D986"/>
    <hyperlink r:id="rId1032" ref="D987"/>
    <hyperlink r:id="rId1033" ref="D988"/>
    <hyperlink r:id="rId1034" ref="D989"/>
    <hyperlink r:id="rId1035" ref="D990"/>
    <hyperlink r:id="rId1036" ref="D991"/>
    <hyperlink r:id="rId1037" ref="D992"/>
    <hyperlink r:id="rId1038" ref="D993"/>
    <hyperlink r:id="rId1039" ref="D994"/>
    <hyperlink r:id="rId1040" ref="D995"/>
    <hyperlink r:id="rId1041" ref="D996"/>
    <hyperlink r:id="rId1042" ref="D997"/>
    <hyperlink r:id="rId1043" ref="D998"/>
    <hyperlink r:id="rId1044" ref="D999"/>
    <hyperlink r:id="rId1045" ref="D1000"/>
    <hyperlink r:id="rId1046" ref="T1000"/>
    <hyperlink r:id="rId1047" ref="D1001"/>
    <hyperlink r:id="rId1048" ref="D1002"/>
    <hyperlink r:id="rId1049" ref="D1003"/>
    <hyperlink r:id="rId1050" ref="D1004"/>
    <hyperlink r:id="rId1051" ref="D1005"/>
    <hyperlink r:id="rId1052" ref="D1006"/>
    <hyperlink r:id="rId1053" ref="D1007"/>
    <hyperlink r:id="rId1054" ref="D1008"/>
    <hyperlink r:id="rId1055" ref="D1009"/>
    <hyperlink r:id="rId1056" ref="D1010"/>
    <hyperlink r:id="rId1057" ref="D1011"/>
    <hyperlink r:id="rId1058" ref="D1012"/>
    <hyperlink r:id="rId1059" ref="D1013"/>
    <hyperlink r:id="rId1060" ref="D1014"/>
    <hyperlink r:id="rId1061" ref="D1015"/>
    <hyperlink r:id="rId1062" ref="D1016"/>
    <hyperlink r:id="rId1063" ref="D1017"/>
    <hyperlink r:id="rId1064" ref="D1018"/>
    <hyperlink r:id="rId1065" ref="D1019"/>
    <hyperlink r:id="rId1066" ref="D1020"/>
    <hyperlink r:id="rId1067" ref="D1021"/>
    <hyperlink r:id="rId1068" ref="D1022"/>
    <hyperlink r:id="rId1069" ref="D1023"/>
    <hyperlink r:id="rId1070" ref="D1024"/>
    <hyperlink r:id="rId1071" ref="D1025"/>
    <hyperlink r:id="rId1072" ref="D1026"/>
    <hyperlink r:id="rId1073" ref="D1027"/>
    <hyperlink r:id="rId1074" ref="D1028"/>
    <hyperlink r:id="rId1075" ref="D1029"/>
    <hyperlink r:id="rId1076" ref="D1030"/>
    <hyperlink r:id="rId1077" ref="D1031"/>
    <hyperlink r:id="rId1078" ref="T1031"/>
    <hyperlink r:id="rId1079" ref="D1032"/>
    <hyperlink r:id="rId1080" ref="D1033"/>
    <hyperlink r:id="rId1081" ref="D1034"/>
    <hyperlink r:id="rId1082" ref="D1035"/>
    <hyperlink r:id="rId1083" ref="D1036"/>
    <hyperlink r:id="rId1084" ref="D1037"/>
    <hyperlink r:id="rId1085" ref="D1038"/>
    <hyperlink r:id="rId1086" ref="D1039"/>
    <hyperlink r:id="rId1087" ref="D1040"/>
    <hyperlink r:id="rId1088" ref="D1041"/>
    <hyperlink r:id="rId1089" ref="D1042"/>
    <hyperlink r:id="rId1090" ref="D1043"/>
    <hyperlink r:id="rId1091" ref="D1044"/>
    <hyperlink r:id="rId1092" ref="D1045"/>
    <hyperlink r:id="rId1093" ref="D1046"/>
    <hyperlink r:id="rId1094" ref="D1047"/>
    <hyperlink r:id="rId1095" ref="D1048"/>
    <hyperlink r:id="rId1096" ref="D1049"/>
    <hyperlink r:id="rId1097" ref="D1050"/>
    <hyperlink r:id="rId1098" ref="D1051"/>
    <hyperlink r:id="rId1099" ref="T1051"/>
    <hyperlink r:id="rId1100" ref="D1052"/>
    <hyperlink r:id="rId1101" ref="D1053"/>
    <hyperlink r:id="rId1102" ref="D1054"/>
    <hyperlink r:id="rId1103" ref="D1055"/>
    <hyperlink r:id="rId1104" ref="D1056"/>
    <hyperlink r:id="rId1105" ref="D1057"/>
    <hyperlink r:id="rId1106" ref="D1058"/>
    <hyperlink r:id="rId1107" ref="T1058"/>
    <hyperlink r:id="rId1108" ref="D1059"/>
    <hyperlink r:id="rId1109" ref="D1060"/>
    <hyperlink r:id="rId1110" ref="D1061"/>
    <hyperlink r:id="rId1111" ref="D1062"/>
    <hyperlink r:id="rId1112" ref="D1063"/>
    <hyperlink r:id="rId1113" ref="D1064"/>
    <hyperlink r:id="rId1114" ref="D1065"/>
    <hyperlink r:id="rId1115" ref="D1066"/>
    <hyperlink r:id="rId1116" ref="D1067"/>
  </hyperlinks>
  <drawing r:id="rId1117"/>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sheetData>
    <row r="1">
      <c r="A1" s="30" t="s">
        <v>4837</v>
      </c>
      <c r="B1" s="30" t="s">
        <v>1</v>
      </c>
      <c r="C1" s="30" t="s">
        <v>4838</v>
      </c>
      <c r="D1" s="30" t="s">
        <v>4839</v>
      </c>
      <c r="E1" s="30" t="s">
        <v>4840</v>
      </c>
      <c r="F1" s="30" t="s">
        <v>4841</v>
      </c>
      <c r="G1" s="30" t="s">
        <v>4842</v>
      </c>
      <c r="H1" s="30" t="s">
        <v>4843</v>
      </c>
      <c r="I1" s="30" t="s">
        <v>4844</v>
      </c>
      <c r="J1" s="30" t="s">
        <v>4845</v>
      </c>
      <c r="K1" s="30" t="s">
        <v>4846</v>
      </c>
      <c r="L1" s="30" t="s">
        <v>4847</v>
      </c>
      <c r="M1" s="30" t="s">
        <v>4848</v>
      </c>
      <c r="N1" s="30" t="s">
        <v>103</v>
      </c>
      <c r="O1" s="30" t="s">
        <v>4849</v>
      </c>
      <c r="P1" s="30" t="s">
        <v>4850</v>
      </c>
      <c r="Q1" s="30" t="s">
        <v>4851</v>
      </c>
      <c r="R1" s="30" t="s">
        <v>4852</v>
      </c>
      <c r="S1" s="30" t="s">
        <v>4853</v>
      </c>
      <c r="T1" s="30" t="s">
        <v>4854</v>
      </c>
      <c r="U1" s="30" t="s">
        <v>4846</v>
      </c>
      <c r="V1" s="30" t="s">
        <v>4855</v>
      </c>
    </row>
    <row r="2">
      <c r="A2" s="30">
        <v>4.0</v>
      </c>
      <c r="B2" s="30" t="s">
        <v>4856</v>
      </c>
      <c r="C2" s="30">
        <v>27.0</v>
      </c>
      <c r="D2" s="30" t="s">
        <v>4857</v>
      </c>
      <c r="E2" s="30" t="s">
        <v>4858</v>
      </c>
      <c r="F2" s="30">
        <v>12.0</v>
      </c>
      <c r="G2" s="30">
        <v>0.0</v>
      </c>
      <c r="H2" s="30">
        <v>0.0</v>
      </c>
      <c r="I2" s="30">
        <v>19.2</v>
      </c>
      <c r="J2" s="30">
        <v>14.0</v>
      </c>
      <c r="K2" s="30">
        <v>6.0</v>
      </c>
      <c r="L2" s="30">
        <v>8.0</v>
      </c>
      <c r="M2" s="30">
        <v>0.0</v>
      </c>
      <c r="N2" s="30">
        <v>0.0</v>
      </c>
      <c r="O2" s="30">
        <v>1.0</v>
      </c>
      <c r="P2" s="30">
        <v>6.41</v>
      </c>
      <c r="Q2" s="30">
        <v>1.17</v>
      </c>
      <c r="R2" s="30">
        <v>3.0</v>
      </c>
      <c r="S2" s="30">
        <v>1.0</v>
      </c>
      <c r="T2" s="183">
        <v>0.25</v>
      </c>
      <c r="U2" s="30">
        <v>0.0</v>
      </c>
      <c r="V2" s="30" t="s">
        <v>4859</v>
      </c>
    </row>
    <row r="3">
      <c r="A3" s="30">
        <v>13.0</v>
      </c>
      <c r="B3" s="30" t="s">
        <v>4860</v>
      </c>
      <c r="C3" s="30">
        <v>28.0</v>
      </c>
      <c r="D3" s="30" t="s">
        <v>4861</v>
      </c>
      <c r="E3" s="30" t="s">
        <v>4858</v>
      </c>
      <c r="F3" s="30">
        <v>26.0</v>
      </c>
      <c r="G3" s="30">
        <v>0.0</v>
      </c>
      <c r="H3" s="30">
        <v>0.0</v>
      </c>
      <c r="I3" s="30">
        <v>28.0</v>
      </c>
      <c r="J3" s="30">
        <v>13.0</v>
      </c>
      <c r="K3" s="30">
        <v>7.0</v>
      </c>
      <c r="L3" s="30">
        <v>6.0</v>
      </c>
      <c r="M3" s="30">
        <v>0.0</v>
      </c>
      <c r="N3" s="30">
        <v>0.0</v>
      </c>
      <c r="O3" s="30">
        <v>1.0</v>
      </c>
      <c r="P3" s="30">
        <v>4.18</v>
      </c>
      <c r="Q3" s="30">
        <v>0.5</v>
      </c>
      <c r="R3" s="30">
        <v>1.0</v>
      </c>
      <c r="S3" s="30">
        <v>0.0</v>
      </c>
      <c r="T3" s="183">
        <v>0.0</v>
      </c>
      <c r="U3" s="30">
        <v>0.0</v>
      </c>
      <c r="V3" s="30" t="s">
        <v>4862</v>
      </c>
    </row>
    <row r="4">
      <c r="A4" s="30">
        <v>16.0</v>
      </c>
      <c r="B4" s="30" t="s">
        <v>4863</v>
      </c>
      <c r="C4" s="30">
        <v>33.0</v>
      </c>
      <c r="D4" s="30" t="s">
        <v>4864</v>
      </c>
      <c r="E4" s="30" t="s">
        <v>4858</v>
      </c>
      <c r="F4" s="30">
        <v>48.0</v>
      </c>
      <c r="G4" s="30">
        <v>0.0</v>
      </c>
      <c r="H4" s="30">
        <v>0.0</v>
      </c>
      <c r="I4" s="30">
        <v>51.2</v>
      </c>
      <c r="J4" s="30">
        <v>23.0</v>
      </c>
      <c r="K4" s="30">
        <v>6.0</v>
      </c>
      <c r="L4" s="30">
        <v>17.0</v>
      </c>
      <c r="M4" s="30">
        <v>0.0</v>
      </c>
      <c r="N4" s="30">
        <v>0.0</v>
      </c>
      <c r="O4" s="30">
        <v>1.0</v>
      </c>
      <c r="P4" s="30">
        <v>4.01</v>
      </c>
      <c r="Q4" s="30">
        <v>0.48</v>
      </c>
      <c r="R4" s="30">
        <v>3.0</v>
      </c>
      <c r="S4" s="30">
        <v>1.0</v>
      </c>
      <c r="T4" s="183">
        <v>0.25</v>
      </c>
      <c r="U4" s="30">
        <v>0.0</v>
      </c>
      <c r="V4" s="30" t="s">
        <v>4865</v>
      </c>
    </row>
    <row r="5">
      <c r="A5" s="30">
        <v>19.0</v>
      </c>
      <c r="B5" s="30" t="s">
        <v>4866</v>
      </c>
      <c r="C5" s="30">
        <v>29.0</v>
      </c>
      <c r="D5" s="30" t="s">
        <v>4867</v>
      </c>
      <c r="E5" s="30" t="s">
        <v>4868</v>
      </c>
      <c r="F5" s="30">
        <v>32.0</v>
      </c>
      <c r="G5" s="30">
        <v>0.0</v>
      </c>
      <c r="H5" s="30">
        <v>0.0</v>
      </c>
      <c r="I5" s="30">
        <v>53.1</v>
      </c>
      <c r="J5" s="30">
        <v>24.0</v>
      </c>
      <c r="K5" s="30">
        <v>8.0</v>
      </c>
      <c r="L5" s="30">
        <v>15.0</v>
      </c>
      <c r="M5" s="30">
        <v>1.0</v>
      </c>
      <c r="N5" s="30">
        <v>1.0</v>
      </c>
      <c r="O5" s="30">
        <v>0.958</v>
      </c>
      <c r="P5" s="30">
        <v>3.88</v>
      </c>
      <c r="Q5" s="30">
        <v>0.72</v>
      </c>
      <c r="R5" s="30">
        <v>4.0</v>
      </c>
      <c r="S5" s="30">
        <v>1.0</v>
      </c>
      <c r="T5" s="183">
        <v>0.2</v>
      </c>
      <c r="U5" s="30">
        <v>0.0</v>
      </c>
      <c r="V5" s="30" t="s">
        <v>4869</v>
      </c>
    </row>
    <row r="6">
      <c r="A6" s="30">
        <v>23.0</v>
      </c>
      <c r="B6" s="30" t="s">
        <v>4870</v>
      </c>
      <c r="C6" s="30">
        <v>32.0</v>
      </c>
      <c r="D6" s="30" t="s">
        <v>4871</v>
      </c>
      <c r="E6" s="30" t="s">
        <v>4858</v>
      </c>
      <c r="F6" s="30">
        <v>11.0</v>
      </c>
      <c r="G6" s="30">
        <v>11.0</v>
      </c>
      <c r="H6" s="30">
        <v>0.0</v>
      </c>
      <c r="I6" s="30">
        <v>68.1</v>
      </c>
      <c r="J6" s="30">
        <v>30.0</v>
      </c>
      <c r="K6" s="30">
        <v>5.0</v>
      </c>
      <c r="L6" s="30">
        <v>24.0</v>
      </c>
      <c r="M6" s="30">
        <v>1.0</v>
      </c>
      <c r="N6" s="30">
        <v>2.0</v>
      </c>
      <c r="O6" s="30">
        <v>0.967</v>
      </c>
      <c r="P6" s="30">
        <v>3.82</v>
      </c>
      <c r="Q6" s="30">
        <v>2.64</v>
      </c>
      <c r="R6" s="30">
        <v>3.0</v>
      </c>
      <c r="S6" s="30">
        <v>2.0</v>
      </c>
      <c r="T6" s="183">
        <v>0.4</v>
      </c>
      <c r="U6" s="30">
        <v>2.0</v>
      </c>
      <c r="V6" s="30" t="s">
        <v>4872</v>
      </c>
    </row>
    <row r="7">
      <c r="A7" s="30">
        <v>25.0</v>
      </c>
      <c r="B7" s="30" t="s">
        <v>4873</v>
      </c>
      <c r="C7" s="30">
        <v>34.0</v>
      </c>
      <c r="D7" s="30" t="s">
        <v>4874</v>
      </c>
      <c r="E7" s="30" t="s">
        <v>4868</v>
      </c>
      <c r="F7" s="30">
        <v>12.0</v>
      </c>
      <c r="G7" s="30">
        <v>11.0</v>
      </c>
      <c r="H7" s="30">
        <v>0.0</v>
      </c>
      <c r="I7" s="30">
        <v>54.2</v>
      </c>
      <c r="J7" s="30">
        <v>22.0</v>
      </c>
      <c r="K7" s="30">
        <v>12.0</v>
      </c>
      <c r="L7" s="30">
        <v>10.0</v>
      </c>
      <c r="M7" s="30">
        <v>0.0</v>
      </c>
      <c r="N7" s="30">
        <v>0.0</v>
      </c>
      <c r="O7" s="30">
        <v>1.0</v>
      </c>
      <c r="P7" s="30">
        <v>3.62</v>
      </c>
      <c r="Q7" s="30">
        <v>1.83</v>
      </c>
      <c r="R7" s="30">
        <v>8.0</v>
      </c>
      <c r="S7" s="30">
        <v>2.0</v>
      </c>
      <c r="T7" s="183">
        <v>0.2</v>
      </c>
      <c r="U7" s="30">
        <v>2.0</v>
      </c>
      <c r="V7" s="30" t="s">
        <v>4875</v>
      </c>
    </row>
    <row r="8">
      <c r="A8" s="30">
        <v>28.0</v>
      </c>
      <c r="B8" s="30" t="s">
        <v>4876</v>
      </c>
      <c r="C8" s="30">
        <v>30.0</v>
      </c>
      <c r="D8" s="30" t="s">
        <v>4877</v>
      </c>
      <c r="E8" s="30" t="s">
        <v>4858</v>
      </c>
      <c r="F8" s="30">
        <v>65.0</v>
      </c>
      <c r="G8" s="30">
        <v>0.0</v>
      </c>
      <c r="H8" s="30">
        <v>0.0</v>
      </c>
      <c r="I8" s="30">
        <v>47.1</v>
      </c>
      <c r="J8" s="30">
        <v>18.0</v>
      </c>
      <c r="K8" s="30">
        <v>6.0</v>
      </c>
      <c r="L8" s="30">
        <v>12.0</v>
      </c>
      <c r="M8" s="30">
        <v>0.0</v>
      </c>
      <c r="N8" s="30">
        <v>1.0</v>
      </c>
      <c r="O8" s="30">
        <v>1.0</v>
      </c>
      <c r="P8" s="30">
        <v>3.42</v>
      </c>
      <c r="Q8" s="30">
        <v>0.28</v>
      </c>
      <c r="R8" s="30">
        <v>0.0</v>
      </c>
      <c r="S8" s="30">
        <v>1.0</v>
      </c>
      <c r="T8" s="183">
        <v>1.0</v>
      </c>
      <c r="U8" s="30">
        <v>0.0</v>
      </c>
      <c r="V8" s="30" t="s">
        <v>4878</v>
      </c>
    </row>
    <row r="9">
      <c r="A9" s="30">
        <v>29.0</v>
      </c>
      <c r="B9" s="30" t="s">
        <v>4879</v>
      </c>
      <c r="C9" s="30">
        <v>30.0</v>
      </c>
      <c r="D9" s="30" t="s">
        <v>4880</v>
      </c>
      <c r="E9" s="30" t="s">
        <v>4868</v>
      </c>
      <c r="F9" s="30">
        <v>5.0</v>
      </c>
      <c r="G9" s="30">
        <v>5.0</v>
      </c>
      <c r="H9" s="30">
        <v>0.0</v>
      </c>
      <c r="I9" s="30">
        <v>31.2</v>
      </c>
      <c r="J9" s="30">
        <v>12.0</v>
      </c>
      <c r="K9" s="30">
        <v>2.0</v>
      </c>
      <c r="L9" s="30">
        <v>10.0</v>
      </c>
      <c r="M9" s="30">
        <v>0.0</v>
      </c>
      <c r="N9" s="30">
        <v>1.0</v>
      </c>
      <c r="O9" s="30">
        <v>1.0</v>
      </c>
      <c r="P9" s="30">
        <v>3.41</v>
      </c>
      <c r="Q9" s="30">
        <v>2.4</v>
      </c>
      <c r="R9" s="30">
        <v>8.0</v>
      </c>
      <c r="S9" s="30">
        <v>2.0</v>
      </c>
      <c r="T9" s="183">
        <v>0.2</v>
      </c>
      <c r="U9" s="30">
        <v>1.0</v>
      </c>
      <c r="V9" s="30" t="s">
        <v>4881</v>
      </c>
    </row>
    <row r="10">
      <c r="A10" s="30">
        <v>31.0</v>
      </c>
      <c r="B10" s="30" t="s">
        <v>4882</v>
      </c>
      <c r="C10" s="30">
        <v>32.0</v>
      </c>
      <c r="D10" s="30" t="s">
        <v>4883</v>
      </c>
      <c r="E10" s="30" t="s">
        <v>4858</v>
      </c>
      <c r="F10" s="30">
        <v>34.0</v>
      </c>
      <c r="G10" s="30">
        <v>34.0</v>
      </c>
      <c r="H10" s="30">
        <v>9.0</v>
      </c>
      <c r="I10" s="30">
        <v>251.0</v>
      </c>
      <c r="J10" s="30">
        <v>98.0</v>
      </c>
      <c r="K10" s="30">
        <v>31.0</v>
      </c>
      <c r="L10" s="30">
        <v>63.0</v>
      </c>
      <c r="M10" s="30">
        <v>4.0</v>
      </c>
      <c r="N10" s="30">
        <v>5.0</v>
      </c>
      <c r="O10" s="30">
        <v>0.959</v>
      </c>
      <c r="P10" s="30">
        <v>3.37</v>
      </c>
      <c r="Q10" s="30">
        <v>2.76</v>
      </c>
      <c r="R10" s="30">
        <v>28.0</v>
      </c>
      <c r="S10" s="30">
        <v>11.0</v>
      </c>
      <c r="T10" s="183">
        <v>0.28</v>
      </c>
      <c r="U10" s="30">
        <v>0.0</v>
      </c>
      <c r="V10" s="30" t="s">
        <v>4884</v>
      </c>
    </row>
    <row r="11">
      <c r="A11" s="30">
        <v>33.0</v>
      </c>
      <c r="B11" s="30" t="s">
        <v>4885</v>
      </c>
      <c r="C11" s="30">
        <v>28.0</v>
      </c>
      <c r="D11" s="30" t="s">
        <v>4886</v>
      </c>
      <c r="E11" s="30" t="s">
        <v>4868</v>
      </c>
      <c r="F11" s="30">
        <v>34.0</v>
      </c>
      <c r="G11" s="30">
        <v>23.0</v>
      </c>
      <c r="H11" s="30">
        <v>0.0</v>
      </c>
      <c r="I11" s="30">
        <v>123.2</v>
      </c>
      <c r="J11" s="30">
        <v>47.0</v>
      </c>
      <c r="K11" s="30">
        <v>7.0</v>
      </c>
      <c r="L11" s="30">
        <v>39.0</v>
      </c>
      <c r="M11" s="30">
        <v>1.0</v>
      </c>
      <c r="N11" s="30">
        <v>5.0</v>
      </c>
      <c r="O11" s="30">
        <v>0.979</v>
      </c>
      <c r="P11" s="30">
        <v>3.35</v>
      </c>
      <c r="Q11" s="30">
        <v>1.35</v>
      </c>
      <c r="R11" s="30">
        <v>10.0</v>
      </c>
      <c r="S11" s="30">
        <v>9.0</v>
      </c>
      <c r="T11" s="183">
        <v>0.47</v>
      </c>
      <c r="U11" s="30">
        <v>3.0</v>
      </c>
      <c r="V11" s="30" t="s">
        <v>4887</v>
      </c>
    </row>
    <row r="12">
      <c r="A12" s="30">
        <v>32.0</v>
      </c>
      <c r="B12" s="30" t="s">
        <v>4888</v>
      </c>
      <c r="C12" s="30">
        <v>27.0</v>
      </c>
      <c r="D12" s="30" t="s">
        <v>4877</v>
      </c>
      <c r="E12" s="30" t="s">
        <v>4858</v>
      </c>
      <c r="F12" s="30">
        <v>36.0</v>
      </c>
      <c r="G12" s="30">
        <v>0.0</v>
      </c>
      <c r="H12" s="30">
        <v>0.0</v>
      </c>
      <c r="I12" s="30">
        <v>51.0</v>
      </c>
      <c r="J12" s="30">
        <v>19.0</v>
      </c>
      <c r="K12" s="30">
        <v>10.0</v>
      </c>
      <c r="L12" s="30">
        <v>9.0</v>
      </c>
      <c r="M12" s="30">
        <v>0.0</v>
      </c>
      <c r="N12" s="30">
        <v>1.0</v>
      </c>
      <c r="O12" s="30">
        <v>1.0</v>
      </c>
      <c r="P12" s="30">
        <v>3.35</v>
      </c>
      <c r="Q12" s="30">
        <v>0.53</v>
      </c>
      <c r="R12" s="30">
        <v>2.0</v>
      </c>
      <c r="S12" s="30">
        <v>0.0</v>
      </c>
      <c r="T12" s="183">
        <v>0.0</v>
      </c>
      <c r="U12" s="30">
        <v>0.0</v>
      </c>
      <c r="V12" s="30" t="s">
        <v>4889</v>
      </c>
    </row>
    <row r="13">
      <c r="A13" s="30">
        <v>34.0</v>
      </c>
      <c r="B13" s="30" t="s">
        <v>4890</v>
      </c>
      <c r="C13" s="30">
        <v>35.0</v>
      </c>
      <c r="D13" s="30" t="s">
        <v>4880</v>
      </c>
      <c r="E13" s="30" t="s">
        <v>4868</v>
      </c>
      <c r="F13" s="30">
        <v>25.0</v>
      </c>
      <c r="G13" s="30">
        <v>0.0</v>
      </c>
      <c r="H13" s="30">
        <v>0.0</v>
      </c>
      <c r="I13" s="30">
        <v>27.0</v>
      </c>
      <c r="J13" s="30">
        <v>10.0</v>
      </c>
      <c r="K13" s="30">
        <v>1.0</v>
      </c>
      <c r="L13" s="30">
        <v>9.0</v>
      </c>
      <c r="M13" s="30">
        <v>0.0</v>
      </c>
      <c r="N13" s="30">
        <v>2.0</v>
      </c>
      <c r="O13" s="30">
        <v>1.0</v>
      </c>
      <c r="P13" s="30">
        <v>3.33</v>
      </c>
      <c r="Q13" s="30">
        <v>0.4</v>
      </c>
      <c r="R13" s="30">
        <v>2.0</v>
      </c>
      <c r="S13" s="30">
        <v>2.0</v>
      </c>
      <c r="T13" s="183">
        <v>0.5</v>
      </c>
      <c r="U13" s="30">
        <v>1.0</v>
      </c>
      <c r="V13" s="30" t="s">
        <v>4891</v>
      </c>
    </row>
    <row r="14">
      <c r="A14" s="30">
        <v>35.0</v>
      </c>
      <c r="B14" s="30" t="s">
        <v>4892</v>
      </c>
      <c r="C14" s="30">
        <v>33.0</v>
      </c>
      <c r="D14" s="30" t="s">
        <v>4893</v>
      </c>
      <c r="E14" s="30" t="s">
        <v>4868</v>
      </c>
      <c r="F14" s="30">
        <v>34.0</v>
      </c>
      <c r="G14" s="30">
        <v>34.0</v>
      </c>
      <c r="H14" s="30">
        <v>7.0</v>
      </c>
      <c r="I14" s="30">
        <v>238.2</v>
      </c>
      <c r="J14" s="30">
        <v>88.0</v>
      </c>
      <c r="K14" s="30">
        <v>20.0</v>
      </c>
      <c r="L14" s="30">
        <v>66.0</v>
      </c>
      <c r="M14" s="30">
        <v>2.0</v>
      </c>
      <c r="N14" s="30">
        <v>4.0</v>
      </c>
      <c r="O14" s="30">
        <v>0.977</v>
      </c>
      <c r="P14" s="30">
        <v>3.24</v>
      </c>
      <c r="Q14" s="30">
        <v>2.53</v>
      </c>
      <c r="R14" s="30">
        <v>5.0</v>
      </c>
      <c r="S14" s="30">
        <v>9.0</v>
      </c>
      <c r="T14" s="183">
        <v>0.64</v>
      </c>
      <c r="U14" s="30">
        <v>6.0</v>
      </c>
      <c r="V14" s="30" t="s">
        <v>4894</v>
      </c>
    </row>
    <row r="15">
      <c r="A15" s="30">
        <v>37.0</v>
      </c>
      <c r="B15" s="30" t="s">
        <v>4895</v>
      </c>
      <c r="C15" s="30">
        <v>30.0</v>
      </c>
      <c r="D15" s="30" t="s">
        <v>4874</v>
      </c>
      <c r="E15" s="30" t="s">
        <v>4868</v>
      </c>
      <c r="F15" s="30">
        <v>31.0</v>
      </c>
      <c r="G15" s="30">
        <v>10.0</v>
      </c>
      <c r="H15" s="30">
        <v>0.0</v>
      </c>
      <c r="I15" s="30">
        <v>86.2</v>
      </c>
      <c r="J15" s="30">
        <v>31.0</v>
      </c>
      <c r="K15" s="30">
        <v>5.0</v>
      </c>
      <c r="L15" s="30">
        <v>25.0</v>
      </c>
      <c r="M15" s="30">
        <v>1.0</v>
      </c>
      <c r="N15" s="30">
        <v>2.0</v>
      </c>
      <c r="O15" s="30">
        <v>0.968</v>
      </c>
      <c r="P15" s="30">
        <v>3.12</v>
      </c>
      <c r="Q15" s="30">
        <v>0.97</v>
      </c>
      <c r="R15" s="30">
        <v>8.0</v>
      </c>
      <c r="S15" s="30">
        <v>10.0</v>
      </c>
      <c r="T15" s="183">
        <v>0.56</v>
      </c>
      <c r="U15" s="30">
        <v>4.0</v>
      </c>
      <c r="V15" s="30" t="s">
        <v>4896</v>
      </c>
    </row>
    <row r="16">
      <c r="A16" s="30">
        <v>39.0</v>
      </c>
      <c r="B16" s="30" t="s">
        <v>4897</v>
      </c>
      <c r="C16" s="30">
        <v>29.0</v>
      </c>
      <c r="D16" s="30" t="s">
        <v>4601</v>
      </c>
      <c r="E16" s="30" t="s">
        <v>4898</v>
      </c>
      <c r="F16" s="30">
        <v>42.0</v>
      </c>
      <c r="G16" s="30">
        <v>0.0</v>
      </c>
      <c r="H16" s="30">
        <v>0.0</v>
      </c>
      <c r="I16" s="30">
        <v>58.0</v>
      </c>
      <c r="J16" s="30">
        <v>21.0</v>
      </c>
      <c r="K16" s="30">
        <v>10.0</v>
      </c>
      <c r="L16" s="30">
        <v>10.0</v>
      </c>
      <c r="M16" s="30">
        <v>1.0</v>
      </c>
      <c r="N16" s="30">
        <v>1.0</v>
      </c>
      <c r="O16" s="30">
        <v>0.952</v>
      </c>
      <c r="P16" s="30">
        <v>3.1</v>
      </c>
      <c r="Q16" s="30">
        <v>0.48</v>
      </c>
      <c r="R16" s="30">
        <v>4.0</v>
      </c>
      <c r="S16" s="30">
        <v>4.0</v>
      </c>
      <c r="T16" s="183">
        <v>0.5</v>
      </c>
      <c r="U16" s="30">
        <v>0.0</v>
      </c>
      <c r="V16" s="30" t="s">
        <v>4899</v>
      </c>
    </row>
    <row r="17">
      <c r="A17" s="30">
        <v>40.0</v>
      </c>
      <c r="B17" s="30" t="s">
        <v>4900</v>
      </c>
      <c r="C17" s="30">
        <v>32.0</v>
      </c>
      <c r="D17" s="30" t="s">
        <v>4901</v>
      </c>
      <c r="E17" s="30" t="s">
        <v>4868</v>
      </c>
      <c r="F17" s="30">
        <v>22.0</v>
      </c>
      <c r="G17" s="30">
        <v>20.0</v>
      </c>
      <c r="H17" s="30">
        <v>0.0</v>
      </c>
      <c r="I17" s="30">
        <v>128.2</v>
      </c>
      <c r="J17" s="30">
        <v>43.0</v>
      </c>
      <c r="K17" s="30">
        <v>12.0</v>
      </c>
      <c r="L17" s="30">
        <v>31.0</v>
      </c>
      <c r="M17" s="30">
        <v>0.0</v>
      </c>
      <c r="N17" s="30">
        <v>2.0</v>
      </c>
      <c r="O17" s="30">
        <v>1.0</v>
      </c>
      <c r="P17" s="30">
        <v>3.01</v>
      </c>
      <c r="Q17" s="30">
        <v>1.95</v>
      </c>
      <c r="R17" s="30">
        <v>10.0</v>
      </c>
      <c r="S17" s="30">
        <v>4.0</v>
      </c>
      <c r="T17" s="183">
        <v>0.29</v>
      </c>
      <c r="U17" s="30">
        <v>5.0</v>
      </c>
      <c r="V17" s="30" t="s">
        <v>4902</v>
      </c>
    </row>
    <row r="18">
      <c r="A18" s="30">
        <v>42.0</v>
      </c>
      <c r="B18" s="30" t="s">
        <v>4903</v>
      </c>
      <c r="C18" s="30">
        <v>26.0</v>
      </c>
      <c r="D18" s="30" t="s">
        <v>4857</v>
      </c>
      <c r="E18" s="30" t="s">
        <v>4858</v>
      </c>
      <c r="F18" s="30">
        <v>32.0</v>
      </c>
      <c r="G18" s="30">
        <v>26.0</v>
      </c>
      <c r="H18" s="30">
        <v>1.0</v>
      </c>
      <c r="I18" s="30">
        <v>180.0</v>
      </c>
      <c r="J18" s="30">
        <v>64.0</v>
      </c>
      <c r="K18" s="30">
        <v>18.0</v>
      </c>
      <c r="L18" s="30">
        <v>42.0</v>
      </c>
      <c r="M18" s="30">
        <v>4.0</v>
      </c>
      <c r="N18" s="30">
        <v>4.0</v>
      </c>
      <c r="O18" s="30">
        <v>0.938</v>
      </c>
      <c r="P18" s="30">
        <v>3.0</v>
      </c>
      <c r="Q18" s="30">
        <v>1.88</v>
      </c>
      <c r="R18" s="30">
        <v>12.0</v>
      </c>
      <c r="S18" s="30">
        <v>8.0</v>
      </c>
      <c r="T18" s="183">
        <v>0.4</v>
      </c>
      <c r="U18" s="30">
        <v>1.0</v>
      </c>
      <c r="V18" s="30" t="s">
        <v>4904</v>
      </c>
    </row>
    <row r="19">
      <c r="A19" s="30">
        <v>45.0</v>
      </c>
      <c r="B19" s="30" t="s">
        <v>4905</v>
      </c>
      <c r="C19" s="30">
        <v>32.0</v>
      </c>
      <c r="D19" s="30" t="s">
        <v>4901</v>
      </c>
      <c r="E19" s="30" t="s">
        <v>4868</v>
      </c>
      <c r="F19" s="30">
        <v>19.0</v>
      </c>
      <c r="G19" s="30">
        <v>19.0</v>
      </c>
      <c r="H19" s="30">
        <v>0.0</v>
      </c>
      <c r="I19" s="30">
        <v>103.0</v>
      </c>
      <c r="J19" s="30">
        <v>34.0</v>
      </c>
      <c r="K19" s="30">
        <v>14.0</v>
      </c>
      <c r="L19" s="30">
        <v>20.0</v>
      </c>
      <c r="M19" s="30">
        <v>0.0</v>
      </c>
      <c r="N19" s="30">
        <v>3.0</v>
      </c>
      <c r="O19" s="30">
        <v>1.0</v>
      </c>
      <c r="P19" s="30">
        <v>2.97</v>
      </c>
      <c r="Q19" s="30">
        <v>1.79</v>
      </c>
      <c r="R19" s="30">
        <v>20.0</v>
      </c>
      <c r="S19" s="30">
        <v>9.0</v>
      </c>
      <c r="T19" s="183">
        <v>0.31</v>
      </c>
      <c r="U19" s="30">
        <v>1.0</v>
      </c>
      <c r="V19" s="30" t="s">
        <v>4906</v>
      </c>
    </row>
    <row r="20">
      <c r="A20" s="30">
        <v>46.0</v>
      </c>
      <c r="B20" s="30" t="s">
        <v>4907</v>
      </c>
      <c r="C20" s="30">
        <v>30.0</v>
      </c>
      <c r="D20" s="30" t="s">
        <v>4901</v>
      </c>
      <c r="E20" s="30" t="s">
        <v>4868</v>
      </c>
      <c r="F20" s="30">
        <v>37.0</v>
      </c>
      <c r="G20" s="30">
        <v>26.0</v>
      </c>
      <c r="H20" s="30">
        <v>1.0</v>
      </c>
      <c r="I20" s="30">
        <v>183.0</v>
      </c>
      <c r="J20" s="30">
        <v>65.0</v>
      </c>
      <c r="K20" s="30">
        <v>21.0</v>
      </c>
      <c r="L20" s="30">
        <v>39.0</v>
      </c>
      <c r="M20" s="30">
        <v>5.0</v>
      </c>
      <c r="N20" s="30">
        <v>3.0</v>
      </c>
      <c r="O20" s="30">
        <v>0.923</v>
      </c>
      <c r="P20" s="30">
        <v>2.95</v>
      </c>
      <c r="Q20" s="30">
        <v>1.62</v>
      </c>
      <c r="R20" s="30">
        <v>11.0</v>
      </c>
      <c r="S20" s="30">
        <v>7.0</v>
      </c>
      <c r="T20" s="183">
        <v>0.39</v>
      </c>
      <c r="U20" s="30">
        <v>0.0</v>
      </c>
      <c r="V20" s="30" t="s">
        <v>4908</v>
      </c>
    </row>
    <row r="21">
      <c r="A21" s="30">
        <v>48.0</v>
      </c>
      <c r="B21" s="30" t="s">
        <v>4909</v>
      </c>
      <c r="C21" s="30">
        <v>30.0</v>
      </c>
      <c r="D21" s="30" t="s">
        <v>4910</v>
      </c>
      <c r="E21" s="30" t="s">
        <v>4868</v>
      </c>
      <c r="F21" s="30">
        <v>48.0</v>
      </c>
      <c r="G21" s="30">
        <v>0.0</v>
      </c>
      <c r="H21" s="30">
        <v>0.0</v>
      </c>
      <c r="I21" s="30">
        <v>31.1</v>
      </c>
      <c r="J21" s="30">
        <v>10.0</v>
      </c>
      <c r="K21" s="30">
        <v>3.0</v>
      </c>
      <c r="L21" s="30">
        <v>7.0</v>
      </c>
      <c r="M21" s="30">
        <v>0.0</v>
      </c>
      <c r="N21" s="30">
        <v>2.0</v>
      </c>
      <c r="O21" s="30">
        <v>1.0</v>
      </c>
      <c r="P21" s="30">
        <v>2.87</v>
      </c>
      <c r="Q21" s="30">
        <v>0.21</v>
      </c>
      <c r="R21" s="30">
        <v>2.0</v>
      </c>
      <c r="S21" s="30">
        <v>1.0</v>
      </c>
      <c r="T21" s="183">
        <v>0.33</v>
      </c>
      <c r="U21" s="30">
        <v>0.0</v>
      </c>
      <c r="V21" s="30" t="s">
        <v>4911</v>
      </c>
    </row>
    <row r="22">
      <c r="A22" s="30">
        <v>50.0</v>
      </c>
      <c r="B22" s="30" t="s">
        <v>4912</v>
      </c>
      <c r="C22" s="30">
        <v>36.0</v>
      </c>
      <c r="D22" s="30" t="s">
        <v>4913</v>
      </c>
      <c r="E22" s="30" t="s">
        <v>4868</v>
      </c>
      <c r="F22" s="30">
        <v>29.0</v>
      </c>
      <c r="G22" s="30">
        <v>26.0</v>
      </c>
      <c r="H22" s="30">
        <v>0.0</v>
      </c>
      <c r="I22" s="30">
        <v>144.2</v>
      </c>
      <c r="J22" s="30">
        <v>50.0</v>
      </c>
      <c r="K22" s="30">
        <v>17.0</v>
      </c>
      <c r="L22" s="30">
        <v>29.0</v>
      </c>
      <c r="M22" s="30">
        <v>4.0</v>
      </c>
      <c r="N22" s="30">
        <v>3.0</v>
      </c>
      <c r="O22" s="30">
        <v>0.92</v>
      </c>
      <c r="P22" s="30">
        <v>2.86</v>
      </c>
      <c r="Q22" s="30">
        <v>1.59</v>
      </c>
      <c r="R22" s="30">
        <v>16.0</v>
      </c>
      <c r="S22" s="30">
        <v>3.0</v>
      </c>
      <c r="T22" s="183">
        <v>0.16</v>
      </c>
      <c r="U22" s="30">
        <v>1.0</v>
      </c>
      <c r="V22" s="30" t="s">
        <v>4914</v>
      </c>
    </row>
    <row r="23">
      <c r="A23" s="30">
        <v>51.0</v>
      </c>
      <c r="B23" s="30" t="s">
        <v>4915</v>
      </c>
      <c r="C23" s="30">
        <v>23.0</v>
      </c>
      <c r="D23" s="30" t="s">
        <v>4601</v>
      </c>
      <c r="E23" s="30" t="s">
        <v>4898</v>
      </c>
      <c r="F23" s="30">
        <v>17.0</v>
      </c>
      <c r="G23" s="30">
        <v>14.0</v>
      </c>
      <c r="H23" s="30">
        <v>1.0</v>
      </c>
      <c r="I23" s="30">
        <v>78.2</v>
      </c>
      <c r="J23" s="30">
        <v>25.0</v>
      </c>
      <c r="K23" s="30">
        <v>7.0</v>
      </c>
      <c r="L23" s="30">
        <v>18.0</v>
      </c>
      <c r="M23" s="30">
        <v>0.0</v>
      </c>
      <c r="N23" s="30">
        <v>2.0</v>
      </c>
      <c r="O23" s="30">
        <v>1.0</v>
      </c>
      <c r="P23" s="30">
        <v>2.86</v>
      </c>
      <c r="Q23" s="30">
        <v>1.47</v>
      </c>
      <c r="R23" s="30">
        <v>5.0</v>
      </c>
      <c r="S23" s="30">
        <v>4.0</v>
      </c>
      <c r="T23" s="183">
        <v>0.44</v>
      </c>
      <c r="U23" s="30">
        <v>0.0</v>
      </c>
      <c r="V23" s="30" t="s">
        <v>4916</v>
      </c>
    </row>
    <row r="24">
      <c r="A24" s="30">
        <v>52.0</v>
      </c>
      <c r="B24" s="30" t="s">
        <v>4917</v>
      </c>
      <c r="C24" s="30">
        <v>29.0</v>
      </c>
      <c r="D24" s="30" t="s">
        <v>4601</v>
      </c>
      <c r="E24" s="30" t="s">
        <v>4898</v>
      </c>
      <c r="F24" s="30">
        <v>39.0</v>
      </c>
      <c r="G24" s="30">
        <v>18.0</v>
      </c>
      <c r="H24" s="30">
        <v>2.0</v>
      </c>
      <c r="I24" s="30">
        <v>151.2</v>
      </c>
      <c r="J24" s="30">
        <v>50.0</v>
      </c>
      <c r="K24" s="30">
        <v>10.0</v>
      </c>
      <c r="L24" s="30">
        <v>38.0</v>
      </c>
      <c r="M24" s="30">
        <v>2.0</v>
      </c>
      <c r="N24" s="30">
        <v>3.0</v>
      </c>
      <c r="O24" s="30">
        <v>0.96</v>
      </c>
      <c r="P24" s="30">
        <v>2.85</v>
      </c>
      <c r="Q24" s="30">
        <v>1.23</v>
      </c>
      <c r="R24" s="30">
        <v>5.0</v>
      </c>
      <c r="S24" s="30">
        <v>3.0</v>
      </c>
      <c r="T24" s="183">
        <v>0.38</v>
      </c>
      <c r="U24" s="30">
        <v>0.0</v>
      </c>
      <c r="V24" s="30" t="s">
        <v>4918</v>
      </c>
    </row>
    <row r="25">
      <c r="A25" s="30">
        <v>54.0</v>
      </c>
      <c r="B25" s="30" t="s">
        <v>4919</v>
      </c>
      <c r="C25" s="30">
        <v>35.0</v>
      </c>
      <c r="D25" s="30" t="s">
        <v>4601</v>
      </c>
      <c r="E25" s="30" t="s">
        <v>4898</v>
      </c>
      <c r="F25" s="30">
        <v>49.0</v>
      </c>
      <c r="G25" s="30">
        <v>0.0</v>
      </c>
      <c r="H25" s="30">
        <v>0.0</v>
      </c>
      <c r="I25" s="30">
        <v>48.0</v>
      </c>
      <c r="J25" s="30">
        <v>16.0</v>
      </c>
      <c r="K25" s="30">
        <v>6.0</v>
      </c>
      <c r="L25" s="30">
        <v>9.0</v>
      </c>
      <c r="M25" s="30">
        <v>1.0</v>
      </c>
      <c r="N25" s="30">
        <v>0.0</v>
      </c>
      <c r="O25" s="30">
        <v>0.938</v>
      </c>
      <c r="P25" s="30">
        <v>2.81</v>
      </c>
      <c r="Q25" s="30">
        <v>0.31</v>
      </c>
      <c r="R25" s="30">
        <v>6.0</v>
      </c>
      <c r="S25" s="30">
        <v>1.0</v>
      </c>
      <c r="T25" s="183">
        <v>0.14</v>
      </c>
      <c r="U25" s="30">
        <v>1.0</v>
      </c>
      <c r="V25" s="30" t="s">
        <v>4920</v>
      </c>
    </row>
    <row r="26">
      <c r="A26" s="30">
        <v>58.0</v>
      </c>
      <c r="B26" s="30" t="s">
        <v>4921</v>
      </c>
      <c r="C26" s="30">
        <v>31.0</v>
      </c>
      <c r="D26" s="30" t="s">
        <v>4601</v>
      </c>
      <c r="E26" s="30" t="s">
        <v>4898</v>
      </c>
      <c r="F26" s="30">
        <v>64.0</v>
      </c>
      <c r="G26" s="30">
        <v>0.0</v>
      </c>
      <c r="H26" s="30">
        <v>0.0</v>
      </c>
      <c r="I26" s="30">
        <v>68.0</v>
      </c>
      <c r="J26" s="30">
        <v>21.0</v>
      </c>
      <c r="K26" s="30">
        <v>5.0</v>
      </c>
      <c r="L26" s="30">
        <v>16.0</v>
      </c>
      <c r="M26" s="30">
        <v>0.0</v>
      </c>
      <c r="N26" s="30">
        <v>1.0</v>
      </c>
      <c r="O26" s="30">
        <v>1.0</v>
      </c>
      <c r="P26" s="30">
        <v>2.78</v>
      </c>
      <c r="Q26" s="30">
        <v>0.33</v>
      </c>
      <c r="R26" s="30">
        <v>8.0</v>
      </c>
      <c r="S26" s="30">
        <v>4.0</v>
      </c>
      <c r="T26" s="183">
        <v>0.33</v>
      </c>
      <c r="U26" s="30">
        <v>0.0</v>
      </c>
      <c r="V26" s="30" t="s">
        <v>4922</v>
      </c>
    </row>
    <row r="27">
      <c r="A27" s="30">
        <v>56.0</v>
      </c>
      <c r="B27" s="30" t="s">
        <v>4923</v>
      </c>
      <c r="C27" s="30">
        <v>37.0</v>
      </c>
      <c r="D27" s="30" t="s">
        <v>4871</v>
      </c>
      <c r="E27" s="30" t="s">
        <v>4858</v>
      </c>
      <c r="F27" s="30">
        <v>61.0</v>
      </c>
      <c r="G27" s="30">
        <v>0.0</v>
      </c>
      <c r="H27" s="30">
        <v>0.0</v>
      </c>
      <c r="I27" s="30">
        <v>64.2</v>
      </c>
      <c r="J27" s="30">
        <v>20.0</v>
      </c>
      <c r="K27" s="30">
        <v>4.0</v>
      </c>
      <c r="L27" s="30">
        <v>16.0</v>
      </c>
      <c r="M27" s="30">
        <v>0.0</v>
      </c>
      <c r="N27" s="30">
        <v>2.0</v>
      </c>
      <c r="O27" s="30">
        <v>1.0</v>
      </c>
      <c r="P27" s="30">
        <v>2.78</v>
      </c>
      <c r="Q27" s="30">
        <v>0.33</v>
      </c>
      <c r="R27" s="30">
        <v>2.0</v>
      </c>
      <c r="S27" s="30">
        <v>1.0</v>
      </c>
      <c r="T27" s="183">
        <v>0.33</v>
      </c>
      <c r="U27" s="30">
        <v>2.0</v>
      </c>
      <c r="V27" s="30" t="s">
        <v>4924</v>
      </c>
    </row>
    <row r="28">
      <c r="A28" s="30">
        <v>59.0</v>
      </c>
      <c r="B28" s="30" t="s">
        <v>4925</v>
      </c>
      <c r="C28" s="30">
        <v>33.0</v>
      </c>
      <c r="D28" s="30" t="s">
        <v>4926</v>
      </c>
      <c r="E28" s="30" t="s">
        <v>4868</v>
      </c>
      <c r="F28" s="30">
        <v>11.0</v>
      </c>
      <c r="G28" s="30">
        <v>8.0</v>
      </c>
      <c r="H28" s="30">
        <v>0.0</v>
      </c>
      <c r="I28" s="30">
        <v>49.0</v>
      </c>
      <c r="J28" s="30">
        <v>15.0</v>
      </c>
      <c r="K28" s="30">
        <v>8.0</v>
      </c>
      <c r="L28" s="30">
        <v>7.0</v>
      </c>
      <c r="M28" s="30">
        <v>0.0</v>
      </c>
      <c r="N28" s="30">
        <v>1.0</v>
      </c>
      <c r="O28" s="30">
        <v>1.0</v>
      </c>
      <c r="P28" s="30">
        <v>2.76</v>
      </c>
      <c r="Q28" s="30">
        <v>1.36</v>
      </c>
      <c r="R28" s="30">
        <v>6.0</v>
      </c>
      <c r="S28" s="30">
        <v>0.0</v>
      </c>
      <c r="T28" s="183">
        <v>0.0</v>
      </c>
      <c r="U28" s="30">
        <v>0.0</v>
      </c>
      <c r="V28" s="30" t="s">
        <v>4927</v>
      </c>
    </row>
    <row r="29">
      <c r="A29" s="30">
        <v>60.0</v>
      </c>
      <c r="B29" s="30" t="s">
        <v>4928</v>
      </c>
      <c r="C29" s="30">
        <v>31.0</v>
      </c>
      <c r="D29" s="30" t="s">
        <v>4601</v>
      </c>
      <c r="E29" s="30" t="s">
        <v>4898</v>
      </c>
      <c r="F29" s="30">
        <v>73.0</v>
      </c>
      <c r="G29" s="30">
        <v>0.0</v>
      </c>
      <c r="H29" s="30">
        <v>0.0</v>
      </c>
      <c r="I29" s="30">
        <v>85.0</v>
      </c>
      <c r="J29" s="30">
        <v>29.0</v>
      </c>
      <c r="K29" s="30">
        <v>8.0</v>
      </c>
      <c r="L29" s="30">
        <v>18.0</v>
      </c>
      <c r="M29" s="30">
        <v>3.0</v>
      </c>
      <c r="N29" s="30">
        <v>0.0</v>
      </c>
      <c r="O29" s="30">
        <v>0.897</v>
      </c>
      <c r="P29" s="30">
        <v>2.75</v>
      </c>
      <c r="Q29" s="30">
        <v>0.36</v>
      </c>
      <c r="R29" s="30">
        <v>7.0</v>
      </c>
      <c r="S29" s="30">
        <v>0.0</v>
      </c>
      <c r="T29" s="183">
        <v>0.0</v>
      </c>
      <c r="U29" s="30">
        <v>1.0</v>
      </c>
      <c r="V29" s="30" t="s">
        <v>4929</v>
      </c>
    </row>
    <row r="30">
      <c r="A30" s="30">
        <v>62.0</v>
      </c>
      <c r="B30" s="30" t="s">
        <v>4930</v>
      </c>
      <c r="C30" s="30">
        <v>35.0</v>
      </c>
      <c r="D30" s="30" t="s">
        <v>4931</v>
      </c>
      <c r="E30" s="30" t="s">
        <v>4858</v>
      </c>
      <c r="F30" s="30">
        <v>68.0</v>
      </c>
      <c r="G30" s="30">
        <v>0.0</v>
      </c>
      <c r="H30" s="30">
        <v>0.0</v>
      </c>
      <c r="I30" s="30">
        <v>65.2</v>
      </c>
      <c r="J30" s="30">
        <v>21.0</v>
      </c>
      <c r="K30" s="30">
        <v>9.0</v>
      </c>
      <c r="L30" s="30">
        <v>11.0</v>
      </c>
      <c r="M30" s="30">
        <v>1.0</v>
      </c>
      <c r="N30" s="30">
        <v>0.0</v>
      </c>
      <c r="O30" s="30">
        <v>0.952</v>
      </c>
      <c r="P30" s="30">
        <v>2.74</v>
      </c>
      <c r="Q30" s="30">
        <v>0.29</v>
      </c>
      <c r="R30" s="30">
        <v>3.0</v>
      </c>
      <c r="S30" s="30">
        <v>1.0</v>
      </c>
      <c r="T30" s="183">
        <v>0.25</v>
      </c>
      <c r="U30" s="30">
        <v>1.0</v>
      </c>
      <c r="V30" s="30" t="s">
        <v>4932</v>
      </c>
    </row>
    <row r="31">
      <c r="A31" s="30">
        <v>61.0</v>
      </c>
      <c r="B31" s="30" t="s">
        <v>4933</v>
      </c>
      <c r="C31" s="30">
        <v>21.0</v>
      </c>
      <c r="D31" s="30" t="s">
        <v>4934</v>
      </c>
      <c r="E31" s="30" t="s">
        <v>4858</v>
      </c>
      <c r="F31" s="30">
        <v>8.0</v>
      </c>
      <c r="G31" s="30">
        <v>8.0</v>
      </c>
      <c r="H31" s="30">
        <v>0.0</v>
      </c>
      <c r="I31" s="30">
        <v>42.2</v>
      </c>
      <c r="J31" s="30">
        <v>13.0</v>
      </c>
      <c r="K31" s="30">
        <v>4.0</v>
      </c>
      <c r="L31" s="30">
        <v>9.0</v>
      </c>
      <c r="M31" s="30">
        <v>0.0</v>
      </c>
      <c r="N31" s="30">
        <v>1.0</v>
      </c>
      <c r="O31" s="30">
        <v>1.0</v>
      </c>
      <c r="P31" s="30">
        <v>2.74</v>
      </c>
      <c r="Q31" s="30">
        <v>1.63</v>
      </c>
      <c r="R31" s="30">
        <v>4.0</v>
      </c>
      <c r="S31" s="30">
        <v>0.0</v>
      </c>
      <c r="T31" s="183">
        <v>0.0</v>
      </c>
      <c r="U31" s="30">
        <v>0.0</v>
      </c>
      <c r="V31" s="30" t="s">
        <v>4935</v>
      </c>
    </row>
    <row r="32">
      <c r="A32" s="30">
        <v>65.0</v>
      </c>
      <c r="B32" s="30" t="s">
        <v>4936</v>
      </c>
      <c r="C32" s="30">
        <v>31.0</v>
      </c>
      <c r="D32" s="30" t="s">
        <v>4937</v>
      </c>
      <c r="E32" s="30" t="s">
        <v>4868</v>
      </c>
      <c r="F32" s="30">
        <v>33.0</v>
      </c>
      <c r="G32" s="30">
        <v>33.0</v>
      </c>
      <c r="H32" s="30">
        <v>2.0</v>
      </c>
      <c r="I32" s="30">
        <v>210.1</v>
      </c>
      <c r="J32" s="30">
        <v>65.0</v>
      </c>
      <c r="K32" s="30">
        <v>17.0</v>
      </c>
      <c r="L32" s="30">
        <v>46.0</v>
      </c>
      <c r="M32" s="30">
        <v>2.0</v>
      </c>
      <c r="N32" s="30">
        <v>4.0</v>
      </c>
      <c r="O32" s="30">
        <v>0.969</v>
      </c>
      <c r="P32" s="30">
        <v>2.7</v>
      </c>
      <c r="Q32" s="30">
        <v>1.91</v>
      </c>
      <c r="R32" s="30">
        <v>21.0</v>
      </c>
      <c r="S32" s="30">
        <v>9.0</v>
      </c>
      <c r="T32" s="183">
        <v>0.3</v>
      </c>
      <c r="U32" s="30">
        <v>1.0</v>
      </c>
      <c r="V32" s="30" t="s">
        <v>4938</v>
      </c>
    </row>
    <row r="33">
      <c r="A33" s="30">
        <v>66.0</v>
      </c>
      <c r="B33" s="30" t="s">
        <v>4939</v>
      </c>
      <c r="C33" s="30">
        <v>38.0</v>
      </c>
      <c r="D33" s="30" t="s">
        <v>4601</v>
      </c>
      <c r="E33" s="30" t="s">
        <v>4898</v>
      </c>
      <c r="F33" s="30">
        <v>23.0</v>
      </c>
      <c r="G33" s="30">
        <v>22.0</v>
      </c>
      <c r="H33" s="30">
        <v>0.0</v>
      </c>
      <c r="I33" s="30">
        <v>120.2</v>
      </c>
      <c r="J33" s="30">
        <v>37.0</v>
      </c>
      <c r="K33" s="30">
        <v>15.0</v>
      </c>
      <c r="L33" s="30">
        <v>21.0</v>
      </c>
      <c r="M33" s="30">
        <v>1.0</v>
      </c>
      <c r="N33" s="30">
        <v>3.0</v>
      </c>
      <c r="O33" s="30">
        <v>0.973</v>
      </c>
      <c r="P33" s="30">
        <v>2.69</v>
      </c>
      <c r="Q33" s="30">
        <v>1.57</v>
      </c>
      <c r="R33" s="30">
        <v>7.0</v>
      </c>
      <c r="S33" s="30">
        <v>4.0</v>
      </c>
      <c r="T33" s="183">
        <v>0.36</v>
      </c>
      <c r="U33" s="30">
        <v>2.0</v>
      </c>
      <c r="V33" s="30" t="s">
        <v>4940</v>
      </c>
    </row>
    <row r="34">
      <c r="A34" s="30">
        <v>67.0</v>
      </c>
      <c r="B34" s="30" t="s">
        <v>4941</v>
      </c>
      <c r="C34" s="30">
        <v>28.0</v>
      </c>
      <c r="D34" s="30" t="s">
        <v>4910</v>
      </c>
      <c r="E34" s="30" t="s">
        <v>4868</v>
      </c>
      <c r="F34" s="30">
        <v>68.0</v>
      </c>
      <c r="G34" s="30">
        <v>0.0</v>
      </c>
      <c r="H34" s="30">
        <v>0.0</v>
      </c>
      <c r="I34" s="30">
        <v>84.0</v>
      </c>
      <c r="J34" s="30">
        <v>25.0</v>
      </c>
      <c r="K34" s="30">
        <v>9.0</v>
      </c>
      <c r="L34" s="30">
        <v>16.0</v>
      </c>
      <c r="M34" s="30">
        <v>0.0</v>
      </c>
      <c r="N34" s="30">
        <v>2.0</v>
      </c>
      <c r="O34" s="30">
        <v>1.0</v>
      </c>
      <c r="P34" s="30">
        <v>2.68</v>
      </c>
      <c r="Q34" s="30">
        <v>0.37</v>
      </c>
      <c r="R34" s="30">
        <v>5.0</v>
      </c>
      <c r="S34" s="30">
        <v>3.0</v>
      </c>
      <c r="T34" s="183">
        <v>0.38</v>
      </c>
      <c r="U34" s="30">
        <v>0.0</v>
      </c>
      <c r="V34" s="30" t="s">
        <v>4942</v>
      </c>
    </row>
    <row r="35">
      <c r="A35" s="30">
        <v>68.0</v>
      </c>
      <c r="B35" s="30" t="s">
        <v>4943</v>
      </c>
      <c r="C35" s="30">
        <v>31.0</v>
      </c>
      <c r="D35" s="30" t="s">
        <v>4944</v>
      </c>
      <c r="E35" s="30" t="s">
        <v>4868</v>
      </c>
      <c r="F35" s="30">
        <v>45.0</v>
      </c>
      <c r="G35" s="30">
        <v>0.0</v>
      </c>
      <c r="H35" s="30">
        <v>0.0</v>
      </c>
      <c r="I35" s="30">
        <v>40.1</v>
      </c>
      <c r="J35" s="30">
        <v>12.0</v>
      </c>
      <c r="K35" s="30">
        <v>3.0</v>
      </c>
      <c r="L35" s="30">
        <v>9.0</v>
      </c>
      <c r="M35" s="30">
        <v>0.0</v>
      </c>
      <c r="N35" s="30">
        <v>0.0</v>
      </c>
      <c r="O35" s="30">
        <v>1.0</v>
      </c>
      <c r="P35" s="30">
        <v>2.68</v>
      </c>
      <c r="Q35" s="30">
        <v>0.27</v>
      </c>
      <c r="R35" s="30">
        <v>5.0</v>
      </c>
      <c r="S35" s="30">
        <v>1.0</v>
      </c>
      <c r="T35" s="183">
        <v>0.17</v>
      </c>
      <c r="U35" s="30">
        <v>0.0</v>
      </c>
      <c r="V35" s="30" t="s">
        <v>4945</v>
      </c>
    </row>
    <row r="36">
      <c r="A36" s="30">
        <v>70.0</v>
      </c>
      <c r="B36" s="30" t="s">
        <v>4946</v>
      </c>
      <c r="C36" s="30">
        <v>25.0</v>
      </c>
      <c r="D36" s="30" t="s">
        <v>4947</v>
      </c>
      <c r="E36" s="30" t="s">
        <v>4858</v>
      </c>
      <c r="F36" s="30">
        <v>43.0</v>
      </c>
      <c r="G36" s="30">
        <v>0.0</v>
      </c>
      <c r="H36" s="30">
        <v>0.0</v>
      </c>
      <c r="I36" s="30">
        <v>44.0</v>
      </c>
      <c r="J36" s="30">
        <v>13.0</v>
      </c>
      <c r="K36" s="30">
        <v>1.0</v>
      </c>
      <c r="L36" s="30">
        <v>12.0</v>
      </c>
      <c r="M36" s="30">
        <v>0.0</v>
      </c>
      <c r="N36" s="30">
        <v>0.0</v>
      </c>
      <c r="O36" s="30">
        <v>1.0</v>
      </c>
      <c r="P36" s="30">
        <v>2.66</v>
      </c>
      <c r="Q36" s="30">
        <v>0.3</v>
      </c>
      <c r="R36" s="30">
        <v>4.0</v>
      </c>
      <c r="S36" s="30">
        <v>0.0</v>
      </c>
      <c r="T36" s="183">
        <v>0.0</v>
      </c>
      <c r="U36" s="30">
        <v>0.0</v>
      </c>
      <c r="V36" s="30" t="s">
        <v>4948</v>
      </c>
    </row>
    <row r="37">
      <c r="A37" s="30">
        <v>71.0</v>
      </c>
      <c r="B37" s="30" t="s">
        <v>4949</v>
      </c>
      <c r="C37" s="30">
        <v>30.0</v>
      </c>
      <c r="D37" s="30" t="s">
        <v>4874</v>
      </c>
      <c r="E37" s="30" t="s">
        <v>4868</v>
      </c>
      <c r="F37" s="30">
        <v>36.0</v>
      </c>
      <c r="G37" s="30">
        <v>36.0</v>
      </c>
      <c r="H37" s="30">
        <v>11.0</v>
      </c>
      <c r="I37" s="30">
        <v>251.1</v>
      </c>
      <c r="J37" s="30">
        <v>77.0</v>
      </c>
      <c r="K37" s="30">
        <v>23.0</v>
      </c>
      <c r="L37" s="30">
        <v>51.0</v>
      </c>
      <c r="M37" s="30">
        <v>3.0</v>
      </c>
      <c r="N37" s="30">
        <v>5.0</v>
      </c>
      <c r="O37" s="30">
        <v>0.961</v>
      </c>
      <c r="P37" s="30">
        <v>2.65</v>
      </c>
      <c r="Q37" s="30">
        <v>2.06</v>
      </c>
      <c r="R37" s="30">
        <v>28.0</v>
      </c>
      <c r="S37" s="30">
        <v>7.0</v>
      </c>
      <c r="T37" s="183">
        <v>0.2</v>
      </c>
      <c r="U37" s="30">
        <v>1.0</v>
      </c>
      <c r="V37" s="30" t="s">
        <v>4950</v>
      </c>
    </row>
    <row r="38">
      <c r="A38" s="30">
        <v>73.0</v>
      </c>
      <c r="B38" s="30" t="s">
        <v>4951</v>
      </c>
      <c r="C38" s="30">
        <v>31.0</v>
      </c>
      <c r="D38" s="30" t="s">
        <v>4871</v>
      </c>
      <c r="E38" s="30" t="s">
        <v>4858</v>
      </c>
      <c r="F38" s="30">
        <v>50.0</v>
      </c>
      <c r="G38" s="30">
        <v>0.0</v>
      </c>
      <c r="H38" s="30">
        <v>0.0</v>
      </c>
      <c r="I38" s="30">
        <v>58.0</v>
      </c>
      <c r="J38" s="30">
        <v>18.0</v>
      </c>
      <c r="K38" s="30">
        <v>6.0</v>
      </c>
      <c r="L38" s="30">
        <v>11.0</v>
      </c>
      <c r="M38" s="30">
        <v>1.0</v>
      </c>
      <c r="N38" s="30">
        <v>1.0</v>
      </c>
      <c r="O38" s="30">
        <v>0.944</v>
      </c>
      <c r="P38" s="30">
        <v>2.64</v>
      </c>
      <c r="Q38" s="30">
        <v>0.34</v>
      </c>
      <c r="R38" s="30">
        <v>13.0</v>
      </c>
      <c r="S38" s="30">
        <v>4.0</v>
      </c>
      <c r="T38" s="183">
        <v>0.24</v>
      </c>
      <c r="U38" s="30">
        <v>1.0</v>
      </c>
      <c r="V38" s="30" t="s">
        <v>4952</v>
      </c>
    </row>
    <row r="39">
      <c r="A39" s="30">
        <v>72.0</v>
      </c>
      <c r="B39" s="30" t="s">
        <v>4953</v>
      </c>
      <c r="C39" s="30">
        <v>23.0</v>
      </c>
      <c r="D39" s="30" t="s">
        <v>4880</v>
      </c>
      <c r="E39" s="30" t="s">
        <v>4868</v>
      </c>
      <c r="F39" s="30">
        <v>29.0</v>
      </c>
      <c r="G39" s="30">
        <v>0.0</v>
      </c>
      <c r="H39" s="30">
        <v>0.0</v>
      </c>
      <c r="I39" s="30">
        <v>30.2</v>
      </c>
      <c r="J39" s="30">
        <v>10.0</v>
      </c>
      <c r="K39" s="30">
        <v>1.0</v>
      </c>
      <c r="L39" s="30">
        <v>8.0</v>
      </c>
      <c r="M39" s="30">
        <v>1.0</v>
      </c>
      <c r="N39" s="30">
        <v>0.0</v>
      </c>
      <c r="O39" s="30">
        <v>0.9</v>
      </c>
      <c r="P39" s="30">
        <v>2.64</v>
      </c>
      <c r="Q39" s="30">
        <v>0.31</v>
      </c>
      <c r="R39" s="30">
        <v>1.0</v>
      </c>
      <c r="S39" s="30">
        <v>0.0</v>
      </c>
      <c r="T39" s="183">
        <v>0.0</v>
      </c>
      <c r="U39" s="30">
        <v>0.0</v>
      </c>
      <c r="V39" s="30" t="s">
        <v>4954</v>
      </c>
    </row>
    <row r="40">
      <c r="A40" s="30">
        <v>74.0</v>
      </c>
      <c r="B40" s="30" t="s">
        <v>4955</v>
      </c>
      <c r="C40" s="30">
        <v>25.0</v>
      </c>
      <c r="D40" s="30" t="s">
        <v>4886</v>
      </c>
      <c r="E40" s="30" t="s">
        <v>4868</v>
      </c>
      <c r="F40" s="30">
        <v>63.0</v>
      </c>
      <c r="G40" s="30">
        <v>10.0</v>
      </c>
      <c r="H40" s="30">
        <v>0.0</v>
      </c>
      <c r="I40" s="30">
        <v>123.0</v>
      </c>
      <c r="J40" s="30">
        <v>40.0</v>
      </c>
      <c r="K40" s="30">
        <v>12.0</v>
      </c>
      <c r="L40" s="30">
        <v>24.0</v>
      </c>
      <c r="M40" s="30">
        <v>4.0</v>
      </c>
      <c r="N40" s="30">
        <v>4.0</v>
      </c>
      <c r="O40" s="30">
        <v>0.9</v>
      </c>
      <c r="P40" s="30">
        <v>2.63</v>
      </c>
      <c r="Q40" s="30">
        <v>0.57</v>
      </c>
      <c r="R40" s="30">
        <v>17.0</v>
      </c>
      <c r="S40" s="30">
        <v>5.0</v>
      </c>
      <c r="T40" s="183">
        <v>0.23</v>
      </c>
      <c r="U40" s="30">
        <v>0.0</v>
      </c>
      <c r="V40" s="30" t="s">
        <v>4956</v>
      </c>
    </row>
    <row r="41">
      <c r="A41" s="30">
        <v>75.0</v>
      </c>
      <c r="B41" s="30" t="s">
        <v>4957</v>
      </c>
      <c r="C41" s="30">
        <v>24.0</v>
      </c>
      <c r="D41" s="30" t="s">
        <v>4880</v>
      </c>
      <c r="E41" s="30" t="s">
        <v>4868</v>
      </c>
      <c r="F41" s="30">
        <v>29.0</v>
      </c>
      <c r="G41" s="30">
        <v>5.0</v>
      </c>
      <c r="H41" s="30">
        <v>0.0</v>
      </c>
      <c r="I41" s="30">
        <v>48.0</v>
      </c>
      <c r="J41" s="30">
        <v>14.0</v>
      </c>
      <c r="K41" s="30">
        <v>3.0</v>
      </c>
      <c r="L41" s="30">
        <v>11.0</v>
      </c>
      <c r="M41" s="30">
        <v>0.0</v>
      </c>
      <c r="N41" s="30">
        <v>0.0</v>
      </c>
      <c r="O41" s="30">
        <v>1.0</v>
      </c>
      <c r="P41" s="30">
        <v>2.63</v>
      </c>
      <c r="Q41" s="30">
        <v>0.48</v>
      </c>
      <c r="R41" s="30">
        <v>1.0</v>
      </c>
      <c r="S41" s="30">
        <v>4.0</v>
      </c>
      <c r="T41" s="183">
        <v>0.8</v>
      </c>
      <c r="U41" s="30">
        <v>1.0</v>
      </c>
      <c r="V41" s="30" t="s">
        <v>4958</v>
      </c>
    </row>
    <row r="42">
      <c r="A42" s="30">
        <v>77.0</v>
      </c>
      <c r="B42" s="30" t="s">
        <v>4959</v>
      </c>
      <c r="C42" s="30">
        <v>37.0</v>
      </c>
      <c r="D42" s="30" t="s">
        <v>4960</v>
      </c>
      <c r="E42" s="30" t="s">
        <v>4868</v>
      </c>
      <c r="F42" s="30">
        <v>26.0</v>
      </c>
      <c r="G42" s="30">
        <v>25.0</v>
      </c>
      <c r="H42" s="30">
        <v>1.0</v>
      </c>
      <c r="I42" s="30">
        <v>148.1</v>
      </c>
      <c r="J42" s="30">
        <v>45.0</v>
      </c>
      <c r="K42" s="30">
        <v>12.0</v>
      </c>
      <c r="L42" s="30">
        <v>31.0</v>
      </c>
      <c r="M42" s="30">
        <v>2.0</v>
      </c>
      <c r="N42" s="30">
        <v>3.0</v>
      </c>
      <c r="O42" s="30">
        <v>0.956</v>
      </c>
      <c r="P42" s="30">
        <v>2.61</v>
      </c>
      <c r="Q42" s="30">
        <v>1.65</v>
      </c>
      <c r="R42" s="30">
        <v>10.0</v>
      </c>
      <c r="S42" s="30">
        <v>3.0</v>
      </c>
      <c r="T42" s="183">
        <v>0.23</v>
      </c>
      <c r="U42" s="30">
        <v>0.0</v>
      </c>
      <c r="V42" s="30" t="s">
        <v>4961</v>
      </c>
    </row>
    <row r="43">
      <c r="A43" s="30">
        <v>76.0</v>
      </c>
      <c r="B43" s="30" t="s">
        <v>4962</v>
      </c>
      <c r="C43" s="30">
        <v>32.0</v>
      </c>
      <c r="D43" s="30" t="s">
        <v>4913</v>
      </c>
      <c r="E43" s="30" t="s">
        <v>4868</v>
      </c>
      <c r="F43" s="30">
        <v>70.0</v>
      </c>
      <c r="G43" s="30">
        <v>0.0</v>
      </c>
      <c r="H43" s="30">
        <v>0.0</v>
      </c>
      <c r="I43" s="30">
        <v>79.1</v>
      </c>
      <c r="J43" s="30">
        <v>23.0</v>
      </c>
      <c r="K43" s="30">
        <v>10.0</v>
      </c>
      <c r="L43" s="30">
        <v>13.0</v>
      </c>
      <c r="M43" s="30">
        <v>0.0</v>
      </c>
      <c r="N43" s="30">
        <v>1.0</v>
      </c>
      <c r="O43" s="30">
        <v>1.0</v>
      </c>
      <c r="P43" s="30">
        <v>2.61</v>
      </c>
      <c r="Q43" s="30">
        <v>0.33</v>
      </c>
      <c r="R43" s="30">
        <v>1.0</v>
      </c>
      <c r="S43" s="30">
        <v>0.0</v>
      </c>
      <c r="T43" s="183">
        <v>0.0</v>
      </c>
      <c r="U43" s="30">
        <v>0.0</v>
      </c>
      <c r="V43" s="30" t="s">
        <v>4963</v>
      </c>
    </row>
    <row r="44">
      <c r="A44" s="30">
        <v>78.0</v>
      </c>
      <c r="B44" s="30" t="s">
        <v>4964</v>
      </c>
      <c r="C44" s="30">
        <v>33.0</v>
      </c>
      <c r="D44" s="30" t="s">
        <v>4601</v>
      </c>
      <c r="E44" s="30" t="s">
        <v>4898</v>
      </c>
      <c r="F44" s="30">
        <v>60.0</v>
      </c>
      <c r="G44" s="30">
        <v>0.0</v>
      </c>
      <c r="H44" s="30">
        <v>0.0</v>
      </c>
      <c r="I44" s="30">
        <v>58.2</v>
      </c>
      <c r="J44" s="30">
        <v>19.0</v>
      </c>
      <c r="K44" s="30">
        <v>2.0</v>
      </c>
      <c r="L44" s="30">
        <v>15.0</v>
      </c>
      <c r="M44" s="30">
        <v>2.0</v>
      </c>
      <c r="N44" s="30">
        <v>1.0</v>
      </c>
      <c r="O44" s="30">
        <v>0.895</v>
      </c>
      <c r="P44" s="30">
        <v>2.61</v>
      </c>
      <c r="Q44" s="30">
        <v>0.28</v>
      </c>
      <c r="R44" s="30">
        <v>6.0</v>
      </c>
      <c r="S44" s="30">
        <v>2.0</v>
      </c>
      <c r="T44" s="183">
        <v>0.25</v>
      </c>
      <c r="U44" s="30">
        <v>2.0</v>
      </c>
      <c r="V44" s="30" t="s">
        <v>4965</v>
      </c>
    </row>
    <row r="45">
      <c r="A45" s="30">
        <v>79.0</v>
      </c>
      <c r="B45" s="30" t="s">
        <v>4966</v>
      </c>
      <c r="C45" s="30">
        <v>36.0</v>
      </c>
      <c r="D45" s="30" t="s">
        <v>4886</v>
      </c>
      <c r="E45" s="30" t="s">
        <v>4868</v>
      </c>
      <c r="F45" s="30">
        <v>59.0</v>
      </c>
      <c r="G45" s="30">
        <v>0.0</v>
      </c>
      <c r="H45" s="30">
        <v>0.0</v>
      </c>
      <c r="I45" s="30">
        <v>66.0</v>
      </c>
      <c r="J45" s="30">
        <v>21.0</v>
      </c>
      <c r="K45" s="30">
        <v>3.0</v>
      </c>
      <c r="L45" s="30">
        <v>16.0</v>
      </c>
      <c r="M45" s="30">
        <v>2.0</v>
      </c>
      <c r="N45" s="30">
        <v>2.0</v>
      </c>
      <c r="O45" s="30">
        <v>0.905</v>
      </c>
      <c r="P45" s="30">
        <v>2.59</v>
      </c>
      <c r="Q45" s="30">
        <v>0.32</v>
      </c>
      <c r="R45" s="30">
        <v>4.0</v>
      </c>
      <c r="S45" s="30">
        <v>5.0</v>
      </c>
      <c r="T45" s="183">
        <v>0.56</v>
      </c>
      <c r="U45" s="30">
        <v>0.0</v>
      </c>
      <c r="V45" s="30" t="s">
        <v>4967</v>
      </c>
    </row>
    <row r="46">
      <c r="A46" s="30">
        <v>81.0</v>
      </c>
      <c r="B46" s="30" t="s">
        <v>4968</v>
      </c>
      <c r="C46" s="30">
        <v>25.0</v>
      </c>
      <c r="D46" s="30" t="s">
        <v>4864</v>
      </c>
      <c r="E46" s="30" t="s">
        <v>4858</v>
      </c>
      <c r="F46" s="30">
        <v>32.0</v>
      </c>
      <c r="G46" s="30">
        <v>32.0</v>
      </c>
      <c r="H46" s="30">
        <v>1.0</v>
      </c>
      <c r="I46" s="30">
        <v>211.2</v>
      </c>
      <c r="J46" s="30">
        <v>64.0</v>
      </c>
      <c r="K46" s="30">
        <v>11.0</v>
      </c>
      <c r="L46" s="30">
        <v>49.0</v>
      </c>
      <c r="M46" s="30">
        <v>4.0</v>
      </c>
      <c r="N46" s="30">
        <v>7.0</v>
      </c>
      <c r="O46" s="30">
        <v>0.938</v>
      </c>
      <c r="P46" s="30">
        <v>2.55</v>
      </c>
      <c r="Q46" s="30">
        <v>1.88</v>
      </c>
      <c r="R46" s="30">
        <v>9.0</v>
      </c>
      <c r="S46" s="30">
        <v>7.0</v>
      </c>
      <c r="T46" s="183">
        <v>0.44</v>
      </c>
      <c r="U46" s="30">
        <v>3.0</v>
      </c>
      <c r="V46" s="30" t="s">
        <v>4969</v>
      </c>
    </row>
    <row r="47">
      <c r="A47" s="30">
        <v>82.0</v>
      </c>
      <c r="B47" s="30" t="s">
        <v>4970</v>
      </c>
      <c r="C47" s="30">
        <v>25.0</v>
      </c>
      <c r="D47" s="30" t="s">
        <v>4901</v>
      </c>
      <c r="E47" s="30" t="s">
        <v>4868</v>
      </c>
      <c r="F47" s="30">
        <v>49.0</v>
      </c>
      <c r="G47" s="30">
        <v>0.0</v>
      </c>
      <c r="H47" s="30">
        <v>0.0</v>
      </c>
      <c r="I47" s="30">
        <v>60.0</v>
      </c>
      <c r="J47" s="30">
        <v>19.0</v>
      </c>
      <c r="K47" s="30">
        <v>4.0</v>
      </c>
      <c r="L47" s="30">
        <v>13.0</v>
      </c>
      <c r="M47" s="30">
        <v>2.0</v>
      </c>
      <c r="N47" s="30">
        <v>1.0</v>
      </c>
      <c r="O47" s="30">
        <v>0.895</v>
      </c>
      <c r="P47" s="30">
        <v>2.55</v>
      </c>
      <c r="Q47" s="30">
        <v>0.35</v>
      </c>
      <c r="R47" s="30">
        <v>3.0</v>
      </c>
      <c r="S47" s="30">
        <v>1.0</v>
      </c>
      <c r="T47" s="183">
        <v>0.25</v>
      </c>
      <c r="U47" s="30">
        <v>0.0</v>
      </c>
      <c r="V47" s="30" t="s">
        <v>4971</v>
      </c>
    </row>
    <row r="48">
      <c r="A48" s="30">
        <v>83.0</v>
      </c>
      <c r="B48" s="30" t="s">
        <v>4972</v>
      </c>
      <c r="C48" s="30">
        <v>32.0</v>
      </c>
      <c r="D48" s="30" t="s">
        <v>4910</v>
      </c>
      <c r="E48" s="30" t="s">
        <v>4868</v>
      </c>
      <c r="F48" s="30">
        <v>32.0</v>
      </c>
      <c r="G48" s="30">
        <v>32.0</v>
      </c>
      <c r="H48" s="30">
        <v>2.0</v>
      </c>
      <c r="I48" s="30">
        <v>202.0</v>
      </c>
      <c r="J48" s="30">
        <v>61.0</v>
      </c>
      <c r="K48" s="30">
        <v>17.0</v>
      </c>
      <c r="L48" s="30">
        <v>40.0</v>
      </c>
      <c r="M48" s="30">
        <v>4.0</v>
      </c>
      <c r="N48" s="30">
        <v>5.0</v>
      </c>
      <c r="O48" s="30">
        <v>0.934</v>
      </c>
      <c r="P48" s="30">
        <v>2.54</v>
      </c>
      <c r="Q48" s="30">
        <v>1.78</v>
      </c>
      <c r="R48" s="30">
        <v>17.0</v>
      </c>
      <c r="S48" s="30">
        <v>10.0</v>
      </c>
      <c r="T48" s="183">
        <v>0.37</v>
      </c>
      <c r="U48" s="30">
        <v>1.0</v>
      </c>
      <c r="V48" s="30" t="s">
        <v>4973</v>
      </c>
    </row>
    <row r="49">
      <c r="A49" s="30">
        <v>84.0</v>
      </c>
      <c r="B49" s="30" t="s">
        <v>4974</v>
      </c>
      <c r="C49" s="30">
        <v>39.0</v>
      </c>
      <c r="D49" s="30" t="s">
        <v>4931</v>
      </c>
      <c r="E49" s="30" t="s">
        <v>4858</v>
      </c>
      <c r="F49" s="30">
        <v>34.0</v>
      </c>
      <c r="G49" s="30">
        <v>34.0</v>
      </c>
      <c r="H49" s="30">
        <v>0.0</v>
      </c>
      <c r="I49" s="30">
        <v>202.0</v>
      </c>
      <c r="J49" s="30">
        <v>58.0</v>
      </c>
      <c r="K49" s="30">
        <v>21.0</v>
      </c>
      <c r="L49" s="30">
        <v>36.0</v>
      </c>
      <c r="M49" s="30">
        <v>1.0</v>
      </c>
      <c r="N49" s="30">
        <v>3.0</v>
      </c>
      <c r="O49" s="30">
        <v>0.983</v>
      </c>
      <c r="P49" s="30">
        <v>2.54</v>
      </c>
      <c r="Q49" s="30">
        <v>1.68</v>
      </c>
      <c r="R49" s="30">
        <v>9.0</v>
      </c>
      <c r="S49" s="30">
        <v>3.0</v>
      </c>
      <c r="T49" s="183">
        <v>0.25</v>
      </c>
      <c r="U49" s="30">
        <v>0.0</v>
      </c>
      <c r="V49" s="30" t="s">
        <v>4975</v>
      </c>
    </row>
    <row r="50">
      <c r="A50" s="30">
        <v>86.0</v>
      </c>
      <c r="B50" s="30" t="s">
        <v>4976</v>
      </c>
      <c r="C50" s="30">
        <v>33.0</v>
      </c>
      <c r="D50" s="30" t="s">
        <v>4977</v>
      </c>
      <c r="E50" s="30" t="s">
        <v>4858</v>
      </c>
      <c r="F50" s="30">
        <v>36.0</v>
      </c>
      <c r="G50" s="30">
        <v>35.0</v>
      </c>
      <c r="H50" s="30">
        <v>7.0</v>
      </c>
      <c r="I50" s="30">
        <v>257.0</v>
      </c>
      <c r="J50" s="30">
        <v>74.0</v>
      </c>
      <c r="K50" s="30">
        <v>31.0</v>
      </c>
      <c r="L50" s="30">
        <v>41.0</v>
      </c>
      <c r="M50" s="30">
        <v>2.0</v>
      </c>
      <c r="N50" s="30">
        <v>2.0</v>
      </c>
      <c r="O50" s="30">
        <v>0.973</v>
      </c>
      <c r="P50" s="30">
        <v>2.52</v>
      </c>
      <c r="Q50" s="30">
        <v>2.0</v>
      </c>
      <c r="R50" s="30">
        <v>5.0</v>
      </c>
      <c r="S50" s="30">
        <v>7.0</v>
      </c>
      <c r="T50" s="183">
        <v>0.58</v>
      </c>
      <c r="U50" s="30">
        <v>3.0</v>
      </c>
      <c r="V50" s="30" t="s">
        <v>4978</v>
      </c>
    </row>
    <row r="51">
      <c r="A51" s="30">
        <v>87.0</v>
      </c>
      <c r="B51" s="30" t="s">
        <v>4979</v>
      </c>
      <c r="C51" s="30">
        <v>29.0</v>
      </c>
      <c r="D51" s="30" t="s">
        <v>4980</v>
      </c>
      <c r="E51" s="30" t="s">
        <v>4858</v>
      </c>
      <c r="F51" s="30">
        <v>70.0</v>
      </c>
      <c r="G51" s="30">
        <v>0.0</v>
      </c>
      <c r="H51" s="30">
        <v>0.0</v>
      </c>
      <c r="I51" s="30">
        <v>50.0</v>
      </c>
      <c r="J51" s="30">
        <v>16.0</v>
      </c>
      <c r="K51" s="30">
        <v>3.0</v>
      </c>
      <c r="L51" s="30">
        <v>11.0</v>
      </c>
      <c r="M51" s="30">
        <v>2.0</v>
      </c>
      <c r="N51" s="30">
        <v>4.0</v>
      </c>
      <c r="O51" s="30">
        <v>0.875</v>
      </c>
      <c r="P51" s="30">
        <v>2.52</v>
      </c>
      <c r="Q51" s="30">
        <v>0.2</v>
      </c>
      <c r="R51" s="30">
        <v>6.0</v>
      </c>
      <c r="S51" s="30">
        <v>2.0</v>
      </c>
      <c r="T51" s="183">
        <v>0.25</v>
      </c>
      <c r="U51" s="30">
        <v>1.0</v>
      </c>
      <c r="V51" s="30" t="s">
        <v>4981</v>
      </c>
    </row>
    <row r="52">
      <c r="A52" s="30">
        <v>88.0</v>
      </c>
      <c r="B52" s="30" t="s">
        <v>4982</v>
      </c>
      <c r="C52" s="30">
        <v>29.0</v>
      </c>
      <c r="D52" s="30" t="s">
        <v>4980</v>
      </c>
      <c r="E52" s="30" t="s">
        <v>4858</v>
      </c>
      <c r="F52" s="30">
        <v>72.0</v>
      </c>
      <c r="G52" s="30">
        <v>0.0</v>
      </c>
      <c r="H52" s="30">
        <v>0.0</v>
      </c>
      <c r="I52" s="30">
        <v>82.1</v>
      </c>
      <c r="J52" s="30">
        <v>25.0</v>
      </c>
      <c r="K52" s="30">
        <v>10.0</v>
      </c>
      <c r="L52" s="30">
        <v>13.0</v>
      </c>
      <c r="M52" s="30">
        <v>2.0</v>
      </c>
      <c r="N52" s="30">
        <v>1.0</v>
      </c>
      <c r="O52" s="30">
        <v>0.92</v>
      </c>
      <c r="P52" s="30">
        <v>2.51</v>
      </c>
      <c r="Q52" s="30">
        <v>0.32</v>
      </c>
      <c r="R52" s="30">
        <v>8.0</v>
      </c>
      <c r="S52" s="30">
        <v>1.0</v>
      </c>
      <c r="T52" s="183">
        <v>0.11</v>
      </c>
      <c r="U52" s="30">
        <v>0.0</v>
      </c>
      <c r="V52" s="30" t="s">
        <v>4983</v>
      </c>
    </row>
    <row r="53">
      <c r="A53" s="30">
        <v>91.0</v>
      </c>
      <c r="B53" s="30" t="s">
        <v>4984</v>
      </c>
      <c r="C53" s="30">
        <v>26.0</v>
      </c>
      <c r="D53" s="30" t="s">
        <v>4944</v>
      </c>
      <c r="E53" s="30" t="s">
        <v>4868</v>
      </c>
      <c r="F53" s="30">
        <v>41.0</v>
      </c>
      <c r="G53" s="30">
        <v>14.0</v>
      </c>
      <c r="H53" s="30">
        <v>1.0</v>
      </c>
      <c r="I53" s="30">
        <v>130.1</v>
      </c>
      <c r="J53" s="30">
        <v>37.0</v>
      </c>
      <c r="K53" s="30">
        <v>11.0</v>
      </c>
      <c r="L53" s="30">
        <v>25.0</v>
      </c>
      <c r="M53" s="30">
        <v>1.0</v>
      </c>
      <c r="N53" s="30">
        <v>3.0</v>
      </c>
      <c r="O53" s="30">
        <v>0.973</v>
      </c>
      <c r="P53" s="30">
        <v>2.49</v>
      </c>
      <c r="Q53" s="30">
        <v>0.88</v>
      </c>
      <c r="R53" s="30">
        <v>2.0</v>
      </c>
      <c r="S53" s="30">
        <v>4.0</v>
      </c>
      <c r="T53" s="183">
        <v>0.67</v>
      </c>
      <c r="U53" s="30">
        <v>0.0</v>
      </c>
      <c r="V53" s="30" t="s">
        <v>4985</v>
      </c>
    </row>
    <row r="54">
      <c r="A54" s="30">
        <v>90.0</v>
      </c>
      <c r="B54" s="30" t="s">
        <v>4986</v>
      </c>
      <c r="C54" s="30">
        <v>28.0</v>
      </c>
      <c r="D54" s="30" t="s">
        <v>4944</v>
      </c>
      <c r="E54" s="30" t="s">
        <v>4868</v>
      </c>
      <c r="F54" s="30">
        <v>54.0</v>
      </c>
      <c r="G54" s="30">
        <v>0.0</v>
      </c>
      <c r="H54" s="30">
        <v>0.0</v>
      </c>
      <c r="I54" s="30">
        <v>61.1</v>
      </c>
      <c r="J54" s="30">
        <v>17.0</v>
      </c>
      <c r="K54" s="30">
        <v>3.0</v>
      </c>
      <c r="L54" s="30">
        <v>14.0</v>
      </c>
      <c r="M54" s="30">
        <v>0.0</v>
      </c>
      <c r="N54" s="30">
        <v>1.0</v>
      </c>
      <c r="O54" s="30">
        <v>1.0</v>
      </c>
      <c r="P54" s="30">
        <v>2.49</v>
      </c>
      <c r="Q54" s="30">
        <v>0.31</v>
      </c>
      <c r="R54" s="30">
        <v>2.0</v>
      </c>
      <c r="S54" s="30">
        <v>0.0</v>
      </c>
      <c r="T54" s="183">
        <v>0.0</v>
      </c>
      <c r="U54" s="30">
        <v>1.0</v>
      </c>
      <c r="V54" s="30" t="s">
        <v>4987</v>
      </c>
    </row>
    <row r="55">
      <c r="A55" s="30">
        <v>93.0</v>
      </c>
      <c r="B55" s="30" t="s">
        <v>4988</v>
      </c>
      <c r="C55" s="30">
        <v>30.0</v>
      </c>
      <c r="D55" s="30" t="s">
        <v>4857</v>
      </c>
      <c r="E55" s="30" t="s">
        <v>4858</v>
      </c>
      <c r="F55" s="30">
        <v>15.0</v>
      </c>
      <c r="G55" s="30">
        <v>15.0</v>
      </c>
      <c r="H55" s="30">
        <v>1.0</v>
      </c>
      <c r="I55" s="30">
        <v>101.2</v>
      </c>
      <c r="J55" s="30">
        <v>28.0</v>
      </c>
      <c r="K55" s="30">
        <v>11.0</v>
      </c>
      <c r="L55" s="30">
        <v>17.0</v>
      </c>
      <c r="M55" s="30">
        <v>0.0</v>
      </c>
      <c r="N55" s="30">
        <v>1.0</v>
      </c>
      <c r="O55" s="30">
        <v>1.0</v>
      </c>
      <c r="P55" s="30">
        <v>2.48</v>
      </c>
      <c r="Q55" s="30">
        <v>1.87</v>
      </c>
      <c r="R55" s="30">
        <v>4.0</v>
      </c>
      <c r="S55" s="30">
        <v>4.0</v>
      </c>
      <c r="T55" s="183">
        <v>0.5</v>
      </c>
      <c r="U55" s="30">
        <v>0.0</v>
      </c>
      <c r="V55" s="30" t="s">
        <v>4989</v>
      </c>
    </row>
    <row r="56">
      <c r="A56" s="30">
        <v>92.0</v>
      </c>
      <c r="B56" s="30" t="s">
        <v>4990</v>
      </c>
      <c r="C56" s="30">
        <v>27.0</v>
      </c>
      <c r="D56" s="30" t="s">
        <v>4877</v>
      </c>
      <c r="E56" s="30" t="s">
        <v>4858</v>
      </c>
      <c r="F56" s="30">
        <v>41.0</v>
      </c>
      <c r="G56" s="30">
        <v>0.0</v>
      </c>
      <c r="H56" s="30">
        <v>0.0</v>
      </c>
      <c r="I56" s="30">
        <v>54.1</v>
      </c>
      <c r="J56" s="30">
        <v>15.0</v>
      </c>
      <c r="K56" s="30">
        <v>2.0</v>
      </c>
      <c r="L56" s="30">
        <v>13.0</v>
      </c>
      <c r="M56" s="30">
        <v>0.0</v>
      </c>
      <c r="N56" s="30">
        <v>0.0</v>
      </c>
      <c r="O56" s="30">
        <v>1.0</v>
      </c>
      <c r="P56" s="30">
        <v>2.48</v>
      </c>
      <c r="Q56" s="30">
        <v>0.37</v>
      </c>
      <c r="R56" s="30">
        <v>10.0</v>
      </c>
      <c r="S56" s="30">
        <v>0.0</v>
      </c>
      <c r="T56" s="183">
        <v>0.0</v>
      </c>
      <c r="U56" s="30">
        <v>0.0</v>
      </c>
      <c r="V56" s="30" t="s">
        <v>4991</v>
      </c>
    </row>
    <row r="57">
      <c r="A57" s="30">
        <v>94.0</v>
      </c>
      <c r="B57" s="30" t="s">
        <v>4992</v>
      </c>
      <c r="C57" s="30">
        <v>30.0</v>
      </c>
      <c r="D57" s="30" t="s">
        <v>4864</v>
      </c>
      <c r="E57" s="30" t="s">
        <v>4858</v>
      </c>
      <c r="F57" s="30">
        <v>35.0</v>
      </c>
      <c r="G57" s="30">
        <v>35.0</v>
      </c>
      <c r="H57" s="30">
        <v>3.0</v>
      </c>
      <c r="I57" s="30">
        <v>233.1</v>
      </c>
      <c r="J57" s="30">
        <v>66.0</v>
      </c>
      <c r="K57" s="30">
        <v>24.0</v>
      </c>
      <c r="L57" s="30">
        <v>40.0</v>
      </c>
      <c r="M57" s="30">
        <v>2.0</v>
      </c>
      <c r="N57" s="30">
        <v>9.0</v>
      </c>
      <c r="O57" s="30">
        <v>0.97</v>
      </c>
      <c r="P57" s="30">
        <v>2.47</v>
      </c>
      <c r="Q57" s="30">
        <v>1.83</v>
      </c>
      <c r="R57" s="30">
        <v>6.0</v>
      </c>
      <c r="S57" s="30">
        <v>11.0</v>
      </c>
      <c r="T57" s="183">
        <v>0.65</v>
      </c>
      <c r="U57" s="30">
        <v>1.0</v>
      </c>
      <c r="V57" s="30" t="s">
        <v>4993</v>
      </c>
    </row>
    <row r="58">
      <c r="A58" s="30">
        <v>95.0</v>
      </c>
      <c r="B58" s="30" t="s">
        <v>4994</v>
      </c>
      <c r="C58" s="30">
        <v>26.0</v>
      </c>
      <c r="D58" s="30" t="s">
        <v>4947</v>
      </c>
      <c r="E58" s="30" t="s">
        <v>4858</v>
      </c>
      <c r="F58" s="30">
        <v>32.0</v>
      </c>
      <c r="G58" s="30">
        <v>32.0</v>
      </c>
      <c r="H58" s="30">
        <v>2.0</v>
      </c>
      <c r="I58" s="30">
        <v>208.0</v>
      </c>
      <c r="J58" s="30">
        <v>59.0</v>
      </c>
      <c r="K58" s="30">
        <v>11.0</v>
      </c>
      <c r="L58" s="30">
        <v>46.0</v>
      </c>
      <c r="M58" s="30">
        <v>2.0</v>
      </c>
      <c r="N58" s="30">
        <v>4.0</v>
      </c>
      <c r="O58" s="30">
        <v>0.966</v>
      </c>
      <c r="P58" s="30">
        <v>2.47</v>
      </c>
      <c r="Q58" s="30">
        <v>1.78</v>
      </c>
      <c r="R58" s="30">
        <v>4.0</v>
      </c>
      <c r="S58" s="30">
        <v>9.0</v>
      </c>
      <c r="T58" s="183">
        <v>0.69</v>
      </c>
      <c r="U58" s="30">
        <v>9.0</v>
      </c>
      <c r="V58" s="30" t="s">
        <v>4995</v>
      </c>
    </row>
    <row r="59">
      <c r="A59" s="30">
        <v>96.0</v>
      </c>
      <c r="B59" s="30" t="s">
        <v>4996</v>
      </c>
      <c r="C59" s="30">
        <v>27.0</v>
      </c>
      <c r="D59" s="30" t="s">
        <v>289</v>
      </c>
      <c r="E59" s="30" t="s">
        <v>4858</v>
      </c>
      <c r="F59" s="30">
        <v>33.0</v>
      </c>
      <c r="G59" s="30">
        <v>33.0</v>
      </c>
      <c r="H59" s="30">
        <v>1.0</v>
      </c>
      <c r="I59" s="30">
        <v>208.0</v>
      </c>
      <c r="J59" s="30">
        <v>59.0</v>
      </c>
      <c r="K59" s="30">
        <v>23.0</v>
      </c>
      <c r="L59" s="30">
        <v>34.0</v>
      </c>
      <c r="M59" s="30">
        <v>2.0</v>
      </c>
      <c r="N59" s="30">
        <v>1.0</v>
      </c>
      <c r="O59" s="30">
        <v>0.966</v>
      </c>
      <c r="P59" s="30">
        <v>2.47</v>
      </c>
      <c r="Q59" s="30">
        <v>1.73</v>
      </c>
      <c r="R59" s="30">
        <v>8.0</v>
      </c>
      <c r="S59" s="30">
        <v>8.0</v>
      </c>
      <c r="T59" s="183">
        <v>0.5</v>
      </c>
      <c r="U59" s="30">
        <v>4.0</v>
      </c>
      <c r="V59" s="30" t="s">
        <v>4997</v>
      </c>
    </row>
    <row r="60">
      <c r="A60" s="30">
        <v>97.0</v>
      </c>
      <c r="B60" s="30" t="s">
        <v>4998</v>
      </c>
      <c r="C60" s="30">
        <v>41.0</v>
      </c>
      <c r="D60" s="30" t="s">
        <v>4893</v>
      </c>
      <c r="E60" s="30" t="s">
        <v>4868</v>
      </c>
      <c r="F60" s="30">
        <v>33.0</v>
      </c>
      <c r="G60" s="30">
        <v>33.0</v>
      </c>
      <c r="H60" s="30">
        <v>3.0</v>
      </c>
      <c r="I60" s="30">
        <v>201.0</v>
      </c>
      <c r="J60" s="30">
        <v>56.0</v>
      </c>
      <c r="K60" s="30">
        <v>16.0</v>
      </c>
      <c r="L60" s="30">
        <v>39.0</v>
      </c>
      <c r="M60" s="30">
        <v>1.0</v>
      </c>
      <c r="N60" s="30">
        <v>2.0</v>
      </c>
      <c r="O60" s="30">
        <v>0.982</v>
      </c>
      <c r="P60" s="30">
        <v>2.46</v>
      </c>
      <c r="Q60" s="30">
        <v>1.67</v>
      </c>
      <c r="R60" s="30">
        <v>22.0</v>
      </c>
      <c r="S60" s="30">
        <v>7.0</v>
      </c>
      <c r="T60" s="183">
        <v>0.24</v>
      </c>
      <c r="U60" s="30">
        <v>1.0</v>
      </c>
      <c r="V60" s="30" t="s">
        <v>4999</v>
      </c>
    </row>
    <row r="61">
      <c r="A61" s="30">
        <v>98.0</v>
      </c>
      <c r="B61" s="30" t="s">
        <v>5000</v>
      </c>
      <c r="C61" s="30">
        <v>27.0</v>
      </c>
      <c r="D61" s="30" t="s">
        <v>4931</v>
      </c>
      <c r="E61" s="30" t="s">
        <v>4858</v>
      </c>
      <c r="F61" s="30">
        <v>33.0</v>
      </c>
      <c r="G61" s="30">
        <v>33.0</v>
      </c>
      <c r="H61" s="30">
        <v>1.0</v>
      </c>
      <c r="I61" s="30">
        <v>187.2</v>
      </c>
      <c r="J61" s="30">
        <v>53.0</v>
      </c>
      <c r="K61" s="30">
        <v>12.0</v>
      </c>
      <c r="L61" s="30">
        <v>39.0</v>
      </c>
      <c r="M61" s="30">
        <v>2.0</v>
      </c>
      <c r="N61" s="30">
        <v>2.0</v>
      </c>
      <c r="O61" s="30">
        <v>0.962</v>
      </c>
      <c r="P61" s="30">
        <v>2.45</v>
      </c>
      <c r="Q61" s="30">
        <v>1.55</v>
      </c>
      <c r="R61" s="30">
        <v>5.0</v>
      </c>
      <c r="S61" s="30">
        <v>4.0</v>
      </c>
      <c r="T61" s="183">
        <v>0.44</v>
      </c>
      <c r="U61" s="30">
        <v>2.0</v>
      </c>
      <c r="V61" s="30" t="s">
        <v>5001</v>
      </c>
    </row>
    <row r="62">
      <c r="A62" s="30">
        <v>100.0</v>
      </c>
      <c r="B62" s="30" t="s">
        <v>5002</v>
      </c>
      <c r="C62" s="30">
        <v>28.0</v>
      </c>
      <c r="D62" s="30" t="s">
        <v>5003</v>
      </c>
      <c r="E62" s="30" t="s">
        <v>4868</v>
      </c>
      <c r="F62" s="30">
        <v>42.0</v>
      </c>
      <c r="G62" s="30">
        <v>16.0</v>
      </c>
      <c r="H62" s="30">
        <v>0.0</v>
      </c>
      <c r="I62" s="30">
        <v>133.0</v>
      </c>
      <c r="J62" s="30">
        <v>39.0</v>
      </c>
      <c r="K62" s="30">
        <v>14.0</v>
      </c>
      <c r="L62" s="30">
        <v>22.0</v>
      </c>
      <c r="M62" s="30">
        <v>3.0</v>
      </c>
      <c r="N62" s="30">
        <v>5.0</v>
      </c>
      <c r="O62" s="30">
        <v>0.923</v>
      </c>
      <c r="P62" s="30">
        <v>2.44</v>
      </c>
      <c r="Q62" s="30">
        <v>0.86</v>
      </c>
      <c r="R62" s="30">
        <v>8.0</v>
      </c>
      <c r="S62" s="30">
        <v>6.0</v>
      </c>
      <c r="T62" s="183">
        <v>0.43</v>
      </c>
      <c r="U62" s="30">
        <v>0.0</v>
      </c>
      <c r="V62" s="30" t="s">
        <v>5004</v>
      </c>
    </row>
    <row r="63">
      <c r="A63" s="30">
        <v>99.0</v>
      </c>
      <c r="B63" s="30" t="s">
        <v>5005</v>
      </c>
      <c r="C63" s="30">
        <v>26.0</v>
      </c>
      <c r="D63" s="30" t="s">
        <v>4980</v>
      </c>
      <c r="E63" s="30" t="s">
        <v>4858</v>
      </c>
      <c r="F63" s="30">
        <v>9.0</v>
      </c>
      <c r="G63" s="30">
        <v>9.0</v>
      </c>
      <c r="H63" s="30">
        <v>0.0</v>
      </c>
      <c r="I63" s="30">
        <v>48.0</v>
      </c>
      <c r="J63" s="30">
        <v>13.0</v>
      </c>
      <c r="K63" s="30">
        <v>3.0</v>
      </c>
      <c r="L63" s="30">
        <v>10.0</v>
      </c>
      <c r="M63" s="30">
        <v>0.0</v>
      </c>
      <c r="N63" s="30">
        <v>1.0</v>
      </c>
      <c r="O63" s="30">
        <v>1.0</v>
      </c>
      <c r="P63" s="30">
        <v>2.44</v>
      </c>
      <c r="Q63" s="30">
        <v>1.44</v>
      </c>
      <c r="R63" s="30">
        <v>2.0</v>
      </c>
      <c r="S63" s="30">
        <v>0.0</v>
      </c>
      <c r="T63" s="183">
        <v>0.0</v>
      </c>
      <c r="U63" s="30">
        <v>0.0</v>
      </c>
      <c r="V63" s="30" t="s">
        <v>5006</v>
      </c>
    </row>
    <row r="64">
      <c r="A64" s="30">
        <v>101.0</v>
      </c>
      <c r="B64" s="30" t="s">
        <v>5007</v>
      </c>
      <c r="C64" s="30">
        <v>24.0</v>
      </c>
      <c r="D64" s="30" t="s">
        <v>5008</v>
      </c>
      <c r="E64" s="30" t="s">
        <v>4858</v>
      </c>
      <c r="F64" s="30">
        <v>62.0</v>
      </c>
      <c r="G64" s="30">
        <v>0.0</v>
      </c>
      <c r="H64" s="30">
        <v>0.0</v>
      </c>
      <c r="I64" s="30">
        <v>81.1</v>
      </c>
      <c r="J64" s="30">
        <v>24.0</v>
      </c>
      <c r="K64" s="30">
        <v>7.0</v>
      </c>
      <c r="L64" s="30">
        <v>15.0</v>
      </c>
      <c r="M64" s="30">
        <v>2.0</v>
      </c>
      <c r="N64" s="30">
        <v>0.0</v>
      </c>
      <c r="O64" s="30">
        <v>0.917</v>
      </c>
      <c r="P64" s="30">
        <v>2.43</v>
      </c>
      <c r="Q64" s="30">
        <v>0.35</v>
      </c>
      <c r="R64" s="30">
        <v>6.0</v>
      </c>
      <c r="S64" s="30">
        <v>2.0</v>
      </c>
      <c r="T64" s="183">
        <v>0.25</v>
      </c>
      <c r="U64" s="30">
        <v>0.0</v>
      </c>
      <c r="V64" s="30" t="s">
        <v>5009</v>
      </c>
    </row>
    <row r="65">
      <c r="A65" s="30">
        <v>102.0</v>
      </c>
      <c r="B65" s="30" t="s">
        <v>5010</v>
      </c>
      <c r="C65" s="30">
        <v>33.0</v>
      </c>
      <c r="D65" s="30" t="s">
        <v>5003</v>
      </c>
      <c r="E65" s="30" t="s">
        <v>4868</v>
      </c>
      <c r="F65" s="30">
        <v>31.0</v>
      </c>
      <c r="G65" s="30">
        <v>3.0</v>
      </c>
      <c r="H65" s="30">
        <v>0.0</v>
      </c>
      <c r="I65" s="30">
        <v>59.1</v>
      </c>
      <c r="J65" s="30">
        <v>16.0</v>
      </c>
      <c r="K65" s="30">
        <v>2.0</v>
      </c>
      <c r="L65" s="30">
        <v>14.0</v>
      </c>
      <c r="M65" s="30">
        <v>0.0</v>
      </c>
      <c r="N65" s="30">
        <v>2.0</v>
      </c>
      <c r="O65" s="30">
        <v>1.0</v>
      </c>
      <c r="P65" s="30">
        <v>2.43</v>
      </c>
      <c r="Q65" s="30">
        <v>0.52</v>
      </c>
      <c r="R65" s="30">
        <v>11.0</v>
      </c>
      <c r="S65" s="30">
        <v>3.0</v>
      </c>
      <c r="T65" s="183">
        <v>0.21</v>
      </c>
      <c r="U65" s="30">
        <v>0.0</v>
      </c>
      <c r="V65" s="30" t="s">
        <v>5011</v>
      </c>
    </row>
    <row r="66">
      <c r="A66" s="30">
        <v>104.0</v>
      </c>
      <c r="B66" s="30" t="s">
        <v>5012</v>
      </c>
      <c r="C66" s="30">
        <v>32.0</v>
      </c>
      <c r="D66" s="30" t="s">
        <v>4883</v>
      </c>
      <c r="E66" s="30" t="s">
        <v>4858</v>
      </c>
      <c r="F66" s="30">
        <v>33.0</v>
      </c>
      <c r="G66" s="30">
        <v>33.0</v>
      </c>
      <c r="H66" s="30">
        <v>4.0</v>
      </c>
      <c r="I66" s="30">
        <v>229.1</v>
      </c>
      <c r="J66" s="30">
        <v>62.0</v>
      </c>
      <c r="K66" s="30">
        <v>11.0</v>
      </c>
      <c r="L66" s="30">
        <v>50.0</v>
      </c>
      <c r="M66" s="30">
        <v>1.0</v>
      </c>
      <c r="N66" s="30">
        <v>3.0</v>
      </c>
      <c r="O66" s="30">
        <v>0.984</v>
      </c>
      <c r="P66" s="30">
        <v>2.39</v>
      </c>
      <c r="Q66" s="30">
        <v>1.85</v>
      </c>
      <c r="R66" s="30">
        <v>6.0</v>
      </c>
      <c r="S66" s="30">
        <v>7.0</v>
      </c>
      <c r="T66" s="183">
        <v>0.54</v>
      </c>
      <c r="U66" s="30">
        <v>0.0</v>
      </c>
      <c r="V66" s="30" t="s">
        <v>5013</v>
      </c>
    </row>
    <row r="67">
      <c r="A67" s="30">
        <v>105.0</v>
      </c>
      <c r="B67" s="30" t="s">
        <v>5014</v>
      </c>
      <c r="C67" s="30">
        <v>33.0</v>
      </c>
      <c r="D67" s="30" t="s">
        <v>4937</v>
      </c>
      <c r="E67" s="30" t="s">
        <v>4868</v>
      </c>
      <c r="F67" s="30">
        <v>69.0</v>
      </c>
      <c r="G67" s="30">
        <v>0.0</v>
      </c>
      <c r="H67" s="30">
        <v>0.0</v>
      </c>
      <c r="I67" s="30">
        <v>64.0</v>
      </c>
      <c r="J67" s="30">
        <v>18.0</v>
      </c>
      <c r="K67" s="30">
        <v>6.0</v>
      </c>
      <c r="L67" s="30">
        <v>11.0</v>
      </c>
      <c r="M67" s="30">
        <v>1.0</v>
      </c>
      <c r="N67" s="30">
        <v>2.0</v>
      </c>
      <c r="O67" s="30">
        <v>0.944</v>
      </c>
      <c r="P67" s="30">
        <v>2.39</v>
      </c>
      <c r="Q67" s="30">
        <v>0.25</v>
      </c>
      <c r="R67" s="30">
        <v>1.0</v>
      </c>
      <c r="S67" s="30">
        <v>4.0</v>
      </c>
      <c r="T67" s="183">
        <v>0.8</v>
      </c>
      <c r="U67" s="30">
        <v>1.0</v>
      </c>
      <c r="V67" s="30" t="s">
        <v>5015</v>
      </c>
    </row>
    <row r="68">
      <c r="A68" s="30">
        <v>108.0</v>
      </c>
      <c r="B68" s="30" t="s">
        <v>5016</v>
      </c>
      <c r="C68" s="30">
        <v>29.0</v>
      </c>
      <c r="D68" s="30" t="s">
        <v>4934</v>
      </c>
      <c r="E68" s="30" t="s">
        <v>4858</v>
      </c>
      <c r="F68" s="30">
        <v>41.0</v>
      </c>
      <c r="G68" s="30">
        <v>13.0</v>
      </c>
      <c r="H68" s="30">
        <v>1.0</v>
      </c>
      <c r="I68" s="30">
        <v>125.0</v>
      </c>
      <c r="J68" s="30">
        <v>36.0</v>
      </c>
      <c r="K68" s="30">
        <v>9.0</v>
      </c>
      <c r="L68" s="30">
        <v>24.0</v>
      </c>
      <c r="M68" s="30">
        <v>3.0</v>
      </c>
      <c r="N68" s="30">
        <v>4.0</v>
      </c>
      <c r="O68" s="30">
        <v>0.917</v>
      </c>
      <c r="P68" s="30">
        <v>2.38</v>
      </c>
      <c r="Q68" s="30">
        <v>0.8</v>
      </c>
      <c r="R68" s="30">
        <v>10.0</v>
      </c>
      <c r="S68" s="30">
        <v>6.0</v>
      </c>
      <c r="T68" s="183">
        <v>0.38</v>
      </c>
      <c r="U68" s="30">
        <v>1.0</v>
      </c>
      <c r="V68" s="30" t="s">
        <v>5017</v>
      </c>
    </row>
    <row r="69">
      <c r="A69" s="30">
        <v>109.0</v>
      </c>
      <c r="B69" s="30" t="s">
        <v>5018</v>
      </c>
      <c r="C69" s="30">
        <v>26.0</v>
      </c>
      <c r="D69" s="30" t="s">
        <v>4601</v>
      </c>
      <c r="E69" s="30" t="s">
        <v>4898</v>
      </c>
      <c r="F69" s="30">
        <v>35.0</v>
      </c>
      <c r="G69" s="30">
        <v>28.0</v>
      </c>
      <c r="H69" s="30">
        <v>1.0</v>
      </c>
      <c r="I69" s="30">
        <v>171.0</v>
      </c>
      <c r="J69" s="30">
        <v>45.0</v>
      </c>
      <c r="K69" s="30">
        <v>21.0</v>
      </c>
      <c r="L69" s="30">
        <v>24.0</v>
      </c>
      <c r="M69" s="30">
        <v>0.0</v>
      </c>
      <c r="N69" s="30">
        <v>3.0</v>
      </c>
      <c r="O69" s="30">
        <v>1.0</v>
      </c>
      <c r="P69" s="30">
        <v>2.37</v>
      </c>
      <c r="Q69" s="30">
        <v>1.29</v>
      </c>
      <c r="R69" s="30">
        <v>14.0</v>
      </c>
      <c r="S69" s="30">
        <v>6.0</v>
      </c>
      <c r="T69" s="183">
        <v>0.3</v>
      </c>
      <c r="U69" s="30">
        <v>0.0</v>
      </c>
      <c r="V69" s="30" t="s">
        <v>5019</v>
      </c>
    </row>
    <row r="70">
      <c r="A70" s="30">
        <v>112.0</v>
      </c>
      <c r="B70" s="30" t="s">
        <v>5020</v>
      </c>
      <c r="C70" s="30">
        <v>23.0</v>
      </c>
      <c r="D70" s="30" t="s">
        <v>5021</v>
      </c>
      <c r="E70" s="30" t="s">
        <v>4858</v>
      </c>
      <c r="F70" s="30">
        <v>34.0</v>
      </c>
      <c r="G70" s="30">
        <v>34.0</v>
      </c>
      <c r="H70" s="30">
        <v>1.0</v>
      </c>
      <c r="I70" s="30">
        <v>206.1</v>
      </c>
      <c r="J70" s="30">
        <v>56.0</v>
      </c>
      <c r="K70" s="30">
        <v>18.0</v>
      </c>
      <c r="L70" s="30">
        <v>36.0</v>
      </c>
      <c r="M70" s="30">
        <v>2.0</v>
      </c>
      <c r="N70" s="30">
        <v>5.0</v>
      </c>
      <c r="O70" s="30">
        <v>0.964</v>
      </c>
      <c r="P70" s="30">
        <v>2.36</v>
      </c>
      <c r="Q70" s="30">
        <v>1.59</v>
      </c>
      <c r="R70" s="30">
        <v>21.0</v>
      </c>
      <c r="S70" s="30">
        <v>7.0</v>
      </c>
      <c r="T70" s="183">
        <v>0.25</v>
      </c>
      <c r="U70" s="30">
        <v>7.0</v>
      </c>
      <c r="V70" s="30" t="s">
        <v>5022</v>
      </c>
    </row>
    <row r="71">
      <c r="A71" s="30">
        <v>110.0</v>
      </c>
      <c r="B71" s="30" t="s">
        <v>5023</v>
      </c>
      <c r="C71" s="30">
        <v>30.0</v>
      </c>
      <c r="D71" s="30" t="s">
        <v>5008</v>
      </c>
      <c r="E71" s="30" t="s">
        <v>4858</v>
      </c>
      <c r="F71" s="30">
        <v>18.0</v>
      </c>
      <c r="G71" s="30">
        <v>16.0</v>
      </c>
      <c r="H71" s="30">
        <v>1.0</v>
      </c>
      <c r="I71" s="30">
        <v>99.0</v>
      </c>
      <c r="J71" s="30">
        <v>26.0</v>
      </c>
      <c r="K71" s="30">
        <v>5.0</v>
      </c>
      <c r="L71" s="30">
        <v>21.0</v>
      </c>
      <c r="M71" s="30">
        <v>0.0</v>
      </c>
      <c r="N71" s="30">
        <v>0.0</v>
      </c>
      <c r="O71" s="30">
        <v>1.0</v>
      </c>
      <c r="P71" s="30">
        <v>2.36</v>
      </c>
      <c r="Q71" s="30">
        <v>1.44</v>
      </c>
      <c r="R71" s="30">
        <v>7.0</v>
      </c>
      <c r="S71" s="30">
        <v>3.0</v>
      </c>
      <c r="T71" s="183">
        <v>0.3</v>
      </c>
      <c r="U71" s="30">
        <v>0.0</v>
      </c>
      <c r="V71" s="30" t="s">
        <v>5024</v>
      </c>
    </row>
    <row r="72">
      <c r="A72" s="30">
        <v>111.0</v>
      </c>
      <c r="B72" s="30" t="s">
        <v>5025</v>
      </c>
      <c r="C72" s="30">
        <v>25.0</v>
      </c>
      <c r="D72" s="30" t="s">
        <v>4861</v>
      </c>
      <c r="E72" s="30" t="s">
        <v>4858</v>
      </c>
      <c r="F72" s="30">
        <v>13.0</v>
      </c>
      <c r="G72" s="30">
        <v>11.0</v>
      </c>
      <c r="H72" s="30">
        <v>0.0</v>
      </c>
      <c r="I72" s="30">
        <v>61.0</v>
      </c>
      <c r="J72" s="30">
        <v>16.0</v>
      </c>
      <c r="K72" s="30">
        <v>6.0</v>
      </c>
      <c r="L72" s="30">
        <v>10.0</v>
      </c>
      <c r="M72" s="30">
        <v>0.0</v>
      </c>
      <c r="N72" s="30">
        <v>0.0</v>
      </c>
      <c r="O72" s="30">
        <v>1.0</v>
      </c>
      <c r="P72" s="30">
        <v>2.36</v>
      </c>
      <c r="Q72" s="30">
        <v>1.23</v>
      </c>
      <c r="R72" s="30">
        <v>10.0</v>
      </c>
      <c r="S72" s="30">
        <v>3.0</v>
      </c>
      <c r="T72" s="183">
        <v>0.23</v>
      </c>
      <c r="U72" s="30">
        <v>1.0</v>
      </c>
      <c r="V72" s="30" t="s">
        <v>5026</v>
      </c>
    </row>
    <row r="73">
      <c r="A73" s="30">
        <v>114.0</v>
      </c>
      <c r="B73" s="30" t="s">
        <v>5027</v>
      </c>
      <c r="C73" s="30">
        <v>26.0</v>
      </c>
      <c r="D73" s="30" t="s">
        <v>4980</v>
      </c>
      <c r="E73" s="30" t="s">
        <v>4858</v>
      </c>
      <c r="F73" s="30">
        <v>33.0</v>
      </c>
      <c r="G73" s="30">
        <v>33.0</v>
      </c>
      <c r="H73" s="30">
        <v>0.0</v>
      </c>
      <c r="I73" s="30">
        <v>192.1</v>
      </c>
      <c r="J73" s="30">
        <v>50.0</v>
      </c>
      <c r="K73" s="30">
        <v>12.0</v>
      </c>
      <c r="L73" s="30">
        <v>38.0</v>
      </c>
      <c r="M73" s="30">
        <v>0.0</v>
      </c>
      <c r="N73" s="30">
        <v>3.0</v>
      </c>
      <c r="O73" s="30">
        <v>1.0</v>
      </c>
      <c r="P73" s="30">
        <v>2.34</v>
      </c>
      <c r="Q73" s="30">
        <v>1.52</v>
      </c>
      <c r="R73" s="30">
        <v>11.0</v>
      </c>
      <c r="S73" s="30">
        <v>4.0</v>
      </c>
      <c r="T73" s="183">
        <v>0.27</v>
      </c>
      <c r="U73" s="30">
        <v>1.0</v>
      </c>
      <c r="V73" s="30" t="s">
        <v>5028</v>
      </c>
    </row>
    <row r="74">
      <c r="A74" s="30">
        <v>115.0</v>
      </c>
      <c r="B74" s="30" t="s">
        <v>5029</v>
      </c>
      <c r="C74" s="30">
        <v>28.0</v>
      </c>
      <c r="D74" s="30" t="s">
        <v>4867</v>
      </c>
      <c r="E74" s="30" t="s">
        <v>4868</v>
      </c>
      <c r="F74" s="30">
        <v>27.0</v>
      </c>
      <c r="G74" s="30">
        <v>18.0</v>
      </c>
      <c r="H74" s="30">
        <v>0.0</v>
      </c>
      <c r="I74" s="30">
        <v>112.1</v>
      </c>
      <c r="J74" s="30">
        <v>29.0</v>
      </c>
      <c r="K74" s="30">
        <v>11.0</v>
      </c>
      <c r="L74" s="30">
        <v>18.0</v>
      </c>
      <c r="M74" s="30">
        <v>0.0</v>
      </c>
      <c r="N74" s="30">
        <v>5.0</v>
      </c>
      <c r="O74" s="30">
        <v>1.0</v>
      </c>
      <c r="P74" s="30">
        <v>2.32</v>
      </c>
      <c r="Q74" s="30">
        <v>1.07</v>
      </c>
      <c r="R74" s="30">
        <v>11.0</v>
      </c>
      <c r="S74" s="30">
        <v>0.0</v>
      </c>
      <c r="T74" s="183">
        <v>0.0</v>
      </c>
      <c r="U74" s="30">
        <v>0.0</v>
      </c>
      <c r="V74" s="30" t="s">
        <v>5030</v>
      </c>
    </row>
    <row r="75">
      <c r="A75" s="30">
        <v>116.0</v>
      </c>
      <c r="B75" s="30" t="s">
        <v>5031</v>
      </c>
      <c r="C75" s="30">
        <v>32.0</v>
      </c>
      <c r="D75" s="30" t="s">
        <v>4601</v>
      </c>
      <c r="E75" s="30" t="s">
        <v>4898</v>
      </c>
      <c r="F75" s="30">
        <v>34.0</v>
      </c>
      <c r="G75" s="30">
        <v>25.0</v>
      </c>
      <c r="H75" s="30">
        <v>0.0</v>
      </c>
      <c r="I75" s="30">
        <v>175.1</v>
      </c>
      <c r="J75" s="30">
        <v>46.0</v>
      </c>
      <c r="K75" s="30">
        <v>10.0</v>
      </c>
      <c r="L75" s="30">
        <v>35.0</v>
      </c>
      <c r="M75" s="30">
        <v>1.0</v>
      </c>
      <c r="N75" s="30">
        <v>3.0</v>
      </c>
      <c r="O75" s="30">
        <v>0.978</v>
      </c>
      <c r="P75" s="30">
        <v>2.31</v>
      </c>
      <c r="Q75" s="30">
        <v>1.32</v>
      </c>
      <c r="R75" s="30">
        <v>17.0</v>
      </c>
      <c r="S75" s="30">
        <v>11.0</v>
      </c>
      <c r="T75" s="183">
        <v>0.39</v>
      </c>
      <c r="U75" s="30">
        <v>0.0</v>
      </c>
      <c r="V75" s="30" t="s">
        <v>5032</v>
      </c>
    </row>
    <row r="76">
      <c r="A76" s="30">
        <v>117.0</v>
      </c>
      <c r="B76" s="30" t="s">
        <v>5033</v>
      </c>
      <c r="C76" s="30">
        <v>21.0</v>
      </c>
      <c r="D76" s="30" t="s">
        <v>4934</v>
      </c>
      <c r="E76" s="30" t="s">
        <v>4858</v>
      </c>
      <c r="F76" s="30">
        <v>14.0</v>
      </c>
      <c r="G76" s="30">
        <v>11.0</v>
      </c>
      <c r="H76" s="30">
        <v>0.0</v>
      </c>
      <c r="I76" s="30">
        <v>54.2</v>
      </c>
      <c r="J76" s="30">
        <v>14.0</v>
      </c>
      <c r="K76" s="30">
        <v>2.0</v>
      </c>
      <c r="L76" s="30">
        <v>12.0</v>
      </c>
      <c r="M76" s="30">
        <v>0.0</v>
      </c>
      <c r="N76" s="30">
        <v>2.0</v>
      </c>
      <c r="O76" s="30">
        <v>1.0</v>
      </c>
      <c r="P76" s="30">
        <v>2.3</v>
      </c>
      <c r="Q76" s="30">
        <v>1.0</v>
      </c>
      <c r="R76" s="30">
        <v>6.0</v>
      </c>
      <c r="S76" s="30">
        <v>1.0</v>
      </c>
      <c r="T76" s="183">
        <v>0.14</v>
      </c>
      <c r="U76" s="30">
        <v>0.0</v>
      </c>
      <c r="V76" s="30" t="s">
        <v>5034</v>
      </c>
    </row>
    <row r="77">
      <c r="A77" s="30">
        <v>120.0</v>
      </c>
      <c r="B77" s="30" t="s">
        <v>5035</v>
      </c>
      <c r="C77" s="30">
        <v>23.0</v>
      </c>
      <c r="D77" s="30" t="s">
        <v>4880</v>
      </c>
      <c r="E77" s="30" t="s">
        <v>4868</v>
      </c>
      <c r="F77" s="30">
        <v>15.0</v>
      </c>
      <c r="G77" s="30">
        <v>14.0</v>
      </c>
      <c r="H77" s="30">
        <v>1.0</v>
      </c>
      <c r="I77" s="30">
        <v>86.1</v>
      </c>
      <c r="J77" s="30">
        <v>23.0</v>
      </c>
      <c r="K77" s="30">
        <v>8.0</v>
      </c>
      <c r="L77" s="30">
        <v>14.0</v>
      </c>
      <c r="M77" s="30">
        <v>1.0</v>
      </c>
      <c r="N77" s="30">
        <v>0.0</v>
      </c>
      <c r="O77" s="30">
        <v>0.957</v>
      </c>
      <c r="P77" s="30">
        <v>2.29</v>
      </c>
      <c r="Q77" s="30">
        <v>1.47</v>
      </c>
      <c r="R77" s="30">
        <v>2.0</v>
      </c>
      <c r="S77" s="30">
        <v>5.0</v>
      </c>
      <c r="T77" s="183">
        <v>0.71</v>
      </c>
      <c r="U77" s="30">
        <v>1.0</v>
      </c>
      <c r="V77" s="30" t="s">
        <v>5036</v>
      </c>
    </row>
    <row r="78">
      <c r="A78" s="30">
        <v>119.0</v>
      </c>
      <c r="B78" s="30" t="s">
        <v>5037</v>
      </c>
      <c r="C78" s="30">
        <v>29.0</v>
      </c>
      <c r="D78" s="30" t="s">
        <v>5038</v>
      </c>
      <c r="E78" s="30" t="s">
        <v>4858</v>
      </c>
      <c r="F78" s="30">
        <v>37.0</v>
      </c>
      <c r="G78" s="30">
        <v>1.0</v>
      </c>
      <c r="H78" s="30">
        <v>0.0</v>
      </c>
      <c r="I78" s="30">
        <v>51.0</v>
      </c>
      <c r="J78" s="30">
        <v>14.0</v>
      </c>
      <c r="K78" s="30">
        <v>0.0</v>
      </c>
      <c r="L78" s="30">
        <v>13.0</v>
      </c>
      <c r="M78" s="30">
        <v>1.0</v>
      </c>
      <c r="N78" s="30">
        <v>0.0</v>
      </c>
      <c r="O78" s="30">
        <v>0.929</v>
      </c>
      <c r="P78" s="30">
        <v>2.29</v>
      </c>
      <c r="Q78" s="30">
        <v>0.35</v>
      </c>
      <c r="R78" s="30">
        <v>4.0</v>
      </c>
      <c r="S78" s="30">
        <v>5.0</v>
      </c>
      <c r="T78" s="183">
        <v>0.56</v>
      </c>
      <c r="U78" s="30">
        <v>1.0</v>
      </c>
      <c r="V78" s="30" t="s">
        <v>5039</v>
      </c>
    </row>
    <row r="79">
      <c r="A79" s="30">
        <v>121.0</v>
      </c>
      <c r="B79" s="30" t="s">
        <v>5040</v>
      </c>
      <c r="C79" s="30">
        <v>32.0</v>
      </c>
      <c r="D79" s="30" t="s">
        <v>4601</v>
      </c>
      <c r="E79" s="30" t="s">
        <v>4898</v>
      </c>
      <c r="F79" s="30">
        <v>38.0</v>
      </c>
      <c r="G79" s="30">
        <v>0.0</v>
      </c>
      <c r="H79" s="30">
        <v>0.0</v>
      </c>
      <c r="I79" s="30">
        <v>39.1</v>
      </c>
      <c r="J79" s="30">
        <v>10.0</v>
      </c>
      <c r="K79" s="30">
        <v>4.0</v>
      </c>
      <c r="L79" s="30">
        <v>6.0</v>
      </c>
      <c r="M79" s="30">
        <v>0.0</v>
      </c>
      <c r="N79" s="30">
        <v>0.0</v>
      </c>
      <c r="O79" s="30">
        <v>1.0</v>
      </c>
      <c r="P79" s="30">
        <v>2.29</v>
      </c>
      <c r="Q79" s="30">
        <v>0.26</v>
      </c>
      <c r="R79" s="30">
        <v>4.0</v>
      </c>
      <c r="S79" s="30">
        <v>1.0</v>
      </c>
      <c r="T79" s="183">
        <v>0.2</v>
      </c>
      <c r="U79" s="30">
        <v>1.0</v>
      </c>
      <c r="V79" s="30" t="s">
        <v>5041</v>
      </c>
    </row>
    <row r="80">
      <c r="A80" s="30">
        <v>123.0</v>
      </c>
      <c r="B80" s="30" t="s">
        <v>5042</v>
      </c>
      <c r="C80" s="30">
        <v>29.0</v>
      </c>
      <c r="D80" s="30" t="s">
        <v>5021</v>
      </c>
      <c r="E80" s="30" t="s">
        <v>4858</v>
      </c>
      <c r="F80" s="30">
        <v>35.0</v>
      </c>
      <c r="G80" s="30">
        <v>34.0</v>
      </c>
      <c r="H80" s="30">
        <v>0.0</v>
      </c>
      <c r="I80" s="30">
        <v>209.1</v>
      </c>
      <c r="J80" s="30">
        <v>53.0</v>
      </c>
      <c r="K80" s="30">
        <v>22.0</v>
      </c>
      <c r="L80" s="30">
        <v>31.0</v>
      </c>
      <c r="M80" s="30">
        <v>0.0</v>
      </c>
      <c r="N80" s="30">
        <v>3.0</v>
      </c>
      <c r="O80" s="30">
        <v>1.0</v>
      </c>
      <c r="P80" s="30">
        <v>2.28</v>
      </c>
      <c r="Q80" s="30">
        <v>1.51</v>
      </c>
      <c r="R80" s="30">
        <v>15.0</v>
      </c>
      <c r="S80" s="30">
        <v>7.0</v>
      </c>
      <c r="T80" s="183">
        <v>0.32</v>
      </c>
      <c r="U80" s="30">
        <v>0.0</v>
      </c>
      <c r="V80" s="30" t="s">
        <v>5043</v>
      </c>
    </row>
    <row r="81">
      <c r="A81" s="30">
        <v>122.0</v>
      </c>
      <c r="B81" s="30" t="s">
        <v>5044</v>
      </c>
      <c r="C81" s="30">
        <v>28.0</v>
      </c>
      <c r="D81" s="30" t="s">
        <v>5045</v>
      </c>
      <c r="E81" s="30" t="s">
        <v>4858</v>
      </c>
      <c r="F81" s="30">
        <v>39.0</v>
      </c>
      <c r="G81" s="30">
        <v>0.0</v>
      </c>
      <c r="H81" s="30">
        <v>0.0</v>
      </c>
      <c r="I81" s="30">
        <v>43.1</v>
      </c>
      <c r="J81" s="30">
        <v>11.0</v>
      </c>
      <c r="K81" s="30">
        <v>5.0</v>
      </c>
      <c r="L81" s="30">
        <v>6.0</v>
      </c>
      <c r="M81" s="30">
        <v>0.0</v>
      </c>
      <c r="N81" s="30">
        <v>1.0</v>
      </c>
      <c r="O81" s="30">
        <v>1.0</v>
      </c>
      <c r="P81" s="30">
        <v>2.28</v>
      </c>
      <c r="Q81" s="30">
        <v>0.28</v>
      </c>
      <c r="R81" s="30">
        <v>1.0</v>
      </c>
      <c r="S81" s="30">
        <v>0.0</v>
      </c>
      <c r="T81" s="183">
        <v>0.0</v>
      </c>
      <c r="U81" s="30">
        <v>0.0</v>
      </c>
      <c r="V81" s="30" t="s">
        <v>5046</v>
      </c>
    </row>
    <row r="82">
      <c r="A82" s="30">
        <v>124.0</v>
      </c>
      <c r="B82" s="30" t="s">
        <v>5047</v>
      </c>
      <c r="C82" s="30">
        <v>32.0</v>
      </c>
      <c r="D82" s="30" t="s">
        <v>4861</v>
      </c>
      <c r="E82" s="30" t="s">
        <v>4858</v>
      </c>
      <c r="F82" s="30">
        <v>77.0</v>
      </c>
      <c r="G82" s="30">
        <v>0.0</v>
      </c>
      <c r="H82" s="30">
        <v>0.0</v>
      </c>
      <c r="I82" s="30">
        <v>91.0</v>
      </c>
      <c r="J82" s="30">
        <v>24.0</v>
      </c>
      <c r="K82" s="30">
        <v>5.0</v>
      </c>
      <c r="L82" s="30">
        <v>18.0</v>
      </c>
      <c r="M82" s="30">
        <v>1.0</v>
      </c>
      <c r="N82" s="30">
        <v>1.0</v>
      </c>
      <c r="O82" s="30">
        <v>0.958</v>
      </c>
      <c r="P82" s="30">
        <v>2.27</v>
      </c>
      <c r="Q82" s="30">
        <v>0.3</v>
      </c>
      <c r="R82" s="30">
        <v>1.0</v>
      </c>
      <c r="S82" s="30">
        <v>3.0</v>
      </c>
      <c r="T82" s="183">
        <v>0.75</v>
      </c>
      <c r="U82" s="30">
        <v>0.0</v>
      </c>
      <c r="V82" s="30" t="s">
        <v>5048</v>
      </c>
    </row>
    <row r="83">
      <c r="A83" s="30">
        <v>125.0</v>
      </c>
      <c r="B83" s="30" t="s">
        <v>5049</v>
      </c>
      <c r="C83" s="30">
        <v>28.0</v>
      </c>
      <c r="D83" s="30" t="s">
        <v>4871</v>
      </c>
      <c r="E83" s="30" t="s">
        <v>4858</v>
      </c>
      <c r="F83" s="30">
        <v>30.0</v>
      </c>
      <c r="G83" s="30">
        <v>30.0</v>
      </c>
      <c r="H83" s="30">
        <v>0.0</v>
      </c>
      <c r="I83" s="30">
        <v>195.1</v>
      </c>
      <c r="J83" s="30">
        <v>51.0</v>
      </c>
      <c r="K83" s="30">
        <v>14.0</v>
      </c>
      <c r="L83" s="30">
        <v>35.0</v>
      </c>
      <c r="M83" s="30">
        <v>2.0</v>
      </c>
      <c r="N83" s="30">
        <v>3.0</v>
      </c>
      <c r="O83" s="30">
        <v>0.961</v>
      </c>
      <c r="P83" s="30">
        <v>2.26</v>
      </c>
      <c r="Q83" s="30">
        <v>1.63</v>
      </c>
      <c r="R83" s="30">
        <v>20.0</v>
      </c>
      <c r="S83" s="30">
        <v>11.0</v>
      </c>
      <c r="T83" s="183">
        <v>0.35</v>
      </c>
      <c r="U83" s="30">
        <v>1.0</v>
      </c>
      <c r="V83" s="30" t="s">
        <v>5050</v>
      </c>
    </row>
    <row r="84">
      <c r="A84" s="30">
        <v>129.0</v>
      </c>
      <c r="B84" s="30" t="s">
        <v>5051</v>
      </c>
      <c r="C84" s="30">
        <v>24.0</v>
      </c>
      <c r="D84" s="30" t="s">
        <v>4931</v>
      </c>
      <c r="E84" s="30" t="s">
        <v>4858</v>
      </c>
      <c r="F84" s="30">
        <v>22.0</v>
      </c>
      <c r="G84" s="30">
        <v>13.0</v>
      </c>
      <c r="H84" s="30">
        <v>0.0</v>
      </c>
      <c r="I84" s="30">
        <v>88.1</v>
      </c>
      <c r="J84" s="30">
        <v>23.0</v>
      </c>
      <c r="K84" s="30">
        <v>9.0</v>
      </c>
      <c r="L84" s="30">
        <v>13.0</v>
      </c>
      <c r="M84" s="30">
        <v>1.0</v>
      </c>
      <c r="N84" s="30">
        <v>2.0</v>
      </c>
      <c r="O84" s="30">
        <v>0.957</v>
      </c>
      <c r="P84" s="30">
        <v>2.24</v>
      </c>
      <c r="Q84" s="30">
        <v>1.0</v>
      </c>
      <c r="R84" s="30">
        <v>11.0</v>
      </c>
      <c r="S84" s="30">
        <v>4.0</v>
      </c>
      <c r="T84" s="183">
        <v>0.27</v>
      </c>
      <c r="U84" s="30">
        <v>0.0</v>
      </c>
      <c r="V84" s="30" t="s">
        <v>5052</v>
      </c>
    </row>
    <row r="85">
      <c r="A85" s="30">
        <v>130.0</v>
      </c>
      <c r="B85" s="30" t="s">
        <v>5053</v>
      </c>
      <c r="C85" s="30">
        <v>32.0</v>
      </c>
      <c r="D85" s="30" t="s">
        <v>4601</v>
      </c>
      <c r="E85" s="30" t="s">
        <v>4898</v>
      </c>
      <c r="F85" s="30">
        <v>37.0</v>
      </c>
      <c r="G85" s="30">
        <v>12.0</v>
      </c>
      <c r="H85" s="30">
        <v>0.0</v>
      </c>
      <c r="I85" s="30">
        <v>88.1</v>
      </c>
      <c r="J85" s="30">
        <v>23.0</v>
      </c>
      <c r="K85" s="30">
        <v>5.0</v>
      </c>
      <c r="L85" s="30">
        <v>17.0</v>
      </c>
      <c r="M85" s="30">
        <v>1.0</v>
      </c>
      <c r="N85" s="30">
        <v>3.0</v>
      </c>
      <c r="O85" s="30">
        <v>0.957</v>
      </c>
      <c r="P85" s="30">
        <v>2.24</v>
      </c>
      <c r="Q85" s="30">
        <v>0.59</v>
      </c>
      <c r="R85" s="30">
        <v>22.0</v>
      </c>
      <c r="S85" s="30">
        <v>1.0</v>
      </c>
      <c r="T85" s="183">
        <v>0.04</v>
      </c>
      <c r="U85" s="30">
        <v>0.0</v>
      </c>
      <c r="V85" s="30" t="s">
        <v>5054</v>
      </c>
    </row>
    <row r="86">
      <c r="A86" s="30">
        <v>131.0</v>
      </c>
      <c r="B86" s="30" t="s">
        <v>5055</v>
      </c>
      <c r="C86" s="30">
        <v>29.0</v>
      </c>
      <c r="D86" s="30" t="s">
        <v>4601</v>
      </c>
      <c r="E86" s="30" t="s">
        <v>4898</v>
      </c>
      <c r="F86" s="30">
        <v>26.0</v>
      </c>
      <c r="G86" s="30">
        <v>2.0</v>
      </c>
      <c r="H86" s="30">
        <v>0.0</v>
      </c>
      <c r="I86" s="30">
        <v>40.1</v>
      </c>
      <c r="J86" s="30">
        <v>11.0</v>
      </c>
      <c r="K86" s="30">
        <v>5.0</v>
      </c>
      <c r="L86" s="30">
        <v>5.0</v>
      </c>
      <c r="M86" s="30">
        <v>1.0</v>
      </c>
      <c r="N86" s="30">
        <v>0.0</v>
      </c>
      <c r="O86" s="30">
        <v>0.909</v>
      </c>
      <c r="P86" s="30">
        <v>2.23</v>
      </c>
      <c r="Q86" s="30">
        <v>0.38</v>
      </c>
      <c r="R86" s="30">
        <v>6.0</v>
      </c>
      <c r="S86" s="30">
        <v>1.0</v>
      </c>
      <c r="T86" s="183">
        <v>0.14</v>
      </c>
      <c r="U86" s="30">
        <v>0.0</v>
      </c>
      <c r="V86" s="30" t="s">
        <v>5056</v>
      </c>
    </row>
    <row r="87">
      <c r="A87" s="30">
        <v>133.0</v>
      </c>
      <c r="B87" s="30" t="s">
        <v>5057</v>
      </c>
      <c r="C87" s="30">
        <v>35.0</v>
      </c>
      <c r="D87" s="30" t="s">
        <v>5045</v>
      </c>
      <c r="E87" s="30" t="s">
        <v>4858</v>
      </c>
      <c r="F87" s="30">
        <v>26.0</v>
      </c>
      <c r="G87" s="30">
        <v>26.0</v>
      </c>
      <c r="H87" s="30">
        <v>3.0</v>
      </c>
      <c r="I87" s="30">
        <v>166.1</v>
      </c>
      <c r="J87" s="30">
        <v>44.0</v>
      </c>
      <c r="K87" s="30">
        <v>24.0</v>
      </c>
      <c r="L87" s="30">
        <v>17.0</v>
      </c>
      <c r="M87" s="30">
        <v>3.0</v>
      </c>
      <c r="N87" s="30">
        <v>2.0</v>
      </c>
      <c r="O87" s="30">
        <v>0.932</v>
      </c>
      <c r="P87" s="30">
        <v>2.22</v>
      </c>
      <c r="Q87" s="30">
        <v>1.58</v>
      </c>
      <c r="R87" s="30">
        <v>7.0</v>
      </c>
      <c r="S87" s="30">
        <v>2.0</v>
      </c>
      <c r="T87" s="183">
        <v>0.22</v>
      </c>
      <c r="U87" s="30">
        <v>1.0</v>
      </c>
      <c r="V87" s="30" t="s">
        <v>5058</v>
      </c>
    </row>
    <row r="88">
      <c r="A88" s="30">
        <v>134.0</v>
      </c>
      <c r="B88" s="30" t="s">
        <v>5059</v>
      </c>
      <c r="C88" s="30">
        <v>29.0</v>
      </c>
      <c r="D88" s="30" t="s">
        <v>4601</v>
      </c>
      <c r="E88" s="30" t="s">
        <v>4898</v>
      </c>
      <c r="F88" s="30">
        <v>38.0</v>
      </c>
      <c r="G88" s="30">
        <v>12.0</v>
      </c>
      <c r="H88" s="30">
        <v>0.0</v>
      </c>
      <c r="I88" s="30">
        <v>102.1</v>
      </c>
      <c r="J88" s="30">
        <v>25.0</v>
      </c>
      <c r="K88" s="30">
        <v>3.0</v>
      </c>
      <c r="L88" s="30">
        <v>22.0</v>
      </c>
      <c r="M88" s="30">
        <v>0.0</v>
      </c>
      <c r="N88" s="30">
        <v>3.0</v>
      </c>
      <c r="O88" s="30">
        <v>1.0</v>
      </c>
      <c r="P88" s="30">
        <v>2.2</v>
      </c>
      <c r="Q88" s="30">
        <v>0.66</v>
      </c>
      <c r="R88" s="30">
        <v>9.0</v>
      </c>
      <c r="S88" s="30">
        <v>2.0</v>
      </c>
      <c r="T88" s="183">
        <v>0.18</v>
      </c>
      <c r="U88" s="30">
        <v>0.0</v>
      </c>
      <c r="V88" s="30" t="s">
        <v>5060</v>
      </c>
    </row>
    <row r="89">
      <c r="A89" s="30">
        <v>135.0</v>
      </c>
      <c r="B89" s="30" t="s">
        <v>5061</v>
      </c>
      <c r="C89" s="30">
        <v>28.0</v>
      </c>
      <c r="D89" s="30" t="s">
        <v>4877</v>
      </c>
      <c r="E89" s="30" t="s">
        <v>4858</v>
      </c>
      <c r="F89" s="30">
        <v>50.0</v>
      </c>
      <c r="G89" s="30">
        <v>9.0</v>
      </c>
      <c r="H89" s="30">
        <v>0.0</v>
      </c>
      <c r="I89" s="30">
        <v>98.1</v>
      </c>
      <c r="J89" s="30">
        <v>25.0</v>
      </c>
      <c r="K89" s="30">
        <v>6.0</v>
      </c>
      <c r="L89" s="30">
        <v>18.0</v>
      </c>
      <c r="M89" s="30">
        <v>1.0</v>
      </c>
      <c r="N89" s="30">
        <v>0.0</v>
      </c>
      <c r="O89" s="30">
        <v>0.96</v>
      </c>
      <c r="P89" s="30">
        <v>2.2</v>
      </c>
      <c r="Q89" s="30">
        <v>0.48</v>
      </c>
      <c r="R89" s="30">
        <v>2.0</v>
      </c>
      <c r="S89" s="30">
        <v>5.0</v>
      </c>
      <c r="T89" s="183">
        <v>0.71</v>
      </c>
      <c r="U89" s="30">
        <v>2.0</v>
      </c>
      <c r="V89" s="30" t="s">
        <v>5062</v>
      </c>
    </row>
    <row r="90">
      <c r="A90" s="30">
        <v>137.0</v>
      </c>
      <c r="B90" s="30" t="s">
        <v>5063</v>
      </c>
      <c r="C90" s="30">
        <v>25.0</v>
      </c>
      <c r="D90" s="30" t="s">
        <v>4960</v>
      </c>
      <c r="E90" s="30" t="s">
        <v>4868</v>
      </c>
      <c r="F90" s="30">
        <v>20.0</v>
      </c>
      <c r="G90" s="30">
        <v>11.0</v>
      </c>
      <c r="H90" s="30">
        <v>0.0</v>
      </c>
      <c r="I90" s="30">
        <v>70.0</v>
      </c>
      <c r="J90" s="30">
        <v>19.0</v>
      </c>
      <c r="K90" s="30">
        <v>8.0</v>
      </c>
      <c r="L90" s="30">
        <v>9.0</v>
      </c>
      <c r="M90" s="30">
        <v>2.0</v>
      </c>
      <c r="N90" s="30">
        <v>0.0</v>
      </c>
      <c r="O90" s="30">
        <v>0.895</v>
      </c>
      <c r="P90" s="30">
        <v>2.19</v>
      </c>
      <c r="Q90" s="30">
        <v>0.85</v>
      </c>
      <c r="R90" s="30">
        <v>4.0</v>
      </c>
      <c r="S90" s="30">
        <v>3.0</v>
      </c>
      <c r="T90" s="183">
        <v>0.43</v>
      </c>
      <c r="U90" s="30">
        <v>0.0</v>
      </c>
      <c r="V90" s="30" t="s">
        <v>5064</v>
      </c>
    </row>
    <row r="91">
      <c r="A91" s="30">
        <v>136.0</v>
      </c>
      <c r="B91" s="30" t="s">
        <v>5065</v>
      </c>
      <c r="C91" s="30">
        <v>28.0</v>
      </c>
      <c r="D91" s="30" t="s">
        <v>4960</v>
      </c>
      <c r="E91" s="30" t="s">
        <v>4868</v>
      </c>
      <c r="F91" s="30">
        <v>63.0</v>
      </c>
      <c r="G91" s="30">
        <v>0.0</v>
      </c>
      <c r="H91" s="30">
        <v>0.0</v>
      </c>
      <c r="I91" s="30">
        <v>61.2</v>
      </c>
      <c r="J91" s="30">
        <v>15.0</v>
      </c>
      <c r="K91" s="30">
        <v>9.0</v>
      </c>
      <c r="L91" s="30">
        <v>6.0</v>
      </c>
      <c r="M91" s="30">
        <v>0.0</v>
      </c>
      <c r="N91" s="30">
        <v>0.0</v>
      </c>
      <c r="O91" s="30">
        <v>1.0</v>
      </c>
      <c r="P91" s="30">
        <v>2.19</v>
      </c>
      <c r="Q91" s="30">
        <v>0.24</v>
      </c>
      <c r="R91" s="30">
        <v>5.0</v>
      </c>
      <c r="S91" s="30">
        <v>1.0</v>
      </c>
      <c r="T91" s="183">
        <v>0.17</v>
      </c>
      <c r="U91" s="30">
        <v>0.0</v>
      </c>
      <c r="V91" s="30" t="s">
        <v>5066</v>
      </c>
    </row>
    <row r="92">
      <c r="A92" s="30">
        <v>138.0</v>
      </c>
      <c r="B92" s="30" t="s">
        <v>5067</v>
      </c>
      <c r="C92" s="30">
        <v>29.0</v>
      </c>
      <c r="D92" s="30" t="s">
        <v>4874</v>
      </c>
      <c r="E92" s="30" t="s">
        <v>4868</v>
      </c>
      <c r="F92" s="30">
        <v>29.0</v>
      </c>
      <c r="G92" s="30">
        <v>29.0</v>
      </c>
      <c r="H92" s="30">
        <v>4.0</v>
      </c>
      <c r="I92" s="30">
        <v>206.1</v>
      </c>
      <c r="J92" s="30">
        <v>50.0</v>
      </c>
      <c r="K92" s="30">
        <v>12.0</v>
      </c>
      <c r="L92" s="30">
        <v>38.0</v>
      </c>
      <c r="M92" s="30">
        <v>0.0</v>
      </c>
      <c r="N92" s="30">
        <v>1.0</v>
      </c>
      <c r="O92" s="30">
        <v>1.0</v>
      </c>
      <c r="P92" s="30">
        <v>2.18</v>
      </c>
      <c r="Q92" s="30">
        <v>1.72</v>
      </c>
      <c r="R92" s="30">
        <v>20.0</v>
      </c>
      <c r="S92" s="30">
        <v>7.0</v>
      </c>
      <c r="T92" s="183">
        <v>0.26</v>
      </c>
      <c r="U92" s="30">
        <v>0.0</v>
      </c>
      <c r="V92" s="30" t="s">
        <v>5068</v>
      </c>
    </row>
    <row r="93">
      <c r="A93" s="30">
        <v>140.0</v>
      </c>
      <c r="B93" s="30" t="s">
        <v>5069</v>
      </c>
      <c r="C93" s="30">
        <v>25.0</v>
      </c>
      <c r="D93" s="30" t="s">
        <v>4960</v>
      </c>
      <c r="E93" s="30" t="s">
        <v>4868</v>
      </c>
      <c r="F93" s="30">
        <v>33.0</v>
      </c>
      <c r="G93" s="30">
        <v>33.0</v>
      </c>
      <c r="H93" s="30">
        <v>0.0</v>
      </c>
      <c r="I93" s="30">
        <v>190.1</v>
      </c>
      <c r="J93" s="30">
        <v>46.0</v>
      </c>
      <c r="K93" s="30">
        <v>17.0</v>
      </c>
      <c r="L93" s="30">
        <v>29.0</v>
      </c>
      <c r="M93" s="30">
        <v>0.0</v>
      </c>
      <c r="N93" s="30">
        <v>5.0</v>
      </c>
      <c r="O93" s="30">
        <v>1.0</v>
      </c>
      <c r="P93" s="30">
        <v>2.18</v>
      </c>
      <c r="Q93" s="30">
        <v>1.39</v>
      </c>
      <c r="R93" s="30">
        <v>20.0</v>
      </c>
      <c r="S93" s="30">
        <v>8.0</v>
      </c>
      <c r="T93" s="183">
        <v>0.29</v>
      </c>
      <c r="U93" s="30">
        <v>2.0</v>
      </c>
      <c r="V93" s="30" t="s">
        <v>5070</v>
      </c>
    </row>
    <row r="94">
      <c r="A94" s="30">
        <v>139.0</v>
      </c>
      <c r="B94" s="30" t="s">
        <v>5071</v>
      </c>
      <c r="C94" s="30">
        <v>44.0</v>
      </c>
      <c r="D94" s="30" t="s">
        <v>4883</v>
      </c>
      <c r="E94" s="30" t="s">
        <v>4858</v>
      </c>
      <c r="F94" s="30">
        <v>53.0</v>
      </c>
      <c r="G94" s="30">
        <v>5.0</v>
      </c>
      <c r="H94" s="30">
        <v>1.0</v>
      </c>
      <c r="I94" s="30">
        <v>91.0</v>
      </c>
      <c r="J94" s="30">
        <v>23.0</v>
      </c>
      <c r="K94" s="30">
        <v>6.0</v>
      </c>
      <c r="L94" s="30">
        <v>16.0</v>
      </c>
      <c r="M94" s="30">
        <v>1.0</v>
      </c>
      <c r="N94" s="30">
        <v>2.0</v>
      </c>
      <c r="O94" s="30">
        <v>0.957</v>
      </c>
      <c r="P94" s="30">
        <v>2.18</v>
      </c>
      <c r="Q94" s="30">
        <v>0.42</v>
      </c>
      <c r="R94" s="30">
        <v>7.0</v>
      </c>
      <c r="S94" s="30">
        <v>2.0</v>
      </c>
      <c r="T94" s="183">
        <v>0.22</v>
      </c>
      <c r="U94" s="30">
        <v>1.0</v>
      </c>
      <c r="V94" s="30" t="s">
        <v>5072</v>
      </c>
    </row>
    <row r="95">
      <c r="A95" s="30">
        <v>142.0</v>
      </c>
      <c r="B95" s="30" t="s">
        <v>5073</v>
      </c>
      <c r="C95" s="30">
        <v>25.0</v>
      </c>
      <c r="D95" s="30" t="s">
        <v>4864</v>
      </c>
      <c r="E95" s="30" t="s">
        <v>4858</v>
      </c>
      <c r="F95" s="30">
        <v>33.0</v>
      </c>
      <c r="G95" s="30">
        <v>33.0</v>
      </c>
      <c r="H95" s="30">
        <v>3.0</v>
      </c>
      <c r="I95" s="30">
        <v>233.1</v>
      </c>
      <c r="J95" s="30">
        <v>59.0</v>
      </c>
      <c r="K95" s="30">
        <v>24.0</v>
      </c>
      <c r="L95" s="30">
        <v>32.0</v>
      </c>
      <c r="M95" s="30">
        <v>3.0</v>
      </c>
      <c r="N95" s="30">
        <v>3.0</v>
      </c>
      <c r="O95" s="30">
        <v>0.949</v>
      </c>
      <c r="P95" s="30">
        <v>2.16</v>
      </c>
      <c r="Q95" s="30">
        <v>1.7</v>
      </c>
      <c r="R95" s="30">
        <v>13.0</v>
      </c>
      <c r="S95" s="30">
        <v>4.0</v>
      </c>
      <c r="T95" s="183">
        <v>0.24</v>
      </c>
      <c r="U95" s="30">
        <v>0.0</v>
      </c>
      <c r="V95" s="30" t="s">
        <v>5074</v>
      </c>
    </row>
    <row r="96">
      <c r="A96" s="30">
        <v>144.0</v>
      </c>
      <c r="B96" s="30" t="s">
        <v>5075</v>
      </c>
      <c r="C96" s="30">
        <v>26.0</v>
      </c>
      <c r="D96" s="30" t="s">
        <v>4947</v>
      </c>
      <c r="E96" s="30" t="s">
        <v>4858</v>
      </c>
      <c r="F96" s="30">
        <v>33.0</v>
      </c>
      <c r="G96" s="30">
        <v>23.0</v>
      </c>
      <c r="H96" s="30">
        <v>3.0</v>
      </c>
      <c r="I96" s="30">
        <v>162.2</v>
      </c>
      <c r="J96" s="30">
        <v>40.0</v>
      </c>
      <c r="K96" s="30">
        <v>6.0</v>
      </c>
      <c r="L96" s="30">
        <v>33.0</v>
      </c>
      <c r="M96" s="30">
        <v>1.0</v>
      </c>
      <c r="N96" s="30">
        <v>2.0</v>
      </c>
      <c r="O96" s="30">
        <v>0.975</v>
      </c>
      <c r="P96" s="30">
        <v>2.16</v>
      </c>
      <c r="Q96" s="30">
        <v>1.18</v>
      </c>
      <c r="R96" s="30">
        <v>3.0</v>
      </c>
      <c r="S96" s="30">
        <v>12.0</v>
      </c>
      <c r="T96" s="183">
        <v>0.8</v>
      </c>
      <c r="U96" s="30">
        <v>4.0</v>
      </c>
      <c r="V96" s="30" t="s">
        <v>5076</v>
      </c>
    </row>
    <row r="97">
      <c r="A97" s="30">
        <v>146.0</v>
      </c>
      <c r="B97" s="30" t="s">
        <v>5077</v>
      </c>
      <c r="C97" s="30">
        <v>26.0</v>
      </c>
      <c r="D97" s="30" t="s">
        <v>4910</v>
      </c>
      <c r="E97" s="30" t="s">
        <v>4868</v>
      </c>
      <c r="F97" s="30">
        <v>54.0</v>
      </c>
      <c r="G97" s="30">
        <v>0.0</v>
      </c>
      <c r="H97" s="30">
        <v>0.0</v>
      </c>
      <c r="I97" s="30">
        <v>79.2</v>
      </c>
      <c r="J97" s="30">
        <v>19.0</v>
      </c>
      <c r="K97" s="30">
        <v>3.0</v>
      </c>
      <c r="L97" s="30">
        <v>16.0</v>
      </c>
      <c r="M97" s="30">
        <v>0.0</v>
      </c>
      <c r="N97" s="30">
        <v>0.0</v>
      </c>
      <c r="O97" s="30">
        <v>1.0</v>
      </c>
      <c r="P97" s="30">
        <v>2.15</v>
      </c>
      <c r="Q97" s="30">
        <v>0.35</v>
      </c>
      <c r="R97" s="30">
        <v>4.0</v>
      </c>
      <c r="S97" s="30">
        <v>4.0</v>
      </c>
      <c r="T97" s="183">
        <v>0.5</v>
      </c>
      <c r="U97" s="30">
        <v>0.0</v>
      </c>
      <c r="V97" s="30" t="s">
        <v>5078</v>
      </c>
    </row>
    <row r="98">
      <c r="A98" s="30">
        <v>145.0</v>
      </c>
      <c r="B98" s="30" t="s">
        <v>5079</v>
      </c>
      <c r="C98" s="30">
        <v>31.0</v>
      </c>
      <c r="D98" s="30" t="s">
        <v>5003</v>
      </c>
      <c r="E98" s="30" t="s">
        <v>4868</v>
      </c>
      <c r="F98" s="30">
        <v>60.0</v>
      </c>
      <c r="G98" s="30">
        <v>0.0</v>
      </c>
      <c r="H98" s="30">
        <v>0.0</v>
      </c>
      <c r="I98" s="30">
        <v>62.2</v>
      </c>
      <c r="J98" s="30">
        <v>15.0</v>
      </c>
      <c r="K98" s="30">
        <v>8.0</v>
      </c>
      <c r="L98" s="30">
        <v>7.0</v>
      </c>
      <c r="M98" s="30">
        <v>0.0</v>
      </c>
      <c r="N98" s="30">
        <v>1.0</v>
      </c>
      <c r="O98" s="30">
        <v>1.0</v>
      </c>
      <c r="P98" s="30">
        <v>2.15</v>
      </c>
      <c r="Q98" s="30">
        <v>0.25</v>
      </c>
      <c r="R98" s="30">
        <v>4.0</v>
      </c>
      <c r="S98" s="30">
        <v>3.0</v>
      </c>
      <c r="T98" s="183">
        <v>0.43</v>
      </c>
      <c r="U98" s="30">
        <v>0.0</v>
      </c>
      <c r="V98" s="30" t="s">
        <v>5080</v>
      </c>
    </row>
    <row r="99">
      <c r="A99" s="30">
        <v>147.0</v>
      </c>
      <c r="B99" s="30" t="s">
        <v>5081</v>
      </c>
      <c r="C99" s="30">
        <v>30.0</v>
      </c>
      <c r="D99" s="30" t="s">
        <v>4601</v>
      </c>
      <c r="E99" s="30" t="s">
        <v>4898</v>
      </c>
      <c r="F99" s="30">
        <v>30.0</v>
      </c>
      <c r="G99" s="30">
        <v>30.0</v>
      </c>
      <c r="H99" s="30">
        <v>3.0</v>
      </c>
      <c r="I99" s="30">
        <v>181.1</v>
      </c>
      <c r="J99" s="30">
        <v>44.0</v>
      </c>
      <c r="K99" s="30">
        <v>21.0</v>
      </c>
      <c r="L99" s="30">
        <v>22.0</v>
      </c>
      <c r="M99" s="30">
        <v>1.0</v>
      </c>
      <c r="N99" s="30">
        <v>1.0</v>
      </c>
      <c r="O99" s="30">
        <v>0.977</v>
      </c>
      <c r="P99" s="30">
        <v>2.13</v>
      </c>
      <c r="Q99" s="30">
        <v>1.43</v>
      </c>
      <c r="R99" s="30">
        <v>10.0</v>
      </c>
      <c r="S99" s="30">
        <v>8.0</v>
      </c>
      <c r="T99" s="183">
        <v>0.44</v>
      </c>
      <c r="U99" s="30">
        <v>0.0</v>
      </c>
      <c r="V99" s="30" t="s">
        <v>5082</v>
      </c>
    </row>
    <row r="100">
      <c r="A100" s="30">
        <v>148.0</v>
      </c>
      <c r="B100" s="30" t="s">
        <v>5083</v>
      </c>
      <c r="C100" s="30">
        <v>29.0</v>
      </c>
      <c r="D100" s="30" t="s">
        <v>289</v>
      </c>
      <c r="E100" s="30" t="s">
        <v>4858</v>
      </c>
      <c r="F100" s="30">
        <v>81.0</v>
      </c>
      <c r="G100" s="30">
        <v>0.0</v>
      </c>
      <c r="H100" s="30">
        <v>0.0</v>
      </c>
      <c r="I100" s="30">
        <v>80.1</v>
      </c>
      <c r="J100" s="30">
        <v>19.0</v>
      </c>
      <c r="K100" s="30">
        <v>8.0</v>
      </c>
      <c r="L100" s="30">
        <v>11.0</v>
      </c>
      <c r="M100" s="30">
        <v>0.0</v>
      </c>
      <c r="N100" s="30">
        <v>1.0</v>
      </c>
      <c r="O100" s="30">
        <v>1.0</v>
      </c>
      <c r="P100" s="30">
        <v>2.13</v>
      </c>
      <c r="Q100" s="30">
        <v>0.23</v>
      </c>
      <c r="R100" s="30">
        <v>8.0</v>
      </c>
      <c r="S100" s="30">
        <v>1.0</v>
      </c>
      <c r="T100" s="183">
        <v>0.11</v>
      </c>
      <c r="U100" s="30">
        <v>0.0</v>
      </c>
      <c r="V100" s="30" t="s">
        <v>5084</v>
      </c>
    </row>
    <row r="101">
      <c r="A101" s="30">
        <v>149.0</v>
      </c>
      <c r="B101" s="30" t="s">
        <v>5085</v>
      </c>
      <c r="C101" s="30">
        <v>32.0</v>
      </c>
      <c r="D101" s="30" t="s">
        <v>5086</v>
      </c>
      <c r="E101" s="30" t="s">
        <v>4868</v>
      </c>
      <c r="F101" s="30">
        <v>68.0</v>
      </c>
      <c r="G101" s="30">
        <v>1.0</v>
      </c>
      <c r="H101" s="30">
        <v>0.0</v>
      </c>
      <c r="I101" s="30">
        <v>67.2</v>
      </c>
      <c r="J101" s="30">
        <v>16.0</v>
      </c>
      <c r="K101" s="30">
        <v>6.0</v>
      </c>
      <c r="L101" s="30">
        <v>10.0</v>
      </c>
      <c r="M101" s="30">
        <v>0.0</v>
      </c>
      <c r="N101" s="30">
        <v>0.0</v>
      </c>
      <c r="O101" s="30">
        <v>1.0</v>
      </c>
      <c r="P101" s="30">
        <v>2.13</v>
      </c>
      <c r="Q101" s="30">
        <v>0.24</v>
      </c>
      <c r="R101" s="30">
        <v>0.0</v>
      </c>
      <c r="S101" s="30">
        <v>1.0</v>
      </c>
      <c r="T101" s="183">
        <v>1.0</v>
      </c>
      <c r="U101" s="30">
        <v>1.0</v>
      </c>
      <c r="V101" s="30" t="s">
        <v>5087</v>
      </c>
    </row>
    <row r="102">
      <c r="A102" s="30">
        <v>151.0</v>
      </c>
      <c r="B102" s="30" t="s">
        <v>5088</v>
      </c>
      <c r="C102" s="30">
        <v>33.0</v>
      </c>
      <c r="D102" s="30" t="s">
        <v>4871</v>
      </c>
      <c r="E102" s="30" t="s">
        <v>4858</v>
      </c>
      <c r="F102" s="30">
        <v>31.0</v>
      </c>
      <c r="G102" s="30">
        <v>31.0</v>
      </c>
      <c r="H102" s="30">
        <v>2.0</v>
      </c>
      <c r="I102" s="30">
        <v>212.1</v>
      </c>
      <c r="J102" s="30">
        <v>51.0</v>
      </c>
      <c r="K102" s="30">
        <v>12.0</v>
      </c>
      <c r="L102" s="30">
        <v>38.0</v>
      </c>
      <c r="M102" s="30">
        <v>1.0</v>
      </c>
      <c r="N102" s="30">
        <v>2.0</v>
      </c>
      <c r="O102" s="30">
        <v>0.98</v>
      </c>
      <c r="P102" s="30">
        <v>2.12</v>
      </c>
      <c r="Q102" s="30">
        <v>1.61</v>
      </c>
      <c r="R102" s="30">
        <v>7.0</v>
      </c>
      <c r="S102" s="30">
        <v>14.0</v>
      </c>
      <c r="T102" s="183">
        <v>0.67</v>
      </c>
      <c r="U102" s="30">
        <v>2.0</v>
      </c>
      <c r="V102" s="30" t="s">
        <v>5089</v>
      </c>
    </row>
    <row r="103">
      <c r="A103" s="30">
        <v>150.0</v>
      </c>
      <c r="B103" s="30" t="s">
        <v>5090</v>
      </c>
      <c r="C103" s="30">
        <v>31.0</v>
      </c>
      <c r="D103" s="30" t="s">
        <v>5021</v>
      </c>
      <c r="E103" s="30" t="s">
        <v>4858</v>
      </c>
      <c r="F103" s="30">
        <v>63.0</v>
      </c>
      <c r="G103" s="30">
        <v>0.0</v>
      </c>
      <c r="H103" s="30">
        <v>0.0</v>
      </c>
      <c r="I103" s="30">
        <v>76.1</v>
      </c>
      <c r="J103" s="30">
        <v>18.0</v>
      </c>
      <c r="K103" s="30">
        <v>7.0</v>
      </c>
      <c r="L103" s="30">
        <v>11.0</v>
      </c>
      <c r="M103" s="30">
        <v>0.0</v>
      </c>
      <c r="N103" s="30">
        <v>0.0</v>
      </c>
      <c r="O103" s="30">
        <v>1.0</v>
      </c>
      <c r="P103" s="30">
        <v>2.12</v>
      </c>
      <c r="Q103" s="30">
        <v>0.29</v>
      </c>
      <c r="R103" s="30">
        <v>5.0</v>
      </c>
      <c r="S103" s="30">
        <v>3.0</v>
      </c>
      <c r="T103" s="183">
        <v>0.38</v>
      </c>
      <c r="U103" s="30">
        <v>1.0</v>
      </c>
      <c r="V103" s="30" t="s">
        <v>5091</v>
      </c>
    </row>
    <row r="104">
      <c r="A104" s="30">
        <v>152.0</v>
      </c>
      <c r="B104" s="30" t="s">
        <v>5092</v>
      </c>
      <c r="C104" s="30">
        <v>29.0</v>
      </c>
      <c r="D104" s="30" t="s">
        <v>5021</v>
      </c>
      <c r="E104" s="30" t="s">
        <v>4858</v>
      </c>
      <c r="F104" s="30">
        <v>36.0</v>
      </c>
      <c r="G104" s="30">
        <v>35.0</v>
      </c>
      <c r="H104" s="30">
        <v>4.0</v>
      </c>
      <c r="I104" s="30">
        <v>230.1</v>
      </c>
      <c r="J104" s="30">
        <v>57.0</v>
      </c>
      <c r="K104" s="30">
        <v>22.0</v>
      </c>
      <c r="L104" s="30">
        <v>32.0</v>
      </c>
      <c r="M104" s="30">
        <v>3.0</v>
      </c>
      <c r="N104" s="30">
        <v>1.0</v>
      </c>
      <c r="O104" s="30">
        <v>0.947</v>
      </c>
      <c r="P104" s="30">
        <v>2.11</v>
      </c>
      <c r="Q104" s="30">
        <v>1.5</v>
      </c>
      <c r="R104" s="30">
        <v>15.0</v>
      </c>
      <c r="S104" s="30">
        <v>5.0</v>
      </c>
      <c r="T104" s="183">
        <v>0.25</v>
      </c>
      <c r="U104" s="30">
        <v>0.0</v>
      </c>
      <c r="V104" s="30" t="s">
        <v>5093</v>
      </c>
    </row>
    <row r="105">
      <c r="A105" s="30">
        <v>156.0</v>
      </c>
      <c r="B105" s="30" t="s">
        <v>5094</v>
      </c>
      <c r="C105" s="30">
        <v>32.0</v>
      </c>
      <c r="D105" s="30" t="s">
        <v>4944</v>
      </c>
      <c r="E105" s="30" t="s">
        <v>4868</v>
      </c>
      <c r="F105" s="30">
        <v>21.0</v>
      </c>
      <c r="G105" s="30">
        <v>21.0</v>
      </c>
      <c r="H105" s="30">
        <v>3.0</v>
      </c>
      <c r="I105" s="30">
        <v>141.0</v>
      </c>
      <c r="J105" s="30">
        <v>33.0</v>
      </c>
      <c r="K105" s="30">
        <v>10.0</v>
      </c>
      <c r="L105" s="30">
        <v>23.0</v>
      </c>
      <c r="M105" s="30">
        <v>0.0</v>
      </c>
      <c r="N105" s="30">
        <v>0.0</v>
      </c>
      <c r="O105" s="30">
        <v>1.0</v>
      </c>
      <c r="P105" s="30">
        <v>2.11</v>
      </c>
      <c r="Q105" s="30">
        <v>1.57</v>
      </c>
      <c r="R105" s="30">
        <v>14.0</v>
      </c>
      <c r="S105" s="30">
        <v>9.0</v>
      </c>
      <c r="T105" s="183">
        <v>0.39</v>
      </c>
      <c r="U105" s="30">
        <v>0.0</v>
      </c>
      <c r="V105" s="30" t="s">
        <v>5095</v>
      </c>
    </row>
    <row r="106">
      <c r="A106" s="30">
        <v>157.0</v>
      </c>
      <c r="B106" s="30" t="s">
        <v>5096</v>
      </c>
      <c r="C106" s="30">
        <v>25.0</v>
      </c>
      <c r="D106" s="30" t="s">
        <v>289</v>
      </c>
      <c r="E106" s="30" t="s">
        <v>4858</v>
      </c>
      <c r="F106" s="30">
        <v>63.0</v>
      </c>
      <c r="G106" s="30">
        <v>0.0</v>
      </c>
      <c r="H106" s="30">
        <v>0.0</v>
      </c>
      <c r="I106" s="30">
        <v>72.2</v>
      </c>
      <c r="J106" s="30">
        <v>20.0</v>
      </c>
      <c r="K106" s="30">
        <v>4.0</v>
      </c>
      <c r="L106" s="30">
        <v>13.0</v>
      </c>
      <c r="M106" s="30">
        <v>3.0</v>
      </c>
      <c r="N106" s="30">
        <v>0.0</v>
      </c>
      <c r="O106" s="30">
        <v>0.85</v>
      </c>
      <c r="P106" s="30">
        <v>2.11</v>
      </c>
      <c r="Q106" s="30">
        <v>0.27</v>
      </c>
      <c r="R106" s="30">
        <v>13.0</v>
      </c>
      <c r="S106" s="30">
        <v>2.0</v>
      </c>
      <c r="T106" s="183">
        <v>0.13</v>
      </c>
      <c r="U106" s="30">
        <v>0.0</v>
      </c>
      <c r="V106" s="30" t="s">
        <v>5097</v>
      </c>
    </row>
    <row r="107">
      <c r="A107" s="30">
        <v>155.0</v>
      </c>
      <c r="B107" s="30" t="s">
        <v>5098</v>
      </c>
      <c r="C107" s="30">
        <v>24.0</v>
      </c>
      <c r="D107" s="30" t="s">
        <v>4867</v>
      </c>
      <c r="E107" s="30" t="s">
        <v>4868</v>
      </c>
      <c r="F107" s="30">
        <v>39.0</v>
      </c>
      <c r="G107" s="30">
        <v>2.0</v>
      </c>
      <c r="H107" s="30">
        <v>0.0</v>
      </c>
      <c r="I107" s="30">
        <v>68.1</v>
      </c>
      <c r="J107" s="30">
        <v>18.0</v>
      </c>
      <c r="K107" s="30">
        <v>5.0</v>
      </c>
      <c r="L107" s="30">
        <v>11.0</v>
      </c>
      <c r="M107" s="30">
        <v>2.0</v>
      </c>
      <c r="N107" s="30">
        <v>1.0</v>
      </c>
      <c r="O107" s="30">
        <v>0.889</v>
      </c>
      <c r="P107" s="30">
        <v>2.11</v>
      </c>
      <c r="Q107" s="30">
        <v>0.41</v>
      </c>
      <c r="R107" s="30">
        <v>6.0</v>
      </c>
      <c r="S107" s="30">
        <v>2.0</v>
      </c>
      <c r="T107" s="183">
        <v>0.25</v>
      </c>
      <c r="U107" s="30">
        <v>0.0</v>
      </c>
      <c r="V107" s="30" t="s">
        <v>5099</v>
      </c>
    </row>
    <row r="108">
      <c r="A108" s="30">
        <v>153.0</v>
      </c>
      <c r="B108" s="30" t="s">
        <v>5100</v>
      </c>
      <c r="C108" s="30">
        <v>32.0</v>
      </c>
      <c r="D108" s="30" t="s">
        <v>4893</v>
      </c>
      <c r="E108" s="30" t="s">
        <v>4868</v>
      </c>
      <c r="F108" s="30">
        <v>8.0</v>
      </c>
      <c r="G108" s="30">
        <v>6.0</v>
      </c>
      <c r="H108" s="30">
        <v>0.0</v>
      </c>
      <c r="I108" s="30">
        <v>42.2</v>
      </c>
      <c r="J108" s="30">
        <v>10.0</v>
      </c>
      <c r="K108" s="30">
        <v>1.0</v>
      </c>
      <c r="L108" s="30">
        <v>9.0</v>
      </c>
      <c r="M108" s="30">
        <v>0.0</v>
      </c>
      <c r="N108" s="30">
        <v>0.0</v>
      </c>
      <c r="O108" s="30">
        <v>1.0</v>
      </c>
      <c r="P108" s="30">
        <v>2.11</v>
      </c>
      <c r="Q108" s="30">
        <v>1.25</v>
      </c>
      <c r="R108" s="30">
        <v>0.0</v>
      </c>
      <c r="S108" s="30">
        <v>2.0</v>
      </c>
      <c r="T108" s="183">
        <v>1.0</v>
      </c>
      <c r="U108" s="30">
        <v>1.0</v>
      </c>
      <c r="V108" s="30" t="s">
        <v>5101</v>
      </c>
    </row>
    <row r="109">
      <c r="A109" s="30">
        <v>159.0</v>
      </c>
      <c r="B109" s="30" t="s">
        <v>5102</v>
      </c>
      <c r="C109" s="30">
        <v>29.0</v>
      </c>
      <c r="D109" s="30" t="s">
        <v>4910</v>
      </c>
      <c r="E109" s="30" t="s">
        <v>4868</v>
      </c>
      <c r="F109" s="30">
        <v>38.0</v>
      </c>
      <c r="G109" s="30">
        <v>3.0</v>
      </c>
      <c r="H109" s="30">
        <v>0.0</v>
      </c>
      <c r="I109" s="30">
        <v>68.2</v>
      </c>
      <c r="J109" s="30">
        <v>18.0</v>
      </c>
      <c r="K109" s="30">
        <v>5.0</v>
      </c>
      <c r="L109" s="30">
        <v>11.0</v>
      </c>
      <c r="M109" s="30">
        <v>2.0</v>
      </c>
      <c r="N109" s="30">
        <v>1.0</v>
      </c>
      <c r="O109" s="30">
        <v>0.889</v>
      </c>
      <c r="P109" s="30">
        <v>2.1</v>
      </c>
      <c r="Q109" s="30">
        <v>0.42</v>
      </c>
      <c r="R109" s="30">
        <v>2.0</v>
      </c>
      <c r="S109" s="30">
        <v>4.0</v>
      </c>
      <c r="T109" s="183">
        <v>0.67</v>
      </c>
      <c r="U109" s="30">
        <v>0.0</v>
      </c>
      <c r="V109" s="30" t="s">
        <v>5103</v>
      </c>
    </row>
    <row r="110">
      <c r="A110" s="30">
        <v>158.0</v>
      </c>
      <c r="B110" s="30" t="s">
        <v>5104</v>
      </c>
      <c r="C110" s="30">
        <v>36.0</v>
      </c>
      <c r="D110" s="30" t="s">
        <v>4861</v>
      </c>
      <c r="E110" s="30" t="s">
        <v>4858</v>
      </c>
      <c r="F110" s="30">
        <v>51.0</v>
      </c>
      <c r="G110" s="30">
        <v>0.0</v>
      </c>
      <c r="H110" s="30">
        <v>0.0</v>
      </c>
      <c r="I110" s="30">
        <v>55.2</v>
      </c>
      <c r="J110" s="30">
        <v>13.0</v>
      </c>
      <c r="K110" s="30">
        <v>3.0</v>
      </c>
      <c r="L110" s="30">
        <v>10.0</v>
      </c>
      <c r="M110" s="30">
        <v>0.0</v>
      </c>
      <c r="N110" s="30">
        <v>0.0</v>
      </c>
      <c r="O110" s="30">
        <v>1.0</v>
      </c>
      <c r="P110" s="30">
        <v>2.1</v>
      </c>
      <c r="Q110" s="30">
        <v>0.25</v>
      </c>
      <c r="R110" s="30">
        <v>6.0</v>
      </c>
      <c r="S110" s="30">
        <v>0.0</v>
      </c>
      <c r="T110" s="183">
        <v>0.0</v>
      </c>
      <c r="U110" s="30">
        <v>0.0</v>
      </c>
      <c r="V110" s="30" t="s">
        <v>5105</v>
      </c>
    </row>
    <row r="111">
      <c r="A111" s="30">
        <v>160.0</v>
      </c>
      <c r="B111" s="30" t="s">
        <v>5106</v>
      </c>
      <c r="C111" s="30">
        <v>23.0</v>
      </c>
      <c r="D111" s="30" t="s">
        <v>4934</v>
      </c>
      <c r="E111" s="30" t="s">
        <v>4858</v>
      </c>
      <c r="F111" s="30">
        <v>35.0</v>
      </c>
      <c r="G111" s="30">
        <v>29.0</v>
      </c>
      <c r="H111" s="30">
        <v>0.0</v>
      </c>
      <c r="I111" s="30">
        <v>173.0</v>
      </c>
      <c r="J111" s="30">
        <v>42.0</v>
      </c>
      <c r="K111" s="30">
        <v>6.0</v>
      </c>
      <c r="L111" s="30">
        <v>34.0</v>
      </c>
      <c r="M111" s="30">
        <v>2.0</v>
      </c>
      <c r="N111" s="30">
        <v>4.0</v>
      </c>
      <c r="O111" s="30">
        <v>0.952</v>
      </c>
      <c r="P111" s="30">
        <v>2.08</v>
      </c>
      <c r="Q111" s="30">
        <v>1.14</v>
      </c>
      <c r="R111" s="30">
        <v>8.0</v>
      </c>
      <c r="S111" s="30">
        <v>11.0</v>
      </c>
      <c r="T111" s="183">
        <v>0.58</v>
      </c>
      <c r="U111" s="30">
        <v>7.0</v>
      </c>
      <c r="V111" s="30" t="s">
        <v>5107</v>
      </c>
    </row>
    <row r="112">
      <c r="A112" s="30">
        <v>162.0</v>
      </c>
      <c r="B112" s="30" t="s">
        <v>5108</v>
      </c>
      <c r="C112" s="30">
        <v>25.0</v>
      </c>
      <c r="D112" s="30" t="s">
        <v>4937</v>
      </c>
      <c r="E112" s="30" t="s">
        <v>4868</v>
      </c>
      <c r="F112" s="30">
        <v>31.0</v>
      </c>
      <c r="G112" s="30">
        <v>31.0</v>
      </c>
      <c r="H112" s="30">
        <v>6.0</v>
      </c>
      <c r="I112" s="30">
        <v>204.0</v>
      </c>
      <c r="J112" s="30">
        <v>48.0</v>
      </c>
      <c r="K112" s="30">
        <v>13.0</v>
      </c>
      <c r="L112" s="30">
        <v>34.0</v>
      </c>
      <c r="M112" s="30">
        <v>1.0</v>
      </c>
      <c r="N112" s="30">
        <v>1.0</v>
      </c>
      <c r="O112" s="30">
        <v>0.979</v>
      </c>
      <c r="P112" s="30">
        <v>2.07</v>
      </c>
      <c r="Q112" s="30">
        <v>1.52</v>
      </c>
      <c r="R112" s="30">
        <v>7.0</v>
      </c>
      <c r="S112" s="30">
        <v>1.0</v>
      </c>
      <c r="T112" s="183">
        <v>0.13</v>
      </c>
      <c r="U112" s="30">
        <v>0.0</v>
      </c>
      <c r="V112" s="30" t="s">
        <v>5109</v>
      </c>
    </row>
    <row r="113">
      <c r="A113" s="30">
        <v>164.0</v>
      </c>
      <c r="B113" s="30" t="s">
        <v>5110</v>
      </c>
      <c r="C113" s="30">
        <v>25.0</v>
      </c>
      <c r="D113" s="30" t="s">
        <v>4861</v>
      </c>
      <c r="E113" s="30" t="s">
        <v>4858</v>
      </c>
      <c r="F113" s="30">
        <v>32.0</v>
      </c>
      <c r="G113" s="30">
        <v>30.0</v>
      </c>
      <c r="H113" s="30">
        <v>1.0</v>
      </c>
      <c r="I113" s="30">
        <v>187.0</v>
      </c>
      <c r="J113" s="30">
        <v>47.0</v>
      </c>
      <c r="K113" s="30">
        <v>18.0</v>
      </c>
      <c r="L113" s="30">
        <v>25.0</v>
      </c>
      <c r="M113" s="30">
        <v>4.0</v>
      </c>
      <c r="N113" s="30">
        <v>3.0</v>
      </c>
      <c r="O113" s="30">
        <v>0.915</v>
      </c>
      <c r="P113" s="30">
        <v>2.07</v>
      </c>
      <c r="Q113" s="30">
        <v>1.34</v>
      </c>
      <c r="R113" s="30">
        <v>9.0</v>
      </c>
      <c r="S113" s="30">
        <v>9.0</v>
      </c>
      <c r="T113" s="183">
        <v>0.5</v>
      </c>
      <c r="U113" s="30">
        <v>2.0</v>
      </c>
      <c r="V113" s="30" t="s">
        <v>5111</v>
      </c>
    </row>
    <row r="114">
      <c r="A114" s="30">
        <v>166.0</v>
      </c>
      <c r="B114" s="30" t="s">
        <v>5112</v>
      </c>
      <c r="C114" s="30">
        <v>27.0</v>
      </c>
      <c r="D114" s="30" t="s">
        <v>4861</v>
      </c>
      <c r="E114" s="30" t="s">
        <v>4858</v>
      </c>
      <c r="F114" s="30">
        <v>56.0</v>
      </c>
      <c r="G114" s="30">
        <v>13.0</v>
      </c>
      <c r="H114" s="30">
        <v>0.0</v>
      </c>
      <c r="I114" s="30">
        <v>135.0</v>
      </c>
      <c r="J114" s="30">
        <v>32.0</v>
      </c>
      <c r="K114" s="30">
        <v>10.0</v>
      </c>
      <c r="L114" s="30">
        <v>21.0</v>
      </c>
      <c r="M114" s="30">
        <v>1.0</v>
      </c>
      <c r="N114" s="30">
        <v>1.0</v>
      </c>
      <c r="O114" s="30">
        <v>0.969</v>
      </c>
      <c r="P114" s="30">
        <v>2.07</v>
      </c>
      <c r="Q114" s="30">
        <v>0.55</v>
      </c>
      <c r="R114" s="30">
        <v>10.0</v>
      </c>
      <c r="S114" s="30">
        <v>7.0</v>
      </c>
      <c r="T114" s="183">
        <v>0.41</v>
      </c>
      <c r="U114" s="30">
        <v>1.0</v>
      </c>
      <c r="V114" s="30" t="s">
        <v>5113</v>
      </c>
    </row>
    <row r="115">
      <c r="A115" s="30">
        <v>163.0</v>
      </c>
      <c r="B115" s="30" t="s">
        <v>5114</v>
      </c>
      <c r="C115" s="30">
        <v>28.0</v>
      </c>
      <c r="D115" s="30" t="s">
        <v>4877</v>
      </c>
      <c r="E115" s="30" t="s">
        <v>4858</v>
      </c>
      <c r="F115" s="30">
        <v>69.0</v>
      </c>
      <c r="G115" s="30">
        <v>0.0</v>
      </c>
      <c r="H115" s="30">
        <v>0.0</v>
      </c>
      <c r="I115" s="30">
        <v>95.2</v>
      </c>
      <c r="J115" s="30">
        <v>24.0</v>
      </c>
      <c r="K115" s="30">
        <v>11.0</v>
      </c>
      <c r="L115" s="30">
        <v>11.0</v>
      </c>
      <c r="M115" s="30">
        <v>2.0</v>
      </c>
      <c r="N115" s="30">
        <v>1.0</v>
      </c>
      <c r="O115" s="30">
        <v>0.917</v>
      </c>
      <c r="P115" s="30">
        <v>2.07</v>
      </c>
      <c r="Q115" s="30">
        <v>0.32</v>
      </c>
      <c r="R115" s="30">
        <v>14.0</v>
      </c>
      <c r="S115" s="30">
        <v>2.0</v>
      </c>
      <c r="T115" s="183">
        <v>0.13</v>
      </c>
      <c r="U115" s="30">
        <v>0.0</v>
      </c>
      <c r="V115" s="30" t="s">
        <v>5115</v>
      </c>
    </row>
    <row r="116">
      <c r="A116" s="30">
        <v>165.0</v>
      </c>
      <c r="B116" s="30" t="s">
        <v>5116</v>
      </c>
      <c r="C116" s="30">
        <v>31.0</v>
      </c>
      <c r="D116" s="30" t="s">
        <v>4867</v>
      </c>
      <c r="E116" s="30" t="s">
        <v>4868</v>
      </c>
      <c r="F116" s="30">
        <v>73.0</v>
      </c>
      <c r="G116" s="30">
        <v>0.0</v>
      </c>
      <c r="H116" s="30">
        <v>0.0</v>
      </c>
      <c r="I116" s="30">
        <v>82.2</v>
      </c>
      <c r="J116" s="30">
        <v>20.0</v>
      </c>
      <c r="K116" s="30">
        <v>4.0</v>
      </c>
      <c r="L116" s="30">
        <v>15.0</v>
      </c>
      <c r="M116" s="30">
        <v>1.0</v>
      </c>
      <c r="N116" s="30">
        <v>0.0</v>
      </c>
      <c r="O116" s="30">
        <v>0.95</v>
      </c>
      <c r="P116" s="30">
        <v>2.07</v>
      </c>
      <c r="Q116" s="30">
        <v>0.26</v>
      </c>
      <c r="R116" s="30">
        <v>6.0</v>
      </c>
      <c r="S116" s="30">
        <v>5.0</v>
      </c>
      <c r="T116" s="183">
        <v>0.45</v>
      </c>
      <c r="U116" s="30">
        <v>3.0</v>
      </c>
      <c r="V116" s="30" t="s">
        <v>5117</v>
      </c>
    </row>
    <row r="117">
      <c r="A117" s="30">
        <v>167.0</v>
      </c>
      <c r="B117" s="30" t="s">
        <v>5118</v>
      </c>
      <c r="C117" s="30">
        <v>42.0</v>
      </c>
      <c r="D117" s="30" t="s">
        <v>4931</v>
      </c>
      <c r="E117" s="30" t="s">
        <v>4858</v>
      </c>
      <c r="F117" s="30">
        <v>33.0</v>
      </c>
      <c r="G117" s="30">
        <v>25.0</v>
      </c>
      <c r="H117" s="30">
        <v>0.0</v>
      </c>
      <c r="I117" s="30">
        <v>148.2</v>
      </c>
      <c r="J117" s="30">
        <v>36.0</v>
      </c>
      <c r="K117" s="30">
        <v>10.0</v>
      </c>
      <c r="L117" s="30">
        <v>24.0</v>
      </c>
      <c r="M117" s="30">
        <v>2.0</v>
      </c>
      <c r="N117" s="30">
        <v>1.0</v>
      </c>
      <c r="O117" s="30">
        <v>0.944</v>
      </c>
      <c r="P117" s="30">
        <v>2.06</v>
      </c>
      <c r="Q117" s="30">
        <v>1.03</v>
      </c>
      <c r="R117" s="30">
        <v>10.0</v>
      </c>
      <c r="S117" s="30">
        <v>7.0</v>
      </c>
      <c r="T117" s="183">
        <v>0.41</v>
      </c>
      <c r="U117" s="30">
        <v>0.0</v>
      </c>
      <c r="V117" s="30" t="s">
        <v>5119</v>
      </c>
    </row>
    <row r="118">
      <c r="A118" s="30">
        <v>169.0</v>
      </c>
      <c r="B118" s="30" t="s">
        <v>5120</v>
      </c>
      <c r="C118" s="30">
        <v>27.0</v>
      </c>
      <c r="D118" s="30" t="s">
        <v>4601</v>
      </c>
      <c r="E118" s="30" t="s">
        <v>4898</v>
      </c>
      <c r="F118" s="30">
        <v>34.0</v>
      </c>
      <c r="G118" s="30">
        <v>34.0</v>
      </c>
      <c r="H118" s="30">
        <v>7.0</v>
      </c>
      <c r="I118" s="30">
        <v>241.0</v>
      </c>
      <c r="J118" s="30">
        <v>55.0</v>
      </c>
      <c r="K118" s="30">
        <v>11.0</v>
      </c>
      <c r="L118" s="30">
        <v>44.0</v>
      </c>
      <c r="M118" s="30">
        <v>0.0</v>
      </c>
      <c r="N118" s="30">
        <v>3.0</v>
      </c>
      <c r="O118" s="30">
        <v>1.0</v>
      </c>
      <c r="P118" s="30">
        <v>2.05</v>
      </c>
      <c r="Q118" s="30">
        <v>1.62</v>
      </c>
      <c r="R118" s="30">
        <v>22.0</v>
      </c>
      <c r="S118" s="30">
        <v>15.0</v>
      </c>
      <c r="T118" s="183">
        <v>0.41</v>
      </c>
      <c r="U118" s="30">
        <v>5.0</v>
      </c>
      <c r="V118" s="30" t="s">
        <v>5121</v>
      </c>
    </row>
    <row r="119">
      <c r="A119" s="30">
        <v>168.0</v>
      </c>
      <c r="B119" s="30" t="s">
        <v>5122</v>
      </c>
      <c r="C119" s="30">
        <v>30.0</v>
      </c>
      <c r="D119" s="30" t="s">
        <v>4867</v>
      </c>
      <c r="E119" s="30" t="s">
        <v>4868</v>
      </c>
      <c r="F119" s="30">
        <v>32.0</v>
      </c>
      <c r="G119" s="30">
        <v>32.0</v>
      </c>
      <c r="H119" s="30">
        <v>1.0</v>
      </c>
      <c r="I119" s="30">
        <v>188.1</v>
      </c>
      <c r="J119" s="30">
        <v>44.0</v>
      </c>
      <c r="K119" s="30">
        <v>20.0</v>
      </c>
      <c r="L119" s="30">
        <v>23.0</v>
      </c>
      <c r="M119" s="30">
        <v>1.0</v>
      </c>
      <c r="N119" s="30">
        <v>0.0</v>
      </c>
      <c r="O119" s="30">
        <v>0.977</v>
      </c>
      <c r="P119" s="30">
        <v>2.05</v>
      </c>
      <c r="Q119" s="30">
        <v>1.34</v>
      </c>
      <c r="R119" s="30">
        <v>9.0</v>
      </c>
      <c r="S119" s="30">
        <v>10.0</v>
      </c>
      <c r="T119" s="183">
        <v>0.53</v>
      </c>
      <c r="U119" s="30">
        <v>1.0</v>
      </c>
      <c r="V119" s="30" t="s">
        <v>5123</v>
      </c>
    </row>
    <row r="120">
      <c r="A120" s="30">
        <v>171.0</v>
      </c>
      <c r="B120" s="30" t="s">
        <v>3073</v>
      </c>
      <c r="C120" s="30">
        <v>35.0</v>
      </c>
      <c r="D120" s="30" t="s">
        <v>5045</v>
      </c>
      <c r="E120" s="30" t="s">
        <v>4858</v>
      </c>
      <c r="F120" s="30">
        <v>69.0</v>
      </c>
      <c r="G120" s="30">
        <v>0.0</v>
      </c>
      <c r="H120" s="30">
        <v>0.0</v>
      </c>
      <c r="I120" s="30">
        <v>88.2</v>
      </c>
      <c r="J120" s="30">
        <v>21.0</v>
      </c>
      <c r="K120" s="30">
        <v>12.0</v>
      </c>
      <c r="L120" s="30">
        <v>8.0</v>
      </c>
      <c r="M120" s="30">
        <v>1.0</v>
      </c>
      <c r="N120" s="30">
        <v>2.0</v>
      </c>
      <c r="O120" s="30">
        <v>0.952</v>
      </c>
      <c r="P120" s="30">
        <v>2.03</v>
      </c>
      <c r="Q120" s="30">
        <v>0.29</v>
      </c>
      <c r="R120" s="30">
        <v>2.0</v>
      </c>
      <c r="S120" s="30">
        <v>2.0</v>
      </c>
      <c r="T120" s="183">
        <v>0.5</v>
      </c>
      <c r="U120" s="30">
        <v>0.0</v>
      </c>
      <c r="V120" s="30" t="s">
        <v>5124</v>
      </c>
    </row>
    <row r="121">
      <c r="A121" s="30">
        <v>172.0</v>
      </c>
      <c r="B121" s="30" t="s">
        <v>5125</v>
      </c>
      <c r="C121" s="30">
        <v>23.0</v>
      </c>
      <c r="D121" s="30" t="s">
        <v>4910</v>
      </c>
      <c r="E121" s="30" t="s">
        <v>4868</v>
      </c>
      <c r="F121" s="30">
        <v>64.0</v>
      </c>
      <c r="G121" s="30">
        <v>0.0</v>
      </c>
      <c r="H121" s="30">
        <v>0.0</v>
      </c>
      <c r="I121" s="30">
        <v>88.2</v>
      </c>
      <c r="J121" s="30">
        <v>21.0</v>
      </c>
      <c r="K121" s="30">
        <v>9.0</v>
      </c>
      <c r="L121" s="30">
        <v>11.0</v>
      </c>
      <c r="M121" s="30">
        <v>1.0</v>
      </c>
      <c r="N121" s="30">
        <v>1.0</v>
      </c>
      <c r="O121" s="30">
        <v>0.952</v>
      </c>
      <c r="P121" s="30">
        <v>2.03</v>
      </c>
      <c r="Q121" s="30">
        <v>0.31</v>
      </c>
      <c r="R121" s="30">
        <v>12.0</v>
      </c>
      <c r="S121" s="30">
        <v>3.0</v>
      </c>
      <c r="T121" s="183">
        <v>0.2</v>
      </c>
      <c r="U121" s="30">
        <v>1.0</v>
      </c>
      <c r="V121" s="30" t="s">
        <v>5126</v>
      </c>
    </row>
    <row r="122">
      <c r="A122" s="30">
        <v>173.0</v>
      </c>
      <c r="B122" s="30" t="s">
        <v>5127</v>
      </c>
      <c r="C122" s="30">
        <v>29.0</v>
      </c>
      <c r="D122" s="30" t="s">
        <v>4926</v>
      </c>
      <c r="E122" s="30" t="s">
        <v>4868</v>
      </c>
      <c r="F122" s="30">
        <v>82.0</v>
      </c>
      <c r="G122" s="30">
        <v>0.0</v>
      </c>
      <c r="H122" s="30">
        <v>0.0</v>
      </c>
      <c r="I122" s="30">
        <v>80.0</v>
      </c>
      <c r="J122" s="30">
        <v>18.0</v>
      </c>
      <c r="K122" s="30">
        <v>4.0</v>
      </c>
      <c r="L122" s="30">
        <v>14.0</v>
      </c>
      <c r="M122" s="30">
        <v>0.0</v>
      </c>
      <c r="N122" s="30">
        <v>2.0</v>
      </c>
      <c r="O122" s="30">
        <v>1.0</v>
      </c>
      <c r="P122" s="30">
        <v>2.03</v>
      </c>
      <c r="Q122" s="30">
        <v>0.22</v>
      </c>
      <c r="R122" s="30">
        <v>5.0</v>
      </c>
      <c r="S122" s="30">
        <v>0.0</v>
      </c>
      <c r="T122" s="183">
        <v>0.0</v>
      </c>
      <c r="U122" s="30">
        <v>0.0</v>
      </c>
      <c r="V122" s="30" t="s">
        <v>5128</v>
      </c>
    </row>
    <row r="123">
      <c r="A123" s="30">
        <v>174.0</v>
      </c>
      <c r="B123" s="30" t="s">
        <v>5129</v>
      </c>
      <c r="C123" s="30">
        <v>29.0</v>
      </c>
      <c r="D123" s="30" t="s">
        <v>4980</v>
      </c>
      <c r="E123" s="30" t="s">
        <v>4858</v>
      </c>
      <c r="F123" s="30">
        <v>31.0</v>
      </c>
      <c r="G123" s="30">
        <v>20.0</v>
      </c>
      <c r="H123" s="30">
        <v>0.0</v>
      </c>
      <c r="I123" s="30">
        <v>138.0</v>
      </c>
      <c r="J123" s="30">
        <v>33.0</v>
      </c>
      <c r="K123" s="30">
        <v>5.0</v>
      </c>
      <c r="L123" s="30">
        <v>26.0</v>
      </c>
      <c r="M123" s="30">
        <v>2.0</v>
      </c>
      <c r="N123" s="30">
        <v>4.0</v>
      </c>
      <c r="O123" s="30">
        <v>0.939</v>
      </c>
      <c r="P123" s="30">
        <v>2.02</v>
      </c>
      <c r="Q123" s="30">
        <v>1.0</v>
      </c>
      <c r="R123" s="30">
        <v>6.0</v>
      </c>
      <c r="S123" s="30">
        <v>2.0</v>
      </c>
      <c r="T123" s="183">
        <v>0.25</v>
      </c>
      <c r="U123" s="30">
        <v>1.0</v>
      </c>
      <c r="V123" s="30" t="s">
        <v>5130</v>
      </c>
    </row>
    <row r="124">
      <c r="A124" s="30">
        <v>175.0</v>
      </c>
      <c r="B124" s="30" t="s">
        <v>5131</v>
      </c>
      <c r="C124" s="30">
        <v>29.0</v>
      </c>
      <c r="D124" s="30" t="s">
        <v>4877</v>
      </c>
      <c r="E124" s="30" t="s">
        <v>4858</v>
      </c>
      <c r="F124" s="30">
        <v>44.0</v>
      </c>
      <c r="G124" s="30">
        <v>17.0</v>
      </c>
      <c r="H124" s="30">
        <v>0.0</v>
      </c>
      <c r="I124" s="30">
        <v>133.2</v>
      </c>
      <c r="J124" s="30">
        <v>30.0</v>
      </c>
      <c r="K124" s="30">
        <v>3.0</v>
      </c>
      <c r="L124" s="30">
        <v>27.0</v>
      </c>
      <c r="M124" s="30">
        <v>0.0</v>
      </c>
      <c r="N124" s="30">
        <v>0.0</v>
      </c>
      <c r="O124" s="30">
        <v>1.0</v>
      </c>
      <c r="P124" s="30">
        <v>2.02</v>
      </c>
      <c r="Q124" s="30">
        <v>0.68</v>
      </c>
      <c r="R124" s="30">
        <v>6.0</v>
      </c>
      <c r="S124" s="30">
        <v>3.0</v>
      </c>
      <c r="T124" s="183">
        <v>0.33</v>
      </c>
      <c r="U124" s="30">
        <v>2.0</v>
      </c>
      <c r="V124" s="30" t="s">
        <v>5132</v>
      </c>
    </row>
    <row r="125">
      <c r="A125" s="30">
        <v>176.0</v>
      </c>
      <c r="B125" s="30" t="s">
        <v>5133</v>
      </c>
      <c r="C125" s="30">
        <v>22.0</v>
      </c>
      <c r="D125" s="30" t="s">
        <v>4934</v>
      </c>
      <c r="E125" s="30" t="s">
        <v>4858</v>
      </c>
      <c r="F125" s="30">
        <v>31.0</v>
      </c>
      <c r="G125" s="30">
        <v>31.0</v>
      </c>
      <c r="H125" s="30">
        <v>1.0</v>
      </c>
      <c r="I125" s="30">
        <v>174.1</v>
      </c>
      <c r="J125" s="30">
        <v>40.0</v>
      </c>
      <c r="K125" s="30">
        <v>18.0</v>
      </c>
      <c r="L125" s="30">
        <v>21.0</v>
      </c>
      <c r="M125" s="30">
        <v>1.0</v>
      </c>
      <c r="N125" s="30">
        <v>2.0</v>
      </c>
      <c r="O125" s="30">
        <v>0.975</v>
      </c>
      <c r="P125" s="30">
        <v>2.01</v>
      </c>
      <c r="Q125" s="30">
        <v>1.26</v>
      </c>
      <c r="R125" s="30">
        <v>13.0</v>
      </c>
      <c r="S125" s="30">
        <v>4.0</v>
      </c>
      <c r="T125" s="183">
        <v>0.24</v>
      </c>
      <c r="U125" s="30">
        <v>0.0</v>
      </c>
      <c r="V125" s="30" t="s">
        <v>5134</v>
      </c>
    </row>
    <row r="126">
      <c r="A126" s="30">
        <v>177.0</v>
      </c>
      <c r="B126" s="30" t="s">
        <v>5135</v>
      </c>
      <c r="C126" s="30">
        <v>30.0</v>
      </c>
      <c r="D126" s="30" t="s">
        <v>4601</v>
      </c>
      <c r="E126" s="30" t="s">
        <v>4898</v>
      </c>
      <c r="F126" s="30">
        <v>43.0</v>
      </c>
      <c r="G126" s="30">
        <v>9.0</v>
      </c>
      <c r="H126" s="30">
        <v>0.0</v>
      </c>
      <c r="I126" s="30">
        <v>103.0</v>
      </c>
      <c r="J126" s="30">
        <v>23.0</v>
      </c>
      <c r="K126" s="30">
        <v>8.0</v>
      </c>
      <c r="L126" s="30">
        <v>15.0</v>
      </c>
      <c r="M126" s="30">
        <v>0.0</v>
      </c>
      <c r="N126" s="30">
        <v>1.0</v>
      </c>
      <c r="O126" s="30">
        <v>1.0</v>
      </c>
      <c r="P126" s="30">
        <v>2.01</v>
      </c>
      <c r="Q126" s="30">
        <v>0.53</v>
      </c>
      <c r="R126" s="30">
        <v>10.0</v>
      </c>
      <c r="S126" s="30">
        <v>0.0</v>
      </c>
      <c r="T126" s="183">
        <v>0.0</v>
      </c>
      <c r="U126" s="30">
        <v>0.0</v>
      </c>
      <c r="V126" s="30" t="s">
        <v>5136</v>
      </c>
    </row>
    <row r="127">
      <c r="A127" s="30">
        <v>183.0</v>
      </c>
      <c r="B127" s="30" t="s">
        <v>5137</v>
      </c>
      <c r="C127" s="30">
        <v>26.0</v>
      </c>
      <c r="D127" s="30" t="s">
        <v>4944</v>
      </c>
      <c r="E127" s="30" t="s">
        <v>4868</v>
      </c>
      <c r="F127" s="30">
        <v>33.0</v>
      </c>
      <c r="G127" s="30">
        <v>32.0</v>
      </c>
      <c r="H127" s="30">
        <v>5.0</v>
      </c>
      <c r="I127" s="30">
        <v>216.1</v>
      </c>
      <c r="J127" s="30">
        <v>49.0</v>
      </c>
      <c r="K127" s="30">
        <v>11.0</v>
      </c>
      <c r="L127" s="30">
        <v>37.0</v>
      </c>
      <c r="M127" s="30">
        <v>1.0</v>
      </c>
      <c r="N127" s="30">
        <v>5.0</v>
      </c>
      <c r="O127" s="30">
        <v>0.98</v>
      </c>
      <c r="P127" s="30">
        <v>2.0</v>
      </c>
      <c r="Q127" s="30">
        <v>1.45</v>
      </c>
      <c r="R127" s="30">
        <v>17.0</v>
      </c>
      <c r="S127" s="30">
        <v>6.0</v>
      </c>
      <c r="T127" s="183">
        <v>0.26</v>
      </c>
      <c r="U127" s="30">
        <v>6.0</v>
      </c>
      <c r="V127" s="30" t="s">
        <v>5138</v>
      </c>
    </row>
    <row r="128">
      <c r="A128" s="30">
        <v>185.0</v>
      </c>
      <c r="B128" s="30" t="s">
        <v>5139</v>
      </c>
      <c r="C128" s="30">
        <v>36.0</v>
      </c>
      <c r="D128" s="30" t="s">
        <v>4931</v>
      </c>
      <c r="E128" s="30" t="s">
        <v>4858</v>
      </c>
      <c r="F128" s="30">
        <v>33.0</v>
      </c>
      <c r="G128" s="30">
        <v>33.0</v>
      </c>
      <c r="H128" s="30">
        <v>4.0</v>
      </c>
      <c r="I128" s="30">
        <v>212.0</v>
      </c>
      <c r="J128" s="30">
        <v>47.0</v>
      </c>
      <c r="K128" s="30">
        <v>14.0</v>
      </c>
      <c r="L128" s="30">
        <v>33.0</v>
      </c>
      <c r="M128" s="30">
        <v>0.0</v>
      </c>
      <c r="N128" s="30">
        <v>2.0</v>
      </c>
      <c r="O128" s="30">
        <v>1.0</v>
      </c>
      <c r="P128" s="30">
        <v>2.0</v>
      </c>
      <c r="Q128" s="30">
        <v>1.42</v>
      </c>
      <c r="R128" s="30">
        <v>13.0</v>
      </c>
      <c r="S128" s="30">
        <v>7.0</v>
      </c>
      <c r="T128" s="183">
        <v>0.35</v>
      </c>
      <c r="U128" s="30">
        <v>1.0</v>
      </c>
      <c r="V128" s="30" t="s">
        <v>5140</v>
      </c>
    </row>
    <row r="129">
      <c r="A129" s="30">
        <v>182.0</v>
      </c>
      <c r="B129" s="30" t="s">
        <v>5141</v>
      </c>
      <c r="C129" s="30">
        <v>24.0</v>
      </c>
      <c r="D129" s="30" t="s">
        <v>4601</v>
      </c>
      <c r="E129" s="30" t="s">
        <v>4898</v>
      </c>
      <c r="F129" s="30">
        <v>41.0</v>
      </c>
      <c r="G129" s="30">
        <v>18.0</v>
      </c>
      <c r="H129" s="30">
        <v>0.0</v>
      </c>
      <c r="I129" s="30">
        <v>148.2</v>
      </c>
      <c r="J129" s="30">
        <v>35.0</v>
      </c>
      <c r="K129" s="30">
        <v>13.0</v>
      </c>
      <c r="L129" s="30">
        <v>20.0</v>
      </c>
      <c r="M129" s="30">
        <v>2.0</v>
      </c>
      <c r="N129" s="30">
        <v>0.0</v>
      </c>
      <c r="O129" s="30">
        <v>0.943</v>
      </c>
      <c r="P129" s="30">
        <v>2.0</v>
      </c>
      <c r="Q129" s="30">
        <v>0.8</v>
      </c>
      <c r="R129" s="30">
        <v>7.0</v>
      </c>
      <c r="S129" s="30">
        <v>2.0</v>
      </c>
      <c r="T129" s="183">
        <v>0.22</v>
      </c>
      <c r="U129" s="30">
        <v>1.0</v>
      </c>
      <c r="V129" s="30" t="s">
        <v>5142</v>
      </c>
    </row>
    <row r="130">
      <c r="A130" s="30">
        <v>184.0</v>
      </c>
      <c r="B130" s="30" t="s">
        <v>5143</v>
      </c>
      <c r="C130" s="30">
        <v>31.0</v>
      </c>
      <c r="D130" s="30" t="s">
        <v>4871</v>
      </c>
      <c r="E130" s="30" t="s">
        <v>4858</v>
      </c>
      <c r="F130" s="30">
        <v>66.0</v>
      </c>
      <c r="G130" s="30">
        <v>0.0</v>
      </c>
      <c r="H130" s="30">
        <v>0.0</v>
      </c>
      <c r="I130" s="30">
        <v>76.2</v>
      </c>
      <c r="J130" s="30">
        <v>18.0</v>
      </c>
      <c r="K130" s="30">
        <v>5.0</v>
      </c>
      <c r="L130" s="30">
        <v>12.0</v>
      </c>
      <c r="M130" s="30">
        <v>1.0</v>
      </c>
      <c r="N130" s="30">
        <v>0.0</v>
      </c>
      <c r="O130" s="30">
        <v>0.944</v>
      </c>
      <c r="P130" s="30">
        <v>2.0</v>
      </c>
      <c r="Q130" s="30">
        <v>0.26</v>
      </c>
      <c r="R130" s="30">
        <v>9.0</v>
      </c>
      <c r="S130" s="30">
        <v>1.0</v>
      </c>
      <c r="T130" s="183">
        <v>0.1</v>
      </c>
      <c r="U130" s="30">
        <v>2.0</v>
      </c>
      <c r="V130" s="30" t="s">
        <v>5144</v>
      </c>
    </row>
    <row r="131">
      <c r="A131" s="30">
        <v>186.0</v>
      </c>
      <c r="B131" s="30" t="s">
        <v>5145</v>
      </c>
      <c r="C131" s="30">
        <v>32.0</v>
      </c>
      <c r="D131" s="30" t="s">
        <v>4913</v>
      </c>
      <c r="E131" s="30" t="s">
        <v>4868</v>
      </c>
      <c r="F131" s="30">
        <v>57.0</v>
      </c>
      <c r="G131" s="30">
        <v>0.0</v>
      </c>
      <c r="H131" s="30">
        <v>0.0</v>
      </c>
      <c r="I131" s="30">
        <v>67.2</v>
      </c>
      <c r="J131" s="30">
        <v>16.0</v>
      </c>
      <c r="K131" s="30">
        <v>6.0</v>
      </c>
      <c r="L131" s="30">
        <v>9.0</v>
      </c>
      <c r="M131" s="30">
        <v>1.0</v>
      </c>
      <c r="N131" s="30">
        <v>0.0</v>
      </c>
      <c r="O131" s="30">
        <v>0.938</v>
      </c>
      <c r="P131" s="30">
        <v>2.0</v>
      </c>
      <c r="Q131" s="30">
        <v>0.26</v>
      </c>
      <c r="R131" s="30">
        <v>7.0</v>
      </c>
      <c r="S131" s="30">
        <v>4.0</v>
      </c>
      <c r="T131" s="183">
        <v>0.36</v>
      </c>
      <c r="U131" s="30">
        <v>0.0</v>
      </c>
      <c r="V131" s="30" t="s">
        <v>5146</v>
      </c>
    </row>
    <row r="132">
      <c r="A132" s="30">
        <v>179.0</v>
      </c>
      <c r="B132" s="30" t="s">
        <v>5147</v>
      </c>
      <c r="C132" s="30">
        <v>32.0</v>
      </c>
      <c r="D132" s="30" t="s">
        <v>4857</v>
      </c>
      <c r="E132" s="30" t="s">
        <v>4858</v>
      </c>
      <c r="F132" s="30">
        <v>53.0</v>
      </c>
      <c r="G132" s="30">
        <v>0.0</v>
      </c>
      <c r="H132" s="30">
        <v>0.0</v>
      </c>
      <c r="I132" s="30">
        <v>54.0</v>
      </c>
      <c r="J132" s="30">
        <v>13.0</v>
      </c>
      <c r="K132" s="30">
        <v>3.0</v>
      </c>
      <c r="L132" s="30">
        <v>9.0</v>
      </c>
      <c r="M132" s="30">
        <v>1.0</v>
      </c>
      <c r="N132" s="30">
        <v>0.0</v>
      </c>
      <c r="O132" s="30">
        <v>0.923</v>
      </c>
      <c r="P132" s="30">
        <v>2.0</v>
      </c>
      <c r="Q132" s="30">
        <v>0.23</v>
      </c>
      <c r="R132" s="30">
        <v>6.0</v>
      </c>
      <c r="S132" s="30">
        <v>3.0</v>
      </c>
      <c r="T132" s="183">
        <v>0.33</v>
      </c>
      <c r="U132" s="30">
        <v>1.0</v>
      </c>
      <c r="V132" s="30" t="s">
        <v>5148</v>
      </c>
    </row>
    <row r="133">
      <c r="A133" s="30">
        <v>190.0</v>
      </c>
      <c r="B133" s="30" t="s">
        <v>5149</v>
      </c>
      <c r="C133" s="30">
        <v>25.0</v>
      </c>
      <c r="D133" s="30" t="s">
        <v>4931</v>
      </c>
      <c r="E133" s="30" t="s">
        <v>4858</v>
      </c>
      <c r="F133" s="30">
        <v>25.0</v>
      </c>
      <c r="G133" s="30">
        <v>25.0</v>
      </c>
      <c r="H133" s="30">
        <v>1.0</v>
      </c>
      <c r="I133" s="30">
        <v>149.1</v>
      </c>
      <c r="J133" s="30">
        <v>35.0</v>
      </c>
      <c r="K133" s="30">
        <v>6.0</v>
      </c>
      <c r="L133" s="30">
        <v>27.0</v>
      </c>
      <c r="M133" s="30">
        <v>2.0</v>
      </c>
      <c r="N133" s="30">
        <v>0.0</v>
      </c>
      <c r="O133" s="30">
        <v>0.943</v>
      </c>
      <c r="P133" s="30">
        <v>1.99</v>
      </c>
      <c r="Q133" s="30">
        <v>1.32</v>
      </c>
      <c r="R133" s="30">
        <v>7.0</v>
      </c>
      <c r="S133" s="30">
        <v>3.0</v>
      </c>
      <c r="T133" s="183">
        <v>0.3</v>
      </c>
      <c r="U133" s="30">
        <v>0.0</v>
      </c>
      <c r="V133" s="30" t="s">
        <v>5150</v>
      </c>
    </row>
    <row r="134">
      <c r="A134" s="30">
        <v>187.0</v>
      </c>
      <c r="B134" s="30" t="s">
        <v>5151</v>
      </c>
      <c r="C134" s="30">
        <v>33.0</v>
      </c>
      <c r="D134" s="30" t="s">
        <v>4601</v>
      </c>
      <c r="E134" s="30" t="s">
        <v>4898</v>
      </c>
      <c r="F134" s="30">
        <v>81.0</v>
      </c>
      <c r="G134" s="30">
        <v>0.0</v>
      </c>
      <c r="H134" s="30">
        <v>0.0</v>
      </c>
      <c r="I134" s="30">
        <v>90.1</v>
      </c>
      <c r="J134" s="30">
        <v>20.0</v>
      </c>
      <c r="K134" s="30">
        <v>10.0</v>
      </c>
      <c r="L134" s="30">
        <v>10.0</v>
      </c>
      <c r="M134" s="30">
        <v>0.0</v>
      </c>
      <c r="N134" s="30">
        <v>1.0</v>
      </c>
      <c r="O134" s="30">
        <v>1.0</v>
      </c>
      <c r="P134" s="30">
        <v>1.99</v>
      </c>
      <c r="Q134" s="30">
        <v>0.25</v>
      </c>
      <c r="R134" s="30">
        <v>4.0</v>
      </c>
      <c r="S134" s="30">
        <v>3.0</v>
      </c>
      <c r="T134" s="183">
        <v>0.43</v>
      </c>
      <c r="U134" s="30">
        <v>3.0</v>
      </c>
      <c r="V134" s="30" t="s">
        <v>5152</v>
      </c>
    </row>
    <row r="135">
      <c r="A135" s="30">
        <v>188.0</v>
      </c>
      <c r="B135" s="30" t="s">
        <v>5153</v>
      </c>
      <c r="C135" s="30">
        <v>37.0</v>
      </c>
      <c r="D135" s="30" t="s">
        <v>4977</v>
      </c>
      <c r="E135" s="30" t="s">
        <v>4858</v>
      </c>
      <c r="F135" s="30">
        <v>22.0</v>
      </c>
      <c r="G135" s="30">
        <v>16.0</v>
      </c>
      <c r="H135" s="30">
        <v>0.0</v>
      </c>
      <c r="I135" s="30">
        <v>81.1</v>
      </c>
      <c r="J135" s="30">
        <v>19.0</v>
      </c>
      <c r="K135" s="30">
        <v>2.0</v>
      </c>
      <c r="L135" s="30">
        <v>16.0</v>
      </c>
      <c r="M135" s="30">
        <v>1.0</v>
      </c>
      <c r="N135" s="30">
        <v>1.0</v>
      </c>
      <c r="O135" s="30">
        <v>0.947</v>
      </c>
      <c r="P135" s="30">
        <v>1.99</v>
      </c>
      <c r="Q135" s="30">
        <v>0.82</v>
      </c>
      <c r="R135" s="30">
        <v>8.0</v>
      </c>
      <c r="S135" s="30">
        <v>2.0</v>
      </c>
      <c r="T135" s="183">
        <v>0.2</v>
      </c>
      <c r="U135" s="30">
        <v>0.0</v>
      </c>
      <c r="V135" s="30" t="s">
        <v>5154</v>
      </c>
    </row>
    <row r="136">
      <c r="A136" s="30">
        <v>191.0</v>
      </c>
      <c r="B136" s="30" t="s">
        <v>5155</v>
      </c>
      <c r="C136" s="30">
        <v>31.0</v>
      </c>
      <c r="D136" s="30" t="s">
        <v>4874</v>
      </c>
      <c r="E136" s="30" t="s">
        <v>4868</v>
      </c>
      <c r="F136" s="30">
        <v>72.0</v>
      </c>
      <c r="G136" s="30">
        <v>0.0</v>
      </c>
      <c r="H136" s="30">
        <v>0.0</v>
      </c>
      <c r="I136" s="30">
        <v>77.0</v>
      </c>
      <c r="J136" s="30">
        <v>17.0</v>
      </c>
      <c r="K136" s="30">
        <v>8.0</v>
      </c>
      <c r="L136" s="30">
        <v>9.0</v>
      </c>
      <c r="M136" s="30">
        <v>0.0</v>
      </c>
      <c r="N136" s="30">
        <v>2.0</v>
      </c>
      <c r="O136" s="30">
        <v>1.0</v>
      </c>
      <c r="P136" s="30">
        <v>1.99</v>
      </c>
      <c r="Q136" s="30">
        <v>0.24</v>
      </c>
      <c r="R136" s="30">
        <v>12.0</v>
      </c>
      <c r="S136" s="30">
        <v>2.0</v>
      </c>
      <c r="T136" s="183">
        <v>0.14</v>
      </c>
      <c r="U136" s="30">
        <v>0.0</v>
      </c>
      <c r="V136" s="30" t="s">
        <v>5156</v>
      </c>
    </row>
    <row r="137">
      <c r="A137" s="30">
        <v>189.0</v>
      </c>
      <c r="B137" s="30" t="s">
        <v>5157</v>
      </c>
      <c r="C137" s="30">
        <v>30.0</v>
      </c>
      <c r="D137" s="30" t="s">
        <v>5003</v>
      </c>
      <c r="E137" s="30" t="s">
        <v>4868</v>
      </c>
      <c r="F137" s="30">
        <v>65.0</v>
      </c>
      <c r="G137" s="30">
        <v>0.0</v>
      </c>
      <c r="H137" s="30">
        <v>0.0</v>
      </c>
      <c r="I137" s="30">
        <v>63.1</v>
      </c>
      <c r="J137" s="30">
        <v>14.0</v>
      </c>
      <c r="K137" s="30">
        <v>7.0</v>
      </c>
      <c r="L137" s="30">
        <v>7.0</v>
      </c>
      <c r="M137" s="30">
        <v>0.0</v>
      </c>
      <c r="N137" s="30">
        <v>2.0</v>
      </c>
      <c r="O137" s="30">
        <v>1.0</v>
      </c>
      <c r="P137" s="30">
        <v>1.99</v>
      </c>
      <c r="Q137" s="30">
        <v>0.22</v>
      </c>
      <c r="R137" s="30">
        <v>4.0</v>
      </c>
      <c r="S137" s="30">
        <v>0.0</v>
      </c>
      <c r="T137" s="183">
        <v>0.0</v>
      </c>
      <c r="U137" s="30">
        <v>0.0</v>
      </c>
      <c r="V137" s="30" t="s">
        <v>5158</v>
      </c>
    </row>
    <row r="138">
      <c r="A138" s="30">
        <v>193.0</v>
      </c>
      <c r="B138" s="30" t="s">
        <v>5159</v>
      </c>
      <c r="C138" s="30">
        <v>26.0</v>
      </c>
      <c r="D138" s="30" t="s">
        <v>4910</v>
      </c>
      <c r="E138" s="30" t="s">
        <v>4868</v>
      </c>
      <c r="F138" s="30">
        <v>16.0</v>
      </c>
      <c r="G138" s="30">
        <v>15.0</v>
      </c>
      <c r="H138" s="30">
        <v>1.0</v>
      </c>
      <c r="I138" s="30">
        <v>86.2</v>
      </c>
      <c r="J138" s="30">
        <v>21.0</v>
      </c>
      <c r="K138" s="30">
        <v>12.0</v>
      </c>
      <c r="L138" s="30">
        <v>7.0</v>
      </c>
      <c r="M138" s="30">
        <v>2.0</v>
      </c>
      <c r="N138" s="30">
        <v>0.0</v>
      </c>
      <c r="O138" s="30">
        <v>0.905</v>
      </c>
      <c r="P138" s="30">
        <v>1.97</v>
      </c>
      <c r="Q138" s="30">
        <v>1.19</v>
      </c>
      <c r="R138" s="30">
        <v>4.0</v>
      </c>
      <c r="S138" s="30">
        <v>1.0</v>
      </c>
      <c r="T138" s="183">
        <v>0.2</v>
      </c>
      <c r="U138" s="30">
        <v>0.0</v>
      </c>
      <c r="V138" s="30" t="s">
        <v>5160</v>
      </c>
    </row>
    <row r="139">
      <c r="A139" s="30">
        <v>197.0</v>
      </c>
      <c r="B139" s="30" t="s">
        <v>5161</v>
      </c>
      <c r="C139" s="30">
        <v>25.0</v>
      </c>
      <c r="D139" s="30" t="s">
        <v>4857</v>
      </c>
      <c r="E139" s="30" t="s">
        <v>4858</v>
      </c>
      <c r="F139" s="30">
        <v>34.0</v>
      </c>
      <c r="G139" s="30">
        <v>34.0</v>
      </c>
      <c r="H139" s="30">
        <v>2.0</v>
      </c>
      <c r="I139" s="30">
        <v>220.2</v>
      </c>
      <c r="J139" s="30">
        <v>52.0</v>
      </c>
      <c r="K139" s="30">
        <v>20.0</v>
      </c>
      <c r="L139" s="30">
        <v>28.0</v>
      </c>
      <c r="M139" s="30">
        <v>4.0</v>
      </c>
      <c r="N139" s="30">
        <v>5.0</v>
      </c>
      <c r="O139" s="30">
        <v>0.923</v>
      </c>
      <c r="P139" s="30">
        <v>1.96</v>
      </c>
      <c r="Q139" s="30">
        <v>1.41</v>
      </c>
      <c r="R139" s="30">
        <v>10.0</v>
      </c>
      <c r="S139" s="30">
        <v>8.0</v>
      </c>
      <c r="T139" s="183">
        <v>0.44</v>
      </c>
      <c r="U139" s="30">
        <v>1.0</v>
      </c>
      <c r="V139" s="30" t="s">
        <v>5162</v>
      </c>
    </row>
    <row r="140">
      <c r="A140" s="30">
        <v>195.0</v>
      </c>
      <c r="B140" s="30" t="s">
        <v>5163</v>
      </c>
      <c r="C140" s="30">
        <v>22.0</v>
      </c>
      <c r="D140" s="30" t="s">
        <v>4937</v>
      </c>
      <c r="E140" s="30" t="s">
        <v>4868</v>
      </c>
      <c r="F140" s="30">
        <v>32.0</v>
      </c>
      <c r="G140" s="30">
        <v>32.0</v>
      </c>
      <c r="H140" s="30">
        <v>1.0</v>
      </c>
      <c r="I140" s="30">
        <v>192.2</v>
      </c>
      <c r="J140" s="30">
        <v>43.0</v>
      </c>
      <c r="K140" s="30">
        <v>16.0</v>
      </c>
      <c r="L140" s="30">
        <v>26.0</v>
      </c>
      <c r="M140" s="30">
        <v>1.0</v>
      </c>
      <c r="N140" s="30">
        <v>0.0</v>
      </c>
      <c r="O140" s="30">
        <v>0.977</v>
      </c>
      <c r="P140" s="30">
        <v>1.96</v>
      </c>
      <c r="Q140" s="30">
        <v>1.31</v>
      </c>
      <c r="R140" s="30">
        <v>15.0</v>
      </c>
      <c r="S140" s="30">
        <v>5.0</v>
      </c>
      <c r="T140" s="183">
        <v>0.25</v>
      </c>
      <c r="U140" s="30">
        <v>0.0</v>
      </c>
      <c r="V140" s="30" t="s">
        <v>5164</v>
      </c>
    </row>
    <row r="141">
      <c r="A141" s="30">
        <v>194.0</v>
      </c>
      <c r="B141" s="30" t="s">
        <v>5165</v>
      </c>
      <c r="C141" s="30">
        <v>26.0</v>
      </c>
      <c r="D141" s="30" t="s">
        <v>5038</v>
      </c>
      <c r="E141" s="30" t="s">
        <v>4858</v>
      </c>
      <c r="F141" s="30">
        <v>54.0</v>
      </c>
      <c r="G141" s="30">
        <v>0.0</v>
      </c>
      <c r="H141" s="30">
        <v>0.0</v>
      </c>
      <c r="I141" s="30">
        <v>55.0</v>
      </c>
      <c r="J141" s="30">
        <v>12.0</v>
      </c>
      <c r="K141" s="30">
        <v>2.0</v>
      </c>
      <c r="L141" s="30">
        <v>10.0</v>
      </c>
      <c r="M141" s="30">
        <v>0.0</v>
      </c>
      <c r="N141" s="30">
        <v>0.0</v>
      </c>
      <c r="O141" s="30">
        <v>1.0</v>
      </c>
      <c r="P141" s="30">
        <v>1.96</v>
      </c>
      <c r="Q141" s="30">
        <v>0.22</v>
      </c>
      <c r="R141" s="30">
        <v>3.0</v>
      </c>
      <c r="S141" s="30">
        <v>2.0</v>
      </c>
      <c r="T141" s="183">
        <v>0.4</v>
      </c>
      <c r="U141" s="30">
        <v>0.0</v>
      </c>
      <c r="V141" s="30" t="s">
        <v>5166</v>
      </c>
    </row>
    <row r="142">
      <c r="A142" s="30">
        <v>201.0</v>
      </c>
      <c r="B142" s="30" t="s">
        <v>5167</v>
      </c>
      <c r="C142" s="30">
        <v>30.0</v>
      </c>
      <c r="D142" s="30" t="s">
        <v>4977</v>
      </c>
      <c r="E142" s="30" t="s">
        <v>4858</v>
      </c>
      <c r="F142" s="30">
        <v>33.0</v>
      </c>
      <c r="G142" s="30">
        <v>33.0</v>
      </c>
      <c r="H142" s="30">
        <v>5.0</v>
      </c>
      <c r="I142" s="30">
        <v>226.2</v>
      </c>
      <c r="J142" s="30">
        <v>50.0</v>
      </c>
      <c r="K142" s="30">
        <v>14.0</v>
      </c>
      <c r="L142" s="30">
        <v>35.0</v>
      </c>
      <c r="M142" s="30">
        <v>1.0</v>
      </c>
      <c r="N142" s="30">
        <v>4.0</v>
      </c>
      <c r="O142" s="30">
        <v>0.98</v>
      </c>
      <c r="P142" s="30">
        <v>1.95</v>
      </c>
      <c r="Q142" s="30">
        <v>1.48</v>
      </c>
      <c r="R142" s="30">
        <v>18.0</v>
      </c>
      <c r="S142" s="30">
        <v>13.0</v>
      </c>
      <c r="T142" s="183">
        <v>0.42</v>
      </c>
      <c r="U142" s="30">
        <v>1.0</v>
      </c>
      <c r="V142" s="30" t="s">
        <v>5168</v>
      </c>
    </row>
    <row r="143">
      <c r="A143" s="30">
        <v>200.0</v>
      </c>
      <c r="B143" s="30" t="s">
        <v>5169</v>
      </c>
      <c r="C143" s="30">
        <v>31.0</v>
      </c>
      <c r="D143" s="30" t="s">
        <v>4601</v>
      </c>
      <c r="E143" s="30" t="s">
        <v>4898</v>
      </c>
      <c r="F143" s="30">
        <v>61.0</v>
      </c>
      <c r="G143" s="30">
        <v>0.0</v>
      </c>
      <c r="H143" s="30">
        <v>0.0</v>
      </c>
      <c r="I143" s="30">
        <v>64.2</v>
      </c>
      <c r="J143" s="30">
        <v>14.0</v>
      </c>
      <c r="K143" s="30">
        <v>3.0</v>
      </c>
      <c r="L143" s="30">
        <v>11.0</v>
      </c>
      <c r="M143" s="30">
        <v>0.0</v>
      </c>
      <c r="N143" s="30">
        <v>0.0</v>
      </c>
      <c r="O143" s="30">
        <v>1.0</v>
      </c>
      <c r="P143" s="30">
        <v>1.95</v>
      </c>
      <c r="Q143" s="30">
        <v>0.23</v>
      </c>
      <c r="R143" s="30">
        <v>10.0</v>
      </c>
      <c r="S143" s="30">
        <v>1.0</v>
      </c>
      <c r="T143" s="183">
        <v>0.09</v>
      </c>
      <c r="U143" s="30">
        <v>0.0</v>
      </c>
      <c r="V143" s="30" t="s">
        <v>5170</v>
      </c>
    </row>
    <row r="144">
      <c r="A144" s="30">
        <v>198.0</v>
      </c>
      <c r="B144" s="30" t="s">
        <v>5171</v>
      </c>
      <c r="C144" s="30">
        <v>34.0</v>
      </c>
      <c r="D144" s="30" t="s">
        <v>5038</v>
      </c>
      <c r="E144" s="30" t="s">
        <v>4858</v>
      </c>
      <c r="F144" s="30">
        <v>37.0</v>
      </c>
      <c r="G144" s="30">
        <v>0.0</v>
      </c>
      <c r="H144" s="30">
        <v>0.0</v>
      </c>
      <c r="I144" s="30">
        <v>50.2</v>
      </c>
      <c r="J144" s="30">
        <v>12.0</v>
      </c>
      <c r="K144" s="30">
        <v>1.0</v>
      </c>
      <c r="L144" s="30">
        <v>10.0</v>
      </c>
      <c r="M144" s="30">
        <v>1.0</v>
      </c>
      <c r="N144" s="30">
        <v>1.0</v>
      </c>
      <c r="O144" s="30">
        <v>0.917</v>
      </c>
      <c r="P144" s="30">
        <v>1.95</v>
      </c>
      <c r="Q144" s="30">
        <v>0.3</v>
      </c>
      <c r="R144" s="30">
        <v>1.0</v>
      </c>
      <c r="S144" s="30">
        <v>1.0</v>
      </c>
      <c r="T144" s="183">
        <v>0.5</v>
      </c>
      <c r="U144" s="30">
        <v>0.0</v>
      </c>
      <c r="V144" s="30" t="s">
        <v>5172</v>
      </c>
    </row>
    <row r="145">
      <c r="A145" s="30">
        <v>202.0</v>
      </c>
      <c r="B145" s="30" t="s">
        <v>5173</v>
      </c>
      <c r="C145" s="30">
        <v>25.0</v>
      </c>
      <c r="D145" s="30" t="s">
        <v>4960</v>
      </c>
      <c r="E145" s="30" t="s">
        <v>4868</v>
      </c>
      <c r="F145" s="30">
        <v>32.0</v>
      </c>
      <c r="G145" s="30">
        <v>32.0</v>
      </c>
      <c r="H145" s="30">
        <v>5.0</v>
      </c>
      <c r="I145" s="30">
        <v>213.2</v>
      </c>
      <c r="J145" s="30">
        <v>47.0</v>
      </c>
      <c r="K145" s="30">
        <v>12.0</v>
      </c>
      <c r="L145" s="30">
        <v>34.0</v>
      </c>
      <c r="M145" s="30">
        <v>1.0</v>
      </c>
      <c r="N145" s="30">
        <v>1.0</v>
      </c>
      <c r="O145" s="30">
        <v>0.979</v>
      </c>
      <c r="P145" s="30">
        <v>1.94</v>
      </c>
      <c r="Q145" s="30">
        <v>1.44</v>
      </c>
      <c r="R145" s="30">
        <v>23.0</v>
      </c>
      <c r="S145" s="30">
        <v>12.0</v>
      </c>
      <c r="T145" s="183">
        <v>0.34</v>
      </c>
      <c r="U145" s="30">
        <v>0.0</v>
      </c>
      <c r="V145" s="30" t="s">
        <v>5174</v>
      </c>
    </row>
    <row r="146">
      <c r="A146" s="30">
        <v>205.0</v>
      </c>
      <c r="B146" s="30" t="s">
        <v>5175</v>
      </c>
      <c r="C146" s="30">
        <v>27.0</v>
      </c>
      <c r="D146" s="30" t="s">
        <v>4867</v>
      </c>
      <c r="E146" s="30" t="s">
        <v>4868</v>
      </c>
      <c r="F146" s="30">
        <v>70.0</v>
      </c>
      <c r="G146" s="30">
        <v>0.0</v>
      </c>
      <c r="H146" s="30">
        <v>0.0</v>
      </c>
      <c r="I146" s="30">
        <v>60.2</v>
      </c>
      <c r="J146" s="30">
        <v>13.0</v>
      </c>
      <c r="K146" s="30">
        <v>3.0</v>
      </c>
      <c r="L146" s="30">
        <v>10.0</v>
      </c>
      <c r="M146" s="30">
        <v>0.0</v>
      </c>
      <c r="N146" s="30">
        <v>1.0</v>
      </c>
      <c r="O146" s="30">
        <v>1.0</v>
      </c>
      <c r="P146" s="30">
        <v>1.93</v>
      </c>
      <c r="Q146" s="30">
        <v>0.19</v>
      </c>
      <c r="R146" s="30">
        <v>2.0</v>
      </c>
      <c r="S146" s="30">
        <v>1.0</v>
      </c>
      <c r="T146" s="183">
        <v>0.33</v>
      </c>
      <c r="U146" s="30">
        <v>1.0</v>
      </c>
      <c r="V146" s="30" t="s">
        <v>5176</v>
      </c>
    </row>
    <row r="147">
      <c r="A147" s="30">
        <v>206.0</v>
      </c>
      <c r="B147" s="30" t="s">
        <v>5177</v>
      </c>
      <c r="C147" s="30">
        <v>23.0</v>
      </c>
      <c r="D147" s="30" t="s">
        <v>4934</v>
      </c>
      <c r="E147" s="30" t="s">
        <v>4858</v>
      </c>
      <c r="F147" s="30">
        <v>33.0</v>
      </c>
      <c r="G147" s="30">
        <v>33.0</v>
      </c>
      <c r="H147" s="30">
        <v>9.0</v>
      </c>
      <c r="I147" s="30">
        <v>234.1</v>
      </c>
      <c r="J147" s="30">
        <v>50.0</v>
      </c>
      <c r="K147" s="30">
        <v>15.0</v>
      </c>
      <c r="L147" s="30">
        <v>35.0</v>
      </c>
      <c r="M147" s="30">
        <v>0.0</v>
      </c>
      <c r="N147" s="30">
        <v>3.0</v>
      </c>
      <c r="O147" s="30">
        <v>1.0</v>
      </c>
      <c r="P147" s="30">
        <v>1.92</v>
      </c>
      <c r="Q147" s="30">
        <v>1.52</v>
      </c>
      <c r="R147" s="30">
        <v>9.0</v>
      </c>
      <c r="S147" s="30">
        <v>11.0</v>
      </c>
      <c r="T147" s="183">
        <v>0.55</v>
      </c>
      <c r="U147" s="30">
        <v>3.0</v>
      </c>
      <c r="V147" s="30" t="s">
        <v>5178</v>
      </c>
    </row>
    <row r="148">
      <c r="A148" s="30">
        <v>211.0</v>
      </c>
      <c r="B148" s="30" t="s">
        <v>5179</v>
      </c>
      <c r="C148" s="30">
        <v>33.0</v>
      </c>
      <c r="D148" s="30" t="s">
        <v>4601</v>
      </c>
      <c r="E148" s="30" t="s">
        <v>4898</v>
      </c>
      <c r="F148" s="30">
        <v>33.0</v>
      </c>
      <c r="G148" s="30">
        <v>33.0</v>
      </c>
      <c r="H148" s="30">
        <v>3.0</v>
      </c>
      <c r="I148" s="30">
        <v>221.2</v>
      </c>
      <c r="J148" s="30">
        <v>48.0</v>
      </c>
      <c r="K148" s="30">
        <v>20.0</v>
      </c>
      <c r="L148" s="30">
        <v>27.0</v>
      </c>
      <c r="M148" s="30">
        <v>1.0</v>
      </c>
      <c r="N148" s="30">
        <v>2.0</v>
      </c>
      <c r="O148" s="30">
        <v>0.979</v>
      </c>
      <c r="P148" s="30">
        <v>1.91</v>
      </c>
      <c r="Q148" s="30">
        <v>1.42</v>
      </c>
      <c r="R148" s="30">
        <v>13.0</v>
      </c>
      <c r="S148" s="30">
        <v>5.0</v>
      </c>
      <c r="T148" s="183">
        <v>0.28</v>
      </c>
      <c r="U148" s="30">
        <v>0.0</v>
      </c>
      <c r="V148" s="30" t="s">
        <v>5180</v>
      </c>
    </row>
    <row r="149">
      <c r="A149" s="30">
        <v>207.0</v>
      </c>
      <c r="B149" s="30" t="s">
        <v>5181</v>
      </c>
      <c r="C149" s="30">
        <v>28.0</v>
      </c>
      <c r="D149" s="30" t="s">
        <v>4913</v>
      </c>
      <c r="E149" s="30" t="s">
        <v>4868</v>
      </c>
      <c r="F149" s="30">
        <v>62.0</v>
      </c>
      <c r="G149" s="30">
        <v>0.0</v>
      </c>
      <c r="H149" s="30">
        <v>0.0</v>
      </c>
      <c r="I149" s="30">
        <v>75.1</v>
      </c>
      <c r="J149" s="30">
        <v>21.0</v>
      </c>
      <c r="K149" s="30">
        <v>8.0</v>
      </c>
      <c r="L149" s="30">
        <v>8.0</v>
      </c>
      <c r="M149" s="30">
        <v>5.0</v>
      </c>
      <c r="N149" s="30">
        <v>1.0</v>
      </c>
      <c r="O149" s="30">
        <v>0.762</v>
      </c>
      <c r="P149" s="30">
        <v>1.91</v>
      </c>
      <c r="Q149" s="30">
        <v>0.26</v>
      </c>
      <c r="R149" s="30">
        <v>6.0</v>
      </c>
      <c r="S149" s="30">
        <v>1.0</v>
      </c>
      <c r="T149" s="183">
        <v>0.14</v>
      </c>
      <c r="U149" s="30">
        <v>0.0</v>
      </c>
      <c r="V149" s="30" t="s">
        <v>5182</v>
      </c>
    </row>
    <row r="150">
      <c r="A150" s="30">
        <v>210.0</v>
      </c>
      <c r="B150" s="30" t="s">
        <v>5183</v>
      </c>
      <c r="C150" s="30">
        <v>29.0</v>
      </c>
      <c r="D150" s="30" t="s">
        <v>4601</v>
      </c>
      <c r="E150" s="30" t="s">
        <v>4898</v>
      </c>
      <c r="F150" s="30">
        <v>46.0</v>
      </c>
      <c r="G150" s="30">
        <v>0.0</v>
      </c>
      <c r="H150" s="30">
        <v>0.0</v>
      </c>
      <c r="I150" s="30">
        <v>66.0</v>
      </c>
      <c r="J150" s="30">
        <v>14.0</v>
      </c>
      <c r="K150" s="30">
        <v>5.0</v>
      </c>
      <c r="L150" s="30">
        <v>9.0</v>
      </c>
      <c r="M150" s="30">
        <v>0.0</v>
      </c>
      <c r="N150" s="30">
        <v>0.0</v>
      </c>
      <c r="O150" s="30">
        <v>1.0</v>
      </c>
      <c r="P150" s="30">
        <v>1.91</v>
      </c>
      <c r="Q150" s="30">
        <v>0.3</v>
      </c>
      <c r="R150" s="30">
        <v>3.0</v>
      </c>
      <c r="S150" s="30">
        <v>5.0</v>
      </c>
      <c r="T150" s="183">
        <v>0.63</v>
      </c>
      <c r="U150" s="30">
        <v>1.0</v>
      </c>
      <c r="V150" s="30" t="s">
        <v>5184</v>
      </c>
    </row>
    <row r="151">
      <c r="A151" s="30">
        <v>212.0</v>
      </c>
      <c r="B151" s="30" t="s">
        <v>5185</v>
      </c>
      <c r="C151" s="30">
        <v>35.0</v>
      </c>
      <c r="D151" s="30" t="s">
        <v>4874</v>
      </c>
      <c r="E151" s="30" t="s">
        <v>4868</v>
      </c>
      <c r="F151" s="30">
        <v>23.0</v>
      </c>
      <c r="G151" s="30">
        <v>21.0</v>
      </c>
      <c r="H151" s="30">
        <v>1.0</v>
      </c>
      <c r="I151" s="30">
        <v>108.2</v>
      </c>
      <c r="J151" s="30">
        <v>24.0</v>
      </c>
      <c r="K151" s="30">
        <v>8.0</v>
      </c>
      <c r="L151" s="30">
        <v>15.0</v>
      </c>
      <c r="M151" s="30">
        <v>1.0</v>
      </c>
      <c r="N151" s="30">
        <v>1.0</v>
      </c>
      <c r="O151" s="30">
        <v>0.958</v>
      </c>
      <c r="P151" s="30">
        <v>1.9</v>
      </c>
      <c r="Q151" s="30">
        <v>1.0</v>
      </c>
      <c r="R151" s="30">
        <v>16.0</v>
      </c>
      <c r="S151" s="30">
        <v>3.0</v>
      </c>
      <c r="T151" s="183">
        <v>0.16</v>
      </c>
      <c r="U151" s="30">
        <v>1.0</v>
      </c>
      <c r="V151" s="30" t="s">
        <v>5186</v>
      </c>
    </row>
    <row r="152">
      <c r="A152" s="30">
        <v>213.0</v>
      </c>
      <c r="B152" s="30" t="s">
        <v>5187</v>
      </c>
      <c r="C152" s="30">
        <v>41.0</v>
      </c>
      <c r="D152" s="30" t="s">
        <v>4601</v>
      </c>
      <c r="E152" s="30" t="s">
        <v>4898</v>
      </c>
      <c r="F152" s="30">
        <v>69.0</v>
      </c>
      <c r="G152" s="30">
        <v>0.0</v>
      </c>
      <c r="H152" s="30">
        <v>0.0</v>
      </c>
      <c r="I152" s="30">
        <v>85.1</v>
      </c>
      <c r="J152" s="30">
        <v>19.0</v>
      </c>
      <c r="K152" s="30">
        <v>4.0</v>
      </c>
      <c r="L152" s="30">
        <v>14.0</v>
      </c>
      <c r="M152" s="30">
        <v>1.0</v>
      </c>
      <c r="N152" s="30">
        <v>2.0</v>
      </c>
      <c r="O152" s="30">
        <v>0.947</v>
      </c>
      <c r="P152" s="30">
        <v>1.9</v>
      </c>
      <c r="Q152" s="30">
        <v>0.26</v>
      </c>
      <c r="R152" s="30">
        <v>2.0</v>
      </c>
      <c r="S152" s="30">
        <v>1.0</v>
      </c>
      <c r="T152" s="183">
        <v>0.33</v>
      </c>
      <c r="U152" s="30">
        <v>0.0</v>
      </c>
      <c r="V152" s="30" t="s">
        <v>5188</v>
      </c>
    </row>
    <row r="153">
      <c r="A153" s="30">
        <v>214.0</v>
      </c>
      <c r="B153" s="30" t="s">
        <v>5189</v>
      </c>
      <c r="C153" s="30">
        <v>25.0</v>
      </c>
      <c r="D153" s="30" t="s">
        <v>4601</v>
      </c>
      <c r="E153" s="30" t="s">
        <v>4898</v>
      </c>
      <c r="F153" s="30">
        <v>53.0</v>
      </c>
      <c r="G153" s="30">
        <v>0.0</v>
      </c>
      <c r="H153" s="30">
        <v>0.0</v>
      </c>
      <c r="I153" s="30">
        <v>76.0</v>
      </c>
      <c r="J153" s="30">
        <v>18.0</v>
      </c>
      <c r="K153" s="30">
        <v>7.0</v>
      </c>
      <c r="L153" s="30">
        <v>9.0</v>
      </c>
      <c r="M153" s="30">
        <v>2.0</v>
      </c>
      <c r="N153" s="30">
        <v>0.0</v>
      </c>
      <c r="O153" s="30">
        <v>0.889</v>
      </c>
      <c r="P153" s="30">
        <v>1.89</v>
      </c>
      <c r="Q153" s="30">
        <v>0.3</v>
      </c>
      <c r="R153" s="30">
        <v>3.0</v>
      </c>
      <c r="S153" s="30">
        <v>5.0</v>
      </c>
      <c r="T153" s="183">
        <v>0.63</v>
      </c>
      <c r="U153" s="30">
        <v>0.0</v>
      </c>
      <c r="V153" s="30" t="s">
        <v>5190</v>
      </c>
    </row>
    <row r="154">
      <c r="A154" s="30">
        <v>217.0</v>
      </c>
      <c r="B154" s="30" t="s">
        <v>5191</v>
      </c>
      <c r="C154" s="30">
        <v>21.0</v>
      </c>
      <c r="D154" s="30" t="s">
        <v>4861</v>
      </c>
      <c r="E154" s="30" t="s">
        <v>4858</v>
      </c>
      <c r="F154" s="30">
        <v>33.0</v>
      </c>
      <c r="G154" s="30">
        <v>32.0</v>
      </c>
      <c r="H154" s="30">
        <v>0.0</v>
      </c>
      <c r="I154" s="30">
        <v>172.1</v>
      </c>
      <c r="J154" s="30">
        <v>36.0</v>
      </c>
      <c r="K154" s="30">
        <v>12.0</v>
      </c>
      <c r="L154" s="30">
        <v>24.0</v>
      </c>
      <c r="M154" s="30">
        <v>0.0</v>
      </c>
      <c r="N154" s="30">
        <v>3.0</v>
      </c>
      <c r="O154" s="30">
        <v>1.0</v>
      </c>
      <c r="P154" s="30">
        <v>1.88</v>
      </c>
      <c r="Q154" s="30">
        <v>1.09</v>
      </c>
      <c r="R154" s="30">
        <v>9.0</v>
      </c>
      <c r="S154" s="30">
        <v>9.0</v>
      </c>
      <c r="T154" s="183">
        <v>0.5</v>
      </c>
      <c r="U154" s="30">
        <v>2.0</v>
      </c>
      <c r="V154" s="30" t="s">
        <v>5192</v>
      </c>
    </row>
    <row r="155">
      <c r="A155" s="30">
        <v>215.0</v>
      </c>
      <c r="B155" s="30" t="s">
        <v>5193</v>
      </c>
      <c r="C155" s="30">
        <v>23.0</v>
      </c>
      <c r="D155" s="30" t="s">
        <v>4880</v>
      </c>
      <c r="E155" s="30" t="s">
        <v>4868</v>
      </c>
      <c r="F155" s="30">
        <v>54.0</v>
      </c>
      <c r="G155" s="30">
        <v>2.0</v>
      </c>
      <c r="H155" s="30">
        <v>0.0</v>
      </c>
      <c r="I155" s="30">
        <v>100.1</v>
      </c>
      <c r="J155" s="30">
        <v>22.0</v>
      </c>
      <c r="K155" s="30">
        <v>5.0</v>
      </c>
      <c r="L155" s="30">
        <v>16.0</v>
      </c>
      <c r="M155" s="30">
        <v>1.0</v>
      </c>
      <c r="N155" s="30">
        <v>1.0</v>
      </c>
      <c r="O155" s="30">
        <v>0.955</v>
      </c>
      <c r="P155" s="30">
        <v>1.88</v>
      </c>
      <c r="Q155" s="30">
        <v>0.39</v>
      </c>
      <c r="R155" s="30">
        <v>9.0</v>
      </c>
      <c r="S155" s="30">
        <v>2.0</v>
      </c>
      <c r="T155" s="183">
        <v>0.18</v>
      </c>
      <c r="U155" s="30">
        <v>1.0</v>
      </c>
      <c r="V155" s="30" t="s">
        <v>5194</v>
      </c>
    </row>
    <row r="156">
      <c r="A156" s="30">
        <v>216.0</v>
      </c>
      <c r="B156" s="30" t="s">
        <v>5195</v>
      </c>
      <c r="C156" s="30">
        <v>24.0</v>
      </c>
      <c r="D156" s="30" t="s">
        <v>5038</v>
      </c>
      <c r="E156" s="30" t="s">
        <v>4858</v>
      </c>
      <c r="F156" s="30">
        <v>18.0</v>
      </c>
      <c r="G156" s="30">
        <v>18.0</v>
      </c>
      <c r="H156" s="30">
        <v>1.0</v>
      </c>
      <c r="I156" s="30">
        <v>100.1</v>
      </c>
      <c r="J156" s="30">
        <v>21.0</v>
      </c>
      <c r="K156" s="30">
        <v>3.0</v>
      </c>
      <c r="L156" s="30">
        <v>18.0</v>
      </c>
      <c r="M156" s="30">
        <v>0.0</v>
      </c>
      <c r="N156" s="30">
        <v>1.0</v>
      </c>
      <c r="O156" s="30">
        <v>1.0</v>
      </c>
      <c r="P156" s="30">
        <v>1.88</v>
      </c>
      <c r="Q156" s="30">
        <v>1.17</v>
      </c>
      <c r="R156" s="30">
        <v>7.0</v>
      </c>
      <c r="S156" s="30">
        <v>3.0</v>
      </c>
      <c r="T156" s="183">
        <v>0.3</v>
      </c>
      <c r="U156" s="30">
        <v>0.0</v>
      </c>
      <c r="V156" s="30" t="s">
        <v>5196</v>
      </c>
    </row>
    <row r="157">
      <c r="A157" s="30">
        <v>218.0</v>
      </c>
      <c r="B157" s="30" t="s">
        <v>5197</v>
      </c>
      <c r="C157" s="30">
        <v>25.0</v>
      </c>
      <c r="D157" s="30" t="s">
        <v>4886</v>
      </c>
      <c r="E157" s="30" t="s">
        <v>4868</v>
      </c>
      <c r="F157" s="30">
        <v>47.0</v>
      </c>
      <c r="G157" s="30">
        <v>8.0</v>
      </c>
      <c r="H157" s="30">
        <v>0.0</v>
      </c>
      <c r="I157" s="30">
        <v>96.0</v>
      </c>
      <c r="J157" s="30">
        <v>21.0</v>
      </c>
      <c r="K157" s="30">
        <v>5.0</v>
      </c>
      <c r="L157" s="30">
        <v>15.0</v>
      </c>
      <c r="M157" s="30">
        <v>1.0</v>
      </c>
      <c r="N157" s="30">
        <v>1.0</v>
      </c>
      <c r="O157" s="30">
        <v>0.952</v>
      </c>
      <c r="P157" s="30">
        <v>1.88</v>
      </c>
      <c r="Q157" s="30">
        <v>0.43</v>
      </c>
      <c r="R157" s="30">
        <v>11.0</v>
      </c>
      <c r="S157" s="30">
        <v>2.0</v>
      </c>
      <c r="T157" s="183">
        <v>0.15</v>
      </c>
      <c r="U157" s="30">
        <v>0.0</v>
      </c>
      <c r="V157" s="30" t="s">
        <v>5198</v>
      </c>
    </row>
    <row r="158">
      <c r="A158" s="30">
        <v>222.0</v>
      </c>
      <c r="B158" s="30" t="s">
        <v>5199</v>
      </c>
      <c r="C158" s="30">
        <v>30.0</v>
      </c>
      <c r="D158" s="30" t="s">
        <v>4947</v>
      </c>
      <c r="E158" s="30" t="s">
        <v>4858</v>
      </c>
      <c r="F158" s="30">
        <v>34.0</v>
      </c>
      <c r="G158" s="30">
        <v>34.0</v>
      </c>
      <c r="H158" s="30">
        <v>1.0</v>
      </c>
      <c r="I158" s="30">
        <v>231.1</v>
      </c>
      <c r="J158" s="30">
        <v>48.0</v>
      </c>
      <c r="K158" s="30">
        <v>23.0</v>
      </c>
      <c r="L158" s="30">
        <v>25.0</v>
      </c>
      <c r="M158" s="30">
        <v>0.0</v>
      </c>
      <c r="N158" s="30">
        <v>2.0</v>
      </c>
      <c r="O158" s="30">
        <v>1.0</v>
      </c>
      <c r="P158" s="30">
        <v>1.87</v>
      </c>
      <c r="Q158" s="30">
        <v>1.41</v>
      </c>
      <c r="R158" s="30">
        <v>24.0</v>
      </c>
      <c r="S158" s="30">
        <v>11.0</v>
      </c>
      <c r="T158" s="183">
        <v>0.31</v>
      </c>
      <c r="U158" s="30">
        <v>0.0</v>
      </c>
      <c r="V158" s="30" t="s">
        <v>5200</v>
      </c>
    </row>
    <row r="159">
      <c r="A159" s="30">
        <v>221.0</v>
      </c>
      <c r="B159" s="30" t="s">
        <v>5201</v>
      </c>
      <c r="C159" s="30">
        <v>26.0</v>
      </c>
      <c r="D159" s="30" t="s">
        <v>5003</v>
      </c>
      <c r="E159" s="30" t="s">
        <v>4868</v>
      </c>
      <c r="F159" s="30">
        <v>33.0</v>
      </c>
      <c r="G159" s="30">
        <v>33.0</v>
      </c>
      <c r="H159" s="30">
        <v>4.0</v>
      </c>
      <c r="I159" s="30">
        <v>221.1</v>
      </c>
      <c r="J159" s="30">
        <v>47.0</v>
      </c>
      <c r="K159" s="30">
        <v>11.0</v>
      </c>
      <c r="L159" s="30">
        <v>35.0</v>
      </c>
      <c r="M159" s="30">
        <v>1.0</v>
      </c>
      <c r="N159" s="30">
        <v>1.0</v>
      </c>
      <c r="O159" s="30">
        <v>0.979</v>
      </c>
      <c r="P159" s="30">
        <v>1.87</v>
      </c>
      <c r="Q159" s="30">
        <v>1.39</v>
      </c>
      <c r="R159" s="30">
        <v>11.0</v>
      </c>
      <c r="S159" s="30">
        <v>9.0</v>
      </c>
      <c r="T159" s="183">
        <v>0.45</v>
      </c>
      <c r="U159" s="30">
        <v>2.0</v>
      </c>
      <c r="V159" s="30" t="s">
        <v>5202</v>
      </c>
    </row>
    <row r="160">
      <c r="A160" s="30">
        <v>219.0</v>
      </c>
      <c r="B160" s="30" t="s">
        <v>5203</v>
      </c>
      <c r="C160" s="30">
        <v>29.0</v>
      </c>
      <c r="D160" s="30" t="s">
        <v>4926</v>
      </c>
      <c r="E160" s="30" t="s">
        <v>4868</v>
      </c>
      <c r="F160" s="30">
        <v>29.0</v>
      </c>
      <c r="G160" s="30">
        <v>29.0</v>
      </c>
      <c r="H160" s="30">
        <v>0.0</v>
      </c>
      <c r="I160" s="30">
        <v>177.2</v>
      </c>
      <c r="J160" s="30">
        <v>39.0</v>
      </c>
      <c r="K160" s="30">
        <v>15.0</v>
      </c>
      <c r="L160" s="30">
        <v>22.0</v>
      </c>
      <c r="M160" s="30">
        <v>2.0</v>
      </c>
      <c r="N160" s="30">
        <v>1.0</v>
      </c>
      <c r="O160" s="30">
        <v>0.949</v>
      </c>
      <c r="P160" s="30">
        <v>1.87</v>
      </c>
      <c r="Q160" s="30">
        <v>1.28</v>
      </c>
      <c r="R160" s="30">
        <v>12.0</v>
      </c>
      <c r="S160" s="30">
        <v>4.0</v>
      </c>
      <c r="T160" s="183">
        <v>0.25</v>
      </c>
      <c r="U160" s="30">
        <v>0.0</v>
      </c>
      <c r="V160" s="30" t="s">
        <v>5204</v>
      </c>
    </row>
    <row r="161">
      <c r="A161" s="30">
        <v>220.0</v>
      </c>
      <c r="B161" s="30" t="s">
        <v>5205</v>
      </c>
      <c r="C161" s="30">
        <v>22.0</v>
      </c>
      <c r="D161" s="30" t="s">
        <v>4861</v>
      </c>
      <c r="E161" s="30" t="s">
        <v>4858</v>
      </c>
      <c r="F161" s="30">
        <v>24.0</v>
      </c>
      <c r="G161" s="30">
        <v>23.0</v>
      </c>
      <c r="H161" s="30">
        <v>0.0</v>
      </c>
      <c r="I161" s="30">
        <v>134.2</v>
      </c>
      <c r="J161" s="30">
        <v>30.0</v>
      </c>
      <c r="K161" s="30">
        <v>15.0</v>
      </c>
      <c r="L161" s="30">
        <v>13.0</v>
      </c>
      <c r="M161" s="30">
        <v>2.0</v>
      </c>
      <c r="N161" s="30">
        <v>1.0</v>
      </c>
      <c r="O161" s="30">
        <v>0.933</v>
      </c>
      <c r="P161" s="30">
        <v>1.87</v>
      </c>
      <c r="Q161" s="30">
        <v>1.17</v>
      </c>
      <c r="R161" s="30">
        <v>17.0</v>
      </c>
      <c r="S161" s="30">
        <v>6.0</v>
      </c>
      <c r="T161" s="183">
        <v>0.26</v>
      </c>
      <c r="U161" s="30">
        <v>0.0</v>
      </c>
      <c r="V161" s="30" t="s">
        <v>5206</v>
      </c>
    </row>
    <row r="162">
      <c r="A162" s="30">
        <v>223.0</v>
      </c>
      <c r="B162" s="30" t="s">
        <v>5207</v>
      </c>
      <c r="C162" s="30">
        <v>27.0</v>
      </c>
      <c r="D162" s="30" t="s">
        <v>4977</v>
      </c>
      <c r="E162" s="30" t="s">
        <v>4858</v>
      </c>
      <c r="F162" s="30">
        <v>34.0</v>
      </c>
      <c r="G162" s="30">
        <v>34.0</v>
      </c>
      <c r="H162" s="30">
        <v>0.0</v>
      </c>
      <c r="I162" s="30">
        <v>217.1</v>
      </c>
      <c r="J162" s="30">
        <v>48.0</v>
      </c>
      <c r="K162" s="30">
        <v>15.0</v>
      </c>
      <c r="L162" s="30">
        <v>30.0</v>
      </c>
      <c r="M162" s="30">
        <v>3.0</v>
      </c>
      <c r="N162" s="30">
        <v>3.0</v>
      </c>
      <c r="O162" s="30">
        <v>0.938</v>
      </c>
      <c r="P162" s="30">
        <v>1.86</v>
      </c>
      <c r="Q162" s="30">
        <v>1.32</v>
      </c>
      <c r="R162" s="30">
        <v>12.0</v>
      </c>
      <c r="S162" s="30">
        <v>8.0</v>
      </c>
      <c r="T162" s="183">
        <v>0.4</v>
      </c>
      <c r="U162" s="30">
        <v>0.0</v>
      </c>
      <c r="V162" s="30" t="s">
        <v>5208</v>
      </c>
    </row>
    <row r="163">
      <c r="A163" s="30">
        <v>228.0</v>
      </c>
      <c r="B163" s="30" t="s">
        <v>5209</v>
      </c>
      <c r="C163" s="30">
        <v>24.0</v>
      </c>
      <c r="D163" s="30" t="s">
        <v>4857</v>
      </c>
      <c r="E163" s="30" t="s">
        <v>4858</v>
      </c>
      <c r="F163" s="30">
        <v>27.0</v>
      </c>
      <c r="G163" s="30">
        <v>27.0</v>
      </c>
      <c r="H163" s="30">
        <v>2.0</v>
      </c>
      <c r="I163" s="30">
        <v>174.0</v>
      </c>
      <c r="J163" s="30">
        <v>37.0</v>
      </c>
      <c r="K163" s="30">
        <v>12.0</v>
      </c>
      <c r="L163" s="30">
        <v>24.0</v>
      </c>
      <c r="M163" s="30">
        <v>1.0</v>
      </c>
      <c r="N163" s="30">
        <v>1.0</v>
      </c>
      <c r="O163" s="30">
        <v>0.973</v>
      </c>
      <c r="P163" s="30">
        <v>1.86</v>
      </c>
      <c r="Q163" s="30">
        <v>1.33</v>
      </c>
      <c r="R163" s="30">
        <v>11.0</v>
      </c>
      <c r="S163" s="30">
        <v>5.0</v>
      </c>
      <c r="T163" s="183">
        <v>0.31</v>
      </c>
      <c r="U163" s="30">
        <v>0.0</v>
      </c>
      <c r="V163" s="30" t="s">
        <v>5210</v>
      </c>
    </row>
    <row r="164">
      <c r="A164" s="30">
        <v>229.0</v>
      </c>
      <c r="B164" s="30" t="s">
        <v>5211</v>
      </c>
      <c r="C164" s="30">
        <v>23.0</v>
      </c>
      <c r="D164" s="30" t="s">
        <v>4867</v>
      </c>
      <c r="E164" s="30" t="s">
        <v>4868</v>
      </c>
      <c r="F164" s="30">
        <v>38.0</v>
      </c>
      <c r="G164" s="30">
        <v>25.0</v>
      </c>
      <c r="H164" s="30">
        <v>2.0</v>
      </c>
      <c r="I164" s="30">
        <v>174.2</v>
      </c>
      <c r="J164" s="30">
        <v>38.0</v>
      </c>
      <c r="K164" s="30">
        <v>8.0</v>
      </c>
      <c r="L164" s="30">
        <v>28.0</v>
      </c>
      <c r="M164" s="30">
        <v>2.0</v>
      </c>
      <c r="N164" s="30">
        <v>1.0</v>
      </c>
      <c r="O164" s="30">
        <v>0.947</v>
      </c>
      <c r="P164" s="30">
        <v>1.85</v>
      </c>
      <c r="Q164" s="30">
        <v>0.95</v>
      </c>
      <c r="R164" s="30">
        <v>9.0</v>
      </c>
      <c r="S164" s="30">
        <v>2.0</v>
      </c>
      <c r="T164" s="183">
        <v>0.18</v>
      </c>
      <c r="U164" s="30">
        <v>2.0</v>
      </c>
      <c r="V164" s="30" t="s">
        <v>5212</v>
      </c>
    </row>
    <row r="165">
      <c r="A165" s="30">
        <v>231.0</v>
      </c>
      <c r="B165" s="30" t="s">
        <v>5213</v>
      </c>
      <c r="C165" s="30">
        <v>27.0</v>
      </c>
      <c r="D165" s="30" t="s">
        <v>4901</v>
      </c>
      <c r="E165" s="30" t="s">
        <v>4868</v>
      </c>
      <c r="F165" s="30">
        <v>28.0</v>
      </c>
      <c r="G165" s="30">
        <v>14.0</v>
      </c>
      <c r="H165" s="30">
        <v>1.0</v>
      </c>
      <c r="I165" s="30">
        <v>92.1</v>
      </c>
      <c r="J165" s="30">
        <v>19.0</v>
      </c>
      <c r="K165" s="30">
        <v>4.0</v>
      </c>
      <c r="L165" s="30">
        <v>15.0</v>
      </c>
      <c r="M165" s="30">
        <v>0.0</v>
      </c>
      <c r="N165" s="30">
        <v>0.0</v>
      </c>
      <c r="O165" s="30">
        <v>1.0</v>
      </c>
      <c r="P165" s="30">
        <v>1.85</v>
      </c>
      <c r="Q165" s="30">
        <v>0.68</v>
      </c>
      <c r="R165" s="30">
        <v>18.0</v>
      </c>
      <c r="S165" s="30">
        <v>4.0</v>
      </c>
      <c r="T165" s="183">
        <v>0.18</v>
      </c>
      <c r="U165" s="30">
        <v>2.0</v>
      </c>
      <c r="V165" s="30" t="s">
        <v>5214</v>
      </c>
    </row>
    <row r="166">
      <c r="A166" s="30">
        <v>230.0</v>
      </c>
      <c r="B166" s="30" t="s">
        <v>5215</v>
      </c>
      <c r="C166" s="30">
        <v>25.0</v>
      </c>
      <c r="D166" s="30" t="s">
        <v>4947</v>
      </c>
      <c r="E166" s="30" t="s">
        <v>4858</v>
      </c>
      <c r="F166" s="30">
        <v>45.0</v>
      </c>
      <c r="G166" s="30">
        <v>6.0</v>
      </c>
      <c r="H166" s="30">
        <v>0.0</v>
      </c>
      <c r="I166" s="30">
        <v>77.2</v>
      </c>
      <c r="J166" s="30">
        <v>17.0</v>
      </c>
      <c r="K166" s="30">
        <v>4.0</v>
      </c>
      <c r="L166" s="30">
        <v>12.0</v>
      </c>
      <c r="M166" s="30">
        <v>1.0</v>
      </c>
      <c r="N166" s="30">
        <v>1.0</v>
      </c>
      <c r="O166" s="30">
        <v>0.941</v>
      </c>
      <c r="P166" s="30">
        <v>1.85</v>
      </c>
      <c r="Q166" s="30">
        <v>0.36</v>
      </c>
      <c r="R166" s="30">
        <v>7.0</v>
      </c>
      <c r="S166" s="30">
        <v>1.0</v>
      </c>
      <c r="T166" s="183">
        <v>0.13</v>
      </c>
      <c r="U166" s="30">
        <v>1.0</v>
      </c>
      <c r="V166" s="30" t="s">
        <v>5216</v>
      </c>
    </row>
    <row r="167">
      <c r="A167" s="30">
        <v>236.0</v>
      </c>
      <c r="B167" s="30" t="s">
        <v>5217</v>
      </c>
      <c r="C167" s="30">
        <v>27.0</v>
      </c>
      <c r="D167" s="30" t="s">
        <v>4880</v>
      </c>
      <c r="E167" s="30" t="s">
        <v>4868</v>
      </c>
      <c r="F167" s="30">
        <v>33.0</v>
      </c>
      <c r="G167" s="30">
        <v>33.0</v>
      </c>
      <c r="H167" s="30">
        <v>5.0</v>
      </c>
      <c r="I167" s="30">
        <v>211.2</v>
      </c>
      <c r="J167" s="30">
        <v>44.0</v>
      </c>
      <c r="K167" s="30">
        <v>9.0</v>
      </c>
      <c r="L167" s="30">
        <v>34.0</v>
      </c>
      <c r="M167" s="30">
        <v>1.0</v>
      </c>
      <c r="N167" s="30">
        <v>1.0</v>
      </c>
      <c r="O167" s="30">
        <v>0.977</v>
      </c>
      <c r="P167" s="30">
        <v>1.83</v>
      </c>
      <c r="Q167" s="30">
        <v>1.3</v>
      </c>
      <c r="R167" s="30">
        <v>14.0</v>
      </c>
      <c r="S167" s="30">
        <v>10.0</v>
      </c>
      <c r="T167" s="183">
        <v>0.42</v>
      </c>
      <c r="U167" s="30">
        <v>2.0</v>
      </c>
      <c r="V167" s="30" t="s">
        <v>5218</v>
      </c>
    </row>
    <row r="168">
      <c r="A168" s="30">
        <v>235.0</v>
      </c>
      <c r="B168" s="30" t="s">
        <v>5219</v>
      </c>
      <c r="C168" s="30">
        <v>23.0</v>
      </c>
      <c r="D168" s="30" t="s">
        <v>4880</v>
      </c>
      <c r="E168" s="30" t="s">
        <v>4868</v>
      </c>
      <c r="F168" s="30">
        <v>21.0</v>
      </c>
      <c r="G168" s="30">
        <v>21.0</v>
      </c>
      <c r="H168" s="30">
        <v>0.0</v>
      </c>
      <c r="I168" s="30">
        <v>113.0</v>
      </c>
      <c r="J168" s="30">
        <v>23.0</v>
      </c>
      <c r="K168" s="30">
        <v>7.0</v>
      </c>
      <c r="L168" s="30">
        <v>16.0</v>
      </c>
      <c r="M168" s="30">
        <v>0.0</v>
      </c>
      <c r="N168" s="30">
        <v>0.0</v>
      </c>
      <c r="O168" s="30">
        <v>1.0</v>
      </c>
      <c r="P168" s="30">
        <v>1.83</v>
      </c>
      <c r="Q168" s="30">
        <v>1.1</v>
      </c>
      <c r="R168" s="30">
        <v>6.0</v>
      </c>
      <c r="S168" s="30">
        <v>9.0</v>
      </c>
      <c r="T168" s="183">
        <v>0.6</v>
      </c>
      <c r="U168" s="30">
        <v>5.0</v>
      </c>
      <c r="V168" s="30" t="s">
        <v>5220</v>
      </c>
    </row>
    <row r="169">
      <c r="A169" s="30">
        <v>234.0</v>
      </c>
      <c r="B169" s="30" t="s">
        <v>5221</v>
      </c>
      <c r="C169" s="30">
        <v>25.0</v>
      </c>
      <c r="D169" s="30" t="s">
        <v>5045</v>
      </c>
      <c r="E169" s="30" t="s">
        <v>4858</v>
      </c>
      <c r="F169" s="30">
        <v>71.0</v>
      </c>
      <c r="G169" s="30">
        <v>0.0</v>
      </c>
      <c r="H169" s="30">
        <v>0.0</v>
      </c>
      <c r="I169" s="30">
        <v>93.1</v>
      </c>
      <c r="J169" s="30">
        <v>20.0</v>
      </c>
      <c r="K169" s="30">
        <v>13.0</v>
      </c>
      <c r="L169" s="30">
        <v>6.0</v>
      </c>
      <c r="M169" s="30">
        <v>1.0</v>
      </c>
      <c r="N169" s="30">
        <v>0.0</v>
      </c>
      <c r="O169" s="30">
        <v>0.95</v>
      </c>
      <c r="P169" s="30">
        <v>1.83</v>
      </c>
      <c r="Q169" s="30">
        <v>0.27</v>
      </c>
      <c r="R169" s="30">
        <v>10.0</v>
      </c>
      <c r="S169" s="30">
        <v>1.0</v>
      </c>
      <c r="T169" s="183">
        <v>0.09</v>
      </c>
      <c r="U169" s="30">
        <v>0.0</v>
      </c>
      <c r="V169" s="30" t="s">
        <v>5222</v>
      </c>
    </row>
    <row r="170">
      <c r="A170" s="30">
        <v>239.0</v>
      </c>
      <c r="B170" s="30" t="s">
        <v>5223</v>
      </c>
      <c r="C170" s="30">
        <v>35.0</v>
      </c>
      <c r="D170" s="30" t="s">
        <v>4913</v>
      </c>
      <c r="E170" s="30" t="s">
        <v>4868</v>
      </c>
      <c r="F170" s="30">
        <v>34.0</v>
      </c>
      <c r="G170" s="30">
        <v>34.0</v>
      </c>
      <c r="H170" s="30">
        <v>4.0</v>
      </c>
      <c r="I170" s="30">
        <v>234.1</v>
      </c>
      <c r="J170" s="30">
        <v>48.0</v>
      </c>
      <c r="K170" s="30">
        <v>16.0</v>
      </c>
      <c r="L170" s="30">
        <v>31.0</v>
      </c>
      <c r="M170" s="30">
        <v>1.0</v>
      </c>
      <c r="N170" s="30">
        <v>1.0</v>
      </c>
      <c r="O170" s="30">
        <v>0.979</v>
      </c>
      <c r="P170" s="30">
        <v>1.81</v>
      </c>
      <c r="Q170" s="30">
        <v>1.38</v>
      </c>
      <c r="R170" s="30">
        <v>21.0</v>
      </c>
      <c r="S170" s="30">
        <v>4.0</v>
      </c>
      <c r="T170" s="183">
        <v>0.16</v>
      </c>
      <c r="U170" s="30">
        <v>1.0</v>
      </c>
      <c r="V170" s="30" t="s">
        <v>5224</v>
      </c>
    </row>
    <row r="171">
      <c r="A171" s="30">
        <v>237.0</v>
      </c>
      <c r="B171" s="30" t="s">
        <v>5225</v>
      </c>
      <c r="C171" s="30">
        <v>31.0</v>
      </c>
      <c r="D171" s="30" t="s">
        <v>4937</v>
      </c>
      <c r="E171" s="30" t="s">
        <v>4868</v>
      </c>
      <c r="F171" s="30">
        <v>32.0</v>
      </c>
      <c r="G171" s="30">
        <v>31.0</v>
      </c>
      <c r="H171" s="30">
        <v>0.0</v>
      </c>
      <c r="I171" s="30">
        <v>203.2</v>
      </c>
      <c r="J171" s="30">
        <v>43.0</v>
      </c>
      <c r="K171" s="30">
        <v>15.0</v>
      </c>
      <c r="L171" s="30">
        <v>26.0</v>
      </c>
      <c r="M171" s="30">
        <v>2.0</v>
      </c>
      <c r="N171" s="30">
        <v>4.0</v>
      </c>
      <c r="O171" s="30">
        <v>0.953</v>
      </c>
      <c r="P171" s="30">
        <v>1.81</v>
      </c>
      <c r="Q171" s="30">
        <v>1.28</v>
      </c>
      <c r="R171" s="30">
        <v>12.0</v>
      </c>
      <c r="S171" s="30">
        <v>5.0</v>
      </c>
      <c r="T171" s="183">
        <v>0.29</v>
      </c>
      <c r="U171" s="30">
        <v>0.0</v>
      </c>
      <c r="V171" s="30" t="s">
        <v>5226</v>
      </c>
    </row>
    <row r="172">
      <c r="A172" s="30">
        <v>238.0</v>
      </c>
      <c r="B172" s="30" t="s">
        <v>5227</v>
      </c>
      <c r="C172" s="30">
        <v>24.0</v>
      </c>
      <c r="D172" s="30" t="s">
        <v>4934</v>
      </c>
      <c r="E172" s="30" t="s">
        <v>4858</v>
      </c>
      <c r="F172" s="30">
        <v>17.0</v>
      </c>
      <c r="G172" s="30">
        <v>14.0</v>
      </c>
      <c r="H172" s="30">
        <v>0.0</v>
      </c>
      <c r="I172" s="30">
        <v>74.2</v>
      </c>
      <c r="J172" s="30">
        <v>15.0</v>
      </c>
      <c r="K172" s="30">
        <v>4.0</v>
      </c>
      <c r="L172" s="30">
        <v>11.0</v>
      </c>
      <c r="M172" s="30">
        <v>0.0</v>
      </c>
      <c r="N172" s="30">
        <v>1.0</v>
      </c>
      <c r="O172" s="30">
        <v>1.0</v>
      </c>
      <c r="P172" s="30">
        <v>1.81</v>
      </c>
      <c r="Q172" s="30">
        <v>0.88</v>
      </c>
      <c r="R172" s="30">
        <v>13.0</v>
      </c>
      <c r="S172" s="30">
        <v>2.0</v>
      </c>
      <c r="T172" s="183">
        <v>0.13</v>
      </c>
      <c r="U172" s="30">
        <v>0.0</v>
      </c>
      <c r="V172" s="30" t="s">
        <v>5228</v>
      </c>
    </row>
    <row r="173">
      <c r="A173" s="30">
        <v>243.0</v>
      </c>
      <c r="B173" s="30" t="s">
        <v>5229</v>
      </c>
      <c r="C173" s="30">
        <v>27.0</v>
      </c>
      <c r="D173" s="30" t="s">
        <v>4601</v>
      </c>
      <c r="E173" s="30" t="s">
        <v>4898</v>
      </c>
      <c r="F173" s="30">
        <v>29.0</v>
      </c>
      <c r="G173" s="30">
        <v>29.0</v>
      </c>
      <c r="H173" s="30">
        <v>2.0</v>
      </c>
      <c r="I173" s="30">
        <v>160.1</v>
      </c>
      <c r="J173" s="30">
        <v>33.0</v>
      </c>
      <c r="K173" s="30">
        <v>5.0</v>
      </c>
      <c r="L173" s="30">
        <v>27.0</v>
      </c>
      <c r="M173" s="30">
        <v>1.0</v>
      </c>
      <c r="N173" s="30">
        <v>1.0</v>
      </c>
      <c r="O173" s="30">
        <v>0.97</v>
      </c>
      <c r="P173" s="30">
        <v>1.8</v>
      </c>
      <c r="Q173" s="30">
        <v>1.1</v>
      </c>
      <c r="R173" s="30">
        <v>13.0</v>
      </c>
      <c r="S173" s="30">
        <v>13.0</v>
      </c>
      <c r="T173" s="183">
        <v>0.5</v>
      </c>
      <c r="U173" s="30">
        <v>6.0</v>
      </c>
      <c r="V173" s="30" t="s">
        <v>5230</v>
      </c>
    </row>
    <row r="174">
      <c r="A174" s="30">
        <v>240.0</v>
      </c>
      <c r="B174" s="30" t="s">
        <v>5231</v>
      </c>
      <c r="C174" s="30">
        <v>23.0</v>
      </c>
      <c r="D174" s="30" t="s">
        <v>4867</v>
      </c>
      <c r="E174" s="30" t="s">
        <v>4868</v>
      </c>
      <c r="F174" s="30">
        <v>29.0</v>
      </c>
      <c r="G174" s="30">
        <v>24.0</v>
      </c>
      <c r="H174" s="30">
        <v>1.0</v>
      </c>
      <c r="I174" s="30">
        <v>154.2</v>
      </c>
      <c r="J174" s="30">
        <v>32.0</v>
      </c>
      <c r="K174" s="30">
        <v>9.0</v>
      </c>
      <c r="L174" s="30">
        <v>22.0</v>
      </c>
      <c r="M174" s="30">
        <v>1.0</v>
      </c>
      <c r="N174" s="30">
        <v>4.0</v>
      </c>
      <c r="O174" s="30">
        <v>0.969</v>
      </c>
      <c r="P174" s="30">
        <v>1.8</v>
      </c>
      <c r="Q174" s="30">
        <v>1.07</v>
      </c>
      <c r="R174" s="30">
        <v>9.0</v>
      </c>
      <c r="S174" s="30">
        <v>6.0</v>
      </c>
      <c r="T174" s="183">
        <v>0.4</v>
      </c>
      <c r="U174" s="30">
        <v>1.0</v>
      </c>
      <c r="V174" s="30" t="s">
        <v>5232</v>
      </c>
    </row>
    <row r="175">
      <c r="A175" s="30">
        <v>244.0</v>
      </c>
      <c r="B175" s="30" t="s">
        <v>5233</v>
      </c>
      <c r="C175" s="30">
        <v>30.0</v>
      </c>
      <c r="D175" s="30" t="s">
        <v>4977</v>
      </c>
      <c r="E175" s="30" t="s">
        <v>4858</v>
      </c>
      <c r="F175" s="30">
        <v>46.0</v>
      </c>
      <c r="G175" s="30">
        <v>1.0</v>
      </c>
      <c r="H175" s="30">
        <v>0.0</v>
      </c>
      <c r="I175" s="30">
        <v>70.1</v>
      </c>
      <c r="J175" s="30">
        <v>14.0</v>
      </c>
      <c r="K175" s="30">
        <v>4.0</v>
      </c>
      <c r="L175" s="30">
        <v>10.0</v>
      </c>
      <c r="M175" s="30">
        <v>0.0</v>
      </c>
      <c r="N175" s="30">
        <v>2.0</v>
      </c>
      <c r="O175" s="30">
        <v>1.0</v>
      </c>
      <c r="P175" s="30">
        <v>1.79</v>
      </c>
      <c r="Q175" s="30">
        <v>0.3</v>
      </c>
      <c r="R175" s="30">
        <v>3.0</v>
      </c>
      <c r="S175" s="30">
        <v>2.0</v>
      </c>
      <c r="T175" s="183">
        <v>0.4</v>
      </c>
      <c r="U175" s="30">
        <v>0.0</v>
      </c>
      <c r="V175" s="30" t="s">
        <v>5234</v>
      </c>
    </row>
    <row r="176">
      <c r="A176" s="30">
        <v>245.0</v>
      </c>
      <c r="B176" s="30" t="s">
        <v>5235</v>
      </c>
      <c r="C176" s="30">
        <v>40.0</v>
      </c>
      <c r="D176" s="30" t="s">
        <v>4926</v>
      </c>
      <c r="E176" s="30" t="s">
        <v>4868</v>
      </c>
      <c r="F176" s="30">
        <v>19.0</v>
      </c>
      <c r="G176" s="30">
        <v>3.0</v>
      </c>
      <c r="H176" s="30">
        <v>0.0</v>
      </c>
      <c r="I176" s="30">
        <v>50.1</v>
      </c>
      <c r="J176" s="30">
        <v>10.0</v>
      </c>
      <c r="K176" s="30">
        <v>5.0</v>
      </c>
      <c r="L176" s="30">
        <v>5.0</v>
      </c>
      <c r="M176" s="30">
        <v>0.0</v>
      </c>
      <c r="N176" s="30">
        <v>0.0</v>
      </c>
      <c r="O176" s="30">
        <v>1.0</v>
      </c>
      <c r="P176" s="30">
        <v>1.79</v>
      </c>
      <c r="Q176" s="30">
        <v>0.53</v>
      </c>
      <c r="R176" s="30">
        <v>5.0</v>
      </c>
      <c r="S176" s="30">
        <v>3.0</v>
      </c>
      <c r="T176" s="183">
        <v>0.38</v>
      </c>
      <c r="U176" s="30">
        <v>0.0</v>
      </c>
      <c r="V176" s="30" t="s">
        <v>5236</v>
      </c>
    </row>
    <row r="177">
      <c r="A177" s="30">
        <v>247.0</v>
      </c>
      <c r="B177" s="30" t="s">
        <v>5237</v>
      </c>
      <c r="C177" s="30">
        <v>33.0</v>
      </c>
      <c r="D177" s="30" t="s">
        <v>4871</v>
      </c>
      <c r="E177" s="30" t="s">
        <v>4858</v>
      </c>
      <c r="F177" s="30">
        <v>29.0</v>
      </c>
      <c r="G177" s="30">
        <v>29.0</v>
      </c>
      <c r="H177" s="30">
        <v>1.0</v>
      </c>
      <c r="I177" s="30">
        <v>171.2</v>
      </c>
      <c r="J177" s="30">
        <v>37.0</v>
      </c>
      <c r="K177" s="30">
        <v>14.0</v>
      </c>
      <c r="L177" s="30">
        <v>20.0</v>
      </c>
      <c r="M177" s="30">
        <v>3.0</v>
      </c>
      <c r="N177" s="30">
        <v>2.0</v>
      </c>
      <c r="O177" s="30">
        <v>0.919</v>
      </c>
      <c r="P177" s="30">
        <v>1.78</v>
      </c>
      <c r="Q177" s="30">
        <v>1.17</v>
      </c>
      <c r="R177" s="30">
        <v>15.0</v>
      </c>
      <c r="S177" s="30">
        <v>3.0</v>
      </c>
      <c r="T177" s="183">
        <v>0.17</v>
      </c>
      <c r="U177" s="30">
        <v>0.0</v>
      </c>
      <c r="V177" s="30" t="s">
        <v>5238</v>
      </c>
    </row>
    <row r="178">
      <c r="A178" s="30">
        <v>248.0</v>
      </c>
      <c r="B178" s="30" t="s">
        <v>5239</v>
      </c>
      <c r="C178" s="30">
        <v>32.0</v>
      </c>
      <c r="D178" s="30" t="s">
        <v>4901</v>
      </c>
      <c r="E178" s="30" t="s">
        <v>4868</v>
      </c>
      <c r="F178" s="30">
        <v>14.0</v>
      </c>
      <c r="G178" s="30">
        <v>14.0</v>
      </c>
      <c r="H178" s="30">
        <v>0.0</v>
      </c>
      <c r="I178" s="30">
        <v>76.0</v>
      </c>
      <c r="J178" s="30">
        <v>15.0</v>
      </c>
      <c r="K178" s="30">
        <v>3.0</v>
      </c>
      <c r="L178" s="30">
        <v>12.0</v>
      </c>
      <c r="M178" s="30">
        <v>0.0</v>
      </c>
      <c r="N178" s="30">
        <v>1.0</v>
      </c>
      <c r="O178" s="30">
        <v>1.0</v>
      </c>
      <c r="P178" s="30">
        <v>1.78</v>
      </c>
      <c r="Q178" s="30">
        <v>1.07</v>
      </c>
      <c r="R178" s="30">
        <v>7.0</v>
      </c>
      <c r="S178" s="30">
        <v>5.0</v>
      </c>
      <c r="T178" s="183">
        <v>0.42</v>
      </c>
      <c r="U178" s="30">
        <v>2.0</v>
      </c>
      <c r="V178" s="30" t="s">
        <v>5240</v>
      </c>
    </row>
    <row r="179">
      <c r="A179" s="30">
        <v>246.0</v>
      </c>
      <c r="B179" s="30" t="s">
        <v>5241</v>
      </c>
      <c r="C179" s="30">
        <v>26.0</v>
      </c>
      <c r="D179" s="30" t="s">
        <v>4880</v>
      </c>
      <c r="E179" s="30" t="s">
        <v>4868</v>
      </c>
      <c r="F179" s="30">
        <v>60.0</v>
      </c>
      <c r="G179" s="30">
        <v>0.0</v>
      </c>
      <c r="H179" s="30">
        <v>0.0</v>
      </c>
      <c r="I179" s="30">
        <v>70.2</v>
      </c>
      <c r="J179" s="30">
        <v>14.0</v>
      </c>
      <c r="K179" s="30">
        <v>9.0</v>
      </c>
      <c r="L179" s="30">
        <v>5.0</v>
      </c>
      <c r="M179" s="30">
        <v>0.0</v>
      </c>
      <c r="N179" s="30">
        <v>1.0</v>
      </c>
      <c r="O179" s="30">
        <v>1.0</v>
      </c>
      <c r="P179" s="30">
        <v>1.78</v>
      </c>
      <c r="Q179" s="30">
        <v>0.23</v>
      </c>
      <c r="R179" s="30">
        <v>6.0</v>
      </c>
      <c r="S179" s="30">
        <v>0.0</v>
      </c>
      <c r="T179" s="183">
        <v>0.0</v>
      </c>
      <c r="U179" s="30">
        <v>0.0</v>
      </c>
      <c r="V179" s="30" t="s">
        <v>5242</v>
      </c>
    </row>
    <row r="180">
      <c r="A180" s="30">
        <v>253.0</v>
      </c>
      <c r="B180" s="30" t="s">
        <v>5243</v>
      </c>
      <c r="C180" s="30">
        <v>26.0</v>
      </c>
      <c r="D180" s="30" t="s">
        <v>4861</v>
      </c>
      <c r="E180" s="30" t="s">
        <v>4858</v>
      </c>
      <c r="F180" s="30">
        <v>62.0</v>
      </c>
      <c r="G180" s="30">
        <v>0.0</v>
      </c>
      <c r="H180" s="30">
        <v>0.0</v>
      </c>
      <c r="I180" s="30">
        <v>91.2</v>
      </c>
      <c r="J180" s="30">
        <v>18.0</v>
      </c>
      <c r="K180" s="30">
        <v>4.0</v>
      </c>
      <c r="L180" s="30">
        <v>14.0</v>
      </c>
      <c r="M180" s="30">
        <v>0.0</v>
      </c>
      <c r="N180" s="30">
        <v>1.0</v>
      </c>
      <c r="O180" s="30">
        <v>1.0</v>
      </c>
      <c r="P180" s="30">
        <v>1.77</v>
      </c>
      <c r="Q180" s="30">
        <v>0.29</v>
      </c>
      <c r="R180" s="30">
        <v>10.0</v>
      </c>
      <c r="S180" s="30">
        <v>3.0</v>
      </c>
      <c r="T180" s="183">
        <v>0.23</v>
      </c>
      <c r="U180" s="30">
        <v>1.0</v>
      </c>
      <c r="V180" s="30" t="s">
        <v>5244</v>
      </c>
    </row>
    <row r="181">
      <c r="A181" s="30">
        <v>250.0</v>
      </c>
      <c r="B181" s="30" t="s">
        <v>5245</v>
      </c>
      <c r="C181" s="30">
        <v>26.0</v>
      </c>
      <c r="D181" s="30" t="s">
        <v>4877</v>
      </c>
      <c r="E181" s="30" t="s">
        <v>4858</v>
      </c>
      <c r="F181" s="30">
        <v>20.0</v>
      </c>
      <c r="G181" s="30">
        <v>14.0</v>
      </c>
      <c r="H181" s="30">
        <v>0.0</v>
      </c>
      <c r="I181" s="30">
        <v>81.1</v>
      </c>
      <c r="J181" s="30">
        <v>16.0</v>
      </c>
      <c r="K181" s="30">
        <v>8.0</v>
      </c>
      <c r="L181" s="30">
        <v>8.0</v>
      </c>
      <c r="M181" s="30">
        <v>0.0</v>
      </c>
      <c r="N181" s="30">
        <v>0.0</v>
      </c>
      <c r="O181" s="30">
        <v>1.0</v>
      </c>
      <c r="P181" s="30">
        <v>1.77</v>
      </c>
      <c r="Q181" s="30">
        <v>0.8</v>
      </c>
      <c r="R181" s="30">
        <v>12.0</v>
      </c>
      <c r="S181" s="30">
        <v>2.0</v>
      </c>
      <c r="T181" s="183">
        <v>0.14</v>
      </c>
      <c r="U181" s="30">
        <v>0.0</v>
      </c>
      <c r="V181" s="30" t="s">
        <v>5246</v>
      </c>
    </row>
    <row r="182">
      <c r="A182" s="30">
        <v>252.0</v>
      </c>
      <c r="B182" s="30" t="s">
        <v>5247</v>
      </c>
      <c r="C182" s="30">
        <v>29.0</v>
      </c>
      <c r="D182" s="30" t="s">
        <v>4977</v>
      </c>
      <c r="E182" s="30" t="s">
        <v>4858</v>
      </c>
      <c r="F182" s="30">
        <v>56.0</v>
      </c>
      <c r="G182" s="30">
        <v>1.0</v>
      </c>
      <c r="H182" s="30">
        <v>0.0</v>
      </c>
      <c r="I182" s="30">
        <v>76.1</v>
      </c>
      <c r="J182" s="30">
        <v>15.0</v>
      </c>
      <c r="K182" s="30">
        <v>7.0</v>
      </c>
      <c r="L182" s="30">
        <v>8.0</v>
      </c>
      <c r="M182" s="30">
        <v>0.0</v>
      </c>
      <c r="N182" s="30">
        <v>0.0</v>
      </c>
      <c r="O182" s="30">
        <v>1.0</v>
      </c>
      <c r="P182" s="30">
        <v>1.77</v>
      </c>
      <c r="Q182" s="30">
        <v>0.27</v>
      </c>
      <c r="R182" s="30">
        <v>4.0</v>
      </c>
      <c r="S182" s="30">
        <v>2.0</v>
      </c>
      <c r="T182" s="183">
        <v>0.33</v>
      </c>
      <c r="U182" s="30">
        <v>0.0</v>
      </c>
      <c r="V182" s="30" t="s">
        <v>5248</v>
      </c>
    </row>
    <row r="183">
      <c r="A183" s="30">
        <v>254.0</v>
      </c>
      <c r="B183" s="30" t="s">
        <v>5249</v>
      </c>
      <c r="C183" s="30">
        <v>27.0</v>
      </c>
      <c r="D183" s="30" t="s">
        <v>5008</v>
      </c>
      <c r="E183" s="30" t="s">
        <v>4858</v>
      </c>
      <c r="F183" s="30">
        <v>67.0</v>
      </c>
      <c r="G183" s="30">
        <v>0.0</v>
      </c>
      <c r="H183" s="30">
        <v>0.0</v>
      </c>
      <c r="I183" s="30">
        <v>102.0</v>
      </c>
      <c r="J183" s="30">
        <v>21.0</v>
      </c>
      <c r="K183" s="30">
        <v>9.0</v>
      </c>
      <c r="L183" s="30">
        <v>11.0</v>
      </c>
      <c r="M183" s="30">
        <v>1.0</v>
      </c>
      <c r="N183" s="30">
        <v>1.0</v>
      </c>
      <c r="O183" s="30">
        <v>0.952</v>
      </c>
      <c r="P183" s="30">
        <v>1.76</v>
      </c>
      <c r="Q183" s="30">
        <v>0.3</v>
      </c>
      <c r="R183" s="30">
        <v>10.0</v>
      </c>
      <c r="S183" s="30">
        <v>3.0</v>
      </c>
      <c r="T183" s="183">
        <v>0.23</v>
      </c>
      <c r="U183" s="30">
        <v>0.0</v>
      </c>
      <c r="V183" s="30" t="s">
        <v>5250</v>
      </c>
    </row>
    <row r="184">
      <c r="A184" s="30">
        <v>258.0</v>
      </c>
      <c r="B184" s="30" t="s">
        <v>5251</v>
      </c>
      <c r="C184" s="30">
        <v>29.0</v>
      </c>
      <c r="D184" s="30" t="s">
        <v>4901</v>
      </c>
      <c r="E184" s="30" t="s">
        <v>4868</v>
      </c>
      <c r="F184" s="30">
        <v>61.0</v>
      </c>
      <c r="G184" s="30">
        <v>0.0</v>
      </c>
      <c r="H184" s="30">
        <v>0.0</v>
      </c>
      <c r="I184" s="30">
        <v>97.1</v>
      </c>
      <c r="J184" s="30">
        <v>19.0</v>
      </c>
      <c r="K184" s="30">
        <v>3.0</v>
      </c>
      <c r="L184" s="30">
        <v>16.0</v>
      </c>
      <c r="M184" s="30">
        <v>0.0</v>
      </c>
      <c r="N184" s="30">
        <v>2.0</v>
      </c>
      <c r="O184" s="30">
        <v>1.0</v>
      </c>
      <c r="P184" s="30">
        <v>1.76</v>
      </c>
      <c r="Q184" s="30">
        <v>0.31</v>
      </c>
      <c r="R184" s="30">
        <v>3.0</v>
      </c>
      <c r="S184" s="30">
        <v>1.0</v>
      </c>
      <c r="T184" s="183">
        <v>0.25</v>
      </c>
      <c r="U184" s="30">
        <v>0.0</v>
      </c>
      <c r="V184" s="30" t="s">
        <v>5252</v>
      </c>
    </row>
    <row r="185">
      <c r="A185" s="30">
        <v>255.0</v>
      </c>
      <c r="B185" s="30" t="s">
        <v>5253</v>
      </c>
      <c r="C185" s="30">
        <v>31.0</v>
      </c>
      <c r="D185" s="30" t="s">
        <v>5045</v>
      </c>
      <c r="E185" s="30" t="s">
        <v>4858</v>
      </c>
      <c r="F185" s="30">
        <v>69.0</v>
      </c>
      <c r="G185" s="30">
        <v>0.0</v>
      </c>
      <c r="H185" s="30">
        <v>0.0</v>
      </c>
      <c r="I185" s="30">
        <v>81.2</v>
      </c>
      <c r="J185" s="30">
        <v>16.0</v>
      </c>
      <c r="K185" s="30">
        <v>8.0</v>
      </c>
      <c r="L185" s="30">
        <v>8.0</v>
      </c>
      <c r="M185" s="30">
        <v>0.0</v>
      </c>
      <c r="N185" s="30">
        <v>1.0</v>
      </c>
      <c r="O185" s="30">
        <v>1.0</v>
      </c>
      <c r="P185" s="30">
        <v>1.76</v>
      </c>
      <c r="Q185" s="30">
        <v>0.23</v>
      </c>
      <c r="R185" s="30">
        <v>7.0</v>
      </c>
      <c r="S185" s="30">
        <v>3.0</v>
      </c>
      <c r="T185" s="183">
        <v>0.3</v>
      </c>
      <c r="U185" s="30">
        <v>1.0</v>
      </c>
      <c r="V185" s="30" t="s">
        <v>5254</v>
      </c>
    </row>
    <row r="186">
      <c r="A186" s="30">
        <v>256.0</v>
      </c>
      <c r="B186" s="30" t="s">
        <v>5255</v>
      </c>
      <c r="C186" s="30">
        <v>31.0</v>
      </c>
      <c r="D186" s="30" t="s">
        <v>5008</v>
      </c>
      <c r="E186" s="30" t="s">
        <v>4858</v>
      </c>
      <c r="F186" s="30">
        <v>40.0</v>
      </c>
      <c r="G186" s="30">
        <v>0.0</v>
      </c>
      <c r="H186" s="30">
        <v>0.0</v>
      </c>
      <c r="I186" s="30">
        <v>61.1</v>
      </c>
      <c r="J186" s="30">
        <v>14.0</v>
      </c>
      <c r="K186" s="30">
        <v>2.0</v>
      </c>
      <c r="L186" s="30">
        <v>10.0</v>
      </c>
      <c r="M186" s="30">
        <v>2.0</v>
      </c>
      <c r="N186" s="30">
        <v>1.0</v>
      </c>
      <c r="O186" s="30">
        <v>0.857</v>
      </c>
      <c r="P186" s="30">
        <v>1.76</v>
      </c>
      <c r="Q186" s="30">
        <v>0.3</v>
      </c>
      <c r="R186" s="30">
        <v>7.0</v>
      </c>
      <c r="S186" s="30">
        <v>3.0</v>
      </c>
      <c r="T186" s="183">
        <v>0.3</v>
      </c>
      <c r="U186" s="30">
        <v>0.0</v>
      </c>
      <c r="V186" s="30" t="s">
        <v>5256</v>
      </c>
    </row>
    <row r="187">
      <c r="A187" s="30">
        <v>259.0</v>
      </c>
      <c r="B187" s="30" t="s">
        <v>5257</v>
      </c>
      <c r="C187" s="30">
        <v>24.0</v>
      </c>
      <c r="D187" s="30" t="s">
        <v>4861</v>
      </c>
      <c r="E187" s="30" t="s">
        <v>4858</v>
      </c>
      <c r="F187" s="30">
        <v>14.0</v>
      </c>
      <c r="G187" s="30">
        <v>13.0</v>
      </c>
      <c r="H187" s="30">
        <v>0.0</v>
      </c>
      <c r="I187" s="30">
        <v>67.0</v>
      </c>
      <c r="J187" s="30">
        <v>13.0</v>
      </c>
      <c r="K187" s="30">
        <v>1.0</v>
      </c>
      <c r="L187" s="30">
        <v>12.0</v>
      </c>
      <c r="M187" s="30">
        <v>0.0</v>
      </c>
      <c r="N187" s="30">
        <v>0.0</v>
      </c>
      <c r="O187" s="30">
        <v>1.0</v>
      </c>
      <c r="P187" s="30">
        <v>1.75</v>
      </c>
      <c r="Q187" s="30">
        <v>0.93</v>
      </c>
      <c r="R187" s="30">
        <v>7.0</v>
      </c>
      <c r="S187" s="30">
        <v>6.0</v>
      </c>
      <c r="T187" s="183">
        <v>0.46</v>
      </c>
      <c r="U187" s="30">
        <v>0.0</v>
      </c>
      <c r="V187" s="30" t="s">
        <v>5258</v>
      </c>
    </row>
    <row r="188">
      <c r="A188" s="30">
        <v>261.0</v>
      </c>
      <c r="B188" s="30" t="s">
        <v>5259</v>
      </c>
      <c r="C188" s="30">
        <v>21.0</v>
      </c>
      <c r="D188" s="30" t="s">
        <v>4601</v>
      </c>
      <c r="E188" s="30" t="s">
        <v>4898</v>
      </c>
      <c r="F188" s="30">
        <v>19.0</v>
      </c>
      <c r="G188" s="30">
        <v>10.0</v>
      </c>
      <c r="H188" s="30">
        <v>0.0</v>
      </c>
      <c r="I188" s="30">
        <v>67.1</v>
      </c>
      <c r="J188" s="30">
        <v>16.0</v>
      </c>
      <c r="K188" s="30">
        <v>1.0</v>
      </c>
      <c r="L188" s="30">
        <v>12.0</v>
      </c>
      <c r="M188" s="30">
        <v>3.0</v>
      </c>
      <c r="N188" s="30">
        <v>0.0</v>
      </c>
      <c r="O188" s="30">
        <v>0.813</v>
      </c>
      <c r="P188" s="30">
        <v>1.74</v>
      </c>
      <c r="Q188" s="30">
        <v>0.68</v>
      </c>
      <c r="R188" s="30">
        <v>6.0</v>
      </c>
      <c r="S188" s="30">
        <v>4.0</v>
      </c>
      <c r="T188" s="183">
        <v>0.4</v>
      </c>
      <c r="U188" s="30">
        <v>6.0</v>
      </c>
      <c r="V188" s="30" t="s">
        <v>5260</v>
      </c>
    </row>
    <row r="189">
      <c r="A189" s="30">
        <v>263.0</v>
      </c>
      <c r="B189" s="30" t="s">
        <v>5261</v>
      </c>
      <c r="C189" s="30">
        <v>34.0</v>
      </c>
      <c r="D189" s="30" t="s">
        <v>289</v>
      </c>
      <c r="E189" s="30" t="s">
        <v>4858</v>
      </c>
      <c r="F189" s="30">
        <v>35.0</v>
      </c>
      <c r="G189" s="30">
        <v>34.0</v>
      </c>
      <c r="H189" s="30">
        <v>2.0</v>
      </c>
      <c r="I189" s="30">
        <v>219.0</v>
      </c>
      <c r="J189" s="30">
        <v>42.0</v>
      </c>
      <c r="K189" s="30">
        <v>11.0</v>
      </c>
      <c r="L189" s="30">
        <v>31.0</v>
      </c>
      <c r="M189" s="30">
        <v>0.0</v>
      </c>
      <c r="N189" s="30">
        <v>1.0</v>
      </c>
      <c r="O189" s="30">
        <v>1.0</v>
      </c>
      <c r="P189" s="30">
        <v>1.73</v>
      </c>
      <c r="Q189" s="30">
        <v>1.2</v>
      </c>
      <c r="R189" s="30">
        <v>13.0</v>
      </c>
      <c r="S189" s="30">
        <v>3.0</v>
      </c>
      <c r="T189" s="183">
        <v>0.19</v>
      </c>
      <c r="U189" s="30">
        <v>0.0</v>
      </c>
      <c r="V189" s="30" t="s">
        <v>5262</v>
      </c>
    </row>
    <row r="190">
      <c r="A190" s="30">
        <v>262.0</v>
      </c>
      <c r="B190" s="30" t="s">
        <v>5263</v>
      </c>
      <c r="C190" s="30">
        <v>30.0</v>
      </c>
      <c r="D190" s="30" t="s">
        <v>5045</v>
      </c>
      <c r="E190" s="30" t="s">
        <v>4858</v>
      </c>
      <c r="F190" s="30">
        <v>57.0</v>
      </c>
      <c r="G190" s="30">
        <v>0.0</v>
      </c>
      <c r="H190" s="30">
        <v>0.0</v>
      </c>
      <c r="I190" s="30">
        <v>52.0</v>
      </c>
      <c r="J190" s="30">
        <v>11.0</v>
      </c>
      <c r="K190" s="30">
        <v>3.0</v>
      </c>
      <c r="L190" s="30">
        <v>7.0</v>
      </c>
      <c r="M190" s="30">
        <v>1.0</v>
      </c>
      <c r="N190" s="30">
        <v>0.0</v>
      </c>
      <c r="O190" s="30">
        <v>0.909</v>
      </c>
      <c r="P190" s="30">
        <v>1.73</v>
      </c>
      <c r="Q190" s="30">
        <v>0.18</v>
      </c>
      <c r="R190" s="30">
        <v>6.0</v>
      </c>
      <c r="S190" s="30">
        <v>0.0</v>
      </c>
      <c r="T190" s="183">
        <v>0.0</v>
      </c>
      <c r="U190" s="30">
        <v>0.0</v>
      </c>
      <c r="V190" s="30" t="s">
        <v>5264</v>
      </c>
    </row>
    <row r="191">
      <c r="A191" s="30">
        <v>265.0</v>
      </c>
      <c r="B191" s="30" t="s">
        <v>5265</v>
      </c>
      <c r="C191" s="30">
        <v>26.0</v>
      </c>
      <c r="D191" s="30" t="s">
        <v>5038</v>
      </c>
      <c r="E191" s="30" t="s">
        <v>4858</v>
      </c>
      <c r="F191" s="30">
        <v>33.0</v>
      </c>
      <c r="G191" s="30">
        <v>33.0</v>
      </c>
      <c r="H191" s="30">
        <v>3.0</v>
      </c>
      <c r="I191" s="30">
        <v>220.1</v>
      </c>
      <c r="J191" s="30">
        <v>43.0</v>
      </c>
      <c r="K191" s="30">
        <v>12.0</v>
      </c>
      <c r="L191" s="30">
        <v>30.0</v>
      </c>
      <c r="M191" s="30">
        <v>1.0</v>
      </c>
      <c r="N191" s="30">
        <v>1.0</v>
      </c>
      <c r="O191" s="30">
        <v>0.977</v>
      </c>
      <c r="P191" s="30">
        <v>1.72</v>
      </c>
      <c r="Q191" s="30">
        <v>1.27</v>
      </c>
      <c r="R191" s="30">
        <v>13.0</v>
      </c>
      <c r="S191" s="30">
        <v>3.0</v>
      </c>
      <c r="T191" s="183">
        <v>0.19</v>
      </c>
      <c r="U191" s="30">
        <v>3.0</v>
      </c>
      <c r="V191" s="30" t="s">
        <v>5266</v>
      </c>
    </row>
    <row r="192">
      <c r="A192" s="30">
        <v>264.0</v>
      </c>
      <c r="B192" s="30" t="s">
        <v>5267</v>
      </c>
      <c r="C192" s="30">
        <v>31.0</v>
      </c>
      <c r="D192" s="30" t="s">
        <v>4883</v>
      </c>
      <c r="E192" s="30" t="s">
        <v>4858</v>
      </c>
      <c r="F192" s="30">
        <v>26.0</v>
      </c>
      <c r="G192" s="30">
        <v>26.0</v>
      </c>
      <c r="H192" s="30">
        <v>2.0</v>
      </c>
      <c r="I192" s="30">
        <v>167.2</v>
      </c>
      <c r="J192" s="30">
        <v>32.0</v>
      </c>
      <c r="K192" s="30">
        <v>12.0</v>
      </c>
      <c r="L192" s="30">
        <v>20.0</v>
      </c>
      <c r="M192" s="30">
        <v>0.0</v>
      </c>
      <c r="N192" s="30">
        <v>2.0</v>
      </c>
      <c r="O192" s="30">
        <v>1.0</v>
      </c>
      <c r="P192" s="30">
        <v>1.72</v>
      </c>
      <c r="Q192" s="30">
        <v>1.23</v>
      </c>
      <c r="R192" s="30">
        <v>8.0</v>
      </c>
      <c r="S192" s="30">
        <v>2.0</v>
      </c>
      <c r="T192" s="183">
        <v>0.2</v>
      </c>
      <c r="U192" s="30">
        <v>0.0</v>
      </c>
      <c r="V192" s="30" t="s">
        <v>5268</v>
      </c>
    </row>
    <row r="193">
      <c r="A193" s="30">
        <v>268.0</v>
      </c>
      <c r="B193" s="30" t="s">
        <v>5269</v>
      </c>
      <c r="C193" s="30">
        <v>31.0</v>
      </c>
      <c r="D193" s="30" t="s">
        <v>5045</v>
      </c>
      <c r="E193" s="30" t="s">
        <v>4858</v>
      </c>
      <c r="F193" s="30">
        <v>35.0</v>
      </c>
      <c r="G193" s="30">
        <v>35.0</v>
      </c>
      <c r="H193" s="30">
        <v>15.0</v>
      </c>
      <c r="I193" s="30">
        <v>268.2</v>
      </c>
      <c r="J193" s="30">
        <v>53.0</v>
      </c>
      <c r="K193" s="30">
        <v>18.0</v>
      </c>
      <c r="L193" s="30">
        <v>33.0</v>
      </c>
      <c r="M193" s="30">
        <v>2.0</v>
      </c>
      <c r="N193" s="30">
        <v>3.0</v>
      </c>
      <c r="O193" s="30">
        <v>0.962</v>
      </c>
      <c r="P193" s="30">
        <v>1.71</v>
      </c>
      <c r="Q193" s="30">
        <v>1.46</v>
      </c>
      <c r="R193" s="30">
        <v>10.0</v>
      </c>
      <c r="S193" s="30">
        <v>5.0</v>
      </c>
      <c r="T193" s="183">
        <v>0.33</v>
      </c>
      <c r="U193" s="30">
        <v>0.0</v>
      </c>
      <c r="V193" s="30" t="s">
        <v>5270</v>
      </c>
    </row>
    <row r="194">
      <c r="A194" s="30">
        <v>267.0</v>
      </c>
      <c r="B194" s="30" t="s">
        <v>5271</v>
      </c>
      <c r="C194" s="30">
        <v>25.0</v>
      </c>
      <c r="D194" s="30" t="s">
        <v>5008</v>
      </c>
      <c r="E194" s="30" t="s">
        <v>4858</v>
      </c>
      <c r="F194" s="30">
        <v>34.0</v>
      </c>
      <c r="G194" s="30">
        <v>34.0</v>
      </c>
      <c r="H194" s="30">
        <v>1.0</v>
      </c>
      <c r="I194" s="30">
        <v>210.2</v>
      </c>
      <c r="J194" s="30">
        <v>41.0</v>
      </c>
      <c r="K194" s="30">
        <v>14.0</v>
      </c>
      <c r="L194" s="30">
        <v>26.0</v>
      </c>
      <c r="M194" s="30">
        <v>1.0</v>
      </c>
      <c r="N194" s="30">
        <v>1.0</v>
      </c>
      <c r="O194" s="30">
        <v>0.976</v>
      </c>
      <c r="P194" s="30">
        <v>1.71</v>
      </c>
      <c r="Q194" s="30">
        <v>1.18</v>
      </c>
      <c r="R194" s="30">
        <v>16.0</v>
      </c>
      <c r="S194" s="30">
        <v>6.0</v>
      </c>
      <c r="T194" s="183">
        <v>0.27</v>
      </c>
      <c r="U194" s="30">
        <v>1.0</v>
      </c>
      <c r="V194" s="30" t="s">
        <v>5272</v>
      </c>
    </row>
    <row r="195">
      <c r="A195" s="30">
        <v>269.0</v>
      </c>
      <c r="B195" s="30" t="s">
        <v>5273</v>
      </c>
      <c r="C195" s="30">
        <v>29.0</v>
      </c>
      <c r="D195" s="30" t="s">
        <v>5003</v>
      </c>
      <c r="E195" s="30" t="s">
        <v>4868</v>
      </c>
      <c r="F195" s="30">
        <v>27.0</v>
      </c>
      <c r="G195" s="30">
        <v>19.0</v>
      </c>
      <c r="H195" s="30">
        <v>0.0</v>
      </c>
      <c r="I195" s="30">
        <v>116.0</v>
      </c>
      <c r="J195" s="30">
        <v>22.0</v>
      </c>
      <c r="K195" s="30">
        <v>8.0</v>
      </c>
      <c r="L195" s="30">
        <v>14.0</v>
      </c>
      <c r="M195" s="30">
        <v>0.0</v>
      </c>
      <c r="N195" s="30">
        <v>1.0</v>
      </c>
      <c r="O195" s="30">
        <v>1.0</v>
      </c>
      <c r="P195" s="30">
        <v>1.71</v>
      </c>
      <c r="Q195" s="30">
        <v>0.81</v>
      </c>
      <c r="R195" s="30">
        <v>10.0</v>
      </c>
      <c r="S195" s="30">
        <v>7.0</v>
      </c>
      <c r="T195" s="183">
        <v>0.41</v>
      </c>
      <c r="U195" s="30">
        <v>0.0</v>
      </c>
      <c r="V195" s="30" t="s">
        <v>5274</v>
      </c>
    </row>
    <row r="196">
      <c r="A196" s="30">
        <v>270.0</v>
      </c>
      <c r="B196" s="30" t="s">
        <v>5275</v>
      </c>
      <c r="C196" s="30">
        <v>30.0</v>
      </c>
      <c r="D196" s="30" t="s">
        <v>5086</v>
      </c>
      <c r="E196" s="30" t="s">
        <v>4868</v>
      </c>
      <c r="F196" s="30">
        <v>30.0</v>
      </c>
      <c r="G196" s="30">
        <v>0.0</v>
      </c>
      <c r="H196" s="30">
        <v>0.0</v>
      </c>
      <c r="I196" s="30">
        <v>58.0</v>
      </c>
      <c r="J196" s="30">
        <v>11.0</v>
      </c>
      <c r="K196" s="30">
        <v>4.0</v>
      </c>
      <c r="L196" s="30">
        <v>7.0</v>
      </c>
      <c r="M196" s="30">
        <v>0.0</v>
      </c>
      <c r="N196" s="30">
        <v>1.0</v>
      </c>
      <c r="O196" s="30">
        <v>1.0</v>
      </c>
      <c r="P196" s="30">
        <v>1.71</v>
      </c>
      <c r="Q196" s="30">
        <v>0.37</v>
      </c>
      <c r="R196" s="30">
        <v>2.0</v>
      </c>
      <c r="S196" s="30">
        <v>0.0</v>
      </c>
      <c r="T196" s="183">
        <v>0.0</v>
      </c>
      <c r="U196" s="30">
        <v>0.0</v>
      </c>
      <c r="V196" s="30" t="s">
        <v>5276</v>
      </c>
    </row>
    <row r="197">
      <c r="A197" s="30">
        <v>274.0</v>
      </c>
      <c r="B197" s="30" t="s">
        <v>5277</v>
      </c>
      <c r="C197" s="30">
        <v>23.0</v>
      </c>
      <c r="D197" s="30" t="s">
        <v>4926</v>
      </c>
      <c r="E197" s="30" t="s">
        <v>4868</v>
      </c>
      <c r="F197" s="30">
        <v>33.0</v>
      </c>
      <c r="G197" s="30">
        <v>24.0</v>
      </c>
      <c r="H197" s="30">
        <v>1.0</v>
      </c>
      <c r="I197" s="30">
        <v>175.0</v>
      </c>
      <c r="J197" s="30">
        <v>34.0</v>
      </c>
      <c r="K197" s="30">
        <v>20.0</v>
      </c>
      <c r="L197" s="30">
        <v>13.0</v>
      </c>
      <c r="M197" s="30">
        <v>1.0</v>
      </c>
      <c r="N197" s="30">
        <v>2.0</v>
      </c>
      <c r="O197" s="30">
        <v>0.971</v>
      </c>
      <c r="P197" s="30">
        <v>1.7</v>
      </c>
      <c r="Q197" s="30">
        <v>1.0</v>
      </c>
      <c r="R197" s="30">
        <v>9.0</v>
      </c>
      <c r="S197" s="30">
        <v>11.0</v>
      </c>
      <c r="T197" s="183">
        <v>0.55</v>
      </c>
      <c r="U197" s="30">
        <v>0.0</v>
      </c>
      <c r="V197" s="30" t="s">
        <v>5278</v>
      </c>
    </row>
    <row r="198">
      <c r="A198" s="30">
        <v>275.0</v>
      </c>
      <c r="B198" s="30" t="s">
        <v>5279</v>
      </c>
      <c r="C198" s="30">
        <v>34.0</v>
      </c>
      <c r="D198" s="30" t="s">
        <v>4886</v>
      </c>
      <c r="E198" s="30" t="s">
        <v>4868</v>
      </c>
      <c r="F198" s="30">
        <v>31.0</v>
      </c>
      <c r="G198" s="30">
        <v>31.0</v>
      </c>
      <c r="H198" s="30">
        <v>0.0</v>
      </c>
      <c r="I198" s="30">
        <v>175.0</v>
      </c>
      <c r="J198" s="30">
        <v>34.0</v>
      </c>
      <c r="K198" s="30">
        <v>13.0</v>
      </c>
      <c r="L198" s="30">
        <v>20.0</v>
      </c>
      <c r="M198" s="30">
        <v>1.0</v>
      </c>
      <c r="N198" s="30">
        <v>1.0</v>
      </c>
      <c r="O198" s="30">
        <v>0.971</v>
      </c>
      <c r="P198" s="30">
        <v>1.7</v>
      </c>
      <c r="Q198" s="30">
        <v>1.06</v>
      </c>
      <c r="R198" s="30">
        <v>4.0</v>
      </c>
      <c r="S198" s="30">
        <v>7.0</v>
      </c>
      <c r="T198" s="183">
        <v>0.64</v>
      </c>
      <c r="U198" s="30">
        <v>1.0</v>
      </c>
      <c r="V198" s="30" t="s">
        <v>5280</v>
      </c>
    </row>
    <row r="199">
      <c r="A199" s="30">
        <v>273.0</v>
      </c>
      <c r="B199" s="30" t="s">
        <v>5281</v>
      </c>
      <c r="C199" s="30">
        <v>32.0</v>
      </c>
      <c r="D199" s="30" t="s">
        <v>4601</v>
      </c>
      <c r="E199" s="30" t="s">
        <v>4898</v>
      </c>
      <c r="F199" s="30">
        <v>76.0</v>
      </c>
      <c r="G199" s="30">
        <v>0.0</v>
      </c>
      <c r="H199" s="30">
        <v>0.0</v>
      </c>
      <c r="I199" s="30">
        <v>84.2</v>
      </c>
      <c r="J199" s="30">
        <v>18.0</v>
      </c>
      <c r="K199" s="30">
        <v>5.0</v>
      </c>
      <c r="L199" s="30">
        <v>11.0</v>
      </c>
      <c r="M199" s="30">
        <v>2.0</v>
      </c>
      <c r="N199" s="30">
        <v>1.0</v>
      </c>
      <c r="O199" s="30">
        <v>0.889</v>
      </c>
      <c r="P199" s="30">
        <v>1.7</v>
      </c>
      <c r="Q199" s="30">
        <v>0.21</v>
      </c>
      <c r="R199" s="30">
        <v>2.0</v>
      </c>
      <c r="S199" s="30">
        <v>2.0</v>
      </c>
      <c r="T199" s="183">
        <v>0.5</v>
      </c>
      <c r="U199" s="30">
        <v>0.0</v>
      </c>
      <c r="V199" s="30" t="s">
        <v>5282</v>
      </c>
    </row>
    <row r="200">
      <c r="A200" s="30">
        <v>272.0</v>
      </c>
      <c r="B200" s="30" t="s">
        <v>5283</v>
      </c>
      <c r="C200" s="30">
        <v>37.0</v>
      </c>
      <c r="D200" s="30" t="s">
        <v>4874</v>
      </c>
      <c r="E200" s="30" t="s">
        <v>4868</v>
      </c>
      <c r="F200" s="30">
        <v>25.0</v>
      </c>
      <c r="G200" s="30">
        <v>11.0</v>
      </c>
      <c r="H200" s="30">
        <v>0.0</v>
      </c>
      <c r="I200" s="30">
        <v>79.1</v>
      </c>
      <c r="J200" s="30">
        <v>15.0</v>
      </c>
      <c r="K200" s="30">
        <v>4.0</v>
      </c>
      <c r="L200" s="30">
        <v>11.0</v>
      </c>
      <c r="M200" s="30">
        <v>0.0</v>
      </c>
      <c r="N200" s="30">
        <v>3.0</v>
      </c>
      <c r="O200" s="30">
        <v>1.0</v>
      </c>
      <c r="P200" s="30">
        <v>1.7</v>
      </c>
      <c r="Q200" s="30">
        <v>0.6</v>
      </c>
      <c r="R200" s="30">
        <v>3.0</v>
      </c>
      <c r="S200" s="30">
        <v>6.0</v>
      </c>
      <c r="T200" s="183">
        <v>0.67</v>
      </c>
      <c r="U200" s="30">
        <v>0.0</v>
      </c>
      <c r="V200" s="30" t="s">
        <v>5284</v>
      </c>
    </row>
    <row r="201">
      <c r="A201" s="30">
        <v>277.0</v>
      </c>
      <c r="B201" s="30" t="s">
        <v>5285</v>
      </c>
      <c r="C201" s="30">
        <v>25.0</v>
      </c>
      <c r="D201" s="30" t="s">
        <v>4864</v>
      </c>
      <c r="E201" s="30" t="s">
        <v>4858</v>
      </c>
      <c r="F201" s="30">
        <v>37.0</v>
      </c>
      <c r="G201" s="30">
        <v>1.0</v>
      </c>
      <c r="H201" s="30">
        <v>0.0</v>
      </c>
      <c r="I201" s="30">
        <v>53.1</v>
      </c>
      <c r="J201" s="30">
        <v>10.0</v>
      </c>
      <c r="K201" s="30">
        <v>4.0</v>
      </c>
      <c r="L201" s="30">
        <v>6.0</v>
      </c>
      <c r="M201" s="30">
        <v>0.0</v>
      </c>
      <c r="N201" s="30">
        <v>0.0</v>
      </c>
      <c r="O201" s="30">
        <v>1.0</v>
      </c>
      <c r="P201" s="30">
        <v>1.69</v>
      </c>
      <c r="Q201" s="30">
        <v>0.27</v>
      </c>
      <c r="R201" s="30">
        <v>3.0</v>
      </c>
      <c r="S201" s="30">
        <v>2.0</v>
      </c>
      <c r="T201" s="183">
        <v>0.4</v>
      </c>
      <c r="U201" s="30">
        <v>1.0</v>
      </c>
      <c r="V201" s="30" t="s">
        <v>5286</v>
      </c>
    </row>
    <row r="202">
      <c r="A202" s="30">
        <v>278.0</v>
      </c>
      <c r="B202" s="30" t="s">
        <v>5287</v>
      </c>
      <c r="C202" s="30">
        <v>26.0</v>
      </c>
      <c r="D202" s="30" t="s">
        <v>4934</v>
      </c>
      <c r="E202" s="30" t="s">
        <v>4858</v>
      </c>
      <c r="F202" s="30">
        <v>38.0</v>
      </c>
      <c r="G202" s="30">
        <v>0.0</v>
      </c>
      <c r="H202" s="30">
        <v>0.0</v>
      </c>
      <c r="I202" s="30">
        <v>48.0</v>
      </c>
      <c r="J202" s="30">
        <v>10.0</v>
      </c>
      <c r="K202" s="30">
        <v>5.0</v>
      </c>
      <c r="L202" s="30">
        <v>4.0</v>
      </c>
      <c r="M202" s="30">
        <v>1.0</v>
      </c>
      <c r="N202" s="30">
        <v>0.0</v>
      </c>
      <c r="O202" s="30">
        <v>0.9</v>
      </c>
      <c r="P202" s="30">
        <v>1.69</v>
      </c>
      <c r="Q202" s="30">
        <v>0.24</v>
      </c>
      <c r="R202" s="30">
        <v>5.0</v>
      </c>
      <c r="S202" s="30">
        <v>1.0</v>
      </c>
      <c r="T202" s="183">
        <v>0.17</v>
      </c>
      <c r="U202" s="30">
        <v>0.0</v>
      </c>
      <c r="V202" s="30" t="s">
        <v>5288</v>
      </c>
    </row>
    <row r="203">
      <c r="A203" s="30">
        <v>279.0</v>
      </c>
      <c r="B203" s="30" t="s">
        <v>5289</v>
      </c>
      <c r="C203" s="30">
        <v>35.0</v>
      </c>
      <c r="D203" s="30" t="s">
        <v>4913</v>
      </c>
      <c r="E203" s="30" t="s">
        <v>4868</v>
      </c>
      <c r="F203" s="30">
        <v>32.0</v>
      </c>
      <c r="G203" s="30">
        <v>32.0</v>
      </c>
      <c r="H203" s="30">
        <v>7.0</v>
      </c>
      <c r="I203" s="30">
        <v>224.2</v>
      </c>
      <c r="J203" s="30">
        <v>44.0</v>
      </c>
      <c r="K203" s="30">
        <v>11.0</v>
      </c>
      <c r="L203" s="30">
        <v>31.0</v>
      </c>
      <c r="M203" s="30">
        <v>2.0</v>
      </c>
      <c r="N203" s="30">
        <v>0.0</v>
      </c>
      <c r="O203" s="30">
        <v>0.955</v>
      </c>
      <c r="P203" s="30">
        <v>1.68</v>
      </c>
      <c r="Q203" s="30">
        <v>1.31</v>
      </c>
      <c r="R203" s="30">
        <v>24.0</v>
      </c>
      <c r="S203" s="30">
        <v>11.0</v>
      </c>
      <c r="T203" s="183">
        <v>0.31</v>
      </c>
      <c r="U203" s="30">
        <v>7.0</v>
      </c>
      <c r="V203" s="30" t="s">
        <v>5290</v>
      </c>
    </row>
    <row r="204">
      <c r="A204" s="30">
        <v>280.0</v>
      </c>
      <c r="B204" s="30" t="s">
        <v>5291</v>
      </c>
      <c r="C204" s="30">
        <v>24.0</v>
      </c>
      <c r="D204" s="30" t="s">
        <v>5021</v>
      </c>
      <c r="E204" s="30" t="s">
        <v>4858</v>
      </c>
      <c r="F204" s="30">
        <v>26.0</v>
      </c>
      <c r="G204" s="30">
        <v>26.0</v>
      </c>
      <c r="H204" s="30">
        <v>2.0</v>
      </c>
      <c r="I204" s="30">
        <v>161.0</v>
      </c>
      <c r="J204" s="30">
        <v>30.0</v>
      </c>
      <c r="K204" s="30">
        <v>15.0</v>
      </c>
      <c r="L204" s="30">
        <v>15.0</v>
      </c>
      <c r="M204" s="30">
        <v>0.0</v>
      </c>
      <c r="N204" s="30">
        <v>3.0</v>
      </c>
      <c r="O204" s="30">
        <v>1.0</v>
      </c>
      <c r="P204" s="30">
        <v>1.68</v>
      </c>
      <c r="Q204" s="30">
        <v>1.15</v>
      </c>
      <c r="R204" s="30">
        <v>10.0</v>
      </c>
      <c r="S204" s="30">
        <v>3.0</v>
      </c>
      <c r="T204" s="183">
        <v>0.23</v>
      </c>
      <c r="U204" s="30">
        <v>1.0</v>
      </c>
      <c r="V204" s="30" t="s">
        <v>5292</v>
      </c>
    </row>
    <row r="205">
      <c r="A205" s="30">
        <v>281.0</v>
      </c>
      <c r="B205" s="30" t="s">
        <v>5293</v>
      </c>
      <c r="C205" s="30">
        <v>30.0</v>
      </c>
      <c r="D205" s="30" t="s">
        <v>5021</v>
      </c>
      <c r="E205" s="30" t="s">
        <v>4858</v>
      </c>
      <c r="F205" s="30">
        <v>66.0</v>
      </c>
      <c r="G205" s="30">
        <v>0.0</v>
      </c>
      <c r="H205" s="30">
        <v>0.0</v>
      </c>
      <c r="I205" s="30">
        <v>75.2</v>
      </c>
      <c r="J205" s="30">
        <v>14.0</v>
      </c>
      <c r="K205" s="30">
        <v>5.0</v>
      </c>
      <c r="L205" s="30">
        <v>9.0</v>
      </c>
      <c r="M205" s="30">
        <v>0.0</v>
      </c>
      <c r="N205" s="30">
        <v>0.0</v>
      </c>
      <c r="O205" s="30">
        <v>1.0</v>
      </c>
      <c r="P205" s="30">
        <v>1.67</v>
      </c>
      <c r="Q205" s="30">
        <v>0.21</v>
      </c>
      <c r="R205" s="30">
        <v>1.0</v>
      </c>
      <c r="S205" s="30">
        <v>3.0</v>
      </c>
      <c r="T205" s="183">
        <v>0.75</v>
      </c>
      <c r="U205" s="30">
        <v>0.0</v>
      </c>
      <c r="V205" s="30" t="s">
        <v>5294</v>
      </c>
    </row>
    <row r="206">
      <c r="A206" s="30">
        <v>284.0</v>
      </c>
      <c r="B206" s="30" t="s">
        <v>5295</v>
      </c>
      <c r="C206" s="30">
        <v>25.0</v>
      </c>
      <c r="D206" s="30" t="s">
        <v>5003</v>
      </c>
      <c r="E206" s="30" t="s">
        <v>4868</v>
      </c>
      <c r="F206" s="30">
        <v>34.0</v>
      </c>
      <c r="G206" s="30">
        <v>34.0</v>
      </c>
      <c r="H206" s="30">
        <v>5.0</v>
      </c>
      <c r="I206" s="30">
        <v>222.0</v>
      </c>
      <c r="J206" s="30">
        <v>41.0</v>
      </c>
      <c r="K206" s="30">
        <v>6.0</v>
      </c>
      <c r="L206" s="30">
        <v>35.0</v>
      </c>
      <c r="M206" s="30">
        <v>0.0</v>
      </c>
      <c r="N206" s="30">
        <v>2.0</v>
      </c>
      <c r="O206" s="30">
        <v>1.0</v>
      </c>
      <c r="P206" s="30">
        <v>1.66</v>
      </c>
      <c r="Q206" s="30">
        <v>1.21</v>
      </c>
      <c r="R206" s="30">
        <v>21.0</v>
      </c>
      <c r="S206" s="30">
        <v>16.0</v>
      </c>
      <c r="T206" s="183">
        <v>0.43</v>
      </c>
      <c r="U206" s="30">
        <v>8.0</v>
      </c>
      <c r="V206" s="30" t="s">
        <v>5296</v>
      </c>
    </row>
    <row r="207">
      <c r="A207" s="30">
        <v>288.0</v>
      </c>
      <c r="B207" s="30" t="s">
        <v>5049</v>
      </c>
      <c r="C207" s="30">
        <v>26.0</v>
      </c>
      <c r="D207" s="30" t="s">
        <v>5021</v>
      </c>
      <c r="E207" s="30" t="s">
        <v>4858</v>
      </c>
      <c r="F207" s="30">
        <v>35.0</v>
      </c>
      <c r="G207" s="30">
        <v>20.0</v>
      </c>
      <c r="H207" s="30">
        <v>1.0</v>
      </c>
      <c r="I207" s="30">
        <v>141.1</v>
      </c>
      <c r="J207" s="30">
        <v>29.0</v>
      </c>
      <c r="K207" s="30">
        <v>8.0</v>
      </c>
      <c r="L207" s="30">
        <v>18.0</v>
      </c>
      <c r="M207" s="30">
        <v>3.0</v>
      </c>
      <c r="N207" s="30">
        <v>0.0</v>
      </c>
      <c r="O207" s="30">
        <v>0.897</v>
      </c>
      <c r="P207" s="30">
        <v>1.66</v>
      </c>
      <c r="Q207" s="30">
        <v>0.74</v>
      </c>
      <c r="R207" s="30">
        <v>15.0</v>
      </c>
      <c r="S207" s="30">
        <v>7.0</v>
      </c>
      <c r="T207" s="183">
        <v>0.32</v>
      </c>
      <c r="U207" s="30">
        <v>0.0</v>
      </c>
      <c r="V207" s="30" t="s">
        <v>5297</v>
      </c>
    </row>
    <row r="208">
      <c r="A208" s="30">
        <v>283.0</v>
      </c>
      <c r="B208" s="30" t="s">
        <v>5298</v>
      </c>
      <c r="C208" s="30">
        <v>23.0</v>
      </c>
      <c r="D208" s="30" t="s">
        <v>4877</v>
      </c>
      <c r="E208" s="30" t="s">
        <v>4858</v>
      </c>
      <c r="F208" s="30">
        <v>17.0</v>
      </c>
      <c r="G208" s="30">
        <v>17.0</v>
      </c>
      <c r="H208" s="30">
        <v>2.0</v>
      </c>
      <c r="I208" s="30">
        <v>113.2</v>
      </c>
      <c r="J208" s="30">
        <v>22.0</v>
      </c>
      <c r="K208" s="30">
        <v>4.0</v>
      </c>
      <c r="L208" s="30">
        <v>17.0</v>
      </c>
      <c r="M208" s="30">
        <v>1.0</v>
      </c>
      <c r="N208" s="30">
        <v>5.0</v>
      </c>
      <c r="O208" s="30">
        <v>0.955</v>
      </c>
      <c r="P208" s="30">
        <v>1.66</v>
      </c>
      <c r="Q208" s="30">
        <v>1.24</v>
      </c>
      <c r="R208" s="30">
        <v>7.0</v>
      </c>
      <c r="S208" s="30">
        <v>3.0</v>
      </c>
      <c r="T208" s="183">
        <v>0.3</v>
      </c>
      <c r="U208" s="30">
        <v>1.0</v>
      </c>
      <c r="V208" s="30" t="s">
        <v>5299</v>
      </c>
    </row>
    <row r="209">
      <c r="A209" s="30">
        <v>285.0</v>
      </c>
      <c r="B209" s="30" t="s">
        <v>5300</v>
      </c>
      <c r="C209" s="30">
        <v>28.0</v>
      </c>
      <c r="D209" s="30" t="s">
        <v>5038</v>
      </c>
      <c r="E209" s="30" t="s">
        <v>4858</v>
      </c>
      <c r="F209" s="30">
        <v>60.0</v>
      </c>
      <c r="G209" s="30">
        <v>0.0</v>
      </c>
      <c r="H209" s="30">
        <v>0.0</v>
      </c>
      <c r="I209" s="30">
        <v>65.0</v>
      </c>
      <c r="J209" s="30">
        <v>14.0</v>
      </c>
      <c r="K209" s="30">
        <v>3.0</v>
      </c>
      <c r="L209" s="30">
        <v>9.0</v>
      </c>
      <c r="M209" s="30">
        <v>2.0</v>
      </c>
      <c r="N209" s="30">
        <v>2.0</v>
      </c>
      <c r="O209" s="30">
        <v>0.857</v>
      </c>
      <c r="P209" s="30">
        <v>1.66</v>
      </c>
      <c r="Q209" s="30">
        <v>0.2</v>
      </c>
      <c r="R209" s="30">
        <v>2.0</v>
      </c>
      <c r="S209" s="30">
        <v>1.0</v>
      </c>
      <c r="T209" s="183">
        <v>0.33</v>
      </c>
      <c r="U209" s="30">
        <v>0.0</v>
      </c>
      <c r="V209" s="30" t="s">
        <v>5301</v>
      </c>
    </row>
    <row r="210">
      <c r="A210" s="30">
        <v>282.0</v>
      </c>
      <c r="B210" s="30" t="s">
        <v>5302</v>
      </c>
      <c r="C210" s="30">
        <v>26.0</v>
      </c>
      <c r="D210" s="30" t="s">
        <v>4601</v>
      </c>
      <c r="E210" s="30" t="s">
        <v>4898</v>
      </c>
      <c r="F210" s="30">
        <v>62.0</v>
      </c>
      <c r="G210" s="30">
        <v>0.0</v>
      </c>
      <c r="H210" s="30">
        <v>0.0</v>
      </c>
      <c r="I210" s="30">
        <v>70.1</v>
      </c>
      <c r="J210" s="30">
        <v>13.0</v>
      </c>
      <c r="K210" s="30">
        <v>8.0</v>
      </c>
      <c r="L210" s="30">
        <v>5.0</v>
      </c>
      <c r="M210" s="30">
        <v>0.0</v>
      </c>
      <c r="N210" s="30">
        <v>0.0</v>
      </c>
      <c r="O210" s="30">
        <v>1.0</v>
      </c>
      <c r="P210" s="30">
        <v>1.66</v>
      </c>
      <c r="Q210" s="30">
        <v>0.21</v>
      </c>
      <c r="R210" s="30">
        <v>2.0</v>
      </c>
      <c r="S210" s="30">
        <v>2.0</v>
      </c>
      <c r="T210" s="183">
        <v>0.5</v>
      </c>
      <c r="U210" s="30">
        <v>0.0</v>
      </c>
      <c r="V210" s="30" t="s">
        <v>5303</v>
      </c>
    </row>
    <row r="211">
      <c r="A211" s="30">
        <v>286.0</v>
      </c>
      <c r="B211" s="30" t="s">
        <v>5304</v>
      </c>
      <c r="C211" s="30">
        <v>25.0</v>
      </c>
      <c r="D211" s="30" t="s">
        <v>4864</v>
      </c>
      <c r="E211" s="30" t="s">
        <v>4858</v>
      </c>
      <c r="F211" s="30">
        <v>43.0</v>
      </c>
      <c r="G211" s="30">
        <v>0.0</v>
      </c>
      <c r="H211" s="30">
        <v>0.0</v>
      </c>
      <c r="I211" s="30">
        <v>59.2</v>
      </c>
      <c r="J211" s="30">
        <v>11.0</v>
      </c>
      <c r="K211" s="30">
        <v>1.0</v>
      </c>
      <c r="L211" s="30">
        <v>10.0</v>
      </c>
      <c r="M211" s="30">
        <v>0.0</v>
      </c>
      <c r="N211" s="30">
        <v>2.0</v>
      </c>
      <c r="O211" s="30">
        <v>1.0</v>
      </c>
      <c r="P211" s="30">
        <v>1.66</v>
      </c>
      <c r="Q211" s="30">
        <v>0.26</v>
      </c>
      <c r="R211" s="30">
        <v>3.0</v>
      </c>
      <c r="S211" s="30">
        <v>4.0</v>
      </c>
      <c r="T211" s="183">
        <v>0.57</v>
      </c>
      <c r="U211" s="30">
        <v>1.0</v>
      </c>
      <c r="V211" s="30" t="s">
        <v>5305</v>
      </c>
    </row>
    <row r="212">
      <c r="A212" s="30">
        <v>292.0</v>
      </c>
      <c r="B212" s="30" t="s">
        <v>5306</v>
      </c>
      <c r="C212" s="30">
        <v>31.0</v>
      </c>
      <c r="D212" s="30" t="s">
        <v>5008</v>
      </c>
      <c r="E212" s="30" t="s">
        <v>4858</v>
      </c>
      <c r="F212" s="30">
        <v>32.0</v>
      </c>
      <c r="G212" s="30">
        <v>32.0</v>
      </c>
      <c r="H212" s="30">
        <v>2.0</v>
      </c>
      <c r="I212" s="30">
        <v>209.0</v>
      </c>
      <c r="J212" s="30">
        <v>38.0</v>
      </c>
      <c r="K212" s="30">
        <v>20.0</v>
      </c>
      <c r="L212" s="30">
        <v>18.0</v>
      </c>
      <c r="M212" s="30">
        <v>0.0</v>
      </c>
      <c r="N212" s="30">
        <v>4.0</v>
      </c>
      <c r="O212" s="30">
        <v>1.0</v>
      </c>
      <c r="P212" s="30">
        <v>1.64</v>
      </c>
      <c r="Q212" s="30">
        <v>1.19</v>
      </c>
      <c r="R212" s="30">
        <v>9.0</v>
      </c>
      <c r="S212" s="30">
        <v>6.0</v>
      </c>
      <c r="T212" s="183">
        <v>0.4</v>
      </c>
      <c r="U212" s="30">
        <v>1.0</v>
      </c>
      <c r="V212" s="30" t="s">
        <v>5307</v>
      </c>
    </row>
    <row r="213">
      <c r="A213" s="30">
        <v>290.0</v>
      </c>
      <c r="B213" s="30" t="s">
        <v>5308</v>
      </c>
      <c r="C213" s="30">
        <v>33.0</v>
      </c>
      <c r="D213" s="30" t="s">
        <v>4910</v>
      </c>
      <c r="E213" s="30" t="s">
        <v>4868</v>
      </c>
      <c r="F213" s="30">
        <v>67.0</v>
      </c>
      <c r="G213" s="30">
        <v>0.0</v>
      </c>
      <c r="H213" s="30">
        <v>0.0</v>
      </c>
      <c r="I213" s="30">
        <v>71.1</v>
      </c>
      <c r="J213" s="30">
        <v>14.0</v>
      </c>
      <c r="K213" s="30">
        <v>4.0</v>
      </c>
      <c r="L213" s="30">
        <v>9.0</v>
      </c>
      <c r="M213" s="30">
        <v>1.0</v>
      </c>
      <c r="N213" s="30">
        <v>0.0</v>
      </c>
      <c r="O213" s="30">
        <v>0.929</v>
      </c>
      <c r="P213" s="30">
        <v>1.64</v>
      </c>
      <c r="Q213" s="30">
        <v>0.19</v>
      </c>
      <c r="R213" s="30">
        <v>5.0</v>
      </c>
      <c r="S213" s="30">
        <v>2.0</v>
      </c>
      <c r="T213" s="183">
        <v>0.29</v>
      </c>
      <c r="U213" s="30">
        <v>0.0</v>
      </c>
      <c r="V213" s="30" t="s">
        <v>5309</v>
      </c>
    </row>
    <row r="214">
      <c r="A214" s="30">
        <v>295.0</v>
      </c>
      <c r="B214" s="30" t="s">
        <v>5310</v>
      </c>
      <c r="C214" s="30">
        <v>31.0</v>
      </c>
      <c r="D214" s="30" t="s">
        <v>4886</v>
      </c>
      <c r="E214" s="30" t="s">
        <v>4868</v>
      </c>
      <c r="F214" s="30">
        <v>36.0</v>
      </c>
      <c r="G214" s="30">
        <v>33.0</v>
      </c>
      <c r="H214" s="30">
        <v>2.0</v>
      </c>
      <c r="I214" s="30">
        <v>216.0</v>
      </c>
      <c r="J214" s="30">
        <v>42.0</v>
      </c>
      <c r="K214" s="30">
        <v>16.0</v>
      </c>
      <c r="L214" s="30">
        <v>23.0</v>
      </c>
      <c r="M214" s="30">
        <v>3.0</v>
      </c>
      <c r="N214" s="30">
        <v>1.0</v>
      </c>
      <c r="O214" s="30">
        <v>0.929</v>
      </c>
      <c r="P214" s="30">
        <v>1.63</v>
      </c>
      <c r="Q214" s="30">
        <v>1.08</v>
      </c>
      <c r="R214" s="30">
        <v>24.0</v>
      </c>
      <c r="S214" s="30">
        <v>8.0</v>
      </c>
      <c r="T214" s="183">
        <v>0.25</v>
      </c>
      <c r="U214" s="30">
        <v>0.0</v>
      </c>
      <c r="V214" s="30" t="s">
        <v>5311</v>
      </c>
    </row>
    <row r="215">
      <c r="A215" s="30">
        <v>293.0</v>
      </c>
      <c r="B215" s="30" t="s">
        <v>5312</v>
      </c>
      <c r="C215" s="30">
        <v>25.0</v>
      </c>
      <c r="D215" s="30" t="s">
        <v>4861</v>
      </c>
      <c r="E215" s="30" t="s">
        <v>4858</v>
      </c>
      <c r="F215" s="30">
        <v>78.0</v>
      </c>
      <c r="G215" s="30">
        <v>0.0</v>
      </c>
      <c r="H215" s="30">
        <v>0.0</v>
      </c>
      <c r="I215" s="30">
        <v>71.2</v>
      </c>
      <c r="J215" s="30">
        <v>14.0</v>
      </c>
      <c r="K215" s="30">
        <v>3.0</v>
      </c>
      <c r="L215" s="30">
        <v>10.0</v>
      </c>
      <c r="M215" s="30">
        <v>1.0</v>
      </c>
      <c r="N215" s="30">
        <v>0.0</v>
      </c>
      <c r="O215" s="30">
        <v>0.929</v>
      </c>
      <c r="P215" s="30">
        <v>1.63</v>
      </c>
      <c r="Q215" s="30">
        <v>0.17</v>
      </c>
      <c r="R215" s="30">
        <v>6.0</v>
      </c>
      <c r="S215" s="30">
        <v>3.0</v>
      </c>
      <c r="T215" s="183">
        <v>0.33</v>
      </c>
      <c r="U215" s="30">
        <v>0.0</v>
      </c>
      <c r="V215" s="30" t="s">
        <v>5313</v>
      </c>
    </row>
    <row r="216">
      <c r="A216" s="30">
        <v>294.0</v>
      </c>
      <c r="B216" s="30" t="s">
        <v>5314</v>
      </c>
      <c r="C216" s="30">
        <v>27.0</v>
      </c>
      <c r="D216" s="30" t="s">
        <v>5086</v>
      </c>
      <c r="E216" s="30" t="s">
        <v>4868</v>
      </c>
      <c r="F216" s="30">
        <v>56.0</v>
      </c>
      <c r="G216" s="30">
        <v>0.0</v>
      </c>
      <c r="H216" s="30">
        <v>0.0</v>
      </c>
      <c r="I216" s="30">
        <v>60.2</v>
      </c>
      <c r="J216" s="30">
        <v>11.0</v>
      </c>
      <c r="K216" s="30">
        <v>3.0</v>
      </c>
      <c r="L216" s="30">
        <v>8.0</v>
      </c>
      <c r="M216" s="30">
        <v>0.0</v>
      </c>
      <c r="N216" s="30">
        <v>0.0</v>
      </c>
      <c r="O216" s="30">
        <v>1.0</v>
      </c>
      <c r="P216" s="30">
        <v>1.63</v>
      </c>
      <c r="Q216" s="30">
        <v>0.2</v>
      </c>
      <c r="R216" s="30">
        <v>1.0</v>
      </c>
      <c r="S216" s="30">
        <v>3.0</v>
      </c>
      <c r="T216" s="183">
        <v>0.75</v>
      </c>
      <c r="U216" s="30">
        <v>1.0</v>
      </c>
      <c r="V216" s="30" t="s">
        <v>5315</v>
      </c>
    </row>
    <row r="217">
      <c r="A217" s="30">
        <v>296.0</v>
      </c>
      <c r="B217" s="30" t="s">
        <v>5316</v>
      </c>
      <c r="C217" s="30">
        <v>32.0</v>
      </c>
      <c r="D217" s="30" t="s">
        <v>4877</v>
      </c>
      <c r="E217" s="30" t="s">
        <v>4858</v>
      </c>
      <c r="F217" s="30">
        <v>48.0</v>
      </c>
      <c r="G217" s="30">
        <v>10.0</v>
      </c>
      <c r="H217" s="30">
        <v>0.0</v>
      </c>
      <c r="I217" s="30">
        <v>105.2</v>
      </c>
      <c r="J217" s="30">
        <v>20.0</v>
      </c>
      <c r="K217" s="30">
        <v>8.0</v>
      </c>
      <c r="L217" s="30">
        <v>11.0</v>
      </c>
      <c r="M217" s="30">
        <v>1.0</v>
      </c>
      <c r="N217" s="30">
        <v>1.0</v>
      </c>
      <c r="O217" s="30">
        <v>0.95</v>
      </c>
      <c r="P217" s="30">
        <v>1.62</v>
      </c>
      <c r="Q217" s="30">
        <v>0.4</v>
      </c>
      <c r="R217" s="30">
        <v>3.0</v>
      </c>
      <c r="S217" s="30">
        <v>4.0</v>
      </c>
      <c r="T217" s="183">
        <v>0.57</v>
      </c>
      <c r="U217" s="30">
        <v>0.0</v>
      </c>
      <c r="V217" s="30" t="s">
        <v>5317</v>
      </c>
    </row>
    <row r="218">
      <c r="A218" s="30">
        <v>297.0</v>
      </c>
      <c r="B218" s="30" t="s">
        <v>5318</v>
      </c>
      <c r="C218" s="30">
        <v>24.0</v>
      </c>
      <c r="D218" s="30" t="s">
        <v>4601</v>
      </c>
      <c r="E218" s="30" t="s">
        <v>4898</v>
      </c>
      <c r="F218" s="30">
        <v>26.0</v>
      </c>
      <c r="G218" s="30">
        <v>11.0</v>
      </c>
      <c r="H218" s="30">
        <v>0.0</v>
      </c>
      <c r="I218" s="30">
        <v>72.1</v>
      </c>
      <c r="J218" s="30">
        <v>13.0</v>
      </c>
      <c r="K218" s="30">
        <v>1.0</v>
      </c>
      <c r="L218" s="30">
        <v>12.0</v>
      </c>
      <c r="M218" s="30">
        <v>0.0</v>
      </c>
      <c r="N218" s="30">
        <v>0.0</v>
      </c>
      <c r="O218" s="30">
        <v>1.0</v>
      </c>
      <c r="P218" s="30">
        <v>1.62</v>
      </c>
      <c r="Q218" s="30">
        <v>0.5</v>
      </c>
      <c r="R218" s="30">
        <v>1.0</v>
      </c>
      <c r="S218" s="30">
        <v>1.0</v>
      </c>
      <c r="T218" s="183">
        <v>0.5</v>
      </c>
      <c r="U218" s="30">
        <v>1.0</v>
      </c>
      <c r="V218" s="30" t="s">
        <v>5319</v>
      </c>
    </row>
    <row r="219">
      <c r="A219" s="30">
        <v>298.0</v>
      </c>
      <c r="B219" s="30" t="s">
        <v>5320</v>
      </c>
      <c r="C219" s="30">
        <v>30.0</v>
      </c>
      <c r="D219" s="30" t="s">
        <v>4980</v>
      </c>
      <c r="E219" s="30" t="s">
        <v>4858</v>
      </c>
      <c r="F219" s="30">
        <v>13.0</v>
      </c>
      <c r="G219" s="30">
        <v>9.0</v>
      </c>
      <c r="H219" s="30">
        <v>0.0</v>
      </c>
      <c r="I219" s="30">
        <v>55.2</v>
      </c>
      <c r="J219" s="30">
        <v>10.0</v>
      </c>
      <c r="K219" s="30">
        <v>3.0</v>
      </c>
      <c r="L219" s="30">
        <v>7.0</v>
      </c>
      <c r="M219" s="30">
        <v>0.0</v>
      </c>
      <c r="N219" s="30">
        <v>1.0</v>
      </c>
      <c r="O219" s="30">
        <v>1.0</v>
      </c>
      <c r="P219" s="30">
        <v>1.62</v>
      </c>
      <c r="Q219" s="30">
        <v>0.77</v>
      </c>
      <c r="R219" s="30">
        <v>7.0</v>
      </c>
      <c r="S219" s="30">
        <v>1.0</v>
      </c>
      <c r="T219" s="183">
        <v>0.13</v>
      </c>
      <c r="U219" s="30">
        <v>0.0</v>
      </c>
      <c r="V219" s="30" t="s">
        <v>5321</v>
      </c>
    </row>
    <row r="220">
      <c r="A220" s="30">
        <v>299.0</v>
      </c>
      <c r="B220" s="30" t="s">
        <v>5322</v>
      </c>
      <c r="C220" s="30">
        <v>30.0</v>
      </c>
      <c r="D220" s="30" t="s">
        <v>4877</v>
      </c>
      <c r="E220" s="30" t="s">
        <v>4858</v>
      </c>
      <c r="F220" s="30">
        <v>30.0</v>
      </c>
      <c r="G220" s="30">
        <v>29.0</v>
      </c>
      <c r="H220" s="30">
        <v>0.0</v>
      </c>
      <c r="I220" s="30">
        <v>161.2</v>
      </c>
      <c r="J220" s="30">
        <v>31.0</v>
      </c>
      <c r="K220" s="30">
        <v>3.0</v>
      </c>
      <c r="L220" s="30">
        <v>26.0</v>
      </c>
      <c r="M220" s="30">
        <v>2.0</v>
      </c>
      <c r="N220" s="30">
        <v>0.0</v>
      </c>
      <c r="O220" s="30">
        <v>0.935</v>
      </c>
      <c r="P220" s="30">
        <v>1.61</v>
      </c>
      <c r="Q220" s="30">
        <v>0.97</v>
      </c>
      <c r="R220" s="30">
        <v>8.0</v>
      </c>
      <c r="S220" s="30">
        <v>10.0</v>
      </c>
      <c r="T220" s="183">
        <v>0.56</v>
      </c>
      <c r="U220" s="30">
        <v>2.0</v>
      </c>
      <c r="V220" s="30" t="s">
        <v>5323</v>
      </c>
    </row>
    <row r="221">
      <c r="A221" s="30">
        <v>300.0</v>
      </c>
      <c r="B221" s="30" t="s">
        <v>5324</v>
      </c>
      <c r="C221" s="30">
        <v>33.0</v>
      </c>
      <c r="D221" s="30" t="s">
        <v>4937</v>
      </c>
      <c r="E221" s="30" t="s">
        <v>4868</v>
      </c>
      <c r="F221" s="30">
        <v>23.0</v>
      </c>
      <c r="G221" s="30">
        <v>23.0</v>
      </c>
      <c r="H221" s="30">
        <v>0.0</v>
      </c>
      <c r="I221" s="30">
        <v>134.0</v>
      </c>
      <c r="J221" s="30">
        <v>24.0</v>
      </c>
      <c r="K221" s="30">
        <v>6.0</v>
      </c>
      <c r="L221" s="30">
        <v>18.0</v>
      </c>
      <c r="M221" s="30">
        <v>0.0</v>
      </c>
      <c r="N221" s="30">
        <v>1.0</v>
      </c>
      <c r="O221" s="30">
        <v>1.0</v>
      </c>
      <c r="P221" s="30">
        <v>1.61</v>
      </c>
      <c r="Q221" s="30">
        <v>1.04</v>
      </c>
      <c r="R221" s="30">
        <v>16.0</v>
      </c>
      <c r="S221" s="30">
        <v>4.0</v>
      </c>
      <c r="T221" s="183">
        <v>0.2</v>
      </c>
      <c r="U221" s="30">
        <v>0.0</v>
      </c>
      <c r="V221" s="30" t="s">
        <v>5325</v>
      </c>
    </row>
    <row r="222">
      <c r="A222" s="30">
        <v>301.0</v>
      </c>
      <c r="B222" s="30" t="s">
        <v>5326</v>
      </c>
      <c r="C222" s="30">
        <v>30.0</v>
      </c>
      <c r="D222" s="30" t="s">
        <v>4857</v>
      </c>
      <c r="E222" s="30" t="s">
        <v>4858</v>
      </c>
      <c r="F222" s="30">
        <v>62.0</v>
      </c>
      <c r="G222" s="30">
        <v>0.0</v>
      </c>
      <c r="H222" s="30">
        <v>0.0</v>
      </c>
      <c r="I222" s="30">
        <v>61.2</v>
      </c>
      <c r="J222" s="30">
        <v>12.0</v>
      </c>
      <c r="K222" s="30">
        <v>2.0</v>
      </c>
      <c r="L222" s="30">
        <v>9.0</v>
      </c>
      <c r="M222" s="30">
        <v>1.0</v>
      </c>
      <c r="N222" s="30">
        <v>0.0</v>
      </c>
      <c r="O222" s="30">
        <v>0.917</v>
      </c>
      <c r="P222" s="30">
        <v>1.61</v>
      </c>
      <c r="Q222" s="30">
        <v>0.18</v>
      </c>
      <c r="R222" s="30">
        <v>1.0</v>
      </c>
      <c r="S222" s="30">
        <v>4.0</v>
      </c>
      <c r="T222" s="183">
        <v>0.8</v>
      </c>
      <c r="U222" s="30">
        <v>1.0</v>
      </c>
      <c r="V222" s="30" t="s">
        <v>5327</v>
      </c>
    </row>
    <row r="223">
      <c r="A223" s="30">
        <v>302.0</v>
      </c>
      <c r="B223" s="30" t="s">
        <v>5328</v>
      </c>
      <c r="C223" s="30">
        <v>35.0</v>
      </c>
      <c r="D223" s="30" t="s">
        <v>4944</v>
      </c>
      <c r="E223" s="30" t="s">
        <v>4868</v>
      </c>
      <c r="F223" s="30">
        <v>31.0</v>
      </c>
      <c r="G223" s="30">
        <v>31.0</v>
      </c>
      <c r="H223" s="30">
        <v>3.0</v>
      </c>
      <c r="I223" s="30">
        <v>207.2</v>
      </c>
      <c r="J223" s="30">
        <v>38.0</v>
      </c>
      <c r="K223" s="30">
        <v>12.0</v>
      </c>
      <c r="L223" s="30">
        <v>25.0</v>
      </c>
      <c r="M223" s="30">
        <v>1.0</v>
      </c>
      <c r="N223" s="30">
        <v>3.0</v>
      </c>
      <c r="O223" s="30">
        <v>0.974</v>
      </c>
      <c r="P223" s="30">
        <v>1.6</v>
      </c>
      <c r="Q223" s="30">
        <v>1.19</v>
      </c>
      <c r="R223" s="30">
        <v>21.0</v>
      </c>
      <c r="S223" s="30">
        <v>6.0</v>
      </c>
      <c r="T223" s="183">
        <v>0.22</v>
      </c>
      <c r="U223" s="30">
        <v>0.0</v>
      </c>
      <c r="V223" s="30" t="s">
        <v>5329</v>
      </c>
    </row>
    <row r="224">
      <c r="A224" s="30">
        <v>303.0</v>
      </c>
      <c r="B224" s="30" t="s">
        <v>5330</v>
      </c>
      <c r="C224" s="30">
        <v>25.0</v>
      </c>
      <c r="D224" s="30" t="s">
        <v>5008</v>
      </c>
      <c r="E224" s="30" t="s">
        <v>4858</v>
      </c>
      <c r="F224" s="30">
        <v>16.0</v>
      </c>
      <c r="G224" s="30">
        <v>16.0</v>
      </c>
      <c r="H224" s="30">
        <v>1.0</v>
      </c>
      <c r="I224" s="30">
        <v>79.0</v>
      </c>
      <c r="J224" s="30">
        <v>14.0</v>
      </c>
      <c r="K224" s="30">
        <v>6.0</v>
      </c>
      <c r="L224" s="30">
        <v>8.0</v>
      </c>
      <c r="M224" s="30">
        <v>0.0</v>
      </c>
      <c r="N224" s="30">
        <v>1.0</v>
      </c>
      <c r="O224" s="30">
        <v>1.0</v>
      </c>
      <c r="P224" s="30">
        <v>1.59</v>
      </c>
      <c r="Q224" s="30">
        <v>0.88</v>
      </c>
      <c r="R224" s="30">
        <v>12.0</v>
      </c>
      <c r="S224" s="30">
        <v>2.0</v>
      </c>
      <c r="T224" s="183">
        <v>0.14</v>
      </c>
      <c r="U224" s="30">
        <v>0.0</v>
      </c>
      <c r="V224" s="30" t="s">
        <v>5331</v>
      </c>
    </row>
    <row r="225">
      <c r="A225" s="30">
        <v>306.0</v>
      </c>
      <c r="B225" s="30" t="s">
        <v>5332</v>
      </c>
      <c r="C225" s="30">
        <v>28.0</v>
      </c>
      <c r="D225" s="30" t="s">
        <v>5045</v>
      </c>
      <c r="E225" s="30" t="s">
        <v>4858</v>
      </c>
      <c r="F225" s="30">
        <v>27.0</v>
      </c>
      <c r="G225" s="30">
        <v>27.0</v>
      </c>
      <c r="H225" s="30">
        <v>0.0</v>
      </c>
      <c r="I225" s="30">
        <v>159.1</v>
      </c>
      <c r="J225" s="30">
        <v>32.0</v>
      </c>
      <c r="K225" s="30">
        <v>12.0</v>
      </c>
      <c r="L225" s="30">
        <v>16.0</v>
      </c>
      <c r="M225" s="30">
        <v>4.0</v>
      </c>
      <c r="N225" s="30">
        <v>1.0</v>
      </c>
      <c r="O225" s="30">
        <v>0.875</v>
      </c>
      <c r="P225" s="30">
        <v>1.58</v>
      </c>
      <c r="Q225" s="30">
        <v>1.04</v>
      </c>
      <c r="R225" s="30">
        <v>11.0</v>
      </c>
      <c r="S225" s="30">
        <v>8.0</v>
      </c>
      <c r="T225" s="183">
        <v>0.42</v>
      </c>
      <c r="U225" s="30">
        <v>2.0</v>
      </c>
      <c r="V225" s="30" t="s">
        <v>5333</v>
      </c>
    </row>
    <row r="226">
      <c r="A226" s="30">
        <v>307.0</v>
      </c>
      <c r="B226" s="30" t="s">
        <v>5334</v>
      </c>
      <c r="C226" s="30">
        <v>27.0</v>
      </c>
      <c r="D226" s="30" t="s">
        <v>4601</v>
      </c>
      <c r="E226" s="30" t="s">
        <v>4898</v>
      </c>
      <c r="F226" s="30">
        <v>9.0</v>
      </c>
      <c r="G226" s="30">
        <v>8.0</v>
      </c>
      <c r="H226" s="30">
        <v>2.0</v>
      </c>
      <c r="I226" s="30">
        <v>57.0</v>
      </c>
      <c r="J226" s="30">
        <v>11.0</v>
      </c>
      <c r="K226" s="30">
        <v>3.0</v>
      </c>
      <c r="L226" s="30">
        <v>7.0</v>
      </c>
      <c r="M226" s="30">
        <v>1.0</v>
      </c>
      <c r="N226" s="30">
        <v>1.0</v>
      </c>
      <c r="O226" s="30">
        <v>0.909</v>
      </c>
      <c r="P226" s="30">
        <v>1.58</v>
      </c>
      <c r="Q226" s="30">
        <v>1.11</v>
      </c>
      <c r="R226" s="30">
        <v>3.0</v>
      </c>
      <c r="S226" s="30">
        <v>1.0</v>
      </c>
      <c r="T226" s="183">
        <v>0.25</v>
      </c>
      <c r="U226" s="30">
        <v>0.0</v>
      </c>
      <c r="V226" s="30" t="s">
        <v>5335</v>
      </c>
    </row>
    <row r="227">
      <c r="A227" s="30">
        <v>308.0</v>
      </c>
      <c r="B227" s="30" t="s">
        <v>5336</v>
      </c>
      <c r="C227" s="30">
        <v>32.0</v>
      </c>
      <c r="D227" s="30" t="s">
        <v>4944</v>
      </c>
      <c r="E227" s="30" t="s">
        <v>4868</v>
      </c>
      <c r="F227" s="30">
        <v>34.0</v>
      </c>
      <c r="G227" s="30">
        <v>0.0</v>
      </c>
      <c r="H227" s="30">
        <v>0.0</v>
      </c>
      <c r="I227" s="30">
        <v>51.1</v>
      </c>
      <c r="J227" s="30">
        <v>10.0</v>
      </c>
      <c r="K227" s="30">
        <v>4.0</v>
      </c>
      <c r="L227" s="30">
        <v>5.0</v>
      </c>
      <c r="M227" s="30">
        <v>1.0</v>
      </c>
      <c r="N227" s="30">
        <v>2.0</v>
      </c>
      <c r="O227" s="30">
        <v>0.9</v>
      </c>
      <c r="P227" s="30">
        <v>1.58</v>
      </c>
      <c r="Q227" s="30">
        <v>0.26</v>
      </c>
      <c r="R227" s="30">
        <v>5.0</v>
      </c>
      <c r="S227" s="30">
        <v>1.0</v>
      </c>
      <c r="T227" s="183">
        <v>0.17</v>
      </c>
      <c r="U227" s="30">
        <v>0.0</v>
      </c>
      <c r="V227" s="30" t="s">
        <v>5337</v>
      </c>
    </row>
    <row r="228">
      <c r="A228" s="30">
        <v>314.0</v>
      </c>
      <c r="B228" s="30" t="s">
        <v>5338</v>
      </c>
      <c r="C228" s="30">
        <v>28.0</v>
      </c>
      <c r="D228" s="30" t="s">
        <v>5086</v>
      </c>
      <c r="E228" s="30" t="s">
        <v>4868</v>
      </c>
      <c r="F228" s="30">
        <v>33.0</v>
      </c>
      <c r="G228" s="30">
        <v>33.0</v>
      </c>
      <c r="H228" s="30">
        <v>3.0</v>
      </c>
      <c r="I228" s="30">
        <v>212.2</v>
      </c>
      <c r="J228" s="30">
        <v>39.0</v>
      </c>
      <c r="K228" s="30">
        <v>17.0</v>
      </c>
      <c r="L228" s="30">
        <v>20.0</v>
      </c>
      <c r="M228" s="30">
        <v>2.0</v>
      </c>
      <c r="N228" s="30">
        <v>3.0</v>
      </c>
      <c r="O228" s="30">
        <v>0.949</v>
      </c>
      <c r="P228" s="30">
        <v>1.57</v>
      </c>
      <c r="Q228" s="30">
        <v>1.12</v>
      </c>
      <c r="R228" s="30">
        <v>4.0</v>
      </c>
      <c r="S228" s="30">
        <v>8.0</v>
      </c>
      <c r="T228" s="183">
        <v>0.67</v>
      </c>
      <c r="U228" s="30">
        <v>0.0</v>
      </c>
      <c r="V228" s="30" t="s">
        <v>5339</v>
      </c>
    </row>
    <row r="229">
      <c r="A229" s="30">
        <v>311.0</v>
      </c>
      <c r="B229" s="30" t="s">
        <v>5340</v>
      </c>
      <c r="C229" s="30">
        <v>28.0</v>
      </c>
      <c r="D229" s="30" t="s">
        <v>4864</v>
      </c>
      <c r="E229" s="30" t="s">
        <v>4858</v>
      </c>
      <c r="F229" s="30">
        <v>31.0</v>
      </c>
      <c r="G229" s="30">
        <v>27.0</v>
      </c>
      <c r="H229" s="30">
        <v>1.0</v>
      </c>
      <c r="I229" s="30">
        <v>172.0</v>
      </c>
      <c r="J229" s="30">
        <v>31.0</v>
      </c>
      <c r="K229" s="30">
        <v>16.0</v>
      </c>
      <c r="L229" s="30">
        <v>14.0</v>
      </c>
      <c r="M229" s="30">
        <v>1.0</v>
      </c>
      <c r="N229" s="30">
        <v>0.0</v>
      </c>
      <c r="O229" s="30">
        <v>0.968</v>
      </c>
      <c r="P229" s="30">
        <v>1.57</v>
      </c>
      <c r="Q229" s="30">
        <v>0.97</v>
      </c>
      <c r="R229" s="30">
        <v>8.0</v>
      </c>
      <c r="S229" s="30">
        <v>2.0</v>
      </c>
      <c r="T229" s="183">
        <v>0.2</v>
      </c>
      <c r="U229" s="30">
        <v>0.0</v>
      </c>
      <c r="V229" s="30" t="s">
        <v>5341</v>
      </c>
    </row>
    <row r="230">
      <c r="A230" s="30">
        <v>313.0</v>
      </c>
      <c r="B230" s="30" t="s">
        <v>5342</v>
      </c>
      <c r="C230" s="30">
        <v>27.0</v>
      </c>
      <c r="D230" s="30" t="s">
        <v>5038</v>
      </c>
      <c r="E230" s="30" t="s">
        <v>4858</v>
      </c>
      <c r="F230" s="30">
        <v>43.0</v>
      </c>
      <c r="G230" s="30">
        <v>5.0</v>
      </c>
      <c r="H230" s="30">
        <v>0.0</v>
      </c>
      <c r="I230" s="30">
        <v>74.2</v>
      </c>
      <c r="J230" s="30">
        <v>14.0</v>
      </c>
      <c r="K230" s="30">
        <v>4.0</v>
      </c>
      <c r="L230" s="30">
        <v>9.0</v>
      </c>
      <c r="M230" s="30">
        <v>1.0</v>
      </c>
      <c r="N230" s="30">
        <v>0.0</v>
      </c>
      <c r="O230" s="30">
        <v>0.929</v>
      </c>
      <c r="P230" s="30">
        <v>1.57</v>
      </c>
      <c r="Q230" s="30">
        <v>0.3</v>
      </c>
      <c r="R230" s="30">
        <v>4.0</v>
      </c>
      <c r="S230" s="30">
        <v>1.0</v>
      </c>
      <c r="T230" s="183">
        <v>0.2</v>
      </c>
      <c r="U230" s="30">
        <v>0.0</v>
      </c>
      <c r="V230" s="30" t="s">
        <v>5343</v>
      </c>
    </row>
    <row r="231">
      <c r="A231" s="30">
        <v>317.0</v>
      </c>
      <c r="B231" s="30" t="s">
        <v>5344</v>
      </c>
      <c r="C231" s="30">
        <v>23.0</v>
      </c>
      <c r="D231" s="30" t="s">
        <v>289</v>
      </c>
      <c r="E231" s="30" t="s">
        <v>4858</v>
      </c>
      <c r="F231" s="30">
        <v>20.0</v>
      </c>
      <c r="G231" s="30">
        <v>20.0</v>
      </c>
      <c r="H231" s="30">
        <v>1.0</v>
      </c>
      <c r="I231" s="30">
        <v>110.0</v>
      </c>
      <c r="J231" s="30">
        <v>20.0</v>
      </c>
      <c r="K231" s="30">
        <v>6.0</v>
      </c>
      <c r="L231" s="30">
        <v>13.0</v>
      </c>
      <c r="M231" s="30">
        <v>1.0</v>
      </c>
      <c r="N231" s="30">
        <v>0.0</v>
      </c>
      <c r="O231" s="30">
        <v>0.95</v>
      </c>
      <c r="P231" s="30">
        <v>1.55</v>
      </c>
      <c r="Q231" s="30">
        <v>0.95</v>
      </c>
      <c r="R231" s="30">
        <v>6.0</v>
      </c>
      <c r="S231" s="30">
        <v>4.0</v>
      </c>
      <c r="T231" s="183">
        <v>0.4</v>
      </c>
      <c r="U231" s="30">
        <v>3.0</v>
      </c>
      <c r="V231" s="30" t="s">
        <v>5345</v>
      </c>
    </row>
    <row r="232">
      <c r="A232" s="30">
        <v>318.0</v>
      </c>
      <c r="B232" s="30" t="s">
        <v>5346</v>
      </c>
      <c r="C232" s="30">
        <v>28.0</v>
      </c>
      <c r="D232" s="30" t="s">
        <v>4601</v>
      </c>
      <c r="E232" s="30" t="s">
        <v>4898</v>
      </c>
      <c r="F232" s="30">
        <v>44.0</v>
      </c>
      <c r="G232" s="30">
        <v>9.0</v>
      </c>
      <c r="H232" s="30">
        <v>0.0</v>
      </c>
      <c r="I232" s="30">
        <v>110.0</v>
      </c>
      <c r="J232" s="30">
        <v>19.0</v>
      </c>
      <c r="K232" s="30">
        <v>5.0</v>
      </c>
      <c r="L232" s="30">
        <v>14.0</v>
      </c>
      <c r="M232" s="30">
        <v>0.0</v>
      </c>
      <c r="N232" s="30">
        <v>1.0</v>
      </c>
      <c r="O232" s="30">
        <v>1.0</v>
      </c>
      <c r="P232" s="30">
        <v>1.55</v>
      </c>
      <c r="Q232" s="30">
        <v>0.43</v>
      </c>
      <c r="R232" s="30">
        <v>11.0</v>
      </c>
      <c r="S232" s="30">
        <v>3.0</v>
      </c>
      <c r="T232" s="183">
        <v>0.21</v>
      </c>
      <c r="U232" s="30">
        <v>1.0</v>
      </c>
      <c r="V232" s="30" t="s">
        <v>5347</v>
      </c>
    </row>
    <row r="233">
      <c r="A233" s="30">
        <v>320.0</v>
      </c>
      <c r="B233" s="30" t="s">
        <v>5348</v>
      </c>
      <c r="C233" s="30">
        <v>24.0</v>
      </c>
      <c r="D233" s="30" t="s">
        <v>5045</v>
      </c>
      <c r="E233" s="30" t="s">
        <v>4858</v>
      </c>
      <c r="F233" s="30">
        <v>21.0</v>
      </c>
      <c r="G233" s="30">
        <v>21.0</v>
      </c>
      <c r="H233" s="30">
        <v>1.0</v>
      </c>
      <c r="I233" s="30">
        <v>122.2</v>
      </c>
      <c r="J233" s="30">
        <v>22.0</v>
      </c>
      <c r="K233" s="30">
        <v>6.0</v>
      </c>
      <c r="L233" s="30">
        <v>15.0</v>
      </c>
      <c r="M233" s="30">
        <v>1.0</v>
      </c>
      <c r="N233" s="30">
        <v>0.0</v>
      </c>
      <c r="O233" s="30">
        <v>0.955</v>
      </c>
      <c r="P233" s="30">
        <v>1.54</v>
      </c>
      <c r="Q233" s="30">
        <v>1.0</v>
      </c>
      <c r="R233" s="30">
        <v>13.0</v>
      </c>
      <c r="S233" s="30">
        <v>4.0</v>
      </c>
      <c r="T233" s="183">
        <v>0.24</v>
      </c>
      <c r="U233" s="30">
        <v>0.0</v>
      </c>
      <c r="V233" s="30" t="s">
        <v>5349</v>
      </c>
    </row>
    <row r="234">
      <c r="A234" s="30">
        <v>322.0</v>
      </c>
      <c r="B234" s="30" t="s">
        <v>5350</v>
      </c>
      <c r="C234" s="30">
        <v>28.0</v>
      </c>
      <c r="D234" s="30" t="s">
        <v>5038</v>
      </c>
      <c r="E234" s="30" t="s">
        <v>4858</v>
      </c>
      <c r="F234" s="30">
        <v>29.0</v>
      </c>
      <c r="G234" s="30">
        <v>28.0</v>
      </c>
      <c r="H234" s="30">
        <v>2.0</v>
      </c>
      <c r="I234" s="30">
        <v>171.0</v>
      </c>
      <c r="J234" s="30">
        <v>29.0</v>
      </c>
      <c r="K234" s="30">
        <v>12.0</v>
      </c>
      <c r="L234" s="30">
        <v>17.0</v>
      </c>
      <c r="M234" s="30">
        <v>0.0</v>
      </c>
      <c r="N234" s="30">
        <v>1.0</v>
      </c>
      <c r="O234" s="30">
        <v>1.0</v>
      </c>
      <c r="P234" s="30">
        <v>1.53</v>
      </c>
      <c r="Q234" s="30">
        <v>1.0</v>
      </c>
      <c r="R234" s="30">
        <v>7.0</v>
      </c>
      <c r="S234" s="30">
        <v>6.0</v>
      </c>
      <c r="T234" s="183">
        <v>0.46</v>
      </c>
      <c r="U234" s="30">
        <v>0.0</v>
      </c>
      <c r="V234" s="30" t="s">
        <v>5351</v>
      </c>
    </row>
    <row r="235">
      <c r="A235" s="30">
        <v>321.0</v>
      </c>
      <c r="B235" s="30" t="s">
        <v>5352</v>
      </c>
      <c r="C235" s="30">
        <v>25.0</v>
      </c>
      <c r="D235" s="30" t="s">
        <v>4857</v>
      </c>
      <c r="E235" s="30" t="s">
        <v>4858</v>
      </c>
      <c r="F235" s="30">
        <v>54.0</v>
      </c>
      <c r="G235" s="30">
        <v>0.0</v>
      </c>
      <c r="H235" s="30">
        <v>0.0</v>
      </c>
      <c r="I235" s="30">
        <v>64.2</v>
      </c>
      <c r="J235" s="30">
        <v>12.0</v>
      </c>
      <c r="K235" s="30">
        <v>3.0</v>
      </c>
      <c r="L235" s="30">
        <v>8.0</v>
      </c>
      <c r="M235" s="30">
        <v>1.0</v>
      </c>
      <c r="N235" s="30">
        <v>1.0</v>
      </c>
      <c r="O235" s="30">
        <v>0.917</v>
      </c>
      <c r="P235" s="30">
        <v>1.53</v>
      </c>
      <c r="Q235" s="30">
        <v>0.2</v>
      </c>
      <c r="R235" s="30">
        <v>1.0</v>
      </c>
      <c r="S235" s="30">
        <v>3.0</v>
      </c>
      <c r="T235" s="183">
        <v>0.75</v>
      </c>
      <c r="U235" s="30">
        <v>2.0</v>
      </c>
      <c r="V235" s="30" t="s">
        <v>5353</v>
      </c>
    </row>
    <row r="236">
      <c r="A236" s="30">
        <v>328.0</v>
      </c>
      <c r="B236" s="30" t="s">
        <v>5354</v>
      </c>
      <c r="C236" s="30">
        <v>23.0</v>
      </c>
      <c r="D236" s="30" t="s">
        <v>4913</v>
      </c>
      <c r="E236" s="30" t="s">
        <v>4868</v>
      </c>
      <c r="F236" s="30">
        <v>30.0</v>
      </c>
      <c r="G236" s="30">
        <v>30.0</v>
      </c>
      <c r="H236" s="30">
        <v>0.0</v>
      </c>
      <c r="I236" s="30">
        <v>155.1</v>
      </c>
      <c r="J236" s="30">
        <v>28.0</v>
      </c>
      <c r="K236" s="30">
        <v>11.0</v>
      </c>
      <c r="L236" s="30">
        <v>15.0</v>
      </c>
      <c r="M236" s="30">
        <v>2.0</v>
      </c>
      <c r="N236" s="30">
        <v>2.0</v>
      </c>
      <c r="O236" s="30">
        <v>0.929</v>
      </c>
      <c r="P236" s="30">
        <v>1.51</v>
      </c>
      <c r="Q236" s="30">
        <v>0.87</v>
      </c>
      <c r="R236" s="30">
        <v>5.0</v>
      </c>
      <c r="S236" s="30">
        <v>7.0</v>
      </c>
      <c r="T236" s="183">
        <v>0.58</v>
      </c>
      <c r="U236" s="30">
        <v>1.0</v>
      </c>
      <c r="V236" s="30" t="s">
        <v>5355</v>
      </c>
    </row>
    <row r="237">
      <c r="A237" s="30">
        <v>325.0</v>
      </c>
      <c r="B237" s="30" t="s">
        <v>5356</v>
      </c>
      <c r="C237" s="30">
        <v>26.0</v>
      </c>
      <c r="D237" s="30" t="s">
        <v>4880</v>
      </c>
      <c r="E237" s="30" t="s">
        <v>4868</v>
      </c>
      <c r="F237" s="30">
        <v>33.0</v>
      </c>
      <c r="G237" s="30">
        <v>17.0</v>
      </c>
      <c r="H237" s="30">
        <v>0.0</v>
      </c>
      <c r="I237" s="30">
        <v>107.0</v>
      </c>
      <c r="J237" s="30">
        <v>19.0</v>
      </c>
      <c r="K237" s="30">
        <v>1.0</v>
      </c>
      <c r="L237" s="30">
        <v>17.0</v>
      </c>
      <c r="M237" s="30">
        <v>1.0</v>
      </c>
      <c r="N237" s="30">
        <v>3.0</v>
      </c>
      <c r="O237" s="30">
        <v>0.947</v>
      </c>
      <c r="P237" s="30">
        <v>1.51</v>
      </c>
      <c r="Q237" s="30">
        <v>0.55</v>
      </c>
      <c r="R237" s="30">
        <v>9.0</v>
      </c>
      <c r="S237" s="30">
        <v>7.0</v>
      </c>
      <c r="T237" s="183">
        <v>0.44</v>
      </c>
      <c r="U237" s="30">
        <v>2.0</v>
      </c>
      <c r="V237" s="30" t="s">
        <v>5357</v>
      </c>
    </row>
    <row r="238">
      <c r="A238" s="30">
        <v>329.0</v>
      </c>
      <c r="B238" s="30" t="s">
        <v>5358</v>
      </c>
      <c r="C238" s="30">
        <v>24.0</v>
      </c>
      <c r="D238" s="30" t="s">
        <v>5003</v>
      </c>
      <c r="E238" s="30" t="s">
        <v>4868</v>
      </c>
      <c r="F238" s="30">
        <v>18.0</v>
      </c>
      <c r="G238" s="30">
        <v>16.0</v>
      </c>
      <c r="H238" s="30">
        <v>0.0</v>
      </c>
      <c r="I238" s="30">
        <v>83.2</v>
      </c>
      <c r="J238" s="30">
        <v>15.0</v>
      </c>
      <c r="K238" s="30">
        <v>6.0</v>
      </c>
      <c r="L238" s="30">
        <v>8.0</v>
      </c>
      <c r="M238" s="30">
        <v>1.0</v>
      </c>
      <c r="N238" s="30">
        <v>0.0</v>
      </c>
      <c r="O238" s="30">
        <v>0.933</v>
      </c>
      <c r="P238" s="30">
        <v>1.51</v>
      </c>
      <c r="Q238" s="30">
        <v>0.78</v>
      </c>
      <c r="R238" s="30">
        <v>2.0</v>
      </c>
      <c r="S238" s="30">
        <v>4.0</v>
      </c>
      <c r="T238" s="183">
        <v>0.67</v>
      </c>
      <c r="U238" s="30">
        <v>0.0</v>
      </c>
      <c r="V238" s="30" t="s">
        <v>5359</v>
      </c>
    </row>
    <row r="239">
      <c r="A239" s="30">
        <v>327.0</v>
      </c>
      <c r="B239" s="30" t="s">
        <v>5360</v>
      </c>
      <c r="C239" s="30">
        <v>27.0</v>
      </c>
      <c r="D239" s="30" t="s">
        <v>4960</v>
      </c>
      <c r="E239" s="30" t="s">
        <v>4868</v>
      </c>
      <c r="F239" s="30">
        <v>79.0</v>
      </c>
      <c r="G239" s="30">
        <v>0.0</v>
      </c>
      <c r="H239" s="30">
        <v>0.0</v>
      </c>
      <c r="I239" s="30">
        <v>65.2</v>
      </c>
      <c r="J239" s="30">
        <v>11.0</v>
      </c>
      <c r="K239" s="30">
        <v>6.0</v>
      </c>
      <c r="L239" s="30">
        <v>5.0</v>
      </c>
      <c r="M239" s="30">
        <v>0.0</v>
      </c>
      <c r="N239" s="30">
        <v>0.0</v>
      </c>
      <c r="O239" s="30">
        <v>1.0</v>
      </c>
      <c r="P239" s="30">
        <v>1.51</v>
      </c>
      <c r="Q239" s="30">
        <v>0.14</v>
      </c>
      <c r="R239" s="30">
        <v>3.0</v>
      </c>
      <c r="S239" s="30">
        <v>0.0</v>
      </c>
      <c r="T239" s="183">
        <v>0.0</v>
      </c>
      <c r="U239" s="30">
        <v>0.0</v>
      </c>
      <c r="V239" s="30" t="s">
        <v>5361</v>
      </c>
    </row>
    <row r="240">
      <c r="A240" s="30">
        <v>334.0</v>
      </c>
      <c r="B240" s="30" t="s">
        <v>5362</v>
      </c>
      <c r="C240" s="30">
        <v>35.0</v>
      </c>
      <c r="D240" s="30" t="s">
        <v>4901</v>
      </c>
      <c r="E240" s="30" t="s">
        <v>4868</v>
      </c>
      <c r="F240" s="30">
        <v>34.0</v>
      </c>
      <c r="G240" s="30">
        <v>34.0</v>
      </c>
      <c r="H240" s="30">
        <v>1.0</v>
      </c>
      <c r="I240" s="30">
        <v>223.1</v>
      </c>
      <c r="J240" s="30">
        <v>40.0</v>
      </c>
      <c r="K240" s="30">
        <v>13.0</v>
      </c>
      <c r="L240" s="30">
        <v>24.0</v>
      </c>
      <c r="M240" s="30">
        <v>3.0</v>
      </c>
      <c r="N240" s="30">
        <v>4.0</v>
      </c>
      <c r="O240" s="30">
        <v>0.925</v>
      </c>
      <c r="P240" s="30">
        <v>1.49</v>
      </c>
      <c r="Q240" s="30">
        <v>1.09</v>
      </c>
      <c r="R240" s="30">
        <v>27.0</v>
      </c>
      <c r="S240" s="30">
        <v>15.0</v>
      </c>
      <c r="T240" s="183">
        <v>0.36</v>
      </c>
      <c r="U240" s="30">
        <v>2.0</v>
      </c>
      <c r="V240" s="30" t="s">
        <v>5363</v>
      </c>
    </row>
    <row r="241">
      <c r="A241" s="30">
        <v>335.0</v>
      </c>
      <c r="B241" s="30" t="s">
        <v>5364</v>
      </c>
      <c r="C241" s="30">
        <v>24.0</v>
      </c>
      <c r="D241" s="30" t="s">
        <v>4880</v>
      </c>
      <c r="E241" s="30" t="s">
        <v>4868</v>
      </c>
      <c r="F241" s="30">
        <v>44.0</v>
      </c>
      <c r="G241" s="30">
        <v>0.0</v>
      </c>
      <c r="H241" s="30">
        <v>0.0</v>
      </c>
      <c r="I241" s="30">
        <v>54.1</v>
      </c>
      <c r="J241" s="30">
        <v>10.0</v>
      </c>
      <c r="K241" s="30">
        <v>2.0</v>
      </c>
      <c r="L241" s="30">
        <v>7.0</v>
      </c>
      <c r="M241" s="30">
        <v>1.0</v>
      </c>
      <c r="N241" s="30">
        <v>0.0</v>
      </c>
      <c r="O241" s="30">
        <v>0.9</v>
      </c>
      <c r="P241" s="30">
        <v>1.49</v>
      </c>
      <c r="Q241" s="30">
        <v>0.2</v>
      </c>
      <c r="R241" s="30">
        <v>3.0</v>
      </c>
      <c r="S241" s="30">
        <v>2.0</v>
      </c>
      <c r="T241" s="183">
        <v>0.4</v>
      </c>
      <c r="U241" s="30">
        <v>0.0</v>
      </c>
      <c r="V241" s="30" t="s">
        <v>5365</v>
      </c>
    </row>
    <row r="242">
      <c r="A242" s="30">
        <v>339.0</v>
      </c>
      <c r="B242" s="30" t="s">
        <v>5366</v>
      </c>
      <c r="C242" s="30">
        <v>25.0</v>
      </c>
      <c r="D242" s="30" t="s">
        <v>4931</v>
      </c>
      <c r="E242" s="30" t="s">
        <v>4858</v>
      </c>
      <c r="F242" s="30">
        <v>60.0</v>
      </c>
      <c r="G242" s="30">
        <v>0.0</v>
      </c>
      <c r="H242" s="30">
        <v>0.0</v>
      </c>
      <c r="I242" s="30">
        <v>85.1</v>
      </c>
      <c r="J242" s="30">
        <v>15.0</v>
      </c>
      <c r="K242" s="30">
        <v>4.0</v>
      </c>
      <c r="L242" s="30">
        <v>10.0</v>
      </c>
      <c r="M242" s="30">
        <v>1.0</v>
      </c>
      <c r="N242" s="30">
        <v>1.0</v>
      </c>
      <c r="O242" s="30">
        <v>0.933</v>
      </c>
      <c r="P242" s="30">
        <v>1.48</v>
      </c>
      <c r="Q242" s="30">
        <v>0.23</v>
      </c>
      <c r="R242" s="30">
        <v>7.0</v>
      </c>
      <c r="S242" s="30">
        <v>2.0</v>
      </c>
      <c r="T242" s="183">
        <v>0.22</v>
      </c>
      <c r="U242" s="30">
        <v>1.0</v>
      </c>
      <c r="V242" s="30" t="s">
        <v>5367</v>
      </c>
    </row>
    <row r="243">
      <c r="A243" s="30">
        <v>337.0</v>
      </c>
      <c r="B243" s="30" t="s">
        <v>5368</v>
      </c>
      <c r="C243" s="30">
        <v>31.0</v>
      </c>
      <c r="D243" s="30" t="s">
        <v>4944</v>
      </c>
      <c r="E243" s="30" t="s">
        <v>4868</v>
      </c>
      <c r="F243" s="30">
        <v>67.0</v>
      </c>
      <c r="G243" s="30">
        <v>0.0</v>
      </c>
      <c r="H243" s="30">
        <v>0.0</v>
      </c>
      <c r="I243" s="30">
        <v>79.0</v>
      </c>
      <c r="J243" s="30">
        <v>14.0</v>
      </c>
      <c r="K243" s="30">
        <v>7.0</v>
      </c>
      <c r="L243" s="30">
        <v>6.0</v>
      </c>
      <c r="M243" s="30">
        <v>1.0</v>
      </c>
      <c r="N243" s="30">
        <v>0.0</v>
      </c>
      <c r="O243" s="30">
        <v>0.929</v>
      </c>
      <c r="P243" s="30">
        <v>1.48</v>
      </c>
      <c r="Q243" s="30">
        <v>0.19</v>
      </c>
      <c r="R243" s="30">
        <v>0.0</v>
      </c>
      <c r="S243" s="30">
        <v>2.0</v>
      </c>
      <c r="T243" s="183">
        <v>1.0</v>
      </c>
      <c r="U243" s="30">
        <v>0.0</v>
      </c>
      <c r="V243" s="30" t="s">
        <v>5369</v>
      </c>
    </row>
    <row r="244">
      <c r="A244" s="30">
        <v>338.0</v>
      </c>
      <c r="B244" s="30" t="s">
        <v>5370</v>
      </c>
      <c r="C244" s="30">
        <v>36.0</v>
      </c>
      <c r="D244" s="30" t="s">
        <v>4893</v>
      </c>
      <c r="E244" s="30" t="s">
        <v>4868</v>
      </c>
      <c r="F244" s="30">
        <v>70.0</v>
      </c>
      <c r="G244" s="30">
        <v>0.0</v>
      </c>
      <c r="H244" s="30">
        <v>0.0</v>
      </c>
      <c r="I244" s="30">
        <v>73.0</v>
      </c>
      <c r="J244" s="30">
        <v>12.0</v>
      </c>
      <c r="K244" s="30">
        <v>4.0</v>
      </c>
      <c r="L244" s="30">
        <v>8.0</v>
      </c>
      <c r="M244" s="30">
        <v>0.0</v>
      </c>
      <c r="N244" s="30">
        <v>2.0</v>
      </c>
      <c r="O244" s="30">
        <v>1.0</v>
      </c>
      <c r="P244" s="30">
        <v>1.48</v>
      </c>
      <c r="Q244" s="30">
        <v>0.17</v>
      </c>
      <c r="R244" s="30">
        <v>7.0</v>
      </c>
      <c r="S244" s="30">
        <v>0.0</v>
      </c>
      <c r="T244" s="183">
        <v>0.0</v>
      </c>
      <c r="U244" s="30">
        <v>0.0</v>
      </c>
      <c r="V244" s="30" t="s">
        <v>5371</v>
      </c>
    </row>
    <row r="245">
      <c r="A245" s="30">
        <v>341.0</v>
      </c>
      <c r="B245" s="30" t="s">
        <v>5372</v>
      </c>
      <c r="C245" s="30">
        <v>35.0</v>
      </c>
      <c r="D245" s="30" t="s">
        <v>4944</v>
      </c>
      <c r="E245" s="30" t="s">
        <v>4868</v>
      </c>
      <c r="F245" s="30">
        <v>30.0</v>
      </c>
      <c r="G245" s="30">
        <v>30.0</v>
      </c>
      <c r="H245" s="30">
        <v>8.0</v>
      </c>
      <c r="I245" s="30">
        <v>214.1</v>
      </c>
      <c r="J245" s="30">
        <v>38.0</v>
      </c>
      <c r="K245" s="30">
        <v>8.0</v>
      </c>
      <c r="L245" s="30">
        <v>27.0</v>
      </c>
      <c r="M245" s="30">
        <v>3.0</v>
      </c>
      <c r="N245" s="30">
        <v>1.0</v>
      </c>
      <c r="O245" s="30">
        <v>0.921</v>
      </c>
      <c r="P245" s="30">
        <v>1.47</v>
      </c>
      <c r="Q245" s="30">
        <v>1.17</v>
      </c>
      <c r="R245" s="30">
        <v>9.0</v>
      </c>
      <c r="S245" s="30">
        <v>7.0</v>
      </c>
      <c r="T245" s="183">
        <v>0.44</v>
      </c>
      <c r="U245" s="30">
        <v>0.0</v>
      </c>
      <c r="V245" s="30" t="s">
        <v>5373</v>
      </c>
    </row>
    <row r="246">
      <c r="A246" s="30">
        <v>340.0</v>
      </c>
      <c r="B246" s="30" t="s">
        <v>5374</v>
      </c>
      <c r="C246" s="30">
        <v>30.0</v>
      </c>
      <c r="D246" s="30" t="s">
        <v>289</v>
      </c>
      <c r="E246" s="30" t="s">
        <v>4858</v>
      </c>
      <c r="F246" s="30">
        <v>33.0</v>
      </c>
      <c r="G246" s="30">
        <v>33.0</v>
      </c>
      <c r="H246" s="30">
        <v>2.0</v>
      </c>
      <c r="I246" s="30">
        <v>213.2</v>
      </c>
      <c r="J246" s="30">
        <v>35.0</v>
      </c>
      <c r="K246" s="30">
        <v>11.0</v>
      </c>
      <c r="L246" s="30">
        <v>24.0</v>
      </c>
      <c r="M246" s="30">
        <v>0.0</v>
      </c>
      <c r="N246" s="30">
        <v>0.0</v>
      </c>
      <c r="O246" s="30">
        <v>1.0</v>
      </c>
      <c r="P246" s="30">
        <v>1.47</v>
      </c>
      <c r="Q246" s="30">
        <v>1.06</v>
      </c>
      <c r="R246" s="30">
        <v>28.0</v>
      </c>
      <c r="S246" s="30">
        <v>8.0</v>
      </c>
      <c r="T246" s="183">
        <v>0.22</v>
      </c>
      <c r="U246" s="30">
        <v>2.0</v>
      </c>
      <c r="V246" s="30" t="s">
        <v>5375</v>
      </c>
    </row>
    <row r="247">
      <c r="A247" s="30">
        <v>344.0</v>
      </c>
      <c r="B247" s="30" t="s">
        <v>5376</v>
      </c>
      <c r="C247" s="30">
        <v>31.0</v>
      </c>
      <c r="D247" s="30" t="s">
        <v>4880</v>
      </c>
      <c r="E247" s="30" t="s">
        <v>4868</v>
      </c>
      <c r="F247" s="30">
        <v>37.0</v>
      </c>
      <c r="G247" s="30">
        <v>27.0</v>
      </c>
      <c r="H247" s="30">
        <v>1.0</v>
      </c>
      <c r="I247" s="30">
        <v>172.2</v>
      </c>
      <c r="J247" s="30">
        <v>29.0</v>
      </c>
      <c r="K247" s="30">
        <v>8.0</v>
      </c>
      <c r="L247" s="30">
        <v>20.0</v>
      </c>
      <c r="M247" s="30">
        <v>1.0</v>
      </c>
      <c r="N247" s="30">
        <v>1.0</v>
      </c>
      <c r="O247" s="30">
        <v>0.966</v>
      </c>
      <c r="P247" s="30">
        <v>1.46</v>
      </c>
      <c r="Q247" s="30">
        <v>0.76</v>
      </c>
      <c r="R247" s="30">
        <v>26.0</v>
      </c>
      <c r="S247" s="30">
        <v>6.0</v>
      </c>
      <c r="T247" s="183">
        <v>0.19</v>
      </c>
      <c r="U247" s="30">
        <v>0.0</v>
      </c>
      <c r="V247" s="30" t="s">
        <v>5377</v>
      </c>
    </row>
    <row r="248">
      <c r="A248" s="30">
        <v>342.0</v>
      </c>
      <c r="B248" s="30" t="s">
        <v>5378</v>
      </c>
      <c r="C248" s="30">
        <v>22.0</v>
      </c>
      <c r="D248" s="30" t="s">
        <v>4960</v>
      </c>
      <c r="E248" s="30" t="s">
        <v>4868</v>
      </c>
      <c r="F248" s="30">
        <v>32.0</v>
      </c>
      <c r="G248" s="30">
        <v>32.0</v>
      </c>
      <c r="H248" s="30">
        <v>1.0</v>
      </c>
      <c r="I248" s="30">
        <v>172.1</v>
      </c>
      <c r="J248" s="30">
        <v>28.0</v>
      </c>
      <c r="K248" s="30">
        <v>8.0</v>
      </c>
      <c r="L248" s="30">
        <v>20.0</v>
      </c>
      <c r="M248" s="30">
        <v>0.0</v>
      </c>
      <c r="N248" s="30">
        <v>1.0</v>
      </c>
      <c r="O248" s="30">
        <v>1.0</v>
      </c>
      <c r="P248" s="30">
        <v>1.46</v>
      </c>
      <c r="Q248" s="30">
        <v>0.88</v>
      </c>
      <c r="R248" s="30">
        <v>10.0</v>
      </c>
      <c r="S248" s="30">
        <v>6.0</v>
      </c>
      <c r="T248" s="183">
        <v>0.38</v>
      </c>
      <c r="U248" s="30">
        <v>1.0</v>
      </c>
      <c r="V248" s="30" t="s">
        <v>5379</v>
      </c>
    </row>
    <row r="249">
      <c r="A249" s="30">
        <v>346.0</v>
      </c>
      <c r="B249" s="30" t="s">
        <v>5380</v>
      </c>
      <c r="C249" s="30">
        <v>26.0</v>
      </c>
      <c r="D249" s="30" t="s">
        <v>5008</v>
      </c>
      <c r="E249" s="30" t="s">
        <v>4858</v>
      </c>
      <c r="F249" s="30">
        <v>69.0</v>
      </c>
      <c r="G249" s="30">
        <v>3.0</v>
      </c>
      <c r="H249" s="30">
        <v>0.0</v>
      </c>
      <c r="I249" s="30">
        <v>98.2</v>
      </c>
      <c r="J249" s="30">
        <v>16.0</v>
      </c>
      <c r="K249" s="30">
        <v>4.0</v>
      </c>
      <c r="L249" s="30">
        <v>12.0</v>
      </c>
      <c r="M249" s="30">
        <v>0.0</v>
      </c>
      <c r="N249" s="30">
        <v>0.0</v>
      </c>
      <c r="O249" s="30">
        <v>1.0</v>
      </c>
      <c r="P249" s="30">
        <v>1.46</v>
      </c>
      <c r="Q249" s="30">
        <v>0.23</v>
      </c>
      <c r="R249" s="30">
        <v>4.0</v>
      </c>
      <c r="S249" s="30">
        <v>5.0</v>
      </c>
      <c r="T249" s="183">
        <v>0.56</v>
      </c>
      <c r="U249" s="30">
        <v>1.0</v>
      </c>
      <c r="V249" s="30" t="s">
        <v>5381</v>
      </c>
    </row>
    <row r="250">
      <c r="A250" s="30">
        <v>345.0</v>
      </c>
      <c r="B250" s="30" t="s">
        <v>5382</v>
      </c>
      <c r="C250" s="30">
        <v>23.0</v>
      </c>
      <c r="D250" s="30" t="s">
        <v>4901</v>
      </c>
      <c r="E250" s="30" t="s">
        <v>4868</v>
      </c>
      <c r="F250" s="30">
        <v>15.0</v>
      </c>
      <c r="G250" s="30">
        <v>11.0</v>
      </c>
      <c r="H250" s="30">
        <v>0.0</v>
      </c>
      <c r="I250" s="30">
        <v>74.0</v>
      </c>
      <c r="J250" s="30">
        <v>12.0</v>
      </c>
      <c r="K250" s="30">
        <v>4.0</v>
      </c>
      <c r="L250" s="30">
        <v>8.0</v>
      </c>
      <c r="M250" s="30">
        <v>0.0</v>
      </c>
      <c r="N250" s="30">
        <v>0.0</v>
      </c>
      <c r="O250" s="30">
        <v>1.0</v>
      </c>
      <c r="P250" s="30">
        <v>1.46</v>
      </c>
      <c r="Q250" s="30">
        <v>0.8</v>
      </c>
      <c r="R250" s="30">
        <v>10.0</v>
      </c>
      <c r="S250" s="30">
        <v>2.0</v>
      </c>
      <c r="T250" s="183">
        <v>0.17</v>
      </c>
      <c r="U250" s="30">
        <v>1.0</v>
      </c>
      <c r="V250" s="30" t="s">
        <v>5383</v>
      </c>
    </row>
    <row r="251">
      <c r="A251" s="30">
        <v>347.0</v>
      </c>
      <c r="B251" s="30" t="s">
        <v>5384</v>
      </c>
      <c r="C251" s="30">
        <v>35.0</v>
      </c>
      <c r="D251" s="30" t="s">
        <v>4871</v>
      </c>
      <c r="E251" s="30" t="s">
        <v>4858</v>
      </c>
      <c r="F251" s="30">
        <v>73.0</v>
      </c>
      <c r="G251" s="30">
        <v>0.0</v>
      </c>
      <c r="H251" s="30">
        <v>0.0</v>
      </c>
      <c r="I251" s="30">
        <v>68.0</v>
      </c>
      <c r="J251" s="30">
        <v>12.0</v>
      </c>
      <c r="K251" s="30">
        <v>2.0</v>
      </c>
      <c r="L251" s="30">
        <v>9.0</v>
      </c>
      <c r="M251" s="30">
        <v>1.0</v>
      </c>
      <c r="N251" s="30">
        <v>1.0</v>
      </c>
      <c r="O251" s="30">
        <v>0.917</v>
      </c>
      <c r="P251" s="30">
        <v>1.46</v>
      </c>
      <c r="Q251" s="30">
        <v>0.15</v>
      </c>
      <c r="R251" s="30">
        <v>3.0</v>
      </c>
      <c r="S251" s="30">
        <v>4.0</v>
      </c>
      <c r="T251" s="183">
        <v>0.57</v>
      </c>
      <c r="U251" s="30">
        <v>4.0</v>
      </c>
      <c r="V251" s="30" t="s">
        <v>5385</v>
      </c>
    </row>
    <row r="252">
      <c r="A252" s="30">
        <v>348.0</v>
      </c>
      <c r="B252" s="30" t="s">
        <v>5386</v>
      </c>
      <c r="C252" s="30">
        <v>36.0</v>
      </c>
      <c r="D252" s="30" t="s">
        <v>4960</v>
      </c>
      <c r="E252" s="30" t="s">
        <v>4868</v>
      </c>
      <c r="F252" s="30">
        <v>68.0</v>
      </c>
      <c r="G252" s="30">
        <v>0.0</v>
      </c>
      <c r="H252" s="30">
        <v>0.0</v>
      </c>
      <c r="I252" s="30">
        <v>74.1</v>
      </c>
      <c r="J252" s="30">
        <v>12.0</v>
      </c>
      <c r="K252" s="30">
        <v>3.0</v>
      </c>
      <c r="L252" s="30">
        <v>9.0</v>
      </c>
      <c r="M252" s="30">
        <v>0.0</v>
      </c>
      <c r="N252" s="30">
        <v>2.0</v>
      </c>
      <c r="O252" s="30">
        <v>1.0</v>
      </c>
      <c r="P252" s="30">
        <v>1.45</v>
      </c>
      <c r="Q252" s="30">
        <v>0.18</v>
      </c>
      <c r="R252" s="30">
        <v>6.0</v>
      </c>
      <c r="S252" s="30">
        <v>0.0</v>
      </c>
      <c r="T252" s="183">
        <v>0.0</v>
      </c>
      <c r="U252" s="30">
        <v>0.0</v>
      </c>
      <c r="V252" s="30" t="s">
        <v>5387</v>
      </c>
    </row>
    <row r="253">
      <c r="A253" s="30">
        <v>349.0</v>
      </c>
      <c r="B253" s="30" t="s">
        <v>5388</v>
      </c>
      <c r="C253" s="30">
        <v>27.0</v>
      </c>
      <c r="D253" s="30" t="s">
        <v>5021</v>
      </c>
      <c r="E253" s="30" t="s">
        <v>4858</v>
      </c>
      <c r="F253" s="30">
        <v>59.0</v>
      </c>
      <c r="G253" s="30">
        <v>1.0</v>
      </c>
      <c r="H253" s="30">
        <v>0.0</v>
      </c>
      <c r="I253" s="30">
        <v>74.1</v>
      </c>
      <c r="J253" s="30">
        <v>12.0</v>
      </c>
      <c r="K253" s="30">
        <v>6.0</v>
      </c>
      <c r="L253" s="30">
        <v>6.0</v>
      </c>
      <c r="M253" s="30">
        <v>0.0</v>
      </c>
      <c r="N253" s="30">
        <v>3.0</v>
      </c>
      <c r="O253" s="30">
        <v>1.0</v>
      </c>
      <c r="P253" s="30">
        <v>1.45</v>
      </c>
      <c r="Q253" s="30">
        <v>0.2</v>
      </c>
      <c r="R253" s="30">
        <v>5.0</v>
      </c>
      <c r="S253" s="30">
        <v>6.0</v>
      </c>
      <c r="T253" s="183">
        <v>0.55</v>
      </c>
      <c r="U253" s="30">
        <v>0.0</v>
      </c>
      <c r="V253" s="30" t="s">
        <v>5389</v>
      </c>
    </row>
    <row r="254">
      <c r="A254" s="30">
        <v>352.0</v>
      </c>
      <c r="B254" s="30" t="s">
        <v>5390</v>
      </c>
      <c r="C254" s="30">
        <v>31.0</v>
      </c>
      <c r="D254" s="30" t="s">
        <v>4947</v>
      </c>
      <c r="E254" s="30" t="s">
        <v>4858</v>
      </c>
      <c r="F254" s="30">
        <v>64.0</v>
      </c>
      <c r="G254" s="30">
        <v>0.0</v>
      </c>
      <c r="H254" s="30">
        <v>0.0</v>
      </c>
      <c r="I254" s="30">
        <v>68.2</v>
      </c>
      <c r="J254" s="30">
        <v>11.0</v>
      </c>
      <c r="K254" s="30">
        <v>4.0</v>
      </c>
      <c r="L254" s="30">
        <v>7.0</v>
      </c>
      <c r="M254" s="30">
        <v>0.0</v>
      </c>
      <c r="N254" s="30">
        <v>0.0</v>
      </c>
      <c r="O254" s="30">
        <v>1.0</v>
      </c>
      <c r="P254" s="30">
        <v>1.44</v>
      </c>
      <c r="Q254" s="30">
        <v>0.17</v>
      </c>
      <c r="R254" s="30">
        <v>7.0</v>
      </c>
      <c r="S254" s="30">
        <v>2.0</v>
      </c>
      <c r="T254" s="183">
        <v>0.22</v>
      </c>
      <c r="U254" s="30">
        <v>0.0</v>
      </c>
      <c r="V254" s="30" t="s">
        <v>5391</v>
      </c>
    </row>
    <row r="255">
      <c r="A255" s="30">
        <v>353.0</v>
      </c>
      <c r="B255" s="30" t="s">
        <v>5392</v>
      </c>
      <c r="C255" s="30">
        <v>27.0</v>
      </c>
      <c r="D255" s="30" t="s">
        <v>4937</v>
      </c>
      <c r="E255" s="30" t="s">
        <v>4868</v>
      </c>
      <c r="F255" s="30">
        <v>19.0</v>
      </c>
      <c r="G255" s="30">
        <v>9.0</v>
      </c>
      <c r="H255" s="30">
        <v>0.0</v>
      </c>
      <c r="I255" s="30">
        <v>69.0</v>
      </c>
      <c r="J255" s="30">
        <v>11.0</v>
      </c>
      <c r="K255" s="30">
        <v>2.0</v>
      </c>
      <c r="L255" s="30">
        <v>9.0</v>
      </c>
      <c r="M255" s="30">
        <v>0.0</v>
      </c>
      <c r="N255" s="30">
        <v>1.0</v>
      </c>
      <c r="O255" s="30">
        <v>1.0</v>
      </c>
      <c r="P255" s="30">
        <v>1.43</v>
      </c>
      <c r="Q255" s="30">
        <v>0.58</v>
      </c>
      <c r="R255" s="30">
        <v>6.0</v>
      </c>
      <c r="S255" s="30">
        <v>1.0</v>
      </c>
      <c r="T255" s="183">
        <v>0.14</v>
      </c>
      <c r="U255" s="30">
        <v>0.0</v>
      </c>
      <c r="V255" s="30" t="s">
        <v>5393</v>
      </c>
    </row>
    <row r="256">
      <c r="A256" s="30">
        <v>356.0</v>
      </c>
      <c r="B256" s="30" t="s">
        <v>5394</v>
      </c>
      <c r="C256" s="30">
        <v>30.0</v>
      </c>
      <c r="D256" s="30" t="s">
        <v>4980</v>
      </c>
      <c r="E256" s="30" t="s">
        <v>4858</v>
      </c>
      <c r="F256" s="30">
        <v>23.0</v>
      </c>
      <c r="G256" s="30">
        <v>23.0</v>
      </c>
      <c r="H256" s="30">
        <v>0.0</v>
      </c>
      <c r="I256" s="30">
        <v>133.0</v>
      </c>
      <c r="J256" s="30">
        <v>23.0</v>
      </c>
      <c r="K256" s="30">
        <v>9.0</v>
      </c>
      <c r="L256" s="30">
        <v>12.0</v>
      </c>
      <c r="M256" s="30">
        <v>2.0</v>
      </c>
      <c r="N256" s="30">
        <v>4.0</v>
      </c>
      <c r="O256" s="30">
        <v>0.913</v>
      </c>
      <c r="P256" s="30">
        <v>1.42</v>
      </c>
      <c r="Q256" s="30">
        <v>0.91</v>
      </c>
      <c r="R256" s="30">
        <v>9.0</v>
      </c>
      <c r="S256" s="30">
        <v>6.0</v>
      </c>
      <c r="T256" s="183">
        <v>0.4</v>
      </c>
      <c r="U256" s="30">
        <v>1.0</v>
      </c>
      <c r="V256" s="30" t="s">
        <v>5395</v>
      </c>
    </row>
    <row r="257">
      <c r="A257" s="30">
        <v>358.0</v>
      </c>
      <c r="B257" s="30" t="s">
        <v>5396</v>
      </c>
      <c r="C257" s="30">
        <v>27.0</v>
      </c>
      <c r="D257" s="30" t="s">
        <v>4601</v>
      </c>
      <c r="E257" s="30" t="s">
        <v>4898</v>
      </c>
      <c r="F257" s="30">
        <v>32.0</v>
      </c>
      <c r="G257" s="30">
        <v>30.0</v>
      </c>
      <c r="H257" s="30">
        <v>2.0</v>
      </c>
      <c r="I257" s="30">
        <v>178.1</v>
      </c>
      <c r="J257" s="30">
        <v>31.0</v>
      </c>
      <c r="K257" s="30">
        <v>9.0</v>
      </c>
      <c r="L257" s="30">
        <v>19.0</v>
      </c>
      <c r="M257" s="30">
        <v>3.0</v>
      </c>
      <c r="N257" s="30">
        <v>2.0</v>
      </c>
      <c r="O257" s="30">
        <v>0.903</v>
      </c>
      <c r="P257" s="30">
        <v>1.41</v>
      </c>
      <c r="Q257" s="30">
        <v>0.88</v>
      </c>
      <c r="R257" s="30">
        <v>47.0</v>
      </c>
      <c r="S257" s="30">
        <v>6.0</v>
      </c>
      <c r="T257" s="183">
        <v>0.11</v>
      </c>
      <c r="U257" s="30">
        <v>0.0</v>
      </c>
      <c r="V257" s="30" t="s">
        <v>5397</v>
      </c>
    </row>
    <row r="258">
      <c r="A258" s="30">
        <v>360.0</v>
      </c>
      <c r="B258" s="30" t="s">
        <v>5398</v>
      </c>
      <c r="C258" s="30">
        <v>31.0</v>
      </c>
      <c r="D258" s="30" t="s">
        <v>4601</v>
      </c>
      <c r="E258" s="30" t="s">
        <v>4898</v>
      </c>
      <c r="F258" s="30">
        <v>58.0</v>
      </c>
      <c r="G258" s="30">
        <v>0.0</v>
      </c>
      <c r="H258" s="30">
        <v>0.0</v>
      </c>
      <c r="I258" s="30">
        <v>64.0</v>
      </c>
      <c r="J258" s="30">
        <v>10.0</v>
      </c>
      <c r="K258" s="30">
        <v>3.0</v>
      </c>
      <c r="L258" s="30">
        <v>7.0</v>
      </c>
      <c r="M258" s="30">
        <v>0.0</v>
      </c>
      <c r="N258" s="30">
        <v>0.0</v>
      </c>
      <c r="O258" s="30">
        <v>1.0</v>
      </c>
      <c r="P258" s="30">
        <v>1.41</v>
      </c>
      <c r="Q258" s="30">
        <v>0.17</v>
      </c>
      <c r="R258" s="30">
        <v>5.0</v>
      </c>
      <c r="S258" s="30">
        <v>4.0</v>
      </c>
      <c r="T258" s="183">
        <v>0.44</v>
      </c>
      <c r="U258" s="30">
        <v>1.0</v>
      </c>
      <c r="V258" s="30" t="s">
        <v>5399</v>
      </c>
    </row>
    <row r="259">
      <c r="A259" s="30">
        <v>361.0</v>
      </c>
      <c r="B259" s="30" t="s">
        <v>5400</v>
      </c>
      <c r="C259" s="30">
        <v>24.0</v>
      </c>
      <c r="D259" s="30" t="s">
        <v>4910</v>
      </c>
      <c r="E259" s="30" t="s">
        <v>4868</v>
      </c>
      <c r="F259" s="30">
        <v>31.0</v>
      </c>
      <c r="G259" s="30">
        <v>31.0</v>
      </c>
      <c r="H259" s="30">
        <v>2.0</v>
      </c>
      <c r="I259" s="30">
        <v>192.1</v>
      </c>
      <c r="J259" s="30">
        <v>31.0</v>
      </c>
      <c r="K259" s="30">
        <v>12.0</v>
      </c>
      <c r="L259" s="30">
        <v>18.0</v>
      </c>
      <c r="M259" s="30">
        <v>1.0</v>
      </c>
      <c r="N259" s="30">
        <v>4.0</v>
      </c>
      <c r="O259" s="30">
        <v>0.968</v>
      </c>
      <c r="P259" s="30">
        <v>1.4</v>
      </c>
      <c r="Q259" s="30">
        <v>0.97</v>
      </c>
      <c r="R259" s="30">
        <v>13.0</v>
      </c>
      <c r="S259" s="30">
        <v>10.0</v>
      </c>
      <c r="T259" s="183">
        <v>0.43</v>
      </c>
      <c r="U259" s="30">
        <v>1.0</v>
      </c>
      <c r="V259" s="30" t="s">
        <v>5401</v>
      </c>
    </row>
    <row r="260">
      <c r="A260" s="30">
        <v>364.0</v>
      </c>
      <c r="B260" s="30" t="s">
        <v>5402</v>
      </c>
      <c r="C260" s="30">
        <v>21.0</v>
      </c>
      <c r="D260" s="30" t="s">
        <v>4874</v>
      </c>
      <c r="E260" s="30" t="s">
        <v>4868</v>
      </c>
      <c r="F260" s="30">
        <v>31.0</v>
      </c>
      <c r="G260" s="30">
        <v>20.0</v>
      </c>
      <c r="H260" s="30">
        <v>0.0</v>
      </c>
      <c r="I260" s="30">
        <v>135.0</v>
      </c>
      <c r="J260" s="30">
        <v>22.0</v>
      </c>
      <c r="K260" s="30">
        <v>10.0</v>
      </c>
      <c r="L260" s="30">
        <v>11.0</v>
      </c>
      <c r="M260" s="30">
        <v>1.0</v>
      </c>
      <c r="N260" s="30">
        <v>1.0</v>
      </c>
      <c r="O260" s="30">
        <v>0.955</v>
      </c>
      <c r="P260" s="30">
        <v>1.4</v>
      </c>
      <c r="Q260" s="30">
        <v>0.68</v>
      </c>
      <c r="R260" s="30">
        <v>18.0</v>
      </c>
      <c r="S260" s="30">
        <v>4.0</v>
      </c>
      <c r="T260" s="183">
        <v>0.18</v>
      </c>
      <c r="U260" s="30">
        <v>1.0</v>
      </c>
      <c r="V260" s="30" t="s">
        <v>5403</v>
      </c>
    </row>
    <row r="261">
      <c r="A261" s="30">
        <v>362.0</v>
      </c>
      <c r="B261" s="30" t="s">
        <v>5404</v>
      </c>
      <c r="C261" s="30">
        <v>25.0</v>
      </c>
      <c r="D261" s="30" t="s">
        <v>4901</v>
      </c>
      <c r="E261" s="30" t="s">
        <v>4868</v>
      </c>
      <c r="F261" s="30">
        <v>27.0</v>
      </c>
      <c r="G261" s="30">
        <v>18.0</v>
      </c>
      <c r="H261" s="30">
        <v>0.0</v>
      </c>
      <c r="I261" s="30">
        <v>122.0</v>
      </c>
      <c r="J261" s="30">
        <v>20.0</v>
      </c>
      <c r="K261" s="30">
        <v>9.0</v>
      </c>
      <c r="L261" s="30">
        <v>10.0</v>
      </c>
      <c r="M261" s="30">
        <v>1.0</v>
      </c>
      <c r="N261" s="30">
        <v>0.0</v>
      </c>
      <c r="O261" s="30">
        <v>0.95</v>
      </c>
      <c r="P261" s="30">
        <v>1.4</v>
      </c>
      <c r="Q261" s="30">
        <v>0.7</v>
      </c>
      <c r="R261" s="30">
        <v>7.0</v>
      </c>
      <c r="S261" s="30">
        <v>5.0</v>
      </c>
      <c r="T261" s="183">
        <v>0.42</v>
      </c>
      <c r="U261" s="30">
        <v>0.0</v>
      </c>
      <c r="V261" s="30" t="s">
        <v>5405</v>
      </c>
    </row>
    <row r="262">
      <c r="A262" s="30">
        <v>363.0</v>
      </c>
      <c r="B262" s="30" t="s">
        <v>5406</v>
      </c>
      <c r="C262" s="30">
        <v>33.0</v>
      </c>
      <c r="D262" s="30" t="s">
        <v>4910</v>
      </c>
      <c r="E262" s="30" t="s">
        <v>4868</v>
      </c>
      <c r="F262" s="30">
        <v>29.0</v>
      </c>
      <c r="G262" s="30">
        <v>17.0</v>
      </c>
      <c r="H262" s="30">
        <v>1.0</v>
      </c>
      <c r="I262" s="30">
        <v>115.2</v>
      </c>
      <c r="J262" s="30">
        <v>18.0</v>
      </c>
      <c r="K262" s="30">
        <v>7.0</v>
      </c>
      <c r="L262" s="30">
        <v>11.0</v>
      </c>
      <c r="M262" s="30">
        <v>0.0</v>
      </c>
      <c r="N262" s="30">
        <v>2.0</v>
      </c>
      <c r="O262" s="30">
        <v>1.0</v>
      </c>
      <c r="P262" s="30">
        <v>1.4</v>
      </c>
      <c r="Q262" s="30">
        <v>0.62</v>
      </c>
      <c r="R262" s="30">
        <v>15.0</v>
      </c>
      <c r="S262" s="30">
        <v>4.0</v>
      </c>
      <c r="T262" s="183">
        <v>0.21</v>
      </c>
      <c r="U262" s="30">
        <v>0.0</v>
      </c>
      <c r="V262" s="30" t="s">
        <v>5407</v>
      </c>
    </row>
    <row r="263">
      <c r="A263" s="30">
        <v>365.0</v>
      </c>
      <c r="B263" s="30" t="s">
        <v>5408</v>
      </c>
      <c r="C263" s="30">
        <v>29.0</v>
      </c>
      <c r="D263" s="30" t="s">
        <v>4877</v>
      </c>
      <c r="E263" s="30" t="s">
        <v>4858</v>
      </c>
      <c r="F263" s="30">
        <v>14.0</v>
      </c>
      <c r="G263" s="30">
        <v>14.0</v>
      </c>
      <c r="H263" s="30">
        <v>1.0</v>
      </c>
      <c r="I263" s="30">
        <v>83.2</v>
      </c>
      <c r="J263" s="30">
        <v>16.0</v>
      </c>
      <c r="K263" s="30">
        <v>5.0</v>
      </c>
      <c r="L263" s="30">
        <v>8.0</v>
      </c>
      <c r="M263" s="30">
        <v>3.0</v>
      </c>
      <c r="N263" s="30">
        <v>2.0</v>
      </c>
      <c r="O263" s="30">
        <v>0.813</v>
      </c>
      <c r="P263" s="30">
        <v>1.4</v>
      </c>
      <c r="Q263" s="30">
        <v>0.93</v>
      </c>
      <c r="R263" s="30">
        <v>2.0</v>
      </c>
      <c r="S263" s="30">
        <v>2.0</v>
      </c>
      <c r="T263" s="183">
        <v>0.5</v>
      </c>
      <c r="U263" s="30">
        <v>0.0</v>
      </c>
      <c r="V263" s="30" t="s">
        <v>5409</v>
      </c>
    </row>
    <row r="264">
      <c r="A264" s="30">
        <v>366.0</v>
      </c>
      <c r="B264" s="30" t="s">
        <v>5410</v>
      </c>
      <c r="C264" s="30">
        <v>25.0</v>
      </c>
      <c r="D264" s="30" t="s">
        <v>4893</v>
      </c>
      <c r="E264" s="30" t="s">
        <v>4868</v>
      </c>
      <c r="F264" s="30">
        <v>33.0</v>
      </c>
      <c r="G264" s="30">
        <v>33.0</v>
      </c>
      <c r="H264" s="30">
        <v>1.0</v>
      </c>
      <c r="I264" s="30">
        <v>194.1</v>
      </c>
      <c r="J264" s="30">
        <v>31.0</v>
      </c>
      <c r="K264" s="30">
        <v>11.0</v>
      </c>
      <c r="L264" s="30">
        <v>19.0</v>
      </c>
      <c r="M264" s="30">
        <v>1.0</v>
      </c>
      <c r="N264" s="30">
        <v>1.0</v>
      </c>
      <c r="O264" s="30">
        <v>0.968</v>
      </c>
      <c r="P264" s="30">
        <v>1.39</v>
      </c>
      <c r="Q264" s="30">
        <v>0.91</v>
      </c>
      <c r="R264" s="30">
        <v>11.0</v>
      </c>
      <c r="S264" s="30">
        <v>6.0</v>
      </c>
      <c r="T264" s="183">
        <v>0.35</v>
      </c>
      <c r="U264" s="30">
        <v>4.0</v>
      </c>
      <c r="V264" s="30" t="s">
        <v>5411</v>
      </c>
    </row>
    <row r="265">
      <c r="A265" s="30">
        <v>367.0</v>
      </c>
      <c r="B265" s="30" t="s">
        <v>5412</v>
      </c>
      <c r="C265" s="30">
        <v>29.0</v>
      </c>
      <c r="D265" s="30" t="s">
        <v>4601</v>
      </c>
      <c r="E265" s="30" t="s">
        <v>4898</v>
      </c>
      <c r="F265" s="30">
        <v>29.0</v>
      </c>
      <c r="G265" s="30">
        <v>28.0</v>
      </c>
      <c r="H265" s="30">
        <v>3.0</v>
      </c>
      <c r="I265" s="30">
        <v>157.1</v>
      </c>
      <c r="J265" s="30">
        <v>24.0</v>
      </c>
      <c r="K265" s="30">
        <v>10.0</v>
      </c>
      <c r="L265" s="30">
        <v>14.0</v>
      </c>
      <c r="M265" s="30">
        <v>0.0</v>
      </c>
      <c r="N265" s="30">
        <v>0.0</v>
      </c>
      <c r="O265" s="30">
        <v>1.0</v>
      </c>
      <c r="P265" s="30">
        <v>1.37</v>
      </c>
      <c r="Q265" s="30">
        <v>0.83</v>
      </c>
      <c r="R265" s="30">
        <v>24.0</v>
      </c>
      <c r="S265" s="30">
        <v>8.0</v>
      </c>
      <c r="T265" s="183">
        <v>0.25</v>
      </c>
      <c r="U265" s="30">
        <v>0.0</v>
      </c>
      <c r="V265" s="30" t="s">
        <v>5413</v>
      </c>
    </row>
    <row r="266">
      <c r="A266" s="30">
        <v>370.0</v>
      </c>
      <c r="B266" s="30" t="s">
        <v>5414</v>
      </c>
      <c r="C266" s="30">
        <v>35.0</v>
      </c>
      <c r="D266" s="30" t="s">
        <v>289</v>
      </c>
      <c r="E266" s="30" t="s">
        <v>4858</v>
      </c>
      <c r="F266" s="30">
        <v>70.0</v>
      </c>
      <c r="G266" s="30">
        <v>6.0</v>
      </c>
      <c r="H266" s="30">
        <v>0.0</v>
      </c>
      <c r="I266" s="30">
        <v>112.0</v>
      </c>
      <c r="J266" s="30">
        <v>21.0</v>
      </c>
      <c r="K266" s="30">
        <v>7.0</v>
      </c>
      <c r="L266" s="30">
        <v>10.0</v>
      </c>
      <c r="M266" s="30">
        <v>4.0</v>
      </c>
      <c r="N266" s="30">
        <v>1.0</v>
      </c>
      <c r="O266" s="30">
        <v>0.81</v>
      </c>
      <c r="P266" s="30">
        <v>1.37</v>
      </c>
      <c r="Q266" s="30">
        <v>0.24</v>
      </c>
      <c r="R266" s="30">
        <v>0.0</v>
      </c>
      <c r="S266" s="30">
        <v>0.0</v>
      </c>
      <c r="T266" s="30" t="s">
        <v>181</v>
      </c>
      <c r="U266" s="30">
        <v>1.0</v>
      </c>
      <c r="V266" s="30" t="s">
        <v>5415</v>
      </c>
    </row>
    <row r="267">
      <c r="A267" s="30">
        <v>372.0</v>
      </c>
      <c r="B267" s="30" t="s">
        <v>5416</v>
      </c>
      <c r="C267" s="30">
        <v>28.0</v>
      </c>
      <c r="D267" s="30" t="s">
        <v>4893</v>
      </c>
      <c r="E267" s="30" t="s">
        <v>4868</v>
      </c>
      <c r="F267" s="30">
        <v>66.0</v>
      </c>
      <c r="G267" s="30">
        <v>0.0</v>
      </c>
      <c r="H267" s="30">
        <v>0.0</v>
      </c>
      <c r="I267" s="30">
        <v>72.2</v>
      </c>
      <c r="J267" s="30">
        <v>12.0</v>
      </c>
      <c r="K267" s="30">
        <v>4.0</v>
      </c>
      <c r="L267" s="30">
        <v>7.0</v>
      </c>
      <c r="M267" s="30">
        <v>1.0</v>
      </c>
      <c r="N267" s="30">
        <v>1.0</v>
      </c>
      <c r="O267" s="30">
        <v>0.917</v>
      </c>
      <c r="P267" s="30">
        <v>1.36</v>
      </c>
      <c r="Q267" s="30">
        <v>0.17</v>
      </c>
      <c r="R267" s="30">
        <v>7.0</v>
      </c>
      <c r="S267" s="30">
        <v>1.0</v>
      </c>
      <c r="T267" s="183">
        <v>0.13</v>
      </c>
      <c r="U267" s="30">
        <v>0.0</v>
      </c>
      <c r="V267" s="30" t="s">
        <v>5417</v>
      </c>
    </row>
    <row r="268">
      <c r="A268" s="30">
        <v>374.0</v>
      </c>
      <c r="B268" s="30" t="s">
        <v>5418</v>
      </c>
      <c r="C268" s="30">
        <v>36.0</v>
      </c>
      <c r="D268" s="30" t="s">
        <v>4867</v>
      </c>
      <c r="E268" s="30" t="s">
        <v>4868</v>
      </c>
      <c r="F268" s="30">
        <v>34.0</v>
      </c>
      <c r="G268" s="30">
        <v>34.0</v>
      </c>
      <c r="H268" s="30">
        <v>2.0</v>
      </c>
      <c r="I268" s="30">
        <v>234.0</v>
      </c>
      <c r="J268" s="30">
        <v>37.0</v>
      </c>
      <c r="K268" s="30">
        <v>18.0</v>
      </c>
      <c r="L268" s="30">
        <v>17.0</v>
      </c>
      <c r="M268" s="30">
        <v>2.0</v>
      </c>
      <c r="N268" s="30">
        <v>3.0</v>
      </c>
      <c r="O268" s="30">
        <v>0.946</v>
      </c>
      <c r="P268" s="30">
        <v>1.35</v>
      </c>
      <c r="Q268" s="30">
        <v>1.03</v>
      </c>
      <c r="R268" s="30">
        <v>7.0</v>
      </c>
      <c r="S268" s="30">
        <v>10.0</v>
      </c>
      <c r="T268" s="183">
        <v>0.59</v>
      </c>
      <c r="U268" s="30">
        <v>0.0</v>
      </c>
      <c r="V268" s="30" t="s">
        <v>5419</v>
      </c>
    </row>
    <row r="269">
      <c r="A269" s="30">
        <v>378.0</v>
      </c>
      <c r="B269" s="30" t="s">
        <v>5420</v>
      </c>
      <c r="C269" s="30">
        <v>33.0</v>
      </c>
      <c r="D269" s="30" t="s">
        <v>5086</v>
      </c>
      <c r="E269" s="30" t="s">
        <v>4868</v>
      </c>
      <c r="F269" s="30">
        <v>32.0</v>
      </c>
      <c r="G269" s="30">
        <v>32.0</v>
      </c>
      <c r="H269" s="30">
        <v>0.0</v>
      </c>
      <c r="I269" s="30">
        <v>195.0</v>
      </c>
      <c r="J269" s="30">
        <v>30.0</v>
      </c>
      <c r="K269" s="30">
        <v>11.0</v>
      </c>
      <c r="L269" s="30">
        <v>18.0</v>
      </c>
      <c r="M269" s="30">
        <v>1.0</v>
      </c>
      <c r="N269" s="30">
        <v>0.0</v>
      </c>
      <c r="O269" s="30">
        <v>0.967</v>
      </c>
      <c r="P269" s="30">
        <v>1.34</v>
      </c>
      <c r="Q269" s="30">
        <v>0.91</v>
      </c>
      <c r="R269" s="30">
        <v>9.0</v>
      </c>
      <c r="S269" s="30">
        <v>7.0</v>
      </c>
      <c r="T269" s="183">
        <v>0.44</v>
      </c>
      <c r="U269" s="30">
        <v>1.0</v>
      </c>
      <c r="V269" s="30" t="s">
        <v>5421</v>
      </c>
    </row>
    <row r="270">
      <c r="A270" s="30">
        <v>376.0</v>
      </c>
      <c r="B270" s="30" t="s">
        <v>5422</v>
      </c>
      <c r="C270" s="30">
        <v>27.0</v>
      </c>
      <c r="D270" s="30" t="s">
        <v>4601</v>
      </c>
      <c r="E270" s="30" t="s">
        <v>4898</v>
      </c>
      <c r="F270" s="30">
        <v>27.0</v>
      </c>
      <c r="G270" s="30">
        <v>22.0</v>
      </c>
      <c r="H270" s="30">
        <v>0.0</v>
      </c>
      <c r="I270" s="30">
        <v>127.1</v>
      </c>
      <c r="J270" s="30">
        <v>20.0</v>
      </c>
      <c r="K270" s="30">
        <v>8.0</v>
      </c>
      <c r="L270" s="30">
        <v>11.0</v>
      </c>
      <c r="M270" s="30">
        <v>1.0</v>
      </c>
      <c r="N270" s="30">
        <v>0.0</v>
      </c>
      <c r="O270" s="30">
        <v>0.95</v>
      </c>
      <c r="P270" s="30">
        <v>1.34</v>
      </c>
      <c r="Q270" s="30">
        <v>0.7</v>
      </c>
      <c r="R270" s="30">
        <v>11.0</v>
      </c>
      <c r="S270" s="30">
        <v>7.0</v>
      </c>
      <c r="T270" s="183">
        <v>0.39</v>
      </c>
      <c r="U270" s="30">
        <v>3.0</v>
      </c>
      <c r="V270" s="30" t="s">
        <v>5423</v>
      </c>
    </row>
    <row r="271">
      <c r="A271" s="30">
        <v>375.0</v>
      </c>
      <c r="B271" s="30" t="s">
        <v>5424</v>
      </c>
      <c r="C271" s="30">
        <v>33.0</v>
      </c>
      <c r="D271" s="30" t="s">
        <v>4601</v>
      </c>
      <c r="E271" s="30" t="s">
        <v>4898</v>
      </c>
      <c r="F271" s="30">
        <v>70.0</v>
      </c>
      <c r="G271" s="30">
        <v>0.0</v>
      </c>
      <c r="H271" s="30">
        <v>0.0</v>
      </c>
      <c r="I271" s="30">
        <v>80.1</v>
      </c>
      <c r="J271" s="30">
        <v>13.0</v>
      </c>
      <c r="K271" s="30">
        <v>3.0</v>
      </c>
      <c r="L271" s="30">
        <v>9.0</v>
      </c>
      <c r="M271" s="30">
        <v>1.0</v>
      </c>
      <c r="N271" s="30">
        <v>1.0</v>
      </c>
      <c r="O271" s="30">
        <v>0.923</v>
      </c>
      <c r="P271" s="30">
        <v>1.34</v>
      </c>
      <c r="Q271" s="30">
        <v>0.17</v>
      </c>
      <c r="R271" s="30">
        <v>4.0</v>
      </c>
      <c r="S271" s="30">
        <v>3.0</v>
      </c>
      <c r="T271" s="183">
        <v>0.43</v>
      </c>
      <c r="U271" s="30">
        <v>0.0</v>
      </c>
      <c r="V271" s="30" t="s">
        <v>5425</v>
      </c>
    </row>
    <row r="272">
      <c r="A272" s="30">
        <v>379.0</v>
      </c>
      <c r="B272" s="30" t="s">
        <v>5426</v>
      </c>
      <c r="C272" s="30">
        <v>27.0</v>
      </c>
      <c r="D272" s="30" t="s">
        <v>5003</v>
      </c>
      <c r="E272" s="30" t="s">
        <v>4868</v>
      </c>
      <c r="F272" s="30">
        <v>51.0</v>
      </c>
      <c r="G272" s="30">
        <v>0.0</v>
      </c>
      <c r="H272" s="30">
        <v>0.0</v>
      </c>
      <c r="I272" s="30">
        <v>67.1</v>
      </c>
      <c r="J272" s="30">
        <v>12.0</v>
      </c>
      <c r="K272" s="30">
        <v>6.0</v>
      </c>
      <c r="L272" s="30">
        <v>4.0</v>
      </c>
      <c r="M272" s="30">
        <v>2.0</v>
      </c>
      <c r="N272" s="30">
        <v>0.0</v>
      </c>
      <c r="O272" s="30">
        <v>0.833</v>
      </c>
      <c r="P272" s="30">
        <v>1.34</v>
      </c>
      <c r="Q272" s="30">
        <v>0.2</v>
      </c>
      <c r="R272" s="30">
        <v>7.0</v>
      </c>
      <c r="S272" s="30">
        <v>3.0</v>
      </c>
      <c r="T272" s="183">
        <v>0.3</v>
      </c>
      <c r="U272" s="30">
        <v>0.0</v>
      </c>
      <c r="V272" s="30" t="s">
        <v>5427</v>
      </c>
    </row>
    <row r="273">
      <c r="A273" s="30">
        <v>381.0</v>
      </c>
      <c r="B273" s="30" t="s">
        <v>5428</v>
      </c>
      <c r="C273" s="30">
        <v>34.0</v>
      </c>
      <c r="D273" s="30" t="s">
        <v>4601</v>
      </c>
      <c r="E273" s="30" t="s">
        <v>4898</v>
      </c>
      <c r="F273" s="30">
        <v>34.0</v>
      </c>
      <c r="G273" s="30">
        <v>34.0</v>
      </c>
      <c r="H273" s="30">
        <v>10.0</v>
      </c>
      <c r="I273" s="30">
        <v>244.1</v>
      </c>
      <c r="J273" s="30">
        <v>45.0</v>
      </c>
      <c r="K273" s="30">
        <v>6.0</v>
      </c>
      <c r="L273" s="30">
        <v>30.0</v>
      </c>
      <c r="M273" s="30">
        <v>9.0</v>
      </c>
      <c r="N273" s="30">
        <v>3.0</v>
      </c>
      <c r="O273" s="30">
        <v>0.8</v>
      </c>
      <c r="P273" s="30">
        <v>1.33</v>
      </c>
      <c r="Q273" s="30">
        <v>1.06</v>
      </c>
      <c r="R273" s="30">
        <v>31.0</v>
      </c>
      <c r="S273" s="30">
        <v>19.0</v>
      </c>
      <c r="T273" s="183">
        <v>0.38</v>
      </c>
      <c r="U273" s="30">
        <v>3.0</v>
      </c>
      <c r="V273" s="30" t="s">
        <v>5429</v>
      </c>
    </row>
    <row r="274">
      <c r="A274" s="30">
        <v>380.0</v>
      </c>
      <c r="B274" s="30" t="s">
        <v>5430</v>
      </c>
      <c r="C274" s="30">
        <v>29.0</v>
      </c>
      <c r="D274" s="30" t="s">
        <v>4931</v>
      </c>
      <c r="E274" s="30" t="s">
        <v>4858</v>
      </c>
      <c r="F274" s="30">
        <v>70.0</v>
      </c>
      <c r="G274" s="30">
        <v>0.0</v>
      </c>
      <c r="H274" s="30">
        <v>0.0</v>
      </c>
      <c r="I274" s="30">
        <v>88.0</v>
      </c>
      <c r="J274" s="30">
        <v>13.0</v>
      </c>
      <c r="K274" s="30">
        <v>8.0</v>
      </c>
      <c r="L274" s="30">
        <v>5.0</v>
      </c>
      <c r="M274" s="30">
        <v>0.0</v>
      </c>
      <c r="N274" s="30">
        <v>0.0</v>
      </c>
      <c r="O274" s="30">
        <v>1.0</v>
      </c>
      <c r="P274" s="30">
        <v>1.33</v>
      </c>
      <c r="Q274" s="30">
        <v>0.19</v>
      </c>
      <c r="R274" s="30">
        <v>12.0</v>
      </c>
      <c r="S274" s="30">
        <v>3.0</v>
      </c>
      <c r="T274" s="183">
        <v>0.2</v>
      </c>
      <c r="U274" s="30">
        <v>0.0</v>
      </c>
      <c r="V274" s="30" t="s">
        <v>5431</v>
      </c>
    </row>
    <row r="275">
      <c r="A275" s="30">
        <v>382.0</v>
      </c>
      <c r="B275" s="30" t="s">
        <v>5432</v>
      </c>
      <c r="C275" s="30">
        <v>31.0</v>
      </c>
      <c r="D275" s="30" t="s">
        <v>4601</v>
      </c>
      <c r="E275" s="30" t="s">
        <v>4898</v>
      </c>
      <c r="F275" s="30">
        <v>33.0</v>
      </c>
      <c r="G275" s="30">
        <v>33.0</v>
      </c>
      <c r="H275" s="30">
        <v>2.0</v>
      </c>
      <c r="I275" s="30">
        <v>211.0</v>
      </c>
      <c r="J275" s="30">
        <v>35.0</v>
      </c>
      <c r="K275" s="30">
        <v>11.0</v>
      </c>
      <c r="L275" s="30">
        <v>20.0</v>
      </c>
      <c r="M275" s="30">
        <v>4.0</v>
      </c>
      <c r="N275" s="30">
        <v>2.0</v>
      </c>
      <c r="O275" s="30">
        <v>0.886</v>
      </c>
      <c r="P275" s="30">
        <v>1.32</v>
      </c>
      <c r="Q275" s="30">
        <v>0.94</v>
      </c>
      <c r="R275" s="30">
        <v>31.0</v>
      </c>
      <c r="S275" s="30">
        <v>9.0</v>
      </c>
      <c r="T275" s="183">
        <v>0.23</v>
      </c>
      <c r="U275" s="30">
        <v>1.0</v>
      </c>
      <c r="V275" s="30" t="s">
        <v>5433</v>
      </c>
    </row>
    <row r="276">
      <c r="A276" s="30">
        <v>383.0</v>
      </c>
      <c r="B276" s="30" t="s">
        <v>5434</v>
      </c>
      <c r="C276" s="30">
        <v>34.0</v>
      </c>
      <c r="D276" s="30" t="s">
        <v>4601</v>
      </c>
      <c r="E276" s="30" t="s">
        <v>4898</v>
      </c>
      <c r="F276" s="30">
        <v>31.0</v>
      </c>
      <c r="G276" s="30">
        <v>18.0</v>
      </c>
      <c r="H276" s="30">
        <v>0.0</v>
      </c>
      <c r="I276" s="30">
        <v>116.2</v>
      </c>
      <c r="J276" s="30">
        <v>19.0</v>
      </c>
      <c r="K276" s="30">
        <v>5.0</v>
      </c>
      <c r="L276" s="30">
        <v>12.0</v>
      </c>
      <c r="M276" s="30">
        <v>2.0</v>
      </c>
      <c r="N276" s="30">
        <v>2.0</v>
      </c>
      <c r="O276" s="30">
        <v>0.895</v>
      </c>
      <c r="P276" s="30">
        <v>1.31</v>
      </c>
      <c r="Q276" s="30">
        <v>0.55</v>
      </c>
      <c r="R276" s="30">
        <v>8.0</v>
      </c>
      <c r="S276" s="30">
        <v>5.0</v>
      </c>
      <c r="T276" s="183">
        <v>0.38</v>
      </c>
      <c r="U276" s="30">
        <v>0.0</v>
      </c>
      <c r="V276" s="30" t="s">
        <v>5435</v>
      </c>
    </row>
    <row r="277">
      <c r="A277" s="30">
        <v>384.0</v>
      </c>
      <c r="B277" s="30" t="s">
        <v>5436</v>
      </c>
      <c r="C277" s="30">
        <v>31.0</v>
      </c>
      <c r="D277" s="30" t="s">
        <v>5086</v>
      </c>
      <c r="E277" s="30" t="s">
        <v>4868</v>
      </c>
      <c r="F277" s="30">
        <v>63.0</v>
      </c>
      <c r="G277" s="30">
        <v>0.0</v>
      </c>
      <c r="H277" s="30">
        <v>0.0</v>
      </c>
      <c r="I277" s="30">
        <v>62.0</v>
      </c>
      <c r="J277" s="30">
        <v>10.0</v>
      </c>
      <c r="K277" s="30">
        <v>2.0</v>
      </c>
      <c r="L277" s="30">
        <v>7.0</v>
      </c>
      <c r="M277" s="30">
        <v>1.0</v>
      </c>
      <c r="N277" s="30">
        <v>0.0</v>
      </c>
      <c r="O277" s="30">
        <v>0.9</v>
      </c>
      <c r="P277" s="30">
        <v>1.31</v>
      </c>
      <c r="Q277" s="30">
        <v>0.14</v>
      </c>
      <c r="R277" s="30">
        <v>1.0</v>
      </c>
      <c r="S277" s="30">
        <v>0.0</v>
      </c>
      <c r="T277" s="183">
        <v>0.0</v>
      </c>
      <c r="U277" s="30">
        <v>0.0</v>
      </c>
      <c r="V277" s="30" t="s">
        <v>5437</v>
      </c>
    </row>
    <row r="278">
      <c r="A278" s="30">
        <v>385.0</v>
      </c>
      <c r="B278" s="30" t="s">
        <v>5438</v>
      </c>
      <c r="C278" s="30">
        <v>35.0</v>
      </c>
      <c r="D278" s="30" t="s">
        <v>4926</v>
      </c>
      <c r="E278" s="30" t="s">
        <v>4868</v>
      </c>
      <c r="F278" s="30">
        <v>33.0</v>
      </c>
      <c r="G278" s="30">
        <v>33.0</v>
      </c>
      <c r="H278" s="30">
        <v>5.0</v>
      </c>
      <c r="I278" s="30">
        <v>234.2</v>
      </c>
      <c r="J278" s="30">
        <v>35.0</v>
      </c>
      <c r="K278" s="30">
        <v>7.0</v>
      </c>
      <c r="L278" s="30">
        <v>27.0</v>
      </c>
      <c r="M278" s="30">
        <v>1.0</v>
      </c>
      <c r="N278" s="30">
        <v>1.0</v>
      </c>
      <c r="O278" s="30">
        <v>0.971</v>
      </c>
      <c r="P278" s="30">
        <v>1.3</v>
      </c>
      <c r="Q278" s="30">
        <v>1.03</v>
      </c>
      <c r="R278" s="30">
        <v>28.0</v>
      </c>
      <c r="S278" s="30">
        <v>9.0</v>
      </c>
      <c r="T278" s="183">
        <v>0.24</v>
      </c>
      <c r="U278" s="30">
        <v>0.0</v>
      </c>
      <c r="V278" s="30" t="s">
        <v>5439</v>
      </c>
    </row>
    <row r="279">
      <c r="A279" s="30">
        <v>386.0</v>
      </c>
      <c r="B279" s="30" t="s">
        <v>5440</v>
      </c>
      <c r="C279" s="30">
        <v>23.0</v>
      </c>
      <c r="D279" s="30" t="s">
        <v>4980</v>
      </c>
      <c r="E279" s="30" t="s">
        <v>4858</v>
      </c>
      <c r="F279" s="30">
        <v>34.0</v>
      </c>
      <c r="G279" s="30">
        <v>26.0</v>
      </c>
      <c r="H279" s="30">
        <v>0.0</v>
      </c>
      <c r="I279" s="30">
        <v>165.2</v>
      </c>
      <c r="J279" s="30">
        <v>25.0</v>
      </c>
      <c r="K279" s="30">
        <v>9.0</v>
      </c>
      <c r="L279" s="30">
        <v>15.0</v>
      </c>
      <c r="M279" s="30">
        <v>1.0</v>
      </c>
      <c r="N279" s="30">
        <v>0.0</v>
      </c>
      <c r="O279" s="30">
        <v>0.96</v>
      </c>
      <c r="P279" s="30">
        <v>1.3</v>
      </c>
      <c r="Q279" s="30">
        <v>0.71</v>
      </c>
      <c r="R279" s="30">
        <v>17.0</v>
      </c>
      <c r="S279" s="30">
        <v>4.0</v>
      </c>
      <c r="T279" s="183">
        <v>0.19</v>
      </c>
      <c r="U279" s="30">
        <v>1.0</v>
      </c>
      <c r="V279" s="30" t="s">
        <v>5441</v>
      </c>
    </row>
    <row r="280">
      <c r="A280" s="30">
        <v>387.0</v>
      </c>
      <c r="B280" s="30" t="s">
        <v>5442</v>
      </c>
      <c r="C280" s="30">
        <v>27.0</v>
      </c>
      <c r="D280" s="30" t="s">
        <v>4913</v>
      </c>
      <c r="E280" s="30" t="s">
        <v>4868</v>
      </c>
      <c r="F280" s="30">
        <v>53.0</v>
      </c>
      <c r="G280" s="30">
        <v>6.0</v>
      </c>
      <c r="H280" s="30">
        <v>0.0</v>
      </c>
      <c r="I280" s="30">
        <v>83.1</v>
      </c>
      <c r="J280" s="30">
        <v>12.0</v>
      </c>
      <c r="K280" s="30">
        <v>3.0</v>
      </c>
      <c r="L280" s="30">
        <v>9.0</v>
      </c>
      <c r="M280" s="30">
        <v>0.0</v>
      </c>
      <c r="N280" s="30">
        <v>0.0</v>
      </c>
      <c r="O280" s="30">
        <v>1.0</v>
      </c>
      <c r="P280" s="30">
        <v>1.3</v>
      </c>
      <c r="Q280" s="30">
        <v>0.23</v>
      </c>
      <c r="R280" s="30">
        <v>10.0</v>
      </c>
      <c r="S280" s="30">
        <v>1.0</v>
      </c>
      <c r="T280" s="183">
        <v>0.09</v>
      </c>
      <c r="U280" s="30">
        <v>2.0</v>
      </c>
      <c r="V280" s="30" t="s">
        <v>5443</v>
      </c>
    </row>
    <row r="281">
      <c r="A281" s="30">
        <v>389.0</v>
      </c>
      <c r="B281" s="30" t="s">
        <v>5444</v>
      </c>
      <c r="C281" s="30">
        <v>31.0</v>
      </c>
      <c r="D281" s="30" t="s">
        <v>4926</v>
      </c>
      <c r="E281" s="30" t="s">
        <v>4868</v>
      </c>
      <c r="F281" s="30">
        <v>32.0</v>
      </c>
      <c r="G281" s="30">
        <v>32.0</v>
      </c>
      <c r="H281" s="30">
        <v>1.0</v>
      </c>
      <c r="I281" s="30">
        <v>209.2</v>
      </c>
      <c r="J281" s="30">
        <v>33.0</v>
      </c>
      <c r="K281" s="30">
        <v>12.0</v>
      </c>
      <c r="L281" s="30">
        <v>18.0</v>
      </c>
      <c r="M281" s="30">
        <v>3.0</v>
      </c>
      <c r="N281" s="30">
        <v>4.0</v>
      </c>
      <c r="O281" s="30">
        <v>0.909</v>
      </c>
      <c r="P281" s="30">
        <v>1.29</v>
      </c>
      <c r="Q281" s="30">
        <v>0.94</v>
      </c>
      <c r="R281" s="30">
        <v>17.0</v>
      </c>
      <c r="S281" s="30">
        <v>5.0</v>
      </c>
      <c r="T281" s="183">
        <v>0.23</v>
      </c>
      <c r="U281" s="30">
        <v>3.0</v>
      </c>
      <c r="V281" s="30" t="s">
        <v>5445</v>
      </c>
    </row>
    <row r="282">
      <c r="A282" s="30">
        <v>388.0</v>
      </c>
      <c r="B282" s="30" t="s">
        <v>5446</v>
      </c>
      <c r="C282" s="30">
        <v>23.0</v>
      </c>
      <c r="D282" s="30" t="s">
        <v>4883</v>
      </c>
      <c r="E282" s="30" t="s">
        <v>4858</v>
      </c>
      <c r="F282" s="30">
        <v>31.0</v>
      </c>
      <c r="G282" s="30">
        <v>29.0</v>
      </c>
      <c r="H282" s="30">
        <v>3.0</v>
      </c>
      <c r="I282" s="30">
        <v>174.1</v>
      </c>
      <c r="J282" s="30">
        <v>26.0</v>
      </c>
      <c r="K282" s="30">
        <v>9.0</v>
      </c>
      <c r="L282" s="30">
        <v>16.0</v>
      </c>
      <c r="M282" s="30">
        <v>1.0</v>
      </c>
      <c r="N282" s="30">
        <v>1.0</v>
      </c>
      <c r="O282" s="30">
        <v>0.962</v>
      </c>
      <c r="P282" s="30">
        <v>1.29</v>
      </c>
      <c r="Q282" s="30">
        <v>0.81</v>
      </c>
      <c r="R282" s="30">
        <v>7.0</v>
      </c>
      <c r="S282" s="30">
        <v>5.0</v>
      </c>
      <c r="T282" s="183">
        <v>0.42</v>
      </c>
      <c r="U282" s="30">
        <v>0.0</v>
      </c>
      <c r="V282" s="30" t="s">
        <v>5447</v>
      </c>
    </row>
    <row r="283">
      <c r="A283" s="30">
        <v>393.0</v>
      </c>
      <c r="B283" s="30" t="s">
        <v>5448</v>
      </c>
      <c r="C283" s="30">
        <v>28.0</v>
      </c>
      <c r="D283" s="30" t="s">
        <v>5086</v>
      </c>
      <c r="E283" s="30" t="s">
        <v>4868</v>
      </c>
      <c r="F283" s="30">
        <v>64.0</v>
      </c>
      <c r="G283" s="30">
        <v>0.0</v>
      </c>
      <c r="H283" s="30">
        <v>0.0</v>
      </c>
      <c r="I283" s="30">
        <v>85.1</v>
      </c>
      <c r="J283" s="30">
        <v>13.0</v>
      </c>
      <c r="K283" s="30">
        <v>4.0</v>
      </c>
      <c r="L283" s="30">
        <v>8.0</v>
      </c>
      <c r="M283" s="30">
        <v>1.0</v>
      </c>
      <c r="N283" s="30">
        <v>2.0</v>
      </c>
      <c r="O283" s="30">
        <v>0.923</v>
      </c>
      <c r="P283" s="30">
        <v>1.27</v>
      </c>
      <c r="Q283" s="30">
        <v>0.19</v>
      </c>
      <c r="R283" s="30">
        <v>6.0</v>
      </c>
      <c r="S283" s="30">
        <v>5.0</v>
      </c>
      <c r="T283" s="183">
        <v>0.45</v>
      </c>
      <c r="U283" s="30">
        <v>0.0</v>
      </c>
      <c r="V283" s="30" t="s">
        <v>5449</v>
      </c>
    </row>
    <row r="284">
      <c r="A284" s="30">
        <v>392.0</v>
      </c>
      <c r="B284" s="30" t="s">
        <v>5450</v>
      </c>
      <c r="C284" s="30">
        <v>26.0</v>
      </c>
      <c r="D284" s="30" t="s">
        <v>4934</v>
      </c>
      <c r="E284" s="30" t="s">
        <v>4858</v>
      </c>
      <c r="F284" s="30">
        <v>58.0</v>
      </c>
      <c r="G284" s="30">
        <v>0.0</v>
      </c>
      <c r="H284" s="30">
        <v>0.0</v>
      </c>
      <c r="I284" s="30">
        <v>70.2</v>
      </c>
      <c r="J284" s="30">
        <v>11.0</v>
      </c>
      <c r="K284" s="30">
        <v>4.0</v>
      </c>
      <c r="L284" s="30">
        <v>6.0</v>
      </c>
      <c r="M284" s="30">
        <v>1.0</v>
      </c>
      <c r="N284" s="30">
        <v>1.0</v>
      </c>
      <c r="O284" s="30">
        <v>0.909</v>
      </c>
      <c r="P284" s="30">
        <v>1.27</v>
      </c>
      <c r="Q284" s="30">
        <v>0.17</v>
      </c>
      <c r="R284" s="30">
        <v>3.0</v>
      </c>
      <c r="S284" s="30">
        <v>1.0</v>
      </c>
      <c r="T284" s="183">
        <v>0.25</v>
      </c>
      <c r="U284" s="30">
        <v>0.0</v>
      </c>
      <c r="V284" s="30" t="s">
        <v>5451</v>
      </c>
    </row>
    <row r="285">
      <c r="A285" s="30">
        <v>398.0</v>
      </c>
      <c r="B285" s="30" t="s">
        <v>5452</v>
      </c>
      <c r="C285" s="30">
        <v>32.0</v>
      </c>
      <c r="D285" s="30" t="s">
        <v>5008</v>
      </c>
      <c r="E285" s="30" t="s">
        <v>4858</v>
      </c>
      <c r="F285" s="30">
        <v>35.0</v>
      </c>
      <c r="G285" s="30">
        <v>28.0</v>
      </c>
      <c r="H285" s="30">
        <v>1.0</v>
      </c>
      <c r="I285" s="30">
        <v>164.1</v>
      </c>
      <c r="J285" s="30">
        <v>25.0</v>
      </c>
      <c r="K285" s="30">
        <v>7.0</v>
      </c>
      <c r="L285" s="30">
        <v>16.0</v>
      </c>
      <c r="M285" s="30">
        <v>2.0</v>
      </c>
      <c r="N285" s="30">
        <v>1.0</v>
      </c>
      <c r="O285" s="30">
        <v>0.92</v>
      </c>
      <c r="P285" s="30">
        <v>1.26</v>
      </c>
      <c r="Q285" s="30">
        <v>0.66</v>
      </c>
      <c r="R285" s="30">
        <v>15.0</v>
      </c>
      <c r="S285" s="30">
        <v>7.0</v>
      </c>
      <c r="T285" s="183">
        <v>0.32</v>
      </c>
      <c r="U285" s="30">
        <v>3.0</v>
      </c>
      <c r="V285" s="30" t="s">
        <v>5453</v>
      </c>
    </row>
    <row r="286">
      <c r="A286" s="30">
        <v>396.0</v>
      </c>
      <c r="B286" s="30" t="s">
        <v>5454</v>
      </c>
      <c r="C286" s="30">
        <v>28.0</v>
      </c>
      <c r="D286" s="30" t="s">
        <v>4980</v>
      </c>
      <c r="E286" s="30" t="s">
        <v>4858</v>
      </c>
      <c r="F286" s="30">
        <v>50.0</v>
      </c>
      <c r="G286" s="30">
        <v>0.0</v>
      </c>
      <c r="H286" s="30">
        <v>0.0</v>
      </c>
      <c r="I286" s="30">
        <v>57.0</v>
      </c>
      <c r="J286" s="30">
        <v>10.0</v>
      </c>
      <c r="K286" s="30">
        <v>2.0</v>
      </c>
      <c r="L286" s="30">
        <v>6.0</v>
      </c>
      <c r="M286" s="30">
        <v>2.0</v>
      </c>
      <c r="N286" s="30">
        <v>1.0</v>
      </c>
      <c r="O286" s="30">
        <v>0.8</v>
      </c>
      <c r="P286" s="30">
        <v>1.26</v>
      </c>
      <c r="Q286" s="30">
        <v>0.16</v>
      </c>
      <c r="R286" s="30">
        <v>3.0</v>
      </c>
      <c r="S286" s="30">
        <v>3.0</v>
      </c>
      <c r="T286" s="183">
        <v>0.5</v>
      </c>
      <c r="U286" s="30">
        <v>0.0</v>
      </c>
      <c r="V286" s="30" t="s">
        <v>5455</v>
      </c>
    </row>
    <row r="287">
      <c r="A287" s="30">
        <v>397.0</v>
      </c>
      <c r="B287" s="30" t="s">
        <v>5456</v>
      </c>
      <c r="C287" s="30">
        <v>30.0</v>
      </c>
      <c r="D287" s="30" t="s">
        <v>5021</v>
      </c>
      <c r="E287" s="30" t="s">
        <v>4858</v>
      </c>
      <c r="F287" s="30">
        <v>68.0</v>
      </c>
      <c r="G287" s="30">
        <v>0.0</v>
      </c>
      <c r="H287" s="30">
        <v>0.0</v>
      </c>
      <c r="I287" s="30">
        <v>71.1</v>
      </c>
      <c r="J287" s="30">
        <v>10.0</v>
      </c>
      <c r="K287" s="30">
        <v>3.0</v>
      </c>
      <c r="L287" s="30">
        <v>7.0</v>
      </c>
      <c r="M287" s="30">
        <v>0.0</v>
      </c>
      <c r="N287" s="30">
        <v>2.0</v>
      </c>
      <c r="O287" s="30">
        <v>1.0</v>
      </c>
      <c r="P287" s="30">
        <v>1.26</v>
      </c>
      <c r="Q287" s="30">
        <v>0.15</v>
      </c>
      <c r="R287" s="30">
        <v>5.0</v>
      </c>
      <c r="S287" s="30">
        <v>1.0</v>
      </c>
      <c r="T287" s="183">
        <v>0.17</v>
      </c>
      <c r="U287" s="30">
        <v>0.0</v>
      </c>
      <c r="V287" s="30" t="s">
        <v>5457</v>
      </c>
    </row>
    <row r="288">
      <c r="A288" s="30">
        <v>400.0</v>
      </c>
      <c r="B288" s="30" t="s">
        <v>5458</v>
      </c>
      <c r="C288" s="30">
        <v>26.0</v>
      </c>
      <c r="D288" s="30" t="s">
        <v>4880</v>
      </c>
      <c r="E288" s="30" t="s">
        <v>4868</v>
      </c>
      <c r="F288" s="30">
        <v>37.0</v>
      </c>
      <c r="G288" s="30">
        <v>24.0</v>
      </c>
      <c r="H288" s="30">
        <v>1.0</v>
      </c>
      <c r="I288" s="30">
        <v>159.0</v>
      </c>
      <c r="J288" s="30">
        <v>27.0</v>
      </c>
      <c r="K288" s="30">
        <v>7.0</v>
      </c>
      <c r="L288" s="30">
        <v>15.0</v>
      </c>
      <c r="M288" s="30">
        <v>5.0</v>
      </c>
      <c r="N288" s="30">
        <v>0.0</v>
      </c>
      <c r="O288" s="30">
        <v>0.815</v>
      </c>
      <c r="P288" s="30">
        <v>1.25</v>
      </c>
      <c r="Q288" s="30">
        <v>0.59</v>
      </c>
      <c r="R288" s="30">
        <v>13.0</v>
      </c>
      <c r="S288" s="30">
        <v>5.0</v>
      </c>
      <c r="T288" s="183">
        <v>0.28</v>
      </c>
      <c r="U288" s="30">
        <v>0.0</v>
      </c>
      <c r="V288" s="30" t="s">
        <v>5459</v>
      </c>
    </row>
    <row r="289">
      <c r="A289" s="30">
        <v>399.0</v>
      </c>
      <c r="B289" s="30" t="s">
        <v>5460</v>
      </c>
      <c r="C289" s="30">
        <v>22.0</v>
      </c>
      <c r="D289" s="30" t="s">
        <v>5003</v>
      </c>
      <c r="E289" s="30" t="s">
        <v>4868</v>
      </c>
      <c r="F289" s="30">
        <v>21.0</v>
      </c>
      <c r="G289" s="30">
        <v>21.0</v>
      </c>
      <c r="H289" s="30">
        <v>0.0</v>
      </c>
      <c r="I289" s="30">
        <v>130.0</v>
      </c>
      <c r="J289" s="30">
        <v>20.0</v>
      </c>
      <c r="K289" s="30">
        <v>3.0</v>
      </c>
      <c r="L289" s="30">
        <v>15.0</v>
      </c>
      <c r="M289" s="30">
        <v>2.0</v>
      </c>
      <c r="N289" s="30">
        <v>0.0</v>
      </c>
      <c r="O289" s="30">
        <v>0.9</v>
      </c>
      <c r="P289" s="30">
        <v>1.25</v>
      </c>
      <c r="Q289" s="30">
        <v>0.86</v>
      </c>
      <c r="R289" s="30">
        <v>16.0</v>
      </c>
      <c r="S289" s="30">
        <v>8.0</v>
      </c>
      <c r="T289" s="183">
        <v>0.33</v>
      </c>
      <c r="U289" s="30">
        <v>2.0</v>
      </c>
      <c r="V289" s="30" t="s">
        <v>5461</v>
      </c>
    </row>
    <row r="290">
      <c r="A290" s="30">
        <v>401.0</v>
      </c>
      <c r="B290" s="30" t="s">
        <v>5462</v>
      </c>
      <c r="C290" s="30">
        <v>25.0</v>
      </c>
      <c r="D290" s="30" t="s">
        <v>4880</v>
      </c>
      <c r="E290" s="30" t="s">
        <v>4868</v>
      </c>
      <c r="F290" s="30">
        <v>54.0</v>
      </c>
      <c r="G290" s="30">
        <v>0.0</v>
      </c>
      <c r="H290" s="30">
        <v>0.0</v>
      </c>
      <c r="I290" s="30">
        <v>65.1</v>
      </c>
      <c r="J290" s="30">
        <v>11.0</v>
      </c>
      <c r="K290" s="30">
        <v>1.0</v>
      </c>
      <c r="L290" s="30">
        <v>8.0</v>
      </c>
      <c r="M290" s="30">
        <v>2.0</v>
      </c>
      <c r="N290" s="30">
        <v>0.0</v>
      </c>
      <c r="O290" s="30">
        <v>0.818</v>
      </c>
      <c r="P290" s="30">
        <v>1.24</v>
      </c>
      <c r="Q290" s="30">
        <v>0.17</v>
      </c>
      <c r="R290" s="30">
        <v>3.0</v>
      </c>
      <c r="S290" s="30">
        <v>1.0</v>
      </c>
      <c r="T290" s="183">
        <v>0.25</v>
      </c>
      <c r="U290" s="30">
        <v>0.0</v>
      </c>
      <c r="V290" s="30" t="s">
        <v>5463</v>
      </c>
    </row>
    <row r="291">
      <c r="A291" s="30">
        <v>405.0</v>
      </c>
      <c r="B291" s="30" t="s">
        <v>5464</v>
      </c>
      <c r="C291" s="30">
        <v>28.0</v>
      </c>
      <c r="D291" s="30" t="s">
        <v>4931</v>
      </c>
      <c r="E291" s="30" t="s">
        <v>4858</v>
      </c>
      <c r="F291" s="30">
        <v>78.0</v>
      </c>
      <c r="G291" s="30">
        <v>0.0</v>
      </c>
      <c r="H291" s="30">
        <v>0.0</v>
      </c>
      <c r="I291" s="30">
        <v>88.2</v>
      </c>
      <c r="J291" s="30">
        <v>13.0</v>
      </c>
      <c r="K291" s="30">
        <v>4.0</v>
      </c>
      <c r="L291" s="30">
        <v>8.0</v>
      </c>
      <c r="M291" s="30">
        <v>1.0</v>
      </c>
      <c r="N291" s="30">
        <v>1.0</v>
      </c>
      <c r="O291" s="30">
        <v>0.923</v>
      </c>
      <c r="P291" s="30">
        <v>1.22</v>
      </c>
      <c r="Q291" s="30">
        <v>0.15</v>
      </c>
      <c r="R291" s="30">
        <v>10.0</v>
      </c>
      <c r="S291" s="30">
        <v>0.0</v>
      </c>
      <c r="T291" s="183">
        <v>0.0</v>
      </c>
      <c r="U291" s="30">
        <v>0.0</v>
      </c>
      <c r="V291" s="30" t="s">
        <v>5465</v>
      </c>
    </row>
    <row r="292">
      <c r="A292" s="30">
        <v>406.0</v>
      </c>
      <c r="B292" s="30" t="s">
        <v>5466</v>
      </c>
      <c r="C292" s="30">
        <v>31.0</v>
      </c>
      <c r="D292" s="30" t="s">
        <v>4960</v>
      </c>
      <c r="E292" s="30" t="s">
        <v>4868</v>
      </c>
      <c r="F292" s="30">
        <v>77.0</v>
      </c>
      <c r="G292" s="30">
        <v>1.0</v>
      </c>
      <c r="H292" s="30">
        <v>0.0</v>
      </c>
      <c r="I292" s="30">
        <v>96.2</v>
      </c>
      <c r="J292" s="30">
        <v>13.0</v>
      </c>
      <c r="K292" s="30">
        <v>4.0</v>
      </c>
      <c r="L292" s="30">
        <v>9.0</v>
      </c>
      <c r="M292" s="30">
        <v>0.0</v>
      </c>
      <c r="N292" s="30">
        <v>0.0</v>
      </c>
      <c r="O292" s="30">
        <v>1.0</v>
      </c>
      <c r="P292" s="30">
        <v>1.21</v>
      </c>
      <c r="Q292" s="30">
        <v>0.17</v>
      </c>
      <c r="R292" s="30">
        <v>2.0</v>
      </c>
      <c r="S292" s="30">
        <v>4.0</v>
      </c>
      <c r="T292" s="183">
        <v>0.67</v>
      </c>
      <c r="U292" s="30">
        <v>0.0</v>
      </c>
      <c r="V292" s="30" t="s">
        <v>5467</v>
      </c>
    </row>
    <row r="293">
      <c r="A293" s="30">
        <v>409.0</v>
      </c>
      <c r="B293" s="30" t="s">
        <v>5468</v>
      </c>
      <c r="C293" s="30">
        <v>29.0</v>
      </c>
      <c r="D293" s="30" t="s">
        <v>4944</v>
      </c>
      <c r="E293" s="30" t="s">
        <v>4868</v>
      </c>
      <c r="F293" s="30">
        <v>29.0</v>
      </c>
      <c r="G293" s="30">
        <v>28.0</v>
      </c>
      <c r="H293" s="30">
        <v>2.0</v>
      </c>
      <c r="I293" s="30">
        <v>173.0</v>
      </c>
      <c r="J293" s="30">
        <v>25.0</v>
      </c>
      <c r="K293" s="30">
        <v>6.0</v>
      </c>
      <c r="L293" s="30">
        <v>17.0</v>
      </c>
      <c r="M293" s="30">
        <v>2.0</v>
      </c>
      <c r="N293" s="30">
        <v>1.0</v>
      </c>
      <c r="O293" s="30">
        <v>0.92</v>
      </c>
      <c r="P293" s="30">
        <v>1.2</v>
      </c>
      <c r="Q293" s="30">
        <v>0.79</v>
      </c>
      <c r="R293" s="30">
        <v>16.0</v>
      </c>
      <c r="S293" s="30">
        <v>9.0</v>
      </c>
      <c r="T293" s="183">
        <v>0.36</v>
      </c>
      <c r="U293" s="30">
        <v>2.0</v>
      </c>
      <c r="V293" s="30" t="s">
        <v>5469</v>
      </c>
    </row>
    <row r="294">
      <c r="A294" s="30">
        <v>410.0</v>
      </c>
      <c r="B294" s="30" t="s">
        <v>5470</v>
      </c>
      <c r="C294" s="30">
        <v>28.0</v>
      </c>
      <c r="D294" s="30" t="s">
        <v>5045</v>
      </c>
      <c r="E294" s="30" t="s">
        <v>4858</v>
      </c>
      <c r="F294" s="30">
        <v>21.0</v>
      </c>
      <c r="G294" s="30">
        <v>15.0</v>
      </c>
      <c r="H294" s="30">
        <v>0.0</v>
      </c>
      <c r="I294" s="30">
        <v>90.1</v>
      </c>
      <c r="J294" s="30">
        <v>12.0</v>
      </c>
      <c r="K294" s="30">
        <v>1.0</v>
      </c>
      <c r="L294" s="30">
        <v>11.0</v>
      </c>
      <c r="M294" s="30">
        <v>0.0</v>
      </c>
      <c r="N294" s="30">
        <v>0.0</v>
      </c>
      <c r="O294" s="30">
        <v>1.0</v>
      </c>
      <c r="P294" s="30">
        <v>1.2</v>
      </c>
      <c r="Q294" s="30">
        <v>0.57</v>
      </c>
      <c r="R294" s="30">
        <v>5.0</v>
      </c>
      <c r="S294" s="30">
        <v>1.0</v>
      </c>
      <c r="T294" s="183">
        <v>0.17</v>
      </c>
      <c r="U294" s="30">
        <v>1.0</v>
      </c>
      <c r="V294" s="30" t="s">
        <v>5471</v>
      </c>
    </row>
    <row r="295">
      <c r="A295" s="30">
        <v>413.0</v>
      </c>
      <c r="B295" s="30" t="s">
        <v>5472</v>
      </c>
      <c r="C295" s="30">
        <v>27.0</v>
      </c>
      <c r="D295" s="30" t="s">
        <v>4977</v>
      </c>
      <c r="E295" s="30" t="s">
        <v>4858</v>
      </c>
      <c r="F295" s="30">
        <v>39.0</v>
      </c>
      <c r="G295" s="30">
        <v>27.0</v>
      </c>
      <c r="H295" s="30">
        <v>2.0</v>
      </c>
      <c r="I295" s="30">
        <v>176.1</v>
      </c>
      <c r="J295" s="30">
        <v>23.0</v>
      </c>
      <c r="K295" s="30">
        <v>6.0</v>
      </c>
      <c r="L295" s="30">
        <v>17.0</v>
      </c>
      <c r="M295" s="30">
        <v>0.0</v>
      </c>
      <c r="N295" s="30">
        <v>2.0</v>
      </c>
      <c r="O295" s="30">
        <v>1.0</v>
      </c>
      <c r="P295" s="30">
        <v>1.17</v>
      </c>
      <c r="Q295" s="30">
        <v>0.59</v>
      </c>
      <c r="R295" s="30">
        <v>16.0</v>
      </c>
      <c r="S295" s="30">
        <v>2.0</v>
      </c>
      <c r="T295" s="183">
        <v>0.11</v>
      </c>
      <c r="U295" s="30">
        <v>1.0</v>
      </c>
      <c r="V295" s="30" t="s">
        <v>5473</v>
      </c>
    </row>
    <row r="296">
      <c r="A296" s="30">
        <v>415.0</v>
      </c>
      <c r="B296" s="30" t="s">
        <v>5474</v>
      </c>
      <c r="C296" s="30">
        <v>26.0</v>
      </c>
      <c r="D296" s="30" t="s">
        <v>5038</v>
      </c>
      <c r="E296" s="30" t="s">
        <v>4858</v>
      </c>
      <c r="F296" s="30">
        <v>39.0</v>
      </c>
      <c r="G296" s="30">
        <v>21.0</v>
      </c>
      <c r="H296" s="30">
        <v>1.0</v>
      </c>
      <c r="I296" s="30">
        <v>148.0</v>
      </c>
      <c r="J296" s="30">
        <v>22.0</v>
      </c>
      <c r="K296" s="30">
        <v>3.0</v>
      </c>
      <c r="L296" s="30">
        <v>16.0</v>
      </c>
      <c r="M296" s="30">
        <v>3.0</v>
      </c>
      <c r="N296" s="30">
        <v>2.0</v>
      </c>
      <c r="O296" s="30">
        <v>0.864</v>
      </c>
      <c r="P296" s="30">
        <v>1.16</v>
      </c>
      <c r="Q296" s="30">
        <v>0.49</v>
      </c>
      <c r="R296" s="30">
        <v>10.0</v>
      </c>
      <c r="S296" s="30">
        <v>2.0</v>
      </c>
      <c r="T296" s="183">
        <v>0.17</v>
      </c>
      <c r="U296" s="30">
        <v>0.0</v>
      </c>
      <c r="V296" s="30" t="s">
        <v>5475</v>
      </c>
    </row>
    <row r="297">
      <c r="A297" s="30">
        <v>416.0</v>
      </c>
      <c r="B297" s="30" t="s">
        <v>5476</v>
      </c>
      <c r="C297" s="30">
        <v>24.0</v>
      </c>
      <c r="D297" s="30" t="s">
        <v>4893</v>
      </c>
      <c r="E297" s="30" t="s">
        <v>4868</v>
      </c>
      <c r="F297" s="30">
        <v>24.0</v>
      </c>
      <c r="G297" s="30">
        <v>20.0</v>
      </c>
      <c r="H297" s="30">
        <v>1.0</v>
      </c>
      <c r="I297" s="30">
        <v>117.1</v>
      </c>
      <c r="J297" s="30">
        <v>16.0</v>
      </c>
      <c r="K297" s="30">
        <v>0.0</v>
      </c>
      <c r="L297" s="30">
        <v>15.0</v>
      </c>
      <c r="M297" s="30">
        <v>1.0</v>
      </c>
      <c r="N297" s="30">
        <v>1.0</v>
      </c>
      <c r="O297" s="30">
        <v>0.938</v>
      </c>
      <c r="P297" s="30">
        <v>1.15</v>
      </c>
      <c r="Q297" s="30">
        <v>0.63</v>
      </c>
      <c r="R297" s="30">
        <v>10.0</v>
      </c>
      <c r="S297" s="30">
        <v>5.0</v>
      </c>
      <c r="T297" s="183">
        <v>0.33</v>
      </c>
      <c r="U297" s="30">
        <v>3.0</v>
      </c>
      <c r="V297" s="30" t="s">
        <v>5477</v>
      </c>
    </row>
    <row r="298">
      <c r="A298" s="30">
        <v>418.0</v>
      </c>
      <c r="B298" s="30" t="s">
        <v>5478</v>
      </c>
      <c r="C298" s="30">
        <v>30.0</v>
      </c>
      <c r="D298" s="30" t="s">
        <v>4893</v>
      </c>
      <c r="E298" s="30" t="s">
        <v>4868</v>
      </c>
      <c r="F298" s="30">
        <v>31.0</v>
      </c>
      <c r="G298" s="30">
        <v>29.0</v>
      </c>
      <c r="H298" s="30">
        <v>0.0</v>
      </c>
      <c r="I298" s="30">
        <v>175.0</v>
      </c>
      <c r="J298" s="30">
        <v>22.0</v>
      </c>
      <c r="K298" s="30">
        <v>7.0</v>
      </c>
      <c r="L298" s="30">
        <v>15.0</v>
      </c>
      <c r="M298" s="30">
        <v>0.0</v>
      </c>
      <c r="N298" s="30">
        <v>3.0</v>
      </c>
      <c r="O298" s="30">
        <v>1.0</v>
      </c>
      <c r="P298" s="30">
        <v>1.13</v>
      </c>
      <c r="Q298" s="30">
        <v>0.71</v>
      </c>
      <c r="R298" s="30">
        <v>9.0</v>
      </c>
      <c r="S298" s="30">
        <v>6.0</v>
      </c>
      <c r="T298" s="183">
        <v>0.4</v>
      </c>
      <c r="U298" s="30">
        <v>0.0</v>
      </c>
      <c r="V298" s="30" t="s">
        <v>5479</v>
      </c>
    </row>
    <row r="299">
      <c r="A299" s="30">
        <v>421.0</v>
      </c>
      <c r="B299" s="30" t="s">
        <v>5480</v>
      </c>
      <c r="C299" s="30">
        <v>26.0</v>
      </c>
      <c r="D299" s="30" t="s">
        <v>4886</v>
      </c>
      <c r="E299" s="30" t="s">
        <v>4868</v>
      </c>
      <c r="F299" s="30">
        <v>33.0</v>
      </c>
      <c r="G299" s="30">
        <v>33.0</v>
      </c>
      <c r="H299" s="30">
        <v>3.0</v>
      </c>
      <c r="I299" s="30">
        <v>233.2</v>
      </c>
      <c r="J299" s="30">
        <v>33.0</v>
      </c>
      <c r="K299" s="30">
        <v>11.0</v>
      </c>
      <c r="L299" s="30">
        <v>18.0</v>
      </c>
      <c r="M299" s="30">
        <v>4.0</v>
      </c>
      <c r="N299" s="30">
        <v>3.0</v>
      </c>
      <c r="O299" s="30">
        <v>0.879</v>
      </c>
      <c r="P299" s="30">
        <v>1.12</v>
      </c>
      <c r="Q299" s="30">
        <v>0.88</v>
      </c>
      <c r="R299" s="30">
        <v>14.0</v>
      </c>
      <c r="S299" s="30">
        <v>6.0</v>
      </c>
      <c r="T299" s="183">
        <v>0.3</v>
      </c>
      <c r="U299" s="30">
        <v>1.0</v>
      </c>
      <c r="V299" s="30" t="s">
        <v>5481</v>
      </c>
    </row>
    <row r="300">
      <c r="A300" s="30">
        <v>429.0</v>
      </c>
      <c r="B300" s="30" t="s">
        <v>5482</v>
      </c>
      <c r="C300" s="30">
        <v>25.0</v>
      </c>
      <c r="D300" s="30" t="s">
        <v>4601</v>
      </c>
      <c r="E300" s="30" t="s">
        <v>4898</v>
      </c>
      <c r="F300" s="30">
        <v>35.0</v>
      </c>
      <c r="G300" s="30">
        <v>19.0</v>
      </c>
      <c r="H300" s="30">
        <v>1.0</v>
      </c>
      <c r="I300" s="30">
        <v>145.2</v>
      </c>
      <c r="J300" s="30">
        <v>19.0</v>
      </c>
      <c r="K300" s="30">
        <v>5.0</v>
      </c>
      <c r="L300" s="30">
        <v>12.0</v>
      </c>
      <c r="M300" s="30">
        <v>2.0</v>
      </c>
      <c r="N300" s="30">
        <v>0.0</v>
      </c>
      <c r="O300" s="30">
        <v>0.895</v>
      </c>
      <c r="P300" s="30">
        <v>1.05</v>
      </c>
      <c r="Q300" s="30">
        <v>0.49</v>
      </c>
      <c r="R300" s="30">
        <v>8.0</v>
      </c>
      <c r="S300" s="30">
        <v>5.0</v>
      </c>
      <c r="T300" s="183">
        <v>0.38</v>
      </c>
      <c r="U300" s="30">
        <v>0.0</v>
      </c>
      <c r="V300" s="30" t="s">
        <v>5483</v>
      </c>
    </row>
    <row r="301">
      <c r="A301" s="30">
        <v>433.0</v>
      </c>
      <c r="B301" s="30" t="s">
        <v>5484</v>
      </c>
      <c r="C301" s="30">
        <v>29.0</v>
      </c>
      <c r="D301" s="30" t="s">
        <v>4883</v>
      </c>
      <c r="E301" s="30" t="s">
        <v>4858</v>
      </c>
      <c r="F301" s="30">
        <v>32.0</v>
      </c>
      <c r="G301" s="30">
        <v>31.0</v>
      </c>
      <c r="H301" s="30">
        <v>5.0</v>
      </c>
      <c r="I301" s="30">
        <v>210.1</v>
      </c>
      <c r="J301" s="30">
        <v>24.0</v>
      </c>
      <c r="K301" s="30">
        <v>4.0</v>
      </c>
      <c r="L301" s="30">
        <v>20.0</v>
      </c>
      <c r="M301" s="30">
        <v>0.0</v>
      </c>
      <c r="N301" s="30">
        <v>0.0</v>
      </c>
      <c r="O301" s="30">
        <v>1.0</v>
      </c>
      <c r="P301" s="30">
        <v>1.03</v>
      </c>
      <c r="Q301" s="30">
        <v>0.75</v>
      </c>
      <c r="R301" s="30">
        <v>8.0</v>
      </c>
      <c r="S301" s="30">
        <v>4.0</v>
      </c>
      <c r="T301" s="183">
        <v>0.33</v>
      </c>
      <c r="U301" s="30">
        <v>4.0</v>
      </c>
      <c r="V301" s="30" t="s">
        <v>5485</v>
      </c>
    </row>
    <row r="302">
      <c r="A302" s="30">
        <v>434.0</v>
      </c>
      <c r="B302" s="30" t="s">
        <v>5486</v>
      </c>
      <c r="C302" s="30">
        <v>32.0</v>
      </c>
      <c r="D302" s="30" t="s">
        <v>4871</v>
      </c>
      <c r="E302" s="30" t="s">
        <v>4858</v>
      </c>
      <c r="F302" s="30">
        <v>28.0</v>
      </c>
      <c r="G302" s="30">
        <v>28.0</v>
      </c>
      <c r="H302" s="30">
        <v>4.0</v>
      </c>
      <c r="I302" s="30">
        <v>193.0</v>
      </c>
      <c r="J302" s="30">
        <v>22.0</v>
      </c>
      <c r="K302" s="30">
        <v>4.0</v>
      </c>
      <c r="L302" s="30">
        <v>18.0</v>
      </c>
      <c r="M302" s="30">
        <v>0.0</v>
      </c>
      <c r="N302" s="30">
        <v>0.0</v>
      </c>
      <c r="O302" s="30">
        <v>1.0</v>
      </c>
      <c r="P302" s="30">
        <v>1.03</v>
      </c>
      <c r="Q302" s="30">
        <v>0.79</v>
      </c>
      <c r="R302" s="30">
        <v>11.0</v>
      </c>
      <c r="S302" s="30">
        <v>4.0</v>
      </c>
      <c r="T302" s="183">
        <v>0.27</v>
      </c>
      <c r="U302" s="30">
        <v>0.0</v>
      </c>
      <c r="V302" s="30" t="s">
        <v>5487</v>
      </c>
    </row>
    <row r="303">
      <c r="A303" s="30">
        <v>438.0</v>
      </c>
      <c r="B303" s="30" t="s">
        <v>5488</v>
      </c>
      <c r="C303" s="30">
        <v>26.0</v>
      </c>
      <c r="D303" s="30" t="s">
        <v>5045</v>
      </c>
      <c r="E303" s="30" t="s">
        <v>4858</v>
      </c>
      <c r="F303" s="30">
        <v>21.0</v>
      </c>
      <c r="G303" s="30">
        <v>21.0</v>
      </c>
      <c r="H303" s="30">
        <v>0.0</v>
      </c>
      <c r="I303" s="30">
        <v>117.0</v>
      </c>
      <c r="J303" s="30">
        <v>13.0</v>
      </c>
      <c r="K303" s="30">
        <v>0.0</v>
      </c>
      <c r="L303" s="30">
        <v>13.0</v>
      </c>
      <c r="M303" s="30">
        <v>0.0</v>
      </c>
      <c r="N303" s="30">
        <v>2.0</v>
      </c>
      <c r="O303" s="30">
        <v>1.0</v>
      </c>
      <c r="P303" s="30">
        <v>1.0</v>
      </c>
      <c r="Q303" s="30">
        <v>0.62</v>
      </c>
      <c r="R303" s="30">
        <v>3.0</v>
      </c>
      <c r="S303" s="30">
        <v>4.0</v>
      </c>
      <c r="T303" s="183">
        <v>0.57</v>
      </c>
      <c r="U303" s="30">
        <v>1.0</v>
      </c>
      <c r="V303" s="30" t="s">
        <v>5489</v>
      </c>
    </row>
    <row r="304">
      <c r="A304" s="30">
        <v>445.0</v>
      </c>
      <c r="B304" s="30" t="s">
        <v>5490</v>
      </c>
      <c r="C304" s="30">
        <v>25.0</v>
      </c>
      <c r="D304" s="30" t="s">
        <v>5038</v>
      </c>
      <c r="E304" s="30" t="s">
        <v>4858</v>
      </c>
      <c r="F304" s="30">
        <v>33.0</v>
      </c>
      <c r="G304" s="30">
        <v>33.0</v>
      </c>
      <c r="H304" s="30">
        <v>0.0</v>
      </c>
      <c r="I304" s="30">
        <v>214.1</v>
      </c>
      <c r="J304" s="30">
        <v>25.0</v>
      </c>
      <c r="K304" s="30">
        <v>7.0</v>
      </c>
      <c r="L304" s="30">
        <v>16.0</v>
      </c>
      <c r="M304" s="30">
        <v>2.0</v>
      </c>
      <c r="N304" s="30">
        <v>2.0</v>
      </c>
      <c r="O304" s="30">
        <v>0.92</v>
      </c>
      <c r="P304" s="30">
        <v>0.97</v>
      </c>
      <c r="Q304" s="30">
        <v>0.7</v>
      </c>
      <c r="R304" s="30">
        <v>13.0</v>
      </c>
      <c r="S304" s="30">
        <v>7.0</v>
      </c>
      <c r="T304" s="183">
        <v>0.35</v>
      </c>
      <c r="U304" s="30">
        <v>0.0</v>
      </c>
      <c r="V304" s="30" t="s">
        <v>5491</v>
      </c>
    </row>
    <row r="305">
      <c r="A305" s="30">
        <v>464.0</v>
      </c>
      <c r="B305" s="30" t="s">
        <v>5492</v>
      </c>
      <c r="C305" s="30">
        <v>27.0</v>
      </c>
      <c r="D305" s="30" t="s">
        <v>5086</v>
      </c>
      <c r="E305" s="30" t="s">
        <v>4868</v>
      </c>
      <c r="F305" s="30">
        <v>33.0</v>
      </c>
      <c r="G305" s="30">
        <v>33.0</v>
      </c>
      <c r="H305" s="30">
        <v>4.0</v>
      </c>
      <c r="I305" s="30">
        <v>216.1</v>
      </c>
      <c r="J305" s="30">
        <v>21.0</v>
      </c>
      <c r="K305" s="30">
        <v>8.0</v>
      </c>
      <c r="L305" s="30">
        <v>12.0</v>
      </c>
      <c r="M305" s="30">
        <v>1.0</v>
      </c>
      <c r="N305" s="30">
        <v>0.0</v>
      </c>
      <c r="O305" s="30">
        <v>0.952</v>
      </c>
      <c r="P305" s="30">
        <v>0.83</v>
      </c>
      <c r="Q305" s="30">
        <v>0.61</v>
      </c>
      <c r="R305" s="30">
        <v>11.0</v>
      </c>
      <c r="S305" s="30">
        <v>12.0</v>
      </c>
      <c r="T305" s="183">
        <v>0.52</v>
      </c>
      <c r="U305" s="30">
        <v>0.0</v>
      </c>
      <c r="V305" s="30" t="s">
        <v>5493</v>
      </c>
    </row>
    <row r="306">
      <c r="A306" s="30">
        <v>473.0</v>
      </c>
      <c r="B306" s="30" t="s">
        <v>5494</v>
      </c>
      <c r="C306" s="30">
        <v>29.0</v>
      </c>
      <c r="D306" s="30" t="s">
        <v>4601</v>
      </c>
      <c r="E306" s="30" t="s">
        <v>4898</v>
      </c>
      <c r="F306" s="30">
        <v>25.0</v>
      </c>
      <c r="G306" s="30">
        <v>23.0</v>
      </c>
      <c r="H306" s="30">
        <v>0.0</v>
      </c>
      <c r="I306" s="30">
        <v>124.0</v>
      </c>
      <c r="J306" s="30">
        <v>10.0</v>
      </c>
      <c r="K306" s="30">
        <v>1.0</v>
      </c>
      <c r="L306" s="30">
        <v>9.0</v>
      </c>
      <c r="M306" s="30">
        <v>0.0</v>
      </c>
      <c r="N306" s="30">
        <v>0.0</v>
      </c>
      <c r="O306" s="30">
        <v>1.0</v>
      </c>
      <c r="P306" s="30">
        <v>0.73</v>
      </c>
      <c r="Q306" s="30">
        <v>0.4</v>
      </c>
      <c r="R306" s="30">
        <v>9.0</v>
      </c>
      <c r="S306" s="30">
        <v>7.0</v>
      </c>
      <c r="T306" s="183">
        <v>0.44</v>
      </c>
      <c r="U306" s="30">
        <v>0.0</v>
      </c>
      <c r="V306" s="30" t="s">
        <v>5495</v>
      </c>
    </row>
    <row r="307">
      <c r="A307" s="30">
        <v>475.0</v>
      </c>
      <c r="B307" s="30" t="s">
        <v>5496</v>
      </c>
      <c r="C307" s="30">
        <v>21.0</v>
      </c>
      <c r="D307" s="30" t="s">
        <v>289</v>
      </c>
      <c r="E307" s="30" t="s">
        <v>4858</v>
      </c>
      <c r="F307" s="30">
        <v>26.0</v>
      </c>
      <c r="G307" s="30">
        <v>26.0</v>
      </c>
      <c r="H307" s="30">
        <v>1.0</v>
      </c>
      <c r="I307" s="30">
        <v>166.2</v>
      </c>
      <c r="J307" s="30">
        <v>13.0</v>
      </c>
      <c r="K307" s="30">
        <v>4.0</v>
      </c>
      <c r="L307" s="30">
        <v>9.0</v>
      </c>
      <c r="M307" s="30">
        <v>0.0</v>
      </c>
      <c r="N307" s="30">
        <v>1.0</v>
      </c>
      <c r="O307" s="30">
        <v>1.0</v>
      </c>
      <c r="P307" s="30">
        <v>0.7</v>
      </c>
      <c r="Q307" s="30">
        <v>0.5</v>
      </c>
      <c r="R307" s="30">
        <v>12.0</v>
      </c>
      <c r="S307" s="30">
        <v>10.0</v>
      </c>
      <c r="T307" s="183">
        <v>0.45</v>
      </c>
      <c r="U307" s="30">
        <v>1.0</v>
      </c>
      <c r="V307" s="30" t="s">
        <v>5497</v>
      </c>
    </row>
    <row r="308">
      <c r="A308" s="30">
        <v>476.0</v>
      </c>
      <c r="B308" s="30" t="s">
        <v>5498</v>
      </c>
      <c r="C308" s="30">
        <v>28.0</v>
      </c>
      <c r="D308" s="30" t="s">
        <v>4910</v>
      </c>
      <c r="E308" s="30" t="s">
        <v>4868</v>
      </c>
      <c r="F308" s="30">
        <v>25.0</v>
      </c>
      <c r="G308" s="30">
        <v>25.0</v>
      </c>
      <c r="H308" s="30">
        <v>0.0</v>
      </c>
      <c r="I308" s="30">
        <v>142.2</v>
      </c>
      <c r="J308" s="30">
        <v>11.0</v>
      </c>
      <c r="K308" s="30">
        <v>5.0</v>
      </c>
      <c r="L308" s="30">
        <v>6.0</v>
      </c>
      <c r="M308" s="30">
        <v>0.0</v>
      </c>
      <c r="N308" s="30">
        <v>1.0</v>
      </c>
      <c r="O308" s="30">
        <v>1.0</v>
      </c>
      <c r="P308" s="30">
        <v>0.69</v>
      </c>
      <c r="Q308" s="30">
        <v>0.44</v>
      </c>
      <c r="R308" s="30">
        <v>3.0</v>
      </c>
      <c r="S308" s="30">
        <v>5.0</v>
      </c>
      <c r="T308" s="183">
        <v>0.63</v>
      </c>
      <c r="U308" s="30">
        <v>0.0</v>
      </c>
      <c r="V308" s="30" t="s">
        <v>5499</v>
      </c>
    </row>
    <row r="310">
      <c r="P310" s="30" t="s">
        <v>5500</v>
      </c>
    </row>
    <row r="311">
      <c r="P311" s="16">
        <f>AVERAGE(P2:P308)</f>
        <v>1.974201954</v>
      </c>
    </row>
    <row r="313">
      <c r="P313" s="30" t="s">
        <v>5501</v>
      </c>
    </row>
    <row r="314">
      <c r="P314" s="16">
        <f>STDEV(P2:P308)</f>
        <v>0.6348158075</v>
      </c>
    </row>
    <row r="316">
      <c r="P316" s="30" t="s">
        <v>5502</v>
      </c>
    </row>
    <row r="317">
      <c r="P317" s="16">
        <f>P311+P314</f>
        <v>2.609017762</v>
      </c>
    </row>
    <row r="319">
      <c r="P319" s="30" t="s">
        <v>5503</v>
      </c>
    </row>
    <row r="320">
      <c r="P320" s="16">
        <f>P311+(P314/3)</f>
        <v>2.185807224</v>
      </c>
    </row>
    <row r="322">
      <c r="P322" s="30" t="s">
        <v>5504</v>
      </c>
    </row>
    <row r="323">
      <c r="P323" s="16">
        <f>P311-P314</f>
        <v>1.339386147</v>
      </c>
    </row>
    <row r="325">
      <c r="P325" s="30" t="s">
        <v>5505</v>
      </c>
    </row>
    <row r="326">
      <c r="P326" s="16">
        <f>P311-(P314/3)</f>
        <v>1.762596685</v>
      </c>
    </row>
    <row r="328">
      <c r="P328" s="30">
        <v>3.0</v>
      </c>
    </row>
    <row r="329">
      <c r="P329" s="30" t="s">
        <v>5506</v>
      </c>
    </row>
    <row r="752">
      <c r="P752" s="30" t="s">
        <v>5500</v>
      </c>
    </row>
    <row r="753">
      <c r="P753" s="16">
        <f>AVERAGE(P2:P308)</f>
        <v>1.974201954</v>
      </c>
    </row>
  </sheetData>
  <autoFilter ref="$A$1:$V$308">
    <sortState ref="A1:V308">
      <sortCondition descending="1" ref="P1:P308"/>
    </sortState>
  </autoFilter>
  <drawing r:id="rId1"/>
</worksheet>
</file>